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列追加の場合は増渕まで★" sheetId="1" r:id="rId5"/>
    <sheet state="hidden" name="利用先一覧" sheetId="2" r:id="rId6"/>
  </sheets>
  <definedNames>
    <definedName localSheetId="0" name="AD_PLACEMENT_SEARCH_RESULT_20221206123748">'★列追加の場合は増渕まで★'!$A$1:$T$69</definedName>
    <definedName hidden="1" localSheetId="0" name="Z_CE8D5721_5B85_4E82_9D00_B9327FCCFA2B_.wvu.FilterData">'★列追加の場合は増渕まで★'!$A$1:$X$3328</definedName>
    <definedName hidden="1" localSheetId="0" name="Z_B354671C_6527_4F5A_8AAE_1233E8772673_.wvu.FilterData">'★列追加の場合は増渕まで★'!$A$1:$AB$3328</definedName>
    <definedName hidden="1" localSheetId="0" name="Z_44F7687E_E2E9_4183_861C_0EEAA94F1EEE_.wvu.FilterData">'★列追加の場合は増渕まで★'!$A$1:$X$3328</definedName>
  </definedNames>
  <calcPr/>
  <customWorkbookViews>
    <customWorkbookView activeSheetId="0" maximized="1" windowHeight="0" windowWidth="0" guid="{CE8D5721-5B85-4E82-9D00-B9327FCCFA2B}" name="富樫"/>
    <customWorkbookView activeSheetId="0" maximized="1" windowHeight="0" windowWidth="0" guid="{B354671C-6527-4F5A-8AAE-1233E8772673}" name="牧野"/>
    <customWorkbookView activeSheetId="0" maximized="1" windowHeight="0" windowWidth="0" guid="{44F7687E-E2E9-4183-861C-0EEAA94F1EEE}" name="金子"/>
  </customWorkbookViews>
</workbook>
</file>

<file path=xl/sharedStrings.xml><?xml version="1.0" encoding="utf-8"?>
<sst xmlns="http://schemas.openxmlformats.org/spreadsheetml/2006/main" count="16" uniqueCount="15">
  <si>
    <t>帳票名</t>
  </si>
  <si>
    <t>URL</t>
  </si>
  <si>
    <t>担当者</t>
  </si>
  <si>
    <t>タイトル別購入者層_先行タイトル情報</t>
  </si>
  <si>
    <t>窪田さんT</t>
  </si>
  <si>
    <t>振り分け表</t>
  </si>
  <si>
    <t>増渕</t>
  </si>
  <si>
    <t>進行管理表（藤本）</t>
  </si>
  <si>
    <t xml:space="preserve">進行管理表（牧野） </t>
  </si>
  <si>
    <t>進行管理表（星原）</t>
  </si>
  <si>
    <t xml:space="preserve">進行管理表（富樫） </t>
  </si>
  <si>
    <t xml:space="preserve">進行管理表（川村） </t>
  </si>
  <si>
    <t>進行管理表（上岡）</t>
  </si>
  <si>
    <t>進行管理表（光永）</t>
  </si>
  <si>
    <t>進行管理表（サンプル）</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</si>
</sst>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d"/>
    <numFmt numFmtId="165" formatCode="yyyy/mm/dd"/>
    <numFmt numFmtId="166" formatCode="m/d"/>
    <numFmt numFmtId="167" formatCode="m-d"/>
  </numFmts>
  <fonts count="23">
    <font>
      <sz val="11.0"/>
      <color theme="1"/>
      <name val="Calibri"/>
      <scheme val="minor"/>
    </font>
    <font>
      <b/>
      <sz val="11.0"/>
      <color rgb="FFFFFFFF"/>
      <name val="Meiryo"/>
    </font>
    <font>
      <sz val="11.0"/>
      <color rgb="FF000000"/>
      <name val="Meiryo"/>
    </font>
    <font>
      <color theme="1"/>
      <name val="Calibri"/>
      <scheme val="minor"/>
    </font>
    <font>
      <sz val="11.0"/>
      <color rgb="FF000000"/>
      <name val="Arial"/>
    </font>
    <font>
      <sz val="11.0"/>
      <color rgb="FFFF0000"/>
      <name val="Meiryo"/>
    </font>
    <font>
      <color rgb="FF000000"/>
      <name val="Calibri"/>
      <scheme val="minor"/>
    </font>
    <font>
      <color rgb="FF000000"/>
      <name val="&quot;游ゴシック Medium&quot;"/>
    </font>
    <font>
      <sz val="11.0"/>
      <color rgb="FF333333"/>
      <name val="Meiryo"/>
    </font>
    <font>
      <sz val="11.0"/>
      <color theme="1"/>
      <name val="Meiryo"/>
    </font>
    <font>
      <color theme="1"/>
      <name val="Meiryo"/>
    </font>
    <font>
      <sz val="11.0"/>
      <color rgb="FF1D1C1D"/>
      <name val="NotoSansJP"/>
    </font>
    <font>
      <color rgb="FFFF0000"/>
      <name val="Calibri"/>
      <scheme val="minor"/>
    </font>
    <font>
      <sz val="12.0"/>
      <color rgb="FF174E86"/>
      <name val="&quot;Yu Gothic&quot;"/>
    </font>
    <font>
      <color rgb="FF000000"/>
      <name val="Arial"/>
    </font>
    <font>
      <color rgb="FF000000"/>
      <name val="Meiryo"/>
    </font>
    <font>
      <sz val="11.0"/>
      <color rgb="FF000000"/>
      <name val="游ゴシック"/>
    </font>
    <font>
      <sz val="11.0"/>
      <color rgb="FF1F1F1F"/>
      <name val="Meiryo"/>
    </font>
    <font>
      <sz val="11.0"/>
      <color rgb="FFFF0000"/>
      <name val="游ゴシック"/>
    </font>
    <font>
      <color rgb="FFFF0000"/>
      <name val="Meiryo"/>
    </font>
    <font/>
    <font>
      <b/>
      <color rgb="FFFFFFFF"/>
      <name val="Calibri"/>
      <scheme val="minor"/>
    </font>
    <font>
      <u/>
      <color theme="1"/>
      <name val="Calibri"/>
      <scheme val="minor"/>
    </font>
  </fonts>
  <fills count="10">
    <fill>
      <patternFill patternType="none"/>
    </fill>
    <fill>
      <patternFill patternType="lightGray"/>
    </fill>
    <fill>
      <patternFill patternType="solid">
        <fgColor rgb="FFF1C232"/>
        <bgColor rgb="FFF1C232"/>
      </patternFill>
    </fill>
    <fill>
      <patternFill patternType="solid">
        <fgColor rgb="FFFFFFFF"/>
        <bgColor rgb="FFFFFFFF"/>
      </patternFill>
    </fill>
    <fill>
      <patternFill patternType="solid">
        <fgColor rgb="FFFFFF00"/>
        <bgColor rgb="FFFFFF00"/>
      </patternFill>
    </fill>
    <fill>
      <patternFill patternType="solid">
        <fgColor rgb="FFF8F8F8"/>
        <bgColor rgb="FFF8F8F8"/>
      </patternFill>
    </fill>
    <fill>
      <patternFill patternType="solid">
        <fgColor rgb="FFB7B7B7"/>
        <bgColor rgb="FFB7B7B7"/>
      </patternFill>
    </fill>
    <fill>
      <patternFill patternType="solid">
        <fgColor rgb="FF999999"/>
        <bgColor rgb="FF999999"/>
      </patternFill>
    </fill>
    <fill>
      <patternFill patternType="solid">
        <fgColor rgb="FFCCCCCC"/>
        <bgColor rgb="FFCCCCCC"/>
      </patternFill>
    </fill>
    <fill>
      <patternFill patternType="solid">
        <fgColor theme="5"/>
        <bgColor theme="5"/>
      </patternFill>
    </fill>
  </fills>
  <borders count="8">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top style="thin">
        <color rgb="FF666666"/>
      </top>
    </border>
    <border>
      <left style="thin">
        <color rgb="FF666666"/>
      </left>
      <right style="thin">
        <color rgb="FF666666"/>
      </right>
    </border>
    <border>
      <left style="thin">
        <color rgb="FF666666"/>
      </left>
      <right style="thin">
        <color rgb="FF666666"/>
      </right>
      <bottom style="thin">
        <color rgb="FF666666"/>
      </bottom>
    </border>
  </borders>
  <cellStyleXfs count="1">
    <xf borderId="0" fillId="0" fontId="0" numFmtId="0" applyAlignment="1" applyFont="1"/>
  </cellStyleXfs>
  <cellXfs count="238">
    <xf borderId="0" fillId="0" fontId="0" numFmtId="0" xfId="0" applyAlignment="1" applyFont="1">
      <alignment readingOrder="0" shrinkToFit="0" vertical="center" wrapText="0"/>
    </xf>
    <xf borderId="1" fillId="2" fontId="1" numFmtId="0" xfId="0" applyAlignment="1" applyBorder="1" applyFill="1" applyFont="1">
      <alignment readingOrder="0" vertical="center"/>
    </xf>
    <xf borderId="1" fillId="2" fontId="1" numFmtId="0" xfId="0" applyAlignment="1" applyBorder="1" applyFont="1">
      <alignment shrinkToFit="0" vertical="center" wrapText="1"/>
    </xf>
    <xf borderId="1" fillId="2" fontId="1" numFmtId="164" xfId="0" applyAlignment="1" applyBorder="1" applyFont="1" applyNumberFormat="1">
      <alignment vertical="center"/>
    </xf>
    <xf borderId="1" fillId="2" fontId="1" numFmtId="0" xfId="0" applyAlignment="1" applyBorder="1" applyFont="1">
      <alignment vertical="center"/>
    </xf>
    <xf borderId="1" fillId="2" fontId="1" numFmtId="0" xfId="0" applyAlignment="1" applyBorder="1" applyFont="1">
      <alignment horizontal="left" vertical="center"/>
    </xf>
    <xf borderId="1" fillId="2" fontId="1" numFmtId="164" xfId="0" applyAlignment="1" applyBorder="1" applyFont="1" applyNumberFormat="1">
      <alignment horizontal="left" vertical="center"/>
    </xf>
    <xf borderId="0" fillId="3" fontId="2" numFmtId="0" xfId="0" applyAlignment="1" applyFill="1" applyFont="1">
      <alignment vertical="center"/>
    </xf>
    <xf borderId="1" fillId="3" fontId="2" numFmtId="0" xfId="0" applyAlignment="1" applyBorder="1" applyFont="1">
      <alignment vertical="center"/>
    </xf>
    <xf borderId="1" fillId="3" fontId="2" numFmtId="0" xfId="0" applyAlignment="1" applyBorder="1" applyFont="1">
      <alignment shrinkToFit="0" vertical="center" wrapText="1"/>
    </xf>
    <xf borderId="1" fillId="3" fontId="2" numFmtId="164" xfId="0" applyAlignment="1" applyBorder="1" applyFont="1" applyNumberFormat="1">
      <alignment vertical="center"/>
    </xf>
    <xf borderId="1" fillId="3" fontId="2" numFmtId="0" xfId="0" applyAlignment="1" applyBorder="1" applyFont="1">
      <alignment horizontal="left" vertical="center"/>
    </xf>
    <xf borderId="1" fillId="3" fontId="2" numFmtId="164" xfId="0" applyAlignment="1" applyBorder="1" applyFont="1" applyNumberFormat="1">
      <alignment horizontal="right" vertical="center"/>
    </xf>
    <xf borderId="1" fillId="0" fontId="3" numFmtId="0" xfId="0" applyAlignment="1" applyBorder="1" applyFont="1">
      <alignment vertical="center"/>
    </xf>
    <xf borderId="1" fillId="3" fontId="2" numFmtId="0" xfId="0" applyAlignment="1" applyBorder="1" applyFont="1">
      <alignment readingOrder="0" vertical="center"/>
    </xf>
    <xf borderId="1" fillId="3" fontId="2" numFmtId="0" xfId="0" applyAlignment="1" applyBorder="1" applyFont="1">
      <alignment readingOrder="0" shrinkToFit="0" vertical="center" wrapText="1"/>
    </xf>
    <xf borderId="1" fillId="3" fontId="2" numFmtId="0" xfId="0" applyAlignment="1" applyBorder="1" applyFont="1">
      <alignment horizontal="left" readingOrder="0" vertical="center"/>
    </xf>
    <xf borderId="0" fillId="3" fontId="2" numFmtId="0" xfId="0" applyAlignment="1" applyFont="1">
      <alignment vertical="center"/>
    </xf>
    <xf borderId="1" fillId="3" fontId="2" numFmtId="0" xfId="0" applyAlignment="1" applyBorder="1" applyFont="1">
      <alignment vertical="center"/>
    </xf>
    <xf borderId="1" fillId="3" fontId="2" numFmtId="164" xfId="0" applyAlignment="1" applyBorder="1" applyFont="1" applyNumberFormat="1">
      <alignment horizontal="right" shrinkToFit="0" vertical="center" wrapText="1"/>
    </xf>
    <xf borderId="1" fillId="3" fontId="2" numFmtId="0" xfId="0" applyAlignment="1" applyBorder="1" applyFont="1">
      <alignment horizontal="left" readingOrder="0" shrinkToFit="0" vertical="center" wrapText="0"/>
    </xf>
    <xf borderId="1" fillId="3" fontId="2" numFmtId="164" xfId="0" applyAlignment="1" applyBorder="1" applyFont="1" applyNumberFormat="1">
      <alignment horizontal="right" readingOrder="0" vertical="center"/>
    </xf>
    <xf borderId="1" fillId="3" fontId="2" numFmtId="0" xfId="0" applyAlignment="1" applyBorder="1" applyFont="1">
      <alignment horizontal="left" readingOrder="0" shrinkToFit="0" vertical="center" wrapText="0"/>
    </xf>
    <xf borderId="1" fillId="3" fontId="2" numFmtId="164" xfId="0" applyAlignment="1" applyBorder="1" applyFont="1" applyNumberFormat="1">
      <alignment horizontal="right" readingOrder="0" shrinkToFit="0" vertical="center" wrapText="0"/>
    </xf>
    <xf borderId="1" fillId="3" fontId="2" numFmtId="164" xfId="0" applyAlignment="1" applyBorder="1" applyFont="1" applyNumberFormat="1">
      <alignment shrinkToFit="0" vertical="center" wrapText="1"/>
    </xf>
    <xf borderId="1" fillId="3" fontId="2" numFmtId="164" xfId="0" applyAlignment="1" applyBorder="1" applyFont="1" applyNumberFormat="1">
      <alignment readingOrder="0" vertical="center"/>
    </xf>
    <xf borderId="1" fillId="3" fontId="2" numFmtId="0" xfId="0" applyAlignment="1" applyBorder="1" applyFont="1">
      <alignment horizontal="right" readingOrder="0" shrinkToFit="0" vertical="center" wrapText="0"/>
    </xf>
    <xf borderId="1" fillId="3" fontId="2" numFmtId="0" xfId="0" applyAlignment="1" applyBorder="1" applyFont="1">
      <alignment horizontal="left" readingOrder="0" vertical="center"/>
    </xf>
    <xf borderId="1" fillId="3" fontId="2" numFmtId="164" xfId="0" applyAlignment="1" applyBorder="1" applyFont="1" applyNumberFormat="1">
      <alignment horizontal="right" readingOrder="0" shrinkToFit="0" vertical="center" wrapText="0"/>
    </xf>
    <xf borderId="1" fillId="3" fontId="2" numFmtId="0" xfId="0" applyAlignment="1" applyBorder="1" applyFont="1">
      <alignment horizontal="left" readingOrder="0" shrinkToFit="0" vertical="center" wrapText="1"/>
    </xf>
    <xf borderId="1" fillId="3" fontId="2" numFmtId="0" xfId="0" applyAlignment="1" applyBorder="1" applyFont="1">
      <alignment shrinkToFit="0" vertical="center" wrapText="0"/>
    </xf>
    <xf borderId="1" fillId="3" fontId="2" numFmtId="0" xfId="0" applyAlignment="1" applyBorder="1" applyFont="1">
      <alignment readingOrder="0" shrinkToFit="0" vertical="center" wrapText="0"/>
    </xf>
    <xf borderId="1" fillId="3" fontId="2" numFmtId="0" xfId="0" applyAlignment="1" applyBorder="1" applyFont="1">
      <alignment shrinkToFit="0" vertical="center" wrapText="1"/>
    </xf>
    <xf borderId="1" fillId="3" fontId="2" numFmtId="165" xfId="0" applyAlignment="1" applyBorder="1" applyFont="1" applyNumberFormat="1">
      <alignment horizontal="right" readingOrder="0" shrinkToFit="0" vertical="center" wrapText="0"/>
    </xf>
    <xf borderId="1" fillId="3" fontId="2" numFmtId="0" xfId="0" applyAlignment="1" applyBorder="1" applyFont="1">
      <alignment readingOrder="0" shrinkToFit="0" vertical="center" wrapText="1"/>
    </xf>
    <xf borderId="1" fillId="3" fontId="2" numFmtId="164" xfId="0" applyAlignment="1" applyBorder="1" applyFont="1" applyNumberFormat="1">
      <alignment readingOrder="0" shrinkToFit="0" vertical="center" wrapText="0"/>
    </xf>
    <xf borderId="1" fillId="3" fontId="2" numFmtId="165" xfId="0" applyAlignment="1" applyBorder="1" applyFont="1" applyNumberFormat="1">
      <alignment readingOrder="0" shrinkToFit="0" vertical="center" wrapText="0"/>
    </xf>
    <xf borderId="1" fillId="3" fontId="2" numFmtId="0" xfId="0" applyAlignment="1" applyBorder="1" applyFont="1">
      <alignment horizontal="right" readingOrder="0" shrinkToFit="0" vertical="center" wrapText="0"/>
    </xf>
    <xf borderId="1" fillId="3" fontId="2" numFmtId="166" xfId="0" applyAlignment="1" applyBorder="1" applyFont="1" applyNumberFormat="1">
      <alignment horizontal="left" readingOrder="0" shrinkToFit="0" vertical="center" wrapText="0"/>
    </xf>
    <xf borderId="1" fillId="3" fontId="2" numFmtId="166" xfId="0" applyAlignment="1" applyBorder="1" applyFont="1" applyNumberFormat="1">
      <alignment horizontal="right" readingOrder="0" shrinkToFit="0" vertical="center" wrapText="0"/>
    </xf>
    <xf borderId="1" fillId="3" fontId="2" numFmtId="164" xfId="0" applyAlignment="1" applyBorder="1" applyFont="1" applyNumberFormat="1">
      <alignment horizontal="left" readingOrder="0" shrinkToFit="0" vertical="center" wrapText="0"/>
    </xf>
    <xf borderId="1" fillId="3" fontId="2" numFmtId="165" xfId="0" applyAlignment="1" applyBorder="1" applyFont="1" applyNumberFormat="1">
      <alignment horizontal="right" readingOrder="0" vertical="center"/>
    </xf>
    <xf borderId="1" fillId="3" fontId="2" numFmtId="165" xfId="0" applyAlignment="1" applyBorder="1" applyFont="1" applyNumberFormat="1">
      <alignment horizontal="left" readingOrder="0" shrinkToFit="0" vertical="center" wrapText="0"/>
    </xf>
    <xf borderId="1" fillId="3" fontId="2" numFmtId="0" xfId="0" applyAlignment="1" applyBorder="1" applyFont="1">
      <alignment shrinkToFit="0" vertical="center" wrapText="0"/>
    </xf>
    <xf borderId="1" fillId="3" fontId="4" numFmtId="0" xfId="0" applyAlignment="1" applyBorder="1" applyFont="1">
      <alignment readingOrder="0" shrinkToFit="0" vertical="center" wrapText="1"/>
    </xf>
    <xf borderId="1" fillId="3" fontId="4" numFmtId="0" xfId="0" applyAlignment="1" applyBorder="1" applyFont="1">
      <alignment horizontal="right" readingOrder="0" shrinkToFit="0" vertical="center" wrapText="0"/>
    </xf>
    <xf borderId="1" fillId="3" fontId="5" numFmtId="0" xfId="0" applyAlignment="1" applyBorder="1" applyFont="1">
      <alignment horizontal="left" readingOrder="0" shrinkToFit="0" vertical="center" wrapText="0"/>
    </xf>
    <xf borderId="1" fillId="3" fontId="5" numFmtId="164" xfId="0" applyAlignment="1" applyBorder="1" applyFont="1" applyNumberFormat="1">
      <alignment horizontal="right" readingOrder="0" shrinkToFit="0" vertical="center" wrapText="0"/>
    </xf>
    <xf borderId="1" fillId="3" fontId="2" numFmtId="0" xfId="0" applyAlignment="1" applyBorder="1" applyFont="1">
      <alignment shrinkToFit="0" vertical="center" wrapText="1"/>
    </xf>
    <xf borderId="1" fillId="3" fontId="2" numFmtId="0" xfId="0" applyAlignment="1" applyBorder="1" applyFont="1">
      <alignment shrinkToFit="0" vertical="center" wrapText="0"/>
    </xf>
    <xf borderId="1" fillId="3" fontId="6" numFmtId="0" xfId="0" applyAlignment="1" applyBorder="1" applyFont="1">
      <alignment vertical="center"/>
    </xf>
    <xf borderId="0" fillId="3" fontId="6" numFmtId="0" xfId="0" applyAlignment="1" applyFont="1">
      <alignment vertical="center"/>
    </xf>
    <xf borderId="1" fillId="3" fontId="5" numFmtId="0" xfId="0" applyAlignment="1" applyBorder="1" applyFont="1">
      <alignment readingOrder="0" shrinkToFit="0" vertical="center" wrapText="0"/>
    </xf>
    <xf borderId="1" fillId="3" fontId="5" numFmtId="0" xfId="0" applyAlignment="1" applyBorder="1" applyFont="1">
      <alignment horizontal="left" readingOrder="0" shrinkToFit="0" vertical="center" wrapText="0"/>
    </xf>
    <xf borderId="1" fillId="3" fontId="7" numFmtId="0" xfId="0" applyAlignment="1" applyBorder="1" applyFont="1">
      <alignment horizontal="left" readingOrder="0" shrinkToFit="0" vertical="center" wrapText="0"/>
    </xf>
    <xf borderId="1" fillId="3" fontId="5" numFmtId="0" xfId="0" applyAlignment="1" applyBorder="1" applyFont="1">
      <alignment horizontal="left" readingOrder="0" vertical="center"/>
    </xf>
    <xf borderId="1" fillId="3" fontId="5" numFmtId="0" xfId="0" applyAlignment="1" applyBorder="1" applyFont="1">
      <alignment readingOrder="0" shrinkToFit="0" vertical="center" wrapText="1"/>
    </xf>
    <xf borderId="1" fillId="3" fontId="3" numFmtId="0" xfId="0" applyAlignment="1" applyBorder="1" applyFont="1">
      <alignment readingOrder="0" vertical="center"/>
    </xf>
    <xf borderId="1" fillId="3" fontId="5" numFmtId="165" xfId="0" applyAlignment="1" applyBorder="1" applyFont="1" applyNumberFormat="1">
      <alignment horizontal="right" readingOrder="0" shrinkToFit="0" vertical="center" wrapText="0"/>
    </xf>
    <xf borderId="1" fillId="3" fontId="8" numFmtId="164" xfId="0" applyAlignment="1" applyBorder="1" applyFont="1" applyNumberFormat="1">
      <alignment horizontal="right" readingOrder="0" shrinkToFit="0" vertical="center" wrapText="0"/>
    </xf>
    <xf borderId="1" fillId="4" fontId="2" numFmtId="0" xfId="0" applyAlignment="1" applyBorder="1" applyFill="1" applyFont="1">
      <alignment readingOrder="0" shrinkToFit="0" vertical="center" wrapText="0"/>
    </xf>
    <xf borderId="1" fillId="4" fontId="2" numFmtId="0" xfId="0" applyAlignment="1" applyBorder="1" applyFont="1">
      <alignment horizontal="left" readingOrder="0" shrinkToFit="0" vertical="center" wrapText="0"/>
    </xf>
    <xf borderId="1" fillId="3" fontId="8" numFmtId="165" xfId="0" applyAlignment="1" applyBorder="1" applyFont="1" applyNumberFormat="1">
      <alignment horizontal="right" readingOrder="0" shrinkToFit="0" vertical="center" wrapText="0"/>
    </xf>
    <xf borderId="1" fillId="3" fontId="8" numFmtId="0" xfId="0" applyAlignment="1" applyBorder="1" applyFont="1">
      <alignment horizontal="left" readingOrder="0" shrinkToFit="0" vertical="center" wrapText="0"/>
    </xf>
    <xf borderId="1" fillId="3" fontId="9" numFmtId="0" xfId="0" applyAlignment="1" applyBorder="1" applyFont="1">
      <alignment horizontal="left" readingOrder="0" vertical="center"/>
    </xf>
    <xf borderId="1" fillId="3" fontId="9" numFmtId="0" xfId="0" applyAlignment="1" applyBorder="1" applyFont="1">
      <alignment vertical="center"/>
    </xf>
    <xf borderId="1" fillId="0" fontId="2" numFmtId="0" xfId="0" applyAlignment="1" applyBorder="1" applyFont="1">
      <alignment horizontal="right" readingOrder="0" shrinkToFit="0" vertical="center" wrapText="0"/>
    </xf>
    <xf borderId="1" fillId="0" fontId="2" numFmtId="0" xfId="0" applyAlignment="1" applyBorder="1" applyFont="1">
      <alignment horizontal="left" readingOrder="0" shrinkToFit="0" vertical="center" wrapText="0"/>
    </xf>
    <xf borderId="1" fillId="0" fontId="2" numFmtId="164" xfId="0" applyAlignment="1" applyBorder="1" applyFont="1" applyNumberFormat="1">
      <alignment horizontal="right" readingOrder="0" shrinkToFit="0" vertical="center" wrapText="0"/>
    </xf>
    <xf borderId="1" fillId="0" fontId="2"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shrinkToFit="0" vertical="center" wrapText="0"/>
    </xf>
    <xf borderId="1" fillId="0" fontId="5" numFmtId="164" xfId="0" applyAlignment="1" applyBorder="1" applyFont="1" applyNumberFormat="1">
      <alignment horizontal="right" readingOrder="0" shrinkToFit="0" vertical="center" wrapText="0"/>
    </xf>
    <xf borderId="1" fillId="0" fontId="2" numFmtId="164" xfId="0" applyAlignment="1" applyBorder="1" applyFont="1" applyNumberFormat="1">
      <alignment horizontal="righ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horizontal="right" readingOrder="0" shrinkToFit="0" vertical="center" wrapText="0"/>
    </xf>
    <xf borderId="1" fillId="0" fontId="2" numFmtId="165" xfId="0" applyAlignment="1" applyBorder="1" applyFont="1" applyNumberFormat="1">
      <alignment horizontal="right" readingOrder="0" shrinkToFit="0" vertical="center" wrapText="0"/>
    </xf>
    <xf borderId="1" fillId="0" fontId="5" numFmtId="0" xfId="0" applyAlignment="1" applyBorder="1" applyFont="1">
      <alignment horizontal="left" readingOrder="0" shrinkToFit="0" vertical="center" wrapText="0"/>
    </xf>
    <xf borderId="1" fillId="0" fontId="5" numFmtId="0" xfId="0" applyAlignment="1" applyBorder="1" applyFont="1">
      <alignment horizontal="left" readingOrder="0" shrinkToFit="0" vertical="center" wrapText="0"/>
    </xf>
    <xf borderId="1" fillId="0" fontId="2" numFmtId="0" xfId="0" applyAlignment="1" applyBorder="1" applyFont="1">
      <alignment readingOrder="0" shrinkToFit="0" vertical="center" wrapText="1"/>
    </xf>
    <xf borderId="1" fillId="3" fontId="5" numFmtId="0" xfId="0" applyAlignment="1" applyBorder="1" applyFont="1">
      <alignment readingOrder="0" vertical="center"/>
    </xf>
    <xf borderId="1" fillId="4" fontId="5"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0" fontId="5" numFmtId="165" xfId="0" applyAlignment="1" applyBorder="1" applyFont="1" applyNumberFormat="1">
      <alignment horizontal="right" readingOrder="0" shrinkToFit="0" vertical="center" wrapText="0"/>
    </xf>
    <xf borderId="1" fillId="0" fontId="2" numFmtId="165" xfId="0" applyAlignment="1" applyBorder="1" applyFont="1" applyNumberFormat="1">
      <alignment horizontal="right" readingOrder="0" shrinkToFit="0" vertical="center" wrapText="0"/>
    </xf>
    <xf borderId="1" fillId="0" fontId="5" numFmtId="0" xfId="0" applyAlignment="1" applyBorder="1" applyFont="1">
      <alignment horizontal="right" readingOrder="0" shrinkToFit="0" vertical="center" wrapText="0"/>
    </xf>
    <xf borderId="1" fillId="0" fontId="2" numFmtId="0" xfId="0" applyAlignment="1" applyBorder="1" applyFont="1">
      <alignment shrinkToFit="0" vertical="center" wrapText="0"/>
    </xf>
    <xf borderId="1" fillId="0" fontId="5" numFmtId="165" xfId="0" applyAlignment="1" applyBorder="1" applyFont="1" applyNumberFormat="1">
      <alignment horizontal="right" readingOrder="0" shrinkToFit="0" vertical="center" wrapText="0"/>
    </xf>
    <xf borderId="1" fillId="0" fontId="5" numFmtId="164" xfId="0" applyAlignment="1" applyBorder="1" applyFont="1" applyNumberFormat="1">
      <alignment horizontal="right" readingOrder="0" shrinkToFit="0" vertical="center" wrapText="0"/>
    </xf>
    <xf borderId="1" fillId="4" fontId="5"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1"/>
    </xf>
    <xf borderId="1" fillId="0" fontId="2" numFmtId="165" xfId="0" applyAlignment="1" applyBorder="1" applyFont="1" applyNumberFormat="1">
      <alignment horizontal="left" readingOrder="0" shrinkToFit="0" vertical="center" wrapText="0"/>
    </xf>
    <xf borderId="1" fillId="0" fontId="2" numFmtId="164" xfId="0" applyAlignment="1" applyBorder="1" applyFont="1" applyNumberFormat="1">
      <alignment readingOrder="0" shrinkToFit="0" vertical="center" wrapText="0"/>
    </xf>
    <xf borderId="1" fillId="0" fontId="2" numFmtId="165" xfId="0" applyAlignment="1" applyBorder="1" applyFont="1" applyNumberFormat="1">
      <alignment readingOrder="0" shrinkToFit="0" vertical="center" wrapText="0"/>
    </xf>
    <xf borderId="1" fillId="0" fontId="10" numFmtId="0" xfId="0" applyAlignment="1" applyBorder="1" applyFont="1">
      <alignment readingOrder="0" shrinkToFit="0" vertical="center" wrapText="1"/>
    </xf>
    <xf borderId="1" fillId="5" fontId="11" numFmtId="0" xfId="0" applyAlignment="1" applyBorder="1" applyFill="1" applyFont="1">
      <alignment horizontal="left" readingOrder="0" vertical="center"/>
    </xf>
    <xf borderId="1" fillId="0" fontId="2" numFmtId="164" xfId="0" applyAlignment="1" applyBorder="1" applyFont="1" applyNumberFormat="1">
      <alignment horizontal="left" readingOrder="0" shrinkToFit="0" vertical="center" wrapText="0"/>
    </xf>
    <xf borderId="1" fillId="0" fontId="2" numFmtId="166" xfId="0" applyAlignment="1" applyBorder="1" applyFont="1" applyNumberFormat="1">
      <alignment horizontal="left" readingOrder="0" shrinkToFit="0" vertical="center" wrapText="0"/>
    </xf>
    <xf borderId="1" fillId="0" fontId="9" numFmtId="0" xfId="0" applyAlignment="1" applyBorder="1" applyFont="1">
      <alignment readingOrder="0" vertical="center"/>
    </xf>
    <xf borderId="1" fillId="4" fontId="2" numFmtId="0" xfId="0" applyAlignment="1" applyBorder="1" applyFont="1">
      <alignment horizontal="right" readingOrder="0" shrinkToFit="0" vertical="center" wrapText="0"/>
    </xf>
    <xf borderId="1" fillId="3" fontId="2" numFmtId="165" xfId="0" applyAlignment="1" applyBorder="1" applyFont="1" applyNumberFormat="1">
      <alignment horizontal="right" readingOrder="0" shrinkToFit="0" vertical="center" wrapText="0"/>
    </xf>
    <xf borderId="1" fillId="3" fontId="8" numFmtId="164" xfId="0" applyAlignment="1" applyBorder="1" applyFont="1" applyNumberFormat="1">
      <alignment horizontal="right" readingOrder="0" shrinkToFit="0" vertical="center" wrapText="0"/>
    </xf>
    <xf borderId="1" fillId="0" fontId="12" numFmtId="0" xfId="0" applyAlignment="1" applyBorder="1" applyFont="1">
      <alignment readingOrder="0" vertical="center"/>
    </xf>
    <xf borderId="1" fillId="0" fontId="5" numFmtId="165" xfId="0" applyAlignment="1" applyBorder="1" applyFont="1" applyNumberFormat="1">
      <alignment readingOrder="0" shrinkToFit="0" vertical="center" wrapText="0"/>
    </xf>
    <xf borderId="1" fillId="0" fontId="5" numFmtId="164" xfId="0" applyAlignment="1" applyBorder="1" applyFont="1" applyNumberFormat="1">
      <alignment readingOrder="0" shrinkToFit="0" vertical="center" wrapText="0"/>
    </xf>
    <xf borderId="1" fillId="3"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2" numFmtId="0" xfId="0" applyAlignment="1" applyBorder="1" applyFont="1">
      <alignment readingOrder="0" shrinkToFit="0" vertical="center" wrapText="0"/>
    </xf>
    <xf borderId="1" fillId="3"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0"/>
    </xf>
    <xf borderId="1" fillId="4" fontId="2"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0" fontId="2" numFmtId="0" xfId="0" applyAlignment="1" applyBorder="1" applyFont="1">
      <alignment shrinkToFit="0" vertical="center" wrapText="1"/>
    </xf>
    <xf borderId="1" fillId="0" fontId="2" numFmtId="165" xfId="0" applyAlignment="1" applyBorder="1" applyFont="1" applyNumberFormat="1">
      <alignment readingOrder="0" shrinkToFit="0" vertical="center" wrapText="0"/>
    </xf>
    <xf borderId="1" fillId="4" fontId="2" numFmtId="0" xfId="0" applyAlignment="1" applyBorder="1" applyFont="1">
      <alignment horizontal="right" readingOrder="0" shrinkToFit="0" vertical="center" wrapText="0"/>
    </xf>
    <xf borderId="1" fillId="0" fontId="5" numFmtId="164" xfId="0" applyAlignment="1" applyBorder="1" applyFont="1" applyNumberFormat="1">
      <alignment readingOrder="0" shrinkToFit="0" vertical="center" wrapText="0"/>
    </xf>
    <xf borderId="1" fillId="3" fontId="13" numFmtId="0" xfId="0" applyAlignment="1" applyBorder="1" applyFont="1">
      <alignment readingOrder="0" vertical="center"/>
    </xf>
    <xf borderId="1" fillId="4" fontId="2"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1"/>
    </xf>
    <xf borderId="1" fillId="4" fontId="5" numFmtId="0" xfId="0" applyAlignment="1" applyBorder="1" applyFont="1">
      <alignment horizontal="left" readingOrder="0" shrinkToFit="0" vertical="center" wrapText="0"/>
    </xf>
    <xf borderId="1" fillId="0" fontId="3" numFmtId="0" xfId="0" applyAlignment="1" applyBorder="1" applyFont="1">
      <alignment horizontal="left" readingOrder="0" vertical="center"/>
    </xf>
    <xf borderId="1" fillId="3" fontId="14" numFmtId="0" xfId="0" applyAlignment="1" applyBorder="1" applyFont="1">
      <alignment readingOrder="0" vertical="center"/>
    </xf>
    <xf borderId="1" fillId="4" fontId="5" numFmtId="0" xfId="0" applyAlignment="1" applyBorder="1" applyFont="1">
      <alignment readingOrder="0" shrinkToFit="0" vertical="center" wrapText="0"/>
    </xf>
    <xf borderId="1" fillId="0" fontId="5" numFmtId="165" xfId="0" applyAlignment="1" applyBorder="1" applyFont="1" applyNumberFormat="1">
      <alignment readingOrder="0" shrinkToFit="0" vertical="center" wrapText="0"/>
    </xf>
    <xf borderId="1" fillId="3" fontId="15" numFmtId="0" xfId="0" applyAlignment="1" applyBorder="1" applyFont="1">
      <alignment horizontal="left" readingOrder="0" shrinkToFit="0" vertical="center" wrapText="1"/>
    </xf>
    <xf borderId="1" fillId="0" fontId="5" numFmtId="0" xfId="0" applyAlignment="1" applyBorder="1" applyFont="1">
      <alignment readingOrder="0" shrinkToFit="0" vertical="center" wrapText="1"/>
    </xf>
    <xf borderId="1" fillId="0" fontId="2" numFmtId="164" xfId="0" applyAlignment="1" applyBorder="1" applyFont="1" applyNumberFormat="1">
      <alignment readingOrder="0" shrinkToFit="0" vertical="center" wrapText="0"/>
    </xf>
    <xf borderId="1" fillId="0" fontId="2" numFmtId="166" xfId="0" applyAlignment="1" applyBorder="1" applyFont="1" applyNumberFormat="1">
      <alignment readingOrder="0" shrinkToFit="0" vertical="center" wrapText="0"/>
    </xf>
    <xf borderId="1" fillId="0" fontId="16" numFmtId="0" xfId="0" applyAlignment="1" applyBorder="1" applyFont="1">
      <alignment horizontal="left" readingOrder="0" shrinkToFit="0" vertical="center" wrapText="0"/>
    </xf>
    <xf borderId="1" fillId="3" fontId="17" numFmtId="0" xfId="0" applyAlignment="1" applyBorder="1" applyFont="1">
      <alignment readingOrder="0" shrinkToFit="0" vertical="center" wrapText="1"/>
    </xf>
    <xf borderId="1" fillId="0" fontId="18" numFmtId="0" xfId="0" applyAlignment="1" applyBorder="1" applyFont="1">
      <alignment horizontal="left" readingOrder="0" shrinkToFit="0" vertical="center" wrapText="0"/>
    </xf>
    <xf borderId="1" fillId="6" fontId="2" numFmtId="0" xfId="0" applyAlignment="1" applyBorder="1" applyFill="1" applyFont="1">
      <alignment horizontal="right" readingOrder="0" shrinkToFit="0" vertical="center" wrapText="0"/>
    </xf>
    <xf borderId="1" fillId="6" fontId="2" numFmtId="0" xfId="0" applyAlignment="1" applyBorder="1" applyFont="1">
      <alignment horizontal="left" readingOrder="0" shrinkToFit="0" vertical="center" wrapText="0"/>
    </xf>
    <xf borderId="1" fillId="6" fontId="2" numFmtId="164" xfId="0" applyAlignment="1" applyBorder="1" applyFont="1" applyNumberFormat="1">
      <alignment horizontal="right" readingOrder="0" shrinkToFit="0" vertical="center" wrapText="0"/>
    </xf>
    <xf borderId="1" fillId="6" fontId="2" numFmtId="0" xfId="0" applyAlignment="1" applyBorder="1" applyFont="1">
      <alignment readingOrder="0" shrinkToFit="0" vertical="center" wrapText="0"/>
    </xf>
    <xf borderId="1" fillId="6" fontId="2" numFmtId="164" xfId="0" applyAlignment="1" applyBorder="1" applyFont="1" applyNumberFormat="1">
      <alignment horizontal="right" readingOrder="0" shrinkToFit="0" vertical="center" wrapText="0"/>
    </xf>
    <xf borderId="1" fillId="6" fontId="2" numFmtId="0" xfId="0" applyAlignment="1" applyBorder="1" applyFont="1">
      <alignment horizontal="left" readingOrder="0" shrinkToFit="0" vertical="center" wrapText="1"/>
    </xf>
    <xf borderId="1" fillId="6" fontId="2" numFmtId="0" xfId="0" applyAlignment="1" applyBorder="1" applyFont="1">
      <alignment shrinkToFit="0" vertical="center" wrapText="0"/>
    </xf>
    <xf borderId="1" fillId="6" fontId="2" numFmtId="0" xfId="0" applyAlignment="1" applyBorder="1" applyFont="1">
      <alignment shrinkToFit="0" vertical="center" wrapText="1"/>
    </xf>
    <xf borderId="1" fillId="6" fontId="18" numFmtId="0" xfId="0" applyAlignment="1" applyBorder="1" applyFont="1">
      <alignment horizontal="left" readingOrder="0" shrinkToFit="0" vertical="center" wrapText="0"/>
    </xf>
    <xf borderId="1" fillId="6" fontId="3" numFmtId="0" xfId="0" applyAlignment="1" applyBorder="1" applyFont="1">
      <alignment readingOrder="0" shrinkToFit="0" vertical="center" wrapText="1"/>
    </xf>
    <xf borderId="1" fillId="6" fontId="2" numFmtId="0" xfId="0" applyAlignment="1" applyBorder="1" applyFont="1">
      <alignment vertical="center"/>
    </xf>
    <xf borderId="1" fillId="6" fontId="2" numFmtId="0" xfId="0" applyAlignment="1" applyBorder="1" applyFont="1">
      <alignment readingOrder="0" vertical="center"/>
    </xf>
    <xf borderId="0" fillId="6" fontId="2" numFmtId="0" xfId="0" applyAlignment="1" applyFont="1">
      <alignment vertical="center"/>
    </xf>
    <xf borderId="1" fillId="4" fontId="16" numFmtId="0" xfId="0" applyAlignment="1" applyBorder="1" applyFont="1">
      <alignment readingOrder="0" shrinkToFit="0" vertical="center" wrapText="0"/>
    </xf>
    <xf borderId="1" fillId="0" fontId="16" numFmtId="0" xfId="0" applyAlignment="1" applyBorder="1" applyFont="1">
      <alignment readingOrder="0" shrinkToFit="0" vertical="center" wrapText="0"/>
    </xf>
    <xf borderId="1" fillId="0" fontId="18" numFmtId="0" xfId="0" applyAlignment="1" applyBorder="1" applyFont="1">
      <alignment readingOrder="0" shrinkToFit="0" vertical="center" wrapText="0"/>
    </xf>
    <xf borderId="1" fillId="3" fontId="9" numFmtId="0" xfId="0" applyAlignment="1" applyBorder="1" applyFont="1">
      <alignment horizontal="left" readingOrder="0" shrinkToFit="0" vertical="center" wrapText="0"/>
    </xf>
    <xf borderId="1" fillId="3" fontId="9" numFmtId="164" xfId="0" applyAlignment="1" applyBorder="1" applyFont="1" applyNumberFormat="1">
      <alignment horizontal="right" readingOrder="0" shrinkToFit="0" vertical="center" wrapText="0"/>
    </xf>
    <xf borderId="1" fillId="0" fontId="9" numFmtId="0" xfId="0" applyAlignment="1" applyBorder="1" applyFont="1">
      <alignment horizontal="left" readingOrder="0" shrinkToFit="0" vertical="center" wrapText="0"/>
    </xf>
    <xf borderId="1" fillId="0" fontId="15" numFmtId="0" xfId="0" applyAlignment="1" applyBorder="1" applyFont="1">
      <alignment horizontal="left" readingOrder="0" shrinkToFit="0" vertical="center" wrapText="0"/>
    </xf>
    <xf borderId="1" fillId="0" fontId="15" numFmtId="0" xfId="0" applyAlignment="1" applyBorder="1" applyFont="1">
      <alignment horizontal="right" readingOrder="0" shrinkToFit="0" vertical="center" wrapText="0"/>
    </xf>
    <xf borderId="1" fillId="0" fontId="15" numFmtId="164" xfId="0" applyAlignment="1" applyBorder="1" applyFont="1" applyNumberFormat="1">
      <alignment horizontal="right" readingOrder="0" shrinkToFit="0" vertical="center" wrapText="0"/>
    </xf>
    <xf borderId="1" fillId="4" fontId="15" numFmtId="0" xfId="0" applyAlignment="1" applyBorder="1" applyFont="1">
      <alignment readingOrder="0" shrinkToFit="0" vertical="center" wrapText="0"/>
    </xf>
    <xf borderId="1" fillId="4" fontId="15" numFmtId="0" xfId="0" applyAlignment="1" applyBorder="1" applyFont="1">
      <alignment horizontal="left" readingOrder="0" shrinkToFit="0" vertical="center" wrapText="0"/>
    </xf>
    <xf borderId="1" fillId="0" fontId="15" numFmtId="0" xfId="0" applyAlignment="1" applyBorder="1" applyFont="1">
      <alignment shrinkToFit="0" vertical="center" wrapText="0"/>
    </xf>
    <xf borderId="1" fillId="3" fontId="15" numFmtId="0" xfId="0" applyAlignment="1" applyBorder="1" applyFont="1">
      <alignment readingOrder="0" shrinkToFit="0" vertical="center" wrapText="0"/>
    </xf>
    <xf borderId="1" fillId="3" fontId="15" numFmtId="0" xfId="0" applyAlignment="1" applyBorder="1" applyFont="1">
      <alignment horizontal="left" readingOrder="0" shrinkToFit="0" vertical="center" wrapText="0"/>
    </xf>
    <xf borderId="1" fillId="0" fontId="10" numFmtId="0" xfId="0" applyAlignment="1" applyBorder="1" applyFont="1">
      <alignment horizontal="left" readingOrder="0" shrinkToFit="0" vertical="center" wrapText="0"/>
    </xf>
    <xf borderId="1" fillId="0" fontId="19" numFmtId="0" xfId="0" applyAlignment="1" applyBorder="1" applyFont="1">
      <alignment horizontal="left" readingOrder="0" shrinkToFit="0" vertical="center" wrapText="0"/>
    </xf>
    <xf borderId="1" fillId="4" fontId="15" numFmtId="0" xfId="0" applyAlignment="1" applyBorder="1" applyFont="1">
      <alignment horizontal="right" readingOrder="0" shrinkToFit="0" vertical="center" wrapText="0"/>
    </xf>
    <xf borderId="1" fillId="0" fontId="15" numFmtId="0" xfId="0" applyAlignment="1" applyBorder="1" applyFont="1">
      <alignment readingOrder="0" shrinkToFit="0" vertical="center" wrapText="0"/>
    </xf>
    <xf borderId="2" fillId="0" fontId="15" numFmtId="0" xfId="0" applyAlignment="1" applyBorder="1" applyFont="1">
      <alignment horizontal="left" readingOrder="0" shrinkToFit="0" vertical="center" wrapText="0"/>
    </xf>
    <xf borderId="3" fillId="0" fontId="20" numFmtId="0" xfId="0" applyAlignment="1" applyBorder="1" applyFont="1">
      <alignment vertical="center"/>
    </xf>
    <xf borderId="4" fillId="0" fontId="20" numFmtId="0" xfId="0" applyAlignment="1" applyBorder="1" applyFont="1">
      <alignment vertical="center"/>
    </xf>
    <xf borderId="2" fillId="0" fontId="2" numFmtId="0" xfId="0" applyAlignment="1" applyBorder="1" applyFont="1">
      <alignment horizontal="left" readingOrder="0" shrinkToFit="0" vertical="center" wrapText="1"/>
    </xf>
    <xf borderId="1" fillId="3" fontId="15" numFmtId="0" xfId="0" applyAlignment="1" applyBorder="1" applyFont="1">
      <alignment horizontal="right" readingOrder="0" shrinkToFit="0" vertical="center" wrapText="0"/>
    </xf>
    <xf borderId="1" fillId="4" fontId="19" numFmtId="0" xfId="0" applyAlignment="1" applyBorder="1" applyFont="1">
      <alignment horizontal="left" readingOrder="0" shrinkToFit="0" vertical="center" wrapText="0"/>
    </xf>
    <xf borderId="1" fillId="3" fontId="5" numFmtId="164" xfId="0" applyAlignment="1" applyBorder="1" applyFont="1" applyNumberFormat="1">
      <alignment horizontal="right" readingOrder="0" shrinkToFit="0" vertical="center" wrapText="0"/>
    </xf>
    <xf borderId="1" fillId="0" fontId="15" numFmtId="0" xfId="0" applyAlignment="1" applyBorder="1" applyFont="1">
      <alignment horizontal="right" readingOrder="0" vertical="center"/>
    </xf>
    <xf borderId="1" fillId="0" fontId="15" numFmtId="0" xfId="0" applyAlignment="1" applyBorder="1" applyFont="1">
      <alignment horizontal="left" readingOrder="0" vertical="center"/>
    </xf>
    <xf borderId="1" fillId="0" fontId="15" numFmtId="164" xfId="0" applyAlignment="1" applyBorder="1" applyFont="1" applyNumberFormat="1">
      <alignment horizontal="right" readingOrder="0" vertical="center"/>
    </xf>
    <xf borderId="1" fillId="3" fontId="15" numFmtId="0" xfId="0" applyAlignment="1" applyBorder="1" applyFont="1">
      <alignment readingOrder="0" vertical="center"/>
    </xf>
    <xf borderId="1" fillId="3" fontId="15" numFmtId="0" xfId="0" applyAlignment="1" applyBorder="1" applyFont="1">
      <alignment horizontal="left" readingOrder="0" vertical="center"/>
    </xf>
    <xf borderId="1" fillId="0" fontId="15" numFmtId="0" xfId="0" applyAlignment="1" applyBorder="1" applyFont="1">
      <alignment vertical="center"/>
    </xf>
    <xf borderId="1" fillId="0" fontId="15" numFmtId="0" xfId="0" applyAlignment="1" applyBorder="1" applyFont="1">
      <alignment shrinkToFit="0" vertical="center" wrapText="1"/>
    </xf>
    <xf borderId="1" fillId="0" fontId="15" numFmtId="0" xfId="0" applyAlignment="1" applyBorder="1" applyFont="1">
      <alignment horizontal="left" readingOrder="0" shrinkToFit="0" vertical="center" wrapText="1"/>
    </xf>
    <xf borderId="1" fillId="0" fontId="15" numFmtId="0" xfId="0" applyAlignment="1" applyBorder="1" applyFont="1">
      <alignment vertical="center"/>
    </xf>
    <xf borderId="1" fillId="0" fontId="15" numFmtId="165" xfId="0" applyAlignment="1" applyBorder="1" applyFont="1" applyNumberFormat="1">
      <alignment horizontal="right" readingOrder="0" vertical="center"/>
    </xf>
    <xf borderId="1" fillId="4" fontId="15" numFmtId="0" xfId="0" applyAlignment="1" applyBorder="1" applyFont="1">
      <alignment readingOrder="0" vertical="center"/>
    </xf>
    <xf borderId="1" fillId="4" fontId="15" numFmtId="0" xfId="0" applyAlignment="1" applyBorder="1" applyFont="1">
      <alignment horizontal="left" readingOrder="0" vertical="center"/>
    </xf>
    <xf borderId="1" fillId="0" fontId="10" numFmtId="0" xfId="0" applyAlignment="1" applyBorder="1" applyFont="1">
      <alignment horizontal="left" readingOrder="0" vertical="center"/>
    </xf>
    <xf borderId="1" fillId="0" fontId="19" numFmtId="0" xfId="0" applyAlignment="1" applyBorder="1" applyFont="1">
      <alignment horizontal="left" readingOrder="0" vertical="center"/>
    </xf>
    <xf borderId="1" fillId="3" fontId="15" numFmtId="0" xfId="0" applyAlignment="1" applyBorder="1" applyFont="1">
      <alignment horizontal="right" readingOrder="0" vertical="center"/>
    </xf>
    <xf borderId="2" fillId="0" fontId="15" numFmtId="0" xfId="0" applyAlignment="1" applyBorder="1" applyFont="1">
      <alignment horizontal="left" readingOrder="0" shrinkToFit="0" vertical="center" wrapText="1"/>
    </xf>
    <xf borderId="1" fillId="0" fontId="8" numFmtId="164" xfId="0" applyAlignment="1" applyBorder="1" applyFont="1" applyNumberFormat="1">
      <alignment horizontal="right" readingOrder="0" shrinkToFit="0" vertical="center" wrapText="0"/>
    </xf>
    <xf borderId="1" fillId="0" fontId="15" numFmtId="0" xfId="0" applyAlignment="1" applyBorder="1" applyFont="1">
      <alignment readingOrder="0" vertical="center"/>
    </xf>
    <xf borderId="1" fillId="3" fontId="15" numFmtId="0" xfId="0" applyAlignment="1" applyBorder="1" applyFont="1">
      <alignment vertical="center"/>
    </xf>
    <xf borderId="1" fillId="0" fontId="15" numFmtId="0" xfId="0" applyAlignment="1" applyBorder="1" applyFont="1">
      <alignment shrinkToFit="0" vertical="center" wrapText="0"/>
    </xf>
    <xf borderId="1" fillId="3" fontId="10" numFmtId="0" xfId="0" applyAlignment="1" applyBorder="1" applyFont="1">
      <alignment horizontal="left" readingOrder="0" shrinkToFit="0" vertical="center" wrapText="0"/>
    </xf>
    <xf borderId="1" fillId="3" fontId="9" numFmtId="164" xfId="0" applyAlignment="1" applyBorder="1" applyFont="1" applyNumberFormat="1">
      <alignment horizontal="right" readingOrder="0" shrinkToFit="0" vertical="center" wrapText="0"/>
    </xf>
    <xf borderId="1" fillId="3" fontId="19" numFmtId="0" xfId="0" applyAlignment="1" applyBorder="1" applyFont="1">
      <alignment horizontal="left" readingOrder="0" shrinkToFit="0" vertical="center" wrapText="0"/>
    </xf>
    <xf borderId="1" fillId="0" fontId="2" numFmtId="0" xfId="0" applyAlignment="1" applyBorder="1" applyFont="1">
      <alignment shrinkToFit="0" vertical="center" wrapText="0"/>
    </xf>
    <xf borderId="1" fillId="0" fontId="2" numFmtId="0" xfId="0" applyAlignment="1" applyBorder="1" applyFont="1">
      <alignment horizontal="left" readingOrder="0" shrinkToFit="0" vertical="bottom" wrapText="0"/>
    </xf>
    <xf borderId="1" fillId="0" fontId="2" numFmtId="0" xfId="0" applyAlignment="1" applyBorder="1" applyFont="1">
      <alignment shrinkToFit="0" vertical="bottom" wrapText="0"/>
    </xf>
    <xf borderId="2" fillId="0" fontId="2" numFmtId="0" xfId="0" applyAlignment="1" applyBorder="1" applyFont="1">
      <alignment horizontal="left" readingOrder="0" shrinkToFit="0" vertical="center" wrapText="0"/>
    </xf>
    <xf borderId="1" fillId="0" fontId="19" numFmtId="164" xfId="0" applyAlignment="1" applyBorder="1" applyFont="1" applyNumberFormat="1">
      <alignment horizontal="right" readingOrder="0" shrinkToFit="0" vertical="center" wrapText="0"/>
    </xf>
    <xf borderId="1" fillId="0" fontId="15" numFmtId="165" xfId="0" applyAlignment="1" applyBorder="1" applyFont="1" applyNumberFormat="1">
      <alignment horizontal="right" readingOrder="0" shrinkToFit="0" vertical="center" wrapText="0"/>
    </xf>
    <xf borderId="1" fillId="4" fontId="15" numFmtId="0" xfId="0" applyAlignment="1" applyBorder="1" applyFont="1">
      <alignment shrinkToFit="0" vertical="center" wrapText="0"/>
    </xf>
    <xf borderId="1" fillId="3" fontId="15" numFmtId="0" xfId="0" applyAlignment="1" applyBorder="1" applyFont="1">
      <alignment shrinkToFit="0" vertical="center" wrapText="0"/>
    </xf>
    <xf borderId="1" fillId="0" fontId="19" numFmtId="0" xfId="0" applyAlignment="1" applyBorder="1" applyFont="1">
      <alignment readingOrder="0" shrinkToFit="0" vertical="center" wrapText="0"/>
    </xf>
    <xf borderId="1" fillId="0" fontId="19" numFmtId="165" xfId="0" applyAlignment="1" applyBorder="1" applyFont="1" applyNumberFormat="1">
      <alignment horizontal="right" readingOrder="0" shrinkToFit="0" vertical="center" wrapText="0"/>
    </xf>
    <xf borderId="1" fillId="0" fontId="15" numFmtId="164" xfId="0" applyAlignment="1" applyBorder="1" applyFont="1" applyNumberFormat="1">
      <alignment horizontal="left" readingOrder="0" shrinkToFit="0" vertical="center" wrapText="0"/>
    </xf>
    <xf borderId="1" fillId="0" fontId="15" numFmtId="0" xfId="0" applyAlignment="1" applyBorder="1" applyFont="1">
      <alignment horizontal="left" readingOrder="0" shrinkToFit="0" vertical="bottom" wrapText="0"/>
    </xf>
    <xf borderId="1" fillId="0" fontId="15" numFmtId="0" xfId="0" applyAlignment="1" applyBorder="1" applyFont="1">
      <alignment shrinkToFit="0" vertical="bottom" wrapText="0"/>
    </xf>
    <xf borderId="1" fillId="0" fontId="15" numFmtId="164" xfId="0" applyAlignment="1" applyBorder="1" applyFont="1" applyNumberFormat="1">
      <alignment horizontal="left" readingOrder="0" shrinkToFit="0" vertical="bottom" wrapText="0"/>
    </xf>
    <xf borderId="1" fillId="6" fontId="2" numFmtId="0" xfId="0" applyAlignment="1" applyBorder="1" applyFont="1">
      <alignment horizontal="left" readingOrder="0" shrinkToFit="0" vertical="center" wrapText="0"/>
    </xf>
    <xf borderId="1" fillId="6" fontId="2" numFmtId="165" xfId="0" applyAlignment="1" applyBorder="1" applyFont="1" applyNumberFormat="1">
      <alignment horizontal="right" readingOrder="0" shrinkToFit="0" vertical="center" wrapText="0"/>
    </xf>
    <xf borderId="1" fillId="6" fontId="2" numFmtId="0" xfId="0" applyAlignment="1" applyBorder="1" applyFont="1">
      <alignment shrinkToFit="0" vertical="center" wrapText="1"/>
    </xf>
    <xf borderId="1" fillId="7" fontId="2" numFmtId="0" xfId="0" applyAlignment="1" applyBorder="1" applyFill="1" applyFont="1">
      <alignment horizontal="right" readingOrder="0" shrinkToFit="0" vertical="center" wrapText="0"/>
    </xf>
    <xf borderId="1" fillId="7" fontId="2" numFmtId="0" xfId="0" applyAlignment="1" applyBorder="1" applyFont="1">
      <alignment horizontal="left" readingOrder="0" shrinkToFit="0" vertical="center" wrapText="0"/>
    </xf>
    <xf borderId="1" fillId="7" fontId="2" numFmtId="164" xfId="0" applyAlignment="1" applyBorder="1" applyFont="1" applyNumberFormat="1">
      <alignment horizontal="right" readingOrder="0" shrinkToFit="0" vertical="center" wrapText="0"/>
    </xf>
    <xf borderId="1" fillId="7" fontId="2" numFmtId="0" xfId="0" applyAlignment="1" applyBorder="1" applyFont="1">
      <alignment horizontal="left" readingOrder="0" shrinkToFit="0" vertical="center" wrapText="0"/>
    </xf>
    <xf borderId="1" fillId="7" fontId="2" numFmtId="165" xfId="0" applyAlignment="1" applyBorder="1" applyFont="1" applyNumberFormat="1">
      <alignment horizontal="right" readingOrder="0" shrinkToFit="0" vertical="center" wrapText="0"/>
    </xf>
    <xf borderId="1" fillId="7" fontId="2" numFmtId="0" xfId="0" applyAlignment="1" applyBorder="1" applyFont="1">
      <alignment shrinkToFit="0" vertical="center" wrapText="1"/>
    </xf>
    <xf borderId="1" fillId="7" fontId="2" numFmtId="0" xfId="0" applyAlignment="1" applyBorder="1" applyFont="1">
      <alignment shrinkToFit="0" vertical="center" wrapText="0"/>
    </xf>
    <xf borderId="1" fillId="7" fontId="2" numFmtId="0" xfId="0" applyAlignment="1" applyBorder="1" applyFont="1">
      <alignment shrinkToFit="0" vertical="center" wrapText="1"/>
    </xf>
    <xf borderId="1" fillId="7" fontId="2" numFmtId="0" xfId="0" applyAlignment="1" applyBorder="1" applyFont="1">
      <alignment vertical="center"/>
    </xf>
    <xf borderId="1" fillId="3" fontId="2" numFmtId="167" xfId="0" applyAlignment="1" applyBorder="1" applyFont="1" applyNumberFormat="1">
      <alignment horizontal="left" readingOrder="0" shrinkToFit="0" vertical="center" wrapText="0"/>
    </xf>
    <xf borderId="1" fillId="8" fontId="2" numFmtId="0" xfId="0" applyAlignment="1" applyBorder="1" applyFill="1" applyFont="1">
      <alignment horizontal="right" readingOrder="0" shrinkToFit="0" vertical="center" wrapText="0"/>
    </xf>
    <xf borderId="1" fillId="8" fontId="2" numFmtId="0" xfId="0" applyAlignment="1" applyBorder="1" applyFont="1">
      <alignment horizontal="left" readingOrder="0" shrinkToFit="0" vertical="center" wrapText="0"/>
    </xf>
    <xf borderId="1" fillId="8" fontId="2" numFmtId="164" xfId="0" applyAlignment="1" applyBorder="1" applyFont="1" applyNumberFormat="1">
      <alignment horizontal="right" readingOrder="0" shrinkToFit="0" vertical="center" wrapText="0"/>
    </xf>
    <xf borderId="1" fillId="8" fontId="2" numFmtId="0" xfId="0" applyAlignment="1" applyBorder="1" applyFont="1">
      <alignment horizontal="left" readingOrder="0" shrinkToFit="0" vertical="center" wrapText="0"/>
    </xf>
    <xf borderId="1" fillId="8" fontId="2" numFmtId="165" xfId="0" applyAlignment="1" applyBorder="1" applyFont="1" applyNumberFormat="1">
      <alignment horizontal="right" readingOrder="0" shrinkToFit="0" vertical="center" wrapText="0"/>
    </xf>
    <xf borderId="1" fillId="8" fontId="2" numFmtId="0" xfId="0" applyAlignment="1" applyBorder="1" applyFont="1">
      <alignment shrinkToFit="0" vertical="center" wrapText="1"/>
    </xf>
    <xf borderId="1" fillId="8" fontId="2" numFmtId="0" xfId="0" applyAlignment="1" applyBorder="1" applyFont="1">
      <alignment shrinkToFit="0" vertical="center" wrapText="0"/>
    </xf>
    <xf borderId="1" fillId="8" fontId="2" numFmtId="0" xfId="0" applyAlignment="1" applyBorder="1" applyFont="1">
      <alignment shrinkToFit="0" vertical="center" wrapText="1"/>
    </xf>
    <xf borderId="1" fillId="8" fontId="2" numFmtId="0" xfId="0" applyAlignment="1" applyBorder="1" applyFont="1">
      <alignment vertical="center"/>
    </xf>
    <xf borderId="1" fillId="0" fontId="2" numFmtId="0" xfId="0" applyAlignment="1" applyBorder="1" applyFont="1">
      <alignment vertical="center"/>
    </xf>
    <xf borderId="1" fillId="3" fontId="2" numFmtId="20" xfId="0" applyAlignment="1" applyBorder="1" applyFont="1" applyNumberFormat="1">
      <alignment horizontal="left" readingOrder="0" shrinkToFit="0" vertical="center" wrapText="0"/>
    </xf>
    <xf borderId="1" fillId="9" fontId="21" numFmtId="0" xfId="0" applyAlignment="1" applyBorder="1" applyFill="1" applyFont="1">
      <alignment readingOrder="0" vertical="center"/>
    </xf>
    <xf borderId="1" fillId="0" fontId="3" numFmtId="0" xfId="0" applyAlignment="1" applyBorder="1" applyFont="1">
      <alignment readingOrder="0" vertical="center"/>
    </xf>
    <xf borderId="5" fillId="0" fontId="3" numFmtId="0" xfId="0" applyAlignment="1" applyBorder="1" applyFont="1">
      <alignment readingOrder="0" vertical="center"/>
    </xf>
    <xf borderId="1" fillId="0" fontId="22" numFmtId="0" xfId="0" applyAlignment="1" applyBorder="1" applyFont="1">
      <alignment readingOrder="0" vertical="center"/>
    </xf>
    <xf borderId="6" fillId="0" fontId="20" numFmtId="0" xfId="0" applyAlignment="1" applyBorder="1" applyFont="1">
      <alignment vertical="center"/>
    </xf>
    <xf borderId="7" fillId="0" fontId="20"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Fl9JBFlNq9SaVhvS-U7nCPFnM3peFwpmCPG63ZNIrLw/edit?gid=858694027" TargetMode="External"/><Relationship Id="rId2" Type="http://schemas.openxmlformats.org/officeDocument/2006/relationships/hyperlink" Target="https://docs.google.com/spreadsheets/d/1aBL1EFCYI3L4NsNNEMIXg1-RkOLZp9sWhQnoDoBFugs/edit?gid=141197400" TargetMode="External"/><Relationship Id="rId3" Type="http://schemas.openxmlformats.org/officeDocument/2006/relationships/hyperlink" Target="https://docs.google.com/spreadsheets/d/1RiFMPZQL4dseiAkZT9TWBu8l4C0FSUFR-J9h8vkyOMI/edit?gid=1867082411" TargetMode="External"/><Relationship Id="rId4" Type="http://schemas.openxmlformats.org/officeDocument/2006/relationships/hyperlink" Target="https://docs.google.com/spreadsheets/d/13BVFaNdT-3mtPgkXYE77idBj1yBO3SRqceftAiqpa90/edit?gid=1847426721" TargetMode="External"/><Relationship Id="rId10" Type="http://schemas.openxmlformats.org/officeDocument/2006/relationships/drawing" Target="../drawings/drawing2.xml"/><Relationship Id="rId9" Type="http://schemas.openxmlformats.org/officeDocument/2006/relationships/hyperlink" Target="https://docs.google.com/spreadsheets/u/0/d/1ApvwaWqHr-O5YzaY3OqeGctt0GvSD9K_fCInmSEvtMU/edit" TargetMode="External"/><Relationship Id="rId5" Type="http://schemas.openxmlformats.org/officeDocument/2006/relationships/hyperlink" Target="https://docs.google.com/spreadsheets/d/1l6c6dCiNiftm4i7cXaxL-RY6JugbrCYBYKGNhtGGBBk/edit?gid=655303226" TargetMode="External"/><Relationship Id="rId6" Type="http://schemas.openxmlformats.org/officeDocument/2006/relationships/hyperlink" Target="https://docs.google.com/spreadsheets/d/12XKTL2DFl0WlpyxbBx2okPuiO6ohE-fxAJZfYfweoZU/edit?gid=858694027" TargetMode="External"/><Relationship Id="rId7" Type="http://schemas.openxmlformats.org/officeDocument/2006/relationships/hyperlink" Target="https://docs.google.com/spreadsheets/d/1llTEJe9ezGSpqx_pnQzBe__9cGeqNPpy_YOw31T_jbI/edit?gid=1139345318" TargetMode="External"/><Relationship Id="rId8" Type="http://schemas.openxmlformats.org/officeDocument/2006/relationships/hyperlink" Target="https://docs.google.com/spreadsheets/d/1JwU_MzpIpOo6OapHxTHDBnMWJaULK7zjSHXrhbRA94Q/edit?gid=97539470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1" width="9.71"/>
    <col customWidth="1" min="2" max="2" width="5.29"/>
    <col customWidth="1" min="3" max="4" width="14.43"/>
    <col customWidth="1" min="5" max="5" width="10.43"/>
    <col customWidth="1" min="6" max="6" width="41.29"/>
    <col customWidth="1" min="7" max="7" width="9.57"/>
    <col customWidth="1" min="8" max="8" width="17.71"/>
    <col customWidth="1" min="9" max="9" width="14.29"/>
    <col customWidth="1" min="10" max="10" width="11.86"/>
    <col customWidth="1" min="11" max="12" width="28.14"/>
    <col customWidth="1" min="13" max="13" width="17.43"/>
    <col customWidth="1" min="14" max="14" width="17.71"/>
    <col customWidth="1" min="15" max="15" width="15.86"/>
    <col customWidth="1" min="16" max="16" width="45.29"/>
    <col customWidth="1" min="17" max="17" width="12.29"/>
    <col customWidth="1" min="18" max="18" width="43.57"/>
    <col customWidth="1" min="19" max="19" width="9.0"/>
    <col customWidth="1" min="20" max="20" width="47.14"/>
    <col customWidth="1" min="21" max="21" width="49.43"/>
    <col customWidth="1" min="22" max="22" width="31.14"/>
    <col customWidth="1" min="23" max="23" width="12.14"/>
    <col customWidth="1" min="24" max="24" width="38.71"/>
    <col customWidth="1" min="25" max="25" width="67.29"/>
    <col customWidth="1" min="26" max="28" width="8.71"/>
  </cols>
  <sheetData>
    <row r="1">
      <c r="A1" s="1" t="str">
        <f>IFERROR(__xludf.DUMMYFUNCTION("importrange(""1nNiKLJiL3IDXOLFC1ErCMYoOVseBAskldy4agSsEu68"",""★列追加の場合は増渕まで★!a:ab"")"),"CMSID")</f>
        <v>CMSID</v>
      </c>
      <c r="B1" s="2" t="str">
        <f>IFERROR(__xludf.DUMMYFUNCTION("""COMPUTED_VALUE"""),"変更区分")</f>
        <v>変更区分</v>
      </c>
      <c r="C1" s="3" t="str">
        <f>IFERROR(__xludf.DUMMYFUNCTION("""COMPUTED_VALUE"""),"記入日")</f>
        <v>記入日</v>
      </c>
      <c r="D1" s="3" t="str">
        <f>IFERROR(__xludf.DUMMYFUNCTION("""COMPUTED_VALUE"""),"更新日")</f>
        <v>更新日</v>
      </c>
      <c r="E1" s="4" t="str">
        <f>IFERROR(__xludf.DUMMYFUNCTION("""COMPUTED_VALUE"""),"タイトルID")</f>
        <v>タイトルID</v>
      </c>
      <c r="F1" s="2" t="str">
        <f>IFERROR(__xludf.DUMMYFUNCTION("""COMPUTED_VALUE"""),"タイトル名")</f>
        <v>タイトル名</v>
      </c>
      <c r="G1" s="5" t="str">
        <f>IFERROR(__xludf.DUMMYFUNCTION("""COMPUTED_VALUE"""),"巻数")</f>
        <v>巻数</v>
      </c>
      <c r="H1" s="4" t="str">
        <f>IFERROR(__xludf.DUMMYFUNCTION("""COMPUTED_VALUE"""),"作家名")</f>
        <v>作家名</v>
      </c>
      <c r="I1" s="4" t="str">
        <f>IFERROR(__xludf.DUMMYFUNCTION("""COMPUTED_VALUE"""),"ジャンル")</f>
        <v>ジャンル</v>
      </c>
      <c r="J1" s="1" t="str">
        <f>IFERROR(__xludf.DUMMYFUNCTION("""COMPUTED_VALUE"""),"R18フラグ(TL、BL)")</f>
        <v>R18フラグ(TL、BL)</v>
      </c>
      <c r="K1" s="1" t="str">
        <f>IFERROR(__xludf.DUMMYFUNCTION("""COMPUTED_VALUE"""),"レーベル名")</f>
        <v>レーベル名</v>
      </c>
      <c r="L1" s="4" t="str">
        <f>IFERROR(__xludf.DUMMYFUNCTION("""COMPUTED_VALUE"""),"出版社")</f>
        <v>出版社</v>
      </c>
      <c r="M1" s="6" t="str">
        <f>IFERROR(__xludf.DUMMYFUNCTION("""COMPUTED_VALUE"""),"先行開始日")</f>
        <v>先行開始日</v>
      </c>
      <c r="N1" s="6" t="str">
        <f>IFERROR(__xludf.DUMMYFUNCTION("""COMPUTED_VALUE"""),"先行終了日")</f>
        <v>先行終了日</v>
      </c>
      <c r="O1" s="5" t="str">
        <f>IFERROR(__xludf.DUMMYFUNCTION("""COMPUTED_VALUE"""),"アダルト作品扱い")</f>
        <v>アダルト作品扱い</v>
      </c>
      <c r="P1" s="2" t="str">
        <f>IFERROR(__xludf.DUMMYFUNCTION("""COMPUTED_VALUE"""),"アダルト媒体での出稿可否")</f>
        <v>アダルト媒体での出稿可否</v>
      </c>
      <c r="Q1" s="1" t="str">
        <f>IFERROR(__xludf.DUMMYFUNCTION("""COMPUTED_VALUE"""),"作品備考")</f>
        <v>作品備考</v>
      </c>
      <c r="R1" s="2" t="str">
        <f>IFERROR(__xludf.DUMMYFUNCTION("""COMPUTED_VALUE"""),"コミット")</f>
        <v>コミット</v>
      </c>
      <c r="S1" s="4" t="str">
        <f>IFERROR(__xludf.DUMMYFUNCTION("""COMPUTED_VALUE"""),"素材フォルダパス")</f>
        <v>素材フォルダパス</v>
      </c>
      <c r="T1" s="2" t="str">
        <f>IFERROR(__xludf.DUMMYFUNCTION("""COMPUTED_VALUE"""),"素材ステータス")</f>
        <v>素材ステータス</v>
      </c>
      <c r="U1" s="2" t="str">
        <f>IFERROR(__xludf.DUMMYFUNCTION("""COMPUTED_VALUE"""),"コピーライト")</f>
        <v>コピーライト</v>
      </c>
      <c r="V1" s="2" t="str">
        <f>IFERROR(__xludf.DUMMYFUNCTION("""COMPUTED_VALUE"""),"タイトル詳細文")</f>
        <v>タイトル詳細文</v>
      </c>
      <c r="W1" s="2" t="str">
        <f>IFERROR(__xludf.DUMMYFUNCTION("""COMPUTED_VALUE"""),"書影")</f>
        <v>書影</v>
      </c>
      <c r="X1" s="2" t="str">
        <f>IFERROR(__xludf.DUMMYFUNCTION("""COMPUTED_VALUE"""),"試し読み有無")</f>
        <v>試し読み有無</v>
      </c>
      <c r="Y1" s="4" t="str">
        <f>IFERROR(__xludf.DUMMYFUNCTION("""COMPUTED_VALUE"""),"試し読み範囲")</f>
        <v>試し読み範囲</v>
      </c>
      <c r="Z1" s="7"/>
      <c r="AA1" s="7"/>
      <c r="AB1" s="7"/>
    </row>
    <row r="2">
      <c r="A2" s="8">
        <f>IFERROR(__xludf.DUMMYFUNCTION("""COMPUTED_VALUE"""),1611.0)</f>
        <v>1611</v>
      </c>
      <c r="B2" s="9" t="str">
        <f>IFERROR(__xludf.DUMMYFUNCTION("""COMPUTED_VALUE"""),"確定")</f>
        <v>確定</v>
      </c>
      <c r="C2" s="10">
        <f>IFERROR(__xludf.DUMMYFUNCTION("""COMPUTED_VALUE"""),44917.0)</f>
        <v>44917</v>
      </c>
      <c r="D2" s="10">
        <f>IFERROR(__xludf.DUMMYFUNCTION("""COMPUTED_VALUE"""),44918.0)</f>
        <v>44918</v>
      </c>
      <c r="E2" s="8"/>
      <c r="F2" s="9" t="str">
        <f>IFERROR(__xludf.DUMMYFUNCTION("""COMPUTED_VALUE"""),"佐伯先生なんて、好きじゃない。")</f>
        <v>佐伯先生なんて、好きじゃない。</v>
      </c>
      <c r="G2" s="11" t="str">
        <f>IFERROR(__xludf.DUMMYFUNCTION("""COMPUTED_VALUE"""),"1～4")</f>
        <v>1～4</v>
      </c>
      <c r="H2" s="8" t="str">
        <f>IFERROR(__xludf.DUMMYFUNCTION("""COMPUTED_VALUE"""),"桂実")</f>
        <v>桂実</v>
      </c>
      <c r="I2" s="8" t="str">
        <f>IFERROR(__xludf.DUMMYFUNCTION("""COMPUTED_VALUE"""),"女性")</f>
        <v>女性</v>
      </c>
      <c r="J2" s="8"/>
      <c r="K2" s="8"/>
      <c r="L2" s="8"/>
      <c r="M2" s="12">
        <f>IFERROR(__xludf.DUMMYFUNCTION("""COMPUTED_VALUE"""),44589.0)</f>
        <v>44589</v>
      </c>
      <c r="N2" s="12">
        <f>IFERROR(__xludf.DUMMYFUNCTION("""COMPUTED_VALUE"""),44987.0)</f>
        <v>44987</v>
      </c>
      <c r="O2" s="11"/>
      <c r="P2" s="9" t="str">
        <f>IFERROR(__xludf.DUMMYFUNCTION("""COMPUTED_VALUE"""),"可")</f>
        <v>可</v>
      </c>
      <c r="Q2" s="8"/>
      <c r="R2" s="9"/>
      <c r="S2" s="8" t="str">
        <f>IFERROR(__xludf.DUMMYFUNCTION("""COMPUTED_VALUE"""),"20221222_ファンギルド_佐伯先生なんて、好きじゃない。")</f>
        <v>20221222_ファンギルド_佐伯先生なんて、好きじゃない。</v>
      </c>
      <c r="T2" s="9"/>
      <c r="U2" s="9" t="str">
        <f>IFERROR(__xludf.DUMMYFUNCTION("""COMPUTED_VALUE"""),"Ⓒ桂実/ファンギルド")</f>
        <v>Ⓒ桂実/ファンギルド</v>
      </c>
      <c r="V2" s="8" t="str">
        <f>IFERROR(__xludf.DUMMYFUNCTION("""COMPUTED_VALUE"""),"私、小鳥遊花（16）は数学教師の佐伯先生に恋してます…！優しくて、スマートで、かっこよくて…先生ともっと仲良くなりたい―――そんなある日、先生に婚約者がいることがわかって…！？あきらめるくらいなら、もういっそ想いを伝えてしまいたい…「せんせ…私、先生が好き…です――」「…ふーん、いいよ。付き合ってやるよ、二番目でよければ」「俺、君みたいな能天気、ほんと嫌いなんだよね」佐伯先生の本性は…イジワル腹黒…！？！こんな先生なんか、大っ嫌い…！！なはずなのに、どうしてほっとけないの――…甘酸っぱくて、ほろ苦い…ちょ"&amp;"っぴり大人の階段を上る生徒と教師の禁断ラブコメ！！")</f>
        <v>私、小鳥遊花（16）は数学教師の佐伯先生に恋してます…！優しくて、スマートで、かっこよくて…先生ともっと仲良くなりたい―――そんなある日、先生に婚約者がいることがわかって…！？あきらめるくらいなら、もういっそ想いを伝えてしまいたい…「せんせ…私、先生が好き…です――」「…ふーん、いいよ。付き合ってやるよ、二番目でよければ」「俺、君みたいな能天気、ほんと嫌いなんだよね」佐伯先生の本性は…イジワル腹黒…！？！こんな先生なんか、大っ嫌い…！！なはずなのに、どうしてほっとけないの――…甘酸っぱくて、ほろ苦い…ちょっぴり大人の階段を上る生徒と教師の禁断ラブコメ！！</v>
      </c>
      <c r="W2" s="8"/>
      <c r="X2" s="8" t="str">
        <f>IFERROR(__xludf.DUMMYFUNCTION("""COMPUTED_VALUE"""),"有")</f>
        <v>有</v>
      </c>
      <c r="Y2" s="8" t="str">
        <f>IFERROR(__xludf.DUMMYFUNCTION("""COMPUTED_VALUE"""),"１巻目無料")</f>
        <v>１巻目無料</v>
      </c>
      <c r="Z2" s="7"/>
      <c r="AA2" s="7"/>
      <c r="AB2" s="7"/>
    </row>
    <row r="3">
      <c r="A3" s="8">
        <f>IFERROR(__xludf.DUMMYFUNCTION("""COMPUTED_VALUE"""),1567.0)</f>
        <v>1567</v>
      </c>
      <c r="B3" s="9" t="str">
        <f>IFERROR(__xludf.DUMMYFUNCTION("""COMPUTED_VALUE"""),"確定")</f>
        <v>確定</v>
      </c>
      <c r="C3" s="10">
        <f>IFERROR(__xludf.DUMMYFUNCTION("""COMPUTED_VALUE"""),44895.0)</f>
        <v>44895</v>
      </c>
      <c r="D3" s="10">
        <f>IFERROR(__xludf.DUMMYFUNCTION("""COMPUTED_VALUE"""),44945.0)</f>
        <v>44945</v>
      </c>
      <c r="E3" s="8">
        <f>IFERROR(__xludf.DUMMYFUNCTION("""COMPUTED_VALUE"""),262237.0)</f>
        <v>262237</v>
      </c>
      <c r="F3" s="13" t="str">
        <f>IFERROR(__xludf.DUMMYFUNCTION("""COMPUTED_VALUE"""),"鬼の戀 単話版")</f>
        <v>鬼の戀 単話版</v>
      </c>
      <c r="G3" s="11" t="str">
        <f>IFERROR(__xludf.DUMMYFUNCTION("""COMPUTED_VALUE"""),"1~5")</f>
        <v>1~5</v>
      </c>
      <c r="H3" s="8" t="str">
        <f>IFERROR(__xludf.DUMMYFUNCTION("""COMPUTED_VALUE"""),"桜田霊子（作画）、香乃子（原作）")</f>
        <v>桜田霊子（作画）、香乃子（原作）</v>
      </c>
      <c r="I3" s="14" t="str">
        <f>IFERROR(__xludf.DUMMYFUNCTION("""COMPUTED_VALUE"""),"少女")</f>
        <v>少女</v>
      </c>
      <c r="J3" s="8"/>
      <c r="K3" s="8"/>
      <c r="L3" s="8" t="str">
        <f>IFERROR(__xludf.DUMMYFUNCTION("""COMPUTED_VALUE"""),"スターツ出版")</f>
        <v>スターツ出版</v>
      </c>
      <c r="M3" s="12">
        <f>IFERROR(__xludf.DUMMYFUNCTION("""COMPUTED_VALUE"""),44602.0)</f>
        <v>44602</v>
      </c>
      <c r="N3" s="12" t="str">
        <f>IFERROR(__xludf.DUMMYFUNCTION("""COMPUTED_VALUE"""),"未定")</f>
        <v>未定</v>
      </c>
      <c r="O3" s="11"/>
      <c r="P3" s="9" t="str">
        <f>IFERROR(__xludf.DUMMYFUNCTION("""COMPUTED_VALUE"""),"可")</f>
        <v>可</v>
      </c>
      <c r="Q3" s="8" t="str">
        <f>IFERROR(__xludf.DUMMYFUNCTION("""COMPUTED_VALUE"""),"広告コミットOK（12/2）")</f>
        <v>広告コミットOK（12/2）</v>
      </c>
      <c r="R3" s="9"/>
      <c r="S3" s="8" t="str">
        <f>IFERROR(__xludf.DUMMYFUNCTION("""COMPUTED_VALUE"""),"20230119_スターツ出版_黒崎君は独占したがる")</f>
        <v>20230119_スターツ出版_黒崎君は独占したがる</v>
      </c>
      <c r="T3" s="9"/>
      <c r="U3" s="9" t="str">
        <f>IFERROR(__xludf.DUMMYFUNCTION("""COMPUTED_VALUE"""),"©桜田霊子・香乃子/スターツ出版")</f>
        <v>©桜田霊子・香乃子/スターツ出版</v>
      </c>
      <c r="V3" s="8" t="str">
        <f>IFERROR(__xludf.DUMMYFUNCTION("""COMPUTED_VALUE"""),"「モカが欲しい――」
女嫌いのモテ男が唯一、独占欲を見せる相手は……前の席の地味子!?
◆◆◆
平凡な高校生・モカの後ろの席に座っている男子・黒崎くんは、サッカー部の主将で近隣の学校にもファンクラブがあるほどの人気者。黒崎くんに群がる女の子たちのせいでモカは自分の席に座れないことも多くて……。そんな黒崎くんと学校の旧図書館で合ったことをきっかけに急接近したモカ。 女嫌いで女の子たちを全く相手にしない不愛想な黒崎くんなのに、モカには明るい笑顔をみせたり、彼女になる？と聞いてきたり別人みたいで――!? (この"&amp;"作品は電子コミック誌noicomi vol.80に収録されています。重複購入にご注意ください)")</f>
        <v>「モカが欲しい――」
女嫌いのモテ男が唯一、独占欲を見せる相手は……前の席の地味子!?
◆◆◆
平凡な高校生・モカの後ろの席に座っている男子・黒崎くんは、サッカー部の主将で近隣の学校にもファンクラブがあるほどの人気者。黒崎くんに群がる女の子たちのせいでモカは自分の席に座れないことも多くて……。そんな黒崎くんと学校の旧図書館で合ったことをきっかけに急接近したモカ。 女嫌いで女の子たちを全く相手にしない不愛想な黒崎くんなのに、モカには明るい笑顔をみせたり、彼女になる？と聞いてきたり別人みたいで――!? (この作品は電子コミック誌noicomi vol.80に収録されています。重複購入にご注意ください)</v>
      </c>
      <c r="W3" s="8"/>
      <c r="X3" s="8" t="str">
        <f>IFERROR(__xludf.DUMMYFUNCTION("""COMPUTED_VALUE"""),"有")</f>
        <v>有</v>
      </c>
      <c r="Y3" s="8" t="str">
        <f>IFERROR(__xludf.DUMMYFUNCTION("""COMPUTED_VALUE"""),"１巻目無料")</f>
        <v>１巻目無料</v>
      </c>
      <c r="Z3" s="7"/>
      <c r="AA3" s="7"/>
      <c r="AB3" s="7"/>
    </row>
    <row r="4">
      <c r="A4" s="8">
        <f>IFERROR(__xludf.DUMMYFUNCTION("""COMPUTED_VALUE"""),1388.0)</f>
        <v>1388</v>
      </c>
      <c r="B4" s="9" t="str">
        <f>IFERROR(__xludf.DUMMYFUNCTION("""COMPUTED_VALUE"""),"確定")</f>
        <v>確定</v>
      </c>
      <c r="C4" s="10">
        <f>IFERROR(__xludf.DUMMYFUNCTION("""COMPUTED_VALUE"""),44809.0)</f>
        <v>44809</v>
      </c>
      <c r="D4" s="10">
        <f>IFERROR(__xludf.DUMMYFUNCTION("""COMPUTED_VALUE"""),44901.0)</f>
        <v>44901</v>
      </c>
      <c r="E4" s="8">
        <f>IFERROR(__xludf.DUMMYFUNCTION("""COMPUTED_VALUE"""),258243.0)</f>
        <v>258243</v>
      </c>
      <c r="F4" s="9" t="str">
        <f>IFERROR(__xludf.DUMMYFUNCTION("""COMPUTED_VALUE"""),"ディスタンス！")</f>
        <v>ディスタンス！</v>
      </c>
      <c r="G4" s="11" t="str">
        <f>IFERROR(__xludf.DUMMYFUNCTION("""COMPUTED_VALUE"""),"1～2")</f>
        <v>1～2</v>
      </c>
      <c r="H4" s="8" t="str">
        <f>IFERROR(__xludf.DUMMYFUNCTION("""COMPUTED_VALUE"""),"久松ゆのみ┴青木健生")</f>
        <v>久松ゆのみ┴青木健生</v>
      </c>
      <c r="I4" s="14" t="str">
        <f>IFERROR(__xludf.DUMMYFUNCTION("""COMPUTED_VALUE"""),"青年")</f>
        <v>青年</v>
      </c>
      <c r="J4" s="8"/>
      <c r="K4" s="8"/>
      <c r="L4" s="8" t="str">
        <f>IFERROR(__xludf.DUMMYFUNCTION("""COMPUTED_VALUE"""),"MUGENUP")</f>
        <v>MUGENUP</v>
      </c>
      <c r="M4" s="12">
        <f>IFERROR(__xludf.DUMMYFUNCTION("""COMPUTED_VALUE"""),44898.0)</f>
        <v>44898</v>
      </c>
      <c r="N4" s="12">
        <f>IFERROR(__xludf.DUMMYFUNCTION("""COMPUTED_VALUE"""),44987.0)</f>
        <v>44987</v>
      </c>
      <c r="O4" s="11"/>
      <c r="P4" s="9" t="str">
        <f>IFERROR(__xludf.DUMMYFUNCTION("""COMPUTED_VALUE"""),"否")</f>
        <v>否</v>
      </c>
      <c r="Q4" s="8" t="str">
        <f>IFERROR(__xludf.DUMMYFUNCTION("""COMPUTED_VALUE"""),"広告コミットOK（9/2）&lt;BR&gt;")</f>
        <v>広告コミットOK（9/2）&lt;BR&gt;</v>
      </c>
      <c r="R4" s="9"/>
      <c r="S4" s="8" t="str">
        <f>IFERROR(__xludf.DUMMYFUNCTION("""COMPUTED_VALUE"""),"20220913_MUGENUP")</f>
        <v>20220913_MUGENUP</v>
      </c>
      <c r="T4" s="9"/>
      <c r="U4" s="9" t="str">
        <f>IFERROR(__xludf.DUMMYFUNCTION("""COMPUTED_VALUE"""),"©久松ゆのみ・青木健生／MUGENUP")</f>
        <v>©久松ゆのみ・青木健生／MUGENUP</v>
      </c>
      <c r="V4" s="8" t="str">
        <f>IFERROR(__xludf.DUMMYFUNCTION("""COMPUTED_VALUE"""),"【緊急事態宣言×ラブコメ＝ニューノーマルエロス!!】
入社以来憧れていた千華と付き合うことになった悟(25)。
甘いオフィスラブ生活を送る彼だったが、新型ウイルスのパンデミックによって二人の距離は引き裂かれてしまう。
オンラインで愛を確かめ合う二人はエスカレートしていき……!?")</f>
        <v>【緊急事態宣言×ラブコメ＝ニューノーマルエロス!!】
入社以来憧れていた千華と付き合うことになった悟(25)。
甘いオフィスラブ生活を送る彼だったが、新型ウイルスのパンデミックによって二人の距離は引き裂かれてしまう。
オンラインで愛を確かめ合う二人はエスカレートしていき……!?</v>
      </c>
      <c r="W4" s="8"/>
      <c r="X4" s="8"/>
      <c r="Y4" s="8"/>
      <c r="Z4" s="7"/>
      <c r="AA4" s="7"/>
      <c r="AB4" s="7"/>
    </row>
    <row r="5">
      <c r="A5" s="8">
        <f>IFERROR(__xludf.DUMMYFUNCTION("""COMPUTED_VALUE"""),1592.0)</f>
        <v>1592</v>
      </c>
      <c r="B5" s="9" t="str">
        <f>IFERROR(__xludf.DUMMYFUNCTION("""COMPUTED_VALUE"""),"確定")</f>
        <v>確定</v>
      </c>
      <c r="C5" s="10">
        <f>IFERROR(__xludf.DUMMYFUNCTION("""COMPUTED_VALUE"""),44909.0)</f>
        <v>44909</v>
      </c>
      <c r="D5" s="10">
        <f>IFERROR(__xludf.DUMMYFUNCTION("""COMPUTED_VALUE"""),44909.0)</f>
        <v>44909</v>
      </c>
      <c r="E5" s="8">
        <f>IFERROR(__xludf.DUMMYFUNCTION("""COMPUTED_VALUE"""),246969.0)</f>
        <v>246969</v>
      </c>
      <c r="F5" s="9" t="str">
        <f>IFERROR(__xludf.DUMMYFUNCTION("""COMPUTED_VALUE"""),"かわいい親友は、時々オトコ。")</f>
        <v>かわいい親友は、時々オトコ。</v>
      </c>
      <c r="G5" s="11" t="str">
        <f>IFERROR(__xludf.DUMMYFUNCTION("""COMPUTED_VALUE"""),"1～3")</f>
        <v>1～3</v>
      </c>
      <c r="H5" s="8" t="str">
        <f>IFERROR(__xludf.DUMMYFUNCTION("""COMPUTED_VALUE"""),"藍川")</f>
        <v>藍川</v>
      </c>
      <c r="I5" s="14" t="str">
        <f>IFERROR(__xludf.DUMMYFUNCTION("""COMPUTED_VALUE"""),"TL")</f>
        <v>TL</v>
      </c>
      <c r="J5" s="8"/>
      <c r="K5" s="8"/>
      <c r="L5" s="8" t="str">
        <f>IFERROR(__xludf.DUMMYFUNCTION("""COMPUTED_VALUE"""),"ソルマーレ編集部")</f>
        <v>ソルマーレ編集部</v>
      </c>
      <c r="M5" s="12">
        <f>IFERROR(__xludf.DUMMYFUNCTION("""COMPUTED_VALUE"""),44898.0)</f>
        <v>44898</v>
      </c>
      <c r="N5" s="12">
        <f>IFERROR(__xludf.DUMMYFUNCTION("""COMPUTED_VALUE"""),44959.0)</f>
        <v>44959</v>
      </c>
      <c r="O5" s="11"/>
      <c r="P5" s="9" t="str">
        <f>IFERROR(__xludf.DUMMYFUNCTION("""COMPUTED_VALUE"""),"可")</f>
        <v>可</v>
      </c>
      <c r="Q5" s="8"/>
      <c r="R5" s="9"/>
      <c r="S5" s="8" t="str">
        <f>IFERROR(__xludf.DUMMYFUNCTION("""COMPUTED_VALUE"""),"20221214_ソルマーレ編集部_かわいい親友は、時々オトコ。")</f>
        <v>20221214_ソルマーレ編集部_かわいい親友は、時々オトコ。</v>
      </c>
      <c r="T5" s="15"/>
      <c r="U5" s="9" t="str">
        <f>IFERROR(__xludf.DUMMYFUNCTION("""COMPUTED_VALUE"""),"© 藍川/シーモアコミックス")</f>
        <v>© 藍川/シーモアコミックス</v>
      </c>
      <c r="V5" s="8" t="str">
        <f>IFERROR(__xludf.DUMMYFUNCTION("""COMPUTED_VALUE"""),"「胸だけでこんな濡れちゃってるね」
ネイリストで恋バナも毎日聞くのに、恋愛経験ゼロの真白。そんな真白と暮らすのは、死ぬほどかわいい天使のような…男の娘・おみ。オシャレ好きな二人は完全に女の子同士として楽しく暮らしていた―――はずなのに！真白が合コンに参加した夜、おみが男の姿で現れ真白に濃厚なキス、そして敏感な場所を舌でイジりだし…気持ちよくておかしくなりそう―――【桃色日記】")</f>
        <v>「胸だけでこんな濡れちゃってるね」
ネイリストで恋バナも毎日聞くのに、恋愛経験ゼロの真白。そんな真白と暮らすのは、死ぬほどかわいい天使のような…男の娘・おみ。オシャレ好きな二人は完全に女の子同士として楽しく暮らしていた―――はずなのに！真白が合コンに参加した夜、おみが男の姿で現れ真白に濃厚なキス、そして敏感な場所を舌でイジりだし…気持ちよくておかしくなりそう―――【桃色日記】</v>
      </c>
      <c r="W5" s="8"/>
      <c r="X5" s="8"/>
      <c r="Y5" s="8"/>
      <c r="Z5" s="7"/>
      <c r="AA5" s="7"/>
      <c r="AB5" s="7"/>
    </row>
    <row r="6">
      <c r="A6" s="8">
        <f>IFERROR(__xludf.DUMMYFUNCTION("""COMPUTED_VALUE"""),1476.0)</f>
        <v>1476</v>
      </c>
      <c r="B6" s="9" t="str">
        <f>IFERROR(__xludf.DUMMYFUNCTION("""COMPUTED_VALUE"""),"確定")</f>
        <v>確定</v>
      </c>
      <c r="C6" s="10">
        <f>IFERROR(__xludf.DUMMYFUNCTION("""COMPUTED_VALUE"""),44859.0)</f>
        <v>44859</v>
      </c>
      <c r="D6" s="10">
        <f>IFERROR(__xludf.DUMMYFUNCTION("""COMPUTED_VALUE"""),44902.0)</f>
        <v>44902</v>
      </c>
      <c r="E6" s="8">
        <f>IFERROR(__xludf.DUMMYFUNCTION("""COMPUTED_VALUE"""),258618.0)</f>
        <v>258618</v>
      </c>
      <c r="F6" s="9" t="str">
        <f>IFERROR(__xludf.DUMMYFUNCTION("""COMPUTED_VALUE"""),"同居した幼なじみは、溺愛を我慢できない。")</f>
        <v>同居した幼なじみは、溺愛を我慢できない。</v>
      </c>
      <c r="G6" s="11" t="str">
        <f>IFERROR(__xludf.DUMMYFUNCTION("""COMPUTED_VALUE"""),"1～5")</f>
        <v>1～5</v>
      </c>
      <c r="H6" s="8" t="str">
        <f>IFERROR(__xludf.DUMMYFUNCTION("""COMPUTED_VALUE"""),"神無月なな（作画）、小粋（原作）")</f>
        <v>神無月なな（作画）、小粋（原作）</v>
      </c>
      <c r="I6" s="14" t="str">
        <f>IFERROR(__xludf.DUMMYFUNCTION("""COMPUTED_VALUE"""),"少女")</f>
        <v>少女</v>
      </c>
      <c r="J6" s="8"/>
      <c r="K6" s="8"/>
      <c r="L6" s="8" t="str">
        <f>IFERROR(__xludf.DUMMYFUNCTION("""COMPUTED_VALUE"""),"スターツ出版")</f>
        <v>スターツ出版</v>
      </c>
      <c r="M6" s="12">
        <f>IFERROR(__xludf.DUMMYFUNCTION("""COMPUTED_VALUE"""),44904.0)</f>
        <v>44904</v>
      </c>
      <c r="N6" s="12">
        <f>IFERROR(__xludf.DUMMYFUNCTION("""COMPUTED_VALUE"""),44966.70833333333)</f>
        <v>44966.70833</v>
      </c>
      <c r="O6" s="11"/>
      <c r="P6" s="9" t="str">
        <f>IFERROR(__xludf.DUMMYFUNCTION("""COMPUTED_VALUE"""),"可")</f>
        <v>可</v>
      </c>
      <c r="Q6" s="8"/>
      <c r="R6" s="9"/>
      <c r="S6" s="8" t="str">
        <f>IFERROR(__xludf.DUMMYFUNCTION("""COMPUTED_VALUE"""),"20221028_スターツ出版_同居した幼なじみは、溺愛を我慢できない。")</f>
        <v>20221028_スターツ出版_同居した幼なじみは、溺愛を我慢できない。</v>
      </c>
      <c r="T6" s="9"/>
      <c r="U6" s="9" t="str">
        <f>IFERROR(__xludf.DUMMYFUNCTION("""COMPUTED_VALUE"""),"©Nana Kannaduki・Koiki/スターツ出版")</f>
        <v>©Nana Kannaduki・Koiki/スターツ出版</v>
      </c>
      <c r="V6" s="8" t="str">
        <f>IFERROR(__xludf.DUMMYFUNCTION("""COMPUTED_VALUE"""),"「キスされたいの？」
「…嫌ならちゃんと拒んで」
海外への引っ越しを回避するため、２年ぶりに再会した年下の幼なじみ・朱里と同居することになった高２の恋々。可愛い弟みたいな存在だと思っていた恋々だけど、いざふたり暮らしが始まると朱里が豹変！まるで恋人のように甘えられたり、甘い声で囁かれ押し倒されたり――何やら企んでいるらしい朱里からの危険すぎる溺愛が止まらなくて…!?
年下幼なじみの甘い策略に溺れる、ドキドキだらけの第１巻！
(この作品は電子コミック誌noicomi vol.79～83に収録されていま"&amp;"す。重複購入にご注意ください)")</f>
        <v>「キスされたいの？」
「…嫌ならちゃんと拒んで」
海外への引っ越しを回避するため、２年ぶりに再会した年下の幼なじみ・朱里と同居することになった高２の恋々。可愛い弟みたいな存在だと思っていた恋々だけど、いざふたり暮らしが始まると朱里が豹変！まるで恋人のように甘えられたり、甘い声で囁かれ押し倒されたり――何やら企んでいるらしい朱里からの危険すぎる溺愛が止まらなくて…!?
年下幼なじみの甘い策略に溺れる、ドキドキだらけの第１巻！
(この作品は電子コミック誌noicomi vol.79～83に収録されています。重複購入にご注意ください)</v>
      </c>
      <c r="W6" s="8"/>
      <c r="X6" s="8"/>
      <c r="Y6" s="8"/>
      <c r="Z6" s="7"/>
      <c r="AA6" s="7"/>
      <c r="AB6" s="7"/>
    </row>
    <row r="7">
      <c r="A7" s="8">
        <f>IFERROR(__xludf.DUMMYFUNCTION("""COMPUTED_VALUE"""),1489.0)</f>
        <v>1489</v>
      </c>
      <c r="B7" s="9" t="str">
        <f>IFERROR(__xludf.DUMMYFUNCTION("""COMPUTED_VALUE"""),"確定")</f>
        <v>確定</v>
      </c>
      <c r="C7" s="10">
        <f>IFERROR(__xludf.DUMMYFUNCTION("""COMPUTED_VALUE"""),44865.0)</f>
        <v>44865</v>
      </c>
      <c r="D7" s="10">
        <f>IFERROR(__xludf.DUMMYFUNCTION("""COMPUTED_VALUE"""),44901.0)</f>
        <v>44901</v>
      </c>
      <c r="E7" s="8">
        <f>IFERROR(__xludf.DUMMYFUNCTION("""COMPUTED_VALUE"""),256876.0)</f>
        <v>256876</v>
      </c>
      <c r="F7" s="9" t="str">
        <f>IFERROR(__xludf.DUMMYFUNCTION("""COMPUTED_VALUE"""),"うさぎくんはイけないことしたい！【分冊版】")</f>
        <v>うさぎくんはイけないことしたい！【分冊版】</v>
      </c>
      <c r="G7" s="11">
        <f>IFERROR(__xludf.DUMMYFUNCTION("""COMPUTED_VALUE"""),1.0)</f>
        <v>1</v>
      </c>
      <c r="H7" s="8" t="str">
        <f>IFERROR(__xludf.DUMMYFUNCTION("""COMPUTED_VALUE"""),"熊猫")</f>
        <v>熊猫</v>
      </c>
      <c r="I7" s="8" t="str">
        <f>IFERROR(__xludf.DUMMYFUNCTION("""COMPUTED_VALUE"""),"BL")</f>
        <v>BL</v>
      </c>
      <c r="J7" s="8"/>
      <c r="K7" s="8"/>
      <c r="L7" s="8" t="str">
        <f>IFERROR(__xludf.DUMMYFUNCTION("""COMPUTED_VALUE"""),"笠倉出版社")</f>
        <v>笠倉出版社</v>
      </c>
      <c r="M7" s="12">
        <f>IFERROR(__xludf.DUMMYFUNCTION("""COMPUTED_VALUE"""),44904.0)</f>
        <v>44904</v>
      </c>
      <c r="N7" s="12">
        <f>IFERROR(__xludf.DUMMYFUNCTION("""COMPUTED_VALUE"""),44938.0)</f>
        <v>44938</v>
      </c>
      <c r="O7" s="11"/>
      <c r="P7" s="9" t="str">
        <f>IFERROR(__xludf.DUMMYFUNCTION("""COMPUTED_VALUE"""),"可")</f>
        <v>可</v>
      </c>
      <c r="Q7" s="8"/>
      <c r="R7" s="9"/>
      <c r="S7" s="8" t="str">
        <f>IFERROR(__xludf.DUMMYFUNCTION("""COMPUTED_VALUE"""),"20221121_笠倉出版社_BL新作2作品")</f>
        <v>20221121_笠倉出版社_BL新作2作品</v>
      </c>
      <c r="T7" s="9"/>
      <c r="U7" s="9" t="str">
        <f>IFERROR(__xludf.DUMMYFUNCTION("""COMPUTED_VALUE"""),"©熊猫/笠倉出版社")</f>
        <v>©熊猫/笠倉出版社</v>
      </c>
      <c r="V7" s="8" t="str">
        <f>IFERROR(__xludf.DUMMYFUNCTION("""COMPUTED_VALUE"""),"卯嵜白はヤクザの家の次男坊。跡取りらしくイキがりたいのに、かわいい顔のせいで知らないやつからも狙われるしまつ。特に警察一家の幼なじみ鷹羽正直とは犬猿の仲で、ケンカを横取りされたりとことあるごとに馬鹿にされていた。いつか泣かしてやると思っていたある日、正直の部屋であやしい形のマッサージ機を見つけた白は、これでカッコつけの正直をくすぐり倒してやろうと目論む。…が、なぜかエッチな雰囲気になってしまって！？一見まじめな腹黒DKとエッチに疎いヤンキーDKの、一途でやらしい開発DAYS！※本作品はWEB雑誌「equa"&amp;"l」に収録されています。重複購入にご注意ください。")</f>
        <v>卯嵜白はヤクザの家の次男坊。跡取りらしくイキがりたいのに、かわいい顔のせいで知らないやつからも狙われるしまつ。特に警察一家の幼なじみ鷹羽正直とは犬猿の仲で、ケンカを横取りされたりとことあるごとに馬鹿にされていた。いつか泣かしてやると思っていたある日、正直の部屋であやしい形のマッサージ機を見つけた白は、これでカッコつけの正直をくすぐり倒してやろうと目論む。…が、なぜかエッチな雰囲気になってしまって！？一見まじめな腹黒DKとエッチに疎いヤンキーDKの、一途でやらしい開発DAYS！※本作品はWEB雑誌「equal」に収録されています。重複購入にご注意ください。</v>
      </c>
      <c r="W7" s="8"/>
      <c r="X7" s="8"/>
      <c r="Y7" s="8"/>
      <c r="Z7" s="7"/>
      <c r="AA7" s="7"/>
      <c r="AB7" s="7"/>
    </row>
    <row r="8">
      <c r="A8" s="8">
        <f>IFERROR(__xludf.DUMMYFUNCTION("""COMPUTED_VALUE"""),1491.0)</f>
        <v>1491</v>
      </c>
      <c r="B8" s="9" t="str">
        <f>IFERROR(__xludf.DUMMYFUNCTION("""COMPUTED_VALUE"""),"確定")</f>
        <v>確定</v>
      </c>
      <c r="C8" s="10">
        <f>IFERROR(__xludf.DUMMYFUNCTION("""COMPUTED_VALUE"""),44865.0)</f>
        <v>44865</v>
      </c>
      <c r="D8" s="10">
        <f>IFERROR(__xludf.DUMMYFUNCTION("""COMPUTED_VALUE"""),44901.0)</f>
        <v>44901</v>
      </c>
      <c r="E8" s="8">
        <f>IFERROR(__xludf.DUMMYFUNCTION("""COMPUTED_VALUE"""),256875.0)</f>
        <v>256875</v>
      </c>
      <c r="F8" s="9" t="str">
        <f>IFERROR(__xludf.DUMMYFUNCTION("""COMPUTED_VALUE"""),"Ωの正しい征服法【分冊版】")</f>
        <v>Ωの正しい征服法【分冊版】</v>
      </c>
      <c r="G8" s="11">
        <f>IFERROR(__xludf.DUMMYFUNCTION("""COMPUTED_VALUE"""),1.0)</f>
        <v>1</v>
      </c>
      <c r="H8" s="8" t="str">
        <f>IFERROR(__xludf.DUMMYFUNCTION("""COMPUTED_VALUE"""),"あらかた")</f>
        <v>あらかた</v>
      </c>
      <c r="I8" s="8" t="str">
        <f>IFERROR(__xludf.DUMMYFUNCTION("""COMPUTED_VALUE"""),"BL")</f>
        <v>BL</v>
      </c>
      <c r="J8" s="8"/>
      <c r="K8" s="8"/>
      <c r="L8" s="8" t="str">
        <f>IFERROR(__xludf.DUMMYFUNCTION("""COMPUTED_VALUE"""),"笠倉出版社")</f>
        <v>笠倉出版社</v>
      </c>
      <c r="M8" s="12">
        <f>IFERROR(__xludf.DUMMYFUNCTION("""COMPUTED_VALUE"""),44904.0)</f>
        <v>44904</v>
      </c>
      <c r="N8" s="12">
        <f>IFERROR(__xludf.DUMMYFUNCTION("""COMPUTED_VALUE"""),44938.0)</f>
        <v>44938</v>
      </c>
      <c r="O8" s="11"/>
      <c r="P8" s="9" t="str">
        <f>IFERROR(__xludf.DUMMYFUNCTION("""COMPUTED_VALUE"""),"可")</f>
        <v>可</v>
      </c>
      <c r="Q8" s="8"/>
      <c r="R8" s="9"/>
      <c r="S8" s="8" t="str">
        <f>IFERROR(__xludf.DUMMYFUNCTION("""COMPUTED_VALUE"""),"20221121_笠倉出版社_BL新作2作品")</f>
        <v>20221121_笠倉出版社_BL新作2作品</v>
      </c>
      <c r="T8" s="9"/>
      <c r="U8" s="9" t="str">
        <f>IFERROR(__xludf.DUMMYFUNCTION("""COMPUTED_VALUE"""),"©あらかた/笠倉出版社")</f>
        <v>©あらかた/笠倉出版社</v>
      </c>
      <c r="V8" s="8" t="str">
        <f>IFERROR(__xludf.DUMMYFUNCTION("""COMPUTED_VALUE"""),"誰でもいいからαに犯されたいという願望を持っているΩの音無。ある日、疑似発情剤を飲み襲われようとした。けれど同じ大学の超生真面目人間でαの正城が通りかかり助けられてしまう。代わりに犯してほしいと思うが、薬で発情時のフェロモンが出ているのに反応する気配もない。今日はツイてなかったと諦めかけるが、正城が自分相手に勃っているのを必死で隠している事に気づく。その姿を見た音無は、常に理性的であろうとする正城の本能を曝け出させて犯されたくなってしまい――！天然で生真面目すぎるα×犯されたい願望持ちのΩΩである自分を本"&amp;"能のままに襲ってほしいのにどこまでも理性で抑え込むαに振り回される翻弄オメガバースラブ。※本作品はWEB雑誌「equal」に収録されています。重複購入にご注意ください。")</f>
        <v>誰でもいいからαに犯されたいという願望を持っているΩの音無。ある日、疑似発情剤を飲み襲われようとした。けれど同じ大学の超生真面目人間でαの正城が通りかかり助けられてしまう。代わりに犯してほしいと思うが、薬で発情時のフェロモンが出ているのに反応する気配もない。今日はツイてなかったと諦めかけるが、正城が自分相手に勃っているのを必死で隠している事に気づく。その姿を見た音無は、常に理性的であろうとする正城の本能を曝け出させて犯されたくなってしまい――！天然で生真面目すぎるα×犯されたい願望持ちのΩΩである自分を本能のままに襲ってほしいのにどこまでも理性で抑え込むαに振り回される翻弄オメガバースラブ。※本作品はWEB雑誌「equal」に収録されています。重複購入にご注意ください。</v>
      </c>
      <c r="W8" s="8"/>
      <c r="X8" s="8"/>
      <c r="Y8" s="8"/>
      <c r="Z8" s="7"/>
      <c r="AA8" s="7"/>
      <c r="AB8" s="7"/>
    </row>
    <row r="9">
      <c r="A9" s="8">
        <f>IFERROR(__xludf.DUMMYFUNCTION("""COMPUTED_VALUE"""),1492.0)</f>
        <v>1492</v>
      </c>
      <c r="B9" s="9" t="str">
        <f>IFERROR(__xludf.DUMMYFUNCTION("""COMPUTED_VALUE"""),"確定")</f>
        <v>確定</v>
      </c>
      <c r="C9" s="10">
        <f>IFERROR(__xludf.DUMMYFUNCTION("""COMPUTED_VALUE"""),44865.0)</f>
        <v>44865</v>
      </c>
      <c r="D9" s="10">
        <f>IFERROR(__xludf.DUMMYFUNCTION("""COMPUTED_VALUE"""),44901.0)</f>
        <v>44901</v>
      </c>
      <c r="E9" s="8">
        <f>IFERROR(__xludf.DUMMYFUNCTION("""COMPUTED_VALUE"""),256877.0)</f>
        <v>256877</v>
      </c>
      <c r="F9" s="9" t="str">
        <f>IFERROR(__xludf.DUMMYFUNCTION("""COMPUTED_VALUE"""),"落ちこぼれ魔法使いと恋する獣【分冊版】")</f>
        <v>落ちこぼれ魔法使いと恋する獣【分冊版】</v>
      </c>
      <c r="G9" s="11">
        <f>IFERROR(__xludf.DUMMYFUNCTION("""COMPUTED_VALUE"""),1.0)</f>
        <v>1</v>
      </c>
      <c r="H9" s="8" t="str">
        <f>IFERROR(__xludf.DUMMYFUNCTION("""COMPUTED_VALUE"""),"るびる")</f>
        <v>るびる</v>
      </c>
      <c r="I9" s="8" t="str">
        <f>IFERROR(__xludf.DUMMYFUNCTION("""COMPUTED_VALUE"""),"BL")</f>
        <v>BL</v>
      </c>
      <c r="J9" s="8"/>
      <c r="K9" s="8"/>
      <c r="L9" s="8" t="str">
        <f>IFERROR(__xludf.DUMMYFUNCTION("""COMPUTED_VALUE"""),"笠倉出版社")</f>
        <v>笠倉出版社</v>
      </c>
      <c r="M9" s="12">
        <f>IFERROR(__xludf.DUMMYFUNCTION("""COMPUTED_VALUE"""),44904.0)</f>
        <v>44904</v>
      </c>
      <c r="N9" s="12">
        <f>IFERROR(__xludf.DUMMYFUNCTION("""COMPUTED_VALUE"""),44938.0)</f>
        <v>44938</v>
      </c>
      <c r="O9" s="11"/>
      <c r="P9" s="9" t="str">
        <f>IFERROR(__xludf.DUMMYFUNCTION("""COMPUTED_VALUE"""),"可")</f>
        <v>可</v>
      </c>
      <c r="Q9" s="8"/>
      <c r="R9" s="9"/>
      <c r="S9" s="8" t="str">
        <f>IFERROR(__xludf.DUMMYFUNCTION("""COMPUTED_VALUE"""),"検討用_20221031_笠倉出版社_12月新作")</f>
        <v>検討用_20221031_笠倉出版社_12月新作</v>
      </c>
      <c r="T9" s="9"/>
      <c r="U9" s="9" t="str">
        <f>IFERROR(__xludf.DUMMYFUNCTION("""COMPUTED_VALUE"""),"©るびる/笠倉出版社")</f>
        <v>©るびる/笠倉出版社</v>
      </c>
      <c r="V9" s="8" t="str">
        <f>IFERROR(__xludf.DUMMYFUNCTION("""COMPUTED_VALUE"""),"魔法使いなら知らない者はいない名家・スラマグゥス家に生まれたルカ。けれど魔力が乏しく落ちこぼれと言われ、魔法学校を卒業すると同時に家を追い出されてしまった。魔法が苦手でも、調合した薬などを売りながら一人で細々と暮らしていた。そんなある日、傷だらけで倒れているカーバンクルを見つける。介抱したカーバンクル・アルバは、助けられた恩返しがしたいと主従契約をルカに提案。断り切れずアルバと契約したルカだったが…。落ちこぼれの魔法使いと幻獣、一緒に暮らす中で互いの弱い部分も寂しい部分を知り、愛しさが生まれていき――。※"&amp;"本作品はWEB雑誌「equal」に収録されています。重複購入にご注意ください。")</f>
        <v>魔法使いなら知らない者はいない名家・スラマグゥス家に生まれたルカ。けれど魔力が乏しく落ちこぼれと言われ、魔法学校を卒業すると同時に家を追い出されてしまった。魔法が苦手でも、調合した薬などを売りながら一人で細々と暮らしていた。そんなある日、傷だらけで倒れているカーバンクルを見つける。介抱したカーバンクル・アルバは、助けられた恩返しがしたいと主従契約をルカに提案。断り切れずアルバと契約したルカだったが…。落ちこぼれの魔法使いと幻獣、一緒に暮らす中で互いの弱い部分も寂しい部分を知り、愛しさが生まれていき――。※本作品はWEB雑誌「equal」に収録されています。重複購入にご注意ください。</v>
      </c>
      <c r="W9" s="8"/>
      <c r="X9" s="8"/>
      <c r="Y9" s="8"/>
      <c r="Z9" s="7"/>
      <c r="AA9" s="7"/>
      <c r="AB9" s="7"/>
    </row>
    <row r="10">
      <c r="A10" s="8">
        <f>IFERROR(__xludf.DUMMYFUNCTION("""COMPUTED_VALUE"""),1493.0)</f>
        <v>1493</v>
      </c>
      <c r="B10" s="9" t="str">
        <f>IFERROR(__xludf.DUMMYFUNCTION("""COMPUTED_VALUE"""),"確定")</f>
        <v>確定</v>
      </c>
      <c r="C10" s="10">
        <f>IFERROR(__xludf.DUMMYFUNCTION("""COMPUTED_VALUE"""),44865.0)</f>
        <v>44865</v>
      </c>
      <c r="D10" s="10">
        <f>IFERROR(__xludf.DUMMYFUNCTION("""COMPUTED_VALUE"""),44901.0)</f>
        <v>44901</v>
      </c>
      <c r="E10" s="8">
        <f>IFERROR(__xludf.DUMMYFUNCTION("""COMPUTED_VALUE"""),256873.0)</f>
        <v>256873</v>
      </c>
      <c r="F10" s="9" t="str">
        <f>IFERROR(__xludf.DUMMYFUNCTION("""COMPUTED_VALUE"""),"浮気と本気")</f>
        <v>浮気と本気</v>
      </c>
      <c r="G10" s="11" t="str">
        <f>IFERROR(__xludf.DUMMYFUNCTION("""COMPUTED_VALUE"""),"1～2")</f>
        <v>1～2</v>
      </c>
      <c r="H10" s="8" t="str">
        <f>IFERROR(__xludf.DUMMYFUNCTION("""COMPUTED_VALUE"""),"裏筋侍")</f>
        <v>裏筋侍</v>
      </c>
      <c r="I10" s="8" t="str">
        <f>IFERROR(__xludf.DUMMYFUNCTION("""COMPUTED_VALUE"""),"オトナ")</f>
        <v>オトナ</v>
      </c>
      <c r="J10" s="8"/>
      <c r="K10" s="8"/>
      <c r="L10" s="8" t="str">
        <f>IFERROR(__xludf.DUMMYFUNCTION("""COMPUTED_VALUE"""),"ブリック出版")</f>
        <v>ブリック出版</v>
      </c>
      <c r="M10" s="12">
        <f>IFERROR(__xludf.DUMMYFUNCTION("""COMPUTED_VALUE"""),44904.0)</f>
        <v>44904</v>
      </c>
      <c r="N10" s="12">
        <f>IFERROR(__xludf.DUMMYFUNCTION("""COMPUTED_VALUE"""),44931.0)</f>
        <v>44931</v>
      </c>
      <c r="O10" s="11"/>
      <c r="P10" s="9" t="str">
        <f>IFERROR(__xludf.DUMMYFUNCTION("""COMPUTED_VALUE"""),"可")</f>
        <v>可</v>
      </c>
      <c r="Q10" s="8" t="str">
        <f>IFERROR(__xludf.DUMMYFUNCTION("""COMPUTED_VALUE"""),"出稿可であれば先行確約です。&lt;BR&gt;素材は修正前ですがそれ以外は問題ないです。")</f>
        <v>出稿可であれば先行確約です。&lt;BR&gt;素材は修正前ですがそれ以外は問題ないです。</v>
      </c>
      <c r="R10" s="9"/>
      <c r="S10" s="8" t="str">
        <f>IFERROR(__xludf.DUMMYFUNCTION("""COMPUTED_VALUE"""),"20221031_BookLive_浮気と本気")</f>
        <v>20221031_BookLive_浮気と本気</v>
      </c>
      <c r="T10" s="9"/>
      <c r="U10" s="9" t="str">
        <f>IFERROR(__xludf.DUMMYFUNCTION("""COMPUTED_VALUE"""),"©ブリック出版")</f>
        <v>©ブリック出版</v>
      </c>
      <c r="V10" s="8" t="str">
        <f>IFERROR(__xludf.DUMMYFUNCTION("""COMPUTED_VALUE"""),"彼女に浮気された主人公「笹原敬太」。大学の仲間達と飲み会で慰められ友達の一人「倉本美佳」と帰ることに…。電車内での会話中、発覚した事実とは…！？")</f>
        <v>彼女に浮気された主人公「笹原敬太」。大学の仲間達と飲み会で慰められ友達の一人「倉本美佳」と帰ることに…。電車内での会話中、発覚した事実とは…！？</v>
      </c>
      <c r="W10" s="8"/>
      <c r="X10" s="8"/>
      <c r="Y10" s="8"/>
      <c r="Z10" s="7"/>
      <c r="AA10" s="7"/>
      <c r="AB10" s="7"/>
    </row>
    <row r="11">
      <c r="A11" s="8">
        <f>IFERROR(__xludf.DUMMYFUNCTION("""COMPUTED_VALUE"""),1506.0)</f>
        <v>1506</v>
      </c>
      <c r="B11" s="9" t="str">
        <f>IFERROR(__xludf.DUMMYFUNCTION("""COMPUTED_VALUE"""),"確定")</f>
        <v>確定</v>
      </c>
      <c r="C11" s="10">
        <f>IFERROR(__xludf.DUMMYFUNCTION("""COMPUTED_VALUE"""),44873.0)</f>
        <v>44873</v>
      </c>
      <c r="D11" s="10">
        <f>IFERROR(__xludf.DUMMYFUNCTION("""COMPUTED_VALUE"""),44901.0)</f>
        <v>44901</v>
      </c>
      <c r="E11" s="8">
        <f>IFERROR(__xludf.DUMMYFUNCTION("""COMPUTED_VALUE"""),240411.0)</f>
        <v>240411</v>
      </c>
      <c r="F11" s="9" t="str">
        <f>IFERROR(__xludf.DUMMYFUNCTION("""COMPUTED_VALUE"""),"Love order made")</f>
        <v>Love order made</v>
      </c>
      <c r="G11" s="11" t="str">
        <f>IFERROR(__xludf.DUMMYFUNCTION("""COMPUTED_VALUE"""),"1～3")</f>
        <v>1～3</v>
      </c>
      <c r="H11" s="8" t="str">
        <f>IFERROR(__xludf.DUMMYFUNCTION("""COMPUTED_VALUE"""),"寺岡さこ")</f>
        <v>寺岡さこ</v>
      </c>
      <c r="I11" s="14" t="str">
        <f>IFERROR(__xludf.DUMMYFUNCTION("""COMPUTED_VALUE"""),"少女")</f>
        <v>少女</v>
      </c>
      <c r="J11" s="8"/>
      <c r="K11" s="8"/>
      <c r="L11" s="8" t="str">
        <f>IFERROR(__xludf.DUMMYFUNCTION("""COMPUTED_VALUE"""),"ソルマーレ編集部")</f>
        <v>ソルマーレ編集部</v>
      </c>
      <c r="M11" s="12">
        <f>IFERROR(__xludf.DUMMYFUNCTION("""COMPUTED_VALUE"""),44905.0)</f>
        <v>44905</v>
      </c>
      <c r="N11" s="12">
        <f>IFERROR(__xludf.DUMMYFUNCTION("""COMPUTED_VALUE"""),44966.0)</f>
        <v>44966</v>
      </c>
      <c r="O11" s="11"/>
      <c r="P11" s="9" t="str">
        <f>IFERROR(__xludf.DUMMYFUNCTION("""COMPUTED_VALUE"""),"可")</f>
        <v>可</v>
      </c>
      <c r="Q11" s="8"/>
      <c r="R11" s="9"/>
      <c r="S11" s="8" t="str">
        <f>IFERROR(__xludf.DUMMYFUNCTION("""COMPUTED_VALUE"""),"20221108_ソルマーレ編集部_Love order made")</f>
        <v>20221108_ソルマーレ編集部_Love order made</v>
      </c>
      <c r="T11" s="15"/>
      <c r="U11" s="9" t="str">
        <f>IFERROR(__xludf.DUMMYFUNCTION("""COMPUTED_VALUE"""),"© 寺岡さこ/シーモアコミックス")</f>
        <v>© 寺岡さこ/シーモアコミックス</v>
      </c>
      <c r="V11" s="8" t="str">
        <f>IFERROR(__xludf.DUMMYFUNCTION("""COMPUTED_VALUE"""),"「窮屈で疲れるだけの服をわざわざ着る意味がわかりません」スーツ映え確実！ スタイル抜群なイケメン部下は【スーツ嫌い】な問題児…??
スーツ好きが高じてオーダーメイドスーツ店の店長をしている梶本ゆり。ある日、本社で採用されたイケメン新卒・氏家が、ゆりの店に配属。スーツが似合いそうな体型だけど――どうやら彼はスーツが大嫌いなようで!?!? 高スペック部下×スーツマニア女子のオーダーメイド・ラブストーリー♪【恋するソワレ】")</f>
        <v>「窮屈で疲れるだけの服をわざわざ着る意味がわかりません」スーツ映え確実！ スタイル抜群なイケメン部下は【スーツ嫌い】な問題児…??
スーツ好きが高じてオーダーメイドスーツ店の店長をしている梶本ゆり。ある日、本社で採用されたイケメン新卒・氏家が、ゆりの店に配属。スーツが似合いそうな体型だけど――どうやら彼はスーツが大嫌いなようで!?!? 高スペック部下×スーツマニア女子のオーダーメイド・ラブストーリー♪【恋するソワレ】</v>
      </c>
      <c r="W11" s="8"/>
      <c r="X11" s="8"/>
      <c r="Y11" s="8"/>
      <c r="Z11" s="7"/>
      <c r="AA11" s="7"/>
      <c r="AB11" s="7"/>
    </row>
    <row r="12">
      <c r="A12" s="8">
        <f>IFERROR(__xludf.DUMMYFUNCTION("""COMPUTED_VALUE"""),1507.0)</f>
        <v>1507</v>
      </c>
      <c r="B12" s="9" t="str">
        <f>IFERROR(__xludf.DUMMYFUNCTION("""COMPUTED_VALUE"""),"確定")</f>
        <v>確定</v>
      </c>
      <c r="C12" s="10">
        <f>IFERROR(__xludf.DUMMYFUNCTION("""COMPUTED_VALUE"""),44873.0)</f>
        <v>44873</v>
      </c>
      <c r="D12" s="10">
        <f>IFERROR(__xludf.DUMMYFUNCTION("""COMPUTED_VALUE"""),44902.0)</f>
        <v>44902</v>
      </c>
      <c r="E12" s="8">
        <f>IFERROR(__xludf.DUMMYFUNCTION("""COMPUTED_VALUE"""),218952.0)</f>
        <v>218952</v>
      </c>
      <c r="F12" s="9" t="str">
        <f>IFERROR(__xludf.DUMMYFUNCTION("""COMPUTED_VALUE"""),"小南家へ恋")</f>
        <v>小南家へ恋</v>
      </c>
      <c r="G12" s="11" t="str">
        <f>IFERROR(__xludf.DUMMYFUNCTION("""COMPUTED_VALUE"""),"1～2")</f>
        <v>1～2</v>
      </c>
      <c r="H12" s="8" t="str">
        <f>IFERROR(__xludf.DUMMYFUNCTION("""COMPUTED_VALUE"""),"松平徹")</f>
        <v>松平徹</v>
      </c>
      <c r="I12" s="8" t="str">
        <f>IFERROR(__xludf.DUMMYFUNCTION("""COMPUTED_VALUE"""),"BL")</f>
        <v>BL</v>
      </c>
      <c r="J12" s="8"/>
      <c r="K12" s="8"/>
      <c r="L12" s="8" t="str">
        <f>IFERROR(__xludf.DUMMYFUNCTION("""COMPUTED_VALUE"""),"ソルマーレ編集部")</f>
        <v>ソルマーレ編集部</v>
      </c>
      <c r="M12" s="12">
        <f>IFERROR(__xludf.DUMMYFUNCTION("""COMPUTED_VALUE"""),44905.0)</f>
        <v>44905</v>
      </c>
      <c r="N12" s="12">
        <f>IFERROR(__xludf.DUMMYFUNCTION("""COMPUTED_VALUE"""),44966.0)</f>
        <v>44966</v>
      </c>
      <c r="O12" s="11"/>
      <c r="P12" s="9" t="str">
        <f>IFERROR(__xludf.DUMMYFUNCTION("""COMPUTED_VALUE"""),"可")</f>
        <v>可</v>
      </c>
      <c r="Q12" s="8"/>
      <c r="R12" s="9"/>
      <c r="S12" s="8" t="str">
        <f>IFERROR(__xludf.DUMMYFUNCTION("""COMPUTED_VALUE"""),"20221108_ソルマーレ編集部_小南家へ恋")</f>
        <v>20221108_ソルマーレ編集部_小南家へ恋</v>
      </c>
      <c r="T12" s="15"/>
      <c r="U12" s="9" t="str">
        <f>IFERROR(__xludf.DUMMYFUNCTION("""COMPUTED_VALUE"""),"© 松平徹/シーモアコミックス")</f>
        <v>© 松平徹/シーモアコミックス</v>
      </c>
      <c r="V12" s="8" t="str">
        <f>IFERROR(__xludf.DUMMYFUNCTION("""COMPUTED_VALUE"""),"空き家になった大好きな祖父の家。売られてしまうくらいなら…と、そこに住まうべく2年ぶりに大阪を訪れたアラタ。しかし空き家には無口で不愛想で目つきの悪い…苦手なタイプの謎の青年が居ついていて――。【フィカス】")</f>
        <v>空き家になった大好きな祖父の家。売られてしまうくらいなら…と、そこに住まうべく2年ぶりに大阪を訪れたアラタ。しかし空き家には無口で不愛想で目つきの悪い…苦手なタイプの謎の青年が居ついていて――。【フィカス】</v>
      </c>
      <c r="W12" s="8"/>
      <c r="X12" s="8"/>
      <c r="Y12" s="8"/>
      <c r="Z12" s="7"/>
      <c r="AA12" s="7"/>
      <c r="AB12" s="7"/>
    </row>
    <row r="13">
      <c r="A13" s="8">
        <f>IFERROR(__xludf.DUMMYFUNCTION("""COMPUTED_VALUE"""),1509.0)</f>
        <v>1509</v>
      </c>
      <c r="B13" s="9" t="str">
        <f>IFERROR(__xludf.DUMMYFUNCTION("""COMPUTED_VALUE"""),"確定")</f>
        <v>確定</v>
      </c>
      <c r="C13" s="10">
        <f>IFERROR(__xludf.DUMMYFUNCTION("""COMPUTED_VALUE"""),44873.0)</f>
        <v>44873</v>
      </c>
      <c r="D13" s="10">
        <f>IFERROR(__xludf.DUMMYFUNCTION("""COMPUTED_VALUE"""),44901.0)</f>
        <v>44901</v>
      </c>
      <c r="E13" s="8">
        <f>IFERROR(__xludf.DUMMYFUNCTION("""COMPUTED_VALUE"""),231727.0)</f>
        <v>231727</v>
      </c>
      <c r="F13" s="9" t="str">
        <f>IFERROR(__xludf.DUMMYFUNCTION("""COMPUTED_VALUE"""),"今のところは、弟未満。")</f>
        <v>今のところは、弟未満。</v>
      </c>
      <c r="G13" s="11" t="str">
        <f>IFERROR(__xludf.DUMMYFUNCTION("""COMPUTED_VALUE"""),"1～3")</f>
        <v>1～3</v>
      </c>
      <c r="H13" s="8" t="str">
        <f>IFERROR(__xludf.DUMMYFUNCTION("""COMPUTED_VALUE"""),"町村ニルス")</f>
        <v>町村ニルス</v>
      </c>
      <c r="I13" s="14" t="str">
        <f>IFERROR(__xludf.DUMMYFUNCTION("""COMPUTED_VALUE"""),"女性")</f>
        <v>女性</v>
      </c>
      <c r="J13" s="8"/>
      <c r="K13" s="8"/>
      <c r="L13" s="8" t="str">
        <f>IFERROR(__xludf.DUMMYFUNCTION("""COMPUTED_VALUE"""),"ソルマーレ編集部")</f>
        <v>ソルマーレ編集部</v>
      </c>
      <c r="M13" s="12">
        <f>IFERROR(__xludf.DUMMYFUNCTION("""COMPUTED_VALUE"""),44905.0)</f>
        <v>44905</v>
      </c>
      <c r="N13" s="12">
        <f>IFERROR(__xludf.DUMMYFUNCTION("""COMPUTED_VALUE"""),44966.0)</f>
        <v>44966</v>
      </c>
      <c r="O13" s="11"/>
      <c r="P13" s="9" t="str">
        <f>IFERROR(__xludf.DUMMYFUNCTION("""COMPUTED_VALUE"""),"可")</f>
        <v>可</v>
      </c>
      <c r="Q13" s="8"/>
      <c r="R13" s="9"/>
      <c r="S13" s="8" t="str">
        <f>IFERROR(__xludf.DUMMYFUNCTION("""COMPUTED_VALUE"""),"20221108_ソルマーレ編集部_今のところは、弟未満。")</f>
        <v>20221108_ソルマーレ編集部_今のところは、弟未満。</v>
      </c>
      <c r="T13" s="15"/>
      <c r="U13" s="9" t="str">
        <f>IFERROR(__xludf.DUMMYFUNCTION("""COMPUTED_VALUE"""),"© 町村ニルス/シーモアコミックス")</f>
        <v>© 町村ニルス/シーモアコミックス</v>
      </c>
      <c r="V13" s="8" t="str">
        <f>IFERROR(__xludf.DUMMYFUNCTION("""COMPUTED_VALUE"""),"35歳を目前にして、ある日突然23歳の弟ができました。しかも同居することに!? 何か起こるなんて、あるわけないけど――!?
父親を亡くして以来、母と二人、気ままに暮らしてきた安土あずまだったが、母親が再婚宣言。結婚相手とその息子が家に転がり込んでくることに！ いきなり一緒に住むと言われても、真っ赤な他人。しかも若い男の子！ 一つ屋根の下、気まずいあずまは引っ越しを決意、それまでの短い間、なんとかやりすごそうと思ったのだが…。
人生、何があるかわからない！ 遅まきながら自立や結婚など、自分の人生を見直すこと"&amp;"にすることにしたあずまだが、そうは簡単にいかないようで――!?【恋するソワレ＋】")</f>
        <v>35歳を目前にして、ある日突然23歳の弟ができました。しかも同居することに!? 何か起こるなんて、あるわけないけど――!?
父親を亡くして以来、母と二人、気ままに暮らしてきた安土あずまだったが、母親が再婚宣言。結婚相手とその息子が家に転がり込んでくることに！ いきなり一緒に住むと言われても、真っ赤な他人。しかも若い男の子！ 一つ屋根の下、気まずいあずまは引っ越しを決意、それまでの短い間、なんとかやりすごそうと思ったのだが…。
人生、何があるかわからない！ 遅まきながら自立や結婚など、自分の人生を見直すことにすることにしたあずまだが、そうは簡単にいかないようで――!?【恋するソワレ＋】</v>
      </c>
      <c r="W13" s="8"/>
      <c r="X13" s="8"/>
      <c r="Y13" s="8"/>
      <c r="Z13" s="7"/>
      <c r="AA13" s="7"/>
      <c r="AB13" s="7"/>
    </row>
    <row r="14">
      <c r="A14" s="8">
        <f>IFERROR(__xludf.DUMMYFUNCTION("""COMPUTED_VALUE"""),1510.0)</f>
        <v>1510</v>
      </c>
      <c r="B14" s="9" t="str">
        <f>IFERROR(__xludf.DUMMYFUNCTION("""COMPUTED_VALUE"""),"確定")</f>
        <v>確定</v>
      </c>
      <c r="C14" s="10">
        <f>IFERROR(__xludf.DUMMYFUNCTION("""COMPUTED_VALUE"""),44873.0)</f>
        <v>44873</v>
      </c>
      <c r="D14" s="10">
        <f>IFERROR(__xludf.DUMMYFUNCTION("""COMPUTED_VALUE"""),44901.0)</f>
        <v>44901</v>
      </c>
      <c r="E14" s="8">
        <f>IFERROR(__xludf.DUMMYFUNCTION("""COMPUTED_VALUE"""),245015.0)</f>
        <v>245015</v>
      </c>
      <c r="F14" s="9" t="str">
        <f>IFERROR(__xludf.DUMMYFUNCTION("""COMPUTED_VALUE"""),"満タサレズ、止メラレズ")</f>
        <v>満タサレズ、止メラレズ</v>
      </c>
      <c r="G14" s="11" t="str">
        <f>IFERROR(__xludf.DUMMYFUNCTION("""COMPUTED_VALUE"""),"1～3")</f>
        <v>1～3</v>
      </c>
      <c r="H14" s="8" t="str">
        <f>IFERROR(__xludf.DUMMYFUNCTION("""COMPUTED_VALUE"""),"駒井千紘")</f>
        <v>駒井千紘</v>
      </c>
      <c r="I14" s="14" t="str">
        <f>IFERROR(__xludf.DUMMYFUNCTION("""COMPUTED_VALUE"""),"女性")</f>
        <v>女性</v>
      </c>
      <c r="J14" s="8"/>
      <c r="K14" s="8"/>
      <c r="L14" s="8" t="str">
        <f>IFERROR(__xludf.DUMMYFUNCTION("""COMPUTED_VALUE"""),"ソルマーレ編集部")</f>
        <v>ソルマーレ編集部</v>
      </c>
      <c r="M14" s="12">
        <f>IFERROR(__xludf.DUMMYFUNCTION("""COMPUTED_VALUE"""),44905.0)</f>
        <v>44905</v>
      </c>
      <c r="N14" s="12">
        <f>IFERROR(__xludf.DUMMYFUNCTION("""COMPUTED_VALUE"""),44966.0)</f>
        <v>44966</v>
      </c>
      <c r="O14" s="11"/>
      <c r="P14" s="9" t="str">
        <f>IFERROR(__xludf.DUMMYFUNCTION("""COMPUTED_VALUE"""),"可")</f>
        <v>可</v>
      </c>
      <c r="Q14" s="8"/>
      <c r="R14" s="9"/>
      <c r="S14" s="8" t="str">
        <f>IFERROR(__xludf.DUMMYFUNCTION("""COMPUTED_VALUE"""),"20221108_ソルマーレ編集部_満タサレズ、止メラレズ")</f>
        <v>20221108_ソルマーレ編集部_満タサレズ、止メラレズ</v>
      </c>
      <c r="T14" s="15"/>
      <c r="U14" s="9" t="str">
        <f>IFERROR(__xludf.DUMMYFUNCTION("""COMPUTED_VALUE"""),"© 駒井千紘/シーモアコミックス")</f>
        <v>© 駒井千紘/シーモアコミックス</v>
      </c>
      <c r="V14" s="8" t="str">
        <f>IFERROR(__xludf.DUMMYFUNCTION("""COMPUTED_VALUE"""),"33歳の秋、私は会社をクビになった――27歳で結婚し、年下の夫と共に働きながら二人の子供を育てているワーママの村田麻衣。後輩には「勝ち組」と言われるものの、現実はワンオペ状態の育児に振り回され、会社でも保育園でも謝ってばかりの毎日だった。そんなある日、何気なく開いたフリマアプリでの「お得な買い物」体験が、じわじわと麻衣のなかを侵食し始めて…。「誰か」ではなく「あなた」だったかもしれない――ままならない日々と人生に満たされずも止められない物語。【恋するソワレ＋】")</f>
        <v>33歳の秋、私は会社をクビになった――27歳で結婚し、年下の夫と共に働きながら二人の子供を育てているワーママの村田麻衣。後輩には「勝ち組」と言われるものの、現実はワンオペ状態の育児に振り回され、会社でも保育園でも謝ってばかりの毎日だった。そんなある日、何気なく開いたフリマアプリでの「お得な買い物」体験が、じわじわと麻衣のなかを侵食し始めて…。「誰か」ではなく「あなた」だったかもしれない――ままならない日々と人生に満たされずも止められない物語。【恋するソワレ＋】</v>
      </c>
      <c r="W14" s="8"/>
      <c r="X14" s="8"/>
      <c r="Y14" s="8"/>
      <c r="Z14" s="7"/>
      <c r="AA14" s="7"/>
      <c r="AB14" s="7"/>
    </row>
    <row r="15">
      <c r="A15" s="8">
        <f>IFERROR(__xludf.DUMMYFUNCTION("""COMPUTED_VALUE"""),1511.0)</f>
        <v>1511</v>
      </c>
      <c r="B15" s="9" t="str">
        <f>IFERROR(__xludf.DUMMYFUNCTION("""COMPUTED_VALUE"""),"確定")</f>
        <v>確定</v>
      </c>
      <c r="C15" s="10">
        <f>IFERROR(__xludf.DUMMYFUNCTION("""COMPUTED_VALUE"""),44873.0)</f>
        <v>44873</v>
      </c>
      <c r="D15" s="10">
        <f>IFERROR(__xludf.DUMMYFUNCTION("""COMPUTED_VALUE"""),44901.0)</f>
        <v>44901</v>
      </c>
      <c r="E15" s="8">
        <f>IFERROR(__xludf.DUMMYFUNCTION("""COMPUTED_VALUE"""),254948.0)</f>
        <v>254948</v>
      </c>
      <c r="F15" s="9" t="str">
        <f>IFERROR(__xludf.DUMMYFUNCTION("""COMPUTED_VALUE"""),"溶浴")</f>
        <v>溶浴</v>
      </c>
      <c r="G15" s="11">
        <f>IFERROR(__xludf.DUMMYFUNCTION("""COMPUTED_VALUE"""),1.0)</f>
        <v>1</v>
      </c>
      <c r="H15" s="8" t="str">
        <f>IFERROR(__xludf.DUMMYFUNCTION("""COMPUTED_VALUE"""),"れきほねを")</f>
        <v>れきほねを</v>
      </c>
      <c r="I15" s="14" t="str">
        <f>IFERROR(__xludf.DUMMYFUNCTION("""COMPUTED_VALUE"""),"TL")</f>
        <v>TL</v>
      </c>
      <c r="J15" s="8"/>
      <c r="K15" s="8"/>
      <c r="L15" s="8" t="str">
        <f>IFERROR(__xludf.DUMMYFUNCTION("""COMPUTED_VALUE"""),"ソルマーレ編集部")</f>
        <v>ソルマーレ編集部</v>
      </c>
      <c r="M15" s="12">
        <f>IFERROR(__xludf.DUMMYFUNCTION("""COMPUTED_VALUE"""),44905.0)</f>
        <v>44905</v>
      </c>
      <c r="N15" s="12">
        <f>IFERROR(__xludf.DUMMYFUNCTION("""COMPUTED_VALUE"""),44966.0)</f>
        <v>44966</v>
      </c>
      <c r="O15" s="11"/>
      <c r="P15" s="9" t="str">
        <f>IFERROR(__xludf.DUMMYFUNCTION("""COMPUTED_VALUE"""),"可")</f>
        <v>可</v>
      </c>
      <c r="Q15" s="8"/>
      <c r="R15" s="9"/>
      <c r="S15" s="8" t="str">
        <f>IFERROR(__xludf.DUMMYFUNCTION("""COMPUTED_VALUE"""),"20221108_ソルマーレ編集部_溶浴")</f>
        <v>20221108_ソルマーレ編集部_溶浴</v>
      </c>
      <c r="T15" s="15"/>
      <c r="U15" s="9" t="str">
        <f>IFERROR(__xludf.DUMMYFUNCTION("""COMPUTED_VALUE"""),"© れきほねを/シーモアコミックス")</f>
        <v>© れきほねを/シーモアコミックス</v>
      </c>
      <c r="V15" s="8" t="str">
        <f>IFERROR(__xludf.DUMMYFUNCTION("""COMPUTED_VALUE"""),"付き合って2年目の記念日に、元彼の柳の浮気現場を目撃してしまった城見（しろみ）。フられた上に、自分は3番目の女だったと告げられ傷心していた。そのうえ、最悪なことに部署は違えど同じ会社なので避けようとしても徐々に追い込まれていた…。そして復縁を迫られ困っているところに「俺の彼女だから」と助けにはいってくれたのは、なんと若手エースの門栗（もぐり）さんだった。
しつこい元彼を撃退してくれた門栗さんから食事に誘われ、ついていくと見覚えのある公園へ。なんと二人は5年前に出会っていて…!?【コミックシーモア毎月マンガ"&amp;"賞銀賞受賞作品】【桃色日記】")</f>
        <v>付き合って2年目の記念日に、元彼の柳の浮気現場を目撃してしまった城見（しろみ）。フられた上に、自分は3番目の女だったと告げられ傷心していた。そのうえ、最悪なことに部署は違えど同じ会社なので避けようとしても徐々に追い込まれていた…。そして復縁を迫られ困っているところに「俺の彼女だから」と助けにはいってくれたのは、なんと若手エースの門栗（もぐり）さんだった。
しつこい元彼を撃退してくれた門栗さんから食事に誘われ、ついていくと見覚えのある公園へ。なんと二人は5年前に出会っていて…!?【コミックシーモア毎月マンガ賞銀賞受賞作品】【桃色日記】</v>
      </c>
      <c r="W15" s="8"/>
      <c r="X15" s="8"/>
      <c r="Y15" s="8"/>
      <c r="Z15" s="7"/>
      <c r="AA15" s="7"/>
      <c r="AB15" s="7"/>
    </row>
    <row r="16">
      <c r="A16" s="8">
        <f>IFERROR(__xludf.DUMMYFUNCTION("""COMPUTED_VALUE"""),1530.0)</f>
        <v>1530</v>
      </c>
      <c r="B16" s="9" t="str">
        <f>IFERROR(__xludf.DUMMYFUNCTION("""COMPUTED_VALUE"""),"確定")</f>
        <v>確定</v>
      </c>
      <c r="C16" s="10">
        <f>IFERROR(__xludf.DUMMYFUNCTION("""COMPUTED_VALUE"""),44879.0)</f>
        <v>44879</v>
      </c>
      <c r="D16" s="10">
        <f>IFERROR(__xludf.DUMMYFUNCTION("""COMPUTED_VALUE"""),44902.0)</f>
        <v>44902</v>
      </c>
      <c r="E16" s="8">
        <f>IFERROR(__xludf.DUMMYFUNCTION("""COMPUTED_VALUE"""),258354.0)</f>
        <v>258354</v>
      </c>
      <c r="F16" s="9" t="str">
        <f>IFERROR(__xludf.DUMMYFUNCTION("""COMPUTED_VALUE"""),"魔法使いに魅入られて")</f>
        <v>魔法使いに魅入られて</v>
      </c>
      <c r="G16" s="11" t="str">
        <f>IFERROR(__xludf.DUMMYFUNCTION("""COMPUTED_VALUE"""),"1～2")</f>
        <v>1～2</v>
      </c>
      <c r="H16" s="8" t="str">
        <f>IFERROR(__xludf.DUMMYFUNCTION("""COMPUTED_VALUE"""),"汐見シャガ")</f>
        <v>汐見シャガ</v>
      </c>
      <c r="I16" s="8" t="str">
        <f>IFERROR(__xludf.DUMMYFUNCTION("""COMPUTED_VALUE"""),"TL")</f>
        <v>TL</v>
      </c>
      <c r="J16" s="8"/>
      <c r="K16" s="8"/>
      <c r="L16" s="8" t="str">
        <f>IFERROR(__xludf.DUMMYFUNCTION("""COMPUTED_VALUE"""),"キルタイムコミュニケーション")</f>
        <v>キルタイムコミュニケーション</v>
      </c>
      <c r="M16" s="12">
        <f>IFERROR(__xludf.DUMMYFUNCTION("""COMPUTED_VALUE"""),44905.0)</f>
        <v>44905</v>
      </c>
      <c r="N16" s="12">
        <f>IFERROR(__xludf.DUMMYFUNCTION("""COMPUTED_VALUE"""),44966.0)</f>
        <v>44966</v>
      </c>
      <c r="O16" s="11"/>
      <c r="P16" s="9" t="str">
        <f>IFERROR(__xludf.DUMMYFUNCTION("""COMPUTED_VALUE"""),"可")</f>
        <v>可</v>
      </c>
      <c r="Q16" s="8" t="str">
        <f>IFERROR(__xludf.DUMMYFUNCTION("""COMPUTED_VALUE"""),"広告コミットOK（11/17）")</f>
        <v>広告コミットOK（11/17）</v>
      </c>
      <c r="R16" s="9" t="str">
        <f>IFERROR(__xludf.DUMMYFUNCTION("""COMPUTED_VALUE"""),"納品済み（素材フォルダに格納）")</f>
        <v>納品済み（素材フォルダに格納）</v>
      </c>
      <c r="S16" s="8" t="str">
        <f>IFERROR(__xludf.DUMMYFUNCTION("""COMPUTED_VALUE"""),"20221114_KTC_魔法使いに魅入られて")</f>
        <v>20221114_KTC_魔法使いに魅入られて</v>
      </c>
      <c r="T16" s="9"/>
      <c r="U16" s="9" t="str">
        <f>IFERROR(__xludf.DUMMYFUNCTION("""COMPUTED_VALUE"""),"©汐見シャガ/キルタイムコミュニケーション")</f>
        <v>©汐見シャガ/キルタイムコミュニケーション</v>
      </c>
      <c r="V16" s="8" t="str">
        <f>IFERROR(__xludf.DUMMYFUNCTION("""COMPUTED_VALUE"""),"変じゃない その感覚は快楽だ 体で覚えろ
一族との契約により50年に一度に花嫁として
魔法使いにささげられることになったエマ。
彼の住む最果ての地に連れていかれその体以外は
名前も服も奪われ彼のものとして生きることに。
覚悟を決め彼の元にいくと花嫁としての
快楽を覚え込まされて溺れていくのであった──")</f>
        <v>変じゃない その感覚は快楽だ 体で覚えろ
一族との契約により50年に一度に花嫁として
魔法使いにささげられることになったエマ。
彼の住む最果ての地に連れていかれその体以外は
名前も服も奪われ彼のものとして生きることに。
覚悟を決め彼の元にいくと花嫁としての
快楽を覚え込まされて溺れていくのであった──</v>
      </c>
      <c r="W16" s="8"/>
      <c r="X16" s="8"/>
      <c r="Y16" s="8"/>
      <c r="Z16" s="7"/>
      <c r="AA16" s="7"/>
      <c r="AB16" s="7"/>
    </row>
    <row r="17">
      <c r="A17" s="8">
        <f>IFERROR(__xludf.DUMMYFUNCTION("""COMPUTED_VALUE"""),1531.0)</f>
        <v>1531</v>
      </c>
      <c r="B17" s="9" t="str">
        <f>IFERROR(__xludf.DUMMYFUNCTION("""COMPUTED_VALUE"""),"確定")</f>
        <v>確定</v>
      </c>
      <c r="C17" s="10">
        <f>IFERROR(__xludf.DUMMYFUNCTION("""COMPUTED_VALUE"""),44879.0)</f>
        <v>44879</v>
      </c>
      <c r="D17" s="10">
        <f>IFERROR(__xludf.DUMMYFUNCTION("""COMPUTED_VALUE"""),44901.0)</f>
        <v>44901</v>
      </c>
      <c r="E17" s="8">
        <f>IFERROR(__xludf.DUMMYFUNCTION("""COMPUTED_VALUE"""),256938.0)</f>
        <v>256938</v>
      </c>
      <c r="F17" s="9" t="str">
        <f>IFERROR(__xludf.DUMMYFUNCTION("""COMPUTED_VALUE"""),"ヒメゴトキャンパス")</f>
        <v>ヒメゴトキャンパス</v>
      </c>
      <c r="G17" s="11" t="str">
        <f>IFERROR(__xludf.DUMMYFUNCTION("""COMPUTED_VALUE"""),"1～3")</f>
        <v>1～3</v>
      </c>
      <c r="H17" s="8" t="str">
        <f>IFERROR(__xludf.DUMMYFUNCTION("""COMPUTED_VALUE"""),"篝犬")</f>
        <v>篝犬</v>
      </c>
      <c r="I17" s="8" t="str">
        <f>IFERROR(__xludf.DUMMYFUNCTION("""COMPUTED_VALUE"""),"青年")</f>
        <v>青年</v>
      </c>
      <c r="J17" s="8"/>
      <c r="K17" s="8"/>
      <c r="L17" s="8" t="str">
        <f>IFERROR(__xludf.DUMMYFUNCTION("""COMPUTED_VALUE"""),"コミックストック")</f>
        <v>コミックストック</v>
      </c>
      <c r="M17" s="12">
        <f>IFERROR(__xludf.DUMMYFUNCTION("""COMPUTED_VALUE"""),44906.0)</f>
        <v>44906</v>
      </c>
      <c r="N17" s="12">
        <f>IFERROR(__xludf.DUMMYFUNCTION("""COMPUTED_VALUE"""),44996.0)</f>
        <v>44996</v>
      </c>
      <c r="O17" s="11"/>
      <c r="P17" s="9" t="str">
        <f>IFERROR(__xludf.DUMMYFUNCTION("""COMPUTED_VALUE"""),"可")</f>
        <v>可</v>
      </c>
      <c r="Q17" s="8" t="str">
        <f>IFERROR(__xludf.DUMMYFUNCTION("""COMPUTED_VALUE"""),"協業：シーモア×Mosh！")</f>
        <v>協業：シーモア×Mosh！</v>
      </c>
      <c r="R17" s="9" t="str">
        <f>IFERROR(__xludf.DUMMYFUNCTION("""COMPUTED_VALUE"""),"格納済")</f>
        <v>格納済</v>
      </c>
      <c r="S17" s="8" t="str">
        <f>IFERROR(__xludf.DUMMYFUNCTION("""COMPUTED_VALUE"""),"20221114_コミックストック_ヒメゴトキャンパス")</f>
        <v>20221114_コミックストック_ヒメゴトキャンパス</v>
      </c>
      <c r="T17" s="9" t="str">
        <f>IFERROR(__xludf.DUMMYFUNCTION("""COMPUTED_VALUE"""),"校了済素材")</f>
        <v>校了済素材</v>
      </c>
      <c r="U17" s="9" t="str">
        <f>IFERROR(__xludf.DUMMYFUNCTION("""COMPUTED_VALUE"""),"ⓒ篝犬/コミックストック")</f>
        <v>ⓒ篝犬/コミックストック</v>
      </c>
      <c r="V17" s="8" t="str">
        <f>IFERROR(__xludf.DUMMYFUNCTION("""COMPUTED_VALUE"""),"「牟田口さんのココ熱くなって…」――幼少期から憧れていた芸術家を探し出すため、都会の美術大学に入学した俺・多田夏樹。美大は見渡す限り、可愛い女の子たちでいっぱい！ 浮足立った俺は、新歓コンパで出会った仲間と宅飲み後、寝落ちしてしまったらしい。目を覚ますと、隣には気になる女性・牟田口（むたぐち）さんが!? む、胸の谷間が近すぎて、俺のムスコは覚醒状態!! 寝ているなら…と柔らかいその体を触ってたら、彼女が目を覚まし…。「ヤバい！このまま俺の人生終わりか！」と思いきや「続きせんでいいと？」だなんて…俺のハジメ"&amp;"ては彼女に!? そんな牟田口さんには秘密があって…。")</f>
        <v>「牟田口さんのココ熱くなって…」――幼少期から憧れていた芸術家を探し出すため、都会の美術大学に入学した俺・多田夏樹。美大は見渡す限り、可愛い女の子たちでいっぱい！ 浮足立った俺は、新歓コンパで出会った仲間と宅飲み後、寝落ちしてしまったらしい。目を覚ますと、隣には気になる女性・牟田口（むたぐち）さんが!? む、胸の谷間が近すぎて、俺のムスコは覚醒状態!! 寝ているなら…と柔らかいその体を触ってたら、彼女が目を覚まし…。「ヤバい！このまま俺の人生終わりか！」と思いきや「続きせんでいいと？」だなんて…俺のハジメては彼女に!? そんな牟田口さんには秘密があって…。</v>
      </c>
      <c r="W17" s="8"/>
      <c r="X17" s="8"/>
      <c r="Y17" s="8"/>
      <c r="Z17" s="7"/>
      <c r="AA17" s="7"/>
      <c r="AB17" s="7"/>
    </row>
    <row r="18">
      <c r="A18" s="8">
        <f>IFERROR(__xludf.DUMMYFUNCTION("""COMPUTED_VALUE"""),1419.0)</f>
        <v>1419</v>
      </c>
      <c r="B18" s="9" t="str">
        <f>IFERROR(__xludf.DUMMYFUNCTION("""COMPUTED_VALUE"""),"確定")</f>
        <v>確定</v>
      </c>
      <c r="C18" s="10">
        <f>IFERROR(__xludf.DUMMYFUNCTION("""COMPUTED_VALUE"""),44820.0)</f>
        <v>44820</v>
      </c>
      <c r="D18" s="10">
        <f>IFERROR(__xludf.DUMMYFUNCTION("""COMPUTED_VALUE"""),44901.0)</f>
        <v>44901</v>
      </c>
      <c r="E18" s="8">
        <f>IFERROR(__xludf.DUMMYFUNCTION("""COMPUTED_VALUE"""),257082.0)</f>
        <v>257082</v>
      </c>
      <c r="F18" s="9" t="str">
        <f>IFERROR(__xludf.DUMMYFUNCTION("""COMPUTED_VALUE"""),"本番前です、山本さん！")</f>
        <v>本番前です、山本さん！</v>
      </c>
      <c r="G18" s="11">
        <f>IFERROR(__xludf.DUMMYFUNCTION("""COMPUTED_VALUE"""),1.0)</f>
        <v>1</v>
      </c>
      <c r="H18" s="8" t="str">
        <f>IFERROR(__xludf.DUMMYFUNCTION("""COMPUTED_VALUE"""),"さとうさとし")</f>
        <v>さとうさとし</v>
      </c>
      <c r="I18" s="8" t="str">
        <f>IFERROR(__xludf.DUMMYFUNCTION("""COMPUTED_VALUE"""),"女性")</f>
        <v>女性</v>
      </c>
      <c r="J18" s="8"/>
      <c r="K18" s="8"/>
      <c r="L18" s="8" t="str">
        <f>IFERROR(__xludf.DUMMYFUNCTION("""COMPUTED_VALUE"""),"講談社")</f>
        <v>講談社</v>
      </c>
      <c r="M18" s="12">
        <f>IFERROR(__xludf.DUMMYFUNCTION("""COMPUTED_VALUE"""),44908.0)</f>
        <v>44908</v>
      </c>
      <c r="N18" s="12">
        <f>IFERROR(__xludf.DUMMYFUNCTION("""COMPUTED_VALUE"""),44915.0)</f>
        <v>44915</v>
      </c>
      <c r="O18" s="11"/>
      <c r="P18" s="9" t="str">
        <f>IFERROR(__xludf.DUMMYFUNCTION("""COMPUTED_VALUE"""),"否")</f>
        <v>否</v>
      </c>
      <c r="Q18" s="8" t="str">
        <f>IFERROR(__xludf.DUMMYFUNCTION("""COMPUTED_VALUE"""),"広告コミットOK（9/22）&lt;BR&gt;事前の出稿検討依頼です")</f>
        <v>広告コミットOK（9/22）&lt;BR&gt;事前の出稿検討依頼です</v>
      </c>
      <c r="R18" s="9"/>
      <c r="S18" s="8" t="str">
        <f>IFERROR(__xludf.DUMMYFUNCTION("""COMPUTED_VALUE"""),"20221108_講談社_本番前です、山本さん！")</f>
        <v>20221108_講談社_本番前です、山本さん！</v>
      </c>
      <c r="T18" s="9"/>
      <c r="U18" s="9" t="str">
        <f>IFERROR(__xludf.DUMMYFUNCTION("""COMPUTED_VALUE"""),"©さとうさとし/講談社")</f>
        <v>©さとうさとし/講談社</v>
      </c>
      <c r="V18" s="8" t="str">
        <f>IFERROR(__xludf.DUMMYFUNCTION("""COMPUTED_VALUE"""),"☆特典カラーイラスト＆スペシャル描き下ろし付き☆
恋を知らない国民的人気俳優×失恋直後のプロマネージャー、目が離せない芸能界シークレットラブ！
芸能事務所でマネージャーとして働く律。担当していた若手俳優で幼なじみのショウに失恋し、悲しみのどん底にいた彼女の目の前に現れたのは、国民的人気俳優の山本伊織だった！ 意地悪で身勝手だけど、不思議な魅力のある彼から目が離せなくて…？
大人気俳優×マネージャーの秘密のお付き合い、第１巻！
※分冊版「本番前です、山本さん！」１～４巻収録
※本コンテンツには、コミックシー"&amp;"モア限定特典が付与されています")</f>
        <v>☆特典カラーイラスト＆スペシャル描き下ろし付き☆
恋を知らない国民的人気俳優×失恋直後のプロマネージャー、目が離せない芸能界シークレットラブ！
芸能事務所でマネージャーとして働く律。担当していた若手俳優で幼なじみのショウに失恋し、悲しみのどん底にいた彼女の目の前に現れたのは、国民的人気俳優の山本伊織だった！ 意地悪で身勝手だけど、不思議な魅力のある彼から目が離せなくて…？
大人気俳優×マネージャーの秘密のお付き合い、第１巻！
※分冊版「本番前です、山本さん！」１～４巻収録
※本コンテンツには、コミックシーモア限定特典が付与されています</v>
      </c>
      <c r="W18" s="8"/>
      <c r="X18" s="8"/>
      <c r="Y18" s="8"/>
      <c r="Z18" s="7"/>
      <c r="AA18" s="7"/>
      <c r="AB18" s="7"/>
    </row>
    <row r="19">
      <c r="A19" s="8">
        <f>IFERROR(__xludf.DUMMYFUNCTION("""COMPUTED_VALUE"""),1501.0)</f>
        <v>1501</v>
      </c>
      <c r="B19" s="9" t="str">
        <f>IFERROR(__xludf.DUMMYFUNCTION("""COMPUTED_VALUE"""),"確定")</f>
        <v>確定</v>
      </c>
      <c r="C19" s="10">
        <f>IFERROR(__xludf.DUMMYFUNCTION("""COMPUTED_VALUE"""),44869.0)</f>
        <v>44869</v>
      </c>
      <c r="D19" s="10">
        <f>IFERROR(__xludf.DUMMYFUNCTION("""COMPUTED_VALUE"""),44901.0)</f>
        <v>44901</v>
      </c>
      <c r="E19" s="8">
        <f>IFERROR(__xludf.DUMMYFUNCTION("""COMPUTED_VALUE"""),257084.0)</f>
        <v>257084</v>
      </c>
      <c r="F19" s="9" t="str">
        <f>IFERROR(__xludf.DUMMYFUNCTION("""COMPUTED_VALUE"""),"【単話版】かつて夫婦だった恋人たちへ")</f>
        <v>【単話版】かつて夫婦だった恋人たちへ</v>
      </c>
      <c r="G19" s="16" t="str">
        <f>IFERROR(__xludf.DUMMYFUNCTION("""COMPUTED_VALUE"""),"1～4")</f>
        <v>1～4</v>
      </c>
      <c r="H19" s="8" t="str">
        <f>IFERROR(__xludf.DUMMYFUNCTION("""COMPUTED_VALUE"""),"原作：ななしなあめ子　作画：工藤あい")</f>
        <v>原作：ななしなあめ子　作画：工藤あい</v>
      </c>
      <c r="I19" s="8" t="str">
        <f>IFERROR(__xludf.DUMMYFUNCTION("""COMPUTED_VALUE"""),"女性")</f>
        <v>女性</v>
      </c>
      <c r="J19" s="8"/>
      <c r="K19" s="8"/>
      <c r="L19" s="8" t="str">
        <f>IFERROR(__xludf.DUMMYFUNCTION("""COMPUTED_VALUE"""),"新潮社")</f>
        <v>新潮社</v>
      </c>
      <c r="M19" s="12">
        <f>IFERROR(__xludf.DUMMYFUNCTION("""COMPUTED_VALUE"""),44909.0)</f>
        <v>44909</v>
      </c>
      <c r="N19" s="12">
        <f>IFERROR(__xludf.DUMMYFUNCTION("""COMPUTED_VALUE"""),44999.0)</f>
        <v>44999</v>
      </c>
      <c r="O19" s="11"/>
      <c r="P19" s="9" t="str">
        <f>IFERROR(__xludf.DUMMYFUNCTION("""COMPUTED_VALUE"""),"否")</f>
        <v>否</v>
      </c>
      <c r="Q19" s="8" t="str">
        <f>IFERROR(__xludf.DUMMYFUNCTION("""COMPUTED_VALUE"""),"新潮社との協業作品第一弾となります&lt;BR&gt;レーベル名：KANATA withコミックシーモア&lt;BR&gt;&lt;BR&gt;タイトル名、コピーライト変更しました（11/9）古谷&lt;BR&gt;")</f>
        <v>新潮社との協業作品第一弾となります&lt;BR&gt;レーベル名：KANATA withコミックシーモア&lt;BR&gt;&lt;BR&gt;タイトル名、コピーライト変更しました（11/9）古谷&lt;BR&gt;</v>
      </c>
      <c r="R19" s="9"/>
      <c r="S19" s="8" t="str">
        <f>IFERROR(__xludf.DUMMYFUNCTION("""COMPUTED_VALUE"""),"20221104_新潮社_かつて夫婦だった恋人たちへ")</f>
        <v>20221104_新潮社_かつて夫婦だった恋人たちへ</v>
      </c>
      <c r="T19" s="9"/>
      <c r="U19" s="9" t="str">
        <f>IFERROR(__xludf.DUMMYFUNCTION("""COMPUTED_VALUE"""),"©ななしなあめ子 工藤あい／新潮社")</f>
        <v>©ななしなあめ子 工藤あい／新潮社</v>
      </c>
      <c r="V19" s="8" t="str">
        <f>IFERROR(__xludf.DUMMYFUNCTION("""COMPUTED_VALUE"""),"不倫をサレて離婚した「すず」には同棲中の新しい恋人「宗一」がいる。宗一との関係は良好だが、彼に対してどうしても踏み込めない領域があった。それは、定期的に会っている元妻との娘「果音」の存在。一方で、不倫をシタ結果、離婚となった宋一の元妻「実奈子」は元夫の事が忘れられず、娘を口実に距離を縮めてゆき――。離婚を経験した男女の恋と葛藤を描く、痛みの物語。単話版第1巻！")</f>
        <v>不倫をサレて離婚した「すず」には同棲中の新しい恋人「宗一」がいる。宗一との関係は良好だが、彼に対してどうしても踏み込めない領域があった。それは、定期的に会っている元妻との娘「果音」の存在。一方で、不倫をシタ結果、離婚となった宋一の元妻「実奈子」は元夫の事が忘れられず、娘を口実に距離を縮めてゆき――。離婚を経験した男女の恋と葛藤を描く、痛みの物語。単話版第1巻！</v>
      </c>
      <c r="W19" s="8"/>
      <c r="X19" s="8"/>
      <c r="Y19" s="8"/>
      <c r="Z19" s="7"/>
      <c r="AA19" s="7"/>
      <c r="AB19" s="7"/>
    </row>
    <row r="20">
      <c r="A20" s="8">
        <f>IFERROR(__xludf.DUMMYFUNCTION("""COMPUTED_VALUE"""),1380.0)</f>
        <v>1380</v>
      </c>
      <c r="B20" s="9" t="str">
        <f>IFERROR(__xludf.DUMMYFUNCTION("""COMPUTED_VALUE"""),"確定")</f>
        <v>確定</v>
      </c>
      <c r="C20" s="10">
        <f>IFERROR(__xludf.DUMMYFUNCTION("""COMPUTED_VALUE"""),44805.0)</f>
        <v>44805</v>
      </c>
      <c r="D20" s="10">
        <f>IFERROR(__xludf.DUMMYFUNCTION("""COMPUTED_VALUE"""),44901.0)</f>
        <v>44901</v>
      </c>
      <c r="E20" s="8">
        <f>IFERROR(__xludf.DUMMYFUNCTION("""COMPUTED_VALUE"""),257093.0)</f>
        <v>257093</v>
      </c>
      <c r="F20" s="9" t="str">
        <f>IFERROR(__xludf.DUMMYFUNCTION("""COMPUTED_VALUE"""),"絡まる執愛、孕むまで抱く ～この発情は抑制できない～")</f>
        <v>絡まる執愛、孕むまで抱く ～この発情は抑制できない～</v>
      </c>
      <c r="G20" s="11" t="str">
        <f>IFERROR(__xludf.DUMMYFUNCTION("""COMPUTED_VALUE"""),"1～2")</f>
        <v>1～2</v>
      </c>
      <c r="H20" s="8" t="str">
        <f>IFERROR(__xludf.DUMMYFUNCTION("""COMPUTED_VALUE"""),"羽柴みず")</f>
        <v>羽柴みず</v>
      </c>
      <c r="I20" s="8" t="str">
        <f>IFERROR(__xludf.DUMMYFUNCTION("""COMPUTED_VALUE"""),"TL")</f>
        <v>TL</v>
      </c>
      <c r="J20" s="8"/>
      <c r="K20" s="8"/>
      <c r="L20" s="8" t="str">
        <f>IFERROR(__xludf.DUMMYFUNCTION("""COMPUTED_VALUE"""),"リブレ")</f>
        <v>リブレ</v>
      </c>
      <c r="M20" s="12">
        <f>IFERROR(__xludf.DUMMYFUNCTION("""COMPUTED_VALUE"""),44910.0)</f>
        <v>44910</v>
      </c>
      <c r="N20" s="12">
        <f>IFERROR(__xludf.DUMMYFUNCTION("""COMPUTED_VALUE"""),44944.0)</f>
        <v>44944</v>
      </c>
      <c r="O20" s="11"/>
      <c r="P20" s="9" t="str">
        <f>IFERROR(__xludf.DUMMYFUNCTION("""COMPUTED_VALUE"""),"可")</f>
        <v>可</v>
      </c>
      <c r="Q20" s="8" t="str">
        <f>IFERROR(__xludf.DUMMYFUNCTION("""COMPUTED_VALUE"""),"広告コミットOK（9/2）&lt;BR&gt;事前検討。出稿可であれば先行確定です。&lt;BR&gt;\\solma-fs\all\12_電子書籍事業部\15_ライツビジネスG\ライツ営業T\目的別\01.webプロモ関連\02.出稿用素材格納先\素材暫定格納フォルダ\01.外部出稿事前検討用\検討用_20220901_リブレ_羽柴みず先生&lt;BR&gt;完パケデータ格納しました（10/21）")</f>
        <v>広告コミットOK（9/2）&lt;BR&gt;事前検討。出稿可であれば先行確定です。&lt;BR&gt;\\solma-fs\all\12_電子書籍事業部\15_ライツビジネスG\ライツ営業T\目的別\01.webプロモ関連\02.出稿用素材格納先\素材暫定格納フォルダ\01.外部出稿事前検討用\検討用_20220901_リブレ_羽柴みず先生&lt;BR&gt;完パケデータ格納しました（10/21）</v>
      </c>
      <c r="R20" s="9"/>
      <c r="S20" s="8" t="str">
        <f>IFERROR(__xludf.DUMMYFUNCTION("""COMPUTED_VALUE"""),"20221021_リブレ_絡まる執愛、孕むまで抱く ～この発情は抑制できない～")</f>
        <v>20221021_リブレ_絡まる執愛、孕むまで抱く ～この発情は抑制できない～</v>
      </c>
      <c r="T20" s="9"/>
      <c r="U20" s="9" t="str">
        <f>IFERROR(__xludf.DUMMYFUNCTION("""COMPUTED_VALUE"""),"©羽柴みず/libre")</f>
        <v>©羽柴みず/libre</v>
      </c>
      <c r="V20" s="8" t="str">
        <f>IFERROR(__xludf.DUMMYFUNCTION("""COMPUTED_VALUE"""),"その発情期をおさえる『抑制剤』は、まだない。
本能と純愛が止まらないドラマチック・オメガバース!!
両親を亡くし弟の進学のため、懸命に働く橘美琴。普通のベータとして平穏に暮らしていたのに、なぜか街で偶然出会ったアルファの八雲律を初めて発情させてしまう!?
「ありえない、この俺が発情だと？　一度もオメガのフェロモンに反応したことなどない俺が…っ」
律はアルファの中でも超エリートで、オメガに発情しないアルファだった。
出会ったばかりなのに、二人は手が触れた途端、身体が熱くなり、本能が求めるようにキスしてしま"&amp;"う。そして美琴は奥まで舌と指で愛撫され…!?
「君は俺の『運命の番』だ」
美琴は律によってベータからオメガへ目覚め、激しく甘く彼に執着されてゆく――")</f>
        <v>その発情期をおさえる『抑制剤』は、まだない。
本能と純愛が止まらないドラマチック・オメガバース!!
両親を亡くし弟の進学のため、懸命に働く橘美琴。普通のベータとして平穏に暮らしていたのに、なぜか街で偶然出会ったアルファの八雲律を初めて発情させてしまう!?
「ありえない、この俺が発情だと？　一度もオメガのフェロモンに反応したことなどない俺が…っ」
律はアルファの中でも超エリートで、オメガに発情しないアルファだった。
出会ったばかりなのに、二人は手が触れた途端、身体が熱くなり、本能が求めるようにキスしてしまう。そして美琴は奥まで舌と指で愛撫され…!?
「君は俺の『運命の番』だ」
美琴は律によってベータからオメガへ目覚め、激しく甘く彼に執着されてゆく――</v>
      </c>
      <c r="W20" s="8"/>
      <c r="X20" s="8"/>
      <c r="Y20" s="8"/>
      <c r="Z20" s="7"/>
      <c r="AA20" s="7"/>
      <c r="AB20" s="7"/>
    </row>
    <row r="21" ht="15.75" customHeight="1">
      <c r="A21" s="8">
        <f>IFERROR(__xludf.DUMMYFUNCTION("""COMPUTED_VALUE"""),1482.0)</f>
        <v>1482</v>
      </c>
      <c r="B21" s="9" t="str">
        <f>IFERROR(__xludf.DUMMYFUNCTION("""COMPUTED_VALUE"""),"確定")</f>
        <v>確定</v>
      </c>
      <c r="C21" s="10">
        <f>IFERROR(__xludf.DUMMYFUNCTION("""COMPUTED_VALUE"""),44861.0)</f>
        <v>44861</v>
      </c>
      <c r="D21" s="10">
        <f>IFERROR(__xludf.DUMMYFUNCTION("""COMPUTED_VALUE"""),44901.0)</f>
        <v>44901</v>
      </c>
      <c r="E21" s="8">
        <f>IFERROR(__xludf.DUMMYFUNCTION("""COMPUTED_VALUE"""),258934.0)</f>
        <v>258934</v>
      </c>
      <c r="F21" s="9" t="str">
        <f>IFERROR(__xludf.DUMMYFUNCTION("""COMPUTED_VALUE"""),"皆様には人権がございません")</f>
        <v>皆様には人権がございません</v>
      </c>
      <c r="G21" s="11" t="str">
        <f>IFERROR(__xludf.DUMMYFUNCTION("""COMPUTED_VALUE"""),"1～5")</f>
        <v>1～5</v>
      </c>
      <c r="H21" s="8" t="str">
        <f>IFERROR(__xludf.DUMMYFUNCTION("""COMPUTED_VALUE"""),"三石メガネ")</f>
        <v>三石メガネ</v>
      </c>
      <c r="I21" s="14" t="str">
        <f>IFERROR(__xludf.DUMMYFUNCTION("""COMPUTED_VALUE"""),"青年")</f>
        <v>青年</v>
      </c>
      <c r="J21" s="8"/>
      <c r="K21" s="8"/>
      <c r="L21" s="8" t="str">
        <f>IFERROR(__xludf.DUMMYFUNCTION("""COMPUTED_VALUE"""),"taskey")</f>
        <v>taskey</v>
      </c>
      <c r="M21" s="12">
        <f>IFERROR(__xludf.DUMMYFUNCTION("""COMPUTED_VALUE"""),44910.0)</f>
        <v>44910</v>
      </c>
      <c r="N21" s="12">
        <f>IFERROR(__xludf.DUMMYFUNCTION("""COMPUTED_VALUE"""),45000.66666666667)</f>
        <v>45000.66667</v>
      </c>
      <c r="O21" s="11"/>
      <c r="P21" s="9" t="str">
        <f>IFERROR(__xludf.DUMMYFUNCTION("""COMPUTED_VALUE"""),"可")</f>
        <v>可</v>
      </c>
      <c r="Q21" s="8" t="str">
        <f>IFERROR(__xludf.DUMMYFUNCTION("""COMPUTED_VALUE"""),"広告コミットOK（10/27）&lt;BR&gt;1118素材格納")</f>
        <v>広告コミットOK（10/27）&lt;BR&gt;1118素材格納</v>
      </c>
      <c r="R21" s="9"/>
      <c r="S21" s="8" t="str">
        <f>IFERROR(__xludf.DUMMYFUNCTION("""COMPUTED_VALUE"""),"20221118_taskey_皆様には人権がございません")</f>
        <v>20221118_taskey_皆様には人権がございません</v>
      </c>
      <c r="T21" s="9"/>
      <c r="U21" s="9" t="str">
        <f>IFERROR(__xludf.DUMMYFUNCTION("""COMPUTED_VALUE"""),"©三石メガネ/taskey")</f>
        <v>©三石メガネ/taskey</v>
      </c>
      <c r="V21" s="8" t="str">
        <f>IFERROR(__xludf.DUMMYFUNCTION("""COMPUTED_VALUE"""),"『人権適正使用法』施行から××年。街では「人権のある人間」が豊かに暮らし、「人権のない家畜認定されたヒト」がショーウィンドウに並んでいる。ペットや実験動物、食用肉にされるヒトたちは、俺とは別世界に住む、かわいそうな生き物だ…そのはず、だったーー。e-Storyアプリ「peep」の大人気サスペンススリラーが、待望のコミカライズ化！！")</f>
        <v>『人権適正使用法』施行から××年。街では「人権のある人間」が豊かに暮らし、「人権のない家畜認定されたヒト」がショーウィンドウに並んでいる。ペットや実験動物、食用肉にされるヒトたちは、俺とは別世界に住む、かわいそうな生き物だ…そのはず、だったーー。e-Storyアプリ「peep」の大人気サスペンススリラーが、待望のコミカライズ化！！</v>
      </c>
      <c r="W21" s="8"/>
      <c r="X21" s="8"/>
      <c r="Y21" s="8"/>
      <c r="Z21" s="7"/>
      <c r="AA21" s="7"/>
      <c r="AB21" s="7"/>
    </row>
    <row r="22" ht="15.75" customHeight="1">
      <c r="A22" s="8">
        <f>IFERROR(__xludf.DUMMYFUNCTION("""COMPUTED_VALUE"""),1513.0)</f>
        <v>1513</v>
      </c>
      <c r="B22" s="9" t="str">
        <f>IFERROR(__xludf.DUMMYFUNCTION("""COMPUTED_VALUE"""),"確定")</f>
        <v>確定</v>
      </c>
      <c r="C22" s="10">
        <f>IFERROR(__xludf.DUMMYFUNCTION("""COMPUTED_VALUE"""),44874.0)</f>
        <v>44874</v>
      </c>
      <c r="D22" s="10">
        <f>IFERROR(__xludf.DUMMYFUNCTION("""COMPUTED_VALUE"""),44901.0)</f>
        <v>44901</v>
      </c>
      <c r="E22" s="8">
        <f>IFERROR(__xludf.DUMMYFUNCTION("""COMPUTED_VALUE"""),257106.0)</f>
        <v>257106</v>
      </c>
      <c r="F22" s="9" t="str">
        <f>IFERROR(__xludf.DUMMYFUNCTION("""COMPUTED_VALUE"""),"敏腕若社長の甘い誤算～鈍感秘書は初恋相手の愛人になりました!?～")</f>
        <v>敏腕若社長の甘い誤算～鈍感秘書は初恋相手の愛人になりました!?～</v>
      </c>
      <c r="G22" s="11">
        <f>IFERROR(__xludf.DUMMYFUNCTION("""COMPUTED_VALUE"""),1.0)</f>
        <v>1</v>
      </c>
      <c r="H22" s="8" t="str">
        <f>IFERROR(__xludf.DUMMYFUNCTION("""COMPUTED_VALUE"""),"天点")</f>
        <v>天点</v>
      </c>
      <c r="I22" s="8" t="str">
        <f>IFERROR(__xludf.DUMMYFUNCTION("""COMPUTED_VALUE"""),"TL")</f>
        <v>TL</v>
      </c>
      <c r="J22" s="8"/>
      <c r="K22" s="8"/>
      <c r="L22" s="8" t="str">
        <f>IFERROR(__xludf.DUMMYFUNCTION("""COMPUTED_VALUE"""),"乙女ドルチェ・コミックス")</f>
        <v>乙女ドルチェ・コミックス</v>
      </c>
      <c r="M22" s="12">
        <f>IFERROR(__xludf.DUMMYFUNCTION("""COMPUTED_VALUE"""),44910.0)</f>
        <v>44910</v>
      </c>
      <c r="N22" s="12">
        <f>IFERROR(__xludf.DUMMYFUNCTION("""COMPUTED_VALUE"""),44578.0)</f>
        <v>44578</v>
      </c>
      <c r="O22" s="11"/>
      <c r="P22" s="9" t="str">
        <f>IFERROR(__xludf.DUMMYFUNCTION("""COMPUTED_VALUE"""),"可")</f>
        <v>可</v>
      </c>
      <c r="Q22" s="8"/>
      <c r="R22" s="9"/>
      <c r="S22" s="8" t="str">
        <f>IFERROR(__xludf.DUMMYFUNCTION("""COMPUTED_VALUE"""),"20221109_乙女ドルチェコミックス_12月新作")</f>
        <v>20221109_乙女ドルチェコミックス_12月新作</v>
      </c>
      <c r="T22" s="9"/>
      <c r="U22" s="9" t="str">
        <f>IFERROR(__xludf.DUMMYFUNCTION("""COMPUTED_VALUE"""),"©天点・にしのムラサキ／ハーパーコリンズ・ジャパン")</f>
        <v>©天点・にしのムラサキ／ハーパーコリンズ・ジャパン</v>
      </c>
      <c r="V22" s="8" t="str">
        <f>IFERROR(__xludf.DUMMYFUNCTION("""COMPUTED_VALUE"""),"――興奮しすぎて壊してしまいそう
真帆…こうされるのははじめて？
ある日突然、社長秘書に抜擢された真帆。若くてやり手の社長・海斗は、なんと真帆の初恋の人だった！　秘書になって数日後、酔って記憶をなくした真帆は彼と一夜を共にし、「あなたと俺は今日から“そういう”関係です」と言われる。…これって“愛人宣言”!?　冷徹と噂される海斗の、まるで本当に愛しているような激しい抱擁と甘い囁き、そして蕩けるような愛撫。愛人とわかっていても、心も体も溺れていく真帆──。そんな折、大使館のパーティーに海斗のお供として出席し"&amp;"た彼女は、金髪碧眼のイケメン・エバンズに急接近されて…!?")</f>
        <v>――興奮しすぎて壊してしまいそう
真帆…こうされるのははじめて？
ある日突然、社長秘書に抜擢された真帆。若くてやり手の社長・海斗は、なんと真帆の初恋の人だった！　秘書になって数日後、酔って記憶をなくした真帆は彼と一夜を共にし、「あなたと俺は今日から“そういう”関係です」と言われる。…これって“愛人宣言”!?　冷徹と噂される海斗の、まるで本当に愛しているような激しい抱擁と甘い囁き、そして蕩けるような愛撫。愛人とわかっていても、心も体も溺れていく真帆──。そんな折、大使館のパーティーに海斗のお供として出席した彼女は、金髪碧眼のイケメン・エバンズに急接近されて…!?</v>
      </c>
      <c r="W22" s="8"/>
      <c r="X22" s="8"/>
      <c r="Y22" s="8"/>
      <c r="Z22" s="7"/>
      <c r="AA22" s="7"/>
      <c r="AB22" s="7"/>
    </row>
    <row r="23" ht="15.75" customHeight="1">
      <c r="A23" s="8">
        <f>IFERROR(__xludf.DUMMYFUNCTION("""COMPUTED_VALUE"""),1514.0)</f>
        <v>1514</v>
      </c>
      <c r="B23" s="9" t="str">
        <f>IFERROR(__xludf.DUMMYFUNCTION("""COMPUTED_VALUE"""),"確定")</f>
        <v>確定</v>
      </c>
      <c r="C23" s="10">
        <f>IFERROR(__xludf.DUMMYFUNCTION("""COMPUTED_VALUE"""),44874.0)</f>
        <v>44874</v>
      </c>
      <c r="D23" s="10">
        <f>IFERROR(__xludf.DUMMYFUNCTION("""COMPUTED_VALUE"""),44901.0)</f>
        <v>44901</v>
      </c>
      <c r="E23" s="8">
        <f>IFERROR(__xludf.DUMMYFUNCTION("""COMPUTED_VALUE"""),257107.0)</f>
        <v>257107</v>
      </c>
      <c r="F23" s="9" t="str">
        <f>IFERROR(__xludf.DUMMYFUNCTION("""COMPUTED_VALUE"""),"陛下、結婚してください！～絶対君主は無垢な花嫁に陥落寸前!?～")</f>
        <v>陛下、結婚してください！～絶対君主は無垢な花嫁に陥落寸前!?～</v>
      </c>
      <c r="G23" s="11">
        <f>IFERROR(__xludf.DUMMYFUNCTION("""COMPUTED_VALUE"""),1.0)</f>
        <v>1</v>
      </c>
      <c r="H23" s="8" t="str">
        <f>IFERROR(__xludf.DUMMYFUNCTION("""COMPUTED_VALUE"""),"青樹 緫・すずね凜")</f>
        <v>青樹 緫・すずね凜</v>
      </c>
      <c r="I23" s="8" t="str">
        <f>IFERROR(__xludf.DUMMYFUNCTION("""COMPUTED_VALUE"""),"TL")</f>
        <v>TL</v>
      </c>
      <c r="J23" s="8"/>
      <c r="K23" s="8"/>
      <c r="L23" s="8" t="str">
        <f>IFERROR(__xludf.DUMMYFUNCTION("""COMPUTED_VALUE"""),"乙女ドルチェ・コミックス")</f>
        <v>乙女ドルチェ・コミックス</v>
      </c>
      <c r="M23" s="12">
        <f>IFERROR(__xludf.DUMMYFUNCTION("""COMPUTED_VALUE"""),44910.0)</f>
        <v>44910</v>
      </c>
      <c r="N23" s="12">
        <f>IFERROR(__xludf.DUMMYFUNCTION("""COMPUTED_VALUE"""),44578.0)</f>
        <v>44578</v>
      </c>
      <c r="O23" s="11"/>
      <c r="P23" s="9" t="str">
        <f>IFERROR(__xludf.DUMMYFUNCTION("""COMPUTED_VALUE"""),"可")</f>
        <v>可</v>
      </c>
      <c r="Q23" s="8"/>
      <c r="R23" s="9"/>
      <c r="S23" s="8" t="str">
        <f>IFERROR(__xludf.DUMMYFUNCTION("""COMPUTED_VALUE"""),"20221109_乙女ドルチェコミックス_12月新作")</f>
        <v>20221109_乙女ドルチェコミックス_12月新作</v>
      </c>
      <c r="T23" s="9"/>
      <c r="U23" s="9" t="str">
        <f>IFERROR(__xludf.DUMMYFUNCTION("""COMPUTED_VALUE"""),"©青樹 緫・すずね凜／ハーパーコリンズ・ジャパン")</f>
        <v>©青樹 緫・すずね凜／ハーパーコリンズ・ジャパン</v>
      </c>
      <c r="V23" s="8" t="str">
        <f>IFERROR(__xludf.DUMMYFUNCTION("""COMPUTED_VALUE"""),"拒まれても、試されても、恋心は止められない
憧れの皇帝バルタザールの妃候補として育てられた公爵令嬢ポーレットは、初めての拝謁の際、彼を事故からかばって怪我を負い、城に滞在することに。不合理な妃制度自体を否定するバルタザールは、純粋で好奇心旺盛なポーレットに惹かれながらも、一途に向けられる好意を拒み、彼女を脅すかのように甘いキスを与える。「どうだ、私はやはり怖い男だろう？」日々エスカレートしてゆく大人の行為。バルタザールの淫らな指技に未知の快楽を教え込まれ、世間で冷徹と畏怖されている彼の素顔に触れるたび、"&amp;"ポーレットの想いは募るばかりで――。")</f>
        <v>拒まれても、試されても、恋心は止められない
憧れの皇帝バルタザールの妃候補として育てられた公爵令嬢ポーレットは、初めての拝謁の際、彼を事故からかばって怪我を負い、城に滞在することに。不合理な妃制度自体を否定するバルタザールは、純粋で好奇心旺盛なポーレットに惹かれながらも、一途に向けられる好意を拒み、彼女を脅すかのように甘いキスを与える。「どうだ、私はやはり怖い男だろう？」日々エスカレートしてゆく大人の行為。バルタザールの淫らな指技に未知の快楽を教え込まれ、世間で冷徹と畏怖されている彼の素顔に触れるたび、ポーレットの想いは募るばかりで――。</v>
      </c>
      <c r="W23" s="8"/>
      <c r="X23" s="8"/>
      <c r="Y23" s="8"/>
      <c r="Z23" s="7"/>
      <c r="AA23" s="7"/>
      <c r="AB23" s="7"/>
    </row>
    <row r="24" ht="15.75" customHeight="1">
      <c r="A24" s="8">
        <f>IFERROR(__xludf.DUMMYFUNCTION("""COMPUTED_VALUE"""),1533.0)</f>
        <v>1533</v>
      </c>
      <c r="B24" s="9" t="str">
        <f>IFERROR(__xludf.DUMMYFUNCTION("""COMPUTED_VALUE"""),"確定")</f>
        <v>確定</v>
      </c>
      <c r="C24" s="10">
        <f>IFERROR(__xludf.DUMMYFUNCTION("""COMPUTED_VALUE"""),44879.0)</f>
        <v>44879</v>
      </c>
      <c r="D24" s="10">
        <f>IFERROR(__xludf.DUMMYFUNCTION("""COMPUTED_VALUE"""),44901.0)</f>
        <v>44901</v>
      </c>
      <c r="E24" s="8">
        <f>IFERROR(__xludf.DUMMYFUNCTION("""COMPUTED_VALUE"""),257105.0)</f>
        <v>257105</v>
      </c>
      <c r="F24" s="9" t="str">
        <f>IFERROR(__xludf.DUMMYFUNCTION("""COMPUTED_VALUE"""),"新米秘書は俺様ボスに抱かれたい")</f>
        <v>新米秘書は俺様ボスに抱かれたい</v>
      </c>
      <c r="G24" s="11" t="str">
        <f>IFERROR(__xludf.DUMMYFUNCTION("""COMPUTED_VALUE"""),"1～2")</f>
        <v>1～2</v>
      </c>
      <c r="H24" s="8" t="str">
        <f>IFERROR(__xludf.DUMMYFUNCTION("""COMPUTED_VALUE"""),"ミヤケ円")</f>
        <v>ミヤケ円</v>
      </c>
      <c r="I24" s="8" t="str">
        <f>IFERROR(__xludf.DUMMYFUNCTION("""COMPUTED_VALUE"""),"女性")</f>
        <v>女性</v>
      </c>
      <c r="J24" s="8"/>
      <c r="K24" s="8"/>
      <c r="L24" s="8" t="str">
        <f>IFERROR(__xludf.DUMMYFUNCTION("""COMPUTED_VALUE"""),"秋田書店")</f>
        <v>秋田書店</v>
      </c>
      <c r="M24" s="12">
        <f>IFERROR(__xludf.DUMMYFUNCTION("""COMPUTED_VALUE"""),44910.0)</f>
        <v>44910</v>
      </c>
      <c r="N24" s="12">
        <f>IFERROR(__xludf.DUMMYFUNCTION("""COMPUTED_VALUE"""),44972.0)</f>
        <v>44972</v>
      </c>
      <c r="O24" s="11"/>
      <c r="P24" s="9" t="str">
        <f>IFERROR(__xludf.DUMMYFUNCTION("""COMPUTED_VALUE"""),"否")</f>
        <v>否</v>
      </c>
      <c r="Q24" s="8"/>
      <c r="R24" s="9"/>
      <c r="S24" s="8" t="str">
        <f>IFERROR(__xludf.DUMMYFUNCTION("""COMPUTED_VALUE"""),"20221114_秋田書店_新米秘書")</f>
        <v>20221114_秋田書店_新米秘書</v>
      </c>
      <c r="T24" s="9"/>
      <c r="U24" s="9" t="str">
        <f>IFERROR(__xludf.DUMMYFUNCTION("""COMPUTED_VALUE"""),"©ミヤケ円（秋田書店）")</f>
        <v>©ミヤケ円（秋田書店）</v>
      </c>
      <c r="V24" s="8" t="str">
        <f>IFERROR(__xludf.DUMMYFUNCTION("""COMPUTED_VALUE"""),"新シリーズ開始!!性豪(!?)社長と秘書のオフィスラブ!!私の秘めた欲望は、夜の社長室で暴かれた―――!!新しい社長の秘書に抜擢された凛々花。その社長は秘書が10人逃げ出すほどの貴族級の超わがまま男という噂で!?")</f>
        <v>新シリーズ開始!!性豪(!?)社長と秘書のオフィスラブ!!私の秘めた欲望は、夜の社長室で暴かれた―――!!新しい社長の秘書に抜擢された凛々花。その社長は秘書が10人逃げ出すほどの貴族級の超わがまま男という噂で!?</v>
      </c>
      <c r="W24" s="8"/>
      <c r="X24" s="8"/>
      <c r="Y24" s="8"/>
      <c r="Z24" s="7"/>
      <c r="AA24" s="7"/>
      <c r="AB24" s="7"/>
    </row>
    <row r="25" ht="15.75" customHeight="1">
      <c r="A25" s="8">
        <f>IFERROR(__xludf.DUMMYFUNCTION("""COMPUTED_VALUE"""),1534.0)</f>
        <v>1534</v>
      </c>
      <c r="B25" s="9" t="str">
        <f>IFERROR(__xludf.DUMMYFUNCTION("""COMPUTED_VALUE"""),"確定")</f>
        <v>確定</v>
      </c>
      <c r="C25" s="10">
        <f>IFERROR(__xludf.DUMMYFUNCTION("""COMPUTED_VALUE"""),44879.0)</f>
        <v>44879</v>
      </c>
      <c r="D25" s="10">
        <f>IFERROR(__xludf.DUMMYFUNCTION("""COMPUTED_VALUE"""),44901.0)</f>
        <v>44901</v>
      </c>
      <c r="E25" s="8">
        <f>IFERROR(__xludf.DUMMYFUNCTION("""COMPUTED_VALUE"""),257504.0)</f>
        <v>257504</v>
      </c>
      <c r="F25" s="9" t="str">
        <f>IFERROR(__xludf.DUMMYFUNCTION("""COMPUTED_VALUE"""),"独占愛欲～地味で冴えない私がエリート社長の花嫁に任命されました～")</f>
        <v>独占愛欲～地味で冴えない私がエリート社長の花嫁に任命されました～</v>
      </c>
      <c r="G25" s="11" t="str">
        <f>IFERROR(__xludf.DUMMYFUNCTION("""COMPUTED_VALUE"""),"1～3")</f>
        <v>1～3</v>
      </c>
      <c r="H25" s="8" t="str">
        <f>IFERROR(__xludf.DUMMYFUNCTION("""COMPUTED_VALUE"""),"やもり四季。・有允ひろみ")</f>
        <v>やもり四季。・有允ひろみ</v>
      </c>
      <c r="I25" s="8" t="str">
        <f>IFERROR(__xludf.DUMMYFUNCTION("""COMPUTED_VALUE"""),"女性")</f>
        <v>女性</v>
      </c>
      <c r="J25" s="8"/>
      <c r="K25" s="8"/>
      <c r="L25" s="8" t="str">
        <f>IFERROR(__xludf.DUMMYFUNCTION("""COMPUTED_VALUE"""),"ハーパーコリンズ・ジャパン")</f>
        <v>ハーパーコリンズ・ジャパン</v>
      </c>
      <c r="M25" s="12">
        <f>IFERROR(__xludf.DUMMYFUNCTION("""COMPUTED_VALUE"""),44910.0)</f>
        <v>44910</v>
      </c>
      <c r="N25" s="12">
        <f>IFERROR(__xludf.DUMMYFUNCTION("""COMPUTED_VALUE"""),44944.0)</f>
        <v>44944</v>
      </c>
      <c r="O25" s="11"/>
      <c r="P25" s="9" t="str">
        <f>IFERROR(__xludf.DUMMYFUNCTION("""COMPUTED_VALUE"""),"可")</f>
        <v>可</v>
      </c>
      <c r="Q25" s="8"/>
      <c r="R25" s="9"/>
      <c r="S25" s="8" t="str">
        <f>IFERROR(__xludf.DUMMYFUNCTION("""COMPUTED_VALUE"""),"20221114_ハーパーコリンズ_12月新作3作品")</f>
        <v>20221114_ハーパーコリンズ_12月新作3作品</v>
      </c>
      <c r="T25" s="9"/>
      <c r="U25" s="9" t="str">
        <f>IFERROR(__xludf.DUMMYFUNCTION("""COMPUTED_VALUE"""),"©やもり四季。・有允ひろみ／ハーパーコリンズ・ジャパン")</f>
        <v>©やもり四季。・有允ひろみ／ハーパーコリンズ・ジャパン</v>
      </c>
      <c r="V25" s="8" t="str">
        <f>IFERROR(__xludf.DUMMYFUNCTION("""COMPUTED_VALUE"""),"おかっぱメガネ女子が超頭脳派イケメン社長に溺愛される!?
図書館司書の桃花は、本に夢中のあまり25年間恋愛経験無し。ある日、まるで恋愛小説の王子様のようなイケメン・時雄と出会う。思わず見惚れてしまう桃花だったが、時雄はなぜか桃花の名前を知っていた。さらに手を握られ、突然「デートをしよう」と誘われる！男性との初めてのデートだったけれど、時雄の紳士的な対応に緊張がほぐれていく桃花。しかもデートの最後に甘いキスをされて…!?")</f>
        <v>おかっぱメガネ女子が超頭脳派イケメン社長に溺愛される!?
図書館司書の桃花は、本に夢中のあまり25年間恋愛経験無し。ある日、まるで恋愛小説の王子様のようなイケメン・時雄と出会う。思わず見惚れてしまう桃花だったが、時雄はなぜか桃花の名前を知っていた。さらに手を握られ、突然「デートをしよう」と誘われる！男性との初めてのデートだったけれど、時雄の紳士的な対応に緊張がほぐれていく桃花。しかもデートの最後に甘いキスをされて…!?</v>
      </c>
      <c r="W25" s="8"/>
      <c r="X25" s="8"/>
      <c r="Y25" s="8"/>
      <c r="Z25" s="7"/>
      <c r="AA25" s="7"/>
      <c r="AB25" s="7"/>
    </row>
    <row r="26" ht="15.75" customHeight="1">
      <c r="A26" s="8">
        <f>IFERROR(__xludf.DUMMYFUNCTION("""COMPUTED_VALUE"""),1535.0)</f>
        <v>1535</v>
      </c>
      <c r="B26" s="9" t="str">
        <f>IFERROR(__xludf.DUMMYFUNCTION("""COMPUTED_VALUE"""),"確定")</f>
        <v>確定</v>
      </c>
      <c r="C26" s="10">
        <f>IFERROR(__xludf.DUMMYFUNCTION("""COMPUTED_VALUE"""),44879.0)</f>
        <v>44879</v>
      </c>
      <c r="D26" s="10">
        <f>IFERROR(__xludf.DUMMYFUNCTION("""COMPUTED_VALUE"""),44901.0)</f>
        <v>44901</v>
      </c>
      <c r="E26" s="8">
        <f>IFERROR(__xludf.DUMMYFUNCTION("""COMPUTED_VALUE"""),257502.0)</f>
        <v>257502</v>
      </c>
      <c r="F26" s="9" t="str">
        <f>IFERROR(__xludf.DUMMYFUNCTION("""COMPUTED_VALUE"""),"愛されていますが離婚しましょう～許嫁夫婦の片恋婚～")</f>
        <v>愛されていますが離婚しましょう～許嫁夫婦の片恋婚～</v>
      </c>
      <c r="G26" s="11" t="str">
        <f>IFERROR(__xludf.DUMMYFUNCTION("""COMPUTED_VALUE"""),"1～3")</f>
        <v>1～3</v>
      </c>
      <c r="H26" s="8" t="str">
        <f>IFERROR(__xludf.DUMMYFUNCTION("""COMPUTED_VALUE"""),"安崎羽美・黒乃 梓")</f>
        <v>安崎羽美・黒乃 梓</v>
      </c>
      <c r="I26" s="8" t="str">
        <f>IFERROR(__xludf.DUMMYFUNCTION("""COMPUTED_VALUE"""),"女性")</f>
        <v>女性</v>
      </c>
      <c r="J26" s="8"/>
      <c r="K26" s="8"/>
      <c r="L26" s="8" t="str">
        <f>IFERROR(__xludf.DUMMYFUNCTION("""COMPUTED_VALUE"""),"ハーパーコリンズ・ジャパン")</f>
        <v>ハーパーコリンズ・ジャパン</v>
      </c>
      <c r="M26" s="12">
        <f>IFERROR(__xludf.DUMMYFUNCTION("""COMPUTED_VALUE"""),44910.0)</f>
        <v>44910</v>
      </c>
      <c r="N26" s="12">
        <f>IFERROR(__xludf.DUMMYFUNCTION("""COMPUTED_VALUE"""),44944.0)</f>
        <v>44944</v>
      </c>
      <c r="O26" s="11"/>
      <c r="P26" s="9" t="str">
        <f>IFERROR(__xludf.DUMMYFUNCTION("""COMPUTED_VALUE"""),"可")</f>
        <v>可</v>
      </c>
      <c r="Q26" s="8"/>
      <c r="R26" s="9"/>
      <c r="S26" s="8" t="str">
        <f>IFERROR(__xludf.DUMMYFUNCTION("""COMPUTED_VALUE"""),"20221114_ハーパーコリンズ_12月新作3作品")</f>
        <v>20221114_ハーパーコリンズ_12月新作3作品</v>
      </c>
      <c r="T26" s="9"/>
      <c r="U26" s="9" t="str">
        <f>IFERROR(__xludf.DUMMYFUNCTION("""COMPUTED_VALUE"""),"©安崎羽美・黒乃 梓／ハーパーコリンズ・ジャパン")</f>
        <v>©安崎羽美・黒乃 梓／ハーパーコリンズ・ジャパン</v>
      </c>
      <c r="V26" s="8" t="str">
        <f>IFERROR(__xludf.DUMMYFUNCTION("""COMPUTED_VALUE"""),"「絶対に別れない。手放してたまるか」　離婚を決めた途端、旦那様の溺愛が大加速!?
夫である宏昌に愛されていると思っていた千鶴だったが、政略結婚だったと知り、ショックを受け宏昌に離婚届を突きつける。
しかし「絶対に別れない」と独占欲剥き出しのキスをされてしまう…！いつも優しく千鶴を大事にしてくれていた宏昌だったが、その日から彼の態度がさらに溺甘に!?今まで以上に彼に溺愛され、甘い声で囁かれて、千鶴は戸惑い…？")</f>
        <v>「絶対に別れない。手放してたまるか」　離婚を決めた途端、旦那様の溺愛が大加速!?
夫である宏昌に愛されていると思っていた千鶴だったが、政略結婚だったと知り、ショックを受け宏昌に離婚届を突きつける。
しかし「絶対に別れない」と独占欲剥き出しのキスをされてしまう…！いつも優しく千鶴を大事にしてくれていた宏昌だったが、その日から彼の態度がさらに溺甘に!?今まで以上に彼に溺愛され、甘い声で囁かれて、千鶴は戸惑い…？</v>
      </c>
      <c r="W26" s="8"/>
      <c r="X26" s="8"/>
      <c r="Y26" s="8"/>
      <c r="Z26" s="7"/>
      <c r="AA26" s="7"/>
      <c r="AB26" s="7"/>
    </row>
    <row r="27" ht="15.75" customHeight="1">
      <c r="A27" s="8">
        <f>IFERROR(__xludf.DUMMYFUNCTION("""COMPUTED_VALUE"""),1536.0)</f>
        <v>1536</v>
      </c>
      <c r="B27" s="9" t="str">
        <f>IFERROR(__xludf.DUMMYFUNCTION("""COMPUTED_VALUE"""),"確定")</f>
        <v>確定</v>
      </c>
      <c r="C27" s="10">
        <f>IFERROR(__xludf.DUMMYFUNCTION("""COMPUTED_VALUE"""),44879.0)</f>
        <v>44879</v>
      </c>
      <c r="D27" s="10">
        <f>IFERROR(__xludf.DUMMYFUNCTION("""COMPUTED_VALUE"""),44901.0)</f>
        <v>44901</v>
      </c>
      <c r="E27" s="8">
        <f>IFERROR(__xludf.DUMMYFUNCTION("""COMPUTED_VALUE"""),257503.0)</f>
        <v>257503</v>
      </c>
      <c r="F27" s="9" t="str">
        <f>IFERROR(__xludf.DUMMYFUNCTION("""COMPUTED_VALUE"""),"次期ホテル王の求愛が甘くて、ずるくて、逆らえません")</f>
        <v>次期ホテル王の求愛が甘くて、ずるくて、逆らえません</v>
      </c>
      <c r="G27" s="11" t="str">
        <f>IFERROR(__xludf.DUMMYFUNCTION("""COMPUTED_VALUE"""),"1～3")</f>
        <v>1～3</v>
      </c>
      <c r="H27" s="8" t="str">
        <f>IFERROR(__xludf.DUMMYFUNCTION("""COMPUTED_VALUE"""),"紺子ゆきめ・宇佐木")</f>
        <v>紺子ゆきめ・宇佐木</v>
      </c>
      <c r="I27" s="8" t="str">
        <f>IFERROR(__xludf.DUMMYFUNCTION("""COMPUTED_VALUE"""),"女性")</f>
        <v>女性</v>
      </c>
      <c r="J27" s="8"/>
      <c r="K27" s="8"/>
      <c r="L27" s="8" t="str">
        <f>IFERROR(__xludf.DUMMYFUNCTION("""COMPUTED_VALUE"""),"ハーパーコリンズ・ジャパン")</f>
        <v>ハーパーコリンズ・ジャパン</v>
      </c>
      <c r="M27" s="12">
        <f>IFERROR(__xludf.DUMMYFUNCTION("""COMPUTED_VALUE"""),44910.0)</f>
        <v>44910</v>
      </c>
      <c r="N27" s="12">
        <f>IFERROR(__xludf.DUMMYFUNCTION("""COMPUTED_VALUE"""),44944.0)</f>
        <v>44944</v>
      </c>
      <c r="O27" s="11"/>
      <c r="P27" s="9" t="str">
        <f>IFERROR(__xludf.DUMMYFUNCTION("""COMPUTED_VALUE"""),"可")</f>
        <v>可</v>
      </c>
      <c r="Q27" s="8"/>
      <c r="R27" s="9"/>
      <c r="S27" s="8" t="str">
        <f>IFERROR(__xludf.DUMMYFUNCTION("""COMPUTED_VALUE"""),"20221114_ハーパーコリンズ_12月新作3作品")</f>
        <v>20221114_ハーパーコリンズ_12月新作3作品</v>
      </c>
      <c r="T27" s="9"/>
      <c r="U27" s="9" t="str">
        <f>IFERROR(__xludf.DUMMYFUNCTION("""COMPUTED_VALUE"""),"©紺子ゆきめ・宇佐木／ハーパーコリンズ・ジャパン")</f>
        <v>©紺子ゆきめ・宇佐木／ハーパーコリンズ・ジャパン</v>
      </c>
      <c r="V27" s="8" t="str">
        <f>IFERROR(__xludf.DUMMYFUNCTION("""COMPUTED_VALUE"""),"「もう一度いおう。君が必要なんだ」
怜悧で強引、そんなエリート支配人が里桜だけに見せる素顔は、甘くて熱烈!?
老夫婦が営む町の小さな洋菓子店『百瀬』でパティシエとして働く里桜は、スイーツ作りに日々情熱を注いでいる。
だが、店の経営は厳しく、頭を悩ませていた。
そんな時、里桜の前に、一流ホテル『スノウ・カメリヤ東京』の総支配人・天野崇正が現れる。「君が必要なんだ」穏やかな物腰ながらも引き抜こうと誘う天野に、里桜は出向という形で働くことを了承する。
新しい職場で過ごすうち、天野がふいに見せる想像もしなかった"&amp;"ような甘い態度に、里桜のトキメキは加速する一方で……!?
クールで俺様なスパダリ支配人とまっすぐ一途なパティシエが織りなす、エモさ100％のキュン死系ラブ・ストーリー！")</f>
        <v>「もう一度いおう。君が必要なんだ」
怜悧で強引、そんなエリート支配人が里桜だけに見せる素顔は、甘くて熱烈!?
老夫婦が営む町の小さな洋菓子店『百瀬』でパティシエとして働く里桜は、スイーツ作りに日々情熱を注いでいる。
だが、店の経営は厳しく、頭を悩ませていた。
そんな時、里桜の前に、一流ホテル『スノウ・カメリヤ東京』の総支配人・天野崇正が現れる。「君が必要なんだ」穏やかな物腰ながらも引き抜こうと誘う天野に、里桜は出向という形で働くことを了承する。
新しい職場で過ごすうち、天野がふいに見せる想像もしなかったような甘い態度に、里桜のトキメキは加速する一方で……!?
クールで俺様なスパダリ支配人とまっすぐ一途なパティシエが織りなす、エモさ100％のキュン死系ラブ・ストーリー！</v>
      </c>
      <c r="W27" s="8"/>
      <c r="X27" s="8"/>
      <c r="Y27" s="8"/>
      <c r="Z27" s="7"/>
      <c r="AA27" s="7"/>
      <c r="AB27" s="7"/>
    </row>
    <row r="28" ht="15.75" customHeight="1">
      <c r="A28" s="8">
        <f>IFERROR(__xludf.DUMMYFUNCTION("""COMPUTED_VALUE"""),1537.0)</f>
        <v>1537</v>
      </c>
      <c r="B28" s="9" t="str">
        <f>IFERROR(__xludf.DUMMYFUNCTION("""COMPUTED_VALUE"""),"確定")</f>
        <v>確定</v>
      </c>
      <c r="C28" s="10">
        <f>IFERROR(__xludf.DUMMYFUNCTION("""COMPUTED_VALUE"""),44880.0)</f>
        <v>44880</v>
      </c>
      <c r="D28" s="10">
        <f>IFERROR(__xludf.DUMMYFUNCTION("""COMPUTED_VALUE"""),44901.0)</f>
        <v>44901</v>
      </c>
      <c r="E28" s="8">
        <f>IFERROR(__xludf.DUMMYFUNCTION("""COMPUTED_VALUE"""),256901.0)</f>
        <v>256901</v>
      </c>
      <c r="F28" s="9" t="str">
        <f>IFERROR(__xludf.DUMMYFUNCTION("""COMPUTED_VALUE"""),"【単話版】悪党一家の愛娘、転生先も乙女ゲームの極道令嬢でした。～最上級ランクの悪役さま、その溺愛は不要です！～@COMIC")</f>
        <v>【単話版】悪党一家の愛娘、転生先も乙女ゲームの極道令嬢でした。～最上級ランクの悪役さま、その溺愛は不要です！～@COMIC</v>
      </c>
      <c r="G28" s="11">
        <f>IFERROR(__xludf.DUMMYFUNCTION("""COMPUTED_VALUE"""),1.0)</f>
        <v>1</v>
      </c>
      <c r="H28" s="8" t="str">
        <f>IFERROR(__xludf.DUMMYFUNCTION("""COMPUTED_VALUE"""),"轟斗ソラ┴雨川透子")</f>
        <v>轟斗ソラ┴雨川透子</v>
      </c>
      <c r="I28" s="14" t="str">
        <f>IFERROR(__xludf.DUMMYFUNCTION("""COMPUTED_VALUE"""),"少女")</f>
        <v>少女</v>
      </c>
      <c r="J28" s="8"/>
      <c r="K28" s="8"/>
      <c r="L28" s="8" t="str">
        <f>IFERROR(__xludf.DUMMYFUNCTION("""COMPUTED_VALUE"""),"TOブックス")</f>
        <v>TOブックス</v>
      </c>
      <c r="M28" s="12">
        <f>IFERROR(__xludf.DUMMYFUNCTION("""COMPUTED_VALUE"""),44910.0)</f>
        <v>44910</v>
      </c>
      <c r="N28" s="12">
        <f>IFERROR(__xludf.DUMMYFUNCTION("""COMPUTED_VALUE"""),44940.0)</f>
        <v>44940</v>
      </c>
      <c r="O28" s="11"/>
      <c r="P28" s="9" t="str">
        <f>IFERROR(__xludf.DUMMYFUNCTION("""COMPUTED_VALUE"""),"否")</f>
        <v>否</v>
      </c>
      <c r="Q28" s="8"/>
      <c r="R28" s="9"/>
      <c r="S28" s="8" t="str">
        <f>IFERROR(__xludf.DUMMYFUNCTION("""COMPUTED_VALUE"""),"20221115_TOブックス_悪党一家の愛娘")</f>
        <v>20221115_TOブックス_悪党一家の愛娘</v>
      </c>
      <c r="T28" s="9"/>
      <c r="U28" s="9" t="str">
        <f>IFERROR(__xludf.DUMMYFUNCTION("""COMPUTED_VALUE"""),"© Sora Goto / Touko Amekawa")</f>
        <v>© Sora Goto / Touko Amekawa</v>
      </c>
      <c r="V28" s="8" t="str">
        <f>IFERROR(__xludf.DUMMYFUNCTION("""COMPUTED_VALUE"""),"「可愛いな、フランチェスカ。愛しているから、どうか俺を退屈させないでくれ」
元極道の孫娘×極悪婚約者の危険な《ラブ》ゲーム開幕！
『友達が欲しい』極道一家の孫娘として育った少女が転生したのは── 近世マフィアが暗躍する女性向けのゲーム世界。
王政を裏から支える五大ファミリーの愛娘だった！
望む平穏は程遠く、ゲーム開始と同時に、メインシナリオ最大の敵＆黒幕とされる若当主・レオナルドに誘拐される始末。
持ち前の度胸で難を逃れるも、そのせいで１番距離を置きたい“裏社会のカリスマ”である彼から、うっかり謎の執着"&amp;"を持たれてしまい......!?
「可愛いな、フランチェスカ。愛しているから、どうか俺を退屈させないでくれ」
元極道の孫娘×極悪婚約者の危険な《ラブ》ゲーム開幕！")</f>
        <v>「可愛いな、フランチェスカ。愛しているから、どうか俺を退屈させないでくれ」
元極道の孫娘×極悪婚約者の危険な《ラブ》ゲーム開幕！
『友達が欲しい』極道一家の孫娘として育った少女が転生したのは── 近世マフィアが暗躍する女性向けのゲーム世界。
王政を裏から支える五大ファミリーの愛娘だった！
望む平穏は程遠く、ゲーム開始と同時に、メインシナリオ最大の敵＆黒幕とされる若当主・レオナルドに誘拐される始末。
持ち前の度胸で難を逃れるも、そのせいで１番距離を置きたい“裏社会のカリスマ”である彼から、うっかり謎の執着を持たれてしまい......!?
「可愛いな、フランチェスカ。愛しているから、どうか俺を退屈させないでくれ」
元極道の孫娘×極悪婚約者の危険な《ラブ》ゲーム開幕！</v>
      </c>
      <c r="W28" s="8"/>
      <c r="X28" s="8"/>
      <c r="Y28" s="8"/>
      <c r="Z28" s="7"/>
      <c r="AA28" s="7"/>
      <c r="AB28" s="7"/>
    </row>
    <row r="29" ht="278.25" customHeight="1">
      <c r="A29" s="8">
        <f>IFERROR(__xludf.DUMMYFUNCTION("""COMPUTED_VALUE"""),1499.0)</f>
        <v>1499</v>
      </c>
      <c r="B29" s="9" t="str">
        <f>IFERROR(__xludf.DUMMYFUNCTION("""COMPUTED_VALUE"""),"確定")</f>
        <v>確定</v>
      </c>
      <c r="C29" s="10">
        <f>IFERROR(__xludf.DUMMYFUNCTION("""COMPUTED_VALUE"""),44867.0)</f>
        <v>44867</v>
      </c>
      <c r="D29" s="10">
        <f>IFERROR(__xludf.DUMMYFUNCTION("""COMPUTED_VALUE"""),44901.0)</f>
        <v>44901</v>
      </c>
      <c r="E29" s="8">
        <f>IFERROR(__xludf.DUMMYFUNCTION("""COMPUTED_VALUE"""),256624.0)</f>
        <v>256624</v>
      </c>
      <c r="F29" s="9" t="str">
        <f>IFERROR(__xludf.DUMMYFUNCTION("""COMPUTED_VALUE"""),"テレセク")</f>
        <v>テレセク</v>
      </c>
      <c r="G29" s="11" t="str">
        <f>IFERROR(__xludf.DUMMYFUNCTION("""COMPUTED_VALUE"""),"1～4")</f>
        <v>1～4</v>
      </c>
      <c r="H29" s="8" t="str">
        <f>IFERROR(__xludf.DUMMYFUNCTION("""COMPUTED_VALUE"""),"Ohlron/Shrinell")</f>
        <v>Ohlron/Shrinell</v>
      </c>
      <c r="I29" s="8" t="str">
        <f>IFERROR(__xludf.DUMMYFUNCTION("""COMPUTED_VALUE"""),"青年")</f>
        <v>青年</v>
      </c>
      <c r="J29" s="8"/>
      <c r="K29" s="8"/>
      <c r="L29" s="8" t="str">
        <f>IFERROR(__xludf.DUMMYFUNCTION("""COMPUTED_VALUE"""),"Rush!")</f>
        <v>Rush!</v>
      </c>
      <c r="M29" s="12">
        <f>IFERROR(__xludf.DUMMYFUNCTION("""COMPUTED_VALUE"""),44911.0)</f>
        <v>44911</v>
      </c>
      <c r="N29" s="12">
        <f>IFERROR(__xludf.DUMMYFUNCTION("""COMPUTED_VALUE"""),45001.0)</f>
        <v>45001</v>
      </c>
      <c r="O29" s="11"/>
      <c r="P29" s="9" t="str">
        <f>IFERROR(__xludf.DUMMYFUNCTION("""COMPUTED_VALUE"""),"可")</f>
        <v>可</v>
      </c>
      <c r="Q29" s="8" t="str">
        <f>IFERROR(__xludf.DUMMYFUNCTION("""COMPUTED_VALUE"""),"協業レーベル『シーモア×Rush!』作品です。")</f>
        <v>協業レーベル『シーモア×Rush!』作品です。</v>
      </c>
      <c r="R29" s="9"/>
      <c r="S29" s="8" t="str">
        <f>IFERROR(__xludf.DUMMYFUNCTION("""COMPUTED_VALUE"""),"20221102_ファンギルド_テレセク")</f>
        <v>20221102_ファンギルド_テレセク</v>
      </c>
      <c r="T29" s="9"/>
      <c r="U29" s="9" t="str">
        <f>IFERROR(__xludf.DUMMYFUNCTION("""COMPUTED_VALUE"""),"©Ohlron/Shrinell/TOPTOON")</f>
        <v>©Ohlron/Shrinell/TOPTOON</v>
      </c>
      <c r="V29" s="8" t="str">
        <f>IFERROR(__xludf.DUMMYFUNCTION("""COMPUTED_VALUE"""),"フォンセックスアプリ。それはマッチングした女と声で疑似セックスするアプリだ。最後にシたのがいつか忘れる程忙しい毎日を送る俺、加賀祐司（かがゆうじ）は、必然アプリの虜になった。だけどやっぱり、現実のセックスに勝るものはない！何とか女を抱く為、後輩の紹介で久々にデートする事になったが、目の前に現れたのは箱入りお嬢様の萌子（もえこ）。清楚な萌子に一瞬で恋に落ちたが、どこかこの声聞き覚えが…。ま…まさかあのアプリであんなに淫らな声を上げていたのは――！？")</f>
        <v>フォンセックスアプリ。それはマッチングした女と声で疑似セックスするアプリだ。最後にシたのがいつか忘れる程忙しい毎日を送る俺、加賀祐司（かがゆうじ）は、必然アプリの虜になった。だけどやっぱり、現実のセックスに勝るものはない！何とか女を抱く為、後輩の紹介で久々にデートする事になったが、目の前に現れたのは箱入りお嬢様の萌子（もえこ）。清楚な萌子に一瞬で恋に落ちたが、どこかこの声聞き覚えが…。ま…まさかあのアプリであんなに淫らな声を上げていたのは――！？</v>
      </c>
      <c r="W29" s="8"/>
      <c r="X29" s="8"/>
      <c r="Y29" s="8"/>
      <c r="Z29" s="7"/>
      <c r="AA29" s="7"/>
      <c r="AB29" s="7"/>
    </row>
    <row r="30" ht="261.0" customHeight="1">
      <c r="A30" s="8">
        <f>IFERROR(__xludf.DUMMYFUNCTION("""COMPUTED_VALUE"""),1508.0)</f>
        <v>1508</v>
      </c>
      <c r="B30" s="9" t="str">
        <f>IFERROR(__xludf.DUMMYFUNCTION("""COMPUTED_VALUE"""),"確定")</f>
        <v>確定</v>
      </c>
      <c r="C30" s="10">
        <f>IFERROR(__xludf.DUMMYFUNCTION("""COMPUTED_VALUE"""),44873.0)</f>
        <v>44873</v>
      </c>
      <c r="D30" s="10">
        <f>IFERROR(__xludf.DUMMYFUNCTION("""COMPUTED_VALUE"""),44902.0)</f>
        <v>44902</v>
      </c>
      <c r="E30" s="8">
        <f>IFERROR(__xludf.DUMMYFUNCTION("""COMPUTED_VALUE"""),247499.0)</f>
        <v>247499</v>
      </c>
      <c r="F30" s="9" t="str">
        <f>IFERROR(__xludf.DUMMYFUNCTION("""COMPUTED_VALUE"""),"妖狐の旦那さま～大正花嫁奇譚～")</f>
        <v>妖狐の旦那さま～大正花嫁奇譚～</v>
      </c>
      <c r="G30" s="11" t="str">
        <f>IFERROR(__xludf.DUMMYFUNCTION("""COMPUTED_VALUE"""),"1～3")</f>
        <v>1～3</v>
      </c>
      <c r="H30" s="8" t="str">
        <f>IFERROR(__xludf.DUMMYFUNCTION("""COMPUTED_VALUE"""),"もものもと")</f>
        <v>もものもと</v>
      </c>
      <c r="I30" s="14" t="str">
        <f>IFERROR(__xludf.DUMMYFUNCTION("""COMPUTED_VALUE"""),"少女")</f>
        <v>少女</v>
      </c>
      <c r="J30" s="8"/>
      <c r="K30" s="8"/>
      <c r="L30" s="8" t="str">
        <f>IFERROR(__xludf.DUMMYFUNCTION("""COMPUTED_VALUE"""),"ソルマーレ編集部")</f>
        <v>ソルマーレ編集部</v>
      </c>
      <c r="M30" s="12">
        <f>IFERROR(__xludf.DUMMYFUNCTION("""COMPUTED_VALUE"""),44912.0)</f>
        <v>44912</v>
      </c>
      <c r="N30" s="12">
        <f>IFERROR(__xludf.DUMMYFUNCTION("""COMPUTED_VALUE"""),45064.66666666667)</f>
        <v>45064.66667</v>
      </c>
      <c r="O30" s="11"/>
      <c r="P30" s="9" t="str">
        <f>IFERROR(__xludf.DUMMYFUNCTION("""COMPUTED_VALUE"""),"可")</f>
        <v>可</v>
      </c>
      <c r="Q30" s="8" t="str">
        <f>IFERROR(__xludf.DUMMYFUNCTION("""COMPUTED_VALUE"""),"・※正式タイトル下記の通りです（11/8）&lt;BR&gt;＝＝＝&lt;BR&gt;妖狐の旦那さま～大正花嫁奇譚～&lt;BR&gt;＝＝＝&lt;BR&gt;&lt;BR&gt;・「noicomi鬼の花嫁（スターツ出版さん）」「結界師の一輪華（KADOKAWAさん）」などの広告ヒットしたシンデレラストーリーを意識して制作した、ソルマーレ編集部イチオシの作品となります、ぜひ出稿強化頂けますと幸いです。&lt;BR&gt;&lt;BR&gt;・本作については広告クリエイティブ作成上で必要あれば「吹き出し移動可能」です。&lt;BR&gt;⇒レイヤー分けたpsdデータ素材も別で格納しております。ただ"&amp;"、制作フロー上吹き出し内セリフはないデータとなってしまいますのでセリフ自体は通常の完成データ素材から取ってきて頂く形にてお願いいたします。&lt;BR&gt;&lt;BR&gt;&lt;吹き出し移動用のpsdデータ格納先&gt;&lt;BR&gt;20221108_ソルマーレ編集部_妖狐の旦那さま～大正花嫁奇譚～\吹き出し移動用psdデータ")</f>
        <v>・※正式タイトル下記の通りです（11/8）&lt;BR&gt;＝＝＝&lt;BR&gt;妖狐の旦那さま～大正花嫁奇譚～&lt;BR&gt;＝＝＝&lt;BR&gt;&lt;BR&gt;・「noicomi鬼の花嫁（スターツ出版さん）」「結界師の一輪華（KADOKAWAさん）」などの広告ヒットしたシンデレラストーリーを意識して制作した、ソルマーレ編集部イチオシの作品となります、ぜひ出稿強化頂けますと幸いです。&lt;BR&gt;&lt;BR&gt;・本作については広告クリエイティブ作成上で必要あれば「吹き出し移動可能」です。&lt;BR&gt;⇒レイヤー分けたpsdデータ素材も別で格納しております。ただ、制作フロー上吹き出し内セリフはないデータとなってしまいますのでセリフ自体は通常の完成データ素材から取ってきて頂く形にてお願いいたします。&lt;BR&gt;&lt;BR&gt;&lt;吹き出し移動用のpsdデータ格納先&gt;&lt;BR&gt;20221108_ソルマーレ編集部_妖狐の旦那さま～大正花嫁奇譚～\吹き出し移動用psdデータ</v>
      </c>
      <c r="R30" s="9"/>
      <c r="S30" s="8" t="str">
        <f>IFERROR(__xludf.DUMMYFUNCTION("""COMPUTED_VALUE"""),"20221108_ソルマーレ編集部_妖狐の旦那さま～大正花嫁奇譚～")</f>
        <v>20221108_ソルマーレ編集部_妖狐の旦那さま～大正花嫁奇譚～</v>
      </c>
      <c r="T30" s="15"/>
      <c r="U30" s="9" t="str">
        <f>IFERROR(__xludf.DUMMYFUNCTION("""COMPUTED_VALUE"""),"© もものもと/シーモアコミックス")</f>
        <v>© もものもと/シーモアコミックス</v>
      </c>
      <c r="V30" s="8" t="str">
        <f>IFERROR(__xludf.DUMMYFUNCTION("""COMPUTED_VALUE"""),"音を奏でることで特異な力を発揮し繁栄してきた華村家。ただ力が現れなかった華村灯里は厄の源として家族から爪弾きにされていた。親や姉からの心無い仕打ちに日々傷つく灯里。そんな時、この国で最も古く高貴な一族の当主・九石実琴の花嫁探しを兼ねた夜会の招待状が灯里の元へと届く。灯里は何かに惹かれるように夜会へ行くも、姉達に見つかってしまいひどい扱いを受ける。そこへ1人の美しい青年が制止し、灯里の手をとる――「そこまでだ やっと会えたな 俺の愛する花嫁に……」――和風むずきゅんシンデレラストーリー!!!【恋するソワレ】")</f>
        <v>音を奏でることで特異な力を発揮し繁栄してきた華村家。ただ力が現れなかった華村灯里は厄の源として家族から爪弾きにされていた。親や姉からの心無い仕打ちに日々傷つく灯里。そんな時、この国で最も古く高貴な一族の当主・九石実琴の花嫁探しを兼ねた夜会の招待状が灯里の元へと届く。灯里は何かに惹かれるように夜会へ行くも、姉達に見つかってしまいひどい扱いを受ける。そこへ1人の美しい青年が制止し、灯里の手をとる――「そこまでだ やっと会えたな 俺の愛する花嫁に……」――和風むずきゅんシンデレラストーリー!!!【恋するソワレ】</v>
      </c>
      <c r="W30" s="8"/>
      <c r="X30" s="8"/>
      <c r="Y30" s="8" t="str">
        <f>IFERROR(__xludf.DUMMYFUNCTION("""COMPUTED_VALUE"""),"１巻目無料")</f>
        <v>１巻目無料</v>
      </c>
      <c r="Z30" s="7"/>
      <c r="AA30" s="7"/>
      <c r="AB30" s="7"/>
    </row>
    <row r="31" ht="190.5" customHeight="1">
      <c r="A31" s="8">
        <f>IFERROR(__xludf.DUMMYFUNCTION("""COMPUTED_VALUE"""),1555.0)</f>
        <v>1555</v>
      </c>
      <c r="B31" s="9" t="str">
        <f>IFERROR(__xludf.DUMMYFUNCTION("""COMPUTED_VALUE"""),"確定")</f>
        <v>確定</v>
      </c>
      <c r="C31" s="10">
        <f>IFERROR(__xludf.DUMMYFUNCTION("""COMPUTED_VALUE"""),44893.0)</f>
        <v>44893</v>
      </c>
      <c r="D31" s="10">
        <f>IFERROR(__xludf.DUMMYFUNCTION("""COMPUTED_VALUE"""),44901.0)</f>
        <v>44901</v>
      </c>
      <c r="E31" s="8">
        <f>IFERROR(__xludf.DUMMYFUNCTION("""COMPUTED_VALUE"""),259248.0)</f>
        <v>259248</v>
      </c>
      <c r="F31" s="9" t="str">
        <f>IFERROR(__xludf.DUMMYFUNCTION("""COMPUTED_VALUE"""),"桃と終末の書ーLast word of the worldー【タテヨミ】")</f>
        <v>桃と終末の書ーLast word of the worldー【タテヨミ】</v>
      </c>
      <c r="G31" s="11" t="str">
        <f>IFERROR(__xludf.DUMMYFUNCTION("""COMPUTED_VALUE"""),"1～36")</f>
        <v>1～36</v>
      </c>
      <c r="H31" s="8" t="str">
        <f>IFERROR(__xludf.DUMMYFUNCTION("""COMPUTED_VALUE"""),"晨曦Chen Xi(作者)")</f>
        <v>晨曦Chen Xi(作者)</v>
      </c>
      <c r="I31" s="14" t="str">
        <f>IFERROR(__xludf.DUMMYFUNCTION("""COMPUTED_VALUE"""),"少年")</f>
        <v>少年</v>
      </c>
      <c r="J31" s="8"/>
      <c r="K31" s="8"/>
      <c r="L31" s="8" t="str">
        <f>IFERROR(__xludf.DUMMYFUNCTION("""COMPUTED_VALUE"""),"HykeComic")</f>
        <v>HykeComic</v>
      </c>
      <c r="M31" s="12">
        <f>IFERROR(__xludf.DUMMYFUNCTION("""COMPUTED_VALUE"""),44916.0)</f>
        <v>44916</v>
      </c>
      <c r="N31" s="12">
        <f>IFERROR(__xludf.DUMMYFUNCTION("""COMPUTED_VALUE"""),45006.0)</f>
        <v>45006</v>
      </c>
      <c r="O31" s="11"/>
      <c r="P31" s="9" t="str">
        <f>IFERROR(__xludf.DUMMYFUNCTION("""COMPUTED_VALUE"""),"可")</f>
        <v>可</v>
      </c>
      <c r="Q31" s="8"/>
      <c r="R31" s="9"/>
      <c r="S31" s="8" t="str">
        <f>IFERROR(__xludf.DUMMYFUNCTION("""COMPUTED_VALUE"""),"20221128_HykeComic_12月新作")</f>
        <v>20221128_HykeComic_12月新作</v>
      </c>
      <c r="T31" s="9"/>
      <c r="U31" s="9" t="str">
        <f>IFERROR(__xludf.DUMMYFUNCTION("""COMPUTED_VALUE"""),"©HykeComic")</f>
        <v>©HykeComic</v>
      </c>
      <c r="V31" s="8" t="str">
        <f>IFERROR(__xludf.DUMMYFUNCTION("""COMPUTED_VALUE"""),"とある近未来の世界、ある科学実験の事故の果て、人類の文明は一瞬にして終末を迎えた。
この世の秩序と法則は崩壊し、大地は原始時代へと還り、その影響は人類の遺伝子さえも二分することとなる。
一種は身体が徐々に機械へと変わっていく〝機械人(テック)〟。
一種は身体が徐々に獣へと変わっていく〝獣霊(アニマ)〟。
いずれは自我が失われる病を持って生まれながら争いを続ける両種族。
そんな世界の中で、テックの殺し屋・黑瞳石(コクドウセキ)は
成り行きで雇い主となったアニマの少女・桃(モモ)と共に
世界の謎に巻き込ま"&amp;"れていくーー")</f>
        <v>とある近未来の世界、ある科学実験の事故の果て、人類の文明は一瞬にして終末を迎えた。
この世の秩序と法則は崩壊し、大地は原始時代へと還り、その影響は人類の遺伝子さえも二分することとなる。
一種は身体が徐々に機械へと変わっていく〝機械人(テック)〟。
一種は身体が徐々に獣へと変わっていく〝獣霊(アニマ)〟。
いずれは自我が失われる病を持って生まれながら争いを続ける両種族。
そんな世界の中で、テックの殺し屋・黑瞳石(コクドウセキ)は
成り行きで雇い主となったアニマの少女・桃(モモ)と共に
世界の謎に巻き込まれていくーー</v>
      </c>
      <c r="W31" s="8"/>
      <c r="X31" s="8" t="str">
        <f>IFERROR(__xludf.DUMMYFUNCTION("""COMPUTED_VALUE"""),"有")</f>
        <v>有</v>
      </c>
      <c r="Y31" s="8" t="str">
        <f>IFERROR(__xludf.DUMMYFUNCTION("""COMPUTED_VALUE"""),"1～4巻目無料")</f>
        <v>1～4巻目無料</v>
      </c>
      <c r="Z31" s="7"/>
      <c r="AA31" s="7"/>
      <c r="AB31" s="7"/>
    </row>
    <row r="32" ht="323.25" customHeight="1">
      <c r="A32" s="8">
        <f>IFERROR(__xludf.DUMMYFUNCTION("""COMPUTED_VALUE"""),1556.0)</f>
        <v>1556</v>
      </c>
      <c r="B32" s="9" t="str">
        <f>IFERROR(__xludf.DUMMYFUNCTION("""COMPUTED_VALUE"""),"確定")</f>
        <v>確定</v>
      </c>
      <c r="C32" s="10">
        <f>IFERROR(__xludf.DUMMYFUNCTION("""COMPUTED_VALUE"""),44893.0)</f>
        <v>44893</v>
      </c>
      <c r="D32" s="10">
        <f>IFERROR(__xludf.DUMMYFUNCTION("""COMPUTED_VALUE"""),44901.0)</f>
        <v>44901</v>
      </c>
      <c r="E32" s="8">
        <f>IFERROR(__xludf.DUMMYFUNCTION("""COMPUTED_VALUE"""),259252.0)</f>
        <v>259252</v>
      </c>
      <c r="F32" s="9" t="str">
        <f>IFERROR(__xludf.DUMMYFUNCTION("""COMPUTED_VALUE"""),"蜘蛛の糸ー隣に棲む殺人鬼ー【タテヨミ】")</f>
        <v>蜘蛛の糸ー隣に棲む殺人鬼ー【タテヨミ】</v>
      </c>
      <c r="G32" s="11" t="str">
        <f>IFERROR(__xludf.DUMMYFUNCTION("""COMPUTED_VALUE"""),"1～35")</f>
        <v>1～35</v>
      </c>
      <c r="H32" s="8" t="str">
        <f>IFERROR(__xludf.DUMMYFUNCTION("""COMPUTED_VALUE"""),"Djade(作画) ┴KRE(ストーリー)")</f>
        <v>Djade(作画) ┴KRE(ストーリー)</v>
      </c>
      <c r="I32" s="14" t="str">
        <f>IFERROR(__xludf.DUMMYFUNCTION("""COMPUTED_VALUE"""),"青年")</f>
        <v>青年</v>
      </c>
      <c r="J32" s="8"/>
      <c r="K32" s="8"/>
      <c r="L32" s="8" t="str">
        <f>IFERROR(__xludf.DUMMYFUNCTION("""COMPUTED_VALUE"""),"HykeComic")</f>
        <v>HykeComic</v>
      </c>
      <c r="M32" s="12">
        <f>IFERROR(__xludf.DUMMYFUNCTION("""COMPUTED_VALUE"""),44916.0)</f>
        <v>44916</v>
      </c>
      <c r="N32" s="12">
        <f>IFERROR(__xludf.DUMMYFUNCTION("""COMPUTED_VALUE"""),45006.0)</f>
        <v>45006</v>
      </c>
      <c r="O32" s="11"/>
      <c r="P32" s="9" t="str">
        <f>IFERROR(__xludf.DUMMYFUNCTION("""COMPUTED_VALUE"""),"可")</f>
        <v>可</v>
      </c>
      <c r="Q32" s="8"/>
      <c r="R32" s="9"/>
      <c r="S32" s="8" t="str">
        <f>IFERROR(__xludf.DUMMYFUNCTION("""COMPUTED_VALUE"""),"20221128_HykeComic_12月新作")</f>
        <v>20221128_HykeComic_12月新作</v>
      </c>
      <c r="T32" s="9"/>
      <c r="U32" s="9" t="str">
        <f>IFERROR(__xludf.DUMMYFUNCTION("""COMPUTED_VALUE"""),"©HykeComic")</f>
        <v>©HykeComic</v>
      </c>
      <c r="V32" s="8" t="str">
        <f>IFERROR(__xludf.DUMMYFUNCTION("""COMPUTED_VALUE"""),"「連続女性失踪事件の犯人が、向かいの家に住んでいる」
引きこもりの高校生・一色 悠斗(いっしき ゆうと)は、証拠を掴むため単独行動を開始する。
隣人は近所で評判の好青年・林 誠治（はやし せいじ）。
出来すぎた不審な出来事が次々と起こり、悠斗の直感は確信へと変わっていくが、糸口は何一つつかめないまま。
人間不信でコミュ障の不登校生・一色 悠斗と品行方正で隙の無いサラリーマン・林 誠治の駆け引きを巡る心理戦サスペンス。
善悪と正義で曇った糸の先に隠された真実とはーー")</f>
        <v>「連続女性失踪事件の犯人が、向かいの家に住んでいる」
引きこもりの高校生・一色 悠斗(いっしき ゆうと)は、証拠を掴むため単独行動を開始する。
隣人は近所で評判の好青年・林 誠治（はやし せいじ）。
出来すぎた不審な出来事が次々と起こり、悠斗の直感は確信へと変わっていくが、糸口は何一つつかめないまま。
人間不信でコミュ障の不登校生・一色 悠斗と品行方正で隙の無いサラリーマン・林 誠治の駆け引きを巡る心理戦サスペンス。
善悪と正義で曇った糸の先に隠された真実とはーー</v>
      </c>
      <c r="W32" s="8"/>
      <c r="X32" s="8" t="str">
        <f>IFERROR(__xludf.DUMMYFUNCTION("""COMPUTED_VALUE"""),"有")</f>
        <v>有</v>
      </c>
      <c r="Y32" s="8" t="str">
        <f>IFERROR(__xludf.DUMMYFUNCTION("""COMPUTED_VALUE"""),"1～4巻目無料")</f>
        <v>1～4巻目無料</v>
      </c>
      <c r="Z32" s="7"/>
      <c r="AA32" s="7"/>
      <c r="AB32" s="7"/>
    </row>
    <row r="33" ht="180.0" customHeight="1">
      <c r="A33" s="8">
        <f>IFERROR(__xludf.DUMMYFUNCTION("""COMPUTED_VALUE"""),1557.0)</f>
        <v>1557</v>
      </c>
      <c r="B33" s="9" t="str">
        <f>IFERROR(__xludf.DUMMYFUNCTION("""COMPUTED_VALUE"""),"確定")</f>
        <v>確定</v>
      </c>
      <c r="C33" s="10">
        <f>IFERROR(__xludf.DUMMYFUNCTION("""COMPUTED_VALUE"""),44893.0)</f>
        <v>44893</v>
      </c>
      <c r="D33" s="10">
        <f>IFERROR(__xludf.DUMMYFUNCTION("""COMPUTED_VALUE"""),44901.0)</f>
        <v>44901</v>
      </c>
      <c r="E33" s="8">
        <f>IFERROR(__xludf.DUMMYFUNCTION("""COMPUTED_VALUE"""),259249.0)</f>
        <v>259249</v>
      </c>
      <c r="F33" s="9" t="str">
        <f>IFERROR(__xludf.DUMMYFUNCTION("""COMPUTED_VALUE"""),"獣の檻が開く時【タテヨミ】")</f>
        <v>獣の檻が開く時【タテヨミ】</v>
      </c>
      <c r="G33" s="11" t="str">
        <f>IFERROR(__xludf.DUMMYFUNCTION("""COMPUTED_VALUE"""),"1～43")</f>
        <v>1～43</v>
      </c>
      <c r="H33" s="8" t="str">
        <f>IFERROR(__xludf.DUMMYFUNCTION("""COMPUTED_VALUE"""),"王桃Wang Tao(作者)")</f>
        <v>王桃Wang Tao(作者)</v>
      </c>
      <c r="I33" s="8" t="str">
        <f>IFERROR(__xludf.DUMMYFUNCTION("""COMPUTED_VALUE"""),"BL")</f>
        <v>BL</v>
      </c>
      <c r="J33" s="8"/>
      <c r="K33" s="8"/>
      <c r="L33" s="8" t="str">
        <f>IFERROR(__xludf.DUMMYFUNCTION("""COMPUTED_VALUE"""),"HykeComic")</f>
        <v>HykeComic</v>
      </c>
      <c r="M33" s="12">
        <f>IFERROR(__xludf.DUMMYFUNCTION("""COMPUTED_VALUE"""),44916.0)</f>
        <v>44916</v>
      </c>
      <c r="N33" s="12">
        <f>IFERROR(__xludf.DUMMYFUNCTION("""COMPUTED_VALUE"""),45006.0)</f>
        <v>45006</v>
      </c>
      <c r="O33" s="11"/>
      <c r="P33" s="9" t="str">
        <f>IFERROR(__xludf.DUMMYFUNCTION("""COMPUTED_VALUE"""),"可")</f>
        <v>可</v>
      </c>
      <c r="Q33" s="8"/>
      <c r="R33" s="9"/>
      <c r="S33" s="8" t="str">
        <f>IFERROR(__xludf.DUMMYFUNCTION("""COMPUTED_VALUE"""),"20221128_HykeComic_12月新作")</f>
        <v>20221128_HykeComic_12月新作</v>
      </c>
      <c r="T33" s="9"/>
      <c r="U33" s="9" t="str">
        <f>IFERROR(__xludf.DUMMYFUNCTION("""COMPUTED_VALUE"""),"©HykeComic")</f>
        <v>©HykeComic</v>
      </c>
      <c r="V33" s="8" t="str">
        <f>IFERROR(__xludf.DUMMYFUNCTION("""COMPUTED_VALUE"""),"上級弁護士の主人公、東谷蓮（あずまや れん）は、ある日有名法律事務所にスカウトされ、そこで元カレであるイケメンベテラン弁護士、市川誠（いちかわ まこと）に再会する。
誠はヨリを戻そうと蓮に猛アタックをするが、実は蓮に好意を寄せていたのは誠だけではなかった。果たして蓮はもう一度誠に身をゆだねるのか、また蓮に好意を寄せる誠の恋敵とは一体…？
主人公をめぐって、激しい恋のバトルが繰り広げられていく、三角関係ボーイズラブ！")</f>
        <v>上級弁護士の主人公、東谷蓮（あずまや れん）は、ある日有名法律事務所にスカウトされ、そこで元カレであるイケメンベテラン弁護士、市川誠（いちかわ まこと）に再会する。
誠はヨリを戻そうと蓮に猛アタックをするが、実は蓮に好意を寄せていたのは誠だけではなかった。果たして蓮はもう一度誠に身をゆだねるのか、また蓮に好意を寄せる誠の恋敵とは一体…？
主人公をめぐって、激しい恋のバトルが繰り広げられていく、三角関係ボーイズラブ！</v>
      </c>
      <c r="W33" s="8"/>
      <c r="X33" s="8" t="str">
        <f>IFERROR(__xludf.DUMMYFUNCTION("""COMPUTED_VALUE"""),"有")</f>
        <v>有</v>
      </c>
      <c r="Y33" s="8" t="str">
        <f>IFERROR(__xludf.DUMMYFUNCTION("""COMPUTED_VALUE"""),"1～4巻目無料")</f>
        <v>1～4巻目無料</v>
      </c>
      <c r="Z33" s="7"/>
      <c r="AA33" s="7"/>
      <c r="AB33" s="7"/>
    </row>
    <row r="34" ht="313.5" customHeight="1">
      <c r="A34" s="8">
        <f>IFERROR(__xludf.DUMMYFUNCTION("""COMPUTED_VALUE"""),1558.0)</f>
        <v>1558</v>
      </c>
      <c r="B34" s="9" t="str">
        <f>IFERROR(__xludf.DUMMYFUNCTION("""COMPUTED_VALUE"""),"確定")</f>
        <v>確定</v>
      </c>
      <c r="C34" s="10">
        <f>IFERROR(__xludf.DUMMYFUNCTION("""COMPUTED_VALUE"""),44893.0)</f>
        <v>44893</v>
      </c>
      <c r="D34" s="10">
        <f>IFERROR(__xludf.DUMMYFUNCTION("""COMPUTED_VALUE"""),44901.0)</f>
        <v>44901</v>
      </c>
      <c r="E34" s="8">
        <f>IFERROR(__xludf.DUMMYFUNCTION("""COMPUTED_VALUE"""),259251.0)</f>
        <v>259251</v>
      </c>
      <c r="F34" s="9" t="str">
        <f>IFERROR(__xludf.DUMMYFUNCTION("""COMPUTED_VALUE"""),"絶対服従コマンド　〜俺だけが使える選択肢〜【タテヨミ】")</f>
        <v>絶対服従コマンド　〜俺だけが使える選択肢〜【タテヨミ】</v>
      </c>
      <c r="G34" s="11" t="str">
        <f>IFERROR(__xludf.DUMMYFUNCTION("""COMPUTED_VALUE"""),"1～33")</f>
        <v>1～33</v>
      </c>
      <c r="H34" s="8" t="str">
        <f>IFERROR(__xludf.DUMMYFUNCTION("""COMPUTED_VALUE"""),"鷹野浪流（原作・脚本）┴つなかわ（作画）")</f>
        <v>鷹野浪流（原作・脚本）┴つなかわ（作画）</v>
      </c>
      <c r="I34" s="14" t="str">
        <f>IFERROR(__xludf.DUMMYFUNCTION("""COMPUTED_VALUE"""),"青年")</f>
        <v>青年</v>
      </c>
      <c r="J34" s="8"/>
      <c r="K34" s="8"/>
      <c r="L34" s="8" t="str">
        <f>IFERROR(__xludf.DUMMYFUNCTION("""COMPUTED_VALUE"""),"HykeComic")</f>
        <v>HykeComic</v>
      </c>
      <c r="M34" s="12">
        <f>IFERROR(__xludf.DUMMYFUNCTION("""COMPUTED_VALUE"""),44916.0)</f>
        <v>44916</v>
      </c>
      <c r="N34" s="12">
        <f>IFERROR(__xludf.DUMMYFUNCTION("""COMPUTED_VALUE"""),45006.0)</f>
        <v>45006</v>
      </c>
      <c r="O34" s="11"/>
      <c r="P34" s="9" t="str">
        <f>IFERROR(__xludf.DUMMYFUNCTION("""COMPUTED_VALUE"""),"可")</f>
        <v>可</v>
      </c>
      <c r="Q34" s="8"/>
      <c r="R34" s="9"/>
      <c r="S34" s="8" t="str">
        <f>IFERROR(__xludf.DUMMYFUNCTION("""COMPUTED_VALUE"""),"20221128_HykeComic_12月新作")</f>
        <v>20221128_HykeComic_12月新作</v>
      </c>
      <c r="T34" s="9"/>
      <c r="U34" s="9" t="str">
        <f>IFERROR(__xludf.DUMMYFUNCTION("""COMPUTED_VALUE"""),"© HykeComic / StraightEdge Inc.")</f>
        <v>© HykeComic / StraightEdge Inc.</v>
      </c>
      <c r="V34" s="8" t="str">
        <f>IFERROR(__xludf.DUMMYFUNCTION("""COMPUTED_VALUE"""),"俺は、ずっといじめられてきた。『殺人犯の息子』だからだ。でも、俺は今でも信じてる。親父は冤罪で、真犯人は別にいるってな。だけど、周りはそう思っちゃくれねえ。
今日も喧嘩に巻き込まれ、気づけば病院のベッドにいた俺は、視界に奇妙なウィンドウが浮かんでいることに気づく。
『はなす　しらべる　とる　つかう』
おい、なんだよこれ……？
まるでアドベンチャーゲームのコマンド表示じゃねえか……。
なんと俺はゲームの主人公の如く「絶対に相手に服従を強いることができる選択肢」が使えるようになっていた！？
夢のような能力"&amp;"を得た俺は、心に誓った。父親を罠に嵌めた真犯人をこの手で探し出し、必ず復讐するってな――。
でっでもその前に、目の前のエロいナースちゃんで『コマンド』を試しちゃおっかなぁ～～～！！　……お、おいマジかよ！？　本当にナースちゃんが何でもいうことを聞き始めてるぜ……！？　胸のカップ数を『はなす』し、下着を『とる』までしてくれちゃてよぉ～～～～～！！！！")</f>
        <v>俺は、ずっといじめられてきた。『殺人犯の息子』だからだ。でも、俺は今でも信じてる。親父は冤罪で、真犯人は別にいるってな。だけど、周りはそう思っちゃくれねえ。
今日も喧嘩に巻き込まれ、気づけば病院のベッドにいた俺は、視界に奇妙なウィンドウが浮かんでいることに気づく。
『はなす　しらべる　とる　つかう』
おい、なんだよこれ……？
まるでアドベンチャーゲームのコマンド表示じゃねえか……。
なんと俺はゲームの主人公の如く「絶対に相手に服従を強いることができる選択肢」が使えるようになっていた！？
夢のような能力を得た俺は、心に誓った。父親を罠に嵌めた真犯人をこの手で探し出し、必ず復讐するってな――。
でっでもその前に、目の前のエロいナースちゃんで『コマンド』を試しちゃおっかなぁ～～～！！　……お、おいマジかよ！？　本当にナースちゃんが何でもいうことを聞き始めてるぜ……！？　胸のカップ数を『はなす』し、下着を『とる』までしてくれちゃてよぉ～～～～～！！！！</v>
      </c>
      <c r="W34" s="8"/>
      <c r="X34" s="8" t="str">
        <f>IFERROR(__xludf.DUMMYFUNCTION("""COMPUTED_VALUE"""),"有")</f>
        <v>有</v>
      </c>
      <c r="Y34" s="8" t="str">
        <f>IFERROR(__xludf.DUMMYFUNCTION("""COMPUTED_VALUE"""),"1～4巻目無料")</f>
        <v>1～4巻目無料</v>
      </c>
      <c r="Z34" s="7"/>
      <c r="AA34" s="7"/>
      <c r="AB34" s="7"/>
    </row>
    <row r="35" ht="401.25" customHeight="1">
      <c r="A35" s="8">
        <f>IFERROR(__xludf.DUMMYFUNCTION("""COMPUTED_VALUE"""),1559.0)</f>
        <v>1559</v>
      </c>
      <c r="B35" s="9" t="str">
        <f>IFERROR(__xludf.DUMMYFUNCTION("""COMPUTED_VALUE"""),"確定")</f>
        <v>確定</v>
      </c>
      <c r="C35" s="10">
        <f>IFERROR(__xludf.DUMMYFUNCTION("""COMPUTED_VALUE"""),44893.0)</f>
        <v>44893</v>
      </c>
      <c r="D35" s="10">
        <f>IFERROR(__xludf.DUMMYFUNCTION("""COMPUTED_VALUE"""),44901.0)</f>
        <v>44901</v>
      </c>
      <c r="E35" s="8">
        <f>IFERROR(__xludf.DUMMYFUNCTION("""COMPUTED_VALUE"""),259247.0)</f>
        <v>259247</v>
      </c>
      <c r="F35" s="9" t="str">
        <f>IFERROR(__xludf.DUMMYFUNCTION("""COMPUTED_VALUE"""),"旦那のアレ、もらってください【タテヨミ】")</f>
        <v>旦那のアレ、もらってください【タテヨミ】</v>
      </c>
      <c r="G35" s="11" t="str">
        <f>IFERROR(__xludf.DUMMYFUNCTION("""COMPUTED_VALUE"""),"1～23")</f>
        <v>1～23</v>
      </c>
      <c r="H35" s="8" t="str">
        <f>IFERROR(__xludf.DUMMYFUNCTION("""COMPUTED_VALUE"""),"一宮 梨華（原作）┴MUGEN FACTORY（制作）┴taskey（原作）")</f>
        <v>一宮 梨華（原作）┴MUGEN FACTORY（制作）┴taskey（原作）</v>
      </c>
      <c r="I35" s="8" t="str">
        <f>IFERROR(__xludf.DUMMYFUNCTION("""COMPUTED_VALUE"""),"女性")</f>
        <v>女性</v>
      </c>
      <c r="J35" s="8"/>
      <c r="K35" s="8"/>
      <c r="L35" s="8" t="str">
        <f>IFERROR(__xludf.DUMMYFUNCTION("""COMPUTED_VALUE"""),"HykeComic")</f>
        <v>HykeComic</v>
      </c>
      <c r="M35" s="12">
        <f>IFERROR(__xludf.DUMMYFUNCTION("""COMPUTED_VALUE"""),44916.0)</f>
        <v>44916</v>
      </c>
      <c r="N35" s="12">
        <f>IFERROR(__xludf.DUMMYFUNCTION("""COMPUTED_VALUE"""),45006.0)</f>
        <v>45006</v>
      </c>
      <c r="O35" s="11"/>
      <c r="P35" s="9" t="str">
        <f>IFERROR(__xludf.DUMMYFUNCTION("""COMPUTED_VALUE"""),"可")</f>
        <v>可</v>
      </c>
      <c r="Q35" s="8"/>
      <c r="R35" s="9"/>
      <c r="S35" s="8" t="str">
        <f>IFERROR(__xludf.DUMMYFUNCTION("""COMPUTED_VALUE"""),"20221128_HykeComic_12月新作")</f>
        <v>20221128_HykeComic_12月新作</v>
      </c>
      <c r="T35" s="9"/>
      <c r="U35" s="9" t="str">
        <f>IFERROR(__xludf.DUMMYFUNCTION("""COMPUTED_VALUE"""),"©HykeComic / taskey / MUGEN FACTORY")</f>
        <v>©HykeComic / taskey / MUGEN FACTORY</v>
      </c>
      <c r="V35" s="8" t="str">
        <f>IFERROR(__xludf.DUMMYFUNCTION("""COMPUTED_VALUE"""),"セックスレスに悩む和香（わか）。
和香のことは愛しているが抱けない夫・崇人（たかと）。
和香の親友のみなみは夫の冬夜（とうや）を男として見られなくなり、冬夜はみなみを抱けないことに胸を焦がし、自信を失っていた。
それぞれの悩みが歪（ひずみ）を生み、いつしか複雑に絡み合うように??。
「心と体は引き離せる？」その答えを知る頃には、四人は後戻りできないところまできていた。")</f>
        <v>セックスレスに悩む和香（わか）。
和香のことは愛しているが抱けない夫・崇人（たかと）。
和香の親友のみなみは夫の冬夜（とうや）を男として見られなくなり、冬夜はみなみを抱けないことに胸を焦がし、自信を失っていた。
それぞれの悩みが歪（ひずみ）を生み、いつしか複雑に絡み合うように??。
「心と体は引き離せる？」その答えを知る頃には、四人は後戻りできないところまできていた。</v>
      </c>
      <c r="W35" s="8"/>
      <c r="X35" s="8" t="str">
        <f>IFERROR(__xludf.DUMMYFUNCTION("""COMPUTED_VALUE"""),"有")</f>
        <v>有</v>
      </c>
      <c r="Y35" s="8" t="str">
        <f>IFERROR(__xludf.DUMMYFUNCTION("""COMPUTED_VALUE"""),"1～4巻目無料")</f>
        <v>1～4巻目無料</v>
      </c>
      <c r="Z35" s="7"/>
      <c r="AA35" s="7"/>
      <c r="AB35" s="7"/>
    </row>
    <row r="36" ht="15.75" customHeight="1">
      <c r="A36" s="8">
        <f>IFERROR(__xludf.DUMMYFUNCTION("""COMPUTED_VALUE"""),1560.0)</f>
        <v>1560</v>
      </c>
      <c r="B36" s="9" t="str">
        <f>IFERROR(__xludf.DUMMYFUNCTION("""COMPUTED_VALUE"""),"確定")</f>
        <v>確定</v>
      </c>
      <c r="C36" s="10">
        <f>IFERROR(__xludf.DUMMYFUNCTION("""COMPUTED_VALUE"""),44893.0)</f>
        <v>44893</v>
      </c>
      <c r="D36" s="10">
        <f>IFERROR(__xludf.DUMMYFUNCTION("""COMPUTED_VALUE"""),44901.0)</f>
        <v>44901</v>
      </c>
      <c r="E36" s="8">
        <f>IFERROR(__xludf.DUMMYFUNCTION("""COMPUTED_VALUE"""),259250.0)</f>
        <v>259250</v>
      </c>
      <c r="F36" s="9" t="str">
        <f>IFERROR(__xludf.DUMMYFUNCTION("""COMPUTED_VALUE"""),"禁忌の転生大魔導士 ～無能からレベルアップで最強に～【タテヨミ】")</f>
        <v>禁忌の転生大魔導士 ～無能からレベルアップで最強に～【タテヨミ】</v>
      </c>
      <c r="G36" s="11" t="str">
        <f>IFERROR(__xludf.DUMMYFUNCTION("""COMPUTED_VALUE"""),"1～34")</f>
        <v>1～34</v>
      </c>
      <c r="H36" s="8" t="str">
        <f>IFERROR(__xludf.DUMMYFUNCTION("""COMPUTED_VALUE"""),"蒼乃白兎┴Chieri")</f>
        <v>蒼乃白兎┴Chieri</v>
      </c>
      <c r="I36" s="14" t="str">
        <f>IFERROR(__xludf.DUMMYFUNCTION("""COMPUTED_VALUE"""),"少年")</f>
        <v>少年</v>
      </c>
      <c r="J36" s="8"/>
      <c r="K36" s="8"/>
      <c r="L36" s="8" t="str">
        <f>IFERROR(__xludf.DUMMYFUNCTION("""COMPUTED_VALUE"""),"HykeComic")</f>
        <v>HykeComic</v>
      </c>
      <c r="M36" s="12">
        <f>IFERROR(__xludf.DUMMYFUNCTION("""COMPUTED_VALUE"""),44916.0)</f>
        <v>44916</v>
      </c>
      <c r="N36" s="12">
        <f>IFERROR(__xludf.DUMMYFUNCTION("""COMPUTED_VALUE"""),45006.0)</f>
        <v>45006</v>
      </c>
      <c r="O36" s="11"/>
      <c r="P36" s="9" t="str">
        <f>IFERROR(__xludf.DUMMYFUNCTION("""COMPUTED_VALUE"""),"可")</f>
        <v>可</v>
      </c>
      <c r="Q36" s="8"/>
      <c r="R36" s="9"/>
      <c r="S36" s="8" t="str">
        <f>IFERROR(__xludf.DUMMYFUNCTION("""COMPUTED_VALUE"""),"20221128_HykeComic_12月新作")</f>
        <v>20221128_HykeComic_12月新作</v>
      </c>
      <c r="T36" s="9"/>
      <c r="U36" s="9" t="str">
        <f>IFERROR(__xludf.DUMMYFUNCTION("""COMPUTED_VALUE"""),"©HykeComic / StraightEdge Inc.")</f>
        <v>©HykeComic / StraightEdge Inc.</v>
      </c>
      <c r="V36" s="8" t="str">
        <f>IFERROR(__xludf.DUMMYFUNCTION("""COMPUTED_VALUE"""),"世界各地に突如出現した『ダンジョン』。
特殊能力『スキル』に目覚めた人々は、『ダンジョン』に夢と希望と大金を求め攻略を開始する。
主人公・佐伯伊織は、スキルに目覚めなかった『無能な劣等者』だった。しかし、不治の病に冒された妹・琴葉の治療費を稼ぐため、彼は冒険者になる決意をする。
パーティを組んで挑む、難度の高い『ダンジョン』の攻略中。
周りの『スキル持ち』冒険者は、伊織をスキルのない無能者だと馬鹿にし始める。
だが、伊織には秘密があった。
実は彼の前世は、スキルの上位互換である『失われた魔法』を極め"&amp;"た最強の大魔導士であること。そして、その前世の力はレベルを上げることによって、取り戻せること。
レベルを上げて、禁忌の力を取り戻せ！　周囲の評価を覆す『無能な劣等者』の逆転劇が今始まる──。")</f>
        <v>世界各地に突如出現した『ダンジョン』。
特殊能力『スキル』に目覚めた人々は、『ダンジョン』に夢と希望と大金を求め攻略を開始する。
主人公・佐伯伊織は、スキルに目覚めなかった『無能な劣等者』だった。しかし、不治の病に冒された妹・琴葉の治療費を稼ぐため、彼は冒険者になる決意をする。
パーティを組んで挑む、難度の高い『ダンジョン』の攻略中。
周りの『スキル持ち』冒険者は、伊織をスキルのない無能者だと馬鹿にし始める。
だが、伊織には秘密があった。
実は彼の前世は、スキルの上位互換である『失われた魔法』を極めた最強の大魔導士であること。そして、その前世の力はレベルを上げることによって、取り戻せること。
レベルを上げて、禁忌の力を取り戻せ！　周囲の評価を覆す『無能な劣等者』の逆転劇が今始まる──。</v>
      </c>
      <c r="W36" s="8"/>
      <c r="X36" s="8" t="str">
        <f>IFERROR(__xludf.DUMMYFUNCTION("""COMPUTED_VALUE"""),"有")</f>
        <v>有</v>
      </c>
      <c r="Y36" s="8" t="str">
        <f>IFERROR(__xludf.DUMMYFUNCTION("""COMPUTED_VALUE"""),"1～5巻目無料")</f>
        <v>1～5巻目無料</v>
      </c>
      <c r="Z36" s="7"/>
      <c r="AA36" s="7"/>
      <c r="AB36" s="7"/>
    </row>
    <row r="37" ht="15.75" customHeight="1">
      <c r="A37" s="8">
        <f>IFERROR(__xludf.DUMMYFUNCTION("""COMPUTED_VALUE"""),1561.0)</f>
        <v>1561</v>
      </c>
      <c r="B37" s="9" t="str">
        <f>IFERROR(__xludf.DUMMYFUNCTION("""COMPUTED_VALUE"""),"確定")</f>
        <v>確定</v>
      </c>
      <c r="C37" s="10">
        <f>IFERROR(__xludf.DUMMYFUNCTION("""COMPUTED_VALUE"""),44893.0)</f>
        <v>44893</v>
      </c>
      <c r="D37" s="10">
        <f>IFERROR(__xludf.DUMMYFUNCTION("""COMPUTED_VALUE"""),44901.0)</f>
        <v>44901</v>
      </c>
      <c r="E37" s="8">
        <f>IFERROR(__xludf.DUMMYFUNCTION("""COMPUTED_VALUE"""),259478.0)</f>
        <v>259478</v>
      </c>
      <c r="F37" s="9" t="str">
        <f>IFERROR(__xludf.DUMMYFUNCTION("""COMPUTED_VALUE"""),"レベルドレイン /絶対無双の冒険者/【タテヨミ】")</f>
        <v>レベルドレイン /絶対無双の冒険者/【タテヨミ】</v>
      </c>
      <c r="G37" s="11" t="str">
        <f>IFERROR(__xludf.DUMMYFUNCTION("""COMPUTED_VALUE"""),"1～29")</f>
        <v>1～29</v>
      </c>
      <c r="H37" s="8" t="str">
        <f>IFERROR(__xludf.DUMMYFUNCTION("""COMPUTED_VALUE"""),"波摘┴KSK")</f>
        <v>波摘┴KSK</v>
      </c>
      <c r="I37" s="14" t="str">
        <f>IFERROR(__xludf.DUMMYFUNCTION("""COMPUTED_VALUE"""),"少年")</f>
        <v>少年</v>
      </c>
      <c r="J37" s="8"/>
      <c r="K37" s="8"/>
      <c r="L37" s="8" t="str">
        <f>IFERROR(__xludf.DUMMYFUNCTION("""COMPUTED_VALUE"""),"HykeComic")</f>
        <v>HykeComic</v>
      </c>
      <c r="M37" s="12">
        <f>IFERROR(__xludf.DUMMYFUNCTION("""COMPUTED_VALUE"""),44916.0)</f>
        <v>44916</v>
      </c>
      <c r="N37" s="12">
        <f>IFERROR(__xludf.DUMMYFUNCTION("""COMPUTED_VALUE"""),45006.0)</f>
        <v>45006</v>
      </c>
      <c r="O37" s="11"/>
      <c r="P37" s="9" t="str">
        <f>IFERROR(__xludf.DUMMYFUNCTION("""COMPUTED_VALUE"""),"可")</f>
        <v>可</v>
      </c>
      <c r="Q37" s="8"/>
      <c r="R37" s="9"/>
      <c r="S37" s="8" t="str">
        <f>IFERROR(__xludf.DUMMYFUNCTION("""COMPUTED_VALUE"""),"20221128_HykeComic_12月新作")</f>
        <v>20221128_HykeComic_12月新作</v>
      </c>
      <c r="T37" s="9"/>
      <c r="U37" s="9" t="str">
        <f>IFERROR(__xludf.DUMMYFUNCTION("""COMPUTED_VALUE"""),"©HykeComic / StraightEdge Inc.")</f>
        <v>©HykeComic / StraightEdge Inc.</v>
      </c>
      <c r="V37" s="8" t="str">
        <f>IFERROR(__xludf.DUMMYFUNCTION("""COMPUTED_VALUE"""),"「この世はレベル絶対主義なんだ。弱い者はとことん奪われる。かつて俺がそうだった――」
危険なモンスターが跋扈し、その討伐を生業とする冒険者が存在する世界。
レベルが絶対的な力の象徴であり、高いレベルの者は富と名声を手に入れ、そうでない者はより下の者から搾取するのが当然のように行われていた。
主人公アルカは「経験値取得不可」スキルを持つせいでレベルが上がらず、社会の最底辺として《死体漁り》と呼ばれていた。
そんな中、アルカは災厄の鎧《アビス・アーマー》を手に入れる。
その鎧は殺した相手のレベルを吸収する"&amp;"ことができる《レベルドレイン》を使用可能とするものだった！
「この力さえあれば、俺を邪魔する奴は全て……」
《レベルドレイン》を手に入れたアルカは、人間・モンスターを問わずレベルを吸い上げ冒険者としての名声と能力を高めていく。アルカの前には最強種であるドラゴンや世界で数人しか認定されていない天災級冒険者が立ちはだかる。しかし、彼らすらアルカにとってはレベルを奪う対象であり、踏み台でしかなかった。
この物語は、かつてレベル１の最底辺と蔑まれた男が、持つ者から奪い、そして世界最強の存在へと成長する漆黒騎"&amp;"士の英雄譚である。")</f>
        <v>「この世はレベル絶対主義なんだ。弱い者はとことん奪われる。かつて俺がそうだった――」
危険なモンスターが跋扈し、その討伐を生業とする冒険者が存在する世界。
レベルが絶対的な力の象徴であり、高いレベルの者は富と名声を手に入れ、そうでない者はより下の者から搾取するのが当然のように行われていた。
主人公アルカは「経験値取得不可」スキルを持つせいでレベルが上がらず、社会の最底辺として《死体漁り》と呼ばれていた。
そんな中、アルカは災厄の鎧《アビス・アーマー》を手に入れる。
その鎧は殺した相手のレベルを吸収することができる《レベルドレイン》を使用可能とするものだった！
「この力さえあれば、俺を邪魔する奴は全て……」
《レベルドレイン》を手に入れたアルカは、人間・モンスターを問わずレベルを吸い上げ冒険者としての名声と能力を高めていく。アルカの前には最強種であるドラゴンや世界で数人しか認定されていない天災級冒険者が立ちはだかる。しかし、彼らすらアルカにとってはレベルを奪う対象であり、踏み台でしかなかった。
この物語は、かつてレベル１の最底辺と蔑まれた男が、持つ者から奪い、そして世界最強の存在へと成長する漆黒騎士の英雄譚である。</v>
      </c>
      <c r="W37" s="8"/>
      <c r="X37" s="8" t="str">
        <f>IFERROR(__xludf.DUMMYFUNCTION("""COMPUTED_VALUE"""),"有")</f>
        <v>有</v>
      </c>
      <c r="Y37" s="8" t="str">
        <f>IFERROR(__xludf.DUMMYFUNCTION("""COMPUTED_VALUE"""),"1～4巻目無料")</f>
        <v>1～4巻目無料</v>
      </c>
      <c r="Z37" s="7"/>
      <c r="AA37" s="7"/>
      <c r="AB37" s="7"/>
    </row>
    <row r="38" ht="124.5" customHeight="1">
      <c r="A38" s="8">
        <f>IFERROR(__xludf.DUMMYFUNCTION("""COMPUTED_VALUE"""),1524.0)</f>
        <v>1524</v>
      </c>
      <c r="B38" s="9" t="str">
        <f>IFERROR(__xludf.DUMMYFUNCTION("""COMPUTED_VALUE"""),"確定")</f>
        <v>確定</v>
      </c>
      <c r="C38" s="10">
        <f>IFERROR(__xludf.DUMMYFUNCTION("""COMPUTED_VALUE"""),44879.0)</f>
        <v>44879</v>
      </c>
      <c r="D38" s="10">
        <f>IFERROR(__xludf.DUMMYFUNCTION("""COMPUTED_VALUE"""),44901.0)</f>
        <v>44901</v>
      </c>
      <c r="E38" s="8">
        <f>IFERROR(__xludf.DUMMYFUNCTION("""COMPUTED_VALUE"""),258391.0)</f>
        <v>258391</v>
      </c>
      <c r="F38" s="9" t="str">
        <f>IFERROR(__xludf.DUMMYFUNCTION("""COMPUTED_VALUE"""),"こんなお爺ちゃんに感じさせられて…。")</f>
        <v>こんなお爺ちゃんに感じさせられて…。</v>
      </c>
      <c r="G38" s="11">
        <f>IFERROR(__xludf.DUMMYFUNCTION("""COMPUTED_VALUE"""),1.0)</f>
        <v>1</v>
      </c>
      <c r="H38" s="8" t="str">
        <f>IFERROR(__xludf.DUMMYFUNCTION("""COMPUTED_VALUE"""),"あんばらんす")</f>
        <v>あんばらんす</v>
      </c>
      <c r="I38" s="8" t="str">
        <f>IFERROR(__xludf.DUMMYFUNCTION("""COMPUTED_VALUE"""),"オトナ")</f>
        <v>オトナ</v>
      </c>
      <c r="J38" s="8"/>
      <c r="K38" s="8"/>
      <c r="L38" s="8" t="str">
        <f>IFERROR(__xludf.DUMMYFUNCTION("""COMPUTED_VALUE"""),"ブリック出版")</f>
        <v>ブリック出版</v>
      </c>
      <c r="M38" s="12">
        <f>IFERROR(__xludf.DUMMYFUNCTION("""COMPUTED_VALUE"""),44918.0)</f>
        <v>44918</v>
      </c>
      <c r="N38" s="12">
        <f>IFERROR(__xludf.DUMMYFUNCTION("""COMPUTED_VALUE"""),44945.0)</f>
        <v>44945</v>
      </c>
      <c r="O38" s="11"/>
      <c r="P38" s="9" t="str">
        <f>IFERROR(__xludf.DUMMYFUNCTION("""COMPUTED_VALUE"""),"可")</f>
        <v>可</v>
      </c>
      <c r="Q38" s="8" t="str">
        <f>IFERROR(__xludf.DUMMYFUNCTION("""COMPUTED_VALUE"""),"出稿可であれば先行確定です。&lt;BR&gt;以前、同人CG集としてヒットした作品（AV化もされています）の電子書籍版です。&lt;BR&gt;https://www.dmm.co.jp/dc/doujin/-/detail/=/cid=d_125089/&lt;BR&gt;同人配信サイトではランキング上位を獲得しています（右肩のランキングは過去最高順位）。")</f>
        <v>出稿可であれば先行確定です。&lt;BR&gt;以前、同人CG集としてヒットした作品（AV化もされています）の電子書籍版です。&lt;BR&gt;https://www.dmm.co.jp/dc/doujin/-/detail/=/cid=d_125089/&lt;BR&gt;同人配信サイトではランキング上位を獲得しています（右肩のランキングは過去最高順位）。</v>
      </c>
      <c r="R38" s="9"/>
      <c r="S38" s="8" t="str">
        <f>IFERROR(__xludf.DUMMYFUNCTION("""COMPUTED_VALUE"""),"20221114_BookLive_こんなお爺ちゃんに感じさせられて…。")</f>
        <v>20221114_BookLive_こんなお爺ちゃんに感じさせられて…。</v>
      </c>
      <c r="T38" s="9"/>
      <c r="U38" s="9" t="str">
        <f>IFERROR(__xludf.DUMMYFUNCTION("""COMPUTED_VALUE"""),"©ブリック出版")</f>
        <v>©ブリック出版</v>
      </c>
      <c r="V38" s="8" t="str">
        <f>IFERROR(__xludf.DUMMYFUNCTION("""COMPUTED_VALUE"""),"※本作はあんばらんすの個人誌作品の電子書籍版となります。【フルカラー77ページ】
夏休み、実家に帰省中の朝姫は母親の強引な頼みで
近所の昔馴染みの老人・梅吉の家へ世話をしに行くことに。
すっかり成長した朝姫の姿に梅吉の理性も限界を超え、
ボケたふりをしてあれやこれやとよからぬことを企むのであった……
※本作は 汚いジジイの描画も多めです。苦手な方はご注意ください。")</f>
        <v>※本作はあんばらんすの個人誌作品の電子書籍版となります。【フルカラー77ページ】
夏休み、実家に帰省中の朝姫は母親の強引な頼みで
近所の昔馴染みの老人・梅吉の家へ世話をしに行くことに。
すっかり成長した朝姫の姿に梅吉の理性も限界を超え、
ボケたふりをしてあれやこれやとよからぬことを企むのであった……
※本作は 汚いジジイの描画も多めです。苦手な方はご注意ください。</v>
      </c>
      <c r="W38" s="8"/>
      <c r="X38" s="8" t="str">
        <f>IFERROR(__xludf.DUMMYFUNCTION("""COMPUTED_VALUE"""),"有")</f>
        <v>有</v>
      </c>
      <c r="Y38" s="8" t="str">
        <f>IFERROR(__xludf.DUMMYFUNCTION("""COMPUTED_VALUE"""),"P21まで")</f>
        <v>P21まで</v>
      </c>
      <c r="Z38" s="17"/>
      <c r="AA38" s="17"/>
      <c r="AB38" s="7"/>
    </row>
    <row r="39" ht="15.75" customHeight="1">
      <c r="A39" s="8">
        <f>IFERROR(__xludf.DUMMYFUNCTION("""COMPUTED_VALUE"""),1563.0)</f>
        <v>1563</v>
      </c>
      <c r="B39" s="9" t="str">
        <f>IFERROR(__xludf.DUMMYFUNCTION("""COMPUTED_VALUE"""),"確定")</f>
        <v>確定</v>
      </c>
      <c r="C39" s="10">
        <f>IFERROR(__xludf.DUMMYFUNCTION("""COMPUTED_VALUE"""),44894.0)</f>
        <v>44894</v>
      </c>
      <c r="D39" s="10">
        <f>IFERROR(__xludf.DUMMYFUNCTION("""COMPUTED_VALUE"""),44901.0)</f>
        <v>44901</v>
      </c>
      <c r="E39" s="8">
        <f>IFERROR(__xludf.DUMMYFUNCTION("""COMPUTED_VALUE"""),258545.0)</f>
        <v>258545</v>
      </c>
      <c r="F39" s="9" t="str">
        <f>IFERROR(__xludf.DUMMYFUNCTION("""COMPUTED_VALUE"""),"その初恋は甘すぎる～恋愛処女には刺激が強い～【タテヨミ】")</f>
        <v>その初恋は甘すぎる～恋愛処女には刺激が強い～【タテヨミ】</v>
      </c>
      <c r="G39" s="11" t="str">
        <f>IFERROR(__xludf.DUMMYFUNCTION("""COMPUTED_VALUE"""),"1～21")</f>
        <v>1～21</v>
      </c>
      <c r="H39" s="8" t="str">
        <f>IFERROR(__xludf.DUMMYFUNCTION("""COMPUTED_VALUE"""),"陽華エミ / itoka")</f>
        <v>陽華エミ / itoka</v>
      </c>
      <c r="I39" s="8" t="str">
        <f>IFERROR(__xludf.DUMMYFUNCTION("""COMPUTED_VALUE"""),"女性")</f>
        <v>女性</v>
      </c>
      <c r="J39" s="8"/>
      <c r="K39" s="8"/>
      <c r="L39" s="8" t="str">
        <f>IFERROR(__xludf.DUMMYFUNCTION("""COMPUTED_VALUE"""),"DPNブックス")</f>
        <v>DPNブックス</v>
      </c>
      <c r="M39" s="12">
        <f>IFERROR(__xludf.DUMMYFUNCTION("""COMPUTED_VALUE"""),44918.0)</f>
        <v>44918</v>
      </c>
      <c r="N39" s="12">
        <f>IFERROR(__xludf.DUMMYFUNCTION("""COMPUTED_VALUE"""),44948.0)</f>
        <v>44948</v>
      </c>
      <c r="O39" s="11"/>
      <c r="P39" s="9" t="str">
        <f>IFERROR(__xludf.DUMMYFUNCTION("""COMPUTED_VALUE"""),"可")</f>
        <v>可</v>
      </c>
      <c r="Q39" s="8" t="str">
        <f>IFERROR(__xludf.DUMMYFUNCTION("""COMPUTED_VALUE"""),"10巻無料実施します")</f>
        <v>10巻無料実施します</v>
      </c>
      <c r="R39" s="9"/>
      <c r="S39" s="8" t="str">
        <f>IFERROR(__xludf.DUMMYFUNCTION("""COMPUTED_VALUE"""),"20221129_DPNブックス_12月タテヨミ2作品")</f>
        <v>20221129_DPNブックス_12月タテヨミ2作品</v>
      </c>
      <c r="T39" s="9"/>
      <c r="U39" s="9" t="str">
        <f>IFERROR(__xludf.DUMMYFUNCTION("""COMPUTED_VALUE"""),"©陽華エミ・itoka／DPNブックス")</f>
        <v>©陽華エミ・itoka／DPNブックス</v>
      </c>
      <c r="V39" s="8" t="str">
        <f>IFERROR(__xludf.DUMMYFUNCTION("""COMPUTED_VALUE"""),"鉄")</f>
        <v>鉄</v>
      </c>
      <c r="W39" s="8"/>
      <c r="X39" s="8" t="str">
        <f>IFERROR(__xludf.DUMMYFUNCTION("""COMPUTED_VALUE"""),"有")</f>
        <v>有</v>
      </c>
      <c r="Y39" s="8" t="str">
        <f>IFERROR(__xludf.DUMMYFUNCTION("""COMPUTED_VALUE"""),"1～10巻目無料")</f>
        <v>1～10巻目無料</v>
      </c>
      <c r="Z39" s="7"/>
      <c r="AA39" s="7"/>
      <c r="AB39" s="7"/>
    </row>
    <row r="40" ht="15.75" customHeight="1">
      <c r="A40" s="8">
        <f>IFERROR(__xludf.DUMMYFUNCTION("""COMPUTED_VALUE"""),1564.0)</f>
        <v>1564</v>
      </c>
      <c r="B40" s="9" t="str">
        <f>IFERROR(__xludf.DUMMYFUNCTION("""COMPUTED_VALUE"""),"確定")</f>
        <v>確定</v>
      </c>
      <c r="C40" s="10">
        <f>IFERROR(__xludf.DUMMYFUNCTION("""COMPUTED_VALUE"""),44894.0)</f>
        <v>44894</v>
      </c>
      <c r="D40" s="10">
        <f>IFERROR(__xludf.DUMMYFUNCTION("""COMPUTED_VALUE"""),44901.0)</f>
        <v>44901</v>
      </c>
      <c r="E40" s="8">
        <f>IFERROR(__xludf.DUMMYFUNCTION("""COMPUTED_VALUE"""),258546.0)</f>
        <v>258546</v>
      </c>
      <c r="F40" s="9" t="str">
        <f>IFERROR(__xludf.DUMMYFUNCTION("""COMPUTED_VALUE"""),"社内探偵【タテヨミ】")</f>
        <v>社内探偵【タテヨミ】</v>
      </c>
      <c r="G40" s="11" t="str">
        <f>IFERROR(__xludf.DUMMYFUNCTION("""COMPUTED_VALUE"""),"1～21")</f>
        <v>1～21</v>
      </c>
      <c r="H40" s="8" t="str">
        <f>IFERROR(__xludf.DUMMYFUNCTION("""COMPUTED_VALUE"""),"かたおかみさお egumi")</f>
        <v>かたおかみさお egumi</v>
      </c>
      <c r="I40" s="8" t="str">
        <f>IFERROR(__xludf.DUMMYFUNCTION("""COMPUTED_VALUE"""),"女性")</f>
        <v>女性</v>
      </c>
      <c r="J40" s="8"/>
      <c r="K40" s="8"/>
      <c r="L40" s="8" t="str">
        <f>IFERROR(__xludf.DUMMYFUNCTION("""COMPUTED_VALUE"""),"DPNブックス")</f>
        <v>DPNブックス</v>
      </c>
      <c r="M40" s="12">
        <f>IFERROR(__xludf.DUMMYFUNCTION("""COMPUTED_VALUE"""),44918.0)</f>
        <v>44918</v>
      </c>
      <c r="N40" s="12">
        <f>IFERROR(__xludf.DUMMYFUNCTION("""COMPUTED_VALUE"""),44948.0)</f>
        <v>44948</v>
      </c>
      <c r="O40" s="11"/>
      <c r="P40" s="9" t="str">
        <f>IFERROR(__xludf.DUMMYFUNCTION("""COMPUTED_VALUE"""),"可")</f>
        <v>可</v>
      </c>
      <c r="Q40" s="8" t="str">
        <f>IFERROR(__xludf.DUMMYFUNCTION("""COMPUTED_VALUE"""),"10巻無料実施します")</f>
        <v>10巻無料実施します</v>
      </c>
      <c r="R40" s="9"/>
      <c r="S40" s="8" t="str">
        <f>IFERROR(__xludf.DUMMYFUNCTION("""COMPUTED_VALUE"""),"20221129_DPNブックス_12月タテヨミ2作品")</f>
        <v>20221129_DPNブックス_12月タテヨミ2作品</v>
      </c>
      <c r="T40" s="9"/>
      <c r="U40" s="9" t="str">
        <f>IFERROR(__xludf.DUMMYFUNCTION("""COMPUTED_VALUE"""),"©かたおかみさお・egumi／DPNブックス")</f>
        <v>©かたおかみさお・egumi／DPNブックス</v>
      </c>
      <c r="V40" s="8" t="str">
        <f>IFERROR(__xludf.DUMMYFUNCTION("""COMPUTED_VALUE"""),"松原をはじめ企画部の女性陣はモヤついていた。同じ部内「飯田美和」の勤怠一挙手一投足が部内の空気をよどませ、さらには彼女を囲む男性陣の行動がそのモヤつきに拍車をかけていたのだ。「スカッとしたい…誰か何とかして！」限界に達し人事部へ向かった松原を出迎えたのは、ジト目で機関銃の如く早口でしゃべる女性…”社内探偵”こと「久我ありさ」だった―。")</f>
        <v>松原をはじめ企画部の女性陣はモヤついていた。同じ部内「飯田美和」の勤怠一挙手一投足が部内の空気をよどませ、さらには彼女を囲む男性陣の行動がそのモヤつきに拍車をかけていたのだ。「スカッとしたい…誰か何とかして！」限界に達し人事部へ向かった松原を出迎えたのは、ジト目で機関銃の如く早口でしゃべる女性…”社内探偵”こと「久我ありさ」だった―。</v>
      </c>
      <c r="W40" s="8"/>
      <c r="X40" s="8" t="str">
        <f>IFERROR(__xludf.DUMMYFUNCTION("""COMPUTED_VALUE"""),"有")</f>
        <v>有</v>
      </c>
      <c r="Y40" s="8" t="str">
        <f>IFERROR(__xludf.DUMMYFUNCTION("""COMPUTED_VALUE"""),"1～10巻目無料")</f>
        <v>1～10巻目無料</v>
      </c>
      <c r="Z40" s="7"/>
      <c r="AA40" s="7"/>
      <c r="AB40" s="7"/>
    </row>
    <row r="41" ht="104.25" customHeight="1">
      <c r="A41" s="8">
        <f>IFERROR(__xludf.DUMMYFUNCTION("""COMPUTED_VALUE"""),1517.0)</f>
        <v>1517</v>
      </c>
      <c r="B41" s="9" t="str">
        <f>IFERROR(__xludf.DUMMYFUNCTION("""COMPUTED_VALUE"""),"確定")</f>
        <v>確定</v>
      </c>
      <c r="C41" s="10">
        <f>IFERROR(__xludf.DUMMYFUNCTION("""COMPUTED_VALUE"""),44875.0)</f>
        <v>44875</v>
      </c>
      <c r="D41" s="10">
        <f>IFERROR(__xludf.DUMMYFUNCTION("""COMPUTED_VALUE"""),44901.0)</f>
        <v>44901</v>
      </c>
      <c r="E41" s="8">
        <f>IFERROR(__xludf.DUMMYFUNCTION("""COMPUTED_VALUE"""),257545.0)</f>
        <v>257545</v>
      </c>
      <c r="F41" s="9" t="str">
        <f>IFERROR(__xludf.DUMMYFUNCTION("""COMPUTED_VALUE"""),"パパ活JKのイカせ方～童貞君の腰振りに焦らされて…初めて感じちゃう…ッ～")</f>
        <v>パパ活JKのイカせ方～童貞君の腰振りに焦らされて…初めて感じちゃう…ッ～</v>
      </c>
      <c r="G41" s="11" t="str">
        <f>IFERROR(__xludf.DUMMYFUNCTION("""COMPUTED_VALUE"""),"1～3")</f>
        <v>1～3</v>
      </c>
      <c r="H41" s="8" t="str">
        <f>IFERROR(__xludf.DUMMYFUNCTION("""COMPUTED_VALUE"""),"しょごた")</f>
        <v>しょごた</v>
      </c>
      <c r="I41" s="8" t="str">
        <f>IFERROR(__xludf.DUMMYFUNCTION("""COMPUTED_VALUE"""),"オトナ")</f>
        <v>オトナ</v>
      </c>
      <c r="J41" s="8"/>
      <c r="K41" s="8"/>
      <c r="L41" s="8" t="str">
        <f>IFERROR(__xludf.DUMMYFUNCTION("""COMPUTED_VALUE"""),"フューチャーコミックス社")</f>
        <v>フューチャーコミックス社</v>
      </c>
      <c r="M41" s="12">
        <f>IFERROR(__xludf.DUMMYFUNCTION("""COMPUTED_VALUE"""),44919.0)</f>
        <v>44919</v>
      </c>
      <c r="N41" s="12">
        <f>IFERROR(__xludf.DUMMYFUNCTION("""COMPUTED_VALUE"""),44932.0)</f>
        <v>44932</v>
      </c>
      <c r="O41" s="11"/>
      <c r="P41" s="9" t="str">
        <f>IFERROR(__xludf.DUMMYFUNCTION("""COMPUTED_VALUE"""),"可")</f>
        <v>可</v>
      </c>
      <c r="Q41" s="8" t="str">
        <f>IFERROR(__xludf.DUMMYFUNCTION("""COMPUTED_VALUE"""),"広告コミットOK（11/11）")</f>
        <v>広告コミットOK（11/11）</v>
      </c>
      <c r="R41" s="9"/>
      <c r="S41" s="8" t="str">
        <f>IFERROR(__xludf.DUMMYFUNCTION("""COMPUTED_VALUE"""),"20221130_フューチャーコミックス社_パパ活JKのイカせ方～")</f>
        <v>20221130_フューチャーコミックス社_パパ活JKのイカせ方～</v>
      </c>
      <c r="T41" s="9"/>
      <c r="U41" s="9" t="str">
        <f>IFERROR(__xludf.DUMMYFUNCTION("""COMPUTED_VALUE"""),"©しょごた/フューチャーコミックス")</f>
        <v>©しょごた/フューチャーコミックス</v>
      </c>
      <c r="V41" s="8" t="str">
        <f>IFERROR(__xludf.DUMMYFUNCTION("""COMPUTED_VALUE"""),"経験豊富なパパ活JK…童貞君の優しいセックスには逆に弱くて!?――カタブツだけど真面目な風紀委員長・藤沢大翔と、品行方正なクラスメイト・早乙女悠乃。ある日の放課後、大翔は街でスーツの男に絡まれている風の悠乃を見かけ思わず助けるが…「あーあ…さっきの人6もくれるって言ってたのに…」相手はまさかの、パパ活中の悠乃の上客だった!?代わりの相手をすることになった大翔は、流されるまま悠乃とHすることに!女子の裸もおっぱいの柔らかさも全部が初めてで、翻弄されっぱなしの大翔だったが…キスをキッカケに悠乃は頬を赤く染めて"&amp;"!?ギュってされて優しくナカをトントンされたら…アソコが勝手にキュンキュン締まっちゃう…ッ")</f>
        <v>経験豊富なパパ活JK…童貞君の優しいセックスには逆に弱くて!?――カタブツだけど真面目な風紀委員長・藤沢大翔と、品行方正なクラスメイト・早乙女悠乃。ある日の放課後、大翔は街でスーツの男に絡まれている風の悠乃を見かけ思わず助けるが…「あーあ…さっきの人6もくれるって言ってたのに…」相手はまさかの、パパ活中の悠乃の上客だった!?代わりの相手をすることになった大翔は、流されるまま悠乃とHすることに!女子の裸もおっぱいの柔らかさも全部が初めてで、翻弄されっぱなしの大翔だったが…キスをキッカケに悠乃は頬を赤く染めて!?ギュってされて優しくナカをトントンされたら…アソコが勝手にキュンキュン締まっちゃう…ッ</v>
      </c>
      <c r="W41" s="8"/>
      <c r="X41" s="8" t="str">
        <f>IFERROR(__xludf.DUMMYFUNCTION("""COMPUTED_VALUE"""),"有")</f>
        <v>有</v>
      </c>
      <c r="Y41" s="8" t="str">
        <f>IFERROR(__xludf.DUMMYFUNCTION("""COMPUTED_VALUE"""),"P15まで")</f>
        <v>P15まで</v>
      </c>
      <c r="Z41" s="17"/>
      <c r="AA41" s="7"/>
      <c r="AB41" s="7"/>
    </row>
    <row r="42" ht="15.75" customHeight="1">
      <c r="A42" s="8">
        <f>IFERROR(__xludf.DUMMYFUNCTION("""COMPUTED_VALUE"""),1548.0)</f>
        <v>1548</v>
      </c>
      <c r="B42" s="9" t="str">
        <f>IFERROR(__xludf.DUMMYFUNCTION("""COMPUTED_VALUE"""),"確定")</f>
        <v>確定</v>
      </c>
      <c r="C42" s="10">
        <f>IFERROR(__xludf.DUMMYFUNCTION("""COMPUTED_VALUE"""),44886.0)</f>
        <v>44886</v>
      </c>
      <c r="D42" s="10">
        <f>IFERROR(__xludf.DUMMYFUNCTION("""COMPUTED_VALUE"""),44901.0)</f>
        <v>44901</v>
      </c>
      <c r="E42" s="8">
        <f>IFERROR(__xludf.DUMMYFUNCTION("""COMPUTED_VALUE"""),224008.0)</f>
        <v>224008</v>
      </c>
      <c r="F42" s="9" t="str">
        <f>IFERROR(__xludf.DUMMYFUNCTION("""COMPUTED_VALUE"""),"無認可♂ママとおしゃぶりミルク")</f>
        <v>無認可♂ママとおしゃぶりミルク</v>
      </c>
      <c r="G42" s="11" t="str">
        <f>IFERROR(__xludf.DUMMYFUNCTION("""COMPUTED_VALUE"""),"1～5")</f>
        <v>1～5</v>
      </c>
      <c r="H42" s="8" t="str">
        <f>IFERROR(__xludf.DUMMYFUNCTION("""COMPUTED_VALUE"""),"三並")</f>
        <v>三並</v>
      </c>
      <c r="I42" s="8" t="str">
        <f>IFERROR(__xludf.DUMMYFUNCTION("""COMPUTED_VALUE"""),"BL")</f>
        <v>BL</v>
      </c>
      <c r="J42" s="8"/>
      <c r="K42" s="8"/>
      <c r="L42" s="8" t="str">
        <f>IFERROR(__xludf.DUMMYFUNCTION("""COMPUTED_VALUE"""),"ソルマーレ編集部")</f>
        <v>ソルマーレ編集部</v>
      </c>
      <c r="M42" s="12">
        <f>IFERROR(__xludf.DUMMYFUNCTION("""COMPUTED_VALUE"""),44919.0)</f>
        <v>44919</v>
      </c>
      <c r="N42" s="12">
        <f>IFERROR(__xludf.DUMMYFUNCTION("""COMPUTED_VALUE"""),44980.0)</f>
        <v>44980</v>
      </c>
      <c r="O42" s="11"/>
      <c r="P42" s="9" t="str">
        <f>IFERROR(__xludf.DUMMYFUNCTION("""COMPUTED_VALUE"""),"可")</f>
        <v>可</v>
      </c>
      <c r="Q42" s="8"/>
      <c r="R42" s="9"/>
      <c r="S42" s="8" t="str">
        <f>IFERROR(__xludf.DUMMYFUNCTION("""COMPUTED_VALUE"""),"20221122_ソルマーレ編集部_無認可♂ママとおしゃぶりミルク")</f>
        <v>20221122_ソルマーレ編集部_無認可♂ママとおしゃぶりミルク</v>
      </c>
      <c r="T42" s="15"/>
      <c r="U42" s="9" t="str">
        <f>IFERROR(__xludf.DUMMYFUNCTION("""COMPUTED_VALUE"""),"© 三並/シーモアコミックス")</f>
        <v>© 三並/シーモアコミックス</v>
      </c>
      <c r="V42" s="8" t="str">
        <f>IFERROR(__xludf.DUMMYFUNCTION("""COMPUTED_VALUE"""),"昼は保育士、夜はオトナな赤ちゃんのママになる!?!? 赤ちゃんプレイが楽しめる【たまぴよクラブ】でバイトをしている実羽（みう）は、初来店のお客様・結城（ゆうき）の接客をすることに。「授乳で感じるなんてエロいママだな」不愛想だけど意外とノリのいい結城と、初めてエッチなプレイをすることになって…!? 初心な雄ママとバブバブプレイ♪
【本作品は他社より配信されていた「無認可♂ママとおしゃぶりミルク」を一部加筆修正したものです。重複購入にご注意ください】 【フィカス】")</f>
        <v>昼は保育士、夜はオトナな赤ちゃんのママになる!?!? 赤ちゃんプレイが楽しめる【たまぴよクラブ】でバイトをしている実羽（みう）は、初来店のお客様・結城（ゆうき）の接客をすることに。「授乳で感じるなんてエロいママだな」不愛想だけど意外とノリのいい結城と、初めてエッチなプレイをすることになって…!? 初心な雄ママとバブバブプレイ♪
【本作品は他社より配信されていた「無認可♂ママとおしゃぶりミルク」を一部加筆修正したものです。重複購入にご注意ください】 【フィカス】</v>
      </c>
      <c r="W42" s="8"/>
      <c r="X42" s="8" t="str">
        <f>IFERROR(__xludf.DUMMYFUNCTION("""COMPUTED_VALUE"""),"有")</f>
        <v>有</v>
      </c>
      <c r="Y42" s="8" t="str">
        <f>IFERROR(__xludf.DUMMYFUNCTION("""COMPUTED_VALUE"""),"１巻目無料")</f>
        <v>１巻目無料</v>
      </c>
      <c r="Z42" s="17"/>
      <c r="AA42" s="7"/>
      <c r="AB42" s="17"/>
    </row>
    <row r="43" ht="101.25" customHeight="1">
      <c r="A43" s="8">
        <f>IFERROR(__xludf.DUMMYFUNCTION("""COMPUTED_VALUE"""),1549.0)</f>
        <v>1549</v>
      </c>
      <c r="B43" s="9" t="str">
        <f>IFERROR(__xludf.DUMMYFUNCTION("""COMPUTED_VALUE"""),"確定後最新化")</f>
        <v>確定後最新化</v>
      </c>
      <c r="C43" s="10">
        <f>IFERROR(__xludf.DUMMYFUNCTION("""COMPUTED_VALUE"""),44886.0)</f>
        <v>44886</v>
      </c>
      <c r="D43" s="10">
        <f>IFERROR(__xludf.DUMMYFUNCTION("""COMPUTED_VALUE"""),44901.0)</f>
        <v>44901</v>
      </c>
      <c r="E43" s="8">
        <f>IFERROR(__xludf.DUMMYFUNCTION("""COMPUTED_VALUE"""),258539.0)</f>
        <v>258539</v>
      </c>
      <c r="F43" s="9" t="str">
        <f>IFERROR(__xludf.DUMMYFUNCTION("""COMPUTED_VALUE"""),"タワマン・リベンジ～最下層からのヤり上がり～")</f>
        <v>タワマン・リベンジ～最下層からのヤり上がり～</v>
      </c>
      <c r="G43" s="11" t="str">
        <f>IFERROR(__xludf.DUMMYFUNCTION("""COMPUTED_VALUE"""),"1～8")</f>
        <v>1～8</v>
      </c>
      <c r="H43" s="8" t="str">
        <f>IFERROR(__xludf.DUMMYFUNCTION("""COMPUTED_VALUE"""),"原作：Shigeky 漫画：こくだかや")</f>
        <v>原作：Shigeky 漫画：こくだかや</v>
      </c>
      <c r="I43" s="14" t="str">
        <f>IFERROR(__xludf.DUMMYFUNCTION("""COMPUTED_VALUE"""),"青年")</f>
        <v>青年</v>
      </c>
      <c r="J43" s="8"/>
      <c r="K43" s="8"/>
      <c r="L43" s="8" t="str">
        <f>IFERROR(__xludf.DUMMYFUNCTION("""COMPUTED_VALUE"""),"白泉社")</f>
        <v>白泉社</v>
      </c>
      <c r="M43" s="12">
        <f>IFERROR(__xludf.DUMMYFUNCTION("""COMPUTED_VALUE"""),44919.0)</f>
        <v>44919</v>
      </c>
      <c r="N43" s="12">
        <f>IFERROR(__xludf.DUMMYFUNCTION("""COMPUTED_VALUE"""),45008.0)</f>
        <v>45008</v>
      </c>
      <c r="O43" s="11"/>
      <c r="P43" s="9" t="str">
        <f>IFERROR(__xludf.DUMMYFUNCTION("""COMPUTED_VALUE"""),"可")</f>
        <v>可</v>
      </c>
      <c r="Q43" s="8" t="str">
        <f>IFERROR(__xludf.DUMMYFUNCTION("""COMPUTED_VALUE"""),"協業フルカラータテヨミコンテンツです。&lt;BR&gt;&lt;BR&gt;")</f>
        <v>協業フルカラータテヨミコンテンツです。&lt;BR&gt;&lt;BR&gt;</v>
      </c>
      <c r="R43" s="9" t="str">
        <f>IFERROR(__xludf.DUMMYFUNCTION("""COMPUTED_VALUE"""),"納品済み（素材フォルダに格納）")</f>
        <v>納品済み（素材フォルダに格納）</v>
      </c>
      <c r="S43" s="8" t="str">
        <f>IFERROR(__xludf.DUMMYFUNCTION("""COMPUTED_VALUE"""),"20221121_白泉社_タワマン・リベンジ～最下層からのヤり上がり～")</f>
        <v>20221121_白泉社_タワマン・リベンジ～最下層からのヤり上がり～</v>
      </c>
      <c r="T43" s="9"/>
      <c r="U43" s="9" t="str">
        <f>IFERROR(__xludf.DUMMYFUNCTION("""COMPUTED_VALUE"""),"©Shigeky・こくだかや／白泉社")</f>
        <v>©Shigeky・こくだかや／白泉社</v>
      </c>
      <c r="V43" s="8" t="str">
        <f>IFERROR(__xludf.DUMMYFUNCTION("""COMPUTED_VALUE"""),"(第1話)憧れのタワマンに引っ越してきた金町和樹は、低層階をバカにしてきた人妻の弱みを握って屈服させることに成功。こんな快楽、やめられるわけがない――！ いけ好かない金持ち人妻どもに鉄槌を下し、ヤり上がってやると決意した和樹は…？")</f>
        <v>(第1話)憧れのタワマンに引っ越してきた金町和樹は、低層階をバカにしてきた人妻の弱みを握って屈服させることに成功。こんな快楽、やめられるわけがない――！ いけ好かない金持ち人妻どもに鉄槌を下し、ヤり上がってやると決意した和樹は…？</v>
      </c>
      <c r="W43" s="8"/>
      <c r="X43" s="9" t="str">
        <f>IFERROR(__xludf.DUMMYFUNCTION("""COMPUTED_VALUE"""),"無")</f>
        <v>無</v>
      </c>
      <c r="Y43" s="8" t="str">
        <f>IFERROR(__xludf.DUMMYFUNCTION("""COMPUTED_VALUE"""),"1～3巻価格０円
ただし無料ストリーミングなし")</f>
        <v>1～3巻価格０円
ただし無料ストリーミングなし</v>
      </c>
      <c r="Z43" s="7"/>
      <c r="AA43" s="7"/>
      <c r="AB43" s="7"/>
    </row>
    <row r="44" ht="134.25" customHeight="1">
      <c r="A44" s="8">
        <f>IFERROR(__xludf.DUMMYFUNCTION("""COMPUTED_VALUE"""),1551.0)</f>
        <v>1551</v>
      </c>
      <c r="B44" s="9" t="str">
        <f>IFERROR(__xludf.DUMMYFUNCTION("""COMPUTED_VALUE"""),"確定")</f>
        <v>確定</v>
      </c>
      <c r="C44" s="10">
        <f>IFERROR(__xludf.DUMMYFUNCTION("""COMPUTED_VALUE"""),44889.0)</f>
        <v>44889</v>
      </c>
      <c r="D44" s="10">
        <f>IFERROR(__xludf.DUMMYFUNCTION("""COMPUTED_VALUE"""),44901.0)</f>
        <v>44901</v>
      </c>
      <c r="E44" s="8">
        <f>IFERROR(__xludf.DUMMYFUNCTION("""COMPUTED_VALUE"""),255453.0)</f>
        <v>255453</v>
      </c>
      <c r="F44" s="9" t="str">
        <f>IFERROR(__xludf.DUMMYFUNCTION("""COMPUTED_VALUE"""),"押してダメなら推してみて!?")</f>
        <v>押してダメなら推してみて!?</v>
      </c>
      <c r="G44" s="11" t="str">
        <f>IFERROR(__xludf.DUMMYFUNCTION("""COMPUTED_VALUE"""),"1～6")</f>
        <v>1～6</v>
      </c>
      <c r="H44" s="8" t="str">
        <f>IFERROR(__xludf.DUMMYFUNCTION("""COMPUTED_VALUE"""),"いつきまこと")</f>
        <v>いつきまこと</v>
      </c>
      <c r="I44" s="8" t="str">
        <f>IFERROR(__xludf.DUMMYFUNCTION("""COMPUTED_VALUE"""),"BL")</f>
        <v>BL</v>
      </c>
      <c r="J44" s="8"/>
      <c r="K44" s="8"/>
      <c r="L44" s="8" t="str">
        <f>IFERROR(__xludf.DUMMYFUNCTION("""COMPUTED_VALUE"""),"ソルマーレ編集部")</f>
        <v>ソルマーレ編集部</v>
      </c>
      <c r="M44" s="12">
        <f>IFERROR(__xludf.DUMMYFUNCTION("""COMPUTED_VALUE"""),44919.0)</f>
        <v>44919</v>
      </c>
      <c r="N44" s="12">
        <f>IFERROR(__xludf.DUMMYFUNCTION("""COMPUTED_VALUE"""),44980.0)</f>
        <v>44980</v>
      </c>
      <c r="O44" s="11"/>
      <c r="P44" s="9" t="str">
        <f>IFERROR(__xludf.DUMMYFUNCTION("""COMPUTED_VALUE"""),"可")</f>
        <v>可</v>
      </c>
      <c r="Q44" s="8"/>
      <c r="R44" s="9"/>
      <c r="S44" s="8" t="str">
        <f>IFERROR(__xludf.DUMMYFUNCTION("""COMPUTED_VALUE"""),"20221124_ソルマーレ編集部_押してダメなら推してみて！？")</f>
        <v>20221124_ソルマーレ編集部_押してダメなら推してみて！？</v>
      </c>
      <c r="T44" s="15"/>
      <c r="U44" s="9" t="str">
        <f>IFERROR(__xludf.DUMMYFUNCTION("""COMPUTED_VALUE"""),"© いつきまこと/シーモアコミックス")</f>
        <v>© いつきまこと/シーモアコミックス</v>
      </c>
      <c r="V44" s="8" t="str">
        <f>IFERROR(__xludf.DUMMYFUNCTION("""COMPUTED_VALUE"""),"激務に疲れたリーマンが、ひょんなことから部下とイケない関係に!?
会社でやっかいごとばかり頼まれてしまう黒橋（くろばし）の唯一の癒やしはソシャゲ。今や上位ランカーの廃課金兵である彼は、遂に生活費までつぎ込んでしまい、仕方なく男性向けの耳かき店で秘密の副業をすることに…。ところが、初めて現れた客はなんと部下の矢白木（やしろぎ）だった!! しかもただの耳かきのつもりが、なんだかやらしい方向に…!!?
いつきまことが贈るドタバタ・リーマンラブコメディ開幕★
【本作品は他社より配信されていた「押してダメなら推して"&amp;"みて!?」を一部修正したものです。重複購入にご注意ください】【フィカス】")</f>
        <v>激務に疲れたリーマンが、ひょんなことから部下とイケない関係に!?
会社でやっかいごとばかり頼まれてしまう黒橋（くろばし）の唯一の癒やしはソシャゲ。今や上位ランカーの廃課金兵である彼は、遂に生活費までつぎ込んでしまい、仕方なく男性向けの耳かき店で秘密の副業をすることに…。ところが、初めて現れた客はなんと部下の矢白木（やしろぎ）だった!! しかもただの耳かきのつもりが、なんだかやらしい方向に…!!?
いつきまことが贈るドタバタ・リーマンラブコメディ開幕★
【本作品は他社より配信されていた「押してダメなら推してみて!?」を一部修正したものです。重複購入にご注意ください】【フィカス】</v>
      </c>
      <c r="W44" s="8"/>
      <c r="X44" s="8" t="str">
        <f>IFERROR(__xludf.DUMMYFUNCTION("""COMPUTED_VALUE"""),"有")</f>
        <v>有</v>
      </c>
      <c r="Y44" s="8" t="str">
        <f>IFERROR(__xludf.DUMMYFUNCTION("""COMPUTED_VALUE"""),"１巻目無料")</f>
        <v>１巻目無料</v>
      </c>
      <c r="Z44" s="17"/>
      <c r="AA44" s="7"/>
      <c r="AB44" s="7"/>
    </row>
    <row r="45" ht="141.75" customHeight="1">
      <c r="A45" s="8">
        <f>IFERROR(__xludf.DUMMYFUNCTION("""COMPUTED_VALUE"""),1320.0)</f>
        <v>1320</v>
      </c>
      <c r="B45" s="9" t="str">
        <f>IFERROR(__xludf.DUMMYFUNCTION("""COMPUTED_VALUE"""),"確定後最新化")</f>
        <v>確定後最新化</v>
      </c>
      <c r="C45" s="10">
        <f>IFERROR(__xludf.DUMMYFUNCTION("""COMPUTED_VALUE"""),44770.0)</f>
        <v>44770</v>
      </c>
      <c r="D45" s="10">
        <f>IFERROR(__xludf.DUMMYFUNCTION("""COMPUTED_VALUE"""),44901.0)</f>
        <v>44901</v>
      </c>
      <c r="E45" s="8">
        <f>IFERROR(__xludf.DUMMYFUNCTION("""COMPUTED_VALUE"""),257559.0)</f>
        <v>257559</v>
      </c>
      <c r="F45" s="9" t="str">
        <f>IFERROR(__xludf.DUMMYFUNCTION("""COMPUTED_VALUE"""),"セックスちゃん")</f>
        <v>セックスちゃん</v>
      </c>
      <c r="G45" s="11" t="str">
        <f>IFERROR(__xludf.DUMMYFUNCTION("""COMPUTED_VALUE"""),"1～2")</f>
        <v>1～2</v>
      </c>
      <c r="H45" s="8" t="str">
        <f>IFERROR(__xludf.DUMMYFUNCTION("""COMPUTED_VALUE"""),"原作：五百田達成／麻生羽呂（ネーム原作） 作画：さかもと麻乃")</f>
        <v>原作：五百田達成／麻生羽呂（ネーム原作） 作画：さかもと麻乃</v>
      </c>
      <c r="I45" s="8" t="str">
        <f>IFERROR(__xludf.DUMMYFUNCTION("""COMPUTED_VALUE"""),"女性")</f>
        <v>女性</v>
      </c>
      <c r="J45" s="8"/>
      <c r="K45" s="8"/>
      <c r="L45" s="8" t="str">
        <f>IFERROR(__xludf.DUMMYFUNCTION("""COMPUTED_VALUE"""),"GIGATOON Studio")</f>
        <v>GIGATOON Studio</v>
      </c>
      <c r="M45" s="12">
        <f>IFERROR(__xludf.DUMMYFUNCTION("""COMPUTED_VALUE"""),44920.0)</f>
        <v>44920</v>
      </c>
      <c r="N45" s="12">
        <f>IFERROR(__xludf.DUMMYFUNCTION("""COMPUTED_VALUE"""),45009.0)</f>
        <v>45009</v>
      </c>
      <c r="O45" s="11"/>
      <c r="P45" s="9" t="str">
        <f>IFERROR(__xludf.DUMMYFUNCTION("""COMPUTED_VALUE"""),"可")</f>
        <v>可</v>
      </c>
      <c r="Q45" s="8" t="str">
        <f>IFERROR(__xludf.DUMMYFUNCTION("""COMPUTED_VALUE"""),"広告コミットOK（8/4）")</f>
        <v>広告コミットOK（8/4）</v>
      </c>
      <c r="R45" s="9"/>
      <c r="S45" s="8" t="str">
        <f>IFERROR(__xludf.DUMMYFUNCTION("""COMPUTED_VALUE"""),"20221115_GIGATOON_12月新作2作品")</f>
        <v>20221115_GIGATOON_12月新作2作品</v>
      </c>
      <c r="T45" s="9"/>
      <c r="U45" s="9" t="str">
        <f>IFERROR(__xludf.DUMMYFUNCTION("""COMPUTED_VALUE"""),"©五百田達成・麻生羽呂・さかもと麻乃／GIGATOON Studio")</f>
        <v>©五百田達成・麻生羽呂・さかもと麻乃／GIGATOON Studio</v>
      </c>
      <c r="V45" s="8" t="str">
        <f>IFERROR(__xludf.DUMMYFUNCTION("""COMPUTED_VALUE"""),"「私にとってセックスは生きてる証だ」
性に積極的な成人女性・史恵は奔放なセックスライフを送ってきたが、年齢とともにその相手が少なくなってきてしまう。
そんな彼女がマッチングアプリを使って出会った相手とは…？
女性たちの”性”にまつわる現代の悩みを取り上げた異色ドラマ！")</f>
        <v>「私にとってセックスは生きてる証だ」
性に積極的な成人女性・史恵は奔放なセックスライフを送ってきたが、年齢とともにその相手が少なくなってきてしまう。
そんな彼女がマッチングアプリを使って出会った相手とは…？
女性たちの”性”にまつわる現代の悩みを取り上げた異色ドラマ！</v>
      </c>
      <c r="W45" s="8"/>
      <c r="X45" s="8" t="str">
        <f>IFERROR(__xludf.DUMMYFUNCTION("""COMPUTED_VALUE"""),"有")</f>
        <v>有</v>
      </c>
      <c r="Y45" s="8" t="str">
        <f>IFERROR(__xludf.DUMMYFUNCTION("""COMPUTED_VALUE"""),"P23まで")</f>
        <v>P23まで</v>
      </c>
      <c r="Z45" s="7"/>
      <c r="AA45" s="7"/>
      <c r="AB45" s="7"/>
    </row>
    <row r="46" ht="15.75" customHeight="1">
      <c r="A46" s="8">
        <f>IFERROR(__xludf.DUMMYFUNCTION("""COMPUTED_VALUE"""),1321.0)</f>
        <v>1321</v>
      </c>
      <c r="B46" s="9" t="str">
        <f>IFERROR(__xludf.DUMMYFUNCTION("""COMPUTED_VALUE"""),"確定")</f>
        <v>確定</v>
      </c>
      <c r="C46" s="10">
        <f>IFERROR(__xludf.DUMMYFUNCTION("""COMPUTED_VALUE"""),44770.0)</f>
        <v>44770</v>
      </c>
      <c r="D46" s="10">
        <f>IFERROR(__xludf.DUMMYFUNCTION("""COMPUTED_VALUE"""),44901.0)</f>
        <v>44901</v>
      </c>
      <c r="E46" s="8">
        <f>IFERROR(__xludf.DUMMYFUNCTION("""COMPUTED_VALUE"""),257558.0)</f>
        <v>257558</v>
      </c>
      <c r="F46" s="9" t="str">
        <f>IFERROR(__xludf.DUMMYFUNCTION("""COMPUTED_VALUE"""),"づままん～人妻モノ限定の漫画家になった僕～")</f>
        <v>づままん～人妻モノ限定の漫画家になった僕～</v>
      </c>
      <c r="G46" s="11" t="str">
        <f>IFERROR(__xludf.DUMMYFUNCTION("""COMPUTED_VALUE"""),"1～2")</f>
        <v>1～2</v>
      </c>
      <c r="H46" s="8" t="str">
        <f>IFERROR(__xludf.DUMMYFUNCTION("""COMPUTED_VALUE"""),"原作：フリーハンド魂 作画：黒須")</f>
        <v>原作：フリーハンド魂 作画：黒須</v>
      </c>
      <c r="I46" s="8" t="str">
        <f>IFERROR(__xludf.DUMMYFUNCTION("""COMPUTED_VALUE"""),"青年")</f>
        <v>青年</v>
      </c>
      <c r="J46" s="8"/>
      <c r="K46" s="8"/>
      <c r="L46" s="8" t="str">
        <f>IFERROR(__xludf.DUMMYFUNCTION("""COMPUTED_VALUE"""),"GIGATOON Studio")</f>
        <v>GIGATOON Studio</v>
      </c>
      <c r="M46" s="12">
        <f>IFERROR(__xludf.DUMMYFUNCTION("""COMPUTED_VALUE"""),44920.0)</f>
        <v>44920</v>
      </c>
      <c r="N46" s="12">
        <f>IFERROR(__xludf.DUMMYFUNCTION("""COMPUTED_VALUE"""),45009.0)</f>
        <v>45009</v>
      </c>
      <c r="O46" s="11"/>
      <c r="P46" s="9" t="str">
        <f>IFERROR(__xludf.DUMMYFUNCTION("""COMPUTED_VALUE"""),"可")</f>
        <v>可</v>
      </c>
      <c r="Q46" s="8" t="str">
        <f>IFERROR(__xludf.DUMMYFUNCTION("""COMPUTED_VALUE"""),"広告コミットOK（8/4）")</f>
        <v>広告コミットOK（8/4）</v>
      </c>
      <c r="R46" s="9"/>
      <c r="S46" s="8" t="str">
        <f>IFERROR(__xludf.DUMMYFUNCTION("""COMPUTED_VALUE"""),"20221115_GIGATOON_12月新作2作品")</f>
        <v>20221115_GIGATOON_12月新作2作品</v>
      </c>
      <c r="T46" s="9"/>
      <c r="U46" s="9" t="str">
        <f>IFERROR(__xludf.DUMMYFUNCTION("""COMPUTED_VALUE"""),"©フリーハンド魂・黒須／GIGATOON Studio")</f>
        <v>©フリーハンド魂・黒須／GIGATOON Studio</v>
      </c>
      <c r="V46" s="8" t="str">
        <f>IFERROR(__xludf.DUMMYFUNCTION("""COMPUTED_VALUE"""),"漫画家になる為にライセンスが必要な上、AIによってどんな漫画を描くかを指定される近未来。名門の漫画家家系に生まれた主人公は、無事に漫画家のライセンスを取得する。壮大な歴史物語を描きたいと思っていた主人公であったが、AIから指定されたのジャンルは「人妻エロマンガ」であった…！童貞主人公がおりなす人妻たちとのHコメディ！")</f>
        <v>漫画家になる為にライセンスが必要な上、AIによってどんな漫画を描くかを指定される近未来。名門の漫画家家系に生まれた主人公は、無事に漫画家のライセンスを取得する。壮大な歴史物語を描きたいと思っていた主人公であったが、AIから指定されたのジャンルは「人妻エロマンガ」であった…！童貞主人公がおりなす人妻たちとのHコメディ！</v>
      </c>
      <c r="W46" s="8"/>
      <c r="X46" s="8" t="str">
        <f>IFERROR(__xludf.DUMMYFUNCTION("""COMPUTED_VALUE"""),"有")</f>
        <v>有</v>
      </c>
      <c r="Y46" s="8" t="str">
        <f>IFERROR(__xludf.DUMMYFUNCTION("""COMPUTED_VALUE"""),"P21まで")</f>
        <v>P21まで</v>
      </c>
      <c r="Z46" s="17"/>
      <c r="AA46" s="7"/>
      <c r="AB46" s="7"/>
    </row>
    <row r="47" ht="123.75" customHeight="1">
      <c r="A47" s="8">
        <f>IFERROR(__xludf.DUMMYFUNCTION("""COMPUTED_VALUE"""),1568.0)</f>
        <v>1568</v>
      </c>
      <c r="B47" s="9" t="str">
        <f>IFERROR(__xludf.DUMMYFUNCTION("""COMPUTED_VALUE"""),"確定")</f>
        <v>確定</v>
      </c>
      <c r="C47" s="10">
        <f>IFERROR(__xludf.DUMMYFUNCTION("""COMPUTED_VALUE"""),44895.0)</f>
        <v>44895</v>
      </c>
      <c r="D47" s="10">
        <f>IFERROR(__xludf.DUMMYFUNCTION("""COMPUTED_VALUE"""),44901.0)</f>
        <v>44901</v>
      </c>
      <c r="E47" s="8">
        <f>IFERROR(__xludf.DUMMYFUNCTION("""COMPUTED_VALUE"""),258448.0)</f>
        <v>258448</v>
      </c>
      <c r="F47" s="9" t="str">
        <f>IFERROR(__xludf.DUMMYFUNCTION("""COMPUTED_VALUE"""),"地獄への道は善意で満ちて、みちみち")</f>
        <v>地獄への道は善意で満ちて、みちみち</v>
      </c>
      <c r="G47" s="11" t="str">
        <f>IFERROR(__xludf.DUMMYFUNCTION("""COMPUTED_VALUE"""),"1～3")</f>
        <v>1～3</v>
      </c>
      <c r="H47" s="8" t="str">
        <f>IFERROR(__xludf.DUMMYFUNCTION("""COMPUTED_VALUE"""),"可児いとう")</f>
        <v>可児いとう</v>
      </c>
      <c r="I47" s="8" t="str">
        <f>IFERROR(__xludf.DUMMYFUNCTION("""COMPUTED_VALUE"""),"青年")</f>
        <v>青年</v>
      </c>
      <c r="J47" s="8"/>
      <c r="K47" s="8"/>
      <c r="L47" s="8" t="str">
        <f>IFERROR(__xludf.DUMMYFUNCTION("""COMPUTED_VALUE"""),"コミックストック")</f>
        <v>コミックストック</v>
      </c>
      <c r="M47" s="12">
        <f>IFERROR(__xludf.DUMMYFUNCTION("""COMPUTED_VALUE"""),44920.0)</f>
        <v>44920</v>
      </c>
      <c r="N47" s="12">
        <f>IFERROR(__xludf.DUMMYFUNCTION("""COMPUTED_VALUE"""),45010.0)</f>
        <v>45010</v>
      </c>
      <c r="O47" s="11"/>
      <c r="P47" s="9" t="str">
        <f>IFERROR(__xludf.DUMMYFUNCTION("""COMPUTED_VALUE"""),"可")</f>
        <v>可</v>
      </c>
      <c r="Q47" s="8" t="str">
        <f>IFERROR(__xludf.DUMMYFUNCTION("""COMPUTED_VALUE"""),"協業：シーモア×DEDEDE&lt;BR&gt;※旧シーモア×Mosh！")</f>
        <v>協業：シーモア×DEDEDE&lt;BR&gt;※旧シーモア×Mosh！</v>
      </c>
      <c r="R47" s="9" t="str">
        <f>IFERROR(__xludf.DUMMYFUNCTION("""COMPUTED_VALUE"""),"格納済")</f>
        <v>格納済</v>
      </c>
      <c r="S47" s="8" t="str">
        <f>IFERROR(__xludf.DUMMYFUNCTION("""COMPUTED_VALUE"""),"20221130_コミックストック_地獄への道は善意で満ちて、みちみち")</f>
        <v>20221130_コミックストック_地獄への道は善意で満ちて、みちみち</v>
      </c>
      <c r="T47" s="9" t="str">
        <f>IFERROR(__xludf.DUMMYFUNCTION("""COMPUTED_VALUE"""),"校了済素材")</f>
        <v>校了済素材</v>
      </c>
      <c r="U47" s="9" t="str">
        <f>IFERROR(__xludf.DUMMYFUNCTION("""COMPUTED_VALUE"""),"ⓒ可児いとう/コミックストック")</f>
        <v>ⓒ可児いとう/コミックストック</v>
      </c>
      <c r="V47" s="8" t="str">
        <f>IFERROR(__xludf.DUMMYFUNCTION("""COMPUTED_VALUE"""),"『私がアナタを助けるから…』それぞれの”善意”が歪に絡まりあい、堕ちていく――。職場ではセクハラ上司から嫌味を言われ、私生活では周りの幸せムーブに気圧され…特に何も楽しいことがない鬱屈な日々を送っていた独身OLの深茅子。そんなある日、ひょんなことからマッチングアプリで知り合った青年と会うことに！ アプリで話していた時は明るい印象だったけれど、実際に会った彼は大人しそうな学生で…。どこか不思議な雰囲気のある青年に、深茅子は次第に惹かれていく。しかし、その青年には他人に言えない隠し事があって…？")</f>
        <v>『私がアナタを助けるから…』それぞれの”善意”が歪に絡まりあい、堕ちていく――。職場ではセクハラ上司から嫌味を言われ、私生活では周りの幸せムーブに気圧され…特に何も楽しいことがない鬱屈な日々を送っていた独身OLの深茅子。そんなある日、ひょんなことからマッチングアプリで知り合った青年と会うことに！ アプリで話していた時は明るい印象だったけれど、実際に会った彼は大人しそうな学生で…。どこか不思議な雰囲気のある青年に、深茅子は次第に惹かれていく。しかし、その青年には他人に言えない隠し事があって…？</v>
      </c>
      <c r="W47" s="8"/>
      <c r="X47" s="8" t="str">
        <f>IFERROR(__xludf.DUMMYFUNCTION("""COMPUTED_VALUE"""),"有")</f>
        <v>有</v>
      </c>
      <c r="Y47" s="8" t="str">
        <f>IFERROR(__xludf.DUMMYFUNCTION("""COMPUTED_VALUE"""),"P10まで")</f>
        <v>P10まで</v>
      </c>
      <c r="Z47" s="7"/>
      <c r="AA47" s="7"/>
      <c r="AB47" s="7"/>
    </row>
    <row r="48" ht="15.75" customHeight="1">
      <c r="A48" s="8">
        <f>IFERROR(__xludf.DUMMYFUNCTION("""COMPUTED_VALUE"""),1550.0)</f>
        <v>1550</v>
      </c>
      <c r="B48" s="9" t="str">
        <f>IFERROR(__xludf.DUMMYFUNCTION("""COMPUTED_VALUE"""),"確定")</f>
        <v>確定</v>
      </c>
      <c r="C48" s="10">
        <f>IFERROR(__xludf.DUMMYFUNCTION("""COMPUTED_VALUE"""),44887.0)</f>
        <v>44887</v>
      </c>
      <c r="D48" s="10">
        <f>IFERROR(__xludf.DUMMYFUNCTION("""COMPUTED_VALUE"""),44901.0)</f>
        <v>44901</v>
      </c>
      <c r="E48" s="8">
        <f>IFERROR(__xludf.DUMMYFUNCTION("""COMPUTED_VALUE"""),258608.0)</f>
        <v>258608</v>
      </c>
      <c r="F48" s="9" t="str">
        <f>IFERROR(__xludf.DUMMYFUNCTION("""COMPUTED_VALUE"""),"月曜日のたわわ（同人版）")</f>
        <v>月曜日のたわわ（同人版）</v>
      </c>
      <c r="G48" s="11" t="str">
        <f>IFERROR(__xludf.DUMMYFUNCTION("""COMPUTED_VALUE"""),"1~5")</f>
        <v>1~5</v>
      </c>
      <c r="H48" s="8" t="str">
        <f>IFERROR(__xludf.DUMMYFUNCTION("""COMPUTED_VALUE"""),"比村乳業/比村奇石")</f>
        <v>比村乳業/比村奇石</v>
      </c>
      <c r="I48" s="8" t="str">
        <f>IFERROR(__xludf.DUMMYFUNCTION("""COMPUTED_VALUE"""),"青年")</f>
        <v>青年</v>
      </c>
      <c r="J48" s="8"/>
      <c r="K48" s="8"/>
      <c r="L48" s="8" t="str">
        <f>IFERROR(__xludf.DUMMYFUNCTION("""COMPUTED_VALUE"""),"ブリック出版")</f>
        <v>ブリック出版</v>
      </c>
      <c r="M48" s="12">
        <f>IFERROR(__xludf.DUMMYFUNCTION("""COMPUTED_VALUE"""),44921.0)</f>
        <v>44921</v>
      </c>
      <c r="N48" s="12">
        <f>IFERROR(__xludf.DUMMYFUNCTION("""COMPUTED_VALUE"""),44948.0)</f>
        <v>44948</v>
      </c>
      <c r="O48" s="11"/>
      <c r="P48" s="9" t="str">
        <f>IFERROR(__xludf.DUMMYFUNCTION("""COMPUTED_VALUE"""),"可")</f>
        <v>可</v>
      </c>
      <c r="Q48" s="8" t="str">
        <f>IFERROR(__xludf.DUMMYFUNCTION("""COMPUTED_VALUE"""),"コミットOK（11/30）&lt;BR&gt;もともとTwitterで投稿されていたものが人気となり、&lt;BR&gt;紙の同人誌、ならびに講談社様から商業版（紙・電子）が発行されているタイトルになります。&lt;BR&gt;同人版(＝オリジナル)は紙版のみで、今まで各種電子フォーマットでの配信はなく、&lt;BR&gt;電子としては、ブリック出版から初めての配信となります。&lt;BR&gt;※内容は、イラスト集としての性質が強いです&lt;BR&gt;素材更新しました（11/28）&lt;BR&gt;⇒タイトル名「月曜日のたわわ（同人版）」で確定しました（11/28）")</f>
        <v>コミットOK（11/30）&lt;BR&gt;もともとTwitterで投稿されていたものが人気となり、&lt;BR&gt;紙の同人誌、ならびに講談社様から商業版（紙・電子）が発行されているタイトルになります。&lt;BR&gt;同人版(＝オリジナル)は紙版のみで、今まで各種電子フォーマットでの配信はなく、&lt;BR&gt;電子としては、ブリック出版から初めての配信となります。&lt;BR&gt;※内容は、イラスト集としての性質が強いです&lt;BR&gt;素材更新しました（11/28）&lt;BR&gt;⇒タイトル名「月曜日のたわわ（同人版）」で確定しました（11/28）</v>
      </c>
      <c r="R48" s="9"/>
      <c r="S48" s="8" t="str">
        <f>IFERROR(__xludf.DUMMYFUNCTION("""COMPUTED_VALUE"""),"20221128_BookLive_月曜日のたわわ")</f>
        <v>20221128_BookLive_月曜日のたわわ</v>
      </c>
      <c r="T48" s="9"/>
      <c r="U48" s="9" t="str">
        <f>IFERROR(__xludf.DUMMYFUNCTION("""COMPUTED_VALUE"""),"©比村奇石")</f>
        <v>©比村奇石</v>
      </c>
      <c r="V48" s="8" t="str">
        <f>IFERROR(__xludf.DUMMYFUNCTION("""COMPUTED_VALUE"""),"『月曜日のたわわ』の原作同人誌、待望の電子書籍化！Twitterイラストから始まった『月曜日のたわわ』シリーズ。本作のWebアニメ・ヤングマガジン連載版には、知る人ぞ知る「原作同人誌」が存在した───紙の印刷では難しかった「比村ブルー」で電子書籍で完全再現。あの青色で、美麗イラスト＆描き下ろし漫画をぜひご堪能ください！（収録イラスト：その４６～その７７／描き下ろし漫画：２０P）")</f>
        <v>『月曜日のたわわ』の原作同人誌、待望の電子書籍化！Twitterイラストから始まった『月曜日のたわわ』シリーズ。本作のWebアニメ・ヤングマガジン連載版には、知る人ぞ知る「原作同人誌」が存在した───紙の印刷では難しかった「比村ブルー」で電子書籍で完全再現。あの青色で、美麗イラスト＆描き下ろし漫画をぜひご堪能ください！（収録イラスト：その４６～その７７／描き下ろし漫画：２０P）</v>
      </c>
      <c r="W48" s="8"/>
      <c r="X48" s="8" t="str">
        <f>IFERROR(__xludf.DUMMYFUNCTION("""COMPUTED_VALUE"""),"有")</f>
        <v>有</v>
      </c>
      <c r="Y48" s="8" t="str">
        <f>IFERROR(__xludf.DUMMYFUNCTION("""COMPUTED_VALUE"""),"P5まで")</f>
        <v>P5まで</v>
      </c>
      <c r="Z48" s="7"/>
      <c r="AA48" s="7"/>
      <c r="AB48" s="7"/>
    </row>
    <row r="49" ht="112.5" customHeight="1">
      <c r="A49" s="8">
        <f>IFERROR(__xludf.DUMMYFUNCTION("""COMPUTED_VALUE"""),1584.0)</f>
        <v>1584</v>
      </c>
      <c r="B49" s="9" t="str">
        <f>IFERROR(__xludf.DUMMYFUNCTION("""COMPUTED_VALUE"""),"確定")</f>
        <v>確定</v>
      </c>
      <c r="C49" s="10">
        <f>IFERROR(__xludf.DUMMYFUNCTION("""COMPUTED_VALUE"""),44904.0)</f>
        <v>44904</v>
      </c>
      <c r="D49" s="10">
        <f>IFERROR(__xludf.DUMMYFUNCTION("""COMPUTED_VALUE"""),44908.0)</f>
        <v>44908</v>
      </c>
      <c r="E49" s="8">
        <f>IFERROR(__xludf.DUMMYFUNCTION("""COMPUTED_VALUE"""),260064.0)</f>
        <v>260064</v>
      </c>
      <c r="F49" s="9" t="str">
        <f>IFERROR(__xludf.DUMMYFUNCTION("""COMPUTED_VALUE"""),"悪役令嬢は、全力で推しに課金したい！ ～軍資金は五千万ペンド～(話売り) ")</f>
        <v>悪役令嬢は、全力で推しに課金したい！ ～軍資金は五千万ペンド～(話売り) </v>
      </c>
      <c r="G49" s="11" t="str">
        <f>IFERROR(__xludf.DUMMYFUNCTION("""COMPUTED_VALUE"""),"1～3")</f>
        <v>1～3</v>
      </c>
      <c r="H49" s="8" t="str">
        <f>IFERROR(__xludf.DUMMYFUNCTION("""COMPUTED_VALUE"""),"秋桜ヒロロ┴ヤマセマヤ")</f>
        <v>秋桜ヒロロ┴ヤマセマヤ</v>
      </c>
      <c r="I49" s="8" t="str">
        <f>IFERROR(__xludf.DUMMYFUNCTION("""COMPUTED_VALUE"""),"女性")</f>
        <v>女性</v>
      </c>
      <c r="J49" s="8"/>
      <c r="K49" s="8"/>
      <c r="L49" s="8" t="str">
        <f>IFERROR(__xludf.DUMMYFUNCTION("""COMPUTED_VALUE"""),"秋田書店")</f>
        <v>秋田書店</v>
      </c>
      <c r="M49" s="12">
        <f>IFERROR(__xludf.DUMMYFUNCTION("""COMPUTED_VALUE"""),44922.0)</f>
        <v>44922</v>
      </c>
      <c r="N49" s="12">
        <f>IFERROR(__xludf.DUMMYFUNCTION("""COMPUTED_VALUE"""),44949.0)</f>
        <v>44949</v>
      </c>
      <c r="O49" s="11"/>
      <c r="P49" s="9" t="str">
        <f>IFERROR(__xludf.DUMMYFUNCTION("""COMPUTED_VALUE"""),"否")</f>
        <v>否</v>
      </c>
      <c r="Q49" s="8"/>
      <c r="R49" s="9"/>
      <c r="S49" s="8" t="str">
        <f>IFERROR(__xludf.DUMMYFUNCTION("""COMPUTED_VALUE"""),"20221209_秋田書店_悪役令嬢は全力で推しに課金したい")</f>
        <v>20221209_秋田書店_悪役令嬢は全力で推しに課金したい</v>
      </c>
      <c r="T49" s="9"/>
      <c r="U49" s="9" t="str">
        <f>IFERROR(__xludf.DUMMYFUNCTION("""COMPUTED_VALUE"""),"©秋桜ヒロロ（エブリスタ）・ヤマセマヤ（秋田書店）")</f>
        <v>©秋桜ヒロロ（エブリスタ）・ヤマセマヤ（秋田書店）</v>
      </c>
      <c r="V49" s="8" t="str">
        <f>IFERROR(__xludf.DUMMYFUNCTION("""COMPUTED_VALUE"""),"必ず推しとヒロインをくっつけてみせる！！ 推しを幸せにするため、悪役令嬢が全力課金！？ 悪役令嬢・リディアは10年前の社交界でダグラス・シャーウッドと出会う。その時、前世の記憶を思い出し、彼を幸せにすることを決意し…!?")</f>
        <v>必ず推しとヒロインをくっつけてみせる！！ 推しを幸せにするため、悪役令嬢が全力課金！？ 悪役令嬢・リディアは10年前の社交界でダグラス・シャーウッドと出会う。その時、前世の記憶を思い出し、彼を幸せにすることを決意し…!?</v>
      </c>
      <c r="W49" s="8"/>
      <c r="X49" s="8" t="str">
        <f>IFERROR(__xludf.DUMMYFUNCTION("""COMPUTED_VALUE"""),"有")</f>
        <v>有</v>
      </c>
      <c r="Y49" s="8" t="str">
        <f>IFERROR(__xludf.DUMMYFUNCTION("""COMPUTED_VALUE"""),"１巻目無料")</f>
        <v>１巻目無料</v>
      </c>
      <c r="Z49" s="7"/>
      <c r="AA49" s="7"/>
      <c r="AB49" s="7"/>
    </row>
    <row r="50" ht="180.75" customHeight="1">
      <c r="A50" s="8">
        <f>IFERROR(__xludf.DUMMYFUNCTION("""COMPUTED_VALUE"""),1515.0)</f>
        <v>1515</v>
      </c>
      <c r="B50" s="9" t="str">
        <f>IFERROR(__xludf.DUMMYFUNCTION("""COMPUTED_VALUE"""),"確定")</f>
        <v>確定</v>
      </c>
      <c r="C50" s="10">
        <f>IFERROR(__xludf.DUMMYFUNCTION("""COMPUTED_VALUE"""),44874.0)</f>
        <v>44874</v>
      </c>
      <c r="D50" s="10">
        <f>IFERROR(__xludf.DUMMYFUNCTION("""COMPUTED_VALUE"""),46038.0)</f>
        <v>46038</v>
      </c>
      <c r="E50" s="8">
        <f>IFERROR(__xludf.DUMMYFUNCTION("""COMPUTED_VALUE"""),258427.0)</f>
        <v>258427</v>
      </c>
      <c r="F50" s="9" t="str">
        <f>IFERROR(__xludf.DUMMYFUNCTION("""COMPUTED_VALUE"""),"実は私、溺愛されてました！？ 〜最低彼氏から最強彼氏へ〜")</f>
        <v>実は私、溺愛されてました！？ 〜最低彼氏から最強彼氏へ〜</v>
      </c>
      <c r="G50" s="11" t="str">
        <f>IFERROR(__xludf.DUMMYFUNCTION("""COMPUTED_VALUE"""),"1～3")</f>
        <v>1～3</v>
      </c>
      <c r="H50" s="8" t="str">
        <f>IFERROR(__xludf.DUMMYFUNCTION("""COMPUTED_VALUE"""),"一城れもん")</f>
        <v>一城れもん</v>
      </c>
      <c r="I50" s="8" t="str">
        <f>IFERROR(__xludf.DUMMYFUNCTION("""COMPUTED_VALUE"""),"女性")</f>
        <v>女性</v>
      </c>
      <c r="J50" s="8"/>
      <c r="K50" s="8"/>
      <c r="L50" s="8" t="str">
        <f>IFERROR(__xludf.DUMMYFUNCTION("""COMPUTED_VALUE"""),"DPNブックス")</f>
        <v>DPNブックス</v>
      </c>
      <c r="M50" s="12">
        <f>IFERROR(__xludf.DUMMYFUNCTION("""COMPUTED_VALUE"""),44924.0)</f>
        <v>44924</v>
      </c>
      <c r="N50" s="12">
        <f>IFERROR(__xludf.DUMMYFUNCTION("""COMPUTED_VALUE"""),44954.0)</f>
        <v>44954</v>
      </c>
      <c r="O50" s="11"/>
      <c r="P50" s="9" t="str">
        <f>IFERROR(__xludf.DUMMYFUNCTION("""COMPUTED_VALUE"""),"可")</f>
        <v>可</v>
      </c>
      <c r="Q50" s="8" t="str">
        <f>IFERROR(__xludf.DUMMYFUNCTION("""COMPUTED_VALUE"""),"広告コミットOK（11/11）")</f>
        <v>広告コミットOK（11/11）</v>
      </c>
      <c r="R50" s="9"/>
      <c r="S50" s="8" t="str">
        <f>IFERROR(__xludf.DUMMYFUNCTION("""COMPUTED_VALUE"""),"20221121_DPNブックス_実は私、溺愛されてました！？")</f>
        <v>20221121_DPNブックス_実は私、溺愛されてました！？</v>
      </c>
      <c r="T50" s="9"/>
      <c r="U50" s="9" t="str">
        <f>IFERROR(__xludf.DUMMYFUNCTION("""COMPUTED_VALUE"""),"(C)一城れもん・海咲ねむる／DPNブックス")</f>
        <v>(C)一城れもん・海咲ねむる／DPNブックス</v>
      </c>
      <c r="V50" s="8" t="str">
        <f>IFERROR(__xludf.DUMMYFUNCTION("""COMPUTED_VALUE"""),"皐月は付き合って三年目の彼氏・樹と結婚を見据えて同棲をしていたが、すれ違う毎日が続いていた。そんな中、会社のイベントのBBQの最中に樹が後輩の佳奈と浮気していたことが発覚する。突然の出来事に混乱していると、ハイスペックな後輩・藤崎からみんなの前で告白された…！？気配りができて、困っていると心配してくれる彼。告白もただ落ち込んでいるのを助けるためだけの冗談…そう思っていたけど、藤崎から思いもよらぬ事実が告げられる。気持ちの整理がつかない皐月と、一途な愛を伝える藤崎。最低彼氏に振り回されていた私が、実は溺愛さ"&amp;"れてたなんて…！？")</f>
        <v>皐月は付き合って三年目の彼氏・樹と結婚を見据えて同棲をしていたが、すれ違う毎日が続いていた。そんな中、会社のイベントのBBQの最中に樹が後輩の佳奈と浮気していたことが発覚する。突然の出来事に混乱していると、ハイスペックな後輩・藤崎からみんなの前で告白された…！？気配りができて、困っていると心配してくれる彼。告白もただ落ち込んでいるのを助けるためだけの冗談…そう思っていたけど、藤崎から思いもよらぬ事実が告げられる。気持ちの整理がつかない皐月と、一途な愛を伝える藤崎。最低彼氏に振り回されていた私が、実は溺愛されてたなんて…！？</v>
      </c>
      <c r="W50" s="8"/>
      <c r="X50" s="8" t="str">
        <f>IFERROR(__xludf.DUMMYFUNCTION("""COMPUTED_VALUE"""),"有")</f>
        <v>有</v>
      </c>
      <c r="Y50" s="18" t="str">
        <f>IFERROR(__xludf.DUMMYFUNCTION("""COMPUTED_VALUE"""),"１巻目無料")</f>
        <v>１巻目無料</v>
      </c>
      <c r="Z50" s="17"/>
      <c r="AA50" s="7"/>
      <c r="AB50" s="7"/>
    </row>
    <row r="51" ht="91.5" customHeight="1">
      <c r="A51" s="8">
        <f>IFERROR(__xludf.DUMMYFUNCTION("""COMPUTED_VALUE"""),1554.0)</f>
        <v>1554</v>
      </c>
      <c r="B51" s="9" t="str">
        <f>IFERROR(__xludf.DUMMYFUNCTION("""COMPUTED_VALUE"""),"確定")</f>
        <v>確定</v>
      </c>
      <c r="C51" s="10">
        <f>IFERROR(__xludf.DUMMYFUNCTION("""COMPUTED_VALUE"""),44893.0)</f>
        <v>44893</v>
      </c>
      <c r="D51" s="10">
        <f>IFERROR(__xludf.DUMMYFUNCTION("""COMPUTED_VALUE"""),44901.0)</f>
        <v>44901</v>
      </c>
      <c r="E51" s="8">
        <f>IFERROR(__xludf.DUMMYFUNCTION("""COMPUTED_VALUE"""),247831.0)</f>
        <v>247831</v>
      </c>
      <c r="F51" s="9" t="str">
        <f>IFERROR(__xludf.DUMMYFUNCTION("""COMPUTED_VALUE"""),"大正華族様と結婚して世直しします！")</f>
        <v>大正華族様と結婚して世直しします！</v>
      </c>
      <c r="G51" s="11" t="str">
        <f>IFERROR(__xludf.DUMMYFUNCTION("""COMPUTED_VALUE"""),"1～3")</f>
        <v>1～3</v>
      </c>
      <c r="H51" s="8" t="str">
        <f>IFERROR(__xludf.DUMMYFUNCTION("""COMPUTED_VALUE"""),"篠田芽衣子")</f>
        <v>篠田芽衣子</v>
      </c>
      <c r="I51" s="14" t="str">
        <f>IFERROR(__xludf.DUMMYFUNCTION("""COMPUTED_VALUE"""),"少女")</f>
        <v>少女</v>
      </c>
      <c r="J51" s="8"/>
      <c r="K51" s="8"/>
      <c r="L51" s="8" t="str">
        <f>IFERROR(__xludf.DUMMYFUNCTION("""COMPUTED_VALUE"""),"シーモアコミックス")</f>
        <v>シーモアコミックス</v>
      </c>
      <c r="M51" s="12">
        <f>IFERROR(__xludf.DUMMYFUNCTION("""COMPUTED_VALUE"""),44925.0)</f>
        <v>44925</v>
      </c>
      <c r="N51" s="12">
        <f>IFERROR(__xludf.DUMMYFUNCTION("""COMPUTED_VALUE"""),45078.0)</f>
        <v>45078</v>
      </c>
      <c r="O51" s="11"/>
      <c r="P51" s="9" t="str">
        <f>IFERROR(__xludf.DUMMYFUNCTION("""COMPUTED_VALUE"""),"可")</f>
        <v>可</v>
      </c>
      <c r="Q51" s="8" t="str">
        <f>IFERROR(__xludf.DUMMYFUNCTION("""COMPUTED_VALUE"""),"※正式タイトル下記の通りです（11/28）&lt;BR&gt;＝＝＝&lt;BR&gt;大正華族様と結婚して世直しします！&lt;BR&gt;＝＝＝")</f>
        <v>※正式タイトル下記の通りです（11/28）&lt;BR&gt;＝＝＝&lt;BR&gt;大正華族様と結婚して世直しします！&lt;BR&gt;＝＝＝</v>
      </c>
      <c r="R51" s="9"/>
      <c r="S51" s="8" t="str">
        <f>IFERROR(__xludf.DUMMYFUNCTION("""COMPUTED_VALUE"""),"20221128_シーモアコミックス_大正華族さまと結婚して世直しします！")</f>
        <v>20221128_シーモアコミックス_大正華族さまと結婚して世直しします！</v>
      </c>
      <c r="T51" s="15"/>
      <c r="U51" s="9" t="str">
        <f>IFERROR(__xludf.DUMMYFUNCTION("""COMPUTED_VALUE"""),"© 篠田芽衣子/シーモアコミックス")</f>
        <v>© 篠田芽衣子/シーモアコミックス</v>
      </c>
      <c r="V51" s="8" t="str">
        <f>IFERROR(__xludf.DUMMYFUNCTION("""COMPUTED_VALUE"""),"大正時代末期、主人公・すずは大衆向けカフェで女給として働いていた。過酷な環境の中でも街の貧しい子供たちをお世話する優しい彼女の夢は、『貧しい子供たちがお腹いっぱいになれる無料食堂を作ること』だった。ある日そのカフェにやってきた美青年の華族様と出会うことになるが…！？")</f>
        <v>大正時代末期、主人公・すずは大衆向けカフェで女給として働いていた。過酷な環境の中でも街の貧しい子供たちをお世話する優しい彼女の夢は、『貧しい子供たちがお腹いっぱいになれる無料食堂を作ること』だった。ある日そのカフェにやってきた美青年の華族様と出会うことになるが…！？</v>
      </c>
      <c r="W51" s="8"/>
      <c r="X51" s="8" t="str">
        <f>IFERROR(__xludf.DUMMYFUNCTION("""COMPUTED_VALUE"""),"有")</f>
        <v>有</v>
      </c>
      <c r="Y51" s="8" t="str">
        <f>IFERROR(__xludf.DUMMYFUNCTION("""COMPUTED_VALUE"""),"１巻目無料")</f>
        <v>１巻目無料</v>
      </c>
      <c r="Z51" s="7"/>
      <c r="AA51" s="7"/>
      <c r="AB51" s="7"/>
    </row>
    <row r="52" ht="120.0" customHeight="1">
      <c r="A52" s="8">
        <f>IFERROR(__xludf.DUMMYFUNCTION("""COMPUTED_VALUE"""),1438.0)</f>
        <v>1438</v>
      </c>
      <c r="B52" s="9" t="str">
        <f>IFERROR(__xludf.DUMMYFUNCTION("""COMPUTED_VALUE"""),"確定")</f>
        <v>確定</v>
      </c>
      <c r="C52" s="10">
        <f>IFERROR(__xludf.DUMMYFUNCTION("""COMPUTED_VALUE"""),44833.0)</f>
        <v>44833</v>
      </c>
      <c r="D52" s="10">
        <f>IFERROR(__xludf.DUMMYFUNCTION("""COMPUTED_VALUE"""),44901.0)</f>
        <v>44901</v>
      </c>
      <c r="E52" s="8">
        <f>IFERROR(__xludf.DUMMYFUNCTION("""COMPUTED_VALUE"""),258952.0)</f>
        <v>258952</v>
      </c>
      <c r="F52" s="9" t="str">
        <f>IFERROR(__xludf.DUMMYFUNCTION("""COMPUTED_VALUE"""),"幼馴染が俺の処女を狙ってたってマジ！？")</f>
        <v>幼馴染が俺の処女を狙ってたってマジ！？</v>
      </c>
      <c r="G52" s="11" t="str">
        <f>IFERROR(__xludf.DUMMYFUNCTION("""COMPUTED_VALUE"""),"1～2")</f>
        <v>1～2</v>
      </c>
      <c r="H52" s="8" t="str">
        <f>IFERROR(__xludf.DUMMYFUNCTION("""COMPUTED_VALUE"""),"鳥肌こっこ")</f>
        <v>鳥肌こっこ</v>
      </c>
      <c r="I52" s="8" t="str">
        <f>IFERROR(__xludf.DUMMYFUNCTION("""COMPUTED_VALUE"""),"BL")</f>
        <v>BL</v>
      </c>
      <c r="J52" s="8"/>
      <c r="K52" s="8"/>
      <c r="L52" s="8" t="str">
        <f>IFERROR(__xludf.DUMMYFUNCTION("""COMPUTED_VALUE"""),"CLLENN")</f>
        <v>CLLENN</v>
      </c>
      <c r="M52" s="12">
        <f>IFERROR(__xludf.DUMMYFUNCTION("""COMPUTED_VALUE"""),44926.0)</f>
        <v>44926</v>
      </c>
      <c r="N52" s="12">
        <f>IFERROR(__xludf.DUMMYFUNCTION("""COMPUTED_VALUE"""),45023.66666666667)</f>
        <v>45023.66667</v>
      </c>
      <c r="O52" s="11"/>
      <c r="P52" s="9" t="str">
        <f>IFERROR(__xludf.DUMMYFUNCTION("""COMPUTED_VALUE"""),"可")</f>
        <v>可</v>
      </c>
      <c r="Q52" s="8" t="str">
        <f>IFERROR(__xludf.DUMMYFUNCTION("""COMPUTED_VALUE"""),"広告コミットOK（9/29）&lt;BR&gt;素材格納（11/21）")</f>
        <v>広告コミットOK（9/29）&lt;BR&gt;素材格納（11/21）</v>
      </c>
      <c r="R52" s="9" t="str">
        <f>IFERROR(__xludf.DUMMYFUNCTION("""COMPUTED_VALUE"""),"格納済")</f>
        <v>格納済</v>
      </c>
      <c r="S52" s="8" t="str">
        <f>IFERROR(__xludf.DUMMYFUNCTION("""COMPUTED_VALUE"""),"20221121_コミックストック（オトメチカ出版）_幼馴染が俺の処女を狙ってたってマジ！？")</f>
        <v>20221121_コミックストック（オトメチカ出版）_幼馴染が俺の処女を狙ってたってマジ！？</v>
      </c>
      <c r="T52" s="9" t="str">
        <f>IFERROR(__xludf.DUMMYFUNCTION("""COMPUTED_VALUE"""),"校了済素材")</f>
        <v>校了済素材</v>
      </c>
      <c r="U52" s="9" t="str">
        <f>IFERROR(__xludf.DUMMYFUNCTION("""COMPUTED_VALUE"""),"著：鳥肌こっこ/オトメチカ出版")</f>
        <v>著：鳥肌こっこ/オトメチカ出版</v>
      </c>
      <c r="V52" s="8" t="str">
        <f>IFERROR(__xludf.DUMMYFUNCTION("""COMPUTED_VALUE"""),"【お前も俺らなしじゃ生きられないようにしてやるよ】親友２人から、愛されまくりのトロトロ３Pえっち！？ 野獣系ドS＆喰えない男前ドS×恋人いない歴26年…高飛車な童貞男子。 ――今日こそ決める！女性とのデートに向かった聖太郎。ところが突然現れた幼馴染の親友2人に拉致されてしまう。告白されて、おまけに目の前で脱ぎだして…「なんでチ〇コ出した？」 理性が拒否する間にも、脱がされ、弄られ、キスされて…巧みな愛撫×２倍の快感に身体はドロドロにとろけイッてしまう。なのにまだ腰を持ち上げられ終わる気配がない！？ 「俺た"&amp;"ちと付き合うって言うまでやめないからね？」甘くドSに体中を可愛がられて、何度イッても許してくれない――！？")</f>
        <v>【お前も俺らなしじゃ生きられないようにしてやるよ】親友２人から、愛されまくりのトロトロ３Pえっち！？ 野獣系ドS＆喰えない男前ドS×恋人いない歴26年…高飛車な童貞男子。 ――今日こそ決める！女性とのデートに向かった聖太郎。ところが突然現れた幼馴染の親友2人に拉致されてしまう。告白されて、おまけに目の前で脱ぎだして…「なんでチ〇コ出した？」 理性が拒否する間にも、脱がされ、弄られ、キスされて…巧みな愛撫×２倍の快感に身体はドロドロにとろけイッてしまう。なのにまだ腰を持ち上げられ終わる気配がない！？ 「俺たちと付き合うって言うまでやめないからね？」甘くドSに体中を可愛がられて、何度イッても許してくれない――！？</v>
      </c>
      <c r="W52" s="8"/>
      <c r="X52" s="8" t="str">
        <f>IFERROR(__xludf.DUMMYFUNCTION("""COMPUTED_VALUE"""),"有")</f>
        <v>有</v>
      </c>
      <c r="Y52" s="8" t="str">
        <f>IFERROR(__xludf.DUMMYFUNCTION("""COMPUTED_VALUE"""),"P9まで")</f>
        <v>P9まで</v>
      </c>
      <c r="Z52" s="7"/>
      <c r="AA52" s="7"/>
      <c r="AB52" s="7"/>
    </row>
    <row r="53" ht="103.5" customHeight="1">
      <c r="A53" s="8">
        <f>IFERROR(__xludf.DUMMYFUNCTION("""COMPUTED_VALUE"""),1516.0)</f>
        <v>1516</v>
      </c>
      <c r="B53" s="9" t="str">
        <f>IFERROR(__xludf.DUMMYFUNCTION("""COMPUTED_VALUE"""),"確定")</f>
        <v>確定</v>
      </c>
      <c r="C53" s="10">
        <f>IFERROR(__xludf.DUMMYFUNCTION("""COMPUTED_VALUE"""),44875.0)</f>
        <v>44875</v>
      </c>
      <c r="D53" s="10">
        <f>IFERROR(__xludf.DUMMYFUNCTION("""COMPUTED_VALUE"""),44901.0)</f>
        <v>44901</v>
      </c>
      <c r="E53" s="8">
        <f>IFERROR(__xludf.DUMMYFUNCTION("""COMPUTED_VALUE"""),258943.0)</f>
        <v>258943</v>
      </c>
      <c r="F53" s="9" t="str">
        <f>IFERROR(__xludf.DUMMYFUNCTION("""COMPUTED_VALUE"""),"運命以上、恋人未満。―同期のαと情愛契約―")</f>
        <v>運命以上、恋人未満。―同期のαと情愛契約―</v>
      </c>
      <c r="G53" s="11" t="str">
        <f>IFERROR(__xludf.DUMMYFUNCTION("""COMPUTED_VALUE"""),"1～2")</f>
        <v>1～2</v>
      </c>
      <c r="H53" s="8" t="str">
        <f>IFERROR(__xludf.DUMMYFUNCTION("""COMPUTED_VALUE"""),"猫又しょう")</f>
        <v>猫又しょう</v>
      </c>
      <c r="I53" s="8" t="str">
        <f>IFERROR(__xludf.DUMMYFUNCTION("""COMPUTED_VALUE"""),"TL")</f>
        <v>TL</v>
      </c>
      <c r="J53" s="8"/>
      <c r="K53" s="8"/>
      <c r="L53" s="8" t="str">
        <f>IFERROR(__xludf.DUMMYFUNCTION("""COMPUTED_VALUE"""),"フューチャーコミックス社")</f>
        <v>フューチャーコミックス社</v>
      </c>
      <c r="M53" s="12">
        <f>IFERROR(__xludf.DUMMYFUNCTION("""COMPUTED_VALUE"""),44926.0)</f>
        <v>44926</v>
      </c>
      <c r="N53" s="12">
        <f>IFERROR(__xludf.DUMMYFUNCTION("""COMPUTED_VALUE"""),44939.0)</f>
        <v>44939</v>
      </c>
      <c r="O53" s="11"/>
      <c r="P53" s="9" t="str">
        <f>IFERROR(__xludf.DUMMYFUNCTION("""COMPUTED_VALUE"""),"可")</f>
        <v>可</v>
      </c>
      <c r="Q53" s="8" t="str">
        <f>IFERROR(__xludf.DUMMYFUNCTION("""COMPUTED_VALUE"""),"広告コミットOK（11/11）")</f>
        <v>広告コミットOK（11/11）</v>
      </c>
      <c r="R53" s="9"/>
      <c r="S53" s="8" t="str">
        <f>IFERROR(__xludf.DUMMYFUNCTION("""COMPUTED_VALUE"""),"20221130_フューチャーコミックス社_運命以上、恋人未満。―同期のαと情愛契約―")</f>
        <v>20221130_フューチャーコミックス社_運命以上、恋人未満。―同期のαと情愛契約―</v>
      </c>
      <c r="T53" s="9"/>
      <c r="U53" s="9" t="str">
        <f>IFERROR(__xludf.DUMMYFUNCTION("""COMPUTED_VALUE"""),"©猫又しょう/フューチャーコミックス")</f>
        <v>©猫又しょう/フューチャーコミックス</v>
      </c>
      <c r="V53" s="8" t="str">
        <f>IFERROR(__xludf.DUMMYFUNCTION("""COMPUTED_VALUE"""),"体が熱い…言い訳もできないくらい濡れて、全身で欲しがっちゃうなんて――一流企業でバリバリ働く愛莉のもとに現れたのは、海外赴任から戻ってきた同期・久我山。αでエリート街道を歩む久我山に対抗心を燃やす愛莉だったが、久我山を目の前にすると良い香りが鼻をつき、どんどんカラダが火照ってきてしまう。我慢が効かずベッドで求め合えば、これまで経験したことのないほどの快感に襲われてしまって…？")</f>
        <v>体が熱い…言い訳もできないくらい濡れて、全身で欲しがっちゃうなんて――一流企業でバリバリ働く愛莉のもとに現れたのは、海外赴任から戻ってきた同期・久我山。αでエリート街道を歩む久我山に対抗心を燃やす愛莉だったが、久我山を目の前にすると良い香りが鼻をつき、どんどんカラダが火照ってきてしまう。我慢が効かずベッドで求め合えば、これまで経験したことのないほどの快感に襲われてしまって…？</v>
      </c>
      <c r="W53" s="8"/>
      <c r="X53" s="8" t="str">
        <f>IFERROR(__xludf.DUMMYFUNCTION("""COMPUTED_VALUE"""),"有")</f>
        <v>有</v>
      </c>
      <c r="Y53" s="8" t="str">
        <f>IFERROR(__xludf.DUMMYFUNCTION("""COMPUTED_VALUE"""),"P15まで")</f>
        <v>P15まで</v>
      </c>
      <c r="Z53" s="7"/>
      <c r="AA53" s="7"/>
      <c r="AB53" s="7"/>
    </row>
    <row r="54" ht="124.5" customHeight="1">
      <c r="A54" s="8">
        <f>IFERROR(__xludf.DUMMYFUNCTION("""COMPUTED_VALUE"""),1575.0)</f>
        <v>1575</v>
      </c>
      <c r="B54" s="9" t="str">
        <f>IFERROR(__xludf.DUMMYFUNCTION("""COMPUTED_VALUE"""),"確定")</f>
        <v>確定</v>
      </c>
      <c r="C54" s="10">
        <f>IFERROR(__xludf.DUMMYFUNCTION("""COMPUTED_VALUE"""),44896.0)</f>
        <v>44896</v>
      </c>
      <c r="D54" s="10">
        <f>IFERROR(__xludf.DUMMYFUNCTION("""COMPUTED_VALUE"""),44915.0)</f>
        <v>44915</v>
      </c>
      <c r="E54" s="8">
        <f>IFERROR(__xludf.DUMMYFUNCTION("""COMPUTED_VALUE"""),258837.0)</f>
        <v>258837</v>
      </c>
      <c r="F54" s="9" t="str">
        <f>IFERROR(__xludf.DUMMYFUNCTION("""COMPUTED_VALUE"""),"愛でて、触って、確かめて")</f>
        <v>愛でて、触って、確かめて</v>
      </c>
      <c r="G54" s="11" t="str">
        <f>IFERROR(__xludf.DUMMYFUNCTION("""COMPUTED_VALUE"""),"1～2")</f>
        <v>1～2</v>
      </c>
      <c r="H54" s="8" t="str">
        <f>IFERROR(__xludf.DUMMYFUNCTION("""COMPUTED_VALUE"""),"子葉")</f>
        <v>子葉</v>
      </c>
      <c r="I54" s="14" t="str">
        <f>IFERROR(__xludf.DUMMYFUNCTION("""COMPUTED_VALUE"""),"女性")</f>
        <v>女性</v>
      </c>
      <c r="J54" s="8"/>
      <c r="K54" s="8"/>
      <c r="L54" s="8" t="str">
        <f>IFERROR(__xludf.DUMMYFUNCTION("""COMPUTED_VALUE"""),"MUGENUP")</f>
        <v>MUGENUP</v>
      </c>
      <c r="M54" s="12">
        <f>IFERROR(__xludf.DUMMYFUNCTION("""COMPUTED_VALUE"""),44926.0)</f>
        <v>44926</v>
      </c>
      <c r="N54" s="12">
        <f>IFERROR(__xludf.DUMMYFUNCTION("""COMPUTED_VALUE"""),45015.0)</f>
        <v>45015</v>
      </c>
      <c r="O54" s="11"/>
      <c r="P54" s="9" t="str">
        <f>IFERROR(__xludf.DUMMYFUNCTION("""COMPUTED_VALUE"""),"否")</f>
        <v>否</v>
      </c>
      <c r="Q54" s="8" t="str">
        <f>IFERROR(__xludf.DUMMYFUNCTION("""COMPUTED_VALUE"""),"広告コミットOK（12/2）")</f>
        <v>広告コミットOK（12/2）</v>
      </c>
      <c r="R54" s="9" t="str">
        <f>IFERROR(__xludf.DUMMYFUNCTION("""COMPUTED_VALUE"""),"納品済み（素材フォルダに格納）")</f>
        <v>納品済み（素材フォルダに格納）</v>
      </c>
      <c r="S54" s="8" t="str">
        <f>IFERROR(__xludf.DUMMYFUNCTION("""COMPUTED_VALUE"""),"20221201_MUGENUP_愛でて、触って、確かめて")</f>
        <v>20221201_MUGENUP_愛でて、触って、確かめて</v>
      </c>
      <c r="T54" s="9"/>
      <c r="U54" s="9" t="str">
        <f>IFERROR(__xludf.DUMMYFUNCTION("""COMPUTED_VALUE"""),"©子葉／MUGENUP")</f>
        <v>©子葉／MUGENUP</v>
      </c>
      <c r="V54" s="8" t="str">
        <f>IFERROR(__xludf.DUMMYFUNCTION("""COMPUTED_VALUE"""),"「運命の手いた──!!」
三度の飯より綺麗な手が好きな主人公、葉菜。葉菜は高校生の時に出会った、憧れの美容師 結城（の手）を追って、結城の勤める美容院へと就職する。美容院での結城は仕事に厳しく、新人でポンコツな葉菜は毎日こってり絞られていた。そんなある日、シャンプー練習中の葉菜と結城にハプニングが！ そこで明かされた結城のとある秘密とは……!?")</f>
        <v>「運命の手いた──!!」
三度の飯より綺麗な手が好きな主人公、葉菜。葉菜は高校生の時に出会った、憧れの美容師 結城（の手）を追って、結城の勤める美容院へと就職する。美容院での結城は仕事に厳しく、新人でポンコツな葉菜は毎日こってり絞られていた。そんなある日、シャンプー練習中の葉菜と結城にハプニングが！ そこで明かされた結城のとある秘密とは……!?</v>
      </c>
      <c r="W54" s="8"/>
      <c r="X54" s="8" t="str">
        <f>IFERROR(__xludf.DUMMYFUNCTION("""COMPUTED_VALUE"""),"有")</f>
        <v>有</v>
      </c>
      <c r="Y54" s="8" t="str">
        <f>IFERROR(__xludf.DUMMYFUNCTION("""COMPUTED_VALUE"""),"P7まで")</f>
        <v>P7まで</v>
      </c>
      <c r="Z54" s="7"/>
      <c r="AA54" s="7"/>
      <c r="AB54" s="7"/>
    </row>
    <row r="55" ht="186.75" customHeight="1">
      <c r="A55" s="8">
        <f>IFERROR(__xludf.DUMMYFUNCTION("""COMPUTED_VALUE"""),1588.0)</f>
        <v>1588</v>
      </c>
      <c r="B55" s="9" t="str">
        <f>IFERROR(__xludf.DUMMYFUNCTION("""COMPUTED_VALUE"""),"確定")</f>
        <v>確定</v>
      </c>
      <c r="C55" s="10">
        <f>IFERROR(__xludf.DUMMYFUNCTION("""COMPUTED_VALUE"""),44908.0)</f>
        <v>44908</v>
      </c>
      <c r="D55" s="10">
        <f>IFERROR(__xludf.DUMMYFUNCTION("""COMPUTED_VALUE"""),44908.0)</f>
        <v>44908</v>
      </c>
      <c r="E55" s="8">
        <f>IFERROR(__xludf.DUMMYFUNCTION("""COMPUTED_VALUE"""),259932.0)</f>
        <v>259932</v>
      </c>
      <c r="F55" s="9" t="str">
        <f>IFERROR(__xludf.DUMMYFUNCTION("""COMPUTED_VALUE"""),"木曜日のシェフレラ スクールカウンセラー五加木純架【分冊版】")</f>
        <v>木曜日のシェフレラ スクールカウンセラー五加木純架【分冊版】</v>
      </c>
      <c r="G55" s="11" t="str">
        <f>IFERROR(__xludf.DUMMYFUNCTION("""COMPUTED_VALUE"""),"1～5")</f>
        <v>1～5</v>
      </c>
      <c r="H55" s="8" t="str">
        <f>IFERROR(__xludf.DUMMYFUNCTION("""COMPUTED_VALUE"""),"大澄剛")</f>
        <v>大澄剛</v>
      </c>
      <c r="I55" s="8" t="str">
        <f>IFERROR(__xludf.DUMMYFUNCTION("""COMPUTED_VALUE"""),"女性")</f>
        <v>女性</v>
      </c>
      <c r="J55" s="8"/>
      <c r="K55" s="8"/>
      <c r="L55" s="8" t="str">
        <f>IFERROR(__xludf.DUMMYFUNCTION("""COMPUTED_VALUE"""),"秋田書店")</f>
        <v>秋田書店</v>
      </c>
      <c r="M55" s="12">
        <f>IFERROR(__xludf.DUMMYFUNCTION("""COMPUTED_VALUE"""),44926.0)</f>
        <v>44926</v>
      </c>
      <c r="N55" s="12">
        <f>IFERROR(__xludf.DUMMYFUNCTION("""COMPUTED_VALUE"""),44956.0)</f>
        <v>44956</v>
      </c>
      <c r="O55" s="11"/>
      <c r="P55" s="9" t="str">
        <f>IFERROR(__xludf.DUMMYFUNCTION("""COMPUTED_VALUE"""),"否")</f>
        <v>否</v>
      </c>
      <c r="Q55" s="8"/>
      <c r="R55" s="9"/>
      <c r="S55" s="8" t="str">
        <f>IFERROR(__xludf.DUMMYFUNCTION("""COMPUTED_VALUE"""),"20221213_秋田書店_木曜日のシェフレラ")</f>
        <v>20221213_秋田書店_木曜日のシェフレラ</v>
      </c>
      <c r="T55" s="9"/>
      <c r="U55" s="9" t="str">
        <f>IFERROR(__xludf.DUMMYFUNCTION("""COMPUTED_VALUE"""),"©大澄剛（秋田書店）")</f>
        <v>©大澄剛（秋田書店）</v>
      </c>
      <c r="V55" s="8" t="str">
        <f>IFERROR(__xludf.DUMMYFUNCTION("""COMPUTED_VALUE"""),"１週間のうち木曜日だけ学校にいるスクールカウンセラーの五加木純架（うこぎすみか）。彼女のもとには様々な悩みを抱えた生徒がやってきて…。暴力、自傷、不登校…小学校の現場で子どもたちが抱えた心の問題との向き合い方を描く、スクールカウンセラー物語。")</f>
        <v>１週間のうち木曜日だけ学校にいるスクールカウンセラーの五加木純架（うこぎすみか）。彼女のもとには様々な悩みを抱えた生徒がやってきて…。暴力、自傷、不登校…小学校の現場で子どもたちが抱えた心の問題との向き合い方を描く、スクールカウンセラー物語。</v>
      </c>
      <c r="W55" s="8"/>
      <c r="X55" s="8" t="str">
        <f>IFERROR(__xludf.DUMMYFUNCTION("""COMPUTED_VALUE"""),"有")</f>
        <v>有</v>
      </c>
      <c r="Y55" s="8" t="str">
        <f>IFERROR(__xludf.DUMMYFUNCTION("""COMPUTED_VALUE"""),"1～2巻目無料")</f>
        <v>1～2巻目無料</v>
      </c>
      <c r="Z55" s="7"/>
      <c r="AA55" s="7"/>
      <c r="AB55" s="7"/>
    </row>
    <row r="56" ht="249.0" customHeight="1">
      <c r="A56" s="8">
        <f>IFERROR(__xludf.DUMMYFUNCTION("""COMPUTED_VALUE"""),1541.0)</f>
        <v>1541</v>
      </c>
      <c r="B56" s="9" t="str">
        <f>IFERROR(__xludf.DUMMYFUNCTION("""COMPUTED_VALUE"""),"確定")</f>
        <v>確定</v>
      </c>
      <c r="C56" s="10">
        <f>IFERROR(__xludf.DUMMYFUNCTION("""COMPUTED_VALUE"""),44882.0)</f>
        <v>44882</v>
      </c>
      <c r="D56" s="10">
        <f>IFERROR(__xludf.DUMMYFUNCTION("""COMPUTED_VALUE"""),44896.0)</f>
        <v>44896</v>
      </c>
      <c r="E56" s="8">
        <f>IFERROR(__xludf.DUMMYFUNCTION("""COMPUTED_VALUE"""),258959.0)</f>
        <v>258959</v>
      </c>
      <c r="F56" s="9" t="str">
        <f>IFERROR(__xludf.DUMMYFUNCTION("""COMPUTED_VALUE"""),"清楚系悪役令嬢は断罪されてもただでは起きない　元婚約者の兄に溺愛されてます【短編】")</f>
        <v>清楚系悪役令嬢は断罪されてもただでは起きない　元婚約者の兄に溺愛されてます【短編】</v>
      </c>
      <c r="G56" s="11" t="str">
        <f>IFERROR(__xludf.DUMMYFUNCTION("""COMPUTED_VALUE"""),"1～3")</f>
        <v>1～3</v>
      </c>
      <c r="H56" s="8" t="str">
        <f>IFERROR(__xludf.DUMMYFUNCTION("""COMPUTED_VALUE"""),"桂衣")</f>
        <v>桂衣</v>
      </c>
      <c r="I56" s="8" t="str">
        <f>IFERROR(__xludf.DUMMYFUNCTION("""COMPUTED_VALUE"""),"女性")</f>
        <v>女性</v>
      </c>
      <c r="J56" s="8"/>
      <c r="K56" s="8"/>
      <c r="L56" s="8" t="str">
        <f>IFERROR(__xludf.DUMMYFUNCTION("""COMPUTED_VALUE"""),"竹書房")</f>
        <v>竹書房</v>
      </c>
      <c r="M56" s="12">
        <f>IFERROR(__xludf.DUMMYFUNCTION("""COMPUTED_VALUE"""),44927.0)</f>
        <v>44927</v>
      </c>
      <c r="N56" s="12">
        <f>IFERROR(__xludf.DUMMYFUNCTION("""COMPUTED_VALUE"""),44957.0)</f>
        <v>44957</v>
      </c>
      <c r="O56" s="11"/>
      <c r="P56" s="9" t="str">
        <f>IFERROR(__xludf.DUMMYFUNCTION("""COMPUTED_VALUE"""),"可")</f>
        <v>可</v>
      </c>
      <c r="Q56" s="8" t="str">
        <f>IFERROR(__xludf.DUMMYFUNCTION("""COMPUTED_VALUE"""),"広告素材は1巻のみ（12/1）&lt;BR&gt;コミットOK（11/24）")</f>
        <v>広告素材は1巻のみ（12/1）&lt;BR&gt;コミットOK（11/24）</v>
      </c>
      <c r="R56" s="9" t="str">
        <f>IFERROR(__xludf.DUMMYFUNCTION("""COMPUTED_VALUE"""),"格納済")</f>
        <v>格納済</v>
      </c>
      <c r="S56" s="8" t="str">
        <f>IFERROR(__xludf.DUMMYFUNCTION("""COMPUTED_VALUE"""),"20221201_竹書房_清楚系悪役令嬢")</f>
        <v>20221201_竹書房_清楚系悪役令嬢</v>
      </c>
      <c r="T56" s="9" t="str">
        <f>IFERROR(__xludf.DUMMYFUNCTION("""COMPUTED_VALUE"""),"校了済素材")</f>
        <v>校了済素材</v>
      </c>
      <c r="U56" s="9" t="str">
        <f>IFERROR(__xludf.DUMMYFUNCTION("""COMPUTED_VALUE"""),"©桂衣・水嶋凜／竹書房")</f>
        <v>©桂衣・水嶋凜／竹書房</v>
      </c>
      <c r="V56" s="8" t="str">
        <f>IFERROR(__xludf.DUMMYFUNCTION("""COMPUTED_VALUE"""),"エリーゼ・アーベントロートには前世の記憶がある。その記憶だと己は乙女ゲーム『黄昏プリンセスロード』の清楚系悪役令嬢と呼ばれていた。自分自身もそんなエリーゼを敬愛していたゆえそうあろうと努力を重ね、完璧な断罪からの退場劇を演じきるが……？")</f>
        <v>エリーゼ・アーベントロートには前世の記憶がある。その記憶だと己は乙女ゲーム『黄昏プリンセスロード』の清楚系悪役令嬢と呼ばれていた。自分自身もそんなエリーゼを敬愛していたゆえそうあろうと努力を重ね、完璧な断罪からの退場劇を演じきるが……？</v>
      </c>
      <c r="W56" s="8"/>
      <c r="X56" s="9" t="str">
        <f>IFERROR(__xludf.DUMMYFUNCTION("""COMPUTED_VALUE"""),"有")</f>
        <v>有</v>
      </c>
      <c r="Y56" s="8" t="str">
        <f>IFERROR(__xludf.DUMMYFUNCTION("""COMPUTED_VALUE"""),"P6まで
１巻目半額キャン有")</f>
        <v>P6まで
１巻目半額キャン有</v>
      </c>
      <c r="Z56" s="7"/>
      <c r="AA56" s="7"/>
      <c r="AB56" s="7"/>
    </row>
    <row r="57" ht="120.0" customHeight="1">
      <c r="A57" s="8">
        <f>IFERROR(__xludf.DUMMYFUNCTION("""COMPUTED_VALUE"""),1542.0)</f>
        <v>1542</v>
      </c>
      <c r="B57" s="9" t="str">
        <f>IFERROR(__xludf.DUMMYFUNCTION("""COMPUTED_VALUE"""),"確定")</f>
        <v>確定</v>
      </c>
      <c r="C57" s="10">
        <f>IFERROR(__xludf.DUMMYFUNCTION("""COMPUTED_VALUE"""),44882.0)</f>
        <v>44882</v>
      </c>
      <c r="D57" s="10">
        <f>IFERROR(__xludf.DUMMYFUNCTION("""COMPUTED_VALUE"""),44901.0)</f>
        <v>44901</v>
      </c>
      <c r="E57" s="8">
        <f>IFERROR(__xludf.DUMMYFUNCTION("""COMPUTED_VALUE"""),258982.0)</f>
        <v>258982</v>
      </c>
      <c r="F57" s="9" t="str">
        <f>IFERROR(__xludf.DUMMYFUNCTION("""COMPUTED_VALUE"""),"アイラブユーが言えなくて【分冊版】")</f>
        <v>アイラブユーが言えなくて【分冊版】</v>
      </c>
      <c r="G57" s="11" t="str">
        <f>IFERROR(__xludf.DUMMYFUNCTION("""COMPUTED_VALUE"""),"1～2")</f>
        <v>1～2</v>
      </c>
      <c r="H57" s="8" t="str">
        <f>IFERROR(__xludf.DUMMYFUNCTION("""COMPUTED_VALUE"""),"青梅あお")</f>
        <v>青梅あお</v>
      </c>
      <c r="I57" s="8" t="str">
        <f>IFERROR(__xludf.DUMMYFUNCTION("""COMPUTED_VALUE"""),"BL")</f>
        <v>BL</v>
      </c>
      <c r="J57" s="8"/>
      <c r="K57" s="8"/>
      <c r="L57" s="8" t="str">
        <f>IFERROR(__xludf.DUMMYFUNCTION("""COMPUTED_VALUE"""),"スクウェア・エニックス")</f>
        <v>スクウェア・エニックス</v>
      </c>
      <c r="M57" s="12">
        <f>IFERROR(__xludf.DUMMYFUNCTION("""COMPUTED_VALUE"""),44927.0)</f>
        <v>44927</v>
      </c>
      <c r="N57" s="12">
        <f>IFERROR(__xludf.DUMMYFUNCTION("""COMPUTED_VALUE"""),44957.0)</f>
        <v>44957</v>
      </c>
      <c r="O57" s="11"/>
      <c r="P57" s="9" t="str">
        <f>IFERROR(__xludf.DUMMYFUNCTION("""COMPUTED_VALUE"""),"可")</f>
        <v>可</v>
      </c>
      <c r="Q57" s="8" t="str">
        <f>IFERROR(__xludf.DUMMYFUNCTION("""COMPUTED_VALUE"""),"広告コミットOK（11/24）&lt;BR&gt;&lt;BR&gt;")</f>
        <v>広告コミットOK（11/24）&lt;BR&gt;&lt;BR&gt;</v>
      </c>
      <c r="R57" s="9"/>
      <c r="S57" s="8" t="str">
        <f>IFERROR(__xludf.DUMMYFUNCTION("""COMPUTED_VALUE"""),"20221129_スクウェア・エニックス_アイラブユーが言えなくて【分冊版】")</f>
        <v>20221129_スクウェア・エニックス_アイラブユーが言えなくて【分冊版】</v>
      </c>
      <c r="T57" s="9"/>
      <c r="U57" s="9" t="str">
        <f>IFERROR(__xludf.DUMMYFUNCTION("""COMPUTED_VALUE"""),"©Ao Aoume/SQUARE ENIX
短縮形　©AA/SQEX")</f>
        <v>©Ao Aoume/SQUARE ENIX
短縮形　©AA/SQEX</v>
      </c>
      <c r="V57" s="8" t="str">
        <f>IFERROR(__xludf.DUMMYFUNCTION("""COMPUTED_VALUE"""),"【リーマンと年下芸能人の、エモ×癒しBL。】
「だって俺たち、せっかくセフレなのに」純太はしがないリーマンだが、誰にも言えない秘密を持っている。それは新進気鋭の俳優・是（ゆき）と同居し、しかもセフレ関係になっているということ。純太も昔は地下アイドルをしており、是はその時に気にかけていた後輩だった。自分を求める是の気持ちに向き合うのは怖いのに、離れがたくて体を重ねることを繰り返してしまう純太。この気持ちは庇護欲なのか愛情か――。元地下アイドルのリーマンと年下芸能人の、エモ×癒しBL。
※この商品は「アイラブ"&amp;"ユーが言えなくて」を1話ごとに分冊したものです。
(C)2023 Ao Aoume")</f>
        <v>【リーマンと年下芸能人の、エモ×癒しBL。】
「だって俺たち、せっかくセフレなのに」純太はしがないリーマンだが、誰にも言えない秘密を持っている。それは新進気鋭の俳優・是（ゆき）と同居し、しかもセフレ関係になっているということ。純太も昔は地下アイドルをしており、是はその時に気にかけていた後輩だった。自分を求める是の気持ちに向き合うのは怖いのに、離れがたくて体を重ねることを繰り返してしまう純太。この気持ちは庇護欲なのか愛情か――。元地下アイドルのリーマンと年下芸能人の、エモ×癒しBL。
※この商品は「アイラブユーが言えなくて」を1話ごとに分冊したものです。
(C)2023 Ao Aoume</v>
      </c>
      <c r="W57" s="8"/>
      <c r="X57" s="8" t="str">
        <f>IFERROR(__xludf.DUMMYFUNCTION("""COMPUTED_VALUE"""),"有")</f>
        <v>有</v>
      </c>
      <c r="Y57" s="8" t="str">
        <f>IFERROR(__xludf.DUMMYFUNCTION("""COMPUTED_VALUE"""),"1巻目無料")</f>
        <v>1巻目無料</v>
      </c>
      <c r="Z57" s="7"/>
      <c r="AA57" s="7"/>
      <c r="AB57" s="7"/>
    </row>
    <row r="58" ht="15.75" customHeight="1">
      <c r="A58" s="8">
        <f>IFERROR(__xludf.DUMMYFUNCTION("""COMPUTED_VALUE"""),1543.0)</f>
        <v>1543</v>
      </c>
      <c r="B58" s="9" t="str">
        <f>IFERROR(__xludf.DUMMYFUNCTION("""COMPUTED_VALUE"""),"確定")</f>
        <v>確定</v>
      </c>
      <c r="C58" s="10">
        <f>IFERROR(__xludf.DUMMYFUNCTION("""COMPUTED_VALUE"""),44882.0)</f>
        <v>44882</v>
      </c>
      <c r="D58" s="10">
        <f>IFERROR(__xludf.DUMMYFUNCTION("""COMPUTED_VALUE"""),44901.0)</f>
        <v>44901</v>
      </c>
      <c r="E58" s="8">
        <f>IFERROR(__xludf.DUMMYFUNCTION("""COMPUTED_VALUE"""),258983.0)</f>
        <v>258983</v>
      </c>
      <c r="F58" s="9" t="str">
        <f>IFERROR(__xludf.DUMMYFUNCTION("""COMPUTED_VALUE"""),"カメレオンはてのひらに恋をする。【分冊版】")</f>
        <v>カメレオンはてのひらに恋をする。【分冊版】</v>
      </c>
      <c r="G58" s="11" t="str">
        <f>IFERROR(__xludf.DUMMYFUNCTION("""COMPUTED_VALUE"""),"1～3")</f>
        <v>1～3</v>
      </c>
      <c r="H58" s="8" t="str">
        <f>IFERROR(__xludf.DUMMYFUNCTION("""COMPUTED_VALUE"""),"厘てく")</f>
        <v>厘てく</v>
      </c>
      <c r="I58" s="8" t="str">
        <f>IFERROR(__xludf.DUMMYFUNCTION("""COMPUTED_VALUE"""),"BL")</f>
        <v>BL</v>
      </c>
      <c r="J58" s="8"/>
      <c r="K58" s="8"/>
      <c r="L58" s="8" t="str">
        <f>IFERROR(__xludf.DUMMYFUNCTION("""COMPUTED_VALUE"""),"スクウェア・エニックス")</f>
        <v>スクウェア・エニックス</v>
      </c>
      <c r="M58" s="12">
        <f>IFERROR(__xludf.DUMMYFUNCTION("""COMPUTED_VALUE"""),44927.0)</f>
        <v>44927</v>
      </c>
      <c r="N58" s="12">
        <f>IFERROR(__xludf.DUMMYFUNCTION("""COMPUTED_VALUE"""),44957.0)</f>
        <v>44957</v>
      </c>
      <c r="O58" s="11"/>
      <c r="P58" s="9" t="str">
        <f>IFERROR(__xludf.DUMMYFUNCTION("""COMPUTED_VALUE"""),"可")</f>
        <v>可</v>
      </c>
      <c r="Q58" s="8" t="str">
        <f>IFERROR(__xludf.DUMMYFUNCTION("""COMPUTED_VALUE"""),"広告コミットOK（11/24）")</f>
        <v>広告コミットOK（11/24）</v>
      </c>
      <c r="R58" s="9"/>
      <c r="S58" s="8" t="str">
        <f>IFERROR(__xludf.DUMMYFUNCTION("""COMPUTED_VALUE"""),"20221129_スクウェア・エニックス_カメレオンはてのひらに恋をする。【分冊版】")</f>
        <v>20221129_スクウェア・エニックス_カメレオンはてのひらに恋をする。【分冊版】</v>
      </c>
      <c r="T58" s="9"/>
      <c r="U58" s="9" t="str">
        <f>IFERROR(__xludf.DUMMYFUNCTION("""COMPUTED_VALUE"""),"©Rinteku/SQUARE ENIX
短縮形　©R/SQEX")</f>
        <v>©Rinteku/SQUARE ENIX
短縮形　©R/SQEX</v>
      </c>
      <c r="V58" s="8" t="str">
        <f>IFERROR(__xludf.DUMMYFUNCTION("""COMPUTED_VALUE"""),"【難聴の大学生×売れない俳優。手話を通じて心を繋げるハートフルラブストーリー。】
「何年も聴きたかった言葉を、出会ったばかりのお前から聴くなんて」――俳優の藤永（大学２年）は演技が大好きだが、オーディションに落ちまくってしまい、自信を失っていた。そんなときに先天性難聴のケイト（大学１年）に出会う。ケイトの第一言語は手話。藤永は手話に初めて触れるものの、これまで「伝えたい」という気持ちを人一倍持って演技し続けてきたため、手の動きを一目見ただけで読み取ることができた。そして、手話を身振り手振りでやってみること"&amp;"になるが、ケイトは藤永の感情表現を見て、その才能に驚かされる。「こんなに”目”で聴こえたの初めて。」――これは”伝えたい者同士”が手話で心を通わせていく、優しくて温かい恋の物語。
※この商品は「カメレオンはてのひらに恋をする。」を1話ごとに分冊したものです。
(C)2023 Rinteku")</f>
        <v>【難聴の大学生×売れない俳優。手話を通じて心を繋げるハートフルラブストーリー。】
「何年も聴きたかった言葉を、出会ったばかりのお前から聴くなんて」――俳優の藤永（大学２年）は演技が大好きだが、オーディションに落ちまくってしまい、自信を失っていた。そんなときに先天性難聴のケイト（大学１年）に出会う。ケイトの第一言語は手話。藤永は手話に初めて触れるものの、これまで「伝えたい」という気持ちを人一倍持って演技し続けてきたため、手の動きを一目見ただけで読み取ることができた。そして、手話を身振り手振りでやってみることになるが、ケイトは藤永の感情表現を見て、その才能に驚かされる。「こんなに”目”で聴こえたの初めて。」――これは”伝えたい者同士”が手話で心を通わせていく、優しくて温かい恋の物語。
※この商品は「カメレオンはてのひらに恋をする。」を1話ごとに分冊したものです。
(C)2023 Rinteku</v>
      </c>
      <c r="W58" s="8"/>
      <c r="X58" s="8" t="str">
        <f>IFERROR(__xludf.DUMMYFUNCTION("""COMPUTED_VALUE"""),"有")</f>
        <v>有</v>
      </c>
      <c r="Y58" s="8" t="str">
        <f>IFERROR(__xludf.DUMMYFUNCTION("""COMPUTED_VALUE"""),"1巻目無料")</f>
        <v>1巻目無料</v>
      </c>
      <c r="Z58" s="7"/>
      <c r="AA58" s="17"/>
      <c r="AB58" s="7"/>
    </row>
    <row r="59" ht="15.75" customHeight="1">
      <c r="A59" s="8">
        <f>IFERROR(__xludf.DUMMYFUNCTION("""COMPUTED_VALUE"""),1566.0)</f>
        <v>1566</v>
      </c>
      <c r="B59" s="9" t="str">
        <f>IFERROR(__xludf.DUMMYFUNCTION("""COMPUTED_VALUE"""),"確定")</f>
        <v>確定</v>
      </c>
      <c r="C59" s="10">
        <f>IFERROR(__xludf.DUMMYFUNCTION("""COMPUTED_VALUE"""),44894.0)</f>
        <v>44894</v>
      </c>
      <c r="D59" s="10">
        <f>IFERROR(__xludf.DUMMYFUNCTION("""COMPUTED_VALUE"""),44901.0)</f>
        <v>44901</v>
      </c>
      <c r="E59" s="8">
        <f>IFERROR(__xludf.DUMMYFUNCTION("""COMPUTED_VALUE"""),259345.0)</f>
        <v>259345</v>
      </c>
      <c r="F59" s="9" t="str">
        <f>IFERROR(__xludf.DUMMYFUNCTION("""COMPUTED_VALUE"""),"うちの上司が偽宦官で、後宮で秘密の溺愛生活しちゃってます")</f>
        <v>うちの上司が偽宦官で、後宮で秘密の溺愛生活しちゃってます</v>
      </c>
      <c r="G59" s="11" t="str">
        <f>IFERROR(__xludf.DUMMYFUNCTION("""COMPUTED_VALUE"""),"1～3")</f>
        <v>1～3</v>
      </c>
      <c r="H59" s="8" t="str">
        <f>IFERROR(__xludf.DUMMYFUNCTION("""COMPUTED_VALUE"""),"あづみ悠羽／葉月エリカ／YUGE")</f>
        <v>あづみ悠羽／葉月エリカ／YUGE</v>
      </c>
      <c r="I59" s="14" t="str">
        <f>IFERROR(__xludf.DUMMYFUNCTION("""COMPUTED_VALUE"""),"少女")</f>
        <v>少女</v>
      </c>
      <c r="J59" s="8"/>
      <c r="K59" s="8"/>
      <c r="L59" s="8" t="str">
        <f>IFERROR(__xludf.DUMMYFUNCTION("""COMPUTED_VALUE"""),"集英社")</f>
        <v>集英社</v>
      </c>
      <c r="M59" s="12">
        <f>IFERROR(__xludf.DUMMYFUNCTION("""COMPUTED_VALUE"""),44927.0)</f>
        <v>44927</v>
      </c>
      <c r="N59" s="12">
        <f>IFERROR(__xludf.DUMMYFUNCTION("""COMPUTED_VALUE"""),44957.0)</f>
        <v>44957</v>
      </c>
      <c r="O59" s="11"/>
      <c r="P59" s="9" t="str">
        <f>IFERROR(__xludf.DUMMYFUNCTION("""COMPUTED_VALUE"""),"否")</f>
        <v>否</v>
      </c>
      <c r="Q59" s="8"/>
      <c r="R59" s="9"/>
      <c r="S59" s="8" t="str">
        <f>IFERROR(__xludf.DUMMYFUNCTION("""COMPUTED_VALUE"""),"20221129_集英社_うちの上司が偽宦官")</f>
        <v>20221129_集英社_うちの上司が偽宦官</v>
      </c>
      <c r="T59" s="9"/>
      <c r="U59" s="9" t="str">
        <f>IFERROR(__xludf.DUMMYFUNCTION("""COMPUTED_VALUE"""),"©あづみ悠羽・葉月エリカ・YUGE／集英社")</f>
        <v>©あづみ悠羽・葉月エリカ・YUGE／集英社</v>
      </c>
      <c r="V59" s="8" t="str">
        <f>IFERROR(__xludf.DUMMYFUNCTION("""COMPUTED_VALUE"""),"【超絶美形に迫られて、愛される――！】高齢の皇帝から夜伽の指名をされた、後宮のお針子の凛玲（りんれい）。しかし、いざ本番というときに皇帝は急死してしまう。一夜とはいえお手つきとなれば、皇帝の墓に一緒に入ることになるのが掟だが、美形宦官の耀颯（ようそう）が凛玲の身体検査をして生娘であることを証明することになった。そして彼は、凛玲に対してムラムラする気持ちをぶつけてきて…!?")</f>
        <v>【超絶美形に迫られて、愛される――！】高齢の皇帝から夜伽の指名をされた、後宮のお針子の凛玲（りんれい）。しかし、いざ本番というときに皇帝は急死してしまう。一夜とはいえお手つきとなれば、皇帝の墓に一緒に入ることになるのが掟だが、美形宦官の耀颯（ようそう）が凛玲の身体検査をして生娘であることを証明することになった。そして彼は、凛玲に対してムラムラする気持ちをぶつけてきて…!?</v>
      </c>
      <c r="W59" s="8"/>
      <c r="X59" s="8" t="str">
        <f>IFERROR(__xludf.DUMMYFUNCTION("""COMPUTED_VALUE"""),"有")</f>
        <v>有</v>
      </c>
      <c r="Y59" s="8" t="str">
        <f>IFERROR(__xludf.DUMMYFUNCTION("""COMPUTED_VALUE"""),"P7まで")</f>
        <v>P7まで</v>
      </c>
      <c r="Z59" s="7"/>
      <c r="AA59" s="7"/>
      <c r="AB59" s="7"/>
    </row>
    <row r="60" ht="154.5" customHeight="1">
      <c r="A60" s="8">
        <f>IFERROR(__xludf.DUMMYFUNCTION("""COMPUTED_VALUE"""),1502.0)</f>
        <v>1502</v>
      </c>
      <c r="B60" s="9" t="str">
        <f>IFERROR(__xludf.DUMMYFUNCTION("""COMPUTED_VALUE"""),"確定")</f>
        <v>確定</v>
      </c>
      <c r="C60" s="10">
        <f>IFERROR(__xludf.DUMMYFUNCTION("""COMPUTED_VALUE"""),44872.0)</f>
        <v>44872</v>
      </c>
      <c r="D60" s="10">
        <f>IFERROR(__xludf.DUMMYFUNCTION("""COMPUTED_VALUE"""),44901.0)</f>
        <v>44901</v>
      </c>
      <c r="E60" s="8">
        <f>IFERROR(__xludf.DUMMYFUNCTION("""COMPUTED_VALUE"""),259157.0)</f>
        <v>259157</v>
      </c>
      <c r="F60" s="9" t="str">
        <f>IFERROR(__xludf.DUMMYFUNCTION("""COMPUTED_VALUE"""),"エリート幼なじみの本性は一途で初恋を拗らせている【分冊版】")</f>
        <v>エリート幼なじみの本性は一途で初恋を拗らせている【分冊版】</v>
      </c>
      <c r="G60" s="11" t="str">
        <f>IFERROR(__xludf.DUMMYFUNCTION("""COMPUTED_VALUE"""),"1～2")</f>
        <v>1～2</v>
      </c>
      <c r="H60" s="8" t="str">
        <f>IFERROR(__xludf.DUMMYFUNCTION("""COMPUTED_VALUE"""),"作画：とばりちよ / 原作：南ひかり")</f>
        <v>作画：とばりちよ / 原作：南ひかり</v>
      </c>
      <c r="I60" s="8" t="str">
        <f>IFERROR(__xludf.DUMMYFUNCTION("""COMPUTED_VALUE"""),"TL")</f>
        <v>TL</v>
      </c>
      <c r="J60" s="8"/>
      <c r="K60" s="8"/>
      <c r="L60" s="8" t="str">
        <f>IFERROR(__xludf.DUMMYFUNCTION("""COMPUTED_VALUE"""),"笠倉出版社")</f>
        <v>笠倉出版社</v>
      </c>
      <c r="M60" s="12">
        <f>IFERROR(__xludf.DUMMYFUNCTION("""COMPUTED_VALUE"""),44932.0)</f>
        <v>44932</v>
      </c>
      <c r="N60" s="12">
        <f>IFERROR(__xludf.DUMMYFUNCTION("""COMPUTED_VALUE"""),44959.0)</f>
        <v>44959</v>
      </c>
      <c r="O60" s="11"/>
      <c r="P60" s="9" t="str">
        <f>IFERROR(__xludf.DUMMYFUNCTION("""COMPUTED_VALUE"""),"可")</f>
        <v>可</v>
      </c>
      <c r="Q60" s="8" t="str">
        <f>IFERROR(__xludf.DUMMYFUNCTION("""COMPUTED_VALUE"""),"1118素材格納")</f>
        <v>1118素材格納</v>
      </c>
      <c r="R60" s="9"/>
      <c r="S60" s="8" t="str">
        <f>IFERROR(__xludf.DUMMYFUNCTION("""COMPUTED_VALUE"""),"20221118_笠倉出版社_エリート幼馴染")</f>
        <v>20221118_笠倉出版社_エリート幼馴染</v>
      </c>
      <c r="T60" s="9"/>
      <c r="U60" s="9" t="str">
        <f>IFERROR(__xludf.DUMMYFUNCTION("""COMPUTED_VALUE"""),"©とばりちよ・南ひかり/笠倉出版社")</f>
        <v>©とばりちよ・南ひかり/笠倉出版社</v>
      </c>
      <c r="V60" s="8" t="str">
        <f>IFERROR(__xludf.DUMMYFUNCTION("""COMPUTED_VALUE"""),"「俺はもうお前を逃すつもりはねえぞ」肌の上をゆっくりと指先でなぞられるたび切なくなる身体。熱い舌で胸の先をクリクリと弄られるたび、とろけちゃいそう…。下着はぐしょぐしょで、幼なじみの前で乱れるのは恥ずかしくてたまらないのに…私、絢冬にもっと触ってもらいたいと思ってるーー…。人から触れられるのが苦手で、恋も諦めていた私。だけど同僚の結婚をきっかけに前向きに考えるように。諦めずに探していたら、触っても大丈夫な人に出会えるかもしれない。そう言ったら、幼なじみの絢冬はなんだか不機嫌そう。挙句の果てにまずは俺と試し"&amp;"てみろと言い出して…。その日を境に幼なじみの求愛が止まらない！？しかも職場も一緒で家も隣…って、もしかしてもう逃げられないの！？長年拗らせた初恋は甘いだけでは終わらない！ハイスペック幼なじみとの執着ピュアラブ！")</f>
        <v>「俺はもうお前を逃すつもりはねえぞ」肌の上をゆっくりと指先でなぞられるたび切なくなる身体。熱い舌で胸の先をクリクリと弄られるたび、とろけちゃいそう…。下着はぐしょぐしょで、幼なじみの前で乱れるのは恥ずかしくてたまらないのに…私、絢冬にもっと触ってもらいたいと思ってるーー…。人から触れられるのが苦手で、恋も諦めていた私。だけど同僚の結婚をきっかけに前向きに考えるように。諦めずに探していたら、触っても大丈夫な人に出会えるかもしれない。そう言ったら、幼なじみの絢冬はなんだか不機嫌そう。挙句の果てにまずは俺と試してみろと言い出して…。その日を境に幼なじみの求愛が止まらない！？しかも職場も一緒で家も隣…って、もしかしてもう逃げられないの！？長年拗らせた初恋は甘いだけでは終わらない！ハイスペック幼なじみとの執着ピュアラブ！</v>
      </c>
      <c r="W60" s="8"/>
      <c r="X60" s="8" t="str">
        <f>IFERROR(__xludf.DUMMYFUNCTION("""COMPUTED_VALUE"""),"有")</f>
        <v>有</v>
      </c>
      <c r="Y60" s="18" t="str">
        <f>IFERROR(__xludf.DUMMYFUNCTION("""COMPUTED_VALUE"""),"P6まで")</f>
        <v>P6まで</v>
      </c>
      <c r="Z60" s="7"/>
      <c r="AA60" s="7"/>
      <c r="AB60" s="7"/>
    </row>
    <row r="61" ht="152.25" customHeight="1">
      <c r="A61" s="8">
        <f>IFERROR(__xludf.DUMMYFUNCTION("""COMPUTED_VALUE"""),1503.0)</f>
        <v>1503</v>
      </c>
      <c r="B61" s="9" t="str">
        <f>IFERROR(__xludf.DUMMYFUNCTION("""COMPUTED_VALUE"""),"確定後最新化")</f>
        <v>確定後最新化</v>
      </c>
      <c r="C61" s="10">
        <f>IFERROR(__xludf.DUMMYFUNCTION("""COMPUTED_VALUE"""),44872.0)</f>
        <v>44872</v>
      </c>
      <c r="D61" s="10">
        <f>IFERROR(__xludf.DUMMYFUNCTION("""COMPUTED_VALUE"""),44901.0)</f>
        <v>44901</v>
      </c>
      <c r="E61" s="8">
        <f>IFERROR(__xludf.DUMMYFUNCTION("""COMPUTED_VALUE"""),259158.0)</f>
        <v>259158</v>
      </c>
      <c r="F61" s="9" t="str">
        <f>IFERROR(__xludf.DUMMYFUNCTION("""COMPUTED_VALUE"""),"淫魔上司は不器用な溺愛男子～インキュバスが魅せる激甘淫夢は人外の快感～【分冊版】")</f>
        <v>淫魔上司は不器用な溺愛男子～インキュバスが魅せる激甘淫夢は人外の快感～【分冊版】</v>
      </c>
      <c r="G61" s="11" t="str">
        <f>IFERROR(__xludf.DUMMYFUNCTION("""COMPUTED_VALUE"""),"1～2")</f>
        <v>1～2</v>
      </c>
      <c r="H61" s="8" t="str">
        <f>IFERROR(__xludf.DUMMYFUNCTION("""COMPUTED_VALUE"""),"作画：東雲瑞稀 / 原作：さくら蒼")</f>
        <v>作画：東雲瑞稀 / 原作：さくら蒼</v>
      </c>
      <c r="I61" s="8" t="str">
        <f>IFERROR(__xludf.DUMMYFUNCTION("""COMPUTED_VALUE"""),"TL")</f>
        <v>TL</v>
      </c>
      <c r="J61" s="8"/>
      <c r="K61" s="8"/>
      <c r="L61" s="8" t="str">
        <f>IFERROR(__xludf.DUMMYFUNCTION("""COMPUTED_VALUE"""),"笠倉出版社")</f>
        <v>笠倉出版社</v>
      </c>
      <c r="M61" s="12">
        <f>IFERROR(__xludf.DUMMYFUNCTION("""COMPUTED_VALUE"""),44932.0)</f>
        <v>44932</v>
      </c>
      <c r="N61" s="12">
        <f>IFERROR(__xludf.DUMMYFUNCTION("""COMPUTED_VALUE"""),44959.0)</f>
        <v>44959</v>
      </c>
      <c r="O61" s="11"/>
      <c r="P61" s="9" t="str">
        <f>IFERROR(__xludf.DUMMYFUNCTION("""COMPUTED_VALUE"""),"可")</f>
        <v>可</v>
      </c>
      <c r="Q61" s="8" t="str">
        <f>IFERROR(__xludf.DUMMYFUNCTION("""COMPUTED_VALUE"""),"11/30　素材格納")</f>
        <v>11/30　素材格納</v>
      </c>
      <c r="R61" s="9"/>
      <c r="S61" s="8" t="str">
        <f>IFERROR(__xludf.DUMMYFUNCTION("""COMPUTED_VALUE"""),"20221130_笠倉出版社_淫魔上司は不器用な溺愛男子")</f>
        <v>20221130_笠倉出版社_淫魔上司は不器用な溺愛男子</v>
      </c>
      <c r="T61" s="9"/>
      <c r="U61" s="9" t="str">
        <f>IFERROR(__xludf.DUMMYFUNCTION("""COMPUTED_VALUE"""),"©東雲瑞稀・さくら蒼/笠倉出版社")</f>
        <v>©東雲瑞稀・さくら蒼/笠倉出版社</v>
      </c>
      <c r="V61" s="8" t="str">
        <f>IFERROR(__xludf.DUMMYFUNCTION("""COMPUTED_VALUE"""),"「湿ってる…」半年前からいわゆる淫夢を見る。私は昔から男の人に体目当てで言い寄られることが多かった。だから、男の人は苦手なはずなのに…。相手は転職先の上司の有音さん。凄く素敵な人で、私をいやらしい目で見ることも無い…。憧れをこじらせちゃったのかな。「オレの誘惑が効かないなんてさすがだな」彼女は男を残らず惹きつける精気の持ち主。極上の餌だ。夢だけでこれだけ美味しいのだから、現実では…。しかし、淫魔のオレの誘惑が効かない。しかも、逆に俺を誘惑しているのか!? なんだこの感覚…上司の有音の正体はインキュバス。極"&amp;"上の精気を持つ紗良を狙うが、夢で精気を吸うのみで、現実ではなぜかうまくいかない…インキュバス×陰キャOLの溺愛オフィスラブ開幕!!")</f>
        <v>「湿ってる…」半年前からいわゆる淫夢を見る。私は昔から男の人に体目当てで言い寄られることが多かった。だから、男の人は苦手なはずなのに…。相手は転職先の上司の有音さん。凄く素敵な人で、私をいやらしい目で見ることも無い…。憧れをこじらせちゃったのかな。「オレの誘惑が効かないなんてさすがだな」彼女は男を残らず惹きつける精気の持ち主。極上の餌だ。夢だけでこれだけ美味しいのだから、現実では…。しかし、淫魔のオレの誘惑が効かない。しかも、逆に俺を誘惑しているのか!? なんだこの感覚…上司の有音の正体はインキュバス。極上の精気を持つ紗良を狙うが、夢で精気を吸うのみで、現実ではなぜかうまくいかない…インキュバス×陰キャOLの溺愛オフィスラブ開幕!!</v>
      </c>
      <c r="W61" s="8"/>
      <c r="X61" s="8" t="str">
        <f>IFERROR(__xludf.DUMMYFUNCTION("""COMPUTED_VALUE"""),"有")</f>
        <v>有</v>
      </c>
      <c r="Y61" s="8" t="str">
        <f>IFERROR(__xludf.DUMMYFUNCTION("""COMPUTED_VALUE"""),"P6まで")</f>
        <v>P6まで</v>
      </c>
      <c r="Z61" s="17"/>
      <c r="AA61" s="7"/>
      <c r="AB61" s="7"/>
    </row>
    <row r="62" ht="241.5" customHeight="1">
      <c r="A62" s="8">
        <f>IFERROR(__xludf.DUMMYFUNCTION("""COMPUTED_VALUE"""),1525.0)</f>
        <v>1525</v>
      </c>
      <c r="B62" s="9" t="str">
        <f>IFERROR(__xludf.DUMMYFUNCTION("""COMPUTED_VALUE"""),"確定")</f>
        <v>確定</v>
      </c>
      <c r="C62" s="10">
        <f>IFERROR(__xludf.DUMMYFUNCTION("""COMPUTED_VALUE"""),44879.0)</f>
        <v>44879</v>
      </c>
      <c r="D62" s="10">
        <f>IFERROR(__xludf.DUMMYFUNCTION("""COMPUTED_VALUE"""),44901.0)</f>
        <v>44901</v>
      </c>
      <c r="E62" s="8">
        <f>IFERROR(__xludf.DUMMYFUNCTION("""COMPUTED_VALUE"""),259159.0)</f>
        <v>259159</v>
      </c>
      <c r="F62" s="9" t="str">
        <f>IFERROR(__xludf.DUMMYFUNCTION("""COMPUTED_VALUE"""),"暗殺者は皇帝の華になる")</f>
        <v>暗殺者は皇帝の華になる</v>
      </c>
      <c r="G62" s="11" t="str">
        <f>IFERROR(__xludf.DUMMYFUNCTION("""COMPUTED_VALUE"""),"1～2")</f>
        <v>1～2</v>
      </c>
      <c r="H62" s="8" t="str">
        <f>IFERROR(__xludf.DUMMYFUNCTION("""COMPUTED_VALUE"""),"BLスキップ┴INK┴キミトワ編集部")</f>
        <v>BLスキップ┴INK┴キミトワ編集部</v>
      </c>
      <c r="I62" s="8" t="str">
        <f>IFERROR(__xludf.DUMMYFUNCTION("""COMPUTED_VALUE"""),"BL")</f>
        <v>BL</v>
      </c>
      <c r="J62" s="8"/>
      <c r="K62" s="8"/>
      <c r="L62" s="8" t="str">
        <f>IFERROR(__xludf.DUMMYFUNCTION("""COMPUTED_VALUE"""),"ライブコミックス")</f>
        <v>ライブコミックス</v>
      </c>
      <c r="M62" s="12">
        <f>IFERROR(__xludf.DUMMYFUNCTION("""COMPUTED_VALUE"""),44932.0)</f>
        <v>44932</v>
      </c>
      <c r="N62" s="12">
        <f>IFERROR(__xludf.DUMMYFUNCTION("""COMPUTED_VALUE"""),44959.0)</f>
        <v>44959</v>
      </c>
      <c r="O62" s="11"/>
      <c r="P62" s="9" t="str">
        <f>IFERROR(__xludf.DUMMYFUNCTION("""COMPUTED_VALUE"""),"可")</f>
        <v>可</v>
      </c>
      <c r="Q62" s="8" t="str">
        <f>IFERROR(__xludf.DUMMYFUNCTION("""COMPUTED_VALUE"""),"BookLiveからの二次先行です。&lt;BR&gt;ライブコミックス・COMICエトワールではありますが、BLとして配信します。&lt;BR&gt;トレンドであり堅い人気を誇る中華BL、かつフルカラーで、ユーザの目を引くものと思います。&lt;BR&gt;「冷酷な皇帝（攻）×健気暗殺者（受）」のカップリングです。&lt;BR&gt;2話は未写植です。")</f>
        <v>BookLiveからの二次先行です。&lt;BR&gt;ライブコミックス・COMICエトワールではありますが、BLとして配信します。&lt;BR&gt;トレンドであり堅い人気を誇る中華BL、かつフルカラーで、ユーザの目を引くものと思います。&lt;BR&gt;「冷酷な皇帝（攻）×健気暗殺者（受）」のカップリングです。&lt;BR&gt;2話は未写植です。</v>
      </c>
      <c r="R62" s="9"/>
      <c r="S62" s="8" t="str">
        <f>IFERROR(__xludf.DUMMYFUNCTION("""COMPUTED_VALUE"""),"20221114_BookLive_暗殺者は皇帝の華になる")</f>
        <v>20221114_BookLive_暗殺者は皇帝の華になる</v>
      </c>
      <c r="T62" s="9"/>
      <c r="U62" s="9" t="str">
        <f>IFERROR(__xludf.DUMMYFUNCTION("""COMPUTED_VALUE"""),"©BLスキップ/ライブコミックス")</f>
        <v>©BLスキップ/ライブコミックス</v>
      </c>
      <c r="V62" s="8" t="str">
        <f>IFERROR(__xludf.DUMMYFUNCTION("""COMPUTED_VALUE"""),"冷酷無慈悲な叡帝（えいてい）によって祖国を滅ぼされ、親友を殺された李静（りじん）。なんとしても憎き叡帝を殺すため、李静は女装し、楽人として宮廷の宴に忍び込む。思惑通り夜伽相手に選ばれ、叡帝の部屋に乗り込んだ李静だったが、叡帝には刺客であると気づかれていた！しかも、男だとバレてしまい――…「ほら雨（あめ）、啼（な）いてみせろ」皇帝は李静を”雨”と名付け寵愛する。彼がその名を李静に与えたわけとは…。愛と憎しみ、執着と謎が交錯する後宮で今、運命に復讐する物語が始まる。映像クリエイター集団「BLスキップ」によるフ"&amp;"ルカラー後宮BL！")</f>
        <v>冷酷無慈悲な叡帝（えいてい）によって祖国を滅ぼされ、親友を殺された李静（りじん）。なんとしても憎き叡帝を殺すため、李静は女装し、楽人として宮廷の宴に忍び込む。思惑通り夜伽相手に選ばれ、叡帝の部屋に乗り込んだ李静だったが、叡帝には刺客であると気づかれていた！しかも、男だとバレてしまい――…「ほら雨（あめ）、啼（な）いてみせろ」皇帝は李静を”雨”と名付け寵愛する。彼がその名を李静に与えたわけとは…。愛と憎しみ、執着と謎が交錯する後宮で今、運命に復讐する物語が始まる。映像クリエイター集団「BLスキップ」によるフルカラー後宮BL！</v>
      </c>
      <c r="W62" s="8"/>
      <c r="X62" s="8" t="str">
        <f>IFERROR(__xludf.DUMMYFUNCTION("""COMPUTED_VALUE"""),"有")</f>
        <v>有</v>
      </c>
      <c r="Y62" s="8" t="str">
        <f>IFERROR(__xludf.DUMMYFUNCTION("""COMPUTED_VALUE"""),"P10まで")</f>
        <v>P10まで</v>
      </c>
      <c r="Z62" s="7"/>
      <c r="AA62" s="7"/>
      <c r="AB62" s="7"/>
    </row>
    <row r="63" ht="241.5" customHeight="1">
      <c r="A63" s="8">
        <f>IFERROR(__xludf.DUMMYFUNCTION("""COMPUTED_VALUE"""),1576.0)</f>
        <v>1576</v>
      </c>
      <c r="B63" s="9" t="str">
        <f>IFERROR(__xludf.DUMMYFUNCTION("""COMPUTED_VALUE"""),"確定")</f>
        <v>確定</v>
      </c>
      <c r="C63" s="10">
        <f>IFERROR(__xludf.DUMMYFUNCTION("""COMPUTED_VALUE"""),44901.0)</f>
        <v>44901</v>
      </c>
      <c r="D63" s="10">
        <f>IFERROR(__xludf.DUMMYFUNCTION("""COMPUTED_VALUE"""),44901.0)</f>
        <v>44901</v>
      </c>
      <c r="E63" s="8">
        <f>IFERROR(__xludf.DUMMYFUNCTION("""COMPUTED_VALUE"""),258548.0)</f>
        <v>258548</v>
      </c>
      <c r="F63" s="9" t="str">
        <f>IFERROR(__xludf.DUMMYFUNCTION("""COMPUTED_VALUE"""),"ドキドキペアリング")</f>
        <v>ドキドキペアリング</v>
      </c>
      <c r="G63" s="11" t="str">
        <f>IFERROR(__xludf.DUMMYFUNCTION("""COMPUTED_VALUE"""),"1～3")</f>
        <v>1～3</v>
      </c>
      <c r="H63" s="8" t="str">
        <f>IFERROR(__xludf.DUMMYFUNCTION("""COMPUTED_VALUE"""),"Secret service/SSAEM")</f>
        <v>Secret service/SSAEM</v>
      </c>
      <c r="I63" s="8" t="str">
        <f>IFERROR(__xludf.DUMMYFUNCTION("""COMPUTED_VALUE"""),"青年")</f>
        <v>青年</v>
      </c>
      <c r="J63" s="8"/>
      <c r="K63" s="8"/>
      <c r="L63" s="8" t="str">
        <f>IFERROR(__xludf.DUMMYFUNCTION("""COMPUTED_VALUE"""),"Rush!")</f>
        <v>Rush!</v>
      </c>
      <c r="M63" s="12">
        <f>IFERROR(__xludf.DUMMYFUNCTION("""COMPUTED_VALUE"""),44932.0)</f>
        <v>44932</v>
      </c>
      <c r="N63" s="12">
        <f>IFERROR(__xludf.DUMMYFUNCTION("""COMPUTED_VALUE"""),45022.0)</f>
        <v>45022</v>
      </c>
      <c r="O63" s="11"/>
      <c r="P63" s="9" t="str">
        <f>IFERROR(__xludf.DUMMYFUNCTION("""COMPUTED_VALUE"""),"可")</f>
        <v>可</v>
      </c>
      <c r="Q63" s="8" t="str">
        <f>IFERROR(__xludf.DUMMYFUNCTION("""COMPUTED_VALUE"""),"協業レーベル『シーモア×Rush!』作品です。")</f>
        <v>協業レーベル『シーモア×Rush!』作品です。</v>
      </c>
      <c r="R63" s="9"/>
      <c r="S63" s="8" t="str">
        <f>IFERROR(__xludf.DUMMYFUNCTION("""COMPUTED_VALUE"""),"20221206_ファンギルド_ドキドキペアリング")</f>
        <v>20221206_ファンギルド_ドキドキペアリング</v>
      </c>
      <c r="T63" s="9"/>
      <c r="U63" s="9" t="str">
        <f>IFERROR(__xludf.DUMMYFUNCTION("""COMPUTED_VALUE"""),"©Secret service/SSAEM/TOPTOON")</f>
        <v>©Secret service/SSAEM/TOPTOON</v>
      </c>
      <c r="V63" s="8" t="str">
        <f>IFERROR(__xludf.DUMMYFUNCTION("""COMPUTED_VALUE"""),"巨根の童貞・順太郎はある日、家のWi-Fi速度が遅い事に気付く。誰かが無断で接続してるのかも…とパスワードを変更すると――、「Wi-Fiのパスワードを教えろ！」と隣に住む女が突撃してきた！？教えるつもりは微塵もなかったのに、思わぬハプニングでパスワードを共有することに…。そして後日、再び部屋を訪れてきた例の迷惑女は、こう口にした。「アソコが20cmって…本当ですか？」軽い気持ちで設定したパスワードが巻き起こす、想定外のドキドキハプニング！？")</f>
        <v>巨根の童貞・順太郎はある日、家のWi-Fi速度が遅い事に気付く。誰かが無断で接続してるのかも…とパスワードを変更すると――、「Wi-Fiのパスワードを教えろ！」と隣に住む女が突撃してきた！？教えるつもりは微塵もなかったのに、思わぬハプニングでパスワードを共有することに…。そして後日、再び部屋を訪れてきた例の迷惑女は、こう口にした。「アソコが20cmって…本当ですか？」軽い気持ちで設定したパスワードが巻き起こす、想定外のドキドキハプニング！？</v>
      </c>
      <c r="W63" s="8"/>
      <c r="X63" s="8" t="str">
        <f>IFERROR(__xludf.DUMMYFUNCTION("""COMPUTED_VALUE"""),"有")</f>
        <v>有</v>
      </c>
      <c r="Y63" s="8" t="str">
        <f>IFERROR(__xludf.DUMMYFUNCTION("""COMPUTED_VALUE"""),"P14まで")</f>
        <v>P14まで</v>
      </c>
      <c r="Z63" s="7"/>
      <c r="AA63" s="7"/>
      <c r="AB63" s="7"/>
    </row>
    <row r="64" ht="174.0" customHeight="1">
      <c r="A64" s="8">
        <f>IFERROR(__xludf.DUMMYFUNCTION("""COMPUTED_VALUE"""),1519.0)</f>
        <v>1519</v>
      </c>
      <c r="B64" s="9" t="str">
        <f>IFERROR(__xludf.DUMMYFUNCTION("""COMPUTED_VALUE"""),"確定")</f>
        <v>確定</v>
      </c>
      <c r="C64" s="10">
        <f>IFERROR(__xludf.DUMMYFUNCTION("""COMPUTED_VALUE"""),44876.0)</f>
        <v>44876</v>
      </c>
      <c r="D64" s="10">
        <f>IFERROR(__xludf.DUMMYFUNCTION("""COMPUTED_VALUE"""),44901.0)</f>
        <v>44901</v>
      </c>
      <c r="E64" s="8">
        <f>IFERROR(__xludf.DUMMYFUNCTION("""COMPUTED_VALUE"""),259244.0)</f>
        <v>259244</v>
      </c>
      <c r="F64" s="9" t="str">
        <f>IFERROR(__xludf.DUMMYFUNCTION("""COMPUTED_VALUE"""),"結婚しましょう、恋する前に")</f>
        <v>結婚しましょう、恋する前に</v>
      </c>
      <c r="G64" s="11" t="str">
        <f>IFERROR(__xludf.DUMMYFUNCTION("""COMPUTED_VALUE"""),"1～3")</f>
        <v>1～3</v>
      </c>
      <c r="H64" s="8" t="str">
        <f>IFERROR(__xludf.DUMMYFUNCTION("""COMPUTED_VALUE"""),"宮園いづみ")</f>
        <v>宮園いづみ</v>
      </c>
      <c r="I64" s="8" t="str">
        <f>IFERROR(__xludf.DUMMYFUNCTION("""COMPUTED_VALUE"""),"女性")</f>
        <v>女性</v>
      </c>
      <c r="J64" s="8"/>
      <c r="K64" s="8"/>
      <c r="L64" s="8" t="str">
        <f>IFERROR(__xludf.DUMMYFUNCTION("""COMPUTED_VALUE"""),"小学館")</f>
        <v>小学館</v>
      </c>
      <c r="M64" s="12">
        <f>IFERROR(__xludf.DUMMYFUNCTION("""COMPUTED_VALUE"""),44933.0)</f>
        <v>44933</v>
      </c>
      <c r="N64" s="12">
        <f>IFERROR(__xludf.DUMMYFUNCTION("""COMPUTED_VALUE"""),44992.0)</f>
        <v>44992</v>
      </c>
      <c r="O64" s="11"/>
      <c r="P64" s="9" t="str">
        <f>IFERROR(__xludf.DUMMYFUNCTION("""COMPUTED_VALUE"""),"否")</f>
        <v>否</v>
      </c>
      <c r="Q64" s="8" t="str">
        <f>IFERROR(__xludf.DUMMYFUNCTION("""COMPUTED_VALUE"""),"1130更新：1-2話分の素材をいただきましたので、こちらで制作をお願いします。&lt;BR&gt;----------&lt;BR&gt;広告コミットOK（11/17）")</f>
        <v>1130更新：1-2話分の素材をいただきましたので、こちらで制作をお願いします。&lt;BR&gt;----------&lt;BR&gt;広告コミットOK（11/17）</v>
      </c>
      <c r="R64" s="9"/>
      <c r="S64" s="8" t="str">
        <f>IFERROR(__xludf.DUMMYFUNCTION("""COMPUTED_VALUE"""),"20221130_小学館_結婚しましょう、恋する前に")</f>
        <v>20221130_小学館_結婚しましょう、恋する前に</v>
      </c>
      <c r="T64" s="9"/>
      <c r="U64" s="9" t="str">
        <f>IFERROR(__xludf.DUMMYFUNCTION("""COMPUTED_VALUE"""),"©宮園いづみ / 小学館")</f>
        <v>©宮園いづみ / 小学館</v>
      </c>
      <c r="V64" s="8" t="str">
        <f>IFERROR(__xludf.DUMMYFUNCTION("""COMPUTED_VALUE"""),"250万部超えのメガヒット作『突然ですが、明日結婚します』の宮園いづみ、最新作！
恋よりも先に結婚が始まる？？
水無瀬夏来はある日、勤めている法律事務所のイケメンエース弁護士・篁から求婚される。
夏来は篁とは付き合っていない。驚く夏来に対し、篁は「君のことは好きではないけれど、結婚するなら君が良い」と告げられる。
これは契約結婚？それとも偽装結婚？？
意味がわからない夏来に対し、その日から篁の驚くべきアプローチが始まった…！！
月刊「プチコミック」にて早くも超人気！！結婚の前に恋がしたい女ＶＳ恋愛ナシで結"&amp;"婚したい男の、胸キュンすぎる両片想い契約結婚ラブ開幕！")</f>
        <v>250万部超えのメガヒット作『突然ですが、明日結婚します』の宮園いづみ、最新作！
恋よりも先に結婚が始まる？？
水無瀬夏来はある日、勤めている法律事務所のイケメンエース弁護士・篁から求婚される。
夏来は篁とは付き合っていない。驚く夏来に対し、篁は「君のことは好きではないけれど、結婚するなら君が良い」と告げられる。
これは契約結婚？それとも偽装結婚？？
意味がわからない夏来に対し、その日から篁の驚くべきアプローチが始まった…！！
月刊「プチコミック」にて早くも超人気！！結婚の前に恋がしたい女ＶＳ恋愛ナシで結婚したい男の、胸キュンすぎる両片想い契約結婚ラブ開幕！</v>
      </c>
      <c r="W64" s="8"/>
      <c r="X64" s="8" t="str">
        <f>IFERROR(__xludf.DUMMYFUNCTION("""COMPUTED_VALUE"""),"有")</f>
        <v>有</v>
      </c>
      <c r="Y64" s="8" t="str">
        <f>IFERROR(__xludf.DUMMYFUNCTION("""COMPUTED_VALUE"""),"P28まで")</f>
        <v>P28まで</v>
      </c>
      <c r="Z64" s="7"/>
      <c r="AA64" s="7"/>
      <c r="AB64" s="7"/>
    </row>
    <row r="65" ht="160.5" customHeight="1">
      <c r="A65" s="8">
        <f>IFERROR(__xludf.DUMMYFUNCTION("""COMPUTED_VALUE"""),1590.0)</f>
        <v>1590</v>
      </c>
      <c r="B65" s="9" t="str">
        <f>IFERROR(__xludf.DUMMYFUNCTION("""COMPUTED_VALUE"""),"確定後最新化")</f>
        <v>確定後最新化</v>
      </c>
      <c r="C65" s="10">
        <f>IFERROR(__xludf.DUMMYFUNCTION("""COMPUTED_VALUE"""),44908.0)</f>
        <v>44908</v>
      </c>
      <c r="D65" s="10">
        <f>IFERROR(__xludf.DUMMYFUNCTION("""COMPUTED_VALUE"""),44915.0)</f>
        <v>44915</v>
      </c>
      <c r="E65" s="8">
        <f>IFERROR(__xludf.DUMMYFUNCTION("""COMPUTED_VALUE"""),259573.0)</f>
        <v>259573</v>
      </c>
      <c r="F65" s="9" t="str">
        <f>IFERROR(__xludf.DUMMYFUNCTION("""COMPUTED_VALUE"""),"結婚って何なんですか？")</f>
        <v>結婚って何なんですか？</v>
      </c>
      <c r="G65" s="11" t="str">
        <f>IFERROR(__xludf.DUMMYFUNCTION("""COMPUTED_VALUE"""),"1～26")</f>
        <v>1～26</v>
      </c>
      <c r="H65" s="8" t="str">
        <f>IFERROR(__xludf.DUMMYFUNCTION("""COMPUTED_VALUE"""),"猫こたつ┴おはぎもち┴やまだ田中")</f>
        <v>猫こたつ┴おはぎもち┴やまだ田中</v>
      </c>
      <c r="I65" s="8" t="str">
        <f>IFERROR(__xludf.DUMMYFUNCTION("""COMPUTED_VALUE"""),"女性")</f>
        <v>女性</v>
      </c>
      <c r="J65" s="8"/>
      <c r="K65" s="8"/>
      <c r="L65" s="8" t="str">
        <f>IFERROR(__xludf.DUMMYFUNCTION("""COMPUTED_VALUE"""),"HykeComic")</f>
        <v>HykeComic</v>
      </c>
      <c r="M65" s="12">
        <f>IFERROR(__xludf.DUMMYFUNCTION("""COMPUTED_VALUE"""),44937.0)</f>
        <v>44937</v>
      </c>
      <c r="N65" s="12">
        <f>IFERROR(__xludf.DUMMYFUNCTION("""COMPUTED_VALUE"""),45027.0)</f>
        <v>45027</v>
      </c>
      <c r="O65" s="11"/>
      <c r="P65" s="9" t="str">
        <f>IFERROR(__xludf.DUMMYFUNCTION("""COMPUTED_VALUE"""),"可")</f>
        <v>可</v>
      </c>
      <c r="Q65" s="8" t="str">
        <f>IFERROR(__xludf.DUMMYFUNCTION("""COMPUTED_VALUE"""),"広告コミットOK（12/14）&lt;BR&gt;&lt;BR&gt;初回配信話数27⇒26に変更")</f>
        <v>広告コミットOK（12/14）&lt;BR&gt;&lt;BR&gt;初回配信話数27⇒26に変更</v>
      </c>
      <c r="R65" s="9"/>
      <c r="S65" s="8" t="str">
        <f>IFERROR(__xludf.DUMMYFUNCTION("""COMPUTED_VALUE"""),"20221214_Hykecomic_結婚って何なんですか？")</f>
        <v>20221214_Hykecomic_結婚って何なんですか？</v>
      </c>
      <c r="T65" s="9"/>
      <c r="U65" s="9" t="str">
        <f>IFERROR(__xludf.DUMMYFUNCTION("""COMPUTED_VALUE"""),"©HykeComic")</f>
        <v>©HykeComic</v>
      </c>
      <c r="V65" s="8" t="str">
        <f>IFERROR(__xludf.DUMMYFUNCTION("""COMPUTED_VALUE"""),"大手企業の広報課で働く28歳の主人公・桜（さくら）。
30歳手前になると周りは皆、当たり前のように結婚して家庭を持つ状況に疑問を感じていた。
そんな桜はアニメ・漫画・ゲームが大好きないわゆる『オタク』。
日々『オタ活』に励みつつ、ゲーム『おかえり！ゆるっとあにまる村』にもハマっていた。
『あにまる村』の中では、うさぎのキャラクター『うさのん』として暮らしており、同じオタク仲間のアルパカ・ぱか丸くんという友達もいる。
ぱか丸くんは現実世界の愚痴を聞いてくれる親友のような存在…だった。
突然プロポーズさ"&amp;"れ、ぱか丸くんの正体が冷血イケメン社長だと分かるまでは──。")</f>
        <v>大手企業の広報課で働く28歳の主人公・桜（さくら）。
30歳手前になると周りは皆、当たり前のように結婚して家庭を持つ状況に疑問を感じていた。
そんな桜はアニメ・漫画・ゲームが大好きないわゆる『オタク』。
日々『オタ活』に励みつつ、ゲーム『おかえり！ゆるっとあにまる村』にもハマっていた。
『あにまる村』の中では、うさぎのキャラクター『うさのん』として暮らしており、同じオタク仲間のアルパカ・ぱか丸くんという友達もいる。
ぱか丸くんは現実世界の愚痴を聞いてくれる親友のような存在…だった。
突然プロポーズされ、ぱか丸くんの正体が冷血イケメン社長だと分かるまでは──。</v>
      </c>
      <c r="W65" s="8"/>
      <c r="X65" s="8" t="str">
        <f>IFERROR(__xludf.DUMMYFUNCTION("""COMPUTED_VALUE"""),"有")</f>
        <v>有</v>
      </c>
      <c r="Y65" s="8" t="str">
        <f>IFERROR(__xludf.DUMMYFUNCTION("""COMPUTED_VALUE"""),"1～4巻目無料")</f>
        <v>1～4巻目無料</v>
      </c>
      <c r="Z65" s="7"/>
      <c r="AA65" s="7"/>
      <c r="AB65" s="7"/>
    </row>
    <row r="66" ht="205.5" customHeight="1">
      <c r="A66" s="8">
        <f>IFERROR(__xludf.DUMMYFUNCTION("""COMPUTED_VALUE"""),1569.0)</f>
        <v>1569</v>
      </c>
      <c r="B66" s="9" t="str">
        <f>IFERROR(__xludf.DUMMYFUNCTION("""COMPUTED_VALUE"""),"確定")</f>
        <v>確定</v>
      </c>
      <c r="C66" s="10">
        <f>IFERROR(__xludf.DUMMYFUNCTION("""COMPUTED_VALUE"""),44895.0)</f>
        <v>44895</v>
      </c>
      <c r="D66" s="10">
        <f>IFERROR(__xludf.DUMMYFUNCTION("""COMPUTED_VALUE"""),44895.0)</f>
        <v>44895</v>
      </c>
      <c r="E66" s="8">
        <f>IFERROR(__xludf.DUMMYFUNCTION("""COMPUTED_VALUE"""),259786.0)</f>
        <v>259786</v>
      </c>
      <c r="F66" s="9" t="str">
        <f>IFERROR(__xludf.DUMMYFUNCTION("""COMPUTED_VALUE"""),"夢中にさせるきみが悪い【分冊版】")</f>
        <v>夢中にさせるきみが悪い【分冊版】</v>
      </c>
      <c r="G66" s="11">
        <f>IFERROR(__xludf.DUMMYFUNCTION("""COMPUTED_VALUE"""),1.0)</f>
        <v>1</v>
      </c>
      <c r="H66" s="8" t="str">
        <f>IFERROR(__xludf.DUMMYFUNCTION("""COMPUTED_VALUE"""),"芥河和真")</f>
        <v>芥河和真</v>
      </c>
      <c r="I66" s="8" t="str">
        <f>IFERROR(__xludf.DUMMYFUNCTION("""COMPUTED_VALUE"""),"BL")</f>
        <v>BL</v>
      </c>
      <c r="J66" s="8"/>
      <c r="K66" s="8"/>
      <c r="L66" s="8" t="str">
        <f>IFERROR(__xludf.DUMMYFUNCTION("""COMPUTED_VALUE"""),"笠倉出版社")</f>
        <v>笠倉出版社</v>
      </c>
      <c r="M66" s="12">
        <f>IFERROR(__xludf.DUMMYFUNCTION("""COMPUTED_VALUE"""),44939.0)</f>
        <v>44939</v>
      </c>
      <c r="N66" s="12">
        <f>IFERROR(__xludf.DUMMYFUNCTION("""COMPUTED_VALUE"""),44966.0)</f>
        <v>44966</v>
      </c>
      <c r="O66" s="11"/>
      <c r="P66" s="9" t="str">
        <f>IFERROR(__xludf.DUMMYFUNCTION("""COMPUTED_VALUE"""),"可")</f>
        <v>可</v>
      </c>
      <c r="Q66" s="8"/>
      <c r="R66" s="9"/>
      <c r="S66" s="8" t="str">
        <f>IFERROR(__xludf.DUMMYFUNCTION("""COMPUTED_VALUE"""),"検討用_20221130_笠倉出版社_夢中にさせるきみが悪い【分冊版】")</f>
        <v>検討用_20221130_笠倉出版社_夢中にさせるきみが悪い【分冊版】</v>
      </c>
      <c r="T66" s="9"/>
      <c r="U66" s="9" t="str">
        <f>IFERROR(__xludf.DUMMYFUNCTION("""COMPUTED_VALUE"""),"©芥河和真/笠倉出版社")</f>
        <v>©芥河和真/笠倉出版社</v>
      </c>
      <c r="V66" s="8" t="str">
        <f>IFERROR(__xludf.DUMMYFUNCTION("""COMPUTED_VALUE"""),"同棲を始めてもうすぐ一年。大好きな恋人はオタクと呼ばれる人種だ。――聖地巡礼？ＳＳＲ？周回って何…？よくわからないけど俺はいつだってイチャイチャしたいのに…そんなある日、一緒に行こうと言っていたカフェにぬいと出かけていたのを知ってしまう。つい嫉妬からそのぬいを“綿”と呼んでしまい大喧嘩に――！？毎日だって恋人とイチャつきたい非オタなハジと、推しキャラともデートしちゃう超オタクな廉。イチャイチャ、時々ケンカ、甘さもラブコメもぎゅっと詰まった同棲カップルのラブデイズ！※本作品はWEB雑誌「equal」に収録さ"&amp;"れています。重複購入にご注意ください。")</f>
        <v>同棲を始めてもうすぐ一年。大好きな恋人はオタクと呼ばれる人種だ。――聖地巡礼？ＳＳＲ？周回って何…？よくわからないけど俺はいつだってイチャイチャしたいのに…そんなある日、一緒に行こうと言っていたカフェにぬいと出かけていたのを知ってしまう。つい嫉妬からそのぬいを“綿”と呼んでしまい大喧嘩に――！？毎日だって恋人とイチャつきたい非オタなハジと、推しキャラともデートしちゃう超オタクな廉。イチャイチャ、時々ケンカ、甘さもラブコメもぎゅっと詰まった同棲カップルのラブデイズ！※本作品はWEB雑誌「equal」に収録されています。重複購入にご注意ください。</v>
      </c>
      <c r="W66" s="8"/>
      <c r="X66" s="8" t="str">
        <f>IFERROR(__xludf.DUMMYFUNCTION("""COMPUTED_VALUE"""),"有")</f>
        <v>有</v>
      </c>
      <c r="Y66" s="8" t="str">
        <f>IFERROR(__xludf.DUMMYFUNCTION("""COMPUTED_VALUE"""),"P8まで")</f>
        <v>P8まで</v>
      </c>
      <c r="Z66" s="7"/>
      <c r="AA66" s="7"/>
      <c r="AB66" s="7"/>
    </row>
    <row r="67" ht="157.5" customHeight="1">
      <c r="A67" s="8">
        <f>IFERROR(__xludf.DUMMYFUNCTION("""COMPUTED_VALUE"""),1577.0)</f>
        <v>1577</v>
      </c>
      <c r="B67" s="9" t="str">
        <f>IFERROR(__xludf.DUMMYFUNCTION("""COMPUTED_VALUE"""),"確定")</f>
        <v>確定</v>
      </c>
      <c r="C67" s="10">
        <f>IFERROR(__xludf.DUMMYFUNCTION("""COMPUTED_VALUE"""),44901.0)</f>
        <v>44901</v>
      </c>
      <c r="D67" s="10">
        <f>IFERROR(__xludf.DUMMYFUNCTION("""COMPUTED_VALUE"""),44901.0)</f>
        <v>44901</v>
      </c>
      <c r="E67" s="8">
        <f>IFERROR(__xludf.DUMMYFUNCTION("""COMPUTED_VALUE"""),259175.0)</f>
        <v>259175</v>
      </c>
      <c r="F67" s="9" t="str">
        <f>IFERROR(__xludf.DUMMYFUNCTION("""COMPUTED_VALUE"""),"ゆる妻～里香さんはスキだらけ")</f>
        <v>ゆる妻～里香さんはスキだらけ</v>
      </c>
      <c r="G67" s="11" t="str">
        <f>IFERROR(__xludf.DUMMYFUNCTION("""COMPUTED_VALUE"""),"1～3")</f>
        <v>1～3</v>
      </c>
      <c r="H67" s="8" t="str">
        <f>IFERROR(__xludf.DUMMYFUNCTION("""COMPUTED_VALUE"""),"やまとみゆ")</f>
        <v>やまとみゆ</v>
      </c>
      <c r="I67" s="8" t="str">
        <f>IFERROR(__xludf.DUMMYFUNCTION("""COMPUTED_VALUE"""),"青年")</f>
        <v>青年</v>
      </c>
      <c r="J67" s="8"/>
      <c r="K67" s="8"/>
      <c r="L67" s="8" t="str">
        <f>IFERROR(__xludf.DUMMYFUNCTION("""COMPUTED_VALUE"""),"Rush!")</f>
        <v>Rush!</v>
      </c>
      <c r="M67" s="12">
        <f>IFERROR(__xludf.DUMMYFUNCTION("""COMPUTED_VALUE"""),44939.0)</f>
        <v>44939</v>
      </c>
      <c r="N67" s="12">
        <f>IFERROR(__xludf.DUMMYFUNCTION("""COMPUTED_VALUE"""),45029.0)</f>
        <v>45029</v>
      </c>
      <c r="O67" s="11"/>
      <c r="P67" s="9" t="str">
        <f>IFERROR(__xludf.DUMMYFUNCTION("""COMPUTED_VALUE"""),"可")</f>
        <v>可</v>
      </c>
      <c r="Q67" s="8" t="str">
        <f>IFERROR(__xludf.DUMMYFUNCTION("""COMPUTED_VALUE"""),"協業レーベル『シーモア×Rush! Z』作品です。")</f>
        <v>協業レーベル『シーモア×Rush! Z』作品です。</v>
      </c>
      <c r="R67" s="9"/>
      <c r="S67" s="8" t="str">
        <f>IFERROR(__xludf.DUMMYFUNCTION("""COMPUTED_VALUE"""),"20221206_ファンギルド_ゆる妻～里香さんはスキだらけ")</f>
        <v>20221206_ファンギルド_ゆる妻～里香さんはスキだらけ</v>
      </c>
      <c r="T67" s="9"/>
      <c r="U67" s="9" t="str">
        <f>IFERROR(__xludf.DUMMYFUNCTION("""COMPUTED_VALUE"""),"©Miyu Yamato")</f>
        <v>©Miyu Yamato</v>
      </c>
      <c r="V67" s="8" t="str">
        <f>IFERROR(__xludf.DUMMYFUNCTION("""COMPUTED_VALUE"""),"「ビショビショに濡れてたのに入れちゃったから、大変なことになったわ…！」美人なのにどこか抜けている天然妻・丸山里香。そんなつもりはなくても、なぜか男をソノ気にさせてしまう襲われ体質！――近所の旦那さんの前でスケスケ姿をさらしてしまったり。妖しい仕草でバナナを頬張ってしまったり。さらにはパートの面接と間違えて、AV撮影の面接に参加してしまったり…。なんだかんだで襲われてしまう彼女には、実は超コワモテの夫がいて…!?")</f>
        <v>「ビショビショに濡れてたのに入れちゃったから、大変なことになったわ…！」美人なのにどこか抜けている天然妻・丸山里香。そんなつもりはなくても、なぜか男をソノ気にさせてしまう襲われ体質！――近所の旦那さんの前でスケスケ姿をさらしてしまったり。妖しい仕草でバナナを頬張ってしまったり。さらにはパートの面接と間違えて、AV撮影の面接に参加してしまったり…。なんだかんだで襲われてしまう彼女には、実は超コワモテの夫がいて…!?</v>
      </c>
      <c r="W67" s="8"/>
      <c r="X67" s="8" t="str">
        <f>IFERROR(__xludf.DUMMYFUNCTION("""COMPUTED_VALUE"""),"有")</f>
        <v>有</v>
      </c>
      <c r="Y67" s="8" t="str">
        <f>IFERROR(__xludf.DUMMYFUNCTION("""COMPUTED_VALUE"""),"1巻無料")</f>
        <v>1巻無料</v>
      </c>
      <c r="Z67" s="7"/>
      <c r="AA67" s="7"/>
      <c r="AB67" s="7"/>
    </row>
    <row r="68" ht="160.5" customHeight="1">
      <c r="A68" s="8">
        <f>IFERROR(__xludf.DUMMYFUNCTION("""COMPUTED_VALUE"""),1518.0)</f>
        <v>1518</v>
      </c>
      <c r="B68" s="9" t="str">
        <f>IFERROR(__xludf.DUMMYFUNCTION("""COMPUTED_VALUE"""),"確定")</f>
        <v>確定</v>
      </c>
      <c r="C68" s="10">
        <f>IFERROR(__xludf.DUMMYFUNCTION("""COMPUTED_VALUE"""),44875.0)</f>
        <v>44875</v>
      </c>
      <c r="D68" s="10">
        <f>IFERROR(__xludf.DUMMYFUNCTION("""COMPUTED_VALUE"""),44910.0)</f>
        <v>44910</v>
      </c>
      <c r="E68" s="8">
        <f>IFERROR(__xludf.DUMMYFUNCTION("""COMPUTED_VALUE"""),258967.0)</f>
        <v>258967</v>
      </c>
      <c r="F68" s="9" t="str">
        <f>IFERROR(__xludf.DUMMYFUNCTION("""COMPUTED_VALUE"""),"嫌われ妻は、英雄将軍と離婚したい! いきなり帰ってきて溺愛なんて信じません。　【連載版】")</f>
        <v>嫌われ妻は、英雄将軍と離婚したい! いきなり帰ってきて溺愛なんて信じません。　【連載版】</v>
      </c>
      <c r="G68" s="11" t="str">
        <f>IFERROR(__xludf.DUMMYFUNCTION("""COMPUTED_VALUE"""),"1～4")</f>
        <v>1～4</v>
      </c>
      <c r="H68" s="8" t="str">
        <f>IFERROR(__xludf.DUMMYFUNCTION("""COMPUTED_VALUE"""),"コミック：コヤマナユ/原作：柊一葉/キャラクター原案：三浦ひらく")</f>
        <v>コミック：コヤマナユ/原作：柊一葉/キャラクター原案：三浦ひらく</v>
      </c>
      <c r="I68" s="8" t="str">
        <f>IFERROR(__xludf.DUMMYFUNCTION("""COMPUTED_VALUE"""),"女性")</f>
        <v>女性</v>
      </c>
      <c r="J68" s="8"/>
      <c r="K68" s="8"/>
      <c r="L68" s="8" t="str">
        <f>IFERROR(__xludf.DUMMYFUNCTION("""COMPUTED_VALUE"""),"一迅社")</f>
        <v>一迅社</v>
      </c>
      <c r="M68" s="12">
        <f>IFERROR(__xludf.DUMMYFUNCTION("""COMPUTED_VALUE"""),44940.0)</f>
        <v>44940</v>
      </c>
      <c r="N68" s="12">
        <f>IFERROR(__xludf.DUMMYFUNCTION("""COMPUTED_VALUE"""),44970.0)</f>
        <v>44970</v>
      </c>
      <c r="O68" s="11"/>
      <c r="P68" s="9" t="str">
        <f>IFERROR(__xludf.DUMMYFUNCTION("""COMPUTED_VALUE"""),"否")</f>
        <v>否</v>
      </c>
      <c r="Q68" s="8"/>
      <c r="R68" s="9"/>
      <c r="S68" s="8" t="str">
        <f>IFERROR(__xludf.DUMMYFUNCTION("""COMPUTED_VALUE"""),"20221215_一迅社_嫌われ妻は、英雄将軍と離婚したい")</f>
        <v>20221215_一迅社_嫌われ妻は、英雄将軍と離婚したい</v>
      </c>
      <c r="T68" s="9"/>
      <c r="U68" s="9" t="str">
        <f>IFERROR(__xludf.DUMMYFUNCTION("""COMPUTED_VALUE"""),"©コヤマナユ・柊一葉・三浦ひらく")</f>
        <v>©コヤマナユ・柊一葉・三浦ひらく</v>
      </c>
      <c r="V68" s="8" t="str">
        <f>IFERROR(__xludf.DUMMYFUNCTION("""COMPUTED_VALUE"""),"成金子爵家の令嬢ソアリスが貧乏伯爵家令息アレンディオと政略結婚したのは12歳の時。どうやら彼はこの結婚に不満があるようで、ソアリスを残してすぐに兵役に出てしまった。それから10年、実家が没落したソアリスは国の英雄となったアレンディオのため、彼との離婚を決意する。けれど、帰ってきたアレンディオはまるで別人のようにソアリスを溺愛してきて!?嫌われているはずなのに、一体これはどういうこと!?離婚したい妻と溺愛したい夫のすれ違いラブコメディ！【本商品は単話コンテンツとなります。単行本版と収録内容が異なる場合がござ"&amp;"います。漫画内の告知等は過去のものとなりますので、ご注意ください。】")</f>
        <v>成金子爵家の令嬢ソアリスが貧乏伯爵家令息アレンディオと政略結婚したのは12歳の時。どうやら彼はこの結婚に不満があるようで、ソアリスを残してすぐに兵役に出てしまった。それから10年、実家が没落したソアリスは国の英雄となったアレンディオのため、彼との離婚を決意する。けれど、帰ってきたアレンディオはまるで別人のようにソアリスを溺愛してきて!?嫌われているはずなのに、一体これはどういうこと!?離婚したい妻と溺愛したい夫のすれ違いラブコメディ！【本商品は単話コンテンツとなります。単行本版と収録内容が異なる場合がございます。漫画内の告知等は過去のものとなりますので、ご注意ください。】</v>
      </c>
      <c r="W68" s="8"/>
      <c r="X68" s="8" t="str">
        <f>IFERROR(__xludf.DUMMYFUNCTION("""COMPUTED_VALUE"""),"有")</f>
        <v>有</v>
      </c>
      <c r="Y68" s="8" t="str">
        <f>IFERROR(__xludf.DUMMYFUNCTION("""COMPUTED_VALUE"""),"1巻目無料　")</f>
        <v>1巻目無料　</v>
      </c>
      <c r="Z68" s="7"/>
      <c r="AA68" s="7"/>
      <c r="AB68" s="7"/>
    </row>
    <row r="69" ht="159.0" customHeight="1">
      <c r="A69" s="8">
        <f>IFERROR(__xludf.DUMMYFUNCTION("""COMPUTED_VALUE"""),1586.0)</f>
        <v>1586</v>
      </c>
      <c r="B69" s="9" t="str">
        <f>IFERROR(__xludf.DUMMYFUNCTION("""COMPUTED_VALUE"""),"確定")</f>
        <v>確定</v>
      </c>
      <c r="C69" s="10">
        <f>IFERROR(__xludf.DUMMYFUNCTION("""COMPUTED_VALUE"""),44907.0)</f>
        <v>44907</v>
      </c>
      <c r="D69" s="10">
        <f>IFERROR(__xludf.DUMMYFUNCTION("""COMPUTED_VALUE"""),44907.0)</f>
        <v>44907</v>
      </c>
      <c r="E69" s="8">
        <f>IFERROR(__xludf.DUMMYFUNCTION("""COMPUTED_VALUE"""),224010.0)</f>
        <v>224010</v>
      </c>
      <c r="F69" s="9" t="str">
        <f>IFERROR(__xludf.DUMMYFUNCTION("""COMPUTED_VALUE"""),"理想の尻")</f>
        <v>理想の尻</v>
      </c>
      <c r="G69" s="11" t="str">
        <f>IFERROR(__xludf.DUMMYFUNCTION("""COMPUTED_VALUE"""),"1～4")</f>
        <v>1～4</v>
      </c>
      <c r="H69" s="8" t="str">
        <f>IFERROR(__xludf.DUMMYFUNCTION("""COMPUTED_VALUE"""),"三並")</f>
        <v>三並</v>
      </c>
      <c r="I69" s="8" t="str">
        <f>IFERROR(__xludf.DUMMYFUNCTION("""COMPUTED_VALUE"""),"BL")</f>
        <v>BL</v>
      </c>
      <c r="J69" s="8"/>
      <c r="K69" s="8"/>
      <c r="L69" s="8" t="str">
        <f>IFERROR(__xludf.DUMMYFUNCTION("""COMPUTED_VALUE"""),"ソルマーレ編集部")</f>
        <v>ソルマーレ編集部</v>
      </c>
      <c r="M69" s="12">
        <f>IFERROR(__xludf.DUMMYFUNCTION("""COMPUTED_VALUE"""),44940.0)</f>
        <v>44940</v>
      </c>
      <c r="N69" s="12">
        <f>IFERROR(__xludf.DUMMYFUNCTION("""COMPUTED_VALUE"""),45001.0)</f>
        <v>45001</v>
      </c>
      <c r="O69" s="11"/>
      <c r="P69" s="9" t="str">
        <f>IFERROR(__xludf.DUMMYFUNCTION("""COMPUTED_VALUE"""),"可")</f>
        <v>可</v>
      </c>
      <c r="Q69" s="8"/>
      <c r="R69" s="9"/>
      <c r="S69" s="8" t="str">
        <f>IFERROR(__xludf.DUMMYFUNCTION("""COMPUTED_VALUE"""),"20221212_ソルマーレ編集部_理想の尻")</f>
        <v>20221212_ソルマーレ編集部_理想の尻</v>
      </c>
      <c r="T69" s="15"/>
      <c r="U69" s="9" t="str">
        <f>IFERROR(__xludf.DUMMYFUNCTION("""COMPUTED_VALUE"""),"© 三並/シーモアコミックス")</f>
        <v>© 三並/シーモアコミックス</v>
      </c>
      <c r="V69" s="8" t="str">
        <f>IFERROR(__xludf.DUMMYFUNCTION("""COMPUTED_VALUE"""),"尻フェチのリーマン・木戸篤志（きどあつし）は、連日の残業と上司のパワハラに疲れ果て、大学時代にバイトをしていた「お仕置きクラブ・贖罪屋」で憂さ晴らしプレイをすることに。
「私を罰してください」部屋の中で全裸で吊るされていたのは、篤志好みの美尻を持つアヤと名乗る男。職場でパワハラしてしまったことを懺悔し、痛みを与えてくれと懇願するこの男の正体は――!? 尻フェチ×美尻リーマンのサディスティック・ラブ！
【本作品は他社より配信されていた「理想の尻」を一部加筆修正したものです。重複購入にご注意ください】【フィカ"&amp;"ス】")</f>
        <v>尻フェチのリーマン・木戸篤志（きどあつし）は、連日の残業と上司のパワハラに疲れ果て、大学時代にバイトをしていた「お仕置きクラブ・贖罪屋」で憂さ晴らしプレイをすることに。
「私を罰してください」部屋の中で全裸で吊るされていたのは、篤志好みの美尻を持つアヤと名乗る男。職場でパワハラしてしまったことを懺悔し、痛みを与えてくれと懇願するこの男の正体は――!? 尻フェチ×美尻リーマンのサディスティック・ラブ！
【本作品は他社より配信されていた「理想の尻」を一部加筆修正したものです。重複購入にご注意ください】【フィカス】</v>
      </c>
      <c r="W69" s="8"/>
      <c r="X69" s="8" t="str">
        <f>IFERROR(__xludf.DUMMYFUNCTION("""COMPUTED_VALUE"""),"有")</f>
        <v>有</v>
      </c>
      <c r="Y69" s="8" t="str">
        <f>IFERROR(__xludf.DUMMYFUNCTION("""COMPUTED_VALUE"""),"1巻目無料")</f>
        <v>1巻目無料</v>
      </c>
      <c r="Z69" s="7"/>
      <c r="AA69" s="7"/>
      <c r="AB69" s="7"/>
    </row>
    <row r="70" ht="15.75" customHeight="1">
      <c r="A70" s="8">
        <f>IFERROR(__xludf.DUMMYFUNCTION("""COMPUTED_VALUE"""),1587.0)</f>
        <v>1587</v>
      </c>
      <c r="B70" s="9" t="str">
        <f>IFERROR(__xludf.DUMMYFUNCTION("""COMPUTED_VALUE"""),"確定")</f>
        <v>確定</v>
      </c>
      <c r="C70" s="10">
        <f>IFERROR(__xludf.DUMMYFUNCTION("""COMPUTED_VALUE"""),44907.0)</f>
        <v>44907</v>
      </c>
      <c r="D70" s="10">
        <f>IFERROR(__xludf.DUMMYFUNCTION("""COMPUTED_VALUE"""),44909.0)</f>
        <v>44909</v>
      </c>
      <c r="E70" s="8">
        <f>IFERROR(__xludf.DUMMYFUNCTION("""COMPUTED_VALUE"""),259818.0)</f>
        <v>259818</v>
      </c>
      <c r="F70" s="9" t="str">
        <f>IFERROR(__xludf.DUMMYFUNCTION("""COMPUTED_VALUE"""),"龍神の花嫁―身に降る愛でしとどに濡れて―")</f>
        <v>龍神の花嫁―身に降る愛でしとどに濡れて―</v>
      </c>
      <c r="G70" s="11">
        <f>IFERROR(__xludf.DUMMYFUNCTION("""COMPUTED_VALUE"""),44563.0)</f>
        <v>44563</v>
      </c>
      <c r="H70" s="8" t="str">
        <f>IFERROR(__xludf.DUMMYFUNCTION("""COMPUTED_VALUE"""),"長門えりか")</f>
        <v>長門えりか</v>
      </c>
      <c r="I70" s="8" t="str">
        <f>IFERROR(__xludf.DUMMYFUNCTION("""COMPUTED_VALUE"""),"TL")</f>
        <v>TL</v>
      </c>
      <c r="J70" s="8"/>
      <c r="K70" s="8"/>
      <c r="L70" s="8" t="str">
        <f>IFERROR(__xludf.DUMMYFUNCTION("""COMPUTED_VALUE"""),"フューチャーコミックス社")</f>
        <v>フューチャーコミックス社</v>
      </c>
      <c r="M70" s="12">
        <f>IFERROR(__xludf.DUMMYFUNCTION("""COMPUTED_VALUE"""),44940.0)</f>
        <v>44940</v>
      </c>
      <c r="N70" s="12">
        <f>IFERROR(__xludf.DUMMYFUNCTION("""COMPUTED_VALUE"""),44967.0)</f>
        <v>44967</v>
      </c>
      <c r="O70" s="11"/>
      <c r="P70" s="9" t="str">
        <f>IFERROR(__xludf.DUMMYFUNCTION("""COMPUTED_VALUE"""),"可")</f>
        <v>可</v>
      </c>
      <c r="Q70" s="8" t="str">
        <f>IFERROR(__xludf.DUMMYFUNCTION("""COMPUTED_VALUE"""),"広告コミットOK（12/14）&lt;BR&gt;鬼の花嫁を意識したTL作品です。&lt;BR&gt;&lt;BR&gt;出稿タイミングは初回配信後でも問題ございません。")</f>
        <v>広告コミットOK（12/14）&lt;BR&gt;鬼の花嫁を意識したTL作品です。&lt;BR&gt;&lt;BR&gt;出稿タイミングは初回配信後でも問題ございません。</v>
      </c>
      <c r="R70" s="9" t="str">
        <f>IFERROR(__xludf.DUMMYFUNCTION("""COMPUTED_VALUE"""),"納品済み（素材フォルダに格納）")</f>
        <v>納品済み（素材フォルダに格納）</v>
      </c>
      <c r="S70" s="8" t="str">
        <f>IFERROR(__xludf.DUMMYFUNCTION("""COMPUTED_VALUE"""),"20221212_フューチャーコミックス社_龍神の花嫁―身に降る愛でしとどに濡れて―")</f>
        <v>20221212_フューチャーコミックス社_龍神の花嫁―身に降る愛でしとどに濡れて―</v>
      </c>
      <c r="T70" s="9"/>
      <c r="U70" s="9" t="str">
        <f>IFERROR(__xludf.DUMMYFUNCTION("""COMPUTED_VALUE"""),"©長門えりか/フューチャーコミックス")</f>
        <v>©長門えりか/フューチャーコミックス</v>
      </c>
      <c r="V70" s="8" t="str">
        <f>IFERROR(__xludf.DUMMYFUNCTION("""COMPUTED_VALUE"""),"「ずいぶん好い顔をしている…接吻だけで濡れてしまったのか？」下から何かが這い上がってきて…頭がまっしろになるっ――双子が不吉とされる時代、姉とは差をつけられて育てられた“みや”。ある日突然、姉の身代わりとしてお金持ちの家に嫁ぐことになる。緊張するみやだが、妖しいほどに美形な旦那様のあたたかい言葉に心は解されていき、気づけば身体をゆだねていて――「人肌って、こんなにあたたかいものなんだ」娶られて愛を知る、神秘的溺愛マリッジTL。")</f>
        <v>「ずいぶん好い顔をしている…接吻だけで濡れてしまったのか？」下から何かが這い上がってきて…頭がまっしろになるっ――双子が不吉とされる時代、姉とは差をつけられて育てられた“みや”。ある日突然、姉の身代わりとしてお金持ちの家に嫁ぐことになる。緊張するみやだが、妖しいほどに美形な旦那様のあたたかい言葉に心は解されていき、気づけば身体をゆだねていて――「人肌って、こんなにあたたかいものなんだ」娶られて愛を知る、神秘的溺愛マリッジTL。</v>
      </c>
      <c r="W70" s="8"/>
      <c r="X70" s="8" t="str">
        <f>IFERROR(__xludf.DUMMYFUNCTION("""COMPUTED_VALUE"""),"有")</f>
        <v>有</v>
      </c>
      <c r="Y70" s="8" t="str">
        <f>IFERROR(__xludf.DUMMYFUNCTION("""COMPUTED_VALUE"""),"P15まで")</f>
        <v>P15まで</v>
      </c>
      <c r="Z70" s="7"/>
      <c r="AA70" s="7"/>
      <c r="AB70" s="7"/>
    </row>
    <row r="71" ht="156.0" customHeight="1">
      <c r="A71" s="8">
        <f>IFERROR(__xludf.DUMMYFUNCTION("""COMPUTED_VALUE"""),1547.0)</f>
        <v>1547</v>
      </c>
      <c r="B71" s="9" t="str">
        <f>IFERROR(__xludf.DUMMYFUNCTION("""COMPUTED_VALUE"""),"確定")</f>
        <v>確定</v>
      </c>
      <c r="C71" s="10">
        <f>IFERROR(__xludf.DUMMYFUNCTION("""COMPUTED_VALUE"""),44886.0)</f>
        <v>44886</v>
      </c>
      <c r="D71" s="10">
        <f>IFERROR(__xludf.DUMMYFUNCTION("""COMPUTED_VALUE"""),44908.0)</f>
        <v>44908</v>
      </c>
      <c r="E71" s="8">
        <f>IFERROR(__xludf.DUMMYFUNCTION("""COMPUTED_VALUE"""),259875.0)</f>
        <v>259875</v>
      </c>
      <c r="F71" s="9" t="str">
        <f>IFERROR(__xludf.DUMMYFUNCTION("""COMPUTED_VALUE"""),"アイドルαさまガチ推しΩは卒業できない")</f>
        <v>アイドルαさまガチ推しΩは卒業できない</v>
      </c>
      <c r="G71" s="11">
        <f>IFERROR(__xludf.DUMMYFUNCTION("""COMPUTED_VALUE"""),44563.0)</f>
        <v>44563</v>
      </c>
      <c r="H71" s="8" t="str">
        <f>IFERROR(__xludf.DUMMYFUNCTION("""COMPUTED_VALUE"""),"こやむや")</f>
        <v>こやむや</v>
      </c>
      <c r="I71" s="8" t="str">
        <f>IFERROR(__xludf.DUMMYFUNCTION("""COMPUTED_VALUE"""),"TL")</f>
        <v>TL</v>
      </c>
      <c r="J71" s="8"/>
      <c r="K71" s="8"/>
      <c r="L71" s="8" t="str">
        <f>IFERROR(__xludf.DUMMYFUNCTION("""COMPUTED_VALUE"""),"ふゅーじょんぷろだくと")</f>
        <v>ふゅーじょんぷろだくと</v>
      </c>
      <c r="M71" s="12">
        <f>IFERROR(__xludf.DUMMYFUNCTION("""COMPUTED_VALUE"""),44942.0)</f>
        <v>44942</v>
      </c>
      <c r="N71" s="12">
        <f>IFERROR(__xludf.DUMMYFUNCTION("""COMPUTED_VALUE"""),45028.0)</f>
        <v>45028</v>
      </c>
      <c r="O71" s="11"/>
      <c r="P71" s="9" t="str">
        <f>IFERROR(__xludf.DUMMYFUNCTION("""COMPUTED_VALUE"""),"可")</f>
        <v>可</v>
      </c>
      <c r="Q71" s="8" t="str">
        <f>IFERROR(__xludf.DUMMYFUNCTION("""COMPUTED_VALUE"""),"広告コミットOK（12/9）")</f>
        <v>広告コミットOK（12/9）</v>
      </c>
      <c r="R71" s="9"/>
      <c r="S71" s="8" t="str">
        <f>IFERROR(__xludf.DUMMYFUNCTION("""COMPUTED_VALUE"""),"20221213_ふゅーじょんぷろだくと_アイドルαさまガチ推しΩは卒業できない")</f>
        <v>20221213_ふゅーじょんぷろだくと_アイドルαさまガチ推しΩは卒業できない</v>
      </c>
      <c r="T71" s="9"/>
      <c r="U71" s="9" t="str">
        <f>IFERROR(__xludf.DUMMYFUNCTION("""COMPUTED_VALUE"""),"©こやむや/ふゅーじょんぷろだくと")</f>
        <v>©こやむや/ふゅーじょんぷろだくと</v>
      </c>
      <c r="V71" s="8" t="str">
        <f>IFERROR(__xludf.DUMMYFUNCTION("""COMPUTED_VALUE"""),"【「早く噛みたい」ーアイドル×ファン、禁断のオメガバース】今をときめくアイドル・リツ（α）を下積み時代から応援している美桜（Ω）。推しがいれば幸せーそう思っていたけれど、制御できない身体に不安が募る。ホルモンバランスの乱れによる体調不良を解決すべく、美桜は推し活をやめて番を探すことに。ところが、最後のつもりで臨んだ握手会で「僕じゃダメなの？」とリツに言われて…！？")</f>
        <v>【「早く噛みたい」ーアイドル×ファン、禁断のオメガバース】今をときめくアイドル・リツ（α）を下積み時代から応援している美桜（Ω）。推しがいれば幸せーそう思っていたけれど、制御できない身体に不安が募る。ホルモンバランスの乱れによる体調不良を解決すべく、美桜は推し活をやめて番を探すことに。ところが、最後のつもりで臨んだ握手会で「僕じゃダメなの？」とリツに言われて…！？</v>
      </c>
      <c r="W71" s="8"/>
      <c r="X71" s="8" t="str">
        <f>IFERROR(__xludf.DUMMYFUNCTION("""COMPUTED_VALUE"""),"有")</f>
        <v>有</v>
      </c>
      <c r="Y71" s="8" t="str">
        <f>IFERROR(__xludf.DUMMYFUNCTION("""COMPUTED_VALUE"""),"P10まで")</f>
        <v>P10まで</v>
      </c>
      <c r="Z71" s="7"/>
      <c r="AA71" s="7"/>
      <c r="AB71" s="7"/>
    </row>
    <row r="72" ht="15.75" customHeight="1">
      <c r="A72" s="8">
        <f>IFERROR(__xludf.DUMMYFUNCTION("""COMPUTED_VALUE"""),1593.0)</f>
        <v>1593</v>
      </c>
      <c r="B72" s="9" t="str">
        <f>IFERROR(__xludf.DUMMYFUNCTION("""COMPUTED_VALUE"""),"確定")</f>
        <v>確定</v>
      </c>
      <c r="C72" s="10">
        <f>IFERROR(__xludf.DUMMYFUNCTION("""COMPUTED_VALUE"""),44909.0)</f>
        <v>44909</v>
      </c>
      <c r="D72" s="10">
        <f>IFERROR(__xludf.DUMMYFUNCTION("""COMPUTED_VALUE"""),44915.0)</f>
        <v>44915</v>
      </c>
      <c r="E72" s="8">
        <f>IFERROR(__xludf.DUMMYFUNCTION("""COMPUTED_VALUE"""),259905.0)</f>
        <v>259905</v>
      </c>
      <c r="F72" s="9" t="str">
        <f>IFERROR(__xludf.DUMMYFUNCTION("""COMPUTED_VALUE"""),"旦那様はエリート外科医～かりそめ夫婦なのに溺愛されてます～【分冊版】")</f>
        <v>旦那様はエリート外科医～かりそめ夫婦なのに溺愛されてます～【分冊版】</v>
      </c>
      <c r="G72" s="11" t="str">
        <f>IFERROR(__xludf.DUMMYFUNCTION("""COMPUTED_VALUE"""),"1～3")</f>
        <v>1～3</v>
      </c>
      <c r="H72" s="8" t="str">
        <f>IFERROR(__xludf.DUMMYFUNCTION("""COMPUTED_VALUE"""),"ひらさわ公美・小日向江麻")</f>
        <v>ひらさわ公美・小日向江麻</v>
      </c>
      <c r="I72" s="8" t="str">
        <f>IFERROR(__xludf.DUMMYFUNCTION("""COMPUTED_VALUE"""),"女性")</f>
        <v>女性</v>
      </c>
      <c r="J72" s="8"/>
      <c r="K72" s="8"/>
      <c r="L72" s="8" t="str">
        <f>IFERROR(__xludf.DUMMYFUNCTION("""COMPUTED_VALUE"""),"ハーパーコリンズ・ジャパン")</f>
        <v>ハーパーコリンズ・ジャパン</v>
      </c>
      <c r="M72" s="12">
        <f>IFERROR(__xludf.DUMMYFUNCTION("""COMPUTED_VALUE"""),44944.0)</f>
        <v>44944</v>
      </c>
      <c r="N72" s="12">
        <f>IFERROR(__xludf.DUMMYFUNCTION("""COMPUTED_VALUE"""),44974.0)</f>
        <v>44974</v>
      </c>
      <c r="O72" s="11"/>
      <c r="P72" s="9" t="str">
        <f>IFERROR(__xludf.DUMMYFUNCTION("""COMPUTED_VALUE"""),"否")</f>
        <v>否</v>
      </c>
      <c r="Q72" s="8" t="str">
        <f>IFERROR(__xludf.DUMMYFUNCTION("""COMPUTED_VALUE"""),"素材格納（12/20）&lt;BR&gt;広告コミットOK（12/15）")</f>
        <v>素材格納（12/20）&lt;BR&gt;広告コミットOK（12/15）</v>
      </c>
      <c r="R72" s="9" t="str">
        <f>IFERROR(__xludf.DUMMYFUNCTION("""COMPUTED_VALUE"""),"格納済")</f>
        <v>格納済</v>
      </c>
      <c r="S72" s="8" t="str">
        <f>IFERROR(__xludf.DUMMYFUNCTION("""COMPUTED_VALUE"""),"20221220_ハーパーコリンズ・ジャパン_旦那様はエリート外科医～かりそめ夫婦なのに溺愛されてます～【分冊版】")</f>
        <v>20221220_ハーパーコリンズ・ジャパン_旦那様はエリート外科医～かりそめ夫婦なのに溺愛されてます～【分冊版】</v>
      </c>
      <c r="T72" s="9" t="str">
        <f>IFERROR(__xludf.DUMMYFUNCTION("""COMPUTED_VALUE"""),"校了済素材")</f>
        <v>校了済素材</v>
      </c>
      <c r="U72" s="9" t="str">
        <f>IFERROR(__xludf.DUMMYFUNCTION("""COMPUTED_VALUE"""),"©ひらさわ公美・小日向江麻／ハーパーコリンズ・ジャパン")</f>
        <v>©ひらさわ公美・小日向江麻／ハーパーコリンズ・ジャパン</v>
      </c>
      <c r="V72" s="8" t="str">
        <f>IFERROR(__xludf.DUMMYFUNCTION("""COMPUTED_VALUE"""),"新米看護師の倉橋実織は、初めて病院の懇親会に出席した日、密かに憧れていたドクターの黛啓佑から話しかけられる。
啓佑は、病院でも注目のエリート医師だったが、仕事に集中したいという理由で、実織に契約結婚を持ち掛けてきたのだ。
いったんは断ったものの、啓佑の周到なアピールにより、戸惑いつつかりそめの夫婦生活をスタートする。
偽りの関係にもかかわらず、抱きしめられたり添い寝したりと、まるで本物の妻に対するような甘い扱いに実織は心ときめく。
外では見せない優しさや実織に対する気遣いに、契約結婚であることを悩んでいた"&amp;"実織は、本当に啓佑を好きになってしまっていることに気づき……。")</f>
        <v>新米看護師の倉橋実織は、初めて病院の懇親会に出席した日、密かに憧れていたドクターの黛啓佑から話しかけられる。
啓佑は、病院でも注目のエリート医師だったが、仕事に集中したいという理由で、実織に契約結婚を持ち掛けてきたのだ。
いったんは断ったものの、啓佑の周到なアピールにより、戸惑いつつかりそめの夫婦生活をスタートする。
偽りの関係にもかかわらず、抱きしめられたり添い寝したりと、まるで本物の妻に対するような甘い扱いに実織は心ときめく。
外では見せない優しさや実織に対する気遣いに、契約結婚であることを悩んでいた実織は、本当に啓佑を好きになってしまっていることに気づき……。</v>
      </c>
      <c r="W72" s="8"/>
      <c r="X72" s="8" t="str">
        <f>IFERROR(__xludf.DUMMYFUNCTION("""COMPUTED_VALUE"""),"有")</f>
        <v>有</v>
      </c>
      <c r="Y72" s="8" t="str">
        <f>IFERROR(__xludf.DUMMYFUNCTION("""COMPUTED_VALUE"""),"１巻目無料")</f>
        <v>１巻目無料</v>
      </c>
      <c r="Z72" s="7"/>
      <c r="AA72" s="7"/>
      <c r="AB72" s="7"/>
    </row>
    <row r="73" ht="174.0" customHeight="1">
      <c r="A73" s="8">
        <f>IFERROR(__xludf.DUMMYFUNCTION("""COMPUTED_VALUE"""),1594.0)</f>
        <v>1594</v>
      </c>
      <c r="B73" s="9" t="str">
        <f>IFERROR(__xludf.DUMMYFUNCTION("""COMPUTED_VALUE"""),"確定")</f>
        <v>確定</v>
      </c>
      <c r="C73" s="10">
        <f>IFERROR(__xludf.DUMMYFUNCTION("""COMPUTED_VALUE"""),44909.0)</f>
        <v>44909</v>
      </c>
      <c r="D73" s="10">
        <f>IFERROR(__xludf.DUMMYFUNCTION("""COMPUTED_VALUE"""),44915.0)</f>
        <v>44915</v>
      </c>
      <c r="E73" s="8">
        <f>IFERROR(__xludf.DUMMYFUNCTION("""COMPUTED_VALUE"""),259906.0)</f>
        <v>259906</v>
      </c>
      <c r="F73" s="9" t="str">
        <f>IFERROR(__xludf.DUMMYFUNCTION("""COMPUTED_VALUE"""),"溺愛指南～敏腕CEOの甘い手ほどき～【分冊版】")</f>
        <v>溺愛指南～敏腕CEOの甘い手ほどき～【分冊版】</v>
      </c>
      <c r="G73" s="11" t="str">
        <f>IFERROR(__xludf.DUMMYFUNCTION("""COMPUTED_VALUE"""),"1～3")</f>
        <v>1～3</v>
      </c>
      <c r="H73" s="8" t="str">
        <f>IFERROR(__xludf.DUMMYFUNCTION("""COMPUTED_VALUE"""),"りすヲ・伊月ジュイ")</f>
        <v>りすヲ・伊月ジュイ</v>
      </c>
      <c r="I73" s="8" t="str">
        <f>IFERROR(__xludf.DUMMYFUNCTION("""COMPUTED_VALUE"""),"女性")</f>
        <v>女性</v>
      </c>
      <c r="J73" s="8"/>
      <c r="K73" s="8"/>
      <c r="L73" s="8" t="str">
        <f>IFERROR(__xludf.DUMMYFUNCTION("""COMPUTED_VALUE"""),"ハーパーコリンズ・ジャパン")</f>
        <v>ハーパーコリンズ・ジャパン</v>
      </c>
      <c r="M73" s="12">
        <f>IFERROR(__xludf.DUMMYFUNCTION("""COMPUTED_VALUE"""),44944.0)</f>
        <v>44944</v>
      </c>
      <c r="N73" s="12">
        <f>IFERROR(__xludf.DUMMYFUNCTION("""COMPUTED_VALUE"""),44974.0)</f>
        <v>44974</v>
      </c>
      <c r="O73" s="11"/>
      <c r="P73" s="9" t="str">
        <f>IFERROR(__xludf.DUMMYFUNCTION("""COMPUTED_VALUE"""),"否")</f>
        <v>否</v>
      </c>
      <c r="Q73" s="8" t="str">
        <f>IFERROR(__xludf.DUMMYFUNCTION("""COMPUTED_VALUE"""),"素材格納済（12/20）&lt;BR&gt;広告コミットOK（12/15）")</f>
        <v>素材格納済（12/20）&lt;BR&gt;広告コミットOK（12/15）</v>
      </c>
      <c r="R73" s="9" t="str">
        <f>IFERROR(__xludf.DUMMYFUNCTION("""COMPUTED_VALUE"""),"格納済")</f>
        <v>格納済</v>
      </c>
      <c r="S73" s="8" t="str">
        <f>IFERROR(__xludf.DUMMYFUNCTION("""COMPUTED_VALUE"""),"20221220_ハーパーコリンズ・ジャパン_溺愛指南～敏腕CEOの甘い手ほどき～【分冊版】")</f>
        <v>20221220_ハーパーコリンズ・ジャパン_溺愛指南～敏腕CEOの甘い手ほどき～【分冊版】</v>
      </c>
      <c r="T73" s="9" t="str">
        <f>IFERROR(__xludf.DUMMYFUNCTION("""COMPUTED_VALUE"""),"校了済素材")</f>
        <v>校了済素材</v>
      </c>
      <c r="U73" s="9" t="str">
        <f>IFERROR(__xludf.DUMMYFUNCTION("""COMPUTED_VALUE"""),"©りすヲ・伊月ジュイ／ハーパーコリンズ・ジャパン")</f>
        <v>©りすヲ・伊月ジュイ／ハーパーコリンズ・ジャパン</v>
      </c>
      <c r="V73" s="8" t="str">
        <f>IFERROR(__xludf.DUMMYFUNCTION("""COMPUTED_VALUE"""),"有能な社員と評価されている琴音だが、実は人前に立つことが苦手なあがり症。ひょんなことから冷徹社長・大和に気に入られ、「一緒に克服しよう」と直接指導されることに！　厳しく、ときに優しく導いてくれる大和に惹かれていく琴音。いつしか恋の指導も始まり、グイグイと距離を縮めてくる大和だが、彼には政略結婚の相手がいると知らされて――!?")</f>
        <v>有能な社員と評価されている琴音だが、実は人前に立つことが苦手なあがり症。ひょんなことから冷徹社長・大和に気に入られ、「一緒に克服しよう」と直接指導されることに！　厳しく、ときに優しく導いてくれる大和に惹かれていく琴音。いつしか恋の指導も始まり、グイグイと距離を縮めてくる大和だが、彼には政略結婚の相手がいると知らされて――!?</v>
      </c>
      <c r="W73" s="8"/>
      <c r="X73" s="8" t="str">
        <f>IFERROR(__xludf.DUMMYFUNCTION("""COMPUTED_VALUE"""),"有")</f>
        <v>有</v>
      </c>
      <c r="Y73" s="8" t="str">
        <f>IFERROR(__xludf.DUMMYFUNCTION("""COMPUTED_VALUE"""),"１巻目無料")</f>
        <v>１巻目無料</v>
      </c>
      <c r="Z73" s="7"/>
      <c r="AA73" s="7"/>
      <c r="AB73" s="7"/>
    </row>
    <row r="74" ht="186.0" customHeight="1">
      <c r="A74" s="8">
        <f>IFERROR(__xludf.DUMMYFUNCTION("""COMPUTED_VALUE"""),1595.0)</f>
        <v>1595</v>
      </c>
      <c r="B74" s="9" t="str">
        <f>IFERROR(__xludf.DUMMYFUNCTION("""COMPUTED_VALUE"""),"確定")</f>
        <v>確定</v>
      </c>
      <c r="C74" s="10">
        <f>IFERROR(__xludf.DUMMYFUNCTION("""COMPUTED_VALUE"""),44910.0)</f>
        <v>44910</v>
      </c>
      <c r="D74" s="10">
        <f>IFERROR(__xludf.DUMMYFUNCTION("""COMPUTED_VALUE"""),44910.0)</f>
        <v>44910</v>
      </c>
      <c r="E74" s="8">
        <f>IFERROR(__xludf.DUMMYFUNCTION("""COMPUTED_VALUE"""),259968.0)</f>
        <v>259968</v>
      </c>
      <c r="F74" s="9" t="str">
        <f>IFERROR(__xludf.DUMMYFUNCTION("""COMPUTED_VALUE"""),"皇帝陛下と秘めやかな鳥かご～新妻が可愛すぎて限界突破しました!!～")</f>
        <v>皇帝陛下と秘めやかな鳥かご～新妻が可愛すぎて限界突破しました!!～</v>
      </c>
      <c r="G74" s="11">
        <f>IFERROR(__xludf.DUMMYFUNCTION("""COMPUTED_VALUE"""),1.0)</f>
        <v>1</v>
      </c>
      <c r="H74" s="8" t="str">
        <f>IFERROR(__xludf.DUMMYFUNCTION("""COMPUTED_VALUE"""),"城之内寧々")</f>
        <v>城之内寧々</v>
      </c>
      <c r="I74" s="8" t="str">
        <f>IFERROR(__xludf.DUMMYFUNCTION("""COMPUTED_VALUE"""),"TL")</f>
        <v>TL</v>
      </c>
      <c r="J74" s="8"/>
      <c r="K74" s="8"/>
      <c r="L74" s="8" t="str">
        <f>IFERROR(__xludf.DUMMYFUNCTION("""COMPUTED_VALUE"""),"乙女ドルチェ・コミックス")</f>
        <v>乙女ドルチェ・コミックス</v>
      </c>
      <c r="M74" s="12">
        <f>IFERROR(__xludf.DUMMYFUNCTION("""COMPUTED_VALUE"""),44944.0)</f>
        <v>44944</v>
      </c>
      <c r="N74" s="12">
        <f>IFERROR(__xludf.DUMMYFUNCTION("""COMPUTED_VALUE"""),44973.0)</f>
        <v>44973</v>
      </c>
      <c r="O74" s="11"/>
      <c r="P74" s="9" t="str">
        <f>IFERROR(__xludf.DUMMYFUNCTION("""COMPUTED_VALUE"""),"可")</f>
        <v>可</v>
      </c>
      <c r="Q74" s="8"/>
      <c r="R74" s="9"/>
      <c r="S74" s="8" t="str">
        <f>IFERROR(__xludf.DUMMYFUNCTION("""COMPUTED_VALUE"""),"20221215_乙女ドルチェコミックス_1月新作")</f>
        <v>20221215_乙女ドルチェコミックス_1月新作</v>
      </c>
      <c r="T74" s="9"/>
      <c r="U74" s="9" t="str">
        <f>IFERROR(__xludf.DUMMYFUNCTION("""COMPUTED_VALUE"""),"©城之内寧々・月城うさぎ／ハーパーコリンズ・ジャパン")</f>
        <v>©城之内寧々・月城うさぎ／ハーパーコリンズ・ジャパン</v>
      </c>
      <c r="V74" s="8" t="str">
        <f>IFERROR(__xludf.DUMMYFUNCTION("""COMPUTED_VALUE"""),"「もっと触れてほしいのに──」
不器用な皇帝陛下に、
初めての誘惑!?
「陛下…もっと私に触れてください」。その愛撫は甘く体を蕩かし──。儚げな容姿から妖精姫と謳われる、王女ユフィ。女王である母の命で、遠国の帝国皇帝ディートハルトのもとに嫁ぐことになった彼女は、婚姻式で彼に一目惚れする。しかし、なぜかディートハルトはユフィに指一本触れようとしない。初夜すらないままの日々をいぶかしんだユフィは、迷ったふりをして彼の私室に乗り込むが、そこには巨大な鳥かごが!?彼の真意を悟ったユフィは、自ら鳥かごに入りディー"&amp;"トハルトを誘惑する。きわどい二人の行為は徐々にエスカレートして…！")</f>
        <v>「もっと触れてほしいのに──」
不器用な皇帝陛下に、
初めての誘惑!?
「陛下…もっと私に触れてください」。その愛撫は甘く体を蕩かし──。儚げな容姿から妖精姫と謳われる、王女ユフィ。女王である母の命で、遠国の帝国皇帝ディートハルトのもとに嫁ぐことになった彼女は、婚姻式で彼に一目惚れする。しかし、なぜかディートハルトはユフィに指一本触れようとしない。初夜すらないままの日々をいぶかしんだユフィは、迷ったふりをして彼の私室に乗り込むが、そこには巨大な鳥かごが!?彼の真意を悟ったユフィは、自ら鳥かごに入りディートハルトを誘惑する。きわどい二人の行為は徐々にエスカレートして…！</v>
      </c>
      <c r="W74" s="8"/>
      <c r="X74" s="8" t="str">
        <f>IFERROR(__xludf.DUMMYFUNCTION("""COMPUTED_VALUE"""),"有")</f>
        <v>有</v>
      </c>
      <c r="Y74" s="8" t="str">
        <f>IFERROR(__xludf.DUMMYFUNCTION("""COMPUTED_VALUE"""),"1/31までP46まで増量中")</f>
        <v>1/31までP46まで増量中</v>
      </c>
      <c r="Z74" s="7"/>
      <c r="AA74" s="7"/>
      <c r="AB74" s="7"/>
    </row>
    <row r="75" ht="192.75" customHeight="1">
      <c r="A75" s="8">
        <f>IFERROR(__xludf.DUMMYFUNCTION("""COMPUTED_VALUE"""),1596.0)</f>
        <v>1596</v>
      </c>
      <c r="B75" s="9" t="str">
        <f>IFERROR(__xludf.DUMMYFUNCTION("""COMPUTED_VALUE"""),"確定")</f>
        <v>確定</v>
      </c>
      <c r="C75" s="10">
        <f>IFERROR(__xludf.DUMMYFUNCTION("""COMPUTED_VALUE"""),44910.0)</f>
        <v>44910</v>
      </c>
      <c r="D75" s="10">
        <f>IFERROR(__xludf.DUMMYFUNCTION("""COMPUTED_VALUE"""),44910.0)</f>
        <v>44910</v>
      </c>
      <c r="E75" s="8">
        <f>IFERROR(__xludf.DUMMYFUNCTION("""COMPUTED_VALUE"""),259965.0)</f>
        <v>259965</v>
      </c>
      <c r="F75" s="9" t="str">
        <f>IFERROR(__xludf.DUMMYFUNCTION("""COMPUTED_VALUE"""),"淫夜の悪魔と塔の上の乙女")</f>
        <v>淫夜の悪魔と塔の上の乙女</v>
      </c>
      <c r="G75" s="11">
        <f>IFERROR(__xludf.DUMMYFUNCTION("""COMPUTED_VALUE"""),1.0)</f>
        <v>1</v>
      </c>
      <c r="H75" s="8" t="str">
        <f>IFERROR(__xludf.DUMMYFUNCTION("""COMPUTED_VALUE"""),"氷栗　優")</f>
        <v>氷栗　優</v>
      </c>
      <c r="I75" s="8" t="str">
        <f>IFERROR(__xludf.DUMMYFUNCTION("""COMPUTED_VALUE"""),"TL")</f>
        <v>TL</v>
      </c>
      <c r="J75" s="8"/>
      <c r="K75" s="8"/>
      <c r="L75" s="8" t="str">
        <f>IFERROR(__xludf.DUMMYFUNCTION("""COMPUTED_VALUE"""),"乙女ドルチェ・コミックス")</f>
        <v>乙女ドルチェ・コミックス</v>
      </c>
      <c r="M75" s="12">
        <f>IFERROR(__xludf.DUMMYFUNCTION("""COMPUTED_VALUE"""),44944.0)</f>
        <v>44944</v>
      </c>
      <c r="N75" s="12">
        <f>IFERROR(__xludf.DUMMYFUNCTION("""COMPUTED_VALUE"""),44973.0)</f>
        <v>44973</v>
      </c>
      <c r="O75" s="11"/>
      <c r="P75" s="9" t="str">
        <f>IFERROR(__xludf.DUMMYFUNCTION("""COMPUTED_VALUE"""),"可")</f>
        <v>可</v>
      </c>
      <c r="Q75" s="8"/>
      <c r="R75" s="9"/>
      <c r="S75" s="8" t="str">
        <f>IFERROR(__xludf.DUMMYFUNCTION("""COMPUTED_VALUE"""),"20221215_乙女ドルチェコミックス_1月新作")</f>
        <v>20221215_乙女ドルチェコミックス_1月新作</v>
      </c>
      <c r="T75" s="9"/>
      <c r="U75" s="9" t="str">
        <f>IFERROR(__xludf.DUMMYFUNCTION("""COMPUTED_VALUE"""),"©長谷河樹衣・槇原まき／ハーパーコリンズ・ジャパン")</f>
        <v>©長谷河樹衣・槇原まき／ハーパーコリンズ・ジャパン</v>
      </c>
      <c r="V75" s="8" t="str">
        <f>IFERROR(__xludf.DUMMYFUNCTION("""COMPUTED_VALUE"""),"キスの仕方、達し方も…、
快楽と胸の高鳴りを教えこまれていく。
「悦びに蕩けた顔を見せてくれ」純真無垢な姫君は、夜毎に訪れる「悪魔」の手で淫らに花開いていく…。修道院育ちの貴族の娘トゥーリアは、怪我の手当で訪れた美しい男フェルナンドと接しないよう、塔に隠されることになった。彼に想像を巡らせながら迎えた夜、フェルナンドが彼女の許を訪ねてくる。「情熱的なお姫様だ」初めて見る若い男に思わず触れるトゥーリアに、フェルナンドは貪るようなキスをする。身体の奥、溢れる蜜をかき混ぜられて、トゥーリアは知らなかった快感を"&amp;"覚えていく。彼の正体を知らないまま、夜に逢瀬を重ねていくが…!?")</f>
        <v>キスの仕方、達し方も…、
快楽と胸の高鳴りを教えこまれていく。
「悦びに蕩けた顔を見せてくれ」純真無垢な姫君は、夜毎に訪れる「悪魔」の手で淫らに花開いていく…。修道院育ちの貴族の娘トゥーリアは、怪我の手当で訪れた美しい男フェルナンドと接しないよう、塔に隠されることになった。彼に想像を巡らせながら迎えた夜、フェルナンドが彼女の許を訪ねてくる。「情熱的なお姫様だ」初めて見る若い男に思わず触れるトゥーリアに、フェルナンドは貪るようなキスをする。身体の奥、溢れる蜜をかき混ぜられて、トゥーリアは知らなかった快感を覚えていく。彼の正体を知らないまま、夜に逢瀬を重ねていくが…!?</v>
      </c>
      <c r="W75" s="8"/>
      <c r="X75" s="8" t="str">
        <f>IFERROR(__xludf.DUMMYFUNCTION("""COMPUTED_VALUE"""),"有")</f>
        <v>有</v>
      </c>
      <c r="Y75" s="8" t="str">
        <f>IFERROR(__xludf.DUMMYFUNCTION("""COMPUTED_VALUE"""),"1/31までP37まで増量中")</f>
        <v>1/31までP37まで増量中</v>
      </c>
      <c r="Z75" s="7"/>
      <c r="AA75" s="7"/>
      <c r="AB75" s="7"/>
    </row>
    <row r="76" ht="139.5" customHeight="1">
      <c r="A76" s="8">
        <f>IFERROR(__xludf.DUMMYFUNCTION("""COMPUTED_VALUE"""),1597.0)</f>
        <v>1597</v>
      </c>
      <c r="B76" s="9" t="str">
        <f>IFERROR(__xludf.DUMMYFUNCTION("""COMPUTED_VALUE"""),"確定")</f>
        <v>確定</v>
      </c>
      <c r="C76" s="10">
        <f>IFERROR(__xludf.DUMMYFUNCTION("""COMPUTED_VALUE"""),44910.0)</f>
        <v>44910</v>
      </c>
      <c r="D76" s="10">
        <f>IFERROR(__xludf.DUMMYFUNCTION("""COMPUTED_VALUE"""),44910.0)</f>
        <v>44910</v>
      </c>
      <c r="E76" s="8">
        <f>IFERROR(__xludf.DUMMYFUNCTION("""COMPUTED_VALUE"""),259964.0)</f>
        <v>259964</v>
      </c>
      <c r="F76" s="9" t="str">
        <f>IFERROR(__xludf.DUMMYFUNCTION("""COMPUTED_VALUE"""),"再会した元カレが、ドＳから変態ドＭになっていたんですが!?")</f>
        <v>再会した元カレが、ドＳから変態ドＭになっていたんですが!?</v>
      </c>
      <c r="G76" s="11">
        <f>IFERROR(__xludf.DUMMYFUNCTION("""COMPUTED_VALUE"""),1.0)</f>
        <v>1</v>
      </c>
      <c r="H76" s="8" t="str">
        <f>IFERROR(__xludf.DUMMYFUNCTION("""COMPUTED_VALUE"""),"長谷河樹衣")</f>
        <v>長谷河樹衣</v>
      </c>
      <c r="I76" s="8" t="str">
        <f>IFERROR(__xludf.DUMMYFUNCTION("""COMPUTED_VALUE"""),"TL")</f>
        <v>TL</v>
      </c>
      <c r="J76" s="8"/>
      <c r="K76" s="8"/>
      <c r="L76" s="8" t="str">
        <f>IFERROR(__xludf.DUMMYFUNCTION("""COMPUTED_VALUE"""),"乙女ドルチェ・コミックス")</f>
        <v>乙女ドルチェ・コミックス</v>
      </c>
      <c r="M76" s="12">
        <f>IFERROR(__xludf.DUMMYFUNCTION("""COMPUTED_VALUE"""),44944.0)</f>
        <v>44944</v>
      </c>
      <c r="N76" s="12">
        <f>IFERROR(__xludf.DUMMYFUNCTION("""COMPUTED_VALUE"""),44973.0)</f>
        <v>44973</v>
      </c>
      <c r="O76" s="11"/>
      <c r="P76" s="9" t="str">
        <f>IFERROR(__xludf.DUMMYFUNCTION("""COMPUTED_VALUE"""),"可")</f>
        <v>可</v>
      </c>
      <c r="Q76" s="8"/>
      <c r="R76" s="9"/>
      <c r="S76" s="8" t="str">
        <f>IFERROR(__xludf.DUMMYFUNCTION("""COMPUTED_VALUE"""),"20221215_乙女ドルチェコミックス_1月新作")</f>
        <v>20221215_乙女ドルチェコミックス_1月新作</v>
      </c>
      <c r="T76" s="9"/>
      <c r="U76" s="9" t="str">
        <f>IFERROR(__xludf.DUMMYFUNCTION("""COMPUTED_VALUE"""),"©長谷河樹衣・槇原まき／ハーパーコリンズ・ジャパン")</f>
        <v>©長谷河樹衣・槇原まき／ハーパーコリンズ・ジャパン</v>
      </c>
      <c r="V76" s="8" t="str">
        <f>IFERROR(__xludf.DUMMYFUNCTION("""COMPUTED_VALUE"""),"元カレの豹変・溺愛・服従に
振り回されて…!?
インテリアデザイナーの香澄が仕事先で再会したのは、学生時代の恋人・惟吹。今は豪華ホテルの取締役となった彼。その笑顔を見ると、身も心も虜にされた記憶が甘く疼くが、過去の痛みを思い出すと素直になれない…。惟吹は戸惑う香澄を食事に誘い、まだ彼女を愛していると告げる。「俺は香澄の全部が見たい。奥深くまで」ぶつけられた真っ直ぐな思いに、香澄の心もほどけていく。しかしその直後、「俺は君の忠実な犬になる！」と彼の口から、予想だにしなかった宣言が飛び出す。エッチはさらによ"&amp;"くなってるのに、Sだった彼の豹変に翻弄され──!?")</f>
        <v>元カレの豹変・溺愛・服従に
振り回されて…!?
インテリアデザイナーの香澄が仕事先で再会したのは、学生時代の恋人・惟吹。今は豪華ホテルの取締役となった彼。その笑顔を見ると、身も心も虜にされた記憶が甘く疼くが、過去の痛みを思い出すと素直になれない…。惟吹は戸惑う香澄を食事に誘い、まだ彼女を愛していると告げる。「俺は香澄の全部が見たい。奥深くまで」ぶつけられた真っ直ぐな思いに、香澄の心もほどけていく。しかしその直後、「俺は君の忠実な犬になる！」と彼の口から、予想だにしなかった宣言が飛び出す。エッチはさらによくなってるのに、Sだった彼の豹変に翻弄され──!?</v>
      </c>
      <c r="W76" s="8"/>
      <c r="X76" s="8" t="str">
        <f>IFERROR(__xludf.DUMMYFUNCTION("""COMPUTED_VALUE"""),"有")</f>
        <v>有</v>
      </c>
      <c r="Y76" s="18" t="str">
        <f>IFERROR(__xludf.DUMMYFUNCTION("""COMPUTED_VALUE"""),"1/31までP46まで増量中")</f>
        <v>1/31までP46まで増量中</v>
      </c>
      <c r="Z76" s="7"/>
      <c r="AA76" s="7"/>
      <c r="AB76" s="7"/>
    </row>
    <row r="77" ht="154.5" customHeight="1">
      <c r="A77" s="8">
        <f>IFERROR(__xludf.DUMMYFUNCTION("""COMPUTED_VALUE"""),1648.0)</f>
        <v>1648</v>
      </c>
      <c r="B77" s="9" t="str">
        <f>IFERROR(__xludf.DUMMYFUNCTION("""COMPUTED_VALUE"""),"確定")</f>
        <v>確定</v>
      </c>
      <c r="C77" s="10">
        <f>IFERROR(__xludf.DUMMYFUNCTION("""COMPUTED_VALUE"""),44938.0)</f>
        <v>44938</v>
      </c>
      <c r="D77" s="10">
        <f>IFERROR(__xludf.DUMMYFUNCTION("""COMPUTED_VALUE"""),44939.0)</f>
        <v>44939</v>
      </c>
      <c r="E77" s="8">
        <f>IFERROR(__xludf.DUMMYFUNCTION("""COMPUTED_VALUE"""),259895.0)</f>
        <v>259895</v>
      </c>
      <c r="F77" s="9" t="str">
        <f>IFERROR(__xludf.DUMMYFUNCTION("""COMPUTED_VALUE"""),"離婚予定の契約婚なのに、冷酷公爵様に執着されています（分冊版）")</f>
        <v>離婚予定の契約婚なのに、冷酷公爵様に執着されています（分冊版）</v>
      </c>
      <c r="G77" s="11" t="str">
        <f>IFERROR(__xludf.DUMMYFUNCTION("""COMPUTED_VALUE"""),"1～2")</f>
        <v>1～2</v>
      </c>
      <c r="H77" s="8" t="str">
        <f>IFERROR(__xludf.DUMMYFUNCTION("""COMPUTED_VALUE"""),"琴子,紡木すあ")</f>
        <v>琴子,紡木すあ</v>
      </c>
      <c r="I77" s="14" t="str">
        <f>IFERROR(__xludf.DUMMYFUNCTION("""COMPUTED_VALUE"""),"少女")</f>
        <v>少女</v>
      </c>
      <c r="J77" s="8"/>
      <c r="K77" s="8"/>
      <c r="L77" s="8" t="str">
        <f>IFERROR(__xludf.DUMMYFUNCTION("""COMPUTED_VALUE"""),"ぶんか社")</f>
        <v>ぶんか社</v>
      </c>
      <c r="M77" s="12">
        <f>IFERROR(__xludf.DUMMYFUNCTION("""COMPUTED_VALUE"""),44945.0)</f>
        <v>44945</v>
      </c>
      <c r="N77" s="12">
        <f>IFERROR(__xludf.DUMMYFUNCTION("""COMPUTED_VALUE"""),45000.0)</f>
        <v>45000</v>
      </c>
      <c r="O77" s="11"/>
      <c r="P77" s="9" t="str">
        <f>IFERROR(__xludf.DUMMYFUNCTION("""COMPUTED_VALUE"""),"否")</f>
        <v>否</v>
      </c>
      <c r="Q77" s="8"/>
      <c r="R77" s="9">
        <f>IFERROR(__xludf.DUMMYFUNCTION("""COMPUTED_VALUE"""),44937.0)</f>
        <v>44937</v>
      </c>
      <c r="S77" s="8" t="str">
        <f>IFERROR(__xludf.DUMMYFUNCTION("""COMPUTED_VALUE"""),"20230112_ぶんか社_離婚予定の契約婚なのに、冷酷公爵様に執着されています（分冊版）")</f>
        <v>20230112_ぶんか社_離婚予定の契約婚なのに、冷酷公爵様に執着されています（分冊版）</v>
      </c>
      <c r="T77" s="9"/>
      <c r="U77" s="9" t="str">
        <f>IFERROR(__xludf.DUMMYFUNCTION("""COMPUTED_VALUE"""),"©紡木すあ・琴子/ぶんか社")</f>
        <v>©紡木すあ・琴子/ぶんか社</v>
      </c>
      <c r="V77" s="8" t="str">
        <f>IFERROR(__xludf.DUMMYFUNCTION("""COMPUTED_VALUE"""),"「好きだよ、ミラ」
いつものように【キス】をするダリウス様。
私達の契約結婚は2年限り、愛のない関係のはずだったのにーー!?
孤児院育ちのミラは生まれつき魔力を吸い込むことができる能力を持ち、
義父のウェストン男爵に瘴気を帯びた剣や魔道具の浄化をさせられ続けていた。
その結果、体はボロボロになり、医者から1年も生きられないと告げられてしまう。
ある日、神殿で倒れてしまったミラは美しい一人の女性・アンネリーゼに助けられる。
彼女の弟・ダリウスは筆頭公爵で聖騎士団長、しかし魔力過多症という病に苦み続けてい"&amp;"た。
アンネリーゼはミラを男爵から救う代わりに弟を助けてほしいと提案する。
魔力を吸う力を持ったヒロインと魔力過多症に悩むヒーロー、余命わずかな二人が生き延びる方法は、【キス】すること!!??
※この作品は『PRIMO Vol.16』に収録されています。重複購入にご注意下さい。")</f>
        <v>「好きだよ、ミラ」
いつものように【キス】をするダリウス様。
私達の契約結婚は2年限り、愛のない関係のはずだったのにーー!?
孤児院育ちのミラは生まれつき魔力を吸い込むことができる能力を持ち、
義父のウェストン男爵に瘴気を帯びた剣や魔道具の浄化をさせられ続けていた。
その結果、体はボロボロになり、医者から1年も生きられないと告げられてしまう。
ある日、神殿で倒れてしまったミラは美しい一人の女性・アンネリーゼに助けられる。
彼女の弟・ダリウスは筆頭公爵で聖騎士団長、しかし魔力過多症という病に苦み続けていた。
アンネリーゼはミラを男爵から救う代わりに弟を助けてほしいと提案する。
魔力を吸う力を持ったヒロインと魔力過多症に悩むヒーロー、余命わずかな二人が生き延びる方法は、【キス】すること!!??
※この作品は『PRIMO Vol.16』に収録されています。重複購入にご注意下さい。</v>
      </c>
      <c r="W77" s="8"/>
      <c r="X77" s="8" t="str">
        <f>IFERROR(__xludf.DUMMYFUNCTION("""COMPUTED_VALUE"""),"有")</f>
        <v>有</v>
      </c>
      <c r="Y77" s="8" t="str">
        <f>IFERROR(__xludf.DUMMYFUNCTION("""COMPUTED_VALUE"""),"P15まで")</f>
        <v>P15まで</v>
      </c>
      <c r="Z77" s="7"/>
      <c r="AA77" s="7"/>
      <c r="AB77" s="7"/>
    </row>
    <row r="78" ht="15.75" customHeight="1">
      <c r="A78" s="8">
        <f>IFERROR(__xludf.DUMMYFUNCTION("""COMPUTED_VALUE"""),1578.0)</f>
        <v>1578</v>
      </c>
      <c r="B78" s="9" t="str">
        <f>IFERROR(__xludf.DUMMYFUNCTION("""COMPUTED_VALUE"""),"確定")</f>
        <v>確定</v>
      </c>
      <c r="C78" s="10">
        <f>IFERROR(__xludf.DUMMYFUNCTION("""COMPUTED_VALUE"""),44901.0)</f>
        <v>44901</v>
      </c>
      <c r="D78" s="10">
        <f>IFERROR(__xludf.DUMMYFUNCTION("""COMPUTED_VALUE"""),44901.0)</f>
        <v>44901</v>
      </c>
      <c r="E78" s="8">
        <f>IFERROR(__xludf.DUMMYFUNCTION("""COMPUTED_VALUE"""),258727.0)</f>
        <v>258727</v>
      </c>
      <c r="F78" s="9" t="str">
        <f>IFERROR(__xludf.DUMMYFUNCTION("""COMPUTED_VALUE"""),"花の晩餐")</f>
        <v>花の晩餐</v>
      </c>
      <c r="G78" s="11" t="str">
        <f>IFERROR(__xludf.DUMMYFUNCTION("""COMPUTED_VALUE"""),"1～4")</f>
        <v>1～4</v>
      </c>
      <c r="H78" s="8" t="str">
        <f>IFERROR(__xludf.DUMMYFUNCTION("""COMPUTED_VALUE"""),"ss")</f>
        <v>ss</v>
      </c>
      <c r="I78" s="8" t="str">
        <f>IFERROR(__xludf.DUMMYFUNCTION("""COMPUTED_VALUE"""),"BL")</f>
        <v>BL</v>
      </c>
      <c r="J78" s="8"/>
      <c r="K78" s="8"/>
      <c r="L78" s="8" t="str">
        <f>IFERROR(__xludf.DUMMYFUNCTION("""COMPUTED_VALUE"""),"Rush!")</f>
        <v>Rush!</v>
      </c>
      <c r="M78" s="12">
        <f>IFERROR(__xludf.DUMMYFUNCTION("""COMPUTED_VALUE"""),44946.0)</f>
        <v>44946</v>
      </c>
      <c r="N78" s="12">
        <f>IFERROR(__xludf.DUMMYFUNCTION("""COMPUTED_VALUE"""),44987.0)</f>
        <v>44987</v>
      </c>
      <c r="O78" s="11"/>
      <c r="P78" s="9" t="str">
        <f>IFERROR(__xludf.DUMMYFUNCTION("""COMPUTED_VALUE"""),"可")</f>
        <v>可</v>
      </c>
      <c r="Q78" s="8"/>
      <c r="R78" s="9"/>
      <c r="S78" s="8" t="str">
        <f>IFERROR(__xludf.DUMMYFUNCTION("""COMPUTED_VALUE"""),"20221206_ファンギルド_花の晩餐")</f>
        <v>20221206_ファンギルド_花の晩餐</v>
      </c>
      <c r="T78" s="9"/>
      <c r="U78" s="9" t="str">
        <f>IFERROR(__xludf.DUMMYFUNCTION("""COMPUTED_VALUE"""),"©ss")</f>
        <v>©ss</v>
      </c>
      <c r="V78" s="8" t="str">
        <f>IFERROR(__xludf.DUMMYFUNCTION("""COMPUTED_VALUE"""),"「愛してる…食べてしまいたい程。」実家の飲食店を手伝うソホの恋人…美しくて優しいユファ。花屋を営む彼とは身体の相性もよく、幸せで満たされた日々が永遠に続くと思っていた。そんな矢先、料理中に怪我をしたソホの血を見たユファが急に顔色を変え、その血を口に含んだ。ソホの血を舐め恍惚とするその姿はまるで吸血鬼か何かのようで――！？思い返されるのは、普通ではなかったユファとの出会い。愛した相手は人間？それとも…")</f>
        <v>「愛してる…食べてしまいたい程。」実家の飲食店を手伝うソホの恋人…美しくて優しいユファ。花屋を営む彼とは身体の相性もよく、幸せで満たされた日々が永遠に続くと思っていた。そんな矢先、料理中に怪我をしたソホの血を見たユファが急に顔色を変え、その血を口に含んだ。ソホの血を舐め恍惚とするその姿はまるで吸血鬼か何かのようで――！？思い返されるのは、普通ではなかったユファとの出会い。愛した相手は人間？それとも…</v>
      </c>
      <c r="W78" s="8"/>
      <c r="X78" s="8" t="str">
        <f>IFERROR(__xludf.DUMMYFUNCTION("""COMPUTED_VALUE"""),"有")</f>
        <v>有</v>
      </c>
      <c r="Y78" s="8" t="str">
        <f>IFERROR(__xludf.DUMMYFUNCTION("""COMPUTED_VALUE"""),"１巻目無料")</f>
        <v>１巻目無料</v>
      </c>
      <c r="Z78" s="7"/>
      <c r="AA78" s="7"/>
      <c r="AB78" s="7"/>
    </row>
    <row r="79" ht="156.75" customHeight="1">
      <c r="A79" s="8">
        <f>IFERROR(__xludf.DUMMYFUNCTION("""COMPUTED_VALUE"""),1601.0)</f>
        <v>1601</v>
      </c>
      <c r="B79" s="9" t="str">
        <f>IFERROR(__xludf.DUMMYFUNCTION("""COMPUTED_VALUE"""),"確定")</f>
        <v>確定</v>
      </c>
      <c r="C79" s="10">
        <f>IFERROR(__xludf.DUMMYFUNCTION("""COMPUTED_VALUE"""),44914.0)</f>
        <v>44914</v>
      </c>
      <c r="D79" s="10">
        <f>IFERROR(__xludf.DUMMYFUNCTION("""COMPUTED_VALUE"""),44914.0)</f>
        <v>44914</v>
      </c>
      <c r="E79" s="8">
        <f>IFERROR(__xludf.DUMMYFUNCTION("""COMPUTED_VALUE"""),248746.0)</f>
        <v>248746</v>
      </c>
      <c r="F79" s="9" t="str">
        <f>IFERROR(__xludf.DUMMYFUNCTION("""COMPUTED_VALUE"""),"先輩たちに求められすぎて困っています…(フルカラー)")</f>
        <v>先輩たちに求められすぎて困っています…(フルカラー)</v>
      </c>
      <c r="G79" s="11" t="str">
        <f>IFERROR(__xludf.DUMMYFUNCTION("""COMPUTED_VALUE"""),"1～3")</f>
        <v>1～3</v>
      </c>
      <c r="H79" s="8" t="str">
        <f>IFERROR(__xludf.DUMMYFUNCTION("""COMPUTED_VALUE"""),"R.A,Potato")</f>
        <v>R.A,Potato</v>
      </c>
      <c r="I79" s="14" t="str">
        <f>IFERROR(__xludf.DUMMYFUNCTION("""COMPUTED_VALUE"""),"青年")</f>
        <v>青年</v>
      </c>
      <c r="J79" s="8"/>
      <c r="K79" s="8"/>
      <c r="L79" s="8" t="str">
        <f>IFERROR(__xludf.DUMMYFUNCTION("""COMPUTED_VALUE"""),"ソルマーレ編集部")</f>
        <v>ソルマーレ編集部</v>
      </c>
      <c r="M79" s="12">
        <f>IFERROR(__xludf.DUMMYFUNCTION("""COMPUTED_VALUE"""),44947.0)</f>
        <v>44947</v>
      </c>
      <c r="N79" s="12">
        <f>IFERROR(__xludf.DUMMYFUNCTION("""COMPUTED_VALUE"""),45008.0)</f>
        <v>45008</v>
      </c>
      <c r="O79" s="11"/>
      <c r="P79" s="9" t="str">
        <f>IFERROR(__xludf.DUMMYFUNCTION("""COMPUTED_VALUE"""),"可")</f>
        <v>可</v>
      </c>
      <c r="Q79" s="8"/>
      <c r="R79" s="9"/>
      <c r="S79" s="8" t="str">
        <f>IFERROR(__xludf.DUMMYFUNCTION("""COMPUTED_VALUE"""),"20221219_ソルマーレ編集部_先輩たちに求められすぎて困っています…（フルカラー）")</f>
        <v>20221219_ソルマーレ編集部_先輩たちに求められすぎて困っています…（フルカラー）</v>
      </c>
      <c r="T79" s="15"/>
      <c r="U79" s="9" t="str">
        <f>IFERROR(__xludf.DUMMYFUNCTION("""COMPUTED_VALUE"""),"Ⓒ potato/R.A/シーモアコミックス")</f>
        <v>Ⓒ potato/R.A/シーモアコミックス</v>
      </c>
      <c r="V79" s="8" t="str">
        <f>IFERROR(__xludf.DUMMYFUNCTION("""COMPUTED_VALUE"""),"人並み外れた運動能力とフィジカルを誇る青年・諏訪拓磨。目標だった大学に入学して早々、先輩・薄井沙月の胸を見て勃起するという大失態を犯してしまう。夢のキャンパスライフが拗れていくのを感じた拓磨だったが、本人の予想とは違い、彼のもつ立派な『アレ』を巡って、キャンパスの女神たちの神経戦が始まっていた。どうなる！？オレのキャンパスライフ…！【ズズズキュン！】")</f>
        <v>人並み外れた運動能力とフィジカルを誇る青年・諏訪拓磨。目標だった大学に入学して早々、先輩・薄井沙月の胸を見て勃起するという大失態を犯してしまう。夢のキャンパスライフが拗れていくのを感じた拓磨だったが、本人の予想とは違い、彼のもつ立派な『アレ』を巡って、キャンパスの女神たちの神経戦が始まっていた。どうなる！？オレのキャンパスライフ…！【ズズズキュン！】</v>
      </c>
      <c r="W79" s="8"/>
      <c r="X79" s="8" t="str">
        <f>IFERROR(__xludf.DUMMYFUNCTION("""COMPUTED_VALUE"""),"有")</f>
        <v>有</v>
      </c>
      <c r="Y79" s="8" t="str">
        <f>IFERROR(__xludf.DUMMYFUNCTION("""COMPUTED_VALUE"""),"１巻目無料")</f>
        <v>１巻目無料</v>
      </c>
      <c r="Z79" s="7"/>
      <c r="AA79" s="7"/>
      <c r="AB79" s="7"/>
    </row>
    <row r="80" ht="15.75" customHeight="1">
      <c r="A80" s="8">
        <f>IFERROR(__xludf.DUMMYFUNCTION("""COMPUTED_VALUE"""),1602.0)</f>
        <v>1602</v>
      </c>
      <c r="B80" s="9" t="str">
        <f>IFERROR(__xludf.DUMMYFUNCTION("""COMPUTED_VALUE"""),"確定")</f>
        <v>確定</v>
      </c>
      <c r="C80" s="10">
        <f>IFERROR(__xludf.DUMMYFUNCTION("""COMPUTED_VALUE"""),44914.0)</f>
        <v>44914</v>
      </c>
      <c r="D80" s="10">
        <f>IFERROR(__xludf.DUMMYFUNCTION("""COMPUTED_VALUE"""),44914.0)</f>
        <v>44914</v>
      </c>
      <c r="E80" s="8">
        <f>IFERROR(__xludf.DUMMYFUNCTION("""COMPUTED_VALUE"""),248747.0)</f>
        <v>248747</v>
      </c>
      <c r="F80" s="9" t="str">
        <f>IFERROR(__xludf.DUMMYFUNCTION("""COMPUTED_VALUE"""),"先輩たちに求められすぎて困っています…【タテヨミ】")</f>
        <v>先輩たちに求められすぎて困っています…【タテヨミ】</v>
      </c>
      <c r="G80" s="11" t="str">
        <f>IFERROR(__xludf.DUMMYFUNCTION("""COMPUTED_VALUE"""),"1～9")</f>
        <v>1～9</v>
      </c>
      <c r="H80" s="8" t="str">
        <f>IFERROR(__xludf.DUMMYFUNCTION("""COMPUTED_VALUE"""),"R.A,Potato")</f>
        <v>R.A,Potato</v>
      </c>
      <c r="I80" s="14" t="str">
        <f>IFERROR(__xludf.DUMMYFUNCTION("""COMPUTED_VALUE"""),"青年")</f>
        <v>青年</v>
      </c>
      <c r="J80" s="8"/>
      <c r="K80" s="8"/>
      <c r="L80" s="8" t="str">
        <f>IFERROR(__xludf.DUMMYFUNCTION("""COMPUTED_VALUE"""),"ソルマーレ編集部")</f>
        <v>ソルマーレ編集部</v>
      </c>
      <c r="M80" s="12">
        <f>IFERROR(__xludf.DUMMYFUNCTION("""COMPUTED_VALUE"""),44947.0)</f>
        <v>44947</v>
      </c>
      <c r="N80" s="12">
        <f>IFERROR(__xludf.DUMMYFUNCTION("""COMPUTED_VALUE"""),45008.0)</f>
        <v>45008</v>
      </c>
      <c r="O80" s="11"/>
      <c r="P80" s="9" t="str">
        <f>IFERROR(__xludf.DUMMYFUNCTION("""COMPUTED_VALUE"""),"可")</f>
        <v>可</v>
      </c>
      <c r="Q80" s="8" t="str">
        <f>IFERROR(__xludf.DUMMYFUNCTION("""COMPUTED_VALUE"""),"コマサム等素材は「248746　先輩たちに求められすぎて困っています…(フルカラー)」のほうをお使いください&lt;BR&gt;バナー制作はフルカラー版の素材を利用して問題ございません。&lt;BR&gt;")</f>
        <v>コマサム等素材は「248746　先輩たちに求められすぎて困っています…(フルカラー)」のほうをお使いください&lt;BR&gt;バナー制作はフルカラー版の素材を利用して問題ございません。&lt;BR&gt;</v>
      </c>
      <c r="R80" s="9"/>
      <c r="S80" s="8" t="str">
        <f>IFERROR(__xludf.DUMMYFUNCTION("""COMPUTED_VALUE"""),"20221219_ソルマーレ編集部_先輩たちに求められすぎて困っています…【タテヨミ】")</f>
        <v>20221219_ソルマーレ編集部_先輩たちに求められすぎて困っています…【タテヨミ】</v>
      </c>
      <c r="T80" s="15"/>
      <c r="U80" s="9" t="str">
        <f>IFERROR(__xludf.DUMMYFUNCTION("""COMPUTED_VALUE"""),"Ⓒ potato/R.A/シーモアコミックス")</f>
        <v>Ⓒ potato/R.A/シーモアコミックス</v>
      </c>
      <c r="V80" s="8" t="str">
        <f>IFERROR(__xludf.DUMMYFUNCTION("""COMPUTED_VALUE"""),"人並み外れた運動能力とフィジカルを誇る青年・諏訪拓磨。目標だった大学に入学して早々、先輩・薄井沙月の胸を見て勃起するという大失態を犯してしまう。夢のキャンパスライフが拗れていくのを感じた拓磨だったが、本人の予想とは違い、彼のもつ立派な『アレ』を巡って、キャンパスの女神たちの神経戦が始まっていた。どうなる！？オレのキャンパスライフ…！【ズズズキュン！】")</f>
        <v>人並み外れた運動能力とフィジカルを誇る青年・諏訪拓磨。目標だった大学に入学して早々、先輩・薄井沙月の胸を見て勃起するという大失態を犯してしまう。夢のキャンパスライフが拗れていくのを感じた拓磨だったが、本人の予想とは違い、彼のもつ立派な『アレ』を巡って、キャンパスの女神たちの神経戦が始まっていた。どうなる！？オレのキャンパスライフ…！【ズズズキュン！】</v>
      </c>
      <c r="W80" s="8"/>
      <c r="X80" s="8" t="str">
        <f>IFERROR(__xludf.DUMMYFUNCTION("""COMPUTED_VALUE"""),"有")</f>
        <v>有</v>
      </c>
      <c r="Y80" s="8" t="str">
        <f>IFERROR(__xludf.DUMMYFUNCTION("""COMPUTED_VALUE"""),"１巻目無料")</f>
        <v>１巻目無料</v>
      </c>
      <c r="Z80" s="7"/>
      <c r="AA80" s="7"/>
      <c r="AB80" s="7"/>
    </row>
    <row r="81" ht="15.75" customHeight="1">
      <c r="A81" s="8">
        <f>IFERROR(__xludf.DUMMYFUNCTION("""COMPUTED_VALUE"""),1620.0)</f>
        <v>1620</v>
      </c>
      <c r="B81" s="9" t="str">
        <f>IFERROR(__xludf.DUMMYFUNCTION("""COMPUTED_VALUE"""),"確定")</f>
        <v>確定</v>
      </c>
      <c r="C81" s="10">
        <f>IFERROR(__xludf.DUMMYFUNCTION("""COMPUTED_VALUE"""),44922.0)</f>
        <v>44922</v>
      </c>
      <c r="D81" s="10">
        <f>IFERROR(__xludf.DUMMYFUNCTION("""COMPUTED_VALUE"""),44922.0)</f>
        <v>44922</v>
      </c>
      <c r="E81" s="8">
        <f>IFERROR(__xludf.DUMMYFUNCTION("""COMPUTED_VALUE"""),260185.0)</f>
        <v>260185</v>
      </c>
      <c r="F81" s="9" t="str">
        <f>IFERROR(__xludf.DUMMYFUNCTION("""COMPUTED_VALUE"""),"嫌いな女子とキスをする【フルカラー】")</f>
        <v>嫌いな女子とキスをする【フルカラー】</v>
      </c>
      <c r="G81" s="11" t="str">
        <f>IFERROR(__xludf.DUMMYFUNCTION("""COMPUTED_VALUE"""),"1~3")</f>
        <v>1~3</v>
      </c>
      <c r="H81" s="8" t="str">
        <f>IFERROR(__xludf.DUMMYFUNCTION("""COMPUTED_VALUE"""),"内藤らぶか・真代屋秀晃")</f>
        <v>内藤らぶか・真代屋秀晃</v>
      </c>
      <c r="I81" s="8" t="str">
        <f>IFERROR(__xludf.DUMMYFUNCTION("""COMPUTED_VALUE"""),"青年")</f>
        <v>青年</v>
      </c>
      <c r="J81" s="8"/>
      <c r="K81" s="8"/>
      <c r="L81" s="8" t="str">
        <f>IFERROR(__xludf.DUMMYFUNCTION("""COMPUTED_VALUE"""),"コミックストック")</f>
        <v>コミックストック</v>
      </c>
      <c r="M81" s="12">
        <f>IFERROR(__xludf.DUMMYFUNCTION("""COMPUTED_VALUE"""),44948.0)</f>
        <v>44948</v>
      </c>
      <c r="N81" s="12">
        <f>IFERROR(__xludf.DUMMYFUNCTION("""COMPUTED_VALUE"""),45038.0)</f>
        <v>45038</v>
      </c>
      <c r="O81" s="11"/>
      <c r="P81" s="9" t="str">
        <f>IFERROR(__xludf.DUMMYFUNCTION("""COMPUTED_VALUE"""),"可")</f>
        <v>可</v>
      </c>
      <c r="Q81" s="8" t="str">
        <f>IFERROR(__xludf.DUMMYFUNCTION("""COMPUTED_VALUE"""),"協業：シーモア×DEDEDE　※旧シーモア×Mosh！")</f>
        <v>協業：シーモア×DEDEDE　※旧シーモア×Mosh！</v>
      </c>
      <c r="R81" s="9" t="str">
        <f>IFERROR(__xludf.DUMMYFUNCTION("""COMPUTED_VALUE"""),"格納済")</f>
        <v>格納済</v>
      </c>
      <c r="S81" s="8" t="str">
        <f>IFERROR(__xludf.DUMMYFUNCTION("""COMPUTED_VALUE"""),"20221227_コミックストック_嫌いな女子とキスをする【フルカラー】")</f>
        <v>20221227_コミックストック_嫌いな女子とキスをする【フルカラー】</v>
      </c>
      <c r="T81" s="9" t="str">
        <f>IFERROR(__xludf.DUMMYFUNCTION("""COMPUTED_VALUE"""),"校了済素材")</f>
        <v>校了済素材</v>
      </c>
      <c r="U81" s="9" t="str">
        <f>IFERROR(__xludf.DUMMYFUNCTION("""COMPUTED_VALUE"""),"ⓒ内藤らぶか・真代屋秀晃/コミックストック")</f>
        <v>ⓒ内藤らぶか・真代屋秀晃/コミックストック</v>
      </c>
      <c r="V81" s="8" t="str">
        <f>IFERROR(__xludf.DUMMYFUNCTION("""COMPUTED_VALUE"""),"キスした異性を自分のものにする―そんな力を手に入れたら、自分をいじめる女子に復讐する？ 好きな幼馴染を支配する？ それとも…日高空は憂鬱な帰路をたどっていた。クラスの女子・春原美夜に脅され、明日までに１万円差し出すことを強要されていたからだ。そんな折、見覚えのない自販機を目にする。そこで販売されていたのは、飲んだ者に不思議な力を宿す“カミサマのジュース”。キスをした異性を自分の所有物にできるという。ジュースの力で態度が豹変する・春原美夜。2人の関係を勘違いしてしまう幼馴染・堂上真昼。ジュースの力を知る謎の"&amp;"少女・朝子。支配と従順、背徳と純愛がせめぎあうダークラブ・ストーリー開幕！")</f>
        <v>キスした異性を自分のものにする―そんな力を手に入れたら、自分をいじめる女子に復讐する？ 好きな幼馴染を支配する？ それとも…日高空は憂鬱な帰路をたどっていた。クラスの女子・春原美夜に脅され、明日までに１万円差し出すことを強要されていたからだ。そんな折、見覚えのない自販機を目にする。そこで販売されていたのは、飲んだ者に不思議な力を宿す“カミサマのジュース”。キスをした異性を自分の所有物にできるという。ジュースの力で態度が豹変する・春原美夜。2人の関係を勘違いしてしまう幼馴染・堂上真昼。ジュースの力を知る謎の少女・朝子。支配と従順、背徳と純愛がせめぎあうダークラブ・ストーリー開幕！</v>
      </c>
      <c r="W81" s="8"/>
      <c r="X81" s="8" t="str">
        <f>IFERROR(__xludf.DUMMYFUNCTION("""COMPUTED_VALUE"""),"有")</f>
        <v>有</v>
      </c>
      <c r="Y81" s="8" t="str">
        <f>IFERROR(__xludf.DUMMYFUNCTION("""COMPUTED_VALUE"""),"１巻無料")</f>
        <v>１巻無料</v>
      </c>
      <c r="Z81" s="7"/>
      <c r="AA81" s="7"/>
      <c r="AB81" s="7"/>
    </row>
    <row r="82" ht="15.75" customHeight="1">
      <c r="A82" s="8">
        <f>IFERROR(__xludf.DUMMYFUNCTION("""COMPUTED_VALUE"""),1437.0)</f>
        <v>1437</v>
      </c>
      <c r="B82" s="9" t="str">
        <f>IFERROR(__xludf.DUMMYFUNCTION("""COMPUTED_VALUE"""),"確定")</f>
        <v>確定</v>
      </c>
      <c r="C82" s="10">
        <f>IFERROR(__xludf.DUMMYFUNCTION("""COMPUTED_VALUE"""),44832.0)</f>
        <v>44832</v>
      </c>
      <c r="D82" s="10">
        <f>IFERROR(__xludf.DUMMYFUNCTION("""COMPUTED_VALUE"""),44956.0)</f>
        <v>44956</v>
      </c>
      <c r="E82" s="8">
        <f>IFERROR(__xludf.DUMMYFUNCTION("""COMPUTED_VALUE"""),261449.0)</f>
        <v>261449</v>
      </c>
      <c r="F82" s="9" t="str">
        <f>IFERROR(__xludf.DUMMYFUNCTION("""COMPUTED_VALUE"""),"8度目の人生、嫌われていたはずの王太子殿下の溺愛ルートにはまりました～お飾り側妃なのでどうぞお構いなく～")</f>
        <v>8度目の人生、嫌われていたはずの王太子殿下の溺愛ルートにはまりました～お飾り側妃なのでどうぞお構いなく～</v>
      </c>
      <c r="G82" s="11" t="str">
        <f>IFERROR(__xludf.DUMMYFUNCTION("""COMPUTED_VALUE"""),"1～5")</f>
        <v>1～5</v>
      </c>
      <c r="H82" s="8" t="str">
        <f>IFERROR(__xludf.DUMMYFUNCTION("""COMPUTED_VALUE"""),"ザネリ（作画）、坂野真夢　（原作）")</f>
        <v>ザネリ（作画）、坂野真夢　（原作）</v>
      </c>
      <c r="I82" s="8" t="str">
        <f>IFERROR(__xludf.DUMMYFUNCTION("""COMPUTED_VALUE"""),"女性")</f>
        <v>女性</v>
      </c>
      <c r="J82" s="8"/>
      <c r="K82" s="8"/>
      <c r="L82" s="8" t="str">
        <f>IFERROR(__xludf.DUMMYFUNCTION("""COMPUTED_VALUE"""),"スターツ出版")</f>
        <v>スターツ出版</v>
      </c>
      <c r="M82" s="12">
        <f>IFERROR(__xludf.DUMMYFUNCTION("""COMPUTED_VALUE"""),44953.0)</f>
        <v>44953</v>
      </c>
      <c r="N82" s="12">
        <f>IFERROR(__xludf.DUMMYFUNCTION("""COMPUTED_VALUE"""),44678.0)</f>
        <v>44678</v>
      </c>
      <c r="O82" s="11"/>
      <c r="P82" s="9" t="str">
        <f>IFERROR(__xludf.DUMMYFUNCTION("""COMPUTED_VALUE"""),"可")</f>
        <v>可</v>
      </c>
      <c r="Q82" s="8" t="str">
        <f>IFERROR(__xludf.DUMMYFUNCTION("""COMPUTED_VALUE"""),"広告コミットOK（9/29）")</f>
        <v>広告コミットOK（9/29）</v>
      </c>
      <c r="R82" s="9"/>
      <c r="S82" s="8" t="str">
        <f>IFERROR(__xludf.DUMMYFUNCTION("""COMPUTED_VALUE"""),"20221017_スターツ出版_8度目の人生、嫌われていたはずの王太子殿下の溺愛ルートにはまりました")</f>
        <v>20221017_スターツ出版_8度目の人生、嫌われていたはずの王太子殿下の溺愛ルートにはまりました</v>
      </c>
      <c r="T82" s="9"/>
      <c r="U82" s="9" t="str">
        <f>IFERROR(__xludf.DUMMYFUNCTION("""COMPUTED_VALUE"""),"©Zaneri・Mamu Sakano/スターツ出版")</f>
        <v>©Zaneri・Mamu Sakano/スターツ出版</v>
      </c>
      <c r="V82" s="8" t="str">
        <f>IFERROR(__xludf.DUMMYFUNCTION("""COMPUTED_VALUE"""),"【嫌われ側妃のはずですが…8度目の人生はまさかの溺愛ルート!?】人質同然の側妃として敵国の王太子・オスニエルに嫁ぐことになった王女・フィオナ。嫁いだ先では夫から愛されずに冤罪を着せられたり、毒を盛られたり…と命を失い、ループを繰り返してしまう。迎えた8度目の人生、「今度こそ生き延びたい――！」 とお飾り側妃らしく夫からの愛は期待せず生きようと決め込むフィオナだったが、天敵・オスニエルからの寵愛が止まらなくて…？ わたし、お飾り側妃のはずですが！8度目の人生は、まさかまさかの溺愛ルート突入!? Berry'"&amp;"s Fantasy大人気原作待望のコミカライズ化。 嫌われお飾り側妃×冷徹王太子の溺愛ループラブファンタジー！(この作品は電子コミック誌Berry’s Fantasy Vol.36に収録しております。重複購入にご注意ください)")</f>
        <v>【嫌われ側妃のはずですが…8度目の人生はまさかの溺愛ルート!?】人質同然の側妃として敵国の王太子・オスニエルに嫁ぐことになった王女・フィオナ。嫁いだ先では夫から愛されずに冤罪を着せられたり、毒を盛られたり…と命を失い、ループを繰り返してしまう。迎えた8度目の人生、「今度こそ生き延びたい――！」 とお飾り側妃らしく夫からの愛は期待せず生きようと決め込むフィオナだったが、天敵・オスニエルからの寵愛が止まらなくて…？ わたし、お飾り側妃のはずですが！8度目の人生は、まさかまさかの溺愛ルート突入!? Berry's Fantasy大人気原作待望のコミカライズ化。 嫌われお飾り側妃×冷徹王太子の溺愛ループラブファンタジー！(この作品は電子コミック誌Berry’s Fantasy Vol.36に収録しております。重複購入にご注意ください)</v>
      </c>
      <c r="W82" s="8"/>
      <c r="X82" s="8" t="str">
        <f>IFERROR(__xludf.DUMMYFUNCTION("""COMPUTED_VALUE"""),"有")</f>
        <v>有</v>
      </c>
      <c r="Y82" s="8" t="str">
        <f>IFERROR(__xludf.DUMMYFUNCTION("""COMPUTED_VALUE"""),"１巻目無料")</f>
        <v>１巻目無料</v>
      </c>
      <c r="Z82" s="7"/>
      <c r="AA82" s="7"/>
      <c r="AB82" s="7"/>
    </row>
    <row r="83" ht="15.75" customHeight="1">
      <c r="A83" s="8">
        <f>IFERROR(__xludf.DUMMYFUNCTION("""COMPUTED_VALUE"""),1598.0)</f>
        <v>1598</v>
      </c>
      <c r="B83" s="9" t="str">
        <f>IFERROR(__xludf.DUMMYFUNCTION("""COMPUTED_VALUE"""),"確定")</f>
        <v>確定</v>
      </c>
      <c r="C83" s="10">
        <f>IFERROR(__xludf.DUMMYFUNCTION("""COMPUTED_VALUE"""),44910.0)</f>
        <v>44910</v>
      </c>
      <c r="D83" s="10">
        <f>IFERROR(__xludf.DUMMYFUNCTION("""COMPUTED_VALUE"""),44910.0)</f>
        <v>44910</v>
      </c>
      <c r="E83" s="8">
        <f>IFERROR(__xludf.DUMMYFUNCTION("""COMPUTED_VALUE"""),259044.0)</f>
        <v>259044</v>
      </c>
      <c r="F83" s="9" t="str">
        <f>IFERROR(__xludf.DUMMYFUNCTION("""COMPUTED_VALUE"""),"唇あけて、もっと求めて～彼の極上SEXが容赦なく私をとらえて離さない～")</f>
        <v>唇あけて、もっと求めて～彼の極上SEXが容赦なく私をとらえて離さない～</v>
      </c>
      <c r="G83" s="11" t="str">
        <f>IFERROR(__xludf.DUMMYFUNCTION("""COMPUTED_VALUE"""),"1~3")</f>
        <v>1~3</v>
      </c>
      <c r="H83" s="8" t="str">
        <f>IFERROR(__xludf.DUMMYFUNCTION("""COMPUTED_VALUE"""),"雛愛ゆえり")</f>
        <v>雛愛ゆえり</v>
      </c>
      <c r="I83" s="14" t="str">
        <f>IFERROR(__xludf.DUMMYFUNCTION("""COMPUTED_VALUE"""),"TL")</f>
        <v>TL</v>
      </c>
      <c r="J83" s="8"/>
      <c r="K83" s="8"/>
      <c r="L83" s="8" t="str">
        <f>IFERROR(__xludf.DUMMYFUNCTION("""COMPUTED_VALUE"""),"アイプロダクション")</f>
        <v>アイプロダクション</v>
      </c>
      <c r="M83" s="12">
        <f>IFERROR(__xludf.DUMMYFUNCTION("""COMPUTED_VALUE"""),44953.0)</f>
        <v>44953</v>
      </c>
      <c r="N83" s="12">
        <f>IFERROR(__xludf.DUMMYFUNCTION("""COMPUTED_VALUE"""),45011.0)</f>
        <v>45011</v>
      </c>
      <c r="O83" s="11"/>
      <c r="P83" s="9" t="str">
        <f>IFERROR(__xludf.DUMMYFUNCTION("""COMPUTED_VALUE"""),"可")</f>
        <v>可</v>
      </c>
      <c r="Q83" s="8"/>
      <c r="R83" s="9"/>
      <c r="S83" s="8" t="str">
        <f>IFERROR(__xludf.DUMMYFUNCTION("""COMPUTED_VALUE"""),"20221215_アイプロダクション_唇あけて、もっと求めて～彼の極上SEXが容赦なく私をとらえて離さない～")</f>
        <v>20221215_アイプロダクション_唇あけて、もっと求めて～彼の極上SEXが容赦なく私をとらえて離さない～</v>
      </c>
      <c r="T83" s="9"/>
      <c r="U83" s="9" t="str">
        <f>IFERROR(__xludf.DUMMYFUNCTION("""COMPUTED_VALUE"""),"©雛愛ゆえり/アイプロダクション")</f>
        <v>©雛愛ゆえり/アイプロダクション</v>
      </c>
      <c r="V83" s="8" t="str">
        <f>IFERROR(__xludf.DUMMYFUNCTION("""COMPUTED_VALUE"""),"私たちは出会った瞬間からどうしようもなく惹かれ合ってしまった――。 六本木のNo.1キャバ嬢、野々花（ののか）は、夢を叶える資金集めのために大学に通いながらクラブで働いている。お客と恋愛なんてありえない！そう思っていたのにもかかわらず、ある出来事をきっかけに、お客でアイドルの龍斗のことが気になってしまう。好きになっちゃいけない人ほど強烈に忘れられなくて、気づいた時には恋の沼。デートもSEXの誘いも強引で、彼は私の心をかき乱す…。 【職業：アイドル】×【職業：女子大生・キャバ嬢】のラグジュアリーで危険な溺愛"&amp;"が始まる。")</f>
        <v>私たちは出会った瞬間からどうしようもなく惹かれ合ってしまった――。 六本木のNo.1キャバ嬢、野々花（ののか）は、夢を叶える資金集めのために大学に通いながらクラブで働いている。お客と恋愛なんてありえない！そう思っていたのにもかかわらず、ある出来事をきっかけに、お客でアイドルの龍斗のことが気になってしまう。好きになっちゃいけない人ほど強烈に忘れられなくて、気づいた時には恋の沼。デートもSEXの誘いも強引で、彼は私の心をかき乱す…。 【職業：アイドル】×【職業：女子大生・キャバ嬢】のラグジュアリーで危険な溺愛が始まる。</v>
      </c>
      <c r="W83" s="8"/>
      <c r="X83" s="8" t="str">
        <f>IFERROR(__xludf.DUMMYFUNCTION("""COMPUTED_VALUE"""),"有")</f>
        <v>有</v>
      </c>
      <c r="Y83" s="8" t="str">
        <f>IFERROR(__xludf.DUMMYFUNCTION("""COMPUTED_VALUE"""),"１巻目無料")</f>
        <v>１巻目無料</v>
      </c>
      <c r="Z83" s="7"/>
      <c r="AA83" s="7"/>
      <c r="AB83" s="7"/>
    </row>
    <row r="84" ht="199.5" customHeight="1">
      <c r="A84" s="8">
        <f>IFERROR(__xludf.DUMMYFUNCTION("""COMPUTED_VALUE"""),1610.0)</f>
        <v>1610</v>
      </c>
      <c r="B84" s="9" t="str">
        <f>IFERROR(__xludf.DUMMYFUNCTION("""COMPUTED_VALUE"""),"確定")</f>
        <v>確定</v>
      </c>
      <c r="C84" s="10">
        <f>IFERROR(__xludf.DUMMYFUNCTION("""COMPUTED_VALUE"""),44917.0)</f>
        <v>44917</v>
      </c>
      <c r="D84" s="10">
        <f>IFERROR(__xludf.DUMMYFUNCTION("""COMPUTED_VALUE"""),44918.0)</f>
        <v>44918</v>
      </c>
      <c r="E84" s="8">
        <f>IFERROR(__xludf.DUMMYFUNCTION("""COMPUTED_VALUE"""),260386.0)</f>
        <v>260386</v>
      </c>
      <c r="F84" s="9" t="str">
        <f>IFERROR(__xludf.DUMMYFUNCTION("""COMPUTED_VALUE"""),"ディストピア～移住先は不貞の島でした～")</f>
        <v>ディストピア～移住先は不貞の島でした～</v>
      </c>
      <c r="G84" s="11" t="str">
        <f>IFERROR(__xludf.DUMMYFUNCTION("""COMPUTED_VALUE"""),"1～4")</f>
        <v>1～4</v>
      </c>
      <c r="H84" s="8" t="str">
        <f>IFERROR(__xludf.DUMMYFUNCTION("""COMPUTED_VALUE"""),"杉野アキユキ")</f>
        <v>杉野アキユキ</v>
      </c>
      <c r="I84" s="8" t="str">
        <f>IFERROR(__xludf.DUMMYFUNCTION("""COMPUTED_VALUE"""),"青年")</f>
        <v>青年</v>
      </c>
      <c r="J84" s="8"/>
      <c r="K84" s="8"/>
      <c r="L84" s="8" t="str">
        <f>IFERROR(__xludf.DUMMYFUNCTION("""COMPUTED_VALUE"""),"ファンギルド")</f>
        <v>ファンギルド</v>
      </c>
      <c r="M84" s="12">
        <f>IFERROR(__xludf.DUMMYFUNCTION("""COMPUTED_VALUE"""),44953.0)</f>
        <v>44953</v>
      </c>
      <c r="N84" s="12">
        <f>IFERROR(__xludf.DUMMYFUNCTION("""COMPUTED_VALUE"""),45100.66666666667)</f>
        <v>45100.66667</v>
      </c>
      <c r="O84" s="11"/>
      <c r="P84" s="9" t="str">
        <f>IFERROR(__xludf.DUMMYFUNCTION("""COMPUTED_VALUE"""),"可")</f>
        <v>可</v>
      </c>
      <c r="Q84" s="8" t="str">
        <f>IFERROR(__xludf.DUMMYFUNCTION("""COMPUTED_VALUE"""),"協業レーベル『シーモア×コミックアウル』作品です。")</f>
        <v>協業レーベル『シーモア×コミックアウル』作品です。</v>
      </c>
      <c r="R84" s="9"/>
      <c r="S84" s="8" t="str">
        <f>IFERROR(__xludf.DUMMYFUNCTION("""COMPUTED_VALUE"""),"20221222_ファンギルド_ディストピア～移住先は不貞の島でした～")</f>
        <v>20221222_ファンギルド_ディストピア～移住先は不貞の島でした～</v>
      </c>
      <c r="T84" s="9"/>
      <c r="U84" s="9" t="str">
        <f>IFERROR(__xludf.DUMMYFUNCTION("""COMPUTED_VALUE"""),"©杉野アキユキ/ファンギルド")</f>
        <v>©杉野アキユキ/ファンギルド</v>
      </c>
      <c r="V84" s="8" t="str">
        <f>IFERROR(__xludf.DUMMYFUNCTION("""COMPUTED_VALUE"""),"「あの鍋にはワシらのエキスがたっぷりと…」―――優しい妻・愛梨（あいり）と、可愛い娘・真凛（まりん）に囲まれ、それなりに幸せな人生を送っていた成瀬颯太（なるせ・そうた）。愛梨の仕事のために離島に引っ越すことになった3人は優しく穏やかな島人たちから歓迎される。しかし、島の本当の姿は子孫繁栄のためにはなんでもするカルト島で...？殺人・乱交・服従…狂った倫理観が当たり前なこの島で、仲睦まじかった家族は崩壊していく――…")</f>
        <v>「あの鍋にはワシらのエキスがたっぷりと…」―――優しい妻・愛梨（あいり）と、可愛い娘・真凛（まりん）に囲まれ、それなりに幸せな人生を送っていた成瀬颯太（なるせ・そうた）。愛梨の仕事のために離島に引っ越すことになった3人は優しく穏やかな島人たちから歓迎される。しかし、島の本当の姿は子孫繁栄のためにはなんでもするカルト島で...？殺人・乱交・服従…狂った倫理観が当たり前なこの島で、仲睦まじかった家族は崩壊していく――…</v>
      </c>
      <c r="W84" s="8"/>
      <c r="X84" s="8" t="str">
        <f>IFERROR(__xludf.DUMMYFUNCTION("""COMPUTED_VALUE"""),"有")</f>
        <v>有</v>
      </c>
      <c r="Y84" s="8" t="str">
        <f>IFERROR(__xludf.DUMMYFUNCTION("""COMPUTED_VALUE"""),"１巻目無料")</f>
        <v>１巻目無料</v>
      </c>
      <c r="Z84" s="7"/>
      <c r="AA84" s="7"/>
      <c r="AB84" s="7"/>
    </row>
    <row r="85" ht="153.0" customHeight="1">
      <c r="A85" s="8">
        <f>IFERROR(__xludf.DUMMYFUNCTION("""COMPUTED_VALUE"""),1464.0)</f>
        <v>1464</v>
      </c>
      <c r="B85" s="9" t="str">
        <f>IFERROR(__xludf.DUMMYFUNCTION("""COMPUTED_VALUE"""),"確定")</f>
        <v>確定</v>
      </c>
      <c r="C85" s="10">
        <f>IFERROR(__xludf.DUMMYFUNCTION("""COMPUTED_VALUE"""),44854.0)</f>
        <v>44854</v>
      </c>
      <c r="D85" s="10">
        <f>IFERROR(__xludf.DUMMYFUNCTION("""COMPUTED_VALUE"""),44956.0)</f>
        <v>44956</v>
      </c>
      <c r="E85" s="8">
        <f>IFERROR(__xludf.DUMMYFUNCTION("""COMPUTED_VALUE"""),261343.0)</f>
        <v>261343</v>
      </c>
      <c r="F85" s="9" t="str">
        <f>IFERROR(__xludf.DUMMYFUNCTION("""COMPUTED_VALUE"""),"金髪の姫将軍は元敵国の好敵手に嫁ぐ")</f>
        <v>金髪の姫将軍は元敵国の好敵手に嫁ぐ</v>
      </c>
      <c r="G85" s="11" t="str">
        <f>IFERROR(__xludf.DUMMYFUNCTION("""COMPUTED_VALUE"""),"1～3")</f>
        <v>1～3</v>
      </c>
      <c r="H85" s="8" t="str">
        <f>IFERROR(__xludf.DUMMYFUNCTION("""COMPUTED_VALUE"""),"作者名")</f>
        <v>作者名</v>
      </c>
      <c r="I85" s="8" t="str">
        <f>IFERROR(__xludf.DUMMYFUNCTION("""COMPUTED_VALUE"""),"女性")</f>
        <v>女性</v>
      </c>
      <c r="J85" s="8"/>
      <c r="K85" s="8"/>
      <c r="L85" s="8" t="str">
        <f>IFERROR(__xludf.DUMMYFUNCTION("""COMPUTED_VALUE"""),"コンパス")</f>
        <v>コンパス</v>
      </c>
      <c r="M85" s="12">
        <f>IFERROR(__xludf.DUMMYFUNCTION("""COMPUTED_VALUE"""),44954.0)</f>
        <v>44954</v>
      </c>
      <c r="N85" s="12">
        <f>IFERROR(__xludf.DUMMYFUNCTION("""COMPUTED_VALUE"""),45044.0)</f>
        <v>45044</v>
      </c>
      <c r="O85" s="11"/>
      <c r="P85" s="9" t="str">
        <f>IFERROR(__xludf.DUMMYFUNCTION("""COMPUTED_VALUE"""),"可")</f>
        <v>可</v>
      </c>
      <c r="Q85" s="8" t="str">
        <f>IFERROR(__xludf.DUMMYFUNCTION("""COMPUTED_VALUE"""),"広告コミットOK（10/21）")</f>
        <v>広告コミットOK（10/21）</v>
      </c>
      <c r="R85" s="9"/>
      <c r="S85" s="8" t="str">
        <f>IFERROR(__xludf.DUMMYFUNCTION("""COMPUTED_VALUE"""),"20221214_コンパス_金髪の姫将軍")</f>
        <v>20221214_コンパス_金髪の姫将軍</v>
      </c>
      <c r="T85" s="9"/>
      <c r="U85" s="9" t="str">
        <f>IFERROR(__xludf.DUMMYFUNCTION("""COMPUTED_VALUE"""),"©森川いく・羽鳥紘／コンパス")</f>
        <v>©森川いく・羽鳥紘／コンパス</v>
      </c>
      <c r="V85" s="8" t="str">
        <f>IFERROR(__xludf.DUMMYFUNCTION("""COMPUTED_VALUE"""),"【大人気ライトノベル、待望のコミカライズ!!】ドレスよりも甲冑を身にまとい、騎士の誇りを尊ぶアルデーリア第一王女・レオーネ。「金獅子」とも恐れられるほど勇猛な彼女に、滅亡寸前の元敵国・ゼルジオスから縁談が舞い込む。相手は、戦場で何度も剣を交えた宿敵ベルトルド元帥ーー。
生涯を剣に捧げると思っていた姫将軍に、突如降って湧いたライバルとの政略結婚。彼女に課せられた責は二つ。一つは監視、もう一つは魔法大国であるゼルジオスの力を祖国に役立てる事。無愛想で寡黙なベルトルドとの会話は軍人同士のようだが、突然のストレー"&amp;"トな物言いに、今まで剣一筋だったレオーネは調子を崩されて…？
戦場でしかお互いを知らない二人が、それぞれの思惑を胸に夫婦として歩み出す!!")</f>
        <v>【大人気ライトノベル、待望のコミカライズ!!】ドレスよりも甲冑を身にまとい、騎士の誇りを尊ぶアルデーリア第一王女・レオーネ。「金獅子」とも恐れられるほど勇猛な彼女に、滅亡寸前の元敵国・ゼルジオスから縁談が舞い込む。相手は、戦場で何度も剣を交えた宿敵ベルトルド元帥ーー。
生涯を剣に捧げると思っていた姫将軍に、突如降って湧いたライバルとの政略結婚。彼女に課せられた責は二つ。一つは監視、もう一つは魔法大国であるゼルジオスの力を祖国に役立てる事。無愛想で寡黙なベルトルドとの会話は軍人同士のようだが、突然のストレートな物言いに、今まで剣一筋だったレオーネは調子を崩されて…？
戦場でしかお互いを知らない二人が、それぞれの思惑を胸に夫婦として歩み出す!!</v>
      </c>
      <c r="W85" s="8"/>
      <c r="X85" s="8" t="str">
        <f>IFERROR(__xludf.DUMMYFUNCTION("""COMPUTED_VALUE"""),"有")</f>
        <v>有</v>
      </c>
      <c r="Y85" s="8" t="str">
        <f>IFERROR(__xludf.DUMMYFUNCTION("""COMPUTED_VALUE"""),"P16まで")</f>
        <v>P16まで</v>
      </c>
      <c r="Z85" s="7"/>
      <c r="AA85" s="7"/>
      <c r="AB85" s="7"/>
    </row>
    <row r="86" ht="151.5" customHeight="1">
      <c r="A86" s="8">
        <f>IFERROR(__xludf.DUMMYFUNCTION("""COMPUTED_VALUE"""),1623.0)</f>
        <v>1623</v>
      </c>
      <c r="B86" s="9" t="str">
        <f>IFERROR(__xludf.DUMMYFUNCTION("""COMPUTED_VALUE"""),"確定")</f>
        <v>確定</v>
      </c>
      <c r="C86" s="10">
        <f>IFERROR(__xludf.DUMMYFUNCTION("""COMPUTED_VALUE"""),44923.0)</f>
        <v>44923</v>
      </c>
      <c r="D86" s="10">
        <f>IFERROR(__xludf.DUMMYFUNCTION("""COMPUTED_VALUE"""),44931.0)</f>
        <v>44931</v>
      </c>
      <c r="E86" s="8">
        <f>IFERROR(__xludf.DUMMYFUNCTION("""COMPUTED_VALUE"""),260444.0)</f>
        <v>260444</v>
      </c>
      <c r="F86" s="9" t="str">
        <f>IFERROR(__xludf.DUMMYFUNCTION("""COMPUTED_VALUE"""),"自分を好きになりたいから整形する話【単話】")</f>
        <v>自分を好きになりたいから整形する話【単話】</v>
      </c>
      <c r="G86" s="11">
        <f>IFERROR(__xludf.DUMMYFUNCTION("""COMPUTED_VALUE"""),44929.0)</f>
        <v>44929</v>
      </c>
      <c r="H86" s="8" t="str">
        <f>IFERROR(__xludf.DUMMYFUNCTION("""COMPUTED_VALUE"""),"ｐｏｐｏｐｏ")</f>
        <v>ｐｏｐｏｐｏ</v>
      </c>
      <c r="I86" s="8" t="str">
        <f>IFERROR(__xludf.DUMMYFUNCTION("""COMPUTED_VALUE"""),"女性")</f>
        <v>女性</v>
      </c>
      <c r="J86" s="8"/>
      <c r="K86" s="8"/>
      <c r="L86" s="8" t="str">
        <f>IFERROR(__xludf.DUMMYFUNCTION("""COMPUTED_VALUE"""),"小学館")</f>
        <v>小学館</v>
      </c>
      <c r="M86" s="12">
        <f>IFERROR(__xludf.DUMMYFUNCTION("""COMPUTED_VALUE"""),44954.0)</f>
        <v>44954</v>
      </c>
      <c r="N86" s="12" t="str">
        <f>IFERROR(__xludf.DUMMYFUNCTION("""COMPUTED_VALUE"""),"2023/04/27　※配信から3ヵ月")</f>
        <v>2023/04/27　※配信から3ヵ月</v>
      </c>
      <c r="O86" s="11"/>
      <c r="P86" s="9" t="str">
        <f>IFERROR(__xludf.DUMMYFUNCTION("""COMPUTED_VALUE"""),"否")</f>
        <v>否</v>
      </c>
      <c r="Q86" s="8" t="str">
        <f>IFERROR(__xludf.DUMMYFUNCTION("""COMPUTED_VALUE"""),"MOREスピリッツ作品です")</f>
        <v>MOREスピリッツ作品です</v>
      </c>
      <c r="R86" s="9"/>
      <c r="S86" s="8" t="str">
        <f>IFERROR(__xludf.DUMMYFUNCTION("""COMPUTED_VALUE"""),"20230105_小学館_自分を好きになりたいから整形する話【単話】")</f>
        <v>20230105_小学館_自分を好きになりたいから整形する話【単話】</v>
      </c>
      <c r="T86" s="9"/>
      <c r="U86" s="9" t="str">
        <f>IFERROR(__xludf.DUMMYFUNCTION("""COMPUTED_VALUE"""),"©ｐｏｐｏｐｏ / 小学館")</f>
        <v>©ｐｏｐｏｐｏ / 小学館</v>
      </c>
      <c r="V86" s="8" t="str">
        <f>IFERROR(__xludf.DUMMYFUNCTION("""COMPUTED_VALUE"""),"「自分を好きになりたいけど顔が嫌だ」
家庭環境が原因で自己肯定が低く、醜形恐怖に陥った鈴木遥・24歳。
そんな彼女が人生を変える希望を見出したのは“美容整形”だった。
高額な費用、術後の痛み、医療ミスや後遺症のリスク……
美容整形は決して簡単に生まれ変われるずるい魔法じゃない。
それでも遥は自分の意志で整形することを決めた、人生前を向いて生きていくために――！")</f>
        <v>「自分を好きになりたいけど顔が嫌だ」
家庭環境が原因で自己肯定が低く、醜形恐怖に陥った鈴木遥・24歳。
そんな彼女が人生を変える希望を見出したのは“美容整形”だった。
高額な費用、術後の痛み、医療ミスや後遺症のリスク……
美容整形は決して簡単に生まれ変われるずるい魔法じゃない。
それでも遥は自分の意志で整形することを決めた、人生前を向いて生きていくために――！</v>
      </c>
      <c r="W86" s="8"/>
      <c r="X86" s="8" t="str">
        <f>IFERROR(__xludf.DUMMYFUNCTION("""COMPUTED_VALUE"""),"有")</f>
        <v>有</v>
      </c>
      <c r="Y86" s="8" t="str">
        <f>IFERROR(__xludf.DUMMYFUNCTION("""COMPUTED_VALUE"""),"１巻目無料")</f>
        <v>１巻目無料</v>
      </c>
      <c r="Z86" s="7"/>
      <c r="AA86" s="7"/>
      <c r="AB86" s="7"/>
    </row>
    <row r="87" ht="15.75" customHeight="1">
      <c r="A87" s="8">
        <f>IFERROR(__xludf.DUMMYFUNCTION("""COMPUTED_VALUE"""),1671.0)</f>
        <v>1671</v>
      </c>
      <c r="B87" s="9" t="str">
        <f>IFERROR(__xludf.DUMMYFUNCTION("""COMPUTED_VALUE"""),"確定")</f>
        <v>確定</v>
      </c>
      <c r="C87" s="10">
        <f>IFERROR(__xludf.DUMMYFUNCTION("""COMPUTED_VALUE"""),44946.0)</f>
        <v>44946</v>
      </c>
      <c r="D87" s="10">
        <f>IFERROR(__xludf.DUMMYFUNCTION("""COMPUTED_VALUE"""),44946.0)</f>
        <v>44946</v>
      </c>
      <c r="E87" s="8">
        <f>IFERROR(__xludf.DUMMYFUNCTION("""COMPUTED_VALUE"""),261054.0)</f>
        <v>261054</v>
      </c>
      <c r="F87" s="9" t="str">
        <f>IFERROR(__xludf.DUMMYFUNCTION("""COMPUTED_VALUE"""),"やさしいミルク")</f>
        <v>やさしいミルク</v>
      </c>
      <c r="G87" s="11" t="str">
        <f>IFERROR(__xludf.DUMMYFUNCTION("""COMPUTED_VALUE"""),"1～5")</f>
        <v>1～5</v>
      </c>
      <c r="H87" s="8" t="str">
        <f>IFERROR(__xludf.DUMMYFUNCTION("""COMPUTED_VALUE"""),"高田ローズ")</f>
        <v>高田ローズ</v>
      </c>
      <c r="I87" s="8" t="str">
        <f>IFERROR(__xludf.DUMMYFUNCTION("""COMPUTED_VALUE"""),"女性")</f>
        <v>女性</v>
      </c>
      <c r="J87" s="8"/>
      <c r="K87" s="8"/>
      <c r="L87" s="8" t="str">
        <f>IFERROR(__xludf.DUMMYFUNCTION("""COMPUTED_VALUE"""),"秋田書店")</f>
        <v>秋田書店</v>
      </c>
      <c r="M87" s="12">
        <f>IFERROR(__xludf.DUMMYFUNCTION("""COMPUTED_VALUE"""),44957.0)</f>
        <v>44957</v>
      </c>
      <c r="N87" s="12">
        <f>IFERROR(__xludf.DUMMYFUNCTION("""COMPUTED_VALUE"""),44984.0)</f>
        <v>44984</v>
      </c>
      <c r="O87" s="11"/>
      <c r="P87" s="9" t="str">
        <f>IFERROR(__xludf.DUMMYFUNCTION("""COMPUTED_VALUE"""),"否")</f>
        <v>否</v>
      </c>
      <c r="Q87" s="8"/>
      <c r="R87" s="9"/>
      <c r="S87" s="8" t="str">
        <f>IFERROR(__xludf.DUMMYFUNCTION("""COMPUTED_VALUE"""),"20230120_秋田書店_やさしいミルク")</f>
        <v>20230120_秋田書店_やさしいミルク</v>
      </c>
      <c r="T87" s="9"/>
      <c r="U87" s="9" t="str">
        <f>IFERROR(__xludf.DUMMYFUNCTION("""COMPUTED_VALUE"""),"©高田ローズ（秋田書店）")</f>
        <v>©高田ローズ（秋田書店）</v>
      </c>
      <c r="V87" s="8" t="str">
        <f>IFERROR(__xludf.DUMMYFUNCTION("""COMPUTED_VALUE"""),"35歳の小説家・青葉よもぎ。小説家としては崖っぷちで、担当の女性編集から「女性用風俗」をテーマに書かないかと提案されていた。そんな中、長年男女の関係だった東雲からの突然の結婚報告にショックを受けたよもぎは、勢いで女性用風俗を利用。そこに現れたのは家政夫としてよもぎが雇っているミステリアスな青年・金城で……!?")</f>
        <v>35歳の小説家・青葉よもぎ。小説家としては崖っぷちで、担当の女性編集から「女性用風俗」をテーマに書かないかと提案されていた。そんな中、長年男女の関係だった東雲からの突然の結婚報告にショックを受けたよもぎは、勢いで女性用風俗を利用。そこに現れたのは家政夫としてよもぎが雇っているミステリアスな青年・金城で……!?</v>
      </c>
      <c r="W87" s="8"/>
      <c r="X87" s="8" t="str">
        <f>IFERROR(__xludf.DUMMYFUNCTION("""COMPUTED_VALUE"""),"有")</f>
        <v>有</v>
      </c>
      <c r="Y87" s="8" t="str">
        <f>IFERROR(__xludf.DUMMYFUNCTION("""COMPUTED_VALUE"""),"１巻目無料")</f>
        <v>１巻目無料</v>
      </c>
      <c r="Z87" s="7"/>
      <c r="AA87" s="7"/>
      <c r="AB87" s="7"/>
    </row>
    <row r="88" ht="15.75" customHeight="1">
      <c r="A88" s="8">
        <f>IFERROR(__xludf.DUMMYFUNCTION("""COMPUTED_VALUE"""),1538.0)</f>
        <v>1538</v>
      </c>
      <c r="B88" s="9" t="str">
        <f>IFERROR(__xludf.DUMMYFUNCTION("""COMPUTED_VALUE"""),"確定後最新化")</f>
        <v>確定後最新化</v>
      </c>
      <c r="C88" s="10">
        <f>IFERROR(__xludf.DUMMYFUNCTION("""COMPUTED_VALUE"""),44881.0)</f>
        <v>44881</v>
      </c>
      <c r="D88" s="10">
        <f>IFERROR(__xludf.DUMMYFUNCTION("""COMPUTED_VALUE"""),44901.0)</f>
        <v>44901</v>
      </c>
      <c r="E88" s="8">
        <f>IFERROR(__xludf.DUMMYFUNCTION("""COMPUTED_VALUE"""),260507.0)</f>
        <v>260507</v>
      </c>
      <c r="F88" s="9" t="str">
        <f>IFERROR(__xludf.DUMMYFUNCTION("""COMPUTED_VALUE"""),"真面目なカオしてムッツリ野獣な肉食えっち 〜溺愛テクは妄想以上にスゴすぎる…ッ")</f>
        <v>真面目なカオしてムッツリ野獣な肉食えっち 〜溺愛テクは妄想以上にスゴすぎる…ッ</v>
      </c>
      <c r="G88" s="11" t="str">
        <f>IFERROR(__xludf.DUMMYFUNCTION("""COMPUTED_VALUE"""),"1～2")</f>
        <v>1～2</v>
      </c>
      <c r="H88" s="8" t="str">
        <f>IFERROR(__xludf.DUMMYFUNCTION("""COMPUTED_VALUE"""),"甘田こはく")</f>
        <v>甘田こはく</v>
      </c>
      <c r="I88" s="8" t="str">
        <f>IFERROR(__xludf.DUMMYFUNCTION("""COMPUTED_VALUE"""),"TL")</f>
        <v>TL</v>
      </c>
      <c r="J88" s="8"/>
      <c r="K88" s="8"/>
      <c r="L88" s="8" t="str">
        <f>IFERROR(__xludf.DUMMYFUNCTION("""COMPUTED_VALUE"""),"オーバーラップ")</f>
        <v>オーバーラップ</v>
      </c>
      <c r="M88" s="12">
        <f>IFERROR(__xludf.DUMMYFUNCTION("""COMPUTED_VALUE"""),44958.0)</f>
        <v>44958</v>
      </c>
      <c r="N88" s="12" t="str">
        <f>IFERROR(__xludf.DUMMYFUNCTION("""COMPUTED_VALUE"""),"1か月先行予定")</f>
        <v>1か月先行予定</v>
      </c>
      <c r="O88" s="11"/>
      <c r="P88" s="9" t="str">
        <f>IFERROR(__xludf.DUMMYFUNCTION("""COMPUTED_VALUE"""),"可")</f>
        <v>可</v>
      </c>
      <c r="Q88" s="8" t="str">
        <f>IFERROR(__xludf.DUMMYFUNCTION("""COMPUTED_VALUE"""),"広告コミットOK（11/17）&lt;BR&gt;事前の出稿検討依頼です")</f>
        <v>広告コミットOK（11/17）&lt;BR&gt;事前の出稿検討依頼です</v>
      </c>
      <c r="R88" s="9"/>
      <c r="S88" s="8" t="str">
        <f>IFERROR(__xludf.DUMMYFUNCTION("""COMPUTED_VALUE"""),"20221130_オーバーラップ_真面目なカオしてムッツリ野獣な肉食えっち 〜溺愛テクは妄想以上にスゴすぎる…ッ")</f>
        <v>20221130_オーバーラップ_真面目なカオしてムッツリ野獣な肉食えっち 〜溺愛テクは妄想以上にスゴすぎる…ッ</v>
      </c>
      <c r="T88" s="9"/>
      <c r="U88" s="9" t="str">
        <f>IFERROR(__xludf.DUMMYFUNCTION("""COMPUTED_VALUE"""),"©甘田こはく／オーバーラップ")</f>
        <v>©甘田こはく／オーバーラップ</v>
      </c>
      <c r="V88" s="8" t="str">
        <f>IFERROR(__xludf.DUMMYFUNCTION("""COMPUTED_VALUE"""),"「嫌…？ もうこんなに濡れてるのに」
熱いのがナカでドクドクしてるのが伝わってきて、きゅうきゅう締め付けちゃうのが止まらない…！
夢みがちなOL・沙織（さおり）の秘密の習慣――それは憧れの笹原（ささはら）先輩と
のHな妄想日記をつけること。
ところがある日、ひょんなことからその日記を先輩に見られてしまい…!?
嫌われちゃうかと思いきや、なぜかベッドに押し倒されていて…。
「日記の内容、実現させたいんだろ」そう言ってキスされ、熱くて長い指でナカの浅いところをくちゅくちゅかき回されて――？
憧れのカレの妄想以"&amp;"上に気持ちよすぎるテクニックで、イキすぎオフィスラブ☆
※本書は「ラブパルフェVOL.50」に収録されています。重複購入にご注意ください。")</f>
        <v>「嫌…？ もうこんなに濡れてるのに」
熱いのがナカでドクドクしてるのが伝わってきて、きゅうきゅう締め付けちゃうのが止まらない…！
夢みがちなOL・沙織（さおり）の秘密の習慣――それは憧れの笹原（ささはら）先輩と
のHな妄想日記をつけること。
ところがある日、ひょんなことからその日記を先輩に見られてしまい…!?
嫌われちゃうかと思いきや、なぜかベッドに押し倒されていて…。
「日記の内容、実現させたいんだろ」そう言ってキスされ、熱くて長い指でナカの浅いところをくちゅくちゅかき回されて――？
憧れのカレの妄想以上に気持ちよすぎるテクニックで、イキすぎオフィスラブ☆
※本書は「ラブパルフェVOL.50」に収録されています。重複購入にご注意ください。</v>
      </c>
      <c r="W88" s="8"/>
      <c r="X88" s="8" t="str">
        <f>IFERROR(__xludf.DUMMYFUNCTION("""COMPUTED_VALUE"""),"有")</f>
        <v>有</v>
      </c>
      <c r="Y88" s="8" t="str">
        <f>IFERROR(__xludf.DUMMYFUNCTION("""COMPUTED_VALUE"""),"P8まで")</f>
        <v>P8まで</v>
      </c>
      <c r="Z88" s="7"/>
      <c r="AA88" s="7"/>
      <c r="AB88" s="7"/>
    </row>
    <row r="89" ht="141.75" customHeight="1">
      <c r="A89" s="8">
        <f>IFERROR(__xludf.DUMMYFUNCTION("""COMPUTED_VALUE"""),1539.0)</f>
        <v>1539</v>
      </c>
      <c r="B89" s="9" t="str">
        <f>IFERROR(__xludf.DUMMYFUNCTION("""COMPUTED_VALUE"""),"確定後最新化")</f>
        <v>確定後最新化</v>
      </c>
      <c r="C89" s="10">
        <f>IFERROR(__xludf.DUMMYFUNCTION("""COMPUTED_VALUE"""),44881.0)</f>
        <v>44881</v>
      </c>
      <c r="D89" s="10">
        <f>IFERROR(__xludf.DUMMYFUNCTION("""COMPUTED_VALUE"""),44901.0)</f>
        <v>44901</v>
      </c>
      <c r="E89" s="8">
        <f>IFERROR(__xludf.DUMMYFUNCTION("""COMPUTED_VALUE"""),260506.0)</f>
        <v>260506</v>
      </c>
      <c r="F89" s="9" t="str">
        <f>IFERROR(__xludf.DUMMYFUNCTION("""COMPUTED_VALUE"""),"専属SPは溺愛エッチな幼なじみ!? 〜24時間ココロもカラダも警備されちゃうっ")</f>
        <v>専属SPは溺愛エッチな幼なじみ!? 〜24時間ココロもカラダも警備されちゃうっ</v>
      </c>
      <c r="G89" s="11" t="str">
        <f>IFERROR(__xludf.DUMMYFUNCTION("""COMPUTED_VALUE"""),"1～2")</f>
        <v>1～2</v>
      </c>
      <c r="H89" s="8" t="str">
        <f>IFERROR(__xludf.DUMMYFUNCTION("""COMPUTED_VALUE"""),"空海リク")</f>
        <v>空海リク</v>
      </c>
      <c r="I89" s="8" t="str">
        <f>IFERROR(__xludf.DUMMYFUNCTION("""COMPUTED_VALUE"""),"TL")</f>
        <v>TL</v>
      </c>
      <c r="J89" s="8"/>
      <c r="K89" s="8"/>
      <c r="L89" s="8" t="str">
        <f>IFERROR(__xludf.DUMMYFUNCTION("""COMPUTED_VALUE"""),"オーバーラップ")</f>
        <v>オーバーラップ</v>
      </c>
      <c r="M89" s="12">
        <f>IFERROR(__xludf.DUMMYFUNCTION("""COMPUTED_VALUE"""),44958.0)</f>
        <v>44958</v>
      </c>
      <c r="N89" s="12" t="str">
        <f>IFERROR(__xludf.DUMMYFUNCTION("""COMPUTED_VALUE"""),"1か月先行予定")</f>
        <v>1か月先行予定</v>
      </c>
      <c r="O89" s="11"/>
      <c r="P89" s="9" t="str">
        <f>IFERROR(__xludf.DUMMYFUNCTION("""COMPUTED_VALUE"""),"可")</f>
        <v>可</v>
      </c>
      <c r="Q89" s="8" t="str">
        <f>IFERROR(__xludf.DUMMYFUNCTION("""COMPUTED_VALUE"""),"広告コミットOK（11/17）&lt;BR&gt;事前の出稿検討依頼です")</f>
        <v>広告コミットOK（11/17）&lt;BR&gt;事前の出稿検討依頼です</v>
      </c>
      <c r="R89" s="9"/>
      <c r="S89" s="8" t="str">
        <f>IFERROR(__xludf.DUMMYFUNCTION("""COMPUTED_VALUE"""),"20221130_オーバーラップ_専属SPは溺愛エッチな幼なじみ")</f>
        <v>20221130_オーバーラップ_専属SPは溺愛エッチな幼なじみ</v>
      </c>
      <c r="T89" s="9"/>
      <c r="U89" s="9" t="str">
        <f>IFERROR(__xludf.DUMMYFUNCTION("""COMPUTED_VALUE"""),"©空海リク／オーバーラップ")</f>
        <v>©空海リク／オーバーラップ</v>
      </c>
      <c r="V89" s="8" t="str">
        <f>IFERROR(__xludf.DUMMYFUNCTION("""COMPUTED_VALUE"""),"都会に憧れて、就職と同時に上京した結衣（ゆい）。心配性の祖父母の計らいで、初恋の幼なじみ・大和（やまと）が専属SPになって…!?
マンションも隣の部屋で急接近にドキドキの毎日。
朝、目を覚ませば彼が朝食を作ってくれて、ラッシュアワーの電車では抱きしめられ、ナンパな男たちからは助けてくれて…
ココロもカラダも大事にされて、どんどん好きになる気持ちがとめられない――
「夜も、一緒に寝てほしい…大和になら、何されてもいい」
思いきって告白したら、甘く受け止めてくれて…
「ずっと我慢してきたんだ。でももう、無駄だ"&amp;"ったな」
互いの気持ちが通じ合って、ようやく触れ合うHは、きもちよすぎてキュンキュンしっぱなし！
奥まで彼の熱いオスを受け入れて、何度もイかされちゃって――！
溺愛幼なじみの専属警護に、24時間毎日とろとろになっちゃう…っ
※本書は「ラブパルフェVOL.49」に収録されています。重複購入にご注意ください。")</f>
        <v>都会に憧れて、就職と同時に上京した結衣（ゆい）。心配性の祖父母の計らいで、初恋の幼なじみ・大和（やまと）が専属SPになって…!?
マンションも隣の部屋で急接近にドキドキの毎日。
朝、目を覚ませば彼が朝食を作ってくれて、ラッシュアワーの電車では抱きしめられ、ナンパな男たちからは助けてくれて…
ココロもカラダも大事にされて、どんどん好きになる気持ちがとめられない――
「夜も、一緒に寝てほしい…大和になら、何されてもいい」
思いきって告白したら、甘く受け止めてくれて…
「ずっと我慢してきたんだ。でももう、無駄だったな」
互いの気持ちが通じ合って、ようやく触れ合うHは、きもちよすぎてキュンキュンしっぱなし！
奥まで彼の熱いオスを受け入れて、何度もイかされちゃって――！
溺愛幼なじみの専属警護に、24時間毎日とろとろになっちゃう…っ
※本書は「ラブパルフェVOL.49」に収録されています。重複購入にご注意ください。</v>
      </c>
      <c r="W89" s="8"/>
      <c r="X89" s="8" t="str">
        <f>IFERROR(__xludf.DUMMYFUNCTION("""COMPUTED_VALUE"""),"有")</f>
        <v>有</v>
      </c>
      <c r="Y89" s="8" t="str">
        <f>IFERROR(__xludf.DUMMYFUNCTION("""COMPUTED_VALUE"""),"P9まで")</f>
        <v>P9まで</v>
      </c>
      <c r="Z89" s="7"/>
      <c r="AA89" s="7"/>
      <c r="AB89" s="7"/>
    </row>
    <row r="90" ht="169.5" customHeight="1">
      <c r="A90" s="8">
        <f>IFERROR(__xludf.DUMMYFUNCTION("""COMPUTED_VALUE"""),1616.0)</f>
        <v>1616</v>
      </c>
      <c r="B90" s="9" t="str">
        <f>IFERROR(__xludf.DUMMYFUNCTION("""COMPUTED_VALUE"""),"確定")</f>
        <v>確定</v>
      </c>
      <c r="C90" s="10">
        <f>IFERROR(__xludf.DUMMYFUNCTION("""COMPUTED_VALUE"""),44921.0)</f>
        <v>44921</v>
      </c>
      <c r="D90" s="10">
        <f>IFERROR(__xludf.DUMMYFUNCTION("""COMPUTED_VALUE"""),44921.0)</f>
        <v>44921</v>
      </c>
      <c r="E90" s="8">
        <f>IFERROR(__xludf.DUMMYFUNCTION("""COMPUTED_VALUE"""),261230.0)</f>
        <v>261230</v>
      </c>
      <c r="F90" s="9" t="str">
        <f>IFERROR(__xludf.DUMMYFUNCTION("""COMPUTED_VALUE"""),"関谷先生、恋のリハビリお願いします。―ココロとカラダの快感療法―")</f>
        <v>関谷先生、恋のリハビリお願いします。―ココロとカラダの快感療法―</v>
      </c>
      <c r="G90" s="11" t="str">
        <f>IFERROR(__xludf.DUMMYFUNCTION("""COMPUTED_VALUE"""),"1～3")</f>
        <v>1～3</v>
      </c>
      <c r="H90" s="8" t="str">
        <f>IFERROR(__xludf.DUMMYFUNCTION("""COMPUTED_VALUE"""),"笹花火")</f>
        <v>笹花火</v>
      </c>
      <c r="I90" s="8" t="str">
        <f>IFERROR(__xludf.DUMMYFUNCTION("""COMPUTED_VALUE"""),"女性")</f>
        <v>女性</v>
      </c>
      <c r="J90" s="8"/>
      <c r="K90" s="8"/>
      <c r="L90" s="8" t="str">
        <f>IFERROR(__xludf.DUMMYFUNCTION("""COMPUTED_VALUE"""),"集英社")</f>
        <v>集英社</v>
      </c>
      <c r="M90" s="12">
        <f>IFERROR(__xludf.DUMMYFUNCTION("""COMPUTED_VALUE"""),44958.0)</f>
        <v>44958</v>
      </c>
      <c r="N90" s="12">
        <f>IFERROR(__xludf.DUMMYFUNCTION("""COMPUTED_VALUE"""),44985.0)</f>
        <v>44985</v>
      </c>
      <c r="O90" s="11"/>
      <c r="P90" s="9" t="str">
        <f>IFERROR(__xludf.DUMMYFUNCTION("""COMPUTED_VALUE"""),"否")</f>
        <v>否</v>
      </c>
      <c r="Q90" s="8"/>
      <c r="R90" s="9"/>
      <c r="S90" s="8" t="str">
        <f>IFERROR(__xludf.DUMMYFUNCTION("""COMPUTED_VALUE"""),"20221226_集英社_関谷先生")</f>
        <v>20221226_集英社_関谷先生</v>
      </c>
      <c r="T90" s="9"/>
      <c r="U90" s="9" t="str">
        <f>IFERROR(__xludf.DUMMYFUNCTION("""COMPUTED_VALUE"""),"©笹花火／集英社")</f>
        <v>©笹花火／集英社</v>
      </c>
      <c r="V90" s="8" t="str">
        <f>IFERROR(__xludf.DUMMYFUNCTION("""COMPUTED_VALUE"""),"内科の受付で働く、奥菜胡桃(24)。彼氏に“ある理由”でフラれ落ち込んでいた矢先、歩道橋から落ちて大怪我を追ってしまう！　重なる不幸に打ちのめされていた胡桃の元へ、白馬の王子様が現れる…!?")</f>
        <v>内科の受付で働く、奥菜胡桃(24)。彼氏に“ある理由”でフラれ落ち込んでいた矢先、歩道橋から落ちて大怪我を追ってしまう！　重なる不幸に打ちのめされていた胡桃の元へ、白馬の王子様が現れる…!?</v>
      </c>
      <c r="W90" s="8"/>
      <c r="X90" s="8" t="str">
        <f>IFERROR(__xludf.DUMMYFUNCTION("""COMPUTED_VALUE"""),"有")</f>
        <v>有</v>
      </c>
      <c r="Y90" s="8" t="str">
        <f>IFERROR(__xludf.DUMMYFUNCTION("""COMPUTED_VALUE"""),"P6まで")</f>
        <v>P6まで</v>
      </c>
      <c r="Z90" s="7"/>
      <c r="AA90" s="7"/>
      <c r="AB90" s="7"/>
    </row>
    <row r="91" ht="138.75" customHeight="1">
      <c r="A91" s="8">
        <f>IFERROR(__xludf.DUMMYFUNCTION("""COMPUTED_VALUE"""),1622.0)</f>
        <v>1622</v>
      </c>
      <c r="B91" s="9" t="str">
        <f>IFERROR(__xludf.DUMMYFUNCTION("""COMPUTED_VALUE"""),"確定")</f>
        <v>確定</v>
      </c>
      <c r="C91" s="10">
        <f>IFERROR(__xludf.DUMMYFUNCTION("""COMPUTED_VALUE"""),44922.0)</f>
        <v>44922</v>
      </c>
      <c r="D91" s="10">
        <f>IFERROR(__xludf.DUMMYFUNCTION("""COMPUTED_VALUE"""),44922.0)</f>
        <v>44922</v>
      </c>
      <c r="E91" s="8">
        <f>IFERROR(__xludf.DUMMYFUNCTION("""COMPUTED_VALUE"""),261229.0)</f>
        <v>261229</v>
      </c>
      <c r="F91" s="9" t="str">
        <f>IFERROR(__xludf.DUMMYFUNCTION("""COMPUTED_VALUE"""),"後宮の百花輪")</f>
        <v>後宮の百花輪</v>
      </c>
      <c r="G91" s="11" t="str">
        <f>IFERROR(__xludf.DUMMYFUNCTION("""COMPUTED_VALUE"""),"1～3")</f>
        <v>1～3</v>
      </c>
      <c r="H91" s="8" t="str">
        <f>IFERROR(__xludf.DUMMYFUNCTION("""COMPUTED_VALUE"""),"霜月かいり・瀬那和章・七原しえ")</f>
        <v>霜月かいり・瀬那和章・七原しえ</v>
      </c>
      <c r="I91" s="8" t="str">
        <f>IFERROR(__xludf.DUMMYFUNCTION("""COMPUTED_VALUE"""),"女性")</f>
        <v>女性</v>
      </c>
      <c r="J91" s="8"/>
      <c r="K91" s="8"/>
      <c r="L91" s="8" t="str">
        <f>IFERROR(__xludf.DUMMYFUNCTION("""COMPUTED_VALUE"""),"集英社")</f>
        <v>集英社</v>
      </c>
      <c r="M91" s="12">
        <f>IFERROR(__xludf.DUMMYFUNCTION("""COMPUTED_VALUE"""),44958.0)</f>
        <v>44958</v>
      </c>
      <c r="N91" s="12">
        <f>IFERROR(__xludf.DUMMYFUNCTION("""COMPUTED_VALUE"""),44985.0)</f>
        <v>44985</v>
      </c>
      <c r="O91" s="11"/>
      <c r="P91" s="9" t="str">
        <f>IFERROR(__xludf.DUMMYFUNCTION("""COMPUTED_VALUE"""),"否")</f>
        <v>否</v>
      </c>
      <c r="Q91" s="8"/>
      <c r="R91" s="9"/>
      <c r="S91" s="8" t="str">
        <f>IFERROR(__xludf.DUMMYFUNCTION("""COMPUTED_VALUE"""),"20221227_集英社_後宮の百花輪")</f>
        <v>20221227_集英社_後宮の百花輪</v>
      </c>
      <c r="T91" s="9"/>
      <c r="U91" s="9" t="str">
        <f>IFERROR(__xludf.DUMMYFUNCTION("""COMPUTED_VALUE"""),"©霜月かいり・瀬那和章・七原しえ／集英社")</f>
        <v>©霜月かいり・瀬那和章・七原しえ／集英社</v>
      </c>
      <c r="V91" s="8" t="str">
        <f>IFERROR(__xludf.DUMMYFUNCTION("""COMPUTED_VALUE"""),"次なる皇后を決めるため国内の各州から代表となる貴妃五名が後宮に入り「百花輪の儀」が行われることとなった。落ちこぼれ貴妃の侍女となった明羽は、主の來梨を皇后となる百花皇妃にするべく陰謀だらけの危険な戦いに挑む！　命をかけた後宮バトルロイヤル開幕!!")</f>
        <v>次なる皇后を決めるため国内の各州から代表となる貴妃五名が後宮に入り「百花輪の儀」が行われることとなった。落ちこぼれ貴妃の侍女となった明羽は、主の來梨を皇后となる百花皇妃にするべく陰謀だらけの危険な戦いに挑む！　命をかけた後宮バトルロイヤル開幕!!</v>
      </c>
      <c r="W91" s="8"/>
      <c r="X91" s="8" t="str">
        <f>IFERROR(__xludf.DUMMYFUNCTION("""COMPUTED_VALUE"""),"有")</f>
        <v>有</v>
      </c>
      <c r="Y91" s="8" t="str">
        <f>IFERROR(__xludf.DUMMYFUNCTION("""COMPUTED_VALUE"""),"P10まで")</f>
        <v>P10まで</v>
      </c>
      <c r="Z91" s="7"/>
      <c r="AA91" s="7"/>
      <c r="AB91" s="7"/>
    </row>
    <row r="92" ht="144.0" customHeight="1">
      <c r="A92" s="8">
        <f>IFERROR(__xludf.DUMMYFUNCTION("""COMPUTED_VALUE"""),1609.0)</f>
        <v>1609</v>
      </c>
      <c r="B92" s="9" t="str">
        <f>IFERROR(__xludf.DUMMYFUNCTION("""COMPUTED_VALUE"""),"確定")</f>
        <v>確定</v>
      </c>
      <c r="C92" s="10">
        <f>IFERROR(__xludf.DUMMYFUNCTION("""COMPUTED_VALUE"""),44916.0)</f>
        <v>44916</v>
      </c>
      <c r="D92" s="10">
        <f>IFERROR(__xludf.DUMMYFUNCTION("""COMPUTED_VALUE"""),44932.0)</f>
        <v>44932</v>
      </c>
      <c r="E92" s="8">
        <f>IFERROR(__xludf.DUMMYFUNCTION("""COMPUTED_VALUE"""),260511.0)</f>
        <v>260511</v>
      </c>
      <c r="F92" s="9" t="str">
        <f>IFERROR(__xludf.DUMMYFUNCTION("""COMPUTED_VALUE"""),"【単話版】心の声が聞こえる悪役令嬢は、今日も子犬殿下に翻弄される@COMIC")</f>
        <v>【単話版】心の声が聞こえる悪役令嬢は、今日も子犬殿下に翻弄される@COMIC</v>
      </c>
      <c r="G92" s="11">
        <f>IFERROR(__xludf.DUMMYFUNCTION("""COMPUTED_VALUE"""),1.0)</f>
        <v>1</v>
      </c>
      <c r="H92" s="8" t="str">
        <f>IFERROR(__xludf.DUMMYFUNCTION("""COMPUTED_VALUE"""),"百畑うな┴かのん┴Shabon")</f>
        <v>百畑うな┴かのん┴Shabon</v>
      </c>
      <c r="I92" s="8" t="str">
        <f>IFERROR(__xludf.DUMMYFUNCTION("""COMPUTED_VALUE"""),"女性")</f>
        <v>女性</v>
      </c>
      <c r="J92" s="8"/>
      <c r="K92" s="8"/>
      <c r="L92" s="8" t="str">
        <f>IFERROR(__xludf.DUMMYFUNCTION("""COMPUTED_VALUE"""),"TOブックス")</f>
        <v>TOブックス</v>
      </c>
      <c r="M92" s="12">
        <f>IFERROR(__xludf.DUMMYFUNCTION("""COMPUTED_VALUE"""),44958.0)</f>
        <v>44958</v>
      </c>
      <c r="N92" s="12">
        <f>IFERROR(__xludf.DUMMYFUNCTION("""COMPUTED_VALUE"""),44985.0)</f>
        <v>44985</v>
      </c>
      <c r="O92" s="11"/>
      <c r="P92" s="9" t="str">
        <f>IFERROR(__xludf.DUMMYFUNCTION("""COMPUTED_VALUE"""),"可")</f>
        <v>可</v>
      </c>
      <c r="Q92" s="8" t="str">
        <f>IFERROR(__xludf.DUMMYFUNCTION("""COMPUTED_VALUE"""),"「編集」に変更（12/28）&lt;BR&gt;検討用_20221223_集英社_心の声が聞こえる悪役令嬢&lt;BR&gt;TOブックスなのか集英社なのか要確認！&lt;BR&gt;&lt;BR&gt;すみませんパス作り直しました！")</f>
        <v>「編集」に変更（12/28）&lt;BR&gt;検討用_20221223_集英社_心の声が聞こえる悪役令嬢&lt;BR&gt;TOブックスなのか集英社なのか要確認！&lt;BR&gt;&lt;BR&gt;すみませんパス作り直しました！</v>
      </c>
      <c r="R92" s="9"/>
      <c r="S92" s="8" t="str">
        <f>IFERROR(__xludf.DUMMYFUNCTION("""COMPUTED_VALUE"""),"20230106_TOブックス_心の声が聞こえる悪役令嬢")</f>
        <v>20230106_TOブックス_心の声が聞こえる悪役令嬢</v>
      </c>
      <c r="T92" s="8"/>
      <c r="U92" s="9" t="str">
        <f>IFERROR(__xludf.DUMMYFUNCTION("""COMPUTED_VALUE"""),"© Una Momohata / Kanon")</f>
        <v>© Una Momohata / Kanon</v>
      </c>
      <c r="V92" s="8" t="str">
        <f>IFERROR(__xludf.DUMMYFUNCTION("""COMPUTED_VALUE"""),"臆病な傾国の美女×可愛すぎる完璧王子の赤面必至ラブコメファンタジー！
乙女ゲームの悪役令嬢・エレノアが、
はじめて他人の「心の声」を聞いたのはまだ幼かった頃のこと。
打算、露骨な好意、中傷と心ない本音に
疲れた彼女は、いつしか心を閉ざし恋も諦めていた。
そんな時、舞踏会で第一王子・アシェルと出会う。
端正な顔立ちと落ち着いた声で振舞い
誰が見てもパーフェクトな人物かと思いきや――
「ふうー、緊張するなぁ。よーし、がんばるぞー！えい、えい、おー！」
実は弱気でピュアすぎる王子だった！？
心地よい「心の声」"&amp;"を持つ彼へエレノアは初めて好奇心を抱く。
やがてそれは、恋心へと変わっていき……？")</f>
        <v>臆病な傾国の美女×可愛すぎる完璧王子の赤面必至ラブコメファンタジー！
乙女ゲームの悪役令嬢・エレノアが、
はじめて他人の「心の声」を聞いたのはまだ幼かった頃のこと。
打算、露骨な好意、中傷と心ない本音に
疲れた彼女は、いつしか心を閉ざし恋も諦めていた。
そんな時、舞踏会で第一王子・アシェルと出会う。
端正な顔立ちと落ち着いた声で振舞い
誰が見てもパーフェクトな人物かと思いきや――
「ふうー、緊張するなぁ。よーし、がんばるぞー！えい、えい、おー！」
実は弱気でピュアすぎる王子だった！？
心地よい「心の声」を持つ彼へエレノアは初めて好奇心を抱く。
やがてそれは、恋心へと変わっていき……？</v>
      </c>
      <c r="W92" s="8"/>
      <c r="X92" s="8"/>
      <c r="Y92" s="8"/>
      <c r="Z92" s="7"/>
      <c r="AA92" s="7"/>
      <c r="AB92" s="7"/>
    </row>
    <row r="93" ht="156.0" customHeight="1">
      <c r="A93" s="8">
        <f>IFERROR(__xludf.DUMMYFUNCTION("""COMPUTED_VALUE"""),1552.0)</f>
        <v>1552</v>
      </c>
      <c r="B93" s="9" t="str">
        <f>IFERROR(__xludf.DUMMYFUNCTION("""COMPUTED_VALUE"""),"確定")</f>
        <v>確定</v>
      </c>
      <c r="C93" s="10">
        <f>IFERROR(__xludf.DUMMYFUNCTION("""COMPUTED_VALUE"""),44890.0)</f>
        <v>44890</v>
      </c>
      <c r="D93" s="10">
        <f>IFERROR(__xludf.DUMMYFUNCTION("""COMPUTED_VALUE"""),44901.0)</f>
        <v>44901</v>
      </c>
      <c r="E93" s="8">
        <f>IFERROR(__xludf.DUMMYFUNCTION("""COMPUTED_VALUE"""),260014.0)</f>
        <v>260014</v>
      </c>
      <c r="F93" s="9" t="str">
        <f>IFERROR(__xludf.DUMMYFUNCTION("""COMPUTED_VALUE"""),"溺愛ルームシェア～初恋をこじらせた年下男子に狙われています～")</f>
        <v>溺愛ルームシェア～初恋をこじらせた年下男子に狙われています～</v>
      </c>
      <c r="G93" s="11" t="str">
        <f>IFERROR(__xludf.DUMMYFUNCTION("""COMPUTED_VALUE"""),"1~5")</f>
        <v>1~5</v>
      </c>
      <c r="H93" s="8" t="str">
        <f>IFERROR(__xludf.DUMMYFUNCTION("""COMPUTED_VALUE"""),"タチバナ")</f>
        <v>タチバナ</v>
      </c>
      <c r="I93" s="8" t="str">
        <f>IFERROR(__xludf.DUMMYFUNCTION("""COMPUTED_VALUE"""),"女性")</f>
        <v>女性</v>
      </c>
      <c r="J93" s="8"/>
      <c r="K93" s="8"/>
      <c r="L93" s="8" t="str">
        <f>IFERROR(__xludf.DUMMYFUNCTION("""COMPUTED_VALUE"""),"ライドオン")</f>
        <v>ライドオン</v>
      </c>
      <c r="M93" s="12">
        <f>IFERROR(__xludf.DUMMYFUNCTION("""COMPUTED_VALUE"""),44960.0)</f>
        <v>44960</v>
      </c>
      <c r="N93" s="12" t="str">
        <f>IFERROR(__xludf.DUMMYFUNCTION("""COMPUTED_VALUE"""),"配信から6か月後")</f>
        <v>配信から6か月後</v>
      </c>
      <c r="O93" s="11"/>
      <c r="P93" s="9" t="str">
        <f>IFERROR(__xludf.DUMMYFUNCTION("""COMPUTED_VALUE"""),"可")</f>
        <v>可</v>
      </c>
      <c r="Q93" s="8" t="str">
        <f>IFERROR(__xludf.DUMMYFUNCTION("""COMPUTED_VALUE"""),"協業レーベル『シーモア×アラモード』作品です")</f>
        <v>協業レーベル『シーモア×アラモード』作品です</v>
      </c>
      <c r="R93" s="9"/>
      <c r="S93" s="8" t="str">
        <f>IFERROR(__xludf.DUMMYFUNCTION("""COMPUTED_VALUE"""),"20221125_ライドオン_溺愛ルームシェア")</f>
        <v>20221125_ライドオン_溺愛ルームシェア</v>
      </c>
      <c r="T93" s="9"/>
      <c r="U93" s="9" t="str">
        <f>IFERROR(__xludf.DUMMYFUNCTION("""COMPUTED_VALUE"""),"©タチバナ/ライドオン")</f>
        <v>©タチバナ/ライドオン</v>
      </c>
      <c r="V93" s="8" t="str">
        <f>IFERROR(__xludf.DUMMYFUNCTION("""COMPUTED_VALUE"""),"32歳、OLとしてバリバリ働く結衣子は、同棲直前の彼氏に「大事な話がある」と言われ、ついにプロポーズだと確信する。
しかし、昔黒ギャルだったことを理由にフラれてしまい、住むところを失うと大慌ての結衣子は、ふらつきながらも不動産屋に向かう。
すると、店員に泣きついているところに現れたのは、大学で家庭教師をしていた頃のかつての教え子、久瀬だった。
親身になってくれる久瀬をありがたく思う結衣子。
しかし久瀬は初恋の結衣子のことが忘れられなかったようで、この奇跡的な出会いをどうチャンスに変えようかと考える。
元彼"&amp;"を諦められない結衣子に対し、久瀬は絶対好きにさせてやると決意する、男女のすれ違いラブストーリー。")</f>
        <v>32歳、OLとしてバリバリ働く結衣子は、同棲直前の彼氏に「大事な話がある」と言われ、ついにプロポーズだと確信する。
しかし、昔黒ギャルだったことを理由にフラれてしまい、住むところを失うと大慌ての結衣子は、ふらつきながらも不動産屋に向かう。
すると、店員に泣きついているところに現れたのは、大学で家庭教師をしていた頃のかつての教え子、久瀬だった。
親身になってくれる久瀬をありがたく思う結衣子。
しかし久瀬は初恋の結衣子のことが忘れられなかったようで、この奇跡的な出会いをどうチャンスに変えようかと考える。
元彼を諦められない結衣子に対し、久瀬は絶対好きにさせてやると決意する、男女のすれ違いラブストーリー。</v>
      </c>
      <c r="W93" s="8"/>
      <c r="X93" s="8"/>
      <c r="Y93" s="8"/>
      <c r="Z93" s="7"/>
      <c r="AA93" s="7"/>
      <c r="AB93" s="7"/>
    </row>
    <row r="94" ht="174.75" customHeight="1">
      <c r="A94" s="8">
        <f>IFERROR(__xludf.DUMMYFUNCTION("""COMPUTED_VALUE"""),1612.0)</f>
        <v>1612</v>
      </c>
      <c r="B94" s="9" t="str">
        <f>IFERROR(__xludf.DUMMYFUNCTION("""COMPUTED_VALUE"""),"確定")</f>
        <v>確定</v>
      </c>
      <c r="C94" s="10">
        <f>IFERROR(__xludf.DUMMYFUNCTION("""COMPUTED_VALUE"""),44917.0)</f>
        <v>44917</v>
      </c>
      <c r="D94" s="10">
        <f>IFERROR(__xludf.DUMMYFUNCTION("""COMPUTED_VALUE"""),44918.0)</f>
        <v>44918</v>
      </c>
      <c r="E94" s="8">
        <f>IFERROR(__xludf.DUMMYFUNCTION("""COMPUTED_VALUE"""),260443.0)</f>
        <v>260443</v>
      </c>
      <c r="F94" s="9" t="str">
        <f>IFERROR(__xludf.DUMMYFUNCTION("""COMPUTED_VALUE"""),"俺の彼女はエロすぎる")</f>
        <v>俺の彼女はエロすぎる</v>
      </c>
      <c r="G94" s="11" t="str">
        <f>IFERROR(__xludf.DUMMYFUNCTION("""COMPUTED_VALUE"""),"1～3")</f>
        <v>1～3</v>
      </c>
      <c r="H94" s="8" t="str">
        <f>IFERROR(__xludf.DUMMYFUNCTION("""COMPUTED_VALUE"""),"Among/Scrive・Deulban")</f>
        <v>Among/Scrive・Deulban</v>
      </c>
      <c r="I94" s="8" t="str">
        <f>IFERROR(__xludf.DUMMYFUNCTION("""COMPUTED_VALUE"""),"青年")</f>
        <v>青年</v>
      </c>
      <c r="J94" s="8"/>
      <c r="K94" s="8"/>
      <c r="L94" s="8" t="str">
        <f>IFERROR(__xludf.DUMMYFUNCTION("""COMPUTED_VALUE"""),"Rush!")</f>
        <v>Rush!</v>
      </c>
      <c r="M94" s="12">
        <f>IFERROR(__xludf.DUMMYFUNCTION("""COMPUTED_VALUE"""),44960.0)</f>
        <v>44960</v>
      </c>
      <c r="N94" s="12">
        <f>IFERROR(__xludf.DUMMYFUNCTION("""COMPUTED_VALUE"""),44987.0)</f>
        <v>44987</v>
      </c>
      <c r="O94" s="11"/>
      <c r="P94" s="9" t="str">
        <f>IFERROR(__xludf.DUMMYFUNCTION("""COMPUTED_VALUE"""),"可")</f>
        <v>可</v>
      </c>
      <c r="Q94" s="8"/>
      <c r="R94" s="9"/>
      <c r="S94" s="8" t="str">
        <f>IFERROR(__xludf.DUMMYFUNCTION("""COMPUTED_VALUE"""),"20221222_ファンギルド__俺の彼女はエロすぎる")</f>
        <v>20221222_ファンギルド__俺の彼女はエロすぎる</v>
      </c>
      <c r="T94" s="9"/>
      <c r="U94" s="9" t="str">
        <f>IFERROR(__xludf.DUMMYFUNCTION("""COMPUTED_VALUE"""),"©Among/Scrive・Deulban/TOPTOON")</f>
        <v>©Among/Scrive・Deulban/TOPTOON</v>
      </c>
      <c r="V94" s="8" t="str">
        <f>IFERROR(__xludf.DUMMYFUNCTION("""COMPUTED_VALUE"""),"「この日見た光景を、俺は死ぬまで忘れないだろう」合コンで出会ったジヘに一目惚れしたソンジュンは、やっとの思いで長年の片思いを実らせ晴れて恋人同士に。そして交際100日目。不安を抱えながらも年上のジヘにリードされ無事に初体験を終えたが…歳の差5歳。かたや学生、かたや社会人の、週末だけ会える遠距離カップル。当然、その欲は留まるところを知らない。経験豊富でエッチな彼女に振り回されお願いを聞いているうちに、ソンジュンの欲望も膨らんでいき――！？")</f>
        <v>「この日見た光景を、俺は死ぬまで忘れないだろう」合コンで出会ったジヘに一目惚れしたソンジュンは、やっとの思いで長年の片思いを実らせ晴れて恋人同士に。そして交際100日目。不安を抱えながらも年上のジヘにリードされ無事に初体験を終えたが…歳の差5歳。かたや学生、かたや社会人の、週末だけ会える遠距離カップル。当然、その欲は留まるところを知らない。経験豊富でエッチな彼女に振り回されお願いを聞いているうちに、ソンジュンの欲望も膨らんでいき――！？</v>
      </c>
      <c r="W94" s="8"/>
      <c r="X94" s="8" t="str">
        <f>IFERROR(__xludf.DUMMYFUNCTION("""COMPUTED_VALUE"""),"有")</f>
        <v>有</v>
      </c>
      <c r="Y94" s="8" t="str">
        <f>IFERROR(__xludf.DUMMYFUNCTION("""COMPUTED_VALUE"""),"１巻目無料")</f>
        <v>１巻目無料</v>
      </c>
      <c r="Z94" s="7"/>
      <c r="AA94" s="7"/>
      <c r="AB94" s="7"/>
    </row>
    <row r="95" ht="154.5" customHeight="1">
      <c r="A95" s="8">
        <f>IFERROR(__xludf.DUMMYFUNCTION("""COMPUTED_VALUE"""),1613.0)</f>
        <v>1613</v>
      </c>
      <c r="B95" s="9" t="str">
        <f>IFERROR(__xludf.DUMMYFUNCTION("""COMPUTED_VALUE"""),"確定")</f>
        <v>確定</v>
      </c>
      <c r="C95" s="10">
        <f>IFERROR(__xludf.DUMMYFUNCTION("""COMPUTED_VALUE"""),44917.0)</f>
        <v>44917</v>
      </c>
      <c r="D95" s="10">
        <f>IFERROR(__xludf.DUMMYFUNCTION("""COMPUTED_VALUE"""),44918.0)</f>
        <v>44918</v>
      </c>
      <c r="E95" s="8">
        <f>IFERROR(__xludf.DUMMYFUNCTION("""COMPUTED_VALUE"""),260445.0)</f>
        <v>260445</v>
      </c>
      <c r="F95" s="9" t="str">
        <f>IFERROR(__xludf.DUMMYFUNCTION("""COMPUTED_VALUE"""),"管理者ゲーム")</f>
        <v>管理者ゲーム</v>
      </c>
      <c r="G95" s="11" t="str">
        <f>IFERROR(__xludf.DUMMYFUNCTION("""COMPUTED_VALUE"""),"1～3")</f>
        <v>1～3</v>
      </c>
      <c r="H95" s="8" t="str">
        <f>IFERROR(__xludf.DUMMYFUNCTION("""COMPUTED_VALUE"""),"Beluga/old worker・TOKUSOU")</f>
        <v>Beluga/old worker・TOKUSOU</v>
      </c>
      <c r="I95" s="8" t="str">
        <f>IFERROR(__xludf.DUMMYFUNCTION("""COMPUTED_VALUE"""),"青年")</f>
        <v>青年</v>
      </c>
      <c r="J95" s="8"/>
      <c r="K95" s="8"/>
      <c r="L95" s="8" t="str">
        <f>IFERROR(__xludf.DUMMYFUNCTION("""COMPUTED_VALUE"""),"Rush!")</f>
        <v>Rush!</v>
      </c>
      <c r="M95" s="12">
        <f>IFERROR(__xludf.DUMMYFUNCTION("""COMPUTED_VALUE"""),44960.0)</f>
        <v>44960</v>
      </c>
      <c r="N95" s="12">
        <f>IFERROR(__xludf.DUMMYFUNCTION("""COMPUTED_VALUE"""),44987.0)</f>
        <v>44987</v>
      </c>
      <c r="O95" s="11"/>
      <c r="P95" s="9" t="str">
        <f>IFERROR(__xludf.DUMMYFUNCTION("""COMPUTED_VALUE"""),"可")</f>
        <v>可</v>
      </c>
      <c r="Q95" s="8"/>
      <c r="R95" s="9"/>
      <c r="S95" s="8" t="str">
        <f>IFERROR(__xludf.DUMMYFUNCTION("""COMPUTED_VALUE"""),"20221222_ファンギルド_管理者ゲーム")</f>
        <v>20221222_ファンギルド_管理者ゲーム</v>
      </c>
      <c r="T95" s="9"/>
      <c r="U95" s="9" t="str">
        <f>IFERROR(__xludf.DUMMYFUNCTION("""COMPUTED_VALUE"""),"©Beluga/old worker・TOKUSOU/TOPTOON")</f>
        <v>©Beluga/old worker・TOKUSOU/TOPTOON</v>
      </c>
      <c r="V95" s="8" t="str">
        <f>IFERROR(__xludf.DUMMYFUNCTION("""COMPUTED_VALUE"""),"「女性職員と社内でセックスせよ」退屈な日常に山積みの仕事…うんざりする毎日を送る上原順一がダウンロードしたのは得体の知れない力を持った正体不明のアプリ！？アプリに表示されるミッションに従わなければ減給…しかしアプリを使えば相手の魅力や心理状態、そして性欲まで数値として見ることが出来る！次々と与えられるミッションをクリアしていくうちに、退屈だった日々は快楽にまみれた素晴らしい日々に変わっていく――")</f>
        <v>「女性職員と社内でセックスせよ」退屈な日常に山積みの仕事…うんざりする毎日を送る上原順一がダウンロードしたのは得体の知れない力を持った正体不明のアプリ！？アプリに表示されるミッションに従わなければ減給…しかしアプリを使えば相手の魅力や心理状態、そして性欲まで数値として見ることが出来る！次々と与えられるミッションをクリアしていくうちに、退屈だった日々は快楽にまみれた素晴らしい日々に変わっていく――</v>
      </c>
      <c r="W95" s="8"/>
      <c r="X95" s="8" t="str">
        <f>IFERROR(__xludf.DUMMYFUNCTION("""COMPUTED_VALUE"""),"有")</f>
        <v>有</v>
      </c>
      <c r="Y95" s="8" t="str">
        <f>IFERROR(__xludf.DUMMYFUNCTION("""COMPUTED_VALUE"""),"１巻目無料")</f>
        <v>１巻目無料</v>
      </c>
      <c r="Z95" s="7"/>
      <c r="AA95" s="7"/>
      <c r="AB95" s="7"/>
    </row>
    <row r="96" ht="175.5" customHeight="1">
      <c r="A96" s="8">
        <f>IFERROR(__xludf.DUMMYFUNCTION("""COMPUTED_VALUE"""),1571.0)</f>
        <v>1571</v>
      </c>
      <c r="B96" s="9" t="str">
        <f>IFERROR(__xludf.DUMMYFUNCTION("""COMPUTED_VALUE"""),"確定")</f>
        <v>確定</v>
      </c>
      <c r="C96" s="10">
        <f>IFERROR(__xludf.DUMMYFUNCTION("""COMPUTED_VALUE"""),44896.0)</f>
        <v>44896</v>
      </c>
      <c r="D96" s="10">
        <f>IFERROR(__xludf.DUMMYFUNCTION("""COMPUTED_VALUE"""),44939.0)</f>
        <v>44939</v>
      </c>
      <c r="E96" s="8">
        <f>IFERROR(__xludf.DUMMYFUNCTION("""COMPUTED_VALUE"""),260994.0)</f>
        <v>260994</v>
      </c>
      <c r="F96" s="9" t="str">
        <f>IFERROR(__xludf.DUMMYFUNCTION("""COMPUTED_VALUE"""),"お見合い結婚はお断りですが、今からイかせてさしあげます。")</f>
        <v>お見合い結婚はお断りですが、今からイかせてさしあげます。</v>
      </c>
      <c r="G96" s="11" t="str">
        <f>IFERROR(__xludf.DUMMYFUNCTION("""COMPUTED_VALUE"""),"1～2")</f>
        <v>1～2</v>
      </c>
      <c r="H96" s="8" t="str">
        <f>IFERROR(__xludf.DUMMYFUNCTION("""COMPUTED_VALUE"""),"松崎あべの")</f>
        <v>松崎あべの</v>
      </c>
      <c r="I96" s="8" t="str">
        <f>IFERROR(__xludf.DUMMYFUNCTION("""COMPUTED_VALUE"""),"TL")</f>
        <v>TL</v>
      </c>
      <c r="J96" s="8"/>
      <c r="K96" s="8"/>
      <c r="L96" s="8" t="str">
        <f>IFERROR(__xludf.DUMMYFUNCTION("""COMPUTED_VALUE"""),"小学館")</f>
        <v>小学館</v>
      </c>
      <c r="M96" s="12">
        <f>IFERROR(__xludf.DUMMYFUNCTION("""COMPUTED_VALUE"""),44960.0)</f>
        <v>44960</v>
      </c>
      <c r="N96" s="12" t="str">
        <f>IFERROR(__xludf.DUMMYFUNCTION("""COMPUTED_VALUE"""),"1か月先行予定")</f>
        <v>1か月先行予定</v>
      </c>
      <c r="O96" s="11"/>
      <c r="P96" s="9" t="str">
        <f>IFERROR(__xludf.DUMMYFUNCTION("""COMPUTED_VALUE"""),"可")</f>
        <v>可</v>
      </c>
      <c r="Q96" s="8" t="str">
        <f>IFERROR(__xludf.DUMMYFUNCTION("""COMPUTED_VALUE"""),"広告コミットOK（12/2）")</f>
        <v>広告コミットOK（12/2）</v>
      </c>
      <c r="R96" s="9"/>
      <c r="S96" s="8" t="str">
        <f>IFERROR(__xludf.DUMMYFUNCTION("""COMPUTED_VALUE"""),"20230113_小学館_お見合い結婚はお断りですが、今からイかせてさしあげます。")</f>
        <v>20230113_小学館_お見合い結婚はお断りですが、今からイかせてさしあげます。</v>
      </c>
      <c r="T96" s="9"/>
      <c r="U96" s="9" t="str">
        <f>IFERROR(__xludf.DUMMYFUNCTION("""COMPUTED_VALUE"""),"©松崎あべの / 小学館")</f>
        <v>©松崎あべの / 小学館</v>
      </c>
      <c r="V96" s="8" t="str">
        <f>IFERROR(__xludf.DUMMYFUNCTION("""COMPUTED_VALUE"""),"「君は男の乳首が好きなのか…？」セックスの知識はないけど、主導権さえ握れば私だって…。■「今からあなたとセックスします」男性経験0の私が、男をベッドに誘惑（!?）することになるなんて――。
男勝りなOL倉田美摘は、取引先との会食という名目の見合いに引っ張り出され、「ひと晩相手をするように」という上からの命令でホテルにいくことに…。
「どうしたら…」と思った矢先「君では勃たない。時間の無駄だ」と俺様御曹司・獅子目魁が言い放つ。
競争心を煽られた美摘は、覚悟を決めて魁を押し倒し……たはずが、なぜか気づけば逆に"&amp;"圧し掛かられていて…！？
熱い舌で胸の突起を転がしながら美摘に向ける魁の視線は熱を帯びて、さっきまでとはまるで別人！しかも「君がイクところを見てみたくなった」って、この御曹司サマ、なぜ乗り気に――！？")</f>
        <v>「君は男の乳首が好きなのか…？」セックスの知識はないけど、主導権さえ握れば私だって…。■「今からあなたとセックスします」男性経験0の私が、男をベッドに誘惑（!?）することになるなんて――。
男勝りなOL倉田美摘は、取引先との会食という名目の見合いに引っ張り出され、「ひと晩相手をするように」という上からの命令でホテルにいくことに…。
「どうしたら…」と思った矢先「君では勃たない。時間の無駄だ」と俺様御曹司・獅子目魁が言い放つ。
競争心を煽られた美摘は、覚悟を決めて魁を押し倒し……たはずが、なぜか気づけば逆に圧し掛かられていて…！？
熱い舌で胸の突起を転がしながら美摘に向ける魁の視線は熱を帯びて、さっきまでとはまるで別人！しかも「君がイクところを見てみたくなった」って、この御曹司サマ、なぜ乗り気に――！？</v>
      </c>
      <c r="W96" s="8"/>
      <c r="X96" s="8" t="str">
        <f>IFERROR(__xludf.DUMMYFUNCTION("""COMPUTED_VALUE"""),"有")</f>
        <v>有</v>
      </c>
      <c r="Y96" s="8" t="str">
        <f>IFERROR(__xludf.DUMMYFUNCTION("""COMPUTED_VALUE"""),"P6まで")</f>
        <v>P6まで</v>
      </c>
      <c r="Z96" s="7"/>
      <c r="AA96" s="7"/>
      <c r="AB96" s="7"/>
    </row>
    <row r="97" ht="15.75" customHeight="1">
      <c r="A97" s="8">
        <f>IFERROR(__xludf.DUMMYFUNCTION("""COMPUTED_VALUE"""),1621.0)</f>
        <v>1621</v>
      </c>
      <c r="B97" s="9" t="str">
        <f>IFERROR(__xludf.DUMMYFUNCTION("""COMPUTED_VALUE"""),"確定")</f>
        <v>確定</v>
      </c>
      <c r="C97" s="10">
        <f>IFERROR(__xludf.DUMMYFUNCTION("""COMPUTED_VALUE"""),44922.0)</f>
        <v>44922</v>
      </c>
      <c r="D97" s="10">
        <f>IFERROR(__xludf.DUMMYFUNCTION("""COMPUTED_VALUE"""),44939.0)</f>
        <v>44939</v>
      </c>
      <c r="E97" s="8">
        <f>IFERROR(__xludf.DUMMYFUNCTION("""COMPUTED_VALUE"""),260533.0)</f>
        <v>260533</v>
      </c>
      <c r="F97" s="9" t="str">
        <f>IFERROR(__xludf.DUMMYFUNCTION("""COMPUTED_VALUE"""),"塩対応な私の旦那様はハイスペックな幼馴染!?～トロトロに甘やかされて開発される体～【分冊版】")</f>
        <v>塩対応な私の旦那様はハイスペックな幼馴染!?～トロトロに甘やかされて開発される体～【分冊版】</v>
      </c>
      <c r="G97" s="11" t="str">
        <f>IFERROR(__xludf.DUMMYFUNCTION("""COMPUTED_VALUE"""),"1～3")</f>
        <v>1～3</v>
      </c>
      <c r="H97" s="8" t="str">
        <f>IFERROR(__xludf.DUMMYFUNCTION("""COMPUTED_VALUE"""),"藤咲ゆう")</f>
        <v>藤咲ゆう</v>
      </c>
      <c r="I97" s="8" t="str">
        <f>IFERROR(__xludf.DUMMYFUNCTION("""COMPUTED_VALUE"""),"TL")</f>
        <v>TL</v>
      </c>
      <c r="J97" s="8"/>
      <c r="K97" s="8"/>
      <c r="L97" s="8" t="str">
        <f>IFERROR(__xludf.DUMMYFUNCTION("""COMPUTED_VALUE"""),"笠倉出版社")</f>
        <v>笠倉出版社</v>
      </c>
      <c r="M97" s="12">
        <f>IFERROR(__xludf.DUMMYFUNCTION("""COMPUTED_VALUE"""),44960.0)</f>
        <v>44960</v>
      </c>
      <c r="N97" s="12">
        <f>IFERROR(__xludf.DUMMYFUNCTION("""COMPUTED_VALUE"""),45077.66666666667)</f>
        <v>45077.66667</v>
      </c>
      <c r="O97" s="11"/>
      <c r="P97" s="9" t="str">
        <f>IFERROR(__xludf.DUMMYFUNCTION("""COMPUTED_VALUE"""),"可")</f>
        <v>可</v>
      </c>
      <c r="Q97" s="8"/>
      <c r="R97" s="9"/>
      <c r="S97" s="8" t="str">
        <f>IFERROR(__xludf.DUMMYFUNCTION("""COMPUTED_VALUE"""),"20230113_笠倉出版社_塩対応な私の旦那様はハイスペックな幼馴染!～トロトロに甘やかされて開発される体～【分冊版】")</f>
        <v>20230113_笠倉出版社_塩対応な私の旦那様はハイスペックな幼馴染!～トロトロに甘やかされて開発される体～【分冊版】</v>
      </c>
      <c r="T97" s="9"/>
      <c r="U97" s="9" t="str">
        <f>IFERROR(__xludf.DUMMYFUNCTION("""COMPUTED_VALUE"""),"©藤咲ゆう/笠倉出版社")</f>
        <v>©藤咲ゆう/笠倉出版社</v>
      </c>
      <c r="V97" s="8" t="str">
        <f>IFERROR(__xludf.DUMMYFUNCTION("""COMPUTED_VALUE"""),"「とろとろじゃん。桐がこんなにやらしいなんて知らなかった」周囲から不愛想だと嫌厭されている女子大生の相楽桐には大きな秘密がある。それは大学で人気者の東條由高と結婚していること！祖父たちの都合で夫婦になったふたり。素直になれない桐だけど、実はずっと由高を想い続けていて…完璧な由高の奥さんであることに負い目を感じる桐は、ある日ふとした拍子に離婚を切り出してしまう！するといつも笑顔で優しい由高の表情が一変し…!?指で、舌で激しく愛撫される桐。こんなにいじめられて気持ちいいなんて私の体どうなっちゃったの――!?")</f>
        <v>「とろとろじゃん。桐がこんなにやらしいなんて知らなかった」周囲から不愛想だと嫌厭されている女子大生の相楽桐には大きな秘密がある。それは大学で人気者の東條由高と結婚していること！祖父たちの都合で夫婦になったふたり。素直になれない桐だけど、実はずっと由高を想い続けていて…完璧な由高の奥さんであることに負い目を感じる桐は、ある日ふとした拍子に離婚を切り出してしまう！するといつも笑顔で優しい由高の表情が一変し…!?指で、舌で激しく愛撫される桐。こんなにいじめられて気持ちいいなんて私の体どうなっちゃったの――!?</v>
      </c>
      <c r="W97" s="8"/>
      <c r="X97" s="8" t="str">
        <f>IFERROR(__xludf.DUMMYFUNCTION("""COMPUTED_VALUE"""),"有")</f>
        <v>有</v>
      </c>
      <c r="Y97" s="8" t="str">
        <f>IFERROR(__xludf.DUMMYFUNCTION("""COMPUTED_VALUE"""),"P6まで")</f>
        <v>P6まで</v>
      </c>
      <c r="Z97" s="7"/>
      <c r="AA97" s="7"/>
      <c r="AB97" s="7"/>
    </row>
    <row r="98" ht="192.75" customHeight="1">
      <c r="A98" s="8">
        <f>IFERROR(__xludf.DUMMYFUNCTION("""COMPUTED_VALUE"""),1624.0)</f>
        <v>1624</v>
      </c>
      <c r="B98" s="9" t="str">
        <f>IFERROR(__xludf.DUMMYFUNCTION("""COMPUTED_VALUE"""),"確定")</f>
        <v>確定</v>
      </c>
      <c r="C98" s="10">
        <f>IFERROR(__xludf.DUMMYFUNCTION("""COMPUTED_VALUE"""),44930.0)</f>
        <v>44930</v>
      </c>
      <c r="D98" s="10">
        <f>IFERROR(__xludf.DUMMYFUNCTION("""COMPUTED_VALUE"""),44930.0)</f>
        <v>44930</v>
      </c>
      <c r="E98" s="8">
        <f>IFERROR(__xludf.DUMMYFUNCTION("""COMPUTED_VALUE"""),248742.0)</f>
        <v>248742</v>
      </c>
      <c r="F98" s="9" t="str">
        <f>IFERROR(__xludf.DUMMYFUNCTION("""COMPUTED_VALUE"""),"愛し合いかた教えてやるよ 鬼畜社長の快感ボディチェック")</f>
        <v>愛し合いかた教えてやるよ 鬼畜社長の快感ボディチェック</v>
      </c>
      <c r="G98" s="11" t="str">
        <f>IFERROR(__xludf.DUMMYFUNCTION("""COMPUTED_VALUE"""),"1～3")</f>
        <v>1～3</v>
      </c>
      <c r="H98" s="8" t="str">
        <f>IFERROR(__xludf.DUMMYFUNCTION("""COMPUTED_VALUE"""),"きゃっするのーす")</f>
        <v>きゃっするのーす</v>
      </c>
      <c r="I98" s="14" t="str">
        <f>IFERROR(__xludf.DUMMYFUNCTION("""COMPUTED_VALUE"""),"TL")</f>
        <v>TL</v>
      </c>
      <c r="J98" s="8"/>
      <c r="K98" s="8"/>
      <c r="L98" s="8" t="str">
        <f>IFERROR(__xludf.DUMMYFUNCTION("""COMPUTED_VALUE"""),"ソルマーレ編集部")</f>
        <v>ソルマーレ編集部</v>
      </c>
      <c r="M98" s="12">
        <f>IFERROR(__xludf.DUMMYFUNCTION("""COMPUTED_VALUE"""),44961.0)</f>
        <v>44961</v>
      </c>
      <c r="N98" s="12">
        <f>IFERROR(__xludf.DUMMYFUNCTION("""COMPUTED_VALUE"""),45022.0)</f>
        <v>45022</v>
      </c>
      <c r="O98" s="11"/>
      <c r="P98" s="9" t="str">
        <f>IFERROR(__xludf.DUMMYFUNCTION("""COMPUTED_VALUE"""),"可")</f>
        <v>可</v>
      </c>
      <c r="Q98" s="8"/>
      <c r="R98" s="9"/>
      <c r="S98" s="8" t="str">
        <f>IFERROR(__xludf.DUMMYFUNCTION("""COMPUTED_VALUE"""),"20230104_ソルマーレ編集部_愛し合いかた教えてやるよ　鬼畜社長の快感ボディチェック")</f>
        <v>20230104_ソルマーレ編集部_愛し合いかた教えてやるよ　鬼畜社長の快感ボディチェック</v>
      </c>
      <c r="T98" s="15"/>
      <c r="U98" s="9" t="str">
        <f>IFERROR(__xludf.DUMMYFUNCTION("""COMPUTED_VALUE"""),"Ⓒ きゃっするのーす/シーモアコミックス")</f>
        <v>Ⓒ きゃっするのーす/シーモアコミックス</v>
      </c>
      <c r="V98" s="8" t="str">
        <f>IFERROR(__xludf.DUMMYFUNCTION("""COMPUTED_VALUE"""),"「グラマーで魅力的っていうんだよ」甘い言葉を囁かれ、誰にも触れられたことのない場所をトロトロにされて……。下着メーカーで働く芽依は、いつも怖い顔で睨んでくる中村社長が苦手。ある日、専属モデルから容姿をけなされた芽依を、中村社長が庇ってくれた!? 驚きと共にうっかり自分に自信がないことを告白したら「教えてやるよ、お前の魅力」と雄の顔で押し倒され――。言い方はキツイし怖いけど、触れる指は優しくて…。コンプレックスごと愛されちゃう、鬼畜社長の溺愛レッスン！【桃色日記】")</f>
        <v>「グラマーで魅力的っていうんだよ」甘い言葉を囁かれ、誰にも触れられたことのない場所をトロトロにされて……。下着メーカーで働く芽依は、いつも怖い顔で睨んでくる中村社長が苦手。ある日、専属モデルから容姿をけなされた芽依を、中村社長が庇ってくれた!? 驚きと共にうっかり自分に自信がないことを告白したら「教えてやるよ、お前の魅力」と雄の顔で押し倒され――。言い方はキツイし怖いけど、触れる指は優しくて…。コンプレックスごと愛されちゃう、鬼畜社長の溺愛レッスン！【桃色日記】</v>
      </c>
      <c r="W98" s="8"/>
      <c r="X98" s="8"/>
      <c r="Y98" s="8"/>
      <c r="Z98" s="7"/>
      <c r="AA98" s="7"/>
      <c r="AB98" s="7"/>
    </row>
    <row r="99" ht="15.75" customHeight="1">
      <c r="A99" s="8">
        <f>IFERROR(__xludf.DUMMYFUNCTION("""COMPUTED_VALUE"""),1625.0)</f>
        <v>1625</v>
      </c>
      <c r="B99" s="9" t="str">
        <f>IFERROR(__xludf.DUMMYFUNCTION("""COMPUTED_VALUE"""),"確定")</f>
        <v>確定</v>
      </c>
      <c r="C99" s="10">
        <f>IFERROR(__xludf.DUMMYFUNCTION("""COMPUTED_VALUE"""),44930.0)</f>
        <v>44930</v>
      </c>
      <c r="D99" s="10">
        <f>IFERROR(__xludf.DUMMYFUNCTION("""COMPUTED_VALUE"""),44930.0)</f>
        <v>44930</v>
      </c>
      <c r="E99" s="8">
        <f>IFERROR(__xludf.DUMMYFUNCTION("""COMPUTED_VALUE"""),250589.0)</f>
        <v>250589</v>
      </c>
      <c r="F99" s="9" t="str">
        <f>IFERROR(__xludf.DUMMYFUNCTION("""COMPUTED_VALUE"""),"誘惑の多い研究室(フルカラー)")</f>
        <v>誘惑の多い研究室(フルカラー)</v>
      </c>
      <c r="G99" s="11" t="str">
        <f>IFERROR(__xludf.DUMMYFUNCTION("""COMPUTED_VALUE"""),"1～3")</f>
        <v>1～3</v>
      </c>
      <c r="H99" s="8" t="str">
        <f>IFERROR(__xludf.DUMMYFUNCTION("""COMPUTED_VALUE"""),"福,YTA")</f>
        <v>福,YTA</v>
      </c>
      <c r="I99" s="14" t="str">
        <f>IFERROR(__xludf.DUMMYFUNCTION("""COMPUTED_VALUE"""),"青年")</f>
        <v>青年</v>
      </c>
      <c r="J99" s="8"/>
      <c r="K99" s="8"/>
      <c r="L99" s="8" t="str">
        <f>IFERROR(__xludf.DUMMYFUNCTION("""COMPUTED_VALUE"""),"ソルマーレ編集部")</f>
        <v>ソルマーレ編集部</v>
      </c>
      <c r="M99" s="12">
        <f>IFERROR(__xludf.DUMMYFUNCTION("""COMPUTED_VALUE"""),44961.0)</f>
        <v>44961</v>
      </c>
      <c r="N99" s="12">
        <f>IFERROR(__xludf.DUMMYFUNCTION("""COMPUTED_VALUE"""),45022.0)</f>
        <v>45022</v>
      </c>
      <c r="O99" s="11"/>
      <c r="P99" s="9" t="str">
        <f>IFERROR(__xludf.DUMMYFUNCTION("""COMPUTED_VALUE"""),"可")</f>
        <v>可</v>
      </c>
      <c r="Q99" s="8"/>
      <c r="R99" s="9"/>
      <c r="S99" s="8" t="str">
        <f>IFERROR(__xludf.DUMMYFUNCTION("""COMPUTED_VALUE"""),"20230104_ソルマーレ編集部_誘惑の多い研究室（フルカラー）")</f>
        <v>20230104_ソルマーレ編集部_誘惑の多い研究室（フルカラー）</v>
      </c>
      <c r="T99" s="15"/>
      <c r="U99" s="9" t="str">
        <f>IFERROR(__xludf.DUMMYFUNCTION("""COMPUTED_VALUE"""),"Ⓒ 福/YTA/TOPCO/シーモアコミックス")</f>
        <v>Ⓒ 福/YTA/TOPCO/シーモアコミックス</v>
      </c>
      <c r="V99" s="8" t="str">
        <f>IFERROR(__xludf.DUMMYFUNCTION("""COMPUTED_VALUE"""),"大学の助教として働く孝之は、酒に酔った勢いで元カノと使うはずだったバイブを学生専用アプリ「アフタータイム」に出品してしまう。翌朝、自分の行動を後悔し戸惑う彼の携帯電話に、なんと購入希望者からメッセージが届く。約束の受け渡し場所で購入者を待っていると、そこになんと芸能人のような美貌を持つ女子学生が現れて…!?
「この商品（バイブ）、本当に君が使うの!?」
この日を境に、親友だと思っていた女友達に告られたり、美人教授に迫られたり、孝之のハーレム生活が幕を開けるーー!!?【ズズズキュン！】")</f>
        <v>大学の助教として働く孝之は、酒に酔った勢いで元カノと使うはずだったバイブを学生専用アプリ「アフタータイム」に出品してしまう。翌朝、自分の行動を後悔し戸惑う彼の携帯電話に、なんと購入希望者からメッセージが届く。約束の受け渡し場所で購入者を待っていると、そこになんと芸能人のような美貌を持つ女子学生が現れて…!?
「この商品（バイブ）、本当に君が使うの!?」
この日を境に、親友だと思っていた女友達に告られたり、美人教授に迫られたり、孝之のハーレム生活が幕を開けるーー!!?【ズズズキュン！】</v>
      </c>
      <c r="W99" s="8"/>
      <c r="X99" s="8"/>
      <c r="Y99" s="8"/>
      <c r="Z99" s="7"/>
      <c r="AA99" s="7"/>
      <c r="AB99" s="7"/>
    </row>
    <row r="100" ht="171.0" customHeight="1">
      <c r="A100" s="8">
        <f>IFERROR(__xludf.DUMMYFUNCTION("""COMPUTED_VALUE"""),1626.0)</f>
        <v>1626</v>
      </c>
      <c r="B100" s="9" t="str">
        <f>IFERROR(__xludf.DUMMYFUNCTION("""COMPUTED_VALUE"""),"確定")</f>
        <v>確定</v>
      </c>
      <c r="C100" s="10">
        <f>IFERROR(__xludf.DUMMYFUNCTION("""COMPUTED_VALUE"""),44930.0)</f>
        <v>44930</v>
      </c>
      <c r="D100" s="10">
        <f>IFERROR(__xludf.DUMMYFUNCTION("""COMPUTED_VALUE"""),44930.0)</f>
        <v>44930</v>
      </c>
      <c r="E100" s="8">
        <f>IFERROR(__xludf.DUMMYFUNCTION("""COMPUTED_VALUE"""),250590.0)</f>
        <v>250590</v>
      </c>
      <c r="F100" s="9" t="str">
        <f>IFERROR(__xludf.DUMMYFUNCTION("""COMPUTED_VALUE"""),"誘惑の多い研究室【タテヨミ】")</f>
        <v>誘惑の多い研究室【タテヨミ】</v>
      </c>
      <c r="G100" s="11" t="str">
        <f>IFERROR(__xludf.DUMMYFUNCTION("""COMPUTED_VALUE"""),"1～9")</f>
        <v>1～9</v>
      </c>
      <c r="H100" s="8" t="str">
        <f>IFERROR(__xludf.DUMMYFUNCTION("""COMPUTED_VALUE"""),"福,YTA")</f>
        <v>福,YTA</v>
      </c>
      <c r="I100" s="14" t="str">
        <f>IFERROR(__xludf.DUMMYFUNCTION("""COMPUTED_VALUE"""),"青年")</f>
        <v>青年</v>
      </c>
      <c r="J100" s="8"/>
      <c r="K100" s="8"/>
      <c r="L100" s="8" t="str">
        <f>IFERROR(__xludf.DUMMYFUNCTION("""COMPUTED_VALUE"""),"ソルマーレ編集部")</f>
        <v>ソルマーレ編集部</v>
      </c>
      <c r="M100" s="12">
        <f>IFERROR(__xludf.DUMMYFUNCTION("""COMPUTED_VALUE"""),44961.0)</f>
        <v>44961</v>
      </c>
      <c r="N100" s="12">
        <f>IFERROR(__xludf.DUMMYFUNCTION("""COMPUTED_VALUE"""),45022.0)</f>
        <v>45022</v>
      </c>
      <c r="O100" s="11"/>
      <c r="P100" s="9" t="str">
        <f>IFERROR(__xludf.DUMMYFUNCTION("""COMPUTED_VALUE"""),"可")</f>
        <v>可</v>
      </c>
      <c r="Q100" s="8" t="str">
        <f>IFERROR(__xludf.DUMMYFUNCTION("""COMPUTED_VALUE"""),"コマサム等素材は「250589　誘惑の多い研究室（フルカラー）」のほうをお使いください&lt;BR&gt;バナー制作はフルカラー版の素材を利用して問題ございません。")</f>
        <v>コマサム等素材は「250589　誘惑の多い研究室（フルカラー）」のほうをお使いください&lt;BR&gt;バナー制作はフルカラー版の素材を利用して問題ございません。</v>
      </c>
      <c r="R100" s="9"/>
      <c r="S100" s="8" t="str">
        <f>IFERROR(__xludf.DUMMYFUNCTION("""COMPUTED_VALUE"""),"20230104_ソルマーレ編集部_誘惑の多い研究室【タテヨミ】")</f>
        <v>20230104_ソルマーレ編集部_誘惑の多い研究室【タテヨミ】</v>
      </c>
      <c r="T100" s="15"/>
      <c r="U100" s="9" t="str">
        <f>IFERROR(__xludf.DUMMYFUNCTION("""COMPUTED_VALUE"""),"Ⓒ 福/YTA/TOPCO/シーモアコミックス")</f>
        <v>Ⓒ 福/YTA/TOPCO/シーモアコミックス</v>
      </c>
      <c r="V100" s="8" t="str">
        <f>IFERROR(__xludf.DUMMYFUNCTION("""COMPUTED_VALUE"""),"大学の助教として働く孝之は、酒に酔った勢いで元カノと使うはずだったバイブを学生専用アプリ「アフタータイム」に出品してしまう。翌朝、自分の行動を後悔し戸惑う彼の携帯電話に、なんと購入希望者からメッセージが届く。約束の受け渡し場所で購入者を待っていると、そこになんと芸能人のような美貌を持つ女子学生が現れて…!?
「この商品（バイブ）、本当に君が使うの!?」
この日を境に、親友だと思っていた女友達に告られたり、美人教授に迫られたり、孝之のハーレム生活が幕を開けるーー!!?【ズズズキュン！】")</f>
        <v>大学の助教として働く孝之は、酒に酔った勢いで元カノと使うはずだったバイブを学生専用アプリ「アフタータイム」に出品してしまう。翌朝、自分の行動を後悔し戸惑う彼の携帯電話に、なんと購入希望者からメッセージが届く。約束の受け渡し場所で購入者を待っていると、そこになんと芸能人のような美貌を持つ女子学生が現れて…!?
「この商品（バイブ）、本当に君が使うの!?」
この日を境に、親友だと思っていた女友達に告られたり、美人教授に迫られたり、孝之のハーレム生活が幕を開けるーー!!?【ズズズキュン！】</v>
      </c>
      <c r="W100" s="8"/>
      <c r="X100" s="8"/>
      <c r="Y100" s="8"/>
      <c r="Z100" s="7"/>
      <c r="AA100" s="7"/>
      <c r="AB100" s="7"/>
    </row>
    <row r="101" ht="135.0" customHeight="1">
      <c r="A101" s="8">
        <f>IFERROR(__xludf.DUMMYFUNCTION("""COMPUTED_VALUE"""),1553.0)</f>
        <v>1553</v>
      </c>
      <c r="B101" s="9" t="str">
        <f>IFERROR(__xludf.DUMMYFUNCTION("""COMPUTED_VALUE"""),"確定")</f>
        <v>確定</v>
      </c>
      <c r="C101" s="10">
        <f>IFERROR(__xludf.DUMMYFUNCTION("""COMPUTED_VALUE"""),44890.0)</f>
        <v>44890</v>
      </c>
      <c r="D101" s="10">
        <f>IFERROR(__xludf.DUMMYFUNCTION("""COMPUTED_VALUE"""),44901.0)</f>
        <v>44901</v>
      </c>
      <c r="E101" s="8">
        <f>IFERROR(__xludf.DUMMYFUNCTION("""COMPUTED_VALUE"""),260997.0)</f>
        <v>260997</v>
      </c>
      <c r="F101" s="15" t="str">
        <f>IFERROR(__xludf.DUMMYFUNCTION("""COMPUTED_VALUE"""),"初恋のつづきは男子寮で【マイクロ】")</f>
        <v>初恋のつづきは男子寮で【マイクロ】</v>
      </c>
      <c r="G101" s="11" t="str">
        <f>IFERROR(__xludf.DUMMYFUNCTION("""COMPUTED_VALUE"""),"1～6")</f>
        <v>1～6</v>
      </c>
      <c r="H101" s="8" t="str">
        <f>IFERROR(__xludf.DUMMYFUNCTION("""COMPUTED_VALUE"""),"七海月")</f>
        <v>七海月</v>
      </c>
      <c r="I101" s="8" t="str">
        <f>IFERROR(__xludf.DUMMYFUNCTION("""COMPUTED_VALUE"""),"少女")</f>
        <v>少女</v>
      </c>
      <c r="J101" s="8"/>
      <c r="K101" s="8"/>
      <c r="L101" s="8" t="str">
        <f>IFERROR(__xludf.DUMMYFUNCTION("""COMPUTED_VALUE"""),"小学館")</f>
        <v>小学館</v>
      </c>
      <c r="M101" s="12">
        <f>IFERROR(__xludf.DUMMYFUNCTION("""COMPUTED_VALUE"""),44962.0)</f>
        <v>44962</v>
      </c>
      <c r="N101" s="12">
        <f>IFERROR(__xludf.DUMMYFUNCTION("""COMPUTED_VALUE"""),45050.66666666667)</f>
        <v>45050.66667</v>
      </c>
      <c r="O101" s="11"/>
      <c r="P101" s="9" t="str">
        <f>IFERROR(__xludf.DUMMYFUNCTION("""COMPUTED_VALUE"""),"否")</f>
        <v>否</v>
      </c>
      <c r="Q101" s="8" t="str">
        <f>IFERROR(__xludf.DUMMYFUNCTION("""COMPUTED_VALUE"""),"広告コミットOK（12/2）&lt;BR&gt;1206：広告クリエイティブ用素材格納済（1-5話分）")</f>
        <v>広告コミットOK（12/2）&lt;BR&gt;1206：広告クリエイティブ用素材格納済（1-5話分）</v>
      </c>
      <c r="R101" s="9"/>
      <c r="S101" s="8" t="str">
        <f>IFERROR(__xludf.DUMMYFUNCTION("""COMPUTED_VALUE"""),"20221206_小学館_初恋のつづきは男子寮で")</f>
        <v>20221206_小学館_初恋のつづきは男子寮で</v>
      </c>
      <c r="T101" s="9"/>
      <c r="U101" s="9" t="str">
        <f>IFERROR(__xludf.DUMMYFUNCTION("""COMPUTED_VALUE"""),"©七海月 / 小学館")</f>
        <v>©七海月 / 小学館</v>
      </c>
      <c r="V101" s="8" t="str">
        <f>IFERROR(__xludf.DUMMYFUNCTION("""COMPUTED_VALUE"""),"男子が苦手なのに、男子だらけの元男子校に編入してしまった周。ひときわ派手でクールな男子・司波くんは初対面から超冷たいしいじわるだし・・・やっぱり男子苦手！！それでもやっていかなくちゃと無理をする周を助けてくれたのは・・・司波くん！？「俺があんたを守ってやる」いじわるだと思ってたのに、実は優しくて。全然違うはずなのに、初恋の男の子を思い出してしまう＿＿。イケメン揃いの元男子校で繰り広げられる紅一点青春ラブ！！")</f>
        <v>男子が苦手なのに、男子だらけの元男子校に編入してしまった周。ひときわ派手でクールな男子・司波くんは初対面から超冷たいしいじわるだし・・・やっぱり男子苦手！！それでもやっていかなくちゃと無理をする周を助けてくれたのは・・・司波くん！？「俺があんたを守ってやる」いじわるだと思ってたのに、実は優しくて。全然違うはずなのに、初恋の男の子を思い出してしまう＿＿。イケメン揃いの元男子校で繰り広げられる紅一点青春ラブ！！</v>
      </c>
      <c r="W101" s="8"/>
      <c r="X101" s="8"/>
      <c r="Y101" s="8"/>
      <c r="Z101" s="7"/>
      <c r="AA101" s="7"/>
      <c r="AB101" s="7"/>
    </row>
    <row r="102" ht="15.75" customHeight="1">
      <c r="A102" s="8">
        <f>IFERROR(__xludf.DUMMYFUNCTION("""COMPUTED_VALUE"""),1589.0)</f>
        <v>1589</v>
      </c>
      <c r="B102" s="9" t="str">
        <f>IFERROR(__xludf.DUMMYFUNCTION("""COMPUTED_VALUE"""),"確定")</f>
        <v>確定</v>
      </c>
      <c r="C102" s="10">
        <f>IFERROR(__xludf.DUMMYFUNCTION("""COMPUTED_VALUE"""),44908.0)</f>
        <v>44908</v>
      </c>
      <c r="D102" s="10">
        <f>IFERROR(__xludf.DUMMYFUNCTION("""COMPUTED_VALUE"""),44932.0)</f>
        <v>44932</v>
      </c>
      <c r="E102" s="8">
        <f>IFERROR(__xludf.DUMMYFUNCTION("""COMPUTED_VALUE"""),261012.0)</f>
        <v>261012</v>
      </c>
      <c r="F102" s="9" t="str">
        <f>IFERROR(__xludf.DUMMYFUNCTION("""COMPUTED_VALUE"""),"【ピュール】こじらせ若旦那様は私に飢えている～餌付けされてるはずが食べられちゃいました…！？～")</f>
        <v>【ピュール】こじらせ若旦那様は私に飢えている～餌付けされてるはずが食べられちゃいました…！？～</v>
      </c>
      <c r="G102" s="11" t="str">
        <f>IFERROR(__xludf.DUMMYFUNCTION("""COMPUTED_VALUE"""),"1～2")</f>
        <v>1～2</v>
      </c>
      <c r="H102" s="8" t="str">
        <f>IFERROR(__xludf.DUMMYFUNCTION("""COMPUTED_VALUE"""),"和光わこ")</f>
        <v>和光わこ</v>
      </c>
      <c r="I102" s="8" t="str">
        <f>IFERROR(__xludf.DUMMYFUNCTION("""COMPUTED_VALUE"""),"TL")</f>
        <v>TL</v>
      </c>
      <c r="J102" s="8"/>
      <c r="K102" s="8"/>
      <c r="L102" s="8" t="str">
        <f>IFERROR(__xludf.DUMMYFUNCTION("""COMPUTED_VALUE"""),"ジュリアンパブリッシング")</f>
        <v>ジュリアンパブリッシング</v>
      </c>
      <c r="M102" s="12">
        <f>IFERROR(__xludf.DUMMYFUNCTION("""COMPUTED_VALUE"""),44966.0)</f>
        <v>44966</v>
      </c>
      <c r="N102" s="12">
        <f>IFERROR(__xludf.DUMMYFUNCTION("""COMPUTED_VALUE"""),45056.0)</f>
        <v>45056</v>
      </c>
      <c r="O102" s="11"/>
      <c r="P102" s="9" t="str">
        <f>IFERROR(__xludf.DUMMYFUNCTION("""COMPUTED_VALUE"""),"可")</f>
        <v>可</v>
      </c>
      <c r="Q102" s="8" t="str">
        <f>IFERROR(__xludf.DUMMYFUNCTION("""COMPUTED_VALUE"""),"広告コミットOK（12/15）")</f>
        <v>広告コミットOK（12/15）</v>
      </c>
      <c r="R102" s="9"/>
      <c r="S102" s="8" t="str">
        <f>IFERROR(__xludf.DUMMYFUNCTION("""COMPUTED_VALUE"""),"20230106_Jパブリッシング_【ピュール】こじらせ若旦那様は私に飢えている～餌付けされてるはずが食べられちゃいました…！？～")</f>
        <v>20230106_Jパブリッシング_【ピュール】こじらせ若旦那様は私に飢えている～餌付けされてるはずが食べられちゃいました…！？～</v>
      </c>
      <c r="T102" s="9"/>
      <c r="U102" s="9" t="str">
        <f>IFERROR(__xludf.DUMMYFUNCTION("""COMPUTED_VALUE"""),"©和光わこ/ジュリアンパブリッシング")</f>
        <v>©和光わこ/ジュリアンパブリッシング</v>
      </c>
      <c r="V102" s="8" t="str">
        <f>IFERROR(__xludf.DUMMYFUNCTION("""COMPUTED_VALUE"""),"「このくらいしないと君はわからないでしょ」貧乏OL・牡丹に昔から優しくしてくれていた、近所の和菓子屋の一人息子・紫月くん。お兄さんのような存在の紫月くんに会社の悩みを溢すと、彼の雰囲気が変わって――…。（どうしてそんな、知らない男の人みたいな顔するの…？）紫月くんが触れたところから甘く痺れて、蕩かされそう――…。こじらせ若旦那×素直な貧乏OLのピュアでエッチなすれ違いラブ！")</f>
        <v>「このくらいしないと君はわからないでしょ」貧乏OL・牡丹に昔から優しくしてくれていた、近所の和菓子屋の一人息子・紫月くん。お兄さんのような存在の紫月くんに会社の悩みを溢すと、彼の雰囲気が変わって――…。（どうしてそんな、知らない男の人みたいな顔するの…？）紫月くんが触れたところから甘く痺れて、蕩かされそう――…。こじらせ若旦那×素直な貧乏OLのピュアでエッチなすれ違いラブ！</v>
      </c>
      <c r="W102" s="8"/>
      <c r="X102" s="8" t="str">
        <f>IFERROR(__xludf.DUMMYFUNCTION("""COMPUTED_VALUE"""),"有")</f>
        <v>有</v>
      </c>
      <c r="Y102" s="8" t="str">
        <f>IFERROR(__xludf.DUMMYFUNCTION("""COMPUTED_VALUE"""),"P18まで")</f>
        <v>P18まで</v>
      </c>
      <c r="Z102" s="7"/>
      <c r="AA102" s="7"/>
      <c r="AB102" s="7"/>
    </row>
    <row r="103" ht="15.75" customHeight="1">
      <c r="A103" s="8">
        <f>IFERROR(__xludf.DUMMYFUNCTION("""COMPUTED_VALUE"""),1632.0)</f>
        <v>1632</v>
      </c>
      <c r="B103" s="9" t="str">
        <f>IFERROR(__xludf.DUMMYFUNCTION("""COMPUTED_VALUE"""),"確定")</f>
        <v>確定</v>
      </c>
      <c r="C103" s="10">
        <f>IFERROR(__xludf.DUMMYFUNCTION("""COMPUTED_VALUE"""),44932.0)</f>
        <v>44932</v>
      </c>
      <c r="D103" s="10">
        <f>IFERROR(__xludf.DUMMYFUNCTION("""COMPUTED_VALUE"""),44932.0)</f>
        <v>44932</v>
      </c>
      <c r="E103" s="8">
        <f>IFERROR(__xludf.DUMMYFUNCTION("""COMPUTED_VALUE"""),261226.0)</f>
        <v>261226</v>
      </c>
      <c r="F103" s="9" t="str">
        <f>IFERROR(__xludf.DUMMYFUNCTION("""COMPUTED_VALUE"""),"ハーレム×マンション")</f>
        <v>ハーレム×マンション</v>
      </c>
      <c r="G103" s="11" t="str">
        <f>IFERROR(__xludf.DUMMYFUNCTION("""COMPUTED_VALUE"""),"1～4")</f>
        <v>1～4</v>
      </c>
      <c r="H103" s="8" t="str">
        <f>IFERROR(__xludf.DUMMYFUNCTION("""COMPUTED_VALUE"""),"下田狸")</f>
        <v>下田狸</v>
      </c>
      <c r="I103" s="8" t="str">
        <f>IFERROR(__xludf.DUMMYFUNCTION("""COMPUTED_VALUE"""),"青年")</f>
        <v>青年</v>
      </c>
      <c r="J103" s="8"/>
      <c r="K103" s="8"/>
      <c r="L103" s="8" t="str">
        <f>IFERROR(__xludf.DUMMYFUNCTION("""COMPUTED_VALUE"""),"Rush!")</f>
        <v>Rush!</v>
      </c>
      <c r="M103" s="12">
        <f>IFERROR(__xludf.DUMMYFUNCTION("""COMPUTED_VALUE"""),44967.0)</f>
        <v>44967</v>
      </c>
      <c r="N103" s="12">
        <f>IFERROR(__xludf.DUMMYFUNCTION("""COMPUTED_VALUE"""),45057.0)</f>
        <v>45057</v>
      </c>
      <c r="O103" s="11"/>
      <c r="P103" s="9" t="str">
        <f>IFERROR(__xludf.DUMMYFUNCTION("""COMPUTED_VALUE"""),"可")</f>
        <v>可</v>
      </c>
      <c r="Q103" s="8" t="str">
        <f>IFERROR(__xludf.DUMMYFUNCTION("""COMPUTED_VALUE"""),"協業レーベル『シーモア×Rush!Z』作品です。")</f>
        <v>協業レーベル『シーモア×Rush!Z』作品です。</v>
      </c>
      <c r="R103" s="9"/>
      <c r="S103" s="8" t="str">
        <f>IFERROR(__xludf.DUMMYFUNCTION("""COMPUTED_VALUE"""),"20230106_ファンギルド_ハーレム×マンション")</f>
        <v>20230106_ファンギルド_ハーレム×マンション</v>
      </c>
      <c r="T103" s="9"/>
      <c r="U103" s="9" t="str">
        <f>IFERROR(__xludf.DUMMYFUNCTION("""COMPUTED_VALUE"""),"©Shitatari")</f>
        <v>©Shitatari</v>
      </c>
      <c r="V103" s="8" t="str">
        <f>IFERROR(__xludf.DUMMYFUNCTION("""COMPUTED_VALUE"""),"「住人の女性には手を出しちゃダメよ！」 借金まみれの冴えない男・麻生太一。親戚であるマリ姉のツテで、住人がほとんど女性というマンションの住み込み管理人をすることになったのだが…初日からトラブル発生！隣室から聞こえる謎の悲鳴。まさか事件…!? 慌てて部屋に飛び込むと、そこには一人で×××をしている女性の姿が――…。こうして始まった新米管理人のエッチな日常。今日も欲求不満なオンナたちを相手に奮闘します！")</f>
        <v>「住人の女性には手を出しちゃダメよ！」 借金まみれの冴えない男・麻生太一。親戚であるマリ姉のツテで、住人がほとんど女性というマンションの住み込み管理人をすることになったのだが…初日からトラブル発生！隣室から聞こえる謎の悲鳴。まさか事件…!? 慌てて部屋に飛び込むと、そこには一人で×××をしている女性の姿が――…。こうして始まった新米管理人のエッチな日常。今日も欲求不満なオンナたちを相手に奮闘します！</v>
      </c>
      <c r="W103" s="8"/>
      <c r="X103" s="8" t="str">
        <f>IFERROR(__xludf.DUMMYFUNCTION("""COMPUTED_VALUE"""),"有")</f>
        <v>有</v>
      </c>
      <c r="Y103" s="8" t="str">
        <f>IFERROR(__xludf.DUMMYFUNCTION("""COMPUTED_VALUE"""),"１巻目無料")</f>
        <v>１巻目無料</v>
      </c>
      <c r="Z103" s="7"/>
      <c r="AA103" s="7"/>
      <c r="AB103" s="7"/>
    </row>
    <row r="104" ht="141.75" customHeight="1">
      <c r="A104" s="8">
        <f>IFERROR(__xludf.DUMMYFUNCTION("""COMPUTED_VALUE"""),1639.0)</f>
        <v>1639</v>
      </c>
      <c r="B104" s="9" t="str">
        <f>IFERROR(__xludf.DUMMYFUNCTION("""COMPUTED_VALUE"""),"確定")</f>
        <v>確定</v>
      </c>
      <c r="C104" s="10">
        <f>IFERROR(__xludf.DUMMYFUNCTION("""COMPUTED_VALUE"""),44936.0)</f>
        <v>44936</v>
      </c>
      <c r="D104" s="10">
        <f>IFERROR(__xludf.DUMMYFUNCTION("""COMPUTED_VALUE"""),44952.0)</f>
        <v>44952</v>
      </c>
      <c r="E104" s="8">
        <f>IFERROR(__xludf.DUMMYFUNCTION("""COMPUTED_VALUE"""),261724.0)</f>
        <v>261724</v>
      </c>
      <c r="F104" s="9" t="str">
        <f>IFERROR(__xludf.DUMMYFUNCTION("""COMPUTED_VALUE"""),"嫌われたいの　～好色王の妃を全力で回避します～【タテヨミ】")</f>
        <v>嫌われたいの　～好色王の妃を全力で回避します～【タテヨミ】</v>
      </c>
      <c r="G104" s="11" t="str">
        <f>IFERROR(__xludf.DUMMYFUNCTION("""COMPUTED_VALUE"""),"1～13")</f>
        <v>1～13</v>
      </c>
      <c r="H104" s="8" t="str">
        <f>IFERROR(__xludf.DUMMYFUNCTION("""COMPUTED_VALUE"""),"春野こもも")</f>
        <v>春野こもも</v>
      </c>
      <c r="I104" s="8" t="str">
        <f>IFERROR(__xludf.DUMMYFUNCTION("""COMPUTED_VALUE"""),"少女")</f>
        <v>少女</v>
      </c>
      <c r="J104" s="8"/>
      <c r="K104" s="8"/>
      <c r="L104" s="8" t="str">
        <f>IFERROR(__xludf.DUMMYFUNCTION("""COMPUTED_VALUE"""),"Tugikuru Corp.")</f>
        <v>Tugikuru Corp.</v>
      </c>
      <c r="M104" s="12">
        <f>IFERROR(__xludf.DUMMYFUNCTION("""COMPUTED_VALUE"""),44968.0)</f>
        <v>44968</v>
      </c>
      <c r="N104" s="12">
        <f>IFERROR(__xludf.DUMMYFUNCTION("""COMPUTED_VALUE"""),45026.0)</f>
        <v>45026</v>
      </c>
      <c r="O104" s="11"/>
      <c r="P104" s="9" t="str">
        <f>IFERROR(__xludf.DUMMYFUNCTION("""COMPUTED_VALUE"""),"可")</f>
        <v>可</v>
      </c>
      <c r="Q104" s="8" t="str">
        <f>IFERROR(__xludf.DUMMYFUNCTION("""COMPUTED_VALUE"""),"2/11～4/10の先行期間中、1～3巻目の1巻無料（ストリーミング）実施予定　※1～3巻目は通常価格も0円です&lt;BR&gt;広告コミットOK（1/12）&lt;BR&gt;")</f>
        <v>2/11～4/10の先行期間中、1～3巻目の1巻無料（ストリーミング）実施予定　※1～3巻目は通常価格も0円です&lt;BR&gt;広告コミットOK（1/12）&lt;BR&gt;</v>
      </c>
      <c r="R104" s="9"/>
      <c r="S104" s="8" t="str">
        <f>IFERROR(__xludf.DUMMYFUNCTION("""COMPUTED_VALUE"""),"20230126_Tugikuru Corp._嫌われたいの　～好色王の妃を全力で回避します～【タテヨミ】")</f>
        <v>20230126_Tugikuru Corp._嫌われたいの　～好色王の妃を全力で回避します～【タテヨミ】</v>
      </c>
      <c r="T104" s="9" t="str">
        <f>IFERROR(__xludf.DUMMYFUNCTION("""COMPUTED_VALUE"""),"広告用クリエイティブ素材として、プロローグ＋本編第1話～8話を格納済")</f>
        <v>広告用クリエイティブ素材として、プロローグ＋本編第1話～8話を格納済</v>
      </c>
      <c r="U104" s="9" t="str">
        <f>IFERROR(__xludf.DUMMYFUNCTION("""COMPUTED_VALUE"""),"『嫌われたいの～好色王の妃を全力で回避します～』　©春野こもも／Tugikuru Corp.")</f>
        <v>『嫌われたいの～好色王の妃を全力で回避します～』　©春野こもも／Tugikuru Corp.</v>
      </c>
      <c r="V104" s="8" t="str">
        <f>IFERROR(__xludf.DUMMYFUNCTION("""COMPUTED_VALUE"""),"惨めな王妃ルイーゼ。10人の側妃を持つ好色王にすら愛されず、不名誉な誹（そし）りを受ける毎日。と、そんな未来が待っているとはつゆ知らず、16才の侯爵令嬢ルイーゼは大好きな王太子の婚約者になるために今日も健気に縦ロールをキメる。ところがそんなある日……。転んだ拍子に前世の記憶を取り戻したルイーゼは、自分が乙女ゲームの世界へ転生したことを知る。このままだと不幸な王妃か、はたまた婚約破棄ののちに国外追放される悲惨な未来が待っていることを理解したルイーゼは……。「それならいっそ婚約者に選ばれなければいいんじゃない"&amp;"？」と覚悟を決めた！こうして記憶を取り戻したルイーゼ（改）は、愛する王太子アルフォンスへ嫌われる努力を始める。本当は、殿下を好きな気持ちに変わりはない……。でも、ここは新ヒロイン モニカにぜひとも頑張ってもらいましょう！ルイーゼは無事に不幸な未来を回避することができるのか？ 彼女の行く末はいかに……！")</f>
        <v>惨めな王妃ルイーゼ。10人の側妃を持つ好色王にすら愛されず、不名誉な誹（そし）りを受ける毎日。と、そんな未来が待っているとはつゆ知らず、16才の侯爵令嬢ルイーゼは大好きな王太子の婚約者になるために今日も健気に縦ロールをキメる。ところがそんなある日……。転んだ拍子に前世の記憶を取り戻したルイーゼは、自分が乙女ゲームの世界へ転生したことを知る。このままだと不幸な王妃か、はたまた婚約破棄ののちに国外追放される悲惨な未来が待っていることを理解したルイーゼは……。「それならいっそ婚約者に選ばれなければいいんじゃない？」と覚悟を決めた！こうして記憶を取り戻したルイーゼ（改）は、愛する王太子アルフォンスへ嫌われる努力を始める。本当は、殿下を好きな気持ちに変わりはない……。でも、ここは新ヒロイン モニカにぜひとも頑張ってもらいましょう！ルイーゼは無事に不幸な未来を回避することができるのか？ 彼女の行く末はいかに……！</v>
      </c>
      <c r="W104" s="8"/>
      <c r="X104" s="8" t="str">
        <f>IFERROR(__xludf.DUMMYFUNCTION("""COMPUTED_VALUE"""),"有")</f>
        <v>有</v>
      </c>
      <c r="Y104" s="8" t="str">
        <f>IFERROR(__xludf.DUMMYFUNCTION("""COMPUTED_VALUE"""),"１巻目無料")</f>
        <v>１巻目無料</v>
      </c>
      <c r="Z104" s="7"/>
      <c r="AA104" s="7"/>
      <c r="AB104" s="7"/>
    </row>
    <row r="105" ht="150.0" customHeight="1">
      <c r="A105" s="8">
        <f>IFERROR(__xludf.DUMMYFUNCTION("""COMPUTED_VALUE"""),1675.0)</f>
        <v>1675</v>
      </c>
      <c r="B105" s="9" t="str">
        <f>IFERROR(__xludf.DUMMYFUNCTION("""COMPUTED_VALUE"""),"確定")</f>
        <v>確定</v>
      </c>
      <c r="C105" s="10">
        <f>IFERROR(__xludf.DUMMYFUNCTION("""COMPUTED_VALUE"""),44953.0)</f>
        <v>44953</v>
      </c>
      <c r="D105" s="10">
        <f>IFERROR(__xludf.DUMMYFUNCTION("""COMPUTED_VALUE"""),44953.0)</f>
        <v>44953</v>
      </c>
      <c r="E105" s="8">
        <f>IFERROR(__xludf.DUMMYFUNCTION("""COMPUTED_VALUE"""),261720.0)</f>
        <v>261720</v>
      </c>
      <c r="F105" s="9" t="str">
        <f>IFERROR(__xludf.DUMMYFUNCTION("""COMPUTED_VALUE"""),"せっかく転生したなら…無垢な王子を落としたい！～前世で報われなかったアラフォー♀が異世界で玉の輿を狙ってますっ!～")</f>
        <v>せっかく転生したなら…無垢な王子を落としたい！～前世で報われなかったアラフォー♀が異世界で玉の輿を狙ってますっ!～</v>
      </c>
      <c r="G105" s="11" t="str">
        <f>IFERROR(__xludf.DUMMYFUNCTION("""COMPUTED_VALUE"""),"1~3")</f>
        <v>1~3</v>
      </c>
      <c r="H105" s="8" t="str">
        <f>IFERROR(__xludf.DUMMYFUNCTION("""COMPUTED_VALUE"""),"原作：犬野花子 作画：御上ユノ")</f>
        <v>原作：犬野花子 作画：御上ユノ</v>
      </c>
      <c r="I105" s="8" t="str">
        <f>IFERROR(__xludf.DUMMYFUNCTION("""COMPUTED_VALUE"""),"青年")</f>
        <v>青年</v>
      </c>
      <c r="J105" s="8"/>
      <c r="K105" s="8"/>
      <c r="L105" s="8" t="str">
        <f>IFERROR(__xludf.DUMMYFUNCTION("""COMPUTED_VALUE"""),"コミックストック")</f>
        <v>コミックストック</v>
      </c>
      <c r="M105" s="12">
        <f>IFERROR(__xludf.DUMMYFUNCTION("""COMPUTED_VALUE"""),44969.0)</f>
        <v>44969</v>
      </c>
      <c r="N105" s="12">
        <f>IFERROR(__xludf.DUMMYFUNCTION("""COMPUTED_VALUE"""),45059.0)</f>
        <v>45059</v>
      </c>
      <c r="O105" s="11"/>
      <c r="P105" s="9" t="str">
        <f>IFERROR(__xludf.DUMMYFUNCTION("""COMPUTED_VALUE"""),"可")</f>
        <v>可</v>
      </c>
      <c r="Q105" s="8"/>
      <c r="R105" s="9" t="str">
        <f>IFERROR(__xludf.DUMMYFUNCTION("""COMPUTED_VALUE"""),"格納済")</f>
        <v>格納済</v>
      </c>
      <c r="S105" s="8" t="str">
        <f>IFERROR(__xludf.DUMMYFUNCTION("""COMPUTED_VALUE"""),"20230127_コミックストック_せっかく転生したなら…無垢な王子を落としたい！ ～前世で報われなかったアラフォー♀が異世界で玉の輿を狙ってますっ!～")</f>
        <v>20230127_コミックストック_せっかく転生したなら…無垢な王子を落としたい！ ～前世で報われなかったアラフォー♀が異世界で玉の輿を狙ってますっ!～</v>
      </c>
      <c r="T105" s="9" t="str">
        <f>IFERROR(__xludf.DUMMYFUNCTION("""COMPUTED_VALUE"""),"校了済素材")</f>
        <v>校了済素材</v>
      </c>
      <c r="U105" s="9" t="str">
        <f>IFERROR(__xludf.DUMMYFUNCTION("""COMPUTED_VALUE"""),"ⓒ犬野花子・御上ユノ/コミックストック")</f>
        <v>ⓒ犬野花子・御上ユノ/コミックストック</v>
      </c>
      <c r="V105" s="8" t="str">
        <f>IFERROR(__xludf.DUMMYFUNCTION("""COMPUTED_VALUE"""),"稼ぎも人柄もすべてが最底辺の男と結婚して過労死してしまった倉本瑞希（40）は、伯爵家令嬢・ミズリーとして異世界転生を果たす。「この世界では最高級の男性と結婚しよう！」と決意した彼女は、王太子・アレンに一目惚れ。身分の違いから直球勝負が難しいと考えたミズリーは、王国初の女性騎士として王太子の傍に仕えることに!? しかし、王太子との関係は進展もなく落ち込む彼女。それを見かねた同僚からまだ女性を知らない王太子を落とすため『お色気作戦』を提案され……。前世のアラフォーの記憶（色仕掛け）を駆使し、ミズリーは『天然初"&amp;"心な王太子』という玉の輿に乗れるのか――!?")</f>
        <v>稼ぎも人柄もすべてが最底辺の男と結婚して過労死してしまった倉本瑞希（40）は、伯爵家令嬢・ミズリーとして異世界転生を果たす。「この世界では最高級の男性と結婚しよう！」と決意した彼女は、王太子・アレンに一目惚れ。身分の違いから直球勝負が難しいと考えたミズリーは、王国初の女性騎士として王太子の傍に仕えることに!? しかし、王太子との関係は進展もなく落ち込む彼女。それを見かねた同僚からまだ女性を知らない王太子を落とすため『お色気作戦』を提案され……。前世のアラフォーの記憶（色仕掛け）を駆使し、ミズリーは『天然初心な王太子』という玉の輿に乗れるのか――!?</v>
      </c>
      <c r="W105" s="8"/>
      <c r="X105" s="8" t="str">
        <f>IFERROR(__xludf.DUMMYFUNCTION("""COMPUTED_VALUE"""),"有")</f>
        <v>有</v>
      </c>
      <c r="Y105" s="8" t="str">
        <f>IFERROR(__xludf.DUMMYFUNCTION("""COMPUTED_VALUE"""),"１巻目無料")</f>
        <v>１巻目無料</v>
      </c>
      <c r="Z105" s="7"/>
      <c r="AA105" s="7"/>
      <c r="AB105" s="7"/>
    </row>
    <row r="106" ht="138.0" customHeight="1">
      <c r="A106" s="8">
        <f>IFERROR(__xludf.DUMMYFUNCTION("""COMPUTED_VALUE"""),1634.0)</f>
        <v>1634</v>
      </c>
      <c r="B106" s="9" t="str">
        <f>IFERROR(__xludf.DUMMYFUNCTION("""COMPUTED_VALUE"""),"確定")</f>
        <v>確定</v>
      </c>
      <c r="C106" s="10">
        <f>IFERROR(__xludf.DUMMYFUNCTION("""COMPUTED_VALUE"""),44932.0)</f>
        <v>44932</v>
      </c>
      <c r="D106" s="10">
        <f>IFERROR(__xludf.DUMMYFUNCTION("""COMPUTED_VALUE"""),44932.0)</f>
        <v>44932</v>
      </c>
      <c r="E106" s="8">
        <f>IFERROR(__xludf.DUMMYFUNCTION("""COMPUTED_VALUE"""),260520.0)</f>
        <v>260520</v>
      </c>
      <c r="F106" s="9" t="str">
        <f>IFERROR(__xludf.DUMMYFUNCTION("""COMPUTED_VALUE"""),"悪虐聖女ですが、愛する旦那さまのお役に立ちたいです。（とはいえ、嫌われているのですが） 【連載版】")</f>
        <v>悪虐聖女ですが、愛する旦那さまのお役に立ちたいです。（とはいえ、嫌われているのですが） 【連載版】</v>
      </c>
      <c r="G106" s="11" t="str">
        <f>IFERROR(__xludf.DUMMYFUNCTION("""COMPUTED_VALUE"""),"1～3")</f>
        <v>1～3</v>
      </c>
      <c r="H106" s="8" t="str">
        <f>IFERROR(__xludf.DUMMYFUNCTION("""COMPUTED_VALUE"""),"コミック：提灯あんこ/原作：雨川透子/キャラクター原案：小田すずか")</f>
        <v>コミック：提灯あんこ/原作：雨川透子/キャラクター原案：小田すずか</v>
      </c>
      <c r="I106" s="8" t="str">
        <f>IFERROR(__xludf.DUMMYFUNCTION("""COMPUTED_VALUE"""),"女性")</f>
        <v>女性</v>
      </c>
      <c r="J106" s="8"/>
      <c r="K106" s="8"/>
      <c r="L106" s="8" t="str">
        <f>IFERROR(__xludf.DUMMYFUNCTION("""COMPUTED_VALUE"""),"一迅社")</f>
        <v>一迅社</v>
      </c>
      <c r="M106" s="12">
        <f>IFERROR(__xludf.DUMMYFUNCTION("""COMPUTED_VALUE"""),44971.0)</f>
        <v>44971</v>
      </c>
      <c r="N106" s="12">
        <f>IFERROR(__xludf.DUMMYFUNCTION("""COMPUTED_VALUE"""),44998.0)</f>
        <v>44998</v>
      </c>
      <c r="O106" s="11"/>
      <c r="P106" s="9" t="str">
        <f>IFERROR(__xludf.DUMMYFUNCTION("""COMPUTED_VALUE"""),"可")</f>
        <v>可</v>
      </c>
      <c r="Q106" s="8"/>
      <c r="R106" s="9"/>
      <c r="S106" s="8" t="str">
        <f>IFERROR(__xludf.DUMMYFUNCTION("""COMPUTED_VALUE"""),"20230106_一迅社_悪虐聖女ですが、愛する旦那さまのお役に立ちたいです。")</f>
        <v>20230106_一迅社_悪虐聖女ですが、愛する旦那さまのお役に立ちたいです。</v>
      </c>
      <c r="T106" s="9"/>
      <c r="U106" s="9" t="str">
        <f>IFERROR(__xludf.DUMMYFUNCTION("""COMPUTED_VALUE"""),"©提灯あんこ・雨川透子・小田すずか／一迅社")</f>
        <v>©提灯あんこ・雨川透子・小田すずか／一迅社</v>
      </c>
      <c r="V106" s="8" t="str">
        <f>IFERROR(__xludf.DUMMYFUNCTION("""COMPUTED_VALUE"""),"目が覚めたら記憶喪失になっていたシャーロット。「稀代の聖女」と呼ばれていた力は封じられているけれど、そんなことは些末な事。なぜなら旦那さまのオズヴァルトさまが格好良すぎるから…！しかしどうやら過去のシャーロットは残虐な振る舞いで人々を苦しめていたらしく、そのせいで彼にひどく憎まれてしまっているようで…？それならば、記憶喪失であることは隠してお役に立てるように頑張ります！旦那さま最推しの悪虐聖女と不器用な天才魔術師のハイテンション・ラブコメディ！【本商品は単話コンテンツとなります。単行本版と収録内容が異なる"&amp;"場合がございます。漫画内の告知等は過去のものとなりますので、ご注意ください。】")</f>
        <v>目が覚めたら記憶喪失になっていたシャーロット。「稀代の聖女」と呼ばれていた力は封じられているけれど、そんなことは些末な事。なぜなら旦那さまのオズヴァルトさまが格好良すぎるから…！しかしどうやら過去のシャーロットは残虐な振る舞いで人々を苦しめていたらしく、そのせいで彼にひどく憎まれてしまっているようで…？それならば、記憶喪失であることは隠してお役に立てるように頑張ります！旦那さま最推しの悪虐聖女と不器用な天才魔術師のハイテンション・ラブコメディ！【本商品は単話コンテンツとなります。単行本版と収録内容が異なる場合がございます。漫画内の告知等は過去のものとなりますので、ご注意ください。】</v>
      </c>
      <c r="W106" s="8"/>
      <c r="X106" s="8" t="str">
        <f>IFERROR(__xludf.DUMMYFUNCTION("""COMPUTED_VALUE"""),"有")</f>
        <v>有</v>
      </c>
      <c r="Y106" s="8" t="str">
        <f>IFERROR(__xludf.DUMMYFUNCTION("""COMPUTED_VALUE"""),"１巻目無料")</f>
        <v>１巻目無料</v>
      </c>
      <c r="Z106" s="7"/>
      <c r="AA106" s="7"/>
      <c r="AB106" s="7"/>
    </row>
    <row r="107" ht="159.0" customHeight="1">
      <c r="A107" s="8">
        <f>IFERROR(__xludf.DUMMYFUNCTION("""COMPUTED_VALUE"""),1635.0)</f>
        <v>1635</v>
      </c>
      <c r="B107" s="9" t="str">
        <f>IFERROR(__xludf.DUMMYFUNCTION("""COMPUTED_VALUE"""),"確定")</f>
        <v>確定</v>
      </c>
      <c r="C107" s="10">
        <f>IFERROR(__xludf.DUMMYFUNCTION("""COMPUTED_VALUE"""),44932.0)</f>
        <v>44932</v>
      </c>
      <c r="D107" s="10">
        <f>IFERROR(__xludf.DUMMYFUNCTION("""COMPUTED_VALUE"""),44932.0)</f>
        <v>44932</v>
      </c>
      <c r="E107" s="8">
        <f>IFERROR(__xludf.DUMMYFUNCTION("""COMPUTED_VALUE"""),260519.0)</f>
        <v>260519</v>
      </c>
      <c r="F107" s="9" t="str">
        <f>IFERROR(__xludf.DUMMYFUNCTION("""COMPUTED_VALUE"""),"偽聖女の行き着く先は")</f>
        <v>偽聖女の行き着く先は</v>
      </c>
      <c r="G107" s="11">
        <f>IFERROR(__xludf.DUMMYFUNCTION("""COMPUTED_VALUE"""),1.0)</f>
        <v>1</v>
      </c>
      <c r="H107" s="8" t="str">
        <f>IFERROR(__xludf.DUMMYFUNCTION("""COMPUTED_VALUE"""),"冬草もも、宮田紗音")</f>
        <v>冬草もも、宮田紗音</v>
      </c>
      <c r="I107" s="8" t="str">
        <f>IFERROR(__xludf.DUMMYFUNCTION("""COMPUTED_VALUE"""),"TL")</f>
        <v>TL</v>
      </c>
      <c r="J107" s="8"/>
      <c r="K107" s="8"/>
      <c r="L107" s="8" t="str">
        <f>IFERROR(__xludf.DUMMYFUNCTION("""COMPUTED_VALUE"""),"一迅社")</f>
        <v>一迅社</v>
      </c>
      <c r="M107" s="12">
        <f>IFERROR(__xludf.DUMMYFUNCTION("""COMPUTED_VALUE"""),44971.0)</f>
        <v>44971</v>
      </c>
      <c r="N107" s="12">
        <f>IFERROR(__xludf.DUMMYFUNCTION("""COMPUTED_VALUE"""),45029.66666666667)</f>
        <v>45029.66667</v>
      </c>
      <c r="O107" s="11"/>
      <c r="P107" s="9" t="str">
        <f>IFERROR(__xludf.DUMMYFUNCTION("""COMPUTED_VALUE"""),"可")</f>
        <v>可</v>
      </c>
      <c r="Q107" s="8"/>
      <c r="R107" s="9"/>
      <c r="S107" s="8" t="str">
        <f>IFERROR(__xludf.DUMMYFUNCTION("""COMPUTED_VALUE"""),"20230106_一迅社_偽聖女の行く先は")</f>
        <v>20230106_一迅社_偽聖女の行く先は</v>
      </c>
      <c r="T107" s="9"/>
      <c r="U107" s="9" t="str">
        <f>IFERROR(__xludf.DUMMYFUNCTION("""COMPUTED_VALUE"""),"©冬草もも・宮田紗音／一迅社")</f>
        <v>©冬草もも・宮田紗音／一迅社</v>
      </c>
      <c r="V107" s="8" t="str">
        <f>IFERROR(__xludf.DUMMYFUNCTION("""COMPUTED_VALUE"""),"偽聖女として裁かれるはずだったのに、王太子に見初められて…!? ※この作品は『無垢な聖女は甘くはじめてを奪われる ～捨てられた先でなぜか溺愛されています～ アンソロジーコミック』収録作品と同一の内容を単話版として再編集したものとなります。")</f>
        <v>偽聖女として裁かれるはずだったのに、王太子に見初められて…!? ※この作品は『無垢な聖女は甘くはじめてを奪われる ～捨てられた先でなぜか溺愛されています～ アンソロジーコミック』収録作品と同一の内容を単話版として再編集したものとなります。</v>
      </c>
      <c r="W107" s="8"/>
      <c r="X107" s="8" t="str">
        <f>IFERROR(__xludf.DUMMYFUNCTION("""COMPUTED_VALUE"""),"有")</f>
        <v>有</v>
      </c>
      <c r="Y107" s="8" t="str">
        <f>IFERROR(__xludf.DUMMYFUNCTION("""COMPUTED_VALUE"""),"P7まで")</f>
        <v>P7まで</v>
      </c>
      <c r="Z107" s="7"/>
      <c r="AA107" s="7"/>
      <c r="AB107" s="7"/>
    </row>
    <row r="108" ht="120.0" customHeight="1">
      <c r="A108" s="8">
        <f>IFERROR(__xludf.DUMMYFUNCTION("""COMPUTED_VALUE"""),1619.0)</f>
        <v>1619</v>
      </c>
      <c r="B108" s="9" t="str">
        <f>IFERROR(__xludf.DUMMYFUNCTION("""COMPUTED_VALUE"""),"確定")</f>
        <v>確定</v>
      </c>
      <c r="C108" s="10">
        <f>IFERROR(__xludf.DUMMYFUNCTION("""COMPUTED_VALUE"""),44922.0)</f>
        <v>44922</v>
      </c>
      <c r="D108" s="10">
        <f>IFERROR(__xludf.DUMMYFUNCTION("""COMPUTED_VALUE"""),44965.0)</f>
        <v>44965</v>
      </c>
      <c r="E108" s="8">
        <f>IFERROR(__xludf.DUMMYFUNCTION("""COMPUTED_VALUE"""),260725.0)</f>
        <v>260725</v>
      </c>
      <c r="F108" s="9" t="str">
        <f>IFERROR(__xludf.DUMMYFUNCTION("""COMPUTED_VALUE"""),"スカッと言えちゃうハケンの佐藤くんが眩しい【単話】")</f>
        <v>スカッと言えちゃうハケンの佐藤くんが眩しい【単話】</v>
      </c>
      <c r="G108" s="11" t="str">
        <f>IFERROR(__xludf.DUMMYFUNCTION("""COMPUTED_VALUE"""),"1~3")</f>
        <v>1~3</v>
      </c>
      <c r="H108" s="8" t="str">
        <f>IFERROR(__xludf.DUMMYFUNCTION("""COMPUTED_VALUE"""),"結先うみ")</f>
        <v>結先うみ</v>
      </c>
      <c r="I108" s="14" t="str">
        <f>IFERROR(__xludf.DUMMYFUNCTION("""COMPUTED_VALUE"""),"女性")</f>
        <v>女性</v>
      </c>
      <c r="J108" s="8"/>
      <c r="K108" s="8"/>
      <c r="L108" s="8" t="str">
        <f>IFERROR(__xludf.DUMMYFUNCTION("""COMPUTED_VALUE"""),"祥伝社")</f>
        <v>祥伝社</v>
      </c>
      <c r="M108" s="12">
        <f>IFERROR(__xludf.DUMMYFUNCTION("""COMPUTED_VALUE"""),44971.0)</f>
        <v>44971</v>
      </c>
      <c r="N108" s="12">
        <f>IFERROR(__xludf.DUMMYFUNCTION("""COMPUTED_VALUE"""),45152.0)</f>
        <v>45152</v>
      </c>
      <c r="O108" s="11"/>
      <c r="P108" s="9" t="str">
        <f>IFERROR(__xludf.DUMMYFUNCTION("""COMPUTED_VALUE"""),"否")</f>
        <v>否</v>
      </c>
      <c r="Q108" s="8"/>
      <c r="R108" s="9"/>
      <c r="S108" s="8" t="str">
        <f>IFERROR(__xludf.DUMMYFUNCTION("""COMPUTED_VALUE"""),"20230214_祥伝社_スカッと言えちゃうハケンの佐藤くんが眩しい")</f>
        <v>20230214_祥伝社_スカッと言えちゃうハケンの佐藤くんが眩しい</v>
      </c>
      <c r="T108" s="9"/>
      <c r="U108" s="9" t="str">
        <f>IFERROR(__xludf.DUMMYFUNCTION("""COMPUTED_VALUE"""),"©結先うみ/祥伝社")</f>
        <v>©結先うみ/祥伝社</v>
      </c>
      <c r="V108" s="8" t="str">
        <f>IFERROR(__xludf.DUMMYFUNCTION("""COMPUTED_VALUE"""),"ブラック企業に勤める清瀬更紗。毎日パワハラ上司とオーバーワークを必死に勤めてきた。そこに空気の読めない、いや読まない！ハケンの佐藤くんが現れて！？職場の上司・先輩なんてお構いなく正論でスカッと言えちゃうハケンの彼が正直私には眩しい！！")</f>
        <v>ブラック企業に勤める清瀬更紗。毎日パワハラ上司とオーバーワークを必死に勤めてきた。そこに空気の読めない、いや読まない！ハケンの佐藤くんが現れて！？職場の上司・先輩なんてお構いなく正論でスカッと言えちゃうハケンの彼が正直私には眩しい！！</v>
      </c>
      <c r="W108" s="8"/>
      <c r="X108" s="8" t="str">
        <f>IFERROR(__xludf.DUMMYFUNCTION("""COMPUTED_VALUE"""),"有")</f>
        <v>有</v>
      </c>
      <c r="Y108" s="8" t="str">
        <f>IFERROR(__xludf.DUMMYFUNCTION("""COMPUTED_VALUE"""),"１巻目無料")</f>
        <v>１巻目無料</v>
      </c>
      <c r="Z108" s="7"/>
      <c r="AA108" s="7"/>
      <c r="AB108" s="7"/>
    </row>
    <row r="109" ht="175.5" customHeight="1">
      <c r="A109" s="8">
        <f>IFERROR(__xludf.DUMMYFUNCTION("""COMPUTED_VALUE"""),1649.0)</f>
        <v>1649</v>
      </c>
      <c r="B109" s="9" t="str">
        <f>IFERROR(__xludf.DUMMYFUNCTION("""COMPUTED_VALUE"""),"確定")</f>
        <v>確定</v>
      </c>
      <c r="C109" s="10">
        <f>IFERROR(__xludf.DUMMYFUNCTION("""COMPUTED_VALUE"""),44939.0)</f>
        <v>44939</v>
      </c>
      <c r="D109" s="10">
        <f>IFERROR(__xludf.DUMMYFUNCTION("""COMPUTED_VALUE"""),44951.0)</f>
        <v>44951</v>
      </c>
      <c r="E109" s="8">
        <f>IFERROR(__xludf.DUMMYFUNCTION("""COMPUTED_VALUE"""),261979.0)</f>
        <v>261979</v>
      </c>
      <c r="F109" s="9" t="str">
        <f>IFERROR(__xludf.DUMMYFUNCTION("""COMPUTED_VALUE"""),"婚約解消のち逆転蜜愛～侯爵閣下のかわいい恋人～")</f>
        <v>婚約解消のち逆転蜜愛～侯爵閣下のかわいい恋人～</v>
      </c>
      <c r="G109" s="11">
        <f>IFERROR(__xludf.DUMMYFUNCTION("""COMPUTED_VALUE"""),1.0)</f>
        <v>1</v>
      </c>
      <c r="H109" s="8" t="str">
        <f>IFERROR(__xludf.DUMMYFUNCTION("""COMPUTED_VALUE"""),"片喰")</f>
        <v>片喰</v>
      </c>
      <c r="I109" s="8" t="str">
        <f>IFERROR(__xludf.DUMMYFUNCTION("""COMPUTED_VALUE"""),"TL")</f>
        <v>TL</v>
      </c>
      <c r="J109" s="8"/>
      <c r="K109" s="8"/>
      <c r="L109" s="8" t="str">
        <f>IFERROR(__xludf.DUMMYFUNCTION("""COMPUTED_VALUE"""),"乙女ドルチェ・コミックス")</f>
        <v>乙女ドルチェ・コミックス</v>
      </c>
      <c r="M109" s="12">
        <f>IFERROR(__xludf.DUMMYFUNCTION("""COMPUTED_VALUE"""),44973.0)</f>
        <v>44973</v>
      </c>
      <c r="N109" s="12">
        <f>IFERROR(__xludf.DUMMYFUNCTION("""COMPUTED_VALUE"""),45001.0)</f>
        <v>45001</v>
      </c>
      <c r="O109" s="11"/>
      <c r="P109" s="9" t="str">
        <f>IFERROR(__xludf.DUMMYFUNCTION("""COMPUTED_VALUE"""),"可")</f>
        <v>可</v>
      </c>
      <c r="Q109" s="8" t="str">
        <f>IFERROR(__xludf.DUMMYFUNCTION("""COMPUTED_VALUE"""),"広告コミットOK（1/20）&lt;BR&gt;")</f>
        <v>広告コミットOK（1/20）&lt;BR&gt;</v>
      </c>
      <c r="R109" s="9" t="str">
        <f>IFERROR(__xludf.DUMMYFUNCTION("""COMPUTED_VALUE"""),"格納済")</f>
        <v>格納済</v>
      </c>
      <c r="S109" s="8" t="str">
        <f>IFERROR(__xludf.DUMMYFUNCTION("""COMPUTED_VALUE"""),"20230125_乙女ドルチェ_婚約解消のち逆転蜜愛～侯爵閣下のかわいい恋人～")</f>
        <v>20230125_乙女ドルチェ_婚約解消のち逆転蜜愛～侯爵閣下のかわいい恋人～</v>
      </c>
      <c r="T109" s="9" t="str">
        <f>IFERROR(__xludf.DUMMYFUNCTION("""COMPUTED_VALUE"""),"校了済素材")</f>
        <v>校了済素材</v>
      </c>
      <c r="U109" s="9" t="str">
        <f>IFERROR(__xludf.DUMMYFUNCTION("""COMPUTED_VALUE"""),"©片喰・白柳いちか／ハーパーコリンズ・ジャパン")</f>
        <v>©片喰・白柳いちか／ハーパーコリンズ・ジャパン</v>
      </c>
      <c r="V109" s="8" t="str">
        <f>IFERROR(__xludf.DUMMYFUNCTION("""COMPUTED_VALUE"""),"何も知らなかった
恋の甘さも
本当の痛みも──
婚約者の裏切りで醜聞にさらされた裕福な子爵令嬢ブランカは、メルダース王国に嫁いだ王女に誘われ、筆頭侍女として辣腕を振るっていた。結婚なんてもうまっぴらなのに財産目当ての男達に狙われるブランカに手を差し伸べたのは、美貌の王太子補佐官ディートフリートだった。資産家の独身侯爵として華やかな噂の絶えない彼が持ちかけたのは、割り切った恋愛関係で!?「淑女の鑑のようなあなたが乱れる姿は、たまらない」手慣れた大人の男からの淫らな手ほどきにぐずぐずに蕩かされ、初めての“恋"&amp;"愛”に戸惑いながらも、彼の素顔に惹かれてゆき──。")</f>
        <v>何も知らなかった
恋の甘さも
本当の痛みも──
婚約者の裏切りで醜聞にさらされた裕福な子爵令嬢ブランカは、メルダース王国に嫁いだ王女に誘われ、筆頭侍女として辣腕を振るっていた。結婚なんてもうまっぴらなのに財産目当ての男達に狙われるブランカに手を差し伸べたのは、美貌の王太子補佐官ディートフリートだった。資産家の独身侯爵として華やかな噂の絶えない彼が持ちかけたのは、割り切った恋愛関係で!?「淑女の鑑のようなあなたが乱れる姿は、たまらない」手慣れた大人の男からの淫らな手ほどきにぐずぐずに蕩かされ、初めての“恋愛”に戸惑いながらも、彼の素顔に惹かれてゆき──。</v>
      </c>
      <c r="W109" s="8"/>
      <c r="X109" s="8" t="str">
        <f>IFERROR(__xludf.DUMMYFUNCTION("""COMPUTED_VALUE"""),"有")</f>
        <v>有</v>
      </c>
      <c r="Y109" s="8" t="str">
        <f>IFERROR(__xludf.DUMMYFUNCTION("""COMPUTED_VALUE"""),"１巻目無料")</f>
        <v>１巻目無料</v>
      </c>
      <c r="Z109" s="7"/>
      <c r="AA109" s="7"/>
      <c r="AB109" s="7"/>
    </row>
    <row r="110" ht="15.75" customHeight="1">
      <c r="A110" s="8">
        <f>IFERROR(__xludf.DUMMYFUNCTION("""COMPUTED_VALUE"""),1650.0)</f>
        <v>1650</v>
      </c>
      <c r="B110" s="9" t="str">
        <f>IFERROR(__xludf.DUMMYFUNCTION("""COMPUTED_VALUE"""),"確定")</f>
        <v>確定</v>
      </c>
      <c r="C110" s="10">
        <f>IFERROR(__xludf.DUMMYFUNCTION("""COMPUTED_VALUE"""),44939.0)</f>
        <v>44939</v>
      </c>
      <c r="D110" s="10">
        <f>IFERROR(__xludf.DUMMYFUNCTION("""COMPUTED_VALUE"""),44951.0)</f>
        <v>44951</v>
      </c>
      <c r="E110" s="8">
        <f>IFERROR(__xludf.DUMMYFUNCTION("""COMPUTED_VALUE"""),261980.0)</f>
        <v>261980</v>
      </c>
      <c r="F110" s="9" t="str">
        <f>IFERROR(__xludf.DUMMYFUNCTION("""COMPUTED_VALUE"""),"鳥籠花嫁～冷徹皇太子の寵愛教育～")</f>
        <v>鳥籠花嫁～冷徹皇太子の寵愛教育～</v>
      </c>
      <c r="G110" s="11">
        <f>IFERROR(__xludf.DUMMYFUNCTION("""COMPUTED_VALUE"""),1.0)</f>
        <v>1</v>
      </c>
      <c r="H110" s="8" t="str">
        <f>IFERROR(__xludf.DUMMYFUNCTION("""COMPUTED_VALUE"""),"金城ことり")</f>
        <v>金城ことり</v>
      </c>
      <c r="I110" s="8" t="str">
        <f>IFERROR(__xludf.DUMMYFUNCTION("""COMPUTED_VALUE"""),"TL")</f>
        <v>TL</v>
      </c>
      <c r="J110" s="8"/>
      <c r="K110" s="8"/>
      <c r="L110" s="8" t="str">
        <f>IFERROR(__xludf.DUMMYFUNCTION("""COMPUTED_VALUE"""),"乙女ドルチェ・コミックス")</f>
        <v>乙女ドルチェ・コミックス</v>
      </c>
      <c r="M110" s="12">
        <f>IFERROR(__xludf.DUMMYFUNCTION("""COMPUTED_VALUE"""),44973.0)</f>
        <v>44973</v>
      </c>
      <c r="N110" s="12">
        <f>IFERROR(__xludf.DUMMYFUNCTION("""COMPUTED_VALUE"""),45001.0)</f>
        <v>45001</v>
      </c>
      <c r="O110" s="11"/>
      <c r="P110" s="9" t="str">
        <f>IFERROR(__xludf.DUMMYFUNCTION("""COMPUTED_VALUE"""),"可")</f>
        <v>可</v>
      </c>
      <c r="Q110" s="8" t="str">
        <f>IFERROR(__xludf.DUMMYFUNCTION("""COMPUTED_VALUE"""),"広告コミットOK（1/20）&lt;BR&gt;")</f>
        <v>広告コミットOK（1/20）&lt;BR&gt;</v>
      </c>
      <c r="R110" s="9" t="str">
        <f>IFERROR(__xludf.DUMMYFUNCTION("""COMPUTED_VALUE"""),"格納済")</f>
        <v>格納済</v>
      </c>
      <c r="S110" s="8" t="str">
        <f>IFERROR(__xludf.DUMMYFUNCTION("""COMPUTED_VALUE"""),"20230125_乙女ドルチェ_鳥籠花嫁～冷徹皇太子の寵愛教育～")</f>
        <v>20230125_乙女ドルチェ_鳥籠花嫁～冷徹皇太子の寵愛教育～</v>
      </c>
      <c r="T110" s="9" t="str">
        <f>IFERROR(__xludf.DUMMYFUNCTION("""COMPUTED_VALUE"""),"校了済素材")</f>
        <v>校了済素材</v>
      </c>
      <c r="U110" s="9" t="str">
        <f>IFERROR(__xludf.DUMMYFUNCTION("""COMPUTED_VALUE"""),"©金城ことり・桃城猫緒／ハーパーコリンズ・ジャパン")</f>
        <v>©金城ことり・桃城猫緒／ハーパーコリンズ・ジャパン</v>
      </c>
      <c r="V110" s="8" t="str">
        <f>IFERROR(__xludf.DUMMYFUNCTION("""COMPUTED_VALUE"""),"「これ…がっ!?　エミディオ様のお身体の一部…!?」
「ご褒美にくちづけ…ください」
「星の数ほど女はいるが…俺は愛するお前としか身を繋ぐことはない」リタが初めてゴラド帝国皇太子であるエミディオと会ったのは10歳の時。小国の姫として大国に、持参金とともに差し出されたのだ。夫となる黒髪に赤い瞳のエミディオは、幼いリタには最初、美しく近寄りがたかったけれど、彼はリタを「俺の小鳥」と呼び、キスを教えてくれた。やがて迎えた床入りの夜。下着をはぎ取られ、胸元の小さな蕾を舌で転がされると、恥ずかしいのに感じてしまう"&amp;"。「身も心も無垢なくせに、我が妻は淫らな素質がある」と舌と指とで全身を愛でられて──。")</f>
        <v>「これ…がっ!?　エミディオ様のお身体の一部…!?」
「ご褒美にくちづけ…ください」
「星の数ほど女はいるが…俺は愛するお前としか身を繋ぐことはない」リタが初めてゴラド帝国皇太子であるエミディオと会ったのは10歳の時。小国の姫として大国に、持参金とともに差し出されたのだ。夫となる黒髪に赤い瞳のエミディオは、幼いリタには最初、美しく近寄りがたかったけれど、彼はリタを「俺の小鳥」と呼び、キスを教えてくれた。やがて迎えた床入りの夜。下着をはぎ取られ、胸元の小さな蕾を舌で転がされると、恥ずかしいのに感じてしまう。「身も心も無垢なくせに、我が妻は淫らな素質がある」と舌と指とで全身を愛でられて──。</v>
      </c>
      <c r="W110" s="8"/>
      <c r="X110" s="8" t="str">
        <f>IFERROR(__xludf.DUMMYFUNCTION("""COMPUTED_VALUE"""),"有")</f>
        <v>有</v>
      </c>
      <c r="Y110" s="8" t="str">
        <f>IFERROR(__xludf.DUMMYFUNCTION("""COMPUTED_VALUE"""),"１巻目無料")</f>
        <v>１巻目無料</v>
      </c>
      <c r="Z110" s="7"/>
      <c r="AA110" s="7"/>
      <c r="AB110" s="7"/>
    </row>
    <row r="111" ht="170.25" customHeight="1">
      <c r="A111" s="8">
        <f>IFERROR(__xludf.DUMMYFUNCTION("""COMPUTED_VALUE"""),1663.0)</f>
        <v>1663</v>
      </c>
      <c r="B111" s="9" t="str">
        <f>IFERROR(__xludf.DUMMYFUNCTION("""COMPUTED_VALUE"""),"確定")</f>
        <v>確定</v>
      </c>
      <c r="C111" s="10">
        <f>IFERROR(__xludf.DUMMYFUNCTION("""COMPUTED_VALUE"""),44944.0)</f>
        <v>44944</v>
      </c>
      <c r="D111" s="10">
        <f>IFERROR(__xludf.DUMMYFUNCTION("""COMPUTED_VALUE"""),44963.0)</f>
        <v>44963</v>
      </c>
      <c r="E111" s="8">
        <f>IFERROR(__xludf.DUMMYFUNCTION("""COMPUTED_VALUE"""),261987.0)</f>
        <v>261987</v>
      </c>
      <c r="F111" s="9" t="str">
        <f>IFERROR(__xludf.DUMMYFUNCTION("""COMPUTED_VALUE"""),"政略結婚のはずが、溺愛旦那様がご執心すぎて離婚を許してくれません【分冊版】")</f>
        <v>政略結婚のはずが、溺愛旦那様がご執心すぎて離婚を許してくれません【分冊版】</v>
      </c>
      <c r="G111" s="11" t="str">
        <f>IFERROR(__xludf.DUMMYFUNCTION("""COMPUTED_VALUE"""),"1～4")</f>
        <v>1～4</v>
      </c>
      <c r="H111" s="8" t="str">
        <f>IFERROR(__xludf.DUMMYFUNCTION("""COMPUTED_VALUE"""),"シリ崎・木下杏")</f>
        <v>シリ崎・木下杏</v>
      </c>
      <c r="I111" s="8" t="str">
        <f>IFERROR(__xludf.DUMMYFUNCTION("""COMPUTED_VALUE"""),"女性")</f>
        <v>女性</v>
      </c>
      <c r="J111" s="8"/>
      <c r="K111" s="8"/>
      <c r="L111" s="8" t="str">
        <f>IFERROR(__xludf.DUMMYFUNCTION("""COMPUTED_VALUE"""),"ハーパーコリンズ・ジャパン")</f>
        <v>ハーパーコリンズ・ジャパン</v>
      </c>
      <c r="M111" s="12">
        <f>IFERROR(__xludf.DUMMYFUNCTION("""COMPUTED_VALUE"""),44973.0)</f>
        <v>44973</v>
      </c>
      <c r="N111" s="12">
        <f>IFERROR(__xludf.DUMMYFUNCTION("""COMPUTED_VALUE"""),45001.0)</f>
        <v>45001</v>
      </c>
      <c r="O111" s="11"/>
      <c r="P111" s="9" t="str">
        <f>IFERROR(__xludf.DUMMYFUNCTION("""COMPUTED_VALUE"""),"可")</f>
        <v>可</v>
      </c>
      <c r="Q111" s="8" t="str">
        <f>IFERROR(__xludf.DUMMYFUNCTION("""COMPUTED_VALUE"""),"初回1～4話で広告コミットOK（1/27）&lt;BR&gt;4話目が大幅に遅れている為、いったん1~3にて格納&lt;BR&gt;&lt;BR&gt;")</f>
        <v>初回1～4話で広告コミットOK（1/27）&lt;BR&gt;4話目が大幅に遅れている為、いったん1~3にて格納&lt;BR&gt;&lt;BR&gt;</v>
      </c>
      <c r="R111" s="9" t="str">
        <f>IFERROR(__xludf.DUMMYFUNCTION("""COMPUTED_VALUE"""),"格納済※4話目未定")</f>
        <v>格納済※4話目未定</v>
      </c>
      <c r="S111" s="8" t="str">
        <f>IFERROR(__xludf.DUMMYFUNCTION("""COMPUTED_VALUE"""),"20230206_ハーパーコリンズ・ジャパン_政略結婚のはずが、溺愛旦那様がご執心すぎて〜")</f>
        <v>20230206_ハーパーコリンズ・ジャパン_政略結婚のはずが、溺愛旦那様がご執心すぎて〜</v>
      </c>
      <c r="T111" s="9" t="str">
        <f>IFERROR(__xludf.DUMMYFUNCTION("""COMPUTED_VALUE"""),"校了済素材")</f>
        <v>校了済素材</v>
      </c>
      <c r="U111" s="9" t="str">
        <f>IFERROR(__xludf.DUMMYFUNCTION("""COMPUTED_VALUE"""),"©シリ崎・木下 杏／ハーパーコリンズ・ジャパン")</f>
        <v>©シリ崎・木下 杏／ハーパーコリンズ・ジャパン</v>
      </c>
      <c r="V111" s="8" t="str">
        <f>IFERROR(__xludf.DUMMYFUNCTION("""COMPUTED_VALUE"""),"「俺は心から君との結婚を望んでいた」
大手不動産会社社長のお嬢様・伊織はライバル会社社長の尊成と期限付きの政略結婚をすることに。
冷徹な彼との結婚生活はすれ違いの毎日だが、離婚が決まっているのだからと割り切る伊織。
しかし彼が時折伊織に見せる素顔と優しさを知り、徐々に意識し始めてしまう。
もしかして本当は冷たい人じゃないのかもしれない――
勇気を出して彼にあるを提案した伊織だが、その日から尊成の態度が急に変わり…!?")</f>
        <v>「俺は心から君との結婚を望んでいた」
大手不動産会社社長のお嬢様・伊織はライバル会社社長の尊成と期限付きの政略結婚をすることに。
冷徹な彼との結婚生活はすれ違いの毎日だが、離婚が決まっているのだからと割り切る伊織。
しかし彼が時折伊織に見せる素顔と優しさを知り、徐々に意識し始めてしまう。
もしかして本当は冷たい人じゃないのかもしれない――
勇気を出して彼にあるを提案した伊織だが、その日から尊成の態度が急に変わり…!?</v>
      </c>
      <c r="W111" s="8"/>
      <c r="X111" s="8" t="str">
        <f>IFERROR(__xludf.DUMMYFUNCTION("""COMPUTED_VALUE"""),"有")</f>
        <v>有</v>
      </c>
      <c r="Y111" s="8" t="str">
        <f>IFERROR(__xludf.DUMMYFUNCTION("""COMPUTED_VALUE"""),"１巻目無料")</f>
        <v>１巻目無料</v>
      </c>
      <c r="Z111" s="7"/>
      <c r="AA111" s="7"/>
      <c r="AB111" s="7"/>
    </row>
    <row r="112" ht="15.75" customHeight="1">
      <c r="A112" s="8">
        <f>IFERROR(__xludf.DUMMYFUNCTION("""COMPUTED_VALUE"""),1604.0)</f>
        <v>1604</v>
      </c>
      <c r="B112" s="9" t="str">
        <f>IFERROR(__xludf.DUMMYFUNCTION("""COMPUTED_VALUE"""),"確定")</f>
        <v>確定</v>
      </c>
      <c r="C112" s="10">
        <f>IFERROR(__xludf.DUMMYFUNCTION("""COMPUTED_VALUE"""),44915.0)</f>
        <v>44915</v>
      </c>
      <c r="D112" s="10">
        <f>IFERROR(__xludf.DUMMYFUNCTION("""COMPUTED_VALUE"""),44936.0)</f>
        <v>44936</v>
      </c>
      <c r="E112" s="8">
        <f>IFERROR(__xludf.DUMMYFUNCTION("""COMPUTED_VALUE"""),261917.0)</f>
        <v>261917</v>
      </c>
      <c r="F112" s="9" t="str">
        <f>IFERROR(__xludf.DUMMYFUNCTION("""COMPUTED_VALUE"""),"恋するコーヒー&amp;シロップ")</f>
        <v>恋するコーヒー&amp;シロップ</v>
      </c>
      <c r="G112" s="11" t="str">
        <f>IFERROR(__xludf.DUMMYFUNCTION("""COMPUTED_VALUE"""),"1～3")</f>
        <v>1～3</v>
      </c>
      <c r="H112" s="8" t="str">
        <f>IFERROR(__xludf.DUMMYFUNCTION("""COMPUTED_VALUE"""),"衿先はとじ")</f>
        <v>衿先はとじ</v>
      </c>
      <c r="I112" s="8" t="str">
        <f>IFERROR(__xludf.DUMMYFUNCTION("""COMPUTED_VALUE"""),"女性")</f>
        <v>女性</v>
      </c>
      <c r="J112" s="8"/>
      <c r="K112" s="8"/>
      <c r="L112" s="8" t="str">
        <f>IFERROR(__xludf.DUMMYFUNCTION("""COMPUTED_VALUE"""),"DPNプラス")</f>
        <v>DPNプラス</v>
      </c>
      <c r="M112" s="12">
        <f>IFERROR(__xludf.DUMMYFUNCTION("""COMPUTED_VALUE"""),44974.0)</f>
        <v>44974</v>
      </c>
      <c r="N112" s="12">
        <f>IFERROR(__xludf.DUMMYFUNCTION("""COMPUTED_VALUE"""),45001.0)</f>
        <v>45001</v>
      </c>
      <c r="O112" s="11"/>
      <c r="P112" s="9" t="str">
        <f>IFERROR(__xludf.DUMMYFUNCTION("""COMPUTED_VALUE"""),"可")</f>
        <v>可</v>
      </c>
      <c r="Q112" s="8" t="str">
        <f>IFERROR(__xludf.DUMMYFUNCTION("""COMPUTED_VALUE"""),"広告コミットOK（12/28）")</f>
        <v>広告コミットOK（12/28）</v>
      </c>
      <c r="R112" s="9"/>
      <c r="S112" s="8" t="str">
        <f>IFERROR(__xludf.DUMMYFUNCTION("""COMPUTED_VALUE"""),"20221220_DPNプラス_恋するコーヒーシロップ")</f>
        <v>20221220_DPNプラス_恋するコーヒーシロップ</v>
      </c>
      <c r="T112" s="9"/>
      <c r="U112" s="9" t="str">
        <f>IFERROR(__xludf.DUMMYFUNCTION("""COMPUTED_VALUE"""),"©衿先はとじ／DPNプラス")</f>
        <v>©衿先はとじ／DPNプラス</v>
      </c>
      <c r="V112" s="8" t="str">
        <f>IFERROR(__xludf.DUMMYFUNCTION("""COMPUTED_VALUE"""),"憧れの上司（♂）と社内の男性が付き合っている事を知った『芳野さゆ』。突然の失恋と仕事でのトラブルが重なり退職・帰郷したさゆは、ふと立ち寄った地元の真新しいカフェで、店長の『優』と出会う。癒し系のお兄さん・優の不思議な雰囲気に興味を持ったさゆだったが、そこにカフェの共同経営者の『迅』と、その弟の『諒』が突然現れる。優に対する二人の態度に違和感を覚えたさゆは、早々に立ち去ろうとするが――。
恋敵（ライバル）は男性！？
♀・♂・♂が癒し系兄さんを奪い合う？奇妙な地元バイトライフ―！？")</f>
        <v>憧れの上司（♂）と社内の男性が付き合っている事を知った『芳野さゆ』。突然の失恋と仕事でのトラブルが重なり退職・帰郷したさゆは、ふと立ち寄った地元の真新しいカフェで、店長の『優』と出会う。癒し系のお兄さん・優の不思議な雰囲気に興味を持ったさゆだったが、そこにカフェの共同経営者の『迅』と、その弟の『諒』が突然現れる。優に対する二人の態度に違和感を覚えたさゆは、早々に立ち去ろうとするが――。
恋敵（ライバル）は男性！？
♀・♂・♂が癒し系兄さんを奪い合う？奇妙な地元バイトライフ―！？</v>
      </c>
      <c r="W112" s="8"/>
      <c r="X112" s="8" t="str">
        <f>IFERROR(__xludf.DUMMYFUNCTION("""COMPUTED_VALUE"""),"有")</f>
        <v>有</v>
      </c>
      <c r="Y112" s="8" t="str">
        <f>IFERROR(__xludf.DUMMYFUNCTION("""COMPUTED_VALUE"""),"P5まで")</f>
        <v>P5まで</v>
      </c>
      <c r="Z112" s="7"/>
      <c r="AA112" s="7"/>
      <c r="AB112" s="7"/>
    </row>
    <row r="113" ht="141.0" customHeight="1">
      <c r="A113" s="8">
        <f>IFERROR(__xludf.DUMMYFUNCTION("""COMPUTED_VALUE"""),1631.0)</f>
        <v>1631</v>
      </c>
      <c r="B113" s="9" t="str">
        <f>IFERROR(__xludf.DUMMYFUNCTION("""COMPUTED_VALUE"""),"確定")</f>
        <v>確定</v>
      </c>
      <c r="C113" s="10">
        <f>IFERROR(__xludf.DUMMYFUNCTION("""COMPUTED_VALUE"""),44932.0)</f>
        <v>44932</v>
      </c>
      <c r="D113" s="10">
        <f>IFERROR(__xludf.DUMMYFUNCTION("""COMPUTED_VALUE"""),44932.0)</f>
        <v>44932</v>
      </c>
      <c r="E113" s="8">
        <f>IFERROR(__xludf.DUMMYFUNCTION("""COMPUTED_VALUE"""),261225.0)</f>
        <v>261225</v>
      </c>
      <c r="F113" s="9" t="str">
        <f>IFERROR(__xludf.DUMMYFUNCTION("""COMPUTED_VALUE"""),"初恋スクエア")</f>
        <v>初恋スクエア</v>
      </c>
      <c r="G113" s="11" t="str">
        <f>IFERROR(__xludf.DUMMYFUNCTION("""COMPUTED_VALUE"""),"1～3")</f>
        <v>1～3</v>
      </c>
      <c r="H113" s="8" t="str">
        <f>IFERROR(__xludf.DUMMYFUNCTION("""COMPUTED_VALUE"""),"紅茶王/yuwol")</f>
        <v>紅茶王/yuwol</v>
      </c>
      <c r="I113" s="8" t="str">
        <f>IFERROR(__xludf.DUMMYFUNCTION("""COMPUTED_VALUE"""),"青年")</f>
        <v>青年</v>
      </c>
      <c r="J113" s="8"/>
      <c r="K113" s="8"/>
      <c r="L113" s="8" t="str">
        <f>IFERROR(__xludf.DUMMYFUNCTION("""COMPUTED_VALUE"""),"Rush!")</f>
        <v>Rush!</v>
      </c>
      <c r="M113" s="12">
        <f>IFERROR(__xludf.DUMMYFUNCTION("""COMPUTED_VALUE"""),44974.0)</f>
        <v>44974</v>
      </c>
      <c r="N113" s="12">
        <f>IFERROR(__xludf.DUMMYFUNCTION("""COMPUTED_VALUE"""),45064.0)</f>
        <v>45064</v>
      </c>
      <c r="O113" s="11"/>
      <c r="P113" s="9" t="str">
        <f>IFERROR(__xludf.DUMMYFUNCTION("""COMPUTED_VALUE"""),"可")</f>
        <v>可</v>
      </c>
      <c r="Q113" s="8" t="str">
        <f>IFERROR(__xludf.DUMMYFUNCTION("""COMPUTED_VALUE"""),"協業レーベル『シーモア×Rush!』作品です。")</f>
        <v>協業レーベル『シーモア×Rush!』作品です。</v>
      </c>
      <c r="R113" s="9"/>
      <c r="S113" s="8" t="str">
        <f>IFERROR(__xludf.DUMMYFUNCTION("""COMPUTED_VALUE"""),"20230106_ファンギルド_初恋スクエア")</f>
        <v>20230106_ファンギルド_初恋スクエア</v>
      </c>
      <c r="T113" s="9"/>
      <c r="U113" s="9" t="str">
        <f>IFERROR(__xludf.DUMMYFUNCTION("""COMPUTED_VALUE"""),"©kochaoh/yuwol/TOPTOON")</f>
        <v>©kochaoh/yuwol/TOPTOON</v>
      </c>
      <c r="V113" s="8" t="str">
        <f>IFERROR(__xludf.DUMMYFUNCTION("""COMPUTED_VALUE"""),"俺の彼女は完璧だ。ある一点を除いては――大学生の周防（すおう）は、大学事務員で誰もがうらやむ美女・悠乃（ゆの）と付き合っている。女神のような完璧な彼女との交際はとても順調だったが…いつまで経ってもセックスが出来ない…！！悶々とする気持ちを抑えるも性欲は日々高まり続け、ついには悠乃とのケンカへと発展し破局の大ピンチ！？そんな中、元カノや同級生からの熱烈アプローチ。拒否したい気持ちとは裏腹に身体は反応して…。爆発しそうな性欲をキッカケに、初めてだらけの四角関係が動き出す！")</f>
        <v>俺の彼女は完璧だ。ある一点を除いては――大学生の周防（すおう）は、大学事務員で誰もがうらやむ美女・悠乃（ゆの）と付き合っている。女神のような完璧な彼女との交際はとても順調だったが…いつまで経ってもセックスが出来ない…！！悶々とする気持ちを抑えるも性欲は日々高まり続け、ついには悠乃とのケンカへと発展し破局の大ピンチ！？そんな中、元カノや同級生からの熱烈アプローチ。拒否したい気持ちとは裏腹に身体は反応して…。爆発しそうな性欲をキッカケに、初めてだらけの四角関係が動き出す！</v>
      </c>
      <c r="W113" s="8"/>
      <c r="X113" s="8"/>
      <c r="Y113" s="8"/>
      <c r="Z113" s="7"/>
      <c r="AA113" s="7"/>
      <c r="AB113" s="7"/>
    </row>
    <row r="114" ht="15.75" customHeight="1">
      <c r="A114" s="8">
        <f>IFERROR(__xludf.DUMMYFUNCTION("""COMPUTED_VALUE"""),1668.0)</f>
        <v>1668</v>
      </c>
      <c r="B114" s="9" t="str">
        <f>IFERROR(__xludf.DUMMYFUNCTION("""COMPUTED_VALUE"""),"確定")</f>
        <v>確定</v>
      </c>
      <c r="C114" s="10">
        <f>IFERROR(__xludf.DUMMYFUNCTION("""COMPUTED_VALUE"""),44946.0)</f>
        <v>44946</v>
      </c>
      <c r="D114" s="10">
        <f>IFERROR(__xludf.DUMMYFUNCTION("""COMPUTED_VALUE"""),44946.0)</f>
        <v>44946</v>
      </c>
      <c r="E114" s="8">
        <f>IFERROR(__xludf.DUMMYFUNCTION("""COMPUTED_VALUE"""),256896.0)</f>
        <v>256896</v>
      </c>
      <c r="F114" s="9" t="str">
        <f>IFERROR(__xludf.DUMMYFUNCTION("""COMPUTED_VALUE"""),"今夜、わたしはカラダで恋をする。Season2")</f>
        <v>今夜、わたしはカラダで恋をする。Season2</v>
      </c>
      <c r="G114" s="11" t="str">
        <f>IFERROR(__xludf.DUMMYFUNCTION("""COMPUTED_VALUE"""),"1～2")</f>
        <v>1～2</v>
      </c>
      <c r="H114" s="8" t="str">
        <f>IFERROR(__xludf.DUMMYFUNCTION("""COMPUTED_VALUE"""),"嘉村朗,ABCテレビ")</f>
        <v>嘉村朗,ABCテレビ</v>
      </c>
      <c r="I114" s="14" t="str">
        <f>IFERROR(__xludf.DUMMYFUNCTION("""COMPUTED_VALUE"""),"TL")</f>
        <v>TL</v>
      </c>
      <c r="J114" s="8"/>
      <c r="K114" s="8"/>
      <c r="L114" s="8" t="str">
        <f>IFERROR(__xludf.DUMMYFUNCTION("""COMPUTED_VALUE"""),"ソルマーレ編集部")</f>
        <v>ソルマーレ編集部</v>
      </c>
      <c r="M114" s="12">
        <f>IFERROR(__xludf.DUMMYFUNCTION("""COMPUTED_VALUE"""),44974.0)</f>
        <v>44974</v>
      </c>
      <c r="N114" s="12">
        <f>IFERROR(__xludf.DUMMYFUNCTION("""COMPUTED_VALUE"""),45035.0)</f>
        <v>45035</v>
      </c>
      <c r="O114" s="11"/>
      <c r="P114" s="9" t="str">
        <f>IFERROR(__xludf.DUMMYFUNCTION("""COMPUTED_VALUE"""),"可")</f>
        <v>可</v>
      </c>
      <c r="Q114" s="8" t="str">
        <f>IFERROR(__xludf.DUMMYFUNCTION("""COMPUTED_VALUE"""),"※正式タイトル下記の通りです（1/20）&lt;BR&gt;＝＝＝&lt;BR&gt;今夜、わたしはカラダで恋をする。Season2&lt;BR&gt;＝＝＝&lt;BR&gt;")</f>
        <v>※正式タイトル下記の通りです（1/20）&lt;BR&gt;＝＝＝&lt;BR&gt;今夜、わたしはカラダで恋をする。Season2&lt;BR&gt;＝＝＝&lt;BR&gt;</v>
      </c>
      <c r="R114" s="9"/>
      <c r="S114" s="8" t="str">
        <f>IFERROR(__xludf.DUMMYFUNCTION("""COMPUTED_VALUE"""),"20230120_ソルマーレ編集部_今夜、わたしはカラダで恋をする。Season2")</f>
        <v>20230120_ソルマーレ編集部_今夜、わたしはカラダで恋をする。Season2</v>
      </c>
      <c r="T114" s="15"/>
      <c r="U114" s="9" t="str">
        <f>IFERROR(__xludf.DUMMYFUNCTION("""COMPUTED_VALUE"""),"Ⓒ 嘉村朗/シーモアコミックス")</f>
        <v>Ⓒ 嘉村朗/シーモアコミックス</v>
      </c>
      <c r="V114" s="8" t="str">
        <f>IFERROR(__xludf.DUMMYFUNCTION("""COMPUTED_VALUE"""),"「ナカに当たってる……っ!!」粘膜同士がこすれてビリビリしちゃう…!!都内の某私立大学の4年生・葉月はモデルの稜といわゆるセフレ関係。葉月自身は稜の顔が癒しなだけで、本命になりたいとは一切思っていない。だけど周りは「セフレなんかに時間の消費しないでもっと将来のことを考えろ」「今すぐでなくてもやりたいことあるだろ？」といって勝手にやきもき。そんな中、葉月の家に稜が遊びにきた。「シャワー浴びて待ってたんだ？」と稜から気持ちのいい触り方をされて…!?【桃色日記】")</f>
        <v>「ナカに当たってる……っ!!」粘膜同士がこすれてビリビリしちゃう…!!都内の某私立大学の4年生・葉月はモデルの稜といわゆるセフレ関係。葉月自身は稜の顔が癒しなだけで、本命になりたいとは一切思っていない。だけど周りは「セフレなんかに時間の消費しないでもっと将来のことを考えろ」「今すぐでなくてもやりたいことあるだろ？」といって勝手にやきもき。そんな中、葉月の家に稜が遊びにきた。「シャワー浴びて待ってたんだ？」と稜から気持ちのいい触り方をされて…!?【桃色日記】</v>
      </c>
      <c r="W114" s="8"/>
      <c r="X114" s="8" t="str">
        <f>IFERROR(__xludf.DUMMYFUNCTION("""COMPUTED_VALUE"""),"あり")</f>
        <v>あり</v>
      </c>
      <c r="Y114" s="8" t="str">
        <f>IFERROR(__xludf.DUMMYFUNCTION("""COMPUTED_VALUE"""),"１巻目無料")</f>
        <v>１巻目無料</v>
      </c>
      <c r="Z114" s="7"/>
      <c r="AA114" s="7"/>
      <c r="AB114" s="7"/>
    </row>
    <row r="115" ht="15.75" customHeight="1">
      <c r="A115" s="8">
        <f>IFERROR(__xludf.DUMMYFUNCTION("""COMPUTED_VALUE"""),1354.0)</f>
        <v>1354</v>
      </c>
      <c r="B115" s="9" t="str">
        <f>IFERROR(__xludf.DUMMYFUNCTION("""COMPUTED_VALUE"""),"確定")</f>
        <v>確定</v>
      </c>
      <c r="C115" s="10">
        <f>IFERROR(__xludf.DUMMYFUNCTION("""COMPUTED_VALUE"""),44790.0)</f>
        <v>44790</v>
      </c>
      <c r="D115" s="10">
        <f>IFERROR(__xludf.DUMMYFUNCTION("""COMPUTED_VALUE"""),44943.0)</f>
        <v>44943</v>
      </c>
      <c r="E115" s="8">
        <f>IFERROR(__xludf.DUMMYFUNCTION("""COMPUTED_VALUE"""),262127.0)</f>
        <v>262127</v>
      </c>
      <c r="F115" s="9" t="str">
        <f>IFERROR(__xludf.DUMMYFUNCTION("""COMPUTED_VALUE"""),"片恋ステークホルダー")</f>
        <v>片恋ステークホルダー</v>
      </c>
      <c r="G115" s="11" t="str">
        <f>IFERROR(__xludf.DUMMYFUNCTION("""COMPUTED_VALUE"""),"1～2")</f>
        <v>1～2</v>
      </c>
      <c r="H115" s="8" t="str">
        <f>IFERROR(__xludf.DUMMYFUNCTION("""COMPUTED_VALUE"""),"九尾つなし")</f>
        <v>九尾つなし</v>
      </c>
      <c r="I115" s="8" t="str">
        <f>IFERROR(__xludf.DUMMYFUNCTION("""COMPUTED_VALUE"""),"BL")</f>
        <v>BL</v>
      </c>
      <c r="J115" s="8"/>
      <c r="K115" s="8"/>
      <c r="L115" s="8" t="str">
        <f>IFERROR(__xludf.DUMMYFUNCTION("""COMPUTED_VALUE"""),"CLLENN")</f>
        <v>CLLENN</v>
      </c>
      <c r="M115" s="12">
        <f>IFERROR(__xludf.DUMMYFUNCTION("""COMPUTED_VALUE"""),44975.0)</f>
        <v>44975</v>
      </c>
      <c r="N115" s="12">
        <f>IFERROR(__xludf.DUMMYFUNCTION("""COMPUTED_VALUE"""),45002.0)</f>
        <v>45002</v>
      </c>
      <c r="O115" s="11"/>
      <c r="P115" s="9" t="str">
        <f>IFERROR(__xludf.DUMMYFUNCTION("""COMPUTED_VALUE"""),"可")</f>
        <v>可</v>
      </c>
      <c r="Q115" s="8" t="str">
        <f>IFERROR(__xludf.DUMMYFUNCTION("""COMPUTED_VALUE"""),"素材格納（1/17）&lt;BR&gt;広告コミットOK（8/17）&lt;BR&gt;")</f>
        <v>素材格納（1/17）&lt;BR&gt;広告コミットOK（8/17）&lt;BR&gt;</v>
      </c>
      <c r="R115" s="9" t="str">
        <f>IFERROR(__xludf.DUMMYFUNCTION("""COMPUTED_VALUE"""),"格納済")</f>
        <v>格納済</v>
      </c>
      <c r="S115" s="8" t="str">
        <f>IFERROR(__xludf.DUMMYFUNCTION("""COMPUTED_VALUE"""),"20230117_コミックストック（オトメチカ出版）_片恋ステークホルダー")</f>
        <v>20230117_コミックストック（オトメチカ出版）_片恋ステークホルダー</v>
      </c>
      <c r="T115" s="9" t="str">
        <f>IFERROR(__xludf.DUMMYFUNCTION("""COMPUTED_VALUE"""),"校了済素材")</f>
        <v>校了済素材</v>
      </c>
      <c r="U115" s="9" t="str">
        <f>IFERROR(__xludf.DUMMYFUNCTION("""COMPUTED_VALUE"""),"著：九尾つなし/オトメチカ出版")</f>
        <v>著：九尾つなし/オトメチカ出版</v>
      </c>
      <c r="V115" s="8" t="str">
        <f>IFERROR(__xludf.DUMMYFUNCTION("""COMPUTED_VALUE"""),"【おまえがぶちまけたとこ、全部疼く】媚薬で熱くなった股間、お尻のナカまでじんじんして…！ セレブの息子×差し出された成金の息子。――世界でも有数の海外企業グループのトップ・ダンスト家の息子・ノアに、日本語を教えるために渡航した山内 蛍（やまうち ほたる）。自分の夢を叶えるため、ノアを利用してやろうと意気込む蛍だったけど、望まれたのはなんと夜の相手だった！男相手は初めてなのに、ち○ぽを舐めたり余裕な振りして誘ってみるけど、本当は未経験なのはノアにはバレバレ。しかも媚薬をかけられ、あっという間に下半身は熱を帯"&amp;"び、お尻の穴まで疼きまくって、ぐっしょり濡れて、ナカまで熱くて…いいからおまえの、早く入れろぉ…！")</f>
        <v>【おまえがぶちまけたとこ、全部疼く】媚薬で熱くなった股間、お尻のナカまでじんじんして…！ セレブの息子×差し出された成金の息子。――世界でも有数の海外企業グループのトップ・ダンスト家の息子・ノアに、日本語を教えるために渡航した山内 蛍（やまうち ほたる）。自分の夢を叶えるため、ノアを利用してやろうと意気込む蛍だったけど、望まれたのはなんと夜の相手だった！男相手は初めてなのに、ち○ぽを舐めたり余裕な振りして誘ってみるけど、本当は未経験なのはノアにはバレバレ。しかも媚薬をかけられ、あっという間に下半身は熱を帯び、お尻の穴まで疼きまくって、ぐっしょり濡れて、ナカまで熱くて…いいからおまえの、早く入れろぉ…！</v>
      </c>
      <c r="W115" s="8"/>
      <c r="X115" s="8"/>
      <c r="Y115" s="8"/>
      <c r="Z115" s="7"/>
      <c r="AA115" s="7"/>
      <c r="AB115" s="7"/>
    </row>
    <row r="116" ht="15.75" customHeight="1">
      <c r="A116" s="8">
        <f>IFERROR(__xludf.DUMMYFUNCTION("""COMPUTED_VALUE"""),1629.0)</f>
        <v>1629</v>
      </c>
      <c r="B116" s="9" t="str">
        <f>IFERROR(__xludf.DUMMYFUNCTION("""COMPUTED_VALUE"""),"確定")</f>
        <v>確定</v>
      </c>
      <c r="C116" s="10">
        <f>IFERROR(__xludf.DUMMYFUNCTION("""COMPUTED_VALUE"""),44932.0)</f>
        <v>44932</v>
      </c>
      <c r="D116" s="10">
        <f>IFERROR(__xludf.DUMMYFUNCTION("""COMPUTED_VALUE"""),44951.0)</f>
        <v>44951</v>
      </c>
      <c r="E116" s="8">
        <f>IFERROR(__xludf.DUMMYFUNCTION("""COMPUTED_VALUE"""),262173.0)</f>
        <v>262173</v>
      </c>
      <c r="F116" s="9" t="str">
        <f>IFERROR(__xludf.DUMMYFUNCTION("""COMPUTED_VALUE"""),"風の留まるところ")</f>
        <v>風の留まるところ</v>
      </c>
      <c r="G116" s="16" t="str">
        <f>IFERROR(__xludf.DUMMYFUNCTION("""COMPUTED_VALUE"""),"1～25")</f>
        <v>1～25</v>
      </c>
      <c r="H116" s="8" t="str">
        <f>IFERROR(__xludf.DUMMYFUNCTION("""COMPUTED_VALUE"""),"yusa")</f>
        <v>yusa</v>
      </c>
      <c r="I116" s="8" t="str">
        <f>IFERROR(__xludf.DUMMYFUNCTION("""COMPUTED_VALUE"""),"BL")</f>
        <v>BL</v>
      </c>
      <c r="J116" s="8"/>
      <c r="K116" s="8"/>
      <c r="L116" s="8" t="str">
        <f>IFERROR(__xludf.DUMMYFUNCTION("""COMPUTED_VALUE"""),"NHNcomico")</f>
        <v>NHNcomico</v>
      </c>
      <c r="M116" s="12">
        <f>IFERROR(__xludf.DUMMYFUNCTION("""COMPUTED_VALUE"""),44977.0)</f>
        <v>44977</v>
      </c>
      <c r="N116" s="12">
        <f>IFERROR(__xludf.DUMMYFUNCTION("""COMPUTED_VALUE"""),45053.0)</f>
        <v>45053</v>
      </c>
      <c r="O116" s="11"/>
      <c r="P116" s="9" t="str">
        <f>IFERROR(__xludf.DUMMYFUNCTION("""COMPUTED_VALUE"""),"可")</f>
        <v>可</v>
      </c>
      <c r="Q116" s="8" t="str">
        <f>IFERROR(__xludf.DUMMYFUNCTION("""COMPUTED_VALUE"""),"広告コミットOK（1/12）")</f>
        <v>広告コミットOK（1/12）</v>
      </c>
      <c r="R116" s="9"/>
      <c r="S116" s="8" t="str">
        <f>IFERROR(__xludf.DUMMYFUNCTION("""COMPUTED_VALUE"""),"20230125_comico_風の留まるところ")</f>
        <v>20230125_comico_風の留まるところ</v>
      </c>
      <c r="T116" s="9"/>
      <c r="U116" s="9" t="str">
        <f>IFERROR(__xludf.DUMMYFUNCTION("""COMPUTED_VALUE"""),"© yusa / Daewon C.I. Inc.")</f>
        <v>© yusa / Daewon C.I. Inc.</v>
      </c>
      <c r="V116" s="8"/>
      <c r="W116" s="8"/>
      <c r="X116" s="8"/>
      <c r="Y116" s="8"/>
      <c r="Z116" s="7"/>
      <c r="AA116" s="7"/>
      <c r="AB116" s="7"/>
    </row>
    <row r="117" ht="15.75" customHeight="1">
      <c r="A117" s="8">
        <f>IFERROR(__xludf.DUMMYFUNCTION("""COMPUTED_VALUE"""),1630.0)</f>
        <v>1630</v>
      </c>
      <c r="B117" s="9" t="str">
        <f>IFERROR(__xludf.DUMMYFUNCTION("""COMPUTED_VALUE"""),"確定")</f>
        <v>確定</v>
      </c>
      <c r="C117" s="10">
        <f>IFERROR(__xludf.DUMMYFUNCTION("""COMPUTED_VALUE"""),44932.0)</f>
        <v>44932</v>
      </c>
      <c r="D117" s="10">
        <f>IFERROR(__xludf.DUMMYFUNCTION("""COMPUTED_VALUE"""),44951.0)</f>
        <v>44951</v>
      </c>
      <c r="E117" s="8">
        <f>IFERROR(__xludf.DUMMYFUNCTION("""COMPUTED_VALUE"""),262174.0)</f>
        <v>262174</v>
      </c>
      <c r="F117" s="9" t="str">
        <f>IFERROR(__xludf.DUMMYFUNCTION("""COMPUTED_VALUE"""),"ネトゲの彼はどうやら僕が好きなようです")</f>
        <v>ネトゲの彼はどうやら僕が好きなようです</v>
      </c>
      <c r="G117" s="16" t="str">
        <f>IFERROR(__xludf.DUMMYFUNCTION("""COMPUTED_VALUE"""),"1～20")</f>
        <v>1～20</v>
      </c>
      <c r="H117" s="8" t="str">
        <f>IFERROR(__xludf.DUMMYFUNCTION("""COMPUTED_VALUE"""),"Domi, Keimjae, JINLAMB")</f>
        <v>Domi, Keimjae, JINLAMB</v>
      </c>
      <c r="I117" s="8" t="str">
        <f>IFERROR(__xludf.DUMMYFUNCTION("""COMPUTED_VALUE"""),"BL")</f>
        <v>BL</v>
      </c>
      <c r="J117" s="8"/>
      <c r="K117" s="8"/>
      <c r="L117" s="8" t="str">
        <f>IFERROR(__xludf.DUMMYFUNCTION("""COMPUTED_VALUE"""),"NHNcomico")</f>
        <v>NHNcomico</v>
      </c>
      <c r="M117" s="12">
        <f>IFERROR(__xludf.DUMMYFUNCTION("""COMPUTED_VALUE"""),44977.0)</f>
        <v>44977</v>
      </c>
      <c r="N117" s="12">
        <f>IFERROR(__xludf.DUMMYFUNCTION("""COMPUTED_VALUE"""),45053.0)</f>
        <v>45053</v>
      </c>
      <c r="O117" s="11"/>
      <c r="P117" s="9" t="str">
        <f>IFERROR(__xludf.DUMMYFUNCTION("""COMPUTED_VALUE"""),"可")</f>
        <v>可</v>
      </c>
      <c r="Q117" s="8" t="str">
        <f>IFERROR(__xludf.DUMMYFUNCTION("""COMPUTED_VALUE"""),"広告コミットOK（1/12）&lt;BR&gt;")</f>
        <v>広告コミットOK（1/12）&lt;BR&gt;</v>
      </c>
      <c r="R117" s="9"/>
      <c r="S117" s="8" t="str">
        <f>IFERROR(__xludf.DUMMYFUNCTION("""COMPUTED_VALUE"""),"20230125_comico_ネトゲの彼はどうやら僕が好きなようです")</f>
        <v>20230125_comico_ネトゲの彼はどうやら僕が好きなようです</v>
      </c>
      <c r="T117" s="9"/>
      <c r="U117" s="9" t="str">
        <f>IFERROR(__xludf.DUMMYFUNCTION("""COMPUTED_VALUE"""),"© Domi, Keimjae, JINLAMB / Dawon C.I. Inc.")</f>
        <v>© Domi, Keimjae, JINLAMB / Dawon C.I. Inc.</v>
      </c>
      <c r="V117" s="8"/>
      <c r="W117" s="8"/>
      <c r="X117" s="8"/>
      <c r="Y117" s="8"/>
      <c r="Z117" s="7"/>
      <c r="AA117" s="7"/>
      <c r="AB117" s="7"/>
    </row>
    <row r="118" ht="15.75" customHeight="1">
      <c r="A118" s="8">
        <f>IFERROR(__xludf.DUMMYFUNCTION("""COMPUTED_VALUE"""),1583.0)</f>
        <v>1583</v>
      </c>
      <c r="B118" s="9" t="str">
        <f>IFERROR(__xludf.DUMMYFUNCTION("""COMPUTED_VALUE"""),"確定")</f>
        <v>確定</v>
      </c>
      <c r="C118" s="10">
        <f>IFERROR(__xludf.DUMMYFUNCTION("""COMPUTED_VALUE"""),44903.0)</f>
        <v>44903</v>
      </c>
      <c r="D118" s="10">
        <f>IFERROR(__xludf.DUMMYFUNCTION("""COMPUTED_VALUE"""),44916.0)</f>
        <v>44916</v>
      </c>
      <c r="E118" s="8">
        <f>IFERROR(__xludf.DUMMYFUNCTION("""COMPUTED_VALUE"""),262604.0)</f>
        <v>262604</v>
      </c>
      <c r="F118" s="9" t="str">
        <f>IFERROR(__xludf.DUMMYFUNCTION("""COMPUTED_VALUE"""),"テトテトテ")</f>
        <v>テトテトテ</v>
      </c>
      <c r="G118" s="11">
        <f>IFERROR(__xludf.DUMMYFUNCTION("""COMPUTED_VALUE"""),1.0)</f>
        <v>1</v>
      </c>
      <c r="H118" s="8" t="str">
        <f>IFERROR(__xludf.DUMMYFUNCTION("""COMPUTED_VALUE"""),"池谷理香子")</f>
        <v>池谷理香子</v>
      </c>
      <c r="I118" s="8" t="str">
        <f>IFERROR(__xludf.DUMMYFUNCTION("""COMPUTED_VALUE"""),"未定")</f>
        <v>未定</v>
      </c>
      <c r="J118" s="8"/>
      <c r="K118" s="8"/>
      <c r="L118" s="8" t="str">
        <f>IFERROR(__xludf.DUMMYFUNCTION("""COMPUTED_VALUE"""),"集英社")</f>
        <v>集英社</v>
      </c>
      <c r="M118" s="12">
        <f>IFERROR(__xludf.DUMMYFUNCTION("""COMPUTED_VALUE"""),44981.0)</f>
        <v>44981</v>
      </c>
      <c r="N118" s="12">
        <f>IFERROR(__xludf.DUMMYFUNCTION("""COMPUTED_VALUE"""),45008.0)</f>
        <v>45008</v>
      </c>
      <c r="O118" s="11"/>
      <c r="P118" s="9" t="str">
        <f>IFERROR(__xludf.DUMMYFUNCTION("""COMPUTED_VALUE"""),"否")</f>
        <v>否</v>
      </c>
      <c r="Q118" s="8" t="str">
        <f>IFERROR(__xludf.DUMMYFUNCTION("""COMPUTED_VALUE"""),"広告コミットOK（12/9）&lt;BR&gt;")</f>
        <v>広告コミットOK（12/9）&lt;BR&gt;</v>
      </c>
      <c r="R118" s="9"/>
      <c r="S118" s="8" t="str">
        <f>IFERROR(__xludf.DUMMYFUNCTION("""COMPUTED_VALUE"""),"20221219_集英社_テトテトテ")</f>
        <v>20221219_集英社_テトテトテ</v>
      </c>
      <c r="T118" s="9"/>
      <c r="U118" s="9" t="str">
        <f>IFERROR(__xludf.DUMMYFUNCTION("""COMPUTED_VALUE"""),"©池谷理香子／集英社 ")</f>
        <v>©池谷理香子／集英社 </v>
      </c>
      <c r="V118" s="8"/>
      <c r="W118" s="8"/>
      <c r="X118" s="8"/>
      <c r="Y118" s="8"/>
      <c r="Z118" s="7"/>
      <c r="AA118" s="7"/>
      <c r="AB118" s="7"/>
    </row>
    <row r="119" ht="15.75" customHeight="1">
      <c r="A119" s="8">
        <f>IFERROR(__xludf.DUMMYFUNCTION("""COMPUTED_VALUE"""),1633.0)</f>
        <v>1633</v>
      </c>
      <c r="B119" s="9" t="str">
        <f>IFERROR(__xludf.DUMMYFUNCTION("""COMPUTED_VALUE"""),"確定")</f>
        <v>確定</v>
      </c>
      <c r="C119" s="10">
        <f>IFERROR(__xludf.DUMMYFUNCTION("""COMPUTED_VALUE"""),44932.0)</f>
        <v>44932</v>
      </c>
      <c r="D119" s="10">
        <f>IFERROR(__xludf.DUMMYFUNCTION("""COMPUTED_VALUE"""),44932.0)</f>
        <v>44932</v>
      </c>
      <c r="E119" s="8">
        <f>IFERROR(__xludf.DUMMYFUNCTION("""COMPUTED_VALUE"""),261224.0)</f>
        <v>261224</v>
      </c>
      <c r="F119" s="9" t="str">
        <f>IFERROR(__xludf.DUMMYFUNCTION("""COMPUTED_VALUE"""),"結婚5年目、もう限界です")</f>
        <v>結婚5年目、もう限界です</v>
      </c>
      <c r="G119" s="11" t="str">
        <f>IFERROR(__xludf.DUMMYFUNCTION("""COMPUTED_VALUE"""),"1～4")</f>
        <v>1～4</v>
      </c>
      <c r="H119" s="8" t="str">
        <f>IFERROR(__xludf.DUMMYFUNCTION("""COMPUTED_VALUE"""),"駒魔子")</f>
        <v>駒魔子</v>
      </c>
      <c r="I119" s="8" t="str">
        <f>IFERROR(__xludf.DUMMYFUNCTION("""COMPUTED_VALUE"""),"青年")</f>
        <v>青年</v>
      </c>
      <c r="J119" s="8"/>
      <c r="K119" s="8"/>
      <c r="L119" s="8" t="str">
        <f>IFERROR(__xludf.DUMMYFUNCTION("""COMPUTED_VALUE"""),"ファンギルド")</f>
        <v>ファンギルド</v>
      </c>
      <c r="M119" s="12">
        <f>IFERROR(__xludf.DUMMYFUNCTION("""COMPUTED_VALUE"""),44981.0)</f>
        <v>44981</v>
      </c>
      <c r="N119" s="12">
        <f>IFERROR(__xludf.DUMMYFUNCTION("""COMPUTED_VALUE"""),45071.0)</f>
        <v>45071</v>
      </c>
      <c r="O119" s="11"/>
      <c r="P119" s="9" t="str">
        <f>IFERROR(__xludf.DUMMYFUNCTION("""COMPUTED_VALUE"""),"可")</f>
        <v>可</v>
      </c>
      <c r="Q119" s="8" t="str">
        <f>IFERROR(__xludf.DUMMYFUNCTION("""COMPUTED_VALUE"""),"協業レーベル『シーモア×コミックアウル』作品です。&lt;BR&gt;※表紙のみ未完パケです。")</f>
        <v>協業レーベル『シーモア×コミックアウル』作品です。&lt;BR&gt;※表紙のみ未完パケです。</v>
      </c>
      <c r="R119" s="9"/>
      <c r="S119" s="8" t="str">
        <f>IFERROR(__xludf.DUMMYFUNCTION("""COMPUTED_VALUE"""),"20230106_ファンギルド_結婚5年目、もう限界です")</f>
        <v>20230106_ファンギルド_結婚5年目、もう限界です</v>
      </c>
      <c r="T119" s="9"/>
      <c r="U119" s="9" t="str">
        <f>IFERROR(__xludf.DUMMYFUNCTION("""COMPUTED_VALUE"""),"©駒魔子/ファンギルド")</f>
        <v>©駒魔子/ファンギルド</v>
      </c>
      <c r="V119" s="8" t="str">
        <f>IFERROR(__xludf.DUMMYFUNCTION("""COMPUTED_VALUE"""),"「この人と結婚したら、私の人生イージーモード」―――今思えば、それは幻想だった。友人たちからも“優良物件”と称される夫・コウヘイと5年前に結婚した主人公・サチ。優しくてハイスぺックな夫と幸せな毎日を送っていたが、コウヘイが「無精子症」だと発覚したある日を境に全てが音を立てて崩れ始める……。モラハラ夫と化したコウヘイ。セックスレスに義父母の暴走。主婦友達との軋轢、そして道ならぬ新たな恋の予感――。思い出のシャインマスカットが忌まわしき呪いの種に変わってしまった、とある夫婦の結婚地獄絵巻!!")</f>
        <v>「この人と結婚したら、私の人生イージーモード」―――今思えば、それは幻想だった。友人たちからも“優良物件”と称される夫・コウヘイと5年前に結婚した主人公・サチ。優しくてハイスぺックな夫と幸せな毎日を送っていたが、コウヘイが「無精子症」だと発覚したある日を境に全てが音を立てて崩れ始める……。モラハラ夫と化したコウヘイ。セックスレスに義父母の暴走。主婦友達との軋轢、そして道ならぬ新たな恋の予感――。思い出のシャインマスカットが忌まわしき呪いの種に変わってしまった、とある夫婦の結婚地獄絵巻!!</v>
      </c>
      <c r="W119" s="8"/>
      <c r="X119" s="8"/>
      <c r="Y119" s="8"/>
      <c r="Z119" s="7"/>
      <c r="AA119" s="7"/>
      <c r="AB119" s="7"/>
    </row>
    <row r="120" ht="15.75" customHeight="1">
      <c r="A120" s="8">
        <f>IFERROR(__xludf.DUMMYFUNCTION("""COMPUTED_VALUE"""),1640.0)</f>
        <v>1640</v>
      </c>
      <c r="B120" s="9" t="str">
        <f>IFERROR(__xludf.DUMMYFUNCTION("""COMPUTED_VALUE"""),"確定")</f>
        <v>確定</v>
      </c>
      <c r="C120" s="10">
        <f>IFERROR(__xludf.DUMMYFUNCTION("""COMPUTED_VALUE"""),44937.0)</f>
        <v>44937</v>
      </c>
      <c r="D120" s="10">
        <f>IFERROR(__xludf.DUMMYFUNCTION("""COMPUTED_VALUE"""),44937.0)</f>
        <v>44937</v>
      </c>
      <c r="E120" s="8">
        <f>IFERROR(__xludf.DUMMYFUNCTION("""COMPUTED_VALUE"""),262682.0)</f>
        <v>262682</v>
      </c>
      <c r="F120" s="9" t="str">
        <f>IFERROR(__xludf.DUMMYFUNCTION("""COMPUTED_VALUE"""),"隣の愛ツ【タテヨミ】")</f>
        <v>隣の愛ツ【タテヨミ】</v>
      </c>
      <c r="G120" s="11" t="str">
        <f>IFERROR(__xludf.DUMMYFUNCTION("""COMPUTED_VALUE"""),"1～48")</f>
        <v>1～48</v>
      </c>
      <c r="H120" s="8" t="str">
        <f>IFERROR(__xludf.DUMMYFUNCTION("""COMPUTED_VALUE""")," An Eunjin")</f>
        <v> An Eunjin</v>
      </c>
      <c r="I120" s="8" t="str">
        <f>IFERROR(__xludf.DUMMYFUNCTION("""COMPUTED_VALUE"""),"BL")</f>
        <v>BL</v>
      </c>
      <c r="J120" s="8"/>
      <c r="K120" s="8"/>
      <c r="L120" s="8" t="str">
        <f>IFERROR(__xludf.DUMMYFUNCTION("""COMPUTED_VALUE"""),"Piccomics")</f>
        <v>Piccomics</v>
      </c>
      <c r="M120" s="12">
        <f>IFERROR(__xludf.DUMMYFUNCTION("""COMPUTED_VALUE"""),44981.0)</f>
        <v>44981</v>
      </c>
      <c r="N120" s="12">
        <f>IFERROR(__xludf.DUMMYFUNCTION("""COMPUTED_VALUE"""),45050.0)</f>
        <v>45050</v>
      </c>
      <c r="O120" s="11"/>
      <c r="P120" s="9" t="str">
        <f>IFERROR(__xludf.DUMMYFUNCTION("""COMPUTED_VALUE"""),"可")</f>
        <v>可</v>
      </c>
      <c r="Q120" s="8"/>
      <c r="R120" s="9"/>
      <c r="S120" s="8" t="str">
        <f>IFERROR(__xludf.DUMMYFUNCTION("""COMPUTED_VALUE"""),"20230111_piccomics_BL二次先行")</f>
        <v>20230111_piccomics_BL二次先行</v>
      </c>
      <c r="T120" s="9"/>
      <c r="U120" s="9" t="str">
        <f>IFERROR(__xludf.DUMMYFUNCTION("""COMPUTED_VALUE"""),"©2016 StorySoop All Rights Reserved.")</f>
        <v>©2016 StorySoop All Rights Reserved.</v>
      </c>
      <c r="V120" s="8" t="str">
        <f>IFERROR(__xludf.DUMMYFUNCTION("""COMPUTED_VALUE"""),"片想いの相手「小泉」がゲイであることを知ったブサヲタ「稔」。しかし、「稔」は「才雅」お気に入りのイケボの持ち主だった。「才雅」にふさわしい男になりたい一心で会社を辞め整形までした「稔」。2年後先輩に連れて行かれたあるバーで「才雅」に再会し一夜を過ごすが、あまりの恥ずかしさに「才雅」を一人残し逃げ出してしまう。しかし、翌日隣の部屋に引っ越してきたのは「才雅」！？一方、イケメンになった「稔」が大好きな「エバン様」の声優であることを知った「才雅」は積極的に攻めて来てブサメンの過去がバレることを心配した「稔」は徐"&amp;"々に距離を置こうとするが…")</f>
        <v>片想いの相手「小泉」がゲイであることを知ったブサヲタ「稔」。しかし、「稔」は「才雅」お気に入りのイケボの持ち主だった。「才雅」にふさわしい男になりたい一心で会社を辞め整形までした「稔」。2年後先輩に連れて行かれたあるバーで「才雅」に再会し一夜を過ごすが、あまりの恥ずかしさに「才雅」を一人残し逃げ出してしまう。しかし、翌日隣の部屋に引っ越してきたのは「才雅」！？一方、イケメンになった「稔」が大好きな「エバン様」の声優であることを知った「才雅」は積極的に攻めて来てブサメンの過去がバレることを心配した「稔」は徐々に距離を置こうとするが…</v>
      </c>
      <c r="W120" s="8"/>
      <c r="X120" s="8" t="str">
        <f>IFERROR(__xludf.DUMMYFUNCTION("""COMPUTED_VALUE"""),"有")</f>
        <v>有</v>
      </c>
      <c r="Y120" s="8" t="str">
        <f>IFERROR(__xludf.DUMMYFUNCTION("""COMPUTED_VALUE"""),"1～20巻目無料ストリーミング設定")</f>
        <v>1～20巻目無料ストリーミング設定</v>
      </c>
      <c r="Z120" s="7"/>
      <c r="AA120" s="7"/>
      <c r="AB120" s="7"/>
    </row>
    <row r="121" ht="186.0" customHeight="1">
      <c r="A121" s="8">
        <f>IFERROR(__xludf.DUMMYFUNCTION("""COMPUTED_VALUE"""),1641.0)</f>
        <v>1641</v>
      </c>
      <c r="B121" s="9" t="str">
        <f>IFERROR(__xludf.DUMMYFUNCTION("""COMPUTED_VALUE"""),"確定")</f>
        <v>確定</v>
      </c>
      <c r="C121" s="10">
        <f>IFERROR(__xludf.DUMMYFUNCTION("""COMPUTED_VALUE"""),44937.0)</f>
        <v>44937</v>
      </c>
      <c r="D121" s="10">
        <f>IFERROR(__xludf.DUMMYFUNCTION("""COMPUTED_VALUE"""),44937.0)</f>
        <v>44937</v>
      </c>
      <c r="E121" s="8">
        <f>IFERROR(__xludf.DUMMYFUNCTION("""COMPUTED_VALUE"""),262677.0)</f>
        <v>262677</v>
      </c>
      <c r="F121" s="9" t="str">
        <f>IFERROR(__xludf.DUMMYFUNCTION("""COMPUTED_VALUE"""),"本当にツラいのはブサメンよりイケメン説【タテヨミ】")</f>
        <v>本当にツラいのはブサメンよりイケメン説【タテヨミ】</v>
      </c>
      <c r="G121" s="11" t="str">
        <f>IFERROR(__xludf.DUMMYFUNCTION("""COMPUTED_VALUE"""),"1～24")</f>
        <v>1～24</v>
      </c>
      <c r="H121" s="8" t="str">
        <f>IFERROR(__xludf.DUMMYFUNCTION("""COMPUTED_VALUE"""),"Eo jin  Jiae")</f>
        <v>Eo jin  Jiae</v>
      </c>
      <c r="I121" s="8" t="str">
        <f>IFERROR(__xludf.DUMMYFUNCTION("""COMPUTED_VALUE"""),"BL")</f>
        <v>BL</v>
      </c>
      <c r="J121" s="8"/>
      <c r="K121" s="8"/>
      <c r="L121" s="8" t="str">
        <f>IFERROR(__xludf.DUMMYFUNCTION("""COMPUTED_VALUE"""),"Piccomics")</f>
        <v>Piccomics</v>
      </c>
      <c r="M121" s="12">
        <f>IFERROR(__xludf.DUMMYFUNCTION("""COMPUTED_VALUE"""),44981.0)</f>
        <v>44981</v>
      </c>
      <c r="N121" s="12">
        <f>IFERROR(__xludf.DUMMYFUNCTION("""COMPUTED_VALUE"""),45050.0)</f>
        <v>45050</v>
      </c>
      <c r="O121" s="11"/>
      <c r="P121" s="9" t="str">
        <f>IFERROR(__xludf.DUMMYFUNCTION("""COMPUTED_VALUE"""),"可")</f>
        <v>可</v>
      </c>
      <c r="Q121" s="8"/>
      <c r="R121" s="9"/>
      <c r="S121" s="8" t="str">
        <f>IFERROR(__xludf.DUMMYFUNCTION("""COMPUTED_VALUE"""),"20230111_piccomics_BL二次先行")</f>
        <v>20230111_piccomics_BL二次先行</v>
      </c>
      <c r="T121" s="9"/>
      <c r="U121" s="9" t="str">
        <f>IFERROR(__xludf.DUMMYFUNCTION("""COMPUTED_VALUE"""),"ⓒ2014 Eo jin, Jiae All Right Reserved")</f>
        <v>ⓒ2014 Eo jin, Jiae All Right Reserved</v>
      </c>
      <c r="V121" s="8" t="str">
        <f>IFERROR(__xludf.DUMMYFUNCTION("""COMPUTED_VALUE"""),"天然美男子の「橘 竜星」は女子たちのアツい愛情に耐えられなくなり、男子校に転校するが…平凡な高校生活を送れると思った途端、男からもモテモテ！？みんなに振り回される一方ある日、ブサイクの「吉沢 新」からモテモテ地獄から抜ける方法を聞くが…俺がお前を最高のブサメンにしてやる「竜星」はブサメンになれるのか！？")</f>
        <v>天然美男子の「橘 竜星」は女子たちのアツい愛情に耐えられなくなり、男子校に転校するが…平凡な高校生活を送れると思った途端、男からもモテモテ！？みんなに振り回される一方ある日、ブサイクの「吉沢 新」からモテモテ地獄から抜ける方法を聞くが…俺がお前を最高のブサメンにしてやる「竜星」はブサメンになれるのか！？</v>
      </c>
      <c r="W121" s="8"/>
      <c r="X121" s="8" t="str">
        <f>IFERROR(__xludf.DUMMYFUNCTION("""COMPUTED_VALUE"""),"有")</f>
        <v>有</v>
      </c>
      <c r="Y121" s="8" t="str">
        <f>IFERROR(__xludf.DUMMYFUNCTION("""COMPUTED_VALUE"""),"1～10巻目無料ストリーミング設定")</f>
        <v>1～10巻目無料ストリーミング設定</v>
      </c>
      <c r="Z121" s="7"/>
      <c r="AA121" s="7"/>
      <c r="AB121" s="7"/>
    </row>
    <row r="122" ht="15.75" customHeight="1">
      <c r="A122" s="8">
        <f>IFERROR(__xludf.DUMMYFUNCTION("""COMPUTED_VALUE"""),1646.0)</f>
        <v>1646</v>
      </c>
      <c r="B122" s="9" t="str">
        <f>IFERROR(__xludf.DUMMYFUNCTION("""COMPUTED_VALUE"""),"確定")</f>
        <v>確定</v>
      </c>
      <c r="C122" s="10">
        <f>IFERROR(__xludf.DUMMYFUNCTION("""COMPUTED_VALUE"""),44938.0)</f>
        <v>44938</v>
      </c>
      <c r="D122" s="10">
        <f>IFERROR(__xludf.DUMMYFUNCTION("""COMPUTED_VALUE"""),44950.0)</f>
        <v>44950</v>
      </c>
      <c r="E122" s="8">
        <f>IFERROR(__xludf.DUMMYFUNCTION("""COMPUTED_VALUE"""),262875.0)</f>
        <v>262875</v>
      </c>
      <c r="F122" s="9" t="str">
        <f>IFERROR(__xludf.DUMMYFUNCTION("""COMPUTED_VALUE"""),"オタクに悪役夫人は荷が重い！！～糖度高めの伯爵に、毎晩イかされちゃってます。～【単話】")</f>
        <v>オタクに悪役夫人は荷が重い！！～糖度高めの伯爵に、毎晩イかされちゃってます。～【単話】</v>
      </c>
      <c r="G122" s="11" t="str">
        <f>IFERROR(__xludf.DUMMYFUNCTION("""COMPUTED_VALUE"""),"1～2")</f>
        <v>1～2</v>
      </c>
      <c r="H122" s="8" t="str">
        <f>IFERROR(__xludf.DUMMYFUNCTION("""COMPUTED_VALUE"""),"冴木ぽてり")</f>
        <v>冴木ぽてり</v>
      </c>
      <c r="I122" s="8" t="str">
        <f>IFERROR(__xludf.DUMMYFUNCTION("""COMPUTED_VALUE"""),"TL")</f>
        <v>TL</v>
      </c>
      <c r="J122" s="8"/>
      <c r="K122" s="8"/>
      <c r="L122" s="8" t="str">
        <f>IFERROR(__xludf.DUMMYFUNCTION("""COMPUTED_VALUE"""),"オークラ出版")</f>
        <v>オークラ出版</v>
      </c>
      <c r="M122" s="12">
        <f>IFERROR(__xludf.DUMMYFUNCTION("""COMPUTED_VALUE"""),44981.0)</f>
        <v>44981</v>
      </c>
      <c r="N122" s="12" t="str">
        <f>IFERROR(__xludf.DUMMYFUNCTION("""COMPUTED_VALUE"""),"1か月先行予定")</f>
        <v>1か月先行予定</v>
      </c>
      <c r="O122" s="11"/>
      <c r="P122" s="9" t="str">
        <f>IFERROR(__xludf.DUMMYFUNCTION("""COMPUTED_VALUE"""),"可")</f>
        <v>可</v>
      </c>
      <c r="Q122" s="8" t="str">
        <f>IFERROR(__xludf.DUMMYFUNCTION("""COMPUTED_VALUE"""),"広告コミットOK（1/12）&lt;BR&gt;")</f>
        <v>広告コミットOK（1/12）&lt;BR&gt;</v>
      </c>
      <c r="R122" s="9"/>
      <c r="S122" s="8" t="str">
        <f>IFERROR(__xludf.DUMMYFUNCTION("""COMPUTED_VALUE"""),"20230124_オークラ出版_オタクに悪役夫人は荷が重い‼")</f>
        <v>20230124_オークラ出版_オタクに悪役夫人は荷が重い‼</v>
      </c>
      <c r="T122" s="9"/>
      <c r="U122" s="9" t="str">
        <f>IFERROR(__xludf.DUMMYFUNCTION("""COMPUTED_VALUE"""),"©冴木ぽてり/オークラ出版 ミンティ")</f>
        <v>©冴木ぽてり/オークラ出版 ミンティ</v>
      </c>
      <c r="V122" s="8"/>
      <c r="W122" s="8"/>
      <c r="X122" s="8"/>
      <c r="Y122" s="8"/>
      <c r="Z122" s="7"/>
      <c r="AA122" s="7"/>
      <c r="AB122" s="7"/>
    </row>
    <row r="123" ht="126.0" customHeight="1">
      <c r="A123" s="8">
        <f>IFERROR(__xludf.DUMMYFUNCTION("""COMPUTED_VALUE"""),1669.0)</f>
        <v>1669</v>
      </c>
      <c r="B123" s="9" t="str">
        <f>IFERROR(__xludf.DUMMYFUNCTION("""COMPUTED_VALUE"""),"確定")</f>
        <v>確定</v>
      </c>
      <c r="C123" s="10">
        <f>IFERROR(__xludf.DUMMYFUNCTION("""COMPUTED_VALUE"""),44946.0)</f>
        <v>44946</v>
      </c>
      <c r="D123" s="10">
        <f>IFERROR(__xludf.DUMMYFUNCTION("""COMPUTED_VALUE"""),44946.0)</f>
        <v>44946</v>
      </c>
      <c r="E123" s="8">
        <f>IFERROR(__xludf.DUMMYFUNCTION("""COMPUTED_VALUE"""),254954.0)</f>
        <v>254954</v>
      </c>
      <c r="F123" s="9" t="str">
        <f>IFERROR(__xludf.DUMMYFUNCTION("""COMPUTED_VALUE"""),"岡野ユキ_夫婦問題(仮)")</f>
        <v>岡野ユキ_夫婦問題(仮)</v>
      </c>
      <c r="G123" s="11" t="str">
        <f>IFERROR(__xludf.DUMMYFUNCTION("""COMPUTED_VALUE"""),"1～3")</f>
        <v>1～3</v>
      </c>
      <c r="H123" s="8" t="str">
        <f>IFERROR(__xludf.DUMMYFUNCTION("""COMPUTED_VALUE"""),"岡野ユキ")</f>
        <v>岡野ユキ</v>
      </c>
      <c r="I123" s="14" t="str">
        <f>IFERROR(__xludf.DUMMYFUNCTION("""COMPUTED_VALUE"""),"女性")</f>
        <v>女性</v>
      </c>
      <c r="J123" s="8"/>
      <c r="K123" s="8"/>
      <c r="L123" s="8" t="str">
        <f>IFERROR(__xludf.DUMMYFUNCTION("""COMPUTED_VALUE"""),"シーモアコミックス")</f>
        <v>シーモアコミックス</v>
      </c>
      <c r="M123" s="12">
        <f>IFERROR(__xludf.DUMMYFUNCTION("""COMPUTED_VALUE"""),44981.0)</f>
        <v>44981</v>
      </c>
      <c r="N123" s="12">
        <f>IFERROR(__xludf.DUMMYFUNCTION("""COMPUTED_VALUE"""),45134.0)</f>
        <v>45134</v>
      </c>
      <c r="O123" s="11"/>
      <c r="P123" s="9" t="str">
        <f>IFERROR(__xludf.DUMMYFUNCTION("""COMPUTED_VALUE"""),"可")</f>
        <v>可</v>
      </c>
      <c r="Q123" s="8" t="str">
        <f>IFERROR(__xludf.DUMMYFUNCTION("""COMPUTED_VALUE"""),"※正式タイトル下記の通りです（1/20）&lt;BR&gt;＝＝＝&lt;BR&gt;女の期限はいつまでですか？&lt;BR&gt;＝＝＝&lt;BR&gt;")</f>
        <v>※正式タイトル下記の通りです（1/20）&lt;BR&gt;＝＝＝&lt;BR&gt;女の期限はいつまでですか？&lt;BR&gt;＝＝＝&lt;BR&gt;</v>
      </c>
      <c r="R123" s="9"/>
      <c r="S123" s="8" t="str">
        <f>IFERROR(__xludf.DUMMYFUNCTION("""COMPUTED_VALUE"""),"20230120_シーモアコミックス_女の期限はいつまでですか？")</f>
        <v>20230120_シーモアコミックス_女の期限はいつまでですか？</v>
      </c>
      <c r="T123" s="15"/>
      <c r="U123" s="9" t="str">
        <f>IFERROR(__xludf.DUMMYFUNCTION("""COMPUTED_VALUE"""),"© 岡野ユキ/シーモアコミックス")</f>
        <v>© 岡野ユキ/シーモアコミックス</v>
      </c>
      <c r="V123" s="8"/>
      <c r="W123" s="8"/>
      <c r="X123" s="8"/>
      <c r="Y123" s="8"/>
      <c r="Z123" s="7"/>
      <c r="AA123" s="7"/>
      <c r="AB123" s="7"/>
    </row>
    <row r="124" ht="15.75" customHeight="1">
      <c r="A124" s="8">
        <f>IFERROR(__xludf.DUMMYFUNCTION("""COMPUTED_VALUE"""),1672.0)</f>
        <v>1672</v>
      </c>
      <c r="B124" s="9" t="str">
        <f>IFERROR(__xludf.DUMMYFUNCTION("""COMPUTED_VALUE"""),"確定")</f>
        <v>確定</v>
      </c>
      <c r="C124" s="10">
        <f>IFERROR(__xludf.DUMMYFUNCTION("""COMPUTED_VALUE"""),44951.0)</f>
        <v>44951</v>
      </c>
      <c r="D124" s="10">
        <f>IFERROR(__xludf.DUMMYFUNCTION("""COMPUTED_VALUE"""),44960.0)</f>
        <v>44960</v>
      </c>
      <c r="E124" s="8">
        <f>IFERROR(__xludf.DUMMYFUNCTION("""COMPUTED_VALUE"""),262873.0)</f>
        <v>262873</v>
      </c>
      <c r="F124" s="9" t="str">
        <f>IFERROR(__xludf.DUMMYFUNCTION("""COMPUTED_VALUE"""),"カップルゲーム")</f>
        <v>カップルゲーム</v>
      </c>
      <c r="G124" s="11" t="str">
        <f>IFERROR(__xludf.DUMMYFUNCTION("""COMPUTED_VALUE"""),"1～3")</f>
        <v>1～3</v>
      </c>
      <c r="H124" s="8" t="str">
        <f>IFERROR(__xludf.DUMMYFUNCTION("""COMPUTED_VALUE"""),"cheeery/恵那")</f>
        <v>cheeery/恵那</v>
      </c>
      <c r="I124" s="8" t="str">
        <f>IFERROR(__xludf.DUMMYFUNCTION("""COMPUTED_VALUE"""),"青年")</f>
        <v>青年</v>
      </c>
      <c r="J124" s="8"/>
      <c r="K124" s="8"/>
      <c r="L124" s="8" t="str">
        <f>IFERROR(__xludf.DUMMYFUNCTION("""COMPUTED_VALUE"""),"taskey")</f>
        <v>taskey</v>
      </c>
      <c r="M124" s="12">
        <f>IFERROR(__xludf.DUMMYFUNCTION("""COMPUTED_VALUE"""),44981.0)</f>
        <v>44981</v>
      </c>
      <c r="N124" s="12">
        <f>IFERROR(__xludf.DUMMYFUNCTION("""COMPUTED_VALUE"""),45071.0)</f>
        <v>45071</v>
      </c>
      <c r="O124" s="11"/>
      <c r="P124" s="9" t="str">
        <f>IFERROR(__xludf.DUMMYFUNCTION("""COMPUTED_VALUE"""),"可")</f>
        <v>可</v>
      </c>
      <c r="Q124" s="8"/>
      <c r="R124" s="9"/>
      <c r="S124" s="8" t="str">
        <f>IFERROR(__xludf.DUMMYFUNCTION("""COMPUTED_VALUE"""),"20230203_taskey_カップルゲーム")</f>
        <v>20230203_taskey_カップルゲーム</v>
      </c>
      <c r="T124" s="15"/>
      <c r="U124" s="9" t="str">
        <f>IFERROR(__xludf.DUMMYFUNCTION("""COMPUTED_VALUE"""),"©︎taskey　原作／cheeery　漫画／恵那")</f>
        <v>©︎taskey　原作／cheeery　漫画／恵那</v>
      </c>
      <c r="V124" s="8"/>
      <c r="W124" s="8"/>
      <c r="X124" s="8"/>
      <c r="Y124" s="8"/>
      <c r="Z124" s="7"/>
      <c r="AA124" s="7"/>
      <c r="AB124" s="7"/>
    </row>
    <row r="125" ht="159.75" customHeight="1">
      <c r="A125" s="8">
        <f>IFERROR(__xludf.DUMMYFUNCTION("""COMPUTED_VALUE"""),1688.0)</f>
        <v>1688</v>
      </c>
      <c r="B125" s="9" t="str">
        <f>IFERROR(__xludf.DUMMYFUNCTION("""COMPUTED_VALUE"""),"確定")</f>
        <v>確定</v>
      </c>
      <c r="C125" s="10">
        <f>IFERROR(__xludf.DUMMYFUNCTION("""COMPUTED_VALUE"""),44959.0)</f>
        <v>44959</v>
      </c>
      <c r="D125" s="10">
        <f>IFERROR(__xludf.DUMMYFUNCTION("""COMPUTED_VALUE"""),44959.0)</f>
        <v>44959</v>
      </c>
      <c r="E125" s="8">
        <f>IFERROR(__xludf.DUMMYFUNCTION("""COMPUTED_VALUE"""),262038.0)</f>
        <v>262038</v>
      </c>
      <c r="F125" s="9" t="str">
        <f>IFERROR(__xludf.DUMMYFUNCTION("""COMPUTED_VALUE"""),"クラッシュ オン ティーンエッジ")</f>
        <v>クラッシュ オン ティーンエッジ</v>
      </c>
      <c r="G125" s="11">
        <f>IFERROR(__xludf.DUMMYFUNCTION("""COMPUTED_VALUE"""),1.0)</f>
        <v>1</v>
      </c>
      <c r="H125" s="8" t="str">
        <f>IFERROR(__xludf.DUMMYFUNCTION("""COMPUTED_VALUE"""),"幾がお")</f>
        <v>幾がお</v>
      </c>
      <c r="I125" s="8" t="str">
        <f>IFERROR(__xludf.DUMMYFUNCTION("""COMPUTED_VALUE"""),"BL")</f>
        <v>BL</v>
      </c>
      <c r="J125" s="8"/>
      <c r="K125" s="8"/>
      <c r="L125" s="8" t="str">
        <f>IFERROR(__xludf.DUMMYFUNCTION("""COMPUTED_VALUE"""),"fromRED")</f>
        <v>fromRED</v>
      </c>
      <c r="M125" s="12">
        <f>IFERROR(__xludf.DUMMYFUNCTION("""COMPUTED_VALUE"""),44981.0)</f>
        <v>44981</v>
      </c>
      <c r="N125" s="12">
        <f>IFERROR(__xludf.DUMMYFUNCTION("""COMPUTED_VALUE"""),45008.0)</f>
        <v>45008</v>
      </c>
      <c r="O125" s="11"/>
      <c r="P125" s="9" t="str">
        <f>IFERROR(__xludf.DUMMYFUNCTION("""COMPUTED_VALUE"""),"可")</f>
        <v>可</v>
      </c>
      <c r="Q125" s="8"/>
      <c r="R125" s="9"/>
      <c r="S125" s="8" t="str">
        <f>IFERROR(__xludf.DUMMYFUNCTION("""COMPUTED_VALUE"""),"20230202_fromRED_クラッシュ オン ティーンエッジ")</f>
        <v>20230202_fromRED_クラッシュ オン ティーンエッジ</v>
      </c>
      <c r="T125" s="9"/>
      <c r="U125" s="9" t="str">
        <f>IFERROR(__xludf.DUMMYFUNCTION("""COMPUTED_VALUE"""),"©幾がお/from RED")</f>
        <v>©幾がお/from RED</v>
      </c>
      <c r="V125" s="8"/>
      <c r="W125" s="8"/>
      <c r="X125" s="8"/>
      <c r="Y125" s="8"/>
      <c r="Z125" s="7"/>
      <c r="AA125" s="7"/>
      <c r="AB125" s="7"/>
    </row>
    <row r="126" ht="15.75" customHeight="1">
      <c r="A126" s="8">
        <f>IFERROR(__xludf.DUMMYFUNCTION("""COMPUTED_VALUE"""),1697.0)</f>
        <v>1697</v>
      </c>
      <c r="B126" s="9" t="str">
        <f>IFERROR(__xludf.DUMMYFUNCTION("""COMPUTED_VALUE"""),"確定")</f>
        <v>確定</v>
      </c>
      <c r="C126" s="10">
        <f>IFERROR(__xludf.DUMMYFUNCTION("""COMPUTED_VALUE"""),44963.0)</f>
        <v>44963</v>
      </c>
      <c r="D126" s="10">
        <f>IFERROR(__xludf.DUMMYFUNCTION("""COMPUTED_VALUE"""),44963.0)</f>
        <v>44963</v>
      </c>
      <c r="E126" s="8">
        <f>IFERROR(__xludf.DUMMYFUNCTION("""COMPUTED_VALUE"""),263057.0)</f>
        <v>263057</v>
      </c>
      <c r="F126" s="9" t="str">
        <f>IFERROR(__xludf.DUMMYFUNCTION("""COMPUTED_VALUE"""),"せんせいは、私の下僕【フルカラー】")</f>
        <v>せんせいは、私の下僕【フルカラー】</v>
      </c>
      <c r="G126" s="11" t="str">
        <f>IFERROR(__xludf.DUMMYFUNCTION("""COMPUTED_VALUE"""),"1~3")</f>
        <v>1~3</v>
      </c>
      <c r="H126" s="8" t="str">
        <f>IFERROR(__xludf.DUMMYFUNCTION("""COMPUTED_VALUE"""),"大豆生エダ")</f>
        <v>大豆生エダ</v>
      </c>
      <c r="I126" s="8" t="str">
        <f>IFERROR(__xludf.DUMMYFUNCTION("""COMPUTED_VALUE"""),"青年")</f>
        <v>青年</v>
      </c>
      <c r="J126" s="8"/>
      <c r="K126" s="8"/>
      <c r="L126" s="8" t="str">
        <f>IFERROR(__xludf.DUMMYFUNCTION("""COMPUTED_VALUE"""),"コミックストック")</f>
        <v>コミックストック</v>
      </c>
      <c r="M126" s="12">
        <f>IFERROR(__xludf.DUMMYFUNCTION("""COMPUTED_VALUE"""),44983.0)</f>
        <v>44983</v>
      </c>
      <c r="N126" s="12">
        <f>IFERROR(__xludf.DUMMYFUNCTION("""COMPUTED_VALUE"""),45073.0)</f>
        <v>45073</v>
      </c>
      <c r="O126" s="11"/>
      <c r="P126" s="9" t="str">
        <f>IFERROR(__xludf.DUMMYFUNCTION("""COMPUTED_VALUE"""),"可")</f>
        <v>可</v>
      </c>
      <c r="Q126" s="8" t="str">
        <f>IFERROR(__xludf.DUMMYFUNCTION("""COMPUTED_VALUE"""),"協業：シーモア×DEDEDE")</f>
        <v>協業：シーモア×DEDEDE</v>
      </c>
      <c r="R126" s="9" t="str">
        <f>IFERROR(__xludf.DUMMYFUNCTION("""COMPUTED_VALUE"""),"格納済")</f>
        <v>格納済</v>
      </c>
      <c r="S126" s="8" t="str">
        <f>IFERROR(__xludf.DUMMYFUNCTION("""COMPUTED_VALUE"""),"20230206_コミックストック_せんせいは私の下僕【フルカラー】")</f>
        <v>20230206_コミックストック_せんせいは私の下僕【フルカラー】</v>
      </c>
      <c r="T126" s="9" t="str">
        <f>IFERROR(__xludf.DUMMYFUNCTION("""COMPUTED_VALUE"""),"校了済素材")</f>
        <v>校了済素材</v>
      </c>
      <c r="U126" s="9" t="str">
        <f>IFERROR(__xludf.DUMMYFUNCTION("""COMPUTED_VALUE"""),"ⓒ大豆生エダ/コミックストック")</f>
        <v>ⓒ大豆生エダ/コミックストック</v>
      </c>
      <c r="V126" s="8" t="str">
        <f>IFERROR(__xludf.DUMMYFUNCTION("""COMPUTED_VALUE"""),"新任教師として赴任した“櫻井はじめ”。初日挨拶後、保健室で黒髪が綺麗な女子生徒が独り悶える姿を目撃してしまう。細い指で恥部を上下に刺激しては、可愛らしい声で淫らに喘いでいた…エロい姿に思わず見惚れていたが、目が合うと何も気にしていないような涼しい顔で去っていった…。「俺の知っている女子高生は…もっと…無邪気で…」。夜になっても少女の姿を思い出し悶々としていると、同僚から勝手に登録されたマッチングアプリから一通のメールが…。一回だけと思い出会った女性はどことなく保健室の少女に似ていて…。別人だとわかっていな"&amp;"がらも、誘われるがまま熱い夜を過ごしてしまい…。翌日、僕の最高で最悪の教師生活が始まった…")</f>
        <v>新任教師として赴任した“櫻井はじめ”。初日挨拶後、保健室で黒髪が綺麗な女子生徒が独り悶える姿を目撃してしまう。細い指で恥部を上下に刺激しては、可愛らしい声で淫らに喘いでいた…エロい姿に思わず見惚れていたが、目が合うと何も気にしていないような涼しい顔で去っていった…。「俺の知っている女子高生は…もっと…無邪気で…」。夜になっても少女の姿を思い出し悶々としていると、同僚から勝手に登録されたマッチングアプリから一通のメールが…。一回だけと思い出会った女性はどことなく保健室の少女に似ていて…。別人だとわかっていながらも、誘われるがまま熱い夜を過ごしてしまい…。翌日、僕の最高で最悪の教師生活が始まった…</v>
      </c>
      <c r="W126" s="8"/>
      <c r="X126" s="8" t="str">
        <f>IFERROR(__xludf.DUMMYFUNCTION("""COMPUTED_VALUE"""),"有")</f>
        <v>有</v>
      </c>
      <c r="Y126" s="8" t="str">
        <f>IFERROR(__xludf.DUMMYFUNCTION("""COMPUTED_VALUE"""),"1巻目無料")</f>
        <v>1巻目無料</v>
      </c>
      <c r="Z126" s="7"/>
      <c r="AA126" s="7"/>
      <c r="AB126" s="7"/>
    </row>
    <row r="127" ht="210.75" customHeight="1">
      <c r="A127" s="8">
        <f>IFERROR(__xludf.DUMMYFUNCTION("""COMPUTED_VALUE"""),1652.0)</f>
        <v>1652</v>
      </c>
      <c r="B127" s="9" t="str">
        <f>IFERROR(__xludf.DUMMYFUNCTION("""COMPUTED_VALUE"""),"確定")</f>
        <v>確定</v>
      </c>
      <c r="C127" s="10">
        <f>IFERROR(__xludf.DUMMYFUNCTION("""COMPUTED_VALUE"""),44942.0)</f>
        <v>44942</v>
      </c>
      <c r="D127" s="10">
        <f>IFERROR(__xludf.DUMMYFUNCTION("""COMPUTED_VALUE"""),44951.0)</f>
        <v>44951</v>
      </c>
      <c r="E127" s="8">
        <f>IFERROR(__xludf.DUMMYFUNCTION("""COMPUTED_VALUE"""),262944.0)</f>
        <v>262944</v>
      </c>
      <c r="F127" s="9" t="str">
        <f>IFERROR(__xludf.DUMMYFUNCTION("""COMPUTED_VALUE"""),"ハメを外した彼女は")</f>
        <v>ハメを外した彼女は</v>
      </c>
      <c r="G127" s="11" t="str">
        <f>IFERROR(__xludf.DUMMYFUNCTION("""COMPUTED_VALUE"""),"1～3")</f>
        <v>1～3</v>
      </c>
      <c r="H127" s="8" t="str">
        <f>IFERROR(__xludf.DUMMYFUNCTION("""COMPUTED_VALUE"""),"アララギ魂・nawame")</f>
        <v>アララギ魂・nawame</v>
      </c>
      <c r="I127" s="8" t="str">
        <f>IFERROR(__xludf.DUMMYFUNCTION("""COMPUTED_VALUE"""),"青年")</f>
        <v>青年</v>
      </c>
      <c r="J127" s="8"/>
      <c r="K127" s="8"/>
      <c r="L127" s="8" t="str">
        <f>IFERROR(__xludf.DUMMYFUNCTION("""COMPUTED_VALUE"""),"DPNブックス")</f>
        <v>DPNブックス</v>
      </c>
      <c r="M127" s="12">
        <f>IFERROR(__xludf.DUMMYFUNCTION("""COMPUTED_VALUE"""),44985.0)</f>
        <v>44985</v>
      </c>
      <c r="N127" s="12">
        <f>IFERROR(__xludf.DUMMYFUNCTION("""COMPUTED_VALUE"""),45012.0)</f>
        <v>45012</v>
      </c>
      <c r="O127" s="11"/>
      <c r="P127" s="9" t="str">
        <f>IFERROR(__xludf.DUMMYFUNCTION("""COMPUTED_VALUE"""),"可")</f>
        <v>可</v>
      </c>
      <c r="Q127" s="8" t="str">
        <f>IFERROR(__xludf.DUMMYFUNCTION("""COMPUTED_VALUE"""),"広告コミットOK&lt;BR&gt;&lt;BR&gt;")</f>
        <v>広告コミットOK&lt;BR&gt;&lt;BR&gt;</v>
      </c>
      <c r="R127" s="9"/>
      <c r="S127" s="8" t="str">
        <f>IFERROR(__xludf.DUMMYFUNCTION("""COMPUTED_VALUE"""),"20230116_DPNブックス_ハメを外した彼女は")</f>
        <v>20230116_DPNブックス_ハメを外した彼女は</v>
      </c>
      <c r="T127" s="9"/>
      <c r="U127" s="9" t="str">
        <f>IFERROR(__xludf.DUMMYFUNCTION("""COMPUTED_VALUE"""),"©アララギ魂・nawame／DPNブックス")</f>
        <v>©アララギ魂・nawame／DPNブックス</v>
      </c>
      <c r="V127" s="8"/>
      <c r="W127" s="8"/>
      <c r="X127" s="8"/>
      <c r="Y127" s="8"/>
      <c r="Z127" s="7"/>
      <c r="AA127" s="7"/>
      <c r="AB127" s="7"/>
    </row>
    <row r="128" ht="15.75" customHeight="1">
      <c r="A128" s="8">
        <f>IFERROR(__xludf.DUMMYFUNCTION("""COMPUTED_VALUE"""),1687.0)</f>
        <v>1687</v>
      </c>
      <c r="B128" s="9" t="str">
        <f>IFERROR(__xludf.DUMMYFUNCTION("""COMPUTED_VALUE"""),"確定")</f>
        <v>確定</v>
      </c>
      <c r="C128" s="10">
        <f>IFERROR(__xludf.DUMMYFUNCTION("""COMPUTED_VALUE"""),44959.0)</f>
        <v>44959</v>
      </c>
      <c r="D128" s="10">
        <f>IFERROR(__xludf.DUMMYFUNCTION("""COMPUTED_VALUE"""),44959.0)</f>
        <v>44959</v>
      </c>
      <c r="E128" s="8">
        <f>IFERROR(__xludf.DUMMYFUNCTION("""COMPUTED_VALUE"""),263208.0)</f>
        <v>263208</v>
      </c>
      <c r="F128" s="9" t="str">
        <f>IFERROR(__xludf.DUMMYFUNCTION("""COMPUTED_VALUE"""),"共有夫婦【単話】")</f>
        <v>共有夫婦【単話】</v>
      </c>
      <c r="G128" s="11" t="str">
        <f>IFERROR(__xludf.DUMMYFUNCTION("""COMPUTED_VALUE"""),"1~3")</f>
        <v>1~3</v>
      </c>
      <c r="H128" s="8" t="str">
        <f>IFERROR(__xludf.DUMMYFUNCTION("""COMPUTED_VALUE"""),"竹充ヒロ")</f>
        <v>竹充ヒロ</v>
      </c>
      <c r="I128" s="8" t="str">
        <f>IFERROR(__xludf.DUMMYFUNCTION("""COMPUTED_VALUE"""),"女性")</f>
        <v>女性</v>
      </c>
      <c r="J128" s="8"/>
      <c r="K128" s="8"/>
      <c r="L128" s="8" t="str">
        <f>IFERROR(__xludf.DUMMYFUNCTION("""COMPUTED_VALUE"""),"小学館")</f>
        <v>小学館</v>
      </c>
      <c r="M128" s="12">
        <f>IFERROR(__xludf.DUMMYFUNCTION("""COMPUTED_VALUE"""),44985.0)</f>
        <v>44985</v>
      </c>
      <c r="N128" s="12">
        <f>IFERROR(__xludf.DUMMYFUNCTION("""COMPUTED_VALUE"""),45071.0)</f>
        <v>45071</v>
      </c>
      <c r="O128" s="11"/>
      <c r="P128" s="9" t="str">
        <f>IFERROR(__xludf.DUMMYFUNCTION("""COMPUTED_VALUE"""),"否")</f>
        <v>否</v>
      </c>
      <c r="Q128" s="8" t="str">
        <f>IFERROR(__xludf.DUMMYFUNCTION("""COMPUTED_VALUE"""),"協業：「MOREスピリッツ」作品です")</f>
        <v>協業：「MOREスピリッツ」作品です</v>
      </c>
      <c r="R128" s="9"/>
      <c r="S128" s="8" t="str">
        <f>IFERROR(__xludf.DUMMYFUNCTION("""COMPUTED_VALUE"""),"20230202_小学館_共有夫婦【単話】")</f>
        <v>20230202_小学館_共有夫婦【単話】</v>
      </c>
      <c r="T128" s="9"/>
      <c r="U128" s="9" t="str">
        <f>IFERROR(__xludf.DUMMYFUNCTION("""COMPUTED_VALUE"""),"©竹充ヒロ / 小学館")</f>
        <v>©竹充ヒロ / 小学館</v>
      </c>
      <c r="V128" s="8"/>
      <c r="W128" s="8"/>
      <c r="X128" s="8"/>
      <c r="Y128" s="8"/>
      <c r="Z128" s="7"/>
      <c r="AA128" s="7"/>
      <c r="AB128" s="7"/>
    </row>
    <row r="129" ht="15.75" customHeight="1">
      <c r="A129" s="8">
        <f>IFERROR(__xludf.DUMMYFUNCTION("""COMPUTED_VALUE"""),1603.0)</f>
        <v>1603</v>
      </c>
      <c r="B129" s="9" t="str">
        <f>IFERROR(__xludf.DUMMYFUNCTION("""COMPUTED_VALUE"""),"確定")</f>
        <v>確定</v>
      </c>
      <c r="C129" s="10">
        <f>IFERROR(__xludf.DUMMYFUNCTION("""COMPUTED_VALUE"""),44914.0)</f>
        <v>44914</v>
      </c>
      <c r="D129" s="10">
        <f>IFERROR(__xludf.DUMMYFUNCTION("""COMPUTED_VALUE"""),44931.0)</f>
        <v>44931</v>
      </c>
      <c r="E129" s="8">
        <f>IFERROR(__xludf.DUMMYFUNCTION("""COMPUTED_VALUE"""),262776.0)</f>
        <v>262776</v>
      </c>
      <c r="F129" s="9" t="str">
        <f>IFERROR(__xludf.DUMMYFUNCTION("""COMPUTED_VALUE"""),"絶倫自衛官のとろとろ溺愛エッチ～甘く激しく奥まで責められてきもちいい…っ")</f>
        <v>絶倫自衛官のとろとろ溺愛エッチ～甘く激しく奥まで責められてきもちいい…っ</v>
      </c>
      <c r="G129" s="11" t="str">
        <f>IFERROR(__xludf.DUMMYFUNCTION("""COMPUTED_VALUE"""),"1～2")</f>
        <v>1～2</v>
      </c>
      <c r="H129" s="8" t="str">
        <f>IFERROR(__xludf.DUMMYFUNCTION("""COMPUTED_VALUE"""),"長谷河 樹衣")</f>
        <v>長谷河 樹衣</v>
      </c>
      <c r="I129" s="8" t="str">
        <f>IFERROR(__xludf.DUMMYFUNCTION("""COMPUTED_VALUE"""),"TL")</f>
        <v>TL</v>
      </c>
      <c r="J129" s="8"/>
      <c r="K129" s="8"/>
      <c r="L129" s="8" t="str">
        <f>IFERROR(__xludf.DUMMYFUNCTION("""COMPUTED_VALUE"""),"オーバーラップ")</f>
        <v>オーバーラップ</v>
      </c>
      <c r="M129" s="12">
        <f>IFERROR(__xludf.DUMMYFUNCTION("""COMPUTED_VALUE"""),44986.0)</f>
        <v>44986</v>
      </c>
      <c r="N129" s="12" t="str">
        <f>IFERROR(__xludf.DUMMYFUNCTION("""COMPUTED_VALUE"""),"1か月先行")</f>
        <v>1か月先行</v>
      </c>
      <c r="O129" s="11"/>
      <c r="P129" s="9" t="str">
        <f>IFERROR(__xludf.DUMMYFUNCTION("""COMPUTED_VALUE"""),"可")</f>
        <v>可</v>
      </c>
      <c r="Q129" s="8" t="str">
        <f>IFERROR(__xludf.DUMMYFUNCTION("""COMPUTED_VALUE"""),"広告コミットOK（12/19）&lt;BR&gt;")</f>
        <v>広告コミットOK（12/19）&lt;BR&gt;</v>
      </c>
      <c r="R129" s="9"/>
      <c r="S129" s="8" t="str">
        <f>IFERROR(__xludf.DUMMYFUNCTION("""COMPUTED_VALUE"""),"20230105_オーバーラップ_絶倫自衛官のとろとろ溺愛エッチ～甘く激しく奥まで責められてきもちいい…っ")</f>
        <v>20230105_オーバーラップ_絶倫自衛官のとろとろ溺愛エッチ～甘く激しく奥まで責められてきもちいい…っ</v>
      </c>
      <c r="T129" s="9"/>
      <c r="U129" s="9" t="str">
        <f>IFERROR(__xludf.DUMMYFUNCTION("""COMPUTED_VALUE"""),"©長谷河 樹衣／オーバーラップ")</f>
        <v>©長谷河 樹衣／オーバーラップ</v>
      </c>
      <c r="V129" s="8"/>
      <c r="W129" s="8"/>
      <c r="X129" s="8"/>
      <c r="Y129" s="8"/>
      <c r="Z129" s="7"/>
      <c r="AA129" s="7"/>
      <c r="AB129" s="7"/>
    </row>
    <row r="130" ht="168.0" customHeight="1">
      <c r="A130" s="8">
        <f>IFERROR(__xludf.DUMMYFUNCTION("""COMPUTED_VALUE"""),1638.0)</f>
        <v>1638</v>
      </c>
      <c r="B130" s="9" t="str">
        <f>IFERROR(__xludf.DUMMYFUNCTION("""COMPUTED_VALUE"""),"確定")</f>
        <v>確定</v>
      </c>
      <c r="C130" s="10">
        <f>IFERROR(__xludf.DUMMYFUNCTION("""COMPUTED_VALUE"""),44936.0)</f>
        <v>44936</v>
      </c>
      <c r="D130" s="10">
        <f>IFERROR(__xludf.DUMMYFUNCTION("""COMPUTED_VALUE"""),44959.0)</f>
        <v>44959</v>
      </c>
      <c r="E130" s="8">
        <f>IFERROR(__xludf.DUMMYFUNCTION("""COMPUTED_VALUE"""),263227.0)</f>
        <v>263227</v>
      </c>
      <c r="F130" s="9" t="str">
        <f>IFERROR(__xludf.DUMMYFUNCTION("""COMPUTED_VALUE"""),"死ぬほど好きって言ったじゃん。　【連載版】")</f>
        <v>死ぬほど好きって言ったじゃん。　【連載版】</v>
      </c>
      <c r="G130" s="11" t="str">
        <f>IFERROR(__xludf.DUMMYFUNCTION("""COMPUTED_VALUE"""),"1～4")</f>
        <v>1～4</v>
      </c>
      <c r="H130" s="8" t="str">
        <f>IFERROR(__xludf.DUMMYFUNCTION("""COMPUTED_VALUE"""),"さんかく 。")</f>
        <v>さんかく 。</v>
      </c>
      <c r="I130" s="8" t="str">
        <f>IFERROR(__xludf.DUMMYFUNCTION("""COMPUTED_VALUE"""),"女性")</f>
        <v>女性</v>
      </c>
      <c r="J130" s="8"/>
      <c r="K130" s="8"/>
      <c r="L130" s="8" t="str">
        <f>IFERROR(__xludf.DUMMYFUNCTION("""COMPUTED_VALUE"""),"一迅社")</f>
        <v>一迅社</v>
      </c>
      <c r="M130" s="12">
        <f>IFERROR(__xludf.DUMMYFUNCTION("""COMPUTED_VALUE"""),44986.0)</f>
        <v>44986</v>
      </c>
      <c r="N130" s="12">
        <f>IFERROR(__xludf.DUMMYFUNCTION("""COMPUTED_VALUE"""),45016.0)</f>
        <v>45016</v>
      </c>
      <c r="O130" s="11"/>
      <c r="P130" s="9" t="str">
        <f>IFERROR(__xludf.DUMMYFUNCTION("""COMPUTED_VALUE"""),"可")</f>
        <v>可</v>
      </c>
      <c r="Q130" s="8" t="str">
        <f>IFERROR(__xludf.DUMMYFUNCTION("""COMPUTED_VALUE"""),"広告コミットOK（1/12）&lt;BR&gt;")</f>
        <v>広告コミットOK（1/12）&lt;BR&gt;</v>
      </c>
      <c r="R130" s="9"/>
      <c r="S130" s="8" t="str">
        <f>IFERROR(__xludf.DUMMYFUNCTION("""COMPUTED_VALUE"""),"20230202_一迅社_死ぬほど好き")</f>
        <v>20230202_一迅社_死ぬほど好き</v>
      </c>
      <c r="T130" s="9"/>
      <c r="U130" s="9" t="str">
        <f>IFERROR(__xludf.DUMMYFUNCTION("""COMPUTED_VALUE"""),"©さんかく 。／一迅社")</f>
        <v>©さんかく 。／一迅社</v>
      </c>
      <c r="V130" s="8"/>
      <c r="W130" s="8"/>
      <c r="X130" s="8"/>
      <c r="Y130" s="8"/>
      <c r="Z130" s="7"/>
      <c r="AA130" s="7"/>
      <c r="AB130" s="7"/>
    </row>
    <row r="131" ht="15.75" customHeight="1">
      <c r="A131" s="8">
        <f>IFERROR(__xludf.DUMMYFUNCTION("""COMPUTED_VALUE"""),1615.0)</f>
        <v>1615</v>
      </c>
      <c r="B131" s="9" t="str">
        <f>IFERROR(__xludf.DUMMYFUNCTION("""COMPUTED_VALUE"""),"確定")</f>
        <v>確定</v>
      </c>
      <c r="C131" s="10">
        <f>IFERROR(__xludf.DUMMYFUNCTION("""COMPUTED_VALUE"""),44921.0)</f>
        <v>44921</v>
      </c>
      <c r="D131" s="10">
        <f>IFERROR(__xludf.DUMMYFUNCTION("""COMPUTED_VALUE"""),44959.0)</f>
        <v>44959</v>
      </c>
      <c r="E131" s="8">
        <f>IFERROR(__xludf.DUMMYFUNCTION("""COMPUTED_VALUE"""),263225.0)</f>
        <v>263225</v>
      </c>
      <c r="F131" s="9" t="str">
        <f>IFERROR(__xludf.DUMMYFUNCTION("""COMPUTED_VALUE"""),"【単話版】目が覚めたら投獄された悪女だった@COMIC")</f>
        <v>【単話版】目が覚めたら投獄された悪女だった@COMIC</v>
      </c>
      <c r="G131" s="11">
        <f>IFERROR(__xludf.DUMMYFUNCTION("""COMPUTED_VALUE"""),1.0)</f>
        <v>1</v>
      </c>
      <c r="H131" s="8" t="str">
        <f>IFERROR(__xludf.DUMMYFUNCTION("""COMPUTED_VALUE"""),"橘歩空┴皐月めい┴いもいち")</f>
        <v>橘歩空┴皐月めい┴いもいち</v>
      </c>
      <c r="I131" s="8" t="str">
        <f>IFERROR(__xludf.DUMMYFUNCTION("""COMPUTED_VALUE"""),"女性")</f>
        <v>女性</v>
      </c>
      <c r="J131" s="8"/>
      <c r="K131" s="8"/>
      <c r="L131" s="8" t="str">
        <f>IFERROR(__xludf.DUMMYFUNCTION("""COMPUTED_VALUE"""),"TOブックス")</f>
        <v>TOブックス</v>
      </c>
      <c r="M131" s="12">
        <f>IFERROR(__xludf.DUMMYFUNCTION("""COMPUTED_VALUE"""),44986.0)</f>
        <v>44986</v>
      </c>
      <c r="N131" s="12">
        <f>IFERROR(__xludf.DUMMYFUNCTION("""COMPUTED_VALUE"""),45016.0)</f>
        <v>45016</v>
      </c>
      <c r="O131" s="11"/>
      <c r="P131" s="9" t="str">
        <f>IFERROR(__xludf.DUMMYFUNCTION("""COMPUTED_VALUE"""),"可")</f>
        <v>可</v>
      </c>
      <c r="Q131" s="8"/>
      <c r="R131" s="9"/>
      <c r="S131" s="8" t="str">
        <f>IFERROR(__xludf.DUMMYFUNCTION("""COMPUTED_VALUE"""),"20230202_TOブックス_目が覚めたら")</f>
        <v>20230202_TOブックス_目が覚めたら</v>
      </c>
      <c r="T131" s="9"/>
      <c r="U131" s="9" t="str">
        <f>IFERROR(__xludf.DUMMYFUNCTION("""COMPUTED_VALUE"""),"©Hodaka Tachibana / Mei Satsuki")</f>
        <v>©Hodaka Tachibana / Mei Satsuki</v>
      </c>
      <c r="V131" s="8"/>
      <c r="W131" s="8"/>
      <c r="X131" s="8"/>
      <c r="Y131" s="8"/>
      <c r="Z131" s="7"/>
      <c r="AA131" s="7"/>
      <c r="AB131" s="7"/>
    </row>
    <row r="132" ht="15.75" customHeight="1">
      <c r="A132" s="8">
        <f>IFERROR(__xludf.DUMMYFUNCTION("""COMPUTED_VALUE"""),1713.0)</f>
        <v>1713</v>
      </c>
      <c r="B132" s="9" t="str">
        <f>IFERROR(__xludf.DUMMYFUNCTION("""COMPUTED_VALUE"""),"確定")</f>
        <v>確定</v>
      </c>
      <c r="C132" s="10">
        <f>IFERROR(__xludf.DUMMYFUNCTION("""COMPUTED_VALUE"""),44966.0)</f>
        <v>44966</v>
      </c>
      <c r="D132" s="10">
        <f>IFERROR(__xludf.DUMMYFUNCTION("""COMPUTED_VALUE"""),44966.0)</f>
        <v>44966</v>
      </c>
      <c r="E132" s="8">
        <f>IFERROR(__xludf.DUMMYFUNCTION("""COMPUTED_VALUE"""),263317.0)</f>
        <v>263317</v>
      </c>
      <c r="F132" s="9" t="str">
        <f>IFERROR(__xludf.DUMMYFUNCTION("""COMPUTED_VALUE"""),"ヒミツのもふもふ婚姻譚～旦那様は狼男でした～")</f>
        <v>ヒミツのもふもふ婚姻譚～旦那様は狼男でした～</v>
      </c>
      <c r="G132" s="11" t="str">
        <f>IFERROR(__xludf.DUMMYFUNCTION("""COMPUTED_VALUE"""),"1～3")</f>
        <v>1～3</v>
      </c>
      <c r="H132" s="8" t="str">
        <f>IFERROR(__xludf.DUMMYFUNCTION("""COMPUTED_VALUE"""),"天乃タカ")</f>
        <v>天乃タカ</v>
      </c>
      <c r="I132" s="8" t="str">
        <f>IFERROR(__xludf.DUMMYFUNCTION("""COMPUTED_VALUE"""),"女性")</f>
        <v>女性</v>
      </c>
      <c r="J132" s="8"/>
      <c r="K132" s="8"/>
      <c r="L132" s="8" t="str">
        <f>IFERROR(__xludf.DUMMYFUNCTION("""COMPUTED_VALUE"""),"秋田書店")</f>
        <v>秋田書店</v>
      </c>
      <c r="M132" s="12">
        <f>IFERROR(__xludf.DUMMYFUNCTION("""COMPUTED_VALUE"""),44986.0)</f>
        <v>44986</v>
      </c>
      <c r="N132" s="12">
        <f>IFERROR(__xludf.DUMMYFUNCTION("""COMPUTED_VALUE"""),45015.0)</f>
        <v>45015</v>
      </c>
      <c r="O132" s="11"/>
      <c r="P132" s="9" t="str">
        <f>IFERROR(__xludf.DUMMYFUNCTION("""COMPUTED_VALUE"""),"否")</f>
        <v>否</v>
      </c>
      <c r="Q132" s="8"/>
      <c r="R132" s="9"/>
      <c r="S132" s="8" t="str">
        <f>IFERROR(__xludf.DUMMYFUNCTION("""COMPUTED_VALUE"""),"20230209_秋田書店_新作2作品")</f>
        <v>20230209_秋田書店_新作2作品</v>
      </c>
      <c r="T132" s="9"/>
      <c r="U132" s="9" t="str">
        <f>IFERROR(__xludf.DUMMYFUNCTION("""COMPUTED_VALUE"""),"©天乃タカ（秋田書店）")</f>
        <v>©天乃タカ（秋田書店）</v>
      </c>
      <c r="V132" s="8"/>
      <c r="W132" s="8"/>
      <c r="X132" s="8"/>
      <c r="Y132" s="8"/>
      <c r="Z132" s="7"/>
      <c r="AA132" s="7"/>
      <c r="AB132" s="7"/>
    </row>
    <row r="133" ht="15.75" customHeight="1">
      <c r="A133" s="8">
        <f>IFERROR(__xludf.DUMMYFUNCTION("""COMPUTED_VALUE"""),1714.0)</f>
        <v>1714</v>
      </c>
      <c r="B133" s="9" t="str">
        <f>IFERROR(__xludf.DUMMYFUNCTION("""COMPUTED_VALUE"""),"確定")</f>
        <v>確定</v>
      </c>
      <c r="C133" s="10">
        <f>IFERROR(__xludf.DUMMYFUNCTION("""COMPUTED_VALUE"""),44966.0)</f>
        <v>44966</v>
      </c>
      <c r="D133" s="10">
        <f>IFERROR(__xludf.DUMMYFUNCTION("""COMPUTED_VALUE"""),44966.0)</f>
        <v>44966</v>
      </c>
      <c r="E133" s="8">
        <f>IFERROR(__xludf.DUMMYFUNCTION("""COMPUTED_VALUE"""),263318.0)</f>
        <v>263318</v>
      </c>
      <c r="F133" s="9" t="str">
        <f>IFERROR(__xludf.DUMMYFUNCTION("""COMPUTED_VALUE"""),"恋の星図と猫日和")</f>
        <v>恋の星図と猫日和</v>
      </c>
      <c r="G133" s="11" t="str">
        <f>IFERROR(__xludf.DUMMYFUNCTION("""COMPUTED_VALUE"""),"1～3")</f>
        <v>1～3</v>
      </c>
      <c r="H133" s="8" t="str">
        <f>IFERROR(__xludf.DUMMYFUNCTION("""COMPUTED_VALUE"""),"もとなおこ")</f>
        <v>もとなおこ</v>
      </c>
      <c r="I133" s="8" t="str">
        <f>IFERROR(__xludf.DUMMYFUNCTION("""COMPUTED_VALUE"""),"女性")</f>
        <v>女性</v>
      </c>
      <c r="J133" s="8"/>
      <c r="K133" s="8"/>
      <c r="L133" s="8" t="str">
        <f>IFERROR(__xludf.DUMMYFUNCTION("""COMPUTED_VALUE"""),"秋田書店")</f>
        <v>秋田書店</v>
      </c>
      <c r="M133" s="12">
        <f>IFERROR(__xludf.DUMMYFUNCTION("""COMPUTED_VALUE"""),44986.0)</f>
        <v>44986</v>
      </c>
      <c r="N133" s="12">
        <f>IFERROR(__xludf.DUMMYFUNCTION("""COMPUTED_VALUE"""),45015.0)</f>
        <v>45015</v>
      </c>
      <c r="O133" s="11"/>
      <c r="P133" s="9" t="str">
        <f>IFERROR(__xludf.DUMMYFUNCTION("""COMPUTED_VALUE"""),"否")</f>
        <v>否</v>
      </c>
      <c r="Q133" s="8"/>
      <c r="R133" s="9"/>
      <c r="S133" s="8" t="str">
        <f>IFERROR(__xludf.DUMMYFUNCTION("""COMPUTED_VALUE"""),"20230209_秋田書店_新作2作品")</f>
        <v>20230209_秋田書店_新作2作品</v>
      </c>
      <c r="T133" s="9"/>
      <c r="U133" s="9" t="str">
        <f>IFERROR(__xludf.DUMMYFUNCTION("""COMPUTED_VALUE"""),"©もとなおこ（秋田書店）")</f>
        <v>©もとなおこ（秋田書店）</v>
      </c>
      <c r="V133" s="8"/>
      <c r="W133" s="8"/>
      <c r="X133" s="8"/>
      <c r="Y133" s="8"/>
      <c r="Z133" s="7"/>
      <c r="AA133" s="7"/>
      <c r="AB133" s="7"/>
    </row>
    <row r="134" ht="15.75" customHeight="1">
      <c r="A134" s="8">
        <f>IFERROR(__xludf.DUMMYFUNCTION("""COMPUTED_VALUE"""),1718.0)</f>
        <v>1718</v>
      </c>
      <c r="B134" s="9" t="str">
        <f>IFERROR(__xludf.DUMMYFUNCTION("""COMPUTED_VALUE"""),"確定")</f>
        <v>確定</v>
      </c>
      <c r="C134" s="10">
        <f>IFERROR(__xludf.DUMMYFUNCTION("""COMPUTED_VALUE"""),44967.0)</f>
        <v>44967</v>
      </c>
      <c r="D134" s="10">
        <f>IFERROR(__xludf.DUMMYFUNCTION("""COMPUTED_VALUE"""),44967.0)</f>
        <v>44967</v>
      </c>
      <c r="E134" s="8">
        <f>IFERROR(__xludf.DUMMYFUNCTION("""COMPUTED_VALUE"""),263331.0)</f>
        <v>263331</v>
      </c>
      <c r="F134" s="9" t="str">
        <f>IFERROR(__xludf.DUMMYFUNCTION("""COMPUTED_VALUE"""),"メイドの国のアリス")</f>
        <v>メイドの国のアリス</v>
      </c>
      <c r="G134" s="11" t="str">
        <f>IFERROR(__xludf.DUMMYFUNCTION("""COMPUTED_VALUE"""),"1～4")</f>
        <v>1～4</v>
      </c>
      <c r="H134" s="8" t="str">
        <f>IFERROR(__xludf.DUMMYFUNCTION("""COMPUTED_VALUE"""),"水野るう＆Moss")</f>
        <v>水野るう＆Moss</v>
      </c>
      <c r="I134" s="8" t="str">
        <f>IFERROR(__xludf.DUMMYFUNCTION("""COMPUTED_VALUE"""),"女性")</f>
        <v>女性</v>
      </c>
      <c r="J134" s="8"/>
      <c r="K134" s="8"/>
      <c r="L134" s="8" t="str">
        <f>IFERROR(__xludf.DUMMYFUNCTION("""COMPUTED_VALUE"""),"夢中文庫")</f>
        <v>夢中文庫</v>
      </c>
      <c r="M134" s="12">
        <f>IFERROR(__xludf.DUMMYFUNCTION("""COMPUTED_VALUE"""),44986.0)</f>
        <v>44986</v>
      </c>
      <c r="N134" s="12">
        <f>IFERROR(__xludf.DUMMYFUNCTION("""COMPUTED_VALUE"""),45016.0)</f>
        <v>45016</v>
      </c>
      <c r="O134" s="11"/>
      <c r="P134" s="9" t="str">
        <f>IFERROR(__xludf.DUMMYFUNCTION("""COMPUTED_VALUE"""),"可")</f>
        <v>可</v>
      </c>
      <c r="Q134" s="8"/>
      <c r="R134" s="9"/>
      <c r="S134" s="8" t="str">
        <f>IFERROR(__xludf.DUMMYFUNCTION("""COMPUTED_VALUE"""),"20230210_夢中文庫_メイドの国のアリス")</f>
        <v>20230210_夢中文庫_メイドの国のアリス</v>
      </c>
      <c r="T134" s="9"/>
      <c r="U134" s="9" t="str">
        <f>IFERROR(__xludf.DUMMYFUNCTION("""COMPUTED_VALUE"""),"©水野るう/Moss/ゆめこみ")</f>
        <v>©水野るう/Moss/ゆめこみ</v>
      </c>
      <c r="V134" s="8"/>
      <c r="W134" s="8"/>
      <c r="X134" s="8"/>
      <c r="Y134" s="8"/>
      <c r="Z134" s="7"/>
      <c r="AA134" s="7"/>
      <c r="AB134" s="7"/>
    </row>
    <row r="135" ht="15.75" customHeight="1">
      <c r="A135" s="8">
        <f>IFERROR(__xludf.DUMMYFUNCTION("""COMPUTED_VALUE"""),1278.0)</f>
        <v>1278</v>
      </c>
      <c r="B135" s="9" t="str">
        <f>IFERROR(__xludf.DUMMYFUNCTION("""COMPUTED_VALUE"""),"確定")</f>
        <v>確定</v>
      </c>
      <c r="C135" s="10">
        <f>IFERROR(__xludf.DUMMYFUNCTION("""COMPUTED_VALUE"""),44743.0)</f>
        <v>44743</v>
      </c>
      <c r="D135" s="10">
        <f>IFERROR(__xludf.DUMMYFUNCTION("""COMPUTED_VALUE"""),44901.0)</f>
        <v>44901</v>
      </c>
      <c r="E135" s="8">
        <f>IFERROR(__xludf.DUMMYFUNCTION("""COMPUTED_VALUE"""),262518.0)</f>
        <v>262518</v>
      </c>
      <c r="F135" s="9" t="str">
        <f>IFERROR(__xludf.DUMMYFUNCTION("""COMPUTED_VALUE"""),"推しに没落させられたので仕返しする所存～悪役令嬢は辺境の町で溺愛されて困ってます～")</f>
        <v>推しに没落させられたので仕返しする所存～悪役令嬢は辺境の町で溺愛されて困ってます～</v>
      </c>
      <c r="G135" s="11" t="str">
        <f>IFERROR(__xludf.DUMMYFUNCTION("""COMPUTED_VALUE"""),"1～5")</f>
        <v>1～5</v>
      </c>
      <c r="H135" s="8" t="str">
        <f>IFERROR(__xludf.DUMMYFUNCTION("""COMPUTED_VALUE"""),"Ai /佐野雪奈")</f>
        <v>Ai /佐野雪奈</v>
      </c>
      <c r="I135" s="8" t="str">
        <f>IFERROR(__xludf.DUMMYFUNCTION("""COMPUTED_VALUE"""),"女性")</f>
        <v>女性</v>
      </c>
      <c r="J135" s="8"/>
      <c r="K135" s="8"/>
      <c r="L135" s="8" t="str">
        <f>IFERROR(__xludf.DUMMYFUNCTION("""COMPUTED_VALUE"""),"ライドオン")</f>
        <v>ライドオン</v>
      </c>
      <c r="M135" s="12">
        <f>IFERROR(__xludf.DUMMYFUNCTION("""COMPUTED_VALUE"""),44988.0)</f>
        <v>44988</v>
      </c>
      <c r="N135" s="12">
        <f>IFERROR(__xludf.DUMMYFUNCTION("""COMPUTED_VALUE"""),45169.0)</f>
        <v>45169</v>
      </c>
      <c r="O135" s="11"/>
      <c r="P135" s="9" t="str">
        <f>IFERROR(__xludf.DUMMYFUNCTION("""COMPUTED_VALUE"""),"可")</f>
        <v>可</v>
      </c>
      <c r="Q135" s="8" t="str">
        <f>IFERROR(__xludf.DUMMYFUNCTION("""COMPUTED_VALUE"""),"協業レーベル『シーモア×アラモード』作品です。&lt;BR&gt;配信日が延期になりましたので再度決まりましたら教諭します（9/20）")</f>
        <v>協業レーベル『シーモア×アラモード』作品です。&lt;BR&gt;配信日が延期になりましたので再度決まりましたら教諭します（9/20）</v>
      </c>
      <c r="R135" s="9"/>
      <c r="S135" s="8" t="str">
        <f>IFERROR(__xludf.DUMMYFUNCTION("""COMPUTED_VALUE"""),"20220701_ライドオン_推しに没落させられたので仕返しする所存～悪役令嬢は辺境の町で溺愛されて困ってます～")</f>
        <v>20220701_ライドオン_推しに没落させられたので仕返しする所存～悪役令嬢は辺境の町で溺愛されて困ってます～</v>
      </c>
      <c r="T135" s="9"/>
      <c r="U135" s="9" t="str">
        <f>IFERROR(__xludf.DUMMYFUNCTION("""COMPUTED_VALUE"""),"ⓒAi /佐野雪奈/ライドオン")</f>
        <v>ⓒAi /佐野雪奈/ライドオン</v>
      </c>
      <c r="V135" s="8" t="str">
        <f>IFERROR(__xludf.DUMMYFUNCTION("""COMPUTED_VALUE"""),"「仕返ししようと思うの。私を追いやったやつに」
前世でお気に入りだった乙女ゲームの悪役令嬢に転生したエリアナは、最推しである隠しキャラで王子のセシルと出会う。
推しのセシルの幸せのため、前世で覚えているシナリオ通り、自分でなくヒロインとのハッピーエンドに導こうと苦心するも、失敗続き。
ついには自身の婚約も破棄され、どういう訳なのか、セシルと共に没落してしまう。
計画を邪魔していたのがセシルだと気づいたエリアナは、仕返しを行うことを決意した。
「ちょっと困らせたり驚かせてやるんだから、覚悟なさい！」
セシル"&amp;"の思惑通り、仮の夫婦として田舎暮らしを送るが、いくら溺愛してもエリアナが恋に気づくのはまだ遠く…")</f>
        <v>「仕返ししようと思うの。私を追いやったやつに」
前世でお気に入りだった乙女ゲームの悪役令嬢に転生したエリアナは、最推しである隠しキャラで王子のセシルと出会う。
推しのセシルの幸せのため、前世で覚えているシナリオ通り、自分でなくヒロインとのハッピーエンドに導こうと苦心するも、失敗続き。
ついには自身の婚約も破棄され、どういう訳なのか、セシルと共に没落してしまう。
計画を邪魔していたのがセシルだと気づいたエリアナは、仕返しを行うことを決意した。
「ちょっと困らせたり驚かせてやるんだから、覚悟なさい！」
セシルの思惑通り、仮の夫婦として田舎暮らしを送るが、いくら溺愛してもエリアナが恋に気づくのはまだ遠く…</v>
      </c>
      <c r="W135" s="8"/>
      <c r="X135" s="9" t="str">
        <f>IFERROR(__xludf.DUMMYFUNCTION("""COMPUTED_VALUE"""),"有")</f>
        <v>有</v>
      </c>
      <c r="Y135" s="8" t="str">
        <f>IFERROR(__xludf.DUMMYFUNCTION("""COMPUTED_VALUE"""),"1～2巻目無料
1～3巻目半額")</f>
        <v>1～2巻目無料
1～3巻目半額</v>
      </c>
      <c r="Z135" s="7"/>
      <c r="AA135" s="7"/>
      <c r="AB135" s="7"/>
    </row>
    <row r="136" ht="15.75" customHeight="1">
      <c r="A136" s="8">
        <f>IFERROR(__xludf.DUMMYFUNCTION("""COMPUTED_VALUE"""),1678.0)</f>
        <v>1678</v>
      </c>
      <c r="B136" s="9" t="str">
        <f>IFERROR(__xludf.DUMMYFUNCTION("""COMPUTED_VALUE"""),"確定")</f>
        <v>確定</v>
      </c>
      <c r="C136" s="10">
        <f>IFERROR(__xludf.DUMMYFUNCTION("""COMPUTED_VALUE"""),44956.0)</f>
        <v>44956</v>
      </c>
      <c r="D136" s="10">
        <f>IFERROR(__xludf.DUMMYFUNCTION("""COMPUTED_VALUE"""),44956.0)</f>
        <v>44956</v>
      </c>
      <c r="E136" s="8">
        <f>IFERROR(__xludf.DUMMYFUNCTION("""COMPUTED_VALUE"""),254634.0)</f>
        <v>254634</v>
      </c>
      <c r="F136" s="9" t="str">
        <f>IFERROR(__xludf.DUMMYFUNCTION("""COMPUTED_VALUE"""),"デザイナー・ミーツ・ファムファタル")</f>
        <v>デザイナー・ミーツ・ファムファタル</v>
      </c>
      <c r="G136" s="11">
        <f>IFERROR(__xludf.DUMMYFUNCTION("""COMPUTED_VALUE"""),1.0)</f>
        <v>1</v>
      </c>
      <c r="H136" s="8" t="str">
        <f>IFERROR(__xludf.DUMMYFUNCTION("""COMPUTED_VALUE"""),"橈やひろ")</f>
        <v>橈やひろ</v>
      </c>
      <c r="I136" s="8" t="str">
        <f>IFERROR(__xludf.DUMMYFUNCTION("""COMPUTED_VALUE"""),"BL")</f>
        <v>BL</v>
      </c>
      <c r="J136" s="8"/>
      <c r="K136" s="8"/>
      <c r="L136" s="8" t="str">
        <f>IFERROR(__xludf.DUMMYFUNCTION("""COMPUTED_VALUE"""),"ソルマーレ編集部")</f>
        <v>ソルマーレ編集部</v>
      </c>
      <c r="M136" s="12">
        <f>IFERROR(__xludf.DUMMYFUNCTION("""COMPUTED_VALUE"""),44988.0)</f>
        <v>44988</v>
      </c>
      <c r="N136" s="12">
        <f>IFERROR(__xludf.DUMMYFUNCTION("""COMPUTED_VALUE"""),45106.66666666667)</f>
        <v>45106.66667</v>
      </c>
      <c r="O136" s="11"/>
      <c r="P136" s="9" t="str">
        <f>IFERROR(__xludf.DUMMYFUNCTION("""COMPUTED_VALUE"""),"可")</f>
        <v>可</v>
      </c>
      <c r="Q136" s="8" t="str">
        <f>IFERROR(__xludf.DUMMYFUNCTION("""COMPUTED_VALUE"""),"※正式タイトル下記の通りです（1/30）&lt;BR&gt;＝＝＝&lt;BR&gt;デザイナー・ミーツ・ファムファタル&lt;BR&gt;＝＝＝&lt;BR&gt;※本作品はFicus Party 4th朗読イベント作品です")</f>
        <v>※正式タイトル下記の通りです（1/30）&lt;BR&gt;＝＝＝&lt;BR&gt;デザイナー・ミーツ・ファムファタル&lt;BR&gt;＝＝＝&lt;BR&gt;※本作品はFicus Party 4th朗読イベント作品です</v>
      </c>
      <c r="R136" s="9"/>
      <c r="S136" s="8" t="str">
        <f>IFERROR(__xludf.DUMMYFUNCTION("""COMPUTED_VALUE"""),"20230130_ソルマーレ編集部_デザイナー・ミーツ・ファムファタル")</f>
        <v>20230130_ソルマーレ編集部_デザイナー・ミーツ・ファムファタル</v>
      </c>
      <c r="T136" s="15"/>
      <c r="U136" s="9" t="str">
        <f>IFERROR(__xludf.DUMMYFUNCTION("""COMPUTED_VALUE"""),"© 橈やひろ/シーモアコミックス")</f>
        <v>© 橈やひろ/シーモアコミックス</v>
      </c>
      <c r="V136" s="8"/>
      <c r="W136" s="8"/>
      <c r="X136" s="8"/>
      <c r="Y136" s="8"/>
      <c r="Z136" s="7"/>
      <c r="AA136" s="7"/>
      <c r="AB136" s="7"/>
    </row>
    <row r="137" ht="15.75" customHeight="1">
      <c r="A137" s="8">
        <f>IFERROR(__xludf.DUMMYFUNCTION("""COMPUTED_VALUE"""),1679.0)</f>
        <v>1679</v>
      </c>
      <c r="B137" s="9" t="str">
        <f>IFERROR(__xludf.DUMMYFUNCTION("""COMPUTED_VALUE"""),"確定")</f>
        <v>確定</v>
      </c>
      <c r="C137" s="10">
        <f>IFERROR(__xludf.DUMMYFUNCTION("""COMPUTED_VALUE"""),44956.0)</f>
        <v>44956</v>
      </c>
      <c r="D137" s="10">
        <f>IFERROR(__xludf.DUMMYFUNCTION("""COMPUTED_VALUE"""),44956.0)</f>
        <v>44956</v>
      </c>
      <c r="E137" s="8">
        <f>IFERROR(__xludf.DUMMYFUNCTION("""COMPUTED_VALUE"""),255454.0)</f>
        <v>255454</v>
      </c>
      <c r="F137" s="9" t="str">
        <f>IFERROR(__xludf.DUMMYFUNCTION("""COMPUTED_VALUE"""),"あまくおいしくめしあがれ")</f>
        <v>あまくおいしくめしあがれ</v>
      </c>
      <c r="G137" s="11">
        <f>IFERROR(__xludf.DUMMYFUNCTION("""COMPUTED_VALUE"""),1.0)</f>
        <v>1</v>
      </c>
      <c r="H137" s="8" t="str">
        <f>IFERROR(__xludf.DUMMYFUNCTION("""COMPUTED_VALUE"""),"らくたしょうこ")</f>
        <v>らくたしょうこ</v>
      </c>
      <c r="I137" s="8" t="str">
        <f>IFERROR(__xludf.DUMMYFUNCTION("""COMPUTED_VALUE"""),"BL")</f>
        <v>BL</v>
      </c>
      <c r="J137" s="8"/>
      <c r="K137" s="8"/>
      <c r="L137" s="8" t="str">
        <f>IFERROR(__xludf.DUMMYFUNCTION("""COMPUTED_VALUE"""),"ソルマーレ編集部")</f>
        <v>ソルマーレ編集部</v>
      </c>
      <c r="M137" s="12">
        <f>IFERROR(__xludf.DUMMYFUNCTION("""COMPUTED_VALUE"""),44988.0)</f>
        <v>44988</v>
      </c>
      <c r="N137" s="12">
        <f>IFERROR(__xludf.DUMMYFUNCTION("""COMPUTED_VALUE"""),45106.66666666667)</f>
        <v>45106.66667</v>
      </c>
      <c r="O137" s="11"/>
      <c r="P137" s="9" t="str">
        <f>IFERROR(__xludf.DUMMYFUNCTION("""COMPUTED_VALUE"""),"可")</f>
        <v>可</v>
      </c>
      <c r="Q137" s="8" t="str">
        <f>IFERROR(__xludf.DUMMYFUNCTION("""COMPUTED_VALUE"""),"※正式タイトル下記の通りです（1/30）&lt;BR&gt;＝＝＝&lt;BR&gt;あまくおいしくめしあがれ&lt;BR&gt;＝＝＝&lt;BR&gt;※本作品はFicus Party 4th朗読イベント作品です")</f>
        <v>※正式タイトル下記の通りです（1/30）&lt;BR&gt;＝＝＝&lt;BR&gt;あまくおいしくめしあがれ&lt;BR&gt;＝＝＝&lt;BR&gt;※本作品はFicus Party 4th朗読イベント作品です</v>
      </c>
      <c r="R137" s="9"/>
      <c r="S137" s="8" t="str">
        <f>IFERROR(__xludf.DUMMYFUNCTION("""COMPUTED_VALUE"""),"20230130_ソルマーレ編集部_あまくおいしくめしあがれ")</f>
        <v>20230130_ソルマーレ編集部_あまくおいしくめしあがれ</v>
      </c>
      <c r="T137" s="15"/>
      <c r="U137" s="9" t="str">
        <f>IFERROR(__xludf.DUMMYFUNCTION("""COMPUTED_VALUE"""),"© らくたしょうこ/シーモアコミックス")</f>
        <v>© らくたしょうこ/シーモアコミックス</v>
      </c>
      <c r="V137" s="8"/>
      <c r="W137" s="8"/>
      <c r="X137" s="8"/>
      <c r="Y137" s="8"/>
      <c r="Z137" s="7"/>
      <c r="AA137" s="7"/>
      <c r="AB137" s="7"/>
    </row>
    <row r="138" ht="15.75" customHeight="1">
      <c r="A138" s="8">
        <f>IFERROR(__xludf.DUMMYFUNCTION("""COMPUTED_VALUE"""),1680.0)</f>
        <v>1680</v>
      </c>
      <c r="B138" s="9" t="str">
        <f>IFERROR(__xludf.DUMMYFUNCTION("""COMPUTED_VALUE"""),"確定")</f>
        <v>確定</v>
      </c>
      <c r="C138" s="10">
        <f>IFERROR(__xludf.DUMMYFUNCTION("""COMPUTED_VALUE"""),44956.0)</f>
        <v>44956</v>
      </c>
      <c r="D138" s="10">
        <f>IFERROR(__xludf.DUMMYFUNCTION("""COMPUTED_VALUE"""),44956.0)</f>
        <v>44956</v>
      </c>
      <c r="E138" s="8">
        <f>IFERROR(__xludf.DUMMYFUNCTION("""COMPUTED_VALUE"""),250586.0)</f>
        <v>250586</v>
      </c>
      <c r="F138" s="9" t="str">
        <f>IFERROR(__xludf.DUMMYFUNCTION("""COMPUTED_VALUE"""),"◯◯はそんなこと言わない！")</f>
        <v>◯◯はそんなこと言わない！</v>
      </c>
      <c r="G138" s="11">
        <f>IFERROR(__xludf.DUMMYFUNCTION("""COMPUTED_VALUE"""),1.0)</f>
        <v>1</v>
      </c>
      <c r="H138" s="8" t="str">
        <f>IFERROR(__xludf.DUMMYFUNCTION("""COMPUTED_VALUE"""),"佐久本あゆ")</f>
        <v>佐久本あゆ</v>
      </c>
      <c r="I138" s="8" t="str">
        <f>IFERROR(__xludf.DUMMYFUNCTION("""COMPUTED_VALUE"""),"BL")</f>
        <v>BL</v>
      </c>
      <c r="J138" s="8"/>
      <c r="K138" s="8"/>
      <c r="L138" s="8" t="str">
        <f>IFERROR(__xludf.DUMMYFUNCTION("""COMPUTED_VALUE"""),"ソルマーレ編集部")</f>
        <v>ソルマーレ編集部</v>
      </c>
      <c r="M138" s="12">
        <f>IFERROR(__xludf.DUMMYFUNCTION("""COMPUTED_VALUE"""),44988.0)</f>
        <v>44988</v>
      </c>
      <c r="N138" s="12">
        <f>IFERROR(__xludf.DUMMYFUNCTION("""COMPUTED_VALUE"""),45106.66666666667)</f>
        <v>45106.66667</v>
      </c>
      <c r="O138" s="11"/>
      <c r="P138" s="9" t="str">
        <f>IFERROR(__xludf.DUMMYFUNCTION("""COMPUTED_VALUE"""),"可")</f>
        <v>可</v>
      </c>
      <c r="Q138" s="8" t="str">
        <f>IFERROR(__xludf.DUMMYFUNCTION("""COMPUTED_VALUE"""),"※正式タイトル下記の通りです（1/30）&lt;BR&gt;＝＝＝&lt;BR&gt;◯◯はそんなこと言わない！&lt;BR&gt;＝＝＝&lt;BR&gt;※本作品はFicus Party 4th朗読イベント作品です")</f>
        <v>※正式タイトル下記の通りです（1/30）&lt;BR&gt;＝＝＝&lt;BR&gt;◯◯はそんなこと言わない！&lt;BR&gt;＝＝＝&lt;BR&gt;※本作品はFicus Party 4th朗読イベント作品です</v>
      </c>
      <c r="R138" s="9"/>
      <c r="S138" s="8" t="str">
        <f>IFERROR(__xludf.DUMMYFUNCTION("""COMPUTED_VALUE"""),"20230130_ソルマーレ編集部_◯◯はそんなこと言わない！")</f>
        <v>20230130_ソルマーレ編集部_◯◯はそんなこと言わない！</v>
      </c>
      <c r="T138" s="15"/>
      <c r="U138" s="9" t="str">
        <f>IFERROR(__xludf.DUMMYFUNCTION("""COMPUTED_VALUE"""),"© 佐久本あゆ/シーモアコミックス")</f>
        <v>© 佐久本あゆ/シーモアコミックス</v>
      </c>
      <c r="V138" s="8"/>
      <c r="W138" s="8"/>
      <c r="X138" s="8"/>
      <c r="Y138" s="8"/>
      <c r="Z138" s="7"/>
      <c r="AA138" s="7"/>
      <c r="AB138" s="7"/>
    </row>
    <row r="139" ht="15.75" customHeight="1">
      <c r="A139" s="8">
        <f>IFERROR(__xludf.DUMMYFUNCTION("""COMPUTED_VALUE"""),1653.0)</f>
        <v>1653</v>
      </c>
      <c r="B139" s="9" t="str">
        <f>IFERROR(__xludf.DUMMYFUNCTION("""COMPUTED_VALUE"""),"確定")</f>
        <v>確定</v>
      </c>
      <c r="C139" s="10">
        <f>IFERROR(__xludf.DUMMYFUNCTION("""COMPUTED_VALUE"""),44942.0)</f>
        <v>44942</v>
      </c>
      <c r="D139" s="10">
        <f>IFERROR(__xludf.DUMMYFUNCTION("""COMPUTED_VALUE"""),44964.0)</f>
        <v>44964</v>
      </c>
      <c r="E139" s="8">
        <f>IFERROR(__xludf.DUMMYFUNCTION("""COMPUTED_VALUE"""),263347.0)</f>
        <v>263347</v>
      </c>
      <c r="F139" s="9" t="str">
        <f>IFERROR(__xludf.DUMMYFUNCTION("""COMPUTED_VALUE"""),"先輩は俺のでしょ？～後輩の可愛すぎるヤキモチ男子に溺愛されました～")</f>
        <v>先輩は俺のでしょ？～後輩の可愛すぎるヤキモチ男子に溺愛されました～</v>
      </c>
      <c r="G139" s="11" t="str">
        <f>IFERROR(__xludf.DUMMYFUNCTION("""COMPUTED_VALUE"""),"1～3")</f>
        <v>1～3</v>
      </c>
      <c r="H139" s="8" t="str">
        <f>IFERROR(__xludf.DUMMYFUNCTION("""COMPUTED_VALUE"""),"文京子")</f>
        <v>文京子</v>
      </c>
      <c r="I139" s="8" t="str">
        <f>IFERROR(__xludf.DUMMYFUNCTION("""COMPUTED_VALUE"""),"女性")</f>
        <v>女性</v>
      </c>
      <c r="J139" s="8"/>
      <c r="K139" s="8"/>
      <c r="L139" s="8" t="str">
        <f>IFERROR(__xludf.DUMMYFUNCTION("""COMPUTED_VALUE"""),"DPNブックス")</f>
        <v>DPNブックス</v>
      </c>
      <c r="M139" s="12">
        <f>IFERROR(__xludf.DUMMYFUNCTION("""COMPUTED_VALUE"""),44988.0)</f>
        <v>44988</v>
      </c>
      <c r="N139" s="12">
        <f>IFERROR(__xludf.DUMMYFUNCTION("""COMPUTED_VALUE"""),45018.0)</f>
        <v>45018</v>
      </c>
      <c r="O139" s="11"/>
      <c r="P139" s="9" t="str">
        <f>IFERROR(__xludf.DUMMYFUNCTION("""COMPUTED_VALUE"""),"可")</f>
        <v>可</v>
      </c>
      <c r="Q139" s="8" t="str">
        <f>IFERROR(__xludf.DUMMYFUNCTION("""COMPUTED_VALUE"""),"広告コミットOK（1/25）&lt;BR&gt;")</f>
        <v>広告コミットOK（1/25）&lt;BR&gt;</v>
      </c>
      <c r="R139" s="9"/>
      <c r="S139" s="8" t="str">
        <f>IFERROR(__xludf.DUMMYFUNCTION("""COMPUTED_VALUE"""),"20230116_DPNブックス_先輩は俺のでしょ？")</f>
        <v>20230116_DPNブックス_先輩は俺のでしょ？</v>
      </c>
      <c r="T139" s="9"/>
      <c r="U139" s="9" t="str">
        <f>IFERROR(__xludf.DUMMYFUNCTION("""COMPUTED_VALUE"""),"©文京子／DPNブックス")</f>
        <v>©文京子／DPNブックス</v>
      </c>
      <c r="V139" s="8"/>
      <c r="W139" s="8"/>
      <c r="X139" s="8"/>
      <c r="Y139" s="8"/>
      <c r="Z139" s="7"/>
      <c r="AA139" s="7"/>
      <c r="AB139" s="7"/>
    </row>
    <row r="140" ht="15.75" customHeight="1">
      <c r="A140" s="8">
        <f>IFERROR(__xludf.DUMMYFUNCTION("""COMPUTED_VALUE"""),1684.0)</f>
        <v>1684</v>
      </c>
      <c r="B140" s="9" t="str">
        <f>IFERROR(__xludf.DUMMYFUNCTION("""COMPUTED_VALUE"""),"確定")</f>
        <v>確定</v>
      </c>
      <c r="C140" s="10">
        <f>IFERROR(__xludf.DUMMYFUNCTION("""COMPUTED_VALUE"""),44959.0)</f>
        <v>44959</v>
      </c>
      <c r="D140" s="10">
        <f>IFERROR(__xludf.DUMMYFUNCTION("""COMPUTED_VALUE"""),44959.0)</f>
        <v>44959</v>
      </c>
      <c r="E140" s="8">
        <f>IFERROR(__xludf.DUMMYFUNCTION("""COMPUTED_VALUE"""),263397.0)</f>
        <v>263397</v>
      </c>
      <c r="F140" s="9" t="str">
        <f>IFERROR(__xludf.DUMMYFUNCTION("""COMPUTED_VALUE"""),"サマーパラダイス")</f>
        <v>サマーパラダイス</v>
      </c>
      <c r="G140" s="11" t="str">
        <f>IFERROR(__xludf.DUMMYFUNCTION("""COMPUTED_VALUE"""),"1～4")</f>
        <v>1～4</v>
      </c>
      <c r="H140" s="8" t="str">
        <f>IFERROR(__xludf.DUMMYFUNCTION("""COMPUTED_VALUE"""),"GAETY/Gosonjak")</f>
        <v>GAETY/Gosonjak</v>
      </c>
      <c r="I140" s="8" t="str">
        <f>IFERROR(__xludf.DUMMYFUNCTION("""COMPUTED_VALUE"""),"青年")</f>
        <v>青年</v>
      </c>
      <c r="J140" s="8"/>
      <c r="K140" s="8"/>
      <c r="L140" s="8" t="str">
        <f>IFERROR(__xludf.DUMMYFUNCTION("""COMPUTED_VALUE"""),"Rush!")</f>
        <v>Rush!</v>
      </c>
      <c r="M140" s="12">
        <f>IFERROR(__xludf.DUMMYFUNCTION("""COMPUTED_VALUE"""),44988.0)</f>
        <v>44988</v>
      </c>
      <c r="N140" s="12">
        <f>IFERROR(__xludf.DUMMYFUNCTION("""COMPUTED_VALUE"""),45078.0)</f>
        <v>45078</v>
      </c>
      <c r="O140" s="11"/>
      <c r="P140" s="9" t="str">
        <f>IFERROR(__xludf.DUMMYFUNCTION("""COMPUTED_VALUE"""),"可")</f>
        <v>可</v>
      </c>
      <c r="Q140" s="8" t="str">
        <f>IFERROR(__xludf.DUMMYFUNCTION("""COMPUTED_VALUE"""),"協業レーベル『シーモア×Rush!』作品です。")</f>
        <v>協業レーベル『シーモア×Rush!』作品です。</v>
      </c>
      <c r="R140" s="9"/>
      <c r="S140" s="8" t="str">
        <f>IFERROR(__xludf.DUMMYFUNCTION("""COMPUTED_VALUE"""),"20230202_ファンギルド_サマーパラダイス")</f>
        <v>20230202_ファンギルド_サマーパラダイス</v>
      </c>
      <c r="T140" s="9"/>
      <c r="U140" s="9" t="str">
        <f>IFERROR(__xludf.DUMMYFUNCTION("""COMPUTED_VALUE"""),"©GAETY / Gosonjak/TOPTOON")</f>
        <v>©GAETY / Gosonjak/TOPTOON</v>
      </c>
      <c r="V140" s="8"/>
      <c r="W140" s="8"/>
      <c r="X140" s="8"/>
      <c r="Y140" s="8"/>
      <c r="Z140" s="7"/>
      <c r="AA140" s="7"/>
      <c r="AB140" s="7"/>
    </row>
    <row r="141" ht="15.75" customHeight="1">
      <c r="A141" s="8">
        <f>IFERROR(__xludf.DUMMYFUNCTION("""COMPUTED_VALUE"""),1657.0)</f>
        <v>1657</v>
      </c>
      <c r="B141" s="9" t="str">
        <f>IFERROR(__xludf.DUMMYFUNCTION("""COMPUTED_VALUE"""),"確定")</f>
        <v>確定</v>
      </c>
      <c r="C141" s="10">
        <f>IFERROR(__xludf.DUMMYFUNCTION("""COMPUTED_VALUE"""),44943.0)</f>
        <v>44943</v>
      </c>
      <c r="D141" s="10">
        <f>IFERROR(__xludf.DUMMYFUNCTION("""COMPUTED_VALUE"""),44964.0)</f>
        <v>44964</v>
      </c>
      <c r="E141" s="8">
        <f>IFERROR(__xludf.DUMMYFUNCTION("""COMPUTED_VALUE"""),263394.0)</f>
        <v>263394</v>
      </c>
      <c r="F141" s="9" t="str">
        <f>IFERROR(__xludf.DUMMYFUNCTION("""COMPUTED_VALUE"""),"体育会系幼馴染は世界一の溺愛男子～全人類の好感度がある日見えたリケジョの私～【分冊版】")</f>
        <v>体育会系幼馴染は世界一の溺愛男子～全人類の好感度がある日見えたリケジョの私～【分冊版】</v>
      </c>
      <c r="G141" s="11" t="str">
        <f>IFERROR(__xludf.DUMMYFUNCTION("""COMPUTED_VALUE"""),"1～2")</f>
        <v>1～2</v>
      </c>
      <c r="H141" s="8" t="str">
        <f>IFERROR(__xludf.DUMMYFUNCTION("""COMPUTED_VALUE"""),"作画：一ノ清なんの / 原作：踊る毒林檎")</f>
        <v>作画：一ノ清なんの / 原作：踊る毒林檎</v>
      </c>
      <c r="I141" s="8" t="str">
        <f>IFERROR(__xludf.DUMMYFUNCTION("""COMPUTED_VALUE"""),"TL")</f>
        <v>TL</v>
      </c>
      <c r="J141" s="8"/>
      <c r="K141" s="8"/>
      <c r="L141" s="8" t="str">
        <f>IFERROR(__xludf.DUMMYFUNCTION("""COMPUTED_VALUE"""),"笠倉出版社")</f>
        <v>笠倉出版社</v>
      </c>
      <c r="M141" s="12">
        <f>IFERROR(__xludf.DUMMYFUNCTION("""COMPUTED_VALUE"""),44988.0)</f>
        <v>44988</v>
      </c>
      <c r="N141" s="12" t="str">
        <f>IFERROR(__xludf.DUMMYFUNCTION("""COMPUTED_VALUE"""),"配信から1か月")</f>
        <v>配信から1か月</v>
      </c>
      <c r="O141" s="11"/>
      <c r="P141" s="9" t="str">
        <f>IFERROR(__xludf.DUMMYFUNCTION("""COMPUTED_VALUE"""),"可")</f>
        <v>可</v>
      </c>
      <c r="Q141" s="8"/>
      <c r="R141" s="9"/>
      <c r="S141" s="8" t="str">
        <f>IFERROR(__xludf.DUMMYFUNCTION("""COMPUTED_VALUE"""),"20230207_笠倉出版社_体育会系幼馴染は世界一の溺愛男子～全人類の好感度がある日見えたリケジョの私～【分冊版】")</f>
        <v>20230207_笠倉出版社_体育会系幼馴染は世界一の溺愛男子～全人類の好感度がある日見えたリケジョの私～【分冊版】</v>
      </c>
      <c r="T141" s="9"/>
      <c r="U141" s="9" t="str">
        <f>IFERROR(__xludf.DUMMYFUNCTION("""COMPUTED_VALUE"""),"©一ノ清なんの・踊る毒林檎/笠倉出版社")</f>
        <v>©一ノ清なんの・踊る毒林檎/笠倉出版社</v>
      </c>
      <c r="V141" s="8"/>
      <c r="W141" s="8"/>
      <c r="X141" s="8"/>
      <c r="Y141" s="8"/>
      <c r="Z141" s="7"/>
      <c r="AA141" s="7"/>
      <c r="AB141" s="7"/>
    </row>
    <row r="142" ht="15.75" customHeight="1">
      <c r="A142" s="8">
        <f>IFERROR(__xludf.DUMMYFUNCTION("""COMPUTED_VALUE"""),1658.0)</f>
        <v>1658</v>
      </c>
      <c r="B142" s="9" t="str">
        <f>IFERROR(__xludf.DUMMYFUNCTION("""COMPUTED_VALUE"""),"確定")</f>
        <v>確定</v>
      </c>
      <c r="C142" s="10">
        <f>IFERROR(__xludf.DUMMYFUNCTION("""COMPUTED_VALUE"""),44943.0)</f>
        <v>44943</v>
      </c>
      <c r="D142" s="10">
        <f>IFERROR(__xludf.DUMMYFUNCTION("""COMPUTED_VALUE"""),44958.0)</f>
        <v>44958</v>
      </c>
      <c r="E142" s="8">
        <f>IFERROR(__xludf.DUMMYFUNCTION("""COMPUTED_VALUE"""),263393.0)</f>
        <v>263393</v>
      </c>
      <c r="F142" s="9" t="str">
        <f>IFERROR(__xludf.DUMMYFUNCTION("""COMPUTED_VALUE"""),"お花屋さんは元ヤクザ～閉店後の店内で甘く蕩ける～【分冊版】")</f>
        <v>お花屋さんは元ヤクザ～閉店後の店内で甘く蕩ける～【分冊版】</v>
      </c>
      <c r="G142" s="11" t="str">
        <f>IFERROR(__xludf.DUMMYFUNCTION("""COMPUTED_VALUE"""),"1～2")</f>
        <v>1～2</v>
      </c>
      <c r="H142" s="8" t="str">
        <f>IFERROR(__xludf.DUMMYFUNCTION("""COMPUTED_VALUE"""),"作画：赤井七味 / 原作：七原みさ")</f>
        <v>作画：赤井七味 / 原作：七原みさ</v>
      </c>
      <c r="I142" s="8" t="str">
        <f>IFERROR(__xludf.DUMMYFUNCTION("""COMPUTED_VALUE"""),"TL")</f>
        <v>TL</v>
      </c>
      <c r="J142" s="8"/>
      <c r="K142" s="8"/>
      <c r="L142" s="8" t="str">
        <f>IFERROR(__xludf.DUMMYFUNCTION("""COMPUTED_VALUE"""),"笠倉出版社")</f>
        <v>笠倉出版社</v>
      </c>
      <c r="M142" s="12">
        <f>IFERROR(__xludf.DUMMYFUNCTION("""COMPUTED_VALUE"""),44988.0)</f>
        <v>44988</v>
      </c>
      <c r="N142" s="12">
        <f>IFERROR(__xludf.DUMMYFUNCTION("""COMPUTED_VALUE"""),45022.66666666667)</f>
        <v>45022.66667</v>
      </c>
      <c r="O142" s="11"/>
      <c r="P142" s="9" t="str">
        <f>IFERROR(__xludf.DUMMYFUNCTION("""COMPUTED_VALUE"""),"可")</f>
        <v>可</v>
      </c>
      <c r="Q142" s="8"/>
      <c r="R142" s="9"/>
      <c r="S142" s="8" t="str">
        <f>IFERROR(__xludf.DUMMYFUNCTION("""COMPUTED_VALUE"""),"20230201_笠倉出版社_お花屋さんは元ヤクザ～閉店後の店内で甘く蕩ける～【分冊版】")</f>
        <v>20230201_笠倉出版社_お花屋さんは元ヤクザ～閉店後の店内で甘く蕩ける～【分冊版】</v>
      </c>
      <c r="T142" s="9"/>
      <c r="U142" s="9" t="str">
        <f>IFERROR(__xludf.DUMMYFUNCTION("""COMPUTED_VALUE"""),"©赤井七味・七原みさ/笠倉出版社")</f>
        <v>©赤井七味・七原みさ/笠倉出版社</v>
      </c>
      <c r="V142" s="8"/>
      <c r="W142" s="8"/>
      <c r="X142" s="8"/>
      <c r="Y142" s="8"/>
      <c r="Z142" s="7"/>
      <c r="AA142" s="7"/>
      <c r="AB142" s="7"/>
    </row>
    <row r="143" ht="15.75" customHeight="1">
      <c r="A143" s="8">
        <f>IFERROR(__xludf.DUMMYFUNCTION("""COMPUTED_VALUE"""),1690.0)</f>
        <v>1690</v>
      </c>
      <c r="B143" s="9" t="str">
        <f>IFERROR(__xludf.DUMMYFUNCTION("""COMPUTED_VALUE"""),"確定")</f>
        <v>確定</v>
      </c>
      <c r="C143" s="10">
        <f>IFERROR(__xludf.DUMMYFUNCTION("""COMPUTED_VALUE"""),44959.0)</f>
        <v>44959</v>
      </c>
      <c r="D143" s="10">
        <f>IFERROR(__xludf.DUMMYFUNCTION("""COMPUTED_VALUE"""),44963.0)</f>
        <v>44963</v>
      </c>
      <c r="E143" s="8">
        <f>IFERROR(__xludf.DUMMYFUNCTION("""COMPUTED_VALUE"""),263319.0)</f>
        <v>263319</v>
      </c>
      <c r="F143" s="9" t="str">
        <f>IFERROR(__xludf.DUMMYFUNCTION("""COMPUTED_VALUE"""),"本当は淫乱のくせに～堅物弁護士と拗らせ女子の恋愛裁判～")</f>
        <v>本当は淫乱のくせに～堅物弁護士と拗らせ女子の恋愛裁判～</v>
      </c>
      <c r="G143" s="11" t="str">
        <f>IFERROR(__xludf.DUMMYFUNCTION("""COMPUTED_VALUE"""),"1～3")</f>
        <v>1～3</v>
      </c>
      <c r="H143" s="8" t="str">
        <f>IFERROR(__xludf.DUMMYFUNCTION("""COMPUTED_VALUE"""),"真崎 清明")</f>
        <v>真崎 清明</v>
      </c>
      <c r="I143" s="8" t="str">
        <f>IFERROR(__xludf.DUMMYFUNCTION("""COMPUTED_VALUE"""),"TL")</f>
        <v>TL</v>
      </c>
      <c r="J143" s="8"/>
      <c r="K143" s="8"/>
      <c r="L143" s="8" t="str">
        <f>IFERROR(__xludf.DUMMYFUNCTION("""COMPUTED_VALUE"""),"一迅社")</f>
        <v>一迅社</v>
      </c>
      <c r="M143" s="12">
        <f>IFERROR(__xludf.DUMMYFUNCTION("""COMPUTED_VALUE"""),44988.0)</f>
        <v>44988</v>
      </c>
      <c r="N143" s="12">
        <f>IFERROR(__xludf.DUMMYFUNCTION("""COMPUTED_VALUE"""),45022.0)</f>
        <v>45022</v>
      </c>
      <c r="O143" s="11"/>
      <c r="P143" s="9" t="str">
        <f>IFERROR(__xludf.DUMMYFUNCTION("""COMPUTED_VALUE"""),"可")</f>
        <v>可</v>
      </c>
      <c r="Q143" s="8"/>
      <c r="R143" s="9"/>
      <c r="S143" s="8" t="str">
        <f>IFERROR(__xludf.DUMMYFUNCTION("""COMPUTED_VALUE"""),"20230206_一迅社_本当は淫乱のくせに")</f>
        <v>20230206_一迅社_本当は淫乱のくせに</v>
      </c>
      <c r="T143" s="9"/>
      <c r="U143" s="9" t="str">
        <f>IFERROR(__xludf.DUMMYFUNCTION("""COMPUTED_VALUE"""),"©真崎清明／一迅社")</f>
        <v>©真崎清明／一迅社</v>
      </c>
      <c r="V143" s="8"/>
      <c r="W143" s="8"/>
      <c r="X143" s="8"/>
      <c r="Y143" s="8"/>
      <c r="Z143" s="7"/>
      <c r="AA143" s="7"/>
      <c r="AB143" s="7"/>
    </row>
    <row r="144" ht="15.75" customHeight="1">
      <c r="A144" s="8">
        <f>IFERROR(__xludf.DUMMYFUNCTION("""COMPUTED_VALUE"""),1645.0)</f>
        <v>1645</v>
      </c>
      <c r="B144" s="9" t="str">
        <f>IFERROR(__xludf.DUMMYFUNCTION("""COMPUTED_VALUE"""),"確定")</f>
        <v>確定</v>
      </c>
      <c r="C144" s="10">
        <f>IFERROR(__xludf.DUMMYFUNCTION("""COMPUTED_VALUE"""),44937.0)</f>
        <v>44937</v>
      </c>
      <c r="D144" s="10">
        <f>IFERROR(__xludf.DUMMYFUNCTION("""COMPUTED_VALUE"""),44970.0)</f>
        <v>44970</v>
      </c>
      <c r="E144" s="8">
        <f>IFERROR(__xludf.DUMMYFUNCTION("""COMPUTED_VALUE"""),263121.0)</f>
        <v>263121</v>
      </c>
      <c r="F144" s="9" t="str">
        <f>IFERROR(__xludf.DUMMYFUNCTION("""COMPUTED_VALUE"""),"じらし上手な久堂部長は、今夜も愛妻をグズグズに抱きほぐす。")</f>
        <v>じらし上手な久堂部長は、今夜も愛妻をグズグズに抱きほぐす。</v>
      </c>
      <c r="G144" s="11" t="str">
        <f>IFERROR(__xludf.DUMMYFUNCTION("""COMPUTED_VALUE"""),"1~3")</f>
        <v>1~3</v>
      </c>
      <c r="H144" s="8" t="str">
        <f>IFERROR(__xludf.DUMMYFUNCTION("""COMPUTED_VALUE"""),"エトウユツキ")</f>
        <v>エトウユツキ</v>
      </c>
      <c r="I144" s="8" t="str">
        <f>IFERROR(__xludf.DUMMYFUNCTION("""COMPUTED_VALUE"""),"TL")</f>
        <v>TL</v>
      </c>
      <c r="J144" s="8"/>
      <c r="K144" s="8"/>
      <c r="L144" s="8" t="str">
        <f>IFERROR(__xludf.DUMMYFUNCTION("""COMPUTED_VALUE"""),"小学館")</f>
        <v>小学館</v>
      </c>
      <c r="M144" s="12">
        <f>IFERROR(__xludf.DUMMYFUNCTION("""COMPUTED_VALUE"""),44988.0)</f>
        <v>44988</v>
      </c>
      <c r="N144" s="12">
        <f>IFERROR(__xludf.DUMMYFUNCTION("""COMPUTED_VALUE"""),45043.66666666667)</f>
        <v>45043.66667</v>
      </c>
      <c r="O144" s="11"/>
      <c r="P144" s="9" t="str">
        <f>IFERROR(__xludf.DUMMYFUNCTION("""COMPUTED_VALUE"""),"可")</f>
        <v>可</v>
      </c>
      <c r="Q144" s="8" t="str">
        <f>IFERROR(__xludf.DUMMYFUNCTION("""COMPUTED_VALUE"""),"広告コミットOK（1/12）&lt;BR&gt;")</f>
        <v>広告コミットOK（1/12）&lt;BR&gt;</v>
      </c>
      <c r="R144" s="9"/>
      <c r="S144" s="8" t="str">
        <f>IFERROR(__xludf.DUMMYFUNCTION("""COMPUTED_VALUE"""),"20230213_小学館_じらし上手な久堂部長は、今夜も愛妻をグズグズに抱きほぐす。")</f>
        <v>20230213_小学館_じらし上手な久堂部長は、今夜も愛妻をグズグズに抱きほぐす。</v>
      </c>
      <c r="T144" s="9"/>
      <c r="U144" s="9" t="str">
        <f>IFERROR(__xludf.DUMMYFUNCTION("""COMPUTED_VALUE"""),"©エトウユツキ / 小学館")</f>
        <v>©エトウユツキ / 小学館</v>
      </c>
      <c r="V144" s="8"/>
      <c r="W144" s="8"/>
      <c r="X144" s="8"/>
      <c r="Y144" s="8"/>
      <c r="Z144" s="7"/>
      <c r="AA144" s="7"/>
      <c r="AB144" s="7"/>
    </row>
    <row r="145" ht="208.5" customHeight="1">
      <c r="A145" s="8">
        <f>IFERROR(__xludf.DUMMYFUNCTION("""COMPUTED_VALUE"""),1739.0)</f>
        <v>1739</v>
      </c>
      <c r="B145" s="9" t="str">
        <f>IFERROR(__xludf.DUMMYFUNCTION("""COMPUTED_VALUE"""),"確定")</f>
        <v>確定</v>
      </c>
      <c r="C145" s="10">
        <f>IFERROR(__xludf.DUMMYFUNCTION("""COMPUTED_VALUE"""),44977.0)</f>
        <v>44977</v>
      </c>
      <c r="D145" s="10">
        <f>IFERROR(__xludf.DUMMYFUNCTION("""COMPUTED_VALUE"""),44977.0)</f>
        <v>44977</v>
      </c>
      <c r="E145" s="8">
        <f>IFERROR(__xludf.DUMMYFUNCTION("""COMPUTED_VALUE"""),262518.0)</f>
        <v>262518</v>
      </c>
      <c r="F145" s="9" t="str">
        <f>IFERROR(__xludf.DUMMYFUNCTION("""COMPUTED_VALUE"""),"推しに没落させられたので仕返しする所存～悪役令嬢は辺境の町で溺愛されて困ってます～")</f>
        <v>推しに没落させられたので仕返しする所存～悪役令嬢は辺境の町で溺愛されて困ってます～</v>
      </c>
      <c r="G145" s="11" t="str">
        <f>IFERROR(__xludf.DUMMYFUNCTION("""COMPUTED_VALUE"""),"1~5")</f>
        <v>1~5</v>
      </c>
      <c r="H145" s="8" t="str">
        <f>IFERROR(__xludf.DUMMYFUNCTION("""COMPUTED_VALUE"""),"漫画：Ai　原作：佐野雪奈　")</f>
        <v>漫画：Ai　原作：佐野雪奈　</v>
      </c>
      <c r="I145" s="8" t="str">
        <f>IFERROR(__xludf.DUMMYFUNCTION("""COMPUTED_VALUE"""),"女性")</f>
        <v>女性</v>
      </c>
      <c r="J145" s="8"/>
      <c r="K145" s="8"/>
      <c r="L145" s="8" t="str">
        <f>IFERROR(__xludf.DUMMYFUNCTION("""COMPUTED_VALUE"""),"ライドオン")</f>
        <v>ライドオン</v>
      </c>
      <c r="M145" s="12">
        <f>IFERROR(__xludf.DUMMYFUNCTION("""COMPUTED_VALUE"""),44988.0)</f>
        <v>44988</v>
      </c>
      <c r="N145" s="12" t="str">
        <f>IFERROR(__xludf.DUMMYFUNCTION("""COMPUTED_VALUE"""),"配信から3ヶ月")</f>
        <v>配信から3ヶ月</v>
      </c>
      <c r="O145" s="11"/>
      <c r="P145" s="9" t="str">
        <f>IFERROR(__xludf.DUMMYFUNCTION("""COMPUTED_VALUE"""),"可")</f>
        <v>可</v>
      </c>
      <c r="Q145" s="8" t="str">
        <f>IFERROR(__xludf.DUMMYFUNCTION("""COMPUTED_VALUE"""),"協業レーベル『シーモア×アラモード』作品です。&lt;BR&gt;登録が遅くなりすみません。。！")</f>
        <v>協業レーベル『シーモア×アラモード』作品です。&lt;BR&gt;登録が遅くなりすみません。。！</v>
      </c>
      <c r="R145" s="9"/>
      <c r="S145" s="8" t="str">
        <f>IFERROR(__xludf.DUMMYFUNCTION("""COMPUTED_VALUE"""),"20230220_ライドオン_推しに没落")</f>
        <v>20230220_ライドオン_推しに没落</v>
      </c>
      <c r="T145" s="9"/>
      <c r="U145" s="9" t="str">
        <f>IFERROR(__xludf.DUMMYFUNCTION("""COMPUTED_VALUE"""),"©Ai/佐野雪奈/ライドオン")</f>
        <v>©Ai/佐野雪奈/ライドオン</v>
      </c>
      <c r="V145" s="8"/>
      <c r="W145" s="8"/>
      <c r="X145" s="8"/>
      <c r="Y145" s="8"/>
      <c r="Z145" s="7"/>
      <c r="AA145" s="7"/>
      <c r="AB145" s="7"/>
    </row>
    <row r="146" ht="120.0" customHeight="1">
      <c r="A146" s="8">
        <f>IFERROR(__xludf.DUMMYFUNCTION("""COMPUTED_VALUE"""),1677.0)</f>
        <v>1677</v>
      </c>
      <c r="B146" s="9" t="str">
        <f>IFERROR(__xludf.DUMMYFUNCTION("""COMPUTED_VALUE"""),"確定")</f>
        <v>確定</v>
      </c>
      <c r="C146" s="10">
        <f>IFERROR(__xludf.DUMMYFUNCTION("""COMPUTED_VALUE"""),44956.0)</f>
        <v>44956</v>
      </c>
      <c r="D146" s="10">
        <f>IFERROR(__xludf.DUMMYFUNCTION("""COMPUTED_VALUE"""),44956.0)</f>
        <v>44956</v>
      </c>
      <c r="E146" s="8">
        <f>IFERROR(__xludf.DUMMYFUNCTION("""COMPUTED_VALUE"""),243488.0)</f>
        <v>243488</v>
      </c>
      <c r="F146" s="9" t="str">
        <f>IFERROR(__xludf.DUMMYFUNCTION("""COMPUTED_VALUE"""),"失恋なんてさせてやらない")</f>
        <v>失恋なんてさせてやらない</v>
      </c>
      <c r="G146" s="11" t="str">
        <f>IFERROR(__xludf.DUMMYFUNCTION("""COMPUTED_VALUE"""),"1～3")</f>
        <v>1～3</v>
      </c>
      <c r="H146" s="8" t="str">
        <f>IFERROR(__xludf.DUMMYFUNCTION("""COMPUTED_VALUE"""),"らむ菜")</f>
        <v>らむ菜</v>
      </c>
      <c r="I146" s="14" t="str">
        <f>IFERROR(__xludf.DUMMYFUNCTION("""COMPUTED_VALUE"""),"少女")</f>
        <v>少女</v>
      </c>
      <c r="J146" s="8"/>
      <c r="K146" s="8"/>
      <c r="L146" s="8" t="str">
        <f>IFERROR(__xludf.DUMMYFUNCTION("""COMPUTED_VALUE"""),"ソルマーレ編集部")</f>
        <v>ソルマーレ編集部</v>
      </c>
      <c r="M146" s="12">
        <f>IFERROR(__xludf.DUMMYFUNCTION("""COMPUTED_VALUE"""),44989.0)</f>
        <v>44989</v>
      </c>
      <c r="N146" s="12">
        <f>IFERROR(__xludf.DUMMYFUNCTION("""COMPUTED_VALUE"""),45050.0)</f>
        <v>45050</v>
      </c>
      <c r="O146" s="11"/>
      <c r="P146" s="9" t="str">
        <f>IFERROR(__xludf.DUMMYFUNCTION("""COMPUTED_VALUE"""),"可")</f>
        <v>可</v>
      </c>
      <c r="Q146" s="8"/>
      <c r="R146" s="9"/>
      <c r="S146" s="8" t="str">
        <f>IFERROR(__xludf.DUMMYFUNCTION("""COMPUTED_VALUE"""),"20230130_ソルマーレ編集部_失恋なんてさせてやらない")</f>
        <v>20230130_ソルマーレ編集部_失恋なんてさせてやらない</v>
      </c>
      <c r="T146" s="15"/>
      <c r="U146" s="9" t="str">
        <f>IFERROR(__xludf.DUMMYFUNCTION("""COMPUTED_VALUE"""),"Ⓒ らむ菜/シーモアコミックス")</f>
        <v>Ⓒ らむ菜/シーモアコミックス</v>
      </c>
      <c r="V146" s="8"/>
      <c r="W146" s="8"/>
      <c r="X146" s="8"/>
      <c r="Y146" s="8"/>
      <c r="Z146" s="7"/>
      <c r="AA146" s="7"/>
      <c r="AB146" s="7"/>
    </row>
    <row r="147" ht="15.75" customHeight="1">
      <c r="A147" s="8">
        <f>IFERROR(__xludf.DUMMYFUNCTION("""COMPUTED_VALUE"""),1600.0)</f>
        <v>1600</v>
      </c>
      <c r="B147" s="9" t="str">
        <f>IFERROR(__xludf.DUMMYFUNCTION("""COMPUTED_VALUE"""),"確定")</f>
        <v>確定</v>
      </c>
      <c r="C147" s="10">
        <f>IFERROR(__xludf.DUMMYFUNCTION("""COMPUTED_VALUE"""),44911.0)</f>
        <v>44911</v>
      </c>
      <c r="D147" s="10">
        <f>IFERROR(__xludf.DUMMYFUNCTION("""COMPUTED_VALUE"""),44972.0)</f>
        <v>44972</v>
      </c>
      <c r="E147" s="8">
        <f>IFERROR(__xludf.DUMMYFUNCTION("""COMPUTED_VALUE"""),263599.0)</f>
        <v>263599</v>
      </c>
      <c r="F147" s="9" t="str">
        <f>IFERROR(__xludf.DUMMYFUNCTION("""COMPUTED_VALUE"""),"鳴川くんは泣かされたくない【マイクロ】")</f>
        <v>鳴川くんは泣かされたくない【マイクロ】</v>
      </c>
      <c r="G147" s="11" t="str">
        <f>IFERROR(__xludf.DUMMYFUNCTION("""COMPUTED_VALUE"""),"1～3")</f>
        <v>1～3</v>
      </c>
      <c r="H147" s="8" t="str">
        <f>IFERROR(__xludf.DUMMYFUNCTION("""COMPUTED_VALUE"""),"遠山あちは")</f>
        <v>遠山あちは</v>
      </c>
      <c r="I147" s="8" t="str">
        <f>IFERROR(__xludf.DUMMYFUNCTION("""COMPUTED_VALUE"""),"女性")</f>
        <v>女性</v>
      </c>
      <c r="J147" s="8"/>
      <c r="K147" s="8"/>
      <c r="L147" s="8" t="str">
        <f>IFERROR(__xludf.DUMMYFUNCTION("""COMPUTED_VALUE"""),"小学館")</f>
        <v>小学館</v>
      </c>
      <c r="M147" s="12">
        <f>IFERROR(__xludf.DUMMYFUNCTION("""COMPUTED_VALUE"""),44990.0)</f>
        <v>44990</v>
      </c>
      <c r="N147" s="12">
        <f>IFERROR(__xludf.DUMMYFUNCTION("""COMPUTED_VALUE"""),45142.66666666667)</f>
        <v>45142.66667</v>
      </c>
      <c r="O147" s="11"/>
      <c r="P147" s="9" t="str">
        <f>IFERROR(__xludf.DUMMYFUNCTION("""COMPUTED_VALUE"""),"否")</f>
        <v>否</v>
      </c>
      <c r="Q147" s="8" t="str">
        <f>IFERROR(__xludf.DUMMYFUNCTION("""COMPUTED_VALUE"""),"広告コミットOK（12/19）")</f>
        <v>広告コミットOK（12/19）</v>
      </c>
      <c r="R147" s="9"/>
      <c r="S147" s="8" t="str">
        <f>IFERROR(__xludf.DUMMYFUNCTION("""COMPUTED_VALUE"""),"20230215_小学館_鳴川くんは泣かされたくない【マイクロ】")</f>
        <v>20230215_小学館_鳴川くんは泣かされたくない【マイクロ】</v>
      </c>
      <c r="T147" s="9"/>
      <c r="U147" s="9" t="str">
        <f>IFERROR(__xludf.DUMMYFUNCTION("""COMPUTED_VALUE"""),"©遠山あちは / 小学館")</f>
        <v>©遠山あちは / 小学館</v>
      </c>
      <c r="V147" s="8"/>
      <c r="W147" s="8"/>
      <c r="X147" s="8"/>
      <c r="Y147" s="8"/>
      <c r="Z147" s="7"/>
      <c r="AA147" s="7"/>
      <c r="AB147" s="7"/>
    </row>
    <row r="148" ht="15.75" customHeight="1">
      <c r="A148" s="8">
        <f>IFERROR(__xludf.DUMMYFUNCTION("""COMPUTED_VALUE"""),1614.0)</f>
        <v>1614</v>
      </c>
      <c r="B148" s="9" t="str">
        <f>IFERROR(__xludf.DUMMYFUNCTION("""COMPUTED_VALUE"""),"確定")</f>
        <v>確定</v>
      </c>
      <c r="C148" s="10">
        <f>IFERROR(__xludf.DUMMYFUNCTION("""COMPUTED_VALUE"""),44918.0)</f>
        <v>44918</v>
      </c>
      <c r="D148" s="10">
        <f>IFERROR(__xludf.DUMMYFUNCTION("""COMPUTED_VALUE"""),44977.0)</f>
        <v>44977</v>
      </c>
      <c r="E148" s="8">
        <f>IFERROR(__xludf.DUMMYFUNCTION("""COMPUTED_VALUE"""),263598.0)</f>
        <v>263598</v>
      </c>
      <c r="F148" s="9" t="str">
        <f>IFERROR(__xludf.DUMMYFUNCTION("""COMPUTED_VALUE"""),"薔薇と殺し屋【マイクロ】")</f>
        <v>薔薇と殺し屋【マイクロ】</v>
      </c>
      <c r="G148" s="11" t="str">
        <f>IFERROR(__xludf.DUMMYFUNCTION("""COMPUTED_VALUE"""),"1～5")</f>
        <v>1～5</v>
      </c>
      <c r="H148" s="8" t="str">
        <f>IFERROR(__xludf.DUMMYFUNCTION("""COMPUTED_VALUE"""),"箕野希望")</f>
        <v>箕野希望</v>
      </c>
      <c r="I148" s="8" t="str">
        <f>IFERROR(__xludf.DUMMYFUNCTION("""COMPUTED_VALUE"""),"少女")</f>
        <v>少女</v>
      </c>
      <c r="J148" s="8"/>
      <c r="K148" s="8"/>
      <c r="L148" s="8" t="str">
        <f>IFERROR(__xludf.DUMMYFUNCTION("""COMPUTED_VALUE"""),"小学館")</f>
        <v>小学館</v>
      </c>
      <c r="M148" s="12">
        <f>IFERROR(__xludf.DUMMYFUNCTION("""COMPUTED_VALUE"""),44990.0)</f>
        <v>44990</v>
      </c>
      <c r="N148" s="12" t="str">
        <f>IFERROR(__xludf.DUMMYFUNCTION("""COMPUTED_VALUE"""),"初回2か月先行予定")</f>
        <v>初回2か月先行予定</v>
      </c>
      <c r="O148" s="11"/>
      <c r="P148" s="9" t="str">
        <f>IFERROR(__xludf.DUMMYFUNCTION("""COMPUTED_VALUE"""),"否")</f>
        <v>否</v>
      </c>
      <c r="Q148" s="8" t="str">
        <f>IFERROR(__xludf.DUMMYFUNCTION("""COMPUTED_VALUE"""),"広告コミットOK（12/28）&lt;BR&gt;初回先行期間中（3/5～5/4）、1話無料をいただきます")</f>
        <v>広告コミットOK（12/28）&lt;BR&gt;初回先行期間中（3/5～5/4）、1話無料をいただきます</v>
      </c>
      <c r="R148" s="9"/>
      <c r="S148" s="8" t="str">
        <f>IFERROR(__xludf.DUMMYFUNCTION("""COMPUTED_VALUE"""),"20230220_小学館_薔薇と殺し屋【マイクロ】")</f>
        <v>20230220_小学館_薔薇と殺し屋【マイクロ】</v>
      </c>
      <c r="T148" s="9" t="str">
        <f>IFERROR(__xludf.DUMMYFUNCTION("""COMPUTED_VALUE"""),"「1話.zip」⇒1～3巻分、「2話.zip」⇒4巻分、「3話.zip」⇒5巻分に該当します ※マイクロ版では1話目を3分割しているため")</f>
        <v>「1話.zip」⇒1～3巻分、「2話.zip」⇒4巻分、「3話.zip」⇒5巻分に該当します ※マイクロ版では1話目を3分割しているため</v>
      </c>
      <c r="U148" s="9" t="str">
        <f>IFERROR(__xludf.DUMMYFUNCTION("""COMPUTED_VALUE"""),"©箕野希望 / 小学館")</f>
        <v>©箕野希望 / 小学館</v>
      </c>
      <c r="V148" s="8"/>
      <c r="W148" s="8"/>
      <c r="X148" s="8"/>
      <c r="Y148" s="8"/>
      <c r="Z148" s="7"/>
      <c r="AA148" s="7"/>
      <c r="AB148" s="7"/>
    </row>
    <row r="149" ht="15.75" customHeight="1">
      <c r="A149" s="8">
        <f>IFERROR(__xludf.DUMMYFUNCTION("""COMPUTED_VALUE"""),1717.0)</f>
        <v>1717</v>
      </c>
      <c r="B149" s="9" t="str">
        <f>IFERROR(__xludf.DUMMYFUNCTION("""COMPUTED_VALUE"""),"確定")</f>
        <v>確定</v>
      </c>
      <c r="C149" s="10">
        <f>IFERROR(__xludf.DUMMYFUNCTION("""COMPUTED_VALUE"""),44967.0)</f>
        <v>44967</v>
      </c>
      <c r="D149" s="10">
        <f>IFERROR(__xludf.DUMMYFUNCTION("""COMPUTED_VALUE"""),44970.0)</f>
        <v>44970</v>
      </c>
      <c r="E149" s="8">
        <f>IFERROR(__xludf.DUMMYFUNCTION("""COMPUTED_VALUE"""),263845.0)</f>
        <v>263845</v>
      </c>
      <c r="F149" s="9" t="str">
        <f>IFERROR(__xludf.DUMMYFUNCTION("""COMPUTED_VALUE"""),"恋愛市場価値")</f>
        <v>恋愛市場価値</v>
      </c>
      <c r="G149" s="11" t="str">
        <f>IFERROR(__xludf.DUMMYFUNCTION("""COMPUTED_VALUE"""),"1～4")</f>
        <v>1～4</v>
      </c>
      <c r="H149" s="8" t="str">
        <f>IFERROR(__xludf.DUMMYFUNCTION("""COMPUTED_VALUE"""),"坂本裕次郎・田丸いく")</f>
        <v>坂本裕次郎・田丸いく</v>
      </c>
      <c r="I149" s="8" t="str">
        <f>IFERROR(__xludf.DUMMYFUNCTION("""COMPUTED_VALUE"""),"女性")</f>
        <v>女性</v>
      </c>
      <c r="J149" s="8"/>
      <c r="K149" s="8"/>
      <c r="L149" s="8" t="str">
        <f>IFERROR(__xludf.DUMMYFUNCTION("""COMPUTED_VALUE"""),"秋田書店")</f>
        <v>秋田書店</v>
      </c>
      <c r="M149" s="12">
        <f>IFERROR(__xludf.DUMMYFUNCTION("""COMPUTED_VALUE"""),44992.0)</f>
        <v>44992</v>
      </c>
      <c r="N149" s="12">
        <f>IFERROR(__xludf.DUMMYFUNCTION("""COMPUTED_VALUE"""),45076.0)</f>
        <v>45076</v>
      </c>
      <c r="O149" s="11"/>
      <c r="P149" s="9" t="str">
        <f>IFERROR(__xludf.DUMMYFUNCTION("""COMPUTED_VALUE"""),"否")</f>
        <v>否</v>
      </c>
      <c r="Q149" s="8" t="str">
        <f>IFERROR(__xludf.DUMMYFUNCTION("""COMPUTED_VALUE"""),"協業作品&lt;BR&gt;2/28　1～3巻配信&lt;BR&gt;3/7      4巻配信（※このタイミングで出稿開始）")</f>
        <v>協業作品&lt;BR&gt;2/28　1～3巻配信&lt;BR&gt;3/7      4巻配信（※このタイミングで出稿開始）</v>
      </c>
      <c r="R149" s="9"/>
      <c r="S149" s="8" t="str">
        <f>IFERROR(__xludf.DUMMYFUNCTION("""COMPUTED_VALUE"""),"20230210_秋田書店_恋愛市場主義")</f>
        <v>20230210_秋田書店_恋愛市場主義</v>
      </c>
      <c r="T149" s="9"/>
      <c r="U149" s="9" t="str">
        <f>IFERROR(__xludf.DUMMYFUNCTION("""COMPUTED_VALUE"""),"©坂本裕次郎・田丸いく（秋田書店）")</f>
        <v>©坂本裕次郎・田丸いく（秋田書店）</v>
      </c>
      <c r="V149" s="8"/>
      <c r="W149" s="8"/>
      <c r="X149" s="8"/>
      <c r="Y149" s="8"/>
      <c r="Z149" s="7"/>
      <c r="AA149" s="7"/>
      <c r="AB149" s="7"/>
    </row>
    <row r="150" ht="15.75" customHeight="1">
      <c r="A150" s="8">
        <f>IFERROR(__xludf.DUMMYFUNCTION("""COMPUTED_VALUE"""),1708.0)</f>
        <v>1708</v>
      </c>
      <c r="B150" s="9" t="str">
        <f>IFERROR(__xludf.DUMMYFUNCTION("""COMPUTED_VALUE"""),"確定")</f>
        <v>確定</v>
      </c>
      <c r="C150" s="10">
        <f>IFERROR(__xludf.DUMMYFUNCTION("""COMPUTED_VALUE"""),44965.0)</f>
        <v>44965</v>
      </c>
      <c r="D150" s="10">
        <f>IFERROR(__xludf.DUMMYFUNCTION("""COMPUTED_VALUE"""),44978.0)</f>
        <v>44978</v>
      </c>
      <c r="E150" s="8">
        <f>IFERROR(__xludf.DUMMYFUNCTION("""COMPUTED_VALUE"""),264406.0)</f>
        <v>264406</v>
      </c>
      <c r="F150" s="9" t="str">
        <f>IFERROR(__xludf.DUMMYFUNCTION("""COMPUTED_VALUE"""),"魔氷の誘惑【タテヨミ】")</f>
        <v>魔氷の誘惑【タテヨミ】</v>
      </c>
      <c r="G150" s="11" t="str">
        <f>IFERROR(__xludf.DUMMYFUNCTION("""COMPUTED_VALUE"""),"1～10")</f>
        <v>1～10</v>
      </c>
      <c r="H150" s="8" t="str">
        <f>IFERROR(__xludf.DUMMYFUNCTION("""COMPUTED_VALUE"""),"橋本祥平 DLE・日本テレビ 市川悠輔 Me16")</f>
        <v>橋本祥平 DLE・日本テレビ 市川悠輔 Me16</v>
      </c>
      <c r="I150" s="8" t="str">
        <f>IFERROR(__xludf.DUMMYFUNCTION("""COMPUTED_VALUE"""),"少年")</f>
        <v>少年</v>
      </c>
      <c r="J150" s="8"/>
      <c r="K150" s="8"/>
      <c r="L150" s="8" t="str">
        <f>IFERROR(__xludf.DUMMYFUNCTION("""COMPUTED_VALUE"""),"DLE")</f>
        <v>DLE</v>
      </c>
      <c r="M150" s="12">
        <f>IFERROR(__xludf.DUMMYFUNCTION("""COMPUTED_VALUE"""),44992.0)</f>
        <v>44992</v>
      </c>
      <c r="N150" s="12">
        <f>IFERROR(__xludf.DUMMYFUNCTION("""COMPUTED_VALUE"""),45083.0)</f>
        <v>45083</v>
      </c>
      <c r="O150" s="11"/>
      <c r="P150" s="9" t="str">
        <f>IFERROR(__xludf.DUMMYFUNCTION("""COMPUTED_VALUE"""),"否")</f>
        <v>否</v>
      </c>
      <c r="Q150" s="8" t="str">
        <f>IFERROR(__xludf.DUMMYFUNCTION("""COMPUTED_VALUE"""),"広告コミットOK（2/10）&lt;BR&gt;&lt;BR&gt;現在1～2話分のデータですが追加もらい次第格納します。&lt;BR&gt;&lt;BR&gt;CP名・出版社名・配信日修正（2/15）&lt;BR&gt;")</f>
        <v>広告コミットOK（2/10）&lt;BR&gt;&lt;BR&gt;現在1～2話分のデータですが追加もらい次第格納します。&lt;BR&gt;&lt;BR&gt;CP名・出版社名・配信日修正（2/15）&lt;BR&gt;</v>
      </c>
      <c r="R150" s="9"/>
      <c r="S150" s="8" t="str">
        <f>IFERROR(__xludf.DUMMYFUNCTION("""COMPUTED_VALUE"""),"20230221_DLE_魔氷の誘惑【タテヨミ】")</f>
        <v>20230221_DLE_魔氷の誘惑【タテヨミ】</v>
      </c>
      <c r="T150" s="9"/>
      <c r="U150" s="9" t="str">
        <f>IFERROR(__xludf.DUMMYFUNCTION("""COMPUTED_VALUE"""),"©日本テレビ×DLE タテヨミマンガPJ")</f>
        <v>©日本テレビ×DLE タテヨミマンガPJ</v>
      </c>
      <c r="V150" s="8" t="str">
        <f>IFERROR(__xludf.DUMMYFUNCTION("""COMPUTED_VALUE"""),"17歳のフィギュアスケート選手・翼は、引退を葛藤していた。世界選手権出場を共に夢見ていた病床の母親のためにもと、振付師に初めて振り付けを依頼した。しかし、その振付師は、人間の欲望を誘い、惑わし、貪る悪魔だった…。古より密かに繰り返されてきた悪魔との契約。翼は、美しい舞で羽化する一方、その”代償”は計り知れなく大きかった。そう、悪魔との契約は等価交換…。")</f>
        <v>17歳のフィギュアスケート選手・翼は、引退を葛藤していた。世界選手権出場を共に夢見ていた病床の母親のためにもと、振付師に初めて振り付けを依頼した。しかし、その振付師は、人間の欲望を誘い、惑わし、貪る悪魔だった…。古より密かに繰り返されてきた悪魔との契約。翼は、美しい舞で羽化する一方、その”代償”は計り知れなく大きかった。そう、悪魔との契約は等価交換…。</v>
      </c>
      <c r="W150" s="8"/>
      <c r="X150" s="8" t="str">
        <f>IFERROR(__xludf.DUMMYFUNCTION("""COMPUTED_VALUE"""),"無")</f>
        <v>無</v>
      </c>
      <c r="Y150" s="8"/>
      <c r="Z150" s="7"/>
      <c r="AA150" s="7"/>
      <c r="AB150" s="7"/>
    </row>
    <row r="151" ht="15.75" customHeight="1">
      <c r="A151" s="8">
        <f>IFERROR(__xludf.DUMMYFUNCTION("""COMPUTED_VALUE"""),1725.0)</f>
        <v>1725</v>
      </c>
      <c r="B151" s="9" t="str">
        <f>IFERROR(__xludf.DUMMYFUNCTION("""COMPUTED_VALUE"""),"確定")</f>
        <v>確定</v>
      </c>
      <c r="C151" s="10">
        <f>IFERROR(__xludf.DUMMYFUNCTION("""COMPUTED_VALUE"""),44970.0)</f>
        <v>44970</v>
      </c>
      <c r="D151" s="10">
        <f>IFERROR(__xludf.DUMMYFUNCTION("""COMPUTED_VALUE"""),44978.0)</f>
        <v>44978</v>
      </c>
      <c r="E151" s="8">
        <f>IFERROR(__xludf.DUMMYFUNCTION("""COMPUTED_VALUE"""),263608.0)</f>
        <v>263608</v>
      </c>
      <c r="F151" s="9" t="str">
        <f>IFERROR(__xludf.DUMMYFUNCTION("""COMPUTED_VALUE"""),"女神様のひだりて ～全てを妾に捧げるのじゃ～")</f>
        <v>女神様のひだりて ～全てを妾に捧げるのじゃ～</v>
      </c>
      <c r="G151" s="11"/>
      <c r="H151" s="8" t="str">
        <f>IFERROR(__xludf.DUMMYFUNCTION("""COMPUTED_VALUE"""),"岡田侍大")</f>
        <v>岡田侍大</v>
      </c>
      <c r="I151" s="14" t="str">
        <f>IFERROR(__xludf.DUMMYFUNCTION("""COMPUTED_VALUE"""),"青年")</f>
        <v>青年</v>
      </c>
      <c r="J151" s="8"/>
      <c r="K151" s="8"/>
      <c r="L151" s="8" t="str">
        <f>IFERROR(__xludf.DUMMYFUNCTION("""COMPUTED_VALUE"""),"MUGENUP")</f>
        <v>MUGENUP</v>
      </c>
      <c r="M151" s="12">
        <f>IFERROR(__xludf.DUMMYFUNCTION("""COMPUTED_VALUE"""),44992.0)</f>
        <v>44992</v>
      </c>
      <c r="N151" s="12" t="str">
        <f>IFERROR(__xludf.DUMMYFUNCTION("""COMPUTED_VALUE"""),"出稿不可⇒1ヶ月、出稿可⇒3ヶ月")</f>
        <v>出稿不可⇒1ヶ月、出稿可⇒3ヶ月</v>
      </c>
      <c r="O151" s="11"/>
      <c r="P151" s="9" t="str">
        <f>IFERROR(__xludf.DUMMYFUNCTION("""COMPUTED_VALUE"""),"可")</f>
        <v>可</v>
      </c>
      <c r="Q151" s="8" t="str">
        <f>IFERROR(__xludf.DUMMYFUNCTION("""COMPUTED_VALUE"""),"広告コミットOK（2/17）&lt;BR&gt;")</f>
        <v>広告コミットOK（2/17）&lt;BR&gt;</v>
      </c>
      <c r="R151" s="9" t="str">
        <f>IFERROR(__xludf.DUMMYFUNCTION("""COMPUTED_VALUE"""),"納品済み（素材フォルダに格納）")</f>
        <v>納品済み（素材フォルダに格納）</v>
      </c>
      <c r="S151" s="8" t="str">
        <f>IFERROR(__xludf.DUMMYFUNCTION("""COMPUTED_VALUE"""),"20230213_MUGENUP_女神様のひだりて ～全てを妾に捧げるのじゃ～")</f>
        <v>20230213_MUGENUP_女神様のひだりて ～全てを妾に捧げるのじゃ～</v>
      </c>
      <c r="T151" s="9"/>
      <c r="U151" s="9" t="str">
        <f>IFERROR(__xludf.DUMMYFUNCTION("""COMPUTED_VALUE"""),"©岡田侍大／MUGENUP")</f>
        <v>©岡田侍大／MUGENUP</v>
      </c>
      <c r="V151" s="8"/>
      <c r="W151" s="8"/>
      <c r="X151" s="8"/>
      <c r="Y151" s="8"/>
      <c r="Z151" s="7"/>
      <c r="AA151" s="7"/>
      <c r="AB151" s="7"/>
    </row>
    <row r="152" ht="15.75" customHeight="1">
      <c r="A152" s="8">
        <f>IFERROR(__xludf.DUMMYFUNCTION("""COMPUTED_VALUE"""),1726.0)</f>
        <v>1726</v>
      </c>
      <c r="B152" s="9" t="str">
        <f>IFERROR(__xludf.DUMMYFUNCTION("""COMPUTED_VALUE"""),"確定")</f>
        <v>確定</v>
      </c>
      <c r="C152" s="10">
        <f>IFERROR(__xludf.DUMMYFUNCTION("""COMPUTED_VALUE"""),44970.0)</f>
        <v>44970</v>
      </c>
      <c r="D152" s="10">
        <f>IFERROR(__xludf.DUMMYFUNCTION("""COMPUTED_VALUE"""),44978.0)</f>
        <v>44978</v>
      </c>
      <c r="E152" s="8">
        <f>IFERROR(__xludf.DUMMYFUNCTION("""COMPUTED_VALUE"""),263607.0)</f>
        <v>263607</v>
      </c>
      <c r="F152" s="9" t="str">
        <f>IFERROR(__xludf.DUMMYFUNCTION("""COMPUTED_VALUE"""),"アクマと僕")</f>
        <v>アクマと僕</v>
      </c>
      <c r="G152" s="11" t="str">
        <f>IFERROR(__xludf.DUMMYFUNCTION("""COMPUTED_VALUE"""),"1～3")</f>
        <v>1～3</v>
      </c>
      <c r="H152" s="8" t="str">
        <f>IFERROR(__xludf.DUMMYFUNCTION("""COMPUTED_VALUE"""),"犬塚ぬい")</f>
        <v>犬塚ぬい</v>
      </c>
      <c r="I152" s="14" t="str">
        <f>IFERROR(__xludf.DUMMYFUNCTION("""COMPUTED_VALUE"""),"青年")</f>
        <v>青年</v>
      </c>
      <c r="J152" s="8"/>
      <c r="K152" s="8"/>
      <c r="L152" s="8" t="str">
        <f>IFERROR(__xludf.DUMMYFUNCTION("""COMPUTED_VALUE"""),"MUGENUP")</f>
        <v>MUGENUP</v>
      </c>
      <c r="M152" s="12">
        <f>IFERROR(__xludf.DUMMYFUNCTION("""COMPUTED_VALUE"""),44992.0)</f>
        <v>44992</v>
      </c>
      <c r="N152" s="12" t="str">
        <f>IFERROR(__xludf.DUMMYFUNCTION("""COMPUTED_VALUE"""),"出稿不可⇒1ヶ月、出稿可⇒3ヶ月")</f>
        <v>出稿不可⇒1ヶ月、出稿可⇒3ヶ月</v>
      </c>
      <c r="O152" s="11"/>
      <c r="P152" s="9" t="str">
        <f>IFERROR(__xludf.DUMMYFUNCTION("""COMPUTED_VALUE"""),"可")</f>
        <v>可</v>
      </c>
      <c r="Q152" s="8" t="str">
        <f>IFERROR(__xludf.DUMMYFUNCTION("""COMPUTED_VALUE"""),"広告コミットOK（2/17）&lt;BR&gt;&lt;BR&gt;1話のみカラー、2話目以降はモノクロになります。&lt;BR&gt;")</f>
        <v>広告コミットOK（2/17）&lt;BR&gt;&lt;BR&gt;1話のみカラー、2話目以降はモノクロになります。&lt;BR&gt;</v>
      </c>
      <c r="R152" s="9" t="str">
        <f>IFERROR(__xludf.DUMMYFUNCTION("""COMPUTED_VALUE"""),"納品済み（素材フォルダに格納）")</f>
        <v>納品済み（素材フォルダに格納）</v>
      </c>
      <c r="S152" s="8" t="str">
        <f>IFERROR(__xludf.DUMMYFUNCTION("""COMPUTED_VALUE"""),"20230213_MUGENUP_アクマと僕")</f>
        <v>20230213_MUGENUP_アクマと僕</v>
      </c>
      <c r="T152" s="9"/>
      <c r="U152" s="9" t="str">
        <f>IFERROR(__xludf.DUMMYFUNCTION("""COMPUTED_VALUE"""),"©犬塚ぬい／MUGENUP")</f>
        <v>©犬塚ぬい／MUGENUP</v>
      </c>
      <c r="V152" s="8"/>
      <c r="W152" s="8"/>
      <c r="X152" s="8"/>
      <c r="Y152" s="8"/>
      <c r="Z152" s="7"/>
      <c r="AA152" s="7"/>
      <c r="AB152" s="7"/>
    </row>
    <row r="153" ht="15.75" customHeight="1">
      <c r="A153" s="8">
        <f>IFERROR(__xludf.DUMMYFUNCTION("""COMPUTED_VALUE"""),1644.0)</f>
        <v>1644</v>
      </c>
      <c r="B153" s="9" t="str">
        <f>IFERROR(__xludf.DUMMYFUNCTION("""COMPUTED_VALUE"""),"確定")</f>
        <v>確定</v>
      </c>
      <c r="C153" s="10">
        <f>IFERROR(__xludf.DUMMYFUNCTION("""COMPUTED_VALUE"""),44937.0)</f>
        <v>44937</v>
      </c>
      <c r="D153" s="10">
        <f>IFERROR(__xludf.DUMMYFUNCTION("""COMPUTED_VALUE"""),44937.0)</f>
        <v>44937</v>
      </c>
      <c r="E153" s="8">
        <f>IFERROR(__xludf.DUMMYFUNCTION("""COMPUTED_VALUE"""),227174.0)</f>
        <v>227174</v>
      </c>
      <c r="F153" s="9" t="str">
        <f>IFERROR(__xludf.DUMMYFUNCTION("""COMPUTED_VALUE"""),"ハメ×トレ2 -スポーツ系美少女たちとのエロハメトレーニング-")</f>
        <v>ハメ×トレ2 -スポーツ系美少女たちとのエロハメトレーニング-</v>
      </c>
      <c r="G153" s="11" t="str">
        <f>IFERROR(__xludf.DUMMYFUNCTION("""COMPUTED_VALUE"""),"9～16")</f>
        <v>9～16</v>
      </c>
      <c r="H153" s="8" t="str">
        <f>IFERROR(__xludf.DUMMYFUNCTION("""COMPUTED_VALUE"""),"diletta")</f>
        <v>diletta</v>
      </c>
      <c r="I153" s="8" t="str">
        <f>IFERROR(__xludf.DUMMYFUNCTION("""COMPUTED_VALUE"""),"オトナ")</f>
        <v>オトナ</v>
      </c>
      <c r="J153" s="8"/>
      <c r="K153" s="8"/>
      <c r="L153" s="8" t="str">
        <f>IFERROR(__xludf.DUMMYFUNCTION("""COMPUTED_VALUE"""),"ブリック出版")</f>
        <v>ブリック出版</v>
      </c>
      <c r="M153" s="12">
        <f>IFERROR(__xludf.DUMMYFUNCTION("""COMPUTED_VALUE"""),44995.0)</f>
        <v>44995</v>
      </c>
      <c r="N153" s="12">
        <f>IFERROR(__xludf.DUMMYFUNCTION("""COMPUTED_VALUE"""),45022.0)</f>
        <v>45022</v>
      </c>
      <c r="O153" s="11"/>
      <c r="P153" s="9" t="str">
        <f>IFERROR(__xludf.DUMMYFUNCTION("""COMPUTED_VALUE"""),"可")</f>
        <v>可</v>
      </c>
      <c r="Q153" s="8" t="str">
        <f>IFERROR(__xludf.DUMMYFUNCTION("""COMPUTED_VALUE"""),"出稿可であれば先行確約です。
※続刊の9～16巻目が先行対象です。")</f>
        <v>出稿可であれば先行確約です。
※続刊の9～16巻目が先行対象です。</v>
      </c>
      <c r="R153" s="9"/>
      <c r="S153" s="8" t="str">
        <f>IFERROR(__xludf.DUMMYFUNCTION("""COMPUTED_VALUE"""),"20230111_BookLive_ハメ×トレ-スポーツ系美少女たちとのエロハメトレーニング-")</f>
        <v>20230111_BookLive_ハメ×トレ-スポーツ系美少女たちとのエロハメトレーニング-</v>
      </c>
      <c r="T153" s="9"/>
      <c r="U153" s="9" t="str">
        <f>IFERROR(__xludf.DUMMYFUNCTION("""COMPUTED_VALUE"""),"©ブリック出版")</f>
        <v>©ブリック出版</v>
      </c>
      <c r="V153" s="8" t="str">
        <f>IFERROR(__xludf.DUMMYFUNCTION("""COMPUTED_VALUE"""),"ヒロイン達の通う学園の近くでアスリート向けの整体＆メンタルケアを行う整体師が、
少女達の悩みをマッサージ＆セックスで解決する！
※本作は同人CG集作品の電子書籍版となります。
")</f>
        <v>ヒロイン達の通う学園の近くでアスリート向けの整体＆メンタルケアを行う整体師が、
少女達の悩みをマッサージ＆セックスで解決する！
※本作は同人CG集作品の電子書籍版となります。
</v>
      </c>
      <c r="W153" s="8"/>
      <c r="X153" s="8" t="str">
        <f>IFERROR(__xludf.DUMMYFUNCTION("""COMPUTED_VALUE"""),"有")</f>
        <v>有</v>
      </c>
      <c r="Y153" s="8" t="str">
        <f>IFERROR(__xludf.DUMMYFUNCTION("""COMPUTED_VALUE"""),"P26まで")</f>
        <v>P26まで</v>
      </c>
      <c r="Z153" s="7"/>
      <c r="AA153" s="7"/>
      <c r="AB153" s="7"/>
    </row>
    <row r="154" ht="15.75" customHeight="1">
      <c r="A154" s="8">
        <f>IFERROR(__xludf.DUMMYFUNCTION("""COMPUTED_VALUE"""),1702.0)</f>
        <v>1702</v>
      </c>
      <c r="B154" s="9" t="str">
        <f>IFERROR(__xludf.DUMMYFUNCTION("""COMPUTED_VALUE"""),"確定")</f>
        <v>確定</v>
      </c>
      <c r="C154" s="10">
        <f>IFERROR(__xludf.DUMMYFUNCTION("""COMPUTED_VALUE"""),44964.0)</f>
        <v>44964</v>
      </c>
      <c r="D154" s="10">
        <f>IFERROR(__xludf.DUMMYFUNCTION("""COMPUTED_VALUE"""),44964.0)</f>
        <v>44964</v>
      </c>
      <c r="E154" s="8">
        <f>IFERROR(__xludf.DUMMYFUNCTION("""COMPUTED_VALUE"""),250583.0)</f>
        <v>250583</v>
      </c>
      <c r="F154" s="9" t="str">
        <f>IFERROR(__xludf.DUMMYFUNCTION("""COMPUTED_VALUE"""),"逢いにきました、先生")</f>
        <v>逢いにきました、先生</v>
      </c>
      <c r="G154" s="11">
        <f>IFERROR(__xludf.DUMMYFUNCTION("""COMPUTED_VALUE"""),1.0)</f>
        <v>1</v>
      </c>
      <c r="H154" s="8" t="str">
        <f>IFERROR(__xludf.DUMMYFUNCTION("""COMPUTED_VALUE"""),"七緒")</f>
        <v>七緒</v>
      </c>
      <c r="I154" s="8" t="str">
        <f>IFERROR(__xludf.DUMMYFUNCTION("""COMPUTED_VALUE"""),"BL")</f>
        <v>BL</v>
      </c>
      <c r="J154" s="8"/>
      <c r="K154" s="8"/>
      <c r="L154" s="8" t="str">
        <f>IFERROR(__xludf.DUMMYFUNCTION("""COMPUTED_VALUE"""),"ソルマーレ編集部")</f>
        <v>ソルマーレ編集部</v>
      </c>
      <c r="M154" s="12">
        <f>IFERROR(__xludf.DUMMYFUNCTION("""COMPUTED_VALUE"""),44995.0)</f>
        <v>44995</v>
      </c>
      <c r="N154" s="12">
        <f>IFERROR(__xludf.DUMMYFUNCTION("""COMPUTED_VALUE"""),45106.66666666667)</f>
        <v>45106.66667</v>
      </c>
      <c r="O154" s="11"/>
      <c r="P154" s="9" t="str">
        <f>IFERROR(__xludf.DUMMYFUNCTION("""COMPUTED_VALUE"""),"可")</f>
        <v>可</v>
      </c>
      <c r="Q154" s="8" t="str">
        <f>IFERROR(__xludf.DUMMYFUNCTION("""COMPUTED_VALUE"""),"※正式タイトル下記の通りです（2/7）&lt;BR&gt;＝＝＝&lt;BR&gt;逢いにきました、先生&lt;BR&gt;＝＝＝&lt;BR&gt;※本作品はFicus Party 4th朗読イベント作品です")</f>
        <v>※正式タイトル下記の通りです（2/7）&lt;BR&gt;＝＝＝&lt;BR&gt;逢いにきました、先生&lt;BR&gt;＝＝＝&lt;BR&gt;※本作品はFicus Party 4th朗読イベント作品です</v>
      </c>
      <c r="R154" s="9"/>
      <c r="S154" s="8" t="str">
        <f>IFERROR(__xludf.DUMMYFUNCTION("""COMPUTED_VALUE"""),"20230206_ソルマーレ編集部_逢いにきました、先生")</f>
        <v>20230206_ソルマーレ編集部_逢いにきました、先生</v>
      </c>
      <c r="T154" s="15"/>
      <c r="U154" s="9" t="str">
        <f>IFERROR(__xludf.DUMMYFUNCTION("""COMPUTED_VALUE"""),"Ⓒ 七緒/シーモアコミックス")</f>
        <v>Ⓒ 七緒/シーモアコミックス</v>
      </c>
      <c r="V154" s="8" t="str">
        <f>IFERROR(__xludf.DUMMYFUNCTION("""COMPUTED_VALUE"""),"高校の卒業式。三年間想い続けた広田先生に告白し、あっさり振られた千春。それから数年後――自身も教師となった千春は、教師を辞めて離島で暮らすという広田先生の元を訪れる。告白の時にとりつけた、ある約束を果たしてもらうために…。「変わってないな、お前は」少し意地悪で、でも変わらず優しい言葉をかけてくる広田先生。千春の胸は再び甘く締めつけられて…？ 不器用で遠回りな二人の、十年恋。 【フィカス】")</f>
        <v>高校の卒業式。三年間想い続けた広田先生に告白し、あっさり振られた千春。それから数年後――自身も教師となった千春は、教師を辞めて離島で暮らすという広田先生の元を訪れる。告白の時にとりつけた、ある約束を果たしてもらうために…。「変わってないな、お前は」少し意地悪で、でも変わらず優しい言葉をかけてくる広田先生。千春の胸は再び甘く締めつけられて…？ 不器用で遠回りな二人の、十年恋。 【フィカス】</v>
      </c>
      <c r="W154" s="8"/>
      <c r="X154" s="8" t="str">
        <f>IFERROR(__xludf.DUMMYFUNCTION("""COMPUTED_VALUE"""),"有")</f>
        <v>有</v>
      </c>
      <c r="Y154" s="8" t="str">
        <f>IFERROR(__xludf.DUMMYFUNCTION("""COMPUTED_VALUE"""),"P14まで")</f>
        <v>P14まで</v>
      </c>
      <c r="Z154" s="7"/>
      <c r="AA154" s="7"/>
      <c r="AB154" s="7"/>
    </row>
    <row r="155" ht="15.75" customHeight="1">
      <c r="A155" s="8">
        <f>IFERROR(__xludf.DUMMYFUNCTION("""COMPUTED_VALUE"""),1698.0)</f>
        <v>1698</v>
      </c>
      <c r="B155" s="9" t="str">
        <f>IFERROR(__xludf.DUMMYFUNCTION("""COMPUTED_VALUE"""),"確定")</f>
        <v>確定</v>
      </c>
      <c r="C155" s="10">
        <f>IFERROR(__xludf.DUMMYFUNCTION("""COMPUTED_VALUE"""),44963.0)</f>
        <v>44963</v>
      </c>
      <c r="D155" s="10">
        <f>IFERROR(__xludf.DUMMYFUNCTION("""COMPUTED_VALUE"""),44963.0)</f>
        <v>44963</v>
      </c>
      <c r="E155" s="8">
        <f>IFERROR(__xludf.DUMMYFUNCTION("""COMPUTED_VALUE"""),254633.0)</f>
        <v>254633</v>
      </c>
      <c r="F155" s="9" t="str">
        <f>IFERROR(__xludf.DUMMYFUNCTION("""COMPUTED_VALUE"""),"常連さんは今日も俺のごはんが好き")</f>
        <v>常連さんは今日も俺のごはんが好き</v>
      </c>
      <c r="G155" s="11">
        <f>IFERROR(__xludf.DUMMYFUNCTION("""COMPUTED_VALUE"""),1.0)</f>
        <v>1</v>
      </c>
      <c r="H155" s="8" t="str">
        <f>IFERROR(__xludf.DUMMYFUNCTION("""COMPUTED_VALUE"""),"黒田くろた")</f>
        <v>黒田くろた</v>
      </c>
      <c r="I155" s="8" t="str">
        <f>IFERROR(__xludf.DUMMYFUNCTION("""COMPUTED_VALUE"""),"BL")</f>
        <v>BL</v>
      </c>
      <c r="J155" s="8"/>
      <c r="K155" s="8"/>
      <c r="L155" s="8" t="str">
        <f>IFERROR(__xludf.DUMMYFUNCTION("""COMPUTED_VALUE"""),"ソルマーレ編集部")</f>
        <v>ソルマーレ編集部</v>
      </c>
      <c r="M155" s="12">
        <f>IFERROR(__xludf.DUMMYFUNCTION("""COMPUTED_VALUE"""),44995.0)</f>
        <v>44995</v>
      </c>
      <c r="N155" s="12">
        <f>IFERROR(__xludf.DUMMYFUNCTION("""COMPUTED_VALUE"""),45106.66666666667)</f>
        <v>45106.66667</v>
      </c>
      <c r="O155" s="11"/>
      <c r="P155" s="9" t="str">
        <f>IFERROR(__xludf.DUMMYFUNCTION("""COMPUTED_VALUE"""),"可")</f>
        <v>可</v>
      </c>
      <c r="Q155" s="8" t="str">
        <f>IFERROR(__xludf.DUMMYFUNCTION("""COMPUTED_VALUE"""),"※正式タイトル下記の通りです（2/6）&lt;BR&gt;＝＝＝&lt;BR&gt;常連さんは今日も俺のごはんが好き &lt;BR&gt;＝＝＝&lt;BR&gt;※本作品はFicus Party 4th朗読イベント作品です")</f>
        <v>※正式タイトル下記の通りです（2/6）&lt;BR&gt;＝＝＝&lt;BR&gt;常連さんは今日も俺のごはんが好き &lt;BR&gt;＝＝＝&lt;BR&gt;※本作品はFicus Party 4th朗読イベント作品です</v>
      </c>
      <c r="R155" s="9"/>
      <c r="S155" s="8" t="str">
        <f>IFERROR(__xludf.DUMMYFUNCTION("""COMPUTED_VALUE"""),"20230206_ソルマーレ編集部_常連さんは今日も俺のごはんが好き")</f>
        <v>20230206_ソルマーレ編集部_常連さんは今日も俺のごはんが好き</v>
      </c>
      <c r="T155" s="15"/>
      <c r="U155" s="9" t="str">
        <f>IFERROR(__xludf.DUMMYFUNCTION("""COMPUTED_VALUE"""),"Ⓒ 黒田くろた/シーモアコミックス")</f>
        <v>Ⓒ 黒田くろた/シーモアコミックス</v>
      </c>
      <c r="V155" s="8" t="str">
        <f>IFERROR(__xludf.DUMMYFUNCTION("""COMPUTED_VALUE"""),"父から継いだ定食屋兼居酒屋をきりもりする日々を送っている五十嵐は常連の見習い大工さんの空くんに密かに片想い中。そんなある日、なんと空くんから「休みの日、俺と遊びにいかねぇ？」とお誘いが…！浮かれる気持ちとは裏腹に、五十嵐のとある過去が原因で事態は思わぬ方向に…？幸薄系優男×ワンコ系年下男子の胸キュンすれ違いストーリー。【フィカス】
")</f>
        <v>父から継いだ定食屋兼居酒屋をきりもりする日々を送っている五十嵐は常連の見習い大工さんの空くんに密かに片想い中。そんなある日、なんと空くんから「休みの日、俺と遊びにいかねぇ？」とお誘いが…！浮かれる気持ちとは裏腹に、五十嵐のとある過去が原因で事態は思わぬ方向に…？幸薄系優男×ワンコ系年下男子の胸キュンすれ違いストーリー。【フィカス】
</v>
      </c>
      <c r="W155" s="8"/>
      <c r="X155" s="8" t="str">
        <f>IFERROR(__xludf.DUMMYFUNCTION("""COMPUTED_VALUE"""),"有")</f>
        <v>有</v>
      </c>
      <c r="Y155" s="8" t="str">
        <f>IFERROR(__xludf.DUMMYFUNCTION("""COMPUTED_VALUE"""),"P11まで")</f>
        <v>P11まで</v>
      </c>
      <c r="Z155" s="7"/>
      <c r="AA155" s="7"/>
      <c r="AB155" s="7"/>
    </row>
    <row r="156" ht="15.75" customHeight="1">
      <c r="A156" s="8">
        <f>IFERROR(__xludf.DUMMYFUNCTION("""COMPUTED_VALUE"""),1696.0)</f>
        <v>1696</v>
      </c>
      <c r="B156" s="9" t="str">
        <f>IFERROR(__xludf.DUMMYFUNCTION("""COMPUTED_VALUE"""),"確定")</f>
        <v>確定</v>
      </c>
      <c r="C156" s="10">
        <f>IFERROR(__xludf.DUMMYFUNCTION("""COMPUTED_VALUE"""),44963.0)</f>
        <v>44963</v>
      </c>
      <c r="D156" s="10">
        <f>IFERROR(__xludf.DUMMYFUNCTION("""COMPUTED_VALUE"""),44963.0)</f>
        <v>44963</v>
      </c>
      <c r="E156" s="8">
        <f>IFERROR(__xludf.DUMMYFUNCTION("""COMPUTED_VALUE"""),256397.0)</f>
        <v>256397</v>
      </c>
      <c r="F156" s="9" t="str">
        <f>IFERROR(__xludf.DUMMYFUNCTION("""COMPUTED_VALUE"""),"しもべの王子様")</f>
        <v>しもべの王子様</v>
      </c>
      <c r="G156" s="11">
        <f>IFERROR(__xludf.DUMMYFUNCTION("""COMPUTED_VALUE"""),1.0)</f>
        <v>1</v>
      </c>
      <c r="H156" s="8" t="str">
        <f>IFERROR(__xludf.DUMMYFUNCTION("""COMPUTED_VALUE"""),"たつもとみお")</f>
        <v>たつもとみお</v>
      </c>
      <c r="I156" s="8" t="str">
        <f>IFERROR(__xludf.DUMMYFUNCTION("""COMPUTED_VALUE"""),"BL")</f>
        <v>BL</v>
      </c>
      <c r="J156" s="8"/>
      <c r="K156" s="8"/>
      <c r="L156" s="8" t="str">
        <f>IFERROR(__xludf.DUMMYFUNCTION("""COMPUTED_VALUE"""),"ソルマーレ編集部")</f>
        <v>ソルマーレ編集部</v>
      </c>
      <c r="M156" s="12">
        <f>IFERROR(__xludf.DUMMYFUNCTION("""COMPUTED_VALUE"""),44995.0)</f>
        <v>44995</v>
      </c>
      <c r="N156" s="12">
        <f>IFERROR(__xludf.DUMMYFUNCTION("""COMPUTED_VALUE"""),45106.66666666667)</f>
        <v>45106.66667</v>
      </c>
      <c r="O156" s="11"/>
      <c r="P156" s="9" t="str">
        <f>IFERROR(__xludf.DUMMYFUNCTION("""COMPUTED_VALUE"""),"可")</f>
        <v>可</v>
      </c>
      <c r="Q156" s="8" t="str">
        <f>IFERROR(__xludf.DUMMYFUNCTION("""COMPUTED_VALUE"""),"※正式タイトル下記の通りです（2/6）&lt;BR&gt;＝＝＝&lt;BR&gt;しもべの王子様&lt;BR&gt;＝＝＝&lt;BR&gt;※本作品はFicus Party 4th朗読イベント作品です")</f>
        <v>※正式タイトル下記の通りです（2/6）&lt;BR&gt;＝＝＝&lt;BR&gt;しもべの王子様&lt;BR&gt;＝＝＝&lt;BR&gt;※本作品はFicus Party 4th朗読イベント作品です</v>
      </c>
      <c r="R156" s="9"/>
      <c r="S156" s="8" t="str">
        <f>IFERROR(__xludf.DUMMYFUNCTION("""COMPUTED_VALUE"""),"20230206_ソルマーレ編集部_しもべの王子様")</f>
        <v>20230206_ソルマーレ編集部_しもべの王子様</v>
      </c>
      <c r="T156" s="15"/>
      <c r="U156" s="9" t="str">
        <f>IFERROR(__xludf.DUMMYFUNCTION("""COMPUTED_VALUE"""),"Ⓒ たつもとみお/シーモアコミックス")</f>
        <v>Ⓒ たつもとみお/シーモアコミックス</v>
      </c>
      <c r="V156" s="8" t="str">
        <f>IFERROR(__xludf.DUMMYFUNCTION("""COMPUTED_VALUE"""),"社長令息・文武両道・校内ヒエラルキートップの直也。一方、陰キャ底辺の高明は直也からパシリにされていた。ジュースを買いにいかせることは日常茶飯事、要求はエスカレートして足舐めを命令するも、高明は素直に従うのだった。それから月日は流れ、直也は会社経営を失敗し全てを失い無職に、高明はベンチャー企業の社長になり、社会的立場は完全に逆転していた。けれど情けなくも滑稽な関係性は続いていて――？ 10年越しの主従関係と恋の物語。【フィカス】")</f>
        <v>社長令息・文武両道・校内ヒエラルキートップの直也。一方、陰キャ底辺の高明は直也からパシリにされていた。ジュースを買いにいかせることは日常茶飯事、要求はエスカレートして足舐めを命令するも、高明は素直に従うのだった。それから月日は流れ、直也は会社経営を失敗し全てを失い無職に、高明はベンチャー企業の社長になり、社会的立場は完全に逆転していた。けれど情けなくも滑稽な関係性は続いていて――？ 10年越しの主従関係と恋の物語。【フィカス】</v>
      </c>
      <c r="W156" s="8"/>
      <c r="X156" s="8" t="str">
        <f>IFERROR(__xludf.DUMMYFUNCTION("""COMPUTED_VALUE"""),"有")</f>
        <v>有</v>
      </c>
      <c r="Y156" s="8" t="str">
        <f>IFERROR(__xludf.DUMMYFUNCTION("""COMPUTED_VALUE"""),"P10まで")</f>
        <v>P10まで</v>
      </c>
      <c r="Z156" s="7"/>
      <c r="AA156" s="7"/>
      <c r="AB156" s="7"/>
    </row>
    <row r="157" ht="147.0" customHeight="1">
      <c r="A157" s="8">
        <f>IFERROR(__xludf.DUMMYFUNCTION("""COMPUTED_VALUE"""),1759.0)</f>
        <v>1759</v>
      </c>
      <c r="B157" s="9" t="str">
        <f>IFERROR(__xludf.DUMMYFUNCTION("""COMPUTED_VALUE"""),"確定")</f>
        <v>確定</v>
      </c>
      <c r="C157" s="10">
        <f>IFERROR(__xludf.DUMMYFUNCTION("""COMPUTED_VALUE"""),44984.0)</f>
        <v>44984</v>
      </c>
      <c r="D157" s="10">
        <f>IFERROR(__xludf.DUMMYFUNCTION("""COMPUTED_VALUE"""),44984.0)</f>
        <v>44984</v>
      </c>
      <c r="E157" s="8">
        <f>IFERROR(__xludf.DUMMYFUNCTION("""COMPUTED_VALUE"""),263913.0)</f>
        <v>263913</v>
      </c>
      <c r="F157" s="9" t="str">
        <f>IFERROR(__xludf.DUMMYFUNCTION("""COMPUTED_VALUE"""),"振り向いてつかまえて")</f>
        <v>振り向いてつかまえて</v>
      </c>
      <c r="G157" s="11">
        <f>IFERROR(__xludf.DUMMYFUNCTION("""COMPUTED_VALUE"""),1.0)</f>
        <v>1</v>
      </c>
      <c r="H157" s="8" t="str">
        <f>IFERROR(__xludf.DUMMYFUNCTION("""COMPUTED_VALUE"""),"依子")</f>
        <v>依子</v>
      </c>
      <c r="I157" s="8" t="str">
        <f>IFERROR(__xludf.DUMMYFUNCTION("""COMPUTED_VALUE"""),"BL")</f>
        <v>BL</v>
      </c>
      <c r="J157" s="8"/>
      <c r="K157" s="8"/>
      <c r="L157" s="8" t="str">
        <f>IFERROR(__xludf.DUMMYFUNCTION("""COMPUTED_VALUE"""),"from RED")</f>
        <v>from RED</v>
      </c>
      <c r="M157" s="12">
        <f>IFERROR(__xludf.DUMMYFUNCTION("""COMPUTED_VALUE"""),44995.0)</f>
        <v>44995</v>
      </c>
      <c r="N157" s="12">
        <f>IFERROR(__xludf.DUMMYFUNCTION("""COMPUTED_VALUE"""),45029.0)</f>
        <v>45029</v>
      </c>
      <c r="O157" s="11"/>
      <c r="P157" s="9" t="str">
        <f>IFERROR(__xludf.DUMMYFUNCTION("""COMPUTED_VALUE"""),"可")</f>
        <v>可</v>
      </c>
      <c r="Q157" s="8"/>
      <c r="R157" s="9"/>
      <c r="S157" s="8" t="str">
        <f>IFERROR(__xludf.DUMMYFUNCTION("""COMPUTED_VALUE"""),"20230227_fromRED_振り向いてつかまえて")</f>
        <v>20230227_fromRED_振り向いてつかまえて</v>
      </c>
      <c r="T157" s="9"/>
      <c r="U157" s="9" t="str">
        <f>IFERROR(__xludf.DUMMYFUNCTION("""COMPUTED_VALUE"""),"「振り向いてつかまえて」©依子/from RED")</f>
        <v>「振り向いてつかまえて」©依子/from RED</v>
      </c>
      <c r="V157" s="8" t="str">
        <f>IFERROR(__xludf.DUMMYFUNCTION("""COMPUTED_VALUE"""),"失恋して傷心中の陽向のもとに、6歳下の幼なじみ・郎が転がり込んできた。
郎は陽向の失恋相手・誠の弟で、陽向にとってもかわいい弟のような存在。年上の陽向を強引な態度で翻弄してくるくせに、甘えたで懐に入るのが上手く、なんだかんだでいつも受け入れてしまう…。
そんな“かわいい弟”だった郎に、雄の顔で迫られる日が来るなんて…！？
「俺はお前を抱きたいんだよ」
年下ワンコの猛追開始！ 一方通行片想いからはじまる、【隠れ一途な俺様年下攻×傷心ほだされリーマン】の年の差×幼なじみBL！")</f>
        <v>失恋して傷心中の陽向のもとに、6歳下の幼なじみ・郎が転がり込んできた。
郎は陽向の失恋相手・誠の弟で、陽向にとってもかわいい弟のような存在。年上の陽向を強引な態度で翻弄してくるくせに、甘えたで懐に入るのが上手く、なんだかんだでいつも受け入れてしまう…。
そんな“かわいい弟”だった郎に、雄の顔で迫られる日が来るなんて…！？
「俺はお前を抱きたいんだよ」
年下ワンコの猛追開始！ 一方通行片想いからはじまる、【隠れ一途な俺様年下攻×傷心ほだされリーマン】の年の差×幼なじみBL！</v>
      </c>
      <c r="W157" s="8"/>
      <c r="X157" s="8" t="str">
        <f>IFERROR(__xludf.DUMMYFUNCTION("""COMPUTED_VALUE"""),"有")</f>
        <v>有</v>
      </c>
      <c r="Y157" s="8" t="str">
        <f>IFERROR(__xludf.DUMMYFUNCTION("""COMPUTED_VALUE"""),"P7まで")</f>
        <v>P7まで</v>
      </c>
      <c r="Z157" s="7"/>
      <c r="AA157" s="7"/>
      <c r="AB157" s="7"/>
    </row>
    <row r="158" ht="15.75" customHeight="1">
      <c r="A158" s="8">
        <f>IFERROR(__xludf.DUMMYFUNCTION("""COMPUTED_VALUE"""),1704.0)</f>
        <v>1704</v>
      </c>
      <c r="B158" s="9" t="str">
        <f>IFERROR(__xludf.DUMMYFUNCTION("""COMPUTED_VALUE"""),"確定")</f>
        <v>確定</v>
      </c>
      <c r="C158" s="10">
        <f>IFERROR(__xludf.DUMMYFUNCTION("""COMPUTED_VALUE"""),44964.0)</f>
        <v>44964</v>
      </c>
      <c r="D158" s="10">
        <f>IFERROR(__xludf.DUMMYFUNCTION("""COMPUTED_VALUE"""),44964.0)</f>
        <v>44964</v>
      </c>
      <c r="E158" s="8">
        <f>IFERROR(__xludf.DUMMYFUNCTION("""COMPUTED_VALUE"""),252926.0)</f>
        <v>252926</v>
      </c>
      <c r="F158" s="9" t="str">
        <f>IFERROR(__xludf.DUMMYFUNCTION("""COMPUTED_VALUE"""),"陰キャですがハイスぺドクターに溺愛求婚されてます")</f>
        <v>陰キャですがハイスぺドクターに溺愛求婚されてます</v>
      </c>
      <c r="G158" s="11" t="str">
        <f>IFERROR(__xludf.DUMMYFUNCTION("""COMPUTED_VALUE"""),"1～3")</f>
        <v>1～3</v>
      </c>
      <c r="H158" s="8" t="str">
        <f>IFERROR(__xludf.DUMMYFUNCTION("""COMPUTED_VALUE"""),"花田朔生")</f>
        <v>花田朔生</v>
      </c>
      <c r="I158" s="8" t="str">
        <f>IFERROR(__xludf.DUMMYFUNCTION("""COMPUTED_VALUE"""),"BL")</f>
        <v>BL</v>
      </c>
      <c r="J158" s="8"/>
      <c r="K158" s="8"/>
      <c r="L158" s="8" t="str">
        <f>IFERROR(__xludf.DUMMYFUNCTION("""COMPUTED_VALUE"""),"ソルマーレ編集部")</f>
        <v>ソルマーレ編集部</v>
      </c>
      <c r="M158" s="12">
        <f>IFERROR(__xludf.DUMMYFUNCTION("""COMPUTED_VALUE"""),44996.0)</f>
        <v>44996</v>
      </c>
      <c r="N158" s="12">
        <f>IFERROR(__xludf.DUMMYFUNCTION("""COMPUTED_VALUE"""),45057.0)</f>
        <v>45057</v>
      </c>
      <c r="O158" s="11"/>
      <c r="P158" s="9" t="str">
        <f>IFERROR(__xludf.DUMMYFUNCTION("""COMPUTED_VALUE"""),"可")</f>
        <v>可</v>
      </c>
      <c r="Q158" s="8" t="str">
        <f>IFERROR(__xludf.DUMMYFUNCTION("""COMPUTED_VALUE"""),"※正式タイトル下記の通りです（2/7）&lt;BR&gt;＝＝＝&lt;BR&gt;陰キャですがハイスぺドクターに溺愛求婚されてます&lt;BR&gt;＝＝＝&lt;BR&gt;&lt;BR&gt;初回配信3巻ですが2/7現在、完成間に合っておらず2巻までのみ完成素材格納。&lt;BR&gt;3巻は2/8納品予定です。")</f>
        <v>※正式タイトル下記の通りです（2/7）&lt;BR&gt;＝＝＝&lt;BR&gt;陰キャですがハイスぺドクターに溺愛求婚されてます&lt;BR&gt;＝＝＝&lt;BR&gt;&lt;BR&gt;初回配信3巻ですが2/7現在、完成間に合っておらず2巻までのみ完成素材格納。&lt;BR&gt;3巻は2/8納品予定です。</v>
      </c>
      <c r="R158" s="9"/>
      <c r="S158" s="8" t="str">
        <f>IFERROR(__xludf.DUMMYFUNCTION("""COMPUTED_VALUE"""),"20230206_ソルマーレ編集部_陰キャですがハイスぺドクターに溺愛求婚されてます")</f>
        <v>20230206_ソルマーレ編集部_陰キャですがハイスぺドクターに溺愛求婚されてます</v>
      </c>
      <c r="T158" s="15"/>
      <c r="U158" s="9" t="str">
        <f>IFERROR(__xludf.DUMMYFUNCTION("""COMPUTED_VALUE"""),"Ⓒ 花田朔生/シーモアコミックス")</f>
        <v>Ⓒ 花田朔生/シーモアコミックス</v>
      </c>
      <c r="V158" s="8" t="str">
        <f>IFERROR(__xludf.DUMMYFUNCTION("""COMPUTED_VALUE"""),"「いっそのこと俺とする？結婚」「えっ!?」
薬剤師として働く俺、影山は地味で陰キャの超非モテだが、幼なじみの光村健将は医師でありながら顔よし・性格よし・家柄よしの超モテ男。そんなモテ男・光村はなぜか昔から仲よくしてくれて、今でも毎週末飲む仲で――…そんなある日、光村が影山にあることをして…ハイスぺモテ男×陰キャ男子の不器用な恋の物語。【フィカス】
")</f>
        <v>「いっそのこと俺とする？結婚」「えっ!?」
薬剤師として働く俺、影山は地味で陰キャの超非モテだが、幼なじみの光村健将は医師でありながら顔よし・性格よし・家柄よしの超モテ男。そんなモテ男・光村はなぜか昔から仲よくしてくれて、今でも毎週末飲む仲で――…そんなある日、光村が影山にあることをして…ハイスぺモテ男×陰キャ男子の不器用な恋の物語。【フィカス】
</v>
      </c>
      <c r="W158" s="8"/>
      <c r="X158" s="8" t="str">
        <f>IFERROR(__xludf.DUMMYFUNCTION("""COMPUTED_VALUE"""),"有")</f>
        <v>有</v>
      </c>
      <c r="Y158" s="8" t="str">
        <f>IFERROR(__xludf.DUMMYFUNCTION("""COMPUTED_VALUE"""),"1巻目無料")</f>
        <v>1巻目無料</v>
      </c>
      <c r="Z158" s="7"/>
      <c r="AA158" s="7"/>
      <c r="AB158" s="7"/>
    </row>
    <row r="159" ht="15.75" customHeight="1">
      <c r="A159" s="8">
        <f>IFERROR(__xludf.DUMMYFUNCTION("""COMPUTED_VALUE"""),1705.0)</f>
        <v>1705</v>
      </c>
      <c r="B159" s="9" t="str">
        <f>IFERROR(__xludf.DUMMYFUNCTION("""COMPUTED_VALUE"""),"確定")</f>
        <v>確定</v>
      </c>
      <c r="C159" s="10">
        <f>IFERROR(__xludf.DUMMYFUNCTION("""COMPUTED_VALUE"""),44964.0)</f>
        <v>44964</v>
      </c>
      <c r="D159" s="10">
        <f>IFERROR(__xludf.DUMMYFUNCTION("""COMPUTED_VALUE"""),44964.0)</f>
        <v>44964</v>
      </c>
      <c r="E159" s="8">
        <f>IFERROR(__xludf.DUMMYFUNCTION("""COMPUTED_VALUE"""),254637.0)</f>
        <v>254637</v>
      </c>
      <c r="F159" s="9" t="str">
        <f>IFERROR(__xludf.DUMMYFUNCTION("""COMPUTED_VALUE"""),"きみの継ぐ香りは")</f>
        <v>きみの継ぐ香りは</v>
      </c>
      <c r="G159" s="11" t="str">
        <f>IFERROR(__xludf.DUMMYFUNCTION("""COMPUTED_VALUE"""),"1～3")</f>
        <v>1～3</v>
      </c>
      <c r="H159" s="8" t="str">
        <f>IFERROR(__xludf.DUMMYFUNCTION("""COMPUTED_VALUE"""),"小川まるに")</f>
        <v>小川まるに</v>
      </c>
      <c r="I159" s="14" t="str">
        <f>IFERROR(__xludf.DUMMYFUNCTION("""COMPUTED_VALUE"""),"女性")</f>
        <v>女性</v>
      </c>
      <c r="J159" s="8"/>
      <c r="K159" s="8"/>
      <c r="L159" s="8" t="str">
        <f>IFERROR(__xludf.DUMMYFUNCTION("""COMPUTED_VALUE"""),"ソルマーレ編集部")</f>
        <v>ソルマーレ編集部</v>
      </c>
      <c r="M159" s="12">
        <f>IFERROR(__xludf.DUMMYFUNCTION("""COMPUTED_VALUE"""),44996.0)</f>
        <v>44996</v>
      </c>
      <c r="N159" s="12">
        <f>IFERROR(__xludf.DUMMYFUNCTION("""COMPUTED_VALUE"""),45057.0)</f>
        <v>45057</v>
      </c>
      <c r="O159" s="11"/>
      <c r="P159" s="9" t="str">
        <f>IFERROR(__xludf.DUMMYFUNCTION("""COMPUTED_VALUE"""),"可")</f>
        <v>可</v>
      </c>
      <c r="Q159" s="8" t="str">
        <f>IFERROR(__xludf.DUMMYFUNCTION("""COMPUTED_VALUE"""),"※正式タイトル下記の通りです（2/7）&lt;BR&gt;＝＝＝&lt;BR&gt;きみの継ぐ香りは&lt;BR&gt;＝＝＝&lt;BR&gt;&lt;BR&gt;初回配信3巻ですが2/7現在、完成間に合っておらず2巻までのみ完成素材格納。&lt;BR&gt;3巻は2/10納品予定です。")</f>
        <v>※正式タイトル下記の通りです（2/7）&lt;BR&gt;＝＝＝&lt;BR&gt;きみの継ぐ香りは&lt;BR&gt;＝＝＝&lt;BR&gt;&lt;BR&gt;初回配信3巻ですが2/7現在、完成間に合っておらず2巻までのみ完成素材格納。&lt;BR&gt;3巻は2/10納品予定です。</v>
      </c>
      <c r="R159" s="9"/>
      <c r="S159" s="8" t="str">
        <f>IFERROR(__xludf.DUMMYFUNCTION("""COMPUTED_VALUE"""),"20230206_ソルマーレ編集部_きみの継ぐ香りは")</f>
        <v>20230206_ソルマーレ編集部_きみの継ぐ香りは</v>
      </c>
      <c r="T159" s="15"/>
      <c r="U159" s="9" t="str">
        <f>IFERROR(__xludf.DUMMYFUNCTION("""COMPUTED_VALUE"""),"Ⓒ 小川まるに/シーモアコミックス")</f>
        <v>Ⓒ 小川まるに/シーモアコミックス</v>
      </c>
      <c r="V159" s="8" t="str">
        <f>IFERROR(__xludf.DUMMYFUNCTION("""COMPUTED_VALUE"""),"「大好きなモネが自分の知らない男と結婚した」
人生最悪の日を迎えた広瀬桜(20)は、そんな日に最高の宝物を授かった――。
15年後、宝物である息子・トオキは高校生になり、親子二人で普通だけど幸せな日々を過ごしていた。
ある日、トオキが連れてきた彼女・叶は、桜の大好きだったモネとそっくりな女の子で、しかも二人の思い出の金木犀の香りをまとっていて…!?
親子の穏やかな日々が少しずつ変わっていく――。
桜からトオキへ、2世代にわたって継がれる恋の行方は…!?
「花嫁未満エスケープ」の小川まるにが紡ぐ、どこにでも"&amp;"ある“普通”の幸せを願う親子の物語。【恋するソワレ＋】")</f>
        <v>「大好きなモネが自分の知らない男と結婚した」
人生最悪の日を迎えた広瀬桜(20)は、そんな日に最高の宝物を授かった――。
15年後、宝物である息子・トオキは高校生になり、親子二人で普通だけど幸せな日々を過ごしていた。
ある日、トオキが連れてきた彼女・叶は、桜の大好きだったモネとそっくりな女の子で、しかも二人の思い出の金木犀の香りをまとっていて…!?
親子の穏やかな日々が少しずつ変わっていく――。
桜からトオキへ、2世代にわたって継がれる恋の行方は…!?
「花嫁未満エスケープ」の小川まるにが紡ぐ、どこにでもある“普通”の幸せを願う親子の物語。【恋するソワレ＋】</v>
      </c>
      <c r="W159" s="8"/>
      <c r="X159" s="8" t="str">
        <f>IFERROR(__xludf.DUMMYFUNCTION("""COMPUTED_VALUE"""),"有")</f>
        <v>有</v>
      </c>
      <c r="Y159" s="8" t="str">
        <f>IFERROR(__xludf.DUMMYFUNCTION("""COMPUTED_VALUE"""),"P15まで")</f>
        <v>P15まで</v>
      </c>
      <c r="Z159" s="7"/>
      <c r="AA159" s="7"/>
      <c r="AB159" s="7"/>
    </row>
    <row r="160" ht="15.75" customHeight="1">
      <c r="A160" s="8">
        <f>IFERROR(__xludf.DUMMYFUNCTION("""COMPUTED_VALUE"""),1710.0)</f>
        <v>1710</v>
      </c>
      <c r="B160" s="9" t="str">
        <f>IFERROR(__xludf.DUMMYFUNCTION("""COMPUTED_VALUE"""),"確定")</f>
        <v>確定</v>
      </c>
      <c r="C160" s="10">
        <f>IFERROR(__xludf.DUMMYFUNCTION("""COMPUTED_VALUE"""),44966.0)</f>
        <v>44966</v>
      </c>
      <c r="D160" s="10">
        <f>IFERROR(__xludf.DUMMYFUNCTION("""COMPUTED_VALUE"""),44966.0)</f>
        <v>44966</v>
      </c>
      <c r="E160" s="8">
        <f>IFERROR(__xludf.DUMMYFUNCTION("""COMPUTED_VALUE"""),263314.0)</f>
        <v>263314</v>
      </c>
      <c r="F160" s="9" t="str">
        <f>IFERROR(__xludf.DUMMYFUNCTION("""COMPUTED_VALUE"""),"お隣さんと失恋ごはん")</f>
        <v>お隣さんと失恋ごはん</v>
      </c>
      <c r="G160" s="11" t="str">
        <f>IFERROR(__xludf.DUMMYFUNCTION("""COMPUTED_VALUE"""),"1～4")</f>
        <v>1～4</v>
      </c>
      <c r="H160" s="8" t="str">
        <f>IFERROR(__xludf.DUMMYFUNCTION("""COMPUTED_VALUE"""),"山倉あおは")</f>
        <v>山倉あおは</v>
      </c>
      <c r="I160" s="8" t="str">
        <f>IFERROR(__xludf.DUMMYFUNCTION("""COMPUTED_VALUE"""),"少女")</f>
        <v>少女</v>
      </c>
      <c r="J160" s="8"/>
      <c r="K160" s="8"/>
      <c r="L160" s="8" t="str">
        <f>IFERROR(__xludf.DUMMYFUNCTION("""COMPUTED_VALUE"""),"ファンギルド")</f>
        <v>ファンギルド</v>
      </c>
      <c r="M160" s="12">
        <f>IFERROR(__xludf.DUMMYFUNCTION("""COMPUTED_VALUE"""),44997.0)</f>
        <v>44997</v>
      </c>
      <c r="N160" s="12">
        <f>IFERROR(__xludf.DUMMYFUNCTION("""COMPUTED_VALUE"""),45087.0)</f>
        <v>45087</v>
      </c>
      <c r="O160" s="11"/>
      <c r="P160" s="9" t="str">
        <f>IFERROR(__xludf.DUMMYFUNCTION("""COMPUTED_VALUE"""),"可")</f>
        <v>可</v>
      </c>
      <c r="Q160" s="8" t="str">
        <f>IFERROR(__xludf.DUMMYFUNCTION("""COMPUTED_VALUE"""),"協業レーベル『シーモア×ピース！』作品です。&lt;BR&gt;素材が未完成のものですが先行は確定です。")</f>
        <v>協業レーベル『シーモア×ピース！』作品です。&lt;BR&gt;素材が未完成のものですが先行は確定です。</v>
      </c>
      <c r="R160" s="9"/>
      <c r="S160" s="8" t="str">
        <f>IFERROR(__xludf.DUMMYFUNCTION("""COMPUTED_VALUE"""),"検討用_20230209_ファンギルド_お隣さんと失恋ごはん")</f>
        <v>検討用_20230209_ファンギルド_お隣さんと失恋ごはん</v>
      </c>
      <c r="T160" s="9"/>
      <c r="U160" s="9" t="str">
        <f>IFERROR(__xludf.DUMMYFUNCTION("""COMPUTED_VALUE"""),"Ⓒ山倉あおは/ファンギルド")</f>
        <v>Ⓒ山倉あおは/ファンギルド</v>
      </c>
      <c r="V160" s="8" t="str">
        <f>IFERROR(__xludf.DUMMYFUNCTION("""COMPUTED_VALUE"""),"料理雑誌の編集をしている一条乃愛（いちじょう のあ）は、編集長になる夢を叶えるべく仕事に邁進しすぎて、結婚目前だった彼氏に振られてしまう。そんな時に知り合ったのは、隣の部屋に住んでいる料理上手な男性・二宮誉（にのみや ほまれ）だった。実は彼は、人気料理研究家であり、乃愛が次に企画していた連載の取材相手で――しかも子持ちのシングルファザー!? 掴みどころのない誉に翻弄される乃愛だったが、「ご飯」を通していつしか一緒にいる時間が特別なものに変わっていき……「ねぇ、朝までそばにいてくれない？」仕事大好きアラサー"&amp;"OL×人気料理研究家（シンパパ）のほっこり胸キュンラブストーリー！")</f>
        <v>料理雑誌の編集をしている一条乃愛（いちじょう のあ）は、編集長になる夢を叶えるべく仕事に邁進しすぎて、結婚目前だった彼氏に振られてしまう。そんな時に知り合ったのは、隣の部屋に住んでいる料理上手な男性・二宮誉（にのみや ほまれ）だった。実は彼は、人気料理研究家であり、乃愛が次に企画していた連載の取材相手で――しかも子持ちのシングルファザー!? 掴みどころのない誉に翻弄される乃愛だったが、「ご飯」を通していつしか一緒にいる時間が特別なものに変わっていき……「ねぇ、朝までそばにいてくれない？」仕事大好きアラサーOL×人気料理研究家（シンパパ）のほっこり胸キュンラブストーリー！</v>
      </c>
      <c r="W160" s="8"/>
      <c r="X160" s="8" t="str">
        <f>IFERROR(__xludf.DUMMYFUNCTION("""COMPUTED_VALUE"""),"有")</f>
        <v>有</v>
      </c>
      <c r="Y160" s="8" t="str">
        <f>IFERROR(__xludf.DUMMYFUNCTION("""COMPUTED_VALUE"""),"１巻目無料")</f>
        <v>１巻目無料</v>
      </c>
      <c r="Z160" s="7"/>
      <c r="AA160" s="7"/>
      <c r="AB160" s="7"/>
    </row>
    <row r="161" ht="15.75" customHeight="1">
      <c r="A161" s="8">
        <f>IFERROR(__xludf.DUMMYFUNCTION("""COMPUTED_VALUE"""),1756.0)</f>
        <v>1756</v>
      </c>
      <c r="B161" s="9" t="str">
        <f>IFERROR(__xludf.DUMMYFUNCTION("""COMPUTED_VALUE"""),"確定")</f>
        <v>確定</v>
      </c>
      <c r="C161" s="10">
        <f>IFERROR(__xludf.DUMMYFUNCTION("""COMPUTED_VALUE"""),44984.0)</f>
        <v>44984</v>
      </c>
      <c r="D161" s="10">
        <f>IFERROR(__xludf.DUMMYFUNCTION("""COMPUTED_VALUE"""),44984.0)</f>
        <v>44984</v>
      </c>
      <c r="E161" s="8">
        <f>IFERROR(__xludf.DUMMYFUNCTION("""COMPUTED_VALUE"""),263972.0)</f>
        <v>263972</v>
      </c>
      <c r="F161" s="9" t="str">
        <f>IFERROR(__xludf.DUMMYFUNCTION("""COMPUTED_VALUE"""),"面倒くさがり屋の異世界転生 ～女神を堕としたらご褒美ザックザク！ 異世界で好き放題に無双しちゃいます!!～")</f>
        <v>面倒くさがり屋の異世界転生 ～女神を堕としたらご褒美ザックザク！ 異世界で好き放題に無双しちゃいます!!～</v>
      </c>
      <c r="G161" s="11" t="str">
        <f>IFERROR(__xludf.DUMMYFUNCTION("""COMPUTED_VALUE"""),"1~3")</f>
        <v>1~3</v>
      </c>
      <c r="H161" s="8" t="str">
        <f>IFERROR(__xludf.DUMMYFUNCTION("""COMPUTED_VALUE"""),"原作：自由人、 作画：矢崎結子")</f>
        <v>原作：自由人、 作画：矢崎結子</v>
      </c>
      <c r="I161" s="8" t="str">
        <f>IFERROR(__xludf.DUMMYFUNCTION("""COMPUTED_VALUE"""),"青年")</f>
        <v>青年</v>
      </c>
      <c r="J161" s="8"/>
      <c r="K161" s="8"/>
      <c r="L161" s="8" t="str">
        <f>IFERROR(__xludf.DUMMYFUNCTION("""COMPUTED_VALUE"""),"コミックストック")</f>
        <v>コミックストック</v>
      </c>
      <c r="M161" s="12">
        <f>IFERROR(__xludf.DUMMYFUNCTION("""COMPUTED_VALUE"""),44997.0)</f>
        <v>44997</v>
      </c>
      <c r="N161" s="12">
        <f>IFERROR(__xludf.DUMMYFUNCTION("""COMPUTED_VALUE"""),45094.0)</f>
        <v>45094</v>
      </c>
      <c r="O161" s="11"/>
      <c r="P161" s="9" t="str">
        <f>IFERROR(__xludf.DUMMYFUNCTION("""COMPUTED_VALUE"""),"可")</f>
        <v>可</v>
      </c>
      <c r="Q161" s="8" t="str">
        <f>IFERROR(__xludf.DUMMYFUNCTION("""COMPUTED_VALUE"""),"協業：シーモア×DEDEDE&lt;BR&gt;素材格納（2/27）&lt;BR&gt;")</f>
        <v>協業：シーモア×DEDEDE&lt;BR&gt;素材格納（2/27）&lt;BR&gt;</v>
      </c>
      <c r="R161" s="9" t="str">
        <f>IFERROR(__xludf.DUMMYFUNCTION("""COMPUTED_VALUE"""),"格納済")</f>
        <v>格納済</v>
      </c>
      <c r="S161" s="8" t="str">
        <f>IFERROR(__xludf.DUMMYFUNCTION("""COMPUTED_VALUE"""),"20230227_コミックストック_面倒くさがり屋の異世界転生")</f>
        <v>20230227_コミックストック_面倒くさがり屋の異世界転生</v>
      </c>
      <c r="T161" s="9" t="str">
        <f>IFERROR(__xludf.DUMMYFUNCTION("""COMPUTED_VALUE"""),"校了済素材")</f>
        <v>校了済素材</v>
      </c>
      <c r="U161" s="9" t="str">
        <f>IFERROR(__xludf.DUMMYFUNCTION("""COMPUTED_VALUE"""),"ⓒ自由人・矢崎結子/コミックストック")</f>
        <v>ⓒ自由人・矢崎結子/コミックストック</v>
      </c>
      <c r="V161" s="8" t="str">
        <f>IFERROR(__xludf.DUMMYFUNCTION("""COMPUTED_VALUE"""),"社畜の日々を送っていた冴えない男――加藤 健。彼は車に轢かれそうになった子どもを助けようとして、その短い生涯に幕を閉じることになる。しかし死んだはずの自分が目を覚ますとそこは真っ白な空間で、女神を名乗る銀髪美女――ソフィーリアと出会う。彼女から転生とスキルについて説明を受けるが、ついつい説明そっちのけで一目ぼれした女神を口説いてしまう。そのアタックがまさかの成功をして…！？ 女神の寵愛と加護を受けて異世界に転生した男が生前のトラウマを抱えつつも、思いのままに日々を生きていく。人気異世界WEB小説をフルカラ"&amp;"ーでコミカライズ！")</f>
        <v>社畜の日々を送っていた冴えない男――加藤 健。彼は車に轢かれそうになった子どもを助けようとして、その短い生涯に幕を閉じることになる。しかし死んだはずの自分が目を覚ますとそこは真っ白な空間で、女神を名乗る銀髪美女――ソフィーリアと出会う。彼女から転生とスキルについて説明を受けるが、ついつい説明そっちのけで一目ぼれした女神を口説いてしまう。そのアタックがまさかの成功をして…！？ 女神の寵愛と加護を受けて異世界に転生した男が生前のトラウマを抱えつつも、思いのままに日々を生きていく。人気異世界WEB小説をフルカラーでコミカライズ！</v>
      </c>
      <c r="W161" s="8"/>
      <c r="X161" s="8" t="str">
        <f>IFERROR(__xludf.DUMMYFUNCTION("""COMPUTED_VALUE"""),"有")</f>
        <v>有</v>
      </c>
      <c r="Y161" s="8" t="str">
        <f>IFERROR(__xludf.DUMMYFUNCTION("""COMPUTED_VALUE"""),"１巻目無料")</f>
        <v>１巻目無料</v>
      </c>
      <c r="Z161" s="7"/>
      <c r="AA161" s="7"/>
      <c r="AB161" s="7"/>
    </row>
    <row r="162" ht="15.75" customHeight="1">
      <c r="A162" s="8">
        <f>IFERROR(__xludf.DUMMYFUNCTION("""COMPUTED_VALUE"""),1732.0)</f>
        <v>1732</v>
      </c>
      <c r="B162" s="9" t="str">
        <f>IFERROR(__xludf.DUMMYFUNCTION("""COMPUTED_VALUE"""),"確定")</f>
        <v>確定</v>
      </c>
      <c r="C162" s="10">
        <f>IFERROR(__xludf.DUMMYFUNCTION("""COMPUTED_VALUE"""),44971.0)</f>
        <v>44971</v>
      </c>
      <c r="D162" s="10">
        <f>IFERROR(__xludf.DUMMYFUNCTION("""COMPUTED_VALUE"""),44971.0)</f>
        <v>44971</v>
      </c>
      <c r="E162" s="8">
        <f>IFERROR(__xludf.DUMMYFUNCTION("""COMPUTED_VALUE"""),263802.0)</f>
        <v>263802</v>
      </c>
      <c r="F162" s="9" t="str">
        <f>IFERROR(__xludf.DUMMYFUNCTION("""COMPUTED_VALUE"""),"王太子妃になんてなりたくない!! 婚約者編【連載版】")</f>
        <v>王太子妃になんてなりたくない!! 婚約者編【連載版】</v>
      </c>
      <c r="G162" s="11" t="str">
        <f>IFERROR(__xludf.DUMMYFUNCTION("""COMPUTED_VALUE"""),"1～3")</f>
        <v>1～3</v>
      </c>
      <c r="H162" s="8" t="str">
        <f>IFERROR(__xludf.DUMMYFUNCTION("""COMPUTED_VALUE"""),"黒木捺 / 月神サキ / 蔦森えん")</f>
        <v>黒木捺 / 月神サキ / 蔦森えん</v>
      </c>
      <c r="I162" s="14" t="str">
        <f>IFERROR(__xludf.DUMMYFUNCTION("""COMPUTED_VALUE"""),"少女")</f>
        <v>少女</v>
      </c>
      <c r="J162" s="8"/>
      <c r="K162" s="8"/>
      <c r="L162" s="8" t="str">
        <f>IFERROR(__xludf.DUMMYFUNCTION("""COMPUTED_VALUE"""),"一迅社")</f>
        <v>一迅社</v>
      </c>
      <c r="M162" s="12">
        <f>IFERROR(__xludf.DUMMYFUNCTION("""COMPUTED_VALUE"""),44999.0)</f>
        <v>44999</v>
      </c>
      <c r="N162" s="12">
        <f>IFERROR(__xludf.DUMMYFUNCTION("""COMPUTED_VALUE"""),45029.0)</f>
        <v>45029</v>
      </c>
      <c r="O162" s="11"/>
      <c r="P162" s="9" t="str">
        <f>IFERROR(__xludf.DUMMYFUNCTION("""COMPUTED_VALUE"""),"可")</f>
        <v>可</v>
      </c>
      <c r="Q162" s="8"/>
      <c r="R162" s="9"/>
      <c r="S162" s="8" t="str">
        <f>IFERROR(__xludf.DUMMYFUNCTION("""COMPUTED_VALUE"""),"20230214_一迅社_王太子妃になんて")</f>
        <v>20230214_一迅社_王太子妃になんて</v>
      </c>
      <c r="T162" s="9"/>
      <c r="U162" s="9" t="str">
        <f>IFERROR(__xludf.DUMMYFUNCTION("""COMPUTED_VALUE"""),"©鴨野れな・月神サキ・蔦森えん／一迅社")</f>
        <v>©鴨野れな・月神サキ・蔦森えん／一迅社</v>
      </c>
      <c r="V162" s="8" t="str">
        <f>IFERROR(__xludf.DUMMYFUNCTION("""COMPUTED_VALUE"""),"「一迅社メリッサ」刊のメガヒット作のコミカライズ！ 婚約者となった二人の極甘な続編が開幕!! 一夫多妻の王族になんて絶対に嫁ぎたくない！ ――と思いつつも、王太子フリードと紆余曲折を経て婚約することになったリディ。フリードが好きだと自覚のないまま、正妃になる覚悟を固めていくが…!? 転生公爵令嬢×“完全無欠”な王太子のスリリング・ラブファンタジー！【本商品は単話コンテンツとなります。単行本版と収録内容が異なる場合がございます。漫画内の告知等は過去のものとなりますので、ご注意ください。】")</f>
        <v>「一迅社メリッサ」刊のメガヒット作のコミカライズ！ 婚約者となった二人の極甘な続編が開幕!! 一夫多妻の王族になんて絶対に嫁ぎたくない！ ――と思いつつも、王太子フリードと紆余曲折を経て婚約することになったリディ。フリードが好きだと自覚のないまま、正妃になる覚悟を固めていくが…!? 転生公爵令嬢×“完全無欠”な王太子のスリリング・ラブファンタジー！【本商品は単話コンテンツとなります。単行本版と収録内容が異なる場合がございます。漫画内の告知等は過去のものとなりますので、ご注意ください。】</v>
      </c>
      <c r="W162" s="8"/>
      <c r="X162" s="9" t="str">
        <f>IFERROR(__xludf.DUMMYFUNCTION("""COMPUTED_VALUE"""),"有")</f>
        <v>有</v>
      </c>
      <c r="Y162" s="8" t="str">
        <f>IFERROR(__xludf.DUMMYFUNCTION("""COMPUTED_VALUE"""),"立ち読み増量（4/13まで）
P52まで")</f>
        <v>立ち読み増量（4/13まで）
P52まで</v>
      </c>
      <c r="Z162" s="7"/>
      <c r="AA162" s="7"/>
      <c r="AB162" s="7"/>
    </row>
    <row r="163" ht="15.75" customHeight="1">
      <c r="A163" s="8">
        <f>IFERROR(__xludf.DUMMYFUNCTION("""COMPUTED_VALUE"""),1749.0)</f>
        <v>1749</v>
      </c>
      <c r="B163" s="9" t="str">
        <f>IFERROR(__xludf.DUMMYFUNCTION("""COMPUTED_VALUE"""),"確定")</f>
        <v>確定</v>
      </c>
      <c r="C163" s="10">
        <f>IFERROR(__xludf.DUMMYFUNCTION("""COMPUTED_VALUE"""),44979.0)</f>
        <v>44979</v>
      </c>
      <c r="D163" s="10">
        <f>IFERROR(__xludf.DUMMYFUNCTION("""COMPUTED_VALUE"""),44979.0)</f>
        <v>44979</v>
      </c>
      <c r="E163" s="8">
        <f>IFERROR(__xludf.DUMMYFUNCTION("""COMPUTED_VALUE"""),264908.0)</f>
        <v>264908</v>
      </c>
      <c r="F163" s="9" t="str">
        <f>IFERROR(__xludf.DUMMYFUNCTION("""COMPUTED_VALUE"""),"夫を社会的に抹殺する5つの方法")</f>
        <v>夫を社会的に抹殺する5つの方法</v>
      </c>
      <c r="G163" s="16" t="str">
        <f>IFERROR(__xludf.DUMMYFUNCTION("""COMPUTED_VALUE"""),"1～20")</f>
        <v>1～20</v>
      </c>
      <c r="H163" s="8" t="str">
        <f>IFERROR(__xludf.DUMMYFUNCTION("""COMPUTED_VALUE"""),"GIGATOON Studio・アップクロス・三田たたみ")</f>
        <v>GIGATOON Studio・アップクロス・三田たたみ</v>
      </c>
      <c r="I163" s="8" t="str">
        <f>IFERROR(__xludf.DUMMYFUNCTION("""COMPUTED_VALUE"""),"女性")</f>
        <v>女性</v>
      </c>
      <c r="J163" s="8"/>
      <c r="K163" s="8"/>
      <c r="L163" s="8" t="str">
        <f>IFERROR(__xludf.DUMMYFUNCTION("""COMPUTED_VALUE"""),"コミックストック")</f>
        <v>コミックストック</v>
      </c>
      <c r="M163" s="12">
        <f>IFERROR(__xludf.DUMMYFUNCTION("""COMPUTED_VALUE"""),44999.0)</f>
        <v>44999</v>
      </c>
      <c r="N163" s="12">
        <f>IFERROR(__xludf.DUMMYFUNCTION("""COMPUTED_VALUE"""),45029.0)</f>
        <v>45029</v>
      </c>
      <c r="O163" s="11"/>
      <c r="P163" s="9" t="str">
        <f>IFERROR(__xludf.DUMMYFUNCTION("""COMPUTED_VALUE"""),"可")</f>
        <v>可</v>
      </c>
      <c r="Q163" s="8"/>
      <c r="R163" s="9" t="str">
        <f>IFERROR(__xludf.DUMMYFUNCTION("""COMPUTED_VALUE"""),"格納済")</f>
        <v>格納済</v>
      </c>
      <c r="S163" s="8" t="str">
        <f>IFERROR(__xludf.DUMMYFUNCTION("""COMPUTED_VALUE"""),"20230222_コミックストック_夫を社会的に抹殺する5つの方法")</f>
        <v>20230222_コミックストック_夫を社会的に抹殺する5つの方法</v>
      </c>
      <c r="T163" s="9" t="str">
        <f>IFERROR(__xludf.DUMMYFUNCTION("""COMPUTED_VALUE"""),"校了済素材")</f>
        <v>校了済素材</v>
      </c>
      <c r="U163" s="9" t="str">
        <f>IFERROR(__xludf.DUMMYFUNCTION("""COMPUTED_VALUE"""),"ⓒGIGATOON Studio・アップクロス・三田たたみ/コミックストック")</f>
        <v>ⓒGIGATOON Studio・アップクロス・三田たたみ/コミックストック</v>
      </c>
      <c r="V163" s="8" t="str">
        <f>IFERROR(__xludf.DUMMYFUNCTION("""COMPUTED_VALUE"""),"結婚一年目、幸せな専業主婦だった茜（あかね）は、夫の大輔（だいすけ）によって絶望の淵に叩き落される。日ごとに増える暴力、モラハラ、性暴力……。少しずつ心を壊し、夫の言いなりになっていく茜。それでも『子どもさえできれば彼は変わってくれるはず』そう信じていたのに――！ 夫に裏切られ、命より大事なものを奪われた茜が選んだのは、復讐という修羅の道……「簡単には殺してあげない。生き地獄をアナタに味わわせてあげる――」
")</f>
        <v>結婚一年目、幸せな専業主婦だった茜（あかね）は、夫の大輔（だいすけ）によって絶望の淵に叩き落される。日ごとに増える暴力、モラハラ、性暴力……。少しずつ心を壊し、夫の言いなりになっていく茜。それでも『子どもさえできれば彼は変わってくれるはず』そう信じていたのに――！ 夫に裏切られ、命より大事なものを奪われた茜が選んだのは、復讐という修羅の道……「簡単には殺してあげない。生き地獄をアナタに味わわせてあげる――」
</v>
      </c>
      <c r="W163" s="8"/>
      <c r="X163" s="8" t="str">
        <f>IFERROR(__xludf.DUMMYFUNCTION("""COMPUTED_VALUE"""),"有")</f>
        <v>有</v>
      </c>
      <c r="Y163" s="8" t="str">
        <f>IFERROR(__xludf.DUMMYFUNCTION("""COMPUTED_VALUE"""),"１～3巻目無料")</f>
        <v>１～3巻目無料</v>
      </c>
      <c r="Z163" s="7"/>
      <c r="AA163" s="7"/>
      <c r="AB163" s="7"/>
    </row>
    <row r="164" ht="15.75" customHeight="1">
      <c r="A164" s="8">
        <f>IFERROR(__xludf.DUMMYFUNCTION("""COMPUTED_VALUE"""),1685.0)</f>
        <v>1685</v>
      </c>
      <c r="B164" s="9" t="str">
        <f>IFERROR(__xludf.DUMMYFUNCTION("""COMPUTED_VALUE"""),"確定")</f>
        <v>確定</v>
      </c>
      <c r="C164" s="10">
        <f>IFERROR(__xludf.DUMMYFUNCTION("""COMPUTED_VALUE"""),44959.0)</f>
        <v>44959</v>
      </c>
      <c r="D164" s="10">
        <f>IFERROR(__xludf.DUMMYFUNCTION("""COMPUTED_VALUE"""),44959.0)</f>
        <v>44959</v>
      </c>
      <c r="E164" s="8">
        <f>IFERROR(__xludf.DUMMYFUNCTION("""COMPUTED_VALUE"""),263398.0)</f>
        <v>263398</v>
      </c>
      <c r="F164" s="9" t="str">
        <f>IFERROR(__xludf.DUMMYFUNCTION("""COMPUTED_VALUE"""),"お願い！スポンサー")</f>
        <v>お願い！スポンサー</v>
      </c>
      <c r="G164" s="11" t="str">
        <f>IFERROR(__xludf.DUMMYFUNCTION("""COMPUTED_VALUE"""),"1～4")</f>
        <v>1～4</v>
      </c>
      <c r="H164" s="8" t="str">
        <f>IFERROR(__xludf.DUMMYFUNCTION("""COMPUTED_VALUE"""),"Dokbeoseos/SSang LeeHo")</f>
        <v>Dokbeoseos/SSang LeeHo</v>
      </c>
      <c r="I164" s="8" t="str">
        <f>IFERROR(__xludf.DUMMYFUNCTION("""COMPUTED_VALUE"""),"青年")</f>
        <v>青年</v>
      </c>
      <c r="J164" s="8"/>
      <c r="K164" s="8"/>
      <c r="L164" s="8" t="str">
        <f>IFERROR(__xludf.DUMMYFUNCTION("""COMPUTED_VALUE"""),"Rush!")</f>
        <v>Rush!</v>
      </c>
      <c r="M164" s="12">
        <f>IFERROR(__xludf.DUMMYFUNCTION("""COMPUTED_VALUE"""),45000.0)</f>
        <v>45000</v>
      </c>
      <c r="N164" s="12">
        <f>IFERROR(__xludf.DUMMYFUNCTION("""COMPUTED_VALUE"""),45097.0)</f>
        <v>45097</v>
      </c>
      <c r="O164" s="11"/>
      <c r="P164" s="9" t="str">
        <f>IFERROR(__xludf.DUMMYFUNCTION("""COMPUTED_VALUE"""),"可")</f>
        <v>可</v>
      </c>
      <c r="Q164" s="8" t="str">
        <f>IFERROR(__xludf.DUMMYFUNCTION("""COMPUTED_VALUE"""),"協業レーベル『シーモア×Rush!』作品です。")</f>
        <v>協業レーベル『シーモア×Rush!』作品です。</v>
      </c>
      <c r="R164" s="9"/>
      <c r="S164" s="8" t="str">
        <f>IFERROR(__xludf.DUMMYFUNCTION("""COMPUTED_VALUE"""),"20230202_ファンギルド_お願い！スポンサー")</f>
        <v>20230202_ファンギルド_お願い！スポンサー</v>
      </c>
      <c r="T164" s="9"/>
      <c r="U164" s="9" t="str">
        <f>IFERROR(__xludf.DUMMYFUNCTION("""COMPUTED_VALUE"""),"©Dokbeoseos/SSang LeeHo/TOPTOON")</f>
        <v>©Dokbeoseos/SSang LeeHo/TOPTOON</v>
      </c>
      <c r="V164" s="8" t="str">
        <f>IFERROR(__xludf.DUMMYFUNCTION("""COMPUTED_VALUE"""),"「スポンサーさまはエロい事が好き？」外国の恵まれない子供を支援する”スポンサー制度”。貧しかった私、サブリナはその制度のおかげで大好きな人と出会えた。キム・ミンス…韓国に住む私のスポンサーさまは優しくて格好良い私の王子様。彼と結婚して幸せになる！…って思ってたのに、大人になって韓国に来た私が目にしたのは元カノとエッチな事ばっかりしてるスポンサーさまの姿…！スポンサーさまを射止める為にエッチな事を勉強し始めたけど加減が分からない私はつい過激な事までしちゃって――！？")</f>
        <v>「スポンサーさまはエロい事が好き？」外国の恵まれない子供を支援する”スポンサー制度”。貧しかった私、サブリナはその制度のおかげで大好きな人と出会えた。キム・ミンス…韓国に住む私のスポンサーさまは優しくて格好良い私の王子様。彼と結婚して幸せになる！…って思ってたのに、大人になって韓国に来た私が目にしたのは元カノとエッチな事ばっかりしてるスポンサーさまの姿…！スポンサーさまを射止める為にエッチな事を勉強し始めたけど加減が分からない私はつい過激な事までしちゃって――！？</v>
      </c>
      <c r="W164" s="8"/>
      <c r="X164" s="8" t="str">
        <f>IFERROR(__xludf.DUMMYFUNCTION("""COMPUTED_VALUE"""),"有")</f>
        <v>有</v>
      </c>
      <c r="Y164" s="8" t="str">
        <f>IFERROR(__xludf.DUMMYFUNCTION("""COMPUTED_VALUE"""),"１巻目無料")</f>
        <v>１巻目無料</v>
      </c>
      <c r="Z164" s="7"/>
      <c r="AA164" s="7"/>
      <c r="AB164" s="7"/>
    </row>
    <row r="165" ht="15.75" customHeight="1">
      <c r="A165" s="8">
        <f>IFERROR(__xludf.DUMMYFUNCTION("""COMPUTED_VALUE"""),1686.0)</f>
        <v>1686</v>
      </c>
      <c r="B165" s="9" t="str">
        <f>IFERROR(__xludf.DUMMYFUNCTION("""COMPUTED_VALUE"""),"確定")</f>
        <v>確定</v>
      </c>
      <c r="C165" s="10">
        <f>IFERROR(__xludf.DUMMYFUNCTION("""COMPUTED_VALUE"""),44959.0)</f>
        <v>44959</v>
      </c>
      <c r="D165" s="10">
        <f>IFERROR(__xludf.DUMMYFUNCTION("""COMPUTED_VALUE"""),44959.0)</f>
        <v>44959</v>
      </c>
      <c r="E165" s="8">
        <f>IFERROR(__xludf.DUMMYFUNCTION("""COMPUTED_VALUE"""),263970.0)</f>
        <v>263970</v>
      </c>
      <c r="F165" s="9" t="str">
        <f>IFERROR(__xludf.DUMMYFUNCTION("""COMPUTED_VALUE"""),"憎しみの果てに愛を願う")</f>
        <v>憎しみの果てに愛を願う</v>
      </c>
      <c r="G165" s="11" t="str">
        <f>IFERROR(__xludf.DUMMYFUNCTION("""COMPUTED_VALUE"""),"1～4")</f>
        <v>1～4</v>
      </c>
      <c r="H165" s="8" t="str">
        <f>IFERROR(__xludf.DUMMYFUNCTION("""COMPUTED_VALUE"""),"YoungChan")</f>
        <v>YoungChan</v>
      </c>
      <c r="I165" s="8" t="str">
        <f>IFERROR(__xludf.DUMMYFUNCTION("""COMPUTED_VALUE"""),"BL")</f>
        <v>BL</v>
      </c>
      <c r="J165" s="8"/>
      <c r="K165" s="8"/>
      <c r="L165" s="8" t="str">
        <f>IFERROR(__xludf.DUMMYFUNCTION("""COMPUTED_VALUE"""),"Rush!")</f>
        <v>Rush!</v>
      </c>
      <c r="M165" s="12">
        <f>IFERROR(__xludf.DUMMYFUNCTION("""COMPUTED_VALUE"""),45000.0)</f>
        <v>45000</v>
      </c>
      <c r="N165" s="12">
        <f>IFERROR(__xludf.DUMMYFUNCTION("""COMPUTED_VALUE"""),45034.0)</f>
        <v>45034</v>
      </c>
      <c r="O165" s="11"/>
      <c r="P165" s="9" t="str">
        <f>IFERROR(__xludf.DUMMYFUNCTION("""COMPUTED_VALUE"""),"可")</f>
        <v>可</v>
      </c>
      <c r="Q165" s="8"/>
      <c r="R165" s="9"/>
      <c r="S165" s="8" t="str">
        <f>IFERROR(__xludf.DUMMYFUNCTION("""COMPUTED_VALUE"""),"20230202_ファンギルド_憎しみの果てに愛を願う")</f>
        <v>20230202_ファンギルド_憎しみの果てに愛を願う</v>
      </c>
      <c r="T165" s="9"/>
      <c r="U165" s="9" t="str">
        <f>IFERROR(__xludf.DUMMYFUNCTION("""COMPUTED_VALUE"""),"©YoungChan")</f>
        <v>©YoungChan</v>
      </c>
      <c r="V165" s="8" t="str">
        <f>IFERROR(__xludf.DUMMYFUNCTION("""COMPUTED_VALUE"""),"父親が残した多額の借金を返済するため、バイトに励む日々を送る青年・遥希。劣性オメガというハンデを背負いながらも、終わりの見えない闇の中で必死にもがき続けていた。そんな彼の前に三大企業の一つであるテウォングループの専務・優性アルファの秀矢が現れ日常は一変。傲慢な秀矢から借金を身体で支払えと脅され、追い込まれた遥希は従う事を決意する。拒む気持ちとは裏腹に身体はアルファを求めてしまい…。様々な思惑と衝撃的な過去が錯綜する中で、二人が行きつく先は――。")</f>
        <v>父親が残した多額の借金を返済するため、バイトに励む日々を送る青年・遥希。劣性オメガというハンデを背負いながらも、終わりの見えない闇の中で必死にもがき続けていた。そんな彼の前に三大企業の一つであるテウォングループの専務・優性アルファの秀矢が現れ日常は一変。傲慢な秀矢から借金を身体で支払えと脅され、追い込まれた遥希は従う事を決意する。拒む気持ちとは裏腹に身体はアルファを求めてしまい…。様々な思惑と衝撃的な過去が錯綜する中で、二人が行きつく先は――。</v>
      </c>
      <c r="W165" s="8"/>
      <c r="X165" s="8" t="str">
        <f>IFERROR(__xludf.DUMMYFUNCTION("""COMPUTED_VALUE"""),"有")</f>
        <v>有</v>
      </c>
      <c r="Y165" s="8" t="str">
        <f>IFERROR(__xludf.DUMMYFUNCTION("""COMPUTED_VALUE"""),"P29まで")</f>
        <v>P29まで</v>
      </c>
      <c r="Z165" s="7"/>
      <c r="AA165" s="7"/>
      <c r="AB165" s="7"/>
    </row>
    <row r="166" ht="15.75" customHeight="1">
      <c r="A166" s="8">
        <f>IFERROR(__xludf.DUMMYFUNCTION("""COMPUTED_VALUE"""),1545.0)</f>
        <v>1545</v>
      </c>
      <c r="B166" s="9" t="str">
        <f>IFERROR(__xludf.DUMMYFUNCTION("""COMPUTED_VALUE"""),"確定")</f>
        <v>確定</v>
      </c>
      <c r="C166" s="10">
        <f>IFERROR(__xludf.DUMMYFUNCTION("""COMPUTED_VALUE"""),44886.0)</f>
        <v>44886</v>
      </c>
      <c r="D166" s="10">
        <f>IFERROR(__xludf.DUMMYFUNCTION("""COMPUTED_VALUE"""),44981.0)</f>
        <v>44981</v>
      </c>
      <c r="E166" s="8">
        <f>IFERROR(__xludf.DUMMYFUNCTION("""COMPUTED_VALUE"""),263195.0)</f>
        <v>263195</v>
      </c>
      <c r="F166" s="9" t="str">
        <f>IFERROR(__xludf.DUMMYFUNCTION("""COMPUTED_VALUE"""),"アイドルよ、国を抱け。")</f>
        <v>アイドルよ、国を抱け。</v>
      </c>
      <c r="G166" s="11" t="str">
        <f>IFERROR(__xludf.DUMMYFUNCTION("""COMPUTED_VALUE"""),"1～3")</f>
        <v>1～3</v>
      </c>
      <c r="H166" s="8" t="str">
        <f>IFERROR(__xludf.DUMMYFUNCTION("""COMPUTED_VALUE"""),"ハルノナツミ")</f>
        <v>ハルノナツミ</v>
      </c>
      <c r="I166" s="8" t="str">
        <f>IFERROR(__xludf.DUMMYFUNCTION("""COMPUTED_VALUE"""),"TL")</f>
        <v>TL</v>
      </c>
      <c r="J166" s="8"/>
      <c r="K166" s="8"/>
      <c r="L166" s="8" t="str">
        <f>IFERROR(__xludf.DUMMYFUNCTION("""COMPUTED_VALUE"""),"ふゅーじょんぷろだくと")</f>
        <v>ふゅーじょんぷろだくと</v>
      </c>
      <c r="M166" s="12">
        <f>IFERROR(__xludf.DUMMYFUNCTION("""COMPUTED_VALUE"""),45000.0)</f>
        <v>45000</v>
      </c>
      <c r="N166" s="12">
        <f>IFERROR(__xludf.DUMMYFUNCTION("""COMPUTED_VALUE"""),45028.0)</f>
        <v>45028</v>
      </c>
      <c r="O166" s="11"/>
      <c r="P166" s="9" t="str">
        <f>IFERROR(__xludf.DUMMYFUNCTION("""COMPUTED_VALUE"""),"可")</f>
        <v>可</v>
      </c>
      <c r="Q166" s="8" t="str">
        <f>IFERROR(__xludf.DUMMYFUNCTION("""COMPUTED_VALUE"""),"初回リリース巻数相談中")</f>
        <v>初回リリース巻数相談中</v>
      </c>
      <c r="R166" s="9"/>
      <c r="S166" s="8" t="str">
        <f>IFERROR(__xludf.DUMMYFUNCTION("""COMPUTED_VALUE"""),"20230224_ふゅーじょんぷろだくと_アイドルよ、国を抱け。")</f>
        <v>20230224_ふゅーじょんぷろだくと_アイドルよ、国を抱け。</v>
      </c>
      <c r="T166" s="9"/>
      <c r="U166" s="9" t="str">
        <f>IFERROR(__xludf.DUMMYFUNCTION("""COMPUTED_VALUE"""),"©ハルノナツミ/ふゅーじょんぷろだくと")</f>
        <v>©ハルノナツミ/ふゅーじょんぷろだくと</v>
      </c>
      <c r="V166" s="8" t="str">
        <f>IFERROR(__xludf.DUMMYFUNCTION("""COMPUTED_VALUE"""),"【男装女子が異世界転生！？】人気アイドルグループSpice（スパイス）のリーダー神崎（かんざき）あすか。ステージ上で急逝した彼女はジュール国の姫・ルイーズとして目を覚ました。転生直後に財政難を抱える国を救うためのミッション「ノワ国の王様と婚約する」が発生。アイドル時代に培ったノウハウで難攻不落の王様・アレンを落とすことはできるのかーー！『山下くんには飲ませるな！』のハルノナツミが送る異世界ラブファンタジー。
")</f>
        <v>【男装女子が異世界転生！？】人気アイドルグループSpice（スパイス）のリーダー神崎（かんざき）あすか。ステージ上で急逝した彼女はジュール国の姫・ルイーズとして目を覚ました。転生直後に財政難を抱える国を救うためのミッション「ノワ国の王様と婚約する」が発生。アイドル時代に培ったノウハウで難攻不落の王様・アレンを落とすことはできるのかーー！『山下くんには飲ませるな！』のハルノナツミが送る異世界ラブファンタジー。
</v>
      </c>
      <c r="W166" s="8"/>
      <c r="X166" s="8" t="str">
        <f>IFERROR(__xludf.DUMMYFUNCTION("""COMPUTED_VALUE"""),"有")</f>
        <v>有</v>
      </c>
      <c r="Y166" s="8" t="str">
        <f>IFERROR(__xludf.DUMMYFUNCTION("""COMPUTED_VALUE"""),"P10まで")</f>
        <v>P10まで</v>
      </c>
      <c r="Z166" s="7"/>
      <c r="AA166" s="7"/>
      <c r="AB166" s="7"/>
    </row>
    <row r="167" ht="15.75" customHeight="1">
      <c r="A167" s="8">
        <f>IFERROR(__xludf.DUMMYFUNCTION("""COMPUTED_VALUE"""),1628.0)</f>
        <v>1628</v>
      </c>
      <c r="B167" s="9" t="str">
        <f>IFERROR(__xludf.DUMMYFUNCTION("""COMPUTED_VALUE"""),"確定")</f>
        <v>確定</v>
      </c>
      <c r="C167" s="10">
        <f>IFERROR(__xludf.DUMMYFUNCTION("""COMPUTED_VALUE"""),44932.0)</f>
        <v>44932</v>
      </c>
      <c r="D167" s="10">
        <f>IFERROR(__xludf.DUMMYFUNCTION("""COMPUTED_VALUE"""),44981.0)</f>
        <v>44981</v>
      </c>
      <c r="E167" s="8">
        <f>IFERROR(__xludf.DUMMYFUNCTION("""COMPUTED_VALUE"""),263196.0)</f>
        <v>263196</v>
      </c>
      <c r="F167" s="9" t="str">
        <f>IFERROR(__xludf.DUMMYFUNCTION("""COMPUTED_VALUE"""),"逆ハーエンドのヒロインに転生しました～全員攻略済みの世界で愛され新婚生活～")</f>
        <v>逆ハーエンドのヒロインに転生しました～全員攻略済みの世界で愛され新婚生活～</v>
      </c>
      <c r="G167" s="11" t="str">
        <f>IFERROR(__xludf.DUMMYFUNCTION("""COMPUTED_VALUE"""),"1～2")</f>
        <v>1～2</v>
      </c>
      <c r="H167" s="8" t="str">
        <f>IFERROR(__xludf.DUMMYFUNCTION("""COMPUTED_VALUE"""),"世知")</f>
        <v>世知</v>
      </c>
      <c r="I167" s="8" t="str">
        <f>IFERROR(__xludf.DUMMYFUNCTION("""COMPUTED_VALUE"""),"TL")</f>
        <v>TL</v>
      </c>
      <c r="J167" s="8"/>
      <c r="K167" s="8"/>
      <c r="L167" s="8" t="str">
        <f>IFERROR(__xludf.DUMMYFUNCTION("""COMPUTED_VALUE"""),"ふゅーじょんぷろだくと")</f>
        <v>ふゅーじょんぷろだくと</v>
      </c>
      <c r="M167" s="12">
        <f>IFERROR(__xludf.DUMMYFUNCTION("""COMPUTED_VALUE"""),45000.0)</f>
        <v>45000</v>
      </c>
      <c r="N167" s="12">
        <f>IFERROR(__xludf.DUMMYFUNCTION("""COMPUTED_VALUE"""),45091.0)</f>
        <v>45091</v>
      </c>
      <c r="O167" s="11"/>
      <c r="P167" s="9" t="str">
        <f>IFERROR(__xludf.DUMMYFUNCTION("""COMPUTED_VALUE"""),"可")</f>
        <v>可</v>
      </c>
      <c r="Q167" s="8" t="str">
        <f>IFERROR(__xludf.DUMMYFUNCTION("""COMPUTED_VALUE"""),"広告コミットOK（1/12）&lt;BR&gt;")</f>
        <v>広告コミットOK（1/12）&lt;BR&gt;</v>
      </c>
      <c r="R167" s="9"/>
      <c r="S167" s="8" t="str">
        <f>IFERROR(__xludf.DUMMYFUNCTION("""COMPUTED_VALUE"""),"20230224_ふゅーじょんぷろだくと_逆ハーエンドのヒロインに転生しました～全員攻略済みの世界で愛され新婚生活～")</f>
        <v>20230224_ふゅーじょんぷろだくと_逆ハーエンドのヒロインに転生しました～全員攻略済みの世界で愛され新婚生活～</v>
      </c>
      <c r="T167" s="9"/>
      <c r="U167" s="9" t="str">
        <f>IFERROR(__xludf.DUMMYFUNCTION("""COMPUTED_VALUE"""),"©世知／FUSION PRODUCT")</f>
        <v>©世知／FUSION PRODUCT</v>
      </c>
      <c r="V167" s="8" t="str">
        <f>IFERROR(__xludf.DUMMYFUNCTION("""COMPUTED_VALUE"""),"【勇者、魔法使い、騎士、魔王…４人の夫に溺愛される。】ロールプレイングゲームの“姫”に転生した主人公。身体が弱かった彼女は、生前そのゲームで遊ぶことが入院生活の楽しみだった。それなのに、なぜか展開が思い出せない…！てっきり勇者と一緒に魔王を倒しに行くものと思いきや、すでに世界は平和を取り戻し、姫と勇者は夫婦になっていてーー！？
")</f>
        <v>【勇者、魔法使い、騎士、魔王…４人の夫に溺愛される。】ロールプレイングゲームの“姫”に転生した主人公。身体が弱かった彼女は、生前そのゲームで遊ぶことが入院生活の楽しみだった。それなのに、なぜか展開が思い出せない…！てっきり勇者と一緒に魔王を倒しに行くものと思いきや、すでに世界は平和を取り戻し、姫と勇者は夫婦になっていてーー！？
</v>
      </c>
      <c r="W167" s="8"/>
      <c r="X167" s="8" t="str">
        <f>IFERROR(__xludf.DUMMYFUNCTION("""COMPUTED_VALUE"""),"有")</f>
        <v>有</v>
      </c>
      <c r="Y167" s="8" t="str">
        <f>IFERROR(__xludf.DUMMYFUNCTION("""COMPUTED_VALUE"""),"P10まで")</f>
        <v>P10まで</v>
      </c>
      <c r="Z167" s="7"/>
      <c r="AA167" s="7"/>
      <c r="AB167" s="7"/>
    </row>
    <row r="168" ht="15.75" customHeight="1">
      <c r="A168" s="8">
        <f>IFERROR(__xludf.DUMMYFUNCTION("""COMPUTED_VALUE"""),1699.0)</f>
        <v>1699</v>
      </c>
      <c r="B168" s="9" t="str">
        <f>IFERROR(__xludf.DUMMYFUNCTION("""COMPUTED_VALUE"""),"確定")</f>
        <v>確定</v>
      </c>
      <c r="C168" s="10">
        <f>IFERROR(__xludf.DUMMYFUNCTION("""COMPUTED_VALUE"""),44963.0)</f>
        <v>44963</v>
      </c>
      <c r="D168" s="10">
        <f>IFERROR(__xludf.DUMMYFUNCTION("""COMPUTED_VALUE"""),44964.0)</f>
        <v>44964</v>
      </c>
      <c r="E168" s="8">
        <f>IFERROR(__xludf.DUMMYFUNCTION("""COMPUTED_VALUE"""),264099.0)</f>
        <v>264099</v>
      </c>
      <c r="F168" s="9" t="str">
        <f>IFERROR(__xludf.DUMMYFUNCTION("""COMPUTED_VALUE"""),"寵愛王宮～異世界、ふたりの王と夜伽姫～")</f>
        <v>寵愛王宮～異世界、ふたりの王と夜伽姫～</v>
      </c>
      <c r="G168" s="11" t="str">
        <f>IFERROR(__xludf.DUMMYFUNCTION("""COMPUTED_VALUE"""),"1～3")</f>
        <v>1～3</v>
      </c>
      <c r="H168" s="8" t="str">
        <f>IFERROR(__xludf.DUMMYFUNCTION("""COMPUTED_VALUE"""),"並木クロエ")</f>
        <v>並木クロエ</v>
      </c>
      <c r="I168" s="8" t="str">
        <f>IFERROR(__xludf.DUMMYFUNCTION("""COMPUTED_VALUE"""),"女性")</f>
        <v>女性</v>
      </c>
      <c r="J168" s="8"/>
      <c r="K168" s="8"/>
      <c r="L168" s="8" t="str">
        <f>IFERROR(__xludf.DUMMYFUNCTION("""COMPUTED_VALUE"""),"秋田書店")</f>
        <v>秋田書店</v>
      </c>
      <c r="M168" s="12">
        <f>IFERROR(__xludf.DUMMYFUNCTION("""COMPUTED_VALUE"""),45001.0)</f>
        <v>45001</v>
      </c>
      <c r="N168" s="12">
        <f>IFERROR(__xludf.DUMMYFUNCTION("""COMPUTED_VALUE"""),45063.0)</f>
        <v>45063</v>
      </c>
      <c r="O168" s="11"/>
      <c r="P168" s="9" t="str">
        <f>IFERROR(__xludf.DUMMYFUNCTION("""COMPUTED_VALUE"""),"可")</f>
        <v>可</v>
      </c>
      <c r="Q168" s="8" t="str">
        <f>IFERROR(__xludf.DUMMYFUNCTION("""COMPUTED_VALUE"""),"河上さんコミットOK")</f>
        <v>河上さんコミットOK</v>
      </c>
      <c r="R168" s="9"/>
      <c r="S168" s="8" t="str">
        <f>IFERROR(__xludf.DUMMYFUNCTION("""COMPUTED_VALUE"""),"20230206_秋田書店_寵愛王宮")</f>
        <v>20230206_秋田書店_寵愛王宮</v>
      </c>
      <c r="T168" s="9"/>
      <c r="U168" s="9" t="str">
        <f>IFERROR(__xludf.DUMMYFUNCTION("""COMPUTED_VALUE"""),"©並木クロエ（秋田書店）")</f>
        <v>©並木クロエ（秋田書店）</v>
      </c>
      <c r="V168" s="8" t="str">
        <f>IFERROR(__xludf.DUMMYFUNCTION("""COMPUTED_VALUE"""),"新シリーズ開始!!同棲していた彼に裏切られ、失意の中事故に遭った恵麻。異世界に迷い込んでしまった恵麻が出会った、運命の恋とは――!?今度こそ、運命の男に愛される恋がしたい!!
")</f>
        <v>新シリーズ開始!!同棲していた彼に裏切られ、失意の中事故に遭った恵麻。異世界に迷い込んでしまった恵麻が出会った、運命の恋とは――!?今度こそ、運命の男に愛される恋がしたい!!
</v>
      </c>
      <c r="W168" s="8"/>
      <c r="X168" s="8" t="str">
        <f>IFERROR(__xludf.DUMMYFUNCTION("""COMPUTED_VALUE"""),"有")</f>
        <v>有</v>
      </c>
      <c r="Y168" s="8" t="str">
        <f>IFERROR(__xludf.DUMMYFUNCTION("""COMPUTED_VALUE"""),"P10まで")</f>
        <v>P10まで</v>
      </c>
      <c r="Z168" s="7"/>
      <c r="AA168" s="7"/>
      <c r="AB168" s="7"/>
    </row>
    <row r="169" ht="15.75" customHeight="1">
      <c r="A169" s="8">
        <f>IFERROR(__xludf.DUMMYFUNCTION("""COMPUTED_VALUE"""),1728.0)</f>
        <v>1728</v>
      </c>
      <c r="B169" s="9" t="str">
        <f>IFERROR(__xludf.DUMMYFUNCTION("""COMPUTED_VALUE"""),"確定")</f>
        <v>確定</v>
      </c>
      <c r="C169" s="10">
        <f>IFERROR(__xludf.DUMMYFUNCTION("""COMPUTED_VALUE"""),44971.0)</f>
        <v>44971</v>
      </c>
      <c r="D169" s="10">
        <f>IFERROR(__xludf.DUMMYFUNCTION("""COMPUTED_VALUE"""),44971.0)</f>
        <v>44971</v>
      </c>
      <c r="E169" s="8">
        <f>IFERROR(__xludf.DUMMYFUNCTION("""COMPUTED_VALUE"""),250584.0)</f>
        <v>250584</v>
      </c>
      <c r="F169" s="9" t="str">
        <f>IFERROR(__xludf.DUMMYFUNCTION("""COMPUTED_VALUE"""),"PIYO PIYO CRUSH！")</f>
        <v>PIYO PIYO CRUSH！</v>
      </c>
      <c r="G169" s="11">
        <f>IFERROR(__xludf.DUMMYFUNCTION("""COMPUTED_VALUE"""),1.0)</f>
        <v>1</v>
      </c>
      <c r="H169" s="8" t="str">
        <f>IFERROR(__xludf.DUMMYFUNCTION("""COMPUTED_VALUE"""),"東条さかな")</f>
        <v>東条さかな</v>
      </c>
      <c r="I169" s="8" t="str">
        <f>IFERROR(__xludf.DUMMYFUNCTION("""COMPUTED_VALUE"""),"BL")</f>
        <v>BL</v>
      </c>
      <c r="J169" s="8"/>
      <c r="K169" s="8"/>
      <c r="L169" s="8" t="str">
        <f>IFERROR(__xludf.DUMMYFUNCTION("""COMPUTED_VALUE"""),"ソルマーレ編集部")</f>
        <v>ソルマーレ編集部</v>
      </c>
      <c r="M169" s="12">
        <f>IFERROR(__xludf.DUMMYFUNCTION("""COMPUTED_VALUE"""),45002.0)</f>
        <v>45002</v>
      </c>
      <c r="N169" s="12">
        <f>IFERROR(__xludf.DUMMYFUNCTION("""COMPUTED_VALUE"""),45120.66666666667)</f>
        <v>45120.66667</v>
      </c>
      <c r="O169" s="11"/>
      <c r="P169" s="9" t="str">
        <f>IFERROR(__xludf.DUMMYFUNCTION("""COMPUTED_VALUE"""),"可")</f>
        <v>可</v>
      </c>
      <c r="Q169" s="8" t="str">
        <f>IFERROR(__xludf.DUMMYFUNCTION("""COMPUTED_VALUE"""),"※正式タイトル下記の通りです（2/14）&lt;BR&gt;＝＝＝&lt;BR&gt;PIYO PIYO CRUSH！&lt;BR&gt;＝＝＝&lt;BR&gt;※本作品はFicus Party 4th朗読イベント作品です")</f>
        <v>※正式タイトル下記の通りです（2/14）&lt;BR&gt;＝＝＝&lt;BR&gt;PIYO PIYO CRUSH！&lt;BR&gt;＝＝＝&lt;BR&gt;※本作品はFicus Party 4th朗読イベント作品です</v>
      </c>
      <c r="R169" s="9"/>
      <c r="S169" s="8" t="str">
        <f>IFERROR(__xludf.DUMMYFUNCTION("""COMPUTED_VALUE"""),"20230214_ソルマーレ編集部_PIYO PIYO CRUSH！")</f>
        <v>20230214_ソルマーレ編集部_PIYO PIYO CRUSH！</v>
      </c>
      <c r="T169" s="15"/>
      <c r="U169" s="9" t="str">
        <f>IFERROR(__xludf.DUMMYFUNCTION("""COMPUTED_VALUE"""),"Ⓒ 東条さかな/シーモアコミックス")</f>
        <v>Ⓒ 東条さかな/シーモアコミックス</v>
      </c>
      <c r="V169" s="8" t="str">
        <f>IFERROR(__xludf.DUMMYFUNCTION("""COMPUTED_VALUE"""),"バイト先の居酒屋で、高校時代の友人・真一朗と再会したヒナ。真一朗はヒナの初恋相手。落ち着いててかっこよくて優しくて、ヒナは真一朗が大好きだった。だからこそ、この恋心がバレるんじゃないかと不安で、卒業と同時に逃げたのに……！ 観念して避け続けていたことを謝ると、真一朗はあたたかく受けいれてくれた。そんな優しさにどうしようもなくキュン…☆ ヒナは今度こそ逃げないと心に誓うけれど――？【フィカス】")</f>
        <v>バイト先の居酒屋で、高校時代の友人・真一朗と再会したヒナ。真一朗はヒナの初恋相手。落ち着いててかっこよくて優しくて、ヒナは真一朗が大好きだった。だからこそ、この恋心がバレるんじゃないかと不安で、卒業と同時に逃げたのに……！ 観念して避け続けていたことを謝ると、真一朗はあたたかく受けいれてくれた。そんな優しさにどうしようもなくキュン…☆ ヒナは今度こそ逃げないと心に誓うけれど――？【フィカス】</v>
      </c>
      <c r="W169" s="8"/>
      <c r="X169" s="8" t="str">
        <f>IFERROR(__xludf.DUMMYFUNCTION("""COMPUTED_VALUE"""),"有")</f>
        <v>有</v>
      </c>
      <c r="Y169" s="8" t="str">
        <f>IFERROR(__xludf.DUMMYFUNCTION("""COMPUTED_VALUE"""),"P12まで")</f>
        <v>P12まで</v>
      </c>
      <c r="Z169" s="7"/>
      <c r="AA169" s="7"/>
      <c r="AB169" s="7"/>
    </row>
    <row r="170" ht="15.75" customHeight="1">
      <c r="A170" s="8">
        <f>IFERROR(__xludf.DUMMYFUNCTION("""COMPUTED_VALUE"""),1729.0)</f>
        <v>1729</v>
      </c>
      <c r="B170" s="9" t="str">
        <f>IFERROR(__xludf.DUMMYFUNCTION("""COMPUTED_VALUE"""),"確定")</f>
        <v>確定</v>
      </c>
      <c r="C170" s="10">
        <f>IFERROR(__xludf.DUMMYFUNCTION("""COMPUTED_VALUE"""),44971.0)</f>
        <v>44971</v>
      </c>
      <c r="D170" s="10">
        <f>IFERROR(__xludf.DUMMYFUNCTION("""COMPUTED_VALUE"""),44971.0)</f>
        <v>44971</v>
      </c>
      <c r="E170" s="8">
        <f>IFERROR(__xludf.DUMMYFUNCTION("""COMPUTED_VALUE"""),256395.0)</f>
        <v>256395</v>
      </c>
      <c r="F170" s="9" t="str">
        <f>IFERROR(__xludf.DUMMYFUNCTION("""COMPUTED_VALUE"""),"ワンラブバカンス")</f>
        <v>ワンラブバカンス</v>
      </c>
      <c r="G170" s="11">
        <f>IFERROR(__xludf.DUMMYFUNCTION("""COMPUTED_VALUE"""),1.0)</f>
        <v>1</v>
      </c>
      <c r="H170" s="8" t="str">
        <f>IFERROR(__xludf.DUMMYFUNCTION("""COMPUTED_VALUE"""),"黒井モリー")</f>
        <v>黒井モリー</v>
      </c>
      <c r="I170" s="8" t="str">
        <f>IFERROR(__xludf.DUMMYFUNCTION("""COMPUTED_VALUE"""),"BL")</f>
        <v>BL</v>
      </c>
      <c r="J170" s="8"/>
      <c r="K170" s="8"/>
      <c r="L170" s="8" t="str">
        <f>IFERROR(__xludf.DUMMYFUNCTION("""COMPUTED_VALUE"""),"ソルマーレ編集部")</f>
        <v>ソルマーレ編集部</v>
      </c>
      <c r="M170" s="12">
        <f>IFERROR(__xludf.DUMMYFUNCTION("""COMPUTED_VALUE"""),45002.0)</f>
        <v>45002</v>
      </c>
      <c r="N170" s="12">
        <f>IFERROR(__xludf.DUMMYFUNCTION("""COMPUTED_VALUE"""),45120.66666666667)</f>
        <v>45120.66667</v>
      </c>
      <c r="O170" s="11"/>
      <c r="P170" s="9" t="str">
        <f>IFERROR(__xludf.DUMMYFUNCTION("""COMPUTED_VALUE"""),"可")</f>
        <v>可</v>
      </c>
      <c r="Q170" s="8" t="str">
        <f>IFERROR(__xludf.DUMMYFUNCTION("""COMPUTED_VALUE"""),"※正式タイトル下記の通りです（2/14）&lt;BR&gt;＝＝＝&lt;BR&gt;ワンラブバカンス&lt;BR&gt;＝＝＝&lt;BR&gt;※本作品はFicus Party 4th朗読イベント作品です")</f>
        <v>※正式タイトル下記の通りです（2/14）&lt;BR&gt;＝＝＝&lt;BR&gt;ワンラブバカンス&lt;BR&gt;＝＝＝&lt;BR&gt;※本作品はFicus Party 4th朗読イベント作品です</v>
      </c>
      <c r="R170" s="9"/>
      <c r="S170" s="8" t="str">
        <f>IFERROR(__xludf.DUMMYFUNCTION("""COMPUTED_VALUE"""),"20230215_ソルマーレ編集部_ワンラブバカンス")</f>
        <v>20230215_ソルマーレ編集部_ワンラブバカンス</v>
      </c>
      <c r="T170" s="15"/>
      <c r="U170" s="9" t="str">
        <f>IFERROR(__xludf.DUMMYFUNCTION("""COMPUTED_VALUE"""),"Ⓒ 黒井モリー/シーモアコミックス")</f>
        <v>Ⓒ 黒井モリー/シーモアコミックス</v>
      </c>
      <c r="V170" s="8" t="str">
        <f>IFERROR(__xludf.DUMMYFUNCTION("""COMPUTED_VALUE"""),"島でゲストハウスを経営している安里の元に、ある日変わったお客さん・名城がやってきた。というのも、一体なんのために島に来たのか、ヒマそうにしているわりには見どころである海にも行かず、宿を手伝ったり安里をかまって日がな過ごしているのだった。お客さんを越えた親近感を覚えてきたころ、名城にかかってきてた一本の電話に安里は激しく動揺して――。【フィカス】")</f>
        <v>島でゲストハウスを経営している安里の元に、ある日変わったお客さん・名城がやってきた。というのも、一体なんのために島に来たのか、ヒマそうにしているわりには見どころである海にも行かず、宿を手伝ったり安里をかまって日がな過ごしているのだった。お客さんを越えた親近感を覚えてきたころ、名城にかかってきてた一本の電話に安里は激しく動揺して――。【フィカス】</v>
      </c>
      <c r="W170" s="8"/>
      <c r="X170" s="8" t="str">
        <f>IFERROR(__xludf.DUMMYFUNCTION("""COMPUTED_VALUE"""),"有")</f>
        <v>有</v>
      </c>
      <c r="Y170" s="8" t="str">
        <f>IFERROR(__xludf.DUMMYFUNCTION("""COMPUTED_VALUE"""),"P11まで")</f>
        <v>P11まで</v>
      </c>
      <c r="Z170" s="7"/>
      <c r="AA170" s="7"/>
      <c r="AB170" s="7"/>
    </row>
    <row r="171" ht="15.75" customHeight="1">
      <c r="A171" s="8">
        <f>IFERROR(__xludf.DUMMYFUNCTION("""COMPUTED_VALUE"""),1730.0)</f>
        <v>1730</v>
      </c>
      <c r="B171" s="9" t="str">
        <f>IFERROR(__xludf.DUMMYFUNCTION("""COMPUTED_VALUE"""),"確定")</f>
        <v>確定</v>
      </c>
      <c r="C171" s="10">
        <f>IFERROR(__xludf.DUMMYFUNCTION("""COMPUTED_VALUE"""),44971.0)</f>
        <v>44971</v>
      </c>
      <c r="D171" s="10">
        <f>IFERROR(__xludf.DUMMYFUNCTION("""COMPUTED_VALUE"""),44971.0)</f>
        <v>44971</v>
      </c>
      <c r="E171" s="8">
        <f>IFERROR(__xludf.DUMMYFUNCTION("""COMPUTED_VALUE"""),257770.0)</f>
        <v>257770</v>
      </c>
      <c r="F171" s="9" t="str">
        <f>IFERROR(__xludf.DUMMYFUNCTION("""COMPUTED_VALUE"""),"メガネの下のオオカミくん")</f>
        <v>メガネの下のオオカミくん</v>
      </c>
      <c r="G171" s="11">
        <f>IFERROR(__xludf.DUMMYFUNCTION("""COMPUTED_VALUE"""),1.0)</f>
        <v>1</v>
      </c>
      <c r="H171" s="8" t="str">
        <f>IFERROR(__xludf.DUMMYFUNCTION("""COMPUTED_VALUE"""),"梶本潤")</f>
        <v>梶本潤</v>
      </c>
      <c r="I171" s="8" t="str">
        <f>IFERROR(__xludf.DUMMYFUNCTION("""COMPUTED_VALUE"""),"BL")</f>
        <v>BL</v>
      </c>
      <c r="J171" s="8"/>
      <c r="K171" s="8"/>
      <c r="L171" s="8" t="str">
        <f>IFERROR(__xludf.DUMMYFUNCTION("""COMPUTED_VALUE"""),"ソルマーレ編集部")</f>
        <v>ソルマーレ編集部</v>
      </c>
      <c r="M171" s="12">
        <f>IFERROR(__xludf.DUMMYFUNCTION("""COMPUTED_VALUE"""),45002.0)</f>
        <v>45002</v>
      </c>
      <c r="N171" s="12">
        <f>IFERROR(__xludf.DUMMYFUNCTION("""COMPUTED_VALUE"""),45120.66666666667)</f>
        <v>45120.66667</v>
      </c>
      <c r="O171" s="11"/>
      <c r="P171" s="9" t="str">
        <f>IFERROR(__xludf.DUMMYFUNCTION("""COMPUTED_VALUE"""),"可")</f>
        <v>可</v>
      </c>
      <c r="Q171" s="8" t="str">
        <f>IFERROR(__xludf.DUMMYFUNCTION("""COMPUTED_VALUE"""),"※正式タイトル下記の通りです（2/14）&lt;BR&gt;＝＝＝&lt;BR&gt;メガネの下のオオカミくん&lt;BR&gt;＝＝＝&lt;BR&gt;※本作品はFicus Party 4th朗読イベント作品です")</f>
        <v>※正式タイトル下記の通りです（2/14）&lt;BR&gt;＝＝＝&lt;BR&gt;メガネの下のオオカミくん&lt;BR&gt;＝＝＝&lt;BR&gt;※本作品はFicus Party 4th朗読イベント作品です</v>
      </c>
      <c r="R171" s="9"/>
      <c r="S171" s="8" t="str">
        <f>IFERROR(__xludf.DUMMYFUNCTION("""COMPUTED_VALUE"""),"20230214_ソルマーレ編集部_メガネの下のオオカミくん")</f>
        <v>20230214_ソルマーレ編集部_メガネの下のオオカミくん</v>
      </c>
      <c r="T171" s="15"/>
      <c r="U171" s="9" t="str">
        <f>IFERROR(__xludf.DUMMYFUNCTION("""COMPUTED_VALUE"""),"Ⓒ 梶本潤/シーモアコミックス")</f>
        <v>Ⓒ 梶本潤/シーモアコミックス</v>
      </c>
      <c r="V171" s="8" t="str">
        <f>IFERROR(__xludf.DUMMYFUNCTION("""COMPUTED_VALUE"""),"お隣さんはかわいい年下くん。小さい頃から毎日食事や身の回りの面倒を見てきた、それはもう「過保護」と言われるくらいに。いつまでも子供だと思っていたけれどもう大学生、そろそろ自立させなければ…、そんな思いもあって「家に行くのは控える」と言った瞬間、年下くんが大豹変…!! メガネをかけて伏し目がちで控えめな子――と思いきや、その正体はオオカミくんだった!?【フィカス】")</f>
        <v>お隣さんはかわいい年下くん。小さい頃から毎日食事や身の回りの面倒を見てきた、それはもう「過保護」と言われるくらいに。いつまでも子供だと思っていたけれどもう大学生、そろそろ自立させなければ…、そんな思いもあって「家に行くのは控える」と言った瞬間、年下くんが大豹変…!! メガネをかけて伏し目がちで控えめな子――と思いきや、その正体はオオカミくんだった!?【フィカス】</v>
      </c>
      <c r="W171" s="8"/>
      <c r="X171" s="8" t="str">
        <f>IFERROR(__xludf.DUMMYFUNCTION("""COMPUTED_VALUE"""),"有")</f>
        <v>有</v>
      </c>
      <c r="Y171" s="8" t="str">
        <f>IFERROR(__xludf.DUMMYFUNCTION("""COMPUTED_VALUE"""),"P11まで")</f>
        <v>P11まで</v>
      </c>
      <c r="Z171" s="7"/>
      <c r="AA171" s="7"/>
      <c r="AB171" s="7"/>
    </row>
    <row r="172" ht="15.75" customHeight="1">
      <c r="A172" s="8">
        <f>IFERROR(__xludf.DUMMYFUNCTION("""COMPUTED_VALUE"""),1720.0)</f>
        <v>1720</v>
      </c>
      <c r="B172" s="9" t="str">
        <f>IFERROR(__xludf.DUMMYFUNCTION("""COMPUTED_VALUE"""),"確定")</f>
        <v>確定</v>
      </c>
      <c r="C172" s="10">
        <f>IFERROR(__xludf.DUMMYFUNCTION("""COMPUTED_VALUE"""),44970.0)</f>
        <v>44970</v>
      </c>
      <c r="D172" s="10">
        <f>IFERROR(__xludf.DUMMYFUNCTION("""COMPUTED_VALUE"""),44977.0)</f>
        <v>44977</v>
      </c>
      <c r="E172" s="8">
        <f>IFERROR(__xludf.DUMMYFUNCTION("""COMPUTED_VALUE"""),264199.0)</f>
        <v>264199</v>
      </c>
      <c r="F172" s="9" t="str">
        <f>IFERROR(__xludf.DUMMYFUNCTION("""COMPUTED_VALUE"""),"お義兄さまとは呼べません！～御曹司と溺愛同居～")</f>
        <v>お義兄さまとは呼べません！～御曹司と溺愛同居～</v>
      </c>
      <c r="G172" s="11">
        <f>IFERROR(__xludf.DUMMYFUNCTION("""COMPUTED_VALUE"""),1.0)</f>
        <v>1</v>
      </c>
      <c r="H172" s="8" t="str">
        <f>IFERROR(__xludf.DUMMYFUNCTION("""COMPUTED_VALUE"""),"杠野水春・玉紀直")</f>
        <v>杠野水春・玉紀直</v>
      </c>
      <c r="I172" s="8" t="str">
        <f>IFERROR(__xludf.DUMMYFUNCTION("""COMPUTED_VALUE"""),"TL")</f>
        <v>TL</v>
      </c>
      <c r="J172" s="8"/>
      <c r="K172" s="8"/>
      <c r="L172" s="8" t="str">
        <f>IFERROR(__xludf.DUMMYFUNCTION("""COMPUTED_VALUE"""),"乙女ドルチェ・コミックス")</f>
        <v>乙女ドルチェ・コミックス</v>
      </c>
      <c r="M172" s="12">
        <f>IFERROR(__xludf.DUMMYFUNCTION("""COMPUTED_VALUE"""),45002.0)</f>
        <v>45002</v>
      </c>
      <c r="N172" s="12">
        <f>IFERROR(__xludf.DUMMYFUNCTION("""COMPUTED_VALUE"""),45032.0)</f>
        <v>45032</v>
      </c>
      <c r="O172" s="11"/>
      <c r="P172" s="9" t="str">
        <f>IFERROR(__xludf.DUMMYFUNCTION("""COMPUTED_VALUE"""),"可")</f>
        <v>可</v>
      </c>
      <c r="Q172" s="8" t="str">
        <f>IFERROR(__xludf.DUMMYFUNCTION("""COMPUTED_VALUE"""),"広告コミットOK（2/17）&lt;BR&gt;")</f>
        <v>広告コミットOK（2/17）&lt;BR&gt;</v>
      </c>
      <c r="R172" s="9" t="str">
        <f>IFERROR(__xludf.DUMMYFUNCTION("""COMPUTED_VALUE"""),"格納済")</f>
        <v>格納済</v>
      </c>
      <c r="S172" s="8" t="str">
        <f>IFERROR(__xludf.DUMMYFUNCTION("""COMPUTED_VALUE"""),"20230220_乙女ドルチェ_お義兄さまとは呼べません！")</f>
        <v>20230220_乙女ドルチェ_お義兄さまとは呼べません！</v>
      </c>
      <c r="T172" s="9" t="str">
        <f>IFERROR(__xludf.DUMMYFUNCTION("""COMPUTED_VALUE"""),"校了済素材")</f>
        <v>校了済素材</v>
      </c>
      <c r="U172" s="9" t="str">
        <f>IFERROR(__xludf.DUMMYFUNCTION("""COMPUTED_VALUE"""),"©杠野水春・玉紀直／ハーパーコリンズ・ジャパン")</f>
        <v>©杠野水春・玉紀直／ハーパーコリンズ・ジャパン</v>
      </c>
      <c r="V172" s="8" t="str">
        <f>IFERROR(__xludf.DUMMYFUNCTION("""COMPUTED_VALUE"""),"「たまらないな　最高にかわいくて　イカせたくなる」
流されていてもかまわない…今だけは彼に蕩かされていたい――
同じ課の先輩に逆恨みされ、中傷にさらされた胡桃｡傷つき、雨の中佇む彼女の手を取ってくれたのは、上司で課長の鬼塚龍史だった。「今だけでいい…俺を好きになれ」クールで苦手だった龍史の、不器用な優しさに包まれた胡桃は、甘く導かれるまま、龍史に“初めて”を捧げる。数日後、母親に再婚相手を紹介したいと言われ喜んで会食の場を訪れると、勤務先の会社社長とその息子・龍史を紹介される。待って…鬼塚課長が御曹司、"&amp;"しかも私と義兄妹になるってこと!?　その日から「お義兄さま」にベタベタに甘やかされる毎日が始まって…?")</f>
        <v>「たまらないな　最高にかわいくて　イカせたくなる」
流されていてもかまわない…今だけは彼に蕩かされていたい――
同じ課の先輩に逆恨みされ、中傷にさらされた胡桃｡傷つき、雨の中佇む彼女の手を取ってくれたのは、上司で課長の鬼塚龍史だった。「今だけでいい…俺を好きになれ」クールで苦手だった龍史の、不器用な優しさに包まれた胡桃は、甘く導かれるまま、龍史に“初めて”を捧げる。数日後、母親に再婚相手を紹介したいと言われ喜んで会食の場を訪れると、勤務先の会社社長とその息子・龍史を紹介される。待って…鬼塚課長が御曹司、しかも私と義兄妹になるってこと!?　その日から「お義兄さま」にベタベタに甘やかされる毎日が始まって…?</v>
      </c>
      <c r="W172" s="8"/>
      <c r="X172" s="8" t="str">
        <f>IFERROR(__xludf.DUMMYFUNCTION("""COMPUTED_VALUE"""),"有")</f>
        <v>有</v>
      </c>
      <c r="Y172" s="8" t="str">
        <f>IFERROR(__xludf.DUMMYFUNCTION("""COMPUTED_VALUE"""),"P26まで")</f>
        <v>P26まで</v>
      </c>
      <c r="Z172" s="7"/>
      <c r="AA172" s="7"/>
      <c r="AB172" s="7"/>
    </row>
    <row r="173" ht="15.75" customHeight="1">
      <c r="A173" s="8">
        <f>IFERROR(__xludf.DUMMYFUNCTION("""COMPUTED_VALUE"""),1721.0)</f>
        <v>1721</v>
      </c>
      <c r="B173" s="9" t="str">
        <f>IFERROR(__xludf.DUMMYFUNCTION("""COMPUTED_VALUE"""),"確定")</f>
        <v>確定</v>
      </c>
      <c r="C173" s="10">
        <f>IFERROR(__xludf.DUMMYFUNCTION("""COMPUTED_VALUE"""),44970.0)</f>
        <v>44970</v>
      </c>
      <c r="D173" s="10">
        <f>IFERROR(__xludf.DUMMYFUNCTION("""COMPUTED_VALUE"""),44977.0)</f>
        <v>44977</v>
      </c>
      <c r="E173" s="8">
        <f>IFERROR(__xludf.DUMMYFUNCTION("""COMPUTED_VALUE"""),264201.0)</f>
        <v>264201</v>
      </c>
      <c r="F173" s="9" t="str">
        <f>IFERROR(__xludf.DUMMYFUNCTION("""COMPUTED_VALUE"""),"鬼の恋煩い～寵嫁は無垢な愛に溺れる～")</f>
        <v>鬼の恋煩い～寵嫁は無垢な愛に溺れる～</v>
      </c>
      <c r="G173" s="11">
        <f>IFERROR(__xludf.DUMMYFUNCTION("""COMPUTED_VALUE"""),1.0)</f>
        <v>1</v>
      </c>
      <c r="H173" s="8" t="str">
        <f>IFERROR(__xludf.DUMMYFUNCTION("""COMPUTED_VALUE"""),"貴咲光流・桃城猫緒")</f>
        <v>貴咲光流・桃城猫緒</v>
      </c>
      <c r="I173" s="8" t="str">
        <f>IFERROR(__xludf.DUMMYFUNCTION("""COMPUTED_VALUE"""),"TL")</f>
        <v>TL</v>
      </c>
      <c r="J173" s="8"/>
      <c r="K173" s="8"/>
      <c r="L173" s="8" t="str">
        <f>IFERROR(__xludf.DUMMYFUNCTION("""COMPUTED_VALUE"""),"乙女ドルチェ・コミックス")</f>
        <v>乙女ドルチェ・コミックス</v>
      </c>
      <c r="M173" s="12">
        <f>IFERROR(__xludf.DUMMYFUNCTION("""COMPUTED_VALUE"""),45002.0)</f>
        <v>45002</v>
      </c>
      <c r="N173" s="12">
        <f>IFERROR(__xludf.DUMMYFUNCTION("""COMPUTED_VALUE"""),45032.0)</f>
        <v>45032</v>
      </c>
      <c r="O173" s="11"/>
      <c r="P173" s="9" t="str">
        <f>IFERROR(__xludf.DUMMYFUNCTION("""COMPUTED_VALUE"""),"可")</f>
        <v>可</v>
      </c>
      <c r="Q173" s="8" t="str">
        <f>IFERROR(__xludf.DUMMYFUNCTION("""COMPUTED_VALUE"""),"広告コミットOK（2/17）&lt;BR&gt;")</f>
        <v>広告コミットOK（2/17）&lt;BR&gt;</v>
      </c>
      <c r="R173" s="9" t="str">
        <f>IFERROR(__xludf.DUMMYFUNCTION("""COMPUTED_VALUE"""),"格納済")</f>
        <v>格納済</v>
      </c>
      <c r="S173" s="8" t="str">
        <f>IFERROR(__xludf.DUMMYFUNCTION("""COMPUTED_VALUE"""),"20230220_乙女ドルチェ_鬼の恋煩い")</f>
        <v>20230220_乙女ドルチェ_鬼の恋煩い</v>
      </c>
      <c r="T173" s="9" t="str">
        <f>IFERROR(__xludf.DUMMYFUNCTION("""COMPUTED_VALUE"""),"校了済素材")</f>
        <v>校了済素材</v>
      </c>
      <c r="U173" s="9" t="str">
        <f>IFERROR(__xludf.DUMMYFUNCTION("""COMPUTED_VALUE"""),"©貴咲光流・桃城猫緒／ハーパーコリンズ・ジャパン")</f>
        <v>©貴咲光流・桃城猫緒／ハーパーコリンズ・ジャパン</v>
      </c>
      <c r="V173" s="8" t="str">
        <f>IFERROR(__xludf.DUMMYFUNCTION("""COMPUTED_VALUE"""),"逞しい鬼様が
こんなに優しく抱いてくださるなんて
叫びたくなる程 満たされる
しあわせな交わり―――
「抱いても抱いても、抱き足りぬ…愛おしい雲雀(ひばり)」体の芯から熱く疼く。この世にこんな悦楽があったなんて…。雨鎮めの祈祷のため池守の神様への人身御供になった、天涯孤独の村娘、雲雀。冷たい泉に身を投げた彼女の目の前に赤石山の鬼、焔(ほむら)童子(どうじ)が現れる。実は８年前に２人は出会い、焔童子は彼女を妻にすると決めて年頃になるのを待っていたのだ。雲雀を助け、迎えるために準備してきた洞窟で、焔童子は"&amp;"雲雀を優しく愛する。異形と交わる、人として外れた道であっても、彼に惹かれ、妻になることを雲雀も望む。だが、２人に忍び寄る影が──?")</f>
        <v>逞しい鬼様が
こんなに優しく抱いてくださるなんて
叫びたくなる程 満たされる
しあわせな交わり―――
「抱いても抱いても、抱き足りぬ…愛おしい雲雀(ひばり)」体の芯から熱く疼く。この世にこんな悦楽があったなんて…。雨鎮めの祈祷のため池守の神様への人身御供になった、天涯孤独の村娘、雲雀。冷たい泉に身を投げた彼女の目の前に赤石山の鬼、焔(ほむら)童子(どうじ)が現れる。実は８年前に２人は出会い、焔童子は彼女を妻にすると決めて年頃になるのを待っていたのだ。雲雀を助け、迎えるために準備してきた洞窟で、焔童子は雲雀を優しく愛する。異形と交わる、人として外れた道であっても、彼に惹かれ、妻になることを雲雀も望む。だが、２人に忍び寄る影が──?</v>
      </c>
      <c r="W173" s="8"/>
      <c r="X173" s="8" t="str">
        <f>IFERROR(__xludf.DUMMYFUNCTION("""COMPUTED_VALUE"""),"有")</f>
        <v>有</v>
      </c>
      <c r="Y173" s="8" t="str">
        <f>IFERROR(__xludf.DUMMYFUNCTION("""COMPUTED_VALUE"""),"P30まで")</f>
        <v>P30まで</v>
      </c>
      <c r="Z173" s="7"/>
      <c r="AA173" s="7"/>
      <c r="AB173" s="7"/>
    </row>
    <row r="174" ht="15.75" customHeight="1">
      <c r="A174" s="8">
        <f>IFERROR(__xludf.DUMMYFUNCTION("""COMPUTED_VALUE"""),1637.0)</f>
        <v>1637</v>
      </c>
      <c r="B174" s="9" t="str">
        <f>IFERROR(__xludf.DUMMYFUNCTION("""COMPUTED_VALUE"""),"確定")</f>
        <v>確定</v>
      </c>
      <c r="C174" s="10">
        <f>IFERROR(__xludf.DUMMYFUNCTION("""COMPUTED_VALUE"""),44936.0)</f>
        <v>44936</v>
      </c>
      <c r="D174" s="10">
        <f>IFERROR(__xludf.DUMMYFUNCTION("""COMPUTED_VALUE"""),44981.0)</f>
        <v>44981</v>
      </c>
      <c r="E174" s="8">
        <f>IFERROR(__xludf.DUMMYFUNCTION("""COMPUTED_VALUE"""),264195.0)</f>
        <v>264195</v>
      </c>
      <c r="F174" s="9" t="str">
        <f>IFERROR(__xludf.DUMMYFUNCTION("""COMPUTED_VALUE"""),"ホタルの嫁入り【単話】")</f>
        <v>ホタルの嫁入り【単話】</v>
      </c>
      <c r="G174" s="11" t="str">
        <f>IFERROR(__xludf.DUMMYFUNCTION("""COMPUTED_VALUE"""),"1～3")</f>
        <v>1～3</v>
      </c>
      <c r="H174" s="8" t="str">
        <f>IFERROR(__xludf.DUMMYFUNCTION("""COMPUTED_VALUE"""),"橘オレコ")</f>
        <v>橘オレコ</v>
      </c>
      <c r="I174" s="8" t="str">
        <f>IFERROR(__xludf.DUMMYFUNCTION("""COMPUTED_VALUE"""),"少女")</f>
        <v>少女</v>
      </c>
      <c r="J174" s="8"/>
      <c r="K174" s="8"/>
      <c r="L174" s="8" t="str">
        <f>IFERROR(__xludf.DUMMYFUNCTION("""COMPUTED_VALUE"""),"小学館")</f>
        <v>小学館</v>
      </c>
      <c r="M174" s="12">
        <f>IFERROR(__xludf.DUMMYFUNCTION("""COMPUTED_VALUE"""),45002.0)</f>
        <v>45002</v>
      </c>
      <c r="N174" s="19">
        <f>IFERROR(__xludf.DUMMYFUNCTION("""COMPUTED_VALUE"""),45064.66666666667)</f>
        <v>45064.66667</v>
      </c>
      <c r="O174" s="11"/>
      <c r="P174" s="9" t="str">
        <f>IFERROR(__xludf.DUMMYFUNCTION("""COMPUTED_VALUE"""),"否")</f>
        <v>否</v>
      </c>
      <c r="Q174" s="8" t="str">
        <f>IFERROR(__xludf.DUMMYFUNCTION("""COMPUTED_VALUE"""),"広告コミットOK（1/12）&lt;BR&gt;")</f>
        <v>広告コミットOK（1/12）&lt;BR&gt;</v>
      </c>
      <c r="R174" s="9"/>
      <c r="S174" s="8" t="str">
        <f>IFERROR(__xludf.DUMMYFUNCTION("""COMPUTED_VALUE"""),"20230224_小学館_ホタルの嫁入り【単話】")</f>
        <v>20230224_小学館_ホタルの嫁入り【単話】</v>
      </c>
      <c r="T174" s="9"/>
      <c r="U174" s="9" t="str">
        <f>IFERROR(__xludf.DUMMYFUNCTION("""COMPUTED_VALUE"""),"©橘オレコ / 小学館")</f>
        <v>©橘オレコ / 小学館</v>
      </c>
      <c r="V174" s="8" t="str">
        <f>IFERROR(__xludf.DUMMYFUNCTION("""COMPUTED_VALUE"""),"余命わずかの令嬢と、異常な愛を持つ殺し屋ーー契約結婚（??）ラブサスペンス！
時は明治。名家に生まれ美貌にも恵まれるも、余命わずかと言われている紗都子の夢は…利益になる結婚をし、家族に恩返しをすることだけ。
しかし突然、謎の殺し屋に命を狙われ…！？
その場を生き延びるため…紗都子は殺し屋に「私と結婚してくださいーー私と結婚すれば全てが手に入ります」と提案を??
絶対交わらないはずの二人の、命懸けの婚約生活が始まるーー！")</f>
        <v>余命わずかの令嬢と、異常な愛を持つ殺し屋ーー契約結婚（??）ラブサスペンス！
時は明治。名家に生まれ美貌にも恵まれるも、余命わずかと言われている紗都子の夢は…利益になる結婚をし、家族に恩返しをすることだけ。
しかし突然、謎の殺し屋に命を狙われ…！？
その場を生き延びるため…紗都子は殺し屋に「私と結婚してくださいーー私と結婚すれば全てが手に入ります」と提案を??
絶対交わらないはずの二人の、命懸けの婚約生活が始まるーー！</v>
      </c>
      <c r="W174" s="8"/>
      <c r="X174" s="8" t="str">
        <f>IFERROR(__xludf.DUMMYFUNCTION("""COMPUTED_VALUE"""),"有")</f>
        <v>有</v>
      </c>
      <c r="Y174" s="8" t="str">
        <f>IFERROR(__xludf.DUMMYFUNCTION("""COMPUTED_VALUE"""),"3/30まで1巻目無料")</f>
        <v>3/30まで1巻目無料</v>
      </c>
      <c r="Z174" s="7"/>
      <c r="AA174" s="7"/>
      <c r="AB174" s="7"/>
    </row>
    <row r="175" ht="15.75" customHeight="1">
      <c r="A175" s="8">
        <f>IFERROR(__xludf.DUMMYFUNCTION("""COMPUTED_VALUE"""),1719.0)</f>
        <v>1719</v>
      </c>
      <c r="B175" s="9" t="str">
        <f>IFERROR(__xludf.DUMMYFUNCTION("""COMPUTED_VALUE"""),"確定")</f>
        <v>確定</v>
      </c>
      <c r="C175" s="10">
        <f>IFERROR(__xludf.DUMMYFUNCTION("""COMPUTED_VALUE"""),44970.0)</f>
        <v>44970</v>
      </c>
      <c r="D175" s="10">
        <f>IFERROR(__xludf.DUMMYFUNCTION("""COMPUTED_VALUE"""),44979.0)</f>
        <v>44979</v>
      </c>
      <c r="E175" s="8">
        <f>IFERROR(__xludf.DUMMYFUNCTION("""COMPUTED_VALUE"""),264193.0)</f>
        <v>264193</v>
      </c>
      <c r="F175" s="9" t="str">
        <f>IFERROR(__xludf.DUMMYFUNCTION("""COMPUTED_VALUE"""),"大正新婚浪漫～軍人さまは初心な妻を執着純愛で染め上げたい～")</f>
        <v>大正新婚浪漫～軍人さまは初心な妻を執着純愛で染め上げたい～</v>
      </c>
      <c r="G175" s="11" t="str">
        <f>IFERROR(__xludf.DUMMYFUNCTION("""COMPUTED_VALUE"""),"1～4")</f>
        <v>1～4</v>
      </c>
      <c r="H175" s="8" t="str">
        <f>IFERROR(__xludf.DUMMYFUNCTION("""COMPUTED_VALUE"""),"ナガトカヨ・砂川雨路")</f>
        <v>ナガトカヨ・砂川雨路</v>
      </c>
      <c r="I175" s="8" t="str">
        <f>IFERROR(__xludf.DUMMYFUNCTION("""COMPUTED_VALUE"""),"女性")</f>
        <v>女性</v>
      </c>
      <c r="J175" s="8"/>
      <c r="K175" s="8"/>
      <c r="L175" s="8" t="str">
        <f>IFERROR(__xludf.DUMMYFUNCTION("""COMPUTED_VALUE"""),"ハーパーコリンズ・ジャパン")</f>
        <v>ハーパーコリンズ・ジャパン</v>
      </c>
      <c r="M175" s="12">
        <f>IFERROR(__xludf.DUMMYFUNCTION("""COMPUTED_VALUE"""),45002.0)</f>
        <v>45002</v>
      </c>
      <c r="N175" s="12">
        <f>IFERROR(__xludf.DUMMYFUNCTION("""COMPUTED_VALUE"""),45032.0)</f>
        <v>45032</v>
      </c>
      <c r="O175" s="11"/>
      <c r="P175" s="9" t="str">
        <f>IFERROR(__xludf.DUMMYFUNCTION("""COMPUTED_VALUE"""),"否")</f>
        <v>否</v>
      </c>
      <c r="Q175" s="8" t="str">
        <f>IFERROR(__xludf.DUMMYFUNCTION("""COMPUTED_VALUE"""),"広告コミットOK（2/22）&lt;BR&gt;4巻目素材未定の為、いったん1-3話格納（2/22）&lt;BR&gt;")</f>
        <v>広告コミットOK（2/22）&lt;BR&gt;4巻目素材未定の為、いったん1-3話格納（2/22）&lt;BR&gt;</v>
      </c>
      <c r="R175" s="9" t="str">
        <f>IFERROR(__xludf.DUMMYFUNCTION("""COMPUTED_VALUE"""),"格納済※4話目未定")</f>
        <v>格納済※4話目未定</v>
      </c>
      <c r="S175" s="8" t="str">
        <f>IFERROR(__xludf.DUMMYFUNCTION("""COMPUTED_VALUE"""),"20230222_ハーパーコリンズ_大正新婚浪漫")</f>
        <v>20230222_ハーパーコリンズ_大正新婚浪漫</v>
      </c>
      <c r="T175" s="9" t="str">
        <f>IFERROR(__xludf.DUMMYFUNCTION("""COMPUTED_VALUE"""),"校了済素材")</f>
        <v>校了済素材</v>
      </c>
      <c r="U175" s="9" t="str">
        <f>IFERROR(__xludf.DUMMYFUNCTION("""COMPUTED_VALUE"""),"©ナガトカヨ・砂川雨路／ハーパーコリンズ・ジャパン")</f>
        <v>©ナガトカヨ・砂川雨路／ハーパーコリンズ・ジャパン</v>
      </c>
      <c r="V175" s="8" t="str">
        <f>IFERROR(__xludf.DUMMYFUNCTION("""COMPUTED_VALUE"""),"「お前のその濡れ髪はなまめかしくて困る」
身分を偽っての政略結婚で溺愛されてしまい…!?
時は大正。良家の娘でありながら女中として扱われてきた楓は、家業の為、華族で陸軍大尉・雪禎の妻となることに。しかし身分を偽り、正式な令嬢として嫁ぐことが条件。素性がバレることは絶対に許されない。
秘密を抱えて始まった結婚生活。罪悪感を覚えつつも、過保護に甘やかしてくれる雪禎に、楓は次第に溺れていき―…。")</f>
        <v>「お前のその濡れ髪はなまめかしくて困る」
身分を偽っての政略結婚で溺愛されてしまい…!?
時は大正。良家の娘でありながら女中として扱われてきた楓は、家業の為、華族で陸軍大尉・雪禎の妻となることに。しかし身分を偽り、正式な令嬢として嫁ぐことが条件。素性がバレることは絶対に許されない。
秘密を抱えて始まった結婚生活。罪悪感を覚えつつも、過保護に甘やかしてくれる雪禎に、楓は次第に溺れていき―…。</v>
      </c>
      <c r="W175" s="8"/>
      <c r="X175" s="8" t="str">
        <f>IFERROR(__xludf.DUMMYFUNCTION("""COMPUTED_VALUE"""),"有")</f>
        <v>有</v>
      </c>
      <c r="Y175" s="8" t="str">
        <f>IFERROR(__xludf.DUMMYFUNCTION("""COMPUTED_VALUE"""),"1巻目無料")</f>
        <v>1巻目無料</v>
      </c>
      <c r="Z175" s="7"/>
      <c r="AA175" s="7"/>
      <c r="AB175" s="7"/>
    </row>
    <row r="176" ht="15.75" customHeight="1">
      <c r="A176" s="8">
        <f>IFERROR(__xludf.DUMMYFUNCTION("""COMPUTED_VALUE"""),1734.0)</f>
        <v>1734</v>
      </c>
      <c r="B176" s="9" t="str">
        <f>IFERROR(__xludf.DUMMYFUNCTION("""COMPUTED_VALUE"""),"確定")</f>
        <v>確定</v>
      </c>
      <c r="C176" s="10">
        <f>IFERROR(__xludf.DUMMYFUNCTION("""COMPUTED_VALUE"""),44973.0)</f>
        <v>44973</v>
      </c>
      <c r="D176" s="10">
        <f>IFERROR(__xludf.DUMMYFUNCTION("""COMPUTED_VALUE"""),44981.0)</f>
        <v>44981</v>
      </c>
      <c r="E176" s="8">
        <f>IFERROR(__xludf.DUMMYFUNCTION("""COMPUTED_VALUE"""),263328.0)</f>
        <v>263328</v>
      </c>
      <c r="F176" s="9" t="str">
        <f>IFERROR(__xludf.DUMMYFUNCTION("""COMPUTED_VALUE"""),"白銀の龍と雨籠りの乙女")</f>
        <v>白銀の龍と雨籠りの乙女</v>
      </c>
      <c r="G176" s="11" t="str">
        <f>IFERROR(__xludf.DUMMYFUNCTION("""COMPUTED_VALUE"""),"1～3")</f>
        <v>1～3</v>
      </c>
      <c r="H176" s="8" t="str">
        <f>IFERROR(__xludf.DUMMYFUNCTION("""COMPUTED_VALUE"""),"こよりさつき")</f>
        <v>こよりさつき</v>
      </c>
      <c r="I176" s="14" t="str">
        <f>IFERROR(__xludf.DUMMYFUNCTION("""COMPUTED_VALUE"""),"女性")</f>
        <v>女性</v>
      </c>
      <c r="J176" s="8"/>
      <c r="K176" s="8"/>
      <c r="L176" s="8" t="str">
        <f>IFERROR(__xludf.DUMMYFUNCTION("""COMPUTED_VALUE"""),"マッグガーデン")</f>
        <v>マッグガーデン</v>
      </c>
      <c r="M176" s="12">
        <f>IFERROR(__xludf.DUMMYFUNCTION("""COMPUTED_VALUE"""),45002.0)</f>
        <v>45002</v>
      </c>
      <c r="N176" s="12">
        <f>IFERROR(__xludf.DUMMYFUNCTION("""COMPUTED_VALUE"""),45093.0)</f>
        <v>45093</v>
      </c>
      <c r="O176" s="11"/>
      <c r="P176" s="9" t="str">
        <f>IFERROR(__xludf.DUMMYFUNCTION("""COMPUTED_VALUE"""),"否")</f>
        <v>否</v>
      </c>
      <c r="Q176" s="8" t="str">
        <f>IFERROR(__xludf.DUMMYFUNCTION("""COMPUTED_VALUE"""),"協業作品になります。&lt;BR&gt;ご対応よろしくお願いします。")</f>
        <v>協業作品になります。&lt;BR&gt;ご対応よろしくお願いします。</v>
      </c>
      <c r="R176" s="9">
        <f>IFERROR(__xludf.DUMMYFUNCTION("""COMPUTED_VALUE"""),44974.0)</f>
        <v>44974</v>
      </c>
      <c r="S176" s="8" t="str">
        <f>IFERROR(__xludf.DUMMYFUNCTION("""COMPUTED_VALUE"""),"20230224_マッグガーデン_白銀の龍と雨籠りの乙女")</f>
        <v>20230224_マッグガーデン_白銀の龍と雨籠りの乙女</v>
      </c>
      <c r="T176" s="9"/>
      <c r="U176" s="9" t="str">
        <f>IFERROR(__xludf.DUMMYFUNCTION("""COMPUTED_VALUE"""),"©Koyorisatsuki/MAG Garden")</f>
        <v>©Koyorisatsuki/MAG Garden</v>
      </c>
      <c r="V176" s="8" t="str">
        <f>IFERROR(__xludf.DUMMYFUNCTION("""COMPUTED_VALUE"""),"「どうして…生き残ったのが私なのだろう」。八年前の豪雨災害により、家族を失った陽毬。天涯孤独となってしまった彼女を引き取った村長の家では、死にぞこないの穀潰しだと蔑まされ、酷い扱いを受けていた。そんなある日、彼女は危ないところを不思議な男性に助けられ…。
")</f>
        <v>「どうして…生き残ったのが私なのだろう」。八年前の豪雨災害により、家族を失った陽毬。天涯孤独となってしまった彼女を引き取った村長の家では、死にぞこないの穀潰しだと蔑まされ、酷い扱いを受けていた。そんなある日、彼女は危ないところを不思議な男性に助けられ…。
</v>
      </c>
      <c r="W176" s="8"/>
      <c r="X176" s="8" t="str">
        <f>IFERROR(__xludf.DUMMYFUNCTION("""COMPUTED_VALUE"""),"有")</f>
        <v>有</v>
      </c>
      <c r="Y176" s="8" t="str">
        <f>IFERROR(__xludf.DUMMYFUNCTION("""COMPUTED_VALUE"""),"1巻目無料")</f>
        <v>1巻目無料</v>
      </c>
      <c r="Z176" s="7"/>
      <c r="AA176" s="7"/>
      <c r="AB176" s="7"/>
    </row>
    <row r="177" ht="15.75" customHeight="1">
      <c r="A177" s="8">
        <f>IFERROR(__xludf.DUMMYFUNCTION("""COMPUTED_VALUE"""),1735.0)</f>
        <v>1735</v>
      </c>
      <c r="B177" s="9" t="str">
        <f>IFERROR(__xludf.DUMMYFUNCTION("""COMPUTED_VALUE"""),"確定")</f>
        <v>確定</v>
      </c>
      <c r="C177" s="10">
        <f>IFERROR(__xludf.DUMMYFUNCTION("""COMPUTED_VALUE"""),44974.0)</f>
        <v>44974</v>
      </c>
      <c r="D177" s="10">
        <f>IFERROR(__xludf.DUMMYFUNCTION("""COMPUTED_VALUE"""),44974.0)</f>
        <v>44974</v>
      </c>
      <c r="E177" s="8">
        <f>IFERROR(__xludf.DUMMYFUNCTION("""COMPUTED_VALUE"""),245016.0)</f>
        <v>245016</v>
      </c>
      <c r="F177" s="9" t="str">
        <f>IFERROR(__xludf.DUMMYFUNCTION("""COMPUTED_VALUE"""),"ゾンビ島(キリド)")</f>
        <v>ゾンビ島(キリド)</v>
      </c>
      <c r="G177" s="11" t="str">
        <f>IFERROR(__xludf.DUMMYFUNCTION("""COMPUTED_VALUE"""),"1～3")</f>
        <v>1～3</v>
      </c>
      <c r="H177" s="8" t="str">
        <f>IFERROR(__xludf.DUMMYFUNCTION("""COMPUTED_VALUE"""),"近藤令")</f>
        <v>近藤令</v>
      </c>
      <c r="I177" s="14" t="str">
        <f>IFERROR(__xludf.DUMMYFUNCTION("""COMPUTED_VALUE"""),"青年")</f>
        <v>青年</v>
      </c>
      <c r="J177" s="8"/>
      <c r="K177" s="8"/>
      <c r="L177" s="8" t="str">
        <f>IFERROR(__xludf.DUMMYFUNCTION("""COMPUTED_VALUE"""),"ソルマーレ編集部")</f>
        <v>ソルマーレ編集部</v>
      </c>
      <c r="M177" s="12">
        <f>IFERROR(__xludf.DUMMYFUNCTION("""COMPUTED_VALUE"""),45003.0)</f>
        <v>45003</v>
      </c>
      <c r="N177" s="12">
        <f>IFERROR(__xludf.DUMMYFUNCTION("""COMPUTED_VALUE"""),45064.0)</f>
        <v>45064</v>
      </c>
      <c r="O177" s="11"/>
      <c r="P177" s="9" t="str">
        <f>IFERROR(__xludf.DUMMYFUNCTION("""COMPUTED_VALUE"""),"可")</f>
        <v>可</v>
      </c>
      <c r="Q177" s="8" t="str">
        <f>IFERROR(__xludf.DUMMYFUNCTION("""COMPUTED_VALUE"""),"書誌上は読み仮名が下記のように表記しています。&lt;BR&gt;「ゾンビ島」と書いて「キリド」と読みます。&lt;BR&gt;タイトル名：ゾンビ島&lt;BR&gt;タイトル読み仮名：ゾンビトウキリド")</f>
        <v>書誌上は読み仮名が下記のように表記しています。&lt;BR&gt;「ゾンビ島」と書いて「キリド」と読みます。&lt;BR&gt;タイトル名：ゾンビ島&lt;BR&gt;タイトル読み仮名：ゾンビトウキリド</v>
      </c>
      <c r="R177" s="9"/>
      <c r="S177" s="8" t="str">
        <f>IFERROR(__xludf.DUMMYFUNCTION("""COMPUTED_VALUE"""),"20230217_ソルマーレ編集部_ゾンビ島（キリド）")</f>
        <v>20230217_ソルマーレ編集部_ゾンビ島（キリド）</v>
      </c>
      <c r="T177" s="15"/>
      <c r="U177" s="9" t="str">
        <f>IFERROR(__xludf.DUMMYFUNCTION("""COMPUTED_VALUE"""),"「ゾンビ島(キリド)」© 近藤令/シーモアコミックス")</f>
        <v>「ゾンビ島(キリド)」© 近藤令/シーモアコミックス</v>
      </c>
      <c r="V177" s="8" t="str">
        <f>IFERROR(__xludf.DUMMYFUNCTION("""COMPUTED_VALUE"""),"目が覚めるとそこは誰もいない病院の一室だった――
徐々に蘇る記憶の断片、自分はアル中でその日も酔ったまま仕事をこなし、追加のビールを買いに出かけた最中だった。死んだはずの元カノが道端に立っていて…そして目が覚めると病院にいたのだった。謎に包まれたゾンビの島、孤島サスペンス！【ズズズキュン！】
")</f>
        <v>目が覚めるとそこは誰もいない病院の一室だった――
徐々に蘇る記憶の断片、自分はアル中でその日も酔ったまま仕事をこなし、追加のビールを買いに出かけた最中だった。死んだはずの元カノが道端に立っていて…そして目が覚めると病院にいたのだった。謎に包まれたゾンビの島、孤島サスペンス！【ズズズキュン！】
</v>
      </c>
      <c r="W177" s="8"/>
      <c r="X177" s="8" t="str">
        <f>IFERROR(__xludf.DUMMYFUNCTION("""COMPUTED_VALUE"""),"有")</f>
        <v>有</v>
      </c>
      <c r="Y177" s="8" t="str">
        <f>IFERROR(__xludf.DUMMYFUNCTION("""COMPUTED_VALUE"""),"3/31まで1巻目無料")</f>
        <v>3/31まで1巻目無料</v>
      </c>
      <c r="Z177" s="7"/>
      <c r="AA177" s="7"/>
      <c r="AB177" s="7"/>
    </row>
    <row r="178" ht="15.75" customHeight="1">
      <c r="A178" s="8">
        <f>IFERROR(__xludf.DUMMYFUNCTION("""COMPUTED_VALUE"""),1742.0)</f>
        <v>1742</v>
      </c>
      <c r="B178" s="9" t="str">
        <f>IFERROR(__xludf.DUMMYFUNCTION("""COMPUTED_VALUE"""),"確定")</f>
        <v>確定</v>
      </c>
      <c r="C178" s="10">
        <f>IFERROR(__xludf.DUMMYFUNCTION("""COMPUTED_VALUE"""),44978.0)</f>
        <v>44978</v>
      </c>
      <c r="D178" s="10">
        <f>IFERROR(__xludf.DUMMYFUNCTION("""COMPUTED_VALUE"""),44978.0)</f>
        <v>44978</v>
      </c>
      <c r="E178" s="8">
        <f>IFERROR(__xludf.DUMMYFUNCTION("""COMPUTED_VALUE"""),250593.0)</f>
        <v>250593</v>
      </c>
      <c r="F178" s="9" t="str">
        <f>IFERROR(__xludf.DUMMYFUNCTION("""COMPUTED_VALUE"""),"初恋の怪物～囚われの王子、影の王冠～(フルカラー)")</f>
        <v>初恋の怪物～囚われの王子、影の王冠～(フルカラー)</v>
      </c>
      <c r="G178" s="11" t="str">
        <f>IFERROR(__xludf.DUMMYFUNCTION("""COMPUTED_VALUE"""),"1～2")</f>
        <v>1～2</v>
      </c>
      <c r="H178" s="8" t="str">
        <f>IFERROR(__xludf.DUMMYFUNCTION("""COMPUTED_VALUE"""),"Chanok,ヘウィ")</f>
        <v>Chanok,ヘウィ</v>
      </c>
      <c r="I178" s="8" t="str">
        <f>IFERROR(__xludf.DUMMYFUNCTION("""COMPUTED_VALUE"""),"BL")</f>
        <v>BL</v>
      </c>
      <c r="J178" s="8"/>
      <c r="K178" s="8"/>
      <c r="L178" s="8" t="str">
        <f>IFERROR(__xludf.DUMMYFUNCTION("""COMPUTED_VALUE"""),"ソルマーレ編集部")</f>
        <v>ソルマーレ編集部</v>
      </c>
      <c r="M178" s="12">
        <f>IFERROR(__xludf.DUMMYFUNCTION("""COMPUTED_VALUE"""),45003.0)</f>
        <v>45003</v>
      </c>
      <c r="N178" s="12">
        <f>IFERROR(__xludf.DUMMYFUNCTION("""COMPUTED_VALUE"""),45064.0)</f>
        <v>45064</v>
      </c>
      <c r="O178" s="11"/>
      <c r="P178" s="9" t="str">
        <f>IFERROR(__xludf.DUMMYFUNCTION("""COMPUTED_VALUE"""),"可")</f>
        <v>可</v>
      </c>
      <c r="Q178" s="8" t="str">
        <f>IFERROR(__xludf.DUMMYFUNCTION("""COMPUTED_VALUE"""),"表紙素材のみ不足のため別途格納し更新します")</f>
        <v>表紙素材のみ不足のため別途格納し更新します</v>
      </c>
      <c r="R178" s="9"/>
      <c r="S178" s="8" t="str">
        <f>IFERROR(__xludf.DUMMYFUNCTION("""COMPUTED_VALUE"""),"20230214_ソルマーレ編集部_初恋の怪物～囚われの王子、影の王冠～(フルカラー)")</f>
        <v>20230214_ソルマーレ編集部_初恋の怪物～囚われの王子、影の王冠～(フルカラー)</v>
      </c>
      <c r="T178" s="15"/>
      <c r="U178" s="9" t="str">
        <f>IFERROR(__xludf.DUMMYFUNCTION("""COMPUTED_VALUE"""),"Ⓒ Chanok/ヘウィ/シーモアコミックス")</f>
        <v>Ⓒ Chanok/ヘウィ/シーモアコミックス</v>
      </c>
      <c r="V178" s="8" t="str">
        <f>IFERROR(__xludf.DUMMYFUNCTION("""COMPUTED_VALUE"""),"「今から貴様は俺の替え玉だ」雨のなか、自分とそっくりな容貌を持つローウィン王国の王子ダニエルに助けられたラエルは、自分の替え玉になれというダニエルの提案を受け入れ、父王にも見破られないほど『完璧なダニエル』となっていた。そんななか、王国を訪れていた帝国の皇帝レオンハルトから信じがたい望みを提案され…。恋情の渦に飲み込まれてゆくラエルたちの運命は―!? 動乱のラブファンタジーストーリー開幕!!【フィカス】")</f>
        <v>「今から貴様は俺の替え玉だ」雨のなか、自分とそっくりな容貌を持つローウィン王国の王子ダニエルに助けられたラエルは、自分の替え玉になれというダニエルの提案を受け入れ、父王にも見破られないほど『完璧なダニエル』となっていた。そんななか、王国を訪れていた帝国の皇帝レオンハルトから信じがたい望みを提案され…。恋情の渦に飲み込まれてゆくラエルたちの運命は―!? 動乱のラブファンタジーストーリー開幕!!【フィカス】</v>
      </c>
      <c r="W178" s="8"/>
      <c r="X178" s="8" t="str">
        <f>IFERROR(__xludf.DUMMYFUNCTION("""COMPUTED_VALUE"""),"有")</f>
        <v>有</v>
      </c>
      <c r="Y178" s="8" t="str">
        <f>IFERROR(__xludf.DUMMYFUNCTION("""COMPUTED_VALUE"""),"P9まで")</f>
        <v>P9まで</v>
      </c>
      <c r="Z178" s="7"/>
      <c r="AA178" s="7"/>
      <c r="AB178" s="7"/>
    </row>
    <row r="179" ht="15.75" customHeight="1">
      <c r="A179" s="8">
        <f>IFERROR(__xludf.DUMMYFUNCTION("""COMPUTED_VALUE"""),1743.0)</f>
        <v>1743</v>
      </c>
      <c r="B179" s="9" t="str">
        <f>IFERROR(__xludf.DUMMYFUNCTION("""COMPUTED_VALUE"""),"確定")</f>
        <v>確定</v>
      </c>
      <c r="C179" s="10">
        <f>IFERROR(__xludf.DUMMYFUNCTION("""COMPUTED_VALUE"""),44978.0)</f>
        <v>44978</v>
      </c>
      <c r="D179" s="10">
        <f>IFERROR(__xludf.DUMMYFUNCTION("""COMPUTED_VALUE"""),44978.0)</f>
        <v>44978</v>
      </c>
      <c r="E179" s="8">
        <f>IFERROR(__xludf.DUMMYFUNCTION("""COMPUTED_VALUE"""),250594.0)</f>
        <v>250594</v>
      </c>
      <c r="F179" s="9" t="str">
        <f>IFERROR(__xludf.DUMMYFUNCTION("""COMPUTED_VALUE"""),"初恋の怪物～囚われの王子、影の王冠～【タテヨミ】")</f>
        <v>初恋の怪物～囚われの王子、影の王冠～【タテヨミ】</v>
      </c>
      <c r="G179" s="11" t="str">
        <f>IFERROR(__xludf.DUMMYFUNCTION("""COMPUTED_VALUE"""),"1～8")</f>
        <v>1～8</v>
      </c>
      <c r="H179" s="8" t="str">
        <f>IFERROR(__xludf.DUMMYFUNCTION("""COMPUTED_VALUE"""),"Chanok,ヘウィ")</f>
        <v>Chanok,ヘウィ</v>
      </c>
      <c r="I179" s="8" t="str">
        <f>IFERROR(__xludf.DUMMYFUNCTION("""COMPUTED_VALUE"""),"BL")</f>
        <v>BL</v>
      </c>
      <c r="J179" s="8"/>
      <c r="K179" s="8"/>
      <c r="L179" s="8" t="str">
        <f>IFERROR(__xludf.DUMMYFUNCTION("""COMPUTED_VALUE"""),"ソルマーレ編集部")</f>
        <v>ソルマーレ編集部</v>
      </c>
      <c r="M179" s="12">
        <f>IFERROR(__xludf.DUMMYFUNCTION("""COMPUTED_VALUE"""),45003.0)</f>
        <v>45003</v>
      </c>
      <c r="N179" s="12">
        <f>IFERROR(__xludf.DUMMYFUNCTION("""COMPUTED_VALUE"""),45064.0)</f>
        <v>45064</v>
      </c>
      <c r="O179" s="11"/>
      <c r="P179" s="9" t="str">
        <f>IFERROR(__xludf.DUMMYFUNCTION("""COMPUTED_VALUE"""),"可")</f>
        <v>可</v>
      </c>
      <c r="Q179" s="8" t="str">
        <f>IFERROR(__xludf.DUMMYFUNCTION("""COMPUTED_VALUE"""),"コマサム等素材は「250593　初恋の怪物～囚われの王子、影の王冠～(フルカラー)」のほうをお使いください。&lt;BR&gt;バナー制作はフルカラー版の素材を利用して問題ございません。&lt;BR&gt;")</f>
        <v>コマサム等素材は「250593　初恋の怪物～囚われの王子、影の王冠～(フルカラー)」のほうをお使いください。&lt;BR&gt;バナー制作はフルカラー版の素材を利用して問題ございません。&lt;BR&gt;</v>
      </c>
      <c r="R179" s="9"/>
      <c r="S179" s="8" t="str">
        <f>IFERROR(__xludf.DUMMYFUNCTION("""COMPUTED_VALUE"""),"20230214_ソルマーレ編集部_初恋の怪物～囚われの王子、影の王冠～【タテヨミ】")</f>
        <v>20230214_ソルマーレ編集部_初恋の怪物～囚われの王子、影の王冠～【タテヨミ】</v>
      </c>
      <c r="T179" s="15"/>
      <c r="U179" s="9" t="str">
        <f>IFERROR(__xludf.DUMMYFUNCTION("""COMPUTED_VALUE"""),"Ⓒ Chanok/ヘウィ/シーモアコミックス")</f>
        <v>Ⓒ Chanok/ヘウィ/シーモアコミックス</v>
      </c>
      <c r="V179" s="8" t="str">
        <f>IFERROR(__xludf.DUMMYFUNCTION("""COMPUTED_VALUE"""),"「今から貴様は俺の替え玉だ」雨のなか、自分とそっくりな容貌を持つローウィン王国の王子ダニエルに助けられたラエルは、自分の替え玉になれというダニエルの提案を受け入れ、父王にも見破られないほど『完璧なダニエル』となっていた。そんななか、王国を訪れていた帝国の皇帝レオンハルトから信じがたい望みを提案され…。恋情の渦に飲み込まれてゆくラエルたちの運命は―!? 動乱のラブファンタジーストーリー開幕!!【フィカス】")</f>
        <v>「今から貴様は俺の替え玉だ」雨のなか、自分とそっくりな容貌を持つローウィン王国の王子ダニエルに助けられたラエルは、自分の替え玉になれというダニエルの提案を受け入れ、父王にも見破られないほど『完璧なダニエル』となっていた。そんななか、王国を訪れていた帝国の皇帝レオンハルトから信じがたい望みを提案され…。恋情の渦に飲み込まれてゆくラエルたちの運命は―!? 動乱のラブファンタジーストーリー開幕!!【フィカス】</v>
      </c>
      <c r="W179" s="8"/>
      <c r="X179" s="9" t="str">
        <f>IFERROR(__xludf.DUMMYFUNCTION("""COMPUTED_VALUE"""),"有")</f>
        <v>有</v>
      </c>
      <c r="Y179" s="8" t="str">
        <f>IFERROR(__xludf.DUMMYFUNCTION("""COMPUTED_VALUE"""),"P42まで
※１巻も42ページまでなので１巻まるまる立ち読みできる")</f>
        <v>P42まで
※１巻も42ページまでなので１巻まるまる立ち読みできる</v>
      </c>
      <c r="Z179" s="7"/>
      <c r="AA179" s="7"/>
      <c r="AB179" s="7"/>
    </row>
    <row r="180" ht="15.75" customHeight="1">
      <c r="A180" s="8">
        <f>IFERROR(__xludf.DUMMYFUNCTION("""COMPUTED_VALUE"""),1643.0)</f>
        <v>1643</v>
      </c>
      <c r="B180" s="9" t="str">
        <f>IFERROR(__xludf.DUMMYFUNCTION("""COMPUTED_VALUE"""),"確定")</f>
        <v>確定</v>
      </c>
      <c r="C180" s="10">
        <f>IFERROR(__xludf.DUMMYFUNCTION("""COMPUTED_VALUE"""),44937.0)</f>
        <v>44937</v>
      </c>
      <c r="D180" s="10">
        <f>IFERROR(__xludf.DUMMYFUNCTION("""COMPUTED_VALUE"""),44984.0)</f>
        <v>44984</v>
      </c>
      <c r="E180" s="8">
        <f>IFERROR(__xludf.DUMMYFUNCTION("""COMPUTED_VALUE"""),264388.0)</f>
        <v>264388</v>
      </c>
      <c r="F180" s="9" t="str">
        <f>IFERROR(__xludf.DUMMYFUNCTION("""COMPUTED_VALUE"""),"この男、腐れ縁につき")</f>
        <v>この男、腐れ縁につき</v>
      </c>
      <c r="G180" s="11" t="str">
        <f>IFERROR(__xludf.DUMMYFUNCTION("""COMPUTED_VALUE"""),"1～2")</f>
        <v>1～2</v>
      </c>
      <c r="H180" s="8" t="str">
        <f>IFERROR(__xludf.DUMMYFUNCTION("""COMPUTED_VALUE"""),"三角すみ")</f>
        <v>三角すみ</v>
      </c>
      <c r="I180" s="8" t="str">
        <f>IFERROR(__xludf.DUMMYFUNCTION("""COMPUTED_VALUE"""),"BL")</f>
        <v>BL</v>
      </c>
      <c r="J180" s="8"/>
      <c r="K180" s="8"/>
      <c r="L180" s="8" t="str">
        <f>IFERROR(__xludf.DUMMYFUNCTION("""COMPUTED_VALUE"""),"CLLENN")</f>
        <v>CLLENN</v>
      </c>
      <c r="M180" s="12">
        <f>IFERROR(__xludf.DUMMYFUNCTION("""COMPUTED_VALUE"""),45003.0)</f>
        <v>45003</v>
      </c>
      <c r="N180" s="12">
        <f>IFERROR(__xludf.DUMMYFUNCTION("""COMPUTED_VALUE"""),45065.66666666667)</f>
        <v>45065.66667</v>
      </c>
      <c r="O180" s="11"/>
      <c r="P180" s="9" t="str">
        <f>IFERROR(__xludf.DUMMYFUNCTION("""COMPUTED_VALUE"""),"可")</f>
        <v>可</v>
      </c>
      <c r="Q180" s="8" t="str">
        <f>IFERROR(__xludf.DUMMYFUNCTION("""COMPUTED_VALUE"""),"広告コミットOK（1/12）&lt;BR&gt;素材格納（2/27）&lt;BR&gt;遅くなり申し訳ございません！！&lt;BR&gt;")</f>
        <v>広告コミットOK（1/12）&lt;BR&gt;素材格納（2/27）&lt;BR&gt;遅くなり申し訳ございません！！&lt;BR&gt;</v>
      </c>
      <c r="R180" s="9" t="str">
        <f>IFERROR(__xludf.DUMMYFUNCTION("""COMPUTED_VALUE"""),"格納済")</f>
        <v>格納済</v>
      </c>
      <c r="S180" s="8" t="str">
        <f>IFERROR(__xludf.DUMMYFUNCTION("""COMPUTED_VALUE"""),"20230227_コミックストック（オトメチカ出版）_この男、腐れ縁につき")</f>
        <v>20230227_コミックストック（オトメチカ出版）_この男、腐れ縁につき</v>
      </c>
      <c r="T180" s="9" t="str">
        <f>IFERROR(__xludf.DUMMYFUNCTION("""COMPUTED_VALUE"""),"校了済素材")</f>
        <v>校了済素材</v>
      </c>
      <c r="U180" s="9" t="str">
        <f>IFERROR(__xludf.DUMMYFUNCTION("""COMPUTED_VALUE"""),"著：三角すみ/オトメチカ出版")</f>
        <v>著：三角すみ/オトメチカ出版</v>
      </c>
      <c r="V180" s="8" t="str">
        <f>IFERROR(__xludf.DUMMYFUNCTION("""COMPUTED_VALUE"""),"【お前、俺のオナホになれよ】玩具でアナニーをしているところを、引っ越し先の隣人に見られて…まさかそれが幼馴染で！？ 玩具より太いアレを入れられて、奥の方まで刺激されたら気持ち良すぎてヤバイっ…！！ Ｓでツンデレな幼馴染×快楽に弱めな初心大学生の、再会こじらせラブ！――大学生の黒沢 歩（くろさわ あゆむ）は、気兼ねなくアナニーをするために実家を出て一人暮らしを始める。ところが、隣人は幼馴染で初恋相手の白石 純平（しらいし じゅんぺい）だった！ ある夜、玩具を使って一人でシているところを純平に見られてしまった"&amp;"歩。すると純平は「こっちの方がよくね？」と言って立派なチ○コを出して…。無遠慮な純平を腹立たしく思いながらも、こんなに大きい“ホンモノ”が挿入ったらと思うと、歩の体は疼いてしまい…！？")</f>
        <v>【お前、俺のオナホになれよ】玩具でアナニーをしているところを、引っ越し先の隣人に見られて…まさかそれが幼馴染で！？ 玩具より太いアレを入れられて、奥の方まで刺激されたら気持ち良すぎてヤバイっ…！！ Ｓでツンデレな幼馴染×快楽に弱めな初心大学生の、再会こじらせラブ！――大学生の黒沢 歩（くろさわ あゆむ）は、気兼ねなくアナニーをするために実家を出て一人暮らしを始める。ところが、隣人は幼馴染で初恋相手の白石 純平（しらいし じゅんぺい）だった！ ある夜、玩具を使って一人でシているところを純平に見られてしまった歩。すると純平は「こっちの方がよくね？」と言って立派なチ○コを出して…。無遠慮な純平を腹立たしく思いながらも、こんなに大きい“ホンモノ”が挿入ったらと思うと、歩の体は疼いてしまい…！？</v>
      </c>
      <c r="W180" s="8"/>
      <c r="X180" s="8" t="str">
        <f>IFERROR(__xludf.DUMMYFUNCTION("""COMPUTED_VALUE"""),"有")</f>
        <v>有</v>
      </c>
      <c r="Y180" s="8" t="str">
        <f>IFERROR(__xludf.DUMMYFUNCTION("""COMPUTED_VALUE"""),"P10まで")</f>
        <v>P10まで</v>
      </c>
      <c r="Z180" s="7"/>
      <c r="AA180" s="7"/>
      <c r="AB180" s="7"/>
    </row>
    <row r="181" ht="15.75" customHeight="1">
      <c r="A181" s="8">
        <f>IFERROR(__xludf.DUMMYFUNCTION("""COMPUTED_VALUE"""),1691.0)</f>
        <v>1691</v>
      </c>
      <c r="B181" s="9" t="str">
        <f>IFERROR(__xludf.DUMMYFUNCTION("""COMPUTED_VALUE"""),"確定")</f>
        <v>確定</v>
      </c>
      <c r="C181" s="10">
        <f>IFERROR(__xludf.DUMMYFUNCTION("""COMPUTED_VALUE"""),44960.0)</f>
        <v>44960</v>
      </c>
      <c r="D181" s="10">
        <f>IFERROR(__xludf.DUMMYFUNCTION("""COMPUTED_VALUE"""),44985.0)</f>
        <v>44985</v>
      </c>
      <c r="E181" s="8">
        <f>IFERROR(__xludf.DUMMYFUNCTION("""COMPUTED_VALUE"""),264535.0)</f>
        <v>264535</v>
      </c>
      <c r="F181" s="9" t="str">
        <f>IFERROR(__xludf.DUMMYFUNCTION("""COMPUTED_VALUE"""),"Wish you～僕の心の中、君のメロディー【タテヨミ】")</f>
        <v>Wish you～僕の心の中、君のメロディー【タテヨミ】</v>
      </c>
      <c r="G181" s="16" t="str">
        <f>IFERROR(__xludf.DUMMYFUNCTION("""COMPUTED_VALUE"""),"1～20")</f>
        <v>1～20</v>
      </c>
      <c r="H181" s="8" t="str">
        <f>IFERROR(__xludf.DUMMYFUNCTION("""COMPUTED_VALUE"""),"Yi Suh Jung, So Hyeong-sung, Sinsa")</f>
        <v>Yi Suh Jung, So Hyeong-sung, Sinsa</v>
      </c>
      <c r="I181" s="8" t="str">
        <f>IFERROR(__xludf.DUMMYFUNCTION("""COMPUTED_VALUE"""),"BL")</f>
        <v>BL</v>
      </c>
      <c r="J181" s="8"/>
      <c r="K181" s="8"/>
      <c r="L181" s="8" t="str">
        <f>IFERROR(__xludf.DUMMYFUNCTION("""COMPUTED_VALUE"""),"NHNcomico")</f>
        <v>NHNcomico</v>
      </c>
      <c r="M181" s="12">
        <f>IFERROR(__xludf.DUMMYFUNCTION("""COMPUTED_VALUE"""),45005.0)</f>
        <v>45005</v>
      </c>
      <c r="N181" s="12">
        <f>IFERROR(__xludf.DUMMYFUNCTION("""COMPUTED_VALUE"""),45067.0)</f>
        <v>45067</v>
      </c>
      <c r="O181" s="11"/>
      <c r="P181" s="9" t="str">
        <f>IFERROR(__xludf.DUMMYFUNCTION("""COMPUTED_VALUE"""),"可")</f>
        <v>可</v>
      </c>
      <c r="Q181" s="8" t="str">
        <f>IFERROR(__xludf.DUMMYFUNCTION("""COMPUTED_VALUE"""),"広告コミットOK（2/3）")</f>
        <v>広告コミットOK（2/3）</v>
      </c>
      <c r="R181" s="9"/>
      <c r="S181" s="8" t="str">
        <f>IFERROR(__xludf.DUMMYFUNCTION("""COMPUTED_VALUE"""),"20230228_comico_Wish you")</f>
        <v>20230228_comico_Wish you</v>
      </c>
      <c r="T181" s="9"/>
      <c r="U181" s="9" t="str">
        <f>IFERROR(__xludf.DUMMYFUNCTION("""COMPUTED_VALUE"""),"©So Hyeong-sung,Sinsa,Yi Suh Jung/NHN")</f>
        <v>©So Hyeong-sung,Sinsa,Yi Suh Jung/NHN</v>
      </c>
      <c r="V181" s="8" t="str">
        <f>IFERROR(__xludf.DUMMYFUNCTION("""COMPUTED_VALUE"""),"国内最大の芸能事務所、Hエンターテインメントで働くユン・サンイは、若いからとなめてくるチームメンバーや度重なる成果の横取り、活動していたバンドの解散などで限界を迎えそうになっていた。そんなある日、路上ライブで歌うカン・インスの歌声に心を打たれ、会社の飲み会中に動画を見ていたところ上司に見つかり企画会議に取り上げられることに…。さっそくインスをスカウトしたが、衣食住の提供の条項を追加してほしいと言われ、サンイは勢いで同居を提案する。ひそかにファンになっていたインスと同居することになりドキドキなサンイ。でもイ"&amp;"ンスには秘密があって…？")</f>
        <v>国内最大の芸能事務所、Hエンターテインメントで働くユン・サンイは、若いからとなめてくるチームメンバーや度重なる成果の横取り、活動していたバンドの解散などで限界を迎えそうになっていた。そんなある日、路上ライブで歌うカン・インスの歌声に心を打たれ、会社の飲み会中に動画を見ていたところ上司に見つかり企画会議に取り上げられることに…。さっそくインスをスカウトしたが、衣食住の提供の条項を追加してほしいと言われ、サンイは勢いで同居を提案する。ひそかにファンになっていたインスと同居することになりドキドキなサンイ。でもインスには秘密があって…？</v>
      </c>
      <c r="W181" s="8"/>
      <c r="X181" s="9" t="str">
        <f>IFERROR(__xludf.DUMMYFUNCTION("""COMPUTED_VALUE"""),"有")</f>
        <v>有</v>
      </c>
      <c r="Y181" s="8" t="str">
        <f>IFERROR(__xludf.DUMMYFUNCTION("""COMPUTED_VALUE"""),"1～3巻目無料ストリーミング
4～6巻目4/10まで無料")</f>
        <v>1～3巻目無料ストリーミング
4～6巻目4/10まで無料</v>
      </c>
      <c r="Z181" s="7"/>
      <c r="AA181" s="7"/>
      <c r="AB181" s="7"/>
    </row>
    <row r="182" ht="15.75" customHeight="1">
      <c r="A182" s="8">
        <f>IFERROR(__xludf.DUMMYFUNCTION("""COMPUTED_VALUE"""),1692.0)</f>
        <v>1692</v>
      </c>
      <c r="B182" s="9" t="str">
        <f>IFERROR(__xludf.DUMMYFUNCTION("""COMPUTED_VALUE"""),"確定")</f>
        <v>確定</v>
      </c>
      <c r="C182" s="10">
        <f>IFERROR(__xludf.DUMMYFUNCTION("""COMPUTED_VALUE"""),44960.0)</f>
        <v>44960</v>
      </c>
      <c r="D182" s="10">
        <f>IFERROR(__xludf.DUMMYFUNCTION("""COMPUTED_VALUE"""),44985.0)</f>
        <v>44985</v>
      </c>
      <c r="E182" s="8">
        <f>IFERROR(__xludf.DUMMYFUNCTION("""COMPUTED_VALUE"""),264536.0)</f>
        <v>264536</v>
      </c>
      <c r="F182" s="9" t="str">
        <f>IFERROR(__xludf.DUMMYFUNCTION("""COMPUTED_VALUE"""),"温度と恋愛の相関関係【タテヨミ】")</f>
        <v>温度と恋愛の相関関係【タテヨミ】</v>
      </c>
      <c r="G182" s="16" t="str">
        <f>IFERROR(__xludf.DUMMYFUNCTION("""COMPUTED_VALUE"""),"1～20")</f>
        <v>1～20</v>
      </c>
      <c r="H182" s="8" t="str">
        <f>IFERROR(__xludf.DUMMYFUNCTION("""COMPUTED_VALUE"""),"Moan")</f>
        <v>Moan</v>
      </c>
      <c r="I182" s="8" t="str">
        <f>IFERROR(__xludf.DUMMYFUNCTION("""COMPUTED_VALUE"""),"BL")</f>
        <v>BL</v>
      </c>
      <c r="J182" s="8"/>
      <c r="K182" s="8"/>
      <c r="L182" s="8" t="str">
        <f>IFERROR(__xludf.DUMMYFUNCTION("""COMPUTED_VALUE"""),"NHNcomico")</f>
        <v>NHNcomico</v>
      </c>
      <c r="M182" s="12">
        <f>IFERROR(__xludf.DUMMYFUNCTION("""COMPUTED_VALUE"""),45005.0)</f>
        <v>45005</v>
      </c>
      <c r="N182" s="12">
        <f>IFERROR(__xludf.DUMMYFUNCTION("""COMPUTED_VALUE"""),45067.0)</f>
        <v>45067</v>
      </c>
      <c r="O182" s="11"/>
      <c r="P182" s="9" t="str">
        <f>IFERROR(__xludf.DUMMYFUNCTION("""COMPUTED_VALUE"""),"可")</f>
        <v>可</v>
      </c>
      <c r="Q182" s="8" t="str">
        <f>IFERROR(__xludf.DUMMYFUNCTION("""COMPUTED_VALUE"""),"広告コミットOK（2/9）")</f>
        <v>広告コミットOK（2/9）</v>
      </c>
      <c r="R182" s="9"/>
      <c r="S182" s="8" t="str">
        <f>IFERROR(__xludf.DUMMYFUNCTION("""COMPUTED_VALUE"""),"20230228_comico_温度と恋愛の相関関係")</f>
        <v>20230228_comico_温度と恋愛の相関関係</v>
      </c>
      <c r="T182" s="9"/>
      <c r="U182" s="9" t="str">
        <f>IFERROR(__xludf.DUMMYFUNCTION("""COMPUTED_VALUE"""),"©Moan/bookcubenetworks Co.,Ltd.")</f>
        <v>©Moan/bookcubenetworks Co.,Ltd.</v>
      </c>
      <c r="V182" s="8" t="str">
        <f>IFERROR(__xludf.DUMMYFUNCTION("""COMPUTED_VALUE"""),"新羅時代、善徳女王を慕って火鬼になってしまった青年、志鬼。その志鬼の子孫で熱が出てしまう体質に苦しめられていたウンチョンは、香港から来た交換留学生であるヘボムと体が触れれば触れるほど熱が下がるという事実を知ることになる。 そして彼に助けを求めるが…。「スキンシップの度合で発熱の程度が変わるなら、昨日よりも濃いスキンシップをしたほうがいいんじゃないですか？」積極的なヘボムによって、ウンチョンの日常が揺れ動き始める。
")</f>
        <v>新羅時代、善徳女王を慕って火鬼になってしまった青年、志鬼。その志鬼の子孫で熱が出てしまう体質に苦しめられていたウンチョンは、香港から来た交換留学生であるヘボムと体が触れれば触れるほど熱が下がるという事実を知ることになる。 そして彼に助けを求めるが…。「スキンシップの度合で発熱の程度が変わるなら、昨日よりも濃いスキンシップをしたほうがいいんじゃないですか？」積極的なヘボムによって、ウンチョンの日常が揺れ動き始める。
</v>
      </c>
      <c r="W182" s="8"/>
      <c r="X182" s="8" t="str">
        <f>IFERROR(__xludf.DUMMYFUNCTION("""COMPUTED_VALUE"""),"有")</f>
        <v>有</v>
      </c>
      <c r="Y182" s="8" t="str">
        <f>IFERROR(__xludf.DUMMYFUNCTION("""COMPUTED_VALUE"""),"1～6巻目無料ストリーミング")</f>
        <v>1～6巻目無料ストリーミング</v>
      </c>
      <c r="Z182" s="7"/>
      <c r="AA182" s="7"/>
      <c r="AB182" s="7"/>
    </row>
    <row r="183" ht="126.0" customHeight="1">
      <c r="A183" s="8">
        <f>IFERROR(__xludf.DUMMYFUNCTION("""COMPUTED_VALUE"""),1670.0)</f>
        <v>1670</v>
      </c>
      <c r="B183" s="9" t="str">
        <f>IFERROR(__xludf.DUMMYFUNCTION("""COMPUTED_VALUE"""),"確定")</f>
        <v>確定</v>
      </c>
      <c r="C183" s="10">
        <f>IFERROR(__xludf.DUMMYFUNCTION("""COMPUTED_VALUE"""),44946.0)</f>
        <v>44946</v>
      </c>
      <c r="D183" s="10">
        <f>IFERROR(__xludf.DUMMYFUNCTION("""COMPUTED_VALUE"""),44987.0)</f>
        <v>44987</v>
      </c>
      <c r="E183" s="8">
        <f>IFERROR(__xludf.DUMMYFUNCTION("""COMPUTED_VALUE"""),264416.0)</f>
        <v>264416</v>
      </c>
      <c r="F183" s="9" t="str">
        <f>IFERROR(__xludf.DUMMYFUNCTION("""COMPUTED_VALUE"""),"悪役令嬢は追放エンドのはずなのに、獣人皇子に執着されています！？")</f>
        <v>悪役令嬢は追放エンドのはずなのに、獣人皇子に執着されています！？</v>
      </c>
      <c r="G183" s="11" t="str">
        <f>IFERROR(__xludf.DUMMYFUNCTION("""COMPUTED_VALUE"""),"1～3")</f>
        <v>1～3</v>
      </c>
      <c r="H183" s="8" t="str">
        <f>IFERROR(__xludf.DUMMYFUNCTION("""COMPUTED_VALUE"""),"桃埜")</f>
        <v>桃埜</v>
      </c>
      <c r="I183" s="8" t="str">
        <f>IFERROR(__xludf.DUMMYFUNCTION("""COMPUTED_VALUE"""),"TL")</f>
        <v>TL</v>
      </c>
      <c r="J183" s="8"/>
      <c r="K183" s="8"/>
      <c r="L183" s="8" t="str">
        <f>IFERROR(__xludf.DUMMYFUNCTION("""COMPUTED_VALUE"""),"DPNブックス")</f>
        <v>DPNブックス</v>
      </c>
      <c r="M183" s="12">
        <f>IFERROR(__xludf.DUMMYFUNCTION("""COMPUTED_VALUE"""),45005.0)</f>
        <v>45005</v>
      </c>
      <c r="N183" s="12">
        <f>IFERROR(__xludf.DUMMYFUNCTION("""COMPUTED_VALUE"""),45035.0)</f>
        <v>45035</v>
      </c>
      <c r="O183" s="11"/>
      <c r="P183" s="9" t="str">
        <f>IFERROR(__xludf.DUMMYFUNCTION("""COMPUTED_VALUE"""),"可")</f>
        <v>可</v>
      </c>
      <c r="Q183" s="8" t="str">
        <f>IFERROR(__xludf.DUMMYFUNCTION("""COMPUTED_VALUE"""),"広告コミットOK（1/27）&lt;BR&gt;")</f>
        <v>広告コミットOK（1/27）&lt;BR&gt;</v>
      </c>
      <c r="R183" s="9"/>
      <c r="S183" s="8" t="str">
        <f>IFERROR(__xludf.DUMMYFUNCTION("""COMPUTED_VALUE"""),"20230302_DPNブックス_悪役令嬢は追放エンドのはずなのに")</f>
        <v>20230302_DPNブックス_悪役令嬢は追放エンドのはずなのに</v>
      </c>
      <c r="T183" s="9"/>
      <c r="U183" s="9" t="str">
        <f>IFERROR(__xludf.DUMMYFUNCTION("""COMPUTED_VALUE"""),"©桃埜／DPNブックス")</f>
        <v>©桃埜／DPNブックス</v>
      </c>
      <c r="V183" s="8" t="str">
        <f>IFERROR(__xludf.DUMMYFUNCTION("""COMPUTED_VALUE"""),"「やはりおまえとは友人にはなれない…お前が、欲しい」
いつも冷静な皇子は飢えた獣のような瞳をしながら私の身体を淫らにむさぼり…！？
はじめての快感に乱れるクラリスだが…「こ…このフラグを回収するのはわたしじゃないはずなのに―――!!」
公爵家の令嬢のクラリスは第一皇子・フィンの婚約者の第一候補だったこともあり、日々フィンにしつこく付きまとっていた。しかし転んで頭を打ったことをきっかけに、前世で大好きだった乙女ゲームの悪役令嬢に転生していることを思い出す。そして、自分が断罪追放される未来を回避するために付"&amp;"きまといをやめるが…その行動を不審に思ったフィンに逆に付きまとわれることになって今度は自分が逃げる羽目に！？
【執着系獣人皇子】×【乙女ゲームの悪役令嬢】の転生ラブロマンス！")</f>
        <v>「やはりおまえとは友人にはなれない…お前が、欲しい」
いつも冷静な皇子は飢えた獣のような瞳をしながら私の身体を淫らにむさぼり…！？
はじめての快感に乱れるクラリスだが…「こ…このフラグを回収するのはわたしじゃないはずなのに―――!!」
公爵家の令嬢のクラリスは第一皇子・フィンの婚約者の第一候補だったこともあり、日々フィンにしつこく付きまとっていた。しかし転んで頭を打ったことをきっかけに、前世で大好きだった乙女ゲームの悪役令嬢に転生していることを思い出す。そして、自分が断罪追放される未来を回避するために付きまといをやめるが…その行動を不審に思ったフィンに逆に付きまとわれることになって今度は自分が逃げる羽目に！？
【執着系獣人皇子】×【乙女ゲームの悪役令嬢】の転生ラブロマンス！</v>
      </c>
      <c r="W183" s="8"/>
      <c r="X183" s="8" t="str">
        <f>IFERROR(__xludf.DUMMYFUNCTION("""COMPUTED_VALUE"""),"有")</f>
        <v>有</v>
      </c>
      <c r="Y183" s="8" t="str">
        <f>IFERROR(__xludf.DUMMYFUNCTION("""COMPUTED_VALUE"""),"4/19まで1巻目無料")</f>
        <v>4/19まで1巻目無料</v>
      </c>
      <c r="Z183" s="7"/>
      <c r="AA183" s="7"/>
      <c r="AB183" s="7"/>
    </row>
    <row r="184" ht="192.0" customHeight="1">
      <c r="A184" s="8">
        <f>IFERROR(__xludf.DUMMYFUNCTION("""COMPUTED_VALUE"""),1651.0)</f>
        <v>1651</v>
      </c>
      <c r="B184" s="9" t="str">
        <f>IFERROR(__xludf.DUMMYFUNCTION("""COMPUTED_VALUE"""),"確定")</f>
        <v>確定</v>
      </c>
      <c r="C184" s="10">
        <f>IFERROR(__xludf.DUMMYFUNCTION("""COMPUTED_VALUE"""),44942.0)</f>
        <v>44942</v>
      </c>
      <c r="D184" s="10">
        <f>IFERROR(__xludf.DUMMYFUNCTION("""COMPUTED_VALUE"""),44959.0)</f>
        <v>44959</v>
      </c>
      <c r="E184" s="8">
        <f>IFERROR(__xludf.DUMMYFUNCTION("""COMPUTED_VALUE"""),264449.0)</f>
        <v>264449</v>
      </c>
      <c r="F184" s="9" t="str">
        <f>IFERROR(__xludf.DUMMYFUNCTION("""COMPUTED_VALUE"""),"2度目のふたり")</f>
        <v>2度目のふたり</v>
      </c>
      <c r="G184" s="11" t="str">
        <f>IFERROR(__xludf.DUMMYFUNCTION("""COMPUTED_VALUE"""),"1～4")</f>
        <v>1～4</v>
      </c>
      <c r="H184" s="8" t="str">
        <f>IFERROR(__xludf.DUMMYFUNCTION("""COMPUTED_VALUE"""),"千田仁奈")</f>
        <v>千田仁奈</v>
      </c>
      <c r="I184" s="8" t="str">
        <f>IFERROR(__xludf.DUMMYFUNCTION("""COMPUTED_VALUE"""),"女性")</f>
        <v>女性</v>
      </c>
      <c r="J184" s="8"/>
      <c r="K184" s="8"/>
      <c r="L184" s="8" t="str">
        <f>IFERROR(__xludf.DUMMYFUNCTION("""COMPUTED_VALUE"""),"DPNプラス")</f>
        <v>DPNプラス</v>
      </c>
      <c r="M184" s="12">
        <f>IFERROR(__xludf.DUMMYFUNCTION("""COMPUTED_VALUE"""),45007.0)</f>
        <v>45007</v>
      </c>
      <c r="N184" s="12">
        <f>IFERROR(__xludf.DUMMYFUNCTION("""COMPUTED_VALUE"""),45037.0)</f>
        <v>45037</v>
      </c>
      <c r="O184" s="11"/>
      <c r="P184" s="9" t="str">
        <f>IFERROR(__xludf.DUMMYFUNCTION("""COMPUTED_VALUE"""),"可")</f>
        <v>可</v>
      </c>
      <c r="Q184" s="8" t="str">
        <f>IFERROR(__xludf.DUMMYFUNCTION("""COMPUTED_VALUE"""),"初回1～4話で広告コミットOK（1/25）")</f>
        <v>初回1～4話で広告コミットOK（1/25）</v>
      </c>
      <c r="R184" s="9"/>
      <c r="S184" s="8" t="str">
        <f>IFERROR(__xludf.DUMMYFUNCTION("""COMPUTED_VALUE"""),"20230202_DPNプラス_二度目のふたり")</f>
        <v>20230202_DPNプラス_二度目のふたり</v>
      </c>
      <c r="T184" s="9"/>
      <c r="U184" s="9" t="str">
        <f>IFERROR(__xludf.DUMMYFUNCTION("""COMPUTED_VALUE"""),"©千田仁奈／DPNプラス")</f>
        <v>©千田仁奈／DPNプラス</v>
      </c>
      <c r="V184" s="8" t="str">
        <f>IFERROR(__xludf.DUMMYFUNCTION("""COMPUTED_VALUE"""),"優しく、家事も率先してやってくれ、仕事もできる夫の『翔』との生活に、『みく』は日々幸せを感じていた。
そんな夫との結婚生活も、2年目を迎えようとしていたある日、夫が女性と一緒にいるところを目撃してしまう。しかも帰って来てからの夫は、しきりにスマホを気にして手放さない。結婚記念日にまで例の女性と一緒にいる姿を見たみくは、浮気だと確信し証拠を撮ろうとした瞬間、暴走したトラックに轢かれてしまう??。")</f>
        <v>優しく、家事も率先してやってくれ、仕事もできる夫の『翔』との生活に、『みく』は日々幸せを感じていた。
そんな夫との結婚生活も、2年目を迎えようとしていたある日、夫が女性と一緒にいるところを目撃してしまう。しかも帰って来てからの夫は、しきりにスマホを気にして手放さない。結婚記念日にまで例の女性と一緒にいる姿を見たみくは、浮気だと確信し証拠を撮ろうとした瞬間、暴走したトラックに轢かれてしまう??。</v>
      </c>
      <c r="W184" s="8"/>
      <c r="X184" s="8" t="str">
        <f>IFERROR(__xludf.DUMMYFUNCTION("""COMPUTED_VALUE"""),"有")</f>
        <v>有</v>
      </c>
      <c r="Y184" s="8" t="str">
        <f>IFERROR(__xludf.DUMMYFUNCTION("""COMPUTED_VALUE"""),"P6まで")</f>
        <v>P6まで</v>
      </c>
      <c r="Z184" s="7"/>
      <c r="AA184" s="7"/>
      <c r="AB184" s="7"/>
    </row>
    <row r="185" ht="142.5" customHeight="1">
      <c r="A185" s="8">
        <f>IFERROR(__xludf.DUMMYFUNCTION("""COMPUTED_VALUE"""),1659.0)</f>
        <v>1659</v>
      </c>
      <c r="B185" s="9" t="str">
        <f>IFERROR(__xludf.DUMMYFUNCTION("""COMPUTED_VALUE"""),"確定")</f>
        <v>確定</v>
      </c>
      <c r="C185" s="10">
        <f>IFERROR(__xludf.DUMMYFUNCTION("""COMPUTED_VALUE"""),44943.0)</f>
        <v>44943</v>
      </c>
      <c r="D185" s="10">
        <f>IFERROR(__xludf.DUMMYFUNCTION("""COMPUTED_VALUE"""),44958.0)</f>
        <v>44958</v>
      </c>
      <c r="E185" s="8">
        <f>IFERROR(__xludf.DUMMYFUNCTION("""COMPUTED_VALUE"""),264464.0)</f>
        <v>264464</v>
      </c>
      <c r="F185" s="9" t="str">
        <f>IFERROR(__xludf.DUMMYFUNCTION("""COMPUTED_VALUE"""),"絶倫な匂坂さんが性的すぎる！～Hな妄想女子、理想のセフレとセックス三昧!?～【分冊版】")</f>
        <v>絶倫な匂坂さんが性的すぎる！～Hな妄想女子、理想のセフレとセックス三昧!?～【分冊版】</v>
      </c>
      <c r="G185" s="11" t="str">
        <f>IFERROR(__xludf.DUMMYFUNCTION("""COMPUTED_VALUE"""),"1～2")</f>
        <v>1～2</v>
      </c>
      <c r="H185" s="8" t="str">
        <f>IFERROR(__xludf.DUMMYFUNCTION("""COMPUTED_VALUE"""),"作画：高須加ちさ / 原作：如月一花")</f>
        <v>作画：高須加ちさ / 原作：如月一花</v>
      </c>
      <c r="I185" s="8" t="str">
        <f>IFERROR(__xludf.DUMMYFUNCTION("""COMPUTED_VALUE"""),"TL")</f>
        <v>TL</v>
      </c>
      <c r="J185" s="8"/>
      <c r="K185" s="8"/>
      <c r="L185" s="8" t="str">
        <f>IFERROR(__xludf.DUMMYFUNCTION("""COMPUTED_VALUE"""),"笠倉出版社")</f>
        <v>笠倉出版社</v>
      </c>
      <c r="M185" s="12">
        <f>IFERROR(__xludf.DUMMYFUNCTION("""COMPUTED_VALUE"""),45008.0)</f>
        <v>45008</v>
      </c>
      <c r="N185" s="12">
        <f>IFERROR(__xludf.DUMMYFUNCTION("""COMPUTED_VALUE"""),45042.0)</f>
        <v>45042</v>
      </c>
      <c r="O185" s="11"/>
      <c r="P185" s="9" t="str">
        <f>IFERROR(__xludf.DUMMYFUNCTION("""COMPUTED_VALUE"""),"可")</f>
        <v>可</v>
      </c>
      <c r="Q185" s="8" t="str">
        <f>IFERROR(__xludf.DUMMYFUNCTION("""COMPUTED_VALUE"""),"コミットOK")</f>
        <v>コミットOK</v>
      </c>
      <c r="R185" s="9"/>
      <c r="S185" s="8" t="str">
        <f>IFERROR(__xludf.DUMMYFUNCTION("""COMPUTED_VALUE"""),"20230201_笠倉出版社_絶倫な匂坂さんが性的すぎる！～Hな妄想女子、理想のセフレとセックス三昧!～【分冊版】")</f>
        <v>20230201_笠倉出版社_絶倫な匂坂さんが性的すぎる！～Hな妄想女子、理想のセフレとセックス三昧!～【分冊版】</v>
      </c>
      <c r="T185" s="9"/>
      <c r="U185" s="9" t="str">
        <f>IFERROR(__xludf.DUMMYFUNCTION("""COMPUTED_VALUE"""),"©高須加ちさ・如月一花/笠倉出版社")</f>
        <v>©高須加ちさ・如月一花/笠倉出版社</v>
      </c>
      <c r="V185" s="8" t="str">
        <f>IFERROR(__xludf.DUMMYFUNCTION("""COMPUTED_VALUE"""),"「普段はどうやって満たしてるのか知りたいな」「いつも“あんなこと”してるとなると」26歳OLの私は初体験で全くイけなかった経験から、性欲が強いのに彼氏をつくらず今日も一人でHな妄想の日々。そんな私の前に現れたのは取引先の匂坂さん。彼は私の好みどストライク。少し疲れのみえる目元、ワイルドな色気、香りまで好みって最高すぎる。この腕に抱かれたりしたら…なーんて考えていたら、入れっぱなしにしていたローターが動き出して!?まずい、こんなのバレたら変態だと思われちゃう!!取り出そうとするけどうまくいかなくて、その姿を"&amp;"匂坂さんに見られちゃった!?ここからごまかすなんて無理…それにもう我慢の限界…！「あの…急な…お願いなのですが…ローター取ってくれませんか！」性欲つよつよ妄想女子と性的すぎる年上絶倫のセフレから始まる相性120％ラブ！")</f>
        <v>「普段はどうやって満たしてるのか知りたいな」「いつも“あんなこと”してるとなると」26歳OLの私は初体験で全くイけなかった経験から、性欲が強いのに彼氏をつくらず今日も一人でHな妄想の日々。そんな私の前に現れたのは取引先の匂坂さん。彼は私の好みどストライク。少し疲れのみえる目元、ワイルドな色気、香りまで好みって最高すぎる。この腕に抱かれたりしたら…なーんて考えていたら、入れっぱなしにしていたローターが動き出して!?まずい、こんなのバレたら変態だと思われちゃう!!取り出そうとするけどうまくいかなくて、その姿を匂坂さんに見られちゃった!?ここからごまかすなんて無理…それにもう我慢の限界…！「あの…急な…お願いなのですが…ローター取ってくれませんか！」性欲つよつよ妄想女子と性的すぎる年上絶倫のセフレから始まる相性120％ラブ！</v>
      </c>
      <c r="W185" s="8"/>
      <c r="X185" s="9" t="str">
        <f>IFERROR(__xludf.DUMMYFUNCTION("""COMPUTED_VALUE"""),"有")</f>
        <v>有</v>
      </c>
      <c r="Y185" s="8" t="str">
        <f>IFERROR(__xludf.DUMMYFUNCTION("""COMPUTED_VALUE"""),"立ち読み増量（4/5まで）
P14まで")</f>
        <v>立ち読み増量（4/5まで）
P14まで</v>
      </c>
      <c r="Z185" s="7"/>
      <c r="AA185" s="7"/>
      <c r="AB185" s="7"/>
    </row>
    <row r="186" ht="137.25" customHeight="1">
      <c r="A186" s="8">
        <f>IFERROR(__xludf.DUMMYFUNCTION("""COMPUTED_VALUE"""),1709.0)</f>
        <v>1709</v>
      </c>
      <c r="B186" s="9" t="str">
        <f>IFERROR(__xludf.DUMMYFUNCTION("""COMPUTED_VALUE"""),"確定")</f>
        <v>確定</v>
      </c>
      <c r="C186" s="10">
        <f>IFERROR(__xludf.DUMMYFUNCTION("""COMPUTED_VALUE"""),44966.0)</f>
        <v>44966</v>
      </c>
      <c r="D186" s="10">
        <f>IFERROR(__xludf.DUMMYFUNCTION("""COMPUTED_VALUE"""),44966.0)</f>
        <v>44966</v>
      </c>
      <c r="E186" s="8">
        <f>IFERROR(__xludf.DUMMYFUNCTION("""COMPUTED_VALUE"""),263315.0)</f>
        <v>263315</v>
      </c>
      <c r="F186" s="9" t="str">
        <f>IFERROR(__xludf.DUMMYFUNCTION("""COMPUTED_VALUE"""),"お金の為じゃないですから")</f>
        <v>お金の為じゃないですから</v>
      </c>
      <c r="G186" s="11" t="str">
        <f>IFERROR(__xludf.DUMMYFUNCTION("""COMPUTED_VALUE"""),"1～4")</f>
        <v>1～4</v>
      </c>
      <c r="H186" s="8" t="str">
        <f>IFERROR(__xludf.DUMMYFUNCTION("""COMPUTED_VALUE"""),"香穂")</f>
        <v>香穂</v>
      </c>
      <c r="I186" s="8" t="str">
        <f>IFERROR(__xludf.DUMMYFUNCTION("""COMPUTED_VALUE"""),"青年")</f>
        <v>青年</v>
      </c>
      <c r="J186" s="8"/>
      <c r="K186" s="8"/>
      <c r="L186" s="8" t="str">
        <f>IFERROR(__xludf.DUMMYFUNCTION("""COMPUTED_VALUE"""),"ファンギルド")</f>
        <v>ファンギルド</v>
      </c>
      <c r="M186" s="12">
        <f>IFERROR(__xludf.DUMMYFUNCTION("""COMPUTED_VALUE"""),45009.0)</f>
        <v>45009</v>
      </c>
      <c r="N186" s="12">
        <f>IFERROR(__xludf.DUMMYFUNCTION("""COMPUTED_VALUE"""),45100.0)</f>
        <v>45100</v>
      </c>
      <c r="O186" s="11"/>
      <c r="P186" s="9" t="str">
        <f>IFERROR(__xludf.DUMMYFUNCTION("""COMPUTED_VALUE"""),"可")</f>
        <v>可</v>
      </c>
      <c r="Q186" s="8" t="str">
        <f>IFERROR(__xludf.DUMMYFUNCTION("""COMPUTED_VALUE"""),"協業レーベル『シーモア×コミックアウル』作品です。")</f>
        <v>協業レーベル『シーモア×コミックアウル』作品です。</v>
      </c>
      <c r="R186" s="9"/>
      <c r="S186" s="8" t="str">
        <f>IFERROR(__xludf.DUMMYFUNCTION("""COMPUTED_VALUE"""),"20230209_ファンギルド_お金の為じゃないですから")</f>
        <v>20230209_ファンギルド_お金の為じゃないですから</v>
      </c>
      <c r="T186" s="9"/>
      <c r="U186" s="9" t="str">
        <f>IFERROR(__xludf.DUMMYFUNCTION("""COMPUTED_VALUE"""),"©香穂/ファンギルド")</f>
        <v>©香穂/ファンギルド</v>
      </c>
      <c r="V186" s="8" t="str">
        <f>IFERROR(__xludf.DUMMYFUNCTION("""COMPUTED_VALUE"""),"「風俗でもやって稼いだら？」受付嬢の吉野泉は、同棲中の彼氏から“金づる”として扱われ、生活費すら入れてもらえず困窮していた。優しかった彼氏は今やギャンブルに明け暮れているが、泉はいつか昔のような関係に戻れるはずと別れずいた。そんな折、憧れの先輩である日下部から食事に誘われ、気が付くとベッドの上で服を脱がされていた。日下部にお金に困っていると知られた泉は、この夜を境に『お金をもらって抱かれる関係』になってしまって…。男に心を奪われた女は、お金を言い訳に抱かれ続けて、さらに“深い沼”に落ちていく――。")</f>
        <v>「風俗でもやって稼いだら？」受付嬢の吉野泉は、同棲中の彼氏から“金づる”として扱われ、生活費すら入れてもらえず困窮していた。優しかった彼氏は今やギャンブルに明け暮れているが、泉はいつか昔のような関係に戻れるはずと別れずいた。そんな折、憧れの先輩である日下部から食事に誘われ、気が付くとベッドの上で服を脱がされていた。日下部にお金に困っていると知られた泉は、この夜を境に『お金をもらって抱かれる関係』になってしまって…。男に心を奪われた女は、お金を言い訳に抱かれ続けて、さらに“深い沼”に落ちていく――。</v>
      </c>
      <c r="W186" s="8"/>
      <c r="X186" s="8" t="str">
        <f>IFERROR(__xludf.DUMMYFUNCTION("""COMPUTED_VALUE"""),"有")</f>
        <v>有</v>
      </c>
      <c r="Y186" s="8" t="str">
        <f>IFERROR(__xludf.DUMMYFUNCTION("""COMPUTED_VALUE"""),"1巻目無料（4/6まで）")</f>
        <v>1巻目無料（4/6まで）</v>
      </c>
      <c r="Z186" s="7"/>
      <c r="AA186" s="7"/>
      <c r="AB186" s="7"/>
    </row>
    <row r="187" ht="130.5" customHeight="1">
      <c r="A187" s="8">
        <f>IFERROR(__xludf.DUMMYFUNCTION("""COMPUTED_VALUE"""),1741.0)</f>
        <v>1741</v>
      </c>
      <c r="B187" s="9" t="str">
        <f>IFERROR(__xludf.DUMMYFUNCTION("""COMPUTED_VALUE"""),"確定")</f>
        <v>確定</v>
      </c>
      <c r="C187" s="10">
        <f>IFERROR(__xludf.DUMMYFUNCTION("""COMPUTED_VALUE"""),44978.0)</f>
        <v>44978</v>
      </c>
      <c r="D187" s="10">
        <f>IFERROR(__xludf.DUMMYFUNCTION("""COMPUTED_VALUE"""),44978.0)</f>
        <v>44978</v>
      </c>
      <c r="E187" s="8">
        <f>IFERROR(__xludf.DUMMYFUNCTION("""COMPUTED_VALUE"""),255455.0)</f>
        <v>255455</v>
      </c>
      <c r="F187" s="9" t="str">
        <f>IFERROR(__xludf.DUMMYFUNCTION("""COMPUTED_VALUE"""),"叶うばかりが恋じゃない")</f>
        <v>叶うばかりが恋じゃない</v>
      </c>
      <c r="G187" s="11">
        <f>IFERROR(__xludf.DUMMYFUNCTION("""COMPUTED_VALUE"""),1.0)</f>
        <v>1</v>
      </c>
      <c r="H187" s="8" t="str">
        <f>IFERROR(__xludf.DUMMYFUNCTION("""COMPUTED_VALUE"""),"三月えみ")</f>
        <v>三月えみ</v>
      </c>
      <c r="I187" s="8" t="str">
        <f>IFERROR(__xludf.DUMMYFUNCTION("""COMPUTED_VALUE"""),"BL")</f>
        <v>BL</v>
      </c>
      <c r="J187" s="8"/>
      <c r="K187" s="8"/>
      <c r="L187" s="8" t="str">
        <f>IFERROR(__xludf.DUMMYFUNCTION("""COMPUTED_VALUE"""),"ソルマーレ編集部")</f>
        <v>ソルマーレ編集部</v>
      </c>
      <c r="M187" s="12">
        <f>IFERROR(__xludf.DUMMYFUNCTION("""COMPUTED_VALUE"""),45009.0)</f>
        <v>45009</v>
      </c>
      <c r="N187" s="12">
        <f>IFERROR(__xludf.DUMMYFUNCTION("""COMPUTED_VALUE"""),45120.66666666667)</f>
        <v>45120.66667</v>
      </c>
      <c r="O187" s="11"/>
      <c r="P187" s="9" t="str">
        <f>IFERROR(__xludf.DUMMYFUNCTION("""COMPUTED_VALUE"""),"可")</f>
        <v>可</v>
      </c>
      <c r="Q187" s="8" t="str">
        <f>IFERROR(__xludf.DUMMYFUNCTION("""COMPUTED_VALUE"""),"※正式タイトル下記の通りです（2/21）&lt;BR&gt;＝＝＝&lt;BR&gt;叶うばかりが恋じゃない&lt;BR&gt;＝＝＝&lt;BR&gt;※本作品はFicus Party 4th朗読イベント作品です&lt;BR&gt;")</f>
        <v>※正式タイトル下記の通りです（2/21）&lt;BR&gt;＝＝＝&lt;BR&gt;叶うばかりが恋じゃない&lt;BR&gt;＝＝＝&lt;BR&gt;※本作品はFicus Party 4th朗読イベント作品です&lt;BR&gt;</v>
      </c>
      <c r="R187" s="9"/>
      <c r="S187" s="8" t="str">
        <f>IFERROR(__xludf.DUMMYFUNCTION("""COMPUTED_VALUE"""),"20230221_ソルマーレ編集部_叶うばかりが恋じゃない")</f>
        <v>20230221_ソルマーレ編集部_叶うばかりが恋じゃない</v>
      </c>
      <c r="T187" s="15"/>
      <c r="U187" s="9" t="str">
        <f>IFERROR(__xludf.DUMMYFUNCTION("""COMPUTED_VALUE"""),"Ⓒ 三月えみ/シーモアコミックス")</f>
        <v>Ⓒ 三月えみ/シーモアコミックス</v>
      </c>
      <c r="V187" s="8" t="str">
        <f>IFERROR(__xludf.DUMMYFUNCTION("""COMPUTED_VALUE"""),"青春を謳歌中の高校生・手塚の想い人は、バイト先のカラオケ屋店長・鹿賀くん。なぜか常連の有馬先生と3人で、新メニューの試食をするのが日課になっている。少し気になるのは、毎回歌わずに試食しては帰っていく有馬先生のことだ。もしや店長を狙っているのでは――手塚としては気が気じゃない。そんな時、店長がバンド『エヴァラス』のボーカル・リマの大ファンだという情報をゲット！ このバンドをきっかけに、店長と親睦を深めたい…！ さっそくエヴァラスの曲を聴きまくる手塚だったが…。 【フィカス】")</f>
        <v>青春を謳歌中の高校生・手塚の想い人は、バイト先のカラオケ屋店長・鹿賀くん。なぜか常連の有馬先生と3人で、新メニューの試食をするのが日課になっている。少し気になるのは、毎回歌わずに試食しては帰っていく有馬先生のことだ。もしや店長を狙っているのでは――手塚としては気が気じゃない。そんな時、店長がバンド『エヴァラス』のボーカル・リマの大ファンだという情報をゲット！ このバンドをきっかけに、店長と親睦を深めたい…！ さっそくエヴァラスの曲を聴きまくる手塚だったが…。 【フィカス】</v>
      </c>
      <c r="W187" s="8"/>
      <c r="X187" s="8" t="str">
        <f>IFERROR(__xludf.DUMMYFUNCTION("""COMPUTED_VALUE"""),"有")</f>
        <v>有</v>
      </c>
      <c r="Y187" s="8" t="str">
        <f>IFERROR(__xludf.DUMMYFUNCTION("""COMPUTED_VALUE"""),"P12まで")</f>
        <v>P12まで</v>
      </c>
      <c r="Z187" s="7"/>
      <c r="AA187" s="7"/>
      <c r="AB187" s="7"/>
    </row>
    <row r="188" ht="144.0" customHeight="1">
      <c r="A188" s="8">
        <f>IFERROR(__xludf.DUMMYFUNCTION("""COMPUTED_VALUE"""),1744.0)</f>
        <v>1744</v>
      </c>
      <c r="B188" s="9" t="str">
        <f>IFERROR(__xludf.DUMMYFUNCTION("""COMPUTED_VALUE"""),"確定")</f>
        <v>確定</v>
      </c>
      <c r="C188" s="10">
        <f>IFERROR(__xludf.DUMMYFUNCTION("""COMPUTED_VALUE"""),44978.0)</f>
        <v>44978</v>
      </c>
      <c r="D188" s="10">
        <f>IFERROR(__xludf.DUMMYFUNCTION("""COMPUTED_VALUE"""),44978.0)</f>
        <v>44978</v>
      </c>
      <c r="E188" s="8">
        <f>IFERROR(__xludf.DUMMYFUNCTION("""COMPUTED_VALUE"""),259791.0)</f>
        <v>259791</v>
      </c>
      <c r="F188" s="9" t="str">
        <f>IFERROR(__xludf.DUMMYFUNCTION("""COMPUTED_VALUE"""),"飼育初恋")</f>
        <v>飼育初恋</v>
      </c>
      <c r="G188" s="11">
        <f>IFERROR(__xludf.DUMMYFUNCTION("""COMPUTED_VALUE"""),1.0)</f>
        <v>1</v>
      </c>
      <c r="H188" s="8" t="str">
        <f>IFERROR(__xludf.DUMMYFUNCTION("""COMPUTED_VALUE"""),"浅井西")</f>
        <v>浅井西</v>
      </c>
      <c r="I188" s="8" t="str">
        <f>IFERROR(__xludf.DUMMYFUNCTION("""COMPUTED_VALUE"""),"BL")</f>
        <v>BL</v>
      </c>
      <c r="J188" s="8"/>
      <c r="K188" s="8"/>
      <c r="L188" s="8" t="str">
        <f>IFERROR(__xludf.DUMMYFUNCTION("""COMPUTED_VALUE"""),"ソルマーレ編集部")</f>
        <v>ソルマーレ編集部</v>
      </c>
      <c r="M188" s="12">
        <f>IFERROR(__xludf.DUMMYFUNCTION("""COMPUTED_VALUE"""),45009.0)</f>
        <v>45009</v>
      </c>
      <c r="N188" s="12">
        <f>IFERROR(__xludf.DUMMYFUNCTION("""COMPUTED_VALUE"""),45120.66666666667)</f>
        <v>45120.66667</v>
      </c>
      <c r="O188" s="11"/>
      <c r="P188" s="9" t="str">
        <f>IFERROR(__xludf.DUMMYFUNCTION("""COMPUTED_VALUE"""),"可")</f>
        <v>可</v>
      </c>
      <c r="Q188" s="8" t="str">
        <f>IFERROR(__xludf.DUMMYFUNCTION("""COMPUTED_VALUE"""),"※正式タイトル下記の通りです（2/21）&lt;BR&gt;＝＝＝&lt;BR&gt;飼育初恋&lt;BR&gt;＝＝＝&lt;BR&gt;※本作品はFicus Party 4th朗読イベント作品です&lt;BR&gt;表紙素材のみ不足のため別途格納し更新します")</f>
        <v>※正式タイトル下記の通りです（2/21）&lt;BR&gt;＝＝＝&lt;BR&gt;飼育初恋&lt;BR&gt;＝＝＝&lt;BR&gt;※本作品はFicus Party 4th朗読イベント作品です&lt;BR&gt;表紙素材のみ不足のため別途格納し更新します</v>
      </c>
      <c r="R188" s="9"/>
      <c r="S188" s="8" t="str">
        <f>IFERROR(__xludf.DUMMYFUNCTION("""COMPUTED_VALUE"""),"20230221_ソルマーレ編集部_飼育初恋")</f>
        <v>20230221_ソルマーレ編集部_飼育初恋</v>
      </c>
      <c r="T188" s="15"/>
      <c r="U188" s="9" t="str">
        <f>IFERROR(__xludf.DUMMYFUNCTION("""COMPUTED_VALUE"""),"Ⓒ 浅井西/シーモアコミックス")</f>
        <v>Ⓒ 浅井西/シーモアコミックス</v>
      </c>
      <c r="V188" s="8" t="str">
        <f>IFERROR(__xludf.DUMMYFUNCTION("""COMPUTED_VALUE"""),"何もない部屋で二人きり――この部屋からは出られない!? 平凡な大学生・日明（あきら）は、自分と同じ心理学が専門の院生・湯田（ゆだ）に出会い、交流するうちに、憧れとほのかな恋心を抱き始めてしまう。ある日、湯田の部屋に招かれた日明は、突然拘束されてしまって…!? 優しい狂気をまとうエリート院生×天然大学生のエゴイスティック・ラブ。【フィカス】")</f>
        <v>何もない部屋で二人きり――この部屋からは出られない!? 平凡な大学生・日明（あきら）は、自分と同じ心理学が専門の院生・湯田（ゆだ）に出会い、交流するうちに、憧れとほのかな恋心を抱き始めてしまう。ある日、湯田の部屋に招かれた日明は、突然拘束されてしまって…!? 優しい狂気をまとうエリート院生×天然大学生のエゴイスティック・ラブ。【フィカス】</v>
      </c>
      <c r="W188" s="8"/>
      <c r="X188" s="8" t="str">
        <f>IFERROR(__xludf.DUMMYFUNCTION("""COMPUTED_VALUE"""),"有")</f>
        <v>有</v>
      </c>
      <c r="Y188" s="8" t="str">
        <f>IFERROR(__xludf.DUMMYFUNCTION("""COMPUTED_VALUE"""),"P16まで")</f>
        <v>P16まで</v>
      </c>
      <c r="Z188" s="7"/>
      <c r="AA188" s="7"/>
      <c r="AB188" s="7"/>
    </row>
    <row r="189" ht="15.75" customHeight="1">
      <c r="A189" s="8">
        <f>IFERROR(__xludf.DUMMYFUNCTION("""COMPUTED_VALUE"""),1745.0)</f>
        <v>1745</v>
      </c>
      <c r="B189" s="9" t="str">
        <f>IFERROR(__xludf.DUMMYFUNCTION("""COMPUTED_VALUE"""),"確定")</f>
        <v>確定</v>
      </c>
      <c r="C189" s="10">
        <f>IFERROR(__xludf.DUMMYFUNCTION("""COMPUTED_VALUE"""),44978.0)</f>
        <v>44978</v>
      </c>
      <c r="D189" s="10">
        <f>IFERROR(__xludf.DUMMYFUNCTION("""COMPUTED_VALUE"""),44978.0)</f>
        <v>44978</v>
      </c>
      <c r="E189" s="8">
        <f>IFERROR(__xludf.DUMMYFUNCTION("""COMPUTED_VALUE"""),256396.0)</f>
        <v>256396</v>
      </c>
      <c r="F189" s="9" t="str">
        <f>IFERROR(__xludf.DUMMYFUNCTION("""COMPUTED_VALUE"""),"俺のワンコ系闇魔道士が言うことをきかない")</f>
        <v>俺のワンコ系闇魔道士が言うことをきかない</v>
      </c>
      <c r="G189" s="11">
        <f>IFERROR(__xludf.DUMMYFUNCTION("""COMPUTED_VALUE"""),1.0)</f>
        <v>1</v>
      </c>
      <c r="H189" s="8" t="str">
        <f>IFERROR(__xludf.DUMMYFUNCTION("""COMPUTED_VALUE"""),"はなさわ浪雄")</f>
        <v>はなさわ浪雄</v>
      </c>
      <c r="I189" s="8" t="str">
        <f>IFERROR(__xludf.DUMMYFUNCTION("""COMPUTED_VALUE"""),"BL")</f>
        <v>BL</v>
      </c>
      <c r="J189" s="8"/>
      <c r="K189" s="8"/>
      <c r="L189" s="8" t="str">
        <f>IFERROR(__xludf.DUMMYFUNCTION("""COMPUTED_VALUE"""),"ソルマーレ編集部")</f>
        <v>ソルマーレ編集部</v>
      </c>
      <c r="M189" s="12">
        <f>IFERROR(__xludf.DUMMYFUNCTION("""COMPUTED_VALUE"""),45009.0)</f>
        <v>45009</v>
      </c>
      <c r="N189" s="12">
        <f>IFERROR(__xludf.DUMMYFUNCTION("""COMPUTED_VALUE"""),45162.66666666667)</f>
        <v>45162.66667</v>
      </c>
      <c r="O189" s="11"/>
      <c r="P189" s="9" t="str">
        <f>IFERROR(__xludf.DUMMYFUNCTION("""COMPUTED_VALUE"""),"可")</f>
        <v>可</v>
      </c>
      <c r="Q189" s="8" t="str">
        <f>IFERROR(__xludf.DUMMYFUNCTION("""COMPUTED_VALUE"""),"※正式タイトル下記の通りです（2/21）&lt;BR&gt;＝＝＝&lt;BR&gt;俺のワンコ系闇魔道士が言うことをきかない&lt;BR&gt;＝＝＝&lt;BR&gt;※本作品はFicus Party 4th朗読イベント作品です&lt;BR&gt;24日までに素材納品予定のため別途格納し更新します")</f>
        <v>※正式タイトル下記の通りです（2/21）&lt;BR&gt;＝＝＝&lt;BR&gt;俺のワンコ系闇魔道士が言うことをきかない&lt;BR&gt;＝＝＝&lt;BR&gt;※本作品はFicus Party 4th朗読イベント作品です&lt;BR&gt;24日までに素材納品予定のため別途格納し更新します</v>
      </c>
      <c r="R189" s="9"/>
      <c r="S189" s="8" t="str">
        <f>IFERROR(__xludf.DUMMYFUNCTION("""COMPUTED_VALUE"""),"20230221_ソルマーレ編集部_俺のワンコ系闇魔道士が言うことをきかない")</f>
        <v>20230221_ソルマーレ編集部_俺のワンコ系闇魔道士が言うことをきかない</v>
      </c>
      <c r="T189" s="15"/>
      <c r="U189" s="9" t="str">
        <f>IFERROR(__xludf.DUMMYFUNCTION("""COMPUTED_VALUE"""),"Ⓒ はなさわ浪雄/シーモアコミックス")</f>
        <v>Ⓒ はなさわ浪雄/シーモアコミックス</v>
      </c>
      <c r="V189" s="8" t="str">
        <f>IFERROR(__xludf.DUMMYFUNCTION("""COMPUTED_VALUE"""),"目障りだった闇魔道士をパーティーから追放した、剣士のロイド。せいせいしていたのも束の間、力不足のパーティーは見るも無残に壊滅…、落ちぶれたロイドはどん底にいた。そこに現れたのは無下にクビにした闇魔道士のミズハで――。立場逆転・ワンコ×俺様のピンクな魔法BL！ 【フィカス】")</f>
        <v>目障りだった闇魔道士をパーティーから追放した、剣士のロイド。せいせいしていたのも束の間、力不足のパーティーは見るも無残に壊滅…、落ちぶれたロイドはどん底にいた。そこに現れたのは無下にクビにした闇魔道士のミズハで――。立場逆転・ワンコ×俺様のピンクな魔法BL！ 【フィカス】</v>
      </c>
      <c r="W189" s="8"/>
      <c r="X189" s="8" t="str">
        <f>IFERROR(__xludf.DUMMYFUNCTION("""COMPUTED_VALUE"""),"有")</f>
        <v>有</v>
      </c>
      <c r="Y189" s="8" t="str">
        <f>IFERROR(__xludf.DUMMYFUNCTION("""COMPUTED_VALUE"""),"P9まで")</f>
        <v>P9まで</v>
      </c>
      <c r="Z189" s="7"/>
      <c r="AA189" s="7"/>
      <c r="AB189" s="7"/>
    </row>
    <row r="190" ht="15.75" customHeight="1">
      <c r="A190" s="8">
        <f>IFERROR(__xludf.DUMMYFUNCTION("""COMPUTED_VALUE"""),1463.0)</f>
        <v>1463</v>
      </c>
      <c r="B190" s="9" t="str">
        <f>IFERROR(__xludf.DUMMYFUNCTION("""COMPUTED_VALUE"""),"確定")</f>
        <v>確定</v>
      </c>
      <c r="C190" s="10">
        <f>IFERROR(__xludf.DUMMYFUNCTION("""COMPUTED_VALUE"""),44854.0)</f>
        <v>44854</v>
      </c>
      <c r="D190" s="10">
        <f>IFERROR(__xludf.DUMMYFUNCTION("""COMPUTED_VALUE"""),44953.0)</f>
        <v>44953</v>
      </c>
      <c r="E190" s="8">
        <f>IFERROR(__xludf.DUMMYFUNCTION("""COMPUTED_VALUE"""),265121.0)</f>
        <v>265121</v>
      </c>
      <c r="F190" s="9" t="str">
        <f>IFERROR(__xludf.DUMMYFUNCTION("""COMPUTED_VALUE"""),"シンデレラが結婚したので意地悪な義姉はクールに去……れません！？")</f>
        <v>シンデレラが結婚したので意地悪な義姉はクールに去……れません！？</v>
      </c>
      <c r="G190" s="11" t="str">
        <f>IFERROR(__xludf.DUMMYFUNCTION("""COMPUTED_VALUE"""),"1～3")</f>
        <v>1～3</v>
      </c>
      <c r="H190" s="8" t="str">
        <f>IFERROR(__xludf.DUMMYFUNCTION("""COMPUTED_VALUE"""),"有馬ケイ・葛城阿高")</f>
        <v>有馬ケイ・葛城阿高</v>
      </c>
      <c r="I190" s="8" t="str">
        <f>IFERROR(__xludf.DUMMYFUNCTION("""COMPUTED_VALUE"""),"少女")</f>
        <v>少女</v>
      </c>
      <c r="J190" s="8"/>
      <c r="K190" s="8"/>
      <c r="L190" s="8" t="str">
        <f>IFERROR(__xludf.DUMMYFUNCTION("""COMPUTED_VALUE"""),"コンパス")</f>
        <v>コンパス</v>
      </c>
      <c r="M190" s="12">
        <f>IFERROR(__xludf.DUMMYFUNCTION("""COMPUTED_VALUE"""),45010.0)</f>
        <v>45010</v>
      </c>
      <c r="N190" s="12">
        <f>IFERROR(__xludf.DUMMYFUNCTION("""COMPUTED_VALUE"""),45163.66666666667)</f>
        <v>45163.66667</v>
      </c>
      <c r="O190" s="11"/>
      <c r="P190" s="9" t="str">
        <f>IFERROR(__xludf.DUMMYFUNCTION("""COMPUTED_VALUE"""),"可")</f>
        <v>可</v>
      </c>
      <c r="Q190" s="8" t="str">
        <f>IFERROR(__xludf.DUMMYFUNCTION("""COMPUTED_VALUE"""),"広告コミットOK（10/21）&lt;BR&gt;0127素材格納")</f>
        <v>広告コミットOK（10/21）&lt;BR&gt;0127素材格納</v>
      </c>
      <c r="R190" s="9"/>
      <c r="S190" s="8" t="str">
        <f>IFERROR(__xludf.DUMMYFUNCTION("""COMPUTED_VALUE"""),"20230127_コンパス_シンデレラが結婚したので意地悪な義姉")</f>
        <v>20230127_コンパス_シンデレラが結婚したので意地悪な義姉</v>
      </c>
      <c r="T190" s="9"/>
      <c r="U190" s="9" t="str">
        <f>IFERROR(__xludf.DUMMYFUNCTION("""COMPUTED_VALUE"""),"©有馬ケイ・葛城阿高／コンパス")</f>
        <v>©有馬ケイ・葛城阿高／コンパス</v>
      </c>
      <c r="V190" s="8" t="str">
        <f>IFERROR(__xludf.DUMMYFUNCTION("""COMPUTED_VALUE"""),"車に轢かれ転生したのは、童話「シンデレラ」の世界！
生真面目でバリバリ仕事一筋だった私が生まれ変わったのは、シンデレラの義姉・ペトラ。美人なのにズボラ干物女な義妹を「シンデレラ」の筋書きどおり王子の元に嫁がせるべく、もう1人の姉と一生懸命に育成！ しかしスパルタぶりを誤解した世間からは「意地悪な義姉達」と噂される日々…。
そんな苦難を乗り越え、無事に王子と結婚したシンデレラの姿を見届けて、物語はハッピーエンド!!…と思いきや、エリクと名乗る謎のスパダリに、舞踏会で「嫉妬のあまりシンデレラを虐げている」と不"&amp;"躾にも糾弾されて――!? 悪役＆脇役の義姉がまさかの大逆転★人気異世界ファンタジー、待望のコミカライズ!!")</f>
        <v>車に轢かれ転生したのは、童話「シンデレラ」の世界！
生真面目でバリバリ仕事一筋だった私が生まれ変わったのは、シンデレラの義姉・ペトラ。美人なのにズボラ干物女な義妹を「シンデレラ」の筋書きどおり王子の元に嫁がせるべく、もう1人の姉と一生懸命に育成！ しかしスパルタぶりを誤解した世間からは「意地悪な義姉達」と噂される日々…。
そんな苦難を乗り越え、無事に王子と結婚したシンデレラの姿を見届けて、物語はハッピーエンド!!…と思いきや、エリクと名乗る謎のスパダリに、舞踏会で「嫉妬のあまりシンデレラを虐げている」と不躾にも糾弾されて――!? 悪役＆脇役の義姉がまさかの大逆転★人気異世界ファンタジー、待望のコミカライズ!!</v>
      </c>
      <c r="W190" s="8"/>
      <c r="X190" s="8" t="str">
        <f>IFERROR(__xludf.DUMMYFUNCTION("""COMPUTED_VALUE"""),"有")</f>
        <v>有</v>
      </c>
      <c r="Y190" s="8" t="str">
        <f>IFERROR(__xludf.DUMMYFUNCTION("""COMPUTED_VALUE"""),"P18まで")</f>
        <v>P18まで</v>
      </c>
      <c r="Z190" s="7"/>
      <c r="AA190" s="7"/>
      <c r="AB190" s="7"/>
    </row>
    <row r="191" ht="15.75" customHeight="1">
      <c r="A191" s="8">
        <f>IFERROR(__xludf.DUMMYFUNCTION("""COMPUTED_VALUE"""),1765.0)</f>
        <v>1765</v>
      </c>
      <c r="B191" s="9" t="str">
        <f>IFERROR(__xludf.DUMMYFUNCTION("""COMPUTED_VALUE"""),"確定")</f>
        <v>確定</v>
      </c>
      <c r="C191" s="10">
        <f>IFERROR(__xludf.DUMMYFUNCTION("""COMPUTED_VALUE"""),44985.0)</f>
        <v>44985</v>
      </c>
      <c r="D191" s="10">
        <f>IFERROR(__xludf.DUMMYFUNCTION("""COMPUTED_VALUE"""),44985.0)</f>
        <v>44985</v>
      </c>
      <c r="E191" s="8">
        <f>IFERROR(__xludf.DUMMYFUNCTION("""COMPUTED_VALUE"""),264677.0)</f>
        <v>264677</v>
      </c>
      <c r="F191" s="9" t="str">
        <f>IFERROR(__xludf.DUMMYFUNCTION("""COMPUTED_VALUE"""),"王子のヒメゴト")</f>
        <v>王子のヒメゴト</v>
      </c>
      <c r="G191" s="11" t="str">
        <f>IFERROR(__xludf.DUMMYFUNCTION("""COMPUTED_VALUE"""),"1～3")</f>
        <v>1～3</v>
      </c>
      <c r="H191" s="8" t="str">
        <f>IFERROR(__xludf.DUMMYFUNCTION("""COMPUTED_VALUE"""),"相楽じぇす")</f>
        <v>相楽じぇす</v>
      </c>
      <c r="I191" s="8" t="str">
        <f>IFERROR(__xludf.DUMMYFUNCTION("""COMPUTED_VALUE"""),"女性")</f>
        <v>女性</v>
      </c>
      <c r="J191" s="8"/>
      <c r="K191" s="8"/>
      <c r="L191" s="8" t="str">
        <f>IFERROR(__xludf.DUMMYFUNCTION("""COMPUTED_VALUE"""),"集英社")</f>
        <v>集英社</v>
      </c>
      <c r="M191" s="12">
        <f>IFERROR(__xludf.DUMMYFUNCTION("""COMPUTED_VALUE"""),45010.0)</f>
        <v>45010</v>
      </c>
      <c r="N191" s="12">
        <f>IFERROR(__xludf.DUMMYFUNCTION("""COMPUTED_VALUE"""),45040.0)</f>
        <v>45040</v>
      </c>
      <c r="O191" s="11"/>
      <c r="P191" s="9" t="str">
        <f>IFERROR(__xludf.DUMMYFUNCTION("""COMPUTED_VALUE"""),"否")</f>
        <v>否</v>
      </c>
      <c r="Q191" s="8"/>
      <c r="R191" s="9"/>
      <c r="S191" s="8" t="str">
        <f>IFERROR(__xludf.DUMMYFUNCTION("""COMPUTED_VALUE"""),"20230228_集英社_王子のヒメゴト")</f>
        <v>20230228_集英社_王子のヒメゴト</v>
      </c>
      <c r="T191" s="9"/>
      <c r="U191" s="9" t="str">
        <f>IFERROR(__xludf.DUMMYFUNCTION("""COMPUTED_VALUE"""),"©相楽じぇす／集英社")</f>
        <v>©相楽じぇす／集英社</v>
      </c>
      <c r="V191" s="8" t="str">
        <f>IFERROR(__xludf.DUMMYFUNCTION("""COMPUTED_VALUE"""),"女バレのエース、綾目桃花は長身で端正な容姿から“王子”と呼ばれている。そんな王子には人に言えない趣味があり…実はエッチなTL小説が好きなんです！　もう一つ、人には言えないこと…同じ図書委員の浅木先輩が少し気になっています…この人だけは私を王子と呼ばない、女の子として扱ってくれる…そんな特別な存在。そんなある日、浅木先輩の秘密を知ってしまう…綾目が好きなTL小説の作者は浅木先輩だった!?　秘密を持った二人の探り合いが始まる！
")</f>
        <v>女バレのエース、綾目桃花は長身で端正な容姿から“王子”と呼ばれている。そんな王子には人に言えない趣味があり…実はエッチなTL小説が好きなんです！　もう一つ、人には言えないこと…同じ図書委員の浅木先輩が少し気になっています…この人だけは私を王子と呼ばない、女の子として扱ってくれる…そんな特別な存在。そんなある日、浅木先輩の秘密を知ってしまう…綾目が好きなTL小説の作者は浅木先輩だった!?　秘密を持った二人の探り合いが始まる！
</v>
      </c>
      <c r="W191" s="8"/>
      <c r="X191" s="8" t="str">
        <f>IFERROR(__xludf.DUMMYFUNCTION("""COMPUTED_VALUE"""),"有")</f>
        <v>有</v>
      </c>
      <c r="Y191" s="8" t="str">
        <f>IFERROR(__xludf.DUMMYFUNCTION("""COMPUTED_VALUE"""),"P27まで")</f>
        <v>P27まで</v>
      </c>
      <c r="Z191" s="7"/>
      <c r="AA191" s="7"/>
      <c r="AB191" s="7"/>
    </row>
    <row r="192" ht="15.75" customHeight="1">
      <c r="A192" s="8">
        <f>IFERROR(__xludf.DUMMYFUNCTION("""COMPUTED_VALUE"""),1757.0)</f>
        <v>1757</v>
      </c>
      <c r="B192" s="9" t="str">
        <f>IFERROR(__xludf.DUMMYFUNCTION("""COMPUTED_VALUE"""),"確定")</f>
        <v>確定</v>
      </c>
      <c r="C192" s="10">
        <f>IFERROR(__xludf.DUMMYFUNCTION("""COMPUTED_VALUE"""),44984.0)</f>
        <v>44984</v>
      </c>
      <c r="D192" s="10">
        <f>IFERROR(__xludf.DUMMYFUNCTION("""COMPUTED_VALUE"""),44984.0)</f>
        <v>44984</v>
      </c>
      <c r="E192" s="8">
        <f>IFERROR(__xludf.DUMMYFUNCTION("""COMPUTED_VALUE"""),264703.0)</f>
        <v>264703</v>
      </c>
      <c r="F192" s="9" t="str">
        <f>IFERROR(__xludf.DUMMYFUNCTION("""COMPUTED_VALUE"""),"いわくツき絵ロンダリング～引きこもり紙袋男とみだらな幽霊～")</f>
        <v>いわくツき絵ロンダリング～引きこもり紙袋男とみだらな幽霊～</v>
      </c>
      <c r="G192" s="11" t="str">
        <f>IFERROR(__xludf.DUMMYFUNCTION("""COMPUTED_VALUE"""),"1~3")</f>
        <v>1~3</v>
      </c>
      <c r="H192" s="8" t="str">
        <f>IFERROR(__xludf.DUMMYFUNCTION("""COMPUTED_VALUE"""),"ひらたいら")</f>
        <v>ひらたいら</v>
      </c>
      <c r="I192" s="8" t="str">
        <f>IFERROR(__xludf.DUMMYFUNCTION("""COMPUTED_VALUE"""),"青年")</f>
        <v>青年</v>
      </c>
      <c r="J192" s="8"/>
      <c r="K192" s="8"/>
      <c r="L192" s="8" t="str">
        <f>IFERROR(__xludf.DUMMYFUNCTION("""COMPUTED_VALUE"""),"コミックストック")</f>
        <v>コミックストック</v>
      </c>
      <c r="M192" s="12">
        <f>IFERROR(__xludf.DUMMYFUNCTION("""COMPUTED_VALUE"""),45011.0)</f>
        <v>45011</v>
      </c>
      <c r="N192" s="12">
        <f>IFERROR(__xludf.DUMMYFUNCTION("""COMPUTED_VALUE"""),45108.0)</f>
        <v>45108</v>
      </c>
      <c r="O192" s="11"/>
      <c r="P192" s="9" t="str">
        <f>IFERROR(__xludf.DUMMYFUNCTION("""COMPUTED_VALUE"""),"可")</f>
        <v>可</v>
      </c>
      <c r="Q192" s="8" t="str">
        <f>IFERROR(__xludf.DUMMYFUNCTION("""COMPUTED_VALUE"""),"協業：シーモア×DEDEDE&lt;BR&gt;素材格納（2/27）")</f>
        <v>協業：シーモア×DEDEDE&lt;BR&gt;素材格納（2/27）</v>
      </c>
      <c r="R192" s="9" t="str">
        <f>IFERROR(__xludf.DUMMYFUNCTION("""COMPUTED_VALUE"""),"格納済")</f>
        <v>格納済</v>
      </c>
      <c r="S192" s="8" t="str">
        <f>IFERROR(__xludf.DUMMYFUNCTION("""COMPUTED_VALUE"""),"20230227_コミックストック_いわくツき絵ロンダリング～引きこもり紙袋男とみだらな幽霊～")</f>
        <v>20230227_コミックストック_いわくツき絵ロンダリング～引きこもり紙袋男とみだらな幽霊～</v>
      </c>
      <c r="T192" s="9" t="str">
        <f>IFERROR(__xludf.DUMMYFUNCTION("""COMPUTED_VALUE"""),"校了済素材")</f>
        <v>校了済素材</v>
      </c>
      <c r="U192" s="9" t="str">
        <f>IFERROR(__xludf.DUMMYFUNCTION("""COMPUTED_VALUE"""),"ⓒひらたいら/コミックストック")</f>
        <v>ⓒひらたいら/コミックストック</v>
      </c>
      <c r="V192" s="8" t="str">
        <f>IFERROR(__xludf.DUMMYFUNCTION("""COMPUTED_VALUE"""),"「ねぇ、エロ漫画家にならない？」――幼い頃から幽霊が見え、恐怖心を抱きながら生活を送る男・布袋(ほてい)。その体質のせいで仕事にも支障をきたし、一時休職することに。ある日、紙袋を被ると幽霊の姿がマシに見えることが判明し、紙袋を被って復職したものの…周りから白い目で見られ、上司から退職を勧められてしまう。そんなどん底人生に悩み始めて半年が経った頃。昔馴染みの友人から賃貸物件の内見に同行してほしいと相談され、仕方なく一緒について行くと…そこはいわゆる事故物件で…!? さらにその日の夜、自宅で眠りにつこうとした"&amp;"ら…あの事故物件に居た女性の幽霊が憑いてきていて、しかも敏感なアソコを握られてる――…!?")</f>
        <v>「ねぇ、エロ漫画家にならない？」――幼い頃から幽霊が見え、恐怖心を抱きながら生活を送る男・布袋(ほてい)。その体質のせいで仕事にも支障をきたし、一時休職することに。ある日、紙袋を被ると幽霊の姿がマシに見えることが判明し、紙袋を被って復職したものの…周りから白い目で見られ、上司から退職を勧められてしまう。そんなどん底人生に悩み始めて半年が経った頃。昔馴染みの友人から賃貸物件の内見に同行してほしいと相談され、仕方なく一緒について行くと…そこはいわゆる事故物件で…!? さらにその日の夜、自宅で眠りにつこうとしたら…あの事故物件に居た女性の幽霊が憑いてきていて、しかも敏感なアソコを握られてる――…!?</v>
      </c>
      <c r="W192" s="8"/>
      <c r="X192" s="8" t="str">
        <f>IFERROR(__xludf.DUMMYFUNCTION("""COMPUTED_VALUE"""),"有")</f>
        <v>有</v>
      </c>
      <c r="Y192" s="8" t="str">
        <f>IFERROR(__xludf.DUMMYFUNCTION("""COMPUTED_VALUE"""),"P10まで")</f>
        <v>P10まで</v>
      </c>
      <c r="Z192" s="7"/>
      <c r="AA192" s="7"/>
      <c r="AB192" s="7"/>
    </row>
    <row r="193" ht="15.75" customHeight="1">
      <c r="A193" s="8">
        <f>IFERROR(__xludf.DUMMYFUNCTION("""COMPUTED_VALUE"""),1731.0)</f>
        <v>1731</v>
      </c>
      <c r="B193" s="9" t="str">
        <f>IFERROR(__xludf.DUMMYFUNCTION("""COMPUTED_VALUE"""),"確定")</f>
        <v>確定</v>
      </c>
      <c r="C193" s="10">
        <f>IFERROR(__xludf.DUMMYFUNCTION("""COMPUTED_VALUE"""),44971.0)</f>
        <v>44971</v>
      </c>
      <c r="D193" s="10">
        <f>IFERROR(__xludf.DUMMYFUNCTION("""COMPUTED_VALUE"""),44992.0)</f>
        <v>44992</v>
      </c>
      <c r="E193" s="8">
        <f>IFERROR(__xludf.DUMMYFUNCTION("""COMPUTED_VALUE"""),263320.0)</f>
        <v>263320</v>
      </c>
      <c r="F193" s="9" t="str">
        <f>IFERROR(__xludf.DUMMYFUNCTION("""COMPUTED_VALUE"""),"復讐のゴブリン ～異世界からの断罪者～【分冊版】")</f>
        <v>復讐のゴブリン ～異世界からの断罪者～【分冊版】</v>
      </c>
      <c r="G193" s="11" t="str">
        <f>IFERROR(__xludf.DUMMYFUNCTION("""COMPUTED_VALUE"""),"1～3")</f>
        <v>1～3</v>
      </c>
      <c r="H193" s="8" t="str">
        <f>IFERROR(__xludf.DUMMYFUNCTION("""COMPUTED_VALUE"""),"確認中")</f>
        <v>確認中</v>
      </c>
      <c r="I193" s="14" t="str">
        <f>IFERROR(__xludf.DUMMYFUNCTION("""COMPUTED_VALUE"""),"青年")</f>
        <v>青年</v>
      </c>
      <c r="J193" s="8"/>
      <c r="K193" s="8"/>
      <c r="L193" s="8" t="str">
        <f>IFERROR(__xludf.DUMMYFUNCTION("""COMPUTED_VALUE"""),"一迅社")</f>
        <v>一迅社</v>
      </c>
      <c r="M193" s="12">
        <f>IFERROR(__xludf.DUMMYFUNCTION("""COMPUTED_VALUE"""),45012.0)</f>
        <v>45012</v>
      </c>
      <c r="N193" s="12">
        <f>IFERROR(__xludf.DUMMYFUNCTION("""COMPUTED_VALUE"""),45042.0)</f>
        <v>45042</v>
      </c>
      <c r="O193" s="11"/>
      <c r="P193" s="9" t="str">
        <f>IFERROR(__xludf.DUMMYFUNCTION("""COMPUTED_VALUE"""),"可")</f>
        <v>可</v>
      </c>
      <c r="Q193" s="8"/>
      <c r="R193" s="9"/>
      <c r="S193" s="8" t="str">
        <f>IFERROR(__xludf.DUMMYFUNCTION("""COMPUTED_VALUE"""),"20230307_一迅社_復讐のゴブリン")</f>
        <v>20230307_一迅社_復讐のゴブリン</v>
      </c>
      <c r="T193" s="9"/>
      <c r="U193" s="9" t="str">
        <f>IFERROR(__xludf.DUMMYFUNCTION("""COMPUTED_VALUE"""),"©仙道八／一迅社")</f>
        <v>©仙道八／一迅社</v>
      </c>
      <c r="V193" s="8" t="str">
        <f>IFERROR(__xludf.DUMMYFUNCTION("""COMPUTED_VALUE"""),"イジメに耐え兼ね、女子高生は屋上から飛んだ――。イジメていた４人の同級生、よつば・ちひろ・二穂・一花は平然と日常を過ごしていたが、一花が緑色した謎の怪物によって犯され、殺されてしまう。ソレは“ゴブリン”のような風貌で、自殺した女子高生が持っていたキーホルダーに似ていた。これは“呪い”か“復讐”か、残された３人は逃げ切れるのか――。 ※この作品は『復讐のゴブリン ～異世界からの断罪者～』収録作品と同一の内容を単話版として再編集したものとなります。")</f>
        <v>イジメに耐え兼ね、女子高生は屋上から飛んだ――。イジメていた４人の同級生、よつば・ちひろ・二穂・一花は平然と日常を過ごしていたが、一花が緑色した謎の怪物によって犯され、殺されてしまう。ソレは“ゴブリン”のような風貌で、自殺した女子高生が持っていたキーホルダーに似ていた。これは“呪い”か“復讐”か、残された３人は逃げ切れるのか――。 ※この作品は『復讐のゴブリン ～異世界からの断罪者～』収録作品と同一の内容を単話版として再編集したものとなります。</v>
      </c>
      <c r="W193" s="8"/>
      <c r="X193" s="8" t="str">
        <f>IFERROR(__xludf.DUMMYFUNCTION("""COMPUTED_VALUE"""),"有")</f>
        <v>有</v>
      </c>
      <c r="Y193" s="8" t="str">
        <f>IFERROR(__xludf.DUMMYFUNCTION("""COMPUTED_VALUE"""),"P7まで")</f>
        <v>P7まで</v>
      </c>
      <c r="Z193" s="7"/>
      <c r="AA193" s="7"/>
      <c r="AB193" s="7"/>
    </row>
    <row r="194" ht="15.75" customHeight="1">
      <c r="A194" s="8">
        <f>IFERROR(__xludf.DUMMYFUNCTION("""COMPUTED_VALUE"""),1711.0)</f>
        <v>1711</v>
      </c>
      <c r="B194" s="9" t="str">
        <f>IFERROR(__xludf.DUMMYFUNCTION("""COMPUTED_VALUE"""),"確定")</f>
        <v>確定</v>
      </c>
      <c r="C194" s="10">
        <f>IFERROR(__xludf.DUMMYFUNCTION("""COMPUTED_VALUE"""),44966.0)</f>
        <v>44966</v>
      </c>
      <c r="D194" s="10">
        <f>IFERROR(__xludf.DUMMYFUNCTION("""COMPUTED_VALUE"""),44966.0)</f>
        <v>44966</v>
      </c>
      <c r="E194" s="8">
        <f>IFERROR(__xludf.DUMMYFUNCTION("""COMPUTED_VALUE"""),264766.0)</f>
        <v>264766</v>
      </c>
      <c r="F194" s="9" t="str">
        <f>IFERROR(__xludf.DUMMYFUNCTION("""COMPUTED_VALUE"""),"ギャルに恋する５秒前 アンソロジーコミック")</f>
        <v>ギャルに恋する５秒前 アンソロジーコミック</v>
      </c>
      <c r="G194" s="11">
        <f>IFERROR(__xludf.DUMMYFUNCTION("""COMPUTED_VALUE"""),1.0)</f>
        <v>1</v>
      </c>
      <c r="H194" s="8" t="str">
        <f>IFERROR(__xludf.DUMMYFUNCTION("""COMPUTED_VALUE"""),"香澤陽平/saku/うらのりつ/ヒダリウデ/花門初海/野生くずり")</f>
        <v>香澤陽平/saku/うらのりつ/ヒダリウデ/花門初海/野生くずり</v>
      </c>
      <c r="I194" s="8" t="str">
        <f>IFERROR(__xludf.DUMMYFUNCTION("""COMPUTED_VALUE"""),"青年")</f>
        <v>青年</v>
      </c>
      <c r="J194" s="8"/>
      <c r="K194" s="8"/>
      <c r="L194" s="8" t="str">
        <f>IFERROR(__xludf.DUMMYFUNCTION("""COMPUTED_VALUE"""),"ファンギルド")</f>
        <v>ファンギルド</v>
      </c>
      <c r="M194" s="12">
        <f>IFERROR(__xludf.DUMMYFUNCTION("""COMPUTED_VALUE"""),45016.0)</f>
        <v>45016</v>
      </c>
      <c r="N194" s="12">
        <f>IFERROR(__xludf.DUMMYFUNCTION("""COMPUTED_VALUE"""),45045.0)</f>
        <v>45045</v>
      </c>
      <c r="O194" s="11"/>
      <c r="P194" s="9" t="str">
        <f>IFERROR(__xludf.DUMMYFUNCTION("""COMPUTED_VALUE"""),"可")</f>
        <v>可</v>
      </c>
      <c r="Q194" s="8"/>
      <c r="R194" s="9"/>
      <c r="S194" s="8" t="str">
        <f>IFERROR(__xludf.DUMMYFUNCTION("""COMPUTED_VALUE"""),"20230209_ファンギルド_ギャルに恋する5秒前 アンソロジーコミック")</f>
        <v>20230209_ファンギルド_ギャルに恋する5秒前 アンソロジーコミック</v>
      </c>
      <c r="T194" s="9"/>
      <c r="U194" s="9" t="str">
        <f>IFERROR(__xludf.DUMMYFUNCTION("""COMPUTED_VALUE"""),"Ⓒ香澤陽平/saku/うらのりつ/ヒダリウデ/花門初海/野生くずり/ファンギルド")</f>
        <v>Ⓒ香澤陽平/saku/うらのりつ/ヒダリウデ/花門初海/野生くずり/ファンギルド</v>
      </c>
      <c r="V194" s="8" t="str">
        <f>IFERROR(__xludf.DUMMYFUNCTION("""COMPUTED_VALUE"""),"「ギャルに優しくされたら、恋に落ちるに決まってる！」派手に着飾ってちょっぴりエッチなギャルたち。だけど時折見せるピュアな表情に見惚れてしまって――？自由奔放なギャルに優しくされたい男子に贈るアンソロジーコミック！読み切り６本収録！＜収録作品＞「誘惑しないで！咲原さん」香澤陽平／「清河さんはどうみてもギャル！」saku／「幼馴染ギャルはもてなしたいっ！」うらのりつ／「ギャルはラーメンが好き！」ヒダリウデ／「モグモグカンナちゃん～ギャルをオトす愛情レシピ～」野生くずり／「未熟なギャルは先生に教えを乞う 」花門"&amp;"初海　＜カバーイラスト＞香澤陽平")</f>
        <v>「ギャルに優しくされたら、恋に落ちるに決まってる！」派手に着飾ってちょっぴりエッチなギャルたち。だけど時折見せるピュアな表情に見惚れてしまって――？自由奔放なギャルに優しくされたい男子に贈るアンソロジーコミック！読み切り６本収録！＜収録作品＞「誘惑しないで！咲原さん」香澤陽平／「清河さんはどうみてもギャル！」saku／「幼馴染ギャルはもてなしたいっ！」うらのりつ／「ギャルはラーメンが好き！」ヒダリウデ／「モグモグカンナちゃん～ギャルをオトす愛情レシピ～」野生くずり／「未熟なギャルは先生に教えを乞う 」花門初海　＜カバーイラスト＞香澤陽平</v>
      </c>
      <c r="W194" s="8"/>
      <c r="X194" s="8" t="str">
        <f>IFERROR(__xludf.DUMMYFUNCTION("""COMPUTED_VALUE"""),"有")</f>
        <v>有</v>
      </c>
      <c r="Y194" s="8" t="str">
        <f>IFERROR(__xludf.DUMMYFUNCTION("""COMPUTED_VALUE"""),"P28まで")</f>
        <v>P28まで</v>
      </c>
      <c r="Z194" s="7"/>
      <c r="AA194" s="7"/>
      <c r="AB194" s="7"/>
    </row>
    <row r="195" ht="107.25" customHeight="1">
      <c r="A195" s="8">
        <f>IFERROR(__xludf.DUMMYFUNCTION("""COMPUTED_VALUE"""),1627.0)</f>
        <v>1627</v>
      </c>
      <c r="B195" s="9" t="str">
        <f>IFERROR(__xludf.DUMMYFUNCTION("""COMPUTED_VALUE"""),"確定")</f>
        <v>確定</v>
      </c>
      <c r="C195" s="10">
        <f>IFERROR(__xludf.DUMMYFUNCTION("""COMPUTED_VALUE"""),44932.0)</f>
        <v>44932</v>
      </c>
      <c r="D195" s="10">
        <f>IFERROR(__xludf.DUMMYFUNCTION("""COMPUTED_VALUE"""),44981.0)</f>
        <v>44981</v>
      </c>
      <c r="E195" s="8">
        <f>IFERROR(__xludf.DUMMYFUNCTION("""COMPUTED_VALUE"""),265008.0)</f>
        <v>265008</v>
      </c>
      <c r="F195" s="9" t="str">
        <f>IFERROR(__xludf.DUMMYFUNCTION("""COMPUTED_VALUE"""),"悪役令嬢に転生したらヒロインが元カレだった")</f>
        <v>悪役令嬢に転生したらヒロインが元カレだった</v>
      </c>
      <c r="G195" s="11" t="str">
        <f>IFERROR(__xludf.DUMMYFUNCTION("""COMPUTED_VALUE"""),"1～3")</f>
        <v>1～3</v>
      </c>
      <c r="H195" s="8" t="str">
        <f>IFERROR(__xludf.DUMMYFUNCTION("""COMPUTED_VALUE"""),"絶蝶")</f>
        <v>絶蝶</v>
      </c>
      <c r="I195" s="8" t="str">
        <f>IFERROR(__xludf.DUMMYFUNCTION("""COMPUTED_VALUE"""),"女性")</f>
        <v>女性</v>
      </c>
      <c r="J195" s="8"/>
      <c r="K195" s="8"/>
      <c r="L195" s="8" t="str">
        <f>IFERROR(__xludf.DUMMYFUNCTION("""COMPUTED_VALUE"""),"ふゅーじょんぷろだくと")</f>
        <v>ふゅーじょんぷろだくと</v>
      </c>
      <c r="M195" s="12">
        <f>IFERROR(__xludf.DUMMYFUNCTION("""COMPUTED_VALUE"""),45016.0)</f>
        <v>45016</v>
      </c>
      <c r="N195" s="12">
        <f>IFERROR(__xludf.DUMMYFUNCTION("""COMPUTED_VALUE"""),45107.0)</f>
        <v>45107</v>
      </c>
      <c r="O195" s="11"/>
      <c r="P195" s="9" t="str">
        <f>IFERROR(__xludf.DUMMYFUNCTION("""COMPUTED_VALUE"""),"可")</f>
        <v>可</v>
      </c>
      <c r="Q195" s="8" t="str">
        <f>IFERROR(__xludf.DUMMYFUNCTION("""COMPUTED_VALUE"""),"広告コミットOK（1/12）&lt;BR&gt;")</f>
        <v>広告コミットOK（1/12）&lt;BR&gt;</v>
      </c>
      <c r="R195" s="9"/>
      <c r="S195" s="8" t="str">
        <f>IFERROR(__xludf.DUMMYFUNCTION("""COMPUTED_VALUE"""),"20230224_ふゅーじょんぷろだくと_悪役令嬢に転生したらヒロインが元カレだった")</f>
        <v>20230224_ふゅーじょんぷろだくと_悪役令嬢に転生したらヒロインが元カレだった</v>
      </c>
      <c r="T195" s="9"/>
      <c r="U195" s="9" t="str">
        <f>IFERROR(__xludf.DUMMYFUNCTION("""COMPUTED_VALUE"""),"©絶蝶／FUSION PRODUCT")</f>
        <v>©絶蝶／FUSION PRODUCT</v>
      </c>
      <c r="V195" s="8" t="str">
        <f>IFERROR(__xludf.DUMMYFUNCTION("""COMPUTED_VALUE"""),"【私の人生、悲惨すぎない？】乙女ゲーマー・元加 希美（22）。やっとできた彼氏を寝取られるわ、車に撥ねられるわ…もう散々。ところが、気がつくと大好きな乙女ゲーム「ハイリゲ シュヴァンツ」の世界に転生していた。今となっては才色兼備な公爵令嬢・モトカノア。これからは“ヒロイン”として幸せになってやる！！…と意気込んだのも束の間、思いも寄らぬ展開が待っていた。")</f>
        <v>【私の人生、悲惨すぎない？】乙女ゲーマー・元加 希美（22）。やっとできた彼氏を寝取られるわ、車に撥ねられるわ…もう散々。ところが、気がつくと大好きな乙女ゲーム「ハイリゲ シュヴァンツ」の世界に転生していた。今となっては才色兼備な公爵令嬢・モトカノア。これからは“ヒロイン”として幸せになってやる！！…と意気込んだのも束の間、思いも寄らぬ展開が待っていた。</v>
      </c>
      <c r="W195" s="8"/>
      <c r="X195" s="8" t="str">
        <f>IFERROR(__xludf.DUMMYFUNCTION("""COMPUTED_VALUE"""),"有")</f>
        <v>有</v>
      </c>
      <c r="Y195" s="8" t="str">
        <f>IFERROR(__xludf.DUMMYFUNCTION("""COMPUTED_VALUE"""),"P10まで")</f>
        <v>P10まで</v>
      </c>
      <c r="Z195" s="7"/>
      <c r="AA195" s="7"/>
      <c r="AB195" s="7"/>
    </row>
    <row r="196" ht="15.75" customHeight="1">
      <c r="A196" s="8">
        <f>IFERROR(__xludf.DUMMYFUNCTION("""COMPUTED_VALUE"""),1753.0)</f>
        <v>1753</v>
      </c>
      <c r="B196" s="9" t="str">
        <f>IFERROR(__xludf.DUMMYFUNCTION("""COMPUTED_VALUE"""),"確定")</f>
        <v>確定</v>
      </c>
      <c r="C196" s="10">
        <f>IFERROR(__xludf.DUMMYFUNCTION("""COMPUTED_VALUE"""),44981.0)</f>
        <v>44981</v>
      </c>
      <c r="D196" s="10">
        <f>IFERROR(__xludf.DUMMYFUNCTION("""COMPUTED_VALUE"""),44981.0)</f>
        <v>44981</v>
      </c>
      <c r="E196" s="8">
        <f>IFERROR(__xludf.DUMMYFUNCTION("""COMPUTED_VALUE"""),251443.0)</f>
        <v>251443</v>
      </c>
      <c r="F196" s="9" t="str">
        <f>IFERROR(__xludf.DUMMYFUNCTION("""COMPUTED_VALUE"""),"愛した貴方は、")</f>
        <v>愛した貴方は、</v>
      </c>
      <c r="G196" s="11" t="str">
        <f>IFERROR(__xludf.DUMMYFUNCTION("""COMPUTED_VALUE"""),"1～3")</f>
        <v>1～3</v>
      </c>
      <c r="H196" s="8" t="str">
        <f>IFERROR(__xludf.DUMMYFUNCTION("""COMPUTED_VALUE"""),"北沢旭")</f>
        <v>北沢旭</v>
      </c>
      <c r="I196" s="14" t="str">
        <f>IFERROR(__xludf.DUMMYFUNCTION("""COMPUTED_VALUE"""),"女性")</f>
        <v>女性</v>
      </c>
      <c r="J196" s="8"/>
      <c r="K196" s="8"/>
      <c r="L196" s="8" t="str">
        <f>IFERROR(__xludf.DUMMYFUNCTION("""COMPUTED_VALUE"""),"シーモアコミックス")</f>
        <v>シーモアコミックス</v>
      </c>
      <c r="M196" s="12">
        <f>IFERROR(__xludf.DUMMYFUNCTION("""COMPUTED_VALUE"""),45016.0)</f>
        <v>45016</v>
      </c>
      <c r="N196" s="12">
        <f>IFERROR(__xludf.DUMMYFUNCTION("""COMPUTED_VALUE"""),45169.0)</f>
        <v>45169</v>
      </c>
      <c r="O196" s="11"/>
      <c r="P196" s="9" t="str">
        <f>IFERROR(__xludf.DUMMYFUNCTION("""COMPUTED_VALUE"""),"可")</f>
        <v>可</v>
      </c>
      <c r="Q196" s="8" t="str">
        <f>IFERROR(__xludf.DUMMYFUNCTION("""COMPUTED_VALUE"""),"※正式タイトル下記の通りです（2/24）&lt;BR&gt;＝＝＝&lt;BR&gt;愛した貴方は、&lt;BR&gt;＝＝＝&lt;BR&gt;")</f>
        <v>※正式タイトル下記の通りです（2/24）&lt;BR&gt;＝＝＝&lt;BR&gt;愛した貴方は、&lt;BR&gt;＝＝＝&lt;BR&gt;</v>
      </c>
      <c r="R196" s="9"/>
      <c r="S196" s="8" t="str">
        <f>IFERROR(__xludf.DUMMYFUNCTION("""COMPUTED_VALUE"""),"20230224_シーモアコミックス_愛した貴方は、")</f>
        <v>20230224_シーモアコミックス_愛した貴方は、</v>
      </c>
      <c r="T196" s="15"/>
      <c r="U196" s="9" t="str">
        <f>IFERROR(__xludf.DUMMYFUNCTION("""COMPUTED_VALUE"""),"© 北沢旭/シーモアコミックス")</f>
        <v>© 北沢旭/シーモアコミックス</v>
      </c>
      <c r="V196" s="8" t="str">
        <f>IFERROR(__xludf.DUMMYFUNCTION("""COMPUTED_VALUE"""),"結婚二年目の篠崎彩(29)は夫である翔太(31)と最近すれ違い気味だった。いつか私たちも子供が欲しいと思ってはいても、経済的な問題や産休育休のことを考えると今すぐは難しい…。それでも翔太の楽観的すぎる考え方に彩はショックを受け、二人の間に亀裂が走るが…。
")</f>
        <v>結婚二年目の篠崎彩(29)は夫である翔太(31)と最近すれ違い気味だった。いつか私たちも子供が欲しいと思ってはいても、経済的な問題や産休育休のことを考えると今すぐは難しい…。それでも翔太の楽観的すぎる考え方に彩はショックを受け、二人の間に亀裂が走るが…。
</v>
      </c>
      <c r="W196" s="8"/>
      <c r="X196" s="8" t="str">
        <f>IFERROR(__xludf.DUMMYFUNCTION("""COMPUTED_VALUE"""),"有")</f>
        <v>有</v>
      </c>
      <c r="Y196" s="8" t="str">
        <f>IFERROR(__xludf.DUMMYFUNCTION("""COMPUTED_VALUE"""),"P11まで")</f>
        <v>P11まで</v>
      </c>
      <c r="Z196" s="7"/>
      <c r="AA196" s="7"/>
      <c r="AB196" s="7"/>
    </row>
    <row r="197" ht="15.75" customHeight="1">
      <c r="A197" s="8">
        <f>IFERROR(__xludf.DUMMYFUNCTION("""COMPUTED_VALUE"""),1754.0)</f>
        <v>1754</v>
      </c>
      <c r="B197" s="9" t="str">
        <f>IFERROR(__xludf.DUMMYFUNCTION("""COMPUTED_VALUE"""),"確定")</f>
        <v>確定</v>
      </c>
      <c r="C197" s="10">
        <f>IFERROR(__xludf.DUMMYFUNCTION("""COMPUTED_VALUE"""),44981.0)</f>
        <v>44981</v>
      </c>
      <c r="D197" s="10">
        <f>IFERROR(__xludf.DUMMYFUNCTION("""COMPUTED_VALUE"""),44981.0)</f>
        <v>44981</v>
      </c>
      <c r="E197" s="8">
        <f>IFERROR(__xludf.DUMMYFUNCTION("""COMPUTED_VALUE"""),254955.0)</f>
        <v>254955</v>
      </c>
      <c r="F197" s="9" t="str">
        <f>IFERROR(__xludf.DUMMYFUNCTION("""COMPUTED_VALUE"""),"不遇なヴァイオリン弾きは殿下に見初められる")</f>
        <v>不遇なヴァイオリン弾きは殿下に見初められる</v>
      </c>
      <c r="G197" s="11" t="str">
        <f>IFERROR(__xludf.DUMMYFUNCTION("""COMPUTED_VALUE"""),"1～3")</f>
        <v>1～3</v>
      </c>
      <c r="H197" s="8" t="str">
        <f>IFERROR(__xludf.DUMMYFUNCTION("""COMPUTED_VALUE"""),"みよしろ圭")</f>
        <v>みよしろ圭</v>
      </c>
      <c r="I197" s="14" t="str">
        <f>IFERROR(__xludf.DUMMYFUNCTION("""COMPUTED_VALUE"""),"少女")</f>
        <v>少女</v>
      </c>
      <c r="J197" s="8"/>
      <c r="K197" s="8"/>
      <c r="L197" s="8" t="str">
        <f>IFERROR(__xludf.DUMMYFUNCTION("""COMPUTED_VALUE"""),"シーモアコミックス")</f>
        <v>シーモアコミックス</v>
      </c>
      <c r="M197" s="12">
        <f>IFERROR(__xludf.DUMMYFUNCTION("""COMPUTED_VALUE"""),45016.0)</f>
        <v>45016</v>
      </c>
      <c r="N197" s="12">
        <f>IFERROR(__xludf.DUMMYFUNCTION("""COMPUTED_VALUE"""),45169.0)</f>
        <v>45169</v>
      </c>
      <c r="O197" s="11"/>
      <c r="P197" s="9" t="str">
        <f>IFERROR(__xludf.DUMMYFUNCTION("""COMPUTED_VALUE"""),"可")</f>
        <v>可</v>
      </c>
      <c r="Q197" s="8" t="str">
        <f>IFERROR(__xludf.DUMMYFUNCTION("""COMPUTED_VALUE"""),"※正式タイトル下記の通りです（2/24）&lt;BR&gt;＝＝＝&lt;BR&gt;不遇なヴァイオリン弾きは殿下に見初められる&lt;BR&gt;＝＝＝&lt;BR&gt;")</f>
        <v>※正式タイトル下記の通りです（2/24）&lt;BR&gt;＝＝＝&lt;BR&gt;不遇なヴァイオリン弾きは殿下に見初められる&lt;BR&gt;＝＝＝&lt;BR&gt;</v>
      </c>
      <c r="R197" s="9"/>
      <c r="S197" s="8" t="str">
        <f>IFERROR(__xludf.DUMMYFUNCTION("""COMPUTED_VALUE"""),"20230224_シーモアコミックス_不遇なヴァイオリン弾きは殿下に見初められる")</f>
        <v>20230224_シーモアコミックス_不遇なヴァイオリン弾きは殿下に見初められる</v>
      </c>
      <c r="T197" s="15"/>
      <c r="U197" s="9" t="str">
        <f>IFERROR(__xludf.DUMMYFUNCTION("""COMPUTED_VALUE"""),"© みよしろ圭/シーモアコミックス")</f>
        <v>© みよしろ圭/シーモアコミックス</v>
      </c>
      <c r="V197" s="8" t="str">
        <f>IFERROR(__xludf.DUMMYFUNCTION("""COMPUTED_VALUE"""),"「あなたの音が好きだ」殿下が真っすぐに私を見つめている――。幼い頃、両親を亡くしたレティシアは音楽を披露して各地を巡る旅一座に拾われ、奴隷のように働かされていた。ある日、「音楽の国」と名高い王国で公演をすることになった一座は、音楽好きの王子から絶賛される。その中でも王子は、レティシアに特別な感情を抱いたようで…
")</f>
        <v>「あなたの音が好きだ」殿下が真っすぐに私を見つめている――。幼い頃、両親を亡くしたレティシアは音楽を披露して各地を巡る旅一座に拾われ、奴隷のように働かされていた。ある日、「音楽の国」と名高い王国で公演をすることになった一座は、音楽好きの王子から絶賛される。その中でも王子は、レティシアに特別な感情を抱いたようで…
</v>
      </c>
      <c r="W197" s="8"/>
      <c r="X197" s="8" t="str">
        <f>IFERROR(__xludf.DUMMYFUNCTION("""COMPUTED_VALUE"""),"有")</f>
        <v>有</v>
      </c>
      <c r="Y197" s="8" t="str">
        <f>IFERROR(__xludf.DUMMYFUNCTION("""COMPUTED_VALUE"""),"P6まで")</f>
        <v>P6まで</v>
      </c>
      <c r="Z197" s="7"/>
      <c r="AA197" s="7"/>
      <c r="AB197" s="7"/>
    </row>
    <row r="198" ht="15.75" customHeight="1">
      <c r="A198" s="8">
        <f>IFERROR(__xludf.DUMMYFUNCTION("""COMPUTED_VALUE"""),1755.0)</f>
        <v>1755</v>
      </c>
      <c r="B198" s="9" t="str">
        <f>IFERROR(__xludf.DUMMYFUNCTION("""COMPUTED_VALUE"""),"確定")</f>
        <v>確定</v>
      </c>
      <c r="C198" s="10">
        <f>IFERROR(__xludf.DUMMYFUNCTION("""COMPUTED_VALUE"""),44981.0)</f>
        <v>44981</v>
      </c>
      <c r="D198" s="10">
        <f>IFERROR(__xludf.DUMMYFUNCTION("""COMPUTED_VALUE"""),44984.0)</f>
        <v>44984</v>
      </c>
      <c r="E198" s="8">
        <f>IFERROR(__xludf.DUMMYFUNCTION("""COMPUTED_VALUE"""),257779.0)</f>
        <v>257779</v>
      </c>
      <c r="F198" s="9" t="str">
        <f>IFERROR(__xludf.DUMMYFUNCTION("""COMPUTED_VALUE"""),"今夜、コウキくんが家に帰してくれません")</f>
        <v>今夜、コウキくんが家に帰してくれません</v>
      </c>
      <c r="G198" s="11" t="str">
        <f>IFERROR(__xludf.DUMMYFUNCTION("""COMPUTED_VALUE"""),"1～3")</f>
        <v>1～3</v>
      </c>
      <c r="H198" s="8" t="str">
        <f>IFERROR(__xludf.DUMMYFUNCTION("""COMPUTED_VALUE"""),"三生")</f>
        <v>三生</v>
      </c>
      <c r="I198" s="14" t="str">
        <f>IFERROR(__xludf.DUMMYFUNCTION("""COMPUTED_VALUE"""),"少女")</f>
        <v>少女</v>
      </c>
      <c r="J198" s="8"/>
      <c r="K198" s="8"/>
      <c r="L198" s="8" t="str">
        <f>IFERROR(__xludf.DUMMYFUNCTION("""COMPUTED_VALUE"""),"シーモアコミックス")</f>
        <v>シーモアコミックス</v>
      </c>
      <c r="M198" s="12">
        <f>IFERROR(__xludf.DUMMYFUNCTION("""COMPUTED_VALUE"""),45016.0)</f>
        <v>45016</v>
      </c>
      <c r="N198" s="12">
        <f>IFERROR(__xludf.DUMMYFUNCTION("""COMPUTED_VALUE"""),45169.0)</f>
        <v>45169</v>
      </c>
      <c r="O198" s="11"/>
      <c r="P198" s="9" t="str">
        <f>IFERROR(__xludf.DUMMYFUNCTION("""COMPUTED_VALUE"""),"可")</f>
        <v>可</v>
      </c>
      <c r="Q198" s="8" t="str">
        <f>IFERROR(__xludf.DUMMYFUNCTION("""COMPUTED_VALUE"""),"※素材が揃いましたのでフォルダパスを更新しました（2/27）&lt;BR&gt;※正式タイトル下記の通りです（2/24）&lt;BR&gt;＝＝＝&lt;BR&gt;今夜、コウキくんが家に帰してくれません&lt;BR&gt;＝＝＝&lt;BR&gt;")</f>
        <v>※素材が揃いましたのでフォルダパスを更新しました（2/27）&lt;BR&gt;※正式タイトル下記の通りです（2/24）&lt;BR&gt;＝＝＝&lt;BR&gt;今夜、コウキくんが家に帰してくれません&lt;BR&gt;＝＝＝&lt;BR&gt;</v>
      </c>
      <c r="R198" s="9"/>
      <c r="S198" s="8" t="str">
        <f>IFERROR(__xludf.DUMMYFUNCTION("""COMPUTED_VALUE"""),"20230227_シーモアコミックス_今夜、コウキくんが家に帰してくれません")</f>
        <v>20230227_シーモアコミックス_今夜、コウキくんが家に帰してくれません</v>
      </c>
      <c r="T198" s="15"/>
      <c r="U198" s="9" t="str">
        <f>IFERROR(__xludf.DUMMYFUNCTION("""COMPUTED_VALUE"""),"© 三生/シーモアコミックス")</f>
        <v>© 三生/シーモアコミックス</v>
      </c>
      <c r="V198" s="8" t="str">
        <f>IFERROR(__xludf.DUMMYFUNCTION("""COMPUTED_VALUE"""),"気付けば人の面倒を見てしまうアラサー女子・高梨名月（たかなしなつき）。職場のトラブルにも手を出してしまった結果、あわや殴られそうに…！そんな時、偶然通りかかった年下のイケメン男子・華島康樹（はなじまこうき）に助けられて…!?
")</f>
        <v>気付けば人の面倒を見てしまうアラサー女子・高梨名月（たかなしなつき）。職場のトラブルにも手を出してしまった結果、あわや殴られそうに…！そんな時、偶然通りかかった年下のイケメン男子・華島康樹（はなじまこうき）に助けられて…!?
</v>
      </c>
      <c r="W198" s="8"/>
      <c r="X198" s="8" t="str">
        <f>IFERROR(__xludf.DUMMYFUNCTION("""COMPUTED_VALUE"""),"有")</f>
        <v>有</v>
      </c>
      <c r="Y198" s="8" t="str">
        <f>IFERROR(__xludf.DUMMYFUNCTION("""COMPUTED_VALUE"""),"P8まで")</f>
        <v>P8まで</v>
      </c>
      <c r="Z198" s="7"/>
      <c r="AA198" s="7"/>
      <c r="AB198" s="7"/>
    </row>
    <row r="199" ht="15.75" customHeight="1">
      <c r="A199" s="8">
        <f>IFERROR(__xludf.DUMMYFUNCTION("""COMPUTED_VALUE"""),1673.0)</f>
        <v>1673</v>
      </c>
      <c r="B199" s="9" t="str">
        <f>IFERROR(__xludf.DUMMYFUNCTION("""COMPUTED_VALUE"""),"確定")</f>
        <v>確定</v>
      </c>
      <c r="C199" s="10">
        <f>IFERROR(__xludf.DUMMYFUNCTION("""COMPUTED_VALUE"""),44952.0)</f>
        <v>44952</v>
      </c>
      <c r="D199" s="10">
        <f>IFERROR(__xludf.DUMMYFUNCTION("""COMPUTED_VALUE"""),44956.0)</f>
        <v>44956</v>
      </c>
      <c r="E199" s="8">
        <f>IFERROR(__xludf.DUMMYFUNCTION("""COMPUTED_VALUE"""),265257.0)</f>
        <v>265257</v>
      </c>
      <c r="F199" s="9" t="str">
        <f>IFERROR(__xludf.DUMMYFUNCTION("""COMPUTED_VALUE"""),"普通じゃイけない変態エッチ〜ドSな先輩の蜜甘テクでトロける絶頂")</f>
        <v>普通じゃイけない変態エッチ〜ドSな先輩の蜜甘テクでトロける絶頂</v>
      </c>
      <c r="G199" s="11" t="str">
        <f>IFERROR(__xludf.DUMMYFUNCTION("""COMPUTED_VALUE"""),"1～2")</f>
        <v>1～2</v>
      </c>
      <c r="H199" s="8" t="str">
        <f>IFERROR(__xludf.DUMMYFUNCTION("""COMPUTED_VALUE"""),"麦野スミレ")</f>
        <v>麦野スミレ</v>
      </c>
      <c r="I199" s="8" t="str">
        <f>IFERROR(__xludf.DUMMYFUNCTION("""COMPUTED_VALUE"""),"TL")</f>
        <v>TL</v>
      </c>
      <c r="J199" s="8"/>
      <c r="K199" s="8"/>
      <c r="L199" s="8" t="str">
        <f>IFERROR(__xludf.DUMMYFUNCTION("""COMPUTED_VALUE"""),"オーバーラップ")</f>
        <v>オーバーラップ</v>
      </c>
      <c r="M199" s="12">
        <f>IFERROR(__xludf.DUMMYFUNCTION("""COMPUTED_VALUE"""),45017.0)</f>
        <v>45017</v>
      </c>
      <c r="N199" s="12">
        <f>IFERROR(__xludf.DUMMYFUNCTION("""COMPUTED_VALUE"""),45046.0)</f>
        <v>45046</v>
      </c>
      <c r="O199" s="11"/>
      <c r="P199" s="9" t="str">
        <f>IFERROR(__xludf.DUMMYFUNCTION("""COMPUTED_VALUE"""),"可")</f>
        <v>可</v>
      </c>
      <c r="Q199" s="8" t="str">
        <f>IFERROR(__xludf.DUMMYFUNCTION("""COMPUTED_VALUE"""),"広告コミットOK（1/27）")</f>
        <v>広告コミットOK（1/27）</v>
      </c>
      <c r="R199" s="9"/>
      <c r="S199" s="8" t="str">
        <f>IFERROR(__xludf.DUMMYFUNCTION("""COMPUTED_VALUE"""),"20230130_オーバーラップ_普通じゃイけない変態エッチ！？")</f>
        <v>20230130_オーバーラップ_普通じゃイけない変態エッチ！？</v>
      </c>
      <c r="T199" s="9"/>
      <c r="U199" s="9" t="str">
        <f>IFERROR(__xludf.DUMMYFUNCTION("""COMPUTED_VALUE"""),"©麦野スミレ／オーバーラップ")</f>
        <v>©麦野スミレ／オーバーラップ</v>
      </c>
      <c r="V199" s="8" t="str">
        <f>IFERROR(__xludf.DUMMYFUNCTION("""COMPUTED_VALUE"""),"「俺とのセックス、試してみるんでしょ…？」
ビンカンなアソコがとろとろに疼いて――そんなに焦らされたらガマンできない…！
OL・弥生（やよい）の悩みは、性欲が強すぎること。
ある日、憧れの児玉（こだま）先輩に酔った勢いで悩みを打ち明けると、
何やら先輩も人には言えない性癖を抱えているようで、
ひょんなことからお試しエッチをすることに！
ところが、先輩は想像以上のドＳだった…!?
弱いところばかりイジメられたかと思いきや、絶頂の直前に止められて…。
入ってきた熱にいきなり奥まで満たされて、こんな激しいセック"&amp;"スしたことない…！
最高にやらしくてキモチいい、刺激的オフィスラブ♪
※本書は「ラブパルフェVOL.58」に収録されています。重複購入にご注意ください。")</f>
        <v>「俺とのセックス、試してみるんでしょ…？」
ビンカンなアソコがとろとろに疼いて――そんなに焦らされたらガマンできない…！
OL・弥生（やよい）の悩みは、性欲が強すぎること。
ある日、憧れの児玉（こだま）先輩に酔った勢いで悩みを打ち明けると、
何やら先輩も人には言えない性癖を抱えているようで、
ひょんなことからお試しエッチをすることに！
ところが、先輩は想像以上のドＳだった…!?
弱いところばかりイジメられたかと思いきや、絶頂の直前に止められて…。
入ってきた熱にいきなり奥まで満たされて、こんな激しいセックスしたことない…！
最高にやらしくてキモチいい、刺激的オフィスラブ♪
※本書は「ラブパルフェVOL.58」に収録されています。重複購入にご注意ください。</v>
      </c>
      <c r="W199" s="8"/>
      <c r="X199" s="8" t="str">
        <f>IFERROR(__xludf.DUMMYFUNCTION("""COMPUTED_VALUE"""),"有")</f>
        <v>有</v>
      </c>
      <c r="Y199" s="8" t="str">
        <f>IFERROR(__xludf.DUMMYFUNCTION("""COMPUTED_VALUE"""),"P8まで")</f>
        <v>P8まで</v>
      </c>
      <c r="Z199" s="7"/>
      <c r="AA199" s="7"/>
      <c r="AB199" s="7"/>
    </row>
    <row r="200" ht="15.75" customHeight="1">
      <c r="A200" s="8">
        <f>IFERROR(__xludf.DUMMYFUNCTION("""COMPUTED_VALUE"""),1762.0)</f>
        <v>1762</v>
      </c>
      <c r="B200" s="9" t="str">
        <f>IFERROR(__xludf.DUMMYFUNCTION("""COMPUTED_VALUE"""),"確定")</f>
        <v>確定</v>
      </c>
      <c r="C200" s="10">
        <f>IFERROR(__xludf.DUMMYFUNCTION("""COMPUTED_VALUE"""),44985.0)</f>
        <v>44985</v>
      </c>
      <c r="D200" s="10">
        <f>IFERROR(__xludf.DUMMYFUNCTION("""COMPUTED_VALUE"""),44985.0)</f>
        <v>44985</v>
      </c>
      <c r="E200" s="8">
        <f>IFERROR(__xludf.DUMMYFUNCTION("""COMPUTED_VALUE"""),256398.0)</f>
        <v>256398</v>
      </c>
      <c r="F200" s="9" t="str">
        <f>IFERROR(__xludf.DUMMYFUNCTION("""COMPUTED_VALUE"""),"秘密の夜より約束のキスから")</f>
        <v>秘密の夜より約束のキスから</v>
      </c>
      <c r="G200" s="11">
        <f>IFERROR(__xludf.DUMMYFUNCTION("""COMPUTED_VALUE"""),1.0)</f>
        <v>1</v>
      </c>
      <c r="H200" s="8" t="str">
        <f>IFERROR(__xludf.DUMMYFUNCTION("""COMPUTED_VALUE"""),"れきほねを")</f>
        <v>れきほねを</v>
      </c>
      <c r="I200" s="14" t="str">
        <f>IFERROR(__xludf.DUMMYFUNCTION("""COMPUTED_VALUE"""),"TL")</f>
        <v>TL</v>
      </c>
      <c r="J200" s="8"/>
      <c r="K200" s="8"/>
      <c r="L200" s="8" t="str">
        <f>IFERROR(__xludf.DUMMYFUNCTION("""COMPUTED_VALUE"""),"ソルマーレ編集部")</f>
        <v>ソルマーレ編集部</v>
      </c>
      <c r="M200" s="12">
        <f>IFERROR(__xludf.DUMMYFUNCTION("""COMPUTED_VALUE"""),45017.0)</f>
        <v>45017</v>
      </c>
      <c r="N200" s="12">
        <f>IFERROR(__xludf.DUMMYFUNCTION("""COMPUTED_VALUE"""),45078.0)</f>
        <v>45078</v>
      </c>
      <c r="O200" s="11"/>
      <c r="P200" s="9" t="str">
        <f>IFERROR(__xludf.DUMMYFUNCTION("""COMPUTED_VALUE"""),"可")</f>
        <v>可</v>
      </c>
      <c r="Q200" s="8" t="str">
        <f>IFERROR(__xludf.DUMMYFUNCTION("""COMPUTED_VALUE"""),"※素材につきまして完成次第随時格納いたします&lt;BR&gt;※正式タイトル下記の通りです（2/28）&lt;BR&gt;＝＝＝&lt;BR&gt;秘密の夜より約束のキスから&lt;BR&gt;＝＝＝&lt;BR&gt;")</f>
        <v>※素材につきまして完成次第随時格納いたします&lt;BR&gt;※正式タイトル下記の通りです（2/28）&lt;BR&gt;＝＝＝&lt;BR&gt;秘密の夜より約束のキスから&lt;BR&gt;＝＝＝&lt;BR&gt;</v>
      </c>
      <c r="R200" s="9"/>
      <c r="S200" s="8" t="str">
        <f>IFERROR(__xludf.DUMMYFUNCTION("""COMPUTED_VALUE"""),"20230227_ソルマーレ編集部_秘密の夜より約束のキスから")</f>
        <v>20230227_ソルマーレ編集部_秘密の夜より約束のキスから</v>
      </c>
      <c r="T200" s="15"/>
      <c r="U200" s="9" t="str">
        <f>IFERROR(__xludf.DUMMYFUNCTION("""COMPUTED_VALUE"""),"Ⓒ れきほねを/シーモアコミックス")</f>
        <v>Ⓒ れきほねを/シーモアコミックス</v>
      </c>
      <c r="V200" s="8" t="str">
        <f>IFERROR(__xludf.DUMMYFUNCTION("""COMPUTED_VALUE"""),"普通のOLの紺野（こんの）は、清楚で仕事も丁寧で会社では後輩からも慕われていた。だけど、そんな彼女には人に言えない秘密があった…。それは、会社でも自慰行為がやめられない拗らせた性癖をもっているということ。欲求不満を晴らすためSNSの裏アカウントに際どい写真をアップしたり、思いを寄せる後輩の佐伯（さえき）くんを思い浮かべ会社のトイレで一人で慰めてしまう日々…。
ある日、佐伯くんに会議室に呼び出され仕事の相談かと思ったら、裏垢のことがバレてしまっていた。
「バラされたくなかったら…いいですか？」と脅す佐伯も実"&amp;"は紺野に思いを寄せていて―――。【桃色日記】")</f>
        <v>普通のOLの紺野（こんの）は、清楚で仕事も丁寧で会社では後輩からも慕われていた。だけど、そんな彼女には人に言えない秘密があった…。それは、会社でも自慰行為がやめられない拗らせた性癖をもっているということ。欲求不満を晴らすためSNSの裏アカウントに際どい写真をアップしたり、思いを寄せる後輩の佐伯（さえき）くんを思い浮かべ会社のトイレで一人で慰めてしまう日々…。
ある日、佐伯くんに会議室に呼び出され仕事の相談かと思ったら、裏垢のことがバレてしまっていた。
「バラされたくなかったら…いいですか？」と脅す佐伯も実は紺野に思いを寄せていて―――。【桃色日記】</v>
      </c>
      <c r="W200" s="8"/>
      <c r="X200" s="8" t="str">
        <f>IFERROR(__xludf.DUMMYFUNCTION("""COMPUTED_VALUE"""),"有")</f>
        <v>有</v>
      </c>
      <c r="Y200" s="8" t="str">
        <f>IFERROR(__xludf.DUMMYFUNCTION("""COMPUTED_VALUE"""),"P7まで")</f>
        <v>P7まで</v>
      </c>
      <c r="Z200" s="7"/>
      <c r="AA200" s="7"/>
      <c r="AB200" s="7"/>
    </row>
    <row r="201" ht="15.75" customHeight="1">
      <c r="A201" s="8">
        <f>IFERROR(__xludf.DUMMYFUNCTION("""COMPUTED_VALUE"""),1617.0)</f>
        <v>1617</v>
      </c>
      <c r="B201" s="9" t="str">
        <f>IFERROR(__xludf.DUMMYFUNCTION("""COMPUTED_VALUE"""),"確定")</f>
        <v>確定</v>
      </c>
      <c r="C201" s="10">
        <f>IFERROR(__xludf.DUMMYFUNCTION("""COMPUTED_VALUE"""),44922.0)</f>
        <v>44922</v>
      </c>
      <c r="D201" s="10">
        <f>IFERROR(__xludf.DUMMYFUNCTION("""COMPUTED_VALUE"""),44987.0)</f>
        <v>44987</v>
      </c>
      <c r="E201" s="8">
        <f>IFERROR(__xludf.DUMMYFUNCTION("""COMPUTED_VALUE"""),265066.0)</f>
        <v>265066</v>
      </c>
      <c r="F201" s="9" t="str">
        <f>IFERROR(__xludf.DUMMYFUNCTION("""COMPUTED_VALUE"""),"【単話版】期間限定、第四騎士団のキッチンメイド ～結婚したくないので就職しました～@COMIC")</f>
        <v>【単話版】期間限定、第四騎士団のキッチンメイド ～結婚したくないので就職しました～@COMIC</v>
      </c>
      <c r="G201" s="11" t="str">
        <f>IFERROR(__xludf.DUMMYFUNCTION("""COMPUTED_VALUE"""),"1～3")</f>
        <v>1～3</v>
      </c>
      <c r="H201" s="8" t="str">
        <f>IFERROR(__xludf.DUMMYFUNCTION("""COMPUTED_VALUE"""),"あまよかん┴皿うどん")</f>
        <v>あまよかん┴皿うどん</v>
      </c>
      <c r="I201" s="8" t="str">
        <f>IFERROR(__xludf.DUMMYFUNCTION("""COMPUTED_VALUE"""),"女性")</f>
        <v>女性</v>
      </c>
      <c r="J201" s="8"/>
      <c r="K201" s="8"/>
      <c r="L201" s="8" t="str">
        <f>IFERROR(__xludf.DUMMYFUNCTION("""COMPUTED_VALUE"""),"TOブックス")</f>
        <v>TOブックス</v>
      </c>
      <c r="M201" s="12">
        <f>IFERROR(__xludf.DUMMYFUNCTION("""COMPUTED_VALUE"""),45017.0)</f>
        <v>45017</v>
      </c>
      <c r="N201" s="12">
        <f>IFERROR(__xludf.DUMMYFUNCTION("""COMPUTED_VALUE"""),45107.0)</f>
        <v>45107</v>
      </c>
      <c r="O201" s="11"/>
      <c r="P201" s="9" t="str">
        <f>IFERROR(__xludf.DUMMYFUNCTION("""COMPUTED_VALUE"""),"否")</f>
        <v>否</v>
      </c>
      <c r="Q201" s="8" t="str">
        <f>IFERROR(__xludf.DUMMYFUNCTION("""COMPUTED_VALUE"""),"広告コミットOK（12/28）")</f>
        <v>広告コミットOK（12/28）</v>
      </c>
      <c r="R201" s="9"/>
      <c r="S201" s="8" t="str">
        <f>IFERROR(__xludf.DUMMYFUNCTION("""COMPUTED_VALUE"""),"20230302_TOブックス_期間限定、第四騎士団のキッチンメイド")</f>
        <v>20230302_TOブックス_期間限定、第四騎士団のキッチンメイド</v>
      </c>
      <c r="T201" s="9"/>
      <c r="U201" s="9" t="str">
        <f>IFERROR(__xludf.DUMMYFUNCTION("""COMPUTED_VALUE"""),"© Amayokan / Saraudon")</f>
        <v>© Amayokan / Saraudon</v>
      </c>
      <c r="V201" s="8" t="str">
        <f>IFERROR(__xludf.DUMMYFUNCTION("""COMPUTED_VALUE"""),"前世の庶民派ごはんで皆のお腹を満たします！
転生キッチンメイド令嬢が織りなすグルメ＆騎士団ファンタジー！
「働いていれば結婚しなくていい」という理由で子爵令嬢のアリスは三年契約の住み込みキッチンメイドとして就職すると、採用先の第四騎士団は苦手なイケメンだらけだった！？
顔だけが取り柄のクズ夫に裏切られた前世の記憶を持つ彼女にとって「顔のいい男」は天敵！
日本風こってりガッツリ系ごはんで団員のお腹を満たしながら、アリスは彼らと少しずつ打ち解けていければと願う。
ただ、騎士団には隠し事を持つ人物がいるようで"&amp;"……？
ごはん×ドキドキ×ほっこり日常ライフ！
転生キッチンメイド令嬢が織りなすグルメ＆騎士団ファンタジー！")</f>
        <v>前世の庶民派ごはんで皆のお腹を満たします！
転生キッチンメイド令嬢が織りなすグルメ＆騎士団ファンタジー！
「働いていれば結婚しなくていい」という理由で子爵令嬢のアリスは三年契約の住み込みキッチンメイドとして就職すると、採用先の第四騎士団は苦手なイケメンだらけだった！？
顔だけが取り柄のクズ夫に裏切られた前世の記憶を持つ彼女にとって「顔のいい男」は天敵！
日本風こってりガッツリ系ごはんで団員のお腹を満たしながら、アリスは彼らと少しずつ打ち解けていければと願う。
ただ、騎士団には隠し事を持つ人物がいるようで……？
ごはん×ドキドキ×ほっこり日常ライフ！
転生キッチンメイド令嬢が織りなすグルメ＆騎士団ファンタジー！</v>
      </c>
      <c r="W201" s="8"/>
      <c r="X201" s="9" t="str">
        <f>IFERROR(__xludf.DUMMYFUNCTION("""COMPUTED_VALUE"""),"有")</f>
        <v>有</v>
      </c>
      <c r="Y201" s="8" t="str">
        <f>IFERROR(__xludf.DUMMYFUNCTION("""COMPUTED_VALUE"""),"4/7まで立ち読み増量中
P22まで")</f>
        <v>4/7まで立ち読み増量中
P22まで</v>
      </c>
      <c r="Z201" s="7"/>
      <c r="AA201" s="7"/>
      <c r="AB201" s="7"/>
    </row>
    <row r="202" ht="15.75" customHeight="1">
      <c r="A202" s="8">
        <f>IFERROR(__xludf.DUMMYFUNCTION("""COMPUTED_VALUE"""),1737.0)</f>
        <v>1737</v>
      </c>
      <c r="B202" s="9" t="str">
        <f>IFERROR(__xludf.DUMMYFUNCTION("""COMPUTED_VALUE"""),"確定")</f>
        <v>確定</v>
      </c>
      <c r="C202" s="10">
        <f>IFERROR(__xludf.DUMMYFUNCTION("""COMPUTED_VALUE"""),44977.0)</f>
        <v>44977</v>
      </c>
      <c r="D202" s="10">
        <f>IFERROR(__xludf.DUMMYFUNCTION("""COMPUTED_VALUE"""),44992.0)</f>
        <v>44992</v>
      </c>
      <c r="E202" s="8">
        <f>IFERROR(__xludf.DUMMYFUNCTION("""COMPUTED_VALUE"""),265337.0)</f>
        <v>265337</v>
      </c>
      <c r="F202" s="9" t="str">
        <f>IFERROR(__xludf.DUMMYFUNCTION("""COMPUTED_VALUE"""),"ザコ姫さまは生きのびたい！～処刑の危機は、姫プレイで乗り切ります～")</f>
        <v>ザコ姫さまは生きのびたい！～処刑の危機は、姫プレイで乗り切ります～</v>
      </c>
      <c r="G202" s="11" t="str">
        <f>IFERROR(__xludf.DUMMYFUNCTION("""COMPUTED_VALUE"""),"1～3")</f>
        <v>1～3</v>
      </c>
      <c r="H202" s="8" t="str">
        <f>IFERROR(__xludf.DUMMYFUNCTION("""COMPUTED_VALUE"""),"原作：焦田シューマイ　作画：おみおみ　構成：木場健介")</f>
        <v>原作：焦田シューマイ　作画：おみおみ　構成：木場健介</v>
      </c>
      <c r="I202" s="8" t="str">
        <f>IFERROR(__xludf.DUMMYFUNCTION("""COMPUTED_VALUE"""),"少女")</f>
        <v>少女</v>
      </c>
      <c r="J202" s="8"/>
      <c r="K202" s="8"/>
      <c r="L202" s="8" t="str">
        <f>IFERROR(__xludf.DUMMYFUNCTION("""COMPUTED_VALUE"""),"スクウェア・エニックス")</f>
        <v>スクウェア・エニックス</v>
      </c>
      <c r="M202" s="12">
        <f>IFERROR(__xludf.DUMMYFUNCTION("""COMPUTED_VALUE"""),45017.0)</f>
        <v>45017</v>
      </c>
      <c r="N202" s="12">
        <f>IFERROR(__xludf.DUMMYFUNCTION("""COMPUTED_VALUE"""),45046.0)</f>
        <v>45046</v>
      </c>
      <c r="O202" s="11"/>
      <c r="P202" s="9" t="str">
        <f>IFERROR(__xludf.DUMMYFUNCTION("""COMPUTED_VALUE"""),"否")</f>
        <v>否</v>
      </c>
      <c r="Q202" s="8" t="str">
        <f>IFERROR(__xludf.DUMMYFUNCTION("""COMPUTED_VALUE"""),"広告コミットOK（2/27）&lt;BR&gt;&lt;BR&gt;こちら格納資料にもございますが&lt;BR&gt;先行配信書店が1～4話、同日に他書店が1～3話配信のため、実質4話のみが先行配信となります。&lt;BR&gt;また配信1週間後には1～3話が収録された単行本の配信もございます。")</f>
        <v>広告コミットOK（2/27）&lt;BR&gt;&lt;BR&gt;こちら格納資料にもございますが&lt;BR&gt;先行配信書店が1～4話、同日に他書店が1～3話配信のため、実質4話のみが先行配信となります。&lt;BR&gt;また配信1週間後には1～3話が収録された単行本の配信もございます。</v>
      </c>
      <c r="R202" s="9"/>
      <c r="S202" s="8" t="str">
        <f>IFERROR(__xludf.DUMMYFUNCTION("""COMPUTED_VALUE"""),"20230307_SQEX_ザコ姫様は生きのびたい！")</f>
        <v>20230307_SQEX_ザコ姫様は生きのびたい！</v>
      </c>
      <c r="T202" s="9"/>
      <c r="U202" s="9" t="str">
        <f>IFERROR(__xludf.DUMMYFUNCTION("""COMPUTED_VALUE"""),"(C)Shumai Kogeta/SQUARE ENIX (C)Omiomi/SQUARE ENIX (C)Kensuke Koba/SQUARE ENIX ")</f>
        <v>(C)Shumai Kogeta/SQUARE ENIX (C)Omiomi/SQUARE ENIX (C)Kensuke Koba/SQUARE ENIX </v>
      </c>
      <c r="V202" s="8" t="str">
        <f>IFERROR(__xludf.DUMMYFUNCTION("""COMPUTED_VALUE"""),"【レベル１でも姫プレイで生き残り！】
重度の廃ゲーマーだった私は、転生してゲームの世界の皇女セスリアに生まれ変わる。だが、セスリアには３年後に処刑される未来が待っていた！泣く子も黙る最強のギルドマスターの経験と容姿を生かした”姫プレイ”で、３年後の自分を救ってみせます!!
※この商品は「ザコ姫さまは生きのびたい！～処刑の危機は、姫プレイで乗り切ります～」を1話ごとに分冊したものです。
※分冊版話数と収録話数が異なります。あらかじめご了承ください。
(C)2023 Shumai Kogeta (C)2023"&amp;" Omiomi (C)2023 Kensuke Koba")</f>
        <v>【レベル１でも姫プレイで生き残り！】
重度の廃ゲーマーだった私は、転生してゲームの世界の皇女セスリアに生まれ変わる。だが、セスリアには３年後に処刑される未来が待っていた！泣く子も黙る最強のギルドマスターの経験と容姿を生かした”姫プレイ”で、３年後の自分を救ってみせます!!
※この商品は「ザコ姫さまは生きのびたい！～処刑の危機は、姫プレイで乗り切ります～」を1話ごとに分冊したものです。
※分冊版話数と収録話数が異なります。あらかじめご了承ください。
(C)2023 Shumai Kogeta (C)2023 Omiomi (C)2023 Kensuke Koba</v>
      </c>
      <c r="W202" s="8"/>
      <c r="X202" s="8" t="str">
        <f>IFERROR(__xludf.DUMMYFUNCTION("""COMPUTED_VALUE"""),"有")</f>
        <v>有</v>
      </c>
      <c r="Y202" s="8" t="str">
        <f>IFERROR(__xludf.DUMMYFUNCTION("""COMPUTED_VALUE"""),"P9まで")</f>
        <v>P9まで</v>
      </c>
      <c r="Z202" s="7"/>
      <c r="AA202" s="7"/>
      <c r="AB202" s="7"/>
    </row>
    <row r="203" ht="15.75" customHeight="1">
      <c r="A203" s="8">
        <f>IFERROR(__xludf.DUMMYFUNCTION("""COMPUTED_VALUE"""),1758.0)</f>
        <v>1758</v>
      </c>
      <c r="B203" s="9" t="str">
        <f>IFERROR(__xludf.DUMMYFUNCTION("""COMPUTED_VALUE"""),"確定")</f>
        <v>確定</v>
      </c>
      <c r="C203" s="10">
        <f>IFERROR(__xludf.DUMMYFUNCTION("""COMPUTED_VALUE"""),44984.0)</f>
        <v>44984</v>
      </c>
      <c r="D203" s="10">
        <f>IFERROR(__xludf.DUMMYFUNCTION("""COMPUTED_VALUE"""),44995.0)</f>
        <v>44995</v>
      </c>
      <c r="E203" s="8">
        <f>IFERROR(__xludf.DUMMYFUNCTION("""COMPUTED_VALUE"""),266030.0)</f>
        <v>266030</v>
      </c>
      <c r="F203" s="9" t="str">
        <f>IFERROR(__xludf.DUMMYFUNCTION("""COMPUTED_VALUE"""),"冬すぎて桜")</f>
        <v>冬すぎて桜</v>
      </c>
      <c r="G203" s="11" t="str">
        <f>IFERROR(__xludf.DUMMYFUNCTION("""COMPUTED_VALUE"""),"1～100")</f>
        <v>1～100</v>
      </c>
      <c r="H203" s="8" t="str">
        <f>IFERROR(__xludf.DUMMYFUNCTION("""COMPUTED_VALUE"""),"Bamwoo")</f>
        <v>Bamwoo</v>
      </c>
      <c r="I203" s="8" t="str">
        <f>IFERROR(__xludf.DUMMYFUNCTION("""COMPUTED_VALUE"""),"BL")</f>
        <v>BL</v>
      </c>
      <c r="J203" s="8"/>
      <c r="K203" s="8"/>
      <c r="L203" s="8" t="str">
        <f>IFERROR(__xludf.DUMMYFUNCTION("""COMPUTED_VALUE"""),"NHNcomico")</f>
        <v>NHNcomico</v>
      </c>
      <c r="M203" s="12">
        <f>IFERROR(__xludf.DUMMYFUNCTION("""COMPUTED_VALUE"""),45017.0)</f>
        <v>45017</v>
      </c>
      <c r="N203" s="12">
        <f>IFERROR(__xludf.DUMMYFUNCTION("""COMPUTED_VALUE"""),45107.0)</f>
        <v>45107</v>
      </c>
      <c r="O203" s="11"/>
      <c r="P203" s="9" t="str">
        <f>IFERROR(__xludf.DUMMYFUNCTION("""COMPUTED_VALUE"""),"可")</f>
        <v>可</v>
      </c>
      <c r="Q203" s="8" t="str">
        <f>IFERROR(__xludf.DUMMYFUNCTION("""COMPUTED_VALUE"""),"広告コミットOK（2/28）&lt;BR&gt;&lt;BR&gt;2022年にドラマ化され、日本でも動画サイトやTVで放送された作品です。&lt;BR&gt;▼韓国BLドラマ『冬すぎて桜』&lt;BR&gt;https://tv.rakuten.co.jp/content/406759/&lt;BR&gt;原作はwebtoon（全150話）で、2018年～2021年にcomicoにて独占配信をしていましたが、&lt;BR&gt;契約終了のため配信停止し、現在日本では配信されていない状況です。&lt;BR&gt;\\solma-fs\all\12_電子書籍事業部\15_ライツビジネスG\"&amp;"ライツ営業T\目的別\01.webプロモ関連\02.出稿用素材格納先\素材暫定格納フォルダ\01.外部出稿事前検討用\20230227_comico_冬すぎて桜&lt;BR&gt;&lt;BR&gt;先行配信日、終了日がきまりましたので更新しましたコピーライトは確認中です（3/9）&lt;BR&gt;コピーライト記載しました（3/10）")</f>
        <v>広告コミットOK（2/28）&lt;BR&gt;&lt;BR&gt;2022年にドラマ化され、日本でも動画サイトやTVで放送された作品です。&lt;BR&gt;▼韓国BLドラマ『冬すぎて桜』&lt;BR&gt;https://tv.rakuten.co.jp/content/406759/&lt;BR&gt;原作はwebtoon（全150話）で、2018年～2021年にcomicoにて独占配信をしていましたが、&lt;BR&gt;契約終了のため配信停止し、現在日本では配信されていない状況です。&lt;BR&gt;\\solma-fs\all\12_電子書籍事業部\15_ライツビジネスG\ライツ営業T\目的別\01.webプロモ関連\02.出稿用素材格納先\素材暫定格納フォルダ\01.外部出稿事前検討用\20230227_comico_冬すぎて桜&lt;BR&gt;&lt;BR&gt;先行配信日、終了日がきまりましたので更新しましたコピーライトは確認中です（3/9）&lt;BR&gt;コピーライト記載しました（3/10）</v>
      </c>
      <c r="R203" s="9"/>
      <c r="S203" s="8" t="str">
        <f>IFERROR(__xludf.DUMMYFUNCTION("""COMPUTED_VALUE"""),"20230309_comico_冬すぎて桜")</f>
        <v>20230309_comico_冬すぎて桜</v>
      </c>
      <c r="T203" s="9"/>
      <c r="U203" s="9" t="str">
        <f>IFERROR(__xludf.DUMMYFUNCTION("""COMPUTED_VALUE"""),"ⓒ Bamwoo / Polarfox")</f>
        <v>ⓒ Bamwoo / Polarfox</v>
      </c>
      <c r="V203" s="8" t="str">
        <f>IFERROR(__xludf.DUMMYFUNCTION("""COMPUTED_VALUE"""),"親を亡くした青柳澄春（あおやぎすばる）は、幼馴染の冬野悠真（ふゆのゆうま）の家で一緒に住むことになる。でも悠真は、居候になった澄春に冷たい態度をとる…やがて高校生となった二人は、クラスメイトになり、関係にも変化が起きる。")</f>
        <v>親を亡くした青柳澄春（あおやぎすばる）は、幼馴染の冬野悠真（ふゆのゆうま）の家で一緒に住むことになる。でも悠真は、居候になった澄春に冷たい態度をとる…やがて高校生となった二人は、クラスメイトになり、関係にも変化が起きる。</v>
      </c>
      <c r="W203" s="8"/>
      <c r="X203" s="9" t="str">
        <f>IFERROR(__xludf.DUMMYFUNCTION("""COMPUTED_VALUE"""),"有")</f>
        <v>有</v>
      </c>
      <c r="Y203" s="8" t="str">
        <f>IFERROR(__xludf.DUMMYFUNCTION("""COMPUTED_VALUE"""),"6/30まで
1～21巻無料")</f>
        <v>6/30まで
1～21巻無料</v>
      </c>
      <c r="Z203" s="7"/>
      <c r="AA203" s="7"/>
      <c r="AB203" s="7"/>
    </row>
    <row r="204" ht="15.75" customHeight="1">
      <c r="A204" s="8">
        <f>IFERROR(__xludf.DUMMYFUNCTION("""COMPUTED_VALUE"""),1787.0)</f>
        <v>1787</v>
      </c>
      <c r="B204" s="9" t="str">
        <f>IFERROR(__xludf.DUMMYFUNCTION("""COMPUTED_VALUE"""),"確定")</f>
        <v>確定</v>
      </c>
      <c r="C204" s="10">
        <f>IFERROR(__xludf.DUMMYFUNCTION("""COMPUTED_VALUE"""),44993.0)</f>
        <v>44993</v>
      </c>
      <c r="D204" s="10">
        <f>IFERROR(__xludf.DUMMYFUNCTION("""COMPUTED_VALUE"""),44994.0)</f>
        <v>44994</v>
      </c>
      <c r="E204" s="8">
        <f>IFERROR(__xludf.DUMMYFUNCTION("""COMPUTED_VALUE"""),265106.0)</f>
        <v>265106</v>
      </c>
      <c r="F204" s="9" t="str">
        <f>IFERROR(__xludf.DUMMYFUNCTION("""COMPUTED_VALUE"""),"テンプレ前夜")</f>
        <v>テンプレ前夜</v>
      </c>
      <c r="G204" s="11">
        <f>IFERROR(__xludf.DUMMYFUNCTION("""COMPUTED_VALUE"""),1.0)</f>
        <v>1</v>
      </c>
      <c r="H204" s="8" t="str">
        <f>IFERROR(__xludf.DUMMYFUNCTION("""COMPUTED_VALUE"""),"春海た子・うすいかつら")</f>
        <v>春海た子・うすいかつら</v>
      </c>
      <c r="I204" s="8" t="str">
        <f>IFERROR(__xludf.DUMMYFUNCTION("""COMPUTED_VALUE"""),"TL")</f>
        <v>TL</v>
      </c>
      <c r="J204" s="8"/>
      <c r="K204" s="8"/>
      <c r="L204" s="8" t="str">
        <f>IFERROR(__xludf.DUMMYFUNCTION("""COMPUTED_VALUE"""),"一迅社")</f>
        <v>一迅社</v>
      </c>
      <c r="M204" s="12">
        <f>IFERROR(__xludf.DUMMYFUNCTION("""COMPUTED_VALUE"""),45017.0)</f>
        <v>45017</v>
      </c>
      <c r="N204" s="12">
        <f>IFERROR(__xludf.DUMMYFUNCTION("""COMPUTED_VALUE"""),45046.0)</f>
        <v>45046</v>
      </c>
      <c r="O204" s="11"/>
      <c r="P204" s="9" t="str">
        <f>IFERROR(__xludf.DUMMYFUNCTION("""COMPUTED_VALUE"""),"否")</f>
        <v>否</v>
      </c>
      <c r="Q204" s="8"/>
      <c r="R204" s="9"/>
      <c r="S204" s="8" t="str">
        <f>IFERROR(__xludf.DUMMYFUNCTION("""COMPUTED_VALUE"""),"20230309_一迅社_4月ZEROSUM新作")</f>
        <v>20230309_一迅社_4月ZEROSUM新作</v>
      </c>
      <c r="T204" s="9"/>
      <c r="U204" s="9" t="str">
        <f>IFERROR(__xludf.DUMMYFUNCTION("""COMPUTED_VALUE"""),"©春海た子・うすいかつら／一迅社")</f>
        <v>©春海た子・うすいかつら／一迅社</v>
      </c>
      <c r="V204" s="8" t="str">
        <f>IFERROR(__xludf.DUMMYFUNCTION("""COMPUTED_VALUE"""),"テンプレな乙女ゲームイベントを回避しようとしたら王子に媚薬を盛られてしまい――!?　※この作品は『鬼畜王子に無理やり調教されておかしくなりそうです…！ アンソロジーコミック』収録作品と同一の内容を単話版として再編集したものとなります。
")</f>
        <v>テンプレな乙女ゲームイベントを回避しようとしたら王子に媚薬を盛られてしまい――!?　※この作品は『鬼畜王子に無理やり調教されておかしくなりそうです…！ アンソロジーコミック』収録作品と同一の内容を単話版として再編集したものとなります。
</v>
      </c>
      <c r="W204" s="8"/>
      <c r="X204" s="8" t="str">
        <f>IFERROR(__xludf.DUMMYFUNCTION("""COMPUTED_VALUE"""),"有")</f>
        <v>有</v>
      </c>
      <c r="Y204" s="8" t="str">
        <f>IFERROR(__xludf.DUMMYFUNCTION("""COMPUTED_VALUE"""),"P6まで")</f>
        <v>P6まで</v>
      </c>
      <c r="Z204" s="7"/>
      <c r="AA204" s="7"/>
      <c r="AB204" s="7"/>
    </row>
    <row r="205" ht="15.75" customHeight="1">
      <c r="A205" s="8">
        <f>IFERROR(__xludf.DUMMYFUNCTION("""COMPUTED_VALUE"""),1788.0)</f>
        <v>1788</v>
      </c>
      <c r="B205" s="9" t="str">
        <f>IFERROR(__xludf.DUMMYFUNCTION("""COMPUTED_VALUE"""),"確定")</f>
        <v>確定</v>
      </c>
      <c r="C205" s="10">
        <f>IFERROR(__xludf.DUMMYFUNCTION("""COMPUTED_VALUE"""),44993.0)</f>
        <v>44993</v>
      </c>
      <c r="D205" s="10">
        <f>IFERROR(__xludf.DUMMYFUNCTION("""COMPUTED_VALUE"""),44994.0)</f>
        <v>44994</v>
      </c>
      <c r="E205" s="8">
        <f>IFERROR(__xludf.DUMMYFUNCTION("""COMPUTED_VALUE"""),265107.0)</f>
        <v>265107</v>
      </c>
      <c r="F205" s="9" t="str">
        <f>IFERROR(__xludf.DUMMYFUNCTION("""COMPUTED_VALUE"""),"子兎令嬢は猫かぶりの虎王子に食べられる")</f>
        <v>子兎令嬢は猫かぶりの虎王子に食べられる</v>
      </c>
      <c r="G205" s="11">
        <f>IFERROR(__xludf.DUMMYFUNCTION("""COMPUTED_VALUE"""),1.0)</f>
        <v>1</v>
      </c>
      <c r="H205" s="8" t="str">
        <f>IFERROR(__xludf.DUMMYFUNCTION("""COMPUTED_VALUE"""),"コヤマナユ・おうぎまちこ")</f>
        <v>コヤマナユ・おうぎまちこ</v>
      </c>
      <c r="I205" s="8" t="str">
        <f>IFERROR(__xludf.DUMMYFUNCTION("""COMPUTED_VALUE"""),"TL")</f>
        <v>TL</v>
      </c>
      <c r="J205" s="8"/>
      <c r="K205" s="8"/>
      <c r="L205" s="8" t="str">
        <f>IFERROR(__xludf.DUMMYFUNCTION("""COMPUTED_VALUE"""),"一迅社")</f>
        <v>一迅社</v>
      </c>
      <c r="M205" s="12">
        <f>IFERROR(__xludf.DUMMYFUNCTION("""COMPUTED_VALUE"""),45017.0)</f>
        <v>45017</v>
      </c>
      <c r="N205" s="12">
        <f>IFERROR(__xludf.DUMMYFUNCTION("""COMPUTED_VALUE"""),45046.0)</f>
        <v>45046</v>
      </c>
      <c r="O205" s="11"/>
      <c r="P205" s="9" t="str">
        <f>IFERROR(__xludf.DUMMYFUNCTION("""COMPUTED_VALUE"""),"可")</f>
        <v>可</v>
      </c>
      <c r="Q205" s="8"/>
      <c r="R205" s="9"/>
      <c r="S205" s="8" t="str">
        <f>IFERROR(__xludf.DUMMYFUNCTION("""COMPUTED_VALUE"""),"20230309_一迅社_4月ZEROSUM新作")</f>
        <v>20230309_一迅社_4月ZEROSUM新作</v>
      </c>
      <c r="T205" s="9"/>
      <c r="U205" s="9" t="str">
        <f>IFERROR(__xludf.DUMMYFUNCTION("""COMPUTED_VALUE"""),"©コヤマナユ・おうぎまちこ／一迅社")</f>
        <v>©コヤマナユ・おうぎまちこ／一迅社</v>
      </c>
      <c r="V205" s="8" t="str">
        <f>IFERROR(__xludf.DUMMYFUNCTION("""COMPUTED_VALUE"""),"王太子の執務室に呼び出された侯爵令嬢は「服を脱いで」と命令されて――!?　※この作品は『鬼畜王子に無理やり調教されておかしくなりそうです…！ アンソロジーコミック』収録作品と同一の内容を単話版として再編集したものとなります。
")</f>
        <v>王太子の執務室に呼び出された侯爵令嬢は「服を脱いで」と命令されて――!?　※この作品は『鬼畜王子に無理やり調教されておかしくなりそうです…！ アンソロジーコミック』収録作品と同一の内容を単話版として再編集したものとなります。
</v>
      </c>
      <c r="W205" s="8"/>
      <c r="X205" s="8" t="str">
        <f>IFERROR(__xludf.DUMMYFUNCTION("""COMPUTED_VALUE"""),"有")</f>
        <v>有</v>
      </c>
      <c r="Y205" s="8" t="str">
        <f>IFERROR(__xludf.DUMMYFUNCTION("""COMPUTED_VALUE"""),"P7まで")</f>
        <v>P7まで</v>
      </c>
      <c r="Z205" s="7"/>
      <c r="AA205" s="7"/>
      <c r="AB205" s="7"/>
    </row>
    <row r="206" ht="15.75" customHeight="1">
      <c r="A206" s="8">
        <f>IFERROR(__xludf.DUMMYFUNCTION("""COMPUTED_VALUE"""),1789.0)</f>
        <v>1789</v>
      </c>
      <c r="B206" s="9" t="str">
        <f>IFERROR(__xludf.DUMMYFUNCTION("""COMPUTED_VALUE"""),"確定")</f>
        <v>確定</v>
      </c>
      <c r="C206" s="10">
        <f>IFERROR(__xludf.DUMMYFUNCTION("""COMPUTED_VALUE"""),44993.0)</f>
        <v>44993</v>
      </c>
      <c r="D206" s="10">
        <f>IFERROR(__xludf.DUMMYFUNCTION("""COMPUTED_VALUE"""),44994.0)</f>
        <v>44994</v>
      </c>
      <c r="E206" s="8">
        <f>IFERROR(__xludf.DUMMYFUNCTION("""COMPUTED_VALUE"""),265108.0)</f>
        <v>265108</v>
      </c>
      <c r="F206" s="9" t="str">
        <f>IFERROR(__xludf.DUMMYFUNCTION("""COMPUTED_VALUE"""),"眠れる森の王子はキス以上で目を覚ます")</f>
        <v>眠れる森の王子はキス以上で目を覚ます</v>
      </c>
      <c r="G206" s="11">
        <f>IFERROR(__xludf.DUMMYFUNCTION("""COMPUTED_VALUE"""),1.0)</f>
        <v>1</v>
      </c>
      <c r="H206" s="8" t="str">
        <f>IFERROR(__xludf.DUMMYFUNCTION("""COMPUTED_VALUE"""),"笹原智映・鯛若芽")</f>
        <v>笹原智映・鯛若芽</v>
      </c>
      <c r="I206" s="8" t="str">
        <f>IFERROR(__xludf.DUMMYFUNCTION("""COMPUTED_VALUE"""),"TL")</f>
        <v>TL</v>
      </c>
      <c r="J206" s="8"/>
      <c r="K206" s="8"/>
      <c r="L206" s="8" t="str">
        <f>IFERROR(__xludf.DUMMYFUNCTION("""COMPUTED_VALUE"""),"一迅社")</f>
        <v>一迅社</v>
      </c>
      <c r="M206" s="12">
        <f>IFERROR(__xludf.DUMMYFUNCTION("""COMPUTED_VALUE"""),45017.0)</f>
        <v>45017</v>
      </c>
      <c r="N206" s="12">
        <f>IFERROR(__xludf.DUMMYFUNCTION("""COMPUTED_VALUE"""),45046.0)</f>
        <v>45046</v>
      </c>
      <c r="O206" s="11"/>
      <c r="P206" s="9" t="str">
        <f>IFERROR(__xludf.DUMMYFUNCTION("""COMPUTED_VALUE"""),"可")</f>
        <v>可</v>
      </c>
      <c r="Q206" s="8"/>
      <c r="R206" s="9"/>
      <c r="S206" s="8" t="str">
        <f>IFERROR(__xludf.DUMMYFUNCTION("""COMPUTED_VALUE"""),"20230309_一迅社_4月ZEROSUM新作")</f>
        <v>20230309_一迅社_4月ZEROSUM新作</v>
      </c>
      <c r="T206" s="9"/>
      <c r="U206" s="9" t="str">
        <f>IFERROR(__xludf.DUMMYFUNCTION("""COMPUTED_VALUE"""),"©笹原智映・鯛若芽／一迅社")</f>
        <v>©笹原智映・鯛若芽／一迅社</v>
      </c>
      <c r="V206" s="8" t="str">
        <f>IFERROR(__xludf.DUMMYFUNCTION("""COMPUTED_VALUE"""),"「眠れる王子」の言い伝えを聞いて向かった先で王子に押し倒されて――!?　※この作品は『鬼畜王子に無理やり調教されておかしくなりそうです…！ アンソロジーコミック』収録作品と同一の内容を単話版として再編集したものとなります。
")</f>
        <v>「眠れる王子」の言い伝えを聞いて向かった先で王子に押し倒されて――!?　※この作品は『鬼畜王子に無理やり調教されておかしくなりそうです…！ アンソロジーコミック』収録作品と同一の内容を単話版として再編集したものとなります。
</v>
      </c>
      <c r="W206" s="8"/>
      <c r="X206" s="8" t="str">
        <f>IFERROR(__xludf.DUMMYFUNCTION("""COMPUTED_VALUE"""),"有")</f>
        <v>有</v>
      </c>
      <c r="Y206" s="8" t="str">
        <f>IFERROR(__xludf.DUMMYFUNCTION("""COMPUTED_VALUE"""),"P6まで")</f>
        <v>P6まで</v>
      </c>
      <c r="Z206" s="7"/>
      <c r="AA206" s="7"/>
      <c r="AB206" s="7"/>
    </row>
    <row r="207" ht="15.75" customHeight="1">
      <c r="A207" s="8">
        <f>IFERROR(__xludf.DUMMYFUNCTION("""COMPUTED_VALUE"""),1817.0)</f>
        <v>1817</v>
      </c>
      <c r="B207" s="9" t="str">
        <f>IFERROR(__xludf.DUMMYFUNCTION("""COMPUTED_VALUE"""),"確定")</f>
        <v>確定</v>
      </c>
      <c r="C207" s="10">
        <f>IFERROR(__xludf.DUMMYFUNCTION("""COMPUTED_VALUE"""),45001.0)</f>
        <v>45001</v>
      </c>
      <c r="D207" s="10">
        <f>IFERROR(__xludf.DUMMYFUNCTION("""COMPUTED_VALUE"""),45001.0)</f>
        <v>45001</v>
      </c>
      <c r="E207" s="8">
        <f>IFERROR(__xludf.DUMMYFUNCTION("""COMPUTED_VALUE"""),265657.0)</f>
        <v>265657</v>
      </c>
      <c r="F207" s="9" t="str">
        <f>IFERROR(__xludf.DUMMYFUNCTION("""COMPUTED_VALUE"""),"私はいったい何役令嬢なんでしょう！？　～大変恐れ入りますが、営業スキルで異世界攻略いたします～")</f>
        <v>私はいったい何役令嬢なんでしょう！？　～大変恐れ入りますが、営業スキルで異世界攻略いたします～</v>
      </c>
      <c r="G207" s="11" t="str">
        <f>IFERROR(__xludf.DUMMYFUNCTION("""COMPUTED_VALUE"""),"1～3")</f>
        <v>1～3</v>
      </c>
      <c r="H207" s="8" t="str">
        <f>IFERROR(__xludf.DUMMYFUNCTION("""COMPUTED_VALUE"""),"宇田川うた子")</f>
        <v>宇田川うた子</v>
      </c>
      <c r="I207" s="8" t="str">
        <f>IFERROR(__xludf.DUMMYFUNCTION("""COMPUTED_VALUE"""),"女性")</f>
        <v>女性</v>
      </c>
      <c r="J207" s="8"/>
      <c r="K207" s="8"/>
      <c r="L207" s="8" t="str">
        <f>IFERROR(__xludf.DUMMYFUNCTION("""COMPUTED_VALUE"""),"秋田書店")</f>
        <v>秋田書店</v>
      </c>
      <c r="M207" s="12">
        <f>IFERROR(__xludf.DUMMYFUNCTION("""COMPUTED_VALUE"""),45017.0)</f>
        <v>45017</v>
      </c>
      <c r="N207" s="12">
        <f>IFERROR(__xludf.DUMMYFUNCTION("""COMPUTED_VALUE"""),45046.0)</f>
        <v>45046</v>
      </c>
      <c r="O207" s="11"/>
      <c r="P207" s="9" t="str">
        <f>IFERROR(__xludf.DUMMYFUNCTION("""COMPUTED_VALUE"""),"否")</f>
        <v>否</v>
      </c>
      <c r="Q207" s="8"/>
      <c r="R207" s="9"/>
      <c r="S207" s="8" t="str">
        <f>IFERROR(__xludf.DUMMYFUNCTION("""COMPUTED_VALUE"""),"20230316_秋田書店_4月新作素材")</f>
        <v>20230316_秋田書店_4月新作素材</v>
      </c>
      <c r="T207" s="9"/>
      <c r="U207" s="9" t="str">
        <f>IFERROR(__xludf.DUMMYFUNCTION("""COMPUTED_VALUE"""),"©宇田川うた子（秋田書店）")</f>
        <v>©宇田川うた子（秋田書店）</v>
      </c>
      <c r="V207" s="8" t="str">
        <f>IFERROR(__xludf.DUMMYFUNCTION("""COMPUTED_VALUE"""),"製菓会社で働く、乙女ゲームが趣味のOL・ゆり。不本意にも開発部から営業部への異動辞令を受け、電話でクレーム対応をしている悪夢から目覚めると、何かがおかしくて……!? ※この作品はプチプリンセス vol.71に収録されているものと同一のものとなります。
")</f>
        <v>製菓会社で働く、乙女ゲームが趣味のOL・ゆり。不本意にも開発部から営業部への異動辞令を受け、電話でクレーム対応をしている悪夢から目覚めると、何かがおかしくて……!? ※この作品はプチプリンセス vol.71に収録されているものと同一のものとなります。
</v>
      </c>
      <c r="W207" s="8"/>
      <c r="X207" s="8" t="str">
        <f>IFERROR(__xludf.DUMMYFUNCTION("""COMPUTED_VALUE"""),"有")</f>
        <v>有</v>
      </c>
      <c r="Y207" s="8" t="str">
        <f>IFERROR(__xludf.DUMMYFUNCTION("""COMPUTED_VALUE"""),"4/30まで1巻無料")</f>
        <v>4/30まで1巻無料</v>
      </c>
      <c r="Z207" s="7"/>
      <c r="AA207" s="7"/>
      <c r="AB207" s="7"/>
    </row>
    <row r="208" ht="15.75" customHeight="1">
      <c r="A208" s="8">
        <f>IFERROR(__xludf.DUMMYFUNCTION("""COMPUTED_VALUE"""),1818.0)</f>
        <v>1818</v>
      </c>
      <c r="B208" s="9" t="str">
        <f>IFERROR(__xludf.DUMMYFUNCTION("""COMPUTED_VALUE"""),"確定")</f>
        <v>確定</v>
      </c>
      <c r="C208" s="10">
        <f>IFERROR(__xludf.DUMMYFUNCTION("""COMPUTED_VALUE"""),45001.0)</f>
        <v>45001</v>
      </c>
      <c r="D208" s="10">
        <f>IFERROR(__xludf.DUMMYFUNCTION("""COMPUTED_VALUE"""),45001.0)</f>
        <v>45001</v>
      </c>
      <c r="E208" s="8">
        <f>IFERROR(__xludf.DUMMYFUNCTION("""COMPUTED_VALUE"""),265656.0)</f>
        <v>265656</v>
      </c>
      <c r="F208" s="9" t="str">
        <f>IFERROR(__xludf.DUMMYFUNCTION("""COMPUTED_VALUE"""),"悪役女王陛下のご機嫌斜めなティータイム")</f>
        <v>悪役女王陛下のご機嫌斜めなティータイム</v>
      </c>
      <c r="G208" s="11" t="str">
        <f>IFERROR(__xludf.DUMMYFUNCTION("""COMPUTED_VALUE"""),"1～3")</f>
        <v>1～3</v>
      </c>
      <c r="H208" s="8" t="str">
        <f>IFERROR(__xludf.DUMMYFUNCTION("""COMPUTED_VALUE"""),"琴川彩")</f>
        <v>琴川彩</v>
      </c>
      <c r="I208" s="8" t="str">
        <f>IFERROR(__xludf.DUMMYFUNCTION("""COMPUTED_VALUE"""),"女性")</f>
        <v>女性</v>
      </c>
      <c r="J208" s="8"/>
      <c r="K208" s="8"/>
      <c r="L208" s="8" t="str">
        <f>IFERROR(__xludf.DUMMYFUNCTION("""COMPUTED_VALUE"""),"秋田書店")</f>
        <v>秋田書店</v>
      </c>
      <c r="M208" s="12">
        <f>IFERROR(__xludf.DUMMYFUNCTION("""COMPUTED_VALUE"""),45017.0)</f>
        <v>45017</v>
      </c>
      <c r="N208" s="12">
        <f>IFERROR(__xludf.DUMMYFUNCTION("""COMPUTED_VALUE"""),45046.0)</f>
        <v>45046</v>
      </c>
      <c r="O208" s="11"/>
      <c r="P208" s="9" t="str">
        <f>IFERROR(__xludf.DUMMYFUNCTION("""COMPUTED_VALUE"""),"否")</f>
        <v>否</v>
      </c>
      <c r="Q208" s="8"/>
      <c r="R208" s="9"/>
      <c r="S208" s="8" t="str">
        <f>IFERROR(__xludf.DUMMYFUNCTION("""COMPUTED_VALUE"""),"20230316_秋田書店_4月新作素材")</f>
        <v>20230316_秋田書店_4月新作素材</v>
      </c>
      <c r="T208" s="9"/>
      <c r="U208" s="9" t="str">
        <f>IFERROR(__xludf.DUMMYFUNCTION("""COMPUTED_VALUE"""),"©琴川彩（秋田書店）")</f>
        <v>©琴川彩（秋田書店）</v>
      </c>
      <c r="V208" s="8" t="str">
        <f>IFERROR(__xludf.DUMMYFUNCTION("""COMPUTED_VALUE"""),"自転車事故で絵本の世界に転生してしまった花。その世界はお菓子の国で、しかも、花が転生したのはその国の冷酷な女王様で…！？ ※この作品はプチプリンセス vol.71に収録されているものと同一のものとなります。
")</f>
        <v>自転車事故で絵本の世界に転生してしまった花。その世界はお菓子の国で、しかも、花が転生したのはその国の冷酷な女王様で…！？ ※この作品はプチプリンセス vol.71に収録されているものと同一のものとなります。
</v>
      </c>
      <c r="W208" s="8"/>
      <c r="X208" s="8" t="str">
        <f>IFERROR(__xludf.DUMMYFUNCTION("""COMPUTED_VALUE"""),"有")</f>
        <v>有</v>
      </c>
      <c r="Y208" s="8" t="str">
        <f>IFERROR(__xludf.DUMMYFUNCTION("""COMPUTED_VALUE"""),"4/30まで1巻無料")</f>
        <v>4/30まで1巻無料</v>
      </c>
      <c r="Z208" s="7"/>
      <c r="AA208" s="7"/>
      <c r="AB208" s="7"/>
    </row>
    <row r="209" ht="15.75" customHeight="1">
      <c r="A209" s="8">
        <f>IFERROR(__xludf.DUMMYFUNCTION("""COMPUTED_VALUE"""),1770.0)</f>
        <v>1770</v>
      </c>
      <c r="B209" s="9" t="str">
        <f>IFERROR(__xludf.DUMMYFUNCTION("""COMPUTED_VALUE"""),"確定")</f>
        <v>確定</v>
      </c>
      <c r="C209" s="10">
        <f>IFERROR(__xludf.DUMMYFUNCTION("""COMPUTED_VALUE"""),44987.0)</f>
        <v>44987</v>
      </c>
      <c r="D209" s="10">
        <f>IFERROR(__xludf.DUMMYFUNCTION("""COMPUTED_VALUE"""),44991.0)</f>
        <v>44991</v>
      </c>
      <c r="E209" s="8">
        <f>IFERROR(__xludf.DUMMYFUNCTION("""COMPUTED_VALUE"""),265658.0)</f>
        <v>265658</v>
      </c>
      <c r="F209" s="9" t="str">
        <f>IFERROR(__xludf.DUMMYFUNCTION("""COMPUTED_VALUE"""),"恋を知らずに、愛を売る【マイクロ】")</f>
        <v>恋を知らずに、愛を売る【マイクロ】</v>
      </c>
      <c r="G209" s="11" t="str">
        <f>IFERROR(__xludf.DUMMYFUNCTION("""COMPUTED_VALUE"""),"1～5")</f>
        <v>1～5</v>
      </c>
      <c r="H209" s="8" t="str">
        <f>IFERROR(__xludf.DUMMYFUNCTION("""COMPUTED_VALUE"""),"秋ひろな")</f>
        <v>秋ひろな</v>
      </c>
      <c r="I209" s="8" t="str">
        <f>IFERROR(__xludf.DUMMYFUNCTION("""COMPUTED_VALUE"""),"少女")</f>
        <v>少女</v>
      </c>
      <c r="J209" s="8"/>
      <c r="K209" s="8"/>
      <c r="L209" s="8" t="str">
        <f>IFERROR(__xludf.DUMMYFUNCTION("""COMPUTED_VALUE"""),"小学館")</f>
        <v>小学館</v>
      </c>
      <c r="M209" s="12">
        <f>IFERROR(__xludf.DUMMYFUNCTION("""COMPUTED_VALUE"""),45021.0)</f>
        <v>45021</v>
      </c>
      <c r="N209" s="19" t="str">
        <f>IFERROR(__xludf.DUMMYFUNCTION("""COMPUTED_VALUE"""),"2023/6/4
続話は1ヵ月")</f>
        <v>2023/6/4
続話は1ヵ月</v>
      </c>
      <c r="O209" s="11"/>
      <c r="P209" s="9" t="str">
        <f>IFERROR(__xludf.DUMMYFUNCTION("""COMPUTED_VALUE"""),"否")</f>
        <v>否</v>
      </c>
      <c r="Q209" s="8" t="str">
        <f>IFERROR(__xludf.DUMMYFUNCTION("""COMPUTED_VALUE"""),"広告コミットOK（3/3）&lt;BR&gt;")</f>
        <v>広告コミットOK（3/3）&lt;BR&gt;</v>
      </c>
      <c r="R209" s="9"/>
      <c r="S209" s="8" t="str">
        <f>IFERROR(__xludf.DUMMYFUNCTION("""COMPUTED_VALUE"""),"20230306_小学館_恋を知らずに、愛を売る【マイクロ】")</f>
        <v>20230306_小学館_恋を知らずに、愛を売る【マイクロ】</v>
      </c>
      <c r="T209" s="9"/>
      <c r="U209" s="9" t="str">
        <f>IFERROR(__xludf.DUMMYFUNCTION("""COMPUTED_VALUE"""),"©秋ひろな / 小学館")</f>
        <v>©秋ひろな / 小学館</v>
      </c>
      <c r="V209" s="8" t="str">
        <f>IFERROR(__xludf.DUMMYFUNCTION("""COMPUTED_VALUE"""),"東京・六本木の会員制ラウンジ。医者、弁護士、起業家、一流企業のお偉いさんーー1時間指名無し３～４万円といわれる料金を支払う財力とステータスがある人が集まる大人の社交場は、パパ活の温床になっているといわれる。そんなラウンジでパパを”狩ってる”大学２年生の結花の夢は教師。”大人（肉体関係）”ナシのパパ活は単位を落とさず、学費分も自分で稼ぐための選択だったが、そこは決して甘い世界ではなく・・・！！　そんな彼女がパパ活中に出会ったアイドル研究生の真央。結花と同じく夢を叶えるためにあがいていた。”大人”をしながらー"&amp;"ー。恋を知らずに愛を売ってきたふたりの運命が動き出すーー")</f>
        <v>東京・六本木の会員制ラウンジ。医者、弁護士、起業家、一流企業のお偉いさんーー1時間指名無し３～４万円といわれる料金を支払う財力とステータスがある人が集まる大人の社交場は、パパ活の温床になっているといわれる。そんなラウンジでパパを”狩ってる”大学２年生の結花の夢は教師。”大人（肉体関係）”ナシのパパ活は単位を落とさず、学費分も自分で稼ぐための選択だったが、そこは決して甘い世界ではなく・・・！！　そんな彼女がパパ活中に出会ったアイドル研究生の真央。結花と同じく夢を叶えるためにあがいていた。”大人”をしながらーー。恋を知らずに愛を売ってきたふたりの運命が動き出すーー</v>
      </c>
      <c r="W209" s="8"/>
      <c r="X209" s="8" t="str">
        <f>IFERROR(__xludf.DUMMYFUNCTION("""COMPUTED_VALUE"""),"有")</f>
        <v>有</v>
      </c>
      <c r="Y209" s="8" t="str">
        <f>IFERROR(__xludf.DUMMYFUNCTION("""COMPUTED_VALUE"""),"4/18まで1巻無料")</f>
        <v>4/18まで1巻無料</v>
      </c>
      <c r="Z209" s="7"/>
      <c r="AA209" s="7"/>
      <c r="AB209" s="7"/>
    </row>
    <row r="210" ht="15.75" customHeight="1">
      <c r="A210" s="8">
        <f>IFERROR(__xludf.DUMMYFUNCTION("""COMPUTED_VALUE"""),1826.0)</f>
        <v>1826</v>
      </c>
      <c r="B210" s="9" t="str">
        <f>IFERROR(__xludf.DUMMYFUNCTION("""COMPUTED_VALUE"""),"確定")</f>
        <v>確定</v>
      </c>
      <c r="C210" s="10">
        <f>IFERROR(__xludf.DUMMYFUNCTION("""COMPUTED_VALUE"""),45002.0)</f>
        <v>45002</v>
      </c>
      <c r="D210" s="10">
        <f>IFERROR(__xludf.DUMMYFUNCTION("""COMPUTED_VALUE"""),45002.0)</f>
        <v>45002</v>
      </c>
      <c r="E210" s="8">
        <f>IFERROR(__xludf.DUMMYFUNCTION("""COMPUTED_VALUE"""),265708.0)</f>
        <v>265708</v>
      </c>
      <c r="F210" s="9" t="str">
        <f>IFERROR(__xludf.DUMMYFUNCTION("""COMPUTED_VALUE"""),"完璧で最高の私にホレないのは天然バカなお前のせい！")</f>
        <v>完璧で最高の私にホレないのは天然バカなお前のせい！</v>
      </c>
      <c r="G210" s="11" t="str">
        <f>IFERROR(__xludf.DUMMYFUNCTION("""COMPUTED_VALUE"""),"1～3")</f>
        <v>1～3</v>
      </c>
      <c r="H210" s="8" t="str">
        <f>IFERROR(__xludf.DUMMYFUNCTION("""COMPUTED_VALUE"""),"原作：mio 作画：小夏ゆーた")</f>
        <v>原作：mio 作画：小夏ゆーた</v>
      </c>
      <c r="I210" s="8" t="str">
        <f>IFERROR(__xludf.DUMMYFUNCTION("""COMPUTED_VALUE"""),"女性")</f>
        <v>女性</v>
      </c>
      <c r="J210" s="8"/>
      <c r="K210" s="8"/>
      <c r="L210" s="8" t="str">
        <f>IFERROR(__xludf.DUMMYFUNCTION("""COMPUTED_VALUE"""),"日本文芸社")</f>
        <v>日本文芸社</v>
      </c>
      <c r="M210" s="12">
        <f>IFERROR(__xludf.DUMMYFUNCTION("""COMPUTED_VALUE"""),45021.0)</f>
        <v>45021</v>
      </c>
      <c r="N210" s="12">
        <f>IFERROR(__xludf.DUMMYFUNCTION("""COMPUTED_VALUE"""),45111.0)</f>
        <v>45111</v>
      </c>
      <c r="O210" s="11"/>
      <c r="P210" s="9" t="str">
        <f>IFERROR(__xludf.DUMMYFUNCTION("""COMPUTED_VALUE"""),"可")</f>
        <v>可</v>
      </c>
      <c r="Q210" s="8"/>
      <c r="R210" s="9"/>
      <c r="S210" s="8" t="str">
        <f>IFERROR(__xludf.DUMMYFUNCTION("""COMPUTED_VALUE"""),"20230317_日本文芸社_URKOI新作")</f>
        <v>20230317_日本文芸社_URKOI新作</v>
      </c>
      <c r="T210" s="9"/>
      <c r="U210" s="9" t="str">
        <f>IFERROR(__xludf.DUMMYFUNCTION("""COMPUTED_VALUE"""),"©mio・小夏ゆーた／日本文芸社")</f>
        <v>©mio・小夏ゆーた／日本文芸社</v>
      </c>
      <c r="V210" s="8" t="str">
        <f>IFERROR(__xludf.DUMMYFUNCTION("""COMPUTED_VALUE"""),"川瀬美月は入社３年目の会社員。自他ともに認める「完璧で最高の女」である彼女は、その美貌と愛嬌で欲しいものを何でも手に入れてきた。
そんな美月が今回ロックオンしたのは、同じ部署に配属されたイケメン新入社員・朝比奈光樹。
絶対にモノにしてやると意気込む美月だが、どんなに誘惑しても光樹は全くなびかない。
この男、ただ者じゃない…と思ったけれど、もしかしてコイツ、ただバカなだけでは……!?
あざとテク全開で誘惑する魔性の美女と、超天然な年下イケメンの予測不能な恋の行方は！？")</f>
        <v>川瀬美月は入社３年目の会社員。自他ともに認める「完璧で最高の女」である彼女は、その美貌と愛嬌で欲しいものを何でも手に入れてきた。
そんな美月が今回ロックオンしたのは、同じ部署に配属されたイケメン新入社員・朝比奈光樹。
絶対にモノにしてやると意気込む美月だが、どんなに誘惑しても光樹は全くなびかない。
この男、ただ者じゃない…と思ったけれど、もしかしてコイツ、ただバカなだけでは……!?
あざとテク全開で誘惑する魔性の美女と、超天然な年下イケメンの予測不能な恋の行方は！？</v>
      </c>
      <c r="W210" s="8"/>
      <c r="X210" s="8" t="str">
        <f>IFERROR(__xludf.DUMMYFUNCTION("""COMPUTED_VALUE"""),"有")</f>
        <v>有</v>
      </c>
      <c r="Y210" s="8" t="str">
        <f>IFERROR(__xludf.DUMMYFUNCTION("""COMPUTED_VALUE"""),"7/４まで1巻無料")</f>
        <v>7/４まで1巻無料</v>
      </c>
      <c r="Z210" s="7"/>
      <c r="AA210" s="7"/>
      <c r="AB210" s="7"/>
    </row>
    <row r="211" ht="15.75" customHeight="1">
      <c r="A211" s="8">
        <f>IFERROR(__xludf.DUMMYFUNCTION("""COMPUTED_VALUE"""),1827.0)</f>
        <v>1827</v>
      </c>
      <c r="B211" s="9" t="str">
        <f>IFERROR(__xludf.DUMMYFUNCTION("""COMPUTED_VALUE"""),"確定")</f>
        <v>確定</v>
      </c>
      <c r="C211" s="10">
        <f>IFERROR(__xludf.DUMMYFUNCTION("""COMPUTED_VALUE"""),45002.0)</f>
        <v>45002</v>
      </c>
      <c r="D211" s="10">
        <f>IFERROR(__xludf.DUMMYFUNCTION("""COMPUTED_VALUE"""),45002.0)</f>
        <v>45002</v>
      </c>
      <c r="E211" s="8">
        <f>IFERROR(__xludf.DUMMYFUNCTION("""COMPUTED_VALUE"""),265707.0)</f>
        <v>265707</v>
      </c>
      <c r="F211" s="9" t="str">
        <f>IFERROR(__xludf.DUMMYFUNCTION("""COMPUTED_VALUE"""),"姫様くんをおマモりします！")</f>
        <v>姫様くんをおマモりします！</v>
      </c>
      <c r="G211" s="11" t="str">
        <f>IFERROR(__xludf.DUMMYFUNCTION("""COMPUTED_VALUE"""),"1～3")</f>
        <v>1～3</v>
      </c>
      <c r="H211" s="8" t="str">
        <f>IFERROR(__xludf.DUMMYFUNCTION("""COMPUTED_VALUE"""),"原作：芭瑠之和橙　作画：裏山或")</f>
        <v>原作：芭瑠之和橙　作画：裏山或</v>
      </c>
      <c r="I211" s="8" t="str">
        <f>IFERROR(__xludf.DUMMYFUNCTION("""COMPUTED_VALUE"""),"女性")</f>
        <v>女性</v>
      </c>
      <c r="J211" s="8"/>
      <c r="K211" s="8"/>
      <c r="L211" s="8" t="str">
        <f>IFERROR(__xludf.DUMMYFUNCTION("""COMPUTED_VALUE"""),"日本文芸社")</f>
        <v>日本文芸社</v>
      </c>
      <c r="M211" s="12">
        <f>IFERROR(__xludf.DUMMYFUNCTION("""COMPUTED_VALUE"""),45021.0)</f>
        <v>45021</v>
      </c>
      <c r="N211" s="12">
        <f>IFERROR(__xludf.DUMMYFUNCTION("""COMPUTED_VALUE"""),45111.0)</f>
        <v>45111</v>
      </c>
      <c r="O211" s="11"/>
      <c r="P211" s="9" t="str">
        <f>IFERROR(__xludf.DUMMYFUNCTION("""COMPUTED_VALUE"""),"可")</f>
        <v>可</v>
      </c>
      <c r="Q211" s="8"/>
      <c r="R211" s="9"/>
      <c r="S211" s="8" t="str">
        <f>IFERROR(__xludf.DUMMYFUNCTION("""COMPUTED_VALUE"""),"20230317_日本文芸社_URKOI新作")</f>
        <v>20230317_日本文芸社_URKOI新作</v>
      </c>
      <c r="T211" s="9"/>
      <c r="U211" s="9" t="str">
        <f>IFERROR(__xludf.DUMMYFUNCTION("""COMPUTED_VALUE"""),"©芭瑠之和橙／裏山或／日本文芸社")</f>
        <v>©芭瑠之和橙／裏山或／日本文芸社</v>
      </c>
      <c r="V211" s="8" t="str">
        <f>IFERROR(__xludf.DUMMYFUNCTION("""COMPUTED_VALUE"""),"30を目前に控えた千佳は現在失業中、さらにアパートも火事で半焼してしまい家も失った。自暴自棄になり酔った勢いでしつこいナンパに困っているお姫様を助けたはずの千佳は、汚部屋で目覚める。そこには今まで出会った人の中で一番美しい…男？！正体不明の男・瑞樹の、家事代行兼女装時の用心棒として雇われた千佳。ふたりの共同生活がはじまったのだが、なんだか瑞樹からの懐かれようがおかしいことに――…。千佳は様々な事件に巻き込まれながら、過去から繋がる運命の糸に気づいていく。")</f>
        <v>30を目前に控えた千佳は現在失業中、さらにアパートも火事で半焼してしまい家も失った。自暴自棄になり酔った勢いでしつこいナンパに困っているお姫様を助けたはずの千佳は、汚部屋で目覚める。そこには今まで出会った人の中で一番美しい…男？！正体不明の男・瑞樹の、家事代行兼女装時の用心棒として雇われた千佳。ふたりの共同生活がはじまったのだが、なんだか瑞樹からの懐かれようがおかしいことに――…。千佳は様々な事件に巻き込まれながら、過去から繋がる運命の糸に気づいていく。</v>
      </c>
      <c r="W211" s="8"/>
      <c r="X211" s="8" t="str">
        <f>IFERROR(__xludf.DUMMYFUNCTION("""COMPUTED_VALUE"""),"有")</f>
        <v>有</v>
      </c>
      <c r="Y211" s="8" t="str">
        <f>IFERROR(__xludf.DUMMYFUNCTION("""COMPUTED_VALUE"""),"7/４まで1巻無料")</f>
        <v>7/４まで1巻無料</v>
      </c>
      <c r="Z211" s="7"/>
      <c r="AA211" s="7"/>
      <c r="AB211" s="7"/>
    </row>
    <row r="212" ht="15.75" customHeight="1">
      <c r="A212" s="8">
        <f>IFERROR(__xludf.DUMMYFUNCTION("""COMPUTED_VALUE"""),1828.0)</f>
        <v>1828</v>
      </c>
      <c r="B212" s="9" t="str">
        <f>IFERROR(__xludf.DUMMYFUNCTION("""COMPUTED_VALUE"""),"確定")</f>
        <v>確定</v>
      </c>
      <c r="C212" s="10">
        <f>IFERROR(__xludf.DUMMYFUNCTION("""COMPUTED_VALUE"""),45002.0)</f>
        <v>45002</v>
      </c>
      <c r="D212" s="10">
        <f>IFERROR(__xludf.DUMMYFUNCTION("""COMPUTED_VALUE"""),45002.0)</f>
        <v>45002</v>
      </c>
      <c r="E212" s="8">
        <f>IFERROR(__xludf.DUMMYFUNCTION("""COMPUTED_VALUE"""),265710.0)</f>
        <v>265710</v>
      </c>
      <c r="F212" s="9" t="str">
        <f>IFERROR(__xludf.DUMMYFUNCTION("""COMPUTED_VALUE"""),"火遊び禁止！秘密のセフレは消防士")</f>
        <v>火遊び禁止！秘密のセフレは消防士</v>
      </c>
      <c r="G212" s="11" t="str">
        <f>IFERROR(__xludf.DUMMYFUNCTION("""COMPUTED_VALUE"""),"1～3")</f>
        <v>1～3</v>
      </c>
      <c r="H212" s="8" t="str">
        <f>IFERROR(__xludf.DUMMYFUNCTION("""COMPUTED_VALUE"""),"原作：今雪みく　作画：ひのもとめぐる")</f>
        <v>原作：今雪みく　作画：ひのもとめぐる</v>
      </c>
      <c r="I212" s="8" t="str">
        <f>IFERROR(__xludf.DUMMYFUNCTION("""COMPUTED_VALUE"""),"女性")</f>
        <v>女性</v>
      </c>
      <c r="J212" s="8"/>
      <c r="K212" s="8"/>
      <c r="L212" s="8" t="str">
        <f>IFERROR(__xludf.DUMMYFUNCTION("""COMPUTED_VALUE"""),"日本文芸社")</f>
        <v>日本文芸社</v>
      </c>
      <c r="M212" s="12">
        <f>IFERROR(__xludf.DUMMYFUNCTION("""COMPUTED_VALUE"""),45021.0)</f>
        <v>45021</v>
      </c>
      <c r="N212" s="12">
        <f>IFERROR(__xludf.DUMMYFUNCTION("""COMPUTED_VALUE"""),45111.0)</f>
        <v>45111</v>
      </c>
      <c r="O212" s="11"/>
      <c r="P212" s="9" t="str">
        <f>IFERROR(__xludf.DUMMYFUNCTION("""COMPUTED_VALUE"""),"否")</f>
        <v>否</v>
      </c>
      <c r="Q212" s="8"/>
      <c r="R212" s="9"/>
      <c r="S212" s="8" t="str">
        <f>IFERROR(__xludf.DUMMYFUNCTION("""COMPUTED_VALUE"""),"20230317_日本文芸社_URKOI新作")</f>
        <v>20230317_日本文芸社_URKOI新作</v>
      </c>
      <c r="T212" s="9"/>
      <c r="U212" s="9" t="str">
        <f>IFERROR(__xludf.DUMMYFUNCTION("""COMPUTED_VALUE"""),"©今雪みく・ひのもとめぐる／日本文芸社")</f>
        <v>©今雪みく・ひのもとめぐる／日本文芸社</v>
      </c>
      <c r="V212" s="8" t="str">
        <f>IFERROR(__xludf.DUMMYFUNCTION("""COMPUTED_VALUE"""),"消防署の受付で働く西野奈央は、イケメン消防士・椎名悟に片想い中。憧れの彼は、しかし地味な自分に釣り合う相手ではない。遠くから眺めるだけで十分だと思っていたのだが、ある日の飲み会中、椎名から突然声をかけられた。
「俺、フラれちゃってさ。……言ってよ、“慰めてあげる”って」
なんで私に言ってくるの？　というか、それってどういう意味!?　訳が分からないのに、彼の瞳は真剣そのもので――。
予測不能の椎名に振り回され、平凡だった西野の生活は一変。秘密だらけのラブストーリーが今始まる！")</f>
        <v>消防署の受付で働く西野奈央は、イケメン消防士・椎名悟に片想い中。憧れの彼は、しかし地味な自分に釣り合う相手ではない。遠くから眺めるだけで十分だと思っていたのだが、ある日の飲み会中、椎名から突然声をかけられた。
「俺、フラれちゃってさ。……言ってよ、“慰めてあげる”って」
なんで私に言ってくるの？　というか、それってどういう意味!?　訳が分からないのに、彼の瞳は真剣そのもので――。
予測不能の椎名に振り回され、平凡だった西野の生活は一変。秘密だらけのラブストーリーが今始まる！</v>
      </c>
      <c r="W212" s="8"/>
      <c r="X212" s="8" t="str">
        <f>IFERROR(__xludf.DUMMYFUNCTION("""COMPUTED_VALUE"""),"有")</f>
        <v>有</v>
      </c>
      <c r="Y212" s="8" t="str">
        <f>IFERROR(__xludf.DUMMYFUNCTION("""COMPUTED_VALUE"""),"7/４まで1巻無料")</f>
        <v>7/４まで1巻無料</v>
      </c>
      <c r="Z212" s="7"/>
      <c r="AA212" s="7"/>
      <c r="AB212" s="7"/>
    </row>
    <row r="213" ht="15.75" customHeight="1">
      <c r="A213" s="8">
        <f>IFERROR(__xludf.DUMMYFUNCTION("""COMPUTED_VALUE"""),1776.0)</f>
        <v>1776</v>
      </c>
      <c r="B213" s="9" t="str">
        <f>IFERROR(__xludf.DUMMYFUNCTION("""COMPUTED_VALUE"""),"確定")</f>
        <v>確定</v>
      </c>
      <c r="C213" s="10">
        <f>IFERROR(__xludf.DUMMYFUNCTION("""COMPUTED_VALUE"""),44992.0)</f>
        <v>44992</v>
      </c>
      <c r="D213" s="10">
        <f>IFERROR(__xludf.DUMMYFUNCTION("""COMPUTED_VALUE"""),44992.0)</f>
        <v>44992</v>
      </c>
      <c r="E213" s="8">
        <f>IFERROR(__xludf.DUMMYFUNCTION("""COMPUTED_VALUE"""),265245.0)</f>
        <v>265245</v>
      </c>
      <c r="F213" s="9" t="str">
        <f>IFERROR(__xludf.DUMMYFUNCTION("""COMPUTED_VALUE"""),"不純愛～男女のバレてはいけない性癖")</f>
        <v>不純愛～男女のバレてはいけない性癖</v>
      </c>
      <c r="G213" s="11" t="str">
        <f>IFERROR(__xludf.DUMMYFUNCTION("""COMPUTED_VALUE"""),"1～3")</f>
        <v>1～3</v>
      </c>
      <c r="H213" s="8" t="str">
        <f>IFERROR(__xludf.DUMMYFUNCTION("""COMPUTED_VALUE"""),"野坂だの")</f>
        <v>野坂だの</v>
      </c>
      <c r="I213" s="8" t="str">
        <f>IFERROR(__xludf.DUMMYFUNCTION("""COMPUTED_VALUE"""),"青年")</f>
        <v>青年</v>
      </c>
      <c r="J213" s="8"/>
      <c r="K213" s="8"/>
      <c r="L213" s="8" t="str">
        <f>IFERROR(__xludf.DUMMYFUNCTION("""COMPUTED_VALUE"""),"Rush!")</f>
        <v>Rush!</v>
      </c>
      <c r="M213" s="12">
        <f>IFERROR(__xludf.DUMMYFUNCTION("""COMPUTED_VALUE"""),45022.0)</f>
        <v>45022</v>
      </c>
      <c r="N213" s="12">
        <f>IFERROR(__xludf.DUMMYFUNCTION("""COMPUTED_VALUE"""),45112.0)</f>
        <v>45112</v>
      </c>
      <c r="O213" s="11"/>
      <c r="P213" s="9" t="str">
        <f>IFERROR(__xludf.DUMMYFUNCTION("""COMPUTED_VALUE"""),"可")</f>
        <v>可</v>
      </c>
      <c r="Q213" s="8" t="str">
        <f>IFERROR(__xludf.DUMMYFUNCTION("""COMPUTED_VALUE"""),"協業レーベル『シーモア×Rush! Z』作品です。")</f>
        <v>協業レーベル『シーモア×Rush! Z』作品です。</v>
      </c>
      <c r="R213" s="9"/>
      <c r="S213" s="8" t="str">
        <f>IFERROR(__xludf.DUMMYFUNCTION("""COMPUTED_VALUE"""),"20230307_ファンギルド_不純愛～男女のバレてはいけない性癖")</f>
        <v>20230307_ファンギルド_不純愛～男女のバレてはいけない性癖</v>
      </c>
      <c r="T213" s="9"/>
      <c r="U213" s="9" t="str">
        <f>IFERROR(__xludf.DUMMYFUNCTION("""COMPUTED_VALUE"""),"©Dano Nosaka")</f>
        <v>©Dano Nosaka</v>
      </c>
      <c r="V213" s="8" t="str">
        <f>IFERROR(__xludf.DUMMYFUNCTION("""COMPUTED_VALUE"""),"小学校の教師、羽田智花は連日の残業とクレーム対応でヘトヘトの日々。そんな彼女の癒しは…同じマンションの住民であり、片思いの相手である漆原の存在。しかし、思いを拗らせた智花はいつしか漆原のストーカーになっていた。漆原との距離が縮まらず……焦れた智花は、漆原の隣人で友人の日下部葵と仲良くなり、漆原に近付く作戦を決行する。漆原の部屋を覗くために葵を誘惑した智花。だが、葵の本性を見てしまい……!?「漆原さんに近付きたかっただけなのに……私、このままーー」")</f>
        <v>小学校の教師、羽田智花は連日の残業とクレーム対応でヘトヘトの日々。そんな彼女の癒しは…同じマンションの住民であり、片思いの相手である漆原の存在。しかし、思いを拗らせた智花はいつしか漆原のストーカーになっていた。漆原との距離が縮まらず……焦れた智花は、漆原の隣人で友人の日下部葵と仲良くなり、漆原に近付く作戦を決行する。漆原の部屋を覗くために葵を誘惑した智花。だが、葵の本性を見てしまい……!?「漆原さんに近付きたかっただけなのに……私、このままーー」</v>
      </c>
      <c r="W213" s="8"/>
      <c r="X213" s="8" t="str">
        <f>IFERROR(__xludf.DUMMYFUNCTION("""COMPUTED_VALUE"""),"有")</f>
        <v>有</v>
      </c>
      <c r="Y213" s="8" t="str">
        <f>IFERROR(__xludf.DUMMYFUNCTION("""COMPUTED_VALUE"""),"P7まで")</f>
        <v>P7まで</v>
      </c>
      <c r="Z213" s="7"/>
      <c r="AA213" s="7"/>
      <c r="AB213" s="7"/>
    </row>
    <row r="214" ht="15.75" customHeight="1">
      <c r="A214" s="8">
        <f>IFERROR(__xludf.DUMMYFUNCTION("""COMPUTED_VALUE"""),1733.0)</f>
        <v>1733</v>
      </c>
      <c r="B214" s="9" t="str">
        <f>IFERROR(__xludf.DUMMYFUNCTION("""COMPUTED_VALUE"""),"確定")</f>
        <v>確定</v>
      </c>
      <c r="C214" s="10">
        <f>IFERROR(__xludf.DUMMYFUNCTION("""COMPUTED_VALUE"""),44973.0)</f>
        <v>44973</v>
      </c>
      <c r="D214" s="10">
        <f>IFERROR(__xludf.DUMMYFUNCTION("""COMPUTED_VALUE"""),44973.0)</f>
        <v>44973</v>
      </c>
      <c r="E214" s="8">
        <f>IFERROR(__xludf.DUMMYFUNCTION("""COMPUTED_VALUE"""),265303.0)</f>
        <v>265303</v>
      </c>
      <c r="F214" s="9" t="str">
        <f>IFERROR(__xludf.DUMMYFUNCTION("""COMPUTED_VALUE"""),"再愛リビドー～もう逃がさない、昂るカラダ")</f>
        <v>再愛リビドー～もう逃がさない、昂るカラダ</v>
      </c>
      <c r="G214" s="11">
        <f>IFERROR(__xludf.DUMMYFUNCTION("""COMPUTED_VALUE"""),1.0)</f>
        <v>1</v>
      </c>
      <c r="H214" s="8" t="str">
        <f>IFERROR(__xludf.DUMMYFUNCTION("""COMPUTED_VALUE"""),"春名ソマリ／くたび／夏葉ヤシ/兎月りか/芒其之一")</f>
        <v>春名ソマリ／くたび／夏葉ヤシ/兎月りか/芒其之一</v>
      </c>
      <c r="I214" s="8" t="str">
        <f>IFERROR(__xludf.DUMMYFUNCTION("""COMPUTED_VALUE"""),"TL")</f>
        <v>TL</v>
      </c>
      <c r="J214" s="8"/>
      <c r="K214" s="8"/>
      <c r="L214" s="8" t="str">
        <f>IFERROR(__xludf.DUMMYFUNCTION("""COMPUTED_VALUE"""),"KATTS")</f>
        <v>KATTS</v>
      </c>
      <c r="M214" s="12">
        <f>IFERROR(__xludf.DUMMYFUNCTION("""COMPUTED_VALUE"""),45023.0)</f>
        <v>45023</v>
      </c>
      <c r="N214" s="12">
        <f>IFERROR(__xludf.DUMMYFUNCTION("""COMPUTED_VALUE"""),45050.0)</f>
        <v>45050</v>
      </c>
      <c r="O214" s="11"/>
      <c r="P214" s="9" t="str">
        <f>IFERROR(__xludf.DUMMYFUNCTION("""COMPUTED_VALUE"""),"可")</f>
        <v>可</v>
      </c>
      <c r="Q214" s="8" t="str">
        <f>IFERROR(__xludf.DUMMYFUNCTION("""COMPUTED_VALUE"""),"事前検討。&lt;BR&gt;出稿可であれば先行確定です。&lt;BR&gt;5つのストーリーで構成されたTLアンソロ作品で、素材は3つのストーリー分を頂いてます。")</f>
        <v>事前検討。&lt;BR&gt;出稿可であれば先行確定です。&lt;BR&gt;5つのストーリーで構成されたTLアンソロ作品で、素材は3つのストーリー分を頂いてます。</v>
      </c>
      <c r="R214" s="9"/>
      <c r="S214" s="8" t="str">
        <f>IFERROR(__xludf.DUMMYFUNCTION("""COMPUTED_VALUE"""),"20230216_BookLive_再愛リビドー～もう逃がさない、昂るカラダ")</f>
        <v>20230216_BookLive_再愛リビドー～もう逃がさない、昂るカラダ</v>
      </c>
      <c r="T214" s="9"/>
      <c r="U214" s="9" t="str">
        <f>IFERROR(__xludf.DUMMYFUNCTION("""COMPUTED_VALUE"""),"©KATTS")</f>
        <v>©KATTS</v>
      </c>
      <c r="V214" s="8" t="str">
        <f>IFERROR(__xludf.DUMMYFUNCTION("""COMPUTED_VALUE"""),"「大人になってもしまた会えたら、俺と本気の恋愛しよ？」 高校生の頃、私の心を捕えた甘い言葉と初めてのキス。10年ぶりに再会した彼と、こんなに激しく求め合う日が来るなんて…！　「やっとひとつになれて嬉しい」昔と変わらない優しさと、大人びてより色っぽくなったオスの顔。誰と寝ても満たされなかった私の深いトコロが、今夜は何度も欲しがっちゃう…っ。もう一度、君に出会えたら――今度こそ絶対に、逃がしてあげられない。再会ラブをテーマにした、オトナ女子のためのときめきが勢ぞろい★　この再会は…熱くトロける蜜の味、TLアン"&amp;"ソロジー第三弾！！　カバーイラスト：川野タニシ　【収録作品】『「俺のこと、好きでしょ？」10年ぶりに再会した彼、淡く甘い瞳は私を捕えて離さない…』／春名ソマリ　『「俺の声で気持ちよくなって」ねっとり耳から骨抜きに…推し配信者の正体は！？』／くたび　『初体験リトライ！　あの頃とは違う深いオクの快感に心までトロトロに…っ』／夏葉ヤシ　『初恋の彼は神様！？　心もカラダも執拗に甘くほだされて…「やっと私のものになった」』／兎月りか　『「忘れられるわけない」大好きだった彼の熱い指先に…全身ジンと痺れちゃう！』／芒其"&amp;"之一")</f>
        <v>「大人になってもしまた会えたら、俺と本気の恋愛しよ？」 高校生の頃、私の心を捕えた甘い言葉と初めてのキス。10年ぶりに再会した彼と、こんなに激しく求め合う日が来るなんて…！　「やっとひとつになれて嬉しい」昔と変わらない優しさと、大人びてより色っぽくなったオスの顔。誰と寝ても満たされなかった私の深いトコロが、今夜は何度も欲しがっちゃう…っ。もう一度、君に出会えたら――今度こそ絶対に、逃がしてあげられない。再会ラブをテーマにした、オトナ女子のためのときめきが勢ぞろい★　この再会は…熱くトロける蜜の味、TLアンソロジー第三弾！！　カバーイラスト：川野タニシ　【収録作品】『「俺のこと、好きでしょ？」10年ぶりに再会した彼、淡く甘い瞳は私を捕えて離さない…』／春名ソマリ　『「俺の声で気持ちよくなって」ねっとり耳から骨抜きに…推し配信者の正体は！？』／くたび　『初体験リトライ！　あの頃とは違う深いオクの快感に心までトロトロに…っ』／夏葉ヤシ　『初恋の彼は神様！？　心もカラダも執拗に甘くほだされて…「やっと私のものになった」』／兎月りか　『「忘れられるわけない」大好きだった彼の熱い指先に…全身ジンと痺れちゃう！』／芒其之一</v>
      </c>
      <c r="W214" s="8"/>
      <c r="X214" s="8" t="str">
        <f>IFERROR(__xludf.DUMMYFUNCTION("""COMPUTED_VALUE"""),"有")</f>
        <v>有</v>
      </c>
      <c r="Y214" s="8" t="str">
        <f>IFERROR(__xludf.DUMMYFUNCTION("""COMPUTED_VALUE"""),"P8まで")</f>
        <v>P8まで</v>
      </c>
      <c r="Z214" s="7"/>
      <c r="AA214" s="7"/>
      <c r="AB214" s="7"/>
    </row>
    <row r="215" ht="141.0" customHeight="1">
      <c r="A215" s="8">
        <f>IFERROR(__xludf.DUMMYFUNCTION("""COMPUTED_VALUE"""),1723.0)</f>
        <v>1723</v>
      </c>
      <c r="B215" s="9" t="str">
        <f>IFERROR(__xludf.DUMMYFUNCTION("""COMPUTED_VALUE"""),"確定")</f>
        <v>確定</v>
      </c>
      <c r="C215" s="10">
        <f>IFERROR(__xludf.DUMMYFUNCTION("""COMPUTED_VALUE"""),44970.0)</f>
        <v>44970</v>
      </c>
      <c r="D215" s="10">
        <f>IFERROR(__xludf.DUMMYFUNCTION("""COMPUTED_VALUE"""),44992.0)</f>
        <v>44992</v>
      </c>
      <c r="E215" s="8">
        <f>IFERROR(__xludf.DUMMYFUNCTION("""COMPUTED_VALUE"""),265345.0)</f>
        <v>265345</v>
      </c>
      <c r="F215" s="9" t="str">
        <f>IFERROR(__xludf.DUMMYFUNCTION("""COMPUTED_VALUE"""),"入り浸りJKにアソコ使わせてもらう話")</f>
        <v>入り浸りJKにアソコ使わせてもらう話</v>
      </c>
      <c r="G215" s="11">
        <f>IFERROR(__xludf.DUMMYFUNCTION("""COMPUTED_VALUE"""),1.0)</f>
        <v>1</v>
      </c>
      <c r="H215" s="8" t="str">
        <f>IFERROR(__xludf.DUMMYFUNCTION("""COMPUTED_VALUE"""),"まんの")</f>
        <v>まんの</v>
      </c>
      <c r="I215" s="8" t="str">
        <f>IFERROR(__xludf.DUMMYFUNCTION("""COMPUTED_VALUE"""),"オトナ")</f>
        <v>オトナ</v>
      </c>
      <c r="J215" s="8"/>
      <c r="K215" s="8"/>
      <c r="L215" s="8" t="str">
        <f>IFERROR(__xludf.DUMMYFUNCTION("""COMPUTED_VALUE"""),"ナイトコミック")</f>
        <v>ナイトコミック</v>
      </c>
      <c r="M215" s="12">
        <f>IFERROR(__xludf.DUMMYFUNCTION("""COMPUTED_VALUE"""),45023.0)</f>
        <v>45023</v>
      </c>
      <c r="N215" s="12">
        <f>IFERROR(__xludf.DUMMYFUNCTION("""COMPUTED_VALUE"""),45232.66666666667)</f>
        <v>45232.66667</v>
      </c>
      <c r="O215" s="11"/>
      <c r="P215" s="9" t="str">
        <f>IFERROR(__xludf.DUMMYFUNCTION("""COMPUTED_VALUE"""),"可")</f>
        <v>可</v>
      </c>
      <c r="Q215" s="8" t="str">
        <f>IFERROR(__xludf.DUMMYFUNCTION("""COMPUTED_VALUE"""),"広告コミットOK（2/17）&lt;BR&gt;")</f>
        <v>広告コミットOK（2/17）&lt;BR&gt;</v>
      </c>
      <c r="R215" s="9"/>
      <c r="S215" s="8" t="str">
        <f>IFERROR(__xludf.DUMMYFUNCTION("""COMPUTED_VALUE"""),"20230307_ナイトコミック_入り浸りJKにアソコ使わせてもらう話")</f>
        <v>20230307_ナイトコミック_入り浸りJKにアソコ使わせてもらう話</v>
      </c>
      <c r="T215" s="9"/>
      <c r="U215" s="9" t="str">
        <f>IFERROR(__xludf.DUMMYFUNCTION("""COMPUTED_VALUE"""),"©まんの")</f>
        <v>©まんの</v>
      </c>
      <c r="V215" s="8" t="str">
        <f>IFERROR(__xludf.DUMMYFUNCTION("""COMPUTED_VALUE"""),"僕なんかとクラスメイトの黒田さんは、一生関わらない人種だと思っていた。でも、黒田さんはたびたび家に漫画を読みにくるようになった。入りびたられることに、僕は全く迷惑だと思っていない。パンツが拝めるだけじゃない。彼女はなんとマ●コを貸してくれるのだ。漫画を読み続ける黒田さんの足の間に座り、パンツの奥の女の子の匂いを全力で吸う。やわらかいま●肉を味わうようにこすりつけ、ぬちゅぬちゅと突いて…。それでも黒田さんは微動だにしない…かと思っていたのだが…！？
")</f>
        <v>僕なんかとクラスメイトの黒田さんは、一生関わらない人種だと思っていた。でも、黒田さんはたびたび家に漫画を読みにくるようになった。入りびたられることに、僕は全く迷惑だと思っていない。パンツが拝めるだけじゃない。彼女はなんとマ●コを貸してくれるのだ。漫画を読み続ける黒田さんの足の間に座り、パンツの奥の女の子の匂いを全力で吸う。やわらかいま●肉を味わうようにこすりつけ、ぬちゅぬちゅと突いて…。それでも黒田さんは微動だにしない…かと思っていたのだが…！？
</v>
      </c>
      <c r="W215" s="8"/>
      <c r="X215" s="8" t="str">
        <f>IFERROR(__xludf.DUMMYFUNCTION("""COMPUTED_VALUE"""),"有")</f>
        <v>有</v>
      </c>
      <c r="Y215" s="8" t="str">
        <f>IFERROR(__xludf.DUMMYFUNCTION("""COMPUTED_VALUE"""),"P9まで")</f>
        <v>P9まで</v>
      </c>
      <c r="Z215" s="7"/>
      <c r="AA215" s="7"/>
      <c r="AB215" s="7"/>
    </row>
    <row r="216" ht="15.75" customHeight="1">
      <c r="A216" s="8">
        <f>IFERROR(__xludf.DUMMYFUNCTION("""COMPUTED_VALUE"""),1790.0)</f>
        <v>1790</v>
      </c>
      <c r="B216" s="9" t="str">
        <f>IFERROR(__xludf.DUMMYFUNCTION("""COMPUTED_VALUE"""),"確定")</f>
        <v>確定</v>
      </c>
      <c r="C216" s="10">
        <f>IFERROR(__xludf.DUMMYFUNCTION("""COMPUTED_VALUE"""),44993.0)</f>
        <v>44993</v>
      </c>
      <c r="D216" s="10">
        <f>IFERROR(__xludf.DUMMYFUNCTION("""COMPUTED_VALUE"""),44994.0)</f>
        <v>44994</v>
      </c>
      <c r="E216" s="8">
        <f>IFERROR(__xludf.DUMMYFUNCTION("""COMPUTED_VALUE"""),265109.0)</f>
        <v>265109</v>
      </c>
      <c r="F216" s="9" t="str">
        <f>IFERROR(__xludf.DUMMYFUNCTION("""COMPUTED_VALUE"""),"贄姫の婚姻 身代わり王女は帝国で最愛となる")</f>
        <v>贄姫の婚姻 身代わり王女は帝国で最愛となる</v>
      </c>
      <c r="G216" s="11" t="str">
        <f>IFERROR(__xludf.DUMMYFUNCTION("""COMPUTED_VALUE"""),"1～3")</f>
        <v>1～3</v>
      </c>
      <c r="H216" s="8" t="str">
        <f>IFERROR(__xludf.DUMMYFUNCTION("""COMPUTED_VALUE"""),"宮之みやこ・もぐす")</f>
        <v>宮之みやこ・もぐす</v>
      </c>
      <c r="I216" s="8" t="str">
        <f>IFERROR(__xludf.DUMMYFUNCTION("""COMPUTED_VALUE"""),"少女")</f>
        <v>少女</v>
      </c>
      <c r="J216" s="8"/>
      <c r="K216" s="8"/>
      <c r="L216" s="8" t="str">
        <f>IFERROR(__xludf.DUMMYFUNCTION("""COMPUTED_VALUE"""),"一迅社")</f>
        <v>一迅社</v>
      </c>
      <c r="M216" s="12">
        <f>IFERROR(__xludf.DUMMYFUNCTION("""COMPUTED_VALUE"""),45023.0)</f>
        <v>45023</v>
      </c>
      <c r="N216" s="12">
        <f>IFERROR(__xludf.DUMMYFUNCTION("""COMPUTED_VALUE"""),45113.0)</f>
        <v>45113</v>
      </c>
      <c r="O216" s="11"/>
      <c r="P216" s="9" t="str">
        <f>IFERROR(__xludf.DUMMYFUNCTION("""COMPUTED_VALUE"""),"可")</f>
        <v>可</v>
      </c>
      <c r="Q216" s="8" t="str">
        <f>IFERROR(__xludf.DUMMYFUNCTION("""COMPUTED_VALUE"""),"協業作品")</f>
        <v>協業作品</v>
      </c>
      <c r="R216" s="9"/>
      <c r="S216" s="8" t="str">
        <f>IFERROR(__xludf.DUMMYFUNCTION("""COMPUTED_VALUE"""),"20230309_一迅社_4月協業echo新作")</f>
        <v>20230309_一迅社_4月協業echo新作</v>
      </c>
      <c r="T216" s="9"/>
      <c r="U216" s="9" t="str">
        <f>IFERROR(__xludf.DUMMYFUNCTION("""COMPUTED_VALUE"""),"©宮之みやこ・もぐす／一迅社")</f>
        <v>©宮之みやこ・もぐす／一迅社</v>
      </c>
      <c r="V216" s="8" t="str">
        <f>IFERROR(__xludf.DUMMYFUNCTION("""COMPUTED_VALUE"""),"「今度こそ守ってみせる。あの子の命も、私の幸せも」クーデターによって前王の娘として幽閉されて育った王女・ルーシャは、ある日突然外の世界に引っ張り出され、見た目も性格も恐ろしい冷徹帝・リカルドの元に、従姉妹のマルグリットの代わりに嫁がされることになる。跡継ぎを生む目的だけで愛のない妊娠と出産を経験しながらも、自らの子供に初めての幸せを感じるルーシャだったが、彼女の立場と子供を利用したいマルグリットが放った刺客によって殺されてしまう。しかし無念の死を遂げた瞬間、奇跡の力によって幽閉されていた頃に時間が巻き戻る"&amp;"。暗殺を回避して大切なわが子を必ず守るという決意を胸に、ルーシャは再びリカルドの元へ嫁ぐ。すると、冷酷で愛などなかったはずのリカルドの意外な一面も見えてきて…!?　冷徹帝に贄として嫁がされ、暗殺された身代わり王女――。タイムリープから始まる逆転劇と溺愛ロマンス!!")</f>
        <v>「今度こそ守ってみせる。あの子の命も、私の幸せも」クーデターによって前王の娘として幽閉されて育った王女・ルーシャは、ある日突然外の世界に引っ張り出され、見た目も性格も恐ろしい冷徹帝・リカルドの元に、従姉妹のマルグリットの代わりに嫁がされることになる。跡継ぎを生む目的だけで愛のない妊娠と出産を経験しながらも、自らの子供に初めての幸せを感じるルーシャだったが、彼女の立場と子供を利用したいマルグリットが放った刺客によって殺されてしまう。しかし無念の死を遂げた瞬間、奇跡の力によって幽閉されていた頃に時間が巻き戻る。暗殺を回避して大切なわが子を必ず守るという決意を胸に、ルーシャは再びリカルドの元へ嫁ぐ。すると、冷酷で愛などなかったはずのリカルドの意外な一面も見えてきて…!?　冷徹帝に贄として嫁がされ、暗殺された身代わり王女――。タイムリープから始まる逆転劇と溺愛ロマンス!!</v>
      </c>
      <c r="W216" s="8"/>
      <c r="X216" s="8" t="str">
        <f>IFERROR(__xludf.DUMMYFUNCTION("""COMPUTED_VALUE"""),"有")</f>
        <v>有</v>
      </c>
      <c r="Y216" s="8" t="str">
        <f>IFERROR(__xludf.DUMMYFUNCTION("""COMPUTED_VALUE"""),"7/6まで1巻無料")</f>
        <v>7/6まで1巻無料</v>
      </c>
      <c r="Z216" s="7"/>
      <c r="AA216" s="7"/>
      <c r="AB216" s="7"/>
    </row>
    <row r="217" ht="15.75" customHeight="1">
      <c r="A217" s="8">
        <f>IFERROR(__xludf.DUMMYFUNCTION("""COMPUTED_VALUE"""),1791.0)</f>
        <v>1791</v>
      </c>
      <c r="B217" s="9" t="str">
        <f>IFERROR(__xludf.DUMMYFUNCTION("""COMPUTED_VALUE"""),"確定")</f>
        <v>確定</v>
      </c>
      <c r="C217" s="10">
        <f>IFERROR(__xludf.DUMMYFUNCTION("""COMPUTED_VALUE"""),44993.0)</f>
        <v>44993</v>
      </c>
      <c r="D217" s="10">
        <f>IFERROR(__xludf.DUMMYFUNCTION("""COMPUTED_VALUE"""),44994.0)</f>
        <v>44994</v>
      </c>
      <c r="E217" s="8">
        <f>IFERROR(__xludf.DUMMYFUNCTION("""COMPUTED_VALUE"""),265110.0)</f>
        <v>265110</v>
      </c>
      <c r="F217" s="9" t="str">
        <f>IFERROR(__xludf.DUMMYFUNCTION("""COMPUTED_VALUE"""),"龍神の最愛婚 ～捨てられた姫巫女の幸福な嫁入り～")</f>
        <v>龍神の最愛婚 ～捨てられた姫巫女の幸福な嫁入り～</v>
      </c>
      <c r="G217" s="11" t="str">
        <f>IFERROR(__xludf.DUMMYFUNCTION("""COMPUTED_VALUE"""),"1～3")</f>
        <v>1～3</v>
      </c>
      <c r="H217" s="8" t="str">
        <f>IFERROR(__xludf.DUMMYFUNCTION("""COMPUTED_VALUE"""),"宮之みやこ・アンティーク")</f>
        <v>宮之みやこ・アンティーク</v>
      </c>
      <c r="I217" s="8" t="str">
        <f>IFERROR(__xludf.DUMMYFUNCTION("""COMPUTED_VALUE"""),"少女")</f>
        <v>少女</v>
      </c>
      <c r="J217" s="8"/>
      <c r="K217" s="8"/>
      <c r="L217" s="8" t="str">
        <f>IFERROR(__xludf.DUMMYFUNCTION("""COMPUTED_VALUE"""),"一迅社")</f>
        <v>一迅社</v>
      </c>
      <c r="M217" s="12">
        <f>IFERROR(__xludf.DUMMYFUNCTION("""COMPUTED_VALUE"""),45023.0)</f>
        <v>45023</v>
      </c>
      <c r="N217" s="12">
        <f>IFERROR(__xludf.DUMMYFUNCTION("""COMPUTED_VALUE"""),45169.66666666667)</f>
        <v>45169.66667</v>
      </c>
      <c r="O217" s="11"/>
      <c r="P217" s="9" t="str">
        <f>IFERROR(__xludf.DUMMYFUNCTION("""COMPUTED_VALUE"""),"可")</f>
        <v>可</v>
      </c>
      <c r="Q217" s="8" t="str">
        <f>IFERROR(__xludf.DUMMYFUNCTION("""COMPUTED_VALUE"""),"協業作品")</f>
        <v>協業作品</v>
      </c>
      <c r="R217" s="9"/>
      <c r="S217" s="8" t="str">
        <f>IFERROR(__xludf.DUMMYFUNCTION("""COMPUTED_VALUE"""),"20230309_一迅社_4月協業echo新作")</f>
        <v>20230309_一迅社_4月協業echo新作</v>
      </c>
      <c r="T217" s="9"/>
      <c r="U217" s="9" t="str">
        <f>IFERROR(__xludf.DUMMYFUNCTION("""COMPUTED_VALUE"""),"©宮之みやこ・アンティーク／一迅社")</f>
        <v>©宮之みやこ・アンティーク／一迅社</v>
      </c>
      <c r="V217" s="8" t="str">
        <f>IFERROR(__xludf.DUMMYFUNCTION("""COMPUTED_VALUE"""),"「人間離れした、怖いくらいに美しい人だった――」代々浄化の力を持つ家系に双子の巫女として生まれた久々宇結月は、龍の形をした背中のあざが不吉とされ、妹の美月をはるかに凌ぐ能力を持ちながらも、その存在を隠されて虐げられてきた。姫巫女として村人たちの支持を集める美月の道具として力だけを使わされることに疲れ果て、昔から時折聞こえる不思議な声の主への仄かな憧れと、自由を求める結月。その願いが永遠に叶わないと知った彼女の絶望に呼応するかの如く、天を覆いつくす龍の形をした祟り神が村に現れる。生贄として強引に差し出され、"&amp;"前世の記憶がフラッシュバックする中、龍神・蒼玉が人の姿となって結月の前に現れ、彼女を抱きしめる。「もう二度と離さない。私のたった一人の花嫁よ」妹の身代わりで生贄に差し出された、本当の姫巫女。絶望が呼び起こすのは、龍神と花嫁が交わした前世の約束と奇跡。")</f>
        <v>「人間離れした、怖いくらいに美しい人だった――」代々浄化の力を持つ家系に双子の巫女として生まれた久々宇結月は、龍の形をした背中のあざが不吉とされ、妹の美月をはるかに凌ぐ能力を持ちながらも、その存在を隠されて虐げられてきた。姫巫女として村人たちの支持を集める美月の道具として力だけを使わされることに疲れ果て、昔から時折聞こえる不思議な声の主への仄かな憧れと、自由を求める結月。その願いが永遠に叶わないと知った彼女の絶望に呼応するかの如く、天を覆いつくす龍の形をした祟り神が村に現れる。生贄として強引に差し出され、前世の記憶がフラッシュバックする中、龍神・蒼玉が人の姿となって結月の前に現れ、彼女を抱きしめる。「もう二度と離さない。私のたった一人の花嫁よ」妹の身代わりで生贄に差し出された、本当の姫巫女。絶望が呼び起こすのは、龍神と花嫁が交わした前世の約束と奇跡。</v>
      </c>
      <c r="W217" s="8"/>
      <c r="X217" s="8" t="str">
        <f>IFERROR(__xludf.DUMMYFUNCTION("""COMPUTED_VALUE"""),"有")</f>
        <v>有</v>
      </c>
      <c r="Y217" s="8" t="str">
        <f>IFERROR(__xludf.DUMMYFUNCTION("""COMPUTED_VALUE"""),"7/6まで1巻無料")</f>
        <v>7/6まで1巻無料</v>
      </c>
      <c r="Z217" s="7"/>
      <c r="AA217" s="7"/>
      <c r="AB217" s="7"/>
    </row>
    <row r="218" ht="15.75" customHeight="1">
      <c r="A218" s="8">
        <f>IFERROR(__xludf.DUMMYFUNCTION("""COMPUTED_VALUE"""),1792.0)</f>
        <v>1792</v>
      </c>
      <c r="B218" s="9" t="str">
        <f>IFERROR(__xludf.DUMMYFUNCTION("""COMPUTED_VALUE"""),"確定")</f>
        <v>確定</v>
      </c>
      <c r="C218" s="10">
        <f>IFERROR(__xludf.DUMMYFUNCTION("""COMPUTED_VALUE"""),44993.0)</f>
        <v>44993</v>
      </c>
      <c r="D218" s="10">
        <f>IFERROR(__xludf.DUMMYFUNCTION("""COMPUTED_VALUE"""),44994.0)</f>
        <v>44994</v>
      </c>
      <c r="E218" s="8">
        <f>IFERROR(__xludf.DUMMYFUNCTION("""COMPUTED_VALUE"""),265111.0)</f>
        <v>265111</v>
      </c>
      <c r="F218" s="9" t="str">
        <f>IFERROR(__xludf.DUMMYFUNCTION("""COMPUTED_VALUE"""),"身代わり聖女は猛毒皇帝と最高のつがいを目指します！")</f>
        <v>身代わり聖女は猛毒皇帝と最高のつがいを目指します！</v>
      </c>
      <c r="G218" s="11" t="str">
        <f>IFERROR(__xludf.DUMMYFUNCTION("""COMPUTED_VALUE"""),"1～3")</f>
        <v>1～3</v>
      </c>
      <c r="H218" s="8" t="str">
        <f>IFERROR(__xludf.DUMMYFUNCTION("""COMPUTED_VALUE"""),"乙嶋かさね・羽是")</f>
        <v>乙嶋かさね・羽是</v>
      </c>
      <c r="I218" s="8" t="str">
        <f>IFERROR(__xludf.DUMMYFUNCTION("""COMPUTED_VALUE"""),"少女")</f>
        <v>少女</v>
      </c>
      <c r="J218" s="8"/>
      <c r="K218" s="8"/>
      <c r="L218" s="8" t="str">
        <f>IFERROR(__xludf.DUMMYFUNCTION("""COMPUTED_VALUE"""),"一迅社")</f>
        <v>一迅社</v>
      </c>
      <c r="M218" s="12">
        <f>IFERROR(__xludf.DUMMYFUNCTION("""COMPUTED_VALUE"""),45023.0)</f>
        <v>45023</v>
      </c>
      <c r="N218" s="12">
        <f>IFERROR(__xludf.DUMMYFUNCTION("""COMPUTED_VALUE"""),45169.66666666667)</f>
        <v>45169.66667</v>
      </c>
      <c r="O218" s="11"/>
      <c r="P218" s="9" t="str">
        <f>IFERROR(__xludf.DUMMYFUNCTION("""COMPUTED_VALUE"""),"可")</f>
        <v>可</v>
      </c>
      <c r="Q218" s="8" t="str">
        <f>IFERROR(__xludf.DUMMYFUNCTION("""COMPUTED_VALUE"""),"協業作品")</f>
        <v>協業作品</v>
      </c>
      <c r="R218" s="9"/>
      <c r="S218" s="8" t="str">
        <f>IFERROR(__xludf.DUMMYFUNCTION("""COMPUTED_VALUE"""),"20230309_一迅社_4月協業echo新作")</f>
        <v>20230309_一迅社_4月協業echo新作</v>
      </c>
      <c r="T218" s="9"/>
      <c r="U218" s="9" t="str">
        <f>IFERROR(__xludf.DUMMYFUNCTION("""COMPUTED_VALUE"""),"©乙嶋かさね・羽是／一迅社")</f>
        <v>©乙嶋かさね・羽是／一迅社</v>
      </c>
      <c r="V218" s="8" t="str">
        <f>IFERROR(__xludf.DUMMYFUNCTION("""COMPUTED_VALUE"""),"“聖女”のおまけとして異世界に召喚されたヒロイン──待っていたのは、全身猛毒鳥人との強制結婚……!?　双子の妹と共に異世界へ召喚された神崎琉衣。ありとあらゆる魔法に適性がある妹は「聖女」として扱われるのに対し、魔法適性は皆無で「毒耐性」しか持つことができなかった琉衣は、酷い扱いを受ける。ある日、妹の身代わりとして獣人がはびこる隣国皇帝の元へ降嫁させられることになった琉衣。当の皇帝は猛毒を宿す魔鳥の血脈を引いており、自身も全身に猛毒を持つ「蠱毒（こどく）の帝王」と呼ばれる人物だった──。孤独な王と、身代わり"&amp;"聖女の「政略結婚」。交わるはずのなかった二人の運命が、少しずつ動き出していく。")</f>
        <v>“聖女”のおまけとして異世界に召喚されたヒロイン──待っていたのは、全身猛毒鳥人との強制結婚……!?　双子の妹と共に異世界へ召喚された神崎琉衣。ありとあらゆる魔法に適性がある妹は「聖女」として扱われるのに対し、魔法適性は皆無で「毒耐性」しか持つことができなかった琉衣は、酷い扱いを受ける。ある日、妹の身代わりとして獣人がはびこる隣国皇帝の元へ降嫁させられることになった琉衣。当の皇帝は猛毒を宿す魔鳥の血脈を引いており、自身も全身に猛毒を持つ「蠱毒（こどく）の帝王」と呼ばれる人物だった──。孤独な王と、身代わり聖女の「政略結婚」。交わるはずのなかった二人の運命が、少しずつ動き出していく。</v>
      </c>
      <c r="W218" s="8"/>
      <c r="X218" s="8" t="str">
        <f>IFERROR(__xludf.DUMMYFUNCTION("""COMPUTED_VALUE"""),"有")</f>
        <v>有</v>
      </c>
      <c r="Y218" s="8" t="str">
        <f>IFERROR(__xludf.DUMMYFUNCTION("""COMPUTED_VALUE"""),"7/6まで1巻無料")</f>
        <v>7/6まで1巻無料</v>
      </c>
      <c r="Z218" s="7"/>
      <c r="AA218" s="7"/>
      <c r="AB218" s="7"/>
    </row>
    <row r="219" ht="15.75" customHeight="1">
      <c r="A219" s="8">
        <f>IFERROR(__xludf.DUMMYFUNCTION("""COMPUTED_VALUE"""),1793.0)</f>
        <v>1793</v>
      </c>
      <c r="B219" s="9" t="str">
        <f>IFERROR(__xludf.DUMMYFUNCTION("""COMPUTED_VALUE"""),"確定")</f>
        <v>確定</v>
      </c>
      <c r="C219" s="10">
        <f>IFERROR(__xludf.DUMMYFUNCTION("""COMPUTED_VALUE"""),44993.0)</f>
        <v>44993</v>
      </c>
      <c r="D219" s="10">
        <f>IFERROR(__xludf.DUMMYFUNCTION("""COMPUTED_VALUE"""),44994.0)</f>
        <v>44994</v>
      </c>
      <c r="E219" s="8">
        <f>IFERROR(__xludf.DUMMYFUNCTION("""COMPUTED_VALUE"""),265112.0)</f>
        <v>265112</v>
      </c>
      <c r="F219" s="9" t="str">
        <f>IFERROR(__xludf.DUMMYFUNCTION("""COMPUTED_VALUE"""),"わたしは春太くんに恋なんてしない")</f>
        <v>わたしは春太くんに恋なんてしない</v>
      </c>
      <c r="G219" s="11" t="str">
        <f>IFERROR(__xludf.DUMMYFUNCTION("""COMPUTED_VALUE"""),"1～3")</f>
        <v>1～3</v>
      </c>
      <c r="H219" s="8" t="str">
        <f>IFERROR(__xludf.DUMMYFUNCTION("""COMPUTED_VALUE"""),"雨水汐")</f>
        <v>雨水汐</v>
      </c>
      <c r="I219" s="8" t="str">
        <f>IFERROR(__xludf.DUMMYFUNCTION("""COMPUTED_VALUE"""),"女性")</f>
        <v>女性</v>
      </c>
      <c r="J219" s="8"/>
      <c r="K219" s="8"/>
      <c r="L219" s="8" t="str">
        <f>IFERROR(__xludf.DUMMYFUNCTION("""COMPUTED_VALUE"""),"一迅社")</f>
        <v>一迅社</v>
      </c>
      <c r="M219" s="12">
        <f>IFERROR(__xludf.DUMMYFUNCTION("""COMPUTED_VALUE"""),45023.0)</f>
        <v>45023</v>
      </c>
      <c r="N219" s="12">
        <f>IFERROR(__xludf.DUMMYFUNCTION("""COMPUTED_VALUE"""),45113.0)</f>
        <v>45113</v>
      </c>
      <c r="O219" s="11"/>
      <c r="P219" s="9" t="str">
        <f>IFERROR(__xludf.DUMMYFUNCTION("""COMPUTED_VALUE"""),"可")</f>
        <v>可</v>
      </c>
      <c r="Q219" s="8" t="str">
        <f>IFERROR(__xludf.DUMMYFUNCTION("""COMPUTED_VALUE"""),"協業作品")</f>
        <v>協業作品</v>
      </c>
      <c r="R219" s="9"/>
      <c r="S219" s="8" t="str">
        <f>IFERROR(__xludf.DUMMYFUNCTION("""COMPUTED_VALUE"""),"20230309_一迅社_4月協業echo新作")</f>
        <v>20230309_一迅社_4月協業echo新作</v>
      </c>
      <c r="T219" s="9"/>
      <c r="U219" s="9" t="str">
        <f>IFERROR(__xludf.DUMMYFUNCTION("""COMPUTED_VALUE"""),"©雨水汐／一迅社")</f>
        <v>©雨水汐／一迅社</v>
      </c>
      <c r="V219" s="8" t="str">
        <f>IFERROR(__xludf.DUMMYFUNCTION("""COMPUTED_VALUE"""),"結婚を急ぐ私の前に現れたのは一回り年下の男の子でした。30歳の春、結婚を意識していた彼氏に振られてしまい、人生設計が崩れ途方に暮れていた沙綾。傷心のまま実家に帰った沙綾は、そこで近所に住んでいた一回り年下の男の子・春太と再会する。いつの間にかイケメンに育った彼は、沙綾と幼い頃にした「大人になったら結婚してください」という約束を覚えていて――人生に迷うアラサー女子×溺愛ワンコ系年下男子のトキメキ求愛系ラブストーリー！")</f>
        <v>結婚を急ぐ私の前に現れたのは一回り年下の男の子でした。30歳の春、結婚を意識していた彼氏に振られてしまい、人生設計が崩れ途方に暮れていた沙綾。傷心のまま実家に帰った沙綾は、そこで近所に住んでいた一回り年下の男の子・春太と再会する。いつの間にかイケメンに育った彼は、沙綾と幼い頃にした「大人になったら結婚してください」という約束を覚えていて――人生に迷うアラサー女子×溺愛ワンコ系年下男子のトキメキ求愛系ラブストーリー！</v>
      </c>
      <c r="W219" s="8"/>
      <c r="X219" s="8" t="str">
        <f>IFERROR(__xludf.DUMMYFUNCTION("""COMPUTED_VALUE"""),"有")</f>
        <v>有</v>
      </c>
      <c r="Y219" s="8" t="str">
        <f>IFERROR(__xludf.DUMMYFUNCTION("""COMPUTED_VALUE"""),"7/6まで1巻無料")</f>
        <v>7/6まで1巻無料</v>
      </c>
      <c r="Z219" s="7"/>
      <c r="AA219" s="7"/>
      <c r="AB219" s="7"/>
    </row>
    <row r="220" ht="15.75" customHeight="1">
      <c r="A220" s="8">
        <f>IFERROR(__xludf.DUMMYFUNCTION("""COMPUTED_VALUE"""),1763.0)</f>
        <v>1763</v>
      </c>
      <c r="B220" s="9" t="str">
        <f>IFERROR(__xludf.DUMMYFUNCTION("""COMPUTED_VALUE"""),"確定")</f>
        <v>確定</v>
      </c>
      <c r="C220" s="10">
        <f>IFERROR(__xludf.DUMMYFUNCTION("""COMPUTED_VALUE"""),44985.0)</f>
        <v>44985</v>
      </c>
      <c r="D220" s="10">
        <f>IFERROR(__xludf.DUMMYFUNCTION("""COMPUTED_VALUE"""),45000.0)</f>
        <v>45000</v>
      </c>
      <c r="E220" s="8">
        <f>IFERROR(__xludf.DUMMYFUNCTION("""COMPUTED_VALUE"""),265663.0)</f>
        <v>265663</v>
      </c>
      <c r="F220" s="9" t="str">
        <f>IFERROR(__xludf.DUMMYFUNCTION("""COMPUTED_VALUE"""),"さよなら家族")</f>
        <v>さよなら家族</v>
      </c>
      <c r="G220" s="11">
        <f>IFERROR(__xludf.DUMMYFUNCTION("""COMPUTED_VALUE"""),1.0)</f>
        <v>1</v>
      </c>
      <c r="H220" s="8" t="str">
        <f>IFERROR(__xludf.DUMMYFUNCTION("""COMPUTED_VALUE"""),"地由")</f>
        <v>地由</v>
      </c>
      <c r="I220" s="8" t="str">
        <f>IFERROR(__xludf.DUMMYFUNCTION("""COMPUTED_VALUE"""),"女性")</f>
        <v>女性</v>
      </c>
      <c r="J220" s="8"/>
      <c r="K220" s="8"/>
      <c r="L220" s="8" t="str">
        <f>IFERROR(__xludf.DUMMYFUNCTION("""COMPUTED_VALUE"""),"DTSパブリッシング")</f>
        <v>DTSパブリッシング</v>
      </c>
      <c r="M220" s="12">
        <f>IFERROR(__xludf.DUMMYFUNCTION("""COMPUTED_VALUE"""),45023.0)</f>
        <v>45023</v>
      </c>
      <c r="N220" s="12">
        <f>IFERROR(__xludf.DUMMYFUNCTION("""COMPUTED_VALUE"""),45052.0)</f>
        <v>45052</v>
      </c>
      <c r="O220" s="11"/>
      <c r="P220" s="9" t="str">
        <f>IFERROR(__xludf.DUMMYFUNCTION("""COMPUTED_VALUE"""),"否")</f>
        <v>否</v>
      </c>
      <c r="Q220" s="8" t="str">
        <f>IFERROR(__xludf.DUMMYFUNCTION("""COMPUTED_VALUE"""),"広告コミットOK（3/2）&lt;BR&gt;")</f>
        <v>広告コミットOK（3/2）&lt;BR&gt;</v>
      </c>
      <c r="R220" s="9">
        <f>IFERROR(__xludf.DUMMYFUNCTION("""COMPUTED_VALUE"""),45002.0)</f>
        <v>45002</v>
      </c>
      <c r="S220" s="8" t="str">
        <f>IFERROR(__xludf.DUMMYFUNCTION("""COMPUTED_VALUE"""),"20230314_DTSパブリッシング_さよなら家族")</f>
        <v>20230314_DTSパブリッシング_さよなら家族</v>
      </c>
      <c r="T220" s="9"/>
      <c r="U220" s="9" t="str">
        <f>IFERROR(__xludf.DUMMYFUNCTION("""COMPUTED_VALUE"""),"©地由/DTSパブリッシング")</f>
        <v>©地由/DTSパブリッシング</v>
      </c>
      <c r="V220" s="8" t="str">
        <f>IFERROR(__xludf.DUMMYFUNCTION("""COMPUTED_VALUE"""),"「僕は、娘の本当の父親じゃない？」幸せな家族を襲った交通事故によって最愛の娘・里結は生死の境を彷徨う事態に陥る。小さな命を救う手術には輸血が必要だが、特殊な血液型のために適合する血液が不足していると告げられる夫・孝敏。そんな最中、妻の枝里佳は輸血できる心当たりがあるというが、そこで知らされた事実は夫婦の関係に大きな亀裂を生じさせるものだった。愛する家族のために孝敏が選んだ選択とは……。『私たち、離婚します』の地由が描く感動ストーリー。")</f>
        <v>「僕は、娘の本当の父親じゃない？」幸せな家族を襲った交通事故によって最愛の娘・里結は生死の境を彷徨う事態に陥る。小さな命を救う手術には輸血が必要だが、特殊な血液型のために適合する血液が不足していると告げられる夫・孝敏。そんな最中、妻の枝里佳は輸血できる心当たりがあるというが、そこで知らされた事実は夫婦の関係に大きな亀裂を生じさせるものだった。愛する家族のために孝敏が選んだ選択とは……。『私たち、離婚します』の地由が描く感動ストーリー。</v>
      </c>
      <c r="W220" s="8"/>
      <c r="X220" s="8" t="str">
        <f>IFERROR(__xludf.DUMMYFUNCTION("""COMPUTED_VALUE"""),"有")</f>
        <v>有</v>
      </c>
      <c r="Y220" s="8" t="str">
        <f>IFERROR(__xludf.DUMMYFUNCTION("""COMPUTED_VALUE"""),"P10まで")</f>
        <v>P10まで</v>
      </c>
      <c r="Z220" s="7"/>
      <c r="AA220" s="7"/>
      <c r="AB220" s="7"/>
    </row>
    <row r="221" ht="15.75" customHeight="1">
      <c r="A221" s="8">
        <f>IFERROR(__xludf.DUMMYFUNCTION("""COMPUTED_VALUE"""),1820.0)</f>
        <v>1820</v>
      </c>
      <c r="B221" s="9" t="str">
        <f>IFERROR(__xludf.DUMMYFUNCTION("""COMPUTED_VALUE"""),"確定")</f>
        <v>確定</v>
      </c>
      <c r="C221" s="10">
        <f>IFERROR(__xludf.DUMMYFUNCTION("""COMPUTED_VALUE"""),45002.0)</f>
        <v>45002</v>
      </c>
      <c r="D221" s="10">
        <f>IFERROR(__xludf.DUMMYFUNCTION("""COMPUTED_VALUE"""),45008.0)</f>
        <v>45008</v>
      </c>
      <c r="E221" s="8">
        <f>IFERROR(__xludf.DUMMYFUNCTION("""COMPUTED_VALUE"""),266826.0)</f>
        <v>266826</v>
      </c>
      <c r="F221" s="9" t="str">
        <f>IFERROR(__xludf.DUMMYFUNCTION("""COMPUTED_VALUE"""),"愛嫁は親子喧嘩を許しません!!【タテヨミ】")</f>
        <v>愛嫁は親子喧嘩を許しません!!【タテヨミ】</v>
      </c>
      <c r="G221" s="16" t="str">
        <f>IFERROR(__xludf.DUMMYFUNCTION("""COMPUTED_VALUE"""),"1～20")</f>
        <v>1～20</v>
      </c>
      <c r="H221" s="8" t="str">
        <f>IFERROR(__xludf.DUMMYFUNCTION("""COMPUTED_VALUE"""),"StorySoop")</f>
        <v>StorySoop</v>
      </c>
      <c r="I221" s="8" t="str">
        <f>IFERROR(__xludf.DUMMYFUNCTION("""COMPUTED_VALUE"""),"女性")</f>
        <v>女性</v>
      </c>
      <c r="J221" s="8"/>
      <c r="K221" s="8"/>
      <c r="L221" s="8" t="str">
        <f>IFERROR(__xludf.DUMMYFUNCTION("""COMPUTED_VALUE"""),"YUZU comics")</f>
        <v>YUZU comics</v>
      </c>
      <c r="M221" s="12">
        <f>IFERROR(__xludf.DUMMYFUNCTION("""COMPUTED_VALUE"""),45023.0)</f>
        <v>45023</v>
      </c>
      <c r="N221" s="12">
        <f>IFERROR(__xludf.DUMMYFUNCTION("""COMPUTED_VALUE"""),45043.0)</f>
        <v>45043</v>
      </c>
      <c r="O221" s="11"/>
      <c r="P221" s="9" t="str">
        <f>IFERROR(__xludf.DUMMYFUNCTION("""COMPUTED_VALUE"""),"可")</f>
        <v>可</v>
      </c>
      <c r="Q221" s="8" t="str">
        <f>IFERROR(__xludf.DUMMYFUNCTION("""COMPUTED_VALUE"""),"広告コミットOK（3/16）&lt;BR&gt;1～5巻で広告作成希望でしたのでこちらでご対応お願いできますでしょうか。5巻目3/24格納予定")</f>
        <v>広告コミットOK（3/16）&lt;BR&gt;1～5巻で広告作成希望でしたのでこちらでご対応お願いできますでしょうか。5巻目3/24格納予定</v>
      </c>
      <c r="R221" s="9"/>
      <c r="S221" s="8" t="str">
        <f>IFERROR(__xludf.DUMMYFUNCTION("""COMPUTED_VALUE"""),"20230323_YUZUコミックス_愛嫁は親子喧嘩を許しません!!")</f>
        <v>20230323_YUZUコミックス_愛嫁は親子喧嘩を許しません!!</v>
      </c>
      <c r="T221" s="9"/>
      <c r="U221" s="9" t="str">
        <f>IFERROR(__xludf.DUMMYFUNCTION("""COMPUTED_VALUE"""),"©StorySoop/YUZU comics")</f>
        <v>©StorySoop/YUZU comics</v>
      </c>
      <c r="V221" s="8" t="str">
        <f>IFERROR(__xludf.DUMMYFUNCTION("""COMPUTED_VALUE"""),"孤児の男アべンと結婚したと思っていた主人公のイラエン。夫に任された畑でガチョウの世話をしていると突然迎えがやってきて城に連れてこられた。そこに現れたのは今までに見たことのない綺麗な女性カネシスで彼女はアべンの母親、つまりイラエンの姑だった。アべンの実家は立派な城で、大魔法使いの母親がいた。イラエンは姉たちから姑という存在の怖さを聞いていたため、無理矢理にでも笑顔を見せて気に入られようとするが、カネシスはイラエンに感情に正直に生きろと言う。カネシスとイラエンはお互いを少しずつ好きになっていくが、果たして２人"&amp;"は親しくなれるのか…")</f>
        <v>孤児の男アべンと結婚したと思っていた主人公のイラエン。夫に任された畑でガチョウの世話をしていると突然迎えがやってきて城に連れてこられた。そこに現れたのは今までに見たことのない綺麗な女性カネシスで彼女はアべンの母親、つまりイラエンの姑だった。アべンの実家は立派な城で、大魔法使いの母親がいた。イラエンは姉たちから姑という存在の怖さを聞いていたため、無理矢理にでも笑顔を見せて気に入られようとするが、カネシスはイラエンに感情に正直に生きろと言う。カネシスとイラエンはお互いを少しずつ好きになっていくが、果たして２人は親しくなれるのか…</v>
      </c>
      <c r="W221" s="8"/>
      <c r="X221" s="9" t="str">
        <f>IFERROR(__xludf.DUMMYFUNCTION("""COMPUTED_VALUE"""),"有")</f>
        <v>有</v>
      </c>
      <c r="Y221" s="8" t="str">
        <f>IFERROR(__xludf.DUMMYFUNCTION("""COMPUTED_VALUE"""),"1～3話まで0円
1～5巻目無料ストリーミング設定（4/28まで）")</f>
        <v>1～3話まで0円
1～5巻目無料ストリーミング設定（4/28まで）</v>
      </c>
      <c r="Z221" s="7"/>
      <c r="AA221" s="7"/>
      <c r="AB221" s="7"/>
    </row>
    <row r="222" ht="15.75" customHeight="1">
      <c r="A222" s="8">
        <f>IFERROR(__xludf.DUMMYFUNCTION("""COMPUTED_VALUE"""),1486.0)</f>
        <v>1486</v>
      </c>
      <c r="B222" s="9" t="str">
        <f>IFERROR(__xludf.DUMMYFUNCTION("""COMPUTED_VALUE"""),"確定")</f>
        <v>確定</v>
      </c>
      <c r="C222" s="10">
        <f>IFERROR(__xludf.DUMMYFUNCTION("""COMPUTED_VALUE"""),44865.0)</f>
        <v>44865</v>
      </c>
      <c r="D222" s="10">
        <f>IFERROR(__xludf.DUMMYFUNCTION("""COMPUTED_VALUE"""),45020.0)</f>
        <v>45020</v>
      </c>
      <c r="E222" s="8">
        <f>IFERROR(__xludf.DUMMYFUNCTION("""COMPUTED_VALUE"""),265495.0)</f>
        <v>265495</v>
      </c>
      <c r="F222" s="9" t="str">
        <f>IFERROR(__xludf.DUMMYFUNCTION("""COMPUTED_VALUE"""),"殿下は私をとかしたい")</f>
        <v>殿下は私をとかしたい</v>
      </c>
      <c r="G222" s="11" t="str">
        <f>IFERROR(__xludf.DUMMYFUNCTION("""COMPUTED_VALUE"""),"1～3")</f>
        <v>1～3</v>
      </c>
      <c r="H222" s="8" t="str">
        <f>IFERROR(__xludf.DUMMYFUNCTION("""COMPUTED_VALUE"""),"真波潜/ましろぷに")</f>
        <v>真波潜/ましろぷに</v>
      </c>
      <c r="I222" s="8" t="str">
        <f>IFERROR(__xludf.DUMMYFUNCTION("""COMPUTED_VALUE"""),"少女")</f>
        <v>少女</v>
      </c>
      <c r="J222" s="8"/>
      <c r="K222" s="8"/>
      <c r="L222" s="8" t="str">
        <f>IFERROR(__xludf.DUMMYFUNCTION("""COMPUTED_VALUE"""),"EVOパブリッシング")</f>
        <v>EVOパブリッシング</v>
      </c>
      <c r="M222" s="12">
        <f>IFERROR(__xludf.DUMMYFUNCTION("""COMPUTED_VALUE"""),45023.0)</f>
        <v>45023</v>
      </c>
      <c r="N222" s="12" t="str">
        <f>IFERROR(__xludf.DUMMYFUNCTION("""COMPUTED_VALUE"""),"1か月先行（広告好調なら延長可能）")</f>
        <v>1か月先行（広告好調なら延長可能）</v>
      </c>
      <c r="O222" s="11"/>
      <c r="P222" s="9" t="str">
        <f>IFERROR(__xludf.DUMMYFUNCTION("""COMPUTED_VALUE"""),"否")</f>
        <v>否</v>
      </c>
      <c r="Q222" s="8" t="str">
        <f>IFERROR(__xludf.DUMMYFUNCTION("""COMPUTED_VALUE"""),"広告コミットOK（11/4）&lt;BR&gt;事前の出稿検討依頼です&lt;BR&gt;&lt;BR&gt;配信予定1月⇒2月に変更（12/20）&lt;BR&gt;配信予定2月⇒3月に変更（1/13）&lt;BR&gt;初回配信巻数が1～2話から1～3話に変更（3/6）")</f>
        <v>広告コミットOK（11/4）&lt;BR&gt;事前の出稿検討依頼です&lt;BR&gt;&lt;BR&gt;配信予定1月⇒2月に変更（12/20）&lt;BR&gt;配信予定2月⇒3月に変更（1/13）&lt;BR&gt;初回配信巻数が1～2話から1～3話に変更（3/6）</v>
      </c>
      <c r="R222" s="9" t="str">
        <f>IFERROR(__xludf.DUMMYFUNCTION("""COMPUTED_VALUE"""),"2023/3/15予定")</f>
        <v>2023/3/15予定</v>
      </c>
      <c r="S222" s="8" t="str">
        <f>IFERROR(__xludf.DUMMYFUNCTION("""COMPUTED_VALUE"""),"20230306_Evolution_殿下は私をとかしたい")</f>
        <v>20230306_Evolution_殿下は私をとかしたい</v>
      </c>
      <c r="T222" s="9"/>
      <c r="U222" s="9" t="str">
        <f>IFERROR(__xludf.DUMMYFUNCTION("""COMPUTED_VALUE"""),"©真波潜/ましろぷに/EVOパブリッシング")</f>
        <v>©真波潜/ましろぷに/EVOパブリッシング</v>
      </c>
      <c r="V222" s="8" t="str">
        <f>IFERROR(__xludf.DUMMYFUNCTION("""COMPUTED_VALUE"""),"王侯貴族が集うルイズ学園の卒業パーティーで、婚約者のアイゼン・ジクリード公爵令息から婚約破棄を告げられたフローラ・ジュペル伯爵令嬢。理由は、アイゼンの隣に居るアンジュ・ネイビア子爵令嬢をフローラが不当にいびり、虐め、貶めたというもの。全く心当たりがないのに、アンジュの用意した証人達からは虚偽の悪行を証言されてしまう…。パーティーという晴れの場で完全に孤立したフローラを救ったのは、ガブリエル・ド・ルイズ殿下――この国の第二王子だった。ガブリエルの求婚によって婚約者となったフローラは、その後ガブリエルの秘密を"&amp;"教えられ、それを使ってアイゼン達に復讐をする事に…。なぜ、急に現われた王子は自分を助けてくれるのか…？不当な婚約破棄で悲しみに打ちひしがれていたフローラが、ガブリエルとの『復讐』で幸せになっていく物語――。")</f>
        <v>王侯貴族が集うルイズ学園の卒業パーティーで、婚約者のアイゼン・ジクリード公爵令息から婚約破棄を告げられたフローラ・ジュペル伯爵令嬢。理由は、アイゼンの隣に居るアンジュ・ネイビア子爵令嬢をフローラが不当にいびり、虐め、貶めたというもの。全く心当たりがないのに、アンジュの用意した証人達からは虚偽の悪行を証言されてしまう…。パーティーという晴れの場で完全に孤立したフローラを救ったのは、ガブリエル・ド・ルイズ殿下――この国の第二王子だった。ガブリエルの求婚によって婚約者となったフローラは、その後ガブリエルの秘密を教えられ、それを使ってアイゼン達に復讐をする事に…。なぜ、急に現われた王子は自分を助けてくれるのか…？不当な婚約破棄で悲しみに打ちひしがれていたフローラが、ガブリエルとの『復讐』で幸せになっていく物語――。</v>
      </c>
      <c r="W222" s="8"/>
      <c r="X222" s="9" t="str">
        <f>IFERROR(__xludf.DUMMYFUNCTION("""COMPUTED_VALUE"""),"有")</f>
        <v>有</v>
      </c>
      <c r="Y222" s="8" t="str">
        <f>IFERROR(__xludf.DUMMYFUNCTION("""COMPUTED_VALUE"""),"5/6まで立ち読み増量
P15まで")</f>
        <v>5/6まで立ち読み増量
P15まで</v>
      </c>
      <c r="Z222" s="7"/>
      <c r="AA222" s="7"/>
      <c r="AB222" s="7"/>
    </row>
    <row r="223" ht="15.75" customHeight="1">
      <c r="A223" s="8">
        <f>IFERROR(__xludf.DUMMYFUNCTION("""COMPUTED_VALUE"""),1779.0)</f>
        <v>1779</v>
      </c>
      <c r="B223" s="9" t="str">
        <f>IFERROR(__xludf.DUMMYFUNCTION("""COMPUTED_VALUE"""),"確定")</f>
        <v>確定</v>
      </c>
      <c r="C223" s="10">
        <f>IFERROR(__xludf.DUMMYFUNCTION("""COMPUTED_VALUE"""),44992.0)</f>
        <v>44992</v>
      </c>
      <c r="D223" s="10">
        <f>IFERROR(__xludf.DUMMYFUNCTION("""COMPUTED_VALUE"""),44992.0)</f>
        <v>44992</v>
      </c>
      <c r="E223" s="8">
        <f>IFERROR(__xludf.DUMMYFUNCTION("""COMPUTED_VALUE"""),247833.0)</f>
        <v>247833</v>
      </c>
      <c r="F223" s="9" t="str">
        <f>IFERROR(__xludf.DUMMYFUNCTION("""COMPUTED_VALUE"""),"転生しても溺愛からは逃げられない")</f>
        <v>転生しても溺愛からは逃げられない</v>
      </c>
      <c r="G223" s="11" t="str">
        <f>IFERROR(__xludf.DUMMYFUNCTION("""COMPUTED_VALUE"""),"1～3")</f>
        <v>1～3</v>
      </c>
      <c r="H223" s="8" t="str">
        <f>IFERROR(__xludf.DUMMYFUNCTION("""COMPUTED_VALUE"""),"柚依りい太")</f>
        <v>柚依りい太</v>
      </c>
      <c r="I223" s="8" t="str">
        <f>IFERROR(__xludf.DUMMYFUNCTION("""COMPUTED_VALUE"""),"BL")</f>
        <v>BL</v>
      </c>
      <c r="J223" s="8"/>
      <c r="K223" s="8"/>
      <c r="L223" s="8" t="str">
        <f>IFERROR(__xludf.DUMMYFUNCTION("""COMPUTED_VALUE"""),"ソルマーレ編集部")</f>
        <v>ソルマーレ編集部</v>
      </c>
      <c r="M223" s="12">
        <f>IFERROR(__xludf.DUMMYFUNCTION("""COMPUTED_VALUE"""),45024.0)</f>
        <v>45024</v>
      </c>
      <c r="N223" s="12">
        <f>IFERROR(__xludf.DUMMYFUNCTION("""COMPUTED_VALUE"""),45085.0)</f>
        <v>45085</v>
      </c>
      <c r="O223" s="11"/>
      <c r="P223" s="9" t="str">
        <f>IFERROR(__xludf.DUMMYFUNCTION("""COMPUTED_VALUE"""),"可")</f>
        <v>可</v>
      </c>
      <c r="Q223" s="8" t="str">
        <f>IFERROR(__xludf.DUMMYFUNCTION("""COMPUTED_VALUE"""),"※素材につきまして完成次第随時格納いたします（3/7）&lt;BR&gt;※正式タイトル下記の通りです（3/7）&lt;BR&gt;＝＝＝&lt;BR&gt;転生しても溺愛からは逃げられない&lt;BR&gt;＝＝＝&lt;BR&gt;")</f>
        <v>※素材につきまして完成次第随時格納いたします（3/7）&lt;BR&gt;※正式タイトル下記の通りです（3/7）&lt;BR&gt;＝＝＝&lt;BR&gt;転生しても溺愛からは逃げられない&lt;BR&gt;＝＝＝&lt;BR&gt;</v>
      </c>
      <c r="R223" s="9"/>
      <c r="S223" s="8" t="str">
        <f>IFERROR(__xludf.DUMMYFUNCTION("""COMPUTED_VALUE"""),"20230307_ソルマーレ編集部_転生しても溺愛からは逃げられない")</f>
        <v>20230307_ソルマーレ編集部_転生しても溺愛からは逃げられない</v>
      </c>
      <c r="T223" s="15"/>
      <c r="U223" s="9" t="str">
        <f>IFERROR(__xludf.DUMMYFUNCTION("""COMPUTED_VALUE"""),"Ⓒ 柚依りい太/シーモアコミックス")</f>
        <v>Ⓒ 柚依りい太/シーモアコミックス</v>
      </c>
      <c r="V223" s="8" t="str">
        <f>IFERROR(__xludf.DUMMYFUNCTION("""COMPUTED_VALUE"""),"転生前、仕えていて大好きだった若様に思いを遂げられないまま戦死してしまった家臣の幸昌（ゆきまさ）と景隆（ひろたか）。若様である絢（あや）とただただ深く愛し合いたいと願い、現代に転生した。
絢も転生しており、運命の再会――かと思いきや、絢には前世の記憶がなく二人を完全拒否してしまうのだった。
前世では主に手を出すことができなかったが、主従関係でなくなった今、猛烈で熱烈な二人の愛の歓迎を受け、徐々に絆されてしまい―…。【フィカス】")</f>
        <v>転生前、仕えていて大好きだった若様に思いを遂げられないまま戦死してしまった家臣の幸昌（ゆきまさ）と景隆（ひろたか）。若様である絢（あや）とただただ深く愛し合いたいと願い、現代に転生した。
絢も転生しており、運命の再会――かと思いきや、絢には前世の記憶がなく二人を完全拒否してしまうのだった。
前世では主に手を出すことができなかったが、主従関係でなくなった今、猛烈で熱烈な二人の愛の歓迎を受け、徐々に絆されてしまい―…。【フィカス】</v>
      </c>
      <c r="W223" s="8"/>
      <c r="X223" s="8" t="str">
        <f>IFERROR(__xludf.DUMMYFUNCTION("""COMPUTED_VALUE"""),"有")</f>
        <v>有</v>
      </c>
      <c r="Y223" s="8" t="str">
        <f>IFERROR(__xludf.DUMMYFUNCTION("""COMPUTED_VALUE"""),"4/21まで1巻無料")</f>
        <v>4/21まで1巻無料</v>
      </c>
      <c r="Z223" s="7"/>
      <c r="AA223" s="7"/>
      <c r="AB223" s="7"/>
    </row>
    <row r="224" ht="15.75" customHeight="1">
      <c r="A224" s="8">
        <f>IFERROR(__xludf.DUMMYFUNCTION("""COMPUTED_VALUE"""),1780.0)</f>
        <v>1780</v>
      </c>
      <c r="B224" s="9" t="str">
        <f>IFERROR(__xludf.DUMMYFUNCTION("""COMPUTED_VALUE"""),"確定")</f>
        <v>確定</v>
      </c>
      <c r="C224" s="10">
        <f>IFERROR(__xludf.DUMMYFUNCTION("""COMPUTED_VALUE"""),44992.0)</f>
        <v>44992</v>
      </c>
      <c r="D224" s="10">
        <f>IFERROR(__xludf.DUMMYFUNCTION("""COMPUTED_VALUE"""),44992.0)</f>
        <v>44992</v>
      </c>
      <c r="E224" s="8">
        <f>IFERROR(__xludf.DUMMYFUNCTION("""COMPUTED_VALUE"""),255456.0)</f>
        <v>255456</v>
      </c>
      <c r="F224" s="9" t="str">
        <f>IFERROR(__xludf.DUMMYFUNCTION("""COMPUTED_VALUE"""),"アンダーグラウンド・スネーク")</f>
        <v>アンダーグラウンド・スネーク</v>
      </c>
      <c r="G224" s="11" t="str">
        <f>IFERROR(__xludf.DUMMYFUNCTION("""COMPUTED_VALUE"""),"1～3")</f>
        <v>1～3</v>
      </c>
      <c r="H224" s="8" t="str">
        <f>IFERROR(__xludf.DUMMYFUNCTION("""COMPUTED_VALUE"""),"伊佐治屁泥")</f>
        <v>伊佐治屁泥</v>
      </c>
      <c r="I224" s="8" t="str">
        <f>IFERROR(__xludf.DUMMYFUNCTION("""COMPUTED_VALUE"""),"BL")</f>
        <v>BL</v>
      </c>
      <c r="J224" s="8"/>
      <c r="K224" s="8"/>
      <c r="L224" s="8" t="str">
        <f>IFERROR(__xludf.DUMMYFUNCTION("""COMPUTED_VALUE"""),"ソルマーレ編集部")</f>
        <v>ソルマーレ編集部</v>
      </c>
      <c r="M224" s="12">
        <f>IFERROR(__xludf.DUMMYFUNCTION("""COMPUTED_VALUE"""),45024.0)</f>
        <v>45024</v>
      </c>
      <c r="N224" s="12">
        <f>IFERROR(__xludf.DUMMYFUNCTION("""COMPUTED_VALUE"""),45085.0)</f>
        <v>45085</v>
      </c>
      <c r="O224" s="11"/>
      <c r="P224" s="9" t="str">
        <f>IFERROR(__xludf.DUMMYFUNCTION("""COMPUTED_VALUE"""),"可")</f>
        <v>可</v>
      </c>
      <c r="Q224" s="8" t="str">
        <f>IFERROR(__xludf.DUMMYFUNCTION("""COMPUTED_VALUE"""),"※素材につきまして完成次第格納いたします（3/7）&lt;BR&gt;※正式タイトル下記の通りです（3/7）&lt;BR&gt;＝＝＝&lt;BR&gt;アンダーグラウンド・スネーク&lt;BR&gt;＝＝＝&lt;BR&gt;")</f>
        <v>※素材につきまして完成次第格納いたします（3/7）&lt;BR&gt;※正式タイトル下記の通りです（3/7）&lt;BR&gt;＝＝＝&lt;BR&gt;アンダーグラウンド・スネーク&lt;BR&gt;＝＝＝&lt;BR&gt;</v>
      </c>
      <c r="R224" s="9"/>
      <c r="S224" s="8" t="str">
        <f>IFERROR(__xludf.DUMMYFUNCTION("""COMPUTED_VALUE"""),"20230307_ソルマーレ編集部_アンダーグラウンド・スネーク")</f>
        <v>20230307_ソルマーレ編集部_アンダーグラウンド・スネーク</v>
      </c>
      <c r="T224" s="15"/>
      <c r="U224" s="9" t="str">
        <f>IFERROR(__xludf.DUMMYFUNCTION("""COMPUTED_VALUE"""),"Ⓒ 伊佐治屁泥/シーモアコミックス")</f>
        <v>Ⓒ 伊佐治屁泥/シーモアコミックス</v>
      </c>
      <c r="V224" s="8" t="str">
        <f>IFERROR(__xludf.DUMMYFUNCTION("""COMPUTED_VALUE"""),"「若は目を閉じて…好きな女にしてもらう想像でもしててください」一庵組の若頭で、跡取り息子でもある勇一郎（ゆういちろう）は、父の命令で見合いをすることに。結婚までに女性相手に役に立たなくなっている下半身をどうにかしようと、兄のように慕っている組の幹部・百足（ももたり）に相談すると、治療に協力すると言い出して――。イケオジヤクザ×若頭のアンダーグラウンド・ラブストーリー。【フィカス】
")</f>
        <v>「若は目を閉じて…好きな女にしてもらう想像でもしててください」一庵組の若頭で、跡取り息子でもある勇一郎（ゆういちろう）は、父の命令で見合いをすることに。結婚までに女性相手に役に立たなくなっている下半身をどうにかしようと、兄のように慕っている組の幹部・百足（ももたり）に相談すると、治療に協力すると言い出して――。イケオジヤクザ×若頭のアンダーグラウンド・ラブストーリー。【フィカス】
</v>
      </c>
      <c r="W224" s="8"/>
      <c r="X224" s="8" t="str">
        <f>IFERROR(__xludf.DUMMYFUNCTION("""COMPUTED_VALUE"""),"有")</f>
        <v>有</v>
      </c>
      <c r="Y224" s="8" t="str">
        <f>IFERROR(__xludf.DUMMYFUNCTION("""COMPUTED_VALUE"""),"4/21まで1巻無料")</f>
        <v>4/21まで1巻無料</v>
      </c>
      <c r="Z224" s="7"/>
      <c r="AA224" s="7"/>
      <c r="AB224" s="7"/>
    </row>
    <row r="225" ht="15.75" customHeight="1">
      <c r="A225" s="8">
        <f>IFERROR(__xludf.DUMMYFUNCTION("""COMPUTED_VALUE"""),1746.0)</f>
        <v>1746</v>
      </c>
      <c r="B225" s="9" t="str">
        <f>IFERROR(__xludf.DUMMYFUNCTION("""COMPUTED_VALUE"""),"確定")</f>
        <v>確定</v>
      </c>
      <c r="C225" s="10">
        <f>IFERROR(__xludf.DUMMYFUNCTION("""COMPUTED_VALUE"""),44978.0)</f>
        <v>44978</v>
      </c>
      <c r="D225" s="10">
        <f>IFERROR(__xludf.DUMMYFUNCTION("""COMPUTED_VALUE"""),45020.0)</f>
        <v>45020</v>
      </c>
      <c r="E225" s="8">
        <f>IFERROR(__xludf.DUMMYFUNCTION("""COMPUTED_VALUE"""),265784.0)</f>
        <v>265784</v>
      </c>
      <c r="F225" s="9" t="str">
        <f>IFERROR(__xludf.DUMMYFUNCTION("""COMPUTED_VALUE"""),"魔性のαとナマイキΩ-Be mine ! sideR-")</f>
        <v>魔性のαとナマイキΩ-Be mine ! sideR-</v>
      </c>
      <c r="G225" s="11" t="str">
        <f>IFERROR(__xludf.DUMMYFUNCTION("""COMPUTED_VALUE"""),"1～2")</f>
        <v>1～2</v>
      </c>
      <c r="H225" s="8" t="str">
        <f>IFERROR(__xludf.DUMMYFUNCTION("""COMPUTED_VALUE"""),"りょう┴mogu")</f>
        <v>りょう┴mogu</v>
      </c>
      <c r="I225" s="8" t="str">
        <f>IFERROR(__xludf.DUMMYFUNCTION("""COMPUTED_VALUE"""),"BL")</f>
        <v>BL</v>
      </c>
      <c r="J225" s="8"/>
      <c r="K225" s="8"/>
      <c r="L225" s="8" t="str">
        <f>IFERROR(__xludf.DUMMYFUNCTION("""COMPUTED_VALUE"""),"MUGENUP")</f>
        <v>MUGENUP</v>
      </c>
      <c r="M225" s="12">
        <f>IFERROR(__xludf.DUMMYFUNCTION("""COMPUTED_VALUE"""),45024.0)</f>
        <v>45024</v>
      </c>
      <c r="N225" s="12" t="str">
        <f>IFERROR(__xludf.DUMMYFUNCTION("""COMPUTED_VALUE"""),"3ヶ月")</f>
        <v>3ヶ月</v>
      </c>
      <c r="O225" s="11"/>
      <c r="P225" s="9" t="str">
        <f>IFERROR(__xludf.DUMMYFUNCTION("""COMPUTED_VALUE"""),"可")</f>
        <v>可</v>
      </c>
      <c r="Q225" s="8" t="str">
        <f>IFERROR(__xludf.DUMMYFUNCTION("""COMPUTED_VALUE"""),"広告コミットOK（2/28）&lt;BR&gt;→出稿可のため先行終了日を「3カ月」に変更（4/4）&lt;BR&gt;&lt;BR&gt;配信開始日変更&lt;BR&gt;4/1⇒4/8　&lt;BR&gt;&lt;BR&gt;&lt;BR&gt;")</f>
        <v>広告コミットOK（2/28）&lt;BR&gt;→出稿可のため先行終了日を「3カ月」に変更（4/4）&lt;BR&gt;&lt;BR&gt;配信開始日変更&lt;BR&gt;4/1⇒4/8　&lt;BR&gt;&lt;BR&gt;&lt;BR&gt;</v>
      </c>
      <c r="R225" s="9" t="str">
        <f>IFERROR(__xludf.DUMMYFUNCTION("""COMPUTED_VALUE"""),"納品済み（素材フォルダに格納）")</f>
        <v>納品済み（素材フォルダに格納）</v>
      </c>
      <c r="S225" s="8" t="str">
        <f>IFERROR(__xludf.DUMMYFUNCTION("""COMPUTED_VALUE"""),"20230221_MUGENUP_魔性のαとナマイキΩ -Be mine ！sideR-")</f>
        <v>20230221_MUGENUP_魔性のαとナマイキΩ -Be mine ！sideR-</v>
      </c>
      <c r="T225" s="9"/>
      <c r="U225" s="9" t="str">
        <f>IFERROR(__xludf.DUMMYFUNCTION("""COMPUTED_VALUE"""),"©りょう・mogu／MUGENUP")</f>
        <v>©りょう・mogu／MUGENUP</v>
      </c>
      <c r="V225" s="8" t="str">
        <f>IFERROR(__xludf.DUMMYFUNCTION("""COMPUTED_VALUE"""),"αなんて大嫌いだ。
過去に襲われたトラウマから、αを嫌悪するΩのレキ。フラッシュバックのおきる日は、疼きを抑えるようβをひっかけていた。その日も声をかけたのは、ダサい童貞β──のはずだったのに！
セックスの主導権は奪われ、初めての快楽を与えたダサい男・零士は、まさかのα！しかも人気絶頂の演技派若手俳優で…!?
魔性の魅力を持つ俳優α×プライド高めなトラウマ持ちΩ。セフレから始まる人気作がついにコミカライズ！")</f>
        <v>αなんて大嫌いだ。
過去に襲われたトラウマから、αを嫌悪するΩのレキ。フラッシュバックのおきる日は、疼きを抑えるようβをひっかけていた。その日も声をかけたのは、ダサい童貞β──のはずだったのに！
セックスの主導権は奪われ、初めての快楽を与えたダサい男・零士は、まさかのα！しかも人気絶頂の演技派若手俳優で…!?
魔性の魅力を持つ俳優α×プライド高めなトラウマ持ちΩ。セフレから始まる人気作がついにコミカライズ！</v>
      </c>
      <c r="W225" s="8"/>
      <c r="X225" s="8" t="str">
        <f>IFERROR(__xludf.DUMMYFUNCTION("""COMPUTED_VALUE"""),"有")</f>
        <v>有</v>
      </c>
      <c r="Y225" s="8" t="str">
        <f>IFERROR(__xludf.DUMMYFUNCTION("""COMPUTED_VALUE"""),"P12まで")</f>
        <v>P12まで</v>
      </c>
      <c r="Z225" s="7"/>
      <c r="AA225" s="7"/>
      <c r="AB225" s="7"/>
    </row>
    <row r="226" ht="15.75" customHeight="1">
      <c r="A226" s="8">
        <f>IFERROR(__xludf.DUMMYFUNCTION("""COMPUTED_VALUE"""),1747.0)</f>
        <v>1747</v>
      </c>
      <c r="B226" s="9" t="str">
        <f>IFERROR(__xludf.DUMMYFUNCTION("""COMPUTED_VALUE"""),"確定")</f>
        <v>確定</v>
      </c>
      <c r="C226" s="10">
        <f>IFERROR(__xludf.DUMMYFUNCTION("""COMPUTED_VALUE"""),44978.0)</f>
        <v>44978</v>
      </c>
      <c r="D226" s="10">
        <f>IFERROR(__xludf.DUMMYFUNCTION("""COMPUTED_VALUE"""),45020.0)</f>
        <v>45020</v>
      </c>
      <c r="E226" s="8">
        <f>IFERROR(__xludf.DUMMYFUNCTION("""COMPUTED_VALUE"""),265785.0)</f>
        <v>265785</v>
      </c>
      <c r="F226" s="9" t="str">
        <f>IFERROR(__xludf.DUMMYFUNCTION("""COMPUTED_VALUE"""),"お祓いするから挿れますね")</f>
        <v>お祓いするから挿れますね</v>
      </c>
      <c r="G226" s="11" t="str">
        <f>IFERROR(__xludf.DUMMYFUNCTION("""COMPUTED_VALUE"""),"1～2")</f>
        <v>1～2</v>
      </c>
      <c r="H226" s="8" t="str">
        <f>IFERROR(__xludf.DUMMYFUNCTION("""COMPUTED_VALUE"""),"道草臓")</f>
        <v>道草臓</v>
      </c>
      <c r="I226" s="8" t="str">
        <f>IFERROR(__xludf.DUMMYFUNCTION("""COMPUTED_VALUE"""),"BL")</f>
        <v>BL</v>
      </c>
      <c r="J226" s="8"/>
      <c r="K226" s="8"/>
      <c r="L226" s="8" t="str">
        <f>IFERROR(__xludf.DUMMYFUNCTION("""COMPUTED_VALUE"""),"MUGENUP")</f>
        <v>MUGENUP</v>
      </c>
      <c r="M226" s="12">
        <f>IFERROR(__xludf.DUMMYFUNCTION("""COMPUTED_VALUE"""),45024.0)</f>
        <v>45024</v>
      </c>
      <c r="N226" s="12" t="str">
        <f>IFERROR(__xludf.DUMMYFUNCTION("""COMPUTED_VALUE"""),"3ヶ月")</f>
        <v>3ヶ月</v>
      </c>
      <c r="O226" s="11"/>
      <c r="P226" s="9" t="str">
        <f>IFERROR(__xludf.DUMMYFUNCTION("""COMPUTED_VALUE"""),"可")</f>
        <v>可</v>
      </c>
      <c r="Q226" s="8" t="str">
        <f>IFERROR(__xludf.DUMMYFUNCTION("""COMPUTED_VALUE"""),"広告コミットOK（2/28）&lt;BR&gt;→出稿可のため先行終了日を「3カ月」に変更（4/4）&lt;BR&gt;&lt;BR&gt;配信開始日変更&lt;BR&gt;4/1⇒4/8　&lt;BR&gt;")</f>
        <v>広告コミットOK（2/28）&lt;BR&gt;→出稿可のため先行終了日を「3カ月」に変更（4/4）&lt;BR&gt;&lt;BR&gt;配信開始日変更&lt;BR&gt;4/1⇒4/8　&lt;BR&gt;</v>
      </c>
      <c r="R226" s="9" t="str">
        <f>IFERROR(__xludf.DUMMYFUNCTION("""COMPUTED_VALUE"""),"納品済み（素材フォルダに格納）")</f>
        <v>納品済み（素材フォルダに格納）</v>
      </c>
      <c r="S226" s="8" t="str">
        <f>IFERROR(__xludf.DUMMYFUNCTION("""COMPUTED_VALUE"""),"20230221_MUGENUP_お祓いするから挿れますね")</f>
        <v>20230221_MUGENUP_お祓いするから挿れますね</v>
      </c>
      <c r="T226" s="9"/>
      <c r="U226" s="9" t="str">
        <f>IFERROR(__xludf.DUMMYFUNCTION("""COMPUTED_VALUE"""),"©道草臓／MUGENUP")</f>
        <v>©道草臓／MUGENUP</v>
      </c>
      <c r="V226" s="8" t="str">
        <f>IFERROR(__xludf.DUMMYFUNCTION("""COMPUTED_VALUE"""),"「ああ俺、化け物に犯されてる──」
おもちゃ会社に勤める晃(アキラ)は、ある日、会社からの帰宅途中に終点まで電車を乗り過ごしてしまう。仕方なく電車を降りると、そこは見知らぬ古びた駅。自分以外誰もいないと思っていると、一人の少年から話しかけられる。
「ここ……あぶないの」
すると、人間のような、そうではないような声が聞こえ、振り向いた先には化け物の姿が。伸びる触手が晃の身体をまさぐり、ついには下半身まで……。
これは夢？ 現実？
年下霊媒師×色情霊にとり憑かれたリーマンの不思議なエロティック・ホラーBL"&amp;"。")</f>
        <v>「ああ俺、化け物に犯されてる──」
おもちゃ会社に勤める晃(アキラ)は、ある日、会社からの帰宅途中に終点まで電車を乗り過ごしてしまう。仕方なく電車を降りると、そこは見知らぬ古びた駅。自分以外誰もいないと思っていると、一人の少年から話しかけられる。
「ここ……あぶないの」
すると、人間のような、そうではないような声が聞こえ、振り向いた先には化け物の姿が。伸びる触手が晃の身体をまさぐり、ついには下半身まで……。
これは夢？ 現実？
年下霊媒師×色情霊にとり憑かれたリーマンの不思議なエロティック・ホラーBL。</v>
      </c>
      <c r="W226" s="8"/>
      <c r="X226" s="8" t="str">
        <f>IFERROR(__xludf.DUMMYFUNCTION("""COMPUTED_VALUE"""),"有")</f>
        <v>有</v>
      </c>
      <c r="Y226" s="8" t="str">
        <f>IFERROR(__xludf.DUMMYFUNCTION("""COMPUTED_VALUE"""),"P13まで")</f>
        <v>P13まで</v>
      </c>
      <c r="Z226" s="7"/>
      <c r="AA226" s="7"/>
      <c r="AB226" s="7"/>
    </row>
    <row r="227" ht="15.75" customHeight="1">
      <c r="A227" s="8">
        <f>IFERROR(__xludf.DUMMYFUNCTION("""COMPUTED_VALUE"""),1816.0)</f>
        <v>1816</v>
      </c>
      <c r="B227" s="9" t="str">
        <f>IFERROR(__xludf.DUMMYFUNCTION("""COMPUTED_VALUE"""),"確定")</f>
        <v>確定</v>
      </c>
      <c r="C227" s="10">
        <f>IFERROR(__xludf.DUMMYFUNCTION("""COMPUTED_VALUE"""),45001.0)</f>
        <v>45001</v>
      </c>
      <c r="D227" s="10">
        <f>IFERROR(__xludf.DUMMYFUNCTION("""COMPUTED_VALUE"""),45001.0)</f>
        <v>45001</v>
      </c>
      <c r="E227" s="8">
        <f>IFERROR(__xludf.DUMMYFUNCTION("""COMPUTED_VALUE"""),265712.0)</f>
        <v>265712</v>
      </c>
      <c r="F227" s="9" t="str">
        <f>IFERROR(__xludf.DUMMYFUNCTION("""COMPUTED_VALUE"""),"赤子さんはかく語れり")</f>
        <v>赤子さんはかく語れり</v>
      </c>
      <c r="G227" s="20" t="str">
        <f>IFERROR(__xludf.DUMMYFUNCTION("""COMPUTED_VALUE"""),"1～7")</f>
        <v>1～7</v>
      </c>
      <c r="H227" s="8" t="str">
        <f>IFERROR(__xludf.DUMMYFUNCTION("""COMPUTED_VALUE"""),"魅月乱")</f>
        <v>魅月乱</v>
      </c>
      <c r="I227" s="8" t="str">
        <f>IFERROR(__xludf.DUMMYFUNCTION("""COMPUTED_VALUE"""),"女性")</f>
        <v>女性</v>
      </c>
      <c r="J227" s="8"/>
      <c r="K227" s="8"/>
      <c r="L227" s="8" t="str">
        <f>IFERROR(__xludf.DUMMYFUNCTION("""COMPUTED_VALUE"""),"秋田書店")</f>
        <v>秋田書店</v>
      </c>
      <c r="M227" s="12">
        <f>IFERROR(__xludf.DUMMYFUNCTION("""COMPUTED_VALUE"""),45025.0)</f>
        <v>45025</v>
      </c>
      <c r="N227" s="12">
        <f>IFERROR(__xludf.DUMMYFUNCTION("""COMPUTED_VALUE"""),45054.0)</f>
        <v>45054</v>
      </c>
      <c r="O227" s="11"/>
      <c r="P227" s="9" t="str">
        <f>IFERROR(__xludf.DUMMYFUNCTION("""COMPUTED_VALUE"""),"否")</f>
        <v>否</v>
      </c>
      <c r="Q227" s="8"/>
      <c r="R227" s="9"/>
      <c r="S227" s="8" t="str">
        <f>IFERROR(__xludf.DUMMYFUNCTION("""COMPUTED_VALUE"""),"20230316_秋田書店_4月新作素材")</f>
        <v>20230316_秋田書店_4月新作素材</v>
      </c>
      <c r="T227" s="9"/>
      <c r="U227" s="9" t="str">
        <f>IFERROR(__xludf.DUMMYFUNCTION("""COMPUTED_VALUE"""),"©魅月乱（秋田書店）")</f>
        <v>©魅月乱（秋田書店）</v>
      </c>
      <c r="V227" s="8" t="str">
        <f>IFERROR(__xludf.DUMMYFUNCTION("""COMPUTED_VALUE"""),"芽生ちゃんは新生児の赤子さん。赤子さんのどえりゃあ本音を名古屋弁で叫んでいるつもりですが、子育てに必死な親御さんにはなかなか伝わりません。すべてのママさんパパさんに贈る毒舌BABYの子育て指南!!
")</f>
        <v>芽生ちゃんは新生児の赤子さん。赤子さんのどえりゃあ本音を名古屋弁で叫んでいるつもりですが、子育てに必死な親御さんにはなかなか伝わりません。すべてのママさんパパさんに贈る毒舌BABYの子育て指南!!
</v>
      </c>
      <c r="W227" s="8"/>
      <c r="X227" s="8" t="str">
        <f>IFERROR(__xludf.DUMMYFUNCTION("""COMPUTED_VALUE"""),"有")</f>
        <v>有</v>
      </c>
      <c r="Y227" s="8" t="str">
        <f>IFERROR(__xludf.DUMMYFUNCTION("""COMPUTED_VALUE"""),"5/8まで1巻無料")</f>
        <v>5/8まで1巻無料</v>
      </c>
      <c r="Z227" s="7"/>
      <c r="AA227" s="7"/>
      <c r="AB227" s="7"/>
    </row>
    <row r="228" ht="15.75" customHeight="1">
      <c r="A228" s="8">
        <f>IFERROR(__xludf.DUMMYFUNCTION("""COMPUTED_VALUE"""),1829.0)</f>
        <v>1829</v>
      </c>
      <c r="B228" s="9" t="str">
        <f>IFERROR(__xludf.DUMMYFUNCTION("""COMPUTED_VALUE"""),"確定")</f>
        <v>確定</v>
      </c>
      <c r="C228" s="10">
        <f>IFERROR(__xludf.DUMMYFUNCTION("""COMPUTED_VALUE"""),45002.0)</f>
        <v>45002</v>
      </c>
      <c r="D228" s="10">
        <f>IFERROR(__xludf.DUMMYFUNCTION("""COMPUTED_VALUE"""),45002.0)</f>
        <v>45002</v>
      </c>
      <c r="E228" s="8">
        <f>IFERROR(__xludf.DUMMYFUNCTION("""COMPUTED_VALUE"""),265713.0)</f>
        <v>265713</v>
      </c>
      <c r="F228" s="9" t="str">
        <f>IFERROR(__xludf.DUMMYFUNCTION("""COMPUTED_VALUE"""),"聖女として召喚されたのに…謎の召喚士にはずかしめられてます。【フルカラー】")</f>
        <v>聖女として召喚されたのに…謎の召喚士にはずかしめられてます。【フルカラー】</v>
      </c>
      <c r="G228" s="11" t="str">
        <f>IFERROR(__xludf.DUMMYFUNCTION("""COMPUTED_VALUE"""),"1~3")</f>
        <v>1~3</v>
      </c>
      <c r="H228" s="8" t="str">
        <f>IFERROR(__xludf.DUMMYFUNCTION("""COMPUTED_VALUE"""),"原作：犬野花子 作画：王里ノツワ")</f>
        <v>原作：犬野花子 作画：王里ノツワ</v>
      </c>
      <c r="I228" s="8" t="str">
        <f>IFERROR(__xludf.DUMMYFUNCTION("""COMPUTED_VALUE"""),"青年")</f>
        <v>青年</v>
      </c>
      <c r="J228" s="8"/>
      <c r="K228" s="8"/>
      <c r="L228" s="8" t="str">
        <f>IFERROR(__xludf.DUMMYFUNCTION("""COMPUTED_VALUE"""),"コミックストック")</f>
        <v>コミックストック</v>
      </c>
      <c r="M228" s="12">
        <f>IFERROR(__xludf.DUMMYFUNCTION("""COMPUTED_VALUE"""),45025.0)</f>
        <v>45025</v>
      </c>
      <c r="N228" s="12">
        <f>IFERROR(__xludf.DUMMYFUNCTION("""COMPUTED_VALUE"""),45115.0)</f>
        <v>45115</v>
      </c>
      <c r="O228" s="11"/>
      <c r="P228" s="9" t="str">
        <f>IFERROR(__xludf.DUMMYFUNCTION("""COMPUTED_VALUE"""),"可")</f>
        <v>可</v>
      </c>
      <c r="Q228" s="8" t="str">
        <f>IFERROR(__xludf.DUMMYFUNCTION("""COMPUTED_VALUE"""),"協業：シーモア×DEDEDE")</f>
        <v>協業：シーモア×DEDEDE</v>
      </c>
      <c r="R228" s="9" t="str">
        <f>IFERROR(__xludf.DUMMYFUNCTION("""COMPUTED_VALUE"""),"格納済")</f>
        <v>格納済</v>
      </c>
      <c r="S228" s="8" t="str">
        <f>IFERROR(__xludf.DUMMYFUNCTION("""COMPUTED_VALUE"""),"20230317_コミックストック_聖女として召喚されたのに…謎の召喚士にはずかしめられてます。【フルカラー】")</f>
        <v>20230317_コミックストック_聖女として召喚されたのに…謎の召喚士にはずかしめられてます。【フルカラー】</v>
      </c>
      <c r="T228" s="9" t="str">
        <f>IFERROR(__xludf.DUMMYFUNCTION("""COMPUTED_VALUE"""),"校了済素材")</f>
        <v>校了済素材</v>
      </c>
      <c r="U228" s="9" t="str">
        <f>IFERROR(__xludf.DUMMYFUNCTION("""COMPUTED_VALUE"""),"(C)犬野花子/王里ノツワ/コミックストック")</f>
        <v>(C)犬野花子/王里ノツワ/コミックストック</v>
      </c>
      <c r="V228" s="8" t="str">
        <f>IFERROR(__xludf.DUMMYFUNCTION("""COMPUTED_VALUE"""),"ちょっぴり正義感の強い普通のJK・愛莉(あいり)。彼女は部活上がりのトイレから異世界へと召喚されてしまう!?　魔王を倒す勇者の力になるという『聖女』に選ばれた、らしい…。召喚士の男は愛莉を勇者と会わせる前に身体検査と称して、突然キスされたり、際どい所を触ってくる！　こんな世界どうにでもなれ――！っと思っていたら、召喚士から「キミにしか世界を救うことができないんだ！」と言われ…しぶしぶ聖女としてやっていこうと思っていたのに…試練やら何やらで旅への出発がモタついて、召喚されたレンガの搭からなかなか外へ出ること"&amp;"が叶わない!?")</f>
        <v>ちょっぴり正義感の強い普通のJK・愛莉(あいり)。彼女は部活上がりのトイレから異世界へと召喚されてしまう!?　魔王を倒す勇者の力になるという『聖女』に選ばれた、らしい…。召喚士の男は愛莉を勇者と会わせる前に身体検査と称して、突然キスされたり、際どい所を触ってくる！　こんな世界どうにでもなれ――！っと思っていたら、召喚士から「キミにしか世界を救うことができないんだ！」と言われ…しぶしぶ聖女としてやっていこうと思っていたのに…試練やら何やらで旅への出発がモタついて、召喚されたレンガの搭からなかなか外へ出ることが叶わない!?</v>
      </c>
      <c r="W228" s="8"/>
      <c r="X228" s="8" t="str">
        <f>IFERROR(__xludf.DUMMYFUNCTION("""COMPUTED_VALUE"""),"有")</f>
        <v>有</v>
      </c>
      <c r="Y228" s="8" t="str">
        <f>IFERROR(__xludf.DUMMYFUNCTION("""COMPUTED_VALUE"""),"P10まで")</f>
        <v>P10まで</v>
      </c>
      <c r="Z228" s="7"/>
      <c r="AA228" s="7"/>
      <c r="AB228" s="7"/>
    </row>
    <row r="229" ht="15.75" customHeight="1">
      <c r="A229" s="8">
        <f>IFERROR(__xludf.DUMMYFUNCTION("""COMPUTED_VALUE"""),1752.0)</f>
        <v>1752</v>
      </c>
      <c r="B229" s="9" t="str">
        <f>IFERROR(__xludf.DUMMYFUNCTION("""COMPUTED_VALUE"""),"確定")</f>
        <v>確定</v>
      </c>
      <c r="C229" s="10">
        <f>IFERROR(__xludf.DUMMYFUNCTION("""COMPUTED_VALUE"""),44981.0)</f>
        <v>44981</v>
      </c>
      <c r="D229" s="10">
        <f>IFERROR(__xludf.DUMMYFUNCTION("""COMPUTED_VALUE"""),44999.0)</f>
        <v>44999</v>
      </c>
      <c r="E229" s="8">
        <f>IFERROR(__xludf.DUMMYFUNCTION("""COMPUTED_VALUE"""),266503.0)</f>
        <v>266503</v>
      </c>
      <c r="F229" s="9" t="str">
        <f>IFERROR(__xludf.DUMMYFUNCTION("""COMPUTED_VALUE"""),"大好きだからセフレなの")</f>
        <v>大好きだからセフレなの</v>
      </c>
      <c r="G229" s="11" t="str">
        <f>IFERROR(__xludf.DUMMYFUNCTION("""COMPUTED_VALUE"""),"1～2")</f>
        <v>1～2</v>
      </c>
      <c r="H229" s="8" t="str">
        <f>IFERROR(__xludf.DUMMYFUNCTION("""COMPUTED_VALUE"""),"漫画：まめこ 原作：Kogure")</f>
        <v>漫画：まめこ 原作：Kogure</v>
      </c>
      <c r="I229" s="8" t="str">
        <f>IFERROR(__xludf.DUMMYFUNCTION("""COMPUTED_VALUE"""),"TL")</f>
        <v>TL</v>
      </c>
      <c r="J229" s="8"/>
      <c r="K229" s="8"/>
      <c r="L229" s="8" t="str">
        <f>IFERROR(__xludf.DUMMYFUNCTION("""COMPUTED_VALUE"""),"小学館")</f>
        <v>小学館</v>
      </c>
      <c r="M229" s="12">
        <f>IFERROR(__xludf.DUMMYFUNCTION("""COMPUTED_VALUE"""),45026.0)</f>
        <v>45026</v>
      </c>
      <c r="N229" s="19" t="str">
        <f>IFERROR(__xludf.DUMMYFUNCTION("""COMPUTED_VALUE"""),"2023/5/9
続話は1ヵ月")</f>
        <v>2023/5/9
続話は1ヵ月</v>
      </c>
      <c r="O229" s="11"/>
      <c r="P229" s="9" t="str">
        <f>IFERROR(__xludf.DUMMYFUNCTION("""COMPUTED_VALUE"""),"可")</f>
        <v>可</v>
      </c>
      <c r="Q229" s="8" t="str">
        <f>IFERROR(__xludf.DUMMYFUNCTION("""COMPUTED_VALUE"""),"広告コミットOK（2/28）&lt;BR&gt;")</f>
        <v>広告コミットOK（2/28）&lt;BR&gt;</v>
      </c>
      <c r="R229" s="9"/>
      <c r="S229" s="8" t="str">
        <f>IFERROR(__xludf.DUMMYFUNCTION("""COMPUTED_VALUE"""),"20230314_小学館_大好きだからセフレなの")</f>
        <v>20230314_小学館_大好きだからセフレなの</v>
      </c>
      <c r="T229" s="9"/>
      <c r="U229" s="9" t="str">
        <f>IFERROR(__xludf.DUMMYFUNCTION("""COMPUTED_VALUE"""),"©まめこ・Kogure / 小学館")</f>
        <v>©まめこ・Kogure / 小学館</v>
      </c>
      <c r="V229" s="8" t="str">
        <f>IFERROR(__xludf.DUMMYFUNCTION("""COMPUTED_VALUE"""),"OG訪問で出会った大学生・杉浦慶斗にひと目ぼれした刈谷日南。飲み会の帰り、念願のワンナイトラブにこぎつけるも、「割り切った大人の女性がタイプ」という杉浦の言葉にとらわれ、ものわかりのいい女を演じてしまう。本当はきちんとお付き合いしたいのに、重たい女になりたくないあまり、自ら「セフレ」という言葉を使ってしまいドツボに…。果たして、セフレから本カノへの昇格はあり得るのだろうか…！？
")</f>
        <v>OG訪問で出会った大学生・杉浦慶斗にひと目ぼれした刈谷日南。飲み会の帰り、念願のワンナイトラブにこぎつけるも、「割り切った大人の女性がタイプ」という杉浦の言葉にとらわれ、ものわかりのいい女を演じてしまう。本当はきちんとお付き合いしたいのに、重たい女になりたくないあまり、自ら「セフレ」という言葉を使ってしまいドツボに…。果たして、セフレから本カノへの昇格はあり得るのだろうか…！？
</v>
      </c>
      <c r="W229" s="8"/>
      <c r="X229" s="8" t="str">
        <f>IFERROR(__xludf.DUMMYFUNCTION("""COMPUTED_VALUE"""),"有")</f>
        <v>有</v>
      </c>
      <c r="Y229" s="8" t="str">
        <f>IFERROR(__xludf.DUMMYFUNCTION("""COMPUTED_VALUE"""),"P16まで")</f>
        <v>P16まで</v>
      </c>
      <c r="Z229" s="7"/>
      <c r="AA229" s="7"/>
      <c r="AB229" s="7"/>
    </row>
    <row r="230" ht="15.75" customHeight="1">
      <c r="A230" s="8">
        <f>IFERROR(__xludf.DUMMYFUNCTION("""COMPUTED_VALUE"""),1761.0)</f>
        <v>1761</v>
      </c>
      <c r="B230" s="9" t="str">
        <f>IFERROR(__xludf.DUMMYFUNCTION("""COMPUTED_VALUE"""),"確定")</f>
        <v>確定</v>
      </c>
      <c r="C230" s="10">
        <f>IFERROR(__xludf.DUMMYFUNCTION("""COMPUTED_VALUE"""),44985.0)</f>
        <v>44985</v>
      </c>
      <c r="D230" s="10">
        <f>IFERROR(__xludf.DUMMYFUNCTION("""COMPUTED_VALUE"""),44992.0)</f>
        <v>44992</v>
      </c>
      <c r="E230" s="8">
        <f>IFERROR(__xludf.DUMMYFUNCTION("""COMPUTED_VALUE"""),265956.0)</f>
        <v>265956</v>
      </c>
      <c r="F230" s="9" t="str">
        <f>IFERROR(__xludf.DUMMYFUNCTION("""COMPUTED_VALUE"""),"星屑の王子様【単話】")</f>
        <v>星屑の王子様【単話】</v>
      </c>
      <c r="G230" s="11" t="str">
        <f>IFERROR(__xludf.DUMMYFUNCTION("""COMPUTED_VALUE"""),"1～8")</f>
        <v>1～8</v>
      </c>
      <c r="H230" s="8" t="str">
        <f>IFERROR(__xludf.DUMMYFUNCTION("""COMPUTED_VALUE"""),"茅原 クレセ")</f>
        <v>茅原 クレセ</v>
      </c>
      <c r="I230" s="8" t="str">
        <f>IFERROR(__xludf.DUMMYFUNCTION("""COMPUTED_VALUE"""),"少女")</f>
        <v>少女</v>
      </c>
      <c r="J230" s="8"/>
      <c r="K230" s="8"/>
      <c r="L230" s="8" t="str">
        <f>IFERROR(__xludf.DUMMYFUNCTION("""COMPUTED_VALUE"""),"小学館")</f>
        <v>小学館</v>
      </c>
      <c r="M230" s="12">
        <f>IFERROR(__xludf.DUMMYFUNCTION("""COMPUTED_VALUE"""),45028.0)</f>
        <v>45028</v>
      </c>
      <c r="N230" s="12">
        <f>IFERROR(__xludf.DUMMYFUNCTION("""COMPUTED_VALUE"""),45057.0)</f>
        <v>45057</v>
      </c>
      <c r="O230" s="11"/>
      <c r="P230" s="9" t="str">
        <f>IFERROR(__xludf.DUMMYFUNCTION("""COMPUTED_VALUE"""),"否")</f>
        <v>否</v>
      </c>
      <c r="Q230" s="8" t="str">
        <f>IFERROR(__xludf.DUMMYFUNCTION("""COMPUTED_VALUE"""),"広告コミットOK（2/28）&lt;BR&gt;")</f>
        <v>広告コミットOK（2/28）&lt;BR&gt;</v>
      </c>
      <c r="R230" s="9"/>
      <c r="S230" s="8" t="str">
        <f>IFERROR(__xludf.DUMMYFUNCTION("""COMPUTED_VALUE"""),"20230307_小学館_星屑の王子様【単話】")</f>
        <v>20230307_小学館_星屑の王子様【単話】</v>
      </c>
      <c r="T230" s="9"/>
      <c r="U230" s="9" t="str">
        <f>IFERROR(__xludf.DUMMYFUNCTION("""COMPUTED_VALUE"""),"©茅原クレセ / 小学館")</f>
        <v>©茅原クレセ / 小学館</v>
      </c>
      <c r="V230" s="8" t="str">
        <f>IFERROR(__xludf.DUMMYFUNCTION("""COMPUTED_VALUE"""),"不夜城・新宿歌舞伎町。
欲望渦巻くこの街にきらめく、愛と狂騒を金に換えるホストと呼ばれる男たちーーー。
空前のホストブームのさなか、ナンバーワンたちの日常は、常識も倫理も超越した事件やトラブルで溢れていて…!?
シャンパンの泡のように刹那的で煌びやかで、時に残酷で狂気に満ちた男たちの生き様を描く、超新宿系サディスティックコメディ・開幕！
")</f>
        <v>不夜城・新宿歌舞伎町。
欲望渦巻くこの街にきらめく、愛と狂騒を金に換えるホストと呼ばれる男たちーーー。
空前のホストブームのさなか、ナンバーワンたちの日常は、常識も倫理も超越した事件やトラブルで溢れていて…!?
シャンパンの泡のように刹那的で煌びやかで、時に残酷で狂気に満ちた男たちの生き様を描く、超新宿系サディスティックコメディ・開幕！
</v>
      </c>
      <c r="W230" s="8"/>
      <c r="X230" s="8" t="str">
        <f>IFERROR(__xludf.DUMMYFUNCTION("""COMPUTED_VALUE"""),"有")</f>
        <v>有</v>
      </c>
      <c r="Y230" s="8" t="str">
        <f>IFERROR(__xludf.DUMMYFUNCTION("""COMPUTED_VALUE"""),"4/25まで1巻無料")</f>
        <v>4/25まで1巻無料</v>
      </c>
      <c r="Z230" s="7"/>
      <c r="AA230" s="7"/>
      <c r="AB230" s="7"/>
    </row>
    <row r="231" ht="15.75" customHeight="1">
      <c r="A231" s="8">
        <f>IFERROR(__xludf.DUMMYFUNCTION("""COMPUTED_VALUE"""),1777.0)</f>
        <v>1777</v>
      </c>
      <c r="B231" s="9" t="str">
        <f>IFERROR(__xludf.DUMMYFUNCTION("""COMPUTED_VALUE"""),"確定")</f>
        <v>確定</v>
      </c>
      <c r="C231" s="10">
        <f>IFERROR(__xludf.DUMMYFUNCTION("""COMPUTED_VALUE"""),44992.0)</f>
        <v>44992</v>
      </c>
      <c r="D231" s="10">
        <f>IFERROR(__xludf.DUMMYFUNCTION("""COMPUTED_VALUE"""),44992.0)</f>
        <v>44992</v>
      </c>
      <c r="E231" s="8">
        <f>IFERROR(__xludf.DUMMYFUNCTION("""COMPUTED_VALUE"""),265840.0)</f>
        <v>265840</v>
      </c>
      <c r="F231" s="9" t="str">
        <f>IFERROR(__xludf.DUMMYFUNCTION("""COMPUTED_VALUE"""),"深夜残業～肉食後輩のイキ尽くし言葉攻めSEX")</f>
        <v>深夜残業～肉食後輩のイキ尽くし言葉攻めSEX</v>
      </c>
      <c r="G231" s="11" t="str">
        <f>IFERROR(__xludf.DUMMYFUNCTION("""COMPUTED_VALUE"""),"1～2")</f>
        <v>1～2</v>
      </c>
      <c r="H231" s="8" t="str">
        <f>IFERROR(__xludf.DUMMYFUNCTION("""COMPUTED_VALUE"""),"古谷ラユ")</f>
        <v>古谷ラユ</v>
      </c>
      <c r="I231" s="8" t="str">
        <f>IFERROR(__xludf.DUMMYFUNCTION("""COMPUTED_VALUE"""),"TL")</f>
        <v>TL</v>
      </c>
      <c r="J231" s="8"/>
      <c r="K231" s="8"/>
      <c r="L231" s="8" t="str">
        <f>IFERROR(__xludf.DUMMYFUNCTION("""COMPUTED_VALUE"""),"ファンギルド")</f>
        <v>ファンギルド</v>
      </c>
      <c r="M231" s="12">
        <f>IFERROR(__xludf.DUMMYFUNCTION("""COMPUTED_VALUE"""),45029.0)</f>
        <v>45029</v>
      </c>
      <c r="N231" s="12">
        <f>IFERROR(__xludf.DUMMYFUNCTION("""COMPUTED_VALUE"""),45042.66666666667)</f>
        <v>45042.66667</v>
      </c>
      <c r="O231" s="11"/>
      <c r="P231" s="9" t="str">
        <f>IFERROR(__xludf.DUMMYFUNCTION("""COMPUTED_VALUE"""),"可")</f>
        <v>可</v>
      </c>
      <c r="Q231" s="8"/>
      <c r="R231" s="9"/>
      <c r="S231" s="8" t="str">
        <f>IFERROR(__xludf.DUMMYFUNCTION("""COMPUTED_VALUE"""),"検討用_20230307_ファンギルド_TL_深夜残業～肉食後輩のイキ尽くし言葉攻めSEX")</f>
        <v>検討用_20230307_ファンギルド_TL_深夜残業～肉食後輩のイキ尽くし言葉攻めSEX</v>
      </c>
      <c r="T231" s="9"/>
      <c r="U231" s="9" t="str">
        <f>IFERROR(__xludf.DUMMYFUNCTION("""COMPUTED_VALUE"""),"©Voltage・古谷ラユ/MMR")</f>
        <v>©Voltage・古谷ラユ/MMR</v>
      </c>
      <c r="V231" s="8" t="str">
        <f>IFERROR(__xludf.DUMMYFUNCTION("""COMPUTED_VALUE"""),"「今の声、何？感じたの？俺に触れられて──…」 経営コンサルティング会社で働く倉木陽奈(くらき・ひな)は、後輩の来栖俊輔(くるす・しゅんすけ)からアプローチされる毎日。人懐っこく軽い性格で「先輩、大好きです！」と猛アタックしてくる彼に対し、陽奈は冗談だと本気に取らず受け流していた。だけどある日の残業中、「俺の気持ち知ってるくせに、なんで隙を見せるんです？」と痺れを切らした来栖がキスをしかけてきて…!? 深夜のオフィスにクチュクチュと鳴り響く水音…いつもは可愛い後輩の“オスの顔”にドキドキが止まらない――「"&amp;"先輩、かわいい…っ。すげー好きっ…」激しく愛情たっぷりに陽奈のオクまで貪る来栖。彼のまっすぐな求愛に、その指が入ってくることを許してしまい…。まさか会社で、彼と最後まで……!?　極上の耳キュン・シチュエーションドラマCDレーベル＜Queen Lily＞の大人気シリーズ「深夜残業」。待望のコミカライズ第１弾！")</f>
        <v>「今の声、何？感じたの？俺に触れられて──…」 経営コンサルティング会社で働く倉木陽奈(くらき・ひな)は、後輩の来栖俊輔(くるす・しゅんすけ)からアプローチされる毎日。人懐っこく軽い性格で「先輩、大好きです！」と猛アタックしてくる彼に対し、陽奈は冗談だと本気に取らず受け流していた。だけどある日の残業中、「俺の気持ち知ってるくせに、なんで隙を見せるんです？」と痺れを切らした来栖がキスをしかけてきて…!? 深夜のオフィスにクチュクチュと鳴り響く水音…いつもは可愛い後輩の“オスの顔”にドキドキが止まらない――「先輩、かわいい…っ。すげー好きっ…」激しく愛情たっぷりに陽奈のオクまで貪る来栖。彼のまっすぐな求愛に、その指が入ってくることを許してしまい…。まさか会社で、彼と最後まで……!?　極上の耳キュン・シチュエーションドラマCDレーベル＜Queen Lily＞の大人気シリーズ「深夜残業」。待望のコミカライズ第１弾！</v>
      </c>
      <c r="W231" s="8"/>
      <c r="X231" s="8" t="str">
        <f>IFERROR(__xludf.DUMMYFUNCTION("""COMPUTED_VALUE"""),"有")</f>
        <v>有</v>
      </c>
      <c r="Y231" s="8" t="str">
        <f>IFERROR(__xludf.DUMMYFUNCTION("""COMPUTED_VALUE"""),"P7まで")</f>
        <v>P7まで</v>
      </c>
      <c r="Z231" s="7"/>
      <c r="AA231" s="7"/>
      <c r="AB231" s="7"/>
    </row>
    <row r="232" ht="15.75" customHeight="1">
      <c r="A232" s="8">
        <f>IFERROR(__xludf.DUMMYFUNCTION("""COMPUTED_VALUE"""),1773.0)</f>
        <v>1773</v>
      </c>
      <c r="B232" s="9" t="str">
        <f>IFERROR(__xludf.DUMMYFUNCTION("""COMPUTED_VALUE"""),"確定")</f>
        <v>確定</v>
      </c>
      <c r="C232" s="10">
        <f>IFERROR(__xludf.DUMMYFUNCTION("""COMPUTED_VALUE"""),44991.0)</f>
        <v>44991</v>
      </c>
      <c r="D232" s="10">
        <f>IFERROR(__xludf.DUMMYFUNCTION("""COMPUTED_VALUE"""),45007.0)</f>
        <v>45007</v>
      </c>
      <c r="E232" s="8">
        <f>IFERROR(__xludf.DUMMYFUNCTION("""COMPUTED_VALUE"""),266122.0)</f>
        <v>266122</v>
      </c>
      <c r="F232" s="9" t="str">
        <f>IFERROR(__xludf.DUMMYFUNCTION("""COMPUTED_VALUE"""),"それでも君と恋がしたい！【分冊版】")</f>
        <v>それでも君と恋がしたい！【分冊版】</v>
      </c>
      <c r="G232" s="11">
        <f>IFERROR(__xludf.DUMMYFUNCTION("""COMPUTED_VALUE"""),1.0)</f>
        <v>1</v>
      </c>
      <c r="H232" s="8" t="str">
        <f>IFERROR(__xludf.DUMMYFUNCTION("""COMPUTED_VALUE"""),"黒田くろた")</f>
        <v>黒田くろた</v>
      </c>
      <c r="I232" s="8" t="str">
        <f>IFERROR(__xludf.DUMMYFUNCTION("""COMPUTED_VALUE"""),"BL")</f>
        <v>BL</v>
      </c>
      <c r="J232" s="8"/>
      <c r="K232" s="8"/>
      <c r="L232" s="8" t="str">
        <f>IFERROR(__xludf.DUMMYFUNCTION("""COMPUTED_VALUE"""),"笠倉出版社")</f>
        <v>笠倉出版社</v>
      </c>
      <c r="M232" s="12">
        <f>IFERROR(__xludf.DUMMYFUNCTION("""COMPUTED_VALUE"""),45030.0)</f>
        <v>45030</v>
      </c>
      <c r="N232" s="12">
        <f>IFERROR(__xludf.DUMMYFUNCTION("""COMPUTED_VALUE"""),45057.0)</f>
        <v>45057</v>
      </c>
      <c r="O232" s="11"/>
      <c r="P232" s="9" t="str">
        <f>IFERROR(__xludf.DUMMYFUNCTION("""COMPUTED_VALUE"""),"可")</f>
        <v>可</v>
      </c>
      <c r="Q232" s="8" t="str">
        <f>IFERROR(__xludf.DUMMYFUNCTION("""COMPUTED_VALUE"""),"コミットOK（3/17）&lt;BR&gt;&lt;BR&gt;")</f>
        <v>コミットOK（3/17）&lt;BR&gt;&lt;BR&gt;</v>
      </c>
      <c r="R232" s="9"/>
      <c r="S232" s="8" t="str">
        <f>IFERROR(__xludf.DUMMYFUNCTION("""COMPUTED_VALUE"""),"20230322_笠倉出版社_それでも君と恋がしたい！【分冊版】")</f>
        <v>20230322_笠倉出版社_それでも君と恋がしたい！【分冊版】</v>
      </c>
      <c r="T232" s="9"/>
      <c r="U232" s="9" t="str">
        <f>IFERROR(__xludf.DUMMYFUNCTION("""COMPUTED_VALUE"""),"©黒田くろた/笠倉出版社")</f>
        <v>©黒田くろた/笠倉出版社</v>
      </c>
      <c r="V232" s="8" t="str">
        <f>IFERROR(__xludf.DUMMYFUNCTION("""COMPUTED_VALUE"""),"会社に入社して４年、仕事にも慣れてきた。そんな本田の毎週の楽しみは…『毎週水曜、仕事先のコンビニ店員・葉月くんに会うこと』癒し系で話すところころ変わる表情も、ふと見せてくれる笑顔もとにかく全てがツボ。そんなある日、部屋の鍵を忘れ葉月くんの部屋に泊めてもらうことに。もっとお近づきになれるよう話していたはずが、なぜか告白する前にエッチに雪崩れ込んでしまい…！？「順番逆になっちゃったけど、俺と付き合ってほしいです」「本田さん……それは無理。でもエッチは気持ちよかったからまたしたいな」本気の好意はエッチ後の気遣い"&amp;"だと思われ、身体だけの関係に…。果たして本田の気持ちは葉月に届くのか…？※本作品はWEB雑誌「equal」に収録されています。重複購入にご注意ください。")</f>
        <v>会社に入社して４年、仕事にも慣れてきた。そんな本田の毎週の楽しみは…『毎週水曜、仕事先のコンビニ店員・葉月くんに会うこと』癒し系で話すところころ変わる表情も、ふと見せてくれる笑顔もとにかく全てがツボ。そんなある日、部屋の鍵を忘れ葉月くんの部屋に泊めてもらうことに。もっとお近づきになれるよう話していたはずが、なぜか告白する前にエッチに雪崩れ込んでしまい…！？「順番逆になっちゃったけど、俺と付き合ってほしいです」「本田さん……それは無理。でもエッチは気持ちよかったからまたしたいな」本気の好意はエッチ後の気遣いだと思われ、身体だけの関係に…。果たして本田の気持ちは葉月に届くのか…？※本作品はWEB雑誌「equal」に収録されています。重複購入にご注意ください。</v>
      </c>
      <c r="W232" s="8"/>
      <c r="X232" s="8" t="str">
        <f>IFERROR(__xludf.DUMMYFUNCTION("""COMPUTED_VALUE"""),"有")</f>
        <v>有</v>
      </c>
      <c r="Y232" s="8" t="str">
        <f>IFERROR(__xludf.DUMMYFUNCTION("""COMPUTED_VALUE"""),"P6まで")</f>
        <v>P6まで</v>
      </c>
      <c r="Z232" s="7"/>
      <c r="AA232" s="7"/>
      <c r="AB232" s="7"/>
    </row>
    <row r="233" ht="15.75" customHeight="1">
      <c r="A233" s="8">
        <f>IFERROR(__xludf.DUMMYFUNCTION("""COMPUTED_VALUE"""),1774.0)</f>
        <v>1774</v>
      </c>
      <c r="B233" s="9" t="str">
        <f>IFERROR(__xludf.DUMMYFUNCTION("""COMPUTED_VALUE"""),"確定")</f>
        <v>確定</v>
      </c>
      <c r="C233" s="10">
        <f>IFERROR(__xludf.DUMMYFUNCTION("""COMPUTED_VALUE"""),44991.0)</f>
        <v>44991</v>
      </c>
      <c r="D233" s="10">
        <f>IFERROR(__xludf.DUMMYFUNCTION("""COMPUTED_VALUE"""),45007.0)</f>
        <v>45007</v>
      </c>
      <c r="E233" s="8">
        <f>IFERROR(__xludf.DUMMYFUNCTION("""COMPUTED_VALUE"""),266123.0)</f>
        <v>266123</v>
      </c>
      <c r="F233" s="9" t="str">
        <f>IFERROR(__xludf.DUMMYFUNCTION("""COMPUTED_VALUE"""),"うそぶく猫は恋を知る【分冊版】")</f>
        <v>うそぶく猫は恋を知る【分冊版】</v>
      </c>
      <c r="G233" s="11">
        <f>IFERROR(__xludf.DUMMYFUNCTION("""COMPUTED_VALUE"""),1.0)</f>
        <v>1</v>
      </c>
      <c r="H233" s="8" t="str">
        <f>IFERROR(__xludf.DUMMYFUNCTION("""COMPUTED_VALUE"""),"楠いろ")</f>
        <v>楠いろ</v>
      </c>
      <c r="I233" s="8" t="str">
        <f>IFERROR(__xludf.DUMMYFUNCTION("""COMPUTED_VALUE"""),"BL")</f>
        <v>BL</v>
      </c>
      <c r="J233" s="8"/>
      <c r="K233" s="8"/>
      <c r="L233" s="8" t="str">
        <f>IFERROR(__xludf.DUMMYFUNCTION("""COMPUTED_VALUE"""),"笠倉出版社")</f>
        <v>笠倉出版社</v>
      </c>
      <c r="M233" s="12">
        <f>IFERROR(__xludf.DUMMYFUNCTION("""COMPUTED_VALUE"""),45030.0)</f>
        <v>45030</v>
      </c>
      <c r="N233" s="12">
        <f>IFERROR(__xludf.DUMMYFUNCTION("""COMPUTED_VALUE"""),45057.0)</f>
        <v>45057</v>
      </c>
      <c r="O233" s="11"/>
      <c r="P233" s="9" t="str">
        <f>IFERROR(__xludf.DUMMYFUNCTION("""COMPUTED_VALUE"""),"可")</f>
        <v>可</v>
      </c>
      <c r="Q233" s="8"/>
      <c r="R233" s="9"/>
      <c r="S233" s="8" t="str">
        <f>IFERROR(__xludf.DUMMYFUNCTION("""COMPUTED_VALUE"""),"20230322_笠倉出版社_うそぶく猫は恋を知る【分冊版】")</f>
        <v>20230322_笠倉出版社_うそぶく猫は恋を知る【分冊版】</v>
      </c>
      <c r="T233" s="9"/>
      <c r="U233" s="9" t="str">
        <f>IFERROR(__xludf.DUMMYFUNCTION("""COMPUTED_VALUE"""),"©楠いろ/笠倉出版社")</f>
        <v>©楠いろ/笠倉出版社</v>
      </c>
      <c r="V233" s="8" t="str">
        <f>IFERROR(__xludf.DUMMYFUNCTION("""COMPUTED_VALUE"""),"「俺、伊純さんのことタイプだから、男がいけんならラッキー」二十六歳の誕生日。特に予定もなく、仕事を終えたら家に帰って寝るだけ…。そんないつも通りを迎えると思っていた。親戚から譲ってもらったカフェの店長・伊純。ある日、雨でずぶ濡れになっていたお客・優馬と流れで一夜を共にすることに。身体を重ねた翌朝、挨拶もなく部屋からいなくなっていた。一度きりの関係だったのだと思っていた矢先、閉店まで待っていたと優馬が現れて…！？制服を着ているのを見て優馬が高校生だと気付き、こんな年下の子と寝てしまったのかと大混乱な伊純。整"&amp;"理しきれない中、優馬はお構いなしに距離を詰めてきて――！？※本作品はWEB雑誌「equal」に収録されています。重複購入にご注意ください。")</f>
        <v>「俺、伊純さんのことタイプだから、男がいけんならラッキー」二十六歳の誕生日。特に予定もなく、仕事を終えたら家に帰って寝るだけ…。そんないつも通りを迎えると思っていた。親戚から譲ってもらったカフェの店長・伊純。ある日、雨でずぶ濡れになっていたお客・優馬と流れで一夜を共にすることに。身体を重ねた翌朝、挨拶もなく部屋からいなくなっていた。一度きりの関係だったのだと思っていた矢先、閉店まで待っていたと優馬が現れて…！？制服を着ているのを見て優馬が高校生だと気付き、こんな年下の子と寝てしまったのかと大混乱な伊純。整理しきれない中、優馬はお構いなしに距離を詰めてきて――！？※本作品はWEB雑誌「equal」に収録されています。重複購入にご注意ください。</v>
      </c>
      <c r="W233" s="8"/>
      <c r="X233" s="8" t="str">
        <f>IFERROR(__xludf.DUMMYFUNCTION("""COMPUTED_VALUE"""),"有")</f>
        <v>有</v>
      </c>
      <c r="Y233" s="8" t="str">
        <f>IFERROR(__xludf.DUMMYFUNCTION("""COMPUTED_VALUE"""),"P8まで")</f>
        <v>P8まで</v>
      </c>
      <c r="Z233" s="7"/>
      <c r="AA233" s="7"/>
      <c r="AB233" s="7"/>
    </row>
    <row r="234" ht="15.75" customHeight="1">
      <c r="A234" s="8">
        <f>IFERROR(__xludf.DUMMYFUNCTION("""COMPUTED_VALUE"""),1775.0)</f>
        <v>1775</v>
      </c>
      <c r="B234" s="9" t="str">
        <f>IFERROR(__xludf.DUMMYFUNCTION("""COMPUTED_VALUE"""),"確定")</f>
        <v>確定</v>
      </c>
      <c r="C234" s="10">
        <f>IFERROR(__xludf.DUMMYFUNCTION("""COMPUTED_VALUE"""),44991.0)</f>
        <v>44991</v>
      </c>
      <c r="D234" s="10">
        <f>IFERROR(__xludf.DUMMYFUNCTION("""COMPUTED_VALUE"""),45007.0)</f>
        <v>45007</v>
      </c>
      <c r="E234" s="8">
        <f>IFERROR(__xludf.DUMMYFUNCTION("""COMPUTED_VALUE"""),266124.0)</f>
        <v>266124</v>
      </c>
      <c r="F234" s="9" t="str">
        <f>IFERROR(__xludf.DUMMYFUNCTION("""COMPUTED_VALUE"""),"うそつきと初恋【分冊版】")</f>
        <v>うそつきと初恋【分冊版】</v>
      </c>
      <c r="G234" s="11">
        <f>IFERROR(__xludf.DUMMYFUNCTION("""COMPUTED_VALUE"""),1.0)</f>
        <v>1</v>
      </c>
      <c r="H234" s="8" t="str">
        <f>IFERROR(__xludf.DUMMYFUNCTION("""COMPUTED_VALUE"""),"比谷")</f>
        <v>比谷</v>
      </c>
      <c r="I234" s="8" t="str">
        <f>IFERROR(__xludf.DUMMYFUNCTION("""COMPUTED_VALUE"""),"BL")</f>
        <v>BL</v>
      </c>
      <c r="J234" s="8"/>
      <c r="K234" s="8"/>
      <c r="L234" s="8" t="str">
        <f>IFERROR(__xludf.DUMMYFUNCTION("""COMPUTED_VALUE"""),"笠倉出版社")</f>
        <v>笠倉出版社</v>
      </c>
      <c r="M234" s="12">
        <f>IFERROR(__xludf.DUMMYFUNCTION("""COMPUTED_VALUE"""),45030.0)</f>
        <v>45030</v>
      </c>
      <c r="N234" s="12">
        <f>IFERROR(__xludf.DUMMYFUNCTION("""COMPUTED_VALUE"""),45057.0)</f>
        <v>45057</v>
      </c>
      <c r="O234" s="11"/>
      <c r="P234" s="9" t="str">
        <f>IFERROR(__xludf.DUMMYFUNCTION("""COMPUTED_VALUE"""),"可")</f>
        <v>可</v>
      </c>
      <c r="Q234" s="8"/>
      <c r="R234" s="9"/>
      <c r="S234" s="8" t="str">
        <f>IFERROR(__xludf.DUMMYFUNCTION("""COMPUTED_VALUE"""),"20230322_笠倉出版社_うそつきと初恋【分冊版】")</f>
        <v>20230322_笠倉出版社_うそつきと初恋【分冊版】</v>
      </c>
      <c r="T234" s="9"/>
      <c r="U234" s="9" t="str">
        <f>IFERROR(__xludf.DUMMYFUNCTION("""COMPUTED_VALUE"""),"©比谷/笠倉出版社")</f>
        <v>©比谷/笠倉出版社</v>
      </c>
      <c r="V234" s="8" t="str">
        <f>IFERROR(__xludf.DUMMYFUNCTION("""COMPUTED_VALUE"""),"出海は幼い頃に自分の恋愛対象が男だと気付いてしまう。そして社会人になった今もそれを隠して普通を装っている。ある日、会社の飲み会に疲れ帰宅しようとすると「幸くんだよね…！？ずっと会いたかった！」と青年に抱きしめられる。相手は八年前に疎遠になったはずの友人・紫苑だった。そして恋愛感情を持ってしまった罪悪感から距離を置いた相手でもあった。再開した紫苑に急に会えなくなったことを咎められ、つい好きだったことを告白してしまう。すると、紫苑からも同じく好きだったと告げられ……そのままお付き合いすることに！？毎日がラブラ"&amp;"ブで幸せなのに、ときどき紫苑の様子がおかしくて…？※本作品はWEB雑誌「equal」に収録されています。重複購入にご注意ください。")</f>
        <v>出海は幼い頃に自分の恋愛対象が男だと気付いてしまう。そして社会人になった今もそれを隠して普通を装っている。ある日、会社の飲み会に疲れ帰宅しようとすると「幸くんだよね…！？ずっと会いたかった！」と青年に抱きしめられる。相手は八年前に疎遠になったはずの友人・紫苑だった。そして恋愛感情を持ってしまった罪悪感から距離を置いた相手でもあった。再開した紫苑に急に会えなくなったことを咎められ、つい好きだったことを告白してしまう。すると、紫苑からも同じく好きだったと告げられ……そのままお付き合いすることに！？毎日がラブラブで幸せなのに、ときどき紫苑の様子がおかしくて…？※本作品はWEB雑誌「equal」に収録されています。重複購入にご注意ください。</v>
      </c>
      <c r="W234" s="8"/>
      <c r="X234" s="8" t="str">
        <f>IFERROR(__xludf.DUMMYFUNCTION("""COMPUTED_VALUE"""),"有")</f>
        <v>有</v>
      </c>
      <c r="Y234" s="8" t="str">
        <f>IFERROR(__xludf.DUMMYFUNCTION("""COMPUTED_VALUE"""),"P6まで")</f>
        <v>P6まで</v>
      </c>
      <c r="Z234" s="7"/>
      <c r="AA234" s="7"/>
      <c r="AB234" s="7"/>
    </row>
    <row r="235" ht="132.0" customHeight="1">
      <c r="A235" s="8">
        <f>IFERROR(__xludf.DUMMYFUNCTION("""COMPUTED_VALUE"""),1778.0)</f>
        <v>1778</v>
      </c>
      <c r="B235" s="9" t="str">
        <f>IFERROR(__xludf.DUMMYFUNCTION("""COMPUTED_VALUE"""),"確定")</f>
        <v>確定</v>
      </c>
      <c r="C235" s="10">
        <f>IFERROR(__xludf.DUMMYFUNCTION("""COMPUTED_VALUE"""),44992.0)</f>
        <v>44992</v>
      </c>
      <c r="D235" s="10">
        <f>IFERROR(__xludf.DUMMYFUNCTION("""COMPUTED_VALUE"""),44992.0)</f>
        <v>44992</v>
      </c>
      <c r="E235" s="8">
        <f>IFERROR(__xludf.DUMMYFUNCTION("""COMPUTED_VALUE"""),265841.0)</f>
        <v>265841</v>
      </c>
      <c r="F235" s="9" t="str">
        <f>IFERROR(__xludf.DUMMYFUNCTION("""COMPUTED_VALUE"""),"私の彼が姉の夫になった理由")</f>
        <v>私の彼が姉の夫になった理由</v>
      </c>
      <c r="G235" s="11" t="str">
        <f>IFERROR(__xludf.DUMMYFUNCTION("""COMPUTED_VALUE"""),"1～4")</f>
        <v>1～4</v>
      </c>
      <c r="H235" s="8" t="str">
        <f>IFERROR(__xludf.DUMMYFUNCTION("""COMPUTED_VALUE"""),"美桜せりな")</f>
        <v>美桜せりな</v>
      </c>
      <c r="I235" s="8" t="str">
        <f>IFERROR(__xludf.DUMMYFUNCTION("""COMPUTED_VALUE"""),"女性")</f>
        <v>女性</v>
      </c>
      <c r="J235" s="8"/>
      <c r="K235" s="8"/>
      <c r="L235" s="8" t="str">
        <f>IFERROR(__xludf.DUMMYFUNCTION("""COMPUTED_VALUE"""),"ファンギルド")</f>
        <v>ファンギルド</v>
      </c>
      <c r="M235" s="12">
        <f>IFERROR(__xludf.DUMMYFUNCTION("""COMPUTED_VALUE"""),45031.0)</f>
        <v>45031</v>
      </c>
      <c r="N235" s="12">
        <f>IFERROR(__xludf.DUMMYFUNCTION("""COMPUTED_VALUE"""),45093.66666666667)</f>
        <v>45093.66667</v>
      </c>
      <c r="O235" s="11"/>
      <c r="P235" s="9" t="str">
        <f>IFERROR(__xludf.DUMMYFUNCTION("""COMPUTED_VALUE"""),"可")</f>
        <v>可</v>
      </c>
      <c r="Q235" s="8"/>
      <c r="R235" s="9"/>
      <c r="S235" s="8" t="str">
        <f>IFERROR(__xludf.DUMMYFUNCTION("""COMPUTED_VALUE"""),"検討用_20230307_ファンギルド_女性_私の彼が姉の旦那になった理由")</f>
        <v>検討用_20230307_ファンギルド_女性_私の彼が姉の旦那になった理由</v>
      </c>
      <c r="T235" s="9"/>
      <c r="U235" s="9" t="str">
        <f>IFERROR(__xludf.DUMMYFUNCTION("""COMPUTED_VALUE"""),"Ⓒ美桜せりな/ファンギルド")</f>
        <v>Ⓒ美桜せりな/ファンギルド</v>
      </c>
      <c r="V235" s="8" t="str">
        <f>IFERROR(__xludf.DUMMYFUNCTION("""COMPUTED_VALUE"""),"「恋も仕事も順調だった―――25歳の誕生日あの事件が起きるまでは」宮田愛子（みやた・あいこ）は幼い頃に両親を亡くすも、優しい姉の紗栄子（さえこ）と優秀で温厚な彼氏、吉村優馬（よしむら・ゆうま）に囲まれ楽しい毎日を送っていた。優馬から大切な話があると言われ、幸せの絶頂かと思われた誕生日当日に愛子はフードを被った何者かに刺されてしまう。その日から愛子は想像を絶する悲劇に巻き込まれていき…!?苦しすぎるけど、なぜかヤミツキになる愛憎サスペンス！あなたは耐えられますか？")</f>
        <v>「恋も仕事も順調だった―――25歳の誕生日あの事件が起きるまでは」宮田愛子（みやた・あいこ）は幼い頃に両親を亡くすも、優しい姉の紗栄子（さえこ）と優秀で温厚な彼氏、吉村優馬（よしむら・ゆうま）に囲まれ楽しい毎日を送っていた。優馬から大切な話があると言われ、幸せの絶頂かと思われた誕生日当日に愛子はフードを被った何者かに刺されてしまう。その日から愛子は想像を絶する悲劇に巻き込まれていき…!?苦しすぎるけど、なぜかヤミツキになる愛憎サスペンス！あなたは耐えられますか？</v>
      </c>
      <c r="W235" s="8"/>
      <c r="X235" s="8" t="str">
        <f>IFERROR(__xludf.DUMMYFUNCTION("""COMPUTED_VALUE"""),"有")</f>
        <v>有</v>
      </c>
      <c r="Y235" s="8" t="str">
        <f>IFERROR(__xludf.DUMMYFUNCTION("""COMPUTED_VALUE"""),"1巻目無料（5/7まで）")</f>
        <v>1巻目無料（5/7まで）</v>
      </c>
      <c r="Z235" s="7"/>
      <c r="AA235" s="7"/>
      <c r="AB235" s="7"/>
    </row>
    <row r="236" ht="129.0" customHeight="1">
      <c r="A236" s="8">
        <f>IFERROR(__xludf.DUMMYFUNCTION("""COMPUTED_VALUE"""),1802.0)</f>
        <v>1802</v>
      </c>
      <c r="B236" s="9" t="str">
        <f>IFERROR(__xludf.DUMMYFUNCTION("""COMPUTED_VALUE"""),"確定")</f>
        <v>確定</v>
      </c>
      <c r="C236" s="10">
        <f>IFERROR(__xludf.DUMMYFUNCTION("""COMPUTED_VALUE"""),44999.0)</f>
        <v>44999</v>
      </c>
      <c r="D236" s="10">
        <f>IFERROR(__xludf.DUMMYFUNCTION("""COMPUTED_VALUE"""),44999.0)</f>
        <v>44999</v>
      </c>
      <c r="E236" s="8">
        <f>IFERROR(__xludf.DUMMYFUNCTION("""COMPUTED_VALUE"""),252927.0)</f>
        <v>252927</v>
      </c>
      <c r="F236" s="9" t="str">
        <f>IFERROR(__xludf.DUMMYFUNCTION("""COMPUTED_VALUE"""),"眠りに落ちても恋に落ちるな")</f>
        <v>眠りに落ちても恋に落ちるな</v>
      </c>
      <c r="G236" s="11" t="str">
        <f>IFERROR(__xludf.DUMMYFUNCTION("""COMPUTED_VALUE"""),"1～3")</f>
        <v>1～3</v>
      </c>
      <c r="H236" s="8" t="str">
        <f>IFERROR(__xludf.DUMMYFUNCTION("""COMPUTED_VALUE"""),"ますだ悠")</f>
        <v>ますだ悠</v>
      </c>
      <c r="I236" s="14" t="str">
        <f>IFERROR(__xludf.DUMMYFUNCTION("""COMPUTED_VALUE"""),"少女")</f>
        <v>少女</v>
      </c>
      <c r="J236" s="8"/>
      <c r="K236" s="8"/>
      <c r="L236" s="8" t="str">
        <f>IFERROR(__xludf.DUMMYFUNCTION("""COMPUTED_VALUE"""),"ソルマーレ編集部")</f>
        <v>ソルマーレ編集部</v>
      </c>
      <c r="M236" s="12">
        <f>IFERROR(__xludf.DUMMYFUNCTION("""COMPUTED_VALUE"""),45031.0)</f>
        <v>45031</v>
      </c>
      <c r="N236" s="12">
        <f>IFERROR(__xludf.DUMMYFUNCTION("""COMPUTED_VALUE"""),45092.0)</f>
        <v>45092</v>
      </c>
      <c r="O236" s="11"/>
      <c r="P236" s="9" t="str">
        <f>IFERROR(__xludf.DUMMYFUNCTION("""COMPUTED_VALUE"""),"可")</f>
        <v>可</v>
      </c>
      <c r="Q236" s="8" t="str">
        <f>IFERROR(__xludf.DUMMYFUNCTION("""COMPUTED_VALUE"""),"※素材につきまして完成次第格納いたします（3/17予定）&lt;BR&gt;※正式タイトル下記の通りです（3/14）&lt;BR&gt;＝＝＝&lt;BR&gt;眠りに落ちても恋に落ちるな&lt;BR&gt;＝＝＝&lt;BR&gt;")</f>
        <v>※素材につきまして完成次第格納いたします（3/17予定）&lt;BR&gt;※正式タイトル下記の通りです（3/14）&lt;BR&gt;＝＝＝&lt;BR&gt;眠りに落ちても恋に落ちるな&lt;BR&gt;＝＝＝&lt;BR&gt;</v>
      </c>
      <c r="R236" s="9"/>
      <c r="S236" s="8" t="str">
        <f>IFERROR(__xludf.DUMMYFUNCTION("""COMPUTED_VALUE"""),"20230314_ソルマーレ編集部_眠りに落ちても恋に落ちるな")</f>
        <v>20230314_ソルマーレ編集部_眠りに落ちても恋に落ちるな</v>
      </c>
      <c r="T236" s="15"/>
      <c r="U236" s="9" t="str">
        <f>IFERROR(__xludf.DUMMYFUNCTION("""COMPUTED_VALUE"""),"Ⓒ ますだ悠/シーモアコミックス")</f>
        <v>Ⓒ ますだ悠/シーモアコミックス</v>
      </c>
      <c r="V236" s="8" t="str">
        <f>IFERROR(__xludf.DUMMYFUNCTION("""COMPUTED_VALUE"""),"不眠症に悩む大学生の鳥居（とりい）、眠れない日々だったが彼女には秘密兵器があった。お隣りに住む高校からの付き合いで同じ大学に通う熊野（くまの）。彼とは「添い寝するだけ」の関係でいわゆるソフレであり、体の関係は持たず、あくまで友達のままの距離感を保っていた。
神経質な性格の鳥居に対し、いつどこでも寝れるおおざっぱで呑気な性格の熊野との掛け合いが、彼女にとって癒しであり、熊野といるときだけが安心して眠れるのだった。
だが、熊野のテキトーさは女癖も同じであり、絶対に好きになってはいけない男として割り切っていたの"&amp;"だが、熊野が思わせぶりな態度を見せて――…？【恋するソワレ】")</f>
        <v>不眠症に悩む大学生の鳥居（とりい）、眠れない日々だったが彼女には秘密兵器があった。お隣りに住む高校からの付き合いで同じ大学に通う熊野（くまの）。彼とは「添い寝するだけ」の関係でいわゆるソフレであり、体の関係は持たず、あくまで友達のままの距離感を保っていた。
神経質な性格の鳥居に対し、いつどこでも寝れるおおざっぱで呑気な性格の熊野との掛け合いが、彼女にとって癒しであり、熊野といるときだけが安心して眠れるのだった。
だが、熊野のテキトーさは女癖も同じであり、絶対に好きになってはいけない男として割り切っていたのだが、熊野が思わせぶりな態度を見せて――…？【恋するソワレ】</v>
      </c>
      <c r="W236" s="8"/>
      <c r="X236" s="8" t="str">
        <f>IFERROR(__xludf.DUMMYFUNCTION("""COMPUTED_VALUE"""),"有")</f>
        <v>有</v>
      </c>
      <c r="Y236" s="8" t="str">
        <f>IFERROR(__xludf.DUMMYFUNCTION("""COMPUTED_VALUE"""),"1巻目無料（5/5まで）")</f>
        <v>1巻目無料（5/5まで）</v>
      </c>
      <c r="Z236" s="7"/>
      <c r="AA236" s="7"/>
      <c r="AB236" s="7"/>
    </row>
    <row r="237" ht="15.75" customHeight="1">
      <c r="A237" s="8">
        <f>IFERROR(__xludf.DUMMYFUNCTION("""COMPUTED_VALUE"""),1803.0)</f>
        <v>1803</v>
      </c>
      <c r="B237" s="9" t="str">
        <f>IFERROR(__xludf.DUMMYFUNCTION("""COMPUTED_VALUE"""),"確定")</f>
        <v>確定</v>
      </c>
      <c r="C237" s="10">
        <f>IFERROR(__xludf.DUMMYFUNCTION("""COMPUTED_VALUE"""),44999.0)</f>
        <v>44999</v>
      </c>
      <c r="D237" s="10">
        <f>IFERROR(__xludf.DUMMYFUNCTION("""COMPUTED_VALUE"""),44999.0)</f>
        <v>44999</v>
      </c>
      <c r="E237" s="8">
        <f>IFERROR(__xludf.DUMMYFUNCTION("""COMPUTED_VALUE"""),152288.0)</f>
        <v>152288</v>
      </c>
      <c r="F237" s="9" t="str">
        <f>IFERROR(__xludf.DUMMYFUNCTION("""COMPUTED_VALUE"""),"エロ漫画家さんとAV男優さん～無修正でイヤラシイの見せてあげますよ")</f>
        <v>エロ漫画家さんとAV男優さん～無修正でイヤラシイの見せてあげますよ</v>
      </c>
      <c r="G237" s="11" t="str">
        <f>IFERROR(__xludf.DUMMYFUNCTION("""COMPUTED_VALUE"""),"1～3")</f>
        <v>1～3</v>
      </c>
      <c r="H237" s="8" t="str">
        <f>IFERROR(__xludf.DUMMYFUNCTION("""COMPUTED_VALUE"""),"もりのととら")</f>
        <v>もりのととら</v>
      </c>
      <c r="I237" s="14" t="str">
        <f>IFERROR(__xludf.DUMMYFUNCTION("""COMPUTED_VALUE"""),"TL")</f>
        <v>TL</v>
      </c>
      <c r="J237" s="8"/>
      <c r="K237" s="8"/>
      <c r="L237" s="8" t="str">
        <f>IFERROR(__xludf.DUMMYFUNCTION("""COMPUTED_VALUE"""),"ソルマーレ編集部")</f>
        <v>ソルマーレ編集部</v>
      </c>
      <c r="M237" s="12">
        <f>IFERROR(__xludf.DUMMYFUNCTION("""COMPUTED_VALUE"""),45031.0)</f>
        <v>45031</v>
      </c>
      <c r="N237" s="12">
        <f>IFERROR(__xludf.DUMMYFUNCTION("""COMPUTED_VALUE"""),45092.0)</f>
        <v>45092</v>
      </c>
      <c r="O237" s="11"/>
      <c r="P237" s="9" t="str">
        <f>IFERROR(__xludf.DUMMYFUNCTION("""COMPUTED_VALUE"""),"可")</f>
        <v>可</v>
      </c>
      <c r="Q237" s="8" t="str">
        <f>IFERROR(__xludf.DUMMYFUNCTION("""COMPUTED_VALUE"""),"※素材につきまして完成次第格納いたします（3/17予定）&lt;BR&gt;※正式タイトル下記の通りです（3/14）&lt;BR&gt;＝＝＝&lt;BR&gt;エロ漫画家さんとAV男優さん～無修正でイヤラシイの見せてあげますよ&lt;BR&gt;＝＝＝&lt;BR&gt;")</f>
        <v>※素材につきまして完成次第格納いたします（3/17予定）&lt;BR&gt;※正式タイトル下記の通りです（3/14）&lt;BR&gt;＝＝＝&lt;BR&gt;エロ漫画家さんとAV男優さん～無修正でイヤラシイの見せてあげますよ&lt;BR&gt;＝＝＝&lt;BR&gt;</v>
      </c>
      <c r="R237" s="9"/>
      <c r="S237" s="8" t="str">
        <f>IFERROR(__xludf.DUMMYFUNCTION("""COMPUTED_VALUE"""),"20230314_ソルマーレ編集部_エロ漫画家さんとAV男優さん～無修正でイヤラシイの見せてあげますよ")</f>
        <v>20230314_ソルマーレ編集部_エロ漫画家さんとAV男優さん～無修正でイヤラシイの見せてあげますよ</v>
      </c>
      <c r="T237" s="15"/>
      <c r="U237" s="9" t="str">
        <f>IFERROR(__xludf.DUMMYFUNCTION("""COMPUTED_VALUE"""),"Ⓒ もりのととら/シーモアコミックス")</f>
        <v>Ⓒ もりのととら/シーモアコミックス</v>
      </c>
      <c r="V237" s="8" t="str">
        <f>IFERROR(__xludf.DUMMYFUNCTION("""COMPUTED_VALUE"""),"「もう一人じゃイケない体にしてあげます」なんて…
濡れて敏感な突起を口に含まれクチュクチュと舐められたら…!! 男優さんのHテク凄すぎ!?
エロ漫画家の瑠璃は、H知識が乏しい事で執筆に悩んでいた。
そこに現れた推しの男優に激似の新担当・青井くんに、作品の為「僕と経験しましょう」と提案され、いやらしくて無修正のモノをお互いに見せ合う事になり…!?
胸もねっとりと舐め回され気持ちよすぎて…もう挿れて欲しくなる!!【桃色日記】")</f>
        <v>「もう一人じゃイケない体にしてあげます」なんて…
濡れて敏感な突起を口に含まれクチュクチュと舐められたら…!! 男優さんのHテク凄すぎ!?
エロ漫画家の瑠璃は、H知識が乏しい事で執筆に悩んでいた。
そこに現れた推しの男優に激似の新担当・青井くんに、作品の為「僕と経験しましょう」と提案され、いやらしくて無修正のモノをお互いに見せ合う事になり…!?
胸もねっとりと舐め回され気持ちよすぎて…もう挿れて欲しくなる!!【桃色日記】</v>
      </c>
      <c r="W237" s="8"/>
      <c r="X237" s="8" t="str">
        <f>IFERROR(__xludf.DUMMYFUNCTION("""COMPUTED_VALUE"""),"有")</f>
        <v>有</v>
      </c>
      <c r="Y237" s="8" t="str">
        <f>IFERROR(__xludf.DUMMYFUNCTION("""COMPUTED_VALUE"""),"1巻目無料（5/5まで）")</f>
        <v>1巻目無料（5/5まで）</v>
      </c>
      <c r="Z237" s="7"/>
      <c r="AA237" s="7"/>
      <c r="AB237" s="7"/>
    </row>
    <row r="238" ht="15.75" customHeight="1">
      <c r="A238" s="8">
        <f>IFERROR(__xludf.DUMMYFUNCTION("""COMPUTED_VALUE"""),1804.0)</f>
        <v>1804</v>
      </c>
      <c r="B238" s="9" t="str">
        <f>IFERROR(__xludf.DUMMYFUNCTION("""COMPUTED_VALUE"""),"確定")</f>
        <v>確定</v>
      </c>
      <c r="C238" s="10">
        <f>IFERROR(__xludf.DUMMYFUNCTION("""COMPUTED_VALUE"""),44999.0)</f>
        <v>44999</v>
      </c>
      <c r="D238" s="10">
        <f>IFERROR(__xludf.DUMMYFUNCTION("""COMPUTED_VALUE"""),44999.0)</f>
        <v>44999</v>
      </c>
      <c r="E238" s="8">
        <f>IFERROR(__xludf.DUMMYFUNCTION("""COMPUTED_VALUE"""),250591.0)</f>
        <v>250591</v>
      </c>
      <c r="F238" s="9" t="str">
        <f>IFERROR(__xludf.DUMMYFUNCTION("""COMPUTED_VALUE"""),"魔王さまの初バイト!?(フルカラー)")</f>
        <v>魔王さまの初バイト!?(フルカラー)</v>
      </c>
      <c r="G238" s="11" t="str">
        <f>IFERROR(__xludf.DUMMYFUNCTION("""COMPUTED_VALUE"""),"1～2")</f>
        <v>1～2</v>
      </c>
      <c r="H238" s="8" t="str">
        <f>IFERROR(__xludf.DUMMYFUNCTION("""COMPUTED_VALUE"""),"JK,アノルイシル")</f>
        <v>JK,アノルイシル</v>
      </c>
      <c r="I238" s="8" t="str">
        <f>IFERROR(__xludf.DUMMYFUNCTION("""COMPUTED_VALUE"""),"BL")</f>
        <v>BL</v>
      </c>
      <c r="J238" s="8"/>
      <c r="K238" s="8"/>
      <c r="L238" s="8" t="str">
        <f>IFERROR(__xludf.DUMMYFUNCTION("""COMPUTED_VALUE"""),"ソルマーレ編集部")</f>
        <v>ソルマーレ編集部</v>
      </c>
      <c r="M238" s="12">
        <f>IFERROR(__xludf.DUMMYFUNCTION("""COMPUTED_VALUE"""),45031.0)</f>
        <v>45031</v>
      </c>
      <c r="N238" s="12">
        <f>IFERROR(__xludf.DUMMYFUNCTION("""COMPUTED_VALUE"""),45155.66666666667)</f>
        <v>45155.66667</v>
      </c>
      <c r="O238" s="11"/>
      <c r="P238" s="9" t="str">
        <f>IFERROR(__xludf.DUMMYFUNCTION("""COMPUTED_VALUE"""),"可")</f>
        <v>可</v>
      </c>
      <c r="Q238" s="8" t="str">
        <f>IFERROR(__xludf.DUMMYFUNCTION("""COMPUTED_VALUE"""),"※素材につきまして完成次第格納いたします（3/17予定）&lt;BR&gt;※正式タイトル下記の通りです（3/14）&lt;BR&gt;＝＝＝&lt;BR&gt;魔王さまの初バイト!?(フルカラー)&lt;BR&gt;＝＝＝&lt;BR&gt;")</f>
        <v>※素材につきまして完成次第格納いたします（3/17予定）&lt;BR&gt;※正式タイトル下記の通りです（3/14）&lt;BR&gt;＝＝＝&lt;BR&gt;魔王さまの初バイト!?(フルカラー)&lt;BR&gt;＝＝＝&lt;BR&gt;</v>
      </c>
      <c r="R238" s="9"/>
      <c r="S238" s="8" t="str">
        <f>IFERROR(__xludf.DUMMYFUNCTION("""COMPUTED_VALUE"""),"20230314_ソルマーレ編集部_魔王さまの初バイト！？（フルカラー）")</f>
        <v>20230314_ソルマーレ編集部_魔王さまの初バイト！？（フルカラー）</v>
      </c>
      <c r="T238" s="15"/>
      <c r="U238" s="9" t="str">
        <f>IFERROR(__xludf.DUMMYFUNCTION("""COMPUTED_VALUE"""),"Ⓒ JK/アノルイシル/MSTORYHUB/シーモアコミックス")</f>
        <v>Ⓒ JK/アノルイシル/MSTORYHUB/シーモアコミックス</v>
      </c>
      <c r="V238" s="8" t="str">
        <f>IFERROR(__xludf.DUMMYFUNCTION("""COMPUTED_VALUE"""),"「くわえてばかりいないで違うこともしてみろよ？」「うっ、うぐぐっ…」
人間界との戦いで魔王・ヘルの資金は底を突いてしまい、金を稼ぐために仕事の面接に行っても落とされ続ける日々。どうしたものかと悩んでいた時、人間界のとある求人に合格！人間の文字は読めないヘルは仕事内容を知らないまま職場を訪れるがそこはなんと夜のお店…！まさかの魔王の電撃入店でさまざまな客が訪れるがナイトビジネス初心者の魔王は無事お客の相手ができるのか!?【フィカス】
")</f>
        <v>「くわえてばかりいないで違うこともしてみろよ？」「うっ、うぐぐっ…」
人間界との戦いで魔王・ヘルの資金は底を突いてしまい、金を稼ぐために仕事の面接に行っても落とされ続ける日々。どうしたものかと悩んでいた時、人間界のとある求人に合格！人間の文字は読めないヘルは仕事内容を知らないまま職場を訪れるがそこはなんと夜のお店…！まさかの魔王の電撃入店でさまざまな客が訪れるがナイトビジネス初心者の魔王は無事お客の相手ができるのか!?【フィカス】
</v>
      </c>
      <c r="W238" s="8"/>
      <c r="X238" s="8" t="str">
        <f>IFERROR(__xludf.DUMMYFUNCTION("""COMPUTED_VALUE"""),"有")</f>
        <v>有</v>
      </c>
      <c r="Y238" s="8" t="str">
        <f>IFERROR(__xludf.DUMMYFUNCTION("""COMPUTED_VALUE"""),"1巻目無料（5/5まで）")</f>
        <v>1巻目無料（5/5まで）</v>
      </c>
      <c r="Z238" s="7"/>
      <c r="AA238" s="7"/>
      <c r="AB238" s="7"/>
    </row>
    <row r="239" ht="15.75" customHeight="1">
      <c r="A239" s="8">
        <f>IFERROR(__xludf.DUMMYFUNCTION("""COMPUTED_VALUE"""),1805.0)</f>
        <v>1805</v>
      </c>
      <c r="B239" s="9" t="str">
        <f>IFERROR(__xludf.DUMMYFUNCTION("""COMPUTED_VALUE"""),"確定")</f>
        <v>確定</v>
      </c>
      <c r="C239" s="10">
        <f>IFERROR(__xludf.DUMMYFUNCTION("""COMPUTED_VALUE"""),44999.0)</f>
        <v>44999</v>
      </c>
      <c r="D239" s="10">
        <f>IFERROR(__xludf.DUMMYFUNCTION("""COMPUTED_VALUE"""),44999.0)</f>
        <v>44999</v>
      </c>
      <c r="E239" s="8">
        <f>IFERROR(__xludf.DUMMYFUNCTION("""COMPUTED_VALUE"""),250592.0)</f>
        <v>250592</v>
      </c>
      <c r="F239" s="9" t="str">
        <f>IFERROR(__xludf.DUMMYFUNCTION("""COMPUTED_VALUE"""),"魔王さまの初バイト!?【タテヨミ】")</f>
        <v>魔王さまの初バイト!?【タテヨミ】</v>
      </c>
      <c r="G239" s="11" t="str">
        <f>IFERROR(__xludf.DUMMYFUNCTION("""COMPUTED_VALUE"""),"1～8")</f>
        <v>1～8</v>
      </c>
      <c r="H239" s="8" t="str">
        <f>IFERROR(__xludf.DUMMYFUNCTION("""COMPUTED_VALUE"""),"JK,アノルイシル")</f>
        <v>JK,アノルイシル</v>
      </c>
      <c r="I239" s="8" t="str">
        <f>IFERROR(__xludf.DUMMYFUNCTION("""COMPUTED_VALUE"""),"BL")</f>
        <v>BL</v>
      </c>
      <c r="J239" s="8"/>
      <c r="K239" s="8"/>
      <c r="L239" s="8" t="str">
        <f>IFERROR(__xludf.DUMMYFUNCTION("""COMPUTED_VALUE"""),"ソルマーレ編集部")</f>
        <v>ソルマーレ編集部</v>
      </c>
      <c r="M239" s="12">
        <f>IFERROR(__xludf.DUMMYFUNCTION("""COMPUTED_VALUE"""),45031.0)</f>
        <v>45031</v>
      </c>
      <c r="N239" s="12">
        <f>IFERROR(__xludf.DUMMYFUNCTION("""COMPUTED_VALUE"""),45155.66666666667)</f>
        <v>45155.66667</v>
      </c>
      <c r="O239" s="11"/>
      <c r="P239" s="9" t="str">
        <f>IFERROR(__xludf.DUMMYFUNCTION("""COMPUTED_VALUE"""),"可")</f>
        <v>可</v>
      </c>
      <c r="Q239" s="8" t="str">
        <f>IFERROR(__xludf.DUMMYFUNCTION("""COMPUTED_VALUE"""),"※素材につきまして完成次第格納いたします（3/17予定）&lt;BR&gt;※正式タイトル下記の通りです（3/14）&lt;BR&gt;＝＝＝&lt;BR&gt;魔王さまの初バイト!?【タテヨミ】&lt;BR&gt;＝＝＝&lt;BR&gt;")</f>
        <v>※素材につきまして完成次第格納いたします（3/17予定）&lt;BR&gt;※正式タイトル下記の通りです（3/14）&lt;BR&gt;＝＝＝&lt;BR&gt;魔王さまの初バイト!?【タテヨミ】&lt;BR&gt;＝＝＝&lt;BR&gt;</v>
      </c>
      <c r="R239" s="9"/>
      <c r="S239" s="8" t="str">
        <f>IFERROR(__xludf.DUMMYFUNCTION("""COMPUTED_VALUE"""),"20230314_ソルマーレ編集部_魔王さまの初バイト！？【タテヨミ】")</f>
        <v>20230314_ソルマーレ編集部_魔王さまの初バイト！？【タテヨミ】</v>
      </c>
      <c r="T239" s="15"/>
      <c r="U239" s="9" t="str">
        <f>IFERROR(__xludf.DUMMYFUNCTION("""COMPUTED_VALUE"""),"Ⓒ JK/アノルイシル/MSTORYHUB/シーモアコミックス")</f>
        <v>Ⓒ JK/アノルイシル/MSTORYHUB/シーモアコミックス</v>
      </c>
      <c r="V239" s="8" t="str">
        <f>IFERROR(__xludf.DUMMYFUNCTION("""COMPUTED_VALUE"""),"「くわえてばかりいないで違うこともしてみろよ？」「うっ、うぐぐっ…」
人間界との戦いで魔王・ヘルの資金は底を突いてしまい、金を稼ぐために仕事の面接に行っても落とされ続ける日々。どうしたものかと悩んでいた時、人間界のとある求人に合格！人間の文字は読めないヘルは仕事内容を知らないまま職場を訪れるがそこはなんと夜のお店…！まさかの魔王の電撃入店でさまざまな客が訪れるがナイトビジネス初心者の魔王は無事お客の相手ができるのか!?【フィカス】
")</f>
        <v>「くわえてばかりいないで違うこともしてみろよ？」「うっ、うぐぐっ…」
人間界との戦いで魔王・ヘルの資金は底を突いてしまい、金を稼ぐために仕事の面接に行っても落とされ続ける日々。どうしたものかと悩んでいた時、人間界のとある求人に合格！人間の文字は読めないヘルは仕事内容を知らないまま職場を訪れるがそこはなんと夜のお店…！まさかの魔王の電撃入店でさまざまな客が訪れるがナイトビジネス初心者の魔王は無事お客の相手ができるのか!?【フィカス】
</v>
      </c>
      <c r="W239" s="8"/>
      <c r="X239" s="8" t="str">
        <f>IFERROR(__xludf.DUMMYFUNCTION("""COMPUTED_VALUE"""),"有")</f>
        <v>有</v>
      </c>
      <c r="Y239" s="8" t="str">
        <f>IFERROR(__xludf.DUMMYFUNCTION("""COMPUTED_VALUE"""),"4巻目無料（5/5まで）")</f>
        <v>4巻目無料（5/5まで）</v>
      </c>
      <c r="Z239" s="7"/>
      <c r="AA239" s="7"/>
      <c r="AB239" s="7"/>
    </row>
    <row r="240" ht="15.75" customHeight="1">
      <c r="A240" s="8">
        <f>IFERROR(__xludf.DUMMYFUNCTION("""COMPUTED_VALUE"""),1781.0)</f>
        <v>1781</v>
      </c>
      <c r="B240" s="9" t="str">
        <f>IFERROR(__xludf.DUMMYFUNCTION("""COMPUTED_VALUE"""),"確定")</f>
        <v>確定</v>
      </c>
      <c r="C240" s="10">
        <f>IFERROR(__xludf.DUMMYFUNCTION("""COMPUTED_VALUE"""),44993.0)</f>
        <v>44993</v>
      </c>
      <c r="D240" s="10">
        <f>IFERROR(__xludf.DUMMYFUNCTION("""COMPUTED_VALUE"""),44995.0)</f>
        <v>44995</v>
      </c>
      <c r="E240" s="8">
        <f>IFERROR(__xludf.DUMMYFUNCTION("""COMPUTED_VALUE"""),266228.0)</f>
        <v>266228</v>
      </c>
      <c r="F240" s="9" t="str">
        <f>IFERROR(__xludf.DUMMYFUNCTION("""COMPUTED_VALUE"""),"十番目の姫ですが、隣国王子の婚約者のフリをしています")</f>
        <v>十番目の姫ですが、隣国王子の婚約者のフリをしています</v>
      </c>
      <c r="G240" s="11">
        <f>IFERROR(__xludf.DUMMYFUNCTION("""COMPUTED_VALUE"""),1.0)</f>
        <v>1</v>
      </c>
      <c r="H240" s="8" t="str">
        <f>IFERROR(__xludf.DUMMYFUNCTION("""COMPUTED_VALUE"""),"メアリィ・火崎 勇")</f>
        <v>メアリィ・火崎 勇</v>
      </c>
      <c r="I240" s="8" t="str">
        <f>IFERROR(__xludf.DUMMYFUNCTION("""COMPUTED_VALUE"""),"TL")</f>
        <v>TL</v>
      </c>
      <c r="J240" s="8"/>
      <c r="K240" s="8"/>
      <c r="L240" s="8" t="str">
        <f>IFERROR(__xludf.DUMMYFUNCTION("""COMPUTED_VALUE"""),"乙女ドルチェ・コミックス")</f>
        <v>乙女ドルチェ・コミックス</v>
      </c>
      <c r="M240" s="12">
        <f>IFERROR(__xludf.DUMMYFUNCTION("""COMPUTED_VALUE"""),45033.0)</f>
        <v>45033</v>
      </c>
      <c r="N240" s="12">
        <f>IFERROR(__xludf.DUMMYFUNCTION("""COMPUTED_VALUE"""),45063.0)</f>
        <v>45063</v>
      </c>
      <c r="O240" s="11"/>
      <c r="P240" s="9" t="str">
        <f>IFERROR(__xludf.DUMMYFUNCTION("""COMPUTED_VALUE"""),"可")</f>
        <v>可</v>
      </c>
      <c r="Q240" s="8" t="str">
        <f>IFERROR(__xludf.DUMMYFUNCTION("""COMPUTED_VALUE"""),"素材格納済（3/10）&lt;BR&gt;広告コミットOK（3/9）")</f>
        <v>素材格納済（3/10）&lt;BR&gt;広告コミットOK（3/9）</v>
      </c>
      <c r="R240" s="9" t="str">
        <f>IFERROR(__xludf.DUMMYFUNCTION("""COMPUTED_VALUE"""),"格納済（3/10）")</f>
        <v>格納済（3/10）</v>
      </c>
      <c r="S240" s="8" t="str">
        <f>IFERROR(__xludf.DUMMYFUNCTION("""COMPUTED_VALUE"""),"20230310_乙女ドルチェ_十番目の姫ですが隣国王子の婚約者のフリをしています")</f>
        <v>20230310_乙女ドルチェ_十番目の姫ですが隣国王子の婚約者のフリをしています</v>
      </c>
      <c r="T240" s="9" t="str">
        <f>IFERROR(__xludf.DUMMYFUNCTION("""COMPUTED_VALUE"""),"校了済素材")</f>
        <v>校了済素材</v>
      </c>
      <c r="U240" s="9" t="str">
        <f>IFERROR(__xludf.DUMMYFUNCTION("""COMPUTED_VALUE"""),"©メアリィ・火崎 勇／ハーパーコリンズ・ジャパン")</f>
        <v>©メアリィ・火崎 勇／ハーパーコリンズ・ジャパン</v>
      </c>
      <c r="V240" s="8" t="str">
        <f>IFERROR(__xludf.DUMMYFUNCTION("""COMPUTED_VALUE"""),"私たちの関係はお芝居でしょう！？
ダメだとわかっているのに…
一国の姫なのに気持ちよさに流されてしまいそう…！
「俺は王子じゃなくても魅力的だろう？」ファンザム国の十番目の姫ロザリナはある日、森で雨に濡れたところを隣国の男フォーンハルトに助けられる。が、彼が狙われているのを咄嗟に庇い、ロザリナは毒矢に倒れてしまう。実はフォーンハルトはクレスタ王国の第一王子で、弟と王位継承争いの真っ只中だった！　フォーンハルトに乞われたロザリナは、メイドと身分を偽ったまま彼のの婚約者のフリをして王妃と弟の不正を暴く手伝"&amp;"いをすることになってしまう。からかいながらも愛を囁くフォーンハルトに、次第に惹かれていくロザリナだが…？")</f>
        <v>私たちの関係はお芝居でしょう！？
ダメだとわかっているのに…
一国の姫なのに気持ちよさに流されてしまいそう…！
「俺は王子じゃなくても魅力的だろう？」ファンザム国の十番目の姫ロザリナはある日、森で雨に濡れたところを隣国の男フォーンハルトに助けられる。が、彼が狙われているのを咄嗟に庇い、ロザリナは毒矢に倒れてしまう。実はフォーンハルトはクレスタ王国の第一王子で、弟と王位継承争いの真っ只中だった！　フォーンハルトに乞われたロザリナは、メイドと身分を偽ったまま彼のの婚約者のフリをして王妃と弟の不正を暴く手伝いをすることになってしまう。からかいながらも愛を囁くフォーンハルトに、次第に惹かれていくロザリナだが…？</v>
      </c>
      <c r="W240" s="8"/>
      <c r="X240" s="8" t="str">
        <f>IFERROR(__xludf.DUMMYFUNCTION("""COMPUTED_VALUE"""),"有")</f>
        <v>有</v>
      </c>
      <c r="Y240" s="8" t="str">
        <f>IFERROR(__xludf.DUMMYFUNCTION("""COMPUTED_VALUE"""),"P19まで")</f>
        <v>P19まで</v>
      </c>
      <c r="Z240" s="7"/>
      <c r="AA240" s="7"/>
      <c r="AB240" s="7"/>
    </row>
    <row r="241" ht="15.75" customHeight="1">
      <c r="A241" s="8">
        <f>IFERROR(__xludf.DUMMYFUNCTION("""COMPUTED_VALUE"""),1782.0)</f>
        <v>1782</v>
      </c>
      <c r="B241" s="9" t="str">
        <f>IFERROR(__xludf.DUMMYFUNCTION("""COMPUTED_VALUE"""),"確定")</f>
        <v>確定</v>
      </c>
      <c r="C241" s="10">
        <f>IFERROR(__xludf.DUMMYFUNCTION("""COMPUTED_VALUE"""),44993.0)</f>
        <v>44993</v>
      </c>
      <c r="D241" s="10">
        <f>IFERROR(__xludf.DUMMYFUNCTION("""COMPUTED_VALUE"""),44995.0)</f>
        <v>44995</v>
      </c>
      <c r="E241" s="8">
        <f>IFERROR(__xludf.DUMMYFUNCTION("""COMPUTED_VALUE"""),266230.0)</f>
        <v>266230</v>
      </c>
      <c r="F241" s="9" t="str">
        <f>IFERROR(__xludf.DUMMYFUNCTION("""COMPUTED_VALUE"""),"腹黒貴公子の甘い策略")</f>
        <v>腹黒貴公子の甘い策略</v>
      </c>
      <c r="G241" s="11">
        <f>IFERROR(__xludf.DUMMYFUNCTION("""COMPUTED_VALUE"""),1.0)</f>
        <v>1</v>
      </c>
      <c r="H241" s="8" t="str">
        <f>IFERROR(__xludf.DUMMYFUNCTION("""COMPUTED_VALUE"""),"サクヤカイシ・蜜乃 雫")</f>
        <v>サクヤカイシ・蜜乃 雫</v>
      </c>
      <c r="I241" s="8" t="str">
        <f>IFERROR(__xludf.DUMMYFUNCTION("""COMPUTED_VALUE"""),"TL")</f>
        <v>TL</v>
      </c>
      <c r="J241" s="8"/>
      <c r="K241" s="8"/>
      <c r="L241" s="8" t="str">
        <f>IFERROR(__xludf.DUMMYFUNCTION("""COMPUTED_VALUE"""),"乙女ドルチェ・コミックス")</f>
        <v>乙女ドルチェ・コミックス</v>
      </c>
      <c r="M241" s="12">
        <f>IFERROR(__xludf.DUMMYFUNCTION("""COMPUTED_VALUE"""),45033.0)</f>
        <v>45033</v>
      </c>
      <c r="N241" s="12">
        <f>IFERROR(__xludf.DUMMYFUNCTION("""COMPUTED_VALUE"""),45063.0)</f>
        <v>45063</v>
      </c>
      <c r="O241" s="11"/>
      <c r="P241" s="9" t="str">
        <f>IFERROR(__xludf.DUMMYFUNCTION("""COMPUTED_VALUE"""),"可")</f>
        <v>可</v>
      </c>
      <c r="Q241" s="8" t="str">
        <f>IFERROR(__xludf.DUMMYFUNCTION("""COMPUTED_VALUE"""),"素材格納（3/10）&lt;BR&gt;広告コミットOK（3/9）")</f>
        <v>素材格納（3/10）&lt;BR&gt;広告コミットOK（3/9）</v>
      </c>
      <c r="R241" s="9" t="str">
        <f>IFERROR(__xludf.DUMMYFUNCTION("""COMPUTED_VALUE"""),"格納済（3/10）")</f>
        <v>格納済（3/10）</v>
      </c>
      <c r="S241" s="8" t="str">
        <f>IFERROR(__xludf.DUMMYFUNCTION("""COMPUTED_VALUE"""),"20230310_乙女ドルチェ_腹黒貴公子の甘い策略")</f>
        <v>20230310_乙女ドルチェ_腹黒貴公子の甘い策略</v>
      </c>
      <c r="T241" s="9" t="str">
        <f>IFERROR(__xludf.DUMMYFUNCTION("""COMPUTED_VALUE"""),"校了済素材")</f>
        <v>校了済素材</v>
      </c>
      <c r="U241" s="9" t="str">
        <f>IFERROR(__xludf.DUMMYFUNCTION("""COMPUTED_VALUE"""),"©サクヤカイシ・蜜乃 雫／ハーパーコリンズ・ジャパン")</f>
        <v>©サクヤカイシ・蜜乃 雫／ハーパーコリンズ・ジャパン</v>
      </c>
      <c r="V241" s="8" t="str">
        <f>IFERROR(__xludf.DUMMYFUNCTION("""COMPUTED_VALUE"""),"美貌の年下貴公子×世間知らずの伯爵令嬢
『嫌なら…拒んで』
エスカレートする彼の行為に抗えず…！
「硬く尖ってきましたよ…」誰もいない宮殿の一室で、伯爵令嬢カタリーナは、幼馴染みのジェラールに人目を忍び口づけられていた。初めてなのに、ドレスからまろび出た胸の頂きを摘ままれ、そこにもキスされて身体が熱くてたまらない。「どうしてこんなことを？」訊ねると、ジェラールは美しい瞳を曇らせて答えた。「これは罰です。僕を忘れた罰…」と。彼女は今夜の舞踏会で、久しぶりに会った彼のことがわからなかったのだ。カタリーナは病"&amp;"弱で、社交界デビューのために療養先から王都に戻ったばかりだったから。だからこんな恥ずかしい罰を？")</f>
        <v>美貌の年下貴公子×世間知らずの伯爵令嬢
『嫌なら…拒んで』
エスカレートする彼の行為に抗えず…！
「硬く尖ってきましたよ…」誰もいない宮殿の一室で、伯爵令嬢カタリーナは、幼馴染みのジェラールに人目を忍び口づけられていた。初めてなのに、ドレスからまろび出た胸の頂きを摘ままれ、そこにもキスされて身体が熱くてたまらない。「どうしてこんなことを？」訊ねると、ジェラールは美しい瞳を曇らせて答えた。「これは罰です。僕を忘れた罰…」と。彼女は今夜の舞踏会で、久しぶりに会った彼のことがわからなかったのだ。カタリーナは病弱で、社交界デビューのために療養先から王都に戻ったばかりだったから。だからこんな恥ずかしい罰を？</v>
      </c>
      <c r="W241" s="8"/>
      <c r="X241" s="9" t="str">
        <f>IFERROR(__xludf.DUMMYFUNCTION("""COMPUTED_VALUE"""),"有")</f>
        <v>有</v>
      </c>
      <c r="Y241" s="8" t="str">
        <f>IFERROR(__xludf.DUMMYFUNCTION("""COMPUTED_VALUE"""),"5/17まで立ち読み増量
P45まで")</f>
        <v>5/17まで立ち読み増量
P45まで</v>
      </c>
      <c r="Z241" s="7"/>
      <c r="AA241" s="7"/>
      <c r="AB241" s="7"/>
    </row>
    <row r="242" ht="15.75" customHeight="1">
      <c r="A242" s="8">
        <f>IFERROR(__xludf.DUMMYFUNCTION("""COMPUTED_VALUE"""),1796.0)</f>
        <v>1796</v>
      </c>
      <c r="B242" s="9" t="str">
        <f>IFERROR(__xludf.DUMMYFUNCTION("""COMPUTED_VALUE"""),"確定")</f>
        <v>確定</v>
      </c>
      <c r="C242" s="10">
        <f>IFERROR(__xludf.DUMMYFUNCTION("""COMPUTED_VALUE"""),44998.0)</f>
        <v>44998</v>
      </c>
      <c r="D242" s="10">
        <f>IFERROR(__xludf.DUMMYFUNCTION("""COMPUTED_VALUE"""),44998.0)</f>
        <v>44998</v>
      </c>
      <c r="E242" s="8">
        <f>IFERROR(__xludf.DUMMYFUNCTION("""COMPUTED_VALUE"""),264200.0)</f>
        <v>264200</v>
      </c>
      <c r="F242" s="9" t="str">
        <f>IFERROR(__xludf.DUMMYFUNCTION("""COMPUTED_VALUE"""),"軍人公爵は身代わり花嫁を溺愛する【分冊版】")</f>
        <v>軍人公爵は身代わり花嫁を溺愛する【分冊版】</v>
      </c>
      <c r="G242" s="11" t="str">
        <f>IFERROR(__xludf.DUMMYFUNCTION("""COMPUTED_VALUE"""),"1～2")</f>
        <v>1～2</v>
      </c>
      <c r="H242" s="8" t="str">
        <f>IFERROR(__xludf.DUMMYFUNCTION("""COMPUTED_VALUE"""),"いそてつ・麻生ミカリ")</f>
        <v>いそてつ・麻生ミカリ</v>
      </c>
      <c r="I242" s="8" t="str">
        <f>IFERROR(__xludf.DUMMYFUNCTION("""COMPUTED_VALUE"""),"TL")</f>
        <v>TL</v>
      </c>
      <c r="J242" s="8"/>
      <c r="K242" s="8"/>
      <c r="L242" s="8" t="str">
        <f>IFERROR(__xludf.DUMMYFUNCTION("""COMPUTED_VALUE"""),"乙女ドルチェ・コミックス")</f>
        <v>乙女ドルチェ・コミックス</v>
      </c>
      <c r="M242" s="12">
        <f>IFERROR(__xludf.DUMMYFUNCTION("""COMPUTED_VALUE"""),45033.0)</f>
        <v>45033</v>
      </c>
      <c r="N242" s="12">
        <f>IFERROR(__xludf.DUMMYFUNCTION("""COMPUTED_VALUE"""),45063.0)</f>
        <v>45063</v>
      </c>
      <c r="O242" s="11"/>
      <c r="P242" s="9" t="str">
        <f>IFERROR(__xludf.DUMMYFUNCTION("""COMPUTED_VALUE"""),"可")</f>
        <v>可</v>
      </c>
      <c r="Q242" s="8" t="str">
        <f>IFERROR(__xludf.DUMMYFUNCTION("""COMPUTED_VALUE"""),"1話目は3/17配信。4/17に2話目が配信。&lt;BR&gt;出稿については、2話目以降のタイミングでお願いします。")</f>
        <v>1話目は3/17配信。4/17に2話目が配信。&lt;BR&gt;出稿については、2話目以降のタイミングでお願いします。</v>
      </c>
      <c r="R242" s="9" t="str">
        <f>IFERROR(__xludf.DUMMYFUNCTION("""COMPUTED_VALUE"""),"格納済（3/13）")</f>
        <v>格納済（3/13）</v>
      </c>
      <c r="S242" s="8" t="str">
        <f>IFERROR(__xludf.DUMMYFUNCTION("""COMPUTED_VALUE"""),"20230313_乙女ドルチェ_軍人公爵は身代わり花嫁を溺愛する")</f>
        <v>20230313_乙女ドルチェ_軍人公爵は身代わり花嫁を溺愛する</v>
      </c>
      <c r="T242" s="9" t="str">
        <f>IFERROR(__xludf.DUMMYFUNCTION("""COMPUTED_VALUE"""),"校了済素材")</f>
        <v>校了済素材</v>
      </c>
      <c r="U242" s="9" t="str">
        <f>IFERROR(__xludf.DUMMYFUNCTION("""COMPUTED_VALUE"""),"©いそてつ・麻生ミカリ／ハーパーコリンズ・ジャパン")</f>
        <v>©いそてつ・麻生ミカリ／ハーパーコリンズ・ジャパン</v>
      </c>
      <c r="V242" s="8" t="str">
        <f>IFERROR(__xludf.DUMMYFUNCTION("""COMPUTED_VALUE"""),"「ずいぶんと淫らな体だな。もうこんなに濡れている…」町娘のエーファは公爵家の次男オスヴァルトと恋仲だったが、ある日誘拐されてしまう。４年後エーファは、戦で英雄となったオスヴァルトに、敵国の王女で悪女の噂が高いナターリエの身代わりとして嫁ぐことに。今もエーファを探す彼は「俺の愛する人の行方を話せば、いくらでも抱いてやる」そう彼女に伝える。だが、声を封じられたまま真実を告げられず、甘く淫らに責められて──!?")</f>
        <v>「ずいぶんと淫らな体だな。もうこんなに濡れている…」町娘のエーファは公爵家の次男オスヴァルトと恋仲だったが、ある日誘拐されてしまう。４年後エーファは、戦で英雄となったオスヴァルトに、敵国の王女で悪女の噂が高いナターリエの身代わりとして嫁ぐことに。今もエーファを探す彼は「俺の愛する人の行方を話せば、いくらでも抱いてやる」そう彼女に伝える。だが、声を封じられたまま真実を告げられず、甘く淫らに責められて──!?</v>
      </c>
      <c r="W242" s="8"/>
      <c r="X242" s="8" t="str">
        <f>IFERROR(__xludf.DUMMYFUNCTION("""COMPUTED_VALUE"""),"有")</f>
        <v>有</v>
      </c>
      <c r="Y242" s="8" t="str">
        <f>IFERROR(__xludf.DUMMYFUNCTION("""COMPUTED_VALUE"""),"P9まで")</f>
        <v>P9まで</v>
      </c>
      <c r="Z242" s="7"/>
      <c r="AA242" s="7"/>
      <c r="AB242" s="7"/>
    </row>
    <row r="243" ht="15.75" customHeight="1">
      <c r="A243" s="8">
        <f>IFERROR(__xludf.DUMMYFUNCTION("""COMPUTED_VALUE"""),1807.0)</f>
        <v>1807</v>
      </c>
      <c r="B243" s="9" t="str">
        <f>IFERROR(__xludf.DUMMYFUNCTION("""COMPUTED_VALUE"""),"確定")</f>
        <v>確定</v>
      </c>
      <c r="C243" s="10">
        <f>IFERROR(__xludf.DUMMYFUNCTION("""COMPUTED_VALUE"""),44999.0)</f>
        <v>44999</v>
      </c>
      <c r="D243" s="10">
        <f>IFERROR(__xludf.DUMMYFUNCTION("""COMPUTED_VALUE"""),45021.0)</f>
        <v>45021</v>
      </c>
      <c r="E243" s="8">
        <f>IFERROR(__xludf.DUMMYFUNCTION("""COMPUTED_VALUE"""),266209.0)</f>
        <v>266209</v>
      </c>
      <c r="F243" s="9" t="str">
        <f>IFERROR(__xludf.DUMMYFUNCTION("""COMPUTED_VALUE"""),"結婚寸前で捨てられたら社長の溺愛がはじまりました")</f>
        <v>結婚寸前で捨てられたら社長の溺愛がはじまりました</v>
      </c>
      <c r="G243" s="11" t="str">
        <f>IFERROR(__xludf.DUMMYFUNCTION("""COMPUTED_VALUE"""),"1～4")</f>
        <v>1～4</v>
      </c>
      <c r="H243" s="8" t="str">
        <f>IFERROR(__xludf.DUMMYFUNCTION("""COMPUTED_VALUE"""),"天夜葎・未華空央")</f>
        <v>天夜葎・未華空央</v>
      </c>
      <c r="I243" s="8" t="str">
        <f>IFERROR(__xludf.DUMMYFUNCTION("""COMPUTED_VALUE"""),"女性")</f>
        <v>女性</v>
      </c>
      <c r="J243" s="8"/>
      <c r="K243" s="8"/>
      <c r="L243" s="8" t="str">
        <f>IFERROR(__xludf.DUMMYFUNCTION("""COMPUTED_VALUE"""),"ハーパーコリンズ・ジャパン")</f>
        <v>ハーパーコリンズ・ジャパン</v>
      </c>
      <c r="M243" s="12">
        <f>IFERROR(__xludf.DUMMYFUNCTION("""COMPUTED_VALUE"""),45033.0)</f>
        <v>45033</v>
      </c>
      <c r="N243" s="12">
        <f>IFERROR(__xludf.DUMMYFUNCTION("""COMPUTED_VALUE"""),45063.0)</f>
        <v>45063</v>
      </c>
      <c r="O243" s="11"/>
      <c r="P243" s="9" t="str">
        <f>IFERROR(__xludf.DUMMYFUNCTION("""COMPUTED_VALUE"""),"可")</f>
        <v>可</v>
      </c>
      <c r="Q243" s="8" t="str">
        <f>IFERROR(__xludf.DUMMYFUNCTION("""COMPUTED_VALUE"""),"4話目含め素材格納（3/30）&lt;BR&gt;コミットOK&lt;BR&gt;")</f>
        <v>4話目含め素材格納（3/30）&lt;BR&gt;コミットOK&lt;BR&gt;</v>
      </c>
      <c r="R243" s="9" t="str">
        <f>IFERROR(__xludf.DUMMYFUNCTION("""COMPUTED_VALUE"""),"格納済")</f>
        <v>格納済</v>
      </c>
      <c r="S243" s="8" t="str">
        <f>IFERROR(__xludf.DUMMYFUNCTION("""COMPUTED_VALUE"""),"20230330_ハーパーコリンズ_結婚寸前で捨てられたら社長の溺愛がはじまりました")</f>
        <v>20230330_ハーパーコリンズ_結婚寸前で捨てられたら社長の溺愛がはじまりました</v>
      </c>
      <c r="T243" s="9" t="str">
        <f>IFERROR(__xludf.DUMMYFUNCTION("""COMPUTED_VALUE"""),"校了済素材")</f>
        <v>校了済素材</v>
      </c>
      <c r="U243" s="9" t="str">
        <f>IFERROR(__xludf.DUMMYFUNCTION("""COMPUTED_VALUE"""),"©天夜 葎・未華空央/ハーパーコリンズ・ジャパン")</f>
        <v>©天夜 葎・未華空央/ハーパーコリンズ・ジャパン</v>
      </c>
      <c r="V243" s="8" t="str">
        <f>IFERROR(__xludf.DUMMYFUNCTION("""COMPUTED_VALUE"""),"「未来の約束もできない男より俺のそばにいればいい」
失恋から始まる溺愛生活!?
咲菜は会社の上司である康太と結婚の約束をしていた。しかしある日康太が妊娠中の婚約者を会社に連れてきた！
ショックのあまり仕事を抜け出し泣きくずれる咲菜の元に、突然社長の透吾が現れる。
初対面のはずなのにキスで慰められ、翌日には透吾の秘書に抜擢されてしまい戸惑う咲菜。
さらに透吾は咲菜を家まで迎えに来て、そのまま２人きりの「お泊り出張」に連れ出して…!?")</f>
        <v>「未来の約束もできない男より俺のそばにいればいい」
失恋から始まる溺愛生活!?
咲菜は会社の上司である康太と結婚の約束をしていた。しかしある日康太が妊娠中の婚約者を会社に連れてきた！
ショックのあまり仕事を抜け出し泣きくずれる咲菜の元に、突然社長の透吾が現れる。
初対面のはずなのにキスで慰められ、翌日には透吾の秘書に抜擢されてしまい戸惑う咲菜。
さらに透吾は咲菜を家まで迎えに来て、そのまま２人きりの「お泊り出張」に連れ出して…!?</v>
      </c>
      <c r="W243" s="8"/>
      <c r="X243" s="8" t="str">
        <f>IFERROR(__xludf.DUMMYFUNCTION("""COMPUTED_VALUE"""),"有")</f>
        <v>有</v>
      </c>
      <c r="Y243" s="8" t="str">
        <f>IFERROR(__xludf.DUMMYFUNCTION("""COMPUTED_VALUE"""),"P10まで")</f>
        <v>P10まで</v>
      </c>
      <c r="Z243" s="7"/>
      <c r="AA243" s="7"/>
      <c r="AB243" s="7"/>
    </row>
    <row r="244" ht="15.75" customHeight="1">
      <c r="A244" s="8">
        <f>IFERROR(__xludf.DUMMYFUNCTION("""COMPUTED_VALUE"""),1703.0)</f>
        <v>1703</v>
      </c>
      <c r="B244" s="9" t="str">
        <f>IFERROR(__xludf.DUMMYFUNCTION("""COMPUTED_VALUE"""),"確定")</f>
        <v>確定</v>
      </c>
      <c r="C244" s="10">
        <f>IFERROR(__xludf.DUMMYFUNCTION("""COMPUTED_VALUE"""),44964.0)</f>
        <v>44964</v>
      </c>
      <c r="D244" s="10">
        <f>IFERROR(__xludf.DUMMYFUNCTION("""COMPUTED_VALUE"""),44994.0)</f>
        <v>44994</v>
      </c>
      <c r="E244" s="8">
        <f>IFERROR(__xludf.DUMMYFUNCTION("""COMPUTED_VALUE"""),266243.0)</f>
        <v>266243</v>
      </c>
      <c r="F244" s="9" t="str">
        <f>IFERROR(__xludf.DUMMYFUNCTION("""COMPUTED_VALUE"""),"うむ、うまない、うめない、うみたい【単話】")</f>
        <v>うむ、うまない、うめない、うみたい【単話】</v>
      </c>
      <c r="G244" s="11" t="str">
        <f>IFERROR(__xludf.DUMMYFUNCTION("""COMPUTED_VALUE"""),"1～4")</f>
        <v>1～4</v>
      </c>
      <c r="H244" s="8" t="str">
        <f>IFERROR(__xludf.DUMMYFUNCTION("""COMPUTED_VALUE"""),"原作：加藤綾子　漫画：ことり")</f>
        <v>原作：加藤綾子　漫画：ことり</v>
      </c>
      <c r="I244" s="8" t="str">
        <f>IFERROR(__xludf.DUMMYFUNCTION("""COMPUTED_VALUE"""),"女性")</f>
        <v>女性</v>
      </c>
      <c r="J244" s="8"/>
      <c r="K244" s="8"/>
      <c r="L244" s="8" t="str">
        <f>IFERROR(__xludf.DUMMYFUNCTION("""COMPUTED_VALUE"""),"小学館")</f>
        <v>小学館</v>
      </c>
      <c r="M244" s="12">
        <f>IFERROR(__xludf.DUMMYFUNCTION("""COMPUTED_VALUE"""),45034.0)</f>
        <v>45034</v>
      </c>
      <c r="N244" s="19" t="str">
        <f>IFERROR(__xludf.DUMMYFUNCTION("""COMPUTED_VALUE"""),"2023/6/18
以降続話は1ヵ月")</f>
        <v>2023/6/18
以降続話は1ヵ月</v>
      </c>
      <c r="O244" s="11"/>
      <c r="P244" s="9" t="str">
        <f>IFERROR(__xludf.DUMMYFUNCTION("""COMPUTED_VALUE"""),"否")</f>
        <v>否</v>
      </c>
      <c r="Q244" s="8" t="str">
        <f>IFERROR(__xludf.DUMMYFUNCTION("""COMPUTED_VALUE"""),"広告コミットOK（2/10）&lt;BR&gt;")</f>
        <v>広告コミットOK（2/10）&lt;BR&gt;</v>
      </c>
      <c r="R244" s="9"/>
      <c r="S244" s="8" t="str">
        <f>IFERROR(__xludf.DUMMYFUNCTION("""COMPUTED_VALUE"""),"20230309_小学館_うむ、うまない、うめない、うみたい【単話】")</f>
        <v>20230309_小学館_うむ、うまない、うめない、うみたい【単話】</v>
      </c>
      <c r="T244" s="9"/>
      <c r="U244" s="9" t="str">
        <f>IFERROR(__xludf.DUMMYFUNCTION("""COMPUTED_VALUE"""),"©加藤綾子・ことり / 小学館")</f>
        <v>©加藤綾子・ことり / 小学館</v>
      </c>
      <c r="V244" s="8" t="str">
        <f>IFERROR(__xludf.DUMMYFUNCTION("""COMPUTED_VALUE"""),"女であるなら「子どもを産む」ことが「普通」？　漠然とした不安から「子どもを産みたくない」はワガママ？
「産む」をキーワードに、女性として生きる主人公たちを応援するオムニバス・ヒューマンストーリー！
")</f>
        <v>女であるなら「子どもを産む」ことが「普通」？　漠然とした不安から「子どもを産みたくない」はワガママ？
「産む」をキーワードに、女性として生きる主人公たちを応援するオムニバス・ヒューマンストーリー！
</v>
      </c>
      <c r="W244" s="8"/>
      <c r="X244" s="8" t="str">
        <f>IFERROR(__xludf.DUMMYFUNCTION("""COMPUTED_VALUE"""),"有")</f>
        <v>有</v>
      </c>
      <c r="Y244" s="8" t="str">
        <f>IFERROR(__xludf.DUMMYFUNCTION("""COMPUTED_VALUE"""),"5/1まで1巻無料")</f>
        <v>5/1まで1巻無料</v>
      </c>
      <c r="Z244" s="7"/>
      <c r="AA244" s="7"/>
      <c r="AB244" s="7"/>
    </row>
    <row r="245" ht="138.0" customHeight="1">
      <c r="A245" s="8">
        <f>IFERROR(__xludf.DUMMYFUNCTION("""COMPUTED_VALUE"""),1642.0)</f>
        <v>1642</v>
      </c>
      <c r="B245" s="9" t="str">
        <f>IFERROR(__xludf.DUMMYFUNCTION("""COMPUTED_VALUE"""),"確定")</f>
        <v>確定</v>
      </c>
      <c r="C245" s="10">
        <f>IFERROR(__xludf.DUMMYFUNCTION("""COMPUTED_VALUE"""),44937.0)</f>
        <v>44937</v>
      </c>
      <c r="D245" s="10">
        <f>IFERROR(__xludf.DUMMYFUNCTION("""COMPUTED_VALUE"""),45000.0)</f>
        <v>45000</v>
      </c>
      <c r="E245" s="8">
        <f>IFERROR(__xludf.DUMMYFUNCTION("""COMPUTED_VALUE"""),266580.0)</f>
        <v>266580</v>
      </c>
      <c r="F245" s="9" t="str">
        <f>IFERROR(__xludf.DUMMYFUNCTION("""COMPUTED_VALUE"""),"嘘つきな彼女")</f>
        <v>嘘つきな彼女</v>
      </c>
      <c r="G245" s="11">
        <f>IFERROR(__xludf.DUMMYFUNCTION("""COMPUTED_VALUE"""),1.0)</f>
        <v>1</v>
      </c>
      <c r="H245" s="8" t="str">
        <f>IFERROR(__xludf.DUMMYFUNCTION("""COMPUTED_VALUE"""),"小山ジム")</f>
        <v>小山ジム</v>
      </c>
      <c r="I245" s="8" t="str">
        <f>IFERROR(__xludf.DUMMYFUNCTION("""COMPUTED_VALUE"""),"女性")</f>
        <v>女性</v>
      </c>
      <c r="J245" s="8"/>
      <c r="K245" s="8"/>
      <c r="L245" s="8" t="str">
        <f>IFERROR(__xludf.DUMMYFUNCTION("""COMPUTED_VALUE"""),"DTSパブリッシング")</f>
        <v>DTSパブリッシング</v>
      </c>
      <c r="M245" s="12">
        <f>IFERROR(__xludf.DUMMYFUNCTION("""COMPUTED_VALUE"""),45034.0)</f>
        <v>45034</v>
      </c>
      <c r="N245" s="12">
        <f>IFERROR(__xludf.DUMMYFUNCTION("""COMPUTED_VALUE"""),45094.66666666667)</f>
        <v>45094.66667</v>
      </c>
      <c r="O245" s="11"/>
      <c r="P245" s="9" t="str">
        <f>IFERROR(__xludf.DUMMYFUNCTION("""COMPUTED_VALUE"""),"否")</f>
        <v>否</v>
      </c>
      <c r="Q245" s="8" t="str">
        <f>IFERROR(__xludf.DUMMYFUNCTION("""COMPUTED_VALUE"""),"広告コミットOK（1/12）&lt;BR&gt;")</f>
        <v>広告コミットOK（1/12）&lt;BR&gt;</v>
      </c>
      <c r="R245" s="9">
        <f>IFERROR(__xludf.DUMMYFUNCTION("""COMPUTED_VALUE"""),45016.0)</f>
        <v>45016</v>
      </c>
      <c r="S245" s="8" t="str">
        <f>IFERROR(__xludf.DUMMYFUNCTION("""COMPUTED_VALUE"""),"20230314_DTSパブリッシング_嘘つきな彼女")</f>
        <v>20230314_DTSパブリッシング_嘘つきな彼女</v>
      </c>
      <c r="T245" s="9"/>
      <c r="U245" s="9" t="str">
        <f>IFERROR(__xludf.DUMMYFUNCTION("""COMPUTED_VALUE"""),"©小山ジム/DTSパブリッシング")</f>
        <v>©小山ジム/DTSパブリッシング</v>
      </c>
      <c r="V245" s="8" t="str">
        <f>IFERROR(__xludf.DUMMYFUNCTION("""COMPUTED_VALUE"""),"「敦くん、私がいなくても大丈夫だよね」出来の悪さをネタにされて、それでもいつでも笑顔で場の空気を盛り上げるサラリーマン・敦だったが、そんな彼の優しさに惹かれたはずの恋人・亜弓から一方的に別れを切り出される。一緒に暮らしてきた彼女の突然の心変わり。その裏に隠されていた優しい真実。「周りに馬鹿にされてるってなんとなく分かってるけど、それでもみんなが笑ってくれるなら嬉しいんだ」新鋭・小山ジムが描く、愛と感動のラブストーリー。")</f>
        <v>「敦くん、私がいなくても大丈夫だよね」出来の悪さをネタにされて、それでもいつでも笑顔で場の空気を盛り上げるサラリーマン・敦だったが、そんな彼の優しさに惹かれたはずの恋人・亜弓から一方的に別れを切り出される。一緒に暮らしてきた彼女の突然の心変わり。その裏に隠されていた優しい真実。「周りに馬鹿にされてるってなんとなく分かってるけど、それでもみんなが笑ってくれるなら嬉しいんだ」新鋭・小山ジムが描く、愛と感動のラブストーリー。</v>
      </c>
      <c r="W245" s="8"/>
      <c r="X245" s="8" t="str">
        <f>IFERROR(__xludf.DUMMYFUNCTION("""COMPUTED_VALUE"""),"有")</f>
        <v>有</v>
      </c>
      <c r="Y245" s="8" t="str">
        <f>IFERROR(__xludf.DUMMYFUNCTION("""COMPUTED_VALUE"""),"P10まで")</f>
        <v>P10まで</v>
      </c>
      <c r="Z245" s="7"/>
      <c r="AA245" s="7"/>
      <c r="AB245" s="7"/>
    </row>
    <row r="246" ht="15.75" customHeight="1">
      <c r="A246" s="8">
        <f>IFERROR(__xludf.DUMMYFUNCTION("""COMPUTED_VALUE"""),1824.0)</f>
        <v>1824</v>
      </c>
      <c r="B246" s="9" t="str">
        <f>IFERROR(__xludf.DUMMYFUNCTION("""COMPUTED_VALUE"""),"確定")</f>
        <v>確定</v>
      </c>
      <c r="C246" s="10">
        <f>IFERROR(__xludf.DUMMYFUNCTION("""COMPUTED_VALUE"""),45002.0)</f>
        <v>45002</v>
      </c>
      <c r="D246" s="10">
        <f>IFERROR(__xludf.DUMMYFUNCTION("""COMPUTED_VALUE"""),45002.0)</f>
        <v>45002</v>
      </c>
      <c r="E246" s="8">
        <f>IFERROR(__xludf.DUMMYFUNCTION("""COMPUTED_VALUE"""),266309.0)</f>
        <v>266309</v>
      </c>
      <c r="F246" s="9" t="str">
        <f>IFERROR(__xludf.DUMMYFUNCTION("""COMPUTED_VALUE"""),"ハーレムアプリ")</f>
        <v>ハーレムアプリ</v>
      </c>
      <c r="G246" s="11" t="str">
        <f>IFERROR(__xludf.DUMMYFUNCTION("""COMPUTED_VALUE"""),"1～3")</f>
        <v>1～3</v>
      </c>
      <c r="H246" s="8" t="str">
        <f>IFERROR(__xludf.DUMMYFUNCTION("""COMPUTED_VALUE"""),"カニトマト")</f>
        <v>カニトマト</v>
      </c>
      <c r="I246" s="8" t="str">
        <f>IFERROR(__xludf.DUMMYFUNCTION("""COMPUTED_VALUE"""),"青年")</f>
        <v>青年</v>
      </c>
      <c r="J246" s="8"/>
      <c r="K246" s="8"/>
      <c r="L246" s="8" t="str">
        <f>IFERROR(__xludf.DUMMYFUNCTION("""COMPUTED_VALUE"""),"Rush!")</f>
        <v>Rush!</v>
      </c>
      <c r="M246" s="12">
        <f>IFERROR(__xludf.DUMMYFUNCTION("""COMPUTED_VALUE"""),45036.0)</f>
        <v>45036</v>
      </c>
      <c r="N246" s="12">
        <f>IFERROR(__xludf.DUMMYFUNCTION("""COMPUTED_VALUE"""),45126.0)</f>
        <v>45126</v>
      </c>
      <c r="O246" s="11"/>
      <c r="P246" s="9" t="str">
        <f>IFERROR(__xludf.DUMMYFUNCTION("""COMPUTED_VALUE"""),"可")</f>
        <v>可</v>
      </c>
      <c r="Q246" s="8" t="str">
        <f>IFERROR(__xludf.DUMMYFUNCTION("""COMPUTED_VALUE"""),"協業レーベル『シーモア×Rush!Z』作品です。")</f>
        <v>協業レーベル『シーモア×Rush!Z』作品です。</v>
      </c>
      <c r="R246" s="9"/>
      <c r="S246" s="8" t="str">
        <f>IFERROR(__xludf.DUMMYFUNCTION("""COMPUTED_VALUE"""),"20230317_ファンギルド_ハーレムアプリ")</f>
        <v>20230317_ファンギルド_ハーレムアプリ</v>
      </c>
      <c r="T246" s="9"/>
      <c r="U246" s="9" t="str">
        <f>IFERROR(__xludf.DUMMYFUNCTION("""COMPUTED_VALUE"""),"©Kanitomato")</f>
        <v>©Kanitomato</v>
      </c>
      <c r="V246" s="8" t="str">
        <f>IFERROR(__xludf.DUMMYFUNCTION("""COMPUTED_VALUE"""),"毎日のように仕事のことで言い争うサラリーマンの市原倫太郎と仁科美玖。仕事のイライラが治らない…そんな倫太郎に同僚が進めたのはマッチングアプリ。なんでも「心」と「身体」の相性診断の結果をベースに、最適な相手とマッチングできるらしく、試しに登録してみると……相性100点の運命の相手が！？「みー」と名乗る相性100点の彼女とのやり取りは最高で、意気投合していくうちに彼女からエッチな写真が…！会いたい気持ちが抑えきれず、デートの約束を取り付け、いよいよ彼女と会う当日ーー待ち合わせ場所には、仲の悪い同僚の美玖がいて"&amp;"…！？「相性100点がどんなものか、アンタは知りたくないのーー？」")</f>
        <v>毎日のように仕事のことで言い争うサラリーマンの市原倫太郎と仁科美玖。仕事のイライラが治らない…そんな倫太郎に同僚が進めたのはマッチングアプリ。なんでも「心」と「身体」の相性診断の結果をベースに、最適な相手とマッチングできるらしく、試しに登録してみると……相性100点の運命の相手が！？「みー」と名乗る相性100点の彼女とのやり取りは最高で、意気投合していくうちに彼女からエッチな写真が…！会いたい気持ちが抑えきれず、デートの約束を取り付け、いよいよ彼女と会う当日ーー待ち合わせ場所には、仲の悪い同僚の美玖がいて…！？「相性100点がどんなものか、アンタは知りたくないのーー？」</v>
      </c>
      <c r="W246" s="8"/>
      <c r="X246" s="8" t="str">
        <f>IFERROR(__xludf.DUMMYFUNCTION("""COMPUTED_VALUE"""),"有")</f>
        <v>有</v>
      </c>
      <c r="Y246" s="8" t="str">
        <f>IFERROR(__xludf.DUMMYFUNCTION("""COMPUTED_VALUE"""),"5/7まで1巻無料")</f>
        <v>5/7まで1巻無料</v>
      </c>
      <c r="Z246" s="7"/>
      <c r="AA246" s="7"/>
      <c r="AB246" s="7"/>
    </row>
    <row r="247" ht="15.75" customHeight="1">
      <c r="A247" s="8">
        <f>IFERROR(__xludf.DUMMYFUNCTION("""COMPUTED_VALUE"""),1760.0)</f>
        <v>1760</v>
      </c>
      <c r="B247" s="9" t="str">
        <f>IFERROR(__xludf.DUMMYFUNCTION("""COMPUTED_VALUE"""),"確定")</f>
        <v>確定</v>
      </c>
      <c r="C247" s="10">
        <f>IFERROR(__xludf.DUMMYFUNCTION("""COMPUTED_VALUE"""),44984.0)</f>
        <v>44984</v>
      </c>
      <c r="D247" s="10">
        <f>IFERROR(__xludf.DUMMYFUNCTION("""COMPUTED_VALUE"""),44984.0)</f>
        <v>44984</v>
      </c>
      <c r="E247" s="8">
        <f>IFERROR(__xludf.DUMMYFUNCTION("""COMPUTED_VALUE"""),266533.0)</f>
        <v>266533</v>
      </c>
      <c r="F247" s="9" t="str">
        <f>IFERROR(__xludf.DUMMYFUNCTION("""COMPUTED_VALUE"""),"塩系上司が甘すぎる")</f>
        <v>塩系上司が甘すぎる</v>
      </c>
      <c r="G247" s="11" t="str">
        <f>IFERROR(__xludf.DUMMYFUNCTION("""COMPUTED_VALUE"""),"1～3")</f>
        <v>1～3</v>
      </c>
      <c r="H247" s="8" t="str">
        <f>IFERROR(__xludf.DUMMYFUNCTION("""COMPUTED_VALUE"""),"泉条ちえり・ガジュマル・風華弓弦")</f>
        <v>泉条ちえり・ガジュマル・風華弓弦</v>
      </c>
      <c r="I247" s="8" t="str">
        <f>IFERROR(__xludf.DUMMYFUNCTION("""COMPUTED_VALUE"""),"女性")</f>
        <v>女性</v>
      </c>
      <c r="J247" s="8"/>
      <c r="K247" s="8"/>
      <c r="L247" s="8" t="str">
        <f>IFERROR(__xludf.DUMMYFUNCTION("""COMPUTED_VALUE"""),"DPNブックス")</f>
        <v>DPNブックス</v>
      </c>
      <c r="M247" s="12">
        <f>IFERROR(__xludf.DUMMYFUNCTION("""COMPUTED_VALUE"""),45037.0)</f>
        <v>45037</v>
      </c>
      <c r="N247" s="12">
        <f>IFERROR(__xludf.DUMMYFUNCTION("""COMPUTED_VALUE"""),45066.0)</f>
        <v>45066</v>
      </c>
      <c r="O247" s="11"/>
      <c r="P247" s="9" t="str">
        <f>IFERROR(__xludf.DUMMYFUNCTION("""COMPUTED_VALUE"""),"可")</f>
        <v>可</v>
      </c>
      <c r="Q247" s="8"/>
      <c r="R247" s="9"/>
      <c r="S247" s="8" t="str">
        <f>IFERROR(__xludf.DUMMYFUNCTION("""COMPUTED_VALUE"""),"20230227_DPNブックス_塩系上司が甘すぎる")</f>
        <v>20230227_DPNブックス_塩系上司が甘すぎる</v>
      </c>
      <c r="T247" s="9"/>
      <c r="U247" s="9" t="str">
        <f>IFERROR(__xludf.DUMMYFUNCTION("""COMPUTED_VALUE"""),"©泉条ちえり・ガジュマル・風華弓弦／DPNブックス")</f>
        <v>©泉条ちえり・ガジュマル・風華弓弦／DPNブックス</v>
      </c>
      <c r="V247" s="8" t="str">
        <f>IFERROR(__xludf.DUMMYFUNCTION("""COMPUTED_VALUE"""),"私の部署は、時々凍る。3ヶ月前、部署を立て直すために30歳の課長がやってきた。仕事はできるし、英語も堪能。しかも、イケメン。パーフェクトな課長だけど、全ての社員に対して塩対応。指示出しも短い言葉で用件のみ。愛嬌のかけらもないから部署ではちょっと浮き気味……。そんな「塩系上司」に、なぜか地味でまじめが取り柄の私だけが溺愛されて……。今日もみんなに隠れてこっそり甘やかされてます！※本作品は小説投稿サイト「エブリスタ」で人気の「塩系上司が甘すぎる」のコミカライズです。")</f>
        <v>私の部署は、時々凍る。3ヶ月前、部署を立て直すために30歳の課長がやってきた。仕事はできるし、英語も堪能。しかも、イケメン。パーフェクトな課長だけど、全ての社員に対して塩対応。指示出しも短い言葉で用件のみ。愛嬌のかけらもないから部署ではちょっと浮き気味……。そんな「塩系上司」に、なぜか地味でまじめが取り柄の私だけが溺愛されて……。今日もみんなに隠れてこっそり甘やかされてます！※本作品は小説投稿サイト「エブリスタ」で人気の「塩系上司が甘すぎる」のコミカライズです。</v>
      </c>
      <c r="W247" s="8"/>
      <c r="X247" s="8" t="str">
        <f>IFERROR(__xludf.DUMMYFUNCTION("""COMPUTED_VALUE"""),"有")</f>
        <v>有</v>
      </c>
      <c r="Y247" s="8" t="str">
        <f>IFERROR(__xludf.DUMMYFUNCTION("""COMPUTED_VALUE"""),"5/20まで1巻無料")</f>
        <v>5/20まで1巻無料</v>
      </c>
      <c r="Z247" s="7"/>
      <c r="AA247" s="7"/>
      <c r="AB247" s="7"/>
    </row>
    <row r="248" ht="15.75" customHeight="1">
      <c r="A248" s="8">
        <f>IFERROR(__xludf.DUMMYFUNCTION("""COMPUTED_VALUE"""),1562.0)</f>
        <v>1562</v>
      </c>
      <c r="B248" s="9" t="str">
        <f>IFERROR(__xludf.DUMMYFUNCTION("""COMPUTED_VALUE"""),"確定")</f>
        <v>確定</v>
      </c>
      <c r="C248" s="10">
        <f>IFERROR(__xludf.DUMMYFUNCTION("""COMPUTED_VALUE"""),44894.0)</f>
        <v>44894</v>
      </c>
      <c r="D248" s="10">
        <f>IFERROR(__xludf.DUMMYFUNCTION("""COMPUTED_VALUE"""),44992.0)</f>
        <v>44992</v>
      </c>
      <c r="E248" s="8">
        <f>IFERROR(__xludf.DUMMYFUNCTION("""COMPUTED_VALUE"""),266556.0)</f>
        <v>266556</v>
      </c>
      <c r="F248" s="9" t="str">
        <f>IFERROR(__xludf.DUMMYFUNCTION("""COMPUTED_VALUE"""),"ブサ猫に変えられた気弱令嬢ですが、最恐の軍人公爵に拾われて気絶寸前です【分冊版】（コミック）")</f>
        <v>ブサ猫に変えられた気弱令嬢ですが、最恐の軍人公爵に拾われて気絶寸前です【分冊版】（コミック）</v>
      </c>
      <c r="G248" s="11" t="str">
        <f>IFERROR(__xludf.DUMMYFUNCTION("""COMPUTED_VALUE"""),"1～3")</f>
        <v>1～3</v>
      </c>
      <c r="H248" s="8" t="str">
        <f>IFERROR(__xludf.DUMMYFUNCTION("""COMPUTED_VALUE"""),"原作：岡達 英茉　イラスト：日下コウ　漫画家：オオトリ")</f>
        <v>原作：岡達 英茉　イラスト：日下コウ　漫画家：オオトリ</v>
      </c>
      <c r="I248" s="8" t="str">
        <f>IFERROR(__xludf.DUMMYFUNCTION("""COMPUTED_VALUE"""),"女性")</f>
        <v>女性</v>
      </c>
      <c r="J248" s="8"/>
      <c r="K248" s="8"/>
      <c r="L248" s="8" t="str">
        <f>IFERROR(__xludf.DUMMYFUNCTION("""COMPUTED_VALUE"""),"SBクリエイティブ")</f>
        <v>SBクリエイティブ</v>
      </c>
      <c r="M248" s="12">
        <f>IFERROR(__xludf.DUMMYFUNCTION("""COMPUTED_VALUE"""),45037.0)</f>
        <v>45037</v>
      </c>
      <c r="N248" s="12">
        <f>IFERROR(__xludf.DUMMYFUNCTION("""COMPUTED_VALUE"""),45126.0)</f>
        <v>45126</v>
      </c>
      <c r="O248" s="11"/>
      <c r="P248" s="9" t="str">
        <f>IFERROR(__xludf.DUMMYFUNCTION("""COMPUTED_VALUE"""),"可")</f>
        <v>可</v>
      </c>
      <c r="Q248" s="8" t="str">
        <f>IFERROR(__xludf.DUMMYFUNCTION("""COMPUTED_VALUE"""),"コミット")</f>
        <v>コミット</v>
      </c>
      <c r="R248" s="9" t="str">
        <f>IFERROR(__xludf.DUMMYFUNCTION("""COMPUTED_VALUE"""),"メディアドゥ様経由で3/6頃までにご提供予定")</f>
        <v>メディアドゥ様経由で3/6頃までにご提供予定</v>
      </c>
      <c r="S248" s="8" t="str">
        <f>IFERROR(__xludf.DUMMYFUNCTION("""COMPUTED_VALUE"""),"20230307_SBクリエイティブ_ブサ猫")</f>
        <v>20230307_SBクリエイティブ_ブサ猫</v>
      </c>
      <c r="T248" s="9"/>
      <c r="U248" s="9" t="str">
        <f>IFERROR(__xludf.DUMMYFUNCTION("""COMPUTED_VALUE"""),"Ⓒオオトリ／SBクリエイティブ　Ⓒ岡達英茉／ツギクル")</f>
        <v>Ⓒオオトリ／SBクリエイティブ　Ⓒ岡達英茉／ツギクル</v>
      </c>
      <c r="V248" s="8" t="str">
        <f>IFERROR(__xludf.DUMMYFUNCTION("""COMPUTED_VALUE"""),"呪われてブサ猫に――でももしかして幸せかも！？
「お姉さまには、猫にでもなってもらうわ」
妹エミリアに婚約者を奪われ、さらに呪いをかけられた子爵令嬢マリー。
鏡に映った彼女の姿は――ブサ猫！？
命からがら妹の元から逃げ出したものの、
声も出せず孤独と空腹で倒れ伏したマリーだったが、
そこに優しい手が差し伸べられる。
「こんな雨の中、可哀想に…私と一緒に来るか？」
その姿は、”冷酷無慈悲の無敗の公爵”と社交界でも噂の人物で――。
不遇の少女が唯一無二の幸せを手に入れる、幸せ猫ライフスタートです！")</f>
        <v>呪われてブサ猫に――でももしかして幸せかも！？
「お姉さまには、猫にでもなってもらうわ」
妹エミリアに婚約者を奪われ、さらに呪いをかけられた子爵令嬢マリー。
鏡に映った彼女の姿は――ブサ猫！？
命からがら妹の元から逃げ出したものの、
声も出せず孤独と空腹で倒れ伏したマリーだったが、
そこに優しい手が差し伸べられる。
「こんな雨の中、可哀想に…私と一緒に来るか？」
その姿は、”冷酷無慈悲の無敗の公爵”と社交界でも噂の人物で――。
不遇の少女が唯一無二の幸せを手に入れる、幸せ猫ライフスタートです！</v>
      </c>
      <c r="W248" s="8"/>
      <c r="X248" s="8" t="str">
        <f>IFERROR(__xludf.DUMMYFUNCTION("""COMPUTED_VALUE"""),"有")</f>
        <v>有</v>
      </c>
      <c r="Y248" s="8" t="str">
        <f>IFERROR(__xludf.DUMMYFUNCTION("""COMPUTED_VALUE"""),"P10まで")</f>
        <v>P10まで</v>
      </c>
      <c r="Z248" s="7"/>
      <c r="AA248" s="7"/>
      <c r="AB248" s="7"/>
    </row>
    <row r="249" ht="15.75" customHeight="1">
      <c r="A249" s="8">
        <f>IFERROR(__xludf.DUMMYFUNCTION("""COMPUTED_VALUE"""),1795.0)</f>
        <v>1795</v>
      </c>
      <c r="B249" s="9" t="str">
        <f>IFERROR(__xludf.DUMMYFUNCTION("""COMPUTED_VALUE"""),"確定")</f>
        <v>確定</v>
      </c>
      <c r="C249" s="10">
        <f>IFERROR(__xludf.DUMMYFUNCTION("""COMPUTED_VALUE"""),44995.0)</f>
        <v>44995</v>
      </c>
      <c r="D249" s="10">
        <f>IFERROR(__xludf.DUMMYFUNCTION("""COMPUTED_VALUE"""),44995.0)</f>
        <v>44995</v>
      </c>
      <c r="E249" s="8">
        <f>IFERROR(__xludf.DUMMYFUNCTION("""COMPUTED_VALUE"""),266535.0)</f>
        <v>266535</v>
      </c>
      <c r="F249" s="9" t="str">
        <f>IFERROR(__xludf.DUMMYFUNCTION("""COMPUTED_VALUE"""),"生意気ギャルをサキュバスにしてお仕置きしたった件")</f>
        <v>生意気ギャルをサキュバスにしてお仕置きしたった件</v>
      </c>
      <c r="G249" s="11">
        <f>IFERROR(__xludf.DUMMYFUNCTION("""COMPUTED_VALUE"""),1.0)</f>
        <v>1</v>
      </c>
      <c r="H249" s="8" t="str">
        <f>IFERROR(__xludf.DUMMYFUNCTION("""COMPUTED_VALUE"""),"タクロヲ")</f>
        <v>タクロヲ</v>
      </c>
      <c r="I249" s="8" t="str">
        <f>IFERROR(__xludf.DUMMYFUNCTION("""COMPUTED_VALUE"""),"オトナ")</f>
        <v>オトナ</v>
      </c>
      <c r="J249" s="8"/>
      <c r="K249" s="8"/>
      <c r="L249" s="8" t="str">
        <f>IFERROR(__xludf.DUMMYFUNCTION("""COMPUTED_VALUE"""),"ブリック出版")</f>
        <v>ブリック出版</v>
      </c>
      <c r="M249" s="12">
        <f>IFERROR(__xludf.DUMMYFUNCTION("""COMPUTED_VALUE"""),45037.0)</f>
        <v>45037</v>
      </c>
      <c r="N249" s="12">
        <f>IFERROR(__xludf.DUMMYFUNCTION("""COMPUTED_VALUE"""),45064.0)</f>
        <v>45064</v>
      </c>
      <c r="O249" s="11"/>
      <c r="P249" s="9" t="str">
        <f>IFERROR(__xludf.DUMMYFUNCTION("""COMPUTED_VALUE"""),"可")</f>
        <v>可</v>
      </c>
      <c r="Q249" s="8" t="str">
        <f>IFERROR(__xludf.DUMMYFUNCTION("""COMPUTED_VALUE"""),"出稿可であれば先行確定です。")</f>
        <v>出稿可であれば先行確定です。</v>
      </c>
      <c r="R249" s="9"/>
      <c r="S249" s="8" t="str">
        <f>IFERROR(__xludf.DUMMYFUNCTION("""COMPUTED_VALUE"""),"20230310_BookLive_生意気ギャルをサキュバスにしてお仕置きしたった件")</f>
        <v>20230310_BookLive_生意気ギャルをサキュバスにしてお仕置きしたった件</v>
      </c>
      <c r="T249" s="9"/>
      <c r="U249" s="9" t="str">
        <f>IFERROR(__xludf.DUMMYFUNCTION("""COMPUTED_VALUE"""),"©ブリック出版")</f>
        <v>©ブリック出版</v>
      </c>
      <c r="V249" s="8" t="str">
        <f>IFERROR(__xludf.DUMMYFUNCTION("""COMPUTED_VALUE"""),"今直伊久男はデブで不細工で態度も平身低頭で気弱。
そんな彼がある彼氏持ちのギャルに目をつけられイジメられてしまう。
度重なるいじめに耐えかねた伊久男はとある通販サイトで一冊の本を入手する。
その本は「読んだ女をサキュバスに変えてしまう」という効果があるらしい。
半信半疑で試した伊久男だったがその効果は本物で――。
伊久男の復讐お仕置き連続絶頂劇が始まる！")</f>
        <v>今直伊久男はデブで不細工で態度も平身低頭で気弱。
そんな彼がある彼氏持ちのギャルに目をつけられイジメられてしまう。
度重なるいじめに耐えかねた伊久男はとある通販サイトで一冊の本を入手する。
その本は「読んだ女をサキュバスに変えてしまう」という効果があるらしい。
半信半疑で試した伊久男だったがその効果は本物で――。
伊久男の復讐お仕置き連続絶頂劇が始まる！</v>
      </c>
      <c r="W249" s="8"/>
      <c r="X249" s="8" t="str">
        <f>IFERROR(__xludf.DUMMYFUNCTION("""COMPUTED_VALUE"""),"有")</f>
        <v>有</v>
      </c>
      <c r="Y249" s="8" t="str">
        <f>IFERROR(__xludf.DUMMYFUNCTION("""COMPUTED_VALUE"""),"P9まで")</f>
        <v>P9まで</v>
      </c>
      <c r="Z249" s="7"/>
      <c r="AA249" s="7"/>
      <c r="AB249" s="7"/>
    </row>
    <row r="250" ht="15.75" customHeight="1">
      <c r="A250" s="8">
        <f>IFERROR(__xludf.DUMMYFUNCTION("""COMPUTED_VALUE"""),1599.0)</f>
        <v>1599</v>
      </c>
      <c r="B250" s="9" t="str">
        <f>IFERROR(__xludf.DUMMYFUNCTION("""COMPUTED_VALUE"""),"確定")</f>
        <v>確定</v>
      </c>
      <c r="C250" s="10">
        <f>IFERROR(__xludf.DUMMYFUNCTION("""COMPUTED_VALUE"""),44911.0)</f>
        <v>44911</v>
      </c>
      <c r="D250" s="10">
        <f>IFERROR(__xludf.DUMMYFUNCTION("""COMPUTED_VALUE"""),45005.0)</f>
        <v>45005</v>
      </c>
      <c r="E250" s="8">
        <f>IFERROR(__xludf.DUMMYFUNCTION("""COMPUTED_VALUE"""),266633.0)</f>
        <v>266633</v>
      </c>
      <c r="F250" s="9" t="str">
        <f>IFERROR(__xludf.DUMMYFUNCTION("""COMPUTED_VALUE"""),"怪猥談【単話版】")</f>
        <v>怪猥談【単話版】</v>
      </c>
      <c r="G250" s="11" t="str">
        <f>IFERROR(__xludf.DUMMYFUNCTION("""COMPUTED_VALUE"""),"1～3")</f>
        <v>1～3</v>
      </c>
      <c r="H250" s="8" t="str">
        <f>IFERROR(__xludf.DUMMYFUNCTION("""COMPUTED_VALUE"""),"原作：古林仁史 　漫画：ふなつかずき")</f>
        <v>原作：古林仁史 　漫画：ふなつかずき</v>
      </c>
      <c r="I250" s="8" t="str">
        <f>IFERROR(__xludf.DUMMYFUNCTION("""COMPUTED_VALUE"""),"青年")</f>
        <v>青年</v>
      </c>
      <c r="J250" s="8"/>
      <c r="K250" s="8"/>
      <c r="L250" s="8" t="str">
        <f>IFERROR(__xludf.DUMMYFUNCTION("""COMPUTED_VALUE"""),"新潮社")</f>
        <v>新潮社</v>
      </c>
      <c r="M250" s="12">
        <f>IFERROR(__xludf.DUMMYFUNCTION("""COMPUTED_VALUE"""),45037.0)</f>
        <v>45037</v>
      </c>
      <c r="N250" s="12">
        <f>IFERROR(__xludf.DUMMYFUNCTION("""COMPUTED_VALUE"""),45146.0)</f>
        <v>45146</v>
      </c>
      <c r="O250" s="11"/>
      <c r="P250" s="9" t="str">
        <f>IFERROR(__xludf.DUMMYFUNCTION("""COMPUTED_VALUE"""),"可")</f>
        <v>可</v>
      </c>
      <c r="Q250" s="8" t="str">
        <f>IFERROR(__xludf.DUMMYFUNCTION("""COMPUTED_VALUE"""),"広告コミットOK（12/19）&lt;BR&gt;2月予定から4月に配信時期変更（1/11）古谷追記")</f>
        <v>広告コミットOK（12/19）&lt;BR&gt;2月予定から4月に配信時期変更（1/11）古谷追記</v>
      </c>
      <c r="R250" s="9"/>
      <c r="S250" s="8" t="str">
        <f>IFERROR(__xludf.DUMMYFUNCTION("""COMPUTED_VALUE"""),"20230320_新潮社_怪猥談【単話版】")</f>
        <v>20230320_新潮社_怪猥談【単話版】</v>
      </c>
      <c r="T250" s="9"/>
      <c r="U250" s="9" t="str">
        <f>IFERROR(__xludf.DUMMYFUNCTION("""COMPUTED_VALUE"""),"©Hitoshi Kobayashi Kazuki Funatsu 2023")</f>
        <v>©Hitoshi Kobayashi Kazuki Funatsu 2023</v>
      </c>
      <c r="V250" s="8" t="str">
        <f>IFERROR(__xludf.DUMMYFUNCTION("""COMPUTED_VALUE"""),"怪猥談師・綾左が蒐集するのは、欲望と恐怖が語られる「怪猥談」。怪談と猥談が交じり合ったその話の数々は、怪異の起きた現場で体験者から伝えられる。お嬢様大学に通う清野麻衣が暮らす家はいわゆる事故物件。あえてその部屋を借りた。その理由は――？　オムニバス形式で語られる性愛怪談話。単話版第1話！
")</f>
        <v>怪猥談師・綾左が蒐集するのは、欲望と恐怖が語られる「怪猥談」。怪談と猥談が交じり合ったその話の数々は、怪異の起きた現場で体験者から伝えられる。お嬢様大学に通う清野麻衣が暮らす家はいわゆる事故物件。あえてその部屋を借りた。その理由は――？　オムニバス形式で語られる性愛怪談話。単話版第1話！
</v>
      </c>
      <c r="W250" s="8"/>
      <c r="X250" s="8" t="str">
        <f>IFERROR(__xludf.DUMMYFUNCTION("""COMPUTED_VALUE"""),"有")</f>
        <v>有</v>
      </c>
      <c r="Y250" s="8" t="str">
        <f>IFERROR(__xludf.DUMMYFUNCTION("""COMPUTED_VALUE"""),"P12まで")</f>
        <v>P12まで</v>
      </c>
      <c r="Z250" s="7"/>
      <c r="AA250" s="7"/>
      <c r="AB250" s="7"/>
    </row>
    <row r="251" ht="15.75" customHeight="1">
      <c r="A251" s="8">
        <f>IFERROR(__xludf.DUMMYFUNCTION("""COMPUTED_VALUE"""),1819.0)</f>
        <v>1819</v>
      </c>
      <c r="B251" s="9" t="str">
        <f>IFERROR(__xludf.DUMMYFUNCTION("""COMPUTED_VALUE"""),"確定")</f>
        <v>確定</v>
      </c>
      <c r="C251" s="10">
        <f>IFERROR(__xludf.DUMMYFUNCTION("""COMPUTED_VALUE"""),45001.0)</f>
        <v>45001</v>
      </c>
      <c r="D251" s="10">
        <f>IFERROR(__xludf.DUMMYFUNCTION("""COMPUTED_VALUE"""),45009.0)</f>
        <v>45009</v>
      </c>
      <c r="E251" s="8">
        <f>IFERROR(__xludf.DUMMYFUNCTION("""COMPUTED_VALUE"""),265097.0)</f>
        <v>265097</v>
      </c>
      <c r="F251" s="9" t="str">
        <f>IFERROR(__xludf.DUMMYFUNCTION("""COMPUTED_VALUE"""),"初恋アスター【単話】")</f>
        <v>初恋アスター【単話】</v>
      </c>
      <c r="G251" s="11" t="str">
        <f>IFERROR(__xludf.DUMMYFUNCTION("""COMPUTED_VALUE"""),"1～3")</f>
        <v>1～3</v>
      </c>
      <c r="H251" s="8" t="str">
        <f>IFERROR(__xludf.DUMMYFUNCTION("""COMPUTED_VALUE"""),"桃乃すも")</f>
        <v>桃乃すも</v>
      </c>
      <c r="I251" s="14" t="str">
        <f>IFERROR(__xludf.DUMMYFUNCTION("""COMPUTED_VALUE"""),"女性")</f>
        <v>女性</v>
      </c>
      <c r="J251" s="8"/>
      <c r="K251" s="8"/>
      <c r="L251" s="8" t="str">
        <f>IFERROR(__xludf.DUMMYFUNCTION("""COMPUTED_VALUE"""),"祥伝社")</f>
        <v>祥伝社</v>
      </c>
      <c r="M251" s="12">
        <f>IFERROR(__xludf.DUMMYFUNCTION("""COMPUTED_VALUE"""),45037.0)</f>
        <v>45037</v>
      </c>
      <c r="N251" s="12">
        <f>IFERROR(__xludf.DUMMYFUNCTION("""COMPUTED_VALUE"""),45128.0)</f>
        <v>45128</v>
      </c>
      <c r="O251" s="11"/>
      <c r="P251" s="9" t="str">
        <f>IFERROR(__xludf.DUMMYFUNCTION("""COMPUTED_VALUE"""),"否")</f>
        <v>否</v>
      </c>
      <c r="Q251" s="8" t="str">
        <f>IFERROR(__xludf.DUMMYFUNCTION("""COMPUTED_VALUE"""),"協業作品です。「シーモア×マンガjam」")</f>
        <v>協業作品です。「シーモア×マンガjam」</v>
      </c>
      <c r="R251" s="9"/>
      <c r="S251" s="8" t="str">
        <f>IFERROR(__xludf.DUMMYFUNCTION("""COMPUTED_VALUE"""),"20230324_祥伝社_初恋アスター【単話】")</f>
        <v>20230324_祥伝社_初恋アスター【単話】</v>
      </c>
      <c r="T251" s="9"/>
      <c r="U251" s="9" t="str">
        <f>IFERROR(__xludf.DUMMYFUNCTION("""COMPUTED_VALUE"""),"©桃乃すも/祥伝社")</f>
        <v>©桃乃すも/祥伝社</v>
      </c>
      <c r="V251" s="8" t="str">
        <f>IFERROR(__xludf.DUMMYFUNCTION("""COMPUTED_VALUE"""),"「拗らせ小説家」×「恋がしたい女子大生」――ひとつ屋根の下、10歳差のふたりが紡ぐ恋物語！
小説家の橘紫苑（たちばな しおん）は執筆作業に追われながらも平穏な毎日を送っていた。ある日、大家の孫・花岡莉桜（はなおか りお）が大学進学を機に上京し、突然同居することに――!?恋愛に対して消極的な紫苑と、彼氏いない歴＝年齢で「恋をすること」が目標の莉桜は、価値観も性格も正反対のため出会って早々ケンカをしてしまう。果たして不器用なふたりの想いが交わる日は来るのか…。")</f>
        <v>「拗らせ小説家」×「恋がしたい女子大生」――ひとつ屋根の下、10歳差のふたりが紡ぐ恋物語！
小説家の橘紫苑（たちばな しおん）は執筆作業に追われながらも平穏な毎日を送っていた。ある日、大家の孫・花岡莉桜（はなおか りお）が大学進学を機に上京し、突然同居することに――!?恋愛に対して消極的な紫苑と、彼氏いない歴＝年齢で「恋をすること」が目標の莉桜は、価値観も性格も正反対のため出会って早々ケンカをしてしまう。果たして不器用なふたりの想いが交わる日は来るのか…。</v>
      </c>
      <c r="W251" s="8"/>
      <c r="X251" s="8" t="str">
        <f>IFERROR(__xludf.DUMMYFUNCTION("""COMPUTED_VALUE"""),"有")</f>
        <v>有</v>
      </c>
      <c r="Y251" s="8" t="str">
        <f>IFERROR(__xludf.DUMMYFUNCTION("""COMPUTED_VALUE"""),"7/21まで1巻無料")</f>
        <v>7/21まで1巻無料</v>
      </c>
      <c r="Z251" s="7"/>
      <c r="AA251" s="7"/>
      <c r="AB251" s="7"/>
    </row>
    <row r="252" ht="15.75" customHeight="1">
      <c r="A252" s="8">
        <f>IFERROR(__xludf.DUMMYFUNCTION("""COMPUTED_VALUE"""),1830.0)</f>
        <v>1830</v>
      </c>
      <c r="B252" s="9" t="str">
        <f>IFERROR(__xludf.DUMMYFUNCTION("""COMPUTED_VALUE"""),"確定")</f>
        <v>確定</v>
      </c>
      <c r="C252" s="10">
        <f>IFERROR(__xludf.DUMMYFUNCTION("""COMPUTED_VALUE"""),45005.0)</f>
        <v>45005</v>
      </c>
      <c r="D252" s="10">
        <f>IFERROR(__xludf.DUMMYFUNCTION("""COMPUTED_VALUE"""),45005.0)</f>
        <v>45005</v>
      </c>
      <c r="E252" s="8">
        <f>IFERROR(__xludf.DUMMYFUNCTION("""COMPUTED_VALUE"""),245017.0)</f>
        <v>245017</v>
      </c>
      <c r="F252" s="9" t="str">
        <f>IFERROR(__xludf.DUMMYFUNCTION("""COMPUTED_VALUE"""),"貧乏くんの嫁入り")</f>
        <v>貧乏くんの嫁入り</v>
      </c>
      <c r="G252" s="11" t="str">
        <f>IFERROR(__xludf.DUMMYFUNCTION("""COMPUTED_VALUE"""),"1～2")</f>
        <v>1～2</v>
      </c>
      <c r="H252" s="8" t="str">
        <f>IFERROR(__xludf.DUMMYFUNCTION("""COMPUTED_VALUE"""),"沿道")</f>
        <v>沿道</v>
      </c>
      <c r="I252" s="8" t="str">
        <f>IFERROR(__xludf.DUMMYFUNCTION("""COMPUTED_VALUE"""),"BL")</f>
        <v>BL</v>
      </c>
      <c r="J252" s="8"/>
      <c r="K252" s="8"/>
      <c r="L252" s="8" t="str">
        <f>IFERROR(__xludf.DUMMYFUNCTION("""COMPUTED_VALUE"""),"ソルマーレ編集部")</f>
        <v>ソルマーレ編集部</v>
      </c>
      <c r="M252" s="12">
        <f>IFERROR(__xludf.DUMMYFUNCTION("""COMPUTED_VALUE"""),45038.0)</f>
        <v>45038</v>
      </c>
      <c r="N252" s="12">
        <f>IFERROR(__xludf.DUMMYFUNCTION("""COMPUTED_VALUE"""),45099.0)</f>
        <v>45099</v>
      </c>
      <c r="O252" s="11"/>
      <c r="P252" s="9" t="str">
        <f>IFERROR(__xludf.DUMMYFUNCTION("""COMPUTED_VALUE"""),"可")</f>
        <v>可</v>
      </c>
      <c r="Q252" s="8"/>
      <c r="R252" s="9"/>
      <c r="S252" s="8" t="str">
        <f>IFERROR(__xludf.DUMMYFUNCTION("""COMPUTED_VALUE"""),"20230320_ソルマーレ編集部_貧乏くんの嫁入り")</f>
        <v>20230320_ソルマーレ編集部_貧乏くんの嫁入り</v>
      </c>
      <c r="T252" s="15"/>
      <c r="U252" s="9" t="str">
        <f>IFERROR(__xludf.DUMMYFUNCTION("""COMPUTED_VALUE"""),"Ⓒ 沿道/シーモアコミックス")</f>
        <v>Ⓒ 沿道/シーモアコミックス</v>
      </c>
      <c r="V252" s="8" t="str">
        <f>IFERROR(__xludf.DUMMYFUNCTION("""COMPUTED_VALUE"""),"未成年の兄弟姉妹4人と暮らし、亡き両親に代わって家庭と家計を一人で支える朝陽。そんな朝陽に金持ちマウントのごとくなにかと絡んでくる社長令息の超お金持ちエリートな幼馴染、湊。ある日、朝陽が勤め先の会社の突然の倒産により路頭に迷っていると、湊から願ってもない条件でとある「契約」を持ちかけられる。その「契約」がとんでもない事態を引き起こすことに――!?【フィカス】
")</f>
        <v>未成年の兄弟姉妹4人と暮らし、亡き両親に代わって家庭と家計を一人で支える朝陽。そんな朝陽に金持ちマウントのごとくなにかと絡んでくる社長令息の超お金持ちエリートな幼馴染、湊。ある日、朝陽が勤め先の会社の突然の倒産により路頭に迷っていると、湊から願ってもない条件でとある「契約」を持ちかけられる。その「契約」がとんでもない事態を引き起こすことに――!?【フィカス】
</v>
      </c>
      <c r="W252" s="8"/>
      <c r="X252" s="8" t="str">
        <f>IFERROR(__xludf.DUMMYFUNCTION("""COMPUTED_VALUE"""),"有")</f>
        <v>有</v>
      </c>
      <c r="Y252" s="8" t="str">
        <f>IFERROR(__xludf.DUMMYFUNCTION("""COMPUTED_VALUE"""),"5/5まで1巻無料")</f>
        <v>5/5まで1巻無料</v>
      </c>
      <c r="Z252" s="7"/>
      <c r="AA252" s="7"/>
      <c r="AB252" s="7"/>
    </row>
    <row r="253" ht="15.75" customHeight="1">
      <c r="A253" s="8">
        <f>IFERROR(__xludf.DUMMYFUNCTION("""COMPUTED_VALUE"""),1831.0)</f>
        <v>1831</v>
      </c>
      <c r="B253" s="9" t="str">
        <f>IFERROR(__xludf.DUMMYFUNCTION("""COMPUTED_VALUE"""),"確定")</f>
        <v>確定</v>
      </c>
      <c r="C253" s="10">
        <f>IFERROR(__xludf.DUMMYFUNCTION("""COMPUTED_VALUE"""),45005.0)</f>
        <v>45005</v>
      </c>
      <c r="D253" s="10">
        <f>IFERROR(__xludf.DUMMYFUNCTION("""COMPUTED_VALUE"""),45005.0)</f>
        <v>45005</v>
      </c>
      <c r="E253" s="8">
        <f>IFERROR(__xludf.DUMMYFUNCTION("""COMPUTED_VALUE"""),242969.0)</f>
        <v>242969</v>
      </c>
      <c r="F253" s="9" t="str">
        <f>IFERROR(__xludf.DUMMYFUNCTION("""COMPUTED_VALUE"""),"上司の妻(フルカラー)")</f>
        <v>上司の妻(フルカラー)</v>
      </c>
      <c r="G253" s="11" t="str">
        <f>IFERROR(__xludf.DUMMYFUNCTION("""COMPUTED_VALUE"""),"1～3")</f>
        <v>1～3</v>
      </c>
      <c r="H253" s="8" t="str">
        <f>IFERROR(__xludf.DUMMYFUNCTION("""COMPUTED_VALUE"""),"蒼沼シズマ")</f>
        <v>蒼沼シズマ</v>
      </c>
      <c r="I253" s="14" t="str">
        <f>IFERROR(__xludf.DUMMYFUNCTION("""COMPUTED_VALUE"""),"オトナ")</f>
        <v>オトナ</v>
      </c>
      <c r="J253" s="8"/>
      <c r="K253" s="8"/>
      <c r="L253" s="8" t="str">
        <f>IFERROR(__xludf.DUMMYFUNCTION("""COMPUTED_VALUE"""),"ソルマーレ編集部")</f>
        <v>ソルマーレ編集部</v>
      </c>
      <c r="M253" s="12">
        <f>IFERROR(__xludf.DUMMYFUNCTION("""COMPUTED_VALUE"""),45038.0)</f>
        <v>45038</v>
      </c>
      <c r="N253" s="12">
        <f>IFERROR(__xludf.DUMMYFUNCTION("""COMPUTED_VALUE"""),45099.0)</f>
        <v>45099</v>
      </c>
      <c r="O253" s="11"/>
      <c r="P253" s="9" t="str">
        <f>IFERROR(__xludf.DUMMYFUNCTION("""COMPUTED_VALUE"""),"可")</f>
        <v>可</v>
      </c>
      <c r="Q253" s="8" t="str">
        <f>IFERROR(__xludf.DUMMYFUNCTION("""COMPUTED_VALUE"""),"※正式タイトル下記の通りです（3/20）&lt;BR&gt;＝＝＝&lt;BR&gt;上司の妻(フルカラー)&lt;BR&gt;＝＝＝&lt;BR&gt;")</f>
        <v>※正式タイトル下記の通りです（3/20）&lt;BR&gt;＝＝＝&lt;BR&gt;上司の妻(フルカラー)&lt;BR&gt;＝＝＝&lt;BR&gt;</v>
      </c>
      <c r="R253" s="9"/>
      <c r="S253" s="8" t="str">
        <f>IFERROR(__xludf.DUMMYFUNCTION("""COMPUTED_VALUE"""),"20230320_ソルマーレ編集部_上司の妻(フルカラー)")</f>
        <v>20230320_ソルマーレ編集部_上司の妻(フルカラー)</v>
      </c>
      <c r="T253" s="15"/>
      <c r="U253" s="9" t="str">
        <f>IFERROR(__xludf.DUMMYFUNCTION("""COMPUTED_VALUE"""),"Ⓒ 蒼沼シズマ/シーモアコミックス")</f>
        <v>Ⓒ 蒼沼シズマ/シーモアコミックス</v>
      </c>
      <c r="V253" s="8" t="str">
        <f>IFERROR(__xludf.DUMMYFUNCTION("""COMPUTED_VALUE"""),"「あの人の浮気相手と証拠を見つけてほしいの」大口契約を勝ち取り、上司の家に招かれた赤木アキラ
そこでかつて憧れていたシズカ先輩と上司の妻として再会を果した…
酔いつぶれた上司の目前でシズカから浮気の相談をされ妖艶な誘いを受け理性が飛んでしまった！
「赤木君…私を慰めて……」体を対価に社内での浮気の調査を依頼された…なんと調査対象はアキラの女性上司達だった――！【桃色エンジェル】")</f>
        <v>「あの人の浮気相手と証拠を見つけてほしいの」大口契約を勝ち取り、上司の家に招かれた赤木アキラ
そこでかつて憧れていたシズカ先輩と上司の妻として再会を果した…
酔いつぶれた上司の目前でシズカから浮気の相談をされ妖艶な誘いを受け理性が飛んでしまった！
「赤木君…私を慰めて……」体を対価に社内での浮気の調査を依頼された…なんと調査対象はアキラの女性上司達だった――！【桃色エンジェル】</v>
      </c>
      <c r="W253" s="8"/>
      <c r="X253" s="8" t="str">
        <f>IFERROR(__xludf.DUMMYFUNCTION("""COMPUTED_VALUE"""),"有")</f>
        <v>有</v>
      </c>
      <c r="Y253" s="8" t="str">
        <f>IFERROR(__xludf.DUMMYFUNCTION("""COMPUTED_VALUE"""),"P10まで")</f>
        <v>P10まで</v>
      </c>
      <c r="Z253" s="7"/>
      <c r="AA253" s="7"/>
      <c r="AB253" s="7"/>
    </row>
    <row r="254" ht="15.75" customHeight="1">
      <c r="A254" s="8">
        <f>IFERROR(__xludf.DUMMYFUNCTION("""COMPUTED_VALUE"""),1856.0)</f>
        <v>1856</v>
      </c>
      <c r="B254" s="9" t="str">
        <f>IFERROR(__xludf.DUMMYFUNCTION("""COMPUTED_VALUE"""),"確定")</f>
        <v>確定</v>
      </c>
      <c r="C254" s="10">
        <f>IFERROR(__xludf.DUMMYFUNCTION("""COMPUTED_VALUE"""),45021.0)</f>
        <v>45021</v>
      </c>
      <c r="D254" s="10">
        <f>IFERROR(__xludf.DUMMYFUNCTION("""COMPUTED_VALUE"""),45022.0)</f>
        <v>45022</v>
      </c>
      <c r="E254" s="8">
        <f>IFERROR(__xludf.DUMMYFUNCTION("""COMPUTED_VALUE"""),266867.0)</f>
        <v>266867</v>
      </c>
      <c r="F254" s="9" t="str">
        <f>IFERROR(__xludf.DUMMYFUNCTION("""COMPUTED_VALUE"""),"パラダイスヘル")</f>
        <v>パラダイスヘル</v>
      </c>
      <c r="G254" s="11" t="str">
        <f>IFERROR(__xludf.DUMMYFUNCTION("""COMPUTED_VALUE"""),"1～3")</f>
        <v>1～3</v>
      </c>
      <c r="H254" s="8" t="str">
        <f>IFERROR(__xludf.DUMMYFUNCTION("""COMPUTED_VALUE"""),"冬坂あゆる")</f>
        <v>冬坂あゆる</v>
      </c>
      <c r="I254" s="14" t="str">
        <f>IFERROR(__xludf.DUMMYFUNCTION("""COMPUTED_VALUE"""),"青年")</f>
        <v>青年</v>
      </c>
      <c r="J254" s="8"/>
      <c r="K254" s="8"/>
      <c r="L254" s="8" t="str">
        <f>IFERROR(__xludf.DUMMYFUNCTION("""COMPUTED_VALUE"""),"双葉社")</f>
        <v>双葉社</v>
      </c>
      <c r="M254" s="12">
        <f>IFERROR(__xludf.DUMMYFUNCTION("""COMPUTED_VALUE"""),45038.0)</f>
        <v>45038</v>
      </c>
      <c r="N254" s="12">
        <f>IFERROR(__xludf.DUMMYFUNCTION("""COMPUTED_VALUE"""),45098.0)</f>
        <v>45098</v>
      </c>
      <c r="O254" s="11"/>
      <c r="P254" s="9" t="str">
        <f>IFERROR(__xludf.DUMMYFUNCTION("""COMPUTED_VALUE"""),"可")</f>
        <v>可</v>
      </c>
      <c r="Q254" s="8" t="str">
        <f>IFERROR(__xludf.DUMMYFUNCTION("""COMPUTED_VALUE"""),"【協業作品】&lt;BR&gt;&lt;BR&gt;河上さん事前チェック済み")</f>
        <v>【協業作品】&lt;BR&gt;&lt;BR&gt;河上さん事前チェック済み</v>
      </c>
      <c r="R254" s="9" t="str">
        <f>IFERROR(__xludf.DUMMYFUNCTION("""COMPUTED_VALUE"""),"納品済み（素材フォルダに格納）")</f>
        <v>納品済み（素材フォルダに格納）</v>
      </c>
      <c r="S254" s="8" t="str">
        <f>IFERROR(__xludf.DUMMYFUNCTION("""COMPUTED_VALUE"""),"20230406_双葉社_パラダイスヘル")</f>
        <v>20230406_双葉社_パラダイスヘル</v>
      </c>
      <c r="T254" s="15"/>
      <c r="U254" s="9" t="str">
        <f>IFERROR(__xludf.DUMMYFUNCTION("""COMPUTED_VALUE"""),"©冬坂あゆる・COMIC ROOM/双葉社")</f>
        <v>©冬坂あゆる・COMIC ROOM/双葉社</v>
      </c>
      <c r="V254" s="8" t="str">
        <f>IFERROR(__xludf.DUMMYFUNCTION("""COMPUTED_VALUE"""),"金なし、彼女なし、友達なしの苦学生・神城静21歳。同じ大学で友達とも呼べない知り合いに勧められた投資詐欺に引っかかり、自宅で意気消沈していると、隣人の女子大生の大きな喘ぎ声が聞こえてくる。布団にくるまり苦しむ自分と、彼氏とハッスルしている女子大生。そのあまりに理不尽な違いに思わず発狂し、勢いそのままに壁パンをかましたところ壁が貫通。すると、女子大生とその彼氏が乗り込んできて半殺しにされる。絶望を通り越し、暗黒の感情が充満したその時、目の前に魔界からの使者が現れる。一瞬にして、彼氏の首が飛び、そして使者はこ"&amp;"う告げるーー。「その女、×××しなよ」超絶画力で紡ぐ“エロ×グロ“の男子校ノリ全開の不謹慎エンターテインメント！")</f>
        <v>金なし、彼女なし、友達なしの苦学生・神城静21歳。同じ大学で友達とも呼べない知り合いに勧められた投資詐欺に引っかかり、自宅で意気消沈していると、隣人の女子大生の大きな喘ぎ声が聞こえてくる。布団にくるまり苦しむ自分と、彼氏とハッスルしている女子大生。そのあまりに理不尽な違いに思わず発狂し、勢いそのままに壁パンをかましたところ壁が貫通。すると、女子大生とその彼氏が乗り込んできて半殺しにされる。絶望を通り越し、暗黒の感情が充満したその時、目の前に魔界からの使者が現れる。一瞬にして、彼氏の首が飛び、そして使者はこう告げるーー。「その女、×××しなよ」超絶画力で紡ぐ“エロ×グロ“の男子校ノリ全開の不謹慎エンターテインメント！</v>
      </c>
      <c r="W254" s="8"/>
      <c r="X254" s="8" t="str">
        <f>IFERROR(__xludf.DUMMYFUNCTION("""COMPUTED_VALUE"""),"有")</f>
        <v>有</v>
      </c>
      <c r="Y254" s="8" t="str">
        <f>IFERROR(__xludf.DUMMYFUNCTION("""COMPUTED_VALUE"""),"P9まで")</f>
        <v>P9まで</v>
      </c>
      <c r="Z254" s="7"/>
      <c r="AA254" s="7"/>
      <c r="AB254" s="7"/>
    </row>
    <row r="255" ht="15.75" customHeight="1">
      <c r="A255" s="8">
        <f>IFERROR(__xludf.DUMMYFUNCTION("""COMPUTED_VALUE"""),1808.0)</f>
        <v>1808</v>
      </c>
      <c r="B255" s="9" t="str">
        <f>IFERROR(__xludf.DUMMYFUNCTION("""COMPUTED_VALUE"""),"確定")</f>
        <v>確定</v>
      </c>
      <c r="C255" s="10">
        <f>IFERROR(__xludf.DUMMYFUNCTION("""COMPUTED_VALUE"""),45000.0)</f>
        <v>45000</v>
      </c>
      <c r="D255" s="10">
        <f>IFERROR(__xludf.DUMMYFUNCTION("""COMPUTED_VALUE"""),45016.0)</f>
        <v>45016</v>
      </c>
      <c r="E255" s="8">
        <f>IFERROR(__xludf.DUMMYFUNCTION("""COMPUTED_VALUE"""),266710.0)</f>
        <v>266710</v>
      </c>
      <c r="F255" s="9" t="str">
        <f>IFERROR(__xludf.DUMMYFUNCTION("""COMPUTED_VALUE"""),"来世には巡り逢わないように")</f>
        <v>来世には巡り逢わないように</v>
      </c>
      <c r="G255" s="11" t="str">
        <f>IFERROR(__xludf.DUMMYFUNCTION("""COMPUTED_VALUE"""),"1~30")</f>
        <v>1~30</v>
      </c>
      <c r="H255" s="8" t="str">
        <f>IFERROR(__xludf.DUMMYFUNCTION("""COMPUTED_VALUE"""),"天襲, 草帽鹿, GuLa manshe")</f>
        <v>天襲, 草帽鹿, GuLa manshe</v>
      </c>
      <c r="I255" s="8" t="str">
        <f>IFERROR(__xludf.DUMMYFUNCTION("""COMPUTED_VALUE"""),"BL")</f>
        <v>BL</v>
      </c>
      <c r="J255" s="8"/>
      <c r="K255" s="8"/>
      <c r="L255" s="8" t="str">
        <f>IFERROR(__xludf.DUMMYFUNCTION("""COMPUTED_VALUE"""),"NHNcomico")</f>
        <v>NHNcomico</v>
      </c>
      <c r="M255" s="12">
        <f>IFERROR(__xludf.DUMMYFUNCTION("""COMPUTED_VALUE"""),45040.0)</f>
        <v>45040</v>
      </c>
      <c r="N255" s="12">
        <f>IFERROR(__xludf.DUMMYFUNCTION("""COMPUTED_VALUE"""),45102.0)</f>
        <v>45102</v>
      </c>
      <c r="O255" s="11"/>
      <c r="P255" s="9" t="str">
        <f>IFERROR(__xludf.DUMMYFUNCTION("""COMPUTED_VALUE"""),"可")</f>
        <v>可</v>
      </c>
      <c r="Q255" s="8" t="str">
        <f>IFERROR(__xludf.DUMMYFUNCTION("""COMPUTED_VALUE"""),"広告コミットOK（3/20）&lt;BR&gt;")</f>
        <v>広告コミットOK（3/20）&lt;BR&gt;</v>
      </c>
      <c r="R255" s="9"/>
      <c r="S255" s="8" t="str">
        <f>IFERROR(__xludf.DUMMYFUNCTION("""COMPUTED_VALUE"""),"20230331_comico_来世には巡り逢わないように")</f>
        <v>20230331_comico_来世には巡り逢わないように</v>
      </c>
      <c r="T255" s="9"/>
      <c r="U255" s="9" t="str">
        <f>IFERROR(__xludf.DUMMYFUNCTION("""COMPUTED_VALUE"""),"© BILIBILI COMICS / 天襲 / 草帽鹿, 空風夏/GuLa manshe")</f>
        <v>© BILIBILI COMICS / 天襲 / 草帽鹿, 空風夏/GuLa manshe</v>
      </c>
      <c r="V255" s="8" t="str">
        <f>IFERROR(__xludf.DUMMYFUNCTION("""COMPUTED_VALUE"""),"夏目 臨海は西園寺 延之に全身全霊を捧げたが、結局彼の身代りとしてしか愛してもらえなかった。10年前に戻り人生をやり直すことになった臨海は、延之との腐れ縁を断ち切るべく、彼のそばから離れようと決心した…
")</f>
        <v>夏目 臨海は西園寺 延之に全身全霊を捧げたが、結局彼の身代りとしてしか愛してもらえなかった。10年前に戻り人生をやり直すことになった臨海は、延之との腐れ縁を断ち切るべく、彼のそばから離れようと決心した…
</v>
      </c>
      <c r="W255" s="8"/>
      <c r="X255" s="9" t="str">
        <f>IFERROR(__xludf.DUMMYFUNCTION("""COMPUTED_VALUE"""),"有")</f>
        <v>有</v>
      </c>
      <c r="Y255" s="8" t="str">
        <f>IFERROR(__xludf.DUMMYFUNCTION("""COMPUTED_VALUE"""),"1～3巻無料ストリーミング
4～5巻　5/14まで無料")</f>
        <v>1～3巻無料ストリーミング
4～5巻　5/14まで無料</v>
      </c>
      <c r="Z255" s="7"/>
      <c r="AA255" s="7"/>
      <c r="AB255" s="7"/>
    </row>
    <row r="256" ht="15.75" customHeight="1">
      <c r="A256" s="8">
        <f>IFERROR(__xludf.DUMMYFUNCTION("""COMPUTED_VALUE"""),1815.0)</f>
        <v>1815</v>
      </c>
      <c r="B256" s="9" t="str">
        <f>IFERROR(__xludf.DUMMYFUNCTION("""COMPUTED_VALUE"""),"確定")</f>
        <v>確定</v>
      </c>
      <c r="C256" s="10">
        <f>IFERROR(__xludf.DUMMYFUNCTION("""COMPUTED_VALUE"""),45001.0)</f>
        <v>45001</v>
      </c>
      <c r="D256" s="10">
        <f>IFERROR(__xludf.DUMMYFUNCTION("""COMPUTED_VALUE"""),45001.0)</f>
        <v>45001</v>
      </c>
      <c r="E256" s="8">
        <f>IFERROR(__xludf.DUMMYFUNCTION("""COMPUTED_VALUE"""),265758.0)</f>
        <v>265758</v>
      </c>
      <c r="F256" s="9" t="str">
        <f>IFERROR(__xludf.DUMMYFUNCTION("""COMPUTED_VALUE"""),"嫌われ魔女と体が入れ替わったけれど、私は今日も元気に暮らしています")</f>
        <v>嫌われ魔女と体が入れ替わったけれど、私は今日も元気に暮らしています</v>
      </c>
      <c r="G256" s="11" t="str">
        <f>IFERROR(__xludf.DUMMYFUNCTION("""COMPUTED_VALUE"""),"1～3")</f>
        <v>1～3</v>
      </c>
      <c r="H256" s="8" t="str">
        <f>IFERROR(__xludf.DUMMYFUNCTION("""COMPUTED_VALUE"""),"江本マシメサ┴十悠")</f>
        <v>江本マシメサ┴十悠</v>
      </c>
      <c r="I256" s="8" t="str">
        <f>IFERROR(__xludf.DUMMYFUNCTION("""COMPUTED_VALUE"""),"女性")</f>
        <v>女性</v>
      </c>
      <c r="J256" s="8"/>
      <c r="K256" s="8"/>
      <c r="L256" s="8" t="str">
        <f>IFERROR(__xludf.DUMMYFUNCTION("""COMPUTED_VALUE"""),"秋田書店")</f>
        <v>秋田書店</v>
      </c>
      <c r="M256" s="12">
        <f>IFERROR(__xludf.DUMMYFUNCTION("""COMPUTED_VALUE"""),45013.0)</f>
        <v>45013</v>
      </c>
      <c r="N256" s="12">
        <f>IFERROR(__xludf.DUMMYFUNCTION("""COMPUTED_VALUE"""),45068.0)</f>
        <v>45068</v>
      </c>
      <c r="O256" s="11"/>
      <c r="P256" s="9" t="str">
        <f>IFERROR(__xludf.DUMMYFUNCTION("""COMPUTED_VALUE"""),"否")</f>
        <v>否</v>
      </c>
      <c r="Q256" s="8"/>
      <c r="R256" s="9"/>
      <c r="S256" s="8" t="str">
        <f>IFERROR(__xludf.DUMMYFUNCTION("""COMPUTED_VALUE"""),"20230316_秋田書店_4月新作素材")</f>
        <v>20230316_秋田書店_4月新作素材</v>
      </c>
      <c r="T256" s="9"/>
      <c r="U256" s="9" t="str">
        <f>IFERROR(__xludf.DUMMYFUNCTION("""COMPUTED_VALUE"""),"©江本マシメサ（エブリスタ）十悠（秋田書店）")</f>
        <v>©江本マシメサ（エブリスタ）十悠（秋田書店）</v>
      </c>
      <c r="V256" s="8" t="str">
        <f>IFERROR(__xludf.DUMMYFUNCTION("""COMPUTED_VALUE"""),"入れ替わりから始まる幸せスローライフ！ 魔法使い放題の幸せな毎日が始まります――　雪の国「スニューウ」の王女・マリエッタは魔法が使えないが故に魔法の塔に閉じ込められてしまう。8年後、銀の国の王子との結婚式の日に聖獣召喚の儀に成功したと思われたが、そこに現れたのは…!?
")</f>
        <v>入れ替わりから始まる幸せスローライフ！ 魔法使い放題の幸せな毎日が始まります――　雪の国「スニューウ」の王女・マリエッタは魔法が使えないが故に魔法の塔に閉じ込められてしまう。8年後、銀の国の王子との結婚式の日に聖獣召喚の儀に成功したと思われたが、そこに現れたのは…!?
</v>
      </c>
      <c r="W256" s="8"/>
      <c r="X256" s="8" t="str">
        <f>IFERROR(__xludf.DUMMYFUNCTION("""COMPUTED_VALUE"""),"有")</f>
        <v>有</v>
      </c>
      <c r="Y256" s="8" t="str">
        <f>IFERROR(__xludf.DUMMYFUNCTION("""COMPUTED_VALUE"""),"5/22まで1巻無料")</f>
        <v>5/22まで1巻無料</v>
      </c>
      <c r="Z256" s="7"/>
      <c r="AA256" s="7"/>
      <c r="AB256" s="7"/>
    </row>
    <row r="257" ht="15.75" customHeight="1">
      <c r="A257" s="8">
        <f>IFERROR(__xludf.DUMMYFUNCTION("""COMPUTED_VALUE"""),1842.0)</f>
        <v>1842</v>
      </c>
      <c r="B257" s="9" t="str">
        <f>IFERROR(__xludf.DUMMYFUNCTION("""COMPUTED_VALUE"""),"確定")</f>
        <v>確定</v>
      </c>
      <c r="C257" s="10">
        <f>IFERROR(__xludf.DUMMYFUNCTION("""COMPUTED_VALUE"""),45015.0)</f>
        <v>45015</v>
      </c>
      <c r="D257" s="10">
        <f>IFERROR(__xludf.DUMMYFUNCTION("""COMPUTED_VALUE"""),45015.0)</f>
        <v>45015</v>
      </c>
      <c r="E257" s="8">
        <f>IFERROR(__xludf.DUMMYFUNCTION("""COMPUTED_VALUE"""),266733.0)</f>
        <v>266733</v>
      </c>
      <c r="F257" s="9" t="str">
        <f>IFERROR(__xludf.DUMMYFUNCTION("""COMPUTED_VALUE"""),"隠したがりの同期くん　分冊版")</f>
        <v>隠したがりの同期くん　分冊版</v>
      </c>
      <c r="G257" s="11" t="str">
        <f>IFERROR(__xludf.DUMMYFUNCTION("""COMPUTED_VALUE"""),"1～5")</f>
        <v>1～5</v>
      </c>
      <c r="H257" s="8" t="str">
        <f>IFERROR(__xludf.DUMMYFUNCTION("""COMPUTED_VALUE"""),"袖山みみり")</f>
        <v>袖山みみり</v>
      </c>
      <c r="I257" s="8" t="str">
        <f>IFERROR(__xludf.DUMMYFUNCTION("""COMPUTED_VALUE"""),"女性")</f>
        <v>女性</v>
      </c>
      <c r="J257" s="8"/>
      <c r="K257" s="8"/>
      <c r="L257" s="8" t="str">
        <f>IFERROR(__xludf.DUMMYFUNCTION("""COMPUTED_VALUE"""),"集英社")</f>
        <v>集英社</v>
      </c>
      <c r="M257" s="12">
        <f>IFERROR(__xludf.DUMMYFUNCTION("""COMPUTED_VALUE"""),45041.0)</f>
        <v>45041</v>
      </c>
      <c r="N257" s="12">
        <f>IFERROR(__xludf.DUMMYFUNCTION("""COMPUTED_VALUE"""),45071.0)</f>
        <v>45071</v>
      </c>
      <c r="O257" s="11"/>
      <c r="P257" s="9" t="str">
        <f>IFERROR(__xludf.DUMMYFUNCTION("""COMPUTED_VALUE"""),"否")</f>
        <v>否</v>
      </c>
      <c r="Q257" s="8"/>
      <c r="R257" s="9"/>
      <c r="S257" s="8" t="str">
        <f>IFERROR(__xludf.DUMMYFUNCTION("""COMPUTED_VALUE"""),"20230329_集英社_4月新作")</f>
        <v>20230329_集英社_4月新作</v>
      </c>
      <c r="T257" s="9"/>
      <c r="U257" s="9" t="str">
        <f>IFERROR(__xludf.DUMMYFUNCTION("""COMPUTED_VALUE"""),"©袖山みみり／集英社")</f>
        <v>©袖山みみり／集英社</v>
      </c>
      <c r="V257" s="8" t="str">
        <f>IFERROR(__xludf.DUMMYFUNCTION("""COMPUTED_VALUE"""),"筋肉好き女子×細マッチョ男子、見て！　触って！　恋をして？　ドタバタ筋肉ラブコメディ　犬山かれんは細マッチョが大大大好きなOL。今日も仕事の合間に雑誌で筋肉ウォッチング！　そんな至福の時を邪魔するのは、口うるさい同期、細川拓真。細川は華奢で文化系な雰囲気で対象外。そんなある日、ハプニングが重なり細川くんの意外な一面を知ってしまう。彼の身体は筋肉フェチ垂涎のワガママ細マッチョBodyだった！　細川君の身体に、筋肉に触れたい！　暴走するかれんは大胆な申し出をする…！")</f>
        <v>筋肉好き女子×細マッチョ男子、見て！　触って！　恋をして？　ドタバタ筋肉ラブコメディ　犬山かれんは細マッチョが大大大好きなOL。今日も仕事の合間に雑誌で筋肉ウォッチング！　そんな至福の時を邪魔するのは、口うるさい同期、細川拓真。細川は華奢で文化系な雰囲気で対象外。そんなある日、ハプニングが重なり細川くんの意外な一面を知ってしまう。彼の身体は筋肉フェチ垂涎のワガママ細マッチョBodyだった！　細川君の身体に、筋肉に触れたい！　暴走するかれんは大胆な申し出をする…！</v>
      </c>
      <c r="W257" s="8"/>
      <c r="X257" s="8" t="str">
        <f>IFERROR(__xludf.DUMMYFUNCTION("""COMPUTED_VALUE"""),"有")</f>
        <v>有</v>
      </c>
      <c r="Y257" s="8" t="str">
        <f>IFERROR(__xludf.DUMMYFUNCTION("""COMPUTED_VALUE"""),"5/8まで1巻無料")</f>
        <v>5/8まで1巻無料</v>
      </c>
      <c r="Z257" s="7"/>
      <c r="AA257" s="7"/>
      <c r="AB257" s="7"/>
    </row>
    <row r="258" ht="15.75" customHeight="1">
      <c r="A258" s="8">
        <f>IFERROR(__xludf.DUMMYFUNCTION("""COMPUTED_VALUE"""),1843.0)</f>
        <v>1843</v>
      </c>
      <c r="B258" s="9" t="str">
        <f>IFERROR(__xludf.DUMMYFUNCTION("""COMPUTED_VALUE"""),"確定")</f>
        <v>確定</v>
      </c>
      <c r="C258" s="10">
        <f>IFERROR(__xludf.DUMMYFUNCTION("""COMPUTED_VALUE"""),45015.0)</f>
        <v>45015</v>
      </c>
      <c r="D258" s="10">
        <f>IFERROR(__xludf.DUMMYFUNCTION("""COMPUTED_VALUE"""),45015.0)</f>
        <v>45015</v>
      </c>
      <c r="E258" s="8">
        <f>IFERROR(__xludf.DUMMYFUNCTION("""COMPUTED_VALUE"""),266751.0)</f>
        <v>266751</v>
      </c>
      <c r="F258" s="9" t="str">
        <f>IFERROR(__xludf.DUMMYFUNCTION("""COMPUTED_VALUE"""),"Re:blue")</f>
        <v>Re:blue</v>
      </c>
      <c r="G258" s="11">
        <f>IFERROR(__xludf.DUMMYFUNCTION("""COMPUTED_VALUE"""),1.0)</f>
        <v>1</v>
      </c>
      <c r="H258" s="8" t="str">
        <f>IFERROR(__xludf.DUMMYFUNCTION("""COMPUTED_VALUE"""),"加瀬まつり")</f>
        <v>加瀬まつり</v>
      </c>
      <c r="I258" s="8" t="str">
        <f>IFERROR(__xludf.DUMMYFUNCTION("""COMPUTED_VALUE"""),"女性")</f>
        <v>女性</v>
      </c>
      <c r="J258" s="8"/>
      <c r="K258" s="8"/>
      <c r="L258" s="8" t="str">
        <f>IFERROR(__xludf.DUMMYFUNCTION("""COMPUTED_VALUE"""),"集英社")</f>
        <v>集英社</v>
      </c>
      <c r="M258" s="12">
        <f>IFERROR(__xludf.DUMMYFUNCTION("""COMPUTED_VALUE"""),45041.0)</f>
        <v>45041</v>
      </c>
      <c r="N258" s="12">
        <f>IFERROR(__xludf.DUMMYFUNCTION("""COMPUTED_VALUE"""),2958465.0)</f>
        <v>2958465</v>
      </c>
      <c r="O258" s="11"/>
      <c r="P258" s="9" t="str">
        <f>IFERROR(__xludf.DUMMYFUNCTION("""COMPUTED_VALUE"""),"否")</f>
        <v>否</v>
      </c>
      <c r="Q258" s="8"/>
      <c r="R258" s="9"/>
      <c r="S258" s="8" t="str">
        <f>IFERROR(__xludf.DUMMYFUNCTION("""COMPUTED_VALUE"""),"20230329_集英社_4月新作")</f>
        <v>20230329_集英社_4月新作</v>
      </c>
      <c r="T258" s="9"/>
      <c r="U258" s="9" t="str">
        <f>IFERROR(__xludf.DUMMYFUNCTION("""COMPUTED_VALUE"""),"©加瀬まつり／集英社")</f>
        <v>©加瀬まつり／集英社</v>
      </c>
      <c r="V258" s="8" t="str">
        <f>IFERROR(__xludf.DUMMYFUNCTION("""COMPUTED_VALUE"""),"【5歳差同級生との運命の恋】ワケあって高校へは進学せず、就職の道を選んだ椿。しかし、ある事件をきっかけに高校編入を決意。晴れて「ハタチの高校生」になった椿に待ち受けていたのは……!?　別冊マーガレットで大反響！　20歳JK×年下同級生の超キュン☆ラブストーリー！　描きおろしおまけまんがも収録♪
")</f>
        <v>【5歳差同級生との運命の恋】ワケあって高校へは進学せず、就職の道を選んだ椿。しかし、ある事件をきっかけに高校編入を決意。晴れて「ハタチの高校生」になった椿に待ち受けていたのは……!?　別冊マーガレットで大反響！　20歳JK×年下同級生の超キュン☆ラブストーリー！　描きおろしおまけまんがも収録♪
</v>
      </c>
      <c r="W258" s="8"/>
      <c r="X258" s="8" t="str">
        <f>IFERROR(__xludf.DUMMYFUNCTION("""COMPUTED_VALUE"""),"有")</f>
        <v>有</v>
      </c>
      <c r="Y258" s="8" t="str">
        <f>IFERROR(__xludf.DUMMYFUNCTION("""COMPUTED_VALUE"""),"P62まで")</f>
        <v>P62まで</v>
      </c>
      <c r="Z258" s="7"/>
      <c r="AA258" s="7"/>
      <c r="AB258" s="7"/>
    </row>
    <row r="259" ht="15.75" customHeight="1">
      <c r="A259" s="8">
        <f>IFERROR(__xludf.DUMMYFUNCTION("""COMPUTED_VALUE"""),1478.0)</f>
        <v>1478</v>
      </c>
      <c r="B259" s="9" t="str">
        <f>IFERROR(__xludf.DUMMYFUNCTION("""COMPUTED_VALUE"""),"確定")</f>
        <v>確定</v>
      </c>
      <c r="C259" s="10">
        <f>IFERROR(__xludf.DUMMYFUNCTION("""COMPUTED_VALUE"""),44860.0)</f>
        <v>44860</v>
      </c>
      <c r="D259" s="10">
        <f>IFERROR(__xludf.DUMMYFUNCTION("""COMPUTED_VALUE"""),45000.0)</f>
        <v>45000</v>
      </c>
      <c r="E259" s="8">
        <f>IFERROR(__xludf.DUMMYFUNCTION("""COMPUTED_VALUE"""),266882.0)</f>
        <v>266882</v>
      </c>
      <c r="F259" s="9" t="str">
        <f>IFERROR(__xludf.DUMMYFUNCTION("""COMPUTED_VALUE"""),"今日、人類最強の男に救われます。")</f>
        <v>今日、人類最強の男に救われます。</v>
      </c>
      <c r="G259" s="11" t="str">
        <f>IFERROR(__xludf.DUMMYFUNCTION("""COMPUTED_VALUE"""),"1～2")</f>
        <v>1～2</v>
      </c>
      <c r="H259" s="8" t="str">
        <f>IFERROR(__xludf.DUMMYFUNCTION("""COMPUTED_VALUE"""),"冴島つき")</f>
        <v>冴島つき</v>
      </c>
      <c r="I259" s="8" t="str">
        <f>IFERROR(__xludf.DUMMYFUNCTION("""COMPUTED_VALUE"""),"TL")</f>
        <v>TL</v>
      </c>
      <c r="J259" s="8"/>
      <c r="K259" s="8"/>
      <c r="L259" s="8" t="str">
        <f>IFERROR(__xludf.DUMMYFUNCTION("""COMPUTED_VALUE"""),"リブレ")</f>
        <v>リブレ</v>
      </c>
      <c r="M259" s="12">
        <f>IFERROR(__xludf.DUMMYFUNCTION("""COMPUTED_VALUE"""),45043.0)</f>
        <v>45043</v>
      </c>
      <c r="N259" s="12">
        <f>IFERROR(__xludf.DUMMYFUNCTION("""COMPUTED_VALUE"""),45070.0)</f>
        <v>45070</v>
      </c>
      <c r="O259" s="11"/>
      <c r="P259" s="9" t="str">
        <f>IFERROR(__xludf.DUMMYFUNCTION("""COMPUTED_VALUE"""),"可")</f>
        <v>可</v>
      </c>
      <c r="Q259" s="8" t="str">
        <f>IFERROR(__xludf.DUMMYFUNCTION("""COMPUTED_VALUE"""),"広告コミットOK（10/27）&lt;BR&gt;事前検討&lt;BR&gt;\\solma-fs\all\12_電子書籍事業部\15_ライツビジネスG\ライツ営業T\目的別\01.webプロモ関連\02.出稿用素材格納先\素材暫定格納フォルダ\01.外部出稿事前検討用\検討用_20221026_リブレ_冴島つき先生作品&lt;BR&gt;&lt;BR&gt;作品名・先行配信日・終了日・素材等更新しました（3/15）")</f>
        <v>広告コミットOK（10/27）&lt;BR&gt;事前検討&lt;BR&gt;\\solma-fs\all\12_電子書籍事業部\15_ライツビジネスG\ライツ営業T\目的別\01.webプロモ関連\02.出稿用素材格納先\素材暫定格納フォルダ\01.外部出稿事前検討用\検討用_20221026_リブレ_冴島つき先生作品&lt;BR&gt;&lt;BR&gt;作品名・先行配信日・終了日・素材等更新しました（3/15）</v>
      </c>
      <c r="R259" s="9"/>
      <c r="S259" s="8" t="str">
        <f>IFERROR(__xludf.DUMMYFUNCTION("""COMPUTED_VALUE"""),"20230315_リブレ_今日、人類最強の男に救われます。")</f>
        <v>20230315_リブレ_今日、人類最強の男に救われます。</v>
      </c>
      <c r="T259" s="9"/>
      <c r="U259" s="9" t="str">
        <f>IFERROR(__xludf.DUMMYFUNCTION("""COMPUTED_VALUE"""),"©冴島つき/libre")</f>
        <v>©冴島つき/libre</v>
      </c>
      <c r="V259" s="8" t="str">
        <f>IFERROR(__xludf.DUMMYFUNCTION("""COMPUTED_VALUE"""),"「命にかえてあなたをお守りします」
K大医学研究所に勤める有紗は帰宅中にあやしい男達に襲われる。絶体絶命のピンチに駆けつけたのは影井将虎と名乗る圧倒的に強い男。将虎は有紗を保護する為に政府が派遣した凄腕ボディガードでいきなり共同生活がはじまることに――！　これからはお風呂から寝るときまで戦うイケメンと一緒って…護衛の仕事にはえっちなことも含まれるんですか!?
ハードボイルドで一途な顔が良い男（※しかも人類最強）に真っ直ぐに熱情を向けられたら身も心もズキュンズキュンしちゃう…っ！
人類最強の男×狙われた理系"&amp;"女子のハードボイルド☆ドラマティック・ラブ！
※本書は「ショコラブvol.75」に収録されております。")</f>
        <v>「命にかえてあなたをお守りします」
K大医学研究所に勤める有紗は帰宅中にあやしい男達に襲われる。絶体絶命のピンチに駆けつけたのは影井将虎と名乗る圧倒的に強い男。将虎は有紗を保護する為に政府が派遣した凄腕ボディガードでいきなり共同生活がはじまることに――！　これからはお風呂から寝るときまで戦うイケメンと一緒って…護衛の仕事にはえっちなことも含まれるんですか!?
ハードボイルドで一途な顔が良い男（※しかも人類最強）に真っ直ぐに熱情を向けられたら身も心もズキュンズキュンしちゃう…っ！
人類最強の男×狙われた理系女子のハードボイルド☆ドラマティック・ラブ！
※本書は「ショコラブvol.75」に収録されております。</v>
      </c>
      <c r="W259" s="8"/>
      <c r="X259" s="8" t="str">
        <f>IFERROR(__xludf.DUMMYFUNCTION("""COMPUTED_VALUE"""),"有")</f>
        <v>有</v>
      </c>
      <c r="Y259" s="8" t="str">
        <f>IFERROR(__xludf.DUMMYFUNCTION("""COMPUTED_VALUE"""),"P10まで")</f>
        <v>P10まで</v>
      </c>
      <c r="Z259" s="7"/>
      <c r="AA259" s="7"/>
      <c r="AB259" s="7"/>
    </row>
    <row r="260" ht="15.75" customHeight="1">
      <c r="A260" s="8">
        <f>IFERROR(__xludf.DUMMYFUNCTION("""COMPUTED_VALUE"""),1693.0)</f>
        <v>1693</v>
      </c>
      <c r="B260" s="9" t="str">
        <f>IFERROR(__xludf.DUMMYFUNCTION("""COMPUTED_VALUE"""),"確定")</f>
        <v>確定</v>
      </c>
      <c r="C260" s="10">
        <f>IFERROR(__xludf.DUMMYFUNCTION("""COMPUTED_VALUE"""),44960.0)</f>
        <v>44960</v>
      </c>
      <c r="D260" s="10">
        <f>IFERROR(__xludf.DUMMYFUNCTION("""COMPUTED_VALUE"""),45021.0)</f>
        <v>45021</v>
      </c>
      <c r="E260" s="8">
        <f>IFERROR(__xludf.DUMMYFUNCTION("""COMPUTED_VALUE"""),266873.0)</f>
        <v>266873</v>
      </c>
      <c r="F260" s="9" t="str">
        <f>IFERROR(__xludf.DUMMYFUNCTION("""COMPUTED_VALUE"""),"朝と昼と夜とそれから")</f>
        <v>朝と昼と夜とそれから</v>
      </c>
      <c r="G260" s="16" t="str">
        <f>IFERROR(__xludf.DUMMYFUNCTION("""COMPUTED_VALUE"""),"1～5（全話一挙配信）")</f>
        <v>1～5（全話一挙配信）</v>
      </c>
      <c r="H260" s="8" t="str">
        <f>IFERROR(__xludf.DUMMYFUNCTION("""COMPUTED_VALUE"""),"夏井 数")</f>
        <v>夏井 数</v>
      </c>
      <c r="I260" s="8" t="str">
        <f>IFERROR(__xludf.DUMMYFUNCTION("""COMPUTED_VALUE"""),"BL")</f>
        <v>BL</v>
      </c>
      <c r="J260" s="8"/>
      <c r="K260" s="8"/>
      <c r="L260" s="8" t="str">
        <f>IFERROR(__xludf.DUMMYFUNCTION("""COMPUTED_VALUE"""),"ふゅーじょんぷろだくと")</f>
        <v>ふゅーじょんぷろだくと</v>
      </c>
      <c r="M260" s="12">
        <f>IFERROR(__xludf.DUMMYFUNCTION("""COMPUTED_VALUE"""),45043.0)</f>
        <v>45043</v>
      </c>
      <c r="N260" s="12">
        <f>IFERROR(__xludf.DUMMYFUNCTION("""COMPUTED_VALUE"""),45105.0)</f>
        <v>45105</v>
      </c>
      <c r="O260" s="11"/>
      <c r="P260" s="9" t="str">
        <f>IFERROR(__xludf.DUMMYFUNCTION("""COMPUTED_VALUE"""),"可")</f>
        <v>可</v>
      </c>
      <c r="Q260" s="8" t="str">
        <f>IFERROR(__xludf.DUMMYFUNCTION("""COMPUTED_VALUE"""),"初回話数増やせないか相談→OK、&lt;BR&gt;全話一挙配信となります&lt;BR&gt;→コミットOK")</f>
        <v>初回話数増やせないか相談→OK、&lt;BR&gt;全話一挙配信となります&lt;BR&gt;→コミットOK</v>
      </c>
      <c r="R260" s="9"/>
      <c r="S260" s="8" t="str">
        <f>IFERROR(__xludf.DUMMYFUNCTION("""COMPUTED_VALUE"""),"20230404_ふゅーじょんぷろだくと_朝と昼と夜とそれから")</f>
        <v>20230404_ふゅーじょんぷろだくと_朝と昼と夜とそれから</v>
      </c>
      <c r="T260" s="9"/>
      <c r="U260" s="9" t="str">
        <f>IFERROR(__xludf.DUMMYFUNCTION("""COMPUTED_VALUE"""),"『朝と昼と夜とそれから』©︎夏井 数／FUSION PRODUCT")</f>
        <v>『朝と昼と夜とそれから』©︎夏井 数／FUSION PRODUCT</v>
      </c>
      <c r="V260" s="8" t="str">
        <f>IFERROR(__xludf.DUMMYFUNCTION("""COMPUTED_VALUE"""),"【何度も、何度も、記憶が消える。】西田 章吾（にしだ しょうご）20歳、大学生。ーーのはずだった。ある日、目を覚ますと知らない部屋のベッドにいた西田。混乱の最中、隣りで寝ていた男・河原（かわはら）から１冊のノートを渡される。そこに描かれていたのは、過去の俺から今の俺へのメッセージ。記憶のない10年間。壊れてしまった未来予想図。だけど、悪くないと思うのは……河原に恋をしていたから。記憶がなくとも、思い出はきっと心の中で生きている。じんわり心温まるハートフルBL。※本作品は電子書籍版『BABY vol.57α"&amp;"』にも掲載しております。重複購入にお気をつけください。")</f>
        <v>【何度も、何度も、記憶が消える。】西田 章吾（にしだ しょうご）20歳、大学生。ーーのはずだった。ある日、目を覚ますと知らない部屋のベッドにいた西田。混乱の最中、隣りで寝ていた男・河原（かわはら）から１冊のノートを渡される。そこに描かれていたのは、過去の俺から今の俺へのメッセージ。記憶のない10年間。壊れてしまった未来予想図。だけど、悪くないと思うのは……河原に恋をしていたから。記憶がなくとも、思い出はきっと心の中で生きている。じんわり心温まるハートフルBL。※本作品は電子書籍版『BABY vol.57α』にも掲載しております。重複購入にお気をつけください。</v>
      </c>
      <c r="W260" s="8"/>
      <c r="X260" s="8" t="str">
        <f>IFERROR(__xludf.DUMMYFUNCTION("""COMPUTED_VALUE"""),"有")</f>
        <v>有</v>
      </c>
      <c r="Y260" s="8" t="str">
        <f>IFERROR(__xludf.DUMMYFUNCTION("""COMPUTED_VALUE"""),"5/7まで1巻無料")</f>
        <v>5/7まで1巻無料</v>
      </c>
      <c r="Z260" s="7"/>
      <c r="AA260" s="7"/>
      <c r="AB260" s="7"/>
    </row>
    <row r="261" ht="15.75" customHeight="1">
      <c r="A261" s="8">
        <f>IFERROR(__xludf.DUMMYFUNCTION("""COMPUTED_VALUE"""),1823.0)</f>
        <v>1823</v>
      </c>
      <c r="B261" s="9" t="str">
        <f>IFERROR(__xludf.DUMMYFUNCTION("""COMPUTED_VALUE"""),"確定")</f>
        <v>確定</v>
      </c>
      <c r="C261" s="10">
        <f>IFERROR(__xludf.DUMMYFUNCTION("""COMPUTED_VALUE"""),45002.0)</f>
        <v>45002</v>
      </c>
      <c r="D261" s="10">
        <f>IFERROR(__xludf.DUMMYFUNCTION("""COMPUTED_VALUE"""),45002.0)</f>
        <v>45002</v>
      </c>
      <c r="E261" s="8">
        <f>IFERROR(__xludf.DUMMYFUNCTION("""COMPUTED_VALUE"""),266137.0)</f>
        <v>266137</v>
      </c>
      <c r="F261" s="9" t="str">
        <f>IFERROR(__xludf.DUMMYFUNCTION("""COMPUTED_VALUE"""),"カイカン、カイキン")</f>
        <v>カイカン、カイキン</v>
      </c>
      <c r="G261" s="11" t="str">
        <f>IFERROR(__xludf.DUMMYFUNCTION("""COMPUTED_VALUE"""),"1～4")</f>
        <v>1～4</v>
      </c>
      <c r="H261" s="8" t="str">
        <f>IFERROR(__xludf.DUMMYFUNCTION("""COMPUTED_VALUE"""),"Hanai")</f>
        <v>Hanai</v>
      </c>
      <c r="I261" s="8" t="str">
        <f>IFERROR(__xludf.DUMMYFUNCTION("""COMPUTED_VALUE"""),"青年")</f>
        <v>青年</v>
      </c>
      <c r="J261" s="8"/>
      <c r="K261" s="8"/>
      <c r="L261" s="8" t="str">
        <f>IFERROR(__xludf.DUMMYFUNCTION("""COMPUTED_VALUE"""),"Rush!")</f>
        <v>Rush!</v>
      </c>
      <c r="M261" s="12">
        <f>IFERROR(__xludf.DUMMYFUNCTION("""COMPUTED_VALUE"""),45044.0)</f>
        <v>45044</v>
      </c>
      <c r="N261" s="12">
        <f>IFERROR(__xludf.DUMMYFUNCTION("""COMPUTED_VALUE"""),45134.0)</f>
        <v>45134</v>
      </c>
      <c r="O261" s="11"/>
      <c r="P261" s="9" t="str">
        <f>IFERROR(__xludf.DUMMYFUNCTION("""COMPUTED_VALUE"""),"可")</f>
        <v>可</v>
      </c>
      <c r="Q261" s="8" t="str">
        <f>IFERROR(__xludf.DUMMYFUNCTION("""COMPUTED_VALUE"""),"協業レーベル『シーモア×Rush!』作品です。")</f>
        <v>協業レーベル『シーモア×Rush!』作品です。</v>
      </c>
      <c r="R261" s="9"/>
      <c r="S261" s="8" t="str">
        <f>IFERROR(__xludf.DUMMYFUNCTION("""COMPUTED_VALUE"""),"20230317_ファンギルド_カイカン、カイキン")</f>
        <v>20230317_ファンギルド_カイカン、カイキン</v>
      </c>
      <c r="T261" s="9"/>
      <c r="U261" s="9" t="str">
        <f>IFERROR(__xludf.DUMMYFUNCTION("""COMPUTED_VALUE"""),"©Hanai/TOPTOON")</f>
        <v>©Hanai/TOPTOON</v>
      </c>
      <c r="V261" s="8" t="str">
        <f>IFERROR(__xludf.DUMMYFUNCTION("""COMPUTED_VALUE"""),"「この…変態野郎！！」５年付き合った彼女に突如別れを告げられた太一（たいち）・25歳。地元に戻り、アルバイトを続ける日々に辟易としていた矢先、落とし物らしきスマホを発見。興味本位で拾うも、偶然ロックを解除してしまう。好奇心で覗いた写真フォルダには、セクシーなランジェリーを纏った美女の姿が。しかもどうやら、彼女は太一と同じアパートに住んでいるらしく…！？スマホを拾っただけなのに、次々と現れる美女たち。迫りくるカイカンの誘惑に、理性は抑えきれず――。")</f>
        <v>「この…変態野郎！！」５年付き合った彼女に突如別れを告げられた太一（たいち）・25歳。地元に戻り、アルバイトを続ける日々に辟易としていた矢先、落とし物らしきスマホを発見。興味本位で拾うも、偶然ロックを解除してしまう。好奇心で覗いた写真フォルダには、セクシーなランジェリーを纏った美女の姿が。しかもどうやら、彼女は太一と同じアパートに住んでいるらしく…！？スマホを拾っただけなのに、次々と現れる美女たち。迫りくるカイカンの誘惑に、理性は抑えきれず――。</v>
      </c>
      <c r="W261" s="8"/>
      <c r="X261" s="8" t="str">
        <f>IFERROR(__xludf.DUMMYFUNCTION("""COMPUTED_VALUE"""),"有")</f>
        <v>有</v>
      </c>
      <c r="Y261" s="8" t="str">
        <f>IFERROR(__xludf.DUMMYFUNCTION("""COMPUTED_VALUE"""),"5/11まで1巻無料")</f>
        <v>5/11まで1巻無料</v>
      </c>
      <c r="Z261" s="7"/>
      <c r="AA261" s="7"/>
      <c r="AB261" s="7"/>
    </row>
    <row r="262" ht="15.75" customHeight="1">
      <c r="A262" s="8">
        <f>IFERROR(__xludf.DUMMYFUNCTION("""COMPUTED_VALUE"""),1810.0)</f>
        <v>1810</v>
      </c>
      <c r="B262" s="9" t="str">
        <f>IFERROR(__xludf.DUMMYFUNCTION("""COMPUTED_VALUE"""),"確定")</f>
        <v>確定</v>
      </c>
      <c r="C262" s="10">
        <f>IFERROR(__xludf.DUMMYFUNCTION("""COMPUTED_VALUE"""),45000.0)</f>
        <v>45000</v>
      </c>
      <c r="D262" s="10">
        <f>IFERROR(__xludf.DUMMYFUNCTION("""COMPUTED_VALUE"""),45008.0)</f>
        <v>45008</v>
      </c>
      <c r="E262" s="8">
        <f>IFERROR(__xludf.DUMMYFUNCTION("""COMPUTED_VALUE"""),266801.0)</f>
        <v>266801</v>
      </c>
      <c r="F262" s="9" t="str">
        <f>IFERROR(__xludf.DUMMYFUNCTION("""COMPUTED_VALUE"""),"Berry’sFantasy悪役令嬢ですが推し事に忙しいので溺愛はご遠慮ください！～俺様王子と婚約破棄したいわたしの奮闘記～")</f>
        <v>Berry’sFantasy悪役令嬢ですが推し事に忙しいので溺愛はご遠慮ください！～俺様王子と婚約破棄したいわたしの奮闘記～</v>
      </c>
      <c r="G262" s="11" t="str">
        <f>IFERROR(__xludf.DUMMYFUNCTION("""COMPUTED_VALUE"""),"1～5")</f>
        <v>1～5</v>
      </c>
      <c r="H262" s="8" t="str">
        <f>IFERROR(__xludf.DUMMYFUNCTION("""COMPUTED_VALUE"""),"作画・五里江剛一郎  原作・百門一新")</f>
        <v>作画・五里江剛一郎  原作・百門一新</v>
      </c>
      <c r="I262" s="8" t="str">
        <f>IFERROR(__xludf.DUMMYFUNCTION("""COMPUTED_VALUE"""),"女性")</f>
        <v>女性</v>
      </c>
      <c r="J262" s="8"/>
      <c r="K262" s="8"/>
      <c r="L262" s="8" t="str">
        <f>IFERROR(__xludf.DUMMYFUNCTION("""COMPUTED_VALUE"""),"スターツ出版")</f>
        <v>スターツ出版</v>
      </c>
      <c r="M262" s="12">
        <f>IFERROR(__xludf.DUMMYFUNCTION("""COMPUTED_VALUE"""),45044.0)</f>
        <v>45044</v>
      </c>
      <c r="N262" s="12">
        <f>IFERROR(__xludf.DUMMYFUNCTION("""COMPUTED_VALUE"""),45071.0)</f>
        <v>45071</v>
      </c>
      <c r="O262" s="11"/>
      <c r="P262" s="9" t="str">
        <f>IFERROR(__xludf.DUMMYFUNCTION("""COMPUTED_VALUE"""),"否")</f>
        <v>否</v>
      </c>
      <c r="Q262" s="8" t="str">
        <f>IFERROR(__xludf.DUMMYFUNCTION("""COMPUTED_VALUE"""),"広告コミットOK（3/16）&lt;BR&gt;&lt;BR&gt;現状ある素材で制作いただけますと幸いです。")</f>
        <v>広告コミットOK（3/16）&lt;BR&gt;&lt;BR&gt;現状ある素材で制作いただけますと幸いです。</v>
      </c>
      <c r="R262" s="9"/>
      <c r="S262" s="8" t="str">
        <f>IFERROR(__xludf.DUMMYFUNCTION("""COMPUTED_VALUE"""),"20230315_スターツ出版_悪役令嬢ですが推し事に忙しいので溺愛はご遠慮ください！悪役令嬢ですが推し事に忙しいので溺愛はご遠慮ください！")</f>
        <v>20230315_スターツ出版_悪役令嬢ですが推し事に忙しいので溺愛はご遠慮ください！悪役令嬢ですが推し事に忙しいので溺愛はご遠慮ください！</v>
      </c>
      <c r="T262" s="9"/>
      <c r="U262" s="9" t="str">
        <f>IFERROR(__xludf.DUMMYFUNCTION("""COMPUTED_VALUE"""),"©五里江剛一郎・百門一新/スターツ出版")</f>
        <v>©五里江剛一郎・百門一新/スターツ出版</v>
      </c>
      <c r="V262" s="8" t="str">
        <f>IFERROR(__xludf.DUMMYFUNCTION("""COMPUTED_VALUE"""),"乙女ゲームの悪役令嬢に転生したと気づいた伯爵令嬢・アメリア。このままでは第二王子・エリオットとの婚約が引き金となり断罪されてしまう…!? 絶望したその時、アメリアは前世での推しキャラと遭遇！ “推し事”に身を捧げることを決意し、エリオットとの婚約を逆に利用してやろうと画策する。ところが、ゲームではアメリアを疎み軽蔑していたエリオットは、自分そっちのけで楽しそうにしているアメリアが気になって仕方ないようで…!?
(この作品は電子コミック誌Berry’s Fantasy Vol. 37に収録しております。重複"&amp;"購入にご注意ください)")</f>
        <v>乙女ゲームの悪役令嬢に転生したと気づいた伯爵令嬢・アメリア。このままでは第二王子・エリオットとの婚約が引き金となり断罪されてしまう…!? 絶望したその時、アメリアは前世での推しキャラと遭遇！ “推し事”に身を捧げることを決意し、エリオットとの婚約を逆に利用してやろうと画策する。ところが、ゲームではアメリアを疎み軽蔑していたエリオットは、自分そっちのけで楽しそうにしているアメリアが気になって仕方ないようで…!?
(この作品は電子コミック誌Berry’s Fantasy Vol. 37に収録しております。重複購入にご注意ください)</v>
      </c>
      <c r="W262" s="8"/>
      <c r="X262" s="8" t="str">
        <f>IFERROR(__xludf.DUMMYFUNCTION("""COMPUTED_VALUE"""),"有")</f>
        <v>有</v>
      </c>
      <c r="Y262" s="8" t="str">
        <f>IFERROR(__xludf.DUMMYFUNCTION("""COMPUTED_VALUE"""),"5/25まで1巻無料")</f>
        <v>5/25まで1巻無料</v>
      </c>
      <c r="Z262" s="7"/>
      <c r="AA262" s="7"/>
      <c r="AB262" s="7"/>
    </row>
    <row r="263" ht="15.75" customHeight="1">
      <c r="A263" s="8">
        <f>IFERROR(__xludf.DUMMYFUNCTION("""COMPUTED_VALUE"""),1833.0)</f>
        <v>1833</v>
      </c>
      <c r="B263" s="9" t="str">
        <f>IFERROR(__xludf.DUMMYFUNCTION("""COMPUTED_VALUE"""),"確定")</f>
        <v>確定</v>
      </c>
      <c r="C263" s="10">
        <f>IFERROR(__xludf.DUMMYFUNCTION("""COMPUTED_VALUE"""),45009.0)</f>
        <v>45009</v>
      </c>
      <c r="D263" s="10">
        <f>IFERROR(__xludf.DUMMYFUNCTION("""COMPUTED_VALUE"""),45009.0)</f>
        <v>45009</v>
      </c>
      <c r="E263" s="8">
        <f>IFERROR(__xludf.DUMMYFUNCTION("""COMPUTED_VALUE"""),255462.0)</f>
        <v>255462</v>
      </c>
      <c r="F263" s="9" t="str">
        <f>IFERROR(__xludf.DUMMYFUNCTION("""COMPUTED_VALUE"""),"花村くん、その香りはズルいです")</f>
        <v>花村くん、その香りはズルいです</v>
      </c>
      <c r="G263" s="11" t="str">
        <f>IFERROR(__xludf.DUMMYFUNCTION("""COMPUTED_VALUE"""),"1～3")</f>
        <v>1～3</v>
      </c>
      <c r="H263" s="8" t="str">
        <f>IFERROR(__xludf.DUMMYFUNCTION("""COMPUTED_VALUE"""),"OHi")</f>
        <v>OHi</v>
      </c>
      <c r="I263" s="14" t="str">
        <f>IFERROR(__xludf.DUMMYFUNCTION("""COMPUTED_VALUE"""),"少女")</f>
        <v>少女</v>
      </c>
      <c r="J263" s="8"/>
      <c r="K263" s="8"/>
      <c r="L263" s="8" t="str">
        <f>IFERROR(__xludf.DUMMYFUNCTION("""COMPUTED_VALUE"""),"シーモアコミックス")</f>
        <v>シーモアコミックス</v>
      </c>
      <c r="M263" s="12">
        <f>IFERROR(__xludf.DUMMYFUNCTION("""COMPUTED_VALUE"""),45044.0)</f>
        <v>45044</v>
      </c>
      <c r="N263" s="12">
        <f>IFERROR(__xludf.DUMMYFUNCTION("""COMPUTED_VALUE"""),45197.0)</f>
        <v>45197</v>
      </c>
      <c r="O263" s="11"/>
      <c r="P263" s="9" t="str">
        <f>IFERROR(__xludf.DUMMYFUNCTION("""COMPUTED_VALUE"""),"可")</f>
        <v>可</v>
      </c>
      <c r="Q263" s="8" t="str">
        <f>IFERROR(__xludf.DUMMYFUNCTION("""COMPUTED_VALUE"""),"※正式タイトル下記の通りです（3/24）&lt;BR&gt;＝＝＝&lt;BR&gt;花村くん、その香りはズルいです&lt;BR&gt;＝＝＝&lt;BR&gt;")</f>
        <v>※正式タイトル下記の通りです（3/24）&lt;BR&gt;＝＝＝&lt;BR&gt;花村くん、その香りはズルいです&lt;BR&gt;＝＝＝&lt;BR&gt;</v>
      </c>
      <c r="R263" s="9"/>
      <c r="S263" s="8" t="str">
        <f>IFERROR(__xludf.DUMMYFUNCTION("""COMPUTED_VALUE"""),"20230324_シーモアコミックス_花村くん、その香りはズルいです")</f>
        <v>20230324_シーモアコミックス_花村くん、その香りはズルいです</v>
      </c>
      <c r="T263" s="15"/>
      <c r="U263" s="9" t="str">
        <f>IFERROR(__xludf.DUMMYFUNCTION("""COMPUTED_VALUE"""),"© OHi/シーモアコミックス")</f>
        <v>© OHi/シーモアコミックス</v>
      </c>
      <c r="V263" s="8" t="str">
        <f>IFERROR(__xludf.DUMMYFUNCTION("""COMPUTED_VALUE"""),"調香師の藤江杏奈(28)。いろんな香りを嗅ぐのが好きで調香師となったけれど、異性の匂いが苦手で恋愛にイマイチ積極的になれない。憧れの先輩はいても、眺めるだけになってしまっていた。そんな中、メンズ向けの香水を開発することになり、アシスタントを募ったところ向かいのビルで働くカリスマ男子・花村くん(24)が協力してくれることになる。若くてイケメンの花村くんは距離感も近くてちょっと苦手…でも花村くんの匂いは不快さを全く感じなくて―？")</f>
        <v>調香師の藤江杏奈(28)。いろんな香りを嗅ぐのが好きで調香師となったけれど、異性の匂いが苦手で恋愛にイマイチ積極的になれない。憧れの先輩はいても、眺めるだけになってしまっていた。そんな中、メンズ向けの香水を開発することになり、アシスタントを募ったところ向かいのビルで働くカリスマ男子・花村くん(24)が協力してくれることになる。若くてイケメンの花村くんは距離感も近くてちょっと苦手…でも花村くんの匂いは不快さを全く感じなくて―？</v>
      </c>
      <c r="W263" s="8"/>
      <c r="X263" s="8" t="str">
        <f>IFERROR(__xludf.DUMMYFUNCTION("""COMPUTED_VALUE"""),"有")</f>
        <v>有</v>
      </c>
      <c r="Y263" s="8" t="str">
        <f>IFERROR(__xludf.DUMMYFUNCTION("""COMPUTED_VALUE"""),"5/25まで1巻無料")</f>
        <v>5/25まで1巻無料</v>
      </c>
      <c r="Z263" s="7"/>
      <c r="AA263" s="7"/>
      <c r="AB263" s="7"/>
    </row>
    <row r="264" ht="15.75" customHeight="1">
      <c r="A264" s="8">
        <f>IFERROR(__xludf.DUMMYFUNCTION("""COMPUTED_VALUE"""),1834.0)</f>
        <v>1834</v>
      </c>
      <c r="B264" s="9" t="str">
        <f>IFERROR(__xludf.DUMMYFUNCTION("""COMPUTED_VALUE"""),"確定")</f>
        <v>確定</v>
      </c>
      <c r="C264" s="10">
        <f>IFERROR(__xludf.DUMMYFUNCTION("""COMPUTED_VALUE"""),45009.0)</f>
        <v>45009</v>
      </c>
      <c r="D264" s="10">
        <f>IFERROR(__xludf.DUMMYFUNCTION("""COMPUTED_VALUE"""),45009.0)</f>
        <v>45009</v>
      </c>
      <c r="E264" s="8">
        <f>IFERROR(__xludf.DUMMYFUNCTION("""COMPUTED_VALUE"""),255463.0)</f>
        <v>255463</v>
      </c>
      <c r="F264" s="9" t="str">
        <f>IFERROR(__xludf.DUMMYFUNCTION("""COMPUTED_VALUE"""),"疫病神の嫁入り")</f>
        <v>疫病神の嫁入り</v>
      </c>
      <c r="G264" s="11" t="str">
        <f>IFERROR(__xludf.DUMMYFUNCTION("""COMPUTED_VALUE"""),"1～3")</f>
        <v>1～3</v>
      </c>
      <c r="H264" s="8" t="str">
        <f>IFERROR(__xludf.DUMMYFUNCTION("""COMPUTED_VALUE"""),"志風きよ")</f>
        <v>志風きよ</v>
      </c>
      <c r="I264" s="14" t="str">
        <f>IFERROR(__xludf.DUMMYFUNCTION("""COMPUTED_VALUE"""),"少女")</f>
        <v>少女</v>
      </c>
      <c r="J264" s="8"/>
      <c r="K264" s="8"/>
      <c r="L264" s="8" t="str">
        <f>IFERROR(__xludf.DUMMYFUNCTION("""COMPUTED_VALUE"""),"シーモアコミックス")</f>
        <v>シーモアコミックス</v>
      </c>
      <c r="M264" s="12">
        <f>IFERROR(__xludf.DUMMYFUNCTION("""COMPUTED_VALUE"""),45044.0)</f>
        <v>45044</v>
      </c>
      <c r="N264" s="12">
        <f>IFERROR(__xludf.DUMMYFUNCTION("""COMPUTED_VALUE"""),45197.0)</f>
        <v>45197</v>
      </c>
      <c r="O264" s="11"/>
      <c r="P264" s="9" t="str">
        <f>IFERROR(__xludf.DUMMYFUNCTION("""COMPUTED_VALUE"""),"可")</f>
        <v>可</v>
      </c>
      <c r="Q264" s="8" t="str">
        <f>IFERROR(__xludf.DUMMYFUNCTION("""COMPUTED_VALUE"""),"※正式タイトル下記の通りです（4/28）&lt;BR&gt;＝＝＝&lt;BR&gt;疫病神の嫁入り&lt;BR&gt;＝＝＝&lt;BR&gt;")</f>
        <v>※正式タイトル下記の通りです（4/28）&lt;BR&gt;＝＝＝&lt;BR&gt;疫病神の嫁入り&lt;BR&gt;＝＝＝&lt;BR&gt;</v>
      </c>
      <c r="R264" s="9"/>
      <c r="S264" s="8" t="str">
        <f>IFERROR(__xludf.DUMMYFUNCTION("""COMPUTED_VALUE"""),"20230324_シーモアコミックス_疫病神の嫁入り")</f>
        <v>20230324_シーモアコミックス_疫病神の嫁入り</v>
      </c>
      <c r="T264" s="15"/>
      <c r="U264" s="9" t="str">
        <f>IFERROR(__xludf.DUMMYFUNCTION("""COMPUTED_VALUE"""),"© 志風きよ/シーモアコミックス")</f>
        <v>© 志風きよ/シーモアコミックス</v>
      </c>
      <c r="V264" s="8" t="str">
        <f>IFERROR(__xludf.DUMMYFUNCTION("""COMPUTED_VALUE"""),"時は明治初期。両親が死に、幼い頃から一人で生きてきた主人公・あとり。色んな仕事を転々とし今は旅館の女中として働いているが、奉公先が次々と潰れてきたことから「疫病神」と罵られていた。そんなある日、華族同士のお見合いに居合わせたあとりは、その華族の子息・尾方龍之介から突然求婚されてしまう！「俺の花嫁はお前だけだ」お見合い相手の目の前で一方的な求婚を迫られたあとりは、果たしてどうなるのか―？")</f>
        <v>時は明治初期。両親が死に、幼い頃から一人で生きてきた主人公・あとり。色んな仕事を転々とし今は旅館の女中として働いているが、奉公先が次々と潰れてきたことから「疫病神」と罵られていた。そんなある日、華族同士のお見合いに居合わせたあとりは、その華族の子息・尾方龍之介から突然求婚されてしまう！「俺の花嫁はお前だけだ」お見合い相手の目の前で一方的な求婚を迫られたあとりは、果たしてどうなるのか―？</v>
      </c>
      <c r="W264" s="8"/>
      <c r="X264" s="8" t="str">
        <f>IFERROR(__xludf.DUMMYFUNCTION("""COMPUTED_VALUE"""),"有")</f>
        <v>有</v>
      </c>
      <c r="Y264" s="8" t="str">
        <f>IFERROR(__xludf.DUMMYFUNCTION("""COMPUTED_VALUE"""),"5/25まで1巻無料")</f>
        <v>5/25まで1巻無料</v>
      </c>
      <c r="Z264" s="7"/>
      <c r="AA264" s="7"/>
      <c r="AB264" s="7"/>
    </row>
    <row r="265" ht="15.75" customHeight="1">
      <c r="A265" s="8">
        <f>IFERROR(__xludf.DUMMYFUNCTION("""COMPUTED_VALUE"""),1835.0)</f>
        <v>1835</v>
      </c>
      <c r="B265" s="9" t="str">
        <f>IFERROR(__xludf.DUMMYFUNCTION("""COMPUTED_VALUE"""),"確定")</f>
        <v>確定</v>
      </c>
      <c r="C265" s="10">
        <f>IFERROR(__xludf.DUMMYFUNCTION("""COMPUTED_VALUE"""),45009.0)</f>
        <v>45009</v>
      </c>
      <c r="D265" s="10">
        <f>IFERROR(__xludf.DUMMYFUNCTION("""COMPUTED_VALUE"""),45009.0)</f>
        <v>45009</v>
      </c>
      <c r="E265" s="8">
        <f>IFERROR(__xludf.DUMMYFUNCTION("""COMPUTED_VALUE"""),255464.0)</f>
        <v>255464</v>
      </c>
      <c r="F265" s="9" t="str">
        <f>IFERROR(__xludf.DUMMYFUNCTION("""COMPUTED_VALUE"""),"復讐の子守唄")</f>
        <v>復讐の子守唄</v>
      </c>
      <c r="G265" s="11" t="str">
        <f>IFERROR(__xludf.DUMMYFUNCTION("""COMPUTED_VALUE"""),"1～3")</f>
        <v>1～3</v>
      </c>
      <c r="H265" s="8" t="str">
        <f>IFERROR(__xludf.DUMMYFUNCTION("""COMPUTED_VALUE"""),"百鬼夜行")</f>
        <v>百鬼夜行</v>
      </c>
      <c r="I265" s="14" t="str">
        <f>IFERROR(__xludf.DUMMYFUNCTION("""COMPUTED_VALUE"""),"青年")</f>
        <v>青年</v>
      </c>
      <c r="J265" s="8"/>
      <c r="K265" s="8"/>
      <c r="L265" s="8" t="str">
        <f>IFERROR(__xludf.DUMMYFUNCTION("""COMPUTED_VALUE"""),"シーモアコミックス")</f>
        <v>シーモアコミックス</v>
      </c>
      <c r="M265" s="12">
        <f>IFERROR(__xludf.DUMMYFUNCTION("""COMPUTED_VALUE"""),45044.0)</f>
        <v>45044</v>
      </c>
      <c r="N265" s="12">
        <f>IFERROR(__xludf.DUMMYFUNCTION("""COMPUTED_VALUE"""),45197.0)</f>
        <v>45197</v>
      </c>
      <c r="O265" s="11"/>
      <c r="P265" s="9" t="str">
        <f>IFERROR(__xludf.DUMMYFUNCTION("""COMPUTED_VALUE"""),"可")</f>
        <v>可</v>
      </c>
      <c r="Q265" s="8" t="str">
        <f>IFERROR(__xludf.DUMMYFUNCTION("""COMPUTED_VALUE"""),"※正式タイトル下記の通りです（3/24）&lt;BR&gt;＝＝＝&lt;BR&gt;復讐の子守唄&lt;BR&gt;＝＝＝&lt;BR&gt;")</f>
        <v>※正式タイトル下記の通りです（3/24）&lt;BR&gt;＝＝＝&lt;BR&gt;復讐の子守唄&lt;BR&gt;＝＝＝&lt;BR&gt;</v>
      </c>
      <c r="R265" s="9"/>
      <c r="S265" s="8" t="str">
        <f>IFERROR(__xludf.DUMMYFUNCTION("""COMPUTED_VALUE"""),"20230324_シーモアコミックス_復讐の子守唄")</f>
        <v>20230324_シーモアコミックス_復讐の子守唄</v>
      </c>
      <c r="T265" s="15"/>
      <c r="U265" s="9" t="str">
        <f>IFERROR(__xludf.DUMMYFUNCTION("""COMPUTED_VALUE"""),"© 百鬼夜行/シーモアコミックス")</f>
        <v>© 百鬼夜行/シーモアコミックス</v>
      </c>
      <c r="V265" s="8" t="str">
        <f>IFERROR(__xludf.DUMMYFUNCTION("""COMPUTED_VALUE"""),"高齢出産でようやく授かった大事な一人娘。会わせたい人がいると照れくさそうに笑っていた娘が突然自ら命を絶ってしまう。これから幸せになる筈だったのになぜ？理由も分からぬまま絶望の日々は流れ、三年が過ぎた…。娘のためにも前を向こうと遺品整理をしていた時、一通の手紙を発見する。そこに書かれていたのは娘の死の真相に迫る衝撃的な内容だった。亭主とはとうに死に別れ、娘も亡くした今…自分には失うものなど何もない。真実を知ったその時、優しい老婆の心に鬼が宿る。こうして年老いた母の壮絶な復讐劇が幕を開けるのであった――。")</f>
        <v>高齢出産でようやく授かった大事な一人娘。会わせたい人がいると照れくさそうに笑っていた娘が突然自ら命を絶ってしまう。これから幸せになる筈だったのになぜ？理由も分からぬまま絶望の日々は流れ、三年が過ぎた…。娘のためにも前を向こうと遺品整理をしていた時、一通の手紙を発見する。そこに書かれていたのは娘の死の真相に迫る衝撃的な内容だった。亭主とはとうに死に別れ、娘も亡くした今…自分には失うものなど何もない。真実を知ったその時、優しい老婆の心に鬼が宿る。こうして年老いた母の壮絶な復讐劇が幕を開けるのであった――。</v>
      </c>
      <c r="W265" s="8"/>
      <c r="X265" s="8" t="str">
        <f>IFERROR(__xludf.DUMMYFUNCTION("""COMPUTED_VALUE"""),"有")</f>
        <v>有</v>
      </c>
      <c r="Y265" s="8" t="str">
        <f>IFERROR(__xludf.DUMMYFUNCTION("""COMPUTED_VALUE"""),"5/25まで1巻無料")</f>
        <v>5/25まで1巻無料</v>
      </c>
      <c r="Z265" s="7"/>
      <c r="AA265" s="7"/>
      <c r="AB265" s="7"/>
    </row>
    <row r="266" ht="15.75" customHeight="1">
      <c r="A266" s="8">
        <f>IFERROR(__xludf.DUMMYFUNCTION("""COMPUTED_VALUE"""),1836.0)</f>
        <v>1836</v>
      </c>
      <c r="B266" s="9" t="str">
        <f>IFERROR(__xludf.DUMMYFUNCTION("""COMPUTED_VALUE"""),"確定")</f>
        <v>確定</v>
      </c>
      <c r="C266" s="10">
        <f>IFERROR(__xludf.DUMMYFUNCTION("""COMPUTED_VALUE"""),45009.0)</f>
        <v>45009</v>
      </c>
      <c r="D266" s="10">
        <f>IFERROR(__xludf.DUMMYFUNCTION("""COMPUTED_VALUE"""),45009.0)</f>
        <v>45009</v>
      </c>
      <c r="E266" s="8">
        <f>IFERROR(__xludf.DUMMYFUNCTION("""COMPUTED_VALUE"""),257776.0)</f>
        <v>257776</v>
      </c>
      <c r="F266" s="9" t="str">
        <f>IFERROR(__xludf.DUMMYFUNCTION("""COMPUTED_VALUE"""),"年下ネイリストさんに指先から愛されています")</f>
        <v>年下ネイリストさんに指先から愛されています</v>
      </c>
      <c r="G266" s="11" t="str">
        <f>IFERROR(__xludf.DUMMYFUNCTION("""COMPUTED_VALUE"""),"1～3")</f>
        <v>1～3</v>
      </c>
      <c r="H266" s="8" t="str">
        <f>IFERROR(__xludf.DUMMYFUNCTION("""COMPUTED_VALUE"""),"mio")</f>
        <v>mio</v>
      </c>
      <c r="I266" s="14" t="str">
        <f>IFERROR(__xludf.DUMMYFUNCTION("""COMPUTED_VALUE"""),"女性")</f>
        <v>女性</v>
      </c>
      <c r="J266" s="8"/>
      <c r="K266" s="8"/>
      <c r="L266" s="8" t="str">
        <f>IFERROR(__xludf.DUMMYFUNCTION("""COMPUTED_VALUE"""),"シーモアコミックス")</f>
        <v>シーモアコミックス</v>
      </c>
      <c r="M266" s="12">
        <f>IFERROR(__xludf.DUMMYFUNCTION("""COMPUTED_VALUE"""),45044.0)</f>
        <v>45044</v>
      </c>
      <c r="N266" s="12">
        <f>IFERROR(__xludf.DUMMYFUNCTION("""COMPUTED_VALUE"""),45197.0)</f>
        <v>45197</v>
      </c>
      <c r="O266" s="11"/>
      <c r="P266" s="9" t="str">
        <f>IFERROR(__xludf.DUMMYFUNCTION("""COMPUTED_VALUE"""),"可")</f>
        <v>可</v>
      </c>
      <c r="Q266" s="8" t="str">
        <f>IFERROR(__xludf.DUMMYFUNCTION("""COMPUTED_VALUE"""),"※正式タイトル下記の通りです（3/24）&lt;BR&gt;＝＝＝&lt;BR&gt;年下ネイリストさんに指先から愛されています&lt;BR&gt;＝＝＝&lt;BR&gt;")</f>
        <v>※正式タイトル下記の通りです（3/24）&lt;BR&gt;＝＝＝&lt;BR&gt;年下ネイリストさんに指先から愛されています&lt;BR&gt;＝＝＝&lt;BR&gt;</v>
      </c>
      <c r="R266" s="9"/>
      <c r="S266" s="8" t="str">
        <f>IFERROR(__xludf.DUMMYFUNCTION("""COMPUTED_VALUE"""),"20230324_シーモアコミックス_年下ネイリストさんに指先から愛されています")</f>
        <v>20230324_シーモアコミックス_年下ネイリストさんに指先から愛されています</v>
      </c>
      <c r="T266" s="15"/>
      <c r="U266" s="9" t="str">
        <f>IFERROR(__xludf.DUMMYFUNCTION("""COMPUTED_VALUE"""),"© mio/シーモアコミックス")</f>
        <v>© mio/シーモアコミックス</v>
      </c>
      <c r="V266" s="8" t="str">
        <f>IFERROR(__xludf.DUMMYFUNCTION("""COMPUTED_VALUE"""),"31歳のOL･有紗は、後輩からの信頼も厚く仕事は順調だが、プライベートではパートナーはおらず、まだ結婚は考えられない。そんなある日、幼馴染だった「あきちゃん」が地元から上京して就職することになり、一ヶ月だけ面倒を見ることになるが、女の子だと思いこんでいたあきちゃんは実は男で――！？今ではカリスマネイリスト・AKIRAとなった彼と、期間限定の同居生活開始！？")</f>
        <v>31歳のOL･有紗は、後輩からの信頼も厚く仕事は順調だが、プライベートではパートナーはおらず、まだ結婚は考えられない。そんなある日、幼馴染だった「あきちゃん」が地元から上京して就職することになり、一ヶ月だけ面倒を見ることになるが、女の子だと思いこんでいたあきちゃんは実は男で――！？今ではカリスマネイリスト・AKIRAとなった彼と、期間限定の同居生活開始！？</v>
      </c>
      <c r="W266" s="8"/>
      <c r="X266" s="8" t="str">
        <f>IFERROR(__xludf.DUMMYFUNCTION("""COMPUTED_VALUE"""),"有")</f>
        <v>有</v>
      </c>
      <c r="Y266" s="8" t="str">
        <f>IFERROR(__xludf.DUMMYFUNCTION("""COMPUTED_VALUE"""),"5/25まで1巻無料")</f>
        <v>5/25まで1巻無料</v>
      </c>
      <c r="Z266" s="7"/>
      <c r="AA266" s="7"/>
      <c r="AB266" s="7"/>
    </row>
    <row r="267" ht="15.75" customHeight="1">
      <c r="A267" s="8">
        <f>IFERROR(__xludf.DUMMYFUNCTION("""COMPUTED_VALUE"""),1837.0)</f>
        <v>1837</v>
      </c>
      <c r="B267" s="9" t="str">
        <f>IFERROR(__xludf.DUMMYFUNCTION("""COMPUTED_VALUE"""),"確定")</f>
        <v>確定</v>
      </c>
      <c r="C267" s="10">
        <f>IFERROR(__xludf.DUMMYFUNCTION("""COMPUTED_VALUE"""),45009.0)</f>
        <v>45009</v>
      </c>
      <c r="D267" s="10">
        <f>IFERROR(__xludf.DUMMYFUNCTION("""COMPUTED_VALUE"""),45009.0)</f>
        <v>45009</v>
      </c>
      <c r="E267" s="8">
        <f>IFERROR(__xludf.DUMMYFUNCTION("""COMPUTED_VALUE"""),261008.0)</f>
        <v>261008</v>
      </c>
      <c r="F267" s="9" t="str">
        <f>IFERROR(__xludf.DUMMYFUNCTION("""COMPUTED_VALUE"""),"レンタル・マーダー～復讐のプロ、お貸しします～")</f>
        <v>レンタル・マーダー～復讐のプロ、お貸しします～</v>
      </c>
      <c r="G267" s="11" t="str">
        <f>IFERROR(__xludf.DUMMYFUNCTION("""COMPUTED_VALUE"""),"1～3")</f>
        <v>1～3</v>
      </c>
      <c r="H267" s="8" t="str">
        <f>IFERROR(__xludf.DUMMYFUNCTION("""COMPUTED_VALUE"""),"どでんちゃん,八重樫ひのめ,チームでんがし")</f>
        <v>どでんちゃん,八重樫ひのめ,チームでんがし</v>
      </c>
      <c r="I267" s="14" t="str">
        <f>IFERROR(__xludf.DUMMYFUNCTION("""COMPUTED_VALUE"""),"青年")</f>
        <v>青年</v>
      </c>
      <c r="J267" s="8"/>
      <c r="K267" s="8"/>
      <c r="L267" s="8" t="str">
        <f>IFERROR(__xludf.DUMMYFUNCTION("""COMPUTED_VALUE"""),"シーモアコミックス")</f>
        <v>シーモアコミックス</v>
      </c>
      <c r="M267" s="12">
        <f>IFERROR(__xludf.DUMMYFUNCTION("""COMPUTED_VALUE"""),45044.0)</f>
        <v>45044</v>
      </c>
      <c r="N267" s="12">
        <f>IFERROR(__xludf.DUMMYFUNCTION("""COMPUTED_VALUE"""),45345.70833333333)</f>
        <v>45345.70833</v>
      </c>
      <c r="O267" s="11"/>
      <c r="P267" s="9" t="str">
        <f>IFERROR(__xludf.DUMMYFUNCTION("""COMPUTED_VALUE"""),"可")</f>
        <v>可</v>
      </c>
      <c r="Q267" s="8" t="str">
        <f>IFERROR(__xludf.DUMMYFUNCTION("""COMPUTED_VALUE"""),"※正式タイトル下記の通りです（3/24）&lt;BR&gt;＝＝＝&lt;BR&gt;レンタル・マーダー～復讐のプロ、お貸しします～&lt;BR&gt;＝＝＝&lt;BR&gt;")</f>
        <v>※正式タイトル下記の通りです（3/24）&lt;BR&gt;＝＝＝&lt;BR&gt;レンタル・マーダー～復讐のプロ、お貸しします～&lt;BR&gt;＝＝＝&lt;BR&gt;</v>
      </c>
      <c r="R267" s="9"/>
      <c r="S267" s="8" t="str">
        <f>IFERROR(__xludf.DUMMYFUNCTION("""COMPUTED_VALUE"""),"20230324_シーモアコミックス_レンタル・マーダー～復讐のプロ、お貸しします～")</f>
        <v>20230324_シーモアコミックス_レンタル・マーダー～復讐のプロ、お貸しします～</v>
      </c>
      <c r="T267" s="15"/>
      <c r="U267" s="9" t="str">
        <f>IFERROR(__xludf.DUMMYFUNCTION("""COMPUTED_VALUE"""),"© 加藤屋大悟/どでんちゃん/八重樫ひのめ/チームでんがし屋/シーモアコミックス")</f>
        <v>© 加藤屋大悟/どでんちゃん/八重樫ひのめ/チームでんがし屋/シーモアコミックス</v>
      </c>
      <c r="V267" s="8" t="str">
        <f>IFERROR(__xludf.DUMMYFUNCTION("""COMPUTED_VALUE"""),"真白（ましろ）は、高校入学以降いじめを受けていた。肉体的、精神的に痛めつけられた挙句、唯一の家族である妹も失踪してしまう。妹の失踪にいじめっ子たちが関係していると知った真白は、「レンタル・マーダー」というサービスを見つけ出し、復讐を依頼する。妹の学費にと貯めていたバイト代を全額振り込んだ真白だったが、連絡がなく詐欺にあったと思い、自殺を図ったところを聖花（きよか）という女性に救出される。彼女は自らを「復讐代行者」と名乗り――？")</f>
        <v>真白（ましろ）は、高校入学以降いじめを受けていた。肉体的、精神的に痛めつけられた挙句、唯一の家族である妹も失踪してしまう。妹の失踪にいじめっ子たちが関係していると知った真白は、「レンタル・マーダー」というサービスを見つけ出し、復讐を依頼する。妹の学費にと貯めていたバイト代を全額振り込んだ真白だったが、連絡がなく詐欺にあったと思い、自殺を図ったところを聖花（きよか）という女性に救出される。彼女は自らを「復讐代行者」と名乗り――？</v>
      </c>
      <c r="W267" s="8"/>
      <c r="X267" s="8" t="str">
        <f>IFERROR(__xludf.DUMMYFUNCTION("""COMPUTED_VALUE"""),"有")</f>
        <v>有</v>
      </c>
      <c r="Y267" s="8" t="str">
        <f>IFERROR(__xludf.DUMMYFUNCTION("""COMPUTED_VALUE"""),"5/25まで1巻無料")</f>
        <v>5/25まで1巻無料</v>
      </c>
      <c r="Z267" s="7"/>
      <c r="AA267" s="7"/>
      <c r="AB267" s="7"/>
    </row>
    <row r="268" ht="15.75" customHeight="1">
      <c r="A268" s="8">
        <f>IFERROR(__xludf.DUMMYFUNCTION("""COMPUTED_VALUE"""),1838.0)</f>
        <v>1838</v>
      </c>
      <c r="B268" s="9" t="str">
        <f>IFERROR(__xludf.DUMMYFUNCTION("""COMPUTED_VALUE"""),"確定")</f>
        <v>確定</v>
      </c>
      <c r="C268" s="10">
        <f>IFERROR(__xludf.DUMMYFUNCTION("""COMPUTED_VALUE"""),45009.0)</f>
        <v>45009</v>
      </c>
      <c r="D268" s="10">
        <f>IFERROR(__xludf.DUMMYFUNCTION("""COMPUTED_VALUE"""),45009.0)</f>
        <v>45009</v>
      </c>
      <c r="E268" s="8">
        <f>IFERROR(__xludf.DUMMYFUNCTION("""COMPUTED_VALUE"""),266913.0)</f>
        <v>266913</v>
      </c>
      <c r="F268" s="9" t="str">
        <f>IFERROR(__xludf.DUMMYFUNCTION("""COMPUTED_VALUE"""),"鬼上司が教え込む、喘げば喘ぐほど気持ちいい溺愛SEXに完全に堕とされました。")</f>
        <v>鬼上司が教え込む、喘げば喘ぐほど気持ちいい溺愛SEXに完全に堕とされました。</v>
      </c>
      <c r="G268" s="11" t="str">
        <f>IFERROR(__xludf.DUMMYFUNCTION("""COMPUTED_VALUE"""),"1～3")</f>
        <v>1～3</v>
      </c>
      <c r="H268" s="8" t="str">
        <f>IFERROR(__xludf.DUMMYFUNCTION("""COMPUTED_VALUE"""),"鈴鳴いちご")</f>
        <v>鈴鳴いちご</v>
      </c>
      <c r="I268" s="14" t="str">
        <f>IFERROR(__xludf.DUMMYFUNCTION("""COMPUTED_VALUE"""),"TL")</f>
        <v>TL</v>
      </c>
      <c r="J268" s="8"/>
      <c r="K268" s="8"/>
      <c r="L268" s="8" t="str">
        <f>IFERROR(__xludf.DUMMYFUNCTION("""COMPUTED_VALUE"""),"アイプロダクション")</f>
        <v>アイプロダクション</v>
      </c>
      <c r="M268" s="12">
        <f>IFERROR(__xludf.DUMMYFUNCTION("""COMPUTED_VALUE"""),45044.0)</f>
        <v>45044</v>
      </c>
      <c r="N268" s="12">
        <f>IFERROR(__xludf.DUMMYFUNCTION("""COMPUTED_VALUE"""),45134.66666666667)</f>
        <v>45134.66667</v>
      </c>
      <c r="O268" s="11"/>
      <c r="P268" s="9" t="str">
        <f>IFERROR(__xludf.DUMMYFUNCTION("""COMPUTED_VALUE"""),"可")</f>
        <v>可</v>
      </c>
      <c r="Q268" s="8" t="str">
        <f>IFERROR(__xludf.DUMMYFUNCTION("""COMPUTED_VALUE"""),"2カ月先行です")</f>
        <v>2カ月先行です</v>
      </c>
      <c r="R268" s="9"/>
      <c r="S268" s="8" t="str">
        <f>IFERROR(__xludf.DUMMYFUNCTION("""COMPUTED_VALUE"""),"20230216_アイプロダクション_鬼上司が教え込む、喘げば喘ぐほど気持ちいい溺愛SEXに完全に堕とされました。")</f>
        <v>20230216_アイプロダクション_鬼上司が教え込む、喘げば喘ぐほど気持ちいい溺愛SEXに完全に堕とされました。</v>
      </c>
      <c r="T268" s="9"/>
      <c r="U268" s="9" t="str">
        <f>IFERROR(__xludf.DUMMYFUNCTION("""COMPUTED_VALUE"""),"©鈴鳴いちご/アイプロダクション")</f>
        <v>©鈴鳴いちご/アイプロダクション</v>
      </c>
      <c r="V268" s="8" t="str">
        <f>IFERROR(__xludf.DUMMYFUNCTION("""COMPUTED_VALUE"""),"「我慢するな。もっと聞かせてくれ」憧れの上司の、逞しい指先でナカまで掻き乱されて……こんなの、勘違いしちゃいそう――元カレに「喘ぎ声がわざとらしい」と言われ、フラれたことがきっかけで、恋愛がトラウマになっていた琴子(24)。エステ関連の企業に勤める琴子は、仕事で「女性のプライベートタイムの充実」について調べていたところ、『女性向けセラピスト』の存在を知る。『セラピスト』とは、いわゆる「本番行為はなし」で、女性の性の悩みを解決してくれる『女性専用性感マッサージ』らしい。仕事の参考にもなるうえに、自分の個人的"&amp;"な悩みも解決できるかもしれない……そう思った琴子は、さっそくセラピストを予約することに。ところが、セラピストとの待ち合わせ場所に現れたのは、まさかの直属の上司・桐山で――！？ 「エッチな自分を隠さずに恋をしたい」その琴子の願いに、桐山は意外にも真摯に、熱い瞳で応えてくれて……こんなに気持ちいいなんて、もう抜け出せなくなる――。")</f>
        <v>「我慢するな。もっと聞かせてくれ」憧れの上司の、逞しい指先でナカまで掻き乱されて……こんなの、勘違いしちゃいそう――元カレに「喘ぎ声がわざとらしい」と言われ、フラれたことがきっかけで、恋愛がトラウマになっていた琴子(24)。エステ関連の企業に勤める琴子は、仕事で「女性のプライベートタイムの充実」について調べていたところ、『女性向けセラピスト』の存在を知る。『セラピスト』とは、いわゆる「本番行為はなし」で、女性の性の悩みを解決してくれる『女性専用性感マッサージ』らしい。仕事の参考にもなるうえに、自分の個人的な悩みも解決できるかもしれない……そう思った琴子は、さっそくセラピストを予約することに。ところが、セラピストとの待ち合わせ場所に現れたのは、まさかの直属の上司・桐山で――！？ 「エッチな自分を隠さずに恋をしたい」その琴子の願いに、桐山は意外にも真摯に、熱い瞳で応えてくれて……こんなに気持ちいいなんて、もう抜け出せなくなる――。</v>
      </c>
      <c r="W268" s="8"/>
      <c r="X268" s="8" t="str">
        <f>IFERROR(__xludf.DUMMYFUNCTION("""COMPUTED_VALUE"""),"有")</f>
        <v>有</v>
      </c>
      <c r="Y268" s="8" t="str">
        <f>IFERROR(__xludf.DUMMYFUNCTION("""COMPUTED_VALUE"""),"5/31まで1巻無料")</f>
        <v>5/31まで1巻無料</v>
      </c>
      <c r="Z268" s="7"/>
      <c r="AA268" s="7"/>
      <c r="AB268" s="7"/>
    </row>
    <row r="269" ht="15.75" customHeight="1">
      <c r="A269" s="8">
        <f>IFERROR(__xludf.DUMMYFUNCTION("""COMPUTED_VALUE"""),1821.0)</f>
        <v>1821</v>
      </c>
      <c r="B269" s="9" t="str">
        <f>IFERROR(__xludf.DUMMYFUNCTION("""COMPUTED_VALUE"""),"確定")</f>
        <v>確定</v>
      </c>
      <c r="C269" s="10">
        <f>IFERROR(__xludf.DUMMYFUNCTION("""COMPUTED_VALUE"""),45002.0)</f>
        <v>45002</v>
      </c>
      <c r="D269" s="10">
        <f>IFERROR(__xludf.DUMMYFUNCTION("""COMPUTED_VALUE"""),45020.0)</f>
        <v>45020</v>
      </c>
      <c r="E269" s="8">
        <f>IFERROR(__xludf.DUMMYFUNCTION("""COMPUTED_VALUE"""),267160.0)</f>
        <v>267160</v>
      </c>
      <c r="F269" s="9" t="str">
        <f>IFERROR(__xludf.DUMMYFUNCTION("""COMPUTED_VALUE"""),"レンアイサイド")</f>
        <v>レンアイサイド</v>
      </c>
      <c r="G269" s="11" t="str">
        <f>IFERROR(__xludf.DUMMYFUNCTION("""COMPUTED_VALUE"""),"1～3")</f>
        <v>1～3</v>
      </c>
      <c r="H269" s="8" t="str">
        <f>IFERROR(__xludf.DUMMYFUNCTION("""COMPUTED_VALUE"""),"あめきり")</f>
        <v>あめきり</v>
      </c>
      <c r="I269" s="8" t="str">
        <f>IFERROR(__xludf.DUMMYFUNCTION("""COMPUTED_VALUE"""),"BL")</f>
        <v>BL</v>
      </c>
      <c r="J269" s="8"/>
      <c r="K269" s="8"/>
      <c r="L269" s="8" t="str">
        <f>IFERROR(__xludf.DUMMYFUNCTION("""COMPUTED_VALUE"""),"新書館")</f>
        <v>新書館</v>
      </c>
      <c r="M269" s="12">
        <f>IFERROR(__xludf.DUMMYFUNCTION("""COMPUTED_VALUE"""),45044.0)</f>
        <v>45044</v>
      </c>
      <c r="N269" s="12">
        <f>IFERROR(__xludf.DUMMYFUNCTION("""COMPUTED_VALUE"""),45071.0)</f>
        <v>45071</v>
      </c>
      <c r="O269" s="11"/>
      <c r="P269" s="9" t="str">
        <f>IFERROR(__xludf.DUMMYFUNCTION("""COMPUTED_VALUE"""),"可")</f>
        <v>可</v>
      </c>
      <c r="Q269" s="8" t="str">
        <f>IFERROR(__xludf.DUMMYFUNCTION("""COMPUTED_VALUE"""),"広告コミットOK（3/16）&lt;BR&gt;")</f>
        <v>広告コミットOK（3/16）&lt;BR&gt;</v>
      </c>
      <c r="R269" s="9"/>
      <c r="S269" s="8" t="str">
        <f>IFERROR(__xludf.DUMMYFUNCTION("""COMPUTED_VALUE"""),"20230404_新書館_レンアイサイド")</f>
        <v>20230404_新書館_レンアイサイド</v>
      </c>
      <c r="T269" s="9"/>
      <c r="U269" s="9" t="str">
        <f>IFERROR(__xludf.DUMMYFUNCTION("""COMPUTED_VALUE"""),"©あめきり")</f>
        <v>©あめきり</v>
      </c>
      <c r="V269" s="8" t="str">
        <f>IFERROR(__xludf.DUMMYFUNCTION("""COMPUTED_VALUE"""),"高校生の歩夢は、親友兼初恋の相手・燕への恋心をふっきれずに日々を過ごしていた。ある時、燕の通う高校の文化祭を訪れた歩夢は、燕の友人・龍に出会う。初恋の人への未練を見抜かれ、まさかの言葉を投げかけられた歩夢は……！？ 大反響のデビュー作「ハツコイノオト」スピンオフ！　傷ついたふたりが紡ぎだす、心に沁みるラブストーリー。（この作品はディアプラス２０２２年１１月号に収録されました。重複購入にはご注意ください）
")</f>
        <v>高校生の歩夢は、親友兼初恋の相手・燕への恋心をふっきれずに日々を過ごしていた。ある時、燕の通う高校の文化祭を訪れた歩夢は、燕の友人・龍に出会う。初恋の人への未練を見抜かれ、まさかの言葉を投げかけられた歩夢は……！？ 大反響のデビュー作「ハツコイノオト」スピンオフ！　傷ついたふたりが紡ぎだす、心に沁みるラブストーリー。（この作品はディアプラス２０２２年１１月号に収録されました。重複購入にはご注意ください）
</v>
      </c>
      <c r="W269" s="8"/>
      <c r="X269" s="8" t="str">
        <f>IFERROR(__xludf.DUMMYFUNCTION("""COMPUTED_VALUE"""),"有")</f>
        <v>有</v>
      </c>
      <c r="Y269" s="8" t="str">
        <f>IFERROR(__xludf.DUMMYFUNCTION("""COMPUTED_VALUE"""),"5/11まで1巻無料")</f>
        <v>5/11まで1巻無料</v>
      </c>
      <c r="Z269" s="7"/>
      <c r="AA269" s="7"/>
      <c r="AB269" s="7"/>
    </row>
    <row r="270" ht="15.75" customHeight="1">
      <c r="A270" s="8">
        <f>IFERROR(__xludf.DUMMYFUNCTION("""COMPUTED_VALUE"""),1839.0)</f>
        <v>1839</v>
      </c>
      <c r="B270" s="9" t="str">
        <f>IFERROR(__xludf.DUMMYFUNCTION("""COMPUTED_VALUE"""),"確定")</f>
        <v>確定</v>
      </c>
      <c r="C270" s="10">
        <f>IFERROR(__xludf.DUMMYFUNCTION("""COMPUTED_VALUE"""),45012.0)</f>
        <v>45012</v>
      </c>
      <c r="D270" s="10">
        <f>IFERROR(__xludf.DUMMYFUNCTION("""COMPUTED_VALUE"""),45021.0)</f>
        <v>45021</v>
      </c>
      <c r="E270" s="8">
        <f>IFERROR(__xludf.DUMMYFUNCTION("""COMPUTED_VALUE"""),267694.0)</f>
        <v>267694</v>
      </c>
      <c r="F270" s="9" t="str">
        <f>IFERROR(__xludf.DUMMYFUNCTION("""COMPUTED_VALUE"""),"キミの恋について")</f>
        <v>キミの恋について</v>
      </c>
      <c r="G270" s="11" t="str">
        <f>IFERROR(__xludf.DUMMYFUNCTION("""COMPUTED_VALUE"""),"1~50")</f>
        <v>1~50</v>
      </c>
      <c r="H270" s="8" t="str">
        <f>IFERROR(__xludf.DUMMYFUNCTION("""COMPUTED_VALUE"""),"nodeok")</f>
        <v>nodeok</v>
      </c>
      <c r="I270" s="8" t="str">
        <f>IFERROR(__xludf.DUMMYFUNCTION("""COMPUTED_VALUE"""),"BL")</f>
        <v>BL</v>
      </c>
      <c r="J270" s="8"/>
      <c r="K270" s="8"/>
      <c r="L270" s="8" t="str">
        <f>IFERROR(__xludf.DUMMYFUNCTION("""COMPUTED_VALUE"""),"NHNcomico")</f>
        <v>NHNcomico</v>
      </c>
      <c r="M270" s="12">
        <f>IFERROR(__xludf.DUMMYFUNCTION("""COMPUTED_VALUE"""),45044.0)</f>
        <v>45044</v>
      </c>
      <c r="N270" s="12">
        <f>IFERROR(__xludf.DUMMYFUNCTION("""COMPUTED_VALUE"""),45134.0)</f>
        <v>45134</v>
      </c>
      <c r="O270" s="11"/>
      <c r="P270" s="9" t="str">
        <f>IFERROR(__xludf.DUMMYFUNCTION("""COMPUTED_VALUE"""),"可")</f>
        <v>可</v>
      </c>
      <c r="Q270" s="8" t="str">
        <f>IFERROR(__xludf.DUMMYFUNCTION("""COMPUTED_VALUE"""),"広告コミットOK（3/31）&lt;BR&gt;元々シーモアで配信しており、権利の関係で配信終了になった作品です。この度、再度権利の更新があり、出稿可であれば弊社での先行配信を頂けます。&lt;BR&gt;https://www.cmoa.jp/title/206196/&lt;BR&gt;配信日等が確定しましたので更新しました（4/5）")</f>
        <v>広告コミットOK（3/31）&lt;BR&gt;元々シーモアで配信しており、権利の関係で配信終了になった作品です。この度、再度権利の更新があり、出稿可であれば弊社での先行配信を頂けます。&lt;BR&gt;https://www.cmoa.jp/title/206196/&lt;BR&gt;配信日等が確定しましたので更新しました（4/5）</v>
      </c>
      <c r="R270" s="9"/>
      <c r="S270" s="8" t="str">
        <f>IFERROR(__xludf.DUMMYFUNCTION("""COMPUTED_VALUE"""),"20230329_NHNcomico_キミの恋について")</f>
        <v>20230329_NHNcomico_キミの恋について</v>
      </c>
      <c r="T270" s="9"/>
      <c r="U270" s="9" t="str">
        <f>IFERROR(__xludf.DUMMYFUNCTION("""COMPUTED_VALUE"""),"©nodeok/Wisdomhouse")</f>
        <v>©nodeok/Wisdomhouse</v>
      </c>
      <c r="V270" s="8" t="str">
        <f>IFERROR(__xludf.DUMMYFUNCTION("""COMPUTED_VALUE"""),"
最近、俺は同じ部の先輩が気になって仕方ねぇ。輪島のことが好きなのがミエミエなんだよな。…ったく。仕方ないから先輩の恋、協力してやるよ！
")</f>
        <v>
最近、俺は同じ部の先輩が気になって仕方ねぇ。輪島のことが好きなのがミエミエなんだよな。…ったく。仕方ないから先輩の恋、協力してやるよ！
</v>
      </c>
      <c r="W270" s="8"/>
      <c r="X270" s="9" t="str">
        <f>IFERROR(__xludf.DUMMYFUNCTION("""COMPUTED_VALUE"""),"有")</f>
        <v>有</v>
      </c>
      <c r="Y270" s="8" t="str">
        <f>IFERROR(__xludf.DUMMYFUNCTION("""COMPUTED_VALUE"""),"1～7巻目⇒０円（無料ストリーミング有）
8～15巻目⇒7/31まで無料")</f>
        <v>1～7巻目⇒０円（無料ストリーミング有）
8～15巻目⇒7/31まで無料</v>
      </c>
      <c r="Z270" s="7"/>
      <c r="AA270" s="7"/>
      <c r="AB270" s="7"/>
    </row>
    <row r="271" ht="15.75" customHeight="1">
      <c r="A271" s="8">
        <f>IFERROR(__xludf.DUMMYFUNCTION("""COMPUTED_VALUE"""),1855.0)</f>
        <v>1855</v>
      </c>
      <c r="B271" s="9" t="str">
        <f>IFERROR(__xludf.DUMMYFUNCTION("""COMPUTED_VALUE"""),"確定")</f>
        <v>確定</v>
      </c>
      <c r="C271" s="10">
        <f>IFERROR(__xludf.DUMMYFUNCTION("""COMPUTED_VALUE"""),45020.0)</f>
        <v>45020</v>
      </c>
      <c r="D271" s="10">
        <f>IFERROR(__xludf.DUMMYFUNCTION("""COMPUTED_VALUE"""),45020.0)</f>
        <v>45020</v>
      </c>
      <c r="E271" s="8">
        <f>IFERROR(__xludf.DUMMYFUNCTION("""COMPUTED_VALUE"""),267042.0)</f>
        <v>267042</v>
      </c>
      <c r="F271" s="9" t="str">
        <f>IFERROR(__xludf.DUMMYFUNCTION("""COMPUTED_VALUE"""),"恋したいなら僕じゃダメ？")</f>
        <v>恋したいなら僕じゃダメ？</v>
      </c>
      <c r="G271" s="11">
        <f>IFERROR(__xludf.DUMMYFUNCTION("""COMPUTED_VALUE"""),1.0)</f>
        <v>1</v>
      </c>
      <c r="H271" s="8" t="str">
        <f>IFERROR(__xludf.DUMMYFUNCTION("""COMPUTED_VALUE"""),"黄色乃ねこ")</f>
        <v>黄色乃ねこ</v>
      </c>
      <c r="I271" s="8" t="str">
        <f>IFERROR(__xludf.DUMMYFUNCTION("""COMPUTED_VALUE"""),"BL")</f>
        <v>BL</v>
      </c>
      <c r="J271" s="8"/>
      <c r="K271" s="8"/>
      <c r="L271" s="8" t="str">
        <f>IFERROR(__xludf.DUMMYFUNCTION("""COMPUTED_VALUE"""),"fromRED")</f>
        <v>fromRED</v>
      </c>
      <c r="M271" s="12">
        <f>IFERROR(__xludf.DUMMYFUNCTION("""COMPUTED_VALUE"""),45044.0)</f>
        <v>45044</v>
      </c>
      <c r="N271" s="12">
        <f>IFERROR(__xludf.DUMMYFUNCTION("""COMPUTED_VALUE"""),45113.66666666667)</f>
        <v>45113.66667</v>
      </c>
      <c r="O271" s="11"/>
      <c r="P271" s="9" t="str">
        <f>IFERROR(__xludf.DUMMYFUNCTION("""COMPUTED_VALUE"""),"可")</f>
        <v>可</v>
      </c>
      <c r="Q271" s="8"/>
      <c r="R271" s="9"/>
      <c r="S271" s="8" t="str">
        <f>IFERROR(__xludf.DUMMYFUNCTION("""COMPUTED_VALUE"""),"20230404_fromRED_恋したいなら僕じゃダメ？")</f>
        <v>20230404_fromRED_恋したいなら僕じゃダメ？</v>
      </c>
      <c r="T271" s="9"/>
      <c r="U271" s="9" t="str">
        <f>IFERROR(__xludf.DUMMYFUNCTION("""COMPUTED_VALUE"""),"©黄色乃ねこ/from RED")</f>
        <v>©黄色乃ねこ/from RED</v>
      </c>
      <c r="V271" s="8" t="str">
        <f>IFERROR(__xludf.DUMMYFUNCTION("""COMPUTED_VALUE"""),"「オレも“彼氏”になりたい！」
ちょっとおバカな男子校に通う律は、
彼女がほしさにナンパをしては、女子から煙たがられていた。
そんな時、「ナンパされた女の子の兄」を名乗る男・奈良坂が現れて
彼女との仲を取り持ってくれそうな雰囲気に…
ついに春が来たと舞い上がる律だったが
なぜか奈良坂（兄）に告白され、身体を開発されてしまった！
ノンケのオレがこんな根暗な陰キャに、気持ちよくさせられるわけがない――！
そう思っていたはずが、あの日味わった受け身の快楽を忘れられなくて…
一途なこじらせ陰キャ×純情ツンデ"&amp;"レヤンキー
正反対な二人の、エロティック・学園ラブコメ！")</f>
        <v>「オレも“彼氏”になりたい！」
ちょっとおバカな男子校に通う律は、
彼女がほしさにナンパをしては、女子から煙たがられていた。
そんな時、「ナンパされた女の子の兄」を名乗る男・奈良坂が現れて
彼女との仲を取り持ってくれそうな雰囲気に…
ついに春が来たと舞い上がる律だったが
なぜか奈良坂（兄）に告白され、身体を開発されてしまった！
ノンケのオレがこんな根暗な陰キャに、気持ちよくさせられるわけがない――！
そう思っていたはずが、あの日味わった受け身の快楽を忘れられなくて…
一途なこじらせ陰キャ×純情ツンデレヤンキー
正反対な二人の、エロティック・学園ラブコメ！</v>
      </c>
      <c r="W271" s="8"/>
      <c r="X271" s="8" t="str">
        <f>IFERROR(__xludf.DUMMYFUNCTION("""COMPUTED_VALUE"""),"有")</f>
        <v>有</v>
      </c>
      <c r="Y271" s="8" t="str">
        <f>IFERROR(__xludf.DUMMYFUNCTION("""COMPUTED_VALUE"""),"P10まで")</f>
        <v>P10まで</v>
      </c>
      <c r="Z271" s="7"/>
      <c r="AA271" s="7"/>
      <c r="AB271" s="7"/>
    </row>
    <row r="272" ht="15.75" customHeight="1">
      <c r="A272" s="8">
        <f>IFERROR(__xludf.DUMMYFUNCTION("""COMPUTED_VALUE"""),1866.0)</f>
        <v>1866</v>
      </c>
      <c r="B272" s="9" t="str">
        <f>IFERROR(__xludf.DUMMYFUNCTION("""COMPUTED_VALUE"""),"確定")</f>
        <v>確定</v>
      </c>
      <c r="C272" s="10">
        <f>IFERROR(__xludf.DUMMYFUNCTION("""COMPUTED_VALUE"""),45023.0)</f>
        <v>45023</v>
      </c>
      <c r="D272" s="10">
        <f>IFERROR(__xludf.DUMMYFUNCTION("""COMPUTED_VALUE"""),45027.0)</f>
        <v>45027</v>
      </c>
      <c r="E272" s="8">
        <f>IFERROR(__xludf.DUMMYFUNCTION("""COMPUTED_VALUE"""),193142.0)</f>
        <v>193142</v>
      </c>
      <c r="F272" s="9" t="str">
        <f>IFERROR(__xludf.DUMMYFUNCTION("""COMPUTED_VALUE"""),"ケダモノに跪くは夜の下僕")</f>
        <v>ケダモノに跪くは夜の下僕</v>
      </c>
      <c r="G272" s="11">
        <f>IFERROR(__xludf.DUMMYFUNCTION("""COMPUTED_VALUE"""),4.0)</f>
        <v>4</v>
      </c>
      <c r="H272" s="8" t="str">
        <f>IFERROR(__xludf.DUMMYFUNCTION("""COMPUTED_VALUE"""),"慧")</f>
        <v>慧</v>
      </c>
      <c r="I272" s="8" t="str">
        <f>IFERROR(__xludf.DUMMYFUNCTION("""COMPUTED_VALUE"""),"BL")</f>
        <v>BL</v>
      </c>
      <c r="J272" s="8"/>
      <c r="K272" s="8"/>
      <c r="L272" s="8" t="str">
        <f>IFERROR(__xludf.DUMMYFUNCTION("""COMPUTED_VALUE"""),"双葉社")</f>
        <v>双葉社</v>
      </c>
      <c r="M272" s="12">
        <f>IFERROR(__xludf.DUMMYFUNCTION("""COMPUTED_VALUE"""),45044.0)</f>
        <v>45044</v>
      </c>
      <c r="N272" s="12">
        <f>IFERROR(__xludf.DUMMYFUNCTION("""COMPUTED_VALUE"""),2958465.0)</f>
        <v>2958465</v>
      </c>
      <c r="O272" s="11"/>
      <c r="P272" s="9" t="str">
        <f>IFERROR(__xludf.DUMMYFUNCTION("""COMPUTED_VALUE"""),"可")</f>
        <v>可</v>
      </c>
      <c r="Q272" s="8" t="str">
        <f>IFERROR(__xludf.DUMMYFUNCTION("""COMPUTED_VALUE"""),"限定書冊子施策")</f>
        <v>限定書冊子施策</v>
      </c>
      <c r="R272" s="9"/>
      <c r="S272" s="8" t="str">
        <f>IFERROR(__xludf.DUMMYFUNCTION("""COMPUTED_VALUE"""),"20230411_双葉社_ケダモノに跪くは夜の下僕")</f>
        <v>20230411_双葉社_ケダモノに跪くは夜の下僕</v>
      </c>
      <c r="T272" s="9"/>
      <c r="U272" s="9" t="str">
        <f>IFERROR(__xludf.DUMMYFUNCTION("""COMPUTED_VALUE"""),"©慧/双葉社")</f>
        <v>©慧/双葉社</v>
      </c>
      <c r="V272" s="8" t="str">
        <f>IFERROR(__xludf.DUMMYFUNCTION("""COMPUTED_VALUE"""),"昼の顔はエリート上司。夜は淫らな性の下僕!?獣人対策本部の大尉を務める沢渡天舞。彼は人間でありながら、先祖返りのため強い身体能力を持っていた。その一方、傷を負った際には手負いの獣のように興奮状態となってしまう。それを手っ取り早く収める方法はSEXで、その相手を務めるのは幼馴染み兼部下の獣人・カザミで……。部下の一途獣人×エリート軍人上司が織りなす両片想いストーリー。コミックス描き下ろしも収録!!
")</f>
        <v>昼の顔はエリート上司。夜は淫らな性の下僕!?獣人対策本部の大尉を務める沢渡天舞。彼は人間でありながら、先祖返りのため強い身体能力を持っていた。その一方、傷を負った際には手負いの獣のように興奮状態となってしまう。それを手っ取り早く収める方法はSEXで、その相手を務めるのは幼馴染み兼部下の獣人・カザミで……。部下の一途獣人×エリート軍人上司が織りなす両片想いストーリー。コミックス描き下ろしも収録!!
</v>
      </c>
      <c r="W272" s="8"/>
      <c r="X272" s="8" t="str">
        <f>IFERROR(__xludf.DUMMYFUNCTION("""COMPUTED_VALUE"""),"有")</f>
        <v>有</v>
      </c>
      <c r="Y272" s="8" t="str">
        <f>IFERROR(__xludf.DUMMYFUNCTION("""COMPUTED_VALUE"""),"5/25まで立ち読み増量P60まで")</f>
        <v>5/25まで立ち読み増量P60まで</v>
      </c>
      <c r="Z272" s="7"/>
      <c r="AA272" s="7"/>
      <c r="AB272" s="7"/>
    </row>
    <row r="273" ht="15.75" customHeight="1">
      <c r="A273" s="8">
        <f>IFERROR(__xludf.DUMMYFUNCTION("""COMPUTED_VALUE"""),1867.0)</f>
        <v>1867</v>
      </c>
      <c r="B273" s="9" t="str">
        <f>IFERROR(__xludf.DUMMYFUNCTION("""COMPUTED_VALUE"""),"確定")</f>
        <v>確定</v>
      </c>
      <c r="C273" s="10">
        <f>IFERROR(__xludf.DUMMYFUNCTION("""COMPUTED_VALUE"""),45023.0)</f>
        <v>45023</v>
      </c>
      <c r="D273" s="10">
        <f>IFERROR(__xludf.DUMMYFUNCTION("""COMPUTED_VALUE"""),45027.0)</f>
        <v>45027</v>
      </c>
      <c r="E273" s="8">
        <f>IFERROR(__xludf.DUMMYFUNCTION("""COMPUTED_VALUE"""),41894.0)</f>
        <v>41894</v>
      </c>
      <c r="F273" s="9" t="str">
        <f>IFERROR(__xludf.DUMMYFUNCTION("""COMPUTED_VALUE"""),"アンダーグラウンドホテル＜完全版＞")</f>
        <v>アンダーグラウンドホテル＜完全版＞</v>
      </c>
      <c r="G273" s="11">
        <f>IFERROR(__xludf.DUMMYFUNCTION("""COMPUTED_VALUE"""),3.0)</f>
        <v>3</v>
      </c>
      <c r="H273" s="8" t="str">
        <f>IFERROR(__xludf.DUMMYFUNCTION("""COMPUTED_VALUE"""),"定広美香")</f>
        <v>定広美香</v>
      </c>
      <c r="I273" s="8" t="str">
        <f>IFERROR(__xludf.DUMMYFUNCTION("""COMPUTED_VALUE"""),"BL")</f>
        <v>BL</v>
      </c>
      <c r="J273" s="8"/>
      <c r="K273" s="8"/>
      <c r="L273" s="8" t="str">
        <f>IFERROR(__xludf.DUMMYFUNCTION("""COMPUTED_VALUE"""),"双葉社")</f>
        <v>双葉社</v>
      </c>
      <c r="M273" s="12">
        <f>IFERROR(__xludf.DUMMYFUNCTION("""COMPUTED_VALUE"""),45044.0)</f>
        <v>45044</v>
      </c>
      <c r="N273" s="12">
        <f>IFERROR(__xludf.DUMMYFUNCTION("""COMPUTED_VALUE"""),2958465.0)</f>
        <v>2958465</v>
      </c>
      <c r="O273" s="11"/>
      <c r="P273" s="9" t="str">
        <f>IFERROR(__xludf.DUMMYFUNCTION("""COMPUTED_VALUE"""),"可")</f>
        <v>可</v>
      </c>
      <c r="Q273" s="8" t="str">
        <f>IFERROR(__xludf.DUMMYFUNCTION("""COMPUTED_VALUE"""),"限定小冊子施策")</f>
        <v>限定小冊子施策</v>
      </c>
      <c r="R273" s="9"/>
      <c r="S273" s="8" t="str">
        <f>IFERROR(__xludf.DUMMYFUNCTION("""COMPUTED_VALUE"""),"20230411_双葉社_アンダーグラウンドホテル＜完全版＞")</f>
        <v>20230411_双葉社_アンダーグラウンドホテル＜完全版＞</v>
      </c>
      <c r="T273" s="9"/>
      <c r="U273" s="9" t="str">
        <f>IFERROR(__xludf.DUMMYFUNCTION("""COMPUTED_VALUE"""),"©定広美香/双葉社")</f>
        <v>©定広美香/双葉社</v>
      </c>
      <c r="V273" s="8" t="str">
        <f>IFERROR(__xludf.DUMMYFUNCTION("""COMPUTED_VALUE"""),"NY州ロングアイランド。殺人罪に問われた日本人留学生セン（尾張潜）は、合衆国レベル３の地下刑務所「アンダーグラウンドホテル」に投獄される。そこで出会ったシャットコール（囚人のボス）のソードとカラダの契約を結んで身を守ってもらうが、やがて二人の感情は激しい恋愛へと変わってゆく。栗本薫氏も絶賛のハードボイルドBLの名作！
")</f>
        <v>NY州ロングアイランド。殺人罪に問われた日本人留学生セン（尾張潜）は、合衆国レベル３の地下刑務所「アンダーグラウンドホテル」に投獄される。そこで出会ったシャットコール（囚人のボス）のソードとカラダの契約を結んで身を守ってもらうが、やがて二人の感情は激しい恋愛へと変わってゆく。栗本薫氏も絶賛のハードボイルドBLの名作！
</v>
      </c>
      <c r="W273" s="8"/>
      <c r="X273" s="8" t="str">
        <f>IFERROR(__xludf.DUMMYFUNCTION("""COMPUTED_VALUE"""),"有")</f>
        <v>有</v>
      </c>
      <c r="Y273" s="8" t="str">
        <f>IFERROR(__xludf.DUMMYFUNCTION("""COMPUTED_VALUE"""),"5/25まで立ち読み増量P32まで")</f>
        <v>5/25まで立ち読み増量P32まで</v>
      </c>
      <c r="Z273" s="7"/>
      <c r="AA273" s="7"/>
      <c r="AB273" s="7"/>
    </row>
    <row r="274" ht="15.75" customHeight="1">
      <c r="A274" s="8">
        <f>IFERROR(__xludf.DUMMYFUNCTION("""COMPUTED_VALUE"""),1868.0)</f>
        <v>1868</v>
      </c>
      <c r="B274" s="9" t="str">
        <f>IFERROR(__xludf.DUMMYFUNCTION("""COMPUTED_VALUE"""),"確定")</f>
        <v>確定</v>
      </c>
      <c r="C274" s="10">
        <f>IFERROR(__xludf.DUMMYFUNCTION("""COMPUTED_VALUE"""),45023.0)</f>
        <v>45023</v>
      </c>
      <c r="D274" s="10">
        <f>IFERROR(__xludf.DUMMYFUNCTION("""COMPUTED_VALUE"""),45023.0)</f>
        <v>45023</v>
      </c>
      <c r="E274" s="8">
        <f>IFERROR(__xludf.DUMMYFUNCTION("""COMPUTED_VALUE"""),183197.0)</f>
        <v>183197</v>
      </c>
      <c r="F274" s="9" t="str">
        <f>IFERROR(__xludf.DUMMYFUNCTION("""COMPUTED_VALUE"""),"幼馴染をメスイキ調教～好きだからNTR(寝取り)ます【電子単行本版】")</f>
        <v>幼馴染をメスイキ調教～好きだからNTR(寝取り)ます【電子単行本版】</v>
      </c>
      <c r="G274" s="11">
        <f>IFERROR(__xludf.DUMMYFUNCTION("""COMPUTED_VALUE"""),6.0)</f>
        <v>6</v>
      </c>
      <c r="H274" s="8" t="str">
        <f>IFERROR(__xludf.DUMMYFUNCTION("""COMPUTED_VALUE"""),"いけがみ小5")</f>
        <v>いけがみ小5</v>
      </c>
      <c r="I274" s="8" t="str">
        <f>IFERROR(__xludf.DUMMYFUNCTION("""COMPUTED_VALUE"""),"BL")</f>
        <v>BL</v>
      </c>
      <c r="J274" s="8"/>
      <c r="K274" s="8"/>
      <c r="L274" s="8" t="str">
        <f>IFERROR(__xludf.DUMMYFUNCTION("""COMPUTED_VALUE"""),"秋水社ORIGINAL")</f>
        <v>秋水社ORIGINAL</v>
      </c>
      <c r="M274" s="12">
        <f>IFERROR(__xludf.DUMMYFUNCTION("""COMPUTED_VALUE"""),45044.0)</f>
        <v>45044</v>
      </c>
      <c r="N274" s="12">
        <f>IFERROR(__xludf.DUMMYFUNCTION("""COMPUTED_VALUE"""),2958465.0)</f>
        <v>2958465</v>
      </c>
      <c r="O274" s="11"/>
      <c r="P274" s="9" t="str">
        <f>IFERROR(__xludf.DUMMYFUNCTION("""COMPUTED_VALUE"""),"可")</f>
        <v>可</v>
      </c>
      <c r="Q274" s="8" t="str">
        <f>IFERROR(__xludf.DUMMYFUNCTION("""COMPUTED_VALUE"""),"限定小冊子施策&lt;BR&gt;河上さん共有済み")</f>
        <v>限定小冊子施策&lt;BR&gt;河上さん共有済み</v>
      </c>
      <c r="R274" s="9"/>
      <c r="S274" s="8" t="str">
        <f>IFERROR(__xludf.DUMMYFUNCTION("""COMPUTED_VALUE"""),"20230407_秋水社ORIGINAL_幼馴染_幼馴染をメスイキ調教～好きだからNTR(寝取り)ます【電子単行本版】")</f>
        <v>20230407_秋水社ORIGINAL_幼馴染_幼馴染をメスイキ調教～好きだからNTR(寝取り)ます【電子単行本版】</v>
      </c>
      <c r="T274" s="9"/>
      <c r="U274" s="9" t="str">
        <f>IFERROR(__xludf.DUMMYFUNCTION("""COMPUTED_VALUE"""),"(C)いけがみ小5/秋水社ORIGINAL")</f>
        <v>(C)いけがみ小5/秋水社ORIGINAL</v>
      </c>
      <c r="V274" s="8" t="str">
        <f>IFERROR(__xludf.DUMMYFUNCTION("""COMPUTED_VALUE"""),"【この作品は同タイトルの単行本版です】【脱童貞に必要なのはメスイキ!?!?】高専に通う蒼は、幼馴染の与と学校でもいつも一緒。それは子どもの頃から与の事が好きだからなのだが、鈍感で素直な与は、蒼の気持ちに気付かないどころかバイト先で彼女を作ってしまう!!更に『アレがでかすぎてS●Xを拒否された』事に悩んでいるらしい。 「ケツん中開発すれば、アレが小さくなって童貞卒業できるぞ」 ここぞとばかりに与の処女を奪う気満々な蒼の提案に、童貞卒業に必死な与はノッてきて――!?")</f>
        <v>【この作品は同タイトルの単行本版です】【脱童貞に必要なのはメスイキ!?!?】高専に通う蒼は、幼馴染の与と学校でもいつも一緒。それは子どもの頃から与の事が好きだからなのだが、鈍感で素直な与は、蒼の気持ちに気付かないどころかバイト先で彼女を作ってしまう!!更に『アレがでかすぎてS●Xを拒否された』事に悩んでいるらしい。 「ケツん中開発すれば、アレが小さくなって童貞卒業できるぞ」 ここぞとばかりに与の処女を奪う気満々な蒼の提案に、童貞卒業に必死な与はノッてきて――!?</v>
      </c>
      <c r="W274" s="8"/>
      <c r="X274" s="8" t="str">
        <f>IFERROR(__xludf.DUMMYFUNCTION("""COMPUTED_VALUE"""),"有")</f>
        <v>有</v>
      </c>
      <c r="Y274" s="8" t="str">
        <f>IFERROR(__xludf.DUMMYFUNCTION("""COMPUTED_VALUE"""),"5/25まで1巻無料")</f>
        <v>5/25まで1巻無料</v>
      </c>
      <c r="Z274" s="7"/>
      <c r="AA274" s="7"/>
      <c r="AB274" s="7"/>
    </row>
    <row r="275" ht="15.75" customHeight="1">
      <c r="A275" s="8">
        <f>IFERROR(__xludf.DUMMYFUNCTION("""COMPUTED_VALUE"""),1869.0)</f>
        <v>1869</v>
      </c>
      <c r="B275" s="9" t="str">
        <f>IFERROR(__xludf.DUMMYFUNCTION("""COMPUTED_VALUE"""),"確定")</f>
        <v>確定</v>
      </c>
      <c r="C275" s="10">
        <f>IFERROR(__xludf.DUMMYFUNCTION("""COMPUTED_VALUE"""),45023.0)</f>
        <v>45023</v>
      </c>
      <c r="D275" s="10">
        <f>IFERROR(__xludf.DUMMYFUNCTION("""COMPUTED_VALUE"""),45023.0)</f>
        <v>45023</v>
      </c>
      <c r="E275" s="8">
        <f>IFERROR(__xludf.DUMMYFUNCTION("""COMPUTED_VALUE"""),183654.0)</f>
        <v>183654</v>
      </c>
      <c r="F275" s="9" t="str">
        <f>IFERROR(__xludf.DUMMYFUNCTION("""COMPUTED_VALUE"""),"男をダメにする出張エステ【コミックス版】")</f>
        <v>男をダメにする出張エステ【コミックス版】</v>
      </c>
      <c r="G275" s="11">
        <f>IFERROR(__xludf.DUMMYFUNCTION("""COMPUTED_VALUE"""),2.0)</f>
        <v>2</v>
      </c>
      <c r="H275" s="8" t="str">
        <f>IFERROR(__xludf.DUMMYFUNCTION("""COMPUTED_VALUE"""),"吾作")</f>
        <v>吾作</v>
      </c>
      <c r="I275" s="8" t="str">
        <f>IFERROR(__xludf.DUMMYFUNCTION("""COMPUTED_VALUE"""),"BL")</f>
        <v>BL</v>
      </c>
      <c r="J275" s="8"/>
      <c r="K275" s="8"/>
      <c r="L275" s="8" t="str">
        <f>IFERROR(__xludf.DUMMYFUNCTION("""COMPUTED_VALUE"""),"ジュネット")</f>
        <v>ジュネット</v>
      </c>
      <c r="M275" s="12">
        <f>IFERROR(__xludf.DUMMYFUNCTION("""COMPUTED_VALUE"""),45044.0)</f>
        <v>45044</v>
      </c>
      <c r="N275" s="12">
        <f>IFERROR(__xludf.DUMMYFUNCTION("""COMPUTED_VALUE"""),2958465.0)</f>
        <v>2958465</v>
      </c>
      <c r="O275" s="11"/>
      <c r="P275" s="9" t="str">
        <f>IFERROR(__xludf.DUMMYFUNCTION("""COMPUTED_VALUE"""),"可")</f>
        <v>可</v>
      </c>
      <c r="Q275" s="8" t="str">
        <f>IFERROR(__xludf.DUMMYFUNCTION("""COMPUTED_VALUE"""),"限定小冊子施策&lt;BR&gt;河上さん共有済み")</f>
        <v>限定小冊子施策&lt;BR&gt;河上さん共有済み</v>
      </c>
      <c r="R275" s="9" t="str">
        <f>IFERROR(__xludf.DUMMYFUNCTION("""COMPUTED_VALUE"""),"納品済み（素材フォルダに格納）")</f>
        <v>納品済み（素材フォルダに格納）</v>
      </c>
      <c r="S275" s="8" t="str">
        <f>IFERROR(__xludf.DUMMYFUNCTION("""COMPUTED_VALUE"""),"20230407_ジュネット_男をダメにする出張エステ")</f>
        <v>20230407_ジュネット_男をダメにする出張エステ</v>
      </c>
      <c r="T275" s="9"/>
      <c r="U275" s="9" t="str">
        <f>IFERROR(__xludf.DUMMYFUNCTION("""COMPUTED_VALUE"""),"©吾作/ジュネット")</f>
        <v>©吾作/ジュネット</v>
      </c>
      <c r="V275" s="8" t="str">
        <f>IFERROR(__xludf.DUMMYFUNCTION("""COMPUTED_VALUE"""),"「ノンケリーマンはいかにして娼薬エステ体験にハマったか!?」出張続きでストレスを抱える平凡な会社員・一之瀬は出張先のホテルで先輩に美容エステを勧められ、1万円ポッキリの5日間のスペシャル格安コースを試してみることに…。 「はじめまして!本日はお試しコースのご予約ありがとうございます。担当させていただく柊です☆」愛想がよく親しみやすそうな柊に安心感を覚える一之瀬。だが施術終了後も身体がじんじん火照る一之瀬は、ムラムラする股間を鎮めるため指圧師の柊の顔を思い浮かべてしてオナニーしてしまう。そして２日目、３日目"&amp;"とサービスはより過激になり、一之瀬は股間の勃起が抑えられなくてしまい…とんでもないことに…?")</f>
        <v>「ノンケリーマンはいかにして娼薬エステ体験にハマったか!?」出張続きでストレスを抱える平凡な会社員・一之瀬は出張先のホテルで先輩に美容エステを勧められ、1万円ポッキリの5日間のスペシャル格安コースを試してみることに…。 「はじめまして!本日はお試しコースのご予約ありがとうございます。担当させていただく柊です☆」愛想がよく親しみやすそうな柊に安心感を覚える一之瀬。だが施術終了後も身体がじんじん火照る一之瀬は、ムラムラする股間を鎮めるため指圧師の柊の顔を思い浮かべてしてオナニーしてしまう。そして２日目、３日目とサービスはより過激になり、一之瀬は股間の勃起が抑えられなくてしまい…とんでもないことに…?</v>
      </c>
      <c r="W275" s="8"/>
      <c r="X275" s="8" t="str">
        <f>IFERROR(__xludf.DUMMYFUNCTION("""COMPUTED_VALUE"""),"有")</f>
        <v>有</v>
      </c>
      <c r="Y275" s="8" t="str">
        <f>IFERROR(__xludf.DUMMYFUNCTION("""COMPUTED_VALUE"""),"5/25まで立ち読み増量P48まで")</f>
        <v>5/25まで立ち読み増量P48まで</v>
      </c>
      <c r="Z275" s="7"/>
      <c r="AA275" s="7"/>
      <c r="AB275" s="7"/>
    </row>
    <row r="276" ht="15.75" customHeight="1">
      <c r="A276" s="8">
        <f>IFERROR(__xludf.DUMMYFUNCTION("""COMPUTED_VALUE"""),1870.0)</f>
        <v>1870</v>
      </c>
      <c r="B276" s="9" t="str">
        <f>IFERROR(__xludf.DUMMYFUNCTION("""COMPUTED_VALUE"""),"確定")</f>
        <v>確定</v>
      </c>
      <c r="C276" s="10">
        <f>IFERROR(__xludf.DUMMYFUNCTION("""COMPUTED_VALUE"""),45023.0)</f>
        <v>45023</v>
      </c>
      <c r="D276" s="10">
        <f>IFERROR(__xludf.DUMMYFUNCTION("""COMPUTED_VALUE"""),45023.0)</f>
        <v>45023</v>
      </c>
      <c r="E276" s="8">
        <f>IFERROR(__xludf.DUMMYFUNCTION("""COMPUTED_VALUE"""),189493.0)</f>
        <v>189493</v>
      </c>
      <c r="F276" s="9" t="str">
        <f>IFERROR(__xludf.DUMMYFUNCTION("""COMPUTED_VALUE"""),"いやらしいマネキン～ガチムチスーツ性欲図鑑～【全年齢コミックス版】")</f>
        <v>いやらしいマネキン～ガチムチスーツ性欲図鑑～【全年齢コミックス版】</v>
      </c>
      <c r="G276" s="11">
        <f>IFERROR(__xludf.DUMMYFUNCTION("""COMPUTED_VALUE"""),3.0)</f>
        <v>3</v>
      </c>
      <c r="H276" s="8" t="str">
        <f>IFERROR(__xludf.DUMMYFUNCTION("""COMPUTED_VALUE"""),"さとみち")</f>
        <v>さとみち</v>
      </c>
      <c r="I276" s="8" t="str">
        <f>IFERROR(__xludf.DUMMYFUNCTION("""COMPUTED_VALUE"""),"BL")</f>
        <v>BL</v>
      </c>
      <c r="J276" s="8"/>
      <c r="K276" s="8"/>
      <c r="L276" s="8" t="str">
        <f>IFERROR(__xludf.DUMMYFUNCTION("""COMPUTED_VALUE"""),"ジュネット")</f>
        <v>ジュネット</v>
      </c>
      <c r="M276" s="12">
        <f>IFERROR(__xludf.DUMMYFUNCTION("""COMPUTED_VALUE"""),45044.0)</f>
        <v>45044</v>
      </c>
      <c r="N276" s="12">
        <f>IFERROR(__xludf.DUMMYFUNCTION("""COMPUTED_VALUE"""),2958465.0)</f>
        <v>2958465</v>
      </c>
      <c r="O276" s="11"/>
      <c r="P276" s="9" t="str">
        <f>IFERROR(__xludf.DUMMYFUNCTION("""COMPUTED_VALUE"""),"可")</f>
        <v>可</v>
      </c>
      <c r="Q276" s="8" t="str">
        <f>IFERROR(__xludf.DUMMYFUNCTION("""COMPUTED_VALUE"""),"限定小冊子施策&lt;BR&gt;河上さん共有済み")</f>
        <v>限定小冊子施策&lt;BR&gt;河上さん共有済み</v>
      </c>
      <c r="R276" s="9" t="str">
        <f>IFERROR(__xludf.DUMMYFUNCTION("""COMPUTED_VALUE"""),"納品済み（素材フォルダに格納）")</f>
        <v>納品済み（素材フォルダに格納）</v>
      </c>
      <c r="S276" s="8" t="str">
        <f>IFERROR(__xludf.DUMMYFUNCTION("""COMPUTED_VALUE"""),"20230407_ジュネット_いやらしいマネキン～ガチムチスーツ性欲図鑑～【全年齢コミックス版】")</f>
        <v>20230407_ジュネット_いやらしいマネキン～ガチムチスーツ性欲図鑑～【全年齢コミックス版】</v>
      </c>
      <c r="T276" s="9"/>
      <c r="U276" s="9" t="str">
        <f>IFERROR(__xludf.DUMMYFUNCTION("""COMPUTED_VALUE"""),"©さとみち/ジュネット")</f>
        <v>©さとみち/ジュネット</v>
      </c>
      <c r="V276" s="8" t="str">
        <f>IFERROR(__xludf.DUMMYFUNCTION("""COMPUTED_VALUE"""),"ジュネット漫画教室から飛び出した新人漫画家・筋肉描写の鬼才さとみち先生初のコミックス!！高級スーツブランドの販売員・猫谷は同じ百貨店内で働くイケメン卯坂を一方的にライバル視していた。自分が一番でないと気が済まない猫谷は卯坂を見るたびにイライラ…。ある日、猫谷は卯坂とセックスする夢を見て夢精する。それにショックを受け、逆に意識するように。その日の閉店後…卯坂が店内で尻丸出しでバイブを入れながら射精するところを目撃してしまい…その後のエロぎる展開にドキドキ間違いなし!!※紙本（R18）と異なり、電子限定の修正"&amp;"（全年齢）版です。")</f>
        <v>ジュネット漫画教室から飛び出した新人漫画家・筋肉描写の鬼才さとみち先生初のコミックス!！高級スーツブランドの販売員・猫谷は同じ百貨店内で働くイケメン卯坂を一方的にライバル視していた。自分が一番でないと気が済まない猫谷は卯坂を見るたびにイライラ…。ある日、猫谷は卯坂とセックスする夢を見て夢精する。それにショックを受け、逆に意識するように。その日の閉店後…卯坂が店内で尻丸出しでバイブを入れながら射精するところを目撃してしまい…その後のエロぎる展開にドキドキ間違いなし!!※紙本（R18）と異なり、電子限定の修正（全年齢）版です。</v>
      </c>
      <c r="W276" s="8"/>
      <c r="X276" s="8" t="str">
        <f>IFERROR(__xludf.DUMMYFUNCTION("""COMPUTED_VALUE"""),"有")</f>
        <v>有</v>
      </c>
      <c r="Y276" s="8" t="str">
        <f>IFERROR(__xludf.DUMMYFUNCTION("""COMPUTED_VALUE"""),"5/25まで立ち読み増量P48まで")</f>
        <v>5/25まで立ち読み増量P48まで</v>
      </c>
      <c r="Z276" s="7"/>
      <c r="AA276" s="7"/>
      <c r="AB276" s="7"/>
    </row>
    <row r="277" ht="15.75" customHeight="1">
      <c r="A277" s="8">
        <f>IFERROR(__xludf.DUMMYFUNCTION("""COMPUTED_VALUE"""),1871.0)</f>
        <v>1871</v>
      </c>
      <c r="B277" s="9" t="str">
        <f>IFERROR(__xludf.DUMMYFUNCTION("""COMPUTED_VALUE"""),"確定")</f>
        <v>確定</v>
      </c>
      <c r="C277" s="10">
        <f>IFERROR(__xludf.DUMMYFUNCTION("""COMPUTED_VALUE"""),45023.0)</f>
        <v>45023</v>
      </c>
      <c r="D277" s="10">
        <f>IFERROR(__xludf.DUMMYFUNCTION("""COMPUTED_VALUE"""),45023.0)</f>
        <v>45023</v>
      </c>
      <c r="E277" s="8">
        <f>IFERROR(__xludf.DUMMYFUNCTION("""COMPUTED_VALUE"""),146192.0)</f>
        <v>146192</v>
      </c>
      <c r="F277" s="9" t="str">
        <f>IFERROR(__xludf.DUMMYFUNCTION("""COMPUTED_VALUE"""),"はじまりはナカから【コミックス版】")</f>
        <v>はじまりはナカから【コミックス版】</v>
      </c>
      <c r="G277" s="11">
        <f>IFERROR(__xludf.DUMMYFUNCTION("""COMPUTED_VALUE"""),2.0)</f>
        <v>2</v>
      </c>
      <c r="H277" s="8" t="str">
        <f>IFERROR(__xludf.DUMMYFUNCTION("""COMPUTED_VALUE"""),"みちのくアタミ")</f>
        <v>みちのくアタミ</v>
      </c>
      <c r="I277" s="8" t="str">
        <f>IFERROR(__xludf.DUMMYFUNCTION("""COMPUTED_VALUE"""),"BL")</f>
        <v>BL</v>
      </c>
      <c r="J277" s="8"/>
      <c r="K277" s="8"/>
      <c r="L277" s="8" t="str">
        <f>IFERROR(__xludf.DUMMYFUNCTION("""COMPUTED_VALUE"""),"ジュネット")</f>
        <v>ジュネット</v>
      </c>
      <c r="M277" s="12">
        <f>IFERROR(__xludf.DUMMYFUNCTION("""COMPUTED_VALUE"""),45044.0)</f>
        <v>45044</v>
      </c>
      <c r="N277" s="12">
        <f>IFERROR(__xludf.DUMMYFUNCTION("""COMPUTED_VALUE"""),2958465.0)</f>
        <v>2958465</v>
      </c>
      <c r="O277" s="11"/>
      <c r="P277" s="9" t="str">
        <f>IFERROR(__xludf.DUMMYFUNCTION("""COMPUTED_VALUE"""),"可")</f>
        <v>可</v>
      </c>
      <c r="Q277" s="8" t="str">
        <f>IFERROR(__xludf.DUMMYFUNCTION("""COMPUTED_VALUE"""),"限定小冊子施策&lt;BR&gt;河上さん共有済み")</f>
        <v>限定小冊子施策&lt;BR&gt;河上さん共有済み</v>
      </c>
      <c r="R277" s="9" t="str">
        <f>IFERROR(__xludf.DUMMYFUNCTION("""COMPUTED_VALUE"""),"納品済み（素材フォルダに格納）")</f>
        <v>納品済み（素材フォルダに格納）</v>
      </c>
      <c r="S277" s="8" t="str">
        <f>IFERROR(__xludf.DUMMYFUNCTION("""COMPUTED_VALUE"""),"20230407_ジュネット_はじまりはナカから【コミックス版】")</f>
        <v>20230407_ジュネット_はじまりはナカから【コミックス版】</v>
      </c>
      <c r="T277" s="9"/>
      <c r="U277" s="9" t="str">
        <f>IFERROR(__xludf.DUMMYFUNCTION("""COMPUTED_VALUE"""),"©みちのくアタミ/ジュネット")</f>
        <v>©みちのくアタミ/ジュネット</v>
      </c>
      <c r="V277" s="8" t="str">
        <f>IFERROR(__xludf.DUMMYFUNCTION("""COMPUTED_VALUE"""),"趣味で尿道ブジーの通販サイトを営んでいるサラリーマンの糸口は、購入希望者の中に上司である基山の名前を発見する。後日、基山の自宅へ尿道ブジーを持参し、そのまま”レクチャー”を開始。初めてにも関わらず、とろとろに蕩けてしまった基山を目の前にして、糸口は昂ぶりを抑えきれずに…!?コミックス版はデビュー直後に発表した、１話と２話をすべて描き直し＆最終回後のふたりのラブラブ描き下ろしも収録！※電子書籍版は、紙版より一層お楽しみい頂ける特別仕様の修正となっております。")</f>
        <v>趣味で尿道ブジーの通販サイトを営んでいるサラリーマンの糸口は、購入希望者の中に上司である基山の名前を発見する。後日、基山の自宅へ尿道ブジーを持参し、そのまま”レクチャー”を開始。初めてにも関わらず、とろとろに蕩けてしまった基山を目の前にして、糸口は昂ぶりを抑えきれずに…!?コミックス版はデビュー直後に発表した、１話と２話をすべて描き直し＆最終回後のふたりのラブラブ描き下ろしも収録！※電子書籍版は、紙版より一層お楽しみい頂ける特別仕様の修正となっております。</v>
      </c>
      <c r="W277" s="8"/>
      <c r="X277" s="8" t="str">
        <f>IFERROR(__xludf.DUMMYFUNCTION("""COMPUTED_VALUE"""),"有")</f>
        <v>有</v>
      </c>
      <c r="Y277" s="8" t="str">
        <f>IFERROR(__xludf.DUMMYFUNCTION("""COMPUTED_VALUE"""),"5/25まで立ち読み増量P28まで")</f>
        <v>5/25まで立ち読み増量P28まで</v>
      </c>
      <c r="Z277" s="7"/>
      <c r="AA277" s="7"/>
      <c r="AB277" s="7"/>
    </row>
    <row r="278" ht="15.75" customHeight="1">
      <c r="A278" s="8">
        <f>IFERROR(__xludf.DUMMYFUNCTION("""COMPUTED_VALUE"""),1872.0)</f>
        <v>1872</v>
      </c>
      <c r="B278" s="9" t="str">
        <f>IFERROR(__xludf.DUMMYFUNCTION("""COMPUTED_VALUE"""),"確定")</f>
        <v>確定</v>
      </c>
      <c r="C278" s="10">
        <f>IFERROR(__xludf.DUMMYFUNCTION("""COMPUTED_VALUE"""),45023.0)</f>
        <v>45023</v>
      </c>
      <c r="D278" s="10">
        <f>IFERROR(__xludf.DUMMYFUNCTION("""COMPUTED_VALUE"""),45023.0)</f>
        <v>45023</v>
      </c>
      <c r="E278" s="8">
        <f>IFERROR(__xludf.DUMMYFUNCTION("""COMPUTED_VALUE"""),115707.0)</f>
        <v>115707</v>
      </c>
      <c r="F278" s="9" t="str">
        <f>IFERROR(__xludf.DUMMYFUNCTION("""COMPUTED_VALUE"""),"ガチイキ挑発ナイト")</f>
        <v>ガチイキ挑発ナイト</v>
      </c>
      <c r="G278" s="11">
        <f>IFERROR(__xludf.DUMMYFUNCTION("""COMPUTED_VALUE"""),3.0)</f>
        <v>3</v>
      </c>
      <c r="H278" s="8" t="str">
        <f>IFERROR(__xludf.DUMMYFUNCTION("""COMPUTED_VALUE"""),"イクヤス")</f>
        <v>イクヤス</v>
      </c>
      <c r="I278" s="8" t="str">
        <f>IFERROR(__xludf.DUMMYFUNCTION("""COMPUTED_VALUE"""),"BL")</f>
        <v>BL</v>
      </c>
      <c r="J278" s="8"/>
      <c r="K278" s="8"/>
      <c r="L278" s="8" t="str">
        <f>IFERROR(__xludf.DUMMYFUNCTION("""COMPUTED_VALUE"""),"ジュネット")</f>
        <v>ジュネット</v>
      </c>
      <c r="M278" s="12">
        <f>IFERROR(__xludf.DUMMYFUNCTION("""COMPUTED_VALUE"""),45044.0)</f>
        <v>45044</v>
      </c>
      <c r="N278" s="12">
        <f>IFERROR(__xludf.DUMMYFUNCTION("""COMPUTED_VALUE"""),2958465.0)</f>
        <v>2958465</v>
      </c>
      <c r="O278" s="11"/>
      <c r="P278" s="9" t="str">
        <f>IFERROR(__xludf.DUMMYFUNCTION("""COMPUTED_VALUE"""),"可")</f>
        <v>可</v>
      </c>
      <c r="Q278" s="8" t="str">
        <f>IFERROR(__xludf.DUMMYFUNCTION("""COMPUTED_VALUE"""),"限定小冊子施策&lt;BR&gt;河上さん共有済み")</f>
        <v>限定小冊子施策&lt;BR&gt;河上さん共有済み</v>
      </c>
      <c r="R278" s="9" t="str">
        <f>IFERROR(__xludf.DUMMYFUNCTION("""COMPUTED_VALUE"""),"納品済み（素材フォルダに格納）")</f>
        <v>納品済み（素材フォルダに格納）</v>
      </c>
      <c r="S278" s="8" t="str">
        <f>IFERROR(__xludf.DUMMYFUNCTION("""COMPUTED_VALUE"""),"20230407_ジュネット_ガチイキ挑発ナイト")</f>
        <v>20230407_ジュネット_ガチイキ挑発ナイト</v>
      </c>
      <c r="T278" s="9"/>
      <c r="U278" s="9" t="str">
        <f>IFERROR(__xludf.DUMMYFUNCTION("""COMPUTED_VALUE"""),"©イクヤス/ジュネット")</f>
        <v>©イクヤス/ジュネット</v>
      </c>
      <c r="V278" s="8" t="str">
        <f>IFERROR(__xludf.DUMMYFUNCTION("""COMPUTED_VALUE"""),"営業部のエースで、ノンケからも「抱かれたい」と言わしめる松井。お調子者かつ、欲望一直線で振られまくりな開発部の里村。対照的なふたりは、社内では仲良し4人組の一員だと思われている。……のだが実は、里村は自分の劣等感を刺激する松井が大の苦手！それなのに、松井と自宅でサシ飲みをすることになって…!?そのほか、視線で勃起するボクサー、元ヤン従兄弟が甘えん坊すぎる件、部下をかばっておしおきされる中間管理職…等々、商業誌デビュー作を含め、様々なシチュエーションで筋肉を堪能できる筋肉充な作品集です！ラブラブな後日譚描き"&amp;"下ろし+あとがきはたっぷり25Ｐ収録!!!!")</f>
        <v>営業部のエースで、ノンケからも「抱かれたい」と言わしめる松井。お調子者かつ、欲望一直線で振られまくりな開発部の里村。対照的なふたりは、社内では仲良し4人組の一員だと思われている。……のだが実は、里村は自分の劣等感を刺激する松井が大の苦手！それなのに、松井と自宅でサシ飲みをすることになって…!?そのほか、視線で勃起するボクサー、元ヤン従兄弟が甘えん坊すぎる件、部下をかばっておしおきされる中間管理職…等々、商業誌デビュー作を含め、様々なシチュエーションで筋肉を堪能できる筋肉充な作品集です！ラブラブな後日譚描き下ろし+あとがきはたっぷり25Ｐ収録!!!!</v>
      </c>
      <c r="W278" s="8"/>
      <c r="X278" s="8" t="str">
        <f>IFERROR(__xludf.DUMMYFUNCTION("""COMPUTED_VALUE"""),"有")</f>
        <v>有</v>
      </c>
      <c r="Y278" s="8" t="str">
        <f>IFERROR(__xludf.DUMMYFUNCTION("""COMPUTED_VALUE"""),"5/25まで立ち読み増量P60まで")</f>
        <v>5/25まで立ち読み増量P60まで</v>
      </c>
      <c r="Z278" s="7"/>
      <c r="AA278" s="7"/>
      <c r="AB278" s="7"/>
    </row>
    <row r="279" ht="15.75" customHeight="1">
      <c r="A279" s="8">
        <f>IFERROR(__xludf.DUMMYFUNCTION("""COMPUTED_VALUE"""),1875.0)</f>
        <v>1875</v>
      </c>
      <c r="B279" s="9" t="str">
        <f>IFERROR(__xludf.DUMMYFUNCTION("""COMPUTED_VALUE"""),"確定")</f>
        <v>確定</v>
      </c>
      <c r="C279" s="10">
        <f>IFERROR(__xludf.DUMMYFUNCTION("""COMPUTED_VALUE"""),45027.0)</f>
        <v>45027</v>
      </c>
      <c r="D279" s="10">
        <f>IFERROR(__xludf.DUMMYFUNCTION("""COMPUTED_VALUE"""),45027.0)</f>
        <v>45027</v>
      </c>
      <c r="E279" s="8">
        <f>IFERROR(__xludf.DUMMYFUNCTION("""COMPUTED_VALUE"""),247423.0)</f>
        <v>247423</v>
      </c>
      <c r="F279" s="9" t="str">
        <f>IFERROR(__xludf.DUMMYFUNCTION("""COMPUTED_VALUE"""),"やましい僕は君に甘い【電子限定描き下ろし漫画付き】【コミックス版】")</f>
        <v>やましい僕は君に甘い【電子限定描き下ろし漫画付き】【コミックス版】</v>
      </c>
      <c r="G279" s="11">
        <f>IFERROR(__xludf.DUMMYFUNCTION("""COMPUTED_VALUE"""),2.0)</f>
        <v>2</v>
      </c>
      <c r="H279" s="8" t="str">
        <f>IFERROR(__xludf.DUMMYFUNCTION("""COMPUTED_VALUE"""),"園瀬もち")</f>
        <v>園瀬もち</v>
      </c>
      <c r="I279" s="8" t="str">
        <f>IFERROR(__xludf.DUMMYFUNCTION("""COMPUTED_VALUE"""),"BL")</f>
        <v>BL</v>
      </c>
      <c r="J279" s="8"/>
      <c r="K279" s="8"/>
      <c r="L279" s="8" t="str">
        <f>IFERROR(__xludf.DUMMYFUNCTION("""COMPUTED_VALUE"""),"笠倉出版社")</f>
        <v>笠倉出版社</v>
      </c>
      <c r="M279" s="12">
        <f>IFERROR(__xludf.DUMMYFUNCTION("""COMPUTED_VALUE"""),45044.0)</f>
        <v>45044</v>
      </c>
      <c r="N279" s="12">
        <f>IFERROR(__xludf.DUMMYFUNCTION("""COMPUTED_VALUE"""),2958465.0)</f>
        <v>2958465</v>
      </c>
      <c r="O279" s="11"/>
      <c r="P279" s="9" t="str">
        <f>IFERROR(__xludf.DUMMYFUNCTION("""COMPUTED_VALUE"""),"否")</f>
        <v>否</v>
      </c>
      <c r="Q279" s="8" t="str">
        <f>IFERROR(__xludf.DUMMYFUNCTION("""COMPUTED_VALUE"""),"河上さん事前相談済み&lt;BR&gt;シーモア限定BOOK")</f>
        <v>河上さん事前相談済み&lt;BR&gt;シーモア限定BOOK</v>
      </c>
      <c r="R279" s="9"/>
      <c r="S279" s="8" t="str">
        <f>IFERROR(__xludf.DUMMYFUNCTION("""COMPUTED_VALUE"""),"20230411_笠倉出版社_やましい僕は君に甘い【シーモア限定BOOK】")</f>
        <v>20230411_笠倉出版社_やましい僕は君に甘い【シーモア限定BOOK】</v>
      </c>
      <c r="T279" s="9"/>
      <c r="U279" s="9" t="str">
        <f>IFERROR(__xludf.DUMMYFUNCTION("""COMPUTED_VALUE"""),"©園瀬もち/笠倉出版社")</f>
        <v>©園瀬もち/笠倉出版社</v>
      </c>
      <c r="V279" s="8" t="str">
        <f>IFERROR(__xludf.DUMMYFUNCTION("""COMPUTED_VALUE"""),"超ブラック企業に勤める佐東雪は、膨大な仕事のせいでストレスが溜まる一方。いつしかそのストレスは、玩具を使った自慰で発散するようになっていた。そんなある日の夜、帰り道の公園で行き倒れていた青年を見かけ放置もできず連れ帰ることに。平晃匡と名乗る青年は、雪が隠していた玩具を見つけ「代わりになるから泊めてほしい」と言ってきて…。駄目だとわかっているのに晃匡に触れられた体は甘く疼き何度もイカされ、ついには頷いてしまい――！？公園で拾った謎の美青年×押しに弱い社畜リーマン綺麗だけど名前しか知らない青年。駄目だと思うの"&amp;"に与えられる熱にどこまでもとろかされ…※電子版コミックス「やましい僕は君に甘い」はequalコミックス感謝フェアの対象外となりますので、お気をつけください。◆収録内容◆「やましい僕は君に甘い」全7話／単行本収録描き下ろし漫画11P／電子限定描き下ろし（おまけ漫画4P）")</f>
        <v>超ブラック企業に勤める佐東雪は、膨大な仕事のせいでストレスが溜まる一方。いつしかそのストレスは、玩具を使った自慰で発散するようになっていた。そんなある日の夜、帰り道の公園で行き倒れていた青年を見かけ放置もできず連れ帰ることに。平晃匡と名乗る青年は、雪が隠していた玩具を見つけ「代わりになるから泊めてほしい」と言ってきて…。駄目だとわかっているのに晃匡に触れられた体は甘く疼き何度もイカされ、ついには頷いてしまい――！？公園で拾った謎の美青年×押しに弱い社畜リーマン綺麗だけど名前しか知らない青年。駄目だと思うのに与えられる熱にどこまでもとろかされ…※電子版コミックス「やましい僕は君に甘い」はequalコミックス感謝フェアの対象外となりますので、お気をつけください。◆収録内容◆「やましい僕は君に甘い」全7話／単行本収録描き下ろし漫画11P／電子限定描き下ろし（おまけ漫画4P）</v>
      </c>
      <c r="W279" s="8"/>
      <c r="X279" s="8" t="str">
        <f>IFERROR(__xludf.DUMMYFUNCTION("""COMPUTED_VALUE"""),"有")</f>
        <v>有</v>
      </c>
      <c r="Y279" s="8" t="str">
        <f>IFERROR(__xludf.DUMMYFUNCTION("""COMPUTED_VALUE"""),"5/25まで立ち読み増量P32まで")</f>
        <v>5/25まで立ち読み増量P32まで</v>
      </c>
      <c r="Z279" s="7"/>
      <c r="AA279" s="7"/>
      <c r="AB279" s="7"/>
    </row>
    <row r="280" ht="15.75" customHeight="1">
      <c r="A280" s="8">
        <f>IFERROR(__xludf.DUMMYFUNCTION("""COMPUTED_VALUE"""),1797.0)</f>
        <v>1797</v>
      </c>
      <c r="B280" s="9" t="str">
        <f>IFERROR(__xludf.DUMMYFUNCTION("""COMPUTED_VALUE"""),"確定")</f>
        <v>確定</v>
      </c>
      <c r="C280" s="10">
        <f>IFERROR(__xludf.DUMMYFUNCTION("""COMPUTED_VALUE"""),44998.0)</f>
        <v>44998</v>
      </c>
      <c r="D280" s="10">
        <f>IFERROR(__xludf.DUMMYFUNCTION("""COMPUTED_VALUE"""),45013.0)</f>
        <v>45013</v>
      </c>
      <c r="E280" s="8">
        <f>IFERROR(__xludf.DUMMYFUNCTION("""COMPUTED_VALUE"""),268040.0)</f>
        <v>268040</v>
      </c>
      <c r="F280" s="9" t="str">
        <f>IFERROR(__xludf.DUMMYFUNCTION("""COMPUTED_VALUE"""),"一目惚れした年下男子と××することになりまして")</f>
        <v>一目惚れした年下男子と××することになりまして</v>
      </c>
      <c r="G280" s="11" t="str">
        <f>IFERROR(__xludf.DUMMYFUNCTION("""COMPUTED_VALUE"""),"1～3")</f>
        <v>1～3</v>
      </c>
      <c r="H280" s="8" t="str">
        <f>IFERROR(__xludf.DUMMYFUNCTION("""COMPUTED_VALUE"""),"箱庭のみこ")</f>
        <v>箱庭のみこ</v>
      </c>
      <c r="I280" s="14" t="str">
        <f>IFERROR(__xludf.DUMMYFUNCTION("""COMPUTED_VALUE"""),"女性")</f>
        <v>女性</v>
      </c>
      <c r="J280" s="8"/>
      <c r="K280" s="8"/>
      <c r="L280" s="8" t="str">
        <f>IFERROR(__xludf.DUMMYFUNCTION("""COMPUTED_VALUE"""),"MUGENUP")</f>
        <v>MUGENUP</v>
      </c>
      <c r="M280" s="12">
        <f>IFERROR(__xludf.DUMMYFUNCTION("""COMPUTED_VALUE"""),45045.0)</f>
        <v>45045</v>
      </c>
      <c r="N280" s="12">
        <f>IFERROR(__xludf.DUMMYFUNCTION("""COMPUTED_VALUE"""),45135.0)</f>
        <v>45135</v>
      </c>
      <c r="O280" s="11"/>
      <c r="P280" s="9" t="str">
        <f>IFERROR(__xludf.DUMMYFUNCTION("""COMPUTED_VALUE"""),"否")</f>
        <v>否</v>
      </c>
      <c r="Q280" s="8" t="str">
        <f>IFERROR(__xludf.DUMMYFUNCTION("""COMPUTED_VALUE"""),"広告コミットOK（3/16）&lt;BR&gt;")</f>
        <v>広告コミットOK（3/16）&lt;BR&gt;</v>
      </c>
      <c r="R280" s="9" t="str">
        <f>IFERROR(__xludf.DUMMYFUNCTION("""COMPUTED_VALUE"""),"納品済み（素材フォルダに格納）")</f>
        <v>納品済み（素材フォルダに格納）</v>
      </c>
      <c r="S280" s="8" t="str">
        <f>IFERROR(__xludf.DUMMYFUNCTION("""COMPUTED_VALUE"""),"20230313_MUGENUP_一目惚れした年下男子と××することになりまして")</f>
        <v>20230313_MUGENUP_一目惚れした年下男子と××することになりまして</v>
      </c>
      <c r="T280" s="9"/>
      <c r="U280" s="9" t="str">
        <f>IFERROR(__xludf.DUMMYFUNCTION("""COMPUTED_VALUE"""),"©箱庭のみこ／MUGENUP")</f>
        <v>©箱庭のみこ／MUGENUP</v>
      </c>
      <c r="V280" s="8" t="str">
        <f>IFERROR(__xludf.DUMMYFUNCTION("""COMPUTED_VALUE"""),"私、10年ぶりにときめいてます!?
29歳独身、彼氏無し。仕事に夢中で恋を忘れかけていた主人公・はるかは、通勤電車の中でぶつかった大学生の千景に一目惚れする。久しぶりの恋でどうやって距離を縮めたらいいか分からないはるかは、千景に近づきたいと思うものの、電車の中で眺めることしかできないでいた。ある日仕事帰りに本屋へ寄ると、レジに店員の姿をした千景が！　しかも何故か千景の方から、「デートの練習をしてほしい」と頼まれて…!?　10年ぶりの恋、一体どうなっちゃうの──!?
こじらせアラサー×不器用な年下男子が織り"&amp;"成す、じれキュンラブストーリー開幕！")</f>
        <v>私、10年ぶりにときめいてます!?
29歳独身、彼氏無し。仕事に夢中で恋を忘れかけていた主人公・はるかは、通勤電車の中でぶつかった大学生の千景に一目惚れする。久しぶりの恋でどうやって距離を縮めたらいいか分からないはるかは、千景に近づきたいと思うものの、電車の中で眺めることしかできないでいた。ある日仕事帰りに本屋へ寄ると、レジに店員の姿をした千景が！　しかも何故か千景の方から、「デートの練習をしてほしい」と頼まれて…!?　10年ぶりの恋、一体どうなっちゃうの──!?
こじらせアラサー×不器用な年下男子が織り成す、じれキュンラブストーリー開幕！</v>
      </c>
      <c r="W280" s="8"/>
      <c r="X280" s="8" t="str">
        <f>IFERROR(__xludf.DUMMYFUNCTION("""COMPUTED_VALUE"""),"有")</f>
        <v>有</v>
      </c>
      <c r="Y280" s="8" t="str">
        <f>IFERROR(__xludf.DUMMYFUNCTION("""COMPUTED_VALUE"""),"P7まで")</f>
        <v>P7まで</v>
      </c>
      <c r="Z280" s="7"/>
      <c r="AA280" s="7"/>
      <c r="AB280" s="7"/>
    </row>
    <row r="281" ht="15.75" customHeight="1">
      <c r="A281" s="8">
        <f>IFERROR(__xludf.DUMMYFUNCTION("""COMPUTED_VALUE"""),1806.0)</f>
        <v>1806</v>
      </c>
      <c r="B281" s="9" t="str">
        <f>IFERROR(__xludf.DUMMYFUNCTION("""COMPUTED_VALUE"""),"確定")</f>
        <v>確定</v>
      </c>
      <c r="C281" s="10">
        <f>IFERROR(__xludf.DUMMYFUNCTION("""COMPUTED_VALUE"""),44999.0)</f>
        <v>44999</v>
      </c>
      <c r="D281" s="10">
        <f>IFERROR(__xludf.DUMMYFUNCTION("""COMPUTED_VALUE"""),45007.0)</f>
        <v>45007</v>
      </c>
      <c r="E281" s="8">
        <f>IFERROR(__xludf.DUMMYFUNCTION("""COMPUTED_VALUE"""),267225.0)</f>
        <v>267225</v>
      </c>
      <c r="F281" s="9" t="str">
        <f>IFERROR(__xludf.DUMMYFUNCTION("""COMPUTED_VALUE"""),"殿下、離縁前提の結婚生活、いかがですか？")</f>
        <v>殿下、離縁前提の結婚生活、いかがですか？</v>
      </c>
      <c r="G281" s="11" t="str">
        <f>IFERROR(__xludf.DUMMYFUNCTION("""COMPUTED_VALUE"""),"1~5")</f>
        <v>1~5</v>
      </c>
      <c r="H281" s="8" t="str">
        <f>IFERROR(__xludf.DUMMYFUNCTION("""COMPUTED_VALUE"""),"原作：扇レンナ　作画：汐かなか")</f>
        <v>原作：扇レンナ　作画：汐かなか</v>
      </c>
      <c r="I281" s="8" t="str">
        <f>IFERROR(__xludf.DUMMYFUNCTION("""COMPUTED_VALUE"""),"女性")</f>
        <v>女性</v>
      </c>
      <c r="J281" s="8"/>
      <c r="K281" s="8"/>
      <c r="L281" s="8" t="str">
        <f>IFERROR(__xludf.DUMMYFUNCTION("""COMPUTED_VALUE"""),"アイエムエー")</f>
        <v>アイエムエー</v>
      </c>
      <c r="M281" s="12">
        <f>IFERROR(__xludf.DUMMYFUNCTION("""COMPUTED_VALUE"""),45047.0)</f>
        <v>45047</v>
      </c>
      <c r="N281" s="12">
        <f>IFERROR(__xludf.DUMMYFUNCTION("""COMPUTED_VALUE"""),45138.0)</f>
        <v>45138</v>
      </c>
      <c r="O281" s="11"/>
      <c r="P281" s="9" t="str">
        <f>IFERROR(__xludf.DUMMYFUNCTION("""COMPUTED_VALUE"""),"可")</f>
        <v>可</v>
      </c>
      <c r="Q281" s="8" t="str">
        <f>IFERROR(__xludf.DUMMYFUNCTION("""COMPUTED_VALUE"""),"素材格納（3/22）&lt;BR&gt;広告コミットOK（3/16）&lt;BR&gt;")</f>
        <v>素材格納（3/22）&lt;BR&gt;広告コミットOK（3/16）&lt;BR&gt;</v>
      </c>
      <c r="R281" s="9" t="str">
        <f>IFERROR(__xludf.DUMMYFUNCTION("""COMPUTED_VALUE"""),"格納済")</f>
        <v>格納済</v>
      </c>
      <c r="S281" s="8" t="str">
        <f>IFERROR(__xludf.DUMMYFUNCTION("""COMPUTED_VALUE"""),"20230322_アイエムエー_殿下、離縁前提の結婚生活、いかがですか？")</f>
        <v>20230322_アイエムエー_殿下、離縁前提の結婚生活、いかがですか？</v>
      </c>
      <c r="T281" s="9" t="str">
        <f>IFERROR(__xludf.DUMMYFUNCTION("""COMPUTED_VALUE"""),"校了済素材")</f>
        <v>校了済素材</v>
      </c>
      <c r="U281" s="9" t="str">
        <f>IFERROR(__xludf.DUMMYFUNCTION("""COMPUTED_VALUE"""),"©汐かなか/扇レンナ/アイエムエー")</f>
        <v>©汐かなか/扇レンナ/アイエムエー</v>
      </c>
      <c r="V281" s="8" t="str">
        <f>IFERROR(__xludf.DUMMYFUNCTION("""COMPUTED_VALUE"""),"「私たち、離縁前提の結婚生活を送りませんか？」侯爵令嬢のドロシーが王子ルーシャンに告げた一言…それぞれが異性嫌いな絶世の美男美女の拗らせ結婚生活がスタート!!大国ネイピア王国に住まう侯爵令嬢ドロシーは誰もがうらやむ美貌を持ちながら引きこもりで男性嫌い、更にはポーション作りの趣味が高じて侯爵一家でありながら今や人気調合師にまでなるありさま。一方、結婚相手は王国随一のひねくれ王子ルーシャン。やはり絶世の美貌の王子でありながらも極度の女性嫌いであった。そして、二人は婚約してからずっと顔も合わせずにいたのだが…ド"&amp;"ロシーのたった一つの提案から二人の運命が動き出す!!")</f>
        <v>「私たち、離縁前提の結婚生活を送りませんか？」侯爵令嬢のドロシーが王子ルーシャンに告げた一言…それぞれが異性嫌いな絶世の美男美女の拗らせ結婚生活がスタート!!大国ネイピア王国に住まう侯爵令嬢ドロシーは誰もがうらやむ美貌を持ちながら引きこもりで男性嫌い、更にはポーション作りの趣味が高じて侯爵一家でありながら今や人気調合師にまでなるありさま。一方、結婚相手は王国随一のひねくれ王子ルーシャン。やはり絶世の美貌の王子でありながらも極度の女性嫌いであった。そして、二人は婚約してからずっと顔も合わせずにいたのだが…ドロシーのたった一つの提案から二人の運命が動き出す!!</v>
      </c>
      <c r="W281" s="8"/>
      <c r="X281" s="8" t="str">
        <f>IFERROR(__xludf.DUMMYFUNCTION("""COMPUTED_VALUE"""),"有")</f>
        <v>有</v>
      </c>
      <c r="Y281" s="8" t="str">
        <f>IFERROR(__xludf.DUMMYFUNCTION("""COMPUTED_VALUE"""),"P10まで")</f>
        <v>P10まで</v>
      </c>
      <c r="Z281" s="7"/>
      <c r="AA281" s="7"/>
      <c r="AB281" s="7"/>
    </row>
    <row r="282" ht="15.75" customHeight="1">
      <c r="A282" s="8">
        <f>IFERROR(__xludf.DUMMYFUNCTION("""COMPUTED_VALUE"""),1801.0)</f>
        <v>1801</v>
      </c>
      <c r="B282" s="9" t="str">
        <f>IFERROR(__xludf.DUMMYFUNCTION("""COMPUTED_VALUE"""),"確定")</f>
        <v>確定</v>
      </c>
      <c r="C282" s="10">
        <f>IFERROR(__xludf.DUMMYFUNCTION("""COMPUTED_VALUE"""),44998.0)</f>
        <v>44998</v>
      </c>
      <c r="D282" s="10">
        <f>IFERROR(__xludf.DUMMYFUNCTION("""COMPUTED_VALUE"""),45013.0)</f>
        <v>45013</v>
      </c>
      <c r="E282" s="8">
        <f>IFERROR(__xludf.DUMMYFUNCTION("""COMPUTED_VALUE"""),268522.0)</f>
        <v>268522</v>
      </c>
      <c r="F282" s="9" t="str">
        <f>IFERROR(__xludf.DUMMYFUNCTION("""COMPUTED_VALUE"""),"ヴァンパイアの美味しいごちそう")</f>
        <v>ヴァンパイアの美味しいごちそう</v>
      </c>
      <c r="G282" s="11" t="str">
        <f>IFERROR(__xludf.DUMMYFUNCTION("""COMPUTED_VALUE"""),"1～2")</f>
        <v>1～2</v>
      </c>
      <c r="H282" s="8" t="str">
        <f>IFERROR(__xludf.DUMMYFUNCTION("""COMPUTED_VALUE"""),"鞠藻ユキタ")</f>
        <v>鞠藻ユキタ</v>
      </c>
      <c r="I282" s="8" t="str">
        <f>IFERROR(__xludf.DUMMYFUNCTION("""COMPUTED_VALUE"""),"BL")</f>
        <v>BL</v>
      </c>
      <c r="J282" s="8"/>
      <c r="K282" s="8"/>
      <c r="L282" s="8" t="str">
        <f>IFERROR(__xludf.DUMMYFUNCTION("""COMPUTED_VALUE"""),"マイクロマガジン社")</f>
        <v>マイクロマガジン社</v>
      </c>
      <c r="M282" s="12">
        <f>IFERROR(__xludf.DUMMYFUNCTION("""COMPUTED_VALUE"""),45047.0)</f>
        <v>45047</v>
      </c>
      <c r="N282" s="12">
        <f>IFERROR(__xludf.DUMMYFUNCTION("""COMPUTED_VALUE"""),45138.0)</f>
        <v>45138</v>
      </c>
      <c r="O282" s="11"/>
      <c r="P282" s="9" t="str">
        <f>IFERROR(__xludf.DUMMYFUNCTION("""COMPUTED_VALUE"""),"可")</f>
        <v>可</v>
      </c>
      <c r="Q282" s="8" t="str">
        <f>IFERROR(__xludf.DUMMYFUNCTION("""COMPUTED_VALUE"""),"広告コミットOK（3/16）&lt;BR&gt;")</f>
        <v>広告コミットOK（3/16）&lt;BR&gt;</v>
      </c>
      <c r="R282" s="9" t="str">
        <f>IFERROR(__xludf.DUMMYFUNCTION("""COMPUTED_VALUE"""),"納品済み（素材フォルダに格納）")</f>
        <v>納品済み（素材フォルダに格納）</v>
      </c>
      <c r="S282" s="8" t="str">
        <f>IFERROR(__xludf.DUMMYFUNCTION("""COMPUTED_VALUE"""),"20230313_マイクロマガジン_吸血鬼の美味しいごちそう")</f>
        <v>20230313_マイクロマガジン_吸血鬼の美味しいごちそう</v>
      </c>
      <c r="T282" s="9"/>
      <c r="U282" s="9" t="str">
        <f>IFERROR(__xludf.DUMMYFUNCTION("""COMPUTED_VALUE"""),"©鞠藻ユキタ©マイクロマガジン社")</f>
        <v>©鞠藻ユキタ©マイクロマガジン社</v>
      </c>
      <c r="V282" s="8" t="str">
        <f>IFERROR(__xludf.DUMMYFUNCTION("""COMPUTED_VALUE"""),"「“血” 吸わせてもらってもいいかなぁ？」
授業をサボるため保健室を訪れた継森(つぐもり)は、ベッドに横たわる養護教諭の柚木(ゆずき)と出会う。
貧血だと言う彼を心配し近付くと視界は反転、首筋に走る鈍い痛みと甘い痺れ――!?
柚木の正体は、なんと万年貧血気味の吸血鬼《ヴァンパイア》!?
エサになれば柚木とエッチがし放題と言われて──。
ドタバタ異種族ラブ!!")</f>
        <v>「“血” 吸わせてもらってもいいかなぁ？」
授業をサボるため保健室を訪れた継森(つぐもり)は、ベッドに横たわる養護教諭の柚木(ゆずき)と出会う。
貧血だと言う彼を心配し近付くと視界は反転、首筋に走る鈍い痛みと甘い痺れ――!?
柚木の正体は、なんと万年貧血気味の吸血鬼《ヴァンパイア》!?
エサになれば柚木とエッチがし放題と言われて──。
ドタバタ異種族ラブ!!</v>
      </c>
      <c r="W282" s="8"/>
      <c r="X282" s="8" t="str">
        <f>IFERROR(__xludf.DUMMYFUNCTION("""COMPUTED_VALUE"""),"有")</f>
        <v>有</v>
      </c>
      <c r="Y282" s="8" t="str">
        <f>IFERROR(__xludf.DUMMYFUNCTION("""COMPUTED_VALUE"""),"P17まで")</f>
        <v>P17まで</v>
      </c>
      <c r="Z282" s="7"/>
      <c r="AA282" s="7"/>
      <c r="AB282" s="7"/>
    </row>
    <row r="283" ht="15.75" customHeight="1">
      <c r="A283" s="8">
        <f>IFERROR(__xludf.DUMMYFUNCTION("""COMPUTED_VALUE"""),1667.0)</f>
        <v>1667</v>
      </c>
      <c r="B283" s="9" t="str">
        <f>IFERROR(__xludf.DUMMYFUNCTION("""COMPUTED_VALUE"""),"確定")</f>
        <v>確定</v>
      </c>
      <c r="C283" s="10">
        <f>IFERROR(__xludf.DUMMYFUNCTION("""COMPUTED_VALUE"""),44945.0)</f>
        <v>44945</v>
      </c>
      <c r="D283" s="10">
        <f>IFERROR(__xludf.DUMMYFUNCTION("""COMPUTED_VALUE"""),45020.0)</f>
        <v>45020</v>
      </c>
      <c r="E283" s="8">
        <f>IFERROR(__xludf.DUMMYFUNCTION("""COMPUTED_VALUE"""),267223.0)</f>
        <v>267223</v>
      </c>
      <c r="F283" s="9" t="str">
        <f>IFERROR(__xludf.DUMMYFUNCTION("""COMPUTED_VALUE"""),"【単話版】隻眼・隻腕・隻脚の魔術師@COMIC～森の小屋に籠っていたら早2000年。気づけば魔神と呼ばれていた。僕はただ魔術の探求をしたいだけなのに～")</f>
        <v>【単話版】隻眼・隻腕・隻脚の魔術師@COMIC～森の小屋に籠っていたら早2000年。気づけば魔神と呼ばれていた。僕はただ魔術の探求をしたいだけなのに～</v>
      </c>
      <c r="G283" s="11" t="str">
        <f>IFERROR(__xludf.DUMMYFUNCTION("""COMPUTED_VALUE"""),"1～3")</f>
        <v>1～3</v>
      </c>
      <c r="H283" s="8" t="str">
        <f>IFERROR(__xludf.DUMMYFUNCTION("""COMPUTED_VALUE"""),"しばの番茶┴すずすけ")</f>
        <v>しばの番茶┴すずすけ</v>
      </c>
      <c r="I283" s="14" t="str">
        <f>IFERROR(__xludf.DUMMYFUNCTION("""COMPUTED_VALUE"""),"青年")</f>
        <v>青年</v>
      </c>
      <c r="J283" s="8"/>
      <c r="K283" s="8"/>
      <c r="L283" s="8" t="str">
        <f>IFERROR(__xludf.DUMMYFUNCTION("""COMPUTED_VALUE"""),"TOブックス")</f>
        <v>TOブックス</v>
      </c>
      <c r="M283" s="12">
        <f>IFERROR(__xludf.DUMMYFUNCTION("""COMPUTED_VALUE"""),45047.0)</f>
        <v>45047</v>
      </c>
      <c r="N283" s="12">
        <f>IFERROR(__xludf.DUMMYFUNCTION("""COMPUTED_VALUE"""),45138.0)</f>
        <v>45138</v>
      </c>
      <c r="O283" s="11"/>
      <c r="P283" s="9" t="str">
        <f>IFERROR(__xludf.DUMMYFUNCTION("""COMPUTED_VALUE"""),"可")</f>
        <v>可</v>
      </c>
      <c r="Q283" s="8" t="str">
        <f>IFERROR(__xludf.DUMMYFUNCTION("""COMPUTED_VALUE"""),"広告コミットOK（3/2）")</f>
        <v>広告コミットOK（3/2）</v>
      </c>
      <c r="R283" s="9"/>
      <c r="S283" s="8" t="str">
        <f>IFERROR(__xludf.DUMMYFUNCTION("""COMPUTED_VALUE"""),"20230404_TOブックス_隻眼・隻腕・隻脚の魔術師")</f>
        <v>20230404_TOブックス_隻眼・隻腕・隻脚の魔術師</v>
      </c>
      <c r="T283" s="9"/>
      <c r="U283" s="9" t="str">
        <f>IFERROR(__xludf.DUMMYFUNCTION("""COMPUTED_VALUE"""),"Ⓒ Shibanobancha / Yu Yagami / Suzusuke")</f>
        <v>Ⓒ Shibanobancha / Yu Yagami / Suzusuke</v>
      </c>
      <c r="V283" s="8" t="str">
        <f>IFERROR(__xludf.DUMMYFUNCTION("""COMPUTED_VALUE"""),"世界の理に触れ、無自覚に国々の均衡を打ち壊す！
のんきな最強魔神の本格ファンタジー！
高度化した魔術・魔法で栄えるアインズ領自治都市。その平穏を打ち破ったのは、美しくも片眼・片腕・片脚の異様な風体の青年──2000年前に全ての礎を築いた伝説の魔術師エインズ=シルベタス、その人だった！
森の小屋に籠るうちに時は流れ、研究に行き詰まって外に出てみれば、“メモ書き”は聖書とされる『魔導書』、自身は『魔神』として、崇められる存在になっていたのだ。
そうとは気づかぬ本人は、好奇心の赴くままに、魔術探求の旅へと踏み"&amp;"出していく。
世界の理に触れ、無自覚に国々の均衡を打ち壊す！　のんきな最強魔神の本格ファンタジー！")</f>
        <v>世界の理に触れ、無自覚に国々の均衡を打ち壊す！
のんきな最強魔神の本格ファンタジー！
高度化した魔術・魔法で栄えるアインズ領自治都市。その平穏を打ち破ったのは、美しくも片眼・片腕・片脚の異様な風体の青年──2000年前に全ての礎を築いた伝説の魔術師エインズ=シルベタス、その人だった！
森の小屋に籠るうちに時は流れ、研究に行き詰まって外に出てみれば、“メモ書き”は聖書とされる『魔導書』、自身は『魔神』として、崇められる存在になっていたのだ。
そうとは気づかぬ本人は、好奇心の赴くままに、魔術探求の旅へと踏み出していく。
世界の理に触れ、無自覚に国々の均衡を打ち壊す！　のんきな最強魔神の本格ファンタジー！</v>
      </c>
      <c r="W283" s="8"/>
      <c r="X283" s="8" t="str">
        <f>IFERROR(__xludf.DUMMYFUNCTION("""COMPUTED_VALUE"""),"有")</f>
        <v>有</v>
      </c>
      <c r="Y283" s="8" t="str">
        <f>IFERROR(__xludf.DUMMYFUNCTION("""COMPUTED_VALUE"""),"P3まで")</f>
        <v>P3まで</v>
      </c>
      <c r="Z283" s="7"/>
      <c r="AA283" s="7"/>
      <c r="AB283" s="7"/>
    </row>
    <row r="284" ht="15.75" customHeight="1">
      <c r="A284" s="8">
        <f>IFERROR(__xludf.DUMMYFUNCTION("""COMPUTED_VALUE"""),1715.0)</f>
        <v>1715</v>
      </c>
      <c r="B284" s="9" t="str">
        <f>IFERROR(__xludf.DUMMYFUNCTION("""COMPUTED_VALUE"""),"確定")</f>
        <v>確定</v>
      </c>
      <c r="C284" s="10">
        <f>IFERROR(__xludf.DUMMYFUNCTION("""COMPUTED_VALUE"""),44967.0)</f>
        <v>44967</v>
      </c>
      <c r="D284" s="10">
        <f>IFERROR(__xludf.DUMMYFUNCTION("""COMPUTED_VALUE"""),45020.0)</f>
        <v>45020</v>
      </c>
      <c r="E284" s="8">
        <f>IFERROR(__xludf.DUMMYFUNCTION("""COMPUTED_VALUE"""),267336.0)</f>
        <v>267336</v>
      </c>
      <c r="F284" s="9" t="str">
        <f>IFERROR(__xludf.DUMMYFUNCTION("""COMPUTED_VALUE"""),"恋する淫魔とドS絶倫カレシ ～恋人はとろける性欲モンスター")</f>
        <v>恋する淫魔とドS絶倫カレシ ～恋人はとろける性欲モンスター</v>
      </c>
      <c r="G284" s="11" t="str">
        <f>IFERROR(__xludf.DUMMYFUNCTION("""COMPUTED_VALUE"""),"1～2")</f>
        <v>1～2</v>
      </c>
      <c r="H284" s="8" t="str">
        <f>IFERROR(__xludf.DUMMYFUNCTION("""COMPUTED_VALUE"""),"綾戸アスコ")</f>
        <v>綾戸アスコ</v>
      </c>
      <c r="I284" s="8" t="str">
        <f>IFERROR(__xludf.DUMMYFUNCTION("""COMPUTED_VALUE"""),"TL")</f>
        <v>TL</v>
      </c>
      <c r="J284" s="8"/>
      <c r="K284" s="8"/>
      <c r="L284" s="8" t="str">
        <f>IFERROR(__xludf.DUMMYFUNCTION("""COMPUTED_VALUE"""),"オーバーラップ")</f>
        <v>オーバーラップ</v>
      </c>
      <c r="M284" s="12">
        <f>IFERROR(__xludf.DUMMYFUNCTION("""COMPUTED_VALUE"""),45047.0)</f>
        <v>45047</v>
      </c>
      <c r="N284" s="12">
        <f>IFERROR(__xludf.DUMMYFUNCTION("""COMPUTED_VALUE"""),45077.0)</f>
        <v>45077</v>
      </c>
      <c r="O284" s="11"/>
      <c r="P284" s="9" t="str">
        <f>IFERROR(__xludf.DUMMYFUNCTION("""COMPUTED_VALUE"""),"可")</f>
        <v>可</v>
      </c>
      <c r="Q284" s="8" t="str">
        <f>IFERROR(__xludf.DUMMYFUNCTION("""COMPUTED_VALUE"""),"広告コミットOK（2/16）")</f>
        <v>広告コミットOK（2/16）</v>
      </c>
      <c r="R284" s="9"/>
      <c r="S284" s="8" t="str">
        <f>IFERROR(__xludf.DUMMYFUNCTION("""COMPUTED_VALUE"""),"20230404_オーバーラップ_恋する淫魔とドS絶倫カレシ～恋人はとろける性欲モンスター")</f>
        <v>20230404_オーバーラップ_恋する淫魔とドS絶倫カレシ～恋人はとろける性欲モンスター</v>
      </c>
      <c r="T284" s="9"/>
      <c r="U284" s="9" t="str">
        <f>IFERROR(__xludf.DUMMYFUNCTION("""COMPUTED_VALUE"""),"©綾戸アスコ／オーバーラップ")</f>
        <v>©綾戸アスコ／オーバーラップ</v>
      </c>
      <c r="V284" s="9" t="str">
        <f>IFERROR(__xludf.DUMMYFUNCTION("""COMPUTED_VALUE"""),"「胸だけでイッちゃうなんて、エロすぎるな」器用な指先で、乳首をこね回されたされただけなのに…腰がハネちゃうくらい気持ちいい…っ「こんなに濡らしてるのに、強情だね」だめっそんなイイとこばっかりくちゅくちゅされたら、またキちゃう…！
――OLの真夜（まや）はエッチなことで満たされる淫魔…だけど実は処女で、少女マンガみたいな恋が憧れ。満たされる感覚も知らなくて、エッチは素敵な恋の延長線上でいいかも…なんて思ってた矢先、超タイプのイケメン・雅紀（まさき）といい雰囲気に♪
「優しくするから」淫魔だってバレたくなくて"&amp;"、感じすぎちゃうのをガマンしてたら、カレのドSスイッチがONに――!?
Sで絶倫なカレに淫魔のエッチなカラダを暴かれて…こんなの知っちゃったらもう堕ちちゃうっ
※本書は「ラブパルフェVOL.56-2」に収録されています。重複購入にご注意ください。")</f>
        <v>「胸だけでイッちゃうなんて、エロすぎるな」器用な指先で、乳首をこね回されたされただけなのに…腰がハネちゃうくらい気持ちいい…っ「こんなに濡らしてるのに、強情だね」だめっそんなイイとこばっかりくちゅくちゅされたら、またキちゃう…！
――OLの真夜（まや）はエッチなことで満たされる淫魔…だけど実は処女で、少女マンガみたいな恋が憧れ。満たされる感覚も知らなくて、エッチは素敵な恋の延長線上でいいかも…なんて思ってた矢先、超タイプのイケメン・雅紀（まさき）といい雰囲気に♪
「優しくするから」淫魔だってバレたくなくて、感じすぎちゃうのをガマンしてたら、カレのドSスイッチがONに――!?
Sで絶倫なカレに淫魔のエッチなカラダを暴かれて…こんなの知っちゃったらもう堕ちちゃうっ
※本書は「ラブパルフェVOL.56-2」に収録されています。重複購入にご注意ください。</v>
      </c>
      <c r="W284" s="8"/>
      <c r="X284" s="8" t="str">
        <f>IFERROR(__xludf.DUMMYFUNCTION("""COMPUTED_VALUE"""),"有")</f>
        <v>有</v>
      </c>
      <c r="Y284" s="8" t="str">
        <f>IFERROR(__xludf.DUMMYFUNCTION("""COMPUTED_VALUE"""),"P8まで")</f>
        <v>P8まで</v>
      </c>
      <c r="Z284" s="7"/>
      <c r="AA284" s="7"/>
      <c r="AB284" s="7"/>
    </row>
    <row r="285" ht="15.75" customHeight="1">
      <c r="A285" s="8">
        <f>IFERROR(__xludf.DUMMYFUNCTION("""COMPUTED_VALUE"""),1716.0)</f>
        <v>1716</v>
      </c>
      <c r="B285" s="9" t="str">
        <f>IFERROR(__xludf.DUMMYFUNCTION("""COMPUTED_VALUE"""),"確定")</f>
        <v>確定</v>
      </c>
      <c r="C285" s="10">
        <f>IFERROR(__xludf.DUMMYFUNCTION("""COMPUTED_VALUE"""),44967.0)</f>
        <v>44967</v>
      </c>
      <c r="D285" s="10">
        <f>IFERROR(__xludf.DUMMYFUNCTION("""COMPUTED_VALUE"""),45020.0)</f>
        <v>45020</v>
      </c>
      <c r="E285" s="8">
        <f>IFERROR(__xludf.DUMMYFUNCTION("""COMPUTED_VALUE"""),267337.0)</f>
        <v>267337</v>
      </c>
      <c r="F285" s="9" t="str">
        <f>IFERROR(__xludf.DUMMYFUNCTION("""COMPUTED_VALUE"""),"あちらの新海社長は絶倫・溺愛～エリート野獣と甘イキ蜜夜")</f>
        <v>あちらの新海社長は絶倫・溺愛～エリート野獣と甘イキ蜜夜</v>
      </c>
      <c r="G285" s="11" t="str">
        <f>IFERROR(__xludf.DUMMYFUNCTION("""COMPUTED_VALUE"""),"1～2")</f>
        <v>1～2</v>
      </c>
      <c r="H285" s="8" t="str">
        <f>IFERROR(__xludf.DUMMYFUNCTION("""COMPUTED_VALUE"""),"小川つぐみ")</f>
        <v>小川つぐみ</v>
      </c>
      <c r="I285" s="8" t="str">
        <f>IFERROR(__xludf.DUMMYFUNCTION("""COMPUTED_VALUE"""),"TL")</f>
        <v>TL</v>
      </c>
      <c r="J285" s="8"/>
      <c r="K285" s="8"/>
      <c r="L285" s="8" t="str">
        <f>IFERROR(__xludf.DUMMYFUNCTION("""COMPUTED_VALUE"""),"オーバーラップ")</f>
        <v>オーバーラップ</v>
      </c>
      <c r="M285" s="12">
        <f>IFERROR(__xludf.DUMMYFUNCTION("""COMPUTED_VALUE"""),45047.0)</f>
        <v>45047</v>
      </c>
      <c r="N285" s="12">
        <f>IFERROR(__xludf.DUMMYFUNCTION("""COMPUTED_VALUE"""),45077.0)</f>
        <v>45077</v>
      </c>
      <c r="O285" s="11"/>
      <c r="P285" s="9" t="str">
        <f>IFERROR(__xludf.DUMMYFUNCTION("""COMPUTED_VALUE"""),"可")</f>
        <v>可</v>
      </c>
      <c r="Q285" s="8" t="str">
        <f>IFERROR(__xludf.DUMMYFUNCTION("""COMPUTED_VALUE"""),"広告コミットOK（2/17）&lt;BR&gt;")</f>
        <v>広告コミットOK（2/17）&lt;BR&gt;</v>
      </c>
      <c r="R285" s="9"/>
      <c r="S285" s="8" t="str">
        <f>IFERROR(__xludf.DUMMYFUNCTION("""COMPUTED_VALUE"""),"20230404_オーバーラップ_あちらの新海社長は絶倫・溺愛～エリート野獣と甘イキ蜜夜")</f>
        <v>20230404_オーバーラップ_あちらの新海社長は絶倫・溺愛～エリート野獣と甘イキ蜜夜</v>
      </c>
      <c r="T285" s="9"/>
      <c r="U285" s="9" t="str">
        <f>IFERROR(__xludf.DUMMYFUNCTION("""COMPUTED_VALUE"""),"©小川つぐみ/オーバーラップ")</f>
        <v>©小川つぐみ/オーバーラップ</v>
      </c>
      <c r="V285" s="8" t="str">
        <f>IFERROR(__xludf.DUMMYFUNCTION("""COMPUTED_VALUE"""),"「トロトロなのに、すごく締まるね」
奥まで深く愛されて、ヤラしい蜜があふれて快感が止まらない――！
社長秘書として働く立夏（りっか）が休暇中の海外リゾートで出会った魅力的な男性・光輝（こうき）。
二人は旅先で数日間の熱い夜を過ごすが、立夏はここだけの関係かと思い、帰国したら彼のことを忘れるつもりでいた。
ところが帰国後、仕事のコンペ会場にライバル企業の社長として現れたのは光輝その人で――!?
「びしょ濡れだな。指…入れるよ」
再会後も熱い指遣いと甘い言葉でとろけるカラダを愛し尽くされて…！
エリート社長に"&amp;"甘く激しく抱かれてイッちゃう、ときめきオフィスラブ♪
※本書は「ラブパルフェVOL.59-2」に収録されています。重複購入にご注意ください。")</f>
        <v>「トロトロなのに、すごく締まるね」
奥まで深く愛されて、ヤラしい蜜があふれて快感が止まらない――！
社長秘書として働く立夏（りっか）が休暇中の海外リゾートで出会った魅力的な男性・光輝（こうき）。
二人は旅先で数日間の熱い夜を過ごすが、立夏はここだけの関係かと思い、帰国したら彼のことを忘れるつもりでいた。
ところが帰国後、仕事のコンペ会場にライバル企業の社長として現れたのは光輝その人で――!?
「びしょ濡れだな。指…入れるよ」
再会後も熱い指遣いと甘い言葉でとろけるカラダを愛し尽くされて…！
エリート社長に甘く激しく抱かれてイッちゃう、ときめきオフィスラブ♪
※本書は「ラブパルフェVOL.59-2」に収録されています。重複購入にご注意ください。</v>
      </c>
      <c r="W285" s="8"/>
      <c r="X285" s="8" t="str">
        <f>IFERROR(__xludf.DUMMYFUNCTION("""COMPUTED_VALUE"""),"有")</f>
        <v>有</v>
      </c>
      <c r="Y285" s="8" t="str">
        <f>IFERROR(__xludf.DUMMYFUNCTION("""COMPUTED_VALUE"""),"P8まで")</f>
        <v>P8まで</v>
      </c>
      <c r="Z285" s="7"/>
      <c r="AA285" s="7"/>
      <c r="AB285" s="7"/>
    </row>
    <row r="286" ht="15.75" customHeight="1">
      <c r="A286" s="8">
        <f>IFERROR(__xludf.DUMMYFUNCTION("""COMPUTED_VALUE"""),1853.0)</f>
        <v>1853</v>
      </c>
      <c r="B286" s="9" t="str">
        <f>IFERROR(__xludf.DUMMYFUNCTION("""COMPUTED_VALUE"""),"確定")</f>
        <v>確定</v>
      </c>
      <c r="C286" s="10">
        <f>IFERROR(__xludf.DUMMYFUNCTION("""COMPUTED_VALUE"""),45019.0)</f>
        <v>45019</v>
      </c>
      <c r="D286" s="10">
        <f>IFERROR(__xludf.DUMMYFUNCTION("""COMPUTED_VALUE"""),45019.0)</f>
        <v>45019</v>
      </c>
      <c r="E286" s="8">
        <f>IFERROR(__xludf.DUMMYFUNCTION("""COMPUTED_VALUE"""),267617.0)</f>
        <v>267617</v>
      </c>
      <c r="F286" s="9" t="str">
        <f>IFERROR(__xludf.DUMMYFUNCTION("""COMPUTED_VALUE"""),"精霊魔法が使えない無能だと婚約破棄されたので、義妹の奴隷になるより追放を選びました")</f>
        <v>精霊魔法が使えない無能だと婚約破棄されたので、義妹の奴隷になるより追放を選びました</v>
      </c>
      <c r="G286" s="11" t="str">
        <f>IFERROR(__xludf.DUMMYFUNCTION("""COMPUTED_VALUE"""),"1～3")</f>
        <v>1～3</v>
      </c>
      <c r="H286" s="8" t="str">
        <f>IFERROR(__xludf.DUMMYFUNCTION("""COMPUTED_VALUE"""),"漫画：多花葉ねみ／原作：めぐめぐ（エブリスタ)")</f>
        <v>漫画：多花葉ねみ／原作：めぐめぐ（エブリスタ)</v>
      </c>
      <c r="I286" s="8" t="str">
        <f>IFERROR(__xludf.DUMMYFUNCTION("""COMPUTED_VALUE"""),"女性")</f>
        <v>女性</v>
      </c>
      <c r="J286" s="8"/>
      <c r="K286" s="8"/>
      <c r="L286" s="8" t="str">
        <f>IFERROR(__xludf.DUMMYFUNCTION("""COMPUTED_VALUE"""),"集英社")</f>
        <v>集英社</v>
      </c>
      <c r="M286" s="12">
        <f>IFERROR(__xludf.DUMMYFUNCTION("""COMPUTED_VALUE"""),45047.0)</f>
        <v>45047</v>
      </c>
      <c r="N286" s="12">
        <f>IFERROR(__xludf.DUMMYFUNCTION("""COMPUTED_VALUE"""),45138.66666666667)</f>
        <v>45138.66667</v>
      </c>
      <c r="O286" s="11"/>
      <c r="P286" s="9" t="str">
        <f>IFERROR(__xludf.DUMMYFUNCTION("""COMPUTED_VALUE"""),"否")</f>
        <v>否</v>
      </c>
      <c r="Q286" s="8"/>
      <c r="R286" s="9"/>
      <c r="S286" s="8" t="str">
        <f>IFERROR(__xludf.DUMMYFUNCTION("""COMPUTED_VALUE"""),"20230403_集英社_精霊魔法が使えない無能")</f>
        <v>20230403_集英社_精霊魔法が使えない無能</v>
      </c>
      <c r="T286" s="15"/>
      <c r="U286" s="9" t="str">
        <f>IFERROR(__xludf.DUMMYFUNCTION("""COMPUTED_VALUE"""),"©多花葉ねみ・めぐめぐ（エブリスタ）／集英社")</f>
        <v>©多花葉ねみ・めぐめぐ（エブリスタ）／集英社</v>
      </c>
      <c r="V286" s="8" t="str">
        <f>IFERROR(__xludf.DUMMYFUNCTION("""COMPUTED_VALUE"""),"【婚約破棄＆追放から始まる異世界シンデレラストーリー！】クロージック公爵家の長女・エヴァは、精霊魔法が使えない無能力者。幼い頃に実の父と母を亡くし、周りから使用人のような扱いを受けてきた。婚約者である王太子・リズリーが義妹・マルティと浮気していることが発覚し、2人の画策によりエヴァは国外追放か義妹の侍女になるかを迫られる。国に留まることよりも自由になることを選んだエヴァは、国を出て使用人のアランたちとともに隣国のフォレスティ王国を目指す――！
")</f>
        <v>【婚約破棄＆追放から始まる異世界シンデレラストーリー！】クロージック公爵家の長女・エヴァは、精霊魔法が使えない無能力者。幼い頃に実の父と母を亡くし、周りから使用人のような扱いを受けてきた。婚約者である王太子・リズリーが義妹・マルティと浮気していることが発覚し、2人の画策によりエヴァは国外追放か義妹の侍女になるかを迫られる。国に留まることよりも自由になることを選んだエヴァは、国を出て使用人のアランたちとともに隣国のフォレスティ王国を目指す――！
</v>
      </c>
      <c r="W286" s="8"/>
      <c r="X286" s="8" t="str">
        <f>IFERROR(__xludf.DUMMYFUNCTION("""COMPUTED_VALUE"""),"有")</f>
        <v>有</v>
      </c>
      <c r="Y286" s="8" t="str">
        <f>IFERROR(__xludf.DUMMYFUNCTION("""COMPUTED_VALUE"""),"5/14まで1巻無料")</f>
        <v>5/14まで1巻無料</v>
      </c>
      <c r="Z286" s="7"/>
      <c r="AA286" s="7"/>
      <c r="AB286" s="7"/>
    </row>
    <row r="287" ht="15.75" customHeight="1">
      <c r="A287" s="8">
        <f>IFERROR(__xludf.DUMMYFUNCTION("""COMPUTED_VALUE"""),1840.0)</f>
        <v>1840</v>
      </c>
      <c r="B287" s="9" t="str">
        <f>IFERROR(__xludf.DUMMYFUNCTION("""COMPUTED_VALUE"""),"確定")</f>
        <v>確定</v>
      </c>
      <c r="C287" s="10">
        <f>IFERROR(__xludf.DUMMYFUNCTION("""COMPUTED_VALUE"""),45014.0)</f>
        <v>45014</v>
      </c>
      <c r="D287" s="10">
        <f>IFERROR(__xludf.DUMMYFUNCTION("""COMPUTED_VALUE"""),45023.0)</f>
        <v>45023</v>
      </c>
      <c r="E287" s="8">
        <f>IFERROR(__xludf.DUMMYFUNCTION("""COMPUTED_VALUE"""),267247.0)</f>
        <v>267247</v>
      </c>
      <c r="F287" s="9" t="str">
        <f>IFERROR(__xludf.DUMMYFUNCTION("""COMPUTED_VALUE"""),"ラブトラ！after story")</f>
        <v>ラブトラ！after story</v>
      </c>
      <c r="G287" s="11">
        <f>IFERROR(__xludf.DUMMYFUNCTION("""COMPUTED_VALUE"""),1.0)</f>
        <v>1</v>
      </c>
      <c r="H287" s="8" t="str">
        <f>IFERROR(__xludf.DUMMYFUNCTION("""COMPUTED_VALUE"""),"diletta/あくせま")</f>
        <v>diletta/あくせま</v>
      </c>
      <c r="I287" s="8" t="str">
        <f>IFERROR(__xludf.DUMMYFUNCTION("""COMPUTED_VALUE"""),"オトナ")</f>
        <v>オトナ</v>
      </c>
      <c r="J287" s="8"/>
      <c r="K287" s="8"/>
      <c r="L287" s="8" t="str">
        <f>IFERROR(__xludf.DUMMYFUNCTION("""COMPUTED_VALUE"""),"ライトリーズン")</f>
        <v>ライトリーズン</v>
      </c>
      <c r="M287" s="12">
        <f>IFERROR(__xludf.DUMMYFUNCTION("""COMPUTED_VALUE"""),45047.0)</f>
        <v>45047</v>
      </c>
      <c r="N287" s="12">
        <f>IFERROR(__xludf.DUMMYFUNCTION("""COMPUTED_VALUE"""),45077.0)</f>
        <v>45077</v>
      </c>
      <c r="O287" s="11"/>
      <c r="P287" s="9" t="str">
        <f>IFERROR(__xludf.DUMMYFUNCTION("""COMPUTED_VALUE"""),"可")</f>
        <v>可</v>
      </c>
      <c r="Q287" s="8" t="str">
        <f>IFERROR(__xludf.DUMMYFUNCTION("""COMPUTED_VALUE"""),"広告コミットOK（3/31）&lt;BR&gt;&lt;BR&gt;先行配信について、こちらはFANZA同人やDLsiteでjpgやpdfで、FANZAブックスでtoonbデータで配信をしております。EPUBでの電子書籍としては貴サイトのみで先行配信")</f>
        <v>広告コミットOK（3/31）&lt;BR&gt;&lt;BR&gt;先行配信について、こちらはFANZA同人やDLsiteでjpgやpdfで、FANZAブックスでtoonbデータで配信をしております。EPUBでの電子書籍としては貴サイトのみで先行配信</v>
      </c>
      <c r="R287" s="9"/>
      <c r="S287" s="8" t="str">
        <f>IFERROR(__xludf.DUMMYFUNCTION("""COMPUTED_VALUE"""),"20230329_ライトリーズン_らぶとら")</f>
        <v>20230329_ライトリーズン_らぶとら</v>
      </c>
      <c r="T287" s="9"/>
      <c r="U287" s="9" t="str">
        <f>IFERROR(__xludf.DUMMYFUNCTION("""COMPUTED_VALUE"""),"©diletta/あくせま ©ライトリーズン  ※「diletta」「あくせま」「ライトリーズン」が入っていれば縦並びでも横並びでも構いません。")</f>
        <v>©diletta/あくせま ©ライトリーズン  ※「diletta」「あくせま」「ライトリーズン」が入っていれば縦並びでも横並びでも構いません。</v>
      </c>
      <c r="V287" s="8" t="str">
        <f>IFERROR(__xludf.DUMMYFUNCTION("""COMPUTED_VALUE"""),"▼あらすじ
優里と茉奈、二人の同級生と付き合うことになった友介。
2人はこっそり友介の部屋の合鍵を作り、放課後は3人で過ごすようになっていた。
最初は交代で友介とエッチなことをする、というルールだったが、
結局うやむやになり、最後は3人でエッチすることに！？
3人のいちゃラブな日々はまだまだ続いていく…！！
------------------------------------------------------------------------
▼登場人物
・木戸 友介（きどゆうすけ）
"&amp;"漫画・ゲームオタクの普通男子。
クラスメイトの優里に告白し、フラれた。
・東原 優里（ひがしはらゆり）
友介が告白しフラれた女の子。
友介と同じクラス。茉奈の親友。
裕福/厳格な家庭で育ったため、どことなく育ちの良さを内包している。
負けず嫌いな一面も。
・岸下 茉奈（きしもとまな）
友介の隣のクラスで優里の親友。
ギャルっぽい見た目から、軽い女の子だと誤解されがち。
物事にあまり興味なさそうな感じに見えるが、大事にしたいものに対しては
積極的に行動する。
---------------------"&amp;"---------------------------------------------------
作画:あくせま
表紙＋カラー本文82ページ＋おまけ7ページ")</f>
        <v>▼あらすじ
優里と茉奈、二人の同級生と付き合うことになった友介。
2人はこっそり友介の部屋の合鍵を作り、放課後は3人で過ごすようになっていた。
最初は交代で友介とエッチなことをする、というルールだったが、
結局うやむやになり、最後は3人でエッチすることに！？
3人のいちゃラブな日々はまだまだ続いていく…！！
------------------------------------------------------------------------
▼登場人物
・木戸 友介（きどゆうすけ）
漫画・ゲームオタクの普通男子。
クラスメイトの優里に告白し、フラれた。
・東原 優里（ひがしはらゆり）
友介が告白しフラれた女の子。
友介と同じクラス。茉奈の親友。
裕福/厳格な家庭で育ったため、どことなく育ちの良さを内包している。
負けず嫌いな一面も。
・岸下 茉奈（きしもとまな）
友介の隣のクラスで優里の親友。
ギャルっぽい見た目から、軽い女の子だと誤解されがち。
物事にあまり興味なさそうな感じに見えるが、大事にしたいものに対しては
積極的に行動する。
------------------------------------------------------------------------
作画:あくせま
表紙＋カラー本文82ページ＋おまけ7ページ</v>
      </c>
      <c r="W287" s="8"/>
      <c r="X287" s="8" t="str">
        <f>IFERROR(__xludf.DUMMYFUNCTION("""COMPUTED_VALUE"""),"有")</f>
        <v>有</v>
      </c>
      <c r="Y287" s="8" t="str">
        <f>IFERROR(__xludf.DUMMYFUNCTION("""COMPUTED_VALUE"""),"P10まで")</f>
        <v>P10まで</v>
      </c>
      <c r="Z287" s="7"/>
      <c r="AA287" s="7"/>
      <c r="AB287" s="7"/>
    </row>
    <row r="288" ht="15.75" customHeight="1">
      <c r="A288" s="8">
        <f>IFERROR(__xludf.DUMMYFUNCTION("""COMPUTED_VALUE"""),1852.0)</f>
        <v>1852</v>
      </c>
      <c r="B288" s="9" t="str">
        <f>IFERROR(__xludf.DUMMYFUNCTION("""COMPUTED_VALUE"""),"確定")</f>
        <v>確定</v>
      </c>
      <c r="C288" s="10">
        <f>IFERROR(__xludf.DUMMYFUNCTION("""COMPUTED_VALUE"""),45019.0)</f>
        <v>45019</v>
      </c>
      <c r="D288" s="10">
        <f>IFERROR(__xludf.DUMMYFUNCTION("""COMPUTED_VALUE"""),45019.0)</f>
        <v>45019</v>
      </c>
      <c r="E288" s="8">
        <f>IFERROR(__xludf.DUMMYFUNCTION("""COMPUTED_VALUE"""),267357.0)</f>
        <v>267357</v>
      </c>
      <c r="F288" s="9" t="str">
        <f>IFERROR(__xludf.DUMMYFUNCTION("""COMPUTED_VALUE"""),"箱庭夫婦～私たちはただ愛したかっただけ～")</f>
        <v>箱庭夫婦～私たちはただ愛したかっただけ～</v>
      </c>
      <c r="G288" s="11" t="str">
        <f>IFERROR(__xludf.DUMMYFUNCTION("""COMPUTED_VALUE"""),"1~3")</f>
        <v>1~3</v>
      </c>
      <c r="H288" s="8" t="str">
        <f>IFERROR(__xludf.DUMMYFUNCTION("""COMPUTED_VALUE"""),"上田俊衣")</f>
        <v>上田俊衣</v>
      </c>
      <c r="I288" s="8" t="str">
        <f>IFERROR(__xludf.DUMMYFUNCTION("""COMPUTED_VALUE"""),"女性")</f>
        <v>女性</v>
      </c>
      <c r="J288" s="8"/>
      <c r="K288" s="8"/>
      <c r="L288" s="8" t="str">
        <f>IFERROR(__xludf.DUMMYFUNCTION("""COMPUTED_VALUE"""),"コミックストック")</f>
        <v>コミックストック</v>
      </c>
      <c r="M288" s="12">
        <f>IFERROR(__xludf.DUMMYFUNCTION("""COMPUTED_VALUE"""),45049.0)</f>
        <v>45049</v>
      </c>
      <c r="N288" s="12">
        <f>IFERROR(__xludf.DUMMYFUNCTION("""COMPUTED_VALUE"""),45111.0)</f>
        <v>45111</v>
      </c>
      <c r="O288" s="11"/>
      <c r="P288" s="9" t="str">
        <f>IFERROR(__xludf.DUMMYFUNCTION("""COMPUTED_VALUE"""),"可")</f>
        <v>可</v>
      </c>
      <c r="Q288" s="8" t="str">
        <f>IFERROR(__xludf.DUMMYFUNCTION("""COMPUTED_VALUE"""),"協業：シーモア×コイパレ")</f>
        <v>協業：シーモア×コイパレ</v>
      </c>
      <c r="R288" s="9" t="str">
        <f>IFERROR(__xludf.DUMMYFUNCTION("""COMPUTED_VALUE"""),"格納済（4/3）")</f>
        <v>格納済（4/3）</v>
      </c>
      <c r="S288" s="8" t="str">
        <f>IFERROR(__xludf.DUMMYFUNCTION("""COMPUTED_VALUE"""),"20230403_コミックストック_箱庭夫婦～私たちはただ愛したかっただけ～")</f>
        <v>20230403_コミックストック_箱庭夫婦～私たちはただ愛したかっただけ～</v>
      </c>
      <c r="T288" s="9" t="str">
        <f>IFERROR(__xludf.DUMMYFUNCTION("""COMPUTED_VALUE"""),"校了済素材")</f>
        <v>校了済素材</v>
      </c>
      <c r="U288" s="9" t="str">
        <f>IFERROR(__xludf.DUMMYFUNCTION("""COMPUTED_VALUE"""),"©上田俊衣/コミックストック")</f>
        <v>©上田俊衣/コミックストック</v>
      </c>
      <c r="V288" s="8" t="str">
        <f>IFERROR(__xludf.DUMMYFUNCTION("""COMPUTED_VALUE"""),"「結婚生活はゆっくりと覚めていく夢…」――庭付きの一軒家に広々としたリビング、キングサイズベッドに子供のための部屋…！色々な夢を込めて用意したマイホームだけど3年経った今では身に余るものばかり…欲しいものを手に入れては無責任に放置する夫、洋（よう）に段々と飼い殺されているのではと悩み始める麻衣子（まいこ）、ある日夫が突然大学時代の後輩を家に連れてきて、慌ててお酒やおつまみを用意していると、後輩の一人である浩之（ひろゆき）に危うく唇を奪われそうになってしまう、最低な男だってわかっているのに満たされていない現"&amp;"実に思い悩む麻衣子…そんな麻衣子の隣で洋はスマホに届いたメッセージにほくそ笑んでいて…")</f>
        <v>「結婚生活はゆっくりと覚めていく夢…」――庭付きの一軒家に広々としたリビング、キングサイズベッドに子供のための部屋…！色々な夢を込めて用意したマイホームだけど3年経った今では身に余るものばかり…欲しいものを手に入れては無責任に放置する夫、洋（よう）に段々と飼い殺されているのではと悩み始める麻衣子（まいこ）、ある日夫が突然大学時代の後輩を家に連れてきて、慌ててお酒やおつまみを用意していると、後輩の一人である浩之（ひろゆき）に危うく唇を奪われそうになってしまう、最低な男だってわかっているのに満たされていない現実に思い悩む麻衣子…そんな麻衣子の隣で洋はスマホに届いたメッセージにほくそ笑んでいて…</v>
      </c>
      <c r="W288" s="8"/>
      <c r="X288" s="8" t="str">
        <f>IFERROR(__xludf.DUMMYFUNCTION("""COMPUTED_VALUE"""),"有")</f>
        <v>有</v>
      </c>
      <c r="Y288" s="8" t="str">
        <f>IFERROR(__xludf.DUMMYFUNCTION("""COMPUTED_VALUE"""),"P10まで")</f>
        <v>P10まで</v>
      </c>
      <c r="Z288" s="7"/>
      <c r="AA288" s="7"/>
      <c r="AB288" s="7"/>
    </row>
    <row r="289" ht="15.75" customHeight="1">
      <c r="A289" s="8">
        <f>IFERROR(__xludf.DUMMYFUNCTION("""COMPUTED_VALUE"""),1822.0)</f>
        <v>1822</v>
      </c>
      <c r="B289" s="9" t="str">
        <f>IFERROR(__xludf.DUMMYFUNCTION("""COMPUTED_VALUE"""),"確定")</f>
        <v>確定</v>
      </c>
      <c r="C289" s="10">
        <f>IFERROR(__xludf.DUMMYFUNCTION("""COMPUTED_VALUE"""),45002.0)</f>
        <v>45002</v>
      </c>
      <c r="D289" s="10">
        <f>IFERROR(__xludf.DUMMYFUNCTION("""COMPUTED_VALUE"""),45020.0)</f>
        <v>45020</v>
      </c>
      <c r="E289" s="8">
        <f>IFERROR(__xludf.DUMMYFUNCTION("""COMPUTED_VALUE"""),267441.0)</f>
        <v>267441</v>
      </c>
      <c r="F289" s="9" t="str">
        <f>IFERROR(__xludf.DUMMYFUNCTION("""COMPUTED_VALUE"""),"こまどりは、夜の帳")</f>
        <v>こまどりは、夜の帳</v>
      </c>
      <c r="G289" s="11" t="str">
        <f>IFERROR(__xludf.DUMMYFUNCTION("""COMPUTED_VALUE"""),"1～5")</f>
        <v>1～5</v>
      </c>
      <c r="H289" s="8" t="str">
        <f>IFERROR(__xludf.DUMMYFUNCTION("""COMPUTED_VALUE"""),"露久ふみ")</f>
        <v>露久ふみ</v>
      </c>
      <c r="I289" s="8" t="str">
        <f>IFERROR(__xludf.DUMMYFUNCTION("""COMPUTED_VALUE"""),"BL")</f>
        <v>BL</v>
      </c>
      <c r="J289" s="8"/>
      <c r="K289" s="8"/>
      <c r="L289" s="8" t="str">
        <f>IFERROR(__xludf.DUMMYFUNCTION("""COMPUTED_VALUE"""),"新書館")</f>
        <v>新書館</v>
      </c>
      <c r="M289" s="12">
        <f>IFERROR(__xludf.DUMMYFUNCTION("""COMPUTED_VALUE"""),45051.0)</f>
        <v>45051</v>
      </c>
      <c r="N289" s="12">
        <f>IFERROR(__xludf.DUMMYFUNCTION("""COMPUTED_VALUE"""),45078.0)</f>
        <v>45078</v>
      </c>
      <c r="O289" s="11"/>
      <c r="P289" s="9" t="str">
        <f>IFERROR(__xludf.DUMMYFUNCTION("""COMPUTED_VALUE"""),"可")</f>
        <v>可</v>
      </c>
      <c r="Q289" s="8" t="str">
        <f>IFERROR(__xludf.DUMMYFUNCTION("""COMPUTED_VALUE"""),"広告コミットOK（3/16）&lt;BR&gt;")</f>
        <v>広告コミットOK（3/16）&lt;BR&gt;</v>
      </c>
      <c r="R289" s="9"/>
      <c r="S289" s="8" t="str">
        <f>IFERROR(__xludf.DUMMYFUNCTION("""COMPUTED_VALUE"""),"20230404_新書館_こまどりは、夜の帳")</f>
        <v>20230404_新書館_こまどりは、夜の帳</v>
      </c>
      <c r="T289" s="9"/>
      <c r="U289" s="9" t="str">
        <f>IFERROR(__xludf.DUMMYFUNCTION("""COMPUTED_VALUE"""),"©露久ふみ")</f>
        <v>©露久ふみ</v>
      </c>
      <c r="V289" s="8" t="str">
        <f>IFERROR(__xludf.DUMMYFUNCTION("""COMPUTED_VALUE"""),"相次ぐ不審死事件の捜査のため、民俗学者の弟・慎二と共に山奥の小さな村へ向かった警察官の紀人。村の地主で神職に就いている美しい男・慶臣の家に滞在させてもらうことになるが、その屋敷には――…！？（この作品はディアプラス２０２２年８月号に収録されました。重複購入にはご注意ください）
")</f>
        <v>相次ぐ不審死事件の捜査のため、民俗学者の弟・慎二と共に山奥の小さな村へ向かった警察官の紀人。村の地主で神職に就いている美しい男・慶臣の家に滞在させてもらうことになるが、その屋敷には――…！？（この作品はディアプラス２０２２年８月号に収録されました。重複購入にはご注意ください）
</v>
      </c>
      <c r="W289" s="8"/>
      <c r="X289" s="8" t="str">
        <f>IFERROR(__xludf.DUMMYFUNCTION("""COMPUTED_VALUE"""),"有")</f>
        <v>有</v>
      </c>
      <c r="Y289" s="8" t="str">
        <f>IFERROR(__xludf.DUMMYFUNCTION("""COMPUTED_VALUE"""),"5/18まで1巻無料")</f>
        <v>5/18まで1巻無料</v>
      </c>
      <c r="Z289" s="7"/>
      <c r="AA289" s="7"/>
      <c r="AB289" s="7"/>
    </row>
    <row r="290" ht="15.75" customHeight="1">
      <c r="A290" s="8">
        <f>IFERROR(__xludf.DUMMYFUNCTION("""COMPUTED_VALUE"""),1850.0)</f>
        <v>1850</v>
      </c>
      <c r="B290" s="9" t="str">
        <f>IFERROR(__xludf.DUMMYFUNCTION("""COMPUTED_VALUE"""),"確定")</f>
        <v>確定</v>
      </c>
      <c r="C290" s="10">
        <f>IFERROR(__xludf.DUMMYFUNCTION("""COMPUTED_VALUE"""),45019.0)</f>
        <v>45019</v>
      </c>
      <c r="D290" s="10">
        <f>IFERROR(__xludf.DUMMYFUNCTION("""COMPUTED_VALUE"""),45021.0)</f>
        <v>45021</v>
      </c>
      <c r="E290" s="8">
        <f>IFERROR(__xludf.DUMMYFUNCTION("""COMPUTED_VALUE"""),267426.0)</f>
        <v>267426</v>
      </c>
      <c r="F290" s="9" t="str">
        <f>IFERROR(__xludf.DUMMYFUNCTION("""COMPUTED_VALUE"""),"とろり発情、悪魔な指先。～同僚と始める濃密レッスン～")</f>
        <v>とろり発情、悪魔な指先。～同僚と始める濃密レッスン～</v>
      </c>
      <c r="G290" s="11" t="str">
        <f>IFERROR(__xludf.DUMMYFUNCTION("""COMPUTED_VALUE"""),"1～3")</f>
        <v>1～3</v>
      </c>
      <c r="H290" s="8" t="str">
        <f>IFERROR(__xludf.DUMMYFUNCTION("""COMPUTED_VALUE"""),"水瀬薫")</f>
        <v>水瀬薫</v>
      </c>
      <c r="I290" s="8" t="str">
        <f>IFERROR(__xludf.DUMMYFUNCTION("""COMPUTED_VALUE"""),"TL")</f>
        <v>TL</v>
      </c>
      <c r="J290" s="8"/>
      <c r="K290" s="8"/>
      <c r="L290" s="8" t="str">
        <f>IFERROR(__xludf.DUMMYFUNCTION("""COMPUTED_VALUE"""),"KATTS")</f>
        <v>KATTS</v>
      </c>
      <c r="M290" s="12">
        <f>IFERROR(__xludf.DUMMYFUNCTION("""COMPUTED_VALUE"""),45051.0)</f>
        <v>45051</v>
      </c>
      <c r="N290" s="12">
        <f>IFERROR(__xludf.DUMMYFUNCTION("""COMPUTED_VALUE"""),45113.0)</f>
        <v>45113</v>
      </c>
      <c r="O290" s="11"/>
      <c r="P290" s="9" t="str">
        <f>IFERROR(__xludf.DUMMYFUNCTION("""COMPUTED_VALUE"""),"可")</f>
        <v>可</v>
      </c>
      <c r="Q290" s="8" t="str">
        <f>IFERROR(__xludf.DUMMYFUNCTION("""COMPUTED_VALUE"""),"コミットOK（4/3)&lt;BR&gt;先に1~2話の素材をお渡しします。3話目の素材は4/14頃とのことなのでまた頂きしだい更新します。（4/4）&lt;BR&gt;")</f>
        <v>コミットOK（4/3)&lt;BR&gt;先に1~2話の素材をお渡しします。3話目の素材は4/14頃とのことなのでまた頂きしだい更新します。（4/4）&lt;BR&gt;</v>
      </c>
      <c r="R290" s="9"/>
      <c r="S290" s="8" t="str">
        <f>IFERROR(__xludf.DUMMYFUNCTION("""COMPUTED_VALUE"""),"20230404_BookLive_とろり発情、悪魔な指先。～同僚と始める濃密レッスン～")</f>
        <v>20230404_BookLive_とろり発情、悪魔な指先。～同僚と始める濃密レッスン～</v>
      </c>
      <c r="T290" s="9"/>
      <c r="U290" s="9" t="str">
        <f>IFERROR(__xludf.DUMMYFUNCTION("""COMPUTED_VALUE"""),"©KATTS")</f>
        <v>©KATTS</v>
      </c>
      <c r="V290" s="8" t="str">
        <f>IFERROR(__xludf.DUMMYFUNCTION("""COMPUTED_VALUE"""),"今日はきっと人生で最高の一日だ――憧れの人と素敵なバーで夜を過ごして、いよいよ結ばれるその瞬間…「俺　処女は抱かないんだよね」そう冷たく言い放ち、去った彼。恋愛経験ゼロで処女の天根（あまね）は、ラブホテルにぽつんと取り残される…。「――処女なんて捨ててやる」傷心のあまりヤケになった天根がスマホ検索でたどり着いたのは…女性用風俗！　勇気を振り絞ってデリヘルを呼ぶが、現れたのはなんと、会社の先輩・咲原（さきはら）さん――！？！？　いつもビシっと仕事をこなし、天然ぎみな天根をおかん的なポジションで叱咤しフォロー"&amp;"してくれる、あの咲原さん…！？　傷心の天根を見た咲原は、ある提案をしてきて――「ちゃんとぶっ壊してやる」骨ばった指先でじっくりナカをいじられたら、頭が真っ白になっちゃうくらい感じてしまい…っ。とろり溢れちゃうラブ・レッスン！(第1話)")</f>
        <v>今日はきっと人生で最高の一日だ――憧れの人と素敵なバーで夜を過ごして、いよいよ結ばれるその瞬間…「俺　処女は抱かないんだよね」そう冷たく言い放ち、去った彼。恋愛経験ゼロで処女の天根（あまね）は、ラブホテルにぽつんと取り残される…。「――処女なんて捨ててやる」傷心のあまりヤケになった天根がスマホ検索でたどり着いたのは…女性用風俗！　勇気を振り絞ってデリヘルを呼ぶが、現れたのはなんと、会社の先輩・咲原（さきはら）さん――！？！？　いつもビシっと仕事をこなし、天然ぎみな天根をおかん的なポジションで叱咤しフォローしてくれる、あの咲原さん…！？　傷心の天根を見た咲原は、ある提案をしてきて――「ちゃんとぶっ壊してやる」骨ばった指先でじっくりナカをいじられたら、頭が真っ白になっちゃうくらい感じてしまい…っ。とろり溢れちゃうラブ・レッスン！(第1話)</v>
      </c>
      <c r="W290" s="8"/>
      <c r="X290" s="8" t="str">
        <f>IFERROR(__xludf.DUMMYFUNCTION("""COMPUTED_VALUE"""),"有")</f>
        <v>有</v>
      </c>
      <c r="Y290" s="8" t="str">
        <f>IFERROR(__xludf.DUMMYFUNCTION("""COMPUTED_VALUE"""),"6/1まで1巻無料")</f>
        <v>6/1まで1巻無料</v>
      </c>
      <c r="Z290" s="7"/>
      <c r="AA290" s="7"/>
      <c r="AB290" s="7"/>
    </row>
    <row r="291" ht="15.75" customHeight="1">
      <c r="A291" s="8">
        <f>IFERROR(__xludf.DUMMYFUNCTION("""COMPUTED_VALUE"""),1682.0)</f>
        <v>1682</v>
      </c>
      <c r="B291" s="9" t="str">
        <f>IFERROR(__xludf.DUMMYFUNCTION("""COMPUTED_VALUE"""),"確定")</f>
        <v>確定</v>
      </c>
      <c r="C291" s="10">
        <f>IFERROR(__xludf.DUMMYFUNCTION("""COMPUTED_VALUE"""),44958.0)</f>
        <v>44958</v>
      </c>
      <c r="D291" s="10">
        <f>IFERROR(__xludf.DUMMYFUNCTION("""COMPUTED_VALUE"""),45023.0)</f>
        <v>45023</v>
      </c>
      <c r="E291" s="8">
        <f>IFERROR(__xludf.DUMMYFUNCTION("""COMPUTED_VALUE"""),267434.0)</f>
        <v>267434</v>
      </c>
      <c r="F291" s="9" t="str">
        <f>IFERROR(__xludf.DUMMYFUNCTION("""COMPUTED_VALUE"""),"絶対に見てはイケない！！【マイクロ】")</f>
        <v>絶対に見てはイケない！！【マイクロ】</v>
      </c>
      <c r="G291" s="11" t="str">
        <f>IFERROR(__xludf.DUMMYFUNCTION("""COMPUTED_VALUE"""),"1～3")</f>
        <v>1～3</v>
      </c>
      <c r="H291" s="8" t="str">
        <f>IFERROR(__xludf.DUMMYFUNCTION("""COMPUTED_VALUE"""),"桃田紗世")</f>
        <v>桃田紗世</v>
      </c>
      <c r="I291" s="8" t="str">
        <f>IFERROR(__xludf.DUMMYFUNCTION("""COMPUTED_VALUE"""),"少女")</f>
        <v>少女</v>
      </c>
      <c r="J291" s="8"/>
      <c r="K291" s="8"/>
      <c r="L291" s="8" t="str">
        <f>IFERROR(__xludf.DUMMYFUNCTION("""COMPUTED_VALUE"""),"小学館")</f>
        <v>小学館</v>
      </c>
      <c r="M291" s="12">
        <f>IFERROR(__xludf.DUMMYFUNCTION("""COMPUTED_VALUE"""),45051.0)</f>
        <v>45051</v>
      </c>
      <c r="N291" s="12">
        <f>IFERROR(__xludf.DUMMYFUNCTION("""COMPUTED_VALUE"""),45111.0)</f>
        <v>45111</v>
      </c>
      <c r="O291" s="11"/>
      <c r="P291" s="9" t="str">
        <f>IFERROR(__xludf.DUMMYFUNCTION("""COMPUTED_VALUE"""),"否")</f>
        <v>否</v>
      </c>
      <c r="Q291" s="8" t="str">
        <f>IFERROR(__xludf.DUMMYFUNCTION("""COMPUTED_VALUE"""),"広告コミットOK（2/3）")</f>
        <v>広告コミットOK（2/3）</v>
      </c>
      <c r="R291" s="9"/>
      <c r="S291" s="8" t="str">
        <f>IFERROR(__xludf.DUMMYFUNCTION("""COMPUTED_VALUE"""),"20230209_小学館_絶対に見てはイケない！！【マイクロ】")</f>
        <v>20230209_小学館_絶対に見てはイケない！！【マイクロ】</v>
      </c>
      <c r="T291" s="9"/>
      <c r="U291" s="9" t="str">
        <f>IFERROR(__xludf.DUMMYFUNCTION("""COMPUTED_VALUE"""),"(C)桃田紗世 / 小学館")</f>
        <v>(C)桃田紗世 / 小学館</v>
      </c>
      <c r="V291" s="8" t="str">
        <f>IFERROR(__xludf.DUMMYFUNCTION("""COMPUTED_VALUE"""),"仕事も見た目もイカしてる女と評判の森川碧。そんな彼女が人知れず悩んでいるのはＨのこと。初Ｈのトラウマでイケない体質になってしまったのだ。片思いしている同じ会社の南雲先輩と付き合って、フツーにイキたい！！！！！そのためにマッチングアプリで気軽なＨができる相手と体質克服を目指しているのだけど、ある日、ライバル会社で犬猿の仲の桐谷宙生とマッチングしてしまってーー！？イカした男女のイケないラブコメ。")</f>
        <v>仕事も見た目もイカしてる女と評判の森川碧。そんな彼女が人知れず悩んでいるのはＨのこと。初Ｈのトラウマでイケない体質になってしまったのだ。片思いしている同じ会社の南雲先輩と付き合って、フツーにイキたい！！！！！そのためにマッチングアプリで気軽なＨができる相手と体質克服を目指しているのだけど、ある日、ライバル会社で犬猿の仲の桐谷宙生とマッチングしてしまってーー！？イカした男女のイケないラブコメ。</v>
      </c>
      <c r="W291" s="8"/>
      <c r="X291" s="8" t="str">
        <f>IFERROR(__xludf.DUMMYFUNCTION("""COMPUTED_VALUE"""),"有")</f>
        <v>有</v>
      </c>
      <c r="Y291" s="8" t="str">
        <f>IFERROR(__xludf.DUMMYFUNCTION("""COMPUTED_VALUE"""),"P16まで")</f>
        <v>P16まで</v>
      </c>
      <c r="Z291" s="7"/>
      <c r="AA291" s="7"/>
      <c r="AB291" s="7"/>
    </row>
    <row r="292" ht="15.75" customHeight="1">
      <c r="A292" s="8">
        <f>IFERROR(__xludf.DUMMYFUNCTION("""COMPUTED_VALUE"""),1683.0)</f>
        <v>1683</v>
      </c>
      <c r="B292" s="9" t="str">
        <f>IFERROR(__xludf.DUMMYFUNCTION("""COMPUTED_VALUE"""),"確定")</f>
        <v>確定</v>
      </c>
      <c r="C292" s="10">
        <f>IFERROR(__xludf.DUMMYFUNCTION("""COMPUTED_VALUE"""),44958.0)</f>
        <v>44958</v>
      </c>
      <c r="D292" s="10">
        <f>IFERROR(__xludf.DUMMYFUNCTION("""COMPUTED_VALUE"""),45023.0)</f>
        <v>45023</v>
      </c>
      <c r="E292" s="8">
        <f>IFERROR(__xludf.DUMMYFUNCTION("""COMPUTED_VALUE"""),267435.0)</f>
        <v>267435</v>
      </c>
      <c r="F292" s="9" t="str">
        <f>IFERROR(__xludf.DUMMYFUNCTION("""COMPUTED_VALUE"""),"本命じゃなきゃよかったのに【マイクロ】")</f>
        <v>本命じゃなきゃよかったのに【マイクロ】</v>
      </c>
      <c r="G292" s="11" t="str">
        <f>IFERROR(__xludf.DUMMYFUNCTION("""COMPUTED_VALUE"""),"1～5")</f>
        <v>1～5</v>
      </c>
      <c r="H292" s="8" t="str">
        <f>IFERROR(__xludf.DUMMYFUNCTION("""COMPUTED_VALUE"""),"水谷愛")</f>
        <v>水谷愛</v>
      </c>
      <c r="I292" s="8" t="str">
        <f>IFERROR(__xludf.DUMMYFUNCTION("""COMPUTED_VALUE"""),"少女")</f>
        <v>少女</v>
      </c>
      <c r="J292" s="8"/>
      <c r="K292" s="8"/>
      <c r="L292" s="8" t="str">
        <f>IFERROR(__xludf.DUMMYFUNCTION("""COMPUTED_VALUE"""),"小学館")</f>
        <v>小学館</v>
      </c>
      <c r="M292" s="12">
        <f>IFERROR(__xludf.DUMMYFUNCTION("""COMPUTED_VALUE"""),45051.0)</f>
        <v>45051</v>
      </c>
      <c r="N292" s="12">
        <f>IFERROR(__xludf.DUMMYFUNCTION("""COMPUTED_VALUE"""),45111.0)</f>
        <v>45111</v>
      </c>
      <c r="O292" s="11"/>
      <c r="P292" s="9" t="str">
        <f>IFERROR(__xludf.DUMMYFUNCTION("""COMPUTED_VALUE"""),"否")</f>
        <v>否</v>
      </c>
      <c r="Q292" s="8" t="str">
        <f>IFERROR(__xludf.DUMMYFUNCTION("""COMPUTED_VALUE"""),"広告コミットOK（2/3）&lt;BR&gt;20230407更新：素材について補足&lt;BR&gt;下記フォルダ内の素材が、初回配信1～3巻分該当とのことです&lt;BR&gt;・本命じゃなきゃよかったのに_MC01&lt;BR&gt;・本命じゃなきゃよかったのに_MC02")</f>
        <v>広告コミットOK（2/3）&lt;BR&gt;20230407更新：素材について補足&lt;BR&gt;下記フォルダ内の素材が、初回配信1～3巻分該当とのことです&lt;BR&gt;・本命じゃなきゃよかったのに_MC01&lt;BR&gt;・本命じゃなきゃよかったのに_MC02</v>
      </c>
      <c r="R292" s="9"/>
      <c r="S292" s="8" t="str">
        <f>IFERROR(__xludf.DUMMYFUNCTION("""COMPUTED_VALUE"""),"20230209_小学館_本命じゃなきゃよかったのに【マイクロ】")</f>
        <v>20230209_小学館_本命じゃなきゃよかったのに【マイクロ】</v>
      </c>
      <c r="T292" s="9"/>
      <c r="U292" s="9" t="str">
        <f>IFERROR(__xludf.DUMMYFUNCTION("""COMPUTED_VALUE"""),"(C)水谷愛 / 小学館")</f>
        <v>(C)水谷愛 / 小学館</v>
      </c>
      <c r="V292" s="8" t="str">
        <f>IFERROR(__xludf.DUMMYFUNCTION("""COMPUTED_VALUE"""),"カレシなし、30歳の誕生日。実歩乃の会社に転職してきたのはアイツだった。10年前、お互い恋人がいながら、人数合わせの合コンで出会った嬉野栄成。約束はしない、都合のいい時だけ会ってセックスするーーそれだけの関係。ワケあって実歩乃のほうから音信不通にして10年、二度と会うこともないと思ってたのに・・・！！それなのに、栄成はあの時と何も変わらず、何もなかったように、実歩乃に思わせぶりな態度でーー
")</f>
        <v>カレシなし、30歳の誕生日。実歩乃の会社に転職してきたのはアイツだった。10年前、お互い恋人がいながら、人数合わせの合コンで出会った嬉野栄成。約束はしない、都合のいい時だけ会ってセックスするーーそれだけの関係。ワケあって実歩乃のほうから音信不通にして10年、二度と会うこともないと思ってたのに・・・！！それなのに、栄成はあの時と何も変わらず、何もなかったように、実歩乃に思わせぶりな態度でーー
</v>
      </c>
      <c r="W292" s="8"/>
      <c r="X292" s="8" t="str">
        <f>IFERROR(__xludf.DUMMYFUNCTION("""COMPUTED_VALUE"""),"有")</f>
        <v>有</v>
      </c>
      <c r="Y292" s="8" t="str">
        <f>IFERROR(__xludf.DUMMYFUNCTION("""COMPUTED_VALUE"""),"P7まで")</f>
        <v>P7まで</v>
      </c>
      <c r="Z292" s="7"/>
      <c r="AA292" s="7"/>
      <c r="AB292" s="7"/>
    </row>
    <row r="293" ht="15.75" customHeight="1">
      <c r="A293" s="8">
        <f>IFERROR(__xludf.DUMMYFUNCTION("""COMPUTED_VALUE"""),1662.0)</f>
        <v>1662</v>
      </c>
      <c r="B293" s="9" t="str">
        <f>IFERROR(__xludf.DUMMYFUNCTION("""COMPUTED_VALUE"""),"確定")</f>
        <v>確定</v>
      </c>
      <c r="C293" s="10">
        <f>IFERROR(__xludf.DUMMYFUNCTION("""COMPUTED_VALUE"""),44943.0)</f>
        <v>44943</v>
      </c>
      <c r="D293" s="10">
        <f>IFERROR(__xludf.DUMMYFUNCTION("""COMPUTED_VALUE"""),44987.0)</f>
        <v>44987</v>
      </c>
      <c r="E293" s="8">
        <f>IFERROR(__xludf.DUMMYFUNCTION("""COMPUTED_VALUE"""),267497.0)</f>
        <v>267497</v>
      </c>
      <c r="F293" s="9" t="str">
        <f>IFERROR(__xludf.DUMMYFUNCTION("""COMPUTED_VALUE"""),"【ピュール】堅物戦王子と0日婚しましたが彼の×××が大きすぎます～残りもの姫、人生最大のピンチです～")</f>
        <v>【ピュール】堅物戦王子と0日婚しましたが彼の×××が大きすぎます～残りもの姫、人生最大のピンチです～</v>
      </c>
      <c r="G293" s="11" t="str">
        <f>IFERROR(__xludf.DUMMYFUNCTION("""COMPUTED_VALUE"""),"1～3")</f>
        <v>1～3</v>
      </c>
      <c r="H293" s="8" t="str">
        <f>IFERROR(__xludf.DUMMYFUNCTION("""COMPUTED_VALUE"""),"キカイニンゲン")</f>
        <v>キカイニンゲン</v>
      </c>
      <c r="I293" s="8" t="str">
        <f>IFERROR(__xludf.DUMMYFUNCTION("""COMPUTED_VALUE"""),"TL")</f>
        <v>TL</v>
      </c>
      <c r="J293" s="8"/>
      <c r="K293" s="8"/>
      <c r="L293" s="8" t="str">
        <f>IFERROR(__xludf.DUMMYFUNCTION("""COMPUTED_VALUE"""),"ジュリアンパブリッシング")</f>
        <v>ジュリアンパブリッシング</v>
      </c>
      <c r="M293" s="12">
        <f>IFERROR(__xludf.DUMMYFUNCTION("""COMPUTED_VALUE"""),45057.0)</f>
        <v>45057</v>
      </c>
      <c r="N293" s="12">
        <f>IFERROR(__xludf.DUMMYFUNCTION("""COMPUTED_VALUE"""),45147.0)</f>
        <v>45147</v>
      </c>
      <c r="O293" s="11"/>
      <c r="P293" s="9" t="str">
        <f>IFERROR(__xludf.DUMMYFUNCTION("""COMPUTED_VALUE"""),"可")</f>
        <v>可</v>
      </c>
      <c r="Q293" s="8" t="str">
        <f>IFERROR(__xludf.DUMMYFUNCTION("""COMPUTED_VALUE"""),"初回1～3話で広告コミットOK（1/27）&lt;BR&gt;&lt;BR&gt;1～3話配信で調整できました")</f>
        <v>初回1～3話で広告コミットOK（1/27）&lt;BR&gt;&lt;BR&gt;1～3話配信で調整できました</v>
      </c>
      <c r="R293" s="9"/>
      <c r="S293" s="8" t="str">
        <f>IFERROR(__xludf.DUMMYFUNCTION("""COMPUTED_VALUE"""),"20230203_Jパブリッシング_堅物戦王子と0日婚しましたが彼の×××が大きすぎます")</f>
        <v>20230203_Jパブリッシング_堅物戦王子と0日婚しましたが彼の×××が大きすぎます</v>
      </c>
      <c r="T293" s="9"/>
      <c r="U293" s="9" t="str">
        <f>IFERROR(__xludf.DUMMYFUNCTION("""COMPUTED_VALUE"""),"©キカイニンゲン/ジュリアンパブリッシング")</f>
        <v>©キカイニンゲン/ジュリアンパブリッシング</v>
      </c>
      <c r="V293" s="8" t="str">
        <f>IFERROR(__xludf.DUMMYFUNCTION("""COMPUTED_VALUE"""),"「私、人生最大のピンチです！」緑豊かな魔法の国リトフィユでのびのび育った第三王女・リラ。父である王の命令によって、戦好きなサラマンドル帝国の第二王子・アイザックと夫婦になることに!?大きな身体に無愛想な表情も相まって怖がられているアイザックだが、リラには周囲が噂するような恐ろしい人には思えなくて…。早速夜のおつとめを果たそうとするリラだが――…（サラマンドルの国の人ってこんなに大きいの！？）堅物な大柄王子×天真爛漫な小柄姫の夜の営みは前途多難！？")</f>
        <v>「私、人生最大のピンチです！」緑豊かな魔法の国リトフィユでのびのび育った第三王女・リラ。父である王の命令によって、戦好きなサラマンドル帝国の第二王子・アイザックと夫婦になることに!?大きな身体に無愛想な表情も相まって怖がられているアイザックだが、リラには周囲が噂するような恐ろしい人には思えなくて…。早速夜のおつとめを果たそうとするリラだが――…（サラマンドルの国の人ってこんなに大きいの！？）堅物な大柄王子×天真爛漫な小柄姫の夜の営みは前途多難！？</v>
      </c>
      <c r="W293" s="8"/>
      <c r="X293" s="8" t="str">
        <f>IFERROR(__xludf.DUMMYFUNCTION("""COMPUTED_VALUE"""),"有")</f>
        <v>有</v>
      </c>
      <c r="Y293" s="8" t="str">
        <f>IFERROR(__xludf.DUMMYFUNCTION("""COMPUTED_VALUE"""),"5/24まで1巻無料")</f>
        <v>5/24まで1巻無料</v>
      </c>
      <c r="Z293" s="7"/>
      <c r="AA293" s="7"/>
      <c r="AB293" s="7"/>
    </row>
    <row r="294" ht="15.75" customHeight="1">
      <c r="A294" s="8">
        <f>IFERROR(__xludf.DUMMYFUNCTION("""COMPUTED_VALUE"""),1825.0)</f>
        <v>1825</v>
      </c>
      <c r="B294" s="9" t="str">
        <f>IFERROR(__xludf.DUMMYFUNCTION("""COMPUTED_VALUE"""),"確定")</f>
        <v>確定</v>
      </c>
      <c r="C294" s="10">
        <f>IFERROR(__xludf.DUMMYFUNCTION("""COMPUTED_VALUE"""),45002.0)</f>
        <v>45002</v>
      </c>
      <c r="D294" s="10">
        <f>IFERROR(__xludf.DUMMYFUNCTION("""COMPUTED_VALUE"""),45002.0)</f>
        <v>45002</v>
      </c>
      <c r="E294" s="8">
        <f>IFERROR(__xludf.DUMMYFUNCTION("""COMPUTED_VALUE"""),266310.0)</f>
        <v>266310</v>
      </c>
      <c r="F294" s="9" t="str">
        <f>IFERROR(__xludf.DUMMYFUNCTION("""COMPUTED_VALUE"""),"エクスタシーサイド")</f>
        <v>エクスタシーサイド</v>
      </c>
      <c r="G294" s="11" t="str">
        <f>IFERROR(__xludf.DUMMYFUNCTION("""COMPUTED_VALUE"""),"1～3")</f>
        <v>1～3</v>
      </c>
      <c r="H294" s="8" t="str">
        <f>IFERROR(__xludf.DUMMYFUNCTION("""COMPUTED_VALUE"""),"ChungnYang/Jung Cheong")</f>
        <v>ChungnYang/Jung Cheong</v>
      </c>
      <c r="I294" s="8" t="str">
        <f>IFERROR(__xludf.DUMMYFUNCTION("""COMPUTED_VALUE"""),"青年")</f>
        <v>青年</v>
      </c>
      <c r="J294" s="8"/>
      <c r="K294" s="8"/>
      <c r="L294" s="8" t="str">
        <f>IFERROR(__xludf.DUMMYFUNCTION("""COMPUTED_VALUE"""),"Rush!")</f>
        <v>Rush!</v>
      </c>
      <c r="M294" s="12">
        <f>IFERROR(__xludf.DUMMYFUNCTION("""COMPUTED_VALUE"""),45058.0)</f>
        <v>45058</v>
      </c>
      <c r="N294" s="12">
        <f>IFERROR(__xludf.DUMMYFUNCTION("""COMPUTED_VALUE"""),45148.0)</f>
        <v>45148</v>
      </c>
      <c r="O294" s="11"/>
      <c r="P294" s="9" t="str">
        <f>IFERROR(__xludf.DUMMYFUNCTION("""COMPUTED_VALUE"""),"可")</f>
        <v>可</v>
      </c>
      <c r="Q294" s="8" t="str">
        <f>IFERROR(__xludf.DUMMYFUNCTION("""COMPUTED_VALUE"""),"協業レーベル『シーモア×Rush!』作品です。")</f>
        <v>協業レーベル『シーモア×Rush!』作品です。</v>
      </c>
      <c r="R294" s="9"/>
      <c r="S294" s="8" t="str">
        <f>IFERROR(__xludf.DUMMYFUNCTION("""COMPUTED_VALUE"""),"20230317_ファンギルド_エクスタシーサイド")</f>
        <v>20230317_ファンギルド_エクスタシーサイド</v>
      </c>
      <c r="T294" s="9"/>
      <c r="U294" s="9" t="str">
        <f>IFERROR(__xludf.DUMMYFUNCTION("""COMPUTED_VALUE"""),"©ChungnYang/Jung Cheong/TOPTOON")</f>
        <v>©ChungnYang/Jung Cheong/TOPTOON</v>
      </c>
      <c r="V294" s="8" t="str">
        <f>IFERROR(__xludf.DUMMYFUNCTION("""COMPUTED_VALUE"""),"政府の方針で作られた臨時診療所へ、一年の赴任が決まった新人医師・国広。そこは海辺のド田舎。異動初日から帰りたい気持ちでいっぱいに。憂鬱な気分で海辺を散歩していると、目の前から現れたのは…都会でも稀に見ぬ美女海女！？少しおっちょこちょいな新人海女・花音は、足を滑らせ溺れてしまう。助けるために人工呼吸を行うが、それから妙に意識してしまう…。「もう一度…あの唇に触れたい」赤く熟れた果実のような花音の唇に引き寄せられるように、二人の距離は縮まっていくが…。期間限定の最高潮な海辺の恋が始まる――！")</f>
        <v>政府の方針で作られた臨時診療所へ、一年の赴任が決まった新人医師・国広。そこは海辺のド田舎。異動初日から帰りたい気持ちでいっぱいに。憂鬱な気分で海辺を散歩していると、目の前から現れたのは…都会でも稀に見ぬ美女海女！？少しおっちょこちょいな新人海女・花音は、足を滑らせ溺れてしまう。助けるために人工呼吸を行うが、それから妙に意識してしまう…。「もう一度…あの唇に触れたい」赤く熟れた果実のような花音の唇に引き寄せられるように、二人の距離は縮まっていくが…。期間限定の最高潮な海辺の恋が始まる――！</v>
      </c>
      <c r="W294" s="8"/>
      <c r="X294" s="8" t="str">
        <f>IFERROR(__xludf.DUMMYFUNCTION("""COMPUTED_VALUE"""),"有")</f>
        <v>有</v>
      </c>
      <c r="Y294" s="8" t="str">
        <f>IFERROR(__xludf.DUMMYFUNCTION("""COMPUTED_VALUE"""),"6/1まで1巻無料")</f>
        <v>6/1まで1巻無料</v>
      </c>
      <c r="Z294" s="7"/>
      <c r="AA294" s="7"/>
      <c r="AB294" s="7"/>
    </row>
    <row r="295" ht="15.75" customHeight="1">
      <c r="A295" s="8">
        <f>IFERROR(__xludf.DUMMYFUNCTION("""COMPUTED_VALUE"""),1654.0)</f>
        <v>1654</v>
      </c>
      <c r="B295" s="9" t="str">
        <f>IFERROR(__xludf.DUMMYFUNCTION("""COMPUTED_VALUE"""),"確定")</f>
        <v>確定</v>
      </c>
      <c r="C295" s="10">
        <f>IFERROR(__xludf.DUMMYFUNCTION("""COMPUTED_VALUE"""),44942.0)</f>
        <v>44942</v>
      </c>
      <c r="D295" s="10">
        <f>IFERROR(__xludf.DUMMYFUNCTION("""COMPUTED_VALUE"""),45023.0)</f>
        <v>45023</v>
      </c>
      <c r="E295" s="8">
        <f>IFERROR(__xludf.DUMMYFUNCTION("""COMPUTED_VALUE"""),267571.0)</f>
        <v>267571</v>
      </c>
      <c r="F295" s="9" t="str">
        <f>IFERROR(__xludf.DUMMYFUNCTION("""COMPUTED_VALUE"""),"出戻り（元）王女と一途な騎士【単話売】")</f>
        <v>出戻り（元）王女と一途な騎士【単話売】</v>
      </c>
      <c r="G295" s="11" t="str">
        <f>IFERROR(__xludf.DUMMYFUNCTION("""COMPUTED_VALUE"""),"1～3")</f>
        <v>1～3</v>
      </c>
      <c r="H295" s="8" t="str">
        <f>IFERROR(__xludf.DUMMYFUNCTION("""COMPUTED_VALUE"""),"早瀬いつか／原作 イチニ")</f>
        <v>早瀬いつか／原作 イチニ</v>
      </c>
      <c r="I295" s="8" t="str">
        <f>IFERROR(__xludf.DUMMYFUNCTION("""COMPUTED_VALUE"""),"少女")</f>
        <v>少女</v>
      </c>
      <c r="J295" s="8"/>
      <c r="K295" s="8"/>
      <c r="L295" s="8" t="str">
        <f>IFERROR(__xludf.DUMMYFUNCTION("""COMPUTED_VALUE"""),"ジュリアンパブリッシング")</f>
        <v>ジュリアンパブリッシング</v>
      </c>
      <c r="M295" s="12">
        <f>IFERROR(__xludf.DUMMYFUNCTION("""COMPUTED_VALUE"""),45058.0)</f>
        <v>45058</v>
      </c>
      <c r="N295" s="12">
        <f>IFERROR(__xludf.DUMMYFUNCTION("""COMPUTED_VALUE"""),45120.66666666667)</f>
        <v>45120.66667</v>
      </c>
      <c r="O295" s="11"/>
      <c r="P295" s="9" t="str">
        <f>IFERROR(__xludf.DUMMYFUNCTION("""COMPUTED_VALUE"""),"否")</f>
        <v>否</v>
      </c>
      <c r="Q295" s="8" t="str">
        <f>IFERROR(__xludf.DUMMYFUNCTION("""COMPUTED_VALUE"""),"広告コミットOK（1/20）&lt;BR&gt;&lt;BR&gt;先行期間1か月に変更、ただし広告好調な際には延長する前提での変更です")</f>
        <v>広告コミットOK（1/20）&lt;BR&gt;&lt;BR&gt;先行期間1か月に変更、ただし広告好調な際には延長する前提での変更です</v>
      </c>
      <c r="R295" s="9"/>
      <c r="S295" s="8" t="str">
        <f>IFERROR(__xludf.DUMMYFUNCTION("""COMPUTED_VALUE"""),"20230407_ジュリアンパブリッシング_出戻り（元）王女と一途な騎士【単話売】")</f>
        <v>20230407_ジュリアンパブリッシング_出戻り（元）王女と一途な騎士【単話売】</v>
      </c>
      <c r="T295" s="9"/>
      <c r="U295" s="9" t="str">
        <f>IFERROR(__xludf.DUMMYFUNCTION("""COMPUTED_VALUE"""),"(C)早瀬いつか・イチニ・氷堂れん/ジュリアンパブリッシング")</f>
        <v>(C)早瀬いつか・イチニ・氷堂れん/ジュリアンパブリッシング</v>
      </c>
      <c r="V295" s="8" t="str">
        <f>IFERROR(__xludf.DUMMYFUNCTION("""COMPUTED_VALUE"""),"幼かった初恋の思い出、その８年後。彼は凛々しい美貌の騎士となって現れて!?
政略結婚で嫁いだものの、出戻りとなった王女アデルにやってきた縁談話。お相手はなんと子供の頃淡い思いを抱いていたルイスだった。幼かった見習い騎士の彼は武勲をあげ、凛々しい美貌の青年となって現れ、アデルは驚きが隠せない。もしやこれはお飾りの妻ということでは!?　あるいは偽装結婚!?　現実が受け入れられず、アデルの妄想は止まらないが――「貴女をずっとお慕いしていました。私と結婚してください」諦めたはずの初恋から８年。温かな人たちに囲まれ"&amp;"た二人の幸せいっぱいな王宮新婚ラブ。")</f>
        <v>幼かった初恋の思い出、その８年後。彼は凛々しい美貌の騎士となって現れて!?
政略結婚で嫁いだものの、出戻りとなった王女アデルにやってきた縁談話。お相手はなんと子供の頃淡い思いを抱いていたルイスだった。幼かった見習い騎士の彼は武勲をあげ、凛々しい美貌の青年となって現れ、アデルは驚きが隠せない。もしやこれはお飾りの妻ということでは!?　あるいは偽装結婚!?　現実が受け入れられず、アデルの妄想は止まらないが――「貴女をずっとお慕いしていました。私と結婚してください」諦めたはずの初恋から８年。温かな人たちに囲まれた二人の幸せいっぱいな王宮新婚ラブ。</v>
      </c>
      <c r="W295" s="8"/>
      <c r="X295" s="8" t="str">
        <f>IFERROR(__xludf.DUMMYFUNCTION("""COMPUTED_VALUE"""),"有")</f>
        <v>有</v>
      </c>
      <c r="Y295" s="8" t="str">
        <f>IFERROR(__xludf.DUMMYFUNCTION("""COMPUTED_VALUE"""),"5/25まで1巻無料")</f>
        <v>5/25まで1巻無料</v>
      </c>
      <c r="Z295" s="7"/>
      <c r="AA295" s="7"/>
      <c r="AB295" s="7"/>
    </row>
    <row r="296" ht="15.75" customHeight="1">
      <c r="A296" s="8">
        <f>IFERROR(__xludf.DUMMYFUNCTION("""COMPUTED_VALUE"""),1849.0)</f>
        <v>1849</v>
      </c>
      <c r="B296" s="9" t="str">
        <f>IFERROR(__xludf.DUMMYFUNCTION("""COMPUTED_VALUE"""),"確定")</f>
        <v>確定</v>
      </c>
      <c r="C296" s="10">
        <f>IFERROR(__xludf.DUMMYFUNCTION("""COMPUTED_VALUE"""),45016.0)</f>
        <v>45016</v>
      </c>
      <c r="D296" s="10">
        <f>IFERROR(__xludf.DUMMYFUNCTION("""COMPUTED_VALUE"""),45016.0)</f>
        <v>45016</v>
      </c>
      <c r="E296" s="8">
        <f>IFERROR(__xludf.DUMMYFUNCTION("""COMPUTED_VALUE"""),268000.0)</f>
        <v>268000</v>
      </c>
      <c r="F296" s="9" t="str">
        <f>IFERROR(__xludf.DUMMYFUNCTION("""COMPUTED_VALUE"""),"カノジョを落とす悪いイタズラ")</f>
        <v>カノジョを落とす悪いイタズラ</v>
      </c>
      <c r="G296" s="11" t="str">
        <f>IFERROR(__xludf.DUMMYFUNCTION("""COMPUTED_VALUE"""),"1~3")</f>
        <v>1~3</v>
      </c>
      <c r="H296" s="8" t="str">
        <f>IFERROR(__xludf.DUMMYFUNCTION("""COMPUTED_VALUE"""),"じゃこうねずみ")</f>
        <v>じゃこうねずみ</v>
      </c>
      <c r="I296" s="8" t="str">
        <f>IFERROR(__xludf.DUMMYFUNCTION("""COMPUTED_VALUE"""),"青年")</f>
        <v>青年</v>
      </c>
      <c r="J296" s="8"/>
      <c r="K296" s="8"/>
      <c r="L296" s="8" t="str">
        <f>IFERROR(__xludf.DUMMYFUNCTION("""COMPUTED_VALUE"""),"コミックストック")</f>
        <v>コミックストック</v>
      </c>
      <c r="M296" s="12">
        <f>IFERROR(__xludf.DUMMYFUNCTION("""COMPUTED_VALUE"""),45060.0)</f>
        <v>45060</v>
      </c>
      <c r="N296" s="12">
        <f>IFERROR(__xludf.DUMMYFUNCTION("""COMPUTED_VALUE"""),45094.0)</f>
        <v>45094</v>
      </c>
      <c r="O296" s="11"/>
      <c r="P296" s="9" t="str">
        <f>IFERROR(__xludf.DUMMYFUNCTION("""COMPUTED_VALUE"""),"可")</f>
        <v>可</v>
      </c>
      <c r="Q296" s="8" t="str">
        <f>IFERROR(__xludf.DUMMYFUNCTION("""COMPUTED_VALUE"""),"素材格納（3/31）&lt;BR&gt;1巻（1話-3話P22まで　計22P）&lt;BR&gt;2巻（3話P23-6話　計26P）&lt;BR&gt;3巻（7-9話　計24P）")</f>
        <v>素材格納（3/31）&lt;BR&gt;1巻（1話-3話P22まで　計22P）&lt;BR&gt;2巻（3話P23-6話　計26P）&lt;BR&gt;3巻（7-9話　計24P）</v>
      </c>
      <c r="R296" s="9" t="str">
        <f>IFERROR(__xludf.DUMMYFUNCTION("""COMPUTED_VALUE"""),"格納済")</f>
        <v>格納済</v>
      </c>
      <c r="S296" s="8" t="str">
        <f>IFERROR(__xludf.DUMMYFUNCTION("""COMPUTED_VALUE"""),"20230331_コミックストック_催眠術で上司をイカせる(仮)")</f>
        <v>20230331_コミックストック_催眠術で上司をイカせる(仮)</v>
      </c>
      <c r="T296" s="9" t="str">
        <f>IFERROR(__xludf.DUMMYFUNCTION("""COMPUTED_VALUE"""),"校了済素材")</f>
        <v>校了済素材</v>
      </c>
      <c r="U296" s="9" t="str">
        <f>IFERROR(__xludf.DUMMYFUNCTION("""COMPUTED_VALUE"""),"©じゃこうねずみ/コミックストック")</f>
        <v>©じゃこうねずみ/コミックストック</v>
      </c>
      <c r="V296" s="8" t="str">
        <f>IFERROR(__xludf.DUMMYFUNCTION("""COMPUTED_VALUE"""),"「じゃあ…先輩にかけてもいいですか？」――会社の昼休みに『合コンで使える催眠術特集』なんてくだらない記事を読みながらラーメンをすすっていた俺。すると美人な先輩から「こんなの読んでいるからモテないのよ」とバカにされてしまう！　くやしくなった俺は「先輩は電話の音を聞くと…×××」パチン！　だけど…催眠術なんてやっぱりかからなくて、こってり怒られてしまった。でも、それからの先輩は、電話が鳴るたびに下半身をくねらせ震えてる、もしかして…!!　最低で最強のスキルをゲットした俺、もしかしてこのままヤレちゃう…!?")</f>
        <v>「じゃあ…先輩にかけてもいいですか？」――会社の昼休みに『合コンで使える催眠術特集』なんてくだらない記事を読みながらラーメンをすすっていた俺。すると美人な先輩から「こんなの読んでいるからモテないのよ」とバカにされてしまう！　くやしくなった俺は「先輩は電話の音を聞くと…×××」パチン！　だけど…催眠術なんてやっぱりかからなくて、こってり怒られてしまった。でも、それからの先輩は、電話が鳴るたびに下半身をくねらせ震えてる、もしかして…!!　最低で最強のスキルをゲットした俺、もしかしてこのままヤレちゃう…!?</v>
      </c>
      <c r="W296" s="8"/>
      <c r="X296" s="8" t="str">
        <f>IFERROR(__xludf.DUMMYFUNCTION("""COMPUTED_VALUE"""),"有")</f>
        <v>有</v>
      </c>
      <c r="Y296" s="8" t="str">
        <f>IFERROR(__xludf.DUMMYFUNCTION("""COMPUTED_VALUE"""),"5/27まで1巻無料")</f>
        <v>5/27まで1巻無料</v>
      </c>
      <c r="Z296" s="7"/>
      <c r="AA296" s="7"/>
      <c r="AB296" s="7"/>
    </row>
    <row r="297" ht="15.75" customHeight="1">
      <c r="A297" s="8">
        <f>IFERROR(__xludf.DUMMYFUNCTION("""COMPUTED_VALUE"""),1859.0)</f>
        <v>1859</v>
      </c>
      <c r="B297" s="9" t="str">
        <f>IFERROR(__xludf.DUMMYFUNCTION("""COMPUTED_VALUE"""),"確定")</f>
        <v>確定</v>
      </c>
      <c r="C297" s="10">
        <f>IFERROR(__xludf.DUMMYFUNCTION("""COMPUTED_VALUE"""),45023.0)</f>
        <v>45023</v>
      </c>
      <c r="D297" s="10">
        <f>IFERROR(__xludf.DUMMYFUNCTION("""COMPUTED_VALUE"""),45027.0)</f>
        <v>45027</v>
      </c>
      <c r="E297" s="8">
        <f>IFERROR(__xludf.DUMMYFUNCTION("""COMPUTED_VALUE"""),267835.0)</f>
        <v>267835</v>
      </c>
      <c r="F297" s="9" t="str">
        <f>IFERROR(__xludf.DUMMYFUNCTION("""COMPUTED_VALUE"""),"陛下の溺愛花嫁は引きこもりの身代わり令嬢!?～甘く淫らに召し上がれ～")</f>
        <v>陛下の溺愛花嫁は引きこもりの身代わり令嬢!?～甘く淫らに召し上がれ～</v>
      </c>
      <c r="G297" s="11">
        <f>IFERROR(__xludf.DUMMYFUNCTION("""COMPUTED_VALUE"""),1.0)</f>
        <v>1</v>
      </c>
      <c r="H297" s="8" t="str">
        <f>IFERROR(__xludf.DUMMYFUNCTION("""COMPUTED_VALUE"""),"DUO BRAND.・熊野まゆ")</f>
        <v>DUO BRAND.・熊野まゆ</v>
      </c>
      <c r="I297" s="8" t="str">
        <f>IFERROR(__xludf.DUMMYFUNCTION("""COMPUTED_VALUE"""),"TL")</f>
        <v>TL</v>
      </c>
      <c r="J297" s="8"/>
      <c r="K297" s="8"/>
      <c r="L297" s="8" t="str">
        <f>IFERROR(__xludf.DUMMYFUNCTION("""COMPUTED_VALUE"""),"乙女ドルチェ・コミックス")</f>
        <v>乙女ドルチェ・コミックス</v>
      </c>
      <c r="M297" s="12">
        <f>IFERROR(__xludf.DUMMYFUNCTION("""COMPUTED_VALUE"""),45064.0)</f>
        <v>45064</v>
      </c>
      <c r="N297" s="12">
        <f>IFERROR(__xludf.DUMMYFUNCTION("""COMPUTED_VALUE"""),45091.0)</f>
        <v>45091</v>
      </c>
      <c r="O297" s="11"/>
      <c r="P297" s="9" t="str">
        <f>IFERROR(__xludf.DUMMYFUNCTION("""COMPUTED_VALUE"""),"可")</f>
        <v>可</v>
      </c>
      <c r="Q297" s="8" t="str">
        <f>IFERROR(__xludf.DUMMYFUNCTION("""COMPUTED_VALUE"""),"素材格納（4/11）&lt;BR&gt;広告コミットOK（4/7）")</f>
        <v>素材格納（4/11）&lt;BR&gt;広告コミットOK（4/7）</v>
      </c>
      <c r="R297" s="9" t="str">
        <f>IFERROR(__xludf.DUMMYFUNCTION("""COMPUTED_VALUE"""),"格納済（4/11）")</f>
        <v>格納済（4/11）</v>
      </c>
      <c r="S297" s="8" t="str">
        <f>IFERROR(__xludf.DUMMYFUNCTION("""COMPUTED_VALUE"""),"20230411_乙女ドルチェ_陛下の溺愛花嫁は引きこもりの身代わり令嬢!_～甘く淫らに召し上がれ～")</f>
        <v>20230411_乙女ドルチェ_陛下の溺愛花嫁は引きこもりの身代わり令嬢!_～甘く淫らに召し上がれ～</v>
      </c>
      <c r="T297" s="9" t="str">
        <f>IFERROR(__xludf.DUMMYFUNCTION("""COMPUTED_VALUE"""),"校了済素材")</f>
        <v>校了済素材</v>
      </c>
      <c r="U297" s="9" t="str">
        <f>IFERROR(__xludf.DUMMYFUNCTION("""COMPUTED_VALUE"""),"（C)DUO BRAND.・熊野まゆ／ハーパーコリンズ・ジャパン")</f>
        <v>（C)DUO BRAND.・熊野まゆ／ハーパーコリンズ・ジャパン</v>
      </c>
      <c r="V297" s="8" t="str">
        <f>IFERROR(__xludf.DUMMYFUNCTION("""COMPUTED_VALUE"""),"「だめ、おかしくなっちゃう…」
無垢な令嬢の初めての嘘は国王陛下の独占欲に火をつける──”
「君は無垢なのか、違うのか──わからなくなる」「愛している…」国王ディラックの切なく甘い囁きと身体をなぞる指が、キャロライナを蕩かす。この言葉が本当の自分に向けられたものならよかったのに──。双子の姉クラリッサの身代わりに、彼女になりすまして国王との縁談を受けた引きこもり令嬢キャロライナ。社交界の華と呼ばれる姉の猛特訓を受けながらディラックとの逢瀬を重ねる内、彼に恋するように。けれど、良心の呵責から婚約発表を先延"&amp;"ばしにする彼女の態度にディラックが疑問を抱き、その上隣国の王子に目をつけられてしまい…？")</f>
        <v>「だめ、おかしくなっちゃう…」
無垢な令嬢の初めての嘘は国王陛下の独占欲に火をつける──”
「君は無垢なのか、違うのか──わからなくなる」「愛している…」国王ディラックの切なく甘い囁きと身体をなぞる指が、キャロライナを蕩かす。この言葉が本当の自分に向けられたものならよかったのに──。双子の姉クラリッサの身代わりに、彼女になりすまして国王との縁談を受けた引きこもり令嬢キャロライナ。社交界の華と呼ばれる姉の猛特訓を受けながらディラックとの逢瀬を重ねる内、彼に恋するように。けれど、良心の呵責から婚約発表を先延ばしにする彼女の態度にディラックが疑問を抱き、その上隣国の王子に目をつけられてしまい…？</v>
      </c>
      <c r="W297" s="8"/>
      <c r="X297" s="8" t="str">
        <f>IFERROR(__xludf.DUMMYFUNCTION("""COMPUTED_VALUE"""),"有")</f>
        <v>有</v>
      </c>
      <c r="Y297" s="8" t="str">
        <f>IFERROR(__xludf.DUMMYFUNCTION("""COMPUTED_VALUE"""),"P17まで")</f>
        <v>P17まで</v>
      </c>
      <c r="Z297" s="7"/>
      <c r="AA297" s="7"/>
      <c r="AB297" s="7"/>
    </row>
    <row r="298" ht="15.75" customHeight="1">
      <c r="A298" s="8">
        <f>IFERROR(__xludf.DUMMYFUNCTION("""COMPUTED_VALUE"""),1676.0)</f>
        <v>1676</v>
      </c>
      <c r="B298" s="9" t="str">
        <f>IFERROR(__xludf.DUMMYFUNCTION("""COMPUTED_VALUE"""),"確定")</f>
        <v>確定</v>
      </c>
      <c r="C298" s="10">
        <f>IFERROR(__xludf.DUMMYFUNCTION("""COMPUTED_VALUE"""),44953.0)</f>
        <v>44953</v>
      </c>
      <c r="D298" s="10">
        <f>IFERROR(__xludf.DUMMYFUNCTION("""COMPUTED_VALUE"""),45021.0)</f>
        <v>45021</v>
      </c>
      <c r="E298" s="8">
        <f>IFERROR(__xludf.DUMMYFUNCTION("""COMPUTED_VALUE"""),268173.0)</f>
        <v>268173</v>
      </c>
      <c r="F298" s="9" t="str">
        <f>IFERROR(__xludf.DUMMYFUNCTION("""COMPUTED_VALUE"""),"ふれたい私とふれられない彼〜Hが上手すぎて振られました!?〜")</f>
        <v>ふれたい私とふれられない彼〜Hが上手すぎて振られました!?〜</v>
      </c>
      <c r="G298" s="11" t="str">
        <f>IFERROR(__xludf.DUMMYFUNCTION("""COMPUTED_VALUE"""),"1～3")</f>
        <v>1～3</v>
      </c>
      <c r="H298" s="8" t="str">
        <f>IFERROR(__xludf.DUMMYFUNCTION("""COMPUTED_VALUE"""),"花衣ソノ")</f>
        <v>花衣ソノ</v>
      </c>
      <c r="I298" s="8" t="str">
        <f>IFERROR(__xludf.DUMMYFUNCTION("""COMPUTED_VALUE"""),"女性")</f>
        <v>女性</v>
      </c>
      <c r="J298" s="8"/>
      <c r="K298" s="8"/>
      <c r="L298" s="8" t="str">
        <f>IFERROR(__xludf.DUMMYFUNCTION("""COMPUTED_VALUE"""),"リブレ")</f>
        <v>リブレ</v>
      </c>
      <c r="M298" s="12">
        <f>IFERROR(__xludf.DUMMYFUNCTION("""COMPUTED_VALUE"""),45071.0)</f>
        <v>45071</v>
      </c>
      <c r="N298" s="12">
        <f>IFERROR(__xludf.DUMMYFUNCTION("""COMPUTED_VALUE"""),45105.0)</f>
        <v>45105</v>
      </c>
      <c r="O298" s="11"/>
      <c r="P298" s="9" t="str">
        <f>IFERROR(__xludf.DUMMYFUNCTION("""COMPUTED_VALUE"""),"可")</f>
        <v>可</v>
      </c>
      <c r="Q298" s="8" t="str">
        <f>IFERROR(__xludf.DUMMYFUNCTION("""COMPUTED_VALUE"""),"初回リリース巻相談&lt;BR&gt;⇒初回リリース1~3巻でOKもらいました&lt;BR&gt;　→コミットOK")</f>
        <v>初回リリース巻相談&lt;BR&gt;⇒初回リリース1~3巻でOKもらいました&lt;BR&gt;　→コミットOK</v>
      </c>
      <c r="R298" s="9"/>
      <c r="S298" s="8" t="str">
        <f>IFERROR(__xludf.DUMMYFUNCTION("""COMPUTED_VALUE"""),"20230403_リブレ_ふれたい私とふれられない彼")</f>
        <v>20230403_リブレ_ふれたい私とふれられない彼</v>
      </c>
      <c r="T298" s="9"/>
      <c r="U298" s="9" t="str">
        <f>IFERROR(__xludf.DUMMYFUNCTION("""COMPUTED_VALUE"""),"©花衣ソノ/libre")</f>
        <v>©花衣ソノ/libre</v>
      </c>
      <c r="V298" s="8" t="str">
        <f>IFERROR(__xludf.DUMMYFUNCTION("""COMPUTED_VALUE"""),"コワモテな男性・白鳥がなぜかネイルのお店に!?　ネイリストで手フェチの日奈は、白鳥の手に一目ぼれしてしまう！　その日から、白鳥の手に愛撫されたい…と、いろいろ妄想してたけど、
「俺、プライベートでは女性と触れ合うことができなくて」
じつは産婦人科医である白鳥。Hが上手すぎるという理由で、なぜか初めての彼女に振られてしまって、トラウマで仕事以外では、女性に触れられない体質に悩んでいた。つい日奈は、練習相手になると申し出るが!?
初恋よりも切なくキュンする、不器用で甘い大人のラブストーリー！
※本書は「バニラ"&amp;"ブvol.39」に収録されております。")</f>
        <v>コワモテな男性・白鳥がなぜかネイルのお店に!?　ネイリストで手フェチの日奈は、白鳥の手に一目ぼれしてしまう！　その日から、白鳥の手に愛撫されたい…と、いろいろ妄想してたけど、
「俺、プライベートでは女性と触れ合うことができなくて」
じつは産婦人科医である白鳥。Hが上手すぎるという理由で、なぜか初めての彼女に振られてしまって、トラウマで仕事以外では、女性に触れられない体質に悩んでいた。つい日奈は、練習相手になると申し出るが!?
初恋よりも切なくキュンする、不器用で甘い大人のラブストーリー！
※本書は「バニラブvol.39」に収録されております。</v>
      </c>
      <c r="W298" s="8"/>
      <c r="X298" s="8" t="str">
        <f>IFERROR(__xludf.DUMMYFUNCTION("""COMPUTED_VALUE"""),"有")</f>
        <v>有</v>
      </c>
      <c r="Y298" s="8" t="str">
        <f>IFERROR(__xludf.DUMMYFUNCTION("""COMPUTED_VALUE"""),"6/28まで1巻無料")</f>
        <v>6/28まで1巻無料</v>
      </c>
      <c r="Z298" s="7"/>
      <c r="AA298" s="7"/>
      <c r="AB298" s="7"/>
    </row>
    <row r="299" ht="15.75" customHeight="1">
      <c r="A299" s="8">
        <f>IFERROR(__xludf.DUMMYFUNCTION("""COMPUTED_VALUE"""),1798.0)</f>
        <v>1798</v>
      </c>
      <c r="B299" s="9" t="str">
        <f>IFERROR(__xludf.DUMMYFUNCTION("""COMPUTED_VALUE"""),"確定")</f>
        <v>確定</v>
      </c>
      <c r="C299" s="10">
        <f>IFERROR(__xludf.DUMMYFUNCTION("""COMPUTED_VALUE"""),44998.0)</f>
        <v>44998</v>
      </c>
      <c r="D299" s="10">
        <f>IFERROR(__xludf.DUMMYFUNCTION("""COMPUTED_VALUE"""),45013.0)</f>
        <v>45013</v>
      </c>
      <c r="E299" s="8">
        <f>IFERROR(__xludf.DUMMYFUNCTION("""COMPUTED_VALUE"""),268858.0)</f>
        <v>268858</v>
      </c>
      <c r="F299" s="9" t="str">
        <f>IFERROR(__xludf.DUMMYFUNCTION("""COMPUTED_VALUE"""),"時短恋愛～忙し過ぎる私の××満たしてください！！")</f>
        <v>時短恋愛～忙し過ぎる私の××満たしてください！！</v>
      </c>
      <c r="G299" s="11" t="str">
        <f>IFERROR(__xludf.DUMMYFUNCTION("""COMPUTED_VALUE"""),"1～3")</f>
        <v>1～3</v>
      </c>
      <c r="H299" s="8" t="str">
        <f>IFERROR(__xludf.DUMMYFUNCTION("""COMPUTED_VALUE"""),"白金れと")</f>
        <v>白金れと</v>
      </c>
      <c r="I299" s="8" t="str">
        <f>IFERROR(__xludf.DUMMYFUNCTION("""COMPUTED_VALUE"""),"TL")</f>
        <v>TL</v>
      </c>
      <c r="J299" s="8"/>
      <c r="K299" s="8"/>
      <c r="L299" s="8" t="str">
        <f>IFERROR(__xludf.DUMMYFUNCTION("""COMPUTED_VALUE"""),"MUGENUP")</f>
        <v>MUGENUP</v>
      </c>
      <c r="M299" s="12">
        <f>IFERROR(__xludf.DUMMYFUNCTION("""COMPUTED_VALUE"""),45073.0)</f>
        <v>45073</v>
      </c>
      <c r="N299" s="12">
        <f>IFERROR(__xludf.DUMMYFUNCTION("""COMPUTED_VALUE"""),45164.0)</f>
        <v>45164</v>
      </c>
      <c r="O299" s="11"/>
      <c r="P299" s="9" t="str">
        <f>IFERROR(__xludf.DUMMYFUNCTION("""COMPUTED_VALUE"""),"可")</f>
        <v>可</v>
      </c>
      <c r="Q299" s="8" t="str">
        <f>IFERROR(__xludf.DUMMYFUNCTION("""COMPUTED_VALUE"""),"広告コミットOK（3/16）&lt;BR&gt;")</f>
        <v>広告コミットOK（3/16）&lt;BR&gt;</v>
      </c>
      <c r="R299" s="9" t="str">
        <f>IFERROR(__xludf.DUMMYFUNCTION("""COMPUTED_VALUE"""),"納品済み（素材フォルダに格納）")</f>
        <v>納品済み（素材フォルダに格納）</v>
      </c>
      <c r="S299" s="8" t="str">
        <f>IFERROR(__xludf.DUMMYFUNCTION("""COMPUTED_VALUE"""),"20230313_MUGENUP_時短恋愛～忙し過ぎる私の××満たしてください！！")</f>
        <v>20230313_MUGENUP_時短恋愛～忙し過ぎる私の××満たしてください！！</v>
      </c>
      <c r="T299" s="9"/>
      <c r="U299" s="9" t="str">
        <f>IFERROR(__xludf.DUMMYFUNCTION("""COMPUTED_VALUE"""),"©白金れと／MUGENUP")</f>
        <v>©白金れと／MUGENUP</v>
      </c>
      <c r="V299" s="8" t="str">
        <f>IFERROR(__xludf.DUMMYFUNCTION("""COMPUTED_VALUE"""),"「私と身体の専属契約を結んでください！」仕事に推し活に順風満帆なOL・朝比奈るなの唯一の悩みは性欲！　恋人を見かけては発狂する毎日。ある日、推し活帰りに同級生の真紘魁星と再会する。極度の潔癖症の真紘は女性にも触れることが出来ず、彼女もいないことを知ったるなは、己だけしか真紘は触れられないということに気づく。るな以外の女性に触れられない真紘と手っ取り早く性欲を満たしたいるなの利害は一致。るなは真紘へSEXの専属契約を提案するが───…!?　契約から始まるドタバタセックスライフ！")</f>
        <v>「私と身体の専属契約を結んでください！」仕事に推し活に順風満帆なOL・朝比奈るなの唯一の悩みは性欲！　恋人を見かけては発狂する毎日。ある日、推し活帰りに同級生の真紘魁星と再会する。極度の潔癖症の真紘は女性にも触れることが出来ず、彼女もいないことを知ったるなは、己だけしか真紘は触れられないということに気づく。るな以外の女性に触れられない真紘と手っ取り早く性欲を満たしたいるなの利害は一致。るなは真紘へSEXの専属契約を提案するが───…!?　契約から始まるドタバタセックスライフ！</v>
      </c>
      <c r="W299" s="8"/>
      <c r="X299" s="8" t="str">
        <f>IFERROR(__xludf.DUMMYFUNCTION("""COMPUTED_VALUE"""),"有")</f>
        <v>有</v>
      </c>
      <c r="Y299" s="8" t="str">
        <f>IFERROR(__xludf.DUMMYFUNCTION("""COMPUTED_VALUE"""),"P5まで")</f>
        <v>P5まで</v>
      </c>
      <c r="Z299" s="7"/>
      <c r="AA299" s="7"/>
      <c r="AB299" s="7"/>
    </row>
    <row r="300" ht="15.75" customHeight="1">
      <c r="A300" s="8">
        <f>IFERROR(__xludf.DUMMYFUNCTION("""COMPUTED_VALUE"""),1522.0)</f>
        <v>1522</v>
      </c>
      <c r="B300" s="9" t="str">
        <f>IFERROR(__xludf.DUMMYFUNCTION("""COMPUTED_VALUE"""),"確定")</f>
        <v>確定</v>
      </c>
      <c r="C300" s="10">
        <f>IFERROR(__xludf.DUMMYFUNCTION("""COMPUTED_VALUE"""),44879.0)</f>
        <v>44879</v>
      </c>
      <c r="D300" s="10">
        <f>IFERROR(__xludf.DUMMYFUNCTION("""COMPUTED_VALUE"""),44901.0)</f>
        <v>44901</v>
      </c>
      <c r="E300" s="8">
        <f>IFERROR(__xludf.DUMMYFUNCTION("""COMPUTED_VALUE"""),258465.0)</f>
        <v>258465</v>
      </c>
      <c r="F300" s="9" t="str">
        <f>IFERROR(__xludf.DUMMYFUNCTION("""COMPUTED_VALUE"""),"シークレット・ネゴシエーション")</f>
        <v>シークレット・ネゴシエーション</v>
      </c>
      <c r="G300" s="16" t="str">
        <f>IFERROR(__xludf.DUMMYFUNCTION("""COMPUTED_VALUE"""),"1～20")</f>
        <v>1～20</v>
      </c>
      <c r="H300" s="8" t="str">
        <f>IFERROR(__xludf.DUMMYFUNCTION("""COMPUTED_VALUE"""),"gaetsaeng")</f>
        <v>gaetsaeng</v>
      </c>
      <c r="I300" s="8" t="str">
        <f>IFERROR(__xludf.DUMMYFUNCTION("""COMPUTED_VALUE"""),"BL")</f>
        <v>BL</v>
      </c>
      <c r="J300" s="8"/>
      <c r="K300" s="8"/>
      <c r="L300" s="8" t="str">
        <f>IFERROR(__xludf.DUMMYFUNCTION("""COMPUTED_VALUE"""),"NHNcomico")</f>
        <v>NHNcomico</v>
      </c>
      <c r="M300" s="12">
        <f>IFERROR(__xludf.DUMMYFUNCTION("""COMPUTED_VALUE"""),45286.0)</f>
        <v>45286</v>
      </c>
      <c r="N300" s="12">
        <f>IFERROR(__xludf.DUMMYFUNCTION("""COMPUTED_VALUE"""),44997.0)</f>
        <v>44997</v>
      </c>
      <c r="O300" s="11"/>
      <c r="P300" s="9" t="str">
        <f>IFERROR(__xludf.DUMMYFUNCTION("""COMPUTED_VALUE"""),"可")</f>
        <v>可</v>
      </c>
      <c r="Q300" s="8" t="str">
        <f>IFERROR(__xludf.DUMMYFUNCTION("""COMPUTED_VALUE"""),"広告コミットOK（11/24）&lt;BR&gt;")</f>
        <v>広告コミットOK（11/24）&lt;BR&gt;</v>
      </c>
      <c r="R300" s="9"/>
      <c r="S300" s="8" t="str">
        <f>IFERROR(__xludf.DUMMYFUNCTION("""COMPUTED_VALUE"""),"20221129_comico_シークレットネゴシエーション")</f>
        <v>20221129_comico_シークレットネゴシエーション</v>
      </c>
      <c r="T300" s="9"/>
      <c r="U300" s="9" t="str">
        <f>IFERROR(__xludf.DUMMYFUNCTION("""COMPUTED_VALUE"""),"©gaetsaeng / Daewon C.I. Inc.")</f>
        <v>©gaetsaeng / Daewon C.I. Inc.</v>
      </c>
      <c r="V300" s="8" t="str">
        <f>IFERROR(__xludf.DUMMYFUNCTION("""COMPUTED_VALUE"""),"国内屈指の大企業サムジョグループ会長であるウ・ジテクが腹上死し、ソホンは事件当時にウ会長と一緒にいたとして警察の取り調べを受ける。 後日、ソホンは自分が所属している会社の社長から突然の呼び出しを受けるが... 彼はソホンにある取引を提案、いや拒否できない脅迫をする。あの日の映像を見せながら... 。
")</f>
        <v>国内屈指の大企業サムジョグループ会長であるウ・ジテクが腹上死し、ソホンは事件当時にウ会長と一緒にいたとして警察の取り調べを受ける。 後日、ソホンは自分が所属している会社の社長から突然の呼び出しを受けるが... 彼はソホンにある取引を提案、いや拒否できない脅迫をする。あの日の映像を見せながら... 。
</v>
      </c>
      <c r="W300" s="8"/>
      <c r="X300" s="9" t="str">
        <f>IFERROR(__xludf.DUMMYFUNCTION("""COMPUTED_VALUE"""),"有")</f>
        <v>有</v>
      </c>
      <c r="Y300" s="8" t="str">
        <f>IFERROR(__xludf.DUMMYFUNCTION("""COMPUTED_VALUE"""),"1～3巻目０円
1～3巻目無料ストリーミング設定")</f>
        <v>1～3巻目０円
1～3巻目無料ストリーミング設定</v>
      </c>
      <c r="Z300" s="7"/>
      <c r="AA300" s="7"/>
      <c r="AB300" s="7"/>
    </row>
    <row r="301" ht="15.75" customHeight="1">
      <c r="A301" s="8">
        <f>IFERROR(__xludf.DUMMYFUNCTION("""COMPUTED_VALUE"""),1811.0)</f>
        <v>1811</v>
      </c>
      <c r="B301" s="9" t="str">
        <f>IFERROR(__xludf.DUMMYFUNCTION("""COMPUTED_VALUE"""),"確定")</f>
        <v>確定</v>
      </c>
      <c r="C301" s="10">
        <f>IFERROR(__xludf.DUMMYFUNCTION("""COMPUTED_VALUE"""),45001.0)</f>
        <v>45001</v>
      </c>
      <c r="D301" s="10">
        <f>IFERROR(__xludf.DUMMYFUNCTION("""COMPUTED_VALUE"""),45001.0)</f>
        <v>45001</v>
      </c>
      <c r="E301" s="14">
        <f>IFERROR(__xludf.DUMMYFUNCTION("""COMPUTED_VALUE"""),277429.0)</f>
        <v>277429</v>
      </c>
      <c r="F301" s="9" t="str">
        <f>IFERROR(__xludf.DUMMYFUNCTION("""COMPUTED_VALUE"""),"アレが噂のデカ杉くん！？")</f>
        <v>アレが噂のデカ杉くん！？</v>
      </c>
      <c r="G301" s="11" t="str">
        <f>IFERROR(__xludf.DUMMYFUNCTION("""COMPUTED_VALUE"""),"1~3")</f>
        <v>1~3</v>
      </c>
      <c r="H301" s="8" t="str">
        <f>IFERROR(__xludf.DUMMYFUNCTION("""COMPUTED_VALUE"""),"ナ縞")</f>
        <v>ナ縞</v>
      </c>
      <c r="I301" s="8" t="str">
        <f>IFERROR(__xludf.DUMMYFUNCTION("""COMPUTED_VALUE"""),"青年")</f>
        <v>青年</v>
      </c>
      <c r="J301" s="8"/>
      <c r="K301" s="8"/>
      <c r="L301" s="8" t="str">
        <f>IFERROR(__xludf.DUMMYFUNCTION("""COMPUTED_VALUE"""),"wwwave comics")</f>
        <v>wwwave comics</v>
      </c>
      <c r="M301" s="21">
        <f>IFERROR(__xludf.DUMMYFUNCTION("""COMPUTED_VALUE"""),45205.0)</f>
        <v>45205</v>
      </c>
      <c r="N301" s="21">
        <f>IFERROR(__xludf.DUMMYFUNCTION("""COMPUTED_VALUE"""),45233.0)</f>
        <v>45233</v>
      </c>
      <c r="O301" s="11"/>
      <c r="P301" s="9" t="str">
        <f>IFERROR(__xludf.DUMMYFUNCTION("""COMPUTED_VALUE"""),"可")</f>
        <v>可</v>
      </c>
      <c r="Q301" s="8" t="str">
        <f>IFERROR(__xludf.DUMMYFUNCTION("""COMPUTED_VALUE"""),"先行は確定&lt;BR&gt;コミックフェスタとの2社先行")</f>
        <v>先行は確定&lt;BR&gt;コミックフェスタとの2社先行</v>
      </c>
      <c r="R301" s="9"/>
      <c r="S301" s="8" t="str">
        <f>IFERROR(__xludf.DUMMYFUNCTION("""COMPUTED_VALUE"""),"検討用_20230316_ウェイブ_アレが噂のデカ杉くん！？")</f>
        <v>検討用_20230316_ウェイブ_アレが噂のデカ杉くん！？</v>
      </c>
      <c r="T301" s="9"/>
      <c r="U301" s="15" t="str">
        <f>IFERROR(__xludf.DUMMYFUNCTION("""COMPUTED_VALUE"""),"©ナ縞")</f>
        <v>©ナ縞</v>
      </c>
      <c r="V301" s="8" t="str">
        <f>IFERROR(__xludf.DUMMYFUNCTION("""COMPUTED_VALUE"""),"「私で良ければ、オカズにどうぞ」自らスカートをたくし上げる委員長…転生先は”性欲”が大正義の世界…！――”アレ”の大きさから「デカ杉」という不名誉なあだ名をつけられてしまった高杉くん。しかし、事故に遭い目覚めると…。いつもと変わらない日常だけど、俺を見る周囲の目が妙に熱っぽい？さらに、校門前で委員長が、股間に検査機を当ててきて…。「素晴らしい…大きさです」――二人きりの指導室。細くて綺麗な手がねっとりと刺激してくる…こんな世界なら、もうヤリまくるしかないだろ！")</f>
        <v>「私で良ければ、オカズにどうぞ」自らスカートをたくし上げる委員長…転生先は”性欲”が大正義の世界…！――”アレ”の大きさから「デカ杉」という不名誉なあだ名をつけられてしまった高杉くん。しかし、事故に遭い目覚めると…。いつもと変わらない日常だけど、俺を見る周囲の目が妙に熱っぽい？さらに、校門前で委員長が、股間に検査機を当ててきて…。「素晴らしい…大きさです」――二人きりの指導室。細くて綺麗な手がねっとりと刺激してくる…こんな世界なら、もうヤリまくるしかないだろ！</v>
      </c>
      <c r="W301" s="8"/>
      <c r="X301" s="8" t="str">
        <f>IFERROR(__xludf.DUMMYFUNCTION("""COMPUTED_VALUE"""),"有")</f>
        <v>有</v>
      </c>
      <c r="Y301" s="8" t="str">
        <f>IFERROR(__xludf.DUMMYFUNCTION("""COMPUTED_VALUE"""),"P15まで")</f>
        <v>P15まで</v>
      </c>
      <c r="Z301" s="7"/>
      <c r="AA301" s="7"/>
      <c r="AB301" s="7"/>
    </row>
    <row r="302" ht="15.75" customHeight="1">
      <c r="A302" s="8">
        <f>IFERROR(__xludf.DUMMYFUNCTION("""COMPUTED_VALUE"""),1813.0)</f>
        <v>1813</v>
      </c>
      <c r="B302" s="9" t="str">
        <f>IFERROR(__xludf.DUMMYFUNCTION("""COMPUTED_VALUE"""),"確定")</f>
        <v>確定</v>
      </c>
      <c r="C302" s="10">
        <f>IFERROR(__xludf.DUMMYFUNCTION("""COMPUTED_VALUE"""),45001.0)</f>
        <v>45001</v>
      </c>
      <c r="D302" s="10">
        <f>IFERROR(__xludf.DUMMYFUNCTION("""COMPUTED_VALUE"""),45001.0)</f>
        <v>45001</v>
      </c>
      <c r="E302" s="8">
        <f>IFERROR(__xludf.DUMMYFUNCTION("""COMPUTED_VALUE"""),272972.0)</f>
        <v>272972</v>
      </c>
      <c r="F302" s="9" t="str">
        <f>IFERROR(__xludf.DUMMYFUNCTION("""COMPUTED_VALUE"""),"デキる女のイキヌキ術")</f>
        <v>デキる女のイキヌキ術</v>
      </c>
      <c r="G302" s="11" t="str">
        <f>IFERROR(__xludf.DUMMYFUNCTION("""COMPUTED_VALUE"""),"1～3")</f>
        <v>1～3</v>
      </c>
      <c r="H302" s="8" t="str">
        <f>IFERROR(__xludf.DUMMYFUNCTION("""COMPUTED_VALUE"""),"梅宮こう")</f>
        <v>梅宮こう</v>
      </c>
      <c r="I302" s="8" t="str">
        <f>IFERROR(__xludf.DUMMYFUNCTION("""COMPUTED_VALUE"""),"青年")</f>
        <v>青年</v>
      </c>
      <c r="J302" s="8"/>
      <c r="K302" s="8"/>
      <c r="L302" s="8" t="str">
        <f>IFERROR(__xludf.DUMMYFUNCTION("""COMPUTED_VALUE"""),"wwwave comics")</f>
        <v>wwwave comics</v>
      </c>
      <c r="M302" s="12">
        <f>IFERROR(__xludf.DUMMYFUNCTION("""COMPUTED_VALUE"""),45156.0)</f>
        <v>45156</v>
      </c>
      <c r="N302" s="12">
        <f>IFERROR(__xludf.DUMMYFUNCTION("""COMPUTED_VALUE"""),45260.0)</f>
        <v>45260</v>
      </c>
      <c r="O302" s="11"/>
      <c r="P302" s="9" t="str">
        <f>IFERROR(__xludf.DUMMYFUNCTION("""COMPUTED_VALUE"""),"可")</f>
        <v>可</v>
      </c>
      <c r="Q302" s="8" t="str">
        <f>IFERROR(__xludf.DUMMYFUNCTION("""COMPUTED_VALUE"""),"先行は確定&lt;BR&gt;コミックフェスタとの2社先行")</f>
        <v>先行は確定&lt;BR&gt;コミックフェスタとの2社先行</v>
      </c>
      <c r="R302" s="9"/>
      <c r="S302" s="8" t="str">
        <f>IFERROR(__xludf.DUMMYFUNCTION("""COMPUTED_VALUE"""),"検討用_20230316_ウェイブ_デキる女のイキヌキ術")</f>
        <v>検討用_20230316_ウェイブ_デキる女のイキヌキ術</v>
      </c>
      <c r="T302" s="9"/>
      <c r="U302" s="9" t="str">
        <f>IFERROR(__xludf.DUMMYFUNCTION("""COMPUTED_VALUE"""),"©梅宮こう")</f>
        <v>©梅宮こう</v>
      </c>
      <c r="V302" s="8" t="str">
        <f>IFERROR(__xludf.DUMMYFUNCTION("""COMPUTED_VALUE"""),"「俺の業務は女性社員の性欲処理!?」普段は厳しくてクールなあの先輩もエッチな福利厚生を求め、甘く喘ぐ…！「一晩で7回抜いた経験があります！」就職面接の時にそう答えた三船が配属されたのは性処理課。全女性社員を満足させるのが使命…こんな仕事ありえない！童貞の三船は業務を拒否するが、美人の先輩にそそのかされ引き受けることに。そして最初の業務は面接の時に三船を睨みつけていた面接官の相手をすること!?――「さっさと私を満足させなさいよ」読むと明日から仕事が頑張れるオフィスエッチ漫画の決定版、ここに開幕！")</f>
        <v>「俺の業務は女性社員の性欲処理!?」普段は厳しくてクールなあの先輩もエッチな福利厚生を求め、甘く喘ぐ…！「一晩で7回抜いた経験があります！」就職面接の時にそう答えた三船が配属されたのは性処理課。全女性社員を満足させるのが使命…こんな仕事ありえない！童貞の三船は業務を拒否するが、美人の先輩にそそのかされ引き受けることに。そして最初の業務は面接の時に三船を睨みつけていた面接官の相手をすること!?――「さっさと私を満足させなさいよ」読むと明日から仕事が頑張れるオフィスエッチ漫画の決定版、ここに開幕！</v>
      </c>
      <c r="W302" s="8"/>
      <c r="X302" s="8" t="str">
        <f>IFERROR(__xludf.DUMMYFUNCTION("""COMPUTED_VALUE"""),"有")</f>
        <v>有</v>
      </c>
      <c r="Y302" s="8" t="str">
        <f>IFERROR(__xludf.DUMMYFUNCTION("""COMPUTED_VALUE"""),"P15まで")</f>
        <v>P15まで</v>
      </c>
      <c r="Z302" s="7"/>
      <c r="AA302" s="7"/>
      <c r="AB302" s="7"/>
    </row>
    <row r="303" ht="15.75" customHeight="1">
      <c r="A303" s="8">
        <f>IFERROR(__xludf.DUMMYFUNCTION("""COMPUTED_VALUE"""),1812.0)</f>
        <v>1812</v>
      </c>
      <c r="B303" s="9" t="str">
        <f>IFERROR(__xludf.DUMMYFUNCTION("""COMPUTED_VALUE"""),"確定")</f>
        <v>確定</v>
      </c>
      <c r="C303" s="10">
        <f>IFERROR(__xludf.DUMMYFUNCTION("""COMPUTED_VALUE"""),45001.0)</f>
        <v>45001</v>
      </c>
      <c r="D303" s="10">
        <f>IFERROR(__xludf.DUMMYFUNCTION("""COMPUTED_VALUE"""),45001.0)</f>
        <v>45001</v>
      </c>
      <c r="E303" s="14">
        <f>IFERROR(__xludf.DUMMYFUNCTION("""COMPUTED_VALUE"""),277430.0)</f>
        <v>277430</v>
      </c>
      <c r="F303" s="9" t="str">
        <f>IFERROR(__xludf.DUMMYFUNCTION("""COMPUTED_VALUE"""),"快感ビーチ！")</f>
        <v>快感ビーチ！</v>
      </c>
      <c r="G303" s="11" t="str">
        <f>IFERROR(__xludf.DUMMYFUNCTION("""COMPUTED_VALUE"""),"1～3")</f>
        <v>1～3</v>
      </c>
      <c r="H303" s="8" t="str">
        <f>IFERROR(__xludf.DUMMYFUNCTION("""COMPUTED_VALUE"""),"ユユミー")</f>
        <v>ユユミー</v>
      </c>
      <c r="I303" s="8" t="str">
        <f>IFERROR(__xludf.DUMMYFUNCTION("""COMPUTED_VALUE"""),"青年")</f>
        <v>青年</v>
      </c>
      <c r="J303" s="8"/>
      <c r="K303" s="8"/>
      <c r="L303" s="8" t="str">
        <f>IFERROR(__xludf.DUMMYFUNCTION("""COMPUTED_VALUE"""),"wwwave comics")</f>
        <v>wwwave comics</v>
      </c>
      <c r="M303" s="21">
        <f>IFERROR(__xludf.DUMMYFUNCTION("""COMPUTED_VALUE"""),45205.0)</f>
        <v>45205</v>
      </c>
      <c r="N303" s="21">
        <f>IFERROR(__xludf.DUMMYFUNCTION("""COMPUTED_VALUE"""),45233.0)</f>
        <v>45233</v>
      </c>
      <c r="O303" s="11"/>
      <c r="P303" s="9" t="str">
        <f>IFERROR(__xludf.DUMMYFUNCTION("""COMPUTED_VALUE"""),"可")</f>
        <v>可</v>
      </c>
      <c r="Q303" s="8" t="str">
        <f>IFERROR(__xludf.DUMMYFUNCTION("""COMPUTED_VALUE"""),"先行は確定&lt;BR&gt;コミックフェスタとの2社先行")</f>
        <v>先行は確定&lt;BR&gt;コミックフェスタとの2社先行</v>
      </c>
      <c r="R303" s="9"/>
      <c r="S303" s="8" t="str">
        <f>IFERROR(__xludf.DUMMYFUNCTION("""COMPUTED_VALUE"""),"検討用_20230316_ウェイブ_（仮）エロくなっちゃうビーチ")</f>
        <v>検討用_20230316_ウェイブ_（仮）エロくなっちゃうビーチ</v>
      </c>
      <c r="T303" s="9"/>
      <c r="U303" s="15" t="str">
        <f>IFERROR(__xludf.DUMMYFUNCTION("""COMPUTED_VALUE"""),"©ユユミー")</f>
        <v>©ユユミー</v>
      </c>
      <c r="V303" s="8" t="str">
        <f>IFERROR(__xludf.DUMMYFUNCTION("""COMPUTED_VALUE"""),"「水着の下…もっとよく見て…！」このビーチにいると、女の子はみんなシたくなる？大胆すぎる彼女たちとひと夏の魅惑ハーレム！――夏休み、盛里ヶ浜（さかりがはま）にある海の家でバイト＆ナンパ目的でやってきた京輔。このクソ熱いなか、厚着して水着姿を見せようとしない幼馴染の綾音とは、会ってすぐに一触即発の危機。だけど、…ビーチの魔力で発情してしまった綾音。誰が来るかわからない浜辺で、全裸になって俺を誘惑してくる。日差しに照らされて白く輝く豊満な肢体。「見てるだけでいいの？」なんて聞かれたら、もう理性なんて抑えられな"&amp;"い！")</f>
        <v>「水着の下…もっとよく見て…！」このビーチにいると、女の子はみんなシたくなる？大胆すぎる彼女たちとひと夏の魅惑ハーレム！――夏休み、盛里ヶ浜（さかりがはま）にある海の家でバイト＆ナンパ目的でやってきた京輔。このクソ熱いなか、厚着して水着姿を見せようとしない幼馴染の綾音とは、会ってすぐに一触即発の危機。だけど、…ビーチの魔力で発情してしまった綾音。誰が来るかわからない浜辺で、全裸になって俺を誘惑してくる。日差しに照らされて白く輝く豊満な肢体。「見てるだけでいいの？」なんて聞かれたら、もう理性なんて抑えられない！</v>
      </c>
      <c r="W303" s="8"/>
      <c r="X303" s="14" t="str">
        <f>IFERROR(__xludf.DUMMYFUNCTION("""COMPUTED_VALUE"""),"有")</f>
        <v>有</v>
      </c>
      <c r="Y303" s="8" t="str">
        <f>IFERROR(__xludf.DUMMYFUNCTION("""COMPUTED_VALUE"""),"P13まで")</f>
        <v>P13まで</v>
      </c>
      <c r="Z303" s="7"/>
      <c r="AA303" s="7"/>
      <c r="AB303" s="7"/>
    </row>
    <row r="304" ht="15.75" customHeight="1">
      <c r="A304" s="8">
        <f>IFERROR(__xludf.DUMMYFUNCTION("""COMPUTED_VALUE"""),1666.0)</f>
        <v>1666</v>
      </c>
      <c r="B304" s="9" t="str">
        <f>IFERROR(__xludf.DUMMYFUNCTION("""COMPUTED_VALUE"""),"確定")</f>
        <v>確定</v>
      </c>
      <c r="C304" s="10">
        <f>IFERROR(__xludf.DUMMYFUNCTION("""COMPUTED_VALUE"""),44945.0)</f>
        <v>44945</v>
      </c>
      <c r="D304" s="10">
        <f>IFERROR(__xludf.DUMMYFUNCTION("""COMPUTED_VALUE"""),44953.0)</f>
        <v>44953</v>
      </c>
      <c r="E304" s="8">
        <f>IFERROR(__xludf.DUMMYFUNCTION("""COMPUTED_VALUE"""),266304.0)</f>
        <v>266304</v>
      </c>
      <c r="F304" s="9" t="str">
        <f>IFERROR(__xludf.DUMMYFUNCTION("""COMPUTED_VALUE"""),"偽装結婚じゃなかったの!? ～世界一ありえない人に溺愛されてます～")</f>
        <v>偽装結婚じゃなかったの!? ～世界一ありえない人に溺愛されてます～</v>
      </c>
      <c r="G304" s="11" t="str">
        <f>IFERROR(__xludf.DUMMYFUNCTION("""COMPUTED_VALUE"""),"1～3")</f>
        <v>1～3</v>
      </c>
      <c r="H304" s="8" t="str">
        <f>IFERROR(__xludf.DUMMYFUNCTION("""COMPUTED_VALUE"""),"市居ちい")</f>
        <v>市居ちい</v>
      </c>
      <c r="I304" s="8" t="str">
        <f>IFERROR(__xludf.DUMMYFUNCTION("""COMPUTED_VALUE"""),"TL")</f>
        <v>TL</v>
      </c>
      <c r="J304" s="8"/>
      <c r="K304" s="8"/>
      <c r="L304" s="8" t="str">
        <f>IFERROR(__xludf.DUMMYFUNCTION("""COMPUTED_VALUE"""),"リブレ")</f>
        <v>リブレ</v>
      </c>
      <c r="M304" s="12">
        <f>IFERROR(__xludf.DUMMYFUNCTION("""COMPUTED_VALUE"""),45036.0)</f>
        <v>45036</v>
      </c>
      <c r="N304" s="12">
        <f>IFERROR(__xludf.DUMMYFUNCTION("""COMPUTED_VALUE"""),45063.0)</f>
        <v>45063</v>
      </c>
      <c r="O304" s="11"/>
      <c r="P304" s="9" t="str">
        <f>IFERROR(__xludf.DUMMYFUNCTION("""COMPUTED_VALUE"""),"可")</f>
        <v>可</v>
      </c>
      <c r="Q304" s="8" t="str">
        <f>IFERROR(__xludf.DUMMYFUNCTION("""COMPUTED_VALUE"""),"広告コミットOK（1/25）&lt;BR&gt;素材更新しました（1/27）&lt;BR&gt;&lt;BR&gt;")</f>
        <v>広告コミットOK（1/25）&lt;BR&gt;素材更新しました（1/27）&lt;BR&gt;&lt;BR&gt;</v>
      </c>
      <c r="R304" s="9"/>
      <c r="S304" s="8" t="str">
        <f>IFERROR(__xludf.DUMMYFUNCTION("""COMPUTED_VALUE"""),"20230127_リブレ_偽装結婚じゃなかったの!～世界一ありえない人に溺愛されてます～")</f>
        <v>20230127_リブレ_偽装結婚じゃなかったの!～世界一ありえない人に溺愛されてます～</v>
      </c>
      <c r="T304" s="9"/>
      <c r="U304" s="9" t="str">
        <f>IFERROR(__xludf.DUMMYFUNCTION("""COMPUTED_VALUE"""),"©市居ちい/e乙蜜コミックス")</f>
        <v>©市居ちい/e乙蜜コミックス</v>
      </c>
      <c r="V304" s="8" t="str">
        <f>IFERROR(__xludf.DUMMYFUNCTION("""COMPUTED_VALUE"""),"「すご…。日和子ちゃんのナカ、びくびくしてる」
偽装結婚のはずなのに、「そこダメッ、気持ちいいっ…」何度もイかされて…！
兄の親友・衛輔から「僕と結婚してください」と突然求婚された、彼氏いない歴＝年齢の日和子（ひよこ）。でも衛輔くんは、わたしの兄に想いを寄せているはずなのに？　聞けば衛輔には、断りたいお見合い話があるらしい。つまり偽の婚約者。それなら…
「いいよ！」と快諾した日和子に、「本当に嬉しいよ」と照れながら微笑む衛輔。日和子はその笑顔にドキっとしちゃったり、なぜか婚約指輪のサイズがぴったりだったり"&amp;"、ベッドで「敏感なのもかわいいよ」とたくさん気持ちよくさせられちゃって…偽装結婚ってこんなことするの!?
Hなおにいさんにカラダも心も溺愛される、とろとろエッチまんさいラブ！")</f>
        <v>「すご…。日和子ちゃんのナカ、びくびくしてる」
偽装結婚のはずなのに、「そこダメッ、気持ちいいっ…」何度もイかされて…！
兄の親友・衛輔から「僕と結婚してください」と突然求婚された、彼氏いない歴＝年齢の日和子（ひよこ）。でも衛輔くんは、わたしの兄に想いを寄せているはずなのに？　聞けば衛輔には、断りたいお見合い話があるらしい。つまり偽の婚約者。それなら…
「いいよ！」と快諾した日和子に、「本当に嬉しいよ」と照れながら微笑む衛輔。日和子はその笑顔にドキっとしちゃったり、なぜか婚約指輪のサイズがぴったりだったり、ベッドで「敏感なのもかわいいよ」とたくさん気持ちよくさせられちゃって…偽装結婚ってこんなことするの!?
Hなおにいさんにカラダも心も溺愛される、とろとろエッチまんさいラブ！</v>
      </c>
      <c r="W304" s="8"/>
      <c r="X304" s="8" t="str">
        <f>IFERROR(__xludf.DUMMYFUNCTION("""COMPUTED_VALUE"""),"有")</f>
        <v>有</v>
      </c>
      <c r="Y304" s="8" t="str">
        <f>IFERROR(__xludf.DUMMYFUNCTION("""COMPUTED_VALUE"""),"P15まで")</f>
        <v>P15まで</v>
      </c>
      <c r="Z304" s="7"/>
      <c r="AA304" s="7"/>
      <c r="AB304" s="7"/>
    </row>
    <row r="305" ht="15.75" customHeight="1">
      <c r="A305" s="8">
        <f>IFERROR(__xludf.DUMMYFUNCTION("""COMPUTED_VALUE"""),1582.0)</f>
        <v>1582</v>
      </c>
      <c r="B305" s="9" t="str">
        <f>IFERROR(__xludf.DUMMYFUNCTION("""COMPUTED_VALUE"""),"確定")</f>
        <v>確定</v>
      </c>
      <c r="C305" s="10">
        <f>IFERROR(__xludf.DUMMYFUNCTION("""COMPUTED_VALUE"""),44902.0)</f>
        <v>44902</v>
      </c>
      <c r="D305" s="10">
        <f>IFERROR(__xludf.DUMMYFUNCTION("""COMPUTED_VALUE"""),44956.0)</f>
        <v>44956</v>
      </c>
      <c r="E305" s="8" t="str">
        <f>IFERROR(__xludf.DUMMYFUNCTION("""COMPUTED_VALUE"""),"ー")</f>
        <v>ー</v>
      </c>
      <c r="F305" s="9" t="str">
        <f>IFERROR(__xludf.DUMMYFUNCTION("""COMPUTED_VALUE"""),"黒髪皇女は離婚したい")</f>
        <v>黒髪皇女は離婚したい</v>
      </c>
      <c r="G305" s="11" t="str">
        <f>IFERROR(__xludf.DUMMYFUNCTION("""COMPUTED_VALUE"""),"1~50")</f>
        <v>1~50</v>
      </c>
      <c r="H305" s="8" t="str">
        <f>IFERROR(__xludf.DUMMYFUNCTION("""COMPUTED_VALUE"""),"PANG-E, ELLIANYANG")</f>
        <v>PANG-E, ELLIANYANG</v>
      </c>
      <c r="I305" s="8" t="str">
        <f>IFERROR(__xludf.DUMMYFUNCTION("""COMPUTED_VALUE"""),"女性")</f>
        <v>女性</v>
      </c>
      <c r="J305" s="8"/>
      <c r="K305" s="8"/>
      <c r="L305" s="8" t="str">
        <f>IFERROR(__xludf.DUMMYFUNCTION("""COMPUTED_VALUE"""),"NHNcomico")</f>
        <v>NHNcomico</v>
      </c>
      <c r="M305" s="12" t="str">
        <f>IFERROR(__xludf.DUMMYFUNCTION("""COMPUTED_VALUE"""),"配信取り下げ")</f>
        <v>配信取り下げ</v>
      </c>
      <c r="N305" s="12">
        <f>IFERROR(__xludf.DUMMYFUNCTION("""COMPUTED_VALUE"""),45137.0)</f>
        <v>45137</v>
      </c>
      <c r="O305" s="11"/>
      <c r="P305" s="9" t="str">
        <f>IFERROR(__xludf.DUMMYFUNCTION("""COMPUTED_VALUE"""),"可")</f>
        <v>可</v>
      </c>
      <c r="Q305" s="8" t="str">
        <f>IFERROR(__xludf.DUMMYFUNCTION("""COMPUTED_VALUE"""),"広告コミットOK（12/9）&lt;BR&gt;")</f>
        <v>広告コミットOK（12/9）&lt;BR&gt;</v>
      </c>
      <c r="R305" s="9"/>
      <c r="S305" s="8" t="str">
        <f>IFERROR(__xludf.DUMMYFUNCTION("""COMPUTED_VALUE"""),"20221214_comico_黒髪皇女は離婚したい")</f>
        <v>20221214_comico_黒髪皇女は離婚したい</v>
      </c>
      <c r="T305" s="9"/>
      <c r="U305" s="9" t="str">
        <f>IFERROR(__xludf.DUMMYFUNCTION("""COMPUTED_VALUE"""),"ⒸPang-e, Ellianyang")</f>
        <v>ⒸPang-e, Ellianyang</v>
      </c>
      <c r="V305" s="8"/>
      <c r="W305" s="8"/>
      <c r="X305" s="8"/>
      <c r="Y305" s="8"/>
      <c r="Z305" s="7"/>
      <c r="AA305" s="7"/>
      <c r="AB305" s="7"/>
    </row>
    <row r="306" ht="15.75" customHeight="1">
      <c r="A306" s="8">
        <f>IFERROR(__xludf.DUMMYFUNCTION("""COMPUTED_VALUE"""),1814.0)</f>
        <v>1814</v>
      </c>
      <c r="B306" s="9" t="str">
        <f>IFERROR(__xludf.DUMMYFUNCTION("""COMPUTED_VALUE"""),"確定")</f>
        <v>確定</v>
      </c>
      <c r="C306" s="10">
        <f>IFERROR(__xludf.DUMMYFUNCTION("""COMPUTED_VALUE"""),45001.0)</f>
        <v>45001</v>
      </c>
      <c r="D306" s="10">
        <f>IFERROR(__xludf.DUMMYFUNCTION("""COMPUTED_VALUE"""),45001.0)</f>
        <v>45001</v>
      </c>
      <c r="E306" s="14">
        <f>IFERROR(__xludf.DUMMYFUNCTION("""COMPUTED_VALUE"""),275308.0)</f>
        <v>275308</v>
      </c>
      <c r="F306" s="9" t="str">
        <f>IFERROR(__xludf.DUMMYFUNCTION("""COMPUTED_VALUE"""),"午前0時、とけあう熱～カラダが覚えてる運命のシンデレラ")</f>
        <v>午前0時、とけあう熱～カラダが覚えてる運命のシンデレラ</v>
      </c>
      <c r="G306" s="11" t="str">
        <f>IFERROR(__xludf.DUMMYFUNCTION("""COMPUTED_VALUE"""),"1～3")</f>
        <v>1～3</v>
      </c>
      <c r="H306" s="8" t="str">
        <f>IFERROR(__xludf.DUMMYFUNCTION("""COMPUTED_VALUE"""),"由葵るゆ")</f>
        <v>由葵るゆ</v>
      </c>
      <c r="I306" s="8" t="str">
        <f>IFERROR(__xludf.DUMMYFUNCTION("""COMPUTED_VALUE"""),"TL")</f>
        <v>TL</v>
      </c>
      <c r="J306" s="8"/>
      <c r="K306" s="8"/>
      <c r="L306" s="8" t="str">
        <f>IFERROR(__xludf.DUMMYFUNCTION("""COMPUTED_VALUE"""),"スクリーモ")</f>
        <v>スクリーモ</v>
      </c>
      <c r="M306" s="21">
        <f>IFERROR(__xludf.DUMMYFUNCTION("""COMPUTED_VALUE"""),45184.0)</f>
        <v>45184</v>
      </c>
      <c r="N306" s="12">
        <f>IFERROR(__xludf.DUMMYFUNCTION("""COMPUTED_VALUE"""),45288.70833333333)</f>
        <v>45288.70833</v>
      </c>
      <c r="O306" s="11"/>
      <c r="P306" s="9" t="str">
        <f>IFERROR(__xludf.DUMMYFUNCTION("""COMPUTED_VALUE"""),"否")</f>
        <v>否</v>
      </c>
      <c r="Q306" s="8" t="str">
        <f>IFERROR(__xludf.DUMMYFUNCTION("""COMPUTED_VALUE"""),"先行は確定&lt;BR&gt;コミックフェスタとの2社先行")</f>
        <v>先行は確定&lt;BR&gt;コミックフェスタとの2社先行</v>
      </c>
      <c r="R306" s="9"/>
      <c r="S306" s="8" t="str">
        <f>IFERROR(__xludf.DUMMYFUNCTION("""COMPUTED_VALUE"""),"検討用_20230316_ウェイブ_(仮)もう一度シたらわかるシンデレラ")</f>
        <v>検討用_20230316_ウェイブ_(仮)もう一度シたらわかるシンデレラ</v>
      </c>
      <c r="T306" s="9"/>
      <c r="U306" s="15" t="str">
        <f>IFERROR(__xludf.DUMMYFUNCTION("""COMPUTED_VALUE"""),"©由葵るゆ")</f>
        <v>©由葵るゆ</v>
      </c>
      <c r="V306" s="8" t="str">
        <f>IFERROR(__xludf.DUMMYFUNCTION("""COMPUTED_VALUE"""),"「もう一度シたら、わかるだろう？」この声、息遣い、間違いない。身体が覚えている…この人が…あの日舞踏会でシた運命の相手！――義母と義姉に虐げられ生きてきたメル。魔法使いなんていない。運命は自分で変えてみせる！決意して参加した仮面舞踏会。そこで彼女は華麗な紳士に出会い、惹かれていく。「君は今宵見た誰よりも美しい」お互いの熱が気持ちよくとけあい、結ばれる2人。だけど、その時、12時の鐘が鳴って…――残されたのはボロボロの靴だけ。たった一つだけお互いを確かめる方法は、あの夜をやり直すこと…")</f>
        <v>「もう一度シたら、わかるだろう？」この声、息遣い、間違いない。身体が覚えている…この人が…あの日舞踏会でシた運命の相手！――義母と義姉に虐げられ生きてきたメル。魔法使いなんていない。運命は自分で変えてみせる！決意して参加した仮面舞踏会。そこで彼女は華麗な紳士に出会い、惹かれていく。「君は今宵見た誰よりも美しい」お互いの熱が気持ちよくとけあい、結ばれる2人。だけど、その時、12時の鐘が鳴って…――残されたのはボロボロの靴だけ。たった一つだけお互いを確かめる方法は、あの夜をやり直すこと…</v>
      </c>
      <c r="W306" s="8"/>
      <c r="X306" s="8"/>
      <c r="Y306" s="8"/>
      <c r="Z306" s="7"/>
      <c r="AA306" s="7"/>
      <c r="AB306" s="7"/>
    </row>
    <row r="307" ht="15.75" customHeight="1">
      <c r="A307" s="8">
        <f>IFERROR(__xludf.DUMMYFUNCTION("""COMPUTED_VALUE"""),1655.0)</f>
        <v>1655</v>
      </c>
      <c r="B307" s="9" t="str">
        <f>IFERROR(__xludf.DUMMYFUNCTION("""COMPUTED_VALUE"""),"確定")</f>
        <v>確定</v>
      </c>
      <c r="C307" s="10">
        <f>IFERROR(__xludf.DUMMYFUNCTION("""COMPUTED_VALUE"""),44942.0)</f>
        <v>44942</v>
      </c>
      <c r="D307" s="10">
        <f>IFERROR(__xludf.DUMMYFUNCTION("""COMPUTED_VALUE"""),45034.0)</f>
        <v>45034</v>
      </c>
      <c r="E307" s="8">
        <f>IFERROR(__xludf.DUMMYFUNCTION("""COMPUTED_VALUE"""),267620.0)</f>
        <v>267620</v>
      </c>
      <c r="F307" s="9" t="str">
        <f>IFERROR(__xludf.DUMMYFUNCTION("""COMPUTED_VALUE"""),"別れ路に知るは愛【タテヨミ】")</f>
        <v>別れ路に知るは愛【タテヨミ】</v>
      </c>
      <c r="G307" s="11" t="str">
        <f>IFERROR(__xludf.DUMMYFUNCTION("""COMPUTED_VALUE"""),"1～30")</f>
        <v>1～30</v>
      </c>
      <c r="H307" s="8" t="str">
        <f>IFERROR(__xludf.DUMMYFUNCTION("""COMPUTED_VALUE"""),"Aunt Robin /Danbao /Crazy Rind")</f>
        <v>Aunt Robin /Danbao /Crazy Rind</v>
      </c>
      <c r="I307" s="8" t="str">
        <f>IFERROR(__xludf.DUMMYFUNCTION("""COMPUTED_VALUE"""),"BL")</f>
        <v>BL</v>
      </c>
      <c r="J307" s="8"/>
      <c r="K307" s="8"/>
      <c r="L307" s="8" t="str">
        <f>IFERROR(__xludf.DUMMYFUNCTION("""COMPUTED_VALUE"""),"ComiJoy")</f>
        <v>ComiJoy</v>
      </c>
      <c r="M307" s="12">
        <f>IFERROR(__xludf.DUMMYFUNCTION("""COMPUTED_VALUE"""),45053.0)</f>
        <v>45053</v>
      </c>
      <c r="N307" s="12">
        <f>IFERROR(__xludf.DUMMYFUNCTION("""COMPUTED_VALUE"""),45087.0)</f>
        <v>45087</v>
      </c>
      <c r="O307" s="11"/>
      <c r="P307" s="9" t="str">
        <f>IFERROR(__xludf.DUMMYFUNCTION("""COMPUTED_VALUE"""),"可")</f>
        <v>可</v>
      </c>
      <c r="Q307" s="8" t="str">
        <f>IFERROR(__xludf.DUMMYFUNCTION("""COMPUTED_VALUE"""),"広告コミットOK（1/20）&lt;BR&gt;&lt;BR&gt;1～20巻までの素材で制作希望（4/18）")</f>
        <v>広告コミットOK（1/20）&lt;BR&gt;&lt;BR&gt;1～20巻までの素材で制作希望（4/18）</v>
      </c>
      <c r="R307" s="9"/>
      <c r="S307" s="8" t="str">
        <f>IFERROR(__xludf.DUMMYFUNCTION("""COMPUTED_VALUE"""),"20230418_Comijoy_別れ路に知るは愛")</f>
        <v>20230418_Comijoy_別れ路に知るは愛</v>
      </c>
      <c r="T307" s="9"/>
      <c r="U307" s="9" t="str">
        <f>IFERROR(__xludf.DUMMYFUNCTION("""COMPUTED_VALUE"""),"©BILIBILI COMICS /Aunt Robin /Danbao /Crazy Rind")</f>
        <v>©BILIBILI COMICS /Aunt Robin /Danbao /Crazy Rind</v>
      </c>
      <c r="V307" s="8" t="str">
        <f>IFERROR(__xludf.DUMMYFUNCTION("""COMPUTED_VALUE"""),"この物語は別れから始まる――
俳優の庭田夏希（にわだ なつき）とファンの蘇我言哉（そが ことや）は、とあるイベントがきっかけで急接近する。しかし愛に飢えながらもそれを拒絶する夏希に、振り回され続ける言哉だった。そしてとうとう突き付けられた離婚の二文字。
失ってから気付く愛に後悔を抱えて、夏希は過去の傷と向き合っていく……二人の関係はどうなるのか、乞うご期待！
")</f>
        <v>この物語は別れから始まる――
俳優の庭田夏希（にわだ なつき）とファンの蘇我言哉（そが ことや）は、とあるイベントがきっかけで急接近する。しかし愛に飢えながらもそれを拒絶する夏希に、振り回され続ける言哉だった。そしてとうとう突き付けられた離婚の二文字。
失ってから気付く愛に後悔を抱えて、夏希は過去の傷と向き合っていく……二人の関係はどうなるのか、乞うご期待！
</v>
      </c>
      <c r="W307" s="8"/>
      <c r="X307" s="8" t="str">
        <f>IFERROR(__xludf.DUMMYFUNCTION("""COMPUTED_VALUE"""),"有")</f>
        <v>有</v>
      </c>
      <c r="Y307" s="8" t="str">
        <f>IFERROR(__xludf.DUMMYFUNCTION("""COMPUTED_VALUE"""),"6/10まで1～5巻無料")</f>
        <v>6/10まで1～5巻無料</v>
      </c>
      <c r="Z307" s="7"/>
      <c r="AA307" s="7"/>
      <c r="AB307" s="7"/>
    </row>
    <row r="308" ht="15.75" customHeight="1">
      <c r="A308" s="8">
        <f>IFERROR(__xludf.DUMMYFUNCTION("""COMPUTED_VALUE"""),1799.0)</f>
        <v>1799</v>
      </c>
      <c r="B308" s="9" t="str">
        <f>IFERROR(__xludf.DUMMYFUNCTION("""COMPUTED_VALUE"""),"確定")</f>
        <v>確定</v>
      </c>
      <c r="C308" s="10">
        <f>IFERROR(__xludf.DUMMYFUNCTION("""COMPUTED_VALUE"""),44998.0)</f>
        <v>44998</v>
      </c>
      <c r="D308" s="10">
        <f>IFERROR(__xludf.DUMMYFUNCTION("""COMPUTED_VALUE"""),45030.0)</f>
        <v>45030</v>
      </c>
      <c r="E308" s="8">
        <f>IFERROR(__xludf.DUMMYFUNCTION("""COMPUTED_VALUE"""),268859.0)</f>
        <v>268859</v>
      </c>
      <c r="F308" s="9" t="str">
        <f>IFERROR(__xludf.DUMMYFUNCTION("""COMPUTED_VALUE"""),"政略結婚でも恋したい！〜惚れ薬を飲んだら婚約者が肉食系に豹変しまして〜")</f>
        <v>政略結婚でも恋したい！〜惚れ薬を飲んだら婚約者が肉食系に豹変しまして〜</v>
      </c>
      <c r="G308" s="11" t="str">
        <f>IFERROR(__xludf.DUMMYFUNCTION("""COMPUTED_VALUE"""),"1～3")</f>
        <v>1～3</v>
      </c>
      <c r="H308" s="8" t="str">
        <f>IFERROR(__xludf.DUMMYFUNCTION("""COMPUTED_VALUE"""),"井野之せち")</f>
        <v>井野之せち</v>
      </c>
      <c r="I308" s="8" t="str">
        <f>IFERROR(__xludf.DUMMYFUNCTION("""COMPUTED_VALUE"""),"TL")</f>
        <v>TL</v>
      </c>
      <c r="J308" s="8"/>
      <c r="K308" s="8"/>
      <c r="L308" s="8" t="str">
        <f>IFERROR(__xludf.DUMMYFUNCTION("""COMPUTED_VALUE"""),"MUGENUP")</f>
        <v>MUGENUP</v>
      </c>
      <c r="M308" s="12">
        <f>IFERROR(__xludf.DUMMYFUNCTION("""COMPUTED_VALUE"""),45073.0)</f>
        <v>45073</v>
      </c>
      <c r="N308" s="12">
        <f>IFERROR(__xludf.DUMMYFUNCTION("""COMPUTED_VALUE"""),45103.0)</f>
        <v>45103</v>
      </c>
      <c r="O308" s="11"/>
      <c r="P308" s="9" t="str">
        <f>IFERROR(__xludf.DUMMYFUNCTION("""COMPUTED_VALUE"""),"可")</f>
        <v>可</v>
      </c>
      <c r="Q308" s="8" t="str">
        <f>IFERROR(__xludf.DUMMYFUNCTION("""COMPUTED_VALUE"""),"広告コミットOK（3/16）&lt;BR&gt;")</f>
        <v>広告コミットOK（3/16）&lt;BR&gt;</v>
      </c>
      <c r="R308" s="9" t="str">
        <f>IFERROR(__xludf.DUMMYFUNCTION("""COMPUTED_VALUE"""),"納品済み（素材フォルダに格納）")</f>
        <v>納品済み（素材フォルダに格納）</v>
      </c>
      <c r="S308" s="8" t="str">
        <f>IFERROR(__xludf.DUMMYFUNCTION("""COMPUTED_VALUE"""),"20230313_MUGENUP_ 政略結婚でも恋したい！〜惚れ薬を飲んだら婚約者が肉食系に豹変しまして〜")</f>
        <v>20230313_MUGENUP_ 政略結婚でも恋したい！〜惚れ薬を飲んだら婚約者が肉食系に豹変しまして〜</v>
      </c>
      <c r="T308" s="9"/>
      <c r="U308" s="9" t="str">
        <f>IFERROR(__xludf.DUMMYFUNCTION("""COMPUTED_VALUE"""),"(C)井野之せち／MUGENUP")</f>
        <v>(C)井野之せち／MUGENUP</v>
      </c>
      <c r="V308" s="8" t="str">
        <f>IFERROR(__xludf.DUMMYFUNCTION("""COMPUTED_VALUE"""),"貴族の子息子女が通うラファール魔法学院。その学院の中でひときわ目立つ2人がいた。アーノルド・リライン公爵令息と、ハーリィ・ラシュテル伯爵令嬢である。眉目秀麗で成績優秀な2人は幼馴染であり、家同士が決めた政略結婚の相手だった。しかし、お互い幼い頃から知っているためか、なかなか恋愛感情まで発展しない。幸せな結婚生活に憧れるハーリィは、アーノルドとの仲を深めるため、『惚れ薬』を使って“恋”しようと試みるが……。
『惚れ薬』から始まる恋もある!?　じれったい男女が織り成す、むずきゅんラブコメディ！")</f>
        <v>貴族の子息子女が通うラファール魔法学院。その学院の中でひときわ目立つ2人がいた。アーノルド・リライン公爵令息と、ハーリィ・ラシュテル伯爵令嬢である。眉目秀麗で成績優秀な2人は幼馴染であり、家同士が決めた政略結婚の相手だった。しかし、お互い幼い頃から知っているためか、なかなか恋愛感情まで発展しない。幸せな結婚生活に憧れるハーリィは、アーノルドとの仲を深めるため、『惚れ薬』を使って“恋”しようと試みるが……。
『惚れ薬』から始まる恋もある!?　じれったい男女が織り成す、むずきゅんラブコメディ！</v>
      </c>
      <c r="W308" s="8"/>
      <c r="X308" s="8" t="str">
        <f>IFERROR(__xludf.DUMMYFUNCTION("""COMPUTED_VALUE"""),"有")</f>
        <v>有</v>
      </c>
      <c r="Y308" s="8" t="str">
        <f>IFERROR(__xludf.DUMMYFUNCTION("""COMPUTED_VALUE"""),"P7まで")</f>
        <v>P7まで</v>
      </c>
      <c r="Z308" s="7"/>
      <c r="AA308" s="7"/>
      <c r="AB308" s="7"/>
    </row>
    <row r="309" ht="15.75" customHeight="1">
      <c r="A309" s="8">
        <f>IFERROR(__xludf.DUMMYFUNCTION("""COMPUTED_VALUE"""),1847.0)</f>
        <v>1847</v>
      </c>
      <c r="B309" s="9" t="str">
        <f>IFERROR(__xludf.DUMMYFUNCTION("""COMPUTED_VALUE"""),"確定")</f>
        <v>確定</v>
      </c>
      <c r="C309" s="10">
        <f>IFERROR(__xludf.DUMMYFUNCTION("""COMPUTED_VALUE"""),45015.0)</f>
        <v>45015</v>
      </c>
      <c r="D309" s="10">
        <f>IFERROR(__xludf.DUMMYFUNCTION("""COMPUTED_VALUE"""),45030.0)</f>
        <v>45030</v>
      </c>
      <c r="E309" s="8">
        <f>IFERROR(__xludf.DUMMYFUNCTION("""COMPUTED_VALUE"""),267602.0)</f>
        <v>267602</v>
      </c>
      <c r="F309" s="9" t="str">
        <f>IFERROR(__xludf.DUMMYFUNCTION("""COMPUTED_VALUE"""),"シーメルトラバー【分冊版】")</f>
        <v>シーメルトラバー【分冊版】</v>
      </c>
      <c r="G309" s="11">
        <f>IFERROR(__xludf.DUMMYFUNCTION("""COMPUTED_VALUE"""),1.0)</f>
        <v>1</v>
      </c>
      <c r="H309" s="8" t="str">
        <f>IFERROR(__xludf.DUMMYFUNCTION("""COMPUTED_VALUE"""),"かざみ幸")</f>
        <v>かざみ幸</v>
      </c>
      <c r="I309" s="8" t="str">
        <f>IFERROR(__xludf.DUMMYFUNCTION("""COMPUTED_VALUE"""),"BL")</f>
        <v>BL</v>
      </c>
      <c r="J309" s="8"/>
      <c r="K309" s="8"/>
      <c r="L309" s="8" t="str">
        <f>IFERROR(__xludf.DUMMYFUNCTION("""COMPUTED_VALUE"""),"笠倉出版社")</f>
        <v>笠倉出版社</v>
      </c>
      <c r="M309" s="12">
        <f>IFERROR(__xludf.DUMMYFUNCTION("""COMPUTED_VALUE"""),45058.0)</f>
        <v>45058</v>
      </c>
      <c r="N309" s="12">
        <f>IFERROR(__xludf.DUMMYFUNCTION("""COMPUTED_VALUE"""),45085.0)</f>
        <v>45085</v>
      </c>
      <c r="O309" s="11"/>
      <c r="P309" s="9" t="str">
        <f>IFERROR(__xludf.DUMMYFUNCTION("""COMPUTED_VALUE"""),"可")</f>
        <v>可</v>
      </c>
      <c r="Q309" s="8" t="str">
        <f>IFERROR(__xludf.DUMMYFUNCTION("""COMPUTED_VALUE"""),"広告コミットOK（3/31）&lt;BR&gt;獣人系BL作品です！")</f>
        <v>広告コミットOK（3/31）&lt;BR&gt;獣人系BL作品です！</v>
      </c>
      <c r="R309" s="9"/>
      <c r="S309" s="8" t="str">
        <f>IFERROR(__xludf.DUMMYFUNCTION("""COMPUTED_VALUE"""),"20230414_笠倉出版社_シーメルトラバー【分冊版】")</f>
        <v>20230414_笠倉出版社_シーメルトラバー【分冊版】</v>
      </c>
      <c r="T309" s="9"/>
      <c r="U309" s="9" t="str">
        <f>IFERROR(__xludf.DUMMYFUNCTION("""COMPUTED_VALUE"""),"©かざみ幸/笠倉出版社")</f>
        <v>©かざみ幸/笠倉出版社</v>
      </c>
      <c r="V309" s="8" t="str">
        <f>IFERROR(__xludf.DUMMYFUNCTION("""COMPUTED_VALUE"""),"――ルタと呼ばれる新人類が生まれた。動物の遺伝子を持つ彼らは徐々に人口を増やし、それに比例して人間たちの数は減っていった。ルタであるエルネティスは希少な存在となった人間を性的な道具やペットのように扱う同族たちにも、抵抗することなく諦めてしまう人間たちにも呆れてしまっていた。そんなある日、パーティー会場で知り合いの虎の獣人・ジャラが飼っている人間の青年を見せびらかそうと現れた。しかし、ジンと呼ばれる青年は主人であるジャラの隙をついてを花瓶で殴りつけ脱走。その思わぬ行動が気に入ったエルはジンを手助けすることに"&amp;"…！？性奴隷のように扱われていた人間の青年が、温かなぬくもりと愛を知る異種間ＢＬ！※本作品はWEB雑誌「equal」に収録されています。重複購入にご注意ください。")</f>
        <v>――ルタと呼ばれる新人類が生まれた。動物の遺伝子を持つ彼らは徐々に人口を増やし、それに比例して人間たちの数は減っていった。ルタであるエルネティスは希少な存在となった人間を性的な道具やペットのように扱う同族たちにも、抵抗することなく諦めてしまう人間たちにも呆れてしまっていた。そんなある日、パーティー会場で知り合いの虎の獣人・ジャラが飼っている人間の青年を見せびらかそうと現れた。しかし、ジンと呼ばれる青年は主人であるジャラの隙をついてを花瓶で殴りつけ脱走。その思わぬ行動が気に入ったエルはジンを手助けすることに…！？性奴隷のように扱われていた人間の青年が、温かなぬくもりと愛を知る異種間ＢＬ！※本作品はWEB雑誌「equal」に収録されています。重複購入にご注意ください。</v>
      </c>
      <c r="W309" s="8"/>
      <c r="X309" s="8" t="str">
        <f>IFERROR(__xludf.DUMMYFUNCTION("""COMPUTED_VALUE"""),"有")</f>
        <v>有</v>
      </c>
      <c r="Y309" s="8" t="str">
        <f>IFERROR(__xludf.DUMMYFUNCTION("""COMPUTED_VALUE"""),"5/25まで立ち読み増量P15まで")</f>
        <v>5/25まで立ち読み増量P15まで</v>
      </c>
      <c r="Z309" s="7"/>
      <c r="AA309" s="7"/>
      <c r="AB309" s="7"/>
    </row>
    <row r="310" ht="15.75" customHeight="1">
      <c r="A310" s="8">
        <f>IFERROR(__xludf.DUMMYFUNCTION("""COMPUTED_VALUE"""),1848.0)</f>
        <v>1848</v>
      </c>
      <c r="B310" s="9" t="str">
        <f>IFERROR(__xludf.DUMMYFUNCTION("""COMPUTED_VALUE"""),"確定")</f>
        <v>確定</v>
      </c>
      <c r="C310" s="10">
        <f>IFERROR(__xludf.DUMMYFUNCTION("""COMPUTED_VALUE"""),45015.0)</f>
        <v>45015</v>
      </c>
      <c r="D310" s="10">
        <f>IFERROR(__xludf.DUMMYFUNCTION("""COMPUTED_VALUE"""),45030.0)</f>
        <v>45030</v>
      </c>
      <c r="E310" s="8">
        <f>IFERROR(__xludf.DUMMYFUNCTION("""COMPUTED_VALUE"""),267603.0)</f>
        <v>267603</v>
      </c>
      <c r="F310" s="9" t="str">
        <f>IFERROR(__xludf.DUMMYFUNCTION("""COMPUTED_VALUE"""),"きみだけをたべさせて【分冊版】")</f>
        <v>きみだけをたべさせて【分冊版】</v>
      </c>
      <c r="G310" s="11">
        <f>IFERROR(__xludf.DUMMYFUNCTION("""COMPUTED_VALUE"""),1.0)</f>
        <v>1</v>
      </c>
      <c r="H310" s="8" t="str">
        <f>IFERROR(__xludf.DUMMYFUNCTION("""COMPUTED_VALUE"""),"zoi")</f>
        <v>zoi</v>
      </c>
      <c r="I310" s="8" t="str">
        <f>IFERROR(__xludf.DUMMYFUNCTION("""COMPUTED_VALUE"""),"BL")</f>
        <v>BL</v>
      </c>
      <c r="J310" s="8"/>
      <c r="K310" s="8"/>
      <c r="L310" s="8" t="str">
        <f>IFERROR(__xludf.DUMMYFUNCTION("""COMPUTED_VALUE"""),"笠倉出版社")</f>
        <v>笠倉出版社</v>
      </c>
      <c r="M310" s="12">
        <f>IFERROR(__xludf.DUMMYFUNCTION("""COMPUTED_VALUE"""),45058.0)</f>
        <v>45058</v>
      </c>
      <c r="N310" s="12">
        <f>IFERROR(__xludf.DUMMYFUNCTION("""COMPUTED_VALUE"""),45085.0)</f>
        <v>45085</v>
      </c>
      <c r="O310" s="11"/>
      <c r="P310" s="9" t="str">
        <f>IFERROR(__xludf.DUMMYFUNCTION("""COMPUTED_VALUE"""),"可")</f>
        <v>可</v>
      </c>
      <c r="Q310" s="8" t="str">
        <f>IFERROR(__xludf.DUMMYFUNCTION("""COMPUTED_VALUE"""),"広告コミットOK（3/31）&lt;BR&gt;&lt;BR&gt;ケーキバース作品です！")</f>
        <v>広告コミットOK（3/31）&lt;BR&gt;&lt;BR&gt;ケーキバース作品です！</v>
      </c>
      <c r="R310" s="9"/>
      <c r="S310" s="8" t="str">
        <f>IFERROR(__xludf.DUMMYFUNCTION("""COMPUTED_VALUE"""),"20230414_笠倉出版社_きみだけをたべさせて【分冊版】")</f>
        <v>20230414_笠倉出版社_きみだけをたべさせて【分冊版】</v>
      </c>
      <c r="T310" s="9"/>
      <c r="U310" s="9" t="str">
        <f>IFERROR(__xludf.DUMMYFUNCTION("""COMPUTED_VALUE"""),"©zoi/笠倉出版社")</f>
        <v>©zoi/笠倉出版社</v>
      </c>
      <c r="V310" s="8" t="str">
        <f>IFERROR(__xludf.DUMMYFUNCTION("""COMPUTED_VALUE"""),"この世界には「フォーク」と「ケーキ」と呼ばれる者たちがいる――。幼少期から自分は味覚に鈍感なだけだと思っていた央芽。けれどある日、オンラインゲームで知り合った友人・恵介から甘い香りがすることに気づいてしまう。恵介の口を付けたジュースは美味しく、汗は今まで感じたことがない甘さだった。そして自分のような存在を「フォーク」と呼ぶのだと知った…。せっかく良い友人になれた恵介とただ楽しく遊んでいたいと思うのに、あの極上の甘さをもう一度味わいたいという衝動が抑えられなくなっていき…！？貪るほど甘い衝動に突き動かされど"&amp;"こまでも求めてしまうケーキバース※本作品はWEB雑誌「equal」に収録されています。重複購入にご注意ください。")</f>
        <v>この世界には「フォーク」と「ケーキ」と呼ばれる者たちがいる――。幼少期から自分は味覚に鈍感なだけだと思っていた央芽。けれどある日、オンラインゲームで知り合った友人・恵介から甘い香りがすることに気づいてしまう。恵介の口を付けたジュースは美味しく、汗は今まで感じたことがない甘さだった。そして自分のような存在を「フォーク」と呼ぶのだと知った…。せっかく良い友人になれた恵介とただ楽しく遊んでいたいと思うのに、あの極上の甘さをもう一度味わいたいという衝動が抑えられなくなっていき…！？貪るほど甘い衝動に突き動かされどこまでも求めてしまうケーキバース※本作品はWEB雑誌「equal」に収録されています。重複購入にご注意ください。</v>
      </c>
      <c r="W310" s="8"/>
      <c r="X310" s="8" t="str">
        <f>IFERROR(__xludf.DUMMYFUNCTION("""COMPUTED_VALUE"""),"有")</f>
        <v>有</v>
      </c>
      <c r="Y310" s="8" t="str">
        <f>IFERROR(__xludf.DUMMYFUNCTION("""COMPUTED_VALUE"""),"5/25まで立ち読み増量P13まで")</f>
        <v>5/25まで立ち読み増量P13まで</v>
      </c>
      <c r="Z310" s="7"/>
      <c r="AA310" s="7"/>
      <c r="AB310" s="7"/>
    </row>
    <row r="311" ht="15.75" customHeight="1">
      <c r="A311" s="8">
        <f>IFERROR(__xludf.DUMMYFUNCTION("""COMPUTED_VALUE"""),1864.0)</f>
        <v>1864</v>
      </c>
      <c r="B311" s="9" t="str">
        <f>IFERROR(__xludf.DUMMYFUNCTION("""COMPUTED_VALUE"""),"確定")</f>
        <v>確定</v>
      </c>
      <c r="C311" s="10">
        <f>IFERROR(__xludf.DUMMYFUNCTION("""COMPUTED_VALUE"""),45023.0)</f>
        <v>45023</v>
      </c>
      <c r="D311" s="10">
        <f>IFERROR(__xludf.DUMMYFUNCTION("""COMPUTED_VALUE"""),45033.0)</f>
        <v>45033</v>
      </c>
      <c r="E311" s="8">
        <f>IFERROR(__xludf.DUMMYFUNCTION("""COMPUTED_VALUE"""),188562.0)</f>
        <v>188562</v>
      </c>
      <c r="F311" s="9" t="str">
        <f>IFERROR(__xludf.DUMMYFUNCTION("""COMPUTED_VALUE"""),"やましい恋のはじめかた Sweetest room【デジタル特別版】")</f>
        <v>やましい恋のはじめかた Sweetest room【デジタル特別版】</v>
      </c>
      <c r="G311" s="11">
        <f>IFERROR(__xludf.DUMMYFUNCTION("""COMPUTED_VALUE"""),2.0)</f>
        <v>2</v>
      </c>
      <c r="H311" s="8" t="str">
        <f>IFERROR(__xludf.DUMMYFUNCTION("""COMPUTED_VALUE"""),"小東さと")</f>
        <v>小東さと</v>
      </c>
      <c r="I311" s="8" t="str">
        <f>IFERROR(__xludf.DUMMYFUNCTION("""COMPUTED_VALUE"""),"BL")</f>
        <v>BL</v>
      </c>
      <c r="J311" s="8"/>
      <c r="K311" s="8"/>
      <c r="L311" s="8" t="str">
        <f>IFERROR(__xludf.DUMMYFUNCTION("""COMPUTED_VALUE"""),"笠倉出版社")</f>
        <v>笠倉出版社</v>
      </c>
      <c r="M311" s="12">
        <f>IFERROR(__xludf.DUMMYFUNCTION("""COMPUTED_VALUE"""),45044.0)</f>
        <v>45044</v>
      </c>
      <c r="N311" s="12">
        <f>IFERROR(__xludf.DUMMYFUNCTION("""COMPUTED_VALUE"""),2958465.0)</f>
        <v>2958465</v>
      </c>
      <c r="O311" s="11"/>
      <c r="P311" s="9" t="str">
        <f>IFERROR(__xludf.DUMMYFUNCTION("""COMPUTED_VALUE"""),"否")</f>
        <v>否</v>
      </c>
      <c r="Q311" s="8" t="str">
        <f>IFERROR(__xludf.DUMMYFUNCTION("""COMPUTED_VALUE"""),"シーモア限定BOOK&lt;BR&gt;河上さん事前確認済み")</f>
        <v>シーモア限定BOOK&lt;BR&gt;河上さん事前確認済み</v>
      </c>
      <c r="R311" s="9"/>
      <c r="S311" s="8" t="str">
        <f>IFERROR(__xludf.DUMMYFUNCTION("""COMPUTED_VALUE"""),"20230417_笠倉出版社_やましい恋のはじめかた")</f>
        <v>20230417_笠倉出版社_やましい恋のはじめかた</v>
      </c>
      <c r="T311" s="9"/>
      <c r="U311" s="9" t="str">
        <f>IFERROR(__xludf.DUMMYFUNCTION("""COMPUTED_VALUE"""),"©小東さと/笠倉出版社")</f>
        <v>©小東さと/笠倉出版社</v>
      </c>
      <c r="V311" s="8" t="str">
        <f>IFERROR(__xludf.DUMMYFUNCTION("""COMPUTED_VALUE"""),"「…今日は声、いっぱい出していいからね」幼なじみの関係から恋人同士となった春と健太郎。体も心も、今は一秒でも長く繋がっていたい…なのに実家だとそれもままならなくて…。そんな二人が訪れたのは、幼い頃に憧れた【ピンク色のお城】で―！？『やましい恋のはじめかた』より帰省中のひと時を描いた≪とびきりエッチ≫な本編16pに加え、初回限定版・通常版カバーイラストを収録！更に電子配信でしか見られないファン必見キャラクタープロフィール付き！※本電子書籍は2019年10月30日発売『やましい恋のはじめかた 初回限定版』に付"&amp;"属した小冊子と一部同じ内容です。")</f>
        <v>「…今日は声、いっぱい出していいからね」幼なじみの関係から恋人同士となった春と健太郎。体も心も、今は一秒でも長く繋がっていたい…なのに実家だとそれもままならなくて…。そんな二人が訪れたのは、幼い頃に憧れた【ピンク色のお城】で―！？『やましい恋のはじめかた』より帰省中のひと時を描いた≪とびきりエッチ≫な本編16pに加え、初回限定版・通常版カバーイラストを収録！更に電子配信でしか見られないファン必見キャラクタープロフィール付き！※本電子書籍は2019年10月30日発売『やましい恋のはじめかた 初回限定版』に付属した小冊子と一部同じ内容です。</v>
      </c>
      <c r="W311" s="8"/>
      <c r="X311" s="8" t="str">
        <f>IFERROR(__xludf.DUMMYFUNCTION("""COMPUTED_VALUE"""),"有")</f>
        <v>有</v>
      </c>
      <c r="Y311" s="8" t="str">
        <f>IFERROR(__xludf.DUMMYFUNCTION("""COMPUTED_VALUE"""),"P5まで")</f>
        <v>P5まで</v>
      </c>
      <c r="Z311" s="7"/>
      <c r="AA311" s="7"/>
      <c r="AB311" s="7"/>
    </row>
    <row r="312" ht="15.75" customHeight="1">
      <c r="A312" s="8">
        <f>IFERROR(__xludf.DUMMYFUNCTION("""COMPUTED_VALUE"""),1873.0)</f>
        <v>1873</v>
      </c>
      <c r="B312" s="9" t="str">
        <f>IFERROR(__xludf.DUMMYFUNCTION("""COMPUTED_VALUE"""),"確定")</f>
        <v>確定</v>
      </c>
      <c r="C312" s="10">
        <f>IFERROR(__xludf.DUMMYFUNCTION("""COMPUTED_VALUE"""),45026.0)</f>
        <v>45026</v>
      </c>
      <c r="D312" s="10">
        <f>IFERROR(__xludf.DUMMYFUNCTION("""COMPUTED_VALUE"""),45033.0)</f>
        <v>45033</v>
      </c>
      <c r="E312" s="8">
        <f>IFERROR(__xludf.DUMMYFUNCTION("""COMPUTED_VALUE"""),268643.0)</f>
        <v>268643</v>
      </c>
      <c r="F312" s="9" t="str">
        <f>IFERROR(__xludf.DUMMYFUNCTION("""COMPUTED_VALUE"""),"【単話版】魔王城の料理番 〜コワモテ魔族ばかりだけど、ホワイトな職場です〜")</f>
        <v>【単話版】魔王城の料理番 〜コワモテ魔族ばかりだけど、ホワイトな職場です〜</v>
      </c>
      <c r="G312" s="11" t="str">
        <f>IFERROR(__xludf.DUMMYFUNCTION("""COMPUTED_VALUE"""),"1～3")</f>
        <v>1～3</v>
      </c>
      <c r="H312" s="8" t="str">
        <f>IFERROR(__xludf.DUMMYFUNCTION("""COMPUTED_VALUE"""),"ワイエム系")</f>
        <v>ワイエム系</v>
      </c>
      <c r="I312" s="8" t="str">
        <f>IFERROR(__xludf.DUMMYFUNCTION("""COMPUTED_VALUE"""),"女性")</f>
        <v>女性</v>
      </c>
      <c r="J312" s="8"/>
      <c r="K312" s="8"/>
      <c r="L312" s="8" t="str">
        <f>IFERROR(__xludf.DUMMYFUNCTION("""COMPUTED_VALUE"""),"新潮社")</f>
        <v>新潮社</v>
      </c>
      <c r="M312" s="12">
        <f>IFERROR(__xludf.DUMMYFUNCTION("""COMPUTED_VALUE"""),45070.0)</f>
        <v>45070</v>
      </c>
      <c r="N312" s="12">
        <f>IFERROR(__xludf.DUMMYFUNCTION("""COMPUTED_VALUE"""),45162.66666666667)</f>
        <v>45162.66667</v>
      </c>
      <c r="O312" s="11"/>
      <c r="P312" s="9" t="str">
        <f>IFERROR(__xludf.DUMMYFUNCTION("""COMPUTED_VALUE"""),"否")</f>
        <v>否</v>
      </c>
      <c r="Q312" s="8" t="str">
        <f>IFERROR(__xludf.DUMMYFUNCTION("""COMPUTED_VALUE"""),"コミットOK")</f>
        <v>コミットOK</v>
      </c>
      <c r="R312" s="9"/>
      <c r="S312" s="8" t="str">
        <f>IFERROR(__xludf.DUMMYFUNCTION("""COMPUTED_VALUE"""),"20230417_新潮社_魔王城の料理番")</f>
        <v>20230417_新潮社_魔王城の料理番</v>
      </c>
      <c r="T312" s="9"/>
      <c r="U312" s="9" t="str">
        <f>IFERROR(__xludf.DUMMYFUNCTION("""COMPUTED_VALUE"""),"©ワイエム系／新潮社")</f>
        <v>©ワイエム系／新潮社</v>
      </c>
      <c r="V312" s="8" t="str">
        <f>IFERROR(__xludf.DUMMYFUNCTION("""COMPUTED_VALUE"""),"魔王城の食堂で働く人間・ツムギは、実は異世界転移者。元の世界で死にかけのホームレスだった為、衣食住が保障される夢の生活を死守するべく、ガラの悪いコワモテ魔族たちに負けず奮闘するが――!?　魔王城を舞台にした異世界グルメラブコメディ♪
")</f>
        <v>魔王城の食堂で働く人間・ツムギは、実は異世界転移者。元の世界で死にかけのホームレスだった為、衣食住が保障される夢の生活を死守するべく、ガラの悪いコワモテ魔族たちに負けず奮闘するが――!?　魔王城を舞台にした異世界グルメラブコメディ♪
</v>
      </c>
      <c r="W312" s="8"/>
      <c r="X312" s="8" t="str">
        <f>IFERROR(__xludf.DUMMYFUNCTION("""COMPUTED_VALUE"""),"有")</f>
        <v>有</v>
      </c>
      <c r="Y312" s="8" t="str">
        <f>IFERROR(__xludf.DUMMYFUNCTION("""COMPUTED_VALUE"""),"8/31まで1巻無料")</f>
        <v>8/31まで1巻無料</v>
      </c>
      <c r="Z312" s="7"/>
      <c r="AA312" s="7"/>
      <c r="AB312" s="7"/>
    </row>
    <row r="313" ht="15.75" customHeight="1">
      <c r="A313" s="8">
        <f>IFERROR(__xludf.DUMMYFUNCTION("""COMPUTED_VALUE"""),1880.0)</f>
        <v>1880</v>
      </c>
      <c r="B313" s="9" t="str">
        <f>IFERROR(__xludf.DUMMYFUNCTION("""COMPUTED_VALUE"""),"確定")</f>
        <v>確定</v>
      </c>
      <c r="C313" s="10">
        <f>IFERROR(__xludf.DUMMYFUNCTION("""COMPUTED_VALUE"""),45028.0)</f>
        <v>45028</v>
      </c>
      <c r="D313" s="10">
        <f>IFERROR(__xludf.DUMMYFUNCTION("""COMPUTED_VALUE"""),45034.0)</f>
        <v>45034</v>
      </c>
      <c r="E313" s="8">
        <f>IFERROR(__xludf.DUMMYFUNCTION("""COMPUTED_VALUE"""),268714.0)</f>
        <v>268714</v>
      </c>
      <c r="F313" s="9" t="str">
        <f>IFERROR(__xludf.DUMMYFUNCTION("""COMPUTED_VALUE"""),"ベビーピンクにおぼれたい")</f>
        <v>ベビーピンクにおぼれたい</v>
      </c>
      <c r="G313" s="11" t="str">
        <f>IFERROR(__xludf.DUMMYFUNCTION("""COMPUTED_VALUE"""),"1～2")</f>
        <v>1～2</v>
      </c>
      <c r="H313" s="8" t="str">
        <f>IFERROR(__xludf.DUMMYFUNCTION("""COMPUTED_VALUE"""),"楢崎ねねこ")</f>
        <v>楢崎ねねこ</v>
      </c>
      <c r="I313" s="8" t="str">
        <f>IFERROR(__xludf.DUMMYFUNCTION("""COMPUTED_VALUE"""),"BL")</f>
        <v>BL</v>
      </c>
      <c r="J313" s="8"/>
      <c r="K313" s="8"/>
      <c r="L313" s="8" t="str">
        <f>IFERROR(__xludf.DUMMYFUNCTION("""COMPUTED_VALUE"""),"CLLENN")</f>
        <v>CLLENN</v>
      </c>
      <c r="M313" s="12">
        <f>IFERROR(__xludf.DUMMYFUNCTION("""COMPUTED_VALUE"""),45060.0)</f>
        <v>45060</v>
      </c>
      <c r="N313" s="12">
        <f>IFERROR(__xludf.DUMMYFUNCTION("""COMPUTED_VALUE"""),45090.0)</f>
        <v>45090</v>
      </c>
      <c r="O313" s="11"/>
      <c r="P313" s="9" t="str">
        <f>IFERROR(__xludf.DUMMYFUNCTION("""COMPUTED_VALUE"""),"可")</f>
        <v>可</v>
      </c>
      <c r="Q313" s="8" t="str">
        <f>IFERROR(__xludf.DUMMYFUNCTION("""COMPUTED_VALUE"""),"素材格納済（4/18）&lt;BR&gt;広告コミットOK（4/14）&lt;BR&gt;")</f>
        <v>素材格納済（4/18）&lt;BR&gt;広告コミットOK（4/14）&lt;BR&gt;</v>
      </c>
      <c r="R313" s="9" t="str">
        <f>IFERROR(__xludf.DUMMYFUNCTION("""COMPUTED_VALUE"""),"格納済（4/18）")</f>
        <v>格納済（4/18）</v>
      </c>
      <c r="S313" s="8" t="str">
        <f>IFERROR(__xludf.DUMMYFUNCTION("""COMPUTED_VALUE"""),"20230418_オトメチカ出版_ベビーピンクにおぼれたい")</f>
        <v>20230418_オトメチカ出版_ベビーピンクにおぼれたい</v>
      </c>
      <c r="T313" s="9" t="str">
        <f>IFERROR(__xludf.DUMMYFUNCTION("""COMPUTED_VALUE"""),"校了済素材")</f>
        <v>校了済素材</v>
      </c>
      <c r="U313" s="9" t="str">
        <f>IFERROR(__xludf.DUMMYFUNCTION("""COMPUTED_VALUE"""),"著：楢崎ねねこ/オトメチカ出版")</f>
        <v>著：楢崎ねねこ/オトメチカ出版</v>
      </c>
      <c r="V313" s="8" t="str">
        <f>IFERROR(__xludf.DUMMYFUNCTION("""COMPUTED_VALUE"""),"Rik（リク）こと最上理久は、人気アイドルグループBBB（スリービー）の最年少兼クール担当。見た目とは裏腹に実は無類の可愛いもの好き！しかしイメージを守るため、そのことは絶対秘密。幼い頃に大好きだった、子供向け番組の工作お兄さん（元）レオお兄さん（真下礼央）のかわいいライブ配信を見ることで日々癒しを得ていた。そんな理久は、ある日番組の企画で、遂に憧れのレオお兄さんと対面を果たす。打ち上げの帰り、もっと話したい一心で、レオお兄さんを思い切って家に誘い入れるも、かわいくて優しいはずのレオお兄さんは突然強引に理"&amp;"久に迫ってきてー…。実は可愛いもの好きクール系アイドル×実はビッチ可愛い系お兄さん！【モーイコミックス】")</f>
        <v>Rik（リク）こと最上理久は、人気アイドルグループBBB（スリービー）の最年少兼クール担当。見た目とは裏腹に実は無類の可愛いもの好き！しかしイメージを守るため、そのことは絶対秘密。幼い頃に大好きだった、子供向け番組の工作お兄さん（元）レオお兄さん（真下礼央）のかわいいライブ配信を見ることで日々癒しを得ていた。そんな理久は、ある日番組の企画で、遂に憧れのレオお兄さんと対面を果たす。打ち上げの帰り、もっと話したい一心で、レオお兄さんを思い切って家に誘い入れるも、かわいくて優しいはずのレオお兄さんは突然強引に理久に迫ってきてー…。実は可愛いもの好きクール系アイドル×実はビッチ可愛い系お兄さん！【モーイコミックス】</v>
      </c>
      <c r="W313" s="8"/>
      <c r="X313" s="8" t="str">
        <f>IFERROR(__xludf.DUMMYFUNCTION("""COMPUTED_VALUE"""),"有")</f>
        <v>有</v>
      </c>
      <c r="Y313" s="8" t="str">
        <f>IFERROR(__xludf.DUMMYFUNCTION("""COMPUTED_VALUE"""),"P8まで")</f>
        <v>P8まで</v>
      </c>
      <c r="Z313" s="7"/>
      <c r="AA313" s="7"/>
      <c r="AB313" s="7"/>
    </row>
    <row r="314" ht="15.75" customHeight="1">
      <c r="A314" s="8">
        <f>IFERROR(__xludf.DUMMYFUNCTION("""COMPUTED_VALUE"""),1881.0)</f>
        <v>1881</v>
      </c>
      <c r="B314" s="9" t="str">
        <f>IFERROR(__xludf.DUMMYFUNCTION("""COMPUTED_VALUE"""),"確定")</f>
        <v>確定</v>
      </c>
      <c r="C314" s="10">
        <f>IFERROR(__xludf.DUMMYFUNCTION("""COMPUTED_VALUE"""),45028.0)</f>
        <v>45028</v>
      </c>
      <c r="D314" s="10">
        <f>IFERROR(__xludf.DUMMYFUNCTION("""COMPUTED_VALUE"""),45034.0)</f>
        <v>45034</v>
      </c>
      <c r="E314" s="8">
        <f>IFERROR(__xludf.DUMMYFUNCTION("""COMPUTED_VALUE"""),268713.0)</f>
        <v>268713</v>
      </c>
      <c r="F314" s="9" t="str">
        <f>IFERROR(__xludf.DUMMYFUNCTION("""COMPUTED_VALUE"""),"狐の嫁入り狸の寝入り")</f>
        <v>狐の嫁入り狸の寝入り</v>
      </c>
      <c r="G314" s="11" t="str">
        <f>IFERROR(__xludf.DUMMYFUNCTION("""COMPUTED_VALUE"""),"1～2")</f>
        <v>1～2</v>
      </c>
      <c r="H314" s="8" t="str">
        <f>IFERROR(__xludf.DUMMYFUNCTION("""COMPUTED_VALUE"""),"金尾都")</f>
        <v>金尾都</v>
      </c>
      <c r="I314" s="8" t="str">
        <f>IFERROR(__xludf.DUMMYFUNCTION("""COMPUTED_VALUE"""),"BL")</f>
        <v>BL</v>
      </c>
      <c r="J314" s="8"/>
      <c r="K314" s="8"/>
      <c r="L314" s="8" t="str">
        <f>IFERROR(__xludf.DUMMYFUNCTION("""COMPUTED_VALUE"""),"CLLENN")</f>
        <v>CLLENN</v>
      </c>
      <c r="M314" s="12">
        <f>IFERROR(__xludf.DUMMYFUNCTION("""COMPUTED_VALUE"""),45060.0)</f>
        <v>45060</v>
      </c>
      <c r="N314" s="12">
        <f>IFERROR(__xludf.DUMMYFUNCTION("""COMPUTED_VALUE"""),45120.66666666667)</f>
        <v>45120.66667</v>
      </c>
      <c r="O314" s="11"/>
      <c r="P314" s="9" t="str">
        <f>IFERROR(__xludf.DUMMYFUNCTION("""COMPUTED_VALUE"""),"可")</f>
        <v>可</v>
      </c>
      <c r="Q314" s="8" t="str">
        <f>IFERROR(__xludf.DUMMYFUNCTION("""COMPUTED_VALUE"""),"素材格納済（4/18）&lt;BR&gt;広告コミットOK（4/14）&lt;BR&gt;")</f>
        <v>素材格納済（4/18）&lt;BR&gt;広告コミットOK（4/14）&lt;BR&gt;</v>
      </c>
      <c r="R314" s="9" t="str">
        <f>IFERROR(__xludf.DUMMYFUNCTION("""COMPUTED_VALUE"""),"格納済（4/18）")</f>
        <v>格納済（4/18）</v>
      </c>
      <c r="S314" s="8" t="str">
        <f>IFERROR(__xludf.DUMMYFUNCTION("""COMPUTED_VALUE"""),"20230418_オトメチカ出版_狐の嫁入り狸の寝入り")</f>
        <v>20230418_オトメチカ出版_狐の嫁入り狸の寝入り</v>
      </c>
      <c r="T314" s="9" t="str">
        <f>IFERROR(__xludf.DUMMYFUNCTION("""COMPUTED_VALUE"""),"校了済素材")</f>
        <v>校了済素材</v>
      </c>
      <c r="U314" s="9" t="str">
        <f>IFERROR(__xludf.DUMMYFUNCTION("""COMPUTED_VALUE"""),"著：金尾都/オトメチカ出版")</f>
        <v>著：金尾都/オトメチカ出版</v>
      </c>
      <c r="V314" s="8" t="str">
        <f>IFERROR(__xludf.DUMMYFUNCTION("""COMPUTED_VALUE"""),"狐と狸が同居ーー？！現代。人間に住処を追われた狐と狸たち。山を守るため人間として人里で生活することになったのは、昔からケンカが絶えない狐の夕顔(ゆうがお)と狸の設楽(したら)だった。とんだ災難だと不機嫌そうな設楽に対し、普段冷たい態度の夕顔はそうは思っていないようで…「災難だって？災難どころかーー天国だッ！！！」密かに恋い焦がれ続けていた設楽と同居するというまたとない機会に、今度こそ素直になると決めた夕顔。長年の拗らせで妄想ばかりが膨らむ中、果たして設楽に気持ちを伝えることができるのかーー？！【モーイコミ"&amp;"ックス】")</f>
        <v>狐と狸が同居ーー？！現代。人間に住処を追われた狐と狸たち。山を守るため人間として人里で生活することになったのは、昔からケンカが絶えない狐の夕顔(ゆうがお)と狸の設楽(したら)だった。とんだ災難だと不機嫌そうな設楽に対し、普段冷たい態度の夕顔はそうは思っていないようで…「災難だって？災難どころかーー天国だッ！！！」密かに恋い焦がれ続けていた設楽と同居するというまたとない機会に、今度こそ素直になると決めた夕顔。長年の拗らせで妄想ばかりが膨らむ中、果たして設楽に気持ちを伝えることができるのかーー？！【モーイコミックス】</v>
      </c>
      <c r="W314" s="8"/>
      <c r="X314" s="8" t="str">
        <f>IFERROR(__xludf.DUMMYFUNCTION("""COMPUTED_VALUE"""),"有")</f>
        <v>有</v>
      </c>
      <c r="Y314" s="8" t="str">
        <f>IFERROR(__xludf.DUMMYFUNCTION("""COMPUTED_VALUE"""),"P8まで")</f>
        <v>P8まで</v>
      </c>
      <c r="Z314" s="7"/>
      <c r="AA314" s="7"/>
      <c r="AB314" s="7"/>
    </row>
    <row r="315" ht="15.75" customHeight="1">
      <c r="A315" s="8">
        <f>IFERROR(__xludf.DUMMYFUNCTION("""COMPUTED_VALUE"""),1882.0)</f>
        <v>1882</v>
      </c>
      <c r="B315" s="9" t="str">
        <f>IFERROR(__xludf.DUMMYFUNCTION("""COMPUTED_VALUE"""),"確定")</f>
        <v>確定</v>
      </c>
      <c r="C315" s="10">
        <f>IFERROR(__xludf.DUMMYFUNCTION("""COMPUTED_VALUE"""),45028.0)</f>
        <v>45028</v>
      </c>
      <c r="D315" s="10">
        <f>IFERROR(__xludf.DUMMYFUNCTION("""COMPUTED_VALUE"""),45028.0)</f>
        <v>45028</v>
      </c>
      <c r="E315" s="8">
        <f>IFERROR(__xludf.DUMMYFUNCTION("""COMPUTED_VALUE"""),267358.0)</f>
        <v>267358</v>
      </c>
      <c r="F315" s="9" t="str">
        <f>IFERROR(__xludf.DUMMYFUNCTION("""COMPUTED_VALUE"""),"リアルプロポーズ～お隣くんとニセ婚年の差love days～")</f>
        <v>リアルプロポーズ～お隣くんとニセ婚年の差love days～</v>
      </c>
      <c r="G315" s="11" t="str">
        <f>IFERROR(__xludf.DUMMYFUNCTION("""COMPUTED_VALUE"""),"1～3")</f>
        <v>1～3</v>
      </c>
      <c r="H315" s="8" t="str">
        <f>IFERROR(__xludf.DUMMYFUNCTION("""COMPUTED_VALUE"""),"広瀬なつめ┴小藤まつ")</f>
        <v>広瀬なつめ┴小藤まつ</v>
      </c>
      <c r="I315" s="14" t="str">
        <f>IFERROR(__xludf.DUMMYFUNCTION("""COMPUTED_VALUE"""),"少女")</f>
        <v>少女</v>
      </c>
      <c r="J315" s="8"/>
      <c r="K315" s="8"/>
      <c r="L315" s="8" t="str">
        <f>IFERROR(__xludf.DUMMYFUNCTION("""COMPUTED_VALUE"""),"秋田書店")</f>
        <v>秋田書店</v>
      </c>
      <c r="M315" s="12">
        <f>IFERROR(__xludf.DUMMYFUNCTION("""COMPUTED_VALUE"""),45047.0)</f>
        <v>45047</v>
      </c>
      <c r="N315" s="12">
        <f>IFERROR(__xludf.DUMMYFUNCTION("""COMPUTED_VALUE"""),45077.0)</f>
        <v>45077</v>
      </c>
      <c r="O315" s="11"/>
      <c r="P315" s="9" t="str">
        <f>IFERROR(__xludf.DUMMYFUNCTION("""COMPUTED_VALUE"""),"否")</f>
        <v>否</v>
      </c>
      <c r="Q315" s="8" t="str">
        <f>IFERROR(__xludf.DUMMYFUNCTION("""COMPUTED_VALUE"""),"3話目素材がギリギリになりそうなので2話分で制作いただけると、、、！")</f>
        <v>3話目素材がギリギリになりそうなので2話分で制作いただけると、、、！</v>
      </c>
      <c r="R315" s="9"/>
      <c r="S315" s="8" t="str">
        <f>IFERROR(__xludf.DUMMYFUNCTION("""COMPUTED_VALUE"""),"20230412_秋田書店_リアルプロポーズ")</f>
        <v>20230412_秋田書店_リアルプロポーズ</v>
      </c>
      <c r="T315" s="9"/>
      <c r="U315" s="9" t="str">
        <f>IFERROR(__xludf.DUMMYFUNCTION("""COMPUTED_VALUE"""),"（C）広瀬なつめ・小藤まつ（秋田書店）")</f>
        <v>（C）広瀬なつめ・小藤まつ（秋田書店）</v>
      </c>
      <c r="V315" s="8" t="str">
        <f>IFERROR(__xludf.DUMMYFUNCTION("""COMPUTED_VALUE"""),"婚約者に浮気され婚約も破棄することになってしまったアラサー女子のよつは。やけになって飲み明かした次の日、目覚めるとそこには見知らぬ年下のイケメンが！？ ※この作品はプチプリンセス vol.72に収録されているものと同一のものとなります。
")</f>
        <v>婚約者に浮気され婚約も破棄することになってしまったアラサー女子のよつは。やけになって飲み明かした次の日、目覚めるとそこには見知らぬ年下のイケメンが！？ ※この作品はプチプリンセス vol.72に収録されているものと同一のものとなります。
</v>
      </c>
      <c r="W315" s="8"/>
      <c r="X315" s="8" t="str">
        <f>IFERROR(__xludf.DUMMYFUNCTION("""COMPUTED_VALUE"""),"有")</f>
        <v>有</v>
      </c>
      <c r="Y315" s="8" t="str">
        <f>IFERROR(__xludf.DUMMYFUNCTION("""COMPUTED_VALUE"""),"1巻目無料（5/31まで）")</f>
        <v>1巻目無料（5/31まで）</v>
      </c>
      <c r="Z315" s="7"/>
      <c r="AA315" s="7"/>
      <c r="AB315" s="7"/>
    </row>
    <row r="316" ht="15.75" customHeight="1">
      <c r="A316" s="8">
        <f>IFERROR(__xludf.DUMMYFUNCTION("""COMPUTED_VALUE"""),1884.0)</f>
        <v>1884</v>
      </c>
      <c r="B316" s="9" t="str">
        <f>IFERROR(__xludf.DUMMYFUNCTION("""COMPUTED_VALUE"""),"確定")</f>
        <v>確定</v>
      </c>
      <c r="C316" s="10">
        <f>IFERROR(__xludf.DUMMYFUNCTION("""COMPUTED_VALUE"""),45028.0)</f>
        <v>45028</v>
      </c>
      <c r="D316" s="10">
        <f>IFERROR(__xludf.DUMMYFUNCTION("""COMPUTED_VALUE"""),45028.0)</f>
        <v>45028</v>
      </c>
      <c r="E316" s="8">
        <f>IFERROR(__xludf.DUMMYFUNCTION("""COMPUTED_VALUE"""),268131.0)</f>
        <v>268131</v>
      </c>
      <c r="F316" s="9" t="str">
        <f>IFERROR(__xludf.DUMMYFUNCTION("""COMPUTED_VALUE"""),"職業、ニセモノ～あなたに偽は見抜けない")</f>
        <v>職業、ニセモノ～あなたに偽は見抜けない</v>
      </c>
      <c r="G316" s="11" t="str">
        <f>IFERROR(__xludf.DUMMYFUNCTION("""COMPUTED_VALUE"""),"1～4")</f>
        <v>1～4</v>
      </c>
      <c r="H316" s="8" t="str">
        <f>IFERROR(__xludf.DUMMYFUNCTION("""COMPUTED_VALUE"""),"夏目司")</f>
        <v>夏目司</v>
      </c>
      <c r="I316" s="8" t="str">
        <f>IFERROR(__xludf.DUMMYFUNCTION("""COMPUTED_VALUE"""),"青年")</f>
        <v>青年</v>
      </c>
      <c r="J316" s="8"/>
      <c r="K316" s="8"/>
      <c r="L316" s="8" t="str">
        <f>IFERROR(__xludf.DUMMYFUNCTION("""COMPUTED_VALUE"""),"ファンギルド")</f>
        <v>ファンギルド</v>
      </c>
      <c r="M316" s="12">
        <f>IFERROR(__xludf.DUMMYFUNCTION("""COMPUTED_VALUE"""),45072.0)</f>
        <v>45072</v>
      </c>
      <c r="N316" s="12">
        <f>IFERROR(__xludf.DUMMYFUNCTION("""COMPUTED_VALUE"""),45162.0)</f>
        <v>45162</v>
      </c>
      <c r="O316" s="11"/>
      <c r="P316" s="9" t="str">
        <f>IFERROR(__xludf.DUMMYFUNCTION("""COMPUTED_VALUE"""),"可")</f>
        <v>可</v>
      </c>
      <c r="Q316" s="8" t="str">
        <f>IFERROR(__xludf.DUMMYFUNCTION("""COMPUTED_VALUE"""),"協業レーベル『シーモア×コミックアウル』作品です。")</f>
        <v>協業レーベル『シーモア×コミックアウル』作品です。</v>
      </c>
      <c r="R316" s="9"/>
      <c r="S316" s="8" t="str">
        <f>IFERROR(__xludf.DUMMYFUNCTION("""COMPUTED_VALUE"""),"20230412_ファンギルド_職業、ニセモノ～あなたに偽は見抜けない")</f>
        <v>20230412_ファンギルド_職業、ニセモノ～あなたに偽は見抜けない</v>
      </c>
      <c r="T316" s="9"/>
      <c r="U316" s="9" t="str">
        <f>IFERROR(__xludf.DUMMYFUNCTION("""COMPUTED_VALUE"""),"©夏目司/ファンギルド")</f>
        <v>©夏目司/ファンギルド</v>
      </c>
      <c r="V316" s="8" t="str">
        <f>IFERROR(__xludf.DUMMYFUNCTION("""COMPUTED_VALUE"""),"アートは、時に莫大な価値に化け、人々を魅了するーーアートの価値が高騰し続ける近年、善悪様々な思惑の人間たちが美術業界に群がり始める。天才贋作師・あやめと、画商の時雨がその贋作を売るのは、アートを利用し金儲けの道具として使う悪徳コレクター、立場を利用し不当な金額でアートを手に入れる鑑定士……「ニセモノを作る贋作師」と「ホンモノのアートを汚す者たち」アートを巡る騙し合いが始まる――！")</f>
        <v>アートは、時に莫大な価値に化け、人々を魅了するーーアートの価値が高騰し続ける近年、善悪様々な思惑の人間たちが美術業界に群がり始める。天才贋作師・あやめと、画商の時雨がその贋作を売るのは、アートを利用し金儲けの道具として使う悪徳コレクター、立場を利用し不当な金額でアートを手に入れる鑑定士……「ニセモノを作る贋作師」と「ホンモノのアートを汚す者たち」アートを巡る騙し合いが始まる――！</v>
      </c>
      <c r="W316" s="8"/>
      <c r="X316" s="8" t="str">
        <f>IFERROR(__xludf.DUMMYFUNCTION("""COMPUTED_VALUE"""),"有")</f>
        <v>有</v>
      </c>
      <c r="Y316" s="8" t="str">
        <f>IFERROR(__xludf.DUMMYFUNCTION("""COMPUTED_VALUE"""),"6/8まで1巻無料")</f>
        <v>6/8まで1巻無料</v>
      </c>
      <c r="Z316" s="7"/>
      <c r="AA316" s="7"/>
      <c r="AB316" s="7"/>
    </row>
    <row r="317" ht="15.75" customHeight="1">
      <c r="A317" s="8">
        <f>IFERROR(__xludf.DUMMYFUNCTION("""COMPUTED_VALUE"""),1885.0)</f>
        <v>1885</v>
      </c>
      <c r="B317" s="9" t="str">
        <f>IFERROR(__xludf.DUMMYFUNCTION("""COMPUTED_VALUE"""),"確定")</f>
        <v>確定</v>
      </c>
      <c r="C317" s="10">
        <f>IFERROR(__xludf.DUMMYFUNCTION("""COMPUTED_VALUE"""),45028.0)</f>
        <v>45028</v>
      </c>
      <c r="D317" s="10">
        <f>IFERROR(__xludf.DUMMYFUNCTION("""COMPUTED_VALUE"""),45033.0)</f>
        <v>45033</v>
      </c>
      <c r="E317" s="8">
        <f>IFERROR(__xludf.DUMMYFUNCTION("""COMPUTED_VALUE"""),267708.0)</f>
        <v>267708</v>
      </c>
      <c r="F317" s="9" t="str">
        <f>IFERROR(__xludf.DUMMYFUNCTION("""COMPUTED_VALUE"""),"うちのアイドルが可愛いすぎる！ アンソロジーコミック")</f>
        <v>うちのアイドルが可愛いすぎる！ アンソロジーコミック</v>
      </c>
      <c r="G317" s="11">
        <f>IFERROR(__xludf.DUMMYFUNCTION("""COMPUTED_VALUE"""),1.0)</f>
        <v>1</v>
      </c>
      <c r="H317" s="8" t="str">
        <f>IFERROR(__xludf.DUMMYFUNCTION("""COMPUTED_VALUE"""),"あむ/うらのりつ/saku/鰐のコロ/岡丸こうし/夏輝一生")</f>
        <v>あむ/うらのりつ/saku/鰐のコロ/岡丸こうし/夏輝一生</v>
      </c>
      <c r="I317" s="8" t="str">
        <f>IFERROR(__xludf.DUMMYFUNCTION("""COMPUTED_VALUE"""),"青年")</f>
        <v>青年</v>
      </c>
      <c r="J317" s="8"/>
      <c r="K317" s="8"/>
      <c r="L317" s="8" t="str">
        <f>IFERROR(__xludf.DUMMYFUNCTION("""COMPUTED_VALUE"""),"ファンギルド")</f>
        <v>ファンギルド</v>
      </c>
      <c r="M317" s="12">
        <f>IFERROR(__xludf.DUMMYFUNCTION("""COMPUTED_VALUE"""),45063.0)</f>
        <v>45063</v>
      </c>
      <c r="N317" s="12">
        <f>IFERROR(__xludf.DUMMYFUNCTION("""COMPUTED_VALUE"""),45094.0)</f>
        <v>45094</v>
      </c>
      <c r="O317" s="11"/>
      <c r="P317" s="9" t="str">
        <f>IFERROR(__xludf.DUMMYFUNCTION("""COMPUTED_VALUE"""),"可")</f>
        <v>可</v>
      </c>
      <c r="Q317" s="8" t="str">
        <f>IFERROR(__xludf.DUMMYFUNCTION("""COMPUTED_VALUE"""),"先行は確定です。&lt;BR&gt;完パケ素材もらいましたので更新しました（4/17）")</f>
        <v>先行は確定です。&lt;BR&gt;完パケ素材もらいましたので更新しました（4/17）</v>
      </c>
      <c r="R317" s="9"/>
      <c r="S317" s="8" t="str">
        <f>IFERROR(__xludf.DUMMYFUNCTION("""COMPUTED_VALUE"""),"20230417_ファンギルド_うちのアイドルが可愛いすぎる！ アンソロジーコミック")</f>
        <v>20230417_ファンギルド_うちのアイドルが可愛いすぎる！ アンソロジーコミック</v>
      </c>
      <c r="T317" s="9"/>
      <c r="U317" s="9" t="str">
        <f>IFERROR(__xludf.DUMMYFUNCTION("""COMPUTED_VALUE"""),"Ⓒあむ/うらのりつ/saku/鰐のコロ/岡丸こうし/夏輝一生/ファンギルド")</f>
        <v>Ⓒあむ/うらのりつ/saku/鰐のコロ/岡丸こうし/夏輝一生/ファンギルド</v>
      </c>
      <c r="V317" s="8" t="str">
        <f>IFERROR(__xludf.DUMMYFUNCTION("""COMPUTED_VALUE"""),"「わたしを独り占めしていいよ――」美人で明るくてみんなの人気者。そんな高嶺の花のアイドルたちが、家では俺にデレデレなんだが！？アイドルのギャップに萌えたい男子に贈る、胸きゅんアンソロジーコミック！読み切り6本収録！＜収録作品＞「特別じゃない、君が特別。」あむ／「ハジメテのお着替えはお兄ちゃんと」うらのりつ／「朝比奈先生は弟くんに甘えたい」saku／「むっちりママのナイショ配信？」鰐のコロ／「こっち見て、お兄ちゃん！」岡丸こうし／「ほろ酔いグラドルお姉ちゃんはヤリたい放題 」夏輝一生　＜カバーイラスト＞鰐の"&amp;"コロ")</f>
        <v>「わたしを独り占めしていいよ――」美人で明るくてみんなの人気者。そんな高嶺の花のアイドルたちが、家では俺にデレデレなんだが！？アイドルのギャップに萌えたい男子に贈る、胸きゅんアンソロジーコミック！読み切り6本収録！＜収録作品＞「特別じゃない、君が特別。」あむ／「ハジメテのお着替えはお兄ちゃんと」うらのりつ／「朝比奈先生は弟くんに甘えたい」saku／「むっちりママのナイショ配信？」鰐のコロ／「こっち見て、お兄ちゃん！」岡丸こうし／「ほろ酔いグラドルお姉ちゃんはヤリたい放題 」夏輝一生　＜カバーイラスト＞鰐のコロ</v>
      </c>
      <c r="W317" s="8"/>
      <c r="X317" s="8" t="str">
        <f>IFERROR(__xludf.DUMMYFUNCTION("""COMPUTED_VALUE"""),"有")</f>
        <v>有</v>
      </c>
      <c r="Y317" s="8" t="str">
        <f>IFERROR(__xludf.DUMMYFUNCTION("""COMPUTED_VALUE"""),"P28まで")</f>
        <v>P28まで</v>
      </c>
      <c r="Z317" s="7"/>
      <c r="AA317" s="7"/>
      <c r="AB317" s="7"/>
    </row>
    <row r="318" ht="15.75" customHeight="1">
      <c r="A318" s="8">
        <f>IFERROR(__xludf.DUMMYFUNCTION("""COMPUTED_VALUE"""),1889.0)</f>
        <v>1889</v>
      </c>
      <c r="B318" s="9" t="str">
        <f>IFERROR(__xludf.DUMMYFUNCTION("""COMPUTED_VALUE"""),"確定")</f>
        <v>確定</v>
      </c>
      <c r="C318" s="10">
        <f>IFERROR(__xludf.DUMMYFUNCTION("""COMPUTED_VALUE"""),45030.0)</f>
        <v>45030</v>
      </c>
      <c r="D318" s="10">
        <f>IFERROR(__xludf.DUMMYFUNCTION("""COMPUTED_VALUE"""),45030.0)</f>
        <v>45030</v>
      </c>
      <c r="E318" s="8">
        <f>IFERROR(__xludf.DUMMYFUNCTION("""COMPUTED_VALUE"""),267697.0)</f>
        <v>267697</v>
      </c>
      <c r="F318" s="9" t="str">
        <f>IFERROR(__xludf.DUMMYFUNCTION("""COMPUTED_VALUE"""),"グリーンボックス")</f>
        <v>グリーンボックス</v>
      </c>
      <c r="G318" s="11" t="str">
        <f>IFERROR(__xludf.DUMMYFUNCTION("""COMPUTED_VALUE"""),"1～4")</f>
        <v>1～4</v>
      </c>
      <c r="H318" s="8" t="str">
        <f>IFERROR(__xludf.DUMMYFUNCTION("""COMPUTED_VALUE"""),"和田駄々/岡崎 圭")</f>
        <v>和田駄々/岡崎 圭</v>
      </c>
      <c r="I318" s="8" t="str">
        <f>IFERROR(__xludf.DUMMYFUNCTION("""COMPUTED_VALUE"""),"青年")</f>
        <v>青年</v>
      </c>
      <c r="J318" s="8"/>
      <c r="K318" s="8"/>
      <c r="L318" s="8" t="str">
        <f>IFERROR(__xludf.DUMMYFUNCTION("""COMPUTED_VALUE"""),"taskey")</f>
        <v>taskey</v>
      </c>
      <c r="M318" s="12">
        <f>IFERROR(__xludf.DUMMYFUNCTION("""COMPUTED_VALUE"""),45057.0)</f>
        <v>45057</v>
      </c>
      <c r="N318" s="12">
        <f>IFERROR(__xludf.DUMMYFUNCTION("""COMPUTED_VALUE"""),2958465.0)</f>
        <v>2958465</v>
      </c>
      <c r="O318" s="11"/>
      <c r="P318" s="9" t="str">
        <f>IFERROR(__xludf.DUMMYFUNCTION("""COMPUTED_VALUE"""),"可")</f>
        <v>可</v>
      </c>
      <c r="Q318" s="8"/>
      <c r="R318" s="9"/>
      <c r="S318" s="8" t="str">
        <f>IFERROR(__xludf.DUMMYFUNCTION("""COMPUTED_VALUE"""),"20230414_taskey_5月新作")</f>
        <v>20230414_taskey_5月新作</v>
      </c>
      <c r="T318" s="9"/>
      <c r="U318" s="9" t="str">
        <f>IFERROR(__xludf.DUMMYFUNCTION("""COMPUTED_VALUE"""),"(C)和田駄々/岡崎 圭/taskey")</f>
        <v>(C)和田駄々/岡崎 圭/taskey</v>
      </c>
      <c r="V318" s="8" t="str">
        <f>IFERROR(__xludf.DUMMYFUNCTION("""COMPUTED_VALUE"""),"何もない緑色の部屋で目覚めた男子高校生、瀬名。目の前には世界地図と1行の説明。 『欲しい物を思い浮かべながら、滅ぼしたい国のボタンを押せ。当たりなら解放』徐々に追い詰められていく瀬名はついにボタンを押してしまう。果たして最後に生き残るのは瀬名か、人類か。
")</f>
        <v>何もない緑色の部屋で目覚めた男子高校生、瀬名。目の前には世界地図と1行の説明。 『欲しい物を思い浮かべながら、滅ぼしたい国のボタンを押せ。当たりなら解放』徐々に追い詰められていく瀬名はついにボタンを押してしまう。果たして最後に生き残るのは瀬名か、人類か。
</v>
      </c>
      <c r="W318" s="8"/>
      <c r="X318" s="8" t="str">
        <f>IFERROR(__xludf.DUMMYFUNCTION("""COMPUTED_VALUE"""),"有")</f>
        <v>有</v>
      </c>
      <c r="Y318" s="8" t="str">
        <f>IFERROR(__xludf.DUMMYFUNCTION("""COMPUTED_VALUE"""),"P17まで")</f>
        <v>P17まで</v>
      </c>
      <c r="Z318" s="7"/>
      <c r="AA318" s="7"/>
      <c r="AB318" s="7"/>
    </row>
    <row r="319" ht="15.75" customHeight="1">
      <c r="A319" s="8">
        <f>IFERROR(__xludf.DUMMYFUNCTION("""COMPUTED_VALUE"""),1890.0)</f>
        <v>1890</v>
      </c>
      <c r="B319" s="9" t="str">
        <f>IFERROR(__xludf.DUMMYFUNCTION("""COMPUTED_VALUE"""),"確定")</f>
        <v>確定</v>
      </c>
      <c r="C319" s="10">
        <f>IFERROR(__xludf.DUMMYFUNCTION("""COMPUTED_VALUE"""),45030.0)</f>
        <v>45030</v>
      </c>
      <c r="D319" s="10">
        <f>IFERROR(__xludf.DUMMYFUNCTION("""COMPUTED_VALUE"""),45030.0)</f>
        <v>45030</v>
      </c>
      <c r="E319" s="8">
        <f>IFERROR(__xludf.DUMMYFUNCTION("""COMPUTED_VALUE"""),267698.0)</f>
        <v>267698</v>
      </c>
      <c r="F319" s="9" t="str">
        <f>IFERROR(__xludf.DUMMYFUNCTION("""COMPUTED_VALUE"""),"ジャストドゥキル 猟奇的殺人鬼→低カースト女子高生に転生したので殺人記録更新決定！")</f>
        <v>ジャストドゥキル 猟奇的殺人鬼→低カースト女子高生に転生したので殺人記録更新決定！</v>
      </c>
      <c r="G319" s="11" t="str">
        <f>IFERROR(__xludf.DUMMYFUNCTION("""COMPUTED_VALUE"""),"1～9")</f>
        <v>1～9</v>
      </c>
      <c r="H319" s="8" t="str">
        <f>IFERROR(__xludf.DUMMYFUNCTION("""COMPUTED_VALUE"""),"大城 密/ゆた")</f>
        <v>大城 密/ゆた</v>
      </c>
      <c r="I319" s="14" t="str">
        <f>IFERROR(__xludf.DUMMYFUNCTION("""COMPUTED_VALUE"""),"青年")</f>
        <v>青年</v>
      </c>
      <c r="J319" s="8"/>
      <c r="K319" s="8"/>
      <c r="L319" s="8" t="str">
        <f>IFERROR(__xludf.DUMMYFUNCTION("""COMPUTED_VALUE"""),"taskey")</f>
        <v>taskey</v>
      </c>
      <c r="M319" s="12">
        <f>IFERROR(__xludf.DUMMYFUNCTION("""COMPUTED_VALUE"""),45047.0)</f>
        <v>45047</v>
      </c>
      <c r="N319" s="12">
        <f>IFERROR(__xludf.DUMMYFUNCTION("""COMPUTED_VALUE"""),45139.66666666667)</f>
        <v>45139.66667</v>
      </c>
      <c r="O319" s="11"/>
      <c r="P319" s="9" t="str">
        <f>IFERROR(__xludf.DUMMYFUNCTION("""COMPUTED_VALUE"""),"可")</f>
        <v>可</v>
      </c>
      <c r="Q319" s="8"/>
      <c r="R319" s="9"/>
      <c r="S319" s="8" t="str">
        <f>IFERROR(__xludf.DUMMYFUNCTION("""COMPUTED_VALUE"""),"20230414_taskey_5月新作")</f>
        <v>20230414_taskey_5月新作</v>
      </c>
      <c r="T319" s="9"/>
      <c r="U319" s="9" t="str">
        <f>IFERROR(__xludf.DUMMYFUNCTION("""COMPUTED_VALUE"""),"(C)大城 密/ゆた/taskey")</f>
        <v>(C)大城 密/ゆた/taskey</v>
      </c>
      <c r="V319" s="8" t="str">
        <f>IFERROR(__xludf.DUMMYFUNCTION("""COMPUTED_VALUE"""),"抑えられない殺人欲求を消化させるため殺しを続ける男・名嘉十造。しかしあるとき、謎の組織に手を出してしまい、拷問の末に殺されてしまう。しかし目を覚ますと、女子高生の体に転生していた！見た目は巨乳女子高生、中身はシリアルキラー！性別が変わっても頭脳は同じ！というわけで、殺人記録更新決定！JUST DO KILL！
")</f>
        <v>抑えられない殺人欲求を消化させるため殺しを続ける男・名嘉十造。しかしあるとき、謎の組織に手を出してしまい、拷問の末に殺されてしまう。しかし目を覚ますと、女子高生の体に転生していた！見た目は巨乳女子高生、中身はシリアルキラー！性別が変わっても頭脳は同じ！というわけで、殺人記録更新決定！JUST DO KILL！
</v>
      </c>
      <c r="W319" s="8"/>
      <c r="X319" s="8" t="str">
        <f>IFERROR(__xludf.DUMMYFUNCTION("""COMPUTED_VALUE"""),"有")</f>
        <v>有</v>
      </c>
      <c r="Y319" s="8" t="str">
        <f>IFERROR(__xludf.DUMMYFUNCTION("""COMPUTED_VALUE"""),"1～3巻目無料ストリーミング設定")</f>
        <v>1～3巻目無料ストリーミング設定</v>
      </c>
      <c r="Z319" s="7"/>
      <c r="AA319" s="7"/>
      <c r="AB319" s="7"/>
    </row>
    <row r="320" ht="15.75" customHeight="1">
      <c r="A320" s="8">
        <f>IFERROR(__xludf.DUMMYFUNCTION("""COMPUTED_VALUE"""),1892.0)</f>
        <v>1892</v>
      </c>
      <c r="B320" s="9" t="str">
        <f>IFERROR(__xludf.DUMMYFUNCTION("""COMPUTED_VALUE"""),"確定")</f>
        <v>確定</v>
      </c>
      <c r="C320" s="10">
        <f>IFERROR(__xludf.DUMMYFUNCTION("""COMPUTED_VALUE"""),45030.0)</f>
        <v>45030</v>
      </c>
      <c r="D320" s="10">
        <f>IFERROR(__xludf.DUMMYFUNCTION("""COMPUTED_VALUE"""),45030.0)</f>
        <v>45030</v>
      </c>
      <c r="E320" s="8">
        <f>IFERROR(__xludf.DUMMYFUNCTION("""COMPUTED_VALUE"""),231236.0)</f>
        <v>231236</v>
      </c>
      <c r="F320" s="9" t="str">
        <f>IFERROR(__xludf.DUMMYFUNCTION("""COMPUTED_VALUE"""),"カラーにくちづけ【シーモア限定特典付き】【コミックス版】")</f>
        <v>カラーにくちづけ【シーモア限定特典付き】【コミックス版】</v>
      </c>
      <c r="G320" s="11">
        <f>IFERROR(__xludf.DUMMYFUNCTION("""COMPUTED_VALUE"""),2.0)</f>
        <v>2</v>
      </c>
      <c r="H320" s="8" t="str">
        <f>IFERROR(__xludf.DUMMYFUNCTION("""COMPUTED_VALUE"""),"OOY")</f>
        <v>OOY</v>
      </c>
      <c r="I320" s="8" t="str">
        <f>IFERROR(__xludf.DUMMYFUNCTION("""COMPUTED_VALUE"""),"BL")</f>
        <v>BL</v>
      </c>
      <c r="J320" s="8"/>
      <c r="K320" s="8"/>
      <c r="L320" s="8" t="str">
        <f>IFERROR(__xludf.DUMMYFUNCTION("""COMPUTED_VALUE"""),"笠倉出版社")</f>
        <v>笠倉出版社</v>
      </c>
      <c r="M320" s="12">
        <f>IFERROR(__xludf.DUMMYFUNCTION("""COMPUTED_VALUE"""),45044.0)</f>
        <v>45044</v>
      </c>
      <c r="N320" s="12">
        <f>IFERROR(__xludf.DUMMYFUNCTION("""COMPUTED_VALUE"""),2958465.0)</f>
        <v>2958465</v>
      </c>
      <c r="O320" s="11"/>
      <c r="P320" s="9" t="str">
        <f>IFERROR(__xludf.DUMMYFUNCTION("""COMPUTED_VALUE"""),"可")</f>
        <v>可</v>
      </c>
      <c r="Q320" s="8" t="str">
        <f>IFERROR(__xludf.DUMMYFUNCTION("""COMPUTED_VALUE"""),"「シーモア限定BOOK」です&lt;BR&gt;河上さん相談済み")</f>
        <v>「シーモア限定BOOK」です&lt;BR&gt;河上さん相談済み</v>
      </c>
      <c r="R320" s="9"/>
      <c r="S320" s="8" t="str">
        <f>IFERROR(__xludf.DUMMYFUNCTION("""COMPUTED_VALUE"""),"20230414_笠倉出版社_カラーにくちづけ【シーモア限定BOOK】")</f>
        <v>20230414_笠倉出版社_カラーにくちづけ【シーモア限定BOOK】</v>
      </c>
      <c r="T320" s="9"/>
      <c r="U320" s="9" t="str">
        <f>IFERROR(__xludf.DUMMYFUNCTION("""COMPUTED_VALUE"""),"©OOY/笠倉出版社")</f>
        <v>©OOY/笠倉出版社</v>
      </c>
      <c r="V320" s="8" t="str">
        <f>IFERROR(__xludf.DUMMYFUNCTION("""COMPUTED_VALUE"""),"大学生の黒田美樹（ミキ）は、過去に無理やりカラー［首輪］をつけられ、Domを拒絶するようになったSub。「こんな性もDomも大嫌いなのに…」そう頭では否定していても本能は支配を求め続け、溢れる熱を官能小説で満たしていた。ある日、ベビーシッターに訪れた先でDomである森屋と出会ったミキ。警戒しながらも仕事を終え帰ろうとしたところ、リビングの本棚で例の小説の未発表作品を偶然見つける。思わず夢中で読みふけっていると、昂ぶった下半身を森屋に気づかれてしまって…！？【第二性】と呼ばれる主従関係が存在する世界で芽生え"&amp;"る、幸せと愛にあふれたDom/SubユニバースBL。圧力での支配じゃなくて、アナタの優しい支配＝“愛”が欲しい…。電子限定描き下ろし＋シーモア限定特典付き！")</f>
        <v>大学生の黒田美樹（ミキ）は、過去に無理やりカラー［首輪］をつけられ、Domを拒絶するようになったSub。「こんな性もDomも大嫌いなのに…」そう頭では否定していても本能は支配を求め続け、溢れる熱を官能小説で満たしていた。ある日、ベビーシッターに訪れた先でDomである森屋と出会ったミキ。警戒しながらも仕事を終え帰ろうとしたところ、リビングの本棚で例の小説の未発表作品を偶然見つける。思わず夢中で読みふけっていると、昂ぶった下半身を森屋に気づかれてしまって…！？【第二性】と呼ばれる主従関係が存在する世界で芽生える、幸せと愛にあふれたDom/SubユニバースBL。圧力での支配じゃなくて、アナタの優しい支配＝“愛”が欲しい…。電子限定描き下ろし＋シーモア限定特典付き！</v>
      </c>
      <c r="W320" s="8"/>
      <c r="X320" s="8" t="str">
        <f>IFERROR(__xludf.DUMMYFUNCTION("""COMPUTED_VALUE"""),"有")</f>
        <v>有</v>
      </c>
      <c r="Y320" s="8" t="str">
        <f>IFERROR(__xludf.DUMMYFUNCTION("""COMPUTED_VALUE"""),"5/25まで立ち読み増量P38まで")</f>
        <v>5/25まで立ち読み増量P38まで</v>
      </c>
      <c r="Z320" s="7"/>
      <c r="AA320" s="7"/>
      <c r="AB320" s="7"/>
    </row>
    <row r="321" ht="15.75" customHeight="1">
      <c r="A321" s="8">
        <f>IFERROR(__xludf.DUMMYFUNCTION("""COMPUTED_VALUE"""),1893.0)</f>
        <v>1893</v>
      </c>
      <c r="B321" s="9" t="str">
        <f>IFERROR(__xludf.DUMMYFUNCTION("""COMPUTED_VALUE"""),"確定")</f>
        <v>確定</v>
      </c>
      <c r="C321" s="10">
        <f>IFERROR(__xludf.DUMMYFUNCTION("""COMPUTED_VALUE"""),45033.0)</f>
        <v>45033</v>
      </c>
      <c r="D321" s="10">
        <f>IFERROR(__xludf.DUMMYFUNCTION("""COMPUTED_VALUE"""),45033.0)</f>
        <v>45033</v>
      </c>
      <c r="E321" s="8">
        <f>IFERROR(__xludf.DUMMYFUNCTION("""COMPUTED_VALUE"""),272555.0)</f>
        <v>272555</v>
      </c>
      <c r="F321" s="9" t="str">
        <f>IFERROR(__xludf.DUMMYFUNCTION("""COMPUTED_VALUE"""),"調香師とワケあり令嬢の官能時間～その香りが甘くミダラに私を誘う～")</f>
        <v>調香師とワケあり令嬢の官能時間～その香りが甘くミダラに私を誘う～</v>
      </c>
      <c r="G321" s="11" t="str">
        <f>IFERROR(__xludf.DUMMYFUNCTION("""COMPUTED_VALUE"""),"1～3")</f>
        <v>1～3</v>
      </c>
      <c r="H321" s="8" t="str">
        <f>IFERROR(__xludf.DUMMYFUNCTION("""COMPUTED_VALUE"""),"半田96")</f>
        <v>半田96</v>
      </c>
      <c r="I321" s="8" t="str">
        <f>IFERROR(__xludf.DUMMYFUNCTION("""COMPUTED_VALUE"""),"TL")</f>
        <v>TL</v>
      </c>
      <c r="J321" s="8"/>
      <c r="K321" s="8"/>
      <c r="L321" s="8" t="str">
        <f>IFERROR(__xludf.DUMMYFUNCTION("""COMPUTED_VALUE"""),"KATTS")</f>
        <v>KATTS</v>
      </c>
      <c r="M321" s="12">
        <f>IFERROR(__xludf.DUMMYFUNCTION("""COMPUTED_VALUE"""),45142.0)</f>
        <v>45142</v>
      </c>
      <c r="N321" s="12">
        <f>IFERROR(__xludf.DUMMYFUNCTION("""COMPUTED_VALUE"""),45169.0)</f>
        <v>45169</v>
      </c>
      <c r="O321" s="11"/>
      <c r="P321" s="9" t="str">
        <f>IFERROR(__xludf.DUMMYFUNCTION("""COMPUTED_VALUE"""),"可")</f>
        <v>可</v>
      </c>
      <c r="Q321" s="8" t="str">
        <f>IFERROR(__xludf.DUMMYFUNCTION("""COMPUTED_VALUE"""),"出稿可であれば先行確定です。&lt;BR&gt;5/10までに回答欲しいです。")</f>
        <v>出稿可であれば先行確定です。&lt;BR&gt;5/10までに回答欲しいです。</v>
      </c>
      <c r="R321" s="9"/>
      <c r="S321" s="8" t="str">
        <f>IFERROR(__xludf.DUMMYFUNCTION("""COMPUTED_VALUE"""),"20230417_BookLive_調香師とワケあり令嬢の官能時間～その香りが甘くミダラに私を誘う～")</f>
        <v>20230417_BookLive_調香師とワケあり令嬢の官能時間～その香りが甘くミダラに私を誘う～</v>
      </c>
      <c r="T321" s="9"/>
      <c r="U321" s="9" t="str">
        <f>IFERROR(__xludf.DUMMYFUNCTION("""COMPUTED_VALUE"""),"(C)KATTS")</f>
        <v>(C)KATTS</v>
      </c>
      <c r="V321" s="8" t="str">
        <f>IFERROR(__xludf.DUMMYFUNCTION("""COMPUTED_VALUE"""),"「女性の嗜み…それから、悦びってやつもお教えします」5年前、家族を事故で亡くした令嬢・アンジェリカ。父が愛した土地と民を守るため、双子の兄に扮してヴォルテール領主を務めるが、20歳の誕生日に真実を公表すると決めている。公表まであと1年――女性として生きていくには、急いで所作や嗜みを学ばなければ…！　そのために側近・テオがこっそり雇った家庭教師は、王都で評判の調香師・ルーク。なんと彼は、アンの初恋の相手で…！？　ドキドキしている場合じゃないのに、勉強には『寝所での作法』も含まれていて…「僕に全身を委ねてくだ"&amp;"さい」 耽美な香りと熱い瞳は、アンの中の”女”をどんどん暴いて…っ。誰にも触られたことのないオクのオクまで、じっくり丁寧に仕込まれていく――。ワケあり男装令嬢は、策略家な調香師の甘ーい愛撫でズブズブにほだされちゃう…！　両片思いのじれじれ身分差ラブストーリー★(第1話)")</f>
        <v>「女性の嗜み…それから、悦びってやつもお教えします」5年前、家族を事故で亡くした令嬢・アンジェリカ。父が愛した土地と民を守るため、双子の兄に扮してヴォルテール領主を務めるが、20歳の誕生日に真実を公表すると決めている。公表まであと1年――女性として生きていくには、急いで所作や嗜みを学ばなければ…！　そのために側近・テオがこっそり雇った家庭教師は、王都で評判の調香師・ルーク。なんと彼は、アンの初恋の相手で…！？　ドキドキしている場合じゃないのに、勉強には『寝所での作法』も含まれていて…「僕に全身を委ねてください」 耽美な香りと熱い瞳は、アンの中の”女”をどんどん暴いて…っ。誰にも触られたことのないオクのオクまで、じっくり丁寧に仕込まれていく――。ワケあり男装令嬢は、策略家な調香師の甘ーい愛撫でズブズブにほだされちゃう…！　両片思いのじれじれ身分差ラブストーリー★(第1話)</v>
      </c>
      <c r="W321" s="8"/>
      <c r="X321" s="8" t="str">
        <f>IFERROR(__xludf.DUMMYFUNCTION("""COMPUTED_VALUE"""),"有")</f>
        <v>有</v>
      </c>
      <c r="Y321" s="8" t="str">
        <f>IFERROR(__xludf.DUMMYFUNCTION("""COMPUTED_VALUE"""),"P7まで")</f>
        <v>P7まで</v>
      </c>
      <c r="Z321" s="7"/>
      <c r="AA321" s="7"/>
      <c r="AB321" s="7"/>
    </row>
    <row r="322" ht="15.75" customHeight="1">
      <c r="A322" s="8">
        <f>IFERROR(__xludf.DUMMYFUNCTION("""COMPUTED_VALUE"""),1894.0)</f>
        <v>1894</v>
      </c>
      <c r="B322" s="9" t="str">
        <f>IFERROR(__xludf.DUMMYFUNCTION("""COMPUTED_VALUE"""),"確定")</f>
        <v>確定</v>
      </c>
      <c r="C322" s="10">
        <f>IFERROR(__xludf.DUMMYFUNCTION("""COMPUTED_VALUE"""),45033.0)</f>
        <v>45033</v>
      </c>
      <c r="D322" s="10">
        <f>IFERROR(__xludf.DUMMYFUNCTION("""COMPUTED_VALUE"""),45033.0)</f>
        <v>45033</v>
      </c>
      <c r="E322" s="8">
        <f>IFERROR(__xludf.DUMMYFUNCTION("""COMPUTED_VALUE"""),253294.0)</f>
        <v>253294</v>
      </c>
      <c r="F322" s="9" t="str">
        <f>IFERROR(__xludf.DUMMYFUNCTION("""COMPUTED_VALUE"""),"ビジネス・パフォーマンス(フルカラー)")</f>
        <v>ビジネス・パフォーマンス(フルカラー)</v>
      </c>
      <c r="G322" s="11" t="str">
        <f>IFERROR(__xludf.DUMMYFUNCTION("""COMPUTED_VALUE"""),"1～3")</f>
        <v>1～3</v>
      </c>
      <c r="H322" s="8" t="str">
        <f>IFERROR(__xludf.DUMMYFUNCTION("""COMPUTED_VALUE"""),"四季,ジータジャギ")</f>
        <v>四季,ジータジャギ</v>
      </c>
      <c r="I322" s="8" t="str">
        <f>IFERROR(__xludf.DUMMYFUNCTION("""COMPUTED_VALUE"""),"BL")</f>
        <v>BL</v>
      </c>
      <c r="J322" s="8"/>
      <c r="K322" s="8"/>
      <c r="L322" s="8" t="str">
        <f>IFERROR(__xludf.DUMMYFUNCTION("""COMPUTED_VALUE"""),"ソルマーレ編集部")</f>
        <v>ソルマーレ編集部</v>
      </c>
      <c r="M322" s="12">
        <f>IFERROR(__xludf.DUMMYFUNCTION("""COMPUTED_VALUE"""),45066.0)</f>
        <v>45066</v>
      </c>
      <c r="N322" s="12">
        <f>IFERROR(__xludf.DUMMYFUNCTION("""COMPUTED_VALUE"""),45127.0)</f>
        <v>45127</v>
      </c>
      <c r="O322" s="11"/>
      <c r="P322" s="9" t="str">
        <f>IFERROR(__xludf.DUMMYFUNCTION("""COMPUTED_VALUE"""),"可")</f>
        <v>可</v>
      </c>
      <c r="Q322" s="8"/>
      <c r="R322" s="9"/>
      <c r="S322" s="8" t="str">
        <f>IFERROR(__xludf.DUMMYFUNCTION("""COMPUTED_VALUE"""),"20230417_ソルマーレ編集部_ビジネス・パフォーマンス（フルカラー）")</f>
        <v>20230417_ソルマーレ編集部_ビジネス・パフォーマンス（フルカラー）</v>
      </c>
      <c r="T322" s="15"/>
      <c r="U322" s="9" t="str">
        <f>IFERROR(__xludf.DUMMYFUNCTION("""COMPUTED_VALUE"""),"Ⓒ 四季/ジータジャギ/MSTORYHUB/シーモアコミックス")</f>
        <v>Ⓒ 四季/ジータジャギ/MSTORYHUB/シーモアコミックス</v>
      </c>
      <c r="V322" s="8" t="str">
        <f>IFERROR(__xludf.DUMMYFUNCTION("""COMPUTED_VALUE"""),"売れないアイドルグループ「パントテン酸」のリーダーだった凛（りん）は、グループ解散後、プロの小説家に転身。ずっと片想いしていたメンバー・宗介（そうすけ）をモデルにして書いた作品を、こっそり出版していた。「映画化する権利をください――主人公は俺が演じます」俳優として大活躍中の宗介が、凛の小説を映画化したいと言い出し、急接近!? ビジネスの話だとわかってはいるけど――宗介の強引なアプローチに心乱されて…。
年下イケメン俳優×純情小説家のシークレット・ラブ！【フィカス】")</f>
        <v>売れないアイドルグループ「パントテン酸」のリーダーだった凛（りん）は、グループ解散後、プロの小説家に転身。ずっと片想いしていたメンバー・宗介（そうすけ）をモデルにして書いた作品を、こっそり出版していた。「映画化する権利をください――主人公は俺が演じます」俳優として大活躍中の宗介が、凛の小説を映画化したいと言い出し、急接近!? ビジネスの話だとわかってはいるけど――宗介の強引なアプローチに心乱されて…。
年下イケメン俳優×純情小説家のシークレット・ラブ！【フィカス】</v>
      </c>
      <c r="W322" s="8"/>
      <c r="X322" s="8" t="str">
        <f>IFERROR(__xludf.DUMMYFUNCTION("""COMPUTED_VALUE"""),"有")</f>
        <v>有</v>
      </c>
      <c r="Y322" s="8" t="str">
        <f>IFERROR(__xludf.DUMMYFUNCTION("""COMPUTED_VALUE"""),"P16まで")</f>
        <v>P16まで</v>
      </c>
      <c r="Z322" s="7"/>
      <c r="AA322" s="7"/>
      <c r="AB322" s="7"/>
    </row>
    <row r="323" ht="15.75" customHeight="1">
      <c r="A323" s="8">
        <f>IFERROR(__xludf.DUMMYFUNCTION("""COMPUTED_VALUE"""),1895.0)</f>
        <v>1895</v>
      </c>
      <c r="B323" s="9" t="str">
        <f>IFERROR(__xludf.DUMMYFUNCTION("""COMPUTED_VALUE"""),"確定")</f>
        <v>確定</v>
      </c>
      <c r="C323" s="10">
        <f>IFERROR(__xludf.DUMMYFUNCTION("""COMPUTED_VALUE"""),45033.0)</f>
        <v>45033</v>
      </c>
      <c r="D323" s="10">
        <f>IFERROR(__xludf.DUMMYFUNCTION("""COMPUTED_VALUE"""),45033.0)</f>
        <v>45033</v>
      </c>
      <c r="E323" s="8">
        <f>IFERROR(__xludf.DUMMYFUNCTION("""COMPUTED_VALUE"""),253295.0)</f>
        <v>253295</v>
      </c>
      <c r="F323" s="9" t="str">
        <f>IFERROR(__xludf.DUMMYFUNCTION("""COMPUTED_VALUE"""),"ビジネス・パフォーマンス【タテヨミ】")</f>
        <v>ビジネス・パフォーマンス【タテヨミ】</v>
      </c>
      <c r="G323" s="16" t="str">
        <f>IFERROR(__xludf.DUMMYFUNCTION("""COMPUTED_VALUE"""),"1～12")</f>
        <v>1～12</v>
      </c>
      <c r="H323" s="8" t="str">
        <f>IFERROR(__xludf.DUMMYFUNCTION("""COMPUTED_VALUE"""),"四季,ジータジャギ")</f>
        <v>四季,ジータジャギ</v>
      </c>
      <c r="I323" s="8" t="str">
        <f>IFERROR(__xludf.DUMMYFUNCTION("""COMPUTED_VALUE"""),"BL")</f>
        <v>BL</v>
      </c>
      <c r="J323" s="8"/>
      <c r="K323" s="8"/>
      <c r="L323" s="8" t="str">
        <f>IFERROR(__xludf.DUMMYFUNCTION("""COMPUTED_VALUE"""),"ソルマーレ編集部")</f>
        <v>ソルマーレ編集部</v>
      </c>
      <c r="M323" s="12">
        <f>IFERROR(__xludf.DUMMYFUNCTION("""COMPUTED_VALUE"""),45066.0)</f>
        <v>45066</v>
      </c>
      <c r="N323" s="12">
        <f>IFERROR(__xludf.DUMMYFUNCTION("""COMPUTED_VALUE"""),45127.0)</f>
        <v>45127</v>
      </c>
      <c r="O323" s="11"/>
      <c r="P323" s="9" t="str">
        <f>IFERROR(__xludf.DUMMYFUNCTION("""COMPUTED_VALUE"""),"可")</f>
        <v>可</v>
      </c>
      <c r="Q323" s="8" t="str">
        <f>IFERROR(__xludf.DUMMYFUNCTION("""COMPUTED_VALUE"""),"コマサム等素材は「253294　ビジネス・パフォーマンス（フルカラー）」のほうをお使いください。&lt;BR&gt;バナー制作はフルカラー版の素材を利用して問題ございません。&lt;BR&gt;")</f>
        <v>コマサム等素材は「253294　ビジネス・パフォーマンス（フルカラー）」のほうをお使いください。&lt;BR&gt;バナー制作はフルカラー版の素材を利用して問題ございません。&lt;BR&gt;</v>
      </c>
      <c r="R323" s="9"/>
      <c r="S323" s="8" t="str">
        <f>IFERROR(__xludf.DUMMYFUNCTION("""COMPUTED_VALUE"""),"20230417_ソルマーレ編集部_ビジネス・パフォーマンス【タテヨミ】")</f>
        <v>20230417_ソルマーレ編集部_ビジネス・パフォーマンス【タテヨミ】</v>
      </c>
      <c r="T323" s="15"/>
      <c r="U323" s="9" t="str">
        <f>IFERROR(__xludf.DUMMYFUNCTION("""COMPUTED_VALUE"""),"Ⓒ 四季/ジータジャギ/MSTORYHUB/シーモアコミックス")</f>
        <v>Ⓒ 四季/ジータジャギ/MSTORYHUB/シーモアコミックス</v>
      </c>
      <c r="V323" s="8" t="str">
        <f>IFERROR(__xludf.DUMMYFUNCTION("""COMPUTED_VALUE"""),"売れないアイドルグループ「パントテン酸」のリーダーだった凛（りん）は、グループ解散後、プロの小説家に転身。ずっと片想いしていたメンバー・宗介（そうすけ）をモデルにして書いた作品を、こっそり出版していた。「映画化する権利をください――主人公は俺が演じます」俳優として大活躍中の宗介が、凛の小説を映画化したいと言い出し、急接近!? ビジネスの話だとわかってはいるけど――宗介の強引なアプローチに心乱されて…。
年下イケメン俳優×純情小説家のシークレット・ラブ！【フィカス】")</f>
        <v>売れないアイドルグループ「パントテン酸」のリーダーだった凛（りん）は、グループ解散後、プロの小説家に転身。ずっと片想いしていたメンバー・宗介（そうすけ）をモデルにして書いた作品を、こっそり出版していた。「映画化する権利をください――主人公は俺が演じます」俳優として大活躍中の宗介が、凛の小説を映画化したいと言い出し、急接近!? ビジネスの話だとわかってはいるけど――宗介の強引なアプローチに心乱されて…。
年下イケメン俳優×純情小説家のシークレット・ラブ！【フィカス】</v>
      </c>
      <c r="W323" s="8"/>
      <c r="X323" s="8" t="str">
        <f>IFERROR(__xludf.DUMMYFUNCTION("""COMPUTED_VALUE"""),"有")</f>
        <v>有</v>
      </c>
      <c r="Y323" s="8" t="str">
        <f>IFERROR(__xludf.DUMMYFUNCTION("""COMPUTED_VALUE"""),"1巻０円")</f>
        <v>1巻０円</v>
      </c>
      <c r="Z323" s="7"/>
      <c r="AA323" s="7"/>
      <c r="AB323" s="7"/>
    </row>
    <row r="324" ht="15.75" customHeight="1">
      <c r="A324" s="8">
        <f>IFERROR(__xludf.DUMMYFUNCTION("""COMPUTED_VALUE"""),1898.0)</f>
        <v>1898</v>
      </c>
      <c r="B324" s="9" t="str">
        <f>IFERROR(__xludf.DUMMYFUNCTION("""COMPUTED_VALUE"""),"確定")</f>
        <v>確定</v>
      </c>
      <c r="C324" s="10">
        <f>IFERROR(__xludf.DUMMYFUNCTION("""COMPUTED_VALUE"""),45033.0)</f>
        <v>45033</v>
      </c>
      <c r="D324" s="10">
        <f>IFERROR(__xludf.DUMMYFUNCTION("""COMPUTED_VALUE"""),45033.0)</f>
        <v>45033</v>
      </c>
      <c r="E324" s="8">
        <f>IFERROR(__xludf.DUMMYFUNCTION("""COMPUTED_VALUE"""),267723.0)</f>
        <v>267723</v>
      </c>
      <c r="F324" s="9" t="str">
        <f>IFERROR(__xludf.DUMMYFUNCTION("""COMPUTED_VALUE"""),"ほどけて むすばる")</f>
        <v>ほどけて むすばる</v>
      </c>
      <c r="G324" s="11" t="str">
        <f>IFERROR(__xludf.DUMMYFUNCTION("""COMPUTED_VALUE"""),"1～3")</f>
        <v>1～3</v>
      </c>
      <c r="H324" s="8" t="str">
        <f>IFERROR(__xludf.DUMMYFUNCTION("""COMPUTED_VALUE"""),"黒田うらら")</f>
        <v>黒田うらら</v>
      </c>
      <c r="I324" s="8" t="str">
        <f>IFERROR(__xludf.DUMMYFUNCTION("""COMPUTED_VALUE"""),"女性")</f>
        <v>女性</v>
      </c>
      <c r="J324" s="8"/>
      <c r="K324" s="8"/>
      <c r="L324" s="8" t="str">
        <f>IFERROR(__xludf.DUMMYFUNCTION("""COMPUTED_VALUE"""),"PsycheLoss")</f>
        <v>PsycheLoss</v>
      </c>
      <c r="M324" s="12">
        <f>IFERROR(__xludf.DUMMYFUNCTION("""COMPUTED_VALUE"""),45045.0)</f>
        <v>45045</v>
      </c>
      <c r="N324" s="12">
        <f>IFERROR(__xludf.DUMMYFUNCTION("""COMPUTED_VALUE"""),45069.0)</f>
        <v>45069</v>
      </c>
      <c r="O324" s="11"/>
      <c r="P324" s="9" t="str">
        <f>IFERROR(__xludf.DUMMYFUNCTION("""COMPUTED_VALUE"""),"可")</f>
        <v>可</v>
      </c>
      <c r="Q324" s="8"/>
      <c r="R324" s="9"/>
      <c r="S324" s="8" t="str">
        <f>IFERROR(__xludf.DUMMYFUNCTION("""COMPUTED_VALUE"""),"20230417_PsycheLoss_ほどけて むすばる")</f>
        <v>20230417_PsycheLoss_ほどけて むすばる</v>
      </c>
      <c r="T324" s="9"/>
      <c r="U324" s="9" t="str">
        <f>IFERROR(__xludf.DUMMYFUNCTION("""COMPUTED_VALUE"""),"©黒田うらら/PsycheLoss")</f>
        <v>©黒田うらら/PsycheLoss</v>
      </c>
      <c r="V324" s="8" t="str">
        <f>IFERROR(__xludf.DUMMYFUNCTION("""COMPUTED_VALUE"""),"【愛する人とずっと一緒にいたい…。愛し合っている2人が望む当たり前の事。ただそれは彼女に取って罪に等しい事――】脱サラして憧れの田舎暮らしに胸を躍らせる実椿（みつば）。不思議な夢から目が覚め目的地に着いたはいいけど、契約金まで払ったのに家がない!?詐欺にあってしまい路頭に迷いそうなその時、親切なご婦人に一先ずその日は泊めさせてもらう事になったけど…。案内された家は立派なお屋敷で、咲き誇る綺麗な椿と、端正な顔立ちの若旦那に出会った。初めて会うはずの若旦那に何故か見覚えがある様な気がする不思議な感覚を味わう。"&amp;"その後出だしを挫かれた実椿だけど、徐々に田舎の人々や若旦那と打ち解けていくのだが、椿咲き誇る屋敷で過ごす程不思議な夢を見て、それは徐々に実椿自身に影響をもたらし――。愛し合う2人の絆はいつまでも、例えほどかれたとしても、また結びつき――。")</f>
        <v>【愛する人とずっと一緒にいたい…。愛し合っている2人が望む当たり前の事。ただそれは彼女に取って罪に等しい事――】脱サラして憧れの田舎暮らしに胸を躍らせる実椿（みつば）。不思議な夢から目が覚め目的地に着いたはいいけど、契約金まで払ったのに家がない!?詐欺にあってしまい路頭に迷いそうなその時、親切なご婦人に一先ずその日は泊めさせてもらう事になったけど…。案内された家は立派なお屋敷で、咲き誇る綺麗な椿と、端正な顔立ちの若旦那に出会った。初めて会うはずの若旦那に何故か見覚えがある様な気がする不思議な感覚を味わう。その後出だしを挫かれた実椿だけど、徐々に田舎の人々や若旦那と打ち解けていくのだが、椿咲き誇る屋敷で過ごす程不思議な夢を見て、それは徐々に実椿自身に影響をもたらし――。愛し合う2人の絆はいつまでも、例えほどかれたとしても、また結びつき――。</v>
      </c>
      <c r="W324" s="8"/>
      <c r="X324" s="8" t="str">
        <f>IFERROR(__xludf.DUMMYFUNCTION("""COMPUTED_VALUE"""),"有")</f>
        <v>有</v>
      </c>
      <c r="Y324" s="8" t="str">
        <f>IFERROR(__xludf.DUMMYFUNCTION("""COMPUTED_VALUE"""),"P5まで")</f>
        <v>P5まで</v>
      </c>
      <c r="Z324" s="7"/>
      <c r="AA324" s="7"/>
      <c r="AB324" s="7"/>
    </row>
    <row r="325" ht="15.75" customHeight="1">
      <c r="A325" s="8">
        <f>IFERROR(__xludf.DUMMYFUNCTION("""COMPUTED_VALUE"""),1900.0)</f>
        <v>1900</v>
      </c>
      <c r="B325" s="9" t="str">
        <f>IFERROR(__xludf.DUMMYFUNCTION("""COMPUTED_VALUE"""),"確定")</f>
        <v>確定</v>
      </c>
      <c r="C325" s="10">
        <f>IFERROR(__xludf.DUMMYFUNCTION("""COMPUTED_VALUE"""),45034.0)</f>
        <v>45034</v>
      </c>
      <c r="D325" s="10">
        <f>IFERROR(__xludf.DUMMYFUNCTION("""COMPUTED_VALUE"""),45034.0)</f>
        <v>45034</v>
      </c>
      <c r="E325" s="8">
        <f>IFERROR(__xludf.DUMMYFUNCTION("""COMPUTED_VALUE"""),267765.0)</f>
        <v>267765</v>
      </c>
      <c r="F325" s="9" t="str">
        <f>IFERROR(__xludf.DUMMYFUNCTION("""COMPUTED_VALUE"""),"非モテ覚醒～あの子の弱いトコが見えるようになりました～")</f>
        <v>非モテ覚醒～あの子の弱いトコが見えるようになりました～</v>
      </c>
      <c r="G325" s="11" t="str">
        <f>IFERROR(__xludf.DUMMYFUNCTION("""COMPUTED_VALUE"""),"1～3")</f>
        <v>1～3</v>
      </c>
      <c r="H325" s="8" t="str">
        <f>IFERROR(__xludf.DUMMYFUNCTION("""COMPUTED_VALUE"""),"UMS")</f>
        <v>UMS</v>
      </c>
      <c r="I325" s="8" t="str">
        <f>IFERROR(__xludf.DUMMYFUNCTION("""COMPUTED_VALUE"""),"青年")</f>
        <v>青年</v>
      </c>
      <c r="J325" s="8"/>
      <c r="K325" s="8"/>
      <c r="L325" s="8" t="str">
        <f>IFERROR(__xludf.DUMMYFUNCTION("""COMPUTED_VALUE"""),"ファンギルド")</f>
        <v>ファンギルド</v>
      </c>
      <c r="M325" s="12">
        <f>IFERROR(__xludf.DUMMYFUNCTION("""COMPUTED_VALUE"""),45100.0)</f>
        <v>45100</v>
      </c>
      <c r="N325" s="12">
        <f>IFERROR(__xludf.DUMMYFUNCTION("""COMPUTED_VALUE"""),45190.0)</f>
        <v>45190</v>
      </c>
      <c r="O325" s="11"/>
      <c r="P325" s="9" t="str">
        <f>IFERROR(__xludf.DUMMYFUNCTION("""COMPUTED_VALUE"""),"可")</f>
        <v>可</v>
      </c>
      <c r="Q325" s="8" t="str">
        <f>IFERROR(__xludf.DUMMYFUNCTION("""COMPUTED_VALUE"""),"協業レーベル『シーモア×Rush!』作品です。")</f>
        <v>協業レーベル『シーモア×Rush!』作品です。</v>
      </c>
      <c r="R325" s="9"/>
      <c r="S325" s="8" t="str">
        <f>IFERROR(__xludf.DUMMYFUNCTION("""COMPUTED_VALUE"""),"20230418_ファンギルド_非モテ覚醒～あの子の弱いトコが見えるようになりました～")</f>
        <v>20230418_ファンギルド_非モテ覚醒～あの子の弱いトコが見えるようになりました～</v>
      </c>
      <c r="T325" s="9"/>
      <c r="U325" s="9" t="str">
        <f>IFERROR(__xludf.DUMMYFUNCTION("""COMPUTED_VALUE"""),"©UMS/TOPTOON")</f>
        <v>©UMS/TOPTOON</v>
      </c>
      <c r="V325" s="8" t="str">
        <f>IFERROR(__xludf.DUMMYFUNCTION("""COMPUTED_VALUE"""),"女子の性感帯が”見える”ようになった――！？絵に描いたような「陰キャ」の大学生・拓郎（たくろう）は、ある日突然雷に打たれてしまう。しかし、何故か体は傷一つなく健康そのもの。不思議に思いながら過ごすうち、とある不思議な能力を得た事に気が付く。その能力とは、女性の性感帯が光り輝いて見えるというものだった！しかもその光に触れることで、相手の快感までをも操作できるようで…。美人な幼馴染み、後輩、先輩と非モテ男子が――。それぞれが内に秘めていた性欲は目覚め、「覚醒」していく…！！")</f>
        <v>女子の性感帯が”見える”ようになった――！？絵に描いたような「陰キャ」の大学生・拓郎（たくろう）は、ある日突然雷に打たれてしまう。しかし、何故か体は傷一つなく健康そのもの。不思議に思いながら過ごすうち、とある不思議な能力を得た事に気が付く。その能力とは、女性の性感帯が光り輝いて見えるというものだった！しかもその光に触れることで、相手の快感までをも操作できるようで…。美人な幼馴染み、後輩、先輩と非モテ男子が――。それぞれが内に秘めていた性欲は目覚め、「覚醒」していく…！！</v>
      </c>
      <c r="W325" s="8"/>
      <c r="X325" s="8" t="str">
        <f>IFERROR(__xludf.DUMMYFUNCTION("""COMPUTED_VALUE"""),"有")</f>
        <v>有</v>
      </c>
      <c r="Y325" s="8" t="str">
        <f>IFERROR(__xludf.DUMMYFUNCTION("""COMPUTED_VALUE"""),"7/9まで1巻無料")</f>
        <v>7/9まで1巻無料</v>
      </c>
      <c r="Z325" s="7"/>
      <c r="AA325" s="7"/>
      <c r="AB325" s="7"/>
    </row>
    <row r="326" ht="15.75" customHeight="1">
      <c r="A326" s="8">
        <f>IFERROR(__xludf.DUMMYFUNCTION("""COMPUTED_VALUE"""),1901.0)</f>
        <v>1901</v>
      </c>
      <c r="B326" s="9" t="str">
        <f>IFERROR(__xludf.DUMMYFUNCTION("""COMPUTED_VALUE"""),"確定")</f>
        <v>確定</v>
      </c>
      <c r="C326" s="10">
        <f>IFERROR(__xludf.DUMMYFUNCTION("""COMPUTED_VALUE"""),45034.0)</f>
        <v>45034</v>
      </c>
      <c r="D326" s="10">
        <f>IFERROR(__xludf.DUMMYFUNCTION("""COMPUTED_VALUE"""),45034.0)</f>
        <v>45034</v>
      </c>
      <c r="E326" s="8">
        <f>IFERROR(__xludf.DUMMYFUNCTION("""COMPUTED_VALUE"""),268381.0)</f>
        <v>268381</v>
      </c>
      <c r="F326" s="9" t="str">
        <f>IFERROR(__xludf.DUMMYFUNCTION("""COMPUTED_VALUE"""),"ラブデリバリー")</f>
        <v>ラブデリバリー</v>
      </c>
      <c r="G326" s="11" t="str">
        <f>IFERROR(__xludf.DUMMYFUNCTION("""COMPUTED_VALUE"""),"1～3")</f>
        <v>1～3</v>
      </c>
      <c r="H326" s="8" t="str">
        <f>IFERROR(__xludf.DUMMYFUNCTION("""COMPUTED_VALUE"""),"Haheuk/Danmuji")</f>
        <v>Haheuk/Danmuji</v>
      </c>
      <c r="I326" s="8" t="str">
        <f>IFERROR(__xludf.DUMMYFUNCTION("""COMPUTED_VALUE"""),"青年")</f>
        <v>青年</v>
      </c>
      <c r="J326" s="8"/>
      <c r="K326" s="8"/>
      <c r="L326" s="8" t="str">
        <f>IFERROR(__xludf.DUMMYFUNCTION("""COMPUTED_VALUE"""),"ファンギルド")</f>
        <v>ファンギルド</v>
      </c>
      <c r="M326" s="12">
        <f>IFERROR(__xludf.DUMMYFUNCTION("""COMPUTED_VALUE"""),45079.0)</f>
        <v>45079</v>
      </c>
      <c r="N326" s="12">
        <f>IFERROR(__xludf.DUMMYFUNCTION("""COMPUTED_VALUE"""),45113.0)</f>
        <v>45113</v>
      </c>
      <c r="O326" s="11"/>
      <c r="P326" s="9" t="str">
        <f>IFERROR(__xludf.DUMMYFUNCTION("""COMPUTED_VALUE"""),"可")</f>
        <v>可</v>
      </c>
      <c r="Q326" s="8"/>
      <c r="R326" s="9"/>
      <c r="S326" s="8" t="str">
        <f>IFERROR(__xludf.DUMMYFUNCTION("""COMPUTED_VALUE"""),"20230418_ファンギルド_ラブデリバリー")</f>
        <v>20230418_ファンギルド_ラブデリバリー</v>
      </c>
      <c r="T326" s="9"/>
      <c r="U326" s="9" t="str">
        <f>IFERROR(__xludf.DUMMYFUNCTION("""COMPUTED_VALUE"""),"©Haheuk/Danmuji/TOPTOON")</f>
        <v>©Haheuk/Danmuji/TOPTOON</v>
      </c>
      <c r="V326" s="8" t="str">
        <f>IFERROR(__xludf.DUMMYFUNCTION("""COMPUTED_VALUE"""),"すっかりおじさんと化した元青年・淳輔。詐欺にあい借金を背負って四苦八苦しながら、地元に戻ってデリバリーの仕事で食いつなぐ日々。当然、当時の同級生達に遭遇する事もしばしば…そんな矢先出くわしたのは高校時代のマドンナ――と瓜二つの女の子！！そんな彼女が突然、家出をすると言い出して――何故か淳輔の家に逃げ込むことに！？「だから…ちゃんと教えてよ」配達先で巻き起こる、初心だけれどちょっとHでおかしなラブストーリー！
")</f>
        <v>すっかりおじさんと化した元青年・淳輔。詐欺にあい借金を背負って四苦八苦しながら、地元に戻ってデリバリーの仕事で食いつなぐ日々。当然、当時の同級生達に遭遇する事もしばしば…そんな矢先出くわしたのは高校時代のマドンナ――と瓜二つの女の子！！そんな彼女が突然、家出をすると言い出して――何故か淳輔の家に逃げ込むことに！？「だから…ちゃんと教えてよ」配達先で巻き起こる、初心だけれどちょっとHでおかしなラブストーリー！
</v>
      </c>
      <c r="W326" s="8"/>
      <c r="X326" s="8" t="str">
        <f>IFERROR(__xludf.DUMMYFUNCTION("""COMPUTED_VALUE"""),"有")</f>
        <v>有</v>
      </c>
      <c r="Y326" s="8" t="str">
        <f>IFERROR(__xludf.DUMMYFUNCTION("""COMPUTED_VALUE"""),"6/15まで1巻無料")</f>
        <v>6/15まで1巻無料</v>
      </c>
      <c r="Z326" s="7"/>
      <c r="AA326" s="7"/>
      <c r="AB326" s="7"/>
    </row>
    <row r="327" ht="15.75" customHeight="1">
      <c r="A327" s="8">
        <f>IFERROR(__xludf.DUMMYFUNCTION("""COMPUTED_VALUE"""),1902.0)</f>
        <v>1902</v>
      </c>
      <c r="B327" s="9" t="str">
        <f>IFERROR(__xludf.DUMMYFUNCTION("""COMPUTED_VALUE"""),"確定")</f>
        <v>確定</v>
      </c>
      <c r="C327" s="10">
        <f>IFERROR(__xludf.DUMMYFUNCTION("""COMPUTED_VALUE"""),45034.0)</f>
        <v>45034</v>
      </c>
      <c r="D327" s="10">
        <f>IFERROR(__xludf.DUMMYFUNCTION("""COMPUTED_VALUE"""),45034.0)</f>
        <v>45034</v>
      </c>
      <c r="E327" s="8">
        <f>IFERROR(__xludf.DUMMYFUNCTION("""COMPUTED_VALUE"""),267846.0)</f>
        <v>267846</v>
      </c>
      <c r="F327" s="9" t="str">
        <f>IFERROR(__xludf.DUMMYFUNCTION("""COMPUTED_VALUE"""),"変な家【連載版】")</f>
        <v>変な家【連載版】</v>
      </c>
      <c r="G327" s="11" t="str">
        <f>IFERROR(__xludf.DUMMYFUNCTION("""COMPUTED_VALUE"""),"1～6")</f>
        <v>1～6</v>
      </c>
      <c r="H327" s="8" t="str">
        <f>IFERROR(__xludf.DUMMYFUNCTION("""COMPUTED_VALUE"""),"綾野暁(漫画) / 雨穴(原作)")</f>
        <v>綾野暁(漫画) / 雨穴(原作)</v>
      </c>
      <c r="I327" s="14" t="str">
        <f>IFERROR(__xludf.DUMMYFUNCTION("""COMPUTED_VALUE"""),"青年")</f>
        <v>青年</v>
      </c>
      <c r="J327" s="8"/>
      <c r="K327" s="8"/>
      <c r="L327" s="8" t="str">
        <f>IFERROR(__xludf.DUMMYFUNCTION("""COMPUTED_VALUE"""),"一迅社")</f>
        <v>一迅社</v>
      </c>
      <c r="M327" s="12">
        <f>IFERROR(__xludf.DUMMYFUNCTION("""COMPUTED_VALUE"""),45062.0)</f>
        <v>45062</v>
      </c>
      <c r="N327" s="12">
        <f>IFERROR(__xludf.DUMMYFUNCTION("""COMPUTED_VALUE"""),45092.0)</f>
        <v>45092</v>
      </c>
      <c r="O327" s="11"/>
      <c r="P327" s="9" t="str">
        <f>IFERROR(__xludf.DUMMYFUNCTION("""COMPUTED_VALUE"""),"可")</f>
        <v>可</v>
      </c>
      <c r="Q327" s="8"/>
      <c r="R327" s="9"/>
      <c r="S327" s="8" t="str">
        <f>IFERROR(__xludf.DUMMYFUNCTION("""COMPUTED_VALUE"""),"20230418_一迅社_変な家")</f>
        <v>20230418_一迅社_変な家</v>
      </c>
      <c r="T327" s="9"/>
      <c r="U327" s="9" t="str">
        <f>IFERROR(__xludf.DUMMYFUNCTION("""COMPUTED_VALUE"""),"(C)雨穴・綾野暁／一迅社")</f>
        <v>(C)雨穴・綾野暁／一迅社</v>
      </c>
      <c r="V327" s="8" t="str">
        <f>IFERROR(__xludf.DUMMYFUNCTION("""COMPUTED_VALUE"""),"オカルト専門ライターの「私」の元にもたらされた、とある家の間取り図。一見ごく普通の一戸建て住宅だが、知人の設計士・栗原に意見を求めると、彼は「この家には変なところがある」と話し始めた……。この間取り図には、何かが隠されている…。話題の不動産ミステリー、待望のコミカライズ!!　【本商品は単話コンテンツとなります。単行本版と収録内容が異なる場合がございます。漫画内の告知等は過去のものとなりますので、ご注意ください。】")</f>
        <v>オカルト専門ライターの「私」の元にもたらされた、とある家の間取り図。一見ごく普通の一戸建て住宅だが、知人の設計士・栗原に意見を求めると、彼は「この家には変なところがある」と話し始めた……。この間取り図には、何かが隠されている…。話題の不動産ミステリー、待望のコミカライズ!!　【本商品は単話コンテンツとなります。単行本版と収録内容が異なる場合がございます。漫画内の告知等は過去のものとなりますので、ご注意ください。】</v>
      </c>
      <c r="W327" s="8"/>
      <c r="X327" s="8" t="str">
        <f>IFERROR(__xludf.DUMMYFUNCTION("""COMPUTED_VALUE"""),"有")</f>
        <v>有</v>
      </c>
      <c r="Y327" s="8" t="str">
        <f>IFERROR(__xludf.DUMMYFUNCTION("""COMPUTED_VALUE"""),"6/15まで1巻無料")</f>
        <v>6/15まで1巻無料</v>
      </c>
      <c r="Z327" s="7"/>
      <c r="AA327" s="7"/>
      <c r="AB327" s="7"/>
    </row>
    <row r="328" ht="15.75" customHeight="1">
      <c r="A328" s="8">
        <f>IFERROR(__xludf.DUMMYFUNCTION("""COMPUTED_VALUE"""),1903.0)</f>
        <v>1903</v>
      </c>
      <c r="B328" s="9" t="str">
        <f>IFERROR(__xludf.DUMMYFUNCTION("""COMPUTED_VALUE"""),"確定")</f>
        <v>確定</v>
      </c>
      <c r="C328" s="10">
        <f>IFERROR(__xludf.DUMMYFUNCTION("""COMPUTED_VALUE"""),45034.0)</f>
        <v>45034</v>
      </c>
      <c r="D328" s="10">
        <f>IFERROR(__xludf.DUMMYFUNCTION("""COMPUTED_VALUE"""),45034.0)</f>
        <v>45034</v>
      </c>
      <c r="E328" s="8">
        <f>IFERROR(__xludf.DUMMYFUNCTION("""COMPUTED_VALUE"""),268947.0)</f>
        <v>268947</v>
      </c>
      <c r="F328" s="9" t="str">
        <f>IFERROR(__xludf.DUMMYFUNCTION("""COMPUTED_VALUE"""),"漆鷲社長の寵愛は突然に")</f>
        <v>漆鷲社長の寵愛は突然に</v>
      </c>
      <c r="G328" s="11" t="str">
        <f>IFERROR(__xludf.DUMMYFUNCTION("""COMPUTED_VALUE"""),"1～4")</f>
        <v>1～4</v>
      </c>
      <c r="H328" s="8" t="str">
        <f>IFERROR(__xludf.DUMMYFUNCTION("""COMPUTED_VALUE"""),"向嶋怜子・みなつき菫")</f>
        <v>向嶋怜子・みなつき菫</v>
      </c>
      <c r="I328" s="8" t="str">
        <f>IFERROR(__xludf.DUMMYFUNCTION("""COMPUTED_VALUE"""),"女性")</f>
        <v>女性</v>
      </c>
      <c r="J328" s="8"/>
      <c r="K328" s="8"/>
      <c r="L328" s="8" t="str">
        <f>IFERROR(__xludf.DUMMYFUNCTION("""COMPUTED_VALUE"""),"集英社")</f>
        <v>集英社</v>
      </c>
      <c r="M328" s="12">
        <f>IFERROR(__xludf.DUMMYFUNCTION("""COMPUTED_VALUE"""),45061.0)</f>
        <v>45061</v>
      </c>
      <c r="N328" s="12">
        <f>IFERROR(__xludf.DUMMYFUNCTION("""COMPUTED_VALUE"""),45091.0)</f>
        <v>45091</v>
      </c>
      <c r="O328" s="11"/>
      <c r="P328" s="9" t="str">
        <f>IFERROR(__xludf.DUMMYFUNCTION("""COMPUTED_VALUE"""),"否")</f>
        <v>否</v>
      </c>
      <c r="Q328" s="8"/>
      <c r="R328" s="9"/>
      <c r="S328" s="8" t="str">
        <f>IFERROR(__xludf.DUMMYFUNCTION("""COMPUTED_VALUE"""),"20230418_集英社_麗鷲社長の寵愛は突然に")</f>
        <v>20230418_集英社_麗鷲社長の寵愛は突然に</v>
      </c>
      <c r="T328" s="9"/>
      <c r="U328" s="9" t="str">
        <f>IFERROR(__xludf.DUMMYFUNCTION("""COMPUTED_VALUE"""),"向嶋怜子・みなつき菫（エブリスタ）／集英社")</f>
        <v>向嶋怜子・みなつき菫（エブリスタ）／集英社</v>
      </c>
      <c r="V328" s="8" t="str">
        <f>IFERROR(__xludf.DUMMYFUNCTION("""COMPUTED_VALUE"""),"君が欲しい。だから僕と結婚して――真面目過ぎて仕事人間。29年間彼氏が出来たことがない来美のもとに、社内で王子と騒がれているイケメン過ぎる社長が突然現れて!?
")</f>
        <v>君が欲しい。だから僕と結婚して――真面目過ぎて仕事人間。29年間彼氏が出来たことがない来美のもとに、社内で王子と騒がれているイケメン過ぎる社長が突然現れて!?
</v>
      </c>
      <c r="W328" s="8"/>
      <c r="X328" s="8" t="str">
        <f>IFERROR(__xludf.DUMMYFUNCTION("""COMPUTED_VALUE"""),"有")</f>
        <v>有</v>
      </c>
      <c r="Y328" s="8" t="str">
        <f>IFERROR(__xludf.DUMMYFUNCTION("""COMPUTED_VALUE"""),"5/28まで1巻無料")</f>
        <v>5/28まで1巻無料</v>
      </c>
      <c r="Z328" s="7"/>
      <c r="AA328" s="7"/>
      <c r="AB328" s="7"/>
    </row>
    <row r="329" ht="15.75" customHeight="1">
      <c r="A329" s="8">
        <f>IFERROR(__xludf.DUMMYFUNCTION("""COMPUTED_VALUE"""),1841.0)</f>
        <v>1841</v>
      </c>
      <c r="B329" s="9" t="str">
        <f>IFERROR(__xludf.DUMMYFUNCTION("""COMPUTED_VALUE"""),"確定")</f>
        <v>確定</v>
      </c>
      <c r="C329" s="10">
        <f>IFERROR(__xludf.DUMMYFUNCTION("""COMPUTED_VALUE"""),45014.0)</f>
        <v>45014</v>
      </c>
      <c r="D329" s="10">
        <f>IFERROR(__xludf.DUMMYFUNCTION("""COMPUTED_VALUE"""),45035.0)</f>
        <v>45035</v>
      </c>
      <c r="E329" s="8">
        <f>IFERROR(__xludf.DUMMYFUNCTION("""COMPUTED_VALUE"""),267354.0)</f>
        <v>267354</v>
      </c>
      <c r="F329" s="9" t="str">
        <f>IFERROR(__xludf.DUMMYFUNCTION("""COMPUTED_VALUE"""),"佐古くんは九頭くんの犬【分冊版】")</f>
        <v>佐古くんは九頭くんの犬【分冊版】</v>
      </c>
      <c r="G329" s="11">
        <f>IFERROR(__xludf.DUMMYFUNCTION("""COMPUTED_VALUE"""),1.0)</f>
        <v>1</v>
      </c>
      <c r="H329" s="8" t="str">
        <f>IFERROR(__xludf.DUMMYFUNCTION("""COMPUTED_VALUE"""),"しりの")</f>
        <v>しりの</v>
      </c>
      <c r="I329" s="8" t="str">
        <f>IFERROR(__xludf.DUMMYFUNCTION("""COMPUTED_VALUE"""),"BL")</f>
        <v>BL</v>
      </c>
      <c r="J329" s="8"/>
      <c r="K329" s="8"/>
      <c r="L329" s="8" t="str">
        <f>IFERROR(__xludf.DUMMYFUNCTION("""COMPUTED_VALUE"""),"笠倉出版社")</f>
        <v>笠倉出版社</v>
      </c>
      <c r="M329" s="12">
        <f>IFERROR(__xludf.DUMMYFUNCTION("""COMPUTED_VALUE"""),45049.0)</f>
        <v>45049</v>
      </c>
      <c r="N329" s="12">
        <f>IFERROR(__xludf.DUMMYFUNCTION("""COMPUTED_VALUE"""),45083.0)</f>
        <v>45083</v>
      </c>
      <c r="O329" s="11"/>
      <c r="P329" s="9" t="str">
        <f>IFERROR(__xludf.DUMMYFUNCTION("""COMPUTED_VALUE"""),"可")</f>
        <v>可</v>
      </c>
      <c r="Q329" s="8" t="str">
        <f>IFERROR(__xludf.DUMMYFUNCTION("""COMPUTED_VALUE"""),"広告コミットOK（3/31）&lt;BR&gt;")</f>
        <v>広告コミットOK（3/31）&lt;BR&gt;</v>
      </c>
      <c r="R329" s="9"/>
      <c r="S329" s="8" t="str">
        <f>IFERROR(__xludf.DUMMYFUNCTION("""COMPUTED_VALUE"""),"20230419_笠倉出版社_佐古くんは九頭くんの犬【分冊版】")</f>
        <v>20230419_笠倉出版社_佐古くんは九頭くんの犬【分冊版】</v>
      </c>
      <c r="T329" s="9"/>
      <c r="U329" s="9" t="str">
        <f>IFERROR(__xludf.DUMMYFUNCTION("""COMPUTED_VALUE"""),"©しりの/笠倉出版社")</f>
        <v>©しりの/笠倉出版社</v>
      </c>
      <c r="V329" s="8" t="str">
        <f>IFERROR(__xludf.DUMMYFUNCTION("""COMPUTED_VALUE"""),"売られた喧嘩を買い続けているうちに、気づけば日々絡まれるようになってしまった九頭。そんな彼の秘密は、お尻で気持ちよくなっていることで…！？来る日も来る日も挑んでくる男達を倒し続ける彼のもとに、ある日佐古という男が現れる。いつものように秒殺するが、なかなかあきらめず何度も勝負を挑んでくる佐古。そんな彼に辟易した九頭は、自分の楽しみに付き合わせながら屈辱を与えるという一石二鳥の方法で追い払うことを思いつき…？猪突猛進な童貞ヤンキー×ちょっとエッチな最強の男の喧嘩から始まるバイオレンスラブコメディ！！")</f>
        <v>売られた喧嘩を買い続けているうちに、気づけば日々絡まれるようになってしまった九頭。そんな彼の秘密は、お尻で気持ちよくなっていることで…！？来る日も来る日も挑んでくる男達を倒し続ける彼のもとに、ある日佐古という男が現れる。いつものように秒殺するが、なかなかあきらめず何度も勝負を挑んでくる佐古。そんな彼に辟易した九頭は、自分の楽しみに付き合わせながら屈辱を与えるという一石二鳥の方法で追い払うことを思いつき…？猪突猛進な童貞ヤンキー×ちょっとエッチな最強の男の喧嘩から始まるバイオレンスラブコメディ！！</v>
      </c>
      <c r="W329" s="8"/>
      <c r="X329" s="8" t="str">
        <f>IFERROR(__xludf.DUMMYFUNCTION("""COMPUTED_VALUE"""),"有")</f>
        <v>有</v>
      </c>
      <c r="Y329" s="8" t="str">
        <f>IFERROR(__xludf.DUMMYFUNCTION("""COMPUTED_VALUE"""),"5/16まで立ち読み増量P14まで")</f>
        <v>5/16まで立ち読み増量P14まで</v>
      </c>
      <c r="Z329" s="7"/>
      <c r="AA329" s="7"/>
      <c r="AB329" s="7"/>
    </row>
    <row r="330" ht="15.75" customHeight="1">
      <c r="A330" s="8">
        <f>IFERROR(__xludf.DUMMYFUNCTION("""COMPUTED_VALUE"""),1857.0)</f>
        <v>1857</v>
      </c>
      <c r="B330" s="9" t="str">
        <f>IFERROR(__xludf.DUMMYFUNCTION("""COMPUTED_VALUE"""),"確定")</f>
        <v>確定</v>
      </c>
      <c r="C330" s="10">
        <f>IFERROR(__xludf.DUMMYFUNCTION("""COMPUTED_VALUE"""),45022.0)</f>
        <v>45022</v>
      </c>
      <c r="D330" s="10">
        <f>IFERROR(__xludf.DUMMYFUNCTION("""COMPUTED_VALUE"""),45040.0)</f>
        <v>45040</v>
      </c>
      <c r="E330" s="8">
        <f>IFERROR(__xludf.DUMMYFUNCTION("""COMPUTED_VALUE"""),268707.0)</f>
        <v>268707</v>
      </c>
      <c r="F330" s="9" t="str">
        <f>IFERROR(__xludf.DUMMYFUNCTION("""COMPUTED_VALUE"""),"人気若手俳優とスキャンダル契約～宣伝対価はナカまで満たす契約えっち!?～【分冊版】")</f>
        <v>人気若手俳優とスキャンダル契約～宣伝対価はナカまで満たす契約えっち!?～【分冊版】</v>
      </c>
      <c r="G330" s="11" t="str">
        <f>IFERROR(__xludf.DUMMYFUNCTION("""COMPUTED_VALUE"""),"1～3")</f>
        <v>1～3</v>
      </c>
      <c r="H330" s="8" t="str">
        <f>IFERROR(__xludf.DUMMYFUNCTION("""COMPUTED_VALUE"""),"作画：海槻よき / 原作：七原みさ")</f>
        <v>作画：海槻よき / 原作：七原みさ</v>
      </c>
      <c r="I330" s="8" t="str">
        <f>IFERROR(__xludf.DUMMYFUNCTION("""COMPUTED_VALUE"""),"TL")</f>
        <v>TL</v>
      </c>
      <c r="J330" s="8"/>
      <c r="K330" s="8"/>
      <c r="L330" s="8" t="str">
        <f>IFERROR(__xludf.DUMMYFUNCTION("""COMPUTED_VALUE"""),"笠倉出版社")</f>
        <v>笠倉出版社</v>
      </c>
      <c r="M330" s="12">
        <f>IFERROR(__xludf.DUMMYFUNCTION("""COMPUTED_VALUE"""),45092.0)</f>
        <v>45092</v>
      </c>
      <c r="N330" s="12">
        <f>IFERROR(__xludf.DUMMYFUNCTION("""COMPUTED_VALUE"""),45189.0)</f>
        <v>45189</v>
      </c>
      <c r="O330" s="11"/>
      <c r="P330" s="9" t="str">
        <f>IFERROR(__xludf.DUMMYFUNCTION("""COMPUTED_VALUE"""),"可")</f>
        <v>可</v>
      </c>
      <c r="Q330" s="8" t="str">
        <f>IFERROR(__xludf.DUMMYFUNCTION("""COMPUTED_VALUE"""),"広告コミットOK（4/7）&lt;BR&gt;6/15～6/28（２週間）で「1巻無料（ストリーミング）」予定")</f>
        <v>広告コミットOK（4/7）&lt;BR&gt;6/15～6/28（２週間）で「1巻無料（ストリーミング）」予定</v>
      </c>
      <c r="R330" s="9"/>
      <c r="S330" s="8" t="str">
        <f>IFERROR(__xludf.DUMMYFUNCTION("""COMPUTED_VALUE"""),"20230424_笠倉出版社_人気若手俳優とスキャンダル契約～宣伝対価はナカまで満たす契約えっち！？～【分冊版】")</f>
        <v>20230424_笠倉出版社_人気若手俳優とスキャンダル契約～宣伝対価はナカまで満たす契約えっち！？～【分冊版】</v>
      </c>
      <c r="T330" s="9" t="str">
        <f>IFERROR(__xludf.DUMMYFUNCTION("""COMPUTED_VALUE"""),"広告利用OK、トンボ付きなのでトンボが入らないようご注意願います")</f>
        <v>広告利用OK、トンボ付きなのでトンボが入らないようご注意願います</v>
      </c>
      <c r="U330" s="9" t="str">
        <f>IFERROR(__xludf.DUMMYFUNCTION("""COMPUTED_VALUE"""),"©海槻よき・七原みさ/笠倉出版社")</f>
        <v>©海槻よき・七原みさ/笠倉出版社</v>
      </c>
      <c r="V330" s="8" t="str">
        <f>IFERROR(__xludf.DUMMYFUNCTION("""COMPUTED_VALUE"""),"「優しくどろどろに甘やかされたい？それとも…激しくされるのが好き？」「教えてやるよ、せっかくの取り引きなんだからな」喫茶店の看板娘・春香は大好きな祖父母のお店を守るため日々奮闘中！だけど努力むなしく新規の顧客獲得に苦戦していた。そんな時、最近よく来るイケメンが人気急上昇中の若手俳優と判明。ワラにもすがる思いでSNSでの宣伝をお願いすると、交換条件にエッチを要求された。「今からそんな顔してたら最後はどうなっちゃうんだろうな」端正な顔が近づいて重なった口づけ。伝う熱が甘くて舌まで蕩けちゃいそう…。敏感なところ"&amp;"をくちゅくちゅと掻き回されて、初めてなのに身体は切なく反応してしまい…。たった一度きりのはずだった関係。だけど気持ちは強く惹かれていってーーひみつの契約から始まる、焦れ甘恋わずらい！")</f>
        <v>「優しくどろどろに甘やかされたい？それとも…激しくされるのが好き？」「教えてやるよ、せっかくの取り引きなんだからな」喫茶店の看板娘・春香は大好きな祖父母のお店を守るため日々奮闘中！だけど努力むなしく新規の顧客獲得に苦戦していた。そんな時、最近よく来るイケメンが人気急上昇中の若手俳優と判明。ワラにもすがる思いでSNSでの宣伝をお願いすると、交換条件にエッチを要求された。「今からそんな顔してたら最後はどうなっちゃうんだろうな」端正な顔が近づいて重なった口づけ。伝う熱が甘くて舌まで蕩けちゃいそう…。敏感なところをくちゅくちゅと掻き回されて、初めてなのに身体は切なく反応してしまい…。たった一度きりのはずだった関係。だけど気持ちは強く惹かれていってーーひみつの契約から始まる、焦れ甘恋わずらい！</v>
      </c>
      <c r="W330" s="8"/>
      <c r="X330" s="8" t="str">
        <f>IFERROR(__xludf.DUMMYFUNCTION("""COMPUTED_VALUE"""),"有")</f>
        <v>有</v>
      </c>
      <c r="Y330" s="8" t="str">
        <f>IFERROR(__xludf.DUMMYFUNCTION("""COMPUTED_VALUE"""),"P6まで")</f>
        <v>P6まで</v>
      </c>
      <c r="Z330" s="7"/>
      <c r="AA330" s="7"/>
      <c r="AB330" s="7"/>
    </row>
    <row r="331" ht="15.75" customHeight="1">
      <c r="A331" s="8">
        <f>IFERROR(__xludf.DUMMYFUNCTION("""COMPUTED_VALUE"""),1862.0)</f>
        <v>1862</v>
      </c>
      <c r="B331" s="9" t="str">
        <f>IFERROR(__xludf.DUMMYFUNCTION("""COMPUTED_VALUE"""),"確定")</f>
        <v>確定</v>
      </c>
      <c r="C331" s="10">
        <f>IFERROR(__xludf.DUMMYFUNCTION("""COMPUTED_VALUE"""),45023.0)</f>
        <v>45023</v>
      </c>
      <c r="D331" s="10">
        <f>IFERROR(__xludf.DUMMYFUNCTION("""COMPUTED_VALUE"""),45036.0)</f>
        <v>45036</v>
      </c>
      <c r="E331" s="8">
        <f>IFERROR(__xludf.DUMMYFUNCTION("""COMPUTED_VALUE"""),268269.0)</f>
        <v>268269</v>
      </c>
      <c r="F331" s="9" t="str">
        <f>IFERROR(__xludf.DUMMYFUNCTION("""COMPUTED_VALUE"""),"キスシーンはアドリブです！【マイクロ】")</f>
        <v>キスシーンはアドリブです！【マイクロ】</v>
      </c>
      <c r="G331" s="11" t="str">
        <f>IFERROR(__xludf.DUMMYFUNCTION("""COMPUTED_VALUE"""),"1～3")</f>
        <v>1～3</v>
      </c>
      <c r="H331" s="8" t="str">
        <f>IFERROR(__xludf.DUMMYFUNCTION("""COMPUTED_VALUE"""),"ましい柚茉")</f>
        <v>ましい柚茉</v>
      </c>
      <c r="I331" s="8" t="str">
        <f>IFERROR(__xludf.DUMMYFUNCTION("""COMPUTED_VALUE"""),"少女")</f>
        <v>少女</v>
      </c>
      <c r="J331" s="8"/>
      <c r="K331" s="8"/>
      <c r="L331" s="8" t="str">
        <f>IFERROR(__xludf.DUMMYFUNCTION("""COMPUTED_VALUE"""),"小学館")</f>
        <v>小学館</v>
      </c>
      <c r="M331" s="12">
        <f>IFERROR(__xludf.DUMMYFUNCTION("""COMPUTED_VALUE"""),45061.0)</f>
        <v>45061</v>
      </c>
      <c r="N331" s="12">
        <f>IFERROR(__xludf.DUMMYFUNCTION("""COMPUTED_VALUE"""),45121.0)</f>
        <v>45121</v>
      </c>
      <c r="O331" s="11"/>
      <c r="P331" s="9" t="str">
        <f>IFERROR(__xludf.DUMMYFUNCTION("""COMPUTED_VALUE"""),"否")</f>
        <v>否</v>
      </c>
      <c r="Q331" s="8" t="str">
        <f>IFERROR(__xludf.DUMMYFUNCTION("""COMPUTED_VALUE"""),"広告コミットOK（4/7）&lt;BR&gt;20230419更新：巻数・先行配信開始日・先行配信終了日（駒村）")</f>
        <v>広告コミットOK（4/7）&lt;BR&gt;20230419更新：巻数・先行配信開始日・先行配信終了日（駒村）</v>
      </c>
      <c r="R331" s="9"/>
      <c r="S331" s="8" t="str">
        <f>IFERROR(__xludf.DUMMYFUNCTION("""COMPUTED_VALUE"""),"20230420_小学館_キスシーンはアドリブです！【マイクロ】")</f>
        <v>20230420_小学館_キスシーンはアドリブです！【マイクロ】</v>
      </c>
      <c r="T331" s="9"/>
      <c r="U331" s="9" t="str">
        <f>IFERROR(__xludf.DUMMYFUNCTION("""COMPUTED_VALUE"""),"(C)ましい柚茉 / 小学館")</f>
        <v>(C)ましい柚茉 / 小学館</v>
      </c>
      <c r="V331" s="8" t="str">
        <f>IFERROR(__xludf.DUMMYFUNCTION("""COMPUTED_VALUE"""),"天才イケメン俳優×崖っぷち脚本家　ドリームラブ！まりえは「いつか王子様と恋に落ちるドラマが書きたい！」と夢見るアラサー脚本家。しかし不採用続きでバイト漬けの日々…。そんな時、バイト先に天才俳優・蓮司が突然現れ…！？
")</f>
        <v>天才イケメン俳優×崖っぷち脚本家　ドリームラブ！まりえは「いつか王子様と恋に落ちるドラマが書きたい！」と夢見るアラサー脚本家。しかし不採用続きでバイト漬けの日々…。そんな時、バイト先に天才俳優・蓮司が突然現れ…！？
</v>
      </c>
      <c r="W331" s="8"/>
      <c r="X331" s="8" t="str">
        <f>IFERROR(__xludf.DUMMYFUNCTION("""COMPUTED_VALUE"""),"有")</f>
        <v>有</v>
      </c>
      <c r="Y331" s="8" t="str">
        <f>IFERROR(__xludf.DUMMYFUNCTION("""COMPUTED_VALUE"""),"5/28まで1巻無料")</f>
        <v>5/28まで1巻無料</v>
      </c>
      <c r="Z331" s="7"/>
      <c r="AA331" s="7"/>
      <c r="AB331" s="7"/>
    </row>
    <row r="332" ht="15.75" customHeight="1">
      <c r="A332" s="8">
        <f>IFERROR(__xludf.DUMMYFUNCTION("""COMPUTED_VALUE"""),1904.0)</f>
        <v>1904</v>
      </c>
      <c r="B332" s="9" t="str">
        <f>IFERROR(__xludf.DUMMYFUNCTION("""COMPUTED_VALUE"""),"確定")</f>
        <v>確定</v>
      </c>
      <c r="C332" s="10">
        <f>IFERROR(__xludf.DUMMYFUNCTION("""COMPUTED_VALUE"""),45035.0)</f>
        <v>45035</v>
      </c>
      <c r="D332" s="10">
        <f>IFERROR(__xludf.DUMMYFUNCTION("""COMPUTED_VALUE"""),45035.0)</f>
        <v>45035</v>
      </c>
      <c r="E332" s="8">
        <f>IFERROR(__xludf.DUMMYFUNCTION("""COMPUTED_VALUE"""),255468.0)</f>
        <v>255468</v>
      </c>
      <c r="F332" s="9" t="str">
        <f>IFERROR(__xludf.DUMMYFUNCTION("""COMPUTED_VALUE"""),"悪名高き冷酷王子は私のことしか愛せない")</f>
        <v>悪名高き冷酷王子は私のことしか愛せない</v>
      </c>
      <c r="G332" s="11" t="str">
        <f>IFERROR(__xludf.DUMMYFUNCTION("""COMPUTED_VALUE"""),"1～3")</f>
        <v>1～3</v>
      </c>
      <c r="H332" s="8" t="str">
        <f>IFERROR(__xludf.DUMMYFUNCTION("""COMPUTED_VALUE"""),"小菅かつき")</f>
        <v>小菅かつき</v>
      </c>
      <c r="I332" s="14" t="str">
        <f>IFERROR(__xludf.DUMMYFUNCTION("""COMPUTED_VALUE"""),"女性")</f>
        <v>女性</v>
      </c>
      <c r="J332" s="8"/>
      <c r="K332" s="8"/>
      <c r="L332" s="8" t="str">
        <f>IFERROR(__xludf.DUMMYFUNCTION("""COMPUTED_VALUE"""),"シーモアコミックス")</f>
        <v>シーモアコミックス</v>
      </c>
      <c r="M332" s="12">
        <f>IFERROR(__xludf.DUMMYFUNCTION("""COMPUTED_VALUE"""),45072.0)</f>
        <v>45072</v>
      </c>
      <c r="N332" s="12">
        <f>IFERROR(__xludf.DUMMYFUNCTION("""COMPUTED_VALUE"""),45225.0)</f>
        <v>45225</v>
      </c>
      <c r="O332" s="11"/>
      <c r="P332" s="9" t="str">
        <f>IFERROR(__xludf.DUMMYFUNCTION("""COMPUTED_VALUE"""),"可")</f>
        <v>可</v>
      </c>
      <c r="Q332" s="8" t="str">
        <f>IFERROR(__xludf.DUMMYFUNCTION("""COMPUTED_VALUE"""),"※正式タイトル下記の通りです（4/19）&lt;BR&gt;＝＝＝&lt;BR&gt;悪名高き冷酷王子は私のことしか愛せない&lt;BR&gt;＝＝＝&lt;BR&gt;")</f>
        <v>※正式タイトル下記の通りです（4/19）&lt;BR&gt;＝＝＝&lt;BR&gt;悪名高き冷酷王子は私のことしか愛せない&lt;BR&gt;＝＝＝&lt;BR&gt;</v>
      </c>
      <c r="R332" s="9"/>
      <c r="S332" s="8" t="str">
        <f>IFERROR(__xludf.DUMMYFUNCTION("""COMPUTED_VALUE"""),"20230419_シーモアコミックス_悪名高き冷酷王子は私のことしか愛せない")</f>
        <v>20230419_シーモアコミックス_悪名高き冷酷王子は私のことしか愛せない</v>
      </c>
      <c r="T332" s="15"/>
      <c r="U332" s="9" t="str">
        <f>IFERROR(__xludf.DUMMYFUNCTION("""COMPUTED_VALUE"""),"© 小菅かつき/シーモアコミックス")</f>
        <v>© 小菅かつき/シーモアコミックス</v>
      </c>
      <c r="V332" s="8" t="str">
        <f>IFERROR(__xludf.DUMMYFUNCTION("""COMPUTED_VALUE"""),"ブレリナム宮殿…そこにはとても冷酷残忍で、何人もの家来・執事を殺してきたと噂される王子がいた。その王子の名はエドゥアール。そんな誰も寄り付かない宮殿に、ある日一人の女性が訪ねてくることになる…。両親を疫病で亡くし、叔父夫婦に弟や妹を売られそうになった姉・フェリパ。弟と妹のため、フェリパは叔父から提案された「ブレリナム宮殿で働くこと」を受け入れる。家族でもう一度幸せに暮らすことを願い宮殿に足を踏み入れるフェリパだが、エドゥアール王子にいきなり剣を突きつけられる。「裏切ったらその時は、迷いなく殺す」やはり王子"&amp;"は冷酷残忍なのか？王子を取り巻く闇にフェリパも巻き込まれていく―。")</f>
        <v>ブレリナム宮殿…そこにはとても冷酷残忍で、何人もの家来・執事を殺してきたと噂される王子がいた。その王子の名はエドゥアール。そんな誰も寄り付かない宮殿に、ある日一人の女性が訪ねてくることになる…。両親を疫病で亡くし、叔父夫婦に弟や妹を売られそうになった姉・フェリパ。弟と妹のため、フェリパは叔父から提案された「ブレリナム宮殿で働くこと」を受け入れる。家族でもう一度幸せに暮らすことを願い宮殿に足を踏み入れるフェリパだが、エドゥアール王子にいきなり剣を突きつけられる。「裏切ったらその時は、迷いなく殺す」やはり王子は冷酷残忍なのか？王子を取り巻く闇にフェリパも巻き込まれていく―。</v>
      </c>
      <c r="W332" s="8"/>
      <c r="X332" s="8" t="str">
        <f>IFERROR(__xludf.DUMMYFUNCTION("""COMPUTED_VALUE"""),"有")</f>
        <v>有</v>
      </c>
      <c r="Y332" s="8" t="str">
        <f>IFERROR(__xludf.DUMMYFUNCTION("""COMPUTED_VALUE"""),"P16まで")</f>
        <v>P16まで</v>
      </c>
      <c r="Z332" s="7"/>
      <c r="AA332" s="7"/>
      <c r="AB332" s="7"/>
    </row>
    <row r="333" ht="15.75" customHeight="1">
      <c r="A333" s="8">
        <f>IFERROR(__xludf.DUMMYFUNCTION("""COMPUTED_VALUE"""),1905.0)</f>
        <v>1905</v>
      </c>
      <c r="B333" s="9" t="str">
        <f>IFERROR(__xludf.DUMMYFUNCTION("""COMPUTED_VALUE"""),"確定")</f>
        <v>確定</v>
      </c>
      <c r="C333" s="10">
        <f>IFERROR(__xludf.DUMMYFUNCTION("""COMPUTED_VALUE"""),45035.0)</f>
        <v>45035</v>
      </c>
      <c r="D333" s="10">
        <f>IFERROR(__xludf.DUMMYFUNCTION("""COMPUTED_VALUE"""),45035.0)</f>
        <v>45035</v>
      </c>
      <c r="E333" s="8">
        <f>IFERROR(__xludf.DUMMYFUNCTION("""COMPUTED_VALUE"""),259801.0)</f>
        <v>259801</v>
      </c>
      <c r="F333" s="9" t="str">
        <f>IFERROR(__xludf.DUMMYFUNCTION("""COMPUTED_VALUE"""),"フウフ・ハラスメント")</f>
        <v>フウフ・ハラスメント</v>
      </c>
      <c r="G333" s="11" t="str">
        <f>IFERROR(__xludf.DUMMYFUNCTION("""COMPUTED_VALUE"""),"1～3")</f>
        <v>1～3</v>
      </c>
      <c r="H333" s="8" t="str">
        <f>IFERROR(__xludf.DUMMYFUNCTION("""COMPUTED_VALUE"""),"浅川ナオ,たみちん")</f>
        <v>浅川ナオ,たみちん</v>
      </c>
      <c r="I333" s="14" t="str">
        <f>IFERROR(__xludf.DUMMYFUNCTION("""COMPUTED_VALUE"""),"女性")</f>
        <v>女性</v>
      </c>
      <c r="J333" s="8"/>
      <c r="K333" s="8"/>
      <c r="L333" s="8" t="str">
        <f>IFERROR(__xludf.DUMMYFUNCTION("""COMPUTED_VALUE"""),"シーモアコミックス")</f>
        <v>シーモアコミックス</v>
      </c>
      <c r="M333" s="12">
        <f>IFERROR(__xludf.DUMMYFUNCTION("""COMPUTED_VALUE"""),45072.0)</f>
        <v>45072</v>
      </c>
      <c r="N333" s="12">
        <f>IFERROR(__xludf.DUMMYFUNCTION("""COMPUTED_VALUE"""),45225.0)</f>
        <v>45225</v>
      </c>
      <c r="O333" s="11"/>
      <c r="P333" s="9" t="str">
        <f>IFERROR(__xludf.DUMMYFUNCTION("""COMPUTED_VALUE"""),"可")</f>
        <v>可</v>
      </c>
      <c r="Q333" s="8" t="str">
        <f>IFERROR(__xludf.DUMMYFUNCTION("""COMPUTED_VALUE"""),"※正式タイトル下記の通りです（4/19）&lt;BR&gt;＝＝＝&lt;BR&gt;フウフ・ハラスメント&lt;BR&gt;＝＝＝&lt;BR&gt;")</f>
        <v>※正式タイトル下記の通りです（4/19）&lt;BR&gt;＝＝＝&lt;BR&gt;フウフ・ハラスメント&lt;BR&gt;＝＝＝&lt;BR&gt;</v>
      </c>
      <c r="R333" s="9"/>
      <c r="S333" s="8" t="str">
        <f>IFERROR(__xludf.DUMMYFUNCTION("""COMPUTED_VALUE"""),"20230419_シーモアコミックス_フウフ・ハラスメント")</f>
        <v>20230419_シーモアコミックス_フウフ・ハラスメント</v>
      </c>
      <c r="T333" s="15"/>
      <c r="U333" s="9" t="str">
        <f>IFERROR(__xludf.DUMMYFUNCTION("""COMPUTED_VALUE"""),"© 浅川ナオ/たみちん/シーモアコミックス")</f>
        <v>© 浅川ナオ/たみちん/シーモアコミックス</v>
      </c>
      <c r="V333" s="8" t="str">
        <f>IFERROR(__xludf.DUMMYFUNCTION("""COMPUTED_VALUE"""),"「どうしておふくろみたいにできないんだ　もっとまじめにやれ」モラハラ夫・内田悠斗(38)と夫婦生活を送る妻・秋穂(33)。ある日、夫の風俗通いに気づいてしまう。夫と、肩身の狭い義実家にも尽くしてきたにも関わらず、今まで耐えていた自分は何だったのか…？そんな戸惑う秋穂に、パート先のイケメン同僚・純平(25)が「取引しようよ」と声をかけてきて――。
")</f>
        <v>「どうしておふくろみたいにできないんだ　もっとまじめにやれ」モラハラ夫・内田悠斗(38)と夫婦生活を送る妻・秋穂(33)。ある日、夫の風俗通いに気づいてしまう。夫と、肩身の狭い義実家にも尽くしてきたにも関わらず、今まで耐えていた自分は何だったのか…？そんな戸惑う秋穂に、パート先のイケメン同僚・純平(25)が「取引しようよ」と声をかけてきて――。
</v>
      </c>
      <c r="W333" s="8"/>
      <c r="X333" s="8" t="str">
        <f>IFERROR(__xludf.DUMMYFUNCTION("""COMPUTED_VALUE"""),"有")</f>
        <v>有</v>
      </c>
      <c r="Y333" s="8" t="str">
        <f>IFERROR(__xludf.DUMMYFUNCTION("""COMPUTED_VALUE"""),"P7まで")</f>
        <v>P7まで</v>
      </c>
      <c r="Z333" s="7"/>
      <c r="AA333" s="7"/>
      <c r="AB333" s="7"/>
    </row>
    <row r="334" ht="15.75" customHeight="1">
      <c r="A334" s="8">
        <f>IFERROR(__xludf.DUMMYFUNCTION("""COMPUTED_VALUE"""),1906.0)</f>
        <v>1906</v>
      </c>
      <c r="B334" s="9" t="str">
        <f>IFERROR(__xludf.DUMMYFUNCTION("""COMPUTED_VALUE"""),"確定")</f>
        <v>確定</v>
      </c>
      <c r="C334" s="10">
        <f>IFERROR(__xludf.DUMMYFUNCTION("""COMPUTED_VALUE"""),45036.0)</f>
        <v>45036</v>
      </c>
      <c r="D334" s="10">
        <f>IFERROR(__xludf.DUMMYFUNCTION("""COMPUTED_VALUE"""),45036.0)</f>
        <v>45036</v>
      </c>
      <c r="E334" s="8">
        <f>IFERROR(__xludf.DUMMYFUNCTION("""COMPUTED_VALUE"""),267850.0)</f>
        <v>267850</v>
      </c>
      <c r="F334" s="9" t="str">
        <f>IFERROR(__xludf.DUMMYFUNCTION("""COMPUTED_VALUE"""),"オジサマ社長の極太な溺愛で連続イキっ…～奥までずっぷり甘やかしエッチ～")</f>
        <v>オジサマ社長の極太な溺愛で連続イキっ…～奥までずっぷり甘やかしエッチ～</v>
      </c>
      <c r="G334" s="11" t="str">
        <f>IFERROR(__xludf.DUMMYFUNCTION("""COMPUTED_VALUE"""),"1～2")</f>
        <v>1～2</v>
      </c>
      <c r="H334" s="8" t="str">
        <f>IFERROR(__xludf.DUMMYFUNCTION("""COMPUTED_VALUE"""),"空海リク")</f>
        <v>空海リク</v>
      </c>
      <c r="I334" s="14" t="str">
        <f>IFERROR(__xludf.DUMMYFUNCTION("""COMPUTED_VALUE"""),"TL")</f>
        <v>TL</v>
      </c>
      <c r="J334" s="8"/>
      <c r="K334" s="8"/>
      <c r="L334" s="8" t="str">
        <f>IFERROR(__xludf.DUMMYFUNCTION("""COMPUTED_VALUE"""),"アイプロダクション")</f>
        <v>アイプロダクション</v>
      </c>
      <c r="M334" s="12">
        <f>IFERROR(__xludf.DUMMYFUNCTION("""COMPUTED_VALUE"""),45065.0)</f>
        <v>45065</v>
      </c>
      <c r="N334" s="12">
        <f>IFERROR(__xludf.DUMMYFUNCTION("""COMPUTED_VALUE"""),45125.0)</f>
        <v>45125</v>
      </c>
      <c r="O334" s="11"/>
      <c r="P334" s="9" t="str">
        <f>IFERROR(__xludf.DUMMYFUNCTION("""COMPUTED_VALUE"""),"可")</f>
        <v>可</v>
      </c>
      <c r="Q334" s="8" t="str">
        <f>IFERROR(__xludf.DUMMYFUNCTION("""COMPUTED_VALUE"""),"新連載　御社2ヶ月独占先行連載")</f>
        <v>新連載　御社2ヶ月独占先行連載</v>
      </c>
      <c r="R334" s="9">
        <f>IFERROR(__xludf.DUMMYFUNCTION("""COMPUTED_VALUE"""),45030.0)</f>
        <v>45030</v>
      </c>
      <c r="S334" s="8" t="str">
        <f>IFERROR(__xludf.DUMMYFUNCTION("""COMPUTED_VALUE"""),"20230420_アイプロダクション_オジサマ社長の極太な溺愛で連続イキっ…")</f>
        <v>20230420_アイプロダクション_オジサマ社長の極太な溺愛で連続イキっ…</v>
      </c>
      <c r="T334" s="9"/>
      <c r="U334" s="9" t="str">
        <f>IFERROR(__xludf.DUMMYFUNCTION("""COMPUTED_VALUE"""),"空海リク/アイプロダクション")</f>
        <v>空海リク/アイプロダクション</v>
      </c>
      <c r="V334" s="8" t="str">
        <f>IFERROR(__xludf.DUMMYFUNCTION("""COMPUTED_VALUE"""),"「『お嬢さん』に手を出すなんて、悪いおじさんだって思ってる？」たくましい胸板に抱かれて、大きすぎるソレに甘く貫かれて…気持ちよくて変になりそうっ……――ひょんなきっかけから、地元に戻り、母親の会社を引き継ぐことになった山内真衣(29)。慣れない社長としての仕事に邁進するなか、母の取引先で憧れの人だった大手不動産社長・相川弘人(42)と共同プロジェクトを行うことに。久しぶりに会った相川は、相変わらず優しくて落ち着いた男性で、しかも、当時まだ学生だった真衣のことを覚えてくれていた！浮かれる真衣だったが、手配す"&amp;"るはずだった相川のホテルが用意されておらず、プロジェクトの3日間、相川を自宅に泊めることになる。幼い頃に会った時のまま子ども扱いされて、自分なんか『女性』として相手にされていない。そう思っていたのに――「どんどん美しくなっていく君を見て、また会えたら今度こそって思ってた。……嫌だったら、逃げてもいいよ？」憧れの彼に、欲のこもった瞳で見つめられ、求められた真衣は思わず「逃げる気なんてない」と、とろけるようなキスに応えてしまって……！？　色気たっぷりオジサマ社長とひとつ屋根の下、えっちなハプニング勃発の溺愛ラ"&amp;"ブストーリー！")</f>
        <v>「『お嬢さん』に手を出すなんて、悪いおじさんだって思ってる？」たくましい胸板に抱かれて、大きすぎるソレに甘く貫かれて…気持ちよくて変になりそうっ……――ひょんなきっかけから、地元に戻り、母親の会社を引き継ぐことになった山内真衣(29)。慣れない社長としての仕事に邁進するなか、母の取引先で憧れの人だった大手不動産社長・相川弘人(42)と共同プロジェクトを行うことに。久しぶりに会った相川は、相変わらず優しくて落ち着いた男性で、しかも、当時まだ学生だった真衣のことを覚えてくれていた！浮かれる真衣だったが、手配するはずだった相川のホテルが用意されておらず、プロジェクトの3日間、相川を自宅に泊めることになる。幼い頃に会った時のまま子ども扱いされて、自分なんか『女性』として相手にされていない。そう思っていたのに――「どんどん美しくなっていく君を見て、また会えたら今度こそって思ってた。……嫌だったら、逃げてもいいよ？」憧れの彼に、欲のこもった瞳で見つめられ、求められた真衣は思わず「逃げる気なんてない」と、とろけるようなキスに応えてしまって……！？　色気たっぷりオジサマ社長とひとつ屋根の下、えっちなハプニング勃発の溺愛ラブストーリー！</v>
      </c>
      <c r="W334" s="8"/>
      <c r="X334" s="8" t="str">
        <f>IFERROR(__xludf.DUMMYFUNCTION("""COMPUTED_VALUE"""),"有")</f>
        <v>有</v>
      </c>
      <c r="Y334" s="8" t="str">
        <f>IFERROR(__xludf.DUMMYFUNCTION("""COMPUTED_VALUE"""),"P8まで")</f>
        <v>P8まで</v>
      </c>
      <c r="Z334" s="7"/>
      <c r="AA334" s="7"/>
      <c r="AB334" s="7"/>
    </row>
    <row r="335" ht="15.75" customHeight="1">
      <c r="A335" s="8">
        <f>IFERROR(__xludf.DUMMYFUNCTION("""COMPUTED_VALUE"""),1907.0)</f>
        <v>1907</v>
      </c>
      <c r="B335" s="9" t="str">
        <f>IFERROR(__xludf.DUMMYFUNCTION("""COMPUTED_VALUE"""),"確定")</f>
        <v>確定</v>
      </c>
      <c r="C335" s="10">
        <f>IFERROR(__xludf.DUMMYFUNCTION("""COMPUTED_VALUE"""),45036.0)</f>
        <v>45036</v>
      </c>
      <c r="D335" s="10">
        <f>IFERROR(__xludf.DUMMYFUNCTION("""COMPUTED_VALUE"""),45036.0)</f>
        <v>45036</v>
      </c>
      <c r="E335" s="8">
        <f>IFERROR(__xludf.DUMMYFUNCTION("""COMPUTED_VALUE"""),268270.0)</f>
        <v>268270</v>
      </c>
      <c r="F335" s="9" t="str">
        <f>IFERROR(__xludf.DUMMYFUNCTION("""COMPUTED_VALUE"""),"私と寝た人、誰ですか！？")</f>
        <v>私と寝た人、誰ですか！？</v>
      </c>
      <c r="G335" s="11" t="str">
        <f>IFERROR(__xludf.DUMMYFUNCTION("""COMPUTED_VALUE"""),"1～3")</f>
        <v>1～3</v>
      </c>
      <c r="H335" s="8" t="str">
        <f>IFERROR(__xludf.DUMMYFUNCTION("""COMPUTED_VALUE"""),"著者 ：春乃まい 原作 ：あさぎ千夜春")</f>
        <v>著者 ：春乃まい 原作 ：あさぎ千夜春</v>
      </c>
      <c r="I335" s="14" t="str">
        <f>IFERROR(__xludf.DUMMYFUNCTION("""COMPUTED_VALUE"""),"女性")</f>
        <v>女性</v>
      </c>
      <c r="J335" s="8"/>
      <c r="K335" s="8"/>
      <c r="L335" s="8" t="str">
        <f>IFERROR(__xludf.DUMMYFUNCTION("""COMPUTED_VALUE"""),"プランタン出版")</f>
        <v>プランタン出版</v>
      </c>
      <c r="M335" s="12">
        <f>IFERROR(__xludf.DUMMYFUNCTION("""COMPUTED_VALUE"""),45065.0)</f>
        <v>45065</v>
      </c>
      <c r="N335" s="12">
        <f>IFERROR(__xludf.DUMMYFUNCTION("""COMPUTED_VALUE"""),45155.0)</f>
        <v>45155</v>
      </c>
      <c r="O335" s="11"/>
      <c r="P335" s="9" t="str">
        <f>IFERROR(__xludf.DUMMYFUNCTION("""COMPUTED_VALUE"""),"可")</f>
        <v>可</v>
      </c>
      <c r="Q335" s="8"/>
      <c r="R335" s="9"/>
      <c r="S335" s="8" t="str">
        <f>IFERROR(__xludf.DUMMYFUNCTION("""COMPUTED_VALUE"""),"20230420_フランス書院_私と寝た人、誰ですか！？")</f>
        <v>20230420_フランス書院_私と寝た人、誰ですか！？</v>
      </c>
      <c r="T335" s="9"/>
      <c r="U335" s="9" t="str">
        <f>IFERROR(__xludf.DUMMYFUNCTION("""COMPUTED_VALUE"""),"(C)春乃まい/あさぎ千夜春/プランタン出版")</f>
        <v>(C)春乃まい/あさぎ千夜春/プランタン出版</v>
      </c>
      <c r="V335" s="8" t="str">
        <f>IFERROR(__xludf.DUMMYFUNCTION("""COMPUTED_VALUE"""),"その夜、私たちはひとつになった。大好きが溢れて止まらない。
愛される悦びに満たされて（酔いも醒めて）迎えた朝――。
相手の姿どころか昨晩の記憶もない！
あるのは体に残った行為の痕と、ゴミ箱に捨てられたゴムだけ。
いったい私は誰と寝たの!?
候補はワンコな後輩、クール系上司、イケオジ社長…と、今は関係サイアクな元カレ。
元カレの拓海だけはあり得ないと思っていたら、照れた様子で食事に誘われて!?
切ない初恋と甘いワンナイトが織りなす、もだキュンラブストーリー♪")</f>
        <v>その夜、私たちはひとつになった。大好きが溢れて止まらない。
愛される悦びに満たされて（酔いも醒めて）迎えた朝――。
相手の姿どころか昨晩の記憶もない！
あるのは体に残った行為の痕と、ゴミ箱に捨てられたゴムだけ。
いったい私は誰と寝たの!?
候補はワンコな後輩、クール系上司、イケオジ社長…と、今は関係サイアクな元カレ。
元カレの拓海だけはあり得ないと思っていたら、照れた様子で食事に誘われて!?
切ない初恋と甘いワンナイトが織りなす、もだキュンラブストーリー♪</v>
      </c>
      <c r="W335" s="8"/>
      <c r="X335" s="8" t="str">
        <f>IFERROR(__xludf.DUMMYFUNCTION("""COMPUTED_VALUE"""),"有")</f>
        <v>有</v>
      </c>
      <c r="Y335" s="8" t="str">
        <f>IFERROR(__xludf.DUMMYFUNCTION("""COMPUTED_VALUE"""),"P10まで")</f>
        <v>P10まで</v>
      </c>
      <c r="Z335" s="7"/>
      <c r="AA335" s="7"/>
      <c r="AB335" s="7"/>
    </row>
    <row r="336" ht="15.75" customHeight="1">
      <c r="A336" s="8">
        <f>IFERROR(__xludf.DUMMYFUNCTION("""COMPUTED_VALUE"""),1908.0)</f>
        <v>1908</v>
      </c>
      <c r="B336" s="9" t="str">
        <f>IFERROR(__xludf.DUMMYFUNCTION("""COMPUTED_VALUE"""),"確定")</f>
        <v>確定</v>
      </c>
      <c r="C336" s="10">
        <f>IFERROR(__xludf.DUMMYFUNCTION("""COMPUTED_VALUE"""),45040.0)</f>
        <v>45040</v>
      </c>
      <c r="D336" s="10">
        <f>IFERROR(__xludf.DUMMYFUNCTION("""COMPUTED_VALUE"""),45040.0)</f>
        <v>45040</v>
      </c>
      <c r="E336" s="8">
        <f>IFERROR(__xludf.DUMMYFUNCTION("""COMPUTED_VALUE"""),270385.0)</f>
        <v>270385</v>
      </c>
      <c r="F336" s="9" t="str">
        <f>IFERROR(__xludf.DUMMYFUNCTION("""COMPUTED_VALUE"""),"真・上京シェアハウス〜彼女と幼馴染と知らない奴〜")</f>
        <v>真・上京シェアハウス〜彼女と幼馴染と知らない奴〜</v>
      </c>
      <c r="G336" s="11" t="str">
        <f>IFERROR(__xludf.DUMMYFUNCTION("""COMPUTED_VALUE"""),"1～10")</f>
        <v>1～10</v>
      </c>
      <c r="H336" s="8" t="str">
        <f>IFERROR(__xludf.DUMMYFUNCTION("""COMPUTED_VALUE"""),"GIGATOON Studio・Jの覚醒・デジタル職人")</f>
        <v>GIGATOON Studio・Jの覚醒・デジタル職人</v>
      </c>
      <c r="I336" s="8" t="str">
        <f>IFERROR(__xludf.DUMMYFUNCTION("""COMPUTED_VALUE"""),"オトナ")</f>
        <v>オトナ</v>
      </c>
      <c r="J336" s="8"/>
      <c r="K336" s="8"/>
      <c r="L336" s="8" t="str">
        <f>IFERROR(__xludf.DUMMYFUNCTION("""COMPUTED_VALUE"""),"カゲキヤ出版")</f>
        <v>カゲキヤ出版</v>
      </c>
      <c r="M336" s="12">
        <f>IFERROR(__xludf.DUMMYFUNCTION("""COMPUTED_VALUE"""),45093.0)</f>
        <v>45093</v>
      </c>
      <c r="N336" s="12">
        <f>IFERROR(__xludf.DUMMYFUNCTION("""COMPUTED_VALUE"""),45151.0)</f>
        <v>45151</v>
      </c>
      <c r="O336" s="11"/>
      <c r="P336" s="9" t="str">
        <f>IFERROR(__xludf.DUMMYFUNCTION("""COMPUTED_VALUE"""),"可")</f>
        <v>可</v>
      </c>
      <c r="Q336" s="8"/>
      <c r="R336" s="9" t="str">
        <f>IFERROR(__xludf.DUMMYFUNCTION("""COMPUTED_VALUE"""),"格納済")</f>
        <v>格納済</v>
      </c>
      <c r="S336" s="8" t="str">
        <f>IFERROR(__xludf.DUMMYFUNCTION("""COMPUTED_VALUE"""),"20230424_コミックストック_真・上京シェアハウス")</f>
        <v>20230424_コミックストック_真・上京シェアハウス</v>
      </c>
      <c r="T336" s="9" t="str">
        <f>IFERROR(__xludf.DUMMYFUNCTION("""COMPUTED_VALUE"""),"校了済素材")</f>
        <v>校了済素材</v>
      </c>
      <c r="U336" s="9" t="str">
        <f>IFERROR(__xludf.DUMMYFUNCTION("""COMPUTED_VALUE"""),"著：GIGATOON Studio・Jの覚醒・デジタル職人/カゲキヤ出版")</f>
        <v>著：GIGATOON Studio・Jの覚醒・デジタル職人/カゲキヤ出版</v>
      </c>
      <c r="V336" s="8" t="str">
        <f>IFERROR(__xludf.DUMMYFUNCTION("""COMPUTED_VALUE"""),"地元では有名な美男美女カップルの奈緒と陽一。しかし卒業を機に家業を継ぐ陽一と上京する奈緒は離ればなれに。奈緒だけではなく幼馴染で美人アスリートの美月や、美人過ぎる東大生の京子も一緒に上京し、同じシェアハウスに住むのだ。ただそのシェアハウスにはあと一人、鉄男という知らない男が入居することになっていた。鉄男は元ラガーマンで、地元ではセックスのことしか頭にない性欲モンスターのヤリチンだと知れ渡っていた。ナルシストの陽一はどんな男が相手だろうと負けるはずはないと高をくくっていたが、まさかその性欲モンスターがシェア"&amp;"ハウスを支配していくことになるとは知る由もない。")</f>
        <v>地元では有名な美男美女カップルの奈緒と陽一。しかし卒業を機に家業を継ぐ陽一と上京する奈緒は離ればなれに。奈緒だけではなく幼馴染で美人アスリートの美月や、美人過ぎる東大生の京子も一緒に上京し、同じシェアハウスに住むのだ。ただそのシェアハウスにはあと一人、鉄男という知らない男が入居することになっていた。鉄男は元ラガーマンで、地元ではセックスのことしか頭にない性欲モンスターのヤリチンだと知れ渡っていた。ナルシストの陽一はどんな男が相手だろうと負けるはずはないと高をくくっていたが、まさかその性欲モンスターがシェアハウスを支配していくことになるとは知る由もない。</v>
      </c>
      <c r="W336" s="8"/>
      <c r="X336" s="8" t="str">
        <f>IFERROR(__xludf.DUMMYFUNCTION("""COMPUTED_VALUE"""),"有")</f>
        <v>有</v>
      </c>
      <c r="Y336" s="8" t="str">
        <f>IFERROR(__xludf.DUMMYFUNCTION("""COMPUTED_VALUE"""),"1巻0円")</f>
        <v>1巻0円</v>
      </c>
      <c r="Z336" s="7"/>
      <c r="AA336" s="7"/>
      <c r="AB336" s="7"/>
    </row>
    <row r="337" ht="15.75" customHeight="1">
      <c r="A337" s="8">
        <f>IFERROR(__xludf.DUMMYFUNCTION("""COMPUTED_VALUE"""),1910.0)</f>
        <v>1910</v>
      </c>
      <c r="B337" s="9" t="str">
        <f>IFERROR(__xludf.DUMMYFUNCTION("""COMPUTED_VALUE"""),"確定")</f>
        <v>確定</v>
      </c>
      <c r="C337" s="10">
        <f>IFERROR(__xludf.DUMMYFUNCTION("""COMPUTED_VALUE"""),45041.0)</f>
        <v>45041</v>
      </c>
      <c r="D337" s="10">
        <f>IFERROR(__xludf.DUMMYFUNCTION("""COMPUTED_VALUE"""),45041.0)</f>
        <v>45041</v>
      </c>
      <c r="E337" s="8">
        <f>IFERROR(__xludf.DUMMYFUNCTION("""COMPUTED_VALUE"""),253293.0)</f>
        <v>253293</v>
      </c>
      <c r="F337" s="9" t="str">
        <f>IFERROR(__xludf.DUMMYFUNCTION("""COMPUTED_VALUE"""),"その顔、他の誰にも見せないで")</f>
        <v>その顔、他の誰にも見せないで</v>
      </c>
      <c r="G337" s="11" t="str">
        <f>IFERROR(__xludf.DUMMYFUNCTION("""COMPUTED_VALUE"""),"1～3")</f>
        <v>1～3</v>
      </c>
      <c r="H337" s="8" t="str">
        <f>IFERROR(__xludf.DUMMYFUNCTION("""COMPUTED_VALUE"""),"ゐその")</f>
        <v>ゐその</v>
      </c>
      <c r="I337" s="14" t="str">
        <f>IFERROR(__xludf.DUMMYFUNCTION("""COMPUTED_VALUE"""),"少女")</f>
        <v>少女</v>
      </c>
      <c r="J337" s="8"/>
      <c r="K337" s="8"/>
      <c r="L337" s="8" t="str">
        <f>IFERROR(__xludf.DUMMYFUNCTION("""COMPUTED_VALUE"""),"ソルマーレ編集部")</f>
        <v>ソルマーレ編集部</v>
      </c>
      <c r="M337" s="12">
        <f>IFERROR(__xludf.DUMMYFUNCTION("""COMPUTED_VALUE"""),45073.0)</f>
        <v>45073</v>
      </c>
      <c r="N337" s="12">
        <f>IFERROR(__xludf.DUMMYFUNCTION("""COMPUTED_VALUE"""),45134.0)</f>
        <v>45134</v>
      </c>
      <c r="O337" s="11"/>
      <c r="P337" s="9" t="str">
        <f>IFERROR(__xludf.DUMMYFUNCTION("""COMPUTED_VALUE"""),"可")</f>
        <v>可</v>
      </c>
      <c r="Q337" s="8"/>
      <c r="R337" s="9"/>
      <c r="S337" s="8" t="str">
        <f>IFERROR(__xludf.DUMMYFUNCTION("""COMPUTED_VALUE"""),"20230424_ソルマーレ編集部_その顔、他の誰にも見せないで")</f>
        <v>20230424_ソルマーレ編集部_その顔、他の誰にも見せないで</v>
      </c>
      <c r="T337" s="15"/>
      <c r="U337" s="9" t="str">
        <f>IFERROR(__xludf.DUMMYFUNCTION("""COMPUTED_VALUE"""),"Ⓒ ゐその/シーモアコミックス")</f>
        <v>Ⓒ ゐその/シーモアコミックス</v>
      </c>
      <c r="V337" s="8" t="str">
        <f>IFERROR(__xludf.DUMMYFUNCTION("""COMPUTED_VALUE"""),"爽やかイケメンで優しくて、28歳にして全国規模の塾を経営する須和は、子供たちから保護者まで老若男女から信頼される人気者。彼の経営する塾で働く春田さちは、そんな彼にほのかに憧れを抱くその他大勢のうちの一人だった。
しかし彼女には恋だなんだとうつつを抜かす暇はない。実家への仕送りに加え、お人好しな性格が災いし、銀行口座の残高は4649円。今日のお弁当のおかずは梅干し一つ。困り果てて帰宅途中に求人広告をみていたら、水商売のスカウトに声をかけられる。強引なスカウトを振り切れずにいると、そこに須和塾長が現れて――。"&amp;"
助かったと思ったのもつかの間、彼には裏の顔があり……!?【恋するソワレ】")</f>
        <v>爽やかイケメンで優しくて、28歳にして全国規模の塾を経営する須和は、子供たちから保護者まで老若男女から信頼される人気者。彼の経営する塾で働く春田さちは、そんな彼にほのかに憧れを抱くその他大勢のうちの一人だった。
しかし彼女には恋だなんだとうつつを抜かす暇はない。実家への仕送りに加え、お人好しな性格が災いし、銀行口座の残高は4649円。今日のお弁当のおかずは梅干し一つ。困り果てて帰宅途中に求人広告をみていたら、水商売のスカウトに声をかけられる。強引なスカウトを振り切れずにいると、そこに須和塾長が現れて――。
助かったと思ったのもつかの間、彼には裏の顔があり……!?【恋するソワレ】</v>
      </c>
      <c r="W337" s="8"/>
      <c r="X337" s="8" t="str">
        <f>IFERROR(__xludf.DUMMYFUNCTION("""COMPUTED_VALUE"""),"有")</f>
        <v>有</v>
      </c>
      <c r="Y337" s="8" t="str">
        <f>IFERROR(__xludf.DUMMYFUNCTION("""COMPUTED_VALUE"""),"P9まで")</f>
        <v>P9まで</v>
      </c>
      <c r="Z337" s="7"/>
      <c r="AA337" s="7"/>
      <c r="AB337" s="7"/>
    </row>
    <row r="338" ht="15.75" customHeight="1">
      <c r="A338" s="8">
        <f>IFERROR(__xludf.DUMMYFUNCTION("""COMPUTED_VALUE"""),1911.0)</f>
        <v>1911</v>
      </c>
      <c r="B338" s="9" t="str">
        <f>IFERROR(__xludf.DUMMYFUNCTION("""COMPUTED_VALUE"""),"確定")</f>
        <v>確定</v>
      </c>
      <c r="C338" s="10">
        <f>IFERROR(__xludf.DUMMYFUNCTION("""COMPUTED_VALUE"""),45041.0)</f>
        <v>45041</v>
      </c>
      <c r="D338" s="10">
        <f>IFERROR(__xludf.DUMMYFUNCTION("""COMPUTED_VALUE"""),45041.0)</f>
        <v>45041</v>
      </c>
      <c r="E338" s="8">
        <f>IFERROR(__xludf.DUMMYFUNCTION("""COMPUTED_VALUE"""),255457.0)</f>
        <v>255457</v>
      </c>
      <c r="F338" s="9" t="str">
        <f>IFERROR(__xludf.DUMMYFUNCTION("""COMPUTED_VALUE"""),"婿養子 ～妻と結婚できない理由～(フルカラー)")</f>
        <v>婿養子 ～妻と結婚できない理由～(フルカラー)</v>
      </c>
      <c r="G338" s="11" t="str">
        <f>IFERROR(__xludf.DUMMYFUNCTION("""COMPUTED_VALUE"""),"1～3")</f>
        <v>1～3</v>
      </c>
      <c r="H338" s="8" t="str">
        <f>IFERROR(__xludf.DUMMYFUNCTION("""COMPUTED_VALUE"""),"アビョ4,Gulab Jamun")</f>
        <v>アビョ4,Gulab Jamun</v>
      </c>
      <c r="I338" s="14" t="str">
        <f>IFERROR(__xludf.DUMMYFUNCTION("""COMPUTED_VALUE"""),"青年")</f>
        <v>青年</v>
      </c>
      <c r="J338" s="8"/>
      <c r="K338" s="8"/>
      <c r="L338" s="8" t="str">
        <f>IFERROR(__xludf.DUMMYFUNCTION("""COMPUTED_VALUE"""),"ソルマーレ編集部")</f>
        <v>ソルマーレ編集部</v>
      </c>
      <c r="M338" s="12">
        <f>IFERROR(__xludf.DUMMYFUNCTION("""COMPUTED_VALUE"""),45073.0)</f>
        <v>45073</v>
      </c>
      <c r="N338" s="12">
        <f>IFERROR(__xludf.DUMMYFUNCTION("""COMPUTED_VALUE"""),45134.0)</f>
        <v>45134</v>
      </c>
      <c r="O338" s="11"/>
      <c r="P338" s="9" t="str">
        <f>IFERROR(__xludf.DUMMYFUNCTION("""COMPUTED_VALUE"""),"可")</f>
        <v>可</v>
      </c>
      <c r="Q338" s="8"/>
      <c r="R338" s="9"/>
      <c r="S338" s="8" t="str">
        <f>IFERROR(__xludf.DUMMYFUNCTION("""COMPUTED_VALUE"""),"20230424_ソルマーレ編集部_婿養子 ～妻と結婚できない理由～（フルカラー）")</f>
        <v>20230424_ソルマーレ編集部_婿養子 ～妻と結婚できない理由～（フルカラー）</v>
      </c>
      <c r="T338" s="15"/>
      <c r="U338" s="9" t="str">
        <f>IFERROR(__xludf.DUMMYFUNCTION("""COMPUTED_VALUE"""),"Ⓒ Gulab Jamun/アビョ4/TOPCO/シーモアコミックス")</f>
        <v>Ⓒ Gulab Jamun/アビョ4/TOPCO/シーモアコミックス</v>
      </c>
      <c r="V338" s="8" t="str">
        <f>IFERROR(__xludf.DUMMYFUNCTION("""COMPUTED_VALUE"""),"「ごめんね…私はあなたと結婚するつもりはないの」
順平は憧れの弓香先輩に告白するも振られてしまった――
そんな折に母親からお見合いの誘いを受け、
失恋を忘れるチャンスと思い参加を決意した。
しかしそこに現れた相手はなんと弓香先輩だった！
その場で婿養子の提案をもらい、戸惑いながらも受け入れることに…
しかし彼女からは結婚できないことを告げられた――【ズズズキュン！】
")</f>
        <v>「ごめんね…私はあなたと結婚するつもりはないの」
順平は憧れの弓香先輩に告白するも振られてしまった――
そんな折に母親からお見合いの誘いを受け、
失恋を忘れるチャンスと思い参加を決意した。
しかしそこに現れた相手はなんと弓香先輩だった！
その場で婿養子の提案をもらい、戸惑いながらも受け入れることに…
しかし彼女からは結婚できないことを告げられた――【ズズズキュン！】
</v>
      </c>
      <c r="W338" s="8"/>
      <c r="X338" s="8" t="str">
        <f>IFERROR(__xludf.DUMMYFUNCTION("""COMPUTED_VALUE"""),"有")</f>
        <v>有</v>
      </c>
      <c r="Y338" s="8" t="str">
        <f>IFERROR(__xludf.DUMMYFUNCTION("""COMPUTED_VALUE"""),"P10まで")</f>
        <v>P10まで</v>
      </c>
      <c r="Z338" s="7"/>
      <c r="AA338" s="7"/>
      <c r="AB338" s="7"/>
    </row>
    <row r="339" ht="15.75" customHeight="1">
      <c r="A339" s="8">
        <f>IFERROR(__xludf.DUMMYFUNCTION("""COMPUTED_VALUE"""),1912.0)</f>
        <v>1912</v>
      </c>
      <c r="B339" s="9" t="str">
        <f>IFERROR(__xludf.DUMMYFUNCTION("""COMPUTED_VALUE"""),"確定")</f>
        <v>確定</v>
      </c>
      <c r="C339" s="10">
        <f>IFERROR(__xludf.DUMMYFUNCTION("""COMPUTED_VALUE"""),45041.0)</f>
        <v>45041</v>
      </c>
      <c r="D339" s="10">
        <f>IFERROR(__xludf.DUMMYFUNCTION("""COMPUTED_VALUE"""),45041.0)</f>
        <v>45041</v>
      </c>
      <c r="E339" s="8">
        <f>IFERROR(__xludf.DUMMYFUNCTION("""COMPUTED_VALUE"""),255458.0)</f>
        <v>255458</v>
      </c>
      <c r="F339" s="9" t="str">
        <f>IFERROR(__xludf.DUMMYFUNCTION("""COMPUTED_VALUE"""),"婿養子 ～妻と結婚できない理由～【タテヨミ】")</f>
        <v>婿養子 ～妻と結婚できない理由～【タテヨミ】</v>
      </c>
      <c r="G339" s="11" t="str">
        <f>IFERROR(__xludf.DUMMYFUNCTION("""COMPUTED_VALUE"""),"1～9")</f>
        <v>1～9</v>
      </c>
      <c r="H339" s="8" t="str">
        <f>IFERROR(__xludf.DUMMYFUNCTION("""COMPUTED_VALUE"""),"アビョ4,Gulab Jamun")</f>
        <v>アビョ4,Gulab Jamun</v>
      </c>
      <c r="I339" s="14" t="str">
        <f>IFERROR(__xludf.DUMMYFUNCTION("""COMPUTED_VALUE"""),"青年")</f>
        <v>青年</v>
      </c>
      <c r="J339" s="8"/>
      <c r="K339" s="8"/>
      <c r="L339" s="8" t="str">
        <f>IFERROR(__xludf.DUMMYFUNCTION("""COMPUTED_VALUE"""),"ソルマーレ編集部")</f>
        <v>ソルマーレ編集部</v>
      </c>
      <c r="M339" s="12">
        <f>IFERROR(__xludf.DUMMYFUNCTION("""COMPUTED_VALUE"""),45073.0)</f>
        <v>45073</v>
      </c>
      <c r="N339" s="12">
        <f>IFERROR(__xludf.DUMMYFUNCTION("""COMPUTED_VALUE"""),45134.0)</f>
        <v>45134</v>
      </c>
      <c r="O339" s="11"/>
      <c r="P339" s="9" t="str">
        <f>IFERROR(__xludf.DUMMYFUNCTION("""COMPUTED_VALUE"""),"可")</f>
        <v>可</v>
      </c>
      <c r="Q339" s="8" t="str">
        <f>IFERROR(__xludf.DUMMYFUNCTION("""COMPUTED_VALUE"""),"コマサム等素材は「255457　婿養子 ～妻と結婚できない理由～（フルカラー）」のほうをお使いください。&lt;BR&gt;バナー制作はフルカラー版の素材を利用して問題ございません。&lt;BR&gt;")</f>
        <v>コマサム等素材は「255457　婿養子 ～妻と結婚できない理由～（フルカラー）」のほうをお使いください。&lt;BR&gt;バナー制作はフルカラー版の素材を利用して問題ございません。&lt;BR&gt;</v>
      </c>
      <c r="R339" s="9"/>
      <c r="S339" s="8" t="str">
        <f>IFERROR(__xludf.DUMMYFUNCTION("""COMPUTED_VALUE"""),"20230424_ソルマーレ編集部_婿養子 ～妻と結婚できない理由～【タテヨミ】")</f>
        <v>20230424_ソルマーレ編集部_婿養子 ～妻と結婚できない理由～【タテヨミ】</v>
      </c>
      <c r="T339" s="15"/>
      <c r="U339" s="9" t="str">
        <f>IFERROR(__xludf.DUMMYFUNCTION("""COMPUTED_VALUE"""),"Ⓒ Gulab Jamun/アビョ4/TOPCO/シーモアコミックス")</f>
        <v>Ⓒ Gulab Jamun/アビョ4/TOPCO/シーモアコミックス</v>
      </c>
      <c r="V339" s="8" t="str">
        <f>IFERROR(__xludf.DUMMYFUNCTION("""COMPUTED_VALUE"""),"「ごめんね…私はあなたと結婚するつもりはないの」
順平は憧れの弓香先輩に告白するも振られてしまった――
そんな折に母親からお見合いの誘いを受け、
失恋を忘れるチャンスと思い参加を決意した。
しかしそこに現れた相手はなんと弓香先輩だった！
その場で婿養子の提案をもらい、戸惑いながらも受け入れることに…
しかし彼女からは結婚できないことを告げられた――【ズズズキュン！】
")</f>
        <v>「ごめんね…私はあなたと結婚するつもりはないの」
順平は憧れの弓香先輩に告白するも振られてしまった――
そんな折に母親からお見合いの誘いを受け、
失恋を忘れるチャンスと思い参加を決意した。
しかしそこに現れた相手はなんと弓香先輩だった！
その場で婿養子の提案をもらい、戸惑いながらも受け入れることに…
しかし彼女からは結婚できないことを告げられた――【ズズズキュン！】
</v>
      </c>
      <c r="W339" s="8"/>
      <c r="X339" s="8" t="str">
        <f>IFERROR(__xludf.DUMMYFUNCTION("""COMPUTED_VALUE"""),"有")</f>
        <v>有</v>
      </c>
      <c r="Y339" s="8" t="str">
        <f>IFERROR(__xludf.DUMMYFUNCTION("""COMPUTED_VALUE"""),"P20まで")</f>
        <v>P20まで</v>
      </c>
      <c r="Z339" s="7"/>
      <c r="AA339" s="7"/>
      <c r="AB339" s="7"/>
    </row>
    <row r="340" ht="15.75" customHeight="1">
      <c r="A340" s="8">
        <f>IFERROR(__xludf.DUMMYFUNCTION("""COMPUTED_VALUE"""),1913.0)</f>
        <v>1913</v>
      </c>
      <c r="B340" s="9" t="str">
        <f>IFERROR(__xludf.DUMMYFUNCTION("""COMPUTED_VALUE"""),"確定")</f>
        <v>確定</v>
      </c>
      <c r="C340" s="10">
        <f>IFERROR(__xludf.DUMMYFUNCTION("""COMPUTED_VALUE"""),45041.0)</f>
        <v>45041</v>
      </c>
      <c r="D340" s="10">
        <f>IFERROR(__xludf.DUMMYFUNCTION("""COMPUTED_VALUE"""),45041.0)</f>
        <v>45041</v>
      </c>
      <c r="E340" s="8">
        <f>IFERROR(__xludf.DUMMYFUNCTION("""COMPUTED_VALUE"""),200495.0)</f>
        <v>200495</v>
      </c>
      <c r="F340" s="9" t="str">
        <f>IFERROR(__xludf.DUMMYFUNCTION("""COMPUTED_VALUE"""),"もっと！凸凹カレシ～ご奉仕イケメン×ちっちゃい幼なじみ～")</f>
        <v>もっと！凸凹カレシ～ご奉仕イケメン×ちっちゃい幼なじみ～</v>
      </c>
      <c r="G340" s="11" t="str">
        <f>IFERROR(__xludf.DUMMYFUNCTION("""COMPUTED_VALUE"""),"1～2")</f>
        <v>1～2</v>
      </c>
      <c r="H340" s="8" t="str">
        <f>IFERROR(__xludf.DUMMYFUNCTION("""COMPUTED_VALUE"""),"小林モリヲ")</f>
        <v>小林モリヲ</v>
      </c>
      <c r="I340" s="8" t="str">
        <f>IFERROR(__xludf.DUMMYFUNCTION("""COMPUTED_VALUE"""),"BL")</f>
        <v>BL</v>
      </c>
      <c r="J340" s="8"/>
      <c r="K340" s="8"/>
      <c r="L340" s="8" t="str">
        <f>IFERROR(__xludf.DUMMYFUNCTION("""COMPUTED_VALUE"""),"ソルマーレ編集部")</f>
        <v>ソルマーレ編集部</v>
      </c>
      <c r="M340" s="12">
        <f>IFERROR(__xludf.DUMMYFUNCTION("""COMPUTED_VALUE"""),45073.0)</f>
        <v>45073</v>
      </c>
      <c r="N340" s="12">
        <f>IFERROR(__xludf.DUMMYFUNCTION("""COMPUTED_VALUE"""),45134.0)</f>
        <v>45134</v>
      </c>
      <c r="O340" s="11"/>
      <c r="P340" s="9" t="str">
        <f>IFERROR(__xludf.DUMMYFUNCTION("""COMPUTED_VALUE"""),"可")</f>
        <v>可</v>
      </c>
      <c r="Q340" s="8" t="str">
        <f>IFERROR(__xludf.DUMMYFUNCTION("""COMPUTED_VALUE"""),"2巻配信に合わせて出稿依頼の素材格納（1巻は4/22配信）&lt;BR&gt;")</f>
        <v>2巻配信に合わせて出稿依頼の素材格納（1巻は4/22配信）&lt;BR&gt;</v>
      </c>
      <c r="R340" s="9"/>
      <c r="S340" s="8" t="str">
        <f>IFERROR(__xludf.DUMMYFUNCTION("""COMPUTED_VALUE"""),"20230424_ソルマーレ編集部_もっと！凸凹カレシ～ご奉仕イケメン×ちっちゃい幼なじみ～")</f>
        <v>20230424_ソルマーレ編集部_もっと！凸凹カレシ～ご奉仕イケメン×ちっちゃい幼なじみ～</v>
      </c>
      <c r="T340" s="15"/>
      <c r="U340" s="9" t="str">
        <f>IFERROR(__xludf.DUMMYFUNCTION("""COMPUTED_VALUE"""),"Ⓒ 小林モリヲ/シーモアコミックス")</f>
        <v>Ⓒ 小林モリヲ/シーモアコミックス</v>
      </c>
      <c r="V340" s="8" t="str">
        <f>IFERROR(__xludf.DUMMYFUNCTION("""COMPUTED_VALUE"""),"【凸凹カレシ～ご奉仕イケメン×ちっちゃい幼なじみ～、続編！】地味顔＆低身長とモテ要素ゼロの大学生・川原は、13年ぶりに再会した幼なじみ・エリックと紆余曲折を経てお付き合いすることに。エリックの底知れぬ愛情に戸惑いつつも、あまあま恋人生活を送っていたが―――川原はふと気付いてしまう。自分が未だ童貞だということに…！ 衝撃の事実に打ちのめされる川原。そんな時、同窓会の案内状が川原のもとに届いて…？ ご奉仕イケメン×非モテ幼なじみの、激甘溺愛ストーリー！【フィカス】")</f>
        <v>【凸凹カレシ～ご奉仕イケメン×ちっちゃい幼なじみ～、続編！】地味顔＆低身長とモテ要素ゼロの大学生・川原は、13年ぶりに再会した幼なじみ・エリックと紆余曲折を経てお付き合いすることに。エリックの底知れぬ愛情に戸惑いつつも、あまあま恋人生活を送っていたが―――川原はふと気付いてしまう。自分が未だ童貞だということに…！ 衝撃の事実に打ちのめされる川原。そんな時、同窓会の案内状が川原のもとに届いて…？ ご奉仕イケメン×非モテ幼なじみの、激甘溺愛ストーリー！【フィカス】</v>
      </c>
      <c r="W340" s="8"/>
      <c r="X340" s="8" t="str">
        <f>IFERROR(__xludf.DUMMYFUNCTION("""COMPUTED_VALUE"""),"有")</f>
        <v>有</v>
      </c>
      <c r="Y340" s="8" t="str">
        <f>IFERROR(__xludf.DUMMYFUNCTION("""COMPUTED_VALUE"""),"6/9まで1巻無料")</f>
        <v>6/9まで1巻無料</v>
      </c>
      <c r="Z340" s="7"/>
      <c r="AA340" s="7"/>
      <c r="AB340" s="7"/>
    </row>
    <row r="341" ht="15.75" customHeight="1">
      <c r="A341" s="8">
        <f>IFERROR(__xludf.DUMMYFUNCTION("""COMPUTED_VALUE"""),1579.0)</f>
        <v>1579</v>
      </c>
      <c r="B341" s="9" t="str">
        <f>IFERROR(__xludf.DUMMYFUNCTION("""COMPUTED_VALUE"""),"確定")</f>
        <v>確定</v>
      </c>
      <c r="C341" s="10">
        <f>IFERROR(__xludf.DUMMYFUNCTION("""COMPUTED_VALUE"""),44902.0)</f>
        <v>44902</v>
      </c>
      <c r="D341" s="10">
        <f>IFERROR(__xludf.DUMMYFUNCTION("""COMPUTED_VALUE"""),45054.0)</f>
        <v>45054</v>
      </c>
      <c r="E341" s="8">
        <f>IFERROR(__xludf.DUMMYFUNCTION("""COMPUTED_VALUE"""),268850.0)</f>
        <v>268850</v>
      </c>
      <c r="F341" s="9" t="str">
        <f>IFERROR(__xludf.DUMMYFUNCTION("""COMPUTED_VALUE"""),"東京秘密基地～ココロとカラダのセラピスト～")</f>
        <v>東京秘密基地～ココロとカラダのセラピスト～</v>
      </c>
      <c r="G341" s="11" t="str">
        <f>IFERROR(__xludf.DUMMYFUNCTION("""COMPUTED_VALUE"""),"1～15")</f>
        <v>1～15</v>
      </c>
      <c r="H341" s="8" t="str">
        <f>IFERROR(__xludf.DUMMYFUNCTION("""COMPUTED_VALUE"""),"甘夏あまな・楯原しょう子・まるのまる・M.H・t.a")</f>
        <v>甘夏あまな・楯原しょう子・まるのまる・M.H・t.a</v>
      </c>
      <c r="I341" s="8" t="str">
        <f>IFERROR(__xludf.DUMMYFUNCTION("""COMPUTED_VALUE"""),"青年")</f>
        <v>青年</v>
      </c>
      <c r="J341" s="8"/>
      <c r="K341" s="8"/>
      <c r="L341" s="8" t="str">
        <f>IFERROR(__xludf.DUMMYFUNCTION("""COMPUTED_VALUE"""),"コルク")</f>
        <v>コルク</v>
      </c>
      <c r="M341" s="12">
        <f>IFERROR(__xludf.DUMMYFUNCTION("""COMPUTED_VALUE"""),45072.0)</f>
        <v>45072</v>
      </c>
      <c r="N341" s="12">
        <f>IFERROR(__xludf.DUMMYFUNCTION("""COMPUTED_VALUE"""),45163.0)</f>
        <v>45163</v>
      </c>
      <c r="O341" s="11"/>
      <c r="P341" s="9" t="str">
        <f>IFERROR(__xludf.DUMMYFUNCTION("""COMPUTED_VALUE"""),"可")</f>
        <v>可</v>
      </c>
      <c r="Q341" s="8" t="str">
        <f>IFERROR(__xludf.DUMMYFUNCTION("""COMPUTED_VALUE"""),"初回リリース分が１話のみじゃなかったら広告コミットOK（12/9）")</f>
        <v>初回リリース分が１話のみじゃなかったら広告コミットOK（12/9）</v>
      </c>
      <c r="R341" s="9"/>
      <c r="S341" s="8" t="str">
        <f>IFERROR(__xludf.DUMMYFUNCTION("""COMPUTED_VALUE"""),"20230428_コルク_東京秘密基地")</f>
        <v>20230428_コルク_東京秘密基地</v>
      </c>
      <c r="T341" s="9"/>
      <c r="U341" s="9" t="str">
        <f>IFERROR(__xludf.DUMMYFUNCTION("""COMPUTED_VALUE"""),"©甘夏あまな・楯原しょう子・まるのまる・M.H・t.a / スプーンコミックス")</f>
        <v>©甘夏あまな・楯原しょう子・まるのまる・M.H・t.a / スプーンコミックス</v>
      </c>
      <c r="V341" s="8" t="str">
        <f>IFERROR(__xludf.DUMMYFUNCTION("""COMPUTED_VALUE"""),"「この人は””彼””じゃない...なのに...」。バリキャリOL直子は、社内ではキツそうに見えて実は「処女」。そんな自分にコンプレックスを抱きつつ、会社のトイレでちょっとHな趣味を楽しんでいた。ある日、学生時代に好きだった彼にそっくりなイケメンをwebで発見。彼は女性用風俗「東京秘密基地」のイチオシセラピスト『ツバサ』だったー。今注目を集める、女性用風俗を舞台に男と女のココロとカラダの関係に迫る、オムニバス人間ドラマの幕が上がる！
＜取材協力 東京秘密基地＞
")</f>
        <v>「この人は””彼””じゃない...なのに...」。バリキャリOL直子は、社内ではキツそうに見えて実は「処女」。そんな自分にコンプレックスを抱きつつ、会社のトイレでちょっとHな趣味を楽しんでいた。ある日、学生時代に好きだった彼にそっくりなイケメンをwebで発見。彼は女性用風俗「東京秘密基地」のイチオシセラピスト『ツバサ』だったー。今注目を集める、女性用風俗を舞台に男と女のココロとカラダの関係に迫る、オムニバス人間ドラマの幕が上がる！
＜取材協力 東京秘密基地＞
</v>
      </c>
      <c r="W341" s="8"/>
      <c r="X341" s="8" t="str">
        <f>IFERROR(__xludf.DUMMYFUNCTION("""COMPUTED_VALUE"""),"有")</f>
        <v>有</v>
      </c>
      <c r="Y341" s="8" t="str">
        <f>IFERROR(__xludf.DUMMYFUNCTION("""COMPUTED_VALUE"""),"3話まで0円")</f>
        <v>3話まで0円</v>
      </c>
      <c r="Z341" s="7"/>
      <c r="AA341" s="7"/>
      <c r="AB341" s="7"/>
    </row>
    <row r="342" ht="15.75" customHeight="1">
      <c r="A342" s="8">
        <f>IFERROR(__xludf.DUMMYFUNCTION("""COMPUTED_VALUE"""),1751.0)</f>
        <v>1751</v>
      </c>
      <c r="B342" s="9" t="str">
        <f>IFERROR(__xludf.DUMMYFUNCTION("""COMPUTED_VALUE"""),"確定")</f>
        <v>確定</v>
      </c>
      <c r="C342" s="10">
        <f>IFERROR(__xludf.DUMMYFUNCTION("""COMPUTED_VALUE"""),44981.0)</f>
        <v>44981</v>
      </c>
      <c r="D342" s="10">
        <f>IFERROR(__xludf.DUMMYFUNCTION("""COMPUTED_VALUE"""),45043.0)</f>
        <v>45043</v>
      </c>
      <c r="E342" s="8">
        <f>IFERROR(__xludf.DUMMYFUNCTION("""COMPUTED_VALUE"""),268804.0)</f>
        <v>268804</v>
      </c>
      <c r="F342" s="9" t="str">
        <f>IFERROR(__xludf.DUMMYFUNCTION("""COMPUTED_VALUE"""),"推しが、今日も眠らせてくれません【マイクロ】")</f>
        <v>推しが、今日も眠らせてくれません【マイクロ】</v>
      </c>
      <c r="G342" s="11" t="str">
        <f>IFERROR(__xludf.DUMMYFUNCTION("""COMPUTED_VALUE"""),"1～3")</f>
        <v>1～3</v>
      </c>
      <c r="H342" s="8" t="str">
        <f>IFERROR(__xludf.DUMMYFUNCTION("""COMPUTED_VALUE"""),"橘ノゾミ")</f>
        <v>橘ノゾミ</v>
      </c>
      <c r="I342" s="8" t="str">
        <f>IFERROR(__xludf.DUMMYFUNCTION("""COMPUTED_VALUE"""),"女性")</f>
        <v>女性</v>
      </c>
      <c r="J342" s="8"/>
      <c r="K342" s="8"/>
      <c r="L342" s="8" t="str">
        <f>IFERROR(__xludf.DUMMYFUNCTION("""COMPUTED_VALUE"""),"小学館")</f>
        <v>小学館</v>
      </c>
      <c r="M342" s="12">
        <f>IFERROR(__xludf.DUMMYFUNCTION("""COMPUTED_VALUE"""),45066.0)</f>
        <v>45066</v>
      </c>
      <c r="N342" s="12">
        <f>IFERROR(__xludf.DUMMYFUNCTION("""COMPUTED_VALUE"""),45126.0)</f>
        <v>45126</v>
      </c>
      <c r="O342" s="11"/>
      <c r="P342" s="9" t="str">
        <f>IFERROR(__xludf.DUMMYFUNCTION("""COMPUTED_VALUE"""),"否")</f>
        <v>否</v>
      </c>
      <c r="Q342" s="8" t="str">
        <f>IFERROR(__xludf.DUMMYFUNCTION("""COMPUTED_VALUE"""),"広告コミットOK（2/28）&lt;BR&gt;0329更新：先行配信開始日が、6月→5/20に変更になりました")</f>
        <v>広告コミットOK（2/28）&lt;BR&gt;0329更新：先行配信開始日が、6月→5/20に変更になりました</v>
      </c>
      <c r="R342" s="9"/>
      <c r="S342" s="8" t="str">
        <f>IFERROR(__xludf.DUMMYFUNCTION("""COMPUTED_VALUE"""),"20230316_小学館_推しが、今日も眠らせてくれません【マイクロ】")</f>
        <v>20230316_小学館_推しが、今日も眠らせてくれません【マイクロ】</v>
      </c>
      <c r="T342" s="9"/>
      <c r="U342" s="9" t="str">
        <f>IFERROR(__xludf.DUMMYFUNCTION("""COMPUTED_VALUE"""),"(C)橘ノゾミ / 小学館")</f>
        <v>(C)橘ノゾミ / 小学館</v>
      </c>
      <c r="V342" s="8" t="str">
        <f>IFERROR(__xludf.DUMMYFUNCTION("""COMPUTED_VALUE"""),"Practice1: 【耳と×××のマッサージ】
20代最後の年、たしかに私は仕事に生きるって決めたはずなのにー…。
推しのASMR配信者が隣の席の後輩だったので、再生回数を更に上げるための練習を手伝うことになりました！！！
私の反応を見て、推しが配信に活かしてくれるなんて、そんな大役、本当に良いのでしょうか！？
推しの再生回数を支えるべく始まった「2人だけの秘密の練習」、初回は耳から始まるマッサージというか、これって…！？ これって…！？")</f>
        <v>Practice1: 【耳と×××のマッサージ】
20代最後の年、たしかに私は仕事に生きるって決めたはずなのにー…。
推しのASMR配信者が隣の席の後輩だったので、再生回数を更に上げるための練習を手伝うことになりました！！！
私の反応を見て、推しが配信に活かしてくれるなんて、そんな大役、本当に良いのでしょうか！？
推しの再生回数を支えるべく始まった「2人だけの秘密の練習」、初回は耳から始まるマッサージというか、これって…！？ これって…！？</v>
      </c>
      <c r="W342" s="8"/>
      <c r="X342" s="8" t="str">
        <f>IFERROR(__xludf.DUMMYFUNCTION("""COMPUTED_VALUE"""),"有")</f>
        <v>有</v>
      </c>
      <c r="Y342" s="8" t="str">
        <f>IFERROR(__xludf.DUMMYFUNCTION("""COMPUTED_VALUE"""),"6/2まで1巻無料")</f>
        <v>6/2まで1巻無料</v>
      </c>
      <c r="Z342" s="7"/>
      <c r="AA342" s="7"/>
      <c r="AB342" s="7"/>
    </row>
    <row r="343" ht="15.75" customHeight="1">
      <c r="A343" s="8">
        <f>IFERROR(__xludf.DUMMYFUNCTION("""COMPUTED_VALUE"""),1768.0)</f>
        <v>1768</v>
      </c>
      <c r="B343" s="9" t="str">
        <f>IFERROR(__xludf.DUMMYFUNCTION("""COMPUTED_VALUE"""),"確定")</f>
        <v>確定</v>
      </c>
      <c r="C343" s="10">
        <f>IFERROR(__xludf.DUMMYFUNCTION("""COMPUTED_VALUE"""),44987.0)</f>
        <v>44987</v>
      </c>
      <c r="D343" s="10">
        <f>IFERROR(__xludf.DUMMYFUNCTION("""COMPUTED_VALUE"""),45054.0)</f>
        <v>45054</v>
      </c>
      <c r="E343" s="8">
        <f>IFERROR(__xludf.DUMMYFUNCTION("""COMPUTED_VALUE"""),269197.0)</f>
        <v>269197</v>
      </c>
      <c r="F343" s="9" t="str">
        <f>IFERROR(__xludf.DUMMYFUNCTION("""COMPUTED_VALUE"""),"傍観者の恋【単話売】")</f>
        <v>傍観者の恋【単話売】</v>
      </c>
      <c r="G343" s="11" t="str">
        <f>IFERROR(__xludf.DUMMYFUNCTION("""COMPUTED_VALUE"""),"1～3")</f>
        <v>1～3</v>
      </c>
      <c r="H343" s="8" t="str">
        <f>IFERROR(__xludf.DUMMYFUNCTION("""COMPUTED_VALUE"""),"吉田了/ナツ/あき")</f>
        <v>吉田了/ナツ/あき</v>
      </c>
      <c r="I343" s="8" t="str">
        <f>IFERROR(__xludf.DUMMYFUNCTION("""COMPUTED_VALUE"""),"少女")</f>
        <v>少女</v>
      </c>
      <c r="J343" s="8"/>
      <c r="K343" s="8"/>
      <c r="L343" s="8" t="str">
        <f>IFERROR(__xludf.DUMMYFUNCTION("""COMPUTED_VALUE"""),"ジュリアンパブリッシング")</f>
        <v>ジュリアンパブリッシング</v>
      </c>
      <c r="M343" s="12">
        <f>IFERROR(__xludf.DUMMYFUNCTION("""COMPUTED_VALUE"""),45093.0)</f>
        <v>45093</v>
      </c>
      <c r="N343" s="12">
        <f>IFERROR(__xludf.DUMMYFUNCTION("""COMPUTED_VALUE"""),45106.0)</f>
        <v>45106</v>
      </c>
      <c r="O343" s="11"/>
      <c r="P343" s="9" t="str">
        <f>IFERROR(__xludf.DUMMYFUNCTION("""COMPUTED_VALUE"""),"否")</f>
        <v>否</v>
      </c>
      <c r="Q343" s="8" t="str">
        <f>IFERROR(__xludf.DUMMYFUNCTION("""COMPUTED_VALUE"""),"広告コミットOK（3/3）&lt;BR&gt;&lt;BR&gt;5月配信予定であったが、配信日延期（4/6）古谷&lt;BR&gt;")</f>
        <v>広告コミットOK（3/3）&lt;BR&gt;&lt;BR&gt;5月配信予定であったが、配信日延期（4/6）古谷&lt;BR&gt;</v>
      </c>
      <c r="R343" s="9"/>
      <c r="S343" s="8" t="str">
        <f>IFERROR(__xludf.DUMMYFUNCTION("""COMPUTED_VALUE"""),"20230508_ジュリアンパブリッシング_傍観者の恋【単話売】")</f>
        <v>20230508_ジュリアンパブリッシング_傍観者の恋【単話売】</v>
      </c>
      <c r="T343" s="9"/>
      <c r="U343" s="9" t="str">
        <f>IFERROR(__xludf.DUMMYFUNCTION("""COMPUTED_VALUE"""),"(C)吉田了/ナツ/あき/ジュリアンパブリッシング")</f>
        <v>(C)吉田了/ナツ/あき/ジュリアンパブリッシング</v>
      </c>
      <c r="V343" s="8" t="str">
        <f>IFERROR(__xludf.DUMMYFUNCTION("""COMPUTED_VALUE"""),"「最後の一瞬まで、姉さんの傍にいたいんだ――」二十歳の秋、レイチェルは長年の片思いの相手だった幼なじみのノアと結婚した。ノアが本当に愛しているのは、彼の実の姉でありレイチェルの親友である、アリシアだと知りながら…。美しく聡明なアリシアは生まれつき心臓が悪く、残された僅かな時間を共に過ごすための、偽りに満ちたノアとの結婚生活。とてつもない幸福と同じだけの罪悪感、胸の痛みを抱えるレイチェルだが、いつしかノアからの熱のこもった眼差しを感じはじめて…この恋の本当の「傍観者」は誰？
秘めた愛情とかけがえのない友情、"&amp;"すれ違いの切なさが胸を締め付ける「両片思いの偽装結婚」最高峰、待望のコミカライズ！")</f>
        <v>「最後の一瞬まで、姉さんの傍にいたいんだ――」二十歳の秋、レイチェルは長年の片思いの相手だった幼なじみのノアと結婚した。ノアが本当に愛しているのは、彼の実の姉でありレイチェルの親友である、アリシアだと知りながら…。美しく聡明なアリシアは生まれつき心臓が悪く、残された僅かな時間を共に過ごすための、偽りに満ちたノアとの結婚生活。とてつもない幸福と同じだけの罪悪感、胸の痛みを抱えるレイチェルだが、いつしかノアからの熱のこもった眼差しを感じはじめて…この恋の本当の「傍観者」は誰？
秘めた愛情とかけがえのない友情、すれ違いの切なさが胸を締め付ける「両片思いの偽装結婚」最高峰、待望のコミカライズ！</v>
      </c>
      <c r="W343" s="8"/>
      <c r="X343" s="8" t="str">
        <f>IFERROR(__xludf.DUMMYFUNCTION("""COMPUTED_VALUE"""),"有")</f>
        <v>有</v>
      </c>
      <c r="Y343" s="8" t="str">
        <f>IFERROR(__xludf.DUMMYFUNCTION("""COMPUTED_VALUE"""),"P7まで")</f>
        <v>P7まで</v>
      </c>
      <c r="Z343" s="7"/>
      <c r="AA343" s="7"/>
      <c r="AB343" s="7"/>
    </row>
    <row r="344" ht="15.75" customHeight="1">
      <c r="A344" s="8">
        <f>IFERROR(__xludf.DUMMYFUNCTION("""COMPUTED_VALUE"""),1772.0)</f>
        <v>1772</v>
      </c>
      <c r="B344" s="9" t="str">
        <f>IFERROR(__xludf.DUMMYFUNCTION("""COMPUTED_VALUE"""),"確定")</f>
        <v>確定</v>
      </c>
      <c r="C344" s="10">
        <f>IFERROR(__xludf.DUMMYFUNCTION("""COMPUTED_VALUE"""),44988.0)</f>
        <v>44988</v>
      </c>
      <c r="D344" s="10">
        <f>IFERROR(__xludf.DUMMYFUNCTION("""COMPUTED_VALUE"""),45054.0)</f>
        <v>45054</v>
      </c>
      <c r="E344" s="8">
        <f>IFERROR(__xludf.DUMMYFUNCTION("""COMPUTED_VALUE"""),268296.0)</f>
        <v>268296</v>
      </c>
      <c r="F344" s="9" t="str">
        <f>IFERROR(__xludf.DUMMYFUNCTION("""COMPUTED_VALUE"""),"ヤンキー漫画に転生したら、何故か総長に餌付けされてます。【連載版】")</f>
        <v>ヤンキー漫画に転生したら、何故か総長に餌付けされてます。【連載版】</v>
      </c>
      <c r="G344" s="11" t="str">
        <f>IFERROR(__xludf.DUMMYFUNCTION("""COMPUTED_VALUE"""),"1～3")</f>
        <v>1～3</v>
      </c>
      <c r="H344" s="8" t="str">
        <f>IFERROR(__xludf.DUMMYFUNCTION("""COMPUTED_VALUE"""),"コミック：むぎちゃぽよこ／原作：ビス")</f>
        <v>コミック：むぎちゃぽよこ／原作：ビス</v>
      </c>
      <c r="I344" s="8" t="str">
        <f>IFERROR(__xludf.DUMMYFUNCTION("""COMPUTED_VALUE"""),"女性")</f>
        <v>女性</v>
      </c>
      <c r="J344" s="8"/>
      <c r="K344" s="8"/>
      <c r="L344" s="8" t="str">
        <f>IFERROR(__xludf.DUMMYFUNCTION("""COMPUTED_VALUE"""),"一迅社")</f>
        <v>一迅社</v>
      </c>
      <c r="M344" s="12">
        <f>IFERROR(__xludf.DUMMYFUNCTION("""COMPUTED_VALUE"""),45078.0)</f>
        <v>45078</v>
      </c>
      <c r="N344" s="12">
        <f>IFERROR(__xludf.DUMMYFUNCTION("""COMPUTED_VALUE"""),45107.0)</f>
        <v>45107</v>
      </c>
      <c r="O344" s="11"/>
      <c r="P344" s="9" t="str">
        <f>IFERROR(__xludf.DUMMYFUNCTION("""COMPUTED_VALUE"""),"否")</f>
        <v>否</v>
      </c>
      <c r="Q344" s="8" t="str">
        <f>IFERROR(__xludf.DUMMYFUNCTION("""COMPUTED_VALUE"""),"広告コミットOK（3/7）&lt;BR&gt;")</f>
        <v>広告コミットOK（3/7）&lt;BR&gt;</v>
      </c>
      <c r="R344" s="9"/>
      <c r="S344" s="8" t="str">
        <f>IFERROR(__xludf.DUMMYFUNCTION("""COMPUTED_VALUE"""),"20230508_一迅社_ヤンキー転生")</f>
        <v>20230508_一迅社_ヤンキー転生</v>
      </c>
      <c r="T344" s="9"/>
      <c r="U344" s="9" t="str">
        <f>IFERROR(__xludf.DUMMYFUNCTION("""COMPUTED_VALUE"""),"©むぎちゃぽよこ・ビス／一迅社")</f>
        <v>©むぎちゃぽよこ・ビス／一迅社</v>
      </c>
      <c r="V344" s="8" t="str">
        <f>IFERROR(__xludf.DUMMYFUNCTION("""COMPUTED_VALUE"""),"真白羊花は、『前世の記憶がある』という秘密を除けば、平凡で、かつビビりな女子高生である。そしてこの世界が前世で読んだヤンキー漫画に似ていると気が付きながらも、モブとして平和な日常を過ごしていた。そんなある日、帰り道でヤンキーの喧嘩に巻き込まれた挙句、最強のチーム『Zoo』の総長に気に入られてしまい…！？【本商品は単話コンテンツとなります。単行本版と収録内容が異なる場合がございます。漫画内の告知等は過去のものとなりますので、ご注意ください。】
")</f>
        <v>真白羊花は、『前世の記憶がある』という秘密を除けば、平凡で、かつビビりな女子高生である。そしてこの世界が前世で読んだヤンキー漫画に似ていると気が付きながらも、モブとして平和な日常を過ごしていた。そんなある日、帰り道でヤンキーの喧嘩に巻き込まれた挙句、最強のチーム『Zoo』の総長に気に入られてしまい…！？【本商品は単話コンテンツとなります。単行本版と収録内容が異なる場合がございます。漫画内の告知等は過去のものとなりますので、ご注意ください。】
</v>
      </c>
      <c r="W344" s="8"/>
      <c r="X344" s="8" t="str">
        <f>IFERROR(__xludf.DUMMYFUNCTION("""COMPUTED_VALUE"""),"有")</f>
        <v>有</v>
      </c>
      <c r="Y344" s="8" t="str">
        <f>IFERROR(__xludf.DUMMYFUNCTION("""COMPUTED_VALUE"""),"6/30まで1巻無料")</f>
        <v>6/30まで1巻無料</v>
      </c>
      <c r="Z344" s="7"/>
      <c r="AA344" s="7"/>
      <c r="AB344" s="7"/>
    </row>
    <row r="345" ht="15.75" customHeight="1">
      <c r="A345" s="8">
        <f>IFERROR(__xludf.DUMMYFUNCTION("""COMPUTED_VALUE"""),1876.0)</f>
        <v>1876</v>
      </c>
      <c r="B345" s="9" t="str">
        <f>IFERROR(__xludf.DUMMYFUNCTION("""COMPUTED_VALUE"""),"確定")</f>
        <v>確定</v>
      </c>
      <c r="C345" s="10">
        <f>IFERROR(__xludf.DUMMYFUNCTION("""COMPUTED_VALUE"""),45028.0)</f>
        <v>45028</v>
      </c>
      <c r="D345" s="10">
        <f>IFERROR(__xludf.DUMMYFUNCTION("""COMPUTED_VALUE"""),45048.0)</f>
        <v>45048</v>
      </c>
      <c r="E345" s="8">
        <f>IFERROR(__xludf.DUMMYFUNCTION("""COMPUTED_VALUE"""),269770.0)</f>
        <v>269770</v>
      </c>
      <c r="F345" s="9" t="str">
        <f>IFERROR(__xludf.DUMMYFUNCTION("""COMPUTED_VALUE"""),"カグヤくんは溺愛される")</f>
        <v>カグヤくんは溺愛される</v>
      </c>
      <c r="G345" s="11" t="str">
        <f>IFERROR(__xludf.DUMMYFUNCTION("""COMPUTED_VALUE"""),"1～2")</f>
        <v>1～2</v>
      </c>
      <c r="H345" s="8" t="str">
        <f>IFERROR(__xludf.DUMMYFUNCTION("""COMPUTED_VALUE"""),"おひさま33")</f>
        <v>おひさま33</v>
      </c>
      <c r="I345" s="8" t="str">
        <f>IFERROR(__xludf.DUMMYFUNCTION("""COMPUTED_VALUE"""),"BL")</f>
        <v>BL</v>
      </c>
      <c r="J345" s="8"/>
      <c r="K345" s="8"/>
      <c r="L345" s="8" t="str">
        <f>IFERROR(__xludf.DUMMYFUNCTION("""COMPUTED_VALUE"""),"CLLENN")</f>
        <v>CLLENN</v>
      </c>
      <c r="M345" s="12">
        <f>IFERROR(__xludf.DUMMYFUNCTION("""COMPUTED_VALUE"""),45073.0)</f>
        <v>45073</v>
      </c>
      <c r="N345" s="12">
        <f>IFERROR(__xludf.DUMMYFUNCTION("""COMPUTED_VALUE"""),45135.66666666667)</f>
        <v>45135.66667</v>
      </c>
      <c r="O345" s="11"/>
      <c r="P345" s="9" t="str">
        <f>IFERROR(__xludf.DUMMYFUNCTION("""COMPUTED_VALUE"""),"可")</f>
        <v>可</v>
      </c>
      <c r="Q345" s="8" t="str">
        <f>IFERROR(__xludf.DUMMYFUNCTION("""COMPUTED_VALUE"""),"素材格納（5/2）&lt;BR&gt;広告コミットOK（4/14）&lt;BR&gt;")</f>
        <v>素材格納（5/2）&lt;BR&gt;広告コミットOK（4/14）&lt;BR&gt;</v>
      </c>
      <c r="R345" s="9" t="str">
        <f>IFERROR(__xludf.DUMMYFUNCTION("""COMPUTED_VALUE"""),"格納済（5/2）")</f>
        <v>格納済（5/2）</v>
      </c>
      <c r="S345" s="8" t="str">
        <f>IFERROR(__xludf.DUMMYFUNCTION("""COMPUTED_VALUE"""),"20230502_コミックストック（オトメチカ出版）_カグヤくんは溺愛される")</f>
        <v>20230502_コミックストック（オトメチカ出版）_カグヤくんは溺愛される</v>
      </c>
      <c r="T345" s="9" t="str">
        <f>IFERROR(__xludf.DUMMYFUNCTION("""COMPUTED_VALUE"""),"校了済素材")</f>
        <v>校了済素材</v>
      </c>
      <c r="U345" s="9" t="str">
        <f>IFERROR(__xludf.DUMMYFUNCTION("""COMPUTED_VALUE"""),"著：おひさま33/オトメチカ出版")</f>
        <v>著：おひさま33/オトメチカ出版</v>
      </c>
      <c r="V345" s="8" t="str">
        <f>IFERROR(__xludf.DUMMYFUNCTION("""COMPUTED_VALUE"""),"【乳首を愛撫され、何度も奥を突かれてイかされて…これはもう完全に繁殖活動…！】地球のエリート御曹司×腹黒な月の王子の、人外（？）溺愛エロコメディ！――わけあって地球流しになった月の王子・宇佐望 神楽耶(うさもち かぐや)。神楽耶は、月に帰るため総理大臣の息子・宮内 帝人(みやうち みかど)を利用しようと近づく。二人きりで話をするため高級ホテルに行くが、突然キスされたうえに、乳首や下半身への愛撫で攻められ、溺愛されてしまい…！　帝人の指や性器は、神楽耶のイイところを突いて奥深くまで入ってくるし、なんだこれ、"&amp;"気持ちよすぎて抵抗できないっ！？ しかもそれ以来、毎日、交尾上手すぎ地球人・帝人に熱烈に求愛された神楽耶は、“発情期”を迎えて…？")</f>
        <v>【乳首を愛撫され、何度も奥を突かれてイかされて…これはもう完全に繁殖活動…！】地球のエリート御曹司×腹黒な月の王子の、人外（？）溺愛エロコメディ！――わけあって地球流しになった月の王子・宇佐望 神楽耶(うさもち かぐや)。神楽耶は、月に帰るため総理大臣の息子・宮内 帝人(みやうち みかど)を利用しようと近づく。二人きりで話をするため高級ホテルに行くが、突然キスされたうえに、乳首や下半身への愛撫で攻められ、溺愛されてしまい…！　帝人の指や性器は、神楽耶のイイところを突いて奥深くまで入ってくるし、なんだこれ、気持ちよすぎて抵抗できないっ！？ しかもそれ以来、毎日、交尾上手すぎ地球人・帝人に熱烈に求愛された神楽耶は、“発情期”を迎えて…？</v>
      </c>
      <c r="W345" s="8"/>
      <c r="X345" s="8" t="str">
        <f>IFERROR(__xludf.DUMMYFUNCTION("""COMPUTED_VALUE"""),"有")</f>
        <v>有</v>
      </c>
      <c r="Y345" s="8" t="str">
        <f>IFERROR(__xludf.DUMMYFUNCTION("""COMPUTED_VALUE"""),"P12まで")</f>
        <v>P12まで</v>
      </c>
      <c r="Z345" s="7"/>
      <c r="AA345" s="7"/>
      <c r="AB345" s="7"/>
    </row>
    <row r="346" ht="15.75" customHeight="1">
      <c r="A346" s="8">
        <f>IFERROR(__xludf.DUMMYFUNCTION("""COMPUTED_VALUE"""),1891.0)</f>
        <v>1891</v>
      </c>
      <c r="B346" s="9" t="str">
        <f>IFERROR(__xludf.DUMMYFUNCTION("""COMPUTED_VALUE"""),"確定")</f>
        <v>確定</v>
      </c>
      <c r="C346" s="10">
        <f>IFERROR(__xludf.DUMMYFUNCTION("""COMPUTED_VALUE"""),45030.0)</f>
        <v>45030</v>
      </c>
      <c r="D346" s="10">
        <f>IFERROR(__xludf.DUMMYFUNCTION("""COMPUTED_VALUE"""),45055.0)</f>
        <v>45055</v>
      </c>
      <c r="E346" s="8">
        <f>IFERROR(__xludf.DUMMYFUNCTION("""COMPUTED_VALUE"""),268715.0)</f>
        <v>268715</v>
      </c>
      <c r="F346" s="9" t="str">
        <f>IFERROR(__xludf.DUMMYFUNCTION("""COMPUTED_VALUE"""),"愛を知らない令嬢は、麗しの彼に恋をする【タテヨミ】")</f>
        <v>愛を知らない令嬢は、麗しの彼に恋をする【タテヨミ】</v>
      </c>
      <c r="G346" s="11" t="str">
        <f>IFERROR(__xludf.DUMMYFUNCTION("""COMPUTED_VALUE"""),"1～13")</f>
        <v>1～13</v>
      </c>
      <c r="H346" s="8" t="str">
        <f>IFERROR(__xludf.DUMMYFUNCTION("""COMPUTED_VALUE"""),"XIAOMINGTAIJI")</f>
        <v>XIAOMINGTAIJI</v>
      </c>
      <c r="I346" s="8" t="str">
        <f>IFERROR(__xludf.DUMMYFUNCTION("""COMPUTED_VALUE"""),"女性")</f>
        <v>女性</v>
      </c>
      <c r="J346" s="8"/>
      <c r="K346" s="8"/>
      <c r="L346" s="8" t="str">
        <f>IFERROR(__xludf.DUMMYFUNCTION("""COMPUTED_VALUE"""),"DPNブックス")</f>
        <v>DPNブックス</v>
      </c>
      <c r="M346" s="12">
        <f>IFERROR(__xludf.DUMMYFUNCTION("""COMPUTED_VALUE"""),45077.0)</f>
        <v>45077</v>
      </c>
      <c r="N346" s="12">
        <f>IFERROR(__xludf.DUMMYFUNCTION("""COMPUTED_VALUE"""),45106.0)</f>
        <v>45106</v>
      </c>
      <c r="O346" s="11"/>
      <c r="P346" s="9" t="str">
        <f>IFERROR(__xludf.DUMMYFUNCTION("""COMPUTED_VALUE"""),"可")</f>
        <v>可</v>
      </c>
      <c r="Q346" s="8" t="str">
        <f>IFERROR(__xludf.DUMMYFUNCTION("""COMPUTED_VALUE"""),"広告コミットOK（4/20）&lt;BR&gt;")</f>
        <v>広告コミットOK（4/20）&lt;BR&gt;</v>
      </c>
      <c r="R346" s="9"/>
      <c r="S346" s="8" t="str">
        <f>IFERROR(__xludf.DUMMYFUNCTION("""COMPUTED_VALUE"""),"20230414_DPNブックス_愛を知らない令嬢")</f>
        <v>20230414_DPNブックス_愛を知らない令嬢</v>
      </c>
      <c r="T346" s="9"/>
      <c r="U346" s="9" t="str">
        <f>IFERROR(__xludf.DUMMYFUNCTION("""COMPUTED_VALUE"""),"(C)XIAOMINGTAIJI／DPNブックス")</f>
        <v>(C)XIAOMINGTAIJI／DPNブックス</v>
      </c>
      <c r="V346" s="8" t="str">
        <f>IFERROR(__xludf.DUMMYFUNCTION("""COMPUTED_VALUE"""),"皆が羨む社長令嬢の飴本心（あめもと　こころ）は、父親が創設した出版社で働き始める。そこで出会ったのは、美しすぎるモデル 間宮彬（まみや　あきら）。見た目の華やかさとは裏腹に、心に深い淋しさを抱える心は、どこか影のある彬に惹かれていく。人を愛すことができないと明言する彬との恋に、果たして未来はあるのか。
")</f>
        <v>皆が羨む社長令嬢の飴本心（あめもと　こころ）は、父親が創設した出版社で働き始める。そこで出会ったのは、美しすぎるモデル 間宮彬（まみや　あきら）。見た目の華やかさとは裏腹に、心に深い淋しさを抱える心は、どこか影のある彬に惹かれていく。人を愛すことができないと明言する彬との恋に、果たして未来はあるのか。
</v>
      </c>
      <c r="W346" s="8"/>
      <c r="X346" s="9" t="str">
        <f>IFERROR(__xludf.DUMMYFUNCTION("""COMPUTED_VALUE"""),"有")</f>
        <v>有</v>
      </c>
      <c r="Y346" s="8" t="str">
        <f>IFERROR(__xludf.DUMMYFUNCTION("""COMPUTED_VALUE"""),"3話まで0円
6/29まで3巻無料")</f>
        <v>3話まで0円
6/29まで3巻無料</v>
      </c>
      <c r="Z346" s="7"/>
      <c r="AA346" s="7"/>
      <c r="AB346" s="7"/>
    </row>
    <row r="347" ht="15.75" customHeight="1">
      <c r="A347" s="8">
        <f>IFERROR(__xludf.DUMMYFUNCTION("""COMPUTED_VALUE"""),1896.0)</f>
        <v>1896</v>
      </c>
      <c r="B347" s="9" t="str">
        <f>IFERROR(__xludf.DUMMYFUNCTION("""COMPUTED_VALUE"""),"確定")</f>
        <v>確定</v>
      </c>
      <c r="C347" s="10">
        <f>IFERROR(__xludf.DUMMYFUNCTION("""COMPUTED_VALUE"""),45033.0)</f>
        <v>45033</v>
      </c>
      <c r="D347" s="10">
        <f>IFERROR(__xludf.DUMMYFUNCTION("""COMPUTED_VALUE"""),45054.0)</f>
        <v>45054</v>
      </c>
      <c r="E347" s="8">
        <f>IFERROR(__xludf.DUMMYFUNCTION("""COMPUTED_VALUE"""),270887.0)</f>
        <v>270887</v>
      </c>
      <c r="F347" s="9" t="str">
        <f>IFERROR(__xludf.DUMMYFUNCTION("""COMPUTED_VALUE"""),"桐生弁護士のXLな愛し方～絶倫オジサマ紳士ととろける蜜夜")</f>
        <v>桐生弁護士のXLな愛し方～絶倫オジサマ紳士ととろける蜜夜</v>
      </c>
      <c r="G347" s="11" t="str">
        <f>IFERROR(__xludf.DUMMYFUNCTION("""COMPUTED_VALUE"""),"1～2")</f>
        <v>1～2</v>
      </c>
      <c r="H347" s="8" t="str">
        <f>IFERROR(__xludf.DUMMYFUNCTION("""COMPUTED_VALUE"""),"かきのたすけ")</f>
        <v>かきのたすけ</v>
      </c>
      <c r="I347" s="8" t="str">
        <f>IFERROR(__xludf.DUMMYFUNCTION("""COMPUTED_VALUE"""),"TL")</f>
        <v>TL</v>
      </c>
      <c r="J347" s="8"/>
      <c r="K347" s="8"/>
      <c r="L347" s="8" t="str">
        <f>IFERROR(__xludf.DUMMYFUNCTION("""COMPUTED_VALUE"""),"オーバーラップ")</f>
        <v>オーバーラップ</v>
      </c>
      <c r="M347" s="12">
        <f>IFERROR(__xludf.DUMMYFUNCTION("""COMPUTED_VALUE"""),45108.0)</f>
        <v>45108</v>
      </c>
      <c r="N347" s="12">
        <f>IFERROR(__xludf.DUMMYFUNCTION("""COMPUTED_VALUE"""),45169.0)</f>
        <v>45169</v>
      </c>
      <c r="O347" s="11"/>
      <c r="P347" s="9" t="str">
        <f>IFERROR(__xludf.DUMMYFUNCTION("""COMPUTED_VALUE"""),"可")</f>
        <v>可</v>
      </c>
      <c r="Q347" s="8" t="str">
        <f>IFERROR(__xludf.DUMMYFUNCTION("""COMPUTED_VALUE"""),"広告コミットOK（4/20）&lt;BR&gt;&lt;BR&gt;")</f>
        <v>広告コミットOK（4/20）&lt;BR&gt;&lt;BR&gt;</v>
      </c>
      <c r="R347" s="9"/>
      <c r="S347" s="8" t="str">
        <f>IFERROR(__xludf.DUMMYFUNCTION("""COMPUTED_VALUE"""),"20230508_オーバーラップ_桐生弁護士のXLな愛し方～絶倫オジサマ紳士ととろける蜜夜")</f>
        <v>20230508_オーバーラップ_桐生弁護士のXLな愛し方～絶倫オジサマ紳士ととろける蜜夜</v>
      </c>
      <c r="T347" s="9"/>
      <c r="U347" s="9" t="str">
        <f>IFERROR(__xludf.DUMMYFUNCTION("""COMPUTED_VALUE"""),"(c)かきのたすけ／オーバーラップ")</f>
        <v>(c)かきのたすけ／オーバーラップ</v>
      </c>
      <c r="V347" s="8" t="str">
        <f>IFERROR(__xludf.DUMMYFUNCTION("""COMPUTED_VALUE"""),"「まだ半分も挿入ってませんよ？」
じっくり舐められたトロトロのナカにXLが奥まで届いて…
一晩でこんなに何回もイくなんて…っ
「突かれながらク●を触られるのが好きなんですね」
真面目で紳士な弁護士は、ベッドの上ではギラついた肉食獣!?
OL・麻衣子（まいこ）は絶賛おひとり様ライフを満喫中。
上司の桐生（きりゅう）弁護士に憧れているけれど、恋しなくても毎日充実している。
ところが30歳の誕生日、桐生と一夜を過ごすことになって――…
「俺でイくところもっと見せて」丁寧なのに激しい愛撫。
甘やかされてとろかされ"&amp;"て、おかしくなりそうなほど気持ちいい…っ
絶倫紳士に愛されすぎるオトナの極上ラブロマンス
※本書は「ラブパルフェVOL.62-1」に収録されています。重複購入にご注意ください。")</f>
        <v>「まだ半分も挿入ってませんよ？」
じっくり舐められたトロトロのナカにXLが奥まで届いて…
一晩でこんなに何回もイくなんて…っ
「突かれながらク●を触られるのが好きなんですね」
真面目で紳士な弁護士は、ベッドの上ではギラついた肉食獣!?
OL・麻衣子（まいこ）は絶賛おひとり様ライフを満喫中。
上司の桐生（きりゅう）弁護士に憧れているけれど、恋しなくても毎日充実している。
ところが30歳の誕生日、桐生と一夜を過ごすことになって――…
「俺でイくところもっと見せて」丁寧なのに激しい愛撫。
甘やかされてとろかされて、おかしくなりそうなほど気持ちいい…っ
絶倫紳士に愛されすぎるオトナの極上ラブロマンス
※本書は「ラブパルフェVOL.62-1」に収録されています。重複購入にご注意ください。</v>
      </c>
      <c r="W347" s="8"/>
      <c r="X347" s="8" t="str">
        <f>IFERROR(__xludf.DUMMYFUNCTION("""COMPUTED_VALUE"""),"有")</f>
        <v>有</v>
      </c>
      <c r="Y347" s="8" t="str">
        <f>IFERROR(__xludf.DUMMYFUNCTION("""COMPUTED_VALUE"""),"P10まで")</f>
        <v>P10まで</v>
      </c>
      <c r="Z347" s="7"/>
      <c r="AA347" s="7"/>
      <c r="AB347" s="7"/>
    </row>
    <row r="348" ht="15.75" customHeight="1">
      <c r="A348" s="8">
        <f>IFERROR(__xludf.DUMMYFUNCTION("""COMPUTED_VALUE"""),1897.0)</f>
        <v>1897</v>
      </c>
      <c r="B348" s="9" t="str">
        <f>IFERROR(__xludf.DUMMYFUNCTION("""COMPUTED_VALUE"""),"確定")</f>
        <v>確定</v>
      </c>
      <c r="C348" s="10">
        <f>IFERROR(__xludf.DUMMYFUNCTION("""COMPUTED_VALUE"""),45033.0)</f>
        <v>45033</v>
      </c>
      <c r="D348" s="10">
        <f>IFERROR(__xludf.DUMMYFUNCTION("""COMPUTED_VALUE"""),45054.0)</f>
        <v>45054</v>
      </c>
      <c r="E348" s="8">
        <f>IFERROR(__xludf.DUMMYFUNCTION("""COMPUTED_VALUE"""),270888.0)</f>
        <v>270888</v>
      </c>
      <c r="F348" s="9" t="str">
        <f>IFERROR(__xludf.DUMMYFUNCTION("""COMPUTED_VALUE"""),"溺愛バチェラーは極上テクで抱き尽くす～セレブな彼の肉食Hなオスの顔")</f>
        <v>溺愛バチェラーは極上テクで抱き尽くす～セレブな彼の肉食Hなオスの顔</v>
      </c>
      <c r="G348" s="11" t="str">
        <f>IFERROR(__xludf.DUMMYFUNCTION("""COMPUTED_VALUE"""),"1～2")</f>
        <v>1～2</v>
      </c>
      <c r="H348" s="8" t="str">
        <f>IFERROR(__xludf.DUMMYFUNCTION("""COMPUTED_VALUE"""),"@R")</f>
        <v>@R</v>
      </c>
      <c r="I348" s="8" t="str">
        <f>IFERROR(__xludf.DUMMYFUNCTION("""COMPUTED_VALUE"""),"TL")</f>
        <v>TL</v>
      </c>
      <c r="J348" s="8"/>
      <c r="K348" s="8"/>
      <c r="L348" s="8" t="str">
        <f>IFERROR(__xludf.DUMMYFUNCTION("""COMPUTED_VALUE"""),"オーバーラップ")</f>
        <v>オーバーラップ</v>
      </c>
      <c r="M348" s="12">
        <f>IFERROR(__xludf.DUMMYFUNCTION("""COMPUTED_VALUE"""),45108.0)</f>
        <v>45108</v>
      </c>
      <c r="N348" s="12">
        <f>IFERROR(__xludf.DUMMYFUNCTION("""COMPUTED_VALUE"""),45169.0)</f>
        <v>45169</v>
      </c>
      <c r="O348" s="11"/>
      <c r="P348" s="9" t="str">
        <f>IFERROR(__xludf.DUMMYFUNCTION("""COMPUTED_VALUE"""),"可")</f>
        <v>可</v>
      </c>
      <c r="Q348" s="8" t="str">
        <f>IFERROR(__xludf.DUMMYFUNCTION("""COMPUTED_VALUE"""),"広告コミットOK（4/20）&lt;BR&gt;")</f>
        <v>広告コミットOK（4/20）&lt;BR&gt;</v>
      </c>
      <c r="R348" s="9"/>
      <c r="S348" s="8" t="str">
        <f>IFERROR(__xludf.DUMMYFUNCTION("""COMPUTED_VALUE"""),"20230508_オーバーラップ_溺愛バチェラーは極上テクで抱き尽くす～セレブな彼の肉食Hなオスの顔")</f>
        <v>20230508_オーバーラップ_溺愛バチェラーは極上テクで抱き尽くす～セレブな彼の肉食Hなオスの顔</v>
      </c>
      <c r="T348" s="9"/>
      <c r="U348" s="9" t="str">
        <f>IFERROR(__xludf.DUMMYFUNCTION("""COMPUTED_VALUE"""),"(c)@R／オーバーラップ")</f>
        <v>(c)@R／オーバーラップ</v>
      </c>
      <c r="V348" s="8" t="str">
        <f>IFERROR(__xludf.DUMMYFUNCTION("""COMPUTED_VALUE"""),"「君は俺の理想の女性だ」王子様みたいな彼に、お姫様みたいに扱われた後は――ベッドの上でトロトロになるまで乱されちゃうっ…！
男勝りでお酒が大好きなOL・瑠花（るか）は、ワケあって双子の妹の代わりにハイスペ独身男性の時透洋司（ときとうようじ）とお見合いすることに!?
なぜか気に入られて、甘いキスまでされて…もう理性はグラグラ。
「感じやすいんだね…いい子だ」優しい愛撫に溶かされたと思ったら、スイッチの入った彼に激しくイヤらしく奥を責められて…。
エッチのときの彼って、紳士な顔して肉食…!! 身代わりなのに、"&amp;"何もかも完璧すぎる一流ハイスペバチェラーに、プロポーズされた瑠花の運命は――…
※本書は「ラブパルフェVOL.62-2」に収録されています。重複購入にご注意ください。")</f>
        <v>「君は俺の理想の女性だ」王子様みたいな彼に、お姫様みたいに扱われた後は――ベッドの上でトロトロになるまで乱されちゃうっ…！
男勝りでお酒が大好きなOL・瑠花（るか）は、ワケあって双子の妹の代わりにハイスペ独身男性の時透洋司（ときとうようじ）とお見合いすることに!?
なぜか気に入られて、甘いキスまでされて…もう理性はグラグラ。
「感じやすいんだね…いい子だ」優しい愛撫に溶かされたと思ったら、スイッチの入った彼に激しくイヤらしく奥を責められて…。
エッチのときの彼って、紳士な顔して肉食…!! 身代わりなのに、何もかも完璧すぎる一流ハイスペバチェラーに、プロポーズされた瑠花の運命は――…
※本書は「ラブパルフェVOL.62-2」に収録されています。重複購入にご注意ください。</v>
      </c>
      <c r="W348" s="8"/>
      <c r="X348" s="8" t="str">
        <f>IFERROR(__xludf.DUMMYFUNCTION("""COMPUTED_VALUE"""),"有")</f>
        <v>有</v>
      </c>
      <c r="Y348" s="8" t="str">
        <f>IFERROR(__xludf.DUMMYFUNCTION("""COMPUTED_VALUE"""),"P7まで")</f>
        <v>P7まで</v>
      </c>
      <c r="Z348" s="7"/>
      <c r="AA348" s="7"/>
      <c r="AB348" s="7"/>
    </row>
    <row r="349" ht="15.75" customHeight="1">
      <c r="A349" s="8">
        <f>IFERROR(__xludf.DUMMYFUNCTION("""COMPUTED_VALUE"""),1915.0)</f>
        <v>1915</v>
      </c>
      <c r="B349" s="9" t="str">
        <f>IFERROR(__xludf.DUMMYFUNCTION("""COMPUTED_VALUE"""),"確定")</f>
        <v>確定</v>
      </c>
      <c r="C349" s="10">
        <f>IFERROR(__xludf.DUMMYFUNCTION("""COMPUTED_VALUE"""),45042.0)</f>
        <v>45042</v>
      </c>
      <c r="D349" s="10">
        <f>IFERROR(__xludf.DUMMYFUNCTION("""COMPUTED_VALUE"""),45056.0)</f>
        <v>45056</v>
      </c>
      <c r="E349" s="8">
        <f>IFERROR(__xludf.DUMMYFUNCTION("""COMPUTED_VALUE"""),269210.0)</f>
        <v>269210</v>
      </c>
      <c r="F349" s="9" t="str">
        <f>IFERROR(__xludf.DUMMYFUNCTION("""COMPUTED_VALUE"""),"嫌われ者の公爵令嬢。【分冊版】")</f>
        <v>嫌われ者の公爵令嬢。【分冊版】</v>
      </c>
      <c r="G349" s="11" t="str">
        <f>IFERROR(__xludf.DUMMYFUNCTION("""COMPUTED_VALUE"""),"1～3")</f>
        <v>1～3</v>
      </c>
      <c r="H349" s="8" t="str">
        <f>IFERROR(__xludf.DUMMYFUNCTION("""COMPUTED_VALUE"""),"代野しろ/池中織奈/淵゛（作画/原作/キャラクター原案）")</f>
        <v>代野しろ/池中織奈/淵゛（作画/原作/キャラクター原案）</v>
      </c>
      <c r="I349" s="8" t="str">
        <f>IFERROR(__xludf.DUMMYFUNCTION("""COMPUTED_VALUE"""),"少女")</f>
        <v>少女</v>
      </c>
      <c r="J349" s="8"/>
      <c r="K349" s="8"/>
      <c r="L349" s="8" t="str">
        <f>IFERROR(__xludf.DUMMYFUNCTION("""COMPUTED_VALUE"""),"笠倉出版社")</f>
        <v>笠倉出版社</v>
      </c>
      <c r="M349" s="12">
        <f>IFERROR(__xludf.DUMMYFUNCTION("""COMPUTED_VALUE"""),45087.0)</f>
        <v>45087</v>
      </c>
      <c r="N349" s="12">
        <f>IFERROR(__xludf.DUMMYFUNCTION("""COMPUTED_VALUE"""),45116.0)</f>
        <v>45116</v>
      </c>
      <c r="O349" s="11"/>
      <c r="P349" s="9" t="str">
        <f>IFERROR(__xludf.DUMMYFUNCTION("""COMPUTED_VALUE"""),"否")</f>
        <v>否</v>
      </c>
      <c r="Q349" s="8" t="str">
        <f>IFERROR(__xludf.DUMMYFUNCTION("""COMPUTED_VALUE"""),"コミットOK（5/1）&lt;BR&gt;----------&lt;BR&gt;5/1更新（駒村）：&lt;BR&gt;・初回配信1-3話のまま&lt;BR&gt;・6/10～2週間は1話目のストリーミング無料実施予定。&lt;BR&gt;・コピーライトに関して、制作画像のサイズによって入りきらない場合は、キャラクタ―原案「淵゛」を省略していただいても問題ございません。&lt;BR&gt;----------&lt;BR&gt;&lt;BR&gt;・新レーベル「Niμ」の令嬢系作品です！&lt;BR&gt;・本作はGAノベル様から配信されたノベルのコミカライズ作品となります。（https://www.cmoa"&amp;".jp/title/1101334156/）")</f>
        <v>コミットOK（5/1）&lt;BR&gt;----------&lt;BR&gt;5/1更新（駒村）：&lt;BR&gt;・初回配信1-3話のまま&lt;BR&gt;・6/10～2週間は1話目のストリーミング無料実施予定。&lt;BR&gt;・コピーライトに関して、制作画像のサイズによって入りきらない場合は、キャラクタ―原案「淵゛」を省略していただいても問題ございません。&lt;BR&gt;----------&lt;BR&gt;&lt;BR&gt;・新レーベル「Niμ」の令嬢系作品です！&lt;BR&gt;・本作はGAノベル様から配信されたノベルのコミカライズ作品となります。（https://www.cmoa.jp/title/1101334156/）</v>
      </c>
      <c r="R349" s="9"/>
      <c r="S349" s="8" t="str">
        <f>IFERROR(__xludf.DUMMYFUNCTION("""COMPUTED_VALUE"""),"20230510_笠倉出版社_嫌われ者の公爵令嬢。【分冊版】")</f>
        <v>20230510_笠倉出版社_嫌われ者の公爵令嬢。【分冊版】</v>
      </c>
      <c r="T349" s="9" t="str">
        <f>IFERROR(__xludf.DUMMYFUNCTION("""COMPUTED_VALUE"""),"格納済")</f>
        <v>格納済</v>
      </c>
      <c r="U349" s="9" t="str">
        <f>IFERROR(__xludf.DUMMYFUNCTION("""COMPUTED_VALUE"""),"(c)代野しろ/池中織奈/淵゛/笠倉出版社")</f>
        <v>(c)代野しろ/池中織奈/淵゛/笠倉出版社</v>
      </c>
      <c r="V349" s="8" t="str">
        <f>IFERROR(__xludf.DUMMYFUNCTION("""COMPUTED_VALUE"""),"「目指せ、平民生活！学園で婚約者を作らず平民になって過ごすわ！！」幼い頃、初めて参加したパーティー。そこで高貴な女性・ルイーゼに「悪役令嬢」のレッテルを貼られ、貴族社会で孤立してしまったオティーリエ公爵令嬢。周囲に嫌われながら、彼女なりの努力をしてきたが報われないまま時間だけが過ぎてしまう。そんな苦しい立場に耐えながら、オティーリエは王族や貴族達が集まる学園に入学することになり…※本商品はpixivコミック内の「Niμ」レーベルにて掲載していたものの単話コンテンツとなります。")</f>
        <v>「目指せ、平民生活！学園で婚約者を作らず平民になって過ごすわ！！」幼い頃、初めて参加したパーティー。そこで高貴な女性・ルイーゼに「悪役令嬢」のレッテルを貼られ、貴族社会で孤立してしまったオティーリエ公爵令嬢。周囲に嫌われながら、彼女なりの努力をしてきたが報われないまま時間だけが過ぎてしまう。そんな苦しい立場に耐えながら、オティーリエは王族や貴族達が集まる学園に入学することになり…※本商品はpixivコミック内の「Niμ」レーベルにて掲載していたものの単話コンテンツとなります。</v>
      </c>
      <c r="W349" s="8"/>
      <c r="X349" s="8" t="str">
        <f>IFERROR(__xludf.DUMMYFUNCTION("""COMPUTED_VALUE"""),"有")</f>
        <v>有</v>
      </c>
      <c r="Y349" s="8" t="str">
        <f>IFERROR(__xludf.DUMMYFUNCTION("""COMPUTED_VALUE"""),"P9まで")</f>
        <v>P9まで</v>
      </c>
      <c r="Z349" s="7"/>
      <c r="AA349" s="7"/>
      <c r="AB349" s="7"/>
    </row>
    <row r="350" ht="15.75" customHeight="1">
      <c r="A350" s="8">
        <f>IFERROR(__xludf.DUMMYFUNCTION("""COMPUTED_VALUE"""),1918.0)</f>
        <v>1918</v>
      </c>
      <c r="B350" s="9" t="str">
        <f>IFERROR(__xludf.DUMMYFUNCTION("""COMPUTED_VALUE"""),"確定")</f>
        <v>確定</v>
      </c>
      <c r="C350" s="10">
        <f>IFERROR(__xludf.DUMMYFUNCTION("""COMPUTED_VALUE"""),45043.0)</f>
        <v>45043</v>
      </c>
      <c r="D350" s="10">
        <f>IFERROR(__xludf.DUMMYFUNCTION("""COMPUTED_VALUE"""),45043.0)</f>
        <v>45043</v>
      </c>
      <c r="E350" s="8">
        <f>IFERROR(__xludf.DUMMYFUNCTION("""COMPUTED_VALUE"""),268073.0)</f>
        <v>268073</v>
      </c>
      <c r="F350" s="9" t="str">
        <f>IFERROR(__xludf.DUMMYFUNCTION("""COMPUTED_VALUE"""),"推しにガチ恋しちゃったら")</f>
        <v>推しにガチ恋しちゃったら</v>
      </c>
      <c r="G350" s="11">
        <f>IFERROR(__xludf.DUMMYFUNCTION("""COMPUTED_VALUE"""),1.0)</f>
        <v>1</v>
      </c>
      <c r="H350" s="8" t="str">
        <f>IFERROR(__xludf.DUMMYFUNCTION("""COMPUTED_VALUE"""),"春江ひかる")</f>
        <v>春江ひかる</v>
      </c>
      <c r="I350" s="8" t="str">
        <f>IFERROR(__xludf.DUMMYFUNCTION("""COMPUTED_VALUE"""),"女性")</f>
        <v>女性</v>
      </c>
      <c r="J350" s="8"/>
      <c r="K350" s="8"/>
      <c r="L350" s="8" t="str">
        <f>IFERROR(__xludf.DUMMYFUNCTION("""COMPUTED_VALUE"""),"集英社")</f>
        <v>集英社</v>
      </c>
      <c r="M350" s="12">
        <f>IFERROR(__xludf.DUMMYFUNCTION("""COMPUTED_VALUE"""),45071.0)</f>
        <v>45071</v>
      </c>
      <c r="N350" s="12">
        <f>IFERROR(__xludf.DUMMYFUNCTION("""COMPUTED_VALUE"""),45099.66666666667)</f>
        <v>45099.66667</v>
      </c>
      <c r="O350" s="11"/>
      <c r="P350" s="9" t="str">
        <f>IFERROR(__xludf.DUMMYFUNCTION("""COMPUTED_VALUE"""),"否")</f>
        <v>否</v>
      </c>
      <c r="Q350" s="8" t="str">
        <f>IFERROR(__xludf.DUMMYFUNCTION("""COMPUTED_VALUE"""),"レーベル：別冊マーガレット&lt;BR&gt;4話分の素材を格納してますが、これがすべてまとまって1巻の配信となります")</f>
        <v>レーベル：別冊マーガレット&lt;BR&gt;4話分の素材を格納してますが、これがすべてまとまって1巻の配信となります</v>
      </c>
      <c r="R350" s="9"/>
      <c r="S350" s="8" t="str">
        <f>IFERROR(__xludf.DUMMYFUNCTION("""COMPUTED_VALUE"""),"20230427_集英社_推しにガチ恋")</f>
        <v>20230427_集英社_推しにガチ恋</v>
      </c>
      <c r="T350" s="9"/>
      <c r="U350" s="9" t="str">
        <f>IFERROR(__xludf.DUMMYFUNCTION("""COMPUTED_VALUE"""),"©春江ひかる／集英社")</f>
        <v>©春江ひかる／集英社</v>
      </c>
      <c r="V350" s="8" t="str">
        <f>IFERROR(__xludf.DUMMYFUNCTION("""COMPUTED_VALUE"""),"【推しとの恋はアリ？　それともナシ!?】大学生の桃は、超人気アイドルFLEEKのメンバー・優衣人の古参ファン。少しでも会話できるならいくらでもCDを買うし、まわりの家族や友だちからバカにされたって全然平気♪　ところが、メンバーと直接繋がりのある女ともだちに誘われたパーティで……!?　別マで大反響！　夢だけじゃない闇深アイドルラブストーリー。巻末におまけページも収録！
")</f>
        <v>【推しとの恋はアリ？　それともナシ!?】大学生の桃は、超人気アイドルFLEEKのメンバー・優衣人の古参ファン。少しでも会話できるならいくらでもCDを買うし、まわりの家族や友だちからバカにされたって全然平気♪　ところが、メンバーと直接繋がりのある女ともだちに誘われたパーティで……!?　別マで大反響！　夢だけじゃない闇深アイドルラブストーリー。巻末におまけページも収録！
</v>
      </c>
      <c r="W350" s="8"/>
      <c r="X350" s="8" t="str">
        <f>IFERROR(__xludf.DUMMYFUNCTION("""COMPUTED_VALUE"""),"有")</f>
        <v>有</v>
      </c>
      <c r="Y350" s="8" t="str">
        <f>IFERROR(__xludf.DUMMYFUNCTION("""COMPUTED_VALUE"""),"6/7まで立ち読み増量P80まで")</f>
        <v>6/7まで立ち読み増量P80まで</v>
      </c>
      <c r="Z350" s="7"/>
      <c r="AA350" s="7"/>
      <c r="AB350" s="7"/>
    </row>
    <row r="351" ht="15.75" customHeight="1">
      <c r="A351" s="8">
        <f>IFERROR(__xludf.DUMMYFUNCTION("""COMPUTED_VALUE"""),1920.0)</f>
        <v>1920</v>
      </c>
      <c r="B351" s="9" t="str">
        <f>IFERROR(__xludf.DUMMYFUNCTION("""COMPUTED_VALUE"""),"確定")</f>
        <v>確定</v>
      </c>
      <c r="C351" s="10">
        <f>IFERROR(__xludf.DUMMYFUNCTION("""COMPUTED_VALUE"""),45047.0)</f>
        <v>45047</v>
      </c>
      <c r="D351" s="10">
        <f>IFERROR(__xludf.DUMMYFUNCTION("""COMPUTED_VALUE"""),45047.0)</f>
        <v>45047</v>
      </c>
      <c r="E351" s="8">
        <f>IFERROR(__xludf.DUMMYFUNCTION("""COMPUTED_VALUE"""),257771.0)</f>
        <v>257771</v>
      </c>
      <c r="F351" s="9" t="str">
        <f>IFERROR(__xludf.DUMMYFUNCTION("""COMPUTED_VALUE"""),"公務員・ひつじさんはガードが堅い")</f>
        <v>公務員・ひつじさんはガードが堅い</v>
      </c>
      <c r="G351" s="11" t="str">
        <f>IFERROR(__xludf.DUMMYFUNCTION("""COMPUTED_VALUE"""),"1～3")</f>
        <v>1～3</v>
      </c>
      <c r="H351" s="8" t="str">
        <f>IFERROR(__xludf.DUMMYFUNCTION("""COMPUTED_VALUE"""),"二瀬イツ")</f>
        <v>二瀬イツ</v>
      </c>
      <c r="I351" s="14" t="str">
        <f>IFERROR(__xludf.DUMMYFUNCTION("""COMPUTED_VALUE"""),"少女")</f>
        <v>少女</v>
      </c>
      <c r="J351" s="8"/>
      <c r="K351" s="8"/>
      <c r="L351" s="8" t="str">
        <f>IFERROR(__xludf.DUMMYFUNCTION("""COMPUTED_VALUE"""),"ソルマーレ編集部")</f>
        <v>ソルマーレ編集部</v>
      </c>
      <c r="M351" s="12">
        <f>IFERROR(__xludf.DUMMYFUNCTION("""COMPUTED_VALUE"""),45080.0)</f>
        <v>45080</v>
      </c>
      <c r="N351" s="12">
        <f>IFERROR(__xludf.DUMMYFUNCTION("""COMPUTED_VALUE"""),45141.0)</f>
        <v>45141</v>
      </c>
      <c r="O351" s="11"/>
      <c r="P351" s="9" t="str">
        <f>IFERROR(__xludf.DUMMYFUNCTION("""COMPUTED_VALUE"""),"可")</f>
        <v>可</v>
      </c>
      <c r="Q351" s="8"/>
      <c r="R351" s="9"/>
      <c r="S351" s="8" t="str">
        <f>IFERROR(__xludf.DUMMYFUNCTION("""COMPUTED_VALUE"""),"20230501_ソルマーレ編集部_公務員・ひつじさんはガードが堅い")</f>
        <v>20230501_ソルマーレ編集部_公務員・ひつじさんはガードが堅い</v>
      </c>
      <c r="T351" s="15"/>
      <c r="U351" s="9" t="str">
        <f>IFERROR(__xludf.DUMMYFUNCTION("""COMPUTED_VALUE"""),"Ⓒ 二瀬イツ/シーモアコミックス")</f>
        <v>Ⓒ 二瀬イツ/シーモアコミックス</v>
      </c>
      <c r="V351" s="8" t="str">
        <f>IFERROR(__xludf.DUMMYFUNCTION("""COMPUTED_VALUE"""),"顔も名前も知らない、声だけの存在はいつしか楓の中で大きくなり……。
会社の倒産で、転職活動を余儀なくされた射手園楓は苦戦していた。続く不採用のメールに心が折れそうなときにふと聴いたラジオの配信。“ラムチョップ”と名乗る彼の何気ない雑談と柔らかな声色に、勢いでツライ自分の状況と、気晴らしの仕方を問うコメントを送ってしまう。送信ボタンを押した直後に我に返り後悔する楓だが、それに対して返ってきた誠実な答えは、彼女を勇気づけるのに十分だった。会ってお礼を言いたい。でも彼に会えるはずもない。そう思っていたが、思わぬ"&amp;"場所で彼の声を耳にして――!?【恋するソワレ】")</f>
        <v>顔も名前も知らない、声だけの存在はいつしか楓の中で大きくなり……。
会社の倒産で、転職活動を余儀なくされた射手園楓は苦戦していた。続く不採用のメールに心が折れそうなときにふと聴いたラジオの配信。“ラムチョップ”と名乗る彼の何気ない雑談と柔らかな声色に、勢いでツライ自分の状況と、気晴らしの仕方を問うコメントを送ってしまう。送信ボタンを押した直後に我に返り後悔する楓だが、それに対して返ってきた誠実な答えは、彼女を勇気づけるのに十分だった。会ってお礼を言いたい。でも彼に会えるはずもない。そう思っていたが、思わぬ場所で彼の声を耳にして――!?【恋するソワレ】</v>
      </c>
      <c r="W351" s="8"/>
      <c r="X351" s="8" t="str">
        <f>IFERROR(__xludf.DUMMYFUNCTION("""COMPUTED_VALUE"""),"有")</f>
        <v>有</v>
      </c>
      <c r="Y351" s="8" t="str">
        <f>IFERROR(__xludf.DUMMYFUNCTION("""COMPUTED_VALUE"""),"6/16まで1巻無料")</f>
        <v>6/16まで1巻無料</v>
      </c>
      <c r="Z351" s="7"/>
      <c r="AA351" s="7"/>
      <c r="AB351" s="7"/>
    </row>
    <row r="352" ht="15.75" customHeight="1">
      <c r="A352" s="8">
        <f>IFERROR(__xludf.DUMMYFUNCTION("""COMPUTED_VALUE"""),1923.0)</f>
        <v>1923</v>
      </c>
      <c r="B352" s="9" t="str">
        <f>IFERROR(__xludf.DUMMYFUNCTION("""COMPUTED_VALUE"""),"確定")</f>
        <v>確定</v>
      </c>
      <c r="C352" s="10">
        <f>IFERROR(__xludf.DUMMYFUNCTION("""COMPUTED_VALUE"""),45054.0)</f>
        <v>45054</v>
      </c>
      <c r="D352" s="10">
        <f>IFERROR(__xludf.DUMMYFUNCTION("""COMPUTED_VALUE"""),45054.0)</f>
        <v>45054</v>
      </c>
      <c r="E352" s="8">
        <f>IFERROR(__xludf.DUMMYFUNCTION("""COMPUTED_VALUE"""),268863.0)</f>
        <v>268863</v>
      </c>
      <c r="F352" s="9" t="str">
        <f>IFERROR(__xludf.DUMMYFUNCTION("""COMPUTED_VALUE"""),"むらうみさま")</f>
        <v>むらうみさま</v>
      </c>
      <c r="G352" s="11" t="str">
        <f>IFERROR(__xludf.DUMMYFUNCTION("""COMPUTED_VALUE"""),"1～2")</f>
        <v>1～2</v>
      </c>
      <c r="H352" s="8" t="str">
        <f>IFERROR(__xludf.DUMMYFUNCTION("""COMPUTED_VALUE"""),"あねもねらぼ")</f>
        <v>あねもねらぼ</v>
      </c>
      <c r="I352" s="14" t="str">
        <f>IFERROR(__xludf.DUMMYFUNCTION("""COMPUTED_VALUE"""),"青年")</f>
        <v>青年</v>
      </c>
      <c r="J352" s="8"/>
      <c r="K352" s="8"/>
      <c r="L352" s="8" t="str">
        <f>IFERROR(__xludf.DUMMYFUNCTION("""COMPUTED_VALUE"""),"MUGENUP")</f>
        <v>MUGENUP</v>
      </c>
      <c r="M352" s="12">
        <f>IFERROR(__xludf.DUMMYFUNCTION("""COMPUTED_VALUE"""),45083.0)</f>
        <v>45083</v>
      </c>
      <c r="N352" s="12">
        <f>IFERROR(__xludf.DUMMYFUNCTION("""COMPUTED_VALUE"""),45112.0)</f>
        <v>45112</v>
      </c>
      <c r="O352" s="11"/>
      <c r="P352" s="9" t="str">
        <f>IFERROR(__xludf.DUMMYFUNCTION("""COMPUTED_VALUE"""),"可")</f>
        <v>可</v>
      </c>
      <c r="Q352" s="8"/>
      <c r="R352" s="9" t="str">
        <f>IFERROR(__xludf.DUMMYFUNCTION("""COMPUTED_VALUE"""),"納品済み（素材フォルダに格納）")</f>
        <v>納品済み（素材フォルダに格納）</v>
      </c>
      <c r="S352" s="8" t="str">
        <f>IFERROR(__xludf.DUMMYFUNCTION("""COMPUTED_VALUE"""),"20230508_MUGENUP_むらうみさま")</f>
        <v>20230508_MUGENUP_むらうみさま</v>
      </c>
      <c r="T352" s="9"/>
      <c r="U352" s="9" t="str">
        <f>IFERROR(__xludf.DUMMYFUNCTION("""COMPUTED_VALUE"""),"（C）あねもねらぼ／MUGENUP")</f>
        <v>（C）あねもねらぼ／MUGENUP</v>
      </c>
      <c r="V352" s="8" t="str">
        <f>IFERROR(__xludf.DUMMYFUNCTION("""COMPUTED_VALUE"""),"幼馴染とともに訪れた秘境の村。そこには子孫繁栄の儀式が代々受け継がれていた…！　儀式の巫女「邑産みさま」の血を引くという幼馴染とともに、子作りの儀式へと巻き込まれていく…。
幼馴染の藍花、その妹の藤花、母の華に荷物持ちとして連れられ訪れたのは山奥の秘境の村。村長である藍花の祖母に迎えられた一行は、村に古くから伝わる儀式について聞かされる。その儀式とは、子孫繁栄を祈念する子作りの儀式「邑産み」であった。
儀式の巫女「邑産みさま」の血を引くという藍花と藤花。2人は邑産みの責務を強要される。果たして邑産みは成さ"&amp;"れるのか…。")</f>
        <v>幼馴染とともに訪れた秘境の村。そこには子孫繁栄の儀式が代々受け継がれていた…！　儀式の巫女「邑産みさま」の血を引くという幼馴染とともに、子作りの儀式へと巻き込まれていく…。
幼馴染の藍花、その妹の藤花、母の華に荷物持ちとして連れられ訪れたのは山奥の秘境の村。村長である藍花の祖母に迎えられた一行は、村に古くから伝わる儀式について聞かされる。その儀式とは、子孫繁栄を祈念する子作りの儀式「邑産み」であった。
儀式の巫女「邑産みさま」の血を引くという藍花と藤花。2人は邑産みの責務を強要される。果たして邑産みは成されるのか…。</v>
      </c>
      <c r="W352" s="8"/>
      <c r="X352" s="8" t="str">
        <f>IFERROR(__xludf.DUMMYFUNCTION("""COMPUTED_VALUE"""),"有")</f>
        <v>有</v>
      </c>
      <c r="Y352" s="8" t="str">
        <f>IFERROR(__xludf.DUMMYFUNCTION("""COMPUTED_VALUE"""),"P17まで")</f>
        <v>P17まで</v>
      </c>
      <c r="Z352" s="7"/>
      <c r="AA352" s="7"/>
      <c r="AB352" s="7"/>
    </row>
    <row r="353" ht="15.75" customHeight="1">
      <c r="A353" s="8">
        <f>IFERROR(__xludf.DUMMYFUNCTION("""COMPUTED_VALUE"""),1924.0)</f>
        <v>1924</v>
      </c>
      <c r="B353" s="9" t="str">
        <f>IFERROR(__xludf.DUMMYFUNCTION("""COMPUTED_VALUE"""),"確定")</f>
        <v>確定</v>
      </c>
      <c r="C353" s="10">
        <f>IFERROR(__xludf.DUMMYFUNCTION("""COMPUTED_VALUE"""),45054.0)</f>
        <v>45054</v>
      </c>
      <c r="D353" s="10">
        <f>IFERROR(__xludf.DUMMYFUNCTION("""COMPUTED_VALUE"""),45054.0)</f>
        <v>45054</v>
      </c>
      <c r="E353" s="8">
        <f>IFERROR(__xludf.DUMMYFUNCTION("""COMPUTED_VALUE"""),268701.0)</f>
        <v>268701</v>
      </c>
      <c r="F353" s="9" t="str">
        <f>IFERROR(__xludf.DUMMYFUNCTION("""COMPUTED_VALUE"""),"群青アザ―ハーフ")</f>
        <v>群青アザ―ハーフ</v>
      </c>
      <c r="G353" s="11" t="str">
        <f>IFERROR(__xludf.DUMMYFUNCTION("""COMPUTED_VALUE"""),"1～2")</f>
        <v>1～2</v>
      </c>
      <c r="H353" s="8" t="str">
        <f>IFERROR(__xludf.DUMMYFUNCTION("""COMPUTED_VALUE"""),"由野多夕")</f>
        <v>由野多夕</v>
      </c>
      <c r="I353" s="8" t="str">
        <f>IFERROR(__xludf.DUMMYFUNCTION("""COMPUTED_VALUE"""),"BL")</f>
        <v>BL</v>
      </c>
      <c r="J353" s="8"/>
      <c r="K353" s="8"/>
      <c r="L353" s="8" t="str">
        <f>IFERROR(__xludf.DUMMYFUNCTION("""COMPUTED_VALUE"""),"渋谷六花舎")</f>
        <v>渋谷六花舎</v>
      </c>
      <c r="M353" s="12">
        <f>IFERROR(__xludf.DUMMYFUNCTION("""COMPUTED_VALUE"""),45073.0)</f>
        <v>45073</v>
      </c>
      <c r="N353" s="12">
        <f>IFERROR(__xludf.DUMMYFUNCTION("""COMPUTED_VALUE"""),45103.0)</f>
        <v>45103</v>
      </c>
      <c r="O353" s="11"/>
      <c r="P353" s="9" t="str">
        <f>IFERROR(__xludf.DUMMYFUNCTION("""COMPUTED_VALUE"""),"可")</f>
        <v>可</v>
      </c>
      <c r="Q353" s="8"/>
      <c r="R353" s="9" t="str">
        <f>IFERROR(__xludf.DUMMYFUNCTION("""COMPUTED_VALUE"""),"納品済み（素材フォルダに格納）")</f>
        <v>納品済み（素材フォルダに格納）</v>
      </c>
      <c r="S353" s="8" t="str">
        <f>IFERROR(__xludf.DUMMYFUNCTION("""COMPUTED_VALUE"""),"20230508_渋谷六花舎_群青アザ―ハーフ")</f>
        <v>20230508_渋谷六花舎_群青アザ―ハーフ</v>
      </c>
      <c r="T353" s="9"/>
      <c r="U353" s="9" t="str">
        <f>IFERROR(__xludf.DUMMYFUNCTION("""COMPUTED_VALUE"""),"(C)由野田夕/colore")</f>
        <v>(C)由野田夕/colore</v>
      </c>
      <c r="V353" s="8" t="str">
        <f>IFERROR(__xludf.DUMMYFUNCTION("""COMPUTED_VALUE"""),"「みつけた 俺の運命の人」
遠い次元の話だと そう思っていた
突如、Ω性に転換していると診断された名古木棗(ながぬき なつめ)。
心が追いつく暇もないまま、その日、
“運命の番”・有馬晃大(ありま こうた)と出会ってしまう───
転校生である天真爛漫な有馬は、
めげもせず事あるごとに名古木へ愛をささやく日々。
静かに日常を送るはずだった名古木は、
有馬の怒涛のアタックに気づけばペースを乱されて……!!?
溺愛健気ワンコα×塩対応強気ツンΩ
二人の運命が絡みあう、
青春オメガバ―ス学園ストーリ"&amp;"ー!!!")</f>
        <v>「みつけた 俺の運命の人」
遠い次元の話だと そう思っていた
突如、Ω性に転換していると診断された名古木棗(ながぬき なつめ)。
心が追いつく暇もないまま、その日、
“運命の番”・有馬晃大(ありま こうた)と出会ってしまう───
転校生である天真爛漫な有馬は、
めげもせず事あるごとに名古木へ愛をささやく日々。
静かに日常を送るはずだった名古木は、
有馬の怒涛のアタックに気づけばペースを乱されて……!!?
溺愛健気ワンコα×塩対応強気ツンΩ
二人の運命が絡みあう、
青春オメガバ―ス学園ストーリー!!!</v>
      </c>
      <c r="W353" s="8"/>
      <c r="X353" s="8" t="str">
        <f>IFERROR(__xludf.DUMMYFUNCTION("""COMPUTED_VALUE"""),"有")</f>
        <v>有</v>
      </c>
      <c r="Y353" s="8" t="str">
        <f>IFERROR(__xludf.DUMMYFUNCTION("""COMPUTED_VALUE"""),"P10まで")</f>
        <v>P10まで</v>
      </c>
      <c r="Z353" s="7"/>
      <c r="AA353" s="7"/>
      <c r="AB353" s="7"/>
    </row>
    <row r="354" ht="15.75" customHeight="1">
      <c r="A354" s="8">
        <f>IFERROR(__xludf.DUMMYFUNCTION("""COMPUTED_VALUE"""),1925.0)</f>
        <v>1925</v>
      </c>
      <c r="B354" s="9" t="str">
        <f>IFERROR(__xludf.DUMMYFUNCTION("""COMPUTED_VALUE"""),"確定")</f>
        <v>確定</v>
      </c>
      <c r="C354" s="10">
        <f>IFERROR(__xludf.DUMMYFUNCTION("""COMPUTED_VALUE"""),45054.0)</f>
        <v>45054</v>
      </c>
      <c r="D354" s="10">
        <f>IFERROR(__xludf.DUMMYFUNCTION("""COMPUTED_VALUE"""),45054.0)</f>
        <v>45054</v>
      </c>
      <c r="E354" s="8">
        <f>IFERROR(__xludf.DUMMYFUNCTION("""COMPUTED_VALUE"""),269559.0)</f>
        <v>269559</v>
      </c>
      <c r="F354" s="9" t="str">
        <f>IFERROR(__xludf.DUMMYFUNCTION("""COMPUTED_VALUE"""),"ミルクシュガーベイビー・ラブユー")</f>
        <v>ミルクシュガーベイビー・ラブユー</v>
      </c>
      <c r="G354" s="11" t="str">
        <f>IFERROR(__xludf.DUMMYFUNCTION("""COMPUTED_VALUE"""),"1～2")</f>
        <v>1～2</v>
      </c>
      <c r="H354" s="8" t="str">
        <f>IFERROR(__xludf.DUMMYFUNCTION("""COMPUTED_VALUE"""),"シライテン")</f>
        <v>シライテン</v>
      </c>
      <c r="I354" s="8" t="str">
        <f>IFERROR(__xludf.DUMMYFUNCTION("""COMPUTED_VALUE"""),"BL")</f>
        <v>BL</v>
      </c>
      <c r="J354" s="8"/>
      <c r="K354" s="8"/>
      <c r="L354" s="8" t="str">
        <f>IFERROR(__xludf.DUMMYFUNCTION("""COMPUTED_VALUE"""),"MUGENUP")</f>
        <v>MUGENUP</v>
      </c>
      <c r="M354" s="12">
        <f>IFERROR(__xludf.DUMMYFUNCTION("""COMPUTED_VALUE"""),45080.0)</f>
        <v>45080</v>
      </c>
      <c r="N354" s="12">
        <f>IFERROR(__xludf.DUMMYFUNCTION("""COMPUTED_VALUE"""),45171.0)</f>
        <v>45171</v>
      </c>
      <c r="O354" s="11"/>
      <c r="P354" s="9" t="str">
        <f>IFERROR(__xludf.DUMMYFUNCTION("""COMPUTED_VALUE"""),"可")</f>
        <v>可</v>
      </c>
      <c r="Q354" s="8"/>
      <c r="R354" s="9" t="str">
        <f>IFERROR(__xludf.DUMMYFUNCTION("""COMPUTED_VALUE"""),"納品済み（素材フォルダに格納）")</f>
        <v>納品済み（素材フォルダに格納）</v>
      </c>
      <c r="S354" s="8" t="str">
        <f>IFERROR(__xludf.DUMMYFUNCTION("""COMPUTED_VALUE"""),"20230508_MUGENUP_ミルクシュガーベイビー・ラブユー")</f>
        <v>20230508_MUGENUP_ミルクシュガーベイビー・ラブユー</v>
      </c>
      <c r="T354" s="9"/>
      <c r="U354" s="9" t="str">
        <f>IFERROR(__xludf.DUMMYFUNCTION("""COMPUTED_VALUE"""),"（C）シライテン／MUGENUP")</f>
        <v>（C）シライテン／MUGENUP</v>
      </c>
      <c r="V354" s="8" t="str">
        <f>IFERROR(__xludf.DUMMYFUNCTION("""COMPUTED_VALUE"""),"【おっぱい好きなイケメン年下研修生×コワモテ鈍感保育士】の甘くてハッピーなムズキュンストーリー！
「理想のおっぱいだ!!」
保育士をしている冴木(さえき)は、かわいいものが大好き。コワモテでガタイの良い自分にコンプレックスを抱いている。
ある日、保育園に研修生が来ることになり教育担当を言い渡されるが、彼は昨晩、冴木のおっぱいを揉みしだいた同じアパートの住人である希空(のあ)だった―…！")</f>
        <v>【おっぱい好きなイケメン年下研修生×コワモテ鈍感保育士】の甘くてハッピーなムズキュンストーリー！
「理想のおっぱいだ!!」
保育士をしている冴木(さえき)は、かわいいものが大好き。コワモテでガタイの良い自分にコンプレックスを抱いている。
ある日、保育園に研修生が来ることになり教育担当を言い渡されるが、彼は昨晩、冴木のおっぱいを揉みしだいた同じアパートの住人である希空(のあ)だった―…！</v>
      </c>
      <c r="W354" s="8"/>
      <c r="X354" s="8" t="str">
        <f>IFERROR(__xludf.DUMMYFUNCTION("""COMPUTED_VALUE"""),"有")</f>
        <v>有</v>
      </c>
      <c r="Y354" s="8" t="str">
        <f>IFERROR(__xludf.DUMMYFUNCTION("""COMPUTED_VALUE"""),"P15まで")</f>
        <v>P15まで</v>
      </c>
      <c r="Z354" s="7"/>
      <c r="AA354" s="7"/>
      <c r="AB354" s="7"/>
    </row>
    <row r="355" ht="15.75" customHeight="1">
      <c r="A355" s="8">
        <f>IFERROR(__xludf.DUMMYFUNCTION("""COMPUTED_VALUE"""),1926.0)</f>
        <v>1926</v>
      </c>
      <c r="B355" s="9" t="str">
        <f>IFERROR(__xludf.DUMMYFUNCTION("""COMPUTED_VALUE"""),"確定")</f>
        <v>確定</v>
      </c>
      <c r="C355" s="10">
        <f>IFERROR(__xludf.DUMMYFUNCTION("""COMPUTED_VALUE"""),45054.0)</f>
        <v>45054</v>
      </c>
      <c r="D355" s="10">
        <f>IFERROR(__xludf.DUMMYFUNCTION("""COMPUTED_VALUE"""),45054.0)</f>
        <v>45054</v>
      </c>
      <c r="E355" s="14">
        <f>IFERROR(__xludf.DUMMYFUNCTION("""COMPUTED_VALUE"""),277745.0)</f>
        <v>277745</v>
      </c>
      <c r="F355" s="15" t="str">
        <f>IFERROR(__xludf.DUMMYFUNCTION("""COMPUTED_VALUE"""),"一途なあやかしは花嫁を手放さない")</f>
        <v>一途なあやかしは花嫁を手放さない</v>
      </c>
      <c r="G355" s="11" t="str">
        <f>IFERROR(__xludf.DUMMYFUNCTION("""COMPUTED_VALUE"""),"１～３")</f>
        <v>１～３</v>
      </c>
      <c r="H355" s="8" t="str">
        <f>IFERROR(__xludf.DUMMYFUNCTION("""COMPUTED_VALUE"""),"ハヅキミント┴はるな")</f>
        <v>ハヅキミント┴はるな</v>
      </c>
      <c r="I355" s="14" t="str">
        <f>IFERROR(__xludf.DUMMYFUNCTION("""COMPUTED_VALUE"""),"女性")</f>
        <v>女性</v>
      </c>
      <c r="J355" s="8"/>
      <c r="K355" s="8"/>
      <c r="L355" s="8" t="str">
        <f>IFERROR(__xludf.DUMMYFUNCTION("""COMPUTED_VALUE"""),"COMIC stella")</f>
        <v>COMIC stella</v>
      </c>
      <c r="M355" s="21">
        <f>IFERROR(__xludf.DUMMYFUNCTION("""COMPUTED_VALUE"""),45206.0)</f>
        <v>45206</v>
      </c>
      <c r="N355" s="21">
        <f>IFERROR(__xludf.DUMMYFUNCTION("""COMPUTED_VALUE"""),45297.0)</f>
        <v>45297</v>
      </c>
      <c r="O355" s="11"/>
      <c r="P355" s="9" t="str">
        <f>IFERROR(__xludf.DUMMYFUNCTION("""COMPUTED_VALUE"""),"否")</f>
        <v>否</v>
      </c>
      <c r="Q355" s="8"/>
      <c r="R355" s="9" t="str">
        <f>IFERROR(__xludf.DUMMYFUNCTION("""COMPUTED_VALUE"""),"配信済み")</f>
        <v>配信済み</v>
      </c>
      <c r="S355" s="8" t="str">
        <f>IFERROR(__xludf.DUMMYFUNCTION("""COMPUTED_VALUE"""),"20230508_COMICstella__一途なあやかしは花嫁を手放さない")</f>
        <v>20230508_COMICstella__一途なあやかしは花嫁を手放さない</v>
      </c>
      <c r="T355" s="9"/>
      <c r="U355" s="15" t="str">
        <f>IFERROR(__xludf.DUMMYFUNCTION("""COMPUTED_VALUE"""),"（C）ハヅキミント・はるな／COMIC stella")</f>
        <v>（C）ハヅキミント・はるな／COMIC stella</v>
      </c>
      <c r="V355" s="8" t="str">
        <f>IFERROR(__xludf.DUMMYFUNCTION("""COMPUTED_VALUE"""),"マガツを祓うことを生業にし、地位と財を築いてきた日ノ咲家。主人公、莉子は日ノ咲家の長女として産まれてきたにも関わらず、マガツを祓うことの出来ない落ちこぼれだった。一族きっての神童と名高い妹・瑠莉からはストレス発散の道具にされ、使用人にすら馬鹿にされる日々。そんな莉子が初めて役に立つ日が来る。それは『あやかしの長に捧げる花嫁』という名目の、生贄だった。醜く残酷だと噂されるあやかしの長。しかし、嫁いだ先で出会ったのは、満月のように美しく妖艶なあやかしだった。あやかしの長である蘇芳が莉子に隠している想いとは──"&amp;"。")</f>
        <v>マガツを祓うことを生業にし、地位と財を築いてきた日ノ咲家。主人公、莉子は日ノ咲家の長女として産まれてきたにも関わらず、マガツを祓うことの出来ない落ちこぼれだった。一族きっての神童と名高い妹・瑠莉からはストレス発散の道具にされ、使用人にすら馬鹿にされる日々。そんな莉子が初めて役に立つ日が来る。それは『あやかしの長に捧げる花嫁』という名目の、生贄だった。醜く残酷だと噂されるあやかしの長。しかし、嫁いだ先で出会ったのは、満月のように美しく妖艶なあやかしだった。あやかしの長である蘇芳が莉子に隠している想いとは──。</v>
      </c>
      <c r="W355" s="8"/>
      <c r="X355" s="14" t="str">
        <f>IFERROR(__xludf.DUMMYFUNCTION("""COMPUTED_VALUE"""),"有")</f>
        <v>有</v>
      </c>
      <c r="Y355" s="8" t="str">
        <f>IFERROR(__xludf.DUMMYFUNCTION("""COMPUTED_VALUE"""),"P5まで")</f>
        <v>P5まで</v>
      </c>
      <c r="Z355" s="7"/>
      <c r="AA355" s="7"/>
      <c r="AB355" s="7"/>
    </row>
    <row r="356" ht="15.75" customHeight="1">
      <c r="A356" s="8">
        <f>IFERROR(__xludf.DUMMYFUNCTION("""COMPUTED_VALUE"""),1927.0)</f>
        <v>1927</v>
      </c>
      <c r="B356" s="9" t="str">
        <f>IFERROR(__xludf.DUMMYFUNCTION("""COMPUTED_VALUE"""),"確定")</f>
        <v>確定</v>
      </c>
      <c r="C356" s="10">
        <f>IFERROR(__xludf.DUMMYFUNCTION("""COMPUTED_VALUE"""),45054.0)</f>
        <v>45054</v>
      </c>
      <c r="D356" s="10">
        <f>IFERROR(__xludf.DUMMYFUNCTION("""COMPUTED_VALUE"""),45054.0)</f>
        <v>45054</v>
      </c>
      <c r="E356" s="8">
        <f>IFERROR(__xludf.DUMMYFUNCTION("""COMPUTED_VALUE"""),271221.0)</f>
        <v>271221</v>
      </c>
      <c r="F356" s="9" t="str">
        <f>IFERROR(__xludf.DUMMYFUNCTION("""COMPUTED_VALUE"""),"恋はしません、落ちません【単話版】")</f>
        <v>恋はしません、落ちません【単話版】</v>
      </c>
      <c r="G356" s="11" t="str">
        <f>IFERROR(__xludf.DUMMYFUNCTION("""COMPUTED_VALUE"""),"１～３")</f>
        <v>１～３</v>
      </c>
      <c r="H356" s="8" t="str">
        <f>IFERROR(__xludf.DUMMYFUNCTION("""COMPUTED_VALUE"""),"東雲サンゴ")</f>
        <v>東雲サンゴ</v>
      </c>
      <c r="I356" s="8" t="str">
        <f>IFERROR(__xludf.DUMMYFUNCTION("""COMPUTED_VALUE"""),"BL")</f>
        <v>BL</v>
      </c>
      <c r="J356" s="8"/>
      <c r="K356" s="8"/>
      <c r="L356" s="8" t="str">
        <f>IFERROR(__xludf.DUMMYFUNCTION("""COMPUTED_VALUE"""),"マイクロマガジン社")</f>
        <v>マイクロマガジン社</v>
      </c>
      <c r="M356" s="12">
        <f>IFERROR(__xludf.DUMMYFUNCTION("""COMPUTED_VALUE"""),45107.0)</f>
        <v>45107</v>
      </c>
      <c r="N356" s="12">
        <f>IFERROR(__xludf.DUMMYFUNCTION("""COMPUTED_VALUE"""),45198.0)</f>
        <v>45198</v>
      </c>
      <c r="O356" s="11"/>
      <c r="P356" s="9" t="str">
        <f>IFERROR(__xludf.DUMMYFUNCTION("""COMPUTED_VALUE"""),"可")</f>
        <v>可</v>
      </c>
      <c r="Q356" s="8"/>
      <c r="R356" s="9" t="str">
        <f>IFERROR(__xludf.DUMMYFUNCTION("""COMPUTED_VALUE"""),"納品済み（素材フォルダに格納）")</f>
        <v>納品済み（素材フォルダに格納）</v>
      </c>
      <c r="S356" s="8" t="str">
        <f>IFERROR(__xludf.DUMMYFUNCTION("""COMPUTED_VALUE"""),"20230508_マイクロマガジン_恋はしません、落ちません")</f>
        <v>20230508_マイクロマガジン_恋はしません、落ちません</v>
      </c>
      <c r="T356" s="9"/>
      <c r="U356" s="9" t="str">
        <f>IFERROR(__xludf.DUMMYFUNCTION("""COMPUTED_VALUE"""),"(C) 東雲サンゴ  (C)マイクロマガジン社")</f>
        <v>(C) 東雲サンゴ  (C)マイクロマガジン社</v>
      </c>
      <c r="V356" s="8" t="str">
        <f>IFERROR(__xludf.DUMMYFUNCTION("""COMPUTED_VALUE"""),"「あれは一夜のあやまち！　旅先でのワンナイト！」
恋人に重いとフラれ、一人旅行に来た梢。
本来だったら恋人と来る予定だった夏祭りで打ちひしがれていると、
手伝いで祭りの見回りをしていた穂高に声を掛けられる。
酔いと失恋の寂しさに任せて梢は穂高とホテルへ──。
翌朝目を覚ました梢はやらかしたことを悟り、
逃げるようにホテルを後にする。
しかし、旅行から帰った梢がバイト先に行くと、なぜか穂高がいて──!?
クールな純朴天然男子×暴走拗らせ男子の空回りラブコメディ！")</f>
        <v>「あれは一夜のあやまち！　旅先でのワンナイト！」
恋人に重いとフラれ、一人旅行に来た梢。
本来だったら恋人と来る予定だった夏祭りで打ちひしがれていると、
手伝いで祭りの見回りをしていた穂高に声を掛けられる。
酔いと失恋の寂しさに任せて梢は穂高とホテルへ──。
翌朝目を覚ました梢はやらかしたことを悟り、
逃げるようにホテルを後にする。
しかし、旅行から帰った梢がバイト先に行くと、なぜか穂高がいて──!?
クールな純朴天然男子×暴走拗らせ男子の空回りラブコメディ！</v>
      </c>
      <c r="W356" s="8"/>
      <c r="X356" s="8" t="str">
        <f>IFERROR(__xludf.DUMMYFUNCTION("""COMPUTED_VALUE"""),"有")</f>
        <v>有</v>
      </c>
      <c r="Y356" s="8" t="str">
        <f>IFERROR(__xludf.DUMMYFUNCTION("""COMPUTED_VALUE"""),"P20まで")</f>
        <v>P20まで</v>
      </c>
      <c r="Z356" s="7"/>
      <c r="AA356" s="7"/>
      <c r="AB356" s="7"/>
    </row>
    <row r="357" ht="15.75" customHeight="1">
      <c r="A357" s="8">
        <f>IFERROR(__xludf.DUMMYFUNCTION("""COMPUTED_VALUE"""),1929.0)</f>
        <v>1929</v>
      </c>
      <c r="B357" s="9" t="str">
        <f>IFERROR(__xludf.DUMMYFUNCTION("""COMPUTED_VALUE"""),"確定")</f>
        <v>確定</v>
      </c>
      <c r="C357" s="10">
        <f>IFERROR(__xludf.DUMMYFUNCTION("""COMPUTED_VALUE"""),45054.0)</f>
        <v>45054</v>
      </c>
      <c r="D357" s="10">
        <f>IFERROR(__xludf.DUMMYFUNCTION("""COMPUTED_VALUE"""),45054.0)</f>
        <v>45054</v>
      </c>
      <c r="E357" s="8">
        <f>IFERROR(__xludf.DUMMYFUNCTION("""COMPUTED_VALUE"""),267228.0)</f>
        <v>267228</v>
      </c>
      <c r="F357" s="9" t="str">
        <f>IFERROR(__xludf.DUMMYFUNCTION("""COMPUTED_VALUE"""),"アドルフ王子の教育的指導")</f>
        <v>アドルフ王子の教育的指導</v>
      </c>
      <c r="G357" s="11">
        <f>IFERROR(__xludf.DUMMYFUNCTION("""COMPUTED_VALUE"""),1.0)</f>
        <v>1</v>
      </c>
      <c r="H357" s="8" t="str">
        <f>IFERROR(__xludf.DUMMYFUNCTION("""COMPUTED_VALUE"""),"生還、宵の月")</f>
        <v>生還、宵の月</v>
      </c>
      <c r="I357" s="8" t="str">
        <f>IFERROR(__xludf.DUMMYFUNCTION("""COMPUTED_VALUE"""),"TL")</f>
        <v>TL</v>
      </c>
      <c r="J357" s="8"/>
      <c r="K357" s="8"/>
      <c r="L357" s="8" t="str">
        <f>IFERROR(__xludf.DUMMYFUNCTION("""COMPUTED_VALUE"""),"一迅社")</f>
        <v>一迅社</v>
      </c>
      <c r="M357" s="12">
        <f>IFERROR(__xludf.DUMMYFUNCTION("""COMPUTED_VALUE"""),45060.0)</f>
        <v>45060</v>
      </c>
      <c r="N357" s="12">
        <f>IFERROR(__xludf.DUMMYFUNCTION("""COMPUTED_VALUE"""),45090.0)</f>
        <v>45090</v>
      </c>
      <c r="O357" s="11"/>
      <c r="P357" s="9" t="str">
        <f>IFERROR(__xludf.DUMMYFUNCTION("""COMPUTED_VALUE"""),"可")</f>
        <v>可</v>
      </c>
      <c r="Q357" s="8"/>
      <c r="R357" s="9"/>
      <c r="S357" s="8" t="str">
        <f>IFERROR(__xludf.DUMMYFUNCTION("""COMPUTED_VALUE"""),"20230508_一迅社_アドルフ王子の教育的指導")</f>
        <v>20230508_一迅社_アドルフ王子の教育的指導</v>
      </c>
      <c r="T357" s="9"/>
      <c r="U357" s="9" t="str">
        <f>IFERROR(__xludf.DUMMYFUNCTION("""COMPUTED_VALUE"""),"(C)生還・宵の月／一迅社")</f>
        <v>(C)生還・宵の月／一迅社</v>
      </c>
      <c r="V357" s="8" t="str">
        <f>IFERROR(__xludf.DUMMYFUNCTION("""COMPUTED_VALUE"""),"婚約破棄を企てている婚約者を鬼畜王子は逃がさない――。　※この作品は『鬼畜王子に無理やり調教されておかしくなりそうです…！ アンソロジーコミック』収録作品と同一の内容を単話版として再編集したものとなります。
")</f>
        <v>婚約破棄を企てている婚約者を鬼畜王子は逃がさない――。　※この作品は『鬼畜王子に無理やり調教されておかしくなりそうです…！ アンソロジーコミック』収録作品と同一の内容を単話版として再編集したものとなります。
</v>
      </c>
      <c r="W357" s="8"/>
      <c r="X357" s="8" t="str">
        <f>IFERROR(__xludf.DUMMYFUNCTION("""COMPUTED_VALUE"""),"有")</f>
        <v>有</v>
      </c>
      <c r="Y357" s="8" t="str">
        <f>IFERROR(__xludf.DUMMYFUNCTION("""COMPUTED_VALUE"""),"P7まで")</f>
        <v>P7まで</v>
      </c>
      <c r="Z357" s="7"/>
      <c r="AA357" s="7"/>
      <c r="AB357" s="7"/>
    </row>
    <row r="358" ht="15.75" customHeight="1">
      <c r="A358" s="8">
        <f>IFERROR(__xludf.DUMMYFUNCTION("""COMPUTED_VALUE"""),1930.0)</f>
        <v>1930</v>
      </c>
      <c r="B358" s="9" t="str">
        <f>IFERROR(__xludf.DUMMYFUNCTION("""COMPUTED_VALUE"""),"確定")</f>
        <v>確定</v>
      </c>
      <c r="C358" s="10">
        <f>IFERROR(__xludf.DUMMYFUNCTION("""COMPUTED_VALUE"""),45054.0)</f>
        <v>45054</v>
      </c>
      <c r="D358" s="10">
        <f>IFERROR(__xludf.DUMMYFUNCTION("""COMPUTED_VALUE"""),45054.0)</f>
        <v>45054</v>
      </c>
      <c r="E358" s="8">
        <f>IFERROR(__xludf.DUMMYFUNCTION("""COMPUTED_VALUE"""),267229.0)</f>
        <v>267229</v>
      </c>
      <c r="F358" s="9" t="str">
        <f>IFERROR(__xludf.DUMMYFUNCTION("""COMPUTED_VALUE"""),"黄昏の皇女は辺境の城に嫁ぐ")</f>
        <v>黄昏の皇女は辺境の城に嫁ぐ</v>
      </c>
      <c r="G358" s="11">
        <f>IFERROR(__xludf.DUMMYFUNCTION("""COMPUTED_VALUE"""),1.0)</f>
        <v>1</v>
      </c>
      <c r="H358" s="8" t="str">
        <f>IFERROR(__xludf.DUMMYFUNCTION("""COMPUTED_VALUE"""),"白旗サガリ、無憂")</f>
        <v>白旗サガリ、無憂</v>
      </c>
      <c r="I358" s="8" t="str">
        <f>IFERROR(__xludf.DUMMYFUNCTION("""COMPUTED_VALUE"""),"TL")</f>
        <v>TL</v>
      </c>
      <c r="J358" s="8"/>
      <c r="K358" s="8"/>
      <c r="L358" s="8" t="str">
        <f>IFERROR(__xludf.DUMMYFUNCTION("""COMPUTED_VALUE"""),"一迅社")</f>
        <v>一迅社</v>
      </c>
      <c r="M358" s="12">
        <f>IFERROR(__xludf.DUMMYFUNCTION("""COMPUTED_VALUE"""),45060.0)</f>
        <v>45060</v>
      </c>
      <c r="N358" s="12">
        <f>IFERROR(__xludf.DUMMYFUNCTION("""COMPUTED_VALUE"""),45090.0)</f>
        <v>45090</v>
      </c>
      <c r="O358" s="11"/>
      <c r="P358" s="9" t="str">
        <f>IFERROR(__xludf.DUMMYFUNCTION("""COMPUTED_VALUE"""),"可")</f>
        <v>可</v>
      </c>
      <c r="Q358" s="8"/>
      <c r="R358" s="9"/>
      <c r="S358" s="8" t="str">
        <f>IFERROR(__xludf.DUMMYFUNCTION("""COMPUTED_VALUE"""),"20230508_一迅社_黄昏の皇女は辺境の城に嫁ぐ")</f>
        <v>20230508_一迅社_黄昏の皇女は辺境の城に嫁ぐ</v>
      </c>
      <c r="T358" s="9"/>
      <c r="U358" s="9" t="str">
        <f>IFERROR(__xludf.DUMMYFUNCTION("""COMPUTED_VALUE"""),"(C)白旗サガリ・無憂／一迅社")</f>
        <v>(C)白旗サガリ・無憂／一迅社</v>
      </c>
      <c r="V358" s="8" t="str">
        <f>IFERROR(__xludf.DUMMYFUNCTION("""COMPUTED_VALUE"""),"虐げられた第八皇女は、辺境の騎士の元に褒賞として嫁がされるが……？　※この作品は『溺愛令嬢は旦那さまから逃げられません…っ アンソロジーコミック』4巻収録作品と同一の内容を単話版として再編集したものとなります。
")</f>
        <v>虐げられた第八皇女は、辺境の騎士の元に褒賞として嫁がされるが……？　※この作品は『溺愛令嬢は旦那さまから逃げられません…っ アンソロジーコミック』4巻収録作品と同一の内容を単話版として再編集したものとなります。
</v>
      </c>
      <c r="W358" s="8"/>
      <c r="X358" s="8" t="str">
        <f>IFERROR(__xludf.DUMMYFUNCTION("""COMPUTED_VALUE"""),"有")</f>
        <v>有</v>
      </c>
      <c r="Y358" s="8" t="str">
        <f>IFERROR(__xludf.DUMMYFUNCTION("""COMPUTED_VALUE"""),"P7まで")</f>
        <v>P7まで</v>
      </c>
      <c r="Z358" s="7"/>
      <c r="AA358" s="7"/>
      <c r="AB358" s="7"/>
    </row>
    <row r="359" ht="15.75" customHeight="1">
      <c r="A359" s="8">
        <f>IFERROR(__xludf.DUMMYFUNCTION("""COMPUTED_VALUE"""),1935.0)</f>
        <v>1935</v>
      </c>
      <c r="B359" s="9" t="str">
        <f>IFERROR(__xludf.DUMMYFUNCTION("""COMPUTED_VALUE"""),"確定")</f>
        <v>確定</v>
      </c>
      <c r="C359" s="10">
        <f>IFERROR(__xludf.DUMMYFUNCTION("""COMPUTED_VALUE"""),45055.0)</f>
        <v>45055</v>
      </c>
      <c r="D359" s="10">
        <f>IFERROR(__xludf.DUMMYFUNCTION("""COMPUTED_VALUE"""),45055.0)</f>
        <v>45055</v>
      </c>
      <c r="E359" s="8">
        <f>IFERROR(__xludf.DUMMYFUNCTION("""COMPUTED_VALUE"""),259257.0)</f>
        <v>259257</v>
      </c>
      <c r="F359" s="9" t="str">
        <f>IFERROR(__xludf.DUMMYFUNCTION("""COMPUTED_VALUE"""),"飼い犬とヤクザ")</f>
        <v>飼い犬とヤクザ</v>
      </c>
      <c r="G359" s="11" t="str">
        <f>IFERROR(__xludf.DUMMYFUNCTION("""COMPUTED_VALUE"""),"1～3")</f>
        <v>1～3</v>
      </c>
      <c r="H359" s="8" t="str">
        <f>IFERROR(__xludf.DUMMYFUNCTION("""COMPUTED_VALUE"""),"猫川たら子")</f>
        <v>猫川たら子</v>
      </c>
      <c r="I359" s="8" t="str">
        <f>IFERROR(__xludf.DUMMYFUNCTION("""COMPUTED_VALUE"""),"BL")</f>
        <v>BL</v>
      </c>
      <c r="J359" s="8"/>
      <c r="K359" s="8"/>
      <c r="L359" s="8" t="str">
        <f>IFERROR(__xludf.DUMMYFUNCTION("""COMPUTED_VALUE"""),"ソルマーレ編集部")</f>
        <v>ソルマーレ編集部</v>
      </c>
      <c r="M359" s="12">
        <f>IFERROR(__xludf.DUMMYFUNCTION("""COMPUTED_VALUE"""),45087.0)</f>
        <v>45087</v>
      </c>
      <c r="N359" s="12">
        <f>IFERROR(__xludf.DUMMYFUNCTION("""COMPUTED_VALUE"""),45148.0)</f>
        <v>45148</v>
      </c>
      <c r="O359" s="11"/>
      <c r="P359" s="9" t="str">
        <f>IFERROR(__xludf.DUMMYFUNCTION("""COMPUTED_VALUE"""),"可")</f>
        <v>可</v>
      </c>
      <c r="Q359" s="8" t="str">
        <f>IFERROR(__xludf.DUMMYFUNCTION("""COMPUTED_VALUE"""),"※表紙以外の素材につきまして完成次第格納いたします。5/12納品予定です（5/9）&lt;BR&gt;※正式タイトル下記の通りです（5/9）&lt;BR&gt;＝＝＝&lt;BR&gt;飼い犬とヤクザ&lt;BR&gt;＝＝＝&lt;BR&gt;")</f>
        <v>※表紙以外の素材につきまして完成次第格納いたします。5/12納品予定です（5/9）&lt;BR&gt;※正式タイトル下記の通りです（5/9）&lt;BR&gt;＝＝＝&lt;BR&gt;飼い犬とヤクザ&lt;BR&gt;＝＝＝&lt;BR&gt;</v>
      </c>
      <c r="R359" s="9"/>
      <c r="S359" s="8" t="str">
        <f>IFERROR(__xludf.DUMMYFUNCTION("""COMPUTED_VALUE"""),"20230509_ソルマーレ編集部_飼い犬とヤクザ")</f>
        <v>20230509_ソルマーレ編集部_飼い犬とヤクザ</v>
      </c>
      <c r="T359" s="15"/>
      <c r="U359" s="9" t="str">
        <f>IFERROR(__xludf.DUMMYFUNCTION("""COMPUTED_VALUE"""),"Ⓒ 猫川たら子/シーモアコミックス")</f>
        <v>Ⓒ 猫川たら子/シーモアコミックス</v>
      </c>
      <c r="V359" s="8" t="str">
        <f>IFERROR(__xludf.DUMMYFUNCTION("""COMPUTED_VALUE"""),"あの大ヒット作品『DKとヤクザ』からスピンオフがついに配信開始！
「俺の人生なんでこんなクソなんやろ」
とある大きなヤクザ組織、東堂組。その幹部候補だったユイは、幼い頃に別れてしまった実兄の一巳を追ってヤクザの世界に。そして、ようやく見つけた兄は、城島会の若頭になっていた。しかし、兄の側には男の恋人が――。敬愛する兄の側にいれる羨ましさからその恋人に手を出してしまい、兄を怒らせてしまったユイ。城島会に捕らえられ、一巳の側近である亮に監視されることに…。はじめは亮の得体の知れなさに警戒をしていたユイだが、"&amp;"次第に彼の優しい言動に癒されていき――…!? 【フィカス】")</f>
        <v>あの大ヒット作品『DKとヤクザ』からスピンオフがついに配信開始！
「俺の人生なんでこんなクソなんやろ」
とある大きなヤクザ組織、東堂組。その幹部候補だったユイは、幼い頃に別れてしまった実兄の一巳を追ってヤクザの世界に。そして、ようやく見つけた兄は、城島会の若頭になっていた。しかし、兄の側には男の恋人が――。敬愛する兄の側にいれる羨ましさからその恋人に手を出してしまい、兄を怒らせてしまったユイ。城島会に捕らえられ、一巳の側近である亮に監視されることに…。はじめは亮の得体の知れなさに警戒をしていたユイだが、次第に彼の優しい言動に癒されていき――…!? 【フィカス】</v>
      </c>
      <c r="W359" s="8"/>
      <c r="X359" s="8" t="str">
        <f>IFERROR(__xludf.DUMMYFUNCTION("""COMPUTED_VALUE"""),"有")</f>
        <v>有</v>
      </c>
      <c r="Y359" s="8" t="str">
        <f>IFERROR(__xludf.DUMMYFUNCTION("""COMPUTED_VALUE"""),"6/23まで1巻無料")</f>
        <v>6/23まで1巻無料</v>
      </c>
      <c r="Z359" s="7"/>
      <c r="AA359" s="7"/>
      <c r="AB359" s="7"/>
    </row>
    <row r="360" ht="15.75" customHeight="1">
      <c r="A360" s="8">
        <f>IFERROR(__xludf.DUMMYFUNCTION("""COMPUTED_VALUE"""),1936.0)</f>
        <v>1936</v>
      </c>
      <c r="B360" s="9" t="str">
        <f>IFERROR(__xludf.DUMMYFUNCTION("""COMPUTED_VALUE"""),"確定")</f>
        <v>確定</v>
      </c>
      <c r="C360" s="10">
        <f>IFERROR(__xludf.DUMMYFUNCTION("""COMPUTED_VALUE"""),45055.0)</f>
        <v>45055</v>
      </c>
      <c r="D360" s="10">
        <f>IFERROR(__xludf.DUMMYFUNCTION("""COMPUTED_VALUE"""),45055.0)</f>
        <v>45055</v>
      </c>
      <c r="E360" s="8">
        <f>IFERROR(__xludf.DUMMYFUNCTION("""COMPUTED_VALUE"""),269301.0)</f>
        <v>269301</v>
      </c>
      <c r="F360" s="9" t="str">
        <f>IFERROR(__xludf.DUMMYFUNCTION("""COMPUTED_VALUE"""),"後宮秘薬～お世継ぎ誕生のための淫らなお薬～")</f>
        <v>後宮秘薬～お世継ぎ誕生のための淫らなお薬～</v>
      </c>
      <c r="G360" s="11" t="str">
        <f>IFERROR(__xludf.DUMMYFUNCTION("""COMPUTED_VALUE"""),"1～3")</f>
        <v>1～3</v>
      </c>
      <c r="H360" s="8" t="str">
        <f>IFERROR(__xludf.DUMMYFUNCTION("""COMPUTED_VALUE"""),"霜月星良／京極れな／アオイ冬子")</f>
        <v>霜月星良／京極れな／アオイ冬子</v>
      </c>
      <c r="I360" s="8" t="str">
        <f>IFERROR(__xludf.DUMMYFUNCTION("""COMPUTED_VALUE"""),"女性")</f>
        <v>女性</v>
      </c>
      <c r="J360" s="8"/>
      <c r="K360" s="8"/>
      <c r="L360" s="8" t="str">
        <f>IFERROR(__xludf.DUMMYFUNCTION("""COMPUTED_VALUE"""),"集英社")</f>
        <v>集英社</v>
      </c>
      <c r="M360" s="12">
        <f>IFERROR(__xludf.DUMMYFUNCTION("""COMPUTED_VALUE"""),45078.0)</f>
        <v>45078</v>
      </c>
      <c r="N360" s="12">
        <f>IFERROR(__xludf.DUMMYFUNCTION("""COMPUTED_VALUE"""),45107.0)</f>
        <v>45107</v>
      </c>
      <c r="O360" s="11"/>
      <c r="P360" s="9" t="str">
        <f>IFERROR(__xludf.DUMMYFUNCTION("""COMPUTED_VALUE"""),"否")</f>
        <v>否</v>
      </c>
      <c r="Q360" s="8" t="str">
        <f>IFERROR(__xludf.DUMMYFUNCTION("""COMPUTED_VALUE"""),"デジタルマーガレット")</f>
        <v>デジタルマーガレット</v>
      </c>
      <c r="R360" s="9"/>
      <c r="S360" s="8" t="str">
        <f>IFERROR(__xludf.DUMMYFUNCTION("""COMPUTED_VALUE"""),"20230509_集英社_後宮新作")</f>
        <v>20230509_集英社_後宮新作</v>
      </c>
      <c r="T360" s="9"/>
      <c r="U360" s="9" t="str">
        <f>IFERROR(__xludf.DUMMYFUNCTION("""COMPUTED_VALUE"""),"（C）霜月星良・京極れな・アオイ冬子／集英社")</f>
        <v>（C）霜月星良・京極れな・アオイ冬子／集英社</v>
      </c>
      <c r="V360" s="8" t="str">
        <f>IFERROR(__xludf.DUMMYFUNCTION("""COMPUTED_VALUE"""),"【身を焦がすような恋心と快楽――。】下働きの宮女として、後宮で働く琳杏（りんあん）。父が薬師で薬の調合ができるため、主人である妾妃から媚薬を作るよう命じられる。皇帝・晃羽（こうう）に使うと聞いたが、下級宮女の琳杏に逆らうことは出来なかった…。薬を盛られて腹を立てた晃羽に呼び出され、琳杏は媚薬を無理やり飲まされてしまい…!?
")</f>
        <v>【身を焦がすような恋心と快楽――。】下働きの宮女として、後宮で働く琳杏（りんあん）。父が薬師で薬の調合ができるため、主人である妾妃から媚薬を作るよう命じられる。皇帝・晃羽（こうう）に使うと聞いたが、下級宮女の琳杏に逆らうことは出来なかった…。薬を盛られて腹を立てた晃羽に呼び出され、琳杏は媚薬を無理やり飲まされてしまい…!?
</v>
      </c>
      <c r="W360" s="8"/>
      <c r="X360" s="8" t="str">
        <f>IFERROR(__xludf.DUMMYFUNCTION("""COMPUTED_VALUE"""),"有")</f>
        <v>有</v>
      </c>
      <c r="Y360" s="8" t="str">
        <f>IFERROR(__xludf.DUMMYFUNCTION("""COMPUTED_VALUE"""),"6/14まで1巻無料")</f>
        <v>6/14まで1巻無料</v>
      </c>
      <c r="Z360" s="7"/>
      <c r="AA360" s="7"/>
      <c r="AB360" s="7"/>
    </row>
    <row r="361" ht="15.75" customHeight="1">
      <c r="A361" s="8">
        <f>IFERROR(__xludf.DUMMYFUNCTION("""COMPUTED_VALUE"""),1937.0)</f>
        <v>1937</v>
      </c>
      <c r="B361" s="9" t="str">
        <f>IFERROR(__xludf.DUMMYFUNCTION("""COMPUTED_VALUE"""),"確定")</f>
        <v>確定</v>
      </c>
      <c r="C361" s="10">
        <f>IFERROR(__xludf.DUMMYFUNCTION("""COMPUTED_VALUE"""),45055.0)</f>
        <v>45055</v>
      </c>
      <c r="D361" s="10">
        <f>IFERROR(__xludf.DUMMYFUNCTION("""COMPUTED_VALUE"""),45055.0)</f>
        <v>45055</v>
      </c>
      <c r="E361" s="8">
        <f>IFERROR(__xludf.DUMMYFUNCTION("""COMPUTED_VALUE"""),269300.0)</f>
        <v>269300</v>
      </c>
      <c r="F361" s="9" t="str">
        <f>IFERROR(__xludf.DUMMYFUNCTION("""COMPUTED_VALUE"""),"後宮恋奏 太子が宮女と略奪婚にいたるまで")</f>
        <v>後宮恋奏 太子が宮女と略奪婚にいたるまで</v>
      </c>
      <c r="G361" s="11" t="str">
        <f>IFERROR(__xludf.DUMMYFUNCTION("""COMPUTED_VALUE"""),"1～3")</f>
        <v>1～3</v>
      </c>
      <c r="H361" s="8" t="str">
        <f>IFERROR(__xludf.DUMMYFUNCTION("""COMPUTED_VALUE"""),"蓮えみこ／あまおう紅")</f>
        <v>蓮えみこ／あまおう紅</v>
      </c>
      <c r="I361" s="8" t="str">
        <f>IFERROR(__xludf.DUMMYFUNCTION("""COMPUTED_VALUE"""),"女性")</f>
        <v>女性</v>
      </c>
      <c r="J361" s="8"/>
      <c r="K361" s="8"/>
      <c r="L361" s="8" t="str">
        <f>IFERROR(__xludf.DUMMYFUNCTION("""COMPUTED_VALUE"""),"集英社")</f>
        <v>集英社</v>
      </c>
      <c r="M361" s="12">
        <f>IFERROR(__xludf.DUMMYFUNCTION("""COMPUTED_VALUE"""),45078.0)</f>
        <v>45078</v>
      </c>
      <c r="N361" s="12">
        <f>IFERROR(__xludf.DUMMYFUNCTION("""COMPUTED_VALUE"""),45107.0)</f>
        <v>45107</v>
      </c>
      <c r="O361" s="11"/>
      <c r="P361" s="9" t="str">
        <f>IFERROR(__xludf.DUMMYFUNCTION("""COMPUTED_VALUE"""),"否")</f>
        <v>否</v>
      </c>
      <c r="Q361" s="8" t="str">
        <f>IFERROR(__xludf.DUMMYFUNCTION("""COMPUTED_VALUE"""),"デジタルマーガレット")</f>
        <v>デジタルマーガレット</v>
      </c>
      <c r="R361" s="9"/>
      <c r="S361" s="8" t="str">
        <f>IFERROR(__xludf.DUMMYFUNCTION("""COMPUTED_VALUE"""),"20230509_集英社_後宮新作")</f>
        <v>20230509_集英社_後宮新作</v>
      </c>
      <c r="T361" s="9"/>
      <c r="U361" s="9" t="str">
        <f>IFERROR(__xludf.DUMMYFUNCTION("""COMPUTED_VALUE"""),"（C）蓮えみこ・あまおう紅／集英社")</f>
        <v>（C）蓮えみこ・あまおう紅／集英社</v>
      </c>
      <c r="V361" s="8" t="str">
        <f>IFERROR(__xludf.DUMMYFUNCTION("""COMPUTED_VALUE"""),"【決して結ばれてはいけない相手と…】没落した名家に生まれた凛明（りんめい）は、必ず皇帝の寵愛を得るという使命を持ち、上級妃候補として後宮へ送り込まれた。後宮に入ってすぐ、二胡の練習をしようとして迷子になった凛明は、気品と威厳に満ちた青年と出会う。彼こそ皇帝だと、思いがけない幸運に感謝する凛明だったが、彼は異母兄の皇帝から冷遇されている貴謳（きおう）だった。彼は皇帝に「凛明を褒美に欲しい」と求めて――。
")</f>
        <v>【決して結ばれてはいけない相手と…】没落した名家に生まれた凛明（りんめい）は、必ず皇帝の寵愛を得るという使命を持ち、上級妃候補として後宮へ送り込まれた。後宮に入ってすぐ、二胡の練習をしようとして迷子になった凛明は、気品と威厳に満ちた青年と出会う。彼こそ皇帝だと、思いがけない幸運に感謝する凛明だったが、彼は異母兄の皇帝から冷遇されている貴謳（きおう）だった。彼は皇帝に「凛明を褒美に欲しい」と求めて――。
</v>
      </c>
      <c r="W361" s="8"/>
      <c r="X361" s="8" t="str">
        <f>IFERROR(__xludf.DUMMYFUNCTION("""COMPUTED_VALUE"""),"有")</f>
        <v>有</v>
      </c>
      <c r="Y361" s="8" t="str">
        <f>IFERROR(__xludf.DUMMYFUNCTION("""COMPUTED_VALUE"""),"6/14まで1巻無料")</f>
        <v>6/14まで1巻無料</v>
      </c>
      <c r="Z361" s="7"/>
      <c r="AA361" s="7"/>
      <c r="AB361" s="7"/>
    </row>
    <row r="362" ht="15.75" customHeight="1">
      <c r="A362" s="8">
        <f>IFERROR(__xludf.DUMMYFUNCTION("""COMPUTED_VALUE"""),1939.0)</f>
        <v>1939</v>
      </c>
      <c r="B362" s="9" t="str">
        <f>IFERROR(__xludf.DUMMYFUNCTION("""COMPUTED_VALUE"""),"確定")</f>
        <v>確定</v>
      </c>
      <c r="C362" s="10">
        <f>IFERROR(__xludf.DUMMYFUNCTION("""COMPUTED_VALUE"""),45055.0)</f>
        <v>45055</v>
      </c>
      <c r="D362" s="10">
        <f>IFERROR(__xludf.DUMMYFUNCTION("""COMPUTED_VALUE"""),45055.0)</f>
        <v>45055</v>
      </c>
      <c r="E362" s="8">
        <f>IFERROR(__xludf.DUMMYFUNCTION("""COMPUTED_VALUE"""),268704.0)</f>
        <v>268704</v>
      </c>
      <c r="F362" s="9" t="str">
        <f>IFERROR(__xludf.DUMMYFUNCTION("""COMPUTED_VALUE"""),"番（つがい）の掟～妄執魔王に寵愛されて～")</f>
        <v>番（つがい）の掟～妄執魔王に寵愛されて～</v>
      </c>
      <c r="G362" s="11" t="str">
        <f>IFERROR(__xludf.DUMMYFUNCTION("""COMPUTED_VALUE"""),"1～4")</f>
        <v>1～4</v>
      </c>
      <c r="H362" s="8" t="str">
        <f>IFERROR(__xludf.DUMMYFUNCTION("""COMPUTED_VALUE"""),"春咲ルネ")</f>
        <v>春咲ルネ</v>
      </c>
      <c r="I362" s="8" t="str">
        <f>IFERROR(__xludf.DUMMYFUNCTION("""COMPUTED_VALUE"""),"少女")</f>
        <v>少女</v>
      </c>
      <c r="J362" s="8"/>
      <c r="K362" s="8"/>
      <c r="L362" s="8" t="str">
        <f>IFERROR(__xludf.DUMMYFUNCTION("""COMPUTED_VALUE"""),"ファンギルド")</f>
        <v>ファンギルド</v>
      </c>
      <c r="M362" s="12">
        <f>IFERROR(__xludf.DUMMYFUNCTION("""COMPUTED_VALUE"""),45088.0)</f>
        <v>45088</v>
      </c>
      <c r="N362" s="12">
        <f>IFERROR(__xludf.DUMMYFUNCTION("""COMPUTED_VALUE"""),45115.0)</f>
        <v>45115</v>
      </c>
      <c r="O362" s="11"/>
      <c r="P362" s="9" t="str">
        <f>IFERROR(__xludf.DUMMYFUNCTION("""COMPUTED_VALUE"""),"可")</f>
        <v>可</v>
      </c>
      <c r="Q362" s="8"/>
      <c r="R362" s="9"/>
      <c r="S362" s="8" t="str">
        <f>IFERROR(__xludf.DUMMYFUNCTION("""COMPUTED_VALUE"""),"検討用_20230509_ファンギルド_番の掟～妄執魔王に寵愛されて～")</f>
        <v>検討用_20230509_ファンギルド_番の掟～妄執魔王に寵愛されて～</v>
      </c>
      <c r="T362" s="9"/>
      <c r="U362" s="9" t="str">
        <f>IFERROR(__xludf.DUMMYFUNCTION("""COMPUTED_VALUE"""),"Ⓒ春咲ルネ/ファンギルド")</f>
        <v>Ⓒ春咲ルネ/ファンギルド</v>
      </c>
      <c r="V362" s="8" t="str">
        <f>IFERROR(__xludf.DUMMYFUNCTION("""COMPUTED_VALUE"""),"異質な見た目をしているせいで周囲に疎まれ、一人でひっそりと暮らしていた平民の少女・フィーリアはある日、国王から「伝説で語られる”聖女”の再臨だ！」と告げられる。その日から国民のために奉仕し、人々から慕われるようになるも、それから1年――突如として”終焉の魔王”アーテルが王国を襲来し、生贄として聖女であるはずのフィーリアが差し出されてしまう。『天災』と恐れられるアーテルだが、意外にも優しくしてくれる様子に心を許しかけるフィーリアだったが……「僕から逃れようとするなら、ちゃんと解らせるしかないね」「ずっとずっ"&amp;"と…僕だけの聖女だ」天涯孤独の聖女がヤンデレ魔王に溺愛されるラブファンタジー。")</f>
        <v>異質な見た目をしているせいで周囲に疎まれ、一人でひっそりと暮らしていた平民の少女・フィーリアはある日、国王から「伝説で語られる”聖女”の再臨だ！」と告げられる。その日から国民のために奉仕し、人々から慕われるようになるも、それから1年――突如として”終焉の魔王”アーテルが王国を襲来し、生贄として聖女であるはずのフィーリアが差し出されてしまう。『天災』と恐れられるアーテルだが、意外にも優しくしてくれる様子に心を許しかけるフィーリアだったが……「僕から逃れようとするなら、ちゃんと解らせるしかないね」「ずっとずっと…僕だけの聖女だ」天涯孤独の聖女がヤンデレ魔王に溺愛されるラブファンタジー。</v>
      </c>
      <c r="W362" s="8"/>
      <c r="X362" s="8" t="str">
        <f>IFERROR(__xludf.DUMMYFUNCTION("""COMPUTED_VALUE"""),"有")</f>
        <v>有</v>
      </c>
      <c r="Y362" s="8" t="str">
        <f>IFERROR(__xludf.DUMMYFUNCTION("""COMPUTED_VALUE"""),"6/24まで1巻無料")</f>
        <v>6/24まで1巻無料</v>
      </c>
      <c r="Z362" s="7"/>
      <c r="AA362" s="7"/>
      <c r="AB362" s="7"/>
    </row>
    <row r="363" ht="15.75" customHeight="1">
      <c r="A363" s="8">
        <f>IFERROR(__xludf.DUMMYFUNCTION("""COMPUTED_VALUE"""),1940.0)</f>
        <v>1940</v>
      </c>
      <c r="B363" s="9" t="str">
        <f>IFERROR(__xludf.DUMMYFUNCTION("""COMPUTED_VALUE"""),"確定")</f>
        <v>確定</v>
      </c>
      <c r="C363" s="10">
        <f>IFERROR(__xludf.DUMMYFUNCTION("""COMPUTED_VALUE"""),45055.0)</f>
        <v>45055</v>
      </c>
      <c r="D363" s="10">
        <f>IFERROR(__xludf.DUMMYFUNCTION("""COMPUTED_VALUE"""),45055.0)</f>
        <v>45055</v>
      </c>
      <c r="E363" s="8">
        <f>IFERROR(__xludf.DUMMYFUNCTION("""COMPUTED_VALUE"""),247330.0)</f>
        <v>247330</v>
      </c>
      <c r="F363" s="9" t="str">
        <f>IFERROR(__xludf.DUMMYFUNCTION("""COMPUTED_VALUE"""),"その恋、整形沙汰につき")</f>
        <v>その恋、整形沙汰につき</v>
      </c>
      <c r="G363" s="11" t="str">
        <f>IFERROR(__xludf.DUMMYFUNCTION("""COMPUTED_VALUE"""),"1～3")</f>
        <v>1～3</v>
      </c>
      <c r="H363" s="8" t="str">
        <f>IFERROR(__xludf.DUMMYFUNCTION("""COMPUTED_VALUE"""),"和田依子")</f>
        <v>和田依子</v>
      </c>
      <c r="I363" s="14" t="str">
        <f>IFERROR(__xludf.DUMMYFUNCTION("""COMPUTED_VALUE"""),"女性")</f>
        <v>女性</v>
      </c>
      <c r="J363" s="8"/>
      <c r="K363" s="8"/>
      <c r="L363" s="8" t="str">
        <f>IFERROR(__xludf.DUMMYFUNCTION("""COMPUTED_VALUE"""),"ソルマーレ編集部")</f>
        <v>ソルマーレ編集部</v>
      </c>
      <c r="M363" s="12">
        <f>IFERROR(__xludf.DUMMYFUNCTION("""COMPUTED_VALUE"""),45087.0)</f>
        <v>45087</v>
      </c>
      <c r="N363" s="12">
        <f>IFERROR(__xludf.DUMMYFUNCTION("""COMPUTED_VALUE"""),45148.0)</f>
        <v>45148</v>
      </c>
      <c r="O363" s="11"/>
      <c r="P363" s="9" t="str">
        <f>IFERROR(__xludf.DUMMYFUNCTION("""COMPUTED_VALUE"""),"可")</f>
        <v>可</v>
      </c>
      <c r="Q363" s="8" t="str">
        <f>IFERROR(__xludf.DUMMYFUNCTION("""COMPUTED_VALUE"""),"※正式タイトル下記の通りです（5/9）&lt;BR&gt;＝＝＝&lt;BR&gt;その恋、整形沙汰につき&lt;BR&gt;＝＝＝&lt;BR&gt;")</f>
        <v>※正式タイトル下記の通りです（5/9）&lt;BR&gt;＝＝＝&lt;BR&gt;その恋、整形沙汰につき&lt;BR&gt;＝＝＝&lt;BR&gt;</v>
      </c>
      <c r="R363" s="9"/>
      <c r="S363" s="8" t="str">
        <f>IFERROR(__xludf.DUMMYFUNCTION("""COMPUTED_VALUE"""),"20230509_ソルマーレ編集部_その恋、整形沙汰につき")</f>
        <v>20230509_ソルマーレ編集部_その恋、整形沙汰につき</v>
      </c>
      <c r="T363" s="15"/>
      <c r="U363" s="9" t="str">
        <f>IFERROR(__xludf.DUMMYFUNCTION("""COMPUTED_VALUE"""),"Ⓒ 和田依子/シーモアコミックス")</f>
        <v>Ⓒ 和田依子/シーモアコミックス</v>
      </c>
      <c r="V363" s="8" t="str">
        <f>IFERROR(__xludf.DUMMYFUNCTION("""COMPUTED_VALUE"""),"「顔はまずくとも仕事は超一流」をモットーに【普通の女の幸せ】を捨てて生きてきた・琥珀（こはく）。
ある日、琥珀は道ばたで助けてくれたイケメンに心惹かれ「あの人にまた会いたい」と街を探し歩く。そしてようやく見つけた彼の正体は…ホスト！？
意を決した琥珀は彼に一目会うためホストクラブに向かう、大金をかけ超ド級の美人に生まれ変わった姿で―――【恋するソワレ＋】
")</f>
        <v>「顔はまずくとも仕事は超一流」をモットーに【普通の女の幸せ】を捨てて生きてきた・琥珀（こはく）。
ある日、琥珀は道ばたで助けてくれたイケメンに心惹かれ「あの人にまた会いたい」と街を探し歩く。そしてようやく見つけた彼の正体は…ホスト！？
意を決した琥珀は彼に一目会うためホストクラブに向かう、大金をかけ超ド級の美人に生まれ変わった姿で―――【恋するソワレ＋】
</v>
      </c>
      <c r="W363" s="8"/>
      <c r="X363" s="8" t="str">
        <f>IFERROR(__xludf.DUMMYFUNCTION("""COMPUTED_VALUE"""),"有")</f>
        <v>有</v>
      </c>
      <c r="Y363" s="8" t="str">
        <f>IFERROR(__xludf.DUMMYFUNCTION("""COMPUTED_VALUE"""),"6/23まで1巻無料")</f>
        <v>6/23まで1巻無料</v>
      </c>
      <c r="Z363" s="7"/>
      <c r="AA363" s="7"/>
      <c r="AB363" s="7"/>
    </row>
    <row r="364" ht="15.75" customHeight="1">
      <c r="A364" s="8">
        <f>IFERROR(__xludf.DUMMYFUNCTION("""COMPUTED_VALUE"""),1941.0)</f>
        <v>1941</v>
      </c>
      <c r="B364" s="9" t="str">
        <f>IFERROR(__xludf.DUMMYFUNCTION("""COMPUTED_VALUE"""),"確定")</f>
        <v>確定</v>
      </c>
      <c r="C364" s="10">
        <f>IFERROR(__xludf.DUMMYFUNCTION("""COMPUTED_VALUE"""),45055.0)</f>
        <v>45055</v>
      </c>
      <c r="D364" s="10">
        <f>IFERROR(__xludf.DUMMYFUNCTION("""COMPUTED_VALUE"""),45055.0)</f>
        <v>45055</v>
      </c>
      <c r="E364" s="8">
        <f>IFERROR(__xludf.DUMMYFUNCTION("""COMPUTED_VALUE"""),269089.0)</f>
        <v>269089</v>
      </c>
      <c r="F364" s="9" t="str">
        <f>IFERROR(__xludf.DUMMYFUNCTION("""COMPUTED_VALUE"""),"竜使の花嫁 ～新緑の乙女は聖竜の守護者に愛される～")</f>
        <v>竜使の花嫁 ～新緑の乙女は聖竜の守護者に愛される～</v>
      </c>
      <c r="G364" s="11" t="str">
        <f>IFERROR(__xludf.DUMMYFUNCTION("""COMPUTED_VALUE"""),"1～4")</f>
        <v>1～4</v>
      </c>
      <c r="H364" s="8" t="str">
        <f>IFERROR(__xludf.DUMMYFUNCTION("""COMPUTED_VALUE"""),"漫画：モモチップス,原作：カヤ,イラスト原案：まろ")</f>
        <v>漫画：モモチップス,原作：カヤ,イラスト原案：まろ</v>
      </c>
      <c r="I364" s="14" t="str">
        <f>IFERROR(__xludf.DUMMYFUNCTION("""COMPUTED_VALUE"""),"女性")</f>
        <v>女性</v>
      </c>
      <c r="J364" s="8"/>
      <c r="K364" s="8"/>
      <c r="L364" s="8" t="str">
        <f>IFERROR(__xludf.DUMMYFUNCTION("""COMPUTED_VALUE"""),"フロンティアワークス")</f>
        <v>フロンティアワークス</v>
      </c>
      <c r="M364" s="12">
        <f>IFERROR(__xludf.DUMMYFUNCTION("""COMPUTED_VALUE"""),45076.0)</f>
        <v>45076</v>
      </c>
      <c r="N364" s="12">
        <f>IFERROR(__xludf.DUMMYFUNCTION("""COMPUTED_VALUE"""),45167.0)</f>
        <v>45167</v>
      </c>
      <c r="O364" s="11"/>
      <c r="P364" s="9" t="str">
        <f>IFERROR(__xludf.DUMMYFUNCTION("""COMPUTED_VALUE"""),"否")</f>
        <v>否</v>
      </c>
      <c r="Q364" s="8" t="str">
        <f>IFERROR(__xludf.DUMMYFUNCTION("""COMPUTED_VALUE"""),"初回4話のみ3ヶ月先行")</f>
        <v>初回4話のみ3ヶ月先行</v>
      </c>
      <c r="R364" s="9"/>
      <c r="S364" s="8" t="str">
        <f>IFERROR(__xludf.DUMMYFUNCTION("""COMPUTED_VALUE"""),"20230509_フロンティアワークス_竜使の花嫁 ～新緑の乙女は聖竜の守護者に愛される～")</f>
        <v>20230509_フロンティアワークス_竜使の花嫁 ～新緑の乙女は聖竜の守護者に愛される～</v>
      </c>
      <c r="T364" s="9"/>
      <c r="U364" s="9" t="str">
        <f>IFERROR(__xludf.DUMMYFUNCTION("""COMPUTED_VALUE"""),"(C)MOMOTIPS・KAYA/Frontier Works Inc.")</f>
        <v>(C)MOMOTIPS・KAYA/Frontier Works Inc.</v>
      </c>
      <c r="V364" s="8" t="str">
        <f>IFERROR(__xludf.DUMMYFUNCTION("""COMPUTED_VALUE"""),"「私はグラントリー・シングレア。あなたの夫となる男だ」
母が亡くなった後、自分に無関心な父のもと、義母と義姉に虐げられながら使用人として暮らす子爵令嬢・アリーシア。
幼い頃の飛竜便事務所での思い出を胸に耐えていたある日、義姉に婚約話が舞い込んでくる。
相手は、眼帯の下からも見える大きな傷跡を持ち、凍てついた瞳の恐ろしい方だというシングレア伯爵。
だが顔合わせの日、現れたのは飛竜便の若様だった…！
アリーシアは、義姉の代わりに彼へ嫁ぐことになり──!?
身代わり婚から始まるシンデレラストーリー！")</f>
        <v>「私はグラントリー・シングレア。あなたの夫となる男だ」
母が亡くなった後、自分に無関心な父のもと、義母と義姉に虐げられながら使用人として暮らす子爵令嬢・アリーシア。
幼い頃の飛竜便事務所での思い出を胸に耐えていたある日、義姉に婚約話が舞い込んでくる。
相手は、眼帯の下からも見える大きな傷跡を持ち、凍てついた瞳の恐ろしい方だというシングレア伯爵。
だが顔合わせの日、現れたのは飛竜便の若様だった…！
アリーシアは、義姉の代わりに彼へ嫁ぐことになり──!?
身代わり婚から始まるシンデレラストーリー！</v>
      </c>
      <c r="W364" s="8"/>
      <c r="X364" s="9" t="str">
        <f>IFERROR(__xludf.DUMMYFUNCTION("""COMPUTED_VALUE"""),"有")</f>
        <v>有</v>
      </c>
      <c r="Y364" s="8" t="str">
        <f>IFERROR(__xludf.DUMMYFUNCTION("""COMPUTED_VALUE"""),"1巻目永久無料ストリーミング
6/11まで2巻目無料")</f>
        <v>1巻目永久無料ストリーミング
6/11まで2巻目無料</v>
      </c>
      <c r="Z364" s="7"/>
      <c r="AA364" s="7"/>
      <c r="AB364" s="7"/>
    </row>
    <row r="365" ht="15.75" customHeight="1">
      <c r="A365" s="8">
        <f>IFERROR(__xludf.DUMMYFUNCTION("""COMPUTED_VALUE"""),1694.0)</f>
        <v>1694</v>
      </c>
      <c r="B365" s="9" t="str">
        <f>IFERROR(__xludf.DUMMYFUNCTION("""COMPUTED_VALUE"""),"確定")</f>
        <v>確定</v>
      </c>
      <c r="C365" s="10">
        <f>IFERROR(__xludf.DUMMYFUNCTION("""COMPUTED_VALUE"""),44960.0)</f>
        <v>44960</v>
      </c>
      <c r="D365" s="10">
        <f>IFERROR(__xludf.DUMMYFUNCTION("""COMPUTED_VALUE"""),45057.0)</f>
        <v>45057</v>
      </c>
      <c r="E365" s="8">
        <f>IFERROR(__xludf.DUMMYFUNCTION("""COMPUTED_VALUE"""),269048.0)</f>
        <v>269048</v>
      </c>
      <c r="F365" s="9" t="str">
        <f>IFERROR(__xludf.DUMMYFUNCTION("""COMPUTED_VALUE"""),"会社員 菅原砂子の排他的日常")</f>
        <v>会社員 菅原砂子の排他的日常</v>
      </c>
      <c r="G365" s="11" t="str">
        <f>IFERROR(__xludf.DUMMYFUNCTION("""COMPUTED_VALUE"""),"1～2")</f>
        <v>1～2</v>
      </c>
      <c r="H365" s="8" t="str">
        <f>IFERROR(__xludf.DUMMYFUNCTION("""COMPUTED_VALUE"""),"ジョハン")</f>
        <v>ジョハン</v>
      </c>
      <c r="I365" s="8" t="str">
        <f>IFERROR(__xludf.DUMMYFUNCTION("""COMPUTED_VALUE"""),"女性")</f>
        <v>女性</v>
      </c>
      <c r="J365" s="8"/>
      <c r="K365" s="8"/>
      <c r="L365" s="8" t="str">
        <f>IFERROR(__xludf.DUMMYFUNCTION("""COMPUTED_VALUE"""),"ふゅーじょんぷろだくと")</f>
        <v>ふゅーじょんぷろだくと</v>
      </c>
      <c r="M365" s="12">
        <f>IFERROR(__xludf.DUMMYFUNCTION("""COMPUTED_VALUE"""),45077.0)</f>
        <v>45077</v>
      </c>
      <c r="N365" s="12">
        <f>IFERROR(__xludf.DUMMYFUNCTION("""COMPUTED_VALUE"""),45168.0)</f>
        <v>45168</v>
      </c>
      <c r="O365" s="11"/>
      <c r="P365" s="9" t="str">
        <f>IFERROR(__xludf.DUMMYFUNCTION("""COMPUTED_VALUE"""),"可")</f>
        <v>可</v>
      </c>
      <c r="Q365" s="8" t="str">
        <f>IFERROR(__xludf.DUMMYFUNCTION("""COMPUTED_VALUE"""),"広告コミットOK（2/9）&lt;BR&gt;5/31～6/17で1話目ストリーミング無料あり")</f>
        <v>広告コミットOK（2/9）&lt;BR&gt;5/31～6/17で1話目ストリーミング無料あり</v>
      </c>
      <c r="R365" s="9"/>
      <c r="S365" s="8" t="str">
        <f>IFERROR(__xludf.DUMMYFUNCTION("""COMPUTED_VALUE"""),"20230511_ふゅーじょんぷろだくと_会社員 菅原砂子の排他的日常")</f>
        <v>20230511_ふゅーじょんぷろだくと_会社員 菅原砂子の排他的日常</v>
      </c>
      <c r="T365" s="9"/>
      <c r="U365" s="9" t="str">
        <f>IFERROR(__xludf.DUMMYFUNCTION("""COMPUTED_VALUE"""),"『会社員 菅原砂子の排他的日常』©ジョハン／FUSION PRODCUT")</f>
        <v>『会社員 菅原砂子の排他的日常』©ジョハン／FUSION PRODCUT</v>
      </c>
      <c r="V365" s="8" t="str">
        <f>IFERROR(__xludf.DUMMYFUNCTION("""COMPUTED_VALUE"""),"【令和版・ハラスメント対応 虎の巻！】クールなアラサーOLの菅原砂子。砂子の周りには強烈な口臭を放つパワハラ上司やビジネス用語を無駄に使う取引相手など厄介な人でいっぱい。しかしそんな彼らを砂子のユニークな視点と切れ味鋭い皮肉で一刀両断。クスッと笑えてときどきほっこり日常コメディ！
")</f>
        <v>【令和版・ハラスメント対応 虎の巻！】クールなアラサーOLの菅原砂子。砂子の周りには強烈な口臭を放つパワハラ上司やビジネス用語を無駄に使う取引相手など厄介な人でいっぱい。しかしそんな彼らを砂子のユニークな視点と切れ味鋭い皮肉で一刀両断。クスッと笑えてときどきほっこり日常コメディ！
</v>
      </c>
      <c r="W365" s="8"/>
      <c r="X365" s="8" t="str">
        <f>IFERROR(__xludf.DUMMYFUNCTION("""COMPUTED_VALUE"""),"有")</f>
        <v>有</v>
      </c>
      <c r="Y365" s="8" t="str">
        <f>IFERROR(__xludf.DUMMYFUNCTION("""COMPUTED_VALUE"""),"P10まで")</f>
        <v>P10まで</v>
      </c>
      <c r="Z365" s="7"/>
      <c r="AA365" s="7"/>
      <c r="AB365" s="7"/>
    </row>
    <row r="366" ht="15.75" customHeight="1">
      <c r="A366" s="8">
        <f>IFERROR(__xludf.DUMMYFUNCTION("""COMPUTED_VALUE"""),1695.0)</f>
        <v>1695</v>
      </c>
      <c r="B366" s="9" t="str">
        <f>IFERROR(__xludf.DUMMYFUNCTION("""COMPUTED_VALUE"""),"確定")</f>
        <v>確定</v>
      </c>
      <c r="C366" s="10">
        <f>IFERROR(__xludf.DUMMYFUNCTION("""COMPUTED_VALUE"""),44960.0)</f>
        <v>44960</v>
      </c>
      <c r="D366" s="10">
        <f>IFERROR(__xludf.DUMMYFUNCTION("""COMPUTED_VALUE"""),45057.0)</f>
        <v>45057</v>
      </c>
      <c r="E366" s="8">
        <f>IFERROR(__xludf.DUMMYFUNCTION("""COMPUTED_VALUE"""),269046.0)</f>
        <v>269046</v>
      </c>
      <c r="F366" s="9" t="str">
        <f>IFERROR(__xludf.DUMMYFUNCTION("""COMPUTED_VALUE"""),"ぽっちゃり系サラリーマン、魔王になる。")</f>
        <v>ぽっちゃり系サラリーマン、魔王になる。</v>
      </c>
      <c r="G366" s="11" t="str">
        <f>IFERROR(__xludf.DUMMYFUNCTION("""COMPUTED_VALUE"""),"1～2")</f>
        <v>1～2</v>
      </c>
      <c r="H366" s="8" t="str">
        <f>IFERROR(__xludf.DUMMYFUNCTION("""COMPUTED_VALUE"""),"山﨑と子")</f>
        <v>山﨑と子</v>
      </c>
      <c r="I366" s="8" t="str">
        <f>IFERROR(__xludf.DUMMYFUNCTION("""COMPUTED_VALUE"""),"女性")</f>
        <v>女性</v>
      </c>
      <c r="J366" s="8"/>
      <c r="K366" s="8"/>
      <c r="L366" s="8" t="str">
        <f>IFERROR(__xludf.DUMMYFUNCTION("""COMPUTED_VALUE"""),"ふゅーじょんぷろだくと")</f>
        <v>ふゅーじょんぷろだくと</v>
      </c>
      <c r="M366" s="12">
        <f>IFERROR(__xludf.DUMMYFUNCTION("""COMPUTED_VALUE"""),45077.0)</f>
        <v>45077</v>
      </c>
      <c r="N366" s="12">
        <f>IFERROR(__xludf.DUMMYFUNCTION("""COMPUTED_VALUE"""),45168.0)</f>
        <v>45168</v>
      </c>
      <c r="O366" s="11"/>
      <c r="P366" s="9" t="str">
        <f>IFERROR(__xludf.DUMMYFUNCTION("""COMPUTED_VALUE"""),"可")</f>
        <v>可</v>
      </c>
      <c r="Q366" s="8" t="str">
        <f>IFERROR(__xludf.DUMMYFUNCTION("""COMPUTED_VALUE"""),"広告コミットOK（2/9）&lt;BR&gt;5/31～6/17で1話目ストリーミング無料あり&lt;BR&gt;")</f>
        <v>広告コミットOK（2/9）&lt;BR&gt;5/31～6/17で1話目ストリーミング無料あり&lt;BR&gt;</v>
      </c>
      <c r="R366" s="9"/>
      <c r="S366" s="8" t="str">
        <f>IFERROR(__xludf.DUMMYFUNCTION("""COMPUTED_VALUE"""),"20230511_ふゅーじょんぷろだくと_ぽっちゃり系サラリーマン、魔王になる。")</f>
        <v>20230511_ふゅーじょんぷろだくと_ぽっちゃり系サラリーマン、魔王になる。</v>
      </c>
      <c r="T366" s="9"/>
      <c r="U366" s="9" t="str">
        <f>IFERROR(__xludf.DUMMYFUNCTION("""COMPUTED_VALUE"""),"『ぽっちゃり系サラリーマン、魔王になる。』©山﨑と子／FUSION PRODCUT")</f>
        <v>『ぽっちゃり系サラリーマン、魔王になる。』©山﨑と子／FUSION PRODCUT</v>
      </c>
      <c r="V366" s="8" t="str">
        <f>IFERROR(__xludf.DUMMYFUNCTION("""COMPUTED_VALUE"""),"【ほのぼの魔界のスローライフ】食べることが大好きなぽっちゃりサラリーマンが異世界転生。転生後はスリムなかっこいい魔王様に見事大変身。しかし魔界の美味しいご飯で人間時代のわがままボディに逆戻り。「鎧が入らなくなっちゃった…」なんて悩みもあるけれど魔界生活、満喫してます！
")</f>
        <v>【ほのぼの魔界のスローライフ】食べることが大好きなぽっちゃりサラリーマンが異世界転生。転生後はスリムなかっこいい魔王様に見事大変身。しかし魔界の美味しいご飯で人間時代のわがままボディに逆戻り。「鎧が入らなくなっちゃった…」なんて悩みもあるけれど魔界生活、満喫してます！
</v>
      </c>
      <c r="W366" s="8"/>
      <c r="X366" s="8" t="str">
        <f>IFERROR(__xludf.DUMMYFUNCTION("""COMPUTED_VALUE"""),"有")</f>
        <v>有</v>
      </c>
      <c r="Y366" s="8" t="str">
        <f>IFERROR(__xludf.DUMMYFUNCTION("""COMPUTED_VALUE"""),"P10まで")</f>
        <v>P10まで</v>
      </c>
      <c r="Z366" s="7"/>
      <c r="AA366" s="7"/>
      <c r="AB366" s="7"/>
    </row>
    <row r="367" ht="15.75" customHeight="1">
      <c r="A367" s="8">
        <f>IFERROR(__xludf.DUMMYFUNCTION("""COMPUTED_VALUE"""),1701.0)</f>
        <v>1701</v>
      </c>
      <c r="B367" s="9" t="str">
        <f>IFERROR(__xludf.DUMMYFUNCTION("""COMPUTED_VALUE"""),"確定")</f>
        <v>確定</v>
      </c>
      <c r="C367" s="10">
        <f>IFERROR(__xludf.DUMMYFUNCTION("""COMPUTED_VALUE"""),44963.0)</f>
        <v>44963</v>
      </c>
      <c r="D367" s="10">
        <f>IFERROR(__xludf.DUMMYFUNCTION("""COMPUTED_VALUE"""),45058.0)</f>
        <v>45058</v>
      </c>
      <c r="E367" s="8">
        <f>IFERROR(__xludf.DUMMYFUNCTION("""COMPUTED_VALUE"""),267974.0)</f>
        <v>267974</v>
      </c>
      <c r="F367" s="9" t="str">
        <f>IFERROR(__xludf.DUMMYFUNCTION("""COMPUTED_VALUE"""),"冷たくて 柔らか 分冊版")</f>
        <v>冷たくて 柔らか 分冊版</v>
      </c>
      <c r="G367" s="11" t="str">
        <f>IFERROR(__xludf.DUMMYFUNCTION("""COMPUTED_VALUE"""),"1～5")</f>
        <v>1～5</v>
      </c>
      <c r="H367" s="8" t="str">
        <f>IFERROR(__xludf.DUMMYFUNCTION("""COMPUTED_VALUE"""),"ウオズミアミ")</f>
        <v>ウオズミアミ</v>
      </c>
      <c r="I367" s="8" t="str">
        <f>IFERROR(__xludf.DUMMYFUNCTION("""COMPUTED_VALUE"""),"女性")</f>
        <v>女性</v>
      </c>
      <c r="J367" s="8"/>
      <c r="K367" s="8"/>
      <c r="L367" s="8" t="str">
        <f>IFERROR(__xludf.DUMMYFUNCTION("""COMPUTED_VALUE"""),"集英社")</f>
        <v>集英社</v>
      </c>
      <c r="M367" s="12">
        <f>IFERROR(__xludf.DUMMYFUNCTION("""COMPUTED_VALUE"""),45069.0)</f>
        <v>45069</v>
      </c>
      <c r="N367" s="12">
        <f>IFERROR(__xludf.DUMMYFUNCTION("""COMPUTED_VALUE"""),45099.0)</f>
        <v>45099</v>
      </c>
      <c r="O367" s="11"/>
      <c r="P367" s="9" t="str">
        <f>IFERROR(__xludf.DUMMYFUNCTION("""COMPUTED_VALUE"""),"否")</f>
        <v>否</v>
      </c>
      <c r="Q367" s="8" t="str">
        <f>IFERROR(__xludf.DUMMYFUNCTION("""COMPUTED_VALUE"""),"広告コミットOK（2/10）&lt;BR&gt;ココハナ&lt;BR&gt;&lt;BR&gt;5/12素材格納")</f>
        <v>広告コミットOK（2/10）&lt;BR&gt;ココハナ&lt;BR&gt;&lt;BR&gt;5/12素材格納</v>
      </c>
      <c r="R367" s="9"/>
      <c r="S367" s="8" t="str">
        <f>IFERROR(__xludf.DUMMYFUNCTION("""COMPUTED_VALUE"""),"20230512_集英社_5月新作3作品")</f>
        <v>20230512_集英社_5月新作3作品</v>
      </c>
      <c r="T367" s="9"/>
      <c r="U367" s="9" t="str">
        <f>IFERROR(__xludf.DUMMYFUNCTION("""COMPUTED_VALUE"""),"©ウオズミアミ／集英社")</f>
        <v>©ウオズミアミ／集英社</v>
      </c>
      <c r="V367" s="8" t="str">
        <f>IFERROR(__xludf.DUMMYFUNCTION("""COMPUTED_VALUE"""),"同棲して2年の彼氏に突然フラれた宝は、勤務先の不動産会社で中2の頃の同級生・エマと偶然出会う。昔とは雰囲気が変わったエマの変化に戸惑いつつも、旧友との再会を喜ぶ宝。でもふとした瞬間、あることを思い出し…!?　33歳の今日、何かが動き出す――。【MC「冷たくて 柔らか」単行本版1巻を話分割した分冊版です】
")</f>
        <v>同棲して2年の彼氏に突然フラれた宝は、勤務先の不動産会社で中2の頃の同級生・エマと偶然出会う。昔とは雰囲気が変わったエマの変化に戸惑いつつも、旧友との再会を喜ぶ宝。でもふとした瞬間、あることを思い出し…!?　33歳の今日、何かが動き出す――。【MC「冷たくて 柔らか」単行本版1巻を話分割した分冊版です】
</v>
      </c>
      <c r="W367" s="8"/>
      <c r="X367" s="8" t="str">
        <f>IFERROR(__xludf.DUMMYFUNCTION("""COMPUTED_VALUE"""),"有")</f>
        <v>有</v>
      </c>
      <c r="Y367" s="8" t="str">
        <f>IFERROR(__xludf.DUMMYFUNCTION("""COMPUTED_VALUE"""),"6/8まで1巻無料")</f>
        <v>6/8まで1巻無料</v>
      </c>
      <c r="Z367" s="7"/>
      <c r="AA367" s="7"/>
      <c r="AB367" s="7"/>
    </row>
    <row r="368" ht="15.75" customHeight="1">
      <c r="A368" s="8">
        <f>IFERROR(__xludf.DUMMYFUNCTION("""COMPUTED_VALUE"""),1845.0)</f>
        <v>1845</v>
      </c>
      <c r="B368" s="9" t="str">
        <f>IFERROR(__xludf.DUMMYFUNCTION("""COMPUTED_VALUE"""),"確定")</f>
        <v>確定</v>
      </c>
      <c r="C368" s="10">
        <f>IFERROR(__xludf.DUMMYFUNCTION("""COMPUTED_VALUE"""),45015.0)</f>
        <v>45015</v>
      </c>
      <c r="D368" s="10">
        <f>IFERROR(__xludf.DUMMYFUNCTION("""COMPUTED_VALUE"""),45058.0)</f>
        <v>45058</v>
      </c>
      <c r="E368" s="8">
        <f>IFERROR(__xludf.DUMMYFUNCTION("""COMPUTED_VALUE"""),269239.0)</f>
        <v>269239</v>
      </c>
      <c r="F368" s="9" t="str">
        <f>IFERROR(__xludf.DUMMYFUNCTION("""COMPUTED_VALUE"""),"女神に恋した男たち【マイクロ】")</f>
        <v>女神に恋した男たち【マイクロ】</v>
      </c>
      <c r="G368" s="11" t="str">
        <f>IFERROR(__xludf.DUMMYFUNCTION("""COMPUTED_VALUE"""),"1～3")</f>
        <v>1～3</v>
      </c>
      <c r="H368" s="8" t="str">
        <f>IFERROR(__xludf.DUMMYFUNCTION("""COMPUTED_VALUE"""),"浅野あや")</f>
        <v>浅野あや</v>
      </c>
      <c r="I368" s="8" t="str">
        <f>IFERROR(__xludf.DUMMYFUNCTION("""COMPUTED_VALUE"""),"少女")</f>
        <v>少女</v>
      </c>
      <c r="J368" s="8"/>
      <c r="K368" s="8"/>
      <c r="L368" s="8" t="str">
        <f>IFERROR(__xludf.DUMMYFUNCTION("""COMPUTED_VALUE"""),"小学館")</f>
        <v>小学館</v>
      </c>
      <c r="M368" s="12">
        <f>IFERROR(__xludf.DUMMYFUNCTION("""COMPUTED_VALUE"""),45082.0)</f>
        <v>45082</v>
      </c>
      <c r="N368" s="12">
        <f>IFERROR(__xludf.DUMMYFUNCTION("""COMPUTED_VALUE"""),45142.0)</f>
        <v>45142</v>
      </c>
      <c r="O368" s="11"/>
      <c r="P368" s="9" t="str">
        <f>IFERROR(__xludf.DUMMYFUNCTION("""COMPUTED_VALUE"""),"否")</f>
        <v>否</v>
      </c>
      <c r="Q368" s="8" t="str">
        <f>IFERROR(__xludf.DUMMYFUNCTION("""COMPUTED_VALUE"""),"広告コミットOK（3/31）&lt;BR&gt;20230412：先行配信日更新")</f>
        <v>広告コミットOK（3/31）&lt;BR&gt;20230412：先行配信日更新</v>
      </c>
      <c r="R368" s="9"/>
      <c r="S368" s="8" t="str">
        <f>IFERROR(__xludf.DUMMYFUNCTION("""COMPUTED_VALUE"""),"20230512_小学館_女神に恋した男たち【マイクロ】")</f>
        <v>20230512_小学館_女神に恋した男たち【マイクロ】</v>
      </c>
      <c r="T368" s="9"/>
      <c r="U368" s="9" t="str">
        <f>IFERROR(__xludf.DUMMYFUNCTION("""COMPUTED_VALUE"""),"(C)浅野あや / 小学館")</f>
        <v>(C)浅野あや / 小学館</v>
      </c>
      <c r="V368" s="8" t="str">
        <f>IFERROR(__xludf.DUMMYFUNCTION("""COMPUTED_VALUE"""),"「結婚しません」とメディアで宣言し、女性から絶大な支持を集める女優・神宮寺和泉（35）
そんな彼女にマジで恋したナマイキ年下俳優、愛重敏腕マネージャー、さらにはスキャンダルを狙う記者まで！？
恋愛なんてもうしたくないのに、なんでこんなことに！？
絶対に結婚しない女v.s.絶対に彼女をおとしたい男たちの、葛藤と奮闘を描く、最上のラブバトル！！
")</f>
        <v>「結婚しません」とメディアで宣言し、女性から絶大な支持を集める女優・神宮寺和泉（35）
そんな彼女にマジで恋したナマイキ年下俳優、愛重敏腕マネージャー、さらにはスキャンダルを狙う記者まで！？
恋愛なんてもうしたくないのに、なんでこんなことに！？
絶対に結婚しない女v.s.絶対に彼女をおとしたい男たちの、葛藤と奮闘を描く、最上のラブバトル！！
</v>
      </c>
      <c r="W368" s="8"/>
      <c r="X368" s="8" t="str">
        <f>IFERROR(__xludf.DUMMYFUNCTION("""COMPUTED_VALUE"""),"有")</f>
        <v>有</v>
      </c>
      <c r="Y368" s="8" t="str">
        <f>IFERROR(__xludf.DUMMYFUNCTION("""COMPUTED_VALUE"""),"6/18まで1巻無料")</f>
        <v>6/18まで1巻無料</v>
      </c>
      <c r="Z368" s="7"/>
      <c r="AA368" s="7"/>
      <c r="AB368" s="7"/>
    </row>
    <row r="369" ht="130.5" customHeight="1">
      <c r="A369" s="8">
        <f>IFERROR(__xludf.DUMMYFUNCTION("""COMPUTED_VALUE"""),1846.0)</f>
        <v>1846</v>
      </c>
      <c r="B369" s="9" t="str">
        <f>IFERROR(__xludf.DUMMYFUNCTION("""COMPUTED_VALUE"""),"確定")</f>
        <v>確定</v>
      </c>
      <c r="C369" s="10">
        <f>IFERROR(__xludf.DUMMYFUNCTION("""COMPUTED_VALUE"""),45015.0)</f>
        <v>45015</v>
      </c>
      <c r="D369" s="10">
        <f>IFERROR(__xludf.DUMMYFUNCTION("""COMPUTED_VALUE"""),45062.0)</f>
        <v>45062</v>
      </c>
      <c r="E369" s="8">
        <f>IFERROR(__xludf.DUMMYFUNCTION("""COMPUTED_VALUE"""),269238.0)</f>
        <v>269238</v>
      </c>
      <c r="F369" s="9" t="str">
        <f>IFERROR(__xludf.DUMMYFUNCTION("""COMPUTED_VALUE"""),"99%サキュバスちゃん【マイクロ】")</f>
        <v>99%サキュバスちゃん【マイクロ】</v>
      </c>
      <c r="G369" s="11" t="str">
        <f>IFERROR(__xludf.DUMMYFUNCTION("""COMPUTED_VALUE"""),"1～3")</f>
        <v>1～3</v>
      </c>
      <c r="H369" s="8" t="str">
        <f>IFERROR(__xludf.DUMMYFUNCTION("""COMPUTED_VALUE"""),"白石ユキ")</f>
        <v>白石ユキ</v>
      </c>
      <c r="I369" s="8" t="str">
        <f>IFERROR(__xludf.DUMMYFUNCTION("""COMPUTED_VALUE"""),"少女")</f>
        <v>少女</v>
      </c>
      <c r="J369" s="8"/>
      <c r="K369" s="8"/>
      <c r="L369" s="8" t="str">
        <f>IFERROR(__xludf.DUMMYFUNCTION("""COMPUTED_VALUE"""),"小学館")</f>
        <v>小学館</v>
      </c>
      <c r="M369" s="12">
        <f>IFERROR(__xludf.DUMMYFUNCTION("""COMPUTED_VALUE"""),45082.0)</f>
        <v>45082</v>
      </c>
      <c r="N369" s="12">
        <f>IFERROR(__xludf.DUMMYFUNCTION("""COMPUTED_VALUE"""),45142.0)</f>
        <v>45142</v>
      </c>
      <c r="O369" s="11"/>
      <c r="P369" s="9" t="str">
        <f>IFERROR(__xludf.DUMMYFUNCTION("""COMPUTED_VALUE"""),"否")</f>
        <v>否</v>
      </c>
      <c r="Q369" s="8" t="str">
        <f>IFERROR(__xludf.DUMMYFUNCTION("""COMPUTED_VALUE"""),"広告コミットOK（3/31）&lt;BR&gt;20230412：先行配信日更新")</f>
        <v>広告コミットOK（3/31）&lt;BR&gt;20230412：先行配信日更新</v>
      </c>
      <c r="R369" s="9"/>
      <c r="S369" s="8" t="str">
        <f>IFERROR(__xludf.DUMMYFUNCTION("""COMPUTED_VALUE"""),"20230516_小学館_99%サキュバスちゃん【マイクロ】")</f>
        <v>20230516_小学館_99%サキュバスちゃん【マイクロ】</v>
      </c>
      <c r="T369" s="9" t="str">
        <f>IFERROR(__xludf.DUMMYFUNCTION("""COMPUTED_VALUE"""),"001フォルダが1巻と2巻に該当し、002が3巻目予定です。001フォルダ内のデータは「だいたい半分くらいで分割される」そうです")</f>
        <v>001フォルダが1巻と2巻に該当し、002が3巻目予定です。001フォルダ内のデータは「だいたい半分くらいで分割される」そうです</v>
      </c>
      <c r="U369" s="9" t="str">
        <f>IFERROR(__xludf.DUMMYFUNCTION("""COMPUTED_VALUE"""),"(C)白石ユキ / 小学館")</f>
        <v>(C)白石ユキ / 小学館</v>
      </c>
      <c r="V369" s="8" t="str">
        <f>IFERROR(__xludf.DUMMYFUNCTION("""COMPUTED_VALUE"""),"りりはサキュバスと人間のミックスの女の子。まだまだ上手にエナジーをすうことが出来なくていつも空腹でたまらない！好きな人のエナジーしか吸いたくない。でもりりは恋が苦手で・・・！？今日も空腹！！")</f>
        <v>りりはサキュバスと人間のミックスの女の子。まだまだ上手にエナジーをすうことが出来なくていつも空腹でたまらない！好きな人のエナジーしか吸いたくない。でもりりは恋が苦手で・・・！？今日も空腹！！</v>
      </c>
      <c r="W369" s="8"/>
      <c r="X369" s="8" t="str">
        <f>IFERROR(__xludf.DUMMYFUNCTION("""COMPUTED_VALUE"""),"有")</f>
        <v>有</v>
      </c>
      <c r="Y369" s="8" t="str">
        <f>IFERROR(__xludf.DUMMYFUNCTION("""COMPUTED_VALUE"""),"１巻目無料（6/18まで）")</f>
        <v>１巻目無料（6/18まで）</v>
      </c>
      <c r="Z369" s="7"/>
      <c r="AA369" s="7"/>
      <c r="AB369" s="7"/>
    </row>
    <row r="370" ht="15.75" customHeight="1">
      <c r="A370" s="8">
        <f>IFERROR(__xludf.DUMMYFUNCTION("""COMPUTED_VALUE"""),1921.0)</f>
        <v>1921</v>
      </c>
      <c r="B370" s="9" t="str">
        <f>IFERROR(__xludf.DUMMYFUNCTION("""COMPUTED_VALUE"""),"確定")</f>
        <v>確定</v>
      </c>
      <c r="C370" s="10">
        <f>IFERROR(__xludf.DUMMYFUNCTION("""COMPUTED_VALUE"""),45048.0)</f>
        <v>45048</v>
      </c>
      <c r="D370" s="10">
        <f>IFERROR(__xludf.DUMMYFUNCTION("""COMPUTED_VALUE"""),45057.0)</f>
        <v>45057</v>
      </c>
      <c r="E370" s="8">
        <f>IFERROR(__xludf.DUMMYFUNCTION("""COMPUTED_VALUE"""),271111.0)</f>
        <v>271111</v>
      </c>
      <c r="F370" s="9" t="str">
        <f>IFERROR(__xludf.DUMMYFUNCTION("""COMPUTED_VALUE"""),"交際2年、溺愛彼氏だと発覚しました～破局寸前…のはずがナカイキHに同棲つき!?～【分冊版】")</f>
        <v>交際2年、溺愛彼氏だと発覚しました～破局寸前…のはずがナカイキHに同棲つき!?～【分冊版】</v>
      </c>
      <c r="G370" s="11" t="str">
        <f>IFERROR(__xludf.DUMMYFUNCTION("""COMPUTED_VALUE"""),"1～2")</f>
        <v>1～2</v>
      </c>
      <c r="H370" s="8" t="str">
        <f>IFERROR(__xludf.DUMMYFUNCTION("""COMPUTED_VALUE"""),"作画：時雨ゆに / 原作：紺乃藍")</f>
        <v>作画：時雨ゆに / 原作：紺乃藍</v>
      </c>
      <c r="I370" s="8" t="str">
        <f>IFERROR(__xludf.DUMMYFUNCTION("""COMPUTED_VALUE"""),"TL")</f>
        <v>TL</v>
      </c>
      <c r="J370" s="8"/>
      <c r="K370" s="8"/>
      <c r="L370" s="8" t="str">
        <f>IFERROR(__xludf.DUMMYFUNCTION("""COMPUTED_VALUE"""),"笠倉出版社")</f>
        <v>笠倉出版社</v>
      </c>
      <c r="M370" s="12">
        <f>IFERROR(__xludf.DUMMYFUNCTION("""COMPUTED_VALUE"""),45113.0)</f>
        <v>45113</v>
      </c>
      <c r="N370" s="12">
        <f>IFERROR(__xludf.DUMMYFUNCTION("""COMPUTED_VALUE"""),45140.0)</f>
        <v>45140</v>
      </c>
      <c r="O370" s="11"/>
      <c r="P370" s="9" t="str">
        <f>IFERROR(__xludf.DUMMYFUNCTION("""COMPUTED_VALUE"""),"可")</f>
        <v>可</v>
      </c>
      <c r="Q370" s="8" t="str">
        <f>IFERROR(__xludf.DUMMYFUNCTION("""COMPUTED_VALUE"""),"広告コミットOK（5/8）")</f>
        <v>広告コミットOK（5/8）</v>
      </c>
      <c r="R370" s="9"/>
      <c r="S370" s="8" t="str">
        <f>IFERROR(__xludf.DUMMYFUNCTION("""COMPUTED_VALUE"""),"20230511_笠倉出版社_交際2年、溺愛彼氏だと発覚しました～破局寸前…のはずがナカイキHに同棲つき！？～【分冊版】")</f>
        <v>20230511_笠倉出版社_交際2年、溺愛彼氏だと発覚しました～破局寸前…のはずがナカイキHに同棲つき！？～【分冊版】</v>
      </c>
      <c r="T370" s="9"/>
      <c r="U370" s="9" t="str">
        <f>IFERROR(__xludf.DUMMYFUNCTION("""COMPUTED_VALUE"""),"©時雨ゆに・紺乃藍/笠倉出版社")</f>
        <v>©時雨ゆに・紺乃藍/笠倉出版社</v>
      </c>
      <c r="V370" s="8" t="str">
        <f>IFERROR(__xludf.DUMMYFUNCTION("""COMPUTED_VALUE"""),"「ようやく抱ける」「会えない間ずっと我慢してた」どうして？私たちもう終わりになるはずだったのに…遠距離恋愛中の彼氏が突然帰国。彼氏の恭也君とはこの2年あんまり連絡も取れないし、うまくいっていない。このまま自然消滅しちゃうのかな…と思っていたのに、久しぶりに再会した彼は、なぜかとろけるような表情に甘い声、まるで愛されてるって勘違いしちゃう態度で！？混乱のままベッドに連れていかれて、懐かしい指先に全部暴かれたら、だめ抗えない…！同じところばかり焦らすように責められ、ナカが溢れるまでぐちゅぐちゅに愛撫されてしま"&amp;"い…しかも翌日からまた同じ本社で勤務することに。それにいきなり同棲ってどういうこと！？ピュアで刺激的！交際2年すれ違いカップル、私たち1から恋人はじめます。")</f>
        <v>「ようやく抱ける」「会えない間ずっと我慢してた」どうして？私たちもう終わりになるはずだったのに…遠距離恋愛中の彼氏が突然帰国。彼氏の恭也君とはこの2年あんまり連絡も取れないし、うまくいっていない。このまま自然消滅しちゃうのかな…と思っていたのに、久しぶりに再会した彼は、なぜかとろけるような表情に甘い声、まるで愛されてるって勘違いしちゃう態度で！？混乱のままベッドに連れていかれて、懐かしい指先に全部暴かれたら、だめ抗えない…！同じところばかり焦らすように責められ、ナカが溢れるまでぐちゅぐちゅに愛撫されてしまい…しかも翌日からまた同じ本社で勤務することに。それにいきなり同棲ってどういうこと！？ピュアで刺激的！交際2年すれ違いカップル、私たち1から恋人はじめます。</v>
      </c>
      <c r="W370" s="8"/>
      <c r="X370" s="8" t="str">
        <f>IFERROR(__xludf.DUMMYFUNCTION("""COMPUTED_VALUE"""),"有")</f>
        <v>有</v>
      </c>
      <c r="Y370" s="8" t="str">
        <f>IFERROR(__xludf.DUMMYFUNCTION("""COMPUTED_VALUE"""),"7/19まで立ち読み増量P14まで")</f>
        <v>7/19まで立ち読み増量P14まで</v>
      </c>
      <c r="Z370" s="7"/>
      <c r="AA370" s="7"/>
      <c r="AB370" s="7"/>
    </row>
    <row r="371" ht="15.75" customHeight="1">
      <c r="A371" s="8">
        <f>IFERROR(__xludf.DUMMYFUNCTION("""COMPUTED_VALUE"""),1928.0)</f>
        <v>1928</v>
      </c>
      <c r="B371" s="9" t="str">
        <f>IFERROR(__xludf.DUMMYFUNCTION("""COMPUTED_VALUE"""),"確定")</f>
        <v>確定</v>
      </c>
      <c r="C371" s="10">
        <f>IFERROR(__xludf.DUMMYFUNCTION("""COMPUTED_VALUE"""),45054.0)</f>
        <v>45054</v>
      </c>
      <c r="D371" s="10">
        <f>IFERROR(__xludf.DUMMYFUNCTION("""COMPUTED_VALUE"""),45058.0)</f>
        <v>45058</v>
      </c>
      <c r="E371" s="8">
        <f>IFERROR(__xludf.DUMMYFUNCTION("""COMPUTED_VALUE"""),268842.0)</f>
        <v>268842</v>
      </c>
      <c r="F371" s="9" t="str">
        <f>IFERROR(__xludf.DUMMYFUNCTION("""COMPUTED_VALUE"""),"龍の愛すべき花～無能と呼ばれた花嫁は龍神に甘く溶かされ溺愛される～")</f>
        <v>龍の愛すべき花～無能と呼ばれた花嫁は龍神に甘く溶かされ溺愛される～</v>
      </c>
      <c r="G371" s="11" t="str">
        <f>IFERROR(__xludf.DUMMYFUNCTION("""COMPUTED_VALUE"""),"1～3")</f>
        <v>1～3</v>
      </c>
      <c r="H371" s="8" t="str">
        <f>IFERROR(__xludf.DUMMYFUNCTION("""COMPUTED_VALUE"""),"あむN子")</f>
        <v>あむN子</v>
      </c>
      <c r="I371" s="8" t="str">
        <f>IFERROR(__xludf.DUMMYFUNCTION("""COMPUTED_VALUE"""),"TL")</f>
        <v>TL</v>
      </c>
      <c r="J371" s="8"/>
      <c r="K371" s="8"/>
      <c r="L371" s="8" t="str">
        <f>IFERROR(__xludf.DUMMYFUNCTION("""COMPUTED_VALUE"""),"一迅社")</f>
        <v>一迅社</v>
      </c>
      <c r="M371" s="12">
        <f>IFERROR(__xludf.DUMMYFUNCTION("""COMPUTED_VALUE"""),45079.0)</f>
        <v>45079</v>
      </c>
      <c r="N371" s="12">
        <f>IFERROR(__xludf.DUMMYFUNCTION("""COMPUTED_VALUE"""),45113.0)</f>
        <v>45113</v>
      </c>
      <c r="O371" s="11"/>
      <c r="P371" s="9" t="str">
        <f>IFERROR(__xludf.DUMMYFUNCTION("""COMPUTED_VALUE"""),"可")</f>
        <v>可</v>
      </c>
      <c r="Q371" s="8"/>
      <c r="R371" s="9"/>
      <c r="S371" s="8" t="str">
        <f>IFERROR(__xludf.DUMMYFUNCTION("""COMPUTED_VALUE"""),"20230512_一迅社_龍の愛すべき花")</f>
        <v>20230512_一迅社_龍の愛すべき花</v>
      </c>
      <c r="T371" s="9"/>
      <c r="U371" s="9" t="str">
        <f>IFERROR(__xludf.DUMMYFUNCTION("""COMPUTED_VALUE"""),"(C)あむN子／一迅社")</f>
        <v>(C)あむN子／一迅社</v>
      </c>
      <c r="V371" s="8" t="str">
        <f>IFERROR(__xludf.DUMMYFUNCTION("""COMPUTED_VALUE"""),"「気遣いは不要よ、お願い」自然災害を起こす邪龍（じゃりゅう）を封印する、由緒正しい霊媒師の一族：霧里（きりさと）家。一族の末席である由梨は、霊能力がない。さらには母親が駆け落ち同然で産んだ子だったため、妹共々虐げられて育ってきた。しかし、由梨には邪龍が愛した乙女の生まれ変わりの証である【龍の刻印】があった。『邪龍を誑かし、災害を止める』一族の大切なお役目のため、愛する妹とも別れ、龍のもとに嫁ぐことになった由梨。しかし、邪龍の大穴の前で、なぜか他の一族に突き落とされてしまい…。死を覚悟した直前、美しい男性が"&amp;"突然現れて由梨を抱きとめて…？「もう二度とお前に苦痛を与えたくないのだ」優しい瞳をした邪龍を床に誘った由梨だが、甘く溶かされてしまい…。時を超えた運命の恋が、今動き出すー…！生まれ変わり和風ファンタジーTL第1話！")</f>
        <v>「気遣いは不要よ、お願い」自然災害を起こす邪龍（じゃりゅう）を封印する、由緒正しい霊媒師の一族：霧里（きりさと）家。一族の末席である由梨は、霊能力がない。さらには母親が駆け落ち同然で産んだ子だったため、妹共々虐げられて育ってきた。しかし、由梨には邪龍が愛した乙女の生まれ変わりの証である【龍の刻印】があった。『邪龍を誑かし、災害を止める』一族の大切なお役目のため、愛する妹とも別れ、龍のもとに嫁ぐことになった由梨。しかし、邪龍の大穴の前で、なぜか他の一族に突き落とされてしまい…。死を覚悟した直前、美しい男性が突然現れて由梨を抱きとめて…？「もう二度とお前に苦痛を与えたくないのだ」優しい瞳をした邪龍を床に誘った由梨だが、甘く溶かされてしまい…。時を超えた運命の恋が、今動き出すー…！生まれ変わり和風ファンタジーTL第1話！</v>
      </c>
      <c r="W371" s="8"/>
      <c r="X371" s="8" t="str">
        <f>IFERROR(__xludf.DUMMYFUNCTION("""COMPUTED_VALUE"""),"有")</f>
        <v>有</v>
      </c>
      <c r="Y371" s="8" t="str">
        <f>IFERROR(__xludf.DUMMYFUNCTION("""COMPUTED_VALUE"""),"7/６まで1巻無料")</f>
        <v>7/６まで1巻無料</v>
      </c>
      <c r="Z371" s="7"/>
      <c r="AA371" s="7"/>
      <c r="AB371" s="7"/>
    </row>
    <row r="372" ht="15.75" customHeight="1">
      <c r="A372" s="8">
        <f>IFERROR(__xludf.DUMMYFUNCTION("""COMPUTED_VALUE"""),1949.0)</f>
        <v>1949</v>
      </c>
      <c r="B372" s="9" t="str">
        <f>IFERROR(__xludf.DUMMYFUNCTION("""COMPUTED_VALUE"""),"確定")</f>
        <v>確定</v>
      </c>
      <c r="C372" s="10">
        <f>IFERROR(__xludf.DUMMYFUNCTION("""COMPUTED_VALUE"""),45058.0)</f>
        <v>45058</v>
      </c>
      <c r="D372" s="10">
        <f>IFERROR(__xludf.DUMMYFUNCTION("""COMPUTED_VALUE"""),45058.0)</f>
        <v>45058</v>
      </c>
      <c r="E372" s="8">
        <f>IFERROR(__xludf.DUMMYFUNCTION("""COMPUTED_VALUE"""),268086.0)</f>
        <v>268086</v>
      </c>
      <c r="F372" s="9" t="str">
        <f>IFERROR(__xludf.DUMMYFUNCTION("""COMPUTED_VALUE"""),"溺愛したがるモテ男子と、秘密のワケあり同居。")</f>
        <v>溺愛したがるモテ男子と、秘密のワケあり同居。</v>
      </c>
      <c r="G372" s="11" t="str">
        <f>IFERROR(__xludf.DUMMYFUNCTION("""COMPUTED_VALUE"""),"1～4")</f>
        <v>1～4</v>
      </c>
      <c r="H372" s="8" t="str">
        <f>IFERROR(__xludf.DUMMYFUNCTION("""COMPUTED_VALUE"""),"森乃なっぱ,ゆいっと")</f>
        <v>森乃なっぱ,ゆいっと</v>
      </c>
      <c r="I372" s="14" t="str">
        <f>IFERROR(__xludf.DUMMYFUNCTION("""COMPUTED_VALUE"""),"少女")</f>
        <v>少女</v>
      </c>
      <c r="J372" s="8"/>
      <c r="K372" s="8"/>
      <c r="L372" s="8" t="str">
        <f>IFERROR(__xludf.DUMMYFUNCTION("""COMPUTED_VALUE"""),"集英社")</f>
        <v>集英社</v>
      </c>
      <c r="M372" s="12">
        <f>IFERROR(__xludf.DUMMYFUNCTION("""COMPUTED_VALUE"""),45071.0)</f>
        <v>45071</v>
      </c>
      <c r="N372" s="12">
        <f>IFERROR(__xludf.DUMMYFUNCTION("""COMPUTED_VALUE"""),45099.0)</f>
        <v>45099</v>
      </c>
      <c r="O372" s="11"/>
      <c r="P372" s="9" t="str">
        <f>IFERROR(__xludf.DUMMYFUNCTION("""COMPUTED_VALUE"""),"否")</f>
        <v>否</v>
      </c>
      <c r="Q372" s="8" t="str">
        <f>IFERROR(__xludf.DUMMYFUNCTION("""COMPUTED_VALUE"""),"りぼん")</f>
        <v>りぼん</v>
      </c>
      <c r="R372" s="9"/>
      <c r="S372" s="8" t="str">
        <f>IFERROR(__xludf.DUMMYFUNCTION("""COMPUTED_VALUE"""),"20230512_集英社_5月新作3作品")</f>
        <v>20230512_集英社_5月新作3作品</v>
      </c>
      <c r="T372" s="9"/>
      <c r="U372" s="9" t="str">
        <f>IFERROR(__xludf.DUMMYFUNCTION("""COMPUTED_VALUE"""),"（ｃ）森乃なっぱ／集英社　（ｃ）ゆいっと／スターツ出版")</f>
        <v>（ｃ）森乃なっぱ／集英社　（ｃ）ゆいっと／スターツ出版</v>
      </c>
      <c r="V372" s="8" t="str">
        <f>IFERROR(__xludf.DUMMYFUNCTION("""COMPUTED_VALUE"""),"高校2年生の小春は、家の事情で知り合いの家に居候することに。そこは超イケメン、だけど女嫌いで有名なクラスメイト・朔の家だった…！　しかも朔は寝起きに一番最初に手を触れたものを抱きしめるクセがあって…!?　キケンな同居ラブが強制スタート！
")</f>
        <v>高校2年生の小春は、家の事情で知り合いの家に居候することに。そこは超イケメン、だけど女嫌いで有名なクラスメイト・朔の家だった…！　しかも朔は寝起きに一番最初に手を触れたものを抱きしめるクセがあって…!?　キケンな同居ラブが強制スタート！
</v>
      </c>
      <c r="W372" s="8"/>
      <c r="X372" s="8" t="str">
        <f>IFERROR(__xludf.DUMMYFUNCTION("""COMPUTED_VALUE"""),"有")</f>
        <v>有</v>
      </c>
      <c r="Y372" s="8" t="str">
        <f>IFERROR(__xludf.DUMMYFUNCTION("""COMPUTED_VALUE"""),"6/7まで1巻無料")</f>
        <v>6/7まで1巻無料</v>
      </c>
      <c r="Z372" s="7"/>
      <c r="AA372" s="7"/>
      <c r="AB372" s="7"/>
    </row>
    <row r="373" ht="15.75" customHeight="1">
      <c r="A373" s="8">
        <f>IFERROR(__xludf.DUMMYFUNCTION("""COMPUTED_VALUE"""),1950.0)</f>
        <v>1950</v>
      </c>
      <c r="B373" s="9" t="str">
        <f>IFERROR(__xludf.DUMMYFUNCTION("""COMPUTED_VALUE"""),"確定")</f>
        <v>確定</v>
      </c>
      <c r="C373" s="10">
        <f>IFERROR(__xludf.DUMMYFUNCTION("""COMPUTED_VALUE"""),45058.0)</f>
        <v>45058</v>
      </c>
      <c r="D373" s="10">
        <f>IFERROR(__xludf.DUMMYFUNCTION("""COMPUTED_VALUE"""),45058.0)</f>
        <v>45058</v>
      </c>
      <c r="E373" s="8">
        <f>IFERROR(__xludf.DUMMYFUNCTION("""COMPUTED_VALUE"""),268085.0)</f>
        <v>268085</v>
      </c>
      <c r="F373" s="9" t="str">
        <f>IFERROR(__xludf.DUMMYFUNCTION("""COMPUTED_VALUE"""),"四畳半のいばら姫")</f>
        <v>四畳半のいばら姫</v>
      </c>
      <c r="G373" s="11">
        <f>IFERROR(__xludf.DUMMYFUNCTION("""COMPUTED_VALUE"""),1.0)</f>
        <v>1</v>
      </c>
      <c r="H373" s="8" t="str">
        <f>IFERROR(__xludf.DUMMYFUNCTION("""COMPUTED_VALUE"""),"漫画：吉田 夢美　原作：佐藤 ざくり")</f>
        <v>漫画：吉田 夢美　原作：佐藤 ざくり</v>
      </c>
      <c r="I373" s="8" t="str">
        <f>IFERROR(__xludf.DUMMYFUNCTION("""COMPUTED_VALUE"""),"少女")</f>
        <v>少女</v>
      </c>
      <c r="J373" s="8"/>
      <c r="K373" s="8"/>
      <c r="L373" s="8" t="str">
        <f>IFERROR(__xludf.DUMMYFUNCTION("""COMPUTED_VALUE"""),"集英社")</f>
        <v>集英社</v>
      </c>
      <c r="M373" s="12">
        <f>IFERROR(__xludf.DUMMYFUNCTION("""COMPUTED_VALUE"""),45071.0)</f>
        <v>45071</v>
      </c>
      <c r="N373" s="12">
        <f>IFERROR(__xludf.DUMMYFUNCTION("""COMPUTED_VALUE"""),45099.0)</f>
        <v>45099</v>
      </c>
      <c r="O373" s="11"/>
      <c r="P373" s="9" t="str">
        <f>IFERROR(__xludf.DUMMYFUNCTION("""COMPUTED_VALUE"""),"否")</f>
        <v>否</v>
      </c>
      <c r="Q373" s="8" t="str">
        <f>IFERROR(__xludf.DUMMYFUNCTION("""COMPUTED_VALUE"""),"マーガレット")</f>
        <v>マーガレット</v>
      </c>
      <c r="R373" s="9"/>
      <c r="S373" s="8" t="str">
        <f>IFERROR(__xludf.DUMMYFUNCTION("""COMPUTED_VALUE"""),"20230512_集英社_5月新作3作品")</f>
        <v>20230512_集英社_5月新作3作品</v>
      </c>
      <c r="T373" s="9"/>
      <c r="U373" s="9" t="str">
        <f>IFERROR(__xludf.DUMMYFUNCTION("""COMPUTED_VALUE"""),"©佐藤ざくり・吉田夢美／集英社")</f>
        <v>©佐藤ざくり・吉田夢美／集英社</v>
      </c>
      <c r="V373" s="8" t="str">
        <f>IFERROR(__xludf.DUMMYFUNCTION("""COMPUTED_VALUE"""),"どん底の人生を変える運命の出会い…!?　貧乏、親なし、友達なしの小林しんらは、ある日、学校の人気者の雷（らい）から「友達になってよ」と声をかけられる。興味本位で近づこうとする雷に反発するしんらだったけど、どん底の人生から抜け出すため、もっと打算的になろうと雷と協力関係を結ぶことを決めて…!?
")</f>
        <v>どん底の人生を変える運命の出会い…!?　貧乏、親なし、友達なしの小林しんらは、ある日、学校の人気者の雷（らい）から「友達になってよ」と声をかけられる。興味本位で近づこうとする雷に反発するしんらだったけど、どん底の人生から抜け出すため、もっと打算的になろうと雷と協力関係を結ぶことを決めて…!?
</v>
      </c>
      <c r="W373" s="8"/>
      <c r="X373" s="8" t="str">
        <f>IFERROR(__xludf.DUMMYFUNCTION("""COMPUTED_VALUE"""),"有")</f>
        <v>有</v>
      </c>
      <c r="Y373" s="8" t="str">
        <f>IFERROR(__xludf.DUMMYFUNCTION("""COMPUTED_VALUE"""),"P52まで")</f>
        <v>P52まで</v>
      </c>
      <c r="Z373" s="7"/>
      <c r="AA373" s="7"/>
      <c r="AB373" s="7"/>
    </row>
    <row r="374" ht="15.75" customHeight="1">
      <c r="A374" s="8">
        <f>IFERROR(__xludf.DUMMYFUNCTION("""COMPUTED_VALUE"""),1953.0)</f>
        <v>1953</v>
      </c>
      <c r="B374" s="9" t="str">
        <f>IFERROR(__xludf.DUMMYFUNCTION("""COMPUTED_VALUE"""),"確定")</f>
        <v>確定</v>
      </c>
      <c r="C374" s="10">
        <f>IFERROR(__xludf.DUMMYFUNCTION("""COMPUTED_VALUE"""),45061.0)</f>
        <v>45061</v>
      </c>
      <c r="D374" s="10">
        <f>IFERROR(__xludf.DUMMYFUNCTION("""COMPUTED_VALUE"""),45061.0)</f>
        <v>45061</v>
      </c>
      <c r="E374" s="8">
        <f>IFERROR(__xludf.DUMMYFUNCTION("""COMPUTED_VALUE"""),254950.0)</f>
        <v>254950</v>
      </c>
      <c r="F374" s="9" t="str">
        <f>IFERROR(__xludf.DUMMYFUNCTION("""COMPUTED_VALUE"""),"ゼア・ノット・ゼア　やり手オーナーのふしだら猫教育日記(フルカラー)")</f>
        <v>ゼア・ノット・ゼア　やり手オーナーのふしだら猫教育日記(フルカラー)</v>
      </c>
      <c r="G374" s="11" t="str">
        <f>IFERROR(__xludf.DUMMYFUNCTION("""COMPUTED_VALUE"""),"1～2")</f>
        <v>1～2</v>
      </c>
      <c r="H374" s="8" t="str">
        <f>IFERROR(__xludf.DUMMYFUNCTION("""COMPUTED_VALUE"""),"Gang bokchi,JAYJAY")</f>
        <v>Gang bokchi,JAYJAY</v>
      </c>
      <c r="I374" s="8" t="str">
        <f>IFERROR(__xludf.DUMMYFUNCTION("""COMPUTED_VALUE"""),"BL")</f>
        <v>BL</v>
      </c>
      <c r="J374" s="8"/>
      <c r="K374" s="8"/>
      <c r="L374" s="8" t="str">
        <f>IFERROR(__xludf.DUMMYFUNCTION("""COMPUTED_VALUE"""),"ソルマーレ編集部")</f>
        <v>ソルマーレ編集部</v>
      </c>
      <c r="M374" s="12">
        <f>IFERROR(__xludf.DUMMYFUNCTION("""COMPUTED_VALUE"""),45094.0)</f>
        <v>45094</v>
      </c>
      <c r="N374" s="12">
        <f>IFERROR(__xludf.DUMMYFUNCTION("""COMPUTED_VALUE"""),45155.0)</f>
        <v>45155</v>
      </c>
      <c r="O374" s="11"/>
      <c r="P374" s="9" t="str">
        <f>IFERROR(__xludf.DUMMYFUNCTION("""COMPUTED_VALUE"""),"可")</f>
        <v>可</v>
      </c>
      <c r="Q374" s="8" t="str">
        <f>IFERROR(__xludf.DUMMYFUNCTION("""COMPUTED_VALUE"""),"※素材につきまして完成次第随時格納いたします、5/26格納予定です（5/15）&lt;BR&gt;※正式タイトル下記の通りです（5/15）&lt;BR&gt;＝＝＝&lt;BR&gt;ゼア・ノット・ゼア　やり手オーナーのふしだら猫教育日記(フルカラー)&lt;BR&gt;＝＝＝&lt;BR&gt;")</f>
        <v>※素材につきまして完成次第随時格納いたします、5/26格納予定です（5/15）&lt;BR&gt;※正式タイトル下記の通りです（5/15）&lt;BR&gt;＝＝＝&lt;BR&gt;ゼア・ノット・ゼア　やり手オーナーのふしだら猫教育日記(フルカラー)&lt;BR&gt;＝＝＝&lt;BR&gt;</v>
      </c>
      <c r="R374" s="9"/>
      <c r="S374" s="8" t="str">
        <f>IFERROR(__xludf.DUMMYFUNCTION("""COMPUTED_VALUE"""),"20230515_ソルマーレ編集部_ゼア・ノット・ゼア　やり手オーナーのふしだら猫教育日記（フルカラー）")</f>
        <v>20230515_ソルマーレ編集部_ゼア・ノット・ゼア　やり手オーナーのふしだら猫教育日記（フルカラー）</v>
      </c>
      <c r="T374" s="15"/>
      <c r="U374" s="9" t="str">
        <f>IFERROR(__xludf.DUMMYFUNCTION("""COMPUTED_VALUE"""),"Ⓒ Gang bokchi/JAYJAY/シーモアコミックス")</f>
        <v>Ⓒ Gang bokchi/JAYJAY/シーモアコミックス</v>
      </c>
      <c r="V374" s="8" t="str">
        <f>IFERROR(__xludf.DUMMYFUNCTION("""COMPUTED_VALUE"""),"「グランドサウナ」の新しいオーナー・貴一。自信満々でリニューアルオープンを迎えたものの、引き継いだサウナはなんとハッテン場だった!? 来る客といえばゲイばかり、彼らはところ構わず淫らな行為を繰り広げ、オーナーである自分にも色仕掛けしてくる！ 困り果てていたある日、貴一は突然現れた訳アリ常連客・理玖と一夜を過ごすことになるが――。【フィカス】
")</f>
        <v>「グランドサウナ」の新しいオーナー・貴一。自信満々でリニューアルオープンを迎えたものの、引き継いだサウナはなんとハッテン場だった!? 来る客といえばゲイばかり、彼らはところ構わず淫らな行為を繰り広げ、オーナーである自分にも色仕掛けしてくる！ 困り果てていたある日、貴一は突然現れた訳アリ常連客・理玖と一夜を過ごすことになるが――。【フィカス】
</v>
      </c>
      <c r="W374" s="8"/>
      <c r="X374" s="8" t="str">
        <f>IFERROR(__xludf.DUMMYFUNCTION("""COMPUTED_VALUE"""),"有")</f>
        <v>有</v>
      </c>
      <c r="Y374" s="8" t="str">
        <f>IFERROR(__xludf.DUMMYFUNCTION("""COMPUTED_VALUE"""),"P13まで")</f>
        <v>P13まで</v>
      </c>
      <c r="Z374" s="7"/>
      <c r="AA374" s="7"/>
      <c r="AB374" s="7"/>
    </row>
    <row r="375" ht="15.75" customHeight="1">
      <c r="A375" s="8">
        <f>IFERROR(__xludf.DUMMYFUNCTION("""COMPUTED_VALUE"""),1954.0)</f>
        <v>1954</v>
      </c>
      <c r="B375" s="9" t="str">
        <f>IFERROR(__xludf.DUMMYFUNCTION("""COMPUTED_VALUE"""),"確定")</f>
        <v>確定</v>
      </c>
      <c r="C375" s="10">
        <f>IFERROR(__xludf.DUMMYFUNCTION("""COMPUTED_VALUE"""),45061.0)</f>
        <v>45061</v>
      </c>
      <c r="D375" s="10">
        <f>IFERROR(__xludf.DUMMYFUNCTION("""COMPUTED_VALUE"""),45061.0)</f>
        <v>45061</v>
      </c>
      <c r="E375" s="8">
        <f>IFERROR(__xludf.DUMMYFUNCTION("""COMPUTED_VALUE"""),254951.0)</f>
        <v>254951</v>
      </c>
      <c r="F375" s="9" t="str">
        <f>IFERROR(__xludf.DUMMYFUNCTION("""COMPUTED_VALUE"""),"ゼア・ノット・ゼア　やり手オーナーのふしだら猫教育日記【タテヨミ】")</f>
        <v>ゼア・ノット・ゼア　やり手オーナーのふしだら猫教育日記【タテヨミ】</v>
      </c>
      <c r="G375" s="11" t="str">
        <f>IFERROR(__xludf.DUMMYFUNCTION("""COMPUTED_VALUE"""),"1～8")</f>
        <v>1～8</v>
      </c>
      <c r="H375" s="8" t="str">
        <f>IFERROR(__xludf.DUMMYFUNCTION("""COMPUTED_VALUE"""),"Gang bokchi,JAYJAY")</f>
        <v>Gang bokchi,JAYJAY</v>
      </c>
      <c r="I375" s="8" t="str">
        <f>IFERROR(__xludf.DUMMYFUNCTION("""COMPUTED_VALUE"""),"BL")</f>
        <v>BL</v>
      </c>
      <c r="J375" s="8"/>
      <c r="K375" s="8"/>
      <c r="L375" s="8" t="str">
        <f>IFERROR(__xludf.DUMMYFUNCTION("""COMPUTED_VALUE"""),"ソルマーレ編集部")</f>
        <v>ソルマーレ編集部</v>
      </c>
      <c r="M375" s="12">
        <f>IFERROR(__xludf.DUMMYFUNCTION("""COMPUTED_VALUE"""),45094.0)</f>
        <v>45094</v>
      </c>
      <c r="N375" s="12">
        <f>IFERROR(__xludf.DUMMYFUNCTION("""COMPUTED_VALUE"""),45155.0)</f>
        <v>45155</v>
      </c>
      <c r="O375" s="11"/>
      <c r="P375" s="9" t="str">
        <f>IFERROR(__xludf.DUMMYFUNCTION("""COMPUTED_VALUE"""),"可")</f>
        <v>可</v>
      </c>
      <c r="Q375" s="8" t="str">
        <f>IFERROR(__xludf.DUMMYFUNCTION("""COMPUTED_VALUE"""),"※素材につきまして完成次第随時格納いたします、5/26格納予定です（5/15）&lt;BR&gt;※正式タイトル下記の通りです（5/15）&lt;BR&gt;＝＝＝&lt;BR&gt;ゼア・ノット・ゼア　やり手オーナーのふしだら猫教育日記【タテヨミ】&lt;BR&gt;＝＝＝&lt;BR&gt;※コマサム等素材は「（254950）　ゼア・ノット・ゼア　やり手オーナーのふしだら猫教育日記（フルカラー）」のほうをお使いください。&lt;BR&gt;バナー制作はフルカラー版の素材を利用して問題ございません。&lt;BR&gt;")</f>
        <v>※素材につきまして完成次第随時格納いたします、5/26格納予定です（5/15）&lt;BR&gt;※正式タイトル下記の通りです（5/15）&lt;BR&gt;＝＝＝&lt;BR&gt;ゼア・ノット・ゼア　やり手オーナーのふしだら猫教育日記【タテヨミ】&lt;BR&gt;＝＝＝&lt;BR&gt;※コマサム等素材は「（254950）　ゼア・ノット・ゼア　やり手オーナーのふしだら猫教育日記（フルカラー）」のほうをお使いください。&lt;BR&gt;バナー制作はフルカラー版の素材を利用して問題ございません。&lt;BR&gt;</v>
      </c>
      <c r="R375" s="9"/>
      <c r="S375" s="8" t="str">
        <f>IFERROR(__xludf.DUMMYFUNCTION("""COMPUTED_VALUE"""),"20230515_ソルマーレ編集部_ゼア・ノット・ゼア　やり手オーナーのふしだら猫教育日記【タテヨミ】")</f>
        <v>20230515_ソルマーレ編集部_ゼア・ノット・ゼア　やり手オーナーのふしだら猫教育日記【タテヨミ】</v>
      </c>
      <c r="T375" s="15"/>
      <c r="U375" s="9" t="str">
        <f>IFERROR(__xludf.DUMMYFUNCTION("""COMPUTED_VALUE"""),"Ⓒ Gang bokchi/JAYJAY/シーモアコミックス")</f>
        <v>Ⓒ Gang bokchi/JAYJAY/シーモアコミックス</v>
      </c>
      <c r="V375" s="8" t="str">
        <f>IFERROR(__xludf.DUMMYFUNCTION("""COMPUTED_VALUE"""),"「グランドサウナ」の新しいオーナー・貴一。自信満々でリニューアルオープンを迎えたものの、引き継いだサウナはなんとハッテン場だった!? 来る客といえばゲイばかり、彼らはところ構わず淫らな行為を繰り広げ、オーナーである自分にも色仕掛けしてくる！ 困り果てていたある日、貴一は突然現れた訳アリ常連客・理玖と一夜を過ごすことになるが――。【フィカス】")</f>
        <v>「グランドサウナ」の新しいオーナー・貴一。自信満々でリニューアルオープンを迎えたものの、引き継いだサウナはなんとハッテン場だった!? 来る客といえばゲイばかり、彼らはところ構わず淫らな行為を繰り広げ、オーナーである自分にも色仕掛けしてくる！ 困り果てていたある日、貴一は突然現れた訳アリ常連客・理玖と一夜を過ごすことになるが――。【フィカス】</v>
      </c>
      <c r="W375" s="8"/>
      <c r="X375" s="8" t="str">
        <f>IFERROR(__xludf.DUMMYFUNCTION("""COMPUTED_VALUE"""),"有")</f>
        <v>有</v>
      </c>
      <c r="Y375" s="8" t="str">
        <f>IFERROR(__xludf.DUMMYFUNCTION("""COMPUTED_VALUE"""),"P14まで")</f>
        <v>P14まで</v>
      </c>
      <c r="Z375" s="7"/>
      <c r="AA375" s="7"/>
      <c r="AB375" s="7"/>
    </row>
    <row r="376" ht="15.75" customHeight="1">
      <c r="A376" s="8">
        <f>IFERROR(__xludf.DUMMYFUNCTION("""COMPUTED_VALUE"""),1874.0)</f>
        <v>1874</v>
      </c>
      <c r="B376" s="9" t="str">
        <f>IFERROR(__xludf.DUMMYFUNCTION("""COMPUTED_VALUE"""),"確定")</f>
        <v>確定</v>
      </c>
      <c r="C376" s="10">
        <f>IFERROR(__xludf.DUMMYFUNCTION("""COMPUTED_VALUE"""),45026.0)</f>
        <v>45026</v>
      </c>
      <c r="D376" s="10">
        <f>IFERROR(__xludf.DUMMYFUNCTION("""COMPUTED_VALUE"""),45069.0)</f>
        <v>45069</v>
      </c>
      <c r="E376" s="8">
        <f>IFERROR(__xludf.DUMMYFUNCTION("""COMPUTED_VALUE"""),269251.0)</f>
        <v>269251</v>
      </c>
      <c r="F376" s="9" t="str">
        <f>IFERROR(__xludf.DUMMYFUNCTION("""COMPUTED_VALUE"""),"「赤毛の役立たず」とクビになった魔力なしの魔女ですが、「薬草の知識がハンパない！」と王立研究所に即採用されました。[ばら売り]")</f>
        <v>「赤毛の役立たず」とクビになった魔力なしの魔女ですが、「薬草の知識がハンパない！」と王立研究所に即採用されました。[ばら売り]</v>
      </c>
      <c r="G376" s="11" t="str">
        <f>IFERROR(__xludf.DUMMYFUNCTION("""COMPUTED_VALUE"""),"1～4")</f>
        <v>1～4</v>
      </c>
      <c r="H376" s="8" t="str">
        <f>IFERROR(__xludf.DUMMYFUNCTION("""COMPUTED_VALUE"""),"漫画・天宮こなつ／原作・糸加")</f>
        <v>漫画・天宮こなつ／原作・糸加</v>
      </c>
      <c r="I376" s="14" t="str">
        <f>IFERROR(__xludf.DUMMYFUNCTION("""COMPUTED_VALUE"""),"女性")</f>
        <v>女性</v>
      </c>
      <c r="J376" s="8"/>
      <c r="K376" s="8"/>
      <c r="L376" s="8" t="str">
        <f>IFERROR(__xludf.DUMMYFUNCTION("""COMPUTED_VALUE"""),"白泉社")</f>
        <v>白泉社</v>
      </c>
      <c r="M376" s="12">
        <f>IFERROR(__xludf.DUMMYFUNCTION("""COMPUTED_VALUE"""),45087.0)</f>
        <v>45087</v>
      </c>
      <c r="N376" s="12">
        <f>IFERROR(__xludf.DUMMYFUNCTION("""COMPUTED_VALUE"""),45239.70833333333)</f>
        <v>45239.70833</v>
      </c>
      <c r="O376" s="11"/>
      <c r="P376" s="9" t="str">
        <f>IFERROR(__xludf.DUMMYFUNCTION("""COMPUTED_VALUE"""),"否")</f>
        <v>否</v>
      </c>
      <c r="Q376" s="8" t="str">
        <f>IFERROR(__xludf.DUMMYFUNCTION("""COMPUTED_VALUE"""),"河上さんコミット済み。")</f>
        <v>河上さんコミット済み。</v>
      </c>
      <c r="R376" s="9"/>
      <c r="S376" s="8" t="str">
        <f>IFERROR(__xludf.DUMMYFUNCTION("""COMPUTED_VALUE"""),"20230523_白泉社_赤毛の役立たず")</f>
        <v>20230523_白泉社_赤毛の役立たず</v>
      </c>
      <c r="T376" s="9"/>
      <c r="U376" s="9" t="str">
        <f>IFERROR(__xludf.DUMMYFUNCTION("""COMPUTED_VALUE""")," (C)天宮こなつ・糸加／白泉社")</f>
        <v> (C)天宮こなつ・糸加／白泉社</v>
      </c>
      <c r="V376" s="8" t="str">
        <f>IFERROR(__xludf.DUMMYFUNCTION("""COMPUTED_VALUE"""),"【第1話】「ルジェナ・レジェク。今日でお前はクビだ！」「みんな気を遣ってたんですよ。魔力がない魔女なのに、調剤まで下手くそなんて」薬草工房長の代替わりにより、仕事と住む場所を突然失ったルジェナ。しかし、偶然知り合った貴族のエーリクは前のめりに提案する。「ルジェナ、君の薬草の知識、すごいよ！私の作った王立研究所で働いてくれないか？」それまで自分の知識を褒められたことなどないルジェナは、信じられない思いでそれを承諾する。しかし、エーリクの提案はそれだけではなくて――!?　魔力のない魔女を、（少々変わり者の）貴"&amp;"族が溺愛する身分差ラブストーリー！")</f>
        <v>【第1話】「ルジェナ・レジェク。今日でお前はクビだ！」「みんな気を遣ってたんですよ。魔力がない魔女なのに、調剤まで下手くそなんて」薬草工房長の代替わりにより、仕事と住む場所を突然失ったルジェナ。しかし、偶然知り合った貴族のエーリクは前のめりに提案する。「ルジェナ、君の薬草の知識、すごいよ！私の作った王立研究所で働いてくれないか？」それまで自分の知識を褒められたことなどないルジェナは、信じられない思いでそれを承諾する。しかし、エーリクの提案はそれだけではなくて――!?　魔力のない魔女を、（少々変わり者の）貴族が溺愛する身分差ラブストーリー！</v>
      </c>
      <c r="W376" s="8"/>
      <c r="X376" s="8" t="str">
        <f>IFERROR(__xludf.DUMMYFUNCTION("""COMPUTED_VALUE"""),"有")</f>
        <v>有</v>
      </c>
      <c r="Y376" s="8" t="str">
        <f>IFERROR(__xludf.DUMMYFUNCTION("""COMPUTED_VALUE"""),"6/23まで1巻無料")</f>
        <v>6/23まで1巻無料</v>
      </c>
      <c r="Z376" s="7"/>
      <c r="AA376" s="7"/>
      <c r="AB376" s="7"/>
    </row>
    <row r="377" ht="15.75" customHeight="1">
      <c r="A377" s="8">
        <f>IFERROR(__xludf.DUMMYFUNCTION("""COMPUTED_VALUE"""),1899.0)</f>
        <v>1899</v>
      </c>
      <c r="B377" s="9" t="str">
        <f>IFERROR(__xludf.DUMMYFUNCTION("""COMPUTED_VALUE"""),"確定")</f>
        <v>確定</v>
      </c>
      <c r="C377" s="10">
        <f>IFERROR(__xludf.DUMMYFUNCTION("""COMPUTED_VALUE"""),45034.0)</f>
        <v>45034</v>
      </c>
      <c r="D377" s="10">
        <f>IFERROR(__xludf.DUMMYFUNCTION("""COMPUTED_VALUE"""),45064.0)</f>
        <v>45064</v>
      </c>
      <c r="E377" s="8">
        <f>IFERROR(__xludf.DUMMYFUNCTION("""COMPUTED_VALUE"""),268420.0)</f>
        <v>268420</v>
      </c>
      <c r="F377" s="9" t="str">
        <f>IFERROR(__xludf.DUMMYFUNCTION("""COMPUTED_VALUE"""),"ラブポーション～即効性につき発情注意！")</f>
        <v>ラブポーション～即効性につき発情注意！</v>
      </c>
      <c r="G377" s="11" t="str">
        <f>IFERROR(__xludf.DUMMYFUNCTION("""COMPUTED_VALUE"""),"1～3")</f>
        <v>1～3</v>
      </c>
      <c r="H377" s="8" t="str">
        <f>IFERROR(__xludf.DUMMYFUNCTION("""COMPUTED_VALUE"""),"白石ガッタ")</f>
        <v>白石ガッタ</v>
      </c>
      <c r="I377" s="8" t="str">
        <f>IFERROR(__xludf.DUMMYFUNCTION("""COMPUTED_VALUE"""),"青年")</f>
        <v>青年</v>
      </c>
      <c r="J377" s="8"/>
      <c r="K377" s="8"/>
      <c r="L377" s="8" t="str">
        <f>IFERROR(__xludf.DUMMYFUNCTION("""COMPUTED_VALUE"""),"ファンギルド")</f>
        <v>ファンギルド</v>
      </c>
      <c r="M377" s="12">
        <f>IFERROR(__xludf.DUMMYFUNCTION("""COMPUTED_VALUE"""),45106.0)</f>
        <v>45106</v>
      </c>
      <c r="N377" s="12">
        <f>IFERROR(__xludf.DUMMYFUNCTION("""COMPUTED_VALUE"""),45196.0)</f>
        <v>45196</v>
      </c>
      <c r="O377" s="11"/>
      <c r="P377" s="9" t="str">
        <f>IFERROR(__xludf.DUMMYFUNCTION("""COMPUTED_VALUE"""),"可")</f>
        <v>可</v>
      </c>
      <c r="Q377" s="8" t="str">
        <f>IFERROR(__xludf.DUMMYFUNCTION("""COMPUTED_VALUE"""),"協業レーベル『シーモア×RushZ』作品です。&lt;BR&gt;完パケ素材更新しました（5/18）")</f>
        <v>協業レーベル『シーモア×RushZ』作品です。&lt;BR&gt;完パケ素材更新しました（5/18）</v>
      </c>
      <c r="R377" s="9"/>
      <c r="S377" s="8" t="str">
        <f>IFERROR(__xludf.DUMMYFUNCTION("""COMPUTED_VALUE"""),"20230518_ファンギルド_ラブポーション")</f>
        <v>20230518_ファンギルド_ラブポーション</v>
      </c>
      <c r="T377" s="9"/>
      <c r="U377" s="9" t="str">
        <f>IFERROR(__xludf.DUMMYFUNCTION("""COMPUTED_VALUE"""),"©Gatta Shiroishi")</f>
        <v>©Gatta Shiroishi</v>
      </c>
      <c r="V377" s="8" t="str">
        <f>IFERROR(__xludf.DUMMYFUNCTION("""COMPUTED_VALUE"""),"この物語は、負け組人生の男に訪れた…人生逆転劇！？――金ナシ・彼女ナシ・運ナシの負け組フリーター・未来（みらい）は、ある日ネットサーフィン中に「飲ませればどんな子も落とせる」といういかにも怪しい媚薬の広告を見つける。馬鹿らしいと思っていたが…なぜか翌日、その媚薬が未来宛てに届いてしまう。しかも、同居している憧れの義姉・ひとみがその媚薬を栄養ドリンクだと思い飲んでしまいーー！ひとみと未来、二人きりの家の中。媚薬を飲んだひとみは呼吸が荒くなり、顔が火照りだす。「ねぇ未来くん…気持ちいいことしよ…？」もしかして"&amp;"、この媚薬本物…！？")</f>
        <v>この物語は、負け組人生の男に訪れた…人生逆転劇！？――金ナシ・彼女ナシ・運ナシの負け組フリーター・未来（みらい）は、ある日ネットサーフィン中に「飲ませればどんな子も落とせる」といういかにも怪しい媚薬の広告を見つける。馬鹿らしいと思っていたが…なぜか翌日、その媚薬が未来宛てに届いてしまう。しかも、同居している憧れの義姉・ひとみがその媚薬を栄養ドリンクだと思い飲んでしまいーー！ひとみと未来、二人きりの家の中。媚薬を飲んだひとみは呼吸が荒くなり、顔が火照りだす。「ねぇ未来くん…気持ちいいことしよ…？」もしかして、この媚薬本物…！？</v>
      </c>
      <c r="W377" s="8"/>
      <c r="X377" s="8" t="str">
        <f>IFERROR(__xludf.DUMMYFUNCTION("""COMPUTED_VALUE"""),"有")</f>
        <v>有</v>
      </c>
      <c r="Y377" s="8" t="str">
        <f>IFERROR(__xludf.DUMMYFUNCTION("""COMPUTED_VALUE"""),"7/17まで1巻無料")</f>
        <v>7/17まで1巻無料</v>
      </c>
      <c r="Z377" s="7"/>
      <c r="AA377" s="7"/>
      <c r="AB377" s="7"/>
    </row>
    <row r="378" ht="15.75" customHeight="1">
      <c r="A378" s="8">
        <f>IFERROR(__xludf.DUMMYFUNCTION("""COMPUTED_VALUE"""),1916.0)</f>
        <v>1916</v>
      </c>
      <c r="B378" s="9" t="str">
        <f>IFERROR(__xludf.DUMMYFUNCTION("""COMPUTED_VALUE"""),"確定")</f>
        <v>確定</v>
      </c>
      <c r="C378" s="10">
        <f>IFERROR(__xludf.DUMMYFUNCTION("""COMPUTED_VALUE"""),45043.0)</f>
        <v>45043</v>
      </c>
      <c r="D378" s="10">
        <f>IFERROR(__xludf.DUMMYFUNCTION("""COMPUTED_VALUE"""),45068.0)</f>
        <v>45068</v>
      </c>
      <c r="E378" s="8">
        <f>IFERROR(__xludf.DUMMYFUNCTION("""COMPUTED_VALUE"""),271021.0)</f>
        <v>271021</v>
      </c>
      <c r="F378" s="9" t="str">
        <f>IFERROR(__xludf.DUMMYFUNCTION("""COMPUTED_VALUE"""),"カラミざかり if Boys Love ～ヤリチン野球部の友達にハメられた俺～")</f>
        <v>カラミざかり if Boys Love ～ヤリチン野球部の友達にハメられた俺～</v>
      </c>
      <c r="G378" s="11" t="str">
        <f>IFERROR(__xludf.DUMMYFUNCTION("""COMPUTED_VALUE"""),"1～2")</f>
        <v>1～2</v>
      </c>
      <c r="H378" s="8" t="str">
        <f>IFERROR(__xludf.DUMMYFUNCTION("""COMPUTED_VALUE"""),"ヨイコノtt/桂あいり/ズップス")</f>
        <v>ヨイコノtt/桂あいり/ズップス</v>
      </c>
      <c r="I378" s="8" t="str">
        <f>IFERROR(__xludf.DUMMYFUNCTION("""COMPUTED_VALUE"""),"BL")</f>
        <v>BL</v>
      </c>
      <c r="J378" s="8"/>
      <c r="K378" s="8"/>
      <c r="L378" s="8" t="str">
        <f>IFERROR(__xludf.DUMMYFUNCTION("""COMPUTED_VALUE"""),"シガリロ")</f>
        <v>シガリロ</v>
      </c>
      <c r="M378" s="12">
        <f>IFERROR(__xludf.DUMMYFUNCTION("""COMPUTED_VALUE"""),45112.0)</f>
        <v>45112</v>
      </c>
      <c r="N378" s="12">
        <f>IFERROR(__xludf.DUMMYFUNCTION("""COMPUTED_VALUE"""),45153.66666666667)</f>
        <v>45153.66667</v>
      </c>
      <c r="O378" s="11"/>
      <c r="P378" s="9" t="str">
        <f>IFERROR(__xludf.DUMMYFUNCTION("""COMPUTED_VALUE"""),"可")</f>
        <v>可</v>
      </c>
      <c r="Q378" s="8" t="str">
        <f>IFERROR(__xludf.DUMMYFUNCTION("""COMPUTED_VALUE"""),"広告コミットOK（4/28）&lt;BR&gt;完成原稿を格納しました（5/22）&lt;BR&gt;こちら局部が白消し加工されていないデータとなりまして、&lt;BR&gt;ご入用の際は白消し処理のうえ、ご使用いただければ幸いです。&lt;BR&gt;&lt;BR&gt;※シガリロは通常事前可否無ですが今作のみ事前可否有※")</f>
        <v>広告コミットOK（4/28）&lt;BR&gt;完成原稿を格納しました（5/22）&lt;BR&gt;こちら局部が白消し加工されていないデータとなりまして、&lt;BR&gt;ご入用の際は白消し処理のうえ、ご使用いただければ幸いです。&lt;BR&gt;&lt;BR&gt;※シガリロは通常事前可否無ですが今作のみ事前可否有※</v>
      </c>
      <c r="R378" s="9"/>
      <c r="S378" s="8" t="str">
        <f>IFERROR(__xludf.DUMMYFUNCTION("""COMPUTED_VALUE"""),"20230522_BookLive_カラミざかりifBoysLove～ヤリチン野球部の友達にハメられた俺～")</f>
        <v>20230522_BookLive_カラミざかりifBoysLove～ヤリチン野球部の友達にハメられた俺～</v>
      </c>
      <c r="T378" s="9"/>
      <c r="U378" s="9" t="str">
        <f>IFERROR(__xludf.DUMMYFUNCTION("""COMPUTED_VALUE"""),"Ⓒシガリロ")</f>
        <v>Ⓒシガリロ</v>
      </c>
      <c r="V378" s="8" t="str">
        <f>IFERROR(__xludf.DUMMYFUNCTION("""COMPUTED_VALUE"""),"【累計450万DL突破の大人気NTR成人向け漫画『カラミざかり』が、衝撃のBL漫画リメイク！！】密かに恋心を寄せていたクラスメイトの女子・飯田を、目の前で親友の貴史に“ネトラレ”てしまった高成。ほろ苦い思い出を引きずったまま、貴史と友達付き合いを続けていた高成だったが、ある日、勉強を教えてほしいと頼んできた貴史と部屋でふたりきりに。そこで貴史が口にしたのは、衝撃の提案だった――「なぁア○ルセックスやってみねえ？」好きな子の処女を奪った絶倫ち○ぽに、今度は俺がハメ倒される！？名作青春NTR漫画『カラミざかり"&amp;"』の新世界へようこそ！《性に興味津々なヤリチン坊主×好きな子をネトラレたDK》※２巻にはヨイコノtt先生、桂あいり先生による描き下ろしイラスト入りあとがきも収録！")</f>
        <v>【累計450万DL突破の大人気NTR成人向け漫画『カラミざかり』が、衝撃のBL漫画リメイク！！】密かに恋心を寄せていたクラスメイトの女子・飯田を、目の前で親友の貴史に“ネトラレ”てしまった高成。ほろ苦い思い出を引きずったまま、貴史と友達付き合いを続けていた高成だったが、ある日、勉強を教えてほしいと頼んできた貴史と部屋でふたりきりに。そこで貴史が口にしたのは、衝撃の提案だった――「なぁア○ルセックスやってみねえ？」好きな子の処女を奪った絶倫ち○ぽに、今度は俺がハメ倒される！？名作青春NTR漫画『カラミざかり』の新世界へようこそ！《性に興味津々なヤリチン坊主×好きな子をネトラレたDK》※２巻にはヨイコノtt先生、桂あいり先生による描き下ろしイラスト入りあとがきも収録！</v>
      </c>
      <c r="W378" s="8"/>
      <c r="X378" s="8" t="str">
        <f>IFERROR(__xludf.DUMMYFUNCTION("""COMPUTED_VALUE"""),"有")</f>
        <v>有</v>
      </c>
      <c r="Y378" s="8" t="str">
        <f>IFERROR(__xludf.DUMMYFUNCTION("""COMPUTED_VALUE"""),"8/1まで立ち読み増量P16まで")</f>
        <v>8/1まで立ち読み増量P16まで</v>
      </c>
      <c r="Z378" s="7"/>
      <c r="AA378" s="7"/>
      <c r="AB378" s="7"/>
    </row>
    <row r="379" ht="15.75" customHeight="1">
      <c r="A379" s="8">
        <f>IFERROR(__xludf.DUMMYFUNCTION("""COMPUTED_VALUE"""),1944.0)</f>
        <v>1944</v>
      </c>
      <c r="B379" s="9" t="str">
        <f>IFERROR(__xludf.DUMMYFUNCTION("""COMPUTED_VALUE"""),"確定")</f>
        <v>確定</v>
      </c>
      <c r="C379" s="10">
        <f>IFERROR(__xludf.DUMMYFUNCTION("""COMPUTED_VALUE"""),45057.0)</f>
        <v>45057</v>
      </c>
      <c r="D379" s="10">
        <f>IFERROR(__xludf.DUMMYFUNCTION("""COMPUTED_VALUE"""),45069.0)</f>
        <v>45069</v>
      </c>
      <c r="E379" s="8">
        <f>IFERROR(__xludf.DUMMYFUNCTION("""COMPUTED_VALUE"""),271110.0)</f>
        <v>271110</v>
      </c>
      <c r="F379" s="9" t="str">
        <f>IFERROR(__xludf.DUMMYFUNCTION("""COMPUTED_VALUE"""),"私の彼氏は、かわいいけど世界でいちばんかっこいい【マイクロ】")</f>
        <v>私の彼氏は、かわいいけど世界でいちばんかっこいい【マイクロ】</v>
      </c>
      <c r="G379" s="11" t="str">
        <f>IFERROR(__xludf.DUMMYFUNCTION("""COMPUTED_VALUE"""),"1～4")</f>
        <v>1～4</v>
      </c>
      <c r="H379" s="8" t="str">
        <f>IFERROR(__xludf.DUMMYFUNCTION("""COMPUTED_VALUE"""),"ナオダツボコ")</f>
        <v>ナオダツボコ</v>
      </c>
      <c r="I379" s="8" t="str">
        <f>IFERROR(__xludf.DUMMYFUNCTION("""COMPUTED_VALUE"""),"少女")</f>
        <v>少女</v>
      </c>
      <c r="J379" s="8"/>
      <c r="K379" s="8"/>
      <c r="L379" s="8" t="str">
        <f>IFERROR(__xludf.DUMMYFUNCTION("""COMPUTED_VALUE"""),"小学館")</f>
        <v>小学館</v>
      </c>
      <c r="M379" s="12">
        <f>IFERROR(__xludf.DUMMYFUNCTION("""COMPUTED_VALUE"""),45112.0)</f>
        <v>45112</v>
      </c>
      <c r="N379" s="12">
        <f>IFERROR(__xludf.DUMMYFUNCTION("""COMPUTED_VALUE"""),45173.0)</f>
        <v>45173</v>
      </c>
      <c r="O379" s="11"/>
      <c r="P379" s="9" t="str">
        <f>IFERROR(__xludf.DUMMYFUNCTION("""COMPUTED_VALUE"""),"否")</f>
        <v>否</v>
      </c>
      <c r="Q379" s="8" t="str">
        <f>IFERROR(__xludf.DUMMYFUNCTION("""COMPUTED_VALUE"""),"広告コミットOK(5/17)&lt;BR&gt;0523：タイトル名を微修正しました（、の追加）&lt;BR&gt;0518：巻数、先行配信開始日、先行配信終了日を更新（1-3→1-4に話数増加したため配信日が後ろにずれました）&lt;BR&gt;")</f>
        <v>広告コミットOK(5/17)&lt;BR&gt;0523：タイトル名を微修正しました（、の追加）&lt;BR&gt;0518：巻数、先行配信開始日、先行配信終了日を更新（1-3→1-4に話数増加したため配信日が後ろにずれました）&lt;BR&gt;</v>
      </c>
      <c r="R379" s="9"/>
      <c r="S379" s="8" t="str">
        <f>IFERROR(__xludf.DUMMYFUNCTION("""COMPUTED_VALUE"""),"20230523_小学館_私の彼氏は、かわいいけど世界でいちばんかっこいい【マイクロ】")</f>
        <v>20230523_小学館_私の彼氏は、かわいいけど世界でいちばんかっこいい【マイクロ】</v>
      </c>
      <c r="T379" s="9" t="str">
        <f>IFERROR(__xludf.DUMMYFUNCTION("""COMPUTED_VALUE"""),"4巻目扉絵に完結とありますが、5巻目も連載は続くそうです")</f>
        <v>4巻目扉絵に完結とありますが、5巻目も連載は続くそうです</v>
      </c>
      <c r="U379" s="9" t="str">
        <f>IFERROR(__xludf.DUMMYFUNCTION("""COMPUTED_VALUE"""),"(C)ナオダツボコ / 小学館")</f>
        <v>(C)ナオダツボコ / 小学館</v>
      </c>
      <c r="V379" s="8" t="str">
        <f>IFERROR(__xludf.DUMMYFUNCTION("""COMPUTED_VALUE"""),"1ページごとにきゅんが大暴走！　いまいちばん「推せる」カップル爆誕です☆　大峰あこ、16歳。人よりちょっぴり背が高い女子高生。田舎の高校に転校してきた初日、運命の人に出会う。それは人よりちょっぴり小さい佐藤くん。佐藤くんはまっすぐで、かっこよくて、あっという間に恋におちるあこだけど・・・。
")</f>
        <v>1ページごとにきゅんが大暴走！　いまいちばん「推せる」カップル爆誕です☆　大峰あこ、16歳。人よりちょっぴり背が高い女子高生。田舎の高校に転校してきた初日、運命の人に出会う。それは人よりちょっぴり小さい佐藤くん。佐藤くんはまっすぐで、かっこよくて、あっという間に恋におちるあこだけど・・・。
</v>
      </c>
      <c r="W379" s="8"/>
      <c r="X379" s="8" t="str">
        <f>IFERROR(__xludf.DUMMYFUNCTION("""COMPUTED_VALUE"""),"有")</f>
        <v>有</v>
      </c>
      <c r="Y379" s="8" t="str">
        <f>IFERROR(__xludf.DUMMYFUNCTION("""COMPUTED_VALUE"""),"7/18まで1巻無料")</f>
        <v>7/18まで1巻無料</v>
      </c>
      <c r="Z379" s="7"/>
      <c r="AA379" s="7"/>
      <c r="AB379" s="7"/>
    </row>
    <row r="380" ht="15.75" customHeight="1">
      <c r="A380" s="8">
        <f>IFERROR(__xludf.DUMMYFUNCTION("""COMPUTED_VALUE"""),1946.0)</f>
        <v>1946</v>
      </c>
      <c r="B380" s="9" t="str">
        <f>IFERROR(__xludf.DUMMYFUNCTION("""COMPUTED_VALUE"""),"確定")</f>
        <v>確定</v>
      </c>
      <c r="C380" s="10">
        <f>IFERROR(__xludf.DUMMYFUNCTION("""COMPUTED_VALUE"""),45058.0)</f>
        <v>45058</v>
      </c>
      <c r="D380" s="10">
        <f>IFERROR(__xludf.DUMMYFUNCTION("""COMPUTED_VALUE"""),45064.0)</f>
        <v>45064</v>
      </c>
      <c r="E380" s="8">
        <f>IFERROR(__xludf.DUMMYFUNCTION("""COMPUTED_VALUE"""),269632.0)</f>
        <v>269632</v>
      </c>
      <c r="F380" s="9" t="str">
        <f>IFERROR(__xludf.DUMMYFUNCTION("""COMPUTED_VALUE"""),"征服王の略奪花嫁～溺愛は蜜夜に濡れる～")</f>
        <v>征服王の略奪花嫁～溺愛は蜜夜に濡れる～</v>
      </c>
      <c r="G380" s="11">
        <f>IFERROR(__xludf.DUMMYFUNCTION("""COMPUTED_VALUE"""),1.0)</f>
        <v>1</v>
      </c>
      <c r="H380" s="8" t="str">
        <f>IFERROR(__xludf.DUMMYFUNCTION("""COMPUTED_VALUE"""),"悠木りおん・すずね凜")</f>
        <v>悠木りおん・すずね凜</v>
      </c>
      <c r="I380" s="8" t="str">
        <f>IFERROR(__xludf.DUMMYFUNCTION("""COMPUTED_VALUE"""),"TL")</f>
        <v>TL</v>
      </c>
      <c r="J380" s="8"/>
      <c r="K380" s="8"/>
      <c r="L380" s="8" t="str">
        <f>IFERROR(__xludf.DUMMYFUNCTION("""COMPUTED_VALUE"""),"乙女ドルチェ・コミックス")</f>
        <v>乙女ドルチェ・コミックス</v>
      </c>
      <c r="M380" s="12">
        <f>IFERROR(__xludf.DUMMYFUNCTION("""COMPUTED_VALUE"""),45092.0)</f>
        <v>45092</v>
      </c>
      <c r="N380" s="12">
        <f>IFERROR(__xludf.DUMMYFUNCTION("""COMPUTED_VALUE"""),45124.0)</f>
        <v>45124</v>
      </c>
      <c r="O380" s="11"/>
      <c r="P380" s="9" t="str">
        <f>IFERROR(__xludf.DUMMYFUNCTION("""COMPUTED_VALUE"""),"可")</f>
        <v>可</v>
      </c>
      <c r="Q380" s="8" t="str">
        <f>IFERROR(__xludf.DUMMYFUNCTION("""COMPUTED_VALUE"""),"素材格納（5/18）&lt;BR&gt;5/22までにCMS確定で広告コミットOK(5/17)")</f>
        <v>素材格納（5/18）&lt;BR&gt;5/22までにCMS確定で広告コミットOK(5/17)</v>
      </c>
      <c r="R380" s="9" t="str">
        <f>IFERROR(__xludf.DUMMYFUNCTION("""COMPUTED_VALUE"""),"格納済（5/18）")</f>
        <v>格納済（5/18）</v>
      </c>
      <c r="S380" s="8" t="str">
        <f>IFERROR(__xludf.DUMMYFUNCTION("""COMPUTED_VALUE"""),"20230518_乙女ドルチェ_征服王の略奪花嫁")</f>
        <v>20230518_乙女ドルチェ_征服王の略奪花嫁</v>
      </c>
      <c r="T380" s="9" t="str">
        <f>IFERROR(__xludf.DUMMYFUNCTION("""COMPUTED_VALUE"""),"校了済素材")</f>
        <v>校了済素材</v>
      </c>
      <c r="U380" s="9" t="str">
        <f>IFERROR(__xludf.DUMMYFUNCTION("""COMPUTED_VALUE"""),"（C)悠木りおん・すずね凜／ハーパーコリンズ・ジャパン")</f>
        <v>（C)悠木りおん・すずね凜／ハーパーコリンズ・ジャパン</v>
      </c>
      <c r="V380" s="8" t="str">
        <f>IFERROR(__xludf.DUMMYFUNCTION("""COMPUTED_VALUE"""),"何をして欲しい？
ちゃんとおねだりするんだ
「怖がるな。ただおまえだけが欲しい」大陸を支配するオリンピア国に君臨する征服王バルトロメオは、反抗的な属国の老王から花嫁・フェデリカ姫を略奪した。大国の王が戯れに愛妾にするのだろうかと思ったフェデリカだったが、屈託なく笑うバルトロメオにときめきを覚えてしまう。そして彼は周囲の反対にもかかわらず、彼女を正妃に迎えると言い出して…。「素直で可愛い体だ」閨でのバルトロメオの要求に応えようと恐る恐る身を任せていくフェデリカは、彼の情熱的な愛撫に心も体も蕩かされていく…"&amp;"。だが、幸せに酔うふたりを襲ったのは――。")</f>
        <v>何をして欲しい？
ちゃんとおねだりするんだ
「怖がるな。ただおまえだけが欲しい」大陸を支配するオリンピア国に君臨する征服王バルトロメオは、反抗的な属国の老王から花嫁・フェデリカ姫を略奪した。大国の王が戯れに愛妾にするのだろうかと思ったフェデリカだったが、屈託なく笑うバルトロメオにときめきを覚えてしまう。そして彼は周囲の反対にもかかわらず、彼女を正妃に迎えると言い出して…。「素直で可愛い体だ」閨でのバルトロメオの要求に応えようと恐る恐る身を任せていくフェデリカは、彼の情熱的な愛撫に心も体も蕩かされていく…。だが、幸せに酔うふたりを襲ったのは――。</v>
      </c>
      <c r="W380" s="8"/>
      <c r="X380" s="8" t="str">
        <f>IFERROR(__xludf.DUMMYFUNCTION("""COMPUTED_VALUE"""),"有")</f>
        <v>有</v>
      </c>
      <c r="Y380" s="8" t="str">
        <f>IFERROR(__xludf.DUMMYFUNCTION("""COMPUTED_VALUE"""),"P17まで")</f>
        <v>P17まで</v>
      </c>
      <c r="Z380" s="7"/>
      <c r="AA380" s="7"/>
      <c r="AB380" s="7"/>
    </row>
    <row r="381" ht="15.75" customHeight="1">
      <c r="A381" s="8">
        <f>IFERROR(__xludf.DUMMYFUNCTION("""COMPUTED_VALUE"""),1952.0)</f>
        <v>1952</v>
      </c>
      <c r="B381" s="9" t="str">
        <f>IFERROR(__xludf.DUMMYFUNCTION("""COMPUTED_VALUE"""),"確定")</f>
        <v>確定</v>
      </c>
      <c r="C381" s="10">
        <f>IFERROR(__xludf.DUMMYFUNCTION("""COMPUTED_VALUE"""),45061.0)</f>
        <v>45061</v>
      </c>
      <c r="D381" s="10">
        <f>IFERROR(__xludf.DUMMYFUNCTION("""COMPUTED_VALUE"""),45064.0)</f>
        <v>45064</v>
      </c>
      <c r="E381" s="8">
        <f>IFERROR(__xludf.DUMMYFUNCTION("""COMPUTED_VALUE"""),269801.0)</f>
        <v>269801</v>
      </c>
      <c r="F381" s="9" t="str">
        <f>IFERROR(__xludf.DUMMYFUNCTION("""COMPUTED_VALUE"""),"溺甘婚～エリート御曹司が私をご所望です～")</f>
        <v>溺甘婚～エリート御曹司が私をご所望です～</v>
      </c>
      <c r="G381" s="11" t="str">
        <f>IFERROR(__xludf.DUMMYFUNCTION("""COMPUTED_VALUE"""),"1~3")</f>
        <v>1~3</v>
      </c>
      <c r="H381" s="8" t="str">
        <f>IFERROR(__xludf.DUMMYFUNCTION("""COMPUTED_VALUE"""),"也田ゆき・明生茉依")</f>
        <v>也田ゆき・明生茉依</v>
      </c>
      <c r="I381" s="8" t="str">
        <f>IFERROR(__xludf.DUMMYFUNCTION("""COMPUTED_VALUE"""),"女性")</f>
        <v>女性</v>
      </c>
      <c r="J381" s="8"/>
      <c r="K381" s="8"/>
      <c r="L381" s="8" t="str">
        <f>IFERROR(__xludf.DUMMYFUNCTION("""COMPUTED_VALUE"""),"ハーパーコリンズ・ジャパン")</f>
        <v>ハーパーコリンズ・ジャパン</v>
      </c>
      <c r="M381" s="12">
        <f>IFERROR(__xludf.DUMMYFUNCTION("""COMPUTED_VALUE"""),45092.0)</f>
        <v>45092</v>
      </c>
      <c r="N381" s="12">
        <f>IFERROR(__xludf.DUMMYFUNCTION("""COMPUTED_VALUE"""),45124.0)</f>
        <v>45124</v>
      </c>
      <c r="O381" s="11"/>
      <c r="P381" s="9" t="str">
        <f>IFERROR(__xludf.DUMMYFUNCTION("""COMPUTED_VALUE"""),"可")</f>
        <v>可</v>
      </c>
      <c r="Q381" s="8" t="str">
        <f>IFERROR(__xludf.DUMMYFUNCTION("""COMPUTED_VALUE"""),"素材格納（5/18）&lt;BR&gt;広告コミットOK（5/18）&lt;BR&gt;")</f>
        <v>素材格納（5/18）&lt;BR&gt;広告コミットOK（5/18）&lt;BR&gt;</v>
      </c>
      <c r="R381" s="9" t="str">
        <f>IFERROR(__xludf.DUMMYFUNCTION("""COMPUTED_VALUE"""),"格納済（5/18）")</f>
        <v>格納済（5/18）</v>
      </c>
      <c r="S381" s="8" t="str">
        <f>IFERROR(__xludf.DUMMYFUNCTION("""COMPUTED_VALUE"""),"20230518_ハーパーコリンズ_溺甘婚")</f>
        <v>20230518_ハーパーコリンズ_溺甘婚</v>
      </c>
      <c r="T381" s="9" t="str">
        <f>IFERROR(__xludf.DUMMYFUNCTION("""COMPUTED_VALUE"""),"校了済素材")</f>
        <v>校了済素材</v>
      </c>
      <c r="U381" s="9" t="str">
        <f>IFERROR(__xludf.DUMMYFUNCTION("""COMPUTED_VALUE"""),"（C)也田ゆき・明生茉依／ハーパーコリンズ・ジャパン")</f>
        <v>（C)也田ゆき・明生茉依／ハーパーコリンズ・ジャパン</v>
      </c>
      <c r="V381" s="8" t="str">
        <f>IFERROR(__xludf.DUMMYFUNCTION("""COMPUTED_VALUE"""),"この再会は、できすぎた偶然？ それとも…運命の出会い？
人生初のお見合いに遅刻してしまった綾把を待ち受けていたのは“お断り”のひと言だった。もう二度と会うことはないと思っていた翌日、お見合い相手の御曹司・笠間光顕に再会する。できすぎた偶然に、綾把が仕組んだことかと光顕に勘繰られ…綾把は反発！　怒りをぶつけて立ち去るものの、数日後、光顕が綾把の前に再び現れ…「君に会いに来た」と告げて!?")</f>
        <v>この再会は、できすぎた偶然？ それとも…運命の出会い？
人生初のお見合いに遅刻してしまった綾把を待ち受けていたのは“お断り”のひと言だった。もう二度と会うことはないと思っていた翌日、お見合い相手の御曹司・笠間光顕に再会する。できすぎた偶然に、綾把が仕組んだことかと光顕に勘繰られ…綾把は反発！　怒りをぶつけて立ち去るものの、数日後、光顕が綾把の前に再び現れ…「君に会いに来た」と告げて!?</v>
      </c>
      <c r="W381" s="8"/>
      <c r="X381" s="8" t="str">
        <f>IFERROR(__xludf.DUMMYFUNCTION("""COMPUTED_VALUE"""),"有")</f>
        <v>有</v>
      </c>
      <c r="Y381" s="8" t="str">
        <f>IFERROR(__xludf.DUMMYFUNCTION("""COMPUTED_VALUE"""),"6/28まで1巻無料")</f>
        <v>6/28まで1巻無料</v>
      </c>
      <c r="Z381" s="7"/>
      <c r="AA381" s="7"/>
      <c r="AB381" s="7"/>
    </row>
    <row r="382" ht="15.75" customHeight="1">
      <c r="A382" s="8">
        <f>IFERROR(__xludf.DUMMYFUNCTION("""COMPUTED_VALUE"""),1964.0)</f>
        <v>1964</v>
      </c>
      <c r="B382" s="9" t="str">
        <f>IFERROR(__xludf.DUMMYFUNCTION("""COMPUTED_VALUE"""),"確定")</f>
        <v>確定</v>
      </c>
      <c r="C382" s="10">
        <f>IFERROR(__xludf.DUMMYFUNCTION("""COMPUTED_VALUE"""),45064.0)</f>
        <v>45064</v>
      </c>
      <c r="D382" s="10">
        <f>IFERROR(__xludf.DUMMYFUNCTION("""COMPUTED_VALUE"""),45064.0)</f>
        <v>45064</v>
      </c>
      <c r="E382" s="8">
        <f>IFERROR(__xludf.DUMMYFUNCTION("""COMPUTED_VALUE"""),271317.0)</f>
        <v>271317</v>
      </c>
      <c r="F382" s="9" t="str">
        <f>IFERROR(__xludf.DUMMYFUNCTION("""COMPUTED_VALUE"""),"幼馴染が、大人になったら")</f>
        <v>幼馴染が、大人になったら</v>
      </c>
      <c r="G382" s="11" t="str">
        <f>IFERROR(__xludf.DUMMYFUNCTION("""COMPUTED_VALUE"""),"1～4")</f>
        <v>1～4</v>
      </c>
      <c r="H382" s="8" t="str">
        <f>IFERROR(__xludf.DUMMYFUNCTION("""COMPUTED_VALUE"""),"Gyou")</f>
        <v>Gyou</v>
      </c>
      <c r="I382" s="8" t="str">
        <f>IFERROR(__xludf.DUMMYFUNCTION("""COMPUTED_VALUE"""),"青年")</f>
        <v>青年</v>
      </c>
      <c r="J382" s="8"/>
      <c r="K382" s="8"/>
      <c r="L382" s="8" t="str">
        <f>IFERROR(__xludf.DUMMYFUNCTION("""COMPUTED_VALUE"""),"Rush!")</f>
        <v>Rush!</v>
      </c>
      <c r="M382" s="12">
        <f>IFERROR(__xludf.DUMMYFUNCTION("""COMPUTED_VALUE"""),45119.0)</f>
        <v>45119</v>
      </c>
      <c r="N382" s="12">
        <f>IFERROR(__xludf.DUMMYFUNCTION("""COMPUTED_VALUE"""),45209.0)</f>
        <v>45209</v>
      </c>
      <c r="O382" s="11"/>
      <c r="P382" s="9" t="str">
        <f>IFERROR(__xludf.DUMMYFUNCTION("""COMPUTED_VALUE"""),"可")</f>
        <v>可</v>
      </c>
      <c r="Q382" s="8" t="str">
        <f>IFERROR(__xludf.DUMMYFUNCTION("""COMPUTED_VALUE"""),"協業レーベル『シーモア×Rush!』作品です。")</f>
        <v>協業レーベル『シーモア×Rush!』作品です。</v>
      </c>
      <c r="R382" s="9"/>
      <c r="S382" s="8" t="str">
        <f>IFERROR(__xludf.DUMMYFUNCTION("""COMPUTED_VALUE"""),"20230518_ファンギルド_幼馴染が、大人になったら")</f>
        <v>20230518_ファンギルド_幼馴染が、大人になったら</v>
      </c>
      <c r="T382" s="9"/>
      <c r="U382" s="9" t="str">
        <f>IFERROR(__xludf.DUMMYFUNCTION("""COMPUTED_VALUE"""),"©Gyou/Okotetsu/TOPTOON")</f>
        <v>©Gyou/Okotetsu/TOPTOON</v>
      </c>
      <c r="V382" s="8" t="str">
        <f>IFERROR(__xludf.DUMMYFUNCTION("""COMPUTED_VALUE"""),"小道の行き止まりにある4つの家。そこで育った4家族の子供達は兄弟同然に仲が良かった。けれど子供達が成長して久々に行われたお泊まり会で、その関係は変わり始める。その日、優志は姉貴分である茉由に誘われるがまま、初体験を迎えたのだ。初めて知った異性を抱く喜びにのめり込んだ優志は、その後も茉由を抱きたいと思うが…あの日を境に茉由の態度は素っ気なくなってしまった。そんな時、もう一人の姉貴分である園華の無防備な姿を見て、優志の頭をある考えがよぎる――「茉由姉ちゃんにこだわる必要は…ないんじゃないか…？」
")</f>
        <v>小道の行き止まりにある4つの家。そこで育った4家族の子供達は兄弟同然に仲が良かった。けれど子供達が成長して久々に行われたお泊まり会で、その関係は変わり始める。その日、優志は姉貴分である茉由に誘われるがまま、初体験を迎えたのだ。初めて知った異性を抱く喜びにのめり込んだ優志は、その後も茉由を抱きたいと思うが…あの日を境に茉由の態度は素っ気なくなってしまった。そんな時、もう一人の姉貴分である園華の無防備な姿を見て、優志の頭をある考えがよぎる――「茉由姉ちゃんにこだわる必要は…ないんじゃないか…？」
</v>
      </c>
      <c r="W382" s="8"/>
      <c r="X382" s="8" t="str">
        <f>IFERROR(__xludf.DUMMYFUNCTION("""COMPUTED_VALUE"""),"有")</f>
        <v>有</v>
      </c>
      <c r="Y382" s="8" t="str">
        <f>IFERROR(__xludf.DUMMYFUNCTION("""COMPUTED_VALUE"""),"7/25まで1巻無料")</f>
        <v>7/25まで1巻無料</v>
      </c>
      <c r="Z382" s="7"/>
      <c r="AA382" s="7"/>
      <c r="AB382" s="7"/>
    </row>
    <row r="383" ht="15.75" customHeight="1">
      <c r="A383" s="8">
        <f>IFERROR(__xludf.DUMMYFUNCTION("""COMPUTED_VALUE"""),1965.0)</f>
        <v>1965</v>
      </c>
      <c r="B383" s="9" t="str">
        <f>IFERROR(__xludf.DUMMYFUNCTION("""COMPUTED_VALUE"""),"確定")</f>
        <v>確定</v>
      </c>
      <c r="C383" s="10">
        <f>IFERROR(__xludf.DUMMYFUNCTION("""COMPUTED_VALUE"""),45064.0)</f>
        <v>45064</v>
      </c>
      <c r="D383" s="10">
        <f>IFERROR(__xludf.DUMMYFUNCTION("""COMPUTED_VALUE"""),45068.0)</f>
        <v>45068</v>
      </c>
      <c r="E383" s="8">
        <f>IFERROR(__xludf.DUMMYFUNCTION("""COMPUTED_VALUE"""),269800.0)</f>
        <v>269800</v>
      </c>
      <c r="F383" s="9" t="str">
        <f>IFERROR(__xludf.DUMMYFUNCTION("""COMPUTED_VALUE"""),"溺婚～溺愛されるできちゃった婚～")</f>
        <v>溺婚～溺愛されるできちゃった婚～</v>
      </c>
      <c r="G383" s="11" t="str">
        <f>IFERROR(__xludf.DUMMYFUNCTION("""COMPUTED_VALUE"""),"1～2")</f>
        <v>1～2</v>
      </c>
      <c r="H383" s="8" t="str">
        <f>IFERROR(__xludf.DUMMYFUNCTION("""COMPUTED_VALUE"""),"斗田めぐみ")</f>
        <v>斗田めぐみ</v>
      </c>
      <c r="I383" s="8" t="str">
        <f>IFERROR(__xludf.DUMMYFUNCTION("""COMPUTED_VALUE"""),"女性")</f>
        <v>女性</v>
      </c>
      <c r="J383" s="8"/>
      <c r="K383" s="8"/>
      <c r="L383" s="8" t="str">
        <f>IFERROR(__xludf.DUMMYFUNCTION("""COMPUTED_VALUE"""),"ハーパーコリンズ・ジャパン")</f>
        <v>ハーパーコリンズ・ジャパン</v>
      </c>
      <c r="M383" s="12">
        <f>IFERROR(__xludf.DUMMYFUNCTION("""COMPUTED_VALUE"""),45092.0)</f>
        <v>45092</v>
      </c>
      <c r="N383" s="12">
        <f>IFERROR(__xludf.DUMMYFUNCTION("""COMPUTED_VALUE"""),45124.0)</f>
        <v>45124</v>
      </c>
      <c r="O383" s="11"/>
      <c r="P383" s="9" t="str">
        <f>IFERROR(__xludf.DUMMYFUNCTION("""COMPUTED_VALUE"""),"可")</f>
        <v>可</v>
      </c>
      <c r="Q383" s="8" t="str">
        <f>IFERROR(__xludf.DUMMYFUNCTION("""COMPUTED_VALUE"""),"素材格納済（5/22）&lt;BR&gt;事前検討（5/18）&lt;BR&gt;")</f>
        <v>素材格納済（5/22）&lt;BR&gt;事前検討（5/18）&lt;BR&gt;</v>
      </c>
      <c r="R383" s="9" t="str">
        <f>IFERROR(__xludf.DUMMYFUNCTION("""COMPUTED_VALUE"""),"格納済（5/22）")</f>
        <v>格納済（5/22）</v>
      </c>
      <c r="S383" s="8" t="str">
        <f>IFERROR(__xludf.DUMMYFUNCTION("""COMPUTED_VALUE"""),"20230522_ハーパーコリンズ_溺婚")</f>
        <v>20230522_ハーパーコリンズ_溺婚</v>
      </c>
      <c r="T383" s="9" t="str">
        <f>IFERROR(__xludf.DUMMYFUNCTION("""COMPUTED_VALUE"""),"校了済素材")</f>
        <v>校了済素材</v>
      </c>
      <c r="U383" s="9" t="str">
        <f>IFERROR(__xludf.DUMMYFUNCTION("""COMPUTED_VALUE"""),"（C)斗田めぐみ／ハーパーコリンズ・ジャパン")</f>
        <v>（C)斗田めぐみ／ハーパーコリンズ・ジャパン</v>
      </c>
      <c r="V383" s="8" t="str">
        <f>IFERROR(__xludf.DUMMYFUNCTION("""COMPUTED_VALUE"""),"「わかりました。あなたと結婚します」ほどんと知らなかった男性と出来婚になり、なぜか甘く甘く溺愛されて……。
２年も付き合った彼氏と幸せな家庭を築くことを夢見る美緒は、メール１本で唐突にふられてしまう。なのに、２か月後に上司の代理で参加した取引先のパーティーで、元彼が別の女性との婚約が発表されて！？「自分は遊ばれてた」と気付いた美緒は、傷心のあまりに偶然出会った優しい男性とホテルで一夜を共にすることにーー。あの夜の思い出のおかげで立ち直りつつ美緒だが、元彼の件でなぜか弁護士が訪ねてきて…しかも、その弁護士"&amp;"はあの夜ホテルで泣いている自分を優しく抱きしめてくれた男で……。")</f>
        <v>「わかりました。あなたと結婚します」ほどんと知らなかった男性と出来婚になり、なぜか甘く甘く溺愛されて……。
２年も付き合った彼氏と幸せな家庭を築くことを夢見る美緒は、メール１本で唐突にふられてしまう。なのに、２か月後に上司の代理で参加した取引先のパーティーで、元彼が別の女性との婚約が発表されて！？「自分は遊ばれてた」と気付いた美緒は、傷心のあまりに偶然出会った優しい男性とホテルで一夜を共にすることにーー。あの夜の思い出のおかげで立ち直りつつ美緒だが、元彼の件でなぜか弁護士が訪ねてきて…しかも、その弁護士はあの夜ホテルで泣いている自分を優しく抱きしめてくれた男で……。</v>
      </c>
      <c r="W383" s="8"/>
      <c r="X383" s="8" t="str">
        <f>IFERROR(__xludf.DUMMYFUNCTION("""COMPUTED_VALUE"""),"有")</f>
        <v>有</v>
      </c>
      <c r="Y383" s="8" t="str">
        <f>IFERROR(__xludf.DUMMYFUNCTION("""COMPUTED_VALUE"""),"6/28まで立ち読み増量P25まで")</f>
        <v>6/28まで立ち読み増量P25まで</v>
      </c>
      <c r="Z383" s="7"/>
      <c r="AA383" s="7"/>
      <c r="AB383" s="7"/>
    </row>
    <row r="384" ht="15.75" customHeight="1">
      <c r="A384" s="8">
        <f>IFERROR(__xludf.DUMMYFUNCTION("""COMPUTED_VALUE"""),1970.0)</f>
        <v>1970</v>
      </c>
      <c r="B384" s="9" t="str">
        <f>IFERROR(__xludf.DUMMYFUNCTION("""COMPUTED_VALUE"""),"確定")</f>
        <v>確定</v>
      </c>
      <c r="C384" s="10">
        <f>IFERROR(__xludf.DUMMYFUNCTION("""COMPUTED_VALUE"""),45068.0)</f>
        <v>45068</v>
      </c>
      <c r="D384" s="10">
        <f>IFERROR(__xludf.DUMMYFUNCTION("""COMPUTED_VALUE"""),45069.0)</f>
        <v>45069</v>
      </c>
      <c r="E384" s="8">
        <f>IFERROR(__xludf.DUMMYFUNCTION("""COMPUTED_VALUE"""),270362.0)</f>
        <v>270362</v>
      </c>
      <c r="F384" s="9" t="str">
        <f>IFERROR(__xludf.DUMMYFUNCTION("""COMPUTED_VALUE"""),"カレとの約束")</f>
        <v>カレとの約束</v>
      </c>
      <c r="G384" s="11" t="str">
        <f>IFERROR(__xludf.DUMMYFUNCTION("""COMPUTED_VALUE"""),"1～4")</f>
        <v>1～4</v>
      </c>
      <c r="H384" s="8" t="str">
        <f>IFERROR(__xludf.DUMMYFUNCTION("""COMPUTED_VALUE"""),"なかじまゆか")</f>
        <v>なかじまゆか</v>
      </c>
      <c r="I384" s="8" t="str">
        <f>IFERROR(__xludf.DUMMYFUNCTION("""COMPUTED_VALUE"""),"オトナ")</f>
        <v>オトナ</v>
      </c>
      <c r="J384" s="8"/>
      <c r="K384" s="8"/>
      <c r="L384" s="8" t="str">
        <f>IFERROR(__xludf.DUMMYFUNCTION("""COMPUTED_VALUE"""),"ナンバーナイン")</f>
        <v>ナンバーナイン</v>
      </c>
      <c r="M384" s="12">
        <f>IFERROR(__xludf.DUMMYFUNCTION("""COMPUTED_VALUE"""),45093.0)</f>
        <v>45093</v>
      </c>
      <c r="N384" s="12">
        <f>IFERROR(__xludf.DUMMYFUNCTION("""COMPUTED_VALUE"""),45184.0)</f>
        <v>45184</v>
      </c>
      <c r="O384" s="11"/>
      <c r="P384" s="9" t="str">
        <f>IFERROR(__xludf.DUMMYFUNCTION("""COMPUTED_VALUE"""),"可")</f>
        <v>可</v>
      </c>
      <c r="Q384" s="8"/>
      <c r="R384" s="9"/>
      <c r="S384" s="8" t="str">
        <f>IFERROR(__xludf.DUMMYFUNCTION("""COMPUTED_VALUE"""),"20230522_ナンバーナイン_なかじまゆか作品")</f>
        <v>20230522_ナンバーナイン_なかじまゆか作品</v>
      </c>
      <c r="T384" s="9"/>
      <c r="U384" s="9" t="str">
        <f>IFERROR(__xludf.DUMMYFUNCTION("""COMPUTED_VALUE"""),"©︎なかじまゆか/ナンバーナイン")</f>
        <v>©︎なかじまゆか/ナンバーナイン</v>
      </c>
      <c r="V384" s="8" t="str">
        <f>IFERROR(__xludf.DUMMYFUNCTION("""COMPUTED_VALUE"""),"同じテニス部で付き合っていた理沙と雄也。
ある日、理沙は部室で雄也に体を求められるも、本番行為には至らず、お互い責任を取れるようになってからと約束し、その日は帰宅した。
翌日コーチに呼び出された理沙は、昨日の行為を問い詰められ、退学をほのめかされる。
許しを請う理沙に、コーチから出された条件は……。")</f>
        <v>同じテニス部で付き合っていた理沙と雄也。
ある日、理沙は部室で雄也に体を求められるも、本番行為には至らず、お互い責任を取れるようになってからと約束し、その日は帰宅した。
翌日コーチに呼び出された理沙は、昨日の行為を問い詰められ、退学をほのめかされる。
許しを請う理沙に、コーチから出された条件は……。</v>
      </c>
      <c r="W384" s="8"/>
      <c r="X384" s="8" t="str">
        <f>IFERROR(__xludf.DUMMYFUNCTION("""COMPUTED_VALUE"""),"有")</f>
        <v>有</v>
      </c>
      <c r="Y384" s="8" t="str">
        <f>IFERROR(__xludf.DUMMYFUNCTION("""COMPUTED_VALUE"""),"P7まで")</f>
        <v>P7まで</v>
      </c>
      <c r="Z384" s="7"/>
      <c r="AA384" s="7"/>
      <c r="AB384" s="7"/>
    </row>
    <row r="385" ht="15.75" customHeight="1">
      <c r="A385" s="8">
        <f>IFERROR(__xludf.DUMMYFUNCTION("""COMPUTED_VALUE"""),1971.0)</f>
        <v>1971</v>
      </c>
      <c r="B385" s="9" t="str">
        <f>IFERROR(__xludf.DUMMYFUNCTION("""COMPUTED_VALUE"""),"確定")</f>
        <v>確定</v>
      </c>
      <c r="C385" s="10">
        <f>IFERROR(__xludf.DUMMYFUNCTION("""COMPUTED_VALUE"""),45068.0)</f>
        <v>45068</v>
      </c>
      <c r="D385" s="10">
        <f>IFERROR(__xludf.DUMMYFUNCTION("""COMPUTED_VALUE"""),45069.0)</f>
        <v>45069</v>
      </c>
      <c r="E385" s="8">
        <f>IFERROR(__xludf.DUMMYFUNCTION("""COMPUTED_VALUE"""),270363.0)</f>
        <v>270363</v>
      </c>
      <c r="F385" s="9" t="str">
        <f>IFERROR(__xludf.DUMMYFUNCTION("""COMPUTED_VALUE"""),"カレと私の壊れたキズナ")</f>
        <v>カレと私の壊れたキズナ</v>
      </c>
      <c r="G385" s="11" t="str">
        <f>IFERROR(__xludf.DUMMYFUNCTION("""COMPUTED_VALUE"""),"1～3")</f>
        <v>1～3</v>
      </c>
      <c r="H385" s="8" t="str">
        <f>IFERROR(__xludf.DUMMYFUNCTION("""COMPUTED_VALUE"""),"なかじまゆか")</f>
        <v>なかじまゆか</v>
      </c>
      <c r="I385" s="8" t="str">
        <f>IFERROR(__xludf.DUMMYFUNCTION("""COMPUTED_VALUE"""),"オトナ")</f>
        <v>オトナ</v>
      </c>
      <c r="J385" s="8"/>
      <c r="K385" s="8"/>
      <c r="L385" s="8" t="str">
        <f>IFERROR(__xludf.DUMMYFUNCTION("""COMPUTED_VALUE"""),"ナンバーナイン")</f>
        <v>ナンバーナイン</v>
      </c>
      <c r="M385" s="12">
        <f>IFERROR(__xludf.DUMMYFUNCTION("""COMPUTED_VALUE"""),45093.0)</f>
        <v>45093</v>
      </c>
      <c r="N385" s="12">
        <f>IFERROR(__xludf.DUMMYFUNCTION("""COMPUTED_VALUE"""),45184.0)</f>
        <v>45184</v>
      </c>
      <c r="O385" s="11"/>
      <c r="P385" s="9" t="str">
        <f>IFERROR(__xludf.DUMMYFUNCTION("""COMPUTED_VALUE"""),"可")</f>
        <v>可</v>
      </c>
      <c r="Q385" s="8"/>
      <c r="R385" s="9"/>
      <c r="S385" s="8" t="str">
        <f>IFERROR(__xludf.DUMMYFUNCTION("""COMPUTED_VALUE"""),"20230522_ナンバーナイン_なかじまゆか作品")</f>
        <v>20230522_ナンバーナイン_なかじまゆか作品</v>
      </c>
      <c r="T385" s="9"/>
      <c r="U385" s="9" t="str">
        <f>IFERROR(__xludf.DUMMYFUNCTION("""COMPUTED_VALUE"""),"©︎なかじまゆか/ナンバーナイン")</f>
        <v>©︎なかじまゆか/ナンバーナイン</v>
      </c>
      <c r="V385" s="8" t="str">
        <f>IFERROR(__xludf.DUMMYFUNCTION("""COMPUTED_VALUE"""),"【ストーリー】
玲菜と彩人は同じ学園に通っている、周りからも公認のカップル
親の目を盗んでエッチをすることもあり、仲は極めて良好だった
夏休み前、玲菜は彩人と遊ぶ計画を立てるが、彩人から「今しかできない目標を叶える」と、
アメリカへショートステイに行くと言われてしまう
そして夏休み、彩人はショートステイのためにアメリカへ
日本に残された玲菜は、両親と叔父に頼まれ仕方なく、叔父が経営している喫茶店でバイトをしていた
叔父は、オタクくさくてキモいのが嫌だったがイイ人ではあり、仕方がないと割り切っていた
彩人"&amp;"と一緒に過ごせずに少し不満に思っているが、毎日ラインでやり取りしているので、さみしくはなかった
ある時、彩人と一緒にショートステイに行っている友達から、彩人が現地の金髪巨乳美人とイチャイチャしている映像を見せられ、
どうも浮気しているらしい…？と言われる
ショックを受けた玲菜は動揺してしまい、眠れぬ夜を過ごす
彩人に連絡しても返事は来ず、疑惑は確信へと変わりつつあった矢先に、
バイト先で取り返しのつかない大きなミスをしてしまう
叔父がミスを肩代わりする代償として身体を求められた玲菜は、半ば自暴自棄になり"&amp;"叔父とのセックスを承諾する
その後も叔父からの要求が続き、行為はエスカレートしていく…")</f>
        <v>【ストーリー】
玲菜と彩人は同じ学園に通っている、周りからも公認のカップル
親の目を盗んでエッチをすることもあり、仲は極めて良好だった
夏休み前、玲菜は彩人と遊ぶ計画を立てるが、彩人から「今しかできない目標を叶える」と、
アメリカへショートステイに行くと言われてしまう
そして夏休み、彩人はショートステイのためにアメリカへ
日本に残された玲菜は、両親と叔父に頼まれ仕方なく、叔父が経営している喫茶店でバイトをしていた
叔父は、オタクくさくてキモいのが嫌だったがイイ人ではあり、仕方がないと割り切っていた
彩人と一緒に過ごせずに少し不満に思っているが、毎日ラインでやり取りしているので、さみしくはなかった
ある時、彩人と一緒にショートステイに行っている友達から、彩人が現地の金髪巨乳美人とイチャイチャしている映像を見せられ、
どうも浮気しているらしい…？と言われる
ショックを受けた玲菜は動揺してしまい、眠れぬ夜を過ごす
彩人に連絡しても返事は来ず、疑惑は確信へと変わりつつあった矢先に、
バイト先で取り返しのつかない大きなミスをしてしまう
叔父がミスを肩代わりする代償として身体を求められた玲菜は、半ば自暴自棄になり叔父とのセックスを承諾する
その後も叔父からの要求が続き、行為はエスカレートしていく…</v>
      </c>
      <c r="W385" s="8"/>
      <c r="X385" s="8" t="str">
        <f>IFERROR(__xludf.DUMMYFUNCTION("""COMPUTED_VALUE"""),"有")</f>
        <v>有</v>
      </c>
      <c r="Y385" s="8" t="str">
        <f>IFERROR(__xludf.DUMMYFUNCTION("""COMPUTED_VALUE"""),"P15まで")</f>
        <v>P15まで</v>
      </c>
      <c r="Z385" s="7"/>
      <c r="AA385" s="7"/>
      <c r="AB385" s="7"/>
    </row>
    <row r="386" ht="15.75" customHeight="1">
      <c r="A386" s="8">
        <f>IFERROR(__xludf.DUMMYFUNCTION("""COMPUTED_VALUE"""),1972.0)</f>
        <v>1972</v>
      </c>
      <c r="B386" s="9" t="str">
        <f>IFERROR(__xludf.DUMMYFUNCTION("""COMPUTED_VALUE"""),"確定")</f>
        <v>確定</v>
      </c>
      <c r="C386" s="10">
        <f>IFERROR(__xludf.DUMMYFUNCTION("""COMPUTED_VALUE"""),45068.0)</f>
        <v>45068</v>
      </c>
      <c r="D386" s="10">
        <f>IFERROR(__xludf.DUMMYFUNCTION("""COMPUTED_VALUE"""),45069.0)</f>
        <v>45069</v>
      </c>
      <c r="E386" s="8">
        <f>IFERROR(__xludf.DUMMYFUNCTION("""COMPUTED_VALUE"""),271061.0)</f>
        <v>271061</v>
      </c>
      <c r="F386" s="9" t="str">
        <f>IFERROR(__xludf.DUMMYFUNCTION("""COMPUTED_VALUE"""),"ミスった仕事でウェイトレスさんと…")</f>
        <v>ミスった仕事でウェイトレスさんと…</v>
      </c>
      <c r="G386" s="11">
        <f>IFERROR(__xludf.DUMMYFUNCTION("""COMPUTED_VALUE"""),1.0)</f>
        <v>1</v>
      </c>
      <c r="H386" s="8" t="str">
        <f>IFERROR(__xludf.DUMMYFUNCTION("""COMPUTED_VALUE"""),"なかじまゆか")</f>
        <v>なかじまゆか</v>
      </c>
      <c r="I386" s="8" t="str">
        <f>IFERROR(__xludf.DUMMYFUNCTION("""COMPUTED_VALUE"""),"オトナ")</f>
        <v>オトナ</v>
      </c>
      <c r="J386" s="8"/>
      <c r="K386" s="8"/>
      <c r="L386" s="8" t="str">
        <f>IFERROR(__xludf.DUMMYFUNCTION("""COMPUTED_VALUE"""),"ナンバーナイン")</f>
        <v>ナンバーナイン</v>
      </c>
      <c r="M386" s="12">
        <f>IFERROR(__xludf.DUMMYFUNCTION("""COMPUTED_VALUE"""),45093.0)</f>
        <v>45093</v>
      </c>
      <c r="N386" s="12">
        <f>IFERROR(__xludf.DUMMYFUNCTION("""COMPUTED_VALUE"""),45184.0)</f>
        <v>45184</v>
      </c>
      <c r="O386" s="11"/>
      <c r="P386" s="9" t="str">
        <f>IFERROR(__xludf.DUMMYFUNCTION("""COMPUTED_VALUE"""),"可")</f>
        <v>可</v>
      </c>
      <c r="Q386" s="8"/>
      <c r="R386" s="9"/>
      <c r="S386" s="8" t="str">
        <f>IFERROR(__xludf.DUMMYFUNCTION("""COMPUTED_VALUE"""),"20230522_ナンバーナイン_なかじまゆか作品")</f>
        <v>20230522_ナンバーナイン_なかじまゆか作品</v>
      </c>
      <c r="T386" s="9"/>
      <c r="U386" s="9" t="str">
        <f>IFERROR(__xludf.DUMMYFUNCTION("""COMPUTED_VALUE"""),"©︎なかじまゆか/ナンバーナイン")</f>
        <v>©︎なかじまゆか/ナンバーナイン</v>
      </c>
      <c r="V386" s="8" t="str">
        <f>IFERROR(__xludf.DUMMYFUNCTION("""COMPUTED_VALUE"""),"希望店舗に配属された新人の主人公が、仕事で失敗したら
あこがれの先輩『ゆい』とHしちゃった！？
漫画本文18ページ（うち フルカラー4ページ）
【ストーリー】
希望のファミレス店舗に配属された、主人公の新人くん
おっぱいを強調する吊りミニスカートの女子制服、
レベルの高い女性店員に囲まれ、充実した毎日を送っていた
ある日、特に気になっていた先輩『ゆい』に、
良いところを見せようとして張り切るが、失敗して水を被せてしまう…
その後、心配して様子を見に行ってみると、ゆいは着替えの真っ最中！
慌てる新人くん"&amp;"をゆいが呼び寄せ、「ちょっと寒いから暖めてほしい」と迫り、
そのままHすることに…！")</f>
        <v>希望店舗に配属された新人の主人公が、仕事で失敗したら
あこがれの先輩『ゆい』とHしちゃった！？
漫画本文18ページ（うち フルカラー4ページ）
【ストーリー】
希望のファミレス店舗に配属された、主人公の新人くん
おっぱいを強調する吊りミニスカートの女子制服、
レベルの高い女性店員に囲まれ、充実した毎日を送っていた
ある日、特に気になっていた先輩『ゆい』に、
良いところを見せようとして張り切るが、失敗して水を被せてしまう…
その後、心配して様子を見に行ってみると、ゆいは着替えの真っ最中！
慌てる新人くんをゆいが呼び寄せ、「ちょっと寒いから暖めてほしい」と迫り、
そのままHすることに…！</v>
      </c>
      <c r="W386" s="8"/>
      <c r="X386" s="8" t="str">
        <f>IFERROR(__xludf.DUMMYFUNCTION("""COMPUTED_VALUE"""),"有")</f>
        <v>有</v>
      </c>
      <c r="Y386" s="8" t="str">
        <f>IFERROR(__xludf.DUMMYFUNCTION("""COMPUTED_VALUE"""),"P7まで")</f>
        <v>P7まで</v>
      </c>
      <c r="Z386" s="7"/>
      <c r="AA386" s="7"/>
      <c r="AB386" s="7"/>
    </row>
    <row r="387" ht="15.75" customHeight="1">
      <c r="A387" s="8">
        <f>IFERROR(__xludf.DUMMYFUNCTION("""COMPUTED_VALUE"""),1973.0)</f>
        <v>1973</v>
      </c>
      <c r="B387" s="9" t="str">
        <f>IFERROR(__xludf.DUMMYFUNCTION("""COMPUTED_VALUE"""),"確定")</f>
        <v>確定</v>
      </c>
      <c r="C387" s="10">
        <f>IFERROR(__xludf.DUMMYFUNCTION("""COMPUTED_VALUE"""),45068.0)</f>
        <v>45068</v>
      </c>
      <c r="D387" s="10">
        <f>IFERROR(__xludf.DUMMYFUNCTION("""COMPUTED_VALUE"""),45069.0)</f>
        <v>45069</v>
      </c>
      <c r="E387" s="8">
        <f>IFERROR(__xludf.DUMMYFUNCTION("""COMPUTED_VALUE"""),270368.0)</f>
        <v>270368</v>
      </c>
      <c r="F387" s="9" t="str">
        <f>IFERROR(__xludf.DUMMYFUNCTION("""COMPUTED_VALUE"""),"ワケあり少女と同棲性活")</f>
        <v>ワケあり少女と同棲性活</v>
      </c>
      <c r="G387" s="11">
        <f>IFERROR(__xludf.DUMMYFUNCTION("""COMPUTED_VALUE"""),1.0)</f>
        <v>1</v>
      </c>
      <c r="H387" s="8" t="str">
        <f>IFERROR(__xludf.DUMMYFUNCTION("""COMPUTED_VALUE"""),"なかじまゆか")</f>
        <v>なかじまゆか</v>
      </c>
      <c r="I387" s="8" t="str">
        <f>IFERROR(__xludf.DUMMYFUNCTION("""COMPUTED_VALUE"""),"オトナ")</f>
        <v>オトナ</v>
      </c>
      <c r="J387" s="8"/>
      <c r="K387" s="8"/>
      <c r="L387" s="8" t="str">
        <f>IFERROR(__xludf.DUMMYFUNCTION("""COMPUTED_VALUE"""),"ナンバーナイン")</f>
        <v>ナンバーナイン</v>
      </c>
      <c r="M387" s="12">
        <f>IFERROR(__xludf.DUMMYFUNCTION("""COMPUTED_VALUE"""),45093.0)</f>
        <v>45093</v>
      </c>
      <c r="N387" s="12">
        <f>IFERROR(__xludf.DUMMYFUNCTION("""COMPUTED_VALUE"""),45184.0)</f>
        <v>45184</v>
      </c>
      <c r="O387" s="11"/>
      <c r="P387" s="9" t="str">
        <f>IFERROR(__xludf.DUMMYFUNCTION("""COMPUTED_VALUE"""),"可")</f>
        <v>可</v>
      </c>
      <c r="Q387" s="8"/>
      <c r="R387" s="9"/>
      <c r="S387" s="8" t="str">
        <f>IFERROR(__xludf.DUMMYFUNCTION("""COMPUTED_VALUE"""),"20230522_ナンバーナイン_なかじまゆか作品")</f>
        <v>20230522_ナンバーナイン_なかじまゆか作品</v>
      </c>
      <c r="T387" s="9"/>
      <c r="U387" s="9" t="str">
        <f>IFERROR(__xludf.DUMMYFUNCTION("""COMPUTED_VALUE"""),"©︎なかじまゆか/ナンバーナイン")</f>
        <v>©︎なかじまゆか/ナンバーナイン</v>
      </c>
      <c r="V387" s="8" t="str">
        <f>IFERROR(__xludf.DUMMYFUNCTION("""COMPUTED_VALUE"""),"ごく普通のサラリーマン、晃はある初冬の深夜に少女と出会う
礼儀正しいが常に怯えた様子の家出少女は宿泊のお礼に自分の身体を差し出すが…
ワケあり少女との、ちぐはぐ性活を綴るフルカラー漫画
【ストーリー】
とある初冬の深夜、泥酔状態で帰宅中の晃は見知らぬ少女から声をかけられる
酔った勢いで少女を家に連れて帰ってしまい、逆に自分の粗相のせいで少女に迷惑をかけてしまった
お詫びとして晃は数日の約束で家出少女を家に泊めることにした
その少女…「ゆき」は大人しく礼儀正しいが、いつも何かに怯えていた
ゆきはお世話に"&amp;"なっている「お礼」として晃の性欲処理を申し出る
晃は拒否するが、ゆきにこれしか出来る事がないと懇願され、戸惑いながらも受け入れてしまう
晃は性欲処理、ゆきは宿泊先の確保という持ちつ持たれつの共同生活が続いていく中、
晃はゆきの家出理由を知る
そこから二人の関係が変わり始める。ゆきの事を気遣う晃と、徐々に打ち解けて明るくなっていくゆき
晃はゆきへの想いが募り、とある決心をする…")</f>
        <v>ごく普通のサラリーマン、晃はある初冬の深夜に少女と出会う
礼儀正しいが常に怯えた様子の家出少女は宿泊のお礼に自分の身体を差し出すが…
ワケあり少女との、ちぐはぐ性活を綴るフルカラー漫画
【ストーリー】
とある初冬の深夜、泥酔状態で帰宅中の晃は見知らぬ少女から声をかけられる
酔った勢いで少女を家に連れて帰ってしまい、逆に自分の粗相のせいで少女に迷惑をかけてしまった
お詫びとして晃は数日の約束で家出少女を家に泊めることにした
その少女…「ゆき」は大人しく礼儀正しいが、いつも何かに怯えていた
ゆきはお世話になっている「お礼」として晃の性欲処理を申し出る
晃は拒否するが、ゆきにこれしか出来る事がないと懇願され、戸惑いながらも受け入れてしまう
晃は性欲処理、ゆきは宿泊先の確保という持ちつ持たれつの共同生活が続いていく中、
晃はゆきの家出理由を知る
そこから二人の関係が変わり始める。ゆきの事を気遣う晃と、徐々に打ち解けて明るくなっていくゆき
晃はゆきへの想いが募り、とある決心をする…</v>
      </c>
      <c r="W387" s="8"/>
      <c r="X387" s="8" t="str">
        <f>IFERROR(__xludf.DUMMYFUNCTION("""COMPUTED_VALUE"""),"有")</f>
        <v>有</v>
      </c>
      <c r="Y387" s="8" t="str">
        <f>IFERROR(__xludf.DUMMYFUNCTION("""COMPUTED_VALUE"""),"P15まで")</f>
        <v>P15まで</v>
      </c>
      <c r="Z387" s="7"/>
      <c r="AA387" s="7"/>
      <c r="AB387" s="7"/>
    </row>
    <row r="388" ht="15.75" customHeight="1">
      <c r="A388" s="8">
        <f>IFERROR(__xludf.DUMMYFUNCTION("""COMPUTED_VALUE"""),1974.0)</f>
        <v>1974</v>
      </c>
      <c r="B388" s="9" t="str">
        <f>IFERROR(__xludf.DUMMYFUNCTION("""COMPUTED_VALUE"""),"確定")</f>
        <v>確定</v>
      </c>
      <c r="C388" s="10">
        <f>IFERROR(__xludf.DUMMYFUNCTION("""COMPUTED_VALUE"""),45068.0)</f>
        <v>45068</v>
      </c>
      <c r="D388" s="10">
        <f>IFERROR(__xludf.DUMMYFUNCTION("""COMPUTED_VALUE"""),45069.0)</f>
        <v>45069</v>
      </c>
      <c r="E388" s="8">
        <f>IFERROR(__xludf.DUMMYFUNCTION("""COMPUTED_VALUE"""),270372.0)</f>
        <v>270372</v>
      </c>
      <c r="F388" s="9" t="str">
        <f>IFERROR(__xludf.DUMMYFUNCTION("""COMPUTED_VALUE"""),"人妻幼馴染とひと夏のできごと")</f>
        <v>人妻幼馴染とひと夏のできごと</v>
      </c>
      <c r="G388" s="11" t="str">
        <f>IFERROR(__xludf.DUMMYFUNCTION("""COMPUTED_VALUE"""),"1～3")</f>
        <v>1～3</v>
      </c>
      <c r="H388" s="8" t="str">
        <f>IFERROR(__xludf.DUMMYFUNCTION("""COMPUTED_VALUE"""),"なかじまゆか")</f>
        <v>なかじまゆか</v>
      </c>
      <c r="I388" s="8" t="str">
        <f>IFERROR(__xludf.DUMMYFUNCTION("""COMPUTED_VALUE"""),"オトナ")</f>
        <v>オトナ</v>
      </c>
      <c r="J388" s="8"/>
      <c r="K388" s="8"/>
      <c r="L388" s="8" t="str">
        <f>IFERROR(__xludf.DUMMYFUNCTION("""COMPUTED_VALUE"""),"ナンバーナイン")</f>
        <v>ナンバーナイン</v>
      </c>
      <c r="M388" s="12">
        <f>IFERROR(__xludf.DUMMYFUNCTION("""COMPUTED_VALUE"""),45093.0)</f>
        <v>45093</v>
      </c>
      <c r="N388" s="12">
        <f>IFERROR(__xludf.DUMMYFUNCTION("""COMPUTED_VALUE"""),45184.0)</f>
        <v>45184</v>
      </c>
      <c r="O388" s="11"/>
      <c r="P388" s="9" t="str">
        <f>IFERROR(__xludf.DUMMYFUNCTION("""COMPUTED_VALUE"""),"可")</f>
        <v>可</v>
      </c>
      <c r="Q388" s="8"/>
      <c r="R388" s="9"/>
      <c r="S388" s="8" t="str">
        <f>IFERROR(__xludf.DUMMYFUNCTION("""COMPUTED_VALUE"""),"20230522_ナンバーナイン_なかじまゆか作品")</f>
        <v>20230522_ナンバーナイン_なかじまゆか作品</v>
      </c>
      <c r="T388" s="9"/>
      <c r="U388" s="9" t="str">
        <f>IFERROR(__xludf.DUMMYFUNCTION("""COMPUTED_VALUE"""),"©︎なかじまゆか/ナンバーナイン")</f>
        <v>©︎なかじまゆか/ナンバーナイン</v>
      </c>
      <c r="V388" s="8" t="str">
        <f>IFERROR(__xludf.DUMMYFUNCTION("""COMPUTED_VALUE"""),"【ストーリー】
大樹は、よく一緒に遊んでくれる隣のお姉さん、瑠衣の事が幼少の頃から好きだった
幼少の頃に告白をしたが、軽くあしらわれて終わってしまう
その後、時は流れ瑠衣は大学卒業と同時に結婚
年の離れた旦那と一緒に隣で暮らすようになり、
大樹は幸せな瑠衣の様子を見ていられず、徐々に瑠衣との接触を無くしていく
しばらく経った夏のある日、ふとしたきっかけで大樹は瑠衣と二人で久しぶりにゲームで遊ぶことに
瑠衣から旦那が出張中と聞き、大樹は勢いに任せアプローチをかける
欲求不満になっていた瑠衣は大樹の勢いに押"&amp;"され、体の関係を持つことに
旦那が出張から帰ってくるまで、の期間限定の関係だったが、
家が隣同士で何時でも人目につくことなく会えるため、
毎日のように情事を繰り返し、二人はどんどん戻れなくなっていく…")</f>
        <v>【ストーリー】
大樹は、よく一緒に遊んでくれる隣のお姉さん、瑠衣の事が幼少の頃から好きだった
幼少の頃に告白をしたが、軽くあしらわれて終わってしまう
その後、時は流れ瑠衣は大学卒業と同時に結婚
年の離れた旦那と一緒に隣で暮らすようになり、
大樹は幸せな瑠衣の様子を見ていられず、徐々に瑠衣との接触を無くしていく
しばらく経った夏のある日、ふとしたきっかけで大樹は瑠衣と二人で久しぶりにゲームで遊ぶことに
瑠衣から旦那が出張中と聞き、大樹は勢いに任せアプローチをかける
欲求不満になっていた瑠衣は大樹の勢いに押され、体の関係を持つことに
旦那が出張から帰ってくるまで、の期間限定の関係だったが、
家が隣同士で何時でも人目につくことなく会えるため、
毎日のように情事を繰り返し、二人はどんどん戻れなくなっていく…</v>
      </c>
      <c r="W388" s="8"/>
      <c r="X388" s="8" t="str">
        <f>IFERROR(__xludf.DUMMYFUNCTION("""COMPUTED_VALUE"""),"有")</f>
        <v>有</v>
      </c>
      <c r="Y388" s="8" t="str">
        <f>IFERROR(__xludf.DUMMYFUNCTION("""COMPUTED_VALUE"""),"P15まで")</f>
        <v>P15まで</v>
      </c>
      <c r="Z388" s="7"/>
      <c r="AA388" s="7"/>
      <c r="AB388" s="7"/>
    </row>
    <row r="389" ht="15.75" customHeight="1">
      <c r="A389" s="8">
        <f>IFERROR(__xludf.DUMMYFUNCTION("""COMPUTED_VALUE"""),1975.0)</f>
        <v>1975</v>
      </c>
      <c r="B389" s="9" t="str">
        <f>IFERROR(__xludf.DUMMYFUNCTION("""COMPUTED_VALUE"""),"確定")</f>
        <v>確定</v>
      </c>
      <c r="C389" s="10">
        <f>IFERROR(__xludf.DUMMYFUNCTION("""COMPUTED_VALUE"""),45068.0)</f>
        <v>45068</v>
      </c>
      <c r="D389" s="10">
        <f>IFERROR(__xludf.DUMMYFUNCTION("""COMPUTED_VALUE"""),45069.0)</f>
        <v>45069</v>
      </c>
      <c r="E389" s="8">
        <f>IFERROR(__xludf.DUMMYFUNCTION("""COMPUTED_VALUE"""),271059.0)</f>
        <v>271059</v>
      </c>
      <c r="F389" s="9" t="str">
        <f>IFERROR(__xludf.DUMMYFUNCTION("""COMPUTED_VALUE"""),"制服楽園総集編02")</f>
        <v>制服楽園総集編02</v>
      </c>
      <c r="G389" s="11">
        <f>IFERROR(__xludf.DUMMYFUNCTION("""COMPUTED_VALUE"""),1.0)</f>
        <v>1</v>
      </c>
      <c r="H389" s="8" t="str">
        <f>IFERROR(__xludf.DUMMYFUNCTION("""COMPUTED_VALUE"""),"なかじまゆか")</f>
        <v>なかじまゆか</v>
      </c>
      <c r="I389" s="8" t="str">
        <f>IFERROR(__xludf.DUMMYFUNCTION("""COMPUTED_VALUE"""),"オトナ")</f>
        <v>オトナ</v>
      </c>
      <c r="J389" s="8"/>
      <c r="K389" s="8"/>
      <c r="L389" s="8" t="str">
        <f>IFERROR(__xludf.DUMMYFUNCTION("""COMPUTED_VALUE"""),"ナンバーナイン")</f>
        <v>ナンバーナイン</v>
      </c>
      <c r="M389" s="12">
        <f>IFERROR(__xludf.DUMMYFUNCTION("""COMPUTED_VALUE"""),45093.0)</f>
        <v>45093</v>
      </c>
      <c r="N389" s="12">
        <f>IFERROR(__xludf.DUMMYFUNCTION("""COMPUTED_VALUE"""),45184.0)</f>
        <v>45184</v>
      </c>
      <c r="O389" s="11"/>
      <c r="P389" s="9" t="str">
        <f>IFERROR(__xludf.DUMMYFUNCTION("""COMPUTED_VALUE"""),"可")</f>
        <v>可</v>
      </c>
      <c r="Q389" s="8"/>
      <c r="R389" s="9"/>
      <c r="S389" s="8" t="str">
        <f>IFERROR(__xludf.DUMMYFUNCTION("""COMPUTED_VALUE"""),"20230522_ナンバーナイン_なかじまゆか作品")</f>
        <v>20230522_ナンバーナイン_なかじまゆか作品</v>
      </c>
      <c r="T389" s="9"/>
      <c r="U389" s="9" t="str">
        <f>IFERROR(__xludf.DUMMYFUNCTION("""COMPUTED_VALUE"""),"©︎なかじまゆか/ナンバーナイン")</f>
        <v>©︎なかじまゆか/ナンバーナイン</v>
      </c>
      <c r="V389" s="8" t="str">
        <f>IFERROR(__xludf.DUMMYFUNCTION("""COMPUTED_VALUE"""),"ファミレス(神●屋)を舞台にしたオリジナル制服漫画「制服楽園」の総集編
漫画5本とキャラ設定や制服説明のイラスト等を掲載！
ヒロイン・まゆりと主人公・涼人とのラブラブHな内容から、快楽主義の陽菜が店内4Pで乱れるハードな話もあり
タイトル:制服楽園総集編2
サークル:Digital Lover （デジタルラバー、デジラバ）
作者:なかじまゆか")</f>
        <v>ファミレス(神●屋)を舞台にしたオリジナル制服漫画「制服楽園」の総集編
漫画5本とキャラ設定や制服説明のイラスト等を掲載！
ヒロイン・まゆりと主人公・涼人とのラブラブHな内容から、快楽主義の陽菜が店内4Pで乱れるハードな話もあり
タイトル:制服楽園総集編2
サークル:Digital Lover （デジタルラバー、デジラバ）
作者:なかじまゆか</v>
      </c>
      <c r="W389" s="8"/>
      <c r="X389" s="8" t="str">
        <f>IFERROR(__xludf.DUMMYFUNCTION("""COMPUTED_VALUE"""),"有")</f>
        <v>有</v>
      </c>
      <c r="Y389" s="8" t="str">
        <f>IFERROR(__xludf.DUMMYFUNCTION("""COMPUTED_VALUE"""),"P15まで")</f>
        <v>P15まで</v>
      </c>
      <c r="Z389" s="7"/>
      <c r="AA389" s="7"/>
      <c r="AB389" s="7"/>
    </row>
    <row r="390" ht="15.75" customHeight="1">
      <c r="A390" s="8">
        <f>IFERROR(__xludf.DUMMYFUNCTION("""COMPUTED_VALUE"""),1976.0)</f>
        <v>1976</v>
      </c>
      <c r="B390" s="9" t="str">
        <f>IFERROR(__xludf.DUMMYFUNCTION("""COMPUTED_VALUE"""),"確定")</f>
        <v>確定</v>
      </c>
      <c r="C390" s="10">
        <f>IFERROR(__xludf.DUMMYFUNCTION("""COMPUTED_VALUE"""),45068.0)</f>
        <v>45068</v>
      </c>
      <c r="D390" s="10">
        <f>IFERROR(__xludf.DUMMYFUNCTION("""COMPUTED_VALUE"""),45069.0)</f>
        <v>45069</v>
      </c>
      <c r="E390" s="8">
        <f>IFERROR(__xludf.DUMMYFUNCTION("""COMPUTED_VALUE"""),270376.0)</f>
        <v>270376</v>
      </c>
      <c r="F390" s="9" t="str">
        <f>IFERROR(__xludf.DUMMYFUNCTION("""COMPUTED_VALUE"""),"大人馴染")</f>
        <v>大人馴染</v>
      </c>
      <c r="G390" s="11" t="str">
        <f>IFERROR(__xludf.DUMMYFUNCTION("""COMPUTED_VALUE"""),"1～4")</f>
        <v>1～4</v>
      </c>
      <c r="H390" s="8" t="str">
        <f>IFERROR(__xludf.DUMMYFUNCTION("""COMPUTED_VALUE"""),"なかじまゆか")</f>
        <v>なかじまゆか</v>
      </c>
      <c r="I390" s="8" t="str">
        <f>IFERROR(__xludf.DUMMYFUNCTION("""COMPUTED_VALUE"""),"オトナ")</f>
        <v>オトナ</v>
      </c>
      <c r="J390" s="8"/>
      <c r="K390" s="8"/>
      <c r="L390" s="8" t="str">
        <f>IFERROR(__xludf.DUMMYFUNCTION("""COMPUTED_VALUE"""),"ナンバーナイン")</f>
        <v>ナンバーナイン</v>
      </c>
      <c r="M390" s="12">
        <f>IFERROR(__xludf.DUMMYFUNCTION("""COMPUTED_VALUE"""),45093.0)</f>
        <v>45093</v>
      </c>
      <c r="N390" s="12">
        <f>IFERROR(__xludf.DUMMYFUNCTION("""COMPUTED_VALUE"""),45184.0)</f>
        <v>45184</v>
      </c>
      <c r="O390" s="11"/>
      <c r="P390" s="9" t="str">
        <f>IFERROR(__xludf.DUMMYFUNCTION("""COMPUTED_VALUE"""),"可")</f>
        <v>可</v>
      </c>
      <c r="Q390" s="8"/>
      <c r="R390" s="9"/>
      <c r="S390" s="8" t="str">
        <f>IFERROR(__xludf.DUMMYFUNCTION("""COMPUTED_VALUE"""),"20230522_ナンバーナイン_なかじまゆか作品")</f>
        <v>20230522_ナンバーナイン_なかじまゆか作品</v>
      </c>
      <c r="T390" s="9"/>
      <c r="U390" s="9" t="str">
        <f>IFERROR(__xludf.DUMMYFUNCTION("""COMPUTED_VALUE"""),"©︎なかじまゆか/ナンバーナイン")</f>
        <v>©︎なかじまゆか/ナンバーナイン</v>
      </c>
      <c r="V390" s="8" t="str">
        <f>IFERROR(__xludf.DUMMYFUNCTION("""COMPUTED_VALUE"""),"舞台は海辺の田舎町。
幼少の頃からお互いをよく知る幼馴染同士が、過去にあった恥ずかしい事件を再体験したことで、大人の幼馴染『大人馴染』へと関係を変えるお話。
【ストーリー】
浜辺の田舎町。幼少の頃に主人公の湊は幼馴染・海咲の恥ずかしい姿を偶然見てしまう
時は流れ、お互い学生になっても幼馴染の関係は続いていた。
湊は過去の恥ずかしい事件をすっかり忘れていたが、一方の海咲はその事件を引きずり、湊にだけ冷たい態度を取っていた
ある日、夏の花火大会で湊は再び海咲の恥ずかしい姿を見てしまう
海咲は湊にまたも恥ずか"&amp;"しい姿を見られたことに怒り、今度は湊に恥ずかしい姿を見せろと強要
お互いに見せ合ううちに歯止めが利かなくなり、
幼馴染は大人の幼馴染『大人馴染』へと関係を変えていく…")</f>
        <v>舞台は海辺の田舎町。
幼少の頃からお互いをよく知る幼馴染同士が、過去にあった恥ずかしい事件を再体験したことで、大人の幼馴染『大人馴染』へと関係を変えるお話。
【ストーリー】
浜辺の田舎町。幼少の頃に主人公の湊は幼馴染・海咲の恥ずかしい姿を偶然見てしまう
時は流れ、お互い学生になっても幼馴染の関係は続いていた。
湊は過去の恥ずかしい事件をすっかり忘れていたが、一方の海咲はその事件を引きずり、湊にだけ冷たい態度を取っていた
ある日、夏の花火大会で湊は再び海咲の恥ずかしい姿を見てしまう
海咲は湊にまたも恥ずかしい姿を見られたことに怒り、今度は湊に恥ずかしい姿を見せろと強要
お互いに見せ合ううちに歯止めが利かなくなり、
幼馴染は大人の幼馴染『大人馴染』へと関係を変えていく…</v>
      </c>
      <c r="W390" s="8"/>
      <c r="X390" s="8" t="str">
        <f>IFERROR(__xludf.DUMMYFUNCTION("""COMPUTED_VALUE"""),"有")</f>
        <v>有</v>
      </c>
      <c r="Y390" s="8" t="str">
        <f>IFERROR(__xludf.DUMMYFUNCTION("""COMPUTED_VALUE"""),"P7まで")</f>
        <v>P7まで</v>
      </c>
      <c r="Z390" s="7"/>
      <c r="AA390" s="7"/>
      <c r="AB390" s="7"/>
    </row>
    <row r="391" ht="15.75" customHeight="1">
      <c r="A391" s="8">
        <f>IFERROR(__xludf.DUMMYFUNCTION("""COMPUTED_VALUE"""),1977.0)</f>
        <v>1977</v>
      </c>
      <c r="B391" s="9" t="str">
        <f>IFERROR(__xludf.DUMMYFUNCTION("""COMPUTED_VALUE"""),"確定")</f>
        <v>確定</v>
      </c>
      <c r="C391" s="10">
        <f>IFERROR(__xludf.DUMMYFUNCTION("""COMPUTED_VALUE"""),45068.0)</f>
        <v>45068</v>
      </c>
      <c r="D391" s="10">
        <f>IFERROR(__xludf.DUMMYFUNCTION("""COMPUTED_VALUE"""),45069.0)</f>
        <v>45069</v>
      </c>
      <c r="E391" s="8">
        <f>IFERROR(__xludf.DUMMYFUNCTION("""COMPUTED_VALUE"""),271062.0)</f>
        <v>271062</v>
      </c>
      <c r="F391" s="9" t="str">
        <f>IFERROR(__xludf.DUMMYFUNCTION("""COMPUTED_VALUE"""),"地味属性ド変態カノジョ")</f>
        <v>地味属性ド変態カノジョ</v>
      </c>
      <c r="G391" s="11">
        <f>IFERROR(__xludf.DUMMYFUNCTION("""COMPUTED_VALUE"""),1.0)</f>
        <v>1</v>
      </c>
      <c r="H391" s="8" t="str">
        <f>IFERROR(__xludf.DUMMYFUNCTION("""COMPUTED_VALUE"""),"なかじまゆか")</f>
        <v>なかじまゆか</v>
      </c>
      <c r="I391" s="8" t="str">
        <f>IFERROR(__xludf.DUMMYFUNCTION("""COMPUTED_VALUE"""),"オトナ")</f>
        <v>オトナ</v>
      </c>
      <c r="J391" s="8"/>
      <c r="K391" s="8"/>
      <c r="L391" s="8" t="str">
        <f>IFERROR(__xludf.DUMMYFUNCTION("""COMPUTED_VALUE"""),"ナンバーナイン")</f>
        <v>ナンバーナイン</v>
      </c>
      <c r="M391" s="12">
        <f>IFERROR(__xludf.DUMMYFUNCTION("""COMPUTED_VALUE"""),45093.0)</f>
        <v>45093</v>
      </c>
      <c r="N391" s="12">
        <f>IFERROR(__xludf.DUMMYFUNCTION("""COMPUTED_VALUE"""),45184.0)</f>
        <v>45184</v>
      </c>
      <c r="O391" s="11"/>
      <c r="P391" s="9" t="str">
        <f>IFERROR(__xludf.DUMMYFUNCTION("""COMPUTED_VALUE"""),"可")</f>
        <v>可</v>
      </c>
      <c r="Q391" s="8"/>
      <c r="R391" s="9"/>
      <c r="S391" s="8" t="str">
        <f>IFERROR(__xludf.DUMMYFUNCTION("""COMPUTED_VALUE"""),"20230522_ナンバーナイン_なかじまゆか作品")</f>
        <v>20230522_ナンバーナイン_なかじまゆか作品</v>
      </c>
      <c r="T391" s="9"/>
      <c r="U391" s="9" t="str">
        <f>IFERROR(__xludf.DUMMYFUNCTION("""COMPUTED_VALUE"""),"©︎なかじまゆか/ナンバーナイン")</f>
        <v>©︎なかじまゆか/ナンバーナイン</v>
      </c>
      <c r="V391" s="8" t="str">
        <f>IFERROR(__xludf.DUMMYFUNCTION("""COMPUTED_VALUE"""),"地味で可愛い彼女が実はド変態＆ド淫乱！？
至ってノーマルな主人公が、彼女の変態Hプレイに巻き込まれながらも受け入れる
変則型ハートフル？いちゃラブストーリー
【ストーリー】
今日は都心で地味だけど可愛い彼女とデートの日
小暮はデート当日に変な夢を見てしまう
彼女の遥香がデートで常識を外れたHな恰好をして、公衆の面前で人目を気にせず迫ってくるという夢だった
夢、と安心するものの、一抹の不安を覚える小暮
だが、デートに来た彼女は至って普通で、安心してデートを始める
しかし、デートを続けるにつれ遥香の挙動が怪"&amp;"しくなっていく
遥香に疑問をぶつけると、とんでもない事実が発覚
コートの中はほぼ裸で、変態プレイをこっそりしていたのだ
家でヤる分にはいいが、まさか外で、人前で…！？
常識と性欲の間で葛藤し、遥香に説得を試みようとするが、
結局受け入れ、遥香が望む変態プレイデートに付き合ってしまうことに…
喫茶店でペッティング、人気のない路地裏で野外セックス、
さらには深夜の公園で露出調教プレイ…
彼女が望む変態淫乱Hプレイを叶え続けていくうちに小暮も…！？")</f>
        <v>地味で可愛い彼女が実はド変態＆ド淫乱！？
至ってノーマルな主人公が、彼女の変態Hプレイに巻き込まれながらも受け入れる
変則型ハートフル？いちゃラブストーリー
【ストーリー】
今日は都心で地味だけど可愛い彼女とデートの日
小暮はデート当日に変な夢を見てしまう
彼女の遥香がデートで常識を外れたHな恰好をして、公衆の面前で人目を気にせず迫ってくるという夢だった
夢、と安心するものの、一抹の不安を覚える小暮
だが、デートに来た彼女は至って普通で、安心してデートを始める
しかし、デートを続けるにつれ遥香の挙動が怪しくなっていく
遥香に疑問をぶつけると、とんでもない事実が発覚
コートの中はほぼ裸で、変態プレイをこっそりしていたのだ
家でヤる分にはいいが、まさか外で、人前で…！？
常識と性欲の間で葛藤し、遥香に説得を試みようとするが、
結局受け入れ、遥香が望む変態プレイデートに付き合ってしまうことに…
喫茶店でペッティング、人気のない路地裏で野外セックス、
さらには深夜の公園で露出調教プレイ…
彼女が望む変態淫乱Hプレイを叶え続けていくうちに小暮も…！？</v>
      </c>
      <c r="W391" s="8"/>
      <c r="X391" s="8" t="str">
        <f>IFERROR(__xludf.DUMMYFUNCTION("""COMPUTED_VALUE"""),"有")</f>
        <v>有</v>
      </c>
      <c r="Y391" s="8" t="str">
        <f>IFERROR(__xludf.DUMMYFUNCTION("""COMPUTED_VALUE"""),"P15まで")</f>
        <v>P15まで</v>
      </c>
      <c r="Z391" s="7"/>
      <c r="AA391" s="7"/>
      <c r="AB391" s="7"/>
    </row>
    <row r="392" ht="15.75" customHeight="1">
      <c r="A392" s="8">
        <f>IFERROR(__xludf.DUMMYFUNCTION("""COMPUTED_VALUE"""),1978.0)</f>
        <v>1978</v>
      </c>
      <c r="B392" s="9" t="str">
        <f>IFERROR(__xludf.DUMMYFUNCTION("""COMPUTED_VALUE"""),"確定")</f>
        <v>確定</v>
      </c>
      <c r="C392" s="10">
        <f>IFERROR(__xludf.DUMMYFUNCTION("""COMPUTED_VALUE"""),45068.0)</f>
        <v>45068</v>
      </c>
      <c r="D392" s="10">
        <f>IFERROR(__xludf.DUMMYFUNCTION("""COMPUTED_VALUE"""),45069.0)</f>
        <v>45069</v>
      </c>
      <c r="E392" s="8">
        <f>IFERROR(__xludf.DUMMYFUNCTION("""COMPUTED_VALUE"""),271060.0)</f>
        <v>271060</v>
      </c>
      <c r="F392" s="9" t="str">
        <f>IFERROR(__xludf.DUMMYFUNCTION("""COMPUTED_VALUE"""),"田舎の出会い系ギャルは巨乳処女！？")</f>
        <v>田舎の出会い系ギャルは巨乳処女！？</v>
      </c>
      <c r="G392" s="11">
        <f>IFERROR(__xludf.DUMMYFUNCTION("""COMPUTED_VALUE"""),1.0)</f>
        <v>1</v>
      </c>
      <c r="H392" s="8" t="str">
        <f>IFERROR(__xludf.DUMMYFUNCTION("""COMPUTED_VALUE"""),"なかじまゆか")</f>
        <v>なかじまゆか</v>
      </c>
      <c r="I392" s="8" t="str">
        <f>IFERROR(__xludf.DUMMYFUNCTION("""COMPUTED_VALUE"""),"オトナ")</f>
        <v>オトナ</v>
      </c>
      <c r="J392" s="8"/>
      <c r="K392" s="8"/>
      <c r="L392" s="8" t="str">
        <f>IFERROR(__xludf.DUMMYFUNCTION("""COMPUTED_VALUE"""),"ナンバーナイン")</f>
        <v>ナンバーナイン</v>
      </c>
      <c r="M392" s="12">
        <f>IFERROR(__xludf.DUMMYFUNCTION("""COMPUTED_VALUE"""),45093.0)</f>
        <v>45093</v>
      </c>
      <c r="N392" s="12">
        <f>IFERROR(__xludf.DUMMYFUNCTION("""COMPUTED_VALUE"""),45184.0)</f>
        <v>45184</v>
      </c>
      <c r="O392" s="11"/>
      <c r="P392" s="9" t="str">
        <f>IFERROR(__xludf.DUMMYFUNCTION("""COMPUTED_VALUE"""),"可")</f>
        <v>可</v>
      </c>
      <c r="Q392" s="8"/>
      <c r="R392" s="9"/>
      <c r="S392" s="8" t="str">
        <f>IFERROR(__xludf.DUMMYFUNCTION("""COMPUTED_VALUE"""),"20230522_ナンバーナイン_なかじまゆか作品")</f>
        <v>20230522_ナンバーナイン_なかじまゆか作品</v>
      </c>
      <c r="T392" s="9"/>
      <c r="U392" s="9" t="str">
        <f>IFERROR(__xludf.DUMMYFUNCTION("""COMPUTED_VALUE"""),"©︎なかじまゆか/ナンバーナイン")</f>
        <v>©︎なかじまゆか/ナンバーナイン</v>
      </c>
      <c r="V392" s="8" t="str">
        <f>IFERROR(__xludf.DUMMYFUNCTION("""COMPUTED_VALUE"""),"田舎に引っ越した主人公が地元のギャルと交流を深めるほっこり系フルカラー漫画
【ストーリー】
主人公・巧は仕事環境が変わったのを機に、親戚のツテを頼り田舎に移住した
親戚がサポートしてくれることもあり、田舎の生活を快適に過ごす巧
そこで親戚の子の同級生で友達というギャルの璃乃と知り合う
聞けば璃乃は最近こちらに越してきて、引っ越す前も引っ越した後も男遊びが盛んなようだった
その後ちょっとしたきっかけで巧と璃乃は交流を始める
引っ越して数か月が過ぎたある日、巧は独り身のさみしさからマッチングアプリを使い、地"&amp;"元の女性と知り合う
早速連絡を取り、会う約束をして実際に会ってみたところ、その相手は璃乃だった
巧は動揺する璃乃を言いくるめてホテルに連れ込みセックスをしたところ、男遊びが盛んだと言い張っていた璃乃はなんと処女だった
巧は璃乃の弱みを握ったのをいいことに璃乃とセフレ関係になり、いつでもどこでもすぐにギャルとヤれる生活を手に入れる
その生活を続けていくうちに巧の心境は段々と変化していき…")</f>
        <v>田舎に引っ越した主人公が地元のギャルと交流を深めるほっこり系フルカラー漫画
【ストーリー】
主人公・巧は仕事環境が変わったのを機に、親戚のツテを頼り田舎に移住した
親戚がサポートしてくれることもあり、田舎の生活を快適に過ごす巧
そこで親戚の子の同級生で友達というギャルの璃乃と知り合う
聞けば璃乃は最近こちらに越してきて、引っ越す前も引っ越した後も男遊びが盛んなようだった
その後ちょっとしたきっかけで巧と璃乃は交流を始める
引っ越して数か月が過ぎたある日、巧は独り身のさみしさからマッチングアプリを使い、地元の女性と知り合う
早速連絡を取り、会う約束をして実際に会ってみたところ、その相手は璃乃だった
巧は動揺する璃乃を言いくるめてホテルに連れ込みセックスをしたところ、男遊びが盛んだと言い張っていた璃乃はなんと処女だった
巧は璃乃の弱みを握ったのをいいことに璃乃とセフレ関係になり、いつでもどこでもすぐにギャルとヤれる生活を手に入れる
その生活を続けていくうちに巧の心境は段々と変化していき…</v>
      </c>
      <c r="W392" s="8"/>
      <c r="X392" s="8" t="str">
        <f>IFERROR(__xludf.DUMMYFUNCTION("""COMPUTED_VALUE"""),"有")</f>
        <v>有</v>
      </c>
      <c r="Y392" s="8" t="str">
        <f>IFERROR(__xludf.DUMMYFUNCTION("""COMPUTED_VALUE"""),"P15まで")</f>
        <v>P15まで</v>
      </c>
      <c r="Z392" s="7"/>
      <c r="AA392" s="7"/>
      <c r="AB392" s="7"/>
    </row>
    <row r="393" ht="15.75" customHeight="1">
      <c r="A393" s="8">
        <f>IFERROR(__xludf.DUMMYFUNCTION("""COMPUTED_VALUE"""),1979.0)</f>
        <v>1979</v>
      </c>
      <c r="B393" s="9" t="str">
        <f>IFERROR(__xludf.DUMMYFUNCTION("""COMPUTED_VALUE"""),"確定")</f>
        <v>確定</v>
      </c>
      <c r="C393" s="10">
        <f>IFERROR(__xludf.DUMMYFUNCTION("""COMPUTED_VALUE"""),45068.0)</f>
        <v>45068</v>
      </c>
      <c r="D393" s="10">
        <f>IFERROR(__xludf.DUMMYFUNCTION("""COMPUTED_VALUE"""),45069.0)</f>
        <v>45069</v>
      </c>
      <c r="E393" s="8">
        <f>IFERROR(__xludf.DUMMYFUNCTION("""COMPUTED_VALUE"""),270377.0)</f>
        <v>270377</v>
      </c>
      <c r="F393" s="9" t="str">
        <f>IFERROR(__xludf.DUMMYFUNCTION("""COMPUTED_VALUE"""),"孕ませ屋")</f>
        <v>孕ませ屋</v>
      </c>
      <c r="G393" s="11" t="str">
        <f>IFERROR(__xludf.DUMMYFUNCTION("""COMPUTED_VALUE"""),"1～2")</f>
        <v>1～2</v>
      </c>
      <c r="H393" s="8" t="str">
        <f>IFERROR(__xludf.DUMMYFUNCTION("""COMPUTED_VALUE"""),"なかじまゆか")</f>
        <v>なかじまゆか</v>
      </c>
      <c r="I393" s="8" t="str">
        <f>IFERROR(__xludf.DUMMYFUNCTION("""COMPUTED_VALUE"""),"オトナ")</f>
        <v>オトナ</v>
      </c>
      <c r="J393" s="8"/>
      <c r="K393" s="8"/>
      <c r="L393" s="8" t="str">
        <f>IFERROR(__xludf.DUMMYFUNCTION("""COMPUTED_VALUE"""),"ナンバーナイン")</f>
        <v>ナンバーナイン</v>
      </c>
      <c r="M393" s="12">
        <f>IFERROR(__xludf.DUMMYFUNCTION("""COMPUTED_VALUE"""),45093.0)</f>
        <v>45093</v>
      </c>
      <c r="N393" s="12">
        <f>IFERROR(__xludf.DUMMYFUNCTION("""COMPUTED_VALUE"""),45184.0)</f>
        <v>45184</v>
      </c>
      <c r="O393" s="11"/>
      <c r="P393" s="9" t="str">
        <f>IFERROR(__xludf.DUMMYFUNCTION("""COMPUTED_VALUE"""),"可")</f>
        <v>可</v>
      </c>
      <c r="Q393" s="8"/>
      <c r="R393" s="9"/>
      <c r="S393" s="8" t="str">
        <f>IFERROR(__xludf.DUMMYFUNCTION("""COMPUTED_VALUE"""),"20230522_ナンバーナイン_なかじまゆか作品")</f>
        <v>20230522_ナンバーナイン_なかじまゆか作品</v>
      </c>
      <c r="T393" s="9"/>
      <c r="U393" s="9" t="str">
        <f>IFERROR(__xludf.DUMMYFUNCTION("""COMPUTED_VALUE"""),"©︎なかじまゆか/ナンバーナイン")</f>
        <v>©︎なかじまゆか/ナンバーナイン</v>
      </c>
      <c r="V393" s="8" t="str">
        <f>IFERROR(__xludf.DUMMYFUNCTION("""COMPUTED_VALUE"""),"寺田暁斗はごく普通のサラリーマンだったが、怪我の治りが異常に早い身体的特徴があった
ある日、遺伝子研究者だった祖父のツテで精子バンクから声がかかる
その昔、寺田の身体的特徴を見た祖父が暁斗の体…血液、細胞、精子を調べた結果、怪我の治りが早い他に
非常に妊娠させやすい遺伝子を持っていることが判明し、それを聞いた寺田は
セックスをすると妊娠させてしまう…とトラウマに
その事を知った精子バンクから精子を提供してくれと依頼が来る
あまりの胡散臭い依頼を怪しんだ寺田だったが、
30歳未満の女性・直接の精子提供（性行"&amp;"為）のみという無茶な条件で、依頼を受けることにする
すると後日、本当に依頼が来てしまい……")</f>
        <v>寺田暁斗はごく普通のサラリーマンだったが、怪我の治りが異常に早い身体的特徴があった
ある日、遺伝子研究者だった祖父のツテで精子バンクから声がかかる
その昔、寺田の身体的特徴を見た祖父が暁斗の体…血液、細胞、精子を調べた結果、怪我の治りが早い他に
非常に妊娠させやすい遺伝子を持っていることが判明し、それを聞いた寺田は
セックスをすると妊娠させてしまう…とトラウマに
その事を知った精子バンクから精子を提供してくれと依頼が来る
あまりの胡散臭い依頼を怪しんだ寺田だったが、
30歳未満の女性・直接の精子提供（性行為）のみという無茶な条件で、依頼を受けることにする
すると後日、本当に依頼が来てしまい……</v>
      </c>
      <c r="W393" s="8"/>
      <c r="X393" s="8" t="str">
        <f>IFERROR(__xludf.DUMMYFUNCTION("""COMPUTED_VALUE"""),"有")</f>
        <v>有</v>
      </c>
      <c r="Y393" s="8" t="str">
        <f>IFERROR(__xludf.DUMMYFUNCTION("""COMPUTED_VALUE"""),"P15まで")</f>
        <v>P15まで</v>
      </c>
      <c r="Z393" s="7"/>
      <c r="AA393" s="7"/>
      <c r="AB393" s="7"/>
    </row>
    <row r="394" ht="15.75" customHeight="1">
      <c r="A394" s="8">
        <f>IFERROR(__xludf.DUMMYFUNCTION("""COMPUTED_VALUE"""),1981.0)</f>
        <v>1981</v>
      </c>
      <c r="B394" s="9" t="str">
        <f>IFERROR(__xludf.DUMMYFUNCTION("""COMPUTED_VALUE"""),"確定")</f>
        <v>確定</v>
      </c>
      <c r="C394" s="10">
        <f>IFERROR(__xludf.DUMMYFUNCTION("""COMPUTED_VALUE"""),45068.0)</f>
        <v>45068</v>
      </c>
      <c r="D394" s="10">
        <f>IFERROR(__xludf.DUMMYFUNCTION("""COMPUTED_VALUE"""),45068.0)</f>
        <v>45068</v>
      </c>
      <c r="E394" s="8">
        <f>IFERROR(__xludf.DUMMYFUNCTION("""COMPUTED_VALUE"""),269905.0)</f>
        <v>269905</v>
      </c>
      <c r="F394" s="9" t="str">
        <f>IFERROR(__xludf.DUMMYFUNCTION("""COMPUTED_VALUE"""),"包帯ごっこ")</f>
        <v>包帯ごっこ</v>
      </c>
      <c r="G394" s="11" t="str">
        <f>IFERROR(__xludf.DUMMYFUNCTION("""COMPUTED_VALUE"""),"1～4")</f>
        <v>1～4</v>
      </c>
      <c r="H394" s="8" t="str">
        <f>IFERROR(__xludf.DUMMYFUNCTION("""COMPUTED_VALUE"""),"山形あおな")</f>
        <v>山形あおな</v>
      </c>
      <c r="I394" s="8" t="str">
        <f>IFERROR(__xludf.DUMMYFUNCTION("""COMPUTED_VALUE"""),"少女")</f>
        <v>少女</v>
      </c>
      <c r="J394" s="8"/>
      <c r="K394" s="8"/>
      <c r="L394" s="8" t="str">
        <f>IFERROR(__xludf.DUMMYFUNCTION("""COMPUTED_VALUE"""),"集英社")</f>
        <v>集英社</v>
      </c>
      <c r="M394" s="12">
        <f>IFERROR(__xludf.DUMMYFUNCTION("""COMPUTED_VALUE"""),45100.0)</f>
        <v>45100</v>
      </c>
      <c r="N394" s="12">
        <f>IFERROR(__xludf.DUMMYFUNCTION("""COMPUTED_VALUE"""),45131.0)</f>
        <v>45131</v>
      </c>
      <c r="O394" s="11"/>
      <c r="P394" s="9" t="str">
        <f>IFERROR(__xludf.DUMMYFUNCTION("""COMPUTED_VALUE"""),"否")</f>
        <v>否</v>
      </c>
      <c r="Q394" s="8" t="str">
        <f>IFERROR(__xludf.DUMMYFUNCTION("""COMPUTED_VALUE"""),"ザ マーガレット")</f>
        <v>ザ マーガレット</v>
      </c>
      <c r="R394" s="9"/>
      <c r="S394" s="8" t="str">
        <f>IFERROR(__xludf.DUMMYFUNCTION("""COMPUTED_VALUE"""),"20230522_集英社_包帯ごっこ")</f>
        <v>20230522_集英社_包帯ごっこ</v>
      </c>
      <c r="T394" s="9"/>
      <c r="U394" s="9" t="str">
        <f>IFERROR(__xludf.DUMMYFUNCTION("""COMPUTED_VALUE"""),"©山形あおな／集英社")</f>
        <v>©山形あおな／集英社</v>
      </c>
      <c r="V394" s="8" t="str">
        <f>IFERROR(__xludf.DUMMYFUNCTION("""COMPUTED_VALUE"""),"広瀬いつきは分相応で勝算のある勝負しかしない、傷つくことが怖い女子高生。ある日、ケガが原因でバスケをやめた学校の有名人・日野に「良い暇つぶし知らない？」と聞かれ、一緒に勉強することに。だんだんと日野を意識するようになったいつきは――!?　医学生のピュア恋STORY、開幕！
")</f>
        <v>広瀬いつきは分相応で勝算のある勝負しかしない、傷つくことが怖い女子高生。ある日、ケガが原因でバスケをやめた学校の有名人・日野に「良い暇つぶし知らない？」と聞かれ、一緒に勉強することに。だんだんと日野を意識するようになったいつきは――!?　医学生のピュア恋STORY、開幕！
</v>
      </c>
      <c r="W394" s="8"/>
      <c r="X394" s="8" t="str">
        <f>IFERROR(__xludf.DUMMYFUNCTION("""COMPUTED_VALUE"""),"有")</f>
        <v>有</v>
      </c>
      <c r="Y394" s="8" t="str">
        <f>IFERROR(__xludf.DUMMYFUNCTION("""COMPUTED_VALUE"""),"P7まで")</f>
        <v>P7まで</v>
      </c>
      <c r="Z394" s="7"/>
      <c r="AA394" s="7"/>
      <c r="AB394" s="7"/>
    </row>
    <row r="395" ht="15.75" customHeight="1">
      <c r="A395" s="8">
        <f>IFERROR(__xludf.DUMMYFUNCTION("""COMPUTED_VALUE"""),1983.0)</f>
        <v>1983</v>
      </c>
      <c r="B395" s="9" t="str">
        <f>IFERROR(__xludf.DUMMYFUNCTION("""COMPUTED_VALUE"""),"確定")</f>
        <v>確定</v>
      </c>
      <c r="C395" s="10">
        <f>IFERROR(__xludf.DUMMYFUNCTION("""COMPUTED_VALUE"""),45069.0)</f>
        <v>45069</v>
      </c>
      <c r="D395" s="10">
        <f>IFERROR(__xludf.DUMMYFUNCTION("""COMPUTED_VALUE"""),45069.0)</f>
        <v>45069</v>
      </c>
      <c r="E395" s="8">
        <f>IFERROR(__xludf.DUMMYFUNCTION("""COMPUTED_VALUE"""),269861.0)</f>
        <v>269861</v>
      </c>
      <c r="F395" s="9" t="str">
        <f>IFERROR(__xludf.DUMMYFUNCTION("""COMPUTED_VALUE"""),"家族になりたかった。～初恋の彼女が義母になりメチャクチャに壊された家～")</f>
        <v>家族になりたかった。～初恋の彼女が義母になりメチャクチャに壊された家～</v>
      </c>
      <c r="G395" s="11" t="str">
        <f>IFERROR(__xludf.DUMMYFUNCTION("""COMPUTED_VALUE"""),"1~3")</f>
        <v>1~3</v>
      </c>
      <c r="H395" s="8" t="str">
        <f>IFERROR(__xludf.DUMMYFUNCTION("""COMPUTED_VALUE"""),"Gabu")</f>
        <v>Gabu</v>
      </c>
      <c r="I395" s="8" t="str">
        <f>IFERROR(__xludf.DUMMYFUNCTION("""COMPUTED_VALUE"""),"青年")</f>
        <v>青年</v>
      </c>
      <c r="J395" s="8"/>
      <c r="K395" s="8"/>
      <c r="L395" s="8" t="str">
        <f>IFERROR(__xludf.DUMMYFUNCTION("""COMPUTED_VALUE"""),"コミックストック")</f>
        <v>コミックストック</v>
      </c>
      <c r="M395" s="12">
        <f>IFERROR(__xludf.DUMMYFUNCTION("""COMPUTED_VALUE"""),45088.0)</f>
        <v>45088</v>
      </c>
      <c r="N395" s="12">
        <f>IFERROR(__xludf.DUMMYFUNCTION("""COMPUTED_VALUE"""),45185.0)</f>
        <v>45185</v>
      </c>
      <c r="O395" s="11"/>
      <c r="P395" s="9" t="str">
        <f>IFERROR(__xludf.DUMMYFUNCTION("""COMPUTED_VALUE"""),"可")</f>
        <v>可</v>
      </c>
      <c r="Q395" s="8" t="str">
        <f>IFERROR(__xludf.DUMMYFUNCTION("""COMPUTED_VALUE"""),"協業：シーモア×DEDEDE&lt;BR&gt;素材格納済（5/23）※3話が1巻分になります")</f>
        <v>協業：シーモア×DEDEDE&lt;BR&gt;素材格納済（5/23）※3話が1巻分になります</v>
      </c>
      <c r="R395" s="9" t="str">
        <f>IFERROR(__xludf.DUMMYFUNCTION("""COMPUTED_VALUE"""),"格納済")</f>
        <v>格納済</v>
      </c>
      <c r="S395" s="8" t="str">
        <f>IFERROR(__xludf.DUMMYFUNCTION("""COMPUTED_VALUE"""),"20230523_コミックストック_家族になりたかった。")</f>
        <v>20230523_コミックストック_家族になりたかった。</v>
      </c>
      <c r="T395" s="9" t="str">
        <f>IFERROR(__xludf.DUMMYFUNCTION("""COMPUTED_VALUE"""),"校了済素材")</f>
        <v>校了済素材</v>
      </c>
      <c r="U395" s="9" t="str">
        <f>IFERROR(__xludf.DUMMYFUNCTION("""COMPUTED_VALUE"""),"ⓒGabu/コミックストック")</f>
        <v>ⓒGabu/コミックストック</v>
      </c>
      <c r="V395" s="8" t="str">
        <f>IFERROR(__xludf.DUMMYFUNCTION("""COMPUTED_VALUE"""),"俺【井沢良太】は、学校の先輩【秋月美織】に恋をしている…。でも陰キャな俺は陰からこっそり見ては先輩をモデルとしたエッチな絵を描いて、SNSの鍵垢にこっそり上げていた。だけど、俺の絵が掲示板に晒され学校中からキモオタ扱いをされてしまう…。先輩に謝ろうと思うも…、声をかける勇気もなく、先輩は卒業をしていった…。そんな俺の苦い初恋の思い出が消えたある日、帰宅すると父から突然、再婚相手を紹介されて…。「いや、嘘だろ…？　待ってくれ、だってその人は…俺の憧れ、秋月…先輩？」―――でも美しい彼女は、笑顔で僕の家族・心"&amp;"、カラダ…全てを壊していった――！")</f>
        <v>俺【井沢良太】は、学校の先輩【秋月美織】に恋をしている…。でも陰キャな俺は陰からこっそり見ては先輩をモデルとしたエッチな絵を描いて、SNSの鍵垢にこっそり上げていた。だけど、俺の絵が掲示板に晒され学校中からキモオタ扱いをされてしまう…。先輩に謝ろうと思うも…、声をかける勇気もなく、先輩は卒業をしていった…。そんな俺の苦い初恋の思い出が消えたある日、帰宅すると父から突然、再婚相手を紹介されて…。「いや、嘘だろ…？　待ってくれ、だってその人は…俺の憧れ、秋月…先輩？」―――でも美しい彼女は、笑顔で僕の家族・心、カラダ…全てを壊していった――！</v>
      </c>
      <c r="W395" s="8"/>
      <c r="X395" s="8" t="str">
        <f>IFERROR(__xludf.DUMMYFUNCTION("""COMPUTED_VALUE"""),"有")</f>
        <v>有</v>
      </c>
      <c r="Y395" s="8" t="str">
        <f>IFERROR(__xludf.DUMMYFUNCTION("""COMPUTED_VALUE"""),"P10まで")</f>
        <v>P10まで</v>
      </c>
      <c r="Z395" s="7"/>
      <c r="AA395" s="7"/>
      <c r="AB395" s="7"/>
    </row>
    <row r="396" ht="15.75" customHeight="1">
      <c r="A396" s="8">
        <f>IFERROR(__xludf.DUMMYFUNCTION("""COMPUTED_VALUE"""),1984.0)</f>
        <v>1984</v>
      </c>
      <c r="B396" s="9" t="str">
        <f>IFERROR(__xludf.DUMMYFUNCTION("""COMPUTED_VALUE"""),"確定")</f>
        <v>確定</v>
      </c>
      <c r="C396" s="10">
        <f>IFERROR(__xludf.DUMMYFUNCTION("""COMPUTED_VALUE"""),45069.0)</f>
        <v>45069</v>
      </c>
      <c r="D396" s="10">
        <f>IFERROR(__xludf.DUMMYFUNCTION("""COMPUTED_VALUE"""),45069.0)</f>
        <v>45069</v>
      </c>
      <c r="E396" s="8">
        <f>IFERROR(__xludf.DUMMYFUNCTION("""COMPUTED_VALUE"""),269385.0)</f>
        <v>269385</v>
      </c>
      <c r="F396" s="9" t="str">
        <f>IFERROR(__xludf.DUMMYFUNCTION("""COMPUTED_VALUE"""),"氷の城壁 単行本版【フルカラー】")</f>
        <v>氷の城壁 単行本版【フルカラー】</v>
      </c>
      <c r="G396" s="11" t="str">
        <f>IFERROR(__xludf.DUMMYFUNCTION("""COMPUTED_VALUE"""),"1～2")</f>
        <v>1～2</v>
      </c>
      <c r="H396" s="8" t="str">
        <f>IFERROR(__xludf.DUMMYFUNCTION("""COMPUTED_VALUE"""),"阿賀沢紅茶")</f>
        <v>阿賀沢紅茶</v>
      </c>
      <c r="I396" s="8" t="str">
        <f>IFERROR(__xludf.DUMMYFUNCTION("""COMPUTED_VALUE"""),"女性")</f>
        <v>女性</v>
      </c>
      <c r="J396" s="8"/>
      <c r="K396" s="8"/>
      <c r="L396" s="8" t="str">
        <f>IFERROR(__xludf.DUMMYFUNCTION("""COMPUTED_VALUE"""),"集英社")</f>
        <v>集英社</v>
      </c>
      <c r="M396" s="12">
        <f>IFERROR(__xludf.DUMMYFUNCTION("""COMPUTED_VALUE"""),45081.0)</f>
        <v>45081</v>
      </c>
      <c r="N396" s="12">
        <f>IFERROR(__xludf.DUMMYFUNCTION("""COMPUTED_VALUE"""),45110.0)</f>
        <v>45110</v>
      </c>
      <c r="O396" s="11"/>
      <c r="P396" s="9" t="str">
        <f>IFERROR(__xludf.DUMMYFUNCTION("""COMPUTED_VALUE"""),"否")</f>
        <v>否</v>
      </c>
      <c r="Q396" s="8" t="str">
        <f>IFERROR(__xludf.DUMMYFUNCTION("""COMPUTED_VALUE"""),"マーガレット")</f>
        <v>マーガレット</v>
      </c>
      <c r="R396" s="9"/>
      <c r="S396" s="8" t="str">
        <f>IFERROR(__xludf.DUMMYFUNCTION("""COMPUTED_VALUE"""),"20230523_集英社_氷の城壁単行本")</f>
        <v>20230523_集英社_氷の城壁単行本</v>
      </c>
      <c r="T396" s="9"/>
      <c r="U396" s="9" t="str">
        <f>IFERROR(__xludf.DUMMYFUNCTION("""COMPUTED_VALUE"""),"©阿賀沢紅茶")</f>
        <v>©阿賀沢紅茶</v>
      </c>
      <c r="V396" s="8" t="str">
        <f>IFERROR(__xludf.DUMMYFUNCTION("""COMPUTED_VALUE"""),"人と接するのが苦手で、他人との間を壁で隔ててしまう氷川小雪。高校では誰ともつるまずに1人で過ごしていたけど、なぜかぐいぐい距離を詰めてくる雨宮ミナトと出会い――？　孤高の女子・小雪、学校の人気者・美姫、距離ナシ男子・ミナト、のんびり優しい雰囲気のヨータ。どこかちょっとこじれた4人の、もどかしい青春混線ストーリー、第1巻！
")</f>
        <v>人と接するのが苦手で、他人との間を壁で隔ててしまう氷川小雪。高校では誰ともつるまずに1人で過ごしていたけど、なぜかぐいぐい距離を詰めてくる雨宮ミナトと出会い――？　孤高の女子・小雪、学校の人気者・美姫、距離ナシ男子・ミナト、のんびり優しい雰囲気のヨータ。どこかちょっとこじれた4人の、もどかしい青春混線ストーリー、第1巻！
</v>
      </c>
      <c r="W396" s="8"/>
      <c r="X396" s="9" t="str">
        <f>IFERROR(__xludf.DUMMYFUNCTION("""COMPUTED_VALUE"""),"有")</f>
        <v>有</v>
      </c>
      <c r="Y396" s="8" t="str">
        <f>IFERROR(__xludf.DUMMYFUNCTION("""COMPUTED_VALUE"""),"1～2巻目立ち読み増量（6/17まで）
1巻目：P80まで
2巻目：P40まで")</f>
        <v>1～2巻目立ち読み増量（6/17まで）
1巻目：P80まで
2巻目：P40まで</v>
      </c>
      <c r="Z396" s="7"/>
      <c r="AA396" s="7"/>
      <c r="AB396" s="7"/>
    </row>
    <row r="397" ht="15.75" customHeight="1">
      <c r="A397" s="8">
        <f>IFERROR(__xludf.DUMMYFUNCTION("""COMPUTED_VALUE"""),1985.0)</f>
        <v>1985</v>
      </c>
      <c r="B397" s="9" t="str">
        <f>IFERROR(__xludf.DUMMYFUNCTION("""COMPUTED_VALUE"""),"確定")</f>
        <v>確定</v>
      </c>
      <c r="C397" s="10">
        <f>IFERROR(__xludf.DUMMYFUNCTION("""COMPUTED_VALUE"""),45069.0)</f>
        <v>45069</v>
      </c>
      <c r="D397" s="10">
        <f>IFERROR(__xludf.DUMMYFUNCTION("""COMPUTED_VALUE"""),45069.0)</f>
        <v>45069</v>
      </c>
      <c r="E397" s="8">
        <f>IFERROR(__xludf.DUMMYFUNCTION("""COMPUTED_VALUE"""),255459.0)</f>
        <v>255459</v>
      </c>
      <c r="F397" s="9" t="str">
        <f>IFERROR(__xludf.DUMMYFUNCTION("""COMPUTED_VALUE"""),"竿姉妹(フルカラー)")</f>
        <v>竿姉妹(フルカラー)</v>
      </c>
      <c r="G397" s="11" t="str">
        <f>IFERROR(__xludf.DUMMYFUNCTION("""COMPUTED_VALUE"""),"1～3")</f>
        <v>1～3</v>
      </c>
      <c r="H397" s="8" t="str">
        <f>IFERROR(__xludf.DUMMYFUNCTION("""COMPUTED_VALUE"""),"sweet,HolyMolly")</f>
        <v>sweet,HolyMolly</v>
      </c>
      <c r="I397" s="14" t="str">
        <f>IFERROR(__xludf.DUMMYFUNCTION("""COMPUTED_VALUE"""),"青年")</f>
        <v>青年</v>
      </c>
      <c r="J397" s="8"/>
      <c r="K397" s="8"/>
      <c r="L397" s="8" t="str">
        <f>IFERROR(__xludf.DUMMYFUNCTION("""COMPUTED_VALUE"""),"ソルマーレ編集部")</f>
        <v>ソルマーレ編集部</v>
      </c>
      <c r="M397" s="12">
        <f>IFERROR(__xludf.DUMMYFUNCTION("""COMPUTED_VALUE"""),45101.0)</f>
        <v>45101</v>
      </c>
      <c r="N397" s="12">
        <f>IFERROR(__xludf.DUMMYFUNCTION("""COMPUTED_VALUE"""),45162.0)</f>
        <v>45162</v>
      </c>
      <c r="O397" s="11"/>
      <c r="P397" s="9" t="str">
        <f>IFERROR(__xludf.DUMMYFUNCTION("""COMPUTED_VALUE"""),"可")</f>
        <v>可</v>
      </c>
      <c r="Q397" s="8" t="str">
        <f>IFERROR(__xludf.DUMMYFUNCTION("""COMPUTED_VALUE"""),"※素材につきまして完成次第格納いたします、5/26格納予定です（5/23）")</f>
        <v>※素材につきまして完成次第格納いたします、5/26格納予定です（5/23）</v>
      </c>
      <c r="R397" s="9"/>
      <c r="S397" s="8" t="str">
        <f>IFERROR(__xludf.DUMMYFUNCTION("""COMPUTED_VALUE"""),"20230522_ソルマーレ編集部_竿姉妹（フルカラー）")</f>
        <v>20230522_ソルマーレ編集部_竿姉妹（フルカラー）</v>
      </c>
      <c r="T397" s="15"/>
      <c r="U397" s="9" t="str">
        <f>IFERROR(__xludf.DUMMYFUNCTION("""COMPUTED_VALUE"""),"Ⓒ sweet/HolyMolly/TOPCO/シーモアコミックス")</f>
        <v>Ⓒ sweet/HolyMolly/TOPCO/シーモアコミックス</v>
      </c>
      <c r="V397" s="8" t="str">
        <f>IFERROR(__xludf.DUMMYFUNCTION("""COMPUTED_VALUE"""),"名門大学を出たが就活が上手くいかず実家でニートをしている徹平。父親からは冷たい扱いをされるし、仮想通貨でも当てて早くこんな家出ていきたい…そんな風に思っていた矢先、父親が再婚相手としてスタイル抜群の美人・愛花さんを連れてきた!こんな美人がお母さんなんて…しかも愛花さんにはカワイイ妹までいて!?美女姉妹とのまさかの展開に最高の実家生活開幕!【桃色エンジェル】
")</f>
        <v>名門大学を出たが就活が上手くいかず実家でニートをしている徹平。父親からは冷たい扱いをされるし、仮想通貨でも当てて早くこんな家出ていきたい…そんな風に思っていた矢先、父親が再婚相手としてスタイル抜群の美人・愛花さんを連れてきた!こんな美人がお母さんなんて…しかも愛花さんにはカワイイ妹までいて!?美女姉妹とのまさかの展開に最高の実家生活開幕!【桃色エンジェル】
</v>
      </c>
      <c r="W397" s="8"/>
      <c r="X397" s="8" t="str">
        <f>IFERROR(__xludf.DUMMYFUNCTION("""COMPUTED_VALUE"""),"有")</f>
        <v>有</v>
      </c>
      <c r="Y397" s="8" t="str">
        <f>IFERROR(__xludf.DUMMYFUNCTION("""COMPUTED_VALUE"""),"7/7まで1巻無料")</f>
        <v>7/7まで1巻無料</v>
      </c>
      <c r="Z397" s="7"/>
      <c r="AA397" s="7"/>
      <c r="AB397" s="7"/>
    </row>
    <row r="398" ht="15.75" customHeight="1">
      <c r="A398" s="8">
        <f>IFERROR(__xludf.DUMMYFUNCTION("""COMPUTED_VALUE"""),1986.0)</f>
        <v>1986</v>
      </c>
      <c r="B398" s="9" t="str">
        <f>IFERROR(__xludf.DUMMYFUNCTION("""COMPUTED_VALUE"""),"確定")</f>
        <v>確定</v>
      </c>
      <c r="C398" s="10">
        <f>IFERROR(__xludf.DUMMYFUNCTION("""COMPUTED_VALUE"""),45069.0)</f>
        <v>45069</v>
      </c>
      <c r="D398" s="10">
        <f>IFERROR(__xludf.DUMMYFUNCTION("""COMPUTED_VALUE"""),45069.0)</f>
        <v>45069</v>
      </c>
      <c r="E398" s="8">
        <f>IFERROR(__xludf.DUMMYFUNCTION("""COMPUTED_VALUE"""),255460.0)</f>
        <v>255460</v>
      </c>
      <c r="F398" s="9" t="str">
        <f>IFERROR(__xludf.DUMMYFUNCTION("""COMPUTED_VALUE"""),"竿姉妹【タテヨミ】")</f>
        <v>竿姉妹【タテヨミ】</v>
      </c>
      <c r="G398" s="11" t="str">
        <f>IFERROR(__xludf.DUMMYFUNCTION("""COMPUTED_VALUE"""),"1～9")</f>
        <v>1～9</v>
      </c>
      <c r="H398" s="8" t="str">
        <f>IFERROR(__xludf.DUMMYFUNCTION("""COMPUTED_VALUE"""),"sweet,HolyMolly")</f>
        <v>sweet,HolyMolly</v>
      </c>
      <c r="I398" s="14" t="str">
        <f>IFERROR(__xludf.DUMMYFUNCTION("""COMPUTED_VALUE"""),"青年")</f>
        <v>青年</v>
      </c>
      <c r="J398" s="8"/>
      <c r="K398" s="8"/>
      <c r="L398" s="8" t="str">
        <f>IFERROR(__xludf.DUMMYFUNCTION("""COMPUTED_VALUE"""),"ソルマーレ編集部")</f>
        <v>ソルマーレ編集部</v>
      </c>
      <c r="M398" s="12">
        <f>IFERROR(__xludf.DUMMYFUNCTION("""COMPUTED_VALUE"""),45101.0)</f>
        <v>45101</v>
      </c>
      <c r="N398" s="12">
        <f>IFERROR(__xludf.DUMMYFUNCTION("""COMPUTED_VALUE"""),45162.0)</f>
        <v>45162</v>
      </c>
      <c r="O398" s="11"/>
      <c r="P398" s="9" t="str">
        <f>IFERROR(__xludf.DUMMYFUNCTION("""COMPUTED_VALUE"""),"可")</f>
        <v>可</v>
      </c>
      <c r="Q398" s="8" t="str">
        <f>IFERROR(__xludf.DUMMYFUNCTION("""COMPUTED_VALUE"""),"コマサム等素材は「255459　竿姉妹（フルカラー）」のほうをお使いください。&lt;BR&gt;バナー制作はフルカラー版の素材を利用して問題ございません。&lt;BR&gt;")</f>
        <v>コマサム等素材は「255459　竿姉妹（フルカラー）」のほうをお使いください。&lt;BR&gt;バナー制作はフルカラー版の素材を利用して問題ございません。&lt;BR&gt;</v>
      </c>
      <c r="R398" s="9"/>
      <c r="S398" s="8" t="str">
        <f>IFERROR(__xludf.DUMMYFUNCTION("""COMPUTED_VALUE"""),"20230522_ソルマーレ編集部_竿姉妹【タテヨミ】")</f>
        <v>20230522_ソルマーレ編集部_竿姉妹【タテヨミ】</v>
      </c>
      <c r="T398" s="15"/>
      <c r="U398" s="9" t="str">
        <f>IFERROR(__xludf.DUMMYFUNCTION("""COMPUTED_VALUE"""),"Ⓒ sweet/HolyMolly/TOPCO/シーモアコミックス")</f>
        <v>Ⓒ sweet/HolyMolly/TOPCO/シーモアコミックス</v>
      </c>
      <c r="V398" s="8" t="str">
        <f>IFERROR(__xludf.DUMMYFUNCTION("""COMPUTED_VALUE"""),"名門大学を出たが就活が上手くいかず実家でニートをしている徹平。父親からは冷たい扱いをされるし、仮想通貨でも当てて早くこんな家出ていきたい…そんな風に思っていた矢先、父親が再婚相手としてスタイル抜群の美人・愛花さんを連れてきた!こんな美人がお母さんなんて…しかも愛花さんにはカワイイ妹までいて!?美女姉妹とのまさかの展開に最高の実家生活開幕!【桃色エンジェル】
")</f>
        <v>名門大学を出たが就活が上手くいかず実家でニートをしている徹平。父親からは冷たい扱いをされるし、仮想通貨でも当てて早くこんな家出ていきたい…そんな風に思っていた矢先、父親が再婚相手としてスタイル抜群の美人・愛花さんを連れてきた!こんな美人がお母さんなんて…しかも愛花さんにはカワイイ妹までいて!?美女姉妹とのまさかの展開に最高の実家生活開幕!【桃色エンジェル】
</v>
      </c>
      <c r="W398" s="8"/>
      <c r="X398" s="8" t="str">
        <f>IFERROR(__xludf.DUMMYFUNCTION("""COMPUTED_VALUE"""),"有")</f>
        <v>有</v>
      </c>
      <c r="Y398" s="8" t="str">
        <f>IFERROR(__xludf.DUMMYFUNCTION("""COMPUTED_VALUE"""),"7/7まで1~3巻無料")</f>
        <v>7/7まで1~3巻無料</v>
      </c>
      <c r="Z398" s="7"/>
      <c r="AA398" s="7"/>
      <c r="AB398" s="7"/>
    </row>
    <row r="399" ht="15.75" customHeight="1">
      <c r="A399" s="8">
        <f>IFERROR(__xludf.DUMMYFUNCTION("""COMPUTED_VALUE"""),1987.0)</f>
        <v>1987</v>
      </c>
      <c r="B399" s="9" t="str">
        <f>IFERROR(__xludf.DUMMYFUNCTION("""COMPUTED_VALUE"""),"確定")</f>
        <v>確定</v>
      </c>
      <c r="C399" s="10">
        <f>IFERROR(__xludf.DUMMYFUNCTION("""COMPUTED_VALUE"""),45069.0)</f>
        <v>45069</v>
      </c>
      <c r="D399" s="10">
        <f>IFERROR(__xludf.DUMMYFUNCTION("""COMPUTED_VALUE"""),45069.0)</f>
        <v>45069</v>
      </c>
      <c r="E399" s="8">
        <f>IFERROR(__xludf.DUMMYFUNCTION("""COMPUTED_VALUE"""),269906.0)</f>
        <v>269906</v>
      </c>
      <c r="F399" s="9" t="str">
        <f>IFERROR(__xludf.DUMMYFUNCTION("""COMPUTED_VALUE"""),"従僕と鳥籠の花嫁 分冊版")</f>
        <v>従僕と鳥籠の花嫁 分冊版</v>
      </c>
      <c r="G399" s="11" t="str">
        <f>IFERROR(__xludf.DUMMYFUNCTION("""COMPUTED_VALUE"""),"1～4")</f>
        <v>1～4</v>
      </c>
      <c r="H399" s="8" t="str">
        <f>IFERROR(__xludf.DUMMYFUNCTION("""COMPUTED_VALUE"""),"本田 楓")</f>
        <v>本田 楓</v>
      </c>
      <c r="I399" s="8" t="str">
        <f>IFERROR(__xludf.DUMMYFUNCTION("""COMPUTED_VALUE"""),"女性")</f>
        <v>女性</v>
      </c>
      <c r="J399" s="8"/>
      <c r="K399" s="8"/>
      <c r="L399" s="8" t="str">
        <f>IFERROR(__xludf.DUMMYFUNCTION("""COMPUTED_VALUE"""),"集英社")</f>
        <v>集英社</v>
      </c>
      <c r="M399" s="12">
        <f>IFERROR(__xludf.DUMMYFUNCTION("""COMPUTED_VALUE"""),45100.0)</f>
        <v>45100</v>
      </c>
      <c r="N399" s="12">
        <f>IFERROR(__xludf.DUMMYFUNCTION("""COMPUTED_VALUE"""),45162.0)</f>
        <v>45162</v>
      </c>
      <c r="O399" s="11"/>
      <c r="P399" s="9" t="str">
        <f>IFERROR(__xludf.DUMMYFUNCTION("""COMPUTED_VALUE"""),"否")</f>
        <v>否</v>
      </c>
      <c r="Q399" s="8" t="str">
        <f>IFERROR(__xludf.DUMMYFUNCTION("""COMPUTED_VALUE"""),"別冊マーガレット")</f>
        <v>別冊マーガレット</v>
      </c>
      <c r="R399" s="9"/>
      <c r="S399" s="8" t="str">
        <f>IFERROR(__xludf.DUMMYFUNCTION("""COMPUTED_VALUE"""),"20230523_集英社_従僕と鳥籠の花嫁")</f>
        <v>20230523_集英社_従僕と鳥籠の花嫁</v>
      </c>
      <c r="T399" s="9"/>
      <c r="U399" s="9" t="str">
        <f>IFERROR(__xludf.DUMMYFUNCTION("""COMPUTED_VALUE"""),"©本田楓／集英社")</f>
        <v>©本田楓／集英社</v>
      </c>
      <c r="V399" s="8" t="str">
        <f>IFERROR(__xludf.DUMMYFUNCTION("""COMPUTED_VALUE"""),"【令嬢と使用人の禁断の恋！】旧家の箱入り娘・藤乃は、幼い頃から自由を奪われ、厳しい躾と家の規則に縛られて生きてきた18歳。自分の身の回りの世話をする使用人の廣臣に密かな恋心を抱いているけれど……？　『別冊マーガレット』で大反響！　身分違いの初恋ストーリー、分冊版で登場！
")</f>
        <v>【令嬢と使用人の禁断の恋！】旧家の箱入り娘・藤乃は、幼い頃から自由を奪われ、厳しい躾と家の規則に縛られて生きてきた18歳。自分の身の回りの世話をする使用人の廣臣に密かな恋心を抱いているけれど……？　『別冊マーガレット』で大反響！　身分違いの初恋ストーリー、分冊版で登場！
</v>
      </c>
      <c r="W399" s="8"/>
      <c r="X399" s="8" t="str">
        <f>IFERROR(__xludf.DUMMYFUNCTION("""COMPUTED_VALUE"""),"有")</f>
        <v>有</v>
      </c>
      <c r="Y399" s="8" t="str">
        <f>IFERROR(__xludf.DUMMYFUNCTION("""COMPUTED_VALUE"""),"P27まで")</f>
        <v>P27まで</v>
      </c>
      <c r="Z399" s="7"/>
      <c r="AA399" s="7"/>
      <c r="AB399" s="7"/>
    </row>
    <row r="400" ht="15.75" customHeight="1">
      <c r="A400" s="8">
        <f>IFERROR(__xludf.DUMMYFUNCTION("""COMPUTED_VALUE"""),1988.0)</f>
        <v>1988</v>
      </c>
      <c r="B400" s="9" t="str">
        <f>IFERROR(__xludf.DUMMYFUNCTION("""COMPUTED_VALUE"""),"確定")</f>
        <v>確定</v>
      </c>
      <c r="C400" s="10">
        <f>IFERROR(__xludf.DUMMYFUNCTION("""COMPUTED_VALUE"""),45069.0)</f>
        <v>45069</v>
      </c>
      <c r="D400" s="10">
        <f>IFERROR(__xludf.DUMMYFUNCTION("""COMPUTED_VALUE"""),45069.0)</f>
        <v>45069</v>
      </c>
      <c r="E400" s="8">
        <f>IFERROR(__xludf.DUMMYFUNCTION("""COMPUTED_VALUE"""),261004.0)</f>
        <v>261004</v>
      </c>
      <c r="F400" s="9" t="str">
        <f>IFERROR(__xludf.DUMMYFUNCTION("""COMPUTED_VALUE"""),"ホストクラブの内勤は逆玉に乗りたい(フルカラー)")</f>
        <v>ホストクラブの内勤は逆玉に乗りたい(フルカラー)</v>
      </c>
      <c r="G400" s="11" t="str">
        <f>IFERROR(__xludf.DUMMYFUNCTION("""COMPUTED_VALUE"""),"1～3")</f>
        <v>1～3</v>
      </c>
      <c r="H400" s="8" t="str">
        <f>IFERROR(__xludf.DUMMYFUNCTION("""COMPUTED_VALUE"""),"kuronika,MaruKun")</f>
        <v>kuronika,MaruKun</v>
      </c>
      <c r="I400" s="14" t="str">
        <f>IFERROR(__xludf.DUMMYFUNCTION("""COMPUTED_VALUE"""),"青年")</f>
        <v>青年</v>
      </c>
      <c r="J400" s="8"/>
      <c r="K400" s="8"/>
      <c r="L400" s="8" t="str">
        <f>IFERROR(__xludf.DUMMYFUNCTION("""COMPUTED_VALUE"""),"ソルマーレ編集部")</f>
        <v>ソルマーレ編集部</v>
      </c>
      <c r="M400" s="12">
        <f>IFERROR(__xludf.DUMMYFUNCTION("""COMPUTED_VALUE"""),45101.0)</f>
        <v>45101</v>
      </c>
      <c r="N400" s="12">
        <f>IFERROR(__xludf.DUMMYFUNCTION("""COMPUTED_VALUE"""),45162.0)</f>
        <v>45162</v>
      </c>
      <c r="O400" s="11"/>
      <c r="P400" s="9" t="str">
        <f>IFERROR(__xludf.DUMMYFUNCTION("""COMPUTED_VALUE"""),"可")</f>
        <v>可</v>
      </c>
      <c r="Q400" s="8" t="str">
        <f>IFERROR(__xludf.DUMMYFUNCTION("""COMPUTED_VALUE"""),"※素材につきまして完成次第格納いたします、5/26格納予定です（5/23）")</f>
        <v>※素材につきまして完成次第格納いたします、5/26格納予定です（5/23）</v>
      </c>
      <c r="R400" s="9"/>
      <c r="S400" s="8" t="str">
        <f>IFERROR(__xludf.DUMMYFUNCTION("""COMPUTED_VALUE"""),"20230522_ソルマーレ編集部_ホストクラブの内勤は逆玉に乗りたい（フルカラー）")</f>
        <v>20230522_ソルマーレ編集部_ホストクラブの内勤は逆玉に乗りたい（フルカラー）</v>
      </c>
      <c r="T400" s="15"/>
      <c r="U400" s="9" t="str">
        <f>IFERROR(__xludf.DUMMYFUNCTION("""COMPUTED_VALUE"""),"Ⓒ kuronika/MaruKun/TOPCO/シーモアコミックス")</f>
        <v>Ⓒ kuronika/MaruKun/TOPCO/シーモアコミックス</v>
      </c>
      <c r="V400" s="8" t="str">
        <f>IFERROR(__xludf.DUMMYFUNCTION("""COMPUTED_VALUE"""),"ホストクラブで内勤として働く快斗は実家が貧乏なこともあり昔から金持ちになることが夢だった。しかし現実は毎月の支払いに追われる日々。金持ちになるなんて夢のまた夢…そんなある日、快斗の小学生時代の知り合いだった美人令嬢・一条カンナが現れ快斗に実家の専属運転手になってほしいと依頼を持ちかけてきて…!?ホストクラブで磨いたテクを駆使し一条家に取り入っていく快斗の行く末はいかに――…【ズズズキュン！】")</f>
        <v>ホストクラブで内勤として働く快斗は実家が貧乏なこともあり昔から金持ちになることが夢だった。しかし現実は毎月の支払いに追われる日々。金持ちになるなんて夢のまた夢…そんなある日、快斗の小学生時代の知り合いだった美人令嬢・一条カンナが現れ快斗に実家の専属運転手になってほしいと依頼を持ちかけてきて…!?ホストクラブで磨いたテクを駆使し一条家に取り入っていく快斗の行く末はいかに――…【ズズズキュン！】</v>
      </c>
      <c r="W400" s="8"/>
      <c r="X400" s="8" t="str">
        <f>IFERROR(__xludf.DUMMYFUNCTION("""COMPUTED_VALUE"""),"有")</f>
        <v>有</v>
      </c>
      <c r="Y400" s="8" t="str">
        <f>IFERROR(__xludf.DUMMYFUNCTION("""COMPUTED_VALUE"""),"7/7まで1巻無料")</f>
        <v>7/7まで1巻無料</v>
      </c>
      <c r="Z400" s="7"/>
      <c r="AA400" s="7"/>
      <c r="AB400" s="7"/>
    </row>
    <row r="401" ht="15.75" customHeight="1">
      <c r="A401" s="8">
        <f>IFERROR(__xludf.DUMMYFUNCTION("""COMPUTED_VALUE"""),1989.0)</f>
        <v>1989</v>
      </c>
      <c r="B401" s="9" t="str">
        <f>IFERROR(__xludf.DUMMYFUNCTION("""COMPUTED_VALUE"""),"確定")</f>
        <v>確定</v>
      </c>
      <c r="C401" s="10">
        <f>IFERROR(__xludf.DUMMYFUNCTION("""COMPUTED_VALUE"""),45069.0)</f>
        <v>45069</v>
      </c>
      <c r="D401" s="10">
        <f>IFERROR(__xludf.DUMMYFUNCTION("""COMPUTED_VALUE"""),45069.0)</f>
        <v>45069</v>
      </c>
      <c r="E401" s="8">
        <f>IFERROR(__xludf.DUMMYFUNCTION("""COMPUTED_VALUE"""),261005.0)</f>
        <v>261005</v>
      </c>
      <c r="F401" s="9" t="str">
        <f>IFERROR(__xludf.DUMMYFUNCTION("""COMPUTED_VALUE"""),"ホストクラブの内勤は逆玉に乗りたい【タテヨミ】")</f>
        <v>ホストクラブの内勤は逆玉に乗りたい【タテヨミ】</v>
      </c>
      <c r="G401" s="11" t="str">
        <f>IFERROR(__xludf.DUMMYFUNCTION("""COMPUTED_VALUE"""),"1～9")</f>
        <v>1～9</v>
      </c>
      <c r="H401" s="8" t="str">
        <f>IFERROR(__xludf.DUMMYFUNCTION("""COMPUTED_VALUE"""),"kuronika,MaruKun")</f>
        <v>kuronika,MaruKun</v>
      </c>
      <c r="I401" s="14" t="str">
        <f>IFERROR(__xludf.DUMMYFUNCTION("""COMPUTED_VALUE"""),"青年")</f>
        <v>青年</v>
      </c>
      <c r="J401" s="8"/>
      <c r="K401" s="8"/>
      <c r="L401" s="8" t="str">
        <f>IFERROR(__xludf.DUMMYFUNCTION("""COMPUTED_VALUE"""),"ソルマーレ編集部")</f>
        <v>ソルマーレ編集部</v>
      </c>
      <c r="M401" s="12">
        <f>IFERROR(__xludf.DUMMYFUNCTION("""COMPUTED_VALUE"""),45101.0)</f>
        <v>45101</v>
      </c>
      <c r="N401" s="12">
        <f>IFERROR(__xludf.DUMMYFUNCTION("""COMPUTED_VALUE"""),45162.0)</f>
        <v>45162</v>
      </c>
      <c r="O401" s="11"/>
      <c r="P401" s="9" t="str">
        <f>IFERROR(__xludf.DUMMYFUNCTION("""COMPUTED_VALUE"""),"可")</f>
        <v>可</v>
      </c>
      <c r="Q401" s="8" t="str">
        <f>IFERROR(__xludf.DUMMYFUNCTION("""COMPUTED_VALUE"""),"コマサム等素材は「261004　ホストクラブの内勤は逆玉に乗りたい(フルカラー)」のほうをお使いください。&lt;BR&gt;バナー制作はフルカラー版の素材を利用して問題ございません。&lt;BR&gt;")</f>
        <v>コマサム等素材は「261004　ホストクラブの内勤は逆玉に乗りたい(フルカラー)」のほうをお使いください。&lt;BR&gt;バナー制作はフルカラー版の素材を利用して問題ございません。&lt;BR&gt;</v>
      </c>
      <c r="R401" s="9"/>
      <c r="S401" s="8" t="str">
        <f>IFERROR(__xludf.DUMMYFUNCTION("""COMPUTED_VALUE"""),"20230522_ソルマーレ編集部_ホストクラブの内勤は逆玉に乗りたい【タテヨミ】")</f>
        <v>20230522_ソルマーレ編集部_ホストクラブの内勤は逆玉に乗りたい【タテヨミ】</v>
      </c>
      <c r="T401" s="15"/>
      <c r="U401" s="9" t="str">
        <f>IFERROR(__xludf.DUMMYFUNCTION("""COMPUTED_VALUE"""),"Ⓒ kuronika/MaruKun/TOPCO/シーモアコミックス")</f>
        <v>Ⓒ kuronika/MaruKun/TOPCO/シーモアコミックス</v>
      </c>
      <c r="V401" s="8" t="str">
        <f>IFERROR(__xludf.DUMMYFUNCTION("""COMPUTED_VALUE"""),"ホストクラブで内勤として働く快斗は実家が貧乏なこともあり昔から金持ちになることが夢だった。しかし現実は毎月の支払いに追われる日々。金持ちになるなんて夢のまた夢…そんなある日、快斗の小学生時代の知り合いだった美人令嬢・一条カンナが現れ快斗に実家の専属運転手になってほしいと依頼を持ちかけてきて…!?ホストクラブで磨いたテクを駆使し一条家に取り入っていく快斗の行く末はいかに――…【ズズズキュン！】")</f>
        <v>ホストクラブで内勤として働く快斗は実家が貧乏なこともあり昔から金持ちになることが夢だった。しかし現実は毎月の支払いに追われる日々。金持ちになるなんて夢のまた夢…そんなある日、快斗の小学生時代の知り合いだった美人令嬢・一条カンナが現れ快斗に実家の専属運転手になってほしいと依頼を持ちかけてきて…!?ホストクラブで磨いたテクを駆使し一条家に取り入っていく快斗の行く末はいかに――…【ズズズキュン！】</v>
      </c>
      <c r="W401" s="8"/>
      <c r="X401" s="8" t="str">
        <f>IFERROR(__xludf.DUMMYFUNCTION("""COMPUTED_VALUE"""),"有")</f>
        <v>有</v>
      </c>
      <c r="Y401" s="8" t="str">
        <f>IFERROR(__xludf.DUMMYFUNCTION("""COMPUTED_VALUE"""),"7/7まで1~3巻無料")</f>
        <v>7/7まで1~3巻無料</v>
      </c>
      <c r="Z401" s="7"/>
      <c r="AA401" s="7"/>
      <c r="AB401" s="7"/>
    </row>
    <row r="402" ht="15.75" customHeight="1">
      <c r="A402" s="8">
        <f>IFERROR(__xludf.DUMMYFUNCTION("""COMPUTED_VALUE"""),1990.0)</f>
        <v>1990</v>
      </c>
      <c r="B402" s="9" t="str">
        <f>IFERROR(__xludf.DUMMYFUNCTION("""COMPUTED_VALUE"""),"確定")</f>
        <v>確定</v>
      </c>
      <c r="C402" s="10">
        <f>IFERROR(__xludf.DUMMYFUNCTION("""COMPUTED_VALUE"""),45069.0)</f>
        <v>45069</v>
      </c>
      <c r="D402" s="10">
        <f>IFERROR(__xludf.DUMMYFUNCTION("""COMPUTED_VALUE"""),45069.0)</f>
        <v>45069</v>
      </c>
      <c r="E402" s="8">
        <f>IFERROR(__xludf.DUMMYFUNCTION("""COMPUTED_VALUE"""),271175.0)</f>
        <v>271175</v>
      </c>
      <c r="F402" s="9" t="str">
        <f>IFERROR(__xludf.DUMMYFUNCTION("""COMPUTED_VALUE"""),"【単話】拝啓見知らぬ旦那様、離婚していただきます")</f>
        <v>【単話】拝啓見知らぬ旦那様、離婚していただきます</v>
      </c>
      <c r="G402" s="11" t="str">
        <f>IFERROR(__xludf.DUMMYFUNCTION("""COMPUTED_VALUE"""),"1~5")</f>
        <v>1~5</v>
      </c>
      <c r="H402" s="8" t="str">
        <f>IFERROR(__xludf.DUMMYFUNCTION("""COMPUTED_VALUE"""),"紬いろと")</f>
        <v>紬いろと</v>
      </c>
      <c r="I402" s="8" t="str">
        <f>IFERROR(__xludf.DUMMYFUNCTION("""COMPUTED_VALUE"""),"女性")</f>
        <v>女性</v>
      </c>
      <c r="J402" s="8"/>
      <c r="K402" s="8"/>
      <c r="L402" s="8" t="str">
        <f>IFERROR(__xludf.DUMMYFUNCTION("""COMPUTED_VALUE"""),"KADOKAWA")</f>
        <v>KADOKAWA</v>
      </c>
      <c r="M402" s="12">
        <f>IFERROR(__xludf.DUMMYFUNCTION("""COMPUTED_VALUE"""),45112.0)</f>
        <v>45112</v>
      </c>
      <c r="N402" s="12">
        <f>IFERROR(__xludf.DUMMYFUNCTION("""COMPUTED_VALUE"""),45273.70833333333)</f>
        <v>45273.70833</v>
      </c>
      <c r="O402" s="11"/>
      <c r="P402" s="9" t="str">
        <f>IFERROR(__xludf.DUMMYFUNCTION("""COMPUTED_VALUE"""),"否")</f>
        <v>否</v>
      </c>
      <c r="Q402" s="8" t="str">
        <f>IFERROR(__xludf.DUMMYFUNCTION("""COMPUTED_VALUE"""),"協業タイトル　※レーベル名はFLOSのまま&lt;BR&gt;素材格納（5/23）&lt;BR&gt;&lt;BR&gt;")</f>
        <v>協業タイトル　※レーベル名はFLOSのまま&lt;BR&gt;素材格納（5/23）&lt;BR&gt;&lt;BR&gt;</v>
      </c>
      <c r="R402" s="9" t="str">
        <f>IFERROR(__xludf.DUMMYFUNCTION("""COMPUTED_VALUE"""),"格納済")</f>
        <v>格納済</v>
      </c>
      <c r="S402" s="8" t="str">
        <f>IFERROR(__xludf.DUMMYFUNCTION("""COMPUTED_VALUE"""),"20230523_KADOKAWA_拝啓、見知らぬ旦那様")</f>
        <v>20230523_KADOKAWA_拝啓、見知らぬ旦那様</v>
      </c>
      <c r="T402" s="9" t="str">
        <f>IFERROR(__xludf.DUMMYFUNCTION("""COMPUTED_VALUE"""),"校了済素材")</f>
        <v>校了済素材</v>
      </c>
      <c r="U402" s="9" t="str">
        <f>IFERROR(__xludf.DUMMYFUNCTION("""COMPUTED_VALUE"""),"©Iroto Tsumugi　©Kori Hisakawa　©Airumu")</f>
        <v>©Iroto Tsumugi　©Kori Hisakawa　©Airumu</v>
      </c>
      <c r="V402" s="8" t="str">
        <f>IFERROR(__xludf.DUMMYFUNCTION("""COMPUTED_VALUE"""),"『拝啓　見知らぬ旦那様、
8年間放置されていた名ばかりの妻ですもの、
この機会にぜひ離婚に応じていただきます』
商才と武芸に秀でた、ガイハンダー帝国の子爵家令嬢バイレッタ。彼女には、8年間顔も合わせたことがない夫がいる。
伯爵家嫡男で冷酷無比の美男と噂のアナルド中佐だ。しかし終戦により夫が帰還。離婚を望むバイレッタに、
アナルドは一ヶ月を期限としたとんでもない“賭け”を持ちかけてきて――。
周囲に『悪女』と濡れ衣を着せられてきたバイレッタと、今まで人を愛したことのなかった孤高のアナルド。
二人の不器用"&amp;"なすれちがいの恋を描く溺愛ラブストーリー開幕！")</f>
        <v>『拝啓　見知らぬ旦那様、
8年間放置されていた名ばかりの妻ですもの、
この機会にぜひ離婚に応じていただきます』
商才と武芸に秀でた、ガイハンダー帝国の子爵家令嬢バイレッタ。彼女には、8年間顔も合わせたことがない夫がいる。
伯爵家嫡男で冷酷無比の美男と噂のアナルド中佐だ。しかし終戦により夫が帰還。離婚を望むバイレッタに、
アナルドは一ヶ月を期限としたとんでもない“賭け”を持ちかけてきて――。
周囲に『悪女』と濡れ衣を着せられてきたバイレッタと、今まで人を愛したことのなかった孤高のアナルド。
二人の不器用なすれちがいの恋を描く溺愛ラブストーリー開幕！</v>
      </c>
      <c r="W402" s="8"/>
      <c r="X402" s="8" t="str">
        <f>IFERROR(__xludf.DUMMYFUNCTION("""COMPUTED_VALUE"""),"有")</f>
        <v>有</v>
      </c>
      <c r="Y402" s="8" t="str">
        <f>IFERROR(__xludf.DUMMYFUNCTION("""COMPUTED_VALUE"""),"7/31まで1巻無料")</f>
        <v>7/31まで1巻無料</v>
      </c>
      <c r="Z402" s="7"/>
      <c r="AA402" s="7"/>
      <c r="AB402" s="7"/>
    </row>
    <row r="403" ht="15.75" customHeight="1">
      <c r="A403" s="8">
        <f>IFERROR(__xludf.DUMMYFUNCTION("""COMPUTED_VALUE"""),1993.0)</f>
        <v>1993</v>
      </c>
      <c r="B403" s="9" t="str">
        <f>IFERROR(__xludf.DUMMYFUNCTION("""COMPUTED_VALUE"""),"確定")</f>
        <v>確定</v>
      </c>
      <c r="C403" s="10">
        <f>IFERROR(__xludf.DUMMYFUNCTION("""COMPUTED_VALUE"""),45070.0)</f>
        <v>45070</v>
      </c>
      <c r="D403" s="10">
        <f>IFERROR(__xludf.DUMMYFUNCTION("""COMPUTED_VALUE"""),45070.0)</f>
        <v>45070</v>
      </c>
      <c r="E403" s="8">
        <f>IFERROR(__xludf.DUMMYFUNCTION("""COMPUTED_VALUE"""),255466.0)</f>
        <v>255466</v>
      </c>
      <c r="F403" s="9" t="str">
        <f>IFERROR(__xludf.DUMMYFUNCTION("""COMPUTED_VALUE"""),"復讐仲戒人")</f>
        <v>復讐仲戒人</v>
      </c>
      <c r="G403" s="11" t="str">
        <f>IFERROR(__xludf.DUMMYFUNCTION("""COMPUTED_VALUE"""),"1～3")</f>
        <v>1～3</v>
      </c>
      <c r="H403" s="8" t="str">
        <f>IFERROR(__xludf.DUMMYFUNCTION("""COMPUTED_VALUE"""),"秋葉JJ子")</f>
        <v>秋葉JJ子</v>
      </c>
      <c r="I403" s="14" t="str">
        <f>IFERROR(__xludf.DUMMYFUNCTION("""COMPUTED_VALUE"""),"青年")</f>
        <v>青年</v>
      </c>
      <c r="J403" s="8"/>
      <c r="K403" s="8"/>
      <c r="L403" s="8" t="str">
        <f>IFERROR(__xludf.DUMMYFUNCTION("""COMPUTED_VALUE"""),"シーモアコミックス")</f>
        <v>シーモアコミックス</v>
      </c>
      <c r="M403" s="12">
        <f>IFERROR(__xludf.DUMMYFUNCTION("""COMPUTED_VALUE"""),45107.0)</f>
        <v>45107</v>
      </c>
      <c r="N403" s="12">
        <f>IFERROR(__xludf.DUMMYFUNCTION("""COMPUTED_VALUE"""),45260.0)</f>
        <v>45260</v>
      </c>
      <c r="O403" s="11"/>
      <c r="P403" s="9" t="str">
        <f>IFERROR(__xludf.DUMMYFUNCTION("""COMPUTED_VALUE"""),"可")</f>
        <v>可</v>
      </c>
      <c r="Q403" s="8" t="str">
        <f>IFERROR(__xludf.DUMMYFUNCTION("""COMPUTED_VALUE"""),"※正式タイトル下記の通りです（5/24）&lt;BR&gt;＝＝＝&lt;BR&gt;復讐仲戒人&lt;BR&gt;＝＝＝&lt;BR&gt;")</f>
        <v>※正式タイトル下記の通りです（5/24）&lt;BR&gt;＝＝＝&lt;BR&gt;復讐仲戒人&lt;BR&gt;＝＝＝&lt;BR&gt;</v>
      </c>
      <c r="R403" s="9"/>
      <c r="S403" s="8" t="str">
        <f>IFERROR(__xludf.DUMMYFUNCTION("""COMPUTED_VALUE"""),"20230524_シーモアコミックス_復讐仲戒人")</f>
        <v>20230524_シーモアコミックス_復讐仲戒人</v>
      </c>
      <c r="T403" s="15"/>
      <c r="U403" s="9" t="str">
        <f>IFERROR(__xludf.DUMMYFUNCTION("""COMPUTED_VALUE"""),"© 秋葉JJ子/シーモアコミックス")</f>
        <v>© 秋葉JJ子/シーモアコミックス</v>
      </c>
      <c r="V403" s="8" t="str">
        <f>IFERROR(__xludf.DUMMYFUNCTION("""COMPUTED_VALUE"""),"どうしても許せない奴がいる…。様々な苦しみと恨みを抱える者からの依頼を受け、クズ共への復讐を請け負う男・神室（かむろ）。完全犯罪をモットーに綿密な計画と完璧な準備を行うが、最後に手を下すのは依頼者本人だった。復讐なんてものは自分の手でするからこそ意味がある。業を背負い、狂っていく依頼者達。それでも復讐劇は続いていく。神室自身が抱える恨みを晴らす、その日まで…。
")</f>
        <v>どうしても許せない奴がいる…。様々な苦しみと恨みを抱える者からの依頼を受け、クズ共への復讐を請け負う男・神室（かむろ）。完全犯罪をモットーに綿密な計画と完璧な準備を行うが、最後に手を下すのは依頼者本人だった。復讐なんてものは自分の手でするからこそ意味がある。業を背負い、狂っていく依頼者達。それでも復讐劇は続いていく。神室自身が抱える恨みを晴らす、その日まで…。
</v>
      </c>
      <c r="W403" s="8"/>
      <c r="X403" s="8" t="str">
        <f>IFERROR(__xludf.DUMMYFUNCTION("""COMPUTED_VALUE"""),"有")</f>
        <v>有</v>
      </c>
      <c r="Y403" s="8" t="str">
        <f>IFERROR(__xludf.DUMMYFUNCTION("""COMPUTED_VALUE"""),"7/27まで1巻無料")</f>
        <v>7/27まで1巻無料</v>
      </c>
      <c r="Z403" s="7"/>
      <c r="AA403" s="7"/>
      <c r="AB403" s="7"/>
    </row>
    <row r="404" ht="15.75" customHeight="1">
      <c r="A404" s="8">
        <f>IFERROR(__xludf.DUMMYFUNCTION("""COMPUTED_VALUE"""),1994.0)</f>
        <v>1994</v>
      </c>
      <c r="B404" s="9" t="str">
        <f>IFERROR(__xludf.DUMMYFUNCTION("""COMPUTED_VALUE"""),"確定")</f>
        <v>確定</v>
      </c>
      <c r="C404" s="10">
        <f>IFERROR(__xludf.DUMMYFUNCTION("""COMPUTED_VALUE"""),45070.0)</f>
        <v>45070</v>
      </c>
      <c r="D404" s="10">
        <f>IFERROR(__xludf.DUMMYFUNCTION("""COMPUTED_VALUE"""),45070.0)</f>
        <v>45070</v>
      </c>
      <c r="E404" s="8">
        <f>IFERROR(__xludf.DUMMYFUNCTION("""COMPUTED_VALUE"""),261009.0)</f>
        <v>261009</v>
      </c>
      <c r="F404" s="9" t="str">
        <f>IFERROR(__xludf.DUMMYFUNCTION("""COMPUTED_VALUE"""),"売れ残り令嬢と笑われた私ですが、年下公爵から溺愛されています")</f>
        <v>売れ残り令嬢と笑われた私ですが、年下公爵から溺愛されています</v>
      </c>
      <c r="G404" s="11" t="str">
        <f>IFERROR(__xludf.DUMMYFUNCTION("""COMPUTED_VALUE"""),"1～3")</f>
        <v>1～3</v>
      </c>
      <c r="H404" s="8" t="str">
        <f>IFERROR(__xludf.DUMMYFUNCTION("""COMPUTED_VALUE"""),"若本雪水")</f>
        <v>若本雪水</v>
      </c>
      <c r="I404" s="14" t="str">
        <f>IFERROR(__xludf.DUMMYFUNCTION("""COMPUTED_VALUE"""),"女性")</f>
        <v>女性</v>
      </c>
      <c r="J404" s="8"/>
      <c r="K404" s="8"/>
      <c r="L404" s="8" t="str">
        <f>IFERROR(__xludf.DUMMYFUNCTION("""COMPUTED_VALUE"""),"シーモアコミックス")</f>
        <v>シーモアコミックス</v>
      </c>
      <c r="M404" s="12">
        <f>IFERROR(__xludf.DUMMYFUNCTION("""COMPUTED_VALUE"""),45107.0)</f>
        <v>45107</v>
      </c>
      <c r="N404" s="12">
        <f>IFERROR(__xludf.DUMMYFUNCTION("""COMPUTED_VALUE"""),45260.0)</f>
        <v>45260</v>
      </c>
      <c r="O404" s="11"/>
      <c r="P404" s="9" t="str">
        <f>IFERROR(__xludf.DUMMYFUNCTION("""COMPUTED_VALUE"""),"可")</f>
        <v>可</v>
      </c>
      <c r="Q404" s="8" t="str">
        <f>IFERROR(__xludf.DUMMYFUNCTION("""COMPUTED_VALUE"""),"※正式タイトル下記の通りです（5/24）&lt;BR&gt;＝＝＝&lt;BR&gt;売れ残り令嬢と笑われた私ですが、年下公爵から溺愛されています&lt;BR&gt;＝＝＝&lt;BR&gt;")</f>
        <v>※正式タイトル下記の通りです（5/24）&lt;BR&gt;＝＝＝&lt;BR&gt;売れ残り令嬢と笑われた私ですが、年下公爵から溺愛されています&lt;BR&gt;＝＝＝&lt;BR&gt;</v>
      </c>
      <c r="R404" s="9"/>
      <c r="S404" s="8" t="str">
        <f>IFERROR(__xludf.DUMMYFUNCTION("""COMPUTED_VALUE"""),"20230524_シーモアコミックス_売れ残り令嬢と笑われた私ですが、年下公爵から溺愛されています")</f>
        <v>20230524_シーモアコミックス_売れ残り令嬢と笑われた私ですが、年下公爵から溺愛されています</v>
      </c>
      <c r="T404" s="15"/>
      <c r="U404" s="9" t="str">
        <f>IFERROR(__xludf.DUMMYFUNCTION("""COMPUTED_VALUE"""),"© 若本雪水/シーモアコミックス")</f>
        <v>© 若本雪水/シーモアコミックス</v>
      </c>
      <c r="V404" s="8" t="str">
        <f>IFERROR(__xludf.DUMMYFUNCTION("""COMPUTED_VALUE"""),"アンジェリーナはボレアン伯爵家の一人娘。20歳のとき領主である父が急死してから7年間、アンジェリーナは当主代行として年下従者のヴァンと共に領民のために働き続けた。やっと領地が落ち着き、結婚相手を探すため社交界に足を踏み入れるアンジェリーナだったが、すでに結婚適齢期を逃していることで、貴族たちから『売れ残り令嬢』と蔑まれる。その上、苦楽を共にしてきた従者ヴァンもなぜか屋敷を出て行ってしまい悲嘆にくれる。そんな中、アンジェリーナの元に一大公爵家からの来訪の知らせが。突然の来訪に驚くアンジェリーナだが、公爵の姿"&amp;"を見た瞬間さらに驚くこととなる―。")</f>
        <v>アンジェリーナはボレアン伯爵家の一人娘。20歳のとき領主である父が急死してから7年間、アンジェリーナは当主代行として年下従者のヴァンと共に領民のために働き続けた。やっと領地が落ち着き、結婚相手を探すため社交界に足を踏み入れるアンジェリーナだったが、すでに結婚適齢期を逃していることで、貴族たちから『売れ残り令嬢』と蔑まれる。その上、苦楽を共にしてきた従者ヴァンもなぜか屋敷を出て行ってしまい悲嘆にくれる。そんな中、アンジェリーナの元に一大公爵家からの来訪の知らせが。突然の来訪に驚くアンジェリーナだが、公爵の姿を見た瞬間さらに驚くこととなる―。</v>
      </c>
      <c r="W404" s="8"/>
      <c r="X404" s="8" t="str">
        <f>IFERROR(__xludf.DUMMYFUNCTION("""COMPUTED_VALUE"""),"有")</f>
        <v>有</v>
      </c>
      <c r="Y404" s="8" t="str">
        <f>IFERROR(__xludf.DUMMYFUNCTION("""COMPUTED_VALUE"""),"7/27まで1巻無料")</f>
        <v>7/27まで1巻無料</v>
      </c>
      <c r="Z404" s="7"/>
      <c r="AA404" s="7"/>
      <c r="AB404" s="7"/>
    </row>
    <row r="405" ht="15.75" customHeight="1">
      <c r="A405" s="8">
        <f>IFERROR(__xludf.DUMMYFUNCTION("""COMPUTED_VALUE"""),1700.0)</f>
        <v>1700</v>
      </c>
      <c r="B405" s="9" t="str">
        <f>IFERROR(__xludf.DUMMYFUNCTION("""COMPUTED_VALUE"""),"確定")</f>
        <v>確定</v>
      </c>
      <c r="C405" s="10">
        <f>IFERROR(__xludf.DUMMYFUNCTION("""COMPUTED_VALUE"""),44963.0)</f>
        <v>44963</v>
      </c>
      <c r="D405" s="10">
        <f>IFERROR(__xludf.DUMMYFUNCTION("""COMPUTED_VALUE"""),45075.0)</f>
        <v>45075</v>
      </c>
      <c r="E405" s="8">
        <f>IFERROR(__xludf.DUMMYFUNCTION("""COMPUTED_VALUE"""),269739.0)</f>
        <v>269739</v>
      </c>
      <c r="F405" s="9" t="str">
        <f>IFERROR(__xludf.DUMMYFUNCTION("""COMPUTED_VALUE"""),"環と周")</f>
        <v>環と周</v>
      </c>
      <c r="G405" s="11" t="str">
        <f>IFERROR(__xludf.DUMMYFUNCTION("""COMPUTED_VALUE"""),"1～3")</f>
        <v>1～3</v>
      </c>
      <c r="H405" s="8" t="str">
        <f>IFERROR(__xludf.DUMMYFUNCTION("""COMPUTED_VALUE"""),"よしながふみ")</f>
        <v>よしながふみ</v>
      </c>
      <c r="I405" s="8" t="str">
        <f>IFERROR(__xludf.DUMMYFUNCTION("""COMPUTED_VALUE"""),"女性")</f>
        <v>女性</v>
      </c>
      <c r="J405" s="8"/>
      <c r="K405" s="8"/>
      <c r="L405" s="8" t="str">
        <f>IFERROR(__xludf.DUMMYFUNCTION("""COMPUTED_VALUE"""),"集英社")</f>
        <v>集英社</v>
      </c>
      <c r="M405" s="12">
        <f>IFERROR(__xludf.DUMMYFUNCTION("""COMPUTED_VALUE"""),45072.0)</f>
        <v>45072</v>
      </c>
      <c r="N405" s="12">
        <f>IFERROR(__xludf.DUMMYFUNCTION("""COMPUTED_VALUE"""),2958465.0)</f>
        <v>2958465</v>
      </c>
      <c r="O405" s="11"/>
      <c r="P405" s="9" t="str">
        <f>IFERROR(__xludf.DUMMYFUNCTION("""COMPUTED_VALUE"""),"否")</f>
        <v>否</v>
      </c>
      <c r="Q405" s="8" t="str">
        <f>IFERROR(__xludf.DUMMYFUNCTION("""COMPUTED_VALUE"""),"広告コミットOK（2/9）
レーベル：ココハナ")</f>
        <v>広告コミットOK（2/9）
レーベル：ココハナ</v>
      </c>
      <c r="R405" s="9"/>
      <c r="S405" s="8"/>
      <c r="T405" s="9"/>
      <c r="U405" s="9" t="str">
        <f>IFERROR(__xludf.DUMMYFUNCTION("""COMPUTED_VALUE"""),"©よしながふみ／集英社")</f>
        <v>©よしながふみ／集英社</v>
      </c>
      <c r="V405" s="8" t="str">
        <f>IFERROR(__xludf.DUMMYFUNCTION("""COMPUTED_VALUE"""),"娘が友人の女生徒とキスしているのを見てしまった母・環は夫に相談。娘と同じように、自分も中3の頃、男の子に恋していたことを思い出した父は――。さまざまな形で私たちの間に存在する、“好き”を繊細に描き出すオムニバス連作、第1巻。
")</f>
        <v>娘が友人の女生徒とキスしているのを見てしまった母・環は夫に相談。娘と同じように、自分も中3の頃、男の子に恋していたことを思い出した父は――。さまざまな形で私たちの間に存在する、“好き”を繊細に描き出すオムニバス連作、第1巻。
</v>
      </c>
      <c r="W405" s="8"/>
      <c r="X405" s="8" t="str">
        <f>IFERROR(__xludf.DUMMYFUNCTION("""COMPUTED_VALUE"""),"有")</f>
        <v>有</v>
      </c>
      <c r="Y405" s="8" t="str">
        <f>IFERROR(__xludf.DUMMYFUNCTION("""COMPUTED_VALUE"""),"7/8まで1巻無料")</f>
        <v>7/8まで1巻無料</v>
      </c>
      <c r="Z405" s="7"/>
      <c r="AA405" s="7"/>
      <c r="AB405" s="7"/>
    </row>
    <row r="406" ht="15.75" customHeight="1">
      <c r="A406" s="8">
        <f>IFERROR(__xludf.DUMMYFUNCTION("""COMPUTED_VALUE"""),1877.0)</f>
        <v>1877</v>
      </c>
      <c r="B406" s="9" t="str">
        <f>IFERROR(__xludf.DUMMYFUNCTION("""COMPUTED_VALUE"""),"確定")</f>
        <v>確定</v>
      </c>
      <c r="C406" s="10">
        <f>IFERROR(__xludf.DUMMYFUNCTION("""COMPUTED_VALUE"""),45028.0)</f>
        <v>45028</v>
      </c>
      <c r="D406" s="10">
        <f>IFERROR(__xludf.DUMMYFUNCTION("""COMPUTED_VALUE"""),45070.0)</f>
        <v>45070</v>
      </c>
      <c r="E406" s="8">
        <f>IFERROR(__xludf.DUMMYFUNCTION("""COMPUTED_VALUE"""),270257.0)</f>
        <v>270257</v>
      </c>
      <c r="F406" s="9" t="str">
        <f>IFERROR(__xludf.DUMMYFUNCTION("""COMPUTED_VALUE"""),"わたすもんか微熱")</f>
        <v>わたすもんか微熱</v>
      </c>
      <c r="G406" s="11" t="str">
        <f>IFERROR(__xludf.DUMMYFUNCTION("""COMPUTED_VALUE"""),"1～2")</f>
        <v>1～2</v>
      </c>
      <c r="H406" s="8" t="str">
        <f>IFERROR(__xludf.DUMMYFUNCTION("""COMPUTED_VALUE"""),"きみあたる")</f>
        <v>きみあたる</v>
      </c>
      <c r="I406" s="8" t="str">
        <f>IFERROR(__xludf.DUMMYFUNCTION("""COMPUTED_VALUE"""),"BL")</f>
        <v>BL</v>
      </c>
      <c r="J406" s="8"/>
      <c r="K406" s="8"/>
      <c r="L406" s="8" t="str">
        <f>IFERROR(__xludf.DUMMYFUNCTION("""COMPUTED_VALUE"""),"CLLENN")</f>
        <v>CLLENN</v>
      </c>
      <c r="M406" s="12">
        <f>IFERROR(__xludf.DUMMYFUNCTION("""COMPUTED_VALUE"""),45094.0)</f>
        <v>45094</v>
      </c>
      <c r="N406" s="12">
        <f>IFERROR(__xludf.DUMMYFUNCTION("""COMPUTED_VALUE"""),45156.0)</f>
        <v>45156</v>
      </c>
      <c r="O406" s="11"/>
      <c r="P406" s="9" t="str">
        <f>IFERROR(__xludf.DUMMYFUNCTION("""COMPUTED_VALUE"""),"可")</f>
        <v>可</v>
      </c>
      <c r="Q406" s="8" t="str">
        <f>IFERROR(__xludf.DUMMYFUNCTION("""COMPUTED_VALUE"""),"素材格納済（5/24）&lt;BR&gt;広告コミットOK（4/14）&lt;BR&gt;")</f>
        <v>素材格納済（5/24）&lt;BR&gt;広告コミットOK（4/14）&lt;BR&gt;</v>
      </c>
      <c r="R406" s="9" t="str">
        <f>IFERROR(__xludf.DUMMYFUNCTION("""COMPUTED_VALUE"""),"格納済（5/24）")</f>
        <v>格納済（5/24）</v>
      </c>
      <c r="S406" s="8" t="str">
        <f>IFERROR(__xludf.DUMMYFUNCTION("""COMPUTED_VALUE"""),"20230524_コミックストック（オトメチカ出版）_わたすもんか微熱")</f>
        <v>20230524_コミックストック（オトメチカ出版）_わたすもんか微熱</v>
      </c>
      <c r="T406" s="9" t="str">
        <f>IFERROR(__xludf.DUMMYFUNCTION("""COMPUTED_VALUE"""),"校了済素材")</f>
        <v>校了済素材</v>
      </c>
      <c r="U406" s="9" t="str">
        <f>IFERROR(__xludf.DUMMYFUNCTION("""COMPUTED_VALUE"""),"著：きみあたる/オトメチカ出版")</f>
        <v>著：きみあたる/オトメチカ出版</v>
      </c>
      <c r="V406" s="8" t="str">
        <f>IFERROR(__xludf.DUMMYFUNCTION("""COMPUTED_VALUE"""),"【頼む、先輩じゃなくて俺を見てくれ！！】大学で出会い、お互いがゲイで未経験であることを知った公希（こうき）と広夢（ひろむ）。広夢がセックスの練習相手を探していると聞き、お年頃の公希はヤレるチャンスと軽い気持ちで名乗り出たが…。いざエッチの練習を始めると身体を重ねる気持ちよさに、気づくと心も腰も止まらない！？ けれど、広夢には好きな人がいて、練習もそのためだった―…。こいつなんか全然タイプじゃないし、好きじゃない！そう言い聞かせる公希だが、触れた熱が忘れられなくて――！！ 「カッコいいのに恋愛未経験の攻×好"&amp;"きな人に一途な受」の身体から始まる青春純愛エロきゅんラブ！")</f>
        <v>【頼む、先輩じゃなくて俺を見てくれ！！】大学で出会い、お互いがゲイで未経験であることを知った公希（こうき）と広夢（ひろむ）。広夢がセックスの練習相手を探していると聞き、お年頃の公希はヤレるチャンスと軽い気持ちで名乗り出たが…。いざエッチの練習を始めると身体を重ねる気持ちよさに、気づくと心も腰も止まらない！？ けれど、広夢には好きな人がいて、練習もそのためだった―…。こいつなんか全然タイプじゃないし、好きじゃない！そう言い聞かせる公希だが、触れた熱が忘れられなくて――！！ 「カッコいいのに恋愛未経験の攻×好きな人に一途な受」の身体から始まる青春純愛エロきゅんラブ！</v>
      </c>
      <c r="W406" s="8"/>
      <c r="X406" s="8" t="str">
        <f>IFERROR(__xludf.DUMMYFUNCTION("""COMPUTED_VALUE"""),"有")</f>
        <v>有</v>
      </c>
      <c r="Y406" s="8" t="str">
        <f>IFERROR(__xludf.DUMMYFUNCTION("""COMPUTED_VALUE"""),"P10まで")</f>
        <v>P10まで</v>
      </c>
      <c r="Z406" s="7"/>
      <c r="AA406" s="7"/>
      <c r="AB406" s="7"/>
    </row>
    <row r="407" ht="15.75" customHeight="1">
      <c r="A407" s="8">
        <f>IFERROR(__xludf.DUMMYFUNCTION("""COMPUTED_VALUE"""),1887.0)</f>
        <v>1887</v>
      </c>
      <c r="B407" s="9" t="str">
        <f>IFERROR(__xludf.DUMMYFUNCTION("""COMPUTED_VALUE"""),"確定")</f>
        <v>確定</v>
      </c>
      <c r="C407" s="10">
        <f>IFERROR(__xludf.DUMMYFUNCTION("""COMPUTED_VALUE"""),45029.0)</f>
        <v>45029</v>
      </c>
      <c r="D407" s="10">
        <f>IFERROR(__xludf.DUMMYFUNCTION("""COMPUTED_VALUE"""),45070.0)</f>
        <v>45070</v>
      </c>
      <c r="E407" s="8">
        <f>IFERROR(__xludf.DUMMYFUNCTION("""COMPUTED_VALUE"""),269408.0)</f>
        <v>269408</v>
      </c>
      <c r="F407" s="9" t="str">
        <f>IFERROR(__xludf.DUMMYFUNCTION("""COMPUTED_VALUE"""),"大正吸血鬼(ヴァンパイア)の末弟は血ではなく蜜をご所望です")</f>
        <v>大正吸血鬼(ヴァンパイア)の末弟は血ではなく蜜をご所望です</v>
      </c>
      <c r="G407" s="11" t="str">
        <f>IFERROR(__xludf.DUMMYFUNCTION("""COMPUTED_VALUE"""),"1～4")</f>
        <v>1～4</v>
      </c>
      <c r="H407" s="8" t="str">
        <f>IFERROR(__xludf.DUMMYFUNCTION("""COMPUTED_VALUE"""),"黒崎リリー")</f>
        <v>黒崎リリー</v>
      </c>
      <c r="I407" s="8" t="str">
        <f>IFERROR(__xludf.DUMMYFUNCTION("""COMPUTED_VALUE"""),"TL")</f>
        <v>TL</v>
      </c>
      <c r="J407" s="8"/>
      <c r="K407" s="8"/>
      <c r="L407" s="8" t="str">
        <f>IFERROR(__xludf.DUMMYFUNCTION("""COMPUTED_VALUE"""),"秋田書店")</f>
        <v>秋田書店</v>
      </c>
      <c r="M407" s="12">
        <f>IFERROR(__xludf.DUMMYFUNCTION("""COMPUTED_VALUE"""),45092.0)</f>
        <v>45092</v>
      </c>
      <c r="N407" s="12">
        <f>IFERROR(__xludf.DUMMYFUNCTION("""COMPUTED_VALUE"""),45123.0)</f>
        <v>45123</v>
      </c>
      <c r="O407" s="11"/>
      <c r="P407" s="9" t="str">
        <f>IFERROR(__xludf.DUMMYFUNCTION("""COMPUTED_VALUE"""),"可")</f>
        <v>可</v>
      </c>
      <c r="Q407" s="8" t="str">
        <f>IFERROR(__xludf.DUMMYFUNCTION("""COMPUTED_VALUE"""),"広告コミットOK（4/14）&lt;BR&gt;")</f>
        <v>広告コミットOK（4/14）&lt;BR&gt;</v>
      </c>
      <c r="R407" s="9"/>
      <c r="S407" s="8" t="str">
        <f>IFERROR(__xludf.DUMMYFUNCTION("""COMPUTED_VALUE"""),"20230524_秋田書店_大正吸血鬼（ヴァンパイア）の末弟")</f>
        <v>20230524_秋田書店_大正吸血鬼（ヴァンパイア）の末弟</v>
      </c>
      <c r="T407" s="9"/>
      <c r="U407" s="9" t="str">
        <f>IFERROR(__xludf.DUMMYFUNCTION("""COMPUTED_VALUE"""),"（C）黒崎リリー（秋田書店）")</f>
        <v>（C）黒崎リリー（秋田書店）</v>
      </c>
      <c r="V407" s="8" t="str">
        <f>IFERROR(__xludf.DUMMYFUNCTION("""COMPUTED_VALUE"""),"吸血鬼の末弟と人の子の、忌まわしくも淫らなる愛の物語――。　大正3年。読書が大好きな少女・一葉あさなは文通相手の「月ノ宮さま」に会うために一人、東京にやってきた。どうにか月ノ宮家にたどり着き、当主・宵威から勧められたお茶を飲んだあさなは、突如、眠りに落ち…!?
")</f>
        <v>吸血鬼の末弟と人の子の、忌まわしくも淫らなる愛の物語――。　大正3年。読書が大好きな少女・一葉あさなは文通相手の「月ノ宮さま」に会うために一人、東京にやってきた。どうにか月ノ宮家にたどり着き、当主・宵威から勧められたお茶を飲んだあさなは、突如、眠りに落ち…!?
</v>
      </c>
      <c r="W407" s="8"/>
      <c r="X407" s="8" t="str">
        <f>IFERROR(__xludf.DUMMYFUNCTION("""COMPUTED_VALUE"""),"有")</f>
        <v>有</v>
      </c>
      <c r="Y407" s="8" t="str">
        <f>IFERROR(__xludf.DUMMYFUNCTION("""COMPUTED_VALUE"""),"8/15まで1~2巻無料")</f>
        <v>8/15まで1~2巻無料</v>
      </c>
      <c r="Z407" s="7"/>
      <c r="AA407" s="7"/>
      <c r="AB407" s="7"/>
    </row>
    <row r="408" ht="15.75" customHeight="1">
      <c r="A408" s="8">
        <f>IFERROR(__xludf.DUMMYFUNCTION("""COMPUTED_VALUE"""),1888.0)</f>
        <v>1888</v>
      </c>
      <c r="B408" s="9" t="str">
        <f>IFERROR(__xludf.DUMMYFUNCTION("""COMPUTED_VALUE"""),"確定")</f>
        <v>確定</v>
      </c>
      <c r="C408" s="10">
        <f>IFERROR(__xludf.DUMMYFUNCTION("""COMPUTED_VALUE"""),45029.0)</f>
        <v>45029</v>
      </c>
      <c r="D408" s="10">
        <f>IFERROR(__xludf.DUMMYFUNCTION("""COMPUTED_VALUE"""),45070.0)</f>
        <v>45070</v>
      </c>
      <c r="E408" s="8">
        <f>IFERROR(__xludf.DUMMYFUNCTION("""COMPUTED_VALUE"""),270594.0)</f>
        <v>270594</v>
      </c>
      <c r="F408" s="9" t="str">
        <f>IFERROR(__xludf.DUMMYFUNCTION("""COMPUTED_VALUE"""),"noicomi暴君のシンデレラ～大正溺愛浪漫譚～")</f>
        <v>noicomi暴君のシンデレラ～大正溺愛浪漫譚～</v>
      </c>
      <c r="G408" s="11" t="str">
        <f>IFERROR(__xludf.DUMMYFUNCTION("""COMPUTED_VALUE"""),"1～3")</f>
        <v>1～3</v>
      </c>
      <c r="H408" s="8" t="str">
        <f>IFERROR(__xludf.DUMMYFUNCTION("""COMPUTED_VALUE"""),"ナガトカヨ（作画）、ヒトエ真琴（原案）")</f>
        <v>ナガトカヨ（作画）、ヒトエ真琴（原案）</v>
      </c>
      <c r="I408" s="14" t="str">
        <f>IFERROR(__xludf.DUMMYFUNCTION("""COMPUTED_VALUE"""),"少女")</f>
        <v>少女</v>
      </c>
      <c r="J408" s="8"/>
      <c r="K408" s="8"/>
      <c r="L408" s="8" t="str">
        <f>IFERROR(__xludf.DUMMYFUNCTION("""COMPUTED_VALUE"""),"スターツ出版")</f>
        <v>スターツ出版</v>
      </c>
      <c r="M408" s="12">
        <f>IFERROR(__xludf.DUMMYFUNCTION("""COMPUTED_VALUE"""),45086.0)</f>
        <v>45086</v>
      </c>
      <c r="N408" s="12">
        <f>IFERROR(__xludf.DUMMYFUNCTION("""COMPUTED_VALUE"""),45176.0)</f>
        <v>45176</v>
      </c>
      <c r="O408" s="11"/>
      <c r="P408" s="9" t="str">
        <f>IFERROR(__xludf.DUMMYFUNCTION("""COMPUTED_VALUE"""),"否")</f>
        <v>否</v>
      </c>
      <c r="Q408" s="8" t="str">
        <f>IFERROR(__xludf.DUMMYFUNCTION("""COMPUTED_VALUE"""),"広告コミットOK（4/14）&lt;BR&gt;&lt;BR&gt;初回配信やスケジュール調整可能です")</f>
        <v>広告コミットOK（4/14）&lt;BR&gt;&lt;BR&gt;初回配信やスケジュール調整可能です</v>
      </c>
      <c r="R408" s="9"/>
      <c r="S408" s="8" t="str">
        <f>IFERROR(__xludf.DUMMYFUNCTION("""COMPUTED_VALUE"""),"20230524_スターツ出版_暴君のシンデレラ　～大正溺愛浪漫譚～")</f>
        <v>20230524_スターツ出版_暴君のシンデレラ　～大正溺愛浪漫譚～</v>
      </c>
      <c r="T408" s="9"/>
      <c r="U408" s="9" t="str">
        <f>IFERROR(__xludf.DUMMYFUNCTION("""COMPUTED_VALUE"""),"©Kayo Nagato・Makoto Hitoe/スターツ出版")</f>
        <v>©Kayo Nagato・Makoto Hitoe/スターツ出版</v>
      </c>
      <c r="V408" s="8" t="str">
        <f>IFERROR(__xludf.DUMMYFUNCTION("""COMPUTED_VALUE"""),"「お前は俺のシンデレラになるんだ――」
時は大正。没落寸前の名家・白星家で継母や妹に虐げられていた少女・さくら。御曹司と結婚することになった妹・凛子の披露パーティーに出席することになったさくらは、凛子の嫌がらせにより皆の笑いものにされてしまう。そんなとき、さくらに手を差し伸べたのは、日本一の財閥の御曹司・黒雪瑛誠であった。
相手が誰であろうと権力には屈せず、帝国議会議員をも足蹴にするほどの〝暴君〟である瑛誠。そんな男がなぜかさくらを見初め、寵愛してきて――!?『ざまぁ』あり！『溺愛』あり！の華麗なるシ"&amp;"ンデレラストーリー開幕!!
(この作品は電子コミック誌noicomi vol.94に収録されています。重複購入にご注意ください)")</f>
        <v>「お前は俺のシンデレラになるんだ――」
時は大正。没落寸前の名家・白星家で継母や妹に虐げられていた少女・さくら。御曹司と結婚することになった妹・凛子の披露パーティーに出席することになったさくらは、凛子の嫌がらせにより皆の笑いものにされてしまう。そんなとき、さくらに手を差し伸べたのは、日本一の財閥の御曹司・黒雪瑛誠であった。
相手が誰であろうと権力には屈せず、帝国議会議員をも足蹴にするほどの〝暴君〟である瑛誠。そんな男がなぜかさくらを見初め、寵愛してきて――!?『ざまぁ』あり！『溺愛』あり！の華麗なるシンデレラストーリー開幕!!
(この作品は電子コミック誌noicomi vol.94に収録されています。重複購入にご注意ください)</v>
      </c>
      <c r="W408" s="8"/>
      <c r="X408" s="8" t="str">
        <f>IFERROR(__xludf.DUMMYFUNCTION("""COMPUTED_VALUE"""),"有")</f>
        <v>有</v>
      </c>
      <c r="Y408" s="8" t="str">
        <f>IFERROR(__xludf.DUMMYFUNCTION("""COMPUTED_VALUE"""),"9/7まで1巻無料")</f>
        <v>9/7まで1巻無料</v>
      </c>
      <c r="Z408" s="7"/>
      <c r="AA408" s="7"/>
      <c r="AB408" s="7"/>
    </row>
    <row r="409" ht="15.75" customHeight="1">
      <c r="A409" s="8">
        <f>IFERROR(__xludf.DUMMYFUNCTION("""COMPUTED_VALUE"""),1957.0)</f>
        <v>1957</v>
      </c>
      <c r="B409" s="9" t="str">
        <f>IFERROR(__xludf.DUMMYFUNCTION("""COMPUTED_VALUE"""),"確定")</f>
        <v>確定</v>
      </c>
      <c r="C409" s="10">
        <f>IFERROR(__xludf.DUMMYFUNCTION("""COMPUTED_VALUE"""),45062.0)</f>
        <v>45062</v>
      </c>
      <c r="D409" s="10">
        <f>IFERROR(__xludf.DUMMYFUNCTION("""COMPUTED_VALUE"""),45076.0)</f>
        <v>45076</v>
      </c>
      <c r="E409" s="8">
        <f>IFERROR(__xludf.DUMMYFUNCTION("""COMPUTED_VALUE"""),271615.0)</f>
        <v>271615</v>
      </c>
      <c r="F409" s="9" t="str">
        <f>IFERROR(__xludf.DUMMYFUNCTION("""COMPUTED_VALUE"""),"タチですが、バリタチに抱かれました")</f>
        <v>タチですが、バリタチに抱かれました</v>
      </c>
      <c r="G409" s="20" t="str">
        <f>IFERROR(__xludf.DUMMYFUNCTION("""COMPUTED_VALUE"""),"1～18")</f>
        <v>1～18</v>
      </c>
      <c r="H409" s="8" t="str">
        <f>IFERROR(__xludf.DUMMYFUNCTION("""COMPUTED_VALUE"""),"輝林")</f>
        <v>輝林</v>
      </c>
      <c r="I409" s="8" t="str">
        <f>IFERROR(__xludf.DUMMYFUNCTION("""COMPUTED_VALUE"""),"BL")</f>
        <v>BL</v>
      </c>
      <c r="J409" s="8"/>
      <c r="K409" s="8"/>
      <c r="L409" s="8" t="str">
        <f>IFERROR(__xludf.DUMMYFUNCTION("""COMPUTED_VALUE"""),"NHNcomico")</f>
        <v>NHNcomico</v>
      </c>
      <c r="M409" s="12">
        <f>IFERROR(__xludf.DUMMYFUNCTION("""COMPUTED_VALUE"""),45108.0)</f>
        <v>45108</v>
      </c>
      <c r="N409" s="12">
        <f>IFERROR(__xludf.DUMMYFUNCTION("""COMPUTED_VALUE"""),45170.0)</f>
        <v>45170</v>
      </c>
      <c r="O409" s="11"/>
      <c r="P409" s="9" t="str">
        <f>IFERROR(__xludf.DUMMYFUNCTION("""COMPUTED_VALUE"""),"可")</f>
        <v>可</v>
      </c>
      <c r="Q409" s="8" t="str">
        <f>IFERROR(__xludf.DUMMYFUNCTION("""COMPUTED_VALUE"""),"広告コミットOK(5/23)/素材格納(5/30)")</f>
        <v>広告コミットOK(5/23)/素材格納(5/30)</v>
      </c>
      <c r="R409" s="9"/>
      <c r="S409" s="8" t="str">
        <f>IFERROR(__xludf.DUMMYFUNCTION("""COMPUTED_VALUE"""),"20230530_comico_タチですがバリタチに抱かれました")</f>
        <v>20230530_comico_タチですがバリタチに抱かれました</v>
      </c>
      <c r="T409" s="9"/>
      <c r="U409" s="9" t="str">
        <f>IFERROR(__xludf.DUMMYFUNCTION("""COMPUTED_VALUE"""),"(C)輝林/comico ※(C)は〇囲みにC")</f>
        <v>(C)輝林/comico ※(C)は〇囲みにC</v>
      </c>
      <c r="V409" s="8" t="str">
        <f>IFERROR(__xludf.DUMMYFUNCTION("""COMPUTED_VALUE"""),"抱けるもんなら抱いてみろ！傲慢美人タチが、年下バリタチの執着愛に堕とされて…!?隠れゲイ（タチ）で営業業績トップだった清水は後輩の土岐に連続2回トップを奪われてしまう。それが面白くなくて泥酔した翌朝、目覚めた清水は土岐と全裸でラブホのベッドにいた。さらに清水には全身に無数のキスマークや噛み跡が…!?土岐は再び「あなたを抱くのは俺です」と清水を宣言する。これまでバリタチとして鳴らしてきた清水はプライドを刺激され、「抱けるもんなら抱いてみろ」と土岐を挑発するが…攻め×攻めラブバトルの行方は――!?")</f>
        <v>抱けるもんなら抱いてみろ！傲慢美人タチが、年下バリタチの執着愛に堕とされて…!?隠れゲイ（タチ）で営業業績トップだった清水は後輩の土岐に連続2回トップを奪われてしまう。それが面白くなくて泥酔した翌朝、目覚めた清水は土岐と全裸でラブホのベッドにいた。さらに清水には全身に無数のキスマークや噛み跡が…!?土岐は再び「あなたを抱くのは俺です」と清水を宣言する。これまでバリタチとして鳴らしてきた清水はプライドを刺激され、「抱けるもんなら抱いてみろ」と土岐を挑発するが…攻め×攻めラブバトルの行方は――!?</v>
      </c>
      <c r="W409" s="8"/>
      <c r="X409" s="9" t="str">
        <f>IFERROR(__xludf.DUMMYFUNCTION("""COMPUTED_VALUE"""),"有")</f>
        <v>有</v>
      </c>
      <c r="Y409" s="8" t="str">
        <f>IFERROR(__xludf.DUMMYFUNCTION("""COMPUTED_VALUE"""),"1~2話永久無料
7/14まで3~4話無料")</f>
        <v>1~2話永久無料
7/14まで3~4話無料</v>
      </c>
      <c r="Z409" s="7"/>
      <c r="AA409" s="7"/>
      <c r="AB409" s="7"/>
    </row>
    <row r="410" ht="15.75" customHeight="1">
      <c r="A410" s="8">
        <f>IFERROR(__xludf.DUMMYFUNCTION("""COMPUTED_VALUE"""),1958.0)</f>
        <v>1958</v>
      </c>
      <c r="B410" s="9" t="str">
        <f>IFERROR(__xludf.DUMMYFUNCTION("""COMPUTED_VALUE"""),"確定")</f>
        <v>確定</v>
      </c>
      <c r="C410" s="10">
        <f>IFERROR(__xludf.DUMMYFUNCTION("""COMPUTED_VALUE"""),45062.0)</f>
        <v>45062</v>
      </c>
      <c r="D410" s="10">
        <f>IFERROR(__xludf.DUMMYFUNCTION("""COMPUTED_VALUE"""),45076.0)</f>
        <v>45076</v>
      </c>
      <c r="E410" s="8">
        <f>IFERROR(__xludf.DUMMYFUNCTION("""COMPUTED_VALUE"""),271616.0)</f>
        <v>271616</v>
      </c>
      <c r="F410" s="9" t="str">
        <f>IFERROR(__xludf.DUMMYFUNCTION("""COMPUTED_VALUE"""),"呪いまで愛する")</f>
        <v>呪いまで愛する</v>
      </c>
      <c r="G410" s="11" t="str">
        <f>IFERROR(__xludf.DUMMYFUNCTION("""COMPUTED_VALUE"""),"1~35")</f>
        <v>1~35</v>
      </c>
      <c r="H410" s="8" t="str">
        <f>IFERROR(__xludf.DUMMYFUNCTION("""COMPUTED_VALUE"""),"鱼棘")</f>
        <v>鱼棘</v>
      </c>
      <c r="I410" s="8" t="str">
        <f>IFERROR(__xludf.DUMMYFUNCTION("""COMPUTED_VALUE"""),"BL")</f>
        <v>BL</v>
      </c>
      <c r="J410" s="8"/>
      <c r="K410" s="8"/>
      <c r="L410" s="8" t="str">
        <f>IFERROR(__xludf.DUMMYFUNCTION("""COMPUTED_VALUE"""),"NHNcomico")</f>
        <v>NHNcomico</v>
      </c>
      <c r="M410" s="12">
        <f>IFERROR(__xludf.DUMMYFUNCTION("""COMPUTED_VALUE"""),45108.0)</f>
        <v>45108</v>
      </c>
      <c r="N410" s="12">
        <f>IFERROR(__xludf.DUMMYFUNCTION("""COMPUTED_VALUE"""),45170.0)</f>
        <v>45170</v>
      </c>
      <c r="O410" s="11"/>
      <c r="P410" s="9" t="str">
        <f>IFERROR(__xludf.DUMMYFUNCTION("""COMPUTED_VALUE"""),"可")</f>
        <v>可</v>
      </c>
      <c r="Q410" s="8" t="str">
        <f>IFERROR(__xludf.DUMMYFUNCTION("""COMPUTED_VALUE"""),"広告コミットOK(5/23)/素材格納(5/30)")</f>
        <v>広告コミットOK(5/23)/素材格納(5/30)</v>
      </c>
      <c r="R410" s="9"/>
      <c r="S410" s="8" t="str">
        <f>IFERROR(__xludf.DUMMYFUNCTION("""COMPUTED_VALUE"""),"20230530_comico_呪いまで愛する")</f>
        <v>20230530_comico_呪いまで愛する</v>
      </c>
      <c r="T410" s="9"/>
      <c r="U410" s="9" t="str">
        <f>IFERROR(__xludf.DUMMYFUNCTION("""COMPUTED_VALUE"""),"(C)TENCENT Animation &amp; Comics ※(C)は〇囲みにC")</f>
        <v>(C)TENCENT Animation &amp; Comics ※(C)は〇囲みにC</v>
      </c>
      <c r="V410" s="8" t="str">
        <f>IFERROR(__xludf.DUMMYFUNCTION("""COMPUTED_VALUE"""),"ヘーゼル・ポルキン公爵の狙いは、悪魔に寄生されたブラックレインの副隊長カラン・ノイスの心臓だった。しかし、ヘーゼルは意外なほどカランの肉体に魅了されてしまう。何度もぶつかる二人だが、ヘーゼルの感情は次第に変化していく…。
")</f>
        <v>ヘーゼル・ポルキン公爵の狙いは、悪魔に寄生されたブラックレインの副隊長カラン・ノイスの心臓だった。しかし、ヘーゼルは意外なほどカランの肉体に魅了されてしまう。何度もぶつかる二人だが、ヘーゼルの感情は次第に変化していく…。
</v>
      </c>
      <c r="W410" s="8"/>
      <c r="X410" s="9" t="str">
        <f>IFERROR(__xludf.DUMMYFUNCTION("""COMPUTED_VALUE"""),"有")</f>
        <v>有</v>
      </c>
      <c r="Y410" s="8" t="str">
        <f>IFERROR(__xludf.DUMMYFUNCTION("""COMPUTED_VALUE"""),"1~3話永久無料
7/14まで4~5話無料")</f>
        <v>1~3話永久無料
7/14まで4~5話無料</v>
      </c>
      <c r="Z410" s="7"/>
      <c r="AA410" s="7"/>
      <c r="AB410" s="7"/>
    </row>
    <row r="411" ht="15.75" customHeight="1">
      <c r="A411" s="8">
        <f>IFERROR(__xludf.DUMMYFUNCTION("""COMPUTED_VALUE"""),1959.0)</f>
        <v>1959</v>
      </c>
      <c r="B411" s="9" t="str">
        <f>IFERROR(__xludf.DUMMYFUNCTION("""COMPUTED_VALUE"""),"確定")</f>
        <v>確定</v>
      </c>
      <c r="C411" s="10">
        <f>IFERROR(__xludf.DUMMYFUNCTION("""COMPUTED_VALUE"""),45062.0)</f>
        <v>45062</v>
      </c>
      <c r="D411" s="10">
        <f>IFERROR(__xludf.DUMMYFUNCTION("""COMPUTED_VALUE"""),45070.0)</f>
        <v>45070</v>
      </c>
      <c r="E411" s="8">
        <f>IFERROR(__xludf.DUMMYFUNCTION("""COMPUTED_VALUE"""),270098.0)</f>
        <v>270098</v>
      </c>
      <c r="F411" s="9" t="str">
        <f>IFERROR(__xludf.DUMMYFUNCTION("""COMPUTED_VALUE"""),"ふれたい視線")</f>
        <v>ふれたい視線</v>
      </c>
      <c r="G411" s="11">
        <f>IFERROR(__xludf.DUMMYFUNCTION("""COMPUTED_VALUE"""),1.0)</f>
        <v>1</v>
      </c>
      <c r="H411" s="8" t="str">
        <f>IFERROR(__xludf.DUMMYFUNCTION("""COMPUTED_VALUE"""),"ぴみちゃん")</f>
        <v>ぴみちゃん</v>
      </c>
      <c r="I411" s="8" t="str">
        <f>IFERROR(__xludf.DUMMYFUNCTION("""COMPUTED_VALUE"""),"BL")</f>
        <v>BL</v>
      </c>
      <c r="J411" s="8"/>
      <c r="K411" s="8"/>
      <c r="L411" s="8" t="str">
        <f>IFERROR(__xludf.DUMMYFUNCTION("""COMPUTED_VALUE"""),"集英社")</f>
        <v>集英社</v>
      </c>
      <c r="M411" s="12">
        <f>IFERROR(__xludf.DUMMYFUNCTION("""COMPUTED_VALUE"""),45100.0)</f>
        <v>45100</v>
      </c>
      <c r="N411" s="12">
        <f>IFERROR(__xludf.DUMMYFUNCTION("""COMPUTED_VALUE"""),45131.0)</f>
        <v>45131</v>
      </c>
      <c r="O411" s="11"/>
      <c r="P411" s="9" t="str">
        <f>IFERROR(__xludf.DUMMYFUNCTION("""COMPUTED_VALUE"""),"否")</f>
        <v>否</v>
      </c>
      <c r="Q411" s="8" t="str">
        <f>IFERROR(__xludf.DUMMYFUNCTION("""COMPUTED_VALUE"""),"広告コミットOK(5/23)")</f>
        <v>広告コミットOK(5/23)</v>
      </c>
      <c r="R411" s="9"/>
      <c r="S411" s="8" t="str">
        <f>IFERROR(__xludf.DUMMYFUNCTION("""COMPUTED_VALUE"""),"20230524_集英社_ふれたい視線")</f>
        <v>20230524_集英社_ふれたい視線</v>
      </c>
      <c r="T411" s="9"/>
      <c r="U411" s="9" t="str">
        <f>IFERROR(__xludf.DUMMYFUNCTION("""COMPUTED_VALUE"""),"©ぴみちゃん／ホーム社")</f>
        <v>©ぴみちゃん／ホーム社</v>
      </c>
      <c r="V411" s="8" t="str">
        <f>IFERROR(__xludf.DUMMYFUNCTION("""COMPUTED_VALUE"""),"【電子版限定：描き下ろし＆カラー扉収録！】sionという名前で夜な夜なひとりエッチの様子を配信しているフリーターの紫音は、最近閲覧数が伸びないことを悩んでいた。そんなある日、同じアルバイト先の大学生・岳人にsionの活動がバレてしまう！　引くどころかプロデュースをさせてほしいと言う岳人の勢いに押され、動画配信を手伝ってもらうことになったが、彼の視線を感じながらするひとりエッチにいつも以上に敏感になってしまい――。天然クールな童貞男子×愛されたがりなエロ動画配信者の身体から始まる過激なシークレット・ラブ
"&amp;"【特典付き】一部電子書店限定で紙と共通の特典が付与されています")</f>
        <v>【電子版限定：描き下ろし＆カラー扉収録！】sionという名前で夜な夜なひとりエッチの様子を配信しているフリーターの紫音は、最近閲覧数が伸びないことを悩んでいた。そんなある日、同じアルバイト先の大学生・岳人にsionの活動がバレてしまう！　引くどころかプロデュースをさせてほしいと言う岳人の勢いに押され、動画配信を手伝ってもらうことになったが、彼の視線を感じながらするひとりエッチにいつも以上に敏感になってしまい――。天然クールな童貞男子×愛されたがりなエロ動画配信者の身体から始まる過激なシークレット・ラブ
【特典付き】一部電子書店限定で紙と共通の特典が付与されています</v>
      </c>
      <c r="W411" s="8"/>
      <c r="X411" s="8" t="str">
        <f>IFERROR(__xludf.DUMMYFUNCTION("""COMPUTED_VALUE"""),"有")</f>
        <v>有</v>
      </c>
      <c r="Y411" s="8" t="str">
        <f>IFERROR(__xludf.DUMMYFUNCTION("""COMPUTED_VALUE"""),"7/6まで立ち読み増量P75まで")</f>
        <v>7/6まで立ち読み増量P75まで</v>
      </c>
      <c r="Z411" s="7"/>
      <c r="AA411" s="7"/>
      <c r="AB411" s="7"/>
    </row>
    <row r="412" ht="15.75" customHeight="1">
      <c r="A412" s="8">
        <f>IFERROR(__xludf.DUMMYFUNCTION("""COMPUTED_VALUE"""),1962.0)</f>
        <v>1962</v>
      </c>
      <c r="B412" s="9" t="str">
        <f>IFERROR(__xludf.DUMMYFUNCTION("""COMPUTED_VALUE"""),"確定")</f>
        <v>確定</v>
      </c>
      <c r="C412" s="10">
        <f>IFERROR(__xludf.DUMMYFUNCTION("""COMPUTED_VALUE"""),45063.0)</f>
        <v>45063</v>
      </c>
      <c r="D412" s="10">
        <f>IFERROR(__xludf.DUMMYFUNCTION("""COMPUTED_VALUE"""),45076.0)</f>
        <v>45076</v>
      </c>
      <c r="E412" s="8">
        <f>IFERROR(__xludf.DUMMYFUNCTION("""COMPUTED_VALUE"""),272252.0)</f>
        <v>272252</v>
      </c>
      <c r="F412" s="9" t="str">
        <f>IFERROR(__xludf.DUMMYFUNCTION("""COMPUTED_VALUE"""),"ヒロインみたいに愛されてます～おしかけイケメン後輩とトロあま同棲生活～【分冊版】")</f>
        <v>ヒロインみたいに愛されてます～おしかけイケメン後輩とトロあま同棲生活～【分冊版】</v>
      </c>
      <c r="G412" s="11" t="str">
        <f>IFERROR(__xludf.DUMMYFUNCTION("""COMPUTED_VALUE"""),"1～3")</f>
        <v>1～3</v>
      </c>
      <c r="H412" s="8" t="str">
        <f>IFERROR(__xludf.DUMMYFUNCTION("""COMPUTED_VALUE"""),"みずたみず")</f>
        <v>みずたみず</v>
      </c>
      <c r="I412" s="8" t="str">
        <f>IFERROR(__xludf.DUMMYFUNCTION("""COMPUTED_VALUE"""),"TL")</f>
        <v>TL</v>
      </c>
      <c r="J412" s="8"/>
      <c r="K412" s="8"/>
      <c r="L412" s="8" t="str">
        <f>IFERROR(__xludf.DUMMYFUNCTION("""COMPUTED_VALUE"""),"笠倉出版社")</f>
        <v>笠倉出版社</v>
      </c>
      <c r="M412" s="12">
        <f>IFERROR(__xludf.DUMMYFUNCTION("""COMPUTED_VALUE"""),45134.0)</f>
        <v>45134</v>
      </c>
      <c r="N412" s="12">
        <f>IFERROR(__xludf.DUMMYFUNCTION("""COMPUTED_VALUE"""),45161.0)</f>
        <v>45161</v>
      </c>
      <c r="O412" s="11"/>
      <c r="P412" s="9" t="str">
        <f>IFERROR(__xludf.DUMMYFUNCTION("""COMPUTED_VALUE"""),"可")</f>
        <v>可</v>
      </c>
      <c r="Q412" s="8" t="str">
        <f>IFERROR(__xludf.DUMMYFUNCTION("""COMPUTED_VALUE"""),"0523：「長期先行の取り組みは見送り、先行でいただければ、広告出稿自体はコミット」で返答いただく&lt;BR&gt;&lt;BR&gt;0524：長期先行取り組みNGだったため、先行期間を3ヵ月→1ヵ月に短縮&lt;BR&gt;・先行期間：1か月（翌月第4木曜日の前日まで）&lt;BR&gt;・初回配信時の新刊施策に合わせて1話無料実施（2週間）")</f>
        <v>0523：「長期先行の取り組みは見送り、先行でいただければ、広告出稿自体はコミット」で返答いただく&lt;BR&gt;&lt;BR&gt;0524：長期先行取り組みNGだったため、先行期間を3ヵ月→1ヵ月に短縮&lt;BR&gt;・先行期間：1か月（翌月第4木曜日の前日まで）&lt;BR&gt;・初回配信時の新刊施策に合わせて1話無料実施（2週間）</v>
      </c>
      <c r="R412" s="9"/>
      <c r="S412" s="8" t="str">
        <f>IFERROR(__xludf.DUMMYFUNCTION("""COMPUTED_VALUE"""),"20230530_笠倉出版社_ヒロインみたいに愛されてます～おしかけイケメン後輩とトロあま同棲生活～【分冊版】")</f>
        <v>20230530_笠倉出版社_ヒロインみたいに愛されてます～おしかけイケメン後輩とトロあま同棲生活～【分冊版】</v>
      </c>
      <c r="T412" s="9"/>
      <c r="U412" s="9" t="str">
        <f>IFERROR(__xludf.DUMMYFUNCTION("""COMPUTED_VALUE"""),"©みずたみず/笠倉出版社")</f>
        <v>©みずたみず/笠倉出版社</v>
      </c>
      <c r="V412" s="8" t="str">
        <f>IFERROR(__xludf.DUMMYFUNCTION("""COMPUTED_VALUE"""),"『最高に気持ちいいことしてあげるね』これってまさか、漫画のセリフ――！？甘く口説かれ、熱い指先で敏感なトコロを弄られて、まるでお話の中のヒロインみたい…！漫画を読むことが大好きな凪。ある日、会社の後輩・沖と同じ漫画を推していることを知り、凪の自宅で一緒に漫画を読む仲に。女性社員に人気な彼と仕事以外での交流はなかったけれど、漫画について語る時間は楽しくて…。そんななか、隠していたはずのエッチな漫画をいつの間にか沖が読んでいて！？次の瞬間、視線が絡まり囁かれた言葉――…。「『先輩、俺をそんなに興奮させないで』"&amp;"…続き言ってよ、凪さん」どうしよう、この展開に抗えない…だって私、この続きを期待しちゃってる。")</f>
        <v>『最高に気持ちいいことしてあげるね』これってまさか、漫画のセリフ――！？甘く口説かれ、熱い指先で敏感なトコロを弄られて、まるでお話の中のヒロインみたい…！漫画を読むことが大好きな凪。ある日、会社の後輩・沖と同じ漫画を推していることを知り、凪の自宅で一緒に漫画を読む仲に。女性社員に人気な彼と仕事以外での交流はなかったけれど、漫画について語る時間は楽しくて…。そんななか、隠していたはずのエッチな漫画をいつの間にか沖が読んでいて！？次の瞬間、視線が絡まり囁かれた言葉――…。「『先輩、俺をそんなに興奮させないで』…続き言ってよ、凪さん」どうしよう、この展開に抗えない…だって私、この続きを期待しちゃってる。</v>
      </c>
      <c r="W412" s="8"/>
      <c r="X412" s="8" t="str">
        <f>IFERROR(__xludf.DUMMYFUNCTION("""COMPUTED_VALUE"""),"有")</f>
        <v>有</v>
      </c>
      <c r="Y412" s="8" t="str">
        <f>IFERROR(__xludf.DUMMYFUNCTION("""COMPUTED_VALUE"""),"8/9まで1巻無料")</f>
        <v>8/9まで1巻無料</v>
      </c>
      <c r="Z412" s="7"/>
      <c r="AA412" s="7"/>
      <c r="AB412" s="7"/>
    </row>
    <row r="413" ht="15.75" customHeight="1">
      <c r="A413" s="8">
        <f>IFERROR(__xludf.DUMMYFUNCTION("""COMPUTED_VALUE"""),1968.0)</f>
        <v>1968</v>
      </c>
      <c r="B413" s="9" t="str">
        <f>IFERROR(__xludf.DUMMYFUNCTION("""COMPUTED_VALUE"""),"確定")</f>
        <v>確定</v>
      </c>
      <c r="C413" s="10">
        <f>IFERROR(__xludf.DUMMYFUNCTION("""COMPUTED_VALUE"""),45068.0)</f>
        <v>45068</v>
      </c>
      <c r="D413" s="10">
        <f>IFERROR(__xludf.DUMMYFUNCTION("""COMPUTED_VALUE"""),45076.0)</f>
        <v>45076</v>
      </c>
      <c r="E413" s="8">
        <f>IFERROR(__xludf.DUMMYFUNCTION("""COMPUTED_VALUE"""),270840.0)</f>
        <v>270840</v>
      </c>
      <c r="F413" s="9" t="str">
        <f>IFERROR(__xludf.DUMMYFUNCTION("""COMPUTED_VALUE"""),"ムラムラOLさんは飛行機の中でも性欲を満たしたい")</f>
        <v>ムラムラOLさんは飛行機の中でも性欲を満たしたい</v>
      </c>
      <c r="G413" s="11">
        <f>IFERROR(__xludf.DUMMYFUNCTION("""COMPUTED_VALUE"""),1.0)</f>
        <v>1</v>
      </c>
      <c r="H413" s="8" t="str">
        <f>IFERROR(__xludf.DUMMYFUNCTION("""COMPUTED_VALUE"""),"でんぶ腿")</f>
        <v>でんぶ腿</v>
      </c>
      <c r="I413" s="8" t="str">
        <f>IFERROR(__xludf.DUMMYFUNCTION("""COMPUTED_VALUE"""),"オトナ")</f>
        <v>オトナ</v>
      </c>
      <c r="J413" s="8"/>
      <c r="K413" s="8"/>
      <c r="L413" s="8" t="str">
        <f>IFERROR(__xludf.DUMMYFUNCTION("""COMPUTED_VALUE"""),"ブリック出版")</f>
        <v>ブリック出版</v>
      </c>
      <c r="M413" s="12">
        <f>IFERROR(__xludf.DUMMYFUNCTION("""COMPUTED_VALUE"""),45107.0)</f>
        <v>45107</v>
      </c>
      <c r="N413" s="12">
        <f>IFERROR(__xludf.DUMMYFUNCTION("""COMPUTED_VALUE"""),45134.0)</f>
        <v>45134</v>
      </c>
      <c r="O413" s="11"/>
      <c r="P413" s="9" t="str">
        <f>IFERROR(__xludf.DUMMYFUNCTION("""COMPUTED_VALUE"""),"可")</f>
        <v>可</v>
      </c>
      <c r="Q413" s="8" t="str">
        <f>IFERROR(__xludf.DUMMYFUNCTION("""COMPUTED_VALUE"""),"広告コミットOK(5/29)&lt;BR&gt;事前検討&lt;BR&gt;出稿可であれば先行確定です。&lt;BR&gt;\\solma-fs\all\12_電子書籍事業部\15_ライツビジネスG\ライツ営業T\目的別\01.webプロモ関連\02.出稿用素材格納先\素材暫定格納フォルダ\01.外部出稿事前検討用\20230522_BookLive_ムラムラOLさんは飛行機の中でも性欲を満たしたい")</f>
        <v>広告コミットOK(5/29)&lt;BR&gt;事前検討&lt;BR&gt;出稿可であれば先行確定です。&lt;BR&gt;\\solma-fs\all\12_電子書籍事業部\15_ライツビジネスG\ライツ営業T\目的別\01.webプロモ関連\02.出稿用素材格納先\素材暫定格納フォルダ\01.外部出稿事前検討用\20230522_BookLive_ムラムラOLさんは飛行機の中でも性欲を満たしたい</v>
      </c>
      <c r="R413" s="9"/>
      <c r="S413" s="8" t="str">
        <f>IFERROR(__xludf.DUMMYFUNCTION("""COMPUTED_VALUE"""),"20230522_BookLive_ムラムラOLさんは飛行機の中でも性欲を満たしたい")</f>
        <v>20230522_BookLive_ムラムラOLさんは飛行機の中でも性欲を満たしたい</v>
      </c>
      <c r="T413" s="9"/>
      <c r="U413" s="9" t="str">
        <f>IFERROR(__xludf.DUMMYFUNCTION("""COMPUTED_VALUE"""),"(C)ブリック出版")</f>
        <v>(C)ブリック出版</v>
      </c>
      <c r="V413" s="8" t="str">
        <f>IFERROR(__xludf.DUMMYFUNCTION("""COMPUTED_VALUE"""),"出張終わりで疲れとムラムラがたまっているお姉さん。
ガマンできずに飛行機の中でコソコソAVを見ていると、隣の座席に好青年が座ってきた。
思わず青年に話しかけてみると意外にもノリが良く、お姉さんはどんどん積極的になっていく。
体を密着させ、青年の股間に触れ、お姉さん自身の体も触らせて…。
興奮しきってしまったお姉さんは堪らずトイレへと青年をお誘いし、二人は狭い狭い個室へ入っていく。
声を押し殺そうとしても、青年のちんぽが気持ち良すぎて全然ガマンできない！
バレないようにドキドキ機内セックス…！")</f>
        <v>出張終わりで疲れとムラムラがたまっているお姉さん。
ガマンできずに飛行機の中でコソコソAVを見ていると、隣の座席に好青年が座ってきた。
思わず青年に話しかけてみると意外にもノリが良く、お姉さんはどんどん積極的になっていく。
体を密着させ、青年の股間に触れ、お姉さん自身の体も触らせて…。
興奮しきってしまったお姉さんは堪らずトイレへと青年をお誘いし、二人は狭い狭い個室へ入っていく。
声を押し殺そうとしても、青年のちんぽが気持ち良すぎて全然ガマンできない！
バレないようにドキドキ機内セックス…！</v>
      </c>
      <c r="W413" s="8"/>
      <c r="X413" s="8" t="str">
        <f>IFERROR(__xludf.DUMMYFUNCTION("""COMPUTED_VALUE"""),"有")</f>
        <v>有</v>
      </c>
      <c r="Y413" s="8" t="str">
        <f>IFERROR(__xludf.DUMMYFUNCTION("""COMPUTED_VALUE"""),"P8まで")</f>
        <v>P8まで</v>
      </c>
      <c r="Z413" s="7"/>
      <c r="AA413" s="7"/>
      <c r="AB413" s="7"/>
    </row>
    <row r="414" ht="15.75" customHeight="1">
      <c r="A414" s="8">
        <f>IFERROR(__xludf.DUMMYFUNCTION("""COMPUTED_VALUE"""),1997.0)</f>
        <v>1997</v>
      </c>
      <c r="B414" s="9" t="str">
        <f>IFERROR(__xludf.DUMMYFUNCTION("""COMPUTED_VALUE"""),"確定")</f>
        <v>確定</v>
      </c>
      <c r="C414" s="10">
        <f>IFERROR(__xludf.DUMMYFUNCTION("""COMPUTED_VALUE"""),45072.0)</f>
        <v>45072</v>
      </c>
      <c r="D414" s="10">
        <f>IFERROR(__xludf.DUMMYFUNCTION("""COMPUTED_VALUE"""),45072.0)</f>
        <v>45072</v>
      </c>
      <c r="E414" s="8">
        <f>IFERROR(__xludf.DUMMYFUNCTION("""COMPUTED_VALUE"""),263136.0)</f>
        <v>263136</v>
      </c>
      <c r="F414" s="9" t="str">
        <f>IFERROR(__xludf.DUMMYFUNCTION("""COMPUTED_VALUE"""),"元夫から「ロミオメール」が届いた件について")</f>
        <v>元夫から「ロミオメール」が届いた件について</v>
      </c>
      <c r="G414" s="11" t="str">
        <f>IFERROR(__xludf.DUMMYFUNCTION("""COMPUTED_VALUE"""),"1～3")</f>
        <v>1～3</v>
      </c>
      <c r="H414" s="8" t="str">
        <f>IFERROR(__xludf.DUMMYFUNCTION("""COMPUTED_VALUE"""),"結衣まどか")</f>
        <v>結衣まどか</v>
      </c>
      <c r="I414" s="14" t="str">
        <f>IFERROR(__xludf.DUMMYFUNCTION("""COMPUTED_VALUE"""),"女性")</f>
        <v>女性</v>
      </c>
      <c r="J414" s="8"/>
      <c r="K414" s="8"/>
      <c r="L414" s="8" t="str">
        <f>IFERROR(__xludf.DUMMYFUNCTION("""COMPUTED_VALUE"""),"シーモアコミックス")</f>
        <v>シーモアコミックス</v>
      </c>
      <c r="M414" s="12">
        <f>IFERROR(__xludf.DUMMYFUNCTION("""COMPUTED_VALUE"""),45107.0)</f>
        <v>45107</v>
      </c>
      <c r="N414" s="12">
        <f>IFERROR(__xludf.DUMMYFUNCTION("""COMPUTED_VALUE"""),45477.66666666667)</f>
        <v>45477.66667</v>
      </c>
      <c r="O414" s="11"/>
      <c r="P414" s="9" t="str">
        <f>IFERROR(__xludf.DUMMYFUNCTION("""COMPUTED_VALUE"""),"可")</f>
        <v>可</v>
      </c>
      <c r="Q414" s="8" t="str">
        <f>IFERROR(__xludf.DUMMYFUNCTION("""COMPUTED_VALUE"""),"※正式タイトル下記の通りです（5/26）&lt;BR&gt;＝＝＝&lt;BR&gt;元夫から「ロミオメール」が届いた件について&lt;BR&gt;＝＝＝&lt;BR&gt;")</f>
        <v>※正式タイトル下記の通りです（5/26）&lt;BR&gt;＝＝＝&lt;BR&gt;元夫から「ロミオメール」が届いた件について&lt;BR&gt;＝＝＝&lt;BR&gt;</v>
      </c>
      <c r="R414" s="9"/>
      <c r="S414" s="8" t="str">
        <f>IFERROR(__xludf.DUMMYFUNCTION("""COMPUTED_VALUE"""),"20230526_シーモアコミックス_元夫から「ロミオメール」が届いた件について")</f>
        <v>20230526_シーモアコミックス_元夫から「ロミオメール」が届いた件について</v>
      </c>
      <c r="T414" s="15"/>
      <c r="U414" s="9" t="str">
        <f>IFERROR(__xludf.DUMMYFUNCTION("""COMPUTED_VALUE"""),"(C) 結衣まどか/猫小寺/シーモアコミックス")</f>
        <v>(C) 結衣まどか/猫小寺/シーモアコミックス</v>
      </c>
      <c r="V414" s="8" t="str">
        <f>IFERROR(__xludf.DUMMYFUNCTION("""COMPUTED_VALUE"""),"『あの頃、まだ若い僕たちはなにが真実の愛なのかもわからず、ただ彷徨っていたね…』元夫から届いたやたらポエムチックな内容のメール。これって…巷でウワサの『ロミオメール』！？　新婚たった3ヶ月で紗雪を襲った悲劇。早めに帰宅すると、夫婦の寝室から夫と若い女の嬌声が聞こえてきたのだ…。浮気した夫とはさっさと別れ、新しい道を歩み出した紗雪。会社にはいい雰囲気になりそうな人もいるけど、もう恋愛も結婚もこりごり！ そう思って過ごしていたある日、元夫から一通のメールが届いて…ロミオと化した元夫との攻防が始まった！")</f>
        <v>『あの頃、まだ若い僕たちはなにが真実の愛なのかもわからず、ただ彷徨っていたね…』元夫から届いたやたらポエムチックな内容のメール。これって…巷でウワサの『ロミオメール』！？　新婚たった3ヶ月で紗雪を襲った悲劇。早めに帰宅すると、夫婦の寝室から夫と若い女の嬌声が聞こえてきたのだ…。浮気した夫とはさっさと別れ、新しい道を歩み出した紗雪。会社にはいい雰囲気になりそうな人もいるけど、もう恋愛も結婚もこりごり！ そう思って過ごしていたある日、元夫から一通のメールが届いて…ロミオと化した元夫との攻防が始まった！</v>
      </c>
      <c r="W414" s="8"/>
      <c r="X414" s="8" t="str">
        <f>IFERROR(__xludf.DUMMYFUNCTION("""COMPUTED_VALUE"""),"有")</f>
        <v>有</v>
      </c>
      <c r="Y414" s="8" t="str">
        <f>IFERROR(__xludf.DUMMYFUNCTION("""COMPUTED_VALUE"""),"7/27まで1巻無料")</f>
        <v>7/27まで1巻無料</v>
      </c>
      <c r="Z414" s="7"/>
      <c r="AA414" s="7"/>
      <c r="AB414" s="7"/>
    </row>
    <row r="415" ht="15.75" customHeight="1">
      <c r="A415" s="8">
        <f>IFERROR(__xludf.DUMMYFUNCTION("""COMPUTED_VALUE"""),1999.0)</f>
        <v>1999</v>
      </c>
      <c r="B415" s="9" t="str">
        <f>IFERROR(__xludf.DUMMYFUNCTION("""COMPUTED_VALUE"""),"確定")</f>
        <v>確定</v>
      </c>
      <c r="C415" s="10">
        <f>IFERROR(__xludf.DUMMYFUNCTION("""COMPUTED_VALUE"""),45076.0)</f>
        <v>45076</v>
      </c>
      <c r="D415" s="10">
        <f>IFERROR(__xludf.DUMMYFUNCTION("""COMPUTED_VALUE"""),45076.0)</f>
        <v>45076</v>
      </c>
      <c r="E415" s="8">
        <f>IFERROR(__xludf.DUMMYFUNCTION("""COMPUTED_VALUE"""),252929.0)</f>
        <v>252929</v>
      </c>
      <c r="F415" s="9" t="str">
        <f>IFERROR(__xludf.DUMMYFUNCTION("""COMPUTED_VALUE"""),"DK妊婦・黒崎くんの出産")</f>
        <v>DK妊婦・黒崎くんの出産</v>
      </c>
      <c r="G415" s="11" t="str">
        <f>IFERROR(__xludf.DUMMYFUNCTION("""COMPUTED_VALUE"""),"1～3")</f>
        <v>1～3</v>
      </c>
      <c r="H415" s="8" t="str">
        <f>IFERROR(__xludf.DUMMYFUNCTION("""COMPUTED_VALUE"""),"櫻井まり")</f>
        <v>櫻井まり</v>
      </c>
      <c r="I415" s="14" t="str">
        <f>IFERROR(__xludf.DUMMYFUNCTION("""COMPUTED_VALUE"""),"少女")</f>
        <v>少女</v>
      </c>
      <c r="J415" s="8"/>
      <c r="K415" s="8"/>
      <c r="L415" s="8" t="str">
        <f>IFERROR(__xludf.DUMMYFUNCTION("""COMPUTED_VALUE"""),"ソルマーレ編集部")</f>
        <v>ソルマーレ編集部</v>
      </c>
      <c r="M415" s="12">
        <f>IFERROR(__xludf.DUMMYFUNCTION("""COMPUTED_VALUE"""),45108.0)</f>
        <v>45108</v>
      </c>
      <c r="N415" s="12">
        <f>IFERROR(__xludf.DUMMYFUNCTION("""COMPUTED_VALUE"""),45204.66666666667)</f>
        <v>45204.66667</v>
      </c>
      <c r="O415" s="11"/>
      <c r="P415" s="9" t="str">
        <f>IFERROR(__xludf.DUMMYFUNCTION("""COMPUTED_VALUE"""),"可")</f>
        <v>可</v>
      </c>
      <c r="Q415" s="8" t="str">
        <f>IFERROR(__xludf.DUMMYFUNCTION("""COMPUTED_VALUE"""),"※正式タイトル下記の通りです（5/30）&lt;BR&gt;＝＝＝&lt;BR&gt;DK妊婦・黒崎くんの出産&lt;BR&gt;＝＝＝&lt;BR&gt;※素材が揃いましたのでフォルダパスを更新しました（5/30）")</f>
        <v>※正式タイトル下記の通りです（5/30）&lt;BR&gt;＝＝＝&lt;BR&gt;DK妊婦・黒崎くんの出産&lt;BR&gt;＝＝＝&lt;BR&gt;※素材が揃いましたのでフォルダパスを更新しました（5/30）</v>
      </c>
      <c r="R415" s="9"/>
      <c r="S415" s="8" t="str">
        <f>IFERROR(__xludf.DUMMYFUNCTION("""COMPUTED_VALUE"""),"20230531_ソルマーレ編集部_DK妊婦・黒崎くんの出産")</f>
        <v>20230531_ソルマーレ編集部_DK妊婦・黒崎くんの出産</v>
      </c>
      <c r="T415" s="15"/>
      <c r="U415" s="9" t="str">
        <f>IFERROR(__xludf.DUMMYFUNCTION("""COMPUTED_VALUE"""),"Ⓒ 櫻井まり/シーモアコミックス")</f>
        <v>Ⓒ 櫻井まり/シーモアコミックス</v>
      </c>
      <c r="V415" s="8" t="str">
        <f>IFERROR(__xludf.DUMMYFUNCTION("""COMPUTED_VALUE"""),"不良DK×ゆるふわ妊婦、新感覚入れ替わりLOVEの行方は――!?
イラだち無気力な日々を送る男子高生・黒崎仁。ある日、妊婦の麻衣を助けて階段から転げ落ちてしまい…2人は入れ替わってしまった!?突然の妊婦生活に戸惑う仁だったが、どんな時にも明るく前向きな麻衣に励まされ、初めての感情が芽生えていく。しかし麻衣にはある秘密があって…？【恋するソワレ】")</f>
        <v>不良DK×ゆるふわ妊婦、新感覚入れ替わりLOVEの行方は――!?
イラだち無気力な日々を送る男子高生・黒崎仁。ある日、妊婦の麻衣を助けて階段から転げ落ちてしまい…2人は入れ替わってしまった!?突然の妊婦生活に戸惑う仁だったが、どんな時にも明るく前向きな麻衣に励まされ、初めての感情が芽生えていく。しかし麻衣にはある秘密があって…？【恋するソワレ】</v>
      </c>
      <c r="W415" s="8"/>
      <c r="X415" s="8" t="str">
        <f>IFERROR(__xludf.DUMMYFUNCTION("""COMPUTED_VALUE"""),"有")</f>
        <v>有</v>
      </c>
      <c r="Y415" s="8" t="str">
        <f>IFERROR(__xludf.DUMMYFUNCTION("""COMPUTED_VALUE"""),"7/14まで1巻無料")</f>
        <v>7/14まで1巻無料</v>
      </c>
      <c r="Z415" s="7"/>
      <c r="AA415" s="7"/>
      <c r="AB415" s="7"/>
    </row>
    <row r="416" ht="15.75" customHeight="1">
      <c r="A416" s="8">
        <f>IFERROR(__xludf.DUMMYFUNCTION("""COMPUTED_VALUE"""),1764.0)</f>
        <v>1764</v>
      </c>
      <c r="B416" s="9" t="str">
        <f>IFERROR(__xludf.DUMMYFUNCTION("""COMPUTED_VALUE"""),"確定")</f>
        <v>確定</v>
      </c>
      <c r="C416" s="10">
        <f>IFERROR(__xludf.DUMMYFUNCTION("""COMPUTED_VALUE"""),44985.0)</f>
        <v>44985</v>
      </c>
      <c r="D416" s="10">
        <f>IFERROR(__xludf.DUMMYFUNCTION("""COMPUTED_VALUE"""),45082.0)</f>
        <v>45082</v>
      </c>
      <c r="E416" s="8">
        <f>IFERROR(__xludf.DUMMYFUNCTION("""COMPUTED_VALUE"""),271794.0)</f>
        <v>271794</v>
      </c>
      <c r="F416" s="9" t="str">
        <f>IFERROR(__xludf.DUMMYFUNCTION("""COMPUTED_VALUE"""),"欲し狩りはとまらない")</f>
        <v>欲し狩りはとまらない</v>
      </c>
      <c r="G416" s="11" t="str">
        <f>IFERROR(__xludf.DUMMYFUNCTION("""COMPUTED_VALUE"""),"1～4")</f>
        <v>1～4</v>
      </c>
      <c r="H416" s="8" t="str">
        <f>IFERROR(__xludf.DUMMYFUNCTION("""COMPUTED_VALUE"""),"冬月光輝/ましろぷに")</f>
        <v>冬月光輝/ましろぷに</v>
      </c>
      <c r="I416" s="8" t="str">
        <f>IFERROR(__xludf.DUMMYFUNCTION("""COMPUTED_VALUE"""),"少女")</f>
        <v>少女</v>
      </c>
      <c r="J416" s="8"/>
      <c r="K416" s="8"/>
      <c r="L416" s="8" t="str">
        <f>IFERROR(__xludf.DUMMYFUNCTION("""COMPUTED_VALUE"""),"Evolution")</f>
        <v>Evolution</v>
      </c>
      <c r="M416" s="12">
        <f>IFERROR(__xludf.DUMMYFUNCTION("""COMPUTED_VALUE"""),45108.0)</f>
        <v>45108</v>
      </c>
      <c r="N416" s="12">
        <f>IFERROR(__xludf.DUMMYFUNCTION("""COMPUTED_VALUE"""),45138.0)</f>
        <v>45138</v>
      </c>
      <c r="O416" s="11"/>
      <c r="P416" s="9" t="str">
        <f>IFERROR(__xludf.DUMMYFUNCTION("""COMPUTED_VALUE"""),"否")</f>
        <v>否</v>
      </c>
      <c r="Q416" s="8" t="str">
        <f>IFERROR(__xludf.DUMMYFUNCTION("""COMPUTED_VALUE"""),"広告コミットOK（3/3）&lt;BR&gt;&lt;BR&gt;上下巻で完結予定です⇒全4巻に変更（6/5永田追記）&lt;BR&gt;配信が５月から６月に変更（4/5古谷追記）&lt;BR&gt;素材納品：2023年6月頃&lt;BR&gt;配信予定：納品月翌月初旬希望（5/26永田追記）&lt;BR&gt;&lt;BR&gt;タイトル名変更になってます。（6/2永田追記）&lt;BR&gt;変更前：お姉さま！わたくしが貰ってさしあげます&lt;BR&gt;&lt;BR&gt;7/5～8/4：1巻無料（6/5永田追記）")</f>
        <v>広告コミットOK（3/3）&lt;BR&gt;&lt;BR&gt;上下巻で完結予定です⇒全4巻に変更（6/5永田追記）&lt;BR&gt;配信が５月から６月に変更（4/5古谷追記）&lt;BR&gt;素材納品：2023年6月頃&lt;BR&gt;配信予定：納品月翌月初旬希望（5/26永田追記）&lt;BR&gt;&lt;BR&gt;タイトル名変更になってます。（6/2永田追記）&lt;BR&gt;変更前：お姉さま！わたくしが貰ってさしあげます&lt;BR&gt;&lt;BR&gt;7/5～8/4：1巻無料（6/5永田追記）</v>
      </c>
      <c r="R416" s="9">
        <f>IFERROR(__xludf.DUMMYFUNCTION("""COMPUTED_VALUE"""),45098.0)</f>
        <v>45098</v>
      </c>
      <c r="S416" s="8" t="str">
        <f>IFERROR(__xludf.DUMMYFUNCTION("""COMPUTED_VALUE"""),"20230602_Evolution_欲し狩りは止まらない")</f>
        <v>20230602_Evolution_欲し狩りは止まらない</v>
      </c>
      <c r="T416" s="9"/>
      <c r="U416" s="9" t="str">
        <f>IFERROR(__xludf.DUMMYFUNCTION("""COMPUTED_VALUE"""),"©冬月光輝/ましろぷに/EVOパブリッシング")</f>
        <v>©冬月光輝/ましろぷに/EVOパブリッシング</v>
      </c>
      <c r="V416" s="8" t="str">
        <f>IFERROR(__xludf.DUMMYFUNCTION("""COMPUTED_VALUE"""),"「お姉様、そのネックレス貰って差し上げますわ」――いつからか姉であるリリアの衣服やアクセサリーを次々と奪うようになったワガママな妹ニーナ。少しでも拒否しようものなら涙を流して批難しこちらを悪者にする厄介者と思っていた中、リリアの婚約者となったルース王子まで『貰ってあげる』と言い出して…！いつもであればそんな申し出にいい顔をしないリリアだったが、今回ばかりは思わず大歓喜することに…!?彼女が喜ぶ驚きの理由とは―…ありえない展開と歪んだ愛の三角関係が織りなす、どんでん返しのストーリー！完結まで一挙配信!!")</f>
        <v>「お姉様、そのネックレス貰って差し上げますわ」――いつからか姉であるリリアの衣服やアクセサリーを次々と奪うようになったワガママな妹ニーナ。少しでも拒否しようものなら涙を流して批難しこちらを悪者にする厄介者と思っていた中、リリアの婚約者となったルース王子まで『貰ってあげる』と言い出して…！いつもであればそんな申し出にいい顔をしないリリアだったが、今回ばかりは思わず大歓喜することに…!?彼女が喜ぶ驚きの理由とは―…ありえない展開と歪んだ愛の三角関係が織りなす、どんでん返しのストーリー！完結まで一挙配信!!</v>
      </c>
      <c r="W416" s="8"/>
      <c r="X416" s="8" t="str">
        <f>IFERROR(__xludf.DUMMYFUNCTION("""COMPUTED_VALUE"""),"有")</f>
        <v>有</v>
      </c>
      <c r="Y416" s="8" t="str">
        <f>IFERROR(__xludf.DUMMYFUNCTION("""COMPUTED_VALUE"""),"7/31まで1巻無料")</f>
        <v>7/31まで1巻無料</v>
      </c>
      <c r="Z416" s="7"/>
      <c r="AA416" s="7"/>
      <c r="AB416" s="7"/>
    </row>
    <row r="417" ht="15.75" customHeight="1">
      <c r="A417" s="8">
        <f>IFERROR(__xludf.DUMMYFUNCTION("""COMPUTED_VALUE"""),1914.0)</f>
        <v>1914</v>
      </c>
      <c r="B417" s="9" t="str">
        <f>IFERROR(__xludf.DUMMYFUNCTION("""COMPUTED_VALUE"""),"確定")</f>
        <v>確定</v>
      </c>
      <c r="C417" s="10">
        <f>IFERROR(__xludf.DUMMYFUNCTION("""COMPUTED_VALUE"""),45042.0)</f>
        <v>45042</v>
      </c>
      <c r="D417" s="10">
        <f>IFERROR(__xludf.DUMMYFUNCTION("""COMPUTED_VALUE"""),45083.0)</f>
        <v>45083</v>
      </c>
      <c r="E417" s="8">
        <f>IFERROR(__xludf.DUMMYFUNCTION("""COMPUTED_VALUE"""),270691.0)</f>
        <v>270691</v>
      </c>
      <c r="F417" s="9" t="str">
        <f>IFERROR(__xludf.DUMMYFUNCTION("""COMPUTED_VALUE"""),"奪われたのはキスだけじゃなく～抱いて癒して、とろかされる溺愛婚～")</f>
        <v>奪われたのはキスだけじゃなく～抱いて癒して、とろかされる溺愛婚～</v>
      </c>
      <c r="G417" s="11" t="str">
        <f>IFERROR(__xludf.DUMMYFUNCTION("""COMPUTED_VALUE"""),"1～3")</f>
        <v>1～3</v>
      </c>
      <c r="H417" s="8" t="str">
        <f>IFERROR(__xludf.DUMMYFUNCTION("""COMPUTED_VALUE"""),"みなのなこ")</f>
        <v>みなのなこ</v>
      </c>
      <c r="I417" s="8" t="str">
        <f>IFERROR(__xludf.DUMMYFUNCTION("""COMPUTED_VALUE"""),"TL")</f>
        <v>TL</v>
      </c>
      <c r="J417" s="8"/>
      <c r="K417" s="8"/>
      <c r="L417" s="8" t="str">
        <f>IFERROR(__xludf.DUMMYFUNCTION("""COMPUTED_VALUE"""),"小学館")</f>
        <v>小学館</v>
      </c>
      <c r="M417" s="12">
        <f>IFERROR(__xludf.DUMMYFUNCTION("""COMPUTED_VALUE"""),45107.0)</f>
        <v>45107</v>
      </c>
      <c r="N417" s="12">
        <f>IFERROR(__xludf.DUMMYFUNCTION("""COMPUTED_VALUE"""),45141.0)</f>
        <v>45141</v>
      </c>
      <c r="O417" s="11"/>
      <c r="P417" s="9" t="str">
        <f>IFERROR(__xludf.DUMMYFUNCTION("""COMPUTED_VALUE"""),"可")</f>
        <v>可</v>
      </c>
      <c r="Q417" s="8" t="str">
        <f>IFERROR(__xludf.DUMMYFUNCTION("""COMPUTED_VALUE"""),"広告コミットOK（4/27）&lt;BR&gt;")</f>
        <v>広告コミットOK（4/27）&lt;BR&gt;</v>
      </c>
      <c r="R417" s="9" t="str">
        <f>IFERROR(__xludf.DUMMYFUNCTION("""COMPUTED_VALUE"""),"3巻目：2023/6/9")</f>
        <v>3巻目：2023/6/9</v>
      </c>
      <c r="S417" s="8" t="str">
        <f>IFERROR(__xludf.DUMMYFUNCTION("""COMPUTED_VALUE"""),"20230606_小学館_奪われたのはキスだけじゃなく～抱いて癒して、とろかされる溺愛婚～")</f>
        <v>20230606_小学館_奪われたのはキスだけじゃなく～抱いて癒して、とろかされる溺愛婚～</v>
      </c>
      <c r="T417" s="9" t="str">
        <f>IFERROR(__xludf.DUMMYFUNCTION("""COMPUTED_VALUE"""),"1-2巻分格納済、3巻分のみ6/9共有予定")</f>
        <v>1-2巻分格納済、3巻分のみ6/9共有予定</v>
      </c>
      <c r="U417" s="9" t="str">
        <f>IFERROR(__xludf.DUMMYFUNCTION("""COMPUTED_VALUE"""),"(C)みなのなこ / 小学館")</f>
        <v>(C)みなのなこ / 小学館</v>
      </c>
      <c r="V417" s="8" t="str">
        <f>IFERROR(__xludf.DUMMYFUNCTION("""COMPUTED_VALUE"""),"「このような始まり方ではダメでしょうか？……絶対後悔はさせません」とろけるような想いの籠った瞳で見つめられて、ハジメテの甘い疼きに身を任せて――。 ◆とある事情から《結婚するまでキスもセックスもしない》ことを信条としていた不和飛鳥。ところが、28歳の誕生日、その信条が原因でプロポーズ目前の彼氏からフラれてしまう。そのうえ、ハプニングで通りすがりの男に大切に守ってきた《唇の処女》を奪われてしまい――…不運の連続に思わず泣き出す飛鳥を前に、唇を奪った彼は真面目な顔で「責任、取らせていただきます」そう宣言してき"&amp;"て……！？　「責任」ってまさかの≪本気のプロポーズ≫！？ ◆初心なモダきゅん連続の、甘すぎる溺愛新婚生活TL！")</f>
        <v>「このような始まり方ではダメでしょうか？……絶対後悔はさせません」とろけるような想いの籠った瞳で見つめられて、ハジメテの甘い疼きに身を任せて――。 ◆とある事情から《結婚するまでキスもセックスもしない》ことを信条としていた不和飛鳥。ところが、28歳の誕生日、その信条が原因でプロポーズ目前の彼氏からフラれてしまう。そのうえ、ハプニングで通りすがりの男に大切に守ってきた《唇の処女》を奪われてしまい――…不運の連続に思わず泣き出す飛鳥を前に、唇を奪った彼は真面目な顔で「責任、取らせていただきます」そう宣言してきて……！？　「責任」ってまさかの≪本気のプロポーズ≫！？ ◆初心なモダきゅん連続の、甘すぎる溺愛新婚生活TL！</v>
      </c>
      <c r="W417" s="8"/>
      <c r="X417" s="8" t="str">
        <f>IFERROR(__xludf.DUMMYFUNCTION("""COMPUTED_VALUE"""),"有")</f>
        <v>有</v>
      </c>
      <c r="Y417" s="8" t="str">
        <f>IFERROR(__xludf.DUMMYFUNCTION("""COMPUTED_VALUE"""),"7/13まで1巻無料")</f>
        <v>7/13まで1巻無料</v>
      </c>
      <c r="Z417" s="7"/>
      <c r="AA417" s="7"/>
      <c r="AB417" s="7"/>
    </row>
    <row r="418" ht="15.75" customHeight="1">
      <c r="A418" s="8">
        <f>IFERROR(__xludf.DUMMYFUNCTION("""COMPUTED_VALUE"""),1951.0)</f>
        <v>1951</v>
      </c>
      <c r="B418" s="9" t="str">
        <f>IFERROR(__xludf.DUMMYFUNCTION("""COMPUTED_VALUE"""),"確定")</f>
        <v>確定</v>
      </c>
      <c r="C418" s="10">
        <f>IFERROR(__xludf.DUMMYFUNCTION("""COMPUTED_VALUE"""),45058.0)</f>
        <v>45058</v>
      </c>
      <c r="D418" s="10">
        <f>IFERROR(__xludf.DUMMYFUNCTION("""COMPUTED_VALUE"""),45082.0)</f>
        <v>45082</v>
      </c>
      <c r="E418" s="8">
        <f>IFERROR(__xludf.DUMMYFUNCTION("""COMPUTED_VALUE"""),269409.0)</f>
        <v>269409</v>
      </c>
      <c r="F418" s="9" t="str">
        <f>IFERROR(__xludf.DUMMYFUNCTION("""COMPUTED_VALUE"""),"恋のメビウス～彼との主従は幻影の彼方から～")</f>
        <v>恋のメビウス～彼との主従は幻影の彼方から～</v>
      </c>
      <c r="G418" s="11" t="str">
        <f>IFERROR(__xludf.DUMMYFUNCTION("""COMPUTED_VALUE"""),"1～3")</f>
        <v>1～3</v>
      </c>
      <c r="H418" s="8" t="str">
        <f>IFERROR(__xludf.DUMMYFUNCTION("""COMPUTED_VALUE"""),"アリスン")</f>
        <v>アリスン</v>
      </c>
      <c r="I418" s="8" t="str">
        <f>IFERROR(__xludf.DUMMYFUNCTION("""COMPUTED_VALUE"""),"TL")</f>
        <v>TL</v>
      </c>
      <c r="J418" s="8"/>
      <c r="K418" s="8"/>
      <c r="L418" s="8" t="str">
        <f>IFERROR(__xludf.DUMMYFUNCTION("""COMPUTED_VALUE"""),"秋田書店")</f>
        <v>秋田書店</v>
      </c>
      <c r="M418" s="12">
        <f>IFERROR(__xludf.DUMMYFUNCTION("""COMPUTED_VALUE"""),45092.0)</f>
        <v>45092</v>
      </c>
      <c r="N418" s="12">
        <f>IFERROR(__xludf.DUMMYFUNCTION("""COMPUTED_VALUE"""),45153.0)</f>
        <v>45153</v>
      </c>
      <c r="O418" s="11"/>
      <c r="P418" s="9" t="str">
        <f>IFERROR(__xludf.DUMMYFUNCTION("""COMPUTED_VALUE"""),"可")</f>
        <v>可</v>
      </c>
      <c r="Q418" s="8" t="str">
        <f>IFERROR(__xludf.DUMMYFUNCTION("""COMPUTED_VALUE"""),"広告コミットOK(5/22)")</f>
        <v>広告コミットOK(5/22)</v>
      </c>
      <c r="R418" s="9"/>
      <c r="S418" s="8" t="str">
        <f>IFERROR(__xludf.DUMMYFUNCTION("""COMPUTED_VALUE"""),"20230602_秋田書店_恋のメビウス")</f>
        <v>20230602_秋田書店_恋のメビウス</v>
      </c>
      <c r="T418" s="9"/>
      <c r="U418" s="9" t="str">
        <f>IFERROR(__xludf.DUMMYFUNCTION("""COMPUTED_VALUE"""),"(C)アリスン（秋田書店）")</f>
        <v>(C)アリスン（秋田書店）</v>
      </c>
      <c r="V418" s="8" t="str">
        <f>IFERROR(__xludf.DUMMYFUNCTION("""COMPUTED_VALUE"""),"OLの綺凛は、毎晩あるHな夢を見ていた。その夢では綺凛は古代ローマ時代の性奴隷で、主人から辱めを受けていた。そんなある時、会社の超絶美形CEOである君島から「お前は俺の性奴隷だ」と宣言されて――!?　時空を超えて惹かれ合う輪廻転生ラブストーリー!!
")</f>
        <v>OLの綺凛は、毎晩あるHな夢を見ていた。その夢では綺凛は古代ローマ時代の性奴隷で、主人から辱めを受けていた。そんなある時、会社の超絶美形CEOである君島から「お前は俺の性奴隷だ」と宣言されて――!?　時空を超えて惹かれ合う輪廻転生ラブストーリー!!
</v>
      </c>
      <c r="W418" s="8"/>
      <c r="X418" s="8" t="str">
        <f>IFERROR(__xludf.DUMMYFUNCTION("""COMPUTED_VALUE"""),"有")</f>
        <v>有</v>
      </c>
      <c r="Y418" s="8" t="str">
        <f>IFERROR(__xludf.DUMMYFUNCTION("""COMPUTED_VALUE"""),"8/15まで1巻無料")</f>
        <v>8/15まで1巻無料</v>
      </c>
      <c r="Z418" s="7"/>
      <c r="AA418" s="7"/>
      <c r="AB418" s="7"/>
    </row>
    <row r="419" ht="15.75" customHeight="1">
      <c r="A419" s="8">
        <f>IFERROR(__xludf.DUMMYFUNCTION("""COMPUTED_VALUE"""),1955.0)</f>
        <v>1955</v>
      </c>
      <c r="B419" s="9" t="str">
        <f>IFERROR(__xludf.DUMMYFUNCTION("""COMPUTED_VALUE"""),"確定")</f>
        <v>確定</v>
      </c>
      <c r="C419" s="10">
        <f>IFERROR(__xludf.DUMMYFUNCTION("""COMPUTED_VALUE"""),45061.0)</f>
        <v>45061</v>
      </c>
      <c r="D419" s="10">
        <f>IFERROR(__xludf.DUMMYFUNCTION("""COMPUTED_VALUE"""),45077.0)</f>
        <v>45077</v>
      </c>
      <c r="E419" s="8">
        <f>IFERROR(__xludf.DUMMYFUNCTION("""COMPUTED_VALUE"""),270349.0)</f>
        <v>270349</v>
      </c>
      <c r="F419" s="9" t="str">
        <f>IFERROR(__xludf.DUMMYFUNCTION("""COMPUTED_VALUE"""),"偽装彼氏はエリート課長！")</f>
        <v>偽装彼氏はエリート課長！</v>
      </c>
      <c r="G419" s="11" t="str">
        <f>IFERROR(__xludf.DUMMYFUNCTION("""COMPUTED_VALUE"""),"1～3")</f>
        <v>1～3</v>
      </c>
      <c r="H419" s="8" t="str">
        <f>IFERROR(__xludf.DUMMYFUNCTION("""COMPUTED_VALUE"""),"岡本梨江┴匙")</f>
        <v>岡本梨江┴匙</v>
      </c>
      <c r="I419" s="8" t="str">
        <f>IFERROR(__xludf.DUMMYFUNCTION("""COMPUTED_VALUE"""),"女性")</f>
        <v>女性</v>
      </c>
      <c r="J419" s="8"/>
      <c r="K419" s="8"/>
      <c r="L419" s="8" t="str">
        <f>IFERROR(__xludf.DUMMYFUNCTION("""COMPUTED_VALUE"""),"GIGATOON Studio")</f>
        <v>GIGATOON Studio</v>
      </c>
      <c r="M419" s="12">
        <f>IFERROR(__xludf.DUMMYFUNCTION("""COMPUTED_VALUE"""),45102.0)</f>
        <v>45102</v>
      </c>
      <c r="N419" s="12">
        <f>IFERROR(__xludf.DUMMYFUNCTION("""COMPUTED_VALUE"""),45131.0)</f>
        <v>45131</v>
      </c>
      <c r="O419" s="11"/>
      <c r="P419" s="9" t="str">
        <f>IFERROR(__xludf.DUMMYFUNCTION("""COMPUTED_VALUE"""),"可")</f>
        <v>可</v>
      </c>
      <c r="Q419" s="8" t="str">
        <f>IFERROR(__xludf.DUMMYFUNCTION("""COMPUTED_VALUE"""),"広告コミットOK(5/18)")</f>
        <v>広告コミットOK(5/18)</v>
      </c>
      <c r="R419" s="9"/>
      <c r="S419" s="8" t="str">
        <f>IFERROR(__xludf.DUMMYFUNCTION("""COMPUTED_VALUE"""),"20230531_GIGATOON Studio_新作2作品")</f>
        <v>20230531_GIGATOON Studio_新作2作品</v>
      </c>
      <c r="T419" s="9"/>
      <c r="U419" s="9" t="str">
        <f>IFERROR(__xludf.DUMMYFUNCTION("""COMPUTED_VALUE"""),"(C)匙／岡本梨紅／GIGATOON Studio")</f>
        <v>(C)匙／岡本梨紅／GIGATOON Studio</v>
      </c>
      <c r="V419" s="8" t="str">
        <f>IFERROR(__xludf.DUMMYFUNCTION("""COMPUTED_VALUE"""),"仕事は有能だがメンタルは弱い十文字すみれ（28歳）。付き合って5年目の記念日に彼氏の葉山慎太郎（28歳）にフラれてしまう。さらに慎太郎の新しい恋人は、後輩の桐谷愛華（25歳）だった！
すみれは、愛華の嫌がらせに憔悴し、ついに倒れてしまう。事情を知ったすみれの上司・桜庭瑞樹（30歳）は、偽装彼氏になるので愛華たちを見返そうと提案。戸惑いながらも了承するすみれ。
偽りの関係を続けるうちに、すみれは徐々に桜庭のことが気になり始めるが、実は彼には秘密があって･･･！？")</f>
        <v>仕事は有能だがメンタルは弱い十文字すみれ（28歳）。付き合って5年目の記念日に彼氏の葉山慎太郎（28歳）にフラれてしまう。さらに慎太郎の新しい恋人は、後輩の桐谷愛華（25歳）だった！
すみれは、愛華の嫌がらせに憔悴し、ついに倒れてしまう。事情を知ったすみれの上司・桜庭瑞樹（30歳）は、偽装彼氏になるので愛華たちを見返そうと提案。戸惑いながらも了承するすみれ。
偽りの関係を続けるうちに、すみれは徐々に桜庭のことが気になり始めるが、実は彼には秘密があって･･･！？</v>
      </c>
      <c r="W419" s="8"/>
      <c r="X419" s="8" t="str">
        <f>IFERROR(__xludf.DUMMYFUNCTION("""COMPUTED_VALUE"""),"有")</f>
        <v>有</v>
      </c>
      <c r="Y419" s="8" t="str">
        <f>IFERROR(__xludf.DUMMYFUNCTION("""COMPUTED_VALUE"""),"7/24まで立ち読み増量P15まで")</f>
        <v>7/24まで立ち読み増量P15まで</v>
      </c>
      <c r="Z419" s="7"/>
      <c r="AA419" s="7"/>
      <c r="AB419" s="7"/>
    </row>
    <row r="420" ht="15.75" customHeight="1">
      <c r="A420" s="8">
        <f>IFERROR(__xludf.DUMMYFUNCTION("""COMPUTED_VALUE"""),1956.0)</f>
        <v>1956</v>
      </c>
      <c r="B420" s="9" t="str">
        <f>IFERROR(__xludf.DUMMYFUNCTION("""COMPUTED_VALUE"""),"確定")</f>
        <v>確定</v>
      </c>
      <c r="C420" s="10">
        <f>IFERROR(__xludf.DUMMYFUNCTION("""COMPUTED_VALUE"""),45061.0)</f>
        <v>45061</v>
      </c>
      <c r="D420" s="10">
        <f>IFERROR(__xludf.DUMMYFUNCTION("""COMPUTED_VALUE"""),45077.0)</f>
        <v>45077</v>
      </c>
      <c r="E420" s="8">
        <f>IFERROR(__xludf.DUMMYFUNCTION("""COMPUTED_VALUE"""),270348.0)</f>
        <v>270348</v>
      </c>
      <c r="F420" s="9" t="str">
        <f>IFERROR(__xludf.DUMMYFUNCTION("""COMPUTED_VALUE"""),"透明な君を愛したい")</f>
        <v>透明な君を愛したい</v>
      </c>
      <c r="G420" s="11" t="str">
        <f>IFERROR(__xludf.DUMMYFUNCTION("""COMPUTED_VALUE"""),"1～3")</f>
        <v>1～3</v>
      </c>
      <c r="H420" s="8" t="str">
        <f>IFERROR(__xludf.DUMMYFUNCTION("""COMPUTED_VALUE"""),"岸田芽衣┴桜井ゆき")</f>
        <v>岸田芽衣┴桜井ゆき</v>
      </c>
      <c r="I420" s="8" t="str">
        <f>IFERROR(__xludf.DUMMYFUNCTION("""COMPUTED_VALUE"""),"女性")</f>
        <v>女性</v>
      </c>
      <c r="J420" s="8"/>
      <c r="K420" s="8"/>
      <c r="L420" s="8" t="str">
        <f>IFERROR(__xludf.DUMMYFUNCTION("""COMPUTED_VALUE"""),"GIGATOON Studio")</f>
        <v>GIGATOON Studio</v>
      </c>
      <c r="M420" s="12">
        <f>IFERROR(__xludf.DUMMYFUNCTION("""COMPUTED_VALUE"""),45102.0)</f>
        <v>45102</v>
      </c>
      <c r="N420" s="12">
        <f>IFERROR(__xludf.DUMMYFUNCTION("""COMPUTED_VALUE"""),45131.0)</f>
        <v>45131</v>
      </c>
      <c r="O420" s="11"/>
      <c r="P420" s="9" t="str">
        <f>IFERROR(__xludf.DUMMYFUNCTION("""COMPUTED_VALUE"""),"可")</f>
        <v>可</v>
      </c>
      <c r="Q420" s="8" t="str">
        <f>IFERROR(__xludf.DUMMYFUNCTION("""COMPUTED_VALUE"""),"広告コミットOK(5/18)")</f>
        <v>広告コミットOK(5/18)</v>
      </c>
      <c r="R420" s="9"/>
      <c r="S420" s="8" t="str">
        <f>IFERROR(__xludf.DUMMYFUNCTION("""COMPUTED_VALUE"""),"20230531_GIGATOON Studio_新作2作品")</f>
        <v>20230531_GIGATOON Studio_新作2作品</v>
      </c>
      <c r="T420" s="9"/>
      <c r="U420" s="9" t="str">
        <f>IFERROR(__xludf.DUMMYFUNCTION("""COMPUTED_VALUE"""),"(C)桜井ゆき／岸田芽依／GIGATOON Studio")</f>
        <v>(C)桜井ゆき／岸田芽依／GIGATOON Studio</v>
      </c>
      <c r="V420" s="8" t="str">
        <f>IFERROR(__xludf.DUMMYFUNCTION("""COMPUTED_VALUE"""),"親の言いなりで生きてきた清水千里（25歳）。自由に大海原を泳ぐ魚に憧れていた。ある日、自由奔放なピアニスト・毛利赤莉（24歳）の弾くピアノを聴き、心から感動する。千里は赤莉に協力してもらい「本当に好きなもの」を探していく。次第に赤莉へと惹かれていく千里。しかし、千里には独占欲が強く、彼女を自分色に染めたいと画策する婚約者・鳴海啓司（27歳）がいた。千里の異変を感じた啓司は、さらに彼女を束縛し始めて・・・。
千里、赤莉、啓司のそれぞれの想いが交錯するトライアングル・ラブストーリー！")</f>
        <v>親の言いなりで生きてきた清水千里（25歳）。自由に大海原を泳ぐ魚に憧れていた。ある日、自由奔放なピアニスト・毛利赤莉（24歳）の弾くピアノを聴き、心から感動する。千里は赤莉に協力してもらい「本当に好きなもの」を探していく。次第に赤莉へと惹かれていく千里。しかし、千里には独占欲が強く、彼女を自分色に染めたいと画策する婚約者・鳴海啓司（27歳）がいた。千里の異変を感じた啓司は、さらに彼女を束縛し始めて・・・。
千里、赤莉、啓司のそれぞれの想いが交錯するトライアングル・ラブストーリー！</v>
      </c>
      <c r="W420" s="8"/>
      <c r="X420" s="8" t="str">
        <f>IFERROR(__xludf.DUMMYFUNCTION("""COMPUTED_VALUE"""),"有")</f>
        <v>有</v>
      </c>
      <c r="Y420" s="8" t="str">
        <f>IFERROR(__xludf.DUMMYFUNCTION("""COMPUTED_VALUE"""),"7/24まで立ち読み増量P15まで")</f>
        <v>7/24まで立ち読み増量P15まで</v>
      </c>
      <c r="Z420" s="7"/>
      <c r="AA420" s="7"/>
      <c r="AB420" s="7"/>
    </row>
    <row r="421" ht="15.75" customHeight="1">
      <c r="A421" s="8">
        <f>IFERROR(__xludf.DUMMYFUNCTION("""COMPUTED_VALUE"""),1963.0)</f>
        <v>1963</v>
      </c>
      <c r="B421" s="9" t="str">
        <f>IFERROR(__xludf.DUMMYFUNCTION("""COMPUTED_VALUE"""),"確定")</f>
        <v>確定</v>
      </c>
      <c r="C421" s="10">
        <f>IFERROR(__xludf.DUMMYFUNCTION("""COMPUTED_VALUE"""),45064.0)</f>
        <v>45064</v>
      </c>
      <c r="D421" s="10">
        <f>IFERROR(__xludf.DUMMYFUNCTION("""COMPUTED_VALUE"""),45079.0)</f>
        <v>45079</v>
      </c>
      <c r="E421" s="8">
        <f>IFERROR(__xludf.DUMMYFUNCTION("""COMPUTED_VALUE"""),271176.0)</f>
        <v>271176</v>
      </c>
      <c r="F421" s="9" t="str">
        <f>IFERROR(__xludf.DUMMYFUNCTION("""COMPUTED_VALUE"""),"ペット失格～拾った男は舐め上手なケダモノでした")</f>
        <v>ペット失格～拾った男は舐め上手なケダモノでした</v>
      </c>
      <c r="G421" s="11" t="str">
        <f>IFERROR(__xludf.DUMMYFUNCTION("""COMPUTED_VALUE"""),"1～3")</f>
        <v>1～3</v>
      </c>
      <c r="H421" s="8" t="str">
        <f>IFERROR(__xludf.DUMMYFUNCTION("""COMPUTED_VALUE"""),"夏本夕子")</f>
        <v>夏本夕子</v>
      </c>
      <c r="I421" s="8" t="str">
        <f>IFERROR(__xludf.DUMMYFUNCTION("""COMPUTED_VALUE"""),"TL")</f>
        <v>TL</v>
      </c>
      <c r="J421" s="8"/>
      <c r="K421" s="8"/>
      <c r="L421" s="8" t="str">
        <f>IFERROR(__xludf.DUMMYFUNCTION("""COMPUTED_VALUE"""),"ファンギルド")</f>
        <v>ファンギルド</v>
      </c>
      <c r="M421" s="12">
        <f>IFERROR(__xludf.DUMMYFUNCTION("""COMPUTED_VALUE"""),45114.0)</f>
        <v>45114</v>
      </c>
      <c r="N421" s="12">
        <f>IFERROR(__xludf.DUMMYFUNCTION("""COMPUTED_VALUE"""),45134.0)</f>
        <v>45134</v>
      </c>
      <c r="O421" s="11"/>
      <c r="P421" s="9" t="str">
        <f>IFERROR(__xludf.DUMMYFUNCTION("""COMPUTED_VALUE"""),"可")</f>
        <v>可</v>
      </c>
      <c r="Q421" s="8" t="str">
        <f>IFERROR(__xludf.DUMMYFUNCTION("""COMPUTED_VALUE"""),"完パケ素材更新しました。")</f>
        <v>完パケ素材更新しました。</v>
      </c>
      <c r="R421" s="9"/>
      <c r="S421" s="8" t="str">
        <f>IFERROR(__xludf.DUMMYFUNCTION("""COMPUTED_VALUE"""),"20230602_ファンギルド_ペット失格～拾った男は舐め上手なケダモノでした")</f>
        <v>20230602_ファンギルド_ペット失格～拾った男は舐め上手なケダモノでした</v>
      </c>
      <c r="T421" s="9"/>
      <c r="U421" s="9" t="str">
        <f>IFERROR(__xludf.DUMMYFUNCTION("""COMPUTED_VALUE"""),"Ⓒ夏本夕子/モバイルメディアリサーチ")</f>
        <v>Ⓒ夏本夕子/モバイルメディアリサーチ</v>
      </c>
      <c r="V421" s="8" t="str">
        <f>IFERROR(__xludf.DUMMYFUNCTION("""COMPUTED_VALUE"""),"永野珠里・33歳OLは、恋人と別れたばかりで、どん底の日々を送っていた。そんな彼女を救ってくれたのは、『猫』。いつか猫と暮らす生活を夢見ていたある日、猫だと勘違いして草むらで出会った（拾った？）のは「男」だった！弱っていた彼を見かねて助けたものの「俺のこと、飼ってみる気ない？おねーさん」と提案されて…。ひょんなことから名乗らない彼を「ゆん」と名付けて、始まる共同生活。人懐っこくて陽気な性格した「ゆん」。時折、見せるオスの顔。彼が発情するたび珠里の身体を貪り、ケモノのように身体中を舐めまくり、何も考えられな"&amp;"くなるまで全身イカされて…落ちるところまで落ちてしまった二人。この先、どうなってしまうの!?")</f>
        <v>永野珠里・33歳OLは、恋人と別れたばかりで、どん底の日々を送っていた。そんな彼女を救ってくれたのは、『猫』。いつか猫と暮らす生活を夢見ていたある日、猫だと勘違いして草むらで出会った（拾った？）のは「男」だった！弱っていた彼を見かねて助けたものの「俺のこと、飼ってみる気ない？おねーさん」と提案されて…。ひょんなことから名乗らない彼を「ゆん」と名付けて、始まる共同生活。人懐っこくて陽気な性格した「ゆん」。時折、見せるオスの顔。彼が発情するたび珠里の身体を貪り、ケモノのように身体中を舐めまくり、何も考えられなくなるまで全身イカされて…落ちるところまで落ちてしまった二人。この先、どうなってしまうの!?</v>
      </c>
      <c r="W421" s="8"/>
      <c r="X421" s="8" t="str">
        <f>IFERROR(__xludf.DUMMYFUNCTION("""COMPUTED_VALUE"""),"有")</f>
        <v>有</v>
      </c>
      <c r="Y421" s="8" t="str">
        <f>IFERROR(__xludf.DUMMYFUNCTION("""COMPUTED_VALUE"""),"7/20まで1巻無料")</f>
        <v>7/20まで1巻無料</v>
      </c>
      <c r="Z421" s="7"/>
      <c r="AA421" s="7"/>
      <c r="AB421" s="7"/>
    </row>
    <row r="422" ht="15.75" customHeight="1">
      <c r="A422" s="8">
        <f>IFERROR(__xludf.DUMMYFUNCTION("""COMPUTED_VALUE"""),2000.0)</f>
        <v>2000</v>
      </c>
      <c r="B422" s="9" t="str">
        <f>IFERROR(__xludf.DUMMYFUNCTION("""COMPUTED_VALUE"""),"確定")</f>
        <v>確定</v>
      </c>
      <c r="C422" s="10">
        <f>IFERROR(__xludf.DUMMYFUNCTION("""COMPUTED_VALUE"""),45076.0)</f>
        <v>45076</v>
      </c>
      <c r="D422" s="10">
        <f>IFERROR(__xludf.DUMMYFUNCTION("""COMPUTED_VALUE"""),45078.0)</f>
        <v>45078</v>
      </c>
      <c r="E422" s="8">
        <f>IFERROR(__xludf.DUMMYFUNCTION("""COMPUTED_VALUE"""),270882.0)</f>
        <v>270882</v>
      </c>
      <c r="F422" s="9" t="str">
        <f>IFERROR(__xludf.DUMMYFUNCTION("""COMPUTED_VALUE"""),"スイートプレジデント")</f>
        <v>スイートプレジデント</v>
      </c>
      <c r="G422" s="11" t="str">
        <f>IFERROR(__xludf.DUMMYFUNCTION("""COMPUTED_VALUE"""),"1~3")</f>
        <v>1~3</v>
      </c>
      <c r="H422" s="8" t="str">
        <f>IFERROR(__xludf.DUMMYFUNCTION("""COMPUTED_VALUE"""),"作画：富絵　原作：姫月鏡香")</f>
        <v>作画：富絵　原作：姫月鏡香</v>
      </c>
      <c r="I422" s="8" t="str">
        <f>IFERROR(__xludf.DUMMYFUNCTION("""COMPUTED_VALUE"""),"女性")</f>
        <v>女性</v>
      </c>
      <c r="J422" s="8"/>
      <c r="K422" s="8"/>
      <c r="L422" s="8" t="str">
        <f>IFERROR(__xludf.DUMMYFUNCTION("""COMPUTED_VALUE"""),"Bコミ")</f>
        <v>Bコミ</v>
      </c>
      <c r="M422" s="12">
        <f>IFERROR(__xludf.DUMMYFUNCTION("""COMPUTED_VALUE"""),45108.0)</f>
        <v>45108</v>
      </c>
      <c r="N422" s="12">
        <f>IFERROR(__xludf.DUMMYFUNCTION("""COMPUTED_VALUE"""),45157.0)</f>
        <v>45157</v>
      </c>
      <c r="O422" s="11"/>
      <c r="P422" s="9" t="str">
        <f>IFERROR(__xludf.DUMMYFUNCTION("""COMPUTED_VALUE"""),"可")</f>
        <v>可</v>
      </c>
      <c r="Q422" s="8" t="str">
        <f>IFERROR(__xludf.DUMMYFUNCTION("""COMPUTED_VALUE"""),"素材格納済（6/1）&lt;BR&gt;広告コミットOK(5/31)")</f>
        <v>素材格納済（6/1）&lt;BR&gt;広告コミットOK(5/31)</v>
      </c>
      <c r="R422" s="9" t="str">
        <f>IFERROR(__xludf.DUMMYFUNCTION("""COMPUTED_VALUE"""),"格納済")</f>
        <v>格納済</v>
      </c>
      <c r="S422" s="8" t="str">
        <f>IFERROR(__xludf.DUMMYFUNCTION("""COMPUTED_VALUE"""),"20230601_Bコミ_スイートプレジデント")</f>
        <v>20230601_Bコミ_スイートプレジデント</v>
      </c>
      <c r="T422" s="9" t="str">
        <f>IFERROR(__xludf.DUMMYFUNCTION("""COMPUTED_VALUE"""),"校了済素材")</f>
        <v>校了済素材</v>
      </c>
      <c r="U422" s="9" t="str">
        <f>IFERROR(__xludf.DUMMYFUNCTION("""COMPUTED_VALUE"""),"(c)富絵・姫月鏡香/Bコミ")</f>
        <v>(c)富絵・姫月鏡香/Bコミ</v>
      </c>
      <c r="V422" s="8" t="str">
        <f>IFERROR(__xludf.DUMMYFUNCTION("""COMPUTED_VALUE"""),"【普段は社長と社員・プライベートは生徒と先生!?】副業禁止の会社で働くOL・陽茉莉の秘密は、毎週金曜日の夜にお菓子教室の先生をしている事。ある日やってきた生徒さんの正体は、なんと社長の緋山さん！偶然から始まった秘密のレッスンの行方は─
")</f>
        <v>【普段は社長と社員・プライベートは生徒と先生!?】副業禁止の会社で働くOL・陽茉莉の秘密は、毎週金曜日の夜にお菓子教室の先生をしている事。ある日やってきた生徒さんの正体は、なんと社長の緋山さん！偶然から始まった秘密のレッスンの行方は─
</v>
      </c>
      <c r="W422" s="8"/>
      <c r="X422" s="8" t="str">
        <f>IFERROR(__xludf.DUMMYFUNCTION("""COMPUTED_VALUE"""),"有")</f>
        <v>有</v>
      </c>
      <c r="Y422" s="8" t="str">
        <f>IFERROR(__xludf.DUMMYFUNCTION("""COMPUTED_VALUE"""),"8/19まで1巻無料")</f>
        <v>8/19まで1巻無料</v>
      </c>
      <c r="Z422" s="7"/>
      <c r="AA422" s="7"/>
      <c r="AB422" s="7"/>
    </row>
    <row r="423" ht="15.75" customHeight="1">
      <c r="A423" s="8">
        <f>IFERROR(__xludf.DUMMYFUNCTION("""COMPUTED_VALUE"""),2005.0)</f>
        <v>2005</v>
      </c>
      <c r="B423" s="9" t="str">
        <f>IFERROR(__xludf.DUMMYFUNCTION("""COMPUTED_VALUE"""),"確定")</f>
        <v>確定</v>
      </c>
      <c r="C423" s="10">
        <f>IFERROR(__xludf.DUMMYFUNCTION("""COMPUTED_VALUE"""),45076.0)</f>
        <v>45076</v>
      </c>
      <c r="D423" s="10">
        <f>IFERROR(__xludf.DUMMYFUNCTION("""COMPUTED_VALUE"""),45078.0)</f>
        <v>45078</v>
      </c>
      <c r="E423" s="8">
        <f>IFERROR(__xludf.DUMMYFUNCTION("""COMPUTED_VALUE"""),271275.0)</f>
        <v>271275</v>
      </c>
      <c r="F423" s="9" t="str">
        <f>IFERROR(__xludf.DUMMYFUNCTION("""COMPUTED_VALUE"""),"美人上司と同室 生ハメ出張")</f>
        <v>美人上司と同室 生ハメ出張</v>
      </c>
      <c r="G423" s="11" t="str">
        <f>IFERROR(__xludf.DUMMYFUNCTION("""COMPUTED_VALUE"""),"1~6")</f>
        <v>1~6</v>
      </c>
      <c r="H423" s="8" t="str">
        <f>IFERROR(__xludf.DUMMYFUNCTION("""COMPUTED_VALUE"""),"diletta")</f>
        <v>diletta</v>
      </c>
      <c r="I423" s="8" t="str">
        <f>IFERROR(__xludf.DUMMYFUNCTION("""COMPUTED_VALUE"""),"オトナ")</f>
        <v>オトナ</v>
      </c>
      <c r="J423" s="8"/>
      <c r="K423" s="8"/>
      <c r="L423" s="8" t="str">
        <f>IFERROR(__xludf.DUMMYFUNCTION("""COMPUTED_VALUE"""),"ブリック出版")</f>
        <v>ブリック出版</v>
      </c>
      <c r="M423" s="12">
        <f>IFERROR(__xludf.DUMMYFUNCTION("""COMPUTED_VALUE"""),45114.0)</f>
        <v>45114</v>
      </c>
      <c r="N423" s="12">
        <f>IFERROR(__xludf.DUMMYFUNCTION("""COMPUTED_VALUE"""),45141.0)</f>
        <v>45141</v>
      </c>
      <c r="O423" s="11"/>
      <c r="P423" s="9" t="str">
        <f>IFERROR(__xludf.DUMMYFUNCTION("""COMPUTED_VALUE"""),"可")</f>
        <v>可</v>
      </c>
      <c r="Q423" s="8" t="str">
        <f>IFERROR(__xludf.DUMMYFUNCTION("""COMPUTED_VALUE"""),"広告コミットOK(5/31)")</f>
        <v>広告コミットOK(5/31)</v>
      </c>
      <c r="R423" s="9"/>
      <c r="S423" s="8" t="str">
        <f>IFERROR(__xludf.DUMMYFUNCTION("""COMPUTED_VALUE"""),"20230530_BookLive_美人上司と同室 生ハメ出張")</f>
        <v>20230530_BookLive_美人上司と同室 生ハメ出張</v>
      </c>
      <c r="T423" s="9"/>
      <c r="U423" s="9" t="str">
        <f>IFERROR(__xludf.DUMMYFUNCTION("""COMPUTED_VALUE"""),"(C)ブリック出版")</f>
        <v>(C)ブリック出版</v>
      </c>
      <c r="V423" s="8" t="str">
        <f>IFERROR(__xludf.DUMMYFUNCTION("""COMPUTED_VALUE"""),"仕事で、上司である京香と出張に来た主人公。
プレゼンを終え、ダメ出しされながらホテルに戻ると、
手違いで一部屋しか予約されていなかった。
京香の了承を得る事ができ、一夜同室で過ごすことになるが、
ある1本の電話で京香が不機嫌になってしまい、やけ酒に付き合わされる事に―
酔っぱらった京香は、普段の生真面目さからは想像できない可愛さで、
煽られ、ついムラムラしてしまった主人公は欲望を抑えられず…
※本作は同人CG集作品の電子書籍版となります。")</f>
        <v>仕事で、上司である京香と出張に来た主人公。
プレゼンを終え、ダメ出しされながらホテルに戻ると、
手違いで一部屋しか予約されていなかった。
京香の了承を得る事ができ、一夜同室で過ごすことになるが、
ある1本の電話で京香が不機嫌になってしまい、やけ酒に付き合わされる事に―
酔っぱらった京香は、普段の生真面目さからは想像できない可愛さで、
煽られ、ついムラムラしてしまった主人公は欲望を抑えられず…
※本作は同人CG集作品の電子書籍版となります。</v>
      </c>
      <c r="W423" s="8"/>
      <c r="X423" s="8" t="str">
        <f>IFERROR(__xludf.DUMMYFUNCTION("""COMPUTED_VALUE"""),"有")</f>
        <v>有</v>
      </c>
      <c r="Y423" s="8" t="str">
        <f>IFERROR(__xludf.DUMMYFUNCTION("""COMPUTED_VALUE"""),"P37まで")</f>
        <v>P37まで</v>
      </c>
      <c r="Z423" s="7"/>
      <c r="AA423" s="7"/>
      <c r="AB423" s="7"/>
    </row>
    <row r="424" ht="15.75" customHeight="1">
      <c r="A424" s="8">
        <f>IFERROR(__xludf.DUMMYFUNCTION("""COMPUTED_VALUE"""),2006.0)</f>
        <v>2006</v>
      </c>
      <c r="B424" s="9" t="str">
        <f>IFERROR(__xludf.DUMMYFUNCTION("""COMPUTED_VALUE"""),"確定")</f>
        <v>確定</v>
      </c>
      <c r="C424" s="10">
        <f>IFERROR(__xludf.DUMMYFUNCTION("""COMPUTED_VALUE"""),45076.0)</f>
        <v>45076</v>
      </c>
      <c r="D424" s="10">
        <f>IFERROR(__xludf.DUMMYFUNCTION("""COMPUTED_VALUE"""),45078.0)</f>
        <v>45078</v>
      </c>
      <c r="E424" s="8">
        <f>IFERROR(__xludf.DUMMYFUNCTION("""COMPUTED_VALUE"""),271804.0)</f>
        <v>271804</v>
      </c>
      <c r="F424" s="9" t="str">
        <f>IFERROR(__xludf.DUMMYFUNCTION("""COMPUTED_VALUE"""),"JusticeBattler Proudia")</f>
        <v>JusticeBattler Proudia</v>
      </c>
      <c r="G424" s="11" t="str">
        <f>IFERROR(__xludf.DUMMYFUNCTION("""COMPUTED_VALUE"""),"1~6")</f>
        <v>1~6</v>
      </c>
      <c r="H424" s="8" t="str">
        <f>IFERROR(__xludf.DUMMYFUNCTION("""COMPUTED_VALUE"""),"ヒロピンlab")</f>
        <v>ヒロピンlab</v>
      </c>
      <c r="I424" s="8" t="str">
        <f>IFERROR(__xludf.DUMMYFUNCTION("""COMPUTED_VALUE"""),"オトナ")</f>
        <v>オトナ</v>
      </c>
      <c r="J424" s="8"/>
      <c r="K424" s="8"/>
      <c r="L424" s="8" t="str">
        <f>IFERROR(__xludf.DUMMYFUNCTION("""COMPUTED_VALUE"""),"ブリック出版")</f>
        <v>ブリック出版</v>
      </c>
      <c r="M424" s="12">
        <f>IFERROR(__xludf.DUMMYFUNCTION("""COMPUTED_VALUE"""),45121.0)</f>
        <v>45121</v>
      </c>
      <c r="N424" s="12">
        <f>IFERROR(__xludf.DUMMYFUNCTION("""COMPUTED_VALUE"""),45148.0)</f>
        <v>45148</v>
      </c>
      <c r="O424" s="11"/>
      <c r="P424" s="9" t="str">
        <f>IFERROR(__xludf.DUMMYFUNCTION("""COMPUTED_VALUE"""),"可")</f>
        <v>可</v>
      </c>
      <c r="Q424" s="8" t="str">
        <f>IFERROR(__xludf.DUMMYFUNCTION("""COMPUTED_VALUE"""),"広告コミットOK(5/31)")</f>
        <v>広告コミットOK(5/31)</v>
      </c>
      <c r="R424" s="9"/>
      <c r="S424" s="8" t="str">
        <f>IFERROR(__xludf.DUMMYFUNCTION("""COMPUTED_VALUE"""),"20230530_BookLive_JusticeBattler Proudia")</f>
        <v>20230530_BookLive_JusticeBattler Proudia</v>
      </c>
      <c r="T424" s="9"/>
      <c r="U424" s="9" t="str">
        <f>IFERROR(__xludf.DUMMYFUNCTION("""COMPUTED_VALUE"""),"(C)ブリック出版")</f>
        <v>(C)ブリック出版</v>
      </c>
      <c r="V424" s="8" t="str">
        <f>IFERROR(__xludf.DUMMYFUNCTION("""COMPUTED_VALUE"""),"ヒーロー、プラウディア。
人呼んで、JusticeBattler Proudia。
彗星のごとく現れた彼女は、新参ながらもその活躍は目覚ましく、
瞬く間に街の人気者へと昇り詰める。
一方、すっかりその陰に隠れてしまった古参ヒーロー・スペリオルは、
かつてプラウディアに公衆の面前で恥をかかされた経緯もあり、
彼女の活躍を妬ましく思っていた。
そんな時、スペリオルはある姦計を思いつく。
それは、彼女の大切な家族を人質にし、無抵抗にさせた上で決闘を行い、無様に敗北するシーンを動画で配信、人気を失墜させるというも"&amp;"のだった。
―そして後日
思惑通り廃ビルへとやってきたプラウディアを、スペリオルは得意の怪力で気絶させる。
無論、それだけで帰すつもりなどある筈もなく、
プラウディアの両手を拘束した上で、これまでのうっぷんを晴らすべく凌辱の限りを尽くすのだった―
最初こそ気丈に振舞うが、何度も凌辱されるうちに絶望し、許しを請うプラウディア。
それでもスペリオルは攻め手を休めることなく、精根尽きるまで彼女の中に射精し続けた。
スペリオルが去り、それで終わったかのように思えたものの、悲劇はそれだけではなかった―…")</f>
        <v>ヒーロー、プラウディア。
人呼んで、JusticeBattler Proudia。
彗星のごとく現れた彼女は、新参ながらもその活躍は目覚ましく、
瞬く間に街の人気者へと昇り詰める。
一方、すっかりその陰に隠れてしまった古参ヒーロー・スペリオルは、
かつてプラウディアに公衆の面前で恥をかかされた経緯もあり、
彼女の活躍を妬ましく思っていた。
そんな時、スペリオルはある姦計を思いつく。
それは、彼女の大切な家族を人質にし、無抵抗にさせた上で決闘を行い、無様に敗北するシーンを動画で配信、人気を失墜させるというものだった。
―そして後日
思惑通り廃ビルへとやってきたプラウディアを、スペリオルは得意の怪力で気絶させる。
無論、それだけで帰すつもりなどある筈もなく、
プラウディアの両手を拘束した上で、これまでのうっぷんを晴らすべく凌辱の限りを尽くすのだった―
最初こそ気丈に振舞うが、何度も凌辱されるうちに絶望し、許しを請うプラウディア。
それでもスペリオルは攻め手を休めることなく、精根尽きるまで彼女の中に射精し続けた。
スペリオルが去り、それで終わったかのように思えたものの、悲劇はそれだけではなかった―…</v>
      </c>
      <c r="W424" s="8"/>
      <c r="X424" s="8" t="str">
        <f>IFERROR(__xludf.DUMMYFUNCTION("""COMPUTED_VALUE"""),"有")</f>
        <v>有</v>
      </c>
      <c r="Y424" s="8" t="str">
        <f>IFERROR(__xludf.DUMMYFUNCTION("""COMPUTED_VALUE"""),"P34まで")</f>
        <v>P34まで</v>
      </c>
      <c r="Z424" s="7"/>
      <c r="AA424" s="7"/>
      <c r="AB424" s="7"/>
    </row>
    <row r="425" ht="15.75" customHeight="1">
      <c r="A425" s="8">
        <f>IFERROR(__xludf.DUMMYFUNCTION("""COMPUTED_VALUE"""),2007.0)</f>
        <v>2007</v>
      </c>
      <c r="B425" s="9" t="str">
        <f>IFERROR(__xludf.DUMMYFUNCTION("""COMPUTED_VALUE"""),"確定")</f>
        <v>確定</v>
      </c>
      <c r="C425" s="10">
        <f>IFERROR(__xludf.DUMMYFUNCTION("""COMPUTED_VALUE"""),45076.0)</f>
        <v>45076</v>
      </c>
      <c r="D425" s="10">
        <f>IFERROR(__xludf.DUMMYFUNCTION("""COMPUTED_VALUE"""),45078.0)</f>
        <v>45078</v>
      </c>
      <c r="E425" s="8">
        <f>IFERROR(__xludf.DUMMYFUNCTION("""COMPUTED_VALUE"""),272063.0)</f>
        <v>272063</v>
      </c>
      <c r="F425" s="9" t="str">
        <f>IFERROR(__xludf.DUMMYFUNCTION("""COMPUTED_VALUE"""),"早川君の不幸で幸せな一日")</f>
        <v>早川君の不幸で幸せな一日</v>
      </c>
      <c r="G425" s="11" t="str">
        <f>IFERROR(__xludf.DUMMYFUNCTION("""COMPUTED_VALUE"""),"1～8")</f>
        <v>1～8</v>
      </c>
      <c r="H425" s="8" t="str">
        <f>IFERROR(__xludf.DUMMYFUNCTION("""COMPUTED_VALUE"""),"みるくぽっと")</f>
        <v>みるくぽっと</v>
      </c>
      <c r="I425" s="8" t="str">
        <f>IFERROR(__xludf.DUMMYFUNCTION("""COMPUTED_VALUE"""),"オトナ")</f>
        <v>オトナ</v>
      </c>
      <c r="J425" s="8"/>
      <c r="K425" s="8"/>
      <c r="L425" s="8" t="str">
        <f>IFERROR(__xludf.DUMMYFUNCTION("""COMPUTED_VALUE"""),"ブリック出版")</f>
        <v>ブリック出版</v>
      </c>
      <c r="M425" s="12">
        <f>IFERROR(__xludf.DUMMYFUNCTION("""COMPUTED_VALUE"""),45128.0)</f>
        <v>45128</v>
      </c>
      <c r="N425" s="12">
        <f>IFERROR(__xludf.DUMMYFUNCTION("""COMPUTED_VALUE"""),45155.0)</f>
        <v>45155</v>
      </c>
      <c r="O425" s="11"/>
      <c r="P425" s="9" t="str">
        <f>IFERROR(__xludf.DUMMYFUNCTION("""COMPUTED_VALUE"""),"可")</f>
        <v>可</v>
      </c>
      <c r="Q425" s="8" t="str">
        <f>IFERROR(__xludf.DUMMYFUNCTION("""COMPUTED_VALUE"""),"広告コミットOK(5/31)")</f>
        <v>広告コミットOK(5/31)</v>
      </c>
      <c r="R425" s="9"/>
      <c r="S425" s="8" t="str">
        <f>IFERROR(__xludf.DUMMYFUNCTION("""COMPUTED_VALUE"""),"20230530_BookLive_早川君の不幸で幸せな一日")</f>
        <v>20230530_BookLive_早川君の不幸で幸せな一日</v>
      </c>
      <c r="T425" s="9"/>
      <c r="U425" s="9" t="str">
        <f>IFERROR(__xludf.DUMMYFUNCTION("""COMPUTED_VALUE"""),"(C)ブリック出版")</f>
        <v>(C)ブリック出版</v>
      </c>
      <c r="V425" s="8" t="str">
        <f>IFERROR(__xludf.DUMMYFUNCTION("""COMPUTED_VALUE"""),"出会う女性たちが全員、僕のチ〇コを求めてくる…！？
ある日、夢の中で女神がこう言った―
「あなたは今日一日、不幸で、とても幸せな日を過ごすことになるでしょう-」
その言葉通り、僕、早川 巧巳の一日はとんでもないことになってしまった…！
※本作は同人CG集作品の電子書籍版となります。
")</f>
        <v>出会う女性たちが全員、僕のチ〇コを求めてくる…！？
ある日、夢の中で女神がこう言った―
「あなたは今日一日、不幸で、とても幸せな日を過ごすことになるでしょう-」
その言葉通り、僕、早川 巧巳の一日はとんでもないことになってしまった…！
※本作は同人CG集作品の電子書籍版となります。
</v>
      </c>
      <c r="W425" s="8"/>
      <c r="X425" s="8" t="str">
        <f>IFERROR(__xludf.DUMMYFUNCTION("""COMPUTED_VALUE"""),"有")</f>
        <v>有</v>
      </c>
      <c r="Y425" s="8" t="str">
        <f>IFERROR(__xludf.DUMMYFUNCTION("""COMPUTED_VALUE"""),"P28まで")</f>
        <v>P28まで</v>
      </c>
      <c r="Z425" s="7"/>
      <c r="AA425" s="7"/>
      <c r="AB425" s="7"/>
    </row>
    <row r="426" ht="15.75" customHeight="1">
      <c r="A426" s="8">
        <f>IFERROR(__xludf.DUMMYFUNCTION("""COMPUTED_VALUE"""),2014.0)</f>
        <v>2014</v>
      </c>
      <c r="B426" s="9" t="str">
        <f>IFERROR(__xludf.DUMMYFUNCTION("""COMPUTED_VALUE"""),"確定")</f>
        <v>確定</v>
      </c>
      <c r="C426" s="10">
        <f>IFERROR(__xludf.DUMMYFUNCTION("""COMPUTED_VALUE"""),45078.0)</f>
        <v>45078</v>
      </c>
      <c r="D426" s="10">
        <f>IFERROR(__xludf.DUMMYFUNCTION("""COMPUTED_VALUE"""),45079.0)</f>
        <v>45079</v>
      </c>
      <c r="E426" s="8">
        <f>IFERROR(__xludf.DUMMYFUNCTION("""COMPUTED_VALUE"""),270439.0)</f>
        <v>270439</v>
      </c>
      <c r="F426" s="9" t="str">
        <f>IFERROR(__xludf.DUMMYFUNCTION("""COMPUTED_VALUE"""),"君に恋して18年目、幼なじみ卒業しました。（単話版）")</f>
        <v>君に恋して18年目、幼なじみ卒業しました。（単話版）</v>
      </c>
      <c r="G426" s="11">
        <f>IFERROR(__xludf.DUMMYFUNCTION("""COMPUTED_VALUE"""),1.0)</f>
        <v>1</v>
      </c>
      <c r="H426" s="8" t="str">
        <f>IFERROR(__xludf.DUMMYFUNCTION("""COMPUTED_VALUE"""),"壱屋すみ")</f>
        <v>壱屋すみ</v>
      </c>
      <c r="I426" s="14" t="str">
        <f>IFERROR(__xludf.DUMMYFUNCTION("""COMPUTED_VALUE"""),"TL")</f>
        <v>TL</v>
      </c>
      <c r="J426" s="8"/>
      <c r="K426" s="8"/>
      <c r="L426" s="8" t="str">
        <f>IFERROR(__xludf.DUMMYFUNCTION("""COMPUTED_VALUE"""),"ぶんか社")</f>
        <v>ぶんか社</v>
      </c>
      <c r="M426" s="12">
        <f>IFERROR(__xludf.DUMMYFUNCTION("""COMPUTED_VALUE"""),45093.0)</f>
        <v>45093</v>
      </c>
      <c r="N426" s="12">
        <f>IFERROR(__xludf.DUMMYFUNCTION("""COMPUTED_VALUE"""),45185.66666666667)</f>
        <v>45185.66667</v>
      </c>
      <c r="O426" s="11"/>
      <c r="P426" s="9" t="str">
        <f>IFERROR(__xludf.DUMMYFUNCTION("""COMPUTED_VALUE"""),"可")</f>
        <v>可</v>
      </c>
      <c r="Q426" s="8" t="str">
        <f>IFERROR(__xludf.DUMMYFUNCTION("""COMPUTED_VALUE"""),"広告コミットOK（5/19河上）")</f>
        <v>広告コミットOK（5/19河上）</v>
      </c>
      <c r="R426" s="9">
        <f>IFERROR(__xludf.DUMMYFUNCTION("""COMPUTED_VALUE"""),45085.0)</f>
        <v>45085</v>
      </c>
      <c r="S426" s="8" t="str">
        <f>IFERROR(__xludf.DUMMYFUNCTION("""COMPUTED_VALUE"""),"20230601_ぶんか社_君に恋して18年目、幼なじみ卒業しました。（単話版）")</f>
        <v>20230601_ぶんか社_君に恋して18年目、幼なじみ卒業しました。（単話版）</v>
      </c>
      <c r="T426" s="9"/>
      <c r="U426" s="9" t="str">
        <f>IFERROR(__xludf.DUMMYFUNCTION("""COMPUTED_VALUE"""),"壱屋すみ/ぶんか社")</f>
        <v>壱屋すみ/ぶんか社</v>
      </c>
      <c r="V426" s="8" t="str">
        <f>IFERROR(__xludf.DUMMYFUNCTION("""COMPUTED_VALUE"""),"「本当に余裕ないから、あんまり名前呼ばないで…」
はじめて見る余裕のない顔に、胸の奥がきゅんと疼いて――…。
芽唯は幼なじみの壮眞に長年片想い中。
けれど、就職してからなかなか会えずにいた。
そんな時、人数合わせで行った合コンで偶然壮眞と遭遇！
抜けて飲み直していると、今度ふたりきりで出かけることに!?
デート中、壮眞に女性として意識してもらおうと頑張る芽唯だったけれど、
彼は至っていつも通りで、自分だけドキドキしてるみたい…。
「壮眞にとって、私はどこまでもただの幼なじみなの…？」
そんなことを思っ"&amp;"ていたら、彼に突然キスされて――!?
幼なじみじゃなくて、ひとりの女性として意識させたい――！
過保護すぎな重あま幼なじみと、ピュアなもだキュンラブストーリー♪
※この作品は「無敵恋愛Sgirl 2023年8月号」に収録されております。重複購入にご注意下さい。")</f>
        <v>「本当に余裕ないから、あんまり名前呼ばないで…」
はじめて見る余裕のない顔に、胸の奥がきゅんと疼いて――…。
芽唯は幼なじみの壮眞に長年片想い中。
けれど、就職してからなかなか会えずにいた。
そんな時、人数合わせで行った合コンで偶然壮眞と遭遇！
抜けて飲み直していると、今度ふたりきりで出かけることに!?
デート中、壮眞に女性として意識してもらおうと頑張る芽唯だったけれど、
彼は至っていつも通りで、自分だけドキドキしてるみたい…。
「壮眞にとって、私はどこまでもただの幼なじみなの…？」
そんなことを思っていたら、彼に突然キスされて――!?
幼なじみじゃなくて、ひとりの女性として意識させたい――！
過保護すぎな重あま幼なじみと、ピュアなもだキュンラブストーリー♪
※この作品は「無敵恋愛Sgirl 2023年8月号」に収録されております。重複購入にご注意下さい。</v>
      </c>
      <c r="W426" s="8"/>
      <c r="X426" s="8" t="str">
        <f>IFERROR(__xludf.DUMMYFUNCTION("""COMPUTED_VALUE"""),"有")</f>
        <v>有</v>
      </c>
      <c r="Y426" s="8" t="str">
        <f>IFERROR(__xludf.DUMMYFUNCTION("""COMPUTED_VALUE"""),"P5まで")</f>
        <v>P5まで</v>
      </c>
      <c r="Z426" s="7"/>
      <c r="AA426" s="7"/>
      <c r="AB426" s="7"/>
    </row>
    <row r="427" ht="15.75" customHeight="1">
      <c r="A427" s="8">
        <f>IFERROR(__xludf.DUMMYFUNCTION("""COMPUTED_VALUE"""),2015.0)</f>
        <v>2015</v>
      </c>
      <c r="B427" s="9" t="str">
        <f>IFERROR(__xludf.DUMMYFUNCTION("""COMPUTED_VALUE"""),"確定")</f>
        <v>確定</v>
      </c>
      <c r="C427" s="10">
        <f>IFERROR(__xludf.DUMMYFUNCTION("""COMPUTED_VALUE"""),45079.0)</f>
        <v>45079</v>
      </c>
      <c r="D427" s="10">
        <f>IFERROR(__xludf.DUMMYFUNCTION("""COMPUTED_VALUE"""),45079.0)</f>
        <v>45079</v>
      </c>
      <c r="E427" s="8">
        <f>IFERROR(__xludf.DUMMYFUNCTION("""COMPUTED_VALUE"""),271468.0)</f>
        <v>271468</v>
      </c>
      <c r="F427" s="9" t="str">
        <f>IFERROR(__xludf.DUMMYFUNCTION("""COMPUTED_VALUE"""),"推しを見守る壁になりたい悪役令嬢は王子に溺愛される")</f>
        <v>推しを見守る壁になりたい悪役令嬢は王子に溺愛される</v>
      </c>
      <c r="G427" s="11" t="str">
        <f>IFERROR(__xludf.DUMMYFUNCTION("""COMPUTED_VALUE"""),"1～5")</f>
        <v>1～5</v>
      </c>
      <c r="H427" s="8" t="str">
        <f>IFERROR(__xludf.DUMMYFUNCTION("""COMPUTED_VALUE"""),"山閖")</f>
        <v>山閖</v>
      </c>
      <c r="I427" s="14" t="str">
        <f>IFERROR(__xludf.DUMMYFUNCTION("""COMPUTED_VALUE"""),"女性")</f>
        <v>女性</v>
      </c>
      <c r="J427" s="8"/>
      <c r="K427" s="8"/>
      <c r="L427" s="8" t="str">
        <f>IFERROR(__xludf.DUMMYFUNCTION("""COMPUTED_VALUE"""),"フェアベル")</f>
        <v>フェアベル</v>
      </c>
      <c r="M427" s="12">
        <f>IFERROR(__xludf.DUMMYFUNCTION("""COMPUTED_VALUE"""),45114.0)</f>
        <v>45114</v>
      </c>
      <c r="N427" s="12">
        <f>IFERROR(__xludf.DUMMYFUNCTION("""COMPUTED_VALUE"""),45199.0)</f>
        <v>45199</v>
      </c>
      <c r="O427" s="11"/>
      <c r="P427" s="9" t="str">
        <f>IFERROR(__xludf.DUMMYFUNCTION("""COMPUTED_VALUE"""),"否")</f>
        <v>否</v>
      </c>
      <c r="Q427" s="8"/>
      <c r="R427" s="9"/>
      <c r="S427" s="8" t="str">
        <f>IFERROR(__xludf.DUMMYFUNCTION("""COMPUTED_VALUE"""),"20230530_フェアベル_推しを見守る壁になりたい悪役令嬢は王子に溺愛される")</f>
        <v>20230530_フェアベル_推しを見守る壁になりたい悪役令嬢は王子に溺愛される</v>
      </c>
      <c r="T427" s="9"/>
      <c r="U427" s="9" t="str">
        <f>IFERROR(__xludf.DUMMYFUNCTION("""COMPUTED_VALUE"""),"©山閖/フェアベル")</f>
        <v>©山閖/フェアベル</v>
      </c>
      <c r="V427" s="8" t="str">
        <f>IFERROR(__xludf.DUMMYFUNCTION("""COMPUTED_VALUE"""),"＜デジタル連載第1話＞推しを見守る壁になりたいと思っていたら、本当に（物理的な）壁に転生…！？乙女ゲーム「Booキャス」をこよなく愛する会社員の主人公は事故に遭い、気がつくと推しキャラ王子・シンの自室の壁になっていた！壁として思う存分推しを見守り続けていく…はずが、推しのキスで悪役令嬢・ツキに変身！？しかも秘密を共有することになった王子から迫られて、まさかの溺愛ルートに突入！？乙女ゲーム世界の秘密をこっそりノゾキ見しながら断罪回避を目指す、新スタイルの壁⇔悪役令嬢、転生ストーリー！！")</f>
        <v>＜デジタル連載第1話＞推しを見守る壁になりたいと思っていたら、本当に（物理的な）壁に転生…！？乙女ゲーム「Booキャス」をこよなく愛する会社員の主人公は事故に遭い、気がつくと推しキャラ王子・シンの自室の壁になっていた！壁として思う存分推しを見守り続けていく…はずが、推しのキスで悪役令嬢・ツキに変身！？しかも秘密を共有することになった王子から迫られて、まさかの溺愛ルートに突入！？乙女ゲーム世界の秘密をこっそりノゾキ見しながら断罪回避を目指す、新スタイルの壁⇔悪役令嬢、転生ストーリー！！</v>
      </c>
      <c r="W427" s="8"/>
      <c r="X427" s="8" t="str">
        <f>IFERROR(__xludf.DUMMYFUNCTION("""COMPUTED_VALUE"""),"有")</f>
        <v>有</v>
      </c>
      <c r="Y427" s="8" t="str">
        <f>IFERROR(__xludf.DUMMYFUNCTION("""COMPUTED_VALUE"""),"9/30まで1巻無料")</f>
        <v>9/30まで1巻無料</v>
      </c>
      <c r="Z427" s="7"/>
      <c r="AA427" s="7"/>
      <c r="AB427" s="7"/>
    </row>
    <row r="428" ht="15.75" customHeight="1">
      <c r="A428" s="8">
        <f>IFERROR(__xludf.DUMMYFUNCTION("""COMPUTED_VALUE"""),2018.0)</f>
        <v>2018</v>
      </c>
      <c r="B428" s="9" t="str">
        <f>IFERROR(__xludf.DUMMYFUNCTION("""COMPUTED_VALUE"""),"確定")</f>
        <v>確定</v>
      </c>
      <c r="C428" s="10">
        <f>IFERROR(__xludf.DUMMYFUNCTION("""COMPUTED_VALUE"""),45082.0)</f>
        <v>45082</v>
      </c>
      <c r="D428" s="10">
        <f>IFERROR(__xludf.DUMMYFUNCTION("""COMPUTED_VALUE"""),45082.0)</f>
        <v>45082</v>
      </c>
      <c r="E428" s="8">
        <f>IFERROR(__xludf.DUMMYFUNCTION("""COMPUTED_VALUE"""),270889.0)</f>
        <v>270889</v>
      </c>
      <c r="F428" s="9" t="str">
        <f>IFERROR(__xludf.DUMMYFUNCTION("""COMPUTED_VALUE"""),"ソーラーエクリプス")</f>
        <v>ソーラーエクリプス</v>
      </c>
      <c r="G428" s="11" t="str">
        <f>IFERROR(__xludf.DUMMYFUNCTION("""COMPUTED_VALUE"""),"1～5")</f>
        <v>1～5</v>
      </c>
      <c r="H428" s="8" t="str">
        <f>IFERROR(__xludf.DUMMYFUNCTION("""COMPUTED_VALUE"""),"PH")</f>
        <v>PH</v>
      </c>
      <c r="I428" s="14" t="str">
        <f>IFERROR(__xludf.DUMMYFUNCTION("""COMPUTED_VALUE"""),"BL")</f>
        <v>BL</v>
      </c>
      <c r="J428" s="8"/>
      <c r="K428" s="8"/>
      <c r="L428" s="8" t="str">
        <f>IFERROR(__xludf.DUMMYFUNCTION("""COMPUTED_VALUE"""),"フロンティアワークス")</f>
        <v>フロンティアワークス</v>
      </c>
      <c r="M428" s="12">
        <f>IFERROR(__xludf.DUMMYFUNCTION("""COMPUTED_VALUE"""),45108.0)</f>
        <v>45108</v>
      </c>
      <c r="N428" s="12">
        <f>IFERROR(__xludf.DUMMYFUNCTION("""COMPUTED_VALUE"""),45165.0)</f>
        <v>45165</v>
      </c>
      <c r="O428" s="11"/>
      <c r="P428" s="9" t="str">
        <f>IFERROR(__xludf.DUMMYFUNCTION("""COMPUTED_VALUE"""),"可")</f>
        <v>可</v>
      </c>
      <c r="Q428" s="8" t="str">
        <f>IFERROR(__xludf.DUMMYFUNCTION("""COMPUTED_VALUE"""),"広告コミットOK（6/2河上）")</f>
        <v>広告コミットOK（6/2河上）</v>
      </c>
      <c r="R428" s="9"/>
      <c r="S428" s="8" t="str">
        <f>IFERROR(__xludf.DUMMYFUNCTION("""COMPUTED_VALUE"""),"20230605_フロンティアワークス_ソーラーエクリプス")</f>
        <v>20230605_フロンティアワークス_ソーラーエクリプス</v>
      </c>
      <c r="T428" s="9"/>
      <c r="U428" s="9" t="str">
        <f>IFERROR(__xludf.DUMMYFUNCTION("""COMPUTED_VALUE"""),"©PH/KidariStudio, Inc./Frontier Works Inc.")</f>
        <v>©PH/KidariStudio, Inc./Frontier Works Inc.</v>
      </c>
      <c r="V428" s="8" t="str">
        <f>IFERROR(__xludf.DUMMYFUNCTION("""COMPUTED_VALUE"""),"【愛されているのは“俺”じゃない──】報酬さえあればどんな依頼でも受けるライは、帝国一の貴族・エドウィンからある依頼を受ける。その内容は失踪した彼の弟・エレンの影武者となり、恋人の皇太子・ヘクトルと過ごすこと。自分とエレンの容姿が瓜二つだとはいえ絶対バレると心配するライをよそに、ヘクトルに疑われずエレンとして迎え入れられた。しかしエレンとして過ごすうちに、ライはヘクトルとエレンの間にある“秘密”に気づき…？")</f>
        <v>【愛されているのは“俺”じゃない──】報酬さえあればどんな依頼でも受けるライは、帝国一の貴族・エドウィンからある依頼を受ける。その内容は失踪した彼の弟・エレンの影武者となり、恋人の皇太子・ヘクトルと過ごすこと。自分とエレンの容姿が瓜二つだとはいえ絶対バレると心配するライをよそに、ヘクトルに疑われずエレンとして迎え入れられた。しかしエレンとして過ごすうちに、ライはヘクトルとエレンの間にある“秘密”に気づき…？</v>
      </c>
      <c r="W428" s="8"/>
      <c r="X428" s="8" t="str">
        <f>IFERROR(__xludf.DUMMYFUNCTION("""COMPUTED_VALUE"""),"有")</f>
        <v>有</v>
      </c>
      <c r="Y428" s="8" t="str">
        <f>IFERROR(__xludf.DUMMYFUNCTION("""COMPUTED_VALUE"""),"8/27まで1~2巻無料")</f>
        <v>8/27まで1~2巻無料</v>
      </c>
      <c r="Z428" s="7"/>
      <c r="AA428" s="7"/>
      <c r="AB428" s="7"/>
    </row>
    <row r="429" ht="15.75" customHeight="1">
      <c r="A429" s="8">
        <f>IFERROR(__xludf.DUMMYFUNCTION("""COMPUTED_VALUE"""),2022.0)</f>
        <v>2022</v>
      </c>
      <c r="B429" s="9" t="str">
        <f>IFERROR(__xludf.DUMMYFUNCTION("""COMPUTED_VALUE"""),"確定")</f>
        <v>確定</v>
      </c>
      <c r="C429" s="10">
        <f>IFERROR(__xludf.DUMMYFUNCTION("""COMPUTED_VALUE"""),45083.0)</f>
        <v>45083</v>
      </c>
      <c r="D429" s="10">
        <f>IFERROR(__xludf.DUMMYFUNCTION("""COMPUTED_VALUE"""),45083.0)</f>
        <v>45083</v>
      </c>
      <c r="E429" s="8">
        <f>IFERROR(__xludf.DUMMYFUNCTION("""COMPUTED_VALUE"""),227554.0)</f>
        <v>227554</v>
      </c>
      <c r="F429" s="9" t="str">
        <f>IFERROR(__xludf.DUMMYFUNCTION("""COMPUTED_VALUE"""),"低体温男子になつかれました。")</f>
        <v>低体温男子になつかれました。</v>
      </c>
      <c r="G429" s="11" t="str">
        <f>IFERROR(__xludf.DUMMYFUNCTION("""COMPUTED_VALUE"""),"1～3")</f>
        <v>1～3</v>
      </c>
      <c r="H429" s="8" t="str">
        <f>IFERROR(__xludf.DUMMYFUNCTION("""COMPUTED_VALUE"""),"三星マユハ")</f>
        <v>三星マユハ</v>
      </c>
      <c r="I429" s="14" t="str">
        <f>IFERROR(__xludf.DUMMYFUNCTION("""COMPUTED_VALUE"""),"女性")</f>
        <v>女性</v>
      </c>
      <c r="J429" s="8"/>
      <c r="K429" s="8"/>
      <c r="L429" s="8" t="str">
        <f>IFERROR(__xludf.DUMMYFUNCTION("""COMPUTED_VALUE"""),"ソルマーレ編集部")</f>
        <v>ソルマーレ編集部</v>
      </c>
      <c r="M429" s="12">
        <f>IFERROR(__xludf.DUMMYFUNCTION("""COMPUTED_VALUE"""),45115.0)</f>
        <v>45115</v>
      </c>
      <c r="N429" s="12">
        <f>IFERROR(__xludf.DUMMYFUNCTION("""COMPUTED_VALUE"""),45176.0)</f>
        <v>45176</v>
      </c>
      <c r="O429" s="11"/>
      <c r="P429" s="9" t="str">
        <f>IFERROR(__xludf.DUMMYFUNCTION("""COMPUTED_VALUE"""),"可")</f>
        <v>可</v>
      </c>
      <c r="Q429" s="8"/>
      <c r="R429" s="9"/>
      <c r="S429" s="8" t="str">
        <f>IFERROR(__xludf.DUMMYFUNCTION("""COMPUTED_VALUE"""),"20230606_ソルマーレ編集部_低体温男子になつかれました。")</f>
        <v>20230606_ソルマーレ編集部_低体温男子になつかれました。</v>
      </c>
      <c r="T429" s="15"/>
      <c r="U429" s="9" t="str">
        <f>IFERROR(__xludf.DUMMYFUNCTION("""COMPUTED_VALUE"""),"Ⓒ 三星マユハ/シーモアコミックス")</f>
        <v>Ⓒ 三星マユハ/シーモアコミックス</v>
      </c>
      <c r="V429" s="8" t="str">
        <f>IFERROR(__xludf.DUMMYFUNCTION("""COMPUTED_VALUE"""),"「緒方さんは特別なんで」
ぽっちゃり体型がコンプレックスの緒方琴里は
職場で塩対応だと言われている年下の相馬くんになぜかなつかれている。
理由はきっと、ある雨の日…寒さで凍えていた相馬くんをお節介で温めたこと。その日から相馬くんは琴里に甘すぎるのだ！！
嫌味を言う上司から守ってくれたり、寒いからと手を握られたり…。
さらに「俺にとっては全部かわいいので」と、甘い言葉も伝えてきて――！
ぽっちゃり系お節介女子×低体温で塩対応の後輩の
年の差溺愛ラブストーリー！【恋するソワレ】")</f>
        <v>「緒方さんは特別なんで」
ぽっちゃり体型がコンプレックスの緒方琴里は
職場で塩対応だと言われている年下の相馬くんになぜかなつかれている。
理由はきっと、ある雨の日…寒さで凍えていた相馬くんをお節介で温めたこと。その日から相馬くんは琴里に甘すぎるのだ！！
嫌味を言う上司から守ってくれたり、寒いからと手を握られたり…。
さらに「俺にとっては全部かわいいので」と、甘い言葉も伝えてきて――！
ぽっちゃり系お節介女子×低体温で塩対応の後輩の
年の差溺愛ラブストーリー！【恋するソワレ】</v>
      </c>
      <c r="W429" s="8"/>
      <c r="X429" s="8" t="str">
        <f>IFERROR(__xludf.DUMMYFUNCTION("""COMPUTED_VALUE"""),"有")</f>
        <v>有</v>
      </c>
      <c r="Y429" s="8" t="str">
        <f>IFERROR(__xludf.DUMMYFUNCTION("""COMPUTED_VALUE"""),"7/21まで1巻無料")</f>
        <v>7/21まで1巻無料</v>
      </c>
      <c r="Z429" s="7"/>
      <c r="AA429" s="7"/>
      <c r="AB429" s="7"/>
    </row>
    <row r="430" ht="15.75" customHeight="1">
      <c r="A430" s="8">
        <f>IFERROR(__xludf.DUMMYFUNCTION("""COMPUTED_VALUE"""),2023.0)</f>
        <v>2023</v>
      </c>
      <c r="B430" s="9" t="str">
        <f>IFERROR(__xludf.DUMMYFUNCTION("""COMPUTED_VALUE"""),"確定")</f>
        <v>確定</v>
      </c>
      <c r="C430" s="10">
        <f>IFERROR(__xludf.DUMMYFUNCTION("""COMPUTED_VALUE"""),45083.0)</f>
        <v>45083</v>
      </c>
      <c r="D430" s="10">
        <f>IFERROR(__xludf.DUMMYFUNCTION("""COMPUTED_VALUE"""),45083.0)</f>
        <v>45083</v>
      </c>
      <c r="E430" s="8">
        <f>IFERROR(__xludf.DUMMYFUNCTION("""COMPUTED_VALUE"""),251436.0)</f>
        <v>251436</v>
      </c>
      <c r="F430" s="9" t="str">
        <f>IFERROR(__xludf.DUMMYFUNCTION("""COMPUTED_VALUE"""),"僕がマスクを取らない理由")</f>
        <v>僕がマスクを取らない理由</v>
      </c>
      <c r="G430" s="11" t="str">
        <f>IFERROR(__xludf.DUMMYFUNCTION("""COMPUTED_VALUE"""),"1～2")</f>
        <v>1～2</v>
      </c>
      <c r="H430" s="8" t="str">
        <f>IFERROR(__xludf.DUMMYFUNCTION("""COMPUTED_VALUE"""),"ムロイケイ")</f>
        <v>ムロイケイ</v>
      </c>
      <c r="I430" s="14" t="str">
        <f>IFERROR(__xludf.DUMMYFUNCTION("""COMPUTED_VALUE"""),"BL")</f>
        <v>BL</v>
      </c>
      <c r="J430" s="8"/>
      <c r="K430" s="8"/>
      <c r="L430" s="8" t="str">
        <f>IFERROR(__xludf.DUMMYFUNCTION("""COMPUTED_VALUE"""),"ソルマーレ編集部")</f>
        <v>ソルマーレ編集部</v>
      </c>
      <c r="M430" s="12">
        <f>IFERROR(__xludf.DUMMYFUNCTION("""COMPUTED_VALUE"""),45115.0)</f>
        <v>45115</v>
      </c>
      <c r="N430" s="12">
        <f>IFERROR(__xludf.DUMMYFUNCTION("""COMPUTED_VALUE"""),45176.0)</f>
        <v>45176</v>
      </c>
      <c r="O430" s="11"/>
      <c r="P430" s="9" t="str">
        <f>IFERROR(__xludf.DUMMYFUNCTION("""COMPUTED_VALUE"""),"可")</f>
        <v>可</v>
      </c>
      <c r="Q430" s="8" t="str">
        <f>IFERROR(__xludf.DUMMYFUNCTION("""COMPUTED_VALUE"""),"※2巻の素材につきまして完成次第格納いたします、納品予定は6/8予定です（6/6）&lt;BR&gt;※2巻配信に合わせて出稿依頼の素材格納（1巻は6/10配信）")</f>
        <v>※2巻の素材につきまして完成次第格納いたします、納品予定は6/8予定です（6/6）&lt;BR&gt;※2巻配信に合わせて出稿依頼の素材格納（1巻は6/10配信）</v>
      </c>
      <c r="R430" s="9"/>
      <c r="S430" s="8" t="str">
        <f>IFERROR(__xludf.DUMMYFUNCTION("""COMPUTED_VALUE"""),"20230606_ソルマーレ編集部_僕がマスクを取らない理由")</f>
        <v>20230606_ソルマーレ編集部_僕がマスクを取らない理由</v>
      </c>
      <c r="T430" s="15"/>
      <c r="U430" s="9" t="str">
        <f>IFERROR(__xludf.DUMMYFUNCTION("""COMPUTED_VALUE"""),"Ⓒ ムロイケイ/シーモアコミックス")</f>
        <v>Ⓒ ムロイケイ/シーモアコミックス</v>
      </c>
      <c r="V430" s="8" t="str">
        <f>IFERROR(__xludf.DUMMYFUNCTION("""COMPUTED_VALUE"""),"「だって、木下くんかわいすぎるんだもの」年中マスクで顔を隠している木下は、ぼっちリーマンだ。部屋の片隅でひっそり静かに過ごしたいのに、近頃 人気者の営業マン・森山からウザ絡みされるようになって正直いい迷惑。そんなある日、森山にマスクをとった顔を見られてしまう。絶望する木下だったが、森山の反応は想像の斜め上をいくもので…？ それ以来 木下は森山を意識するようになり――。コミュ力カンスト年上男子×コンプレックスありあり不器用男子の、笑って泣けるハッピーラブコメ！【フィカス】")</f>
        <v>「だって、木下くんかわいすぎるんだもの」年中マスクで顔を隠している木下は、ぼっちリーマンだ。部屋の片隅でひっそり静かに過ごしたいのに、近頃 人気者の営業マン・森山からウザ絡みされるようになって正直いい迷惑。そんなある日、森山にマスクをとった顔を見られてしまう。絶望する木下だったが、森山の反応は想像の斜め上をいくもので…？ それ以来 木下は森山を意識するようになり――。コミュ力カンスト年上男子×コンプレックスありあり不器用男子の、笑って泣けるハッピーラブコメ！【フィカス】</v>
      </c>
      <c r="W430" s="8"/>
      <c r="X430" s="8" t="str">
        <f>IFERROR(__xludf.DUMMYFUNCTION("""COMPUTED_VALUE"""),"有")</f>
        <v>有</v>
      </c>
      <c r="Y430" s="8" t="str">
        <f>IFERROR(__xludf.DUMMYFUNCTION("""COMPUTED_VALUE"""),"7/21まで1巻無料")</f>
        <v>7/21まで1巻無料</v>
      </c>
      <c r="Z430" s="7"/>
      <c r="AA430" s="7"/>
      <c r="AB430" s="7"/>
    </row>
    <row r="431" ht="15.75" customHeight="1">
      <c r="A431" s="8">
        <f>IFERROR(__xludf.DUMMYFUNCTION("""COMPUTED_VALUE"""),2024.0)</f>
        <v>2024</v>
      </c>
      <c r="B431" s="9" t="str">
        <f>IFERROR(__xludf.DUMMYFUNCTION("""COMPUTED_VALUE"""),"確定")</f>
        <v>確定</v>
      </c>
      <c r="C431" s="10">
        <f>IFERROR(__xludf.DUMMYFUNCTION("""COMPUTED_VALUE"""),45083.0)</f>
        <v>45083</v>
      </c>
      <c r="D431" s="10">
        <f>IFERROR(__xludf.DUMMYFUNCTION("""COMPUTED_VALUE"""),45083.0)</f>
        <v>45083</v>
      </c>
      <c r="E431" s="8">
        <f>IFERROR(__xludf.DUMMYFUNCTION("""COMPUTED_VALUE"""),263629.0)</f>
        <v>263629</v>
      </c>
      <c r="F431" s="9" t="str">
        <f>IFERROR(__xludf.DUMMYFUNCTION("""COMPUTED_VALUE"""),"住み込み家政夫、セックスつき")</f>
        <v>住み込み家政夫、セックスつき</v>
      </c>
      <c r="G431" s="11" t="str">
        <f>IFERROR(__xludf.DUMMYFUNCTION("""COMPUTED_VALUE"""),"1～2")</f>
        <v>1～2</v>
      </c>
      <c r="H431" s="8" t="str">
        <f>IFERROR(__xludf.DUMMYFUNCTION("""COMPUTED_VALUE"""),"蒼間かなた")</f>
        <v>蒼間かなた</v>
      </c>
      <c r="I431" s="14" t="str">
        <f>IFERROR(__xludf.DUMMYFUNCTION("""COMPUTED_VALUE"""),"BL")</f>
        <v>BL</v>
      </c>
      <c r="J431" s="8"/>
      <c r="K431" s="8"/>
      <c r="L431" s="8" t="str">
        <f>IFERROR(__xludf.DUMMYFUNCTION("""COMPUTED_VALUE"""),"ソルマーレ編集部")</f>
        <v>ソルマーレ編集部</v>
      </c>
      <c r="M431" s="12">
        <f>IFERROR(__xludf.DUMMYFUNCTION("""COMPUTED_VALUE"""),45115.0)</f>
        <v>45115</v>
      </c>
      <c r="N431" s="12">
        <f>IFERROR(__xludf.DUMMYFUNCTION("""COMPUTED_VALUE"""),45176.0)</f>
        <v>45176</v>
      </c>
      <c r="O431" s="11"/>
      <c r="P431" s="9" t="str">
        <f>IFERROR(__xludf.DUMMYFUNCTION("""COMPUTED_VALUE"""),"可")</f>
        <v>可</v>
      </c>
      <c r="Q431" s="8"/>
      <c r="R431" s="9"/>
      <c r="S431" s="8" t="str">
        <f>IFERROR(__xludf.DUMMYFUNCTION("""COMPUTED_VALUE"""),"20230606_ソルマーレ編集部_住み込み家政夫、セックスつき")</f>
        <v>20230606_ソルマーレ編集部_住み込み家政夫、セックスつき</v>
      </c>
      <c r="T431" s="15"/>
      <c r="U431" s="9" t="str">
        <f>IFERROR(__xludf.DUMMYFUNCTION("""COMPUTED_VALUE"""),"Ⓒ 蒼間かなた/シーモアコミックス")</f>
        <v>Ⓒ 蒼間かなた/シーモアコミックス</v>
      </c>
      <c r="V431" s="8" t="str">
        <f>IFERROR(__xludf.DUMMYFUNCTION("""COMPUTED_VALUE"""),"超過保護な親の元で育った新庄大河（しんじょうたいが）は、大学合格を機に実家を出て念願の一人暮らしをすることに！
ただし「住み込み家政婦を雇うこと」が条件だったため、ネットで適当に男性家政夫を選び引っ越し当日。自宅に現れたのは超美人で家事全般をテキパキとこなし、料理も上手な有能家政夫・辻谷澪（つじたにれい）だった！その夜、最近抜いてなかった大河が部屋で一人エッチをしていると澪がやってきて!?
セックスオプション付きの家政夫との同居生活!?童貞大学生×無口な美人家政夫のドタバタ・エロコメ★【フィカス】")</f>
        <v>超過保護な親の元で育った新庄大河（しんじょうたいが）は、大学合格を機に実家を出て念願の一人暮らしをすることに！
ただし「住み込み家政婦を雇うこと」が条件だったため、ネットで適当に男性家政夫を選び引っ越し当日。自宅に現れたのは超美人で家事全般をテキパキとこなし、料理も上手な有能家政夫・辻谷澪（つじたにれい）だった！その夜、最近抜いてなかった大河が部屋で一人エッチをしていると澪がやってきて!?
セックスオプション付きの家政夫との同居生活!?童貞大学生×無口な美人家政夫のドタバタ・エロコメ★【フィカス】</v>
      </c>
      <c r="W431" s="8"/>
      <c r="X431" s="8" t="str">
        <f>IFERROR(__xludf.DUMMYFUNCTION("""COMPUTED_VALUE"""),"有")</f>
        <v>有</v>
      </c>
      <c r="Y431" s="8" t="str">
        <f>IFERROR(__xludf.DUMMYFUNCTION("""COMPUTED_VALUE"""),"7/21まで1巻無料")</f>
        <v>7/21まで1巻無料</v>
      </c>
      <c r="Z431" s="7"/>
      <c r="AA431" s="7"/>
      <c r="AB431" s="7"/>
    </row>
    <row r="432" ht="15.75" customHeight="1">
      <c r="A432" s="8">
        <f>IFERROR(__xludf.DUMMYFUNCTION("""COMPUTED_VALUE"""),1922.0)</f>
        <v>1922</v>
      </c>
      <c r="B432" s="9" t="str">
        <f>IFERROR(__xludf.DUMMYFUNCTION("""COMPUTED_VALUE"""),"確定")</f>
        <v>確定</v>
      </c>
      <c r="C432" s="10">
        <f>IFERROR(__xludf.DUMMYFUNCTION("""COMPUTED_VALUE"""),45048.0)</f>
        <v>45048</v>
      </c>
      <c r="D432" s="10">
        <f>IFERROR(__xludf.DUMMYFUNCTION("""COMPUTED_VALUE"""),45090.0)</f>
        <v>45090</v>
      </c>
      <c r="E432" s="8">
        <f>IFERROR(__xludf.DUMMYFUNCTION("""COMPUTED_VALUE"""),271024.0)</f>
        <v>271024</v>
      </c>
      <c r="F432" s="9" t="str">
        <f>IFERROR(__xludf.DUMMYFUNCTION("""COMPUTED_VALUE"""),"コイツが俺を好きならいいのに【シーモア限定特典付き】【コミックス版】")</f>
        <v>コイツが俺を好きならいいのに【シーモア限定特典付き】【コミックス版】</v>
      </c>
      <c r="G432" s="11">
        <f>IFERROR(__xludf.DUMMYFUNCTION("""COMPUTED_VALUE"""),1.0)</f>
        <v>1</v>
      </c>
      <c r="H432" s="8" t="str">
        <f>IFERROR(__xludf.DUMMYFUNCTION("""COMPUTED_VALUE"""),"久留米くる")</f>
        <v>久留米くる</v>
      </c>
      <c r="I432" s="8" t="str">
        <f>IFERROR(__xludf.DUMMYFUNCTION("""COMPUTED_VALUE"""),"BL")</f>
        <v>BL</v>
      </c>
      <c r="J432" s="8"/>
      <c r="K432" s="8"/>
      <c r="L432" s="8" t="str">
        <f>IFERROR(__xludf.DUMMYFUNCTION("""COMPUTED_VALUE"""),"笠倉出版社")</f>
        <v>笠倉出版社</v>
      </c>
      <c r="M432" s="12">
        <f>IFERROR(__xludf.DUMMYFUNCTION("""COMPUTED_VALUE"""),45112.0)</f>
        <v>45112</v>
      </c>
      <c r="N432" s="12">
        <f>IFERROR(__xludf.DUMMYFUNCTION("""COMPUTED_VALUE"""),45139.0)</f>
        <v>45139</v>
      </c>
      <c r="O432" s="11"/>
      <c r="P432" s="9" t="str">
        <f>IFERROR(__xludf.DUMMYFUNCTION("""COMPUTED_VALUE"""),"可")</f>
        <v>可</v>
      </c>
      <c r="Q432" s="8" t="str">
        <f>IFERROR(__xludf.DUMMYFUNCTION("""COMPUTED_VALUE"""),"広告コミットOK（5/8）&lt;BR&gt;0523：新刊配信施策内で2話冒頭（44P）まで試し読み増量を実施予定です&lt;BR&gt;0613：タイトル名更新")</f>
        <v>広告コミットOK（5/8）&lt;BR&gt;0523：新刊配信施策内で2話冒頭（44P）まで試し読み増量を実施予定です&lt;BR&gt;0613：タイトル名更新</v>
      </c>
      <c r="R432" s="9"/>
      <c r="S432" s="8" t="str">
        <f>IFERROR(__xludf.DUMMYFUNCTION("""COMPUTED_VALUE"""),"20230613_笠倉出版社_コイツが俺を好きならいいのに【シーモア限定特典付き】【コミックス版】")</f>
        <v>20230613_笠倉出版社_コイツが俺を好きならいいのに【シーモア限定特典付き】【コミックス版】</v>
      </c>
      <c r="T432" s="9" t="str">
        <f>IFERROR(__xludf.DUMMYFUNCTION("""COMPUTED_VALUE"""),"コイツが俺を好きならいいのに【分冊版】(https://www.cmoa.jp/title/240591/)の素材を利用ください")</f>
        <v>コイツが俺を好きならいいのに【分冊版】(https://www.cmoa.jp/title/240591/)の素材を利用ください</v>
      </c>
      <c r="U432" s="9" t="str">
        <f>IFERROR(__xludf.DUMMYFUNCTION("""COMPUTED_VALUE"""),"(C)久留米くる／笠倉出版社")</f>
        <v>(C)久留米くる／笠倉出版社</v>
      </c>
      <c r="V432" s="8" t="str">
        <f>IFERROR(__xludf.DUMMYFUNCTION("""COMPUTED_VALUE"""),"「なんで俺は…親友と隣で抜き合ってんだ!？!？」営業部のエースである雛森光（ヒナ）は、幼馴染で同僚のデザイナー・長谷部創（ハセ）に長年の片思い中。日々の他愛もないやりとりに胸をときめかせながらも、この思いだけは絶対にバレちゃいけない…と心に決めていた。そんなある日、急遽ハセと出張に行くことに。好きな男と2人きりっ！平静を装いつつも浮かれそうになるヒナは、相部屋まで予約されて気持ちが溢れそうになってしまう。ハセに触れたい…抱かれてみたい…そう思いながらつい出来心から隣でオナニーしてしまったら、「俺も一緒にシ"&amp;"ていいか？」と起きたハセに言われてしまって…！？寡黙ムッツリ×一途ピュア焦れキュンしまくり両片思いリーマンラブ！電子限定描き下ろし特典漫画＋シーモア限定特典付き！")</f>
        <v>「なんで俺は…親友と隣で抜き合ってんだ!？!？」営業部のエースである雛森光（ヒナ）は、幼馴染で同僚のデザイナー・長谷部創（ハセ）に長年の片思い中。日々の他愛もないやりとりに胸をときめかせながらも、この思いだけは絶対にバレちゃいけない…と心に決めていた。そんなある日、急遽ハセと出張に行くことに。好きな男と2人きりっ！平静を装いつつも浮かれそうになるヒナは、相部屋まで予約されて気持ちが溢れそうになってしまう。ハセに触れたい…抱かれてみたい…そう思いながらつい出来心から隣でオナニーしてしまったら、「俺も一緒にシていいか？」と起きたハセに言われてしまって…！？寡黙ムッツリ×一途ピュア焦れキュンしまくり両片思いリーマンラブ！電子限定描き下ろし特典漫画＋シーモア限定特典付き！</v>
      </c>
      <c r="W432" s="8"/>
      <c r="X432" s="8" t="str">
        <f>IFERROR(__xludf.DUMMYFUNCTION("""COMPUTED_VALUE"""),"有")</f>
        <v>有</v>
      </c>
      <c r="Y432" s="8" t="str">
        <f>IFERROR(__xludf.DUMMYFUNCTION("""COMPUTED_VALUE"""),"7/18まで立ち読み増量P44まで")</f>
        <v>7/18まで立ち読み増量P44まで</v>
      </c>
      <c r="Z432" s="7"/>
      <c r="AA432" s="7"/>
      <c r="AB432" s="7"/>
    </row>
    <row r="433" ht="15.75" customHeight="1">
      <c r="A433" s="8">
        <f>IFERROR(__xludf.DUMMYFUNCTION("""COMPUTED_VALUE"""),1942.0)</f>
        <v>1942</v>
      </c>
      <c r="B433" s="9" t="str">
        <f>IFERROR(__xludf.DUMMYFUNCTION("""COMPUTED_VALUE"""),"確定")</f>
        <v>確定</v>
      </c>
      <c r="C433" s="10">
        <f>IFERROR(__xludf.DUMMYFUNCTION("""COMPUTED_VALUE"""),45056.0)</f>
        <v>45056</v>
      </c>
      <c r="D433" s="10">
        <f>IFERROR(__xludf.DUMMYFUNCTION("""COMPUTED_VALUE"""),45086.0)</f>
        <v>45086</v>
      </c>
      <c r="E433" s="8">
        <f>IFERROR(__xludf.DUMMYFUNCTION("""COMPUTED_VALUE"""),271444.0)</f>
        <v>271444</v>
      </c>
      <c r="F433" s="9" t="str">
        <f>IFERROR(__xludf.DUMMYFUNCTION("""COMPUTED_VALUE"""),"白鳥の湖をあなたと【タテヨミ】")</f>
        <v>白鳥の湖をあなたと【タテヨミ】</v>
      </c>
      <c r="G433" s="11" t="str">
        <f>IFERROR(__xludf.DUMMYFUNCTION("""COMPUTED_VALUE"""),"1～54")</f>
        <v>1～54</v>
      </c>
      <c r="H433" s="8" t="str">
        <f>IFERROR(__xludf.DUMMYFUNCTION("""COMPUTED_VALUE"""),"HLS")</f>
        <v>HLS</v>
      </c>
      <c r="I433" s="8" t="str">
        <f>IFERROR(__xludf.DUMMYFUNCTION("""COMPUTED_VALUE"""),"BL")</f>
        <v>BL</v>
      </c>
      <c r="J433" s="8"/>
      <c r="K433" s="8"/>
      <c r="L433" s="8" t="str">
        <f>IFERROR(__xludf.DUMMYFUNCTION("""COMPUTED_VALUE"""),"NCOMIC")</f>
        <v>NCOMIC</v>
      </c>
      <c r="M433" s="12">
        <f>IFERROR(__xludf.DUMMYFUNCTION("""COMPUTED_VALUE"""),45114.0)</f>
        <v>45114</v>
      </c>
      <c r="N433" s="12">
        <f>IFERROR(__xludf.DUMMYFUNCTION("""COMPUTED_VALUE"""),45204.0)</f>
        <v>45204</v>
      </c>
      <c r="O433" s="11"/>
      <c r="P433" s="9" t="str">
        <f>IFERROR(__xludf.DUMMYFUNCTION("""COMPUTED_VALUE"""),"可")</f>
        <v>可</v>
      </c>
      <c r="Q433" s="8" t="str">
        <f>IFERROR(__xludf.DUMMYFUNCTION("""COMPUTED_VALUE"""),"広告コミットOK(6/7)&lt;BR&gt;20巻無料")</f>
        <v>広告コミットOK(6/7)&lt;BR&gt;20巻無料</v>
      </c>
      <c r="R433" s="9"/>
      <c r="S433" s="8" t="str">
        <f>IFERROR(__xludf.DUMMYFUNCTION("""COMPUTED_VALUE"""),"20230609_NCOMIC_7月新作2作品")</f>
        <v>20230609_NCOMIC_7月新作2作品</v>
      </c>
      <c r="T433" s="9"/>
      <c r="U433" s="9" t="str">
        <f>IFERROR(__xludf.DUMMYFUNCTION("""COMPUTED_VALUE"""),"©HLS/NCOMIC")</f>
        <v>©HLS/NCOMIC</v>
      </c>
      <c r="V433" s="8" t="str">
        <f>IFERROR(__xludf.DUMMYFUNCTION("""COMPUTED_VALUE"""),"郁実は子供の頃、母親と訪れたカルチャースクールでバレエと出会い教室へ通うことに。そして、隣のジムでボクシングをしている英二という御曹司と出会う。郁実の家は決して裕福ではなく、性格も生まれ育った環境も真逆の二人は、好きなものを志す同士、惹かれあってゆく。プロになりたいと願う英二は、着々と道を歩んでいき、郁実もそんな彼を見て一生踊っていくことを決意するが…。もどかしい二人のハートフルストーリー開演。
")</f>
        <v>郁実は子供の頃、母親と訪れたカルチャースクールでバレエと出会い教室へ通うことに。そして、隣のジムでボクシングをしている英二という御曹司と出会う。郁実の家は決して裕福ではなく、性格も生まれ育った環境も真逆の二人は、好きなものを志す同士、惹かれあってゆく。プロになりたいと願う英二は、着々と道を歩んでいき、郁実もそんな彼を見て一生踊っていくことを決意するが…。もどかしい二人のハートフルストーリー開演。
</v>
      </c>
      <c r="W433" s="8"/>
      <c r="X433" s="8" t="str">
        <f>IFERROR(__xludf.DUMMYFUNCTION("""COMPUTED_VALUE"""),"有")</f>
        <v>有</v>
      </c>
      <c r="Y433" s="8" t="str">
        <f>IFERROR(__xludf.DUMMYFUNCTION("""COMPUTED_VALUE"""),"P1まで")</f>
        <v>P1まで</v>
      </c>
      <c r="Z433" s="7"/>
      <c r="AA433" s="7"/>
      <c r="AB433" s="7"/>
    </row>
    <row r="434" ht="15.75" customHeight="1">
      <c r="A434" s="8">
        <f>IFERROR(__xludf.DUMMYFUNCTION("""COMPUTED_VALUE"""),1943.0)</f>
        <v>1943</v>
      </c>
      <c r="B434" s="9" t="str">
        <f>IFERROR(__xludf.DUMMYFUNCTION("""COMPUTED_VALUE"""),"確定")</f>
        <v>確定</v>
      </c>
      <c r="C434" s="10">
        <f>IFERROR(__xludf.DUMMYFUNCTION("""COMPUTED_VALUE"""),45056.0)</f>
        <v>45056</v>
      </c>
      <c r="D434" s="10">
        <f>IFERROR(__xludf.DUMMYFUNCTION("""COMPUTED_VALUE"""),45086.0)</f>
        <v>45086</v>
      </c>
      <c r="E434" s="8">
        <f>IFERROR(__xludf.DUMMYFUNCTION("""COMPUTED_VALUE"""),271446.0)</f>
        <v>271446</v>
      </c>
      <c r="F434" s="9" t="str">
        <f>IFERROR(__xludf.DUMMYFUNCTION("""COMPUTED_VALUE"""),"絶対契約～闇夜に溺れる【タテヨミ】")</f>
        <v>絶対契約～闇夜に溺れる【タテヨミ】</v>
      </c>
      <c r="G434" s="11" t="str">
        <f>IFERROR(__xludf.DUMMYFUNCTION("""COMPUTED_VALUE"""),"1～55")</f>
        <v>1～55</v>
      </c>
      <c r="H434" s="8" t="str">
        <f>IFERROR(__xludf.DUMMYFUNCTION("""COMPUTED_VALUE"""),"HLS")</f>
        <v>HLS</v>
      </c>
      <c r="I434" s="8" t="str">
        <f>IFERROR(__xludf.DUMMYFUNCTION("""COMPUTED_VALUE"""),"BL")</f>
        <v>BL</v>
      </c>
      <c r="J434" s="8"/>
      <c r="K434" s="8"/>
      <c r="L434" s="8" t="str">
        <f>IFERROR(__xludf.DUMMYFUNCTION("""COMPUTED_VALUE"""),"NCOMIC")</f>
        <v>NCOMIC</v>
      </c>
      <c r="M434" s="12">
        <f>IFERROR(__xludf.DUMMYFUNCTION("""COMPUTED_VALUE"""),45114.0)</f>
        <v>45114</v>
      </c>
      <c r="N434" s="12">
        <f>IFERROR(__xludf.DUMMYFUNCTION("""COMPUTED_VALUE"""),45204.0)</f>
        <v>45204</v>
      </c>
      <c r="O434" s="11"/>
      <c r="P434" s="9" t="str">
        <f>IFERROR(__xludf.DUMMYFUNCTION("""COMPUTED_VALUE"""),"可")</f>
        <v>可</v>
      </c>
      <c r="Q434" s="8" t="str">
        <f>IFERROR(__xludf.DUMMYFUNCTION("""COMPUTED_VALUE"""),"広告コミットOK(6/7)&lt;BR&gt;20巻無料")</f>
        <v>広告コミットOK(6/7)&lt;BR&gt;20巻無料</v>
      </c>
      <c r="R434" s="9"/>
      <c r="S434" s="8" t="str">
        <f>IFERROR(__xludf.DUMMYFUNCTION("""COMPUTED_VALUE"""),"20230609_NCOMIC_7月新作2作品")</f>
        <v>20230609_NCOMIC_7月新作2作品</v>
      </c>
      <c r="T434" s="9"/>
      <c r="U434" s="9" t="str">
        <f>IFERROR(__xludf.DUMMYFUNCTION("""COMPUTED_VALUE"""),"©HLS/NCOMIC")</f>
        <v>©HLS/NCOMIC</v>
      </c>
      <c r="V434" s="8" t="str">
        <f>IFERROR(__xludf.DUMMYFUNCTION("""COMPUTED_VALUE"""),"有名な殺し屋のアイザックは任務で手酷い傷を負い、瀕死の際にリアムという少年に助けられる。そしてお礼にとある目印を渡した。その1年後にアイザックは彼の家族を殺害する任務を受け、惨殺。生き残ったリアムは復讐を誓い、目印を頼りにアイザックの元を訪れ、殺人の教えを乞うのだった。アイザックはいつか自分に復讐をさせるために、彼を匿うことを決意。一方、リアムはアイザックと過ごす内にどんどん彼に惹かれて行き…。
")</f>
        <v>有名な殺し屋のアイザックは任務で手酷い傷を負い、瀕死の際にリアムという少年に助けられる。そしてお礼にとある目印を渡した。その1年後にアイザックは彼の家族を殺害する任務を受け、惨殺。生き残ったリアムは復讐を誓い、目印を頼りにアイザックの元を訪れ、殺人の教えを乞うのだった。アイザックはいつか自分に復讐をさせるために、彼を匿うことを決意。一方、リアムはアイザックと過ごす内にどんどん彼に惹かれて行き…。
</v>
      </c>
      <c r="W434" s="8"/>
      <c r="X434" s="8" t="str">
        <f>IFERROR(__xludf.DUMMYFUNCTION("""COMPUTED_VALUE"""),"有")</f>
        <v>有</v>
      </c>
      <c r="Y434" s="8" t="str">
        <f>IFERROR(__xludf.DUMMYFUNCTION("""COMPUTED_VALUE"""),"P1まで")</f>
        <v>P1まで</v>
      </c>
      <c r="Z434" s="7"/>
      <c r="AA434" s="7"/>
      <c r="AB434" s="7"/>
    </row>
    <row r="435" ht="128.25" customHeight="1">
      <c r="A435" s="8">
        <f>IFERROR(__xludf.DUMMYFUNCTION("""COMPUTED_VALUE"""),1960.0)</f>
        <v>1960</v>
      </c>
      <c r="B435" s="9" t="str">
        <f>IFERROR(__xludf.DUMMYFUNCTION("""COMPUTED_VALUE"""),"確定")</f>
        <v>確定</v>
      </c>
      <c r="C435" s="10">
        <f>IFERROR(__xludf.DUMMYFUNCTION("""COMPUTED_VALUE"""),45063.0)</f>
        <v>45063</v>
      </c>
      <c r="D435" s="10">
        <f>IFERROR(__xludf.DUMMYFUNCTION("""COMPUTED_VALUE"""),45089.0)</f>
        <v>45089</v>
      </c>
      <c r="E435" s="8">
        <f>IFERROR(__xludf.DUMMYFUNCTION("""COMPUTED_VALUE"""),272062.0)</f>
        <v>272062</v>
      </c>
      <c r="F435" s="9" t="str">
        <f>IFERROR(__xludf.DUMMYFUNCTION("""COMPUTED_VALUE"""),"国語・算数・理科・風俗")</f>
        <v>国語・算数・理科・風俗</v>
      </c>
      <c r="G435" s="11" t="str">
        <f>IFERROR(__xludf.DUMMYFUNCTION("""COMPUTED_VALUE"""),"1～2")</f>
        <v>1～2</v>
      </c>
      <c r="H435" s="8" t="str">
        <f>IFERROR(__xludf.DUMMYFUNCTION("""COMPUTED_VALUE"""),"元帥/三崎")</f>
        <v>元帥/三崎</v>
      </c>
      <c r="I435" s="8" t="str">
        <f>IFERROR(__xludf.DUMMYFUNCTION("""COMPUTED_VALUE"""),"オトナ")</f>
        <v>オトナ</v>
      </c>
      <c r="J435" s="8"/>
      <c r="K435" s="8"/>
      <c r="L435" s="8" t="str">
        <f>IFERROR(__xludf.DUMMYFUNCTION("""COMPUTED_VALUE"""),"ブリック出版")</f>
        <v>ブリック出版</v>
      </c>
      <c r="M435" s="12">
        <f>IFERROR(__xludf.DUMMYFUNCTION("""COMPUTED_VALUE"""),45128.0)</f>
        <v>45128</v>
      </c>
      <c r="N435" s="12">
        <f>IFERROR(__xludf.DUMMYFUNCTION("""COMPUTED_VALUE"""),45155.0)</f>
        <v>45155</v>
      </c>
      <c r="O435" s="11"/>
      <c r="P435" s="9" t="str">
        <f>IFERROR(__xludf.DUMMYFUNCTION("""COMPUTED_VALUE"""),"可")</f>
        <v>可</v>
      </c>
      <c r="Q435" s="8" t="str">
        <f>IFERROR(__xludf.DUMMYFUNCTION("""COMPUTED_VALUE"""),"広告コミットOK(5/23)&lt;BR&gt;素材格納しました（6/12）&lt;BR&gt;&lt;BR&gt;")</f>
        <v>広告コミットOK(5/23)&lt;BR&gt;素材格納しました（6/12）&lt;BR&gt;&lt;BR&gt;</v>
      </c>
      <c r="R435" s="9"/>
      <c r="S435" s="8" t="str">
        <f>IFERROR(__xludf.DUMMYFUNCTION("""COMPUTED_VALUE"""),"20230612_BookLive_国語・算数・理科・風俗")</f>
        <v>20230612_BookLive_国語・算数・理科・風俗</v>
      </c>
      <c r="T435" s="9"/>
      <c r="U435" s="9" t="str">
        <f>IFERROR(__xludf.DUMMYFUNCTION("""COMPUTED_VALUE"""),"(C)ブリック出版")</f>
        <v>(C)ブリック出版</v>
      </c>
      <c r="V435" s="8" t="str">
        <f>IFERROR(__xludf.DUMMYFUNCTION("""COMPUTED_VALUE"""),"学校で風俗テクニックを学ぶことが必修になった世界で、
同級生の委員長やスポーツ少女、ナマイキ少女や、はたまた女教師まで、
かわるがわるフェラチオしてもらいまくる作品です！
※本作は元帥の個人誌作品の電子書籍版となります。【62ページ】
")</f>
        <v>学校で風俗テクニックを学ぶことが必修になった世界で、
同級生の委員長やスポーツ少女、ナマイキ少女や、はたまた女教師まで、
かわるがわるフェラチオしてもらいまくる作品です！
※本作は元帥の個人誌作品の電子書籍版となります。【62ページ】
</v>
      </c>
      <c r="W435" s="8"/>
      <c r="X435" s="8" t="str">
        <f>IFERROR(__xludf.DUMMYFUNCTION("""COMPUTED_VALUE"""),"有")</f>
        <v>有</v>
      </c>
      <c r="Y435" s="8" t="str">
        <f>IFERROR(__xludf.DUMMYFUNCTION("""COMPUTED_VALUE"""),"P9まで")</f>
        <v>P9まで</v>
      </c>
      <c r="Z435" s="7"/>
      <c r="AA435" s="7"/>
      <c r="AB435" s="7"/>
    </row>
    <row r="436" ht="15.75" customHeight="1">
      <c r="A436" s="8">
        <f>IFERROR(__xludf.DUMMYFUNCTION("""COMPUTED_VALUE"""),2002.0)</f>
        <v>2002</v>
      </c>
      <c r="B436" s="9" t="str">
        <f>IFERROR(__xludf.DUMMYFUNCTION("""COMPUTED_VALUE"""),"確定")</f>
        <v>確定</v>
      </c>
      <c r="C436" s="10">
        <f>IFERROR(__xludf.DUMMYFUNCTION("""COMPUTED_VALUE"""),45076.0)</f>
        <v>45076</v>
      </c>
      <c r="D436" s="10">
        <f>IFERROR(__xludf.DUMMYFUNCTION("""COMPUTED_VALUE"""),45086.0)</f>
        <v>45086</v>
      </c>
      <c r="E436" s="8">
        <f>IFERROR(__xludf.DUMMYFUNCTION("""COMPUTED_VALUE"""),271075.0)</f>
        <v>271075</v>
      </c>
      <c r="F436" s="9" t="str">
        <f>IFERROR(__xludf.DUMMYFUNCTION("""COMPUTED_VALUE"""),"女郎蜘蛛～クズ喰い～")</f>
        <v>女郎蜘蛛～クズ喰い～</v>
      </c>
      <c r="G436" s="11" t="str">
        <f>IFERROR(__xludf.DUMMYFUNCTION("""COMPUTED_VALUE"""),"1～3")</f>
        <v>1～3</v>
      </c>
      <c r="H436" s="8" t="str">
        <f>IFERROR(__xludf.DUMMYFUNCTION("""COMPUTED_VALUE"""),"兄崎ゆな")</f>
        <v>兄崎ゆな</v>
      </c>
      <c r="I436" s="8" t="str">
        <f>IFERROR(__xludf.DUMMYFUNCTION("""COMPUTED_VALUE"""),"女性")</f>
        <v>女性</v>
      </c>
      <c r="J436" s="8"/>
      <c r="K436" s="8"/>
      <c r="L436" s="8" t="str">
        <f>IFERROR(__xludf.DUMMYFUNCTION("""COMPUTED_VALUE"""),"小学館")</f>
        <v>小学館</v>
      </c>
      <c r="M436" s="12">
        <f>IFERROR(__xludf.DUMMYFUNCTION("""COMPUTED_VALUE"""),45108.0)</f>
        <v>45108</v>
      </c>
      <c r="N436" s="12">
        <f>IFERROR(__xludf.DUMMYFUNCTION("""COMPUTED_VALUE"""),45138.0)</f>
        <v>45138</v>
      </c>
      <c r="O436" s="11"/>
      <c r="P436" s="9" t="str">
        <f>IFERROR(__xludf.DUMMYFUNCTION("""COMPUTED_VALUE"""),"否")</f>
        <v>否</v>
      </c>
      <c r="Q436" s="8" t="str">
        <f>IFERROR(__xludf.DUMMYFUNCTION("""COMPUTED_VALUE"""),"広告コミットOK(5/31)")</f>
        <v>広告コミットOK(5/31)</v>
      </c>
      <c r="R436" s="9"/>
      <c r="S436" s="8" t="str">
        <f>IFERROR(__xludf.DUMMYFUNCTION("""COMPUTED_VALUE"""),"20230609_小学館_女郎蜘蛛～クズ喰い～")</f>
        <v>20230609_小学館_女郎蜘蛛～クズ喰い～</v>
      </c>
      <c r="T436" s="9"/>
      <c r="U436" s="9" t="str">
        <f>IFERROR(__xludf.DUMMYFUNCTION("""COMPUTED_VALUE"""),"(C)兄崎ゆな / 小学館")</f>
        <v>(C)兄崎ゆな / 小学館</v>
      </c>
      <c r="V436" s="8" t="str">
        <f>IFERROR(__xludf.DUMMYFUNCTION("""COMPUTED_VALUE"""),"虐げられる者、搾取される者、奪われる者…
理不尽な状況を甘んじて受け入れざるを得ない”弱者”たちは、今日も”強者”というクズに喰われている。
一方、正義も倫理も関係なく、ただエサとしてクズを喰らう”人でない”者・碧。一矢を報いたい”弱者”と碧の利害が一致したとき、”弱者”の復讐劇の幕が開けるーー。
")</f>
        <v>虐げられる者、搾取される者、奪われる者…
理不尽な状況を甘んじて受け入れざるを得ない”弱者”たちは、今日も”強者”というクズに喰われている。
一方、正義も倫理も関係なく、ただエサとしてクズを喰らう”人でない”者・碧。一矢を報いたい”弱者”と碧の利害が一致したとき、”弱者”の復讐劇の幕が開けるーー。
</v>
      </c>
      <c r="W436" s="8"/>
      <c r="X436" s="8" t="str">
        <f>IFERROR(__xludf.DUMMYFUNCTION("""COMPUTED_VALUE"""),"有")</f>
        <v>有</v>
      </c>
      <c r="Y436" s="8" t="str">
        <f>IFERROR(__xludf.DUMMYFUNCTION("""COMPUTED_VALUE"""),"P9まで")</f>
        <v>P9まで</v>
      </c>
      <c r="Z436" s="7"/>
      <c r="AA436" s="7"/>
      <c r="AB436" s="7"/>
    </row>
    <row r="437" ht="15.75" customHeight="1">
      <c r="A437" s="8">
        <f>IFERROR(__xludf.DUMMYFUNCTION("""COMPUTED_VALUE"""),2013.0)</f>
        <v>2013</v>
      </c>
      <c r="B437" s="9" t="str">
        <f>IFERROR(__xludf.DUMMYFUNCTION("""COMPUTED_VALUE"""),"確定")</f>
        <v>確定</v>
      </c>
      <c r="C437" s="10">
        <f>IFERROR(__xludf.DUMMYFUNCTION("""COMPUTED_VALUE"""),45078.0)</f>
        <v>45078</v>
      </c>
      <c r="D437" s="10">
        <f>IFERROR(__xludf.DUMMYFUNCTION("""COMPUTED_VALUE"""),45086.0)</f>
        <v>45086</v>
      </c>
      <c r="E437" s="8">
        <f>IFERROR(__xludf.DUMMYFUNCTION("""COMPUTED_VALUE"""),271407.0)</f>
        <v>271407</v>
      </c>
      <c r="F437" s="9" t="str">
        <f>IFERROR(__xludf.DUMMYFUNCTION("""COMPUTED_VALUE"""),"隙あらば…カレシが泣くまでいじめたい！-イタズラな好奇心に火がついて…！？-")</f>
        <v>隙あらば…カレシが泣くまでいじめたい！-イタズラな好奇心に火がついて…！？-</v>
      </c>
      <c r="G437" s="11" t="str">
        <f>IFERROR(__xludf.DUMMYFUNCTION("""COMPUTED_VALUE"""),"1～2")</f>
        <v>1～2</v>
      </c>
      <c r="H437" s="8" t="str">
        <f>IFERROR(__xludf.DUMMYFUNCTION("""COMPUTED_VALUE"""),"めえお")</f>
        <v>めえお</v>
      </c>
      <c r="I437" s="8" t="str">
        <f>IFERROR(__xludf.DUMMYFUNCTION("""COMPUTED_VALUE"""),"オトナ")</f>
        <v>オトナ</v>
      </c>
      <c r="J437" s="8"/>
      <c r="K437" s="8"/>
      <c r="L437" s="8" t="str">
        <f>IFERROR(__xludf.DUMMYFUNCTION("""COMPUTED_VALUE"""),"ナイトコミック")</f>
        <v>ナイトコミック</v>
      </c>
      <c r="M437" s="12">
        <f>IFERROR(__xludf.DUMMYFUNCTION("""COMPUTED_VALUE"""),45114.0)</f>
        <v>45114</v>
      </c>
      <c r="N437" s="12">
        <f>IFERROR(__xludf.DUMMYFUNCTION("""COMPUTED_VALUE"""),45141.0)</f>
        <v>45141</v>
      </c>
      <c r="O437" s="11"/>
      <c r="P437" s="9" t="str">
        <f>IFERROR(__xludf.DUMMYFUNCTION("""COMPUTED_VALUE"""),"可")</f>
        <v>可</v>
      </c>
      <c r="Q437" s="8" t="str">
        <f>IFERROR(__xludf.DUMMYFUNCTION("""COMPUTED_VALUE"""),"広告コミットOK(6/7)&lt;BR&gt;&lt;BR&gt;初回配信が1～2話に変更となりました")</f>
        <v>広告コミットOK(6/7)&lt;BR&gt;&lt;BR&gt;初回配信が1～2話に変更となりました</v>
      </c>
      <c r="R437" s="9"/>
      <c r="S437" s="8" t="str">
        <f>IFERROR(__xludf.DUMMYFUNCTION("""COMPUTED_VALUE"""),"20230608_ナイトコミック_隙あらば…カレシが泣くまでいじめたい！-イタズラな好奇心に火がついて…！？-")</f>
        <v>20230608_ナイトコミック_隙あらば…カレシが泣くまでいじめたい！-イタズラな好奇心に火がついて…！？-</v>
      </c>
      <c r="T437" s="9"/>
      <c r="U437" s="9" t="str">
        <f>IFERROR(__xludf.DUMMYFUNCTION("""COMPUTED_VALUE"""),"©めえお")</f>
        <v>©めえお</v>
      </c>
      <c r="V437" s="8" t="str">
        <f>IFERROR(__xludf.DUMMYFUNCTION("""COMPUTED_VALUE"""),"私には年下の幼なじみのカレシがいる…
今日は彼氏の家にお泊りするはずだったんだけど、お風呂に入ろうとしたら洗面台の下でオナホを見つけちゃって…！！
慌てて言い訳している彼を見て、ちょっと意地悪したくなっちゃった私がここでオナホを使っているところを見せてほしいとお願いすると…
彼は嫌がりながらもオナニーを始めたんだけど…
オナニーをしているカレシを見ていたら、可愛すぎてなんだかいじめたくなっちゃって…！？")</f>
        <v>私には年下の幼なじみのカレシがいる…
今日は彼氏の家にお泊りするはずだったんだけど、お風呂に入ろうとしたら洗面台の下でオナホを見つけちゃって…！！
慌てて言い訳している彼を見て、ちょっと意地悪したくなっちゃった私がここでオナホを使っているところを見せてほしいとお願いすると…
彼は嫌がりながらもオナニーを始めたんだけど…
オナニーをしているカレシを見ていたら、可愛すぎてなんだかいじめたくなっちゃって…！？</v>
      </c>
      <c r="W437" s="8"/>
      <c r="X437" s="9" t="str">
        <f>IFERROR(__xludf.DUMMYFUNCTION("""COMPUTED_VALUE"""),"有")</f>
        <v>有</v>
      </c>
      <c r="Y437" s="8" t="str">
        <f>IFERROR(__xludf.DUMMYFUNCTION("""COMPUTED_VALUE"""),"1巻　8/3まで立ち読み増量P19まで
2巻　8/3まで立ち読み増量P13まで")</f>
        <v>1巻　8/3まで立ち読み増量P19まで
2巻　8/3まで立ち読み増量P13まで</v>
      </c>
      <c r="Z437" s="7"/>
      <c r="AA437" s="7"/>
      <c r="AB437" s="7"/>
    </row>
    <row r="438" ht="15.75" customHeight="1">
      <c r="A438" s="8">
        <f>IFERROR(__xludf.DUMMYFUNCTION("""COMPUTED_VALUE"""),2029.0)</f>
        <v>2029</v>
      </c>
      <c r="B438" s="9" t="str">
        <f>IFERROR(__xludf.DUMMYFUNCTION("""COMPUTED_VALUE"""),"確定")</f>
        <v>確定</v>
      </c>
      <c r="C438" s="10">
        <f>IFERROR(__xludf.DUMMYFUNCTION("""COMPUTED_VALUE"""),45084.0)</f>
        <v>45084</v>
      </c>
      <c r="D438" s="10">
        <f>IFERROR(__xludf.DUMMYFUNCTION("""COMPUTED_VALUE"""),45084.0)</f>
        <v>45084</v>
      </c>
      <c r="E438" s="8">
        <f>IFERROR(__xludf.DUMMYFUNCTION("""COMPUTED_VALUE"""),272069.0)</f>
        <v>272069</v>
      </c>
      <c r="F438" s="9" t="str">
        <f>IFERROR(__xludf.DUMMYFUNCTION("""COMPUTED_VALUE"""),"夜明けを乞うけものたち[ばら売り] ")</f>
        <v>夜明けを乞うけものたち[ばら売り] </v>
      </c>
      <c r="G438" s="11" t="str">
        <f>IFERROR(__xludf.DUMMYFUNCTION("""COMPUTED_VALUE"""),"1～5")</f>
        <v>1～5</v>
      </c>
      <c r="H438" s="8" t="str">
        <f>IFERROR(__xludf.DUMMYFUNCTION("""COMPUTED_VALUE"""),"堤翔")</f>
        <v>堤翔</v>
      </c>
      <c r="I438" s="8" t="str">
        <f>IFERROR(__xludf.DUMMYFUNCTION("""COMPUTED_VALUE"""),"少女")</f>
        <v>少女</v>
      </c>
      <c r="J438" s="8"/>
      <c r="K438" s="8"/>
      <c r="L438" s="8" t="str">
        <f>IFERROR(__xludf.DUMMYFUNCTION("""COMPUTED_VALUE"""),"白泉社")</f>
        <v>白泉社</v>
      </c>
      <c r="M438" s="12">
        <f>IFERROR(__xludf.DUMMYFUNCTION("""COMPUTED_VALUE"""),45115.0)</f>
        <v>45115</v>
      </c>
      <c r="N438" s="12">
        <f>IFERROR(__xludf.DUMMYFUNCTION("""COMPUTED_VALUE"""),45176.0)</f>
        <v>45176</v>
      </c>
      <c r="O438" s="11"/>
      <c r="P438" s="9" t="str">
        <f>IFERROR(__xludf.DUMMYFUNCTION("""COMPUTED_VALUE"""),"否")</f>
        <v>否</v>
      </c>
      <c r="Q438" s="8" t="str">
        <f>IFERROR(__xludf.DUMMYFUNCTION("""COMPUTED_VALUE"""),"河上さん　事前コミット済みタイトルです。&lt;BR&gt;&lt;BR&gt;アダルト出稿可否について、別途確認中。&lt;BR&gt;コピーライト確認中。&lt;BR&gt;")</f>
        <v>河上さん　事前コミット済みタイトルです。&lt;BR&gt;&lt;BR&gt;アダルト出稿可否について、別途確認中。&lt;BR&gt;コピーライト確認中。&lt;BR&gt;</v>
      </c>
      <c r="R438" s="9"/>
      <c r="S438" s="8" t="str">
        <f>IFERROR(__xludf.DUMMYFUNCTION("""COMPUTED_VALUE"""),"20230607_白泉社_夜明けを乞うけものたち")</f>
        <v>20230607_白泉社_夜明けを乞うけものたち</v>
      </c>
      <c r="T438" s="9"/>
      <c r="U438" s="9" t="str">
        <f>IFERROR(__xludf.DUMMYFUNCTION("""COMPUTED_VALUE"""),"(C)堤翔/白泉社")</f>
        <v>(C)堤翔/白泉社</v>
      </c>
      <c r="V438" s="8" t="str">
        <f>IFERROR(__xludf.DUMMYFUNCTION("""COMPUTED_VALUE"""),"切ない恋心×秘密が絡み合う、衝撃の異種エロス！！両手に口を持つ“変異種”の絶背藍は、同僚の神崎に恋をしていた。ある日彼女も変異種だと知った絶背は、交際を申し込むも拒まれてしまう。踏み込めない一線を感じた絶背は、弱みを握るような形でセフレになってしまって――…。「絶対にキスはしないで」と強く拒む彼女は何者なのか？
")</f>
        <v>切ない恋心×秘密が絡み合う、衝撃の異種エロス！！両手に口を持つ“変異種”の絶背藍は、同僚の神崎に恋をしていた。ある日彼女も変異種だと知った絶背は、交際を申し込むも拒まれてしまう。踏み込めない一線を感じた絶背は、弱みを握るような形でセフレになってしまって――…。「絶対にキスはしないで」と強く拒む彼女は何者なのか？
</v>
      </c>
      <c r="W438" s="8"/>
      <c r="X438" s="8" t="str">
        <f>IFERROR(__xludf.DUMMYFUNCTION("""COMPUTED_VALUE"""),"有")</f>
        <v>有</v>
      </c>
      <c r="Y438" s="8" t="str">
        <f>IFERROR(__xludf.DUMMYFUNCTION("""COMPUTED_VALUE"""),"7/21まで1巻無料")</f>
        <v>7/21まで1巻無料</v>
      </c>
      <c r="Z438" s="7"/>
      <c r="AA438" s="7"/>
      <c r="AB438" s="7"/>
    </row>
    <row r="439" ht="15.75" customHeight="1">
      <c r="A439" s="8">
        <f>IFERROR(__xludf.DUMMYFUNCTION("""COMPUTED_VALUE"""),2030.0)</f>
        <v>2030</v>
      </c>
      <c r="B439" s="9" t="str">
        <f>IFERROR(__xludf.DUMMYFUNCTION("""COMPUTED_VALUE"""),"確定")</f>
        <v>確定</v>
      </c>
      <c r="C439" s="10">
        <f>IFERROR(__xludf.DUMMYFUNCTION("""COMPUTED_VALUE"""),45084.0)</f>
        <v>45084</v>
      </c>
      <c r="D439" s="10">
        <f>IFERROR(__xludf.DUMMYFUNCTION("""COMPUTED_VALUE"""),45084.0)</f>
        <v>45084</v>
      </c>
      <c r="E439" s="8">
        <f>IFERROR(__xludf.DUMMYFUNCTION("""COMPUTED_VALUE"""),270302.0)</f>
        <v>270302</v>
      </c>
      <c r="F439" s="9" t="str">
        <f>IFERROR(__xludf.DUMMYFUNCTION("""COMPUTED_VALUE"""),"花と嵐のリグレット")</f>
        <v>花と嵐のリグレット</v>
      </c>
      <c r="G439" s="11">
        <f>IFERROR(__xludf.DUMMYFUNCTION("""COMPUTED_VALUE"""),1.0)</f>
        <v>1</v>
      </c>
      <c r="H439" s="8" t="str">
        <f>IFERROR(__xludf.DUMMYFUNCTION("""COMPUTED_VALUE"""),"大島かもめ")</f>
        <v>大島かもめ</v>
      </c>
      <c r="I439" s="8" t="str">
        <f>IFERROR(__xludf.DUMMYFUNCTION("""COMPUTED_VALUE"""),"BL")</f>
        <v>BL</v>
      </c>
      <c r="J439" s="8"/>
      <c r="K439" s="8"/>
      <c r="L439" s="8" t="str">
        <f>IFERROR(__xludf.DUMMYFUNCTION("""COMPUTED_VALUE"""),"romRED")</f>
        <v>romRED</v>
      </c>
      <c r="M439" s="12">
        <f>IFERROR(__xludf.DUMMYFUNCTION("""COMPUTED_VALUE"""),45100.0)</f>
        <v>45100</v>
      </c>
      <c r="N439" s="12">
        <f>IFERROR(__xludf.DUMMYFUNCTION("""COMPUTED_VALUE"""),45134.0)</f>
        <v>45134</v>
      </c>
      <c r="O439" s="11"/>
      <c r="P439" s="9" t="str">
        <f>IFERROR(__xludf.DUMMYFUNCTION("""COMPUTED_VALUE"""),"可")</f>
        <v>可</v>
      </c>
      <c r="Q439" s="8"/>
      <c r="R439" s="9"/>
      <c r="S439" s="8" t="str">
        <f>IFERROR(__xludf.DUMMYFUNCTION("""COMPUTED_VALUE"""),"20230607_fromRED_6月新作2作品")</f>
        <v>20230607_fromRED_6月新作2作品</v>
      </c>
      <c r="T439" s="9"/>
      <c r="U439" s="9" t="str">
        <f>IFERROR(__xludf.DUMMYFUNCTION("""COMPUTED_VALUE"""),"（C）大島かもめ/from RED")</f>
        <v>（C）大島かもめ/from RED</v>
      </c>
      <c r="V439" s="8" t="str">
        <f>IFERROR(__xludf.DUMMYFUNCTION("""COMPUTED_VALUE"""),"大学生・渡瀬はある日、猫が農学部の花壇を荒らしてしまうところに遭遇する。運が悪いことに、そこにもう1人居合わせたのは農学部の奇人・柏木先輩。植物の研究しか頭になく、猫に物騒なことを言う柏木に慌てた渡瀬は、「なんでもするから猫を許してほしい」と懇願し、柏木の命令に従うはめに。待ち受けていたのはただの雑用だったが、柏木の予想もつかない行動に振り回されながらも少しずつ惹かれていく。そんな中、自分がゲイであることを言い当てられ、柏木もまたゲイであるとさらりと打ち明けられる。「お前に手は出さないよ」と言う癖に無自覚"&amp;"にこちらを煽るような言動と色香に、渡瀬の心はかき乱されて――…
振り回されるお人好し大学生×不思議な色気の変人先輩――花のようにうつくしく、嵐のように心を乱す青春BL。")</f>
        <v>大学生・渡瀬はある日、猫が農学部の花壇を荒らしてしまうところに遭遇する。運が悪いことに、そこにもう1人居合わせたのは農学部の奇人・柏木先輩。植物の研究しか頭になく、猫に物騒なことを言う柏木に慌てた渡瀬は、「なんでもするから猫を許してほしい」と懇願し、柏木の命令に従うはめに。待ち受けていたのはただの雑用だったが、柏木の予想もつかない行動に振り回されながらも少しずつ惹かれていく。そんな中、自分がゲイであることを言い当てられ、柏木もまたゲイであるとさらりと打ち明けられる。「お前に手は出さないよ」と言う癖に無自覚にこちらを煽るような言動と色香に、渡瀬の心はかき乱されて――…
振り回されるお人好し大学生×不思議な色気の変人先輩――花のようにうつくしく、嵐のように心を乱す青春BL。</v>
      </c>
      <c r="W439" s="8"/>
      <c r="X439" s="8" t="str">
        <f>IFERROR(__xludf.DUMMYFUNCTION("""COMPUTED_VALUE"""),"有")</f>
        <v>有</v>
      </c>
      <c r="Y439" s="8" t="str">
        <f>IFERROR(__xludf.DUMMYFUNCTION("""COMPUTED_VALUE"""),"P10まで")</f>
        <v>P10まで</v>
      </c>
      <c r="Z439" s="7"/>
      <c r="AA439" s="7"/>
      <c r="AB439" s="7"/>
    </row>
    <row r="440" ht="15.75" customHeight="1">
      <c r="A440" s="8">
        <f>IFERROR(__xludf.DUMMYFUNCTION("""COMPUTED_VALUE"""),2031.0)</f>
        <v>2031</v>
      </c>
      <c r="B440" s="9" t="str">
        <f>IFERROR(__xludf.DUMMYFUNCTION("""COMPUTED_VALUE"""),"確定")</f>
        <v>確定</v>
      </c>
      <c r="C440" s="10">
        <f>IFERROR(__xludf.DUMMYFUNCTION("""COMPUTED_VALUE"""),45084.0)</f>
        <v>45084</v>
      </c>
      <c r="D440" s="10">
        <f>IFERROR(__xludf.DUMMYFUNCTION("""COMPUTED_VALUE"""),45084.0)</f>
        <v>45084</v>
      </c>
      <c r="E440" s="8">
        <f>IFERROR(__xludf.DUMMYFUNCTION("""COMPUTED_VALUE"""),270303.0)</f>
        <v>270303</v>
      </c>
      <c r="F440" s="9" t="str">
        <f>IFERROR(__xludf.DUMMYFUNCTION("""COMPUTED_VALUE"""),"四谷ゴーストナイト")</f>
        <v>四谷ゴーストナイト</v>
      </c>
      <c r="G440" s="11">
        <f>IFERROR(__xludf.DUMMYFUNCTION("""COMPUTED_VALUE"""),1.0)</f>
        <v>1</v>
      </c>
      <c r="H440" s="8" t="str">
        <f>IFERROR(__xludf.DUMMYFUNCTION("""COMPUTED_VALUE"""),"しろゐチョコ")</f>
        <v>しろゐチョコ</v>
      </c>
      <c r="I440" s="8" t="str">
        <f>IFERROR(__xludf.DUMMYFUNCTION("""COMPUTED_VALUE"""),"BL")</f>
        <v>BL</v>
      </c>
      <c r="J440" s="8"/>
      <c r="K440" s="8"/>
      <c r="L440" s="8" t="str">
        <f>IFERROR(__xludf.DUMMYFUNCTION("""COMPUTED_VALUE"""),"from RED")</f>
        <v>from RED</v>
      </c>
      <c r="M440" s="12">
        <f>IFERROR(__xludf.DUMMYFUNCTION("""COMPUTED_VALUE"""),45100.0)</f>
        <v>45100</v>
      </c>
      <c r="N440" s="12">
        <f>IFERROR(__xludf.DUMMYFUNCTION("""COMPUTED_VALUE"""),45134.0)</f>
        <v>45134</v>
      </c>
      <c r="O440" s="11"/>
      <c r="P440" s="9" t="str">
        <f>IFERROR(__xludf.DUMMYFUNCTION("""COMPUTED_VALUE"""),"可")</f>
        <v>可</v>
      </c>
      <c r="Q440" s="8"/>
      <c r="R440" s="9"/>
      <c r="S440" s="8" t="str">
        <f>IFERROR(__xludf.DUMMYFUNCTION("""COMPUTED_VALUE"""),"20230607_fromRED_6月新作2作品")</f>
        <v>20230607_fromRED_6月新作2作品</v>
      </c>
      <c r="T440" s="9"/>
      <c r="U440" s="9" t="str">
        <f>IFERROR(__xludf.DUMMYFUNCTION("""COMPUTED_VALUE"""),"（C）しろゐチョコ/from RED")</f>
        <v>（C）しろゐチョコ/from RED</v>
      </c>
      <c r="V440" s="8" t="str">
        <f>IFERROR(__xludf.DUMMYFUNCTION("""COMPUTED_VALUE"""),"東京屈指の除霊師・四谷送は「エロいこと」が苦手。
経験もないし、快楽のために他人と触れ合うなんてとんでもない…。
自慰で集めた己の涙を武器に、今日もソロ除霊を貫いていた。
そんなある日、送は潮吹きが除霊に効果絶大という噂を耳にする。
自分には関係のない話――と聞き流した矢先、涙が効かない強力な悪霊に遭遇！
窮地に陥る送の前に現れたのは、カリスマAV男優「しおふ騎士」こと深瀬内斗で――！？
「俺に潮吹きを教えてください…っ」
すべては依頼人を守るため――！ はたして除霊のための潮吹きからラブは生まれるの"&amp;"か！？！？
【不敵なカリスマAV男優×きまじめ除霊師】前代未聞の潮吹きバディ、ここに爆誕！！！")</f>
        <v>東京屈指の除霊師・四谷送は「エロいこと」が苦手。
経験もないし、快楽のために他人と触れ合うなんてとんでもない…。
自慰で集めた己の涙を武器に、今日もソロ除霊を貫いていた。
そんなある日、送は潮吹きが除霊に効果絶大という噂を耳にする。
自分には関係のない話――と聞き流した矢先、涙が効かない強力な悪霊に遭遇！
窮地に陥る送の前に現れたのは、カリスマAV男優「しおふ騎士」こと深瀬内斗で――！？
「俺に潮吹きを教えてください…っ」
すべては依頼人を守るため――！ はたして除霊のための潮吹きからラブは生まれるのか！？！？
【不敵なカリスマAV男優×きまじめ除霊師】前代未聞の潮吹きバディ、ここに爆誕！！！</v>
      </c>
      <c r="W440" s="8"/>
      <c r="X440" s="8" t="str">
        <f>IFERROR(__xludf.DUMMYFUNCTION("""COMPUTED_VALUE"""),"有")</f>
        <v>有</v>
      </c>
      <c r="Y440" s="8" t="str">
        <f>IFERROR(__xludf.DUMMYFUNCTION("""COMPUTED_VALUE"""),"P10まで")</f>
        <v>P10まで</v>
      </c>
      <c r="Z440" s="7"/>
      <c r="AA440" s="7"/>
      <c r="AB440" s="7"/>
    </row>
    <row r="441" ht="15.75" customHeight="1">
      <c r="A441" s="8">
        <f>IFERROR(__xludf.DUMMYFUNCTION("""COMPUTED_VALUE"""),2034.0)</f>
        <v>2034</v>
      </c>
      <c r="B441" s="9" t="str">
        <f>IFERROR(__xludf.DUMMYFUNCTION("""COMPUTED_VALUE"""),"確定")</f>
        <v>確定</v>
      </c>
      <c r="C441" s="10">
        <f>IFERROR(__xludf.DUMMYFUNCTION("""COMPUTED_VALUE"""),45086.0)</f>
        <v>45086</v>
      </c>
      <c r="D441" s="10">
        <f>IFERROR(__xludf.DUMMYFUNCTION("""COMPUTED_VALUE"""),45086.0)</f>
        <v>45086</v>
      </c>
      <c r="E441" s="8">
        <f>IFERROR(__xludf.DUMMYFUNCTION("""COMPUTED_VALUE"""),270638.0)</f>
        <v>270638</v>
      </c>
      <c r="F441" s="9" t="str">
        <f>IFERROR(__xludf.DUMMYFUNCTION("""COMPUTED_VALUE"""),"天官賜福【タテヨミ】")</f>
        <v>天官賜福【タテヨミ】</v>
      </c>
      <c r="G441" s="11" t="str">
        <f>IFERROR(__xludf.DUMMYFUNCTION("""COMPUTED_VALUE"""),"1～31")</f>
        <v>1～31</v>
      </c>
      <c r="H441" s="8" t="str">
        <f>IFERROR(__xludf.DUMMYFUNCTION("""COMPUTED_VALUE"""),"STARember, 白夢社,墨香銅臭,晋江文学城")</f>
        <v>STARember, 白夢社,墨香銅臭,晋江文学城</v>
      </c>
      <c r="I441" s="8" t="str">
        <f>IFERROR(__xludf.DUMMYFUNCTION("""COMPUTED_VALUE"""),"BL")</f>
        <v>BL</v>
      </c>
      <c r="J441" s="8"/>
      <c r="K441" s="8"/>
      <c r="L441" s="8" t="str">
        <f>IFERROR(__xludf.DUMMYFUNCTION("""COMPUTED_VALUE"""),"リバース")</f>
        <v>リバース</v>
      </c>
      <c r="M441" s="12">
        <f>IFERROR(__xludf.DUMMYFUNCTION("""COMPUTED_VALUE"""),45101.0)</f>
        <v>45101</v>
      </c>
      <c r="N441" s="12">
        <f>IFERROR(__xludf.DUMMYFUNCTION("""COMPUTED_VALUE"""),45192.0)</f>
        <v>45192</v>
      </c>
      <c r="O441" s="11"/>
      <c r="P441" s="9" t="str">
        <f>IFERROR(__xludf.DUMMYFUNCTION("""COMPUTED_VALUE"""),"可")</f>
        <v>可</v>
      </c>
      <c r="Q441" s="8" t="str">
        <f>IFERROR(__xludf.DUMMYFUNCTION("""COMPUTED_VALUE"""),"コミット")</f>
        <v>コミット</v>
      </c>
      <c r="R441" s="9"/>
      <c r="S441" s="8" t="str">
        <f>IFERROR(__xludf.DUMMYFUNCTION("""COMPUTED_VALUE"""),"20230609_リバース_6月新作（更新）")</f>
        <v>20230609_リバース_6月新作（更新）</v>
      </c>
      <c r="T441" s="9"/>
      <c r="U441" s="9" t="str">
        <f>IFERROR(__xludf.DUMMYFUNCTION("""COMPUTED_VALUE"""),"ⓒ BILIBILI COMICS/墨香銅臭/STARember/白夢社")</f>
        <v>ⓒ BILIBILI COMICS/墨香銅臭/STARember/白夢社</v>
      </c>
      <c r="V441" s="8" t="str">
        <f>IFERROR(__xludf.DUMMYFUNCTION("""COMPUTED_VALUE"""),"仙楽国の太子であった謝憐(シエリェン)は飛昇と貶謫を繰り返しながら三度目の飛昇を果たす。 しかし神官たちの金殿を破壊してしまい、せっかくの飛昇なのに功徳を積んで弁償しなければいけない立場となる。 下界では誰も謝憐(シエリェン)に供えや奉納など捧げやしない。 なので下界に降りて鬼を退治し自分の力で功徳を積むしかない。 そこで自分を助けにきた二人の若い神官と紅い服を着た不思議な少年と出会う。 四人は共に次々と怪異な事件を解決していくが、 それと同時に惨憺たる光の陰に隠れた仙界の神々の暗い過去に触れることになる"&amp;"…")</f>
        <v>仙楽国の太子であった謝憐(シエリェン)は飛昇と貶謫を繰り返しながら三度目の飛昇を果たす。 しかし神官たちの金殿を破壊してしまい、せっかくの飛昇なのに功徳を積んで弁償しなければいけない立場となる。 下界では誰も謝憐(シエリェン)に供えや奉納など捧げやしない。 なので下界に降りて鬼を退治し自分の力で功徳を積むしかない。 そこで自分を助けにきた二人の若い神官と紅い服を着た不思議な少年と出会う。 四人は共に次々と怪異な事件を解決していくが、 それと同時に惨憺たる光の陰に隠れた仙界の神々の暗い過去に触れることになる…</v>
      </c>
      <c r="W441" s="8"/>
      <c r="X441" s="8" t="str">
        <f>IFERROR(__xludf.DUMMYFUNCTION("""COMPUTED_VALUE"""),"有")</f>
        <v>有</v>
      </c>
      <c r="Y441" s="8" t="str">
        <f>IFERROR(__xludf.DUMMYFUNCTION("""COMPUTED_VALUE"""),"7/7まで1~6巻無料")</f>
        <v>7/7まで1~6巻無料</v>
      </c>
      <c r="Z441" s="7"/>
      <c r="AA441" s="7"/>
      <c r="AB441" s="7"/>
    </row>
    <row r="442" ht="15.75" customHeight="1">
      <c r="A442" s="8">
        <f>IFERROR(__xludf.DUMMYFUNCTION("""COMPUTED_VALUE"""),2035.0)</f>
        <v>2035</v>
      </c>
      <c r="B442" s="9" t="str">
        <f>IFERROR(__xludf.DUMMYFUNCTION("""COMPUTED_VALUE"""),"確定")</f>
        <v>確定</v>
      </c>
      <c r="C442" s="10">
        <f>IFERROR(__xludf.DUMMYFUNCTION("""COMPUTED_VALUE"""),45086.0)</f>
        <v>45086</v>
      </c>
      <c r="D442" s="10">
        <f>IFERROR(__xludf.DUMMYFUNCTION("""COMPUTED_VALUE"""),45086.0)</f>
        <v>45086</v>
      </c>
      <c r="E442" s="8">
        <f>IFERROR(__xludf.DUMMYFUNCTION("""COMPUTED_VALUE"""),270639.0)</f>
        <v>270639</v>
      </c>
      <c r="F442" s="9" t="str">
        <f>IFERROR(__xludf.DUMMYFUNCTION("""COMPUTED_VALUE"""),"不覚にも敵を救ってしまった【タテヨミ】")</f>
        <v>不覚にも敵を救ってしまった【タテヨミ】</v>
      </c>
      <c r="G442" s="16" t="str">
        <f>IFERROR(__xludf.DUMMYFUNCTION("""COMPUTED_VALUE"""),"1～20")</f>
        <v>1～20</v>
      </c>
      <c r="H442" s="8" t="str">
        <f>IFERROR(__xludf.DUMMYFUNCTION("""COMPUTED_VALUE"""),"六木喬")</f>
        <v>六木喬</v>
      </c>
      <c r="I442" s="8" t="str">
        <f>IFERROR(__xludf.DUMMYFUNCTION("""COMPUTED_VALUE"""),"BL")</f>
        <v>BL</v>
      </c>
      <c r="J442" s="8"/>
      <c r="K442" s="8"/>
      <c r="L442" s="8" t="str">
        <f>IFERROR(__xludf.DUMMYFUNCTION("""COMPUTED_VALUE"""),"リバース")</f>
        <v>リバース</v>
      </c>
      <c r="M442" s="12">
        <f>IFERROR(__xludf.DUMMYFUNCTION("""COMPUTED_VALUE"""),45101.0)</f>
        <v>45101</v>
      </c>
      <c r="N442" s="12">
        <f>IFERROR(__xludf.DUMMYFUNCTION("""COMPUTED_VALUE"""),45192.0)</f>
        <v>45192</v>
      </c>
      <c r="O442" s="11"/>
      <c r="P442" s="9" t="str">
        <f>IFERROR(__xludf.DUMMYFUNCTION("""COMPUTED_VALUE"""),"可")</f>
        <v>可</v>
      </c>
      <c r="Q442" s="8"/>
      <c r="R442" s="9"/>
      <c r="S442" s="8" t="str">
        <f>IFERROR(__xludf.DUMMYFUNCTION("""COMPUTED_VALUE"""),"20230609_リバース_6月新作（更新）")</f>
        <v>20230609_リバース_6月新作（更新）</v>
      </c>
      <c r="T442" s="9"/>
      <c r="U442" s="9" t="str">
        <f>IFERROR(__xludf.DUMMYFUNCTION("""COMPUTED_VALUE"""),"ⓒ BILIBILI COMICS/六木喬")</f>
        <v>ⓒ BILIBILI COMICS/六木喬</v>
      </c>
      <c r="V442" s="8" t="str">
        <f>IFERROR(__xludf.DUMMYFUNCTION("""COMPUTED_VALUE"""),"平凡な日々を送っていた主人公（医者）の前に、血だらけの少年が現れて助けを求める。その少年は、実は極悪非道な魔教主であった。 主人公が魔教主に手を打とうとした瞬間、少年は目を覚まし「生死の契り（少年が死ねば主人公も死ぬ、命をかけた契り）」を結んでしまう。その契りのせいでどうすることもできない主人公。やむを得ない道連れの日々が始まる。
")</f>
        <v>平凡な日々を送っていた主人公（医者）の前に、血だらけの少年が現れて助けを求める。その少年は、実は極悪非道な魔教主であった。 主人公が魔教主に手を打とうとした瞬間、少年は目を覚まし「生死の契り（少年が死ねば主人公も死ぬ、命をかけた契り）」を結んでしまう。その契りのせいでどうすることもできない主人公。やむを得ない道連れの日々が始まる。
</v>
      </c>
      <c r="W442" s="8"/>
      <c r="X442" s="8" t="str">
        <f>IFERROR(__xludf.DUMMYFUNCTION("""COMPUTED_VALUE"""),"有")</f>
        <v>有</v>
      </c>
      <c r="Y442" s="8" t="str">
        <f>IFERROR(__xludf.DUMMYFUNCTION("""COMPUTED_VALUE"""),"7/7まで1~5巻無料")</f>
        <v>7/7まで1~5巻無料</v>
      </c>
      <c r="Z442" s="7"/>
      <c r="AA442" s="7"/>
      <c r="AB442" s="7"/>
    </row>
    <row r="443" ht="15.75" customHeight="1">
      <c r="A443" s="8">
        <f>IFERROR(__xludf.DUMMYFUNCTION("""COMPUTED_VALUE"""),2036.0)</f>
        <v>2036</v>
      </c>
      <c r="B443" s="9" t="str">
        <f>IFERROR(__xludf.DUMMYFUNCTION("""COMPUTED_VALUE"""),"確定")</f>
        <v>確定</v>
      </c>
      <c r="C443" s="10">
        <f>IFERROR(__xludf.DUMMYFUNCTION("""COMPUTED_VALUE"""),45086.0)</f>
        <v>45086</v>
      </c>
      <c r="D443" s="10">
        <f>IFERROR(__xludf.DUMMYFUNCTION("""COMPUTED_VALUE"""),45086.0)</f>
        <v>45086</v>
      </c>
      <c r="E443" s="8">
        <f>IFERROR(__xludf.DUMMYFUNCTION("""COMPUTED_VALUE"""),270640.0)</f>
        <v>270640</v>
      </c>
      <c r="F443" s="9" t="str">
        <f>IFERROR(__xludf.DUMMYFUNCTION("""COMPUTED_VALUE"""),"男の幽霊を拾ったらソロ脱出しました【タテヨミ】")</f>
        <v>男の幽霊を拾ったらソロ脱出しました【タテヨミ】</v>
      </c>
      <c r="G443" s="16" t="str">
        <f>IFERROR(__xludf.DUMMYFUNCTION("""COMPUTED_VALUE"""),"1～20")</f>
        <v>1～20</v>
      </c>
      <c r="H443" s="8" t="str">
        <f>IFERROR(__xludf.DUMMYFUNCTION("""COMPUTED_VALUE"""),"九嗷嗷, 海鶄落")</f>
        <v>九嗷嗷, 海鶄落</v>
      </c>
      <c r="I443" s="8" t="str">
        <f>IFERROR(__xludf.DUMMYFUNCTION("""COMPUTED_VALUE"""),"BL")</f>
        <v>BL</v>
      </c>
      <c r="J443" s="8"/>
      <c r="K443" s="8"/>
      <c r="L443" s="8" t="str">
        <f>IFERROR(__xludf.DUMMYFUNCTION("""COMPUTED_VALUE"""),"リバース")</f>
        <v>リバース</v>
      </c>
      <c r="M443" s="12">
        <f>IFERROR(__xludf.DUMMYFUNCTION("""COMPUTED_VALUE"""),45101.0)</f>
        <v>45101</v>
      </c>
      <c r="N443" s="12">
        <f>IFERROR(__xludf.DUMMYFUNCTION("""COMPUTED_VALUE"""),45192.0)</f>
        <v>45192</v>
      </c>
      <c r="O443" s="11"/>
      <c r="P443" s="9" t="str">
        <f>IFERROR(__xludf.DUMMYFUNCTION("""COMPUTED_VALUE"""),"可")</f>
        <v>可</v>
      </c>
      <c r="Q443" s="8"/>
      <c r="R443" s="9"/>
      <c r="S443" s="8" t="str">
        <f>IFERROR(__xludf.DUMMYFUNCTION("""COMPUTED_VALUE"""),"20230609_リバース_6月新作（更新）")</f>
        <v>20230609_リバース_6月新作（更新）</v>
      </c>
      <c r="T443" s="9"/>
      <c r="U443" s="9" t="str">
        <f>IFERROR(__xludf.DUMMYFUNCTION("""COMPUTED_VALUE"""),"ⓒ BILIBILI COMICS/九嗷嗷/海鶄落")</f>
        <v>ⓒ BILIBILI COMICS/九嗷嗷/海鶄落</v>
      </c>
      <c r="V443" s="8" t="str">
        <f>IFERROR(__xludf.DUMMYFUNCTION("""COMPUTED_VALUE"""),"中国の富を象徴する神獣、貔貅（ヒキュウ）。富を象徴する神獣でありながら、四凶の一つである饕餮（トウテツ）に騙され全財産を失い無一文で食堂を営んでいる。あることをきっかけに、饕餮の気を持つ男の幽霊に出会う。ついに饕餮を見つけ失った財産を取り戻せると思ったが、その幽霊は過去が思い出せない。なんとかして記憶を取り戻そうとする貔貅と、少しずつ記憶を取り戻してもなぜか話そうとしない男の幽霊の愉快な同居ストーリー。
")</f>
        <v>中国の富を象徴する神獣、貔貅（ヒキュウ）。富を象徴する神獣でありながら、四凶の一つである饕餮（トウテツ）に騙され全財産を失い無一文で食堂を営んでいる。あることをきっかけに、饕餮の気を持つ男の幽霊に出会う。ついに饕餮を見つけ失った財産を取り戻せると思ったが、その幽霊は過去が思い出せない。なんとかして記憶を取り戻そうとする貔貅と、少しずつ記憶を取り戻してもなぜか話そうとしない男の幽霊の愉快な同居ストーリー。
</v>
      </c>
      <c r="W443" s="8"/>
      <c r="X443" s="8" t="str">
        <f>IFERROR(__xludf.DUMMYFUNCTION("""COMPUTED_VALUE"""),"有")</f>
        <v>有</v>
      </c>
      <c r="Y443" s="8" t="str">
        <f>IFERROR(__xludf.DUMMYFUNCTION("""COMPUTED_VALUE"""),"7/7まで1~5巻無料")</f>
        <v>7/7まで1~5巻無料</v>
      </c>
      <c r="Z443" s="7"/>
      <c r="AA443" s="7"/>
      <c r="AB443" s="7"/>
    </row>
    <row r="444" ht="15.75" customHeight="1">
      <c r="A444" s="8">
        <f>IFERROR(__xludf.DUMMYFUNCTION("""COMPUTED_VALUE"""),2037.0)</f>
        <v>2037</v>
      </c>
      <c r="B444" s="9" t="str">
        <f>IFERROR(__xludf.DUMMYFUNCTION("""COMPUTED_VALUE"""),"確定")</f>
        <v>確定</v>
      </c>
      <c r="C444" s="10">
        <f>IFERROR(__xludf.DUMMYFUNCTION("""COMPUTED_VALUE"""),45086.0)</f>
        <v>45086</v>
      </c>
      <c r="D444" s="10">
        <f>IFERROR(__xludf.DUMMYFUNCTION("""COMPUTED_VALUE"""),45086.0)</f>
        <v>45086</v>
      </c>
      <c r="E444" s="8">
        <f>IFERROR(__xludf.DUMMYFUNCTION("""COMPUTED_VALUE"""),270641.0)</f>
        <v>270641</v>
      </c>
      <c r="F444" s="9" t="str">
        <f>IFERROR(__xludf.DUMMYFUNCTION("""COMPUTED_VALUE"""),"会長との億の台本【タテヨミ】")</f>
        <v>会長との億の台本【タテヨミ】</v>
      </c>
      <c r="G444" s="16" t="str">
        <f>IFERROR(__xludf.DUMMYFUNCTION("""COMPUTED_VALUE"""),"1～20")</f>
        <v>1～20</v>
      </c>
      <c r="H444" s="8" t="str">
        <f>IFERROR(__xludf.DUMMYFUNCTION("""COMPUTED_VALUE"""),"一千, 原点格子漫画, 緑野千鶴,晋江文学城")</f>
        <v>一千, 原点格子漫画, 緑野千鶴,晋江文学城</v>
      </c>
      <c r="I444" s="8" t="str">
        <f>IFERROR(__xludf.DUMMYFUNCTION("""COMPUTED_VALUE"""),"BL")</f>
        <v>BL</v>
      </c>
      <c r="J444" s="8"/>
      <c r="K444" s="8"/>
      <c r="L444" s="8" t="str">
        <f>IFERROR(__xludf.DUMMYFUNCTION("""COMPUTED_VALUE"""),"リバース")</f>
        <v>リバース</v>
      </c>
      <c r="M444" s="12">
        <f>IFERROR(__xludf.DUMMYFUNCTION("""COMPUTED_VALUE"""),45101.0)</f>
        <v>45101</v>
      </c>
      <c r="N444" s="12">
        <f>IFERROR(__xludf.DUMMYFUNCTION("""COMPUTED_VALUE"""),45192.0)</f>
        <v>45192</v>
      </c>
      <c r="O444" s="11"/>
      <c r="P444" s="9" t="str">
        <f>IFERROR(__xludf.DUMMYFUNCTION("""COMPUTED_VALUE"""),"可")</f>
        <v>可</v>
      </c>
      <c r="Q444" s="8"/>
      <c r="R444" s="9"/>
      <c r="S444" s="8" t="str">
        <f>IFERROR(__xludf.DUMMYFUNCTION("""COMPUTED_VALUE"""),"20230609_リバース_6月新作（更新）")</f>
        <v>20230609_リバース_6月新作（更新）</v>
      </c>
      <c r="T444" s="9"/>
      <c r="U444" s="9" t="str">
        <f>IFERROR(__xludf.DUMMYFUNCTION("""COMPUTED_VALUE"""),"ⓒ BILIBILI COMICS/原点格子漫画/一千/緑野千鶴/晋江文学城")</f>
        <v>ⓒ BILIBILI COMICS/原点格子漫画/一千/緑野千鶴/晋江文学城</v>
      </c>
      <c r="V444" s="8" t="str">
        <f>IFERROR(__xludf.DUMMYFUNCTION("""COMPUTED_VALUE"""),"交通事故で頭を打った国沢樹。 脳損傷の影響で、自分を小説の中の主人公だと思い込んでいる樹を見た花嶋理人は、仕方なく夫の寸劇に合わせてあげることに。 理人は夫と様々な寸劇をしていくうちに、樹が今まで表に出さなかった本心を知ることになるが…
")</f>
        <v>交通事故で頭を打った国沢樹。 脳損傷の影響で、自分を小説の中の主人公だと思い込んでいる樹を見た花嶋理人は、仕方なく夫の寸劇に合わせてあげることに。 理人は夫と様々な寸劇をしていくうちに、樹が今まで表に出さなかった本心を知ることになるが…
</v>
      </c>
      <c r="W444" s="8"/>
      <c r="X444" s="8" t="str">
        <f>IFERROR(__xludf.DUMMYFUNCTION("""COMPUTED_VALUE"""),"有")</f>
        <v>有</v>
      </c>
      <c r="Y444" s="8" t="str">
        <f>IFERROR(__xludf.DUMMYFUNCTION("""COMPUTED_VALUE"""),"7/7まで1~5巻無料")</f>
        <v>7/7まで1~5巻無料</v>
      </c>
      <c r="Z444" s="7"/>
      <c r="AA444" s="7"/>
      <c r="AB444" s="7"/>
    </row>
    <row r="445" ht="15.75" customHeight="1">
      <c r="A445" s="8">
        <f>IFERROR(__xludf.DUMMYFUNCTION("""COMPUTED_VALUE"""),2038.0)</f>
        <v>2038</v>
      </c>
      <c r="B445" s="9" t="str">
        <f>IFERROR(__xludf.DUMMYFUNCTION("""COMPUTED_VALUE"""),"確定")</f>
        <v>確定</v>
      </c>
      <c r="C445" s="10">
        <f>IFERROR(__xludf.DUMMYFUNCTION("""COMPUTED_VALUE"""),45086.0)</f>
        <v>45086</v>
      </c>
      <c r="D445" s="10">
        <f>IFERROR(__xludf.DUMMYFUNCTION("""COMPUTED_VALUE"""),45086.0)</f>
        <v>45086</v>
      </c>
      <c r="E445" s="8">
        <f>IFERROR(__xludf.DUMMYFUNCTION("""COMPUTED_VALUE"""),270642.0)</f>
        <v>270642</v>
      </c>
      <c r="F445" s="9" t="str">
        <f>IFERROR(__xludf.DUMMYFUNCTION("""COMPUTED_VALUE"""),"Star★Split ～ 運命の星を探して～【タテヨミ】")</f>
        <v>Star★Split ～ 運命の星を探して～【タテヨミ】</v>
      </c>
      <c r="G445" s="16" t="str">
        <f>IFERROR(__xludf.DUMMYFUNCTION("""COMPUTED_VALUE"""),"1～20")</f>
        <v>1～20</v>
      </c>
      <c r="H445" s="8" t="str">
        <f>IFERROR(__xludf.DUMMYFUNCTION("""COMPUTED_VALUE"""),"千本")</f>
        <v>千本</v>
      </c>
      <c r="I445" s="14" t="str">
        <f>IFERROR(__xludf.DUMMYFUNCTION("""COMPUTED_VALUE"""),"少女")</f>
        <v>少女</v>
      </c>
      <c r="J445" s="8"/>
      <c r="K445" s="8"/>
      <c r="L445" s="8" t="str">
        <f>IFERROR(__xludf.DUMMYFUNCTION("""COMPUTED_VALUE"""),"リバース")</f>
        <v>リバース</v>
      </c>
      <c r="M445" s="12">
        <f>IFERROR(__xludf.DUMMYFUNCTION("""COMPUTED_VALUE"""),45101.0)</f>
        <v>45101</v>
      </c>
      <c r="N445" s="12">
        <f>IFERROR(__xludf.DUMMYFUNCTION("""COMPUTED_VALUE"""),45192.0)</f>
        <v>45192</v>
      </c>
      <c r="O445" s="11"/>
      <c r="P445" s="9" t="str">
        <f>IFERROR(__xludf.DUMMYFUNCTION("""COMPUTED_VALUE"""),"否")</f>
        <v>否</v>
      </c>
      <c r="Q445" s="8"/>
      <c r="R445" s="9"/>
      <c r="S445" s="8" t="str">
        <f>IFERROR(__xludf.DUMMYFUNCTION("""COMPUTED_VALUE"""),"20230609_リバース_6月新作（更新）")</f>
        <v>20230609_リバース_6月新作（更新）</v>
      </c>
      <c r="T445" s="9"/>
      <c r="U445" s="9" t="str">
        <f>IFERROR(__xludf.DUMMYFUNCTION("""COMPUTED_VALUE"""),"ⓒ BILIBILI COMICS/千本")</f>
        <v>ⓒ BILIBILI COMICS/千本</v>
      </c>
      <c r="V445" s="8" t="str">
        <f>IFERROR(__xludf.DUMMYFUNCTION("""COMPUTED_VALUE"""),"星のネックレスが２人の運命を変える ある日、中身が入れ替わった少年と少女 これは偶然か必然か… 戸惑いながらもお互い助け合ってそれぞれの学生生活を送る青春学園ロマンス
")</f>
        <v>星のネックレスが２人の運命を変える ある日、中身が入れ替わった少年と少女 これは偶然か必然か… 戸惑いながらもお互い助け合ってそれぞれの学生生活を送る青春学園ロマンス
</v>
      </c>
      <c r="W445" s="8"/>
      <c r="X445" s="8" t="str">
        <f>IFERROR(__xludf.DUMMYFUNCTION("""COMPUTED_VALUE"""),"有")</f>
        <v>有</v>
      </c>
      <c r="Y445" s="8" t="str">
        <f>IFERROR(__xludf.DUMMYFUNCTION("""COMPUTED_VALUE"""),"7/7まで1~5巻無料")</f>
        <v>7/7まで1~5巻無料</v>
      </c>
      <c r="Z445" s="7"/>
      <c r="AA445" s="7"/>
      <c r="AB445" s="7"/>
    </row>
    <row r="446" ht="15.75" customHeight="1">
      <c r="A446" s="8">
        <f>IFERROR(__xludf.DUMMYFUNCTION("""COMPUTED_VALUE"""),2039.0)</f>
        <v>2039</v>
      </c>
      <c r="B446" s="9" t="str">
        <f>IFERROR(__xludf.DUMMYFUNCTION("""COMPUTED_VALUE"""),"確定")</f>
        <v>確定</v>
      </c>
      <c r="C446" s="10">
        <f>IFERROR(__xludf.DUMMYFUNCTION("""COMPUTED_VALUE"""),45086.0)</f>
        <v>45086</v>
      </c>
      <c r="D446" s="10">
        <f>IFERROR(__xludf.DUMMYFUNCTION("""COMPUTED_VALUE"""),45086.0)</f>
        <v>45086</v>
      </c>
      <c r="E446" s="8">
        <f>IFERROR(__xludf.DUMMYFUNCTION("""COMPUTED_VALUE"""),270643.0)</f>
        <v>270643</v>
      </c>
      <c r="F446" s="9" t="str">
        <f>IFERROR(__xludf.DUMMYFUNCTION("""COMPUTED_VALUE"""),"秘密の底で【タテヨミ】")</f>
        <v>秘密の底で【タテヨミ】</v>
      </c>
      <c r="G446" s="16" t="str">
        <f>IFERROR(__xludf.DUMMYFUNCTION("""COMPUTED_VALUE"""),"1～20")</f>
        <v>1～20</v>
      </c>
      <c r="H446" s="8" t="str">
        <f>IFERROR(__xludf.DUMMYFUNCTION("""COMPUTED_VALUE"""),"mukky")</f>
        <v>mukky</v>
      </c>
      <c r="I446" s="14" t="str">
        <f>IFERROR(__xludf.DUMMYFUNCTION("""COMPUTED_VALUE"""),"青年")</f>
        <v>青年</v>
      </c>
      <c r="J446" s="8"/>
      <c r="K446" s="8"/>
      <c r="L446" s="8" t="str">
        <f>IFERROR(__xludf.DUMMYFUNCTION("""COMPUTED_VALUE"""),"リバース")</f>
        <v>リバース</v>
      </c>
      <c r="M446" s="12">
        <f>IFERROR(__xludf.DUMMYFUNCTION("""COMPUTED_VALUE"""),45101.0)</f>
        <v>45101</v>
      </c>
      <c r="N446" s="12">
        <f>IFERROR(__xludf.DUMMYFUNCTION("""COMPUTED_VALUE"""),45192.0)</f>
        <v>45192</v>
      </c>
      <c r="O446" s="11"/>
      <c r="P446" s="9" t="str">
        <f>IFERROR(__xludf.DUMMYFUNCTION("""COMPUTED_VALUE"""),"可")</f>
        <v>可</v>
      </c>
      <c r="Q446" s="8"/>
      <c r="R446" s="9"/>
      <c r="S446" s="8" t="str">
        <f>IFERROR(__xludf.DUMMYFUNCTION("""COMPUTED_VALUE"""),"20230609_リバース_6月新作（更新）")</f>
        <v>20230609_リバース_6月新作（更新）</v>
      </c>
      <c r="T446" s="9"/>
      <c r="U446" s="9" t="str">
        <f>IFERROR(__xludf.DUMMYFUNCTION("""COMPUTED_VALUE"""),"ⓒ BILIBILI COMICS/mukky")</f>
        <v>ⓒ BILIBILI COMICS/mukky</v>
      </c>
      <c r="V446" s="8" t="str">
        <f>IFERROR(__xludf.DUMMYFUNCTION("""COMPUTED_VALUE"""),"殺されかけた日、桃花は事故で記憶を失う。彼女を助けた蒼。優しい彼を完全に信用するようになった桃花。自分を殺そうとした犯人に復讐するために死んだふりをして蒼の家で過ごしていれば全てうまくいくと思っていたが、ある日、蒼の秘密を知ることになる。あれほど信頼していた蒼が恐ろしい殺人鬼だったとは…。桃花はこのまま獲物になるのか、それとも狩人として殺人鬼狩りに出るのか…？")</f>
        <v>殺されかけた日、桃花は事故で記憶を失う。彼女を助けた蒼。優しい彼を完全に信用するようになった桃花。自分を殺そうとした犯人に復讐するために死んだふりをして蒼の家で過ごしていれば全てうまくいくと思っていたが、ある日、蒼の秘密を知ることになる。あれほど信頼していた蒼が恐ろしい殺人鬼だったとは…。桃花はこのまま獲物になるのか、それとも狩人として殺人鬼狩りに出るのか…？</v>
      </c>
      <c r="W446" s="8"/>
      <c r="X446" s="8" t="str">
        <f>IFERROR(__xludf.DUMMYFUNCTION("""COMPUTED_VALUE"""),"有")</f>
        <v>有</v>
      </c>
      <c r="Y446" s="8" t="str">
        <f>IFERROR(__xludf.DUMMYFUNCTION("""COMPUTED_VALUE"""),"7/7まで1~5巻無料")</f>
        <v>7/7まで1~5巻無料</v>
      </c>
      <c r="Z446" s="7"/>
      <c r="AA446" s="7"/>
      <c r="AB446" s="7"/>
    </row>
    <row r="447" ht="15.75" customHeight="1">
      <c r="A447" s="8">
        <f>IFERROR(__xludf.DUMMYFUNCTION("""COMPUTED_VALUE"""),2040.0)</f>
        <v>2040</v>
      </c>
      <c r="B447" s="9" t="str">
        <f>IFERROR(__xludf.DUMMYFUNCTION("""COMPUTED_VALUE"""),"確定")</f>
        <v>確定</v>
      </c>
      <c r="C447" s="10">
        <f>IFERROR(__xludf.DUMMYFUNCTION("""COMPUTED_VALUE"""),45086.0)</f>
        <v>45086</v>
      </c>
      <c r="D447" s="10">
        <f>IFERROR(__xludf.DUMMYFUNCTION("""COMPUTED_VALUE"""),45086.0)</f>
        <v>45086</v>
      </c>
      <c r="E447" s="8">
        <f>IFERROR(__xludf.DUMMYFUNCTION("""COMPUTED_VALUE"""),270644.0)</f>
        <v>270644</v>
      </c>
      <c r="F447" s="9" t="str">
        <f>IFERROR(__xludf.DUMMYFUNCTION("""COMPUTED_VALUE"""),"あざとい彼の落とし方【タテヨミ】")</f>
        <v>あざとい彼の落とし方【タテヨミ】</v>
      </c>
      <c r="G447" s="16" t="str">
        <f>IFERROR(__xludf.DUMMYFUNCTION("""COMPUTED_VALUE"""),"1～20")</f>
        <v>1～20</v>
      </c>
      <c r="H447" s="8" t="str">
        <f>IFERROR(__xludf.DUMMYFUNCTION("""COMPUTED_VALUE"""),"困飯, cheese stick")</f>
        <v>困飯, cheese stick</v>
      </c>
      <c r="I447" s="8" t="str">
        <f>IFERROR(__xludf.DUMMYFUNCTION("""COMPUTED_VALUE"""),"BL")</f>
        <v>BL</v>
      </c>
      <c r="J447" s="8"/>
      <c r="K447" s="8"/>
      <c r="L447" s="8" t="str">
        <f>IFERROR(__xludf.DUMMYFUNCTION("""COMPUTED_VALUE"""),"リバース")</f>
        <v>リバース</v>
      </c>
      <c r="M447" s="12">
        <f>IFERROR(__xludf.DUMMYFUNCTION("""COMPUTED_VALUE"""),45101.0)</f>
        <v>45101</v>
      </c>
      <c r="N447" s="12">
        <f>IFERROR(__xludf.DUMMYFUNCTION("""COMPUTED_VALUE"""),45192.0)</f>
        <v>45192</v>
      </c>
      <c r="O447" s="11"/>
      <c r="P447" s="9" t="str">
        <f>IFERROR(__xludf.DUMMYFUNCTION("""COMPUTED_VALUE"""),"可")</f>
        <v>可</v>
      </c>
      <c r="Q447" s="8"/>
      <c r="R447" s="9"/>
      <c r="S447" s="8" t="str">
        <f>IFERROR(__xludf.DUMMYFUNCTION("""COMPUTED_VALUE"""),"20230609_リバース_6月新作（更新）")</f>
        <v>20230609_リバース_6月新作（更新）</v>
      </c>
      <c r="T447" s="9"/>
      <c r="U447" s="9" t="str">
        <f>IFERROR(__xludf.DUMMYFUNCTION("""COMPUTED_VALUE"""),"ⓒ BILIBILI COMICS/cheese stick/困飯")</f>
        <v>ⓒ BILIBILI COMICS/cheese stick/困飯</v>
      </c>
      <c r="V447" s="8" t="str">
        <f>IFERROR(__xludf.DUMMYFUNCTION("""COMPUTED_VALUE"""),"生まれてこのかた、一度もときめいたことがなく、彼女ができてもすぐに別れてしまう一平。そんな彼が、唯一好きになった女性はライバーの｢街灯の下で｣。ある日、ライブ配信を見ていた際に、彼女に喉仏があることを発見してしまう。｢彼女｣が｢彼｣かもしれないと分かっても、抵抗感どころか、好きな気持ちは、さらに大きくなっていく。悩んだ一平が、カウンセリングを受けに行くと、彼を担当してくれた精神科医こそが、まさに、そのライバーだったのだ…！一平はその事実を知らないまま、精神科医と親しくなり、ライバーへの気持ちは、だんだん先"&amp;"生へと心変わりしていく…")</f>
        <v>生まれてこのかた、一度もときめいたことがなく、彼女ができてもすぐに別れてしまう一平。そんな彼が、唯一好きになった女性はライバーの｢街灯の下で｣。ある日、ライブ配信を見ていた際に、彼女に喉仏があることを発見してしまう。｢彼女｣が｢彼｣かもしれないと分かっても、抵抗感どころか、好きな気持ちは、さらに大きくなっていく。悩んだ一平が、カウンセリングを受けに行くと、彼を担当してくれた精神科医こそが、まさに、そのライバーだったのだ…！一平はその事実を知らないまま、精神科医と親しくなり、ライバーへの気持ちは、だんだん先生へと心変わりしていく…</v>
      </c>
      <c r="W447" s="8"/>
      <c r="X447" s="8" t="str">
        <f>IFERROR(__xludf.DUMMYFUNCTION("""COMPUTED_VALUE"""),"有")</f>
        <v>有</v>
      </c>
      <c r="Y447" s="8" t="str">
        <f>IFERROR(__xludf.DUMMYFUNCTION("""COMPUTED_VALUE"""),"7/7まで1~5巻無料")</f>
        <v>7/7まで1~5巻無料</v>
      </c>
      <c r="Z447" s="7"/>
      <c r="AA447" s="7"/>
      <c r="AB447" s="7"/>
    </row>
    <row r="448" ht="15.75" customHeight="1">
      <c r="A448" s="8">
        <f>IFERROR(__xludf.DUMMYFUNCTION("""COMPUTED_VALUE"""),2041.0)</f>
        <v>2041</v>
      </c>
      <c r="B448" s="9" t="str">
        <f>IFERROR(__xludf.DUMMYFUNCTION("""COMPUTED_VALUE"""),"確定")</f>
        <v>確定</v>
      </c>
      <c r="C448" s="10">
        <f>IFERROR(__xludf.DUMMYFUNCTION("""COMPUTED_VALUE"""),45086.0)</f>
        <v>45086</v>
      </c>
      <c r="D448" s="10">
        <f>IFERROR(__xludf.DUMMYFUNCTION("""COMPUTED_VALUE"""),45086.0)</f>
        <v>45086</v>
      </c>
      <c r="E448" s="8">
        <f>IFERROR(__xludf.DUMMYFUNCTION("""COMPUTED_VALUE"""),270645.0)</f>
        <v>270645</v>
      </c>
      <c r="F448" s="9" t="str">
        <f>IFERROR(__xludf.DUMMYFUNCTION("""COMPUTED_VALUE"""),"頭を失った魔女様")</f>
        <v>頭を失った魔女様</v>
      </c>
      <c r="G448" s="11" t="str">
        <f>IFERROR(__xludf.DUMMYFUNCTION("""COMPUTED_VALUE"""),"1～10")</f>
        <v>1～10</v>
      </c>
      <c r="H448" s="8" t="str">
        <f>IFERROR(__xludf.DUMMYFUNCTION("""COMPUTED_VALUE"""),"落灰之書")</f>
        <v>落灰之書</v>
      </c>
      <c r="I448" s="14" t="str">
        <f>IFERROR(__xludf.DUMMYFUNCTION("""COMPUTED_VALUE"""),"少女")</f>
        <v>少女</v>
      </c>
      <c r="J448" s="8"/>
      <c r="K448" s="8"/>
      <c r="L448" s="8" t="str">
        <f>IFERROR(__xludf.DUMMYFUNCTION("""COMPUTED_VALUE"""),"リバース")</f>
        <v>リバース</v>
      </c>
      <c r="M448" s="12">
        <f>IFERROR(__xludf.DUMMYFUNCTION("""COMPUTED_VALUE"""),45101.0)</f>
        <v>45101</v>
      </c>
      <c r="N448" s="12">
        <f>IFERROR(__xludf.DUMMYFUNCTION("""COMPUTED_VALUE"""),45192.0)</f>
        <v>45192</v>
      </c>
      <c r="O448" s="11"/>
      <c r="P448" s="9" t="str">
        <f>IFERROR(__xludf.DUMMYFUNCTION("""COMPUTED_VALUE"""),"否")</f>
        <v>否</v>
      </c>
      <c r="Q448" s="8"/>
      <c r="R448" s="9"/>
      <c r="S448" s="8" t="str">
        <f>IFERROR(__xludf.DUMMYFUNCTION("""COMPUTED_VALUE"""),"20230609_リバース_6月新作（更新）")</f>
        <v>20230609_リバース_6月新作（更新）</v>
      </c>
      <c r="T448" s="9"/>
      <c r="U448" s="9" t="str">
        <f>IFERROR(__xludf.DUMMYFUNCTION("""COMPUTED_VALUE"""),"ⓒ BILIBILI COMICS/落灰之書/瑞獣萌工作室")</f>
        <v>ⓒ BILIBILI COMICS/落灰之書/瑞獣萌工作室</v>
      </c>
      <c r="V448" s="8" t="str">
        <f>IFERROR(__xludf.DUMMYFUNCTION("""COMPUTED_VALUE"""),"ある森の中に、人間を助けることを生きがいとする変わった魔女がいた。彼女は人間たちが自分より先に死んでしまうことに絶望し、毎晩のように涙を流していた。ある日、彼女は涙を止めるためにあることを思いつく。それはなんと…自分の頭を半分切り落とすことだった！しかし、地獄に頭の半分を捨てた彼女は、それがきっかけで地獄の王子アルロイスの怒りを買うことに…。泣き虫魔女と地獄の王子が繰り広げる、笑いあり涙ありの奇想天外ファンタジー！")</f>
        <v>ある森の中に、人間を助けることを生きがいとする変わった魔女がいた。彼女は人間たちが自分より先に死んでしまうことに絶望し、毎晩のように涙を流していた。ある日、彼女は涙を止めるためにあることを思いつく。それはなんと…自分の頭を半分切り落とすことだった！しかし、地獄に頭の半分を捨てた彼女は、それがきっかけで地獄の王子アルロイスの怒りを買うことに…。泣き虫魔女と地獄の王子が繰り広げる、笑いあり涙ありの奇想天外ファンタジー！</v>
      </c>
      <c r="W448" s="8"/>
      <c r="X448" s="8" t="str">
        <f>IFERROR(__xludf.DUMMYFUNCTION("""COMPUTED_VALUE"""),"有")</f>
        <v>有</v>
      </c>
      <c r="Y448" s="8" t="str">
        <f>IFERROR(__xludf.DUMMYFUNCTION("""COMPUTED_VALUE"""),"7/7まで1~3巻無料")</f>
        <v>7/7まで1~3巻無料</v>
      </c>
      <c r="Z448" s="7"/>
      <c r="AA448" s="7"/>
      <c r="AB448" s="7"/>
    </row>
    <row r="449" ht="15.75" customHeight="1">
      <c r="A449" s="8">
        <f>IFERROR(__xludf.DUMMYFUNCTION("""COMPUTED_VALUE"""),2046.0)</f>
        <v>2046</v>
      </c>
      <c r="B449" s="9" t="str">
        <f>IFERROR(__xludf.DUMMYFUNCTION("""COMPUTED_VALUE"""),"確定")</f>
        <v>確定</v>
      </c>
      <c r="C449" s="10">
        <f>IFERROR(__xludf.DUMMYFUNCTION("""COMPUTED_VALUE"""),45089.0)</f>
        <v>45089</v>
      </c>
      <c r="D449" s="10">
        <f>IFERROR(__xludf.DUMMYFUNCTION("""COMPUTED_VALUE"""),45089.0)</f>
        <v>45089</v>
      </c>
      <c r="E449" s="8">
        <f>IFERROR(__xludf.DUMMYFUNCTION("""COMPUTED_VALUE"""),271583.0)</f>
        <v>271583</v>
      </c>
      <c r="F449" s="9" t="str">
        <f>IFERROR(__xludf.DUMMYFUNCTION("""COMPUTED_VALUE"""),"エロ×ハラ")</f>
        <v>エロ×ハラ</v>
      </c>
      <c r="G449" s="11" t="str">
        <f>IFERROR(__xludf.DUMMYFUNCTION("""COMPUTED_VALUE"""),"1～4")</f>
        <v>1～4</v>
      </c>
      <c r="H449" s="8" t="str">
        <f>IFERROR(__xludf.DUMMYFUNCTION("""COMPUTED_VALUE"""),"Bolp")</f>
        <v>Bolp</v>
      </c>
      <c r="I449" s="8" t="str">
        <f>IFERROR(__xludf.DUMMYFUNCTION("""COMPUTED_VALUE"""),"青年")</f>
        <v>青年</v>
      </c>
      <c r="J449" s="8"/>
      <c r="K449" s="8"/>
      <c r="L449" s="8" t="str">
        <f>IFERROR(__xludf.DUMMYFUNCTION("""COMPUTED_VALUE"""),"Rush!")</f>
        <v>Rush!</v>
      </c>
      <c r="M449" s="12">
        <f>IFERROR(__xludf.DUMMYFUNCTION("""COMPUTED_VALUE"""),45135.0)</f>
        <v>45135</v>
      </c>
      <c r="N449" s="12">
        <f>IFERROR(__xludf.DUMMYFUNCTION("""COMPUTED_VALUE"""),45225.0)</f>
        <v>45225</v>
      </c>
      <c r="O449" s="11"/>
      <c r="P449" s="9" t="str">
        <f>IFERROR(__xludf.DUMMYFUNCTION("""COMPUTED_VALUE"""),"可")</f>
        <v>可</v>
      </c>
      <c r="Q449" s="8" t="str">
        <f>IFERROR(__xludf.DUMMYFUNCTION("""COMPUTED_VALUE"""),"協業レーベル『シーモア×Rush!』作品です。")</f>
        <v>協業レーベル『シーモア×Rush!』作品です。</v>
      </c>
      <c r="R449" s="9"/>
      <c r="S449" s="8" t="str">
        <f>IFERROR(__xludf.DUMMYFUNCTION("""COMPUTED_VALUE"""),"20230612_ファンギルド_エロ×ハラ")</f>
        <v>20230612_ファンギルド_エロ×ハラ</v>
      </c>
      <c r="T449" s="9"/>
      <c r="U449" s="9" t="str">
        <f>IFERROR(__xludf.DUMMYFUNCTION("""COMPUTED_VALUE"""),"©Bolp/Abyo4/TOPTOON")</f>
        <v>©Bolp/Abyo4/TOPTOON</v>
      </c>
      <c r="V449" s="8" t="str">
        <f>IFERROR(__xludf.DUMMYFUNCTION("""COMPUTED_VALUE"""),"順風満帆な人生を送る飯塚健司（いいづかけんじ）が今欲しいものは、自分好みのエロくて可愛い彼女と”優しい上司”。厳しい事で有名な課長の高杉琉莉（たかすぎるり）は健司にだけやけに当たりが強く、毎日うんざりしていた。何とか琉莉を黙らせる方法はないものか…と考え付いたのは嘘の告白！皆の前で告白し、健司の近くにいるだけで気まずくなるようにしてやろうと思っていたのに、告白した途端何故か琉莉はいつもと違う甘えた様子になって――！？会社では厳しい上司をベッドの上で思いのままにとろけさせるエッチなハラスメント生活、開始！")</f>
        <v>順風満帆な人生を送る飯塚健司（いいづかけんじ）が今欲しいものは、自分好みのエロくて可愛い彼女と”優しい上司”。厳しい事で有名な課長の高杉琉莉（たかすぎるり）は健司にだけやけに当たりが強く、毎日うんざりしていた。何とか琉莉を黙らせる方法はないものか…と考え付いたのは嘘の告白！皆の前で告白し、健司の近くにいるだけで気まずくなるようにしてやろうと思っていたのに、告白した途端何故か琉莉はいつもと違う甘えた様子になって――！？会社では厳しい上司をベッドの上で思いのままにとろけさせるエッチなハラスメント生活、開始！</v>
      </c>
      <c r="W449" s="8"/>
      <c r="X449" s="8" t="str">
        <f>IFERROR(__xludf.DUMMYFUNCTION("""COMPUTED_VALUE"""),"有")</f>
        <v>有</v>
      </c>
      <c r="Y449" s="8" t="str">
        <f>IFERROR(__xludf.DUMMYFUNCTION("""COMPUTED_VALUE"""),"8/10まで1巻無料")</f>
        <v>8/10まで1巻無料</v>
      </c>
      <c r="Z449" s="7"/>
      <c r="AA449" s="7"/>
      <c r="AB449" s="7"/>
    </row>
    <row r="450" ht="15.75" customHeight="1">
      <c r="A450" s="8">
        <f>IFERROR(__xludf.DUMMYFUNCTION("""COMPUTED_VALUE"""),2047.0)</f>
        <v>2047</v>
      </c>
      <c r="B450" s="9" t="str">
        <f>IFERROR(__xludf.DUMMYFUNCTION("""COMPUTED_VALUE"""),"確定")</f>
        <v>確定</v>
      </c>
      <c r="C450" s="10">
        <f>IFERROR(__xludf.DUMMYFUNCTION("""COMPUTED_VALUE"""),45089.0)</f>
        <v>45089</v>
      </c>
      <c r="D450" s="10">
        <f>IFERROR(__xludf.DUMMYFUNCTION("""COMPUTED_VALUE"""),45089.0)</f>
        <v>45089</v>
      </c>
      <c r="E450" s="8">
        <f>IFERROR(__xludf.DUMMYFUNCTION("""COMPUTED_VALUE"""),272085.0)</f>
        <v>272085</v>
      </c>
      <c r="F450" s="9" t="str">
        <f>IFERROR(__xludf.DUMMYFUNCTION("""COMPUTED_VALUE"""),"スリル～絶対秘密の不貞行為～")</f>
        <v>スリル～絶対秘密の不貞行為～</v>
      </c>
      <c r="G450" s="11" t="str">
        <f>IFERROR(__xludf.DUMMYFUNCTION("""COMPUTED_VALUE"""),"1～4")</f>
        <v>1～4</v>
      </c>
      <c r="H450" s="8" t="str">
        <f>IFERROR(__xludf.DUMMYFUNCTION("""COMPUTED_VALUE"""),"redcity,赤ちゃん")</f>
        <v>redcity,赤ちゃん</v>
      </c>
      <c r="I450" s="8" t="str">
        <f>IFERROR(__xludf.DUMMYFUNCTION("""COMPUTED_VALUE"""),"青年")</f>
        <v>青年</v>
      </c>
      <c r="J450" s="8"/>
      <c r="K450" s="8"/>
      <c r="L450" s="8" t="str">
        <f>IFERROR(__xludf.DUMMYFUNCTION("""COMPUTED_VALUE"""),"Rush!")</f>
        <v>Rush!</v>
      </c>
      <c r="M450" s="12">
        <f>IFERROR(__xludf.DUMMYFUNCTION("""COMPUTED_VALUE"""),45128.0)</f>
        <v>45128</v>
      </c>
      <c r="N450" s="12">
        <f>IFERROR(__xludf.DUMMYFUNCTION("""COMPUTED_VALUE"""),45155.0)</f>
        <v>45155</v>
      </c>
      <c r="O450" s="11"/>
      <c r="P450" s="9" t="str">
        <f>IFERROR(__xludf.DUMMYFUNCTION("""COMPUTED_VALUE"""),"可")</f>
        <v>可</v>
      </c>
      <c r="Q450" s="8"/>
      <c r="R450" s="9"/>
      <c r="S450" s="8" t="str">
        <f>IFERROR(__xludf.DUMMYFUNCTION("""COMPUTED_VALUE"""),"20230612_ファンギルド_スリル～絶対秘密の不貞行為～")</f>
        <v>20230612_ファンギルド_スリル～絶対秘密の不貞行為～</v>
      </c>
      <c r="T450" s="9"/>
      <c r="U450" s="9" t="str">
        <f>IFERROR(__xludf.DUMMYFUNCTION("""COMPUTED_VALUE"""),"©redcity/Akachan/TOPTOON")</f>
        <v>©redcity/Akachan/TOPTOON</v>
      </c>
      <c r="V450" s="8" t="str">
        <f>IFERROR(__xludf.DUMMYFUNCTION("""COMPUTED_VALUE"""),"「あの噂聞いた？ 地下鉄で痴漢が出るって話」大学入試を控える学生達が通う予備校内で広まった、とある一つの噂。そして、噂の痴漢は塾内のとあるクラスにいるかもしれないという。怯える塾生達であったが、通学に電車は必須。噂半分に聞き流している学生達がほとんどであった。そんな予備校に通う・瑞成（みずなり）。人当たりがよく交友関係も良好、模試では全国上位に入り込むほど成績優秀な優等生であった。果たして、一体誰が想像するだろうか…そんな彼が噂の痴漢常習犯であるなどと――。")</f>
        <v>「あの噂聞いた？ 地下鉄で痴漢が出るって話」大学入試を控える学生達が通う予備校内で広まった、とある一つの噂。そして、噂の痴漢は塾内のとあるクラスにいるかもしれないという。怯える塾生達であったが、通学に電車は必須。噂半分に聞き流している学生達がほとんどであった。そんな予備校に通う・瑞成（みずなり）。人当たりがよく交友関係も良好、模試では全国上位に入り込むほど成績優秀な優等生であった。果たして、一体誰が想像するだろうか…そんな彼が噂の痴漢常習犯であるなどと――。</v>
      </c>
      <c r="W450" s="8"/>
      <c r="X450" s="8" t="str">
        <f>IFERROR(__xludf.DUMMYFUNCTION("""COMPUTED_VALUE"""),"有")</f>
        <v>有</v>
      </c>
      <c r="Y450" s="8" t="str">
        <f>IFERROR(__xludf.DUMMYFUNCTION("""COMPUTED_VALUE"""),"P17まで")</f>
        <v>P17まで</v>
      </c>
      <c r="Z450" s="7"/>
      <c r="AA450" s="7"/>
      <c r="AB450" s="7"/>
    </row>
    <row r="451" ht="15.75" customHeight="1">
      <c r="A451" s="8">
        <f>IFERROR(__xludf.DUMMYFUNCTION("""COMPUTED_VALUE"""),2048.0)</f>
        <v>2048</v>
      </c>
      <c r="B451" s="9" t="str">
        <f>IFERROR(__xludf.DUMMYFUNCTION("""COMPUTED_VALUE"""),"確定")</f>
        <v>確定</v>
      </c>
      <c r="C451" s="10">
        <f>IFERROR(__xludf.DUMMYFUNCTION("""COMPUTED_VALUE"""),45089.0)</f>
        <v>45089</v>
      </c>
      <c r="D451" s="10">
        <f>IFERROR(__xludf.DUMMYFUNCTION("""COMPUTED_VALUE"""),45089.0)</f>
        <v>45089</v>
      </c>
      <c r="E451" s="8">
        <f>IFERROR(__xludf.DUMMYFUNCTION("""COMPUTED_VALUE"""),272081.0)</f>
        <v>272081</v>
      </c>
      <c r="F451" s="9" t="str">
        <f>IFERROR(__xludf.DUMMYFUNCTION("""COMPUTED_VALUE"""),"ひねくれ者は恋を知る")</f>
        <v>ひねくれ者は恋を知る</v>
      </c>
      <c r="G451" s="11" t="str">
        <f>IFERROR(__xludf.DUMMYFUNCTION("""COMPUTED_VALUE"""),"1～3")</f>
        <v>1～3</v>
      </c>
      <c r="H451" s="8" t="str">
        <f>IFERROR(__xludf.DUMMYFUNCTION("""COMPUTED_VALUE"""),"Naepu")</f>
        <v>Naepu</v>
      </c>
      <c r="I451" s="8" t="str">
        <f>IFERROR(__xludf.DUMMYFUNCTION("""COMPUTED_VALUE"""),"BL")</f>
        <v>BL</v>
      </c>
      <c r="J451" s="8"/>
      <c r="K451" s="8"/>
      <c r="L451" s="8" t="str">
        <f>IFERROR(__xludf.DUMMYFUNCTION("""COMPUTED_VALUE"""),"Rush!")</f>
        <v>Rush!</v>
      </c>
      <c r="M451" s="12">
        <f>IFERROR(__xludf.DUMMYFUNCTION("""COMPUTED_VALUE"""),45128.0)</f>
        <v>45128</v>
      </c>
      <c r="N451" s="12">
        <f>IFERROR(__xludf.DUMMYFUNCTION("""COMPUTED_VALUE"""),45155.0)</f>
        <v>45155</v>
      </c>
      <c r="O451" s="11"/>
      <c r="P451" s="9" t="str">
        <f>IFERROR(__xludf.DUMMYFUNCTION("""COMPUTED_VALUE"""),"可")</f>
        <v>可</v>
      </c>
      <c r="Q451" s="8"/>
      <c r="R451" s="9"/>
      <c r="S451" s="8" t="str">
        <f>IFERROR(__xludf.DUMMYFUNCTION("""COMPUTED_VALUE"""),"20230612_ファンギルド_ひねくれ者は恋を知る")</f>
        <v>20230612_ファンギルド_ひねくれ者は恋を知る</v>
      </c>
      <c r="T451" s="9"/>
      <c r="U451" s="9" t="str">
        <f>IFERROR(__xludf.DUMMYFUNCTION("""COMPUTED_VALUE"""),"©Naepu/Gogoyoziroppun/Zi")</f>
        <v>©Naepu/Gogoyoziroppun/Zi</v>
      </c>
      <c r="V451" s="8" t="str">
        <f>IFERROR(__xludf.DUMMYFUNCTION("""COMPUTED_VALUE"""),"大学の新学期が始まるとともに復学した緒方慶（おがたけい）。人付き合いが苦手な慶は同じ講義を受講する後輩を通じて、樹（いつき）と知り合う。高身長で”工学部の男神”と呼ばれるほど整った顔、かつ人当たりもよく礼儀正しい。「…俺には関係ないから」そう思っていたはずなのに、慶に対し頻繁にちょっかいを掛けてくる樹。それを疎ましく思いつつも、なぜか彼が気になって仕方がない慶は…。本心を誰にも見せなかったひねくれ者同士、そんな二人が出会い行き着く先とは――。
")</f>
        <v>大学の新学期が始まるとともに復学した緒方慶（おがたけい）。人付き合いが苦手な慶は同じ講義を受講する後輩を通じて、樹（いつき）と知り合う。高身長で”工学部の男神”と呼ばれるほど整った顔、かつ人当たりもよく礼儀正しい。「…俺には関係ないから」そう思っていたはずなのに、慶に対し頻繁にちょっかいを掛けてくる樹。それを疎ましく思いつつも、なぜか彼が気になって仕方がない慶は…。本心を誰にも見せなかったひねくれ者同士、そんな二人が出会い行き着く先とは――。
</v>
      </c>
      <c r="W451" s="8"/>
      <c r="X451" s="8" t="str">
        <f>IFERROR(__xludf.DUMMYFUNCTION("""COMPUTED_VALUE"""),"有")</f>
        <v>有</v>
      </c>
      <c r="Y451" s="8" t="str">
        <f>IFERROR(__xludf.DUMMYFUNCTION("""COMPUTED_VALUE"""),"8/8まで1巻無料")</f>
        <v>8/8まで1巻無料</v>
      </c>
      <c r="Z451" s="7"/>
      <c r="AA451" s="7"/>
      <c r="AB451" s="7"/>
    </row>
    <row r="452" ht="15.75" customHeight="1">
      <c r="A452" s="8">
        <f>IFERROR(__xludf.DUMMYFUNCTION("""COMPUTED_VALUE"""),2049.0)</f>
        <v>2049</v>
      </c>
      <c r="B452" s="9" t="str">
        <f>IFERROR(__xludf.DUMMYFUNCTION("""COMPUTED_VALUE"""),"確定")</f>
        <v>確定</v>
      </c>
      <c r="C452" s="10">
        <f>IFERROR(__xludf.DUMMYFUNCTION("""COMPUTED_VALUE"""),45089.0)</f>
        <v>45089</v>
      </c>
      <c r="D452" s="10">
        <f>IFERROR(__xludf.DUMMYFUNCTION("""COMPUTED_VALUE"""),45089.0)</f>
        <v>45089</v>
      </c>
      <c r="E452" s="8">
        <f>IFERROR(__xludf.DUMMYFUNCTION("""COMPUTED_VALUE"""),272080.0)</f>
        <v>272080</v>
      </c>
      <c r="F452" s="9" t="str">
        <f>IFERROR(__xludf.DUMMYFUNCTION("""COMPUTED_VALUE"""),"これまでも、これからも")</f>
        <v>これまでも、これからも</v>
      </c>
      <c r="G452" s="11" t="str">
        <f>IFERROR(__xludf.DUMMYFUNCTION("""COMPUTED_VALUE"""),"1～4")</f>
        <v>1～4</v>
      </c>
      <c r="H452" s="8" t="str">
        <f>IFERROR(__xludf.DUMMYFUNCTION("""COMPUTED_VALUE"""),"Munji")</f>
        <v>Munji</v>
      </c>
      <c r="I452" s="8" t="str">
        <f>IFERROR(__xludf.DUMMYFUNCTION("""COMPUTED_VALUE"""),"BL")</f>
        <v>BL</v>
      </c>
      <c r="J452" s="8"/>
      <c r="K452" s="8"/>
      <c r="L452" s="8" t="str">
        <f>IFERROR(__xludf.DUMMYFUNCTION("""COMPUTED_VALUE"""),"Rush!")</f>
        <v>Rush!</v>
      </c>
      <c r="M452" s="12">
        <f>IFERROR(__xludf.DUMMYFUNCTION("""COMPUTED_VALUE"""),45128.0)</f>
        <v>45128</v>
      </c>
      <c r="N452" s="12">
        <f>IFERROR(__xludf.DUMMYFUNCTION("""COMPUTED_VALUE"""),45155.0)</f>
        <v>45155</v>
      </c>
      <c r="O452" s="11"/>
      <c r="P452" s="9" t="str">
        <f>IFERROR(__xludf.DUMMYFUNCTION("""COMPUTED_VALUE"""),"可")</f>
        <v>可</v>
      </c>
      <c r="Q452" s="8"/>
      <c r="R452" s="9"/>
      <c r="S452" s="8" t="str">
        <f>IFERROR(__xludf.DUMMYFUNCTION("""COMPUTED_VALUE"""),"20230612_ファンギルド_これまでも、これからも")</f>
        <v>20230612_ファンギルド_これまでも、これからも</v>
      </c>
      <c r="T452" s="9"/>
      <c r="U452" s="9" t="str">
        <f>IFERROR(__xludf.DUMMYFUNCTION("""COMPUTED_VALUE"""),"©Munzi/Jou/ANA(LAPIS)")</f>
        <v>©Munzi/Jou/ANA(LAPIS)</v>
      </c>
      <c r="V452" s="8" t="str">
        <f>IFERROR(__xludf.DUMMYFUNCTION("""COMPUTED_VALUE"""),"三守尚哉（みかみなおや）と滝川康二（たきがわこうじ）は同棲してはや10年。利害関係の一致から始まった二人の関係が、ただの同居人から大切な存在へ変わるまでそう時間はかからなかった。喧嘩したり愛し合ったり、手探りで大切に形作って来た愛はこのままずっと続くと思っていたのに…自分達ではどうにもならない問題からすれ違い始める二人。お互いを好きな気持ちは変わらない筈なのに、些細な事で悩んで傷付いて…それでも離れられない二人の10年間の恋の行方は――？
")</f>
        <v>三守尚哉（みかみなおや）と滝川康二（たきがわこうじ）は同棲してはや10年。利害関係の一致から始まった二人の関係が、ただの同居人から大切な存在へ変わるまでそう時間はかからなかった。喧嘩したり愛し合ったり、手探りで大切に形作って来た愛はこのままずっと続くと思っていたのに…自分達ではどうにもならない問題からすれ違い始める二人。お互いを好きな気持ちは変わらない筈なのに、些細な事で悩んで傷付いて…それでも離れられない二人の10年間の恋の行方は――？
</v>
      </c>
      <c r="W452" s="8"/>
      <c r="X452" s="8" t="str">
        <f>IFERROR(__xludf.DUMMYFUNCTION("""COMPUTED_VALUE"""),"有")</f>
        <v>有</v>
      </c>
      <c r="Y452" s="8" t="str">
        <f>IFERROR(__xludf.DUMMYFUNCTION("""COMPUTED_VALUE"""),"P17まで")</f>
        <v>P17まで</v>
      </c>
      <c r="Z452" s="7"/>
      <c r="AA452" s="7"/>
      <c r="AB452" s="7"/>
    </row>
    <row r="453" ht="15.75" customHeight="1">
      <c r="A453" s="8">
        <f>IFERROR(__xludf.DUMMYFUNCTION("""COMPUTED_VALUE"""),2050.0)</f>
        <v>2050</v>
      </c>
      <c r="B453" s="9" t="str">
        <f>IFERROR(__xludf.DUMMYFUNCTION("""COMPUTED_VALUE"""),"確定")</f>
        <v>確定</v>
      </c>
      <c r="C453" s="10">
        <f>IFERROR(__xludf.DUMMYFUNCTION("""COMPUTED_VALUE"""),45089.0)</f>
        <v>45089</v>
      </c>
      <c r="D453" s="10">
        <f>IFERROR(__xludf.DUMMYFUNCTION("""COMPUTED_VALUE"""),45090.0)</f>
        <v>45090</v>
      </c>
      <c r="E453" s="8">
        <f>IFERROR(__xludf.DUMMYFUNCTION("""COMPUTED_VALUE"""),272180.0)</f>
        <v>272180</v>
      </c>
      <c r="F453" s="9" t="str">
        <f>IFERROR(__xludf.DUMMYFUNCTION("""COMPUTED_VALUE"""),"凰我くんの愛は尽きない")</f>
        <v>凰我くんの愛は尽きない</v>
      </c>
      <c r="G453" s="11" t="str">
        <f>IFERROR(__xludf.DUMMYFUNCTION("""COMPUTED_VALUE"""),"1～4")</f>
        <v>1～4</v>
      </c>
      <c r="H453" s="8" t="str">
        <f>IFERROR(__xludf.DUMMYFUNCTION("""COMPUTED_VALUE"""),"桜琴")</f>
        <v>桜琴</v>
      </c>
      <c r="I453" s="8" t="str">
        <f>IFERROR(__xludf.DUMMYFUNCTION("""COMPUTED_VALUE"""),"少女")</f>
        <v>少女</v>
      </c>
      <c r="J453" s="8"/>
      <c r="K453" s="8"/>
      <c r="L453" s="8" t="str">
        <f>IFERROR(__xludf.DUMMYFUNCTION("""COMPUTED_VALUE"""),"ファンギルド")</f>
        <v>ファンギルド</v>
      </c>
      <c r="M453" s="12">
        <f>IFERROR(__xludf.DUMMYFUNCTION("""COMPUTED_VALUE"""),45137.0)</f>
        <v>45137</v>
      </c>
      <c r="N453" s="12">
        <f>IFERROR(__xludf.DUMMYFUNCTION("""COMPUTED_VALUE"""),45181.0)</f>
        <v>45181</v>
      </c>
      <c r="O453" s="11"/>
      <c r="P453" s="9" t="str">
        <f>IFERROR(__xludf.DUMMYFUNCTION("""COMPUTED_VALUE"""),"可")</f>
        <v>可</v>
      </c>
      <c r="Q453" s="8"/>
      <c r="R453" s="9"/>
      <c r="S453" s="8" t="str">
        <f>IFERROR(__xludf.DUMMYFUNCTION("""COMPUTED_VALUE"""),"20230612_ファンギルド_凰我くんの愛は尽きない")</f>
        <v>20230612_ファンギルド_凰我くんの愛は尽きない</v>
      </c>
      <c r="T453" s="9"/>
      <c r="U453" s="9" t="str">
        <f>IFERROR(__xludf.DUMMYFUNCTION("""COMPUTED_VALUE"""),"©桜琴/ファンギルド")</f>
        <v>©桜琴/ファンギルド</v>
      </c>
      <c r="V453" s="8" t="str">
        <f>IFERROR(__xludf.DUMMYFUNCTION("""COMPUTED_VALUE"""),"「お前の心のサポート 俺に全部任せてほしい――」彼氏の浮気により職を失い、両親からも半ば勘当されてしまったアラサー・つばさ。貧血で行き倒れそうになっているところを強面ヤンキーお兄さんに連れ去られてしまう…！命だけは…と思っていたつばさだが、お兄さんは同級生の凰我（おうが）だったことが判明！つばさの状況を見兼ねた凰我は、自身が営むカウンセリングルームでの住み込み仕事を与えてくれ…？強面なのに癒し上手な元ヤンカウンセラーに、たっぷり尽くされちゃう！？再会した元ヤン同級生との甘い甘い同居ラブ、スタートです！")</f>
        <v>「お前の心のサポート 俺に全部任せてほしい――」彼氏の浮気により職を失い、両親からも半ば勘当されてしまったアラサー・つばさ。貧血で行き倒れそうになっているところを強面ヤンキーお兄さんに連れ去られてしまう…！命だけは…と思っていたつばさだが、お兄さんは同級生の凰我（おうが）だったことが判明！つばさの状況を見兼ねた凰我は、自身が営むカウンセリングルームでの住み込み仕事を与えてくれ…？強面なのに癒し上手な元ヤンカウンセラーに、たっぷり尽くされちゃう！？再会した元ヤン同級生との甘い甘い同居ラブ、スタートです！</v>
      </c>
      <c r="W453" s="8"/>
      <c r="X453" s="8" t="str">
        <f>IFERROR(__xludf.DUMMYFUNCTION("""COMPUTED_VALUE"""),"有")</f>
        <v>有</v>
      </c>
      <c r="Y453" s="8" t="str">
        <f>IFERROR(__xludf.DUMMYFUNCTION("""COMPUTED_VALUE"""),"8/12まで1巻無料")</f>
        <v>8/12まで1巻無料</v>
      </c>
      <c r="Z453" s="7"/>
      <c r="AA453" s="7"/>
      <c r="AB453" s="7"/>
    </row>
    <row r="454" ht="15.75" customHeight="1">
      <c r="A454" s="8">
        <f>IFERROR(__xludf.DUMMYFUNCTION("""COMPUTED_VALUE"""),2051.0)</f>
        <v>2051</v>
      </c>
      <c r="B454" s="9" t="str">
        <f>IFERROR(__xludf.DUMMYFUNCTION("""COMPUTED_VALUE"""),"確定")</f>
        <v>確定</v>
      </c>
      <c r="C454" s="10">
        <f>IFERROR(__xludf.DUMMYFUNCTION("""COMPUTED_VALUE"""),45089.0)</f>
        <v>45089</v>
      </c>
      <c r="D454" s="10">
        <f>IFERROR(__xludf.DUMMYFUNCTION("""COMPUTED_VALUE"""),45089.0)</f>
        <v>45089</v>
      </c>
      <c r="E454" s="8">
        <f>IFERROR(__xludf.DUMMYFUNCTION("""COMPUTED_VALUE"""),254952.0)</f>
        <v>254952</v>
      </c>
      <c r="F454" s="9" t="str">
        <f>IFERROR(__xludf.DUMMYFUNCTION("""COMPUTED_VALUE"""),"ニンジンありますか？(フルカラー)")</f>
        <v>ニンジンありますか？(フルカラー)</v>
      </c>
      <c r="G454" s="11" t="str">
        <f>IFERROR(__xludf.DUMMYFUNCTION("""COMPUTED_VALUE"""),"1～3")</f>
        <v>1～3</v>
      </c>
      <c r="H454" s="8" t="str">
        <f>IFERROR(__xludf.DUMMYFUNCTION("""COMPUTED_VALUE"""),"JAYJAY,HATO")</f>
        <v>JAYJAY,HATO</v>
      </c>
      <c r="I454" s="14" t="str">
        <f>IFERROR(__xludf.DUMMYFUNCTION("""COMPUTED_VALUE"""),"BL")</f>
        <v>BL</v>
      </c>
      <c r="J454" s="8"/>
      <c r="K454" s="8"/>
      <c r="L454" s="8" t="str">
        <f>IFERROR(__xludf.DUMMYFUNCTION("""COMPUTED_VALUE"""),"ソルマーレ編集部")</f>
        <v>ソルマーレ編集部</v>
      </c>
      <c r="M454" s="12">
        <f>IFERROR(__xludf.DUMMYFUNCTION("""COMPUTED_VALUE"""),45122.0)</f>
        <v>45122</v>
      </c>
      <c r="N454" s="12">
        <f>IFERROR(__xludf.DUMMYFUNCTION("""COMPUTED_VALUE"""),45183.0)</f>
        <v>45183</v>
      </c>
      <c r="O454" s="11"/>
      <c r="P454" s="9" t="str">
        <f>IFERROR(__xludf.DUMMYFUNCTION("""COMPUTED_VALUE"""),"可")</f>
        <v>可</v>
      </c>
      <c r="Q454" s="8"/>
      <c r="R454" s="9"/>
      <c r="S454" s="8" t="str">
        <f>IFERROR(__xludf.DUMMYFUNCTION("""COMPUTED_VALUE"""),"20230612_ソルマーレ編集部_ニンジンありますか？（フルカラー）")</f>
        <v>20230612_ソルマーレ編集部_ニンジンありますか？（フルカラー）</v>
      </c>
      <c r="T454" s="15"/>
      <c r="U454" s="9" t="str">
        <f>IFERROR(__xludf.DUMMYFUNCTION("""COMPUTED_VALUE"""),"Ⓒ HATO/JAYJAY/ミスターブルー/シーモアコミックス")</f>
        <v>Ⓒ HATO/JAYJAY/ミスターブルー/シーモアコミックス</v>
      </c>
      <c r="V454" s="8" t="str">
        <f>IFERROR(__xludf.DUMMYFUNCTION("""COMPUTED_VALUE"""),"無類のイケメン好きな大学生・亮太（りょうた）が最近気になっているのは、舎弟を従えて通学し、裏社会の人だと噂されているアラサー大学生・篠田（しのだ）。偶然同じマンションに住んでいることがわかり、お近づきになりたいと思っていたら――「早く宝石を探して持ってこい…さもなくばお前は犬の餌になる」ある日、篠田の本業に関わる貴重な宝石を紛失してしまった亮太は、彼に脅され一緒に捜索することに!? 親しくなりたいとは思っていたけれど、何やら不穏な展開に…??
ダークな裏の顔を持つ強面イケメン×天然大学生のデンジャラス・ラ"&amp;"ブ！【フィカス】")</f>
        <v>無類のイケメン好きな大学生・亮太（りょうた）が最近気になっているのは、舎弟を従えて通学し、裏社会の人だと噂されているアラサー大学生・篠田（しのだ）。偶然同じマンションに住んでいることがわかり、お近づきになりたいと思っていたら――「早く宝石を探して持ってこい…さもなくばお前は犬の餌になる」ある日、篠田の本業に関わる貴重な宝石を紛失してしまった亮太は、彼に脅され一緒に捜索することに!? 親しくなりたいとは思っていたけれど、何やら不穏な展開に…??
ダークな裏の顔を持つ強面イケメン×天然大学生のデンジャラス・ラブ！【フィカス】</v>
      </c>
      <c r="W454" s="8"/>
      <c r="X454" s="8" t="str">
        <f>IFERROR(__xludf.DUMMYFUNCTION("""COMPUTED_VALUE"""),"有")</f>
        <v>有</v>
      </c>
      <c r="Y454" s="8" t="str">
        <f>IFERROR(__xludf.DUMMYFUNCTION("""COMPUTED_VALUE"""),"P16まで")</f>
        <v>P16まで</v>
      </c>
      <c r="Z454" s="7"/>
      <c r="AA454" s="7"/>
      <c r="AB454" s="7"/>
    </row>
    <row r="455" ht="15.75" customHeight="1">
      <c r="A455" s="8">
        <f>IFERROR(__xludf.DUMMYFUNCTION("""COMPUTED_VALUE"""),2052.0)</f>
        <v>2052</v>
      </c>
      <c r="B455" s="9" t="str">
        <f>IFERROR(__xludf.DUMMYFUNCTION("""COMPUTED_VALUE"""),"確定")</f>
        <v>確定</v>
      </c>
      <c r="C455" s="10">
        <f>IFERROR(__xludf.DUMMYFUNCTION("""COMPUTED_VALUE"""),45089.0)</f>
        <v>45089</v>
      </c>
      <c r="D455" s="10">
        <f>IFERROR(__xludf.DUMMYFUNCTION("""COMPUTED_VALUE"""),45089.0)</f>
        <v>45089</v>
      </c>
      <c r="E455" s="8">
        <f>IFERROR(__xludf.DUMMYFUNCTION("""COMPUTED_VALUE"""),254953.0)</f>
        <v>254953</v>
      </c>
      <c r="F455" s="9" t="str">
        <f>IFERROR(__xludf.DUMMYFUNCTION("""COMPUTED_VALUE"""),"ニンジンありますか？【タテヨミ】")</f>
        <v>ニンジンありますか？【タテヨミ】</v>
      </c>
      <c r="G455" s="16" t="str">
        <f>IFERROR(__xludf.DUMMYFUNCTION("""COMPUTED_VALUE"""),"1～12")</f>
        <v>1～12</v>
      </c>
      <c r="H455" s="8" t="str">
        <f>IFERROR(__xludf.DUMMYFUNCTION("""COMPUTED_VALUE"""),"JAYJAY,HATO")</f>
        <v>JAYJAY,HATO</v>
      </c>
      <c r="I455" s="14" t="str">
        <f>IFERROR(__xludf.DUMMYFUNCTION("""COMPUTED_VALUE"""),"BL")</f>
        <v>BL</v>
      </c>
      <c r="J455" s="8"/>
      <c r="K455" s="8"/>
      <c r="L455" s="8" t="str">
        <f>IFERROR(__xludf.DUMMYFUNCTION("""COMPUTED_VALUE"""),"ソルマーレ編集部")</f>
        <v>ソルマーレ編集部</v>
      </c>
      <c r="M455" s="12">
        <f>IFERROR(__xludf.DUMMYFUNCTION("""COMPUTED_VALUE"""),45122.0)</f>
        <v>45122</v>
      </c>
      <c r="N455" s="12">
        <f>IFERROR(__xludf.DUMMYFUNCTION("""COMPUTED_VALUE"""),45183.0)</f>
        <v>45183</v>
      </c>
      <c r="O455" s="11"/>
      <c r="P455" s="9" t="str">
        <f>IFERROR(__xludf.DUMMYFUNCTION("""COMPUTED_VALUE"""),"可")</f>
        <v>可</v>
      </c>
      <c r="Q455" s="8" t="str">
        <f>IFERROR(__xludf.DUMMYFUNCTION("""COMPUTED_VALUE"""),"コマサム等素材は「254952　ニンジンありますか？（フルカラー）」のほうをお使いください。&lt;BR&gt;バナー制作はフルカラー版の素材を利用して問題ございません。&lt;BR&gt;")</f>
        <v>コマサム等素材は「254952　ニンジンありますか？（フルカラー）」のほうをお使いください。&lt;BR&gt;バナー制作はフルカラー版の素材を利用して問題ございません。&lt;BR&gt;</v>
      </c>
      <c r="R455" s="9"/>
      <c r="S455" s="8" t="str">
        <f>IFERROR(__xludf.DUMMYFUNCTION("""COMPUTED_VALUE"""),"20230612_ソルマーレ編集部_ニンジンありますか？【タテヨミ】")</f>
        <v>20230612_ソルマーレ編集部_ニンジンありますか？【タテヨミ】</v>
      </c>
      <c r="T455" s="15"/>
      <c r="U455" s="9" t="str">
        <f>IFERROR(__xludf.DUMMYFUNCTION("""COMPUTED_VALUE"""),"Ⓒ HATO/JAYJAY/ミスターブルー/シーモアコミックス")</f>
        <v>Ⓒ HATO/JAYJAY/ミスターブルー/シーモアコミックス</v>
      </c>
      <c r="V455" s="8" t="str">
        <f>IFERROR(__xludf.DUMMYFUNCTION("""COMPUTED_VALUE"""),"無類のイケメン好きな大学生・亮太（りょうた）が最近気になっているのは、舎弟を従えて通学し、裏社会の人だと噂されているアラサー大学生・篠田（しのだ）。偶然同じマンションに住んでいることがわかり、お近づきになりたいと思っていたら――「早く宝石を探して持ってこい…さもなくばお前は犬の餌になる」ある日、篠田の本業に関わる貴重な宝石を紛失してしまった亮太は、彼に脅され一緒に捜索することに!? 親しくなりたいとは思っていたけれど、何やら不穏な展開に…??
ダークな裏の顔を持つ強面イケメン×天然大学生のデンジャラス・ラ"&amp;"ブ！【フィカス】")</f>
        <v>無類のイケメン好きな大学生・亮太（りょうた）が最近気になっているのは、舎弟を従えて通学し、裏社会の人だと噂されているアラサー大学生・篠田（しのだ）。偶然同じマンションに住んでいることがわかり、お近づきになりたいと思っていたら――「早く宝石を探して持ってこい…さもなくばお前は犬の餌になる」ある日、篠田の本業に関わる貴重な宝石を紛失してしまった亮太は、彼に脅され一緒に捜索することに!? 親しくなりたいとは思っていたけれど、何やら不穏な展開に…??
ダークな裏の顔を持つ強面イケメン×天然大学生のデンジャラス・ラブ！【フィカス】</v>
      </c>
      <c r="W455" s="8"/>
      <c r="X455" s="8" t="str">
        <f>IFERROR(__xludf.DUMMYFUNCTION("""COMPUTED_VALUE"""),"有")</f>
        <v>有</v>
      </c>
      <c r="Y455" s="8" t="str">
        <f>IFERROR(__xludf.DUMMYFUNCTION("""COMPUTED_VALUE"""),"P20まで")</f>
        <v>P20まで</v>
      </c>
      <c r="Z455" s="7"/>
      <c r="AA455" s="7"/>
      <c r="AB455" s="7"/>
    </row>
    <row r="456" ht="15.75" customHeight="1">
      <c r="A456" s="8">
        <f>IFERROR(__xludf.DUMMYFUNCTION("""COMPUTED_VALUE"""),2053.0)</f>
        <v>2053</v>
      </c>
      <c r="B456" s="9" t="str">
        <f>IFERROR(__xludf.DUMMYFUNCTION("""COMPUTED_VALUE"""),"確定")</f>
        <v>確定</v>
      </c>
      <c r="C456" s="10">
        <f>IFERROR(__xludf.DUMMYFUNCTION("""COMPUTED_VALUE"""),45089.0)</f>
        <v>45089</v>
      </c>
      <c r="D456" s="10">
        <f>IFERROR(__xludf.DUMMYFUNCTION("""COMPUTED_VALUE"""),45089.0)</f>
        <v>45089</v>
      </c>
      <c r="E456" s="8">
        <f>IFERROR(__xludf.DUMMYFUNCTION("""COMPUTED_VALUE"""),257774.0)</f>
        <v>257774</v>
      </c>
      <c r="F456" s="9" t="str">
        <f>IFERROR(__xludf.DUMMYFUNCTION("""COMPUTED_VALUE"""),"レインドロップ(フルカラー)")</f>
        <v>レインドロップ(フルカラー)</v>
      </c>
      <c r="G456" s="11" t="str">
        <f>IFERROR(__xludf.DUMMYFUNCTION("""COMPUTED_VALUE"""),"1～3")</f>
        <v>1～3</v>
      </c>
      <c r="H456" s="8" t="str">
        <f>IFERROR(__xludf.DUMMYFUNCTION("""COMPUTED_VALUE"""),"YAHO,geumsun")</f>
        <v>YAHO,geumsun</v>
      </c>
      <c r="I456" s="14" t="str">
        <f>IFERROR(__xludf.DUMMYFUNCTION("""COMPUTED_VALUE"""),"BL")</f>
        <v>BL</v>
      </c>
      <c r="J456" s="8"/>
      <c r="K456" s="8"/>
      <c r="L456" s="8" t="str">
        <f>IFERROR(__xludf.DUMMYFUNCTION("""COMPUTED_VALUE"""),"ソルマーレ編集部")</f>
        <v>ソルマーレ編集部</v>
      </c>
      <c r="M456" s="12">
        <f>IFERROR(__xludf.DUMMYFUNCTION("""COMPUTED_VALUE"""),45122.0)</f>
        <v>45122</v>
      </c>
      <c r="N456" s="12">
        <f>IFERROR(__xludf.DUMMYFUNCTION("""COMPUTED_VALUE"""),45183.0)</f>
        <v>45183</v>
      </c>
      <c r="O456" s="11"/>
      <c r="P456" s="9" t="str">
        <f>IFERROR(__xludf.DUMMYFUNCTION("""COMPUTED_VALUE"""),"可")</f>
        <v>可</v>
      </c>
      <c r="Q456" s="8"/>
      <c r="R456" s="9"/>
      <c r="S456" s="8" t="str">
        <f>IFERROR(__xludf.DUMMYFUNCTION("""COMPUTED_VALUE"""),"20230612_ソルマーレ編集部_レインドロップ（フルカラー）")</f>
        <v>20230612_ソルマーレ編集部_レインドロップ（フルカラー）</v>
      </c>
      <c r="T456" s="15"/>
      <c r="U456" s="9" t="str">
        <f>IFERROR(__xludf.DUMMYFUNCTION("""COMPUTED_VALUE"""),"Ⓒ YAHO/geumsun/ミスターブルー/シーモアコミックス")</f>
        <v>Ⓒ YAHO/geumsun/ミスターブルー/シーモアコミックス</v>
      </c>
      <c r="V456" s="8" t="str">
        <f>IFERROR(__xludf.DUMMYFUNCTION("""COMPUTED_VALUE"""),"海外留学から2年ぶりに帰国した剛が姉のマンションを訪ねると、出てきたのは半裸のイケメンだった。外出した姉の帰りを謎のイケメンと二人きりで待つことに。ソファに座る剛のすぐ隣に腰を降ろすイケメンの距離感に、気まずい空気を感じながらも思わずその美貌の横顔に見惚れてしまう。するとイケメンに突然押し倒され――!?【フィカス】
")</f>
        <v>海外留学から2年ぶりに帰国した剛が姉のマンションを訪ねると、出てきたのは半裸のイケメンだった。外出した姉の帰りを謎のイケメンと二人きりで待つことに。ソファに座る剛のすぐ隣に腰を降ろすイケメンの距離感に、気まずい空気を感じながらも思わずその美貌の横顔に見惚れてしまう。するとイケメンに突然押し倒され――!?【フィカス】
</v>
      </c>
      <c r="W456" s="8"/>
      <c r="X456" s="8" t="str">
        <f>IFERROR(__xludf.DUMMYFUNCTION("""COMPUTED_VALUE"""),"有")</f>
        <v>有</v>
      </c>
      <c r="Y456" s="8" t="str">
        <f>IFERROR(__xludf.DUMMYFUNCTION("""COMPUTED_VALUE"""),"P8まで")</f>
        <v>P8まで</v>
      </c>
      <c r="Z456" s="7"/>
      <c r="AA456" s="7"/>
      <c r="AB456" s="7"/>
    </row>
    <row r="457" ht="15.75" customHeight="1">
      <c r="A457" s="8">
        <f>IFERROR(__xludf.DUMMYFUNCTION("""COMPUTED_VALUE"""),2054.0)</f>
        <v>2054</v>
      </c>
      <c r="B457" s="9" t="str">
        <f>IFERROR(__xludf.DUMMYFUNCTION("""COMPUTED_VALUE"""),"確定")</f>
        <v>確定</v>
      </c>
      <c r="C457" s="10">
        <f>IFERROR(__xludf.DUMMYFUNCTION("""COMPUTED_VALUE"""),45089.0)</f>
        <v>45089</v>
      </c>
      <c r="D457" s="10">
        <f>IFERROR(__xludf.DUMMYFUNCTION("""COMPUTED_VALUE"""),45089.0)</f>
        <v>45089</v>
      </c>
      <c r="E457" s="8">
        <f>IFERROR(__xludf.DUMMYFUNCTION("""COMPUTED_VALUE"""),257775.0)</f>
        <v>257775</v>
      </c>
      <c r="F457" s="9" t="str">
        <f>IFERROR(__xludf.DUMMYFUNCTION("""COMPUTED_VALUE"""),"レインドロップ【タテヨミ】")</f>
        <v>レインドロップ【タテヨミ】</v>
      </c>
      <c r="G457" s="16" t="str">
        <f>IFERROR(__xludf.DUMMYFUNCTION("""COMPUTED_VALUE"""),"1～12")</f>
        <v>1～12</v>
      </c>
      <c r="H457" s="8" t="str">
        <f>IFERROR(__xludf.DUMMYFUNCTION("""COMPUTED_VALUE"""),"YAHO,geumsun")</f>
        <v>YAHO,geumsun</v>
      </c>
      <c r="I457" s="14" t="str">
        <f>IFERROR(__xludf.DUMMYFUNCTION("""COMPUTED_VALUE"""),"BL")</f>
        <v>BL</v>
      </c>
      <c r="J457" s="8"/>
      <c r="K457" s="8"/>
      <c r="L457" s="8" t="str">
        <f>IFERROR(__xludf.DUMMYFUNCTION("""COMPUTED_VALUE"""),"ソルマーレ編集部")</f>
        <v>ソルマーレ編集部</v>
      </c>
      <c r="M457" s="12">
        <f>IFERROR(__xludf.DUMMYFUNCTION("""COMPUTED_VALUE"""),45122.0)</f>
        <v>45122</v>
      </c>
      <c r="N457" s="12">
        <f>IFERROR(__xludf.DUMMYFUNCTION("""COMPUTED_VALUE"""),45183.0)</f>
        <v>45183</v>
      </c>
      <c r="O457" s="11"/>
      <c r="P457" s="9" t="str">
        <f>IFERROR(__xludf.DUMMYFUNCTION("""COMPUTED_VALUE"""),"可")</f>
        <v>可</v>
      </c>
      <c r="Q457" s="8" t="str">
        <f>IFERROR(__xludf.DUMMYFUNCTION("""COMPUTED_VALUE"""),"コマサム等素材は「257774　レインドロップ（フルカラー）」のほうをお使いください。&lt;BR&gt;バナー制作はフルカラー版の素材を利用して問題ございません。&lt;BR&gt;")</f>
        <v>コマサム等素材は「257774　レインドロップ（フルカラー）」のほうをお使いください。&lt;BR&gt;バナー制作はフルカラー版の素材を利用して問題ございません。&lt;BR&gt;</v>
      </c>
      <c r="R457" s="9"/>
      <c r="S457" s="8" t="str">
        <f>IFERROR(__xludf.DUMMYFUNCTION("""COMPUTED_VALUE"""),"20230612_ソルマーレ編集部_レインドロップ【タテヨミ】")</f>
        <v>20230612_ソルマーレ編集部_レインドロップ【タテヨミ】</v>
      </c>
      <c r="T457" s="15"/>
      <c r="U457" s="9" t="str">
        <f>IFERROR(__xludf.DUMMYFUNCTION("""COMPUTED_VALUE"""),"Ⓒ YAHO/geumsun/ミスターブルー/シーモアコミックス")</f>
        <v>Ⓒ YAHO/geumsun/ミスターブルー/シーモアコミックス</v>
      </c>
      <c r="V457" s="8" t="str">
        <f>IFERROR(__xludf.DUMMYFUNCTION("""COMPUTED_VALUE"""),"海外留学から2年ぶりに帰国した剛が姉のマンションを訪ねると、出てきたのは半裸のイケメンだった。外出した姉の帰りを謎のイケメンと二人きりで待つことに。ソファに座る剛のすぐ隣に腰を降ろすイケメンの距離感に、気まずい空気を感じながらも思わずその美貌の横顔に見惚れてしまう。するとイケメンに突然押し倒され――!?【フィカス】
")</f>
        <v>海外留学から2年ぶりに帰国した剛が姉のマンションを訪ねると、出てきたのは半裸のイケメンだった。外出した姉の帰りを謎のイケメンと二人きりで待つことに。ソファに座る剛のすぐ隣に腰を降ろすイケメンの距離感に、気まずい空気を感じながらも思わずその美貌の横顔に見惚れてしまう。するとイケメンに突然押し倒され――!?【フィカス】
</v>
      </c>
      <c r="W457" s="8"/>
      <c r="X457" s="8" t="str">
        <f>IFERROR(__xludf.DUMMYFUNCTION("""COMPUTED_VALUE"""),"有")</f>
        <v>有</v>
      </c>
      <c r="Y457" s="8" t="str">
        <f>IFERROR(__xludf.DUMMYFUNCTION("""COMPUTED_VALUE"""),"P22まで")</f>
        <v>P22まで</v>
      </c>
      <c r="Z457" s="7"/>
      <c r="AA457" s="7"/>
      <c r="AB457" s="7"/>
    </row>
    <row r="458" ht="15.75" customHeight="1">
      <c r="A458" s="8">
        <f>IFERROR(__xludf.DUMMYFUNCTION("""COMPUTED_VALUE"""),2055.0)</f>
        <v>2055</v>
      </c>
      <c r="B458" s="9" t="str">
        <f>IFERROR(__xludf.DUMMYFUNCTION("""COMPUTED_VALUE"""),"確定")</f>
        <v>確定</v>
      </c>
      <c r="C458" s="10">
        <f>IFERROR(__xludf.DUMMYFUNCTION("""COMPUTED_VALUE"""),45089.0)</f>
        <v>45089</v>
      </c>
      <c r="D458" s="10">
        <f>IFERROR(__xludf.DUMMYFUNCTION("""COMPUTED_VALUE"""),45089.0)</f>
        <v>45089</v>
      </c>
      <c r="E458" s="8">
        <f>IFERROR(__xludf.DUMMYFUNCTION("""COMPUTED_VALUE"""),263132.0)</f>
        <v>263132</v>
      </c>
      <c r="F458" s="9" t="str">
        <f>IFERROR(__xludf.DUMMYFUNCTION("""COMPUTED_VALUE"""),"冥界の王の嫁")</f>
        <v>冥界の王の嫁</v>
      </c>
      <c r="G458" s="11" t="str">
        <f>IFERROR(__xludf.DUMMYFUNCTION("""COMPUTED_VALUE"""),"1～3")</f>
        <v>1～3</v>
      </c>
      <c r="H458" s="8" t="str">
        <f>IFERROR(__xludf.DUMMYFUNCTION("""COMPUTED_VALUE"""),"瀬緒ひかる")</f>
        <v>瀬緒ひかる</v>
      </c>
      <c r="I458" s="14" t="str">
        <f>IFERROR(__xludf.DUMMYFUNCTION("""COMPUTED_VALUE"""),"少女")</f>
        <v>少女</v>
      </c>
      <c r="J458" s="8"/>
      <c r="K458" s="8"/>
      <c r="L458" s="8" t="str">
        <f>IFERROR(__xludf.DUMMYFUNCTION("""COMPUTED_VALUE"""),"ソルマーレ編集部")</f>
        <v>ソルマーレ編集部</v>
      </c>
      <c r="M458" s="12">
        <f>IFERROR(__xludf.DUMMYFUNCTION("""COMPUTED_VALUE"""),45122.0)</f>
        <v>45122</v>
      </c>
      <c r="N458" s="12">
        <f>IFERROR(__xludf.DUMMYFUNCTION("""COMPUTED_VALUE"""),45218.0)</f>
        <v>45218</v>
      </c>
      <c r="O458" s="11"/>
      <c r="P458" s="9" t="str">
        <f>IFERROR(__xludf.DUMMYFUNCTION("""COMPUTED_VALUE"""),"可")</f>
        <v>可</v>
      </c>
      <c r="Q458" s="8"/>
      <c r="R458" s="9"/>
      <c r="S458" s="8" t="str">
        <f>IFERROR(__xludf.DUMMYFUNCTION("""COMPUTED_VALUE"""),"20230612_ソルマーレ編集部_冥界の王の嫁")</f>
        <v>20230612_ソルマーレ編集部_冥界の王の嫁</v>
      </c>
      <c r="T458" s="15"/>
      <c r="U458" s="9" t="str">
        <f>IFERROR(__xludf.DUMMYFUNCTION("""COMPUTED_VALUE"""),"Ⓒ 瀬緒ひかる/シーモアコミックス")</f>
        <v>Ⓒ 瀬緒ひかる/シーモアコミックス</v>
      </c>
      <c r="V458" s="8" t="str">
        <f>IFERROR(__xludf.DUMMYFUNCTION("""COMPUTED_VALUE"""),"「帰る場所がないならここに置いてやろう」その男は艶やかなえんじ色の髪で、この世のものとは思えないほど美しかった――…。
政財界の要人も通う高級料亭・花乃屋で働く菊花(きくか)は、ここの当主と愛人の子。優しくて大好きだった母親は体が弱く、早くに亡くなってしまった。そこからは義母と義妹からのいじめに耐えながら懸命に仲居として働く毎日。「何があっても人を恨まないで。ずっと笑顔でいれば大丈夫」母との約束を守る菊花。しかし義妹のいじめはエスカレートしていき、ついに夜の山奥に捨てられてしまう。絶望の中、菊花がたどり"&amp;"着いたのは「地獄の入り口」と町で噂されている大きな屋敷。しかしそこにいたのは美しく優しい男・焔(ほむら)だった。しかも何故か彼は菊花をすごく甘やかしてくれて――…!? 【恋するソワレ】")</f>
        <v>「帰る場所がないならここに置いてやろう」その男は艶やかなえんじ色の髪で、この世のものとは思えないほど美しかった――…。
政財界の要人も通う高級料亭・花乃屋で働く菊花(きくか)は、ここの当主と愛人の子。優しくて大好きだった母親は体が弱く、早くに亡くなってしまった。そこからは義母と義妹からのいじめに耐えながら懸命に仲居として働く毎日。「何があっても人を恨まないで。ずっと笑顔でいれば大丈夫」母との約束を守る菊花。しかし義妹のいじめはエスカレートしていき、ついに夜の山奥に捨てられてしまう。絶望の中、菊花がたどり着いたのは「地獄の入り口」と町で噂されている大きな屋敷。しかしそこにいたのは美しく優しい男・焔(ほむら)だった。しかも何故か彼は菊花をすごく甘やかしてくれて――…!? 【恋するソワレ】</v>
      </c>
      <c r="W458" s="8"/>
      <c r="X458" s="8" t="str">
        <f>IFERROR(__xludf.DUMMYFUNCTION("""COMPUTED_VALUE"""),"有")</f>
        <v>有</v>
      </c>
      <c r="Y458" s="8" t="str">
        <f>IFERROR(__xludf.DUMMYFUNCTION("""COMPUTED_VALUE"""),"7/28まで1巻無料")</f>
        <v>7/28まで1巻無料</v>
      </c>
      <c r="Z458" s="7"/>
      <c r="AA458" s="7"/>
      <c r="AB458" s="7"/>
    </row>
    <row r="459" ht="15.75" customHeight="1">
      <c r="A459" s="8">
        <f>IFERROR(__xludf.DUMMYFUNCTION("""COMPUTED_VALUE"""),1794.0)</f>
        <v>1794</v>
      </c>
      <c r="B459" s="9" t="str">
        <f>IFERROR(__xludf.DUMMYFUNCTION("""COMPUTED_VALUE"""),"確定")</f>
        <v>確定</v>
      </c>
      <c r="C459" s="10">
        <f>IFERROR(__xludf.DUMMYFUNCTION("""COMPUTED_VALUE"""),44995.0)</f>
        <v>44995</v>
      </c>
      <c r="D459" s="10">
        <f>IFERROR(__xludf.DUMMYFUNCTION("""COMPUTED_VALUE"""),45089.0)</f>
        <v>45089</v>
      </c>
      <c r="E459" s="8">
        <f>IFERROR(__xludf.DUMMYFUNCTION("""COMPUTED_VALUE"""),268175.0)</f>
        <v>268175</v>
      </c>
      <c r="F459" s="9" t="str">
        <f>IFERROR(__xludf.DUMMYFUNCTION("""COMPUTED_VALUE"""),"恥ずかしいトコ、全部見せて～溺愛Domの甘美な支配～")</f>
        <v>恥ずかしいトコ、全部見せて～溺愛Domの甘美な支配～</v>
      </c>
      <c r="G459" s="11" t="str">
        <f>IFERROR(__xludf.DUMMYFUNCTION("""COMPUTED_VALUE"""),"1～2")</f>
        <v>1～2</v>
      </c>
      <c r="H459" s="8" t="str">
        <f>IFERROR(__xludf.DUMMYFUNCTION("""COMPUTED_VALUE"""),"小鳥遊そら")</f>
        <v>小鳥遊そら</v>
      </c>
      <c r="I459" s="8" t="str">
        <f>IFERROR(__xludf.DUMMYFUNCTION("""COMPUTED_VALUE"""),"TL")</f>
        <v>TL</v>
      </c>
      <c r="J459" s="8"/>
      <c r="K459" s="8"/>
      <c r="L459" s="8" t="str">
        <f>IFERROR(__xludf.DUMMYFUNCTION("""COMPUTED_VALUE"""),"リブレ")</f>
        <v>リブレ</v>
      </c>
      <c r="M459" s="12">
        <f>IFERROR(__xludf.DUMMYFUNCTION("""COMPUTED_VALUE"""),45071.0)</f>
        <v>45071</v>
      </c>
      <c r="N459" s="12">
        <f>IFERROR(__xludf.DUMMYFUNCTION("""COMPUTED_VALUE"""),45105.0)</f>
        <v>45105</v>
      </c>
      <c r="O459" s="11"/>
      <c r="P459" s="9" t="str">
        <f>IFERROR(__xludf.DUMMYFUNCTION("""COMPUTED_VALUE"""),"可")</f>
        <v>可</v>
      </c>
      <c r="Q459" s="8" t="str">
        <f>IFERROR(__xludf.DUMMYFUNCTION("""COMPUTED_VALUE"""),"広告コミットOK（3/16）
タイトル名等決定しましたので更新しました（4/12）")</f>
        <v>広告コミットOK（3/16）
タイトル名等決定しましたので更新しました（4/12）</v>
      </c>
      <c r="R459" s="9"/>
      <c r="S459" s="8" t="str">
        <f>IFERROR(__xludf.DUMMYFUNCTION("""COMPUTED_VALUE"""),"20230310_リブレ_小鳥遊そら先生")</f>
        <v>20230310_リブレ_小鳥遊そら先生</v>
      </c>
      <c r="T459" s="9"/>
      <c r="U459" s="9" t="str">
        <f>IFERROR(__xludf.DUMMYFUNCTION("""COMPUTED_VALUE"""),"©小鳥遊そら/libre")</f>
        <v>©小鳥遊そら/libre</v>
      </c>
      <c r="V459" s="8" t="str">
        <f>IFERROR(__xludf.DUMMYFUNCTION("""COMPUTED_VALUE"""),"「先輩、恥ずかしがらないで、足を開いて見せて」
彼の命令には絶対抗えない。体が勝手に発情してしまう…!?
ランジェリーデザイナーの鳴海は、元彼に「Subだなんて変態」と振られ、恋は諦め仕事の鬼となっていた。そんな時、新人である向井の教育係をすることになり、失敗ばかりだが一生懸命な彼にひそかに癒されるようになる。だけど2人きりで残業中に、向井のある一言で、鳴海はSubとして発情してしまって!?　じつは向井はDomの中でも最上級のSSS級のDomだった――!?
甘いSMプレイが止まらない…溺愛Dom/Subユ"&amp;"ニバース！
※本書は「ショコラブvol.76」に収録されております。")</f>
        <v>「先輩、恥ずかしがらないで、足を開いて見せて」
彼の命令には絶対抗えない。体が勝手に発情してしまう…!?
ランジェリーデザイナーの鳴海は、元彼に「Subだなんて変態」と振られ、恋は諦め仕事の鬼となっていた。そんな時、新人である向井の教育係をすることになり、失敗ばかりだが一生懸命な彼にひそかに癒されるようになる。だけど2人きりで残業中に、向井のある一言で、鳴海はSubとして発情してしまって!?　じつは向井はDomの中でも最上級のSSS級のDomだった――!?
甘いSMプレイが止まらない…溺愛Dom/Subユニバース！
※本書は「ショコラブvol.76」に収録されております。</v>
      </c>
      <c r="W459" s="8"/>
      <c r="X459" s="8"/>
      <c r="Y459" s="8"/>
      <c r="Z459" s="7"/>
      <c r="AA459" s="7"/>
      <c r="AB459" s="7"/>
    </row>
    <row r="460" ht="15.75" customHeight="1">
      <c r="A460" s="8">
        <f>IFERROR(__xludf.DUMMYFUNCTION("""COMPUTED_VALUE"""),1706.0)</f>
        <v>1706</v>
      </c>
      <c r="B460" s="9" t="str">
        <f>IFERROR(__xludf.DUMMYFUNCTION("""COMPUTED_VALUE"""),"確定")</f>
        <v>確定</v>
      </c>
      <c r="C460" s="10">
        <f>IFERROR(__xludf.DUMMYFUNCTION("""COMPUTED_VALUE"""),44965.0)</f>
        <v>44965</v>
      </c>
      <c r="D460" s="10">
        <f>IFERROR(__xludf.DUMMYFUNCTION("""COMPUTED_VALUE"""),45097.0)</f>
        <v>45097</v>
      </c>
      <c r="E460" s="8">
        <f>IFERROR(__xludf.DUMMYFUNCTION("""COMPUTED_VALUE"""),272650.0)</f>
        <v>272650</v>
      </c>
      <c r="F460" s="9" t="str">
        <f>IFERROR(__xludf.DUMMYFUNCTION("""COMPUTED_VALUE"""),"【単話】十番様の縁結び 神在花嫁綺譚")</f>
        <v>【単話】十番様の縁結び 神在花嫁綺譚</v>
      </c>
      <c r="G460" s="11" t="str">
        <f>IFERROR(__xludf.DUMMYFUNCTION("""COMPUTED_VALUE"""),"1～4")</f>
        <v>1～4</v>
      </c>
      <c r="H460" s="8" t="str">
        <f>IFERROR(__xludf.DUMMYFUNCTION("""COMPUTED_VALUE"""),"漫画：三村竹子、原作：東堂燦、キャラクター原案：白谷ゆう")</f>
        <v>漫画：三村竹子、原作：東堂燦、キャラクター原案：白谷ゆう</v>
      </c>
      <c r="I460" s="8" t="str">
        <f>IFERROR(__xludf.DUMMYFUNCTION("""COMPUTED_VALUE"""),"女性")</f>
        <v>女性</v>
      </c>
      <c r="J460" s="8"/>
      <c r="K460" s="8"/>
      <c r="L460" s="8" t="str">
        <f>IFERROR(__xludf.DUMMYFUNCTION("""COMPUTED_VALUE"""),"KADOKAWA")</f>
        <v>KADOKAWA</v>
      </c>
      <c r="M460" s="12">
        <f>IFERROR(__xludf.DUMMYFUNCTION("""COMPUTED_VALUE"""),45133.0)</f>
        <v>45133</v>
      </c>
      <c r="N460" s="12">
        <f>IFERROR(__xludf.DUMMYFUNCTION("""COMPUTED_VALUE"""),45194.0)</f>
        <v>45194</v>
      </c>
      <c r="O460" s="11"/>
      <c r="P460" s="9" t="str">
        <f>IFERROR(__xludf.DUMMYFUNCTION("""COMPUTED_VALUE"""),"否")</f>
        <v>否</v>
      </c>
      <c r="Q460" s="8" t="str">
        <f>IFERROR(__xludf.DUMMYFUNCTION("""COMPUTED_VALUE"""),"素材格納（6/20）&lt;BR&gt;広告コミットOK（2/10）&lt;BR&gt;原作：集英社オレンジ文庫")</f>
        <v>素材格納（6/20）&lt;BR&gt;広告コミットOK（2/10）&lt;BR&gt;原作：集英社オレンジ文庫</v>
      </c>
      <c r="R460" s="9" t="str">
        <f>IFERROR(__xludf.DUMMYFUNCTION("""COMPUTED_VALUE"""),"格納済")</f>
        <v>格納済</v>
      </c>
      <c r="S460" s="8" t="str">
        <f>IFERROR(__xludf.DUMMYFUNCTION("""COMPUTED_VALUE"""),"20230620_KADOKAWA_十番様の縁結び")</f>
        <v>20230620_KADOKAWA_十番様の縁結び</v>
      </c>
      <c r="T460" s="9" t="str">
        <f>IFERROR(__xludf.DUMMYFUNCTION("""COMPUTED_VALUE"""),"校了済素材")</f>
        <v>校了済素材</v>
      </c>
      <c r="U460" s="9" t="str">
        <f>IFERROR(__xludf.DUMMYFUNCTION("""COMPUTED_VALUE"""),"(C)Take Mimura　(C)SAN TOUDOU")</f>
        <v>(C)Take Mimura　(C)SAN TOUDOU</v>
      </c>
      <c r="V460" s="8" t="str">
        <f>IFERROR(__xludf.DUMMYFUNCTION("""COMPUTED_VALUE"""),"「真緒でないのならば、僕は一生、誰とも添い遂げません」
織物の街・花絲（はないと）。家族に疎まれて幽閉され、機織だけを一途にしてきた少女がいた。ある日少女は、叔母に虐げられていたところを街の領主・十織終也（とおり　しゅうや）がやって来て突然求婚される。少女は結婚の意味も分からないまま終也の手をとり、縁を結び縁を切るという神の血が流れる名家・十織家に入るが、当主の終也は家族や周囲から浮き、恐れられているようで――？　
愛が深い領主と孤独な機織少女が織りなす、和風嫁入りファンタジー開幕。
※本作は「月"&amp;"刊コンプエース2023年4月号」に掲載された内容と同じものです。重複購入にご注意ください。")</f>
        <v>「真緒でないのならば、僕は一生、誰とも添い遂げません」
織物の街・花絲（はないと）。家族に疎まれて幽閉され、機織だけを一途にしてきた少女がいた。ある日少女は、叔母に虐げられていたところを街の領主・十織終也（とおり　しゅうや）がやって来て突然求婚される。少女は結婚の意味も分からないまま終也の手をとり、縁を結び縁を切るという神の血が流れる名家・十織家に入るが、当主の終也は家族や周囲から浮き、恐れられているようで――？　
愛が深い領主と孤独な機織少女が織りなす、和風嫁入りファンタジー開幕。
※本作は「月刊コンプエース2023年4月号」に掲載された内容と同じものです。重複購入にご注意ください。</v>
      </c>
      <c r="W460" s="8"/>
      <c r="X460" s="8" t="str">
        <f>IFERROR(__xludf.DUMMYFUNCTION("""COMPUTED_VALUE"""),"有")</f>
        <v>有</v>
      </c>
      <c r="Y460" s="8" t="str">
        <f>IFERROR(__xludf.DUMMYFUNCTION("""COMPUTED_VALUE"""),"P10まで")</f>
        <v>P10まで</v>
      </c>
      <c r="Z460" s="7"/>
      <c r="AA460" s="7"/>
      <c r="AB460" s="7"/>
    </row>
    <row r="461" ht="15.75" customHeight="1">
      <c r="A461" s="8">
        <f>IFERROR(__xludf.DUMMYFUNCTION("""COMPUTED_VALUE"""),1917.0)</f>
        <v>1917</v>
      </c>
      <c r="B461" s="9" t="str">
        <f>IFERROR(__xludf.DUMMYFUNCTION("""COMPUTED_VALUE"""),"確定")</f>
        <v>確定</v>
      </c>
      <c r="C461" s="10">
        <f>IFERROR(__xludf.DUMMYFUNCTION("""COMPUTED_VALUE"""),45043.0)</f>
        <v>45043</v>
      </c>
      <c r="D461" s="10">
        <f>IFERROR(__xludf.DUMMYFUNCTION("""COMPUTED_VALUE"""),45097.0)</f>
        <v>45097</v>
      </c>
      <c r="E461" s="8">
        <f>IFERROR(__xludf.DUMMYFUNCTION("""COMPUTED_VALUE"""),270892.0)</f>
        <v>270892</v>
      </c>
      <c r="F461" s="9" t="str">
        <f>IFERROR(__xludf.DUMMYFUNCTION("""COMPUTED_VALUE"""),"映しちゃダメな顔【連載版】")</f>
        <v>映しちゃダメな顔【連載版】</v>
      </c>
      <c r="G461" s="11" t="str">
        <f>IFERROR(__xludf.DUMMYFUNCTION("""COMPUTED_VALUE"""),"1～3")</f>
        <v>1～3</v>
      </c>
      <c r="H461" s="8" t="str">
        <f>IFERROR(__xludf.DUMMYFUNCTION("""COMPUTED_VALUE"""),"FLOWERCHILD")</f>
        <v>FLOWERCHILD</v>
      </c>
      <c r="I461" s="8" t="str">
        <f>IFERROR(__xludf.DUMMYFUNCTION("""COMPUTED_VALUE"""),"女性")</f>
        <v>女性</v>
      </c>
      <c r="J461" s="8"/>
      <c r="K461" s="8"/>
      <c r="L461" s="8" t="str">
        <f>IFERROR(__xludf.DUMMYFUNCTION("""COMPUTED_VALUE"""),"一迅社")</f>
        <v>一迅社</v>
      </c>
      <c r="M461" s="12">
        <f>IFERROR(__xludf.DUMMYFUNCTION("""COMPUTED_VALUE"""),45125.0)</f>
        <v>45125</v>
      </c>
      <c r="N461" s="12">
        <f>IFERROR(__xludf.DUMMYFUNCTION("""COMPUTED_VALUE"""),45183.0)</f>
        <v>45183</v>
      </c>
      <c r="O461" s="11"/>
      <c r="P461" s="9" t="str">
        <f>IFERROR(__xludf.DUMMYFUNCTION("""COMPUTED_VALUE"""),"可")</f>
        <v>可</v>
      </c>
      <c r="Q461" s="8" t="str">
        <f>IFERROR(__xludf.DUMMYFUNCTION("""COMPUTED_VALUE"""),"広告コミットOK（4/28）&lt;BR&gt;")</f>
        <v>広告コミットOK（4/28）&lt;BR&gt;</v>
      </c>
      <c r="R461" s="9"/>
      <c r="S461" s="8" t="str">
        <f>IFERROR(__xludf.DUMMYFUNCTION("""COMPUTED_VALUE"""),"20230620_一迅社_7月新作")</f>
        <v>20230620_一迅社_7月新作</v>
      </c>
      <c r="T461" s="9"/>
      <c r="U461" s="9" t="str">
        <f>IFERROR(__xludf.DUMMYFUNCTION("""COMPUTED_VALUE"""),"(C)FLOWERCHILD／一迅社")</f>
        <v>(C)FLOWERCHILD／一迅社</v>
      </c>
      <c r="V461" s="8" t="str">
        <f>IFERROR(__xludf.DUMMYFUNCTION("""COMPUTED_VALUE"""),"ハプニングが潜むバーに迷い込んでしまった売り出し中の女優アイ（仮名）。そこは女性が女性と出会い、一夜限りを楽しむ場所。店前で出会ったキャバクラ嬢に誘われたアイは、半個室のなかで自分の知らなかった性癖をたった一度で知らされてしまい……。【本商品は月刊コミック百合姫2023年7月号に掲載されたものです。単行本版と収録内容が異なる場合がございます。漫画内の告知等は過去のものとなりますので、ご注意ください。】
")</f>
        <v>ハプニングが潜むバーに迷い込んでしまった売り出し中の女優アイ（仮名）。そこは女性が女性と出会い、一夜限りを楽しむ場所。店前で出会ったキャバクラ嬢に誘われたアイは、半個室のなかで自分の知らなかった性癖をたった一度で知らされてしまい……。【本商品は月刊コミック百合姫2023年7月号に掲載されたものです。単行本版と収録内容が異なる場合がございます。漫画内の告知等は過去のものとなりますので、ご注意ください。】
</v>
      </c>
      <c r="W461" s="8"/>
      <c r="X461" s="8" t="str">
        <f>IFERROR(__xludf.DUMMYFUNCTION("""COMPUTED_VALUE"""),"有")</f>
        <v>有</v>
      </c>
      <c r="Y461" s="8" t="str">
        <f>IFERROR(__xludf.DUMMYFUNCTION("""COMPUTED_VALUE"""),"9/14まで1巻無料")</f>
        <v>9/14まで1巻無料</v>
      </c>
      <c r="Z461" s="7"/>
      <c r="AA461" s="7"/>
      <c r="AB461" s="7"/>
    </row>
    <row r="462" ht="15.75" customHeight="1">
      <c r="A462" s="8">
        <f>IFERROR(__xludf.DUMMYFUNCTION("""COMPUTED_VALUE"""),2004.0)</f>
        <v>2004</v>
      </c>
      <c r="B462" s="9" t="str">
        <f>IFERROR(__xludf.DUMMYFUNCTION("""COMPUTED_VALUE"""),"確定")</f>
        <v>確定</v>
      </c>
      <c r="C462" s="10">
        <f>IFERROR(__xludf.DUMMYFUNCTION("""COMPUTED_VALUE"""),45076.0)</f>
        <v>45076</v>
      </c>
      <c r="D462" s="10">
        <f>IFERROR(__xludf.DUMMYFUNCTION("""COMPUTED_VALUE"""),45096.0)</f>
        <v>45096</v>
      </c>
      <c r="E462" s="8">
        <f>IFERROR(__xludf.DUMMYFUNCTION("""COMPUTED_VALUE"""),272231.0)</f>
        <v>272231</v>
      </c>
      <c r="F462" s="9" t="str">
        <f>IFERROR(__xludf.DUMMYFUNCTION("""COMPUTED_VALUE"""),"お色気担当の姉と、庇護欲担当の妹に挟まれた私")</f>
        <v>お色気担当の姉と、庇護欲担当の妹に挟まれた私</v>
      </c>
      <c r="G462" s="11" t="str">
        <f>IFERROR(__xludf.DUMMYFUNCTION("""COMPUTED_VALUE"""),"1～4")</f>
        <v>1～4</v>
      </c>
      <c r="H462" s="8" t="str">
        <f>IFERROR(__xludf.DUMMYFUNCTION("""COMPUTED_VALUE"""),"漫画：みささぎ楓李  原作：完菜  キャラクター原案：双葉はづき")</f>
        <v>漫画：みささぎ楓李  原作：完菜  キャラクター原案：双葉はづき</v>
      </c>
      <c r="I462" s="8" t="str">
        <f>IFERROR(__xludf.DUMMYFUNCTION("""COMPUTED_VALUE"""),"女性")</f>
        <v>女性</v>
      </c>
      <c r="J462" s="8"/>
      <c r="K462" s="8"/>
      <c r="L462" s="8" t="str">
        <f>IFERROR(__xludf.DUMMYFUNCTION("""COMPUTED_VALUE"""),"SBクリエイティブ")</f>
        <v>SBクリエイティブ</v>
      </c>
      <c r="M462" s="12">
        <f>IFERROR(__xludf.DUMMYFUNCTION("""COMPUTED_VALUE"""),45128.0)</f>
        <v>45128</v>
      </c>
      <c r="N462" s="12">
        <f>IFERROR(__xludf.DUMMYFUNCTION("""COMPUTED_VALUE"""),45187.0)</f>
        <v>45187</v>
      </c>
      <c r="O462" s="11"/>
      <c r="P462" s="9" t="str">
        <f>IFERROR(__xludf.DUMMYFUNCTION("""COMPUTED_VALUE"""),"否")</f>
        <v>否</v>
      </c>
      <c r="Q462" s="8" t="str">
        <f>IFERROR(__xludf.DUMMYFUNCTION("""COMPUTED_VALUE"""),"広告コミットOK(6/7)")</f>
        <v>広告コミットOK(6/7)</v>
      </c>
      <c r="R462" s="9"/>
      <c r="S462" s="8" t="str">
        <f>IFERROR(__xludf.DUMMYFUNCTION("""COMPUTED_VALUE"""),"20230619_SBクリエイティブ_挟まれた私")</f>
        <v>20230619_SBクリエイティブ_挟まれた私</v>
      </c>
      <c r="T462" s="9"/>
      <c r="U462" s="9" t="str">
        <f>IFERROR(__xludf.DUMMYFUNCTION("""COMPUTED_VALUE"""),"Ⓒみささぎ楓李・完菜／SBクリエイティブ")</f>
        <v>Ⓒみささぎ楓李・完菜／SBクリエイティブ</v>
      </c>
      <c r="V462" s="8" t="str">
        <f>IFERROR(__xludf.DUMMYFUNCTION("""COMPUTED_VALUE"""),"「伴侶を見つける為に外の世界を知って来ようと思います。私は、学園を卒業したら家を出ます」
――急な話にお父様はびっくりしている。でも、決めたの。そう、私は王宮侍女になる！
ファビオラは、ランプの炎の様な色の瞳にクルミの色の茶色の髪を持つ可愛らしいお嬢様だ。
だが、それは一人でいるときの話。
彼女は三人姉妹の次女なのだが、その長女は透き通るルビーの様な輝きを持つ赤の瞳に真っ直ぐで艶やかな黒髪を持ち、見たものをことごとく虜にするスタイル抜群の「お色気担当」の姉。
また妹は、ピンクに赤が混じったような萩色の明"&amp;"るい瞳と柔らかくウェーブのかかる淡香色の髪をもつ、儚げで「自分が守らねば！」と誰にも「庇護欲」を掻き立てる存在。
これは、そんな出会うものたちをことごとく引き付けてやまない姉妹に挟まれたファビオラが、自分自身を見つめ、幸せを掴んでゆく物語――。")</f>
        <v>「伴侶を見つける為に外の世界を知って来ようと思います。私は、学園を卒業したら家を出ます」
――急な話にお父様はびっくりしている。でも、決めたの。そう、私は王宮侍女になる！
ファビオラは、ランプの炎の様な色の瞳にクルミの色の茶色の髪を持つ可愛らしいお嬢様だ。
だが、それは一人でいるときの話。
彼女は三人姉妹の次女なのだが、その長女は透き通るルビーの様な輝きを持つ赤の瞳に真っ直ぐで艶やかな黒髪を持ち、見たものをことごとく虜にするスタイル抜群の「お色気担当」の姉。
また妹は、ピンクに赤が混じったような萩色の明るい瞳と柔らかくウェーブのかかる淡香色の髪をもつ、儚げで「自分が守らねば！」と誰にも「庇護欲」を掻き立てる存在。
これは、そんな出会うものたちをことごとく引き付けてやまない姉妹に挟まれたファビオラが、自分自身を見つめ、幸せを掴んでゆく物語――。</v>
      </c>
      <c r="W462" s="8"/>
      <c r="X462" s="8" t="str">
        <f>IFERROR(__xludf.DUMMYFUNCTION("""COMPUTED_VALUE"""),"有")</f>
        <v>有</v>
      </c>
      <c r="Y462" s="8" t="str">
        <f>IFERROR(__xludf.DUMMYFUNCTION("""COMPUTED_VALUE"""),"P10まで")</f>
        <v>P10まで</v>
      </c>
      <c r="Z462" s="7"/>
      <c r="AA462" s="7"/>
      <c r="AB462" s="7"/>
    </row>
    <row r="463" ht="15.75" customHeight="1">
      <c r="A463" s="8">
        <f>IFERROR(__xludf.DUMMYFUNCTION("""COMPUTED_VALUE"""),2060.0)</f>
        <v>2060</v>
      </c>
      <c r="B463" s="9" t="str">
        <f>IFERROR(__xludf.DUMMYFUNCTION("""COMPUTED_VALUE"""),"確定")</f>
        <v>確定</v>
      </c>
      <c r="C463" s="10">
        <f>IFERROR(__xludf.DUMMYFUNCTION("""COMPUTED_VALUE"""),45090.0)</f>
        <v>45090</v>
      </c>
      <c r="D463" s="10">
        <f>IFERROR(__xludf.DUMMYFUNCTION("""COMPUTED_VALUE"""),45096.0)</f>
        <v>45096</v>
      </c>
      <c r="E463" s="8">
        <f>IFERROR(__xludf.DUMMYFUNCTION("""COMPUTED_VALUE"""),274306.0)</f>
        <v>274306</v>
      </c>
      <c r="F463" s="9" t="str">
        <f>IFERROR(__xludf.DUMMYFUNCTION("""COMPUTED_VALUE"""),"noicomi独占欲強めのオオカミくんは同居だけじゃ済ませてくれない")</f>
        <v>noicomi独占欲強めのオオカミくんは同居だけじゃ済ませてくれない</v>
      </c>
      <c r="G463" s="11" t="str">
        <f>IFERROR(__xludf.DUMMYFUNCTION("""COMPUTED_VALUE"""),"1～5")</f>
        <v>1～5</v>
      </c>
      <c r="H463" s="8" t="str">
        <f>IFERROR(__xludf.DUMMYFUNCTION("""COMPUTED_VALUE"""),"はるのゆき（作画）、ばにぃ（原作）")</f>
        <v>はるのゆき（作画）、ばにぃ（原作）</v>
      </c>
      <c r="I463" s="14" t="str">
        <f>IFERROR(__xludf.DUMMYFUNCTION("""COMPUTED_VALUE"""),"少女")</f>
        <v>少女</v>
      </c>
      <c r="J463" s="8"/>
      <c r="K463" s="8"/>
      <c r="L463" s="8" t="str">
        <f>IFERROR(__xludf.DUMMYFUNCTION("""COMPUTED_VALUE"""),"スターツ出版")</f>
        <v>スターツ出版</v>
      </c>
      <c r="M463" s="12">
        <f>IFERROR(__xludf.DUMMYFUNCTION("""COMPUTED_VALUE"""),45149.0)</f>
        <v>45149</v>
      </c>
      <c r="N463" s="12">
        <f>IFERROR(__xludf.DUMMYFUNCTION("""COMPUTED_VALUE"""),45176.0)</f>
        <v>45176</v>
      </c>
      <c r="O463" s="11"/>
      <c r="P463" s="9" t="str">
        <f>IFERROR(__xludf.DUMMYFUNCTION("""COMPUTED_VALUE"""),"否")</f>
        <v>否</v>
      </c>
      <c r="Q463" s="8" t="str">
        <f>IFERROR(__xludf.DUMMYFUNCTION("""COMPUTED_VALUE"""),"広告コミットOK(6/15)")</f>
        <v>広告コミットOK(6/15)</v>
      </c>
      <c r="R463" s="9"/>
      <c r="S463" s="8" t="str">
        <f>IFERROR(__xludf.DUMMYFUNCTION("""COMPUTED_VALUE"""),"20230613_スターツ出版_独占欲強めのオオカミくん")</f>
        <v>20230613_スターツ出版_独占欲強めのオオカミくん</v>
      </c>
      <c r="T463" s="9"/>
      <c r="U463" s="9" t="str">
        <f>IFERROR(__xludf.DUMMYFUNCTION("""COMPUTED_VALUE"""),"©Yuki Haruno・Bunny/スターツ出版")</f>
        <v>©Yuki Haruno・Bunny/スターツ出版</v>
      </c>
      <c r="V463" s="8" t="str">
        <f>IFERROR(__xludf.DUMMYFUNCTION("""COMPUTED_VALUE"""),"「一生恋とは無縁だから」男嫌いの地味子・凛李×「あんたも俺とキスしたいの？」学校１のモテ男子・柊木善
正反対の2人が一緒に住むことに!?
◆◆◆
とあるトラウマがきっかけで男の子が苦手な高校生・凛李。だけど親の頼みをどうしても断れずやむなく柊木善と同居することに。
善のバイト先にヘルプとして連れ出されたり、取り巻き女子に囲まれたり？人気者の彼との同居で凛李の生活は一変。
「キスしたくなったらいつでも俺の部屋に来いよ」あざとい彼にグイグイ迫られて男の子に免疫がない凛李の心臓はもう爆発寸前！
最初は善を避け"&amp;"ていた凛李だけど、何かと凛李を気にかけて助けてくれる善のことがいつの間にか気になってきて――!?
◆◆◆
地味子×学校１のモテ男子のちぐはぐ同居生活スタート！
(この作品は電子コミック誌noicomi vol.93に収録されています。重複購入にご注意ください）")</f>
        <v>「一生恋とは無縁だから」男嫌いの地味子・凛李×「あんたも俺とキスしたいの？」学校１のモテ男子・柊木善
正反対の2人が一緒に住むことに!?
◆◆◆
とあるトラウマがきっかけで男の子が苦手な高校生・凛李。だけど親の頼みをどうしても断れずやむなく柊木善と同居することに。
善のバイト先にヘルプとして連れ出されたり、取り巻き女子に囲まれたり？人気者の彼との同居で凛李の生活は一変。
「キスしたくなったらいつでも俺の部屋に来いよ」あざとい彼にグイグイ迫られて男の子に免疫がない凛李の心臓はもう爆発寸前！
最初は善を避けていた凛李だけど、何かと凛李を気にかけて助けてくれる善のことがいつの間にか気になってきて――!?
◆◆◆
地味子×学校１のモテ男子のちぐはぐ同居生活スタート！
(この作品は電子コミック誌noicomi vol.93に収録されています。重複購入にご注意ください）</v>
      </c>
      <c r="W463" s="8"/>
      <c r="X463" s="8" t="str">
        <f>IFERROR(__xludf.DUMMYFUNCTION("""COMPUTED_VALUE"""),"有")</f>
        <v>有</v>
      </c>
      <c r="Y463" s="8" t="str">
        <f>IFERROR(__xludf.DUMMYFUNCTION("""COMPUTED_VALUE"""),"11/9まで1巻無料")</f>
        <v>11/9まで1巻無料</v>
      </c>
      <c r="Z463" s="7"/>
      <c r="AA463" s="7"/>
      <c r="AB463" s="7"/>
    </row>
    <row r="464" ht="15.75" customHeight="1">
      <c r="A464" s="8">
        <f>IFERROR(__xludf.DUMMYFUNCTION("""COMPUTED_VALUE"""),2068.0)</f>
        <v>2068</v>
      </c>
      <c r="B464" s="9" t="str">
        <f>IFERROR(__xludf.DUMMYFUNCTION("""COMPUTED_VALUE"""),"確定")</f>
        <v>確定</v>
      </c>
      <c r="C464" s="10">
        <f>IFERROR(__xludf.DUMMYFUNCTION("""COMPUTED_VALUE"""),45091.0)</f>
        <v>45091</v>
      </c>
      <c r="D464" s="10">
        <f>IFERROR(__xludf.DUMMYFUNCTION("""COMPUTED_VALUE"""),45097.0)</f>
        <v>45097</v>
      </c>
      <c r="E464" s="8">
        <f>IFERROR(__xludf.DUMMYFUNCTION("""COMPUTED_VALUE"""),270890.0)</f>
        <v>270890</v>
      </c>
      <c r="F464" s="9" t="str">
        <f>IFERROR(__xludf.DUMMYFUNCTION("""COMPUTED_VALUE"""),"オオカミちゃんのため息～猛獣彼女は甘えん坊ウサギ彼氏に食べられたい!～")</f>
        <v>オオカミちゃんのため息～猛獣彼女は甘えん坊ウサギ彼氏に食べられたい!～</v>
      </c>
      <c r="G464" s="11" t="str">
        <f>IFERROR(__xludf.DUMMYFUNCTION("""COMPUTED_VALUE"""),"1～3")</f>
        <v>1～3</v>
      </c>
      <c r="H464" s="8" t="str">
        <f>IFERROR(__xludf.DUMMYFUNCTION("""COMPUTED_VALUE"""),"作者名")</f>
        <v>作者名</v>
      </c>
      <c r="I464" s="8" t="str">
        <f>IFERROR(__xludf.DUMMYFUNCTION("""COMPUTED_VALUE"""),"TL")</f>
        <v>TL</v>
      </c>
      <c r="J464" s="8"/>
      <c r="K464" s="8"/>
      <c r="L464" s="8" t="str">
        <f>IFERROR(__xludf.DUMMYFUNCTION("""COMPUTED_VALUE"""),"一迅社")</f>
        <v>一迅社</v>
      </c>
      <c r="M464" s="12">
        <f>IFERROR(__xludf.DUMMYFUNCTION("""COMPUTED_VALUE"""),45114.0)</f>
        <v>45114</v>
      </c>
      <c r="N464" s="12">
        <f>IFERROR(__xludf.DUMMYFUNCTION("""COMPUTED_VALUE"""),45141.0)</f>
        <v>45141</v>
      </c>
      <c r="O464" s="11"/>
      <c r="P464" s="9" t="str">
        <f>IFERROR(__xludf.DUMMYFUNCTION("""COMPUTED_VALUE"""),"可")</f>
        <v>可</v>
      </c>
      <c r="Q464" s="8" t="str">
        <f>IFERROR(__xludf.DUMMYFUNCTION("""COMPUTED_VALUE"""),"LOVEBITES新作、素材後送")</f>
        <v>LOVEBITES新作、素材後送</v>
      </c>
      <c r="R464" s="9"/>
      <c r="S464" s="8" t="str">
        <f>IFERROR(__xludf.DUMMYFUNCTION("""COMPUTED_VALUE"""),"20230620_一迅社_7月新作")</f>
        <v>20230620_一迅社_7月新作</v>
      </c>
      <c r="T464" s="9"/>
      <c r="U464" s="9" t="str">
        <f>IFERROR(__xludf.DUMMYFUNCTION("""COMPUTED_VALUE"""),"(C)京古／一迅社")</f>
        <v>(C)京古／一迅社</v>
      </c>
      <c r="V464" s="8" t="str">
        <f>IFERROR(__xludf.DUMMYFUNCTION("""COMPUTED_VALUE"""),"私は！！！彼氏と！！！セックスがしたい！！！！！（クソデカボイス）――普通の大学生・江口まいかは売れっ子大学生モデル・戸田優亜の幼馴染。数年間の遠距離恋愛の末、はれて同棲中！ 世間ではクールで俺様系のドSというイメージを持たれている優亜だが…「まいかちゃぁん！おかえりぃ!!今日、大学どうだったぁ？」じつはヘタレ甘えん坊うさちゃんなのだ！（※悪口ではない）ラブラブな同棲生活の中で、まいかにはとある悩みが。それは…【恋人の優亜とセックスしたことがない】ということ！ある夜、まいかは優亜が自分を見ながらヌいている"&amp;"ところを目撃してしまう。ところが優亜にはまいかと最後までできない事情があるようで…!?シたい彼女vsシたくない彼氏のドタバタラブコメディ、これより開幕！")</f>
        <v>私は！！！彼氏と！！！セックスがしたい！！！！！（クソデカボイス）――普通の大学生・江口まいかは売れっ子大学生モデル・戸田優亜の幼馴染。数年間の遠距離恋愛の末、はれて同棲中！ 世間ではクールで俺様系のドSというイメージを持たれている優亜だが…「まいかちゃぁん！おかえりぃ!!今日、大学どうだったぁ？」じつはヘタレ甘えん坊うさちゃんなのだ！（※悪口ではない）ラブラブな同棲生活の中で、まいかにはとある悩みが。それは…【恋人の優亜とセックスしたことがない】ということ！ある夜、まいかは優亜が自分を見ながらヌいているところを目撃してしまう。ところが優亜にはまいかと最後までできない事情があるようで…!?シたい彼女vsシたくない彼氏のドタバタラブコメディ、これより開幕！</v>
      </c>
      <c r="W464" s="8"/>
      <c r="X464" s="8" t="str">
        <f>IFERROR(__xludf.DUMMYFUNCTION("""COMPUTED_VALUE"""),"有")</f>
        <v>有</v>
      </c>
      <c r="Y464" s="8" t="str">
        <f>IFERROR(__xludf.DUMMYFUNCTION("""COMPUTED_VALUE"""),"P6まで")</f>
        <v>P6まで</v>
      </c>
      <c r="Z464" s="7"/>
      <c r="AA464" s="7"/>
      <c r="AB464" s="7"/>
    </row>
    <row r="465" ht="15.75" customHeight="1">
      <c r="A465" s="8">
        <f>IFERROR(__xludf.DUMMYFUNCTION("""COMPUTED_VALUE"""),2069.0)</f>
        <v>2069</v>
      </c>
      <c r="B465" s="9" t="str">
        <f>IFERROR(__xludf.DUMMYFUNCTION("""COMPUTED_VALUE"""),"確定")</f>
        <v>確定</v>
      </c>
      <c r="C465" s="10">
        <f>IFERROR(__xludf.DUMMYFUNCTION("""COMPUTED_VALUE"""),45091.0)</f>
        <v>45091</v>
      </c>
      <c r="D465" s="10">
        <f>IFERROR(__xludf.DUMMYFUNCTION("""COMPUTED_VALUE"""),45097.0)</f>
        <v>45097</v>
      </c>
      <c r="E465" s="8">
        <f>IFERROR(__xludf.DUMMYFUNCTION("""COMPUTED_VALUE"""),270891.0)</f>
        <v>270891</v>
      </c>
      <c r="F465" s="9" t="str">
        <f>IFERROR(__xludf.DUMMYFUNCTION("""COMPUTED_VALUE"""),"三年後離婚するはずが、なぜか溺愛されてます 【連載版】")</f>
        <v>三年後離婚するはずが、なぜか溺愛されてます 【連載版】</v>
      </c>
      <c r="G465" s="11" t="str">
        <f>IFERROR(__xludf.DUMMYFUNCTION("""COMPUTED_VALUE"""),"1～3")</f>
        <v>1～3</v>
      </c>
      <c r="H465" s="8" t="str">
        <f>IFERROR(__xludf.DUMMYFUNCTION("""COMPUTED_VALUE"""),"コミック：咲宮いろは/原作：春日部こみと/キャラクター原案：ウエハラ蜂")</f>
        <v>コミック：咲宮いろは/原作：春日部こみと/キャラクター原案：ウエハラ蜂</v>
      </c>
      <c r="I465" s="8" t="str">
        <f>IFERROR(__xludf.DUMMYFUNCTION("""COMPUTED_VALUE"""),"女性")</f>
        <v>女性</v>
      </c>
      <c r="J465" s="8"/>
      <c r="K465" s="8"/>
      <c r="L465" s="8" t="str">
        <f>IFERROR(__xludf.DUMMYFUNCTION("""COMPUTED_VALUE"""),"一迅社")</f>
        <v>一迅社</v>
      </c>
      <c r="M465" s="12">
        <f>IFERROR(__xludf.DUMMYFUNCTION("""COMPUTED_VALUE"""),45121.0)</f>
        <v>45121</v>
      </c>
      <c r="N465" s="12">
        <f>IFERROR(__xludf.DUMMYFUNCTION("""COMPUTED_VALUE"""),45182.0)</f>
        <v>45182</v>
      </c>
      <c r="O465" s="11"/>
      <c r="P465" s="9" t="str">
        <f>IFERROR(__xludf.DUMMYFUNCTION("""COMPUTED_VALUE"""),"可")</f>
        <v>可</v>
      </c>
      <c r="Q465" s="8" t="str">
        <f>IFERROR(__xludf.DUMMYFUNCTION("""COMPUTED_VALUE"""),"ゼロサム14日最新話、新作")</f>
        <v>ゼロサム14日最新話、新作</v>
      </c>
      <c r="R465" s="9"/>
      <c r="S465" s="8" t="str">
        <f>IFERROR(__xludf.DUMMYFUNCTION("""COMPUTED_VALUE"""),"20230620_一迅社_7月新作")</f>
        <v>20230620_一迅社_7月新作</v>
      </c>
      <c r="T465" s="9"/>
      <c r="U465" s="9" t="str">
        <f>IFERROR(__xludf.DUMMYFUNCTION("""COMPUTED_VALUE"""),"(C)春日部こみと／ウエハラ蜂／イースト・プレス 　　(C)咲宮いろは／一迅社")</f>
        <v>(C)春日部こみと／ウエハラ蜂／イースト・プレス 　　(C)咲宮いろは／一迅社</v>
      </c>
      <c r="V465" s="8" t="str">
        <f>IFERROR(__xludf.DUMMYFUNCTION("""COMPUTED_VALUE"""),"『呪われた侯爵』と敬遠されるアーヴィングと結婚したハリエット。望んだ結婚ではないとは言え、夫婦になるからには相手を好きになりたいと思う彼女だが、初夜の床で「これは形だけの結婚です。だから君を抱くことはない」と言われてしまい――!? さらには三年後に離婚するとまで言われて大混乱！それでも妻として大事にしてくれるアーヴィングに惹かれていくハリエットは、甘々すぎる彼の態度に勘違いしそうになる自分を戒めて――!?アーヴィングの本心とは一体――…。人嫌いなワケあり侯爵×不遇に負けない没落令嬢、すれ違いだらけの契約結"&amp;"婚ラブコメディ！【本商品は単話コンテンツとなります。単行本版と収録内容が異なる場合がございます。漫画内の告知等は過去のものとなりますので、ご注意ください。】")</f>
        <v>『呪われた侯爵』と敬遠されるアーヴィングと結婚したハリエット。望んだ結婚ではないとは言え、夫婦になるからには相手を好きになりたいと思う彼女だが、初夜の床で「これは形だけの結婚です。だから君を抱くことはない」と言われてしまい――!? さらには三年後に離婚するとまで言われて大混乱！それでも妻として大事にしてくれるアーヴィングに惹かれていくハリエットは、甘々すぎる彼の態度に勘違いしそうになる自分を戒めて――!?アーヴィングの本心とは一体――…。人嫌いなワケあり侯爵×不遇に負けない没落令嬢、すれ違いだらけの契約結婚ラブコメディ！【本商品は単話コンテンツとなります。単行本版と収録内容が異なる場合がございます。漫画内の告知等は過去のものとなりますので、ご注意ください。】</v>
      </c>
      <c r="W465" s="8"/>
      <c r="X465" s="8" t="str">
        <f>IFERROR(__xludf.DUMMYFUNCTION("""COMPUTED_VALUE"""),"有")</f>
        <v>有</v>
      </c>
      <c r="Y465" s="8" t="str">
        <f>IFERROR(__xludf.DUMMYFUNCTION("""COMPUTED_VALUE"""),"9/13まで1巻無料")</f>
        <v>9/13まで1巻無料</v>
      </c>
      <c r="Z465" s="7"/>
      <c r="AA465" s="7"/>
      <c r="AB465" s="7"/>
    </row>
    <row r="466" ht="15.75" customHeight="1">
      <c r="A466" s="8">
        <f>IFERROR(__xludf.DUMMYFUNCTION("""COMPUTED_VALUE"""),2070.0)</f>
        <v>2070</v>
      </c>
      <c r="B466" s="9" t="str">
        <f>IFERROR(__xludf.DUMMYFUNCTION("""COMPUTED_VALUE"""),"確定")</f>
        <v>確定</v>
      </c>
      <c r="C466" s="10">
        <f>IFERROR(__xludf.DUMMYFUNCTION("""COMPUTED_VALUE"""),45091.0)</f>
        <v>45091</v>
      </c>
      <c r="D466" s="10">
        <f>IFERROR(__xludf.DUMMYFUNCTION("""COMPUTED_VALUE"""),45097.0)</f>
        <v>45097</v>
      </c>
      <c r="E466" s="8">
        <f>IFERROR(__xludf.DUMMYFUNCTION("""COMPUTED_VALUE"""),270893.0)</f>
        <v>270893</v>
      </c>
      <c r="F466" s="9" t="str">
        <f>IFERROR(__xludf.DUMMYFUNCTION("""COMPUTED_VALUE"""),"ゴブリンブラッド -哀しき女剣士と血の系譜- 【分冊版】")</f>
        <v>ゴブリンブラッド -哀しき女剣士と血の系譜- 【分冊版】</v>
      </c>
      <c r="G466" s="11" t="str">
        <f>IFERROR(__xludf.DUMMYFUNCTION("""COMPUTED_VALUE"""),"1～5")</f>
        <v>1～5</v>
      </c>
      <c r="H466" s="8" t="str">
        <f>IFERROR(__xludf.DUMMYFUNCTION("""COMPUTED_VALUE"""),"オンディ／原著 檜山大輔")</f>
        <v>オンディ／原著 檜山大輔</v>
      </c>
      <c r="I466" s="14" t="str">
        <f>IFERROR(__xludf.DUMMYFUNCTION("""COMPUTED_VALUE"""),"青年")</f>
        <v>青年</v>
      </c>
      <c r="J466" s="8"/>
      <c r="K466" s="8"/>
      <c r="L466" s="8" t="str">
        <f>IFERROR(__xludf.DUMMYFUNCTION("""COMPUTED_VALUE"""),"一迅社")</f>
        <v>一迅社</v>
      </c>
      <c r="M466" s="12">
        <f>IFERROR(__xludf.DUMMYFUNCTION("""COMPUTED_VALUE"""),45134.0)</f>
        <v>45134</v>
      </c>
      <c r="N466" s="12">
        <f>IFERROR(__xludf.DUMMYFUNCTION("""COMPUTED_VALUE"""),45164.0)</f>
        <v>45164</v>
      </c>
      <c r="O466" s="11"/>
      <c r="P466" s="9" t="str">
        <f>IFERROR(__xludf.DUMMYFUNCTION("""COMPUTED_VALUE"""),"可")</f>
        <v>可</v>
      </c>
      <c r="Q466" s="8" t="str">
        <f>IFERROR(__xludf.DUMMYFUNCTION("""COMPUTED_VALUE"""),"REX新作")</f>
        <v>REX新作</v>
      </c>
      <c r="R466" s="9"/>
      <c r="S466" s="8" t="str">
        <f>IFERROR(__xludf.DUMMYFUNCTION("""COMPUTED_VALUE"""),"20230620_一迅社_7月新作")</f>
        <v>20230620_一迅社_7月新作</v>
      </c>
      <c r="T466" s="9"/>
      <c r="U466" s="9" t="str">
        <f>IFERROR(__xludf.DUMMYFUNCTION("""COMPUTED_VALUE"""),"(C)オンディ・檜山大輔／一迅社")</f>
        <v>(C)オンディ・檜山大輔／一迅社</v>
      </c>
      <c r="V466" s="8" t="str">
        <f>IFERROR(__xludf.DUMMYFUNCTION("""COMPUTED_VALUE"""),"無垢な少女だったセレネはゴブリンによって愛する人を亡くし、女剣士としてゴブリン殺しの旅を始める。自らの艶やかな身体を”エサ”に、凌辱を繰り返すゴブリンを一掃するセレネ。彼女の力の秘密はその身体に流れる”血”…そして、愛する人以外には汚させない強い想い――。宿命を背負う女剣士はゴブリンに汚されずに生き残れるか!?　※この作品は『ゴブリンブラッド -哀しき女剣士と血の系譜-』収録作品と同一の内容を単話版として再編集したものとなります。
")</f>
        <v>無垢な少女だったセレネはゴブリンによって愛する人を亡くし、女剣士としてゴブリン殺しの旅を始める。自らの艶やかな身体を”エサ”に、凌辱を繰り返すゴブリンを一掃するセレネ。彼女の力の秘密はその身体に流れる”血”…そして、愛する人以外には汚させない強い想い――。宿命を背負う女剣士はゴブリンに汚されずに生き残れるか!?　※この作品は『ゴブリンブラッド -哀しき女剣士と血の系譜-』収録作品と同一の内容を単話版として再編集したものとなります。
</v>
      </c>
      <c r="W466" s="8"/>
      <c r="X466" s="9" t="str">
        <f>IFERROR(__xludf.DUMMYFUNCTION("""COMPUTED_VALUE"""),"有")</f>
        <v>有</v>
      </c>
      <c r="Y466" s="8" t="str">
        <f>IFERROR(__xludf.DUMMYFUNCTION("""COMPUTED_VALUE"""),"8/26まで立ち読み増量
1巻P29まで
2巻P21まで")</f>
        <v>8/26まで立ち読み増量
1巻P29まで
2巻P21まで</v>
      </c>
      <c r="Z466" s="7"/>
      <c r="AA466" s="7"/>
      <c r="AB466" s="7"/>
    </row>
    <row r="467" ht="15.75" customHeight="1">
      <c r="A467" s="8">
        <f>IFERROR(__xludf.DUMMYFUNCTION("""COMPUTED_VALUE"""),2072.0)</f>
        <v>2072</v>
      </c>
      <c r="B467" s="9" t="str">
        <f>IFERROR(__xludf.DUMMYFUNCTION("""COMPUTED_VALUE"""),"確定")</f>
        <v>確定</v>
      </c>
      <c r="C467" s="10">
        <f>IFERROR(__xludf.DUMMYFUNCTION("""COMPUTED_VALUE"""),45092.0)</f>
        <v>45092</v>
      </c>
      <c r="D467" s="10">
        <f>IFERROR(__xludf.DUMMYFUNCTION("""COMPUTED_VALUE"""),45092.0)</f>
        <v>45092</v>
      </c>
      <c r="E467" s="8">
        <f>IFERROR(__xludf.DUMMYFUNCTION("""COMPUTED_VALUE"""),272311.0)</f>
        <v>272311</v>
      </c>
      <c r="F467" s="9" t="str">
        <f>IFERROR(__xludf.DUMMYFUNCTION("""COMPUTED_VALUE"""),"雪辱の花【タテヨミ】")</f>
        <v>雪辱の花【タテヨミ】</v>
      </c>
      <c r="G467" s="11" t="str">
        <f>IFERROR(__xludf.DUMMYFUNCTION("""COMPUTED_VALUE"""),"1～24")</f>
        <v>1～24</v>
      </c>
      <c r="H467" s="8" t="str">
        <f>IFERROR(__xludf.DUMMYFUNCTION("""COMPUTED_VALUE"""),"snob")</f>
        <v>snob</v>
      </c>
      <c r="I467" s="8" t="str">
        <f>IFERROR(__xludf.DUMMYFUNCTION("""COMPUTED_VALUE"""),"BL")</f>
        <v>BL</v>
      </c>
      <c r="J467" s="8"/>
      <c r="K467" s="8"/>
      <c r="L467" s="8" t="str">
        <f>IFERROR(__xludf.DUMMYFUNCTION("""COMPUTED_VALUE"""),"レジンエンターテインメント")</f>
        <v>レジンエンターテインメント</v>
      </c>
      <c r="M467" s="12">
        <f>IFERROR(__xludf.DUMMYFUNCTION("""COMPUTED_VALUE"""),45121.0)</f>
        <v>45121</v>
      </c>
      <c r="N467" s="12">
        <f>IFERROR(__xludf.DUMMYFUNCTION("""COMPUTED_VALUE"""),45152.0)</f>
        <v>45152</v>
      </c>
      <c r="O467" s="11"/>
      <c r="P467" s="9" t="str">
        <f>IFERROR(__xludf.DUMMYFUNCTION("""COMPUTED_VALUE"""),"可")</f>
        <v>可</v>
      </c>
      <c r="Q467" s="8"/>
      <c r="R467" s="9"/>
      <c r="S467" s="8" t="str">
        <f>IFERROR(__xludf.DUMMYFUNCTION("""COMPUTED_VALUE"""),"20230615_レジンエンターテインメント_雪辱の花")</f>
        <v>20230615_レジンエンターテインメント_雪辱の花</v>
      </c>
      <c r="T467" s="9"/>
      <c r="U467" s="9" t="str">
        <f>IFERROR(__xludf.DUMMYFUNCTION("""COMPUTED_VALUE"""),"© snob / レジンコミックス")</f>
        <v>© snob / レジンコミックス</v>
      </c>
      <c r="V467" s="8" t="str">
        <f>IFERROR(__xludf.DUMMYFUNCTION("""COMPUTED_VALUE"""),"#苦労人受け#絶倫攻め#主従関係#オリエンタル#復讐 眩いばかりの満月が浮かんだ夜、クォン・ヒリャンの無慈悲な刃によってイ・ヨンジョの家門は没落してしまう。一夜にして全てを失ったヨンジョ。彼はその美貌の影に復讐の念を忍ばせ、ヒリャンに近づくのだが…
")</f>
        <v>#苦労人受け#絶倫攻め#主従関係#オリエンタル#復讐 眩いばかりの満月が浮かんだ夜、クォン・ヒリャンの無慈悲な刃によってイ・ヨンジョの家門は没落してしまう。一夜にして全てを失ったヨンジョ。彼はその美貌の影に復讐の念を忍ばせ、ヒリャンに近づくのだが…
</v>
      </c>
      <c r="W467" s="8"/>
      <c r="X467" s="8" t="str">
        <f>IFERROR(__xludf.DUMMYFUNCTION("""COMPUTED_VALUE"""),"有")</f>
        <v>有</v>
      </c>
      <c r="Y467" s="8" t="str">
        <f>IFERROR(__xludf.DUMMYFUNCTION("""COMPUTED_VALUE"""),"7/27まで1～3巻無料")</f>
        <v>7/27まで1～3巻無料</v>
      </c>
      <c r="Z467" s="7"/>
      <c r="AA467" s="7"/>
      <c r="AB467" s="7"/>
    </row>
    <row r="468" ht="15.75" customHeight="1">
      <c r="A468" s="8">
        <f>IFERROR(__xludf.DUMMYFUNCTION("""COMPUTED_VALUE"""),2073.0)</f>
        <v>2073</v>
      </c>
      <c r="B468" s="9" t="str">
        <f>IFERROR(__xludf.DUMMYFUNCTION("""COMPUTED_VALUE"""),"確定")</f>
        <v>確定</v>
      </c>
      <c r="C468" s="10">
        <f>IFERROR(__xludf.DUMMYFUNCTION("""COMPUTED_VALUE"""),45092.0)</f>
        <v>45092</v>
      </c>
      <c r="D468" s="10">
        <f>IFERROR(__xludf.DUMMYFUNCTION("""COMPUTED_VALUE"""),45092.0)</f>
        <v>45092</v>
      </c>
      <c r="E468" s="8">
        <f>IFERROR(__xludf.DUMMYFUNCTION("""COMPUTED_VALUE"""),270037.0)</f>
        <v>270037</v>
      </c>
      <c r="F468" s="9" t="str">
        <f>IFERROR(__xludf.DUMMYFUNCTION("""COMPUTED_VALUE"""),"白い肌、重なる爪痕")</f>
        <v>白い肌、重なる爪痕</v>
      </c>
      <c r="G468" s="11" t="str">
        <f>IFERROR(__xludf.DUMMYFUNCTION("""COMPUTED_VALUE"""),"1～3")</f>
        <v>1～3</v>
      </c>
      <c r="H468" s="8" t="str">
        <f>IFERROR(__xludf.DUMMYFUNCTION("""COMPUTED_VALUE"""),"さんやさん")</f>
        <v>さんやさん</v>
      </c>
      <c r="I468" s="14" t="str">
        <f>IFERROR(__xludf.DUMMYFUNCTION("""COMPUTED_VALUE"""),"BL")</f>
        <v>BL</v>
      </c>
      <c r="J468" s="8"/>
      <c r="K468" s="8"/>
      <c r="L468" s="8" t="str">
        <f>IFERROR(__xludf.DUMMYFUNCTION("""COMPUTED_VALUE"""),"アイプロダクション")</f>
        <v>アイプロダクション</v>
      </c>
      <c r="M468" s="12">
        <f>IFERROR(__xludf.DUMMYFUNCTION("""COMPUTED_VALUE"""),45120.0)</f>
        <v>45120</v>
      </c>
      <c r="N468" s="12">
        <f>IFERROR(__xludf.DUMMYFUNCTION("""COMPUTED_VALUE"""),45181.0)</f>
        <v>45181</v>
      </c>
      <c r="O468" s="11"/>
      <c r="P468" s="9" t="str">
        <f>IFERROR(__xludf.DUMMYFUNCTION("""COMPUTED_VALUE"""),"可")</f>
        <v>可</v>
      </c>
      <c r="Q468" s="8"/>
      <c r="R468" s="9"/>
      <c r="S468" s="8" t="str">
        <f>IFERROR(__xludf.DUMMYFUNCTION("""COMPUTED_VALUE"""),"20230615_アイプロダクション_白い肌、重なる爪痕")</f>
        <v>20230615_アイプロダクション_白い肌、重なる爪痕</v>
      </c>
      <c r="T468" s="9"/>
      <c r="U468" s="9" t="str">
        <f>IFERROR(__xludf.DUMMYFUNCTION("""COMPUTED_VALUE"""),"さんやさん/アイプロダクション")</f>
        <v>さんやさん/アイプロダクション</v>
      </c>
      <c r="V468" s="8" t="str">
        <f>IFERROR(__xludf.DUMMYFUNCTION("""COMPUTED_VALUE"""),"「淫乱。もっと見てやるよ」――大学2年の笑也（えみや）は、中３の夏から卒業までの記憶が欠けている。そんなある日、推しの動画配信者・『鬼畜双子』の綴（つづる）――通称《ツヅ様》がSNSでコンタクトを取ってきて、会うことに！　なんとその《ツヅ様》は、笑也の記憶の空白期間に“隣に住む顔見知りだった”と判明する。「俺達のことを思い出したいか」――記憶を取り戻す“荒療治”の始まりは、綴とラブホで一緒に入浴することから!?　笑也の身体は確かにうずいていて、「自分は綴と恋人だったのか」と尋ねる。しかし綴には「お前は誰と"&amp;"でもヤる奴だった」と言い捨てられてしまう。どうやら笑也の過去には、もう一人の男の影がちらついているようで……？　それなのに、綴は独占欲を丸出しにして笑也を決して離さない。笑也の欠けた記憶と性癖を、いじり舐めるように暴いていく、歪んだ純愛ストーリー。")</f>
        <v>「淫乱。もっと見てやるよ」――大学2年の笑也（えみや）は、中３の夏から卒業までの記憶が欠けている。そんなある日、推しの動画配信者・『鬼畜双子』の綴（つづる）――通称《ツヅ様》がSNSでコンタクトを取ってきて、会うことに！　なんとその《ツヅ様》は、笑也の記憶の空白期間に“隣に住む顔見知りだった”と判明する。「俺達のことを思い出したいか」――記憶を取り戻す“荒療治”の始まりは、綴とラブホで一緒に入浴することから!?　笑也の身体は確かにうずいていて、「自分は綴と恋人だったのか」と尋ねる。しかし綴には「お前は誰とでもヤる奴だった」と言い捨てられてしまう。どうやら笑也の過去には、もう一人の男の影がちらついているようで……？　それなのに、綴は独占欲を丸出しにして笑也を決して離さない。笑也の欠けた記憶と性癖を、いじり舐めるように暴いていく、歪んだ純愛ストーリー。</v>
      </c>
      <c r="W468" s="8"/>
      <c r="X468" s="8" t="str">
        <f>IFERROR(__xludf.DUMMYFUNCTION("""COMPUTED_VALUE"""),"有")</f>
        <v>有</v>
      </c>
      <c r="Y468" s="8" t="str">
        <f>IFERROR(__xludf.DUMMYFUNCTION("""COMPUTED_VALUE"""),"8/12まで1巻無料")</f>
        <v>8/12まで1巻無料</v>
      </c>
      <c r="Z468" s="7"/>
      <c r="AA468" s="7"/>
      <c r="AB468" s="7"/>
    </row>
    <row r="469" ht="15.75" customHeight="1">
      <c r="A469" s="8">
        <f>IFERROR(__xludf.DUMMYFUNCTION("""COMPUTED_VALUE"""),2075.0)</f>
        <v>2075</v>
      </c>
      <c r="B469" s="9" t="str">
        <f>IFERROR(__xludf.DUMMYFUNCTION("""COMPUTED_VALUE"""),"確定")</f>
        <v>確定</v>
      </c>
      <c r="C469" s="10">
        <f>IFERROR(__xludf.DUMMYFUNCTION("""COMPUTED_VALUE"""),45096.0)</f>
        <v>45096</v>
      </c>
      <c r="D469" s="10">
        <f>IFERROR(__xludf.DUMMYFUNCTION("""COMPUTED_VALUE"""),45096.0)</f>
        <v>45096</v>
      </c>
      <c r="E469" s="8">
        <f>IFERROR(__xludf.DUMMYFUNCTION("""COMPUTED_VALUE"""),254632.0)</f>
        <v>254632</v>
      </c>
      <c r="F469" s="9" t="str">
        <f>IFERROR(__xludf.DUMMYFUNCTION("""COMPUTED_VALUE"""),"オレの股間はチート級～AV男優の異世界無双～")</f>
        <v>オレの股間はチート級～AV男優の異世界無双～</v>
      </c>
      <c r="G469" s="11" t="str">
        <f>IFERROR(__xludf.DUMMYFUNCTION("""COMPUTED_VALUE"""),"1～3")</f>
        <v>1～3</v>
      </c>
      <c r="H469" s="8" t="str">
        <f>IFERROR(__xludf.DUMMYFUNCTION("""COMPUTED_VALUE"""),"水風天")</f>
        <v>水風天</v>
      </c>
      <c r="I469" s="14" t="str">
        <f>IFERROR(__xludf.DUMMYFUNCTION("""COMPUTED_VALUE"""),"青年")</f>
        <v>青年</v>
      </c>
      <c r="J469" s="8"/>
      <c r="K469" s="8"/>
      <c r="L469" s="8" t="str">
        <f>IFERROR(__xludf.DUMMYFUNCTION("""COMPUTED_VALUE"""),"ソルマーレ編集部")</f>
        <v>ソルマーレ編集部</v>
      </c>
      <c r="M469" s="12">
        <f>IFERROR(__xludf.DUMMYFUNCTION("""COMPUTED_VALUE"""),45129.0)</f>
        <v>45129</v>
      </c>
      <c r="N469" s="12">
        <f>IFERROR(__xludf.DUMMYFUNCTION("""COMPUTED_VALUE"""),45225.66666666667)</f>
        <v>45225.66667</v>
      </c>
      <c r="O469" s="11"/>
      <c r="P469" s="9" t="str">
        <f>IFERROR(__xludf.DUMMYFUNCTION("""COMPUTED_VALUE"""),"可")</f>
        <v>可</v>
      </c>
      <c r="Q469" s="8" t="str">
        <f>IFERROR(__xludf.DUMMYFUNCTION("""COMPUTED_VALUE"""),"※正式タイトル下記の通りです（6/19）&lt;BR&gt;＝＝＝&lt;BR&gt;オレの股間はチート級～AV男優の異世界無双～&lt;BR&gt;＝＝＝&lt;BR&gt;")</f>
        <v>※正式タイトル下記の通りです（6/19）&lt;BR&gt;＝＝＝&lt;BR&gt;オレの股間はチート級～AV男優の異世界無双～&lt;BR&gt;＝＝＝&lt;BR&gt;</v>
      </c>
      <c r="R469" s="9"/>
      <c r="S469" s="8" t="str">
        <f>IFERROR(__xludf.DUMMYFUNCTION("""COMPUTED_VALUE"""),"20230619_ソルマーレ編集部_オレの股間はチート級～AV男優の異世界無双～")</f>
        <v>20230619_ソルマーレ編集部_オレの股間はチート級～AV男優の異世界無双～</v>
      </c>
      <c r="T469" s="15"/>
      <c r="U469" s="9" t="str">
        <f>IFERROR(__xludf.DUMMYFUNCTION("""COMPUTED_VALUE"""),"Ⓒ 水風天/シーモアコミックス")</f>
        <v>Ⓒ 水風天/シーモアコミックス</v>
      </c>
      <c r="V469" s="8" t="str">
        <f>IFERROR(__xludf.DUMMYFUNCTION("""COMPUTED_VALUE"""),"「も…だめ、またイっちゃう…」。女性をイかせるテクは絶品と評判の譲二は今日もその才を活かしてAV男優として撮影に臨んでいた。しかし突如撮影が中止に。テクに反して譲二の残念な顔で女優からまさかのNGをくらったのだ。「今月これで3回目の中止かぁ」。テクニックを活かせる天職と思っていたAV男優でも成功できないことに落ち込んでいた譲二だが、ふとしたきっかけで異世界転移してしまう。【桃色エンジェル】
")</f>
        <v>「も…だめ、またイっちゃう…」。女性をイかせるテクは絶品と評判の譲二は今日もその才を活かしてAV男優として撮影に臨んでいた。しかし突如撮影が中止に。テクに反して譲二の残念な顔で女優からまさかのNGをくらったのだ。「今月これで3回目の中止かぁ」。テクニックを活かせる天職と思っていたAV男優でも成功できないことに落ち込んでいた譲二だが、ふとしたきっかけで異世界転移してしまう。【桃色エンジェル】
</v>
      </c>
      <c r="W469" s="8"/>
      <c r="X469" s="8" t="str">
        <f>IFERROR(__xludf.DUMMYFUNCTION("""COMPUTED_VALUE"""),"有")</f>
        <v>有</v>
      </c>
      <c r="Y469" s="8" t="str">
        <f>IFERROR(__xludf.DUMMYFUNCTION("""COMPUTED_VALUE"""),"8/4まで1巻無料")</f>
        <v>8/4まで1巻無料</v>
      </c>
      <c r="Z469" s="7"/>
      <c r="AA469" s="7"/>
      <c r="AB469" s="7"/>
    </row>
    <row r="470" ht="15.75" customHeight="1">
      <c r="A470" s="8">
        <f>IFERROR(__xludf.DUMMYFUNCTION("""COMPUTED_VALUE"""),2076.0)</f>
        <v>2076</v>
      </c>
      <c r="B470" s="9" t="str">
        <f>IFERROR(__xludf.DUMMYFUNCTION("""COMPUTED_VALUE"""),"確定")</f>
        <v>確定</v>
      </c>
      <c r="C470" s="10">
        <f>IFERROR(__xludf.DUMMYFUNCTION("""COMPUTED_VALUE"""),45096.0)</f>
        <v>45096</v>
      </c>
      <c r="D470" s="10">
        <f>IFERROR(__xludf.DUMMYFUNCTION("""COMPUTED_VALUE"""),45096.0)</f>
        <v>45096</v>
      </c>
      <c r="E470" s="8">
        <f>IFERROR(__xludf.DUMMYFUNCTION("""COMPUTED_VALUE"""),252924.0)</f>
        <v>252924</v>
      </c>
      <c r="F470" s="9" t="str">
        <f>IFERROR(__xludf.DUMMYFUNCTION("""COMPUTED_VALUE"""),"私が獣になった夜～初恋の先生との夜、大人になりたい私～")</f>
        <v>私が獣になった夜～初恋の先生との夜、大人になりたい私～</v>
      </c>
      <c r="G470" s="11" t="str">
        <f>IFERROR(__xludf.DUMMYFUNCTION("""COMPUTED_VALUE"""),"1～3")</f>
        <v>1～3</v>
      </c>
      <c r="H470" s="8" t="str">
        <f>IFERROR(__xludf.DUMMYFUNCTION("""COMPUTED_VALUE"""),"うめだ悠")</f>
        <v>うめだ悠</v>
      </c>
      <c r="I470" s="14" t="str">
        <f>IFERROR(__xludf.DUMMYFUNCTION("""COMPUTED_VALUE"""),"女性")</f>
        <v>女性</v>
      </c>
      <c r="J470" s="8"/>
      <c r="K470" s="8"/>
      <c r="L470" s="8" t="str">
        <f>IFERROR(__xludf.DUMMYFUNCTION("""COMPUTED_VALUE"""),"ソルマーレ編集部")</f>
        <v>ソルマーレ編集部</v>
      </c>
      <c r="M470" s="12">
        <f>IFERROR(__xludf.DUMMYFUNCTION("""COMPUTED_VALUE"""),45129.0)</f>
        <v>45129</v>
      </c>
      <c r="N470" s="12">
        <f>IFERROR(__xludf.DUMMYFUNCTION("""COMPUTED_VALUE"""),45190.0)</f>
        <v>45190</v>
      </c>
      <c r="O470" s="11"/>
      <c r="P470" s="9" t="str">
        <f>IFERROR(__xludf.DUMMYFUNCTION("""COMPUTED_VALUE"""),"可")</f>
        <v>可</v>
      </c>
      <c r="Q470" s="8"/>
      <c r="R470" s="9"/>
      <c r="S470" s="8" t="str">
        <f>IFERROR(__xludf.DUMMYFUNCTION("""COMPUTED_VALUE"""),"20230619_ソルマーレ編集部_私が獣になった夜 ～初恋の先生との夜、大人になりたい私～")</f>
        <v>20230619_ソルマーレ編集部_私が獣になった夜 ～初恋の先生との夜、大人になりたい私～</v>
      </c>
      <c r="T470" s="15"/>
      <c r="U470" s="9" t="str">
        <f>IFERROR(__xludf.DUMMYFUNCTION("""COMPUTED_VALUE"""),"Ⓒ うめだ悠/シーモアコミックス")</f>
        <v>Ⓒ うめだ悠/シーモアコミックス</v>
      </c>
      <c r="V470" s="8" t="str">
        <f>IFERROR(__xludf.DUMMYFUNCTION("""COMPUTED_VALUE"""),"容姿端麗で営業部の次期エースと言われている中城ひかる。
男性からの誘いも鉄壁のガードで断ってばかりな彼女だが、
実は学生時代、スポーツ少女だったから、男慣れしていないだけであった…！！
そんな彼女が唯一普通に話せた男性は家庭教師の成海先生。
叶わなかった初恋…再会できたら、大人になった自分を見てほしいと、淡い想いを秘めていた。
しかし、偶然再会した場所は、ドすっぴんで買い物に出ていた時で!?
「無防備な中城さんは僕だけが知ってる秘密？」
優しかった先生は少し、意地悪にもなっていて――。再会から始まる大人の"&amp;"初恋物語！【恋するソワレ】")</f>
        <v>容姿端麗で営業部の次期エースと言われている中城ひかる。
男性からの誘いも鉄壁のガードで断ってばかりな彼女だが、
実は学生時代、スポーツ少女だったから、男慣れしていないだけであった…！！
そんな彼女が唯一普通に話せた男性は家庭教師の成海先生。
叶わなかった初恋…再会できたら、大人になった自分を見てほしいと、淡い想いを秘めていた。
しかし、偶然再会した場所は、ドすっぴんで買い物に出ていた時で!?
「無防備な中城さんは僕だけが知ってる秘密？」
優しかった先生は少し、意地悪にもなっていて――。再会から始まる大人の初恋物語！【恋するソワレ】</v>
      </c>
      <c r="W470" s="8"/>
      <c r="X470" s="8" t="str">
        <f>IFERROR(__xludf.DUMMYFUNCTION("""COMPUTED_VALUE"""),"有")</f>
        <v>有</v>
      </c>
      <c r="Y470" s="8" t="str">
        <f>IFERROR(__xludf.DUMMYFUNCTION("""COMPUTED_VALUE"""),"9/7まで1巻無料")</f>
        <v>9/7まで1巻無料</v>
      </c>
      <c r="Z470" s="7"/>
      <c r="AA470" s="7"/>
      <c r="AB470" s="7"/>
    </row>
    <row r="471" ht="15.75" customHeight="1">
      <c r="A471" s="8">
        <f>IFERROR(__xludf.DUMMYFUNCTION("""COMPUTED_VALUE"""),2077.0)</f>
        <v>2077</v>
      </c>
      <c r="B471" s="9" t="str">
        <f>IFERROR(__xludf.DUMMYFUNCTION("""COMPUTED_VALUE"""),"確定")</f>
        <v>確定</v>
      </c>
      <c r="C471" s="10">
        <f>IFERROR(__xludf.DUMMYFUNCTION("""COMPUTED_VALUE"""),45096.0)</f>
        <v>45096</v>
      </c>
      <c r="D471" s="10">
        <f>IFERROR(__xludf.DUMMYFUNCTION("""COMPUTED_VALUE"""),45096.0)</f>
        <v>45096</v>
      </c>
      <c r="E471" s="8">
        <f>IFERROR(__xludf.DUMMYFUNCTION("""COMPUTED_VALUE"""),254636.0)</f>
        <v>254636</v>
      </c>
      <c r="F471" s="9" t="str">
        <f>IFERROR(__xludf.DUMMYFUNCTION("""COMPUTED_VALUE"""),"私が獣になった夜～推し似男子との夜、ファンでいられない私～")</f>
        <v>私が獣になった夜～推し似男子との夜、ファンでいられない私～</v>
      </c>
      <c r="G471" s="11" t="str">
        <f>IFERROR(__xludf.DUMMYFUNCTION("""COMPUTED_VALUE"""),"1～3")</f>
        <v>1～3</v>
      </c>
      <c r="H471" s="8" t="str">
        <f>IFERROR(__xludf.DUMMYFUNCTION("""COMPUTED_VALUE"""),"楠もこ")</f>
        <v>楠もこ</v>
      </c>
      <c r="I471" s="14" t="str">
        <f>IFERROR(__xludf.DUMMYFUNCTION("""COMPUTED_VALUE"""),"女性")</f>
        <v>女性</v>
      </c>
      <c r="J471" s="8"/>
      <c r="K471" s="8"/>
      <c r="L471" s="8" t="str">
        <f>IFERROR(__xludf.DUMMYFUNCTION("""COMPUTED_VALUE"""),"ソルマーレ編集部")</f>
        <v>ソルマーレ編集部</v>
      </c>
      <c r="M471" s="12">
        <f>IFERROR(__xludf.DUMMYFUNCTION("""COMPUTED_VALUE"""),45129.0)</f>
        <v>45129</v>
      </c>
      <c r="N471" s="12">
        <f>IFERROR(__xludf.DUMMYFUNCTION("""COMPUTED_VALUE"""),45190.0)</f>
        <v>45190</v>
      </c>
      <c r="O471" s="11"/>
      <c r="P471" s="9" t="str">
        <f>IFERROR(__xludf.DUMMYFUNCTION("""COMPUTED_VALUE"""),"可")</f>
        <v>可</v>
      </c>
      <c r="Q471" s="8"/>
      <c r="R471" s="9"/>
      <c r="S471" s="8" t="str">
        <f>IFERROR(__xludf.DUMMYFUNCTION("""COMPUTED_VALUE"""),"20230619_ソルマーレ編集部_私が獣になった夜～推し似男子との夜、ファンでいられない私～")</f>
        <v>20230619_ソルマーレ編集部_私が獣になった夜～推し似男子との夜、ファンでいられない私～</v>
      </c>
      <c r="T471" s="15"/>
      <c r="U471" s="9" t="str">
        <f>IFERROR(__xludf.DUMMYFUNCTION("""COMPUTED_VALUE"""),"Ⓒ 楠もこ/シーモアコミックス")</f>
        <v>Ⓒ 楠もこ/シーモアコミックス</v>
      </c>
      <c r="V471" s="8" t="str">
        <f>IFERROR(__xludf.DUMMYFUNCTION("""COMPUTED_VALUE"""),"「彼の気持ちはわからないけど…私はもう、惹かれ始めてるのかもしれない」恋愛も結婚もそっちのけで、気づけばもう30歳――人気ファッション誌の副編集長をしている由夏は、仕事と「推し活」で多忙な毎日。
推しのスキャンダルで落ち込んでいたある日、ダサめなファッションに身を包む大学生アルバイト・冬弥に、趣味バレしてしまった上に、眼鏡と前髪に隠れた彼の顔が推しソックリなことに気づいてしまって…!?
ときめいてしまうのは彼が推しに似てるせい？ それとも――隠れイケメンな年下男子×バリキャリ女子のシークレット・ラブ。【恋"&amp;"するソワレ】")</f>
        <v>「彼の気持ちはわからないけど…私はもう、惹かれ始めてるのかもしれない」恋愛も結婚もそっちのけで、気づけばもう30歳――人気ファッション誌の副編集長をしている由夏は、仕事と「推し活」で多忙な毎日。
推しのスキャンダルで落ち込んでいたある日、ダサめなファッションに身を包む大学生アルバイト・冬弥に、趣味バレしてしまった上に、眼鏡と前髪に隠れた彼の顔が推しソックリなことに気づいてしまって…!?
ときめいてしまうのは彼が推しに似てるせい？ それとも――隠れイケメンな年下男子×バリキャリ女子のシークレット・ラブ。【恋するソワレ】</v>
      </c>
      <c r="W471" s="8"/>
      <c r="X471" s="8" t="str">
        <f>IFERROR(__xludf.DUMMYFUNCTION("""COMPUTED_VALUE"""),"有")</f>
        <v>有</v>
      </c>
      <c r="Y471" s="8" t="str">
        <f>IFERROR(__xludf.DUMMYFUNCTION("""COMPUTED_VALUE"""),"9/7まで1巻無料")</f>
        <v>9/7まで1巻無料</v>
      </c>
      <c r="Z471" s="7"/>
      <c r="AA471" s="7"/>
      <c r="AB471" s="7"/>
    </row>
    <row r="472" ht="15.75" customHeight="1">
      <c r="A472" s="8">
        <f>IFERROR(__xludf.DUMMYFUNCTION("""COMPUTED_VALUE"""),2078.0)</f>
        <v>2078</v>
      </c>
      <c r="B472" s="9" t="str">
        <f>IFERROR(__xludf.DUMMYFUNCTION("""COMPUTED_VALUE"""),"確定")</f>
        <v>確定</v>
      </c>
      <c r="C472" s="10">
        <f>IFERROR(__xludf.DUMMYFUNCTION("""COMPUTED_VALUE"""),45096.0)</f>
        <v>45096</v>
      </c>
      <c r="D472" s="10">
        <f>IFERROR(__xludf.DUMMYFUNCTION("""COMPUTED_VALUE"""),45096.0)</f>
        <v>45096</v>
      </c>
      <c r="E472" s="8">
        <f>IFERROR(__xludf.DUMMYFUNCTION("""COMPUTED_VALUE"""),257773.0)</f>
        <v>257773</v>
      </c>
      <c r="F472" s="9" t="str">
        <f>IFERROR(__xludf.DUMMYFUNCTION("""COMPUTED_VALUE"""),"私が獣になった夜～優しい男との夜、嘘の優しさはいらない私～")</f>
        <v>私が獣になった夜～優しい男との夜、嘘の優しさはいらない私～</v>
      </c>
      <c r="G472" s="11" t="str">
        <f>IFERROR(__xludf.DUMMYFUNCTION("""COMPUTED_VALUE"""),"1～3")</f>
        <v>1～3</v>
      </c>
      <c r="H472" s="8" t="str">
        <f>IFERROR(__xludf.DUMMYFUNCTION("""COMPUTED_VALUE"""),"矢島光")</f>
        <v>矢島光</v>
      </c>
      <c r="I472" s="14" t="str">
        <f>IFERROR(__xludf.DUMMYFUNCTION("""COMPUTED_VALUE"""),"女性")</f>
        <v>女性</v>
      </c>
      <c r="J472" s="8"/>
      <c r="K472" s="8"/>
      <c r="L472" s="8" t="str">
        <f>IFERROR(__xludf.DUMMYFUNCTION("""COMPUTED_VALUE"""),"ソルマーレ編集部")</f>
        <v>ソルマーレ編集部</v>
      </c>
      <c r="M472" s="12">
        <f>IFERROR(__xludf.DUMMYFUNCTION("""COMPUTED_VALUE"""),45129.0)</f>
        <v>45129</v>
      </c>
      <c r="N472" s="12">
        <f>IFERROR(__xludf.DUMMYFUNCTION("""COMPUTED_VALUE"""),45190.0)</f>
        <v>45190</v>
      </c>
      <c r="O472" s="11"/>
      <c r="P472" s="9" t="str">
        <f>IFERROR(__xludf.DUMMYFUNCTION("""COMPUTED_VALUE"""),"可")</f>
        <v>可</v>
      </c>
      <c r="Q472" s="8"/>
      <c r="R472" s="9"/>
      <c r="S472" s="8" t="str">
        <f>IFERROR(__xludf.DUMMYFUNCTION("""COMPUTED_VALUE"""),"20230619_ソルマーレ編集部_私が獣になった夜～優しい男との夜、嘘の優しさはいらない私～")</f>
        <v>20230619_ソルマーレ編集部_私が獣になった夜～優しい男との夜、嘘の優しさはいらない私～</v>
      </c>
      <c r="T472" s="15"/>
      <c r="U472" s="9" t="str">
        <f>IFERROR(__xludf.DUMMYFUNCTION("""COMPUTED_VALUE"""),"Ⓒ 矢島光/シーモアコミックス")</f>
        <v>Ⓒ 矢島光/シーモアコミックス</v>
      </c>
      <c r="V472" s="8" t="str">
        <f>IFERROR(__xludf.DUMMYFUNCTION("""COMPUTED_VALUE"""),"「この人は片手間じゃムリだ――…」
念願だったメイクアップアーティストになる夢を叶え、仕事に全力投球の小夏（こなつ）。だけど、恋愛にはなかなか積極的になれなくて…。唯一の心の癒しは、行きつけのタコス屋さんの店長・ごっちゃんとお喋りすること。今はこれくらいの距離感がちょうどいいと思っていたのに、ある夜をきっかけに2人の仲は近づいて――!?
仕事も恋も自分らしく頑張りたい令和の女の子たちに贈る等身大ラブストーリー開幕！【恋するソワレ】")</f>
        <v>「この人は片手間じゃムリだ――…」
念願だったメイクアップアーティストになる夢を叶え、仕事に全力投球の小夏（こなつ）。だけど、恋愛にはなかなか積極的になれなくて…。唯一の心の癒しは、行きつけのタコス屋さんの店長・ごっちゃんとお喋りすること。今はこれくらいの距離感がちょうどいいと思っていたのに、ある夜をきっかけに2人の仲は近づいて――!?
仕事も恋も自分らしく頑張りたい令和の女の子たちに贈る等身大ラブストーリー開幕！【恋するソワレ】</v>
      </c>
      <c r="W472" s="8"/>
      <c r="X472" s="8" t="str">
        <f>IFERROR(__xludf.DUMMYFUNCTION("""COMPUTED_VALUE"""),"有")</f>
        <v>有</v>
      </c>
      <c r="Y472" s="8" t="str">
        <f>IFERROR(__xludf.DUMMYFUNCTION("""COMPUTED_VALUE"""),"9/7まで1巻無料")</f>
        <v>9/7まで1巻無料</v>
      </c>
      <c r="Z472" s="7"/>
      <c r="AA472" s="7"/>
      <c r="AB472" s="7"/>
    </row>
    <row r="473" ht="15.75" customHeight="1">
      <c r="A473" s="8">
        <f>IFERROR(__xludf.DUMMYFUNCTION("""COMPUTED_VALUE"""),2079.0)</f>
        <v>2079</v>
      </c>
      <c r="B473" s="9" t="str">
        <f>IFERROR(__xludf.DUMMYFUNCTION("""COMPUTED_VALUE"""),"確定")</f>
        <v>確定</v>
      </c>
      <c r="C473" s="10">
        <f>IFERROR(__xludf.DUMMYFUNCTION("""COMPUTED_VALUE"""),45096.0)</f>
        <v>45096</v>
      </c>
      <c r="D473" s="10">
        <f>IFERROR(__xludf.DUMMYFUNCTION("""COMPUTED_VALUE"""),45096.0)</f>
        <v>45096</v>
      </c>
      <c r="E473" s="8">
        <f>IFERROR(__xludf.DUMMYFUNCTION("""COMPUTED_VALUE"""),272923.0)</f>
        <v>272923</v>
      </c>
      <c r="F473" s="9" t="str">
        <f>IFERROR(__xludf.DUMMYFUNCTION("""COMPUTED_VALUE"""),"3年5組〜絶体絶命！淫らな無人島サバイバル〜【タテヨミ】")</f>
        <v>3年5組〜絶体絶命！淫らな無人島サバイバル〜【タテヨミ】</v>
      </c>
      <c r="G473" s="16" t="str">
        <f>IFERROR(__xludf.DUMMYFUNCTION("""COMPUTED_VALUE"""),"1～20")</f>
        <v>1～20</v>
      </c>
      <c r="H473" s="8" t="str">
        <f>IFERROR(__xludf.DUMMYFUNCTION("""COMPUTED_VALUE"""),"ziroon")</f>
        <v>ziroon</v>
      </c>
      <c r="I473" s="8" t="str">
        <f>IFERROR(__xludf.DUMMYFUNCTION("""COMPUTED_VALUE"""),"青年")</f>
        <v>青年</v>
      </c>
      <c r="J473" s="8"/>
      <c r="K473" s="8"/>
      <c r="L473" s="8" t="str">
        <f>IFERROR(__xludf.DUMMYFUNCTION("""COMPUTED_VALUE"""),"レジンエンターテインメント")</f>
        <v>レジンエンターテインメント</v>
      </c>
      <c r="M473" s="12">
        <f>IFERROR(__xludf.DUMMYFUNCTION("""COMPUTED_VALUE"""),45128.0)</f>
        <v>45128</v>
      </c>
      <c r="N473" s="12">
        <f>IFERROR(__xludf.DUMMYFUNCTION("""COMPUTED_VALUE"""),45159.0)</f>
        <v>45159</v>
      </c>
      <c r="O473" s="11"/>
      <c r="P473" s="9" t="str">
        <f>IFERROR(__xludf.DUMMYFUNCTION("""COMPUTED_VALUE"""),"可")</f>
        <v>可</v>
      </c>
      <c r="Q473" s="8"/>
      <c r="R473" s="9"/>
      <c r="S473" s="8" t="str">
        <f>IFERROR(__xludf.DUMMYFUNCTION("""COMPUTED_VALUE"""),"20230619_レジンエンターテインメント_3年5組〜絶体絶命！淫らな無人島サバイバル〜")</f>
        <v>20230619_レジンエンターテインメント_3年5組〜絶体絶命！淫らな無人島サバイバル〜</v>
      </c>
      <c r="T473" s="9"/>
      <c r="U473" s="9" t="str">
        <f>IFERROR(__xludf.DUMMYFUNCTION("""COMPUTED_VALUE"""),"© 原作:campeace / 作画:ziroon / レジンコミックス")</f>
        <v>© 原作:campeace / 作画:ziroon / レジンコミックス</v>
      </c>
      <c r="V473" s="8" t="str">
        <f>IFERROR(__xludf.DUMMYFUNCTION("""COMPUTED_VALUE"""),"［100万円もゲットして！同級生と無人島で色んなゲームを楽しもう！］ある日突然、海島高校3年5組の卒業生に届いた一通のメール。クラスメイト全員がゲームに参加するだけで、一人当たり100万円がもらえる!? そんな怪しい同窓会に半信半疑だったものの、面白半分でゲームに参加することになった３年５組の卒業生たち。そして一人ずつ、秘められた記憶の中の、過去の自分と向き合うことになるのだが…。
")</f>
        <v>［100万円もゲットして！同級生と無人島で色んなゲームを楽しもう！］ある日突然、海島高校3年5組の卒業生に届いた一通のメール。クラスメイト全員がゲームに参加するだけで、一人当たり100万円がもらえる!? そんな怪しい同窓会に半信半疑だったものの、面白半分でゲームに参加することになった３年５組の卒業生たち。そして一人ずつ、秘められた記憶の中の、過去の自分と向き合うことになるのだが…。
</v>
      </c>
      <c r="W473" s="8"/>
      <c r="X473" s="8" t="str">
        <f>IFERROR(__xludf.DUMMYFUNCTION("""COMPUTED_VALUE"""),"有")</f>
        <v>有</v>
      </c>
      <c r="Y473" s="8" t="str">
        <f>IFERROR(__xludf.DUMMYFUNCTION("""COMPUTED_VALUE"""),"8/3まで1~3巻無料")</f>
        <v>8/3まで1~3巻無料</v>
      </c>
      <c r="Z473" s="7"/>
      <c r="AA473" s="7"/>
      <c r="AB473" s="7"/>
    </row>
    <row r="474" ht="15.75" customHeight="1">
      <c r="A474" s="8">
        <f>IFERROR(__xludf.DUMMYFUNCTION("""COMPUTED_VALUE"""),2082.0)</f>
        <v>2082</v>
      </c>
      <c r="B474" s="9" t="str">
        <f>IFERROR(__xludf.DUMMYFUNCTION("""COMPUTED_VALUE"""),"確定")</f>
        <v>確定</v>
      </c>
      <c r="C474" s="10">
        <f>IFERROR(__xludf.DUMMYFUNCTION("""COMPUTED_VALUE"""),45097.0)</f>
        <v>45097</v>
      </c>
      <c r="D474" s="10">
        <f>IFERROR(__xludf.DUMMYFUNCTION("""COMPUTED_VALUE"""),45097.0)</f>
        <v>45097</v>
      </c>
      <c r="E474" s="8">
        <f>IFERROR(__xludf.DUMMYFUNCTION("""COMPUTED_VALUE"""),273344.0)</f>
        <v>273344</v>
      </c>
      <c r="F474" s="9" t="str">
        <f>IFERROR(__xludf.DUMMYFUNCTION("""COMPUTED_VALUE"""),"【単話】意地悪な母と姉に売られた私。 何故か若頭に溺愛されてます")</f>
        <v>【単話】意地悪な母と姉に売られた私。 何故か若頭に溺愛されてます</v>
      </c>
      <c r="G474" s="11" t="str">
        <f>IFERROR(__xludf.DUMMYFUNCTION("""COMPUTED_VALUE"""),"1~6")</f>
        <v>1~6</v>
      </c>
      <c r="H474" s="8" t="str">
        <f>IFERROR(__xludf.DUMMYFUNCTION("""COMPUTED_VALUE"""),"漫画：すずまる、原作：美月りん")</f>
        <v>漫画：すずまる、原作：美月りん</v>
      </c>
      <c r="I474" s="8" t="str">
        <f>IFERROR(__xludf.DUMMYFUNCTION("""COMPUTED_VALUE"""),"女性")</f>
        <v>女性</v>
      </c>
      <c r="J474" s="8"/>
      <c r="K474" s="8"/>
      <c r="L474" s="8" t="str">
        <f>IFERROR(__xludf.DUMMYFUNCTION("""COMPUTED_VALUE"""),"KADOKAWA")</f>
        <v>KADOKAWA</v>
      </c>
      <c r="M474" s="12">
        <f>IFERROR(__xludf.DUMMYFUNCTION("""COMPUTED_VALUE"""),45139.0)</f>
        <v>45139</v>
      </c>
      <c r="N474" s="12">
        <f>IFERROR(__xludf.DUMMYFUNCTION("""COMPUTED_VALUE"""),45197.0)</f>
        <v>45197</v>
      </c>
      <c r="O474" s="11"/>
      <c r="P474" s="9" t="str">
        <f>IFERROR(__xludf.DUMMYFUNCTION("""COMPUTED_VALUE"""),"否")</f>
        <v>否</v>
      </c>
      <c r="Q474" s="8" t="str">
        <f>IFERROR(__xludf.DUMMYFUNCTION("""COMPUTED_VALUE"""),"素材格納（6/20）&lt;BR&gt;シーモア独占先行")</f>
        <v>素材格納（6/20）&lt;BR&gt;シーモア独占先行</v>
      </c>
      <c r="R474" s="9" t="str">
        <f>IFERROR(__xludf.DUMMYFUNCTION("""COMPUTED_VALUE"""),"格納済")</f>
        <v>格納済</v>
      </c>
      <c r="S474" s="8" t="str">
        <f>IFERROR(__xludf.DUMMYFUNCTION("""COMPUTED_VALUE"""),"20230820_KADOKAWA_意地悪な母と姉に売られた私")</f>
        <v>20230820_KADOKAWA_意地悪な母と姉に売られた私</v>
      </c>
      <c r="T474" s="9" t="str">
        <f>IFERROR(__xludf.DUMMYFUNCTION("""COMPUTED_VALUE"""),"雑誌素材")</f>
        <v>雑誌素材</v>
      </c>
      <c r="U474" s="9" t="str">
        <f>IFERROR(__xludf.DUMMYFUNCTION("""COMPUTED_VALUE"""),"(C)Suzumaru　(C)Rin Mitsuki")</f>
        <v>(C)Suzumaru　(C)Rin Mitsuki</v>
      </c>
      <c r="V474" s="8" t="str">
        <f>IFERROR(__xludf.DUMMYFUNCTION("""COMPUTED_VALUE"""),"実の母と姉に虐げられて育った菫は、進学を許されず、仕事を掛け持ちして稼いだお金はすべて浪費家の二人に取り上げられている。家に帰っても休む間もなくこき使われ、唯一の癒しは本を読んでいる時間だけ。
そんなある日、姉が作った借金の取り立てに、獅月組の若頭を名乗るヤクザが押しかけてきて!?
※本作はB's-LOG　COMICに掲載された内容になります。重複購入にご注意ください。")</f>
        <v>実の母と姉に虐げられて育った菫は、進学を許されず、仕事を掛け持ちして稼いだお金はすべて浪費家の二人に取り上げられている。家に帰っても休む間もなくこき使われ、唯一の癒しは本を読んでいる時間だけ。
そんなある日、姉が作った借金の取り立てに、獅月組の若頭を名乗るヤクザが押しかけてきて!?
※本作はB's-LOG　COMICに掲載された内容になります。重複購入にご注意ください。</v>
      </c>
      <c r="W474" s="8"/>
      <c r="X474" s="8" t="str">
        <f>IFERROR(__xludf.DUMMYFUNCTION("""COMPUTED_VALUE"""),"有")</f>
        <v>有</v>
      </c>
      <c r="Y474" s="8" t="str">
        <f>IFERROR(__xludf.DUMMYFUNCTION("""COMPUTED_VALUE"""),"P10まで")</f>
        <v>P10まで</v>
      </c>
      <c r="Z474" s="7"/>
      <c r="AA474" s="7"/>
      <c r="AB474" s="7"/>
    </row>
    <row r="475" ht="15.75" customHeight="1">
      <c r="A475" s="8">
        <f>IFERROR(__xludf.DUMMYFUNCTION("""COMPUTED_VALUE"""),2083.0)</f>
        <v>2083</v>
      </c>
      <c r="B475" s="9" t="str">
        <f>IFERROR(__xludf.DUMMYFUNCTION("""COMPUTED_VALUE"""),"確定")</f>
        <v>確定</v>
      </c>
      <c r="C475" s="10">
        <f>IFERROR(__xludf.DUMMYFUNCTION("""COMPUTED_VALUE"""),45097.0)</f>
        <v>45097</v>
      </c>
      <c r="D475" s="10">
        <f>IFERROR(__xludf.DUMMYFUNCTION("""COMPUTED_VALUE"""),45097.0)</f>
        <v>45097</v>
      </c>
      <c r="E475" s="8">
        <f>IFERROR(__xludf.DUMMYFUNCTION("""COMPUTED_VALUE"""),273892.0)</f>
        <v>273892</v>
      </c>
      <c r="F475" s="9" t="str">
        <f>IFERROR(__xludf.DUMMYFUNCTION("""COMPUTED_VALUE"""),"高嶺の花を抱いたなら")</f>
        <v>高嶺の花を抱いたなら</v>
      </c>
      <c r="G475" s="11" t="str">
        <f>IFERROR(__xludf.DUMMYFUNCTION("""COMPUTED_VALUE"""),"1～3")</f>
        <v>1～3</v>
      </c>
      <c r="H475" s="8" t="str">
        <f>IFERROR(__xludf.DUMMYFUNCTION("""COMPUTED_VALUE"""),"LSD")</f>
        <v>LSD</v>
      </c>
      <c r="I475" s="8" t="str">
        <f>IFERROR(__xludf.DUMMYFUNCTION("""COMPUTED_VALUE"""),"青年")</f>
        <v>青年</v>
      </c>
      <c r="J475" s="8"/>
      <c r="K475" s="8"/>
      <c r="L475" s="8" t="str">
        <f>IFERROR(__xludf.DUMMYFUNCTION("""COMPUTED_VALUE"""),"Rush!")</f>
        <v>Rush!</v>
      </c>
      <c r="M475" s="12">
        <f>IFERROR(__xludf.DUMMYFUNCTION("""COMPUTED_VALUE"""),45149.0)</f>
        <v>45149</v>
      </c>
      <c r="N475" s="12">
        <f>IFERROR(__xludf.DUMMYFUNCTION("""COMPUTED_VALUE"""),45239.0)</f>
        <v>45239</v>
      </c>
      <c r="O475" s="11"/>
      <c r="P475" s="9" t="str">
        <f>IFERROR(__xludf.DUMMYFUNCTION("""COMPUTED_VALUE"""),"可")</f>
        <v>可</v>
      </c>
      <c r="Q475" s="8" t="str">
        <f>IFERROR(__xludf.DUMMYFUNCTION("""COMPUTED_VALUE"""),"協業レーベル『シーモア×Rush!』作品です。")</f>
        <v>協業レーベル『シーモア×Rush!』作品です。</v>
      </c>
      <c r="R475" s="9"/>
      <c r="S475" s="8" t="str">
        <f>IFERROR(__xludf.DUMMYFUNCTION("""COMPUTED_VALUE"""),"20230620_ファンギルド_高嶺の花を抱いたなら")</f>
        <v>20230620_ファンギルド_高嶺の花を抱いたなら</v>
      </c>
      <c r="T475" s="9"/>
      <c r="U475" s="9" t="str">
        <f>IFERROR(__xludf.DUMMYFUNCTION("""COMPUTED_VALUE"""),"©LSD/vandalgo/TOPTOON")</f>
        <v>©LSD/vandalgo/TOPTOON</v>
      </c>
      <c r="V475" s="8" t="str">
        <f>IFERROR(__xludf.DUMMYFUNCTION("""COMPUTED_VALUE"""),"「なぜ山に登るのか――それはそこに女がいるからさ」登山サークルに所属する岳（がく）は、サークルのマドンナである眞衣（まい）に憧れを抱いていた。そのマドンナは既に、サークルきってのモテ男である佑馬（ゆうま）と関係を持っていることも知らずに…。そんなある日、打ち上げの席で酔いつぶれてしまう岳。目が覚めるとそこは…憧れの眞衣の家！？おまけにワンナイトを経たような形跡まで。しかしまったく記憶のない岳は翌日、眞衣に真実を確かめようとするが、事態は思わぬ方向へ――。")</f>
        <v>「なぜ山に登るのか――それはそこに女がいるからさ」登山サークルに所属する岳（がく）は、サークルのマドンナである眞衣（まい）に憧れを抱いていた。そのマドンナは既に、サークルきってのモテ男である佑馬（ゆうま）と関係を持っていることも知らずに…。そんなある日、打ち上げの席で酔いつぶれてしまう岳。目が覚めるとそこは…憧れの眞衣の家！？おまけにワンナイトを経たような形跡まで。しかしまったく記憶のない岳は翌日、眞衣に真実を確かめようとするが、事態は思わぬ方向へ――。</v>
      </c>
      <c r="W475" s="8"/>
      <c r="X475" s="8" t="str">
        <f>IFERROR(__xludf.DUMMYFUNCTION("""COMPUTED_VALUE"""),"有")</f>
        <v>有</v>
      </c>
      <c r="Y475" s="8" t="str">
        <f>IFERROR(__xludf.DUMMYFUNCTION("""COMPUTED_VALUE"""),"8/24まで1巻無料")</f>
        <v>8/24まで1巻無料</v>
      </c>
      <c r="Z475" s="7"/>
      <c r="AA475" s="7"/>
      <c r="AB475" s="7"/>
    </row>
    <row r="476" ht="15.75" customHeight="1">
      <c r="A476" s="8">
        <f>IFERROR(__xludf.DUMMYFUNCTION("""COMPUTED_VALUE"""),2084.0)</f>
        <v>2084</v>
      </c>
      <c r="B476" s="9" t="str">
        <f>IFERROR(__xludf.DUMMYFUNCTION("""COMPUTED_VALUE"""),"確定")</f>
        <v>確定</v>
      </c>
      <c r="C476" s="10">
        <f>IFERROR(__xludf.DUMMYFUNCTION("""COMPUTED_VALUE"""),45097.0)</f>
        <v>45097</v>
      </c>
      <c r="D476" s="10">
        <f>IFERROR(__xludf.DUMMYFUNCTION("""COMPUTED_VALUE"""),45097.0)</f>
        <v>45097</v>
      </c>
      <c r="E476" s="8">
        <f>IFERROR(__xludf.DUMMYFUNCTION("""COMPUTED_VALUE"""),273134.0)</f>
        <v>273134</v>
      </c>
      <c r="F476" s="9" t="str">
        <f>IFERROR(__xludf.DUMMYFUNCTION("""COMPUTED_VALUE"""),"年上カレシの溺愛が甘すぎる")</f>
        <v>年上カレシの溺愛が甘すぎる</v>
      </c>
      <c r="G476" s="11" t="str">
        <f>IFERROR(__xludf.DUMMYFUNCTION("""COMPUTED_VALUE"""),"1～4")</f>
        <v>1～4</v>
      </c>
      <c r="H476" s="8" t="str">
        <f>IFERROR(__xludf.DUMMYFUNCTION("""COMPUTED_VALUE"""),"Disai")</f>
        <v>Disai</v>
      </c>
      <c r="I476" s="8" t="str">
        <f>IFERROR(__xludf.DUMMYFUNCTION("""COMPUTED_VALUE"""),"少女")</f>
        <v>少女</v>
      </c>
      <c r="J476" s="8"/>
      <c r="K476" s="8"/>
      <c r="L476" s="8" t="str">
        <f>IFERROR(__xludf.DUMMYFUNCTION("""COMPUTED_VALUE"""),"ファンギルド")</f>
        <v>ファンギルド</v>
      </c>
      <c r="M476" s="12">
        <f>IFERROR(__xludf.DUMMYFUNCTION("""COMPUTED_VALUE"""),45147.0)</f>
        <v>45147</v>
      </c>
      <c r="N476" s="12">
        <f>IFERROR(__xludf.DUMMYFUNCTION("""COMPUTED_VALUE"""),45237.0)</f>
        <v>45237</v>
      </c>
      <c r="O476" s="11"/>
      <c r="P476" s="9" t="str">
        <f>IFERROR(__xludf.DUMMYFUNCTION("""COMPUTED_VALUE"""),"可")</f>
        <v>可</v>
      </c>
      <c r="Q476" s="8" t="str">
        <f>IFERROR(__xludf.DUMMYFUNCTION("""COMPUTED_VALUE"""),"協業レーベル『シーモア×ピース！』作品です。")</f>
        <v>協業レーベル『シーモア×ピース！』作品です。</v>
      </c>
      <c r="R476" s="9"/>
      <c r="S476" s="8" t="str">
        <f>IFERROR(__xludf.DUMMYFUNCTION("""COMPUTED_VALUE"""),"20230620_ファンギルド_年上カレシの溺愛が甘すぎる")</f>
        <v>20230620_ファンギルド_年上カレシの溺愛が甘すぎる</v>
      </c>
      <c r="T476" s="9"/>
      <c r="U476" s="9" t="str">
        <f>IFERROR(__xludf.DUMMYFUNCTION("""COMPUTED_VALUE"""),"©Disai/FUNGUILD")</f>
        <v>©Disai/FUNGUILD</v>
      </c>
      <c r="V476" s="8" t="str">
        <f>IFERROR(__xludf.DUMMYFUNCTION("""COMPUTED_VALUE"""),"「俺さ、あの時からずっとヒナのこと好きなんだ―――」牧場育ちの女子高生・梶原陽菜（かじわらひな）は、幼馴染の外国人オリバーと再会する。陽菜に逢えたと喜ぶオリバーに押し倒され、そのまま同居することに！？ 困惑する陽菜にはお構いなしで、同じベッドで寝たり、いきなり愛を告げたり、さらにはキスまで...！？大胆すぎる外国人オリバーのアプローチに、田舎娘の陽菜はタジタジで…？ 溺愛が甘すぎる幼馴染との再会ラブコメディ！")</f>
        <v>「俺さ、あの時からずっとヒナのこと好きなんだ―――」牧場育ちの女子高生・梶原陽菜（かじわらひな）は、幼馴染の外国人オリバーと再会する。陽菜に逢えたと喜ぶオリバーに押し倒され、そのまま同居することに！？ 困惑する陽菜にはお構いなしで、同じベッドで寝たり、いきなり愛を告げたり、さらにはキスまで...！？大胆すぎる外国人オリバーのアプローチに、田舎娘の陽菜はタジタジで…？ 溺愛が甘すぎる幼馴染との再会ラブコメディ！</v>
      </c>
      <c r="W476" s="8"/>
      <c r="X476" s="8" t="str">
        <f>IFERROR(__xludf.DUMMYFUNCTION("""COMPUTED_VALUE"""),"有")</f>
        <v>有</v>
      </c>
      <c r="Y476" s="8" t="str">
        <f>IFERROR(__xludf.DUMMYFUNCTION("""COMPUTED_VALUE"""),"8/22まで1巻無料")</f>
        <v>8/22まで1巻無料</v>
      </c>
      <c r="Z476" s="7"/>
      <c r="AA476" s="7"/>
      <c r="AB476" s="7"/>
    </row>
    <row r="477" ht="15.75" customHeight="1">
      <c r="A477" s="8">
        <f>IFERROR(__xludf.DUMMYFUNCTION("""COMPUTED_VALUE"""),2085.0)</f>
        <v>2085</v>
      </c>
      <c r="B477" s="9" t="str">
        <f>IFERROR(__xludf.DUMMYFUNCTION("""COMPUTED_VALUE"""),"確定")</f>
        <v>確定</v>
      </c>
      <c r="C477" s="10">
        <f>IFERROR(__xludf.DUMMYFUNCTION("""COMPUTED_VALUE"""),45097.0)</f>
        <v>45097</v>
      </c>
      <c r="D477" s="10">
        <f>IFERROR(__xludf.DUMMYFUNCTION("""COMPUTED_VALUE"""),45097.0)</f>
        <v>45097</v>
      </c>
      <c r="E477" s="8">
        <f>IFERROR(__xludf.DUMMYFUNCTION("""COMPUTED_VALUE"""),273346.0)</f>
        <v>273346</v>
      </c>
      <c r="F477" s="9" t="str">
        <f>IFERROR(__xludf.DUMMYFUNCTION("""COMPUTED_VALUE"""),"フッた男に惚れるわけないでしょ！")</f>
        <v>フッた男に惚れるわけないでしょ！</v>
      </c>
      <c r="G477" s="11" t="str">
        <f>IFERROR(__xludf.DUMMYFUNCTION("""COMPUTED_VALUE"""),"1～4")</f>
        <v>1～4</v>
      </c>
      <c r="H477" s="8" t="str">
        <f>IFERROR(__xludf.DUMMYFUNCTION("""COMPUTED_VALUE"""),"筧紗生/にび せいじ")</f>
        <v>筧紗生/にび せいじ</v>
      </c>
      <c r="I477" s="8" t="str">
        <f>IFERROR(__xludf.DUMMYFUNCTION("""COMPUTED_VALUE"""),"少女")</f>
        <v>少女</v>
      </c>
      <c r="J477" s="8"/>
      <c r="K477" s="8"/>
      <c r="L477" s="8" t="str">
        <f>IFERROR(__xludf.DUMMYFUNCTION("""COMPUTED_VALUE"""),"ファンギルド")</f>
        <v>ファンギルド</v>
      </c>
      <c r="M477" s="12">
        <f>IFERROR(__xludf.DUMMYFUNCTION("""COMPUTED_VALUE"""),45147.0)</f>
        <v>45147</v>
      </c>
      <c r="N477" s="12">
        <f>IFERROR(__xludf.DUMMYFUNCTION("""COMPUTED_VALUE"""),45181.0)</f>
        <v>45181</v>
      </c>
      <c r="O477" s="11"/>
      <c r="P477" s="9" t="str">
        <f>IFERROR(__xludf.DUMMYFUNCTION("""COMPUTED_VALUE"""),"可")</f>
        <v>可</v>
      </c>
      <c r="Q477" s="8"/>
      <c r="R477" s="9"/>
      <c r="S477" s="8" t="str">
        <f>IFERROR(__xludf.DUMMYFUNCTION("""COMPUTED_VALUE"""),"20230620_ファンギルド_フッた男に惚れるわけないでしょ！")</f>
        <v>20230620_ファンギルド_フッた男に惚れるわけないでしょ！</v>
      </c>
      <c r="T477" s="9"/>
      <c r="U477" s="9" t="str">
        <f>IFERROR(__xludf.DUMMYFUNCTION("""COMPUTED_VALUE"""),"©筧紗生/にび せいじ/ファンギルド")</f>
        <v>©筧紗生/にび せいじ/ファンギルド</v>
      </c>
      <c r="V477" s="8" t="str">
        <f>IFERROR(__xludf.DUMMYFUNCTION("""COMPUTED_VALUE"""),"「復讐のために戻ってきたの ――？」婚活パーティー連敗中の崖っぷちOL猪熊泉水（いのくまいずみ）は、課長に昇進した魚崎圭（うおさきけい）と12年ぶりに再会。新入社員だった当時、私に釣り合わないとフッた記憶を思い出す。垢抜けてイケメンになった今の彼となら申し分ないと期待してホテルに誘うと、ベッドの上で本気になる魚崎。泉水が付き合えると確信した瞬間、魚崎から「勘違いしないでください、俺は誰とも結婚する気はないですよ」と思いも寄らない言葉を浴びせられて…？フッた男に惚れかけてしまった泉水は、豹変した魚崎の本心を"&amp;"知りたくなり、ある提案を持ちかける。")</f>
        <v>「復讐のために戻ってきたの ――？」婚活パーティー連敗中の崖っぷちOL猪熊泉水（いのくまいずみ）は、課長に昇進した魚崎圭（うおさきけい）と12年ぶりに再会。新入社員だった当時、私に釣り合わないとフッた記憶を思い出す。垢抜けてイケメンになった今の彼となら申し分ないと期待してホテルに誘うと、ベッドの上で本気になる魚崎。泉水が付き合えると確信した瞬間、魚崎から「勘違いしないでください、俺は誰とも結婚する気はないですよ」と思いも寄らない言葉を浴びせられて…？フッた男に惚れかけてしまった泉水は、豹変した魚崎の本心を知りたくなり、ある提案を持ちかける。</v>
      </c>
      <c r="W477" s="8"/>
      <c r="X477" s="8" t="str">
        <f>IFERROR(__xludf.DUMMYFUNCTION("""COMPUTED_VALUE"""),"有")</f>
        <v>有</v>
      </c>
      <c r="Y477" s="8" t="str">
        <f>IFERROR(__xludf.DUMMYFUNCTION("""COMPUTED_VALUE"""),"8/22まで1巻無料")</f>
        <v>8/22まで1巻無料</v>
      </c>
      <c r="Z477" s="7"/>
      <c r="AA477" s="7"/>
      <c r="AB477" s="7"/>
    </row>
    <row r="478" ht="15.75" customHeight="1">
      <c r="A478" s="8">
        <f>IFERROR(__xludf.DUMMYFUNCTION("""COMPUTED_VALUE"""),1854.0)</f>
        <v>1854</v>
      </c>
      <c r="B478" s="9" t="str">
        <f>IFERROR(__xludf.DUMMYFUNCTION("""COMPUTED_VALUE"""),"確定")</f>
        <v>確定</v>
      </c>
      <c r="C478" s="10">
        <f>IFERROR(__xludf.DUMMYFUNCTION("""COMPUTED_VALUE"""),45020.0)</f>
        <v>45020</v>
      </c>
      <c r="D478" s="10">
        <f>IFERROR(__xludf.DUMMYFUNCTION("""COMPUTED_VALUE"""),45098.0)</f>
        <v>45098</v>
      </c>
      <c r="E478" s="8">
        <f>IFERROR(__xludf.DUMMYFUNCTION("""COMPUTED_VALUE"""),273256.0)</f>
        <v>273256</v>
      </c>
      <c r="F478" s="9" t="str">
        <f>IFERROR(__xludf.DUMMYFUNCTION("""COMPUTED_VALUE"""),"藍は美し恋せよ乙女【マイクロ】")</f>
        <v>藍は美し恋せよ乙女【マイクロ】</v>
      </c>
      <c r="G478" s="11" t="str">
        <f>IFERROR(__xludf.DUMMYFUNCTION("""COMPUTED_VALUE"""),"1～5")</f>
        <v>1～5</v>
      </c>
      <c r="H478" s="8" t="str">
        <f>IFERROR(__xludf.DUMMYFUNCTION("""COMPUTED_VALUE"""),"甘宮ちか")</f>
        <v>甘宮ちか</v>
      </c>
      <c r="I478" s="8" t="str">
        <f>IFERROR(__xludf.DUMMYFUNCTION("""COMPUTED_VALUE"""),"少女")</f>
        <v>少女</v>
      </c>
      <c r="J478" s="8"/>
      <c r="K478" s="8"/>
      <c r="L478" s="8" t="str">
        <f>IFERROR(__xludf.DUMMYFUNCTION("""COMPUTED_VALUE"""),"小学館")</f>
        <v>小学館</v>
      </c>
      <c r="M478" s="12">
        <f>IFERROR(__xludf.DUMMYFUNCTION("""COMPUTED_VALUE"""),45143.0)</f>
        <v>45143</v>
      </c>
      <c r="N478" s="12">
        <f>IFERROR(__xludf.DUMMYFUNCTION("""COMPUTED_VALUE"""),45203.0)</f>
        <v>45203</v>
      </c>
      <c r="O478" s="11"/>
      <c r="P478" s="9" t="str">
        <f>IFERROR(__xludf.DUMMYFUNCTION("""COMPUTED_VALUE"""),"否")</f>
        <v>否</v>
      </c>
      <c r="Q478" s="8" t="str">
        <f>IFERROR(__xludf.DUMMYFUNCTION("""COMPUTED_VALUE"""),"広告コミットOK（4/7）")</f>
        <v>広告コミットOK（4/7）</v>
      </c>
      <c r="R478" s="9"/>
      <c r="S478" s="8" t="str">
        <f>IFERROR(__xludf.DUMMYFUNCTION("""COMPUTED_VALUE"""),"20230621_小学館_藍は美し恋せよ乙女【マイクロ】")</f>
        <v>20230621_小学館_藍は美し恋せよ乙女【マイクロ】</v>
      </c>
      <c r="T478" s="9"/>
      <c r="U478" s="9" t="str">
        <f>IFERROR(__xludf.DUMMYFUNCTION("""COMPUTED_VALUE"""),"(C)甘宮ちか / 小学館")</f>
        <v>(C)甘宮ちか / 小学館</v>
      </c>
      <c r="V478" s="8" t="str">
        <f>IFERROR(__xludf.DUMMYFUNCTION("""COMPUTED_VALUE"""),"女子高生の琴葉が毎朝通学路の途中で見ていた美しい絵。
その絵を描いていた美大生・ランとの出会いが琴葉の人生を変えるーーー！
箱入りJKとフリーダム大学生の超美麗青春グラフィティ開幕！！
")</f>
        <v>女子高生の琴葉が毎朝通学路の途中で見ていた美しい絵。
その絵を描いていた美大生・ランとの出会いが琴葉の人生を変えるーーー！
箱入りJKとフリーダム大学生の超美麗青春グラフィティ開幕！！
</v>
      </c>
      <c r="W478" s="8"/>
      <c r="X478" s="8" t="str">
        <f>IFERROR(__xludf.DUMMYFUNCTION("""COMPUTED_VALUE"""),"有")</f>
        <v>有</v>
      </c>
      <c r="Y478" s="8" t="str">
        <f>IFERROR(__xludf.DUMMYFUNCTION("""COMPUTED_VALUE"""),"P16まで")</f>
        <v>P16まで</v>
      </c>
      <c r="Z478" s="7"/>
      <c r="AA478" s="7"/>
      <c r="AB478" s="7"/>
    </row>
    <row r="479" ht="15.75" customHeight="1">
      <c r="A479" s="8">
        <f>IFERROR(__xludf.DUMMYFUNCTION("""COMPUTED_VALUE"""),1995.0)</f>
        <v>1995</v>
      </c>
      <c r="B479" s="9" t="str">
        <f>IFERROR(__xludf.DUMMYFUNCTION("""COMPUTED_VALUE"""),"確定")</f>
        <v>確定</v>
      </c>
      <c r="C479" s="10">
        <f>IFERROR(__xludf.DUMMYFUNCTION("""COMPUTED_VALUE"""),45071.0)</f>
        <v>45071</v>
      </c>
      <c r="D479" s="10">
        <f>IFERROR(__xludf.DUMMYFUNCTION("""COMPUTED_VALUE"""),45103.0)</f>
        <v>45103</v>
      </c>
      <c r="E479" s="8">
        <f>IFERROR(__xludf.DUMMYFUNCTION("""COMPUTED_VALUE"""),273238.0)</f>
        <v>273238</v>
      </c>
      <c r="F479" s="9" t="str">
        <f>IFERROR(__xludf.DUMMYFUNCTION("""COMPUTED_VALUE"""),"ほどなく、お別れです【単話】")</f>
        <v>ほどなく、お別れです【単話】</v>
      </c>
      <c r="G479" s="11" t="str">
        <f>IFERROR(__xludf.DUMMYFUNCTION("""COMPUTED_VALUE"""),"1～6")</f>
        <v>1～6</v>
      </c>
      <c r="H479" s="8" t="str">
        <f>IFERROR(__xludf.DUMMYFUNCTION("""COMPUTED_VALUE"""),"原作:長月天音　漫画:込由野しほ")</f>
        <v>原作:長月天音　漫画:込由野しほ</v>
      </c>
      <c r="I479" s="8" t="str">
        <f>IFERROR(__xludf.DUMMYFUNCTION("""COMPUTED_VALUE"""),"少女")</f>
        <v>少女</v>
      </c>
      <c r="J479" s="8"/>
      <c r="K479" s="8"/>
      <c r="L479" s="8" t="str">
        <f>IFERROR(__xludf.DUMMYFUNCTION("""COMPUTED_VALUE"""),"小学館")</f>
        <v>小学館</v>
      </c>
      <c r="M479" s="12">
        <f>IFERROR(__xludf.DUMMYFUNCTION("""COMPUTED_VALUE"""),45126.0)</f>
        <v>45126</v>
      </c>
      <c r="N479" s="12">
        <f>IFERROR(__xludf.DUMMYFUNCTION("""COMPUTED_VALUE"""),45217.66666666667)</f>
        <v>45217.66667</v>
      </c>
      <c r="O479" s="11"/>
      <c r="P479" s="9" t="str">
        <f>IFERROR(__xludf.DUMMYFUNCTION("""COMPUTED_VALUE"""),"否")</f>
        <v>否</v>
      </c>
      <c r="Q479" s="8" t="str">
        <f>IFERROR(__xludf.DUMMYFUNCTION("""COMPUTED_VALUE"""),"・広告コミットOK(5/29)")</f>
        <v>・広告コミットOK(5/29)</v>
      </c>
      <c r="R479" s="9">
        <f>IFERROR(__xludf.DUMMYFUNCTION("""COMPUTED_VALUE"""),45100.0)</f>
        <v>45100</v>
      </c>
      <c r="S479" s="8" t="str">
        <f>IFERROR(__xludf.DUMMYFUNCTION("""COMPUTED_VALUE"""),"20230626_小学館_ほどなく、お別れです【単話】")</f>
        <v>20230626_小学館_ほどなく、お別れです【単話】</v>
      </c>
      <c r="T479" s="9"/>
      <c r="U479" s="9" t="str">
        <f>IFERROR(__xludf.DUMMYFUNCTION("""COMPUTED_VALUE"""),"(C)長月天音・込由野しほ / 小学館")</f>
        <v>(C)長月天音・込由野しほ / 小学館</v>
      </c>
      <c r="V479" s="8" t="str">
        <f>IFERROR(__xludf.DUMMYFUNCTION("""COMPUTED_VALUE"""),"”この葬儀場では奇跡が起こる”…
大学生・美空は、子どもの頃か”ある能力”を持つ。
悲しみの最後の瞬間に。温かく小さな奇跡を起こす。
葬儀場を舞台にした、優しく、心を揺らす感動物語。
ロングヒット文芸作を完全コミカライズ！
")</f>
        <v>”この葬儀場では奇跡が起こる”…
大学生・美空は、子どもの頃か”ある能力”を持つ。
悲しみの最後の瞬間に。温かく小さな奇跡を起こす。
葬儀場を舞台にした、優しく、心を揺らす感動物語。
ロングヒット文芸作を完全コミカライズ！
</v>
      </c>
      <c r="W479" s="8"/>
      <c r="X479" s="8" t="str">
        <f>IFERROR(__xludf.DUMMYFUNCTION("""COMPUTED_VALUE"""),"有")</f>
        <v>有</v>
      </c>
      <c r="Y479" s="8" t="str">
        <f>IFERROR(__xludf.DUMMYFUNCTION("""COMPUTED_VALUE"""),"P37まで")</f>
        <v>P37まで</v>
      </c>
      <c r="Z479" s="7"/>
      <c r="AA479" s="7"/>
      <c r="AB479" s="7"/>
    </row>
    <row r="480" ht="15.75" customHeight="1">
      <c r="A480" s="8">
        <f>IFERROR(__xludf.DUMMYFUNCTION("""COMPUTED_VALUE"""),2045.0)</f>
        <v>2045</v>
      </c>
      <c r="B480" s="9" t="str">
        <f>IFERROR(__xludf.DUMMYFUNCTION("""COMPUTED_VALUE"""),"確定")</f>
        <v>確定</v>
      </c>
      <c r="C480" s="10">
        <f>IFERROR(__xludf.DUMMYFUNCTION("""COMPUTED_VALUE"""),45089.0)</f>
        <v>45089</v>
      </c>
      <c r="D480" s="10">
        <f>IFERROR(__xludf.DUMMYFUNCTION("""COMPUTED_VALUE"""),45103.0)</f>
        <v>45103</v>
      </c>
      <c r="E480" s="8">
        <f>IFERROR(__xludf.DUMMYFUNCTION("""COMPUTED_VALUE"""),272432.0)</f>
        <v>272432</v>
      </c>
      <c r="F480" s="9" t="str">
        <f>IFERROR(__xludf.DUMMYFUNCTION("""COMPUTED_VALUE"""),"逆転円交-俺が買われる世界-")</f>
        <v>逆転円交-俺が買われる世界-</v>
      </c>
      <c r="G480" s="11">
        <f>IFERROR(__xludf.DUMMYFUNCTION("""COMPUTED_VALUE"""),1.0)</f>
        <v>1</v>
      </c>
      <c r="H480" s="8" t="str">
        <f>IFERROR(__xludf.DUMMYFUNCTION("""COMPUTED_VALUE"""),"ねくたー")</f>
        <v>ねくたー</v>
      </c>
      <c r="I480" s="8" t="str">
        <f>IFERROR(__xludf.DUMMYFUNCTION("""COMPUTED_VALUE"""),"オトナ")</f>
        <v>オトナ</v>
      </c>
      <c r="J480" s="8"/>
      <c r="K480" s="8"/>
      <c r="L480" s="8" t="str">
        <f>IFERROR(__xludf.DUMMYFUNCTION("""COMPUTED_VALUE"""),"ナイトコミック")</f>
        <v>ナイトコミック</v>
      </c>
      <c r="M480" s="12">
        <f>IFERROR(__xludf.DUMMYFUNCTION("""COMPUTED_VALUE"""),45128.0)</f>
        <v>45128</v>
      </c>
      <c r="N480" s="12">
        <f>IFERROR(__xludf.DUMMYFUNCTION("""COMPUTED_VALUE"""),45183.66666666667)</f>
        <v>45183.66667</v>
      </c>
      <c r="O480" s="11"/>
      <c r="P480" s="9" t="str">
        <f>IFERROR(__xludf.DUMMYFUNCTION("""COMPUTED_VALUE"""),"可")</f>
        <v>可</v>
      </c>
      <c r="Q480" s="8" t="str">
        <f>IFERROR(__xludf.DUMMYFUNCTION("""COMPUTED_VALUE"""),"広告コミットOK(6/15)")</f>
        <v>広告コミットOK(6/15)</v>
      </c>
      <c r="R480" s="9"/>
      <c r="S480" s="8" t="str">
        <f>IFERROR(__xludf.DUMMYFUNCTION("""COMPUTED_VALUE"""),"20230622_ナイトコミック_逆転円交俺が買われる世界")</f>
        <v>20230622_ナイトコミック_逆転円交俺が買われる世界</v>
      </c>
      <c r="T480" s="9"/>
      <c r="U480" s="9" t="str">
        <f>IFERROR(__xludf.DUMMYFUNCTION("""COMPUTED_VALUE"""),"©ねくたー")</f>
        <v>©ねくたー</v>
      </c>
      <c r="V480" s="8" t="str">
        <f>IFERROR(__xludf.DUMMYFUNCTION("""COMPUTED_VALUE"""),"これまで付き合ってきた女性からこっぴどくフラれてきた「シンジ」は、ある日酒におぼれながらエロ本片手に寝落ちしてしまう。次の日目を覚ますと、シンジの元に大量の円交を求める連絡が殺到していた。ヤケクソのシンジはその中でも一番安い値を付けた女「マリ」と落ち合うことに。マリは美少女JKで、しかも積極的、即ホで生ハメOK…！？最高のセックスのあと、マリはシンジに紙幣を渡してきた。混乱するシンジにマリは「女が男にお金を払うもんのが円交でしょ？」と…。彼はそこで自らが「貞操概念逆転世界」に迷い込んでる事を知る。そうなっ"&amp;"たら、やることはひとつ…！")</f>
        <v>これまで付き合ってきた女性からこっぴどくフラれてきた「シンジ」は、ある日酒におぼれながらエロ本片手に寝落ちしてしまう。次の日目を覚ますと、シンジの元に大量の円交を求める連絡が殺到していた。ヤケクソのシンジはその中でも一番安い値を付けた女「マリ」と落ち合うことに。マリは美少女JKで、しかも積極的、即ホで生ハメOK…！？最高のセックスのあと、マリはシンジに紙幣を渡してきた。混乱するシンジにマリは「女が男にお金を払うもんのが円交でしょ？」と…。彼はそこで自らが「貞操概念逆転世界」に迷い込んでる事を知る。そうなったら、やることはひとつ…！</v>
      </c>
      <c r="W480" s="8"/>
      <c r="X480" s="8" t="str">
        <f>IFERROR(__xludf.DUMMYFUNCTION("""COMPUTED_VALUE"""),"有")</f>
        <v>有</v>
      </c>
      <c r="Y480" s="8" t="str">
        <f>IFERROR(__xludf.DUMMYFUNCTION("""COMPUTED_VALUE"""),"P11まで")</f>
        <v>P11まで</v>
      </c>
      <c r="Z480" s="7"/>
      <c r="AA480" s="7"/>
      <c r="AB480" s="7"/>
    </row>
    <row r="481" ht="15.75" customHeight="1">
      <c r="A481" s="8">
        <f>IFERROR(__xludf.DUMMYFUNCTION("""COMPUTED_VALUE"""),2081.0)</f>
        <v>2081</v>
      </c>
      <c r="B481" s="9" t="str">
        <f>IFERROR(__xludf.DUMMYFUNCTION("""COMPUTED_VALUE"""),"確定")</f>
        <v>確定</v>
      </c>
      <c r="C481" s="10">
        <f>IFERROR(__xludf.DUMMYFUNCTION("""COMPUTED_VALUE"""),45096.0)</f>
        <v>45096</v>
      </c>
      <c r="D481" s="10">
        <f>IFERROR(__xludf.DUMMYFUNCTION("""COMPUTED_VALUE"""),45103.0)</f>
        <v>45103</v>
      </c>
      <c r="E481" s="8">
        <f>IFERROR(__xludf.DUMMYFUNCTION("""COMPUTED_VALUE"""),273001.0)</f>
        <v>273001</v>
      </c>
      <c r="F481" s="9" t="str">
        <f>IFERROR(__xludf.DUMMYFUNCTION("""COMPUTED_VALUE"""),"命に替えても守ると誓った～クールな護衛騎士は召喚された聖女を熱く溺愛する～")</f>
        <v>命に替えても守ると誓った～クールな護衛騎士は召喚された聖女を熱く溺愛する～</v>
      </c>
      <c r="G481" s="11" t="str">
        <f>IFERROR(__xludf.DUMMYFUNCTION("""COMPUTED_VALUE"""),"1～2")</f>
        <v>1～2</v>
      </c>
      <c r="H481" s="8" t="str">
        <f>IFERROR(__xludf.DUMMYFUNCTION("""COMPUTED_VALUE"""),"玄野さわ")</f>
        <v>玄野さわ</v>
      </c>
      <c r="I481" s="8" t="str">
        <f>IFERROR(__xludf.DUMMYFUNCTION("""COMPUTED_VALUE"""),"TL")</f>
        <v>TL</v>
      </c>
      <c r="J481" s="8"/>
      <c r="K481" s="8"/>
      <c r="L481" s="8" t="str">
        <f>IFERROR(__xludf.DUMMYFUNCTION("""COMPUTED_VALUE"""),"フューチャーコミックス社")</f>
        <v>フューチャーコミックス社</v>
      </c>
      <c r="M481" s="12">
        <f>IFERROR(__xludf.DUMMYFUNCTION("""COMPUTED_VALUE"""),45143.0)</f>
        <v>45143</v>
      </c>
      <c r="N481" s="12">
        <f>IFERROR(__xludf.DUMMYFUNCTION("""COMPUTED_VALUE"""),45156.0)</f>
        <v>45156</v>
      </c>
      <c r="O481" s="11"/>
      <c r="P481" s="9" t="str">
        <f>IFERROR(__xludf.DUMMYFUNCTION("""COMPUTED_VALUE"""),"可")</f>
        <v>可</v>
      </c>
      <c r="Q481" s="8" t="str">
        <f>IFERROR(__xludf.DUMMYFUNCTION("""COMPUTED_VALUE"""),"広告コミットOK(6/26)")</f>
        <v>広告コミットOK(6/26)</v>
      </c>
      <c r="R481" s="9" t="str">
        <f>IFERROR(__xludf.DUMMYFUNCTION("""COMPUTED_VALUE"""),"納品済み")</f>
        <v>納品済み</v>
      </c>
      <c r="S481" s="8" t="str">
        <f>IFERROR(__xludf.DUMMYFUNCTION("""COMPUTED_VALUE"""),"20230626_フューチャーコミックス_命に替えても守ると誓った～クールな護衛騎士は召喚された聖女を熱く溺愛する～")</f>
        <v>20230626_フューチャーコミックス_命に替えても守ると誓った～クールな護衛騎士は召喚された聖女を熱く溺愛する～</v>
      </c>
      <c r="T481" s="9" t="str">
        <f>IFERROR(__xludf.DUMMYFUNCTION("""COMPUTED_VALUE"""),"校了済素材")</f>
        <v>校了済素材</v>
      </c>
      <c r="U481" s="9" t="str">
        <f>IFERROR(__xludf.DUMMYFUNCTION("""COMPUTED_VALUE"""),"※コピーライト表記不要")</f>
        <v>※コピーライト表記不要</v>
      </c>
      <c r="V481" s="8" t="str">
        <f>IFERROR(__xludf.DUMMYFUNCTION("""COMPUTED_VALUE"""),"ずっと憧れてた相手に全身を激しく愛されて…この瞬間がずっと続けばいいのに――10年前に異世界に召喚された葉月さくら。聖女としての役割を無理やり押し付けられ、ついに魔王を浄化するまでに至った。その褒賞として護衛騎士・ユリウスと婚姻を望むさくらだが、その裏には世界の存亡がかかった別の目的が…！？そして迎えた結婚初夜。いつもの寡黙でクールな態度とは裏腹に、熱のこもった瞳でまっすぐ見つめるユリウス…指先と唇で焦らされたら、初めてなのにお腹の奥から気持ち良くなってしまって…？――剣と魔法の世界で繰り広げられる、命懸"&amp;"けの最愛。")</f>
        <v>ずっと憧れてた相手に全身を激しく愛されて…この瞬間がずっと続けばいいのに――10年前に異世界に召喚された葉月さくら。聖女としての役割を無理やり押し付けられ、ついに魔王を浄化するまでに至った。その褒賞として護衛騎士・ユリウスと婚姻を望むさくらだが、その裏には世界の存亡がかかった別の目的が…！？そして迎えた結婚初夜。いつもの寡黙でクールな態度とは裏腹に、熱のこもった瞳でまっすぐ見つめるユリウス…指先と唇で焦らされたら、初めてなのにお腹の奥から気持ち良くなってしまって…？――剣と魔法の世界で繰り広げられる、命懸けの最愛。</v>
      </c>
      <c r="W481" s="8"/>
      <c r="X481" s="8" t="str">
        <f>IFERROR(__xludf.DUMMYFUNCTION("""COMPUTED_VALUE"""),"有")</f>
        <v>有</v>
      </c>
      <c r="Y481" s="8" t="str">
        <f>IFERROR(__xludf.DUMMYFUNCTION("""COMPUTED_VALUE"""),"P15まで")</f>
        <v>P15まで</v>
      </c>
      <c r="Z481" s="7"/>
      <c r="AA481" s="7"/>
      <c r="AB481" s="7"/>
    </row>
    <row r="482" ht="15.75" customHeight="1">
      <c r="A482" s="8">
        <f>IFERROR(__xludf.DUMMYFUNCTION("""COMPUTED_VALUE"""),2094.0)</f>
        <v>2094</v>
      </c>
      <c r="B482" s="9" t="str">
        <f>IFERROR(__xludf.DUMMYFUNCTION("""COMPUTED_VALUE"""),"確定")</f>
        <v>確定</v>
      </c>
      <c r="C482" s="10">
        <f>IFERROR(__xludf.DUMMYFUNCTION("""COMPUTED_VALUE"""),45100.0)</f>
        <v>45100</v>
      </c>
      <c r="D482" s="10">
        <f>IFERROR(__xludf.DUMMYFUNCTION("""COMPUTED_VALUE"""),45100.0)</f>
        <v>45100</v>
      </c>
      <c r="E482" s="8">
        <f>IFERROR(__xludf.DUMMYFUNCTION("""COMPUTED_VALUE"""),251444.0)</f>
        <v>251444</v>
      </c>
      <c r="F482" s="9" t="str">
        <f>IFERROR(__xludf.DUMMYFUNCTION("""COMPUTED_VALUE"""),"銀狼は生贄王女を奪って絡めて放さない")</f>
        <v>銀狼は生贄王女を奪って絡めて放さない</v>
      </c>
      <c r="G482" s="11" t="str">
        <f>IFERROR(__xludf.DUMMYFUNCTION("""COMPUTED_VALUE"""),"1～3")</f>
        <v>1～3</v>
      </c>
      <c r="H482" s="8" t="str">
        <f>IFERROR(__xludf.DUMMYFUNCTION("""COMPUTED_VALUE"""),"うつぎ")</f>
        <v>うつぎ</v>
      </c>
      <c r="I482" s="14" t="str">
        <f>IFERROR(__xludf.DUMMYFUNCTION("""COMPUTED_VALUE"""),"少女")</f>
        <v>少女</v>
      </c>
      <c r="J482" s="8"/>
      <c r="K482" s="8"/>
      <c r="L482" s="8" t="str">
        <f>IFERROR(__xludf.DUMMYFUNCTION("""COMPUTED_VALUE"""),"シーモアコミックス")</f>
        <v>シーモアコミックス</v>
      </c>
      <c r="M482" s="12">
        <f>IFERROR(__xludf.DUMMYFUNCTION("""COMPUTED_VALUE"""),45135.0)</f>
        <v>45135</v>
      </c>
      <c r="N482" s="12">
        <f>IFERROR(__xludf.DUMMYFUNCTION("""COMPUTED_VALUE"""),45288.0)</f>
        <v>45288</v>
      </c>
      <c r="O482" s="11"/>
      <c r="P482" s="9" t="str">
        <f>IFERROR(__xludf.DUMMYFUNCTION("""COMPUTED_VALUE"""),"可")</f>
        <v>可</v>
      </c>
      <c r="Q482" s="8"/>
      <c r="R482" s="9"/>
      <c r="S482" s="8" t="str">
        <f>IFERROR(__xludf.DUMMYFUNCTION("""COMPUTED_VALUE"""),"20230623_シーモアコミックス_銀狼は生贄王女を奪って絡めて放さない")</f>
        <v>20230623_シーモアコミックス_銀狼は生贄王女を奪って絡めて放さない</v>
      </c>
      <c r="T482" s="15"/>
      <c r="U482" s="9" t="str">
        <f>IFERROR(__xludf.DUMMYFUNCTION("""COMPUTED_VALUE"""),"© うつぎ/シーモアコミックス")</f>
        <v>© うつぎ/シーモアコミックス</v>
      </c>
      <c r="V482" s="8" t="str">
        <f>IFERROR(__xludf.DUMMYFUNCTION("""COMPUTED_VALUE"""),"動物たちと会話をすることのできる心優しい少女･レフェリア。カウドレール王国に住む者たちは老いることもない、まさに夢の国。だが結界を維持するためには数十年に一度、攫ったエルフの女性を｢生贄｣として捧げることが条件だった。明日はレフェリアの生贄の儀式の日。その前に、遠い昔に会った狼の“ユグラム”に会いたいとレフェリアは願っていた――…
")</f>
        <v>動物たちと会話をすることのできる心優しい少女･レフェリア。カウドレール王国に住む者たちは老いることもない、まさに夢の国。だが結界を維持するためには数十年に一度、攫ったエルフの女性を｢生贄｣として捧げることが条件だった。明日はレフェリアの生贄の儀式の日。その前に、遠い昔に会った狼の“ユグラム”に会いたいとレフェリアは願っていた――…
</v>
      </c>
      <c r="W482" s="8"/>
      <c r="X482" s="8" t="str">
        <f>IFERROR(__xludf.DUMMYFUNCTION("""COMPUTED_VALUE"""),"有")</f>
        <v>有</v>
      </c>
      <c r="Y482" s="8" t="str">
        <f>IFERROR(__xludf.DUMMYFUNCTION("""COMPUTED_VALUE"""),"8/24まで1巻無料")</f>
        <v>8/24まで1巻無料</v>
      </c>
      <c r="Z482" s="7"/>
      <c r="AA482" s="7"/>
      <c r="AB482" s="7"/>
    </row>
    <row r="483" ht="15.75" customHeight="1">
      <c r="A483" s="8">
        <f>IFERROR(__xludf.DUMMYFUNCTION("""COMPUTED_VALUE"""),2095.0)</f>
        <v>2095</v>
      </c>
      <c r="B483" s="9" t="str">
        <f>IFERROR(__xludf.DUMMYFUNCTION("""COMPUTED_VALUE"""),"確定")</f>
        <v>確定</v>
      </c>
      <c r="C483" s="10">
        <f>IFERROR(__xludf.DUMMYFUNCTION("""COMPUTED_VALUE"""),45100.0)</f>
        <v>45100</v>
      </c>
      <c r="D483" s="10">
        <f>IFERROR(__xludf.DUMMYFUNCTION("""COMPUTED_VALUE"""),45100.0)</f>
        <v>45100</v>
      </c>
      <c r="E483" s="8">
        <f>IFERROR(__xludf.DUMMYFUNCTION("""COMPUTED_VALUE"""),257777.0)</f>
        <v>257777</v>
      </c>
      <c r="F483" s="9" t="str">
        <f>IFERROR(__xludf.DUMMYFUNCTION("""COMPUTED_VALUE"""),"彼は『これ』は復讐ではない、と言った")</f>
        <v>彼は『これ』は復讐ではない、と言った</v>
      </c>
      <c r="G483" s="11" t="str">
        <f>IFERROR(__xludf.DUMMYFUNCTION("""COMPUTED_VALUE"""),"1～3")</f>
        <v>1～3</v>
      </c>
      <c r="H483" s="8" t="str">
        <f>IFERROR(__xludf.DUMMYFUNCTION("""COMPUTED_VALUE"""),"高井唯人")</f>
        <v>高井唯人</v>
      </c>
      <c r="I483" s="14" t="str">
        <f>IFERROR(__xludf.DUMMYFUNCTION("""COMPUTED_VALUE"""),"青年")</f>
        <v>青年</v>
      </c>
      <c r="J483" s="8"/>
      <c r="K483" s="8"/>
      <c r="L483" s="8" t="str">
        <f>IFERROR(__xludf.DUMMYFUNCTION("""COMPUTED_VALUE"""),"シーモアコミックス")</f>
        <v>シーモアコミックス</v>
      </c>
      <c r="M483" s="12">
        <f>IFERROR(__xludf.DUMMYFUNCTION("""COMPUTED_VALUE"""),45135.0)</f>
        <v>45135</v>
      </c>
      <c r="N483" s="12">
        <f>IFERROR(__xludf.DUMMYFUNCTION("""COMPUTED_VALUE"""),45288.0)</f>
        <v>45288</v>
      </c>
      <c r="O483" s="11"/>
      <c r="P483" s="9" t="str">
        <f>IFERROR(__xludf.DUMMYFUNCTION("""COMPUTED_VALUE"""),"可")</f>
        <v>可</v>
      </c>
      <c r="Q483" s="8"/>
      <c r="R483" s="9"/>
      <c r="S483" s="8" t="str">
        <f>IFERROR(__xludf.DUMMYFUNCTION("""COMPUTED_VALUE"""),"20230623_シーモアコミックス_彼は『これ』は復讐ではない、と言った")</f>
        <v>20230623_シーモアコミックス_彼は『これ』は復讐ではない、と言った</v>
      </c>
      <c r="T483" s="15"/>
      <c r="U483" s="9" t="str">
        <f>IFERROR(__xludf.DUMMYFUNCTION("""COMPUTED_VALUE"""),"© 高井唯人/シーモアコミックス")</f>
        <v>© 高井唯人/シーモアコミックス</v>
      </c>
      <c r="V483" s="8" t="str">
        <f>IFERROR(__xludf.DUMMYFUNCTION("""COMPUTED_VALUE"""),"「アイツら６人だけは許さない｣戦慄の復讐サスペンス！「全て無茶苦茶にされた」「夢も未来も…何もかも」小嶋龍吉は将来有望なプロ棋士の卵。しかし、高校で６人の同級生から壮絶ないじめを受け、すべてを失ってしまった。時は経ち、社会人になったいじめ加害者たちは、過去に１人の人生を壊したにも関わらず、のうのうと幸せな社会生活を送っていた。その様子を陰からひそかに観察していた黒い影…。奇怪な覆面をかぶった謎の人物が動き出す。その手には小嶋龍吉の名の入ったノートが握られていた。")</f>
        <v>「アイツら６人だけは許さない｣戦慄の復讐サスペンス！「全て無茶苦茶にされた」「夢も未来も…何もかも」小嶋龍吉は将来有望なプロ棋士の卵。しかし、高校で６人の同級生から壮絶ないじめを受け、すべてを失ってしまった。時は経ち、社会人になったいじめ加害者たちは、過去に１人の人生を壊したにも関わらず、のうのうと幸せな社会生活を送っていた。その様子を陰からひそかに観察していた黒い影…。奇怪な覆面をかぶった謎の人物が動き出す。その手には小嶋龍吉の名の入ったノートが握られていた。</v>
      </c>
      <c r="W483" s="8"/>
      <c r="X483" s="8" t="str">
        <f>IFERROR(__xludf.DUMMYFUNCTION("""COMPUTED_VALUE"""),"有")</f>
        <v>有</v>
      </c>
      <c r="Y483" s="8" t="str">
        <f>IFERROR(__xludf.DUMMYFUNCTION("""COMPUTED_VALUE"""),"8/24まで1巻無料")</f>
        <v>8/24まで1巻無料</v>
      </c>
      <c r="Z483" s="7"/>
      <c r="AA483" s="7"/>
      <c r="AB483" s="7"/>
    </row>
    <row r="484" ht="127.5" customHeight="1">
      <c r="A484" s="8">
        <f>IFERROR(__xludf.DUMMYFUNCTION("""COMPUTED_VALUE"""),2096.0)</f>
        <v>2096</v>
      </c>
      <c r="B484" s="9" t="str">
        <f>IFERROR(__xludf.DUMMYFUNCTION("""COMPUTED_VALUE"""),"確定")</f>
        <v>確定</v>
      </c>
      <c r="C484" s="10">
        <f>IFERROR(__xludf.DUMMYFUNCTION("""COMPUTED_VALUE"""),45100.0)</f>
        <v>45100</v>
      </c>
      <c r="D484" s="10">
        <f>IFERROR(__xludf.DUMMYFUNCTION("""COMPUTED_VALUE"""),45103.0)</f>
        <v>45103</v>
      </c>
      <c r="E484" s="8">
        <f>IFERROR(__xludf.DUMMYFUNCTION("""COMPUTED_VALUE"""),257778.0)</f>
        <v>257778</v>
      </c>
      <c r="F484" s="9" t="str">
        <f>IFERROR(__xludf.DUMMYFUNCTION("""COMPUTED_VALUE"""),"追放された落第魔女は若き騎士に恋をする")</f>
        <v>追放された落第魔女は若き騎士に恋をする</v>
      </c>
      <c r="G484" s="11" t="str">
        <f>IFERROR(__xludf.DUMMYFUNCTION("""COMPUTED_VALUE"""),"1～3")</f>
        <v>1～3</v>
      </c>
      <c r="H484" s="8" t="str">
        <f>IFERROR(__xludf.DUMMYFUNCTION("""COMPUTED_VALUE"""),"ヤマダモカ,柳田知雪")</f>
        <v>ヤマダモカ,柳田知雪</v>
      </c>
      <c r="I484" s="14" t="str">
        <f>IFERROR(__xludf.DUMMYFUNCTION("""COMPUTED_VALUE"""),"少女")</f>
        <v>少女</v>
      </c>
      <c r="J484" s="8"/>
      <c r="K484" s="8"/>
      <c r="L484" s="8" t="str">
        <f>IFERROR(__xludf.DUMMYFUNCTION("""COMPUTED_VALUE"""),"シーモアコミックス")</f>
        <v>シーモアコミックス</v>
      </c>
      <c r="M484" s="12">
        <f>IFERROR(__xludf.DUMMYFUNCTION("""COMPUTED_VALUE"""),45135.0)</f>
        <v>45135</v>
      </c>
      <c r="N484" s="12">
        <f>IFERROR(__xludf.DUMMYFUNCTION("""COMPUTED_VALUE"""),45288.0)</f>
        <v>45288</v>
      </c>
      <c r="O484" s="11"/>
      <c r="P484" s="9" t="str">
        <f>IFERROR(__xludf.DUMMYFUNCTION("""COMPUTED_VALUE"""),"可")</f>
        <v>可</v>
      </c>
      <c r="Q484" s="8"/>
      <c r="R484" s="9"/>
      <c r="S484" s="8" t="str">
        <f>IFERROR(__xludf.DUMMYFUNCTION("""COMPUTED_VALUE"""),"20230626_シーモアコミックス_追放された落第魔女は若き騎士に恋をする")</f>
        <v>20230626_シーモアコミックス_追放された落第魔女は若き騎士に恋をする</v>
      </c>
      <c r="T484" s="15"/>
      <c r="U484" s="9" t="str">
        <f>IFERROR(__xludf.DUMMYFUNCTION("""COMPUTED_VALUE"""),"© ヤマダモカ/柳田知雪/シーモアコミックス")</f>
        <v>© ヤマダモカ/柳田知雪/シーモアコミックス</v>
      </c>
      <c r="V484" s="8" t="str">
        <f>IFERROR(__xludf.DUMMYFUNCTION("""COMPUTED_VALUE"""),"回復系の魔法しか使えない「落第魔女」のリリシャ・ポリシュは、故郷を追われ、とある帝国の暗い森の奥で動物たちと質素ながらも穏やかな毎日を送っていた。しかし、リリシャの魔法には癒やしたものを強靭化する力があることがわかり、帝国を脅かす危険因子として、帝国軍に追われるように。絶体絶命かと思われたリリシャを救ったのは隣国の騎士、エドヴァルド・ボールドウィンだった。リリシャに回復され強靭な力を得たエドは、祖国を救うため、リリシャに協力を求め――…。
")</f>
        <v>回復系の魔法しか使えない「落第魔女」のリリシャ・ポリシュは、故郷を追われ、とある帝国の暗い森の奥で動物たちと質素ながらも穏やかな毎日を送っていた。しかし、リリシャの魔法には癒やしたものを強靭化する力があることがわかり、帝国を脅かす危険因子として、帝国軍に追われるように。絶体絶命かと思われたリリシャを救ったのは隣国の騎士、エドヴァルド・ボールドウィンだった。リリシャに回復され強靭な力を得たエドは、祖国を救うため、リリシャに協力を求め――…。
</v>
      </c>
      <c r="W484" s="8"/>
      <c r="X484" s="8" t="str">
        <f>IFERROR(__xludf.DUMMYFUNCTION("""COMPUTED_VALUE"""),"有")</f>
        <v>有</v>
      </c>
      <c r="Y484" s="8" t="str">
        <f>IFERROR(__xludf.DUMMYFUNCTION("""COMPUTED_VALUE"""),"8/24まで1巻無料")</f>
        <v>8/24まで1巻無料</v>
      </c>
      <c r="Z484" s="7"/>
      <c r="AA484" s="7"/>
      <c r="AB484" s="7"/>
    </row>
    <row r="485" ht="126.0" customHeight="1">
      <c r="A485" s="8">
        <f>IFERROR(__xludf.DUMMYFUNCTION("""COMPUTED_VALUE"""),2097.0)</f>
        <v>2097</v>
      </c>
      <c r="B485" s="9" t="str">
        <f>IFERROR(__xludf.DUMMYFUNCTION("""COMPUTED_VALUE"""),"確定")</f>
        <v>確定</v>
      </c>
      <c r="C485" s="10">
        <f>IFERROR(__xludf.DUMMYFUNCTION("""COMPUTED_VALUE"""),45100.0)</f>
        <v>45100</v>
      </c>
      <c r="D485" s="10">
        <f>IFERROR(__xludf.DUMMYFUNCTION("""COMPUTED_VALUE"""),45100.0)</f>
        <v>45100</v>
      </c>
      <c r="E485" s="8">
        <f>IFERROR(__xludf.DUMMYFUNCTION("""COMPUTED_VALUE"""),263134.0)</f>
        <v>263134</v>
      </c>
      <c r="F485" s="9" t="str">
        <f>IFERROR(__xludf.DUMMYFUNCTION("""COMPUTED_VALUE"""),"あなたの妻じゃなくていいから～謝罪する夫を許せますか？～")</f>
        <v>あなたの妻じゃなくていいから～謝罪する夫を許せますか？～</v>
      </c>
      <c r="G485" s="11" t="str">
        <f>IFERROR(__xludf.DUMMYFUNCTION("""COMPUTED_VALUE"""),"1～3")</f>
        <v>1～3</v>
      </c>
      <c r="H485" s="8" t="str">
        <f>IFERROR(__xludf.DUMMYFUNCTION("""COMPUTED_VALUE"""),"上野りゅうじん")</f>
        <v>上野りゅうじん</v>
      </c>
      <c r="I485" s="14" t="str">
        <f>IFERROR(__xludf.DUMMYFUNCTION("""COMPUTED_VALUE"""),"女性")</f>
        <v>女性</v>
      </c>
      <c r="J485" s="8"/>
      <c r="K485" s="8"/>
      <c r="L485" s="8" t="str">
        <f>IFERROR(__xludf.DUMMYFUNCTION("""COMPUTED_VALUE"""),"シーモアコミックス")</f>
        <v>シーモアコミックス</v>
      </c>
      <c r="M485" s="12">
        <f>IFERROR(__xludf.DUMMYFUNCTION("""COMPUTED_VALUE"""),45135.0)</f>
        <v>45135</v>
      </c>
      <c r="N485" s="12">
        <f>IFERROR(__xludf.DUMMYFUNCTION("""COMPUTED_VALUE"""),45288.0)</f>
        <v>45288</v>
      </c>
      <c r="O485" s="11"/>
      <c r="P485" s="9" t="str">
        <f>IFERROR(__xludf.DUMMYFUNCTION("""COMPUTED_VALUE"""),"可")</f>
        <v>可</v>
      </c>
      <c r="Q485" s="8"/>
      <c r="R485" s="9"/>
      <c r="S485" s="8" t="str">
        <f>IFERROR(__xludf.DUMMYFUNCTION("""COMPUTED_VALUE"""),"20230623_シーモアコミックス_あなたの妻じゃなくていいから～謝罪する夫を許せますか？～")</f>
        <v>20230623_シーモアコミックス_あなたの妻じゃなくていいから～謝罪する夫を許せますか？～</v>
      </c>
      <c r="T485" s="15"/>
      <c r="U485" s="9" t="str">
        <f>IFERROR(__xludf.DUMMYFUNCTION("""COMPUTED_VALUE"""),"© 上野りゅうじん/シーモアコミックス")</f>
        <v>© 上野りゅうじん/シーモアコミックス</v>
      </c>
      <c r="V485" s="8" t="str">
        <f>IFERROR(__xludf.DUMMYFUNCTION("""COMPUTED_VALUE"""),"なんでも言いあえる関係を誓って、幸せな結婚をしたはずの夫婦。しかし2年経った今、妻である凛は努力しているにも関わらず、激太りしてしまった。そのせいで夫の賢也からは女として見られなくなってしまったばかりか、乱暴な言葉で傷つけられ、さらには凛の気づかぬところで浮気をしていて――。夫に裏切られながらも、努力を重ね自立を目指す主人公が、愛していたはずの夫との関係を見つめ直す物語。
")</f>
        <v>なんでも言いあえる関係を誓って、幸せな結婚をしたはずの夫婦。しかし2年経った今、妻である凛は努力しているにも関わらず、激太りしてしまった。そのせいで夫の賢也からは女として見られなくなってしまったばかりか、乱暴な言葉で傷つけられ、さらには凛の気づかぬところで浮気をしていて――。夫に裏切られながらも、努力を重ね自立を目指す主人公が、愛していたはずの夫との関係を見つめ直す物語。
</v>
      </c>
      <c r="W485" s="8"/>
      <c r="X485" s="8" t="str">
        <f>IFERROR(__xludf.DUMMYFUNCTION("""COMPUTED_VALUE"""),"有")</f>
        <v>有</v>
      </c>
      <c r="Y485" s="8" t="str">
        <f>IFERROR(__xludf.DUMMYFUNCTION("""COMPUTED_VALUE"""),"8/24まで1巻無料")</f>
        <v>8/24まで1巻無料</v>
      </c>
      <c r="Z485" s="7"/>
      <c r="AA485" s="7"/>
      <c r="AB485" s="7"/>
    </row>
    <row r="486" ht="15.75" customHeight="1">
      <c r="A486" s="8">
        <f>IFERROR(__xludf.DUMMYFUNCTION("""COMPUTED_VALUE"""),2098.0)</f>
        <v>2098</v>
      </c>
      <c r="B486" s="9" t="str">
        <f>IFERROR(__xludf.DUMMYFUNCTION("""COMPUTED_VALUE"""),"確定")</f>
        <v>確定</v>
      </c>
      <c r="C486" s="10">
        <f>IFERROR(__xludf.DUMMYFUNCTION("""COMPUTED_VALUE"""),45100.0)</f>
        <v>45100</v>
      </c>
      <c r="D486" s="10">
        <f>IFERROR(__xludf.DUMMYFUNCTION("""COMPUTED_VALUE"""),45100.0)</f>
        <v>45100</v>
      </c>
      <c r="E486" s="8">
        <f>IFERROR(__xludf.DUMMYFUNCTION("""COMPUTED_VALUE"""),271949.0)</f>
        <v>271949</v>
      </c>
      <c r="F486" s="9" t="str">
        <f>IFERROR(__xludf.DUMMYFUNCTION("""COMPUTED_VALUE"""),"その渇きさえ飲みほして")</f>
        <v>その渇きさえ飲みほして</v>
      </c>
      <c r="G486" s="11">
        <f>IFERROR(__xludf.DUMMYFUNCTION("""COMPUTED_VALUE"""),1.0)</f>
        <v>1</v>
      </c>
      <c r="H486" s="8" t="str">
        <f>IFERROR(__xludf.DUMMYFUNCTION("""COMPUTED_VALUE"""),"一色いち")</f>
        <v>一色いち</v>
      </c>
      <c r="I486" s="8" t="str">
        <f>IFERROR(__xludf.DUMMYFUNCTION("""COMPUTED_VALUE"""),"BL")</f>
        <v>BL</v>
      </c>
      <c r="J486" s="8"/>
      <c r="K486" s="8"/>
      <c r="L486" s="8" t="str">
        <f>IFERROR(__xludf.DUMMYFUNCTION("""COMPUTED_VALUE"""),"from RED")</f>
        <v>from RED</v>
      </c>
      <c r="M486" s="12">
        <f>IFERROR(__xludf.DUMMYFUNCTION("""COMPUTED_VALUE"""),45121.0)</f>
        <v>45121</v>
      </c>
      <c r="N486" s="12">
        <f>IFERROR(__xludf.DUMMYFUNCTION("""COMPUTED_VALUE"""),45148.0)</f>
        <v>45148</v>
      </c>
      <c r="O486" s="11"/>
      <c r="P486" s="9" t="str">
        <f>IFERROR(__xludf.DUMMYFUNCTION("""COMPUTED_VALUE"""),"可")</f>
        <v>可</v>
      </c>
      <c r="Q486" s="8"/>
      <c r="R486" s="9"/>
      <c r="S486" s="8" t="str">
        <f>IFERROR(__xludf.DUMMYFUNCTION("""COMPUTED_VALUE"""),"20230623_fromRED_6月新作3作品")</f>
        <v>20230623_fromRED_6月新作3作品</v>
      </c>
      <c r="T486" s="9"/>
      <c r="U486" s="9" t="str">
        <f>IFERROR(__xludf.DUMMYFUNCTION("""COMPUTED_VALUE"""),"（C）一色いち/from RED")</f>
        <v>（C）一色いち/from RED</v>
      </c>
      <c r="V486" s="8" t="str">
        <f>IFERROR(__xludf.DUMMYFUNCTION("""COMPUTED_VALUE"""),"高校1年の春。
人付き合いが苦手な岳の世界は、小学校からの幼なじみ・翔平を中心に回っていた。
しかし、誰に対しても分け隔てなく優しい翔平は、岳と違ってたくさん友達がいる。
特別な幼なじみ――それだけじゃ足りない。もっと翔平を独り占めしたいのに――。
そんなモヤモヤを持て余していた頃、岳は思いがけず翔平が自慰をしているところに遭遇してしまう。
そこで耳にしたのは、岳の名前を呼びながら快楽に耽る翔平の声。
仄暗い情欲をおぼえた岳は、加速する独占欲に背中を押されるように
翔平にある提案を持ちかけて…？
【"&amp;"無自覚執着幼なじみ×自覚済な健気太陽受】がおくる執着×青春シーソーゲーム！")</f>
        <v>高校1年の春。
人付き合いが苦手な岳の世界は、小学校からの幼なじみ・翔平を中心に回っていた。
しかし、誰に対しても分け隔てなく優しい翔平は、岳と違ってたくさん友達がいる。
特別な幼なじみ――それだけじゃ足りない。もっと翔平を独り占めしたいのに――。
そんなモヤモヤを持て余していた頃、岳は思いがけず翔平が自慰をしているところに遭遇してしまう。
そこで耳にしたのは、岳の名前を呼びながら快楽に耽る翔平の声。
仄暗い情欲をおぼえた岳は、加速する独占欲に背中を押されるように
翔平にある提案を持ちかけて…？
【無自覚執着幼なじみ×自覚済な健気太陽受】がおくる執着×青春シーソーゲーム！</v>
      </c>
      <c r="W486" s="8"/>
      <c r="X486" s="8" t="str">
        <f>IFERROR(__xludf.DUMMYFUNCTION("""COMPUTED_VALUE"""),"有")</f>
        <v>有</v>
      </c>
      <c r="Y486" s="8" t="str">
        <f>IFERROR(__xludf.DUMMYFUNCTION("""COMPUTED_VALUE"""),"P9まで")</f>
        <v>P9まで</v>
      </c>
      <c r="Z486" s="7"/>
      <c r="AA486" s="7"/>
      <c r="AB486" s="7"/>
    </row>
    <row r="487" ht="15.75" customHeight="1">
      <c r="A487" s="8">
        <f>IFERROR(__xludf.DUMMYFUNCTION("""COMPUTED_VALUE"""),2099.0)</f>
        <v>2099</v>
      </c>
      <c r="B487" s="9" t="str">
        <f>IFERROR(__xludf.DUMMYFUNCTION("""COMPUTED_VALUE"""),"確定")</f>
        <v>確定</v>
      </c>
      <c r="C487" s="10">
        <f>IFERROR(__xludf.DUMMYFUNCTION("""COMPUTED_VALUE"""),45100.0)</f>
        <v>45100</v>
      </c>
      <c r="D487" s="10">
        <f>IFERROR(__xludf.DUMMYFUNCTION("""COMPUTED_VALUE"""),45100.0)</f>
        <v>45100</v>
      </c>
      <c r="E487" s="8">
        <f>IFERROR(__xludf.DUMMYFUNCTION("""COMPUTED_VALUE"""),271948.0)</f>
        <v>271948</v>
      </c>
      <c r="F487" s="9" t="str">
        <f>IFERROR(__xludf.DUMMYFUNCTION("""COMPUTED_VALUE"""),"イグナートの花嫁")</f>
        <v>イグナートの花嫁</v>
      </c>
      <c r="G487" s="11">
        <f>IFERROR(__xludf.DUMMYFUNCTION("""COMPUTED_VALUE"""),1.0)</f>
        <v>1</v>
      </c>
      <c r="H487" s="8" t="str">
        <f>IFERROR(__xludf.DUMMYFUNCTION("""COMPUTED_VALUE"""),"もりもより")</f>
        <v>もりもより</v>
      </c>
      <c r="I487" s="8" t="str">
        <f>IFERROR(__xludf.DUMMYFUNCTION("""COMPUTED_VALUE"""),"BL")</f>
        <v>BL</v>
      </c>
      <c r="J487" s="8"/>
      <c r="K487" s="8"/>
      <c r="L487" s="8" t="str">
        <f>IFERROR(__xludf.DUMMYFUNCTION("""COMPUTED_VALUE"""),"from RED")</f>
        <v>from RED</v>
      </c>
      <c r="M487" s="12">
        <f>IFERROR(__xludf.DUMMYFUNCTION("""COMPUTED_VALUE"""),45121.0)</f>
        <v>45121</v>
      </c>
      <c r="N487" s="12">
        <f>IFERROR(__xludf.DUMMYFUNCTION("""COMPUTED_VALUE"""),45148.0)</f>
        <v>45148</v>
      </c>
      <c r="O487" s="11"/>
      <c r="P487" s="9" t="str">
        <f>IFERROR(__xludf.DUMMYFUNCTION("""COMPUTED_VALUE"""),"可")</f>
        <v>可</v>
      </c>
      <c r="Q487" s="8"/>
      <c r="R487" s="9"/>
      <c r="S487" s="8" t="str">
        <f>IFERROR(__xludf.DUMMYFUNCTION("""COMPUTED_VALUE"""),"20230623_fromRED_6月新作3作品")</f>
        <v>20230623_fromRED_6月新作3作品</v>
      </c>
      <c r="T487" s="9"/>
      <c r="U487" s="9" t="str">
        <f>IFERROR(__xludf.DUMMYFUNCTION("""COMPUTED_VALUE"""),"（C）もりもより/from RED")</f>
        <v>（C）もりもより/from RED</v>
      </c>
      <c r="V487" s="8" t="str">
        <f>IFERROR(__xludf.DUMMYFUNCTION("""COMPUTED_VALUE"""),"「どこに居たって　意味のない命なら――」
村のしきたりで〈竜の花嫁〉に選ばれた、ひとりぼっちの少年・リタ。
古くから伝わる雪山の竜の存在は、今となっては伝説に過ぎない。
しかし村での役割を見つけられないリタは
それが口減らしであると悟りつつ、生贄になることを受け入れる。
竜を探して吹雪のなかを彷徨い、死にかけたリタを救ったのは
人の姿をした美しい竜・イグナートだった。
本当に竜がいたことで〈花嫁〉としての役割ができたと目を輝かせるリタ。
だが、イグナートは「花嫁は必要ない」と言い放つ。
それでも諦め"&amp;"られないリタは【人間を“竜化”する儀式】の秘密を知り――。
寡黙な竜×怖いもの知らずの生贄
凍てつく心を癒す、人外嫁入りファンタジーBL！")</f>
        <v>「どこに居たって　意味のない命なら――」
村のしきたりで〈竜の花嫁〉に選ばれた、ひとりぼっちの少年・リタ。
古くから伝わる雪山の竜の存在は、今となっては伝説に過ぎない。
しかし村での役割を見つけられないリタは
それが口減らしであると悟りつつ、生贄になることを受け入れる。
竜を探して吹雪のなかを彷徨い、死にかけたリタを救ったのは
人の姿をした美しい竜・イグナートだった。
本当に竜がいたことで〈花嫁〉としての役割ができたと目を輝かせるリタ。
だが、イグナートは「花嫁は必要ない」と言い放つ。
それでも諦められないリタは【人間を“竜化”する儀式】の秘密を知り――。
寡黙な竜×怖いもの知らずの生贄
凍てつく心を癒す、人外嫁入りファンタジーBL！</v>
      </c>
      <c r="W487" s="8"/>
      <c r="X487" s="8" t="str">
        <f>IFERROR(__xludf.DUMMYFUNCTION("""COMPUTED_VALUE"""),"有")</f>
        <v>有</v>
      </c>
      <c r="Y487" s="8" t="str">
        <f>IFERROR(__xludf.DUMMYFUNCTION("""COMPUTED_VALUE"""),"P13まで")</f>
        <v>P13まで</v>
      </c>
      <c r="Z487" s="7"/>
      <c r="AA487" s="7"/>
      <c r="AB487" s="7"/>
    </row>
    <row r="488" ht="15.75" customHeight="1">
      <c r="A488" s="8">
        <f>IFERROR(__xludf.DUMMYFUNCTION("""COMPUTED_VALUE"""),2100.0)</f>
        <v>2100</v>
      </c>
      <c r="B488" s="9" t="str">
        <f>IFERROR(__xludf.DUMMYFUNCTION("""COMPUTED_VALUE"""),"確定")</f>
        <v>確定</v>
      </c>
      <c r="C488" s="10">
        <f>IFERROR(__xludf.DUMMYFUNCTION("""COMPUTED_VALUE"""),45100.0)</f>
        <v>45100</v>
      </c>
      <c r="D488" s="10">
        <f>IFERROR(__xludf.DUMMYFUNCTION("""COMPUTED_VALUE"""),45100.0)</f>
        <v>45100</v>
      </c>
      <c r="E488" s="8">
        <f>IFERROR(__xludf.DUMMYFUNCTION("""COMPUTED_VALUE"""),271950.0)</f>
        <v>271950</v>
      </c>
      <c r="F488" s="9" t="str">
        <f>IFERROR(__xludf.DUMMYFUNCTION("""COMPUTED_VALUE"""),"親愛なるわが魔王へ")</f>
        <v>親愛なるわが魔王へ</v>
      </c>
      <c r="G488" s="11">
        <f>IFERROR(__xludf.DUMMYFUNCTION("""COMPUTED_VALUE"""),1.0)</f>
        <v>1</v>
      </c>
      <c r="H488" s="8" t="str">
        <f>IFERROR(__xludf.DUMMYFUNCTION("""COMPUTED_VALUE"""),"五月女えむ")</f>
        <v>五月女えむ</v>
      </c>
      <c r="I488" s="8" t="str">
        <f>IFERROR(__xludf.DUMMYFUNCTION("""COMPUTED_VALUE"""),"BL")</f>
        <v>BL</v>
      </c>
      <c r="J488" s="8"/>
      <c r="K488" s="8"/>
      <c r="L488" s="8" t="str">
        <f>IFERROR(__xludf.DUMMYFUNCTION("""COMPUTED_VALUE"""),"from RED")</f>
        <v>from RED</v>
      </c>
      <c r="M488" s="12">
        <f>IFERROR(__xludf.DUMMYFUNCTION("""COMPUTED_VALUE"""),45121.0)</f>
        <v>45121</v>
      </c>
      <c r="N488" s="12">
        <f>IFERROR(__xludf.DUMMYFUNCTION("""COMPUTED_VALUE"""),45148.0)</f>
        <v>45148</v>
      </c>
      <c r="O488" s="11"/>
      <c r="P488" s="9" t="str">
        <f>IFERROR(__xludf.DUMMYFUNCTION("""COMPUTED_VALUE"""),"可")</f>
        <v>可</v>
      </c>
      <c r="Q488" s="8"/>
      <c r="R488" s="9"/>
      <c r="S488" s="8" t="str">
        <f>IFERROR(__xludf.DUMMYFUNCTION("""COMPUTED_VALUE"""),"20230623_fromRED_6月新作3作品")</f>
        <v>20230623_fromRED_6月新作3作品</v>
      </c>
      <c r="T488" s="9"/>
      <c r="U488" s="9" t="str">
        <f>IFERROR(__xludf.DUMMYFUNCTION("""COMPUTED_VALUE"""),"（C）五月女えむ/from RED")</f>
        <v>（C）五月女えむ/from RED</v>
      </c>
      <c r="V488" s="8" t="str">
        <f>IFERROR(__xludf.DUMMYFUNCTION("""COMPUTED_VALUE"""),"グリフォンのトパズは、かつて卵から孵化できずにいたところを魔王・コウギョクに救われた。
その影響で人型もとれるトパズにとって、コウギョクは親代わりの大切な存在。
成長して背丈を追い抜いて、無防備なコウギョクの身の回りの世話をするようになっても、
彼にとって「可愛い子供」であることに変わりはない…。
しかし、コウギョクに向ける親愛はいつしか恋情に形を変え、
トパズの中でどんどん膨らんでいって――。
「私が欲情するとか微塵も思ってないんでしょうね」
【巨大感情を捧げる人外攻×親代わり男前魔王】が織りなす"&amp;"、両片想いファンタジー・開幕！")</f>
        <v>グリフォンのトパズは、かつて卵から孵化できずにいたところを魔王・コウギョクに救われた。
その影響で人型もとれるトパズにとって、コウギョクは親代わりの大切な存在。
成長して背丈を追い抜いて、無防備なコウギョクの身の回りの世話をするようになっても、
彼にとって「可愛い子供」であることに変わりはない…。
しかし、コウギョクに向ける親愛はいつしか恋情に形を変え、
トパズの中でどんどん膨らんでいって――。
「私が欲情するとか微塵も思ってないんでしょうね」
【巨大感情を捧げる人外攻×親代わり男前魔王】が織りなす、両片想いファンタジー・開幕！</v>
      </c>
      <c r="W488" s="8"/>
      <c r="X488" s="8" t="str">
        <f>IFERROR(__xludf.DUMMYFUNCTION("""COMPUTED_VALUE"""),"有")</f>
        <v>有</v>
      </c>
      <c r="Y488" s="8" t="str">
        <f>IFERROR(__xludf.DUMMYFUNCTION("""COMPUTED_VALUE"""),"P10まで")</f>
        <v>P10まで</v>
      </c>
      <c r="Z488" s="7"/>
      <c r="AA488" s="7"/>
      <c r="AB488" s="7"/>
    </row>
    <row r="489" ht="127.5" customHeight="1">
      <c r="A489" s="8">
        <f>IFERROR(__xludf.DUMMYFUNCTION("""COMPUTED_VALUE"""),2104.0)</f>
        <v>2104</v>
      </c>
      <c r="B489" s="9" t="str">
        <f>IFERROR(__xludf.DUMMYFUNCTION("""COMPUTED_VALUE"""),"確定")</f>
        <v>確定</v>
      </c>
      <c r="C489" s="10">
        <f>IFERROR(__xludf.DUMMYFUNCTION("""COMPUTED_VALUE"""),45103.0)</f>
        <v>45103</v>
      </c>
      <c r="D489" s="10">
        <f>IFERROR(__xludf.DUMMYFUNCTION("""COMPUTED_VALUE"""),45103.0)</f>
        <v>45103</v>
      </c>
      <c r="E489" s="8">
        <f>IFERROR(__xludf.DUMMYFUNCTION("""COMPUTED_VALUE"""),272553.0)</f>
        <v>272553</v>
      </c>
      <c r="F489" s="9" t="str">
        <f>IFERROR(__xludf.DUMMYFUNCTION("""COMPUTED_VALUE"""),"ぼ～りょく温泉　※転生先は化け物だらけのホラゲ世界！ 妻を守りアイテム集めて脱出だ！ お●ぱいポロリもありまっせ♪")</f>
        <v>ぼ～りょく温泉　※転生先は化け物だらけのホラゲ世界！ 妻を守りアイテム集めて脱出だ！ お●ぱいポロリもありまっせ♪</v>
      </c>
      <c r="G489" s="11" t="str">
        <f>IFERROR(__xludf.DUMMYFUNCTION("""COMPUTED_VALUE"""),"1~5")</f>
        <v>1~5</v>
      </c>
      <c r="H489" s="8" t="str">
        <f>IFERROR(__xludf.DUMMYFUNCTION("""COMPUTED_VALUE"""),"鈴丸れいじ")</f>
        <v>鈴丸れいじ</v>
      </c>
      <c r="I489" s="8" t="str">
        <f>IFERROR(__xludf.DUMMYFUNCTION("""COMPUTED_VALUE"""),"青年")</f>
        <v>青年</v>
      </c>
      <c r="J489" s="8"/>
      <c r="K489" s="8"/>
      <c r="L489" s="8" t="str">
        <f>IFERROR(__xludf.DUMMYFUNCTION("""COMPUTED_VALUE"""),"コミックストック")</f>
        <v>コミックストック</v>
      </c>
      <c r="M489" s="12">
        <f>IFERROR(__xludf.DUMMYFUNCTION("""COMPUTED_VALUE"""),45130.0)</f>
        <v>45130</v>
      </c>
      <c r="N489" s="12">
        <f>IFERROR(__xludf.DUMMYFUNCTION("""COMPUTED_VALUE"""),45227.0)</f>
        <v>45227</v>
      </c>
      <c r="O489" s="11"/>
      <c r="P489" s="9" t="str">
        <f>IFERROR(__xludf.DUMMYFUNCTION("""COMPUTED_VALUE"""),"可")</f>
        <v>可</v>
      </c>
      <c r="Q489" s="8" t="str">
        <f>IFERROR(__xludf.DUMMYFUNCTION("""COMPUTED_VALUE"""),"協業：シーモア×DEDEDE")</f>
        <v>協業：シーモア×DEDEDE</v>
      </c>
      <c r="R489" s="9" t="str">
        <f>IFERROR(__xludf.DUMMYFUNCTION("""COMPUTED_VALUE"""),"格納済")</f>
        <v>格納済</v>
      </c>
      <c r="S489" s="8" t="str">
        <f>IFERROR(__xludf.DUMMYFUNCTION("""COMPUTED_VALUE"""),"20230626_コミックストック_ぼ～りょく温泉")</f>
        <v>20230626_コミックストック_ぼ～りょく温泉</v>
      </c>
      <c r="T489" s="9" t="str">
        <f>IFERROR(__xludf.DUMMYFUNCTION("""COMPUTED_VALUE"""),"校了済素材")</f>
        <v>校了済素材</v>
      </c>
      <c r="U489" s="9" t="str">
        <f>IFERROR(__xludf.DUMMYFUNCTION("""COMPUTED_VALUE"""),"ⓒ鈴丸れいじ/コミックストック")</f>
        <v>ⓒ鈴丸れいじ/コミックストック</v>
      </c>
      <c r="V489" s="8" t="str">
        <f>IFERROR(__xludf.DUMMYFUNCTION("""COMPUTED_VALUE"""),"渋滞の列に大型トレーラーが追突！ 数十台の車が爆発炎上…。その大事故に巻き込まれた神代匡(コウ)と莉子（リコ）夫婦は、見知らぬ温泉街で目が覚める。そこで二人は、逃げ惑う人々が異形の生物に食われ、犯される…狂気的な光景を目撃する。『みなさまは別の世界線…鬼乃川温泉郷に転生してこられたのです』ヤクザ、ギャル、オタク、老人、子供…無作為に転生させられた数十名が、地獄のような温泉街からの脱出を目指すサバイバル群像劇、開幕!!
")</f>
        <v>渋滞の列に大型トレーラーが追突！ 数十台の車が爆発炎上…。その大事故に巻き込まれた神代匡(コウ)と莉子（リコ）夫婦は、見知らぬ温泉街で目が覚める。そこで二人は、逃げ惑う人々が異形の生物に食われ、犯される…狂気的な光景を目撃する。『みなさまは別の世界線…鬼乃川温泉郷に転生してこられたのです』ヤクザ、ギャル、オタク、老人、子供…無作為に転生させられた数十名が、地獄のような温泉街からの脱出を目指すサバイバル群像劇、開幕!!
</v>
      </c>
      <c r="W489" s="8"/>
      <c r="X489" s="8" t="str">
        <f>IFERROR(__xludf.DUMMYFUNCTION("""COMPUTED_VALUE"""),"有")</f>
        <v>有</v>
      </c>
      <c r="Y489" s="8" t="str">
        <f>IFERROR(__xludf.DUMMYFUNCTION("""COMPUTED_VALUE"""),"8/5まで1~2巻無料")</f>
        <v>8/5まで1~2巻無料</v>
      </c>
      <c r="Z489" s="7"/>
      <c r="AA489" s="7"/>
      <c r="AB489" s="7"/>
    </row>
    <row r="490" ht="15.75" customHeight="1">
      <c r="A490" s="8">
        <f>IFERROR(__xludf.DUMMYFUNCTION("""COMPUTED_VALUE"""),2107.0)</f>
        <v>2107</v>
      </c>
      <c r="B490" s="9" t="str">
        <f>IFERROR(__xludf.DUMMYFUNCTION("""COMPUTED_VALUE"""),"確定")</f>
        <v>確定</v>
      </c>
      <c r="C490" s="10">
        <f>IFERROR(__xludf.DUMMYFUNCTION("""COMPUTED_VALUE"""),45103.0)</f>
        <v>45103</v>
      </c>
      <c r="D490" s="10">
        <f>IFERROR(__xludf.DUMMYFUNCTION("""COMPUTED_VALUE"""),45103.0)</f>
        <v>45103</v>
      </c>
      <c r="E490" s="8">
        <f>IFERROR(__xludf.DUMMYFUNCTION("""COMPUTED_VALUE"""),271550.0)</f>
        <v>271550</v>
      </c>
      <c r="F490" s="9" t="str">
        <f>IFERROR(__xludf.DUMMYFUNCTION("""COMPUTED_VALUE"""),"綾城くんは秘密を守りたい～これ、先輩の裏アカですか？～")</f>
        <v>綾城くんは秘密を守りたい～これ、先輩の裏アカですか？～</v>
      </c>
      <c r="G490" s="11" t="str">
        <f>IFERROR(__xludf.DUMMYFUNCTION("""COMPUTED_VALUE"""),"1~3")</f>
        <v>1~3</v>
      </c>
      <c r="H490" s="8" t="str">
        <f>IFERROR(__xludf.DUMMYFUNCTION("""COMPUTED_VALUE"""),"miyamon")</f>
        <v>miyamon</v>
      </c>
      <c r="I490" s="8" t="str">
        <f>IFERROR(__xludf.DUMMYFUNCTION("""COMPUTED_VALUE"""),"青年")</f>
        <v>青年</v>
      </c>
      <c r="J490" s="8"/>
      <c r="K490" s="8"/>
      <c r="L490" s="8" t="str">
        <f>IFERROR(__xludf.DUMMYFUNCTION("""COMPUTED_VALUE"""),"コミックストック")</f>
        <v>コミックストック</v>
      </c>
      <c r="M490" s="12">
        <f>IFERROR(__xludf.DUMMYFUNCTION("""COMPUTED_VALUE"""),45116.0)</f>
        <v>45116</v>
      </c>
      <c r="N490" s="12">
        <f>IFERROR(__xludf.DUMMYFUNCTION("""COMPUTED_VALUE"""),45150.0)</f>
        <v>45150</v>
      </c>
      <c r="O490" s="11"/>
      <c r="P490" s="9" t="str">
        <f>IFERROR(__xludf.DUMMYFUNCTION("""COMPUTED_VALUE"""),"可")</f>
        <v>可</v>
      </c>
      <c r="Q490" s="8"/>
      <c r="R490" s="9" t="str">
        <f>IFERROR(__xludf.DUMMYFUNCTION("""COMPUTED_VALUE"""),"格納済")</f>
        <v>格納済</v>
      </c>
      <c r="S490" s="8" t="str">
        <f>IFERROR(__xludf.DUMMYFUNCTION("""COMPUTED_VALUE"""),"20230626_コミックストック_綾城くんは秘密を守りたい～これ、先輩の裏アカですか？～")</f>
        <v>20230626_コミックストック_綾城くんは秘密を守りたい～これ、先輩の裏アカですか？～</v>
      </c>
      <c r="T490" s="9" t="str">
        <f>IFERROR(__xludf.DUMMYFUNCTION("""COMPUTED_VALUE"""),"校了済素材")</f>
        <v>校了済素材</v>
      </c>
      <c r="U490" s="9" t="str">
        <f>IFERROR(__xludf.DUMMYFUNCTION("""COMPUTED_VALUE"""),"ⓒmiyamon/コミックストック")</f>
        <v>ⓒmiyamon/コミックストック</v>
      </c>
      <c r="V490" s="8" t="str">
        <f>IFERROR(__xludf.DUMMYFUNCTION("""COMPUTED_VALUE"""),"営業部のエース・桜庭明日果は、自分を慕う仔犬のような後輩・綾城隼人とともに、忙しい日々を送っていた。そんな明日果には、誰にも言えないヒミツがあって…。2年前、密かに始めたSNSの裏アカウント。そこに自らのカラダを投稿し、沢山のイイネやリプライで、承認欲求を満たしていたのだ。ある日、明日果はその撮影現場を、隼人に目撃されてしまい…！ かわいい雰囲気から一変、悪魔のように豹変した隼人に、明日果の日常は壊されていく――
")</f>
        <v>営業部のエース・桜庭明日果は、自分を慕う仔犬のような後輩・綾城隼人とともに、忙しい日々を送っていた。そんな明日果には、誰にも言えないヒミツがあって…。2年前、密かに始めたSNSの裏アカウント。そこに自らのカラダを投稿し、沢山のイイネやリプライで、承認欲求を満たしていたのだ。ある日、明日果はその撮影現場を、隼人に目撃されてしまい…！ かわいい雰囲気から一変、悪魔のように豹変した隼人に、明日果の日常は壊されていく――
</v>
      </c>
      <c r="W490" s="8"/>
      <c r="X490" s="8" t="str">
        <f>IFERROR(__xludf.DUMMYFUNCTION("""COMPUTED_VALUE"""),"有")</f>
        <v>有</v>
      </c>
      <c r="Y490" s="8" t="str">
        <f>IFERROR(__xludf.DUMMYFUNCTION("""COMPUTED_VALUE"""),"7/22まで1巻無料")</f>
        <v>7/22まで1巻無料</v>
      </c>
      <c r="Z490" s="7"/>
      <c r="AA490" s="7"/>
      <c r="AB490" s="7"/>
    </row>
    <row r="491" ht="15.75" customHeight="1">
      <c r="A491" s="8">
        <f>IFERROR(__xludf.DUMMYFUNCTION("""COMPUTED_VALUE"""),1851.0)</f>
        <v>1851</v>
      </c>
      <c r="B491" s="9" t="str">
        <f>IFERROR(__xludf.DUMMYFUNCTION("""COMPUTED_VALUE"""),"確定")</f>
        <v>確定</v>
      </c>
      <c r="C491" s="10">
        <f>IFERROR(__xludf.DUMMYFUNCTION("""COMPUTED_VALUE"""),45019.0)</f>
        <v>45019</v>
      </c>
      <c r="D491" s="10">
        <f>IFERROR(__xludf.DUMMYFUNCTION("""COMPUTED_VALUE"""),45107.0)</f>
        <v>45107</v>
      </c>
      <c r="E491" s="8">
        <f>IFERROR(__xludf.DUMMYFUNCTION("""COMPUTED_VALUE"""),274321.0)</f>
        <v>274321</v>
      </c>
      <c r="F491" s="9" t="str">
        <f>IFERROR(__xludf.DUMMYFUNCTION("""COMPUTED_VALUE"""),"生贄娘の壮大なる夫育成譚")</f>
        <v>生贄娘の壮大なる夫育成譚</v>
      </c>
      <c r="G491" s="11" t="str">
        <f>IFERROR(__xludf.DUMMYFUNCTION("""COMPUTED_VALUE"""),"1～3")</f>
        <v>1～3</v>
      </c>
      <c r="H491" s="8" t="str">
        <f>IFERROR(__xludf.DUMMYFUNCTION("""COMPUTED_VALUE"""),"ユージ先生（原作：竹輪先生）")</f>
        <v>ユージ先生（原作：竹輪先生）</v>
      </c>
      <c r="I491" s="8" t="str">
        <f>IFERROR(__xludf.DUMMYFUNCTION("""COMPUTED_VALUE"""),"TL")</f>
        <v>TL</v>
      </c>
      <c r="J491" s="8"/>
      <c r="K491" s="8"/>
      <c r="L491" s="8" t="str">
        <f>IFERROR(__xludf.DUMMYFUNCTION("""COMPUTED_VALUE"""),"リブレ")</f>
        <v>リブレ</v>
      </c>
      <c r="M491" s="12">
        <f>IFERROR(__xludf.DUMMYFUNCTION("""COMPUTED_VALUE"""),45155.0)</f>
        <v>45155</v>
      </c>
      <c r="N491" s="12">
        <f>IFERROR(__xludf.DUMMYFUNCTION("""COMPUTED_VALUE"""),45189.0)</f>
        <v>45189</v>
      </c>
      <c r="O491" s="11"/>
      <c r="P491" s="9" t="str">
        <f>IFERROR(__xludf.DUMMYFUNCTION("""COMPUTED_VALUE"""),"可")</f>
        <v>可</v>
      </c>
      <c r="Q491" s="8" t="str">
        <f>IFERROR(__xludf.DUMMYFUNCTION("""COMPUTED_VALUE"""),"広告コミットOK（4/7）")</f>
        <v>広告コミットOK（4/7）</v>
      </c>
      <c r="R491" s="9"/>
      <c r="S491" s="8" t="str">
        <f>IFERROR(__xludf.DUMMYFUNCTION("""COMPUTED_VALUE"""),"20230630_リブレ_生贄娘の壮大なる夫育成譚")</f>
        <v>20230630_リブレ_生贄娘の壮大なる夫育成譚</v>
      </c>
      <c r="T491" s="9"/>
      <c r="U491" s="9" t="str">
        <f>IFERROR(__xludf.DUMMYFUNCTION("""COMPUTED_VALUE"""),"©ユージ・竹輪/libre")</f>
        <v>©ユージ・竹輪/libre</v>
      </c>
      <c r="V491" s="8" t="str">
        <f>IFERROR(__xludf.DUMMYFUNCTION("""COMPUTED_VALUE"""),"「私は今日生贄として神様の嫁になった」
古の時代、わけあって土地神に「嫁」として捧げられた志乃。この先待ち受けている展開を想像してはひどく恐れるが、待ち受けていたのは想像とはちがう、どうにも呑気な神様みたいで…？
しっかり者の生贄娘×貧乏怠け者神様の壮大なる異類婚姻譚！
")</f>
        <v>「私は今日生贄として神様の嫁になった」
古の時代、わけあって土地神に「嫁」として捧げられた志乃。この先待ち受けている展開を想像してはひどく恐れるが、待ち受けていたのは想像とはちがう、どうにも呑気な神様みたいで…？
しっかり者の生贄娘×貧乏怠け者神様の壮大なる異類婚姻譚！
</v>
      </c>
      <c r="W491" s="8"/>
      <c r="X491" s="8" t="str">
        <f>IFERROR(__xludf.DUMMYFUNCTION("""COMPUTED_VALUE"""),"有")</f>
        <v>有</v>
      </c>
      <c r="Y491" s="8" t="str">
        <f>IFERROR(__xludf.DUMMYFUNCTION("""COMPUTED_VALUE"""),"P14まで")</f>
        <v>P14まで</v>
      </c>
      <c r="Z491" s="7"/>
      <c r="AA491" s="7"/>
      <c r="AB491" s="7"/>
    </row>
    <row r="492" ht="15.75" customHeight="1">
      <c r="A492" s="8">
        <f>IFERROR(__xludf.DUMMYFUNCTION("""COMPUTED_VALUE"""),1933.0)</f>
        <v>1933</v>
      </c>
      <c r="B492" s="9" t="str">
        <f>IFERROR(__xludf.DUMMYFUNCTION("""COMPUTED_VALUE"""),"確定")</f>
        <v>確定</v>
      </c>
      <c r="C492" s="10">
        <f>IFERROR(__xludf.DUMMYFUNCTION("""COMPUTED_VALUE"""),45054.0)</f>
        <v>45054</v>
      </c>
      <c r="D492" s="10">
        <f>IFERROR(__xludf.DUMMYFUNCTION("""COMPUTED_VALUE"""),45112.0)</f>
        <v>45112</v>
      </c>
      <c r="E492" s="8">
        <f>IFERROR(__xludf.DUMMYFUNCTION("""COMPUTED_VALUE"""),272635.0)</f>
        <v>272635</v>
      </c>
      <c r="F492" s="9" t="str">
        <f>IFERROR(__xludf.DUMMYFUNCTION("""COMPUTED_VALUE"""),"【単話版】没落伯爵令嬢は家族を養いたい@COMIC")</f>
        <v>【単話版】没落伯爵令嬢は家族を養いたい@COMIC</v>
      </c>
      <c r="G492" s="11" t="str">
        <f>IFERROR(__xludf.DUMMYFUNCTION("""COMPUTED_VALUE"""),"1～2")</f>
        <v>1～2</v>
      </c>
      <c r="H492" s="8" t="str">
        <f>IFERROR(__xludf.DUMMYFUNCTION("""COMPUTED_VALUE"""),"しろ46┴ミコタにう┴椎名咲月")</f>
        <v>しろ46┴ミコタにう┴椎名咲月</v>
      </c>
      <c r="I492" s="8" t="str">
        <f>IFERROR(__xludf.DUMMYFUNCTION("""COMPUTED_VALUE"""),"女性")</f>
        <v>女性</v>
      </c>
      <c r="J492" s="8"/>
      <c r="K492" s="8"/>
      <c r="L492" s="8" t="str">
        <f>IFERROR(__xludf.DUMMYFUNCTION("""COMPUTED_VALUE"""),"TOブックス")</f>
        <v>TOブックス</v>
      </c>
      <c r="M492" s="12">
        <f>IFERROR(__xludf.DUMMYFUNCTION("""COMPUTED_VALUE"""),45139.0)</f>
        <v>45139</v>
      </c>
      <c r="N492" s="12">
        <f>IFERROR(__xludf.DUMMYFUNCTION("""COMPUTED_VALUE"""),45169.0)</f>
        <v>45169</v>
      </c>
      <c r="O492" s="11"/>
      <c r="P492" s="9" t="str">
        <f>IFERROR(__xludf.DUMMYFUNCTION("""COMPUTED_VALUE"""),"可")</f>
        <v>可</v>
      </c>
      <c r="Q492" s="8"/>
      <c r="R492" s="9"/>
      <c r="S492" s="8" t="str">
        <f>IFERROR(__xludf.DUMMYFUNCTION("""COMPUTED_VALUE"""),"20230704_TOブックス_8月新作2タイトル")</f>
        <v>20230704_TOブックス_8月新作2タイトル</v>
      </c>
      <c r="T492" s="9" t="str">
        <f>IFERROR(__xludf.DUMMYFUNCTION("""COMPUTED_VALUE"""),"格納済み")</f>
        <v>格納済み</v>
      </c>
      <c r="U492" s="9" t="str">
        <f>IFERROR(__xludf.DUMMYFUNCTION("""COMPUTED_VALUE"""),"(C) Shiro46 / mikotaniu")</f>
        <v>(C) Shiro46 / mikotaniu</v>
      </c>
      <c r="V492" s="8" t="str">
        <f>IFERROR(__xludf.DUMMYFUNCTION("""COMPUTED_VALUE"""),"大好きな家族の笑顔を守りたい！
所持金ゼロから始める、転生タフ令嬢の逆転ダイアリー！
「私がなんとかしてみせるんだから！」
ゲス野郎（亡父）の借金で領地も家屋敷も失い大ピンチに！？
名門伯爵家から一転して、このままでは没落まっしぐら。
でも、大好きなお母さまとかわいい妹、そして大切な使用人たちとの生活は守りたい……！
前世の知識を駆使し、転生令嬢ゲルトルードは家族愛とたくましさでポジティブに逆境を乗り越えていく！
所持金ゼロから始める、転生タフ令嬢の逆転ダイアリー！")</f>
        <v>大好きな家族の笑顔を守りたい！
所持金ゼロから始める、転生タフ令嬢の逆転ダイアリー！
「私がなんとかしてみせるんだから！」
ゲス野郎（亡父）の借金で領地も家屋敷も失い大ピンチに！？
名門伯爵家から一転して、このままでは没落まっしぐら。
でも、大好きなお母さまとかわいい妹、そして大切な使用人たちとの生活は守りたい……！
前世の知識を駆使し、転生令嬢ゲルトルードは家族愛とたくましさでポジティブに逆境を乗り越えていく！
所持金ゼロから始める、転生タフ令嬢の逆転ダイアリー！</v>
      </c>
      <c r="W492" s="8"/>
      <c r="X492" s="8" t="str">
        <f>IFERROR(__xludf.DUMMYFUNCTION("""COMPUTED_VALUE"""),"有")</f>
        <v>有</v>
      </c>
      <c r="Y492" s="8" t="str">
        <f>IFERROR(__xludf.DUMMYFUNCTION("""COMPUTED_VALUE"""),"P3まで")</f>
        <v>P3まで</v>
      </c>
      <c r="Z492" s="7"/>
      <c r="AA492" s="7"/>
      <c r="AB492" s="7"/>
    </row>
    <row r="493" ht="117.0" customHeight="1">
      <c r="A493" s="8">
        <f>IFERROR(__xludf.DUMMYFUNCTION("""COMPUTED_VALUE"""),1934.0)</f>
        <v>1934</v>
      </c>
      <c r="B493" s="9" t="str">
        <f>IFERROR(__xludf.DUMMYFUNCTION("""COMPUTED_VALUE"""),"確定")</f>
        <v>確定</v>
      </c>
      <c r="C493" s="10">
        <f>IFERROR(__xludf.DUMMYFUNCTION("""COMPUTED_VALUE"""),45054.0)</f>
        <v>45054</v>
      </c>
      <c r="D493" s="10">
        <f>IFERROR(__xludf.DUMMYFUNCTION("""COMPUTED_VALUE"""),45111.0)</f>
        <v>45111</v>
      </c>
      <c r="E493" s="8">
        <f>IFERROR(__xludf.DUMMYFUNCTION("""COMPUTED_VALUE"""),272963.0)</f>
        <v>272963</v>
      </c>
      <c r="F493" s="9" t="str">
        <f>IFERROR(__xludf.DUMMYFUNCTION("""COMPUTED_VALUE"""),"妻は僕のことが見えない")</f>
        <v>妻は僕のことが見えない</v>
      </c>
      <c r="G493" s="11">
        <f>IFERROR(__xludf.DUMMYFUNCTION("""COMPUTED_VALUE"""),1.0)</f>
        <v>1</v>
      </c>
      <c r="H493" s="8" t="str">
        <f>IFERROR(__xludf.DUMMYFUNCTION("""COMPUTED_VALUE"""),"小山ジム")</f>
        <v>小山ジム</v>
      </c>
      <c r="I493" s="8" t="str">
        <f>IFERROR(__xludf.DUMMYFUNCTION("""COMPUTED_VALUE"""),"女性")</f>
        <v>女性</v>
      </c>
      <c r="J493" s="8"/>
      <c r="K493" s="8"/>
      <c r="L493" s="8" t="str">
        <f>IFERROR(__xludf.DUMMYFUNCTION("""COMPUTED_VALUE"""),"DTSパブリッシング")</f>
        <v>DTSパブリッシング</v>
      </c>
      <c r="M493" s="12">
        <f>IFERROR(__xludf.DUMMYFUNCTION("""COMPUTED_VALUE"""),45139.0)</f>
        <v>45139</v>
      </c>
      <c r="N493" s="12">
        <f>IFERROR(__xludf.DUMMYFUNCTION("""COMPUTED_VALUE"""),45169.0)</f>
        <v>45169</v>
      </c>
      <c r="O493" s="11"/>
      <c r="P493" s="9" t="str">
        <f>IFERROR(__xludf.DUMMYFUNCTION("""COMPUTED_VALUE"""),"否")</f>
        <v>否</v>
      </c>
      <c r="Q493" s="8" t="str">
        <f>IFERROR(__xludf.DUMMYFUNCTION("""COMPUTED_VALUE"""),"コミットOK(5/10)")</f>
        <v>コミットOK(5/10)</v>
      </c>
      <c r="R493" s="9" t="str">
        <f>IFERROR(__xludf.DUMMYFUNCTION("""COMPUTED_VALUE"""),"2023年6月頃")</f>
        <v>2023年6月頃</v>
      </c>
      <c r="S493" s="8" t="str">
        <f>IFERROR(__xludf.DUMMYFUNCTION("""COMPUTED_VALUE"""),"230629_DTSパブリッシング_妻は僕のことが見えない")</f>
        <v>230629_DTSパブリッシング_妻は僕のことが見えない</v>
      </c>
      <c r="T493" s="9" t="str">
        <f>IFERROR(__xludf.DUMMYFUNCTION("""COMPUTED_VALUE"""),"格納済み")</f>
        <v>格納済み</v>
      </c>
      <c r="U493" s="9" t="str">
        <f>IFERROR(__xludf.DUMMYFUNCTION("""COMPUTED_VALUE"""),"©小山ジム/DTSパブリッシング")</f>
        <v>©小山ジム/DTSパブリッシング</v>
      </c>
      <c r="V493" s="8" t="str">
        <f>IFERROR(__xludf.DUMMYFUNCTION("""COMPUTED_VALUE"""),"「あなたの視力は徐々に失われていきます。早くて2年で見えなくなると覚悟してください」平凡な結婚生活を送っていたユキを不意に襲った病魔。それは脳腫瘍による視覚障害だった。大好きだった教師の仕事、当たり前に続いていくと思った未来、幸せな日常が失われていく中、すれ違っていく夫婦。「頑張る彼女の力になりたい。その気持ちは変わらずにいたはずなのに……」そして二人が選んだ結末とは……。夫婦の真実の愛を描く感動のヒューマンドラマ！")</f>
        <v>「あなたの視力は徐々に失われていきます。早くて2年で見えなくなると覚悟してください」平凡な結婚生活を送っていたユキを不意に襲った病魔。それは脳腫瘍による視覚障害だった。大好きだった教師の仕事、当たり前に続いていくと思った未来、幸せな日常が失われていく中、すれ違っていく夫婦。「頑張る彼女の力になりたい。その気持ちは変わらずにいたはずなのに……」そして二人が選んだ結末とは……。夫婦の真実の愛を描く感動のヒューマンドラマ！</v>
      </c>
      <c r="W493" s="8"/>
      <c r="X493" s="8" t="str">
        <f>IFERROR(__xludf.DUMMYFUNCTION("""COMPUTED_VALUE"""),"有")</f>
        <v>有</v>
      </c>
      <c r="Y493" s="8" t="str">
        <f>IFERROR(__xludf.DUMMYFUNCTION("""COMPUTED_VALUE"""),"P11まで")</f>
        <v>P11まで</v>
      </c>
      <c r="Z493" s="7"/>
      <c r="AA493" s="7"/>
      <c r="AB493" s="7"/>
    </row>
    <row r="494" ht="15.75" customHeight="1">
      <c r="A494" s="8">
        <f>IFERROR(__xludf.DUMMYFUNCTION("""COMPUTED_VALUE"""),1966.0)</f>
        <v>1966</v>
      </c>
      <c r="B494" s="9" t="str">
        <f>IFERROR(__xludf.DUMMYFUNCTION("""COMPUTED_VALUE"""),"確定")</f>
        <v>確定</v>
      </c>
      <c r="C494" s="10">
        <f>IFERROR(__xludf.DUMMYFUNCTION("""COMPUTED_VALUE"""),45065.0)</f>
        <v>45065</v>
      </c>
      <c r="D494" s="10">
        <f>IFERROR(__xludf.DUMMYFUNCTION("""COMPUTED_VALUE"""),45112.0)</f>
        <v>45112</v>
      </c>
      <c r="E494" s="8">
        <f>IFERROR(__xludf.DUMMYFUNCTION("""COMPUTED_VALUE"""),272634.0)</f>
        <v>272634</v>
      </c>
      <c r="F494" s="9" t="str">
        <f>IFERROR(__xludf.DUMMYFUNCTION("""COMPUTED_VALUE"""),"【単話版】やり込んだ乙女ゲームの悪役モブですが、断罪は嫌なので真っ当に生きます@COMIC")</f>
        <v>【単話版】やり込んだ乙女ゲームの悪役モブですが、断罪は嫌なので真っ当に生きます@COMIC</v>
      </c>
      <c r="G494" s="11" t="str">
        <f>IFERROR(__xludf.DUMMYFUNCTION("""COMPUTED_VALUE"""),"1～2")</f>
        <v>1～2</v>
      </c>
      <c r="H494" s="8" t="str">
        <f>IFERROR(__xludf.DUMMYFUNCTION("""COMPUTED_VALUE"""),"戸張ちょも┴MIZUNA┴Ruki")</f>
        <v>戸張ちょも┴MIZUNA┴Ruki</v>
      </c>
      <c r="I494" s="8" t="str">
        <f>IFERROR(__xludf.DUMMYFUNCTION("""COMPUTED_VALUE"""),"女性")</f>
        <v>女性</v>
      </c>
      <c r="J494" s="8"/>
      <c r="K494" s="8"/>
      <c r="L494" s="8" t="str">
        <f>IFERROR(__xludf.DUMMYFUNCTION("""COMPUTED_VALUE"""),"TOブックス")</f>
        <v>TOブックス</v>
      </c>
      <c r="M494" s="12">
        <f>IFERROR(__xludf.DUMMYFUNCTION("""COMPUTED_VALUE"""),45139.0)</f>
        <v>45139</v>
      </c>
      <c r="N494" s="12">
        <f>IFERROR(__xludf.DUMMYFUNCTION("""COMPUTED_VALUE"""),45169.0)</f>
        <v>45169</v>
      </c>
      <c r="O494" s="11"/>
      <c r="P494" s="9" t="str">
        <f>IFERROR(__xludf.DUMMYFUNCTION("""COMPUTED_VALUE"""),"可")</f>
        <v>可</v>
      </c>
      <c r="Q494" s="8" t="str">
        <f>IFERROR(__xludf.DUMMYFUNCTION("""COMPUTED_VALUE"""),"広告コミットOK(5/23)&lt;BR&gt;初回リリース巻数は５巻で小林さんに依頼済み&lt;BR&gt;初回2巻なのでコミット不可&lt;BR&gt;CMSの登録はしておきます&lt;BR&gt;")</f>
        <v>広告コミットOK(5/23)&lt;BR&gt;初回リリース巻数は５巻で小林さんに依頼済み&lt;BR&gt;初回2巻なのでコミット不可&lt;BR&gt;CMSの登録はしておきます&lt;BR&gt;</v>
      </c>
      <c r="R494" s="9"/>
      <c r="S494" s="8" t="str">
        <f>IFERROR(__xludf.DUMMYFUNCTION("""COMPUTED_VALUE"""),"20230704_TOブックス_8月新作2タイトル")</f>
        <v>20230704_TOブックス_8月新作2タイトル</v>
      </c>
      <c r="T494" s="9" t="str">
        <f>IFERROR(__xludf.DUMMYFUNCTION("""COMPUTED_VALUE"""),"格納済み")</f>
        <v>格納済み</v>
      </c>
      <c r="U494" s="9" t="str">
        <f>IFERROR(__xludf.DUMMYFUNCTION("""COMPUTED_VALUE"""),"(C) Cyomo Tobari / MIZUNA")</f>
        <v>(C) Cyomo Tobari / MIZUNA</v>
      </c>
      <c r="V494" s="8" t="str">
        <f>IFERROR(__xludf.DUMMYFUNCTION("""COMPUTED_VALUE"""),"「絶対に母上を救ってみせる！」
断罪回避を目指す悪役革命児の家族再生ファンタジー！
ゲームマニアの会社員・神田一（かんだはじめ）は度重なる過労で倒れ、目が覚めると乙女ゲーム「ときレラ！」の悪役キャラ・リッドとなっていた。
ゲーム内で自身を待つのは断罪バッドエンド――。
断罪を回避するべく、持ち前の頭の良さと転生前にやり込んだゲーム知識で、まずは家族不和の立て直しに取り掛かる。
冷酷な父、ひとりぼっちの妹、そして病に伏せる母。
彼女達を救うためにリッドが行う施策は、ゲームのシナリオを超え、大きなうねりとな"&amp;"って大陸全土を巻き込んでいく！")</f>
        <v>「絶対に母上を救ってみせる！」
断罪回避を目指す悪役革命児の家族再生ファンタジー！
ゲームマニアの会社員・神田一（かんだはじめ）は度重なる過労で倒れ、目が覚めると乙女ゲーム「ときレラ！」の悪役キャラ・リッドとなっていた。
ゲーム内で自身を待つのは断罪バッドエンド――。
断罪を回避するべく、持ち前の頭の良さと転生前にやり込んだゲーム知識で、まずは家族不和の立て直しに取り掛かる。
冷酷な父、ひとりぼっちの妹、そして病に伏せる母。
彼女達を救うためにリッドが行う施策は、ゲームのシナリオを超え、大きなうねりとなって大陸全土を巻き込んでいく！</v>
      </c>
      <c r="W494" s="8"/>
      <c r="X494" s="8" t="str">
        <f>IFERROR(__xludf.DUMMYFUNCTION("""COMPUTED_VALUE"""),"有")</f>
        <v>有</v>
      </c>
      <c r="Y494" s="8" t="str">
        <f>IFERROR(__xludf.DUMMYFUNCTION("""COMPUTED_VALUE"""),"P3まで")</f>
        <v>P3まで</v>
      </c>
      <c r="Z494" s="7"/>
      <c r="AA494" s="7"/>
      <c r="AB494" s="7"/>
    </row>
    <row r="495" ht="15.75" customHeight="1">
      <c r="A495" s="8">
        <f>IFERROR(__xludf.DUMMYFUNCTION("""COMPUTED_VALUE"""),2003.0)</f>
        <v>2003</v>
      </c>
      <c r="B495" s="9" t="str">
        <f>IFERROR(__xludf.DUMMYFUNCTION("""COMPUTED_VALUE"""),"確定")</f>
        <v>確定</v>
      </c>
      <c r="C495" s="10">
        <f>IFERROR(__xludf.DUMMYFUNCTION("""COMPUTED_VALUE"""),45076.0)</f>
        <v>45076</v>
      </c>
      <c r="D495" s="10">
        <f>IFERROR(__xludf.DUMMYFUNCTION("""COMPUTED_VALUE"""),45111.0)</f>
        <v>45111</v>
      </c>
      <c r="E495" s="8">
        <f>IFERROR(__xludf.DUMMYFUNCTION("""COMPUTED_VALUE"""),271018.0)</f>
        <v>271018</v>
      </c>
      <c r="F495" s="9" t="str">
        <f>IFERROR(__xludf.DUMMYFUNCTION("""COMPUTED_VALUE"""),"インカミングコール・ラバーズ")</f>
        <v>インカミングコール・ラバーズ</v>
      </c>
      <c r="G495" s="11" t="str">
        <f>IFERROR(__xludf.DUMMYFUNCTION("""COMPUTED_VALUE"""),"1～2")</f>
        <v>1～2</v>
      </c>
      <c r="H495" s="8" t="str">
        <f>IFERROR(__xludf.DUMMYFUNCTION("""COMPUTED_VALUE"""),"鶴子")</f>
        <v>鶴子</v>
      </c>
      <c r="I495" s="8" t="str">
        <f>IFERROR(__xludf.DUMMYFUNCTION("""COMPUTED_VALUE"""),"BL")</f>
        <v>BL</v>
      </c>
      <c r="J495" s="8"/>
      <c r="K495" s="8"/>
      <c r="L495" s="8" t="str">
        <f>IFERROR(__xludf.DUMMYFUNCTION("""COMPUTED_VALUE"""),"MUGENUP")</f>
        <v>MUGENUP</v>
      </c>
      <c r="M495" s="12">
        <f>IFERROR(__xludf.DUMMYFUNCTION("""COMPUTED_VALUE"""),45108.0)</f>
        <v>45108</v>
      </c>
      <c r="N495" s="12" t="str">
        <f>IFERROR(__xludf.DUMMYFUNCTION("""COMPUTED_VALUE"""),"出稿可⇒3ヶ月")</f>
        <v>出稿可⇒3ヶ月</v>
      </c>
      <c r="O495" s="11"/>
      <c r="P495" s="9" t="str">
        <f>IFERROR(__xludf.DUMMYFUNCTION("""COMPUTED_VALUE"""),"可")</f>
        <v>可</v>
      </c>
      <c r="Q495" s="8" t="str">
        <f>IFERROR(__xludf.DUMMYFUNCTION("""COMPUTED_VALUE"""),"広告コミットOK(6/7)")</f>
        <v>広告コミットOK(6/7)</v>
      </c>
      <c r="R495" s="9" t="str">
        <f>IFERROR(__xludf.DUMMYFUNCTION("""COMPUTED_VALUE"""),"納品済み（素材フォルダに格納）")</f>
        <v>納品済み（素材フォルダに格納）</v>
      </c>
      <c r="S495" s="8" t="str">
        <f>IFERROR(__xludf.DUMMYFUNCTION("""COMPUTED_VALUE"""),"20230530_MUGENUP_インカミングコール・ラバーズ")</f>
        <v>20230530_MUGENUP_インカミングコール・ラバーズ</v>
      </c>
      <c r="T495" s="9" t="str">
        <f>IFERROR(__xludf.DUMMYFUNCTION("""COMPUTED_VALUE"""),"格納済み")</f>
        <v>格納済み</v>
      </c>
      <c r="U495" s="9" t="str">
        <f>IFERROR(__xludf.DUMMYFUNCTION("""COMPUTED_VALUE"""),"（C）鶴子／MUGENUP")</f>
        <v>（C）鶴子／MUGENUP</v>
      </c>
      <c r="V495" s="8" t="str">
        <f>IFERROR(__xludf.DUMMYFUNCTION("""COMPUTED_VALUE"""),"広告デザイナーの六泉わたると担当営業の蔵式英二は犬猿の仲。六泉は蔵式がクライアントから受けてくる「修正」を知らせる電話に辟易しながら、毎日終電ギリギリに帰る生活を送っていた。
何だかんだと文句を垂れつつも、蔵式の振ってくる仕事は必ず自分がデザインを担当する六泉。ある日、いつも通り終電間近まで仕事をする中で、一緒に残っていた蔵式の家に成り行きで泊まることに。宅飲みをしつつ、仕事について語り合う2人。酔った六泉は、日頃の鬱憤を晴らすべく蔵式に飛び掛る。しかし、その拍子に疲れマラが蔵式にバレてしまい……!?
"&amp;"「男に握られて感じてんのか？」って言ってる蔵式のソコもいつの間にか大きくなって。やばいやばいやばい。あんな顔で蔵式がイくなんて知らなかった!!
喧嘩するほど仲がいい！　広告代理店勤務の有能バディが織り成す、ケンカップルBL。")</f>
        <v>広告デザイナーの六泉わたると担当営業の蔵式英二は犬猿の仲。六泉は蔵式がクライアントから受けてくる「修正」を知らせる電話に辟易しながら、毎日終電ギリギリに帰る生活を送っていた。
何だかんだと文句を垂れつつも、蔵式の振ってくる仕事は必ず自分がデザインを担当する六泉。ある日、いつも通り終電間近まで仕事をする中で、一緒に残っていた蔵式の家に成り行きで泊まることに。宅飲みをしつつ、仕事について語り合う2人。酔った六泉は、日頃の鬱憤を晴らすべく蔵式に飛び掛る。しかし、その拍子に疲れマラが蔵式にバレてしまい……!?
「男に握られて感じてんのか？」って言ってる蔵式のソコもいつの間にか大きくなって。やばいやばいやばい。あんな顔で蔵式がイくなんて知らなかった!!
喧嘩するほど仲がいい！　広告代理店勤務の有能バディが織り成す、ケンカップルBL。</v>
      </c>
      <c r="W495" s="8"/>
      <c r="X495" s="8" t="str">
        <f>IFERROR(__xludf.DUMMYFUNCTION("""COMPUTED_VALUE"""),"有")</f>
        <v>有</v>
      </c>
      <c r="Y495" s="8" t="str">
        <f>IFERROR(__xludf.DUMMYFUNCTION("""COMPUTED_VALUE"""),"P15まで")</f>
        <v>P15まで</v>
      </c>
      <c r="Z495" s="7"/>
      <c r="AA495" s="7"/>
      <c r="AB495" s="7"/>
    </row>
    <row r="496" ht="15.75" customHeight="1">
      <c r="A496" s="8">
        <f>IFERROR(__xludf.DUMMYFUNCTION("""COMPUTED_VALUE"""),2017.0)</f>
        <v>2017</v>
      </c>
      <c r="B496" s="9" t="str">
        <f>IFERROR(__xludf.DUMMYFUNCTION("""COMPUTED_VALUE"""),"確定")</f>
        <v>確定</v>
      </c>
      <c r="C496" s="10">
        <f>IFERROR(__xludf.DUMMYFUNCTION("""COMPUTED_VALUE"""),45079.0)</f>
        <v>45079</v>
      </c>
      <c r="D496" s="10">
        <f>IFERROR(__xludf.DUMMYFUNCTION("""COMPUTED_VALUE"""),45112.0)</f>
        <v>45112</v>
      </c>
      <c r="E496" s="8">
        <f>IFERROR(__xludf.DUMMYFUNCTION("""COMPUTED_VALUE"""),274480.0)</f>
        <v>274480</v>
      </c>
      <c r="F496" s="9" t="str">
        <f>IFERROR(__xludf.DUMMYFUNCTION("""COMPUTED_VALUE"""),"長く短い夏")</f>
        <v>長く短い夏</v>
      </c>
      <c r="G496" s="11" t="str">
        <f>IFERROR(__xludf.DUMMYFUNCTION("""COMPUTED_VALUE"""),"1～3")</f>
        <v>1～3</v>
      </c>
      <c r="H496" s="8" t="str">
        <f>IFERROR(__xludf.DUMMYFUNCTION("""COMPUTED_VALUE"""),"井上まい")</f>
        <v>井上まい</v>
      </c>
      <c r="I496" s="8" t="str">
        <f>IFERROR(__xludf.DUMMYFUNCTION("""COMPUTED_VALUE"""),"女性")</f>
        <v>女性</v>
      </c>
      <c r="J496" s="8"/>
      <c r="K496" s="8"/>
      <c r="L496" s="8" t="str">
        <f>IFERROR(__xludf.DUMMYFUNCTION("""COMPUTED_VALUE"""),"プランタン出版")</f>
        <v>プランタン出版</v>
      </c>
      <c r="M496" s="12">
        <f>IFERROR(__xludf.DUMMYFUNCTION("""COMPUTED_VALUE"""),45156.0)</f>
        <v>45156</v>
      </c>
      <c r="N496" s="12">
        <f>IFERROR(__xludf.DUMMYFUNCTION("""COMPUTED_VALUE"""),45183.0)</f>
        <v>45183</v>
      </c>
      <c r="O496" s="11"/>
      <c r="P496" s="9" t="str">
        <f>IFERROR(__xludf.DUMMYFUNCTION("""COMPUTED_VALUE"""),"可")</f>
        <v>可</v>
      </c>
      <c r="Q496" s="8" t="str">
        <f>IFERROR(__xludf.DUMMYFUNCTION("""COMPUTED_VALUE"""),"広告コミットOK(6/7)")</f>
        <v>広告コミットOK(6/7)</v>
      </c>
      <c r="R496" s="9"/>
      <c r="S496" s="8" t="str">
        <f>IFERROR(__xludf.DUMMYFUNCTION("""COMPUTED_VALUE"""),"20230704_プランタン出版_長く短い夏")</f>
        <v>20230704_プランタン出版_長く短い夏</v>
      </c>
      <c r="T496" s="9" t="str">
        <f>IFERROR(__xludf.DUMMYFUNCTION("""COMPUTED_VALUE"""),"格納済み")</f>
        <v>格納済み</v>
      </c>
      <c r="U496" s="9" t="str">
        <f>IFERROR(__xludf.DUMMYFUNCTION("""COMPUTED_VALUE"""),"コピーライト：（C）井上まい／プランタン出版")</f>
        <v>コピーライト：（C）井上まい／プランタン出版</v>
      </c>
      <c r="V496" s="8" t="str">
        <f>IFERROR(__xludf.DUMMYFUNCTION("""COMPUTED_VALUE"""),"秘密で、自由で、安らかでいて、それから――。
中学教員の行野は祖父母の死をきっかけに部屋の物をすべて処分してしまった。
ところがその空っぽの部屋に新しい物がひとつ、またひとつと知らぬ間に増えていく。
誰が何の目的で？ 不審に思った行野の前に現れたのは…？
「ここにわたくしを居させてくださらない？」
謎の多い不思議な女性と出会ってから行野は忘れていた“あること”に気づき――。
人の心を鮮明に映し出す、繊細で優しい夏のヒューマンドラマ開幕!!")</f>
        <v>秘密で、自由で、安らかでいて、それから――。
中学教員の行野は祖父母の死をきっかけに部屋の物をすべて処分してしまった。
ところがその空っぽの部屋に新しい物がひとつ、またひとつと知らぬ間に増えていく。
誰が何の目的で？ 不審に思った行野の前に現れたのは…？
「ここにわたくしを居させてくださらない？」
謎の多い不思議な女性と出会ってから行野は忘れていた“あること”に気づき――。
人の心を鮮明に映し出す、繊細で優しい夏のヒューマンドラマ開幕!!</v>
      </c>
      <c r="W496" s="8"/>
      <c r="X496" s="8" t="str">
        <f>IFERROR(__xludf.DUMMYFUNCTION("""COMPUTED_VALUE"""),"有")</f>
        <v>有</v>
      </c>
      <c r="Y496" s="8" t="str">
        <f>IFERROR(__xludf.DUMMYFUNCTION("""COMPUTED_VALUE"""),"P5まで")</f>
        <v>P5まで</v>
      </c>
      <c r="Z496" s="7"/>
      <c r="AA496" s="7"/>
      <c r="AB496" s="7"/>
    </row>
    <row r="497" ht="15.75" customHeight="1">
      <c r="A497" s="8">
        <f>IFERROR(__xludf.DUMMYFUNCTION("""COMPUTED_VALUE"""),2026.0)</f>
        <v>2026</v>
      </c>
      <c r="B497" s="9" t="str">
        <f>IFERROR(__xludf.DUMMYFUNCTION("""COMPUTED_VALUE"""),"確定")</f>
        <v>確定</v>
      </c>
      <c r="C497" s="10">
        <f>IFERROR(__xludf.DUMMYFUNCTION("""COMPUTED_VALUE"""),45083.0)</f>
        <v>45083</v>
      </c>
      <c r="D497" s="10">
        <f>IFERROR(__xludf.DUMMYFUNCTION("""COMPUTED_VALUE"""),45111.0)</f>
        <v>45111</v>
      </c>
      <c r="E497" s="8">
        <f>IFERROR(__xludf.DUMMYFUNCTION("""COMPUTED_VALUE"""),272722.0)</f>
        <v>272722</v>
      </c>
      <c r="F497" s="9" t="str">
        <f>IFERROR(__xludf.DUMMYFUNCTION("""COMPUTED_VALUE"""),"PUNKS△TRIANGLE")</f>
        <v>PUNKS△TRIANGLE</v>
      </c>
      <c r="G497" s="11">
        <f>IFERROR(__xludf.DUMMYFUNCTION("""COMPUTED_VALUE"""),1.0)</f>
        <v>1</v>
      </c>
      <c r="H497" s="8" t="str">
        <f>IFERROR(__xludf.DUMMYFUNCTION("""COMPUTED_VALUE"""),"沖田有帆")</f>
        <v>沖田有帆</v>
      </c>
      <c r="I497" s="8" t="str">
        <f>IFERROR(__xludf.DUMMYFUNCTION("""COMPUTED_VALUE"""),"BL")</f>
        <v>BL</v>
      </c>
      <c r="J497" s="8"/>
      <c r="K497" s="8"/>
      <c r="L497" s="8" t="str">
        <f>IFERROR(__xludf.DUMMYFUNCTION("""COMPUTED_VALUE"""),"集英社")</f>
        <v>集英社</v>
      </c>
      <c r="M497" s="12">
        <f>IFERROR(__xludf.DUMMYFUNCTION("""COMPUTED_VALUE"""),45132.0)</f>
        <v>45132</v>
      </c>
      <c r="N497" s="12">
        <f>IFERROR(__xludf.DUMMYFUNCTION("""COMPUTED_VALUE"""),45161.0)</f>
        <v>45161</v>
      </c>
      <c r="O497" s="11"/>
      <c r="P497" s="9" t="str">
        <f>IFERROR(__xludf.DUMMYFUNCTION("""COMPUTED_VALUE"""),"否")</f>
        <v>否</v>
      </c>
      <c r="Q497" s="8" t="str">
        <f>IFERROR(__xludf.DUMMYFUNCTION("""COMPUTED_VALUE"""),"コミットOK(6/12）&lt;BR&gt;ドットブルーム")</f>
        <v>コミットOK(6/12）&lt;BR&gt;ドットブルーム</v>
      </c>
      <c r="R497" s="9"/>
      <c r="S497" s="8" t="str">
        <f>IFERROR(__xludf.DUMMYFUNCTION("""COMPUTED_VALUE"""),"20230704_集英社_7月新作")</f>
        <v>20230704_集英社_7月新作</v>
      </c>
      <c r="T497" s="9" t="str">
        <f>IFERROR(__xludf.DUMMYFUNCTION("""COMPUTED_VALUE"""),"格納済み")</f>
        <v>格納済み</v>
      </c>
      <c r="U497" s="9" t="str">
        <f>IFERROR(__xludf.DUMMYFUNCTION("""COMPUTED_VALUE"""),"©沖田有帆／ホーム社")</f>
        <v>©沖田有帆／ホーム社</v>
      </c>
      <c r="V497" s="8" t="str">
        <f>IFERROR(__xludf.DUMMYFUNCTION("""COMPUTED_VALUE"""),"【電子版限定：描き下ろし＆カラー扉収録！】【ページ数が多いビッグボリューム版！】「俺が夜遊びの仕方、教えてあげる」　服飾専門学校に通う千明（ちあき）にはある夢があった。それは千明の人生を変えたカリスマモデルのアイに、自分の作った服を着てランウェイを歩いてもらうこと。コンペで優勝するとその夢が叶うと知り意気込むが、共同制作の相手がモサくて超絶不器用な江永（えなが）に決まり絶望する。そんなある夜、不良に絡まれた千明を助けてくれたのはあのアイだった。しかも彼から色気たっぷりに「夜遊びの仕方、教えてあげる」と迫ら"&amp;"れて…？　“ミステリアスな推しモデル”と“自然体のほっとけない系男子”（実は同一人物）の間で揺れる、超絶ピュアボーイのドキドキ・ジレンマラブ！")</f>
        <v>【電子版限定：描き下ろし＆カラー扉収録！】【ページ数が多いビッグボリューム版！】「俺が夜遊びの仕方、教えてあげる」　服飾専門学校に通う千明（ちあき）にはある夢があった。それは千明の人生を変えたカリスマモデルのアイに、自分の作った服を着てランウェイを歩いてもらうこと。コンペで優勝するとその夢が叶うと知り意気込むが、共同制作の相手がモサくて超絶不器用な江永（えなが）に決まり絶望する。そんなある夜、不良に絡まれた千明を助けてくれたのはあのアイだった。しかも彼から色気たっぷりに「夜遊びの仕方、教えてあげる」と迫られて…？　“ミステリアスな推しモデル”と“自然体のほっとけない系男子”（実は同一人物）の間で揺れる、超絶ピュアボーイのドキドキ・ジレンマラブ！</v>
      </c>
      <c r="W497" s="8"/>
      <c r="X497" s="8" t="str">
        <f>IFERROR(__xludf.DUMMYFUNCTION("""COMPUTED_VALUE"""),"有")</f>
        <v>有</v>
      </c>
      <c r="Y497" s="8" t="str">
        <f>IFERROR(__xludf.DUMMYFUNCTION("""COMPUTED_VALUE"""),"P42まで")</f>
        <v>P42まで</v>
      </c>
      <c r="Z497" s="7"/>
      <c r="AA497" s="7"/>
      <c r="AB497" s="7"/>
    </row>
    <row r="498" ht="15.75" customHeight="1">
      <c r="A498" s="8">
        <f>IFERROR(__xludf.DUMMYFUNCTION("""COMPUTED_VALUE"""),2112.0)</f>
        <v>2112</v>
      </c>
      <c r="B498" s="9" t="str">
        <f>IFERROR(__xludf.DUMMYFUNCTION("""COMPUTED_VALUE"""),"確定")</f>
        <v>確定</v>
      </c>
      <c r="C498" s="10">
        <f>IFERROR(__xludf.DUMMYFUNCTION("""COMPUTED_VALUE"""),45104.0)</f>
        <v>45104</v>
      </c>
      <c r="D498" s="10">
        <f>IFERROR(__xludf.DUMMYFUNCTION("""COMPUTED_VALUE"""),45111.0)</f>
        <v>45111</v>
      </c>
      <c r="E498" s="8">
        <f>IFERROR(__xludf.DUMMYFUNCTION("""COMPUTED_VALUE"""),274103.0)</f>
        <v>274103</v>
      </c>
      <c r="F498" s="9" t="str">
        <f>IFERROR(__xludf.DUMMYFUNCTION("""COMPUTED_VALUE"""),"推しの桂真くんにガチ恋してます[ばら売り]　")</f>
        <v>推しの桂真くんにガチ恋してます[ばら売り]　</v>
      </c>
      <c r="G498" s="11" t="str">
        <f>IFERROR(__xludf.DUMMYFUNCTION("""COMPUTED_VALUE"""),"1～4")</f>
        <v>1～4</v>
      </c>
      <c r="H498" s="8" t="str">
        <f>IFERROR(__xludf.DUMMYFUNCTION("""COMPUTED_VALUE"""),"三浦うに")</f>
        <v>三浦うに</v>
      </c>
      <c r="I498" s="8" t="str">
        <f>IFERROR(__xludf.DUMMYFUNCTION("""COMPUTED_VALUE"""),"BL")</f>
        <v>BL</v>
      </c>
      <c r="J498" s="8"/>
      <c r="K498" s="8"/>
      <c r="L498" s="8" t="str">
        <f>IFERROR(__xludf.DUMMYFUNCTION("""COMPUTED_VALUE"""),"白泉社")</f>
        <v>白泉社</v>
      </c>
      <c r="M498" s="12">
        <f>IFERROR(__xludf.DUMMYFUNCTION("""COMPUTED_VALUE"""),45150.0)</f>
        <v>45150</v>
      </c>
      <c r="N498" s="12">
        <f>IFERROR(__xludf.DUMMYFUNCTION("""COMPUTED_VALUE"""),45211.0)</f>
        <v>45211</v>
      </c>
      <c r="O498" s="11"/>
      <c r="P498" s="9" t="str">
        <f>IFERROR(__xludf.DUMMYFUNCTION("""COMPUTED_VALUE"""),"否")</f>
        <v>否</v>
      </c>
      <c r="Q498" s="8" t="str">
        <f>IFERROR(__xludf.DUMMYFUNCTION("""COMPUTED_VALUE"""),"広告コミットOK(6/29)")</f>
        <v>広告コミットOK(6/29)</v>
      </c>
      <c r="R498" s="9"/>
      <c r="S498" s="8" t="str">
        <f>IFERROR(__xludf.DUMMYFUNCTION("""COMPUTED_VALUE"""),"20230623_白泉社_推しの桂真くんにガチ恋してます")</f>
        <v>20230623_白泉社_推しの桂真くんにガチ恋してます</v>
      </c>
      <c r="T498" s="9" t="str">
        <f>IFERROR(__xludf.DUMMYFUNCTION("""COMPUTED_VALUE"""),"格納済み")</f>
        <v>格納済み</v>
      </c>
      <c r="U498" s="9" t="str">
        <f>IFERROR(__xludf.DUMMYFUNCTION("""COMPUTED_VALUE"""),"(C)三浦うに/白泉社")</f>
        <v>(C)三浦うに/白泉社</v>
      </c>
      <c r="V498" s="8" t="str">
        <f>IFERROR(__xludf.DUMMYFUNCTION("""COMPUTED_VALUE"""),"【第1話】「俺はアンタを抱きたい」――。爽やか若手人気俳優・秋月桂真(けいま)のウラの顔は、ビ〇チの毒舌ゲームオタク！ 秘密をタテに脅され、仕方なく体を重ねるが、男の正体はなんと事務所の後輩・神崎陽翔(はると)で、共に刑事ドラマの主演を飾ることに!? 一途＆強引年下攻め×ビッチ＆苦労性流され年上受け、秘密からはじまる止まらないエロキュンラブ！
")</f>
        <v>【第1話】「俺はアンタを抱きたい」――。爽やか若手人気俳優・秋月桂真(けいま)のウラの顔は、ビ〇チの毒舌ゲームオタク！ 秘密をタテに脅され、仕方なく体を重ねるが、男の正体はなんと事務所の後輩・神崎陽翔(はると)で、共に刑事ドラマの主演を飾ることに!? 一途＆強引年下攻め×ビッチ＆苦労性流され年上受け、秘密からはじまる止まらないエロキュンラブ！
</v>
      </c>
      <c r="W498" s="8"/>
      <c r="X498" s="8" t="str">
        <f>IFERROR(__xludf.DUMMYFUNCTION("""COMPUTED_VALUE"""),"有")</f>
        <v>有</v>
      </c>
      <c r="Y498" s="8" t="str">
        <f>IFERROR(__xludf.DUMMYFUNCTION("""COMPUTED_VALUE"""),"P10まで")</f>
        <v>P10まで</v>
      </c>
      <c r="Z498" s="7"/>
      <c r="AA498" s="7"/>
      <c r="AB498" s="7"/>
    </row>
    <row r="499" ht="15.75" customHeight="1">
      <c r="A499" s="8">
        <f>IFERROR(__xludf.DUMMYFUNCTION("""COMPUTED_VALUE"""),2114.0)</f>
        <v>2114</v>
      </c>
      <c r="B499" s="9" t="str">
        <f>IFERROR(__xludf.DUMMYFUNCTION("""COMPUTED_VALUE"""),"確定")</f>
        <v>確定</v>
      </c>
      <c r="C499" s="10">
        <f>IFERROR(__xludf.DUMMYFUNCTION("""COMPUTED_VALUE"""),45106.0)</f>
        <v>45106</v>
      </c>
      <c r="D499" s="10">
        <f>IFERROR(__xludf.DUMMYFUNCTION("""COMPUTED_VALUE"""),45111.0)</f>
        <v>45111</v>
      </c>
      <c r="E499" s="8">
        <f>IFERROR(__xludf.DUMMYFUNCTION("""COMPUTED_VALUE"""),273459.0)</f>
        <v>273459</v>
      </c>
      <c r="F499" s="9" t="str">
        <f>IFERROR(__xludf.DUMMYFUNCTION("""COMPUTED_VALUE"""),"復讐のサレ妻【単話版】")</f>
        <v>復讐のサレ妻【単話版】</v>
      </c>
      <c r="G499" s="11" t="str">
        <f>IFERROR(__xludf.DUMMYFUNCTION("""COMPUTED_VALUE"""),"1～3")</f>
        <v>1～3</v>
      </c>
      <c r="H499" s="8" t="str">
        <f>IFERROR(__xludf.DUMMYFUNCTION("""COMPUTED_VALUE"""),"ひだりて、COMIC ROOM")</f>
        <v>ひだりて、COMIC ROOM</v>
      </c>
      <c r="I499" s="14" t="str">
        <f>IFERROR(__xludf.DUMMYFUNCTION("""COMPUTED_VALUE"""),"女性")</f>
        <v>女性</v>
      </c>
      <c r="J499" s="8"/>
      <c r="K499" s="8"/>
      <c r="L499" s="8" t="str">
        <f>IFERROR(__xludf.DUMMYFUNCTION("""COMPUTED_VALUE"""),"コミックルーム")</f>
        <v>コミックルーム</v>
      </c>
      <c r="M499" s="12">
        <f>IFERROR(__xludf.DUMMYFUNCTION("""COMPUTED_VALUE"""),45148.0)</f>
        <v>45148</v>
      </c>
      <c r="N499" s="12">
        <f>IFERROR(__xludf.DUMMYFUNCTION("""COMPUTED_VALUE"""),45335.0)</f>
        <v>45335</v>
      </c>
      <c r="O499" s="11"/>
      <c r="P499" s="9" t="str">
        <f>IFERROR(__xludf.DUMMYFUNCTION("""COMPUTED_VALUE"""),"否")</f>
        <v>否</v>
      </c>
      <c r="Q499" s="8" t="str">
        <f>IFERROR(__xludf.DUMMYFUNCTION("""COMPUTED_VALUE"""),"河上さん事前コミット済み&lt;BR&gt;&lt;BR&gt;コピーライト確認中")</f>
        <v>河上さん事前コミット済み&lt;BR&gt;&lt;BR&gt;コピーライト確認中</v>
      </c>
      <c r="R499" s="9" t="str">
        <f>IFERROR(__xludf.DUMMYFUNCTION("""COMPUTED_VALUE"""),"納品済み（素材フォルダに格納）")</f>
        <v>納品済み（素材フォルダに格納）</v>
      </c>
      <c r="S499" s="8" t="str">
        <f>IFERROR(__xludf.DUMMYFUNCTION("""COMPUTED_VALUE"""),"20230629_コミックルーム_復讐のサレ妻")</f>
        <v>20230629_コミックルーム_復讐のサレ妻</v>
      </c>
      <c r="T499" s="9" t="str">
        <f>IFERROR(__xludf.DUMMYFUNCTION("""COMPUTED_VALUE"""),"格納済み")</f>
        <v>格納済み</v>
      </c>
      <c r="U499" s="9" t="str">
        <f>IFERROR(__xludf.DUMMYFUNCTION("""COMPUTED_VALUE"""),"©ひだりて／COMIC ROOM")</f>
        <v>©ひだりて／COMIC ROOM</v>
      </c>
      <c r="V499" s="8" t="str">
        <f>IFERROR(__xludf.DUMMYFUNCTION("""COMPUTED_VALUE"""),"家事×育児×仕事をこなし、毎日ギリギリで生きている主婦・由里。
彼女の苦労を尻目に夫・裕翔が協力することといえば娘・凛の保育園のお迎えのみ。
そんな夫に不満を抱きつつも家族三人、平穏な日々を過ごしていた。
しかしある日、洗濯前の夫のワイシャツからどこか覚えのある甘い香水の匂いと黒い長髪が付着しているのを見つける。
不審に思い、夫の携帯を覗くとそこには娘が懐いている保育園の担任・萌先生と夫との濃密なやりとりがーー。")</f>
        <v>家事×育児×仕事をこなし、毎日ギリギリで生きている主婦・由里。
彼女の苦労を尻目に夫・裕翔が協力することといえば娘・凛の保育園のお迎えのみ。
そんな夫に不満を抱きつつも家族三人、平穏な日々を過ごしていた。
しかしある日、洗濯前の夫のワイシャツからどこか覚えのある甘い香水の匂いと黒い長髪が付着しているのを見つける。
不審に思い、夫の携帯を覗くとそこには娘が懐いている保育園の担任・萌先生と夫との濃密なやりとりがーー。</v>
      </c>
      <c r="W499" s="8"/>
      <c r="X499" s="8" t="str">
        <f>IFERROR(__xludf.DUMMYFUNCTION("""COMPUTED_VALUE"""),"有")</f>
        <v>有</v>
      </c>
      <c r="Y499" s="8" t="str">
        <f>IFERROR(__xludf.DUMMYFUNCTION("""COMPUTED_VALUE"""),"2/13まで1巻無料")</f>
        <v>2/13まで1巻無料</v>
      </c>
      <c r="Z499" s="7"/>
      <c r="AA499" s="7"/>
      <c r="AB499" s="7"/>
    </row>
    <row r="500" ht="15.75" customHeight="1">
      <c r="A500" s="8">
        <f>IFERROR(__xludf.DUMMYFUNCTION("""COMPUTED_VALUE"""),2115.0)</f>
        <v>2115</v>
      </c>
      <c r="B500" s="9" t="str">
        <f>IFERROR(__xludf.DUMMYFUNCTION("""COMPUTED_VALUE"""),"確定")</f>
        <v>確定</v>
      </c>
      <c r="C500" s="10">
        <f>IFERROR(__xludf.DUMMYFUNCTION("""COMPUTED_VALUE"""),45106.0)</f>
        <v>45106</v>
      </c>
      <c r="D500" s="10">
        <f>IFERROR(__xludf.DUMMYFUNCTION("""COMPUTED_VALUE"""),45111.0)</f>
        <v>45111</v>
      </c>
      <c r="E500" s="8">
        <f>IFERROR(__xludf.DUMMYFUNCTION("""COMPUTED_VALUE"""),273457.0)</f>
        <v>273457</v>
      </c>
      <c r="F500" s="9" t="str">
        <f>IFERROR(__xludf.DUMMYFUNCTION("""COMPUTED_VALUE"""),"愛と情欲【単話版】")</f>
        <v>愛と情欲【単話版】</v>
      </c>
      <c r="G500" s="11" t="str">
        <f>IFERROR(__xludf.DUMMYFUNCTION("""COMPUTED_VALUE"""),"1～5")</f>
        <v>1～5</v>
      </c>
      <c r="H500" s="8" t="str">
        <f>IFERROR(__xludf.DUMMYFUNCTION("""COMPUTED_VALUE"""),"銀杏まかな、COMIC ROOM")</f>
        <v>銀杏まかな、COMIC ROOM</v>
      </c>
      <c r="I500" s="14" t="str">
        <f>IFERROR(__xludf.DUMMYFUNCTION("""COMPUTED_VALUE"""),"女性")</f>
        <v>女性</v>
      </c>
      <c r="J500" s="8"/>
      <c r="K500" s="8"/>
      <c r="L500" s="8" t="str">
        <f>IFERROR(__xludf.DUMMYFUNCTION("""COMPUTED_VALUE"""),"コミックルーム")</f>
        <v>コミックルーム</v>
      </c>
      <c r="M500" s="12">
        <f>IFERROR(__xludf.DUMMYFUNCTION("""COMPUTED_VALUE"""),45148.0)</f>
        <v>45148</v>
      </c>
      <c r="N500" s="12">
        <f>IFERROR(__xludf.DUMMYFUNCTION("""COMPUTED_VALUE"""),45335.0)</f>
        <v>45335</v>
      </c>
      <c r="O500" s="11"/>
      <c r="P500" s="9" t="str">
        <f>IFERROR(__xludf.DUMMYFUNCTION("""COMPUTED_VALUE"""),"否")</f>
        <v>否</v>
      </c>
      <c r="Q500" s="8" t="str">
        <f>IFERROR(__xludf.DUMMYFUNCTION("""COMPUTED_VALUE"""),"河上さん事前コミット済み&lt;BR&gt;&lt;BR&gt;コピーライト確認中")</f>
        <v>河上さん事前コミット済み&lt;BR&gt;&lt;BR&gt;コピーライト確認中</v>
      </c>
      <c r="R500" s="9" t="str">
        <f>IFERROR(__xludf.DUMMYFUNCTION("""COMPUTED_VALUE"""),"納品済み（素材フォルダに格納）")</f>
        <v>納品済み（素材フォルダに格納）</v>
      </c>
      <c r="S500" s="8" t="str">
        <f>IFERROR(__xludf.DUMMYFUNCTION("""COMPUTED_VALUE"""),"20230629_コミックルーム_愛と情欲")</f>
        <v>20230629_コミックルーム_愛と情欲</v>
      </c>
      <c r="T500" s="9" t="str">
        <f>IFERROR(__xludf.DUMMYFUNCTION("""COMPUTED_VALUE"""),"格納済み")</f>
        <v>格納済み</v>
      </c>
      <c r="U500" s="9" t="str">
        <f>IFERROR(__xludf.DUMMYFUNCTION("""COMPUTED_VALUE"""),"©銀杏まかな／COMIC ROOM")</f>
        <v>©銀杏まかな／COMIC ROOM</v>
      </c>
      <c r="V500" s="8" t="str">
        <f>IFERROR(__xludf.DUMMYFUNCTION("""COMPUTED_VALUE"""),"結婚５年目、子供なしの斉藤佐和子は、夫・駿のEDに悩んでいた。姑からは孫の顔が見たいと急かされるが、夫にはEDを理由に拒否され続ける毎日にほとほと疲れ果てていた。そんなある日、社内一のイケメン・長谷川に不倫を持ちかけられる。戸惑いつつも悪い気はしなかった佐和子だったが、その夜、結婚記念日を覚えていた夫がケーキを買ってきてくれるというサプライズが。長谷川に揺れた己を恥じ、夫婦仲を改善しようと決心する佐和子。しかし、その決心も束の間、PCに保存してあった夫婦の思い出の写真たちを漁っていると見覚えのないフォルダ"&amp;"を発見する。そこには、彼女の知らない夫の姿があってーー！？")</f>
        <v>結婚５年目、子供なしの斉藤佐和子は、夫・駿のEDに悩んでいた。姑からは孫の顔が見たいと急かされるが、夫にはEDを理由に拒否され続ける毎日にほとほと疲れ果てていた。そんなある日、社内一のイケメン・長谷川に不倫を持ちかけられる。戸惑いつつも悪い気はしなかった佐和子だったが、その夜、結婚記念日を覚えていた夫がケーキを買ってきてくれるというサプライズが。長谷川に揺れた己を恥じ、夫婦仲を改善しようと決心する佐和子。しかし、その決心も束の間、PCに保存してあった夫婦の思い出の写真たちを漁っていると見覚えのないフォルダを発見する。そこには、彼女の知らない夫の姿があってーー！？</v>
      </c>
      <c r="W500" s="8"/>
      <c r="X500" s="8" t="str">
        <f>IFERROR(__xludf.DUMMYFUNCTION("""COMPUTED_VALUE"""),"有")</f>
        <v>有</v>
      </c>
      <c r="Y500" s="8" t="str">
        <f>IFERROR(__xludf.DUMMYFUNCTION("""COMPUTED_VALUE"""),"2/13まで1巻無料")</f>
        <v>2/13まで1巻無料</v>
      </c>
      <c r="Z500" s="7"/>
      <c r="AA500" s="7"/>
      <c r="AB500" s="7"/>
    </row>
    <row r="501" ht="15.75" customHeight="1">
      <c r="A501" s="8">
        <f>IFERROR(__xludf.DUMMYFUNCTION("""COMPUTED_VALUE"""),2116.0)</f>
        <v>2116</v>
      </c>
      <c r="B501" s="9" t="str">
        <f>IFERROR(__xludf.DUMMYFUNCTION("""COMPUTED_VALUE"""),"確定")</f>
        <v>確定</v>
      </c>
      <c r="C501" s="10">
        <f>IFERROR(__xludf.DUMMYFUNCTION("""COMPUTED_VALUE"""),45106.0)</f>
        <v>45106</v>
      </c>
      <c r="D501" s="10">
        <f>IFERROR(__xludf.DUMMYFUNCTION("""COMPUTED_VALUE"""),45111.0)</f>
        <v>45111</v>
      </c>
      <c r="E501" s="8">
        <f>IFERROR(__xludf.DUMMYFUNCTION("""COMPUTED_VALUE"""),273458.0)</f>
        <v>273458</v>
      </c>
      <c r="F501" s="9" t="str">
        <f>IFERROR(__xludf.DUMMYFUNCTION("""COMPUTED_VALUE"""),"夫の消し方【単話版】")</f>
        <v>夫の消し方【単話版】</v>
      </c>
      <c r="G501" s="11" t="str">
        <f>IFERROR(__xludf.DUMMYFUNCTION("""COMPUTED_VALUE"""),"1～4")</f>
        <v>1～4</v>
      </c>
      <c r="H501" s="8" t="str">
        <f>IFERROR(__xludf.DUMMYFUNCTION("""COMPUTED_VALUE"""),"ハナ、COMIC ROOM")</f>
        <v>ハナ、COMIC ROOM</v>
      </c>
      <c r="I501" s="14" t="str">
        <f>IFERROR(__xludf.DUMMYFUNCTION("""COMPUTED_VALUE"""),"女性")</f>
        <v>女性</v>
      </c>
      <c r="J501" s="8"/>
      <c r="K501" s="8"/>
      <c r="L501" s="8" t="str">
        <f>IFERROR(__xludf.DUMMYFUNCTION("""COMPUTED_VALUE"""),"コミックルーム")</f>
        <v>コミックルーム</v>
      </c>
      <c r="M501" s="12">
        <f>IFERROR(__xludf.DUMMYFUNCTION("""COMPUTED_VALUE"""),45148.0)</f>
        <v>45148</v>
      </c>
      <c r="N501" s="12">
        <f>IFERROR(__xludf.DUMMYFUNCTION("""COMPUTED_VALUE"""),45335.0)</f>
        <v>45335</v>
      </c>
      <c r="O501" s="11"/>
      <c r="P501" s="9" t="str">
        <f>IFERROR(__xludf.DUMMYFUNCTION("""COMPUTED_VALUE"""),"否")</f>
        <v>否</v>
      </c>
      <c r="Q501" s="8" t="str">
        <f>IFERROR(__xludf.DUMMYFUNCTION("""COMPUTED_VALUE"""),"河上さん事前コミット済み&lt;BR&gt;&lt;BR&gt;コピーライト確認中")</f>
        <v>河上さん事前コミット済み&lt;BR&gt;&lt;BR&gt;コピーライト確認中</v>
      </c>
      <c r="R501" s="9" t="str">
        <f>IFERROR(__xludf.DUMMYFUNCTION("""COMPUTED_VALUE"""),"納品済み（素材フォルダに格納）")</f>
        <v>納品済み（素材フォルダに格納）</v>
      </c>
      <c r="S501" s="8" t="str">
        <f>IFERROR(__xludf.DUMMYFUNCTION("""COMPUTED_VALUE"""),"20230629_コミックルーム_夫の消し方")</f>
        <v>20230629_コミックルーム_夫の消し方</v>
      </c>
      <c r="T501" s="9" t="str">
        <f>IFERROR(__xludf.DUMMYFUNCTION("""COMPUTED_VALUE"""),"格納済み")</f>
        <v>格納済み</v>
      </c>
      <c r="U501" s="9" t="str">
        <f>IFERROR(__xludf.DUMMYFUNCTION("""COMPUTED_VALUE"""),"©ハナ／COMIC ROOM")</f>
        <v>©ハナ／COMIC ROOM</v>
      </c>
      <c r="V501" s="8" t="str">
        <f>IFERROR(__xludf.DUMMYFUNCTION("""COMPUTED_VALUE"""),"結婚して半年、夫の涼くんはどこか冷たい。
話しかけてもイライラを隠さず棘のある返事に私の心は段々すり減っていく。そんな私を親友の未来は励ましてくれる、なんでも話せて頼りになるかけがいのない存在。ある日、サプライズで未来の家を訪れると上司とゴルフに行ったはずの夫の車が。
なんと二人は私に隠れて会っていたのだ。
そればかりかセックス三昧。
私の陰口、言いたい放題。
見たことない夫の濃厚溺愛。
信じられない光景に愕然とするが、同時に黒い炎が燃え上がる。
私は夫と親友を消すことを決意したーー。")</f>
        <v>結婚して半年、夫の涼くんはどこか冷たい。
話しかけてもイライラを隠さず棘のある返事に私の心は段々すり減っていく。そんな私を親友の未来は励ましてくれる、なんでも話せて頼りになるかけがいのない存在。ある日、サプライズで未来の家を訪れると上司とゴルフに行ったはずの夫の車が。
なんと二人は私に隠れて会っていたのだ。
そればかりかセックス三昧。
私の陰口、言いたい放題。
見たことない夫の濃厚溺愛。
信じられない光景に愕然とするが、同時に黒い炎が燃え上がる。
私は夫と親友を消すことを決意したーー。</v>
      </c>
      <c r="W501" s="8"/>
      <c r="X501" s="8" t="str">
        <f>IFERROR(__xludf.DUMMYFUNCTION("""COMPUTED_VALUE"""),"有")</f>
        <v>有</v>
      </c>
      <c r="Y501" s="8" t="str">
        <f>IFERROR(__xludf.DUMMYFUNCTION("""COMPUTED_VALUE"""),"2/13まで1巻無料")</f>
        <v>2/13まで1巻無料</v>
      </c>
      <c r="Z501" s="7"/>
      <c r="AA501" s="7"/>
      <c r="AB501" s="7"/>
    </row>
    <row r="502" ht="15.75" customHeight="1">
      <c r="A502" s="8">
        <f>IFERROR(__xludf.DUMMYFUNCTION("""COMPUTED_VALUE"""),2124.0)</f>
        <v>2124</v>
      </c>
      <c r="B502" s="9" t="str">
        <f>IFERROR(__xludf.DUMMYFUNCTION("""COMPUTED_VALUE"""),"確定")</f>
        <v>確定</v>
      </c>
      <c r="C502" s="10">
        <f>IFERROR(__xludf.DUMMYFUNCTION("""COMPUTED_VALUE"""),45107.0)</f>
        <v>45107</v>
      </c>
      <c r="D502" s="10">
        <f>IFERROR(__xludf.DUMMYFUNCTION("""COMPUTED_VALUE"""),45111.0)</f>
        <v>45111</v>
      </c>
      <c r="E502" s="8">
        <f>IFERROR(__xludf.DUMMYFUNCTION("""COMPUTED_VALUE"""),273460.0)</f>
        <v>273460</v>
      </c>
      <c r="F502" s="9" t="str">
        <f>IFERROR(__xludf.DUMMYFUNCTION("""COMPUTED_VALUE"""),"恩を仇で返された令嬢の家族が黙っている訳がない【単話版】")</f>
        <v>恩を仇で返された令嬢の家族が黙っている訳がない【単話版】</v>
      </c>
      <c r="G502" s="11" t="str">
        <f>IFERROR(__xludf.DUMMYFUNCTION("""COMPUTED_VALUE"""),"1～4")</f>
        <v>1～4</v>
      </c>
      <c r="H502" s="8" t="str">
        <f>IFERROR(__xludf.DUMMYFUNCTION("""COMPUTED_VALUE"""),"七ツ河ほづみ、COMIC ROOM")</f>
        <v>七ツ河ほづみ、COMIC ROOM</v>
      </c>
      <c r="I502" s="14" t="str">
        <f>IFERROR(__xludf.DUMMYFUNCTION("""COMPUTED_VALUE"""),"女性")</f>
        <v>女性</v>
      </c>
      <c r="J502" s="8"/>
      <c r="K502" s="8"/>
      <c r="L502" s="8" t="str">
        <f>IFERROR(__xludf.DUMMYFUNCTION("""COMPUTED_VALUE"""),"コミックルーム")</f>
        <v>コミックルーム</v>
      </c>
      <c r="M502" s="12">
        <f>IFERROR(__xludf.DUMMYFUNCTION("""COMPUTED_VALUE"""),45148.0)</f>
        <v>45148</v>
      </c>
      <c r="N502" s="12">
        <f>IFERROR(__xludf.DUMMYFUNCTION("""COMPUTED_VALUE"""),45335.0)</f>
        <v>45335</v>
      </c>
      <c r="O502" s="11"/>
      <c r="P502" s="9" t="str">
        <f>IFERROR(__xludf.DUMMYFUNCTION("""COMPUTED_VALUE"""),"否")</f>
        <v>否</v>
      </c>
      <c r="Q502" s="8" t="str">
        <f>IFERROR(__xludf.DUMMYFUNCTION("""COMPUTED_VALUE"""),"河上さん事前コミット済み&lt;BR&gt;&lt;BR&gt;コピーライト確認中")</f>
        <v>河上さん事前コミット済み&lt;BR&gt;&lt;BR&gt;コピーライト確認中</v>
      </c>
      <c r="R502" s="9" t="str">
        <f>IFERROR(__xludf.DUMMYFUNCTION("""COMPUTED_VALUE"""),"納品済み（素材フォルダに格納）")</f>
        <v>納品済み（素材フォルダに格納）</v>
      </c>
      <c r="S502" s="8" t="str">
        <f>IFERROR(__xludf.DUMMYFUNCTION("""COMPUTED_VALUE"""),"20230629_コミックルーム_恩を仇で返された令嬢の家族が黙っている訳がない-20230629T081130Z-001")</f>
        <v>20230629_コミックルーム_恩を仇で返された令嬢の家族が黙っている訳がない-20230629T081130Z-001</v>
      </c>
      <c r="T502" s="9" t="str">
        <f>IFERROR(__xludf.DUMMYFUNCTION("""COMPUTED_VALUE"""),"格納済み")</f>
        <v>格納済み</v>
      </c>
      <c r="U502" s="9" t="str">
        <f>IFERROR(__xludf.DUMMYFUNCTION("""COMPUTED_VALUE"""),"©七ツ河ほづみ／COMIC ROOM")</f>
        <v>©七ツ河ほづみ／COMIC ROOM</v>
      </c>
      <c r="V502" s="8" t="str">
        <f>IFERROR(__xludf.DUMMYFUNCTION("""COMPUTED_VALUE"""),"結婚を目前に控え、家族との幸せなひと時を過ごすカレンだったが、なんの前触れもなく、婚約者クリスとその父から突如婚約破棄を告げられてしまう。
予想外の出来事に動揺しながらもクリスにその理由を尋ねると、カレンの親友でもあるメアリーに乗り換えたいと言う。
あまりの横暴に名誉も尊厳も傷つけられ、失意のどん底に落ちたカレン。そんな彼女に兄アランが告げる。
「奴らに鉄槌を与えよう」
舐めた奴らは許さない！
ざまぁで優雅でエレガンスなスカッと令嬢ファンタジー！")</f>
        <v>結婚を目前に控え、家族との幸せなひと時を過ごすカレンだったが、なんの前触れもなく、婚約者クリスとその父から突如婚約破棄を告げられてしまう。
予想外の出来事に動揺しながらもクリスにその理由を尋ねると、カレンの親友でもあるメアリーに乗り換えたいと言う。
あまりの横暴に名誉も尊厳も傷つけられ、失意のどん底に落ちたカレン。そんな彼女に兄アランが告げる。
「奴らに鉄槌を与えよう」
舐めた奴らは許さない！
ざまぁで優雅でエレガンスなスカッと令嬢ファンタジー！</v>
      </c>
      <c r="W502" s="8"/>
      <c r="X502" s="8" t="str">
        <f>IFERROR(__xludf.DUMMYFUNCTION("""COMPUTED_VALUE"""),"有")</f>
        <v>有</v>
      </c>
      <c r="Y502" s="8" t="str">
        <f>IFERROR(__xludf.DUMMYFUNCTION("""COMPUTED_VALUE"""),"2/13まで1巻無料")</f>
        <v>2/13まで1巻無料</v>
      </c>
      <c r="Z502" s="7"/>
      <c r="AA502" s="7"/>
      <c r="AB502" s="7"/>
    </row>
    <row r="503" ht="15.75" customHeight="1">
      <c r="A503" s="8">
        <f>IFERROR(__xludf.DUMMYFUNCTION("""COMPUTED_VALUE"""),2128.0)</f>
        <v>2128</v>
      </c>
      <c r="B503" s="9" t="str">
        <f>IFERROR(__xludf.DUMMYFUNCTION("""COMPUTED_VALUE"""),"確定")</f>
        <v>確定</v>
      </c>
      <c r="C503" s="10">
        <f>IFERROR(__xludf.DUMMYFUNCTION("""COMPUTED_VALUE"""),45110.0)</f>
        <v>45110</v>
      </c>
      <c r="D503" s="10">
        <f>IFERROR(__xludf.DUMMYFUNCTION("""COMPUTED_VALUE"""),45111.0)</f>
        <v>45111</v>
      </c>
      <c r="E503" s="8">
        <f>IFERROR(__xludf.DUMMYFUNCTION("""COMPUTED_VALUE"""),259265.0)</f>
        <v>259265</v>
      </c>
      <c r="F503" s="9" t="str">
        <f>IFERROR(__xludf.DUMMYFUNCTION("""COMPUTED_VALUE"""),"なまけ男の拗らせ愛(フルカラー)")</f>
        <v>なまけ男の拗らせ愛(フルカラー)</v>
      </c>
      <c r="G503" s="11" t="str">
        <f>IFERROR(__xludf.DUMMYFUNCTION("""COMPUTED_VALUE"""),"1～3")</f>
        <v>1～3</v>
      </c>
      <c r="H503" s="8" t="str">
        <f>IFERROR(__xludf.DUMMYFUNCTION("""COMPUTED_VALUE"""),"ガヌ")</f>
        <v>ガヌ</v>
      </c>
      <c r="I503" s="14" t="str">
        <f>IFERROR(__xludf.DUMMYFUNCTION("""COMPUTED_VALUE"""),"BL")</f>
        <v>BL</v>
      </c>
      <c r="J503" s="8"/>
      <c r="K503" s="8"/>
      <c r="L503" s="8" t="str">
        <f>IFERROR(__xludf.DUMMYFUNCTION("""COMPUTED_VALUE"""),"ソルマーレ編集部")</f>
        <v>ソルマーレ編集部</v>
      </c>
      <c r="M503" s="12">
        <f>IFERROR(__xludf.DUMMYFUNCTION("""COMPUTED_VALUE"""),45143.0)</f>
        <v>45143</v>
      </c>
      <c r="N503" s="12">
        <f>IFERROR(__xludf.DUMMYFUNCTION("""COMPUTED_VALUE"""),45204.0)</f>
        <v>45204</v>
      </c>
      <c r="O503" s="11"/>
      <c r="P503" s="9" t="str">
        <f>IFERROR(__xludf.DUMMYFUNCTION("""COMPUTED_VALUE"""),"可")</f>
        <v>可</v>
      </c>
      <c r="Q503" s="8"/>
      <c r="R503" s="9"/>
      <c r="S503" s="8" t="str">
        <f>IFERROR(__xludf.DUMMYFUNCTION("""COMPUTED_VALUE"""),"20230703_ソルマーレ編集部_なまけ男の拗らせ愛（フルカラー）")</f>
        <v>20230703_ソルマーレ編集部_なまけ男の拗らせ愛（フルカラー）</v>
      </c>
      <c r="T503" s="15" t="str">
        <f>IFERROR(__xludf.DUMMYFUNCTION("""COMPUTED_VALUE"""),"格納済み")</f>
        <v>格納済み</v>
      </c>
      <c r="U503" s="9" t="str">
        <f>IFERROR(__xludf.DUMMYFUNCTION("""COMPUTED_VALUE"""),"Ⓒ ganu/Daewon C.I. Inc./シーモアコミックス")</f>
        <v>Ⓒ ganu/Daewon C.I. Inc./シーモアコミックス</v>
      </c>
      <c r="V503" s="8" t="str">
        <f>IFERROR(__xludf.DUMMYFUNCTION("""COMPUTED_VALUE"""),"子供の頃のある事件がきっかけで、何に対してもやる気が出ず、無欲な28歳・豊永勇気。
そんな息子を見かねて、大企業の会長である父が自分の会社で働かせようとする。
指導係に選ばれたのは新谷恵大という優秀な社員。
彼を見た瞬間、勇気の17年間眠っていた欲望が復活した…！
「今度こそ…絶対に手放さない」
恵大を絶対に手に入れたいと決めた勇気がとった異常な行動とは――？
拗らせヤンデレ御曹司×ノンケ有能係長の身分差ラブストーリー！【フィカス】")</f>
        <v>子供の頃のある事件がきっかけで、何に対してもやる気が出ず、無欲な28歳・豊永勇気。
そんな息子を見かねて、大企業の会長である父が自分の会社で働かせようとする。
指導係に選ばれたのは新谷恵大という優秀な社員。
彼を見た瞬間、勇気の17年間眠っていた欲望が復活した…！
「今度こそ…絶対に手放さない」
恵大を絶対に手に入れたいと決めた勇気がとった異常な行動とは――？
拗らせヤンデレ御曹司×ノンケ有能係長の身分差ラブストーリー！【フィカス】</v>
      </c>
      <c r="W503" s="8"/>
      <c r="X503" s="8" t="str">
        <f>IFERROR(__xludf.DUMMYFUNCTION("""COMPUTED_VALUE"""),"有")</f>
        <v>有</v>
      </c>
      <c r="Y503" s="8" t="str">
        <f>IFERROR(__xludf.DUMMYFUNCTION("""COMPUTED_VALUE"""),"8/20まで1巻無料")</f>
        <v>8/20まで1巻無料</v>
      </c>
      <c r="Z503" s="7"/>
      <c r="AA503" s="7"/>
      <c r="AB503" s="7"/>
    </row>
    <row r="504" ht="15.75" customHeight="1">
      <c r="A504" s="8">
        <f>IFERROR(__xludf.DUMMYFUNCTION("""COMPUTED_VALUE"""),2129.0)</f>
        <v>2129</v>
      </c>
      <c r="B504" s="9" t="str">
        <f>IFERROR(__xludf.DUMMYFUNCTION("""COMPUTED_VALUE"""),"確定")</f>
        <v>確定</v>
      </c>
      <c r="C504" s="10">
        <f>IFERROR(__xludf.DUMMYFUNCTION("""COMPUTED_VALUE"""),45110.0)</f>
        <v>45110</v>
      </c>
      <c r="D504" s="10">
        <f>IFERROR(__xludf.DUMMYFUNCTION("""COMPUTED_VALUE"""),45111.0)</f>
        <v>45111</v>
      </c>
      <c r="E504" s="8">
        <f>IFERROR(__xludf.DUMMYFUNCTION("""COMPUTED_VALUE"""),259266.0)</f>
        <v>259266</v>
      </c>
      <c r="F504" s="9" t="str">
        <f>IFERROR(__xludf.DUMMYFUNCTION("""COMPUTED_VALUE"""),"なまけ男の拗らせ愛【タテヨミ】")</f>
        <v>なまけ男の拗らせ愛【タテヨミ】</v>
      </c>
      <c r="G504" s="16" t="str">
        <f>IFERROR(__xludf.DUMMYFUNCTION("""COMPUTED_VALUE"""),"1～12")</f>
        <v>1～12</v>
      </c>
      <c r="H504" s="8" t="str">
        <f>IFERROR(__xludf.DUMMYFUNCTION("""COMPUTED_VALUE"""),"ガヌ")</f>
        <v>ガヌ</v>
      </c>
      <c r="I504" s="14" t="str">
        <f>IFERROR(__xludf.DUMMYFUNCTION("""COMPUTED_VALUE"""),"BL")</f>
        <v>BL</v>
      </c>
      <c r="J504" s="8"/>
      <c r="K504" s="8"/>
      <c r="L504" s="8" t="str">
        <f>IFERROR(__xludf.DUMMYFUNCTION("""COMPUTED_VALUE"""),"ソルマーレ編集部")</f>
        <v>ソルマーレ編集部</v>
      </c>
      <c r="M504" s="12">
        <f>IFERROR(__xludf.DUMMYFUNCTION("""COMPUTED_VALUE"""),45143.0)</f>
        <v>45143</v>
      </c>
      <c r="N504" s="12">
        <f>IFERROR(__xludf.DUMMYFUNCTION("""COMPUTED_VALUE"""),45204.0)</f>
        <v>45204</v>
      </c>
      <c r="O504" s="11"/>
      <c r="P504" s="9" t="str">
        <f>IFERROR(__xludf.DUMMYFUNCTION("""COMPUTED_VALUE"""),"可")</f>
        <v>可</v>
      </c>
      <c r="Q504" s="8" t="str">
        <f>IFERROR(__xludf.DUMMYFUNCTION("""COMPUTED_VALUE"""),"※コマサム等素材は「259265　なまけ男の拗らせ愛（フルカラー）」のほうをお使いください。&lt;BR&gt;バナー制作はフルカラー版の素材を利用して問題ございません。&lt;BR&gt;")</f>
        <v>※コマサム等素材は「259265　なまけ男の拗らせ愛（フルカラー）」のほうをお使いください。&lt;BR&gt;バナー制作はフルカラー版の素材を利用して問題ございません。&lt;BR&gt;</v>
      </c>
      <c r="R504" s="9"/>
      <c r="S504" s="8" t="str">
        <f>IFERROR(__xludf.DUMMYFUNCTION("""COMPUTED_VALUE"""),"20230703_ソルマーレ編集部_なまけ男の拗らせ愛【タテヨミ】")</f>
        <v>20230703_ソルマーレ編集部_なまけ男の拗らせ愛【タテヨミ】</v>
      </c>
      <c r="T504" s="15" t="str">
        <f>IFERROR(__xludf.DUMMYFUNCTION("""COMPUTED_VALUE"""),"格納済み")</f>
        <v>格納済み</v>
      </c>
      <c r="U504" s="9" t="str">
        <f>IFERROR(__xludf.DUMMYFUNCTION("""COMPUTED_VALUE"""),"Ⓒ ganu/Daewon C.I. Inc./シーモアコミックス")</f>
        <v>Ⓒ ganu/Daewon C.I. Inc./シーモアコミックス</v>
      </c>
      <c r="V504" s="8" t="str">
        <f>IFERROR(__xludf.DUMMYFUNCTION("""COMPUTED_VALUE"""),"子供の頃のある事件がきっかけで、何に対してもやる気が出ず、無欲な28歳・豊永勇気。
そんな息子を見かねて、大企業の会長である父が自分の会社で働かせようとする。
指導係に選ばれたのは新谷恵大という優秀な社員。
彼を見た瞬間、勇気の17年間眠っていた欲望が復活した…！
「今度こそ…絶対に手放さない」
恵大を絶対に手に入れたいと決めた勇気がとった異常な行動とは――？
拗らせヤンデレ御曹司×ノンケ有能係長の身分差ラブストーリー！【フィカス】")</f>
        <v>子供の頃のある事件がきっかけで、何に対してもやる気が出ず、無欲な28歳・豊永勇気。
そんな息子を見かねて、大企業の会長である父が自分の会社で働かせようとする。
指導係に選ばれたのは新谷恵大という優秀な社員。
彼を見た瞬間、勇気の17年間眠っていた欲望が復活した…！
「今度こそ…絶対に手放さない」
恵大を絶対に手に入れたいと決めた勇気がとった異常な行動とは――？
拗らせヤンデレ御曹司×ノンケ有能係長の身分差ラブストーリー！【フィカス】</v>
      </c>
      <c r="W504" s="8"/>
      <c r="X504" s="8" t="str">
        <f>IFERROR(__xludf.DUMMYFUNCTION("""COMPUTED_VALUE"""),"有")</f>
        <v>有</v>
      </c>
      <c r="Y504" s="8" t="str">
        <f>IFERROR(__xludf.DUMMYFUNCTION("""COMPUTED_VALUE"""),"8/20まで1~4巻無料")</f>
        <v>8/20まで1~4巻無料</v>
      </c>
      <c r="Z504" s="7"/>
      <c r="AA504" s="7"/>
      <c r="AB504" s="7"/>
    </row>
    <row r="505" ht="15.75" customHeight="1">
      <c r="A505" s="8">
        <f>IFERROR(__xludf.DUMMYFUNCTION("""COMPUTED_VALUE"""),2130.0)</f>
        <v>2130</v>
      </c>
      <c r="B505" s="9" t="str">
        <f>IFERROR(__xludf.DUMMYFUNCTION("""COMPUTED_VALUE"""),"確定")</f>
        <v>確定</v>
      </c>
      <c r="C505" s="10">
        <f>IFERROR(__xludf.DUMMYFUNCTION("""COMPUTED_VALUE"""),45110.0)</f>
        <v>45110</v>
      </c>
      <c r="D505" s="10">
        <f>IFERROR(__xludf.DUMMYFUNCTION("""COMPUTED_VALUE"""),45111.0)</f>
        <v>45111</v>
      </c>
      <c r="E505" s="8">
        <f>IFERROR(__xludf.DUMMYFUNCTION("""COMPUTED_VALUE"""),262285.0)</f>
        <v>262285</v>
      </c>
      <c r="F505" s="9" t="str">
        <f>IFERROR(__xludf.DUMMYFUNCTION("""COMPUTED_VALUE"""),"救いあげて、そのまま愛でて")</f>
        <v>救いあげて、そのまま愛でて</v>
      </c>
      <c r="G505" s="11" t="str">
        <f>IFERROR(__xludf.DUMMYFUNCTION("""COMPUTED_VALUE"""),"1～3")</f>
        <v>1～3</v>
      </c>
      <c r="H505" s="8" t="str">
        <f>IFERROR(__xludf.DUMMYFUNCTION("""COMPUTED_VALUE"""),"かしこ")</f>
        <v>かしこ</v>
      </c>
      <c r="I505" s="14" t="str">
        <f>IFERROR(__xludf.DUMMYFUNCTION("""COMPUTED_VALUE"""),"少女")</f>
        <v>少女</v>
      </c>
      <c r="J505" s="8"/>
      <c r="K505" s="8"/>
      <c r="L505" s="8" t="str">
        <f>IFERROR(__xludf.DUMMYFUNCTION("""COMPUTED_VALUE"""),"ソルマーレ編集部")</f>
        <v>ソルマーレ編集部</v>
      </c>
      <c r="M505" s="12">
        <f>IFERROR(__xludf.DUMMYFUNCTION("""COMPUTED_VALUE"""),45143.0)</f>
        <v>45143</v>
      </c>
      <c r="N505" s="12">
        <f>IFERROR(__xludf.DUMMYFUNCTION("""COMPUTED_VALUE"""),45204.0)</f>
        <v>45204</v>
      </c>
      <c r="O505" s="11"/>
      <c r="P505" s="9" t="str">
        <f>IFERROR(__xludf.DUMMYFUNCTION("""COMPUTED_VALUE"""),"可")</f>
        <v>可</v>
      </c>
      <c r="Q505" s="8"/>
      <c r="R505" s="9"/>
      <c r="S505" s="8" t="str">
        <f>IFERROR(__xludf.DUMMYFUNCTION("""COMPUTED_VALUE"""),"20230703_ソルマーレ編集部_救いあげて、そのまま愛でて")</f>
        <v>20230703_ソルマーレ編集部_救いあげて、そのまま愛でて</v>
      </c>
      <c r="T505" s="15" t="str">
        <f>IFERROR(__xludf.DUMMYFUNCTION("""COMPUTED_VALUE"""),"格納済み")</f>
        <v>格納済み</v>
      </c>
      <c r="U505" s="9" t="str">
        <f>IFERROR(__xludf.DUMMYFUNCTION("""COMPUTED_VALUE"""),"Ⓒ かしこ/シーモアコミックス")</f>
        <v>Ⓒ かしこ/シーモアコミックス</v>
      </c>
      <c r="V505" s="8" t="str">
        <f>IFERROR(__xludf.DUMMYFUNCTION("""COMPUTED_VALUE"""),"「何があろうと俺は羽未の味方でいるから」
家政婦として扱ってくる母、お金をせびってくる妹という家族を持ち、
辛い生活をしている清掃員・犬塚羽未。
じっと我慢して耐える日々の中、初恋相手の和住緒人と偶然再会する。
なんと彼は、人気美容院を展開している会社の社長になっていた！
自分と住む世界が違いすぎて落ち込むが、緒人は羽未とまた会えて嬉しいと距離を縮めてきて――！
不幸のどん底にいた女性が幼馴染み社長との再会をきっかけに、
強く美しくなる溺愛シンデレラストーリー、開幕！【恋するソワレ】")</f>
        <v>「何があろうと俺は羽未の味方でいるから」
家政婦として扱ってくる母、お金をせびってくる妹という家族を持ち、
辛い生活をしている清掃員・犬塚羽未。
じっと我慢して耐える日々の中、初恋相手の和住緒人と偶然再会する。
なんと彼は、人気美容院を展開している会社の社長になっていた！
自分と住む世界が違いすぎて落ち込むが、緒人は羽未とまた会えて嬉しいと距離を縮めてきて――！
不幸のどん底にいた女性が幼馴染み社長との再会をきっかけに、
強く美しくなる溺愛シンデレラストーリー、開幕！【恋するソワレ】</v>
      </c>
      <c r="W505" s="8"/>
      <c r="X505" s="8" t="str">
        <f>IFERROR(__xludf.DUMMYFUNCTION("""COMPUTED_VALUE"""),"有")</f>
        <v>有</v>
      </c>
      <c r="Y505" s="8" t="str">
        <f>IFERROR(__xludf.DUMMYFUNCTION("""COMPUTED_VALUE"""),"8/20まで1巻無料")</f>
        <v>8/20まで1巻無料</v>
      </c>
      <c r="Z505" s="7"/>
      <c r="AA505" s="7"/>
      <c r="AB505" s="7"/>
    </row>
    <row r="506" ht="15.75" customHeight="1">
      <c r="A506" s="8">
        <f>IFERROR(__xludf.DUMMYFUNCTION("""COMPUTED_VALUE"""),2131.0)</f>
        <v>2131</v>
      </c>
      <c r="B506" s="9" t="str">
        <f>IFERROR(__xludf.DUMMYFUNCTION("""COMPUTED_VALUE"""),"確定")</f>
        <v>確定</v>
      </c>
      <c r="C506" s="10">
        <f>IFERROR(__xludf.DUMMYFUNCTION("""COMPUTED_VALUE"""),45111.0)</f>
        <v>45111</v>
      </c>
      <c r="D506" s="10">
        <f>IFERROR(__xludf.DUMMYFUNCTION("""COMPUTED_VALUE"""),45111.0)</f>
        <v>45111</v>
      </c>
      <c r="E506" s="8">
        <f>IFERROR(__xludf.DUMMYFUNCTION("""COMPUTED_VALUE"""),272548.0)</f>
        <v>272548</v>
      </c>
      <c r="F506" s="9" t="str">
        <f>IFERROR(__xludf.DUMMYFUNCTION("""COMPUTED_VALUE"""),"ソルティラスト【タテヨミ】")</f>
        <v>ソルティラスト【タテヨミ】</v>
      </c>
      <c r="G506" s="16" t="str">
        <f>IFERROR(__xludf.DUMMYFUNCTION("""COMPUTED_VALUE"""),"1～20")</f>
        <v>1～20</v>
      </c>
      <c r="H506" s="8" t="str">
        <f>IFERROR(__xludf.DUMMYFUNCTION("""COMPUTED_VALUE"""),"Limunchi, Beep-beep, Tropicalarmpit")</f>
        <v>Limunchi, Beep-beep, Tropicalarmpit</v>
      </c>
      <c r="I506" s="8" t="str">
        <f>IFERROR(__xludf.DUMMYFUNCTION("""COMPUTED_VALUE"""),"BL")</f>
        <v>BL</v>
      </c>
      <c r="J506" s="8"/>
      <c r="K506" s="8"/>
      <c r="L506" s="8" t="str">
        <f>IFERROR(__xludf.DUMMYFUNCTION("""COMPUTED_VALUE"""),"リバース")</f>
        <v>リバース</v>
      </c>
      <c r="M506" s="12">
        <f>IFERROR(__xludf.DUMMYFUNCTION("""COMPUTED_VALUE"""),45136.0)</f>
        <v>45136</v>
      </c>
      <c r="N506" s="12">
        <f>IFERROR(__xludf.DUMMYFUNCTION("""COMPUTED_VALUE"""),45227.0)</f>
        <v>45227</v>
      </c>
      <c r="O506" s="11"/>
      <c r="P506" s="9" t="str">
        <f>IFERROR(__xludf.DUMMYFUNCTION("""COMPUTED_VALUE"""),"可")</f>
        <v>可</v>
      </c>
      <c r="Q506" s="8"/>
      <c r="R506" s="9"/>
      <c r="S506" s="8" t="str">
        <f>IFERROR(__xludf.DUMMYFUNCTION("""COMPUTED_VALUE"""),"20230704_リバース_7月新作2作品")</f>
        <v>20230704_リバース_7月新作2作品</v>
      </c>
      <c r="T506" s="9" t="str">
        <f>IFERROR(__xludf.DUMMYFUNCTION("""COMPUTED_VALUE"""),"格納済み")</f>
        <v>格納済み</v>
      </c>
      <c r="U506" s="9" t="str">
        <f>IFERROR(__xludf.DUMMYFUNCTION("""COMPUTED_VALUE"""),"ⓒLimunchi, Beep-beep, Tropicalarmpit, studio ALIVE / RIVERSE")</f>
        <v>ⓒLimunchi, Beep-beep, Tropicalarmpit, studio ALIVE / RIVERSE</v>
      </c>
      <c r="V506" s="8" t="str">
        <f>IFERROR(__xludf.DUMMYFUNCTION("""COMPUTED_VALUE"""),"荒れ果てた未来の地球で生き残った人類は、宇宙に移住した。ヌックスもその内の一人だった。豊かな生活をするため無一文で宇宙に来たものの、そう甘くはなかった。かろうじて宇宙での生活を送っていたヌックスの前に宇宙富豪のオーウィンが現れ、偶然にも彼の衝撃的なシーンを目撃してしまう。その日を境にオーウィンはヌックスに理性では理解できないほど惹かれ、ヌックスを誘惑し始めるが…
")</f>
        <v>荒れ果てた未来の地球で生き残った人類は、宇宙に移住した。ヌックスもその内の一人だった。豊かな生活をするため無一文で宇宙に来たものの、そう甘くはなかった。かろうじて宇宙での生活を送っていたヌックスの前に宇宙富豪のオーウィンが現れ、偶然にも彼の衝撃的なシーンを目撃してしまう。その日を境にオーウィンはヌックスに理性では理解できないほど惹かれ、ヌックスを誘惑し始めるが…
</v>
      </c>
      <c r="W506" s="8"/>
      <c r="X506" s="8" t="str">
        <f>IFERROR(__xludf.DUMMYFUNCTION("""COMPUTED_VALUE"""),"有")</f>
        <v>有</v>
      </c>
      <c r="Y506" s="8" t="str">
        <f>IFERROR(__xludf.DUMMYFUNCTION("""COMPUTED_VALUE"""),"8/11まで1~5巻無料")</f>
        <v>8/11まで1~5巻無料</v>
      </c>
      <c r="Z506" s="7"/>
      <c r="AA506" s="7"/>
      <c r="AB506" s="7"/>
    </row>
    <row r="507" ht="15.75" customHeight="1">
      <c r="A507" s="8">
        <f>IFERROR(__xludf.DUMMYFUNCTION("""COMPUTED_VALUE"""),2132.0)</f>
        <v>2132</v>
      </c>
      <c r="B507" s="9" t="str">
        <f>IFERROR(__xludf.DUMMYFUNCTION("""COMPUTED_VALUE"""),"確定")</f>
        <v>確定</v>
      </c>
      <c r="C507" s="10">
        <f>IFERROR(__xludf.DUMMYFUNCTION("""COMPUTED_VALUE"""),45111.0)</f>
        <v>45111</v>
      </c>
      <c r="D507" s="10">
        <f>IFERROR(__xludf.DUMMYFUNCTION("""COMPUTED_VALUE"""),45111.0)</f>
        <v>45111</v>
      </c>
      <c r="E507" s="8">
        <f>IFERROR(__xludf.DUMMYFUNCTION("""COMPUTED_VALUE"""),272550.0)</f>
        <v>272550</v>
      </c>
      <c r="F507" s="9" t="str">
        <f>IFERROR(__xludf.DUMMYFUNCTION("""COMPUTED_VALUE"""),"響弦文字  [完全版]【タテヨミ】")</f>
        <v>響弦文字  [完全版]【タテヨミ】</v>
      </c>
      <c r="G507" s="11" t="str">
        <f>IFERROR(__xludf.DUMMYFUNCTION("""COMPUTED_VALUE"""),"1～82")</f>
        <v>1～82</v>
      </c>
      <c r="H507" s="8" t="str">
        <f>IFERROR(__xludf.DUMMYFUNCTION("""COMPUTED_VALUE"""),"Aeju, Chepali")</f>
        <v>Aeju, Chepali</v>
      </c>
      <c r="I507" s="8" t="str">
        <f>IFERROR(__xludf.DUMMYFUNCTION("""COMPUTED_VALUE"""),"BL")</f>
        <v>BL</v>
      </c>
      <c r="J507" s="8"/>
      <c r="K507" s="8"/>
      <c r="L507" s="8" t="str">
        <f>IFERROR(__xludf.DUMMYFUNCTION("""COMPUTED_VALUE"""),"リバース")</f>
        <v>リバース</v>
      </c>
      <c r="M507" s="12">
        <f>IFERROR(__xludf.DUMMYFUNCTION("""COMPUTED_VALUE"""),45136.0)</f>
        <v>45136</v>
      </c>
      <c r="N507" s="12">
        <f>IFERROR(__xludf.DUMMYFUNCTION("""COMPUTED_VALUE"""),45227.0)</f>
        <v>45227</v>
      </c>
      <c r="O507" s="11"/>
      <c r="P507" s="9" t="str">
        <f>IFERROR(__xludf.DUMMYFUNCTION("""COMPUTED_VALUE"""),"可")</f>
        <v>可</v>
      </c>
      <c r="Q507" s="8"/>
      <c r="R507" s="9"/>
      <c r="S507" s="8" t="str">
        <f>IFERROR(__xludf.DUMMYFUNCTION("""COMPUTED_VALUE"""),"20230704_リバース_7月新作2作品")</f>
        <v>20230704_リバース_7月新作2作品</v>
      </c>
      <c r="T507" s="9"/>
      <c r="U507" s="9" t="str">
        <f>IFERROR(__xludf.DUMMYFUNCTION("""COMPUTED_VALUE"""),"ⓒ Aeju, Chepali, REDICE STUDIO / RIVERSE")</f>
        <v>ⓒ Aeju, Chepali, REDICE STUDIO / RIVERSE</v>
      </c>
      <c r="V507" s="8" t="str">
        <f>IFERROR(__xludf.DUMMYFUNCTION("""COMPUTED_VALUE"""),"相手の感情と思考が文字として現れ、それを読むことが出来る能力を持った樹希そんな彼の前に生まれてはじめて、文字が見えない男が現れる！二人は吸い込まれるように惹かれあっていく。ミステリアスな二人の関係が…今、幕を開ける…！※大人気タテヨミBL『響弦文字』のアダルトシーンを収録した完全版です。
")</f>
        <v>相手の感情と思考が文字として現れ、それを読むことが出来る能力を持った樹希そんな彼の前に生まれてはじめて、文字が見えない男が現れる！二人は吸い込まれるように惹かれあっていく。ミステリアスな二人の関係が…今、幕を開ける…！※大人気タテヨミBL『響弦文字』のアダルトシーンを収録した完全版です。
</v>
      </c>
      <c r="W507" s="8"/>
      <c r="X507" s="8" t="str">
        <f>IFERROR(__xludf.DUMMYFUNCTION("""COMPUTED_VALUE"""),"有")</f>
        <v>有</v>
      </c>
      <c r="Y507" s="8" t="str">
        <f>IFERROR(__xludf.DUMMYFUNCTION("""COMPUTED_VALUE"""),"8/28まで1~14巻無料")</f>
        <v>8/28まで1~14巻無料</v>
      </c>
      <c r="Z507" s="7"/>
      <c r="AA507" s="7"/>
      <c r="AB507" s="7"/>
    </row>
    <row r="508" ht="15.75" customHeight="1">
      <c r="A508" s="8">
        <f>IFERROR(__xludf.DUMMYFUNCTION("""COMPUTED_VALUE"""),2133.0)</f>
        <v>2133</v>
      </c>
      <c r="B508" s="9" t="str">
        <f>IFERROR(__xludf.DUMMYFUNCTION("""COMPUTED_VALUE"""),"確定")</f>
        <v>確定</v>
      </c>
      <c r="C508" s="10">
        <f>IFERROR(__xludf.DUMMYFUNCTION("""COMPUTED_VALUE"""),45111.0)</f>
        <v>45111</v>
      </c>
      <c r="D508" s="10">
        <f>IFERROR(__xludf.DUMMYFUNCTION("""COMPUTED_VALUE"""),45111.0)</f>
        <v>45111</v>
      </c>
      <c r="E508" s="8">
        <f>IFERROR(__xludf.DUMMYFUNCTION("""COMPUTED_VALUE"""),272217.0)</f>
        <v>272217</v>
      </c>
      <c r="F508" s="9" t="str">
        <f>IFERROR(__xludf.DUMMYFUNCTION("""COMPUTED_VALUE"""),"おとなの恋は、やぶさかにつき。")</f>
        <v>おとなの恋は、やぶさかにつき。</v>
      </c>
      <c r="G508" s="11" t="str">
        <f>IFERROR(__xludf.DUMMYFUNCTION("""COMPUTED_VALUE"""),"1～5")</f>
        <v>1～5</v>
      </c>
      <c r="H508" s="8" t="str">
        <f>IFERROR(__xludf.DUMMYFUNCTION("""COMPUTED_VALUE"""),"たまこ")</f>
        <v>たまこ</v>
      </c>
      <c r="I508" s="14" t="str">
        <f>IFERROR(__xludf.DUMMYFUNCTION("""COMPUTED_VALUE"""),"少女")</f>
        <v>少女</v>
      </c>
      <c r="J508" s="8"/>
      <c r="K508" s="8"/>
      <c r="L508" s="8" t="str">
        <f>IFERROR(__xludf.DUMMYFUNCTION("""COMPUTED_VALUE"""),"集英社")</f>
        <v>集英社</v>
      </c>
      <c r="M508" s="12">
        <f>IFERROR(__xludf.DUMMYFUNCTION("""COMPUTED_VALUE"""),45132.0)</f>
        <v>45132</v>
      </c>
      <c r="N508" s="12">
        <f>IFERROR(__xludf.DUMMYFUNCTION("""COMPUTED_VALUE"""),45223.66666666667)</f>
        <v>45223.66667</v>
      </c>
      <c r="O508" s="11"/>
      <c r="P508" s="9" t="str">
        <f>IFERROR(__xludf.DUMMYFUNCTION("""COMPUTED_VALUE"""),"否")</f>
        <v>否</v>
      </c>
      <c r="Q508" s="8" t="str">
        <f>IFERROR(__xludf.DUMMYFUNCTION("""COMPUTED_VALUE"""),"マンガmee")</f>
        <v>マンガmee</v>
      </c>
      <c r="R508" s="9"/>
      <c r="S508" s="8" t="str">
        <f>IFERROR(__xludf.DUMMYFUNCTION("""COMPUTED_VALUE"""),"20230704_集英社_7月新作")</f>
        <v>20230704_集英社_7月新作</v>
      </c>
      <c r="T508" s="9" t="str">
        <f>IFERROR(__xludf.DUMMYFUNCTION("""COMPUTED_VALUE"""),"格納済み")</f>
        <v>格納済み</v>
      </c>
      <c r="U508" s="9" t="str">
        <f>IFERROR(__xludf.DUMMYFUNCTION("""COMPUTED_VALUE"""),"©たまこ／集英社")</f>
        <v>©たまこ／集英社</v>
      </c>
      <c r="V508" s="8" t="str">
        <f>IFERROR(__xludf.DUMMYFUNCTION("""COMPUTED_VALUE"""),"こじらせた大人の、もだキュン・オフィスラブ!!　入社半年の駒子は上司の森崎さんに厳しくしごかれる日々を送っていた。そんなある日、病欠した森崎さんにお届け物をするために自宅へ行くことに。風邪で弱った森崎さんのギャップがすごすぎて――!?
")</f>
        <v>こじらせた大人の、もだキュン・オフィスラブ!!　入社半年の駒子は上司の森崎さんに厳しくしごかれる日々を送っていた。そんなある日、病欠した森崎さんにお届け物をするために自宅へ行くことに。風邪で弱った森崎さんのギャップがすごすぎて――!?
</v>
      </c>
      <c r="W508" s="8"/>
      <c r="X508" s="8" t="str">
        <f>IFERROR(__xludf.DUMMYFUNCTION("""COMPUTED_VALUE"""),"有")</f>
        <v>有</v>
      </c>
      <c r="Y508" s="8" t="str">
        <f>IFERROR(__xludf.DUMMYFUNCTION("""COMPUTED_VALUE"""),"8/7まで1巻無料")</f>
        <v>8/7まで1巻無料</v>
      </c>
      <c r="Z508" s="7"/>
      <c r="AA508" s="7"/>
      <c r="AB508" s="7"/>
    </row>
    <row r="509" ht="15.75" customHeight="1">
      <c r="A509" s="8">
        <f>IFERROR(__xludf.DUMMYFUNCTION("""COMPUTED_VALUE"""),2135.0)</f>
        <v>2135</v>
      </c>
      <c r="B509" s="9" t="str">
        <f>IFERROR(__xludf.DUMMYFUNCTION("""COMPUTED_VALUE"""),"確定")</f>
        <v>確定</v>
      </c>
      <c r="C509" s="10">
        <f>IFERROR(__xludf.DUMMYFUNCTION("""COMPUTED_VALUE"""),45111.0)</f>
        <v>45111</v>
      </c>
      <c r="D509" s="10">
        <f>IFERROR(__xludf.DUMMYFUNCTION("""COMPUTED_VALUE"""),45111.0)</f>
        <v>45111</v>
      </c>
      <c r="E509" s="8">
        <f>IFERROR(__xludf.DUMMYFUNCTION("""COMPUTED_VALUE"""),272218.0)</f>
        <v>272218</v>
      </c>
      <c r="F509" s="9" t="str">
        <f>IFERROR(__xludf.DUMMYFUNCTION("""COMPUTED_VALUE"""),"シちゃいそうなわたしたち")</f>
        <v>シちゃいそうなわたしたち</v>
      </c>
      <c r="G509" s="11" t="str">
        <f>IFERROR(__xludf.DUMMYFUNCTION("""COMPUTED_VALUE"""),"1～4")</f>
        <v>1～4</v>
      </c>
      <c r="H509" s="8" t="str">
        <f>IFERROR(__xludf.DUMMYFUNCTION("""COMPUTED_VALUE"""),"ニマキアリ")</f>
        <v>ニマキアリ</v>
      </c>
      <c r="I509" s="14" t="str">
        <f>IFERROR(__xludf.DUMMYFUNCTION("""COMPUTED_VALUE"""),"少女")</f>
        <v>少女</v>
      </c>
      <c r="J509" s="8"/>
      <c r="K509" s="8"/>
      <c r="L509" s="8" t="str">
        <f>IFERROR(__xludf.DUMMYFUNCTION("""COMPUTED_VALUE"""),"集英社")</f>
        <v>集英社</v>
      </c>
      <c r="M509" s="12">
        <f>IFERROR(__xludf.DUMMYFUNCTION("""COMPUTED_VALUE"""),45132.0)</f>
        <v>45132</v>
      </c>
      <c r="N509" s="12">
        <f>IFERROR(__xludf.DUMMYFUNCTION("""COMPUTED_VALUE"""),45162.0)</f>
        <v>45162</v>
      </c>
      <c r="O509" s="11"/>
      <c r="P509" s="9" t="str">
        <f>IFERROR(__xludf.DUMMYFUNCTION("""COMPUTED_VALUE"""),"否")</f>
        <v>否</v>
      </c>
      <c r="Q509" s="8" t="str">
        <f>IFERROR(__xludf.DUMMYFUNCTION("""COMPUTED_VALUE"""),"マンガmee&lt;BR&gt;")</f>
        <v>マンガmee&lt;BR&gt;</v>
      </c>
      <c r="R509" s="9"/>
      <c r="S509" s="8" t="str">
        <f>IFERROR(__xludf.DUMMYFUNCTION("""COMPUTED_VALUE"""),"20230704_集英社_7月新作")</f>
        <v>20230704_集英社_7月新作</v>
      </c>
      <c r="T509" s="9" t="str">
        <f>IFERROR(__xludf.DUMMYFUNCTION("""COMPUTED_VALUE"""),"格納済み")</f>
        <v>格納済み</v>
      </c>
      <c r="U509" s="9" t="str">
        <f>IFERROR(__xludf.DUMMYFUNCTION("""COMPUTED_VALUE"""),"©ニマキアリ／集英社")</f>
        <v>©ニマキアリ／集英社</v>
      </c>
      <c r="V509" s="8" t="str">
        <f>IFERROR(__xludf.DUMMYFUNCTION("""COMPUTED_VALUE"""),"ピュア女子、男子校潜入！　彼といると、なぜかエッチな展開に!?　双子の兄と入れ替わって、男子校に行くことになってしまったひなた。ガサツな男子たちに囲まれピンチになったところ、言葉少なに助けてくれたのは衣織くん。入れ替わりの秘密を唯一知る衣織くんといると、なぜかエッチな状況になっちゃって…？　ピュアでインモラルなスクールラブコメディ！　＜収録話＞第1話「なぜか密着」
")</f>
        <v>ピュア女子、男子校潜入！　彼といると、なぜかエッチな展開に!?　双子の兄と入れ替わって、男子校に行くことになってしまったひなた。ガサツな男子たちに囲まれピンチになったところ、言葉少なに助けてくれたのは衣織くん。入れ替わりの秘密を唯一知る衣織くんといると、なぜかエッチな状況になっちゃって…？　ピュアでインモラルなスクールラブコメディ！　＜収録話＞第1話「なぜか密着」
</v>
      </c>
      <c r="W509" s="8"/>
      <c r="X509" s="8" t="str">
        <f>IFERROR(__xludf.DUMMYFUNCTION("""COMPUTED_VALUE"""),"有")</f>
        <v>有</v>
      </c>
      <c r="Y509" s="8" t="str">
        <f>IFERROR(__xludf.DUMMYFUNCTION("""COMPUTED_VALUE"""),"8/7まで1巻無料")</f>
        <v>8/7まで1巻無料</v>
      </c>
      <c r="Z509" s="7"/>
      <c r="AA509" s="7"/>
      <c r="AB509" s="7"/>
    </row>
    <row r="510" ht="15.75" customHeight="1">
      <c r="A510" s="8">
        <f>IFERROR(__xludf.DUMMYFUNCTION("""COMPUTED_VALUE"""),1766.0)</f>
        <v>1766</v>
      </c>
      <c r="B510" s="9" t="str">
        <f>IFERROR(__xludf.DUMMYFUNCTION("""COMPUTED_VALUE"""),"確定")</f>
        <v>確定</v>
      </c>
      <c r="C510" s="10">
        <f>IFERROR(__xludf.DUMMYFUNCTION("""COMPUTED_VALUE"""),44987.0)</f>
        <v>44987</v>
      </c>
      <c r="D510" s="10">
        <f>IFERROR(__xludf.DUMMYFUNCTION("""COMPUTED_VALUE"""),45118.0)</f>
        <v>45118</v>
      </c>
      <c r="E510" s="8">
        <f>IFERROR(__xludf.DUMMYFUNCTION("""COMPUTED_VALUE"""),273541.0)</f>
        <v>273541</v>
      </c>
      <c r="F510" s="9" t="str">
        <f>IFERROR(__xludf.DUMMYFUNCTION("""COMPUTED_VALUE"""),"【ピュール】悪霊は愛をまだ知らない")</f>
        <v>【ピュール】悪霊は愛をまだ知らない</v>
      </c>
      <c r="G510" s="11" t="str">
        <f>IFERROR(__xludf.DUMMYFUNCTION("""COMPUTED_VALUE"""),"1~3")</f>
        <v>1~3</v>
      </c>
      <c r="H510" s="8" t="str">
        <f>IFERROR(__xludf.DUMMYFUNCTION("""COMPUTED_VALUE"""),"光荒谷")</f>
        <v>光荒谷</v>
      </c>
      <c r="I510" s="8" t="str">
        <f>IFERROR(__xludf.DUMMYFUNCTION("""COMPUTED_VALUE"""),"TL")</f>
        <v>TL</v>
      </c>
      <c r="J510" s="8"/>
      <c r="K510" s="8"/>
      <c r="L510" s="8" t="str">
        <f>IFERROR(__xludf.DUMMYFUNCTION("""COMPUTED_VALUE"""),"ジュリアンパブリッシング")</f>
        <v>ジュリアンパブリッシング</v>
      </c>
      <c r="M510" s="12">
        <f>IFERROR(__xludf.DUMMYFUNCTION("""COMPUTED_VALUE"""),45148.0)</f>
        <v>45148</v>
      </c>
      <c r="N510" s="12">
        <f>IFERROR(__xludf.DUMMYFUNCTION("""COMPUTED_VALUE"""),45238.0)</f>
        <v>45238</v>
      </c>
      <c r="O510" s="11"/>
      <c r="P510" s="9" t="str">
        <f>IFERROR(__xludf.DUMMYFUNCTION("""COMPUTED_VALUE"""),"可")</f>
        <v>可</v>
      </c>
      <c r="Q510" s="8" t="str">
        <f>IFERROR(__xludf.DUMMYFUNCTION("""COMPUTED_VALUE"""),"広告コミットOK（3/3）&lt;BR&gt;配信日変更（6月→8月10日）（4/20）")</f>
        <v>広告コミットOK（3/3）&lt;BR&gt;配信日変更（6月→8月10日）（4/20）</v>
      </c>
      <c r="R510" s="9"/>
      <c r="S510" s="8" t="str">
        <f>IFERROR(__xludf.DUMMYFUNCTION("""COMPUTED_VALUE"""),"20230711_ジュリアンパブリッシング_【ピュール】悪霊は愛をまだ知らない")</f>
        <v>20230711_ジュリアンパブリッシング_【ピュール】悪霊は愛をまだ知らない</v>
      </c>
      <c r="T510" s="9" t="str">
        <f>IFERROR(__xludf.DUMMYFUNCTION("""COMPUTED_VALUE"""),"格納済み")</f>
        <v>格納済み</v>
      </c>
      <c r="U510" s="9" t="str">
        <f>IFERROR(__xludf.DUMMYFUNCTION("""COMPUTED_VALUE"""),"(C)光荒谷/ジュリアンパブリッシング")</f>
        <v>(C)光荒谷/ジュリアンパブリッシング</v>
      </c>
      <c r="V510" s="8" t="str">
        <f>IFERROR(__xludf.DUMMYFUNCTION("""COMPUTED_VALUE"""),"「イドラは、おれとずっと一緒だから」裕福なラディウス家に生まれた娘・イドラは、継母や妹に馴染めず一人寂しい日々を過ごしていた。妹のファルサの企みにより霧の深い森へ置き去りにされたイドラは、襲ってきた魔物から逃れるため悪霊・アルゲオの封印を解いてしまい…!?アルゲオの力を補充するためには精(マナ)が必要――イドラは誰にも触れられたことのない秘部へと舌を差し入れられ…。「イドラ…俺を助けてくれた人、俺が大好きな人」無垢で無慈悲な悪霊と、愛されないことに慣れてしまった少女の、過去を紐解くダークファンタジーラブ。")</f>
        <v>「イドラは、おれとずっと一緒だから」裕福なラディウス家に生まれた娘・イドラは、継母や妹に馴染めず一人寂しい日々を過ごしていた。妹のファルサの企みにより霧の深い森へ置き去りにされたイドラは、襲ってきた魔物から逃れるため悪霊・アルゲオの封印を解いてしまい…!?アルゲオの力を補充するためには精(マナ)が必要――イドラは誰にも触れられたことのない秘部へと舌を差し入れられ…。「イドラ…俺を助けてくれた人、俺が大好きな人」無垢で無慈悲な悪霊と、愛されないことに慣れてしまった少女の、過去を紐解くダークファンタジーラブ。</v>
      </c>
      <c r="W510" s="8"/>
      <c r="X510" s="8" t="str">
        <f>IFERROR(__xludf.DUMMYFUNCTION("""COMPUTED_VALUE"""),"有")</f>
        <v>有</v>
      </c>
      <c r="Y510" s="8" t="str">
        <f>IFERROR(__xludf.DUMMYFUNCTION("""COMPUTED_VALUE"""),"8/23まで1巻無料")</f>
        <v>8/23まで1巻無料</v>
      </c>
      <c r="Z510" s="7"/>
      <c r="AA510" s="7"/>
      <c r="AB510" s="7"/>
    </row>
    <row r="511" ht="15.75" customHeight="1">
      <c r="A511" s="8">
        <f>IFERROR(__xludf.DUMMYFUNCTION("""COMPUTED_VALUE"""),1861.0)</f>
        <v>1861</v>
      </c>
      <c r="B511" s="9" t="str">
        <f>IFERROR(__xludf.DUMMYFUNCTION("""COMPUTED_VALUE"""),"確定")</f>
        <v>確定</v>
      </c>
      <c r="C511" s="10">
        <f>IFERROR(__xludf.DUMMYFUNCTION("""COMPUTED_VALUE"""),45023.0)</f>
        <v>45023</v>
      </c>
      <c r="D511" s="10">
        <f>IFERROR(__xludf.DUMMYFUNCTION("""COMPUTED_VALUE"""),45113.0)</f>
        <v>45113</v>
      </c>
      <c r="E511" s="8">
        <f>IFERROR(__xludf.DUMMYFUNCTION("""COMPUTED_VALUE"""),273257.0)</f>
        <v>273257</v>
      </c>
      <c r="F511" s="9" t="str">
        <f>IFERROR(__xludf.DUMMYFUNCTION("""COMPUTED_VALUE"""),"転生したら俺が女で陰陽師の寵愛を受けた件【マイクロ】")</f>
        <v>転生したら俺が女で陰陽師の寵愛を受けた件【マイクロ】</v>
      </c>
      <c r="G511" s="11" t="str">
        <f>IFERROR(__xludf.DUMMYFUNCTION("""COMPUTED_VALUE"""),"1~3")</f>
        <v>1~3</v>
      </c>
      <c r="H511" s="8" t="str">
        <f>IFERROR(__xludf.DUMMYFUNCTION("""COMPUTED_VALUE"""),"いちご乃たると")</f>
        <v>いちご乃たると</v>
      </c>
      <c r="I511" s="8" t="str">
        <f>IFERROR(__xludf.DUMMYFUNCTION("""COMPUTED_VALUE"""),"少女")</f>
        <v>少女</v>
      </c>
      <c r="J511" s="8"/>
      <c r="K511" s="8"/>
      <c r="L511" s="8" t="str">
        <f>IFERROR(__xludf.DUMMYFUNCTION("""COMPUTED_VALUE"""),"小学館")</f>
        <v>小学館</v>
      </c>
      <c r="M511" s="12">
        <f>IFERROR(__xludf.DUMMYFUNCTION("""COMPUTED_VALUE"""),45143.0)</f>
        <v>45143</v>
      </c>
      <c r="N511" s="12">
        <f>IFERROR(__xludf.DUMMYFUNCTION("""COMPUTED_VALUE"""),45203.0)</f>
        <v>45203</v>
      </c>
      <c r="O511" s="11"/>
      <c r="P511" s="9" t="str">
        <f>IFERROR(__xludf.DUMMYFUNCTION("""COMPUTED_VALUE"""),"否")</f>
        <v>否</v>
      </c>
      <c r="Q511" s="8" t="str">
        <f>IFERROR(__xludf.DUMMYFUNCTION("""COMPUTED_VALUE"""),"初回リリース巻数相談　→3話以上OK&lt;BR&gt;20230419更新：巻数・先行配信開始日・先行配信終了日&lt;BR&gt;コミットOK（4/20）&lt;BR&gt;20230608更新：先行配信開始日が1ヵ月後ろ倒しになりました7/5→8/5")</f>
        <v>初回リリース巻数相談　→3話以上OK&lt;BR&gt;20230419更新：巻数・先行配信開始日・先行配信終了日&lt;BR&gt;コミットOK（4/20）&lt;BR&gt;20230608更新：先行配信開始日が1ヵ月後ろ倒しになりました7/5→8/5</v>
      </c>
      <c r="R511" s="9"/>
      <c r="S511" s="8" t="str">
        <f>IFERROR(__xludf.DUMMYFUNCTION("""COMPUTED_VALUE"""),"20230706_小学館_転生したら俺が女で陰陽師の寵愛を受けた件【マイクロ】")</f>
        <v>20230706_小学館_転生したら俺が女で陰陽師の寵愛を受けた件【マイクロ】</v>
      </c>
      <c r="T511" s="9" t="str">
        <f>IFERROR(__xludf.DUMMYFUNCTION("""COMPUTED_VALUE"""),"格納済（7/6）")</f>
        <v>格納済（7/6）</v>
      </c>
      <c r="U511" s="9" t="str">
        <f>IFERROR(__xludf.DUMMYFUNCTION("""COMPUTED_VALUE"""),"(C)いちご乃たると / 小学館")</f>
        <v>(C)いちご乃たると / 小学館</v>
      </c>
      <c r="V511" s="8" t="str">
        <f>IFERROR(__xludf.DUMMYFUNCTION("""COMPUTED_VALUE"""),"男とこんなの…いやなのに…体だけじゃなくて頭も女になってしまう…！転生あやかしエロファンタジー開幕！高校３年の男子・千尋は他界した両親の代わりに妹を養っていた。バイト帰りに誰かに突き飛ばされ意識を失い目を覚ますと、陰陽師がいる世界に転生、しかも女になっていた！？
")</f>
        <v>男とこんなの…いやなのに…体だけじゃなくて頭も女になってしまう…！転生あやかしエロファンタジー開幕！高校３年の男子・千尋は他界した両親の代わりに妹を養っていた。バイト帰りに誰かに突き飛ばされ意識を失い目を覚ますと、陰陽師がいる世界に転生、しかも女になっていた！？
</v>
      </c>
      <c r="W511" s="8"/>
      <c r="X511" s="8" t="str">
        <f>IFERROR(__xludf.DUMMYFUNCTION("""COMPUTED_VALUE"""),"有")</f>
        <v>有</v>
      </c>
      <c r="Y511" s="8" t="str">
        <f>IFERROR(__xludf.DUMMYFUNCTION("""COMPUTED_VALUE"""),"P13まで")</f>
        <v>P13まで</v>
      </c>
      <c r="Z511" s="7"/>
      <c r="AA511" s="7"/>
      <c r="AB511" s="7"/>
    </row>
    <row r="512" ht="15.75" customHeight="1">
      <c r="A512" s="8">
        <f>IFERROR(__xludf.DUMMYFUNCTION("""COMPUTED_VALUE"""),1998.0)</f>
        <v>1998</v>
      </c>
      <c r="B512" s="9" t="str">
        <f>IFERROR(__xludf.DUMMYFUNCTION("""COMPUTED_VALUE"""),"確定")</f>
        <v>確定</v>
      </c>
      <c r="C512" s="10">
        <f>IFERROR(__xludf.DUMMYFUNCTION("""COMPUTED_VALUE"""),45076.0)</f>
        <v>45076</v>
      </c>
      <c r="D512" s="10">
        <f>IFERROR(__xludf.DUMMYFUNCTION("""COMPUTED_VALUE"""),45117.0)</f>
        <v>45117</v>
      </c>
      <c r="E512" s="8">
        <f>IFERROR(__xludf.DUMMYFUNCTION("""COMPUTED_VALUE"""),273319.0)</f>
        <v>273319</v>
      </c>
      <c r="F512" s="9" t="str">
        <f>IFERROR(__xludf.DUMMYFUNCTION("""COMPUTED_VALUE"""),"あなたのハジメテ、私にくれますか？")</f>
        <v>あなたのハジメテ、私にくれますか？</v>
      </c>
      <c r="G512" s="11" t="str">
        <f>IFERROR(__xludf.DUMMYFUNCTION("""COMPUTED_VALUE"""),"1～2")</f>
        <v>1～2</v>
      </c>
      <c r="H512" s="8" t="str">
        <f>IFERROR(__xludf.DUMMYFUNCTION("""COMPUTED_VALUE"""),"藍沢ミキ")</f>
        <v>藍沢ミキ</v>
      </c>
      <c r="I512" s="8" t="str">
        <f>IFERROR(__xludf.DUMMYFUNCTION("""COMPUTED_VALUE"""),"TL")</f>
        <v>TL</v>
      </c>
      <c r="J512" s="8"/>
      <c r="K512" s="8"/>
      <c r="L512" s="8" t="str">
        <f>IFERROR(__xludf.DUMMYFUNCTION("""COMPUTED_VALUE"""),"CLLENN")</f>
        <v>CLLENN</v>
      </c>
      <c r="M512" s="12">
        <f>IFERROR(__xludf.DUMMYFUNCTION("""COMPUTED_VALUE"""),45142.0)</f>
        <v>45142</v>
      </c>
      <c r="N512" s="12">
        <f>IFERROR(__xludf.DUMMYFUNCTION("""COMPUTED_VALUE"""),45176.0)</f>
        <v>45176</v>
      </c>
      <c r="O512" s="11"/>
      <c r="P512" s="9" t="str">
        <f>IFERROR(__xludf.DUMMYFUNCTION("""COMPUTED_VALUE"""),"可")</f>
        <v>可</v>
      </c>
      <c r="Q512" s="8" t="str">
        <f>IFERROR(__xludf.DUMMYFUNCTION("""COMPUTED_VALUE"""),"素材格納（7/10）&lt;BR&gt;広告コミットOK(5/30)&lt;BR&gt;")</f>
        <v>素材格納（7/10）&lt;BR&gt;広告コミットOK(5/30)&lt;BR&gt;</v>
      </c>
      <c r="R512" s="9" t="str">
        <f>IFERROR(__xludf.DUMMYFUNCTION("""COMPUTED_VALUE"""),"素材格納（7/10）")</f>
        <v>素材格納（7/10）</v>
      </c>
      <c r="S512" s="8" t="str">
        <f>IFERROR(__xludf.DUMMYFUNCTION("""COMPUTED_VALUE"""),"20230710_コミックストック（オトメチカ出版）_あなたのハジメテ、私にくれますか")</f>
        <v>20230710_コミックストック（オトメチカ出版）_あなたのハジメテ、私にくれますか</v>
      </c>
      <c r="T512" s="9" t="str">
        <f>IFERROR(__xludf.DUMMYFUNCTION("""COMPUTED_VALUE"""),"校了済素材")</f>
        <v>校了済素材</v>
      </c>
      <c r="U512" s="9" t="str">
        <f>IFERROR(__xludf.DUMMYFUNCTION("""COMPUTED_VALUE"""),"著：藍沢ミキ/オトメチカ出版")</f>
        <v>著：藍沢ミキ/オトメチカ出版</v>
      </c>
      <c r="V512" s="8" t="str">
        <f>IFERROR(__xludf.DUMMYFUNCTION("""COMPUTED_VALUE"""),"「千葉さんがお勉強したこと、私にしてください」不慣れなはずなのに、私の性感帯を的確に刺激してくる熱い舌。気持ちいいが止まらないっ！ ――受付嬢の美由紀は、社内でも人気の副社長秘書・千葉さんと秘密のお付き合い中。容姿も行動も完璧な彼氏だけど全く手を出してくれなくて…しびれを切らした美由紀は思い切って夜這いしに行ってみると、千葉さんはまさかの童貞でした！ 恥じらう千葉さんのギャップにゾクゾクする美由紀。興奮のあまり彼の膨らんだ股間をいじり続けていたら「たっぷりお返しさせてくれ」と形勢逆転！？ 優しく激しい愛撫"&amp;"に、意識が飛びそうなくらい全身とろとろに溶かされて…これで童貞って、ウソでしょ？")</f>
        <v>「千葉さんがお勉強したこと、私にしてください」不慣れなはずなのに、私の性感帯を的確に刺激してくる熱い舌。気持ちいいが止まらないっ！ ――受付嬢の美由紀は、社内でも人気の副社長秘書・千葉さんと秘密のお付き合い中。容姿も行動も完璧な彼氏だけど全く手を出してくれなくて…しびれを切らした美由紀は思い切って夜這いしに行ってみると、千葉さんはまさかの童貞でした！ 恥じらう千葉さんのギャップにゾクゾクする美由紀。興奮のあまり彼の膨らんだ股間をいじり続けていたら「たっぷりお返しさせてくれ」と形勢逆転！？ 優しく激しい愛撫に、意識が飛びそうなくらい全身とろとろに溶かされて…これで童貞って、ウソでしょ？</v>
      </c>
      <c r="W512" s="8"/>
      <c r="X512" s="8" t="str">
        <f>IFERROR(__xludf.DUMMYFUNCTION("""COMPUTED_VALUE"""),"有")</f>
        <v>有</v>
      </c>
      <c r="Y512" s="8" t="str">
        <f>IFERROR(__xludf.DUMMYFUNCTION("""COMPUTED_VALUE"""),"P8まで")</f>
        <v>P8まで</v>
      </c>
      <c r="Z512" s="7"/>
      <c r="AA512" s="7"/>
      <c r="AB512" s="7"/>
    </row>
    <row r="513" ht="15.75" customHeight="1">
      <c r="A513" s="8">
        <f>IFERROR(__xludf.DUMMYFUNCTION("""COMPUTED_VALUE"""),2042.0)</f>
        <v>2042</v>
      </c>
      <c r="B513" s="9" t="str">
        <f>IFERROR(__xludf.DUMMYFUNCTION("""COMPUTED_VALUE"""),"確定")</f>
        <v>確定</v>
      </c>
      <c r="C513" s="10">
        <f>IFERROR(__xludf.DUMMYFUNCTION("""COMPUTED_VALUE"""),45086.0)</f>
        <v>45086</v>
      </c>
      <c r="D513" s="10">
        <f>IFERROR(__xludf.DUMMYFUNCTION("""COMPUTED_VALUE"""),45113.0)</f>
        <v>45113</v>
      </c>
      <c r="E513" s="8">
        <f>IFERROR(__xludf.DUMMYFUNCTION("""COMPUTED_VALUE"""),272183.0)</f>
        <v>272183</v>
      </c>
      <c r="F513" s="9" t="str">
        <f>IFERROR(__xludf.DUMMYFUNCTION("""COMPUTED_VALUE"""),"となりの強面消防士 ～破廉恥なくせにその笑顔は反則です～")</f>
        <v>となりの強面消防士 ～破廉恥なくせにその笑顔は反則です～</v>
      </c>
      <c r="G513" s="11" t="str">
        <f>IFERROR(__xludf.DUMMYFUNCTION("""COMPUTED_VALUE"""),"1~3")</f>
        <v>1~3</v>
      </c>
      <c r="H513" s="8" t="str">
        <f>IFERROR(__xludf.DUMMYFUNCTION("""COMPUTED_VALUE"""),"青佐のり/にしのムラサキ(原作)")</f>
        <v>青佐のり/にしのムラサキ(原作)</v>
      </c>
      <c r="I513" s="8" t="str">
        <f>IFERROR(__xludf.DUMMYFUNCTION("""COMPUTED_VALUE"""),"TL")</f>
        <v>TL</v>
      </c>
      <c r="J513" s="8"/>
      <c r="K513" s="8"/>
      <c r="L513" s="8" t="str">
        <f>IFERROR(__xludf.DUMMYFUNCTION("""COMPUTED_VALUE"""),"フューチャーコミックス社")</f>
        <v>フューチャーコミックス社</v>
      </c>
      <c r="M513" s="12">
        <f>IFERROR(__xludf.DUMMYFUNCTION("""COMPUTED_VALUE"""),45150.0)</f>
        <v>45150</v>
      </c>
      <c r="N513" s="12">
        <f>IFERROR(__xludf.DUMMYFUNCTION("""COMPUTED_VALUE"""),45169.0)</f>
        <v>45169</v>
      </c>
      <c r="O513" s="11"/>
      <c r="P513" s="9" t="str">
        <f>IFERROR(__xludf.DUMMYFUNCTION("""COMPUTED_VALUE"""),"可")</f>
        <v>可</v>
      </c>
      <c r="Q513" s="8" t="str">
        <f>IFERROR(__xludf.DUMMYFUNCTION("""COMPUTED_VALUE"""),"素材格納（7/6）&lt;BR&gt;広告コミットOK(7/4)")</f>
        <v>素材格納（7/6）&lt;BR&gt;広告コミットOK(7/4)</v>
      </c>
      <c r="R513" s="9" t="str">
        <f>IFERROR(__xludf.DUMMYFUNCTION("""COMPUTED_VALUE"""),"格納済")</f>
        <v>格納済</v>
      </c>
      <c r="S513" s="8" t="str">
        <f>IFERROR(__xludf.DUMMYFUNCTION("""COMPUTED_VALUE"""),"20230706_フューチャーコミックス社_となりの強面消防士 ～破廉恥なくせにその笑顔は反則です～")</f>
        <v>20230706_フューチャーコミックス社_となりの強面消防士 ～破廉恥なくせにその笑顔は反則です～</v>
      </c>
      <c r="T513" s="9" t="str">
        <f>IFERROR(__xludf.DUMMYFUNCTION("""COMPUTED_VALUE"""),"校了済素材")</f>
        <v>校了済素材</v>
      </c>
      <c r="U513" s="9" t="str">
        <f>IFERROR(__xludf.DUMMYFUNCTION("""COMPUTED_VALUE"""),"外部用不要")</f>
        <v>外部用不要</v>
      </c>
      <c r="V513" s="8" t="str">
        <f>IFERROR(__xludf.DUMMYFUNCTION("""COMPUTED_VALUE"""),"「既成事実、作らせてもらっていいか」たくましい腕に抱かれ、じっくり解されて…滾る熱が奥まで入ってくるっ―…。ちょっと古風な恋愛観のせいで”恋人いない歴7年”を迎えた七実。転勤先から実家に戻ったところ、隣に消防士の独身寮ができていた。新たな出会いに期待したのに、寮からは夜な夜なAV観賞会で沸く声が…破廉恥集団との恋なんて絶対ナシ！！そう心に決めた七実だけど、デカくて超絶コワモテな寮の住人・生島湊に不覚にもときめく出来事がおきて――「困られてもする。口説き落とす」強面真面目な消防士との溺れるくらいえっちで甘い"&amp;"、大人の青春開幕！")</f>
        <v>「既成事実、作らせてもらっていいか」たくましい腕に抱かれ、じっくり解されて…滾る熱が奥まで入ってくるっ―…。ちょっと古風な恋愛観のせいで”恋人いない歴7年”を迎えた七実。転勤先から実家に戻ったところ、隣に消防士の独身寮ができていた。新たな出会いに期待したのに、寮からは夜な夜なAV観賞会で沸く声が…破廉恥集団との恋なんて絶対ナシ！！そう心に決めた七実だけど、デカくて超絶コワモテな寮の住人・生島湊に不覚にもときめく出来事がおきて――「困られてもする。口説き落とす」強面真面目な消防士との溺れるくらいえっちで甘い、大人の青春開幕！</v>
      </c>
      <c r="W513" s="8"/>
      <c r="X513" s="8" t="str">
        <f>IFERROR(__xludf.DUMMYFUNCTION("""COMPUTED_VALUE"""),"有")</f>
        <v>有</v>
      </c>
      <c r="Y513" s="8" t="str">
        <f>IFERROR(__xludf.DUMMYFUNCTION("""COMPUTED_VALUE"""),"P15まで")</f>
        <v>P15まで</v>
      </c>
      <c r="Z513" s="7"/>
      <c r="AA513" s="7"/>
      <c r="AB513" s="7"/>
    </row>
    <row r="514" ht="15.75" customHeight="1">
      <c r="A514" s="8">
        <f>IFERROR(__xludf.DUMMYFUNCTION("""COMPUTED_VALUE"""),2086.0)</f>
        <v>2086</v>
      </c>
      <c r="B514" s="9" t="str">
        <f>IFERROR(__xludf.DUMMYFUNCTION("""COMPUTED_VALUE"""),"確定")</f>
        <v>確定</v>
      </c>
      <c r="C514" s="10">
        <f>IFERROR(__xludf.DUMMYFUNCTION("""COMPUTED_VALUE"""),45098.0)</f>
        <v>45098</v>
      </c>
      <c r="D514" s="10">
        <f>IFERROR(__xludf.DUMMYFUNCTION("""COMPUTED_VALUE"""),45113.0)</f>
        <v>45113</v>
      </c>
      <c r="E514" s="8">
        <f>IFERROR(__xludf.DUMMYFUNCTION("""COMPUTED_VALUE"""),274194.0)</f>
        <v>274194</v>
      </c>
      <c r="F514" s="9" t="str">
        <f>IFERROR(__xludf.DUMMYFUNCTION("""COMPUTED_VALUE"""),"JUN＆JUN【タテマンガ】")</f>
        <v>JUN＆JUN【タテマンガ】</v>
      </c>
      <c r="G514" s="11" t="str">
        <f>IFERROR(__xludf.DUMMYFUNCTION("""COMPUTED_VALUE"""),"1～7")</f>
        <v>1～7</v>
      </c>
      <c r="H514" s="8" t="str">
        <f>IFERROR(__xludf.DUMMYFUNCTION("""COMPUTED_VALUE"""),"確認中")</f>
        <v>確認中</v>
      </c>
      <c r="I514" s="8" t="str">
        <f>IFERROR(__xludf.DUMMYFUNCTION("""COMPUTED_VALUE"""),"BL")</f>
        <v>BL</v>
      </c>
      <c r="J514" s="8"/>
      <c r="K514" s="8"/>
      <c r="L514" s="8" t="str">
        <f>IFERROR(__xludf.DUMMYFUNCTION("""COMPUTED_VALUE"""),"YUZU comics")</f>
        <v>YUZU comics</v>
      </c>
      <c r="M514" s="12">
        <f>IFERROR(__xludf.DUMMYFUNCTION("""COMPUTED_VALUE"""),45141.0)</f>
        <v>45141</v>
      </c>
      <c r="N514" s="12">
        <f>IFERROR(__xludf.DUMMYFUNCTION("""COMPUTED_VALUE"""),45232.0)</f>
        <v>45232</v>
      </c>
      <c r="O514" s="11"/>
      <c r="P514" s="9" t="str">
        <f>IFERROR(__xludf.DUMMYFUNCTION("""COMPUTED_VALUE"""),"可")</f>
        <v>可</v>
      </c>
      <c r="Q514" s="8" t="str">
        <f>IFERROR(__xludf.DUMMYFUNCTION("""COMPUTED_VALUE"""),"広告コミットOK(6/27)※4話時点")</f>
        <v>広告コミットOK(6/27)※4話時点</v>
      </c>
      <c r="R514" s="9"/>
      <c r="S514" s="8" t="str">
        <f>IFERROR(__xludf.DUMMYFUNCTION("""COMPUTED_VALUE"""),"20230706_YUZUコミックス_JUN＆JUN")</f>
        <v>20230706_YUZUコミックス_JUN＆JUN</v>
      </c>
      <c r="T514" s="9"/>
      <c r="U514" s="9" t="str">
        <f>IFERROR(__xludf.DUMMYFUNCTION("""COMPUTED_VALUE"""),"©砂河深紅/MSTORYHUB/FUNDORA")</f>
        <v>©砂河深紅/MSTORYHUB/FUNDORA</v>
      </c>
      <c r="V514" s="8" t="str">
        <f>IFERROR(__xludf.DUMMYFUNCTION("""COMPUTED_VALUE"""),"元アイドルのイ・ジュンは、マネージャーであったヒョンジェの紹介で、コスメの会社に再就職を果たす。運命のいたずらか、直属の上司は、幼い頃に離れ離れになっていたチェ・ジュンだった。二人のジュンの名を持つ青年達は、20年ぶりに再会し、お互いに想いを巡らせる。二人のジュンと彼らを取り巻く人々が織りなすBLストーリー。
")</f>
        <v>元アイドルのイ・ジュンは、マネージャーであったヒョンジェの紹介で、コスメの会社に再就職を果たす。運命のいたずらか、直属の上司は、幼い頃に離れ離れになっていたチェ・ジュンだった。二人のジュンの名を持つ青年達は、20年ぶりに再会し、お互いに想いを巡らせる。二人のジュンと彼らを取り巻く人々が織りなすBLストーリー。
</v>
      </c>
      <c r="W514" s="8"/>
      <c r="X514" s="8" t="str">
        <f>IFERROR(__xludf.DUMMYFUNCTION("""COMPUTED_VALUE"""),"有")</f>
        <v>有</v>
      </c>
      <c r="Y514" s="8" t="str">
        <f>IFERROR(__xludf.DUMMYFUNCTION("""COMPUTED_VALUE"""),"11/2まで1～3巻無料")</f>
        <v>11/2まで1～3巻無料</v>
      </c>
      <c r="Z514" s="7"/>
      <c r="AA514" s="7"/>
      <c r="AB514" s="7"/>
    </row>
    <row r="515" ht="15.75" customHeight="1">
      <c r="A515" s="8">
        <f>IFERROR(__xludf.DUMMYFUNCTION("""COMPUTED_VALUE"""),2146.0)</f>
        <v>2146</v>
      </c>
      <c r="B515" s="9" t="str">
        <f>IFERROR(__xludf.DUMMYFUNCTION("""COMPUTED_VALUE"""),"確定")</f>
        <v>確定</v>
      </c>
      <c r="C515" s="10">
        <f>IFERROR(__xludf.DUMMYFUNCTION("""COMPUTED_VALUE"""),45117.0)</f>
        <v>45117</v>
      </c>
      <c r="D515" s="10">
        <f>IFERROR(__xludf.DUMMYFUNCTION("""COMPUTED_VALUE"""),45118.0)</f>
        <v>45118</v>
      </c>
      <c r="E515" s="8">
        <f>IFERROR(__xludf.DUMMYFUNCTION("""COMPUTED_VALUE"""),273275.0)</f>
        <v>273275</v>
      </c>
      <c r="F515" s="9" t="str">
        <f>IFERROR(__xludf.DUMMYFUNCTION("""COMPUTED_VALUE"""),"最低ランクの冒険者、勇者少女を育てる～俺って数合わせのおっさんじゃなかったか？～（話売り）")</f>
        <v>最低ランクの冒険者、勇者少女を育てる～俺って数合わせのおっさんじゃなかったか？～（話売り）</v>
      </c>
      <c r="G515" s="11" t="str">
        <f>IFERROR(__xludf.DUMMYFUNCTION("""COMPUTED_VALUE"""),"1～3")</f>
        <v>1～3</v>
      </c>
      <c r="H515" s="8" t="str">
        <f>IFERROR(__xludf.DUMMYFUNCTION("""COMPUTED_VALUE"""),"農民ヤズー⊥津保昭博⊥桑島黎音")</f>
        <v>農民ヤズー⊥津保昭博⊥桑島黎音</v>
      </c>
      <c r="I515" s="8" t="str">
        <f>IFERROR(__xludf.DUMMYFUNCTION("""COMPUTED_VALUE"""),"青年")</f>
        <v>青年</v>
      </c>
      <c r="J515" s="8"/>
      <c r="K515" s="8"/>
      <c r="L515" s="8" t="str">
        <f>IFERROR(__xludf.DUMMYFUNCTION("""COMPUTED_VALUE"""),"秋田書店")</f>
        <v>秋田書店</v>
      </c>
      <c r="M515" s="12">
        <f>IFERROR(__xludf.DUMMYFUNCTION("""COMPUTED_VALUE"""),45132.0)</f>
        <v>45132</v>
      </c>
      <c r="N515" s="12">
        <f>IFERROR(__xludf.DUMMYFUNCTION("""COMPUTED_VALUE"""),45159.0)</f>
        <v>45159</v>
      </c>
      <c r="O515" s="11"/>
      <c r="P515" s="9" t="str">
        <f>IFERROR(__xludf.DUMMYFUNCTION("""COMPUTED_VALUE"""),"可")</f>
        <v>可</v>
      </c>
      <c r="Q515" s="8" t="str">
        <f>IFERROR(__xludf.DUMMYFUNCTION("""COMPUTED_VALUE"""),"2話分で対応お願いします。")</f>
        <v>2話分で対応お願いします。</v>
      </c>
      <c r="R515" s="9"/>
      <c r="S515" s="8" t="str">
        <f>IFERROR(__xludf.DUMMYFUNCTION("""COMPUTED_VALUE"""),"20230710_秋田書店_7～8月新作")</f>
        <v>20230710_秋田書店_7～8月新作</v>
      </c>
      <c r="T515" s="9"/>
      <c r="U515" s="9" t="str">
        <f>IFERROR(__xludf.DUMMYFUNCTION("""COMPUTED_VALUE"""),"(C)農民ヤズー・ホビージャパン・津保昭博 (秋田書店)")</f>
        <v>(C)農民ヤズー・ホビージャパン・津保昭博 (秋田書店)</v>
      </c>
      <c r="V515" s="8" t="str">
        <f>IFERROR(__xludf.DUMMYFUNCTION("""COMPUTED_VALUE"""),"数合わせのおっさんが実は伝説の冒険者!? 最低ランク冒険者のおっさんが才能S級美少女パーティを積み上げた経験で真の勇者へと開花させる最強育成ファンタジー!!　ダンジョンが現れ、同時に超常的な能力を持つ「覚醒者」が出現するようになった世界。覚醒した者は冒険者として最低5年はダンジョンに潜り、戦うことが義務づけられていた。先に仲間たちが任期満了を迎え、ソロになった伊上浩介は、女子高生たちから病欠している友人の代わりに数あわせでパーティーに入ってくれないかと頼まれる。超一流の才能を持っている彼女らだが、超初心者"&amp;"ゆえに危なっかしい。浩介は自分が今まで培ってきた経験を活かし、彼女らに実践的なダンジョン攻略法を教えていくことにするが…")</f>
        <v>数合わせのおっさんが実は伝説の冒険者!? 最低ランク冒険者のおっさんが才能S級美少女パーティを積み上げた経験で真の勇者へと開花させる最強育成ファンタジー!!　ダンジョンが現れ、同時に超常的な能力を持つ「覚醒者」が出現するようになった世界。覚醒した者は冒険者として最低5年はダンジョンに潜り、戦うことが義務づけられていた。先に仲間たちが任期満了を迎え、ソロになった伊上浩介は、女子高生たちから病欠している友人の代わりに数あわせでパーティーに入ってくれないかと頼まれる。超一流の才能を持っている彼女らだが、超初心者ゆえに危なっかしい。浩介は自分が今まで培ってきた経験を活かし、彼女らに実践的なダンジョン攻略法を教えていくことにするが…</v>
      </c>
      <c r="W515" s="8"/>
      <c r="X515" s="8" t="str">
        <f>IFERROR(__xludf.DUMMYFUNCTION("""COMPUTED_VALUE"""),"有")</f>
        <v>有</v>
      </c>
      <c r="Y515" s="8" t="str">
        <f>IFERROR(__xludf.DUMMYFUNCTION("""COMPUTED_VALUE"""),"8/21まで1巻無料")</f>
        <v>8/21まで1巻無料</v>
      </c>
      <c r="Z515" s="7"/>
      <c r="AA515" s="7"/>
      <c r="AB515" s="7"/>
    </row>
    <row r="516" ht="15.75" customHeight="1">
      <c r="A516" s="8">
        <f>IFERROR(__xludf.DUMMYFUNCTION("""COMPUTED_VALUE"""),2147.0)</f>
        <v>2147</v>
      </c>
      <c r="B516" s="9" t="str">
        <f>IFERROR(__xludf.DUMMYFUNCTION("""COMPUTED_VALUE"""),"確定")</f>
        <v>確定</v>
      </c>
      <c r="C516" s="10">
        <f>IFERROR(__xludf.DUMMYFUNCTION("""COMPUTED_VALUE"""),45117.0)</f>
        <v>45117</v>
      </c>
      <c r="D516" s="10">
        <f>IFERROR(__xludf.DUMMYFUNCTION("""COMPUTED_VALUE"""),45117.0)</f>
        <v>45117</v>
      </c>
      <c r="E516" s="8">
        <f>IFERROR(__xludf.DUMMYFUNCTION("""COMPUTED_VALUE"""),274037.0)</f>
        <v>274037</v>
      </c>
      <c r="F516" s="9" t="str">
        <f>IFERROR(__xludf.DUMMYFUNCTION("""COMPUTED_VALUE"""),"まばゆいね、珠緒くん。(話売り)")</f>
        <v>まばゆいね、珠緒くん。(話売り)</v>
      </c>
      <c r="G516" s="11" t="str">
        <f>IFERROR(__xludf.DUMMYFUNCTION("""COMPUTED_VALUE"""),"1～3")</f>
        <v>1～3</v>
      </c>
      <c r="H516" s="8" t="str">
        <f>IFERROR(__xludf.DUMMYFUNCTION("""COMPUTED_VALUE"""),"近由子")</f>
        <v>近由子</v>
      </c>
      <c r="I516" s="8" t="str">
        <f>IFERROR(__xludf.DUMMYFUNCTION("""COMPUTED_VALUE"""),"女性")</f>
        <v>女性</v>
      </c>
      <c r="J516" s="8"/>
      <c r="K516" s="8"/>
      <c r="L516" s="8" t="str">
        <f>IFERROR(__xludf.DUMMYFUNCTION("""COMPUTED_VALUE"""),"秋田書店")</f>
        <v>秋田書店</v>
      </c>
      <c r="M516" s="12">
        <f>IFERROR(__xludf.DUMMYFUNCTION("""COMPUTED_VALUE"""),45138.0)</f>
        <v>45138</v>
      </c>
      <c r="N516" s="12">
        <f>IFERROR(__xludf.DUMMYFUNCTION("""COMPUTED_VALUE"""),45168.0)</f>
        <v>45168</v>
      </c>
      <c r="O516" s="11"/>
      <c r="P516" s="9" t="str">
        <f>IFERROR(__xludf.DUMMYFUNCTION("""COMPUTED_VALUE"""),"可")</f>
        <v>可</v>
      </c>
      <c r="Q516" s="8" t="str">
        <f>IFERROR(__xludf.DUMMYFUNCTION("""COMPUTED_VALUE"""),"2話分でご対応お願い致します。")</f>
        <v>2話分でご対応お願い致します。</v>
      </c>
      <c r="R516" s="9"/>
      <c r="S516" s="8" t="str">
        <f>IFERROR(__xludf.DUMMYFUNCTION("""COMPUTED_VALUE"""),"20230710_秋田書店_7～8月新作")</f>
        <v>20230710_秋田書店_7～8月新作</v>
      </c>
      <c r="T516" s="9"/>
      <c r="U516" s="9" t="str">
        <f>IFERROR(__xludf.DUMMYFUNCTION("""COMPUTED_VALUE"""),"（C)近由子（秋田書店）")</f>
        <v>（C)近由子（秋田書店）</v>
      </c>
      <c r="V516" s="8" t="str">
        <f>IFERROR(__xludf.DUMMYFUNCTION("""COMPUTED_VALUE"""),"「大人って好きじゃない」周りの大人に不信感を持っている男子高校生の吉田珠緒は、いきつけの薬局で女性店員を痴漢から助ける。助けた女性店員の真由子は周りの大人たちと少し違っていて、そんな彼女のことが珠緒は気になり…？　男子高校生×アラサー女性のじれきゅんラブ！
")</f>
        <v>「大人って好きじゃない」周りの大人に不信感を持っている男子高校生の吉田珠緒は、いきつけの薬局で女性店員を痴漢から助ける。助けた女性店員の真由子は周りの大人たちと少し違っていて、そんな彼女のことが珠緒は気になり…？　男子高校生×アラサー女性のじれきゅんラブ！
</v>
      </c>
      <c r="W516" s="8"/>
      <c r="X516" s="8" t="str">
        <f>IFERROR(__xludf.DUMMYFUNCTION("""COMPUTED_VALUE"""),"有")</f>
        <v>有</v>
      </c>
      <c r="Y516" s="8" t="str">
        <f>IFERROR(__xludf.DUMMYFUNCTION("""COMPUTED_VALUE"""),"8/30まで1巻無料")</f>
        <v>8/30まで1巻無料</v>
      </c>
      <c r="Z516" s="7"/>
      <c r="AA516" s="7"/>
      <c r="AB516" s="7"/>
    </row>
    <row r="517" ht="15.75" customHeight="1">
      <c r="A517" s="8">
        <f>IFERROR(__xludf.DUMMYFUNCTION("""COMPUTED_VALUE"""),2148.0)</f>
        <v>2148</v>
      </c>
      <c r="B517" s="9" t="str">
        <f>IFERROR(__xludf.DUMMYFUNCTION("""COMPUTED_VALUE"""),"確定")</f>
        <v>確定</v>
      </c>
      <c r="C517" s="10">
        <f>IFERROR(__xludf.DUMMYFUNCTION("""COMPUTED_VALUE"""),45117.0)</f>
        <v>45117</v>
      </c>
      <c r="D517" s="10">
        <f>IFERROR(__xludf.DUMMYFUNCTION("""COMPUTED_VALUE"""),45117.0)</f>
        <v>45117</v>
      </c>
      <c r="E517" s="8">
        <f>IFERROR(__xludf.DUMMYFUNCTION("""COMPUTED_VALUE"""),273360.0)</f>
        <v>273360</v>
      </c>
      <c r="F517" s="9" t="str">
        <f>IFERROR(__xludf.DUMMYFUNCTION("""COMPUTED_VALUE"""),"ナースのチカラ plus【分冊版】")</f>
        <v>ナースのチカラ plus【分冊版】</v>
      </c>
      <c r="G517" s="11" t="str">
        <f>IFERROR(__xludf.DUMMYFUNCTION("""COMPUTED_VALUE"""),"1～4")</f>
        <v>1～4</v>
      </c>
      <c r="H517" s="8" t="str">
        <f>IFERROR(__xludf.DUMMYFUNCTION("""COMPUTED_VALUE"""),"広田奈都美")</f>
        <v>広田奈都美</v>
      </c>
      <c r="I517" s="8" t="str">
        <f>IFERROR(__xludf.DUMMYFUNCTION("""COMPUTED_VALUE"""),"女性")</f>
        <v>女性</v>
      </c>
      <c r="J517" s="8"/>
      <c r="K517" s="8"/>
      <c r="L517" s="8" t="str">
        <f>IFERROR(__xludf.DUMMYFUNCTION("""COMPUTED_VALUE"""),"秋田書店")</f>
        <v>秋田書店</v>
      </c>
      <c r="M517" s="12">
        <f>IFERROR(__xludf.DUMMYFUNCTION("""COMPUTED_VALUE"""),45147.0)</f>
        <v>45147</v>
      </c>
      <c r="N517" s="12">
        <f>IFERROR(__xludf.DUMMYFUNCTION("""COMPUTED_VALUE"""),45177.0)</f>
        <v>45177</v>
      </c>
      <c r="O517" s="11"/>
      <c r="P517" s="9" t="str">
        <f>IFERROR(__xludf.DUMMYFUNCTION("""COMPUTED_VALUE"""),"可")</f>
        <v>可</v>
      </c>
      <c r="Q517" s="8" t="str">
        <f>IFERROR(__xludf.DUMMYFUNCTION("""COMPUTED_VALUE"""),"3話分で対応お願いします")</f>
        <v>3話分で対応お願いします</v>
      </c>
      <c r="R517" s="9"/>
      <c r="S517" s="8" t="str">
        <f>IFERROR(__xludf.DUMMYFUNCTION("""COMPUTED_VALUE"""),"20230710_秋田書店_7～8月新作")</f>
        <v>20230710_秋田書店_7～8月新作</v>
      </c>
      <c r="T517" s="9"/>
      <c r="U517" s="9" t="str">
        <f>IFERROR(__xludf.DUMMYFUNCTION("""COMPUTED_VALUE"""),"(C)広田奈都美（秋田書店）")</f>
        <v>(C)広田奈都美（秋田書店）</v>
      </c>
      <c r="V517" s="8" t="str">
        <f>IFERROR(__xludf.DUMMYFUNCTION("""COMPUTED_VALUE"""),"師長亡きあと訪問看護ステーションの所長となった持田。馬渕・深原も抜け、人手不足に悩む持田は新たに看護師募集を開始する。唯一応募してきたのは病棟勤務経験のある若いイケメン看護師の千春で…!?　大ヒット作「ナースのチカラ」の続編!!
")</f>
        <v>師長亡きあと訪問看護ステーションの所長となった持田。馬渕・深原も抜け、人手不足に悩む持田は新たに看護師募集を開始する。唯一応募してきたのは病棟勤務経験のある若いイケメン看護師の千春で…!?　大ヒット作「ナースのチカラ」の続編!!
</v>
      </c>
      <c r="W517" s="8"/>
      <c r="X517" s="8" t="str">
        <f>IFERROR(__xludf.DUMMYFUNCTION("""COMPUTED_VALUE"""),"有")</f>
        <v>有</v>
      </c>
      <c r="Y517" s="8" t="str">
        <f>IFERROR(__xludf.DUMMYFUNCTION("""COMPUTED_VALUE"""),"9/8まで1巻無料")</f>
        <v>9/8まで1巻無料</v>
      </c>
      <c r="Z517" s="7"/>
      <c r="AA517" s="7"/>
      <c r="AB517" s="7"/>
    </row>
    <row r="518" ht="15.75" customHeight="1">
      <c r="A518" s="8">
        <f>IFERROR(__xludf.DUMMYFUNCTION("""COMPUTED_VALUE"""),2149.0)</f>
        <v>2149</v>
      </c>
      <c r="B518" s="9" t="str">
        <f>IFERROR(__xludf.DUMMYFUNCTION("""COMPUTED_VALUE"""),"確定")</f>
        <v>確定</v>
      </c>
      <c r="C518" s="10">
        <f>IFERROR(__xludf.DUMMYFUNCTION("""COMPUTED_VALUE"""),45117.0)</f>
        <v>45117</v>
      </c>
      <c r="D518" s="10">
        <f>IFERROR(__xludf.DUMMYFUNCTION("""COMPUTED_VALUE"""),45117.0)</f>
        <v>45117</v>
      </c>
      <c r="E518" s="8">
        <f>IFERROR(__xludf.DUMMYFUNCTION("""COMPUTED_VALUE"""),273287.0)</f>
        <v>273287</v>
      </c>
      <c r="F518" s="9" t="str">
        <f>IFERROR(__xludf.DUMMYFUNCTION("""COMPUTED_VALUE"""),"日常系配信者リリーの恋（話売り）")</f>
        <v>日常系配信者リリーの恋（話売り）</v>
      </c>
      <c r="G518" s="11" t="str">
        <f>IFERROR(__xludf.DUMMYFUNCTION("""COMPUTED_VALUE"""),"1～4")</f>
        <v>1～4</v>
      </c>
      <c r="H518" s="8" t="str">
        <f>IFERROR(__xludf.DUMMYFUNCTION("""COMPUTED_VALUE"""),"木岐彩香")</f>
        <v>木岐彩香</v>
      </c>
      <c r="I518" s="8" t="str">
        <f>IFERROR(__xludf.DUMMYFUNCTION("""COMPUTED_VALUE"""),"女性")</f>
        <v>女性</v>
      </c>
      <c r="J518" s="8"/>
      <c r="K518" s="8"/>
      <c r="L518" s="8" t="str">
        <f>IFERROR(__xludf.DUMMYFUNCTION("""COMPUTED_VALUE"""),"秋田書店")</f>
        <v>秋田書店</v>
      </c>
      <c r="M518" s="12">
        <f>IFERROR(__xludf.DUMMYFUNCTION("""COMPUTED_VALUE"""),45139.0)</f>
        <v>45139</v>
      </c>
      <c r="N518" s="12">
        <f>IFERROR(__xludf.DUMMYFUNCTION("""COMPUTED_VALUE"""),45169.0)</f>
        <v>45169</v>
      </c>
      <c r="O518" s="11"/>
      <c r="P518" s="9" t="str">
        <f>IFERROR(__xludf.DUMMYFUNCTION("""COMPUTED_VALUE"""),"可")</f>
        <v>可</v>
      </c>
      <c r="Q518" s="8" t="str">
        <f>IFERROR(__xludf.DUMMYFUNCTION("""COMPUTED_VALUE"""),"3話分でご対応お願い致します")</f>
        <v>3話分でご対応お願い致します</v>
      </c>
      <c r="R518" s="9"/>
      <c r="S518" s="8" t="str">
        <f>IFERROR(__xludf.DUMMYFUNCTION("""COMPUTED_VALUE"""),"20230710_秋田書店_7～8月新作")</f>
        <v>20230710_秋田書店_7～8月新作</v>
      </c>
      <c r="T518" s="9"/>
      <c r="U518" s="9" t="str">
        <f>IFERROR(__xludf.DUMMYFUNCTION("""COMPUTED_VALUE"""),"（C）木岐彩香（秋田書店）")</f>
        <v>（C）木岐彩香（秋田書店）</v>
      </c>
      <c r="V518" s="8" t="str">
        <f>IFERROR(__xludf.DUMMYFUNCTION("""COMPUTED_VALUE"""),"恋愛経験なしの控えめなOL・小百合。職場でさえない扱いをされる彼女だけど、じつはその正体は…!? ※この作品はプチプリンセス vol.74に収録されているものと同一のものとなります。
")</f>
        <v>恋愛経験なしの控えめなOL・小百合。職場でさえない扱いをされる彼女だけど、じつはその正体は…!? ※この作品はプチプリンセス vol.74に収録されているものと同一のものとなります。
</v>
      </c>
      <c r="W518" s="8"/>
      <c r="X518" s="8" t="str">
        <f>IFERROR(__xludf.DUMMYFUNCTION("""COMPUTED_VALUE"""),"有")</f>
        <v>有</v>
      </c>
      <c r="Y518" s="8" t="str">
        <f>IFERROR(__xludf.DUMMYFUNCTION("""COMPUTED_VALUE"""),"P6まで")</f>
        <v>P6まで</v>
      </c>
      <c r="Z518" s="7"/>
      <c r="AA518" s="7"/>
      <c r="AB518" s="7"/>
    </row>
    <row r="519" ht="15.75" customHeight="1">
      <c r="A519" s="8">
        <f>IFERROR(__xludf.DUMMYFUNCTION("""COMPUTED_VALUE"""),2150.0)</f>
        <v>2150</v>
      </c>
      <c r="B519" s="9" t="str">
        <f>IFERROR(__xludf.DUMMYFUNCTION("""COMPUTED_VALUE"""),"確定")</f>
        <v>確定</v>
      </c>
      <c r="C519" s="10">
        <f>IFERROR(__xludf.DUMMYFUNCTION("""COMPUTED_VALUE"""),45117.0)</f>
        <v>45117</v>
      </c>
      <c r="D519" s="10">
        <f>IFERROR(__xludf.DUMMYFUNCTION("""COMPUTED_VALUE"""),45117.0)</f>
        <v>45117</v>
      </c>
      <c r="E519" s="8">
        <f>IFERROR(__xludf.DUMMYFUNCTION("""COMPUTED_VALUE"""),274179.0)</f>
        <v>274179</v>
      </c>
      <c r="F519" s="9" t="str">
        <f>IFERROR(__xludf.DUMMYFUNCTION("""COMPUTED_VALUE"""),"聖女は異世界温泉で淫らな王子様に溺愛されてます（話売り）")</f>
        <v>聖女は異世界温泉で淫らな王子様に溺愛されてます（話売り）</v>
      </c>
      <c r="G519" s="11" t="str">
        <f>IFERROR(__xludf.DUMMYFUNCTION("""COMPUTED_VALUE"""),"1～2")</f>
        <v>1～2</v>
      </c>
      <c r="H519" s="8" t="str">
        <f>IFERROR(__xludf.DUMMYFUNCTION("""COMPUTED_VALUE"""),"木岐彩香")</f>
        <v>木岐彩香</v>
      </c>
      <c r="I519" s="8" t="str">
        <f>IFERROR(__xludf.DUMMYFUNCTION("""COMPUTED_VALUE"""),"女性")</f>
        <v>女性</v>
      </c>
      <c r="J519" s="8"/>
      <c r="K519" s="8"/>
      <c r="L519" s="8" t="str">
        <f>IFERROR(__xludf.DUMMYFUNCTION("""COMPUTED_VALUE"""),"秋田書店")</f>
        <v>秋田書店</v>
      </c>
      <c r="M519" s="12">
        <f>IFERROR(__xludf.DUMMYFUNCTION("""COMPUTED_VALUE"""),45154.0)</f>
        <v>45154</v>
      </c>
      <c r="N519" s="12">
        <f>IFERROR(__xludf.DUMMYFUNCTION("""COMPUTED_VALUE"""),45214.0)</f>
        <v>45214</v>
      </c>
      <c r="O519" s="11"/>
      <c r="P519" s="9" t="str">
        <f>IFERROR(__xludf.DUMMYFUNCTION("""COMPUTED_VALUE"""),"可")</f>
        <v>可</v>
      </c>
      <c r="Q519" s="8" t="str">
        <f>IFERROR(__xludf.DUMMYFUNCTION("""COMPUTED_VALUE"""),"1話分の素材でご対応お願い致します")</f>
        <v>1話分の素材でご対応お願い致します</v>
      </c>
      <c r="R519" s="9"/>
      <c r="S519" s="8" t="str">
        <f>IFERROR(__xludf.DUMMYFUNCTION("""COMPUTED_VALUE"""),"20230710_秋田書店_7～8月新作")</f>
        <v>20230710_秋田書店_7～8月新作</v>
      </c>
      <c r="T519" s="9"/>
      <c r="U519" s="9" t="str">
        <f>IFERROR(__xludf.DUMMYFUNCTION("""COMPUTED_VALUE"""),"（C）木岐彩香（秋田書店）")</f>
        <v>（C）木岐彩香（秋田書店）</v>
      </c>
      <c r="V519" s="8" t="str">
        <f>IFERROR(__xludf.DUMMYFUNCTION("""COMPUTED_VALUE"""),"新シリーズ開幕!!冴えない温泉女子、異世界で王子様に身も心も捧げます…!!月明かりの下、聖なる温泉で王子様は優しく淫らに私の衣をはいでゆく…。
")</f>
        <v>新シリーズ開幕!!冴えない温泉女子、異世界で王子様に身も心も捧げます…!!月明かりの下、聖なる温泉で王子様は優しく淫らに私の衣をはいでゆく…。
</v>
      </c>
      <c r="W519" s="8"/>
      <c r="X519" s="8" t="str">
        <f>IFERROR(__xludf.DUMMYFUNCTION("""COMPUTED_VALUE"""),"有")</f>
        <v>有</v>
      </c>
      <c r="Y519" s="8" t="str">
        <f>IFERROR(__xludf.DUMMYFUNCTION("""COMPUTED_VALUE"""),"P11まで")</f>
        <v>P11まで</v>
      </c>
      <c r="Z519" s="7"/>
      <c r="AA519" s="7"/>
      <c r="AB519" s="7"/>
    </row>
    <row r="520" ht="83.25" customHeight="1">
      <c r="A520" s="8">
        <f>IFERROR(__xludf.DUMMYFUNCTION("""COMPUTED_VALUE"""),2151.0)</f>
        <v>2151</v>
      </c>
      <c r="B520" s="9" t="str">
        <f>IFERROR(__xludf.DUMMYFUNCTION("""COMPUTED_VALUE"""),"確定")</f>
        <v>確定</v>
      </c>
      <c r="C520" s="10">
        <f>IFERROR(__xludf.DUMMYFUNCTION("""COMPUTED_VALUE"""),45117.0)</f>
        <v>45117</v>
      </c>
      <c r="D520" s="10">
        <f>IFERROR(__xludf.DUMMYFUNCTION("""COMPUTED_VALUE"""),45117.0)</f>
        <v>45117</v>
      </c>
      <c r="E520" s="8">
        <f>IFERROR(__xludf.DUMMYFUNCTION("""COMPUTED_VALUE"""),274178.0)</f>
        <v>274178</v>
      </c>
      <c r="F520" s="9" t="str">
        <f>IFERROR(__xludf.DUMMYFUNCTION("""COMPUTED_VALUE"""),"無愛想だけど絶倫な年下くんに嫁入りします たくましい体に抱かれてとろとろ（話売り）")</f>
        <v>無愛想だけど絶倫な年下くんに嫁入りします たくましい体に抱かれてとろとろ（話売り）</v>
      </c>
      <c r="G520" s="11" t="str">
        <f>IFERROR(__xludf.DUMMYFUNCTION("""COMPUTED_VALUE"""),"1～2")</f>
        <v>1～2</v>
      </c>
      <c r="H520" s="8" t="str">
        <f>IFERROR(__xludf.DUMMYFUNCTION("""COMPUTED_VALUE"""),"坂崎未侑")</f>
        <v>坂崎未侑</v>
      </c>
      <c r="I520" s="8" t="str">
        <f>IFERROR(__xludf.DUMMYFUNCTION("""COMPUTED_VALUE"""),"女性")</f>
        <v>女性</v>
      </c>
      <c r="J520" s="8"/>
      <c r="K520" s="8"/>
      <c r="L520" s="8" t="str">
        <f>IFERROR(__xludf.DUMMYFUNCTION("""COMPUTED_VALUE"""),"秋田書店")</f>
        <v>秋田書店</v>
      </c>
      <c r="M520" s="12">
        <f>IFERROR(__xludf.DUMMYFUNCTION("""COMPUTED_VALUE"""),45154.0)</f>
        <v>45154</v>
      </c>
      <c r="N520" s="12">
        <f>IFERROR(__xludf.DUMMYFUNCTION("""COMPUTED_VALUE"""),45214.0)</f>
        <v>45214</v>
      </c>
      <c r="O520" s="11"/>
      <c r="P520" s="9" t="str">
        <f>IFERROR(__xludf.DUMMYFUNCTION("""COMPUTED_VALUE"""),"可")</f>
        <v>可</v>
      </c>
      <c r="Q520" s="8" t="str">
        <f>IFERROR(__xludf.DUMMYFUNCTION("""COMPUTED_VALUE"""),"1話分の素材でご対応お願い致します")</f>
        <v>1話分の素材でご対応お願い致します</v>
      </c>
      <c r="R520" s="9"/>
      <c r="S520" s="8" t="str">
        <f>IFERROR(__xludf.DUMMYFUNCTION("""COMPUTED_VALUE"""),"20230710_秋田書店_7～8月新作")</f>
        <v>20230710_秋田書店_7～8月新作</v>
      </c>
      <c r="T520" s="9"/>
      <c r="U520" s="9" t="str">
        <f>IFERROR(__xludf.DUMMYFUNCTION("""COMPUTED_VALUE"""),"（C）坂崎未侑（秋田書店）")</f>
        <v>（C）坂崎未侑（秋田書店）</v>
      </c>
      <c r="V520" s="8" t="str">
        <f>IFERROR(__xludf.DUMMYFUNCTION("""COMPUTED_VALUE"""),"新シリーズ開始!!仕事に恋、すべてを失った女・亜伊子。ヤケになって家を飛び出した亜伊子が出会ったのは…!?
")</f>
        <v>新シリーズ開始!!仕事に恋、すべてを失った女・亜伊子。ヤケになって家を飛び出した亜伊子が出会ったのは…!?
</v>
      </c>
      <c r="W520" s="8"/>
      <c r="X520" s="8" t="str">
        <f>IFERROR(__xludf.DUMMYFUNCTION("""COMPUTED_VALUE"""),"有")</f>
        <v>有</v>
      </c>
      <c r="Y520" s="8" t="str">
        <f>IFERROR(__xludf.DUMMYFUNCTION("""COMPUTED_VALUE"""),"P12まで")</f>
        <v>P12まで</v>
      </c>
      <c r="Z520" s="7"/>
      <c r="AA520" s="7"/>
      <c r="AB520" s="7"/>
    </row>
    <row r="521" ht="15.75" customHeight="1">
      <c r="A521" s="8">
        <f>IFERROR(__xludf.DUMMYFUNCTION("""COMPUTED_VALUE"""),2153.0)</f>
        <v>2153</v>
      </c>
      <c r="B521" s="9" t="str">
        <f>IFERROR(__xludf.DUMMYFUNCTION("""COMPUTED_VALUE"""),"確定")</f>
        <v>確定</v>
      </c>
      <c r="C521" s="10">
        <f>IFERROR(__xludf.DUMMYFUNCTION("""COMPUTED_VALUE"""),45118.0)</f>
        <v>45118</v>
      </c>
      <c r="D521" s="10">
        <f>IFERROR(__xludf.DUMMYFUNCTION("""COMPUTED_VALUE"""),45118.0)</f>
        <v>45118</v>
      </c>
      <c r="E521" s="8">
        <f>IFERROR(__xludf.DUMMYFUNCTION("""COMPUTED_VALUE"""),254949.0)</f>
        <v>254949</v>
      </c>
      <c r="F521" s="9" t="str">
        <f>IFERROR(__xludf.DUMMYFUNCTION("""COMPUTED_VALUE"""),"ニーナのなつやすみ")</f>
        <v>ニーナのなつやすみ</v>
      </c>
      <c r="G521" s="11" t="str">
        <f>IFERROR(__xludf.DUMMYFUNCTION("""COMPUTED_VALUE"""),"1～3")</f>
        <v>1～3</v>
      </c>
      <c r="H521" s="8" t="str">
        <f>IFERROR(__xludf.DUMMYFUNCTION("""COMPUTED_VALUE"""),"彩月ユリィ")</f>
        <v>彩月ユリィ</v>
      </c>
      <c r="I521" s="14" t="str">
        <f>IFERROR(__xludf.DUMMYFUNCTION("""COMPUTED_VALUE"""),"BL")</f>
        <v>BL</v>
      </c>
      <c r="J521" s="8"/>
      <c r="K521" s="8"/>
      <c r="L521" s="8" t="str">
        <f>IFERROR(__xludf.DUMMYFUNCTION("""COMPUTED_VALUE"""),"ソルマーレ編集部")</f>
        <v>ソルマーレ編集部</v>
      </c>
      <c r="M521" s="12">
        <f>IFERROR(__xludf.DUMMYFUNCTION("""COMPUTED_VALUE"""),45150.0)</f>
        <v>45150</v>
      </c>
      <c r="N521" s="12">
        <f>IFERROR(__xludf.DUMMYFUNCTION("""COMPUTED_VALUE"""),45211.0)</f>
        <v>45211</v>
      </c>
      <c r="O521" s="11"/>
      <c r="P521" s="9" t="str">
        <f>IFERROR(__xludf.DUMMYFUNCTION("""COMPUTED_VALUE"""),"可")</f>
        <v>可</v>
      </c>
      <c r="Q521" s="8" t="str">
        <f>IFERROR(__xludf.DUMMYFUNCTION("""COMPUTED_VALUE"""),"※素材につきまして完成次第格納格納いたします。7/14完成予定です。（7/11）")</f>
        <v>※素材につきまして完成次第格納格納いたします。7/14完成予定です。（7/11）</v>
      </c>
      <c r="R521" s="9"/>
      <c r="S521" s="8" t="str">
        <f>IFERROR(__xludf.DUMMYFUNCTION("""COMPUTED_VALUE"""),"20230710_ソルマーレ編集部_ニーナのなつやすみ")</f>
        <v>20230710_ソルマーレ編集部_ニーナのなつやすみ</v>
      </c>
      <c r="T521" s="15"/>
      <c r="U521" s="9" t="str">
        <f>IFERROR(__xludf.DUMMYFUNCTION("""COMPUTED_VALUE"""),"Ⓒ 彩月ユリィ/シーモアコミックス")</f>
        <v>Ⓒ 彩月ユリィ/シーモアコミックス</v>
      </c>
      <c r="V521" s="8" t="str">
        <f>IFERROR(__xludf.DUMMYFUNCTION("""COMPUTED_VALUE"""),"高校の卒業式に幼なじみに告られた。ずっと一緒だったのに卒業後の進路はバラバラで、告白の返事もできないまま夏がやってきた。お互い実家に帰省した夏休み、告白以来久々に顔を合わせるけど、俺たちの仲は相変わらずで。――相変わらずで？ それでいいのか…!? あいつにとって、その程度の告白だった!?
ドキドキきゅんなニーナのなつやすみが始まる☆【フィカス】
")</f>
        <v>高校の卒業式に幼なじみに告られた。ずっと一緒だったのに卒業後の進路はバラバラで、告白の返事もできないまま夏がやってきた。お互い実家に帰省した夏休み、告白以来久々に顔を合わせるけど、俺たちの仲は相変わらずで。――相変わらずで？ それでいいのか…!? あいつにとって、その程度の告白だった!?
ドキドキきゅんなニーナのなつやすみが始まる☆【フィカス】
</v>
      </c>
      <c r="W521" s="8"/>
      <c r="X521" s="8" t="str">
        <f>IFERROR(__xludf.DUMMYFUNCTION("""COMPUTED_VALUE"""),"有")</f>
        <v>有</v>
      </c>
      <c r="Y521" s="8" t="str">
        <f>IFERROR(__xludf.DUMMYFUNCTION("""COMPUTED_VALUE"""),"8/25まで1巻無料")</f>
        <v>8/25まで1巻無料</v>
      </c>
      <c r="Z521" s="7"/>
      <c r="AA521" s="7"/>
      <c r="AB521" s="7"/>
    </row>
    <row r="522" ht="15.75" customHeight="1">
      <c r="A522" s="8">
        <f>IFERROR(__xludf.DUMMYFUNCTION("""COMPUTED_VALUE"""),2154.0)</f>
        <v>2154</v>
      </c>
      <c r="B522" s="9" t="str">
        <f>IFERROR(__xludf.DUMMYFUNCTION("""COMPUTED_VALUE"""),"確定")</f>
        <v>確定</v>
      </c>
      <c r="C522" s="10">
        <f>IFERROR(__xludf.DUMMYFUNCTION("""COMPUTED_VALUE"""),45118.0)</f>
        <v>45118</v>
      </c>
      <c r="D522" s="10">
        <f>IFERROR(__xludf.DUMMYFUNCTION("""COMPUTED_VALUE"""),45118.0)</f>
        <v>45118</v>
      </c>
      <c r="E522" s="8">
        <f>IFERROR(__xludf.DUMMYFUNCTION("""COMPUTED_VALUE"""),259256.0)</f>
        <v>259256</v>
      </c>
      <c r="F522" s="9" t="str">
        <f>IFERROR(__xludf.DUMMYFUNCTION("""COMPUTED_VALUE"""),"嘘つきは求愛のはじまり")</f>
        <v>嘘つきは求愛のはじまり</v>
      </c>
      <c r="G522" s="11" t="str">
        <f>IFERROR(__xludf.DUMMYFUNCTION("""COMPUTED_VALUE"""),"1～3")</f>
        <v>1～3</v>
      </c>
      <c r="H522" s="8" t="str">
        <f>IFERROR(__xludf.DUMMYFUNCTION("""COMPUTED_VALUE"""),"武田愛子")</f>
        <v>武田愛子</v>
      </c>
      <c r="I522" s="14" t="str">
        <f>IFERROR(__xludf.DUMMYFUNCTION("""COMPUTED_VALUE"""),"少女")</f>
        <v>少女</v>
      </c>
      <c r="J522" s="8"/>
      <c r="K522" s="8"/>
      <c r="L522" s="8" t="str">
        <f>IFERROR(__xludf.DUMMYFUNCTION("""COMPUTED_VALUE"""),"ソルマーレ編集部")</f>
        <v>ソルマーレ編集部</v>
      </c>
      <c r="M522" s="12">
        <f>IFERROR(__xludf.DUMMYFUNCTION("""COMPUTED_VALUE"""),45150.0)</f>
        <v>45150</v>
      </c>
      <c r="N522" s="12">
        <f>IFERROR(__xludf.DUMMYFUNCTION("""COMPUTED_VALUE"""),45211.0)</f>
        <v>45211</v>
      </c>
      <c r="O522" s="11"/>
      <c r="P522" s="9" t="str">
        <f>IFERROR(__xludf.DUMMYFUNCTION("""COMPUTED_VALUE"""),"可")</f>
        <v>可</v>
      </c>
      <c r="Q522" s="8"/>
      <c r="R522" s="9"/>
      <c r="S522" s="8" t="str">
        <f>IFERROR(__xludf.DUMMYFUNCTION("""COMPUTED_VALUE"""),"20230710_ソルマーレ編集部_嘘つきは求愛のはじまり")</f>
        <v>20230710_ソルマーレ編集部_嘘つきは求愛のはじまり</v>
      </c>
      <c r="T522" s="15"/>
      <c r="U522" s="9" t="str">
        <f>IFERROR(__xludf.DUMMYFUNCTION("""COMPUTED_VALUE"""),"Ⓒ 武田愛子/シーモアコミックス")</f>
        <v>Ⓒ 武田愛子/シーモアコミックス</v>
      </c>
      <c r="V522" s="8" t="str">
        <f>IFERROR(__xludf.DUMMYFUNCTION("""COMPUTED_VALUE"""),"「俺と結婚してください」大嫌いな会社の同期から告白されたけど、彼は私が【春野つむぎ】だと気づいていない――…
営業成績ビリのつむぎは、イケメンで営業成績トップの同期・本家篤にその仕事のできなさを煽られ、日々ストレスを感じていた。なんでマジメな私はビリでソシャゲ三昧のあいつが……！しかしある日、つむぎが実家の女装スナックで接客用の変装をしながら手伝っていると、偶然本家が飲みに来て!?嘘と復讐から生まれる勘違いラブロマンス！【恋するソワレ】")</f>
        <v>「俺と結婚してください」大嫌いな会社の同期から告白されたけど、彼は私が【春野つむぎ】だと気づいていない――…
営業成績ビリのつむぎは、イケメンで営業成績トップの同期・本家篤にその仕事のできなさを煽られ、日々ストレスを感じていた。なんでマジメな私はビリでソシャゲ三昧のあいつが……！しかしある日、つむぎが実家の女装スナックで接客用の変装をしながら手伝っていると、偶然本家が飲みに来て!?嘘と復讐から生まれる勘違いラブロマンス！【恋するソワレ】</v>
      </c>
      <c r="W522" s="8"/>
      <c r="X522" s="8" t="str">
        <f>IFERROR(__xludf.DUMMYFUNCTION("""COMPUTED_VALUE"""),"有")</f>
        <v>有</v>
      </c>
      <c r="Y522" s="8" t="str">
        <f>IFERROR(__xludf.DUMMYFUNCTION("""COMPUTED_VALUE"""),"8/25まで1巻無料")</f>
        <v>8/25まで1巻無料</v>
      </c>
      <c r="Z522" s="7"/>
      <c r="AA522" s="7"/>
      <c r="AB522" s="7"/>
    </row>
    <row r="523" ht="15.75" customHeight="1">
      <c r="A523" s="8">
        <f>IFERROR(__xludf.DUMMYFUNCTION("""COMPUTED_VALUE"""),2155.0)</f>
        <v>2155</v>
      </c>
      <c r="B523" s="9" t="str">
        <f>IFERROR(__xludf.DUMMYFUNCTION("""COMPUTED_VALUE"""),"確定")</f>
        <v>確定</v>
      </c>
      <c r="C523" s="10">
        <f>IFERROR(__xludf.DUMMYFUNCTION("""COMPUTED_VALUE"""),45118.0)</f>
        <v>45118</v>
      </c>
      <c r="D523" s="10">
        <f>IFERROR(__xludf.DUMMYFUNCTION("""COMPUTED_VALUE"""),45118.0)</f>
        <v>45118</v>
      </c>
      <c r="E523" s="8">
        <f>IFERROR(__xludf.DUMMYFUNCTION("""COMPUTED_VALUE"""),263626.0)</f>
        <v>263626</v>
      </c>
      <c r="F523" s="9" t="str">
        <f>IFERROR(__xludf.DUMMYFUNCTION("""COMPUTED_VALUE"""),"#34歳シェアハウスのオーナー始めます")</f>
        <v>#34歳シェアハウスのオーナー始めます</v>
      </c>
      <c r="G523" s="11" t="str">
        <f>IFERROR(__xludf.DUMMYFUNCTION("""COMPUTED_VALUE"""),"1～3")</f>
        <v>1～3</v>
      </c>
      <c r="H523" s="8" t="str">
        <f>IFERROR(__xludf.DUMMYFUNCTION("""COMPUTED_VALUE"""),"近由子")</f>
        <v>近由子</v>
      </c>
      <c r="I523" s="14" t="str">
        <f>IFERROR(__xludf.DUMMYFUNCTION("""COMPUTED_VALUE"""),"女性")</f>
        <v>女性</v>
      </c>
      <c r="J523" s="8"/>
      <c r="K523" s="8"/>
      <c r="L523" s="8" t="str">
        <f>IFERROR(__xludf.DUMMYFUNCTION("""COMPUTED_VALUE"""),"ソルマーレ編集部")</f>
        <v>ソルマーレ編集部</v>
      </c>
      <c r="M523" s="12">
        <f>IFERROR(__xludf.DUMMYFUNCTION("""COMPUTED_VALUE"""),45150.0)</f>
        <v>45150</v>
      </c>
      <c r="N523" s="12">
        <f>IFERROR(__xludf.DUMMYFUNCTION("""COMPUTED_VALUE"""),45211.0)</f>
        <v>45211</v>
      </c>
      <c r="O523" s="11"/>
      <c r="P523" s="9" t="str">
        <f>IFERROR(__xludf.DUMMYFUNCTION("""COMPUTED_VALUE"""),"可")</f>
        <v>可</v>
      </c>
      <c r="Q523" s="8"/>
      <c r="R523" s="9"/>
      <c r="S523" s="8" t="str">
        <f>IFERROR(__xludf.DUMMYFUNCTION("""COMPUTED_VALUE"""),"20230710_ソルマーレ編集部_#34歳シェアハウスのオーナー始めます")</f>
        <v>20230710_ソルマーレ編集部_#34歳シェアハウスのオーナー始めます</v>
      </c>
      <c r="T523" s="15"/>
      <c r="U523" s="9" t="str">
        <f>IFERROR(__xludf.DUMMYFUNCTION("""COMPUTED_VALUE"""),"Ⓒ 近由子/シーモアコミックス")</f>
        <v>Ⓒ 近由子/シーモアコミックス</v>
      </c>
      <c r="V523" s="8" t="str">
        <f>IFERROR(__xludf.DUMMYFUNCTION("""COMPUTED_VALUE"""),"働きたくない！不労所得が欲し～～！！
田口 笑子（34）、パート勤務の独身。看病していた母親が他界し、実家の古くて大きい家でひとりぼっち。これからの身の振り方を考えていた。生活していくにはお金が必要…でも正直、働きたくない。病気の母親を優先し我慢ばかりの生活だったのに！
私の人生には就職、結婚しかないの…？
そんな時に、「この家でシェアハウスやらない？」と知り合いの不動産屋から意外な提案が。母親の保険金で素敵なシェアハウスに改築して、不労所得を得て生活したい！素敵なアラフォーになるための第一歩が始ま"&amp;"った。【恋するソワレ＋】")</f>
        <v>働きたくない！不労所得が欲し～～！！
田口 笑子（34）、パート勤務の独身。看病していた母親が他界し、実家の古くて大きい家でひとりぼっち。これからの身の振り方を考えていた。生活していくにはお金が必要…でも正直、働きたくない。病気の母親を優先し我慢ばかりの生活だったのに！
私の人生には就職、結婚しかないの…？
そんな時に、「この家でシェアハウスやらない？」と知り合いの不動産屋から意外な提案が。母親の保険金で素敵なシェアハウスに改築して、不労所得を得て生活したい！素敵なアラフォーになるための第一歩が始まった。【恋するソワレ＋】</v>
      </c>
      <c r="W523" s="8"/>
      <c r="X523" s="8" t="str">
        <f>IFERROR(__xludf.DUMMYFUNCTION("""COMPUTED_VALUE"""),"有")</f>
        <v>有</v>
      </c>
      <c r="Y523" s="8" t="str">
        <f>IFERROR(__xludf.DUMMYFUNCTION("""COMPUTED_VALUE"""),"8/25まで1巻無料")</f>
        <v>8/25まで1巻無料</v>
      </c>
      <c r="Z523" s="7"/>
      <c r="AA523" s="7"/>
      <c r="AB523" s="7"/>
    </row>
    <row r="524" ht="15.75" customHeight="1">
      <c r="A524" s="8">
        <f>IFERROR(__xludf.DUMMYFUNCTION("""COMPUTED_VALUE"""),2156.0)</f>
        <v>2156</v>
      </c>
      <c r="B524" s="9" t="str">
        <f>IFERROR(__xludf.DUMMYFUNCTION("""COMPUTED_VALUE"""),"確定")</f>
        <v>確定</v>
      </c>
      <c r="C524" s="10">
        <f>IFERROR(__xludf.DUMMYFUNCTION("""COMPUTED_VALUE"""),45118.0)</f>
        <v>45118</v>
      </c>
      <c r="D524" s="10">
        <f>IFERROR(__xludf.DUMMYFUNCTION("""COMPUTED_VALUE"""),45118.0)</f>
        <v>45118</v>
      </c>
      <c r="E524" s="8">
        <f>IFERROR(__xludf.DUMMYFUNCTION("""COMPUTED_VALUE"""),263634.0)</f>
        <v>263634</v>
      </c>
      <c r="F524" s="9" t="str">
        <f>IFERROR(__xludf.DUMMYFUNCTION("""COMPUTED_VALUE"""),"ヤれなかった女たち(フルカラー) ")</f>
        <v>ヤれなかった女たち(フルカラー) </v>
      </c>
      <c r="G524" s="11" t="str">
        <f>IFERROR(__xludf.DUMMYFUNCTION("""COMPUTED_VALUE"""),"1～3")</f>
        <v>1～3</v>
      </c>
      <c r="H524" s="8" t="str">
        <f>IFERROR(__xludf.DUMMYFUNCTION("""COMPUTED_VALUE"""),"Bluepic,baragiragi,churi19")</f>
        <v>Bluepic,baragiragi,churi19</v>
      </c>
      <c r="I524" s="14" t="str">
        <f>IFERROR(__xludf.DUMMYFUNCTION("""COMPUTED_VALUE"""),"青年")</f>
        <v>青年</v>
      </c>
      <c r="J524" s="8"/>
      <c r="K524" s="8"/>
      <c r="L524" s="8" t="str">
        <f>IFERROR(__xludf.DUMMYFUNCTION("""COMPUTED_VALUE"""),"ソルマーレ編集部")</f>
        <v>ソルマーレ編集部</v>
      </c>
      <c r="M524" s="12">
        <f>IFERROR(__xludf.DUMMYFUNCTION("""COMPUTED_VALUE"""),45150.0)</f>
        <v>45150</v>
      </c>
      <c r="N524" s="12">
        <f>IFERROR(__xludf.DUMMYFUNCTION("""COMPUTED_VALUE"""),45211.0)</f>
        <v>45211</v>
      </c>
      <c r="O524" s="11"/>
      <c r="P524" s="9" t="str">
        <f>IFERROR(__xludf.DUMMYFUNCTION("""COMPUTED_VALUE"""),"可")</f>
        <v>可</v>
      </c>
      <c r="Q524" s="8" t="str">
        <f>IFERROR(__xludf.DUMMYFUNCTION("""COMPUTED_VALUE"""),"※1～3巻のtifデータにつきまして完成次第格納いたします。7/14完成予定です。（7/11）&lt;BR&gt;※正式タイトル下記の通りです（7/11）&lt;BR&gt;＝＝＝&lt;BR&gt;ヤれなかった女たち(フルカラー)&lt;BR&gt;＝＝＝&lt;BR&gt;&lt;BR&gt;")</f>
        <v>※1～3巻のtifデータにつきまして完成次第格納いたします。7/14完成予定です。（7/11）&lt;BR&gt;※正式タイトル下記の通りです（7/11）&lt;BR&gt;＝＝＝&lt;BR&gt;ヤれなかった女たち(フルカラー)&lt;BR&gt;＝＝＝&lt;BR&gt;&lt;BR&gt;</v>
      </c>
      <c r="R524" s="9"/>
      <c r="S524" s="8" t="str">
        <f>IFERROR(__xludf.DUMMYFUNCTION("""COMPUTED_VALUE"""),"20230710_ソルマーレ編集部_ヤれなかった女たち（フルカラー）")</f>
        <v>20230710_ソルマーレ編集部_ヤれなかった女たち（フルカラー）</v>
      </c>
      <c r="T524" s="15"/>
      <c r="U524" s="9" t="str">
        <f>IFERROR(__xludf.DUMMYFUNCTION("""COMPUTED_VALUE"""),"Ⓒ Bluepic/baragiragi/churi19/シーモアコミックス")</f>
        <v>Ⓒ Bluepic/baragiragi/churi19/シーモアコミックス</v>
      </c>
      <c r="V524" s="8" t="str">
        <f>IFERROR(__xludf.DUMMYFUNCTION("""COMPUTED_VALUE"""),"「見てろよ！ ヤリまくってやる！」女性に利用されてばかりの人生を送り、一度も女性経験がないまま死んだ樋口創也は死んだと思った矢先に童貞の神が現れ、人生をやり直す機会を与えられた――しかし、前世で知り合った女友達とヤりまくって10年で100万ポイント貯めないと死ぬというミッションを課せられてしまった…果たして創也は童貞を卒業してヤりまくれるのか!?【桃色エンジェル】
")</f>
        <v>「見てろよ！ ヤリまくってやる！」女性に利用されてばかりの人生を送り、一度も女性経験がないまま死んだ樋口創也は死んだと思った矢先に童貞の神が現れ、人生をやり直す機会を与えられた――しかし、前世で知り合った女友達とヤりまくって10年で100万ポイント貯めないと死ぬというミッションを課せられてしまった…果たして創也は童貞を卒業してヤりまくれるのか!?【桃色エンジェル】
</v>
      </c>
      <c r="W524" s="8"/>
      <c r="X524" s="8" t="str">
        <f>IFERROR(__xludf.DUMMYFUNCTION("""COMPUTED_VALUE"""),"有")</f>
        <v>有</v>
      </c>
      <c r="Y524" s="8" t="str">
        <f>IFERROR(__xludf.DUMMYFUNCTION("""COMPUTED_VALUE"""),"8/25まで1巻無料")</f>
        <v>8/25まで1巻無料</v>
      </c>
      <c r="Z524" s="7"/>
      <c r="AA524" s="7"/>
      <c r="AB524" s="7"/>
    </row>
    <row r="525" ht="15.75" customHeight="1">
      <c r="A525" s="8">
        <f>IFERROR(__xludf.DUMMYFUNCTION("""COMPUTED_VALUE"""),2157.0)</f>
        <v>2157</v>
      </c>
      <c r="B525" s="9" t="str">
        <f>IFERROR(__xludf.DUMMYFUNCTION("""COMPUTED_VALUE"""),"確定")</f>
        <v>確定</v>
      </c>
      <c r="C525" s="10">
        <f>IFERROR(__xludf.DUMMYFUNCTION("""COMPUTED_VALUE"""),45118.0)</f>
        <v>45118</v>
      </c>
      <c r="D525" s="10">
        <f>IFERROR(__xludf.DUMMYFUNCTION("""COMPUTED_VALUE"""),45118.0)</f>
        <v>45118</v>
      </c>
      <c r="E525" s="8">
        <f>IFERROR(__xludf.DUMMYFUNCTION("""COMPUTED_VALUE"""),263635.0)</f>
        <v>263635</v>
      </c>
      <c r="F525" s="9" t="str">
        <f>IFERROR(__xludf.DUMMYFUNCTION("""COMPUTED_VALUE"""),"ヤれなかった女たち【タテヨミ】")</f>
        <v>ヤれなかった女たち【タテヨミ】</v>
      </c>
      <c r="G525" s="11" t="str">
        <f>IFERROR(__xludf.DUMMYFUNCTION("""COMPUTED_VALUE"""),"1～9")</f>
        <v>1～9</v>
      </c>
      <c r="H525" s="8" t="str">
        <f>IFERROR(__xludf.DUMMYFUNCTION("""COMPUTED_VALUE"""),"Bluepic,baragiragi,churi19")</f>
        <v>Bluepic,baragiragi,churi19</v>
      </c>
      <c r="I525" s="14" t="str">
        <f>IFERROR(__xludf.DUMMYFUNCTION("""COMPUTED_VALUE"""),"青年")</f>
        <v>青年</v>
      </c>
      <c r="J525" s="8"/>
      <c r="K525" s="8"/>
      <c r="L525" s="8" t="str">
        <f>IFERROR(__xludf.DUMMYFUNCTION("""COMPUTED_VALUE"""),"ソルマーレ編集部")</f>
        <v>ソルマーレ編集部</v>
      </c>
      <c r="M525" s="12">
        <f>IFERROR(__xludf.DUMMYFUNCTION("""COMPUTED_VALUE"""),45150.0)</f>
        <v>45150</v>
      </c>
      <c r="N525" s="12">
        <f>IFERROR(__xludf.DUMMYFUNCTION("""COMPUTED_VALUE"""),45211.0)</f>
        <v>45211</v>
      </c>
      <c r="O525" s="11"/>
      <c r="P525" s="9" t="str">
        <f>IFERROR(__xludf.DUMMYFUNCTION("""COMPUTED_VALUE"""),"可")</f>
        <v>可</v>
      </c>
      <c r="Q525" s="8" t="str">
        <f>IFERROR(__xludf.DUMMYFUNCTION("""COMPUTED_VALUE"""),"※コマサム等素材は「（263634）　ヤれなかった女たち（フルカラー）」のほうをお使いください。&lt;BR&gt;バナー制作はフルカラー版の素材を利用して問題ございません。（7/11）&lt;BR&gt;※正式タイトル下記の通りです（7/11）&lt;BR&gt;＝＝＝&lt;BR&gt;ヤれなかった女たち【タテヨミ】&lt;BR&gt;＝＝＝&lt;BR&gt;&lt;BR&gt;&lt;BR&gt;")</f>
        <v>※コマサム等素材は「（263634）　ヤれなかった女たち（フルカラー）」のほうをお使いください。&lt;BR&gt;バナー制作はフルカラー版の素材を利用して問題ございません。（7/11）&lt;BR&gt;※正式タイトル下記の通りです（7/11）&lt;BR&gt;＝＝＝&lt;BR&gt;ヤれなかった女たち【タテヨミ】&lt;BR&gt;＝＝＝&lt;BR&gt;&lt;BR&gt;&lt;BR&gt;</v>
      </c>
      <c r="R525" s="9"/>
      <c r="S525" s="8" t="str">
        <f>IFERROR(__xludf.DUMMYFUNCTION("""COMPUTED_VALUE"""),"20230710_ソルマーレ編集部_ヤれなかった女たち【タテヨミ】")</f>
        <v>20230710_ソルマーレ編集部_ヤれなかった女たち【タテヨミ】</v>
      </c>
      <c r="T525" s="15"/>
      <c r="U525" s="9" t="str">
        <f>IFERROR(__xludf.DUMMYFUNCTION("""COMPUTED_VALUE"""),"Ⓒ Bluepic/baragiragi/churi19/シーモアコミックス")</f>
        <v>Ⓒ Bluepic/baragiragi/churi19/シーモアコミックス</v>
      </c>
      <c r="V525" s="8" t="str">
        <f>IFERROR(__xludf.DUMMYFUNCTION("""COMPUTED_VALUE"""),"「見てろよ！ ヤリまくってやる！」女性に利用されてばかりの人生を送り、一度も女性経験がないまま死んだ樋口創也は死んだと思った矢先に童貞の神が現れ、人生をやり直す機会を与えられた――しかし、前世で知り合った女友達とヤりまくって10年で100万ポイント貯めないと死ぬというミッションを課せられてしまった…果たして創也は童貞を卒業してヤりまくれるのか!?【桃色エンジェル】
")</f>
        <v>「見てろよ！ ヤリまくってやる！」女性に利用されてばかりの人生を送り、一度も女性経験がないまま死んだ樋口創也は死んだと思った矢先に童貞の神が現れ、人生をやり直す機会を与えられた――しかし、前世で知り合った女友達とヤりまくって10年で100万ポイント貯めないと死ぬというミッションを課せられてしまった…果たして創也は童貞を卒業してヤりまくれるのか!?【桃色エンジェル】
</v>
      </c>
      <c r="W525" s="8"/>
      <c r="X525" s="8" t="str">
        <f>IFERROR(__xludf.DUMMYFUNCTION("""COMPUTED_VALUE"""),"有")</f>
        <v>有</v>
      </c>
      <c r="Y525" s="8" t="str">
        <f>IFERROR(__xludf.DUMMYFUNCTION("""COMPUTED_VALUE"""),"8/25まで1~3巻無料")</f>
        <v>8/25まで1~3巻無料</v>
      </c>
      <c r="Z525" s="7"/>
      <c r="AA525" s="7"/>
      <c r="AB525" s="7"/>
    </row>
    <row r="526" ht="140.25" customHeight="1">
      <c r="A526" s="8">
        <f>IFERROR(__xludf.DUMMYFUNCTION("""COMPUTED_VALUE"""),2158.0)</f>
        <v>2158</v>
      </c>
      <c r="B526" s="9" t="str">
        <f>IFERROR(__xludf.DUMMYFUNCTION("""COMPUTED_VALUE"""),"確定")</f>
        <v>確定</v>
      </c>
      <c r="C526" s="10">
        <f>IFERROR(__xludf.DUMMYFUNCTION("""COMPUTED_VALUE"""),45118.0)</f>
        <v>45118</v>
      </c>
      <c r="D526" s="10">
        <f>IFERROR(__xludf.DUMMYFUNCTION("""COMPUTED_VALUE"""),45118.0)</f>
        <v>45118</v>
      </c>
      <c r="E526" s="8">
        <f>IFERROR(__xludf.DUMMYFUNCTION("""COMPUTED_VALUE"""),274751.0)</f>
        <v>274751</v>
      </c>
      <c r="F526" s="9" t="str">
        <f>IFERROR(__xludf.DUMMYFUNCTION("""COMPUTED_VALUE"""),"二度目の人生、ハーレムモード")</f>
        <v>二度目の人生、ハーレムモード</v>
      </c>
      <c r="G526" s="11" t="str">
        <f>IFERROR(__xludf.DUMMYFUNCTION("""COMPUTED_VALUE"""),"1～4")</f>
        <v>1～4</v>
      </c>
      <c r="H526" s="8" t="str">
        <f>IFERROR(__xludf.DUMMYFUNCTION("""COMPUTED_VALUE"""),"CHALNA")</f>
        <v>CHALNA</v>
      </c>
      <c r="I526" s="8" t="str">
        <f>IFERROR(__xludf.DUMMYFUNCTION("""COMPUTED_VALUE"""),"青年")</f>
        <v>青年</v>
      </c>
      <c r="J526" s="8"/>
      <c r="K526" s="8"/>
      <c r="L526" s="8" t="str">
        <f>IFERROR(__xludf.DUMMYFUNCTION("""COMPUTED_VALUE"""),"Rush!")</f>
        <v>Rush!</v>
      </c>
      <c r="M526" s="12">
        <f>IFERROR(__xludf.DUMMYFUNCTION("""COMPUTED_VALUE"""),45163.0)</f>
        <v>45163</v>
      </c>
      <c r="N526" s="12">
        <f>IFERROR(__xludf.DUMMYFUNCTION("""COMPUTED_VALUE"""),45253.0)</f>
        <v>45253</v>
      </c>
      <c r="O526" s="11"/>
      <c r="P526" s="9" t="str">
        <f>IFERROR(__xludf.DUMMYFUNCTION("""COMPUTED_VALUE"""),"可")</f>
        <v>可</v>
      </c>
      <c r="Q526" s="8" t="str">
        <f>IFERROR(__xludf.DUMMYFUNCTION("""COMPUTED_VALUE"""),"協業レーベル『シーモア×Rush!』作品です。")</f>
        <v>協業レーベル『シーモア×Rush!』作品です。</v>
      </c>
      <c r="R526" s="9"/>
      <c r="S526" s="8" t="str">
        <f>IFERROR(__xludf.DUMMYFUNCTION("""COMPUTED_VALUE"""),"20230711_ファンギルド_二度目の人生、ハーレムモード")</f>
        <v>20230711_ファンギルド_二度目の人生、ハーレムモード</v>
      </c>
      <c r="T526" s="9"/>
      <c r="U526" s="9" t="str">
        <f>IFERROR(__xludf.DUMMYFUNCTION("""COMPUTED_VALUE"""),"©CHALNA/KINGSIZE/TOPTOON")</f>
        <v>©CHALNA/KINGSIZE/TOPTOON</v>
      </c>
      <c r="V526" s="8" t="str">
        <f>IFERROR(__xludf.DUMMYFUNCTION("""COMPUTED_VALUE"""),"大手エンターテインメント企業代表である榎波至（えなみいたる）は、いわゆる財閥三世。問題ばかり起こすことで有名な至だったが、ある日を境に大ヒット作を次々生み出しそれまでの不評を覆した。それもそのはず、その正体は10年先の未来から至に憑依した全くの別人だったのだ。未来の知識を元に八面六臂の大活躍を見せる至を、周りの女性たちが放っておくわけもなく…！？「今晩、私を抱いていただけますか？」会社も女もどっちも救って手に入れる！ただのエキストラだった男が歩む”主人公”としての二度目の人生――！")</f>
        <v>大手エンターテインメント企業代表である榎波至（えなみいたる）は、いわゆる財閥三世。問題ばかり起こすことで有名な至だったが、ある日を境に大ヒット作を次々生み出しそれまでの不評を覆した。それもそのはず、その正体は10年先の未来から至に憑依した全くの別人だったのだ。未来の知識を元に八面六臂の大活躍を見せる至を、周りの女性たちが放っておくわけもなく…！？「今晩、私を抱いていただけますか？」会社も女もどっちも救って手に入れる！ただのエキストラだった男が歩む”主人公”としての二度目の人生――！</v>
      </c>
      <c r="W526" s="8"/>
      <c r="X526" s="8" t="str">
        <f>IFERROR(__xludf.DUMMYFUNCTION("""COMPUTED_VALUE"""),"有")</f>
        <v>有</v>
      </c>
      <c r="Y526" s="8" t="str">
        <f>IFERROR(__xludf.DUMMYFUNCTION("""COMPUTED_VALUE"""),"9/7まで1巻無料")</f>
        <v>9/7まで1巻無料</v>
      </c>
      <c r="Z526" s="7"/>
      <c r="AA526" s="7"/>
      <c r="AB526" s="7"/>
    </row>
    <row r="527" ht="15.75" customHeight="1">
      <c r="A527" s="8">
        <f>IFERROR(__xludf.DUMMYFUNCTION("""COMPUTED_VALUE"""),2160.0)</f>
        <v>2160</v>
      </c>
      <c r="B527" s="9" t="str">
        <f>IFERROR(__xludf.DUMMYFUNCTION("""COMPUTED_VALUE"""),"確定")</f>
        <v>確定</v>
      </c>
      <c r="C527" s="10">
        <f>IFERROR(__xludf.DUMMYFUNCTION("""COMPUTED_VALUE"""),45118.0)</f>
        <v>45118</v>
      </c>
      <c r="D527" s="10">
        <f>IFERROR(__xludf.DUMMYFUNCTION("""COMPUTED_VALUE"""),45118.0)</f>
        <v>45118</v>
      </c>
      <c r="E527" s="8">
        <f>IFERROR(__xludf.DUMMYFUNCTION("""COMPUTED_VALUE"""),181970.0)</f>
        <v>181970</v>
      </c>
      <c r="F527" s="9" t="str">
        <f>IFERROR(__xludf.DUMMYFUNCTION("""COMPUTED_VALUE"""),"僕等に名前をつけるなら")</f>
        <v>僕等に名前をつけるなら</v>
      </c>
      <c r="G527" s="11">
        <f>IFERROR(__xludf.DUMMYFUNCTION("""COMPUTED_VALUE"""),3.0)</f>
        <v>3</v>
      </c>
      <c r="H527" s="8" t="str">
        <f>IFERROR(__xludf.DUMMYFUNCTION("""COMPUTED_VALUE"""),"あがた愛")</f>
        <v>あがた愛</v>
      </c>
      <c r="I527" s="8" t="str">
        <f>IFERROR(__xludf.DUMMYFUNCTION("""COMPUTED_VALUE"""),"BL")</f>
        <v>BL</v>
      </c>
      <c r="J527" s="8"/>
      <c r="K527" s="8"/>
      <c r="L527" s="8" t="str">
        <f>IFERROR(__xludf.DUMMYFUNCTION("""COMPUTED_VALUE"""),"大洋図書")</f>
        <v>大洋図書</v>
      </c>
      <c r="M527" s="12">
        <f>IFERROR(__xludf.DUMMYFUNCTION("""COMPUTED_VALUE"""),45148.0)</f>
        <v>45148</v>
      </c>
      <c r="N527" s="12">
        <f>IFERROR(__xludf.DUMMYFUNCTION("""COMPUTED_VALUE"""),2958465.0)</f>
        <v>2958465</v>
      </c>
      <c r="O527" s="11"/>
      <c r="P527" s="9" t="str">
        <f>IFERROR(__xludf.DUMMYFUNCTION("""COMPUTED_VALUE"""),"可")</f>
        <v>可</v>
      </c>
      <c r="Q527" s="8" t="str">
        <f>IFERROR(__xludf.DUMMYFUNCTION("""COMPUTED_VALUE"""),"「シーモア限定BOOK」のコンテンツです。")</f>
        <v>「シーモア限定BOOK」のコンテンツです。</v>
      </c>
      <c r="R527" s="9"/>
      <c r="S527" s="8" t="str">
        <f>IFERROR(__xludf.DUMMYFUNCTION("""COMPUTED_VALUE"""),"20230711_大洋図書_僕等に名前をつけるなら")</f>
        <v>20230711_大洋図書_僕等に名前をつけるなら</v>
      </c>
      <c r="T527" s="9"/>
      <c r="U527" s="9" t="str">
        <f>IFERROR(__xludf.DUMMYFUNCTION("""COMPUTED_VALUE"""),"(C)あがた愛/大洋図書")</f>
        <v>(C)あがた愛/大洋図書</v>
      </c>
      <c r="V527" s="8" t="str">
        <f>IFERROR(__xludf.DUMMYFUNCTION("""COMPUTED_VALUE"""),"…弟だなんて、知りたくなかったな
高校3年の春、遠坂和泉は弟・矢野馨と再会した。
両親の離婚で離ればなれになって７年、
寮の相部屋で再び一緒に生活することに。
低くなった声、赤く染まった髪、大人びた表情、知らない名字……
何もかも変わってしまった彼に
最初は弟だと気づかず惹かれていく和泉。
兄弟同士のはずなのに、胸に芽生えたこの感情は…？")</f>
        <v>…弟だなんて、知りたくなかったな
高校3年の春、遠坂和泉は弟・矢野馨と再会した。
両親の離婚で離ればなれになって７年、
寮の相部屋で再び一緒に生活することに。
低くなった声、赤く染まった髪、大人びた表情、知らない名字……
何もかも変わってしまった彼に
最初は弟だと気づかず惹かれていく和泉。
兄弟同士のはずなのに、胸に芽生えたこの感情は…？</v>
      </c>
      <c r="W527" s="8"/>
      <c r="X527" s="8" t="str">
        <f>IFERROR(__xludf.DUMMYFUNCTION("""COMPUTED_VALUE"""),"有")</f>
        <v>有</v>
      </c>
      <c r="Y527" s="8" t="str">
        <f>IFERROR(__xludf.DUMMYFUNCTION("""COMPUTED_VALUE"""),"9/10までP356まで増量中")</f>
        <v>9/10までP356まで増量中</v>
      </c>
      <c r="Z527" s="7"/>
      <c r="AA527" s="7"/>
      <c r="AB527" s="7"/>
    </row>
    <row r="528" ht="15.75" customHeight="1">
      <c r="A528" s="8">
        <f>IFERROR(__xludf.DUMMYFUNCTION("""COMPUTED_VALUE"""),1909.0)</f>
        <v>1909</v>
      </c>
      <c r="B528" s="9" t="str">
        <f>IFERROR(__xludf.DUMMYFUNCTION("""COMPUTED_VALUE"""),"確定")</f>
        <v>確定</v>
      </c>
      <c r="C528" s="10">
        <f>IFERROR(__xludf.DUMMYFUNCTION("""COMPUTED_VALUE"""),45040.0)</f>
        <v>45040</v>
      </c>
      <c r="D528" s="10">
        <f>IFERROR(__xludf.DUMMYFUNCTION("""COMPUTED_VALUE"""),45120.0)</f>
        <v>45120</v>
      </c>
      <c r="E528" s="8">
        <f>IFERROR(__xludf.DUMMYFUNCTION("""COMPUTED_VALUE"""),273417.0)</f>
        <v>273417</v>
      </c>
      <c r="F528" s="9" t="str">
        <f>IFERROR(__xludf.DUMMYFUNCTION("""COMPUTED_VALUE"""),"泣き虫鬼さん拾いました【マイクロ】")</f>
        <v>泣き虫鬼さん拾いました【マイクロ】</v>
      </c>
      <c r="G528" s="16" t="str">
        <f>IFERROR(__xludf.DUMMYFUNCTION("""COMPUTED_VALUE"""),"1～5")</f>
        <v>1～5</v>
      </c>
      <c r="H528" s="8" t="str">
        <f>IFERROR(__xludf.DUMMYFUNCTION("""COMPUTED_VALUE"""),"中嶋ゆか")</f>
        <v>中嶋ゆか</v>
      </c>
      <c r="I528" s="8" t="str">
        <f>IFERROR(__xludf.DUMMYFUNCTION("""COMPUTED_VALUE"""),"少女")</f>
        <v>少女</v>
      </c>
      <c r="J528" s="8"/>
      <c r="K528" s="8"/>
      <c r="L528" s="8" t="str">
        <f>IFERROR(__xludf.DUMMYFUNCTION("""COMPUTED_VALUE"""),"小学館")</f>
        <v>小学館</v>
      </c>
      <c r="M528" s="12">
        <f>IFERROR(__xludf.DUMMYFUNCTION("""COMPUTED_VALUE"""),45148.0)</f>
        <v>45148</v>
      </c>
      <c r="N528" s="12">
        <f>IFERROR(__xludf.DUMMYFUNCTION("""COMPUTED_VALUE"""),45208.0)</f>
        <v>45208</v>
      </c>
      <c r="O528" s="11"/>
      <c r="P528" s="9" t="str">
        <f>IFERROR(__xludf.DUMMYFUNCTION("""COMPUTED_VALUE"""),"否")</f>
        <v>否</v>
      </c>
      <c r="Q528" s="8" t="str">
        <f>IFERROR(__xludf.DUMMYFUNCTION("""COMPUTED_VALUE"""),"最低３話以上でコミットOK（4/27）&lt;BR&gt;。初回配信から2週間は1話目のストリーミング無料をいただきます。&lt;BR&gt;&lt;BR&gt;・小学館ですが「これは！」という期待大のタイトルがあれば、最初から先行期間の相談可能です。記載の期間より長めにほしい場合はご教示ください。&lt;BR&gt;・初回配信話数未定のため「初回配信5話以上であれば出稿可」など条件があればご教示ください&lt;BR&gt;・ちゃおレーベルですが、より大人めな作りを意識しているとのことです")</f>
        <v>最低３話以上でコミットOK（4/27）&lt;BR&gt;。初回配信から2週間は1話目のストリーミング無料をいただきます。&lt;BR&gt;&lt;BR&gt;・小学館ですが「これは！」という期待大のタイトルがあれば、最初から先行期間の相談可能です。記載の期間より長めにほしい場合はご教示ください。&lt;BR&gt;・初回配信話数未定のため「初回配信5話以上であれば出稿可」など条件があればご教示ください&lt;BR&gt;・ちゃおレーベルですが、より大人めな作りを意識しているとのことです</v>
      </c>
      <c r="R528" s="9"/>
      <c r="S528" s="8" t="str">
        <f>IFERROR(__xludf.DUMMYFUNCTION("""COMPUTED_VALUE"""),"20230713_小学館_泣き虫鬼さん拾いました【マイクロ】")</f>
        <v>20230713_小学館_泣き虫鬼さん拾いました【マイクロ】</v>
      </c>
      <c r="T528" s="9" t="str">
        <f>IFERROR(__xludf.DUMMYFUNCTION("""COMPUTED_VALUE"""),"格納済み")</f>
        <v>格納済み</v>
      </c>
      <c r="U528" s="9" t="str">
        <f>IFERROR(__xludf.DUMMYFUNCTION("""COMPUTED_VALUE"""),"(C)中嶋ゆか / 小学館")</f>
        <v>(C)中嶋ゆか / 小学館</v>
      </c>
      <c r="V528" s="8" t="str">
        <f>IFERROR(__xludf.DUMMYFUNCTION("""COMPUTED_VALUE"""),"孤独な令嬢・紅は、ある日、泣き虫の鬼を拾い銀河と名づけた。気弱で甘えん坊の銀河に癒やされる紅。しかし彼には大きな秘密があって！？ロマンティック・ファンタジー！")</f>
        <v>孤独な令嬢・紅は、ある日、泣き虫の鬼を拾い銀河と名づけた。気弱で甘えん坊の銀河に癒やされる紅。しかし彼には大きな秘密があって！？ロマンティック・ファンタジー！</v>
      </c>
      <c r="W528" s="8"/>
      <c r="X528" s="8" t="str">
        <f>IFERROR(__xludf.DUMMYFUNCTION("""COMPUTED_VALUE"""),"有")</f>
        <v>有</v>
      </c>
      <c r="Y528" s="8" t="str">
        <f>IFERROR(__xludf.DUMMYFUNCTION("""COMPUTED_VALUE"""),"P11まで")</f>
        <v>P11まで</v>
      </c>
      <c r="Z528" s="7"/>
      <c r="AA528" s="7"/>
      <c r="AB528" s="7"/>
    </row>
    <row r="529" ht="15.75" customHeight="1">
      <c r="A529" s="8">
        <f>IFERROR(__xludf.DUMMYFUNCTION("""COMPUTED_VALUE"""),1967.0)</f>
        <v>1967</v>
      </c>
      <c r="B529" s="9" t="str">
        <f>IFERROR(__xludf.DUMMYFUNCTION("""COMPUTED_VALUE"""),"確定")</f>
        <v>確定</v>
      </c>
      <c r="C529" s="10">
        <f>IFERROR(__xludf.DUMMYFUNCTION("""COMPUTED_VALUE"""),45065.0)</f>
        <v>45065</v>
      </c>
      <c r="D529" s="10">
        <f>IFERROR(__xludf.DUMMYFUNCTION("""COMPUTED_VALUE"""),45125.0)</f>
        <v>45125</v>
      </c>
      <c r="E529" s="8">
        <f>IFERROR(__xludf.DUMMYFUNCTION("""COMPUTED_VALUE"""),274319.0)</f>
        <v>274319</v>
      </c>
      <c r="F529" s="9" t="str">
        <f>IFERROR(__xludf.DUMMYFUNCTION("""COMPUTED_VALUE"""),"祟り神の花嫁")</f>
        <v>祟り神の花嫁</v>
      </c>
      <c r="G529" s="11" t="str">
        <f>IFERROR(__xludf.DUMMYFUNCTION("""COMPUTED_VALUE"""),"1～3")</f>
        <v>1～3</v>
      </c>
      <c r="H529" s="8" t="str">
        <f>IFERROR(__xludf.DUMMYFUNCTION("""COMPUTED_VALUE"""),"奈月 フォクシーズ武将")</f>
        <v>奈月 フォクシーズ武将</v>
      </c>
      <c r="I529" s="8" t="str">
        <f>IFERROR(__xludf.DUMMYFUNCTION("""COMPUTED_VALUE"""),"TL")</f>
        <v>TL</v>
      </c>
      <c r="J529" s="8"/>
      <c r="K529" s="8"/>
      <c r="L529" s="8" t="str">
        <f>IFERROR(__xludf.DUMMYFUNCTION("""COMPUTED_VALUE"""),"リブレ")</f>
        <v>リブレ</v>
      </c>
      <c r="M529" s="12">
        <f>IFERROR(__xludf.DUMMYFUNCTION("""COMPUTED_VALUE"""),45155.0)</f>
        <v>45155</v>
      </c>
      <c r="N529" s="12">
        <f>IFERROR(__xludf.DUMMYFUNCTION("""COMPUTED_VALUE"""),45217.0)</f>
        <v>45217</v>
      </c>
      <c r="O529" s="11"/>
      <c r="P529" s="9" t="str">
        <f>IFERROR(__xludf.DUMMYFUNCTION("""COMPUTED_VALUE"""),"可")</f>
        <v>可</v>
      </c>
      <c r="Q529" s="8" t="str">
        <f>IFERROR(__xludf.DUMMYFUNCTION("""COMPUTED_VALUE"""),"広告コミットOk(5/23)")</f>
        <v>広告コミットOk(5/23)</v>
      </c>
      <c r="R529" s="9"/>
      <c r="S529" s="8" t="str">
        <f>IFERROR(__xludf.DUMMYFUNCTION("""COMPUTED_VALUE"""),"20230718_リブレ_祟り神の花嫁")</f>
        <v>20230718_リブレ_祟り神の花嫁</v>
      </c>
      <c r="T529" s="9" t="str">
        <f>IFERROR(__xludf.DUMMYFUNCTION("""COMPUTED_VALUE"""),"1~2巻格納済み、3巻はアップされ次第更新（7/18）")</f>
        <v>1~2巻格納済み、3巻はアップされ次第更新（7/18）</v>
      </c>
      <c r="U529" s="9" t="str">
        <f>IFERROR(__xludf.DUMMYFUNCTION("""COMPUTED_VALUE"""),"(C)奈月・フォクシーズ武将/libre")</f>
        <v>(C)奈月・フォクシーズ武将/libre</v>
      </c>
      <c r="V529" s="8" t="str">
        <f>IFERROR(__xludf.DUMMYFUNCTION("""COMPUTED_VALUE"""),"「いとしい花嫁、どうか異形の私を愛しておくれ」
箱庭のような世界で、人外境の悦楽に酔い痴れる――。
村で“忌み子”とされ冷遇されて育ったしのぶは“祟り神憑き”と恐れられる祭主家当主辰日古の花嫁に選ばれる。婚礼の夜、床入りしたしのぶを待ち受けていたのは暗闇の中で蠢く無数の気配、未知の恐怖に強張るカラダ、肌をねっとりと撫で上げる其れに舐られ、極限まで研ぎ澄まされる感覚…。まだ知らぬ絶頂へと導かれていくが……。
村でもっとも不幸な二人が手を取り合い、運命に抗う物語。")</f>
        <v>「いとしい花嫁、どうか異形の私を愛しておくれ」
箱庭のような世界で、人外境の悦楽に酔い痴れる――。
村で“忌み子”とされ冷遇されて育ったしのぶは“祟り神憑き”と恐れられる祭主家当主辰日古の花嫁に選ばれる。婚礼の夜、床入りしたしのぶを待ち受けていたのは暗闇の中で蠢く無数の気配、未知の恐怖に強張るカラダ、肌をねっとりと撫で上げる其れに舐られ、極限まで研ぎ澄まされる感覚…。まだ知らぬ絶頂へと導かれていくが……。
村でもっとも不幸な二人が手を取り合い、運命に抗う物語。</v>
      </c>
      <c r="W529" s="8"/>
      <c r="X529" s="8" t="str">
        <f>IFERROR(__xludf.DUMMYFUNCTION("""COMPUTED_VALUE"""),"有")</f>
        <v>有</v>
      </c>
      <c r="Y529" s="8" t="str">
        <f>IFERROR(__xludf.DUMMYFUNCTION("""COMPUTED_VALUE"""),"8/30まで1巻無料")</f>
        <v>8/30まで1巻無料</v>
      </c>
      <c r="Z529" s="7"/>
      <c r="AA529" s="7"/>
      <c r="AB529" s="7"/>
    </row>
    <row r="530" ht="15.75" customHeight="1">
      <c r="A530" s="8">
        <f>IFERROR(__xludf.DUMMYFUNCTION("""COMPUTED_VALUE"""),2092.0)</f>
        <v>2092</v>
      </c>
      <c r="B530" s="9" t="str">
        <f>IFERROR(__xludf.DUMMYFUNCTION("""COMPUTED_VALUE"""),"確定")</f>
        <v>確定</v>
      </c>
      <c r="C530" s="10">
        <f>IFERROR(__xludf.DUMMYFUNCTION("""COMPUTED_VALUE"""),45099.0)</f>
        <v>45099</v>
      </c>
      <c r="D530" s="10">
        <f>IFERROR(__xludf.DUMMYFUNCTION("""COMPUTED_VALUE"""),45125.0)</f>
        <v>45125</v>
      </c>
      <c r="E530" s="8">
        <f>IFERROR(__xludf.DUMMYFUNCTION("""COMPUTED_VALUE"""),273646.0)</f>
        <v>273646</v>
      </c>
      <c r="F530" s="9" t="str">
        <f>IFERROR(__xludf.DUMMYFUNCTION("""COMPUTED_VALUE"""),"秘書の使命【タテヨミ】")</f>
        <v>秘書の使命【タテヨミ】</v>
      </c>
      <c r="G530" s="11" t="str">
        <f>IFERROR(__xludf.DUMMYFUNCTION("""COMPUTED_VALUE"""),"1~35")</f>
        <v>1~35</v>
      </c>
      <c r="H530" s="8" t="str">
        <f>IFERROR(__xludf.DUMMYFUNCTION("""COMPUTED_VALUE"""),"作家Suye出版社PXTAR")</f>
        <v>作家Suye出版社PXTAR</v>
      </c>
      <c r="I530" s="8" t="str">
        <f>IFERROR(__xludf.DUMMYFUNCTION("""COMPUTED_VALUE"""),"BL")</f>
        <v>BL</v>
      </c>
      <c r="J530" s="8"/>
      <c r="K530" s="8"/>
      <c r="L530" s="8" t="str">
        <f>IFERROR(__xludf.DUMMYFUNCTION("""COMPUTED_VALUE"""),"NHNcomico")</f>
        <v>NHNcomico</v>
      </c>
      <c r="M530" s="12">
        <f>IFERROR(__xludf.DUMMYFUNCTION("""COMPUTED_VALUE"""),45139.0)</f>
        <v>45139</v>
      </c>
      <c r="N530" s="12">
        <f>IFERROR(__xludf.DUMMYFUNCTION("""COMPUTED_VALUE"""),45200.0)</f>
        <v>45200</v>
      </c>
      <c r="O530" s="11"/>
      <c r="P530" s="9" t="str">
        <f>IFERROR(__xludf.DUMMYFUNCTION("""COMPUTED_VALUE"""),"可")</f>
        <v>可</v>
      </c>
      <c r="Q530" s="8" t="str">
        <f>IFERROR(__xludf.DUMMYFUNCTION("""COMPUTED_VALUE"""),"広告コミットOK(6/29)/素材格納（7/3）")</f>
        <v>広告コミットOK(6/29)/素材格納（7/3）</v>
      </c>
      <c r="R530" s="9"/>
      <c r="S530" s="8" t="str">
        <f>IFERROR(__xludf.DUMMYFUNCTION("""COMPUTED_VALUE"""),"20230703_comico_秘書の使命")</f>
        <v>20230703_comico_秘書の使命</v>
      </c>
      <c r="T530" s="9" t="str">
        <f>IFERROR(__xludf.DUMMYFUNCTION("""COMPUTED_VALUE"""),"格納済み")</f>
        <v>格納済み</v>
      </c>
      <c r="U530" s="9" t="str">
        <f>IFERROR(__xludf.DUMMYFUNCTION("""COMPUTED_VALUE"""),"(C)pxtar")</f>
        <v>(C)pxtar</v>
      </c>
      <c r="V530" s="8" t="str">
        <f>IFERROR(__xludf.DUMMYFUNCTION("""COMPUTED_VALUE"""),"もし、私がボスの変な癖に気づいたらどうする？ある男性秘書は、毎日黙ってボスを観察していた。だんだんこの人の体の奇妙なところを発見していた。ボスは、自分を困らせようとしている男性秘書に、理不尽な要求をしてきた。その要求には答えが１つしかない……
")</f>
        <v>もし、私がボスの変な癖に気づいたらどうする？ある男性秘書は、毎日黙ってボスを観察していた。だんだんこの人の体の奇妙なところを発見していた。ボスは、自分を困らせようとしている男性秘書に、理不尽な要求をしてきた。その要求には答えが１つしかない……
</v>
      </c>
      <c r="W530" s="8"/>
      <c r="X530" s="8" t="str">
        <f>IFERROR(__xludf.DUMMYFUNCTION("""COMPUTED_VALUE"""),"有")</f>
        <v>有</v>
      </c>
      <c r="Y530" s="8" t="str">
        <f>IFERROR(__xludf.DUMMYFUNCTION("""COMPUTED_VALUE"""),"12/31まで1~3巻無料")</f>
        <v>12/31まで1~3巻無料</v>
      </c>
      <c r="Z530" s="7"/>
      <c r="AA530" s="7"/>
      <c r="AB530" s="7"/>
    </row>
    <row r="531" ht="15.75" customHeight="1">
      <c r="A531" s="8">
        <f>IFERROR(__xludf.DUMMYFUNCTION("""COMPUTED_VALUE"""),2101.0)</f>
        <v>2101</v>
      </c>
      <c r="B531" s="9" t="str">
        <f>IFERROR(__xludf.DUMMYFUNCTION("""COMPUTED_VALUE"""),"確定")</f>
        <v>確定</v>
      </c>
      <c r="C531" s="10">
        <f>IFERROR(__xludf.DUMMYFUNCTION("""COMPUTED_VALUE"""),45100.0)</f>
        <v>45100</v>
      </c>
      <c r="D531" s="10">
        <f>IFERROR(__xludf.DUMMYFUNCTION("""COMPUTED_VALUE"""),45125.0)</f>
        <v>45125</v>
      </c>
      <c r="E531" s="8">
        <f>IFERROR(__xludf.DUMMYFUNCTION("""COMPUTED_VALUE"""),272987.0)</f>
        <v>272987</v>
      </c>
      <c r="F531" s="9" t="str">
        <f>IFERROR(__xludf.DUMMYFUNCTION("""COMPUTED_VALUE"""),"狼くんの愛はちょっと不機嫌")</f>
        <v>狼くんの愛はちょっと不機嫌</v>
      </c>
      <c r="G531" s="11">
        <f>IFERROR(__xludf.DUMMYFUNCTION("""COMPUTED_VALUE"""),1.0)</f>
        <v>1</v>
      </c>
      <c r="H531" s="8" t="str">
        <f>IFERROR(__xludf.DUMMYFUNCTION("""COMPUTED_VALUE"""),"二目")</f>
        <v>二目</v>
      </c>
      <c r="I531" s="8" t="str">
        <f>IFERROR(__xludf.DUMMYFUNCTION("""COMPUTED_VALUE"""),"BL")</f>
        <v>BL</v>
      </c>
      <c r="J531" s="8"/>
      <c r="K531" s="8"/>
      <c r="L531" s="8" t="str">
        <f>IFERROR(__xludf.DUMMYFUNCTION("""COMPUTED_VALUE"""),"アメイロ")</f>
        <v>アメイロ</v>
      </c>
      <c r="M531" s="12">
        <f>IFERROR(__xludf.DUMMYFUNCTION("""COMPUTED_VALUE"""),45142.0)</f>
        <v>45142</v>
      </c>
      <c r="N531" s="12">
        <f>IFERROR(__xludf.DUMMYFUNCTION("""COMPUTED_VALUE"""),45218.66666666667)</f>
        <v>45218.66667</v>
      </c>
      <c r="O531" s="11"/>
      <c r="P531" s="9" t="str">
        <f>IFERROR(__xludf.DUMMYFUNCTION("""COMPUTED_VALUE"""),"可")</f>
        <v>可</v>
      </c>
      <c r="Q531" s="8"/>
      <c r="R531" s="9"/>
      <c r="S531" s="8" t="str">
        <f>IFERROR(__xludf.DUMMYFUNCTION("""COMPUTED_VALUE"""),"20230717_シュークリーム_狼くんの愛はちょっと不機嫌")</f>
        <v>20230717_シュークリーム_狼くんの愛はちょっと不機嫌</v>
      </c>
      <c r="T531" s="9" t="str">
        <f>IFERROR(__xludf.DUMMYFUNCTION("""COMPUTED_VALUE"""),"格納済み")</f>
        <v>格納済み</v>
      </c>
      <c r="U531" s="9" t="str">
        <f>IFERROR(__xludf.DUMMYFUNCTION("""COMPUTED_VALUE"""),"（C）二目/アメイロ")</f>
        <v>（C）二目/アメイロ</v>
      </c>
      <c r="V531" s="8" t="str">
        <f>IFERROR(__xludf.DUMMYFUNCTION("""COMPUTED_VALUE"""),"【愛がダダ漏れ！？独占系ツンデレアイドル×健気ちょろカワDK】
そのギャップはズルすぎる☆じれキュン青春BL！
地味でぼっち、“超”お人好しの陽斗（はると）。
ある朝、通学途中に倒れている人を助けたら
同じ学校の芸能科に通う、訳あり人気アイドル・辻本鳴（つじもとなる）だった。
しかもそれ以来、なぜか鳴の〈心の声〉が聴こえるように――！？
言葉はクール・態度はダウナー。だけど〈心の声〉は甘い本音が飛び出す鳴に、陽斗は毎秒キュンの嵐で…！")</f>
        <v>【愛がダダ漏れ！？独占系ツンデレアイドル×健気ちょろカワDK】
そのギャップはズルすぎる☆じれキュン青春BL！
地味でぼっち、“超”お人好しの陽斗（はると）。
ある朝、通学途中に倒れている人を助けたら
同じ学校の芸能科に通う、訳あり人気アイドル・辻本鳴（つじもとなる）だった。
しかもそれ以来、なぜか鳴の〈心の声〉が聴こえるように――！？
言葉はクール・態度はダウナー。だけど〈心の声〉は甘い本音が飛び出す鳴に、陽斗は毎秒キュンの嵐で…！</v>
      </c>
      <c r="W531" s="8"/>
      <c r="X531" s="8" t="str">
        <f>IFERROR(__xludf.DUMMYFUNCTION("""COMPUTED_VALUE"""),"有")</f>
        <v>有</v>
      </c>
      <c r="Y531" s="8" t="str">
        <f>IFERROR(__xludf.DUMMYFUNCTION("""COMPUTED_VALUE"""),"P18まで")</f>
        <v>P18まで</v>
      </c>
      <c r="Z531" s="7"/>
      <c r="AA531" s="7"/>
      <c r="AB531" s="7"/>
    </row>
    <row r="532" ht="15.75" customHeight="1">
      <c r="A532" s="8">
        <f>IFERROR(__xludf.DUMMYFUNCTION("""COMPUTED_VALUE"""),2102.0)</f>
        <v>2102</v>
      </c>
      <c r="B532" s="9" t="str">
        <f>IFERROR(__xludf.DUMMYFUNCTION("""COMPUTED_VALUE"""),"確定")</f>
        <v>確定</v>
      </c>
      <c r="C532" s="10">
        <f>IFERROR(__xludf.DUMMYFUNCTION("""COMPUTED_VALUE"""),45103.0)</f>
        <v>45103</v>
      </c>
      <c r="D532" s="10">
        <f>IFERROR(__xludf.DUMMYFUNCTION("""COMPUTED_VALUE"""),45125.0)</f>
        <v>45125</v>
      </c>
      <c r="E532" s="14">
        <f>IFERROR(__xludf.DUMMYFUNCTION("""COMPUTED_VALUE"""),276919.0)</f>
        <v>276919</v>
      </c>
      <c r="F532" s="9" t="str">
        <f>IFERROR(__xludf.DUMMYFUNCTION("""COMPUTED_VALUE"""),"先輩！気持ちよすぎて困ります ～ビンカン乙女の甘濡れ対策～")</f>
        <v>先輩！気持ちよすぎて困ります ～ビンカン乙女の甘濡れ対策～</v>
      </c>
      <c r="G532" s="11" t="str">
        <f>IFERROR(__xludf.DUMMYFUNCTION("""COMPUTED_VALUE"""),"1～3")</f>
        <v>1～3</v>
      </c>
      <c r="H532" s="8" t="str">
        <f>IFERROR(__xludf.DUMMYFUNCTION("""COMPUTED_VALUE"""),"百山ネル")</f>
        <v>百山ネル</v>
      </c>
      <c r="I532" s="8" t="str">
        <f>IFERROR(__xludf.DUMMYFUNCTION("""COMPUTED_VALUE"""),"TL")</f>
        <v>TL</v>
      </c>
      <c r="J532" s="8"/>
      <c r="K532" s="8"/>
      <c r="L532" s="8" t="str">
        <f>IFERROR(__xludf.DUMMYFUNCTION("""COMPUTED_VALUE"""),"リブレ")</f>
        <v>リブレ</v>
      </c>
      <c r="M532" s="12">
        <f>IFERROR(__xludf.DUMMYFUNCTION("""COMPUTED_VALUE"""),45197.0)</f>
        <v>45197</v>
      </c>
      <c r="N532" s="12">
        <f>IFERROR(__xludf.DUMMYFUNCTION("""COMPUTED_VALUE"""),45224.0)</f>
        <v>45224</v>
      </c>
      <c r="O532" s="11"/>
      <c r="P532" s="9" t="str">
        <f>IFERROR(__xludf.DUMMYFUNCTION("""COMPUTED_VALUE"""),"可")</f>
        <v>可</v>
      </c>
      <c r="Q532" s="8" t="str">
        <f>IFERROR(__xludf.DUMMYFUNCTION("""COMPUTED_VALUE"""),"広告コミットOK(7/4)")</f>
        <v>広告コミットOK(7/4)</v>
      </c>
      <c r="R532" s="9"/>
      <c r="S532" s="8" t="str">
        <f>IFERROR(__xludf.DUMMYFUNCTION("""COMPUTED_VALUE"""),"20230718_リブレ__先輩！気持ちよすぎて困ります ～ビンカン乙女の甘濡れ対策～")</f>
        <v>20230718_リブレ__先輩！気持ちよすぎて困ります ～ビンカン乙女の甘濡れ対策～</v>
      </c>
      <c r="T532" s="9"/>
      <c r="U532" s="15" t="str">
        <f>IFERROR(__xludf.DUMMYFUNCTION("""COMPUTED_VALUE"""),"©百山ネル/libre")</f>
        <v>©百山ネル/libre</v>
      </c>
      <c r="V532" s="8" t="str">
        <f>IFERROR(__xludf.DUMMYFUNCTION("""COMPUTED_VALUE"""),"「一番敏感なトコ責められたら、我慢なんてムリ…ッ」
異性に触られるだけで過剰に反応してしまう体質に悩む海音は、会社の先輩・戸波に片思い中。ある日、「伝説級の雨男」の異名を持つ戸波のおかげでずぶ濡れになった二人は、彼の家に避難することに。そこで海音が提案されたのは、敏感すぎる体を改善するために男に触られ慣れる訓練だった！
※本書は「ショコラブvol.80」に収録されております。")</f>
        <v>「一番敏感なトコ責められたら、我慢なんてムリ…ッ」
異性に触られるだけで過剰に反応してしまう体質に悩む海音は、会社の先輩・戸波に片思い中。ある日、「伝説級の雨男」の異名を持つ戸波のおかげでずぶ濡れになった二人は、彼の家に避難することに。そこで海音が提案されたのは、敏感すぎる体を改善するために男に触られ慣れる訓練だった！
※本書は「ショコラブvol.80」に収録されております。</v>
      </c>
      <c r="W532" s="8"/>
      <c r="X532" s="14" t="str">
        <f>IFERROR(__xludf.DUMMYFUNCTION("""COMPUTED_VALUE"""),"有")</f>
        <v>有</v>
      </c>
      <c r="Y532" s="8" t="str">
        <f>IFERROR(__xludf.DUMMYFUNCTION("""COMPUTED_VALUE"""),"P9まで")</f>
        <v>P9まで</v>
      </c>
      <c r="Z532" s="7"/>
      <c r="AA532" s="7"/>
      <c r="AB532" s="7"/>
    </row>
    <row r="533" ht="15.75" customHeight="1">
      <c r="A533" s="8">
        <f>IFERROR(__xludf.DUMMYFUNCTION("""COMPUTED_VALUE"""),2108.0)</f>
        <v>2108</v>
      </c>
      <c r="B533" s="9" t="str">
        <f>IFERROR(__xludf.DUMMYFUNCTION("""COMPUTED_VALUE"""),"確定")</f>
        <v>確定</v>
      </c>
      <c r="C533" s="10">
        <f>IFERROR(__xludf.DUMMYFUNCTION("""COMPUTED_VALUE"""),45103.0)</f>
        <v>45103</v>
      </c>
      <c r="D533" s="10">
        <f>IFERROR(__xludf.DUMMYFUNCTION("""COMPUTED_VALUE"""),45125.0)</f>
        <v>45125</v>
      </c>
      <c r="E533" s="8">
        <f>IFERROR(__xludf.DUMMYFUNCTION("""COMPUTED_VALUE"""),274283.0)</f>
        <v>274283</v>
      </c>
      <c r="F533" s="9" t="str">
        <f>IFERROR(__xludf.DUMMYFUNCTION("""COMPUTED_VALUE"""),"幼なじみアイドルは初恋を手放さない～深夜２時の甘とろマネジメント～【分冊版】")</f>
        <v>幼なじみアイドルは初恋を手放さない～深夜２時の甘とろマネジメント～【分冊版】</v>
      </c>
      <c r="G533" s="16" t="str">
        <f>IFERROR(__xludf.DUMMYFUNCTION("""COMPUTED_VALUE"""),"1～3")</f>
        <v>1～3</v>
      </c>
      <c r="H533" s="8" t="str">
        <f>IFERROR(__xludf.DUMMYFUNCTION("""COMPUTED_VALUE"""),"作画：柚稀ミツ /原作：南ひかり")</f>
        <v>作画：柚稀ミツ /原作：南ひかり</v>
      </c>
      <c r="I533" s="8" t="str">
        <f>IFERROR(__xludf.DUMMYFUNCTION("""COMPUTED_VALUE"""),"TL")</f>
        <v>TL</v>
      </c>
      <c r="J533" s="8"/>
      <c r="K533" s="8"/>
      <c r="L533" s="8" t="str">
        <f>IFERROR(__xludf.DUMMYFUNCTION("""COMPUTED_VALUE"""),"笠倉出版社")</f>
        <v>笠倉出版社</v>
      </c>
      <c r="M533" s="12">
        <f>IFERROR(__xludf.DUMMYFUNCTION("""COMPUTED_VALUE"""),45155.0)</f>
        <v>45155</v>
      </c>
      <c r="N533" s="12">
        <f>IFERROR(__xludf.DUMMYFUNCTION("""COMPUTED_VALUE"""),45217.0)</f>
        <v>45217</v>
      </c>
      <c r="O533" s="11"/>
      <c r="P533" s="9" t="str">
        <f>IFERROR(__xludf.DUMMYFUNCTION("""COMPUTED_VALUE"""),"可")</f>
        <v>可</v>
      </c>
      <c r="Q533" s="8" t="str">
        <f>IFERROR(__xludf.DUMMYFUNCTION("""COMPUTED_VALUE"""),"・プロモT事前チェック済、広告コミットOK作品&lt;BR&gt;・新刊キャンペーン内にて1話無料実施（8/17～8/30）")</f>
        <v>・プロモT事前チェック済、広告コミットOK作品&lt;BR&gt;・新刊キャンペーン内にて1話無料実施（8/17～8/30）</v>
      </c>
      <c r="R533" s="9"/>
      <c r="S533" s="8" t="str">
        <f>IFERROR(__xludf.DUMMYFUNCTION("""COMPUTED_VALUE"""),"20230718_笠倉出版社_幼なじみアイドルは初恋を手放さない～深夜２時の甘とろマネジメント～【分冊版】")</f>
        <v>20230718_笠倉出版社_幼なじみアイドルは初恋を手放さない～深夜２時の甘とろマネジメント～【分冊版】</v>
      </c>
      <c r="T533" s="9"/>
      <c r="U533" s="9" t="str">
        <f>IFERROR(__xludf.DUMMYFUNCTION("""COMPUTED_VALUE"""),"(c)柚稀ミツ/南ひかり/笠倉出版社")</f>
        <v>(c)柚稀ミツ/南ひかり/笠倉出版社</v>
      </c>
      <c r="V533" s="8" t="str">
        <f>IFERROR(__xludf.DUMMYFUNCTION("""COMPUTED_VALUE"""),"「とろっとろに甘やかしてあげる」「可愛い…もっとその声を聞かせてくれ」芸能事務所でマネージャーとして働く私――高円寺六花は、ある日大人気アイドル『A.N.D』を担当することに！　『A.N.D』は西穂澄、東志希のユニットで、ふたりは私の幼なじみでもある。アイドルとして輝きたいっていう彼らを全力でサポートしようと決めていたけど、求められたのは秘密のセックス！？「恋人をつくるなと言うなら　俺たちの性欲処理もマネージャーの仕事じゃないか？」いやらしい指で濡れたところをかきまわされて、彼らが満足するまで欲望を飲みこ"&amp;"んで…激しすぎる愛撫に全身とろけてしまいそう…。こんな関係、ぜったいダメなのに気持ちよすぎてあらがえない…！私たちこれからどうなっちゃうの！？【アイドル×マネージャー】禁断のモダキュンラブ開幕――！")</f>
        <v>「とろっとろに甘やかしてあげる」「可愛い…もっとその声を聞かせてくれ」芸能事務所でマネージャーとして働く私――高円寺六花は、ある日大人気アイドル『A.N.D』を担当することに！　『A.N.D』は西穂澄、東志希のユニットで、ふたりは私の幼なじみでもある。アイドルとして輝きたいっていう彼らを全力でサポートしようと決めていたけど、求められたのは秘密のセックス！？「恋人をつくるなと言うなら　俺たちの性欲処理もマネージャーの仕事じゃないか？」いやらしい指で濡れたところをかきまわされて、彼らが満足するまで欲望を飲みこんで…激しすぎる愛撫に全身とろけてしまいそう…。こんな関係、ぜったいダメなのに気持ちよすぎてあらがえない…！私たちこれからどうなっちゃうの！？【アイドル×マネージャー】禁断のモダキュンラブ開幕――！</v>
      </c>
      <c r="W533" s="8"/>
      <c r="X533" s="8" t="str">
        <f>IFERROR(__xludf.DUMMYFUNCTION("""COMPUTED_VALUE"""),"有")</f>
        <v>有</v>
      </c>
      <c r="Y533" s="8" t="str">
        <f>IFERROR(__xludf.DUMMYFUNCTION("""COMPUTED_VALUE"""),"8/30まで1巻無料")</f>
        <v>8/30まで1巻無料</v>
      </c>
      <c r="Z533" s="7"/>
      <c r="AA533" s="7"/>
      <c r="AB533" s="7"/>
    </row>
    <row r="534" ht="15.75" customHeight="1">
      <c r="A534" s="8">
        <f>IFERROR(__xludf.DUMMYFUNCTION("""COMPUTED_VALUE"""),2119.0)</f>
        <v>2119</v>
      </c>
      <c r="B534" s="9" t="str">
        <f>IFERROR(__xludf.DUMMYFUNCTION("""COMPUTED_VALUE"""),"確定")</f>
        <v>確定</v>
      </c>
      <c r="C534" s="10">
        <f>IFERROR(__xludf.DUMMYFUNCTION("""COMPUTED_VALUE"""),45107.0)</f>
        <v>45107</v>
      </c>
      <c r="D534" s="10">
        <f>IFERROR(__xludf.DUMMYFUNCTION("""COMPUTED_VALUE"""),45120.0)</f>
        <v>45120</v>
      </c>
      <c r="E534" s="8">
        <f>IFERROR(__xludf.DUMMYFUNCTION("""COMPUTED_VALUE"""),274865.0)</f>
        <v>274865</v>
      </c>
      <c r="F534" s="9" t="str">
        <f>IFERROR(__xludf.DUMMYFUNCTION("""COMPUTED_VALUE"""),"推しと恋とコンビニと")</f>
        <v>推しと恋とコンビニと</v>
      </c>
      <c r="G534" s="11" t="str">
        <f>IFERROR(__xludf.DUMMYFUNCTION("""COMPUTED_VALUE"""),"1～3")</f>
        <v>1～3</v>
      </c>
      <c r="H534" s="8" t="str">
        <f>IFERROR(__xludf.DUMMYFUNCTION("""COMPUTED_VALUE"""),"神崎しおり")</f>
        <v>神崎しおり</v>
      </c>
      <c r="I534" s="8" t="str">
        <f>IFERROR(__xludf.DUMMYFUNCTION("""COMPUTED_VALUE"""),"女性")</f>
        <v>女性</v>
      </c>
      <c r="J534" s="8"/>
      <c r="K534" s="8"/>
      <c r="L534" s="8" t="str">
        <f>IFERROR(__xludf.DUMMYFUNCTION("""COMPUTED_VALUE"""),"MUGENUP")</f>
        <v>MUGENUP</v>
      </c>
      <c r="M534" s="12">
        <f>IFERROR(__xludf.DUMMYFUNCTION("""COMPUTED_VALUE"""),45164.0)</f>
        <v>45164</v>
      </c>
      <c r="N534" s="12">
        <f>IFERROR(__xludf.DUMMYFUNCTION("""COMPUTED_VALUE"""),45255.0)</f>
        <v>45255</v>
      </c>
      <c r="O534" s="11"/>
      <c r="P534" s="9" t="str">
        <f>IFERROR(__xludf.DUMMYFUNCTION("""COMPUTED_VALUE"""),"可")</f>
        <v>可</v>
      </c>
      <c r="Q534" s="8" t="str">
        <f>IFERROR(__xludf.DUMMYFUNCTION("""COMPUTED_VALUE"""),"広告コミットOK(7/4)")</f>
        <v>広告コミットOK(7/4)</v>
      </c>
      <c r="R534" s="9"/>
      <c r="S534" s="8" t="str">
        <f>IFERROR(__xludf.DUMMYFUNCTION("""COMPUTED_VALUE"""),"20230713_MUGENUP_8月新作")</f>
        <v>20230713_MUGENUP_8月新作</v>
      </c>
      <c r="T534" s="9"/>
      <c r="U534" s="9" t="str">
        <f>IFERROR(__xludf.DUMMYFUNCTION("""COMPUTED_VALUE"""),"（C）神崎しおり／MUGENUP")</f>
        <v>（C）神崎しおり／MUGENUP</v>
      </c>
      <c r="V534" s="8" t="str">
        <f>IFERROR(__xludf.DUMMYFUNCTION("""COMPUTED_VALUE"""),"ブラック企業に勤めていた主人公・月ヶ瀬紗葉は、日々浴びせられる罵詈雑言に疲弊し、ある日を境に引きこもりになってしまう。引きこもりになった紗葉の唯一の生きがいは“推し”。家の外に出ることはなくとも、“推し”を満喫する日々を過ごしていた。ある時、推しのグッズを買いに近くのコンビニへ訪れると、優しく爽やかなイケメン店員が。社会復帰も兼ねてコンビニでバイトを始めるも、目当ての店員にはすでに彼女がいることを知る。働く気力を失いかけていた頃、やたらと遅刻してくる陽キャ男子の日向茉潤とシフトが被るように。紗葉は茉潤と話"&amp;"をしてみると、なんと推しが被っていて──！？
“同担”から始まる恋もある──！？“推し”が繋ぐピュアで甘酸っぱいラブストーリー開幕！")</f>
        <v>ブラック企業に勤めていた主人公・月ヶ瀬紗葉は、日々浴びせられる罵詈雑言に疲弊し、ある日を境に引きこもりになってしまう。引きこもりになった紗葉の唯一の生きがいは“推し”。家の外に出ることはなくとも、“推し”を満喫する日々を過ごしていた。ある時、推しのグッズを買いに近くのコンビニへ訪れると、優しく爽やかなイケメン店員が。社会復帰も兼ねてコンビニでバイトを始めるも、目当ての店員にはすでに彼女がいることを知る。働く気力を失いかけていた頃、やたらと遅刻してくる陽キャ男子の日向茉潤とシフトが被るように。紗葉は茉潤と話をしてみると、なんと推しが被っていて──！？
“同担”から始まる恋もある──！？“推し”が繋ぐピュアで甘酸っぱいラブストーリー開幕！</v>
      </c>
      <c r="W534" s="8"/>
      <c r="X534" s="8" t="str">
        <f>IFERROR(__xludf.DUMMYFUNCTION("""COMPUTED_VALUE"""),"有")</f>
        <v>有</v>
      </c>
      <c r="Y534" s="8" t="str">
        <f>IFERROR(__xludf.DUMMYFUNCTION("""COMPUTED_VALUE"""),"P7まで")</f>
        <v>P7まで</v>
      </c>
      <c r="Z534" s="7"/>
      <c r="AA534" s="7"/>
      <c r="AB534" s="7"/>
    </row>
    <row r="535" ht="15.75" customHeight="1">
      <c r="A535" s="8">
        <f>IFERROR(__xludf.DUMMYFUNCTION("""COMPUTED_VALUE"""),2120.0)</f>
        <v>2120</v>
      </c>
      <c r="B535" s="9" t="str">
        <f>IFERROR(__xludf.DUMMYFUNCTION("""COMPUTED_VALUE"""),"確定")</f>
        <v>確定</v>
      </c>
      <c r="C535" s="10">
        <f>IFERROR(__xludf.DUMMYFUNCTION("""COMPUTED_VALUE"""),45107.0)</f>
        <v>45107</v>
      </c>
      <c r="D535" s="10">
        <f>IFERROR(__xludf.DUMMYFUNCTION("""COMPUTED_VALUE"""),45120.0)</f>
        <v>45120</v>
      </c>
      <c r="E535" s="14">
        <f>IFERROR(__xludf.DUMMYFUNCTION("""COMPUTED_VALUE"""),277342.0)</f>
        <v>277342</v>
      </c>
      <c r="F535" s="9" t="str">
        <f>IFERROR(__xludf.DUMMYFUNCTION("""COMPUTED_VALUE"""),"深智くんは溺愛彼氏になりたい")</f>
        <v>深智くんは溺愛彼氏になりたい</v>
      </c>
      <c r="G535" s="11" t="str">
        <f>IFERROR(__xludf.DUMMYFUNCTION("""COMPUTED_VALUE"""),"1～3")</f>
        <v>1～3</v>
      </c>
      <c r="H535" s="8" t="str">
        <f>IFERROR(__xludf.DUMMYFUNCTION("""COMPUTED_VALUE"""),"可燃")</f>
        <v>可燃</v>
      </c>
      <c r="I535" s="8" t="str">
        <f>IFERROR(__xludf.DUMMYFUNCTION("""COMPUTED_VALUE"""),"女性")</f>
        <v>女性</v>
      </c>
      <c r="J535" s="8"/>
      <c r="K535" s="8"/>
      <c r="L535" s="8" t="str">
        <f>IFERROR(__xludf.DUMMYFUNCTION("""COMPUTED_VALUE"""),"MUGENUP")</f>
        <v>MUGENUP</v>
      </c>
      <c r="M535" s="12">
        <f>IFERROR(__xludf.DUMMYFUNCTION("""COMPUTED_VALUE"""),45199.0)</f>
        <v>45199</v>
      </c>
      <c r="N535" s="12">
        <f>IFERROR(__xludf.DUMMYFUNCTION("""COMPUTED_VALUE"""),45289.0)</f>
        <v>45289</v>
      </c>
      <c r="O535" s="11"/>
      <c r="P535" s="9" t="str">
        <f>IFERROR(__xludf.DUMMYFUNCTION("""COMPUTED_VALUE"""),"可")</f>
        <v>可</v>
      </c>
      <c r="Q535" s="8" t="str">
        <f>IFERROR(__xludf.DUMMYFUNCTION("""COMPUTED_VALUE"""),"広告コミットOK(7/4)")</f>
        <v>広告コミットOK(7/4)</v>
      </c>
      <c r="R535" s="9"/>
      <c r="S535" s="8" t="str">
        <f>IFERROR(__xludf.DUMMYFUNCTION("""COMPUTED_VALUE"""),"20230713_MUGENUP_8月新作")</f>
        <v>20230713_MUGENUP_8月新作</v>
      </c>
      <c r="T535" s="9"/>
      <c r="U535" s="15" t="str">
        <f>IFERROR(__xludf.DUMMYFUNCTION("""COMPUTED_VALUE"""),"（C）可燃／MUGENUP")</f>
        <v>（C）可燃／MUGENUP</v>
      </c>
      <c r="V535" s="8" t="str">
        <f>IFERROR(__xludf.DUMMYFUNCTION("""COMPUTED_VALUE"""),"臆病で弱虫な自分が嫌いな主人公の周防深智。高校時代に自分とは真逆の強くてかっこいい女の子・出雲朱璃と出会い、弱虫な自分から変わりたいと思うように。大人になり、本当の自分を隠すように「完璧な自分」を演じるようになっていた深智。仕事では頼られる存在になったものの、その代償として恋愛は二の次に。いつかは自分も恋愛を…と思っていたある日、女性社員がマッチングアプリについて話しているのを耳にし、自分も勇気を出してアプリを使い始める。なかなか“いいね“がもらえない中、一人の女性とマッチングした深智。メッセージのやり取"&amp;"りを重ねていくうちに、だんだん彼女に惹かれていき、ついに食事をすることに。当日、緊張しながら待つ深智のところに現れたのは、なんと高校時代の憧れだった出雲朱璃だった──！ 彼女を溺愛したい系男子の、本当の自分をさらけ出した、じれったくもピュアなラブストーリーが開幕！")</f>
        <v>臆病で弱虫な自分が嫌いな主人公の周防深智。高校時代に自分とは真逆の強くてかっこいい女の子・出雲朱璃と出会い、弱虫な自分から変わりたいと思うように。大人になり、本当の自分を隠すように「完璧な自分」を演じるようになっていた深智。仕事では頼られる存在になったものの、その代償として恋愛は二の次に。いつかは自分も恋愛を…と思っていたある日、女性社員がマッチングアプリについて話しているのを耳にし、自分も勇気を出してアプリを使い始める。なかなか“いいね“がもらえない中、一人の女性とマッチングした深智。メッセージのやり取りを重ねていくうちに、だんだん彼女に惹かれていき、ついに食事をすることに。当日、緊張しながら待つ深智のところに現れたのは、なんと高校時代の憧れだった出雲朱璃だった──！ 彼女を溺愛したい系男子の、本当の自分をさらけ出した、じれったくもピュアなラブストーリーが開幕！</v>
      </c>
      <c r="W535" s="8"/>
      <c r="X535" s="8" t="str">
        <f>IFERROR(__xludf.DUMMYFUNCTION("""COMPUTED_VALUE"""),"有")</f>
        <v>有</v>
      </c>
      <c r="Y535" s="8" t="str">
        <f>IFERROR(__xludf.DUMMYFUNCTION("""COMPUTED_VALUE"""),"P7まで")</f>
        <v>P7まで</v>
      </c>
      <c r="Z535" s="7"/>
      <c r="AA535" s="7"/>
      <c r="AB535" s="7"/>
    </row>
    <row r="536" ht="15.75" customHeight="1">
      <c r="A536" s="8">
        <f>IFERROR(__xludf.DUMMYFUNCTION("""COMPUTED_VALUE"""),2136.0)</f>
        <v>2136</v>
      </c>
      <c r="B536" s="9" t="str">
        <f>IFERROR(__xludf.DUMMYFUNCTION("""COMPUTED_VALUE"""),"確定")</f>
        <v>確定</v>
      </c>
      <c r="C536" s="10">
        <f>IFERROR(__xludf.DUMMYFUNCTION("""COMPUTED_VALUE"""),45111.0)</f>
        <v>45111</v>
      </c>
      <c r="D536" s="10">
        <f>IFERROR(__xludf.DUMMYFUNCTION("""COMPUTED_VALUE"""),45125.0)</f>
        <v>45125</v>
      </c>
      <c r="E536" s="8">
        <f>IFERROR(__xludf.DUMMYFUNCTION("""COMPUTED_VALUE"""),273132.0)</f>
        <v>273132</v>
      </c>
      <c r="F536" s="9" t="str">
        <f>IFERROR(__xludf.DUMMYFUNCTION("""COMPUTED_VALUE"""),"寝とられあい【単話版】")</f>
        <v>寝とられあい【単話版】</v>
      </c>
      <c r="G536" s="11" t="str">
        <f>IFERROR(__xludf.DUMMYFUNCTION("""COMPUTED_VALUE"""),"1～2")</f>
        <v>1～2</v>
      </c>
      <c r="H536" s="8" t="str">
        <f>IFERROR(__xludf.DUMMYFUNCTION("""COMPUTED_VALUE"""),"矢吹")</f>
        <v>矢吹</v>
      </c>
      <c r="I536" s="14" t="str">
        <f>IFERROR(__xludf.DUMMYFUNCTION("""COMPUTED_VALUE"""),"青年")</f>
        <v>青年</v>
      </c>
      <c r="J536" s="8"/>
      <c r="K536" s="8"/>
      <c r="L536" s="8" t="str">
        <f>IFERROR(__xludf.DUMMYFUNCTION("""COMPUTED_VALUE"""),"芳文社")</f>
        <v>芳文社</v>
      </c>
      <c r="M536" s="12">
        <f>IFERROR(__xludf.DUMMYFUNCTION("""COMPUTED_VALUE"""),45139.0)</f>
        <v>45139</v>
      </c>
      <c r="N536" s="12">
        <f>IFERROR(__xludf.DUMMYFUNCTION("""COMPUTED_VALUE"""),45199.66666666667)</f>
        <v>45199.66667</v>
      </c>
      <c r="O536" s="11"/>
      <c r="P536" s="9" t="str">
        <f>IFERROR(__xludf.DUMMYFUNCTION("""COMPUTED_VALUE"""),"可")</f>
        <v>可</v>
      </c>
      <c r="Q536" s="8" t="str">
        <f>IFERROR(__xludf.DUMMYFUNCTION("""COMPUTED_VALUE"""),"広告コミットOK(7/11)")</f>
        <v>広告コミットOK(7/11)</v>
      </c>
      <c r="R536" s="9"/>
      <c r="S536" s="8" t="str">
        <f>IFERROR(__xludf.DUMMYFUNCTION("""COMPUTED_VALUE"""),"20230713_芳文社_寝とられあい【単話版】")</f>
        <v>20230713_芳文社_寝とられあい【単話版】</v>
      </c>
      <c r="T536" s="9" t="str">
        <f>IFERROR(__xludf.DUMMYFUNCTION("""COMPUTED_VALUE"""),"格納済み")</f>
        <v>格納済み</v>
      </c>
      <c r="U536" s="9" t="str">
        <f>IFERROR(__xludf.DUMMYFUNCTION("""COMPUTED_VALUE"""),"（c）矢吹/芳文社")</f>
        <v>（c）矢吹/芳文社</v>
      </c>
      <c r="V536" s="8" t="str">
        <f>IFERROR(__xludf.DUMMYFUNCTION("""COMPUTED_VALUE"""),"「嫌なのにイッちゃったんだ。」彼氏との夜が上手くいかず悩む大学生のカナエ。そんな彼女は、ある勘違いから妹の彼氏・ユキジに夜這いされてしまう。戸惑うカナエだが彼からさらに、歪な「セフレ契約」を提案され…!?駄目なのはわかってる…でも彼で初めて絶頂を知ったカナエは抗うことができず…。青春の情動と性欲が絡み合う、こじれて淫らな”寝とられ愛”開幕。")</f>
        <v>「嫌なのにイッちゃったんだ。」彼氏との夜が上手くいかず悩む大学生のカナエ。そんな彼女は、ある勘違いから妹の彼氏・ユキジに夜這いされてしまう。戸惑うカナエだが彼からさらに、歪な「セフレ契約」を提案され…!?駄目なのはわかってる…でも彼で初めて絶頂を知ったカナエは抗うことができず…。青春の情動と性欲が絡み合う、こじれて淫らな”寝とられ愛”開幕。</v>
      </c>
      <c r="W536" s="8"/>
      <c r="X536" s="8" t="str">
        <f>IFERROR(__xludf.DUMMYFUNCTION("""COMPUTED_VALUE"""),"有")</f>
        <v>有</v>
      </c>
      <c r="Y536" s="8" t="str">
        <f>IFERROR(__xludf.DUMMYFUNCTION("""COMPUTED_VALUE"""),"8/31まで立ち読み増量P24まで")</f>
        <v>8/31まで立ち読み増量P24まで</v>
      </c>
      <c r="Z536" s="7"/>
      <c r="AA536" s="7"/>
      <c r="AB536" s="7"/>
    </row>
    <row r="537" ht="15.75" customHeight="1">
      <c r="A537" s="8">
        <f>IFERROR(__xludf.DUMMYFUNCTION("""COMPUTED_VALUE"""),2145.0)</f>
        <v>2145</v>
      </c>
      <c r="B537" s="9" t="str">
        <f>IFERROR(__xludf.DUMMYFUNCTION("""COMPUTED_VALUE"""),"確定")</f>
        <v>確定</v>
      </c>
      <c r="C537" s="10">
        <f>IFERROR(__xludf.DUMMYFUNCTION("""COMPUTED_VALUE"""),45117.0)</f>
        <v>45117</v>
      </c>
      <c r="D537" s="10">
        <f>IFERROR(__xludf.DUMMYFUNCTION("""COMPUTED_VALUE"""),45120.0)</f>
        <v>45120</v>
      </c>
      <c r="E537" s="8">
        <f>IFERROR(__xludf.DUMMYFUNCTION("""COMPUTED_VALUE"""),274465.0)</f>
        <v>274465</v>
      </c>
      <c r="F537" s="9" t="str">
        <f>IFERROR(__xludf.DUMMYFUNCTION("""COMPUTED_VALUE"""),"悪役令嬢は嫌なので、医務室助手になりました。【分冊版】")</f>
        <v>悪役令嬢は嫌なので、医務室助手になりました。【分冊版】</v>
      </c>
      <c r="G537" s="11" t="str">
        <f>IFERROR(__xludf.DUMMYFUNCTION("""COMPUTED_VALUE"""),"1～2")</f>
        <v>1～2</v>
      </c>
      <c r="H537" s="8" t="str">
        <f>IFERROR(__xludf.DUMMYFUNCTION("""COMPUTED_VALUE"""),"東 由宇・花煉")</f>
        <v>東 由宇・花煉</v>
      </c>
      <c r="I537" s="8" t="str">
        <f>IFERROR(__xludf.DUMMYFUNCTION("""COMPUTED_VALUE"""),"女性")</f>
        <v>女性</v>
      </c>
      <c r="J537" s="8"/>
      <c r="K537" s="8"/>
      <c r="L537" s="8" t="str">
        <f>IFERROR(__xludf.DUMMYFUNCTION("""COMPUTED_VALUE"""),"ハーパーコリンズ・ジャパン")</f>
        <v>ハーパーコリンズ・ジャパン</v>
      </c>
      <c r="M537" s="12">
        <f>IFERROR(__xludf.DUMMYFUNCTION("""COMPUTED_VALUE"""),45156.0)</f>
        <v>45156</v>
      </c>
      <c r="N537" s="12">
        <f>IFERROR(__xludf.DUMMYFUNCTION("""COMPUTED_VALUE"""),45183.0)</f>
        <v>45183</v>
      </c>
      <c r="O537" s="11"/>
      <c r="P537" s="9" t="str">
        <f>IFERROR(__xludf.DUMMYFUNCTION("""COMPUTED_VALUE"""),"否")</f>
        <v>否</v>
      </c>
      <c r="Q537" s="8" t="str">
        <f>IFERROR(__xludf.DUMMYFUNCTION("""COMPUTED_VALUE"""),"事前検討（7/10）")</f>
        <v>事前検討（7/10）</v>
      </c>
      <c r="R537" s="9" t="str">
        <f>IFERROR(__xludf.DUMMYFUNCTION("""COMPUTED_VALUE"""),"格納済（7/13）")</f>
        <v>格納済（7/13）</v>
      </c>
      <c r="S537" s="8" t="str">
        <f>IFERROR(__xludf.DUMMYFUNCTION("""COMPUTED_VALUE"""),"20230713_ハーパーコリンズ・ジャパン_広告素材_悪役令嬢は嫌なので、医務室助手になりました。")</f>
        <v>20230713_ハーパーコリンズ・ジャパン_広告素材_悪役令嬢は嫌なので、医務室助手になりました。</v>
      </c>
      <c r="T537" s="9" t="str">
        <f>IFERROR(__xludf.DUMMYFUNCTION("""COMPUTED_VALUE"""),"校了済素材")</f>
        <v>校了済素材</v>
      </c>
      <c r="U537" s="9" t="str">
        <f>IFERROR(__xludf.DUMMYFUNCTION("""COMPUTED_VALUE"""),"（C)東 由宇・花煉／ハーパーコリンズ・ジャパン")</f>
        <v>（C)東 由宇・花煉／ハーパーコリンズ・ジャパン</v>
      </c>
      <c r="V537" s="8" t="str">
        <f>IFERROR(__xludf.DUMMYFUNCTION("""COMPUTED_VALUE"""),"悪役令嬢、辞めます！
「私、悪役令嬢だったわ……」ある日、レイラ=ヴィヴィアンヌは前世が日本人であることと、今の自分が乙女ゲームの中に出てくるライバルキャラクターであることを思い出した。その乙女ゲームの中のレイラ=ヴィヴィアンヌは、攻略対象である王太子の婚約者だけど、特にヒロインをいじめたりしていないのに、兄のルート以外では死ぬ運命という不遇なキャラ。死亡フラグを回避するためにレイラは、そもそもゲームの舞台である魔術学園に“学生として”入学しなければいいのでは？と思いつく。そう、レイラは『医務室助手』と"&amp;"して学園に入ることを選び、攻略対象たちとヒロインと関わらないようにするが…？")</f>
        <v>悪役令嬢、辞めます！
「私、悪役令嬢だったわ……」ある日、レイラ=ヴィヴィアンヌは前世が日本人であることと、今の自分が乙女ゲームの中に出てくるライバルキャラクターであることを思い出した。その乙女ゲームの中のレイラ=ヴィヴィアンヌは、攻略対象である王太子の婚約者だけど、特にヒロインをいじめたりしていないのに、兄のルート以外では死ぬ運命という不遇なキャラ。死亡フラグを回避するためにレイラは、そもそもゲームの舞台である魔術学園に“学生として”入学しなければいいのでは？と思いつく。そう、レイラは『医務室助手』として学園に入ることを選び、攻略対象たちとヒロインと関わらないようにするが…？</v>
      </c>
      <c r="W537" s="8"/>
      <c r="X537" s="8" t="str">
        <f>IFERROR(__xludf.DUMMYFUNCTION("""COMPUTED_VALUE"""),"有")</f>
        <v>有</v>
      </c>
      <c r="Y537" s="8" t="str">
        <f>IFERROR(__xludf.DUMMYFUNCTION("""COMPUTED_VALUE"""),"8/31まで立ち読み増量P23まで")</f>
        <v>8/31まで立ち読み増量P23まで</v>
      </c>
      <c r="Z537" s="7"/>
      <c r="AA537" s="7"/>
      <c r="AB537" s="7"/>
    </row>
    <row r="538" ht="15.75" customHeight="1">
      <c r="A538" s="8">
        <f>IFERROR(__xludf.DUMMYFUNCTION("""COMPUTED_VALUE"""),2161.0)</f>
        <v>2161</v>
      </c>
      <c r="B538" s="9" t="str">
        <f>IFERROR(__xludf.DUMMYFUNCTION("""COMPUTED_VALUE"""),"確定")</f>
        <v>確定</v>
      </c>
      <c r="C538" s="10">
        <f>IFERROR(__xludf.DUMMYFUNCTION("""COMPUTED_VALUE"""),45119.0)</f>
        <v>45119</v>
      </c>
      <c r="D538" s="10">
        <f>IFERROR(__xludf.DUMMYFUNCTION("""COMPUTED_VALUE"""),45125.0)</f>
        <v>45125</v>
      </c>
      <c r="E538" s="8">
        <f>IFERROR(__xludf.DUMMYFUNCTION("""COMPUTED_VALUE"""),263631.0)</f>
        <v>263631</v>
      </c>
      <c r="F538" s="9" t="str">
        <f>IFERROR(__xludf.DUMMYFUNCTION("""COMPUTED_VALUE"""),"東郷家へ嫁いだ話")</f>
        <v>東郷家へ嫁いだ話</v>
      </c>
      <c r="G538" s="11" t="str">
        <f>IFERROR(__xludf.DUMMYFUNCTION("""COMPUTED_VALUE"""),"1～3")</f>
        <v>1～3</v>
      </c>
      <c r="H538" s="8" t="str">
        <f>IFERROR(__xludf.DUMMYFUNCTION("""COMPUTED_VALUE"""),"清水奏良")</f>
        <v>清水奏良</v>
      </c>
      <c r="I538" s="14" t="str">
        <f>IFERROR(__xludf.DUMMYFUNCTION("""COMPUTED_VALUE"""),"少女")</f>
        <v>少女</v>
      </c>
      <c r="J538" s="8"/>
      <c r="K538" s="8"/>
      <c r="L538" s="8" t="str">
        <f>IFERROR(__xludf.DUMMYFUNCTION("""COMPUTED_VALUE"""),"ソルマーレ編集部")</f>
        <v>ソルマーレ編集部</v>
      </c>
      <c r="M538" s="12">
        <f>IFERROR(__xludf.DUMMYFUNCTION("""COMPUTED_VALUE"""),45157.0)</f>
        <v>45157</v>
      </c>
      <c r="N538" s="12">
        <f>IFERROR(__xludf.DUMMYFUNCTION("""COMPUTED_VALUE"""),45309.70833333333)</f>
        <v>45309.70833</v>
      </c>
      <c r="O538" s="11"/>
      <c r="P538" s="9" t="str">
        <f>IFERROR(__xludf.DUMMYFUNCTION("""COMPUTED_VALUE"""),"可")</f>
        <v>可</v>
      </c>
      <c r="Q538" s="8" t="str">
        <f>IFERROR(__xludf.DUMMYFUNCTION("""COMPUTED_VALUE"""),"正式タイトル&lt;BR&gt;ーーーーー&lt;BR&gt;東郷家へ嫁いだ話&lt;BR&gt;ーーーーー&lt;BR&gt;※鬼の花嫁・妖狐の旦那さまなどシンデレラストーリーをかなり意識した作品であり、画力のクオリティも高いので広告にて獲得伸ばして頂きたい推し作品です。ぜひ宜しくお願い致します。")</f>
        <v>正式タイトル&lt;BR&gt;ーーーーー&lt;BR&gt;東郷家へ嫁いだ話&lt;BR&gt;ーーーーー&lt;BR&gt;※鬼の花嫁・妖狐の旦那さまなどシンデレラストーリーをかなり意識した作品であり、画力のクオリティも高いので広告にて獲得伸ばして頂きたい推し作品です。ぜひ宜しくお願い致します。</v>
      </c>
      <c r="R538" s="9"/>
      <c r="S538" s="8" t="str">
        <f>IFERROR(__xludf.DUMMYFUNCTION("""COMPUTED_VALUE"""),"20230712_ソルマーレ編集部_東郷家へ嫁いだ話")</f>
        <v>20230712_ソルマーレ編集部_東郷家へ嫁いだ話</v>
      </c>
      <c r="T538" s="15"/>
      <c r="U538" s="9" t="str">
        <f>IFERROR(__xludf.DUMMYFUNCTION("""COMPUTED_VALUE"""),"Ⓒ 清水奏良/シーモアコミックス")</f>
        <v>Ⓒ 清水奏良/シーモアコミックス</v>
      </c>
      <c r="V538" s="8" t="str">
        <f>IFERROR(__xludf.DUMMYFUNCTION("""COMPUTED_VALUE"""),"「文さん、私と結婚してくれますか？」
ほぼすべての人間に天与という能力が与えられる世界。
ただ稀に、天与がない人間が生まれ“呪い子”と呼ばれている。
松方文は“呪い子”だ。
幼い頃、天与が発現しなかったため、父親に家を追い出されそうになったが、
使用人として松方家に尽くし生きてきた。
強い天与を持つ弟・樹にはこき使われ、家族に虐げられる日々…。
そんなある日、千里眼の一族・東郷家から松方家に縁談の話がくる。
東郷家の長女と樹の縁談だと思っていたが、
当日、やってきたのは長男の正治で――？
戦では負け知ら"&amp;"ずの千里眼の末裔に見初められた“呪い子”の少女、
婚姻からはじまる異能力ラブファンタジー、開幕！【恋するソワレ】")</f>
        <v>「文さん、私と結婚してくれますか？」
ほぼすべての人間に天与という能力が与えられる世界。
ただ稀に、天与がない人間が生まれ“呪い子”と呼ばれている。
松方文は“呪い子”だ。
幼い頃、天与が発現しなかったため、父親に家を追い出されそうになったが、
使用人として松方家に尽くし生きてきた。
強い天与を持つ弟・樹にはこき使われ、家族に虐げられる日々…。
そんなある日、千里眼の一族・東郷家から松方家に縁談の話がくる。
東郷家の長女と樹の縁談だと思っていたが、
当日、やってきたのは長男の正治で――？
戦では負け知らずの千里眼の末裔に見初められた“呪い子”の少女、
婚姻からはじまる異能力ラブファンタジー、開幕！【恋するソワレ】</v>
      </c>
      <c r="W538" s="8"/>
      <c r="X538" s="8" t="str">
        <f>IFERROR(__xludf.DUMMYFUNCTION("""COMPUTED_VALUE"""),"有")</f>
        <v>有</v>
      </c>
      <c r="Y538" s="8" t="str">
        <f>IFERROR(__xludf.DUMMYFUNCTION("""COMPUTED_VALUE"""),"9/1まで1巻無料")</f>
        <v>9/1まで1巻無料</v>
      </c>
      <c r="Z538" s="7"/>
      <c r="AA538" s="7"/>
      <c r="AB538" s="7"/>
    </row>
    <row r="539" ht="15.75" customHeight="1">
      <c r="A539" s="8">
        <f>IFERROR(__xludf.DUMMYFUNCTION("""COMPUTED_VALUE"""),2162.0)</f>
        <v>2162</v>
      </c>
      <c r="B539" s="9" t="str">
        <f>IFERROR(__xludf.DUMMYFUNCTION("""COMPUTED_VALUE"""),"確定")</f>
        <v>確定</v>
      </c>
      <c r="C539" s="10">
        <f>IFERROR(__xludf.DUMMYFUNCTION("""COMPUTED_VALUE"""),45119.0)</f>
        <v>45119</v>
      </c>
      <c r="D539" s="10">
        <f>IFERROR(__xludf.DUMMYFUNCTION("""COMPUTED_VALUE"""),45125.0)</f>
        <v>45125</v>
      </c>
      <c r="E539" s="8">
        <f>IFERROR(__xludf.DUMMYFUNCTION("""COMPUTED_VALUE"""),272609.0)</f>
        <v>272609</v>
      </c>
      <c r="F539" s="9" t="str">
        <f>IFERROR(__xludf.DUMMYFUNCTION("""COMPUTED_VALUE"""),"獣人騎士の求愛事情【連載版】")</f>
        <v>獣人騎士の求愛事情【連載版】</v>
      </c>
      <c r="G539" s="11" t="str">
        <f>IFERROR(__xludf.DUMMYFUNCTION("""COMPUTED_VALUE"""),"1～3")</f>
        <v>1～3</v>
      </c>
      <c r="H539" s="8" t="str">
        <f>IFERROR(__xludf.DUMMYFUNCTION("""COMPUTED_VALUE"""),"コミック：chany／原作：百門一新／キャラクター原案：晩亭シロ")</f>
        <v>コミック：chany／原作：百門一新／キャラクター原案：晩亭シロ</v>
      </c>
      <c r="I539" s="8" t="str">
        <f>IFERROR(__xludf.DUMMYFUNCTION("""COMPUTED_VALUE"""),"女性")</f>
        <v>女性</v>
      </c>
      <c r="J539" s="8"/>
      <c r="K539" s="8"/>
      <c r="L539" s="8" t="str">
        <f>IFERROR(__xludf.DUMMYFUNCTION("""COMPUTED_VALUE"""),"一迅社")</f>
        <v>一迅社</v>
      </c>
      <c r="M539" s="12">
        <f>IFERROR(__xludf.DUMMYFUNCTION("""COMPUTED_VALUE"""),45139.0)</f>
        <v>45139</v>
      </c>
      <c r="N539" s="12">
        <f>IFERROR(__xludf.DUMMYFUNCTION("""COMPUTED_VALUE"""),45169.0)</f>
        <v>45169</v>
      </c>
      <c r="O539" s="11"/>
      <c r="P539" s="9" t="str">
        <f>IFERROR(__xludf.DUMMYFUNCTION("""COMPUTED_VALUE"""),"否")</f>
        <v>否</v>
      </c>
      <c r="Q539" s="8"/>
      <c r="R539" s="9"/>
      <c r="S539" s="8" t="str">
        <f>IFERROR(__xludf.DUMMYFUNCTION("""COMPUTED_VALUE"""),"20230712_一迅社_8月新作")</f>
        <v>20230712_一迅社_8月新作</v>
      </c>
      <c r="T539" s="9"/>
      <c r="U539" s="9" t="str">
        <f>IFERROR(__xludf.DUMMYFUNCTION("""COMPUTED_VALUE"""),"(C)chany・百門一新・晩亭シロ／一迅社")</f>
        <v>(C)chany・百門一新・晩亭シロ／一迅社</v>
      </c>
      <c r="V539" s="8" t="str">
        <f>IFERROR(__xludf.DUMMYFUNCTION("""COMPUTED_VALUE"""),"獣人貴族の蛇公爵を親友に持つ、人族のエマ。魔法薬の生産師として働く彼女に蛇公爵が頼んだ意外な依頼。それは、聖獣種のユニコーンの獣人で、近衛騎士であるライルの女性への苦手意識を克服するための作戦依頼だった…！？特訓を開始するも、手を握ることからはじまって、恋人同士のようなやりとりも！　 …なんだかスキンシップが激しすぎませんか？ユニコーンの獣人騎士とのレッスンからはじまる求愛ラブファンタジー！【本商品は単話コンテンツとなります。単行本版と収録内容が異なる場合がございます。漫画内の告知等は過去のものとなります"&amp;"ので、ご注意ください。】")</f>
        <v>獣人貴族の蛇公爵を親友に持つ、人族のエマ。魔法薬の生産師として働く彼女に蛇公爵が頼んだ意外な依頼。それは、聖獣種のユニコーンの獣人で、近衛騎士であるライルの女性への苦手意識を克服するための作戦依頼だった…！？特訓を開始するも、手を握ることからはじまって、恋人同士のようなやりとりも！　 …なんだかスキンシップが激しすぎませんか？ユニコーンの獣人騎士とのレッスンからはじまる求愛ラブファンタジー！【本商品は単話コンテンツとなります。単行本版と収録内容が異なる場合がございます。漫画内の告知等は過去のものとなりますので、ご注意ください。】</v>
      </c>
      <c r="W539" s="8"/>
      <c r="X539" s="8" t="str">
        <f>IFERROR(__xludf.DUMMYFUNCTION("""COMPUTED_VALUE"""),"有")</f>
        <v>有</v>
      </c>
      <c r="Y539" s="8" t="str">
        <f>IFERROR(__xludf.DUMMYFUNCTION("""COMPUTED_VALUE"""),"8/31まで1巻無料")</f>
        <v>8/31まで1巻無料</v>
      </c>
      <c r="Z539" s="7"/>
      <c r="AA539" s="7"/>
      <c r="AB539" s="7"/>
    </row>
    <row r="540" ht="15.75" customHeight="1">
      <c r="A540" s="8">
        <f>IFERROR(__xludf.DUMMYFUNCTION("""COMPUTED_VALUE"""),2165.0)</f>
        <v>2165</v>
      </c>
      <c r="B540" s="9" t="str">
        <f>IFERROR(__xludf.DUMMYFUNCTION("""COMPUTED_VALUE"""),"確定")</f>
        <v>確定</v>
      </c>
      <c r="C540" s="10">
        <f>IFERROR(__xludf.DUMMYFUNCTION("""COMPUTED_VALUE"""),45119.0)</f>
        <v>45119</v>
      </c>
      <c r="D540" s="10">
        <f>IFERROR(__xludf.DUMMYFUNCTION("""COMPUTED_VALUE"""),45125.0)</f>
        <v>45125</v>
      </c>
      <c r="E540" s="8">
        <f>IFERROR(__xludf.DUMMYFUNCTION("""COMPUTED_VALUE"""),272608.0)</f>
        <v>272608</v>
      </c>
      <c r="F540" s="9" t="str">
        <f>IFERROR(__xludf.DUMMYFUNCTION("""COMPUTED_VALUE"""),"ぽっちゃり姫と変態王子")</f>
        <v>ぽっちゃり姫と変態王子</v>
      </c>
      <c r="G540" s="11">
        <f>IFERROR(__xludf.DUMMYFUNCTION("""COMPUTED_VALUE"""),1.0)</f>
        <v>1</v>
      </c>
      <c r="H540" s="8" t="str">
        <f>IFERROR(__xludf.DUMMYFUNCTION("""COMPUTED_VALUE"""),"エダム・ア・ロペ/北村シン")</f>
        <v>エダム・ア・ロペ/北村シン</v>
      </c>
      <c r="I540" s="8" t="str">
        <f>IFERROR(__xludf.DUMMYFUNCTION("""COMPUTED_VALUE"""),"TL")</f>
        <v>TL</v>
      </c>
      <c r="J540" s="8"/>
      <c r="K540" s="8"/>
      <c r="L540" s="8" t="str">
        <f>IFERROR(__xludf.DUMMYFUNCTION("""COMPUTED_VALUE"""),"一迅社")</f>
        <v>一迅社</v>
      </c>
      <c r="M540" s="12">
        <f>IFERROR(__xludf.DUMMYFUNCTION("""COMPUTED_VALUE"""),45139.0)</f>
        <v>45139</v>
      </c>
      <c r="N540" s="12">
        <f>IFERROR(__xludf.DUMMYFUNCTION("""COMPUTED_VALUE"""),45169.0)</f>
        <v>45169</v>
      </c>
      <c r="O540" s="11"/>
      <c r="P540" s="9" t="str">
        <f>IFERROR(__xludf.DUMMYFUNCTION("""COMPUTED_VALUE"""),"可")</f>
        <v>可</v>
      </c>
      <c r="Q540" s="8"/>
      <c r="R540" s="9"/>
      <c r="S540" s="8" t="str">
        <f>IFERROR(__xludf.DUMMYFUNCTION("""COMPUTED_VALUE"""),"20230712_一迅社_8月新作")</f>
        <v>20230712_一迅社_8月新作</v>
      </c>
      <c r="T540" s="9"/>
      <c r="U540" s="9" t="str">
        <f>IFERROR(__xludf.DUMMYFUNCTION("""COMPUTED_VALUE"""),"(C)北村シン・エダム・ア・ペロ／一迅社")</f>
        <v>(C)北村シン・エダム・ア・ペロ／一迅社</v>
      </c>
      <c r="V540" s="8" t="str">
        <f>IFERROR(__xludf.DUMMYFUNCTION("""COMPUTED_VALUE"""),"裸婦のモデルになってほしいとお願いされて裸を見られているうちに――？　※この作品は『鬼畜王子に無理やり調教されておかしくなりそうです…！ アンソロジーコミック』収録作品と同一の内容を単話版として再編集したものとなります。
")</f>
        <v>裸婦のモデルになってほしいとお願いされて裸を見られているうちに――？　※この作品は『鬼畜王子に無理やり調教されておかしくなりそうです…！ アンソロジーコミック』収録作品と同一の内容を単話版として再編集したものとなります。
</v>
      </c>
      <c r="W540" s="8"/>
      <c r="X540" s="8" t="str">
        <f>IFERROR(__xludf.DUMMYFUNCTION("""COMPUTED_VALUE"""),"有")</f>
        <v>有</v>
      </c>
      <c r="Y540" s="8" t="str">
        <f>IFERROR(__xludf.DUMMYFUNCTION("""COMPUTED_VALUE"""),"P6まで")</f>
        <v>P6まで</v>
      </c>
      <c r="Z540" s="7"/>
      <c r="AA540" s="7"/>
      <c r="AB540" s="7"/>
    </row>
    <row r="541" ht="15.75" customHeight="1">
      <c r="A541" s="8">
        <f>IFERROR(__xludf.DUMMYFUNCTION("""COMPUTED_VALUE"""),2166.0)</f>
        <v>2166</v>
      </c>
      <c r="B541" s="9" t="str">
        <f>IFERROR(__xludf.DUMMYFUNCTION("""COMPUTED_VALUE"""),"確定")</f>
        <v>確定</v>
      </c>
      <c r="C541" s="10">
        <f>IFERROR(__xludf.DUMMYFUNCTION("""COMPUTED_VALUE"""),45120.0)</f>
        <v>45120</v>
      </c>
      <c r="D541" s="10">
        <f>IFERROR(__xludf.DUMMYFUNCTION("""COMPUTED_VALUE"""),45120.0)</f>
        <v>45120</v>
      </c>
      <c r="E541" s="8">
        <f>IFERROR(__xludf.DUMMYFUNCTION("""COMPUTED_VALUE"""),273693.0)</f>
        <v>273693</v>
      </c>
      <c r="F541" s="9" t="str">
        <f>IFERROR(__xludf.DUMMYFUNCTION("""COMPUTED_VALUE"""),"君は僕の妻じゃない～マガイモノの結婚生活はじめます～【フルカラー】　")</f>
        <v>君は僕の妻じゃない～マガイモノの結婚生活はじめます～【フルカラー】　</v>
      </c>
      <c r="G541" s="11" t="str">
        <f>IFERROR(__xludf.DUMMYFUNCTION("""COMPUTED_VALUE"""),"1~3")</f>
        <v>1~3</v>
      </c>
      <c r="H541" s="8" t="str">
        <f>IFERROR(__xludf.DUMMYFUNCTION("""COMPUTED_VALUE"""),"みゆ兎")</f>
        <v>みゆ兎</v>
      </c>
      <c r="I541" s="8" t="str">
        <f>IFERROR(__xludf.DUMMYFUNCTION("""COMPUTED_VALUE"""),"青年")</f>
        <v>青年</v>
      </c>
      <c r="J541" s="8"/>
      <c r="K541" s="8"/>
      <c r="L541" s="8" t="str">
        <f>IFERROR(__xludf.DUMMYFUNCTION("""COMPUTED_VALUE"""),"コミックストック")</f>
        <v>コミックストック</v>
      </c>
      <c r="M541" s="12">
        <f>IFERROR(__xludf.DUMMYFUNCTION("""COMPUTED_VALUE"""),45147.0)</f>
        <v>45147</v>
      </c>
      <c r="N541" s="12">
        <f>IFERROR(__xludf.DUMMYFUNCTION("""COMPUTED_VALUE"""),45241.0)</f>
        <v>45241</v>
      </c>
      <c r="O541" s="11"/>
      <c r="P541" s="9" t="str">
        <f>IFERROR(__xludf.DUMMYFUNCTION("""COMPUTED_VALUE"""),"可")</f>
        <v>可</v>
      </c>
      <c r="Q541" s="8" t="str">
        <f>IFERROR(__xludf.DUMMYFUNCTION("""COMPUTED_VALUE"""),"協業：シーモア×DEDEDE&lt;BR&gt;素材格納（7/13）※1～3話分が1巻です！")</f>
        <v>協業：シーモア×DEDEDE&lt;BR&gt;素材格納（7/13）※1～3話分が1巻です！</v>
      </c>
      <c r="R541" s="9" t="str">
        <f>IFERROR(__xludf.DUMMYFUNCTION("""COMPUTED_VALUE"""),"格納済（7/13）")</f>
        <v>格納済（7/13）</v>
      </c>
      <c r="S541" s="8" t="str">
        <f>IFERROR(__xludf.DUMMYFUNCTION("""COMPUTED_VALUE"""),"20230713_コミックストック_君は僕の妻じゃない～マガイモノの結婚生活はじめます～【フルカラー】")</f>
        <v>20230713_コミックストック_君は僕の妻じゃない～マガイモノの結婚生活はじめます～【フルカラー】</v>
      </c>
      <c r="T541" s="9" t="str">
        <f>IFERROR(__xludf.DUMMYFUNCTION("""COMPUTED_VALUE"""),"校了済素材")</f>
        <v>校了済素材</v>
      </c>
      <c r="U541" s="9" t="str">
        <f>IFERROR(__xludf.DUMMYFUNCTION("""COMPUTED_VALUE"""),"ⓒみゆ兎/コミックストック")</f>
        <v>ⓒみゆ兎/コミックストック</v>
      </c>
      <c r="V541" s="8" t="str">
        <f>IFERROR(__xludf.DUMMYFUNCTION("""COMPUTED_VALUE"""),"【このマンションは夫婦・恋人限定。違反した場合は莫大な違約金を支払い、即刻退去】このマンションで穏やかな結婚生活を築いていこう。二人で決めた新居に引っ越したその日――――俺の妻「トウコ」は消えた。いや！きっと何か理由があって、必ず帰ってくるはずだ！諦めきれない俺は彼女を探し続けた。そして１年、マンション管理人に妻はいると嘘をつき続け…そろそろ限界を感じたある日、一人の女性と出会う。「トウコ？」驚くほど妻に似ているけど、性格は似ても似つかない全くの別人。話を聞けば、彼女は住む家がないホームレスらしい。そこで"&amp;"…俺は一つの提案を彼女にする――「俺の妻（仮）になってくれ！」妻が、トウコが戻る日まで。")</f>
        <v>【このマンションは夫婦・恋人限定。違反した場合は莫大な違約金を支払い、即刻退去】このマンションで穏やかな結婚生活を築いていこう。二人で決めた新居に引っ越したその日――――俺の妻「トウコ」は消えた。いや！きっと何か理由があって、必ず帰ってくるはずだ！諦めきれない俺は彼女を探し続けた。そして１年、マンション管理人に妻はいると嘘をつき続け…そろそろ限界を感じたある日、一人の女性と出会う。「トウコ？」驚くほど妻に似ているけど、性格は似ても似つかない全くの別人。話を聞けば、彼女は住む家がないホームレスらしい。そこで…俺は一つの提案を彼女にする――「俺の妻（仮）になってくれ！」妻が、トウコが戻る日まで。</v>
      </c>
      <c r="W541" s="8"/>
      <c r="X541" s="8" t="str">
        <f>IFERROR(__xludf.DUMMYFUNCTION("""COMPUTED_VALUE"""),"有")</f>
        <v>有</v>
      </c>
      <c r="Y541" s="8" t="str">
        <f>IFERROR(__xludf.DUMMYFUNCTION("""COMPUTED_VALUE"""),"P10まで")</f>
        <v>P10まで</v>
      </c>
      <c r="Z541" s="7"/>
      <c r="AA541" s="7"/>
      <c r="AB541" s="7"/>
    </row>
    <row r="542" ht="15.75" customHeight="1">
      <c r="A542" s="8">
        <f>IFERROR(__xludf.DUMMYFUNCTION("""COMPUTED_VALUE"""),2177.0)</f>
        <v>2177</v>
      </c>
      <c r="B542" s="9" t="str">
        <f>IFERROR(__xludf.DUMMYFUNCTION("""COMPUTED_VALUE"""),"確定")</f>
        <v>確定</v>
      </c>
      <c r="C542" s="10">
        <f>IFERROR(__xludf.DUMMYFUNCTION("""COMPUTED_VALUE"""),45121.0)</f>
        <v>45121</v>
      </c>
      <c r="D542" s="10">
        <f>IFERROR(__xludf.DUMMYFUNCTION("""COMPUTED_VALUE"""),45121.0)</f>
        <v>45121</v>
      </c>
      <c r="E542" s="8">
        <f>IFERROR(__xludf.DUMMYFUNCTION("""COMPUTED_VALUE"""),180893.0)</f>
        <v>180893</v>
      </c>
      <c r="F542" s="9" t="str">
        <f>IFERROR(__xludf.DUMMYFUNCTION("""COMPUTED_VALUE"""),"俺の陥没ちくびが、先輩の舌ピで勃ちました。【単行本版特典ペーパー付き】")</f>
        <v>俺の陥没ちくびが、先輩の舌ピで勃ちました。【単行本版特典ペーパー付き】</v>
      </c>
      <c r="G542" s="11">
        <f>IFERROR(__xludf.DUMMYFUNCTION("""COMPUTED_VALUE"""),4.0)</f>
        <v>4</v>
      </c>
      <c r="H542" s="8" t="str">
        <f>IFERROR(__xludf.DUMMYFUNCTION("""COMPUTED_VALUE"""),"鳥丸太郎")</f>
        <v>鳥丸太郎</v>
      </c>
      <c r="I542" s="14" t="str">
        <f>IFERROR(__xludf.DUMMYFUNCTION("""COMPUTED_VALUE"""),"BL")</f>
        <v>BL</v>
      </c>
      <c r="J542" s="8"/>
      <c r="K542" s="8"/>
      <c r="L542" s="8" t="str">
        <f>IFERROR(__xludf.DUMMYFUNCTION("""COMPUTED_VALUE"""),"スクリーモ")</f>
        <v>スクリーモ</v>
      </c>
      <c r="M542" s="12">
        <f>IFERROR(__xludf.DUMMYFUNCTION("""COMPUTED_VALUE"""),45148.0)</f>
        <v>45148</v>
      </c>
      <c r="N542" s="12">
        <f>IFERROR(__xludf.DUMMYFUNCTION("""COMPUTED_VALUE"""),2958465.0)</f>
        <v>2958465</v>
      </c>
      <c r="O542" s="11"/>
      <c r="P542" s="9" t="str">
        <f>IFERROR(__xludf.DUMMYFUNCTION("""COMPUTED_VALUE"""),"可")</f>
        <v>可</v>
      </c>
      <c r="Q542" s="8" t="str">
        <f>IFERROR(__xludf.DUMMYFUNCTION("""COMPUTED_VALUE"""),"シーモア限定BOOKの作品です。")</f>
        <v>シーモア限定BOOKの作品です。</v>
      </c>
      <c r="R542" s="9"/>
      <c r="S542" s="8" t="str">
        <f>IFERROR(__xludf.DUMMYFUNCTION("""COMPUTED_VALUE"""),"20230714_ウェイブ_俺の陥没ちくびが、先輩の舌ピで勃ちました。")</f>
        <v>20230714_ウェイブ_俺の陥没ちくびが、先輩の舌ピで勃ちました。</v>
      </c>
      <c r="T542" s="9"/>
      <c r="U542" s="9" t="str">
        <f>IFERROR(__xludf.DUMMYFUNCTION("""COMPUTED_VALUE"""),"©鳥丸太郎／スクリーモ")</f>
        <v>©鳥丸太郎／スクリーモ</v>
      </c>
      <c r="V542" s="8" t="str">
        <f>IFERROR(__xludf.DUMMYFUNCTION("""COMPUTED_VALUE"""),"「ちゃんと出てきたぞ、乳首」大学生、女の子にそこそこモテるのに手を出せず、さえない日々を送る俺。その原因は、この胸の「陥没乳首」のせい…。その上、それがよりにもよってサークルのモテ男・トーヤ先輩にバレてしまった！バカにされると思いきや、変なスイッチが入った先輩は執拗に舐め始めて…!?乳首の溝をグリグリと押し進んでハマる舌ピ。なにこれ…っ、変な声でる…！　※この作品は過去、電子書籍「俺の陥没ちくびが、先輩の舌ピで勃ちました。１～６巻」に掲載されました。重複購入にご注意下さい。さらに、紙書籍発売時の特典ペーパ"&amp;"ーを収録！！")</f>
        <v>「ちゃんと出てきたぞ、乳首」大学生、女の子にそこそこモテるのに手を出せず、さえない日々を送る俺。その原因は、この胸の「陥没乳首」のせい…。その上、それがよりにもよってサークルのモテ男・トーヤ先輩にバレてしまった！バカにされると思いきや、変なスイッチが入った先輩は執拗に舐め始めて…!?乳首の溝をグリグリと押し進んでハマる舌ピ。なにこれ…っ、変な声でる…！　※この作品は過去、電子書籍「俺の陥没ちくびが、先輩の舌ピで勃ちました。１～６巻」に掲載されました。重複購入にご注意下さい。さらに、紙書籍発売時の特典ペーパーを収録！！</v>
      </c>
      <c r="W542" s="8"/>
      <c r="X542" s="8" t="str">
        <f>IFERROR(__xludf.DUMMYFUNCTION("""COMPUTED_VALUE"""),"有")</f>
        <v>有</v>
      </c>
      <c r="Y542" s="8" t="str">
        <f>IFERROR(__xludf.DUMMYFUNCTION("""COMPUTED_VALUE"""),"9/10まで立ち読み増量P48まで")</f>
        <v>9/10まで立ち読み増量P48まで</v>
      </c>
      <c r="Z542" s="7"/>
      <c r="AA542" s="7"/>
      <c r="AB542" s="7"/>
    </row>
    <row r="543" ht="15.75" customHeight="1">
      <c r="A543" s="8">
        <f>IFERROR(__xludf.DUMMYFUNCTION("""COMPUTED_VALUE"""),2178.0)</f>
        <v>2178</v>
      </c>
      <c r="B543" s="9" t="str">
        <f>IFERROR(__xludf.DUMMYFUNCTION("""COMPUTED_VALUE"""),"確定")</f>
        <v>確定</v>
      </c>
      <c r="C543" s="10">
        <f>IFERROR(__xludf.DUMMYFUNCTION("""COMPUTED_VALUE"""),45121.0)</f>
        <v>45121</v>
      </c>
      <c r="D543" s="10">
        <f>IFERROR(__xludf.DUMMYFUNCTION("""COMPUTED_VALUE"""),45121.0)</f>
        <v>45121</v>
      </c>
      <c r="E543" s="8">
        <f>IFERROR(__xludf.DUMMYFUNCTION("""COMPUTED_VALUE"""),145795.0)</f>
        <v>145795</v>
      </c>
      <c r="F543" s="9" t="str">
        <f>IFERROR(__xludf.DUMMYFUNCTION("""COMPUTED_VALUE"""),"妊男～男子校で妊娠した俺。【単行本版特典ペーパー付き】")</f>
        <v>妊男～男子校で妊娠した俺。【単行本版特典ペーパー付き】</v>
      </c>
      <c r="G543" s="11">
        <f>IFERROR(__xludf.DUMMYFUNCTION("""COMPUTED_VALUE"""),6.0)</f>
        <v>6</v>
      </c>
      <c r="H543" s="8" t="str">
        <f>IFERROR(__xludf.DUMMYFUNCTION("""COMPUTED_VALUE"""),"真澄弥")</f>
        <v>真澄弥</v>
      </c>
      <c r="I543" s="14" t="str">
        <f>IFERROR(__xludf.DUMMYFUNCTION("""COMPUTED_VALUE"""),"BL")</f>
        <v>BL</v>
      </c>
      <c r="J543" s="8"/>
      <c r="K543" s="8"/>
      <c r="L543" s="8" t="str">
        <f>IFERROR(__xludf.DUMMYFUNCTION("""COMPUTED_VALUE"""),"スクリーモ")</f>
        <v>スクリーモ</v>
      </c>
      <c r="M543" s="12">
        <f>IFERROR(__xludf.DUMMYFUNCTION("""COMPUTED_VALUE"""),45148.0)</f>
        <v>45148</v>
      </c>
      <c r="N543" s="12">
        <f>IFERROR(__xludf.DUMMYFUNCTION("""COMPUTED_VALUE"""),2958465.0)</f>
        <v>2958465</v>
      </c>
      <c r="O543" s="11"/>
      <c r="P543" s="9" t="str">
        <f>IFERROR(__xludf.DUMMYFUNCTION("""COMPUTED_VALUE"""),"可")</f>
        <v>可</v>
      </c>
      <c r="Q543" s="8" t="str">
        <f>IFERROR(__xludf.DUMMYFUNCTION("""COMPUTED_VALUE"""),"シーモア限定BOOKの作品です。")</f>
        <v>シーモア限定BOOKの作品です。</v>
      </c>
      <c r="R543" s="9"/>
      <c r="S543" s="8" t="str">
        <f>IFERROR(__xludf.DUMMYFUNCTION("""COMPUTED_VALUE"""),"20230714_ウェイブ_妊男～男子校で妊娠した俺｡")</f>
        <v>20230714_ウェイブ_妊男～男子校で妊娠した俺｡</v>
      </c>
      <c r="T543" s="9"/>
      <c r="U543" s="9" t="str">
        <f>IFERROR(__xludf.DUMMYFUNCTION("""COMPUTED_VALUE"""),"©真澄弥／スクリーモ")</f>
        <v>©真澄弥／スクリーモ</v>
      </c>
      <c r="V543" s="8" t="str">
        <f>IFERROR(__xludf.DUMMYFUNCTION("""COMPUTED_VALUE"""),"人口減少対策として一部の男性が妊娠可能な『妊男』になった日本。郁巳は妊男でありながら、その体質を受け入れることができず、周囲に隠して生活していた。しかし、一番知られたくなかった幼馴染・智晴にそれがバレる。抵抗する郁巳を押さえつけ、愛撫を始める智晴。妊娠なんて絶対嫌なのに、身体は勝手に感じてしまい…。そして、妊男のフェロモンは智晴をどんどん狂わせていく――。　※この作品は過去、電子書籍「妊男～男子校で妊娠した俺。【合本版】１～３巻」に掲載されました。重複購入にご注意下さい。　※この作品は過去、電子書籍「妊男"&amp;"～男子校で妊娠した俺。【分冊版】１～６巻」に掲載されました。重複購入にご注意下さい。")</f>
        <v>人口減少対策として一部の男性が妊娠可能な『妊男』になった日本。郁巳は妊男でありながら、その体質を受け入れることができず、周囲に隠して生活していた。しかし、一番知られたくなかった幼馴染・智晴にそれがバレる。抵抗する郁巳を押さえつけ、愛撫を始める智晴。妊娠なんて絶対嫌なのに、身体は勝手に感じてしまい…。そして、妊男のフェロモンは智晴をどんどん狂わせていく――。　※この作品は過去、電子書籍「妊男～男子校で妊娠した俺。【合本版】１～３巻」に掲載されました。重複購入にご注意下さい。　※この作品は過去、電子書籍「妊男～男子校で妊娠した俺。【分冊版】１～６巻」に掲載されました。重複購入にご注意下さい。</v>
      </c>
      <c r="W543" s="8"/>
      <c r="X543" s="8" t="str">
        <f>IFERROR(__xludf.DUMMYFUNCTION("""COMPUTED_VALUE"""),"有")</f>
        <v>有</v>
      </c>
      <c r="Y543" s="8" t="str">
        <f>IFERROR(__xludf.DUMMYFUNCTION("""COMPUTED_VALUE"""),"9/10まで立ち読み増量P164まで")</f>
        <v>9/10まで立ち読み増量P164まで</v>
      </c>
      <c r="Z543" s="7"/>
      <c r="AA543" s="7"/>
      <c r="AB543" s="7"/>
    </row>
    <row r="544" ht="15.75" customHeight="1">
      <c r="A544" s="8">
        <f>IFERROR(__xludf.DUMMYFUNCTION("""COMPUTED_VALUE"""),2179.0)</f>
        <v>2179</v>
      </c>
      <c r="B544" s="9" t="str">
        <f>IFERROR(__xludf.DUMMYFUNCTION("""COMPUTED_VALUE"""),"確定")</f>
        <v>確定</v>
      </c>
      <c r="C544" s="10">
        <f>IFERROR(__xludf.DUMMYFUNCTION("""COMPUTED_VALUE"""),45121.0)</f>
        <v>45121</v>
      </c>
      <c r="D544" s="10">
        <f>IFERROR(__xludf.DUMMYFUNCTION("""COMPUTED_VALUE"""),45121.0)</f>
        <v>45121</v>
      </c>
      <c r="E544" s="8">
        <f>IFERROR(__xludf.DUMMYFUNCTION("""COMPUTED_VALUE"""),206935.0)</f>
        <v>206935</v>
      </c>
      <c r="F544" s="9" t="str">
        <f>IFERROR(__xludf.DUMMYFUNCTION("""COMPUTED_VALUE"""),"佐久間くんと多喜くん、結婚するらしいよ【単行本版特典ペーパー付き】")</f>
        <v>佐久間くんと多喜くん、結婚するらしいよ【単行本版特典ペーパー付き】</v>
      </c>
      <c r="G544" s="11">
        <f>IFERROR(__xludf.DUMMYFUNCTION("""COMPUTED_VALUE"""),3.0)</f>
        <v>3</v>
      </c>
      <c r="H544" s="8" t="str">
        <f>IFERROR(__xludf.DUMMYFUNCTION("""COMPUTED_VALUE"""),"七緒")</f>
        <v>七緒</v>
      </c>
      <c r="I544" s="14" t="str">
        <f>IFERROR(__xludf.DUMMYFUNCTION("""COMPUTED_VALUE"""),"BL")</f>
        <v>BL</v>
      </c>
      <c r="J544" s="8"/>
      <c r="K544" s="8"/>
      <c r="L544" s="8" t="str">
        <f>IFERROR(__xludf.DUMMYFUNCTION("""COMPUTED_VALUE"""),"スクリーモ")</f>
        <v>スクリーモ</v>
      </c>
      <c r="M544" s="12">
        <f>IFERROR(__xludf.DUMMYFUNCTION("""COMPUTED_VALUE"""),45148.0)</f>
        <v>45148</v>
      </c>
      <c r="N544" s="12">
        <f>IFERROR(__xludf.DUMMYFUNCTION("""COMPUTED_VALUE"""),2958465.0)</f>
        <v>2958465</v>
      </c>
      <c r="O544" s="11"/>
      <c r="P544" s="9" t="str">
        <f>IFERROR(__xludf.DUMMYFUNCTION("""COMPUTED_VALUE"""),"可")</f>
        <v>可</v>
      </c>
      <c r="Q544" s="8" t="str">
        <f>IFERROR(__xludf.DUMMYFUNCTION("""COMPUTED_VALUE"""),"シーモア限定BOOKの作品です。")</f>
        <v>シーモア限定BOOKの作品です。</v>
      </c>
      <c r="R544" s="9"/>
      <c r="S544" s="8" t="str">
        <f>IFERROR(__xludf.DUMMYFUNCTION("""COMPUTED_VALUE"""),"20230714_ウェイブ_佐久間くんと多喜くん､結婚するらしいよ")</f>
        <v>20230714_ウェイブ_佐久間くんと多喜くん､結婚するらしいよ</v>
      </c>
      <c r="T544" s="9"/>
      <c r="U544" s="9" t="str">
        <f>IFERROR(__xludf.DUMMYFUNCTION("""COMPUTED_VALUE"""),"©七緒／スクリーモ")</f>
        <v>©七緒／スクリーモ</v>
      </c>
      <c r="V544" s="8" t="str">
        <f>IFERROR(__xludf.DUMMYFUNCTION("""COMPUTED_VALUE"""),"この２人、こうみえて新婚さん！？大学時代、童貞同士と発覚してからなぜか「抜き合う」関係になった佐久間と多喜。社会人になった今も変わらず、同じ会社の同僚として働いている。明るくて人気者の佐久間と、大人しいタイプの多喜。一見不思議な組み合わせでも、ずっとこのまま……と思っていたある日、「佐久間くん、もうすぐ結婚するらしいよ」多喜は衝撃の噂を耳にしてしまい――！？　※この作品は過去、電子書籍「佐久間くんと多喜くん、結婚するらしいよ１～６巻」に掲載されました。重複購入にご注意下さい。")</f>
        <v>この２人、こうみえて新婚さん！？大学時代、童貞同士と発覚してからなぜか「抜き合う」関係になった佐久間と多喜。社会人になった今も変わらず、同じ会社の同僚として働いている。明るくて人気者の佐久間と、大人しいタイプの多喜。一見不思議な組み合わせでも、ずっとこのまま……と思っていたある日、「佐久間くん、もうすぐ結婚するらしいよ」多喜は衝撃の噂を耳にしてしまい――！？　※この作品は過去、電子書籍「佐久間くんと多喜くん、結婚するらしいよ１～６巻」に掲載されました。重複購入にご注意下さい。</v>
      </c>
      <c r="W544" s="8"/>
      <c r="X544" s="8" t="str">
        <f>IFERROR(__xludf.DUMMYFUNCTION("""COMPUTED_VALUE"""),"有")</f>
        <v>有</v>
      </c>
      <c r="Y544" s="8" t="str">
        <f>IFERROR(__xludf.DUMMYFUNCTION("""COMPUTED_VALUE"""),"9/10まで立ち読み増量P48まで")</f>
        <v>9/10まで立ち読み増量P48まで</v>
      </c>
      <c r="Z544" s="7"/>
      <c r="AA544" s="7"/>
      <c r="AB544" s="7"/>
    </row>
    <row r="545" ht="113.25" customHeight="1">
      <c r="A545" s="8">
        <f>IFERROR(__xludf.DUMMYFUNCTION("""COMPUTED_VALUE"""),2182.0)</f>
        <v>2182</v>
      </c>
      <c r="B545" s="9" t="str">
        <f>IFERROR(__xludf.DUMMYFUNCTION("""COMPUTED_VALUE"""),"確定")</f>
        <v>確定</v>
      </c>
      <c r="C545" s="10">
        <f>IFERROR(__xludf.DUMMYFUNCTION("""COMPUTED_VALUE"""),45125.0)</f>
        <v>45125</v>
      </c>
      <c r="D545" s="10">
        <f>IFERROR(__xludf.DUMMYFUNCTION("""COMPUTED_VALUE"""),45125.0)</f>
        <v>45125</v>
      </c>
      <c r="E545" s="8">
        <f>IFERROR(__xludf.DUMMYFUNCTION("""COMPUTED_VALUE"""),257747.0)</f>
        <v>257747</v>
      </c>
      <c r="F545" s="9" t="str">
        <f>IFERROR(__xludf.DUMMYFUNCTION("""COMPUTED_VALUE"""),"異邦人(フルカラー)")</f>
        <v>異邦人(フルカラー)</v>
      </c>
      <c r="G545" s="11" t="str">
        <f>IFERROR(__xludf.DUMMYFUNCTION("""COMPUTED_VALUE"""),"1～3")</f>
        <v>1～3</v>
      </c>
      <c r="H545" s="8" t="str">
        <f>IFERROR(__xludf.DUMMYFUNCTION("""COMPUTED_VALUE"""),"CHUB,鮮明")</f>
        <v>CHUB,鮮明</v>
      </c>
      <c r="I545" s="14" t="str">
        <f>IFERROR(__xludf.DUMMYFUNCTION("""COMPUTED_VALUE"""),"BL")</f>
        <v>BL</v>
      </c>
      <c r="J545" s="8"/>
      <c r="K545" s="8"/>
      <c r="L545" s="8" t="str">
        <f>IFERROR(__xludf.DUMMYFUNCTION("""COMPUTED_VALUE"""),"ソルマーレ編集部")</f>
        <v>ソルマーレ編集部</v>
      </c>
      <c r="M545" s="12">
        <f>IFERROR(__xludf.DUMMYFUNCTION("""COMPUTED_VALUE"""),45157.0)</f>
        <v>45157</v>
      </c>
      <c r="N545" s="12">
        <f>IFERROR(__xludf.DUMMYFUNCTION("""COMPUTED_VALUE"""),45218.0)</f>
        <v>45218</v>
      </c>
      <c r="O545" s="11"/>
      <c r="P545" s="9" t="str">
        <f>IFERROR(__xludf.DUMMYFUNCTION("""COMPUTED_VALUE"""),"可")</f>
        <v>可</v>
      </c>
      <c r="Q545" s="8" t="str">
        <f>IFERROR(__xludf.DUMMYFUNCTION("""COMPUTED_VALUE"""),"※tifデータについて完成次第格納します。7/21完成予定です。（7/18）&lt;BR&gt;※正式タイトル下記の通りです（7/18）&lt;BR&gt;＝＝＝&lt;BR&gt;異邦人(フルカラー)&lt;BR&gt;＝＝＝&lt;BR&gt;")</f>
        <v>※tifデータについて完成次第格納します。7/21完成予定です。（7/18）&lt;BR&gt;※正式タイトル下記の通りです（7/18）&lt;BR&gt;＝＝＝&lt;BR&gt;異邦人(フルカラー)&lt;BR&gt;＝＝＝&lt;BR&gt;</v>
      </c>
      <c r="R545" s="9"/>
      <c r="S545" s="8" t="str">
        <f>IFERROR(__xludf.DUMMYFUNCTION("""COMPUTED_VALUE"""),"20230718_ソルマーレ編集部_異邦人（フルカラー）")</f>
        <v>20230718_ソルマーレ編集部_異邦人（フルカラー）</v>
      </c>
      <c r="T545" s="15"/>
      <c r="U545" s="9" t="str">
        <f>IFERROR(__xludf.DUMMYFUNCTION("""COMPUTED_VALUE"""),"Ⓒ CHUB,鮮明/シーモアコミックス")</f>
        <v>Ⓒ CHUB,鮮明/シーモアコミックス</v>
      </c>
      <c r="V545" s="8" t="str">
        <f>IFERROR(__xludf.DUMMYFUNCTION("""COMPUTED_VALUE"""),"生き残るためにどれだけ努力を重ねても報われない。この世界のどこにも居場所なんてない。すべてに虚しくなっていた碧(あおい)の前に突然 現れたのは検事の縁家(えんや)で、彼は見知らぬ碧に衣食住を提供してくれるという。「俺に何をして欲しいの？」「何も」見返りを求めない優しさはないと学んできた碧は縁家の言うことが理解できず彼を疑うが、共に過ごすうちに彼の言葉を信じたいと思うようになり…。孤独を抱える二人のセンシティブ・ストーリー。【フィカス】")</f>
        <v>生き残るためにどれだけ努力を重ねても報われない。この世界のどこにも居場所なんてない。すべてに虚しくなっていた碧(あおい)の前に突然 現れたのは検事の縁家(えんや)で、彼は見知らぬ碧に衣食住を提供してくれるという。「俺に何をして欲しいの？」「何も」見返りを求めない優しさはないと学んできた碧は縁家の言うことが理解できず彼を疑うが、共に過ごすうちに彼の言葉を信じたいと思うようになり…。孤独を抱える二人のセンシティブ・ストーリー。【フィカス】</v>
      </c>
      <c r="W545" s="8"/>
      <c r="X545" s="8" t="str">
        <f>IFERROR(__xludf.DUMMYFUNCTION("""COMPUTED_VALUE"""),"有")</f>
        <v>有</v>
      </c>
      <c r="Y545" s="8" t="str">
        <f>IFERROR(__xludf.DUMMYFUNCTION("""COMPUTED_VALUE"""),"P14まで")</f>
        <v>P14まで</v>
      </c>
      <c r="Z545" s="7"/>
      <c r="AA545" s="7"/>
      <c r="AB545" s="7"/>
    </row>
    <row r="546" ht="117.0" customHeight="1">
      <c r="A546" s="8">
        <f>IFERROR(__xludf.DUMMYFUNCTION("""COMPUTED_VALUE"""),2183.0)</f>
        <v>2183</v>
      </c>
      <c r="B546" s="9" t="str">
        <f>IFERROR(__xludf.DUMMYFUNCTION("""COMPUTED_VALUE"""),"確定")</f>
        <v>確定</v>
      </c>
      <c r="C546" s="10">
        <f>IFERROR(__xludf.DUMMYFUNCTION("""COMPUTED_VALUE"""),45125.0)</f>
        <v>45125</v>
      </c>
      <c r="D546" s="10">
        <f>IFERROR(__xludf.DUMMYFUNCTION("""COMPUTED_VALUE"""),45125.0)</f>
        <v>45125</v>
      </c>
      <c r="E546" s="8">
        <f>IFERROR(__xludf.DUMMYFUNCTION("""COMPUTED_VALUE"""),257748.0)</f>
        <v>257748</v>
      </c>
      <c r="F546" s="9" t="str">
        <f>IFERROR(__xludf.DUMMYFUNCTION("""COMPUTED_VALUE"""),"異邦人【タテヨミ】")</f>
        <v>異邦人【タテヨミ】</v>
      </c>
      <c r="G546" s="11" t="str">
        <f>IFERROR(__xludf.DUMMYFUNCTION("""COMPUTED_VALUE"""),"1～9")</f>
        <v>1～9</v>
      </c>
      <c r="H546" s="8" t="str">
        <f>IFERROR(__xludf.DUMMYFUNCTION("""COMPUTED_VALUE"""),"CHUB,鮮明")</f>
        <v>CHUB,鮮明</v>
      </c>
      <c r="I546" s="14" t="str">
        <f>IFERROR(__xludf.DUMMYFUNCTION("""COMPUTED_VALUE"""),"BL")</f>
        <v>BL</v>
      </c>
      <c r="J546" s="8"/>
      <c r="K546" s="8"/>
      <c r="L546" s="8" t="str">
        <f>IFERROR(__xludf.DUMMYFUNCTION("""COMPUTED_VALUE"""),"ソルマーレ編集部")</f>
        <v>ソルマーレ編集部</v>
      </c>
      <c r="M546" s="12">
        <f>IFERROR(__xludf.DUMMYFUNCTION("""COMPUTED_VALUE"""),45157.0)</f>
        <v>45157</v>
      </c>
      <c r="N546" s="12">
        <f>IFERROR(__xludf.DUMMYFUNCTION("""COMPUTED_VALUE"""),45218.0)</f>
        <v>45218</v>
      </c>
      <c r="O546" s="11"/>
      <c r="P546" s="9" t="str">
        <f>IFERROR(__xludf.DUMMYFUNCTION("""COMPUTED_VALUE"""),"可")</f>
        <v>可</v>
      </c>
      <c r="Q546" s="8" t="str">
        <f>IFERROR(__xludf.DUMMYFUNCTION("""COMPUTED_VALUE"""),"※正式タイトル下記の通りです（7/18）&lt;BR&gt;＝＝＝&lt;BR&gt;異邦人【タテヨミ】&lt;BR&gt;＝＝＝&lt;BR&gt;※コマサム等素材は257747　異邦人（フルカラー）」のほうをお使いください。&lt;BR&gt;バナー制作はフルカラー版の素材を利用して問題ございません。&lt;BR&gt;")</f>
        <v>※正式タイトル下記の通りです（7/18）&lt;BR&gt;＝＝＝&lt;BR&gt;異邦人【タテヨミ】&lt;BR&gt;＝＝＝&lt;BR&gt;※コマサム等素材は257747　異邦人（フルカラー）」のほうをお使いください。&lt;BR&gt;バナー制作はフルカラー版の素材を利用して問題ございません。&lt;BR&gt;</v>
      </c>
      <c r="R546" s="9"/>
      <c r="S546" s="8" t="str">
        <f>IFERROR(__xludf.DUMMYFUNCTION("""COMPUTED_VALUE"""),"20230718_ソルマーレ編集部_異邦人【タテヨミ】")</f>
        <v>20230718_ソルマーレ編集部_異邦人【タテヨミ】</v>
      </c>
      <c r="T546" s="15"/>
      <c r="U546" s="9" t="str">
        <f>IFERROR(__xludf.DUMMYFUNCTION("""COMPUTED_VALUE"""),"Ⓒ CHUB,鮮明/シーモアコミックス")</f>
        <v>Ⓒ CHUB,鮮明/シーモアコミックス</v>
      </c>
      <c r="V546" s="8" t="str">
        <f>IFERROR(__xludf.DUMMYFUNCTION("""COMPUTED_VALUE"""),"生き残るためにどれだけ努力を重ねても報われない。この世界のどこにも居場所なんてない。すべてに虚しくなっていた碧(あおい)の前に突然 現れたのは検事の縁家(えんや)で、彼は見知らぬ碧に衣食住を提供してくれるという。「俺に何をして欲しいの？」「何も」見返りを求めない優しさはないと学んできた碧は縁家の言うことが理解できず彼を疑うが、共に過ごすうちに彼の言葉を信じたいと思うようになり…。孤独を抱える二人のセンシティブ・ストーリー。【フィカス】")</f>
        <v>生き残るためにどれだけ努力を重ねても報われない。この世界のどこにも居場所なんてない。すべてに虚しくなっていた碧(あおい)の前に突然 現れたのは検事の縁家(えんや)で、彼は見知らぬ碧に衣食住を提供してくれるという。「俺に何をして欲しいの？」「何も」見返りを求めない優しさはないと学んできた碧は縁家の言うことが理解できず彼を疑うが、共に過ごすうちに彼の言葉を信じたいと思うようになり…。孤独を抱える二人のセンシティブ・ストーリー。【フィカス】</v>
      </c>
      <c r="W546" s="8"/>
      <c r="X546" s="8" t="str">
        <f>IFERROR(__xludf.DUMMYFUNCTION("""COMPUTED_VALUE"""),"有")</f>
        <v>有</v>
      </c>
      <c r="Y546" s="8" t="str">
        <f>IFERROR(__xludf.DUMMYFUNCTION("""COMPUTED_VALUE"""),"P20まで")</f>
        <v>P20まで</v>
      </c>
      <c r="Z546" s="7"/>
      <c r="AA546" s="7"/>
      <c r="AB546" s="7"/>
    </row>
    <row r="547" ht="112.5" customHeight="1">
      <c r="A547" s="8">
        <f>IFERROR(__xludf.DUMMYFUNCTION("""COMPUTED_VALUE"""),2184.0)</f>
        <v>2184</v>
      </c>
      <c r="B547" s="9" t="str">
        <f>IFERROR(__xludf.DUMMYFUNCTION("""COMPUTED_VALUE"""),"確定")</f>
        <v>確定</v>
      </c>
      <c r="C547" s="10">
        <f>IFERROR(__xludf.DUMMYFUNCTION("""COMPUTED_VALUE"""),45125.0)</f>
        <v>45125</v>
      </c>
      <c r="D547" s="10">
        <f>IFERROR(__xludf.DUMMYFUNCTION("""COMPUTED_VALUE"""),45126.0)</f>
        <v>45126</v>
      </c>
      <c r="E547" s="8">
        <f>IFERROR(__xludf.DUMMYFUNCTION("""COMPUTED_VALUE"""),259794.0)</f>
        <v>259794</v>
      </c>
      <c r="F547" s="9" t="str">
        <f>IFERROR(__xludf.DUMMYFUNCTION("""COMPUTED_VALUE"""),"二段ベッド(フルカラー)")</f>
        <v>二段ベッド(フルカラー)</v>
      </c>
      <c r="G547" s="11" t="str">
        <f>IFERROR(__xludf.DUMMYFUNCTION("""COMPUTED_VALUE"""),"1～3")</f>
        <v>1～3</v>
      </c>
      <c r="H547" s="8" t="str">
        <f>IFERROR(__xludf.DUMMYFUNCTION("""COMPUTED_VALUE"""),"Grid17,ハギョン")</f>
        <v>Grid17,ハギョン</v>
      </c>
      <c r="I547" s="14" t="str">
        <f>IFERROR(__xludf.DUMMYFUNCTION("""COMPUTED_VALUE"""),"青年")</f>
        <v>青年</v>
      </c>
      <c r="J547" s="8"/>
      <c r="K547" s="8"/>
      <c r="L547" s="8" t="str">
        <f>IFERROR(__xludf.DUMMYFUNCTION("""COMPUTED_VALUE"""),"ソルマーレ編集部")</f>
        <v>ソルマーレ編集部</v>
      </c>
      <c r="M547" s="12">
        <f>IFERROR(__xludf.DUMMYFUNCTION("""COMPUTED_VALUE"""),45157.0)</f>
        <v>45157</v>
      </c>
      <c r="N547" s="12">
        <f>IFERROR(__xludf.DUMMYFUNCTION("""COMPUTED_VALUE"""),45218.0)</f>
        <v>45218</v>
      </c>
      <c r="O547" s="11"/>
      <c r="P547" s="9" t="str">
        <f>IFERROR(__xludf.DUMMYFUNCTION("""COMPUTED_VALUE"""),"可")</f>
        <v>可</v>
      </c>
      <c r="Q547" s="8" t="str">
        <f>IFERROR(__xludf.DUMMYFUNCTION("""COMPUTED_VALUE"""),"※tifデータについて完成次第格納します。7/21完成予定です。（7/18）&lt;BR&gt;※正式タイトル下記の通りです（7/18）&lt;BR&gt;＝＝＝&lt;BR&gt;二段ベッド(フルカラー)&lt;BR&gt;＝＝＝&lt;BR&gt;")</f>
        <v>※tifデータについて完成次第格納します。7/21完成予定です。（7/18）&lt;BR&gt;※正式タイトル下記の通りです（7/18）&lt;BR&gt;＝＝＝&lt;BR&gt;二段ベッド(フルカラー)&lt;BR&gt;＝＝＝&lt;BR&gt;</v>
      </c>
      <c r="R547" s="9"/>
      <c r="S547" s="8" t="str">
        <f>IFERROR(__xludf.DUMMYFUNCTION("""COMPUTED_VALUE"""),"20230718_ソルマーレ編集部_二段ベッド（フルカラー）")</f>
        <v>20230718_ソルマーレ編集部_二段ベッド（フルカラー）</v>
      </c>
      <c r="T547" s="15"/>
      <c r="U547" s="9" t="str">
        <f>IFERROR(__xludf.DUMMYFUNCTION("""COMPUTED_VALUE"""),"Ⓒ Grid17/ハギョン/TOPCO/シーモアコミックス")</f>
        <v>Ⓒ Grid17/ハギョン/TOPCO/シーモアコミックス</v>
      </c>
      <c r="V547" s="8" t="str">
        <f>IFERROR(__xludf.DUMMYFUNCTION("""COMPUTED_VALUE"""),"長く険しい受験生活から無事大学に合格して、夢と希望に満ちた大学生活が始まった！…と思いきや講義ばかりの地味で退屈な日々にうんざりしていた良也。そんなある日、同じ学科の結美に飲み会に誘われたことがきっかけで、二人の仲は急接近！ もっと結美と一緒に過ごすために一人暮らしを決意する良也だけど、ひょんな手違いで同居することになった相手が――？【ズズズキュン！】
")</f>
        <v>長く険しい受験生活から無事大学に合格して、夢と希望に満ちた大学生活が始まった！…と思いきや講義ばかりの地味で退屈な日々にうんざりしていた良也。そんなある日、同じ学科の結美に飲み会に誘われたことがきっかけで、二人の仲は急接近！ もっと結美と一緒に過ごすために一人暮らしを決意する良也だけど、ひょんな手違いで同居することになった相手が――？【ズズズキュン！】
</v>
      </c>
      <c r="W547" s="8"/>
      <c r="X547" s="8" t="str">
        <f>IFERROR(__xludf.DUMMYFUNCTION("""COMPUTED_VALUE"""),"有")</f>
        <v>有</v>
      </c>
      <c r="Y547" s="8" t="str">
        <f>IFERROR(__xludf.DUMMYFUNCTION("""COMPUTED_VALUE"""),"P16まで")</f>
        <v>P16まで</v>
      </c>
      <c r="Z547" s="7"/>
      <c r="AA547" s="7"/>
      <c r="AB547" s="7"/>
    </row>
    <row r="548" ht="111.0" customHeight="1">
      <c r="A548" s="8">
        <f>IFERROR(__xludf.DUMMYFUNCTION("""COMPUTED_VALUE"""),2185.0)</f>
        <v>2185</v>
      </c>
      <c r="B548" s="9" t="str">
        <f>IFERROR(__xludf.DUMMYFUNCTION("""COMPUTED_VALUE"""),"確定")</f>
        <v>確定</v>
      </c>
      <c r="C548" s="10">
        <f>IFERROR(__xludf.DUMMYFUNCTION("""COMPUTED_VALUE"""),45125.0)</f>
        <v>45125</v>
      </c>
      <c r="D548" s="10">
        <f>IFERROR(__xludf.DUMMYFUNCTION("""COMPUTED_VALUE"""),45126.0)</f>
        <v>45126</v>
      </c>
      <c r="E548" s="8">
        <f>IFERROR(__xludf.DUMMYFUNCTION("""COMPUTED_VALUE"""),259795.0)</f>
        <v>259795</v>
      </c>
      <c r="F548" s="9" t="str">
        <f>IFERROR(__xludf.DUMMYFUNCTION("""COMPUTED_VALUE"""),"二段ベッド【タテヨミ】")</f>
        <v>二段ベッド【タテヨミ】</v>
      </c>
      <c r="G548" s="11" t="str">
        <f>IFERROR(__xludf.DUMMYFUNCTION("""COMPUTED_VALUE"""),"1～9")</f>
        <v>1～9</v>
      </c>
      <c r="H548" s="8" t="str">
        <f>IFERROR(__xludf.DUMMYFUNCTION("""COMPUTED_VALUE"""),"Grid17,ハギョン")</f>
        <v>Grid17,ハギョン</v>
      </c>
      <c r="I548" s="14" t="str">
        <f>IFERROR(__xludf.DUMMYFUNCTION("""COMPUTED_VALUE"""),"青年")</f>
        <v>青年</v>
      </c>
      <c r="J548" s="8"/>
      <c r="K548" s="8"/>
      <c r="L548" s="8" t="str">
        <f>IFERROR(__xludf.DUMMYFUNCTION("""COMPUTED_VALUE"""),"ソルマーレ編集部")</f>
        <v>ソルマーレ編集部</v>
      </c>
      <c r="M548" s="12">
        <f>IFERROR(__xludf.DUMMYFUNCTION("""COMPUTED_VALUE"""),45157.0)</f>
        <v>45157</v>
      </c>
      <c r="N548" s="12">
        <f>IFERROR(__xludf.DUMMYFUNCTION("""COMPUTED_VALUE"""),45218.0)</f>
        <v>45218</v>
      </c>
      <c r="O548" s="11"/>
      <c r="P548" s="9" t="str">
        <f>IFERROR(__xludf.DUMMYFUNCTION("""COMPUTED_VALUE"""),"可")</f>
        <v>可</v>
      </c>
      <c r="Q548" s="8" t="str">
        <f>IFERROR(__xludf.DUMMYFUNCTION("""COMPUTED_VALUE"""),"※表紙データにつきまして完成次第格納します。7/21完成予定です。（7/18）&lt;BR&gt;※正式タイトル下記の通りです（7/18）&lt;BR&gt;＝＝＝&lt;BR&gt;二段ベッド【タテヨミ】&lt;BR&gt;＝＝＝&lt;BR&gt;※コマサム等素材は「259794　二段ベッド（フルカラー）」のほうをお使いください。&lt;BR&gt;バナー制作はフルカラー版の素材を利用して問題ございません。&lt;BR&gt;")</f>
        <v>※表紙データにつきまして完成次第格納します。7/21完成予定です。（7/18）&lt;BR&gt;※正式タイトル下記の通りです（7/18）&lt;BR&gt;＝＝＝&lt;BR&gt;二段ベッド【タテヨミ】&lt;BR&gt;＝＝＝&lt;BR&gt;※コマサム等素材は「259794　二段ベッド（フルカラー）」のほうをお使いください。&lt;BR&gt;バナー制作はフルカラー版の素材を利用して問題ございません。&lt;BR&gt;</v>
      </c>
      <c r="R548" s="9"/>
      <c r="S548" s="8" t="str">
        <f>IFERROR(__xludf.DUMMYFUNCTION("""COMPUTED_VALUE"""),"20230718_ソルマーレ編集部_二段ベッド【タテヨミ】")</f>
        <v>20230718_ソルマーレ編集部_二段ベッド【タテヨミ】</v>
      </c>
      <c r="T548" s="15"/>
      <c r="U548" s="9" t="str">
        <f>IFERROR(__xludf.DUMMYFUNCTION("""COMPUTED_VALUE"""),"Ⓒ Grid17/ハギョン/TOPCO/シーモアコミックス")</f>
        <v>Ⓒ Grid17/ハギョン/TOPCO/シーモアコミックス</v>
      </c>
      <c r="V548" s="8" t="str">
        <f>IFERROR(__xludf.DUMMYFUNCTION("""COMPUTED_VALUE"""),"長く険しい受験生活から無事大学に合格して、夢と希望に満ちた大学生活が始まった！…と思いきや講義ばかりの地味で退屈な日々にうんざりしていた良也。そんなある日、同じ学科の結美に飲み会に誘われたことがきっかけで、二人の仲は急接近！ もっと結美と一緒に過ごすために一人暮らしを決意する良也だけど、ひょんな手違いで同居することになった相手が――？【ズズズキュン！】
")</f>
        <v>長く険しい受験生活から無事大学に合格して、夢と希望に満ちた大学生活が始まった！…と思いきや講義ばかりの地味で退屈な日々にうんざりしていた良也。そんなある日、同じ学科の結美に飲み会に誘われたことがきっかけで、二人の仲は急接近！ もっと結美と一緒に過ごすために一人暮らしを決意する良也だけど、ひょんな手違いで同居することになった相手が――？【ズズズキュン！】
</v>
      </c>
      <c r="W548" s="8"/>
      <c r="X548" s="8" t="str">
        <f>IFERROR(__xludf.DUMMYFUNCTION("""COMPUTED_VALUE"""),"有")</f>
        <v>有</v>
      </c>
      <c r="Y548" s="8" t="str">
        <f>IFERROR(__xludf.DUMMYFUNCTION("""COMPUTED_VALUE"""),"9/1まで1～3巻無料")</f>
        <v>9/1まで1～3巻無料</v>
      </c>
      <c r="Z548" s="7"/>
      <c r="AA548" s="7"/>
      <c r="AB548" s="7"/>
    </row>
    <row r="549" ht="15.75" customHeight="1">
      <c r="A549" s="8">
        <f>IFERROR(__xludf.DUMMYFUNCTION("""COMPUTED_VALUE"""),2186.0)</f>
        <v>2186</v>
      </c>
      <c r="B549" s="9" t="str">
        <f>IFERROR(__xludf.DUMMYFUNCTION("""COMPUTED_VALUE"""),"確定")</f>
        <v>確定</v>
      </c>
      <c r="C549" s="10">
        <f>IFERROR(__xludf.DUMMYFUNCTION("""COMPUTED_VALUE"""),45125.0)</f>
        <v>45125</v>
      </c>
      <c r="D549" s="10">
        <f>IFERROR(__xludf.DUMMYFUNCTION("""COMPUTED_VALUE"""),45125.0)</f>
        <v>45125</v>
      </c>
      <c r="E549" s="8">
        <f>IFERROR(__xludf.DUMMYFUNCTION("""COMPUTED_VALUE"""),261002.0)</f>
        <v>261002</v>
      </c>
      <c r="F549" s="9" t="str">
        <f>IFERROR(__xludf.DUMMYFUNCTION("""COMPUTED_VALUE"""),"陽キャのコミュ力で、仏頂面男子を懐柔したい。(フルカラー)")</f>
        <v>陽キャのコミュ力で、仏頂面男子を懐柔したい。(フルカラー)</v>
      </c>
      <c r="G549" s="11" t="str">
        <f>IFERROR(__xludf.DUMMYFUNCTION("""COMPUTED_VALUE"""),"1～3")</f>
        <v>1～3</v>
      </c>
      <c r="H549" s="8" t="str">
        <f>IFERROR(__xludf.DUMMYFUNCTION("""COMPUTED_VALUE"""),"STUDIO107,bakhasatang")</f>
        <v>STUDIO107,bakhasatang</v>
      </c>
      <c r="I549" s="14" t="str">
        <f>IFERROR(__xludf.DUMMYFUNCTION("""COMPUTED_VALUE"""),"BL")</f>
        <v>BL</v>
      </c>
      <c r="J549" s="8"/>
      <c r="K549" s="8"/>
      <c r="L549" s="8" t="str">
        <f>IFERROR(__xludf.DUMMYFUNCTION("""COMPUTED_VALUE"""),"ソルマーレ編集部")</f>
        <v>ソルマーレ編集部</v>
      </c>
      <c r="M549" s="12">
        <f>IFERROR(__xludf.DUMMYFUNCTION("""COMPUTED_VALUE"""),45157.0)</f>
        <v>45157</v>
      </c>
      <c r="N549" s="12">
        <f>IFERROR(__xludf.DUMMYFUNCTION("""COMPUTED_VALUE"""),45218.0)</f>
        <v>45218</v>
      </c>
      <c r="O549" s="11"/>
      <c r="P549" s="9" t="str">
        <f>IFERROR(__xludf.DUMMYFUNCTION("""COMPUTED_VALUE"""),"可")</f>
        <v>可</v>
      </c>
      <c r="Q549" s="8" t="str">
        <f>IFERROR(__xludf.DUMMYFUNCTION("""COMPUTED_VALUE"""),"※tifデータについて完成次第格納します。7/21完成予定です。（7/18）&lt;BR&gt;※正式タイトル下記の通りです（7/18）&lt;BR&gt;＝＝＝&lt;BR&gt;陽キャのコミュ力で、仏頂面男子を懐柔したい。(フルカラー)&lt;BR&gt;＝＝＝&lt;BR&gt;")</f>
        <v>※tifデータについて完成次第格納します。7/21完成予定です。（7/18）&lt;BR&gt;※正式タイトル下記の通りです（7/18）&lt;BR&gt;＝＝＝&lt;BR&gt;陽キャのコミュ力で、仏頂面男子を懐柔したい。(フルカラー)&lt;BR&gt;＝＝＝&lt;BR&gt;</v>
      </c>
      <c r="R549" s="9"/>
      <c r="S549" s="8" t="str">
        <f>IFERROR(__xludf.DUMMYFUNCTION("""COMPUTED_VALUE"""),"20230718_ソルマーレ編集部_陽キャのコミュ力で、仏頂面男子を懐柔したい。（フルカラー）")</f>
        <v>20230718_ソルマーレ編集部_陽キャのコミュ力で、仏頂面男子を懐柔したい。（フルカラー）</v>
      </c>
      <c r="T549" s="15"/>
      <c r="U549" s="9" t="str">
        <f>IFERROR(__xludf.DUMMYFUNCTION("""COMPUTED_VALUE"""),"Ⓒ STUDIO107,bakhasatang/シーモアコミックス")</f>
        <v>Ⓒ STUDIO107,bakhasatang/シーモアコミックス</v>
      </c>
      <c r="V549" s="8" t="str">
        <f>IFERROR(__xludf.DUMMYFUNCTION("""COMPUTED_VALUE"""),"どうしてコイツは俺にこんなによくしてくれるんだ――？
大学生の千春は火事で住むところを失い、途方に暮れていた。そんなとき、同じ学部の男・誠也が自分の家に泊めてくれるという。
ほとんど話したこともない彼の申し出に、警戒心が強い千春は困惑するが、背に腹は代えられない。訝しがりながらも、彼の家に転がり込むことに。
マメで気が利く誠也のペースに巻き込まれ、千春は徐々に心を開いていくが――!?【フィカス】")</f>
        <v>どうしてコイツは俺にこんなによくしてくれるんだ――？
大学生の千春は火事で住むところを失い、途方に暮れていた。そんなとき、同じ学部の男・誠也が自分の家に泊めてくれるという。
ほとんど話したこともない彼の申し出に、警戒心が強い千春は困惑するが、背に腹は代えられない。訝しがりながらも、彼の家に転がり込むことに。
マメで気が利く誠也のペースに巻き込まれ、千春は徐々に心を開いていくが――!?【フィカス】</v>
      </c>
      <c r="W549" s="8"/>
      <c r="X549" s="8" t="str">
        <f>IFERROR(__xludf.DUMMYFUNCTION("""COMPUTED_VALUE"""),"有")</f>
        <v>有</v>
      </c>
      <c r="Y549" s="8" t="str">
        <f>IFERROR(__xludf.DUMMYFUNCTION("""COMPUTED_VALUE"""),"P7まで")</f>
        <v>P7まで</v>
      </c>
      <c r="Z549" s="7"/>
      <c r="AA549" s="7"/>
      <c r="AB549" s="7"/>
    </row>
    <row r="550" ht="15.75" customHeight="1">
      <c r="A550" s="8">
        <f>IFERROR(__xludf.DUMMYFUNCTION("""COMPUTED_VALUE"""),2187.0)</f>
        <v>2187</v>
      </c>
      <c r="B550" s="9" t="str">
        <f>IFERROR(__xludf.DUMMYFUNCTION("""COMPUTED_VALUE"""),"確定")</f>
        <v>確定</v>
      </c>
      <c r="C550" s="10">
        <f>IFERROR(__xludf.DUMMYFUNCTION("""COMPUTED_VALUE"""),45125.0)</f>
        <v>45125</v>
      </c>
      <c r="D550" s="10">
        <f>IFERROR(__xludf.DUMMYFUNCTION("""COMPUTED_VALUE"""),45125.0)</f>
        <v>45125</v>
      </c>
      <c r="E550" s="8">
        <f>IFERROR(__xludf.DUMMYFUNCTION("""COMPUTED_VALUE"""),261003.0)</f>
        <v>261003</v>
      </c>
      <c r="F550" s="9" t="str">
        <f>IFERROR(__xludf.DUMMYFUNCTION("""COMPUTED_VALUE"""),"陽キャのコミュ力で、仏頂面男子を懐柔したい。【タテヨミ】")</f>
        <v>陽キャのコミュ力で、仏頂面男子を懐柔したい。【タテヨミ】</v>
      </c>
      <c r="G550" s="16" t="str">
        <f>IFERROR(__xludf.DUMMYFUNCTION("""COMPUTED_VALUE"""),"1～12")</f>
        <v>1～12</v>
      </c>
      <c r="H550" s="8" t="str">
        <f>IFERROR(__xludf.DUMMYFUNCTION("""COMPUTED_VALUE"""),"STUDIO107,bakhasatang")</f>
        <v>STUDIO107,bakhasatang</v>
      </c>
      <c r="I550" s="14" t="str">
        <f>IFERROR(__xludf.DUMMYFUNCTION("""COMPUTED_VALUE"""),"BL")</f>
        <v>BL</v>
      </c>
      <c r="J550" s="8"/>
      <c r="K550" s="8"/>
      <c r="L550" s="8" t="str">
        <f>IFERROR(__xludf.DUMMYFUNCTION("""COMPUTED_VALUE"""),"ソルマーレ編集部")</f>
        <v>ソルマーレ編集部</v>
      </c>
      <c r="M550" s="12">
        <f>IFERROR(__xludf.DUMMYFUNCTION("""COMPUTED_VALUE"""),45157.0)</f>
        <v>45157</v>
      </c>
      <c r="N550" s="12">
        <f>IFERROR(__xludf.DUMMYFUNCTION("""COMPUTED_VALUE"""),45218.0)</f>
        <v>45218</v>
      </c>
      <c r="O550" s="11"/>
      <c r="P550" s="9" t="str">
        <f>IFERROR(__xludf.DUMMYFUNCTION("""COMPUTED_VALUE"""),"可")</f>
        <v>可</v>
      </c>
      <c r="Q550" s="8" t="str">
        <f>IFERROR(__xludf.DUMMYFUNCTION("""COMPUTED_VALUE"""),"※正式タイトル下記の通りです（7/18）&lt;BR&gt;＝＝＝&lt;BR&gt;陽キャのコミュ力で、仏頂面男子を懐柔したい。【タテヨミ】&lt;BR&gt;＝＝＝&lt;BR&gt;※コマサム等素材は「261002　陽キャのコミュ力で、仏頂面男子を懐柔したい。（フルカラー）」のほうをお使いください。&lt;BR&gt;バナー制作はフルカラー版の素材を利用して問題ございません。&lt;BR&gt;")</f>
        <v>※正式タイトル下記の通りです（7/18）&lt;BR&gt;＝＝＝&lt;BR&gt;陽キャのコミュ力で、仏頂面男子を懐柔したい。【タテヨミ】&lt;BR&gt;＝＝＝&lt;BR&gt;※コマサム等素材は「261002　陽キャのコミュ力で、仏頂面男子を懐柔したい。（フルカラー）」のほうをお使いください。&lt;BR&gt;バナー制作はフルカラー版の素材を利用して問題ございません。&lt;BR&gt;</v>
      </c>
      <c r="R550" s="9"/>
      <c r="S550" s="8" t="str">
        <f>IFERROR(__xludf.DUMMYFUNCTION("""COMPUTED_VALUE"""),"20230718_ソルマーレ編集部_陽キャのコミュ力で、仏頂面男子を懐柔したい。【タテヨミ】")</f>
        <v>20230718_ソルマーレ編集部_陽キャのコミュ力で、仏頂面男子を懐柔したい。【タテヨミ】</v>
      </c>
      <c r="T550" s="15"/>
      <c r="U550" s="9" t="str">
        <f>IFERROR(__xludf.DUMMYFUNCTION("""COMPUTED_VALUE"""),"Ⓒ STUDIO107,bakhasatang/シーモアコミックス")</f>
        <v>Ⓒ STUDIO107,bakhasatang/シーモアコミックス</v>
      </c>
      <c r="V550" s="8" t="str">
        <f>IFERROR(__xludf.DUMMYFUNCTION("""COMPUTED_VALUE"""),"どうしてコイツは俺にこんなによくしてくれるんだ――？
大学生の千春は火事で住むところを失い、途方に暮れていた。そんなとき、同じ学部の男・誠也が自分の家に泊めてくれるという。
ほとんど話したこともない彼の申し出に、警戒心が強い千春は困惑するが、背に腹は代えられない。訝しがりながらも、彼の家に転がり込むことに。
マメで気が利く誠也のペースに巻き込まれ、千春は徐々に心を開いていくが――!?【フィカス】")</f>
        <v>どうしてコイツは俺にこんなによくしてくれるんだ――？
大学生の千春は火事で住むところを失い、途方に暮れていた。そんなとき、同じ学部の男・誠也が自分の家に泊めてくれるという。
ほとんど話したこともない彼の申し出に、警戒心が強い千春は困惑するが、背に腹は代えられない。訝しがりながらも、彼の家に転がり込むことに。
マメで気が利く誠也のペースに巻き込まれ、千春は徐々に心を開いていくが――!?【フィカス】</v>
      </c>
      <c r="W550" s="8"/>
      <c r="X550" s="8" t="str">
        <f>IFERROR(__xludf.DUMMYFUNCTION("""COMPUTED_VALUE"""),"有")</f>
        <v>有</v>
      </c>
      <c r="Y550" s="8" t="str">
        <f>IFERROR(__xludf.DUMMYFUNCTION("""COMPUTED_VALUE"""),"P30まで")</f>
        <v>P30まで</v>
      </c>
      <c r="Z550" s="7"/>
      <c r="AA550" s="7"/>
      <c r="AB550" s="7"/>
    </row>
    <row r="551" ht="15.75" customHeight="1">
      <c r="A551" s="8">
        <f>IFERROR(__xludf.DUMMYFUNCTION("""COMPUTED_VALUE"""),2188.0)</f>
        <v>2188</v>
      </c>
      <c r="B551" s="9" t="str">
        <f>IFERROR(__xludf.DUMMYFUNCTION("""COMPUTED_VALUE"""),"確定")</f>
        <v>確定</v>
      </c>
      <c r="C551" s="10">
        <f>IFERROR(__xludf.DUMMYFUNCTION("""COMPUTED_VALUE"""),45125.0)</f>
        <v>45125</v>
      </c>
      <c r="D551" s="10">
        <f>IFERROR(__xludf.DUMMYFUNCTION("""COMPUTED_VALUE"""),45125.0)</f>
        <v>45125</v>
      </c>
      <c r="E551" s="14">
        <f>IFERROR(__xludf.DUMMYFUNCTION("""COMPUTED_VALUE"""),275686.0)</f>
        <v>275686</v>
      </c>
      <c r="F551" s="9" t="str">
        <f>IFERROR(__xludf.DUMMYFUNCTION("""COMPUTED_VALUE"""),"野良猫にチート")</f>
        <v>野良猫にチート</v>
      </c>
      <c r="G551" s="11">
        <f>IFERROR(__xludf.DUMMYFUNCTION("""COMPUTED_VALUE"""),1.0)</f>
        <v>1</v>
      </c>
      <c r="H551" s="8" t="str">
        <f>IFERROR(__xludf.DUMMYFUNCTION("""COMPUTED_VALUE"""),"ウノハナ")</f>
        <v>ウノハナ</v>
      </c>
      <c r="I551" s="8" t="str">
        <f>IFERROR(__xludf.DUMMYFUNCTION("""COMPUTED_VALUE"""),"BL")</f>
        <v>BL</v>
      </c>
      <c r="J551" s="8"/>
      <c r="K551" s="8"/>
      <c r="L551" s="8" t="str">
        <f>IFERROR(__xludf.DUMMYFUNCTION("""COMPUTED_VALUE"""),"リブレ")</f>
        <v>リブレ</v>
      </c>
      <c r="M551" s="12">
        <f>IFERROR(__xludf.DUMMYFUNCTION("""COMPUTED_VALUE"""),45178.0)</f>
        <v>45178</v>
      </c>
      <c r="N551" s="21">
        <f>IFERROR(__xludf.DUMMYFUNCTION("""COMPUTED_VALUE"""),45214.0)</f>
        <v>45214</v>
      </c>
      <c r="O551" s="11"/>
      <c r="P551" s="9" t="str">
        <f>IFERROR(__xludf.DUMMYFUNCTION("""COMPUTED_VALUE"""),"可")</f>
        <v>可</v>
      </c>
      <c r="Q551" s="8" t="str">
        <f>IFERROR(__xludf.DUMMYFUNCTION("""COMPUTED_VALUE"""),"事前に河上さん藤本さんへ共有し出稿可と頂いているものです。")</f>
        <v>事前に河上さん藤本さんへ共有し出稿可と頂いているものです。</v>
      </c>
      <c r="R551" s="9"/>
      <c r="S551" s="8" t="str">
        <f>IFERROR(__xludf.DUMMYFUNCTION("""COMPUTED_VALUE"""),"20230718_リブレ_野良猫にチート")</f>
        <v>20230718_リブレ_野良猫にチート</v>
      </c>
      <c r="T551" s="9"/>
      <c r="U551" s="15" t="str">
        <f>IFERROR(__xludf.DUMMYFUNCTION("""COMPUTED_VALUE"""),"(C)ウノハナ/libre")</f>
        <v>(C)ウノハナ/libre</v>
      </c>
      <c r="V551" s="8" t="str">
        <f>IFERROR(__xludf.DUMMYFUNCTION("""COMPUTED_VALUE"""),"特殊な力を身につけた八一が、探偵である央甫の前に現れた理由――
それは復讐――。
元極道の八一は慕っていた若頭を殺した男を探していたのだ。
昔から八一をほっとけない央甫は、それを手伝うことに。
しかも央甫の八一への気持ちを知ってか知らずか、
うなされるたびに彼のベッドにもぐりこんできたりと無自覚に翻弄してくる。
八一への長年の想いをこじらせている央甫は、
彼の過去の因縁を早く断ち切らせたくて…。
こじらせ探偵×無自覚翻弄助手の腐れ縁バディ。
電子限定描き下ろしマンガ1Pも収録！")</f>
        <v>特殊な力を身につけた八一が、探偵である央甫の前に現れた理由――
それは復讐――。
元極道の八一は慕っていた若頭を殺した男を探していたのだ。
昔から八一をほっとけない央甫は、それを手伝うことに。
しかも央甫の八一への気持ちを知ってか知らずか、
うなされるたびに彼のベッドにもぐりこんできたりと無自覚に翻弄してくる。
八一への長年の想いをこじらせている央甫は、
彼の過去の因縁を早く断ち切らせたくて…。
こじらせ探偵×無自覚翻弄助手の腐れ縁バディ。
電子限定描き下ろしマンガ1Pも収録！</v>
      </c>
      <c r="W551" s="8"/>
      <c r="X551" s="14" t="str">
        <f>IFERROR(__xludf.DUMMYFUNCTION("""COMPUTED_VALUE"""),"有")</f>
        <v>有</v>
      </c>
      <c r="Y551" s="8" t="str">
        <f>IFERROR(__xludf.DUMMYFUNCTION("""COMPUTED_VALUE"""),"P30まで")</f>
        <v>P30まで</v>
      </c>
      <c r="Z551" s="7"/>
      <c r="AA551" s="7"/>
      <c r="AB551" s="7"/>
    </row>
    <row r="552" ht="15.75" customHeight="1">
      <c r="A552" s="8">
        <f>IFERROR(__xludf.DUMMYFUNCTION("""COMPUTED_VALUE"""),2189.0)</f>
        <v>2189</v>
      </c>
      <c r="B552" s="9" t="str">
        <f>IFERROR(__xludf.DUMMYFUNCTION("""COMPUTED_VALUE"""),"確定")</f>
        <v>確定</v>
      </c>
      <c r="C552" s="10">
        <f>IFERROR(__xludf.DUMMYFUNCTION("""COMPUTED_VALUE"""),45125.0)</f>
        <v>45125</v>
      </c>
      <c r="D552" s="10">
        <f>IFERROR(__xludf.DUMMYFUNCTION("""COMPUTED_VALUE"""),45125.0)</f>
        <v>45125</v>
      </c>
      <c r="E552" s="14">
        <f>IFERROR(__xludf.DUMMYFUNCTION("""COMPUTED_VALUE"""),275147.0)</f>
        <v>275147</v>
      </c>
      <c r="F552" s="9" t="str">
        <f>IFERROR(__xludf.DUMMYFUNCTION("""COMPUTED_VALUE"""),"たとえ、ぼくらは別れても")</f>
        <v>たとえ、ぼくらは別れても</v>
      </c>
      <c r="G552" s="11" t="str">
        <f>IFERROR(__xludf.DUMMYFUNCTION("""COMPUTED_VALUE"""),"1～3")</f>
        <v>1～3</v>
      </c>
      <c r="H552" s="8" t="str">
        <f>IFERROR(__xludf.DUMMYFUNCTION("""COMPUTED_VALUE"""),"DG")</f>
        <v>DG</v>
      </c>
      <c r="I552" s="8" t="str">
        <f>IFERROR(__xludf.DUMMYFUNCTION("""COMPUTED_VALUE"""),"BL")</f>
        <v>BL</v>
      </c>
      <c r="J552" s="8"/>
      <c r="K552" s="8"/>
      <c r="L552" s="8" t="str">
        <f>IFERROR(__xludf.DUMMYFUNCTION("""COMPUTED_VALUE"""),"Rush!")</f>
        <v>Rush!</v>
      </c>
      <c r="M552" s="12">
        <f>IFERROR(__xludf.DUMMYFUNCTION("""COMPUTED_VALUE"""),45170.0)</f>
        <v>45170</v>
      </c>
      <c r="N552" s="21">
        <f>IFERROR(__xludf.DUMMYFUNCTION("""COMPUTED_VALUE"""),45197.0)</f>
        <v>45197</v>
      </c>
      <c r="O552" s="11"/>
      <c r="P552" s="9" t="str">
        <f>IFERROR(__xludf.DUMMYFUNCTION("""COMPUTED_VALUE"""),"可")</f>
        <v>可</v>
      </c>
      <c r="Q552" s="8"/>
      <c r="R552" s="9"/>
      <c r="S552" s="8" t="str">
        <f>IFERROR(__xludf.DUMMYFUNCTION("""COMPUTED_VALUE"""),"20230718_ファンギルド_たとえ、ぼくらは別れても")</f>
        <v>20230718_ファンギルド_たとえ、ぼくらは別れても</v>
      </c>
      <c r="T552" s="9"/>
      <c r="U552" s="15" t="str">
        <f>IFERROR(__xludf.DUMMYFUNCTION("""COMPUTED_VALUE"""),"©DG/moscareto")</f>
        <v>©DG/moscareto</v>
      </c>
      <c r="V552" s="8" t="str">
        <f>IFERROR(__xludf.DUMMYFUNCTION("""COMPUTED_VALUE"""),"日夜仕事に追われどこか虚しい日々を送る金岡優真。そんなある日、新たな同僚がやってきた。それは、初恋相手にして元カレである、高山皇輝。再会したことで優真は思い出す――心の奥底に封じ込めたはずの、最高で最悪だったあの日の思い出を。そんな優真の想いもつゆ知らず、連絡先を聞いてきたり食事に誘ったり、昔と同じように接してくる皇輝。「お前はどうして、そうやって優しい声で俺の名前を呼ぶんだよ」それはまるで、傾いた天秤のように釣り合わない恋だった。それでも――たとえ、僕らは別れても…。")</f>
        <v>日夜仕事に追われどこか虚しい日々を送る金岡優真。そんなある日、新たな同僚がやってきた。それは、初恋相手にして元カレである、高山皇輝。再会したことで優真は思い出す――心の奥底に封じ込めたはずの、最高で最悪だったあの日の思い出を。そんな優真の想いもつゆ知らず、連絡先を聞いてきたり食事に誘ったり、昔と同じように接してくる皇輝。「お前はどうして、そうやって優しい声で俺の名前を呼ぶんだよ」それはまるで、傾いた天秤のように釣り合わない恋だった。それでも――たとえ、僕らは別れても…。</v>
      </c>
      <c r="W552" s="8"/>
      <c r="X552" s="14" t="str">
        <f>IFERROR(__xludf.DUMMYFUNCTION("""COMPUTED_VALUE"""),"有")</f>
        <v>有</v>
      </c>
      <c r="Y552" s="8" t="str">
        <f>IFERROR(__xludf.DUMMYFUNCTION("""COMPUTED_VALUE"""),"P20まで
")</f>
        <v>P20まで
</v>
      </c>
      <c r="Z552" s="7"/>
      <c r="AA552" s="7"/>
      <c r="AB552" s="7"/>
    </row>
    <row r="553" ht="15.75" customHeight="1">
      <c r="A553" s="8">
        <f>IFERROR(__xludf.DUMMYFUNCTION("""COMPUTED_VALUE"""),2192.0)</f>
        <v>2192</v>
      </c>
      <c r="B553" s="9" t="str">
        <f>IFERROR(__xludf.DUMMYFUNCTION("""COMPUTED_VALUE"""),"確定")</f>
        <v>確定</v>
      </c>
      <c r="C553" s="10">
        <f>IFERROR(__xludf.DUMMYFUNCTION("""COMPUTED_VALUE"""),45125.0)</f>
        <v>45125</v>
      </c>
      <c r="D553" s="10">
        <f>IFERROR(__xludf.DUMMYFUNCTION("""COMPUTED_VALUE"""),45125.0)</f>
        <v>45125</v>
      </c>
      <c r="E553" s="8">
        <f>IFERROR(__xludf.DUMMYFUNCTION("""COMPUTED_VALUE"""),274561.0)</f>
        <v>274561</v>
      </c>
      <c r="F553" s="9" t="str">
        <f>IFERROR(__xludf.DUMMYFUNCTION("""COMPUTED_VALUE"""),"イットボーイハント［ばら売り］［DRUNK!］")</f>
        <v>イットボーイハント［ばら売り］［DRUNK!］</v>
      </c>
      <c r="G553" s="11">
        <f>IFERROR(__xludf.DUMMYFUNCTION("""COMPUTED_VALUE"""),1.0)</f>
        <v>1</v>
      </c>
      <c r="H553" s="8" t="str">
        <f>IFERROR(__xludf.DUMMYFUNCTION("""COMPUTED_VALUE"""),"松本千秋")</f>
        <v>松本千秋</v>
      </c>
      <c r="I553" s="8" t="str">
        <f>IFERROR(__xludf.DUMMYFUNCTION("""COMPUTED_VALUE"""),"女性")</f>
        <v>女性</v>
      </c>
      <c r="J553" s="8"/>
      <c r="K553" s="8"/>
      <c r="L553" s="8" t="str">
        <f>IFERROR(__xludf.DUMMYFUNCTION("""COMPUTED_VALUE"""),"白泉社")</f>
        <v>白泉社</v>
      </c>
      <c r="M553" s="12">
        <f>IFERROR(__xludf.DUMMYFUNCTION("""COMPUTED_VALUE"""),45161.0)</f>
        <v>45161</v>
      </c>
      <c r="N553" s="12">
        <f>IFERROR(__xludf.DUMMYFUNCTION("""COMPUTED_VALUE"""),45223.0)</f>
        <v>45223</v>
      </c>
      <c r="O553" s="11"/>
      <c r="P553" s="9" t="str">
        <f>IFERROR(__xludf.DUMMYFUNCTION("""COMPUTED_VALUE"""),"否")</f>
        <v>否</v>
      </c>
      <c r="Q553" s="8" t="str">
        <f>IFERROR(__xludf.DUMMYFUNCTION("""COMPUTED_VALUE"""),"新レーベル『DRUNK!』の作品です。")</f>
        <v>新レーベル『DRUNK!』の作品です。</v>
      </c>
      <c r="R553" s="9"/>
      <c r="S553" s="8" t="str">
        <f>IFERROR(__xludf.DUMMYFUNCTION("""COMPUTED_VALUE"""),"20230718_白泉社_イットボーイハント")</f>
        <v>20230718_白泉社_イットボーイハント</v>
      </c>
      <c r="T553" s="9"/>
      <c r="U553" s="9" t="str">
        <f>IFERROR(__xludf.DUMMYFUNCTION("""COMPUTED_VALUE"""),"(C)松本千秋/白泉社")</f>
        <v>(C)松本千秋/白泉社</v>
      </c>
      <c r="V553" s="8" t="str">
        <f>IFERROR(__xludf.DUMMYFUNCTION("""COMPUTED_VALUE"""),"32歳小説家の千里子は、担当編集者であり彼氏でもある泰志との関係に行き詰まっている。作品づくりも上手くいかず、夜は典型的な「同棲マンネリセックスレス」。そんなある日、女性編集者・横溝から千里子にスカウトが。前作を超える作品づくりを目指す2人は、執筆のため、色々な男性と触れ合って「愛とエロスを探求する旅」に出ることに！？　気持ちよくなれないセックス・脱毛問題・共感できない性癖…気になる性のあれこれを冷静に見つめる、エロ探求型コメディ！（39P）
")</f>
        <v>32歳小説家の千里子は、担当編集者であり彼氏でもある泰志との関係に行き詰まっている。作品づくりも上手くいかず、夜は典型的な「同棲マンネリセックスレス」。そんなある日、女性編集者・横溝から千里子にスカウトが。前作を超える作品づくりを目指す2人は、執筆のため、色々な男性と触れ合って「愛とエロスを探求する旅」に出ることに！？　気持ちよくなれないセックス・脱毛問題・共感できない性癖…気になる性のあれこれを冷静に見つめる、エロ探求型コメディ！（39P）
</v>
      </c>
      <c r="W553" s="8"/>
      <c r="X553" s="8" t="str">
        <f>IFERROR(__xludf.DUMMYFUNCTION("""COMPUTED_VALUE"""),"有")</f>
        <v>有</v>
      </c>
      <c r="Y553" s="8" t="str">
        <f>IFERROR(__xludf.DUMMYFUNCTION("""COMPUTED_VALUE"""),"P18まで")</f>
        <v>P18まで</v>
      </c>
      <c r="Z553" s="7"/>
      <c r="AA553" s="7"/>
      <c r="AB553" s="7"/>
    </row>
    <row r="554" ht="15.75" customHeight="1">
      <c r="A554" s="8">
        <f>IFERROR(__xludf.DUMMYFUNCTION("""COMPUTED_VALUE"""),2193.0)</f>
        <v>2193</v>
      </c>
      <c r="B554" s="9" t="str">
        <f>IFERROR(__xludf.DUMMYFUNCTION("""COMPUTED_VALUE"""),"確定")</f>
        <v>確定</v>
      </c>
      <c r="C554" s="10">
        <f>IFERROR(__xludf.DUMMYFUNCTION("""COMPUTED_VALUE"""),45125.0)</f>
        <v>45125</v>
      </c>
      <c r="D554" s="10">
        <f>IFERROR(__xludf.DUMMYFUNCTION("""COMPUTED_VALUE"""),45125.0)</f>
        <v>45125</v>
      </c>
      <c r="E554" s="8">
        <f>IFERROR(__xludf.DUMMYFUNCTION("""COMPUTED_VALUE"""),274563.0)</f>
        <v>274563</v>
      </c>
      <c r="F554" s="9" t="str">
        <f>IFERROR(__xludf.DUMMYFUNCTION("""COMPUTED_VALUE"""),"我々はセックスができない［ばら売り］［DRUNK!］")</f>
        <v>我々はセックスができない［ばら売り］［DRUNK!］</v>
      </c>
      <c r="G554" s="11">
        <f>IFERROR(__xludf.DUMMYFUNCTION("""COMPUTED_VALUE"""),1.0)</f>
        <v>1</v>
      </c>
      <c r="H554" s="8" t="str">
        <f>IFERROR(__xludf.DUMMYFUNCTION("""COMPUTED_VALUE"""),"天城たかね")</f>
        <v>天城たかね</v>
      </c>
      <c r="I554" s="8" t="str">
        <f>IFERROR(__xludf.DUMMYFUNCTION("""COMPUTED_VALUE"""),"女性")</f>
        <v>女性</v>
      </c>
      <c r="J554" s="8"/>
      <c r="K554" s="8"/>
      <c r="L554" s="8" t="str">
        <f>IFERROR(__xludf.DUMMYFUNCTION("""COMPUTED_VALUE"""),"白泉社")</f>
        <v>白泉社</v>
      </c>
      <c r="M554" s="12">
        <f>IFERROR(__xludf.DUMMYFUNCTION("""COMPUTED_VALUE"""),45161.0)</f>
        <v>45161</v>
      </c>
      <c r="N554" s="12">
        <f>IFERROR(__xludf.DUMMYFUNCTION("""COMPUTED_VALUE"""),45223.0)</f>
        <v>45223</v>
      </c>
      <c r="O554" s="11"/>
      <c r="P554" s="9" t="str">
        <f>IFERROR(__xludf.DUMMYFUNCTION("""COMPUTED_VALUE"""),"否")</f>
        <v>否</v>
      </c>
      <c r="Q554" s="8" t="str">
        <f>IFERROR(__xludf.DUMMYFUNCTION("""COMPUTED_VALUE"""),"新レーベル『DRUNK!』の作品です。")</f>
        <v>新レーベル『DRUNK!』の作品です。</v>
      </c>
      <c r="R554" s="9"/>
      <c r="S554" s="8" t="str">
        <f>IFERROR(__xludf.DUMMYFUNCTION("""COMPUTED_VALUE"""),"20230718_白泉社_我々はセックスができない")</f>
        <v>20230718_白泉社_我々はセックスができない</v>
      </c>
      <c r="T554" s="9"/>
      <c r="U554" s="9" t="str">
        <f>IFERROR(__xludf.DUMMYFUNCTION("""COMPUTED_VALUE"""),"(C)天城たかね/白泉社")</f>
        <v>(C)天城たかね/白泉社</v>
      </c>
      <c r="V554" s="8" t="str">
        <f>IFERROR(__xludf.DUMMYFUNCTION("""COMPUTED_VALUE"""),"超合理主義で、完璧な計画に基づいて婚活をする真田雪子・30歳。理想的な男性と出会うも、恋愛経験のない雪子は、デートの晩ホテルに誘われて動揺してしまう。「いち早くセックスを学ばなければ」と考えた雪子がネットで見つけたのは、百戦錬磨の裏アカ男子で…？　処女を失くしたい女と、訳あり裏アカ男のちぐはぐラブコメディ！（47P）
")</f>
        <v>超合理主義で、完璧な計画に基づいて婚活をする真田雪子・30歳。理想的な男性と出会うも、恋愛経験のない雪子は、デートの晩ホテルに誘われて動揺してしまう。「いち早くセックスを学ばなければ」と考えた雪子がネットで見つけたのは、百戦錬磨の裏アカ男子で…？　処女を失くしたい女と、訳あり裏アカ男のちぐはぐラブコメディ！（47P）
</v>
      </c>
      <c r="W554" s="8"/>
      <c r="X554" s="8" t="str">
        <f>IFERROR(__xludf.DUMMYFUNCTION("""COMPUTED_VALUE"""),"有")</f>
        <v>有</v>
      </c>
      <c r="Y554" s="8" t="str">
        <f>IFERROR(__xludf.DUMMYFUNCTION("""COMPUTED_VALUE"""),"P16まで")</f>
        <v>P16まで</v>
      </c>
      <c r="Z554" s="7"/>
      <c r="AA554" s="7"/>
      <c r="AB554" s="7"/>
    </row>
    <row r="555" ht="15.75" customHeight="1">
      <c r="A555" s="8">
        <f>IFERROR(__xludf.DUMMYFUNCTION("""COMPUTED_VALUE"""),2194.0)</f>
        <v>2194</v>
      </c>
      <c r="B555" s="9" t="str">
        <f>IFERROR(__xludf.DUMMYFUNCTION("""COMPUTED_VALUE"""),"確定")</f>
        <v>確定</v>
      </c>
      <c r="C555" s="10">
        <f>IFERROR(__xludf.DUMMYFUNCTION("""COMPUTED_VALUE"""),45125.0)</f>
        <v>45125</v>
      </c>
      <c r="D555" s="10">
        <f>IFERROR(__xludf.DUMMYFUNCTION("""COMPUTED_VALUE"""),45125.0)</f>
        <v>45125</v>
      </c>
      <c r="E555" s="8">
        <f>IFERROR(__xludf.DUMMYFUNCTION("""COMPUTED_VALUE"""),274564.0)</f>
        <v>274564</v>
      </c>
      <c r="F555" s="9" t="str">
        <f>IFERROR(__xludf.DUMMYFUNCTION("""COMPUTED_VALUE"""),"もう一度恋を教えて［ばら売り］［DRUNK!］")</f>
        <v>もう一度恋を教えて［ばら売り］［DRUNK!］</v>
      </c>
      <c r="G555" s="11">
        <f>IFERROR(__xludf.DUMMYFUNCTION("""COMPUTED_VALUE"""),1.0)</f>
        <v>1</v>
      </c>
      <c r="H555" s="8" t="str">
        <f>IFERROR(__xludf.DUMMYFUNCTION("""COMPUTED_VALUE"""),"鳥依")</f>
        <v>鳥依</v>
      </c>
      <c r="I555" s="8" t="str">
        <f>IFERROR(__xludf.DUMMYFUNCTION("""COMPUTED_VALUE"""),"女性")</f>
        <v>女性</v>
      </c>
      <c r="J555" s="8"/>
      <c r="K555" s="8"/>
      <c r="L555" s="8" t="str">
        <f>IFERROR(__xludf.DUMMYFUNCTION("""COMPUTED_VALUE"""),"白泉社")</f>
        <v>白泉社</v>
      </c>
      <c r="M555" s="12">
        <f>IFERROR(__xludf.DUMMYFUNCTION("""COMPUTED_VALUE"""),45161.0)</f>
        <v>45161</v>
      </c>
      <c r="N555" s="12">
        <f>IFERROR(__xludf.DUMMYFUNCTION("""COMPUTED_VALUE"""),45223.0)</f>
        <v>45223</v>
      </c>
      <c r="O555" s="11"/>
      <c r="P555" s="9" t="str">
        <f>IFERROR(__xludf.DUMMYFUNCTION("""COMPUTED_VALUE"""),"否")</f>
        <v>否</v>
      </c>
      <c r="Q555" s="8" t="str">
        <f>IFERROR(__xludf.DUMMYFUNCTION("""COMPUTED_VALUE"""),"新レーベル『DRUNK!』の作品です。")</f>
        <v>新レーベル『DRUNK!』の作品です。</v>
      </c>
      <c r="R555" s="9"/>
      <c r="S555" s="8" t="str">
        <f>IFERROR(__xludf.DUMMYFUNCTION("""COMPUTED_VALUE"""),"20230718_白泉社_もう1度恋を教えて")</f>
        <v>20230718_白泉社_もう1度恋を教えて</v>
      </c>
      <c r="T555" s="9"/>
      <c r="U555" s="9" t="str">
        <f>IFERROR(__xludf.DUMMYFUNCTION("""COMPUTED_VALUE"""),"(C)鳥依/白泉社")</f>
        <v>(C)鳥依/白泉社</v>
      </c>
      <c r="V555" s="8" t="str">
        <f>IFERROR(__xludf.DUMMYFUNCTION("""COMPUTED_VALUE"""),"大学生の澪は、元カレ・篤への未練が断ち切れないでいる。ある日澪の家にやってきたのは、篤…ではなく、篤に姿が瓜二つの弟・大志だった。大志に篤の面影を探し、自己嫌悪に陥ってしまう澪。大志はそんな澪を優しく受け止めると共に、ある告白をして…？　もう一度恋に踏み出したい―。こじれた私とまっすぐな君の、ピュアで切ないラブストーリー。（42P）
")</f>
        <v>大学生の澪は、元カレ・篤への未練が断ち切れないでいる。ある日澪の家にやってきたのは、篤…ではなく、篤に姿が瓜二つの弟・大志だった。大志に篤の面影を探し、自己嫌悪に陥ってしまう澪。大志はそんな澪を優しく受け止めると共に、ある告白をして…？　もう一度恋に踏み出したい―。こじれた私とまっすぐな君の、ピュアで切ないラブストーリー。（42P）
</v>
      </c>
      <c r="W555" s="8"/>
      <c r="X555" s="8" t="str">
        <f>IFERROR(__xludf.DUMMYFUNCTION("""COMPUTED_VALUE"""),"有")</f>
        <v>有</v>
      </c>
      <c r="Y555" s="8" t="str">
        <f>IFERROR(__xludf.DUMMYFUNCTION("""COMPUTED_VALUE"""),"P21まで")</f>
        <v>P21まで</v>
      </c>
      <c r="Z555" s="7"/>
      <c r="AA555" s="7"/>
      <c r="AB555" s="7"/>
    </row>
    <row r="556" ht="123.0" customHeight="1">
      <c r="A556" s="8">
        <f>IFERROR(__xludf.DUMMYFUNCTION("""COMPUTED_VALUE"""),2195.0)</f>
        <v>2195</v>
      </c>
      <c r="B556" s="9" t="str">
        <f>IFERROR(__xludf.DUMMYFUNCTION("""COMPUTED_VALUE"""),"確定")</f>
        <v>確定</v>
      </c>
      <c r="C556" s="10">
        <f>IFERROR(__xludf.DUMMYFUNCTION("""COMPUTED_VALUE"""),45125.0)</f>
        <v>45125</v>
      </c>
      <c r="D556" s="10">
        <f>IFERROR(__xludf.DUMMYFUNCTION("""COMPUTED_VALUE"""),45125.0)</f>
        <v>45125</v>
      </c>
      <c r="E556" s="8">
        <f>IFERROR(__xludf.DUMMYFUNCTION("""COMPUTED_VALUE"""),274560.0)</f>
        <v>274560</v>
      </c>
      <c r="F556" s="9" t="str">
        <f>IFERROR(__xludf.DUMMYFUNCTION("""COMPUTED_VALUE"""),"クズとマリアはありふれない［ばら売り］［DRUNK!］")</f>
        <v>クズとマリアはありふれない［ばら売り］［DRUNK!］</v>
      </c>
      <c r="G556" s="11" t="str">
        <f>IFERROR(__xludf.DUMMYFUNCTION("""COMPUTED_VALUE"""),"1～3")</f>
        <v>1～3</v>
      </c>
      <c r="H556" s="8" t="str">
        <f>IFERROR(__xludf.DUMMYFUNCTION("""COMPUTED_VALUE"""),"すぐれ")</f>
        <v>すぐれ</v>
      </c>
      <c r="I556" s="8" t="str">
        <f>IFERROR(__xludf.DUMMYFUNCTION("""COMPUTED_VALUE"""),"女性")</f>
        <v>女性</v>
      </c>
      <c r="J556" s="8"/>
      <c r="K556" s="8"/>
      <c r="L556" s="8" t="str">
        <f>IFERROR(__xludf.DUMMYFUNCTION("""COMPUTED_VALUE"""),"白泉社")</f>
        <v>白泉社</v>
      </c>
      <c r="M556" s="12">
        <f>IFERROR(__xludf.DUMMYFUNCTION("""COMPUTED_VALUE"""),45161.0)</f>
        <v>45161</v>
      </c>
      <c r="N556" s="12">
        <f>IFERROR(__xludf.DUMMYFUNCTION("""COMPUTED_VALUE"""),45223.0)</f>
        <v>45223</v>
      </c>
      <c r="O556" s="11"/>
      <c r="P556" s="9" t="str">
        <f>IFERROR(__xludf.DUMMYFUNCTION("""COMPUTED_VALUE"""),"否")</f>
        <v>否</v>
      </c>
      <c r="Q556" s="8" t="str">
        <f>IFERROR(__xludf.DUMMYFUNCTION("""COMPUTED_VALUE"""),"新レーベル『DRUNK!』の作品です。")</f>
        <v>新レーベル『DRUNK!』の作品です。</v>
      </c>
      <c r="R556" s="9"/>
      <c r="S556" s="8" t="str">
        <f>IFERROR(__xludf.DUMMYFUNCTION("""COMPUTED_VALUE"""),"20230718_白泉社_クズとマリアはありふれない")</f>
        <v>20230718_白泉社_クズとマリアはありふれない</v>
      </c>
      <c r="T556" s="9"/>
      <c r="U556" s="9" t="str">
        <f>IFERROR(__xludf.DUMMYFUNCTION("""COMPUTED_VALUE"""),"(C)すぐれ/白泉社")</f>
        <v>(C)すぐれ/白泉社</v>
      </c>
      <c r="V556" s="8" t="str">
        <f>IFERROR(__xludf.DUMMYFUNCTION("""COMPUTED_VALUE"""),"特定の女なんて要らないし、本気の恋愛には何も価値がない―。瞬は、女性に手を出し、本気になられては捨てるを繰り返す、いわゆる「クズ」である。ある日、会社にまりあという新人女性がやって来る。まりあは地味で不愛想で瞬に興味がない、これまで出会ったことのないタイプの女性。「たまにはこの手のタイプも面白いかもな」と容易く考えていた瞬だったが、まりあに思いも寄らぬ衝撃的な提案をされて…！？　クズな男とクズを弄びたい女の”ありふれない“日々がはじまる！（40P）")</f>
        <v>特定の女なんて要らないし、本気の恋愛には何も価値がない―。瞬は、女性に手を出し、本気になられては捨てるを繰り返す、いわゆる「クズ」である。ある日、会社にまりあという新人女性がやって来る。まりあは地味で不愛想で瞬に興味がない、これまで出会ったことのないタイプの女性。「たまにはこの手のタイプも面白いかもな」と容易く考えていた瞬だったが、まりあに思いも寄らぬ衝撃的な提案をされて…！？　クズな男とクズを弄びたい女の”ありふれない“日々がはじまる！（40P）</v>
      </c>
      <c r="W556" s="8"/>
      <c r="X556" s="8" t="str">
        <f>IFERROR(__xludf.DUMMYFUNCTION("""COMPUTED_VALUE"""),"有")</f>
        <v>有</v>
      </c>
      <c r="Y556" s="8" t="str">
        <f>IFERROR(__xludf.DUMMYFUNCTION("""COMPUTED_VALUE"""),"9/5まで1巻無料")</f>
        <v>9/5まで1巻無料</v>
      </c>
      <c r="Z556" s="7"/>
      <c r="AA556" s="7"/>
      <c r="AB556" s="7"/>
    </row>
    <row r="557" ht="122.25" customHeight="1">
      <c r="A557" s="8">
        <f>IFERROR(__xludf.DUMMYFUNCTION("""COMPUTED_VALUE"""),2196.0)</f>
        <v>2196</v>
      </c>
      <c r="B557" s="9" t="str">
        <f>IFERROR(__xludf.DUMMYFUNCTION("""COMPUTED_VALUE"""),"確定")</f>
        <v>確定</v>
      </c>
      <c r="C557" s="10">
        <f>IFERROR(__xludf.DUMMYFUNCTION("""COMPUTED_VALUE"""),45125.0)</f>
        <v>45125</v>
      </c>
      <c r="D557" s="10">
        <f>IFERROR(__xludf.DUMMYFUNCTION("""COMPUTED_VALUE"""),45125.0)</f>
        <v>45125</v>
      </c>
      <c r="E557" s="8">
        <f>IFERROR(__xludf.DUMMYFUNCTION("""COMPUTED_VALUE"""),274565.0)</f>
        <v>274565</v>
      </c>
      <c r="F557" s="9" t="str">
        <f>IFERROR(__xludf.DUMMYFUNCTION("""COMPUTED_VALUE"""),"幼馴染でイケない遊戯（あそび）［ばら売り］［DRUNK!］")</f>
        <v>幼馴染でイケない遊戯（あそび）［ばら売り］［DRUNK!］</v>
      </c>
      <c r="G557" s="11">
        <f>IFERROR(__xludf.DUMMYFUNCTION("""COMPUTED_VALUE"""),1.0)</f>
        <v>1</v>
      </c>
      <c r="H557" s="8" t="str">
        <f>IFERROR(__xludf.DUMMYFUNCTION("""COMPUTED_VALUE"""),"かいちょ")</f>
        <v>かいちょ</v>
      </c>
      <c r="I557" s="8" t="str">
        <f>IFERROR(__xludf.DUMMYFUNCTION("""COMPUTED_VALUE"""),"女性")</f>
        <v>女性</v>
      </c>
      <c r="J557" s="8"/>
      <c r="K557" s="8"/>
      <c r="L557" s="8" t="str">
        <f>IFERROR(__xludf.DUMMYFUNCTION("""COMPUTED_VALUE"""),"白泉社")</f>
        <v>白泉社</v>
      </c>
      <c r="M557" s="12">
        <f>IFERROR(__xludf.DUMMYFUNCTION("""COMPUTED_VALUE"""),45161.0)</f>
        <v>45161</v>
      </c>
      <c r="N557" s="12">
        <f>IFERROR(__xludf.DUMMYFUNCTION("""COMPUTED_VALUE"""),45223.0)</f>
        <v>45223</v>
      </c>
      <c r="O557" s="11"/>
      <c r="P557" s="9" t="str">
        <f>IFERROR(__xludf.DUMMYFUNCTION("""COMPUTED_VALUE"""),"否")</f>
        <v>否</v>
      </c>
      <c r="Q557" s="8" t="str">
        <f>IFERROR(__xludf.DUMMYFUNCTION("""COMPUTED_VALUE"""),"新レーベル『DRUNK!』の作品です。")</f>
        <v>新レーベル『DRUNK!』の作品です。</v>
      </c>
      <c r="R557" s="9"/>
      <c r="S557" s="8" t="str">
        <f>IFERROR(__xludf.DUMMYFUNCTION("""COMPUTED_VALUE"""),"20230718_白泉社_幼馴染でイケない遊戯")</f>
        <v>20230718_白泉社_幼馴染でイケない遊戯</v>
      </c>
      <c r="T557" s="9"/>
      <c r="U557" s="9" t="str">
        <f>IFERROR(__xludf.DUMMYFUNCTION("""COMPUTED_VALUE"""),"(C)かいちょ/白泉社")</f>
        <v>(C)かいちょ/白泉社</v>
      </c>
      <c r="V557" s="8" t="str">
        <f>IFERROR(__xludf.DUMMYFUNCTION("""COMPUTED_VALUE"""),"大学生のゆきは、ウブで、友達との性的な会話にも付いていけない。だけど、本当は苦手なわけではなくて、ゆきには人に言えない隠し事があるのだった。ある日、年上で幼馴染のまことと再会したことをきっかけに、ゆきの中のタガが外れはじめてしまって…！？　妄想と現実に挟まれる、イケないエロティック・コメディ！（41P）
")</f>
        <v>大学生のゆきは、ウブで、友達との性的な会話にも付いていけない。だけど、本当は苦手なわけではなくて、ゆきには人に言えない隠し事があるのだった。ある日、年上で幼馴染のまことと再会したことをきっかけに、ゆきの中のタガが外れはじめてしまって…！？　妄想と現実に挟まれる、イケないエロティック・コメディ！（41P）
</v>
      </c>
      <c r="W557" s="8"/>
      <c r="X557" s="8" t="str">
        <f>IFERROR(__xludf.DUMMYFUNCTION("""COMPUTED_VALUE"""),"有")</f>
        <v>有</v>
      </c>
      <c r="Y557" s="8" t="str">
        <f>IFERROR(__xludf.DUMMYFUNCTION("""COMPUTED_VALUE"""),"P19まで")</f>
        <v>P19まで</v>
      </c>
      <c r="Z557" s="7"/>
      <c r="AA557" s="7"/>
      <c r="AB557" s="7"/>
    </row>
    <row r="558" ht="120.0" customHeight="1">
      <c r="A558" s="8">
        <f>IFERROR(__xludf.DUMMYFUNCTION("""COMPUTED_VALUE"""),2199.0)</f>
        <v>2199</v>
      </c>
      <c r="B558" s="9" t="str">
        <f>IFERROR(__xludf.DUMMYFUNCTION("""COMPUTED_VALUE"""),"確定")</f>
        <v>確定</v>
      </c>
      <c r="C558" s="10">
        <f>IFERROR(__xludf.DUMMYFUNCTION("""COMPUTED_VALUE"""),45125.0)</f>
        <v>45125</v>
      </c>
      <c r="D558" s="10">
        <f>IFERROR(__xludf.DUMMYFUNCTION("""COMPUTED_VALUE"""),45125.0)</f>
        <v>45125</v>
      </c>
      <c r="E558" s="8">
        <f>IFERROR(__xludf.DUMMYFUNCTION("""COMPUTED_VALUE"""),274568.0)</f>
        <v>274568</v>
      </c>
      <c r="F558" s="9" t="str">
        <f>IFERROR(__xludf.DUMMYFUNCTION("""COMPUTED_VALUE"""),"片恋がたき［ばら売り］［DRUNK!］")</f>
        <v>片恋がたき［ばら売り］［DRUNK!］</v>
      </c>
      <c r="G558" s="11">
        <f>IFERROR(__xludf.DUMMYFUNCTION("""COMPUTED_VALUE"""),1.0)</f>
        <v>1</v>
      </c>
      <c r="H558" s="8" t="str">
        <f>IFERROR(__xludf.DUMMYFUNCTION("""COMPUTED_VALUE"""),"冬影")</f>
        <v>冬影</v>
      </c>
      <c r="I558" s="8" t="str">
        <f>IFERROR(__xludf.DUMMYFUNCTION("""COMPUTED_VALUE"""),"女性")</f>
        <v>女性</v>
      </c>
      <c r="J558" s="8"/>
      <c r="K558" s="8"/>
      <c r="L558" s="8" t="str">
        <f>IFERROR(__xludf.DUMMYFUNCTION("""COMPUTED_VALUE"""),"白泉社")</f>
        <v>白泉社</v>
      </c>
      <c r="M558" s="12">
        <f>IFERROR(__xludf.DUMMYFUNCTION("""COMPUTED_VALUE"""),45161.0)</f>
        <v>45161</v>
      </c>
      <c r="N558" s="12">
        <f>IFERROR(__xludf.DUMMYFUNCTION("""COMPUTED_VALUE"""),45223.0)</f>
        <v>45223</v>
      </c>
      <c r="O558" s="11"/>
      <c r="P558" s="9" t="str">
        <f>IFERROR(__xludf.DUMMYFUNCTION("""COMPUTED_VALUE"""),"否")</f>
        <v>否</v>
      </c>
      <c r="Q558" s="8" t="str">
        <f>IFERROR(__xludf.DUMMYFUNCTION("""COMPUTED_VALUE"""),"新レーベル『DRUNK!』の作品です。")</f>
        <v>新レーベル『DRUNK!』の作品です。</v>
      </c>
      <c r="R558" s="9"/>
      <c r="S558" s="8" t="str">
        <f>IFERROR(__xludf.DUMMYFUNCTION("""COMPUTED_VALUE"""),"20230718_白泉社_片恋がたき")</f>
        <v>20230718_白泉社_片恋がたき</v>
      </c>
      <c r="T558" s="9"/>
      <c r="U558" s="9" t="str">
        <f>IFERROR(__xludf.DUMMYFUNCTION("""COMPUTED_VALUE"""),"(C)冬影/白泉社")</f>
        <v>(C)冬影/白泉社</v>
      </c>
      <c r="V558" s="8" t="str">
        <f>IFERROR(__xludf.DUMMYFUNCTION("""COMPUTED_VALUE"""),"吉川詩乃は生まれながらの不器用で、好きな人へのアプローチがいつも上手くいかない。今日も大好きな課長に挨拶をしたら、しかめっ面で相手をビビらせてしまう始末…。そんな課長も、会社の人気者・葉山くんと話している時はいつも楽し気。葉山くんを恋敵として一方的に闘志を燃やす詩乃に対して、葉山くんはある提案を持ちかけて…？　この片恋はどこへ向かう？　ヘンテコ三角関係ラブコメ！（46P）
")</f>
        <v>吉川詩乃は生まれながらの不器用で、好きな人へのアプローチがいつも上手くいかない。今日も大好きな課長に挨拶をしたら、しかめっ面で相手をビビらせてしまう始末…。そんな課長も、会社の人気者・葉山くんと話している時はいつも楽し気。葉山くんを恋敵として一方的に闘志を燃やす詩乃に対して、葉山くんはある提案を持ちかけて…？　この片恋はどこへ向かう？　ヘンテコ三角関係ラブコメ！（46P）
</v>
      </c>
      <c r="W558" s="8"/>
      <c r="X558" s="8" t="str">
        <f>IFERROR(__xludf.DUMMYFUNCTION("""COMPUTED_VALUE"""),"有")</f>
        <v>有</v>
      </c>
      <c r="Y558" s="8" t="str">
        <f>IFERROR(__xludf.DUMMYFUNCTION("""COMPUTED_VALUE"""),"P21まで")</f>
        <v>P21まで</v>
      </c>
      <c r="Z558" s="7"/>
      <c r="AA558" s="7"/>
      <c r="AB558" s="7"/>
    </row>
    <row r="559" ht="114.75" customHeight="1">
      <c r="A559" s="8">
        <f>IFERROR(__xludf.DUMMYFUNCTION("""COMPUTED_VALUE"""),2200.0)</f>
        <v>2200</v>
      </c>
      <c r="B559" s="9" t="str">
        <f>IFERROR(__xludf.DUMMYFUNCTION("""COMPUTED_VALUE"""),"確定")</f>
        <v>確定</v>
      </c>
      <c r="C559" s="10">
        <f>IFERROR(__xludf.DUMMYFUNCTION("""COMPUTED_VALUE"""),45125.0)</f>
        <v>45125</v>
      </c>
      <c r="D559" s="10">
        <f>IFERROR(__xludf.DUMMYFUNCTION("""COMPUTED_VALUE"""),45125.0)</f>
        <v>45125</v>
      </c>
      <c r="E559" s="8">
        <f>IFERROR(__xludf.DUMMYFUNCTION("""COMPUTED_VALUE"""),274559.0)</f>
        <v>274559</v>
      </c>
      <c r="F559" s="9" t="str">
        <f>IFERROR(__xludf.DUMMYFUNCTION("""COMPUTED_VALUE"""),"わたしの卵がかえるまで［ばら売り］［DRUNK!］")</f>
        <v>わたしの卵がかえるまで［ばら売り］［DRUNK!］</v>
      </c>
      <c r="G559" s="11" t="str">
        <f>IFERROR(__xludf.DUMMYFUNCTION("""COMPUTED_VALUE"""),"1～3")</f>
        <v>1～3</v>
      </c>
      <c r="H559" s="8" t="str">
        <f>IFERROR(__xludf.DUMMYFUNCTION("""COMPUTED_VALUE"""),"三住圭一")</f>
        <v>三住圭一</v>
      </c>
      <c r="I559" s="8" t="str">
        <f>IFERROR(__xludf.DUMMYFUNCTION("""COMPUTED_VALUE"""),"女性")</f>
        <v>女性</v>
      </c>
      <c r="J559" s="8"/>
      <c r="K559" s="8"/>
      <c r="L559" s="8" t="str">
        <f>IFERROR(__xludf.DUMMYFUNCTION("""COMPUTED_VALUE"""),"白泉社")</f>
        <v>白泉社</v>
      </c>
      <c r="M559" s="12">
        <f>IFERROR(__xludf.DUMMYFUNCTION("""COMPUTED_VALUE"""),45161.0)</f>
        <v>45161</v>
      </c>
      <c r="N559" s="12">
        <f>IFERROR(__xludf.DUMMYFUNCTION("""COMPUTED_VALUE"""),45223.0)</f>
        <v>45223</v>
      </c>
      <c r="O559" s="11"/>
      <c r="P559" s="9" t="str">
        <f>IFERROR(__xludf.DUMMYFUNCTION("""COMPUTED_VALUE"""),"否")</f>
        <v>否</v>
      </c>
      <c r="Q559" s="8" t="str">
        <f>IFERROR(__xludf.DUMMYFUNCTION("""COMPUTED_VALUE"""),"新レーベル『DRUNK!』の作品です。")</f>
        <v>新レーベル『DRUNK!』の作品です。</v>
      </c>
      <c r="R559" s="9"/>
      <c r="S559" s="8" t="str">
        <f>IFERROR(__xludf.DUMMYFUNCTION("""COMPUTED_VALUE"""),"20230718_白泉社_わたしの卵がかえるまで")</f>
        <v>20230718_白泉社_わたしの卵がかえるまで</v>
      </c>
      <c r="T559" s="9"/>
      <c r="U559" s="9" t="str">
        <f>IFERROR(__xludf.DUMMYFUNCTION("""COMPUTED_VALUE"""),"(C)三住圭一/白泉社")</f>
        <v>(C)三住圭一/白泉社</v>
      </c>
      <c r="V559" s="8" t="str">
        <f>IFERROR(__xludf.DUMMYFUNCTION("""COMPUTED_VALUE"""),"大西珠子は、大学の雰囲気に馴染めず、やりたいこともなく、自分に自信を持てずにいた。そんな中、真秀という男性と出会う。真秀は隣の専門学校で油絵を教える非常勤講師だった。真秀の勧めでクロッキーに挑戦した珠子は、鉛筆の感触と、そして真秀の手の温もりに、今まで感じたことのない感情を覚え始めて…。夢に出会った女と、夢に苦しむ男の、運命狂わすラブストーリー。（50P）
")</f>
        <v>大西珠子は、大学の雰囲気に馴染めず、やりたいこともなく、自分に自信を持てずにいた。そんな中、真秀という男性と出会う。真秀は隣の専門学校で油絵を教える非常勤講師だった。真秀の勧めでクロッキーに挑戦した珠子は、鉛筆の感触と、そして真秀の手の温もりに、今まで感じたことのない感情を覚え始めて…。夢に出会った女と、夢に苦しむ男の、運命狂わすラブストーリー。（50P）
</v>
      </c>
      <c r="W559" s="8"/>
      <c r="X559" s="8" t="str">
        <f>IFERROR(__xludf.DUMMYFUNCTION("""COMPUTED_VALUE"""),"有")</f>
        <v>有</v>
      </c>
      <c r="Y559" s="8" t="str">
        <f>IFERROR(__xludf.DUMMYFUNCTION("""COMPUTED_VALUE"""),"9/5まで1巻無料")</f>
        <v>9/5まで1巻無料</v>
      </c>
      <c r="Z559" s="7"/>
      <c r="AA559" s="7"/>
      <c r="AB559" s="7"/>
    </row>
    <row r="560" ht="112.5" customHeight="1">
      <c r="A560" s="8">
        <f>IFERROR(__xludf.DUMMYFUNCTION("""COMPUTED_VALUE"""),2201.0)</f>
        <v>2201</v>
      </c>
      <c r="B560" s="9" t="str">
        <f>IFERROR(__xludf.DUMMYFUNCTION("""COMPUTED_VALUE"""),"確定")</f>
        <v>確定</v>
      </c>
      <c r="C560" s="10">
        <f>IFERROR(__xludf.DUMMYFUNCTION("""COMPUTED_VALUE"""),45125.0)</f>
        <v>45125</v>
      </c>
      <c r="D560" s="10">
        <f>IFERROR(__xludf.DUMMYFUNCTION("""COMPUTED_VALUE"""),45125.0)</f>
        <v>45125</v>
      </c>
      <c r="E560" s="8">
        <f>IFERROR(__xludf.DUMMYFUNCTION("""COMPUTED_VALUE"""),274569.0)</f>
        <v>274569</v>
      </c>
      <c r="F560" s="9" t="str">
        <f>IFERROR(__xludf.DUMMYFUNCTION("""COMPUTED_VALUE"""),"夢の中では抱かれてますが！［ばら売り］［DRUNK!］")</f>
        <v>夢の中では抱かれてますが！［ばら売り］［DRUNK!］</v>
      </c>
      <c r="G560" s="11">
        <f>IFERROR(__xludf.DUMMYFUNCTION("""COMPUTED_VALUE"""),1.0)</f>
        <v>1</v>
      </c>
      <c r="H560" s="8" t="str">
        <f>IFERROR(__xludf.DUMMYFUNCTION("""COMPUTED_VALUE"""),"幾")</f>
        <v>幾</v>
      </c>
      <c r="I560" s="8" t="str">
        <f>IFERROR(__xludf.DUMMYFUNCTION("""COMPUTED_VALUE"""),"女性")</f>
        <v>女性</v>
      </c>
      <c r="J560" s="8"/>
      <c r="K560" s="8"/>
      <c r="L560" s="8" t="str">
        <f>IFERROR(__xludf.DUMMYFUNCTION("""COMPUTED_VALUE"""),"白泉社")</f>
        <v>白泉社</v>
      </c>
      <c r="M560" s="12">
        <f>IFERROR(__xludf.DUMMYFUNCTION("""COMPUTED_VALUE"""),45161.0)</f>
        <v>45161</v>
      </c>
      <c r="N560" s="12">
        <f>IFERROR(__xludf.DUMMYFUNCTION("""COMPUTED_VALUE"""),45223.0)</f>
        <v>45223</v>
      </c>
      <c r="O560" s="11"/>
      <c r="P560" s="9" t="str">
        <f>IFERROR(__xludf.DUMMYFUNCTION("""COMPUTED_VALUE"""),"否")</f>
        <v>否</v>
      </c>
      <c r="Q560" s="8" t="str">
        <f>IFERROR(__xludf.DUMMYFUNCTION("""COMPUTED_VALUE"""),"新レーベル『DRUNK!』の作品です。")</f>
        <v>新レーベル『DRUNK!』の作品です。</v>
      </c>
      <c r="R560" s="9"/>
      <c r="S560" s="8" t="str">
        <f>IFERROR(__xludf.DUMMYFUNCTION("""COMPUTED_VALUE"""),"20230718_白泉社_夢の中では抱かれてますが！")</f>
        <v>20230718_白泉社_夢の中では抱かれてますが！</v>
      </c>
      <c r="T560" s="9"/>
      <c r="U560" s="9" t="str">
        <f>IFERROR(__xludf.DUMMYFUNCTION("""COMPUTED_VALUE"""),"(C)幾/白泉社")</f>
        <v>(C)幾/白泉社</v>
      </c>
      <c r="V560" s="8" t="str">
        <f>IFERROR(__xludf.DUMMYFUNCTION("""COMPUTED_VALUE"""),"逆木観奈の悩みは、欲求不満すぎて妄想癖が爆発していること。そしていつも妄想相手にしているのは、名前も知らない、実在するかもわからないイケメンの彼。会社でも妄想が止まらず、現実を見なければ…と反省する観奈だったが、ある日電車で妄想相手とそっくりな男性に出会ってしまい！？　妄想爆発・奇想天外ぶっ飛びラブコメディ！（38P）
")</f>
        <v>逆木観奈の悩みは、欲求不満すぎて妄想癖が爆発していること。そしていつも妄想相手にしているのは、名前も知らない、実在するかもわからないイケメンの彼。会社でも妄想が止まらず、現実を見なければ…と反省する観奈だったが、ある日電車で妄想相手とそっくりな男性に出会ってしまい！？　妄想爆発・奇想天外ぶっ飛びラブコメディ！（38P）
</v>
      </c>
      <c r="W560" s="8"/>
      <c r="X560" s="8" t="str">
        <f>IFERROR(__xludf.DUMMYFUNCTION("""COMPUTED_VALUE"""),"有")</f>
        <v>有</v>
      </c>
      <c r="Y560" s="8" t="str">
        <f>IFERROR(__xludf.DUMMYFUNCTION("""COMPUTED_VALUE"""),"P17まで")</f>
        <v>P17まで</v>
      </c>
      <c r="Z560" s="7"/>
      <c r="AA560" s="7"/>
      <c r="AB560" s="7"/>
    </row>
    <row r="561" ht="15.75" customHeight="1">
      <c r="A561" s="8">
        <f>IFERROR(__xludf.DUMMYFUNCTION("""COMPUTED_VALUE"""),2202.0)</f>
        <v>2202</v>
      </c>
      <c r="B561" s="9" t="str">
        <f>IFERROR(__xludf.DUMMYFUNCTION("""COMPUTED_VALUE"""),"確定")</f>
        <v>確定</v>
      </c>
      <c r="C561" s="10">
        <f>IFERROR(__xludf.DUMMYFUNCTION("""COMPUTED_VALUE"""),45125.0)</f>
        <v>45125</v>
      </c>
      <c r="D561" s="10">
        <f>IFERROR(__xludf.DUMMYFUNCTION("""COMPUTED_VALUE"""),45125.0)</f>
        <v>45125</v>
      </c>
      <c r="E561" s="8">
        <f>IFERROR(__xludf.DUMMYFUNCTION("""COMPUTED_VALUE"""),274558.0)</f>
        <v>274558</v>
      </c>
      <c r="F561" s="9" t="str">
        <f>IFERROR(__xludf.DUMMYFUNCTION("""COMPUTED_VALUE"""),"藍子さんは甘えたい［ばら売り］［DRUNK!］")</f>
        <v>藍子さんは甘えたい［ばら売り］［DRUNK!］</v>
      </c>
      <c r="G561" s="11" t="str">
        <f>IFERROR(__xludf.DUMMYFUNCTION("""COMPUTED_VALUE"""),"1～3")</f>
        <v>1～3</v>
      </c>
      <c r="H561" s="8" t="str">
        <f>IFERROR(__xludf.DUMMYFUNCTION("""COMPUTED_VALUE"""),"すぐれ")</f>
        <v>すぐれ</v>
      </c>
      <c r="I561" s="8" t="str">
        <f>IFERROR(__xludf.DUMMYFUNCTION("""COMPUTED_VALUE"""),"女性")</f>
        <v>女性</v>
      </c>
      <c r="J561" s="8"/>
      <c r="K561" s="8"/>
      <c r="L561" s="8" t="str">
        <f>IFERROR(__xludf.DUMMYFUNCTION("""COMPUTED_VALUE"""),"白泉社")</f>
        <v>白泉社</v>
      </c>
      <c r="M561" s="12">
        <f>IFERROR(__xludf.DUMMYFUNCTION("""COMPUTED_VALUE"""),45161.0)</f>
        <v>45161</v>
      </c>
      <c r="N561" s="12">
        <f>IFERROR(__xludf.DUMMYFUNCTION("""COMPUTED_VALUE"""),45223.0)</f>
        <v>45223</v>
      </c>
      <c r="O561" s="11"/>
      <c r="P561" s="9" t="str">
        <f>IFERROR(__xludf.DUMMYFUNCTION("""COMPUTED_VALUE"""),"否")</f>
        <v>否</v>
      </c>
      <c r="Q561" s="8" t="str">
        <f>IFERROR(__xludf.DUMMYFUNCTION("""COMPUTED_VALUE"""),"新レーベル『DRUNK!』の作品です。")</f>
        <v>新レーベル『DRUNK!』の作品です。</v>
      </c>
      <c r="R561" s="9"/>
      <c r="S561" s="8" t="str">
        <f>IFERROR(__xludf.DUMMYFUNCTION("""COMPUTED_VALUE"""),"20230718_白泉社_藍子さんは甘えたい")</f>
        <v>20230718_白泉社_藍子さんは甘えたい</v>
      </c>
      <c r="T561" s="9"/>
      <c r="U561" s="9" t="str">
        <f>IFERROR(__xludf.DUMMYFUNCTION("""COMPUTED_VALUE"""),"(C)すぐれ/白泉社")</f>
        <v>(C)すぐれ/白泉社</v>
      </c>
      <c r="V561" s="8" t="str">
        <f>IFERROR(__xludf.DUMMYFUNCTION("""COMPUTED_VALUE"""),"藍子は頼まれると断れない「甘えベタ」な性格。今日も仕事を引き受けてしまい、行きたかった合コンを欠席。今年30歳。恋したい！　人のお世話なんてしてる場合じゃない！　…と一人でやけ酒する藍子だったが、翌朝目が覚めると、そこは会社の後輩男子・澤田の家で…？　甘えられない不器用女子×甘えさせたい年下男子の、愛しくもどかしい年の差ラブコメ！（53P）
")</f>
        <v>藍子は頼まれると断れない「甘えベタ」な性格。今日も仕事を引き受けてしまい、行きたかった合コンを欠席。今年30歳。恋したい！　人のお世話なんてしてる場合じゃない！　…と一人でやけ酒する藍子だったが、翌朝目が覚めると、そこは会社の後輩男子・澤田の家で…？　甘えられない不器用女子×甘えさせたい年下男子の、愛しくもどかしい年の差ラブコメ！（53P）
</v>
      </c>
      <c r="W561" s="8"/>
      <c r="X561" s="8" t="str">
        <f>IFERROR(__xludf.DUMMYFUNCTION("""COMPUTED_VALUE"""),"有")</f>
        <v>有</v>
      </c>
      <c r="Y561" s="8" t="str">
        <f>IFERROR(__xludf.DUMMYFUNCTION("""COMPUTED_VALUE"""),"9/5まで1巻無料")</f>
        <v>9/5まで1巻無料</v>
      </c>
      <c r="Z561" s="7"/>
      <c r="AA561" s="7"/>
      <c r="AB561" s="7"/>
    </row>
    <row r="562" ht="15.75" customHeight="1">
      <c r="A562" s="8">
        <f>IFERROR(__xludf.DUMMYFUNCTION("""COMPUTED_VALUE"""),2203.0)</f>
        <v>2203</v>
      </c>
      <c r="B562" s="9" t="str">
        <f>IFERROR(__xludf.DUMMYFUNCTION("""COMPUTED_VALUE"""),"確定")</f>
        <v>確定</v>
      </c>
      <c r="C562" s="10">
        <f>IFERROR(__xludf.DUMMYFUNCTION("""COMPUTED_VALUE"""),45125.0)</f>
        <v>45125</v>
      </c>
      <c r="D562" s="10">
        <f>IFERROR(__xludf.DUMMYFUNCTION("""COMPUTED_VALUE"""),45125.0)</f>
        <v>45125</v>
      </c>
      <c r="E562" s="8">
        <f>IFERROR(__xludf.DUMMYFUNCTION("""COMPUTED_VALUE"""),273486.0)</f>
        <v>273486</v>
      </c>
      <c r="F562" s="9" t="str">
        <f>IFERROR(__xludf.DUMMYFUNCTION("""COMPUTED_VALUE"""),"猫かぶり男子には抗えない")</f>
        <v>猫かぶり男子には抗えない</v>
      </c>
      <c r="G562" s="11" t="str">
        <f>IFERROR(__xludf.DUMMYFUNCTION("""COMPUTED_VALUE"""),"1~4")</f>
        <v>1~4</v>
      </c>
      <c r="H562" s="8" t="str">
        <f>IFERROR(__xludf.DUMMYFUNCTION("""COMPUTED_VALUE"""),"棗アキラ")</f>
        <v>棗アキラ</v>
      </c>
      <c r="I562" s="8" t="str">
        <f>IFERROR(__xludf.DUMMYFUNCTION("""COMPUTED_VALUE"""),"女性")</f>
        <v>女性</v>
      </c>
      <c r="J562" s="8"/>
      <c r="K562" s="8"/>
      <c r="L562" s="8" t="str">
        <f>IFERROR(__xludf.DUMMYFUNCTION("""COMPUTED_VALUE"""),"コミックストック")</f>
        <v>コミックストック</v>
      </c>
      <c r="M562" s="12">
        <f>IFERROR(__xludf.DUMMYFUNCTION("""COMPUTED_VALUE"""),45147.0)</f>
        <v>45147</v>
      </c>
      <c r="N562" s="12">
        <f>IFERROR(__xludf.DUMMYFUNCTION("""COMPUTED_VALUE"""),45209.0)</f>
        <v>45209</v>
      </c>
      <c r="O562" s="11"/>
      <c r="P562" s="9" t="str">
        <f>IFERROR(__xludf.DUMMYFUNCTION("""COMPUTED_VALUE"""),"可")</f>
        <v>可</v>
      </c>
      <c r="Q562" s="8" t="str">
        <f>IFERROR(__xludf.DUMMYFUNCTION("""COMPUTED_VALUE"""),"協業：シーモア×コイパレ")</f>
        <v>協業：シーモア×コイパレ</v>
      </c>
      <c r="R562" s="9" t="str">
        <f>IFERROR(__xludf.DUMMYFUNCTION("""COMPUTED_VALUE"""),"格納済")</f>
        <v>格納済</v>
      </c>
      <c r="S562" s="8" t="str">
        <f>IFERROR(__xludf.DUMMYFUNCTION("""COMPUTED_VALUE"""),"20230718_コミックストック_猫かぶり男子には抗えない")</f>
        <v>20230718_コミックストック_猫かぶり男子には抗えない</v>
      </c>
      <c r="T562" s="9" t="str">
        <f>IFERROR(__xludf.DUMMYFUNCTION("""COMPUTED_VALUE"""),"校了済素材")</f>
        <v>校了済素材</v>
      </c>
      <c r="U562" s="9" t="str">
        <f>IFERROR(__xludf.DUMMYFUNCTION("""COMPUTED_VALUE"""),"ⓒ棗アキラ/コミックストック")</f>
        <v>ⓒ棗アキラ/コミックストック</v>
      </c>
      <c r="V562" s="8" t="str">
        <f>IFERROR(__xludf.DUMMYFUNCTION("""COMPUTED_VALUE"""),"「俺の言うこと何でも聞いてくれますよね？」イケメン後輩が猫かぶってたなんて聞いてない！――同棲中の彼とのマンネリに悩むOL・葵は、よりによって誕生日に浮気を目撃。やけになって公園で飲んでいた葵を不審者から助けてくれたのは、モテると噂の後輩・和久だった。酔いつぶれた葵を介抱してくれて…目が覚めたら彼と一緒にベッドの上！？ 襲ってしまったかもと焦る葵に、口止めの条件として和久が提案してきたのは…なぜか一緒に住むことで！？ クールで生意気な年下男子×自分を強く見せちゃうアラサー女子の不器用すぎるラブストーリー。")</f>
        <v>「俺の言うこと何でも聞いてくれますよね？」イケメン後輩が猫かぶってたなんて聞いてない！――同棲中の彼とのマンネリに悩むOL・葵は、よりによって誕生日に浮気を目撃。やけになって公園で飲んでいた葵を不審者から助けてくれたのは、モテると噂の後輩・和久だった。酔いつぶれた葵を介抱してくれて…目が覚めたら彼と一緒にベッドの上！？ 襲ってしまったかもと焦る葵に、口止めの条件として和久が提案してきたのは…なぜか一緒に住むことで！？ クールで生意気な年下男子×自分を強く見せちゃうアラサー女子の不器用すぎるラブストーリー。</v>
      </c>
      <c r="W562" s="8"/>
      <c r="X562" s="8" t="str">
        <f>IFERROR(__xludf.DUMMYFUNCTION("""COMPUTED_VALUE"""),"有")</f>
        <v>有</v>
      </c>
      <c r="Y562" s="8" t="str">
        <f>IFERROR(__xludf.DUMMYFUNCTION("""COMPUTED_VALUE"""),"8/22まで1巻無料")</f>
        <v>8/22まで1巻無料</v>
      </c>
      <c r="Z562" s="7"/>
      <c r="AA562" s="7"/>
      <c r="AB562" s="7"/>
    </row>
    <row r="563" ht="116.25" customHeight="1">
      <c r="A563" s="8">
        <f>IFERROR(__xludf.DUMMYFUNCTION("""COMPUTED_VALUE"""),2103.0)</f>
        <v>2103</v>
      </c>
      <c r="B563" s="9" t="str">
        <f>IFERROR(__xludf.DUMMYFUNCTION("""COMPUTED_VALUE"""),"確定")</f>
        <v>確定</v>
      </c>
      <c r="C563" s="10">
        <f>IFERROR(__xludf.DUMMYFUNCTION("""COMPUTED_VALUE"""),45103.0)</f>
        <v>45103</v>
      </c>
      <c r="D563" s="10">
        <f>IFERROR(__xludf.DUMMYFUNCTION("""COMPUTED_VALUE"""),45131.0)</f>
        <v>45131</v>
      </c>
      <c r="E563" s="14">
        <f>IFERROR(__xludf.DUMMYFUNCTION("""COMPUTED_VALUE"""),276125.0)</f>
        <v>276125</v>
      </c>
      <c r="F563" s="9" t="str">
        <f>IFERROR(__xludf.DUMMYFUNCTION("""COMPUTED_VALUE"""),"ダメドルと世界に1人だけのファン【単話版】")</f>
        <v>ダメドルと世界に1人だけのファン【単話版】</v>
      </c>
      <c r="G563" s="16" t="str">
        <f>IFERROR(__xludf.DUMMYFUNCTION("""COMPUTED_VALUE"""),"1～6")</f>
        <v>1～6</v>
      </c>
      <c r="H563" s="8" t="str">
        <f>IFERROR(__xludf.DUMMYFUNCTION("""COMPUTED_VALUE"""),"キシリモ")</f>
        <v>キシリモ</v>
      </c>
      <c r="I563" s="8" t="str">
        <f>IFERROR(__xludf.DUMMYFUNCTION("""COMPUTED_VALUE"""),"青年")</f>
        <v>青年</v>
      </c>
      <c r="J563" s="8"/>
      <c r="K563" s="8"/>
      <c r="L563" s="8" t="str">
        <f>IFERROR(__xludf.DUMMYFUNCTION("""COMPUTED_VALUE"""),"GANMA!")</f>
        <v>GANMA!</v>
      </c>
      <c r="M563" s="12">
        <f>IFERROR(__xludf.DUMMYFUNCTION("""COMPUTED_VALUE"""),45170.0)</f>
        <v>45170</v>
      </c>
      <c r="N563" s="21">
        <f>IFERROR(__xludf.DUMMYFUNCTION("""COMPUTED_VALUE"""),45260.0)</f>
        <v>45260</v>
      </c>
      <c r="O563" s="11"/>
      <c r="P563" s="9" t="str">
        <f>IFERROR(__xludf.DUMMYFUNCTION("""COMPUTED_VALUE"""),"否")</f>
        <v>否</v>
      </c>
      <c r="Q563" s="8" t="str">
        <f>IFERROR(__xludf.DUMMYFUNCTION("""COMPUTED_VALUE"""),"広告コミットOK(6/29)")</f>
        <v>広告コミットOK(6/29)</v>
      </c>
      <c r="R563" s="9"/>
      <c r="S563" s="8" t="str">
        <f>IFERROR(__xludf.DUMMYFUNCTION("""COMPUTED_VALUE"""),"20230724_GANMA!_ダメドルと世界に1人だけのファン【単話版】")</f>
        <v>20230724_GANMA!_ダメドルと世界に1人だけのファン【単話版】</v>
      </c>
      <c r="T563" s="9"/>
      <c r="U563" s="15" t="str">
        <f>IFERROR(__xludf.DUMMYFUNCTION("""COMPUTED_VALUE"""),"©キシリモ／COMICSMARTINC.")</f>
        <v>©キシリモ／COMICSMARTINC.</v>
      </c>
      <c r="V563" s="8" t="str">
        <f>IFERROR(__xludf.DUMMYFUNCTION("""COMPUTED_VALUE"""),"うるみんはアイドルなのに歌も踊りもダメダメで性格も素直じゃない。そんな彼女を推している世界で一人だけのファン、キミヤ。ふたりの関係性は普通のアイドル、ファンとの関係性と違ってちょっと変!?　ダメなアイドルと彼女を推し続ける男の日常を描く、愛し方がすごい「尊い」系ラブコメディ！　（著者名：キシリモ/初出：GANMA!1話掲載分）")</f>
        <v>うるみんはアイドルなのに歌も踊りもダメダメで性格も素直じゃない。そんな彼女を推している世界で一人だけのファン、キミヤ。ふたりの関係性は普通のアイドル、ファンとの関係性と違ってちょっと変!?　ダメなアイドルと彼女を推し続ける男の日常を描く、愛し方がすごい「尊い」系ラブコメディ！　（著者名：キシリモ/初出：GANMA!1話掲載分）</v>
      </c>
      <c r="W563" s="8"/>
      <c r="X563" s="22" t="str">
        <f>IFERROR(__xludf.DUMMYFUNCTION("""COMPUTED_VALUE"""),"有")</f>
        <v>有</v>
      </c>
      <c r="Y563" s="8" t="str">
        <f>IFERROR(__xludf.DUMMYFUNCTION("""COMPUTED_VALUE"""),"P5まで")</f>
        <v>P5まで</v>
      </c>
      <c r="Z563" s="7"/>
      <c r="AA563" s="7"/>
      <c r="AB563" s="7"/>
    </row>
    <row r="564" ht="93.0" customHeight="1">
      <c r="A564" s="8">
        <f>IFERROR(__xludf.DUMMYFUNCTION("""COMPUTED_VALUE"""),2106.0)</f>
        <v>2106</v>
      </c>
      <c r="B564" s="9" t="str">
        <f>IFERROR(__xludf.DUMMYFUNCTION("""COMPUTED_VALUE"""),"確定")</f>
        <v>確定</v>
      </c>
      <c r="C564" s="10">
        <f>IFERROR(__xludf.DUMMYFUNCTION("""COMPUTED_VALUE"""),45103.0)</f>
        <v>45103</v>
      </c>
      <c r="D564" s="10">
        <f>IFERROR(__xludf.DUMMYFUNCTION("""COMPUTED_VALUE"""),45131.0)</f>
        <v>45131</v>
      </c>
      <c r="E564" s="14">
        <f>IFERROR(__xludf.DUMMYFUNCTION("""COMPUTED_VALUE"""),276126.0)</f>
        <v>276126</v>
      </c>
      <c r="F564" s="9" t="str">
        <f>IFERROR(__xludf.DUMMYFUNCTION("""COMPUTED_VALUE"""),"漂流病棟【単話版】")</f>
        <v>漂流病棟【単話版】</v>
      </c>
      <c r="G564" s="16" t="str">
        <f>IFERROR(__xludf.DUMMYFUNCTION("""COMPUTED_VALUE"""),"1～5")</f>
        <v>1～5</v>
      </c>
      <c r="H564" s="8" t="str">
        <f>IFERROR(__xludf.DUMMYFUNCTION("""COMPUTED_VALUE"""),"原案：嗤ヰ声／原作：木沢真流／作画：佐倉崎牡丹")</f>
        <v>原案：嗤ヰ声／原作：木沢真流／作画：佐倉崎牡丹</v>
      </c>
      <c r="I564" s="8" t="str">
        <f>IFERROR(__xludf.DUMMYFUNCTION("""COMPUTED_VALUE"""),"青年")</f>
        <v>青年</v>
      </c>
      <c r="J564" s="8"/>
      <c r="K564" s="8"/>
      <c r="L564" s="8" t="str">
        <f>IFERROR(__xludf.DUMMYFUNCTION("""COMPUTED_VALUE"""),"GANMA!")</f>
        <v>GANMA!</v>
      </c>
      <c r="M564" s="12">
        <f>IFERROR(__xludf.DUMMYFUNCTION("""COMPUTED_VALUE"""),45170.0)</f>
        <v>45170</v>
      </c>
      <c r="N564" s="21">
        <f>IFERROR(__xludf.DUMMYFUNCTION("""COMPUTED_VALUE"""),45260.0)</f>
        <v>45260</v>
      </c>
      <c r="O564" s="11"/>
      <c r="P564" s="9" t="str">
        <f>IFERROR(__xludf.DUMMYFUNCTION("""COMPUTED_VALUE"""),"否")</f>
        <v>否</v>
      </c>
      <c r="Q564" s="8" t="str">
        <f>IFERROR(__xludf.DUMMYFUNCTION("""COMPUTED_VALUE"""),"広告コミットOK(6/29)")</f>
        <v>広告コミットOK(6/29)</v>
      </c>
      <c r="R564" s="9"/>
      <c r="S564" s="8" t="str">
        <f>IFERROR(__xludf.DUMMYFUNCTION("""COMPUTED_VALUE"""),"20230724_GANMA!_漂流病棟【単話版】")</f>
        <v>20230724_GANMA!_漂流病棟【単話版】</v>
      </c>
      <c r="T564" s="9"/>
      <c r="U564" s="15" t="str">
        <f>IFERROR(__xludf.DUMMYFUNCTION("""COMPUTED_VALUE"""),"Ⓒ木沢真流／佐倉崎牡丹／COMICSMART INC.")</f>
        <v>Ⓒ木沢真流／佐倉崎牡丹／COMICSMART INC.</v>
      </c>
      <c r="V564" s="18" t="str">
        <f>IFERROR(__xludf.DUMMYFUNCTION("""COMPUTED_VALUE"""),"もし病院ごと荒廃した異世界に漂流してしまったら…!?　家に帰る手立ても一向に見つからないなか、主人公たちを様々な困難が襲う!!　異世界×医療×サバイバルストーリー!!　【医療監修】鴻池善彦/中川悠樹/森口真吾（原案：嗤ヰ声／原作：木沢真流／作画：佐倉崎牡丹/初出：GANMA!1話掲載分）")</f>
        <v>もし病院ごと荒廃した異世界に漂流してしまったら…!?　家に帰る手立ても一向に見つからないなか、主人公たちを様々な困難が襲う!!　異世界×医療×サバイバルストーリー!!　【医療監修】鴻池善彦/中川悠樹/森口真吾（原案：嗤ヰ声／原作：木沢真流／作画：佐倉崎牡丹/初出：GANMA!1話掲載分）</v>
      </c>
      <c r="W564" s="8"/>
      <c r="X564" s="22" t="str">
        <f>IFERROR(__xludf.DUMMYFUNCTION("""COMPUTED_VALUE"""),"有")</f>
        <v>有</v>
      </c>
      <c r="Y564" s="8" t="str">
        <f>IFERROR(__xludf.DUMMYFUNCTION("""COMPUTED_VALUE"""),"P5まで")</f>
        <v>P5まで</v>
      </c>
      <c r="Z564" s="7"/>
      <c r="AA564" s="7"/>
      <c r="AB564" s="7"/>
    </row>
    <row r="565" ht="154.5" customHeight="1">
      <c r="A565" s="8">
        <f>IFERROR(__xludf.DUMMYFUNCTION("""COMPUTED_VALUE"""),2113.0)</f>
        <v>2113</v>
      </c>
      <c r="B565" s="9" t="str">
        <f>IFERROR(__xludf.DUMMYFUNCTION("""COMPUTED_VALUE"""),"確定")</f>
        <v>確定</v>
      </c>
      <c r="C565" s="10">
        <f>IFERROR(__xludf.DUMMYFUNCTION("""COMPUTED_VALUE"""),45106.0)</f>
        <v>45106</v>
      </c>
      <c r="D565" s="10">
        <f>IFERROR(__xludf.DUMMYFUNCTION("""COMPUTED_VALUE"""),45131.0)</f>
        <v>45131</v>
      </c>
      <c r="E565" s="14">
        <f>IFERROR(__xludf.DUMMYFUNCTION("""COMPUTED_VALUE"""),275431.0)</f>
        <v>275431</v>
      </c>
      <c r="F565" s="9" t="str">
        <f>IFERROR(__xludf.DUMMYFUNCTION("""COMPUTED_VALUE"""),"可愛い夫をネトラレたい【単話版】")</f>
        <v>可愛い夫をネトラレたい【単話版】</v>
      </c>
      <c r="G565" s="16" t="str">
        <f>IFERROR(__xludf.DUMMYFUNCTION("""COMPUTED_VALUE"""),"1～4")</f>
        <v>1～4</v>
      </c>
      <c r="H565" s="8" t="str">
        <f>IFERROR(__xludf.DUMMYFUNCTION("""COMPUTED_VALUE"""),"原作：あいざわあつこ 作画：雪原しづき")</f>
        <v>原作：あいざわあつこ 作画：雪原しづき</v>
      </c>
      <c r="I565" s="8" t="str">
        <f>IFERROR(__xludf.DUMMYFUNCTION("""COMPUTED_VALUE"""),"女性")</f>
        <v>女性</v>
      </c>
      <c r="J565" s="8"/>
      <c r="K565" s="8"/>
      <c r="L565" s="8" t="str">
        <f>IFERROR(__xludf.DUMMYFUNCTION("""COMPUTED_VALUE"""),"主婦と生活社")</f>
        <v>主婦と生活社</v>
      </c>
      <c r="M565" s="12">
        <f>IFERROR(__xludf.DUMMYFUNCTION("""COMPUTED_VALUE"""),45170.0)</f>
        <v>45170</v>
      </c>
      <c r="N565" s="21">
        <f>IFERROR(__xludf.DUMMYFUNCTION("""COMPUTED_VALUE"""),45230.0)</f>
        <v>45230</v>
      </c>
      <c r="O565" s="11"/>
      <c r="P565" s="9" t="str">
        <f>IFERROR(__xludf.DUMMYFUNCTION("""COMPUTED_VALUE"""),"可")</f>
        <v>可</v>
      </c>
      <c r="Q565" s="8" t="str">
        <f>IFERROR(__xludf.DUMMYFUNCTION("""COMPUTED_VALUE"""),"広告コミットOK(7/4)&lt;BR&gt;※コピーライト確認したところ、記載不要と回答がありました")</f>
        <v>広告コミットOK(7/4)&lt;BR&gt;※コピーライト確認したところ、記載不要と回答がありました</v>
      </c>
      <c r="R565" s="9"/>
      <c r="S565" s="8" t="str">
        <f>IFERROR(__xludf.DUMMYFUNCTION("""COMPUTED_VALUE"""),"20230724_主婦と生活社_可愛い夫をネトラレたい【単話版】")</f>
        <v>20230724_主婦と生活社_可愛い夫をネトラレたい【単話版】</v>
      </c>
      <c r="T565" s="9"/>
      <c r="U565" s="15" t="str">
        <f>IFERROR(__xludf.DUMMYFUNCTION("""COMPUTED_VALUE"""),"（C）「可愛い夫をネトラレたい」主婦と生活社")</f>
        <v>（C）「可愛い夫をネトラレたい」主婦と生活社</v>
      </c>
      <c r="V565" s="8" t="str">
        <f>IFERROR(__xludf.DUMMYFUNCTION("""COMPUTED_VALUE"""),"史上初（!?）“夫がネトラレる”漫画が誕生！
「可愛くて愛する夫が、ほかの女性にネトラレるところを見たい！」そんな不埒な思いを抱えているヒロインの夕梨。
この願望は一生胸に秘めたまま……と思っていたある日のこと。帰宅すると夫の香太が、M男系のAVを見ていて――。
我慢できなくなった夕梨は「私……あなたのご主人さまになりたい」と欲望をさらけ出す！
夕梨と香太のちょっと変わった（？）ラブコメディーの行方は……。")</f>
        <v>史上初（!?）“夫がネトラレる”漫画が誕生！
「可愛くて愛する夫が、ほかの女性にネトラレるところを見たい！」そんな不埒な思いを抱えているヒロインの夕梨。
この願望は一生胸に秘めたまま……と思っていたある日のこと。帰宅すると夫の香太が、M男系のAVを見ていて――。
我慢できなくなった夕梨は「私……あなたのご主人さまになりたい」と欲望をさらけ出す！
夕梨と香太のちょっと変わった（？）ラブコメディーの行方は……。</v>
      </c>
      <c r="W565" s="8"/>
      <c r="X565" s="14" t="str">
        <f>IFERROR(__xludf.DUMMYFUNCTION("""COMPUTED_VALUE"""),"有")</f>
        <v>有</v>
      </c>
      <c r="Y565" s="8" t="str">
        <f>IFERROR(__xludf.DUMMYFUNCTION("""COMPUTED_VALUE"""),"10/31まで1巻無料
")</f>
        <v>10/31まで1巻無料
</v>
      </c>
      <c r="Z565" s="7"/>
      <c r="AA565" s="7"/>
      <c r="AB565" s="7"/>
    </row>
    <row r="566" ht="15.75" customHeight="1">
      <c r="A566" s="8">
        <f>IFERROR(__xludf.DUMMYFUNCTION("""COMPUTED_VALUE"""),2123.0)</f>
        <v>2123</v>
      </c>
      <c r="B566" s="9" t="str">
        <f>IFERROR(__xludf.DUMMYFUNCTION("""COMPUTED_VALUE"""),"確定")</f>
        <v>確定</v>
      </c>
      <c r="C566" s="10">
        <f>IFERROR(__xludf.DUMMYFUNCTION("""COMPUTED_VALUE"""),45107.0)</f>
        <v>45107</v>
      </c>
      <c r="D566" s="10">
        <f>IFERROR(__xludf.DUMMYFUNCTION("""COMPUTED_VALUE"""),45131.0)</f>
        <v>45131</v>
      </c>
      <c r="E566" s="8">
        <f>IFERROR(__xludf.DUMMYFUNCTION("""COMPUTED_VALUE"""),274477.0)</f>
        <v>274477</v>
      </c>
      <c r="F566" s="9" t="str">
        <f>IFERROR(__xludf.DUMMYFUNCTION("""COMPUTED_VALUE"""),"もう興味がないと離婚された令嬢の意外と楽しい新生活【単話】")</f>
        <v>もう興味がないと離婚された令嬢の意外と楽しい新生活【単話】</v>
      </c>
      <c r="G566" s="16" t="str">
        <f>IFERROR(__xludf.DUMMYFUNCTION("""COMPUTED_VALUE"""),"1～3")</f>
        <v>1～3</v>
      </c>
      <c r="H566" s="8" t="str">
        <f>IFERROR(__xludf.DUMMYFUNCTION("""COMPUTED_VALUE"""),"原作:和泉杏花　漫画:さびのぶち")</f>
        <v>原作:和泉杏花　漫画:さびのぶち</v>
      </c>
      <c r="I566" s="8" t="str">
        <f>IFERROR(__xludf.DUMMYFUNCTION("""COMPUTED_VALUE"""),"少女")</f>
        <v>少女</v>
      </c>
      <c r="J566" s="8"/>
      <c r="K566" s="8"/>
      <c r="L566" s="8" t="str">
        <f>IFERROR(__xludf.DUMMYFUNCTION("""COMPUTED_VALUE"""),"小学館")</f>
        <v>小学館</v>
      </c>
      <c r="M566" s="12">
        <f>IFERROR(__xludf.DUMMYFUNCTION("""COMPUTED_VALUE"""),45156.0)</f>
        <v>45156</v>
      </c>
      <c r="N566" s="12">
        <f>IFERROR(__xludf.DUMMYFUNCTION("""COMPUTED_VALUE"""),45246.70833333333)</f>
        <v>45246.70833</v>
      </c>
      <c r="O566" s="11"/>
      <c r="P566" s="9" t="str">
        <f>IFERROR(__xludf.DUMMYFUNCTION("""COMPUTED_VALUE"""),"否")</f>
        <v>否</v>
      </c>
      <c r="Q566" s="8" t="str">
        <f>IFERROR(__xludf.DUMMYFUNCTION("""COMPUTED_VALUE"""),"広告コミットOK(7/4)")</f>
        <v>広告コミットOK(7/4)</v>
      </c>
      <c r="R566" s="9"/>
      <c r="S566" s="8" t="str">
        <f>IFERROR(__xludf.DUMMYFUNCTION("""COMPUTED_VALUE"""),"20230724_小学館_もう興味がないと離婚された令嬢の意外と楽しい新生活【単話】")</f>
        <v>20230724_小学館_もう興味がないと離婚された令嬢の意外と楽しい新生活【単話】</v>
      </c>
      <c r="T566" s="9" t="str">
        <f>IFERROR(__xludf.DUMMYFUNCTION("""COMPUTED_VALUE"""),"格納済み")</f>
        <v>格納済み</v>
      </c>
      <c r="U566" s="9" t="str">
        <f>IFERROR(__xludf.DUMMYFUNCTION("""COMPUTED_VALUE"""),"(C)和泉杏花・さびのぶち / 小学館")</f>
        <v>(C)和泉杏花・さびのぶち / 小学館</v>
      </c>
      <c r="V566" s="8" t="str">
        <f>IFERROR(__xludf.DUMMYFUNCTION("""COMPUTED_VALUE"""),"【離縁から始まる逆転ラブファンタジー】
次期国王・カロル王子の妻として懸命に尽くしてきたヴェラは、ある日突然、ヴェラより役に立つ相手と結婚するのだと、離婚を告げられる。
僻地に追放されてしまったヴェラだったが、王妃教育や慣れない公務から解放され、自由な生活を満喫し始める。
そんな中、任務でヴェラの屋敷を訪れた、元王子のアランは、屋敷の周辺のとある変化に気付き…？
何もかもを無くした令嬢が、秘めた能力で新たな居場所を築く、逆転ラブファンタジー。")</f>
        <v>【離縁から始まる逆転ラブファンタジー】
次期国王・カロル王子の妻として懸命に尽くしてきたヴェラは、ある日突然、ヴェラより役に立つ相手と結婚するのだと、離婚を告げられる。
僻地に追放されてしまったヴェラだったが、王妃教育や慣れない公務から解放され、自由な生活を満喫し始める。
そんな中、任務でヴェラの屋敷を訪れた、元王子のアランは、屋敷の周辺のとある変化に気付き…？
何もかもを無くした令嬢が、秘めた能力で新たな居場所を築く、逆転ラブファンタジー。</v>
      </c>
      <c r="W566" s="8"/>
      <c r="X566" s="8" t="str">
        <f>IFERROR(__xludf.DUMMYFUNCTION("""COMPUTED_VALUE"""),"有")</f>
        <v>有</v>
      </c>
      <c r="Y566" s="8" t="str">
        <f>IFERROR(__xludf.DUMMYFUNCTION("""COMPUTED_VALUE"""),"1巻無料：8/31まで")</f>
        <v>1巻無料：8/31まで</v>
      </c>
      <c r="Z566" s="7"/>
      <c r="AA566" s="7"/>
      <c r="AB566" s="7"/>
    </row>
    <row r="567" ht="105.0" customHeight="1">
      <c r="A567" s="8">
        <f>IFERROR(__xludf.DUMMYFUNCTION("""COMPUTED_VALUE"""),2125.0)</f>
        <v>2125</v>
      </c>
      <c r="B567" s="9" t="str">
        <f>IFERROR(__xludf.DUMMYFUNCTION("""COMPUTED_VALUE"""),"確定")</f>
        <v>確定</v>
      </c>
      <c r="C567" s="10">
        <f>IFERROR(__xludf.DUMMYFUNCTION("""COMPUTED_VALUE"""),45107.0)</f>
        <v>45107</v>
      </c>
      <c r="D567" s="10">
        <f>IFERROR(__xludf.DUMMYFUNCTION("""COMPUTED_VALUE"""),45131.0)</f>
        <v>45131</v>
      </c>
      <c r="E567" s="8">
        <f>IFERROR(__xludf.DUMMYFUNCTION("""COMPUTED_VALUE"""),274479.0)</f>
        <v>274479</v>
      </c>
      <c r="F567" s="9" t="str">
        <f>IFERROR(__xludf.DUMMYFUNCTION("""COMPUTED_VALUE"""),"蛇神様の花嫁はやさしい家族が欲しい【単話】")</f>
        <v>蛇神様の花嫁はやさしい家族が欲しい【単話】</v>
      </c>
      <c r="G567" s="16" t="str">
        <f>IFERROR(__xludf.DUMMYFUNCTION("""COMPUTED_VALUE"""),"1～4")</f>
        <v>1～4</v>
      </c>
      <c r="H567" s="8" t="str">
        <f>IFERROR(__xludf.DUMMYFUNCTION("""COMPUTED_VALUE"""),"七瀬藍")</f>
        <v>七瀬藍</v>
      </c>
      <c r="I567" s="8" t="str">
        <f>IFERROR(__xludf.DUMMYFUNCTION("""COMPUTED_VALUE"""),"少女")</f>
        <v>少女</v>
      </c>
      <c r="J567" s="8"/>
      <c r="K567" s="8"/>
      <c r="L567" s="8" t="str">
        <f>IFERROR(__xludf.DUMMYFUNCTION("""COMPUTED_VALUE"""),"小学館")</f>
        <v>小学館</v>
      </c>
      <c r="M567" s="12">
        <f>IFERROR(__xludf.DUMMYFUNCTION("""COMPUTED_VALUE"""),45156.0)</f>
        <v>45156</v>
      </c>
      <c r="N567" s="12" t="str">
        <f>IFERROR(__xludf.DUMMYFUNCTION("""COMPUTED_VALUE"""),"初回2か月、続話1か月")</f>
        <v>初回2か月、続話1か月</v>
      </c>
      <c r="O567" s="11"/>
      <c r="P567" s="9" t="str">
        <f>IFERROR(__xludf.DUMMYFUNCTION("""COMPUTED_VALUE"""),"否")</f>
        <v>否</v>
      </c>
      <c r="Q567" s="8" t="str">
        <f>IFERROR(__xludf.DUMMYFUNCTION("""COMPUTED_VALUE"""),"広告コミットOK(7/4)")</f>
        <v>広告コミットOK(7/4)</v>
      </c>
      <c r="R567" s="9"/>
      <c r="S567" s="8" t="str">
        <f>IFERROR(__xludf.DUMMYFUNCTION("""COMPUTED_VALUE"""),"20230724_小学館_蛇神様の花嫁はやさしい家族が欲しい【単話】")</f>
        <v>20230724_小学館_蛇神様の花嫁はやさしい家族が欲しい【単話】</v>
      </c>
      <c r="T567" s="9" t="str">
        <f>IFERROR(__xludf.DUMMYFUNCTION("""COMPUTED_VALUE"""),"格納済み")</f>
        <v>格納済み</v>
      </c>
      <c r="U567" s="9" t="str">
        <f>IFERROR(__xludf.DUMMYFUNCTION("""COMPUTED_VALUE"""),"(C)七瀬藍 / 小学館")</f>
        <v>(C)七瀬藍 / 小学館</v>
      </c>
      <c r="V567" s="18" t="str">
        <f>IFERROR(__xludf.DUMMYFUNCTION("""COMPUTED_VALUE"""),"【冷徹な蛇の元へ嫁入り!?】
幼い頃から不仲な両親に遠慮して生きていた真琴。離婚した両親のどちらにも「家族」として扱われず傷つく真琴は、ある神社で不思議な声に呼ばれる。声に導かれた先にいたのは、冷たい目をした美形な男性・龍香。しかし、龍香と共に巨大な黒蛇が姿を現してーー!?
人外嫁入りラブ！")</f>
        <v>【冷徹な蛇の元へ嫁入り!?】
幼い頃から不仲な両親に遠慮して生きていた真琴。離婚した両親のどちらにも「家族」として扱われず傷つく真琴は、ある神社で不思議な声に呼ばれる。声に導かれた先にいたのは、冷たい目をした美形な男性・龍香。しかし、龍香と共に巨大な黒蛇が姿を現してーー!?
人外嫁入りラブ！</v>
      </c>
      <c r="W567" s="8"/>
      <c r="X567" s="8" t="str">
        <f>IFERROR(__xludf.DUMMYFUNCTION("""COMPUTED_VALUE"""),"有")</f>
        <v>有</v>
      </c>
      <c r="Y567" s="8" t="str">
        <f>IFERROR(__xludf.DUMMYFUNCTION("""COMPUTED_VALUE"""),"1巻無料：8/31まで")</f>
        <v>1巻無料：8/31まで</v>
      </c>
      <c r="Z567" s="7"/>
      <c r="AA567" s="7"/>
      <c r="AB567" s="7"/>
    </row>
    <row r="568" ht="15.75" customHeight="1">
      <c r="A568" s="8">
        <f>IFERROR(__xludf.DUMMYFUNCTION("""COMPUTED_VALUE"""),2190.0)</f>
        <v>2190</v>
      </c>
      <c r="B568" s="9" t="str">
        <f>IFERROR(__xludf.DUMMYFUNCTION("""COMPUTED_VALUE"""),"確定")</f>
        <v>確定</v>
      </c>
      <c r="C568" s="10">
        <f>IFERROR(__xludf.DUMMYFUNCTION("""COMPUTED_VALUE"""),45125.0)</f>
        <v>45125</v>
      </c>
      <c r="D568" s="10">
        <f>IFERROR(__xludf.DUMMYFUNCTION("""COMPUTED_VALUE"""),45132.0)</f>
        <v>45132</v>
      </c>
      <c r="E568" s="14">
        <f>IFERROR(__xludf.DUMMYFUNCTION("""COMPUTED_VALUE"""),275107.0)</f>
        <v>275107</v>
      </c>
      <c r="F568" s="15" t="str">
        <f>IFERROR(__xludf.DUMMYFUNCTION("""COMPUTED_VALUE"""),"白金は春に染む【単話版】")</f>
        <v>白金は春に染む【単話版】</v>
      </c>
      <c r="G568" s="11" t="str">
        <f>IFERROR(__xludf.DUMMYFUNCTION("""COMPUTED_VALUE"""),"1～2")</f>
        <v>1～2</v>
      </c>
      <c r="H568" s="8" t="str">
        <f>IFERROR(__xludf.DUMMYFUNCTION("""COMPUTED_VALUE"""),"しちみや")</f>
        <v>しちみや</v>
      </c>
      <c r="I568" s="8" t="str">
        <f>IFERROR(__xludf.DUMMYFUNCTION("""COMPUTED_VALUE"""),"BL")</f>
        <v>BL</v>
      </c>
      <c r="J568" s="8"/>
      <c r="K568" s="8"/>
      <c r="L568" s="8" t="str">
        <f>IFERROR(__xludf.DUMMYFUNCTION("""COMPUTED_VALUE"""),"マイクロマガジン社")</f>
        <v>マイクロマガジン社</v>
      </c>
      <c r="M568" s="12">
        <f>IFERROR(__xludf.DUMMYFUNCTION("""COMPUTED_VALUE"""),45168.0)</f>
        <v>45168</v>
      </c>
      <c r="N568" s="21">
        <f>IFERROR(__xludf.DUMMYFUNCTION("""COMPUTED_VALUE"""),45228.0)</f>
        <v>45228</v>
      </c>
      <c r="O568" s="11"/>
      <c r="P568" s="9" t="str">
        <f>IFERROR(__xludf.DUMMYFUNCTION("""COMPUTED_VALUE"""),"可")</f>
        <v>可</v>
      </c>
      <c r="Q568" s="8" t="str">
        <f>IFERROR(__xludf.DUMMYFUNCTION("""COMPUTED_VALUE"""),"広告コミットOK(7/21)")</f>
        <v>広告コミットOK(7/21)</v>
      </c>
      <c r="R568" s="9"/>
      <c r="S568" s="8" t="str">
        <f>IFERROR(__xludf.DUMMYFUNCTION("""COMPUTED_VALUE"""),"20230718_暁NEXT_新作２作品")</f>
        <v>20230718_暁NEXT_新作２作品</v>
      </c>
      <c r="T568" s="9" t="str">
        <f>IFERROR(__xludf.DUMMYFUNCTION("""COMPUTED_VALUE"""),"格納済み")</f>
        <v>格納済み</v>
      </c>
      <c r="U568" s="15" t="str">
        <f>IFERROR(__xludf.DUMMYFUNCTION("""COMPUTED_VALUE"""),"（C）しちみや （C）マイクロマガジン社")</f>
        <v>（C）しちみや （C）マイクロマガジン社</v>
      </c>
      <c r="V568" s="8" t="str">
        <f>IFERROR(__xludf.DUMMYFUNCTION("""COMPUTED_VALUE"""),"幼なじみで親友だった銀と桃。
緊張すると赤面し眉も口も力が入ることがコンプレックスの銀だったが、
桃に「かわいい、俺の色になったみたいで。」と言われ恋心を自覚する。
しかし、中学時代のある出来事をきっかけに銀は桃を避けるように……。
高校2年のある昼休み、桃が告白される場にいあわせた銀。
嫉妬と共に桃が触れる先に自分を重ね欲情し
うっかりバレてそのまま捕らわれイカされて、なのにその後は今まで通り!?
かと思えば急接近してきて──
拗らせ執着モテ男×一途純情男子の
じれじれ青春ラブ"&amp;"！")</f>
        <v>幼なじみで親友だった銀と桃。
緊張すると赤面し眉も口も力が入ることがコンプレックスの銀だったが、
桃に「かわいい、俺の色になったみたいで。」と言われ恋心を自覚する。
しかし、中学時代のある出来事をきっかけに銀は桃を避けるように……。
高校2年のある昼休み、桃が告白される場にいあわせた銀。
嫉妬と共に桃が触れる先に自分を重ね欲情し
うっかりバレてそのまま捕らわれイカされて、なのにその後は今まで通り!?
かと思えば急接近してきて──
拗らせ執着モテ男×一途純情男子の
じれじれ青春ラブ！</v>
      </c>
      <c r="W568" s="8"/>
      <c r="X568" s="14" t="str">
        <f>IFERROR(__xludf.DUMMYFUNCTION("""COMPUTED_VALUE"""),"有")</f>
        <v>有</v>
      </c>
      <c r="Y568" s="8" t="str">
        <f>IFERROR(__xludf.DUMMYFUNCTION("""COMPUTED_VALUE"""),"P17まで
")</f>
        <v>P17まで
</v>
      </c>
      <c r="Z568" s="7"/>
      <c r="AA568" s="7"/>
      <c r="AB568" s="7"/>
    </row>
    <row r="569" ht="15.75" customHeight="1">
      <c r="A569" s="8">
        <f>IFERROR(__xludf.DUMMYFUNCTION("""COMPUTED_VALUE"""),2191.0)</f>
        <v>2191</v>
      </c>
      <c r="B569" s="9" t="str">
        <f>IFERROR(__xludf.DUMMYFUNCTION("""COMPUTED_VALUE"""),"確定")</f>
        <v>確定</v>
      </c>
      <c r="C569" s="10">
        <f>IFERROR(__xludf.DUMMYFUNCTION("""COMPUTED_VALUE"""),45125.0)</f>
        <v>45125</v>
      </c>
      <c r="D569" s="10">
        <f>IFERROR(__xludf.DUMMYFUNCTION("""COMPUTED_VALUE"""),45132.0)</f>
        <v>45132</v>
      </c>
      <c r="E569" s="14">
        <f>IFERROR(__xludf.DUMMYFUNCTION("""COMPUTED_VALUE"""),275600.0)</f>
        <v>275600</v>
      </c>
      <c r="F569" s="9" t="str">
        <f>IFERROR(__xludf.DUMMYFUNCTION("""COMPUTED_VALUE"""),"僕の幼なじみは愛が重すぎる")</f>
        <v>僕の幼なじみは愛が重すぎる</v>
      </c>
      <c r="G569" s="11" t="str">
        <f>IFERROR(__xludf.DUMMYFUNCTION("""COMPUTED_VALUE"""),"1～2")</f>
        <v>1～2</v>
      </c>
      <c r="H569" s="8" t="str">
        <f>IFERROR(__xludf.DUMMYFUNCTION("""COMPUTED_VALUE"""),"ためいけ")</f>
        <v>ためいけ</v>
      </c>
      <c r="I569" s="8" t="str">
        <f>IFERROR(__xludf.DUMMYFUNCTION("""COMPUTED_VALUE"""),"BL")</f>
        <v>BL</v>
      </c>
      <c r="J569" s="8"/>
      <c r="K569" s="8"/>
      <c r="L569" s="8" t="str">
        <f>IFERROR(__xludf.DUMMYFUNCTION("""COMPUTED_VALUE"""),"MUGENUP")</f>
        <v>MUGENUP</v>
      </c>
      <c r="M569" s="12">
        <f>IFERROR(__xludf.DUMMYFUNCTION("""COMPUTED_VALUE"""),45171.0)</f>
        <v>45171</v>
      </c>
      <c r="N569" s="23">
        <f>IFERROR(__xludf.DUMMYFUNCTION("""COMPUTED_VALUE"""),45261.0)</f>
        <v>45261</v>
      </c>
      <c r="O569" s="11"/>
      <c r="P569" s="9" t="str">
        <f>IFERROR(__xludf.DUMMYFUNCTION("""COMPUTED_VALUE"""),"可")</f>
        <v>可</v>
      </c>
      <c r="Q569" s="8" t="str">
        <f>IFERROR(__xludf.DUMMYFUNCTION("""COMPUTED_VALUE"""),"広告コミットOK(7/21)")</f>
        <v>広告コミットOK(7/21)</v>
      </c>
      <c r="R569" s="9"/>
      <c r="S569" s="8" t="str">
        <f>IFERROR(__xludf.DUMMYFUNCTION("""COMPUTED_VALUE"""),"20230718_暁NEXT_新作２作品")</f>
        <v>20230718_暁NEXT_新作２作品</v>
      </c>
      <c r="T569" s="9" t="str">
        <f>IFERROR(__xludf.DUMMYFUNCTION("""COMPUTED_VALUE"""),"格納済み")</f>
        <v>格納済み</v>
      </c>
      <c r="U569" s="15" t="str">
        <f>IFERROR(__xludf.DUMMYFUNCTION("""COMPUTED_VALUE"""),"（C）ためいけ／MUGENUP")</f>
        <v>（C）ためいけ／MUGENUP</v>
      </c>
      <c r="V569" s="8" t="str">
        <f>IFERROR(__xludf.DUMMYFUNCTION("""COMPUTED_VALUE"""),"【ストーカー気質の執着系幼なじみ×ピュアすぎる童貞チェリーボーイ】の、愛と欲望の物語。
陽希(はるき)と壮志(そうし)は幼なじみで、何をやるにも一緒。
大学に入学した二人はいつもと同じように共に行動するが、新しくできた友人から距離が近すぎることを指摘される。「せっかくの共学だから」と彼女をつくることを決意する陽希だったが、壮志はそのことを良く思っていないようで……？
「こんな気持ちいいの知らない…っ」
キスすら知らない陽希に、壮志の執着愛が止まらない──！")</f>
        <v>【ストーカー気質の執着系幼なじみ×ピュアすぎる童貞チェリーボーイ】の、愛と欲望の物語。
陽希(はるき)と壮志(そうし)は幼なじみで、何をやるにも一緒。
大学に入学した二人はいつもと同じように共に行動するが、新しくできた友人から距離が近すぎることを指摘される。「せっかくの共学だから」と彼女をつくることを決意する陽希だったが、壮志はそのことを良く思っていないようで……？
「こんな気持ちいいの知らない…っ」
キスすら知らない陽希に、壮志の執着愛が止まらない──！</v>
      </c>
      <c r="W569" s="8"/>
      <c r="X569" s="14" t="str">
        <f>IFERROR(__xludf.DUMMYFUNCTION("""COMPUTED_VALUE"""),"有")</f>
        <v>有</v>
      </c>
      <c r="Y569" s="8" t="str">
        <f>IFERROR(__xludf.DUMMYFUNCTION("""COMPUTED_VALUE"""),"P15まで
")</f>
        <v>P15まで
</v>
      </c>
      <c r="Z569" s="7"/>
      <c r="AA569" s="7"/>
      <c r="AB569" s="7"/>
    </row>
    <row r="570" ht="116.25" customHeight="1">
      <c r="A570" s="8">
        <f>IFERROR(__xludf.DUMMYFUNCTION("""COMPUTED_VALUE"""),2197.0)</f>
        <v>2197</v>
      </c>
      <c r="B570" s="9" t="str">
        <f>IFERROR(__xludf.DUMMYFUNCTION("""COMPUTED_VALUE"""),"確定")</f>
        <v>確定</v>
      </c>
      <c r="C570" s="10">
        <f>IFERROR(__xludf.DUMMYFUNCTION("""COMPUTED_VALUE"""),45125.0)</f>
        <v>45125</v>
      </c>
      <c r="D570" s="10">
        <f>IFERROR(__xludf.DUMMYFUNCTION("""COMPUTED_VALUE"""),45132.0)</f>
        <v>45132</v>
      </c>
      <c r="E570" s="8">
        <f>IFERROR(__xludf.DUMMYFUNCTION("""COMPUTED_VALUE"""),274567.0)</f>
        <v>274567</v>
      </c>
      <c r="F570" s="9" t="str">
        <f>IFERROR(__xludf.DUMMYFUNCTION("""COMPUTED_VALUE"""),"よく知りもしない男［ばら売り］［DRUNK!］")</f>
        <v>よく知りもしない男［ばら売り］［DRUNK!］</v>
      </c>
      <c r="G570" s="11">
        <f>IFERROR(__xludf.DUMMYFUNCTION("""COMPUTED_VALUE"""),1.0)</f>
        <v>1</v>
      </c>
      <c r="H570" s="8" t="str">
        <f>IFERROR(__xludf.DUMMYFUNCTION("""COMPUTED_VALUE"""),"高田ローズ")</f>
        <v>高田ローズ</v>
      </c>
      <c r="I570" s="8" t="str">
        <f>IFERROR(__xludf.DUMMYFUNCTION("""COMPUTED_VALUE"""),"女性")</f>
        <v>女性</v>
      </c>
      <c r="J570" s="8"/>
      <c r="K570" s="8"/>
      <c r="L570" s="8" t="str">
        <f>IFERROR(__xludf.DUMMYFUNCTION("""COMPUTED_VALUE"""),"白泉社")</f>
        <v>白泉社</v>
      </c>
      <c r="M570" s="12">
        <f>IFERROR(__xludf.DUMMYFUNCTION("""COMPUTED_VALUE"""),45161.0)</f>
        <v>45161</v>
      </c>
      <c r="N570" s="12">
        <f>IFERROR(__xludf.DUMMYFUNCTION("""COMPUTED_VALUE"""),45223.0)</f>
        <v>45223</v>
      </c>
      <c r="O570" s="11"/>
      <c r="P570" s="9" t="str">
        <f>IFERROR(__xludf.DUMMYFUNCTION("""COMPUTED_VALUE"""),"否")</f>
        <v>否</v>
      </c>
      <c r="Q570" s="8" t="str">
        <f>IFERROR(__xludf.DUMMYFUNCTION("""COMPUTED_VALUE"""),"新レーベル『DRUNK!』の作品です。&lt;BR&gt;")</f>
        <v>新レーベル『DRUNK!』の作品です。&lt;BR&gt;</v>
      </c>
      <c r="R570" s="9"/>
      <c r="S570" s="8" t="str">
        <f>IFERROR(__xludf.DUMMYFUNCTION("""COMPUTED_VALUE"""),"20230720_白泉社_よく知りもしない男")</f>
        <v>20230720_白泉社_よく知りもしない男</v>
      </c>
      <c r="T570" s="9" t="str">
        <f>IFERROR(__xludf.DUMMYFUNCTION("""COMPUTED_VALUE"""),"格納済み")</f>
        <v>格納済み</v>
      </c>
      <c r="U570" s="9" t="str">
        <f>IFERROR(__xludf.DUMMYFUNCTION("""COMPUTED_VALUE"""),"(C)高田ローズ/白泉社")</f>
        <v>(C)高田ローズ/白泉社</v>
      </c>
      <c r="V570" s="8" t="str">
        <f>IFERROR(__xludf.DUMMYFUNCTION("""COMPUTED_VALUE"""),"テレビ局に入って5年目の綿貫こいろ。ある日、会社のエレベーターに、よく知りもしない男性・縣と閉じ込められてしまう。気まずい時間が流れる中、こいろが仕事で持ち歩いていたタロットカードをすることに。こいろはタロットを通してジワジワと縣の心の内に触れ、2人の距離は縮まっていく。エレベーターが動き始めた時、こいろの胸は高鳴っていて…。　名前も知らない人との出会いから始まる、大人のエロティック・ラブストーリー！（57P）")</f>
        <v>テレビ局に入って5年目の綿貫こいろ。ある日、会社のエレベーターに、よく知りもしない男性・縣と閉じ込められてしまう。気まずい時間が流れる中、こいろが仕事で持ち歩いていたタロットカードをすることに。こいろはタロットを通してジワジワと縣の心の内に触れ、2人の距離は縮まっていく。エレベーターが動き始めた時、こいろの胸は高鳴っていて…。　名前も知らない人との出会いから始まる、大人のエロティック・ラブストーリー！（57P）</v>
      </c>
      <c r="W570" s="8"/>
      <c r="X570" s="8" t="str">
        <f>IFERROR(__xludf.DUMMYFUNCTION("""COMPUTED_VALUE"""),"有")</f>
        <v>有</v>
      </c>
      <c r="Y570" s="8" t="str">
        <f>IFERROR(__xludf.DUMMYFUNCTION("""COMPUTED_VALUE"""),"P24まで")</f>
        <v>P24まで</v>
      </c>
      <c r="Z570" s="7"/>
      <c r="AA570" s="7"/>
      <c r="AB570" s="7"/>
    </row>
    <row r="571" ht="117.0" customHeight="1">
      <c r="A571" s="8">
        <f>IFERROR(__xludf.DUMMYFUNCTION("""COMPUTED_VALUE"""),2198.0)</f>
        <v>2198</v>
      </c>
      <c r="B571" s="9" t="str">
        <f>IFERROR(__xludf.DUMMYFUNCTION("""COMPUTED_VALUE"""),"確定")</f>
        <v>確定</v>
      </c>
      <c r="C571" s="10">
        <f>IFERROR(__xludf.DUMMYFUNCTION("""COMPUTED_VALUE"""),45125.0)</f>
        <v>45125</v>
      </c>
      <c r="D571" s="10">
        <f>IFERROR(__xludf.DUMMYFUNCTION("""COMPUTED_VALUE"""),45132.0)</f>
        <v>45132</v>
      </c>
      <c r="E571" s="8">
        <f>IFERROR(__xludf.DUMMYFUNCTION("""COMPUTED_VALUE"""),274562.0)</f>
        <v>274562</v>
      </c>
      <c r="F571" s="9" t="str">
        <f>IFERROR(__xludf.DUMMYFUNCTION("""COMPUTED_VALUE"""),"どこに行けなくても［ばら売り］［DRUNK!］")</f>
        <v>どこに行けなくても［ばら売り］［DRUNK!］</v>
      </c>
      <c r="G571" s="11">
        <f>IFERROR(__xludf.DUMMYFUNCTION("""COMPUTED_VALUE"""),1.0)</f>
        <v>1</v>
      </c>
      <c r="H571" s="8" t="str">
        <f>IFERROR(__xludf.DUMMYFUNCTION("""COMPUTED_VALUE"""),"裏海マユ")</f>
        <v>裏海マユ</v>
      </c>
      <c r="I571" s="8" t="str">
        <f>IFERROR(__xludf.DUMMYFUNCTION("""COMPUTED_VALUE"""),"女性")</f>
        <v>女性</v>
      </c>
      <c r="J571" s="8"/>
      <c r="K571" s="8"/>
      <c r="L571" s="8" t="str">
        <f>IFERROR(__xludf.DUMMYFUNCTION("""COMPUTED_VALUE"""),"白泉社")</f>
        <v>白泉社</v>
      </c>
      <c r="M571" s="12">
        <f>IFERROR(__xludf.DUMMYFUNCTION("""COMPUTED_VALUE"""),45161.0)</f>
        <v>45161</v>
      </c>
      <c r="N571" s="12">
        <f>IFERROR(__xludf.DUMMYFUNCTION("""COMPUTED_VALUE"""),45223.0)</f>
        <v>45223</v>
      </c>
      <c r="O571" s="11"/>
      <c r="P571" s="9" t="str">
        <f>IFERROR(__xludf.DUMMYFUNCTION("""COMPUTED_VALUE"""),"否")</f>
        <v>否</v>
      </c>
      <c r="Q571" s="8" t="str">
        <f>IFERROR(__xludf.DUMMYFUNCTION("""COMPUTED_VALUE"""),"新レーベル『DRUNK!』の作品です。&lt;BR&gt;")</f>
        <v>新レーベル『DRUNK!』の作品です。&lt;BR&gt;</v>
      </c>
      <c r="R571" s="9"/>
      <c r="S571" s="8" t="str">
        <f>IFERROR(__xludf.DUMMYFUNCTION("""COMPUTED_VALUE"""),"20230720_白泉社_どこに行けなくても")</f>
        <v>20230720_白泉社_どこに行けなくても</v>
      </c>
      <c r="T571" s="9" t="str">
        <f>IFERROR(__xludf.DUMMYFUNCTION("""COMPUTED_VALUE"""),"格納済み")</f>
        <v>格納済み</v>
      </c>
      <c r="U571" s="9" t="str">
        <f>IFERROR(__xludf.DUMMYFUNCTION("""COMPUTED_VALUE"""),"(C)裏海マユ/白泉社")</f>
        <v>(C)裏海マユ/白泉社</v>
      </c>
      <c r="V571" s="8" t="str">
        <f>IFERROR(__xludf.DUMMYFUNCTION("""COMPUTED_VALUE"""),"自傷行為を繰り返す美月と、ホスト狂いの智巳。彼女たちは今日もいつもの場所に集まり、何となく時間を潰し、ここが居場所なのだと錯覚する―。ある日、美月は「満月が見える誕生日に死んでやる」と決意する。自分の死への決心を智巳に告げる美月。だが一方、智巳からは、担当ホストに薬物を勧められていることを打ち明けられて…。　行き場を探す現代の少年少女たちを描く、ヒューマンドラマ・オムニバス。（61P）")</f>
        <v>自傷行為を繰り返す美月と、ホスト狂いの智巳。彼女たちは今日もいつもの場所に集まり、何となく時間を潰し、ここが居場所なのだと錯覚する―。ある日、美月は「満月が見える誕生日に死んでやる」と決意する。自分の死への決心を智巳に告げる美月。だが一方、智巳からは、担当ホストに薬物を勧められていることを打ち明けられて…。　行き場を探す現代の少年少女たちを描く、ヒューマンドラマ・オムニバス。（61P）</v>
      </c>
      <c r="W571" s="8"/>
      <c r="X571" s="8" t="str">
        <f>IFERROR(__xludf.DUMMYFUNCTION("""COMPUTED_VALUE"""),"有")</f>
        <v>有</v>
      </c>
      <c r="Y571" s="8" t="str">
        <f>IFERROR(__xludf.DUMMYFUNCTION("""COMPUTED_VALUE"""),"P24まで")</f>
        <v>P24まで</v>
      </c>
      <c r="Z571" s="7"/>
      <c r="AA571" s="7"/>
      <c r="AB571" s="7"/>
    </row>
    <row r="572" ht="15.75" customHeight="1">
      <c r="A572" s="8">
        <f>IFERROR(__xludf.DUMMYFUNCTION("""COMPUTED_VALUE"""),2208.0)</f>
        <v>2208</v>
      </c>
      <c r="B572" s="9" t="str">
        <f>IFERROR(__xludf.DUMMYFUNCTION("""COMPUTED_VALUE"""),"確定")</f>
        <v>確定</v>
      </c>
      <c r="C572" s="10">
        <f>IFERROR(__xludf.DUMMYFUNCTION("""COMPUTED_VALUE"""),45128.0)</f>
        <v>45128</v>
      </c>
      <c r="D572" s="10">
        <f>IFERROR(__xludf.DUMMYFUNCTION("""COMPUTED_VALUE"""),45128.0)</f>
        <v>45128</v>
      </c>
      <c r="E572" s="14">
        <f>IFERROR(__xludf.DUMMYFUNCTION("""COMPUTED_VALUE"""),275487.0)</f>
        <v>275487</v>
      </c>
      <c r="F572" s="9" t="str">
        <f>IFERROR(__xludf.DUMMYFUNCTION("""COMPUTED_VALUE"""),"深夜残業～ドS上司が淫らに狂わすエロ指導")</f>
        <v>深夜残業～ドS上司が淫らに狂わすエロ指導</v>
      </c>
      <c r="G572" s="11" t="str">
        <f>IFERROR(__xludf.DUMMYFUNCTION("""COMPUTED_VALUE"""),"1～2")</f>
        <v>1～2</v>
      </c>
      <c r="H572" s="8" t="str">
        <f>IFERROR(__xludf.DUMMYFUNCTION("""COMPUTED_VALUE"""),"蓮城はに")</f>
        <v>蓮城はに</v>
      </c>
      <c r="I572" s="8" t="str">
        <f>IFERROR(__xludf.DUMMYFUNCTION("""COMPUTED_VALUE"""),"TL")</f>
        <v>TL</v>
      </c>
      <c r="J572" s="8"/>
      <c r="K572" s="8"/>
      <c r="L572" s="8" t="str">
        <f>IFERROR(__xludf.DUMMYFUNCTION("""COMPUTED_VALUE"""),"モバイルメディアリサーチ")</f>
        <v>モバイルメディアリサーチ</v>
      </c>
      <c r="M572" s="12">
        <f>IFERROR(__xludf.DUMMYFUNCTION("""COMPUTED_VALUE"""),45175.0)</f>
        <v>45175</v>
      </c>
      <c r="N572" s="21">
        <f>IFERROR(__xludf.DUMMYFUNCTION("""COMPUTED_VALUE"""),45188.0)</f>
        <v>45188</v>
      </c>
      <c r="O572" s="11"/>
      <c r="P572" s="9" t="str">
        <f>IFERROR(__xludf.DUMMYFUNCTION("""COMPUTED_VALUE"""),"可")</f>
        <v>可</v>
      </c>
      <c r="Q572" s="8"/>
      <c r="R572" s="9"/>
      <c r="S572" s="8" t="str">
        <f>IFERROR(__xludf.DUMMYFUNCTION("""COMPUTED_VALUE"""),"20230721_ファンギルド_深夜残業～ドS上司が淫らに狂わすエロ指導")</f>
        <v>20230721_ファンギルド_深夜残業～ドS上司が淫らに狂わすエロ指導</v>
      </c>
      <c r="T572" s="9"/>
      <c r="U572" s="15" t="str">
        <f>IFERROR(__xludf.DUMMYFUNCTION("""COMPUTED_VALUE"""),"©Voltage・蓮城はに/モバイルメディアリサーチ")</f>
        <v>©Voltage・蓮城はに/モバイルメディアリサーチ</v>
      </c>
      <c r="V572" s="8" t="str">
        <f>IFERROR(__xludf.DUMMYFUNCTION("""COMPUTED_VALUE"""),"「やらしいことを考えてるお前に…お仕置きだ」広告代理店のマーケティング部で働く武蔵こまき（むさし・こまき）は、上司の有川了（ありかわ・とおる）と大きなコンペへ参加することになった。誰もいない深夜のオフィスで残業中に、有川とふたりきりでいることに落ち着かないこまき。彼女の挙動不審に気づいた有川は、「お前さ…もしかして誘ってる？」そして、有川から突然キスされてしまう──!!熱い舌が絡み合い、服を脱がされて…自分から足を開いてしまうこまき。淫らな吐息とお互いの汗が入り交じっていく…「声…出すなよ……」止まらない"&amp;"彼の愛撫に翻弄されてしまうこまき。ただの上司と部下という関係だったふたりが、このまま行きつく先は…!?極上の耳キュン・シチュエーションドラマCDレーベル＜Queen Lily＞の大人気シリーズ「深夜残業」待望のコミカライズ第2弾！")</f>
        <v>「やらしいことを考えてるお前に…お仕置きだ」広告代理店のマーケティング部で働く武蔵こまき（むさし・こまき）は、上司の有川了（ありかわ・とおる）と大きなコンペへ参加することになった。誰もいない深夜のオフィスで残業中に、有川とふたりきりでいることに落ち着かないこまき。彼女の挙動不審に気づいた有川は、「お前さ…もしかして誘ってる？」そして、有川から突然キスされてしまう──!!熱い舌が絡み合い、服を脱がされて…自分から足を開いてしまうこまき。淫らな吐息とお互いの汗が入り交じっていく…「声…出すなよ……」止まらない彼の愛撫に翻弄されてしまうこまき。ただの上司と部下という関係だったふたりが、このまま行きつく先は…!?極上の耳キュン・シチュエーションドラマCDレーベル＜Queen Lily＞の大人気シリーズ「深夜残業」待望のコミカライズ第2弾！</v>
      </c>
      <c r="W572" s="8"/>
      <c r="X572" s="22" t="str">
        <f>IFERROR(__xludf.DUMMYFUNCTION("""COMPUTED_VALUE"""),"有")</f>
        <v>有</v>
      </c>
      <c r="Y572" s="8" t="str">
        <f>IFERROR(__xludf.DUMMYFUNCTION("""COMPUTED_VALUE"""),"9/19まで立ち読み増量P24まで")</f>
        <v>9/19まで立ち読み増量P24まで</v>
      </c>
      <c r="Z572" s="7"/>
      <c r="AA572" s="7"/>
      <c r="AB572" s="7"/>
    </row>
    <row r="573" ht="15.75" customHeight="1">
      <c r="A573" s="8">
        <f>IFERROR(__xludf.DUMMYFUNCTION("""COMPUTED_VALUE"""),2211.0)</f>
        <v>2211</v>
      </c>
      <c r="B573" s="9" t="str">
        <f>IFERROR(__xludf.DUMMYFUNCTION("""COMPUTED_VALUE"""),"確定")</f>
        <v>確定</v>
      </c>
      <c r="C573" s="10">
        <f>IFERROR(__xludf.DUMMYFUNCTION("""COMPUTED_VALUE"""),45128.0)</f>
        <v>45128</v>
      </c>
      <c r="D573" s="10">
        <f>IFERROR(__xludf.DUMMYFUNCTION("""COMPUTED_VALUE"""),45128.0)</f>
        <v>45128</v>
      </c>
      <c r="E573" s="14">
        <f>IFERROR(__xludf.DUMMYFUNCTION("""COMPUTED_VALUE"""),275490.0)</f>
        <v>275490</v>
      </c>
      <c r="F573" s="9" t="str">
        <f>IFERROR(__xludf.DUMMYFUNCTION("""COMPUTED_VALUE"""),"わずらう恋とつづる愛")</f>
        <v>わずらう恋とつづる愛</v>
      </c>
      <c r="G573" s="11" t="str">
        <f>IFERROR(__xludf.DUMMYFUNCTION("""COMPUTED_VALUE"""),"1～3")</f>
        <v>1～3</v>
      </c>
      <c r="H573" s="14" t="str">
        <f>IFERROR(__xludf.DUMMYFUNCTION("""COMPUTED_VALUE"""),"イ・テク")</f>
        <v>イ・テク</v>
      </c>
      <c r="I573" s="8" t="str">
        <f>IFERROR(__xludf.DUMMYFUNCTION("""COMPUTED_VALUE"""),"BL")</f>
        <v>BL</v>
      </c>
      <c r="J573" s="8"/>
      <c r="K573" s="8"/>
      <c r="L573" s="8" t="str">
        <f>IFERROR(__xludf.DUMMYFUNCTION("""COMPUTED_VALUE"""),"Rush!")</f>
        <v>Rush!</v>
      </c>
      <c r="M573" s="12">
        <f>IFERROR(__xludf.DUMMYFUNCTION("""COMPUTED_VALUE"""),45182.0)</f>
        <v>45182</v>
      </c>
      <c r="N573" s="21">
        <f>IFERROR(__xludf.DUMMYFUNCTION("""COMPUTED_VALUE"""),45209.0)</f>
        <v>45209</v>
      </c>
      <c r="O573" s="11"/>
      <c r="P573" s="9" t="str">
        <f>IFERROR(__xludf.DUMMYFUNCTION("""COMPUTED_VALUE"""),"可")</f>
        <v>可</v>
      </c>
      <c r="Q573" s="8"/>
      <c r="R573" s="9"/>
      <c r="S573" s="8" t="str">
        <f>IFERROR(__xludf.DUMMYFUNCTION("""COMPUTED_VALUE"""),"20230721_ファンギルド_わずらう恋とつづる愛")</f>
        <v>20230721_ファンギルド_わずらう恋とつづる愛</v>
      </c>
      <c r="T573" s="9"/>
      <c r="U573" s="15" t="str">
        <f>IFERROR(__xludf.DUMMYFUNCTION("""COMPUTED_VALUE"""),"©2Taek")</f>
        <v>©2Taek</v>
      </c>
      <c r="V573" s="8" t="str">
        <f>IFERROR(__xludf.DUMMYFUNCTION("""COMPUTED_VALUE"""),"整形外科医・杉崎大翔（すぎさきひろと）。平穏で代り映えしない毎日を送っていた彼のもとに、高校時代の後輩である小説家・中野郁哉（なかのふみや）が現れた。11年ぶりの再会は、医者と患者として…。大翔は舞い上がってしまうーーこの想いと初恋はあの日、心の奥底へ隠したはずなのに。そんなある日、郁哉に迫られ、告げられる。「先輩は知ってるでしょ、僕がゲイだって…」どこまでが本気なのか分からない郁哉の行動に翻弄されていく大翔。果たしてこの恋の行方は――。")</f>
        <v>整形外科医・杉崎大翔（すぎさきひろと）。平穏で代り映えしない毎日を送っていた彼のもとに、高校時代の後輩である小説家・中野郁哉（なかのふみや）が現れた。11年ぶりの再会は、医者と患者として…。大翔は舞い上がってしまうーーこの想いと初恋はあの日、心の奥底へ隠したはずなのに。そんなある日、郁哉に迫られ、告げられる。「先輩は知ってるでしょ、僕がゲイだって…」どこまでが本気なのか分からない郁哉の行動に翻弄されていく大翔。果たしてこの恋の行方は――。</v>
      </c>
      <c r="W573" s="8"/>
      <c r="X573" s="14" t="str">
        <f>IFERROR(__xludf.DUMMYFUNCTION("""COMPUTED_VALUE"""),"有")</f>
        <v>有</v>
      </c>
      <c r="Y573" s="8" t="str">
        <f>IFERROR(__xludf.DUMMYFUNCTION("""COMPUTED_VALUE"""),"9/26まで1巻無料")</f>
        <v>9/26まで1巻無料</v>
      </c>
      <c r="Z573" s="7"/>
      <c r="AA573" s="7"/>
      <c r="AB573" s="7"/>
    </row>
    <row r="574" ht="15.75" customHeight="1">
      <c r="A574" s="8">
        <f>IFERROR(__xludf.DUMMYFUNCTION("""COMPUTED_VALUE"""),2213.0)</f>
        <v>2213</v>
      </c>
      <c r="B574" s="9" t="str">
        <f>IFERROR(__xludf.DUMMYFUNCTION("""COMPUTED_VALUE"""),"確定")</f>
        <v>確定</v>
      </c>
      <c r="C574" s="10">
        <f>IFERROR(__xludf.DUMMYFUNCTION("""COMPUTED_VALUE"""),45128.0)</f>
        <v>45128</v>
      </c>
      <c r="D574" s="10">
        <f>IFERROR(__xludf.DUMMYFUNCTION("""COMPUTED_VALUE"""),45132.0)</f>
        <v>45132</v>
      </c>
      <c r="E574" s="8">
        <f>IFERROR(__xludf.DUMMYFUNCTION("""COMPUTED_VALUE"""),273243.0)</f>
        <v>273243</v>
      </c>
      <c r="F574" s="9" t="str">
        <f>IFERROR(__xludf.DUMMYFUNCTION("""COMPUTED_VALUE"""),"ヴァンパイア 【連載版】")</f>
        <v>ヴァンパイア 【連載版】</v>
      </c>
      <c r="G574" s="11" t="str">
        <f>IFERROR(__xludf.DUMMYFUNCTION("""COMPUTED_VALUE"""),"1～5")</f>
        <v>1～5</v>
      </c>
      <c r="H574" s="8" t="str">
        <f>IFERROR(__xludf.DUMMYFUNCTION("""COMPUTED_VALUE"""),"DECO*27 やもり四季。")</f>
        <v>DECO*27 やもり四季。</v>
      </c>
      <c r="I574" s="14" t="str">
        <f>IFERROR(__xludf.DUMMYFUNCTION("""COMPUTED_VALUE"""),"青年")</f>
        <v>青年</v>
      </c>
      <c r="J574" s="8"/>
      <c r="K574" s="8"/>
      <c r="L574" s="8" t="str">
        <f>IFERROR(__xludf.DUMMYFUNCTION("""COMPUTED_VALUE"""),"一迅社")</f>
        <v>一迅社</v>
      </c>
      <c r="M574" s="12">
        <f>IFERROR(__xludf.DUMMYFUNCTION("""COMPUTED_VALUE"""),45154.0)</f>
        <v>45154</v>
      </c>
      <c r="N574" s="12">
        <f>IFERROR(__xludf.DUMMYFUNCTION("""COMPUTED_VALUE"""),45184.0)</f>
        <v>45184</v>
      </c>
      <c r="O574" s="11"/>
      <c r="P574" s="9" t="str">
        <f>IFERROR(__xludf.DUMMYFUNCTION("""COMPUTED_VALUE"""),"否")</f>
        <v>否</v>
      </c>
      <c r="Q574" s="8" t="str">
        <f>IFERROR(__xludf.DUMMYFUNCTION("""COMPUTED_VALUE"""),"comic HOWL最新話、素材後送&lt;BR&gt;藤本さんコミット確認済み&lt;BR&gt;4話分で対応願います")</f>
        <v>comic HOWL最新話、素材後送&lt;BR&gt;藤本さんコミット確認済み&lt;BR&gt;4話分で対応願います</v>
      </c>
      <c r="R574" s="9"/>
      <c r="S574" s="8" t="str">
        <f>IFERROR(__xludf.DUMMYFUNCTION("""COMPUTED_VALUE"""),"20230721_一迅社_comicHOWL8月新作")</f>
        <v>20230721_一迅社_comicHOWL8月新作</v>
      </c>
      <c r="T574" s="9" t="str">
        <f>IFERROR(__xludf.DUMMYFUNCTION("""COMPUTED_VALUE"""),"格納済み")</f>
        <v>格納済み</v>
      </c>
      <c r="U574" s="9" t="str">
        <f>IFERROR(__xludf.DUMMYFUNCTION("""COMPUTED_VALUE"""),"(C)やもり四季。／一迅社　(C)DECO*27　(C)OTOIRO　(C)CFM")</f>
        <v>(C)やもり四季。／一迅社　(C)DECO*27　(C)OTOIRO　(C)CFM</v>
      </c>
      <c r="V574" s="8" t="str">
        <f>IFERROR(__xludf.DUMMYFUNCTION("""COMPUTED_VALUE"""),"私は飢えたヴァンパイア。極上といわれる運命の人の血を吸うことに憧れ、ひょんなことからインフルエンサーとしてSNSで飢餓感を満たしていた。しかしあるときアンチコメントがきて――。再生数5000万回超!!人気ボカロP・DECO*27の中毒必至ヒット曲をコミカライズ！　【本商品は単話コンテンツとなります。単行本版と収録内容が異なる場合がございます。漫画内の告知等は過去のものとなりますので、ご注意ください。】")</f>
        <v>私は飢えたヴァンパイア。極上といわれる運命の人の血を吸うことに憧れ、ひょんなことからインフルエンサーとしてSNSで飢餓感を満たしていた。しかしあるときアンチコメントがきて――。再生数5000万回超!!人気ボカロP・DECO*27の中毒必至ヒット曲をコミカライズ！　【本商品は単話コンテンツとなります。単行本版と収録内容が異なる場合がございます。漫画内の告知等は過去のものとなりますので、ご注意ください。】</v>
      </c>
      <c r="W574" s="8"/>
      <c r="X574" s="8" t="str">
        <f>IFERROR(__xludf.DUMMYFUNCTION("""COMPUTED_VALUE"""),"有")</f>
        <v>有</v>
      </c>
      <c r="Y574" s="8" t="str">
        <f>IFERROR(__xludf.DUMMYFUNCTION("""COMPUTED_VALUE"""),"9/15まで1巻無料")</f>
        <v>9/15まで1巻無料</v>
      </c>
      <c r="Z574" s="7"/>
      <c r="AA574" s="7"/>
      <c r="AB574" s="7"/>
    </row>
    <row r="575" ht="15.75" customHeight="1">
      <c r="A575" s="8">
        <f>IFERROR(__xludf.DUMMYFUNCTION("""COMPUTED_VALUE"""),2214.0)</f>
        <v>2214</v>
      </c>
      <c r="B575" s="9" t="str">
        <f>IFERROR(__xludf.DUMMYFUNCTION("""COMPUTED_VALUE"""),"確定")</f>
        <v>確定</v>
      </c>
      <c r="C575" s="10">
        <f>IFERROR(__xludf.DUMMYFUNCTION("""COMPUTED_VALUE"""),45128.0)</f>
        <v>45128</v>
      </c>
      <c r="D575" s="10">
        <f>IFERROR(__xludf.DUMMYFUNCTION("""COMPUTED_VALUE"""),45132.0)</f>
        <v>45132</v>
      </c>
      <c r="E575" s="8">
        <f>IFERROR(__xludf.DUMMYFUNCTION("""COMPUTED_VALUE"""),273244.0)</f>
        <v>273244</v>
      </c>
      <c r="F575" s="9" t="str">
        <f>IFERROR(__xludf.DUMMYFUNCTION("""COMPUTED_VALUE"""),"きさらぎ異聞 【連載版】")</f>
        <v>きさらぎ異聞 【連載版】</v>
      </c>
      <c r="G575" s="11" t="str">
        <f>IFERROR(__xludf.DUMMYFUNCTION("""COMPUTED_VALUE"""),"1～6")</f>
        <v>1～6</v>
      </c>
      <c r="H575" s="8" t="str">
        <f>IFERROR(__xludf.DUMMYFUNCTION("""COMPUTED_VALUE"""),"x0o0x_ 筒井いつき")</f>
        <v>x0o0x_ 筒井いつき</v>
      </c>
      <c r="I575" s="14" t="str">
        <f>IFERROR(__xludf.DUMMYFUNCTION("""COMPUTED_VALUE"""),"青年")</f>
        <v>青年</v>
      </c>
      <c r="J575" s="8"/>
      <c r="K575" s="8"/>
      <c r="L575" s="8" t="str">
        <f>IFERROR(__xludf.DUMMYFUNCTION("""COMPUTED_VALUE"""),"一迅社")</f>
        <v>一迅社</v>
      </c>
      <c r="M575" s="12">
        <f>IFERROR(__xludf.DUMMYFUNCTION("""COMPUTED_VALUE"""),45154.0)</f>
        <v>45154</v>
      </c>
      <c r="N575" s="12">
        <f>IFERROR(__xludf.DUMMYFUNCTION("""COMPUTED_VALUE"""),45184.0)</f>
        <v>45184</v>
      </c>
      <c r="O575" s="11"/>
      <c r="P575" s="9" t="str">
        <f>IFERROR(__xludf.DUMMYFUNCTION("""COMPUTED_VALUE"""),"否")</f>
        <v>否</v>
      </c>
      <c r="Q575" s="8" t="str">
        <f>IFERROR(__xludf.DUMMYFUNCTION("""COMPUTED_VALUE"""),"comic HOWL最新話、素材後送&lt;BR&gt;藤本さんコミット確認済み&lt;BR&gt;5話分で対応お願いします")</f>
        <v>comic HOWL最新話、素材後送&lt;BR&gt;藤本さんコミット確認済み&lt;BR&gt;5話分で対応お願いします</v>
      </c>
      <c r="R575" s="9"/>
      <c r="S575" s="8" t="str">
        <f>IFERROR(__xludf.DUMMYFUNCTION("""COMPUTED_VALUE"""),"20230721_一迅社_comicHOWL8月新作")</f>
        <v>20230721_一迅社_comicHOWL8月新作</v>
      </c>
      <c r="T575" s="9" t="str">
        <f>IFERROR(__xludf.DUMMYFUNCTION("""COMPUTED_VALUE"""),"格納済み")</f>
        <v>格納済み</v>
      </c>
      <c r="U575" s="9" t="str">
        <f>IFERROR(__xludf.DUMMYFUNCTION("""COMPUTED_VALUE"""),"(C)x0o0x_・筒井いつき／一迅社")</f>
        <v>(C)x0o0x_・筒井いつき／一迅社</v>
      </c>
      <c r="V575" s="8" t="str">
        <f>IFERROR(__xludf.DUMMYFUNCTION("""COMPUTED_VALUE"""),"悪意、無意識、都市伝説――あらゆる闇が人を蝕む音楽と物語の交差点!!家庭と学校の両方で壮絶な環境に身を置く少女・渚。音楽を通したSNSの人間関係に依存してい彼女の日常は、いつもの駅で謎の少女とすれ違うと共に突如奇怪な世界に変貌する。迷い込んだのは「きさらぎ駅」、かって掲示板で有名になった都市伝説であった。命を狙う怪異たちを退けるにつれて露になる目を逸らしたくなる真実とは…!?　【本商品は単話コンテンツとなります。単行本版と収録内容が異なる場合がございます。漫画内の告知等は過去のものとなりますので、ご注意く"&amp;"ださい。】")</f>
        <v>悪意、無意識、都市伝説――あらゆる闇が人を蝕む音楽と物語の交差点!!家庭と学校の両方で壮絶な環境に身を置く少女・渚。音楽を通したSNSの人間関係に依存してい彼女の日常は、いつもの駅で謎の少女とすれ違うと共に突如奇怪な世界に変貌する。迷い込んだのは「きさらぎ駅」、かって掲示板で有名になった都市伝説であった。命を狙う怪異たちを退けるにつれて露になる目を逸らしたくなる真実とは…!?　【本商品は単話コンテンツとなります。単行本版と収録内容が異なる場合がございます。漫画内の告知等は過去のものとなりますので、ご注意ください。】</v>
      </c>
      <c r="W575" s="8"/>
      <c r="X575" s="8" t="str">
        <f>IFERROR(__xludf.DUMMYFUNCTION("""COMPUTED_VALUE"""),"有")</f>
        <v>有</v>
      </c>
      <c r="Y575" s="8" t="str">
        <f>IFERROR(__xludf.DUMMYFUNCTION("""COMPUTED_VALUE"""),"9/15まで1巻無料")</f>
        <v>9/15まで1巻無料</v>
      </c>
      <c r="Z575" s="7"/>
      <c r="AA575" s="7"/>
      <c r="AB575" s="7"/>
    </row>
    <row r="576" ht="15.75" customHeight="1">
      <c r="A576" s="8">
        <f>IFERROR(__xludf.DUMMYFUNCTION("""COMPUTED_VALUE"""),2215.0)</f>
        <v>2215</v>
      </c>
      <c r="B576" s="9" t="str">
        <f>IFERROR(__xludf.DUMMYFUNCTION("""COMPUTED_VALUE"""),"確定")</f>
        <v>確定</v>
      </c>
      <c r="C576" s="10">
        <f>IFERROR(__xludf.DUMMYFUNCTION("""COMPUTED_VALUE"""),45128.0)</f>
        <v>45128</v>
      </c>
      <c r="D576" s="10">
        <f>IFERROR(__xludf.DUMMYFUNCTION("""COMPUTED_VALUE"""),45132.0)</f>
        <v>45132</v>
      </c>
      <c r="E576" s="8">
        <f>IFERROR(__xludf.DUMMYFUNCTION("""COMPUTED_VALUE"""),273245.0)</f>
        <v>273245</v>
      </c>
      <c r="F576" s="9" t="str">
        <f>IFERROR(__xludf.DUMMYFUNCTION("""COMPUTED_VALUE"""),"ヴィラン 【連載版】")</f>
        <v>ヴィラン 【連載版】</v>
      </c>
      <c r="G576" s="11" t="str">
        <f>IFERROR(__xludf.DUMMYFUNCTION("""COMPUTED_VALUE"""),"1～4")</f>
        <v>1～4</v>
      </c>
      <c r="H576" s="8" t="str">
        <f>IFERROR(__xludf.DUMMYFUNCTION("""COMPUTED_VALUE"""),"てにをは ふじた ねここ")</f>
        <v>てにをは ふじた ねここ</v>
      </c>
      <c r="I576" s="14" t="str">
        <f>IFERROR(__xludf.DUMMYFUNCTION("""COMPUTED_VALUE"""),"青年")</f>
        <v>青年</v>
      </c>
      <c r="J576" s="8"/>
      <c r="K576" s="8"/>
      <c r="L576" s="8" t="str">
        <f>IFERROR(__xludf.DUMMYFUNCTION("""COMPUTED_VALUE"""),"一迅社")</f>
        <v>一迅社</v>
      </c>
      <c r="M576" s="12">
        <f>IFERROR(__xludf.DUMMYFUNCTION("""COMPUTED_VALUE"""),45154.0)</f>
        <v>45154</v>
      </c>
      <c r="N576" s="12">
        <f>IFERROR(__xludf.DUMMYFUNCTION("""COMPUTED_VALUE"""),45184.0)</f>
        <v>45184</v>
      </c>
      <c r="O576" s="11"/>
      <c r="P576" s="9" t="str">
        <f>IFERROR(__xludf.DUMMYFUNCTION("""COMPUTED_VALUE"""),"否")</f>
        <v>否</v>
      </c>
      <c r="Q576" s="8" t="str">
        <f>IFERROR(__xludf.DUMMYFUNCTION("""COMPUTED_VALUE"""),"comic HOWL最新話、素材後送&lt;BR&gt;藤本さんコミット確認済み&lt;BR&gt;4話分で対応願います")</f>
        <v>comic HOWL最新話、素材後送&lt;BR&gt;藤本さんコミット確認済み&lt;BR&gt;4話分で対応願います</v>
      </c>
      <c r="R576" s="9"/>
      <c r="S576" s="8" t="str">
        <f>IFERROR(__xludf.DUMMYFUNCTION("""COMPUTED_VALUE"""),"20230721_一迅社_comicHOWL8月新作")</f>
        <v>20230721_一迅社_comicHOWL8月新作</v>
      </c>
      <c r="T576" s="9" t="str">
        <f>IFERROR(__xludf.DUMMYFUNCTION("""COMPUTED_VALUE"""),"格納済み")</f>
        <v>格納済み</v>
      </c>
      <c r="U576" s="9" t="str">
        <f>IFERROR(__xludf.DUMMYFUNCTION("""COMPUTED_VALUE"""),"(C)てにをは・ふじた／一迅社")</f>
        <v>(C)てにをは・ふじた／一迅社</v>
      </c>
      <c r="V576" s="8" t="str">
        <f>IFERROR(__xludf.DUMMYFUNCTION("""COMPUTED_VALUE"""),"「きっと手を繋ぐだけでゾッとされる。」自分の性別がわからない少年・織生空弦(おりお あずる)はこの街で一番自由な“彼”・御堂蓮利(みどう れんり)に、恋をした---はずだった。ボカロ史に輝く名曲にして問題作の『ヴィラン』がヲタ恋のふじたの手により、切なさとときめきが溢れる漫画に生まれ変わる。今の時代だからこそ見届けてほしい、二人の恋の結末は？　【本商品は単話コンテンツとなります。単行本版と収録内容が異なる場合がございます。漫画内の告知等は過去のものとなりますので、ご注意ください。】")</f>
        <v>「きっと手を繋ぐだけでゾッとされる。」自分の性別がわからない少年・織生空弦(おりお あずる)はこの街で一番自由な“彼”・御堂蓮利(みどう れんり)に、恋をした---はずだった。ボカロ史に輝く名曲にして問題作の『ヴィラン』がヲタ恋のふじたの手により、切なさとときめきが溢れる漫画に生まれ変わる。今の時代だからこそ見届けてほしい、二人の恋の結末は？　【本商品は単話コンテンツとなります。単行本版と収録内容が異なる場合がございます。漫画内の告知等は過去のものとなりますので、ご注意ください。】</v>
      </c>
      <c r="W576" s="8"/>
      <c r="X576" s="8" t="str">
        <f>IFERROR(__xludf.DUMMYFUNCTION("""COMPUTED_VALUE"""),"有")</f>
        <v>有</v>
      </c>
      <c r="Y576" s="8" t="str">
        <f>IFERROR(__xludf.DUMMYFUNCTION("""COMPUTED_VALUE"""),"9/15まで1巻無料")</f>
        <v>9/15まで1巻無料</v>
      </c>
      <c r="Z576" s="7"/>
      <c r="AA576" s="7"/>
      <c r="AB576" s="7"/>
    </row>
    <row r="577" ht="15.75" customHeight="1">
      <c r="A577" s="8">
        <f>IFERROR(__xludf.DUMMYFUNCTION("""COMPUTED_VALUE"""),2216.0)</f>
        <v>2216</v>
      </c>
      <c r="B577" s="9" t="str">
        <f>IFERROR(__xludf.DUMMYFUNCTION("""COMPUTED_VALUE"""),"確定")</f>
        <v>確定</v>
      </c>
      <c r="C577" s="10">
        <f>IFERROR(__xludf.DUMMYFUNCTION("""COMPUTED_VALUE"""),45128.0)</f>
        <v>45128</v>
      </c>
      <c r="D577" s="10">
        <f>IFERROR(__xludf.DUMMYFUNCTION("""COMPUTED_VALUE"""),45132.0)</f>
        <v>45132</v>
      </c>
      <c r="E577" s="8">
        <f>IFERROR(__xludf.DUMMYFUNCTION("""COMPUTED_VALUE"""),273246.0)</f>
        <v>273246</v>
      </c>
      <c r="F577" s="9" t="str">
        <f>IFERROR(__xludf.DUMMYFUNCTION("""COMPUTED_VALUE"""),"シカバネーゼ 【連載版】")</f>
        <v>シカバネーゼ 【連載版】</v>
      </c>
      <c r="G577" s="11" t="str">
        <f>IFERROR(__xludf.DUMMYFUNCTION("""COMPUTED_VALUE"""),"1～6")</f>
        <v>1～6</v>
      </c>
      <c r="H577" s="8" t="str">
        <f>IFERROR(__xludf.DUMMYFUNCTION("""COMPUTED_VALUE"""),"jon-YAKITORY 貫徹 頼間リヨ")</f>
        <v>jon-YAKITORY 貫徹 頼間リヨ</v>
      </c>
      <c r="I577" s="14" t="str">
        <f>IFERROR(__xludf.DUMMYFUNCTION("""COMPUTED_VALUE"""),"青年")</f>
        <v>青年</v>
      </c>
      <c r="J577" s="8"/>
      <c r="K577" s="8"/>
      <c r="L577" s="8" t="str">
        <f>IFERROR(__xludf.DUMMYFUNCTION("""COMPUTED_VALUE"""),"一迅社")</f>
        <v>一迅社</v>
      </c>
      <c r="M577" s="12">
        <f>IFERROR(__xludf.DUMMYFUNCTION("""COMPUTED_VALUE"""),45154.0)</f>
        <v>45154</v>
      </c>
      <c r="N577" s="12">
        <f>IFERROR(__xludf.DUMMYFUNCTION("""COMPUTED_VALUE"""),45184.0)</f>
        <v>45184</v>
      </c>
      <c r="O577" s="11"/>
      <c r="P577" s="9" t="str">
        <f>IFERROR(__xludf.DUMMYFUNCTION("""COMPUTED_VALUE"""),"否")</f>
        <v>否</v>
      </c>
      <c r="Q577" s="8" t="str">
        <f>IFERROR(__xludf.DUMMYFUNCTION("""COMPUTED_VALUE"""),"comic HOWL最新話、素材後送&lt;BR&gt;藤本さんコミット確認済み&lt;BR&gt;5話分で対応願います")</f>
        <v>comic HOWL最新話、素材後送&lt;BR&gt;藤本さんコミット確認済み&lt;BR&gt;5話分で対応願います</v>
      </c>
      <c r="R577" s="9"/>
      <c r="S577" s="8" t="str">
        <f>IFERROR(__xludf.DUMMYFUNCTION("""COMPUTED_VALUE"""),"20230721_一迅社_comicHOWL8月新作")</f>
        <v>20230721_一迅社_comicHOWL8月新作</v>
      </c>
      <c r="T577" s="9" t="str">
        <f>IFERROR(__xludf.DUMMYFUNCTION("""COMPUTED_VALUE"""),"格納済み")</f>
        <v>格納済み</v>
      </c>
      <c r="U577" s="9" t="str">
        <f>IFERROR(__xludf.DUMMYFUNCTION("""COMPUTED_VALUE"""),"(C)貫徹・頼間リヨ／一迅社　(C)シカバネーゼ")</f>
        <v>(C)貫徹・頼間リヨ／一迅社　(C)シカバネーゼ</v>
      </c>
      <c r="V577" s="8" t="str">
        <f>IFERROR(__xludf.DUMMYFUNCTION("""COMPUTED_VALUE"""),"フリーターの朝霧ヒナタは、過去のトラウマと他人への劣等感から、逃げてばかりの日々を送っていた。そんな惨めな自分の人生に終止符を打つべく、ヒナタはついに集団自殺への参加を決意する…。しかし、死後に彼を待ち受けていたのは、失敗すれば永遠の苦しみを与え続けられる悪逆非道なサバイバルゲームだった――。　【本商品は単話コンテンツとなります。単行本版と収録内容が異なる場合がございます。漫画内の告知等は過去のものとなりますので、ご注意ください。】")</f>
        <v>フリーターの朝霧ヒナタは、過去のトラウマと他人への劣等感から、逃げてばかりの日々を送っていた。そんな惨めな自分の人生に終止符を打つべく、ヒナタはついに集団自殺への参加を決意する…。しかし、死後に彼を待ち受けていたのは、失敗すれば永遠の苦しみを与え続けられる悪逆非道なサバイバルゲームだった――。　【本商品は単話コンテンツとなります。単行本版と収録内容が異なる場合がございます。漫画内の告知等は過去のものとなりますので、ご注意ください。】</v>
      </c>
      <c r="W577" s="8"/>
      <c r="X577" s="8" t="str">
        <f>IFERROR(__xludf.DUMMYFUNCTION("""COMPUTED_VALUE"""),"有")</f>
        <v>有</v>
      </c>
      <c r="Y577" s="8" t="str">
        <f>IFERROR(__xludf.DUMMYFUNCTION("""COMPUTED_VALUE"""),"9/15まで1巻無料")</f>
        <v>9/15まで1巻無料</v>
      </c>
      <c r="Z577" s="7"/>
      <c r="AA577" s="7"/>
      <c r="AB577" s="7"/>
    </row>
    <row r="578" ht="15.75" customHeight="1">
      <c r="A578" s="8">
        <f>IFERROR(__xludf.DUMMYFUNCTION("""COMPUTED_VALUE"""),2217.0)</f>
        <v>2217</v>
      </c>
      <c r="B578" s="9" t="str">
        <f>IFERROR(__xludf.DUMMYFUNCTION("""COMPUTED_VALUE"""),"確定")</f>
        <v>確定</v>
      </c>
      <c r="C578" s="10">
        <f>IFERROR(__xludf.DUMMYFUNCTION("""COMPUTED_VALUE"""),45128.0)</f>
        <v>45128</v>
      </c>
      <c r="D578" s="10">
        <f>IFERROR(__xludf.DUMMYFUNCTION("""COMPUTED_VALUE"""),45132.0)</f>
        <v>45132</v>
      </c>
      <c r="E578" s="8">
        <f>IFERROR(__xludf.DUMMYFUNCTION("""COMPUTED_VALUE"""),273294.0)</f>
        <v>273294</v>
      </c>
      <c r="F578" s="9" t="str">
        <f>IFERROR(__xludf.DUMMYFUNCTION("""COMPUTED_VALUE"""),"わたしをあなたで甘くして【分冊版】(ラワーレコミックス)")</f>
        <v>わたしをあなたで甘くして【分冊版】(ラワーレコミックス)</v>
      </c>
      <c r="G578" s="11" t="str">
        <f>IFERROR(__xludf.DUMMYFUNCTION("""COMPUTED_VALUE"""),"1～2")</f>
        <v>1～2</v>
      </c>
      <c r="H578" s="8" t="str">
        <f>IFERROR(__xludf.DUMMYFUNCTION("""COMPUTED_VALUE"""),"高野百加┴ポリー")</f>
        <v>高野百加┴ポリー</v>
      </c>
      <c r="I578" s="8" t="str">
        <f>IFERROR(__xludf.DUMMYFUNCTION("""COMPUTED_VALUE"""),"女性")</f>
        <v>女性</v>
      </c>
      <c r="J578" s="8"/>
      <c r="K578" s="8"/>
      <c r="L578" s="8" t="str">
        <f>IFERROR(__xludf.DUMMYFUNCTION("""COMPUTED_VALUE"""),"一二三書房")</f>
        <v>一二三書房</v>
      </c>
      <c r="M578" s="12">
        <f>IFERROR(__xludf.DUMMYFUNCTION("""COMPUTED_VALUE"""),45142.0)</f>
        <v>45142</v>
      </c>
      <c r="N578" s="12">
        <f>IFERROR(__xludf.DUMMYFUNCTION("""COMPUTED_VALUE"""),45173.0)</f>
        <v>45173</v>
      </c>
      <c r="O578" s="11"/>
      <c r="P578" s="9" t="str">
        <f>IFERROR(__xludf.DUMMYFUNCTION("""COMPUTED_VALUE"""),"否")</f>
        <v>否</v>
      </c>
      <c r="Q578" s="8"/>
      <c r="R578" s="9"/>
      <c r="S578" s="8" t="str">
        <f>IFERROR(__xludf.DUMMYFUNCTION("""COMPUTED_VALUE"""),"20230724_一二三書房_わたしをあなたで甘くして")</f>
        <v>20230724_一二三書房_わたしをあなたで甘くして</v>
      </c>
      <c r="T578" s="9" t="str">
        <f>IFERROR(__xludf.DUMMYFUNCTION("""COMPUTED_VALUE"""),"格納済み")</f>
        <v>格納済み</v>
      </c>
      <c r="U578" s="9" t="str">
        <f>IFERROR(__xludf.DUMMYFUNCTION("""COMPUTED_VALUE"""),"©ポリー/高野百加（エブリスタ）/一二三書房")</f>
        <v>©ポリー/高野百加（エブリスタ）/一二三書房</v>
      </c>
      <c r="V578" s="8" t="str">
        <f>IFERROR(__xludf.DUMMYFUNCTION("""COMPUTED_VALUE"""),"ジュエリーブランドで販売員として働く花村朱音（27歳）は、3年前に初めて付き合った元カレが原因で男性に対してトラウマを抱くようになってしまい、今も恋人がいないおひとりさまだ。
ある日、高校の同級生でみんなの人気者だったスーパーイケメン・松原大地が、東京から朱音の住む名古屋に転勤してきて再会。高校時代、何かにつけてちょっかいをかけてくる大地のことを苦手としていた朱音だったが、連絡先を聞かて、飲みに誘われ、挙句の果てには「トラウマが消えるまで、お前を甘くしてやる」！？")</f>
        <v>ジュエリーブランドで販売員として働く花村朱音（27歳）は、3年前に初めて付き合った元カレが原因で男性に対してトラウマを抱くようになってしまい、今も恋人がいないおひとりさまだ。
ある日、高校の同級生でみんなの人気者だったスーパーイケメン・松原大地が、東京から朱音の住む名古屋に転勤してきて再会。高校時代、何かにつけてちょっかいをかけてくる大地のことを苦手としていた朱音だったが、連絡先を聞かて、飲みに誘われ、挙句の果てには「トラウマが消えるまで、お前を甘くしてやる」！？</v>
      </c>
      <c r="W578" s="8"/>
      <c r="X578" s="8" t="str">
        <f>IFERROR(__xludf.DUMMYFUNCTION("""COMPUTED_VALUE"""),"有")</f>
        <v>有</v>
      </c>
      <c r="Y578" s="8" t="str">
        <f>IFERROR(__xludf.DUMMYFUNCTION("""COMPUTED_VALUE"""),"8/10まで1巻無料")</f>
        <v>8/10まで1巻無料</v>
      </c>
      <c r="Z578" s="7"/>
      <c r="AA578" s="7"/>
      <c r="AB578" s="7"/>
    </row>
    <row r="579" ht="111.0" customHeight="1">
      <c r="A579" s="8">
        <f>IFERROR(__xludf.DUMMYFUNCTION("""COMPUTED_VALUE"""),2218.0)</f>
        <v>2218</v>
      </c>
      <c r="B579" s="9" t="str">
        <f>IFERROR(__xludf.DUMMYFUNCTION("""COMPUTED_VALUE"""),"確定")</f>
        <v>確定</v>
      </c>
      <c r="C579" s="10">
        <f>IFERROR(__xludf.DUMMYFUNCTION("""COMPUTED_VALUE"""),45128.0)</f>
        <v>45128</v>
      </c>
      <c r="D579" s="10">
        <f>IFERROR(__xludf.DUMMYFUNCTION("""COMPUTED_VALUE"""),45133.0)</f>
        <v>45133</v>
      </c>
      <c r="E579" s="8">
        <f>IFERROR(__xludf.DUMMYFUNCTION("""COMPUTED_VALUE"""),259802.0)</f>
        <v>259802</v>
      </c>
      <c r="F579" s="9" t="str">
        <f>IFERROR(__xludf.DUMMYFUNCTION("""COMPUTED_VALUE"""),"九十九くんは歪んでる")</f>
        <v>九十九くんは歪んでる</v>
      </c>
      <c r="G579" s="11" t="str">
        <f>IFERROR(__xludf.DUMMYFUNCTION("""COMPUTED_VALUE"""),"1～3")</f>
        <v>1～3</v>
      </c>
      <c r="H579" s="8" t="str">
        <f>IFERROR(__xludf.DUMMYFUNCTION("""COMPUTED_VALUE"""),"三日月とろろ")</f>
        <v>三日月とろろ</v>
      </c>
      <c r="I579" s="14" t="str">
        <f>IFERROR(__xludf.DUMMYFUNCTION("""COMPUTED_VALUE"""),"女性")</f>
        <v>女性</v>
      </c>
      <c r="J579" s="8"/>
      <c r="K579" s="8"/>
      <c r="L579" s="8" t="str">
        <f>IFERROR(__xludf.DUMMYFUNCTION("""COMPUTED_VALUE"""),"シーモアコミックス")</f>
        <v>シーモアコミックス</v>
      </c>
      <c r="M579" s="12">
        <f>IFERROR(__xludf.DUMMYFUNCTION("""COMPUTED_VALUE"""),45163.0)</f>
        <v>45163</v>
      </c>
      <c r="N579" s="12">
        <f>IFERROR(__xludf.DUMMYFUNCTION("""COMPUTED_VALUE"""),45316.0)</f>
        <v>45316</v>
      </c>
      <c r="O579" s="11"/>
      <c r="P579" s="9" t="str">
        <f>IFERROR(__xludf.DUMMYFUNCTION("""COMPUTED_VALUE"""),"可")</f>
        <v>可</v>
      </c>
      <c r="Q579" s="8" t="str">
        <f>IFERROR(__xludf.DUMMYFUNCTION("""COMPUTED_VALUE"""),"※正式タイトル下記の通りです（7/21）&lt;BR&gt;＝＝＝&lt;BR&gt;九十九くんは歪んでる&lt;BR&gt;＝＝＝")</f>
        <v>※正式タイトル下記の通りです（7/21）&lt;BR&gt;＝＝＝&lt;BR&gt;九十九くんは歪んでる&lt;BR&gt;＝＝＝</v>
      </c>
      <c r="R579" s="9"/>
      <c r="S579" s="8" t="str">
        <f>IFERROR(__xludf.DUMMYFUNCTION("""COMPUTED_VALUE"""),"20230725_シーモアコミックス_九十九くんは歪んでる")</f>
        <v>20230725_シーモアコミックス_九十九くんは歪んでる</v>
      </c>
      <c r="T579" s="15" t="str">
        <f>IFERROR(__xludf.DUMMYFUNCTION("""COMPUTED_VALUE"""),"格納済み")</f>
        <v>格納済み</v>
      </c>
      <c r="U579" s="9" t="str">
        <f>IFERROR(__xludf.DUMMYFUNCTION("""COMPUTED_VALUE"""),"© 三日月とろろ/シーモアコミックス")</f>
        <v>© 三日月とろろ/シーモアコミックス</v>
      </c>
      <c r="V579" s="8" t="str">
        <f>IFERROR(__xludf.DUMMYFUNCTION("""COMPUTED_VALUE"""),"お金もなく恋愛もうまくいかない残念アラサー女子・百瀬夏緒（ももせなつお）。ある日、職場にお金持ちで、仕事もできる、年下イケメン男子・九十九律（つくもりつ）が配属されてくる。一見、人当たりもよく、優しい律だが…実は、人の哀れな表情が大好きというヤバい性癖の持ち主だった!?哀れまれているのに、なぜかいつも救われている？ちょっと歪な溺愛ラブストーリー。
")</f>
        <v>お金もなく恋愛もうまくいかない残念アラサー女子・百瀬夏緒（ももせなつお）。ある日、職場にお金持ちで、仕事もできる、年下イケメン男子・九十九律（つくもりつ）が配属されてくる。一見、人当たりもよく、優しい律だが…実は、人の哀れな表情が大好きというヤバい性癖の持ち主だった!?哀れまれているのに、なぜかいつも救われている？ちょっと歪な溺愛ラブストーリー。
</v>
      </c>
      <c r="W579" s="8"/>
      <c r="X579" s="8" t="str">
        <f>IFERROR(__xludf.DUMMYFUNCTION("""COMPUTED_VALUE"""),"有")</f>
        <v>有</v>
      </c>
      <c r="Y579" s="8" t="str">
        <f>IFERROR(__xludf.DUMMYFUNCTION("""COMPUTED_VALUE"""),"9/28まで1巻無料")</f>
        <v>9/28まで1巻無料</v>
      </c>
      <c r="Z579" s="7"/>
      <c r="AA579" s="7"/>
      <c r="AB579" s="7"/>
    </row>
    <row r="580" ht="147.0" customHeight="1">
      <c r="A580" s="8">
        <f>IFERROR(__xludf.DUMMYFUNCTION("""COMPUTED_VALUE"""),2219.0)</f>
        <v>2219</v>
      </c>
      <c r="B580" s="9" t="str">
        <f>IFERROR(__xludf.DUMMYFUNCTION("""COMPUTED_VALUE"""),"確定")</f>
        <v>確定</v>
      </c>
      <c r="C580" s="10">
        <f>IFERROR(__xludf.DUMMYFUNCTION("""COMPUTED_VALUE"""),45128.0)</f>
        <v>45128</v>
      </c>
      <c r="D580" s="10">
        <f>IFERROR(__xludf.DUMMYFUNCTION("""COMPUTED_VALUE"""),45132.0)</f>
        <v>45132</v>
      </c>
      <c r="E580" s="8">
        <f>IFERROR(__xludf.DUMMYFUNCTION("""COMPUTED_VALUE"""),263637.0)</f>
        <v>263637</v>
      </c>
      <c r="F580" s="9" t="str">
        <f>IFERROR(__xludf.DUMMYFUNCTION("""COMPUTED_VALUE"""),"つがいの嫁入り ～異形の巫女は朱雀の当主に愛される～")</f>
        <v>つがいの嫁入り ～異形の巫女は朱雀の当主に愛される～</v>
      </c>
      <c r="G580" s="11" t="str">
        <f>IFERROR(__xludf.DUMMYFUNCTION("""COMPUTED_VALUE"""),"1～3")</f>
        <v>1～3</v>
      </c>
      <c r="H580" s="8" t="str">
        <f>IFERROR(__xludf.DUMMYFUNCTION("""COMPUTED_VALUE"""),"島くらげ")</f>
        <v>島くらげ</v>
      </c>
      <c r="I580" s="14" t="str">
        <f>IFERROR(__xludf.DUMMYFUNCTION("""COMPUTED_VALUE"""),"少女")</f>
        <v>少女</v>
      </c>
      <c r="J580" s="8"/>
      <c r="K580" s="8"/>
      <c r="L580" s="8" t="str">
        <f>IFERROR(__xludf.DUMMYFUNCTION("""COMPUTED_VALUE"""),"シーモアコミックス")</f>
        <v>シーモアコミックス</v>
      </c>
      <c r="M580" s="12">
        <f>IFERROR(__xludf.DUMMYFUNCTION("""COMPUTED_VALUE"""),45163.0)</f>
        <v>45163</v>
      </c>
      <c r="N580" s="12">
        <f>IFERROR(__xludf.DUMMYFUNCTION("""COMPUTED_VALUE"""),45477.66666666667)</f>
        <v>45477.66667</v>
      </c>
      <c r="O580" s="11"/>
      <c r="P580" s="9" t="str">
        <f>IFERROR(__xludf.DUMMYFUNCTION("""COMPUTED_VALUE"""),"可")</f>
        <v>可</v>
      </c>
      <c r="Q580" s="8" t="str">
        <f>IFERROR(__xludf.DUMMYFUNCTION("""COMPUTED_VALUE"""),"※正式タイトル下記の通りです（7/21）&lt;BR&gt;＝＝＝&lt;BR&gt;つがいの嫁入り ～異形の巫女は朱雀の当主に愛される～&lt;BR&gt;＝＝＝&lt;BR&gt;")</f>
        <v>※正式タイトル下記の通りです（7/21）&lt;BR&gt;＝＝＝&lt;BR&gt;つがいの嫁入り ～異形の巫女は朱雀の当主に愛される～&lt;BR&gt;＝＝＝&lt;BR&gt;</v>
      </c>
      <c r="R580" s="9"/>
      <c r="S580" s="8" t="str">
        <f>IFERROR(__xludf.DUMMYFUNCTION("""COMPUTED_VALUE"""),"20230720_シーモアコミックス_つがいの嫁入り ～異形の巫女は朱雀の当主に愛される～")</f>
        <v>20230720_シーモアコミックス_つがいの嫁入り ～異形の巫女は朱雀の当主に愛される～</v>
      </c>
      <c r="T580" s="15" t="str">
        <f>IFERROR(__xludf.DUMMYFUNCTION("""COMPUTED_VALUE"""),"格納済み")</f>
        <v>格納済み</v>
      </c>
      <c r="U580" s="9" t="str">
        <f>IFERROR(__xludf.DUMMYFUNCTION("""COMPUTED_VALUE"""),"© 島くらげ/シーモアコミックス")</f>
        <v>© 島くらげ/シーモアコミックス</v>
      </c>
      <c r="V580" s="8" t="str">
        <f>IFERROR(__xludf.DUMMYFUNCTION("""COMPUTED_VALUE"""),"雪の多い六華の里では、炎の神「朱雀」の血を引く朱雀宮家が崇められ、その当主に嫁ぐことは最高の栄誉とされていた。榮枝銀花(さかえだぎんか)は里の巫女家系に生まれ、朱雀宮家に嫁ぐことを期待されるが、美しい容姿に恵まれず嫁入りの可能性がないと判断され、家族に冷遇されていた。一方、妹の朱音は容姿端麗で外面が良く、里一番の巫女と称され人々は朱音が朱雀宮家に嫁入りすると信じて疑わなかった。朱音の嫁入りが決まるであろう儀式の前夜、銀花は朱雀宮家の当主と出会う。触れ合った瞬間、銀花と当主の間にはただならぬ感覚が走り―！？"&amp;"―運命のシンデレラストーリーが動き出す！")</f>
        <v>雪の多い六華の里では、炎の神「朱雀」の血を引く朱雀宮家が崇められ、その当主に嫁ぐことは最高の栄誉とされていた。榮枝銀花(さかえだぎんか)は里の巫女家系に生まれ、朱雀宮家に嫁ぐことを期待されるが、美しい容姿に恵まれず嫁入りの可能性がないと判断され、家族に冷遇されていた。一方、妹の朱音は容姿端麗で外面が良く、里一番の巫女と称され人々は朱音が朱雀宮家に嫁入りすると信じて疑わなかった。朱音の嫁入りが決まるであろう儀式の前夜、銀花は朱雀宮家の当主と出会う。触れ合った瞬間、銀花と当主の間にはただならぬ感覚が走り―！？―運命のシンデレラストーリーが動き出す！</v>
      </c>
      <c r="W580" s="8"/>
      <c r="X580" s="8" t="str">
        <f>IFERROR(__xludf.DUMMYFUNCTION("""COMPUTED_VALUE"""),"有")</f>
        <v>有</v>
      </c>
      <c r="Y580" s="8" t="str">
        <f>IFERROR(__xludf.DUMMYFUNCTION("""COMPUTED_VALUE"""),"9/28まで1巻無料")</f>
        <v>9/28まで1巻無料</v>
      </c>
      <c r="Z580" s="7"/>
      <c r="AA580" s="7"/>
      <c r="AB580" s="7"/>
    </row>
    <row r="581" ht="123.0" customHeight="1">
      <c r="A581" s="8">
        <f>IFERROR(__xludf.DUMMYFUNCTION("""COMPUTED_VALUE"""),2224.0)</f>
        <v>2224</v>
      </c>
      <c r="B581" s="9" t="str">
        <f>IFERROR(__xludf.DUMMYFUNCTION("""COMPUTED_VALUE"""),"確定")</f>
        <v>確定</v>
      </c>
      <c r="C581" s="10">
        <f>IFERROR(__xludf.DUMMYFUNCTION("""COMPUTED_VALUE"""),45131.0)</f>
        <v>45131</v>
      </c>
      <c r="D581" s="10">
        <f>IFERROR(__xludf.DUMMYFUNCTION("""COMPUTED_VALUE"""),45132.0)</f>
        <v>45132</v>
      </c>
      <c r="E581" s="8">
        <f>IFERROR(__xludf.DUMMYFUNCTION("""COMPUTED_VALUE"""),255467.0)</f>
        <v>255467</v>
      </c>
      <c r="F581" s="9" t="str">
        <f>IFERROR(__xludf.DUMMYFUNCTION("""COMPUTED_VALUE"""),"誓った指輪をはずす日は")</f>
        <v>誓った指輪をはずす日は</v>
      </c>
      <c r="G581" s="11" t="str">
        <f>IFERROR(__xludf.DUMMYFUNCTION("""COMPUTED_VALUE"""),"1～3")</f>
        <v>1～3</v>
      </c>
      <c r="H581" s="8" t="str">
        <f>IFERROR(__xludf.DUMMYFUNCTION("""COMPUTED_VALUE"""),"石川桜")</f>
        <v>石川桜</v>
      </c>
      <c r="I581" s="14" t="str">
        <f>IFERROR(__xludf.DUMMYFUNCTION("""COMPUTED_VALUE"""),"女性")</f>
        <v>女性</v>
      </c>
      <c r="J581" s="8"/>
      <c r="K581" s="8"/>
      <c r="L581" s="8" t="str">
        <f>IFERROR(__xludf.DUMMYFUNCTION("""COMPUTED_VALUE"""),"シーモアコミックス")</f>
        <v>シーモアコミックス</v>
      </c>
      <c r="M581" s="12">
        <f>IFERROR(__xludf.DUMMYFUNCTION("""COMPUTED_VALUE"""),45163.0)</f>
        <v>45163</v>
      </c>
      <c r="N581" s="12">
        <f>IFERROR(__xludf.DUMMYFUNCTION("""COMPUTED_VALUE"""),45316.0)</f>
        <v>45316</v>
      </c>
      <c r="O581" s="11"/>
      <c r="P581" s="9" t="str">
        <f>IFERROR(__xludf.DUMMYFUNCTION("""COMPUTED_VALUE"""),"可")</f>
        <v>可</v>
      </c>
      <c r="Q581" s="8" t="str">
        <f>IFERROR(__xludf.DUMMYFUNCTION("""COMPUTED_VALUE"""),"※正式タイトル下記の通りです（7/24）&lt;BR&gt;＝＝＝&lt;BR&gt;誓った指輪をはずす日は&lt;BR&gt;＝＝＝&lt;BR&gt;")</f>
        <v>※正式タイトル下記の通りです（7/24）&lt;BR&gt;＝＝＝&lt;BR&gt;誓った指輪をはずす日は&lt;BR&gt;＝＝＝&lt;BR&gt;</v>
      </c>
      <c r="R581" s="9"/>
      <c r="S581" s="8" t="str">
        <f>IFERROR(__xludf.DUMMYFUNCTION("""COMPUTED_VALUE"""),"20230724__シーモアコミックス_誓った指輪をはずす日は")</f>
        <v>20230724__シーモアコミックス_誓った指輪をはずす日は</v>
      </c>
      <c r="T581" s="15" t="str">
        <f>IFERROR(__xludf.DUMMYFUNCTION("""COMPUTED_VALUE"""),"格納済み")</f>
        <v>格納済み</v>
      </c>
      <c r="U581" s="9" t="str">
        <f>IFERROR(__xludf.DUMMYFUNCTION("""COMPUTED_VALUE"""),"© 石川桜/シーモアコミックス")</f>
        <v>© 石川桜/シーモアコミックス</v>
      </c>
      <c r="V581" s="8" t="str">
        <f>IFERROR(__xludf.DUMMYFUNCTION("""COMPUTED_VALUE"""),"早見有紀（32）は現在不妊治療中の専業主婦。結婚7年目の夫・圭介は仕事も忙しく、夫婦の間で会話も少なくなっていた。仕事も辞め、子供もできず、突然訪れる義母の相手をしながら、忙しい夫に気を遣う日々。「このまま私にはなにが残るんだろう──」そう思った有紀は再び仕事を始めることを決意する。しかし、就活で待っていたのはどこにも受け入れられない現実だった。家にも外にも身の置き場がない…そんな時、中学の同級生・望月英司と再会して…？")</f>
        <v>早見有紀（32）は現在不妊治療中の専業主婦。結婚7年目の夫・圭介は仕事も忙しく、夫婦の間で会話も少なくなっていた。仕事も辞め、子供もできず、突然訪れる義母の相手をしながら、忙しい夫に気を遣う日々。「このまま私にはなにが残るんだろう──」そう思った有紀は再び仕事を始めることを決意する。しかし、就活で待っていたのはどこにも受け入れられない現実だった。家にも外にも身の置き場がない…そんな時、中学の同級生・望月英司と再会して…？</v>
      </c>
      <c r="W581" s="8"/>
      <c r="X581" s="8" t="str">
        <f>IFERROR(__xludf.DUMMYFUNCTION("""COMPUTED_VALUE"""),"有")</f>
        <v>有</v>
      </c>
      <c r="Y581" s="8" t="str">
        <f>IFERROR(__xludf.DUMMYFUNCTION("""COMPUTED_VALUE"""),"9/28まで1巻無料")</f>
        <v>9/28まで1巻無料</v>
      </c>
      <c r="Z581" s="7"/>
      <c r="AA581" s="7"/>
      <c r="AB581" s="7"/>
    </row>
    <row r="582" ht="122.25" customHeight="1">
      <c r="A582" s="8">
        <f>IFERROR(__xludf.DUMMYFUNCTION("""COMPUTED_VALUE"""),2225.0)</f>
        <v>2225</v>
      </c>
      <c r="B582" s="9" t="str">
        <f>IFERROR(__xludf.DUMMYFUNCTION("""COMPUTED_VALUE"""),"確定")</f>
        <v>確定</v>
      </c>
      <c r="C582" s="10">
        <f>IFERROR(__xludf.DUMMYFUNCTION("""COMPUTED_VALUE"""),45131.0)</f>
        <v>45131</v>
      </c>
      <c r="D582" s="10">
        <f>IFERROR(__xludf.DUMMYFUNCTION("""COMPUTED_VALUE"""),45133.0)</f>
        <v>45133</v>
      </c>
      <c r="E582" s="8">
        <f>IFERROR(__xludf.DUMMYFUNCTION("""COMPUTED_VALUE"""),259800.0)</f>
        <v>259800</v>
      </c>
      <c r="F582" s="9" t="str">
        <f>IFERROR(__xludf.DUMMYFUNCTION("""COMPUTED_VALUE"""),"偽りの皇女は狙われる～虚構の帝国と真の皇女～")</f>
        <v>偽りの皇女は狙われる～虚構の帝国と真の皇女～</v>
      </c>
      <c r="G582" s="11" t="str">
        <f>IFERROR(__xludf.DUMMYFUNCTION("""COMPUTED_VALUE"""),"1～3")</f>
        <v>1～3</v>
      </c>
      <c r="H582" s="8" t="str">
        <f>IFERROR(__xludf.DUMMYFUNCTION("""COMPUTED_VALUE"""),"篠原ウミハル,無義歩")</f>
        <v>篠原ウミハル,無義歩</v>
      </c>
      <c r="I582" s="14" t="str">
        <f>IFERROR(__xludf.DUMMYFUNCTION("""COMPUTED_VALUE"""),"少女")</f>
        <v>少女</v>
      </c>
      <c r="J582" s="8"/>
      <c r="K582" s="8"/>
      <c r="L582" s="8" t="str">
        <f>IFERROR(__xludf.DUMMYFUNCTION("""COMPUTED_VALUE"""),"シーモアコミックス")</f>
        <v>シーモアコミックス</v>
      </c>
      <c r="M582" s="12">
        <f>IFERROR(__xludf.DUMMYFUNCTION("""COMPUTED_VALUE"""),45163.0)</f>
        <v>45163</v>
      </c>
      <c r="N582" s="12">
        <f>IFERROR(__xludf.DUMMYFUNCTION("""COMPUTED_VALUE"""),45316.0)</f>
        <v>45316</v>
      </c>
      <c r="O582" s="11"/>
      <c r="P582" s="9" t="str">
        <f>IFERROR(__xludf.DUMMYFUNCTION("""COMPUTED_VALUE"""),"可")</f>
        <v>可</v>
      </c>
      <c r="Q582" s="8" t="str">
        <f>IFERROR(__xludf.DUMMYFUNCTION("""COMPUTED_VALUE"""),"※正式タイトル下記の通りです（7/24）&lt;BR&gt;＝＝＝&lt;BR&gt;偽りの皇女は狙われる～虚構の帝国と真の皇女～&lt;BR&gt;＝＝＝")</f>
        <v>※正式タイトル下記の通りです（7/24）&lt;BR&gt;＝＝＝&lt;BR&gt;偽りの皇女は狙われる～虚構の帝国と真の皇女～&lt;BR&gt;＝＝＝</v>
      </c>
      <c r="R582" s="9"/>
      <c r="S582" s="8" t="str">
        <f>IFERROR(__xludf.DUMMYFUNCTION("""COMPUTED_VALUE"""),"20230725__シーモアコミックス_偽りの皇女は狙われる～虚構の帝国と真の皇女～")</f>
        <v>20230725__シーモアコミックス_偽りの皇女は狙われる～虚構の帝国と真の皇女～</v>
      </c>
      <c r="T582" s="15" t="str">
        <f>IFERROR(__xludf.DUMMYFUNCTION("""COMPUTED_VALUE"""),"格納済み")</f>
        <v>格納済み</v>
      </c>
      <c r="U582" s="9" t="str">
        <f>IFERROR(__xludf.DUMMYFUNCTION("""COMPUTED_VALUE"""),"© 篠原ウミハル/無義歩/シーモアコミックス")</f>
        <v>© 篠原ウミハル/無義歩/シーモアコミックス</v>
      </c>
      <c r="V582" s="8" t="str">
        <f>IFERROR(__xludf.DUMMYFUNCTION("""COMPUTED_VALUE"""),"母を人質にとられ皇女ソフィアの影武者として生きてきたナターリア。ソフィアや国民からも慕われるナターリアだったが、大臣の策略によって、追われる身となってしまった。囚われた母やソフィアを救うためにナターリアは、騎士のウィルと共に帝国の闇を暴く――。
")</f>
        <v>母を人質にとられ皇女ソフィアの影武者として生きてきたナターリア。ソフィアや国民からも慕われるナターリアだったが、大臣の策略によって、追われる身となってしまった。囚われた母やソフィアを救うためにナターリアは、騎士のウィルと共に帝国の闇を暴く――。
</v>
      </c>
      <c r="W582" s="8"/>
      <c r="X582" s="8" t="str">
        <f>IFERROR(__xludf.DUMMYFUNCTION("""COMPUTED_VALUE"""),"有")</f>
        <v>有</v>
      </c>
      <c r="Y582" s="8" t="str">
        <f>IFERROR(__xludf.DUMMYFUNCTION("""COMPUTED_VALUE"""),"9/28まで1巻無料")</f>
        <v>9/28まで1巻無料</v>
      </c>
      <c r="Z582" s="7"/>
      <c r="AA582" s="7"/>
      <c r="AB582" s="7"/>
    </row>
    <row r="583" ht="102.75" customHeight="1">
      <c r="A583" s="8">
        <f>IFERROR(__xludf.DUMMYFUNCTION("""COMPUTED_VALUE"""),2230.0)</f>
        <v>2230</v>
      </c>
      <c r="B583" s="9" t="str">
        <f>IFERROR(__xludf.DUMMYFUNCTION("""COMPUTED_VALUE"""),"確定")</f>
        <v>確定</v>
      </c>
      <c r="C583" s="10">
        <f>IFERROR(__xludf.DUMMYFUNCTION("""COMPUTED_VALUE"""),45132.0)</f>
        <v>45132</v>
      </c>
      <c r="D583" s="10">
        <f>IFERROR(__xludf.DUMMYFUNCTION("""COMPUTED_VALUE"""),45133.0)</f>
        <v>45133</v>
      </c>
      <c r="E583" s="8">
        <f>IFERROR(__xludf.DUMMYFUNCTION("""COMPUTED_VALUE"""),273787.0)</f>
        <v>273787</v>
      </c>
      <c r="F583" s="9" t="str">
        <f>IFERROR(__xludf.DUMMYFUNCTION("""COMPUTED_VALUE"""),"この子のためなら")</f>
        <v>この子のためなら</v>
      </c>
      <c r="G583" s="11" t="str">
        <f>IFERROR(__xludf.DUMMYFUNCTION("""COMPUTED_VALUE"""),"1～2")</f>
        <v>1～2</v>
      </c>
      <c r="H583" s="8" t="str">
        <f>IFERROR(__xludf.DUMMYFUNCTION("""COMPUTED_VALUE"""),"三石メガネ/もりとん")</f>
        <v>三石メガネ/もりとん</v>
      </c>
      <c r="I583" s="14" t="str">
        <f>IFERROR(__xludf.DUMMYFUNCTION("""COMPUTED_VALUE"""),"青年")</f>
        <v>青年</v>
      </c>
      <c r="J583" s="8"/>
      <c r="K583" s="8"/>
      <c r="L583" s="8" t="str">
        <f>IFERROR(__xludf.DUMMYFUNCTION("""COMPUTED_VALUE"""),"taskey")</f>
        <v>taskey</v>
      </c>
      <c r="M583" s="12">
        <f>IFERROR(__xludf.DUMMYFUNCTION("""COMPUTED_VALUE"""),45147.0)</f>
        <v>45147</v>
      </c>
      <c r="N583" s="12">
        <f>IFERROR(__xludf.DUMMYFUNCTION("""COMPUTED_VALUE"""),2958465.0)</f>
        <v>2958465</v>
      </c>
      <c r="O583" s="11"/>
      <c r="P583" s="9" t="str">
        <f>IFERROR(__xludf.DUMMYFUNCTION("""COMPUTED_VALUE"""),"可")</f>
        <v>可</v>
      </c>
      <c r="Q583" s="8" t="str">
        <f>IFERROR(__xludf.DUMMYFUNCTION("""COMPUTED_VALUE"""),"タイトル「この子のためなら」が正です")</f>
        <v>タイトル「この子のためなら」が正です</v>
      </c>
      <c r="R583" s="9"/>
      <c r="S583" s="8" t="str">
        <f>IFERROR(__xludf.DUMMYFUNCTION("""COMPUTED_VALUE"""),"20230725_taskey_この子の為なら")</f>
        <v>20230725_taskey_この子の為なら</v>
      </c>
      <c r="T583" s="9" t="str">
        <f>IFERROR(__xludf.DUMMYFUNCTION("""COMPUTED_VALUE"""),"格納済み")</f>
        <v>格納済み</v>
      </c>
      <c r="U583" s="9" t="str">
        <f>IFERROR(__xludf.DUMMYFUNCTION("""COMPUTED_VALUE"""),"©︎三石メガネ/もりとん/taskey")</f>
        <v>©︎三石メガネ/もりとん/taskey</v>
      </c>
      <c r="V583" s="8" t="str">
        <f>IFERROR(__xludf.DUMMYFUNCTION("""COMPUTED_VALUE"""),"紗江子は幸せだ。貧乏でも、学歴がなくても、シングルマザーでも。ただ一人、娘の唯さえいれば。美しい紗江子は全く似ていないブサイクな娘を溺愛し、娘のために今日も幸せをかき集める――どんな手を使っても…。衝撃のサイコサスペンスが、待望のコミカライズ化！！
")</f>
        <v>紗江子は幸せだ。貧乏でも、学歴がなくても、シングルマザーでも。ただ一人、娘の唯さえいれば。美しい紗江子は全く似ていないブサイクな娘を溺愛し、娘のために今日も幸せをかき集める――どんな手を使っても…。衝撃のサイコサスペンスが、待望のコミカライズ化！！
</v>
      </c>
      <c r="W583" s="8"/>
      <c r="X583" s="8" t="str">
        <f>IFERROR(__xludf.DUMMYFUNCTION("""COMPUTED_VALUE"""),"有")</f>
        <v>有</v>
      </c>
      <c r="Y583" s="8" t="str">
        <f>IFERROR(__xludf.DUMMYFUNCTION("""COMPUTED_VALUE"""),"9/30まで1巻無料")</f>
        <v>9/30まで1巻無料</v>
      </c>
      <c r="Z583" s="7"/>
      <c r="AA583" s="7"/>
      <c r="AB583" s="7"/>
    </row>
    <row r="584" ht="15.75" customHeight="1">
      <c r="A584" s="8">
        <f>IFERROR(__xludf.DUMMYFUNCTION("""COMPUTED_VALUE"""),1707.0)</f>
        <v>1707</v>
      </c>
      <c r="B584" s="9" t="str">
        <f>IFERROR(__xludf.DUMMYFUNCTION("""COMPUTED_VALUE"""),"確定")</f>
        <v>確定</v>
      </c>
      <c r="C584" s="10">
        <f>IFERROR(__xludf.DUMMYFUNCTION("""COMPUTED_VALUE"""),44965.0)</f>
        <v>44965</v>
      </c>
      <c r="D584" s="10">
        <f>IFERROR(__xludf.DUMMYFUNCTION("""COMPUTED_VALUE"""),45135.0)</f>
        <v>45135</v>
      </c>
      <c r="E584" s="14">
        <f>IFERROR(__xludf.DUMMYFUNCTION("""COMPUTED_VALUE"""),274772.0)</f>
        <v>274772</v>
      </c>
      <c r="F584" s="15" t="str">
        <f>IFERROR(__xludf.DUMMYFUNCTION("""COMPUTED_VALUE"""),"【単話】鬼の生贄花嫁と甘い契りを")</f>
        <v>【単話】鬼の生贄花嫁と甘い契りを</v>
      </c>
      <c r="G584" s="11" t="str">
        <f>IFERROR(__xludf.DUMMYFUNCTION("""COMPUTED_VALUE"""),"1～4")</f>
        <v>1～4</v>
      </c>
      <c r="H584" s="8" t="str">
        <f>IFERROR(__xludf.DUMMYFUNCTION("""COMPUTED_VALUE"""),"原作：湊 祥 キャラクター原案：わいあっと　漫画：麻藤 あそら")</f>
        <v>原作：湊 祥 キャラクター原案：わいあっと　漫画：麻藤 あそら</v>
      </c>
      <c r="I584" s="8" t="str">
        <f>IFERROR(__xludf.DUMMYFUNCTION("""COMPUTED_VALUE"""),"少女")</f>
        <v>少女</v>
      </c>
      <c r="J584" s="8"/>
      <c r="K584" s="8"/>
      <c r="L584" s="8" t="str">
        <f>IFERROR(__xludf.DUMMYFUNCTION("""COMPUTED_VALUE"""),"KADOKAWA")</f>
        <v>KADOKAWA</v>
      </c>
      <c r="M584" s="12">
        <f>IFERROR(__xludf.DUMMYFUNCTION("""COMPUTED_VALUE"""),45164.0)</f>
        <v>45164</v>
      </c>
      <c r="N584" s="12">
        <f>IFERROR(__xludf.DUMMYFUNCTION("""COMPUTED_VALUE"""),45255.0)</f>
        <v>45255</v>
      </c>
      <c r="O584" s="11"/>
      <c r="P584" s="9" t="str">
        <f>IFERROR(__xludf.DUMMYFUNCTION("""COMPUTED_VALUE"""),"否")</f>
        <v>否</v>
      </c>
      <c r="Q584" s="8" t="str">
        <f>IFERROR(__xludf.DUMMYFUNCTION("""COMPUTED_VALUE"""),"広告コミットOK（2/10）&lt;BR&gt;原作：スターツ出版文庫")</f>
        <v>広告コミットOK（2/10）&lt;BR&gt;原作：スターツ出版文庫</v>
      </c>
      <c r="R584" s="9" t="str">
        <f>IFERROR(__xludf.DUMMYFUNCTION("""COMPUTED_VALUE"""),"格納済（7/27）")</f>
        <v>格納済（7/27）</v>
      </c>
      <c r="S584" s="8" t="str">
        <f>IFERROR(__xludf.DUMMYFUNCTION("""COMPUTED_VALUE"""),"20230727_KADOKAWA_鬼の生贄花嫁と甘い契りを")</f>
        <v>20230727_KADOKAWA_鬼の生贄花嫁と甘い契りを</v>
      </c>
      <c r="T584" s="9" t="str">
        <f>IFERROR(__xludf.DUMMYFUNCTION("""COMPUTED_VALUE"""),"校了済素材/格納済み")</f>
        <v>校了済素材/格納済み</v>
      </c>
      <c r="U584" s="15" t="str">
        <f>IFERROR(__xludf.DUMMYFUNCTION("""COMPUTED_VALUE"""),"(C)Asora Asafuji (C)Sho Minato ")</f>
        <v>(C)Asora Asafuji (C)Sho Minato </v>
      </c>
      <c r="V584" s="8" t="str">
        <f>IFERROR(__xludf.DUMMYFUNCTION("""COMPUTED_VALUE"""),"生贄花嫁のはずが、毎日キスを迫られる溺愛花嫁に――？ 和風あやかしシンデレラストーリー
赤い瞳を持って生まれ、幼いころから家族に虐げられ育った凛。あるきっかけで自身が鬼の好む珍しい血を持つことが発覚し、もうすぐ生贄花嫁として鬼に血を吸われ、命を終えるのだと諦めていた。しかし迎えに現れた見目麗しい鬼・伊吹に「君は俺の最愛の花嫁だ」と優しく口づけされて――。あやかしの世界で伊吹と一緒に暮らし、甘いキスで溺愛される毎日。凍てついた凛の心は少しずつ溶けていく。
妖しく美しいあやかし異世界で紡がれる、生"&amp;"贄花嫁と最強の鬼との婚姻譚。
※本作は「月刊コンプエース2023年5月号」に掲載された内容と同じものです。重複購入にご注意ください。")</f>
        <v>生贄花嫁のはずが、毎日キスを迫られる溺愛花嫁に――？ 和風あやかしシンデレラストーリー
赤い瞳を持って生まれ、幼いころから家族に虐げられ育った凛。あるきっかけで自身が鬼の好む珍しい血を持つことが発覚し、もうすぐ生贄花嫁として鬼に血を吸われ、命を終えるのだと諦めていた。しかし迎えに現れた見目麗しい鬼・伊吹に「君は俺の最愛の花嫁だ」と優しく口づけされて――。あやかしの世界で伊吹と一緒に暮らし、甘いキスで溺愛される毎日。凍てついた凛の心は少しずつ溶けていく。
妖しく美しいあやかし異世界で紡がれる、生贄花嫁と最強の鬼との婚姻譚。
※本作は「月刊コンプエース2023年5月号」に掲載された内容と同じものです。重複購入にご注意ください。</v>
      </c>
      <c r="W584" s="22"/>
      <c r="X584" s="14" t="str">
        <f>IFERROR(__xludf.DUMMYFUNCTION("""COMPUTED_VALUE"""),"有")</f>
        <v>有</v>
      </c>
      <c r="Y584" s="8" t="str">
        <f>IFERROR(__xludf.DUMMYFUNCTION("""COMPUTED_VALUE"""),"9/30まで1巻無料")</f>
        <v>9/30まで1巻無料</v>
      </c>
      <c r="Z584" s="7"/>
      <c r="AA584" s="7"/>
      <c r="AB584" s="7"/>
    </row>
    <row r="585" ht="15.75" customHeight="1">
      <c r="A585" s="8">
        <f>IFERROR(__xludf.DUMMYFUNCTION("""COMPUTED_VALUE"""),1832.0)</f>
        <v>1832</v>
      </c>
      <c r="B585" s="9" t="str">
        <f>IFERROR(__xludf.DUMMYFUNCTION("""COMPUTED_VALUE"""),"確定")</f>
        <v>確定</v>
      </c>
      <c r="C585" s="10">
        <f>IFERROR(__xludf.DUMMYFUNCTION("""COMPUTED_VALUE"""),45008.0)</f>
        <v>45008</v>
      </c>
      <c r="D585" s="10">
        <f>IFERROR(__xludf.DUMMYFUNCTION("""COMPUTED_VALUE"""),45138.0)</f>
        <v>45138</v>
      </c>
      <c r="E585" s="14">
        <f>IFERROR(__xludf.DUMMYFUNCTION("""COMPUTED_VALUE"""),274834.0)</f>
        <v>274834</v>
      </c>
      <c r="F585" s="9" t="str">
        <f>IFERROR(__xludf.DUMMYFUNCTION("""COMPUTED_VALUE"""),"３回まわって、おすわり～Dom/Sub～【マイクロ】")</f>
        <v>３回まわって、おすわり～Dom/Sub～【マイクロ】</v>
      </c>
      <c r="G585" s="16" t="str">
        <f>IFERROR(__xludf.DUMMYFUNCTION("""COMPUTED_VALUE"""),"1～3")</f>
        <v>1～3</v>
      </c>
      <c r="H585" s="8" t="str">
        <f>IFERROR(__xludf.DUMMYFUNCTION("""COMPUTED_VALUE"""),"鬼嶋ナギ")</f>
        <v>鬼嶋ナギ</v>
      </c>
      <c r="I585" s="8" t="str">
        <f>IFERROR(__xludf.DUMMYFUNCTION("""COMPUTED_VALUE"""),"少女")</f>
        <v>少女</v>
      </c>
      <c r="J585" s="8"/>
      <c r="K585" s="8"/>
      <c r="L585" s="8" t="str">
        <f>IFERROR(__xludf.DUMMYFUNCTION("""COMPUTED_VALUE"""),"小学館")</f>
        <v>小学館</v>
      </c>
      <c r="M585" s="12">
        <f>IFERROR(__xludf.DUMMYFUNCTION("""COMPUTED_VALUE"""),45163.0)</f>
        <v>45163</v>
      </c>
      <c r="N585" s="23">
        <f>IFERROR(__xludf.DUMMYFUNCTION("""COMPUTED_VALUE"""),45223.0)</f>
        <v>45223</v>
      </c>
      <c r="O585" s="11"/>
      <c r="P585" s="9" t="str">
        <f>IFERROR(__xludf.DUMMYFUNCTION("""COMPUTED_VALUE"""),"否")</f>
        <v>否</v>
      </c>
      <c r="Q585" s="8" t="str">
        <f>IFERROR(__xludf.DUMMYFUNCTION("""COMPUTED_VALUE"""),"広告コミットOK（3/31）")</f>
        <v>広告コミットOK（3/31）</v>
      </c>
      <c r="R585" s="9"/>
      <c r="S585" s="8" t="str">
        <f>IFERROR(__xludf.DUMMYFUNCTION("""COMPUTED_VALUE"""),"20230623_小学館_3回まわっておすわり【マイクロ】")</f>
        <v>20230623_小学館_3回まわっておすわり【マイクロ】</v>
      </c>
      <c r="T585" s="9" t="str">
        <f>IFERROR(__xludf.DUMMYFUNCTION("""COMPUTED_VALUE"""),"格納済み")</f>
        <v>格納済み</v>
      </c>
      <c r="U585" s="15" t="str">
        <f>IFERROR(__xludf.DUMMYFUNCTION("""COMPUTED_VALUE"""),"(C)鬼嶋ナギ / 小学館")</f>
        <v>(C)鬼嶋ナギ / 小学館</v>
      </c>
      <c r="V585" s="8" t="str">
        <f>IFERROR(__xludf.DUMMYFUNCTION("""COMPUTED_VALUE"""),"男女性のほかにダイナミクスという第２の性が存在する世界。「Dom」という支配欲にかられた性別と、「Sub」という支配されたい衝動にかられた性別…。Subでありながら自分がノーマルであると偽り生活している亜唏はDom・Sub性が集う街コンに強制参加させられるが、現れたのは意外な人物で…!?")</f>
        <v>男女性のほかにダイナミクスという第２の性が存在する世界。「Dom」という支配欲にかられた性別と、「Sub」という支配されたい衝動にかられた性別…。Subでありながら自分がノーマルであると偽り生活している亜唏はDom・Sub性が集う街コンに強制参加させられるが、現れたのは意外な人物で…!?</v>
      </c>
      <c r="W585" s="22"/>
      <c r="X585" s="22" t="str">
        <f>IFERROR(__xludf.DUMMYFUNCTION("""COMPUTED_VALUE"""),"有")</f>
        <v>有</v>
      </c>
      <c r="Y585" s="8" t="str">
        <f>IFERROR(__xludf.DUMMYFUNCTION("""COMPUTED_VALUE"""),"9/7まで1巻無料")</f>
        <v>9/7まで1巻無料</v>
      </c>
      <c r="Z585" s="7"/>
      <c r="AA585" s="7"/>
      <c r="AB585" s="7"/>
    </row>
    <row r="586" ht="15.75" customHeight="1">
      <c r="A586" s="8">
        <f>IFERROR(__xludf.DUMMYFUNCTION("""COMPUTED_VALUE"""),1992.0)</f>
        <v>1992</v>
      </c>
      <c r="B586" s="9" t="str">
        <f>IFERROR(__xludf.DUMMYFUNCTION("""COMPUTED_VALUE"""),"確定")</f>
        <v>確定</v>
      </c>
      <c r="C586" s="10">
        <f>IFERROR(__xludf.DUMMYFUNCTION("""COMPUTED_VALUE"""),45070.0)</f>
        <v>45070</v>
      </c>
      <c r="D586" s="10">
        <f>IFERROR(__xludf.DUMMYFUNCTION("""COMPUTED_VALUE"""),45139.0)</f>
        <v>45139</v>
      </c>
      <c r="E586" s="14">
        <f>IFERROR(__xludf.DUMMYFUNCTION("""COMPUTED_VALUE"""),274967.0)</f>
        <v>274967</v>
      </c>
      <c r="F586" s="15" t="str">
        <f>IFERROR(__xludf.DUMMYFUNCTION("""COMPUTED_VALUE"""),"【ラブパルフェ】2度目のカラダは我慢ができない～溺愛同期黒川くんとひとつ屋根の下")</f>
        <v>【ラブパルフェ】2度目のカラダは我慢ができない～溺愛同期黒川くんとひとつ屋根の下</v>
      </c>
      <c r="G586" s="16" t="str">
        <f>IFERROR(__xludf.DUMMYFUNCTION("""COMPUTED_VALUE"""),"1～4")</f>
        <v>1～4</v>
      </c>
      <c r="H586" s="8" t="str">
        <f>IFERROR(__xludf.DUMMYFUNCTION("""COMPUTED_VALUE"""),"桜井 飛鳥")</f>
        <v>桜井 飛鳥</v>
      </c>
      <c r="I586" s="8" t="str">
        <f>IFERROR(__xludf.DUMMYFUNCTION("""COMPUTED_VALUE"""),"TL")</f>
        <v>TL</v>
      </c>
      <c r="J586" s="8"/>
      <c r="K586" s="8"/>
      <c r="L586" s="8" t="str">
        <f>IFERROR(__xludf.DUMMYFUNCTION("""COMPUTED_VALUE"""),"オーバーラップ")</f>
        <v>オーバーラップ</v>
      </c>
      <c r="M586" s="12">
        <f>IFERROR(__xludf.DUMMYFUNCTION("""COMPUTED_VALUE"""),45170.0)</f>
        <v>45170</v>
      </c>
      <c r="N586" s="21">
        <f>IFERROR(__xludf.DUMMYFUNCTION("""COMPUTED_VALUE"""),45199.0)</f>
        <v>45199</v>
      </c>
      <c r="O586" s="11"/>
      <c r="P586" s="9" t="str">
        <f>IFERROR(__xludf.DUMMYFUNCTION("""COMPUTED_VALUE"""),"可")</f>
        <v>可</v>
      </c>
      <c r="Q586" s="8" t="str">
        <f>IFERROR(__xludf.DUMMYFUNCTION("""COMPUTED_VALUE"""),"広告コミットOK(6/12）&lt;BR&gt;&lt;BR&gt;作品名事前検討の際から変更になっています")</f>
        <v>広告コミットOK(6/12）&lt;BR&gt;&lt;BR&gt;作品名事前検討の際から変更になっています</v>
      </c>
      <c r="R586" s="9"/>
      <c r="S586" s="8" t="str">
        <f>IFERROR(__xludf.DUMMYFUNCTION("""COMPUTED_VALUE"""),"20230801_オーバーラップ_2度目のカラダは我慢ができない～溺愛同期黒川くんとひとつ屋根の下")</f>
        <v>20230801_オーバーラップ_2度目のカラダは我慢ができない～溺愛同期黒川くんとひとつ屋根の下</v>
      </c>
      <c r="T586" s="9"/>
      <c r="U586" s="15" t="str">
        <f>IFERROR(__xludf.DUMMYFUNCTION("""COMPUTED_VALUE"""),"(c)桜井飛鳥／オーバーラップ")</f>
        <v>(c)桜井飛鳥／オーバーラップ</v>
      </c>
      <c r="V586" s="22" t="str">
        <f>IFERROR(__xludf.DUMMYFUNCTION("""COMPUTED_VALUE"""),"「もう少し甘え方、覚えねぇとな」
大好きでたまらなかった彼と、多忙ゆえにすれ違い別れてしまい…
けれど数年後、体調不良で倒れた自分を救ってくれたのは元カレ・黒川（くろかわ）くんで――。
さらにマンションが火事になり、住むところに困っていたら同居を提案されて!?
「ウチ、来れば？ 俺に甘えろよ」
数年ぶりの彼の部屋…懐かしさと甘さに心もカラダも癒されて――
本当は今でも好きで好きで…隠していた想いが再熱して、
自覚してしまったら、もうお互いを求める気持ちが止められない…！
恋しさを噛みしめな"&amp;"がら、きゅんきゅんする奥まで彼の熱いオスが入ってきて…っ
何度も何度も欲しくなって、ミダラに体を絡めあって――！
好きすぎて苦しくて、たまらなく気持ちよくて…甘く再熱するオフィスラブ☆
※本書は「ラブパルフェVOL.63-1」に収録されています。重複購入にご注意ください。")</f>
        <v>「もう少し甘え方、覚えねぇとな」
大好きでたまらなかった彼と、多忙ゆえにすれ違い別れてしまい…
けれど数年後、体調不良で倒れた自分を救ってくれたのは元カレ・黒川（くろかわ）くんで――。
さらにマンションが火事になり、住むところに困っていたら同居を提案されて!?
「ウチ、来れば？ 俺に甘えろよ」
数年ぶりの彼の部屋…懐かしさと甘さに心もカラダも癒されて――
本当は今でも好きで好きで…隠していた想いが再熱して、
自覚してしまったら、もうお互いを求める気持ちが止められない…！
恋しさを噛みしめながら、きゅんきゅんする奥まで彼の熱いオスが入ってきて…っ
何度も何度も欲しくなって、ミダラに体を絡めあって――！
好きすぎて苦しくて、たまらなく気持ちよくて…甘く再熱するオフィスラブ☆
※本書は「ラブパルフェVOL.63-1」に収録されています。重複購入にご注意ください。</v>
      </c>
      <c r="W586" s="22"/>
      <c r="X586" s="22" t="str">
        <f>IFERROR(__xludf.DUMMYFUNCTION("""COMPUTED_VALUE"""),"有")</f>
        <v>有</v>
      </c>
      <c r="Y586" s="8" t="str">
        <f>IFERROR(__xludf.DUMMYFUNCTION("""COMPUTED_VALUE"""),"P8まで")</f>
        <v>P8まで</v>
      </c>
      <c r="Z586" s="7"/>
      <c r="AA586" s="7"/>
      <c r="AB586" s="7"/>
    </row>
    <row r="587" ht="15.75" customHeight="1">
      <c r="A587" s="8">
        <f>IFERROR(__xludf.DUMMYFUNCTION("""COMPUTED_VALUE"""),2074.0)</f>
        <v>2074</v>
      </c>
      <c r="B587" s="9" t="str">
        <f>IFERROR(__xludf.DUMMYFUNCTION("""COMPUTED_VALUE"""),"確定")</f>
        <v>確定</v>
      </c>
      <c r="C587" s="10">
        <f>IFERROR(__xludf.DUMMYFUNCTION("""COMPUTED_VALUE"""),45096.0)</f>
        <v>45096</v>
      </c>
      <c r="D587" s="10">
        <f>IFERROR(__xludf.DUMMYFUNCTION("""COMPUTED_VALUE"""),45139.0)</f>
        <v>45139</v>
      </c>
      <c r="E587" s="14">
        <f>IFERROR(__xludf.DUMMYFUNCTION("""COMPUTED_VALUE"""),274968.0)</f>
        <v>274968</v>
      </c>
      <c r="F587" s="15" t="str">
        <f>IFERROR(__xludf.DUMMYFUNCTION("""COMPUTED_VALUE"""),"【ラブパルフェ】お隣彼氏の溺愛は、激しくて濃蜜。")</f>
        <v>【ラブパルフェ】お隣彼氏の溺愛は、激しくて濃蜜。</v>
      </c>
      <c r="G587" s="11" t="str">
        <f>IFERROR(__xludf.DUMMYFUNCTION("""COMPUTED_VALUE"""),"1～2")</f>
        <v>1～2</v>
      </c>
      <c r="H587" s="8" t="str">
        <f>IFERROR(__xludf.DUMMYFUNCTION("""COMPUTED_VALUE"""),"こみち咲久")</f>
        <v>こみち咲久</v>
      </c>
      <c r="I587" s="8" t="str">
        <f>IFERROR(__xludf.DUMMYFUNCTION("""COMPUTED_VALUE"""),"TL")</f>
        <v>TL</v>
      </c>
      <c r="J587" s="8"/>
      <c r="K587" s="8"/>
      <c r="L587" s="8" t="str">
        <f>IFERROR(__xludf.DUMMYFUNCTION("""COMPUTED_VALUE"""),"オーバーラップ")</f>
        <v>オーバーラップ</v>
      </c>
      <c r="M587" s="12">
        <f>IFERROR(__xludf.DUMMYFUNCTION("""COMPUTED_VALUE"""),45170.0)</f>
        <v>45170</v>
      </c>
      <c r="N587" s="21">
        <f>IFERROR(__xludf.DUMMYFUNCTION("""COMPUTED_VALUE"""),45230.0)</f>
        <v>45230</v>
      </c>
      <c r="O587" s="11"/>
      <c r="P587" s="9" t="str">
        <f>IFERROR(__xludf.DUMMYFUNCTION("""COMPUTED_VALUE"""),"可")</f>
        <v>可</v>
      </c>
      <c r="Q587" s="8" t="str">
        <f>IFERROR(__xludf.DUMMYFUNCTION("""COMPUTED_VALUE"""),"広告コミットOK(6/26)")</f>
        <v>広告コミットOK(6/26)</v>
      </c>
      <c r="R587" s="9"/>
      <c r="S587" s="8" t="str">
        <f>IFERROR(__xludf.DUMMYFUNCTION("""COMPUTED_VALUE"""),"20230801_オーバーラップ_お隣彼氏の溺愛は、激しくて濃蜜。")</f>
        <v>20230801_オーバーラップ_お隣彼氏の溺愛は、激しくて濃蜜。</v>
      </c>
      <c r="T587" s="9"/>
      <c r="U587" s="15" t="str">
        <f>IFERROR(__xludf.DUMMYFUNCTION("""COMPUTED_VALUE"""),"(c)こみち咲久／オーバーラップ")</f>
        <v>(c)こみち咲久／オーバーラップ</v>
      </c>
      <c r="V587" s="8" t="str">
        <f>IFERROR(__xludf.DUMMYFUNCTION("""COMPUTED_VALUE"""),"同棲までしていた元カレにフラれ、仕事も忙しく心身ともに疲れていた栞里（しおり）。
心機一転、引っ越した先の隣人は、癒し系のイケメンで…!!
お酒の趣味が合い、意気投合している内に、つい傷心の話に――そんな栞里を彼は優しく慰めてくれて。
「そんなに自分に厳しくしなくていいと思うよ」
久しぶりの優しい言葉と、甘いキスに心がほぐれて…
「栞里さん、かわいい」「ゆっくりしようか」「大丈夫？」
体の奥からあたためられるような、溺愛すぎるHに、とろとろにトロけていって――
「今は全部忘れて、俺のことだけ"&amp;"見てて」
じっくり責められるヤラしい愛撫に感じすぎて…
奥まで熱いオスで突かれて、気持ちよくって、何度もイク…！！
イケメンで癒し系なお隣さんが、溺愛重めの彼氏くんに♪
※本書は「ラブパルフェVOL.56-1」に収録されています。重複購入にご注意ください。")</f>
        <v>同棲までしていた元カレにフラれ、仕事も忙しく心身ともに疲れていた栞里（しおり）。
心機一転、引っ越した先の隣人は、癒し系のイケメンで…!!
お酒の趣味が合い、意気投合している内に、つい傷心の話に――そんな栞里を彼は優しく慰めてくれて。
「そんなに自分に厳しくしなくていいと思うよ」
久しぶりの優しい言葉と、甘いキスに心がほぐれて…
「栞里さん、かわいい」「ゆっくりしようか」「大丈夫？」
体の奥からあたためられるような、溺愛すぎるHに、とろとろにトロけていって――
「今は全部忘れて、俺のことだけ見てて」
じっくり責められるヤラしい愛撫に感じすぎて…
奥まで熱いオスで突かれて、気持ちよくって、何度もイク…！！
イケメンで癒し系なお隣さんが、溺愛重めの彼氏くんに♪
※本書は「ラブパルフェVOL.56-1」に収録されています。重複購入にご注意ください。</v>
      </c>
      <c r="W587" s="8"/>
      <c r="X587" s="14" t="str">
        <f>IFERROR(__xludf.DUMMYFUNCTION("""COMPUTED_VALUE"""),"有")</f>
        <v>有</v>
      </c>
      <c r="Y587" s="8" t="str">
        <f>IFERROR(__xludf.DUMMYFUNCTION("""COMPUTED_VALUE"""),"P7まで
")</f>
        <v>P7まで
</v>
      </c>
      <c r="Z587" s="7"/>
      <c r="AA587" s="7"/>
      <c r="AB587" s="7"/>
    </row>
    <row r="588" ht="15.75" customHeight="1">
      <c r="A588" s="8">
        <f>IFERROR(__xludf.DUMMYFUNCTION("""COMPUTED_VALUE"""),2126.0)</f>
        <v>2126</v>
      </c>
      <c r="B588" s="9" t="str">
        <f>IFERROR(__xludf.DUMMYFUNCTION("""COMPUTED_VALUE"""),"確定")</f>
        <v>確定</v>
      </c>
      <c r="C588" s="10">
        <f>IFERROR(__xludf.DUMMYFUNCTION("""COMPUTED_VALUE"""),45107.0)</f>
        <v>45107</v>
      </c>
      <c r="D588" s="10">
        <f>IFERROR(__xludf.DUMMYFUNCTION("""COMPUTED_VALUE"""),45135.0)</f>
        <v>45135</v>
      </c>
      <c r="E588" s="8">
        <f>IFERROR(__xludf.DUMMYFUNCTION("""COMPUTED_VALUE"""),274747.0)</f>
        <v>274747</v>
      </c>
      <c r="F588" s="9" t="str">
        <f>IFERROR(__xludf.DUMMYFUNCTION("""COMPUTED_VALUE"""),"三食昼寝付き生活を約束してください、公爵様 【電子単行本版】")</f>
        <v>三食昼寝付き生活を約束してください、公爵様 【電子単行本版】</v>
      </c>
      <c r="G588" s="11">
        <f>IFERROR(__xludf.DUMMYFUNCTION("""COMPUTED_VALUE"""),1.0)</f>
        <v>1</v>
      </c>
      <c r="H588" s="8" t="str">
        <f>IFERROR(__xludf.DUMMYFUNCTION("""COMPUTED_VALUE"""),"チカフジユキ")</f>
        <v>チカフジユキ</v>
      </c>
      <c r="I588" s="8" t="str">
        <f>IFERROR(__xludf.DUMMYFUNCTION("""COMPUTED_VALUE"""),"女性")</f>
        <v>女性</v>
      </c>
      <c r="J588" s="8"/>
      <c r="K588" s="8"/>
      <c r="L588" s="8" t="str">
        <f>IFERROR(__xludf.DUMMYFUNCTION("""COMPUTED_VALUE"""),"Tugikuru Corp.")</f>
        <v>Tugikuru Corp.</v>
      </c>
      <c r="M588" s="12">
        <f>IFERROR(__xludf.DUMMYFUNCTION("""COMPUTED_VALUE"""),45162.0)</f>
        <v>45162</v>
      </c>
      <c r="N588" s="12">
        <f>IFERROR(__xludf.DUMMYFUNCTION("""COMPUTED_VALUE"""),45222.0)</f>
        <v>45222</v>
      </c>
      <c r="O588" s="11"/>
      <c r="P588" s="9" t="str">
        <f>IFERROR(__xludf.DUMMYFUNCTION("""COMPUTED_VALUE"""),"否")</f>
        <v>否</v>
      </c>
      <c r="Q588" s="8" t="str">
        <f>IFERROR(__xludf.DUMMYFUNCTION("""COMPUTED_VALUE"""),"広告コミットOK(7/4)")</f>
        <v>広告コミットOK(7/4)</v>
      </c>
      <c r="R588" s="9"/>
      <c r="S588" s="8" t="str">
        <f>IFERROR(__xludf.DUMMYFUNCTION("""COMPUTED_VALUE"""),"20230727_Tugikuru Corp._三食昼寝付き生活を約束してください、公爵様 【電子単行本版】")</f>
        <v>20230727_Tugikuru Corp._三食昼寝付き生活を約束してください、公爵様 【電子単行本版】</v>
      </c>
      <c r="T588" s="9" t="str">
        <f>IFERROR(__xludf.DUMMYFUNCTION("""COMPUTED_VALUE"""),"格納済み")</f>
        <v>格納済み</v>
      </c>
      <c r="U588" s="9" t="str">
        <f>IFERROR(__xludf.DUMMYFUNCTION("""COMPUTED_VALUE"""),"©チカフジユキ／Tugikuru Corp.")</f>
        <v>©チカフジユキ／Tugikuru Corp.</v>
      </c>
      <c r="V588" s="8" t="str">
        <f>IFERROR(__xludf.DUMMYFUNCTION("""COMPUTED_VALUE"""),"―――契約はしっかり履行していただきますよ、公爵様！伯爵家の娘リーシャは後妻の母娘に虐げられる毎日……。そんなリーシャの元へある日突然、結婚の話が届く。そのお相手はなんと、名門貴族かつ冷淡な堅物イケメンとして有名なリンドベルド公爵。周囲からの結婚の打診をかわすため公爵は、互いの私生活に口を出さない、形だけの妻となる令嬢を探していた。……偶然にも、その条件に当てはまったリーシャは、たった1つだけ、結婚の条件を提示する。―――その条件は〈三食昼寝付きの最低限の生活〉！この条件を満たしてくれるのなら結婚します！"&amp;"と申し出を受けるリーシャであったがリンドベルド侯爵邸では予期せぬ出来事が―――！話題の人気ノベルが待望のコミカライズ!!　三食昼寝付き生活を目指す公爵夫人の奮闘記が今ここにはじまる！")</f>
        <v>―――契約はしっかり履行していただきますよ、公爵様！伯爵家の娘リーシャは後妻の母娘に虐げられる毎日……。そんなリーシャの元へある日突然、結婚の話が届く。そのお相手はなんと、名門貴族かつ冷淡な堅物イケメンとして有名なリンドベルド公爵。周囲からの結婚の打診をかわすため公爵は、互いの私生活に口を出さない、形だけの妻となる令嬢を探していた。……偶然にも、その条件に当てはまったリーシャは、たった1つだけ、結婚の条件を提示する。―――その条件は〈三食昼寝付きの最低限の生活〉！この条件を満たしてくれるのなら結婚します！と申し出を受けるリーシャであったがリンドベルド侯爵邸では予期せぬ出来事が―――！話題の人気ノベルが待望のコミカライズ!!　三食昼寝付き生活を目指す公爵夫人の奮闘記が今ここにはじまる！</v>
      </c>
      <c r="W588" s="8"/>
      <c r="X588" s="8" t="str">
        <f>IFERROR(__xludf.DUMMYFUNCTION("""COMPUTED_VALUE"""),"有")</f>
        <v>有</v>
      </c>
      <c r="Y588" s="8" t="str">
        <f>IFERROR(__xludf.DUMMYFUNCTION("""COMPUTED_VALUE"""),"10/23まで立ち読み増量P108まで")</f>
        <v>10/23まで立ち読み増量P108まで</v>
      </c>
      <c r="Z588" s="7"/>
      <c r="AA588" s="7"/>
      <c r="AB588" s="7"/>
    </row>
    <row r="589" ht="15.75" customHeight="1">
      <c r="A589" s="8">
        <f>IFERROR(__xludf.DUMMYFUNCTION("""COMPUTED_VALUE"""),2138.0)</f>
        <v>2138</v>
      </c>
      <c r="B589" s="9" t="str">
        <f>IFERROR(__xludf.DUMMYFUNCTION("""COMPUTED_VALUE"""),"確定")</f>
        <v>確定</v>
      </c>
      <c r="C589" s="10">
        <f>IFERROR(__xludf.DUMMYFUNCTION("""COMPUTED_VALUE"""),45111.0)</f>
        <v>45111</v>
      </c>
      <c r="D589" s="10">
        <f>IFERROR(__xludf.DUMMYFUNCTION("""COMPUTED_VALUE"""),45134.0)</f>
        <v>45134</v>
      </c>
      <c r="E589" s="14">
        <f>IFERROR(__xludf.DUMMYFUNCTION("""COMPUTED_VALUE"""),274261.0)</f>
        <v>274261</v>
      </c>
      <c r="F589" s="15" t="str">
        <f>IFERROR(__xludf.DUMMYFUNCTION("""COMPUTED_VALUE"""),"耳元で甘くささやいて～声フェチの私がイケボ上司からまさかの溺愛～【単話】")</f>
        <v>耳元で甘くささやいて～声フェチの私がイケボ上司からまさかの溺愛～【単話】</v>
      </c>
      <c r="G589" s="16" t="str">
        <f>IFERROR(__xludf.DUMMYFUNCTION("""COMPUTED_VALUE"""),"1～3")</f>
        <v>1～3</v>
      </c>
      <c r="H589" s="8" t="str">
        <f>IFERROR(__xludf.DUMMYFUNCTION("""COMPUTED_VALUE"""),"梓かや")</f>
        <v>梓かや</v>
      </c>
      <c r="I589" s="14" t="str">
        <f>IFERROR(__xludf.DUMMYFUNCTION("""COMPUTED_VALUE"""),"女性")</f>
        <v>女性</v>
      </c>
      <c r="J589" s="8"/>
      <c r="K589" s="8"/>
      <c r="L589" s="8" t="str">
        <f>IFERROR(__xludf.DUMMYFUNCTION("""COMPUTED_VALUE"""),"祥伝社")</f>
        <v>祥伝社</v>
      </c>
      <c r="M589" s="12">
        <f>IFERROR(__xludf.DUMMYFUNCTION("""COMPUTED_VALUE"""),45183.0)</f>
        <v>45183</v>
      </c>
      <c r="N589" s="21">
        <f>IFERROR(__xludf.DUMMYFUNCTION("""COMPUTED_VALUE"""),45218.0)</f>
        <v>45218</v>
      </c>
      <c r="O589" s="11"/>
      <c r="P589" s="9" t="str">
        <f>IFERROR(__xludf.DUMMYFUNCTION("""COMPUTED_VALUE"""),"可")</f>
        <v>可</v>
      </c>
      <c r="Q589" s="8" t="str">
        <f>IFERROR(__xludf.DUMMYFUNCTION("""COMPUTED_VALUE"""),"広告コミットOK(7/11)")</f>
        <v>広告コミットOK(7/11)</v>
      </c>
      <c r="R589" s="9"/>
      <c r="S589" s="8" t="str">
        <f>IFERROR(__xludf.DUMMYFUNCTION("""COMPUTED_VALUE"""),"20230727_祥伝社_耳元で甘くささやいて")</f>
        <v>20230727_祥伝社_耳元で甘くささやいて</v>
      </c>
      <c r="T589" s="9"/>
      <c r="U589" s="15" t="str">
        <f>IFERROR(__xludf.DUMMYFUNCTION("""COMPUTED_VALUE"""),"コピーライト：（C）梓かや/祥伝社")</f>
        <v>コピーライト：（C）梓かや/祥伝社</v>
      </c>
      <c r="V589" s="8" t="str">
        <f>IFERROR(__xludf.DUMMYFUNCTION("""COMPUTED_VALUE"""),"重度の声フェチである桜葉奏（29歳）はイケボの持ち主・杉田大樹と交際中。実は杉田は既婚者であることを奏に黙っており、不覚にも不倫関係になってしまっていた。そんなゲスとは即別れたが、心の傷により不眠症に陥ってしまい休職することに。休職中に出会った配信主の声に癒されて徐々に回復していき職場にも復帰できた。復帰したその日、新しい上司・興梠佳正が就任する。待って！！新しい上司と配信主の声がそっくりで！？")</f>
        <v>重度の声フェチである桜葉奏（29歳）はイケボの持ち主・杉田大樹と交際中。実は杉田は既婚者であることを奏に黙っており、不覚にも不倫関係になってしまっていた。そんなゲスとは即別れたが、心の傷により不眠症に陥ってしまい休職することに。休職中に出会った配信主の声に癒されて徐々に回復していき職場にも復帰できた。復帰したその日、新しい上司・興梠佳正が就任する。待って！！新しい上司と配信主の声がそっくりで！？</v>
      </c>
      <c r="W589" s="8"/>
      <c r="X589" s="14" t="str">
        <f>IFERROR(__xludf.DUMMYFUNCTION("""COMPUTED_VALUE"""),"有")</f>
        <v>有</v>
      </c>
      <c r="Y589" s="8" t="str">
        <f>IFERROR(__xludf.DUMMYFUNCTION("""COMPUTED_VALUE"""),"10/19まで1巻無料")</f>
        <v>10/19まで1巻無料</v>
      </c>
      <c r="Z589" s="7"/>
      <c r="AA589" s="7"/>
      <c r="AB589" s="7"/>
    </row>
    <row r="590" ht="123.0" customHeight="1">
      <c r="A590" s="8">
        <f>IFERROR(__xludf.DUMMYFUNCTION("""COMPUTED_VALUE"""),2175.0)</f>
        <v>2175</v>
      </c>
      <c r="B590" s="9" t="str">
        <f>IFERROR(__xludf.DUMMYFUNCTION("""COMPUTED_VALUE"""),"確定")</f>
        <v>確定</v>
      </c>
      <c r="C590" s="10">
        <f>IFERROR(__xludf.DUMMYFUNCTION("""COMPUTED_VALUE"""),45121.0)</f>
        <v>45121</v>
      </c>
      <c r="D590" s="10">
        <f>IFERROR(__xludf.DUMMYFUNCTION("""COMPUTED_VALUE"""),45133.0)</f>
        <v>45133</v>
      </c>
      <c r="E590" s="8">
        <f>IFERROR(__xludf.DUMMYFUNCTION("""COMPUTED_VALUE"""),272924.0)</f>
        <v>272924</v>
      </c>
      <c r="F590" s="9" t="str">
        <f>IFERROR(__xludf.DUMMYFUNCTION("""COMPUTED_VALUE"""),"奉公物語～僕のお嬢様～【タテヨミ】")</f>
        <v>奉公物語～僕のお嬢様～【タテヨミ】</v>
      </c>
      <c r="G590" s="16" t="str">
        <f>IFERROR(__xludf.DUMMYFUNCTION("""COMPUTED_VALUE"""),"1～20")</f>
        <v>1～20</v>
      </c>
      <c r="H590" s="8" t="str">
        <f>IFERROR(__xludf.DUMMYFUNCTION("""COMPUTED_VALUE"""),"campeace")</f>
        <v>campeace</v>
      </c>
      <c r="I590" s="8" t="str">
        <f>IFERROR(__xludf.DUMMYFUNCTION("""COMPUTED_VALUE"""),"青年")</f>
        <v>青年</v>
      </c>
      <c r="J590" s="8"/>
      <c r="K590" s="8"/>
      <c r="L590" s="8" t="str">
        <f>IFERROR(__xludf.DUMMYFUNCTION("""COMPUTED_VALUE"""),"レジンエンターテインメント")</f>
        <v>レジンエンターテインメント</v>
      </c>
      <c r="M590" s="12">
        <f>IFERROR(__xludf.DUMMYFUNCTION("""COMPUTED_VALUE"""),45149.0)</f>
        <v>45149</v>
      </c>
      <c r="N590" s="12">
        <f>IFERROR(__xludf.DUMMYFUNCTION("""COMPUTED_VALUE"""),45180.0)</f>
        <v>45180</v>
      </c>
      <c r="O590" s="11"/>
      <c r="P590" s="9" t="str">
        <f>IFERROR(__xludf.DUMMYFUNCTION("""COMPUTED_VALUE"""),"可")</f>
        <v>可</v>
      </c>
      <c r="Q590" s="8"/>
      <c r="R590" s="9"/>
      <c r="S590" s="8" t="str">
        <f>IFERROR(__xludf.DUMMYFUNCTION("""COMPUTED_VALUE"""),"20230714_レジンエンターテインメント_奉公物語〜僕のお嬢様〜")</f>
        <v>20230714_レジンエンターテインメント_奉公物語〜僕のお嬢様〜</v>
      </c>
      <c r="T590" s="9" t="str">
        <f>IFERROR(__xludf.DUMMYFUNCTION("""COMPUTED_VALUE"""),"格納済み(7/14)")</f>
        <v>格納済み(7/14)</v>
      </c>
      <c r="U590" s="9" t="str">
        <f>IFERROR(__xludf.DUMMYFUNCTION("""COMPUTED_VALUE"""),"© 原作:campeace / 作画:J&amp;B / レジンコミックス")</f>
        <v>© 原作:campeace / 作画:J&amp;B / レジンコミックス</v>
      </c>
      <c r="V590" s="8" t="str">
        <f>IFERROR(__xludf.DUMMYFUNCTION("""COMPUTED_VALUE"""),"#韓国#時代劇#幼馴染#多角関係 　 13歳にして母と離れ離れになり、クァク・ソンジン将軍宅の奴婢として生きることになったトルセ。まだ幼い子供だったゆえに、お嬢様の下男になったものの、彼女の前ではいつも顔を赤らめるばかりだった。やがて時間が経ち、いつの間にかたくましい青年へと成長したトルセ。そして、年頃の美しい娘に育ったお嬢様と、同じ奴婢である幼馴染の可愛いヨルム。妙な緊張感が漂う三人の関係は、果たしてどんな結末を迎えるのだろうか!?
")</f>
        <v>#韓国#時代劇#幼馴染#多角関係 　 13歳にして母と離れ離れになり、クァク・ソンジン将軍宅の奴婢として生きることになったトルセ。まだ幼い子供だったゆえに、お嬢様の下男になったものの、彼女の前ではいつも顔を赤らめるばかりだった。やがて時間が経ち、いつの間にかたくましい青年へと成長したトルセ。そして、年頃の美しい娘に育ったお嬢様と、同じ奴婢である幼馴染の可愛いヨルム。妙な緊張感が漂う三人の関係は、果たしてどんな結末を迎えるのだろうか!?
</v>
      </c>
      <c r="W590" s="8"/>
      <c r="X590" s="8" t="str">
        <f>IFERROR(__xludf.DUMMYFUNCTION("""COMPUTED_VALUE"""),"有")</f>
        <v>有</v>
      </c>
      <c r="Y590" s="8" t="str">
        <f>IFERROR(__xludf.DUMMYFUNCTION("""COMPUTED_VALUE"""),"8/24まで1~3巻無料")</f>
        <v>8/24まで1~3巻無料</v>
      </c>
      <c r="Z590" s="7"/>
      <c r="AA590" s="7"/>
      <c r="AB590" s="7"/>
    </row>
    <row r="591" ht="15.75" customHeight="1">
      <c r="A591" s="8">
        <f>IFERROR(__xludf.DUMMYFUNCTION("""COMPUTED_VALUE"""),2212.0)</f>
        <v>2212</v>
      </c>
      <c r="B591" s="9" t="str">
        <f>IFERROR(__xludf.DUMMYFUNCTION("""COMPUTED_VALUE"""),"確定")</f>
        <v>確定</v>
      </c>
      <c r="C591" s="10">
        <f>IFERROR(__xludf.DUMMYFUNCTION("""COMPUTED_VALUE"""),45128.0)</f>
        <v>45128</v>
      </c>
      <c r="D591" s="10">
        <f>IFERROR(__xludf.DUMMYFUNCTION("""COMPUTED_VALUE"""),45138.0)</f>
        <v>45138</v>
      </c>
      <c r="E591" s="8">
        <f>IFERROR(__xludf.DUMMYFUNCTION("""COMPUTED_VALUE"""),273242.0)</f>
        <v>273242</v>
      </c>
      <c r="F591" s="9" t="str">
        <f>IFERROR(__xludf.DUMMYFUNCTION("""COMPUTED_VALUE"""),"悲劇の元凶となる最強外道ラスボス女王は民の為に尽くします。 To The Savior 【連載版】")</f>
        <v>悲劇の元凶となる最強外道ラスボス女王は民の為に尽くします。 To The Savior 【連載版】</v>
      </c>
      <c r="G591" s="11" t="str">
        <f>IFERROR(__xludf.DUMMYFUNCTION("""COMPUTED_VALUE"""),"1～2")</f>
        <v>1～2</v>
      </c>
      <c r="H591" s="8" t="str">
        <f>IFERROR(__xludf.DUMMYFUNCTION("""COMPUTED_VALUE"""),"かわのあきこ こがわみさき 天壱 鈴ノ助")</f>
        <v>かわのあきこ こがわみさき 天壱 鈴ノ助</v>
      </c>
      <c r="I591" s="8" t="str">
        <f>IFERROR(__xludf.DUMMYFUNCTION("""COMPUTED_VALUE"""),"少女")</f>
        <v>少女</v>
      </c>
      <c r="J591" s="8"/>
      <c r="K591" s="8"/>
      <c r="L591" s="8" t="str">
        <f>IFERROR(__xludf.DUMMYFUNCTION("""COMPUTED_VALUE"""),"一迅社")</f>
        <v>一迅社</v>
      </c>
      <c r="M591" s="12">
        <f>IFERROR(__xludf.DUMMYFUNCTION("""COMPUTED_VALUE"""),45147.0)</f>
        <v>45147</v>
      </c>
      <c r="N591" s="12">
        <f>IFERROR(__xludf.DUMMYFUNCTION("""COMPUTED_VALUE"""),45177.0)</f>
        <v>45177</v>
      </c>
      <c r="O591" s="11"/>
      <c r="P591" s="9" t="str">
        <f>IFERROR(__xludf.DUMMYFUNCTION("""COMPUTED_VALUE"""),"否")</f>
        <v>否</v>
      </c>
      <c r="Q591" s="8" t="str">
        <f>IFERROR(__xludf.DUMMYFUNCTION("""COMPUTED_VALUE"""),"ゼロサム新作、素材後送&lt;BR&gt;0000082465_jp_0107⇒P3～49&lt;BR&gt;zerosum2309⇒P215～247")</f>
        <v>ゼロサム新作、素材後送&lt;BR&gt;0000082465_jp_0107⇒P3～49&lt;BR&gt;zerosum2309⇒P215～247</v>
      </c>
      <c r="R591" s="9"/>
      <c r="S591" s="8" t="str">
        <f>IFERROR(__xludf.DUMMYFUNCTION("""COMPUTED_VALUE"""),"20230727_一迅社_悲劇の元凶となる最強外道ラスボス女王")</f>
        <v>20230727_一迅社_悲劇の元凶となる最強外道ラスボス女王</v>
      </c>
      <c r="T591" s="9" t="str">
        <f>IFERROR(__xludf.DUMMYFUNCTION("""COMPUTED_VALUE"""),"格納済み")</f>
        <v>格納済み</v>
      </c>
      <c r="U591" s="9" t="str">
        <f>IFERROR(__xludf.DUMMYFUNCTION("""COMPUTED_VALUE"""),"(c)かわのあきこ・こがわみさき・天壱・鈴ノ助／一迅社")</f>
        <v>(c)かわのあきこ・こがわみさき・天壱・鈴ノ助／一迅社</v>
      </c>
      <c r="V591" s="8" t="str">
        <f>IFERROR(__xludf.DUMMYFUNCTION("""COMPUTED_VALUE"""),"8歳で前世の記憶を思い出したプライド・ロイヤル・アイビーは、ここが乙女ゲーム「君と一筋の光を」の世界であり、自らは未来のラスボス女王であることに気づく。そして彼女は決意する。女王制の国の第一王女としての権威と、ラスボスのチート能力を駆使して、攻略者の悲劇を防ぎ、この国の民の為に尽くすことを――。ジルベールとマリアンヌの子供の名づけ親を任せられたプライドとアーサーは、ステイル・ティアラと共に二人の屋敷へと向かっていた。そしてある罪人との再会が、プライド達の未来を大きく動かしていき……？　アイリスNEOの大人"&amp;"気作品を公式コミカライズ、待望の新章！　【本商品は単話コンテンツとなります。単行本版と収録内容が異なる場合がございます。漫画内の告知等は過去のものとなりますので、ご注意ください。】")</f>
        <v>8歳で前世の記憶を思い出したプライド・ロイヤル・アイビーは、ここが乙女ゲーム「君と一筋の光を」の世界であり、自らは未来のラスボス女王であることに気づく。そして彼女は決意する。女王制の国の第一王女としての権威と、ラスボスのチート能力を駆使して、攻略者の悲劇を防ぎ、この国の民の為に尽くすことを――。ジルベールとマリアンヌの子供の名づけ親を任せられたプライドとアーサーは、ステイル・ティアラと共に二人の屋敷へと向かっていた。そしてある罪人との再会が、プライド達の未来を大きく動かしていき……？　アイリスNEOの大人気作品を公式コミカライズ、待望の新章！　【本商品は単話コンテンツとなります。単行本版と収録内容が異なる場合がございます。漫画内の告知等は過去のものとなりますので、ご注意ください。】</v>
      </c>
      <c r="W591" s="8"/>
      <c r="X591" s="8" t="str">
        <f>IFERROR(__xludf.DUMMYFUNCTION("""COMPUTED_VALUE"""),"有")</f>
        <v>有</v>
      </c>
      <c r="Y591" s="8" t="str">
        <f>IFERROR(__xludf.DUMMYFUNCTION("""COMPUTED_VALUE"""),"9/8まで1巻無料")</f>
        <v>9/8まで1巻無料</v>
      </c>
      <c r="Z591" s="7"/>
      <c r="AA591" s="7"/>
      <c r="AB591" s="7"/>
    </row>
    <row r="592" ht="15.75" customHeight="1">
      <c r="A592" s="8">
        <f>IFERROR(__xludf.DUMMYFUNCTION("""COMPUTED_VALUE"""),2229.0)</f>
        <v>2229</v>
      </c>
      <c r="B592" s="9" t="str">
        <f>IFERROR(__xludf.DUMMYFUNCTION("""COMPUTED_VALUE"""),"確定")</f>
        <v>確定</v>
      </c>
      <c r="C592" s="10">
        <f>IFERROR(__xludf.DUMMYFUNCTION("""COMPUTED_VALUE"""),45131.0)</f>
        <v>45131</v>
      </c>
      <c r="D592" s="10">
        <f>IFERROR(__xludf.DUMMYFUNCTION("""COMPUTED_VALUE"""),45138.0)</f>
        <v>45138</v>
      </c>
      <c r="E592" s="8">
        <f>IFERROR(__xludf.DUMMYFUNCTION("""COMPUTED_VALUE"""),273711.0)</f>
        <v>273711</v>
      </c>
      <c r="F592" s="9" t="str">
        <f>IFERROR(__xludf.DUMMYFUNCTION("""COMPUTED_VALUE"""),"可愛いものを飲み干したい【電子限定おまけ付き】")</f>
        <v>可愛いものを飲み干したい【電子限定おまけ付き】</v>
      </c>
      <c r="G592" s="11">
        <f>IFERROR(__xludf.DUMMYFUNCTION("""COMPUTED_VALUE"""),1.0)</f>
        <v>1</v>
      </c>
      <c r="H592" s="8" t="str">
        <f>IFERROR(__xludf.DUMMYFUNCTION("""COMPUTED_VALUE"""),"ひじき")</f>
        <v>ひじき</v>
      </c>
      <c r="I592" s="14" t="str">
        <f>IFERROR(__xludf.DUMMYFUNCTION("""COMPUTED_VALUE"""),"BL")</f>
        <v>BL</v>
      </c>
      <c r="J592" s="8"/>
      <c r="K592" s="8"/>
      <c r="L592" s="8" t="str">
        <f>IFERROR(__xludf.DUMMYFUNCTION("""COMPUTED_VALUE"""),"芳文社")</f>
        <v>芳文社</v>
      </c>
      <c r="M592" s="12">
        <f>IFERROR(__xludf.DUMMYFUNCTION("""COMPUTED_VALUE"""),45148.0)</f>
        <v>45148</v>
      </c>
      <c r="N592" s="12">
        <f>IFERROR(__xludf.DUMMYFUNCTION("""COMPUTED_VALUE"""),45173.0)</f>
        <v>45173</v>
      </c>
      <c r="O592" s="11"/>
      <c r="P592" s="9" t="str">
        <f>IFERROR(__xludf.DUMMYFUNCTION("""COMPUTED_VALUE"""),"可")</f>
        <v>可</v>
      </c>
      <c r="Q592" s="8"/>
      <c r="R592" s="24">
        <f>IFERROR(__xludf.DUMMYFUNCTION("""COMPUTED_VALUE"""),45146.0)</f>
        <v>45146</v>
      </c>
      <c r="S592" s="8" t="str">
        <f>IFERROR(__xludf.DUMMYFUNCTION("""COMPUTED_VALUE"""),"20230727_芳文社_可愛いものを飲み干したい")</f>
        <v>20230727_芳文社_可愛いものを飲み干したい</v>
      </c>
      <c r="T592" s="9" t="str">
        <f>IFERROR(__xludf.DUMMYFUNCTION("""COMPUTED_VALUE"""),"格納済み")</f>
        <v>格納済み</v>
      </c>
      <c r="U592" s="9" t="str">
        <f>IFERROR(__xludf.DUMMYFUNCTION("""COMPUTED_VALUE"""),"（c）ひじき/芳文社")</f>
        <v>（c）ひじき/芳文社</v>
      </c>
      <c r="V592" s="8" t="str">
        <f>IFERROR(__xludf.DUMMYFUNCTION("""COMPUTED_VALUE"""),"クールと評判の会社員の柏木琴春には秘密があった。それは大の可愛いもの好きであること。姉妹の影響で子供の頃は服装から食べ物に至るまで可愛いもの尽くしだったが、妹の同級生から「変なの！」と否定されてトラウマになってしまった。ある日、綺麗な顔立ちのバーテンダー・宮本久望と出会う。彼は琴春の趣味を馬鹿にせず好きなものを隠す必要はないと励ましてくれた。久望と過ごす時間は心から楽しいと感じるのだった。一方、久望は幼い頃に彼を傷つけたのが自分であることを謝れないまま琴春を今でも可愛いと思い続けていて…。罪悪感持ちバーテ"&amp;"ンダー×可愛いもの好きリーマン。初恋×トラウマ×再会、キュンキュンBL描き下ろし10Ｐ。")</f>
        <v>クールと評判の会社員の柏木琴春には秘密があった。それは大の可愛いもの好きであること。姉妹の影響で子供の頃は服装から食べ物に至るまで可愛いもの尽くしだったが、妹の同級生から「変なの！」と否定されてトラウマになってしまった。ある日、綺麗な顔立ちのバーテンダー・宮本久望と出会う。彼は琴春の趣味を馬鹿にせず好きなものを隠す必要はないと励ましてくれた。久望と過ごす時間は心から楽しいと感じるのだった。一方、久望は幼い頃に彼を傷つけたのが自分であることを謝れないまま琴春を今でも可愛いと思い続けていて…。罪悪感持ちバーテンダー×可愛いもの好きリーマン。初恋×トラウマ×再会、キュンキュンBL描き下ろし10Ｐ。</v>
      </c>
      <c r="W592" s="8"/>
      <c r="X592" s="8" t="str">
        <f>IFERROR(__xludf.DUMMYFUNCTION("""COMPUTED_VALUE"""),"有")</f>
        <v>有</v>
      </c>
      <c r="Y592" s="8" t="str">
        <f>IFERROR(__xludf.DUMMYFUNCTION("""COMPUTED_VALUE"""),"9/4まで立ち読み増量P36まで")</f>
        <v>9/4まで立ち読み増量P36まで</v>
      </c>
      <c r="Z592" s="7"/>
      <c r="AA592" s="7"/>
      <c r="AB592" s="7"/>
    </row>
    <row r="593" ht="15.75" customHeight="1">
      <c r="A593" s="8">
        <f>IFERROR(__xludf.DUMMYFUNCTION("""COMPUTED_VALUE"""),2234.0)</f>
        <v>2234</v>
      </c>
      <c r="B593" s="9" t="str">
        <f>IFERROR(__xludf.DUMMYFUNCTION("""COMPUTED_VALUE"""),"確定")</f>
        <v>確定</v>
      </c>
      <c r="C593" s="10">
        <f>IFERROR(__xludf.DUMMYFUNCTION("""COMPUTED_VALUE"""),45134.0)</f>
        <v>45134</v>
      </c>
      <c r="D593" s="10">
        <f>IFERROR(__xludf.DUMMYFUNCTION("""COMPUTED_VALUE"""),45134.0)</f>
        <v>45134</v>
      </c>
      <c r="E593" s="14">
        <f>IFERROR(__xludf.DUMMYFUNCTION("""COMPUTED_VALUE"""),275683.0)</f>
        <v>275683</v>
      </c>
      <c r="F593" s="9" t="str">
        <f>IFERROR(__xludf.DUMMYFUNCTION("""COMPUTED_VALUE"""),"イノセント・ブルー[ばら売り]")</f>
        <v>イノセント・ブルー[ばら売り]</v>
      </c>
      <c r="G593" s="11" t="str">
        <f>IFERROR(__xludf.DUMMYFUNCTION("""COMPUTED_VALUE"""),"1～4")</f>
        <v>1～4</v>
      </c>
      <c r="H593" s="8" t="str">
        <f>IFERROR(__xludf.DUMMYFUNCTION("""COMPUTED_VALUE"""),"横澤しっか")</f>
        <v>横澤しっか</v>
      </c>
      <c r="I593" s="8" t="str">
        <f>IFERROR(__xludf.DUMMYFUNCTION("""COMPUTED_VALUE"""),"BL")</f>
        <v>BL</v>
      </c>
      <c r="J593" s="8"/>
      <c r="K593" s="8"/>
      <c r="L593" s="8" t="str">
        <f>IFERROR(__xludf.DUMMYFUNCTION("""COMPUTED_VALUE"""),"白泉社")</f>
        <v>白泉社</v>
      </c>
      <c r="M593" s="12">
        <f>IFERROR(__xludf.DUMMYFUNCTION("""COMPUTED_VALUE"""),45178.0)</f>
        <v>45178</v>
      </c>
      <c r="N593" s="21">
        <f>IFERROR(__xludf.DUMMYFUNCTION("""COMPUTED_VALUE"""),45239.0)</f>
        <v>45239</v>
      </c>
      <c r="O593" s="11"/>
      <c r="P593" s="9" t="str">
        <f>IFERROR(__xludf.DUMMYFUNCTION("""COMPUTED_VALUE"""),"可")</f>
        <v>可</v>
      </c>
      <c r="Q593" s="8" t="str">
        <f>IFERROR(__xludf.DUMMYFUNCTION("""COMPUTED_VALUE"""),"河上さんからの依頼分、素材待ちです。")</f>
        <v>河上さんからの依頼分、素材待ちです。</v>
      </c>
      <c r="R593" s="9"/>
      <c r="S593" s="8" t="str">
        <f>IFERROR(__xludf.DUMMYFUNCTION("""COMPUTED_VALUE"""),"20230727_白泉社_イノセント・ブルー")</f>
        <v>20230727_白泉社_イノセント・ブルー</v>
      </c>
      <c r="T593" s="9"/>
      <c r="U593" s="15" t="str">
        <f>IFERROR(__xludf.DUMMYFUNCTION("""COMPUTED_VALUE"""),"(C)横澤しっか/白泉社")</f>
        <v>(C)横澤しっか/白泉社</v>
      </c>
      <c r="V593" s="8" t="str">
        <f>IFERROR(__xludf.DUMMYFUNCTION("""COMPUTED_VALUE"""),"【第1話】この幼なじみ二人は”何か”がおかしい――。男子高校生の旭川辰也は、物静かなクラスメイトの比留間純が、学年一派手なイケメンの依谷理央(よるたに りお)の幼なじみだと知ったその日、二人のセックスを目撃してしまう。不健全な関係性を危ぶみながらも、純に惹かれ、その魔性の魅力に呑み込まれていく辰也。男子高校生の歪んだ愛と三角関係、その果てに救いはあるのか。
")</f>
        <v>【第1話】この幼なじみ二人は”何か”がおかしい――。男子高校生の旭川辰也は、物静かなクラスメイトの比留間純が、学年一派手なイケメンの依谷理央(よるたに りお)の幼なじみだと知ったその日、二人のセックスを目撃してしまう。不健全な関係性を危ぶみながらも、純に惹かれ、その魔性の魅力に呑み込まれていく辰也。男子高校生の歪んだ愛と三角関係、その果てに救いはあるのか。
</v>
      </c>
      <c r="W593" s="8"/>
      <c r="X593" s="8" t="str">
        <f>IFERROR(__xludf.DUMMYFUNCTION("""COMPUTED_VALUE"""),"有")</f>
        <v>有</v>
      </c>
      <c r="Y593" s="8" t="str">
        <f>IFERROR(__xludf.DUMMYFUNCTION("""COMPUTED_VALUE"""),"P10まで")</f>
        <v>P10まで</v>
      </c>
      <c r="Z593" s="7"/>
      <c r="AA593" s="7"/>
      <c r="AB593" s="7"/>
    </row>
    <row r="594" ht="114.0" customHeight="1">
      <c r="A594" s="8">
        <f>IFERROR(__xludf.DUMMYFUNCTION("""COMPUTED_VALUE"""),2238.0)</f>
        <v>2238</v>
      </c>
      <c r="B594" s="9" t="str">
        <f>IFERROR(__xludf.DUMMYFUNCTION("""COMPUTED_VALUE"""),"確定")</f>
        <v>確定</v>
      </c>
      <c r="C594" s="10">
        <f>IFERROR(__xludf.DUMMYFUNCTION("""COMPUTED_VALUE"""),45134.0)</f>
        <v>45134</v>
      </c>
      <c r="D594" s="10">
        <f>IFERROR(__xludf.DUMMYFUNCTION("""COMPUTED_VALUE"""),45138.0)</f>
        <v>45138</v>
      </c>
      <c r="E594" s="8">
        <f>IFERROR(__xludf.DUMMYFUNCTION("""COMPUTED_VALUE"""),274553.0)</f>
        <v>274553</v>
      </c>
      <c r="F594" s="9" t="str">
        <f>IFERROR(__xludf.DUMMYFUNCTION("""COMPUTED_VALUE"""),"ハルトロイドは取扱注意 分冊版")</f>
        <v>ハルトロイドは取扱注意 分冊版</v>
      </c>
      <c r="G594" s="11" t="str">
        <f>IFERROR(__xludf.DUMMYFUNCTION("""COMPUTED_VALUE"""),"1～4")</f>
        <v>1～4</v>
      </c>
      <c r="H594" s="8" t="str">
        <f>IFERROR(__xludf.DUMMYFUNCTION("""COMPUTED_VALUE"""),"月奈子")</f>
        <v>月奈子</v>
      </c>
      <c r="I594" s="8" t="str">
        <f>IFERROR(__xludf.DUMMYFUNCTION("""COMPUTED_VALUE"""),"少女")</f>
        <v>少女</v>
      </c>
      <c r="J594" s="8"/>
      <c r="K594" s="8"/>
      <c r="L594" s="8" t="str">
        <f>IFERROR(__xludf.DUMMYFUNCTION("""COMPUTED_VALUE"""),"集英社")</f>
        <v>集英社</v>
      </c>
      <c r="M594" s="12">
        <f>IFERROR(__xludf.DUMMYFUNCTION("""COMPUTED_VALUE"""),45162.0)</f>
        <v>45162</v>
      </c>
      <c r="N594" s="12">
        <f>IFERROR(__xludf.DUMMYFUNCTION("""COMPUTED_VALUE"""),45193.0)</f>
        <v>45193</v>
      </c>
      <c r="O594" s="11"/>
      <c r="P594" s="9" t="str">
        <f>IFERROR(__xludf.DUMMYFUNCTION("""COMPUTED_VALUE"""),"否")</f>
        <v>否</v>
      </c>
      <c r="Q594" s="8"/>
      <c r="R594" s="9"/>
      <c r="S594" s="8" t="str">
        <f>IFERROR(__xludf.DUMMYFUNCTION("""COMPUTED_VALUE"""),"20230727_集英社_ハルトロイドは取扱注意")</f>
        <v>20230727_集英社_ハルトロイドは取扱注意</v>
      </c>
      <c r="T594" s="9" t="str">
        <f>IFERROR(__xludf.DUMMYFUNCTION("""COMPUTED_VALUE"""),"格納済み")</f>
        <v>格納済み</v>
      </c>
      <c r="U594" s="9" t="str">
        <f>IFERROR(__xludf.DUMMYFUNCTION("""COMPUTED_VALUE"""),"（C）月奈子／集英社")</f>
        <v>（C）月奈子／集英社</v>
      </c>
      <c r="V594" s="8" t="str">
        <f>IFERROR(__xludf.DUMMYFUNCTION("""COMPUTED_VALUE"""),"【ヒモ男×美少年アンドロイドの……!?】刹那的かつ欲望のままに生きる男・蓮。同棲相手の女性に家を追い出され、途方に暮れていたら破格のアルバイトを発見し……!?　『別冊マーガレット』で大人気！　ヒモ男×美少年アンドロイドの日常コメディ、分冊版で登場！
")</f>
        <v>【ヒモ男×美少年アンドロイドの……!?】刹那的かつ欲望のままに生きる男・蓮。同棲相手の女性に家を追い出され、途方に暮れていたら破格のアルバイトを発見し……!?　『別冊マーガレット』で大人気！　ヒモ男×美少年アンドロイドの日常コメディ、分冊版で登場！
</v>
      </c>
      <c r="W594" s="8"/>
      <c r="X594" s="8" t="str">
        <f>IFERROR(__xludf.DUMMYFUNCTION("""COMPUTED_VALUE"""),"有")</f>
        <v>有</v>
      </c>
      <c r="Y594" s="8" t="str">
        <f>IFERROR(__xludf.DUMMYFUNCTION("""COMPUTED_VALUE"""),"P10まで")</f>
        <v>P10まで</v>
      </c>
      <c r="Z594" s="7"/>
      <c r="AA594" s="7"/>
      <c r="AB594" s="7"/>
    </row>
    <row r="595" ht="15.75" customHeight="1">
      <c r="A595" s="8">
        <f>IFERROR(__xludf.DUMMYFUNCTION("""COMPUTED_VALUE"""),2239.0)</f>
        <v>2239</v>
      </c>
      <c r="B595" s="9" t="str">
        <f>IFERROR(__xludf.DUMMYFUNCTION("""COMPUTED_VALUE"""),"確定")</f>
        <v>確定</v>
      </c>
      <c r="C595" s="10">
        <f>IFERROR(__xludf.DUMMYFUNCTION("""COMPUTED_VALUE"""),45135.0)</f>
        <v>45135</v>
      </c>
      <c r="D595" s="10">
        <f>IFERROR(__xludf.DUMMYFUNCTION("""COMPUTED_VALUE"""),45138.0)</f>
        <v>45138</v>
      </c>
      <c r="E595" s="8">
        <f>IFERROR(__xludf.DUMMYFUNCTION("""COMPUTED_VALUE"""),274215.0)</f>
        <v>274215</v>
      </c>
      <c r="F595" s="9" t="str">
        <f>IFERROR(__xludf.DUMMYFUNCTION("""COMPUTED_VALUE"""),"可愛い義理の妹なんて、本当は面倒なだけなんだが（分冊版）")</f>
        <v>可愛い義理の妹なんて、本当は面倒なだけなんだが（分冊版）</v>
      </c>
      <c r="G595" s="11" t="str">
        <f>IFERROR(__xludf.DUMMYFUNCTION("""COMPUTED_VALUE"""),"1～3")</f>
        <v>1～3</v>
      </c>
      <c r="H595" s="8" t="str">
        <f>IFERROR(__xludf.DUMMYFUNCTION("""COMPUTED_VALUE"""),"ロジロ")</f>
        <v>ロジロ</v>
      </c>
      <c r="I595" s="14" t="str">
        <f>IFERROR(__xludf.DUMMYFUNCTION("""COMPUTED_VALUE"""),"青年")</f>
        <v>青年</v>
      </c>
      <c r="J595" s="8"/>
      <c r="K595" s="8"/>
      <c r="L595" s="8" t="str">
        <f>IFERROR(__xludf.DUMMYFUNCTION("""COMPUTED_VALUE"""),"ぶんか社")</f>
        <v>ぶんか社</v>
      </c>
      <c r="M595" s="12">
        <f>IFERROR(__xludf.DUMMYFUNCTION("""COMPUTED_VALUE"""),45153.0)</f>
        <v>45153</v>
      </c>
      <c r="N595" s="12">
        <f>IFERROR(__xludf.DUMMYFUNCTION("""COMPUTED_VALUE"""),45215.0)</f>
        <v>45215</v>
      </c>
      <c r="O595" s="11"/>
      <c r="P595" s="9" t="str">
        <f>IFERROR(__xludf.DUMMYFUNCTION("""COMPUTED_VALUE"""),"可")</f>
        <v>可</v>
      </c>
      <c r="Q595" s="8"/>
      <c r="R595" s="9"/>
      <c r="S595" s="8" t="str">
        <f>IFERROR(__xludf.DUMMYFUNCTION("""COMPUTED_VALUE"""),"20230728_ぶんか社_可愛い義理の妹なんて、本当は面倒なだけなんだが（分冊版）")</f>
        <v>20230728_ぶんか社_可愛い義理の妹なんて、本当は面倒なだけなんだが（分冊版）</v>
      </c>
      <c r="T595" s="9" t="str">
        <f>IFERROR(__xludf.DUMMYFUNCTION("""COMPUTED_VALUE"""),"格納済み")</f>
        <v>格納済み</v>
      </c>
      <c r="U595" s="9" t="str">
        <f>IFERROR(__xludf.DUMMYFUNCTION("""COMPUTED_VALUE"""),"(C)ロジロ/ぶんか社")</f>
        <v>(C)ロジロ/ぶんか社</v>
      </c>
      <c r="V595" s="8" t="str">
        <f>IFERROR(__xludf.DUMMYFUNCTION("""COMPUTED_VALUE"""),"親同士の再婚で突然女子高生の義理の妹ができ、家族4人で一緒に新居で暮らすことになった武満。
義妹の桐香は親の前では猫をかぶっているが、親がいない時は武満への不満を隠そうともせず何かと突っかかってくる。
連日ギャルの友達を家に呼んで騒いでるのも在宅でオカルト系のWEBライターをやってる武満には迷惑この上ない。
そんなある日、武満に興味を持ったギャル友がちょっかいをかけてきて、
さらには「実の兄妹じゃないんでしょ？　じゃあヤレるじゃん－－」と、誘惑してマウントを取れと余計な助言を桐香に与えて…。")</f>
        <v>親同士の再婚で突然女子高生の義理の妹ができ、家族4人で一緒に新居で暮らすことになった武満。
義妹の桐香は親の前では猫をかぶっているが、親がいない時は武満への不満を隠そうともせず何かと突っかかってくる。
連日ギャルの友達を家に呼んで騒いでるのも在宅でオカルト系のWEBライターをやってる武満には迷惑この上ない。
そんなある日、武満に興味を持ったギャル友がちょっかいをかけてきて、
さらには「実の兄妹じゃないんでしょ？　じゃあヤレるじゃん－－」と、誘惑してマウントを取れと余計な助言を桐香に与えて…。</v>
      </c>
      <c r="W595" s="8"/>
      <c r="X595" s="8" t="str">
        <f>IFERROR(__xludf.DUMMYFUNCTION("""COMPUTED_VALUE"""),"有")</f>
        <v>有</v>
      </c>
      <c r="Y595" s="8" t="str">
        <f>IFERROR(__xludf.DUMMYFUNCTION("""COMPUTED_VALUE"""),"P15まで")</f>
        <v>P15まで</v>
      </c>
      <c r="Z595" s="7"/>
      <c r="AA595" s="7"/>
      <c r="AB595" s="7"/>
    </row>
    <row r="596" ht="110.25" customHeight="1">
      <c r="A596" s="8">
        <f>IFERROR(__xludf.DUMMYFUNCTION("""COMPUTED_VALUE"""),2242.0)</f>
        <v>2242</v>
      </c>
      <c r="B596" s="9" t="str">
        <f>IFERROR(__xludf.DUMMYFUNCTION("""COMPUTED_VALUE"""),"確定")</f>
        <v>確定</v>
      </c>
      <c r="C596" s="10">
        <f>IFERROR(__xludf.DUMMYFUNCTION("""COMPUTED_VALUE"""),45138.0)</f>
        <v>45138</v>
      </c>
      <c r="D596" s="10">
        <f>IFERROR(__xludf.DUMMYFUNCTION("""COMPUTED_VALUE"""),45138.0)</f>
        <v>45138</v>
      </c>
      <c r="E596" s="14">
        <f>IFERROR(__xludf.DUMMYFUNCTION("""COMPUTED_VALUE"""),256394.0)</f>
        <v>256394</v>
      </c>
      <c r="F596" s="15" t="str">
        <f>IFERROR(__xludf.DUMMYFUNCTION("""COMPUTED_VALUE"""),"ぼっちOLなのに、なぜか社内No.1に甘々にされてます!?")</f>
        <v>ぼっちOLなのに、なぜか社内No.1に甘々にされてます!?</v>
      </c>
      <c r="G596" s="11" t="str">
        <f>IFERROR(__xludf.DUMMYFUNCTION("""COMPUTED_VALUE"""),"1～3")</f>
        <v>1～3</v>
      </c>
      <c r="H596" s="8" t="str">
        <f>IFERROR(__xludf.DUMMYFUNCTION("""COMPUTED_VALUE"""),"甘党レン")</f>
        <v>甘党レン</v>
      </c>
      <c r="I596" s="14" t="str">
        <f>IFERROR(__xludf.DUMMYFUNCTION("""COMPUTED_VALUE"""),"少女")</f>
        <v>少女</v>
      </c>
      <c r="J596" s="8"/>
      <c r="K596" s="8"/>
      <c r="L596" s="8" t="str">
        <f>IFERROR(__xludf.DUMMYFUNCTION("""COMPUTED_VALUE"""),"ソルマーレ編集部")</f>
        <v>ソルマーレ編集部</v>
      </c>
      <c r="M596" s="12">
        <f>IFERROR(__xludf.DUMMYFUNCTION("""COMPUTED_VALUE"""),45171.0)</f>
        <v>45171</v>
      </c>
      <c r="N596" s="21">
        <f>IFERROR(__xludf.DUMMYFUNCTION("""COMPUTED_VALUE"""),45232.0)</f>
        <v>45232</v>
      </c>
      <c r="O596" s="11"/>
      <c r="P596" s="9" t="str">
        <f>IFERROR(__xludf.DUMMYFUNCTION("""COMPUTED_VALUE"""),"可")</f>
        <v>可</v>
      </c>
      <c r="Q596" s="8" t="str">
        <f>IFERROR(__xludf.DUMMYFUNCTION("""COMPUTED_VALUE"""),"※正式タイトル下記の通りです（7/31）&lt;BR&gt;＝＝＝&lt;BR&gt;ぼっちOLなのに、なぜか社内No.1に甘々にされてます!?&lt;BR&gt;＝＝＝&lt;BR&gt;")</f>
        <v>※正式タイトル下記の通りです（7/31）&lt;BR&gt;＝＝＝&lt;BR&gt;ぼっちOLなのに、なぜか社内No.1に甘々にされてます!?&lt;BR&gt;＝＝＝&lt;BR&gt;</v>
      </c>
      <c r="R596" s="9"/>
      <c r="S596" s="8" t="str">
        <f>IFERROR(__xludf.DUMMYFUNCTION("""COMPUTED_VALUE"""),"20230731_ソルマーレ編集部_ぼっちOLなのに、なぜか社内No.1に甘々にされてます！？")</f>
        <v>20230731_ソルマーレ編集部_ぼっちOLなのに、なぜか社内No.1に甘々にされてます！？</v>
      </c>
      <c r="T596" s="15"/>
      <c r="U596" s="15" t="str">
        <f>IFERROR(__xludf.DUMMYFUNCTION("""COMPUTED_VALUE"""),"Ⓒ 甘党レン/シーモアコミックス")</f>
        <v>Ⓒ 甘党レン/シーモアコミックス</v>
      </c>
      <c r="V596" s="8" t="str">
        <f>IFERROR(__xludf.DUMMYFUNCTION("""COMPUTED_VALUE"""),"山寺澄子は周りから厳しい人だと煙たがられていたが、言葉足らずなだけで本当は心優しいOL。ある時唯一の肉親である祖母から「死ぬまでに澄子ちゃんの花嫁姿が見たい」と言われてしまい…。その願いを叶えるため、まずは男慣れしようとレンタル彼氏に申し込んだら会社で営業トップの色男がやってきて!?【恋するソワレ】")</f>
        <v>山寺澄子は周りから厳しい人だと煙たがられていたが、言葉足らずなだけで本当は心優しいOL。ある時唯一の肉親である祖母から「死ぬまでに澄子ちゃんの花嫁姿が見たい」と言われてしまい…。その願いを叶えるため、まずは男慣れしようとレンタル彼氏に申し込んだら会社で営業トップの色男がやってきて!?【恋するソワレ】</v>
      </c>
      <c r="W596" s="8"/>
      <c r="X596" s="14" t="str">
        <f>IFERROR(__xludf.DUMMYFUNCTION("""COMPUTED_VALUE"""),"有")</f>
        <v>有</v>
      </c>
      <c r="Y596" s="8" t="str">
        <f>IFERROR(__xludf.DUMMYFUNCTION("""COMPUTED_VALUE"""),"9/15まで1巻無料
")</f>
        <v>9/15まで1巻無料
</v>
      </c>
      <c r="Z596" s="7"/>
      <c r="AA596" s="7"/>
      <c r="AB596" s="7"/>
    </row>
    <row r="597" ht="94.5" customHeight="1">
      <c r="A597" s="8">
        <f>IFERROR(__xludf.DUMMYFUNCTION("""COMPUTED_VALUE"""),2244.0)</f>
        <v>2244</v>
      </c>
      <c r="B597" s="9" t="str">
        <f>IFERROR(__xludf.DUMMYFUNCTION("""COMPUTED_VALUE"""),"確定")</f>
        <v>確定</v>
      </c>
      <c r="C597" s="10">
        <f>IFERROR(__xludf.DUMMYFUNCTION("""COMPUTED_VALUE"""),45139.0)</f>
        <v>45139</v>
      </c>
      <c r="D597" s="10">
        <f>IFERROR(__xludf.DUMMYFUNCTION("""COMPUTED_VALUE"""),45139.0)</f>
        <v>45139</v>
      </c>
      <c r="E597" s="14">
        <f>IFERROR(__xludf.DUMMYFUNCTION("""COMPUTED_VALUE"""),275241.0)</f>
        <v>275241</v>
      </c>
      <c r="F597" s="9" t="str">
        <f>IFERROR(__xludf.DUMMYFUNCTION("""COMPUTED_VALUE"""),"面食い伯爵令息の好きな人")</f>
        <v>面食い伯爵令息の好きな人</v>
      </c>
      <c r="G597" s="11">
        <f>IFERROR(__xludf.DUMMYFUNCTION("""COMPUTED_VALUE"""),1.0)</f>
        <v>1</v>
      </c>
      <c r="H597" s="8" t="str">
        <f>IFERROR(__xludf.DUMMYFUNCTION("""COMPUTED_VALUE"""),"漫画：ねこたか／原作：蒔田")</f>
        <v>漫画：ねこたか／原作：蒔田</v>
      </c>
      <c r="I597" s="8" t="str">
        <f>IFERROR(__xludf.DUMMYFUNCTION("""COMPUTED_VALUE"""),"TL")</f>
        <v>TL</v>
      </c>
      <c r="J597" s="8"/>
      <c r="K597" s="8"/>
      <c r="L597" s="8" t="str">
        <f>IFERROR(__xludf.DUMMYFUNCTION("""COMPUTED_VALUE"""),"一迅社")</f>
        <v>一迅社</v>
      </c>
      <c r="M597" s="12">
        <f>IFERROR(__xludf.DUMMYFUNCTION("""COMPUTED_VALUE"""),45170.0)</f>
        <v>45170</v>
      </c>
      <c r="N597" s="21">
        <f>IFERROR(__xludf.DUMMYFUNCTION("""COMPUTED_VALUE"""),45199.0)</f>
        <v>45199</v>
      </c>
      <c r="O597" s="11"/>
      <c r="P597" s="9" t="str">
        <f>IFERROR(__xludf.DUMMYFUNCTION("""COMPUTED_VALUE"""),"否")</f>
        <v>否</v>
      </c>
      <c r="Q597" s="8"/>
      <c r="R597" s="9"/>
      <c r="S597" s="8" t="str">
        <f>IFERROR(__xludf.DUMMYFUNCTION("""COMPUTED_VALUE"""),"20230801_一迅社_9月読み切り新作")</f>
        <v>20230801_一迅社_9月読み切り新作</v>
      </c>
      <c r="T597" s="9"/>
      <c r="U597" s="15" t="str">
        <f>IFERROR(__xludf.DUMMYFUNCTION("""COMPUTED_VALUE"""),"(C)ねこたか・蒔田／一迅社")</f>
        <v>(C)ねこたか・蒔田／一迅社</v>
      </c>
      <c r="V597" s="8" t="str">
        <f>IFERROR(__xludf.DUMMYFUNCTION("""COMPUTED_VALUE"""),"誰もが憧れる伯爵令息に想いを寄せていたが彼には「面食い」だという噂があり――…？　※この作品は『訳あり令嬢でしたが、溺愛されて今では幸せです アンソロジーコミック』6巻収録作品と同一の内容を単話版として再編集したものとなります。")</f>
        <v>誰もが憧れる伯爵令息に想いを寄せていたが彼には「面食い」だという噂があり――…？　※この作品は『訳あり令嬢でしたが、溺愛されて今では幸せです アンソロジーコミック』6巻収録作品と同一の内容を単話版として再編集したものとなります。</v>
      </c>
      <c r="W597" s="8"/>
      <c r="X597" s="22" t="str">
        <f>IFERROR(__xludf.DUMMYFUNCTION("""COMPUTED_VALUE"""),"有")</f>
        <v>有</v>
      </c>
      <c r="Y597" s="8" t="str">
        <f>IFERROR(__xludf.DUMMYFUNCTION("""COMPUTED_VALUE"""),"P7まで")</f>
        <v>P7まで</v>
      </c>
      <c r="Z597" s="7"/>
      <c r="AA597" s="7"/>
      <c r="AB597" s="7"/>
    </row>
    <row r="598" ht="15.75" customHeight="1">
      <c r="A598" s="8">
        <f>IFERROR(__xludf.DUMMYFUNCTION("""COMPUTED_VALUE"""),2245.0)</f>
        <v>2245</v>
      </c>
      <c r="B598" s="9" t="str">
        <f>IFERROR(__xludf.DUMMYFUNCTION("""COMPUTED_VALUE"""),"確定")</f>
        <v>確定</v>
      </c>
      <c r="C598" s="10">
        <f>IFERROR(__xludf.DUMMYFUNCTION("""COMPUTED_VALUE"""),45139.0)</f>
        <v>45139</v>
      </c>
      <c r="D598" s="10">
        <f>IFERROR(__xludf.DUMMYFUNCTION("""COMPUTED_VALUE"""),45139.0)</f>
        <v>45139</v>
      </c>
      <c r="E598" s="14">
        <f>IFERROR(__xludf.DUMMYFUNCTION("""COMPUTED_VALUE"""),275242.0)</f>
        <v>275242</v>
      </c>
      <c r="F598" s="9" t="str">
        <f>IFERROR(__xludf.DUMMYFUNCTION("""COMPUTED_VALUE"""),"婚約解消したら絶倫辺境伯に愛されて幸せになりました")</f>
        <v>婚約解消したら絶倫辺境伯に愛されて幸せになりました</v>
      </c>
      <c r="G598" s="11">
        <f>IFERROR(__xludf.DUMMYFUNCTION("""COMPUTED_VALUE"""),1.0)</f>
        <v>1</v>
      </c>
      <c r="H598" s="8" t="str">
        <f>IFERROR(__xludf.DUMMYFUNCTION("""COMPUTED_VALUE"""),"漫画：青日晴／原作：茜菫")</f>
        <v>漫画：青日晴／原作：茜菫</v>
      </c>
      <c r="I598" s="8" t="str">
        <f>IFERROR(__xludf.DUMMYFUNCTION("""COMPUTED_VALUE"""),"TL")</f>
        <v>TL</v>
      </c>
      <c r="J598" s="8"/>
      <c r="K598" s="8"/>
      <c r="L598" s="8" t="str">
        <f>IFERROR(__xludf.DUMMYFUNCTION("""COMPUTED_VALUE"""),"一迅社")</f>
        <v>一迅社</v>
      </c>
      <c r="M598" s="12">
        <f>IFERROR(__xludf.DUMMYFUNCTION("""COMPUTED_VALUE"""),45170.0)</f>
        <v>45170</v>
      </c>
      <c r="N598" s="21">
        <f>IFERROR(__xludf.DUMMYFUNCTION("""COMPUTED_VALUE"""),45199.0)</f>
        <v>45199</v>
      </c>
      <c r="O598" s="11"/>
      <c r="P598" s="9" t="str">
        <f>IFERROR(__xludf.DUMMYFUNCTION("""COMPUTED_VALUE"""),"否")</f>
        <v>否</v>
      </c>
      <c r="Q598" s="8"/>
      <c r="R598" s="9"/>
      <c r="S598" s="8" t="str">
        <f>IFERROR(__xludf.DUMMYFUNCTION("""COMPUTED_VALUE"""),"20230801_一迅社_9月読み切り新作")</f>
        <v>20230801_一迅社_9月読み切り新作</v>
      </c>
      <c r="T598" s="9"/>
      <c r="U598" s="15" t="str">
        <f>IFERROR(__xludf.DUMMYFUNCTION("""COMPUTED_VALUE"""),"(C)青日晴・茜菫／一迅社")</f>
        <v>(C)青日晴・茜菫／一迅社</v>
      </c>
      <c r="V598" s="8" t="str">
        <f>IFERROR(__xludf.DUMMYFUNCTION("""COMPUTED_VALUE"""),"婚約破棄を言い渡された令嬢のもとに辺境伯から婚姻の申し込みがあり「毎晩貴女を抱きます」と言われて…!?　※この作品は『訳あり令嬢でしたが、溺愛されて今では幸せです アンソロジーコミック』6巻収録作品と同一の内容を単話版として再編集したものとなります。
")</f>
        <v>婚約破棄を言い渡された令嬢のもとに辺境伯から婚姻の申し込みがあり「毎晩貴女を抱きます」と言われて…!?　※この作品は『訳あり令嬢でしたが、溺愛されて今では幸せです アンソロジーコミック』6巻収録作品と同一の内容を単話版として再編集したものとなります。
</v>
      </c>
      <c r="W598" s="8"/>
      <c r="X598" s="22" t="str">
        <f>IFERROR(__xludf.DUMMYFUNCTION("""COMPUTED_VALUE"""),"有")</f>
        <v>有</v>
      </c>
      <c r="Y598" s="8" t="str">
        <f>IFERROR(__xludf.DUMMYFUNCTION("""COMPUTED_VALUE"""),"P8まで")</f>
        <v>P8まで</v>
      </c>
      <c r="Z598" s="7"/>
      <c r="AA598" s="7"/>
      <c r="AB598" s="7"/>
    </row>
    <row r="599" ht="99.0" customHeight="1">
      <c r="A599" s="8">
        <f>IFERROR(__xludf.DUMMYFUNCTION("""COMPUTED_VALUE"""),2246.0)</f>
        <v>2246</v>
      </c>
      <c r="B599" s="9" t="str">
        <f>IFERROR(__xludf.DUMMYFUNCTION("""COMPUTED_VALUE"""),"確定")</f>
        <v>確定</v>
      </c>
      <c r="C599" s="10">
        <f>IFERROR(__xludf.DUMMYFUNCTION("""COMPUTED_VALUE"""),45139.0)</f>
        <v>45139</v>
      </c>
      <c r="D599" s="10">
        <f>IFERROR(__xludf.DUMMYFUNCTION("""COMPUTED_VALUE"""),45139.0)</f>
        <v>45139</v>
      </c>
      <c r="E599" s="14">
        <f>IFERROR(__xludf.DUMMYFUNCTION("""COMPUTED_VALUE"""),275243.0)</f>
        <v>275243</v>
      </c>
      <c r="F599" s="9" t="str">
        <f>IFERROR(__xludf.DUMMYFUNCTION("""COMPUTED_VALUE"""),"『機械人形』と揶揄される旦那様が愛妻家になるまで")</f>
        <v>『機械人形』と揶揄される旦那様が愛妻家になるまで</v>
      </c>
      <c r="G599" s="11">
        <f>IFERROR(__xludf.DUMMYFUNCTION("""COMPUTED_VALUE"""),1.0)</f>
        <v>1</v>
      </c>
      <c r="H599" s="8" t="str">
        <f>IFERROR(__xludf.DUMMYFUNCTION("""COMPUTED_VALUE"""),"漫画：椎名明／原作：ひと☆まる")</f>
        <v>漫画：椎名明／原作：ひと☆まる</v>
      </c>
      <c r="I599" s="8" t="str">
        <f>IFERROR(__xludf.DUMMYFUNCTION("""COMPUTED_VALUE"""),"TL")</f>
        <v>TL</v>
      </c>
      <c r="J599" s="8"/>
      <c r="K599" s="8"/>
      <c r="L599" s="8" t="str">
        <f>IFERROR(__xludf.DUMMYFUNCTION("""COMPUTED_VALUE"""),"一迅社")</f>
        <v>一迅社</v>
      </c>
      <c r="M599" s="12">
        <f>IFERROR(__xludf.DUMMYFUNCTION("""COMPUTED_VALUE"""),45170.0)</f>
        <v>45170</v>
      </c>
      <c r="N599" s="21">
        <f>IFERROR(__xludf.DUMMYFUNCTION("""COMPUTED_VALUE"""),45199.0)</f>
        <v>45199</v>
      </c>
      <c r="O599" s="11"/>
      <c r="P599" s="9" t="str">
        <f>IFERROR(__xludf.DUMMYFUNCTION("""COMPUTED_VALUE"""),"否")</f>
        <v>否</v>
      </c>
      <c r="Q599" s="8"/>
      <c r="R599" s="9"/>
      <c r="S599" s="8" t="str">
        <f>IFERROR(__xludf.DUMMYFUNCTION("""COMPUTED_VALUE"""),"20230801_一迅社_9月読み切り新作")</f>
        <v>20230801_一迅社_9月読み切り新作</v>
      </c>
      <c r="T599" s="9"/>
      <c r="U599" s="15" t="str">
        <f>IFERROR(__xludf.DUMMYFUNCTION("""COMPUTED_VALUE"""),"(C)椎名明・ひと☆まる／一迅社")</f>
        <v>(C)椎名明・ひと☆まる／一迅社</v>
      </c>
      <c r="V599" s="8" t="str">
        <f>IFERROR(__xludf.DUMMYFUNCTION("""COMPUTED_VALUE"""),"貧乏子爵家の令嬢が魔法使いの名門に嫁いで三年子供ができないことに悩んでいて―…　※この作品は『訳あり令嬢でしたが、溺愛されて今では幸せです アンソロジーコミック』6巻収録作品と同一の内容を単話版として再編集したものとなります。")</f>
        <v>貧乏子爵家の令嬢が魔法使いの名門に嫁いで三年子供ができないことに悩んでいて―…　※この作品は『訳あり令嬢でしたが、溺愛されて今では幸せです アンソロジーコミック』6巻収録作品と同一の内容を単話版として再編集したものとなります。</v>
      </c>
      <c r="W599" s="8"/>
      <c r="X599" s="22" t="str">
        <f>IFERROR(__xludf.DUMMYFUNCTION("""COMPUTED_VALUE"""),"有")</f>
        <v>有</v>
      </c>
      <c r="Y599" s="8" t="str">
        <f>IFERROR(__xludf.DUMMYFUNCTION("""COMPUTED_VALUE"""),"P8まで")</f>
        <v>P8まで</v>
      </c>
      <c r="Z599" s="7"/>
      <c r="AA599" s="7"/>
      <c r="AB599" s="7"/>
    </row>
    <row r="600" ht="218.25" customHeight="1">
      <c r="A600" s="8">
        <f>IFERROR(__xludf.DUMMYFUNCTION("""COMPUTED_VALUE"""),2093.0)</f>
        <v>2093</v>
      </c>
      <c r="B600" s="9" t="str">
        <f>IFERROR(__xludf.DUMMYFUNCTION("""COMPUTED_VALUE"""),"確定")</f>
        <v>確定</v>
      </c>
      <c r="C600" s="10">
        <f>IFERROR(__xludf.DUMMYFUNCTION("""COMPUTED_VALUE"""),45099.0)</f>
        <v>45099</v>
      </c>
      <c r="D600" s="10">
        <f>IFERROR(__xludf.DUMMYFUNCTION("""COMPUTED_VALUE"""),45141.0)</f>
        <v>45141</v>
      </c>
      <c r="E600" s="8">
        <f>IFERROR(__xludf.DUMMYFUNCTION("""COMPUTED_VALUE"""),274198.0)</f>
        <v>274198</v>
      </c>
      <c r="F600" s="9" t="str">
        <f>IFERROR(__xludf.DUMMYFUNCTION("""COMPUTED_VALUE"""),"運命の番じゃないなら今夜だけ【タテヨミ】")</f>
        <v>運命の番じゃないなら今夜だけ【タテヨミ】</v>
      </c>
      <c r="G600" s="11" t="str">
        <f>IFERROR(__xludf.DUMMYFUNCTION("""COMPUTED_VALUE"""),"1～13")</f>
        <v>1～13</v>
      </c>
      <c r="H600" s="8" t="str">
        <f>IFERROR(__xludf.DUMMYFUNCTION("""COMPUTED_VALUE"""),"綾瀬まの")</f>
        <v>綾瀬まの</v>
      </c>
      <c r="I600" s="8" t="str">
        <f>IFERROR(__xludf.DUMMYFUNCTION("""COMPUTED_VALUE"""),"BL")</f>
        <v>BL</v>
      </c>
      <c r="J600" s="8"/>
      <c r="K600" s="8"/>
      <c r="L600" s="8" t="str">
        <f>IFERROR(__xludf.DUMMYFUNCTION("""COMPUTED_VALUE"""),"NHNcomico")</f>
        <v>NHNcomico</v>
      </c>
      <c r="M600" s="12">
        <f>IFERROR(__xludf.DUMMYFUNCTION("""COMPUTED_VALUE"""),45144.0)</f>
        <v>45144</v>
      </c>
      <c r="N600" s="12">
        <f>IFERROR(__xludf.DUMMYFUNCTION("""COMPUTED_VALUE"""),45206.0)</f>
        <v>45206</v>
      </c>
      <c r="O600" s="11"/>
      <c r="P600" s="9" t="str">
        <f>IFERROR(__xludf.DUMMYFUNCTION("""COMPUTED_VALUE"""),"可")</f>
        <v>可</v>
      </c>
      <c r="Q600" s="8" t="str">
        <f>IFERROR(__xludf.DUMMYFUNCTION("""COMPUTED_VALUE"""),"広告コミットOK(6/29)")</f>
        <v>広告コミットOK(6/29)</v>
      </c>
      <c r="R600" s="9"/>
      <c r="S600" s="8" t="str">
        <f>IFERROR(__xludf.DUMMYFUNCTION("""COMPUTED_VALUE"""),"20230707_comico_運命の番じゃないなら今夜だけ")</f>
        <v>20230707_comico_運命の番じゃないなら今夜だけ</v>
      </c>
      <c r="T600" s="9" t="str">
        <f>IFERROR(__xludf.DUMMYFUNCTION("""COMPUTED_VALUE"""),"格納済み(7/7)")</f>
        <v>格納済み(7/7)</v>
      </c>
      <c r="U600" s="9" t="str">
        <f>IFERROR(__xludf.DUMMYFUNCTION("""COMPUTED_VALUE"""),"(C)綾瀬まの/comico")</f>
        <v>(C)綾瀬まの/comico</v>
      </c>
      <c r="V600" s="8" t="str">
        <f>IFERROR(__xludf.DUMMYFUNCTION("""COMPUTED_VALUE"""),"葉月悠斗（はづき ゆうと）はオメガの会社員。学生時代、見知らぬアルファに襲われていた自分を助けてくれたアルファの青年に、初めての発情期で混乱した葉月は「うなじを噛んでほしい」と懇願し、二人は番になってしまう。自分のせいで優しい彼の人生が不幸になってはいけない……葉月は黙って彼の元を去り、以降は「番の旦那がいる」と嘘をついて、一人で辛い発情期に耐える生活を送っていた。ある日、葉月の会社に、社長の息子であるアルファの上條高輝（かみじょう こうき）が、研修のため異動してくる。会社の後輩と先輩として日々を過ごすう"&amp;"ちに、上條は葉月を慕い、葉月も上條に惹かれていくが……。エリート後輩アルファ×秘密を抱えた先輩オメガの、もどかしく切ないオメガバース・ラブストーリー。")</f>
        <v>葉月悠斗（はづき ゆうと）はオメガの会社員。学生時代、見知らぬアルファに襲われていた自分を助けてくれたアルファの青年に、初めての発情期で混乱した葉月は「うなじを噛んでほしい」と懇願し、二人は番になってしまう。自分のせいで優しい彼の人生が不幸になってはいけない……葉月は黙って彼の元を去り、以降は「番の旦那がいる」と嘘をついて、一人で辛い発情期に耐える生活を送っていた。ある日、葉月の会社に、社長の息子であるアルファの上條高輝（かみじょう こうき）が、研修のため異動してくる。会社の後輩と先輩として日々を過ごすうちに、上條は葉月を慕い、葉月も上條に惹かれていくが……。エリート後輩アルファ×秘密を抱えた先輩オメガの、もどかしく切ないオメガバース・ラブストーリー。</v>
      </c>
      <c r="W600" s="8"/>
      <c r="X600" s="8" t="str">
        <f>IFERROR(__xludf.DUMMYFUNCTION("""COMPUTED_VALUE"""),"有")</f>
        <v>有</v>
      </c>
      <c r="Y600" s="8" t="str">
        <f>IFERROR(__xludf.DUMMYFUNCTION("""COMPUTED_VALUE"""),"12/31まで1~3巻無料(0~2巻)")</f>
        <v>12/31まで1~3巻無料(0~2巻)</v>
      </c>
      <c r="Z600" s="7"/>
      <c r="AA600" s="7"/>
      <c r="AB600" s="7"/>
    </row>
    <row r="601" ht="137.25" customHeight="1">
      <c r="A601" s="8">
        <f>IFERROR(__xludf.DUMMYFUNCTION("""COMPUTED_VALUE"""),2032.0)</f>
        <v>2032</v>
      </c>
      <c r="B601" s="9" t="str">
        <f>IFERROR(__xludf.DUMMYFUNCTION("""COMPUTED_VALUE"""),"確定")</f>
        <v>確定</v>
      </c>
      <c r="C601" s="10">
        <f>IFERROR(__xludf.DUMMYFUNCTION("""COMPUTED_VALUE"""),45084.0)</f>
        <v>45084</v>
      </c>
      <c r="D601" s="10">
        <f>IFERROR(__xludf.DUMMYFUNCTION("""COMPUTED_VALUE"""),45147.0)</f>
        <v>45147</v>
      </c>
      <c r="E601" s="14">
        <f>IFERROR(__xludf.DUMMYFUNCTION("""COMPUTED_VALUE"""),275421.0)</f>
        <v>275421</v>
      </c>
      <c r="F601" s="9" t="str">
        <f>IFERROR(__xludf.DUMMYFUNCTION("""COMPUTED_VALUE"""),"今日もハジメ先輩が好きすぎる【マイクロ】")</f>
        <v>今日もハジメ先輩が好きすぎる【マイクロ】</v>
      </c>
      <c r="G601" s="16" t="str">
        <f>IFERROR(__xludf.DUMMYFUNCTION("""COMPUTED_VALUE"""),"1～3")</f>
        <v>1～3</v>
      </c>
      <c r="H601" s="8" t="str">
        <f>IFERROR(__xludf.DUMMYFUNCTION("""COMPUTED_VALUE"""),"湯町深")</f>
        <v>湯町深</v>
      </c>
      <c r="I601" s="8" t="str">
        <f>IFERROR(__xludf.DUMMYFUNCTION("""COMPUTED_VALUE"""),"女性")</f>
        <v>女性</v>
      </c>
      <c r="J601" s="8"/>
      <c r="K601" s="8"/>
      <c r="L601" s="8" t="str">
        <f>IFERROR(__xludf.DUMMYFUNCTION("""COMPUTED_VALUE"""),"小学館")</f>
        <v>小学館</v>
      </c>
      <c r="M601" s="12">
        <f>IFERROR(__xludf.DUMMYFUNCTION("""COMPUTED_VALUE"""),45174.0)</f>
        <v>45174</v>
      </c>
      <c r="N601" s="23">
        <f>IFERROR(__xludf.DUMMYFUNCTION("""COMPUTED_VALUE"""),45234.0)</f>
        <v>45234</v>
      </c>
      <c r="O601" s="11"/>
      <c r="P601" s="9" t="str">
        <f>IFERROR(__xludf.DUMMYFUNCTION("""COMPUTED_VALUE"""),"否")</f>
        <v>否</v>
      </c>
      <c r="Q601" s="8" t="str">
        <f>IFERROR(__xludf.DUMMYFUNCTION("""COMPUTED_VALUE"""),"広告コミットOK(6/12)")</f>
        <v>広告コミットOK(6/12)</v>
      </c>
      <c r="R601" s="9"/>
      <c r="S601" s="8" t="str">
        <f>IFERROR(__xludf.DUMMYFUNCTION("""COMPUTED_VALUE"""),"20230808_小学館_今日もハジメ先輩が好きすぎる【マイクロ】")</f>
        <v>20230808_小学館_今日もハジメ先輩が好きすぎる【マイクロ】</v>
      </c>
      <c r="T601" s="9" t="str">
        <f>IFERROR(__xludf.DUMMYFUNCTION("""COMPUTED_VALUE"""),"格納済み")</f>
        <v>格納済み</v>
      </c>
      <c r="U601" s="15" t="str">
        <f>IFERROR(__xludf.DUMMYFUNCTION("""COMPUTED_VALUE"""),"(C)湯町深 / 小学館")</f>
        <v>(C)湯町深 / 小学館</v>
      </c>
      <c r="V601" s="8" t="str">
        <f>IFERROR(__xludf.DUMMYFUNCTION("""COMPUTED_VALUE"""),"高校の入学式で困っているところを、ハジメ先輩に助けて貰った心湊（ここみ）。以来、彼のことで頭がいっぱいだけど、いつも女の子たちに囲まれている先輩に近づくことができない。そんなある日、先輩が女の子を喰いものにするインキュバスだと知ってーー。ピュアでうぶな心湊のおいし～い精気を、エッチなことをして、ハジメ先輩がたっぷりいただいちゃいます！？ちょろかわオトメ×優Sインキュバスの、えろきゅんラブ！")</f>
        <v>高校の入学式で困っているところを、ハジメ先輩に助けて貰った心湊（ここみ）。以来、彼のことで頭がいっぱいだけど、いつも女の子たちに囲まれている先輩に近づくことができない。そんなある日、先輩が女の子を喰いものにするインキュバスだと知ってーー。ピュアでうぶな心湊のおいし～い精気を、エッチなことをして、ハジメ先輩がたっぷりいただいちゃいます！？ちょろかわオトメ×優Sインキュバスの、えろきゅんラブ！</v>
      </c>
      <c r="W601" s="8"/>
      <c r="X601" s="22" t="str">
        <f>IFERROR(__xludf.DUMMYFUNCTION("""COMPUTED_VALUE"""),"有")</f>
        <v>有</v>
      </c>
      <c r="Y601" s="8" t="str">
        <f>IFERROR(__xludf.DUMMYFUNCTION("""COMPUTED_VALUE"""),"P17まで")</f>
        <v>P17まで</v>
      </c>
      <c r="Z601" s="7"/>
      <c r="AA601" s="7"/>
      <c r="AB601" s="7"/>
    </row>
    <row r="602" ht="15.75" customHeight="1">
      <c r="A602" s="8">
        <f>IFERROR(__xludf.DUMMYFUNCTION("""COMPUTED_VALUE"""),2170.0)</f>
        <v>2170</v>
      </c>
      <c r="B602" s="9" t="str">
        <f>IFERROR(__xludf.DUMMYFUNCTION("""COMPUTED_VALUE"""),"確定")</f>
        <v>確定</v>
      </c>
      <c r="C602" s="10">
        <f>IFERROR(__xludf.DUMMYFUNCTION("""COMPUTED_VALUE"""),45121.0)</f>
        <v>45121</v>
      </c>
      <c r="D602" s="10">
        <f>IFERROR(__xludf.DUMMYFUNCTION("""COMPUTED_VALUE"""),45147.0)</f>
        <v>45147</v>
      </c>
      <c r="E602" s="14">
        <f>IFERROR(__xludf.DUMMYFUNCTION("""COMPUTED_VALUE"""),275213.0)</f>
        <v>275213</v>
      </c>
      <c r="F602" s="9" t="str">
        <f>IFERROR(__xludf.DUMMYFUNCTION("""COMPUTED_VALUE"""),"婚約者が記憶喪失になりまして～私のことを忘れたはずの彼がなぜか溺愛してきます～")</f>
        <v>婚約者が記憶喪失になりまして～私のことを忘れたはずの彼がなぜか溺愛してきます～</v>
      </c>
      <c r="G602" s="11" t="str">
        <f>IFERROR(__xludf.DUMMYFUNCTION("""COMPUTED_VALUE"""),"1～3")</f>
        <v>1～3</v>
      </c>
      <c r="H602" s="8" t="str">
        <f>IFERROR(__xludf.DUMMYFUNCTION("""COMPUTED_VALUE"""),"真青／桜瀬亜夢／風華弓弦")</f>
        <v>真青／桜瀬亜夢／風華弓弦</v>
      </c>
      <c r="I602" s="8" t="str">
        <f>IFERROR(__xludf.DUMMYFUNCTION("""COMPUTED_VALUE"""),"女性")</f>
        <v>女性</v>
      </c>
      <c r="J602" s="8"/>
      <c r="K602" s="8"/>
      <c r="L602" s="8" t="str">
        <f>IFERROR(__xludf.DUMMYFUNCTION("""COMPUTED_VALUE"""),"DPNブックス")</f>
        <v>DPNブックス</v>
      </c>
      <c r="M602" s="12">
        <f>IFERROR(__xludf.DUMMYFUNCTION("""COMPUTED_VALUE"""),45170.0)</f>
        <v>45170</v>
      </c>
      <c r="N602" s="21">
        <f>IFERROR(__xludf.DUMMYFUNCTION("""COMPUTED_VALUE"""),45199.0)</f>
        <v>45199</v>
      </c>
      <c r="O602" s="11"/>
      <c r="P602" s="9" t="str">
        <f>IFERROR(__xludf.DUMMYFUNCTION("""COMPUTED_VALUE"""),"可")</f>
        <v>可</v>
      </c>
      <c r="Q602" s="8" t="str">
        <f>IFERROR(__xludf.DUMMYFUNCTION("""COMPUTED_VALUE"""),"広告コミットOK(7/21)")</f>
        <v>広告コミットOK(7/21)</v>
      </c>
      <c r="R602" s="9"/>
      <c r="S602" s="8" t="str">
        <f>IFERROR(__xludf.DUMMYFUNCTION("""COMPUTED_VALUE"""),"20230802_DPNブックス_婚約者が記憶喪失になりまして")</f>
        <v>20230802_DPNブックス_婚約者が記憶喪失になりまして</v>
      </c>
      <c r="T602" s="9" t="str">
        <f>IFERROR(__xludf.DUMMYFUNCTION("""COMPUTED_VALUE"""),"格納済み")</f>
        <v>格納済み</v>
      </c>
      <c r="U602" s="15" t="str">
        <f>IFERROR(__xludf.DUMMYFUNCTION("""COMPUTED_VALUE"""),"(C)真青・桜瀬亜夢・風華弓弦／DPNブックス")</f>
        <v>(C)真青・桜瀬亜夢・風華弓弦／DPNブックス</v>
      </c>
      <c r="V602" s="8" t="str">
        <f>IFERROR(__xludf.DUMMYFUNCTION("""COMPUTED_VALUE"""),"「君は──…誰？」私を一途に愛してくれた婚約者は、事故に遭い、私の記憶だけを失くしてしまった。「ひとりで生きていかなきゃ」そう思っていた私の心を溶かしてくれたのは彼なのに…。不安でいっぱいのなか、彼の元カノや私の職場の同僚が私たちを引き離そうとする。それでも、彼はわずかな記憶の断片から、ふたりの時間を大事にしてくれて…。今度は私が愛を返す番。もう一度、思い出を作っていくの。たとえ誰に邪魔されたとしても──…。※小説投稿サイト「エブリスタ」作品のコミカライズです。")</f>
        <v>「君は──…誰？」私を一途に愛してくれた婚約者は、事故に遭い、私の記憶だけを失くしてしまった。「ひとりで生きていかなきゃ」そう思っていた私の心を溶かしてくれたのは彼なのに…。不安でいっぱいのなか、彼の元カノや私の職場の同僚が私たちを引き離そうとする。それでも、彼はわずかな記憶の断片から、ふたりの時間を大事にしてくれて…。今度は私が愛を返す番。もう一度、思い出を作っていくの。たとえ誰に邪魔されたとしても──…。※小説投稿サイト「エブリスタ」作品のコミカライズです。</v>
      </c>
      <c r="W602" s="8"/>
      <c r="X602" s="14" t="str">
        <f>IFERROR(__xludf.DUMMYFUNCTION("""COMPUTED_VALUE"""),"有")</f>
        <v>有</v>
      </c>
      <c r="Y602" s="8" t="str">
        <f>IFERROR(__xludf.DUMMYFUNCTION("""COMPUTED_VALUE"""),"P6まで
")</f>
        <v>P6まで
</v>
      </c>
      <c r="Z602" s="7"/>
      <c r="AA602" s="7"/>
      <c r="AB602" s="7"/>
    </row>
    <row r="603" ht="15.75" customHeight="1">
      <c r="A603" s="8">
        <f>IFERROR(__xludf.DUMMYFUNCTION("""COMPUTED_VALUE"""),2204.0)</f>
        <v>2204</v>
      </c>
      <c r="B603" s="9" t="str">
        <f>IFERROR(__xludf.DUMMYFUNCTION("""COMPUTED_VALUE"""),"確定")</f>
        <v>確定</v>
      </c>
      <c r="C603" s="10">
        <f>IFERROR(__xludf.DUMMYFUNCTION("""COMPUTED_VALUE"""),45128.0)</f>
        <v>45128</v>
      </c>
      <c r="D603" s="10">
        <f>IFERROR(__xludf.DUMMYFUNCTION("""COMPUTED_VALUE"""),45141.0)</f>
        <v>45141</v>
      </c>
      <c r="E603" s="8">
        <f>IFERROR(__xludf.DUMMYFUNCTION("""COMPUTED_VALUE"""),274469.0)</f>
        <v>274469</v>
      </c>
      <c r="F603" s="9" t="str">
        <f>IFERROR(__xludf.DUMMYFUNCTION("""COMPUTED_VALUE"""),"その声は、ぜんぶ愛の唄にきこえる")</f>
        <v>その声は、ぜんぶ愛の唄にきこえる</v>
      </c>
      <c r="G603" s="11">
        <f>IFERROR(__xludf.DUMMYFUNCTION("""COMPUTED_VALUE"""),1.0)</f>
        <v>1</v>
      </c>
      <c r="H603" s="8" t="str">
        <f>IFERROR(__xludf.DUMMYFUNCTION("""COMPUTED_VALUE"""),"小道明奈")</f>
        <v>小道明奈</v>
      </c>
      <c r="I603" s="8" t="str">
        <f>IFERROR(__xludf.DUMMYFUNCTION("""COMPUTED_VALUE"""),"BL")</f>
        <v>BL</v>
      </c>
      <c r="J603" s="8"/>
      <c r="K603" s="8"/>
      <c r="L603" s="8" t="str">
        <f>IFERROR(__xludf.DUMMYFUNCTION("""COMPUTED_VALUE"""),"アメイロ")</f>
        <v>アメイロ</v>
      </c>
      <c r="M603" s="12">
        <f>IFERROR(__xludf.DUMMYFUNCTION("""COMPUTED_VALUE"""),45156.0)</f>
        <v>45156</v>
      </c>
      <c r="N603" s="12">
        <f>IFERROR(__xludf.DUMMYFUNCTION("""COMPUTED_VALUE"""),45330.70833333333)</f>
        <v>45330.70833</v>
      </c>
      <c r="O603" s="11"/>
      <c r="P603" s="9" t="str">
        <f>IFERROR(__xludf.DUMMYFUNCTION("""COMPUTED_VALUE"""),"可")</f>
        <v>可</v>
      </c>
      <c r="Q603" s="8"/>
      <c r="R603" s="9"/>
      <c r="S603" s="8" t="str">
        <f>IFERROR(__xludf.DUMMYFUNCTION("""COMPUTED_VALUE"""),"20230803_アメイロ_その声は、ぜんぶ愛の唄にきこえる")</f>
        <v>20230803_アメイロ_その声は、ぜんぶ愛の唄にきこえる</v>
      </c>
      <c r="T603" s="9" t="str">
        <f>IFERROR(__xludf.DUMMYFUNCTION("""COMPUTED_VALUE"""),"格納済")</f>
        <v>格納済</v>
      </c>
      <c r="U603" s="9" t="str">
        <f>IFERROR(__xludf.DUMMYFUNCTION("""COMPUTED_VALUE"""),"（C）小道明奈/アメイロ")</f>
        <v>（C）小道明奈/アメイロ</v>
      </c>
      <c r="V603" s="8" t="str">
        <f>IFERROR(__xludf.DUMMYFUNCTION("""COMPUTED_VALUE"""),"【激重S配信者×ガチ恋ウリ専】フェチえろメガ盛り!!!溺愛開発ラブ
スキル0、客の取れないウリ専・ムツミの生きがいは
“人気配信者・MASARU”のために投げ銭をすること。
高額課金者トップを走り続けるため、今日も今日とてカラダを売るお仕事へ。
そこで客として現れたのは、推しのMASARUで！？
彼の声を聴くだけで勃起してしまうムツミは
つたない舌使いながらも健気に推しのチ●コを愛撫する。
そんな姿にマサルは何やら興味を示し
「もっとエッチに開発してあげる」と囁いて――？")</f>
        <v>【激重S配信者×ガチ恋ウリ専】フェチえろメガ盛り!!!溺愛開発ラブ
スキル0、客の取れないウリ専・ムツミの生きがいは
“人気配信者・MASARU”のために投げ銭をすること。
高額課金者トップを走り続けるため、今日も今日とてカラダを売るお仕事へ。
そこで客として現れたのは、推しのMASARUで！？
彼の声を聴くだけで勃起してしまうムツミは
つたない舌使いながらも健気に推しのチ●コを愛撫する。
そんな姿にマサルは何やら興味を示し
「もっとエッチに開発してあげる」と囁いて――？</v>
      </c>
      <c r="W603" s="8"/>
      <c r="X603" s="8" t="str">
        <f>IFERROR(__xludf.DUMMYFUNCTION("""COMPUTED_VALUE"""),"有")</f>
        <v>有</v>
      </c>
      <c r="Y603" s="8" t="str">
        <f>IFERROR(__xludf.DUMMYFUNCTION("""COMPUTED_VALUE"""),"P13まで")</f>
        <v>P13まで</v>
      </c>
      <c r="Z603" s="7"/>
      <c r="AA603" s="7"/>
      <c r="AB603" s="7"/>
    </row>
    <row r="604" ht="15.75" customHeight="1">
      <c r="A604" s="8">
        <f>IFERROR(__xludf.DUMMYFUNCTION("""COMPUTED_VALUE"""),2207.0)</f>
        <v>2207</v>
      </c>
      <c r="B604" s="9" t="str">
        <f>IFERROR(__xludf.DUMMYFUNCTION("""COMPUTED_VALUE"""),"確定")</f>
        <v>確定</v>
      </c>
      <c r="C604" s="10">
        <f>IFERROR(__xludf.DUMMYFUNCTION("""COMPUTED_VALUE"""),45128.0)</f>
        <v>45128</v>
      </c>
      <c r="D604" s="10">
        <f>IFERROR(__xludf.DUMMYFUNCTION("""COMPUTED_VALUE"""),45146.0)</f>
        <v>45146</v>
      </c>
      <c r="E604" s="14">
        <f>IFERROR(__xludf.DUMMYFUNCTION("""COMPUTED_VALUE"""),275489.0)</f>
        <v>275489</v>
      </c>
      <c r="F604" s="9" t="str">
        <f>IFERROR(__xludf.DUMMYFUNCTION("""COMPUTED_VALUE"""),"僕と義妹の隠し事～家族になったキミの誘惑")</f>
        <v>僕と義妹の隠し事～家族になったキミの誘惑</v>
      </c>
      <c r="G604" s="11" t="str">
        <f>IFERROR(__xludf.DUMMYFUNCTION("""COMPUTED_VALUE"""),"1～3")</f>
        <v>1～3</v>
      </c>
      <c r="H604" s="8" t="str">
        <f>IFERROR(__xludf.DUMMYFUNCTION("""COMPUTED_VALUE"""),"文哉")</f>
        <v>文哉</v>
      </c>
      <c r="I604" s="8" t="str">
        <f>IFERROR(__xludf.DUMMYFUNCTION("""COMPUTED_VALUE"""),"青年")</f>
        <v>青年</v>
      </c>
      <c r="J604" s="8"/>
      <c r="K604" s="8"/>
      <c r="L604" s="8" t="str">
        <f>IFERROR(__xludf.DUMMYFUNCTION("""COMPUTED_VALUE"""),"Rush!")</f>
        <v>Rush!</v>
      </c>
      <c r="M604" s="12">
        <f>IFERROR(__xludf.DUMMYFUNCTION("""COMPUTED_VALUE"""),45176.0)</f>
        <v>45176</v>
      </c>
      <c r="N604" s="21">
        <f>IFERROR(__xludf.DUMMYFUNCTION("""COMPUTED_VALUE"""),45266.0)</f>
        <v>45266</v>
      </c>
      <c r="O604" s="11"/>
      <c r="P604" s="9" t="str">
        <f>IFERROR(__xludf.DUMMYFUNCTION("""COMPUTED_VALUE"""),"可")</f>
        <v>可</v>
      </c>
      <c r="Q604" s="8" t="str">
        <f>IFERROR(__xludf.DUMMYFUNCTION("""COMPUTED_VALUE"""),"協業レーベル『シーモア×Rush!Z』の作品です。&lt;BR&gt;")</f>
        <v>協業レーベル『シーモア×Rush!Z』の作品です。&lt;BR&gt;</v>
      </c>
      <c r="R604" s="9"/>
      <c r="S604" s="8" t="str">
        <f>IFERROR(__xludf.DUMMYFUNCTION("""COMPUTED_VALUE"""),"20230808_ファンギルド_僕と義妹の隠し事～家族になったキミの誘惑")</f>
        <v>20230808_ファンギルド_僕と義妹の隠し事～家族になったキミの誘惑</v>
      </c>
      <c r="T604" s="9"/>
      <c r="U604" s="15" t="str">
        <f>IFERROR(__xludf.DUMMYFUNCTION("""COMPUTED_VALUE"""),"©Fumiya")</f>
        <v>©Fumiya</v>
      </c>
      <c r="V604" s="8" t="str">
        <f>IFERROR(__xludf.DUMMYFUNCTION("""COMPUTED_VALUE"""),"「一回やっただけで勘違いしないで」――バイト三昧の男子大学生の朝燈は、ある日のバイト終わりに路地裏から男女が争う声を聴いてしまう。覗き込むと…そこには同じ大学に通っている憧れの同級生、雪乃の姿が！思わず雪乃を助けた朝燈。だが…なぜか雪乃にホテルに連れ込まれ、彼女に誘われるがままに一線を越えてしまう…！？その日以降、雪乃との関係を悩んでいた朝燈だが、父の再婚で雪乃が義妹になってしまい――！？")</f>
        <v>「一回やっただけで勘違いしないで」――バイト三昧の男子大学生の朝燈は、ある日のバイト終わりに路地裏から男女が争う声を聴いてしまう。覗き込むと…そこには同じ大学に通っている憧れの同級生、雪乃の姿が！思わず雪乃を助けた朝燈。だが…なぜか雪乃にホテルに連れ込まれ、彼女に誘われるがままに一線を越えてしまう…！？その日以降、雪乃との関係を悩んでいた朝燈だが、父の再婚で雪乃が義妹になってしまい――！？</v>
      </c>
      <c r="W604" s="8"/>
      <c r="X604" s="14" t="str">
        <f>IFERROR(__xludf.DUMMYFUNCTION("""COMPUTED_VALUE"""),"有")</f>
        <v>有</v>
      </c>
      <c r="Y604" s="8" t="str">
        <f>IFERROR(__xludf.DUMMYFUNCTION("""COMPUTED_VALUE"""),"9/20まで1巻無料")</f>
        <v>9/20まで1巻無料</v>
      </c>
      <c r="Z604" s="7"/>
      <c r="AA604" s="7"/>
      <c r="AB604" s="7"/>
    </row>
    <row r="605" ht="126.75" customHeight="1">
      <c r="A605" s="8">
        <f>IFERROR(__xludf.DUMMYFUNCTION("""COMPUTED_VALUE"""),2210.0)</f>
        <v>2210</v>
      </c>
      <c r="B605" s="9" t="str">
        <f>IFERROR(__xludf.DUMMYFUNCTION("""COMPUTED_VALUE"""),"確定")</f>
        <v>確定</v>
      </c>
      <c r="C605" s="10">
        <f>IFERROR(__xludf.DUMMYFUNCTION("""COMPUTED_VALUE"""),45128.0)</f>
        <v>45128</v>
      </c>
      <c r="D605" s="10">
        <f>IFERROR(__xludf.DUMMYFUNCTION("""COMPUTED_VALUE"""),45146.0)</f>
        <v>45146</v>
      </c>
      <c r="E605" s="14">
        <f>IFERROR(__xludf.DUMMYFUNCTION("""COMPUTED_VALUE"""),275491.0)</f>
        <v>275491</v>
      </c>
      <c r="F605" s="9" t="str">
        <f>IFERROR(__xludf.DUMMYFUNCTION("""COMPUTED_VALUE"""),"政略結婚はオタ恋のはじまり")</f>
        <v>政略結婚はオタ恋のはじまり</v>
      </c>
      <c r="G605" s="11" t="str">
        <f>IFERROR(__xludf.DUMMYFUNCTION("""COMPUTED_VALUE"""),"1～4")</f>
        <v>1～4</v>
      </c>
      <c r="H605" s="8" t="str">
        <f>IFERROR(__xludf.DUMMYFUNCTION("""COMPUTED_VALUE"""),"村崎ユカリ")</f>
        <v>村崎ユカリ</v>
      </c>
      <c r="I605" s="8" t="str">
        <f>IFERROR(__xludf.DUMMYFUNCTION("""COMPUTED_VALUE"""),"少女")</f>
        <v>少女</v>
      </c>
      <c r="J605" s="8"/>
      <c r="K605" s="8"/>
      <c r="L605" s="8" t="str">
        <f>IFERROR(__xludf.DUMMYFUNCTION("""COMPUTED_VALUE"""),"ファンギルド")</f>
        <v>ファンギルド</v>
      </c>
      <c r="M605" s="12">
        <f>IFERROR(__xludf.DUMMYFUNCTION("""COMPUTED_VALUE"""),45182.0)</f>
        <v>45182</v>
      </c>
      <c r="N605" s="21">
        <f>IFERROR(__xludf.DUMMYFUNCTION("""COMPUTED_VALUE"""),45209.0)</f>
        <v>45209</v>
      </c>
      <c r="O605" s="11"/>
      <c r="P605" s="9" t="str">
        <f>IFERROR(__xludf.DUMMYFUNCTION("""COMPUTED_VALUE"""),"可")</f>
        <v>可</v>
      </c>
      <c r="Q605" s="8"/>
      <c r="R605" s="9"/>
      <c r="S605" s="8" t="str">
        <f>IFERROR(__xludf.DUMMYFUNCTION("""COMPUTED_VALUE"""),"20230808_ファンギルド_政略結婚はオタ恋のはじまり")</f>
        <v>20230808_ファンギルド_政略結婚はオタ恋のはじまり</v>
      </c>
      <c r="T605" s="9"/>
      <c r="U605" s="15" t="str">
        <f>IFERROR(__xludf.DUMMYFUNCTION("""COMPUTED_VALUE"""),"©村崎ユカリ/ファンギルド")</f>
        <v>©村崎ユカリ/ファンギルド</v>
      </c>
      <c r="V605" s="8" t="str">
        <f>IFERROR(__xludf.DUMMYFUNCTION("""COMPUTED_VALUE"""),"冷徹なエリート御曹司（※オタク）×英才教育のお嬢様（※オタク）甘きゅんラブコメディ！「これは愛の無い結婚だ」そう夫の功一に宣告されたつゆりは、自由気ままなオタ活ライフを謳歌中。しかし参戦した推しのライブ会場で、予想外すぎる姿の功一と遭遇してーー！？政略結婚からはじまった訳アリ夫婦は、初めてだらけの新婚生活にときめきが止まらない…！")</f>
        <v>冷徹なエリート御曹司（※オタク）×英才教育のお嬢様（※オタク）甘きゅんラブコメディ！「これは愛の無い結婚だ」そう夫の功一に宣告されたつゆりは、自由気ままなオタ活ライフを謳歌中。しかし参戦した推しのライブ会場で、予想外すぎる姿の功一と遭遇してーー！？政略結婚からはじまった訳アリ夫婦は、初めてだらけの新婚生活にときめきが止まらない…！</v>
      </c>
      <c r="W605" s="8"/>
      <c r="X605" s="14" t="str">
        <f>IFERROR(__xludf.DUMMYFUNCTION("""COMPUTED_VALUE"""),"有")</f>
        <v>有</v>
      </c>
      <c r="Y605" s="8" t="str">
        <f>IFERROR(__xludf.DUMMYFUNCTION("""COMPUTED_VALUE"""),"P10まで")</f>
        <v>P10まで</v>
      </c>
      <c r="Z605" s="7"/>
      <c r="AA605" s="7"/>
      <c r="AB605" s="7"/>
    </row>
    <row r="606" ht="15.75" customHeight="1">
      <c r="A606" s="8">
        <f>IFERROR(__xludf.DUMMYFUNCTION("""COMPUTED_VALUE"""),2236.0)</f>
        <v>2236</v>
      </c>
      <c r="B606" s="9" t="str">
        <f>IFERROR(__xludf.DUMMYFUNCTION("""COMPUTED_VALUE"""),"確定")</f>
        <v>確定</v>
      </c>
      <c r="C606" s="10">
        <f>IFERROR(__xludf.DUMMYFUNCTION("""COMPUTED_VALUE"""),45134.0)</f>
        <v>45134</v>
      </c>
      <c r="D606" s="10">
        <f>IFERROR(__xludf.DUMMYFUNCTION("""COMPUTED_VALUE"""),45147.0)</f>
        <v>45147</v>
      </c>
      <c r="E606" s="14">
        <f>IFERROR(__xludf.DUMMYFUNCTION("""COMPUTED_VALUE"""),280836.0)</f>
        <v>280836</v>
      </c>
      <c r="F606" s="9" t="str">
        <f>IFERROR(__xludf.DUMMYFUNCTION("""COMPUTED_VALUE"""),"タイガの森の狩り暮らし～契約夫婦の東欧ごはん～")</f>
        <v>タイガの森の狩り暮らし～契約夫婦の東欧ごはん～</v>
      </c>
      <c r="G606" s="11" t="str">
        <f>IFERROR(__xludf.DUMMYFUNCTION("""COMPUTED_VALUE"""),"1～2")</f>
        <v>1～2</v>
      </c>
      <c r="H606" s="8" t="str">
        <f>IFERROR(__xludf.DUMMYFUNCTION("""COMPUTED_VALUE"""),"霞暁人")</f>
        <v>霞暁人</v>
      </c>
      <c r="I606" s="8" t="str">
        <f>IFERROR(__xludf.DUMMYFUNCTION("""COMPUTED_VALUE"""),"女性")</f>
        <v>女性</v>
      </c>
      <c r="J606" s="8"/>
      <c r="K606" s="8"/>
      <c r="L606" s="8" t="str">
        <f>IFERROR(__xludf.DUMMYFUNCTION("""COMPUTED_VALUE"""),"リブレ")</f>
        <v>リブレ</v>
      </c>
      <c r="M606" s="12">
        <f>IFERROR(__xludf.DUMMYFUNCTION("""COMPUTED_VALUE"""),45260.0)</f>
        <v>45260</v>
      </c>
      <c r="N606" s="12">
        <f>IFERROR(__xludf.DUMMYFUNCTION("""COMPUTED_VALUE"""),45287.0)</f>
        <v>45287</v>
      </c>
      <c r="O606" s="11"/>
      <c r="P606" s="9" t="str">
        <f>IFERROR(__xludf.DUMMYFUNCTION("""COMPUTED_VALUE"""),"可")</f>
        <v>可</v>
      </c>
      <c r="Q606" s="8" t="str">
        <f>IFERROR(__xludf.DUMMYFUNCTION("""COMPUTED_VALUE"""),"広告コミットOK(8/3)")</f>
        <v>広告コミットOK(8/3)</v>
      </c>
      <c r="R606" s="9"/>
      <c r="S606" s="8" t="str">
        <f>IFERROR(__xludf.DUMMYFUNCTION("""COMPUTED_VALUE"""),"20230727_リブレ_タイガの森の狩り暮らし～契約夫婦の東欧ごはん～")</f>
        <v>20230727_リブレ_タイガの森の狩り暮らし～契約夫婦の東欧ごはん～</v>
      </c>
      <c r="T606" s="9"/>
      <c r="U606" s="15" t="str">
        <f>IFERROR(__xludf.DUMMYFUNCTION("""COMPUTED_VALUE"""),"(C)霞暁人・江本マシメサ/libre")</f>
        <v>(C)霞暁人・江本マシメサ/libre</v>
      </c>
      <c r="V606" s="8" t="str">
        <f>IFERROR(__xludf.DUMMYFUNCTION("""COMPUTED_VALUE"""),"「お前には私の夫になってもらう」
雪深い針葉樹林（タイガ）の森でミハイルは追っ手から逃走中に倒れてしまい、女狩人オリガに保護される。
事情があって町には戻れない元パン屋のミハイルはオリガと利害が一致し契約結婚をすることに。
狩猟を生業とした狩人の村での暮らしの中、夫として家を守り、毎日料理を作る。夫婦の日常は自然の恵みを享受しながら続いていく――…。
厳しくも雄大な自然が育むワケあり夫婦の、おいしい東欧ごはんと狩りと雪国スローライフ！
※本書は「バニラブvol.46」に収録されております。")</f>
        <v>「お前には私の夫になってもらう」
雪深い針葉樹林（タイガ）の森でミハイルは追っ手から逃走中に倒れてしまい、女狩人オリガに保護される。
事情があって町には戻れない元パン屋のミハイルはオリガと利害が一致し契約結婚をすることに。
狩猟を生業とした狩人の村での暮らしの中、夫として家を守り、毎日料理を作る。夫婦の日常は自然の恵みを享受しながら続いていく――…。
厳しくも雄大な自然が育むワケあり夫婦の、おいしい東欧ごはんと狩りと雪国スローライフ！
※本書は「バニラブvol.46」に収録されております。</v>
      </c>
      <c r="W606" s="8"/>
      <c r="X606" s="14" t="str">
        <f>IFERROR(__xludf.DUMMYFUNCTION("""COMPUTED_VALUE"""),"有")</f>
        <v>有</v>
      </c>
      <c r="Y606" s="8" t="str">
        <f>IFERROR(__xludf.DUMMYFUNCTION("""COMPUTED_VALUE"""),"P10まで")</f>
        <v>P10まで</v>
      </c>
      <c r="Z606" s="7"/>
      <c r="AA606" s="7"/>
      <c r="AB606" s="7"/>
    </row>
    <row r="607" ht="15.75" customHeight="1">
      <c r="A607" s="8">
        <f>IFERROR(__xludf.DUMMYFUNCTION("""COMPUTED_VALUE"""),2252.0)</f>
        <v>2252</v>
      </c>
      <c r="B607" s="9" t="str">
        <f>IFERROR(__xludf.DUMMYFUNCTION("""COMPUTED_VALUE"""),"確定")</f>
        <v>確定</v>
      </c>
      <c r="C607" s="10">
        <f>IFERROR(__xludf.DUMMYFUNCTION("""COMPUTED_VALUE"""),45140.0)</f>
        <v>45140</v>
      </c>
      <c r="D607" s="10">
        <f>IFERROR(__xludf.DUMMYFUNCTION("""COMPUTED_VALUE"""),45145.0)</f>
        <v>45145</v>
      </c>
      <c r="E607" s="8">
        <f>IFERROR(__xludf.DUMMYFUNCTION("""COMPUTED_VALUE"""),274201.0)</f>
        <v>274201</v>
      </c>
      <c r="F607" s="9" t="str">
        <f>IFERROR(__xludf.DUMMYFUNCTION("""COMPUTED_VALUE"""),"恋するサイコの白雪くん")</f>
        <v>恋するサイコの白雪くん</v>
      </c>
      <c r="G607" s="11" t="str">
        <f>IFERROR(__xludf.DUMMYFUNCTION("""COMPUTED_VALUE"""),"1～2")</f>
        <v>1～2</v>
      </c>
      <c r="H607" s="8" t="str">
        <f>IFERROR(__xludf.DUMMYFUNCTION("""COMPUTED_VALUE"""),"江夏遙/MAHALO/石原通信")</f>
        <v>江夏遙/MAHALO/石原通信</v>
      </c>
      <c r="I607" s="14" t="str">
        <f>IFERROR(__xludf.DUMMYFUNCTION("""COMPUTED_VALUE"""),"青年")</f>
        <v>青年</v>
      </c>
      <c r="J607" s="8"/>
      <c r="K607" s="8"/>
      <c r="L607" s="8" t="str">
        <f>IFERROR(__xludf.DUMMYFUNCTION("""COMPUTED_VALUE"""),"taskey")</f>
        <v>taskey</v>
      </c>
      <c r="M607" s="12">
        <f>IFERROR(__xludf.DUMMYFUNCTION("""COMPUTED_VALUE"""),45147.0)</f>
        <v>45147</v>
      </c>
      <c r="N607" s="12">
        <f>IFERROR(__xludf.DUMMYFUNCTION("""COMPUTED_VALUE"""),2958465.7083333335)</f>
        <v>2958465.708</v>
      </c>
      <c r="O607" s="11"/>
      <c r="P607" s="9" t="str">
        <f>IFERROR(__xludf.DUMMYFUNCTION("""COMPUTED_VALUE"""),"可")</f>
        <v>可</v>
      </c>
      <c r="Q607" s="8"/>
      <c r="R607" s="9"/>
      <c r="S607" s="8" t="str">
        <f>IFERROR(__xludf.DUMMYFUNCTION("""COMPUTED_VALUE"""),"20230802_taskey_恋するサイコの白雪くん")</f>
        <v>20230802_taskey_恋するサイコの白雪くん</v>
      </c>
      <c r="T607" s="9" t="str">
        <f>IFERROR(__xludf.DUMMYFUNCTION("""COMPUTED_VALUE"""),"格納済み")</f>
        <v>格納済み</v>
      </c>
      <c r="U607" s="9" t="str">
        <f>IFERROR(__xludf.DUMMYFUNCTION("""COMPUTED_VALUE"""),"©︎江夏遙/MAHALO/石原通信/taskey")</f>
        <v>©︎江夏遙/MAHALO/石原通信/taskey</v>
      </c>
      <c r="V607" s="8" t="str">
        <f>IFERROR(__xludf.DUMMYFUNCTION("""COMPUTED_VALUE"""),"「僕、キミのこと好きになっちゃったかもしれない」そう言って白雪は微笑んだ。同級生３人に壮絶なイジメを受けていた晴樹は、ある日突然転校してきた美少年、白雪に「イジメがなくなったら僕と付き合ってくれる？」と持ち掛けられる。冗談だと聞き流した晴樹だったが、次の日から同級生が一人、また一人と姿を消していく。恋した転校生の白雪は、サイコパスだった。
")</f>
        <v>「僕、キミのこと好きになっちゃったかもしれない」そう言って白雪は微笑んだ。同級生３人に壮絶なイジメを受けていた晴樹は、ある日突然転校してきた美少年、白雪に「イジメがなくなったら僕と付き合ってくれる？」と持ち掛けられる。冗談だと聞き流した晴樹だったが、次の日から同級生が一人、また一人と姿を消していく。恋した転校生の白雪は、サイコパスだった。
</v>
      </c>
      <c r="W607" s="8"/>
      <c r="X607" s="8" t="str">
        <f>IFERROR(__xludf.DUMMYFUNCTION("""COMPUTED_VALUE"""),"有")</f>
        <v>有</v>
      </c>
      <c r="Y607" s="8" t="str">
        <f>IFERROR(__xludf.DUMMYFUNCTION("""COMPUTED_VALUE"""),"9/30まで1巻無料")</f>
        <v>9/30まで1巻無料</v>
      </c>
      <c r="Z607" s="7"/>
      <c r="AA607" s="7"/>
      <c r="AB607" s="7"/>
    </row>
    <row r="608" ht="104.25" customHeight="1">
      <c r="A608" s="8">
        <f>IFERROR(__xludf.DUMMYFUNCTION("""COMPUTED_VALUE"""),2257.0)</f>
        <v>2257</v>
      </c>
      <c r="B608" s="9" t="str">
        <f>IFERROR(__xludf.DUMMYFUNCTION("""COMPUTED_VALUE"""),"確定")</f>
        <v>確定</v>
      </c>
      <c r="C608" s="10">
        <f>IFERROR(__xludf.DUMMYFUNCTION("""COMPUTED_VALUE"""),45141.0)</f>
        <v>45141</v>
      </c>
      <c r="D608" s="10">
        <f>IFERROR(__xludf.DUMMYFUNCTION("""COMPUTED_VALUE"""),45145.0)</f>
        <v>45145</v>
      </c>
      <c r="E608" s="8">
        <f>IFERROR(__xludf.DUMMYFUNCTION("""COMPUTED_VALUE"""),275453.0)</f>
        <v>275453</v>
      </c>
      <c r="F608" s="9" t="str">
        <f>IFERROR(__xludf.DUMMYFUNCTION("""COMPUTED_VALUE"""),"チョロなと先パイ")</f>
        <v>チョロなと先パイ</v>
      </c>
      <c r="G608" s="11" t="str">
        <f>IFERROR(__xludf.DUMMYFUNCTION("""COMPUTED_VALUE"""),"1～6")</f>
        <v>1～6</v>
      </c>
      <c r="H608" s="8" t="str">
        <f>IFERROR(__xludf.DUMMYFUNCTION("""COMPUTED_VALUE"""),"杏野まこ")</f>
        <v>杏野まこ</v>
      </c>
      <c r="I608" s="8" t="str">
        <f>IFERROR(__xludf.DUMMYFUNCTION("""COMPUTED_VALUE"""),"少女")</f>
        <v>少女</v>
      </c>
      <c r="J608" s="8"/>
      <c r="K608" s="8"/>
      <c r="L608" s="8" t="str">
        <f>IFERROR(__xludf.DUMMYFUNCTION("""COMPUTED_VALUE"""),"集英社")</f>
        <v>集英社</v>
      </c>
      <c r="M608" s="12">
        <f>IFERROR(__xludf.DUMMYFUNCTION("""COMPUTED_VALUE"""),45163.0)</f>
        <v>45163</v>
      </c>
      <c r="N608" s="12">
        <f>IFERROR(__xludf.DUMMYFUNCTION("""COMPUTED_VALUE"""),45193.0)</f>
        <v>45193</v>
      </c>
      <c r="O608" s="11"/>
      <c r="P608" s="9" t="str">
        <f>IFERROR(__xludf.DUMMYFUNCTION("""COMPUTED_VALUE"""),"否")</f>
        <v>否</v>
      </c>
      <c r="Q608" s="8"/>
      <c r="R608" s="9"/>
      <c r="S608" s="8" t="str">
        <f>IFERROR(__xludf.DUMMYFUNCTION("""COMPUTED_VALUE"""),"20230803_集英社_チョロなと先パイ")</f>
        <v>20230803_集英社_チョロなと先パイ</v>
      </c>
      <c r="T608" s="9" t="str">
        <f>IFERROR(__xludf.DUMMYFUNCTION("""COMPUTED_VALUE"""),"格納済み")</f>
        <v>格納済み</v>
      </c>
      <c r="U608" s="9" t="str">
        <f>IFERROR(__xludf.DUMMYFUNCTION("""COMPUTED_VALUE"""),"©杏野まこ／集英社")</f>
        <v>©杏野まこ／集英社</v>
      </c>
      <c r="V608" s="8" t="str">
        <f>IFERROR(__xludf.DUMMYFUNCTION("""COMPUTED_VALUE"""),"フラれた回数は19回。恋愛下手のここなはある日、市ノ瀬先輩という特級イケメンに一目ぼれしてしまう。一生懸命アタックするものの市ノ瀬先輩からは「本気の恋愛はしない」と宣言され全く相手にされず!?　お人よしすぎる純情乙女とのらりくらり男子のむずきゅんロマンス開幕!!
")</f>
        <v>フラれた回数は19回。恋愛下手のここなはある日、市ノ瀬先輩という特級イケメンに一目ぼれしてしまう。一生懸命アタックするものの市ノ瀬先輩からは「本気の恋愛はしない」と宣言され全く相手にされず!?　お人よしすぎる純情乙女とのらりくらり男子のむずきゅんロマンス開幕!!
</v>
      </c>
      <c r="W608" s="8"/>
      <c r="X608" s="8" t="str">
        <f>IFERROR(__xludf.DUMMYFUNCTION("""COMPUTED_VALUE"""),"有")</f>
        <v>有</v>
      </c>
      <c r="Y608" s="8" t="str">
        <f>IFERROR(__xludf.DUMMYFUNCTION("""COMPUTED_VALUE"""),"P13まで")</f>
        <v>P13まで</v>
      </c>
      <c r="Z608" s="7"/>
      <c r="AA608" s="7"/>
      <c r="AB608" s="7"/>
    </row>
    <row r="609" ht="15.75" customHeight="1">
      <c r="A609" s="8">
        <f>IFERROR(__xludf.DUMMYFUNCTION("""COMPUTED_VALUE"""),2258.0)</f>
        <v>2258</v>
      </c>
      <c r="B609" s="9" t="str">
        <f>IFERROR(__xludf.DUMMYFUNCTION("""COMPUTED_VALUE"""),"確定")</f>
        <v>確定</v>
      </c>
      <c r="C609" s="10">
        <f>IFERROR(__xludf.DUMMYFUNCTION("""COMPUTED_VALUE"""),45141.0)</f>
        <v>45141</v>
      </c>
      <c r="D609" s="10">
        <f>IFERROR(__xludf.DUMMYFUNCTION("""COMPUTED_VALUE"""),45141.0)</f>
        <v>45141</v>
      </c>
      <c r="E609" s="14">
        <f>IFERROR(__xludf.DUMMYFUNCTION("""COMPUTED_VALUE"""),276210.0)</f>
        <v>276210</v>
      </c>
      <c r="F609" s="9" t="str">
        <f>IFERROR(__xludf.DUMMYFUNCTION("""COMPUTED_VALUE"""),"Comic Lueurかつて女の子だった人たちへ")</f>
        <v>Comic Lueurかつて女の子だった人たちへ</v>
      </c>
      <c r="G609" s="11" t="str">
        <f>IFERROR(__xludf.DUMMYFUNCTION("""COMPUTED_VALUE"""),"1～3")</f>
        <v>1～3</v>
      </c>
      <c r="H609" s="8" t="str">
        <f>IFERROR(__xludf.DUMMYFUNCTION("""COMPUTED_VALUE"""),"花衣ソノ、砂川雨路")</f>
        <v>花衣ソノ、砂川雨路</v>
      </c>
      <c r="I609" s="8" t="str">
        <f>IFERROR(__xludf.DUMMYFUNCTION("""COMPUTED_VALUE"""),"女性")</f>
        <v>女性</v>
      </c>
      <c r="J609" s="8"/>
      <c r="K609" s="8"/>
      <c r="L609" s="8" t="str">
        <f>IFERROR(__xludf.DUMMYFUNCTION("""COMPUTED_VALUE"""),"スターツ出版")</f>
        <v>スターツ出版</v>
      </c>
      <c r="M609" s="12">
        <f>IFERROR(__xludf.DUMMYFUNCTION("""COMPUTED_VALUE"""),45170.0)</f>
        <v>45170</v>
      </c>
      <c r="N609" s="21">
        <f>IFERROR(__xludf.DUMMYFUNCTION("""COMPUTED_VALUE"""),45323.70833333333)</f>
        <v>45323.70833</v>
      </c>
      <c r="O609" s="11"/>
      <c r="P609" s="9" t="str">
        <f>IFERROR(__xludf.DUMMYFUNCTION("""COMPUTED_VALUE"""),"否")</f>
        <v>否</v>
      </c>
      <c r="Q609" s="8"/>
      <c r="R609" s="9"/>
      <c r="S609" s="8" t="str">
        <f>IFERROR(__xludf.DUMMYFUNCTION("""COMPUTED_VALUE"""),"20230803_スターツ出版_コミックリュール新作")</f>
        <v>20230803_スターツ出版_コミックリュール新作</v>
      </c>
      <c r="T609" s="9"/>
      <c r="U609" s="15" t="str">
        <f>IFERROR(__xludf.DUMMYFUNCTION("""COMPUTED_VALUE"""),"（C）Hanai Sono・Amemichi Sunagawa/スターツ出版")</f>
        <v>（C）Hanai Sono・Amemichi Sunagawa/スターツ出版</v>
      </c>
      <c r="V609" s="8" t="str">
        <f>IFERROR(__xludf.DUMMYFUNCTION("""COMPUTED_VALUE"""),"「この男、欲しいな――」
ネイルにメイク、ヘアスタイル……自分の見た目への投資を惜しまないOL・レミ。容姿への自己投資を惜しまないのは、それに見合った男性を捕まえるため――。ある日、幼なじみのユミから気になっている男の人をチェックして欲しいと言われ、ユミの同僚を紹介される。何の気なしに会ったものの、紹介された敬士はレミの結婚相手の条件どストライクのハイスペ！レミはなんとかして敬士を手に入れようと決意。ルックスのいいレミからのアプローチに敬士もまんざらではなさそうで……。華麗なる略奪愛の先に待ち受けるもの"&amp;"は――!?")</f>
        <v>「この男、欲しいな――」
ネイルにメイク、ヘアスタイル……自分の見た目への投資を惜しまないOL・レミ。容姿への自己投資を惜しまないのは、それに見合った男性を捕まえるため――。ある日、幼なじみのユミから気になっている男の人をチェックして欲しいと言われ、ユミの同僚を紹介される。何の気なしに会ったものの、紹介された敬士はレミの結婚相手の条件どストライクのハイスペ！レミはなんとかして敬士を手に入れようと決意。ルックスのいいレミからのアプローチに敬士もまんざらではなさそうで……。華麗なる略奪愛の先に待ち受けるものは――!?</v>
      </c>
      <c r="W609" s="8"/>
      <c r="X609" s="8" t="str">
        <f>IFERROR(__xludf.DUMMYFUNCTION("""COMPUTED_VALUE"""),"有")</f>
        <v>有</v>
      </c>
      <c r="Y609" s="8" t="str">
        <f>IFERROR(__xludf.DUMMYFUNCTION("""COMPUTED_VALUE"""),"P13まで")</f>
        <v>P13まで</v>
      </c>
      <c r="Z609" s="7"/>
      <c r="AA609" s="7"/>
      <c r="AB609" s="7"/>
    </row>
    <row r="610" ht="15.75" customHeight="1">
      <c r="A610" s="8">
        <f>IFERROR(__xludf.DUMMYFUNCTION("""COMPUTED_VALUE"""),2260.0)</f>
        <v>2260</v>
      </c>
      <c r="B610" s="9" t="str">
        <f>IFERROR(__xludf.DUMMYFUNCTION("""COMPUTED_VALUE"""),"確定")</f>
        <v>確定</v>
      </c>
      <c r="C610" s="10">
        <f>IFERROR(__xludf.DUMMYFUNCTION("""COMPUTED_VALUE"""),45141.0)</f>
        <v>45141</v>
      </c>
      <c r="D610" s="10">
        <f>IFERROR(__xludf.DUMMYFUNCTION("""COMPUTED_VALUE"""),45141.0)</f>
        <v>45141</v>
      </c>
      <c r="E610" s="14">
        <f>IFERROR(__xludf.DUMMYFUNCTION("""COMPUTED_VALUE"""),276209.0)</f>
        <v>276209</v>
      </c>
      <c r="F610" s="9" t="str">
        <f>IFERROR(__xludf.DUMMYFUNCTION("""COMPUTED_VALUE"""),"Comic Lueurありふれて、ズルい恋")</f>
        <v>Comic Lueurありふれて、ズルい恋</v>
      </c>
      <c r="G610" s="11" t="str">
        <f>IFERROR(__xludf.DUMMYFUNCTION("""COMPUTED_VALUE"""),"1～3")</f>
        <v>1～3</v>
      </c>
      <c r="H610" s="8" t="str">
        <f>IFERROR(__xludf.DUMMYFUNCTION("""COMPUTED_VALUE"""),"みずき春（作画）、あさぎ千夜春 （原作）")</f>
        <v>みずき春（作画）、あさぎ千夜春 （原作）</v>
      </c>
      <c r="I610" s="8" t="str">
        <f>IFERROR(__xludf.DUMMYFUNCTION("""COMPUTED_VALUE"""),"女性")</f>
        <v>女性</v>
      </c>
      <c r="J610" s="8"/>
      <c r="K610" s="8"/>
      <c r="L610" s="8" t="str">
        <f>IFERROR(__xludf.DUMMYFUNCTION("""COMPUTED_VALUE"""),"スターツ出版")</f>
        <v>スターツ出版</v>
      </c>
      <c r="M610" s="12">
        <f>IFERROR(__xludf.DUMMYFUNCTION("""COMPUTED_VALUE"""),45170.0)</f>
        <v>45170</v>
      </c>
      <c r="N610" s="21">
        <f>IFERROR(__xludf.DUMMYFUNCTION("""COMPUTED_VALUE"""),45260.0)</f>
        <v>45260</v>
      </c>
      <c r="O610" s="11"/>
      <c r="P610" s="9" t="str">
        <f>IFERROR(__xludf.DUMMYFUNCTION("""COMPUTED_VALUE"""),"否")</f>
        <v>否</v>
      </c>
      <c r="Q610" s="8"/>
      <c r="R610" s="9"/>
      <c r="S610" s="8" t="str">
        <f>IFERROR(__xludf.DUMMYFUNCTION("""COMPUTED_VALUE"""),"20230803_スターツ出版_コミックリュール新作")</f>
        <v>20230803_スターツ出版_コミックリュール新作</v>
      </c>
      <c r="T610" s="9"/>
      <c r="U610" s="15" t="str">
        <f>IFERROR(__xludf.DUMMYFUNCTION("""COMPUTED_VALUE"""),"（C）Hanai Sono・Amemichi Sunagawa/スターツ出版")</f>
        <v>（C）Hanai Sono・Amemichi Sunagawa/スターツ出版</v>
      </c>
      <c r="V610" s="8" t="str">
        <f>IFERROR(__xludf.DUMMYFUNCTION("""COMPUTED_VALUE"""),"「あなたの部屋に連れて行ってください――。」
地方都市で税理士をしている雪季は35歳で独身。色気のないパンツスーツで真面目に仕事をこなし、色気がないと仕事相手にすら思われている。けれど、実は東京出張にかこつけて逢瀬を重ねる既婚者の恋人・秀一がいて……。不倫という関係に虚しさを感じながらも大学時代の憧れの先輩との関係を断ち切れない雪季は、あるクリスマスの夜、綺麗だけれどどこかつかみどころのない男と出会い一夜を過ごすことに――！？")</f>
        <v>「あなたの部屋に連れて行ってください――。」
地方都市で税理士をしている雪季は35歳で独身。色気のないパンツスーツで真面目に仕事をこなし、色気がないと仕事相手にすら思われている。けれど、実は東京出張にかこつけて逢瀬を重ねる既婚者の恋人・秀一がいて……。不倫という関係に虚しさを感じながらも大学時代の憧れの先輩との関係を断ち切れない雪季は、あるクリスマスの夜、綺麗だけれどどこかつかみどころのない男と出会い一夜を過ごすことに――！？</v>
      </c>
      <c r="W610" s="8"/>
      <c r="X610" s="22" t="str">
        <f>IFERROR(__xludf.DUMMYFUNCTION("""COMPUTED_VALUE"""),"有")</f>
        <v>有</v>
      </c>
      <c r="Y610" s="8" t="str">
        <f>IFERROR(__xludf.DUMMYFUNCTION("""COMPUTED_VALUE"""),"P11まで")</f>
        <v>P11まで</v>
      </c>
      <c r="Z610" s="7"/>
      <c r="AA610" s="7"/>
      <c r="AB610" s="7"/>
    </row>
    <row r="611" ht="15.75" customHeight="1">
      <c r="A611" s="8">
        <f>IFERROR(__xludf.DUMMYFUNCTION("""COMPUTED_VALUE"""),2261.0)</f>
        <v>2261</v>
      </c>
      <c r="B611" s="9" t="str">
        <f>IFERROR(__xludf.DUMMYFUNCTION("""COMPUTED_VALUE"""),"確定")</f>
        <v>確定</v>
      </c>
      <c r="C611" s="10">
        <f>IFERROR(__xludf.DUMMYFUNCTION("""COMPUTED_VALUE"""),45141.0)</f>
        <v>45141</v>
      </c>
      <c r="D611" s="10">
        <f>IFERROR(__xludf.DUMMYFUNCTION("""COMPUTED_VALUE"""),45145.0)</f>
        <v>45145</v>
      </c>
      <c r="E611" s="8">
        <f>IFERROR(__xludf.DUMMYFUNCTION("""COMPUTED_VALUE"""),273788.0)</f>
        <v>273788</v>
      </c>
      <c r="F611" s="9" t="str">
        <f>IFERROR(__xludf.DUMMYFUNCTION("""COMPUTED_VALUE"""),"異世界禁忌婚")</f>
        <v>異世界禁忌婚</v>
      </c>
      <c r="G611" s="11" t="str">
        <f>IFERROR(__xludf.DUMMYFUNCTION("""COMPUTED_VALUE"""),"1～2")</f>
        <v>1～2</v>
      </c>
      <c r="H611" s="8" t="str">
        <f>IFERROR(__xludf.DUMMYFUNCTION("""COMPUTED_VALUE"""),"空飛ぶひよこ/YOSHITORA/雪平薫")</f>
        <v>空飛ぶひよこ/YOSHITORA/雪平薫</v>
      </c>
      <c r="I611" s="14" t="str">
        <f>IFERROR(__xludf.DUMMYFUNCTION("""COMPUTED_VALUE"""),"青年")</f>
        <v>青年</v>
      </c>
      <c r="J611" s="8"/>
      <c r="K611" s="8"/>
      <c r="L611" s="8" t="str">
        <f>IFERROR(__xludf.DUMMYFUNCTION("""COMPUTED_VALUE"""),"taskey")</f>
        <v>taskey</v>
      </c>
      <c r="M611" s="12">
        <f>IFERROR(__xludf.DUMMYFUNCTION("""COMPUTED_VALUE"""),45147.0)</f>
        <v>45147</v>
      </c>
      <c r="N611" s="12">
        <f>IFERROR(__xludf.DUMMYFUNCTION("""COMPUTED_VALUE"""),45238.70833333333)</f>
        <v>45238.70833</v>
      </c>
      <c r="O611" s="11"/>
      <c r="P611" s="9" t="str">
        <f>IFERROR(__xludf.DUMMYFUNCTION("""COMPUTED_VALUE"""),"可")</f>
        <v>可</v>
      </c>
      <c r="Q611" s="8"/>
      <c r="R611" s="9"/>
      <c r="S611" s="8" t="str">
        <f>IFERROR(__xludf.DUMMYFUNCTION("""COMPUTED_VALUE"""),"20230803_taskey_異世界禁忌婚")</f>
        <v>20230803_taskey_異世界禁忌婚</v>
      </c>
      <c r="T611" s="9" t="str">
        <f>IFERROR(__xludf.DUMMYFUNCTION("""COMPUTED_VALUE"""),"格納済み")</f>
        <v>格納済み</v>
      </c>
      <c r="U611" s="9" t="str">
        <f>IFERROR(__xludf.DUMMYFUNCTION("""COMPUTED_VALUE"""),"©︎空飛ぶひよこ/YOSHITORA/雪平薫/taskey")</f>
        <v>©︎空飛ぶひよこ/YOSHITORA/雪平薫/taskey</v>
      </c>
      <c r="V611" s="8" t="str">
        <f>IFERROR(__xludf.DUMMYFUNCTION("""COMPUTED_VALUE"""),"目を覚ますと、見知らぬ館に監禁されていたあかり。部屋の中には様々な年齢の四人の女たちがいた。「あなたは屋敷の主の第五夫人に選ばれた」「私たちはみな、この屋敷の主の子どもを産ませられるために集められたの」屋敷の主の機嫌を損ねれば、容赦ない死の制裁が待ち受けている。果たしてあかりは、この屋敷から逃がれる事はできるのだろうか──。
")</f>
        <v>目を覚ますと、見知らぬ館に監禁されていたあかり。部屋の中には様々な年齢の四人の女たちがいた。「あなたは屋敷の主の第五夫人に選ばれた」「私たちはみな、この屋敷の主の子どもを産ませられるために集められたの」屋敷の主の機嫌を損ねれば、容赦ない死の制裁が待ち受けている。果たしてあかりは、この屋敷から逃がれる事はできるのだろうか──。
</v>
      </c>
      <c r="W611" s="8"/>
      <c r="X611" s="8" t="str">
        <f>IFERROR(__xludf.DUMMYFUNCTION("""COMPUTED_VALUE"""),"有")</f>
        <v>有</v>
      </c>
      <c r="Y611" s="8" t="str">
        <f>IFERROR(__xludf.DUMMYFUNCTION("""COMPUTED_VALUE"""),"9/30まで1巻無料")</f>
        <v>9/30まで1巻無料</v>
      </c>
      <c r="Z611" s="7"/>
      <c r="AA611" s="7"/>
      <c r="AB611" s="7"/>
    </row>
    <row r="612" ht="15.75" customHeight="1">
      <c r="A612" s="8">
        <f>IFERROR(__xludf.DUMMYFUNCTION("""COMPUTED_VALUE"""),2262.0)</f>
        <v>2262</v>
      </c>
      <c r="B612" s="9" t="str">
        <f>IFERROR(__xludf.DUMMYFUNCTION("""COMPUTED_VALUE"""),"確定")</f>
        <v>確定</v>
      </c>
      <c r="C612" s="10">
        <f>IFERROR(__xludf.DUMMYFUNCTION("""COMPUTED_VALUE"""),45142.0)</f>
        <v>45142</v>
      </c>
      <c r="D612" s="10">
        <f>IFERROR(__xludf.DUMMYFUNCTION("""COMPUTED_VALUE"""),45142.0)</f>
        <v>45142</v>
      </c>
      <c r="E612" s="14">
        <f>IFERROR(__xludf.DUMMYFUNCTION("""COMPUTED_VALUE"""),275690.0)</f>
        <v>275690</v>
      </c>
      <c r="F612" s="15" t="str">
        <f>IFERROR(__xludf.DUMMYFUNCTION("""COMPUTED_VALUE"""),"ラブドラッグ・アフターサービス【コミックス版】【シーモア限定特典付き】")</f>
        <v>ラブドラッグ・アフターサービス【コミックス版】【シーモア限定特典付き】</v>
      </c>
      <c r="G612" s="11">
        <f>IFERROR(__xludf.DUMMYFUNCTION("""COMPUTED_VALUE"""),1.0)</f>
        <v>1</v>
      </c>
      <c r="H612" s="8" t="str">
        <f>IFERROR(__xludf.DUMMYFUNCTION("""COMPUTED_VALUE"""),"三栖よこ")</f>
        <v>三栖よこ</v>
      </c>
      <c r="I612" s="8" t="str">
        <f>IFERROR(__xludf.DUMMYFUNCTION("""COMPUTED_VALUE"""),"BL")</f>
        <v>BL</v>
      </c>
      <c r="J612" s="8"/>
      <c r="K612" s="8"/>
      <c r="L612" s="8" t="str">
        <f>IFERROR(__xludf.DUMMYFUNCTION("""COMPUTED_VALUE"""),"東京漫画社")</f>
        <v>東京漫画社</v>
      </c>
      <c r="M612" s="12">
        <f>IFERROR(__xludf.DUMMYFUNCTION("""COMPUTED_VALUE"""),45178.0)</f>
        <v>45178</v>
      </c>
      <c r="N612" s="21">
        <f>IFERROR(__xludf.DUMMYFUNCTION("""COMPUTED_VALUE"""),45238.0)</f>
        <v>45238</v>
      </c>
      <c r="O612" s="11"/>
      <c r="P612" s="9" t="str">
        <f>IFERROR(__xludf.DUMMYFUNCTION("""COMPUTED_VALUE"""),"可")</f>
        <v>可</v>
      </c>
      <c r="Q612" s="8" t="str">
        <f>IFERROR(__xludf.DUMMYFUNCTION("""COMPUTED_VALUE"""),"事前に河上さんと外部出稿コミットを調整済みの作品になります")</f>
        <v>事前に河上さんと外部出稿コミットを調整済みの作品になります</v>
      </c>
      <c r="R612" s="9"/>
      <c r="S612" s="8" t="str">
        <f>IFERROR(__xludf.DUMMYFUNCTION("""COMPUTED_VALUE"""),"20230804_東京漫画社_ラブドラッグ・アフターサービス【コミックス版】")</f>
        <v>20230804_東京漫画社_ラブドラッグ・アフターサービス【コミックス版】</v>
      </c>
      <c r="T612" s="9"/>
      <c r="U612" s="15" t="str">
        <f>IFERROR(__xludf.DUMMYFUNCTION("""COMPUTED_VALUE"""),"©三栖よこ/東京漫画社")</f>
        <v>©三栖よこ/東京漫画社</v>
      </c>
      <c r="V612" s="8" t="str">
        <f>IFERROR(__xludf.DUMMYFUNCTION("""COMPUTED_VALUE"""),"元ヤングアダルトグッズメーカー社員 × 強気美人なヤクザの愛人
俺がアンタを立派な愛人にしてやるよ
元ヤンのアダルトグッズメーカー社員・拓郎は、「媚薬が効かないから詫びに来い！」と理不尽なクレームを入れてきた客の自宅へ謝罪に行くことに。
しかしそこはヤクザの事務所で、まさか組長の息子？！と焦る拓郎だが、出迎えたのは色気のある美人な男・来海だった。
電話通りの横柄な態度に辟易していると、時間差で媚薬の効果が出てきてしまい…！？
※本コンテンツには、コミックシーモア限定特典が付与されています")</f>
        <v>元ヤングアダルトグッズメーカー社員 × 強気美人なヤクザの愛人
俺がアンタを立派な愛人にしてやるよ
元ヤンのアダルトグッズメーカー社員・拓郎は、「媚薬が効かないから詫びに来い！」と理不尽なクレームを入れてきた客の自宅へ謝罪に行くことに。
しかしそこはヤクザの事務所で、まさか組長の息子？！と焦る拓郎だが、出迎えたのは色気のある美人な男・来海だった。
電話通りの横柄な態度に辟易していると、時間差で媚薬の効果が出てきてしまい…！？
※本コンテンツには、コミックシーモア限定特典が付与されています</v>
      </c>
      <c r="W612" s="8"/>
      <c r="X612" s="14" t="str">
        <f>IFERROR(__xludf.DUMMYFUNCTION("""COMPUTED_VALUE"""),"有")</f>
        <v>有</v>
      </c>
      <c r="Y612" s="8" t="str">
        <f>IFERROR(__xludf.DUMMYFUNCTION("""COMPUTED_VALUE"""),"10/8まで立ち読み増量P36まで")</f>
        <v>10/8まで立ち読み増量P36まで</v>
      </c>
      <c r="Z612" s="7"/>
      <c r="AA612" s="7"/>
      <c r="AB612" s="7"/>
    </row>
    <row r="613" ht="15.75" customHeight="1">
      <c r="A613" s="8">
        <f>IFERROR(__xludf.DUMMYFUNCTION("""COMPUTED_VALUE"""),2263.0)</f>
        <v>2263</v>
      </c>
      <c r="B613" s="9" t="str">
        <f>IFERROR(__xludf.DUMMYFUNCTION("""COMPUTED_VALUE"""),"確定")</f>
        <v>確定</v>
      </c>
      <c r="C613" s="10">
        <f>IFERROR(__xludf.DUMMYFUNCTION("""COMPUTED_VALUE"""),45142.0)</f>
        <v>45142</v>
      </c>
      <c r="D613" s="10">
        <f>IFERROR(__xludf.DUMMYFUNCTION("""COMPUTED_VALUE"""),45142.0)</f>
        <v>45142</v>
      </c>
      <c r="E613" s="14">
        <f>IFERROR(__xludf.DUMMYFUNCTION("""COMPUTED_VALUE"""),276486.0)</f>
        <v>276486</v>
      </c>
      <c r="F613" s="9" t="str">
        <f>IFERROR(__xludf.DUMMYFUNCTION("""COMPUTED_VALUE"""),"寝ても覚めてもオマエに夢中【コミックス版】")</f>
        <v>寝ても覚めてもオマエに夢中【コミックス版】</v>
      </c>
      <c r="G613" s="11">
        <f>IFERROR(__xludf.DUMMYFUNCTION("""COMPUTED_VALUE"""),1.0)</f>
        <v>1</v>
      </c>
      <c r="H613" s="8" t="str">
        <f>IFERROR(__xludf.DUMMYFUNCTION("""COMPUTED_VALUE"""),"秋鮭こぐま")</f>
        <v>秋鮭こぐま</v>
      </c>
      <c r="I613" s="8" t="str">
        <f>IFERROR(__xludf.DUMMYFUNCTION("""COMPUTED_VALUE"""),"BL")</f>
        <v>BL</v>
      </c>
      <c r="J613" s="8"/>
      <c r="K613" s="8"/>
      <c r="L613" s="8" t="str">
        <f>IFERROR(__xludf.DUMMYFUNCTION("""COMPUTED_VALUE"""),"東京漫画社")</f>
        <v>東京漫画社</v>
      </c>
      <c r="M613" s="12">
        <f>IFERROR(__xludf.DUMMYFUNCTION("""COMPUTED_VALUE"""),45192.0)</f>
        <v>45192</v>
      </c>
      <c r="N613" s="21">
        <f>IFERROR(__xludf.DUMMYFUNCTION("""COMPUTED_VALUE"""),45252.0)</f>
        <v>45252</v>
      </c>
      <c r="O613" s="11"/>
      <c r="P613" s="9" t="str">
        <f>IFERROR(__xludf.DUMMYFUNCTION("""COMPUTED_VALUE"""),"可")</f>
        <v>可</v>
      </c>
      <c r="Q613" s="8" t="str">
        <f>IFERROR(__xludf.DUMMYFUNCTION("""COMPUTED_VALUE"""),"事前に河上さんと出稿コミット調整させていただいている作品になります")</f>
        <v>事前に河上さんと出稿コミット調整させていただいている作品になります</v>
      </c>
      <c r="R613" s="9"/>
      <c r="S613" s="8" t="str">
        <f>IFERROR(__xludf.DUMMYFUNCTION("""COMPUTED_VALUE"""),"20230804_東京漫画社_寝ても覚めてもオマエに夢中【コミックス版】")</f>
        <v>20230804_東京漫画社_寝ても覚めてもオマエに夢中【コミックス版】</v>
      </c>
      <c r="T613" s="9"/>
      <c r="U613" s="15" t="str">
        <f>IFERROR(__xludf.DUMMYFUNCTION("""COMPUTED_VALUE"""),"©秋鮭こぐま /東京漫画社")</f>
        <v>©秋鮭こぐま /東京漫画社</v>
      </c>
      <c r="V613" s="8" t="str">
        <f>IFERROR(__xludf.DUMMYFUNCTION("""COMPUTED_VALUE"""),"堅物SE×勝ち気営業
甘々えっちはけんかの後で♂♂
夢からはじまる拗らせ両片想い
SEの宗像は、会社の同期で営業の本城と顔を合わせるたびにケンカしてばかり。
そんな2人だが、入社5年目にして舞い降りた大型案件がきっかけでようやく距離が縮まる…と思いきや宗像は本城と貪るようにキスをする夢を見てしまう。
以後何かあるごとに意識してしまい、果ては夢と間違えて現実の本城の乳首を舐めたり、パンツに手を突っ込んだり、どんどんえっちな方向に拗れていきーー！？
※本コンテンツには、コミックシーモア"&amp;"限定特典が付与されています")</f>
        <v>堅物SE×勝ち気営業
甘々えっちはけんかの後で♂♂
夢からはじまる拗らせ両片想い
SEの宗像は、会社の同期で営業の本城と顔を合わせるたびにケンカしてばかり。
そんな2人だが、入社5年目にして舞い降りた大型案件がきっかけでようやく距離が縮まる…と思いきや宗像は本城と貪るようにキスをする夢を見てしまう。
以後何かあるごとに意識してしまい、果ては夢と間違えて現実の本城の乳首を舐めたり、パンツに手を突っ込んだり、どんどんえっちな方向に拗れていきーー！？
※本コンテンツには、コミックシーモア限定特典が付与されています</v>
      </c>
      <c r="W613" s="14"/>
      <c r="X613" s="14" t="str">
        <f>IFERROR(__xludf.DUMMYFUNCTION("""COMPUTED_VALUE"""),"有
")</f>
        <v>有
</v>
      </c>
      <c r="Y613" s="8" t="str">
        <f>IFERROR(__xludf.DUMMYFUNCTION("""COMPUTED_VALUE"""),"P10まで")</f>
        <v>P10まで</v>
      </c>
      <c r="Z613" s="7"/>
      <c r="AA613" s="7"/>
      <c r="AB613" s="7"/>
    </row>
    <row r="614" ht="15.75" customHeight="1">
      <c r="A614" s="8">
        <f>IFERROR(__xludf.DUMMYFUNCTION("""COMPUTED_VALUE"""),2266.0)</f>
        <v>2266</v>
      </c>
      <c r="B614" s="9" t="str">
        <f>IFERROR(__xludf.DUMMYFUNCTION("""COMPUTED_VALUE"""),"確定")</f>
        <v>確定</v>
      </c>
      <c r="C614" s="10">
        <f>IFERROR(__xludf.DUMMYFUNCTION("""COMPUTED_VALUE"""),45146.0)</f>
        <v>45146</v>
      </c>
      <c r="D614" s="10">
        <f>IFERROR(__xludf.DUMMYFUNCTION("""COMPUTED_VALUE"""),45147.0)</f>
        <v>45147</v>
      </c>
      <c r="E614" s="8">
        <f>IFERROR(__xludf.DUMMYFUNCTION("""COMPUTED_VALUE"""),263632.0)</f>
        <v>263632</v>
      </c>
      <c r="F614" s="9" t="str">
        <f>IFERROR(__xludf.DUMMYFUNCTION("""COMPUTED_VALUE"""),"甘えベタな私が愛されるには")</f>
        <v>甘えベタな私が愛されるには</v>
      </c>
      <c r="G614" s="11" t="str">
        <f>IFERROR(__xludf.DUMMYFUNCTION("""COMPUTED_VALUE"""),"1～3")</f>
        <v>1～3</v>
      </c>
      <c r="H614" s="8" t="str">
        <f>IFERROR(__xludf.DUMMYFUNCTION("""COMPUTED_VALUE"""),"ますだ悠")</f>
        <v>ますだ悠</v>
      </c>
      <c r="I614" s="14" t="str">
        <f>IFERROR(__xludf.DUMMYFUNCTION("""COMPUTED_VALUE"""),"少女")</f>
        <v>少女</v>
      </c>
      <c r="J614" s="8"/>
      <c r="K614" s="8"/>
      <c r="L614" s="8" t="str">
        <f>IFERROR(__xludf.DUMMYFUNCTION("""COMPUTED_VALUE"""),"ソルマーレ編集部")</f>
        <v>ソルマーレ編集部</v>
      </c>
      <c r="M614" s="12">
        <f>IFERROR(__xludf.DUMMYFUNCTION("""COMPUTED_VALUE"""),45178.0)</f>
        <v>45178</v>
      </c>
      <c r="N614" s="21">
        <f>IFERROR(__xludf.DUMMYFUNCTION("""COMPUTED_VALUE"""),45239.0)</f>
        <v>45239</v>
      </c>
      <c r="O614" s="11"/>
      <c r="P614" s="9" t="str">
        <f>IFERROR(__xludf.DUMMYFUNCTION("""COMPUTED_VALUE"""),"可")</f>
        <v>可</v>
      </c>
      <c r="Q614" s="8" t="str">
        <f>IFERROR(__xludf.DUMMYFUNCTION("""COMPUTED_VALUE"""),"データが揃いましたのでフォルダパスを更新しました（8/9）&lt;BR&gt;※正式タイトル下記の通りです（8/8）&lt;BR&gt;＝＝＝&lt;BR&gt;甘えベタな私が愛されるには&lt;BR&gt;＝＝＝&lt;BR&gt;")</f>
        <v>データが揃いましたのでフォルダパスを更新しました（8/9）&lt;BR&gt;※正式タイトル下記の通りです（8/8）&lt;BR&gt;＝＝＝&lt;BR&gt;甘えベタな私が愛されるには&lt;BR&gt;＝＝＝&lt;BR&gt;</v>
      </c>
      <c r="R614" s="9"/>
      <c r="S614" s="8" t="str">
        <f>IFERROR(__xludf.DUMMYFUNCTION("""COMPUTED_VALUE"""),"20230809_ソルマーレ編集部_甘えベタな私が愛されるには")</f>
        <v>20230809_ソルマーレ編集部_甘えベタな私が愛されるには</v>
      </c>
      <c r="T614" s="15"/>
      <c r="U614" s="15" t="str">
        <f>IFERROR(__xludf.DUMMYFUNCTION("""COMPUTED_VALUE"""),"Ⓒ ますだ悠/シーモアコミックス")</f>
        <v>Ⓒ ますだ悠/シーモアコミックス</v>
      </c>
      <c r="V614" s="8" t="str">
        <f>IFERROR(__xludf.DUMMYFUNCTION("""COMPUTED_VALUE"""),"母子家庭で育ち、姉御肌で頼られ体質のまなみ。母が入院中ということもあり、まだ小さい弟や妹のために普段よりも多めにバイトをする日々。
そんな中、コンビニの深夜バイト中に手を怪我してしまうが、ちょうど来店していたお客さんの内海（うつみ）が心配して手当してくれた。「あんなに女の子扱いされたの初めてだな…」それ以来、コンビニへよく来るようになった内海と次第に仲良くなっていった。
内海もまなみのことを気にかけているようで、ある日のバイト終わりの帰宅中、元カレに絡まれているところを助けてくれるのだった―――。
"&amp;"内海のことを好きになりかけていた時、まなみの高校に新担任としてやってきたのは…。【恋するソワレ】")</f>
        <v>母子家庭で育ち、姉御肌で頼られ体質のまなみ。母が入院中ということもあり、まだ小さい弟や妹のために普段よりも多めにバイトをする日々。
そんな中、コンビニの深夜バイト中に手を怪我してしまうが、ちょうど来店していたお客さんの内海（うつみ）が心配して手当してくれた。「あんなに女の子扱いされたの初めてだな…」それ以来、コンビニへよく来るようになった内海と次第に仲良くなっていった。
内海もまなみのことを気にかけているようで、ある日のバイト終わりの帰宅中、元カレに絡まれているところを助けてくれるのだった―――。
内海のことを好きになりかけていた時、まなみの高校に新担任としてやってきたのは…。【恋するソワレ】</v>
      </c>
      <c r="W614" s="14"/>
      <c r="X614" s="14" t="str">
        <f>IFERROR(__xludf.DUMMYFUNCTION("""COMPUTED_VALUE"""),"有
")</f>
        <v>有
</v>
      </c>
      <c r="Y614" s="8" t="str">
        <f>IFERROR(__xludf.DUMMYFUNCTION("""COMPUTED_VALUE"""),"9/22まで1巻無料")</f>
        <v>9/22まで1巻無料</v>
      </c>
      <c r="Z614" s="7"/>
      <c r="AA614" s="7"/>
      <c r="AB614" s="7"/>
    </row>
    <row r="615" ht="15.75" customHeight="1">
      <c r="A615" s="8">
        <f>IFERROR(__xludf.DUMMYFUNCTION("""COMPUTED_VALUE"""),1919.0)</f>
        <v>1919</v>
      </c>
      <c r="B615" s="9" t="str">
        <f>IFERROR(__xludf.DUMMYFUNCTION("""COMPUTED_VALUE"""),"確定")</f>
        <v>確定</v>
      </c>
      <c r="C615" s="10">
        <f>IFERROR(__xludf.DUMMYFUNCTION("""COMPUTED_VALUE"""),45044.0)</f>
        <v>45044</v>
      </c>
      <c r="D615" s="10">
        <f>IFERROR(__xludf.DUMMYFUNCTION("""COMPUTED_VALUE"""),45155.0)</f>
        <v>45155</v>
      </c>
      <c r="E615" s="14">
        <f>IFERROR(__xludf.DUMMYFUNCTION("""COMPUTED_VALUE"""),273230.0)</f>
        <v>273230</v>
      </c>
      <c r="F615" s="9" t="str">
        <f>IFERROR(__xludf.DUMMYFUNCTION("""COMPUTED_VALUE"""),"この雪原で君が笑っていられるように【マイクロ】")</f>
        <v>この雪原で君が笑っていられるように【マイクロ】</v>
      </c>
      <c r="G615" s="16" t="str">
        <f>IFERROR(__xludf.DUMMYFUNCTION("""COMPUTED_VALUE"""),"1～3")</f>
        <v>1～3</v>
      </c>
      <c r="H615" s="8" t="str">
        <f>IFERROR(__xludf.DUMMYFUNCTION("""COMPUTED_VALUE"""),"ちづはるか")</f>
        <v>ちづはるか</v>
      </c>
      <c r="I615" s="8" t="str">
        <f>IFERROR(__xludf.DUMMYFUNCTION("""COMPUTED_VALUE"""),"女性")</f>
        <v>女性</v>
      </c>
      <c r="J615" s="8"/>
      <c r="K615" s="8"/>
      <c r="L615" s="8" t="str">
        <f>IFERROR(__xludf.DUMMYFUNCTION("""COMPUTED_VALUE"""),"小学館")</f>
        <v>小学館</v>
      </c>
      <c r="M615" s="12">
        <f>IFERROR(__xludf.DUMMYFUNCTION("""COMPUTED_VALUE"""),45174.0)</f>
        <v>45174</v>
      </c>
      <c r="N615" s="23">
        <f>IFERROR(__xludf.DUMMYFUNCTION("""COMPUTED_VALUE"""),45234.0)</f>
        <v>45234</v>
      </c>
      <c r="O615" s="11"/>
      <c r="P615" s="9" t="str">
        <f>IFERROR(__xludf.DUMMYFUNCTION("""COMPUTED_VALUE"""),"否")</f>
        <v>否</v>
      </c>
      <c r="Q615" s="8" t="str">
        <f>IFERROR(__xludf.DUMMYFUNCTION("""COMPUTED_VALUE"""),"広告コミットOK（5/8）")</f>
        <v>広告コミットOK（5/8）</v>
      </c>
      <c r="R615" s="24">
        <f>IFERROR(__xludf.DUMMYFUNCTION("""COMPUTED_VALUE"""),45145.0)</f>
        <v>45145</v>
      </c>
      <c r="S615" s="8" t="str">
        <f>IFERROR(__xludf.DUMMYFUNCTION("""COMPUTED_VALUE"""),"20230810_小学館_この雪原で君が笑っていられるように【マイクロ】")</f>
        <v>20230810_小学館_この雪原で君が笑っていられるように【マイクロ】</v>
      </c>
      <c r="T615" s="9" t="str">
        <f>IFERROR(__xludf.DUMMYFUNCTION("""COMPUTED_VALUE"""),"格納済み")</f>
        <v>格納済み</v>
      </c>
      <c r="U615" s="15" t="str">
        <f>IFERROR(__xludf.DUMMYFUNCTION("""COMPUTED_VALUE"""),"(C)ちづはるか / 小学館")</f>
        <v>(C)ちづはるか / 小学館</v>
      </c>
      <c r="V615" s="8" t="str">
        <f>IFERROR(__xludf.DUMMYFUNCTION("""COMPUTED_VALUE"""),"10年越しに出会う、幼なじみとのピュア＆ヘビー・ラブストーリー
しんしんと雪が降り続く、福井県の冬。
女ガキ大将だった白鹿むくは、祖母、母、自分、妹の女4人の家で、
祖父の介護を常とする「ヤングケアラー」として青春を過ごしてきた。
そんな生活が、何年も、何年も続き、
自分のやりたいことも、自分の性格さえも見失っていたある日、
やたら背の高く陰気でオタク喋りな男と電車で出会う。
彼との出会いが、むくの運命を「二度」変える――")</f>
        <v>10年越しに出会う、幼なじみとのピュア＆ヘビー・ラブストーリー
しんしんと雪が降り続く、福井県の冬。
女ガキ大将だった白鹿むくは、祖母、母、自分、妹の女4人の家で、
祖父の介護を常とする「ヤングケアラー」として青春を過ごしてきた。
そんな生活が、何年も、何年も続き、
自分のやりたいことも、自分の性格さえも見失っていたある日、
やたら背の高く陰気でオタク喋りな男と電車で出会う。
彼との出会いが、むくの運命を「二度」変える――</v>
      </c>
      <c r="W615" s="14"/>
      <c r="X615" s="14" t="str">
        <f>IFERROR(__xludf.DUMMYFUNCTION("""COMPUTED_VALUE"""),"有
")</f>
        <v>有
</v>
      </c>
      <c r="Y615" s="8" t="str">
        <f>IFERROR(__xludf.DUMMYFUNCTION("""COMPUTED_VALUE"""),"P36まで")</f>
        <v>P36まで</v>
      </c>
      <c r="Z615" s="7"/>
      <c r="AA615" s="7"/>
      <c r="AB615" s="7"/>
    </row>
    <row r="616" ht="15.75" customHeight="1">
      <c r="A616" s="8">
        <f>IFERROR(__xludf.DUMMYFUNCTION("""COMPUTED_VALUE"""),2140.0)</f>
        <v>2140</v>
      </c>
      <c r="B616" s="9" t="str">
        <f>IFERROR(__xludf.DUMMYFUNCTION("""COMPUTED_VALUE"""),"確定")</f>
        <v>確定</v>
      </c>
      <c r="C616" s="10">
        <f>IFERROR(__xludf.DUMMYFUNCTION("""COMPUTED_VALUE"""),45111.0)</f>
        <v>45111</v>
      </c>
      <c r="D616" s="10">
        <f>IFERROR(__xludf.DUMMYFUNCTION("""COMPUTED_VALUE"""),45155.0)</f>
        <v>45155</v>
      </c>
      <c r="E616" s="14">
        <f>IFERROR(__xludf.DUMMYFUNCTION("""COMPUTED_VALUE"""),277347.0)</f>
        <v>277347</v>
      </c>
      <c r="F616" s="15" t="str">
        <f>IFERROR(__xludf.DUMMYFUNCTION("""COMPUTED_VALUE"""),"tea time〜はじめてxxxを買いました〜")</f>
        <v>tea time〜はじめてxxxを買いました〜</v>
      </c>
      <c r="G616" s="11" t="str">
        <f>IFERROR(__xludf.DUMMYFUNCTION("""COMPUTED_VALUE"""),"1～3")</f>
        <v>1～3</v>
      </c>
      <c r="H616" s="8" t="str">
        <f>IFERROR(__xludf.DUMMYFUNCTION("""COMPUTED_VALUE"""),"前野あるた┴雨田青子")</f>
        <v>前野あるた┴雨田青子</v>
      </c>
      <c r="I616" s="8" t="str">
        <f>IFERROR(__xludf.DUMMYFUNCTION("""COMPUTED_VALUE"""),"女性")</f>
        <v>女性</v>
      </c>
      <c r="J616" s="8"/>
      <c r="K616" s="8"/>
      <c r="L616" s="8" t="str">
        <f>IFERROR(__xludf.DUMMYFUNCTION("""COMPUTED_VALUE"""),"主婦の友社")</f>
        <v>主婦の友社</v>
      </c>
      <c r="M616" s="21">
        <f>IFERROR(__xludf.DUMMYFUNCTION("""COMPUTED_VALUE"""),45200.0)</f>
        <v>45200</v>
      </c>
      <c r="N616" s="21">
        <f>IFERROR(__xludf.DUMMYFUNCTION("""COMPUTED_VALUE"""),45230.0)</f>
        <v>45230</v>
      </c>
      <c r="O616" s="11"/>
      <c r="P616" s="9" t="str">
        <f>IFERROR(__xludf.DUMMYFUNCTION("""COMPUTED_VALUE"""),"否")</f>
        <v>否</v>
      </c>
      <c r="Q616" s="8" t="str">
        <f>IFERROR(__xludf.DUMMYFUNCTION("""COMPUTED_VALUE"""),"出稿検討&lt;BR&gt;広告コミックOK(7/13)")</f>
        <v>出稿検討&lt;BR&gt;広告コミックOK(7/13)</v>
      </c>
      <c r="R616" s="9"/>
      <c r="S616" s="8" t="str">
        <f>IFERROR(__xludf.DUMMYFUNCTION("""COMPUTED_VALUE"""),"20230817_主婦の友社_teatime")</f>
        <v>20230817_主婦の友社_teatime</v>
      </c>
      <c r="T616" s="15"/>
      <c r="U616" s="15" t="str">
        <f>IFERROR(__xludf.DUMMYFUNCTION("""COMPUTED_VALUE"""),"(c)Ameda Aoko, Maeno Aruta＆Imagica Infos Co., Ltd.")</f>
        <v>(c)Ameda Aoko, Maeno Aruta＆Imagica Infos Co., Ltd.</v>
      </c>
      <c r="V616" s="8" t="str">
        <f>IFERROR(__xludf.DUMMYFUNCTION("""COMPUTED_VALUE"""),"推しのアイドルとそっくりな男性をSNSで見つけると、彼は『tea time』というお店で働くセラピストの様で……!?
子育てと推し活に邁進するシングルマザーの花子(41)は、溺愛する娘の陽菜の大学進学に伴い、数年ぶりに寂しい独り暮らしの日々をおくっていた。追い討ちをかけるように、推しの男性アイドルの引退発表があり、すっかり抜け殻状態になってしまった花子。
そんな中、推しのアイドルとそっくりな男性をSNSで見つけると、彼は『tea time』というお店で働くセラピストの様で……!?
雨"&amp;"田 青子（アメダアオコ）：別名義にてデビューし単行本を数冊発売。2021年より雨田青子に名前を改め活動を再開し、作画を担当する「今夜アナタと眠りたい～蛯原 桔平編～」（ボルテージ刊）、「サギ恋～タイパ詐欺女とプチロマンス詐欺男～」（イマジカインフォス刊）を配信。
前野 あるた（マエノアルタ）：業界歴５年、現役セラピスト。別名義で漫画の原作を担当。")</f>
        <v>推しのアイドルとそっくりな男性をSNSで見つけると、彼は『tea time』というお店で働くセラピストの様で……!?
子育てと推し活に邁進するシングルマザーの花子(41)は、溺愛する娘の陽菜の大学進学に伴い、数年ぶりに寂しい独り暮らしの日々をおくっていた。追い討ちをかけるように、推しの男性アイドルの引退発表があり、すっかり抜け殻状態になってしまった花子。
そんな中、推しのアイドルとそっくりな男性をSNSで見つけると、彼は『tea time』というお店で働くセラピストの様で……!?
雨田 青子（アメダアオコ）：別名義にてデビューし単行本を数冊発売。2021年より雨田青子に名前を改め活動を再開し、作画を担当する「今夜アナタと眠りたい～蛯原 桔平編～」（ボルテージ刊）、「サギ恋～タイパ詐欺女とプチロマンス詐欺男～」（イマジカインフォス刊）を配信。
前野 あるた（マエノアルタ）：業界歴５年、現役セラピスト。別名義で漫画の原作を担当。</v>
      </c>
      <c r="W616" s="14"/>
      <c r="X616" s="14" t="str">
        <f>IFERROR(__xludf.DUMMYFUNCTION("""COMPUTED_VALUE"""),"有
")</f>
        <v>有
</v>
      </c>
      <c r="Y616" s="8" t="str">
        <f>IFERROR(__xludf.DUMMYFUNCTION("""COMPUTED_VALUE"""),"10/31まで1巻無料")</f>
        <v>10/31まで1巻無料</v>
      </c>
      <c r="Z616" s="7"/>
      <c r="AA616" s="7"/>
      <c r="AB616" s="7"/>
    </row>
    <row r="617" ht="15.75" customHeight="1">
      <c r="A617" s="8">
        <f>IFERROR(__xludf.DUMMYFUNCTION("""COMPUTED_VALUE"""),2205.0)</f>
        <v>2205</v>
      </c>
      <c r="B617" s="9" t="str">
        <f>IFERROR(__xludf.DUMMYFUNCTION("""COMPUTED_VALUE"""),"確定")</f>
        <v>確定</v>
      </c>
      <c r="C617" s="10">
        <f>IFERROR(__xludf.DUMMYFUNCTION("""COMPUTED_VALUE"""),45128.0)</f>
        <v>45128</v>
      </c>
      <c r="D617" s="10">
        <f>IFERROR(__xludf.DUMMYFUNCTION("""COMPUTED_VALUE"""),45154.0)</f>
        <v>45154</v>
      </c>
      <c r="E617" s="14">
        <f>IFERROR(__xludf.DUMMYFUNCTION("""COMPUTED_VALUE"""),275614.0)</f>
        <v>275614</v>
      </c>
      <c r="F617" s="9" t="str">
        <f>IFERROR(__xludf.DUMMYFUNCTION("""COMPUTED_VALUE"""),"スパイシーミルクキャンディ")</f>
        <v>スパイシーミルクキャンディ</v>
      </c>
      <c r="G617" s="11">
        <f>IFERROR(__xludf.DUMMYFUNCTION("""COMPUTED_VALUE"""),1.0)</f>
        <v>1</v>
      </c>
      <c r="H617" s="8" t="str">
        <f>IFERROR(__xludf.DUMMYFUNCTION("""COMPUTED_VALUE"""),"つるいとと")</f>
        <v>つるいとと</v>
      </c>
      <c r="I617" s="8" t="str">
        <f>IFERROR(__xludf.DUMMYFUNCTION("""COMPUTED_VALUE"""),"BL")</f>
        <v>BL</v>
      </c>
      <c r="J617" s="8"/>
      <c r="K617" s="8"/>
      <c r="L617" s="8" t="str">
        <f>IFERROR(__xludf.DUMMYFUNCTION("""COMPUTED_VALUE"""),"from RED")</f>
        <v>from RED</v>
      </c>
      <c r="M617" s="21">
        <f>IFERROR(__xludf.DUMMYFUNCTION("""COMPUTED_VALUE"""),45177.0)</f>
        <v>45177</v>
      </c>
      <c r="N617" s="21">
        <f>IFERROR(__xludf.DUMMYFUNCTION("""COMPUTED_VALUE"""),45211.0)</f>
        <v>45211</v>
      </c>
      <c r="O617" s="11"/>
      <c r="P617" s="9" t="str">
        <f>IFERROR(__xludf.DUMMYFUNCTION("""COMPUTED_VALUE"""),"可")</f>
        <v>可</v>
      </c>
      <c r="Q617" s="8"/>
      <c r="R617" s="9"/>
      <c r="S617" s="8" t="str">
        <f>IFERROR(__xludf.DUMMYFUNCTION("""COMPUTED_VALUE"""),"20230815_シュークリーム_スパイシーミルクキャンディ")</f>
        <v>20230815_シュークリーム_スパイシーミルクキャンディ</v>
      </c>
      <c r="T617" s="9" t="str">
        <f>IFERROR(__xludf.DUMMYFUNCTION("""COMPUTED_VALUE"""),"格納済み")</f>
        <v>格納済み</v>
      </c>
      <c r="U617" s="15" t="str">
        <f>IFERROR(__xludf.DUMMYFUNCTION("""COMPUTED_VALUE"""),"（C）つるいとと/from RED")</f>
        <v>（C）つるいとと/from RED</v>
      </c>
      <c r="V617" s="8" t="str">
        <f>IFERROR(__xludf.DUMMYFUNCTION("""COMPUTED_VALUE"""),"猫かぶりな隠れS×品行方正な無自覚Mの、
インモラル・わからせラブ！
真面目で清廉な生徒会長の鑑・泉澄には、王子様のように穏やかに微笑むナイショで自慢の彼氏がいる。
そんな彼氏・壱伊に愛されている実感を日々かみしめながら、甘い恋人生活を送って、しばらくたったころ。
泉澄はあることをキッカケに、壱伊からこれまでされたことのないような「お仕置きプレイ」をされてしまう…！
「ちゃんとごめんなさい できる？」
動かせない両腕に、責めるような意地のわるい言葉。
叱られているというのに気持ち"&amp;"よく感じてしまう背徳感に、泉澄は信じられないほど乱れてしまって――！？")</f>
        <v>猫かぶりな隠れS×品行方正な無自覚Mの、
インモラル・わからせラブ！
真面目で清廉な生徒会長の鑑・泉澄には、王子様のように穏やかに微笑むナイショで自慢の彼氏がいる。
そんな彼氏・壱伊に愛されている実感を日々かみしめながら、甘い恋人生活を送って、しばらくたったころ。
泉澄はあることをキッカケに、壱伊からこれまでされたことのないような「お仕置きプレイ」をされてしまう…！
「ちゃんとごめんなさい できる？」
動かせない両腕に、責めるような意地のわるい言葉。
叱られているというのに気持ちよく感じてしまう背徳感に、泉澄は信じられないほど乱れてしまって――！？</v>
      </c>
      <c r="W617" s="14"/>
      <c r="X617" s="14" t="str">
        <f>IFERROR(__xludf.DUMMYFUNCTION("""COMPUTED_VALUE"""),"有
")</f>
        <v>有
</v>
      </c>
      <c r="Y617" s="8" t="str">
        <f>IFERROR(__xludf.DUMMYFUNCTION("""COMPUTED_VALUE"""),"P8まで")</f>
        <v>P8まで</v>
      </c>
      <c r="Z617" s="7"/>
      <c r="AA617" s="7"/>
      <c r="AB617" s="7"/>
    </row>
    <row r="618" ht="15.75" customHeight="1">
      <c r="A618" s="8">
        <f>IFERROR(__xludf.DUMMYFUNCTION("""COMPUTED_VALUE"""),2206.0)</f>
        <v>2206</v>
      </c>
      <c r="B618" s="9" t="str">
        <f>IFERROR(__xludf.DUMMYFUNCTION("""COMPUTED_VALUE"""),"確定")</f>
        <v>確定</v>
      </c>
      <c r="C618" s="10">
        <f>IFERROR(__xludf.DUMMYFUNCTION("""COMPUTED_VALUE"""),45128.0)</f>
        <v>45128</v>
      </c>
      <c r="D618" s="10">
        <f>IFERROR(__xludf.DUMMYFUNCTION("""COMPUTED_VALUE"""),45154.0)</f>
        <v>45154</v>
      </c>
      <c r="E618" s="14">
        <f>IFERROR(__xludf.DUMMYFUNCTION("""COMPUTED_VALUE"""),275615.0)</f>
        <v>275615</v>
      </c>
      <c r="F618" s="9" t="str">
        <f>IFERROR(__xludf.DUMMYFUNCTION("""COMPUTED_VALUE"""),"夜王の犬")</f>
        <v>夜王の犬</v>
      </c>
      <c r="G618" s="11">
        <f>IFERROR(__xludf.DUMMYFUNCTION("""COMPUTED_VALUE"""),1.0)</f>
        <v>1</v>
      </c>
      <c r="H618" s="8" t="str">
        <f>IFERROR(__xludf.DUMMYFUNCTION("""COMPUTED_VALUE"""),"けだま柴")</f>
        <v>けだま柴</v>
      </c>
      <c r="I618" s="8" t="str">
        <f>IFERROR(__xludf.DUMMYFUNCTION("""COMPUTED_VALUE"""),"BL")</f>
        <v>BL</v>
      </c>
      <c r="J618" s="8"/>
      <c r="K618" s="8"/>
      <c r="L618" s="8" t="str">
        <f>IFERROR(__xludf.DUMMYFUNCTION("""COMPUTED_VALUE"""),"from RED")</f>
        <v>from RED</v>
      </c>
      <c r="M618" s="21">
        <f>IFERROR(__xludf.DUMMYFUNCTION("""COMPUTED_VALUE"""),45177.0)</f>
        <v>45177</v>
      </c>
      <c r="N618" s="21">
        <f>IFERROR(__xludf.DUMMYFUNCTION("""COMPUTED_VALUE"""),45211.0)</f>
        <v>45211</v>
      </c>
      <c r="O618" s="11"/>
      <c r="P618" s="9" t="str">
        <f>IFERROR(__xludf.DUMMYFUNCTION("""COMPUTED_VALUE"""),"可")</f>
        <v>可</v>
      </c>
      <c r="Q618" s="8"/>
      <c r="R618" s="9"/>
      <c r="S618" s="8" t="str">
        <f>IFERROR(__xludf.DUMMYFUNCTION("""COMPUTED_VALUE"""),"20230815_シュークリーム_夜王の犬")</f>
        <v>20230815_シュークリーム_夜王の犬</v>
      </c>
      <c r="T618" s="9" t="str">
        <f>IFERROR(__xludf.DUMMYFUNCTION("""COMPUTED_VALUE"""),"格納済み")</f>
        <v>格納済み</v>
      </c>
      <c r="U618" s="15" t="str">
        <f>IFERROR(__xludf.DUMMYFUNCTION("""COMPUTED_VALUE"""),"（C）けだま柴/from RED")</f>
        <v>（C）けだま柴/from RED</v>
      </c>
      <c r="V618" s="8" t="str">
        <f>IFERROR(__xludf.DUMMYFUNCTION("""COMPUTED_VALUE"""),"ホストクラブ『CLUB des ROIS』のNo.1ホスト・一ノ瀬輝は、才能・容姿・頭脳……全てを併せ持ち、たったの1年でNo.1の座まで上りつめたカリスマホスト。そんな輝の前に現れた新人ホスト・司は姫に掛けを飛ばれたというのに妙に自信家で楽観的。新人のくせに、No.1の輝を煽ってくる始末。
だが、そんな司に人間的魅力を感じた輝は、司を自分の付き人として指名する。口先だけでなく、自分の力を証明できたら飛ばれた掛けを代わりに払ってやるという条件で、司の“飼い主”になることとなったが、気づけば主人の立場"&amp;"である輝より何枚もうわてな“犬”の司に翻弄され、プライベートな夜の時間まで身体のお世話をされることに！
反応する身体を必死に抑えている輝を見ながら面白そうに快楽を与えては弄ぶ司の手腕で、あっという間に身体を明け渡し、司自身を受け入れてしまった輝。快楽に堕ちた表情を鏡越しに見せつけられ主導権を握られても、それでも強気な態度は崩さない。
「俺が抱かせてやってるんだ　ありがたいと思え、この駄犬！」
尊大な態度で司を煽った輝は、後ろは初めてなのにも関わらず、身体のさらの奥の奥まで暴かれてしまい―…。
"&amp;"
大型新人ホスト×カリスマホストの下克上BL、開幕！！")</f>
        <v>ホストクラブ『CLUB des ROIS』のNo.1ホスト・一ノ瀬輝は、才能・容姿・頭脳……全てを併せ持ち、たったの1年でNo.1の座まで上りつめたカリスマホスト。そんな輝の前に現れた新人ホスト・司は姫に掛けを飛ばれたというのに妙に自信家で楽観的。新人のくせに、No.1の輝を煽ってくる始末。
だが、そんな司に人間的魅力を感じた輝は、司を自分の付き人として指名する。口先だけでなく、自分の力を証明できたら飛ばれた掛けを代わりに払ってやるという条件で、司の“飼い主”になることとなったが、気づけば主人の立場である輝より何枚もうわてな“犬”の司に翻弄され、プライベートな夜の時間まで身体のお世話をされることに！
反応する身体を必死に抑えている輝を見ながら面白そうに快楽を与えては弄ぶ司の手腕で、あっという間に身体を明け渡し、司自身を受け入れてしまった輝。快楽に堕ちた表情を鏡越しに見せつけられ主導権を握られても、それでも強気な態度は崩さない。
「俺が抱かせてやってるんだ　ありがたいと思え、この駄犬！」
尊大な態度で司を煽った輝は、後ろは初めてなのにも関わらず、身体のさらの奥の奥まで暴かれてしまい―…。
大型新人ホスト×カリスマホストの下克上BL、開幕！！</v>
      </c>
      <c r="W618" s="14"/>
      <c r="X618" s="14" t="str">
        <f>IFERROR(__xludf.DUMMYFUNCTION("""COMPUTED_VALUE"""),"有
")</f>
        <v>有
</v>
      </c>
      <c r="Y618" s="8" t="str">
        <f>IFERROR(__xludf.DUMMYFUNCTION("""COMPUTED_VALUE"""),"P11まで")</f>
        <v>P11まで</v>
      </c>
      <c r="Z618" s="7"/>
      <c r="AA618" s="7"/>
      <c r="AB618" s="7"/>
    </row>
    <row r="619" ht="15.75" customHeight="1">
      <c r="A619" s="8">
        <f>IFERROR(__xludf.DUMMYFUNCTION("""COMPUTED_VALUE"""),2250.0)</f>
        <v>2250</v>
      </c>
      <c r="B619" s="9" t="str">
        <f>IFERROR(__xludf.DUMMYFUNCTION("""COMPUTED_VALUE"""),"確定")</f>
        <v>確定</v>
      </c>
      <c r="C619" s="10">
        <f>IFERROR(__xludf.DUMMYFUNCTION("""COMPUTED_VALUE"""),45140.0)</f>
        <v>45140</v>
      </c>
      <c r="D619" s="10">
        <f>IFERROR(__xludf.DUMMYFUNCTION("""COMPUTED_VALUE"""),45154.0)</f>
        <v>45154</v>
      </c>
      <c r="E619" s="8">
        <f>IFERROR(__xludf.DUMMYFUNCTION("""COMPUTED_VALUE"""),265953.0)</f>
        <v>265953</v>
      </c>
      <c r="F619" s="9" t="str">
        <f>IFERROR(__xludf.DUMMYFUNCTION("""COMPUTED_VALUE"""),"存在しない彼")</f>
        <v>存在しない彼</v>
      </c>
      <c r="G619" s="11" t="str">
        <f>IFERROR(__xludf.DUMMYFUNCTION("""COMPUTED_VALUE"""),"1～3")</f>
        <v>1～3</v>
      </c>
      <c r="H619" s="8" t="str">
        <f>IFERROR(__xludf.DUMMYFUNCTION("""COMPUTED_VALUE"""),"新田チハル")</f>
        <v>新田チハル</v>
      </c>
      <c r="I619" s="14" t="str">
        <f>IFERROR(__xludf.DUMMYFUNCTION("""COMPUTED_VALUE"""),"青年")</f>
        <v>青年</v>
      </c>
      <c r="J619" s="8"/>
      <c r="K619" s="8"/>
      <c r="L619" s="8" t="str">
        <f>IFERROR(__xludf.DUMMYFUNCTION("""COMPUTED_VALUE"""),"ソルマーレ編集部")</f>
        <v>ソルマーレ編集部</v>
      </c>
      <c r="M619" s="21">
        <f>IFERROR(__xludf.DUMMYFUNCTION("""COMPUTED_VALUE"""),45171.0)</f>
        <v>45171</v>
      </c>
      <c r="N619" s="21">
        <f>IFERROR(__xludf.DUMMYFUNCTION("""COMPUTED_VALUE"""),45232.0)</f>
        <v>45232</v>
      </c>
      <c r="O619" s="11"/>
      <c r="P619" s="9" t="str">
        <f>IFERROR(__xludf.DUMMYFUNCTION("""COMPUTED_VALUE"""),"可")</f>
        <v>可</v>
      </c>
      <c r="Q619" s="8"/>
      <c r="R619" s="9"/>
      <c r="S619" s="8" t="str">
        <f>IFERROR(__xludf.DUMMYFUNCTION("""COMPUTED_VALUE"""),"20230810_ソルマーレ編集部_存在しない彼")</f>
        <v>20230810_ソルマーレ編集部_存在しない彼</v>
      </c>
      <c r="T619" s="15" t="str">
        <f>IFERROR(__xludf.DUMMYFUNCTION("""COMPUTED_VALUE"""),"格納済み")</f>
        <v>格納済み</v>
      </c>
      <c r="U619" s="15" t="str">
        <f>IFERROR(__xludf.DUMMYFUNCTION("""COMPUTED_VALUE"""),"Ⓒ 新田チハル/シーモアコミックス")</f>
        <v>Ⓒ 新田チハル/シーモアコミックス</v>
      </c>
      <c r="V619" s="8" t="str">
        <f>IFERROR(__xludf.DUMMYFUNCTION("""COMPUTED_VALUE"""),"「明日、あの部屋にいるのは殺人犯なのか、私の恋人なのか、どちらなんだろう──」中から鍵をかけた部屋で、朝に「こんばんは」夜に「おはよう」と言葉を掛け合う奇妙な同棲生活をしているみつると圭。ふたりはごくごく普通のカップルだった。しかし半年前、とある事件によって、彼氏の圭の魂が、殺したいほど憎い男の体に乗り移ってしまった。圭とずっと一緒にいたいのに、心の奥底で恐怖を感じてしまうみつる。彼氏の“肉体”が殺人犯のものだったらあなたはどうしますか──？【ズズズキュン！】")</f>
        <v>「明日、あの部屋にいるのは殺人犯なのか、私の恋人なのか、どちらなんだろう──」中から鍵をかけた部屋で、朝に「こんばんは」夜に「おはよう」と言葉を掛け合う奇妙な同棲生活をしているみつると圭。ふたりはごくごく普通のカップルだった。しかし半年前、とある事件によって、彼氏の圭の魂が、殺したいほど憎い男の体に乗り移ってしまった。圭とずっと一緒にいたいのに、心の奥底で恐怖を感じてしまうみつる。彼氏の“肉体”が殺人犯のものだったらあなたはどうしますか──？【ズズズキュン！】</v>
      </c>
      <c r="W619" s="14"/>
      <c r="X619" s="14" t="str">
        <f>IFERROR(__xludf.DUMMYFUNCTION("""COMPUTED_VALUE"""),"有
")</f>
        <v>有
</v>
      </c>
      <c r="Y619" s="8" t="str">
        <f>IFERROR(__xludf.DUMMYFUNCTION("""COMPUTED_VALUE"""),"9/15まで1巻無料
")</f>
        <v>9/15まで1巻無料
</v>
      </c>
      <c r="Z619" s="7"/>
      <c r="AA619" s="7"/>
      <c r="AB619" s="7"/>
    </row>
    <row r="620" ht="15.75" customHeight="1">
      <c r="A620" s="8">
        <f>IFERROR(__xludf.DUMMYFUNCTION("""COMPUTED_VALUE"""),2271.0)</f>
        <v>2271</v>
      </c>
      <c r="B620" s="9" t="str">
        <f>IFERROR(__xludf.DUMMYFUNCTION("""COMPUTED_VALUE"""),"確定")</f>
        <v>確定</v>
      </c>
      <c r="C620" s="10">
        <f>IFERROR(__xludf.DUMMYFUNCTION("""COMPUTED_VALUE"""),45147.0)</f>
        <v>45147</v>
      </c>
      <c r="D620" s="10">
        <f>IFERROR(__xludf.DUMMYFUNCTION("""COMPUTED_VALUE"""),45154.0)</f>
        <v>45154</v>
      </c>
      <c r="E620" s="14">
        <f>IFERROR(__xludf.DUMMYFUNCTION("""COMPUTED_VALUE"""),275018.0)</f>
        <v>275018</v>
      </c>
      <c r="F620" s="9" t="str">
        <f>IFERROR(__xludf.DUMMYFUNCTION("""COMPUTED_VALUE"""),"これだから俺たちは 【タテヨミ】")</f>
        <v>これだから俺たちは 【タテヨミ】</v>
      </c>
      <c r="G620" s="16" t="str">
        <f>IFERROR(__xludf.DUMMYFUNCTION("""COMPUTED_VALUE"""),"1～20")</f>
        <v>1～20</v>
      </c>
      <c r="H620" s="8" t="str">
        <f>IFERROR(__xludf.DUMMYFUNCTION("""COMPUTED_VALUE"""),"MOSCARETO⏊Oh DoYeon")</f>
        <v>MOSCARETO⏊Oh DoYeon</v>
      </c>
      <c r="I620" s="8" t="str">
        <f>IFERROR(__xludf.DUMMYFUNCTION("""COMPUTED_VALUE"""),"BL")</f>
        <v>BL</v>
      </c>
      <c r="J620" s="14"/>
      <c r="K620" s="14"/>
      <c r="L620" s="14" t="str">
        <f>IFERROR(__xludf.DUMMYFUNCTION("""COMPUTED_VALUE"""),"RIDI Corporation")</f>
        <v>RIDI Corporation</v>
      </c>
      <c r="M620" s="12">
        <f>IFERROR(__xludf.DUMMYFUNCTION("""COMPUTED_VALUE"""),45163.0)</f>
        <v>45163</v>
      </c>
      <c r="N620" s="12">
        <f>IFERROR(__xludf.DUMMYFUNCTION("""COMPUTED_VALUE"""),45253.0)</f>
        <v>45253</v>
      </c>
      <c r="O620" s="11"/>
      <c r="P620" s="9" t="str">
        <f>IFERROR(__xludf.DUMMYFUNCTION("""COMPUTED_VALUE"""),"可")</f>
        <v>可</v>
      </c>
      <c r="Q620" s="8"/>
      <c r="R620" s="9"/>
      <c r="S620" s="8" t="str">
        <f>IFERROR(__xludf.DUMMYFUNCTION("""COMPUTED_VALUE"""),"20230809_RIDI_新作2作品")</f>
        <v>20230809_RIDI_新作2作品</v>
      </c>
      <c r="T620" s="15" t="str">
        <f>IFERROR(__xludf.DUMMYFUNCTION("""COMPUTED_VALUE"""),"格納済み")</f>
        <v>格納済み</v>
      </c>
      <c r="U620" s="15" t="str">
        <f>IFERROR(__xludf.DUMMYFUNCTION("""COMPUTED_VALUE"""),"©Oh DoYeon&amp;MOSCARETO / RIDI ")</f>
        <v>©Oh DoYeon&amp;MOSCARETO / RIDI </v>
      </c>
      <c r="V620" s="8" t="str">
        <f>IFERROR(__xludf.DUMMYFUNCTION("""COMPUTED_VALUE"""),"コ・ヨンウォンは若くして博士号を取得、さらに高額年俸で有名大企業の主任研究員といった経歴は華やかだが、実は学校と研究室だけの行き来ばかりで恋愛の「れ」の字も知らない恋愛初心者。惚れっぽく猪突猛進型の性格のせいで恋愛が始まる前にフラれてしまうことも日常茶飯事だった。しかし、そんなヨンウォンにもそれなりに恋愛願望があった。自分の名前「ヨンウォン(永遠)」みたいに長く続くロマンティックな恋をしてみたい！ そんな中、身の回りでよく絡んでくる男といえば、自分と好みも性格も正反対の同い年の性悪同僚カン・ヒョンウだけ。"&amp;"毎度のごとく会議中に喧嘩を売ってくるヒョンウを前にして「この世の男が全て滅んでも、こいつだけはない」と心に誓ったのに...! お酒の勢いでヒョンウとありえない賭けをしてしまい...")</f>
        <v>コ・ヨンウォンは若くして博士号を取得、さらに高額年俸で有名大企業の主任研究員といった経歴は華やかだが、実は学校と研究室だけの行き来ばかりで恋愛の「れ」の字も知らない恋愛初心者。惚れっぽく猪突猛進型の性格のせいで恋愛が始まる前にフラれてしまうことも日常茶飯事だった。しかし、そんなヨンウォンにもそれなりに恋愛願望があった。自分の名前「ヨンウォン(永遠)」みたいに長く続くロマンティックな恋をしてみたい！ そんな中、身の回りでよく絡んでくる男といえば、自分と好みも性格も正反対の同い年の性悪同僚カン・ヒョンウだけ。毎度のごとく会議中に喧嘩を売ってくるヒョンウを前にして「この世の男が全て滅んでも、こいつだけはない」と心に誓ったのに...! お酒の勢いでヒョンウとありえない賭けをしてしまい...</v>
      </c>
      <c r="W620" s="14"/>
      <c r="X620" s="14" t="str">
        <f>IFERROR(__xludf.DUMMYFUNCTION("""COMPUTED_VALUE"""),"有
")</f>
        <v>有
</v>
      </c>
      <c r="Y620" s="8" t="str">
        <f>IFERROR(__xludf.DUMMYFUNCTION("""COMPUTED_VALUE"""),"9/28まで1~6巻無料
")</f>
        <v>9/28まで1~6巻無料
</v>
      </c>
      <c r="Z620" s="7"/>
      <c r="AA620" s="7"/>
      <c r="AB620" s="7"/>
    </row>
    <row r="621" ht="15.75" customHeight="1">
      <c r="A621" s="8">
        <f>IFERROR(__xludf.DUMMYFUNCTION("""COMPUTED_VALUE"""),2272.0)</f>
        <v>2272</v>
      </c>
      <c r="B621" s="9" t="str">
        <f>IFERROR(__xludf.DUMMYFUNCTION("""COMPUTED_VALUE"""),"確定")</f>
        <v>確定</v>
      </c>
      <c r="C621" s="10">
        <f>IFERROR(__xludf.DUMMYFUNCTION("""COMPUTED_VALUE"""),45147.0)</f>
        <v>45147</v>
      </c>
      <c r="D621" s="10">
        <f>IFERROR(__xludf.DUMMYFUNCTION("""COMPUTED_VALUE"""),45154.0)</f>
        <v>45154</v>
      </c>
      <c r="E621" s="14">
        <f>IFERROR(__xludf.DUMMYFUNCTION("""COMPUTED_VALUE"""),275019.0)</f>
        <v>275019</v>
      </c>
      <c r="F621" s="9" t="str">
        <f>IFERROR(__xludf.DUMMYFUNCTION("""COMPUTED_VALUE"""),"相反するカンケイ 【タテヨミ】")</f>
        <v>相反するカンケイ 【タテヨミ】</v>
      </c>
      <c r="G621" s="16" t="str">
        <f>IFERROR(__xludf.DUMMYFUNCTION("""COMPUTED_VALUE"""),"1～20")</f>
        <v>1～20</v>
      </c>
      <c r="H621" s="8" t="str">
        <f>IFERROR(__xludf.DUMMYFUNCTION("""COMPUTED_VALUE"""),"Oryu")</f>
        <v>Oryu</v>
      </c>
      <c r="I621" s="8" t="str">
        <f>IFERROR(__xludf.DUMMYFUNCTION("""COMPUTED_VALUE"""),"BL")</f>
        <v>BL</v>
      </c>
      <c r="J621" s="8"/>
      <c r="K621" s="8"/>
      <c r="L621" s="8" t="str">
        <f>IFERROR(__xludf.DUMMYFUNCTION("""COMPUTED_VALUE"""),"Manta Comics")</f>
        <v>Manta Comics</v>
      </c>
      <c r="M621" s="21">
        <f>IFERROR(__xludf.DUMMYFUNCTION("""COMPUTED_VALUE"""),45163.0)</f>
        <v>45163</v>
      </c>
      <c r="N621" s="12">
        <f>IFERROR(__xludf.DUMMYFUNCTION("""COMPUTED_VALUE"""),45253.0)</f>
        <v>45253</v>
      </c>
      <c r="O621" s="11"/>
      <c r="P621" s="9" t="str">
        <f>IFERROR(__xludf.DUMMYFUNCTION("""COMPUTED_VALUE"""),"可")</f>
        <v>可</v>
      </c>
      <c r="Q621" s="8"/>
      <c r="R621" s="9"/>
      <c r="S621" s="8" t="str">
        <f>IFERROR(__xludf.DUMMYFUNCTION("""COMPUTED_VALUE"""),"20230809_RIDI_新作2作品")</f>
        <v>20230809_RIDI_新作2作品</v>
      </c>
      <c r="T621" s="9" t="str">
        <f>IFERROR(__xludf.DUMMYFUNCTION("""COMPUTED_VALUE"""),"格納済み")</f>
        <v>格納済み</v>
      </c>
      <c r="U621" s="15" t="str">
        <f>IFERROR(__xludf.DUMMYFUNCTION("""COMPUTED_VALUE"""),"©Oryu / Manta Comics")</f>
        <v>©Oryu / Manta Comics</v>
      </c>
      <c r="V621" s="8" t="str">
        <f>IFERROR(__xludf.DUMMYFUNCTION("""COMPUTED_VALUE"""),"「先輩、俺と寝ます？俺のこと好きでしょ」一目惚れしたドジェからそんな提案をされたウンタクは、戸惑いつつも彼との接点を作りたい一心で一夜を共にすることに。自分がリードする恋愛しかしてこなかったウンタクは初めて掘られる側になり、うろたえる。果たしてウンタクは好みとは真逆、何一つ噛み合わないドジェと恋に落ちることができるのか。キャンパスを舞台に何もかも正反対な俺たちの恋物語が今始まる。")</f>
        <v>「先輩、俺と寝ます？俺のこと好きでしょ」一目惚れしたドジェからそんな提案をされたウンタクは、戸惑いつつも彼との接点を作りたい一心で一夜を共にすることに。自分がリードする恋愛しかしてこなかったウンタクは初めて掘られる側になり、うろたえる。果たしてウンタクは好みとは真逆、何一つ噛み合わないドジェと恋に落ちることができるのか。キャンパスを舞台に何もかも正反対な俺たちの恋物語が今始まる。</v>
      </c>
      <c r="W621" s="14"/>
      <c r="X621" s="14" t="str">
        <f>IFERROR(__xludf.DUMMYFUNCTION("""COMPUTED_VALUE"""),"有
")</f>
        <v>有
</v>
      </c>
      <c r="Y621" s="8" t="str">
        <f>IFERROR(__xludf.DUMMYFUNCTION("""COMPUTED_VALUE"""),"9/28まで1~6巻無料
")</f>
        <v>9/28まで1~6巻無料
</v>
      </c>
      <c r="Z621" s="7"/>
      <c r="AA621" s="7"/>
      <c r="AB621" s="7"/>
    </row>
    <row r="622" ht="132.0" customHeight="1">
      <c r="A622" s="8">
        <f>IFERROR(__xludf.DUMMYFUNCTION("""COMPUTED_VALUE"""),2276.0)</f>
        <v>2276</v>
      </c>
      <c r="B622" s="9" t="str">
        <f>IFERROR(__xludf.DUMMYFUNCTION("""COMPUTED_VALUE"""),"確定")</f>
        <v>確定</v>
      </c>
      <c r="C622" s="10">
        <f>IFERROR(__xludf.DUMMYFUNCTION("""COMPUTED_VALUE"""),45148.0)</f>
        <v>45148</v>
      </c>
      <c r="D622" s="10">
        <f>IFERROR(__xludf.DUMMYFUNCTION("""COMPUTED_VALUE"""),45154.0)</f>
        <v>45154</v>
      </c>
      <c r="E622" s="8">
        <f>IFERROR(__xludf.DUMMYFUNCTION("""COMPUTED_VALUE"""),238586.0)</f>
        <v>238586</v>
      </c>
      <c r="F622" s="15" t="str">
        <f>IFERROR(__xludf.DUMMYFUNCTION("""COMPUTED_VALUE"""),"最下層から逃れてきた宮女見習いは虎皇帝の花嫁となる")</f>
        <v>最下層から逃れてきた宮女見習いは虎皇帝の花嫁となる</v>
      </c>
      <c r="G622" s="11" t="str">
        <f>IFERROR(__xludf.DUMMYFUNCTION("""COMPUTED_VALUE"""),"1～3")</f>
        <v>1～3</v>
      </c>
      <c r="H622" s="8" t="str">
        <f>IFERROR(__xludf.DUMMYFUNCTION("""COMPUTED_VALUE"""),"高橋ミサ")</f>
        <v>高橋ミサ</v>
      </c>
      <c r="I622" s="14" t="str">
        <f>IFERROR(__xludf.DUMMYFUNCTION("""COMPUTED_VALUE"""),"少女")</f>
        <v>少女</v>
      </c>
      <c r="J622" s="8"/>
      <c r="K622" s="8"/>
      <c r="L622" s="8" t="str">
        <f>IFERROR(__xludf.DUMMYFUNCTION("""COMPUTED_VALUE"""),"ソルマーレ編集部")</f>
        <v>ソルマーレ編集部</v>
      </c>
      <c r="M622" s="21">
        <f>IFERROR(__xludf.DUMMYFUNCTION("""COMPUTED_VALUE"""),45185.0)</f>
        <v>45185</v>
      </c>
      <c r="N622" s="21">
        <f>IFERROR(__xludf.DUMMYFUNCTION("""COMPUTED_VALUE"""),45246.0)</f>
        <v>45246</v>
      </c>
      <c r="O622" s="11"/>
      <c r="P622" s="9" t="str">
        <f>IFERROR(__xludf.DUMMYFUNCTION("""COMPUTED_VALUE"""),"可")</f>
        <v>可</v>
      </c>
      <c r="Q622" s="8" t="str">
        <f>IFERROR(__xludf.DUMMYFUNCTION("""COMPUTED_VALUE"""),"※正式タイトル下記の通りです（8/10）&lt;BR&gt;＝＝＝&lt;BR&gt;最下層から逃れてきた宮女見習いは虎皇帝の花嫁となる&lt;BR&gt;＝＝＝&lt;BR&gt;")</f>
        <v>※正式タイトル下記の通りです（8/10）&lt;BR&gt;＝＝＝&lt;BR&gt;最下層から逃れてきた宮女見習いは虎皇帝の花嫁となる&lt;BR&gt;＝＝＝&lt;BR&gt;</v>
      </c>
      <c r="R622" s="9"/>
      <c r="S622" s="8" t="str">
        <f>IFERROR(__xludf.DUMMYFUNCTION("""COMPUTED_VALUE"""),"20230810_ソルマーレ編集部_最下層から逃れてきた宮女見習いは虎皇帝の花嫁となる")</f>
        <v>20230810_ソルマーレ編集部_最下層から逃れてきた宮女見習いは虎皇帝の花嫁となる</v>
      </c>
      <c r="T622" s="15" t="str">
        <f>IFERROR(__xludf.DUMMYFUNCTION("""COMPUTED_VALUE"""),"格納済み")</f>
        <v>格納済み</v>
      </c>
      <c r="U622" s="15" t="str">
        <f>IFERROR(__xludf.DUMMYFUNCTION("""COMPUTED_VALUE"""),"Ⓒ 高橋ミサ/シーモアコミックス")</f>
        <v>Ⓒ 高橋ミサ/シーモアコミックス</v>
      </c>
      <c r="V622" s="8" t="str">
        <f>IFERROR(__xludf.DUMMYFUNCTION("""COMPUTED_VALUE"""),"新しい皇帝になって数年。役人を大量に粛清したり、宴ばかり開いて散財してるという悪い噂が絶えず皇帝は『狂王』として恐れられていた。そんな皇帝が後宮の宮女を募集しているという。シュシュはとある理由から宮女を希望するが、役人にからまれているところを皇帝に助けられて…!?【恋するソワレ】
")</f>
        <v>新しい皇帝になって数年。役人を大量に粛清したり、宴ばかり開いて散財してるという悪い噂が絶えず皇帝は『狂王』として恐れられていた。そんな皇帝が後宮の宮女を募集しているという。シュシュはとある理由から宮女を希望するが、役人にからまれているところを皇帝に助けられて…!?【恋するソワレ】
</v>
      </c>
      <c r="W622" s="14"/>
      <c r="X622" s="14" t="str">
        <f>IFERROR(__xludf.DUMMYFUNCTION("""COMPUTED_VALUE"""),"有
")</f>
        <v>有
</v>
      </c>
      <c r="Y622" s="8" t="str">
        <f>IFERROR(__xludf.DUMMYFUNCTION("""COMPUTED_VALUE"""),"9/29まで1~2巻無料
")</f>
        <v>9/29まで1~2巻無料
</v>
      </c>
      <c r="Z622" s="7"/>
      <c r="AA622" s="7"/>
      <c r="AB622" s="7"/>
    </row>
    <row r="623" ht="118.5" customHeight="1">
      <c r="A623" s="14">
        <f>IFERROR(__xludf.DUMMYFUNCTION("""COMPUTED_VALUE"""),2171.0)</f>
        <v>2171</v>
      </c>
      <c r="B623" s="15" t="str">
        <f>IFERROR(__xludf.DUMMYFUNCTION("""COMPUTED_VALUE"""),"確定")</f>
        <v>確定</v>
      </c>
      <c r="C623" s="25">
        <f>IFERROR(__xludf.DUMMYFUNCTION("""COMPUTED_VALUE"""),45121.0)</f>
        <v>45121</v>
      </c>
      <c r="D623" s="25">
        <f>IFERROR(__xludf.DUMMYFUNCTION("""COMPUTED_VALUE"""),45160.0)</f>
        <v>45160</v>
      </c>
      <c r="E623" s="14">
        <f>IFERROR(__xludf.DUMMYFUNCTION("""COMPUTED_VALUE"""),277034.0)</f>
        <v>277034</v>
      </c>
      <c r="F623" s="15" t="str">
        <f>IFERROR(__xludf.DUMMYFUNCTION("""COMPUTED_VALUE"""),"Speak of the devil：スピーク・オブ・ザ・デビル")</f>
        <v>Speak of the devil：スピーク・オブ・ザ・デビル</v>
      </c>
      <c r="G623" s="16" t="str">
        <f>IFERROR(__xludf.DUMMYFUNCTION("""COMPUTED_VALUE"""),"1~30")</f>
        <v>1~30</v>
      </c>
      <c r="H623" s="14" t="str">
        <f>IFERROR(__xludf.DUMMYFUNCTION("""COMPUTED_VALUE"""),"TR")</f>
        <v>TR</v>
      </c>
      <c r="I623" s="14" t="str">
        <f>IFERROR(__xludf.DUMMYFUNCTION("""COMPUTED_VALUE"""),"BL")</f>
        <v>BL</v>
      </c>
      <c r="J623" s="14"/>
      <c r="K623" s="14"/>
      <c r="L623" s="14" t="str">
        <f>IFERROR(__xludf.DUMMYFUNCTION("""COMPUTED_VALUE"""),"レジンエンターテインメント")</f>
        <v>レジンエンターテインメント</v>
      </c>
      <c r="M623" s="21">
        <f>IFERROR(__xludf.DUMMYFUNCTION("""COMPUTED_VALUE"""),45198.0)</f>
        <v>45198</v>
      </c>
      <c r="N623" s="21">
        <f>IFERROR(__xludf.DUMMYFUNCTION("""COMPUTED_VALUE"""),45228.0)</f>
        <v>45228</v>
      </c>
      <c r="O623" s="16"/>
      <c r="P623" s="9" t="str">
        <f>IFERROR(__xludf.DUMMYFUNCTION("""COMPUTED_VALUE"""),"可")</f>
        <v>可</v>
      </c>
      <c r="Q623" s="8"/>
      <c r="R623" s="15"/>
      <c r="S623" s="14" t="str">
        <f>IFERROR(__xludf.DUMMYFUNCTION("""COMPUTED_VALUE"""),"20230714_レジンエンターテインメント_Speak of the devil")</f>
        <v>20230714_レジンエンターテインメント_Speak of the devil</v>
      </c>
      <c r="T623" s="15" t="str">
        <f>IFERROR(__xludf.DUMMYFUNCTION("""COMPUTED_VALUE"""),"格納済み")</f>
        <v>格納済み</v>
      </c>
      <c r="U623" s="15" t="str">
        <f>IFERROR(__xludf.DUMMYFUNCTION("""COMPUTED_VALUE"""),"ⓒDdeokbap・TR  / Kidari Studio, Inc.")</f>
        <v>ⓒDdeokbap・TR  / Kidari Studio, Inc.</v>
      </c>
      <c r="V623" s="8" t="str">
        <f>IFERROR(__xludf.DUMMYFUNCTION("""COMPUTED_VALUE"""),"#現代もの#美人攻め#片思い#社内恋愛 他の誰よりも自由なライフを楽しんでいたイ・ナン。しかし、いつの日からか、自分が秘書として仕えるジョン・イヨン社長のことが気になって仕方なかった。この恋は、淡い片思いのまま終わったと思っていたが、イヨンと偶然あるバーで鉢合わせてしまい…。全く新たな局面を迎えることになったナン。果たして２人の関係はどうなる…!?")</f>
        <v>#現代もの#美人攻め#片思い#社内恋愛 他の誰よりも自由なライフを楽しんでいたイ・ナン。しかし、いつの日からか、自分が秘書として仕えるジョン・イヨン社長のことが気になって仕方なかった。この恋は、淡い片思いのまま終わったと思っていたが、イヨンと偶然あるバーで鉢合わせてしまい…。全く新たな局面を迎えることになったナン。果たして２人の関係はどうなる…!?</v>
      </c>
      <c r="W623" s="14"/>
      <c r="X623" s="14" t="str">
        <f>IFERROR(__xludf.DUMMYFUNCTION("""COMPUTED_VALUE"""),"有
")</f>
        <v>有
</v>
      </c>
      <c r="Y623" s="8" t="str">
        <f>IFERROR(__xludf.DUMMYFUNCTION("""COMPUTED_VALUE"""),"10/12まで1~3巻無料
")</f>
        <v>10/12まで1~3巻無料
</v>
      </c>
      <c r="Z623" s="7"/>
      <c r="AA623" s="7"/>
      <c r="AB623" s="7"/>
    </row>
    <row r="624" ht="15.75" customHeight="1">
      <c r="A624" s="14">
        <f>IFERROR(__xludf.DUMMYFUNCTION("""COMPUTED_VALUE"""),2172.0)</f>
        <v>2172</v>
      </c>
      <c r="B624" s="15" t="str">
        <f>IFERROR(__xludf.DUMMYFUNCTION("""COMPUTED_VALUE"""),"確定")</f>
        <v>確定</v>
      </c>
      <c r="C624" s="25">
        <f>IFERROR(__xludf.DUMMYFUNCTION("""COMPUTED_VALUE"""),45121.0)</f>
        <v>45121</v>
      </c>
      <c r="D624" s="25">
        <f>IFERROR(__xludf.DUMMYFUNCTION("""COMPUTED_VALUE"""),45159.0)</f>
        <v>45159</v>
      </c>
      <c r="E624" s="14">
        <f>IFERROR(__xludf.DUMMYFUNCTION("""COMPUTED_VALUE"""),274668.0)</f>
        <v>274668</v>
      </c>
      <c r="F624" s="15" t="str">
        <f>IFERROR(__xludf.DUMMYFUNCTION("""COMPUTED_VALUE"""),"SCUMBAG：スカムバグ【タテヨミ】")</f>
        <v>SCUMBAG：スカムバグ【タテヨミ】</v>
      </c>
      <c r="G624" s="16" t="str">
        <f>IFERROR(__xludf.DUMMYFUNCTION("""COMPUTED_VALUE"""),"1～20")</f>
        <v>1～20</v>
      </c>
      <c r="H624" s="14" t="str">
        <f>IFERROR(__xludf.DUMMYFUNCTION("""COMPUTED_VALUE"""),"今日だけを生きる兄弟")</f>
        <v>今日だけを生きる兄弟</v>
      </c>
      <c r="I624" s="14" t="str">
        <f>IFERROR(__xludf.DUMMYFUNCTION("""COMPUTED_VALUE"""),"BL")</f>
        <v>BL</v>
      </c>
      <c r="J624" s="14"/>
      <c r="K624" s="14"/>
      <c r="L624" s="14" t="str">
        <f>IFERROR(__xludf.DUMMYFUNCTION("""COMPUTED_VALUE"""),"レジンエンターテインメント")</f>
        <v>レジンエンターテインメント</v>
      </c>
      <c r="M624" s="21">
        <f>IFERROR(__xludf.DUMMYFUNCTION("""COMPUTED_VALUE"""),45170.0)</f>
        <v>45170</v>
      </c>
      <c r="N624" s="21">
        <f>IFERROR(__xludf.DUMMYFUNCTION("""COMPUTED_VALUE"""),45200.0)</f>
        <v>45200</v>
      </c>
      <c r="O624" s="16"/>
      <c r="P624" s="9" t="str">
        <f>IFERROR(__xludf.DUMMYFUNCTION("""COMPUTED_VALUE"""),"可")</f>
        <v>可</v>
      </c>
      <c r="Q624" s="8"/>
      <c r="R624" s="15"/>
      <c r="S624" s="14" t="str">
        <f>IFERROR(__xludf.DUMMYFUNCTION("""COMPUTED_VALUE"""),"20230714_レジンエンターテインメント_SCUMBAG")</f>
        <v>20230714_レジンエンターテインメント_SCUMBAG</v>
      </c>
      <c r="T624" s="15" t="str">
        <f>IFERROR(__xludf.DUMMYFUNCTION("""COMPUTED_VALUE"""),"格納済み(7/14)")</f>
        <v>格納済み(7/14)</v>
      </c>
      <c r="U624" s="15" t="str">
        <f>IFERROR(__xludf.DUMMYFUNCTION("""COMPUTED_VALUE"""),"ⓒ今日だけを生きる兄弟 / Kidari Studio, Inc.")</f>
        <v>ⓒ今日だけを生きる兄弟 / Kidari Studio, Inc.</v>
      </c>
      <c r="V624" s="8" t="str">
        <f>IFERROR(__xludf.DUMMYFUNCTION("""COMPUTED_VALUE"""),"#美人攻め#年下攻め#筋肉受け#外道 ナンムへの執着心を持ったまま大人になったファン・チギョン。ナンムを探すため危険を冒すも、彼には恐れも罪悪感もなかった。やっとチギョンの前に現れた、彼が愛した二番目の父親、リュ・ナンム。再会したナンムを自分のものにするために、チギョンは実の父親、ファン・ウソンの後継者争いに自ら飛び込むが…。危険な天秤の片方に掛けられたチギョンとナンムの、歪なラブストーリーが今始まる。")</f>
        <v>#美人攻め#年下攻め#筋肉受け#外道 ナンムへの執着心を持ったまま大人になったファン・チギョン。ナンムを探すため危険を冒すも、彼には恐れも罪悪感もなかった。やっとチギョンの前に現れた、彼が愛した二番目の父親、リュ・ナンム。再会したナンムを自分のものにするために、チギョンは実の父親、ファン・ウソンの後継者争いに自ら飛び込むが…。危険な天秤の片方に掛けられたチギョンとナンムの、歪なラブストーリーが今始まる。</v>
      </c>
      <c r="W624" s="14"/>
      <c r="X624" s="14" t="str">
        <f>IFERROR(__xludf.DUMMYFUNCTION("""COMPUTED_VALUE"""),"有
")</f>
        <v>有
</v>
      </c>
      <c r="Y624" s="8" t="str">
        <f>IFERROR(__xludf.DUMMYFUNCTION("""COMPUTED_VALUE"""),"9/14まで1~4巻無料
")</f>
        <v>9/14まで1~4巻無料
</v>
      </c>
      <c r="Z624" s="7"/>
      <c r="AA624" s="7"/>
      <c r="AB624" s="7"/>
    </row>
    <row r="625" ht="15.75" customHeight="1">
      <c r="A625" s="14">
        <f>IFERROR(__xludf.DUMMYFUNCTION("""COMPUTED_VALUE"""),2173.0)</f>
        <v>2173</v>
      </c>
      <c r="B625" s="15" t="str">
        <f>IFERROR(__xludf.DUMMYFUNCTION("""COMPUTED_VALUE"""),"確定")</f>
        <v>確定</v>
      </c>
      <c r="C625" s="25">
        <f>IFERROR(__xludf.DUMMYFUNCTION("""COMPUTED_VALUE"""),45121.0)</f>
        <v>45121</v>
      </c>
      <c r="D625" s="25">
        <f>IFERROR(__xludf.DUMMYFUNCTION("""COMPUTED_VALUE"""),45159.0)</f>
        <v>45159</v>
      </c>
      <c r="E625" s="14">
        <f>IFERROR(__xludf.DUMMYFUNCTION("""COMPUTED_VALUE"""),274669.0)</f>
        <v>274669</v>
      </c>
      <c r="F625" s="15" t="str">
        <f>IFERROR(__xludf.DUMMYFUNCTION("""COMPUTED_VALUE"""),"スミルナ＆カプリ〜仇と実を結び～")</f>
        <v>スミルナ＆カプリ〜仇と実を結び～</v>
      </c>
      <c r="G625" s="16" t="str">
        <f>IFERROR(__xludf.DUMMYFUNCTION("""COMPUTED_VALUE"""),"1～20")</f>
        <v>1～20</v>
      </c>
      <c r="H625" s="14" t="str">
        <f>IFERROR(__xludf.DUMMYFUNCTION("""COMPUTED_VALUE"""),"今日だけを生きる兄弟")</f>
        <v>今日だけを生きる兄弟</v>
      </c>
      <c r="I625" s="14" t="str">
        <f>IFERROR(__xludf.DUMMYFUNCTION("""COMPUTED_VALUE"""),"BL")</f>
        <v>BL</v>
      </c>
      <c r="J625" s="14"/>
      <c r="K625" s="14"/>
      <c r="L625" s="14" t="str">
        <f>IFERROR(__xludf.DUMMYFUNCTION("""COMPUTED_VALUE"""),"レジンエンターテインメント")</f>
        <v>レジンエンターテインメント</v>
      </c>
      <c r="M625" s="21">
        <f>IFERROR(__xludf.DUMMYFUNCTION("""COMPUTED_VALUE"""),45198.0)</f>
        <v>45198</v>
      </c>
      <c r="N625" s="21">
        <f>IFERROR(__xludf.DUMMYFUNCTION("""COMPUTED_VALUE"""),45228.0)</f>
        <v>45228</v>
      </c>
      <c r="O625" s="16"/>
      <c r="P625" s="9" t="str">
        <f>IFERROR(__xludf.DUMMYFUNCTION("""COMPUTED_VALUE"""),"可")</f>
        <v>可</v>
      </c>
      <c r="Q625" s="8"/>
      <c r="R625" s="15"/>
      <c r="S625" s="14" t="str">
        <f>IFERROR(__xludf.DUMMYFUNCTION("""COMPUTED_VALUE"""),"20230714_レジンエンターテインメント_スミルナ＆カプリ〜仇と実を結び～")</f>
        <v>20230714_レジンエンターテインメント_スミルナ＆カプリ〜仇と実を結び～</v>
      </c>
      <c r="T625" s="15" t="str">
        <f>IFERROR(__xludf.DUMMYFUNCTION("""COMPUTED_VALUE"""),"格納済み(7/14)")</f>
        <v>格納済み(7/14)</v>
      </c>
      <c r="U625" s="15" t="str">
        <f>IFERROR(__xludf.DUMMYFUNCTION("""COMPUTED_VALUE"""),"ⓒ今日だけを生きる兄弟 / Kidari Studio, Inc.")</f>
        <v>ⓒ今日だけを生きる兄弟 / Kidari Studio, Inc.</v>
      </c>
      <c r="V625" s="8" t="str">
        <f>IFERROR(__xludf.DUMMYFUNCTION("""COMPUTED_VALUE"""),"#オメガバース#ファンタジー#美人攻め#強気受け#優しい攻め 神託により家門を継ぐ子を産まなければならないペセルス家の当主、テオ・ペセルス。革命団の団長で、ペセルス騎士団に捕らえられた捕虜のスレム・マリタ。迷宮のようなペセルス城に迷いながらも、アルファのスレムは脱出を諦めないが、見知らぬ誰かのフェロモンに惹かれとある部屋へ入ってしまう。そこには、オメガのようなフェロモンを放つアルファ、テオがいた。そんな不思議なフェロモンに酔い、スレムは自分の目的さえ忘れてしまうが…。結局、敵であるテオと体を重ねてしまうこ"&amp;"とに…!?")</f>
        <v>#オメガバース#ファンタジー#美人攻め#強気受け#優しい攻め 神託により家門を継ぐ子を産まなければならないペセルス家の当主、テオ・ペセルス。革命団の団長で、ペセルス騎士団に捕らえられた捕虜のスレム・マリタ。迷宮のようなペセルス城に迷いながらも、アルファのスレムは脱出を諦めないが、見知らぬ誰かのフェロモンに惹かれとある部屋へ入ってしまう。そこには、オメガのようなフェロモンを放つアルファ、テオがいた。そんな不思議なフェロモンに酔い、スレムは自分の目的さえ忘れてしまうが…。結局、敵であるテオと体を重ねてしまうことに…!?</v>
      </c>
      <c r="W625" s="14"/>
      <c r="X625" s="14" t="str">
        <f>IFERROR(__xludf.DUMMYFUNCTION("""COMPUTED_VALUE"""),"有
")</f>
        <v>有
</v>
      </c>
      <c r="Y625" s="8" t="str">
        <f>IFERROR(__xludf.DUMMYFUNCTION("""COMPUTED_VALUE"""),"10/21まで1~3巻無料
")</f>
        <v>10/21まで1~3巻無料
</v>
      </c>
      <c r="Z625" s="7"/>
      <c r="AA625" s="7"/>
      <c r="AB625" s="7"/>
    </row>
    <row r="626" ht="15.75" customHeight="1">
      <c r="A626" s="14">
        <f>IFERROR(__xludf.DUMMYFUNCTION("""COMPUTED_VALUE"""),2174.0)</f>
        <v>2174</v>
      </c>
      <c r="B626" s="15" t="str">
        <f>IFERROR(__xludf.DUMMYFUNCTION("""COMPUTED_VALUE"""),"確定")</f>
        <v>確定</v>
      </c>
      <c r="C626" s="25">
        <f>IFERROR(__xludf.DUMMYFUNCTION("""COMPUTED_VALUE"""),45121.0)</f>
        <v>45121</v>
      </c>
      <c r="D626" s="25">
        <f>IFERROR(__xludf.DUMMYFUNCTION("""COMPUTED_VALUE"""),45159.0)</f>
        <v>45159</v>
      </c>
      <c r="E626" s="14">
        <f>IFERROR(__xludf.DUMMYFUNCTION("""COMPUTED_VALUE"""),275902.0)</f>
        <v>275902</v>
      </c>
      <c r="F626" s="15" t="str">
        <f>IFERROR(__xludf.DUMMYFUNCTION("""COMPUTED_VALUE"""),"俺のハウスメイト【タテヨミ】")</f>
        <v>俺のハウスメイト【タテヨミ】</v>
      </c>
      <c r="G626" s="16" t="str">
        <f>IFERROR(__xludf.DUMMYFUNCTION("""COMPUTED_VALUE"""),"1~48")</f>
        <v>1~48</v>
      </c>
      <c r="H626" s="14" t="str">
        <f>IFERROR(__xludf.DUMMYFUNCTION("""COMPUTED_VALUE"""),"snob")</f>
        <v>snob</v>
      </c>
      <c r="I626" s="14" t="str">
        <f>IFERROR(__xludf.DUMMYFUNCTION("""COMPUTED_VALUE"""),"BL")</f>
        <v>BL</v>
      </c>
      <c r="J626" s="14"/>
      <c r="K626" s="14"/>
      <c r="L626" s="14" t="str">
        <f>IFERROR(__xludf.DUMMYFUNCTION("""COMPUTED_VALUE"""),"レジンエンターテインメント")</f>
        <v>レジンエンターテインメント</v>
      </c>
      <c r="M626" s="21">
        <f>IFERROR(__xludf.DUMMYFUNCTION("""COMPUTED_VALUE"""),45184.0)</f>
        <v>45184</v>
      </c>
      <c r="N626" s="21">
        <f>IFERROR(__xludf.DUMMYFUNCTION("""COMPUTED_VALUE"""),45275.70833333333)</f>
        <v>45275.70833</v>
      </c>
      <c r="O626" s="16"/>
      <c r="P626" s="9" t="str">
        <f>IFERROR(__xludf.DUMMYFUNCTION("""COMPUTED_VALUE"""),"可")</f>
        <v>可</v>
      </c>
      <c r="Q626" s="8"/>
      <c r="R626" s="15"/>
      <c r="S626" s="14" t="str">
        <f>IFERROR(__xludf.DUMMYFUNCTION("""COMPUTED_VALUE"""),"20230714_レジンエンターテインメント_俺のハウスメイト")</f>
        <v>20230714_レジンエンターテインメント_俺のハウスメイト</v>
      </c>
      <c r="T626" s="15" t="str">
        <f>IFERROR(__xludf.DUMMYFUNCTION("""COMPUTED_VALUE"""),"格納済み(7/14)")</f>
        <v>格納済み(7/14)</v>
      </c>
      <c r="U626" s="15" t="str">
        <f>IFERROR(__xludf.DUMMYFUNCTION("""COMPUTED_VALUE"""),"© snob / レジンコミックス")</f>
        <v>© snob / レジンコミックス</v>
      </c>
      <c r="V626" s="8" t="str">
        <f>IFERROR(__xludf.DUMMYFUNCTION("""COMPUTED_VALUE"""),"#完結#年下攻め#初体験#年上受け#同棲#BL#酔った勢い#言葉攻め#濡れ場満載 就職浪人・ジンウォンは、今まで平凡な人生を過ごしていたが、姉の電撃結婚により、財閥の親戚になることに！しかし、甥っ子となった財閥三世・ギョンハは、継母の存在を認められないと家出をしてしまう。そこで、家出した彼の面倒をみてくれとの姉のお願いにジンウォンはハウスメイト兼家政夫としてギョンハの家に住み込むが…？")</f>
        <v>#完結#年下攻め#初体験#年上受け#同棲#BL#酔った勢い#言葉攻め#濡れ場満載 就職浪人・ジンウォンは、今まで平凡な人生を過ごしていたが、姉の電撃結婚により、財閥の親戚になることに！しかし、甥っ子となった財閥三世・ギョンハは、継母の存在を認められないと家出をしてしまう。そこで、家出した彼の面倒をみてくれとの姉のお願いにジンウォンはハウスメイト兼家政夫としてギョンハの家に住み込むが…？</v>
      </c>
      <c r="W626" s="14"/>
      <c r="X626" s="14" t="str">
        <f>IFERROR(__xludf.DUMMYFUNCTION("""COMPUTED_VALUE"""),"有
")</f>
        <v>有
</v>
      </c>
      <c r="Y626" s="8" t="str">
        <f>IFERROR(__xludf.DUMMYFUNCTION("""COMPUTED_VALUE"""),"9/28まで1~4巻無料
")</f>
        <v>9/28まで1~4巻無料
</v>
      </c>
      <c r="Z626" s="7"/>
      <c r="AA626" s="7"/>
      <c r="AB626" s="7"/>
    </row>
    <row r="627" ht="153.0" customHeight="1">
      <c r="A627" s="14">
        <f>IFERROR(__xludf.DUMMYFUNCTION("""COMPUTED_VALUE"""),2209.0)</f>
        <v>2209</v>
      </c>
      <c r="B627" s="15" t="str">
        <f>IFERROR(__xludf.DUMMYFUNCTION("""COMPUTED_VALUE"""),"確定")</f>
        <v>確定</v>
      </c>
      <c r="C627" s="25">
        <f>IFERROR(__xludf.DUMMYFUNCTION("""COMPUTED_VALUE"""),45128.0)</f>
        <v>45128</v>
      </c>
      <c r="D627" s="25">
        <f>IFERROR(__xludf.DUMMYFUNCTION("""COMPUTED_VALUE"""),45159.0)</f>
        <v>45159</v>
      </c>
      <c r="E627" s="14">
        <f>IFERROR(__xludf.DUMMYFUNCTION("""COMPUTED_VALUE"""),275492.0)</f>
        <v>275492</v>
      </c>
      <c r="F627" s="15" t="str">
        <f>IFERROR(__xludf.DUMMYFUNCTION("""COMPUTED_VALUE"""),"ゆめゆめ、恋することなかれ")</f>
        <v>ゆめゆめ、恋することなかれ</v>
      </c>
      <c r="G627" s="16" t="str">
        <f>IFERROR(__xludf.DUMMYFUNCTION("""COMPUTED_VALUE"""),"1～4")</f>
        <v>1～4</v>
      </c>
      <c r="H627" s="14" t="str">
        <f>IFERROR(__xludf.DUMMYFUNCTION("""COMPUTED_VALUE"""),"花野さそり")</f>
        <v>花野さそり</v>
      </c>
      <c r="I627" s="14" t="str">
        <f>IFERROR(__xludf.DUMMYFUNCTION("""COMPUTED_VALUE"""),"少女")</f>
        <v>少女</v>
      </c>
      <c r="J627" s="14"/>
      <c r="K627" s="14"/>
      <c r="L627" s="14" t="str">
        <f>IFERROR(__xludf.DUMMYFUNCTION("""COMPUTED_VALUE"""),"ファンギルド")</f>
        <v>ファンギルド</v>
      </c>
      <c r="M627" s="21">
        <f>IFERROR(__xludf.DUMMYFUNCTION("""COMPUTED_VALUE"""),45182.0)</f>
        <v>45182</v>
      </c>
      <c r="N627" s="21">
        <f>IFERROR(__xludf.DUMMYFUNCTION("""COMPUTED_VALUE"""),45209.0)</f>
        <v>45209</v>
      </c>
      <c r="O627" s="16"/>
      <c r="P627" s="9" t="str">
        <f>IFERROR(__xludf.DUMMYFUNCTION("""COMPUTED_VALUE"""),"可")</f>
        <v>可</v>
      </c>
      <c r="Q627" s="8"/>
      <c r="R627" s="15"/>
      <c r="S627" s="14" t="str">
        <f>IFERROR(__xludf.DUMMYFUNCTION("""COMPUTED_VALUE"""),"20230821_ファンギルド_ゆめゆめ、恋することなかれ")</f>
        <v>20230821_ファンギルド_ゆめゆめ、恋することなかれ</v>
      </c>
      <c r="T627" s="15" t="str">
        <f>IFERROR(__xludf.DUMMYFUNCTION("""COMPUTED_VALUE"""),"格納済み")</f>
        <v>格納済み</v>
      </c>
      <c r="U627" s="15" t="str">
        <f>IFERROR(__xludf.DUMMYFUNCTION("""COMPUTED_VALUE"""),"©村花野さそり/ファンギルド")</f>
        <v>©村花野さそり/ファンギルド</v>
      </c>
      <c r="V627" s="8" t="str">
        <f>IFERROR(__xludf.DUMMYFUNCTION("""COMPUTED_VALUE"""),"小さい頃から、夢で体験したことが現実に起こる『予知夢』を見てきた撫子には、まだ一つだけ起こっていないことがあった――それは夢の中で、いつも優しく甘い言葉を囁いてくれる”憧れの王子様”に出会うこと！「いつ会えるのかな…」と期待に胸を膨らませていたある日、クラスに転校してきた古賀くんが、夢に見る王子様そのものだった！しかし彼は、地域でも有名な不良少年で……？予知夢のとおりにならない王子様と、突っ走り夢見ガールのどきまぎラブストーリー！")</f>
        <v>小さい頃から、夢で体験したことが現実に起こる『予知夢』を見てきた撫子には、まだ一つだけ起こっていないことがあった――それは夢の中で、いつも優しく甘い言葉を囁いてくれる”憧れの王子様”に出会うこと！「いつ会えるのかな…」と期待に胸を膨らませていたある日、クラスに転校してきた古賀くんが、夢に見る王子様そのものだった！しかし彼は、地域でも有名な不良少年で……？予知夢のとおりにならない王子様と、突っ走り夢見ガールのどきまぎラブストーリー！</v>
      </c>
      <c r="W627" s="14"/>
      <c r="X627" s="14" t="str">
        <f>IFERROR(__xludf.DUMMYFUNCTION("""COMPUTED_VALUE"""),"有
")</f>
        <v>有
</v>
      </c>
      <c r="Y627" s="8" t="str">
        <f>IFERROR(__xludf.DUMMYFUNCTION("""COMPUTED_VALUE"""),"P7まで")</f>
        <v>P7まで</v>
      </c>
      <c r="Z627" s="7"/>
      <c r="AA627" s="7"/>
      <c r="AB627" s="7"/>
    </row>
    <row r="628" ht="15.75" customHeight="1">
      <c r="A628" s="14">
        <f>IFERROR(__xludf.DUMMYFUNCTION("""COMPUTED_VALUE"""),2231.0)</f>
        <v>2231</v>
      </c>
      <c r="B628" s="15" t="str">
        <f>IFERROR(__xludf.DUMMYFUNCTION("""COMPUTED_VALUE"""),"確定")</f>
        <v>確定</v>
      </c>
      <c r="C628" s="25">
        <f>IFERROR(__xludf.DUMMYFUNCTION("""COMPUTED_VALUE"""),45133.0)</f>
        <v>45133</v>
      </c>
      <c r="D628" s="25">
        <f>IFERROR(__xludf.DUMMYFUNCTION("""COMPUTED_VALUE"""),45159.0)</f>
        <v>45159</v>
      </c>
      <c r="E628" s="14">
        <f>IFERROR(__xludf.DUMMYFUNCTION("""COMPUTED_VALUE"""),275486.0)</f>
        <v>275486</v>
      </c>
      <c r="F628" s="15" t="str">
        <f>IFERROR(__xludf.DUMMYFUNCTION("""COMPUTED_VALUE"""),"脇役に憑依したら愛されすぎて困ってます【タテヨミ】")</f>
        <v>脇役に憑依したら愛されすぎて困ってます【タテヨミ】</v>
      </c>
      <c r="G628" s="11" t="str">
        <f>IFERROR(__xludf.DUMMYFUNCTION("""COMPUTED_VALUE"""),"1～15")</f>
        <v>1～15</v>
      </c>
      <c r="H628" s="14" t="str">
        <f>IFERROR(__xludf.DUMMYFUNCTION("""COMPUTED_VALUE"""),"mongdo")</f>
        <v>mongdo</v>
      </c>
      <c r="I628" s="14" t="str">
        <f>IFERROR(__xludf.DUMMYFUNCTION("""COMPUTED_VALUE"""),"BL")</f>
        <v>BL</v>
      </c>
      <c r="J628" s="14"/>
      <c r="K628" s="14"/>
      <c r="L628" s="14" t="str">
        <f>IFERROR(__xludf.DUMMYFUNCTION("""COMPUTED_VALUE"""),"NHNcomico")</f>
        <v>NHNcomico</v>
      </c>
      <c r="M628" s="21">
        <f>IFERROR(__xludf.DUMMYFUNCTION("""COMPUTED_VALUE"""),45170.0)</f>
        <v>45170</v>
      </c>
      <c r="N628" s="21">
        <f>IFERROR(__xludf.DUMMYFUNCTION("""COMPUTED_VALUE"""),45232.0)</f>
        <v>45232</v>
      </c>
      <c r="O628" s="16"/>
      <c r="P628" s="15" t="str">
        <f>IFERROR(__xludf.DUMMYFUNCTION("""COMPUTED_VALUE"""),"可")</f>
        <v>可</v>
      </c>
      <c r="Q628" s="8" t="str">
        <f>IFERROR(__xludf.DUMMYFUNCTION("""COMPUTED_VALUE"""),"広告コミットOK(8/3)")</f>
        <v>広告コミットOK(8/3)</v>
      </c>
      <c r="R628" s="15"/>
      <c r="S628" s="14" t="str">
        <f>IFERROR(__xludf.DUMMYFUNCTION("""COMPUTED_VALUE"""),"20230809_comico_脇役に憑依したら愛されすぎて困ってます")</f>
        <v>20230809_comico_脇役に憑依したら愛されすぎて困ってます</v>
      </c>
      <c r="T628" s="15" t="str">
        <f>IFERROR(__xludf.DUMMYFUNCTION("""COMPUTED_VALUE"""),"格納済み")</f>
        <v>格納済み</v>
      </c>
      <c r="U628" s="15" t="str">
        <f>IFERROR(__xludf.DUMMYFUNCTION("""COMPUTED_VALUE"""),"(C)mongdo, Unicorn/NHN")</f>
        <v>(C)mongdo, Unicorn/NHN</v>
      </c>
      <c r="V628" s="8" t="str">
        <f>IFERROR(__xludf.DUMMYFUNCTION("""COMPUTED_VALUE"""),"とあるハプニングによって、妹がプレイしていた恋愛ゲームの世界に憑依転生した主人公のイ･ジンス。しかし、転生した人物は未来で死ぬことになる悪役のモブキャラだった。元の世界に戻る方法を探すうちに、ジンスはゲーム内の男主人公たちと出会い、関係がどんどん変化していく奇想天外なBL恋愛ファンタジー！
")</f>
        <v>とあるハプニングによって、妹がプレイしていた恋愛ゲームの世界に憑依転生した主人公のイ･ジンス。しかし、転生した人物は未来で死ぬことになる悪役のモブキャラだった。元の世界に戻る方法を探すうちに、ジンスはゲーム内の男主人公たちと出会い、関係がどんどん変化していく奇想天外なBL恋愛ファンタジー！
</v>
      </c>
      <c r="W628" s="14"/>
      <c r="X628" s="14" t="str">
        <f>IFERROR(__xludf.DUMMYFUNCTION("""COMPUTED_VALUE"""),"有
")</f>
        <v>有
</v>
      </c>
      <c r="Y628" s="8" t="str">
        <f>IFERROR(__xludf.DUMMYFUNCTION("""COMPUTED_VALUE"""),"12/31まで1~3巻無料
")</f>
        <v>12/31まで1~3巻無料
</v>
      </c>
      <c r="Z628" s="7"/>
      <c r="AA628" s="7"/>
      <c r="AB628" s="7"/>
    </row>
    <row r="629" ht="15.75" customHeight="1">
      <c r="A629" s="14">
        <f>IFERROR(__xludf.DUMMYFUNCTION("""COMPUTED_VALUE"""),2232.0)</f>
        <v>2232</v>
      </c>
      <c r="B629" s="15" t="str">
        <f>IFERROR(__xludf.DUMMYFUNCTION("""COMPUTED_VALUE"""),"確定")</f>
        <v>確定</v>
      </c>
      <c r="C629" s="25">
        <f>IFERROR(__xludf.DUMMYFUNCTION("""COMPUTED_VALUE"""),45133.0)</f>
        <v>45133</v>
      </c>
      <c r="D629" s="25">
        <f>IFERROR(__xludf.DUMMYFUNCTION("""COMPUTED_VALUE"""),45159.0)</f>
        <v>45159</v>
      </c>
      <c r="E629" s="14">
        <f>IFERROR(__xludf.DUMMYFUNCTION("""COMPUTED_VALUE"""),276139.0)</f>
        <v>276139</v>
      </c>
      <c r="F629" s="15" t="str">
        <f>IFERROR(__xludf.DUMMYFUNCTION("""COMPUTED_VALUE"""),"修学旅行中、カレ友とセックス漬け～極太チ●コに何度もイカされハメられて…")</f>
        <v>修学旅行中、カレ友とセックス漬け～極太チ●コに何度もイカされハメられて…</v>
      </c>
      <c r="G629" s="11" t="str">
        <f>IFERROR(__xludf.DUMMYFUNCTION("""COMPUTED_VALUE"""),"1～2")</f>
        <v>1～2</v>
      </c>
      <c r="H629" s="14" t="str">
        <f>IFERROR(__xludf.DUMMYFUNCTION("""COMPUTED_VALUE"""),"たかみはいり")</f>
        <v>たかみはいり</v>
      </c>
      <c r="I629" s="14" t="str">
        <f>IFERROR(__xludf.DUMMYFUNCTION("""COMPUTED_VALUE"""),"オトナ")</f>
        <v>オトナ</v>
      </c>
      <c r="J629" s="14"/>
      <c r="K629" s="14"/>
      <c r="L629" s="14" t="str">
        <f>IFERROR(__xludf.DUMMYFUNCTION("""COMPUTED_VALUE"""),"STDパブリッシング")</f>
        <v>STDパブリッシング</v>
      </c>
      <c r="M629" s="21">
        <f>IFERROR(__xludf.DUMMYFUNCTION("""COMPUTED_VALUE"""),45184.0)</f>
        <v>45184</v>
      </c>
      <c r="N629" s="21">
        <f>IFERROR(__xludf.DUMMYFUNCTION("""COMPUTED_VALUE"""),45197.0)</f>
        <v>45197</v>
      </c>
      <c r="O629" s="16"/>
      <c r="P629" s="15" t="str">
        <f>IFERROR(__xludf.DUMMYFUNCTION("""COMPUTED_VALUE"""),"可")</f>
        <v>可</v>
      </c>
      <c r="Q629" s="8" t="str">
        <f>IFERROR(__xludf.DUMMYFUNCTION("""COMPUTED_VALUE"""),"広告コミットOK(8/8)")</f>
        <v>広告コミットOK(8/8)</v>
      </c>
      <c r="R629" s="15"/>
      <c r="S629" s="14" t="str">
        <f>IFERROR(__xludf.DUMMYFUNCTION("""COMPUTED_VALUE"""),"20230821_STDパブリッシング_修学旅行中、カレ友とセックス漬け～極太チ●コに何度もイカされハメられて…")</f>
        <v>20230821_STDパブリッシング_修学旅行中、カレ友とセックス漬け～極太チ●コに何度もイカされハメられて…</v>
      </c>
      <c r="T629" s="15" t="str">
        <f>IFERROR(__xludf.DUMMYFUNCTION("""COMPUTED_VALUE"""),"格納済み")</f>
        <v>格納済み</v>
      </c>
      <c r="U629" s="15" t="str">
        <f>IFERROR(__xludf.DUMMYFUNCTION("""COMPUTED_VALUE"""),"©たかみはいり/STDパブリッシング")</f>
        <v>©たかみはいり/STDパブリッシング</v>
      </c>
      <c r="V629" s="8" t="str">
        <f>IFERROR(__xludf.DUMMYFUNCTION("""COMPUTED_VALUE"""),"「何でもするから…もう止めて…ッ」――半年前に彼氏ができた千沙だったが、奥手な二人は未だにキスすらしていなかった。修学旅行中に距離を縮めたいと考えていた夜、女子部屋で彼氏とその友達と楽しく盛り上がっていると、見回りの先生が来てしまう。咄嗟に布団の中に入ると、一緒の布団に隠れていた『カレ』が体を触ってきて!?積極的な『カレ』は止まることなく、千沙の勃起した乳首を指先ではじき、敏感になったアソコを弄り出し…。初めて経験する快楽に甘い吐息を漏らしてしまう千沙だったが、相手は彼氏の親友の圭太で!?抗おうとするが、"&amp;"トロトロに濡れたアソコに圭太の肉棒を挿入されて…！")</f>
        <v>「何でもするから…もう止めて…ッ」――半年前に彼氏ができた千沙だったが、奥手な二人は未だにキスすらしていなかった。修学旅行中に距離を縮めたいと考えていた夜、女子部屋で彼氏とその友達と楽しく盛り上がっていると、見回りの先生が来てしまう。咄嗟に布団の中に入ると、一緒の布団に隠れていた『カレ』が体を触ってきて!?積極的な『カレ』は止まることなく、千沙の勃起した乳首を指先ではじき、敏感になったアソコを弄り出し…。初めて経験する快楽に甘い吐息を漏らしてしまう千沙だったが、相手は彼氏の親友の圭太で!?抗おうとするが、トロトロに濡れたアソコに圭太の肉棒を挿入されて…！</v>
      </c>
      <c r="W629" s="14"/>
      <c r="X629" s="14" t="str">
        <f>IFERROR(__xludf.DUMMYFUNCTION("""COMPUTED_VALUE"""),"有
")</f>
        <v>有
</v>
      </c>
      <c r="Y629" s="8" t="str">
        <f>IFERROR(__xludf.DUMMYFUNCTION("""COMPUTED_VALUE"""),"9/28まで立ち読み増量P19まで
")</f>
        <v>9/28まで立ち読み増量P19まで
</v>
      </c>
      <c r="Z629" s="7"/>
      <c r="AA629" s="7"/>
      <c r="AB629" s="7"/>
    </row>
    <row r="630" ht="15.75" customHeight="1">
      <c r="A630" s="14">
        <f>IFERROR(__xludf.DUMMYFUNCTION("""COMPUTED_VALUE"""),2259.0)</f>
        <v>2259</v>
      </c>
      <c r="B630" s="15" t="str">
        <f>IFERROR(__xludf.DUMMYFUNCTION("""COMPUTED_VALUE"""),"確定")</f>
        <v>確定</v>
      </c>
      <c r="C630" s="25">
        <f>IFERROR(__xludf.DUMMYFUNCTION("""COMPUTED_VALUE"""),45141.0)</f>
        <v>45141</v>
      </c>
      <c r="D630" s="25">
        <f>IFERROR(__xludf.DUMMYFUNCTION("""COMPUTED_VALUE"""),45160.0)</f>
        <v>45160</v>
      </c>
      <c r="E630" s="14">
        <f>IFERROR(__xludf.DUMMYFUNCTION("""COMPUTED_VALUE"""),276403.0)</f>
        <v>276403</v>
      </c>
      <c r="F630" s="15" t="str">
        <f>IFERROR(__xludf.DUMMYFUNCTION("""COMPUTED_VALUE"""),"エロキャンパス")</f>
        <v>エロキャンパス</v>
      </c>
      <c r="G630" s="16" t="str">
        <f>IFERROR(__xludf.DUMMYFUNCTION("""COMPUTED_VALUE"""),"1～3")</f>
        <v>1～3</v>
      </c>
      <c r="H630" s="14" t="str">
        <f>IFERROR(__xludf.DUMMYFUNCTION("""COMPUTED_VALUE"""),"Wild Poodle/jobless")</f>
        <v>Wild Poodle/jobless</v>
      </c>
      <c r="I630" s="14" t="str">
        <f>IFERROR(__xludf.DUMMYFUNCTION("""COMPUTED_VALUE"""),"青年")</f>
        <v>青年</v>
      </c>
      <c r="J630" s="14"/>
      <c r="K630" s="14"/>
      <c r="L630" s="14" t="str">
        <f>IFERROR(__xludf.DUMMYFUNCTION("""COMPUTED_VALUE"""),"Rush!")</f>
        <v>Rush!</v>
      </c>
      <c r="M630" s="21">
        <f>IFERROR(__xludf.DUMMYFUNCTION("""COMPUTED_VALUE"""),45191.0)</f>
        <v>45191</v>
      </c>
      <c r="N630" s="21">
        <f>IFERROR(__xludf.DUMMYFUNCTION("""COMPUTED_VALUE"""),45218.0)</f>
        <v>45218</v>
      </c>
      <c r="O630" s="16"/>
      <c r="P630" s="9" t="str">
        <f>IFERROR(__xludf.DUMMYFUNCTION("""COMPUTED_VALUE"""),"可")</f>
        <v>可</v>
      </c>
      <c r="Q630" s="8"/>
      <c r="R630" s="15"/>
      <c r="S630" s="14" t="str">
        <f>IFERROR(__xludf.DUMMYFUNCTION("""COMPUTED_VALUE"""),"20230821_ファンギルド_エロキャンパス")</f>
        <v>20230821_ファンギルド_エロキャンパス</v>
      </c>
      <c r="T630" s="15" t="str">
        <f>IFERROR(__xludf.DUMMYFUNCTION("""COMPUTED_VALUE"""),"格納済み")</f>
        <v>格納済み</v>
      </c>
      <c r="U630" s="15" t="str">
        <f>IFERROR(__xludf.DUMMYFUNCTION("""COMPUTED_VALUE"""),"©Wild Poodle/jobless/TOPTOON")</f>
        <v>©Wild Poodle/jobless/TOPTOON</v>
      </c>
      <c r="V630" s="8" t="str">
        <f>IFERROR(__xludf.DUMMYFUNCTION("""COMPUTED_VALUE"""),"”筋肉バカ”な大学二年生・雄大（ゆうだい）。そんな雄大が所属するサークルはもちろん…漫画サークル！？そのワケは――勧誘を受けた先輩・萌音（もね）に対するひと目惚れだった。何の進展もない現状を打破するべく告白するが、フラれてしまう雄大。幼馴染の美月（みつき）に相談するが、何故か”心身”共に慰めてもらう展開に！？その直後、彼のスマホに一件の着信が…。「私も雄大君の事が好きだったみたい！」漫画サークル内で構成された三角関係。雄大のキャンバスライフは一体どうなってしまうのか！？")</f>
        <v>”筋肉バカ”な大学二年生・雄大（ゆうだい）。そんな雄大が所属するサークルはもちろん…漫画サークル！？そのワケは――勧誘を受けた先輩・萌音（もね）に対するひと目惚れだった。何の進展もない現状を打破するべく告白するが、フラれてしまう雄大。幼馴染の美月（みつき）に相談するが、何故か”心身”共に慰めてもらう展開に！？その直後、彼のスマホに一件の着信が…。「私も雄大君の事が好きだったみたい！」漫画サークル内で構成された三角関係。雄大のキャンバスライフは一体どうなってしまうのか！？</v>
      </c>
      <c r="W630" s="14"/>
      <c r="X630" s="22" t="str">
        <f>IFERROR(__xludf.DUMMYFUNCTION("""COMPUTED_VALUE"""),"有
")</f>
        <v>有
</v>
      </c>
      <c r="Y630" s="8" t="str">
        <f>IFERROR(__xludf.DUMMYFUNCTION("""COMPUTED_VALUE"""),"10/5まで1巻無料")</f>
        <v>10/5まで1巻無料</v>
      </c>
      <c r="Z630" s="7"/>
      <c r="AA630" s="7"/>
      <c r="AB630" s="7"/>
    </row>
    <row r="631" ht="15.75" customHeight="1">
      <c r="A631" s="14">
        <f>IFERROR(__xludf.DUMMYFUNCTION("""COMPUTED_VALUE"""),2267.0)</f>
        <v>2267</v>
      </c>
      <c r="B631" s="15" t="str">
        <f>IFERROR(__xludf.DUMMYFUNCTION("""COMPUTED_VALUE"""),"確定")</f>
        <v>確定</v>
      </c>
      <c r="C631" s="25">
        <f>IFERROR(__xludf.DUMMYFUNCTION("""COMPUTED_VALUE"""),45146.0)</f>
        <v>45146</v>
      </c>
      <c r="D631" s="25">
        <f>IFERROR(__xludf.DUMMYFUNCTION("""COMPUTED_VALUE"""),45159.0)</f>
        <v>45159</v>
      </c>
      <c r="E631" s="14">
        <f>IFERROR(__xludf.DUMMYFUNCTION("""COMPUTED_VALUE"""),278962.0)</f>
        <v>278962</v>
      </c>
      <c r="F631" s="15" t="str">
        <f>IFERROR(__xludf.DUMMYFUNCTION("""COMPUTED_VALUE"""),"甘けりゃ、肥える")</f>
        <v>甘けりゃ、肥える</v>
      </c>
      <c r="G631" s="11" t="str">
        <f>IFERROR(__xludf.DUMMYFUNCTION("""COMPUTED_VALUE"""),"1～2")</f>
        <v>1～2</v>
      </c>
      <c r="H631" s="14" t="str">
        <f>IFERROR(__xludf.DUMMYFUNCTION("""COMPUTED_VALUE"""),"あさ")</f>
        <v>あさ</v>
      </c>
      <c r="I631" s="14" t="str">
        <f>IFERROR(__xludf.DUMMYFUNCTION("""COMPUTED_VALUE"""),"BL")</f>
        <v>BL</v>
      </c>
      <c r="J631" s="14"/>
      <c r="K631" s="14"/>
      <c r="L631" s="14" t="str">
        <f>IFERROR(__xludf.DUMMYFUNCTION("""COMPUTED_VALUE"""),"渋谷六花舎")</f>
        <v>渋谷六花舎</v>
      </c>
      <c r="M631" s="21">
        <f>IFERROR(__xludf.DUMMYFUNCTION("""COMPUTED_VALUE"""),45227.0)</f>
        <v>45227</v>
      </c>
      <c r="N631" s="21">
        <f>IFERROR(__xludf.DUMMYFUNCTION("""COMPUTED_VALUE"""),44953.0)</f>
        <v>44953</v>
      </c>
      <c r="O631" s="16"/>
      <c r="P631" s="15" t="str">
        <f>IFERROR(__xludf.DUMMYFUNCTION("""COMPUTED_VALUE"""),"可")</f>
        <v>可</v>
      </c>
      <c r="Q631" s="14" t="str">
        <f>IFERROR(__xludf.DUMMYFUNCTION("""COMPUTED_VALUE"""),"広告コミットOK(8/14)")</f>
        <v>広告コミットOK(8/14)</v>
      </c>
      <c r="R631" s="15" t="str">
        <f>IFERROR(__xludf.DUMMYFUNCTION("""COMPUTED_VALUE"""),"格納済み")</f>
        <v>格納済み</v>
      </c>
      <c r="S631" s="14" t="str">
        <f>IFERROR(__xludf.DUMMYFUNCTION("""COMPUTED_VALUE"""),"20230808_暁NEXT_甘けりゃ、肥える")</f>
        <v>20230808_暁NEXT_甘けりゃ、肥える</v>
      </c>
      <c r="T631" s="15" t="str">
        <f>IFERROR(__xludf.DUMMYFUNCTION("""COMPUTED_VALUE"""),"格納済み")</f>
        <v>格納済み</v>
      </c>
      <c r="U631" s="15" t="str">
        <f>IFERROR(__xludf.DUMMYFUNCTION("""COMPUTED_VALUE"""),"（C）あさ/colore")</f>
        <v>（C）あさ/colore</v>
      </c>
      <c r="V631" s="8" t="str">
        <f>IFERROR(__xludf.DUMMYFUNCTION("""COMPUTED_VALUE"""),"「昔からよく言われてたんだ…『チョロい』って」
在宅ワークをしている角明佳(すみあすか)は
お隣さんの大学生：谷口錬太郎(たにぐちれんたろう)と
ひょんなきっかけで交流を深めていく。
甘いものが大好きな明佳は毎日ケーキを届けてくれる錬太郎に懐いていくが、
ある日運動不足を指摘されてしまう。
「運動したくない！でも甘いものは食べたい！」
そんなワガママを言う明佳に、
錬太郎が提案した運動方法はセックスであり──
スパルタヤリチンDD×チョロすぎリーマンの
甘くてクスッと笑ってしまうラブコメBL…！")</f>
        <v>「昔からよく言われてたんだ…『チョロい』って」
在宅ワークをしている角明佳(すみあすか)は
お隣さんの大学生：谷口錬太郎(たにぐちれんたろう)と
ひょんなきっかけで交流を深めていく。
甘いものが大好きな明佳は毎日ケーキを届けてくれる錬太郎に懐いていくが、
ある日運動不足を指摘されてしまう。
「運動したくない！でも甘いものは食べたい！」
そんなワガママを言う明佳に、
錬太郎が提案した運動方法はセックスであり──
スパルタヤリチンDD×チョロすぎリーマンの
甘くてクスッと笑ってしまうラブコメBL…！</v>
      </c>
      <c r="W631" s="14"/>
      <c r="X631" s="14" t="str">
        <f>IFERROR(__xludf.DUMMYFUNCTION("""COMPUTED_VALUE"""),"有
")</f>
        <v>有
</v>
      </c>
      <c r="Y631" s="8" t="str">
        <f>IFERROR(__xludf.DUMMYFUNCTION("""COMPUTED_VALUE"""),"P12まで")</f>
        <v>P12まで</v>
      </c>
      <c r="Z631" s="7"/>
      <c r="AA631" s="7"/>
      <c r="AB631" s="7"/>
    </row>
    <row r="632" ht="15.75" customHeight="1">
      <c r="A632" s="14">
        <f>IFERROR(__xludf.DUMMYFUNCTION("""COMPUTED_VALUE"""),2277.0)</f>
        <v>2277</v>
      </c>
      <c r="B632" s="15" t="str">
        <f>IFERROR(__xludf.DUMMYFUNCTION("""COMPUTED_VALUE"""),"確定")</f>
        <v>確定</v>
      </c>
      <c r="C632" s="25">
        <f>IFERROR(__xludf.DUMMYFUNCTION("""COMPUTED_VALUE"""),45148.0)</f>
        <v>45148</v>
      </c>
      <c r="D632" s="25">
        <f>IFERROR(__xludf.DUMMYFUNCTION("""COMPUTED_VALUE"""),45159.0)</f>
        <v>45159</v>
      </c>
      <c r="E632" s="14">
        <f>IFERROR(__xludf.DUMMYFUNCTION("""COMPUTED_VALUE"""),277552.0)</f>
        <v>277552</v>
      </c>
      <c r="F632" s="15" t="str">
        <f>IFERROR(__xludf.DUMMYFUNCTION("""COMPUTED_VALUE"""),"私、クズ男から卒業します【分冊版】")</f>
        <v>私、クズ男から卒業します【分冊版】</v>
      </c>
      <c r="G632" s="16" t="str">
        <f>IFERROR(__xludf.DUMMYFUNCTION("""COMPUTED_VALUE"""),"1～3")</f>
        <v>1～3</v>
      </c>
      <c r="H632" s="14" t="str">
        <f>IFERROR(__xludf.DUMMYFUNCTION("""COMPUTED_VALUE"""),"なつみ理奈")</f>
        <v>なつみ理奈</v>
      </c>
      <c r="I632" s="14" t="str">
        <f>IFERROR(__xludf.DUMMYFUNCTION("""COMPUTED_VALUE"""),"女性")</f>
        <v>女性</v>
      </c>
      <c r="J632" s="14"/>
      <c r="K632" s="14"/>
      <c r="L632" s="14" t="str">
        <f>IFERROR(__xludf.DUMMYFUNCTION("""COMPUTED_VALUE"""),"macaronRINX")</f>
        <v>macaronRINX</v>
      </c>
      <c r="M632" s="21">
        <f>IFERROR(__xludf.DUMMYFUNCTION("""COMPUTED_VALUE"""),45205.0)</f>
        <v>45205</v>
      </c>
      <c r="N632" s="21">
        <f>IFERROR(__xludf.DUMMYFUNCTION("""COMPUTED_VALUE"""),45297.0)</f>
        <v>45297</v>
      </c>
      <c r="O632" s="16"/>
      <c r="P632" s="15" t="str">
        <f>IFERROR(__xludf.DUMMYFUNCTION("""COMPUTED_VALUE"""),"可")</f>
        <v>可</v>
      </c>
      <c r="Q632" s="8" t="str">
        <f>IFERROR(__xludf.DUMMYFUNCTION("""COMPUTED_VALUE"""),"広告コミットOK(8/18)")</f>
        <v>広告コミットOK(8/18)</v>
      </c>
      <c r="R632" s="15"/>
      <c r="S632" s="8" t="str">
        <f>IFERROR(__xludf.DUMMYFUNCTION("""COMPUTED_VALUE"""),"20230810_macaronRINX_私、クズ男から卒業します")</f>
        <v>20230810_macaronRINX_私、クズ男から卒業します</v>
      </c>
      <c r="T632" s="15"/>
      <c r="U632" s="15" t="str">
        <f>IFERROR(__xludf.DUMMYFUNCTION("""COMPUTED_VALUE"""),"©なつみ理奈/制作：編集　銀杏社/プエラルム")</f>
        <v>©なつみ理奈/制作：編集　銀杏社/プエラルム</v>
      </c>
      <c r="V632" s="8" t="str">
        <f>IFERROR(__xludf.DUMMYFUNCTION("""COMPUTED_VALUE"""),"婚活を始めたばかりの契約OL、多田美春は男運がない。ある日参加した合コンで、高校時代美春に嫌がらせをし続けていた男、加賀宗次郎と再会してしまう。「また面倒みてやるよ」人を見下すことが趣味のクズ男、宗次郎は美春を再び自分の支配下に置こうとする。そんな宗次郎から逃れるため、美春は「彼氏が7人いる」と咄嗟の嘘をついてしまう。怒った宗次郎に彼氏に会わせろと迫られた美春は本当に彼氏を作ることに――!?")</f>
        <v>婚活を始めたばかりの契約OL、多田美春は男運がない。ある日参加した合コンで、高校時代美春に嫌がらせをし続けていた男、加賀宗次郎と再会してしまう。「また面倒みてやるよ」人を見下すことが趣味のクズ男、宗次郎は美春を再び自分の支配下に置こうとする。そんな宗次郎から逃れるため、美春は「彼氏が7人いる」と咄嗟の嘘をついてしまう。怒った宗次郎に彼氏に会わせろと迫られた美春は本当に彼氏を作ることに――!?</v>
      </c>
      <c r="W632" s="14"/>
      <c r="X632" s="22" t="str">
        <f>IFERROR(__xludf.DUMMYFUNCTION("""COMPUTED_VALUE"""),"有
")</f>
        <v>有
</v>
      </c>
      <c r="Y632" s="8" t="str">
        <f>IFERROR(__xludf.DUMMYFUNCTION("""COMPUTED_VALUE"""),"1/6まで1巻無料")</f>
        <v>1/6まで1巻無料</v>
      </c>
      <c r="Z632" s="7"/>
      <c r="AA632" s="7"/>
      <c r="AB632" s="7"/>
    </row>
    <row r="633" ht="15.75" customHeight="1">
      <c r="A633" s="26">
        <f>IFERROR(__xludf.DUMMYFUNCTION("""COMPUTED_VALUE"""),1572.0)</f>
        <v>1572</v>
      </c>
      <c r="B633" s="27" t="str">
        <f>IFERROR(__xludf.DUMMYFUNCTION("""COMPUTED_VALUE"""),"確定")</f>
        <v>確定</v>
      </c>
      <c r="C633" s="28">
        <f>IFERROR(__xludf.DUMMYFUNCTION("""COMPUTED_VALUE"""),44896.0)</f>
        <v>44896</v>
      </c>
      <c r="D633" s="28">
        <f>IFERROR(__xludf.DUMMYFUNCTION("""COMPUTED_VALUE"""),45166.0)</f>
        <v>45166</v>
      </c>
      <c r="E633" s="14">
        <f>IFERROR(__xludf.DUMMYFUNCTION("""COMPUTED_VALUE"""),275103.0)</f>
        <v>275103</v>
      </c>
      <c r="F633" s="15" t="str">
        <f>IFERROR(__xludf.DUMMYFUNCTION("""COMPUTED_VALUE"""),"ヤンデレ殺し!! ～執着ヤバめの幼馴染に「私も好き」と伝えたら、ラブコメルートにシフトしました～")</f>
        <v>ヤンデレ殺し!! ～執着ヤバめの幼馴染に「私も好き」と伝えたら、ラブコメルートにシフトしました～</v>
      </c>
      <c r="G633" s="11" t="str">
        <f>IFERROR(__xludf.DUMMYFUNCTION("""COMPUTED_VALUE"""),"1～2")</f>
        <v>1～2</v>
      </c>
      <c r="H633" s="22" t="str">
        <f>IFERROR(__xludf.DUMMYFUNCTION("""COMPUTED_VALUE"""),"原作・兎山もなか／漫画・かずいち")</f>
        <v>原作・兎山もなか／漫画・かずいち</v>
      </c>
      <c r="I633" s="22" t="str">
        <f>IFERROR(__xludf.DUMMYFUNCTION("""COMPUTED_VALUE"""),"TL")</f>
        <v>TL</v>
      </c>
      <c r="J633" s="22"/>
      <c r="K633" s="22"/>
      <c r="L633" s="22" t="str">
        <f>IFERROR(__xludf.DUMMYFUNCTION("""COMPUTED_VALUE"""),"小学館")</f>
        <v>小学館</v>
      </c>
      <c r="M633" s="23">
        <f>IFERROR(__xludf.DUMMYFUNCTION("""COMPUTED_VALUE"""),45170.0)</f>
        <v>45170</v>
      </c>
      <c r="N633" s="23">
        <f>IFERROR(__xludf.DUMMYFUNCTION("""COMPUTED_VALUE"""),45351.70833333333)</f>
        <v>45351.70833</v>
      </c>
      <c r="O633" s="20"/>
      <c r="P633" s="29" t="str">
        <f>IFERROR(__xludf.DUMMYFUNCTION("""COMPUTED_VALUE"""),"可")</f>
        <v>可</v>
      </c>
      <c r="Q633" s="30" t="str">
        <f>IFERROR(__xludf.DUMMYFUNCTION("""COMPUTED_VALUE"""),"広告コミットOK（12/2）
 0823：2話目の素材を追加しました。タイトル名の「ヤンデレ殺し」の意味が分かる、かなりネタバレ回という感じなので、広告等で版面使用される際はご留意いただきたいとのことです。")</f>
        <v>広告コミットOK（12/2）
 0823：2話目の素材を追加しました。タイトル名の「ヤンデレ殺し」の意味が分かる、かなりネタバレ回という感じなので、広告等で版面使用される際はご留意いただきたいとのことです。</v>
      </c>
      <c r="R633" s="27"/>
      <c r="S633" s="22" t="str">
        <f>IFERROR(__xludf.DUMMYFUNCTION("""COMPUTED_VALUE"""),"20230808_小学館_ヤンデレ殺し!! ～執着ヤバめの幼馴染に「私も好き」と伝えたら、ラブコメルートにシフトしました～")</f>
        <v>20230808_小学館_ヤンデレ殺し!! ～執着ヤバめの幼馴染に「私も好き」と伝えたら、ラブコメルートにシフトしました～</v>
      </c>
      <c r="T633" s="27" t="str">
        <f>IFERROR(__xludf.DUMMYFUNCTION("""COMPUTED_VALUE"""),"格納済み")</f>
        <v>格納済み</v>
      </c>
      <c r="U633" s="15" t="str">
        <f>IFERROR(__xludf.DUMMYFUNCTION("""COMPUTED_VALUE"""),"(C)兎山もなか・かずいち / 小学館")</f>
        <v>(C)兎山もなか・かずいち / 小学館</v>
      </c>
      <c r="V633" s="8" t="str">
        <f>IFERROR(__xludf.DUMMYFUNCTION("""COMPUTED_VALUE"""),"「形のいい耳も、首筋も、おっぱいも…。敏感で可愛いね、紗雪」◆「…もう待たない。徹底的に、紗雪を俺のモノにする」――栢島紗雪（かやしま・さゆき）と大原眞人（おおはら・まひと）は幼なじみ同士で職場も同じビル。普段は仲の良い友人を演じているふたりだが、実は紗雪は長年の間、眞人への恋心を抱き続けていた。そんなある日、とある出来事がきっかけで、紗雪は眞人の「正体」を知ることになるのだが……？（『徹底的に紗雪を俺のモノにする』って……………それってつまり私たち、相思相愛ってコト～!?!?）ヤンデレ男子の重すぎる愛が"&amp;"なぜか胸キュン要素に変換されて、熱愛展開まっしぐら!?　ねっとり抱いてぎゅっと抱き返されて、予測不能な恋のゆくえは…？　兎山もなか×かずいちのタッグが贈る、極上えっちな新感覚ヤンデレ（？）ラブコメディ！")</f>
        <v>「形のいい耳も、首筋も、おっぱいも…。敏感で可愛いね、紗雪」◆「…もう待たない。徹底的に、紗雪を俺のモノにする」――栢島紗雪（かやしま・さゆき）と大原眞人（おおはら・まひと）は幼なじみ同士で職場も同じビル。普段は仲の良い友人を演じているふたりだが、実は紗雪は長年の間、眞人への恋心を抱き続けていた。そんなある日、とある出来事がきっかけで、紗雪は眞人の「正体」を知ることになるのだが……？（『徹底的に紗雪を俺のモノにする』って……………それってつまり私たち、相思相愛ってコト～!?!?）ヤンデレ男子の重すぎる愛がなぜか胸キュン要素に変換されて、熱愛展開まっしぐら!?　ねっとり抱いてぎゅっと抱き返されて、予測不能な恋のゆくえは…？　兎山もなか×かずいちのタッグが贈る、極上えっちな新感覚ヤンデレ（？）ラブコメディ！</v>
      </c>
      <c r="W633" s="14"/>
      <c r="X633" s="14" t="str">
        <f>IFERROR(__xludf.DUMMYFUNCTION("""COMPUTED_VALUE"""),"有
")</f>
        <v>有
</v>
      </c>
      <c r="Y633" s="8" t="str">
        <f>IFERROR(__xludf.DUMMYFUNCTION("""COMPUTED_VALUE"""),"9/14まで立ち読み増量P29まで
")</f>
        <v>9/14まで立ち読み増量P29まで
</v>
      </c>
      <c r="Z633" s="7"/>
      <c r="AA633" s="7"/>
      <c r="AB633" s="7"/>
    </row>
    <row r="634" ht="15.75" customHeight="1">
      <c r="A634" s="26">
        <f>IFERROR(__xludf.DUMMYFUNCTION("""COMPUTED_VALUE"""),2288.0)</f>
        <v>2288</v>
      </c>
      <c r="B634" s="27" t="str">
        <f>IFERROR(__xludf.DUMMYFUNCTION("""COMPUTED_VALUE"""),"確定")</f>
        <v>確定</v>
      </c>
      <c r="C634" s="28">
        <f>IFERROR(__xludf.DUMMYFUNCTION("""COMPUTED_VALUE"""),45155.0)</f>
        <v>45155</v>
      </c>
      <c r="D634" s="28">
        <f>IFERROR(__xludf.DUMMYFUNCTION("""COMPUTED_VALUE"""),45160.0)</f>
        <v>45160</v>
      </c>
      <c r="E634" s="31">
        <f>IFERROR(__xludf.DUMMYFUNCTION("""COMPUTED_VALUE"""),275300.0)</f>
        <v>275300</v>
      </c>
      <c r="F634" s="27" t="str">
        <f>IFERROR(__xludf.DUMMYFUNCTION("""COMPUTED_VALUE"""),"よるべない花たちよ～for four sisters～【分冊版】")</f>
        <v>よるべない花たちよ～for four sisters～【分冊版】</v>
      </c>
      <c r="G634" s="16" t="str">
        <f>IFERROR(__xludf.DUMMYFUNCTION("""COMPUTED_VALUE"""),"1～12")</f>
        <v>1～12</v>
      </c>
      <c r="H634" s="22" t="str">
        <f>IFERROR(__xludf.DUMMYFUNCTION("""COMPUTED_VALUE"""),"山内尚")</f>
        <v>山内尚</v>
      </c>
      <c r="I634" s="22" t="str">
        <f>IFERROR(__xludf.DUMMYFUNCTION("""COMPUTED_VALUE"""),"女性")</f>
        <v>女性</v>
      </c>
      <c r="J634" s="22"/>
      <c r="K634" s="22"/>
      <c r="L634" s="22" t="str">
        <f>IFERROR(__xludf.DUMMYFUNCTION("""COMPUTED_VALUE"""),"秋田書店")</f>
        <v>秋田書店</v>
      </c>
      <c r="M634" s="23">
        <f>IFERROR(__xludf.DUMMYFUNCTION("""COMPUTED_VALUE"""),45169.0)</f>
        <v>45169</v>
      </c>
      <c r="N634" s="23">
        <f>IFERROR(__xludf.DUMMYFUNCTION("""COMPUTED_VALUE"""),45198.0)</f>
        <v>45198</v>
      </c>
      <c r="O634" s="20"/>
      <c r="P634" s="29" t="str">
        <f>IFERROR(__xludf.DUMMYFUNCTION("""COMPUTED_VALUE"""),"可")</f>
        <v>可</v>
      </c>
      <c r="Q634" s="30" t="str">
        <f>IFERROR(__xludf.DUMMYFUNCTION("""COMPUTED_VALUE"""),"11話分の素材で確認いただけますと幸いです。")</f>
        <v>11話分の素材で確認いただけますと幸いです。</v>
      </c>
      <c r="R634" s="27"/>
      <c r="S634" s="22" t="str">
        <f>IFERROR(__xludf.DUMMYFUNCTION("""COMPUTED_VALUE"""),"20230817_秋田書店_新作2作品")</f>
        <v>20230817_秋田書店_新作2作品</v>
      </c>
      <c r="T634" s="27" t="str">
        <f>IFERROR(__xludf.DUMMYFUNCTION("""COMPUTED_VALUE"""),"格納済み")</f>
        <v>格納済み</v>
      </c>
      <c r="U634" s="15" t="str">
        <f>IFERROR(__xludf.DUMMYFUNCTION("""COMPUTED_VALUE"""),"(C)山内尚（秋田書店）")</f>
        <v>(C)山内尚（秋田書店）</v>
      </c>
      <c r="V634" s="8" t="str">
        <f>IFERROR(__xludf.DUMMYFUNCTION("""COMPUTED_VALUE"""),"ばらばらに生きる四姉妹が、母の家出をきっかけに動き出す、それぞれの“寄る辺”のストーリー。一つ屋根の下に寄り合った四人は、家族としての慣れない生活に奮闘しますが――？「家族」のかたちを探る、四姉妹物語。
")</f>
        <v>ばらばらに生きる四姉妹が、母の家出をきっかけに動き出す、それぞれの“寄る辺”のストーリー。一つ屋根の下に寄り合った四人は、家族としての慣れない生活に奮闘しますが――？「家族」のかたちを探る、四姉妹物語。
</v>
      </c>
      <c r="W634" s="14"/>
      <c r="X634" s="14" t="str">
        <f>IFERROR(__xludf.DUMMYFUNCTION("""COMPUTED_VALUE"""),"有
")</f>
        <v>有
</v>
      </c>
      <c r="Y634" s="8" t="str">
        <f>IFERROR(__xludf.DUMMYFUNCTION("""COMPUTED_VALUE"""),"9/29まで1巻無料")</f>
        <v>9/29まで1巻無料</v>
      </c>
      <c r="Z634" s="7"/>
      <c r="AA634" s="7"/>
      <c r="AB634" s="7"/>
    </row>
    <row r="635" ht="93.0" customHeight="1">
      <c r="A635" s="26">
        <f>IFERROR(__xludf.DUMMYFUNCTION("""COMPUTED_VALUE"""),2289.0)</f>
        <v>2289</v>
      </c>
      <c r="B635" s="27" t="str">
        <f>IFERROR(__xludf.DUMMYFUNCTION("""COMPUTED_VALUE"""),"確定")</f>
        <v>確定</v>
      </c>
      <c r="C635" s="28">
        <f>IFERROR(__xludf.DUMMYFUNCTION("""COMPUTED_VALUE"""),45155.0)</f>
        <v>45155</v>
      </c>
      <c r="D635" s="28">
        <f>IFERROR(__xludf.DUMMYFUNCTION("""COMPUTED_VALUE"""),45160.0)</f>
        <v>45160</v>
      </c>
      <c r="E635" s="31">
        <f>IFERROR(__xludf.DUMMYFUNCTION("""COMPUTED_VALUE"""),275428.0)</f>
        <v>275428</v>
      </c>
      <c r="F635" s="27" t="str">
        <f>IFERROR(__xludf.DUMMYFUNCTION("""COMPUTED_VALUE"""),"コップカップ☆パラダイス 〜バズりたがりJKが異世界人召喚しちゃった話〜(話売り)")</f>
        <v>コップカップ☆パラダイス 〜バズりたがりJKが異世界人召喚しちゃった話〜(話売り)</v>
      </c>
      <c r="G635" s="20" t="str">
        <f>IFERROR(__xludf.DUMMYFUNCTION("""COMPUTED_VALUE"""),"1～3")</f>
        <v>1～3</v>
      </c>
      <c r="H635" s="22" t="str">
        <f>IFERROR(__xludf.DUMMYFUNCTION("""COMPUTED_VALUE"""),"みずいろ美空")</f>
        <v>みずいろ美空</v>
      </c>
      <c r="I635" s="22" t="str">
        <f>IFERROR(__xludf.DUMMYFUNCTION("""COMPUTED_VALUE"""),"少女")</f>
        <v>少女</v>
      </c>
      <c r="J635" s="22"/>
      <c r="K635" s="22"/>
      <c r="L635" s="22" t="str">
        <f>IFERROR(__xludf.DUMMYFUNCTION("""COMPUTED_VALUE"""),"秋田書店")</f>
        <v>秋田書店</v>
      </c>
      <c r="M635" s="23">
        <f>IFERROR(__xludf.DUMMYFUNCTION("""COMPUTED_VALUE"""),45170.0)</f>
        <v>45170</v>
      </c>
      <c r="N635" s="23">
        <f>IFERROR(__xludf.DUMMYFUNCTION("""COMPUTED_VALUE"""),45199.0)</f>
        <v>45199</v>
      </c>
      <c r="O635" s="20"/>
      <c r="P635" s="29" t="str">
        <f>IFERROR(__xludf.DUMMYFUNCTION("""COMPUTED_VALUE"""),"否")</f>
        <v>否</v>
      </c>
      <c r="Q635" s="30" t="str">
        <f>IFERROR(__xludf.DUMMYFUNCTION("""COMPUTED_VALUE"""),"2話分の素材で確認いただけますと幸いです。")</f>
        <v>2話分の素材で確認いただけますと幸いです。</v>
      </c>
      <c r="R635" s="27"/>
      <c r="S635" s="22" t="str">
        <f>IFERROR(__xludf.DUMMYFUNCTION("""COMPUTED_VALUE"""),"20230817_秋田書店_新作2作品")</f>
        <v>20230817_秋田書店_新作2作品</v>
      </c>
      <c r="T635" s="27" t="str">
        <f>IFERROR(__xludf.DUMMYFUNCTION("""COMPUTED_VALUE"""),"格納済み")</f>
        <v>格納済み</v>
      </c>
      <c r="U635" s="15" t="str">
        <f>IFERROR(__xludf.DUMMYFUNCTION("""COMPUTED_VALUE"""),"（C）みずいろ美空（秋田書店）")</f>
        <v>（C）みずいろ美空（秋田書店）</v>
      </c>
      <c r="V635" s="8" t="str">
        <f>IFERROR(__xludf.DUMMYFUNCTION("""COMPUTED_VALUE"""),"厨二系JKまりもの夢。それは100万いいねレベルでSNSでバズること。そしてついにバズれそうなコンテンツを発見したけれど…!? ※この作品はプチプリンセス vol.76に収録されているものと同一のものとなります。")</f>
        <v>厨二系JKまりもの夢。それは100万いいねレベルでSNSでバズること。そしてついにバズれそうなコンテンツを発見したけれど…!? ※この作品はプチプリンセス vol.76に収録されているものと同一のものとなります。</v>
      </c>
      <c r="W635" s="14"/>
      <c r="X635" s="22" t="str">
        <f>IFERROR(__xludf.DUMMYFUNCTION("""COMPUTED_VALUE"""),"有
")</f>
        <v>有
</v>
      </c>
      <c r="Y635" s="8" t="str">
        <f>IFERROR(__xludf.DUMMYFUNCTION("""COMPUTED_VALUE"""),"9/30まで1巻無料")</f>
        <v>9/30まで1巻無料</v>
      </c>
      <c r="Z635" s="7"/>
      <c r="AA635" s="7"/>
      <c r="AB635" s="7"/>
    </row>
    <row r="636" ht="15.75" customHeight="1">
      <c r="A636" s="26">
        <f>IFERROR(__xludf.DUMMYFUNCTION("""COMPUTED_VALUE"""),2294.0)</f>
        <v>2294</v>
      </c>
      <c r="B636" s="27" t="str">
        <f>IFERROR(__xludf.DUMMYFUNCTION("""COMPUTED_VALUE"""),"確定")</f>
        <v>確定</v>
      </c>
      <c r="C636" s="28">
        <f>IFERROR(__xludf.DUMMYFUNCTION("""COMPUTED_VALUE"""),45159.0)</f>
        <v>45159</v>
      </c>
      <c r="D636" s="28">
        <f>IFERROR(__xludf.DUMMYFUNCTION("""COMPUTED_VALUE"""),45159.0)</f>
        <v>45159</v>
      </c>
      <c r="E636" s="31">
        <f>IFERROR(__xludf.DUMMYFUNCTION("""COMPUTED_VALUE"""),277236.0)</f>
        <v>277236</v>
      </c>
      <c r="F636" s="27" t="str">
        <f>IFERROR(__xludf.DUMMYFUNCTION("""COMPUTED_VALUE"""),"ビジネス婚ー好きになったら離婚しますー【ページ版】")</f>
        <v>ビジネス婚ー好きになったら離婚しますー【ページ版】</v>
      </c>
      <c r="G636" s="20" t="str">
        <f>IFERROR(__xludf.DUMMYFUNCTION("""COMPUTED_VALUE"""),"1~6")</f>
        <v>1~6</v>
      </c>
      <c r="H636" s="22" t="str">
        <f>IFERROR(__xludf.DUMMYFUNCTION("""COMPUTED_VALUE"""),"キラト瑠香/JAMTOON")</f>
        <v>キラト瑠香/JAMTOON</v>
      </c>
      <c r="I636" s="22" t="str">
        <f>IFERROR(__xludf.DUMMYFUNCTION("""COMPUTED_VALUE"""),"女性")</f>
        <v>女性</v>
      </c>
      <c r="J636" s="22"/>
      <c r="K636" s="22"/>
      <c r="L636" s="22" t="str">
        <f>IFERROR(__xludf.DUMMYFUNCTION("""COMPUTED_VALUE"""),"ファンギルド")</f>
        <v>ファンギルド</v>
      </c>
      <c r="M636" s="23">
        <f>IFERROR(__xludf.DUMMYFUNCTION("""COMPUTED_VALUE"""),45202.0)</f>
        <v>45202</v>
      </c>
      <c r="N636" s="23">
        <f>IFERROR(__xludf.DUMMYFUNCTION("""COMPUTED_VALUE"""),45257.0)</f>
        <v>45257</v>
      </c>
      <c r="O636" s="20"/>
      <c r="P636" s="29" t="str">
        <f>IFERROR(__xludf.DUMMYFUNCTION("""COMPUTED_VALUE"""),"可")</f>
        <v>可</v>
      </c>
      <c r="Q636" s="30" t="str">
        <f>IFERROR(__xludf.DUMMYFUNCTION("""COMPUTED_VALUE"""),"5~6巻は別途素材頂き次第更新します。")</f>
        <v>5~6巻は別途素材頂き次第更新します。</v>
      </c>
      <c r="R636" s="27"/>
      <c r="S636" s="30" t="str">
        <f>IFERROR(__xludf.DUMMYFUNCTION("""COMPUTED_VALUE"""),"20230821_ファンギルド_ビジネス婚ー好きになったら離婚しますー【ページ版】")</f>
        <v>20230821_ファンギルド_ビジネス婚ー好きになったら離婚しますー【ページ版】</v>
      </c>
      <c r="T636" s="27"/>
      <c r="U636" s="15" t="str">
        <f>IFERROR(__xludf.DUMMYFUNCTION("""COMPUTED_VALUE"""),"©Ruka Kirato/JAMTOON/FUNGUILD")</f>
        <v>©Ruka Kirato/JAMTOON/FUNGUILD</v>
      </c>
      <c r="V636" s="8" t="str">
        <f>IFERROR(__xludf.DUMMYFUNCTION("""COMPUTED_VALUE"""),"「俺と結婚しませんか？ビジネスパートナーとして」訳あって恋愛抜きで結婚したいハイスぺ社長・堂ノ瀬司（28）と出会った雅（28）。突然の提案ながら、雅にも事情があって利害が一致し、即同棲することに。この契約の条件はひとつ、お互い恋愛感情を持たないこと！なのに結婚に向けて始まった日々は、理想の生活×ときめきの連続で…好きになってもバレてはいけない・ビジネス婚の行く末は…！？【「ビジネス婚ー好きになったら離婚しますー」の再編集版です。重複購入にご注意ください。】")</f>
        <v>「俺と結婚しませんか？ビジネスパートナーとして」訳あって恋愛抜きで結婚したいハイスぺ社長・堂ノ瀬司（28）と出会った雅（28）。突然の提案ながら、雅にも事情があって利害が一致し、即同棲することに。この契約の条件はひとつ、お互い恋愛感情を持たないこと！なのに結婚に向けて始まった日々は、理想の生活×ときめきの連続で…好きになってもバレてはいけない・ビジネス婚の行く末は…！？【「ビジネス婚ー好きになったら離婚しますー」の再編集版です。重複購入にご注意ください。】</v>
      </c>
      <c r="W636" s="14"/>
      <c r="X636" s="22" t="str">
        <f>IFERROR(__xludf.DUMMYFUNCTION("""COMPUTED_VALUE"""),"有
")</f>
        <v>有
</v>
      </c>
      <c r="Y636" s="8" t="str">
        <f>IFERROR(__xludf.DUMMYFUNCTION("""COMPUTED_VALUE"""),"10/16まで1巻無料")</f>
        <v>10/16まで1巻無料</v>
      </c>
      <c r="Z636" s="7"/>
      <c r="AA636" s="7"/>
      <c r="AB636" s="7"/>
    </row>
    <row r="637" ht="15.75" customHeight="1">
      <c r="A637" s="26">
        <f>IFERROR(__xludf.DUMMYFUNCTION("""COMPUTED_VALUE"""),2295.0)</f>
        <v>2295</v>
      </c>
      <c r="B637" s="27" t="str">
        <f>IFERROR(__xludf.DUMMYFUNCTION("""COMPUTED_VALUE"""),"確定")</f>
        <v>確定</v>
      </c>
      <c r="C637" s="28">
        <f>IFERROR(__xludf.DUMMYFUNCTION("""COMPUTED_VALUE"""),45159.0)</f>
        <v>45159</v>
      </c>
      <c r="D637" s="28">
        <f>IFERROR(__xludf.DUMMYFUNCTION("""COMPUTED_VALUE"""),45159.0)</f>
        <v>45159</v>
      </c>
      <c r="E637" s="31">
        <f>IFERROR(__xludf.DUMMYFUNCTION("""COMPUTED_VALUE"""),276812.0)</f>
        <v>276812</v>
      </c>
      <c r="F637" s="27" t="str">
        <f>IFERROR(__xludf.DUMMYFUNCTION("""COMPUTED_VALUE"""),"恋スル少年")</f>
        <v>恋スル少年</v>
      </c>
      <c r="G637" s="20" t="str">
        <f>IFERROR(__xludf.DUMMYFUNCTION("""COMPUTED_VALUE"""),"1~5")</f>
        <v>1~5</v>
      </c>
      <c r="H637" s="22" t="str">
        <f>IFERROR(__xludf.DUMMYFUNCTION("""COMPUTED_VALUE"""),"ZEC")</f>
        <v>ZEC</v>
      </c>
      <c r="I637" s="22" t="str">
        <f>IFERROR(__xludf.DUMMYFUNCTION("""COMPUTED_VALUE"""),"BL")</f>
        <v>BL</v>
      </c>
      <c r="J637" s="22"/>
      <c r="K637" s="22"/>
      <c r="L637" s="22" t="str">
        <f>IFERROR(__xludf.DUMMYFUNCTION("""COMPUTED_VALUE"""),"Rush!")</f>
        <v>Rush!</v>
      </c>
      <c r="M637" s="23">
        <f>IFERROR(__xludf.DUMMYFUNCTION("""COMPUTED_VALUE"""),45203.0)</f>
        <v>45203</v>
      </c>
      <c r="N637" s="23">
        <f>IFERROR(__xludf.DUMMYFUNCTION("""COMPUTED_VALUE"""),45230.0)</f>
        <v>45230</v>
      </c>
      <c r="O637" s="20"/>
      <c r="P637" s="32" t="str">
        <f>IFERROR(__xludf.DUMMYFUNCTION("""COMPUTED_VALUE"""),"可")</f>
        <v>可</v>
      </c>
      <c r="Q637" s="30"/>
      <c r="R637" s="27"/>
      <c r="S637" s="30" t="str">
        <f>IFERROR(__xludf.DUMMYFUNCTION("""COMPUTED_VALUE"""),"20230821_ファンギルド_恋スル少年")</f>
        <v>20230821_ファンギルド_恋スル少年</v>
      </c>
      <c r="T637" s="27"/>
      <c r="U637" s="15" t="str">
        <f>IFERROR(__xludf.DUMMYFUNCTION("""COMPUTED_VALUE"""),"©ZEC")</f>
        <v>©ZEC</v>
      </c>
      <c r="V637" s="8" t="str">
        <f>IFERROR(__xludf.DUMMYFUNCTION("""COMPUTED_VALUE"""),"「ゆーくんを好きな気持ちは、俺にとっては当たり前のものなんです」悠斗は幼い頃から八歳年上の幼馴染、豊の事が大好きだった。何度も拒まれ、何度も傷つけられても…その気持ちは決して揺らぐ事はなかった。そうして月日は流れ、悠斗が大学生になると二人は久々の再会を果たす。幼い頃にした告白をもう一度するものの、豊が受け入れたのは悠斗の身体だけ。それでも悠斗は一途に豊を想い続ける。心を許してくれるその時まで…。最愛の人を追いかけ続けた、恋する少年の辿る先は――")</f>
        <v>「ゆーくんを好きな気持ちは、俺にとっては当たり前のものなんです」悠斗は幼い頃から八歳年上の幼馴染、豊の事が大好きだった。何度も拒まれ、何度も傷つけられても…その気持ちは決して揺らぐ事はなかった。そうして月日は流れ、悠斗が大学生になると二人は久々の再会を果たす。幼い頃にした告白をもう一度するものの、豊が受け入れたのは悠斗の身体だけ。それでも悠斗は一途に豊を想い続ける。心を許してくれるその時まで…。最愛の人を追いかけ続けた、恋する少年の辿る先は――</v>
      </c>
      <c r="W637" s="14"/>
      <c r="X637" s="22" t="str">
        <f>IFERROR(__xludf.DUMMYFUNCTION("""COMPUTED_VALUE"""),"有
")</f>
        <v>有
</v>
      </c>
      <c r="Y637" s="8" t="str">
        <f>IFERROR(__xludf.DUMMYFUNCTION("""COMPUTED_VALUE"""),"10/17まで1巻無料")</f>
        <v>10/17まで1巻無料</v>
      </c>
      <c r="Z637" s="7"/>
      <c r="AA637" s="7"/>
      <c r="AB637" s="7"/>
    </row>
    <row r="638" ht="15.75" customHeight="1">
      <c r="A638" s="26">
        <f>IFERROR(__xludf.DUMMYFUNCTION("""COMPUTED_VALUE"""),2296.0)</f>
        <v>2296</v>
      </c>
      <c r="B638" s="27" t="str">
        <f>IFERROR(__xludf.DUMMYFUNCTION("""COMPUTED_VALUE"""),"確定")</f>
        <v>確定</v>
      </c>
      <c r="C638" s="28">
        <f>IFERROR(__xludf.DUMMYFUNCTION("""COMPUTED_VALUE"""),45159.0)</f>
        <v>45159</v>
      </c>
      <c r="D638" s="28">
        <f>IFERROR(__xludf.DUMMYFUNCTION("""COMPUTED_VALUE"""),45159.0)</f>
        <v>45159</v>
      </c>
      <c r="E638" s="31">
        <f>IFERROR(__xludf.DUMMYFUNCTION("""COMPUTED_VALUE"""),276780.0)</f>
        <v>276780</v>
      </c>
      <c r="F638" s="27" t="str">
        <f>IFERROR(__xludf.DUMMYFUNCTION("""COMPUTED_VALUE"""),"悪役令嬢ですが、私をあなたの性奴隷にしてください！")</f>
        <v>悪役令嬢ですが、私をあなたの性奴隷にしてください！</v>
      </c>
      <c r="G638" s="20" t="str">
        <f>IFERROR(__xludf.DUMMYFUNCTION("""COMPUTED_VALUE"""),"1～3")</f>
        <v>1～3</v>
      </c>
      <c r="H638" s="22" t="str">
        <f>IFERROR(__xludf.DUMMYFUNCTION("""COMPUTED_VALUE"""),"天津ナミ/翅田大介")</f>
        <v>天津ナミ/翅田大介</v>
      </c>
      <c r="I638" s="22" t="str">
        <f>IFERROR(__xludf.DUMMYFUNCTION("""COMPUTED_VALUE"""),"青年")</f>
        <v>青年</v>
      </c>
      <c r="J638" s="22"/>
      <c r="K638" s="22"/>
      <c r="L638" s="22" t="str">
        <f>IFERROR(__xludf.DUMMYFUNCTION("""COMPUTED_VALUE"""),"Rush!")</f>
        <v>Rush!</v>
      </c>
      <c r="M638" s="23">
        <f>IFERROR(__xludf.DUMMYFUNCTION("""COMPUTED_VALUE"""),45211.0)</f>
        <v>45211</v>
      </c>
      <c r="N638" s="23">
        <f>IFERROR(__xludf.DUMMYFUNCTION("""COMPUTED_VALUE"""),45245.0)</f>
        <v>45245</v>
      </c>
      <c r="O638" s="20"/>
      <c r="P638" s="32" t="str">
        <f>IFERROR(__xludf.DUMMYFUNCTION("""COMPUTED_VALUE"""),"可")</f>
        <v>可</v>
      </c>
      <c r="Q638" s="30"/>
      <c r="R638" s="27"/>
      <c r="S638" s="30" t="str">
        <f>IFERROR(__xludf.DUMMYFUNCTION("""COMPUTED_VALUE"""),"20230821_ファンギルド_悪役令嬢ですが、私をあなたの性奴隷にしてください！")</f>
        <v>20230821_ファンギルド_悪役令嬢ですが、私をあなたの性奴隷にしてください！</v>
      </c>
      <c r="T638" s="27"/>
      <c r="U638" s="15" t="str">
        <f>IFERROR(__xludf.DUMMYFUNCTION("""COMPUTED_VALUE"""),"©Nami Amazu/Daisuke Haneda")</f>
        <v>©Nami Amazu/Daisuke Haneda</v>
      </c>
      <c r="V638" s="8" t="str">
        <f>IFERROR(__xludf.DUMMYFUNCTION("""COMPUTED_VALUE"""),"王太子から告げられた婚約破棄と追放処分。従者である俺の努力も虚しく、破滅フラグを回避できなかったウチの悪役令嬢様が――性奴隷になりたいとか言い出したんだが!?「処女膜ぶち破って！ もう、クリスはカイトの性奴隷なの。私の赤ちゃん部屋にいっぱい出して」氷の令嬢と言われた美貌を歪ませて、安宿で中出しをせがんでくるお嬢様。貴族令嬢としては、まさに死んだも同然。毅然さの欠片もない、初体験だった。「ああっ！ 出してやる！ 望み通り、お前を俺の性奴隷に堕としてやる!!」破滅展開を知っていた転生従者カイトと、幸せ奴隷にな"&amp;"れた悪役令嬢クリス。")</f>
        <v>王太子から告げられた婚約破棄と追放処分。従者である俺の努力も虚しく、破滅フラグを回避できなかったウチの悪役令嬢様が――性奴隷になりたいとか言い出したんだが!?「処女膜ぶち破って！ もう、クリスはカイトの性奴隷なの。私の赤ちゃん部屋にいっぱい出して」氷の令嬢と言われた美貌を歪ませて、安宿で中出しをせがんでくるお嬢様。貴族令嬢としては、まさに死んだも同然。毅然さの欠片もない、初体験だった。「ああっ！ 出してやる！ 望み通り、お前を俺の性奴隷に堕としてやる!!」破滅展開を知っていた転生従者カイトと、幸せ奴隷になれた悪役令嬢クリス。</v>
      </c>
      <c r="W638" s="14"/>
      <c r="X638" s="22" t="str">
        <f>IFERROR(__xludf.DUMMYFUNCTION("""COMPUTED_VALUE"""),"有
")</f>
        <v>有
</v>
      </c>
      <c r="Y638" s="8" t="str">
        <f>IFERROR(__xludf.DUMMYFUNCTION("""COMPUTED_VALUE"""),"10/25まで1巻無料")</f>
        <v>10/25まで1巻無料</v>
      </c>
      <c r="Z638" s="7"/>
      <c r="AA638" s="7"/>
      <c r="AB638" s="7"/>
    </row>
    <row r="639" ht="15.75" customHeight="1">
      <c r="A639" s="26">
        <f>IFERROR(__xludf.DUMMYFUNCTION("""COMPUTED_VALUE"""),2297.0)</f>
        <v>2297</v>
      </c>
      <c r="B639" s="27" t="str">
        <f>IFERROR(__xludf.DUMMYFUNCTION("""COMPUTED_VALUE"""),"確定")</f>
        <v>確定</v>
      </c>
      <c r="C639" s="28">
        <f>IFERROR(__xludf.DUMMYFUNCTION("""COMPUTED_VALUE"""),45159.0)</f>
        <v>45159</v>
      </c>
      <c r="D639" s="28">
        <f>IFERROR(__xludf.DUMMYFUNCTION("""COMPUTED_VALUE"""),45159.0)</f>
        <v>45159</v>
      </c>
      <c r="E639" s="31">
        <f>IFERROR(__xludf.DUMMYFUNCTION("""COMPUTED_VALUE"""),277227.0)</f>
        <v>277227</v>
      </c>
      <c r="F639" s="27" t="str">
        <f>IFERROR(__xludf.DUMMYFUNCTION("""COMPUTED_VALUE"""),"ラストステップ")</f>
        <v>ラストステップ</v>
      </c>
      <c r="G639" s="20" t="str">
        <f>IFERROR(__xludf.DUMMYFUNCTION("""COMPUTED_VALUE"""),"1～4")</f>
        <v>1～4</v>
      </c>
      <c r="H639" s="22" t="str">
        <f>IFERROR(__xludf.DUMMYFUNCTION("""COMPUTED_VALUE"""),"Up-i")</f>
        <v>Up-i</v>
      </c>
      <c r="I639" s="22" t="str">
        <f>IFERROR(__xludf.DUMMYFUNCTION("""COMPUTED_VALUE"""),"BL")</f>
        <v>BL</v>
      </c>
      <c r="J639" s="22"/>
      <c r="K639" s="22"/>
      <c r="L639" s="22" t="str">
        <f>IFERROR(__xludf.DUMMYFUNCTION("""COMPUTED_VALUE"""),"Rush!")</f>
        <v>Rush!</v>
      </c>
      <c r="M639" s="23">
        <f>IFERROR(__xludf.DUMMYFUNCTION("""COMPUTED_VALUE"""),45212.0)</f>
        <v>45212</v>
      </c>
      <c r="N639" s="23">
        <f>IFERROR(__xludf.DUMMYFUNCTION("""COMPUTED_VALUE"""),45239.0)</f>
        <v>45239</v>
      </c>
      <c r="O639" s="20"/>
      <c r="P639" s="32" t="str">
        <f>IFERROR(__xludf.DUMMYFUNCTION("""COMPUTED_VALUE"""),"可")</f>
        <v>可</v>
      </c>
      <c r="Q639" s="30"/>
      <c r="R639" s="27"/>
      <c r="S639" s="30" t="str">
        <f>IFERROR(__xludf.DUMMYFUNCTION("""COMPUTED_VALUE"""),"20230821_ファンギルド_ラストステップ")</f>
        <v>20230821_ファンギルド_ラストステップ</v>
      </c>
      <c r="T639" s="27"/>
      <c r="U639" s="15" t="str">
        <f>IFERROR(__xludf.DUMMYFUNCTION("""COMPUTED_VALUE"""),"©Up-i")</f>
        <v>©Up-i</v>
      </c>
      <c r="V639" s="8" t="str">
        <f>IFERROR(__xludf.DUMMYFUNCTION("""COMPUTED_VALUE"""),"「君は…あの人と同じ匂いがするな」親代わりで最愛の人だった祖母の死後、生きる目的を失い無気力な日々を過ごしていた千暁。ある日友人に誘われたクラブでとても美しい男…蒼佑と出会った。同じ大学の先輩と後輩だった二人は、構内でも一緒に過ごすようになり、蒼佑の家で何度も身体を重ねていくうちに一緒に住む事に…。献身的で愛情深い蒼佑に、傷付き悲しみで満たされた千暁の心は徐々に癒えていく。傷を抱えた二人が出会い、幸せに向かって踏み出す最後の一歩は――")</f>
        <v>「君は…あの人と同じ匂いがするな」親代わりで最愛の人だった祖母の死後、生きる目的を失い無気力な日々を過ごしていた千暁。ある日友人に誘われたクラブでとても美しい男…蒼佑と出会った。同じ大学の先輩と後輩だった二人は、構内でも一緒に過ごすようになり、蒼佑の家で何度も身体を重ねていくうちに一緒に住む事に…。献身的で愛情深い蒼佑に、傷付き悲しみで満たされた千暁の心は徐々に癒えていく。傷を抱えた二人が出会い、幸せに向かって踏み出す最後の一歩は――</v>
      </c>
      <c r="W639" s="14"/>
      <c r="X639" s="14" t="str">
        <f>IFERROR(__xludf.DUMMYFUNCTION("""COMPUTED_VALUE"""),"有
")</f>
        <v>有
</v>
      </c>
      <c r="Y639" s="8" t="str">
        <f>IFERROR(__xludf.DUMMYFUNCTION("""COMPUTED_VALUE"""),"P11まで")</f>
        <v>P11まで</v>
      </c>
      <c r="Z639" s="7"/>
      <c r="AA639" s="7"/>
      <c r="AB639" s="7"/>
    </row>
    <row r="640" ht="15.75" customHeight="1">
      <c r="A640" s="26">
        <f>IFERROR(__xludf.DUMMYFUNCTION("""COMPUTED_VALUE"""),2298.0)</f>
        <v>2298</v>
      </c>
      <c r="B640" s="27" t="str">
        <f>IFERROR(__xludf.DUMMYFUNCTION("""COMPUTED_VALUE"""),"確定")</f>
        <v>確定</v>
      </c>
      <c r="C640" s="28">
        <f>IFERROR(__xludf.DUMMYFUNCTION("""COMPUTED_VALUE"""),45159.0)</f>
        <v>45159</v>
      </c>
      <c r="D640" s="28">
        <f>IFERROR(__xludf.DUMMYFUNCTION("""COMPUTED_VALUE"""),45159.0)</f>
        <v>45159</v>
      </c>
      <c r="E640" s="31">
        <f>IFERROR(__xludf.DUMMYFUNCTION("""COMPUTED_VALUE"""),277439.0)</f>
        <v>277439</v>
      </c>
      <c r="F640" s="27" t="str">
        <f>IFERROR(__xludf.DUMMYFUNCTION("""COMPUTED_VALUE"""),"財前家令嬢の誘惑には抗えない")</f>
        <v>財前家令嬢の誘惑には抗えない</v>
      </c>
      <c r="G640" s="20" t="str">
        <f>IFERROR(__xludf.DUMMYFUNCTION("""COMPUTED_VALUE"""),"1～4")</f>
        <v>1～4</v>
      </c>
      <c r="H640" s="22" t="str">
        <f>IFERROR(__xludf.DUMMYFUNCTION("""COMPUTED_VALUE"""),"Frate/SUNGMIN")</f>
        <v>Frate/SUNGMIN</v>
      </c>
      <c r="I640" s="22" t="str">
        <f>IFERROR(__xludf.DUMMYFUNCTION("""COMPUTED_VALUE"""),"青年")</f>
        <v>青年</v>
      </c>
      <c r="J640" s="22"/>
      <c r="K640" s="22"/>
      <c r="L640" s="22" t="str">
        <f>IFERROR(__xludf.DUMMYFUNCTION("""COMPUTED_VALUE"""),"Rush!")</f>
        <v>Rush!</v>
      </c>
      <c r="M640" s="23">
        <f>IFERROR(__xludf.DUMMYFUNCTION("""COMPUTED_VALUE"""),45205.0)</f>
        <v>45205</v>
      </c>
      <c r="N640" s="23">
        <f>IFERROR(__xludf.DUMMYFUNCTION("""COMPUTED_VALUE"""),45295.0)</f>
        <v>45295</v>
      </c>
      <c r="O640" s="20"/>
      <c r="P640" s="29" t="str">
        <f>IFERROR(__xludf.DUMMYFUNCTION("""COMPUTED_VALUE"""),"可")</f>
        <v>可</v>
      </c>
      <c r="Q640" s="30" t="str">
        <f>IFERROR(__xludf.DUMMYFUNCTION("""COMPUTED_VALUE"""),"協業レーベル『シーモア×Rush!』作品です。")</f>
        <v>協業レーベル『シーモア×Rush!』作品です。</v>
      </c>
      <c r="R640" s="27"/>
      <c r="S640" s="30" t="str">
        <f>IFERROR(__xludf.DUMMYFUNCTION("""COMPUTED_VALUE"""),"20230821_ファンギルド_財前家令嬢の誘惑には抗えない")</f>
        <v>20230821_ファンギルド_財前家令嬢の誘惑には抗えない</v>
      </c>
      <c r="T640" s="27"/>
      <c r="U640" s="15" t="str">
        <f>IFERROR(__xludf.DUMMYFUNCTION("""COMPUTED_VALUE"""),"©Frate/SUNGMIN/TOPTOON")</f>
        <v>©Frate/SUNGMIN/TOPTOON</v>
      </c>
      <c r="V640" s="8" t="str">
        <f>IFERROR(__xludf.DUMMYFUNCTION("""COMPUTED_VALUE"""),"大企業の理事・財前に仕えるドライバー兼使用人の堀内順平は、理事の横暴にも耐えながら毎日懸命に働いていた。しかし、理事の急逝で順平の人生は一変――美人揃いの財前家専属ドライバーとして住み込みで仕えることに！？奥さまやご令嬢をはじめ、執事や家政婦にいたるまでもが女性だけの一つ屋根の下、何も起きない筈もなく――。「奥さま、すみません…」ご令嬢たちからの度重なる誘惑に、いち使用人の順平が抗うことなど――。")</f>
        <v>大企業の理事・財前に仕えるドライバー兼使用人の堀内順平は、理事の横暴にも耐えながら毎日懸命に働いていた。しかし、理事の急逝で順平の人生は一変――美人揃いの財前家専属ドライバーとして住み込みで仕えることに！？奥さまやご令嬢をはじめ、執事や家政婦にいたるまでもが女性だけの一つ屋根の下、何も起きない筈もなく――。「奥さま、すみません…」ご令嬢たちからの度重なる誘惑に、いち使用人の順平が抗うことなど――。</v>
      </c>
      <c r="W640" s="14"/>
      <c r="X640" s="14" t="str">
        <f>IFERROR(__xludf.DUMMYFUNCTION("""COMPUTED_VALUE"""),"有
")</f>
        <v>有
</v>
      </c>
      <c r="Y640" s="8" t="str">
        <f>IFERROR(__xludf.DUMMYFUNCTION("""COMPUTED_VALUE"""),"P16まで")</f>
        <v>P16まで</v>
      </c>
      <c r="Z640" s="7"/>
      <c r="AA640" s="7"/>
      <c r="AB640" s="7"/>
    </row>
    <row r="641" ht="15.75" customHeight="1">
      <c r="A641" s="26">
        <f>IFERROR(__xludf.DUMMYFUNCTION("""COMPUTED_VALUE"""),2300.0)</f>
        <v>2300</v>
      </c>
      <c r="B641" s="27" t="str">
        <f>IFERROR(__xludf.DUMMYFUNCTION("""COMPUTED_VALUE"""),"確定")</f>
        <v>確定</v>
      </c>
      <c r="C641" s="28">
        <f>IFERROR(__xludf.DUMMYFUNCTION("""COMPUTED_VALUE"""),45159.0)</f>
        <v>45159</v>
      </c>
      <c r="D641" s="28">
        <f>IFERROR(__xludf.DUMMYFUNCTION("""COMPUTED_VALUE"""),45160.0)</f>
        <v>45160</v>
      </c>
      <c r="E641" s="31">
        <f>IFERROR(__xludf.DUMMYFUNCTION("""COMPUTED_VALUE"""),274542.0)</f>
        <v>274542</v>
      </c>
      <c r="F641" s="27" t="str">
        <f>IFERROR(__xludf.DUMMYFUNCTION("""COMPUTED_VALUE"""),"クールな凛子さん、あざと可愛い後輩に溺愛される【ページ版】")</f>
        <v>クールな凛子さん、あざと可愛い後輩に溺愛される【ページ版】</v>
      </c>
      <c r="G641" s="20" t="str">
        <f>IFERROR(__xludf.DUMMYFUNCTION("""COMPUTED_VALUE"""),"1～4")</f>
        <v>1～4</v>
      </c>
      <c r="H641" s="22" t="str">
        <f>IFERROR(__xludf.DUMMYFUNCTION("""COMPUTED_VALUE"""),"百田ちなこ/JAMTOON")</f>
        <v>百田ちなこ/JAMTOON</v>
      </c>
      <c r="I641" s="22" t="str">
        <f>IFERROR(__xludf.DUMMYFUNCTION("""COMPUTED_VALUE"""),"女性")</f>
        <v>女性</v>
      </c>
      <c r="J641" s="22"/>
      <c r="K641" s="22"/>
      <c r="L641" s="22" t="str">
        <f>IFERROR(__xludf.DUMMYFUNCTION("""COMPUTED_VALUE"""),"ファンギルド")</f>
        <v>ファンギルド</v>
      </c>
      <c r="M641" s="23">
        <f>IFERROR(__xludf.DUMMYFUNCTION("""COMPUTED_VALUE"""),45188.0)</f>
        <v>45188</v>
      </c>
      <c r="N641" s="23">
        <f>IFERROR(__xludf.DUMMYFUNCTION("""COMPUTED_VALUE"""),45215.0)</f>
        <v>45215</v>
      </c>
      <c r="O641" s="20"/>
      <c r="P641" s="32" t="str">
        <f>IFERROR(__xludf.DUMMYFUNCTION("""COMPUTED_VALUE"""),"可")</f>
        <v>可</v>
      </c>
      <c r="Q641" s="30"/>
      <c r="R641" s="27"/>
      <c r="S641" s="22" t="str">
        <f>IFERROR(__xludf.DUMMYFUNCTION("""COMPUTED_VALUE"""),"20230821_ファンギルド_クールな凛子さん、あざと可愛い後輩に溺愛される【ページ版】")</f>
        <v>20230821_ファンギルド_クールな凛子さん、あざと可愛い後輩に溺愛される【ページ版】</v>
      </c>
      <c r="T641" s="27" t="str">
        <f>IFERROR(__xludf.DUMMYFUNCTION("""COMPUTED_VALUE"""),"格納済み")</f>
        <v>格納済み</v>
      </c>
      <c r="U641" s="15" t="str">
        <f>IFERROR(__xludf.DUMMYFUNCTION("""COMPUTED_VALUE"""),"©Chinako Momota/JAMTOON/FUNGUILD")</f>
        <v>©Chinako Momota/JAMTOON/FUNGUILD</v>
      </c>
      <c r="V641" s="8" t="str">
        <f>IFERROR(__xludf.DUMMYFUNCTION("""COMPUTED_VALUE"""),"4年間付き合った不倫相手にフラれて傷心中の凛子。もう恋はしない…と思っていた矢先、社内のモテ女子・優愛が新しい部下となる。優愛はなぜか周りの男性には目もくれず、凛子に猛アピール！？「私、他の人じゃダメなんです」「だから、勘違いしていいんですよ？」ドキッとするような言葉に、凛子の心は揺さぶられまくりで…！？クールな先輩×あざと可愛い後輩の胸きゅんガールズオフィスラブ！【「クールな凛子さん、あざと可愛い後輩に溺愛される」の再編集版です。重複購入にご注意ください。】")</f>
        <v>4年間付き合った不倫相手にフラれて傷心中の凛子。もう恋はしない…と思っていた矢先、社内のモテ女子・優愛が新しい部下となる。優愛はなぜか周りの男性には目もくれず、凛子に猛アピール！？「私、他の人じゃダメなんです」「だから、勘違いしていいんですよ？」ドキッとするような言葉に、凛子の心は揺さぶられまくりで…！？クールな先輩×あざと可愛い後輩の胸きゅんガールズオフィスラブ！【「クールな凛子さん、あざと可愛い後輩に溺愛される」の再編集版です。重複購入にご注意ください。】</v>
      </c>
      <c r="W641" s="14"/>
      <c r="X641" s="14" t="str">
        <f>IFERROR(__xludf.DUMMYFUNCTION("""COMPUTED_VALUE"""),"有
")</f>
        <v>有
</v>
      </c>
      <c r="Y641" s="8" t="str">
        <f>IFERROR(__xludf.DUMMYFUNCTION("""COMPUTED_VALUE"""),"10/2まで1巻無料
")</f>
        <v>10/2まで1巻無料
</v>
      </c>
      <c r="Z641" s="7"/>
      <c r="AA641" s="7"/>
      <c r="AB641" s="7"/>
    </row>
    <row r="642" ht="15.75" customHeight="1">
      <c r="A642" s="26">
        <f>IFERROR(__xludf.DUMMYFUNCTION("""COMPUTED_VALUE"""),2302.0)</f>
        <v>2302</v>
      </c>
      <c r="B642" s="27" t="str">
        <f>IFERROR(__xludf.DUMMYFUNCTION("""COMPUTED_VALUE"""),"確定")</f>
        <v>確定</v>
      </c>
      <c r="C642" s="28">
        <f>IFERROR(__xludf.DUMMYFUNCTION("""COMPUTED_VALUE"""),45159.0)</f>
        <v>45159</v>
      </c>
      <c r="D642" s="28">
        <f>IFERROR(__xludf.DUMMYFUNCTION("""COMPUTED_VALUE"""),45160.0)</f>
        <v>45160</v>
      </c>
      <c r="E642" s="31">
        <f>IFERROR(__xludf.DUMMYFUNCTION("""COMPUTED_VALUE"""),276402.0)</f>
        <v>276402</v>
      </c>
      <c r="F642" s="27" t="str">
        <f>IFERROR(__xludf.DUMMYFUNCTION("""COMPUTED_VALUE"""),"脱がされ上手なメイさんの事件簿")</f>
        <v>脱がされ上手なメイさんの事件簿</v>
      </c>
      <c r="G642" s="20" t="str">
        <f>IFERROR(__xludf.DUMMYFUNCTION("""COMPUTED_VALUE"""),"1～4")</f>
        <v>1～4</v>
      </c>
      <c r="H642" s="22" t="str">
        <f>IFERROR(__xludf.DUMMYFUNCTION("""COMPUTED_VALUE"""),"りんご村みさと")</f>
        <v>りんご村みさと</v>
      </c>
      <c r="I642" s="22" t="str">
        <f>IFERROR(__xludf.DUMMYFUNCTION("""COMPUTED_VALUE"""),"青年")</f>
        <v>青年</v>
      </c>
      <c r="J642" s="22"/>
      <c r="K642" s="22"/>
      <c r="L642" s="22" t="str">
        <f>IFERROR(__xludf.DUMMYFUNCTION("""COMPUTED_VALUE"""),"Rush!")</f>
        <v>Rush!</v>
      </c>
      <c r="M642" s="23">
        <f>IFERROR(__xludf.DUMMYFUNCTION("""COMPUTED_VALUE"""),45197.0)</f>
        <v>45197</v>
      </c>
      <c r="N642" s="23">
        <f>IFERROR(__xludf.DUMMYFUNCTION("""COMPUTED_VALUE"""),45224.0)</f>
        <v>45224</v>
      </c>
      <c r="O642" s="20"/>
      <c r="P642" s="32" t="str">
        <f>IFERROR(__xludf.DUMMYFUNCTION("""COMPUTED_VALUE"""),"可")</f>
        <v>可</v>
      </c>
      <c r="Q642" s="30"/>
      <c r="R642" s="27"/>
      <c r="S642" s="22" t="str">
        <f>IFERROR(__xludf.DUMMYFUNCTION("""COMPUTED_VALUE"""),"20230821_ファンギルド_脱がされ上手なメイさんの事件簿")</f>
        <v>20230821_ファンギルド_脱がされ上手なメイさんの事件簿</v>
      </c>
      <c r="T642" s="27" t="str">
        <f>IFERROR(__xludf.DUMMYFUNCTION("""COMPUTED_VALUE"""),"格納済み")</f>
        <v>格納済み</v>
      </c>
      <c r="U642" s="15" t="str">
        <f>IFERROR(__xludf.DUMMYFUNCTION("""COMPUTED_VALUE"""),"©Misato Ringomura")</f>
        <v>©Misato Ringomura</v>
      </c>
      <c r="V642" s="8" t="str">
        <f>IFERROR(__xludf.DUMMYFUNCTION("""COMPUTED_VALUE"""),"「違うッ！！私を脱がせてどうするのよぉ！！」情熱だけは一人前だが、売れない私立探偵・冥（めい）。ある日、冥の下着を盗もうとした馬鹿力だけが取り柄の助手・熊井に、罰として差出人不明の依頼者の元へ行かせたが…なんと、熊井が幽霊になって戻ってきた！！幽霊だったらポルターガイストで事件解決できるでしょ！と意気揚々と依頼を引き受ける冥。しかし――犯人を捕まえようとして冥を裸にしたり、冥が寝ている間に憑依してHなイタズラをしたり…！？いつも脱がされちゃう“迷”探偵・冥は、果たして事件解決できるのか――！？")</f>
        <v>「違うッ！！私を脱がせてどうするのよぉ！！」情熱だけは一人前だが、売れない私立探偵・冥（めい）。ある日、冥の下着を盗もうとした馬鹿力だけが取り柄の助手・熊井に、罰として差出人不明の依頼者の元へ行かせたが…なんと、熊井が幽霊になって戻ってきた！！幽霊だったらポルターガイストで事件解決できるでしょ！と意気揚々と依頼を引き受ける冥。しかし――犯人を捕まえようとして冥を裸にしたり、冥が寝ている間に憑依してHなイタズラをしたり…！？いつも脱がされちゃう“迷”探偵・冥は、果たして事件解決できるのか――！？</v>
      </c>
      <c r="W642" s="14"/>
      <c r="X642" s="14" t="str">
        <f>IFERROR(__xludf.DUMMYFUNCTION("""COMPUTED_VALUE"""),"有
")</f>
        <v>有
</v>
      </c>
      <c r="Y642" s="8" t="str">
        <f>IFERROR(__xludf.DUMMYFUNCTION("""COMPUTED_VALUE"""),"10/11まで1巻無料
")</f>
        <v>10/11まで1巻無料
</v>
      </c>
      <c r="Z642" s="7"/>
      <c r="AA642" s="7"/>
      <c r="AB642" s="7"/>
    </row>
    <row r="643" ht="15.75" customHeight="1">
      <c r="A643" s="26">
        <f>IFERROR(__xludf.DUMMYFUNCTION("""COMPUTED_VALUE"""),2303.0)</f>
        <v>2303</v>
      </c>
      <c r="B643" s="27" t="str">
        <f>IFERROR(__xludf.DUMMYFUNCTION("""COMPUTED_VALUE"""),"確定")</f>
        <v>確定</v>
      </c>
      <c r="C643" s="28">
        <f>IFERROR(__xludf.DUMMYFUNCTION("""COMPUTED_VALUE"""),45160.0)</f>
        <v>45160</v>
      </c>
      <c r="D643" s="28">
        <f>IFERROR(__xludf.DUMMYFUNCTION("""COMPUTED_VALUE"""),45160.0)</f>
        <v>45160</v>
      </c>
      <c r="E643" s="26">
        <f>IFERROR(__xludf.DUMMYFUNCTION("""COMPUTED_VALUE"""),250585.0)</f>
        <v>250585</v>
      </c>
      <c r="F643" s="27" t="str">
        <f>IFERROR(__xludf.DUMMYFUNCTION("""COMPUTED_VALUE"""),"恋舌。")</f>
        <v>恋舌。</v>
      </c>
      <c r="G643" s="20" t="str">
        <f>IFERROR(__xludf.DUMMYFUNCTION("""COMPUTED_VALUE"""),"1～3")</f>
        <v>1～3</v>
      </c>
      <c r="H643" s="22" t="str">
        <f>IFERROR(__xludf.DUMMYFUNCTION("""COMPUTED_VALUE"""),"毬島しろ")</f>
        <v>毬島しろ</v>
      </c>
      <c r="I643" s="14" t="str">
        <f>IFERROR(__xludf.DUMMYFUNCTION("""COMPUTED_VALUE"""),"少女")</f>
        <v>少女</v>
      </c>
      <c r="J643" s="22"/>
      <c r="K643" s="22"/>
      <c r="L643" s="22" t="str">
        <f>IFERROR(__xludf.DUMMYFUNCTION("""COMPUTED_VALUE"""),"ソルマーレ編集部")</f>
        <v>ソルマーレ編集部</v>
      </c>
      <c r="M643" s="12">
        <f>IFERROR(__xludf.DUMMYFUNCTION("""COMPUTED_VALUE"""),45192.0)</f>
        <v>45192</v>
      </c>
      <c r="N643" s="23">
        <f>IFERROR(__xludf.DUMMYFUNCTION("""COMPUTED_VALUE"""),45253.0)</f>
        <v>45253</v>
      </c>
      <c r="O643" s="20"/>
      <c r="P643" s="29" t="str">
        <f>IFERROR(__xludf.DUMMYFUNCTION("""COMPUTED_VALUE"""),"可")</f>
        <v>可</v>
      </c>
      <c r="Q643" s="30" t="str">
        <f>IFERROR(__xludf.DUMMYFUNCTION("""COMPUTED_VALUE"""),"※正式タイトル下記の通りです（8/22）&lt;BR&gt;＝＝＝&lt;BR&gt;恋舌。&lt;BR&gt;＝＝＝&lt;BR&gt;")</f>
        <v>※正式タイトル下記の通りです（8/22）&lt;BR&gt;＝＝＝&lt;BR&gt;恋舌。&lt;BR&gt;＝＝＝&lt;BR&gt;</v>
      </c>
      <c r="R643" s="27"/>
      <c r="S643" s="22" t="str">
        <f>IFERROR(__xludf.DUMMYFUNCTION("""COMPUTED_VALUE"""),"20230822_ソルマーレ編集部_恋舌。")</f>
        <v>20230822_ソルマーレ編集部_恋舌。</v>
      </c>
      <c r="T643" s="27" t="str">
        <f>IFERROR(__xludf.DUMMYFUNCTION("""COMPUTED_VALUE"""),"格納済み")</f>
        <v>格納済み</v>
      </c>
      <c r="U643" s="15" t="str">
        <f>IFERROR(__xludf.DUMMYFUNCTION("""COMPUTED_VALUE"""),"Ⓒ 毬島しろ/シーモアコミックス")</f>
        <v>Ⓒ 毬島しろ/シーモアコミックス</v>
      </c>
      <c r="V643" s="8" t="str">
        <f>IFERROR(__xludf.DUMMYFUNCTION("""COMPUTED_VALUE"""),"大学生で就活中の梓は内気で引っ込み思案な性格から、面接でもうまく喋れず就職活動は難航中。今日は本命企業の面接だったのに、道中で具合の悪そうな人を見かけ介抱したために、面接時間を過ぎてしまう。肩を落として帰ろうとしたその時、突然手を引かれ振り向くと…、そこにはさっき介抱したイケメンの姿が…！なんと、イケメンの正体は梓が面接を受けようとしていた会社の社長で――!?【恋するソワレ】")</f>
        <v>大学生で就活中の梓は内気で引っ込み思案な性格から、面接でもうまく喋れず就職活動は難航中。今日は本命企業の面接だったのに、道中で具合の悪そうな人を見かけ介抱したために、面接時間を過ぎてしまう。肩を落として帰ろうとしたその時、突然手を引かれ振り向くと…、そこにはさっき介抱したイケメンの姿が…！なんと、イケメンの正体は梓が面接を受けようとしていた会社の社長で――!?【恋するソワレ】</v>
      </c>
      <c r="W643" s="14"/>
      <c r="X643" s="14" t="str">
        <f>IFERROR(__xludf.DUMMYFUNCTION("""COMPUTED_VALUE"""),"有
")</f>
        <v>有
</v>
      </c>
      <c r="Y643" s="8" t="str">
        <f>IFERROR(__xludf.DUMMYFUNCTION("""COMPUTED_VALUE"""),"P17まで")</f>
        <v>P17まで</v>
      </c>
      <c r="Z643" s="7"/>
      <c r="AA643" s="7"/>
      <c r="AB643" s="7"/>
    </row>
    <row r="644" ht="130.5" customHeight="1">
      <c r="A644" s="26">
        <f>IFERROR(__xludf.DUMMYFUNCTION("""COMPUTED_VALUE"""),2152.0)</f>
        <v>2152</v>
      </c>
      <c r="B644" s="27" t="str">
        <f>IFERROR(__xludf.DUMMYFUNCTION("""COMPUTED_VALUE"""),"確定")</f>
        <v>確定</v>
      </c>
      <c r="C644" s="28">
        <f>IFERROR(__xludf.DUMMYFUNCTION("""COMPUTED_VALUE"""),45117.0)</f>
        <v>45117</v>
      </c>
      <c r="D644" s="28">
        <f>IFERROR(__xludf.DUMMYFUNCTION("""COMPUTED_VALUE"""),45168.0)</f>
        <v>45168</v>
      </c>
      <c r="E644" s="31">
        <f>IFERROR(__xludf.DUMMYFUNCTION("""COMPUTED_VALUE"""),276900.0)</f>
        <v>276900</v>
      </c>
      <c r="F644" s="27" t="str">
        <f>IFERROR(__xludf.DUMMYFUNCTION("""COMPUTED_VALUE"""),"【単話】復讐の同窓会")</f>
        <v>【単話】復讐の同窓会</v>
      </c>
      <c r="G644" s="20" t="str">
        <f>IFERROR(__xludf.DUMMYFUNCTION("""COMPUTED_VALUE"""),"1～3")</f>
        <v>1～3</v>
      </c>
      <c r="H644" s="22" t="str">
        <f>IFERROR(__xludf.DUMMYFUNCTION("""COMPUTED_VALUE"""),"大城密┴さいがりゅう")</f>
        <v>大城密┴さいがりゅう</v>
      </c>
      <c r="I644" s="22" t="str">
        <f>IFERROR(__xludf.DUMMYFUNCTION("""COMPUTED_VALUE"""),"青年")</f>
        <v>青年</v>
      </c>
      <c r="J644" s="22"/>
      <c r="K644" s="22"/>
      <c r="L644" s="22" t="str">
        <f>IFERROR(__xludf.DUMMYFUNCTION("""COMPUTED_VALUE"""),"CLLENN")</f>
        <v>CLLENN</v>
      </c>
      <c r="M644" s="23">
        <f>IFERROR(__xludf.DUMMYFUNCTION("""COMPUTED_VALUE"""),45194.0)</f>
        <v>45194</v>
      </c>
      <c r="N644" s="23">
        <f>IFERROR(__xludf.DUMMYFUNCTION("""COMPUTED_VALUE"""),45254.0)</f>
        <v>45254</v>
      </c>
      <c r="O644" s="20"/>
      <c r="P644" s="32" t="str">
        <f>IFERROR(__xludf.DUMMYFUNCTION("""COMPUTED_VALUE"""),"可")</f>
        <v>可</v>
      </c>
      <c r="Q644" s="22"/>
      <c r="R644" s="27" t="str">
        <f>IFERROR(__xludf.DUMMYFUNCTION("""COMPUTED_VALUE"""),"格納済")</f>
        <v>格納済</v>
      </c>
      <c r="S644" s="22" t="str">
        <f>IFERROR(__xludf.DUMMYFUNCTION("""COMPUTED_VALUE"""),"20230825_CLLENN_復讐の同窓会")</f>
        <v>20230825_CLLENN_復讐の同窓会</v>
      </c>
      <c r="T644" s="27" t="str">
        <f>IFERROR(__xludf.DUMMYFUNCTION("""COMPUTED_VALUE"""),"校了済素材/格納済み")</f>
        <v>校了済素材/格納済み</v>
      </c>
      <c r="U644" s="15" t="str">
        <f>IFERROR(__xludf.DUMMYFUNCTION("""COMPUTED_VALUE"""),"©大城密・さいがりゅう/CLLENN")</f>
        <v>©大城密・さいがりゅう/CLLENN</v>
      </c>
      <c r="V644" s="8" t="str">
        <f>IFERROR(__xludf.DUMMYFUNCTION("""COMPUTED_VALUE"""),"「僕の人生を君に捧げる。そして、全員地獄に堕とすーー」大切な人・エマが自殺した。彼女は日常的に過酷ないじめを受けていたカケルの唯一の救いだった。絶望するカケルの元に「いじめ被害日記」が届く、そこにはある「真実」が記されていた。全てを知ったカケルは人生を捧げていじめ加害者たちに復讐することを決意する。18年後、地位・財産・容姿端麗な外見と強靭な肉体、全てを兼ね備えて帰郷したカケル。さぁ、同窓会を始めようーーー")</f>
        <v>「僕の人生を君に捧げる。そして、全員地獄に堕とすーー」大切な人・エマが自殺した。彼女は日常的に過酷ないじめを受けていたカケルの唯一の救いだった。絶望するカケルの元に「いじめ被害日記」が届く、そこにはある「真実」が記されていた。全てを知ったカケルは人生を捧げていじめ加害者たちに復讐することを決意する。18年後、地位・財産・容姿端麗な外見と強靭な肉体、全てを兼ね備えて帰郷したカケル。さぁ、同窓会を始めようーーー</v>
      </c>
      <c r="W644" s="14"/>
      <c r="X644" s="14" t="str">
        <f>IFERROR(__xludf.DUMMYFUNCTION("""COMPUTED_VALUE"""),"有
")</f>
        <v>有
</v>
      </c>
      <c r="Y644" s="8" t="str">
        <f>IFERROR(__xludf.DUMMYFUNCTION("""COMPUTED_VALUE"""),"10/8まで1巻無料
")</f>
        <v>10/8まで1巻無料
</v>
      </c>
      <c r="Z644" s="7"/>
      <c r="AA644" s="7"/>
      <c r="AB644" s="7"/>
    </row>
    <row r="645" ht="114.75" customHeight="1">
      <c r="A645" s="26">
        <f>IFERROR(__xludf.DUMMYFUNCTION("""COMPUTED_VALUE"""),2169.0)</f>
        <v>2169</v>
      </c>
      <c r="B645" s="27" t="str">
        <f>IFERROR(__xludf.DUMMYFUNCTION("""COMPUTED_VALUE"""),"確定")</f>
        <v>確定</v>
      </c>
      <c r="C645" s="28">
        <f>IFERROR(__xludf.DUMMYFUNCTION("""COMPUTED_VALUE"""),45121.0)</f>
        <v>45121</v>
      </c>
      <c r="D645" s="28">
        <f>IFERROR(__xludf.DUMMYFUNCTION("""COMPUTED_VALUE"""),45168.0)</f>
        <v>45168</v>
      </c>
      <c r="E645" s="31">
        <f>IFERROR(__xludf.DUMMYFUNCTION("""COMPUTED_VALUE"""),276978.0)</f>
        <v>276978</v>
      </c>
      <c r="F645" s="27" t="str">
        <f>IFERROR(__xludf.DUMMYFUNCTION("""COMPUTED_VALUE"""),"その代用品は復讐する～妻を騙した夫の誤算～")</f>
        <v>その代用品は復讐する～妻を騙した夫の誤算～</v>
      </c>
      <c r="G645" s="20" t="str">
        <f>IFERROR(__xludf.DUMMYFUNCTION("""COMPUTED_VALUE"""),"1～3")</f>
        <v>1～3</v>
      </c>
      <c r="H645" s="22" t="str">
        <f>IFERROR(__xludf.DUMMYFUNCTION("""COMPUTED_VALUE"""),"宮本ポチ子")</f>
        <v>宮本ポチ子</v>
      </c>
      <c r="I645" s="22" t="str">
        <f>IFERROR(__xludf.DUMMYFUNCTION("""COMPUTED_VALUE"""),"女性")</f>
        <v>女性</v>
      </c>
      <c r="J645" s="22"/>
      <c r="K645" s="22"/>
      <c r="L645" s="22" t="str">
        <f>IFERROR(__xludf.DUMMYFUNCTION("""COMPUTED_VALUE"""),"DPNブックス")</f>
        <v>DPNブックス</v>
      </c>
      <c r="M645" s="23">
        <f>IFERROR(__xludf.DUMMYFUNCTION("""COMPUTED_VALUE"""),45219.0)</f>
        <v>45219</v>
      </c>
      <c r="N645" s="23">
        <f>IFERROR(__xludf.DUMMYFUNCTION("""COMPUTED_VALUE"""),45249.0)</f>
        <v>45249</v>
      </c>
      <c r="O645" s="20"/>
      <c r="P645" s="29" t="str">
        <f>IFERROR(__xludf.DUMMYFUNCTION("""COMPUTED_VALUE"""),"可")</f>
        <v>可</v>
      </c>
      <c r="Q645" s="30" t="str">
        <f>IFERROR(__xludf.DUMMYFUNCTION("""COMPUTED_VALUE"""),"広告コミットOK(7/21)")</f>
        <v>広告コミットOK(7/21)</v>
      </c>
      <c r="R645" s="27"/>
      <c r="S645" s="22" t="str">
        <f>IFERROR(__xludf.DUMMYFUNCTION("""COMPUTED_VALUE"""),"20230824_DPNブックス_その代用品は復讐する")</f>
        <v>20230824_DPNブックス_その代用品は復讐する</v>
      </c>
      <c r="T645" s="27" t="str">
        <f>IFERROR(__xludf.DUMMYFUNCTION("""COMPUTED_VALUE"""),"格納済み")</f>
        <v>格納済み</v>
      </c>
      <c r="U645" s="15" t="str">
        <f>IFERROR(__xludf.DUMMYFUNCTION("""COMPUTED_VALUE"""),"(C)宮本ポチ子／DPNブックス")</f>
        <v>(C)宮本ポチ子／DPNブックス</v>
      </c>
      <c r="V645" s="8" t="str">
        <f>IFERROR(__xludf.DUMMYFUNCTION("""COMPUTED_VALUE"""),"裕福で優しい夫と結婚した悠花。少し退屈するくらいの穏やかな日々に、子供がいたら…と夢を見ることはあったが、幸せに暮らしていた。だがある日、夫の友人と出会ったことから夫が変わり始める。何かを隠しているような誤魔化しているような…。もしかして浮気？ 疑い始めると止まらず、ついに悠花は衝撃の事実を知る…！ 私は『あの人』の存在を隠すためのカモフラージュだった！？")</f>
        <v>裕福で優しい夫と結婚した悠花。少し退屈するくらいの穏やかな日々に、子供がいたら…と夢を見ることはあったが、幸せに暮らしていた。だがある日、夫の友人と出会ったことから夫が変わり始める。何かを隠しているような誤魔化しているような…。もしかして浮気？ 疑い始めると止まらず、ついに悠花は衝撃の事実を知る…！ 私は『あの人』の存在を隠すためのカモフラージュだった！？</v>
      </c>
      <c r="W645" s="14"/>
      <c r="X645" s="14" t="str">
        <f>IFERROR(__xludf.DUMMYFUNCTION("""COMPUTED_VALUE"""),"有
")</f>
        <v>有
</v>
      </c>
      <c r="Y645" s="8" t="str">
        <f>IFERROR(__xludf.DUMMYFUNCTION("""COMPUTED_VALUE"""),"11/19まで1巻無料")</f>
        <v>11/19まで1巻無料</v>
      </c>
      <c r="Z645" s="7"/>
      <c r="AA645" s="7"/>
      <c r="AB645" s="7"/>
    </row>
    <row r="646" ht="15.75" customHeight="1">
      <c r="A646" s="26">
        <f>IFERROR(__xludf.DUMMYFUNCTION("""COMPUTED_VALUE"""),2228.0)</f>
        <v>2228</v>
      </c>
      <c r="B646" s="27" t="str">
        <f>IFERROR(__xludf.DUMMYFUNCTION("""COMPUTED_VALUE"""),"確定")</f>
        <v>確定</v>
      </c>
      <c r="C646" s="28">
        <f>IFERROR(__xludf.DUMMYFUNCTION("""COMPUTED_VALUE"""),45131.0)</f>
        <v>45131</v>
      </c>
      <c r="D646" s="28">
        <f>IFERROR(__xludf.DUMMYFUNCTION("""COMPUTED_VALUE"""),45168.0)</f>
        <v>45168</v>
      </c>
      <c r="E646" s="31">
        <f>IFERROR(__xludf.DUMMYFUNCTION("""COMPUTED_VALUE"""),277289.0)</f>
        <v>277289</v>
      </c>
      <c r="F646" s="27" t="str">
        <f>IFERROR(__xludf.DUMMYFUNCTION("""COMPUTED_VALUE"""),"獣人公爵のエスコート")</f>
        <v>獣人公爵のエスコート</v>
      </c>
      <c r="G646" s="16" t="str">
        <f>IFERROR(__xludf.DUMMYFUNCTION("""COMPUTED_VALUE"""),"1～3")</f>
        <v>1～3</v>
      </c>
      <c r="H646" s="22" t="str">
        <f>IFERROR(__xludf.DUMMYFUNCTION("""COMPUTED_VALUE"""),"原作：雪兎ざっく 漫画：猫倉ありす")</f>
        <v>原作：雪兎ざっく 漫画：猫倉ありす</v>
      </c>
      <c r="I646" s="22" t="str">
        <f>IFERROR(__xludf.DUMMYFUNCTION("""COMPUTED_VALUE"""),"女性")</f>
        <v>女性</v>
      </c>
      <c r="J646" s="22"/>
      <c r="K646" s="22"/>
      <c r="L646" s="22" t="str">
        <f>IFERROR(__xludf.DUMMYFUNCTION("""COMPUTED_VALUE"""),"アルファポリス")</f>
        <v>アルファポリス</v>
      </c>
      <c r="M646" s="23">
        <f>IFERROR(__xludf.DUMMYFUNCTION("""COMPUTED_VALUE"""),45205.0)</f>
        <v>45205</v>
      </c>
      <c r="N646" s="33">
        <f>IFERROR(__xludf.DUMMYFUNCTION("""COMPUTED_VALUE"""),45351.0)</f>
        <v>45351</v>
      </c>
      <c r="O646" s="20"/>
      <c r="P646" s="29" t="str">
        <f>IFERROR(__xludf.DUMMYFUNCTION("""COMPUTED_VALUE"""),"可")</f>
        <v>可</v>
      </c>
      <c r="Q646" s="30" t="str">
        <f>IFERROR(__xludf.DUMMYFUNCTION("""COMPUTED_VALUE"""),"広告コミットOK")</f>
        <v>広告コミットOK</v>
      </c>
      <c r="R646" s="27"/>
      <c r="S646" s="22" t="str">
        <f>IFERROR(__xludf.DUMMYFUNCTION("""COMPUTED_VALUE"""),"20230828_アルファポリス_獣人公爵のエスコート")</f>
        <v>20230828_アルファポリス_獣人公爵のエスコート</v>
      </c>
      <c r="T646" s="27" t="str">
        <f>IFERROR(__xludf.DUMMYFUNCTION("""COMPUTED_VALUE"""),"格納済み")</f>
        <v>格納済み</v>
      </c>
      <c r="U646" s="15" t="str">
        <f>IFERROR(__xludf.DUMMYFUNCTION("""COMPUTED_VALUE"""),"(C)雪兎ざっく・猫倉ありす／アルファポリス")</f>
        <v>(C)雪兎ざっく・猫倉ありす／アルファポリス</v>
      </c>
      <c r="V646" s="8" t="str">
        <f>IFERROR(__xludf.DUMMYFUNCTION("""COMPUTED_VALUE"""),"貧しい田舎の男爵令嬢・フィディア。彼女には、憧れの獣人公爵・ジェミールを間近で見たいという夢があった。社交界デビューのために王都の舞踏会に訪れた彼女だったが、不運が重なり、彼に会えないまま王都を去ることになってしまう。一方、舞踏会にいたジェミールは、遠目に見たフィディアに心を奪われていた。彼女は彼の『番（つがい）』だったのだ――。ジェミールは独占欲から彼女を隔離するように部下に命令するが、それはすれ違いの始まりで……。愛の重いオオカミ公爵に甘く食べられるノンストップラブ、待望のコミカライズ！")</f>
        <v>貧しい田舎の男爵令嬢・フィディア。彼女には、憧れの獣人公爵・ジェミールを間近で見たいという夢があった。社交界デビューのために王都の舞踏会に訪れた彼女だったが、不運が重なり、彼に会えないまま王都を去ることになってしまう。一方、舞踏会にいたジェミールは、遠目に見たフィディアに心を奪われていた。彼女は彼の『番（つがい）』だったのだ――。ジェミールは独占欲から彼女を隔離するように部下に命令するが、それはすれ違いの始まりで……。愛の重いオオカミ公爵に甘く食べられるノンストップラブ、待望のコミカライズ！</v>
      </c>
      <c r="W646" s="14"/>
      <c r="X646" s="14" t="str">
        <f>IFERROR(__xludf.DUMMYFUNCTION("""COMPUTED_VALUE"""),"有
")</f>
        <v>有
</v>
      </c>
      <c r="Y646" s="8" t="str">
        <f>IFERROR(__xludf.DUMMYFUNCTION("""COMPUTED_VALUE"""),"1巻無料")</f>
        <v>1巻無料</v>
      </c>
      <c r="Z646" s="7"/>
      <c r="AA646" s="7"/>
      <c r="AB646" s="7"/>
    </row>
    <row r="647" ht="15.75" customHeight="1">
      <c r="A647" s="26">
        <f>IFERROR(__xludf.DUMMYFUNCTION("""COMPUTED_VALUE"""),2308.0)</f>
        <v>2308</v>
      </c>
      <c r="B647" s="27" t="str">
        <f>IFERROR(__xludf.DUMMYFUNCTION("""COMPUTED_VALUE"""),"確定")</f>
        <v>確定</v>
      </c>
      <c r="C647" s="28">
        <f>IFERROR(__xludf.DUMMYFUNCTION("""COMPUTED_VALUE"""),45162.0)</f>
        <v>45162</v>
      </c>
      <c r="D647" s="28">
        <f>IFERROR(__xludf.DUMMYFUNCTION("""COMPUTED_VALUE"""),45167.0)</f>
        <v>45167</v>
      </c>
      <c r="E647" s="31">
        <f>IFERROR(__xludf.DUMMYFUNCTION("""COMPUTED_VALUE"""),275488.0)</f>
        <v>275488</v>
      </c>
      <c r="F647" s="27" t="str">
        <f>IFERROR(__xludf.DUMMYFUNCTION("""COMPUTED_VALUE"""),"言葉を解いて、キスを重ねて。")</f>
        <v>言葉を解いて、キスを重ねて。</v>
      </c>
      <c r="G647" s="20" t="str">
        <f>IFERROR(__xludf.DUMMYFUNCTION("""COMPUTED_VALUE"""),"1~3")</f>
        <v>1~3</v>
      </c>
      <c r="H647" s="22" t="str">
        <f>IFERROR(__xludf.DUMMYFUNCTION("""COMPUTED_VALUE"""),"原作：岩島朋未・漫画：ないとーまさ")</f>
        <v>原作：岩島朋未・漫画：ないとーまさ</v>
      </c>
      <c r="I647" s="22" t="str">
        <f>IFERROR(__xludf.DUMMYFUNCTION("""COMPUTED_VALUE"""),"女性")</f>
        <v>女性</v>
      </c>
      <c r="J647" s="22"/>
      <c r="K647" s="22"/>
      <c r="L647" s="22" t="str">
        <f>IFERROR(__xludf.DUMMYFUNCTION("""COMPUTED_VALUE"""),"CLLENN")</f>
        <v>CLLENN</v>
      </c>
      <c r="M647" s="23">
        <f>IFERROR(__xludf.DUMMYFUNCTION("""COMPUTED_VALUE"""),45175.0)</f>
        <v>45175</v>
      </c>
      <c r="N647" s="23">
        <f>IFERROR(__xludf.DUMMYFUNCTION("""COMPUTED_VALUE"""),45237.0)</f>
        <v>45237</v>
      </c>
      <c r="O647" s="20"/>
      <c r="P647" s="29" t="str">
        <f>IFERROR(__xludf.DUMMYFUNCTION("""COMPUTED_VALUE"""),"可")</f>
        <v>可</v>
      </c>
      <c r="Q647" s="22" t="str">
        <f>IFERROR(__xludf.DUMMYFUNCTION("""COMPUTED_VALUE"""),"協業：シーモア×コイパレ")</f>
        <v>協業：シーモア×コイパレ</v>
      </c>
      <c r="R647" s="27" t="str">
        <f>IFERROR(__xludf.DUMMYFUNCTION("""COMPUTED_VALUE"""),"格納済")</f>
        <v>格納済</v>
      </c>
      <c r="S647" s="22" t="str">
        <f>IFERROR(__xludf.DUMMYFUNCTION("""COMPUTED_VALUE"""),"20230824_CLLENN_言葉を解いて、キスを重ねて。")</f>
        <v>20230824_CLLENN_言葉を解いて、キスを重ねて。</v>
      </c>
      <c r="T647" s="27" t="str">
        <f>IFERROR(__xludf.DUMMYFUNCTION("""COMPUTED_VALUE"""),"校了済素材/格納済み")</f>
        <v>校了済素材/格納済み</v>
      </c>
      <c r="U647" s="15" t="str">
        <f>IFERROR(__xludf.DUMMYFUNCTION("""COMPUTED_VALUE"""),"ⓒ岩島朋未・ないとーまさ/CLLENN")</f>
        <v>ⓒ岩島朋未・ないとーまさ/CLLENN</v>
      </c>
      <c r="V647" s="8" t="str">
        <f>IFERROR(__xludf.DUMMYFUNCTION("""COMPUTED_VALUE"""),"「秋野課長…私とキスしてください」――いつも独りぼっちのOL・琴葉は、ずっと恋焦がれてきた秋野課長の下で働くことになる。認めてもらえるように頑張ろう！と残業していたら、課長がやってきてふたりきりに。しかし、よく見ると顔色の悪い課長に、琴葉は心配のあまり【ある能力】を使って眠らせてしまう！さらに課長の寝顔が愛しくて、つい「キスしたいな…」とぽろり。その瞬間、目覚めた課長がまた【能力】にかかってしまい、ゆっくり唇が重なって――。偽物のキスから恋が芽生えていく、ちょっと不思議なラブストーリー。")</f>
        <v>「秋野課長…私とキスしてください」――いつも独りぼっちのOL・琴葉は、ずっと恋焦がれてきた秋野課長の下で働くことになる。認めてもらえるように頑張ろう！と残業していたら、課長がやってきてふたりきりに。しかし、よく見ると顔色の悪い課長に、琴葉は心配のあまり【ある能力】を使って眠らせてしまう！さらに課長の寝顔が愛しくて、つい「キスしたいな…」とぽろり。その瞬間、目覚めた課長がまた【能力】にかかってしまい、ゆっくり唇が重なって――。偽物のキスから恋が芽生えていく、ちょっと不思議なラブストーリー。</v>
      </c>
      <c r="W647" s="14"/>
      <c r="X647" s="14" t="str">
        <f>IFERROR(__xludf.DUMMYFUNCTION("""COMPUTED_VALUE"""),"有
")</f>
        <v>有
</v>
      </c>
      <c r="Y647" s="8" t="str">
        <f>IFERROR(__xludf.DUMMYFUNCTION("""COMPUTED_VALUE"""),"9/19まで1巻無料
")</f>
        <v>9/19まで1巻無料
</v>
      </c>
      <c r="Z647" s="7"/>
      <c r="AA647" s="7"/>
      <c r="AB647" s="7"/>
    </row>
    <row r="648" ht="15.75" customHeight="1">
      <c r="A648" s="26">
        <f>IFERROR(__xludf.DUMMYFUNCTION("""COMPUTED_VALUE"""),2309.0)</f>
        <v>2309</v>
      </c>
      <c r="B648" s="27" t="str">
        <f>IFERROR(__xludf.DUMMYFUNCTION("""COMPUTED_VALUE"""),"確定")</f>
        <v>確定</v>
      </c>
      <c r="C648" s="28">
        <f>IFERROR(__xludf.DUMMYFUNCTION("""COMPUTED_VALUE"""),45163.0)</f>
        <v>45163</v>
      </c>
      <c r="D648" s="28">
        <f>IFERROR(__xludf.DUMMYFUNCTION("""COMPUTED_VALUE"""),45163.0)</f>
        <v>45163</v>
      </c>
      <c r="E648" s="26">
        <f>IFERROR(__xludf.DUMMYFUNCTION("""COMPUTED_VALUE"""),273480.0)</f>
        <v>273480</v>
      </c>
      <c r="F648" s="27" t="str">
        <f>IFERROR(__xludf.DUMMYFUNCTION("""COMPUTED_VALUE"""),"おしかけ婚～エリート御曹司さま、娶ってください～")</f>
        <v>おしかけ婚～エリート御曹司さま、娶ってください～</v>
      </c>
      <c r="G648" s="20" t="str">
        <f>IFERROR(__xludf.DUMMYFUNCTION("""COMPUTED_VALUE"""),"1~5")</f>
        <v>1~5</v>
      </c>
      <c r="H648" s="22" t="str">
        <f>IFERROR(__xludf.DUMMYFUNCTION("""COMPUTED_VALUE"""),"鈴ゆりこ,七野なずな")</f>
        <v>鈴ゆりこ,七野なずな</v>
      </c>
      <c r="I648" s="14" t="str">
        <f>IFERROR(__xludf.DUMMYFUNCTION("""COMPUTED_VALUE"""),"女性")</f>
        <v>女性</v>
      </c>
      <c r="J648" s="22"/>
      <c r="K648" s="22"/>
      <c r="L648" s="22" t="str">
        <f>IFERROR(__xludf.DUMMYFUNCTION("""COMPUTED_VALUE"""),"コミックストック")</f>
        <v>コミックストック</v>
      </c>
      <c r="M648" s="23">
        <f>IFERROR(__xludf.DUMMYFUNCTION("""COMPUTED_VALUE"""),45210.0)</f>
        <v>45210</v>
      </c>
      <c r="N648" s="23">
        <f>IFERROR(__xludf.DUMMYFUNCTION("""COMPUTED_VALUE"""),45286.0)</f>
        <v>45286</v>
      </c>
      <c r="O648" s="20"/>
      <c r="P648" s="29" t="str">
        <f>IFERROR(__xludf.DUMMYFUNCTION("""COMPUTED_VALUE"""),"可")</f>
        <v>可</v>
      </c>
      <c r="Q648" s="22" t="str">
        <f>IFERROR(__xludf.DUMMYFUNCTION("""COMPUTED_VALUE"""),"協業：シーモア×コイパレ&lt;BR&gt;※5巻配信のタイミングから出稿開始")</f>
        <v>協業：シーモア×コイパレ&lt;BR&gt;※5巻配信のタイミングから出稿開始</v>
      </c>
      <c r="R648" s="27" t="str">
        <f>IFERROR(__xludf.DUMMYFUNCTION("""COMPUTED_VALUE"""),"格納済")</f>
        <v>格納済</v>
      </c>
      <c r="S648" s="22" t="str">
        <f>IFERROR(__xludf.DUMMYFUNCTION("""COMPUTED_VALUE"""),"20230825_CLLENN_おしかけ婚")</f>
        <v>20230825_CLLENN_おしかけ婚</v>
      </c>
      <c r="T648" s="27" t="str">
        <f>IFERROR(__xludf.DUMMYFUNCTION("""COMPUTED_VALUE"""),"校了済素材")</f>
        <v>校了済素材</v>
      </c>
      <c r="U648" s="15" t="str">
        <f>IFERROR(__xludf.DUMMYFUNCTION("""COMPUTED_VALUE"""),"ⓒ七野なずな・鈴ゆりこ/CLLENN")</f>
        <v>ⓒ七野なずな・鈴ゆりこ/CLLENN</v>
      </c>
      <c r="V648" s="8" t="str">
        <f>IFERROR(__xludf.DUMMYFUNCTION("""COMPUTED_VALUE"""),"自動車メーカーの令嬢・花森由衣子は、家業の発展のために祖父から政略結婚を命じられる。由衣子は自分の責務を果たすため、大企業の御曹司・白濱綾人とお見合いをするが、その場できっぱり断られてしまう。呆然としていると綾人が「気が変わった、結婚してやる。ただし――…」と、条件を提示してきて…！？ 婚約者候補として同居生活をすることになったふたり。はじめはイジワルな綾人だが、由衣子の一途な想いに心動かされ、由衣子もまた綾人の優しさに触れて次第に惹かれ合っていく――…。本作品は小説投稿サイト「エブリスタ」で掲載している"&amp;"「好きと気づいて恋になる」のコミカライズです。")</f>
        <v>自動車メーカーの令嬢・花森由衣子は、家業の発展のために祖父から政略結婚を命じられる。由衣子は自分の責務を果たすため、大企業の御曹司・白濱綾人とお見合いをするが、その場できっぱり断られてしまう。呆然としていると綾人が「気が変わった、結婚してやる。ただし――…」と、条件を提示してきて…！？ 婚約者候補として同居生活をすることになったふたり。はじめはイジワルな綾人だが、由衣子の一途な想いに心動かされ、由衣子もまた綾人の優しさに触れて次第に惹かれ合っていく――…。本作品は小説投稿サイト「エブリスタ」で掲載している「好きと気づいて恋になる」のコミカライズです。</v>
      </c>
      <c r="W648" s="14"/>
      <c r="X648" s="14" t="str">
        <f>IFERROR(__xludf.DUMMYFUNCTION("""COMPUTED_VALUE"""),"有
")</f>
        <v>有
</v>
      </c>
      <c r="Y648" s="8" t="str">
        <f>IFERROR(__xludf.DUMMYFUNCTION("""COMPUTED_VALUE"""),"10/17まで1巻無料")</f>
        <v>10/17まで1巻無料</v>
      </c>
      <c r="Z648" s="7"/>
      <c r="AA648" s="7"/>
      <c r="AB648" s="7"/>
    </row>
    <row r="649" ht="15.75" customHeight="1">
      <c r="A649" s="26">
        <f>IFERROR(__xludf.DUMMYFUNCTION("""COMPUTED_VALUE"""),2310.0)</f>
        <v>2310</v>
      </c>
      <c r="B649" s="27" t="str">
        <f>IFERROR(__xludf.DUMMYFUNCTION("""COMPUTED_VALUE"""),"確定")</f>
        <v>確定</v>
      </c>
      <c r="C649" s="28">
        <f>IFERROR(__xludf.DUMMYFUNCTION("""COMPUTED_VALUE"""),45163.0)</f>
        <v>45163</v>
      </c>
      <c r="D649" s="28">
        <f>IFERROR(__xludf.DUMMYFUNCTION("""COMPUTED_VALUE"""),45167.0)</f>
        <v>45167</v>
      </c>
      <c r="E649" s="31">
        <f>IFERROR(__xludf.DUMMYFUNCTION("""COMPUTED_VALUE"""),276754.0)</f>
        <v>276754</v>
      </c>
      <c r="F649" s="27" t="str">
        <f>IFERROR(__xludf.DUMMYFUNCTION("""COMPUTED_VALUE"""),"ばくてん！ 沖田くんとたわわな土方さん")</f>
        <v>ばくてん！ 沖田くんとたわわな土方さん</v>
      </c>
      <c r="G649" s="20" t="str">
        <f>IFERROR(__xludf.DUMMYFUNCTION("""COMPUTED_VALUE"""),"1~3")</f>
        <v>1~3</v>
      </c>
      <c r="H649" s="22" t="str">
        <f>IFERROR(__xludf.DUMMYFUNCTION("""COMPUTED_VALUE"""),"柴屋珂壱")</f>
        <v>柴屋珂壱</v>
      </c>
      <c r="I649" s="22" t="str">
        <f>IFERROR(__xludf.DUMMYFUNCTION("""COMPUTED_VALUE"""),"青年")</f>
        <v>青年</v>
      </c>
      <c r="J649" s="22"/>
      <c r="K649" s="22"/>
      <c r="L649" s="22" t="str">
        <f>IFERROR(__xludf.DUMMYFUNCTION("""COMPUTED_VALUE"""),"CLLENN")</f>
        <v>CLLENN</v>
      </c>
      <c r="M649" s="23">
        <f>IFERROR(__xludf.DUMMYFUNCTION("""COMPUTED_VALUE"""),45193.0)</f>
        <v>45193</v>
      </c>
      <c r="N649" s="23">
        <f>IFERROR(__xludf.DUMMYFUNCTION("""COMPUTED_VALUE"""),45283.0)</f>
        <v>45283</v>
      </c>
      <c r="O649" s="20"/>
      <c r="P649" s="29" t="str">
        <f>IFERROR(__xludf.DUMMYFUNCTION("""COMPUTED_VALUE"""),"可")</f>
        <v>可</v>
      </c>
      <c r="Q649" s="22" t="str">
        <f>IFERROR(__xludf.DUMMYFUNCTION("""COMPUTED_VALUE"""),"協業：シーモア×DEDEDE")</f>
        <v>協業：シーモア×DEDEDE</v>
      </c>
      <c r="R649" s="27" t="str">
        <f>IFERROR(__xludf.DUMMYFUNCTION("""COMPUTED_VALUE"""),"格納済")</f>
        <v>格納済</v>
      </c>
      <c r="S649" s="22" t="str">
        <f>IFERROR(__xludf.DUMMYFUNCTION("""COMPUTED_VALUE"""),"20230825_CLLENN_女体化したエッチな土方(仮)")</f>
        <v>20230825_CLLENN_女体化したエッチな土方(仮)</v>
      </c>
      <c r="T649" s="27" t="str">
        <f>IFERROR(__xludf.DUMMYFUNCTION("""COMPUTED_VALUE"""),"校了済素材/格納済み")</f>
        <v>校了済素材/格納済み</v>
      </c>
      <c r="U649" s="15" t="str">
        <f>IFERROR(__xludf.DUMMYFUNCTION("""COMPUTED_VALUE"""),"ⓒ柴屋珂壱/CLLENN")</f>
        <v>ⓒ柴屋珂壱/CLLENN</v>
      </c>
      <c r="V649" s="8" t="str">
        <f>IFERROR(__xludf.DUMMYFUNCTION("""COMPUTED_VALUE"""),"「思い出したか総司？ 新選組副長、土方歳三を…」――恋人も友だちもいない陰キャな大学三年生…そんな俺が、参加したくもない新入生歓迎会で可憐な少女と目が合った。黒髪ロングの大和撫子（おっぱいも大きい）、人気者で誰もが憧れる存在の彼女が、俺なんかを見ているはずがない。そう思っていたけれど、歓迎会の帰り道、ひと気のない通りで俺を襲ってきたのは…彼女だった!? ――幕末から現代に転生をした志士たちが叶えたかった想いとは？ 新選組LOVE＆アクションコメディ!!")</f>
        <v>「思い出したか総司？ 新選組副長、土方歳三を…」――恋人も友だちもいない陰キャな大学三年生…そんな俺が、参加したくもない新入生歓迎会で可憐な少女と目が合った。黒髪ロングの大和撫子（おっぱいも大きい）、人気者で誰もが憧れる存在の彼女が、俺なんかを見ているはずがない。そう思っていたけれど、歓迎会の帰り道、ひと気のない通りで俺を襲ってきたのは…彼女だった!? ――幕末から現代に転生をした志士たちが叶えたかった想いとは？ 新選組LOVE＆アクションコメディ!!</v>
      </c>
      <c r="W649" s="14"/>
      <c r="X649" s="14" t="str">
        <f>IFERROR(__xludf.DUMMYFUNCTION("""COMPUTED_VALUE"""),"有
")</f>
        <v>有
</v>
      </c>
      <c r="Y649" s="8" t="str">
        <f>IFERROR(__xludf.DUMMYFUNCTION("""COMPUTED_VALUE"""),"10/7まで1巻無料")</f>
        <v>10/7まで1巻無料</v>
      </c>
      <c r="Z649" s="7"/>
      <c r="AA649" s="7"/>
      <c r="AB649" s="7"/>
    </row>
    <row r="650" ht="15.75" customHeight="1">
      <c r="A650" s="26">
        <f>IFERROR(__xludf.DUMMYFUNCTION("""COMPUTED_VALUE"""),2314.0)</f>
        <v>2314</v>
      </c>
      <c r="B650" s="27" t="str">
        <f>IFERROR(__xludf.DUMMYFUNCTION("""COMPUTED_VALUE"""),"確定")</f>
        <v>確定</v>
      </c>
      <c r="C650" s="28">
        <f>IFERROR(__xludf.DUMMYFUNCTION("""COMPUTED_VALUE"""),45163.0)</f>
        <v>45163</v>
      </c>
      <c r="D650" s="28">
        <f>IFERROR(__xludf.DUMMYFUNCTION("""COMPUTED_VALUE"""),45167.0)</f>
        <v>45167</v>
      </c>
      <c r="E650" s="26">
        <f>IFERROR(__xludf.DUMMYFUNCTION("""COMPUTED_VALUE"""),254959.0)</f>
        <v>254959</v>
      </c>
      <c r="F650" s="27" t="str">
        <f>IFERROR(__xludf.DUMMYFUNCTION("""COMPUTED_VALUE"""),"鬼上司との同担OKですがガチ恋NGです！")</f>
        <v>鬼上司との同担OKですがガチ恋NGです！</v>
      </c>
      <c r="G650" s="20" t="str">
        <f>IFERROR(__xludf.DUMMYFUNCTION("""COMPUTED_VALUE"""),"1～3")</f>
        <v>1～3</v>
      </c>
      <c r="H650" s="22" t="str">
        <f>IFERROR(__xludf.DUMMYFUNCTION("""COMPUTED_VALUE"""),"鳥肌こっこ")</f>
        <v>鳥肌こっこ</v>
      </c>
      <c r="I650" s="14" t="str">
        <f>IFERROR(__xludf.DUMMYFUNCTION("""COMPUTED_VALUE"""),"女性")</f>
        <v>女性</v>
      </c>
      <c r="J650" s="22"/>
      <c r="K650" s="22"/>
      <c r="L650" s="22" t="str">
        <f>IFERROR(__xludf.DUMMYFUNCTION("""COMPUTED_VALUE"""),"シーモアコミックス")</f>
        <v>シーモアコミックス</v>
      </c>
      <c r="M650" s="23">
        <f>IFERROR(__xludf.DUMMYFUNCTION("""COMPUTED_VALUE"""),45198.0)</f>
        <v>45198</v>
      </c>
      <c r="N650" s="23">
        <f>IFERROR(__xludf.DUMMYFUNCTION("""COMPUTED_VALUE"""),45351.0)</f>
        <v>45351</v>
      </c>
      <c r="O650" s="20"/>
      <c r="P650" s="29" t="str">
        <f>IFERROR(__xludf.DUMMYFUNCTION("""COMPUTED_VALUE"""),"可")</f>
        <v>可</v>
      </c>
      <c r="Q650" s="30" t="str">
        <f>IFERROR(__xludf.DUMMYFUNCTION("""COMPUTED_VALUE"""),"※正式タイトル下記の通りです（8/25）&lt;BR&gt;＝＝＝&lt;BR&gt;鬼上司との同担OKですがガチ恋NGです！&lt;BR&gt;＝＝＝&lt;BR&gt;")</f>
        <v>※正式タイトル下記の通りです（8/25）&lt;BR&gt;＝＝＝&lt;BR&gt;鬼上司との同担OKですがガチ恋NGです！&lt;BR&gt;＝＝＝&lt;BR&gt;</v>
      </c>
      <c r="R650" s="27"/>
      <c r="S650" s="22" t="str">
        <f>IFERROR(__xludf.DUMMYFUNCTION("""COMPUTED_VALUE"""),"20230825_シーモアコミックス_鬼上司との同担OKですがガチ恋NGです！")</f>
        <v>20230825_シーモアコミックス_鬼上司との同担OKですがガチ恋NGです！</v>
      </c>
      <c r="T650" s="27" t="str">
        <f>IFERROR(__xludf.DUMMYFUNCTION("""COMPUTED_VALUE"""),"格納済み")</f>
        <v>格納済み</v>
      </c>
      <c r="U650" s="15" t="str">
        <f>IFERROR(__xludf.DUMMYFUNCTION("""COMPUTED_VALUE"""),"© 鳥肌こっこ/シーモアコミックス")</f>
        <v>© 鳥肌こっこ/シーモアコミックス</v>
      </c>
      <c r="V650" s="8" t="str">
        <f>IFERROR(__xludf.DUMMYFUNCTION("""COMPUTED_VALUE"""),"春風（うらら）の毎日は忙しい。積み重なる業務に、鬼のように厳しく鋼のように無愛想な上司・宇佐美（うさみ）…。胃が痛みそうな日々だけど頑張れる理由があった。それは『推し』がいるから！ 職場では内緒だけど、推し活があればこそ辛さも乗り越えられる…！ 推し活命の春風だったが、ある日出掛けたライブ会場で鉢合わせたのが…なんと鬼上司だった！？ オマケに「付き合ってくれませんか」と言われ…！ 鬼上司と同担にはなれても、ガチ恋はお断りします！")</f>
        <v>春風（うらら）の毎日は忙しい。積み重なる業務に、鬼のように厳しく鋼のように無愛想な上司・宇佐美（うさみ）…。胃が痛みそうな日々だけど頑張れる理由があった。それは『推し』がいるから！ 職場では内緒だけど、推し活があればこそ辛さも乗り越えられる…！ 推し活命の春風だったが、ある日出掛けたライブ会場で鉢合わせたのが…なんと鬼上司だった！？ オマケに「付き合ってくれませんか」と言われ…！ 鬼上司と同担にはなれても、ガチ恋はお断りします！</v>
      </c>
      <c r="W650" s="14"/>
      <c r="X650" s="14" t="str">
        <f>IFERROR(__xludf.DUMMYFUNCTION("""COMPUTED_VALUE"""),"有
")</f>
        <v>有
</v>
      </c>
      <c r="Y650" s="8" t="str">
        <f>IFERROR(__xludf.DUMMYFUNCTION("""COMPUTED_VALUE"""),"10/26まで1巻無料")</f>
        <v>10/26まで1巻無料</v>
      </c>
      <c r="Z650" s="7"/>
      <c r="AA650" s="7"/>
      <c r="AB650" s="7"/>
    </row>
    <row r="651" ht="15.75" customHeight="1">
      <c r="A651" s="26">
        <f>IFERROR(__xludf.DUMMYFUNCTION("""COMPUTED_VALUE"""),2315.0)</f>
        <v>2315</v>
      </c>
      <c r="B651" s="27" t="str">
        <f>IFERROR(__xludf.DUMMYFUNCTION("""COMPUTED_VALUE"""),"確定")</f>
        <v>確定</v>
      </c>
      <c r="C651" s="28">
        <f>IFERROR(__xludf.DUMMYFUNCTION("""COMPUTED_VALUE"""),45166.0)</f>
        <v>45166</v>
      </c>
      <c r="D651" s="28">
        <f>IFERROR(__xludf.DUMMYFUNCTION("""COMPUTED_VALUE"""),45167.0)</f>
        <v>45167</v>
      </c>
      <c r="E651" s="26">
        <f>IFERROR(__xludf.DUMMYFUNCTION("""COMPUTED_VALUE"""),239047.0)</f>
        <v>239047</v>
      </c>
      <c r="F651" s="27" t="str">
        <f>IFERROR(__xludf.DUMMYFUNCTION("""COMPUTED_VALUE"""),"死にぞこないは愛に啼く【単行本版特典ペーパー付き】")</f>
        <v>死にぞこないは愛に啼く【単行本版特典ペーパー付き】</v>
      </c>
      <c r="G651" s="20">
        <f>IFERROR(__xludf.DUMMYFUNCTION("""COMPUTED_VALUE"""),3.0)</f>
        <v>3</v>
      </c>
      <c r="H651" s="22" t="str">
        <f>IFERROR(__xludf.DUMMYFUNCTION("""COMPUTED_VALUE"""),"磯野フナ")</f>
        <v>磯野フナ</v>
      </c>
      <c r="I651" s="14" t="str">
        <f>IFERROR(__xludf.DUMMYFUNCTION("""COMPUTED_VALUE"""),"BL")</f>
        <v>BL</v>
      </c>
      <c r="J651" s="22"/>
      <c r="K651" s="22"/>
      <c r="L651" s="22" t="str">
        <f>IFERROR(__xludf.DUMMYFUNCTION("""COMPUTED_VALUE"""),"スクリーモ")</f>
        <v>スクリーモ</v>
      </c>
      <c r="M651" s="21">
        <f>IFERROR(__xludf.DUMMYFUNCTION("""COMPUTED_VALUE"""),45191.0)</f>
        <v>45191</v>
      </c>
      <c r="N651" s="23">
        <f>IFERROR(__xludf.DUMMYFUNCTION("""COMPUTED_VALUE"""),2958465.0)</f>
        <v>2958465</v>
      </c>
      <c r="O651" s="20"/>
      <c r="P651" s="29" t="str">
        <f>IFERROR(__xludf.DUMMYFUNCTION("""COMPUTED_VALUE"""),"可")</f>
        <v>可</v>
      </c>
      <c r="Q651" s="30" t="str">
        <f>IFERROR(__xludf.DUMMYFUNCTION("""COMPUTED_VALUE"""),"シーモア限定BOOKの作品です。")</f>
        <v>シーモア限定BOOKの作品です。</v>
      </c>
      <c r="R651" s="27"/>
      <c r="S651" s="22" t="str">
        <f>IFERROR(__xludf.DUMMYFUNCTION("""COMPUTED_VALUE"""),"20230828_ウェイブ_死にぞこないは愛に啼く")</f>
        <v>20230828_ウェイブ_死にぞこないは愛に啼く</v>
      </c>
      <c r="T651" s="27" t="str">
        <f>IFERROR(__xludf.DUMMYFUNCTION("""COMPUTED_VALUE"""),"格納済み")</f>
        <v>格納済み</v>
      </c>
      <c r="U651" s="15" t="str">
        <f>IFERROR(__xludf.DUMMYFUNCTION("""COMPUTED_VALUE"""),"©磯野フナ／スクリーモ")</f>
        <v>©磯野フナ／スクリーモ</v>
      </c>
      <c r="V651" s="8" t="str">
        <f>IFERROR(__xludf.DUMMYFUNCTION("""COMPUTED_VALUE"""),"「お前がこの世界で生き残る方法はひとつ…私に愛されることだ」虐待を受けて育った少年・レイ。ある日、海に落ちて目を覚ますと、異世界で奴隷にされていた!?なぜか声を出すこともできず、欠陥品と罵られる始末。そんなレイを買ったのは謎の男・ドレイクだった。馬車馬のようにこき使われる！…と思っていたのに、家族総出で甘やかされまくる毎日。もしかしたら、今度こそ幸せになれるかも…そう思った矢先、レイの体が透けはじめて――！？　※この作品は過去、電子書籍「死にぞこないは愛に啼く１～６巻」に掲載されました。重複購入にご注意下"&amp;"さい。")</f>
        <v>「お前がこの世界で生き残る方法はひとつ…私に愛されることだ」虐待を受けて育った少年・レイ。ある日、海に落ちて目を覚ますと、異世界で奴隷にされていた!?なぜか声を出すこともできず、欠陥品と罵られる始末。そんなレイを買ったのは謎の男・ドレイクだった。馬車馬のようにこき使われる！…と思っていたのに、家族総出で甘やかされまくる毎日。もしかしたら、今度こそ幸せになれるかも…そう思った矢先、レイの体が透けはじめて――！？　※この作品は過去、電子書籍「死にぞこないは愛に啼く１～６巻」に掲載されました。重複購入にご注意下さい。</v>
      </c>
      <c r="W651" s="14"/>
      <c r="X651" s="14" t="str">
        <f>IFERROR(__xludf.DUMMYFUNCTION("""COMPUTED_VALUE"""),"有
")</f>
        <v>有
</v>
      </c>
      <c r="Y651" s="8" t="str">
        <f>IFERROR(__xludf.DUMMYFUNCTION("""COMPUTED_VALUE"""),"10/5まで立ち読み増量P48まで")</f>
        <v>10/5まで立ち読み増量P48まで</v>
      </c>
      <c r="Z651" s="7"/>
      <c r="AA651" s="7"/>
      <c r="AB651" s="7"/>
    </row>
    <row r="652" ht="15.75" customHeight="1">
      <c r="A652" s="26">
        <f>IFERROR(__xludf.DUMMYFUNCTION("""COMPUTED_VALUE"""),2332.0)</f>
        <v>2332</v>
      </c>
      <c r="B652" s="27" t="str">
        <f>IFERROR(__xludf.DUMMYFUNCTION("""COMPUTED_VALUE"""),"確定")</f>
        <v>確定</v>
      </c>
      <c r="C652" s="28">
        <f>IFERROR(__xludf.DUMMYFUNCTION("""COMPUTED_VALUE"""),45167.0)</f>
        <v>45167</v>
      </c>
      <c r="D652" s="28">
        <f>IFERROR(__xludf.DUMMYFUNCTION("""COMPUTED_VALUE"""),45168.0)</f>
        <v>45168</v>
      </c>
      <c r="E652" s="26">
        <f>IFERROR(__xludf.DUMMYFUNCTION("""COMPUTED_VALUE"""),268520.0)</f>
        <v>268520</v>
      </c>
      <c r="F652" s="27" t="str">
        <f>IFERROR(__xludf.DUMMYFUNCTION("""COMPUTED_VALUE"""),"誘惑ミッション")</f>
        <v>誘惑ミッション</v>
      </c>
      <c r="G652" s="20">
        <f>IFERROR(__xludf.DUMMYFUNCTION("""COMPUTED_VALUE"""),1.0)</f>
        <v>1</v>
      </c>
      <c r="H652" s="22" t="str">
        <f>IFERROR(__xludf.DUMMYFUNCTION("""COMPUTED_VALUE"""),"なんのこれしき")</f>
        <v>なんのこれしき</v>
      </c>
      <c r="I652" s="14" t="str">
        <f>IFERROR(__xludf.DUMMYFUNCTION("""COMPUTED_VALUE"""),"BL")</f>
        <v>BL</v>
      </c>
      <c r="J652" s="22"/>
      <c r="K652" s="22"/>
      <c r="L652" s="22" t="str">
        <f>IFERROR(__xludf.DUMMYFUNCTION("""COMPUTED_VALUE"""),"ソルマーレ編集部")</f>
        <v>ソルマーレ編集部</v>
      </c>
      <c r="M652" s="12">
        <f>IFERROR(__xludf.DUMMYFUNCTION("""COMPUTED_VALUE"""),45192.0)</f>
        <v>45192</v>
      </c>
      <c r="N652" s="23">
        <f>IFERROR(__xludf.DUMMYFUNCTION("""COMPUTED_VALUE"""),45253.0)</f>
        <v>45253</v>
      </c>
      <c r="O652" s="20"/>
      <c r="P652" s="32" t="str">
        <f>IFERROR(__xludf.DUMMYFUNCTION("""COMPUTED_VALUE"""),"可")</f>
        <v>可</v>
      </c>
      <c r="Q652" s="30"/>
      <c r="R652" s="27"/>
      <c r="S652" s="22" t="str">
        <f>IFERROR(__xludf.DUMMYFUNCTION("""COMPUTED_VALUE"""),"20230829_ソルマーレ編集部_誘惑ミッション")</f>
        <v>20230829_ソルマーレ編集部_誘惑ミッション</v>
      </c>
      <c r="T652" s="27" t="str">
        <f>IFERROR(__xludf.DUMMYFUNCTION("""COMPUTED_VALUE"""),"格納済み")</f>
        <v>格納済み</v>
      </c>
      <c r="U652" s="15" t="str">
        <f>IFERROR(__xludf.DUMMYFUNCTION("""COMPUTED_VALUE"""),"Ⓒ なんのこれしき/シーモアコミックス")</f>
        <v>Ⓒ なんのこれしき/シーモアコミックス</v>
      </c>
      <c r="V652" s="8" t="str">
        <f>IFERROR(__xludf.DUMMYFUNCTION("""COMPUTED_VALUE"""),"童貞処女のオタクには関係なさそうな病気――そう思っていたけれど!? 人を誘惑するフェロモンが出てしまう『サキュバス症』という謎の病気になってしまった、ゲームエンジニア・蜜村（みつむら）。
ある日、会社の飲み会で潰れてしまった蜜村を送り届けてくれたイケメンディレクター・大多賀（おおたが）が、フェロモンの影響でまさかの欲情!? 「ずいぶんウブな反応しますね…他の男にもそうやって媚びてたんですか？」エッチでかわいい男の子が好きだという大多賀の欲望を発散するため、エッチな格好でご奉仕することにしたけれど…!? "&amp;"爽やかイケメンディレクター×ウブなエンジニアのすれ違いラブコメディ♪【フィカス】")</f>
        <v>童貞処女のオタクには関係なさそうな病気――そう思っていたけれど!? 人を誘惑するフェロモンが出てしまう『サキュバス症』という謎の病気になってしまった、ゲームエンジニア・蜜村（みつむら）。
ある日、会社の飲み会で潰れてしまった蜜村を送り届けてくれたイケメンディレクター・大多賀（おおたが）が、フェロモンの影響でまさかの欲情!? 「ずいぶんウブな反応しますね…他の男にもそうやって媚びてたんですか？」エッチでかわいい男の子が好きだという大多賀の欲望を発散するため、エッチな格好でご奉仕することにしたけれど…!? 爽やかイケメンディレクター×ウブなエンジニアのすれ違いラブコメディ♪【フィカス】</v>
      </c>
      <c r="W652" s="14"/>
      <c r="X652" s="14" t="str">
        <f>IFERROR(__xludf.DUMMYFUNCTION("""COMPUTED_VALUE"""),"有
")</f>
        <v>有
</v>
      </c>
      <c r="Y652" s="8" t="str">
        <f>IFERROR(__xludf.DUMMYFUNCTION("""COMPUTED_VALUE"""),"P11まで")</f>
        <v>P11まで</v>
      </c>
      <c r="Z652" s="7"/>
      <c r="AA652" s="7"/>
      <c r="AB652" s="7"/>
    </row>
    <row r="653" ht="15.75" customHeight="1">
      <c r="A653" s="26">
        <f>IFERROR(__xludf.DUMMYFUNCTION("""COMPUTED_VALUE"""),1931.0)</f>
        <v>1931</v>
      </c>
      <c r="B653" s="31" t="str">
        <f>IFERROR(__xludf.DUMMYFUNCTION("""COMPUTED_VALUE"""),"確定")</f>
        <v>確定</v>
      </c>
      <c r="C653" s="28">
        <f>IFERROR(__xludf.DUMMYFUNCTION("""COMPUTED_VALUE"""),45054.0)</f>
        <v>45054</v>
      </c>
      <c r="D653" s="28">
        <f>IFERROR(__xludf.DUMMYFUNCTION("""COMPUTED_VALUE"""),45174.0)</f>
        <v>45174</v>
      </c>
      <c r="E653" s="31">
        <f>IFERROR(__xludf.DUMMYFUNCTION("""COMPUTED_VALUE"""),277134.0)</f>
        <v>277134</v>
      </c>
      <c r="F653" s="31" t="str">
        <f>IFERROR(__xludf.DUMMYFUNCTION("""COMPUTED_VALUE"""),"【単話版】森で聖女を拾った最強の吸血姫〜娘のためなら国でもあっさり滅ぼします！〜@COMIC")</f>
        <v>【単話版】森で聖女を拾った最強の吸血姫〜娘のためなら国でもあっさり滅ぼします！〜@COMIC</v>
      </c>
      <c r="G653" s="20" t="str">
        <f>IFERROR(__xludf.DUMMYFUNCTION("""COMPUTED_VALUE"""),"1～3")</f>
        <v>1～3</v>
      </c>
      <c r="H653" s="31" t="str">
        <f>IFERROR(__xludf.DUMMYFUNCTION("""COMPUTED_VALUE"""),"sh┴瀧川蓮┴ヨシモト")</f>
        <v>sh┴瀧川蓮┴ヨシモト</v>
      </c>
      <c r="I653" s="31" t="str">
        <f>IFERROR(__xludf.DUMMYFUNCTION("""COMPUTED_VALUE"""),"青年")</f>
        <v>青年</v>
      </c>
      <c r="J653" s="31"/>
      <c r="K653" s="31"/>
      <c r="L653" s="31" t="str">
        <f>IFERROR(__xludf.DUMMYFUNCTION("""COMPUTED_VALUE"""),"TOブックス")</f>
        <v>TOブックス</v>
      </c>
      <c r="M653" s="23">
        <f>IFERROR(__xludf.DUMMYFUNCTION("""COMPUTED_VALUE"""),45200.0)</f>
        <v>45200</v>
      </c>
      <c r="N653" s="23">
        <f>IFERROR(__xludf.DUMMYFUNCTION("""COMPUTED_VALUE"""),45230.0)</f>
        <v>45230</v>
      </c>
      <c r="O653" s="20"/>
      <c r="P653" s="34" t="str">
        <f>IFERROR(__xludf.DUMMYFUNCTION("""COMPUTED_VALUE"""),"可")</f>
        <v>可</v>
      </c>
      <c r="Q653" s="30" t="str">
        <f>IFERROR(__xludf.DUMMYFUNCTION("""COMPUTED_VALUE"""),"初回リリース巻数相談(5/10）&lt;BR&gt;1~3巻初回配信で広告コミットOK(5/22）&lt;BR&gt;")</f>
        <v>初回リリース巻数相談(5/10）&lt;BR&gt;1~3巻初回配信で広告コミットOK(5/22）&lt;BR&gt;</v>
      </c>
      <c r="R653" s="31"/>
      <c r="S653" s="30" t="str">
        <f>IFERROR(__xludf.DUMMYFUNCTION("""COMPUTED_VALUE"""),"20230905_TOブックス_森で聖女を拾った最強の吸血姫")</f>
        <v>20230905_TOブックス_森で聖女を拾った最強の吸血姫</v>
      </c>
      <c r="T653" s="31"/>
      <c r="U653" s="15" t="str">
        <f>IFERROR(__xludf.DUMMYFUNCTION("""COMPUTED_VALUE"""),"(C) sh / Ren Takigawa")</f>
        <v>(C) sh / Ren Takigawa</v>
      </c>
      <c r="V653" s="8" t="str">
        <f>IFERROR(__xludf.DUMMYFUNCTION("""COMPUTED_VALUE"""),"「娘に触れるなら――燃えなさい！」
チートな最強吸血姫が愛ゆえに大暴れ!?　親バカダークファンタジー！
『国陥としの吸血姫』という異名で恐れられる真祖・アンジェリカは、今日もひとつの国を魔法で燃やし尽くした。
その理由とは――
「マ――マ――！」
かわいすぎる娘のためだった!?
森で拾った人間の赤ちゃんを連れ帰り育てるうちに、ぷにぷにお肌や穢れを知らない純粋さにノックアウト。
平気で人殺しをする冷酷さはどこへやらで、デレデレ溺愛ライフを過ごしていた。
そんなある日、実は「聖女」という特"&amp;"別な存在であった娘・パールを狙い、愚かな国王が誘拐計画をしかけてきた。
これには当然怒り心頭！
容赦という言葉を忘れた「ママ」は、どんな残酷な手を使ってでも敵を殲滅する！
チートな最強吸血姫が愛ゆえに大暴れ!?
親バカダークファンタジー！")</f>
        <v>「娘に触れるなら――燃えなさい！」
チートな最強吸血姫が愛ゆえに大暴れ!?　親バカダークファンタジー！
『国陥としの吸血姫』という異名で恐れられる真祖・アンジェリカは、今日もひとつの国を魔法で燃やし尽くした。
その理由とは――
「マ――マ――！」
かわいすぎる娘のためだった!?
森で拾った人間の赤ちゃんを連れ帰り育てるうちに、ぷにぷにお肌や穢れを知らない純粋さにノックアウト。
平気で人殺しをする冷酷さはどこへやらで、デレデレ溺愛ライフを過ごしていた。
そんなある日、実は「聖女」という特別な存在であった娘・パールを狙い、愚かな国王が誘拐計画をしかけてきた。
これには当然怒り心頭！
容赦という言葉を忘れた「ママ」は、どんな残酷な手を使ってでも敵を殲滅する！
チートな最強吸血姫が愛ゆえに大暴れ!?
親バカダークファンタジー！</v>
      </c>
      <c r="W653" s="14"/>
      <c r="X653" s="14" t="str">
        <f>IFERROR(__xludf.DUMMYFUNCTION("""COMPUTED_VALUE"""),"有
")</f>
        <v>有
</v>
      </c>
      <c r="Y653" s="8" t="str">
        <f>IFERROR(__xludf.DUMMYFUNCTION("""COMPUTED_VALUE"""),"P3まで")</f>
        <v>P3まで</v>
      </c>
      <c r="Z653" s="7"/>
      <c r="AA653" s="7"/>
      <c r="AB653" s="7"/>
    </row>
    <row r="654" ht="15.75" customHeight="1">
      <c r="A654" s="26">
        <f>IFERROR(__xludf.DUMMYFUNCTION("""COMPUTED_VALUE"""),2087.0)</f>
        <v>2087</v>
      </c>
      <c r="B654" s="31" t="str">
        <f>IFERROR(__xludf.DUMMYFUNCTION("""COMPUTED_VALUE"""),"確定")</f>
        <v>確定</v>
      </c>
      <c r="C654" s="28">
        <f>IFERROR(__xludf.DUMMYFUNCTION("""COMPUTED_VALUE"""),45099.0)</f>
        <v>45099</v>
      </c>
      <c r="D654" s="28">
        <f>IFERROR(__xludf.DUMMYFUNCTION("""COMPUTED_VALUE"""),45170.0)</f>
        <v>45170</v>
      </c>
      <c r="E654" s="26">
        <f>IFERROR(__xludf.DUMMYFUNCTION("""COMPUTED_VALUE"""),276428.0)</f>
        <v>276428</v>
      </c>
      <c r="F654" s="31" t="str">
        <f>IFERROR(__xludf.DUMMYFUNCTION("""COMPUTED_VALUE"""),"愛しい婚約者が悪女だなんて馬鹿げてる！ ～全てのフラグは俺が折る～【単話】")</f>
        <v>愛しい婚約者が悪女だなんて馬鹿げてる！ ～全てのフラグは俺が折る～【単話】</v>
      </c>
      <c r="G654" s="16" t="str">
        <f>IFERROR(__xludf.DUMMYFUNCTION("""COMPUTED_VALUE"""),"1～3")</f>
        <v>1～3</v>
      </c>
      <c r="H654" s="31" t="str">
        <f>IFERROR(__xludf.DUMMYFUNCTION("""COMPUTED_VALUE"""),"群青こちか,田中麦茶")</f>
        <v>群青こちか,田中麦茶</v>
      </c>
      <c r="I654" s="14" t="str">
        <f>IFERROR(__xludf.DUMMYFUNCTION("""COMPUTED_VALUE"""),"女性")</f>
        <v>女性</v>
      </c>
      <c r="J654" s="31"/>
      <c r="K654" s="31"/>
      <c r="L654" s="31" t="str">
        <f>IFERROR(__xludf.DUMMYFUNCTION("""COMPUTED_VALUE"""),"小学館")</f>
        <v>小学館</v>
      </c>
      <c r="M654" s="23">
        <f>IFERROR(__xludf.DUMMYFUNCTION("""COMPUTED_VALUE"""),45194.0)</f>
        <v>45194</v>
      </c>
      <c r="N654" s="23">
        <f>IFERROR(__xludf.DUMMYFUNCTION("""COMPUTED_VALUE"""),45223.0)</f>
        <v>45223</v>
      </c>
      <c r="O654" s="20"/>
      <c r="P654" s="34" t="str">
        <f>IFERROR(__xludf.DUMMYFUNCTION("""COMPUTED_VALUE"""),"否")</f>
        <v>否</v>
      </c>
      <c r="Q654" s="35" t="str">
        <f>IFERROR(__xludf.DUMMYFUNCTION("""COMPUTED_VALUE"""),"広告コミットOK(6/27)")</f>
        <v>広告コミットOK(6/27)</v>
      </c>
      <c r="R654" s="35">
        <f>IFERROR(__xludf.DUMMYFUNCTION("""COMPUTED_VALUE"""),45169.0)</f>
        <v>45169</v>
      </c>
      <c r="S654" s="31" t="str">
        <f>IFERROR(__xludf.DUMMYFUNCTION("""COMPUTED_VALUE"""),"20230901_小学館_愛しい婚約者が悪女だなんて馬鹿げてる！ ～全てのフラグは俺が折る～【単話】")</f>
        <v>20230901_小学館_愛しい婚約者が悪女だなんて馬鹿げてる！ ～全てのフラグは俺が折る～【単話】</v>
      </c>
      <c r="T654" s="31" t="str">
        <f>IFERROR(__xludf.DUMMYFUNCTION("""COMPUTED_VALUE"""),"こちらの本編ファイルをご利用ください https://www.cmoa.jp/title/276428/")</f>
        <v>こちらの本編ファイルをご利用ください https://www.cmoa.jp/title/276428/</v>
      </c>
      <c r="U654" s="15" t="str">
        <f>IFERROR(__xludf.DUMMYFUNCTION("""COMPUTED_VALUE"""),"(C)群青こちか・STUDIO SEED / 小学館")</f>
        <v>(C)群青こちか・STUDIO SEED / 小学館</v>
      </c>
      <c r="V654" s="8" t="str">
        <f>IFERROR(__xludf.DUMMYFUNCTION("""COMPUTED_VALUE"""),"「婚約解消だ、もう二度と私の前に現れるな！」
結婚式前日、愛するリリアナに向かって叫んだ。彼女がとんでもない悪女だったとは！
私に対する裏切りを、決して許すことなどできない！
……という、夢を見たレイナード・ローデリック公爵。
結婚式はまだ今から三ヶ月後。
そうただの夢、婚約者のリリアナが悪女だなんてありえない。しかし現実の出来事は、夢との一致を見せ始めていき…！
襲いかかる全てのフラグをへし折って、愛しの婚約者と結婚式を迎えることができるのか！？")</f>
        <v>「婚約解消だ、もう二度と私の前に現れるな！」
結婚式前日、愛するリリアナに向かって叫んだ。彼女がとんでもない悪女だったとは！
私に対する裏切りを、決して許すことなどできない！
……という、夢を見たレイナード・ローデリック公爵。
結婚式はまだ今から三ヶ月後。
そうただの夢、婚約者のリリアナが悪女だなんてありえない。しかし現実の出来事は、夢との一致を見せ始めていき…！
襲いかかる全てのフラグをへし折って、愛しの婚約者と結婚式を迎えることができるのか！？</v>
      </c>
      <c r="W654" s="14"/>
      <c r="X654" s="14" t="str">
        <f>IFERROR(__xludf.DUMMYFUNCTION("""COMPUTED_VALUE"""),"有
")</f>
        <v>有
</v>
      </c>
      <c r="Y654" s="8" t="str">
        <f>IFERROR(__xludf.DUMMYFUNCTION("""COMPUTED_VALUE"""),"1巻無料")</f>
        <v>1巻無料</v>
      </c>
      <c r="Z654" s="7"/>
      <c r="AA654" s="7"/>
      <c r="AB654" s="7"/>
    </row>
    <row r="655" ht="15.75" customHeight="1">
      <c r="A655" s="26">
        <f>IFERROR(__xludf.DUMMYFUNCTION("""COMPUTED_VALUE"""),2118.0)</f>
        <v>2118</v>
      </c>
      <c r="B655" s="31" t="str">
        <f>IFERROR(__xludf.DUMMYFUNCTION("""COMPUTED_VALUE"""),"確定")</f>
        <v>確定</v>
      </c>
      <c r="C655" s="28">
        <f>IFERROR(__xludf.DUMMYFUNCTION("""COMPUTED_VALUE"""),45107.0)</f>
        <v>45107</v>
      </c>
      <c r="D655" s="28">
        <f>IFERROR(__xludf.DUMMYFUNCTION("""COMPUTED_VALUE"""),45174.0)</f>
        <v>45174</v>
      </c>
      <c r="E655" s="31">
        <f>IFERROR(__xludf.DUMMYFUNCTION("""COMPUTED_VALUE"""),277077.0)</f>
        <v>277077</v>
      </c>
      <c r="F655" s="31" t="str">
        <f>IFERROR(__xludf.DUMMYFUNCTION("""COMPUTED_VALUE"""),"密心")</f>
        <v>密心</v>
      </c>
      <c r="G655" s="20" t="str">
        <f>IFERROR(__xludf.DUMMYFUNCTION("""COMPUTED_VALUE"""),"1~3")</f>
        <v>1~3</v>
      </c>
      <c r="H655" s="31" t="str">
        <f>IFERROR(__xludf.DUMMYFUNCTION("""COMPUTED_VALUE"""),"中込いくさ")</f>
        <v>中込いくさ</v>
      </c>
      <c r="I655" s="31" t="str">
        <f>IFERROR(__xludf.DUMMYFUNCTION("""COMPUTED_VALUE"""),"BL")</f>
        <v>BL</v>
      </c>
      <c r="J655" s="31"/>
      <c r="K655" s="31"/>
      <c r="L655" s="31" t="str">
        <f>IFERROR(__xludf.DUMMYFUNCTION("""COMPUTED_VALUE"""),"CLLENN")</f>
        <v>CLLENN</v>
      </c>
      <c r="M655" s="23">
        <f>IFERROR(__xludf.DUMMYFUNCTION("""COMPUTED_VALUE"""),45199.0)</f>
        <v>45199</v>
      </c>
      <c r="N655" s="23">
        <f>IFERROR(__xludf.DUMMYFUNCTION("""COMPUTED_VALUE"""),45261.0)</f>
        <v>45261</v>
      </c>
      <c r="O655" s="20"/>
      <c r="P655" s="34" t="str">
        <f>IFERROR(__xludf.DUMMYFUNCTION("""COMPUTED_VALUE"""),"可")</f>
        <v>可</v>
      </c>
      <c r="Q655" s="31" t="str">
        <f>IFERROR(__xludf.DUMMYFUNCTION("""COMPUTED_VALUE"""),"広告コミットOK(7/7)&lt;BR&gt;")</f>
        <v>広告コミットOK(7/7)&lt;BR&gt;</v>
      </c>
      <c r="R655" s="31" t="str">
        <f>IFERROR(__xludf.DUMMYFUNCTION("""COMPUTED_VALUE"""),"格納済（9/5)")</f>
        <v>格納済（9/5)</v>
      </c>
      <c r="S655" s="31" t="str">
        <f>IFERROR(__xludf.DUMMYFUNCTION("""COMPUTED_VALUE"""),"20230905_CLLENN_密心")</f>
        <v>20230905_CLLENN_密心</v>
      </c>
      <c r="T655" s="31" t="str">
        <f>IFERROR(__xludf.DUMMYFUNCTION("""COMPUTED_VALUE"""),"格納済み")</f>
        <v>格納済み</v>
      </c>
      <c r="U655" s="15" t="str">
        <f>IFERROR(__xludf.DUMMYFUNCTION("""COMPUTED_VALUE"""),"ⓒ中込いくさ/CLLENN")</f>
        <v>ⓒ中込いくさ/CLLENN</v>
      </c>
      <c r="V655" s="8" t="str">
        <f>IFERROR(__xludf.DUMMYFUNCTION("""COMPUTED_VALUE"""),"「なぁ、俺に教えて？　カメラも、あんたのことも、全部…」相手は年下で、男で。なのにその指、唇、舌――与えられる愛撫でこんなにも体が熱くなる…！とある広告撮影のカメラマンに日向 稔(ひなた みのり)を指名してきたのは、若手トップモデルの藤咲 リウ(ふじさき りう)だった。リウの不遜な態度に初めは思うところがあった稔だったけど、“セックスの時の素肌に映えるジュエリー”のコンセプトで撮影を進めるうちに、その美しい瞳と引き締まった体に、あっという間に魅了されてしまう。ところがその撮影最中に、壮絶な色気を放つリウに"&amp;"押し倒されて！？　乳首へのいやらしい愛撫やねっとりとした口づけに、稔は…。執着強めな若手モデル×実力派の人気カメラマン。ファインダー越しに秘めた想いがあふれ出す――。")</f>
        <v>「なぁ、俺に教えて？　カメラも、あんたのことも、全部…」相手は年下で、男で。なのにその指、唇、舌――与えられる愛撫でこんなにも体が熱くなる…！とある広告撮影のカメラマンに日向 稔(ひなた みのり)を指名してきたのは、若手トップモデルの藤咲 リウ(ふじさき りう)だった。リウの不遜な態度に初めは思うところがあった稔だったけど、“セックスの時の素肌に映えるジュエリー”のコンセプトで撮影を進めるうちに、その美しい瞳と引き締まった体に、あっという間に魅了されてしまう。ところがその撮影最中に、壮絶な色気を放つリウに押し倒されて！？　乳首へのいやらしい愛撫やねっとりとした口づけに、稔は…。執着強めな若手モデル×実力派の人気カメラマン。ファインダー越しに秘めた想いがあふれ出す――。</v>
      </c>
      <c r="W655" s="14"/>
      <c r="X655" s="14" t="str">
        <f>IFERROR(__xludf.DUMMYFUNCTION("""COMPUTED_VALUE"""),"有
")</f>
        <v>有
</v>
      </c>
      <c r="Y655" s="8" t="str">
        <f>IFERROR(__xludf.DUMMYFUNCTION("""COMPUTED_VALUE"""),"10/13まで1巻無料")</f>
        <v>10/13まで1巻無料</v>
      </c>
      <c r="Z655" s="7"/>
      <c r="AA655" s="7"/>
      <c r="AB655" s="7"/>
    </row>
    <row r="656" ht="104.25" customHeight="1">
      <c r="A656" s="26">
        <f>IFERROR(__xludf.DUMMYFUNCTION("""COMPUTED_VALUE"""),2176.0)</f>
        <v>2176</v>
      </c>
      <c r="B656" s="31" t="str">
        <f>IFERROR(__xludf.DUMMYFUNCTION("""COMPUTED_VALUE"""),"確定")</f>
        <v>確定</v>
      </c>
      <c r="C656" s="28">
        <f>IFERROR(__xludf.DUMMYFUNCTION("""COMPUTED_VALUE"""),45121.0)</f>
        <v>45121</v>
      </c>
      <c r="D656" s="28">
        <f>IFERROR(__xludf.DUMMYFUNCTION("""COMPUTED_VALUE"""),45175.0)</f>
        <v>45175</v>
      </c>
      <c r="E656" s="31">
        <f>IFERROR(__xludf.DUMMYFUNCTION("""COMPUTED_VALUE"""),277788.0)</f>
        <v>277788</v>
      </c>
      <c r="F656" s="31" t="str">
        <f>IFERROR(__xludf.DUMMYFUNCTION("""COMPUTED_VALUE"""),"リックス・ヴァヌス【タテヨミ】")</f>
        <v>リックス・ヴァヌス【タテヨミ】</v>
      </c>
      <c r="G656" s="20" t="str">
        <f>IFERROR(__xludf.DUMMYFUNCTION("""COMPUTED_VALUE"""),"1~50")</f>
        <v>1~50</v>
      </c>
      <c r="H656" s="31" t="str">
        <f>IFERROR(__xludf.DUMMYFUNCTION("""COMPUTED_VALUE"""),"CS")</f>
        <v>CS</v>
      </c>
      <c r="I656" s="31" t="str">
        <f>IFERROR(__xludf.DUMMYFUNCTION("""COMPUTED_VALUE"""),"BL")</f>
        <v>BL</v>
      </c>
      <c r="J656" s="31"/>
      <c r="K656" s="31"/>
      <c r="L656" s="31" t="str">
        <f>IFERROR(__xludf.DUMMYFUNCTION("""COMPUTED_VALUE"""),"レジンエンターテインメント")</f>
        <v>レジンエンターテインメント</v>
      </c>
      <c r="M656" s="23">
        <f>IFERROR(__xludf.DUMMYFUNCTION("""COMPUTED_VALUE"""),45212.0)</f>
        <v>45212</v>
      </c>
      <c r="N656" s="23">
        <f>IFERROR(__xludf.DUMMYFUNCTION("""COMPUTED_VALUE"""),45243.0)</f>
        <v>45243</v>
      </c>
      <c r="O656" s="20"/>
      <c r="P656" s="32" t="str">
        <f>IFERROR(__xludf.DUMMYFUNCTION("""COMPUTED_VALUE"""),"可")</f>
        <v>可</v>
      </c>
      <c r="Q656" s="30"/>
      <c r="R656" s="31"/>
      <c r="S656" s="31" t="str">
        <f>IFERROR(__xludf.DUMMYFUNCTION("""COMPUTED_VALUE"""),"20230714_レジンエンターテインメント_リックス・ヴァヌス")</f>
        <v>20230714_レジンエンターテインメント_リックス・ヴァヌス</v>
      </c>
      <c r="T656" s="31" t="str">
        <f>IFERROR(__xludf.DUMMYFUNCTION("""COMPUTED_VALUE"""),"格納済み")</f>
        <v>格納済み</v>
      </c>
      <c r="U656" s="15" t="str">
        <f>IFERROR(__xludf.DUMMYFUNCTION("""COMPUTED_VALUE"""),"ⓒCS / Kidari Studio, Inc.")</f>
        <v>ⓒCS / Kidari Studio, Inc.</v>
      </c>
      <c r="V656" s="8" t="str">
        <f>IFERROR(__xludf.DUMMYFUNCTION("""COMPUTED_VALUE"""),"#ワンコ攻め#筋肉攻め#美人攻め#優しい攻め 魔王を殺した対価として呪いにかかってしまったジェルマン国の三皇子、リックス・ヴァヌス。彼は呪いのせいで性欲を抑えきれなくなり、毎晩苦しみを耐える生活を送っていた…。しかし、そんな彼の前に光り輝く白いオオカミが現れ…？ ｢僕が助けてあげるよ！｣")</f>
        <v>#ワンコ攻め#筋肉攻め#美人攻め#優しい攻め 魔王を殺した対価として呪いにかかってしまったジェルマン国の三皇子、リックス・ヴァヌス。彼は呪いのせいで性欲を抑えきれなくなり、毎晩苦しみを耐える生活を送っていた…。しかし、そんな彼の前に光り輝く白いオオカミが現れ…？ ｢僕が助けてあげるよ！｣</v>
      </c>
      <c r="W656" s="14"/>
      <c r="X656" s="14" t="str">
        <f>IFERROR(__xludf.DUMMYFUNCTION("""COMPUTED_VALUE"""),"有
")</f>
        <v>有
</v>
      </c>
      <c r="Y656" s="8" t="str">
        <f>IFERROR(__xludf.DUMMYFUNCTION("""COMPUTED_VALUE"""),"10/26まで1~8巻無料")</f>
        <v>10/26まで1~8巻無料</v>
      </c>
      <c r="Z656" s="7"/>
      <c r="AA656" s="7"/>
      <c r="AB656" s="7"/>
    </row>
    <row r="657" ht="15.75" customHeight="1">
      <c r="A657" s="26">
        <f>IFERROR(__xludf.DUMMYFUNCTION("""COMPUTED_VALUE"""),2253.0)</f>
        <v>2253</v>
      </c>
      <c r="B657" s="31" t="str">
        <f>IFERROR(__xludf.DUMMYFUNCTION("""COMPUTED_VALUE"""),"確定")</f>
        <v>確定</v>
      </c>
      <c r="C657" s="28">
        <f>IFERROR(__xludf.DUMMYFUNCTION("""COMPUTED_VALUE"""),45140.0)</f>
        <v>45140</v>
      </c>
      <c r="D657" s="28">
        <f>IFERROR(__xludf.DUMMYFUNCTION("""COMPUTED_VALUE"""),45175.0)</f>
        <v>45175</v>
      </c>
      <c r="E657" s="31">
        <f>IFERROR(__xludf.DUMMYFUNCTION("""COMPUTED_VALUE"""),276127.0)</f>
        <v>276127</v>
      </c>
      <c r="F657" s="31" t="str">
        <f>IFERROR(__xludf.DUMMYFUNCTION("""COMPUTED_VALUE"""),"この恋は演技ですか！？～偽装結婚から始まるふたり～")</f>
        <v>この恋は演技ですか！？～偽装結婚から始まるふたり～</v>
      </c>
      <c r="G657" s="20" t="str">
        <f>IFERROR(__xludf.DUMMYFUNCTION("""COMPUTED_VALUE"""),"1～3")</f>
        <v>1～3</v>
      </c>
      <c r="H657" s="31" t="str">
        <f>IFERROR(__xludf.DUMMYFUNCTION("""COMPUTED_VALUE"""),"きたじまどか")</f>
        <v>きたじまどか</v>
      </c>
      <c r="I657" s="14" t="str">
        <f>IFERROR(__xludf.DUMMYFUNCTION("""COMPUTED_VALUE"""),"女性")</f>
        <v>女性</v>
      </c>
      <c r="J657" s="31"/>
      <c r="K657" s="31"/>
      <c r="L657" s="31" t="str">
        <f>IFERROR(__xludf.DUMMYFUNCTION("""COMPUTED_VALUE"""),"祥伝社")</f>
        <v>祥伝社</v>
      </c>
      <c r="M657" s="23">
        <f>IFERROR(__xludf.DUMMYFUNCTION("""COMPUTED_VALUE"""),45364.0)</f>
        <v>45364</v>
      </c>
      <c r="N657" s="23">
        <f>IFERROR(__xludf.DUMMYFUNCTION("""COMPUTED_VALUE"""),44999.0)</f>
        <v>44999</v>
      </c>
      <c r="O657" s="20"/>
      <c r="P657" s="34" t="str">
        <f>IFERROR(__xludf.DUMMYFUNCTION("""COMPUTED_VALUE"""),"否")</f>
        <v>否</v>
      </c>
      <c r="Q657" s="30" t="str">
        <f>IFERROR(__xludf.DUMMYFUNCTION("""COMPUTED_VALUE"""),"広告コミットOK(8/8)")</f>
        <v>広告コミットOK(8/8)</v>
      </c>
      <c r="R657" s="31"/>
      <c r="S657" s="31" t="str">
        <f>IFERROR(__xludf.DUMMYFUNCTION("""COMPUTED_VALUE"""),"20230904_祥伝社_この恋は演技ですか！？～偽装結婚から始まるふたり～")</f>
        <v>20230904_祥伝社_この恋は演技ですか！？～偽装結婚から始まるふたり～</v>
      </c>
      <c r="T657" s="31" t="str">
        <f>IFERROR(__xludf.DUMMYFUNCTION("""COMPUTED_VALUE"""),"格納済み")</f>
        <v>格納済み</v>
      </c>
      <c r="U657" s="15" t="str">
        <f>IFERROR(__xludf.DUMMYFUNCTION("""COMPUTED_VALUE"""),"（C）きたじまどか/祥伝社")</f>
        <v>（C）きたじまどか/祥伝社</v>
      </c>
      <c r="V657" s="8" t="str">
        <f>IFERROR(__xludf.DUMMYFUNCTION("""COMPUTED_VALUE"""),"「あんた俺と結婚しない？」人気若手俳優の玲生（レオ）と一般人の私が結婚することになるなんて!!?両親を早くから亡くしてひとりで実家の喫茶店を切り盛りしている猫田りこ。一生懸命お店を再建しようとするがなかなか上手くいかない。いよいよお金も底をつき閉店を覚悟していた。そんな時に、店の借金を肩代わりしてくれるとの提案が舞い込んだ。その交換条件がまさか『偽装結婚』だったとは！？")</f>
        <v>「あんた俺と結婚しない？」人気若手俳優の玲生（レオ）と一般人の私が結婚することになるなんて!!?両親を早くから亡くしてひとりで実家の喫茶店を切り盛りしている猫田りこ。一生懸命お店を再建しようとするがなかなか上手くいかない。いよいよお金も底をつき閉店を覚悟していた。そんな時に、店の借金を肩代わりしてくれるとの提案が舞い込んだ。その交換条件がまさか『偽装結婚』だったとは！？</v>
      </c>
      <c r="W657" s="14"/>
      <c r="X657" s="14" t="str">
        <f>IFERROR(__xludf.DUMMYFUNCTION("""COMPUTED_VALUE"""),"有
")</f>
        <v>有
</v>
      </c>
      <c r="Y657" s="8" t="str">
        <f>IFERROR(__xludf.DUMMYFUNCTION("""COMPUTED_VALUE"""),"P14まで")</f>
        <v>P14まで</v>
      </c>
      <c r="Z657" s="7"/>
      <c r="AA657" s="7"/>
      <c r="AB657" s="7"/>
    </row>
    <row r="658" ht="15.75" customHeight="1">
      <c r="A658" s="26">
        <f>IFERROR(__xludf.DUMMYFUNCTION("""COMPUTED_VALUE"""),2255.0)</f>
        <v>2255</v>
      </c>
      <c r="B658" s="31" t="str">
        <f>IFERROR(__xludf.DUMMYFUNCTION("""COMPUTED_VALUE"""),"確定")</f>
        <v>確定</v>
      </c>
      <c r="C658" s="28">
        <f>IFERROR(__xludf.DUMMYFUNCTION("""COMPUTED_VALUE"""),45140.0)</f>
        <v>45140</v>
      </c>
      <c r="D658" s="28">
        <f>IFERROR(__xludf.DUMMYFUNCTION("""COMPUTED_VALUE"""),45175.0)</f>
        <v>45175</v>
      </c>
      <c r="E658" s="31">
        <f>IFERROR(__xludf.DUMMYFUNCTION("""COMPUTED_VALUE"""),276128.0)</f>
        <v>276128</v>
      </c>
      <c r="F658" s="31" t="str">
        <f>IFERROR(__xludf.DUMMYFUNCTION("""COMPUTED_VALUE"""),"推すも推さぬも愛おし【単話】")</f>
        <v>推すも推さぬも愛おし【単話】</v>
      </c>
      <c r="G658" s="16" t="str">
        <f>IFERROR(__xludf.DUMMYFUNCTION("""COMPUTED_VALUE"""),"1～3")</f>
        <v>1～3</v>
      </c>
      <c r="H658" s="31" t="str">
        <f>IFERROR(__xludf.DUMMYFUNCTION("""COMPUTED_VALUE"""),"川嶋すず")</f>
        <v>川嶋すず</v>
      </c>
      <c r="I658" s="14" t="str">
        <f>IFERROR(__xludf.DUMMYFUNCTION("""COMPUTED_VALUE"""),"女性")</f>
        <v>女性</v>
      </c>
      <c r="J658" s="31"/>
      <c r="K658" s="31"/>
      <c r="L658" s="31" t="str">
        <f>IFERROR(__xludf.DUMMYFUNCTION("""COMPUTED_VALUE"""),"祥伝社")</f>
        <v>祥伝社</v>
      </c>
      <c r="M658" s="23">
        <f>IFERROR(__xludf.DUMMYFUNCTION("""COMPUTED_VALUE"""),45212.0)</f>
        <v>45212</v>
      </c>
      <c r="N658" s="23">
        <f>IFERROR(__xludf.DUMMYFUNCTION("""COMPUTED_VALUE"""),45246.0)</f>
        <v>45246</v>
      </c>
      <c r="O658" s="20"/>
      <c r="P658" s="34" t="str">
        <f>IFERROR(__xludf.DUMMYFUNCTION("""COMPUTED_VALUE"""),"否")</f>
        <v>否</v>
      </c>
      <c r="Q658" s="30" t="str">
        <f>IFERROR(__xludf.DUMMYFUNCTION("""COMPUTED_VALUE"""),"広告コミットOK(8/8)")</f>
        <v>広告コミットOK(8/8)</v>
      </c>
      <c r="R658" s="31"/>
      <c r="S658" s="31" t="str">
        <f>IFERROR(__xludf.DUMMYFUNCTION("""COMPUTED_VALUE"""),"20230904_祥伝社_推すも推さぬも愛おし")</f>
        <v>20230904_祥伝社_推すも推さぬも愛おし</v>
      </c>
      <c r="T658" s="31" t="str">
        <f>IFERROR(__xludf.DUMMYFUNCTION("""COMPUTED_VALUE"""),"格納済み")</f>
        <v>格納済み</v>
      </c>
      <c r="U658" s="15" t="str">
        <f>IFERROR(__xludf.DUMMYFUNCTION("""COMPUTED_VALUE"""),"（C）川嶋すず/祥伝社")</f>
        <v>（C）川嶋すず/祥伝社</v>
      </c>
      <c r="V658" s="8" t="str">
        <f>IFERROR(__xludf.DUMMYFUNCTION("""COMPUTED_VALUE"""),"推し活×年の差×共同生活＝楽しい♪♪
『推し活』原因で同棲解消されてしまった本多星乃。不幸は続き、派遣先では契約打ち切りなり、帰る家も同棲する予定だったので解約済みで無い！仕事も恋愛も家もすべて失ってしまった。トイレで落ち込んでいると、掃除？のおばちゃんが手を差し伸べてくれて！？実は彼女の正体は掃除のおばちゃんではなく、〇〇だったとは…！？")</f>
        <v>推し活×年の差×共同生活＝楽しい♪♪
『推し活』原因で同棲解消されてしまった本多星乃。不幸は続き、派遣先では契約打ち切りなり、帰る家も同棲する予定だったので解約済みで無い！仕事も恋愛も家もすべて失ってしまった。トイレで落ち込んでいると、掃除？のおばちゃんが手を差し伸べてくれて！？実は彼女の正体は掃除のおばちゃんではなく、〇〇だったとは…！？</v>
      </c>
      <c r="W658" s="14"/>
      <c r="X658" s="14" t="str">
        <f>IFERROR(__xludf.DUMMYFUNCTION("""COMPUTED_VALUE"""),"有
")</f>
        <v>有
</v>
      </c>
      <c r="Y658" s="8" t="str">
        <f>IFERROR(__xludf.DUMMYFUNCTION("""COMPUTED_VALUE"""),"11/16まで1巻無料")</f>
        <v>11/16まで1巻無料</v>
      </c>
      <c r="Z658" s="7"/>
      <c r="AA658" s="7"/>
      <c r="AB658" s="7"/>
    </row>
    <row r="659" ht="15.75" customHeight="1">
      <c r="A659" s="26">
        <f>IFERROR(__xludf.DUMMYFUNCTION("""COMPUTED_VALUE"""),2284.0)</f>
        <v>2284</v>
      </c>
      <c r="B659" s="31" t="str">
        <f>IFERROR(__xludf.DUMMYFUNCTION("""COMPUTED_VALUE"""),"確定")</f>
        <v>確定</v>
      </c>
      <c r="C659" s="28">
        <f>IFERROR(__xludf.DUMMYFUNCTION("""COMPUTED_VALUE"""),45154.0)</f>
        <v>45154</v>
      </c>
      <c r="D659" s="28">
        <f>IFERROR(__xludf.DUMMYFUNCTION("""COMPUTED_VALUE"""),45175.0)</f>
        <v>45175</v>
      </c>
      <c r="E659" s="31">
        <f>IFERROR(__xludf.DUMMYFUNCTION("""COMPUTED_VALUE"""),276443.0)</f>
        <v>276443</v>
      </c>
      <c r="F659" s="31" t="str">
        <f>IFERROR(__xludf.DUMMYFUNCTION("""COMPUTED_VALUE"""),"大正の花嫁～夫婦から恋をはじめます～")</f>
        <v>大正の花嫁～夫婦から恋をはじめます～</v>
      </c>
      <c r="G659" s="20" t="str">
        <f>IFERROR(__xludf.DUMMYFUNCTION("""COMPUTED_VALUE"""),"1~6")</f>
        <v>1~6</v>
      </c>
      <c r="H659" s="31" t="str">
        <f>IFERROR(__xludf.DUMMYFUNCTION("""COMPUTED_VALUE"""),"篠ヒロフミ")</f>
        <v>篠ヒロフミ</v>
      </c>
      <c r="I659" s="31" t="str">
        <f>IFERROR(__xludf.DUMMYFUNCTION("""COMPUTED_VALUE"""),"女性")</f>
        <v>女性</v>
      </c>
      <c r="J659" s="31"/>
      <c r="K659" s="31"/>
      <c r="L659" s="31" t="str">
        <f>IFERROR(__xludf.DUMMYFUNCTION("""COMPUTED_VALUE"""),"ライブコミックス")</f>
        <v>ライブコミックス</v>
      </c>
      <c r="M659" s="23">
        <f>IFERROR(__xludf.DUMMYFUNCTION("""COMPUTED_VALUE"""),45184.0)</f>
        <v>45184</v>
      </c>
      <c r="N659" s="23">
        <f>IFERROR(__xludf.DUMMYFUNCTION("""COMPUTED_VALUE"""),45190.0)</f>
        <v>45190</v>
      </c>
      <c r="O659" s="20"/>
      <c r="P659" s="34" t="str">
        <f>IFERROR(__xludf.DUMMYFUNCTION("""COMPUTED_VALUE"""),"可")</f>
        <v>可</v>
      </c>
      <c r="Q659" s="30" t="str">
        <f>IFERROR(__xludf.DUMMYFUNCTION("""COMPUTED_VALUE"""),"コミット不可")</f>
        <v>コミット不可</v>
      </c>
      <c r="R659" s="31"/>
      <c r="S659" s="31" t="str">
        <f>IFERROR(__xludf.DUMMYFUNCTION("""COMPUTED_VALUE"""),"20230816_Booklive_大正の花嫁～夫婦から恋をはじめます～")</f>
        <v>20230816_Booklive_大正の花嫁～夫婦から恋をはじめます～</v>
      </c>
      <c r="T659" s="31" t="str">
        <f>IFERROR(__xludf.DUMMYFUNCTION("""COMPUTED_VALUE"""),"格納済み")</f>
        <v>格納済み</v>
      </c>
      <c r="U659" s="15" t="str">
        <f>IFERROR(__xludf.DUMMYFUNCTION("""COMPUTED_VALUE"""),"(C)篠ヒロフミ/ライブコミックス")</f>
        <v>(C)篠ヒロフミ/ライブコミックス</v>
      </c>
      <c r="V659" s="8" t="str">
        <f>IFERROR(__xludf.DUMMYFUNCTION("""COMPUTED_VALUE"""),"「愛の意味も知らぬまま、鬼と呼ばれるこの方に、今日嫁ぐ」不義の娘として産まれた藤原雪（ふじわらせつ）は、家族から虐げられる日々を送っていた。ある日雪の元へ、鬼のように怖いと噂される元軍人・柊宗一郎（ひいらぎそういちろう）との縁談が舞い込んでくる。「起きて働いて寝て…ただその繰り返し」と自分に言い聞かせながら、柊家に嫁ぐ雪だが、宗一郎は噂とは少し違った顔を持つ人で……？　結婚から恋がはじまる、大正×溺愛×シンデレララブストーリー！")</f>
        <v>「愛の意味も知らぬまま、鬼と呼ばれるこの方に、今日嫁ぐ」不義の娘として産まれた藤原雪（ふじわらせつ）は、家族から虐げられる日々を送っていた。ある日雪の元へ、鬼のように怖いと噂される元軍人・柊宗一郎（ひいらぎそういちろう）との縁談が舞い込んでくる。「起きて働いて寝て…ただその繰り返し」と自分に言い聞かせながら、柊家に嫁ぐ雪だが、宗一郎は噂とは少し違った顔を持つ人で……？　結婚から恋がはじまる、大正×溺愛×シンデレララブストーリー！</v>
      </c>
      <c r="W659" s="14"/>
      <c r="X659" s="14" t="str">
        <f>IFERROR(__xludf.DUMMYFUNCTION("""COMPUTED_VALUE"""),"有
")</f>
        <v>有
</v>
      </c>
      <c r="Y659" s="8" t="str">
        <f>IFERROR(__xludf.DUMMYFUNCTION("""COMPUTED_VALUE"""),"9/21まで1巻無料")</f>
        <v>9/21まで1巻無料</v>
      </c>
      <c r="Z659" s="7"/>
      <c r="AA659" s="7"/>
      <c r="AB659" s="7"/>
    </row>
    <row r="660" ht="15.75" customHeight="1">
      <c r="A660" s="26">
        <f>IFERROR(__xludf.DUMMYFUNCTION("""COMPUTED_VALUE"""),2285.0)</f>
        <v>2285</v>
      </c>
      <c r="B660" s="31" t="str">
        <f>IFERROR(__xludf.DUMMYFUNCTION("""COMPUTED_VALUE"""),"確定")</f>
        <v>確定</v>
      </c>
      <c r="C660" s="28">
        <f>IFERROR(__xludf.DUMMYFUNCTION("""COMPUTED_VALUE"""),45154.0)</f>
        <v>45154</v>
      </c>
      <c r="D660" s="28">
        <f>IFERROR(__xludf.DUMMYFUNCTION("""COMPUTED_VALUE"""),45175.0)</f>
        <v>45175</v>
      </c>
      <c r="E660" s="31">
        <f>IFERROR(__xludf.DUMMYFUNCTION("""COMPUTED_VALUE"""),277150.0)</f>
        <v>277150</v>
      </c>
      <c r="F660" s="31" t="str">
        <f>IFERROR(__xludf.DUMMYFUNCTION("""COMPUTED_VALUE"""),"【単話版】昨日まで名前も呼んでくれなかった公爵様が、急に溺愛してくるのですが？@COMIC")</f>
        <v>【単話版】昨日まで名前も呼んでくれなかった公爵様が、急に溺愛してくるのですが？@COMIC</v>
      </c>
      <c r="G660" s="20" t="str">
        <f>IFERROR(__xludf.DUMMYFUNCTION("""COMPUTED_VALUE"""),"1～3")</f>
        <v>1～3</v>
      </c>
      <c r="H660" s="31" t="str">
        <f>IFERROR(__xludf.DUMMYFUNCTION("""COMPUTED_VALUE"""),"風見まつり、三月叶姫")</f>
        <v>風見まつり、三月叶姫</v>
      </c>
      <c r="I660" s="14" t="str">
        <f>IFERROR(__xludf.DUMMYFUNCTION("""COMPUTED_VALUE"""),"少女")</f>
        <v>少女</v>
      </c>
      <c r="J660" s="31"/>
      <c r="K660" s="31"/>
      <c r="L660" s="31" t="str">
        <f>IFERROR(__xludf.DUMMYFUNCTION("""COMPUTED_VALUE"""),"TOブックス")</f>
        <v>TOブックス</v>
      </c>
      <c r="M660" s="23">
        <f>IFERROR(__xludf.DUMMYFUNCTION("""COMPUTED_VALUE"""),45200.0)</f>
        <v>45200</v>
      </c>
      <c r="N660" s="23">
        <f>IFERROR(__xludf.DUMMYFUNCTION("""COMPUTED_VALUE"""),45291.0)</f>
        <v>45291</v>
      </c>
      <c r="O660" s="20"/>
      <c r="P660" s="34" t="str">
        <f>IFERROR(__xludf.DUMMYFUNCTION("""COMPUTED_VALUE"""),"可")</f>
        <v>可</v>
      </c>
      <c r="Q660" s="30" t="str">
        <f>IFERROR(__xludf.DUMMYFUNCTION("""COMPUTED_VALUE"""),"広告コミットOK(8/18)")</f>
        <v>広告コミットOK(8/18)</v>
      </c>
      <c r="R660" s="31"/>
      <c r="S660" s="31" t="str">
        <f>IFERROR(__xludf.DUMMYFUNCTION("""COMPUTED_VALUE"""),"20230905_TOブックス_昨日まで名前も呼んでくれなかった公爵様")</f>
        <v>20230905_TOブックス_昨日まで名前も呼んでくれなかった公爵様</v>
      </c>
      <c r="T660" s="31" t="str">
        <f>IFERROR(__xludf.DUMMYFUNCTION("""COMPUTED_VALUE"""),"格納済み")</f>
        <v>格納済み</v>
      </c>
      <c r="U660" s="15" t="str">
        <f>IFERROR(__xludf.DUMMYFUNCTION("""COMPUTED_VALUE"""),"(C) Matsuri Kazami / Kanahime Mitsuki")</f>
        <v>(C) Matsuri Kazami / Kanahime Mitsuki</v>
      </c>
      <c r="V660" s="8" t="str">
        <f>IFERROR(__xludf.DUMMYFUNCTION("""COMPUTED_VALUE"""),"「もう一度奇跡が起こるなら――
僕が必ず君を幸せにしてみせる」
死に戻りで愛を見つけた冷血公爵×不遇なおっとり女神令嬢による、やり直し溺愛ファンタジー！
「どうしてこんなに愛してくれるの……？」
マリエーヌを悩ませるのは、冷徹無慈悲な夫・アレクシア公爵の変貌だ。
屋敷に閉じ込められた孤独な結婚生活だったのに、突然もう一度プロポーズされ、“僕の女神”と溺愛してきたのだ！
毎日のように宝石まみれの花束を贈られ、恋愛小説の胸キュンテクニックで口説かれ。
不器用で真っ直ぐな愛の言葉に、凍えた心が"&amp;"癒えていく。
だけど――こんなにも愛されている理由が分からない。
仮初の人格が現れたのか？　何がきっかけで、心を入れ替えたのか……？
「もう一度奇跡が起こるなら――僕が必ず君を幸せにしてみせる」
死に戻りで愛を見つけた冷血公爵×不遇なおっとり女神令嬢による、やり直し溺愛ファンタジー開幕！")</f>
        <v>「もう一度奇跡が起こるなら――
僕が必ず君を幸せにしてみせる」
死に戻りで愛を見つけた冷血公爵×不遇なおっとり女神令嬢による、やり直し溺愛ファンタジー！
「どうしてこんなに愛してくれるの……？」
マリエーヌを悩ませるのは、冷徹無慈悲な夫・アレクシア公爵の変貌だ。
屋敷に閉じ込められた孤独な結婚生活だったのに、突然もう一度プロポーズされ、“僕の女神”と溺愛してきたのだ！
毎日のように宝石まみれの花束を贈られ、恋愛小説の胸キュンテクニックで口説かれ。
不器用で真っ直ぐな愛の言葉に、凍えた心が癒えていく。
だけど――こんなにも愛されている理由が分からない。
仮初の人格が現れたのか？　何がきっかけで、心を入れ替えたのか……？
「もう一度奇跡が起こるなら――僕が必ず君を幸せにしてみせる」
死に戻りで愛を見つけた冷血公爵×不遇なおっとり女神令嬢による、やり直し溺愛ファンタジー開幕！</v>
      </c>
      <c r="W660" s="14"/>
      <c r="X660" s="14" t="str">
        <f>IFERROR(__xludf.DUMMYFUNCTION("""COMPUTED_VALUE"""),"有
")</f>
        <v>有
</v>
      </c>
      <c r="Y660" s="8" t="str">
        <f>IFERROR(__xludf.DUMMYFUNCTION("""COMPUTED_VALUE"""),"P11まで")</f>
        <v>P11まで</v>
      </c>
      <c r="Z660" s="7"/>
      <c r="AA660" s="7"/>
      <c r="AB660" s="7"/>
    </row>
    <row r="661" ht="15.75" customHeight="1">
      <c r="A661" s="26">
        <f>IFERROR(__xludf.DUMMYFUNCTION("""COMPUTED_VALUE"""),2286.0)</f>
        <v>2286</v>
      </c>
      <c r="B661" s="31" t="str">
        <f>IFERROR(__xludf.DUMMYFUNCTION("""COMPUTED_VALUE"""),"確定")</f>
        <v>確定</v>
      </c>
      <c r="C661" s="28">
        <f>IFERROR(__xludf.DUMMYFUNCTION("""COMPUTED_VALUE"""),45154.0)</f>
        <v>45154</v>
      </c>
      <c r="D661" s="28">
        <f>IFERROR(__xludf.DUMMYFUNCTION("""COMPUTED_VALUE"""),45175.0)</f>
        <v>45175</v>
      </c>
      <c r="E661" s="31">
        <f>IFERROR(__xludf.DUMMYFUNCTION("""COMPUTED_VALUE"""),278495.0)</f>
        <v>278495</v>
      </c>
      <c r="F661" s="31" t="str">
        <f>IFERROR(__xludf.DUMMYFUNCTION("""COMPUTED_VALUE"""),"うちの黒魔導士がかわいすぎる！［1話売り］")</f>
        <v>うちの黒魔導士がかわいすぎる！［1話売り］</v>
      </c>
      <c r="G661" s="20" t="str">
        <f>IFERROR(__xludf.DUMMYFUNCTION("""COMPUTED_VALUE"""),"1～3")</f>
        <v>1～3</v>
      </c>
      <c r="H661" s="31" t="str">
        <f>IFERROR(__xludf.DUMMYFUNCTION("""COMPUTED_VALUE"""),"たきどん")</f>
        <v>たきどん</v>
      </c>
      <c r="I661" s="31" t="str">
        <f>IFERROR(__xludf.DUMMYFUNCTION("""COMPUTED_VALUE"""),"少女")</f>
        <v>少女</v>
      </c>
      <c r="J661" s="31"/>
      <c r="K661" s="31"/>
      <c r="L661" s="31" t="str">
        <f>IFERROR(__xludf.DUMMYFUNCTION("""COMPUTED_VALUE"""),"白泉社")</f>
        <v>白泉社</v>
      </c>
      <c r="M661" s="23">
        <f>IFERROR(__xludf.DUMMYFUNCTION("""COMPUTED_VALUE"""),45219.0)</f>
        <v>45219</v>
      </c>
      <c r="N661" s="23">
        <f>IFERROR(__xludf.DUMMYFUNCTION("""COMPUTED_VALUE"""),45279.0)</f>
        <v>45279</v>
      </c>
      <c r="O661" s="20"/>
      <c r="P661" s="34" t="str">
        <f>IFERROR(__xludf.DUMMYFUNCTION("""COMPUTED_VALUE"""),"否")</f>
        <v>否</v>
      </c>
      <c r="Q661" s="30" t="str">
        <f>IFERROR(__xludf.DUMMYFUNCTION("""COMPUTED_VALUE"""),"広告コミットOK(8/21)")</f>
        <v>広告コミットOK(8/21)</v>
      </c>
      <c r="R661" s="31"/>
      <c r="S661" s="31" t="str">
        <f>IFERROR(__xludf.DUMMYFUNCTION("""COMPUTED_VALUE"""),"20230906_白泉社_うちの黒魔導士がかわいすぎる！")</f>
        <v>20230906_白泉社_うちの黒魔導士がかわいすぎる！</v>
      </c>
      <c r="T661" s="31" t="str">
        <f>IFERROR(__xludf.DUMMYFUNCTION("""COMPUTED_VALUE"""),"格納済み")</f>
        <v>格納済み</v>
      </c>
      <c r="U661" s="15" t="str">
        <f>IFERROR(__xludf.DUMMYFUNCTION("""COMPUTED_VALUE"""),"(C)たきどん/白泉社")</f>
        <v>(C)たきどん/白泉社</v>
      </c>
      <c r="V661" s="8" t="str">
        <f>IFERROR(__xludf.DUMMYFUNCTION("""COMPUTED_VALUE"""),"学園イチの問題児くん、心の中が丸見えですけど！？　魔法学校の優等生・アリアは、後輩たちを教え導く監督生だが、ジェイドという問題児がいて困っている。黒魔導士の一族で、周りへの当たりが強い彼は恐れられているが、アリアは監督生として彼に接触したその時、変な声が聞こえてくる。「クソ女（かわいすぎんだろ）」……これは彼の心の声！？ 勝手に駄々洩れ、勝手に翻弄、不意打ちツンデレラブコメ♪(この話は、【電子版】花とゆめ 17号（2023年）に収録されています。)")</f>
        <v>学園イチの問題児くん、心の中が丸見えですけど！？　魔法学校の優等生・アリアは、後輩たちを教え導く監督生だが、ジェイドという問題児がいて困っている。黒魔導士の一族で、周りへの当たりが強い彼は恐れられているが、アリアは監督生として彼に接触したその時、変な声が聞こえてくる。「クソ女（かわいすぎんだろ）」……これは彼の心の声！？ 勝手に駄々洩れ、勝手に翻弄、不意打ちツンデレラブコメ♪(この話は、【電子版】花とゆめ 17号（2023年）に収録されています。)</v>
      </c>
      <c r="W661" s="14"/>
      <c r="X661" s="14" t="str">
        <f>IFERROR(__xludf.DUMMYFUNCTION("""COMPUTED_VALUE"""),"有
")</f>
        <v>有
</v>
      </c>
      <c r="Y661" s="8" t="str">
        <f>IFERROR(__xludf.DUMMYFUNCTION("""COMPUTED_VALUE"""),"P10まで")</f>
        <v>P10まで</v>
      </c>
      <c r="Z661" s="7"/>
      <c r="AA661" s="7"/>
      <c r="AB661" s="7"/>
    </row>
    <row r="662" ht="15.75" customHeight="1">
      <c r="A662" s="26">
        <f>IFERROR(__xludf.DUMMYFUNCTION("""COMPUTED_VALUE"""),2341.0)</f>
        <v>2341</v>
      </c>
      <c r="B662" s="31" t="str">
        <f>IFERROR(__xludf.DUMMYFUNCTION("""COMPUTED_VALUE"""),"確定")</f>
        <v>確定</v>
      </c>
      <c r="C662" s="28">
        <f>IFERROR(__xludf.DUMMYFUNCTION("""COMPUTED_VALUE"""),45173.0)</f>
        <v>45173</v>
      </c>
      <c r="D662" s="28">
        <f>IFERROR(__xludf.DUMMYFUNCTION("""COMPUTED_VALUE"""),45175.0)</f>
        <v>45175</v>
      </c>
      <c r="E662" s="31">
        <f>IFERROR(__xludf.DUMMYFUNCTION("""COMPUTED_VALUE"""),277766.0)</f>
        <v>277766</v>
      </c>
      <c r="F662" s="31" t="str">
        <f>IFERROR(__xludf.DUMMYFUNCTION("""COMPUTED_VALUE"""),"カラダもココロもほぐされて")</f>
        <v>カラダもココロもほぐされて</v>
      </c>
      <c r="G662" s="20" t="str">
        <f>IFERROR(__xludf.DUMMYFUNCTION("""COMPUTED_VALUE"""),"1～4")</f>
        <v>1～4</v>
      </c>
      <c r="H662" s="31" t="str">
        <f>IFERROR(__xludf.DUMMYFUNCTION("""COMPUTED_VALUE"""),"paya8/Zizm/KKIC")</f>
        <v>paya8/Zizm/KKIC</v>
      </c>
      <c r="I662" s="31" t="str">
        <f>IFERROR(__xludf.DUMMYFUNCTION("""COMPUTED_VALUE"""),"青年")</f>
        <v>青年</v>
      </c>
      <c r="J662" s="31"/>
      <c r="K662" s="31"/>
      <c r="L662" s="31" t="str">
        <f>IFERROR(__xludf.DUMMYFUNCTION("""COMPUTED_VALUE"""),"Rush!")</f>
        <v>Rush!</v>
      </c>
      <c r="M662" s="23">
        <f>IFERROR(__xludf.DUMMYFUNCTION("""COMPUTED_VALUE"""),45219.0)</f>
        <v>45219</v>
      </c>
      <c r="N662" s="23">
        <f>IFERROR(__xludf.DUMMYFUNCTION("""COMPUTED_VALUE"""),45365.66666666667)</f>
        <v>45365.66667</v>
      </c>
      <c r="O662" s="20"/>
      <c r="P662" s="34" t="str">
        <f>IFERROR(__xludf.DUMMYFUNCTION("""COMPUTED_VALUE"""),"可")</f>
        <v>可</v>
      </c>
      <c r="Q662" s="30" t="str">
        <f>IFERROR(__xludf.DUMMYFUNCTION("""COMPUTED_VALUE"""),"協業レーベル『シーモア×Rush!』作品です。")</f>
        <v>協業レーベル『シーモア×Rush!』作品です。</v>
      </c>
      <c r="R662" s="31"/>
      <c r="S662" s="31" t="str">
        <f>IFERROR(__xludf.DUMMYFUNCTION("""COMPUTED_VALUE"""),"20230904_ファンギルド_カラダもココロもほぐされて")</f>
        <v>20230904_ファンギルド_カラダもココロもほぐされて</v>
      </c>
      <c r="T662" s="31" t="str">
        <f>IFERROR(__xludf.DUMMYFUNCTION("""COMPUTED_VALUE"""),"格納済み")</f>
        <v>格納済み</v>
      </c>
      <c r="U662" s="15" t="str">
        <f>IFERROR(__xludf.DUMMYFUNCTION("""COMPUTED_VALUE"""),"Ⓒpaya8/Zizm/KKIC/TOPTOON")</f>
        <v>Ⓒpaya8/Zizm/KKIC/TOPTOON</v>
      </c>
      <c r="V662" s="8" t="str">
        <f>IFERROR(__xludf.DUMMYFUNCTION("""COMPUTED_VALUE"""),"アラサーフリーター・潤一（じゅんいち）は来年で30歳を迎えるが、なおも童貞。自慰を繰り返し、定職にも就けず、久しぶりに再会した初恋相手からは、保険のセールスを受ける始末…。そんな人生に嫌気が差していたある日、橋の上から身を投げた一人の女性を助ける。危険な状態だった彼女の身体に浮かび上がる”赤い斑点”――。そう、潤一は人とは違う特別な能力を持っていた。それは”人の痛めている箇所が目に見える”というもの。マッサージをするだけで人を”キモチよく”できるその能力は、思いもよらないところで発揮されて――！？")</f>
        <v>アラサーフリーター・潤一（じゅんいち）は来年で30歳を迎えるが、なおも童貞。自慰を繰り返し、定職にも就けず、久しぶりに再会した初恋相手からは、保険のセールスを受ける始末…。そんな人生に嫌気が差していたある日、橋の上から身を投げた一人の女性を助ける。危険な状態だった彼女の身体に浮かび上がる”赤い斑点”――。そう、潤一は人とは違う特別な能力を持っていた。それは”人の痛めている箇所が目に見える”というもの。マッサージをするだけで人を”キモチよく”できるその能力は、思いもよらないところで発揮されて――！？</v>
      </c>
      <c r="W662" s="14"/>
      <c r="X662" s="14" t="str">
        <f>IFERROR(__xludf.DUMMYFUNCTION("""COMPUTED_VALUE"""),"有
")</f>
        <v>有
</v>
      </c>
      <c r="Y662" s="8" t="str">
        <f>IFERROR(__xludf.DUMMYFUNCTION("""COMPUTED_VALUE"""),"11/2まで1巻無料")</f>
        <v>11/2まで1巻無料</v>
      </c>
      <c r="Z662" s="7"/>
      <c r="AA662" s="7"/>
      <c r="AB662" s="7"/>
    </row>
    <row r="663" ht="15.75" customHeight="1">
      <c r="A663" s="26">
        <f>IFERROR(__xludf.DUMMYFUNCTION("""COMPUTED_VALUE"""),2345.0)</f>
        <v>2345</v>
      </c>
      <c r="B663" s="31" t="str">
        <f>IFERROR(__xludf.DUMMYFUNCTION("""COMPUTED_VALUE"""),"確定")</f>
        <v>確定</v>
      </c>
      <c r="C663" s="28">
        <f>IFERROR(__xludf.DUMMYFUNCTION("""COMPUTED_VALUE"""),45174.0)</f>
        <v>45174</v>
      </c>
      <c r="D663" s="28">
        <f>IFERROR(__xludf.DUMMYFUNCTION("""COMPUTED_VALUE"""),45175.0)</f>
        <v>45175</v>
      </c>
      <c r="E663" s="26">
        <f>IFERROR(__xludf.DUMMYFUNCTION("""COMPUTED_VALUE"""),252923.0)</f>
        <v>252923</v>
      </c>
      <c r="F663" s="31" t="str">
        <f>IFERROR(__xludf.DUMMYFUNCTION("""COMPUTED_VALUE"""),"宮路夫婦は恋愛できない")</f>
        <v>宮路夫婦は恋愛できない</v>
      </c>
      <c r="G663" s="20" t="str">
        <f>IFERROR(__xludf.DUMMYFUNCTION("""COMPUTED_VALUE"""),"1～3")</f>
        <v>1～3</v>
      </c>
      <c r="H663" s="31" t="str">
        <f>IFERROR(__xludf.DUMMYFUNCTION("""COMPUTED_VALUE"""),"小雨")</f>
        <v>小雨</v>
      </c>
      <c r="I663" s="14" t="str">
        <f>IFERROR(__xludf.DUMMYFUNCTION("""COMPUTED_VALUE"""),"少女")</f>
        <v>少女</v>
      </c>
      <c r="J663" s="31"/>
      <c r="K663" s="31"/>
      <c r="L663" s="31" t="str">
        <f>IFERROR(__xludf.DUMMYFUNCTION("""COMPUTED_VALUE"""),"ソルマーレ編集部")</f>
        <v>ソルマーレ編集部</v>
      </c>
      <c r="M663" s="23">
        <f>IFERROR(__xludf.DUMMYFUNCTION("""COMPUTED_VALUE"""),45206.0)</f>
        <v>45206</v>
      </c>
      <c r="N663" s="23">
        <f>IFERROR(__xludf.DUMMYFUNCTION("""COMPUTED_VALUE"""),45267.0)</f>
        <v>45267</v>
      </c>
      <c r="O663" s="20"/>
      <c r="P663" s="34" t="str">
        <f>IFERROR(__xludf.DUMMYFUNCTION("""COMPUTED_VALUE"""),"可")</f>
        <v>可</v>
      </c>
      <c r="Q663" s="36" t="str">
        <f>IFERROR(__xludf.DUMMYFUNCTION("""COMPUTED_VALUE"""),"※正式タイトル下記の通りです（9/5）&lt;BR&gt;＝＝＝&lt;BR&gt;宮路夫婦は恋愛できない&lt;BR&gt;＝＝＝&lt;BR&gt;")</f>
        <v>※正式タイトル下記の通りです（9/5）&lt;BR&gt;＝＝＝&lt;BR&gt;宮路夫婦は恋愛できない&lt;BR&gt;＝＝＝&lt;BR&gt;</v>
      </c>
      <c r="R663" s="36">
        <f>IFERROR(__xludf.DUMMYFUNCTION("""COMPUTED_VALUE"""),45174.0)</f>
        <v>45174</v>
      </c>
      <c r="S663" s="31" t="str">
        <f>IFERROR(__xludf.DUMMYFUNCTION("""COMPUTED_VALUE"""),"20230905_ソルマーレ編集部_宮路夫婦は恋愛できない")</f>
        <v>20230905_ソルマーレ編集部_宮路夫婦は恋愛できない</v>
      </c>
      <c r="T663" s="31" t="str">
        <f>IFERROR(__xludf.DUMMYFUNCTION("""COMPUTED_VALUE"""),"格納済み")</f>
        <v>格納済み</v>
      </c>
      <c r="U663" s="15" t="str">
        <f>IFERROR(__xludf.DUMMYFUNCTION("""COMPUTED_VALUE"""),"Ⓒ 小雨/シーモアコミックス")</f>
        <v>Ⓒ 小雨/シーモアコミックス</v>
      </c>
      <c r="V663" s="8" t="str">
        <f>IFERROR(__xludf.DUMMYFUNCTION("""COMPUTED_VALUE"""),"「夫婦だから…いいよね」
恋愛に興味がなく推し活に生きている事務員の葉は、
祖父の紹介で一流企業に勤める宮路静という男性とお見合いすることになった。
当日、断るつもりだったが、
彼から“干渉しない関係”という条件で縁談を進めないかと提案される――。
静も自由な生活を求めていると聞いた葉は、
悩んだ末、推し活に全振りできる生活を求めてこの縁談を受けることに…！
そんな二人の結婚生活…干渉しないと思っていたのに、
一緒に暮らすと少しずつ距離が縮まって――。
仮初めの結婚から始まる恋愛を知"&amp;"らない二人のラブストーリー！
【恋するソワレ】")</f>
        <v>「夫婦だから…いいよね」
恋愛に興味がなく推し活に生きている事務員の葉は、
祖父の紹介で一流企業に勤める宮路静という男性とお見合いすることになった。
当日、断るつもりだったが、
彼から“干渉しない関係”という条件で縁談を進めないかと提案される――。
静も自由な生活を求めていると聞いた葉は、
悩んだ末、推し活に全振りできる生活を求めてこの縁談を受けることに…！
そんな二人の結婚生活…干渉しないと思っていたのに、
一緒に暮らすと少しずつ距離が縮まって――。
仮初めの結婚から始まる恋愛を知らない二人のラブストーリー！
【恋するソワレ】</v>
      </c>
      <c r="W663" s="14"/>
      <c r="X663" s="14" t="str">
        <f>IFERROR(__xludf.DUMMYFUNCTION("""COMPUTED_VALUE"""),"有
")</f>
        <v>有
</v>
      </c>
      <c r="Y663" s="8" t="str">
        <f>IFERROR(__xludf.DUMMYFUNCTION("""COMPUTED_VALUE"""),"10/20まで1巻無料")</f>
        <v>10/20まで1巻無料</v>
      </c>
      <c r="Z663" s="7"/>
      <c r="AA663" s="7"/>
      <c r="AB663" s="7"/>
    </row>
    <row r="664" ht="15.75" customHeight="1">
      <c r="A664" s="26">
        <f>IFERROR(__xludf.DUMMYFUNCTION("""COMPUTED_VALUE"""),2346.0)</f>
        <v>2346</v>
      </c>
      <c r="B664" s="31" t="str">
        <f>IFERROR(__xludf.DUMMYFUNCTION("""COMPUTED_VALUE"""),"確定")</f>
        <v>確定</v>
      </c>
      <c r="C664" s="28">
        <f>IFERROR(__xludf.DUMMYFUNCTION("""COMPUTED_VALUE"""),45174.0)</f>
        <v>45174</v>
      </c>
      <c r="D664" s="28">
        <f>IFERROR(__xludf.DUMMYFUNCTION("""COMPUTED_VALUE"""),45174.0)</f>
        <v>45174</v>
      </c>
      <c r="E664" s="26">
        <f>IFERROR(__xludf.DUMMYFUNCTION("""COMPUTED_VALUE"""),273278.0)</f>
        <v>273278</v>
      </c>
      <c r="F664" s="31" t="str">
        <f>IFERROR(__xludf.DUMMYFUNCTION("""COMPUTED_VALUE"""),"上級職聖女に…なれませんでした！～パーティーを追い出された白魔法使いは、魔物の村で慕われてます～")</f>
        <v>上級職聖女に…なれませんでした！～パーティーを追い出された白魔法使いは、魔物の村で慕われてます～</v>
      </c>
      <c r="G664" s="20" t="str">
        <f>IFERROR(__xludf.DUMMYFUNCTION("""COMPUTED_VALUE"""),"1~5")</f>
        <v>1~5</v>
      </c>
      <c r="H664" s="31" t="str">
        <f>IFERROR(__xludf.DUMMYFUNCTION("""COMPUTED_VALUE"""),"あまひらあすか,Re;9")</f>
        <v>あまひらあすか,Re;9</v>
      </c>
      <c r="I664" s="14" t="str">
        <f>IFERROR(__xludf.DUMMYFUNCTION("""COMPUTED_VALUE"""),"女性")</f>
        <v>女性</v>
      </c>
      <c r="J664" s="31"/>
      <c r="K664" s="31"/>
      <c r="L664" s="31" t="str">
        <f>IFERROR(__xludf.DUMMYFUNCTION("""COMPUTED_VALUE"""),"ライドオン")</f>
        <v>ライドオン</v>
      </c>
      <c r="M664" s="23">
        <f>IFERROR(__xludf.DUMMYFUNCTION("""COMPUTED_VALUE"""),45170.0)</f>
        <v>45170</v>
      </c>
      <c r="N664" s="23">
        <f>IFERROR(__xludf.DUMMYFUNCTION("""COMPUTED_VALUE"""),45351.0)</f>
        <v>45351</v>
      </c>
      <c r="O664" s="20"/>
      <c r="P664" s="34" t="str">
        <f>IFERROR(__xludf.DUMMYFUNCTION("""COMPUTED_VALUE"""),"可")</f>
        <v>可</v>
      </c>
      <c r="Q664" s="30" t="str">
        <f>IFERROR(__xludf.DUMMYFUNCTION("""COMPUTED_VALUE"""),"協業レーベル『シーモア×アラモード』作品です。")</f>
        <v>協業レーベル『シーモア×アラモード』作品です。</v>
      </c>
      <c r="R664" s="31"/>
      <c r="S664" s="30" t="str">
        <f>IFERROR(__xludf.DUMMYFUNCTION("""COMPUTED_VALUE"""),"20230905_ライドオン_上級職聖女に…なれませんでした！ ～パーティーを追い出された白魔法使いは、魔物の村で慕われてます～")</f>
        <v>20230905_ライドオン_上級職聖女に…なれませんでした！ ～パーティーを追い出された白魔法使いは、魔物の村で慕われてます～</v>
      </c>
      <c r="T664" s="31"/>
      <c r="U664" s="15" t="str">
        <f>IFERROR(__xludf.DUMMYFUNCTION("""COMPUTED_VALUE"""),"(C)Re;9/あまひらあすか/ライドオン")</f>
        <v>(C)Re;9/あまひらあすか/ライドオン</v>
      </c>
      <c r="V664" s="8" t="str">
        <f>IFERROR(__xludf.DUMMYFUNCTION("""COMPUTED_VALUE"""),"「誠に残念ながら、不合格とさせていただきます」
幼い頃から上級職・聖女に憧れていたリアンナは、冒険者として仲間たちと魔物退治をする日々を送っていた。
しかし、パーティー全員で上級職試験を受けた結果、自分だけ落ちてしまった。
足手まといだと罵倒され、解雇されたリアンナ。
ふらふらと歩いていたところ、足を踏み外して崖から落下してしまう。
防御魔法で無事だったが、そこで一匹のスライムに出会った。
逃げようとすると、スライムがハルという美青年に変身。
彼に「仲間の治療を頼みたい」と連れられた場所は、"&amp;"人間との争いを好まない魔物の隠れ里である「臆病村」だった。
魔物の治療は禁忌の世界で出したリアンナの答えは…")</f>
        <v>「誠に残念ながら、不合格とさせていただきます」
幼い頃から上級職・聖女に憧れていたリアンナは、冒険者として仲間たちと魔物退治をする日々を送っていた。
しかし、パーティー全員で上級職試験を受けた結果、自分だけ落ちてしまった。
足手まといだと罵倒され、解雇されたリアンナ。
ふらふらと歩いていたところ、足を踏み外して崖から落下してしまう。
防御魔法で無事だったが、そこで一匹のスライムに出会った。
逃げようとすると、スライムがハルという美青年に変身。
彼に「仲間の治療を頼みたい」と連れられた場所は、人間との争いを好まない魔物の隠れ里である「臆病村」だった。
魔物の治療は禁忌の世界で出したリアンナの答えは…</v>
      </c>
      <c r="W664" s="14"/>
      <c r="X664" s="14" t="str">
        <f>IFERROR(__xludf.DUMMYFUNCTION("""COMPUTED_VALUE"""),"有
")</f>
        <v>有
</v>
      </c>
      <c r="Y664" s="8" t="str">
        <f>IFERROR(__xludf.DUMMYFUNCTION("""COMPUTED_VALUE"""),"9/30まで1巻無料")</f>
        <v>9/30まで1巻無料</v>
      </c>
      <c r="Z664" s="7"/>
      <c r="AA664" s="7"/>
      <c r="AB664" s="7"/>
    </row>
    <row r="665" ht="111.0" customHeight="1">
      <c r="A665" s="26">
        <f>IFERROR(__xludf.DUMMYFUNCTION("""COMPUTED_VALUE"""),2180.0)</f>
        <v>2180</v>
      </c>
      <c r="B665" s="22" t="str">
        <f>IFERROR(__xludf.DUMMYFUNCTION("""COMPUTED_VALUE"""),"確定")</f>
        <v>確定</v>
      </c>
      <c r="C665" s="28">
        <f>IFERROR(__xludf.DUMMYFUNCTION("""COMPUTED_VALUE"""),45125.0)</f>
        <v>45125</v>
      </c>
      <c r="D665" s="28">
        <f>IFERROR(__xludf.DUMMYFUNCTION("""COMPUTED_VALUE"""),45181.0)</f>
        <v>45181</v>
      </c>
      <c r="E665" s="31">
        <f>IFERROR(__xludf.DUMMYFUNCTION("""COMPUTED_VALUE"""),278047.0)</f>
        <v>278047</v>
      </c>
      <c r="F665" s="22" t="str">
        <f>IFERROR(__xludf.DUMMYFUNCTION("""COMPUTED_VALUE"""),"老人島【単話版】")</f>
        <v>老人島【単話版】</v>
      </c>
      <c r="G665" s="16" t="str">
        <f>IFERROR(__xludf.DUMMYFUNCTION("""COMPUTED_VALUE"""),"1～4")</f>
        <v>1～4</v>
      </c>
      <c r="H665" s="22" t="str">
        <f>IFERROR(__xludf.DUMMYFUNCTION("""COMPUTED_VALUE"""),"睦月間")</f>
        <v>睦月間</v>
      </c>
      <c r="I665" s="22" t="str">
        <f>IFERROR(__xludf.DUMMYFUNCTION("""COMPUTED_VALUE"""),"青年")</f>
        <v>青年</v>
      </c>
      <c r="J665" s="22"/>
      <c r="K665" s="22"/>
      <c r="L665" s="22" t="str">
        <f>IFERROR(__xludf.DUMMYFUNCTION("""COMPUTED_VALUE"""),"GANMA!")</f>
        <v>GANMA!</v>
      </c>
      <c r="M665" s="23">
        <f>IFERROR(__xludf.DUMMYFUNCTION("""COMPUTED_VALUE"""),45200.0)</f>
        <v>45200</v>
      </c>
      <c r="N665" s="23">
        <f>IFERROR(__xludf.DUMMYFUNCTION("""COMPUTED_VALUE"""),45291.0)</f>
        <v>45291</v>
      </c>
      <c r="O665" s="20"/>
      <c r="P665" s="29" t="str">
        <f>IFERROR(__xludf.DUMMYFUNCTION("""COMPUTED_VALUE"""),"否")</f>
        <v>否</v>
      </c>
      <c r="Q665" s="30" t="str">
        <f>IFERROR(__xludf.DUMMYFUNCTION("""COMPUTED_VALUE"""),"広告コミットOK(7/21)")</f>
        <v>広告コミットOK(7/21)</v>
      </c>
      <c r="R665" s="22"/>
      <c r="S665" s="22" t="str">
        <f>IFERROR(__xludf.DUMMYFUNCTION("""COMPUTED_VALUE"""),"20230907_GANMA!_老人島【単話版】")</f>
        <v>20230907_GANMA!_老人島【単話版】</v>
      </c>
      <c r="T665" s="22" t="str">
        <f>IFERROR(__xludf.DUMMYFUNCTION("""COMPUTED_VALUE"""),"格納済み")</f>
        <v>格納済み</v>
      </c>
      <c r="U665" s="15" t="str">
        <f>IFERROR(__xludf.DUMMYFUNCTION("""COMPUTED_VALUE"""),"©睦月間／COMICSMART INC.")</f>
        <v>©睦月間／COMICSMART INC.</v>
      </c>
      <c r="V665" s="8" t="str">
        <f>IFERROR(__xludf.DUMMYFUNCTION("""COMPUTED_VALUE"""),"老人に殺される──。この島は…殺人鬼と化した老人たちが支配していた。（著者名：睦月間/初出：GANMA!1話掲載分）")</f>
        <v>老人に殺される──。この島は…殺人鬼と化した老人たちが支配していた。（著者名：睦月間/初出：GANMA!1話掲載分）</v>
      </c>
      <c r="W665" s="14"/>
      <c r="X665" s="14" t="str">
        <f>IFERROR(__xludf.DUMMYFUNCTION("""COMPUTED_VALUE"""),"有
")</f>
        <v>有
</v>
      </c>
      <c r="Y665" s="8" t="str">
        <f>IFERROR(__xludf.DUMMYFUNCTION("""COMPUTED_VALUE"""),"P5まで")</f>
        <v>P5まで</v>
      </c>
      <c r="Z665" s="7"/>
      <c r="AA665" s="7"/>
      <c r="AB665" s="7"/>
    </row>
    <row r="666" ht="15.75" customHeight="1">
      <c r="A666" s="26">
        <f>IFERROR(__xludf.DUMMYFUNCTION("""COMPUTED_VALUE"""),2264.0)</f>
        <v>2264</v>
      </c>
      <c r="B666" s="22" t="str">
        <f>IFERROR(__xludf.DUMMYFUNCTION("""COMPUTED_VALUE"""),"確定")</f>
        <v>確定</v>
      </c>
      <c r="C666" s="28">
        <f>IFERROR(__xludf.DUMMYFUNCTION("""COMPUTED_VALUE"""),45145.0)</f>
        <v>45145</v>
      </c>
      <c r="D666" s="28">
        <f>IFERROR(__xludf.DUMMYFUNCTION("""COMPUTED_VALUE"""),45181.0)</f>
        <v>45181</v>
      </c>
      <c r="E666" s="31">
        <f>IFERROR(__xludf.DUMMYFUNCTION("""COMPUTED_VALUE"""),277623.0)</f>
        <v>277623</v>
      </c>
      <c r="F666" s="22" t="str">
        <f>IFERROR(__xludf.DUMMYFUNCTION("""COMPUTED_VALUE"""),"内緒にするから甘えさせて～そっけない年下の臣くんは私にだけ雄み強め")</f>
        <v>内緒にするから甘えさせて～そっけない年下の臣くんは私にだけ雄み強め</v>
      </c>
      <c r="G666" s="20" t="str">
        <f>IFERROR(__xludf.DUMMYFUNCTION("""COMPUTED_VALUE"""),"1~3")</f>
        <v>1~3</v>
      </c>
      <c r="H666" s="22" t="str">
        <f>IFERROR(__xludf.DUMMYFUNCTION("""COMPUTED_VALUE"""),"稚山にもり")</f>
        <v>稚山にもり</v>
      </c>
      <c r="I666" s="22" t="str">
        <f>IFERROR(__xludf.DUMMYFUNCTION("""COMPUTED_VALUE"""),"TL")</f>
        <v>TL</v>
      </c>
      <c r="J666" s="22"/>
      <c r="K666" s="22"/>
      <c r="L666" s="22" t="str">
        <f>IFERROR(__xludf.DUMMYFUNCTION("""COMPUTED_VALUE"""),"forcs")</f>
        <v>forcs</v>
      </c>
      <c r="M666" s="23">
        <f>IFERROR(__xludf.DUMMYFUNCTION("""COMPUTED_VALUE"""),45204.0)</f>
        <v>45204</v>
      </c>
      <c r="N666" s="23">
        <f>IFERROR(__xludf.DUMMYFUNCTION("""COMPUTED_VALUE"""),45260.0)</f>
        <v>45260</v>
      </c>
      <c r="O666" s="20"/>
      <c r="P666" s="29" t="str">
        <f>IFERROR(__xludf.DUMMYFUNCTION("""COMPUTED_VALUE"""),"可")</f>
        <v>可</v>
      </c>
      <c r="Q666" s="22" t="str">
        <f>IFERROR(__xludf.DUMMYFUNCTION("""COMPUTED_VALUE"""),"広告コミットOK(8/14)")</f>
        <v>広告コミットOK(8/14)</v>
      </c>
      <c r="R666" s="22" t="str">
        <f>IFERROR(__xludf.DUMMYFUNCTION("""COMPUTED_VALUE"""),"格納済み（2023年9月7日）")</f>
        <v>格納済み（2023年9月7日）</v>
      </c>
      <c r="S666" s="22" t="str">
        <f>IFERROR(__xludf.DUMMYFUNCTION("""COMPUTED_VALUE"""),"20230807_forcs_内緒にするから甘えさせて～そっけない年下の臣くんは私にだけ雄み強め")</f>
        <v>20230807_forcs_内緒にするから甘えさせて～そっけない年下の臣くんは私にだけ雄み強め</v>
      </c>
      <c r="T666" s="22" t="str">
        <f>IFERROR(__xludf.DUMMYFUNCTION("""COMPUTED_VALUE"""),"格納済み")</f>
        <v>格納済み</v>
      </c>
      <c r="U666" s="15" t="str">
        <f>IFERROR(__xludf.DUMMYFUNCTION("""COMPUTED_VALUE"""),"（C）稚山にもり／forcs")</f>
        <v>（C）稚山にもり／forcs</v>
      </c>
      <c r="V666" s="8" t="str">
        <f>IFERROR(__xludf.DUMMYFUNCTION("""COMPUTED_VALUE"""),"千颯は総務部で活躍するしごデキ女子。でも唯一の悩みは最近やって来た中途社員の後輩・陽臣くん。
幼い頃によく遊んでいた2人が同じ会社で働くことになったものの、今ではただの同僚として接しているだけ。
陽臣にかつての可愛い面影は無く態度も素っ気ない。幼馴染でもない関係の方が今となっては好都合。
･･･だったはずが、彼の歓迎会で私の過去をつい漏らされてしまい！？
千颯は酔い潰れた陽臣を黙らせようと連れ出すも「ちーちゃん」と昔の呼び名を囁かれてドキドキが止まらない！？
さらには「皆に内緒にするから甘えさせ"&amp;"て」と抱きつかれて、かつての甘えん坊のように笑う陽臣。
偶然の再会、大好きなお姉ちゃんへの想いはおさまらず─。")</f>
        <v>千颯は総務部で活躍するしごデキ女子。でも唯一の悩みは最近やって来た中途社員の後輩・陽臣くん。
幼い頃によく遊んでいた2人が同じ会社で働くことになったものの、今ではただの同僚として接しているだけ。
陽臣にかつての可愛い面影は無く態度も素っ気ない。幼馴染でもない関係の方が今となっては好都合。
･･･だったはずが、彼の歓迎会で私の過去をつい漏らされてしまい！？
千颯は酔い潰れた陽臣を黙らせようと連れ出すも「ちーちゃん」と昔の呼び名を囁かれてドキドキが止まらない！？
さらには「皆に内緒にするから甘えさせて」と抱きつかれて、かつての甘えん坊のように笑う陽臣。
偶然の再会、大好きなお姉ちゃんへの想いはおさまらず─。</v>
      </c>
      <c r="W666" s="14"/>
      <c r="X666" s="14" t="str">
        <f>IFERROR(__xludf.DUMMYFUNCTION("""COMPUTED_VALUE"""),"有
")</f>
        <v>有
</v>
      </c>
      <c r="Y666" s="8" t="str">
        <f>IFERROR(__xludf.DUMMYFUNCTION("""COMPUTED_VALUE"""),"10/20まで1巻無料")</f>
        <v>10/20まで1巻無料</v>
      </c>
      <c r="Z666" s="7"/>
      <c r="AA666" s="7"/>
      <c r="AB666" s="7"/>
    </row>
    <row r="667" ht="109.5" customHeight="1">
      <c r="A667" s="26">
        <f>IFERROR(__xludf.DUMMYFUNCTION("""COMPUTED_VALUE"""),2265.0)</f>
        <v>2265</v>
      </c>
      <c r="B667" s="22" t="str">
        <f>IFERROR(__xludf.DUMMYFUNCTION("""COMPUTED_VALUE"""),"確定")</f>
        <v>確定</v>
      </c>
      <c r="C667" s="28">
        <f>IFERROR(__xludf.DUMMYFUNCTION("""COMPUTED_VALUE"""),45145.0)</f>
        <v>45145</v>
      </c>
      <c r="D667" s="28">
        <f>IFERROR(__xludf.DUMMYFUNCTION("""COMPUTED_VALUE"""),45181.0)</f>
        <v>45181</v>
      </c>
      <c r="E667" s="31">
        <f>IFERROR(__xludf.DUMMYFUNCTION("""COMPUTED_VALUE"""),277558.0)</f>
        <v>277558</v>
      </c>
      <c r="F667" s="22" t="str">
        <f>IFERROR(__xludf.DUMMYFUNCTION("""COMPUTED_VALUE"""),"贄の花嫁は今宵も獣と契りを交わす")</f>
        <v>贄の花嫁は今宵も獣と契りを交わす</v>
      </c>
      <c r="G667" s="20" t="str">
        <f>IFERROR(__xludf.DUMMYFUNCTION("""COMPUTED_VALUE"""),"1~3")</f>
        <v>1~3</v>
      </c>
      <c r="H667" s="22" t="str">
        <f>IFERROR(__xludf.DUMMYFUNCTION("""COMPUTED_VALUE"""),"ふさつぐ")</f>
        <v>ふさつぐ</v>
      </c>
      <c r="I667" s="22" t="str">
        <f>IFERROR(__xludf.DUMMYFUNCTION("""COMPUTED_VALUE"""),"オトナ")</f>
        <v>オトナ</v>
      </c>
      <c r="J667" s="22"/>
      <c r="K667" s="22"/>
      <c r="L667" s="22" t="str">
        <f>IFERROR(__xludf.DUMMYFUNCTION("""COMPUTED_VALUE"""),"KATTS")</f>
        <v>KATTS</v>
      </c>
      <c r="M667" s="23">
        <f>IFERROR(__xludf.DUMMYFUNCTION("""COMPUTED_VALUE"""),45205.0)</f>
        <v>45205</v>
      </c>
      <c r="N667" s="23">
        <f>IFERROR(__xludf.DUMMYFUNCTION("""COMPUTED_VALUE"""),45232.0)</f>
        <v>45232</v>
      </c>
      <c r="O667" s="20"/>
      <c r="P667" s="29" t="str">
        <f>IFERROR(__xludf.DUMMYFUNCTION("""COMPUTED_VALUE"""),"可")</f>
        <v>可</v>
      </c>
      <c r="Q667" s="30" t="str">
        <f>IFERROR(__xludf.DUMMYFUNCTION("""COMPUTED_VALUE"""),"広告コミットOK(8/14)")</f>
        <v>広告コミットOK(8/14)</v>
      </c>
      <c r="R667" s="22"/>
      <c r="S667" s="22" t="str">
        <f>IFERROR(__xludf.DUMMYFUNCTION("""COMPUTED_VALUE"""),"20230911_BookLive_贄の花嫁は今宵も獣と契りを交わす")</f>
        <v>20230911_BookLive_贄の花嫁は今宵も獣と契りを交わす</v>
      </c>
      <c r="T667" s="22" t="str">
        <f>IFERROR(__xludf.DUMMYFUNCTION("""COMPUTED_VALUE"""),"格納済み")</f>
        <v>格納済み</v>
      </c>
      <c r="U667" s="15" t="str">
        <f>IFERROR(__xludf.DUMMYFUNCTION("""COMPUTED_VALUE"""),"(C)KATTS")</f>
        <v>(C)KATTS</v>
      </c>
      <c r="V667" s="8" t="str">
        <f>IFERROR(__xludf.DUMMYFUNCTION("""COMPUTED_VALUE"""),"「十五夜の間、毎夜『契り』を交わしてもらう」山神・セツに生贄として捧げられたつむぎ。セツはつむぎを食らう準備のため、彼女の着物に手をかけ…。")</f>
        <v>「十五夜の間、毎夜『契り』を交わしてもらう」山神・セツに生贄として捧げられたつむぎ。セツはつむぎを食らう準備のため、彼女の着物に手をかけ…。</v>
      </c>
      <c r="W667" s="14"/>
      <c r="X667" s="14" t="str">
        <f>IFERROR(__xludf.DUMMYFUNCTION("""COMPUTED_VALUE"""),"有
")</f>
        <v>有
</v>
      </c>
      <c r="Y667" s="8" t="str">
        <f>IFERROR(__xludf.DUMMYFUNCTION("""COMPUTED_VALUE"""),"P7まで")</f>
        <v>P7まで</v>
      </c>
      <c r="Z667" s="7"/>
      <c r="AA667" s="7"/>
      <c r="AB667" s="7"/>
    </row>
    <row r="668" ht="15.75" customHeight="1">
      <c r="A668" s="26">
        <f>IFERROR(__xludf.DUMMYFUNCTION("""COMPUTED_VALUE"""),2282.0)</f>
        <v>2282</v>
      </c>
      <c r="B668" s="22" t="str">
        <f>IFERROR(__xludf.DUMMYFUNCTION("""COMPUTED_VALUE"""),"確定")</f>
        <v>確定</v>
      </c>
      <c r="C668" s="28">
        <f>IFERROR(__xludf.DUMMYFUNCTION("""COMPUTED_VALUE"""),45153.0)</f>
        <v>45153</v>
      </c>
      <c r="D668" s="28">
        <f>IFERROR(__xludf.DUMMYFUNCTION("""COMPUTED_VALUE"""),45175.0)</f>
        <v>45175</v>
      </c>
      <c r="E668" s="31">
        <f>IFERROR(__xludf.DUMMYFUNCTION("""COMPUTED_VALUE"""),278287.0)</f>
        <v>278287</v>
      </c>
      <c r="F668" s="22" t="str">
        <f>IFERROR(__xludf.DUMMYFUNCTION("""COMPUTED_VALUE"""),"たった一つのふたり")</f>
        <v>たった一つのふたり</v>
      </c>
      <c r="G668" s="11" t="str">
        <f>IFERROR(__xludf.DUMMYFUNCTION("""COMPUTED_VALUE"""),"1～4")</f>
        <v>1～4</v>
      </c>
      <c r="H668" s="22" t="str">
        <f>IFERROR(__xludf.DUMMYFUNCTION("""COMPUTED_VALUE"""),"作画：夏江 ユウ 原作：碇 かます")</f>
        <v>作画：夏江 ユウ 原作：碇 かます</v>
      </c>
      <c r="I668" s="22" t="str">
        <f>IFERROR(__xludf.DUMMYFUNCTION("""COMPUTED_VALUE"""),"少女")</f>
        <v>少女</v>
      </c>
      <c r="J668" s="22"/>
      <c r="K668" s="22"/>
      <c r="L668" s="22" t="str">
        <f>IFERROR(__xludf.DUMMYFUNCTION("""COMPUTED_VALUE"""),"アイエムエー")</f>
        <v>アイエムエー</v>
      </c>
      <c r="M668" s="23">
        <f>IFERROR(__xludf.DUMMYFUNCTION("""COMPUTED_VALUE"""),45200.0)</f>
        <v>45200</v>
      </c>
      <c r="N668" s="23">
        <f>IFERROR(__xludf.DUMMYFUNCTION("""COMPUTED_VALUE"""),45260.0)</f>
        <v>45260</v>
      </c>
      <c r="O668" s="20"/>
      <c r="P668" s="29" t="str">
        <f>IFERROR(__xludf.DUMMYFUNCTION("""COMPUTED_VALUE"""),"否")</f>
        <v>否</v>
      </c>
      <c r="Q668" s="22" t="str">
        <f>IFERROR(__xludf.DUMMYFUNCTION("""COMPUTED_VALUE"""),"広告コミットOK(8/18)")</f>
        <v>広告コミットOK(8/18)</v>
      </c>
      <c r="R668" s="22" t="str">
        <f>IFERROR(__xludf.DUMMYFUNCTION("""COMPUTED_VALUE"""),"格納済（9/6）")</f>
        <v>格納済（9/6）</v>
      </c>
      <c r="S668" s="22" t="str">
        <f>IFERROR(__xludf.DUMMYFUNCTION("""COMPUTED_VALUE"""),"230906_アイエムエー_たった一つのふたり")</f>
        <v>230906_アイエムエー_たった一つのふたり</v>
      </c>
      <c r="T668" s="22" t="str">
        <f>IFERROR(__xludf.DUMMYFUNCTION("""COMPUTED_VALUE"""),"校了済素材")</f>
        <v>校了済素材</v>
      </c>
      <c r="U668" s="15" t="str">
        <f>IFERROR(__xludf.DUMMYFUNCTION("""COMPUTED_VALUE"""),"（C)碇かます/夏江ユウ/アイエムエー")</f>
        <v>（C)碇かます/夏江ユウ/アイエムエー</v>
      </c>
      <c r="V668" s="8" t="str">
        <f>IFERROR(__xludf.DUMMYFUNCTION("""COMPUTED_VALUE"""),"「今さら言えない――あなたに恋しましたなんて」偽装結婚から始まった、誰にも言えない秘密を抱えた二人のじれじれ甘々なラブストーリー！過去の悲しいできごとが原因で鬱々とした日々を送っていた桂天音は、同僚の添田兼人からの提案でしばらくの間彼女のフリをした後、彼と偽装結婚をすることに。家族を心配させたくなくてその提案を受け入れたはずなのに、兼人の優しさに触れ、いつしか彼に惹かれ始める天音。そんな時、会社の同僚から「もしかして仮面夫婦?」と疑惑を向けられたことをきっかけに、兼人は「新婚らしさ」を出そうと会社で突然キ"&amp;"スをしてくるように。兼人の行動が「偽装のため」だと分かっていても、天音の心は高鳴ってしまう。一方の兼人も、天音に隠していることがあるようで……？お互いのことを大切に思うがゆえに、こじれてすれ違っていく想い。二人は無事、身も心も結ばれることができるのか!?")</f>
        <v>「今さら言えない――あなたに恋しましたなんて」偽装結婚から始まった、誰にも言えない秘密を抱えた二人のじれじれ甘々なラブストーリー！過去の悲しいできごとが原因で鬱々とした日々を送っていた桂天音は、同僚の添田兼人からの提案でしばらくの間彼女のフリをした後、彼と偽装結婚をすることに。家族を心配させたくなくてその提案を受け入れたはずなのに、兼人の優しさに触れ、いつしか彼に惹かれ始める天音。そんな時、会社の同僚から「もしかして仮面夫婦?」と疑惑を向けられたことをきっかけに、兼人は「新婚らしさ」を出そうと会社で突然キスをしてくるように。兼人の行動が「偽装のため」だと分かっていても、天音の心は高鳴ってしまう。一方の兼人も、天音に隠していることがあるようで……？お互いのことを大切に思うがゆえに、こじれてすれ違っていく想い。二人は無事、身も心も結ばれることができるのか!?</v>
      </c>
      <c r="W668" s="14"/>
      <c r="X668" s="14" t="str">
        <f>IFERROR(__xludf.DUMMYFUNCTION("""COMPUTED_VALUE"""),"有
")</f>
        <v>有
</v>
      </c>
      <c r="Y668" s="8" t="str">
        <f>IFERROR(__xludf.DUMMYFUNCTION("""COMPUTED_VALUE"""),"P10まで")</f>
        <v>P10まで</v>
      </c>
      <c r="Z668" s="7"/>
      <c r="AA668" s="7"/>
      <c r="AB668" s="7"/>
    </row>
    <row r="669" ht="15.75" customHeight="1">
      <c r="A669" s="26">
        <f>IFERROR(__xludf.DUMMYFUNCTION("""COMPUTED_VALUE"""),2283.0)</f>
        <v>2283</v>
      </c>
      <c r="B669" s="22" t="str">
        <f>IFERROR(__xludf.DUMMYFUNCTION("""COMPUTED_VALUE"""),"確定")</f>
        <v>確定</v>
      </c>
      <c r="C669" s="28">
        <f>IFERROR(__xludf.DUMMYFUNCTION("""COMPUTED_VALUE"""),45153.0)</f>
        <v>45153</v>
      </c>
      <c r="D669" s="28">
        <f>IFERROR(__xludf.DUMMYFUNCTION("""COMPUTED_VALUE"""),45176.0)</f>
        <v>45176</v>
      </c>
      <c r="E669" s="31">
        <f>IFERROR(__xludf.DUMMYFUNCTION("""COMPUTED_VALUE"""),277619.0)</f>
        <v>277619</v>
      </c>
      <c r="F669" s="22" t="str">
        <f>IFERROR(__xludf.DUMMYFUNCTION("""COMPUTED_VALUE"""),"うさぎに恋する忠犬男子～失恋OLは、年下御曹司に愛される～")</f>
        <v>うさぎに恋する忠犬男子～失恋OLは、年下御曹司に愛される～</v>
      </c>
      <c r="G669" s="20" t="str">
        <f>IFERROR(__xludf.DUMMYFUNCTION("""COMPUTED_VALUE"""),"1~5")</f>
        <v>1~5</v>
      </c>
      <c r="H669" s="22" t="str">
        <f>IFERROR(__xludf.DUMMYFUNCTION("""COMPUTED_VALUE"""),"フナツマル")</f>
        <v>フナツマル</v>
      </c>
      <c r="I669" s="22" t="str">
        <f>IFERROR(__xludf.DUMMYFUNCTION("""COMPUTED_VALUE"""),"女性")</f>
        <v>女性</v>
      </c>
      <c r="J669" s="22"/>
      <c r="K669" s="22"/>
      <c r="L669" s="22" t="str">
        <f>IFERROR(__xludf.DUMMYFUNCTION("""COMPUTED_VALUE"""),"アイエムエー")</f>
        <v>アイエムエー</v>
      </c>
      <c r="M669" s="23">
        <f>IFERROR(__xludf.DUMMYFUNCTION("""COMPUTED_VALUE"""),45200.0)</f>
        <v>45200</v>
      </c>
      <c r="N669" s="23">
        <f>IFERROR(__xludf.DUMMYFUNCTION("""COMPUTED_VALUE"""),45260.0)</f>
        <v>45260</v>
      </c>
      <c r="O669" s="20"/>
      <c r="P669" s="29" t="str">
        <f>IFERROR(__xludf.DUMMYFUNCTION("""COMPUTED_VALUE"""),"否")</f>
        <v>否</v>
      </c>
      <c r="Q669" s="22" t="str">
        <f>IFERROR(__xludf.DUMMYFUNCTION("""COMPUTED_VALUE"""),"広告コミットOK(8/18)")</f>
        <v>広告コミットOK(8/18)</v>
      </c>
      <c r="R669" s="22" t="str">
        <f>IFERROR(__xludf.DUMMYFUNCTION("""COMPUTED_VALUE"""),"格納済（9/7）")</f>
        <v>格納済（9/7）</v>
      </c>
      <c r="S669" s="22" t="str">
        <f>IFERROR(__xludf.DUMMYFUNCTION("""COMPUTED_VALUE"""),"20230907_アイエムエー_うさぎに恋する忠犬男子")</f>
        <v>20230907_アイエムエー_うさぎに恋する忠犬男子</v>
      </c>
      <c r="T669" s="22" t="str">
        <f>IFERROR(__xludf.DUMMYFUNCTION("""COMPUTED_VALUE"""),"校了済素材")</f>
        <v>校了済素材</v>
      </c>
      <c r="U669" s="15" t="str">
        <f>IFERROR(__xludf.DUMMYFUNCTION("""COMPUTED_VALUE"""),"（C)フナツマル/アイエムエー")</f>
        <v>（C)フナツマル/アイエムエー</v>
      </c>
      <c r="V669" s="8" t="str">
        <f>IFERROR(__xludf.DUMMYFUNCTION("""COMPUTED_VALUE"""),"３年付き合っていた同じ部署の先輩・龍崎に、結婚寸前で突然 捨てられてしまった宇佐木（うさぎ）梓は、失恋と同時に新しい部署へ異動することに。伸ばしていた髪もバッサリと短く切り、がんばっていこうと決意を新たにする。新部署の室長・狗井（いぬい）は、梓の勤める会社を買収した企業グループの御曹司で、現在は取締役という破格の出世を果たした評判のイケメンエリート。周囲は狗井に浮き足立つが、梓はそんな気になれない。そんな彼女に、部署の歓迎会の日、狗井が「あなたが好きです」と突然の告白。「やっとあなたに会えた。３カ月だけチ"&amp;"ャンスをくれないか？」と言う…！")</f>
        <v>３年付き合っていた同じ部署の先輩・龍崎に、結婚寸前で突然 捨てられてしまった宇佐木（うさぎ）梓は、失恋と同時に新しい部署へ異動することに。伸ばしていた髪もバッサリと短く切り、がんばっていこうと決意を新たにする。新部署の室長・狗井（いぬい）は、梓の勤める会社を買収した企業グループの御曹司で、現在は取締役という破格の出世を果たした評判のイケメンエリート。周囲は狗井に浮き足立つが、梓はそんな気になれない。そんな彼女に、部署の歓迎会の日、狗井が「あなたが好きです」と突然の告白。「やっとあなたに会えた。３カ月だけチャンスをくれないか？」と言う…！</v>
      </c>
      <c r="W669" s="14"/>
      <c r="X669" s="14" t="str">
        <f>IFERROR(__xludf.DUMMYFUNCTION("""COMPUTED_VALUE"""),"有
")</f>
        <v>有
</v>
      </c>
      <c r="Y669" s="8" t="str">
        <f>IFERROR(__xludf.DUMMYFUNCTION("""COMPUTED_VALUE"""),"P8まで")</f>
        <v>P8まで</v>
      </c>
      <c r="Z669" s="7"/>
      <c r="AA669" s="7"/>
      <c r="AB669" s="7"/>
    </row>
    <row r="670" ht="15.75" customHeight="1">
      <c r="A670" s="26">
        <f>IFERROR(__xludf.DUMMYFUNCTION("""COMPUTED_VALUE"""),2316.0)</f>
        <v>2316</v>
      </c>
      <c r="B670" s="22" t="str">
        <f>IFERROR(__xludf.DUMMYFUNCTION("""COMPUTED_VALUE"""),"確定")</f>
        <v>確定</v>
      </c>
      <c r="C670" s="28">
        <f>IFERROR(__xludf.DUMMYFUNCTION("""COMPUTED_VALUE"""),45166.0)</f>
        <v>45166</v>
      </c>
      <c r="D670" s="28">
        <f>IFERROR(__xludf.DUMMYFUNCTION("""COMPUTED_VALUE"""),45181.0)</f>
        <v>45181</v>
      </c>
      <c r="E670" s="31">
        <f>IFERROR(__xludf.DUMMYFUNCTION("""COMPUTED_VALUE"""),277763.0)</f>
        <v>277763</v>
      </c>
      <c r="F670" s="22" t="str">
        <f>IFERROR(__xludf.DUMMYFUNCTION("""COMPUTED_VALUE"""),"溺愛オオカミさんの魅惑エッチは失恋のあとで。")</f>
        <v>溺愛オオカミさんの魅惑エッチは失恋のあとで。</v>
      </c>
      <c r="G670" s="20">
        <f>IFERROR(__xludf.DUMMYFUNCTION("""COMPUTED_VALUE"""),1.0)</f>
        <v>1</v>
      </c>
      <c r="H670" s="22" t="str">
        <f>IFERROR(__xludf.DUMMYFUNCTION("""COMPUTED_VALUE"""),"京橋こより")</f>
        <v>京橋こより</v>
      </c>
      <c r="I670" s="22" t="str">
        <f>IFERROR(__xludf.DUMMYFUNCTION("""COMPUTED_VALUE"""),"TL")</f>
        <v>TL</v>
      </c>
      <c r="J670" s="22"/>
      <c r="K670" s="22"/>
      <c r="L670" s="22" t="str">
        <f>IFERROR(__xludf.DUMMYFUNCTION("""COMPUTED_VALUE"""),"モバイルメディアリサーチ")</f>
        <v>モバイルメディアリサーチ</v>
      </c>
      <c r="M670" s="23">
        <f>IFERROR(__xludf.DUMMYFUNCTION("""COMPUTED_VALUE"""),45212.0)</f>
        <v>45212</v>
      </c>
      <c r="N670" s="23">
        <f>IFERROR(__xludf.DUMMYFUNCTION("""COMPUTED_VALUE"""),45239.0)</f>
        <v>45239</v>
      </c>
      <c r="O670" s="20"/>
      <c r="P670" s="32" t="str">
        <f>IFERROR(__xludf.DUMMYFUNCTION("""COMPUTED_VALUE"""),"可")</f>
        <v>可</v>
      </c>
      <c r="Q670" s="30"/>
      <c r="R670" s="22"/>
      <c r="S670" s="22" t="str">
        <f>IFERROR(__xludf.DUMMYFUNCTION("""COMPUTED_VALUE"""),"20230911_ファンギルド_溺愛オオカミさんの魅惑エッチは失恋のあとで。")</f>
        <v>20230911_ファンギルド_溺愛オオカミさんの魅惑エッチは失恋のあとで。</v>
      </c>
      <c r="T670" s="22" t="str">
        <f>IFERROR(__xludf.DUMMYFUNCTION("""COMPUTED_VALUE"""),"格納済み")</f>
        <v>格納済み</v>
      </c>
      <c r="U670" s="15" t="str">
        <f>IFERROR(__xludf.DUMMYFUNCTION("""COMPUTED_VALUE"""),"Ⓒ京橋こより/モバイルメディアリサーチ")</f>
        <v>Ⓒ京橋こより/モバイルメディアリサーチ</v>
      </c>
      <c r="V670" s="8" t="str">
        <f>IFERROR(__xludf.DUMMYFUNCTION("""COMPUTED_VALUE"""),"「お互いに舐め合おうよ、失恋の傷を」叶わなかった恋心と身体を慰め合う関係だったはずなのに、その愛おしそうに私を見る目はなぜ…？明石桜子26歳、すべての始まりは浅葉さんが玲那さんにフラれたあの夜。浅葉さんに「慰めて欲しい？」冗談で言ったことを本気にされ、体を重ねてしまう。忘れようとしているのに「無かったことにしたくない」と熱いキスで迫られ…!?クチュクチュと淫らな音を立てながら敏感な秘所を舐め回され…「ズルいけど…甘えさせて」そう言って彼のモノで奥までずっぷりと甘くピストンされて！【「激しめオオカミくんの限"&amp;"界エッチ」の浅葉春輝×明石桜子のスピンオフ。二人のエッチな恋の始まりとその結末は－－!?】")</f>
        <v>「お互いに舐め合おうよ、失恋の傷を」叶わなかった恋心と身体を慰め合う関係だったはずなのに、その愛おしそうに私を見る目はなぜ…？明石桜子26歳、すべての始まりは浅葉さんが玲那さんにフラれたあの夜。浅葉さんに「慰めて欲しい？」冗談で言ったことを本気にされ、体を重ねてしまう。忘れようとしているのに「無かったことにしたくない」と熱いキスで迫られ…!?クチュクチュと淫らな音を立てながら敏感な秘所を舐め回され…「ズルいけど…甘えさせて」そう言って彼のモノで奥までずっぷりと甘くピストンされて！【「激しめオオカミくんの限界エッチ」の浅葉春輝×明石桜子のスピンオフ。二人のエッチな恋の始まりとその結末は－－!?】</v>
      </c>
      <c r="W670" s="14"/>
      <c r="X670" s="14" t="str">
        <f>IFERROR(__xludf.DUMMYFUNCTION("""COMPUTED_VALUE"""),"有
")</f>
        <v>有
</v>
      </c>
      <c r="Y670" s="8" t="str">
        <f>IFERROR(__xludf.DUMMYFUNCTION("""COMPUTED_VALUE"""),"10/26まで立ち読み増量P19まで")</f>
        <v>10/26まで立ち読み増量P19まで</v>
      </c>
      <c r="Z670" s="7"/>
      <c r="AA670" s="7"/>
      <c r="AB670" s="7"/>
    </row>
    <row r="671" ht="126.0" customHeight="1">
      <c r="A671" s="26">
        <f>IFERROR(__xludf.DUMMYFUNCTION("""COMPUTED_VALUE"""),2317.0)</f>
        <v>2317</v>
      </c>
      <c r="B671" s="22" t="str">
        <f>IFERROR(__xludf.DUMMYFUNCTION("""COMPUTED_VALUE"""),"確定")</f>
        <v>確定</v>
      </c>
      <c r="C671" s="28">
        <f>IFERROR(__xludf.DUMMYFUNCTION("""COMPUTED_VALUE"""),45166.0)</f>
        <v>45166</v>
      </c>
      <c r="D671" s="28">
        <f>IFERROR(__xludf.DUMMYFUNCTION("""COMPUTED_VALUE"""),45181.0)</f>
        <v>45181</v>
      </c>
      <c r="E671" s="31">
        <f>IFERROR(__xludf.DUMMYFUNCTION("""COMPUTED_VALUE"""),277764.0)</f>
        <v>277764</v>
      </c>
      <c r="F671" s="22" t="str">
        <f>IFERROR(__xludf.DUMMYFUNCTION("""COMPUTED_VALUE"""),"この恋、仕事ですか？～敏腕上司と偽りの同棲はじめます")</f>
        <v>この恋、仕事ですか？～敏腕上司と偽りの同棲はじめます</v>
      </c>
      <c r="G671" s="20" t="str">
        <f>IFERROR(__xludf.DUMMYFUNCTION("""COMPUTED_VALUE"""),"1～4")</f>
        <v>1～4</v>
      </c>
      <c r="H671" s="22" t="str">
        <f>IFERROR(__xludf.DUMMYFUNCTION("""COMPUTED_VALUE"""),"上野結女")</f>
        <v>上野結女</v>
      </c>
      <c r="I671" s="22" t="str">
        <f>IFERROR(__xludf.DUMMYFUNCTION("""COMPUTED_VALUE"""),"女性")</f>
        <v>女性</v>
      </c>
      <c r="J671" s="22"/>
      <c r="K671" s="22"/>
      <c r="L671" s="22" t="str">
        <f>IFERROR(__xludf.DUMMYFUNCTION("""COMPUTED_VALUE"""),"ファンギルド")</f>
        <v>ファンギルド</v>
      </c>
      <c r="M671" s="23">
        <f>IFERROR(__xludf.DUMMYFUNCTION("""COMPUTED_VALUE"""),45210.0)</f>
        <v>45210</v>
      </c>
      <c r="N671" s="23">
        <f>IFERROR(__xludf.DUMMYFUNCTION("""COMPUTED_VALUE"""),45237.0)</f>
        <v>45237</v>
      </c>
      <c r="O671" s="20"/>
      <c r="P671" s="32" t="str">
        <f>IFERROR(__xludf.DUMMYFUNCTION("""COMPUTED_VALUE"""),"可")</f>
        <v>可</v>
      </c>
      <c r="Q671" s="30"/>
      <c r="R671" s="22"/>
      <c r="S671" s="22" t="str">
        <f>IFERROR(__xludf.DUMMYFUNCTION("""COMPUTED_VALUE"""),"20230911_ファンギルド_この恋、仕事ですか？～敏腕上司と偽りの同棲はじめます")</f>
        <v>20230911_ファンギルド_この恋、仕事ですか？～敏腕上司と偽りの同棲はじめます</v>
      </c>
      <c r="T671" s="22" t="str">
        <f>IFERROR(__xludf.DUMMYFUNCTION("""COMPUTED_VALUE"""),"格納済み")</f>
        <v>格納済み</v>
      </c>
      <c r="U671" s="15" t="str">
        <f>IFERROR(__xludf.DUMMYFUNCTION("""COMPUTED_VALUE"""),"Ⓒ上野結女/ファンギルド")</f>
        <v>Ⓒ上野結女/ファンギルド</v>
      </c>
      <c r="V671" s="8" t="str">
        <f>IFERROR(__xludf.DUMMYFUNCTION("""COMPUTED_VALUE"""),"「してみるか　結婚」会社ではクールビューティーと評判のバリキャリOLすみれ。念願叶って入れた部署で仕事に集中したいのに憧れだった上司の桜庭を意識しすぎるあまり空回ってしまう日々…。そんなすみれを見かねた桜庭は、自分に慣れてもらうためになぜか結婚を切り出して…！？仕事にひたむきな男女がお互いのメリットのために”実験的に結婚する”疑似同棲ラブコメディー！")</f>
        <v>「してみるか　結婚」会社ではクールビューティーと評判のバリキャリOLすみれ。念願叶って入れた部署で仕事に集中したいのに憧れだった上司の桜庭を意識しすぎるあまり空回ってしまう日々…。そんなすみれを見かねた桜庭は、自分に慣れてもらうためになぜか結婚を切り出して…！？仕事にひたむきな男女がお互いのメリットのために”実験的に結婚する”疑似同棲ラブコメディー！</v>
      </c>
      <c r="W671" s="14"/>
      <c r="X671" s="14" t="str">
        <f>IFERROR(__xludf.DUMMYFUNCTION("""COMPUTED_VALUE"""),"有
")</f>
        <v>有
</v>
      </c>
      <c r="Y671" s="8" t="str">
        <f>IFERROR(__xludf.DUMMYFUNCTION("""COMPUTED_VALUE"""),"P9まで")</f>
        <v>P9まで</v>
      </c>
      <c r="Z671" s="7"/>
      <c r="AA671" s="7"/>
      <c r="AB671" s="7"/>
    </row>
    <row r="672" ht="15.75" customHeight="1">
      <c r="A672" s="26">
        <f>IFERROR(__xludf.DUMMYFUNCTION("""COMPUTED_VALUE"""),2318.0)</f>
        <v>2318</v>
      </c>
      <c r="B672" s="22" t="str">
        <f>IFERROR(__xludf.DUMMYFUNCTION("""COMPUTED_VALUE"""),"確定")</f>
        <v>確定</v>
      </c>
      <c r="C672" s="28">
        <f>IFERROR(__xludf.DUMMYFUNCTION("""COMPUTED_VALUE"""),45166.0)</f>
        <v>45166</v>
      </c>
      <c r="D672" s="28">
        <f>IFERROR(__xludf.DUMMYFUNCTION("""COMPUTED_VALUE"""),45181.0)</f>
        <v>45181</v>
      </c>
      <c r="E672" s="31">
        <f>IFERROR(__xludf.DUMMYFUNCTION("""COMPUTED_VALUE"""),277765.0)</f>
        <v>277765</v>
      </c>
      <c r="F672" s="22" t="str">
        <f>IFERROR(__xludf.DUMMYFUNCTION("""COMPUTED_VALUE"""),"邪魔しないで、エンディングを決めるのは私【ページ版】")</f>
        <v>邪魔しないで、エンディングを決めるのは私【ページ版】</v>
      </c>
      <c r="G672" s="20" t="str">
        <f>IFERROR(__xludf.DUMMYFUNCTION("""COMPUTED_VALUE"""),"1~5")</f>
        <v>1~5</v>
      </c>
      <c r="H672" s="22" t="str">
        <f>IFERROR(__xludf.DUMMYFUNCTION("""COMPUTED_VALUE"""),"白崎詩乃/Nokta/Dreamtoon")</f>
        <v>白崎詩乃/Nokta/Dreamtoon</v>
      </c>
      <c r="I672" s="22" t="str">
        <f>IFERROR(__xludf.DUMMYFUNCTION("""COMPUTED_VALUE"""),"女性")</f>
        <v>女性</v>
      </c>
      <c r="J672" s="22"/>
      <c r="K672" s="22"/>
      <c r="L672" s="22" t="str">
        <f>IFERROR(__xludf.DUMMYFUNCTION("""COMPUTED_VALUE"""),"ファンギルド")</f>
        <v>ファンギルド</v>
      </c>
      <c r="M672" s="23">
        <f>IFERROR(__xludf.DUMMYFUNCTION("""COMPUTED_VALUE"""),45216.0)</f>
        <v>45216</v>
      </c>
      <c r="N672" s="23">
        <f>IFERROR(__xludf.DUMMYFUNCTION("""COMPUTED_VALUE"""),45243.0)</f>
        <v>45243</v>
      </c>
      <c r="O672" s="20"/>
      <c r="P672" s="32" t="str">
        <f>IFERROR(__xludf.DUMMYFUNCTION("""COMPUTED_VALUE"""),"可")</f>
        <v>可</v>
      </c>
      <c r="Q672" s="30"/>
      <c r="R672" s="22"/>
      <c r="S672" s="22" t="str">
        <f>IFERROR(__xludf.DUMMYFUNCTION("""COMPUTED_VALUE"""),"20230911_ファンギルド_邪魔しないで、エンディングを決めるのは私")</f>
        <v>20230911_ファンギルド_邪魔しないで、エンディングを決めるのは私</v>
      </c>
      <c r="T672" s="22" t="str">
        <f>IFERROR(__xludf.DUMMYFUNCTION("""COMPUTED_VALUE"""),"格納済み")</f>
        <v>格納済み</v>
      </c>
      <c r="U672" s="15" t="str">
        <f>IFERROR(__xludf.DUMMYFUNCTION("""COMPUTED_VALUE"""),"ⒸNokta/Shino Shirosaki/Dreamtoon/JAMTOON/FUNGUILD")</f>
        <v>ⒸNokta/Shino Shirosaki/Dreamtoon/JAMTOON/FUNGUILD</v>
      </c>
      <c r="V672" s="8" t="str">
        <f>IFERROR(__xludf.DUMMYFUNCTION("""COMPUTED_VALUE"""),"事故で自らが開発した逆ハーレムゲーム【守護の庭園】に転生した理子。しかし転生先が悪役令嬢のベルリタだなんて…！ゲーム通りに進むとヒロインのマガルタをいじめた罰で、4人の攻略ヒーローからありとあらゆる方法で殺されてしまう…！生き残る道はひとつ、マガルタの味方になるルートを切り開き、新たなハッピーエンドにたどり着くこと！しかし新ルートはベルリタがヒーローたちに愛されてしまう、予測できない展開の連続で…！？【「邪魔しないで、エンディングを決めるのは私」の再編集版です。重複購入にご注意ください。】")</f>
        <v>事故で自らが開発した逆ハーレムゲーム【守護の庭園】に転生した理子。しかし転生先が悪役令嬢のベルリタだなんて…！ゲーム通りに進むとヒロインのマガルタをいじめた罰で、4人の攻略ヒーローからありとあらゆる方法で殺されてしまう…！生き残る道はひとつ、マガルタの味方になるルートを切り開き、新たなハッピーエンドにたどり着くこと！しかし新ルートはベルリタがヒーローたちに愛されてしまう、予測できない展開の連続で…！？【「邪魔しないで、エンディングを決めるのは私」の再編集版です。重複購入にご注意ください。】</v>
      </c>
      <c r="W672" s="14"/>
      <c r="X672" s="14" t="str">
        <f>IFERROR(__xludf.DUMMYFUNCTION("""COMPUTED_VALUE"""),"有
")</f>
        <v>有
</v>
      </c>
      <c r="Y672" s="8" t="str">
        <f>IFERROR(__xludf.DUMMYFUNCTION("""COMPUTED_VALUE"""),"10/30まで1巻無料")</f>
        <v>10/30まで1巻無料</v>
      </c>
      <c r="Z672" s="7"/>
      <c r="AA672" s="7"/>
      <c r="AB672" s="7"/>
    </row>
    <row r="673" ht="15.75" customHeight="1">
      <c r="A673" s="26">
        <f>IFERROR(__xludf.DUMMYFUNCTION("""COMPUTED_VALUE"""),2336.0)</f>
        <v>2336</v>
      </c>
      <c r="B673" s="22" t="str">
        <f>IFERROR(__xludf.DUMMYFUNCTION("""COMPUTED_VALUE"""),"確定")</f>
        <v>確定</v>
      </c>
      <c r="C673" s="28">
        <f>IFERROR(__xludf.DUMMYFUNCTION("""COMPUTED_VALUE"""),45169.0)</f>
        <v>45169</v>
      </c>
      <c r="D673" s="28">
        <f>IFERROR(__xludf.DUMMYFUNCTION("""COMPUTED_VALUE"""),45181.0)</f>
        <v>45181</v>
      </c>
      <c r="E673" s="31">
        <f>IFERROR(__xludf.DUMMYFUNCTION("""COMPUTED_VALUE"""),278015.0)</f>
        <v>278015</v>
      </c>
      <c r="F673" s="22" t="str">
        <f>IFERROR(__xludf.DUMMYFUNCTION("""COMPUTED_VALUE"""),"ギャルビッチが変態おじさんにハマっちゃった話（フルカラー）")</f>
        <v>ギャルビッチが変態おじさんにハマっちゃった話（フルカラー）</v>
      </c>
      <c r="G673" s="20" t="str">
        <f>IFERROR(__xludf.DUMMYFUNCTION("""COMPUTED_VALUE"""),"1～3")</f>
        <v>1～3</v>
      </c>
      <c r="H673" s="22" t="str">
        <f>IFERROR(__xludf.DUMMYFUNCTION("""COMPUTED_VALUE"""),"江戸川工房")</f>
        <v>江戸川工房</v>
      </c>
      <c r="I673" s="22" t="str">
        <f>IFERROR(__xludf.DUMMYFUNCTION("""COMPUTED_VALUE"""),"オトナ")</f>
        <v>オトナ</v>
      </c>
      <c r="J673" s="22"/>
      <c r="K673" s="22"/>
      <c r="L673" s="22" t="str">
        <f>IFERROR(__xludf.DUMMYFUNCTION("""COMPUTED_VALUE"""),"FILL-IN")</f>
        <v>FILL-IN</v>
      </c>
      <c r="M673" s="23">
        <f>IFERROR(__xludf.DUMMYFUNCTION("""COMPUTED_VALUE"""),45212.0)</f>
        <v>45212</v>
      </c>
      <c r="N673" s="23">
        <f>IFERROR(__xludf.DUMMYFUNCTION("""COMPUTED_VALUE"""),45239.0)</f>
        <v>45239</v>
      </c>
      <c r="O673" s="20"/>
      <c r="P673" s="29" t="str">
        <f>IFERROR(__xludf.DUMMYFUNCTION("""COMPUTED_VALUE"""),"可")</f>
        <v>可</v>
      </c>
      <c r="Q673" s="30" t="str">
        <f>IFERROR(__xludf.DUMMYFUNCTION("""COMPUTED_VALUE"""),"広告コミットOK(9/12)")</f>
        <v>広告コミットOK(9/12)</v>
      </c>
      <c r="R673" s="22"/>
      <c r="S673" s="30" t="str">
        <f>IFERROR(__xludf.DUMMYFUNCTION("""COMPUTED_VALUE"""),"20230831_ライドオン_ギャルビッチが変態おじさんにハマっちゃった話（フルカラー）")</f>
        <v>20230831_ライドオン_ギャルビッチが変態おじさんにハマっちゃった話（フルカラー）</v>
      </c>
      <c r="T673" s="22"/>
      <c r="U673" s="15" t="str">
        <f>IFERROR(__xludf.DUMMYFUNCTION("""COMPUTED_VALUE"""),"©江戸川工房/FILL-IN")</f>
        <v>©江戸川工房/FILL-IN</v>
      </c>
      <c r="V673" s="8" t="str">
        <f>IFERROR(__xludf.DUMMYFUNCTION("""COMPUTED_VALUE"""),"『援●ギャルビッチが 変態おじさんにハマっちゃった話』フルカラー連載版！
「このおっさんヤベー！何回もイカされる…！」
――エンコーで気を許したオッサンに屋台の売り子を頼まれるギャルビッチ。
しかもバイト料は時給2万!?
怪しいと思いながらも接客すると、キッチンカーの中では下半身を丸裸にされ、
ク〇ニ、手マ〇、ク〇攻めで、敏感なところを容赦なく攻め続けられる。
「こういう事か…！」と、客前で熱い吐息を漏らしながらも、必死に耐えるギャルビッチ！
しかし、Ｇスポットを刺激された時にはもう限界。
"&amp;"
客が引いた瞬間、待ってましたとばかりにオッサンに抱き着き、激しく揺れるキッチンカー！
恥ずかしさに耐えた後のセックスはチョー燃える！
「こんな興奮…どんな男とのセックスでも体験したことがない…！」")</f>
        <v>『援●ギャルビッチが 変態おじさんにハマっちゃった話』フルカラー連載版！
「このおっさんヤベー！何回もイカされる…！」
――エンコーで気を許したオッサンに屋台の売り子を頼まれるギャルビッチ。
しかもバイト料は時給2万!?
怪しいと思いながらも接客すると、キッチンカーの中では下半身を丸裸にされ、
ク〇ニ、手マ〇、ク〇攻めで、敏感なところを容赦なく攻め続けられる。
「こういう事か…！」と、客前で熱い吐息を漏らしながらも、必死に耐えるギャルビッチ！
しかし、Ｇスポットを刺激された時にはもう限界。
客が引いた瞬間、待ってましたとばかりにオッサンに抱き着き、激しく揺れるキッチンカー！
恥ずかしさに耐えた後のセックスはチョー燃える！
「こんな興奮…どんな男とのセックスでも体験したことがない…！」</v>
      </c>
      <c r="W673" s="14"/>
      <c r="X673" s="14" t="str">
        <f>IFERROR(__xludf.DUMMYFUNCTION("""COMPUTED_VALUE"""),"有
")</f>
        <v>有
</v>
      </c>
      <c r="Y673" s="8" t="str">
        <f>IFERROR(__xludf.DUMMYFUNCTION("""COMPUTED_VALUE"""),"P11まで")</f>
        <v>P11まで</v>
      </c>
      <c r="Z673" s="7"/>
      <c r="AA673" s="7"/>
      <c r="AB673" s="7"/>
    </row>
    <row r="674" ht="15.75" customHeight="1">
      <c r="A674" s="26">
        <f>IFERROR(__xludf.DUMMYFUNCTION("""COMPUTED_VALUE"""),2348.0)</f>
        <v>2348</v>
      </c>
      <c r="B674" s="22" t="str">
        <f>IFERROR(__xludf.DUMMYFUNCTION("""COMPUTED_VALUE"""),"確定")</f>
        <v>確定</v>
      </c>
      <c r="C674" s="28">
        <f>IFERROR(__xludf.DUMMYFUNCTION("""COMPUTED_VALUE"""),45174.0)</f>
        <v>45174</v>
      </c>
      <c r="D674" s="28">
        <f>IFERROR(__xludf.DUMMYFUNCTION("""COMPUTED_VALUE"""),45181.0)</f>
        <v>45181</v>
      </c>
      <c r="E674" s="31">
        <f>IFERROR(__xludf.DUMMYFUNCTION("""COMPUTED_VALUE"""),277548.0)</f>
        <v>277548</v>
      </c>
      <c r="F674" s="22" t="str">
        <f>IFERROR(__xludf.DUMMYFUNCTION("""COMPUTED_VALUE"""),"離婚しますよね？～転生したら官能小説の悪役妻でした～")</f>
        <v>離婚しますよね？～転生したら官能小説の悪役妻でした～</v>
      </c>
      <c r="G674" s="20" t="str">
        <f>IFERROR(__xludf.DUMMYFUNCTION("""COMPUTED_VALUE"""),"1~5")</f>
        <v>1~5</v>
      </c>
      <c r="H674" s="22" t="str">
        <f>IFERROR(__xludf.DUMMYFUNCTION("""COMPUTED_VALUE"""),"辻ともすけ")</f>
        <v>辻ともすけ</v>
      </c>
      <c r="I674" s="22" t="str">
        <f>IFERROR(__xludf.DUMMYFUNCTION("""COMPUTED_VALUE"""),"女性")</f>
        <v>女性</v>
      </c>
      <c r="J674" s="22"/>
      <c r="K674" s="22"/>
      <c r="L674" s="22" t="str">
        <f>IFERROR(__xludf.DUMMYFUNCTION("""COMPUTED_VALUE"""),"ライドオン")</f>
        <v>ライドオン</v>
      </c>
      <c r="M674" s="23">
        <f>IFERROR(__xludf.DUMMYFUNCTION("""COMPUTED_VALUE"""),45205.0)</f>
        <v>45205</v>
      </c>
      <c r="N674" s="33">
        <f>IFERROR(__xludf.DUMMYFUNCTION("""COMPUTED_VALUE"""),45387.0)</f>
        <v>45387</v>
      </c>
      <c r="O674" s="20"/>
      <c r="P674" s="29" t="str">
        <f>IFERROR(__xludf.DUMMYFUNCTION("""COMPUTED_VALUE"""),"可")</f>
        <v>可</v>
      </c>
      <c r="Q674" s="30" t="str">
        <f>IFERROR(__xludf.DUMMYFUNCTION("""COMPUTED_VALUE"""),"協業レーベル『シーモア×アラモード』作品です。")</f>
        <v>協業レーベル『シーモア×アラモード』作品です。</v>
      </c>
      <c r="R674" s="22"/>
      <c r="S674" s="22" t="str">
        <f>IFERROR(__xludf.DUMMYFUNCTION("""COMPUTED_VALUE"""),"20230907_ライドオン_離婚しますよね？～転生したら官能小説の悪役妻でした～")</f>
        <v>20230907_ライドオン_離婚しますよね？～転生したら官能小説の悪役妻でした～</v>
      </c>
      <c r="T674" s="22" t="str">
        <f>IFERROR(__xludf.DUMMYFUNCTION("""COMPUTED_VALUE"""),"格納済み")</f>
        <v>格納済み</v>
      </c>
      <c r="U674" s="15" t="str">
        <f>IFERROR(__xludf.DUMMYFUNCTION("""COMPUTED_VALUE"""),"(C)辻ともすけ/ライドオン")</f>
        <v>(C)辻ともすけ/ライドオン</v>
      </c>
      <c r="V674" s="8" t="str">
        <f>IFERROR(__xludf.DUMMYFUNCTION("""COMPUTED_VALUE"""),"「こんな私でもいつか素敵な恋がしたい、そう思ってた」
萩原千代、23歳。
幼い頃に両親を亡くし、現在は祖母と二人で暮らし。
恋人はいたことがないけれど、TL小説を読むだけで今の自分にとっては十分で、質素ながらも平穏な日々を幸せに感じている。
そんなある日、階段を踏み外して転落してしまい、目を覚ますと見知らぬベッドで隣にはイケメンの男性。
自分の見た目もグラマラスな女性に変化していて、恋愛経験のない千代は、突然の刺激的な出来事に戸惑ってしまう。
なんとなく知っている気がする顔に聞き覚えのある名前"&amp;"の人々…。
もしかしてこれって、お気に入りの小説の世界に転生してる…？
しかも自分は悪役妻の美麗になってしまったようで!?")</f>
        <v>「こんな私でもいつか素敵な恋がしたい、そう思ってた」
萩原千代、23歳。
幼い頃に両親を亡くし、現在は祖母と二人で暮らし。
恋人はいたことがないけれど、TL小説を読むだけで今の自分にとっては十分で、質素ながらも平穏な日々を幸せに感じている。
そんなある日、階段を踏み外して転落してしまい、目を覚ますと見知らぬベッドで隣にはイケメンの男性。
自分の見た目もグラマラスな女性に変化していて、恋愛経験のない千代は、突然の刺激的な出来事に戸惑ってしまう。
なんとなく知っている気がする顔に聞き覚えのある名前の人々…。
もしかしてこれって、お気に入りの小説の世界に転生してる…？
しかも自分は悪役妻の美麗になってしまったようで!?</v>
      </c>
      <c r="W674" s="14"/>
      <c r="X674" s="14" t="str">
        <f>IFERROR(__xludf.DUMMYFUNCTION("""COMPUTED_VALUE"""),"有
")</f>
        <v>有
</v>
      </c>
      <c r="Y674" s="8" t="str">
        <f>IFERROR(__xludf.DUMMYFUNCTION("""COMPUTED_VALUE"""),"P13まで")</f>
        <v>P13まで</v>
      </c>
      <c r="Z674" s="7"/>
      <c r="AA674" s="7"/>
      <c r="AB674" s="7"/>
    </row>
    <row r="675" ht="138.75" customHeight="1">
      <c r="A675" s="26">
        <f>IFERROR(__xludf.DUMMYFUNCTION("""COMPUTED_VALUE"""),2349.0)</f>
        <v>2349</v>
      </c>
      <c r="B675" s="22" t="str">
        <f>IFERROR(__xludf.DUMMYFUNCTION("""COMPUTED_VALUE"""),"確定")</f>
        <v>確定</v>
      </c>
      <c r="C675" s="28">
        <f>IFERROR(__xludf.DUMMYFUNCTION("""COMPUTED_VALUE"""),45174.0)</f>
        <v>45174</v>
      </c>
      <c r="D675" s="28">
        <f>IFERROR(__xludf.DUMMYFUNCTION("""COMPUTED_VALUE"""),45181.0)</f>
        <v>45181</v>
      </c>
      <c r="E675" s="26">
        <f>IFERROR(__xludf.DUMMYFUNCTION("""COMPUTED_VALUE"""),259793.0)</f>
        <v>259793</v>
      </c>
      <c r="F675" s="22" t="str">
        <f>IFERROR(__xludf.DUMMYFUNCTION("""COMPUTED_VALUE"""),"紳士な彼氏が性欲モンスターだった件")</f>
        <v>紳士な彼氏が性欲モンスターだった件</v>
      </c>
      <c r="G675" s="20">
        <f>IFERROR(__xludf.DUMMYFUNCTION("""COMPUTED_VALUE"""),1.0)</f>
        <v>1</v>
      </c>
      <c r="H675" s="22" t="str">
        <f>IFERROR(__xludf.DUMMYFUNCTION("""COMPUTED_VALUE"""),"柿村りん")</f>
        <v>柿村りん</v>
      </c>
      <c r="I675" s="14" t="str">
        <f>IFERROR(__xludf.DUMMYFUNCTION("""COMPUTED_VALUE"""),"TL")</f>
        <v>TL</v>
      </c>
      <c r="J675" s="22"/>
      <c r="K675" s="22"/>
      <c r="L675" s="22" t="str">
        <f>IFERROR(__xludf.DUMMYFUNCTION("""COMPUTED_VALUE"""),"ソルマーレ編集部")</f>
        <v>ソルマーレ編集部</v>
      </c>
      <c r="M675" s="23">
        <f>IFERROR(__xludf.DUMMYFUNCTION("""COMPUTED_VALUE"""),45206.0)</f>
        <v>45206</v>
      </c>
      <c r="N675" s="23">
        <f>IFERROR(__xludf.DUMMYFUNCTION("""COMPUTED_VALUE"""),45267.0)</f>
        <v>45267</v>
      </c>
      <c r="O675" s="20"/>
      <c r="P675" s="29" t="str">
        <f>IFERROR(__xludf.DUMMYFUNCTION("""COMPUTED_VALUE"""),"可")</f>
        <v>可</v>
      </c>
      <c r="Q675" s="30" t="str">
        <f>IFERROR(__xludf.DUMMYFUNCTION("""COMPUTED_VALUE"""),"※読み切り作品のため1巻のみですが出稿お願いします")</f>
        <v>※読み切り作品のため1巻のみですが出稿お願いします</v>
      </c>
      <c r="R675" s="22"/>
      <c r="S675" s="22" t="str">
        <f>IFERROR(__xludf.DUMMYFUNCTION("""COMPUTED_VALUE"""),"20230907_ソルマーレ編集部_紳士な彼氏が性欲モンスターだった件")</f>
        <v>20230907_ソルマーレ編集部_紳士な彼氏が性欲モンスターだった件</v>
      </c>
      <c r="T675" s="22" t="str">
        <f>IFERROR(__xludf.DUMMYFUNCTION("""COMPUTED_VALUE"""),"格納済み")</f>
        <v>格納済み</v>
      </c>
      <c r="U675" s="15" t="str">
        <f>IFERROR(__xludf.DUMMYFUNCTION("""COMPUTED_VALUE"""),"Ⓒ 柿村りん/シーモアコミックス")</f>
        <v>Ⓒ 柿村りん/シーモアコミックス</v>
      </c>
      <c r="V675" s="8" t="str">
        <f>IFERROR(__xludf.DUMMYFUNCTION("""COMPUTED_VALUE"""),"紳士な彼氏の裏の顔――「俺、××強いから!!」
ずっと片想いしていた颯太（そうた）とやっとカレカノになれた花菜（かな）。紳士で優しくて完璧な彼氏だけど、Hの後はお泊りなしですぐ帰ってしまう…もっとイチャイチャしたいのに!! もしかして他に好きな子ができた？別れたい!? そんなのイヤッ!! 彼にもっともっと好きになってもらうために花菜が考えた作戦は――？ 【桃色日記】")</f>
        <v>紳士な彼氏の裏の顔――「俺、××強いから!!」
ずっと片想いしていた颯太（そうた）とやっとカレカノになれた花菜（かな）。紳士で優しくて完璧な彼氏だけど、Hの後はお泊りなしですぐ帰ってしまう…もっとイチャイチャしたいのに!! もしかして他に好きな子ができた？別れたい!? そんなのイヤッ!! 彼にもっともっと好きになってもらうために花菜が考えた作戦は――？ 【桃色日記】</v>
      </c>
      <c r="W675" s="14"/>
      <c r="X675" s="14" t="str">
        <f>IFERROR(__xludf.DUMMYFUNCTION("""COMPUTED_VALUE"""),"有
")</f>
        <v>有
</v>
      </c>
      <c r="Y675" s="8" t="str">
        <f>IFERROR(__xludf.DUMMYFUNCTION("""COMPUTED_VALUE"""),"P10まで")</f>
        <v>P10まで</v>
      </c>
      <c r="Z675" s="7"/>
      <c r="AA675" s="7"/>
      <c r="AB675" s="7"/>
    </row>
    <row r="676" ht="117.75" customHeight="1">
      <c r="A676" s="26">
        <f>IFERROR(__xludf.DUMMYFUNCTION("""COMPUTED_VALUE"""),2362.0)</f>
        <v>2362</v>
      </c>
      <c r="B676" s="22" t="str">
        <f>IFERROR(__xludf.DUMMYFUNCTION("""COMPUTED_VALUE"""),"確定")</f>
        <v>確定</v>
      </c>
      <c r="C676" s="28">
        <f>IFERROR(__xludf.DUMMYFUNCTION("""COMPUTED_VALUE"""),45176.0)</f>
        <v>45176</v>
      </c>
      <c r="D676" s="28">
        <f>IFERROR(__xludf.DUMMYFUNCTION("""COMPUTED_VALUE"""),45181.0)</f>
        <v>45181</v>
      </c>
      <c r="E676" s="31">
        <f>IFERROR(__xludf.DUMMYFUNCTION("""COMPUTED_VALUE"""),277727.0)</f>
        <v>277727</v>
      </c>
      <c r="F676" s="22" t="str">
        <f>IFERROR(__xludf.DUMMYFUNCTION("""COMPUTED_VALUE"""),"空の音色【マイクロ】")</f>
        <v>空の音色【マイクロ】</v>
      </c>
      <c r="G676" s="16" t="str">
        <f>IFERROR(__xludf.DUMMYFUNCTION("""COMPUTED_VALUE"""),"1～3")</f>
        <v>1～3</v>
      </c>
      <c r="H676" s="22" t="str">
        <f>IFERROR(__xludf.DUMMYFUNCTION("""COMPUTED_VALUE"""),"水沢めぐみ")</f>
        <v>水沢めぐみ</v>
      </c>
      <c r="I676" s="22" t="str">
        <f>IFERROR(__xludf.DUMMYFUNCTION("""COMPUTED_VALUE"""),"女性")</f>
        <v>女性</v>
      </c>
      <c r="J676" s="22"/>
      <c r="K676" s="22"/>
      <c r="L676" s="22" t="str">
        <f>IFERROR(__xludf.DUMMYFUNCTION("""COMPUTED_VALUE"""),"小学館")</f>
        <v>小学館</v>
      </c>
      <c r="M676" s="23">
        <f>IFERROR(__xludf.DUMMYFUNCTION("""COMPUTED_VALUE"""),45205.0)</f>
        <v>45205</v>
      </c>
      <c r="N676" s="23">
        <f>IFERROR(__xludf.DUMMYFUNCTION("""COMPUTED_VALUE"""),45267.0)</f>
        <v>45267</v>
      </c>
      <c r="O676" s="20"/>
      <c r="P676" s="29" t="str">
        <f>IFERROR(__xludf.DUMMYFUNCTION("""COMPUTED_VALUE"""),"否")</f>
        <v>否</v>
      </c>
      <c r="Q676" s="30" t="str">
        <f>IFERROR(__xludf.DUMMYFUNCTION("""COMPUTED_VALUE"""),"広告コミットOK(9/12)&lt;BR&gt;9/12更新：先行配信開始日を「10月8日以降でご相談」⇒「2023/10/6」")</f>
        <v>広告コミットOK(9/12)&lt;BR&gt;9/12更新：先行配信開始日を「10月8日以降でご相談」⇒「2023/10/6」</v>
      </c>
      <c r="R676" s="22"/>
      <c r="S676" s="30" t="str">
        <f>IFERROR(__xludf.DUMMYFUNCTION("""COMPUTED_VALUE"""),"20230912_小学館_空の音色【マイクロ】")</f>
        <v>20230912_小学館_空の音色【マイクロ】</v>
      </c>
      <c r="T676" s="22"/>
      <c r="U676" s="15" t="str">
        <f>IFERROR(__xludf.DUMMYFUNCTION("""COMPUTED_VALUE"""),"(C)水沢めぐみ / 小学館")</f>
        <v>(C)水沢めぐみ / 小学館</v>
      </c>
      <c r="V676" s="8" t="str">
        <f>IFERROR(__xludf.DUMMYFUNCTION("""COMPUTED_VALUE"""),"これは、ニセモノ家族が本物の家族になるまでの物語ーーー　２９歳、少女まんが家。仕事も恋も中途半端でパッとしない日々をおくる花音。しかしある日、姉夫婦が事故で亡くなり、姪をひきとり親になることに…！？水沢めぐみ新境地！")</f>
        <v>これは、ニセモノ家族が本物の家族になるまでの物語ーーー　２９歳、少女まんが家。仕事も恋も中途半端でパッとしない日々をおくる花音。しかしある日、姉夫婦が事故で亡くなり、姪をひきとり親になることに…！？水沢めぐみ新境地！</v>
      </c>
      <c r="W676" s="14"/>
      <c r="X676" s="14" t="str">
        <f>IFERROR(__xludf.DUMMYFUNCTION("""COMPUTED_VALUE"""),"有
")</f>
        <v>有
</v>
      </c>
      <c r="Y676" s="8" t="str">
        <f>IFERROR(__xludf.DUMMYFUNCTION("""COMPUTED_VALUE"""),"10/19まで1巻無料")</f>
        <v>10/19まで1巻無料</v>
      </c>
      <c r="Z676" s="7"/>
      <c r="AA676" s="7"/>
      <c r="AB676" s="7"/>
    </row>
    <row r="677" ht="123.0" customHeight="1">
      <c r="A677" s="26">
        <f>IFERROR(__xludf.DUMMYFUNCTION("""COMPUTED_VALUE"""),2363.0)</f>
        <v>2363</v>
      </c>
      <c r="B677" s="22" t="str">
        <f>IFERROR(__xludf.DUMMYFUNCTION("""COMPUTED_VALUE"""),"確定")</f>
        <v>確定</v>
      </c>
      <c r="C677" s="28">
        <f>IFERROR(__xludf.DUMMYFUNCTION("""COMPUTED_VALUE"""),45176.0)</f>
        <v>45176</v>
      </c>
      <c r="D677" s="28">
        <f>IFERROR(__xludf.DUMMYFUNCTION("""COMPUTED_VALUE"""),45180.0)</f>
        <v>45180</v>
      </c>
      <c r="E677" s="31">
        <f>IFERROR(__xludf.DUMMYFUNCTION("""COMPUTED_VALUE"""),277537.0)</f>
        <v>277537</v>
      </c>
      <c r="F677" s="22" t="str">
        <f>IFERROR(__xludf.DUMMYFUNCTION("""COMPUTED_VALUE"""),"「ママ」枠からの脱出！")</f>
        <v>「ママ」枠からの脱出！</v>
      </c>
      <c r="G677" s="20" t="str">
        <f>IFERROR(__xludf.DUMMYFUNCTION("""COMPUTED_VALUE"""),"1～3")</f>
        <v>1～3</v>
      </c>
      <c r="H677" s="22" t="str">
        <f>IFERROR(__xludf.DUMMYFUNCTION("""COMPUTED_VALUE"""),"月島珊瑚／らるむ")</f>
        <v>月島珊瑚／らるむ</v>
      </c>
      <c r="I677" s="22" t="str">
        <f>IFERROR(__xludf.DUMMYFUNCTION("""COMPUTED_VALUE"""),"少女")</f>
        <v>少女</v>
      </c>
      <c r="J677" s="22"/>
      <c r="K677" s="22"/>
      <c r="L677" s="22" t="str">
        <f>IFERROR(__xludf.DUMMYFUNCTION("""COMPUTED_VALUE"""),"集英社")</f>
        <v>集英社</v>
      </c>
      <c r="M677" s="23">
        <f>IFERROR(__xludf.DUMMYFUNCTION("""COMPUTED_VALUE"""),45200.0)</f>
        <v>45200</v>
      </c>
      <c r="N677" s="23">
        <f>IFERROR(__xludf.DUMMYFUNCTION("""COMPUTED_VALUE"""),45291.70833333333)</f>
        <v>45291.70833</v>
      </c>
      <c r="O677" s="20"/>
      <c r="P677" s="32" t="str">
        <f>IFERROR(__xludf.DUMMYFUNCTION("""COMPUTED_VALUE"""),"否")</f>
        <v>否</v>
      </c>
      <c r="Q677" s="30"/>
      <c r="R677" s="22"/>
      <c r="S677" s="22" t="str">
        <f>IFERROR(__xludf.DUMMYFUNCTION("""COMPUTED_VALUE"""),"20230907_集英社_10月新作4作品")</f>
        <v>20230907_集英社_10月新作4作品</v>
      </c>
      <c r="T677" s="22" t="str">
        <f>IFERROR(__xludf.DUMMYFUNCTION("""COMPUTED_VALUE"""),"格納済み")</f>
        <v>格納済み</v>
      </c>
      <c r="U677" s="15" t="str">
        <f>IFERROR(__xludf.DUMMYFUNCTION("""COMPUTED_VALUE"""),"（C）月島珊瑚・らるむ（エブリスタ）／集英社")</f>
        <v>（C）月島珊瑚・らるむ（エブリスタ）／集英社</v>
      </c>
      <c r="V677" s="8" t="str">
        <f>IFERROR(__xludf.DUMMYFUNCTION("""COMPUTED_VALUE"""),"高校時代からの親友の杏・美恵・純・葉子。結婚した今も悩みを相談し合っている4人は、それぞれ家庭に問題を抱えていた。しかし杏の夫の不倫が発覚。働いた経験のない世間知らずだった杏は家出をし、外の世界へと飛び出すが…!?　都合のいい「ママ」という枠から抜け出すことを決意した女性たちの逆転ライフバトル！")</f>
        <v>高校時代からの親友の杏・美恵・純・葉子。結婚した今も悩みを相談し合っている4人は、それぞれ家庭に問題を抱えていた。しかし杏の夫の不倫が発覚。働いた経験のない世間知らずだった杏は家出をし、外の世界へと飛び出すが…!?　都合のいい「ママ」という枠から抜け出すことを決意した女性たちの逆転ライフバトル！</v>
      </c>
      <c r="W677" s="14"/>
      <c r="X677" s="14" t="str">
        <f>IFERROR(__xludf.DUMMYFUNCTION("""COMPUTED_VALUE"""),"有
")</f>
        <v>有
</v>
      </c>
      <c r="Y677" s="8" t="str">
        <f>IFERROR(__xludf.DUMMYFUNCTION("""COMPUTED_VALUE"""),"10/14まで1巻無料")</f>
        <v>10/14まで1巻無料</v>
      </c>
      <c r="Z677" s="7"/>
      <c r="AA677" s="7"/>
      <c r="AB677" s="7"/>
    </row>
    <row r="678" ht="110.25" customHeight="1">
      <c r="A678" s="26">
        <f>IFERROR(__xludf.DUMMYFUNCTION("""COMPUTED_VALUE"""),2364.0)</f>
        <v>2364</v>
      </c>
      <c r="B678" s="22" t="str">
        <f>IFERROR(__xludf.DUMMYFUNCTION("""COMPUTED_VALUE"""),"確定")</f>
        <v>確定</v>
      </c>
      <c r="C678" s="28">
        <f>IFERROR(__xludf.DUMMYFUNCTION("""COMPUTED_VALUE"""),45176.0)</f>
        <v>45176</v>
      </c>
      <c r="D678" s="28">
        <f>IFERROR(__xludf.DUMMYFUNCTION("""COMPUTED_VALUE"""),45180.0)</f>
        <v>45180</v>
      </c>
      <c r="E678" s="31">
        <f>IFERROR(__xludf.DUMMYFUNCTION("""COMPUTED_VALUE"""),277542.0)</f>
        <v>277542</v>
      </c>
      <c r="F678" s="22" t="str">
        <f>IFERROR(__xludf.DUMMYFUNCTION("""COMPUTED_VALUE"""),"ダイヤモンドの花嫁 年下夫は初夜をやりなおしたい")</f>
        <v>ダイヤモンドの花嫁 年下夫は初夜をやりなおしたい</v>
      </c>
      <c r="G678" s="20" t="str">
        <f>IFERROR(__xludf.DUMMYFUNCTION("""COMPUTED_VALUE"""),"1～3")</f>
        <v>1～3</v>
      </c>
      <c r="H678" s="22" t="str">
        <f>IFERROR(__xludf.DUMMYFUNCTION("""COMPUTED_VALUE"""),"漫画:艶原 乱子／原作:涼原 カンナ／キャラクター原案:北沢 きょう")</f>
        <v>漫画:艶原 乱子／原作:涼原 カンナ／キャラクター原案:北沢 きょう</v>
      </c>
      <c r="I678" s="22" t="str">
        <f>IFERROR(__xludf.DUMMYFUNCTION("""COMPUTED_VALUE"""),"少女")</f>
        <v>少女</v>
      </c>
      <c r="J678" s="22"/>
      <c r="K678" s="22"/>
      <c r="L678" s="22" t="str">
        <f>IFERROR(__xludf.DUMMYFUNCTION("""COMPUTED_VALUE"""),"集英社")</f>
        <v>集英社</v>
      </c>
      <c r="M678" s="23">
        <f>IFERROR(__xludf.DUMMYFUNCTION("""COMPUTED_VALUE"""),45200.0)</f>
        <v>45200</v>
      </c>
      <c r="N678" s="23">
        <f>IFERROR(__xludf.DUMMYFUNCTION("""COMPUTED_VALUE"""),45230.0)</f>
        <v>45230</v>
      </c>
      <c r="O678" s="20"/>
      <c r="P678" s="32" t="str">
        <f>IFERROR(__xludf.DUMMYFUNCTION("""COMPUTED_VALUE"""),"否")</f>
        <v>否</v>
      </c>
      <c r="Q678" s="30"/>
      <c r="R678" s="22"/>
      <c r="S678" s="22" t="str">
        <f>IFERROR(__xludf.DUMMYFUNCTION("""COMPUTED_VALUE"""),"20230907_集英社_10月新作4作品")</f>
        <v>20230907_集英社_10月新作4作品</v>
      </c>
      <c r="T678" s="22" t="str">
        <f>IFERROR(__xludf.DUMMYFUNCTION("""COMPUTED_VALUE"""),"格納済み")</f>
        <v>格納済み</v>
      </c>
      <c r="U678" s="15" t="str">
        <f>IFERROR(__xludf.DUMMYFUNCTION("""COMPUTED_VALUE"""),"（C）艶原乱子・涼原カンナ・北沢きょう／集英社")</f>
        <v>（C）艶原乱子・涼原カンナ・北沢きょう／集英社</v>
      </c>
      <c r="V678" s="8" t="str">
        <f>IFERROR(__xludf.DUMMYFUNCTION("""COMPUTED_VALUE"""),"【完璧王子とオタク王妃の騙し合い!?】強大な海軍を持つ大国の王太子ジュリアン。愛する妻エリカへの一途な思いを証明するために立てた計画とは？")</f>
        <v>【完璧王子とオタク王妃の騙し合い!?】強大な海軍を持つ大国の王太子ジュリアン。愛する妻エリカへの一途な思いを証明するために立てた計画とは？</v>
      </c>
      <c r="W678" s="14"/>
      <c r="X678" s="14" t="str">
        <f>IFERROR(__xludf.DUMMYFUNCTION("""COMPUTED_VALUE"""),"有
")</f>
        <v>有
</v>
      </c>
      <c r="Y678" s="8" t="str">
        <f>IFERROR(__xludf.DUMMYFUNCTION("""COMPUTED_VALUE"""),"10/14まで1巻無料")</f>
        <v>10/14まで1巻無料</v>
      </c>
      <c r="Z678" s="7"/>
      <c r="AA678" s="7"/>
      <c r="AB678" s="7"/>
    </row>
    <row r="679" ht="125.25" customHeight="1">
      <c r="A679" s="26">
        <f>IFERROR(__xludf.DUMMYFUNCTION("""COMPUTED_VALUE"""),2365.0)</f>
        <v>2365</v>
      </c>
      <c r="B679" s="22" t="str">
        <f>IFERROR(__xludf.DUMMYFUNCTION("""COMPUTED_VALUE"""),"確定")</f>
        <v>確定</v>
      </c>
      <c r="C679" s="28">
        <f>IFERROR(__xludf.DUMMYFUNCTION("""COMPUTED_VALUE"""),45176.0)</f>
        <v>45176</v>
      </c>
      <c r="D679" s="28">
        <f>IFERROR(__xludf.DUMMYFUNCTION("""COMPUTED_VALUE"""),45180.0)</f>
        <v>45180</v>
      </c>
      <c r="E679" s="31">
        <f>IFERROR(__xludf.DUMMYFUNCTION("""COMPUTED_VALUE"""),277545.0)</f>
        <v>277545</v>
      </c>
      <c r="F679" s="22" t="str">
        <f>IFERROR(__xludf.DUMMYFUNCTION("""COMPUTED_VALUE"""),"私、聖女。いま、監禁されているの")</f>
        <v>私、聖女。いま、監禁されているの</v>
      </c>
      <c r="G679" s="20" t="str">
        <f>IFERROR(__xludf.DUMMYFUNCTION("""COMPUTED_VALUE"""),"1～3")</f>
        <v>1～3</v>
      </c>
      <c r="H679" s="22" t="str">
        <f>IFERROR(__xludf.DUMMYFUNCTION("""COMPUTED_VALUE"""),"大久間ぱんだ／寺町朱穂")</f>
        <v>大久間ぱんだ／寺町朱穂</v>
      </c>
      <c r="I679" s="22" t="str">
        <f>IFERROR(__xludf.DUMMYFUNCTION("""COMPUTED_VALUE"""),"少女")</f>
        <v>少女</v>
      </c>
      <c r="J679" s="22"/>
      <c r="K679" s="22"/>
      <c r="L679" s="22" t="str">
        <f>IFERROR(__xludf.DUMMYFUNCTION("""COMPUTED_VALUE"""),"集英社")</f>
        <v>集英社</v>
      </c>
      <c r="M679" s="23">
        <f>IFERROR(__xludf.DUMMYFUNCTION("""COMPUTED_VALUE"""),45200.0)</f>
        <v>45200</v>
      </c>
      <c r="N679" s="23">
        <f>IFERROR(__xludf.DUMMYFUNCTION("""COMPUTED_VALUE"""),45230.0)</f>
        <v>45230</v>
      </c>
      <c r="O679" s="20"/>
      <c r="P679" s="32" t="str">
        <f>IFERROR(__xludf.DUMMYFUNCTION("""COMPUTED_VALUE"""),"否")</f>
        <v>否</v>
      </c>
      <c r="Q679" s="30"/>
      <c r="R679" s="22"/>
      <c r="S679" s="22" t="str">
        <f>IFERROR(__xludf.DUMMYFUNCTION("""COMPUTED_VALUE"""),"20230907_集英社_10月新作4作品")</f>
        <v>20230907_集英社_10月新作4作品</v>
      </c>
      <c r="T679" s="22" t="str">
        <f>IFERROR(__xludf.DUMMYFUNCTION("""COMPUTED_VALUE"""),"格納済み")</f>
        <v>格納済み</v>
      </c>
      <c r="U679" s="15" t="str">
        <f>IFERROR(__xludf.DUMMYFUNCTION("""COMPUTED_VALUE"""),"（C）大久間ぱんだ・寺町朱穂／集英社")</f>
        <v>（C）大久間ぱんだ・寺町朱穂／集英社</v>
      </c>
      <c r="V679" s="8" t="str">
        <f>IFERROR(__xludf.DUMMYFUNCTION("""COMPUTED_VALUE"""),"【囚われの聖女が外の世界を夢見る脱出ロマンス！】終末の世界に現れた聖女は、世界を救う存在として大切に育てられ、16歳を迎えようとしている。何をするにも困らない生活を与えられていた彼女だが、“自由のない暮らし”に物足りなさを感じていた。そんな時、傷だらけの名前のない男・ナナシと出会い、やがて聖女の真実を知ることになる――。")</f>
        <v>【囚われの聖女が外の世界を夢見る脱出ロマンス！】終末の世界に現れた聖女は、世界を救う存在として大切に育てられ、16歳を迎えようとしている。何をするにも困らない生活を与えられていた彼女だが、“自由のない暮らし”に物足りなさを感じていた。そんな時、傷だらけの名前のない男・ナナシと出会い、やがて聖女の真実を知ることになる――。</v>
      </c>
      <c r="W679" s="14"/>
      <c r="X679" s="14" t="str">
        <f>IFERROR(__xludf.DUMMYFUNCTION("""COMPUTED_VALUE"""),"有
")</f>
        <v>有
</v>
      </c>
      <c r="Y679" s="8" t="str">
        <f>IFERROR(__xludf.DUMMYFUNCTION("""COMPUTED_VALUE"""),"P11まで")</f>
        <v>P11まで</v>
      </c>
      <c r="Z679" s="7"/>
      <c r="AA679" s="7"/>
      <c r="AB679" s="7"/>
    </row>
    <row r="680" ht="115.5" customHeight="1">
      <c r="A680" s="26">
        <f>IFERROR(__xludf.DUMMYFUNCTION("""COMPUTED_VALUE"""),2366.0)</f>
        <v>2366</v>
      </c>
      <c r="B680" s="22" t="str">
        <f>IFERROR(__xludf.DUMMYFUNCTION("""COMPUTED_VALUE"""),"確定")</f>
        <v>確定</v>
      </c>
      <c r="C680" s="28">
        <f>IFERROR(__xludf.DUMMYFUNCTION("""COMPUTED_VALUE"""),45176.0)</f>
        <v>45176</v>
      </c>
      <c r="D680" s="28">
        <f>IFERROR(__xludf.DUMMYFUNCTION("""COMPUTED_VALUE"""),45180.0)</f>
        <v>45180</v>
      </c>
      <c r="E680" s="31">
        <f>IFERROR(__xludf.DUMMYFUNCTION("""COMPUTED_VALUE"""),277544.0)</f>
        <v>277544</v>
      </c>
      <c r="F680" s="22" t="str">
        <f>IFERROR(__xludf.DUMMYFUNCTION("""COMPUTED_VALUE"""),"抱き潰して イかせて とろとろに")</f>
        <v>抱き潰して イかせて とろとろに</v>
      </c>
      <c r="G680" s="20" t="str">
        <f>IFERROR(__xludf.DUMMYFUNCTION("""COMPUTED_VALUE"""),"1～3")</f>
        <v>1～3</v>
      </c>
      <c r="H680" s="22" t="str">
        <f>IFERROR(__xludf.DUMMYFUNCTION("""COMPUTED_VALUE"""),"宮藤華")</f>
        <v>宮藤華</v>
      </c>
      <c r="I680" s="14" t="str">
        <f>IFERROR(__xludf.DUMMYFUNCTION("""COMPUTED_VALUE"""),"少女")</f>
        <v>少女</v>
      </c>
      <c r="J680" s="22"/>
      <c r="K680" s="22"/>
      <c r="L680" s="22" t="str">
        <f>IFERROR(__xludf.DUMMYFUNCTION("""COMPUTED_VALUE"""),"集英社")</f>
        <v>集英社</v>
      </c>
      <c r="M680" s="23">
        <f>IFERROR(__xludf.DUMMYFUNCTION("""COMPUTED_VALUE"""),45200.0)</f>
        <v>45200</v>
      </c>
      <c r="N680" s="23">
        <f>IFERROR(__xludf.DUMMYFUNCTION("""COMPUTED_VALUE"""),45230.0)</f>
        <v>45230</v>
      </c>
      <c r="O680" s="20"/>
      <c r="P680" s="32" t="str">
        <f>IFERROR(__xludf.DUMMYFUNCTION("""COMPUTED_VALUE"""),"否")</f>
        <v>否</v>
      </c>
      <c r="Q680" s="30"/>
      <c r="R680" s="22"/>
      <c r="S680" s="22" t="str">
        <f>IFERROR(__xludf.DUMMYFUNCTION("""COMPUTED_VALUE"""),"20230907_集英社_10月新作4作品")</f>
        <v>20230907_集英社_10月新作4作品</v>
      </c>
      <c r="T680" s="22" t="str">
        <f>IFERROR(__xludf.DUMMYFUNCTION("""COMPUTED_VALUE"""),"格納済み")</f>
        <v>格納済み</v>
      </c>
      <c r="U680" s="15" t="str">
        <f>IFERROR(__xludf.DUMMYFUNCTION("""COMPUTED_VALUE"""),"（C）宮藤華／集英社")</f>
        <v>（C）宮藤華／集英社</v>
      </c>
      <c r="V680" s="8" t="str">
        <f>IFERROR(__xludf.DUMMYFUNCTION("""COMPUTED_VALUE"""),"私の「ハジメテ」奪ってもらいます――。AV鑑賞が趣味の光はエッチなことに興味はあったが、男性不信のため未だ処女。ある日、玄関前で倒れている超絶イケメンと出会い、彼にセックスをしようと誘われてしまう！　こんな奇跡は二度と起こらないと思った光は彼に身を任せて――。エッチがうますぎる彼の素の部分も見て、次第に心ひかれていく光は…？")</f>
        <v>私の「ハジメテ」奪ってもらいます――。AV鑑賞が趣味の光はエッチなことに興味はあったが、男性不信のため未だ処女。ある日、玄関前で倒れている超絶イケメンと出会い、彼にセックスをしようと誘われてしまう！　こんな奇跡は二度と起こらないと思った光は彼に身を任せて――。エッチがうますぎる彼の素の部分も見て、次第に心ひかれていく光は…？</v>
      </c>
      <c r="W680" s="14"/>
      <c r="X680" s="14" t="str">
        <f>IFERROR(__xludf.DUMMYFUNCTION("""COMPUTED_VALUE"""),"有
")</f>
        <v>有
</v>
      </c>
      <c r="Y680" s="8" t="str">
        <f>IFERROR(__xludf.DUMMYFUNCTION("""COMPUTED_VALUE"""),"P11まで")</f>
        <v>P11まで</v>
      </c>
      <c r="Z680" s="7"/>
      <c r="AA680" s="7"/>
      <c r="AB680" s="7"/>
    </row>
    <row r="681" ht="15.75" customHeight="1">
      <c r="A681" s="26">
        <f>IFERROR(__xludf.DUMMYFUNCTION("""COMPUTED_VALUE"""),2370.0)</f>
        <v>2370</v>
      </c>
      <c r="B681" s="22" t="str">
        <f>IFERROR(__xludf.DUMMYFUNCTION("""COMPUTED_VALUE"""),"確定")</f>
        <v>確定</v>
      </c>
      <c r="C681" s="28">
        <f>IFERROR(__xludf.DUMMYFUNCTION("""COMPUTED_VALUE"""),45180.0)</f>
        <v>45180</v>
      </c>
      <c r="D681" s="28">
        <f>IFERROR(__xludf.DUMMYFUNCTION("""COMPUTED_VALUE"""),45180.0)</f>
        <v>45180</v>
      </c>
      <c r="E681" s="26">
        <f>IFERROR(__xludf.DUMMYFUNCTION("""COMPUTED_VALUE"""),263628.0)</f>
        <v>263628</v>
      </c>
      <c r="F681" s="22" t="str">
        <f>IFERROR(__xludf.DUMMYFUNCTION("""COMPUTED_VALUE"""),"2番目に好きなひと。")</f>
        <v>2番目に好きなひと。</v>
      </c>
      <c r="G681" s="20" t="str">
        <f>IFERROR(__xludf.DUMMYFUNCTION("""COMPUTED_VALUE"""),"1～3")</f>
        <v>1～3</v>
      </c>
      <c r="H681" s="22" t="str">
        <f>IFERROR(__xludf.DUMMYFUNCTION("""COMPUTED_VALUE"""),"星名ひつじ")</f>
        <v>星名ひつじ</v>
      </c>
      <c r="I681" s="14" t="str">
        <f>IFERROR(__xludf.DUMMYFUNCTION("""COMPUTED_VALUE"""),"少女")</f>
        <v>少女</v>
      </c>
      <c r="J681" s="22"/>
      <c r="K681" s="22"/>
      <c r="L681" s="22" t="str">
        <f>IFERROR(__xludf.DUMMYFUNCTION("""COMPUTED_VALUE"""),"ソルマーレ編集部")</f>
        <v>ソルマーレ編集部</v>
      </c>
      <c r="M681" s="23">
        <f>IFERROR(__xludf.DUMMYFUNCTION("""COMPUTED_VALUE"""),45213.0)</f>
        <v>45213</v>
      </c>
      <c r="N681" s="23">
        <f>IFERROR(__xludf.DUMMYFUNCTION("""COMPUTED_VALUE"""),45274.0)</f>
        <v>45274</v>
      </c>
      <c r="O681" s="20"/>
      <c r="P681" s="29" t="str">
        <f>IFERROR(__xludf.DUMMYFUNCTION("""COMPUTED_VALUE"""),"可")</f>
        <v>可</v>
      </c>
      <c r="Q681" s="30" t="str">
        <f>IFERROR(__xludf.DUMMYFUNCTION("""COMPUTED_VALUE"""),"※正式タイトル下記の通りです（9/11）&lt;BR&gt;＝＝＝&lt;BR&gt;2番目に好きなひと。&lt;BR&gt;＝＝＝&lt;BR&gt;")</f>
        <v>※正式タイトル下記の通りです（9/11）&lt;BR&gt;＝＝＝&lt;BR&gt;2番目に好きなひと。&lt;BR&gt;＝＝＝&lt;BR&gt;</v>
      </c>
      <c r="R681" s="22"/>
      <c r="S681" s="22" t="str">
        <f>IFERROR(__xludf.DUMMYFUNCTION("""COMPUTED_VALUE"""),"20230911_ソルマーレ編集部_2番目に好きなひと。")</f>
        <v>20230911_ソルマーレ編集部_2番目に好きなひと。</v>
      </c>
      <c r="T681" s="22" t="str">
        <f>IFERROR(__xludf.DUMMYFUNCTION("""COMPUTED_VALUE"""),"格納済み")</f>
        <v>格納済み</v>
      </c>
      <c r="U681" s="15" t="str">
        <f>IFERROR(__xludf.DUMMYFUNCTION("""COMPUTED_VALUE"""),"Ⓒ 星名ひつじ/シーモアコミックス")</f>
        <v>Ⓒ 星名ひつじ/シーモアコミックス</v>
      </c>
      <c r="V681" s="8" t="str">
        <f>IFERROR(__xludf.DUMMYFUNCTION("""COMPUTED_VALUE"""),"幼なじみの葵とエマは付き合って8年め。同棲してからも4年が経ち、いつか結婚するものだと思っていた……。
けれど最近の葵は家事の手伝いはおろか、エマの誕生日さえもそっちのけ。たまには恋人らしく向き合いたいというエマの想いは一方通行で……。
このままで本当に結婚できるの――？　そう思い悩むエマの前に、高校時代に片思いしていた先輩が現れる。先輩は、当時と変わらず優しくて――!?【恋するソワレ】")</f>
        <v>幼なじみの葵とエマは付き合って8年め。同棲してからも4年が経ち、いつか結婚するものだと思っていた……。
けれど最近の葵は家事の手伝いはおろか、エマの誕生日さえもそっちのけ。たまには恋人らしく向き合いたいというエマの想いは一方通行で……。
このままで本当に結婚できるの――？　そう思い悩むエマの前に、高校時代に片思いしていた先輩が現れる。先輩は、当時と変わらず優しくて――!?【恋するソワレ】</v>
      </c>
      <c r="W681" s="14"/>
      <c r="X681" s="14" t="str">
        <f>IFERROR(__xludf.DUMMYFUNCTION("""COMPUTED_VALUE"""),"有
")</f>
        <v>有
</v>
      </c>
      <c r="Y681" s="8" t="str">
        <f>IFERROR(__xludf.DUMMYFUNCTION("""COMPUTED_VALUE"""),"P11まで")</f>
        <v>P11まで</v>
      </c>
      <c r="Z681" s="7"/>
      <c r="AA681" s="7"/>
      <c r="AB681" s="7"/>
    </row>
    <row r="682" ht="15.75" customHeight="1">
      <c r="A682" s="26">
        <f>IFERROR(__xludf.DUMMYFUNCTION("""COMPUTED_VALUE"""),2379.0)</f>
        <v>2379</v>
      </c>
      <c r="B682" s="22" t="str">
        <f>IFERROR(__xludf.DUMMYFUNCTION("""COMPUTED_VALUE"""),"確定")</f>
        <v>確定</v>
      </c>
      <c r="C682" s="28">
        <f>IFERROR(__xludf.DUMMYFUNCTION("""COMPUTED_VALUE"""),45181.0)</f>
        <v>45181</v>
      </c>
      <c r="D682" s="28">
        <f>IFERROR(__xludf.DUMMYFUNCTION("""COMPUTED_VALUE"""),45182.0)</f>
        <v>45182</v>
      </c>
      <c r="E682" s="31">
        <f>IFERROR(__xludf.DUMMYFUNCTION("""COMPUTED_VALUE"""),278027.0)</f>
        <v>278027</v>
      </c>
      <c r="F682" s="22" t="str">
        <f>IFERROR(__xludf.DUMMYFUNCTION("""COMPUTED_VALUE"""),"【ラブチーク】春ちゃんは本当に我慢ができない")</f>
        <v>【ラブチーク】春ちゃんは本当に我慢ができない</v>
      </c>
      <c r="G682" s="16" t="str">
        <f>IFERROR(__xludf.DUMMYFUNCTION("""COMPUTED_VALUE"""),"1～3")</f>
        <v>1～3</v>
      </c>
      <c r="H682" s="22" t="str">
        <f>IFERROR(__xludf.DUMMYFUNCTION("""COMPUTED_VALUE"""),"卯月しお")</f>
        <v>卯月しお</v>
      </c>
      <c r="I682" s="14" t="str">
        <f>IFERROR(__xludf.DUMMYFUNCTION("""COMPUTED_VALUE"""),"TL")</f>
        <v>TL</v>
      </c>
      <c r="J682" s="22"/>
      <c r="K682" s="22"/>
      <c r="L682" s="22" t="str">
        <f>IFERROR(__xludf.DUMMYFUNCTION("""COMPUTED_VALUE"""),"ブライト出版")</f>
        <v>ブライト出版</v>
      </c>
      <c r="M682" s="23">
        <f>IFERROR(__xludf.DUMMYFUNCTION("""COMPUTED_VALUE"""),45213.0)</f>
        <v>45213</v>
      </c>
      <c r="N682" s="23">
        <f>IFERROR(__xludf.DUMMYFUNCTION("""COMPUTED_VALUE"""),45260.0)</f>
        <v>45260</v>
      </c>
      <c r="O682" s="20"/>
      <c r="P682" s="29" t="str">
        <f>IFERROR(__xludf.DUMMYFUNCTION("""COMPUTED_VALUE"""),"可")</f>
        <v>可</v>
      </c>
      <c r="Q682" s="30" t="str">
        <f>IFERROR(__xludf.DUMMYFUNCTION("""COMPUTED_VALUE"""),"3巻素材「kanseimae」のフォルダ使用していただいて問題ございません")</f>
        <v>3巻素材「kanseimae」のフォルダ使用していただいて問題ございません</v>
      </c>
      <c r="R682" s="22"/>
      <c r="S682" s="22" t="str">
        <f>IFERROR(__xludf.DUMMYFUNCTION("""COMPUTED_VALUE"""),"202309012_ブライト出版_【ラブチーク】春ちゃんは本当に我慢ができない")</f>
        <v>202309012_ブライト出版_【ラブチーク】春ちゃんは本当に我慢ができない</v>
      </c>
      <c r="T682" s="22" t="str">
        <f>IFERROR(__xludf.DUMMYFUNCTION("""COMPUTED_VALUE"""),"格納済み")</f>
        <v>格納済み</v>
      </c>
      <c r="U682" s="15" t="str">
        <f>IFERROR(__xludf.DUMMYFUNCTION("""COMPUTED_VALUE"""),"(C)卯月しお／ブライト出版")</f>
        <v>(C)卯月しお／ブライト出版</v>
      </c>
      <c r="V682" s="8" t="str">
        <f>IFERROR(__xludf.DUMMYFUNCTION("""COMPUTED_VALUE"""),"銀行で働く私は学生時代にお付き合いをしていた柳先輩のことがいまだに忘れられない。高校の時から生徒会長を務める柳先輩は今も営業部の人気者。ある日、会社の飲み会で酔っ払って柳先輩に家まで送ってもらったけど、もちろんワンチャン…なんてことはなくて。出来心でローターを使ってみたら中に入って取れなくなっちゃった…！そこに柳先輩が現れてーー…！ 「オモチャとか買うほど、えっちなこと好きだったんだ？」 仕事のデキる陽キャリーマン×恋愛には臆病だけどHなことには興味津々なOLの再会ラブ。")</f>
        <v>銀行で働く私は学生時代にお付き合いをしていた柳先輩のことがいまだに忘れられない。高校の時から生徒会長を務める柳先輩は今も営業部の人気者。ある日、会社の飲み会で酔っ払って柳先輩に家まで送ってもらったけど、もちろんワンチャン…なんてことはなくて。出来心でローターを使ってみたら中に入って取れなくなっちゃった…！そこに柳先輩が現れてーー…！ 「オモチャとか買うほど、えっちなこと好きだったんだ？」 仕事のデキる陽キャリーマン×恋愛には臆病だけどHなことには興味津々なOLの再会ラブ。</v>
      </c>
      <c r="W682" s="14"/>
      <c r="X682" s="14" t="str">
        <f>IFERROR(__xludf.DUMMYFUNCTION("""COMPUTED_VALUE"""),"有
")</f>
        <v>有
</v>
      </c>
      <c r="Y682" s="8" t="str">
        <f>IFERROR(__xludf.DUMMYFUNCTION("""COMPUTED_VALUE"""),"10/30まで1巻無料")</f>
        <v>10/30まで1巻無料</v>
      </c>
      <c r="Z682" s="7"/>
      <c r="AA682" s="7"/>
      <c r="AB682" s="7"/>
    </row>
    <row r="683" ht="15.75" customHeight="1">
      <c r="A683" s="26">
        <f>IFERROR(__xludf.DUMMYFUNCTION("""COMPUTED_VALUE"""),2380.0)</f>
        <v>2380</v>
      </c>
      <c r="B683" s="22" t="str">
        <f>IFERROR(__xludf.DUMMYFUNCTION("""COMPUTED_VALUE"""),"確定")</f>
        <v>確定</v>
      </c>
      <c r="C683" s="28">
        <f>IFERROR(__xludf.DUMMYFUNCTION("""COMPUTED_VALUE"""),45181.0)</f>
        <v>45181</v>
      </c>
      <c r="D683" s="28">
        <f>IFERROR(__xludf.DUMMYFUNCTION("""COMPUTED_VALUE"""),45182.0)</f>
        <v>45182</v>
      </c>
      <c r="E683" s="31">
        <f>IFERROR(__xludf.DUMMYFUNCTION("""COMPUTED_VALUE"""),278725.0)</f>
        <v>278725</v>
      </c>
      <c r="F683" s="22" t="str">
        <f>IFERROR(__xludf.DUMMYFUNCTION("""COMPUTED_VALUE"""),"昭和と推しと青春と！")</f>
        <v>昭和と推しと青春と！</v>
      </c>
      <c r="G683" s="20" t="str">
        <f>IFERROR(__xludf.DUMMYFUNCTION("""COMPUTED_VALUE"""),"1～3")</f>
        <v>1～3</v>
      </c>
      <c r="H683" s="22" t="str">
        <f>IFERROR(__xludf.DUMMYFUNCTION("""COMPUTED_VALUE"""),"阿部摘花")</f>
        <v>阿部摘花</v>
      </c>
      <c r="I683" s="22" t="str">
        <f>IFERROR(__xludf.DUMMYFUNCTION("""COMPUTED_VALUE"""),"女性")</f>
        <v>女性</v>
      </c>
      <c r="J683" s="22"/>
      <c r="K683" s="22"/>
      <c r="L683" s="22" t="str">
        <f>IFERROR(__xludf.DUMMYFUNCTION("""COMPUTED_VALUE"""),"リブレ")</f>
        <v>リブレ</v>
      </c>
      <c r="M683" s="23">
        <f>IFERROR(__xludf.DUMMYFUNCTION("""COMPUTED_VALUE"""),45225.0)</f>
        <v>45225</v>
      </c>
      <c r="N683" s="33">
        <f>IFERROR(__xludf.DUMMYFUNCTION("""COMPUTED_VALUE"""),45315.0)</f>
        <v>45315</v>
      </c>
      <c r="O683" s="20"/>
      <c r="P683" s="29" t="str">
        <f>IFERROR(__xludf.DUMMYFUNCTION("""COMPUTED_VALUE"""),"可")</f>
        <v>可</v>
      </c>
      <c r="Q683" s="30" t="str">
        <f>IFERROR(__xludf.DUMMYFUNCTION("""COMPUTED_VALUE"""),"協業レーベル『バニラブ×シーモア』作品です。")</f>
        <v>協業レーベル『バニラブ×シーモア』作品です。</v>
      </c>
      <c r="R683" s="22"/>
      <c r="S683" s="22" t="str">
        <f>IFERROR(__xludf.DUMMYFUNCTION("""COMPUTED_VALUE"""),"20230912_リブレ_昭和と推しと青春と！")</f>
        <v>20230912_リブレ_昭和と推しと青春と！</v>
      </c>
      <c r="T683" s="22" t="str">
        <f>IFERROR(__xludf.DUMMYFUNCTION("""COMPUTED_VALUE"""),"格納済み")</f>
        <v>格納済み</v>
      </c>
      <c r="U683" s="15" t="str">
        <f>IFERROR(__xludf.DUMMYFUNCTION("""COMPUTED_VALUE"""),"(C)阿部摘花/libre")</f>
        <v>(C)阿部摘花/libre</v>
      </c>
      <c r="V683" s="8" t="str">
        <f>IFERROR(__xludf.DUMMYFUNCTION("""COMPUTED_VALUE"""),"私は今、なぜか若き日の推しに守られている――!?
佐藤香菜（27）は遅れてきた青春の真っ最中。それは、イケオジ俳優四天王の一人・龍崎秋琉（52）という人生初の「推し」に出会ってしまったから！
ところがある日、喧嘩に巻き込まれている香菜を助けてくれたのは………若き日の推し!?
つまり、昭和末期にタイムスリップしている??
「認知接触お構いなく！」のスタンスのはずの香菜なのに、なぜか高校時代の推しになつかれて――!?
推しごと青春ロマンス、昭和で爆誕!!
※本書は「バニラブvol.44」に収録"&amp;"されております。")</f>
        <v>私は今、なぜか若き日の推しに守られている――!?
佐藤香菜（27）は遅れてきた青春の真っ最中。それは、イケオジ俳優四天王の一人・龍崎秋琉（52）という人生初の「推し」に出会ってしまったから！
ところがある日、喧嘩に巻き込まれている香菜を助けてくれたのは………若き日の推し!?
つまり、昭和末期にタイムスリップしている??
「認知接触お構いなく！」のスタンスのはずの香菜なのに、なぜか高校時代の推しになつかれて――!?
推しごと青春ロマンス、昭和で爆誕!!
※本書は「バニラブvol.44」に収録されております。</v>
      </c>
      <c r="W683" s="14"/>
      <c r="X683" s="14" t="str">
        <f>IFERROR(__xludf.DUMMYFUNCTION("""COMPUTED_VALUE"""),"有
")</f>
        <v>有
</v>
      </c>
      <c r="Y683" s="8" t="str">
        <f>IFERROR(__xludf.DUMMYFUNCTION("""COMPUTED_VALUE"""),"P10まで")</f>
        <v>P10まで</v>
      </c>
      <c r="Z683" s="7"/>
      <c r="AA683" s="7"/>
      <c r="AB683" s="7"/>
    </row>
    <row r="684" ht="15.75" customHeight="1">
      <c r="A684" s="26">
        <f>IFERROR(__xludf.DUMMYFUNCTION("""COMPUTED_VALUE"""),2381.0)</f>
        <v>2381</v>
      </c>
      <c r="B684" s="22" t="str">
        <f>IFERROR(__xludf.DUMMYFUNCTION("""COMPUTED_VALUE"""),"確定")</f>
        <v>確定</v>
      </c>
      <c r="C684" s="28">
        <f>IFERROR(__xludf.DUMMYFUNCTION("""COMPUTED_VALUE"""),45181.0)</f>
        <v>45181</v>
      </c>
      <c r="D684" s="28">
        <f>IFERROR(__xludf.DUMMYFUNCTION("""COMPUTED_VALUE"""),45182.0)</f>
        <v>45182</v>
      </c>
      <c r="E684" s="31">
        <f>IFERROR(__xludf.DUMMYFUNCTION("""COMPUTED_VALUE"""),278726.0)</f>
        <v>278726</v>
      </c>
      <c r="F684" s="22" t="str">
        <f>IFERROR(__xludf.DUMMYFUNCTION("""COMPUTED_VALUE"""),"先生、教えてください ～溺甘保育士さんとこじらせ女子～")</f>
        <v>先生、教えてください ～溺甘保育士さんとこじらせ女子～</v>
      </c>
      <c r="G684" s="20" t="str">
        <f>IFERROR(__xludf.DUMMYFUNCTION("""COMPUTED_VALUE"""),"1～3")</f>
        <v>1～3</v>
      </c>
      <c r="H684" s="22" t="str">
        <f>IFERROR(__xludf.DUMMYFUNCTION("""COMPUTED_VALUE"""),"ちさめ")</f>
        <v>ちさめ</v>
      </c>
      <c r="I684" s="22" t="str">
        <f>IFERROR(__xludf.DUMMYFUNCTION("""COMPUTED_VALUE"""),"女性")</f>
        <v>女性</v>
      </c>
      <c r="J684" s="22"/>
      <c r="K684" s="22"/>
      <c r="L684" s="22" t="str">
        <f>IFERROR(__xludf.DUMMYFUNCTION("""COMPUTED_VALUE"""),"リブレ")</f>
        <v>リブレ</v>
      </c>
      <c r="M684" s="23">
        <f>IFERROR(__xludf.DUMMYFUNCTION("""COMPUTED_VALUE"""),45225.0)</f>
        <v>45225</v>
      </c>
      <c r="N684" s="33">
        <f>IFERROR(__xludf.DUMMYFUNCTION("""COMPUTED_VALUE"""),45315.0)</f>
        <v>45315</v>
      </c>
      <c r="O684" s="20"/>
      <c r="P684" s="29" t="str">
        <f>IFERROR(__xludf.DUMMYFUNCTION("""COMPUTED_VALUE"""),"可")</f>
        <v>可</v>
      </c>
      <c r="Q684" s="30" t="str">
        <f>IFERROR(__xludf.DUMMYFUNCTION("""COMPUTED_VALUE"""),"協業レーベル『バニラブ×シーモア』作品です。")</f>
        <v>協業レーベル『バニラブ×シーモア』作品です。</v>
      </c>
      <c r="R684" s="22"/>
      <c r="S684" s="22" t="str">
        <f>IFERROR(__xludf.DUMMYFUNCTION("""COMPUTED_VALUE"""),"20230912_リブレ_先生、教えてください")</f>
        <v>20230912_リブレ_先生、教えてください</v>
      </c>
      <c r="T684" s="22" t="str">
        <f>IFERROR(__xludf.DUMMYFUNCTION("""COMPUTED_VALUE"""),"格納済み")</f>
        <v>格納済み</v>
      </c>
      <c r="U684" s="15" t="str">
        <f>IFERROR(__xludf.DUMMYFUNCTION("""COMPUTED_VALUE"""),"(C)ちさめ/libre")</f>
        <v>(C)ちさめ/libre</v>
      </c>
      <c r="V684" s="8" t="str">
        <f>IFERROR(__xludf.DUMMYFUNCTION("""COMPUTED_VALUE"""),"「俺があなたを好きなことは変わらないです」
奥平あかりは弁当屋のアルバイトに励む26歳。ある日多忙な姉に代わり保育園まで姪をお迎えに行くことに。
どう振舞えばいいか分からなくて混乱してしまうあかりだったけど、救いのヒーローが登場!?　保育士の湊介が助けてくれたことで、ふたりのささやかな交流がはじまって――!?
爽やか保育士さんとコミュ力低め女子の癒し系ラブコメ！
※本書は「バニラブvol.44」に収録されております。")</f>
        <v>「俺があなたを好きなことは変わらないです」
奥平あかりは弁当屋のアルバイトに励む26歳。ある日多忙な姉に代わり保育園まで姪をお迎えに行くことに。
どう振舞えばいいか分からなくて混乱してしまうあかりだったけど、救いのヒーローが登場!?　保育士の湊介が助けてくれたことで、ふたりのささやかな交流がはじまって――!?
爽やか保育士さんとコミュ力低め女子の癒し系ラブコメ！
※本書は「バニラブvol.44」に収録されております。</v>
      </c>
      <c r="W684" s="14"/>
      <c r="X684" s="14" t="str">
        <f>IFERROR(__xludf.DUMMYFUNCTION("""COMPUTED_VALUE"""),"有
")</f>
        <v>有
</v>
      </c>
      <c r="Y684" s="8" t="str">
        <f>IFERROR(__xludf.DUMMYFUNCTION("""COMPUTED_VALUE"""),"P35まで")</f>
        <v>P35まで</v>
      </c>
      <c r="Z684" s="7"/>
      <c r="AA684" s="7"/>
      <c r="AB684" s="7"/>
    </row>
    <row r="685" ht="15.75" customHeight="1">
      <c r="A685" s="26">
        <f>IFERROR(__xludf.DUMMYFUNCTION("""COMPUTED_VALUE"""),1991.0)</f>
        <v>1991</v>
      </c>
      <c r="B685" s="31" t="str">
        <f>IFERROR(__xludf.DUMMYFUNCTION("""COMPUTED_VALUE"""),"確定")</f>
        <v>確定</v>
      </c>
      <c r="C685" s="28">
        <f>IFERROR(__xludf.DUMMYFUNCTION("""COMPUTED_VALUE"""),45069.0)</f>
        <v>45069</v>
      </c>
      <c r="D685" s="28">
        <f>IFERROR(__xludf.DUMMYFUNCTION("""COMPUTED_VALUE"""),45189.0)</f>
        <v>45189</v>
      </c>
      <c r="E685" s="31">
        <f>IFERROR(__xludf.DUMMYFUNCTION("""COMPUTED_VALUE"""),277431.0)</f>
        <v>277431</v>
      </c>
      <c r="F685" s="31" t="str">
        <f>IFERROR(__xludf.DUMMYFUNCTION("""COMPUTED_VALUE"""),"賭恋ロマネスク～大正悪役令嬢と最狂マフィア")</f>
        <v>賭恋ロマネスク～大正悪役令嬢と最狂マフィア</v>
      </c>
      <c r="G685" s="20" t="str">
        <f>IFERROR(__xludf.DUMMYFUNCTION("""COMPUTED_VALUE"""),"1～3")</f>
        <v>1～3</v>
      </c>
      <c r="H685" s="31" t="str">
        <f>IFERROR(__xludf.DUMMYFUNCTION("""COMPUTED_VALUE"""),"花まるこ")</f>
        <v>花まるこ</v>
      </c>
      <c r="I685" s="22" t="str">
        <f>IFERROR(__xludf.DUMMYFUNCTION("""COMPUTED_VALUE"""),"少女")</f>
        <v>少女</v>
      </c>
      <c r="J685" s="31"/>
      <c r="K685" s="31"/>
      <c r="L685" s="31" t="str">
        <f>IFERROR(__xludf.DUMMYFUNCTION("""COMPUTED_VALUE"""),"ウェイブ")</f>
        <v>ウェイブ</v>
      </c>
      <c r="M685" s="23">
        <f>IFERROR(__xludf.DUMMYFUNCTION("""COMPUTED_VALUE"""),45205.0)</f>
        <v>45205</v>
      </c>
      <c r="N685" s="23">
        <f>IFERROR(__xludf.DUMMYFUNCTION("""COMPUTED_VALUE"""),45274.0)</f>
        <v>45274</v>
      </c>
      <c r="O685" s="20"/>
      <c r="P685" s="34" t="str">
        <f>IFERROR(__xludf.DUMMYFUNCTION("""COMPUTED_VALUE"""),"可")</f>
        <v>可</v>
      </c>
      <c r="Q685" s="30" t="str">
        <f>IFERROR(__xludf.DUMMYFUNCTION("""COMPUTED_VALUE"""),"先行配信日10/6へが延期になりました（8/29記載）&lt;BR&gt;事前検討&lt;BR&gt;2か月のシーモア独占先行に変更になりました！&lt;BR&gt;ヤンデレヒーローの悪役令嬢ものなので、良さそうです！&lt;BR&gt;\\solma-fs\all\12_電子書籍事業部\15_ライツビジネスG\ライツ営業T\目的別\01.webプロモ関連\02.出稿用素材格納先\素材暫定格納フォルダ\01.外部出稿事前検討用\検討用_20230523_ウェイブ_花まるこ先生作品")</f>
        <v>先行配信日10/6へが延期になりました（8/29記載）&lt;BR&gt;事前検討&lt;BR&gt;2か月のシーモア独占先行に変更になりました！&lt;BR&gt;ヤンデレヒーローの悪役令嬢ものなので、良さそうです！&lt;BR&gt;\\solma-fs\all\12_電子書籍事業部\15_ライツビジネスG\ライツ営業T\目的別\01.webプロモ関連\02.出稿用素材格納先\素材暫定格納フォルダ\01.外部出稿事前検討用\検討用_20230523_ウェイブ_花まるこ先生作品</v>
      </c>
      <c r="R685" s="31"/>
      <c r="S685" s="30" t="str">
        <f>IFERROR(__xludf.DUMMYFUNCTION("""COMPUTED_VALUE"""),"20230920_ウェイブ_賭恋ロマネスク～大正悪役令嬢と最狂マフィア")</f>
        <v>20230920_ウェイブ_賭恋ロマネスク～大正悪役令嬢と最狂マフィア</v>
      </c>
      <c r="T685" s="31"/>
      <c r="U685" s="15" t="str">
        <f>IFERROR(__xludf.DUMMYFUNCTION("""COMPUTED_VALUE"""),"©花まるこ／wwwave comics")</f>
        <v>©花まるこ／wwwave comics</v>
      </c>
      <c r="V685" s="8" t="str">
        <f>IFERROR(__xludf.DUMMYFUNCTION("""COMPUTED_VALUE"""),"「楽しませてもらおうか、俺がお前を壊したくなるまで」彼を振り向かせるクレイジーな選択。悪役令嬢の運命を賭けた恋が始まる！――不運すぎる限界OLが転生したのは、大正時代を舞台にした乙女ゲームの世界…の悪役令嬢！このままでは、プレイヤーから『危険な男』と恐れられた中国マフィアの白雪（ハク）に殺されてしまう…。だけど、負けてなんていられない！数多のバッドエンドを繰り返してきた私なら、この運命を変えられるはず！「『賭け』をいたしません？」その言葉に、退屈を嫌う白雪は目を輝かせて…")</f>
        <v>「楽しませてもらおうか、俺がお前を壊したくなるまで」彼を振り向かせるクレイジーな選択。悪役令嬢の運命を賭けた恋が始まる！――不運すぎる限界OLが転生したのは、大正時代を舞台にした乙女ゲームの世界…の悪役令嬢！このままでは、プレイヤーから『危険な男』と恐れられた中国マフィアの白雪（ハク）に殺されてしまう…。だけど、負けてなんていられない！数多のバッドエンドを繰り返してきた私なら、この運命を変えられるはず！「『賭け』をいたしません？」その言葉に、退屈を嫌う白雪は目を輝かせて…</v>
      </c>
      <c r="W685" s="14"/>
      <c r="X685" s="14" t="str">
        <f>IFERROR(__xludf.DUMMYFUNCTION("""COMPUTED_VALUE"""),"有
")</f>
        <v>有
</v>
      </c>
      <c r="Y685" s="8" t="str">
        <f>IFERROR(__xludf.DUMMYFUNCTION("""COMPUTED_VALUE"""),"P16まで")</f>
        <v>P16まで</v>
      </c>
      <c r="Z685" s="7"/>
      <c r="AA685" s="7"/>
      <c r="AB685" s="7"/>
    </row>
    <row r="686" ht="15.75" customHeight="1">
      <c r="A686" s="26">
        <f>IFERROR(__xludf.DUMMYFUNCTION("""COMPUTED_VALUE"""),2019.0)</f>
        <v>2019</v>
      </c>
      <c r="B686" s="31" t="str">
        <f>IFERROR(__xludf.DUMMYFUNCTION("""COMPUTED_VALUE"""),"確定")</f>
        <v>確定</v>
      </c>
      <c r="C686" s="28">
        <f>IFERROR(__xludf.DUMMYFUNCTION("""COMPUTED_VALUE"""),45082.0)</f>
        <v>45082</v>
      </c>
      <c r="D686" s="28">
        <f>IFERROR(__xludf.DUMMYFUNCTION("""COMPUTED_VALUE"""),45189.0)</f>
        <v>45189</v>
      </c>
      <c r="E686" s="31">
        <f>IFERROR(__xludf.DUMMYFUNCTION("""COMPUTED_VALUE"""),277434.0)</f>
        <v>277434</v>
      </c>
      <c r="F686" s="31" t="str">
        <f>IFERROR(__xludf.DUMMYFUNCTION("""COMPUTED_VALUE"""),"パーフェクトYES／NO枕～100発100中でヤれちゃう神器")</f>
        <v>パーフェクトYES／NO枕～100発100中でヤれちゃう神器</v>
      </c>
      <c r="G686" s="20" t="str">
        <f>IFERROR(__xludf.DUMMYFUNCTION("""COMPUTED_VALUE"""),"1~5")</f>
        <v>1~5</v>
      </c>
      <c r="H686" s="31" t="str">
        <f>IFERROR(__xludf.DUMMYFUNCTION("""COMPUTED_VALUE"""),"黒崎エーヨ/晴臣廿一/ありまなつぼん")</f>
        <v>黒崎エーヨ/晴臣廿一/ありまなつぼん</v>
      </c>
      <c r="I686" s="31" t="str">
        <f>IFERROR(__xludf.DUMMYFUNCTION("""COMPUTED_VALUE"""),"青年")</f>
        <v>青年</v>
      </c>
      <c r="J686" s="31"/>
      <c r="K686" s="31"/>
      <c r="L686" s="31" t="str">
        <f>IFERROR(__xludf.DUMMYFUNCTION("""COMPUTED_VALUE"""),"ウェイブ")</f>
        <v>ウェイブ</v>
      </c>
      <c r="M686" s="23">
        <f>IFERROR(__xludf.DUMMYFUNCTION("""COMPUTED_VALUE"""),45205.0)</f>
        <v>45205</v>
      </c>
      <c r="N686" s="23">
        <f>IFERROR(__xludf.DUMMYFUNCTION("""COMPUTED_VALUE"""),45274.0)</f>
        <v>45274</v>
      </c>
      <c r="O686" s="20"/>
      <c r="P686" s="34" t="str">
        <f>IFERROR(__xludf.DUMMYFUNCTION("""COMPUTED_VALUE"""),"可")</f>
        <v>可</v>
      </c>
      <c r="Q686" s="30" t="str">
        <f>IFERROR(__xludf.DUMMYFUNCTION("""COMPUTED_VALUE"""),"広告コミットOK(6/15)")</f>
        <v>広告コミットOK(6/15)</v>
      </c>
      <c r="R686" s="31"/>
      <c r="S686" s="31" t="str">
        <f>IFERROR(__xludf.DUMMYFUNCTION("""COMPUTED_VALUE"""),"20230919_wwwave comics_パーフェクトYES／NO枕～100発100中でヤれちゃう神器")</f>
        <v>20230919_wwwave comics_パーフェクトYES／NO枕～100発100中でヤれちゃう神器</v>
      </c>
      <c r="T686" s="31" t="str">
        <f>IFERROR(__xludf.DUMMYFUNCTION("""COMPUTED_VALUE"""),"格納済み")</f>
        <v>格納済み</v>
      </c>
      <c r="U686" s="15" t="str">
        <f>IFERROR(__xludf.DUMMYFUNCTION("""COMPUTED_VALUE"""),"©黒崎エーヨ/晴臣廿一/ありまなつぼん/studio73")</f>
        <v>©黒崎エーヨ/晴臣廿一/ありまなつぼん/studio73</v>
      </c>
      <c r="V686" s="8" t="str">
        <f>IFERROR(__xludf.DUMMYFUNCTION("""COMPUTED_VALUE"""),"Q.100発100中ヤれちゃう、世界一キモチイイバイトとは？――平凡な日常を過ごす大学生の蒼汰は、どんな相手とも必ずエッチできる枕『パーフェクトYES/NO枕』を手に入れる。半信半疑で、家事代行バイト先の人妻に見せたら…欲求不満丸出しのトロ顔で誘ってきて！？さらに職場の生意気女子も、気弱になって体を求めてくる…。ってことはこの枕を使えば、いつも邪険な取引先のツンツン美女もモノにできるはず…！どんな美女も思いのまま、絶対YESなキモチイ無双、開始！")</f>
        <v>Q.100発100中ヤれちゃう、世界一キモチイイバイトとは？――平凡な日常を過ごす大学生の蒼汰は、どんな相手とも必ずエッチできる枕『パーフェクトYES/NO枕』を手に入れる。半信半疑で、家事代行バイト先の人妻に見せたら…欲求不満丸出しのトロ顔で誘ってきて！？さらに職場の生意気女子も、気弱になって体を求めてくる…。ってことはこの枕を使えば、いつも邪険な取引先のツンツン美女もモノにできるはず…！どんな美女も思いのまま、絶対YESなキモチイ無双、開始！</v>
      </c>
      <c r="W686" s="14"/>
      <c r="X686" s="14" t="str">
        <f>IFERROR(__xludf.DUMMYFUNCTION("""COMPUTED_VALUE"""),"有
")</f>
        <v>有
</v>
      </c>
      <c r="Y686" s="8" t="str">
        <f>IFERROR(__xludf.DUMMYFUNCTION("""COMPUTED_VALUE"""),"10/19まで1~2巻無料")</f>
        <v>10/19まで1~2巻無料</v>
      </c>
      <c r="Z686" s="7"/>
      <c r="AA686" s="7"/>
      <c r="AB686" s="7"/>
    </row>
    <row r="687" ht="15.75" customHeight="1">
      <c r="A687" s="26">
        <f>IFERROR(__xludf.DUMMYFUNCTION("""COMPUTED_VALUE"""),2020.0)</f>
        <v>2020</v>
      </c>
      <c r="B687" s="31" t="str">
        <f>IFERROR(__xludf.DUMMYFUNCTION("""COMPUTED_VALUE"""),"確定")</f>
        <v>確定</v>
      </c>
      <c r="C687" s="28">
        <f>IFERROR(__xludf.DUMMYFUNCTION("""COMPUTED_VALUE"""),45082.0)</f>
        <v>45082</v>
      </c>
      <c r="D687" s="28">
        <f>IFERROR(__xludf.DUMMYFUNCTION("""COMPUTED_VALUE"""),45189.0)</f>
        <v>45189</v>
      </c>
      <c r="E687" s="31">
        <f>IFERROR(__xludf.DUMMYFUNCTION("""COMPUTED_VALUE"""),277436.0)</f>
        <v>277436</v>
      </c>
      <c r="F687" s="31" t="str">
        <f>IFERROR(__xludf.DUMMYFUNCTION("""COMPUTED_VALUE"""),"交わる者は救われる")</f>
        <v>交わる者は救われる</v>
      </c>
      <c r="G687" s="20" t="str">
        <f>IFERROR(__xludf.DUMMYFUNCTION("""COMPUTED_VALUE"""),"1~5")</f>
        <v>1~5</v>
      </c>
      <c r="H687" s="31" t="str">
        <f>IFERROR(__xludf.DUMMYFUNCTION("""COMPUTED_VALUE"""),"夏冬しのび/ねこあか/乙倉りんご")</f>
        <v>夏冬しのび/ねこあか/乙倉りんご</v>
      </c>
      <c r="I687" s="31" t="str">
        <f>IFERROR(__xludf.DUMMYFUNCTION("""COMPUTED_VALUE"""),"青年")</f>
        <v>青年</v>
      </c>
      <c r="J687" s="31"/>
      <c r="K687" s="31"/>
      <c r="L687" s="31" t="str">
        <f>IFERROR(__xludf.DUMMYFUNCTION("""COMPUTED_VALUE"""),"ウェイブ")</f>
        <v>ウェイブ</v>
      </c>
      <c r="M687" s="23">
        <f>IFERROR(__xludf.DUMMYFUNCTION("""COMPUTED_VALUE"""),45205.0)</f>
        <v>45205</v>
      </c>
      <c r="N687" s="23">
        <f>IFERROR(__xludf.DUMMYFUNCTION("""COMPUTED_VALUE"""),45274.0)</f>
        <v>45274</v>
      </c>
      <c r="O687" s="20"/>
      <c r="P687" s="34" t="str">
        <f>IFERROR(__xludf.DUMMYFUNCTION("""COMPUTED_VALUE"""),"可")</f>
        <v>可</v>
      </c>
      <c r="Q687" s="30" t="str">
        <f>IFERROR(__xludf.DUMMYFUNCTION("""COMPUTED_VALUE"""),"広告コミットOK(6/15)")</f>
        <v>広告コミットOK(6/15)</v>
      </c>
      <c r="R687" s="31"/>
      <c r="S687" s="31" t="str">
        <f>IFERROR(__xludf.DUMMYFUNCTION("""COMPUTED_VALUE"""),"20230919_wwwave comics_交わる者は救われる")</f>
        <v>20230919_wwwave comics_交わる者は救われる</v>
      </c>
      <c r="T687" s="31" t="str">
        <f>IFERROR(__xludf.DUMMYFUNCTION("""COMPUTED_VALUE"""),"格納済み")</f>
        <v>格納済み</v>
      </c>
      <c r="U687" s="15" t="str">
        <f>IFERROR(__xludf.DUMMYFUNCTION("""COMPUTED_VALUE"""),"©夏冬しのび/ねこあか/乙倉りんご/studio73")</f>
        <v>©夏冬しのび/ねこあか/乙倉りんご/studio73</v>
      </c>
      <c r="V687" s="8" t="str">
        <f>IFERROR(__xludf.DUMMYFUNCTION("""COMPUTED_VALUE"""),"「ご加護を得たければ…宵結び様と交わりなさい」信者たちにカラダ中を弄ばれて…嫌なのに、どうして気持ちよくなっちゃうのッ…――天文サークルの合宿に誘われた女子大生・里絵。しかし合宿先は、新興宗教団体・『宵結びの家』が支配する異様な集落だった…！『宵結び様』の力を得るという名目で、教団中でまぐわいあう信者たち。やがて処女の里絵も目を付けられ、淫らな儀式に身を委ねるよう迫られてしまい…！俗世と隔絶された妖しい教団から、里絵は逃れることができるのか――!?")</f>
        <v>「ご加護を得たければ…宵結び様と交わりなさい」信者たちにカラダ中を弄ばれて…嫌なのに、どうして気持ちよくなっちゃうのッ…――天文サークルの合宿に誘われた女子大生・里絵。しかし合宿先は、新興宗教団体・『宵結びの家』が支配する異様な集落だった…！『宵結び様』の力を得るという名目で、教団中でまぐわいあう信者たち。やがて処女の里絵も目を付けられ、淫らな儀式に身を委ねるよう迫られてしまい…！俗世と隔絶された妖しい教団から、里絵は逃れることができるのか――!?</v>
      </c>
      <c r="W687" s="14"/>
      <c r="X687" s="14" t="str">
        <f>IFERROR(__xludf.DUMMYFUNCTION("""COMPUTED_VALUE"""),"有
")</f>
        <v>有
</v>
      </c>
      <c r="Y687" s="8" t="str">
        <f>IFERROR(__xludf.DUMMYFUNCTION("""COMPUTED_VALUE"""),"10/19まで1~2巻無料")</f>
        <v>10/19まで1~2巻無料</v>
      </c>
      <c r="Z687" s="7"/>
      <c r="AA687" s="7"/>
      <c r="AB687" s="7"/>
    </row>
    <row r="688" ht="15.75" customHeight="1">
      <c r="A688" s="26">
        <f>IFERROR(__xludf.DUMMYFUNCTION("""COMPUTED_VALUE"""),2021.0)</f>
        <v>2021</v>
      </c>
      <c r="B688" s="31" t="str">
        <f>IFERROR(__xludf.DUMMYFUNCTION("""COMPUTED_VALUE"""),"確定")</f>
        <v>確定</v>
      </c>
      <c r="C688" s="28">
        <f>IFERROR(__xludf.DUMMYFUNCTION("""COMPUTED_VALUE"""),45082.0)</f>
        <v>45082</v>
      </c>
      <c r="D688" s="28">
        <f>IFERROR(__xludf.DUMMYFUNCTION("""COMPUTED_VALUE"""),45189.0)</f>
        <v>45189</v>
      </c>
      <c r="E688" s="31">
        <f>IFERROR(__xludf.DUMMYFUNCTION("""COMPUTED_VALUE"""),277435.0)</f>
        <v>277435</v>
      </c>
      <c r="F688" s="31" t="str">
        <f>IFERROR(__xludf.DUMMYFUNCTION("""COMPUTED_VALUE"""),"シャタマン～社宅で始める人妻寝取りハーレム～")</f>
        <v>シャタマン～社宅で始める人妻寝取りハーレム～</v>
      </c>
      <c r="G688" s="20" t="str">
        <f>IFERROR(__xludf.DUMMYFUNCTION("""COMPUTED_VALUE"""),"1~5")</f>
        <v>1~5</v>
      </c>
      <c r="H688" s="31" t="str">
        <f>IFERROR(__xludf.DUMMYFUNCTION("""COMPUTED_VALUE"""),"夏冬しのび/薄荷えん/井上をんあ")</f>
        <v>夏冬しのび/薄荷えん/井上をんあ</v>
      </c>
      <c r="I688" s="31" t="str">
        <f>IFERROR(__xludf.DUMMYFUNCTION("""COMPUTED_VALUE"""),"青年")</f>
        <v>青年</v>
      </c>
      <c r="J688" s="31"/>
      <c r="K688" s="31"/>
      <c r="L688" s="31" t="str">
        <f>IFERROR(__xludf.DUMMYFUNCTION("""COMPUTED_VALUE"""),"ウェイブ")</f>
        <v>ウェイブ</v>
      </c>
      <c r="M688" s="23">
        <f>IFERROR(__xludf.DUMMYFUNCTION("""COMPUTED_VALUE"""),45205.0)</f>
        <v>45205</v>
      </c>
      <c r="N688" s="23">
        <f>IFERROR(__xludf.DUMMYFUNCTION("""COMPUTED_VALUE"""),45274.0)</f>
        <v>45274</v>
      </c>
      <c r="O688" s="20"/>
      <c r="P688" s="34" t="str">
        <f>IFERROR(__xludf.DUMMYFUNCTION("""COMPUTED_VALUE"""),"可")</f>
        <v>可</v>
      </c>
      <c r="Q688" s="30" t="str">
        <f>IFERROR(__xludf.DUMMYFUNCTION("""COMPUTED_VALUE"""),"広告コミットOK(6/15)")</f>
        <v>広告コミットOK(6/15)</v>
      </c>
      <c r="R688" s="31"/>
      <c r="S688" s="31" t="str">
        <f>IFERROR(__xludf.DUMMYFUNCTION("""COMPUTED_VALUE"""),"20230919_wwwave comics_シャタマン～社宅で始める人妻寝取りハーレム～")</f>
        <v>20230919_wwwave comics_シャタマン～社宅で始める人妻寝取りハーレム～</v>
      </c>
      <c r="T688" s="31" t="str">
        <f>IFERROR(__xludf.DUMMYFUNCTION("""COMPUTED_VALUE"""),"格納済み")</f>
        <v>格納済み</v>
      </c>
      <c r="U688" s="15" t="str">
        <f>IFERROR(__xludf.DUMMYFUNCTION("""COMPUTED_VALUE"""),"©夏冬しのび/薄荷えん/井上をんあ/studio73")</f>
        <v>©夏冬しのび/薄荷えん/井上をんあ/studio73</v>
      </c>
      <c r="V688" s="8" t="str">
        <f>IFERROR(__xludf.DUMMYFUNCTION("""COMPUTED_VALUE"""),"「この社宅の奥さんたちは、みんな欲求不満なんだよ？」熱っぽいまなざしで俺を誘う人妻たちに、理性は崩壊寸前で…！――オフィスはもちろん、休日の社宅でも同僚たちにこき使われている俺。俺にとってこの社宅は地獄だった…課長の妻・美樹さんに出会うまでは――。どうやらここに住む人妻はみんな、同僚たちに蔑ろにされてきたらしい。だったら…俺を求めてくれる彼女たちを、同僚たちから寝取って見返してやる…！新感覚の爽快寝取りハーレム・開幕！")</f>
        <v>「この社宅の奥さんたちは、みんな欲求不満なんだよ？」熱っぽいまなざしで俺を誘う人妻たちに、理性は崩壊寸前で…！――オフィスはもちろん、休日の社宅でも同僚たちにこき使われている俺。俺にとってこの社宅は地獄だった…課長の妻・美樹さんに出会うまでは――。どうやらここに住む人妻はみんな、同僚たちに蔑ろにされてきたらしい。だったら…俺を求めてくれる彼女たちを、同僚たちから寝取って見返してやる…！新感覚の爽快寝取りハーレム・開幕！</v>
      </c>
      <c r="W688" s="14"/>
      <c r="X688" s="14" t="str">
        <f>IFERROR(__xludf.DUMMYFUNCTION("""COMPUTED_VALUE"""),"有
")</f>
        <v>有
</v>
      </c>
      <c r="Y688" s="8" t="str">
        <f>IFERROR(__xludf.DUMMYFUNCTION("""COMPUTED_VALUE"""),"10/19まで1~2巻無料")</f>
        <v>10/19まで1~2巻無料</v>
      </c>
      <c r="Z688" s="7"/>
      <c r="AA688" s="7"/>
      <c r="AB688" s="7"/>
    </row>
    <row r="689" ht="123.0" customHeight="1">
      <c r="A689" s="26">
        <f>IFERROR(__xludf.DUMMYFUNCTION("""COMPUTED_VALUE"""),2181.0)</f>
        <v>2181</v>
      </c>
      <c r="B689" s="31" t="str">
        <f>IFERROR(__xludf.DUMMYFUNCTION("""COMPUTED_VALUE"""),"確定")</f>
        <v>確定</v>
      </c>
      <c r="C689" s="28">
        <f>IFERROR(__xludf.DUMMYFUNCTION("""COMPUTED_VALUE"""),45125.0)</f>
        <v>45125</v>
      </c>
      <c r="D689" s="28">
        <f>IFERROR(__xludf.DUMMYFUNCTION("""COMPUTED_VALUE"""),45188.0)</f>
        <v>45188</v>
      </c>
      <c r="E689" s="31">
        <f>IFERROR(__xludf.DUMMYFUNCTION("""COMPUTED_VALUE"""),277147.0)</f>
        <v>277147</v>
      </c>
      <c r="F689" s="31" t="str">
        <f>IFERROR(__xludf.DUMMYFUNCTION("""COMPUTED_VALUE"""),"正ヒロインに転生して断罪されたけど、最強魔術師の王子様に溺愛されてます！？【短編】")</f>
        <v>正ヒロインに転生して断罪されたけど、最強魔術師の王子様に溺愛されてます！？【短編】</v>
      </c>
      <c r="G689" s="11" t="str">
        <f>IFERROR(__xludf.DUMMYFUNCTION("""COMPUTED_VALUE"""),"1～2")</f>
        <v>1～2</v>
      </c>
      <c r="H689" s="31" t="str">
        <f>IFERROR(__xludf.DUMMYFUNCTION("""COMPUTED_VALUE"""),"まちねちね 原作：花菱ななみ")</f>
        <v>まちねちね 原作：花菱ななみ</v>
      </c>
      <c r="I689" s="31" t="str">
        <f>IFERROR(__xludf.DUMMYFUNCTION("""COMPUTED_VALUE"""),"女性")</f>
        <v>女性</v>
      </c>
      <c r="J689" s="31"/>
      <c r="K689" s="31"/>
      <c r="L689" s="31" t="str">
        <f>IFERROR(__xludf.DUMMYFUNCTION("""COMPUTED_VALUE"""),"竹書房")</f>
        <v>竹書房</v>
      </c>
      <c r="M689" s="23">
        <f>IFERROR(__xludf.DUMMYFUNCTION("""COMPUTED_VALUE"""),45200.0)</f>
        <v>45200</v>
      </c>
      <c r="N689" s="23">
        <f>IFERROR(__xludf.DUMMYFUNCTION("""COMPUTED_VALUE"""),45260.0)</f>
        <v>45260</v>
      </c>
      <c r="O689" s="20"/>
      <c r="P689" s="34" t="str">
        <f>IFERROR(__xludf.DUMMYFUNCTION("""COMPUTED_VALUE"""),"可")</f>
        <v>可</v>
      </c>
      <c r="Q689" s="31" t="str">
        <f>IFERROR(__xludf.DUMMYFUNCTION("""COMPUTED_VALUE"""),"※先行期間について、Rentaのみ11月より配信&lt;BR&gt;広告コミットOK(7/21)")</f>
        <v>※先行期間について、Rentaのみ11月より配信&lt;BR&gt;広告コミットOK(7/21)</v>
      </c>
      <c r="R689" s="31" t="str">
        <f>IFERROR(__xludf.DUMMYFUNCTION("""COMPUTED_VALUE"""),"格納済（9/19）")</f>
        <v>格納済（9/19）</v>
      </c>
      <c r="S689" s="31" t="str">
        <f>IFERROR(__xludf.DUMMYFUNCTION("""COMPUTED_VALUE"""),"20230919_竹書房_正ヒロインに転生して断罪されたけど")</f>
        <v>20230919_竹書房_正ヒロインに転生して断罪されたけど</v>
      </c>
      <c r="T689" s="31" t="str">
        <f>IFERROR(__xludf.DUMMYFUNCTION("""COMPUTED_VALUE"""),"格納済み")</f>
        <v>格納済み</v>
      </c>
      <c r="U689" s="15" t="str">
        <f>IFERROR(__xludf.DUMMYFUNCTION("""COMPUTED_VALUE"""),"（C)まちねちね・花菱ななみ/竹書房")</f>
        <v>（C)まちねちね・花菱ななみ/竹書房</v>
      </c>
      <c r="V689" s="8" t="str">
        <f>IFERROR(__xludf.DUMMYFUNCTION("""COMPUTED_VALUE"""),"前作で悪役令嬢・イザベラを陥れようとたくらんだ正ヒロイン・アンジェラ。彼女は罪の清算のため、島流しの船旅の途中だったが、突然の嵐に襲われ命の危機に瀕したその時、前世の記憶を思い出し―――!?")</f>
        <v>前作で悪役令嬢・イザベラを陥れようとたくらんだ正ヒロイン・アンジェラ。彼女は罪の清算のため、島流しの船旅の途中だったが、突然の嵐に襲われ命の危機に瀕したその時、前世の記憶を思い出し―――!?</v>
      </c>
      <c r="W689" s="14"/>
      <c r="X689" s="14" t="str">
        <f>IFERROR(__xludf.DUMMYFUNCTION("""COMPUTED_VALUE"""),"有
")</f>
        <v>有
</v>
      </c>
      <c r="Y689" s="8" t="str">
        <f>IFERROR(__xludf.DUMMYFUNCTION("""COMPUTED_VALUE"""),"P6まで")</f>
        <v>P6まで</v>
      </c>
      <c r="Z689" s="7"/>
      <c r="AA689" s="7"/>
      <c r="AB689" s="7"/>
    </row>
    <row r="690" ht="15.75" customHeight="1">
      <c r="A690" s="26">
        <f>IFERROR(__xludf.DUMMYFUNCTION("""COMPUTED_VALUE"""),2281.0)</f>
        <v>2281</v>
      </c>
      <c r="B690" s="31" t="str">
        <f>IFERROR(__xludf.DUMMYFUNCTION("""COMPUTED_VALUE"""),"確定")</f>
        <v>確定</v>
      </c>
      <c r="C690" s="28">
        <f>IFERROR(__xludf.DUMMYFUNCTION("""COMPUTED_VALUE"""),45152.0)</f>
        <v>45152</v>
      </c>
      <c r="D690" s="28">
        <f>IFERROR(__xludf.DUMMYFUNCTION("""COMPUTED_VALUE"""),45189.0)</f>
        <v>45189</v>
      </c>
      <c r="E690" s="31">
        <f>IFERROR(__xludf.DUMMYFUNCTION("""COMPUTED_VALUE"""),277462.0)</f>
        <v>277462</v>
      </c>
      <c r="F690" s="31" t="str">
        <f>IFERROR(__xludf.DUMMYFUNCTION("""COMPUTED_VALUE"""),"堕ちたカノジョ")</f>
        <v>堕ちたカノジョ</v>
      </c>
      <c r="G690" s="20">
        <f>IFERROR(__xludf.DUMMYFUNCTION("""COMPUTED_VALUE"""),1.0)</f>
        <v>1</v>
      </c>
      <c r="H690" s="31" t="str">
        <f>IFERROR(__xludf.DUMMYFUNCTION("""COMPUTED_VALUE"""),"レモンティー")</f>
        <v>レモンティー</v>
      </c>
      <c r="I690" s="31" t="str">
        <f>IFERROR(__xludf.DUMMYFUNCTION("""COMPUTED_VALUE"""),"オトナ")</f>
        <v>オトナ</v>
      </c>
      <c r="J690" s="31"/>
      <c r="K690" s="31"/>
      <c r="L690" s="31" t="str">
        <f>IFERROR(__xludf.DUMMYFUNCTION("""COMPUTED_VALUE"""),"ナイトコミック")</f>
        <v>ナイトコミック</v>
      </c>
      <c r="M690" s="23">
        <f>IFERROR(__xludf.DUMMYFUNCTION("""COMPUTED_VALUE"""),45212.0)</f>
        <v>45212</v>
      </c>
      <c r="N690" s="23">
        <f>IFERROR(__xludf.DUMMYFUNCTION("""COMPUTED_VALUE"""),45246.0)</f>
        <v>45246</v>
      </c>
      <c r="O690" s="20"/>
      <c r="P690" s="34" t="str">
        <f>IFERROR(__xludf.DUMMYFUNCTION("""COMPUTED_VALUE"""),"可")</f>
        <v>可</v>
      </c>
      <c r="Q690" s="30" t="str">
        <f>IFERROR(__xludf.DUMMYFUNCTION("""COMPUTED_VALUE"""),"広告コミットOk(8/23)")</f>
        <v>広告コミットOk(8/23)</v>
      </c>
      <c r="R690" s="31"/>
      <c r="S690" s="31" t="str">
        <f>IFERROR(__xludf.DUMMYFUNCTION("""COMPUTED_VALUE"""),"20230914_ナイトコミック_堕ちたカノジョ")</f>
        <v>20230914_ナイトコミック_堕ちたカノジョ</v>
      </c>
      <c r="T690" s="31" t="str">
        <f>IFERROR(__xludf.DUMMYFUNCTION("""COMPUTED_VALUE"""),"格納済み")</f>
        <v>格納済み</v>
      </c>
      <c r="U690" s="15" t="str">
        <f>IFERROR(__xludf.DUMMYFUNCTION("""COMPUTED_VALUE"""),"©レモンティー")</f>
        <v>©レモンティー</v>
      </c>
      <c r="V690" s="8" t="str">
        <f>IFERROR(__xludf.DUMMYFUNCTION("""COMPUTED_VALUE"""),"同じ図書委員で付き合うことになった少年と少女。しかし経験の浅さから彼女を一度も気持ちよくすることができず、自己満足なHになってしまう彼氏。はじめてだからきっと気持ちよくなかっただけだよね…？そんな彼女の気持ちにも気付かず…。そんなある日、ある日図書室でセックスしているところを偶然同級生のヤンキーに盗撮されてしまい…。ヤンキーは彼氏と違い、ねっちりとした前戯をしてくる。こんな気持ちいいの知らない…！知らないうちに汁をたっぷり濡らしてしまった彼女は、ヤンキーのセックスに溺れてしまう…")</f>
        <v>同じ図書委員で付き合うことになった少年と少女。しかし経験の浅さから彼女を一度も気持ちよくすることができず、自己満足なHになってしまう彼氏。はじめてだからきっと気持ちよくなかっただけだよね…？そんな彼女の気持ちにも気付かず…。そんなある日、ある日図書室でセックスしているところを偶然同級生のヤンキーに盗撮されてしまい…。ヤンキーは彼氏と違い、ねっちりとした前戯をしてくる。こんな気持ちいいの知らない…！知らないうちに汁をたっぷり濡らしてしまった彼女は、ヤンキーのセックスに溺れてしまう…</v>
      </c>
      <c r="W690" s="14"/>
      <c r="X690" s="14" t="str">
        <f>IFERROR(__xludf.DUMMYFUNCTION("""COMPUTED_VALUE"""),"有
")</f>
        <v>有
</v>
      </c>
      <c r="Y690" s="8" t="str">
        <f>IFERROR(__xludf.DUMMYFUNCTION("""COMPUTED_VALUE"""),"10/26まで立ち読み増量P21まで")</f>
        <v>10/26まで立ち読み増量P21まで</v>
      </c>
      <c r="Z690" s="7"/>
      <c r="AA690" s="7"/>
      <c r="AB690" s="7"/>
    </row>
    <row r="691" ht="15.75" customHeight="1">
      <c r="A691" s="26">
        <f>IFERROR(__xludf.DUMMYFUNCTION("""COMPUTED_VALUE"""),2330.0)</f>
        <v>2330</v>
      </c>
      <c r="B691" s="31" t="str">
        <f>IFERROR(__xludf.DUMMYFUNCTION("""COMPUTED_VALUE"""),"確定")</f>
        <v>確定</v>
      </c>
      <c r="C691" s="28">
        <f>IFERROR(__xludf.DUMMYFUNCTION("""COMPUTED_VALUE"""),45167.0)</f>
        <v>45167</v>
      </c>
      <c r="D691" s="28">
        <f>IFERROR(__xludf.DUMMYFUNCTION("""COMPUTED_VALUE"""),45189.0)</f>
        <v>45189</v>
      </c>
      <c r="E691" s="31">
        <f>IFERROR(__xludf.DUMMYFUNCTION("""COMPUTED_VALUE"""),278966.0)</f>
        <v>278966</v>
      </c>
      <c r="F691" s="31" t="str">
        <f>IFERROR(__xludf.DUMMYFUNCTION("""COMPUTED_VALUE"""),"カフェオレ甘めでお願いします。【マイクロ】")</f>
        <v>カフェオレ甘めでお願いします。【マイクロ】</v>
      </c>
      <c r="G691" s="16" t="str">
        <f>IFERROR(__xludf.DUMMYFUNCTION("""COMPUTED_VALUE"""),"1～3")</f>
        <v>1～3</v>
      </c>
      <c r="H691" s="31" t="str">
        <f>IFERROR(__xludf.DUMMYFUNCTION("""COMPUTED_VALUE"""),"田村ことゆ")</f>
        <v>田村ことゆ</v>
      </c>
      <c r="I691" s="31" t="str">
        <f>IFERROR(__xludf.DUMMYFUNCTION("""COMPUTED_VALUE"""),"少女")</f>
        <v>少女</v>
      </c>
      <c r="J691" s="31"/>
      <c r="K691" s="31"/>
      <c r="L691" s="31" t="str">
        <f>IFERROR(__xludf.DUMMYFUNCTION("""COMPUTED_VALUE"""),"小学館")</f>
        <v>小学館</v>
      </c>
      <c r="M691" s="23">
        <f>IFERROR(__xludf.DUMMYFUNCTION("""COMPUTED_VALUE"""),45224.0)</f>
        <v>45224</v>
      </c>
      <c r="N691" s="23">
        <f>IFERROR(__xludf.DUMMYFUNCTION("""COMPUTED_VALUE"""),45284.0)</f>
        <v>45284</v>
      </c>
      <c r="O691" s="20"/>
      <c r="P691" s="34" t="str">
        <f>IFERROR(__xludf.DUMMYFUNCTION("""COMPUTED_VALUE"""),"否")</f>
        <v>否</v>
      </c>
      <c r="Q691" s="30" t="str">
        <f>IFERROR(__xludf.DUMMYFUNCTION("""COMPUTED_VALUE"""),"広告コミットOK(9/5)")</f>
        <v>広告コミットOK(9/5)</v>
      </c>
      <c r="R691" s="31"/>
      <c r="S691" s="31" t="str">
        <f>IFERROR(__xludf.DUMMYFUNCTION("""COMPUTED_VALUE"""),"20230913_小学館_カフェオレ甘めでお願いします。【マイクロ】")</f>
        <v>20230913_小学館_カフェオレ甘めでお願いします。【マイクロ】</v>
      </c>
      <c r="T691" s="31" t="str">
        <f>IFERROR(__xludf.DUMMYFUNCTION("""COMPUTED_VALUE"""),"格納済み")</f>
        <v>格納済み</v>
      </c>
      <c r="U691" s="15" t="str">
        <f>IFERROR(__xludf.DUMMYFUNCTION("""COMPUTED_VALUE"""),"(C)田村ことゆ / 小学館")</f>
        <v>(C)田村ことゆ / 小学館</v>
      </c>
      <c r="V691" s="8" t="str">
        <f>IFERROR(__xludf.DUMMYFUNCTION("""COMPUTED_VALUE"""),"「あなたが優しいのは、私がお客さんだからですか――？」
ミステリアスな喫茶店店員×陰キャＪＫ。ちょっぴり大人な憧れ年の差ラブ、開幕！
なんとなく入った喫茶店で、少女まんがから飛び出してきたような美青年店員に出会った瑠乃。クラスメイトから自作まんがをいじられていたところを助けてもらったり、雨に降られてしまったところを店に誘ってもらったりする内に、彼への恋心が芽生え…！？もっと、彼のことを知りたい――。。")</f>
        <v>「あなたが優しいのは、私がお客さんだからですか――？」
ミステリアスな喫茶店店員×陰キャＪＫ。ちょっぴり大人な憧れ年の差ラブ、開幕！
なんとなく入った喫茶店で、少女まんがから飛び出してきたような美青年店員に出会った瑠乃。クラスメイトから自作まんがをいじられていたところを助けてもらったり、雨に降られてしまったところを店に誘ってもらったりする内に、彼への恋心が芽生え…！？もっと、彼のことを知りたい――。。</v>
      </c>
      <c r="W691" s="14"/>
      <c r="X691" s="14" t="str">
        <f>IFERROR(__xludf.DUMMYFUNCTION("""COMPUTED_VALUE"""),"有
")</f>
        <v>有
</v>
      </c>
      <c r="Y691" s="8" t="str">
        <f>IFERROR(__xludf.DUMMYFUNCTION("""COMPUTED_VALUE"""),"P14まで")</f>
        <v>P14まで</v>
      </c>
      <c r="Z691" s="7"/>
      <c r="AA691" s="7"/>
      <c r="AB691" s="7"/>
    </row>
    <row r="692" ht="15.75" customHeight="1">
      <c r="A692" s="26">
        <f>IFERROR(__xludf.DUMMYFUNCTION("""COMPUTED_VALUE"""),2340.0)</f>
        <v>2340</v>
      </c>
      <c r="B692" s="31" t="str">
        <f>IFERROR(__xludf.DUMMYFUNCTION("""COMPUTED_VALUE"""),"確定")</f>
        <v>確定</v>
      </c>
      <c r="C692" s="28">
        <f>IFERROR(__xludf.DUMMYFUNCTION("""COMPUTED_VALUE"""),45170.0)</f>
        <v>45170</v>
      </c>
      <c r="D692" s="28">
        <f>IFERROR(__xludf.DUMMYFUNCTION("""COMPUTED_VALUE"""),45189.0)</f>
        <v>45189</v>
      </c>
      <c r="E692" s="31">
        <f>IFERROR(__xludf.DUMMYFUNCTION("""COMPUTED_VALUE"""),275425.0)</f>
        <v>275425</v>
      </c>
      <c r="F692" s="31" t="str">
        <f>IFERROR(__xludf.DUMMYFUNCTION("""COMPUTED_VALUE"""),"ICE LOVE：アイス・ラブ")</f>
        <v>ICE LOVE：アイス・ラブ</v>
      </c>
      <c r="G692" s="20" t="str">
        <f>IFERROR(__xludf.DUMMYFUNCTION("""COMPUTED_VALUE"""),"1~44")</f>
        <v>1~44</v>
      </c>
      <c r="H692" s="31" t="str">
        <f>IFERROR(__xludf.DUMMYFUNCTION("""COMPUTED_VALUE"""),"saint・enty")</f>
        <v>saint・enty</v>
      </c>
      <c r="I692" s="31" t="str">
        <f>IFERROR(__xludf.DUMMYFUNCTION("""COMPUTED_VALUE"""),"青年")</f>
        <v>青年</v>
      </c>
      <c r="J692" s="31"/>
      <c r="K692" s="31"/>
      <c r="L692" s="31" t="str">
        <f>IFERROR(__xludf.DUMMYFUNCTION("""COMPUTED_VALUE"""),"レジンエンターテインメント")</f>
        <v>レジンエンターテインメント</v>
      </c>
      <c r="M692" s="23">
        <f>IFERROR(__xludf.DUMMYFUNCTION("""COMPUTED_VALUE"""),45205.0)</f>
        <v>45205</v>
      </c>
      <c r="N692" s="37" t="str">
        <f>IFERROR(__xludf.DUMMYFUNCTION("""COMPUTED_VALUE"""),"202312/6")</f>
        <v>202312/6</v>
      </c>
      <c r="O692" s="20"/>
      <c r="P692" s="34" t="str">
        <f>IFERROR(__xludf.DUMMYFUNCTION("""COMPUTED_VALUE"""),"可")</f>
        <v>可</v>
      </c>
      <c r="Q692" s="30" t="str">
        <f>IFERROR(__xludf.DUMMYFUNCTION("""COMPUTED_VALUE"""),"コミット済み")</f>
        <v>コミット済み</v>
      </c>
      <c r="R692" s="31"/>
      <c r="S692" s="31" t="str">
        <f>IFERROR(__xludf.DUMMYFUNCTION("""COMPUTED_VALUE"""),"20230904_レジンエンターテインメント_ICE LOVE：アイス・ラブ")</f>
        <v>20230904_レジンエンターテインメント_ICE LOVE：アイス・ラブ</v>
      </c>
      <c r="T692" s="31" t="str">
        <f>IFERROR(__xludf.DUMMYFUNCTION("""COMPUTED_VALUE"""),"格納済み")</f>
        <v>格納済み</v>
      </c>
      <c r="U692" s="15" t="str">
        <f>IFERROR(__xludf.DUMMYFUNCTION("""COMPUTED_VALUE"""),"ⓒsaint・enty / Kidari Studio, Inc.")</f>
        <v>ⓒsaint・enty / Kidari Studio, Inc.</v>
      </c>
      <c r="V692" s="8" t="str">
        <f>IFERROR(__xludf.DUMMYFUNCTION("""COMPUTED_VALUE"""),"スケート界の人気者で、スピードもルックスも抜群の神倉速人。しかし、中身は高飛車で傲慢なチャラ男だった。そんな彼にいつも負けてばかりの、練習熱心な真面目くん、伊氷史也。どんなに一生懸命スケートに取り組んでも、速人との記録の差は全然縮まらない。だけどある日、史也は先輩からこんな話を聞くことになる。「エッチをすると、お前も速くなれるぞ！」")</f>
        <v>スケート界の人気者で、スピードもルックスも抜群の神倉速人。しかし、中身は高飛車で傲慢なチャラ男だった。そんな彼にいつも負けてばかりの、練習熱心な真面目くん、伊氷史也。どんなに一生懸命スケートに取り組んでも、速人との記録の差は全然縮まらない。だけどある日、史也は先輩からこんな話を聞くことになる。「エッチをすると、お前も速くなれるぞ！」</v>
      </c>
      <c r="W692" s="14"/>
      <c r="X692" s="14" t="str">
        <f>IFERROR(__xludf.DUMMYFUNCTION("""COMPUTED_VALUE"""),"有
")</f>
        <v>有
</v>
      </c>
      <c r="Y692" s="8" t="str">
        <f>IFERROR(__xludf.DUMMYFUNCTION("""COMPUTED_VALUE"""),"1巻無料")</f>
        <v>1巻無料</v>
      </c>
      <c r="Z692" s="7"/>
      <c r="AA692" s="7"/>
      <c r="AB692" s="7"/>
    </row>
    <row r="693" ht="15.75" customHeight="1">
      <c r="A693" s="26">
        <f>IFERROR(__xludf.DUMMYFUNCTION("""COMPUTED_VALUE"""),2357.0)</f>
        <v>2357</v>
      </c>
      <c r="B693" s="31" t="str">
        <f>IFERROR(__xludf.DUMMYFUNCTION("""COMPUTED_VALUE"""),"確定")</f>
        <v>確定</v>
      </c>
      <c r="C693" s="28">
        <f>IFERROR(__xludf.DUMMYFUNCTION("""COMPUTED_VALUE"""),45175.0)</f>
        <v>45175</v>
      </c>
      <c r="D693" s="28">
        <f>IFERROR(__xludf.DUMMYFUNCTION("""COMPUTED_VALUE"""),45189.0)</f>
        <v>45189</v>
      </c>
      <c r="E693" s="31">
        <f>IFERROR(__xludf.DUMMYFUNCTION("""COMPUTED_VALUE"""),278557.0)</f>
        <v>278557</v>
      </c>
      <c r="F693" s="31" t="str">
        <f>IFERROR(__xludf.DUMMYFUNCTION("""COMPUTED_VALUE"""),"浮気された地味令嬢が王宮付き美容アドバイザーと秘密のレッスン！ ～浮気男は捨てて氷の公爵令息様を虜にしてみせます～【単話版】")</f>
        <v>浮気された地味令嬢が王宮付き美容アドバイザーと秘密のレッスン！ ～浮気男は捨てて氷の公爵令息様を虜にしてみせます～【単話版】</v>
      </c>
      <c r="G693" s="20" t="str">
        <f>IFERROR(__xludf.DUMMYFUNCTION("""COMPUTED_VALUE"""),"1～8")</f>
        <v>1～8</v>
      </c>
      <c r="H693" s="31" t="str">
        <f>IFERROR(__xludf.DUMMYFUNCTION("""COMPUTED_VALUE"""),"漫画：どーるる 原作：三沢ケイ キャラクター原案：氷堂れん")</f>
        <v>漫画：どーるる 原作：三沢ケイ キャラクター原案：氷堂れん</v>
      </c>
      <c r="I693" s="31" t="str">
        <f>IFERROR(__xludf.DUMMYFUNCTION("""COMPUTED_VALUE"""),"少女")</f>
        <v>少女</v>
      </c>
      <c r="J693" s="31"/>
      <c r="K693" s="31"/>
      <c r="L693" s="31" t="str">
        <f>IFERROR(__xludf.DUMMYFUNCTION("""COMPUTED_VALUE"""),"主婦と生活社")</f>
        <v>主婦と生活社</v>
      </c>
      <c r="M693" s="23">
        <f>IFERROR(__xludf.DUMMYFUNCTION("""COMPUTED_VALUE"""),45218.0)</f>
        <v>45218</v>
      </c>
      <c r="N693" s="23">
        <f>IFERROR(__xludf.DUMMYFUNCTION("""COMPUTED_VALUE"""),45278.0)</f>
        <v>45278</v>
      </c>
      <c r="O693" s="20"/>
      <c r="P693" s="34" t="str">
        <f>IFERROR(__xludf.DUMMYFUNCTION("""COMPUTED_VALUE"""),"否")</f>
        <v>否</v>
      </c>
      <c r="Q693" s="30" t="str">
        <f>IFERROR(__xludf.DUMMYFUNCTION("""COMPUTED_VALUE"""),"広告コミットOK(9/12)")</f>
        <v>広告コミットOK(9/12)</v>
      </c>
      <c r="R693" s="31"/>
      <c r="S693" s="31" t="str">
        <f>IFERROR(__xludf.DUMMYFUNCTION("""COMPUTED_VALUE"""),"20230919_主婦と生活社_浮気された地味令嬢が王宮付き美容アドバイザーと秘密のレッスン！ ～浮気男は捨てて氷の公爵令息様を虜にしてみせます～【単話版】")</f>
        <v>20230919_主婦と生活社_浮気された地味令嬢が王宮付き美容アドバイザーと秘密のレッスン！ ～浮気男は捨てて氷の公爵令息様を虜にしてみせます～【単話版】</v>
      </c>
      <c r="T693" s="31" t="str">
        <f>IFERROR(__xludf.DUMMYFUNCTION("""COMPUTED_VALUE"""),"格納済み")</f>
        <v>格納済み</v>
      </c>
      <c r="U693" s="15" t="str">
        <f>IFERROR(__xludf.DUMMYFUNCTION("""COMPUTED_VALUE"""),"(c)どーるる・三沢ケイ・氷堂れん／主婦と生活社")</f>
        <v>(c)どーるる・三沢ケイ・氷堂れん／主婦と生活社</v>
      </c>
      <c r="V693" s="8" t="str">
        <f>IFERROR(__xludf.DUMMYFUNCTION("""COMPUTED_VALUE"""),"令嬢ジャネットは今日も舞踏会場の壁の花。
エスコート役の婚約者・ダグラスが自分をほったらかすのは毎度のことだが、今日は見知らぬ美少女と火遊び中の彼を目撃してしまい、涙が止められない。
そんなジャネットに声をかけてきたのはーーーー
「何をやってもブスで貧相でどうしようも
ない女なんて、この世に存在しないのよ！」
男の身でありながら王宮お抱え
の美容アドバイザー・アマンディーヌだった。
半強制的にアマンディーヌから美にまつわる
レッスンを受けることになったジャネットは、
綺麗になって婚約者を"&amp;"ギャフンと言わせることができるのか!?
初恋成就を目指す「美」のスパルタラブコメディ、開幕!!")</f>
        <v>令嬢ジャネットは今日も舞踏会場の壁の花。
エスコート役の婚約者・ダグラスが自分をほったらかすのは毎度のことだが、今日は見知らぬ美少女と火遊び中の彼を目撃してしまい、涙が止められない。
そんなジャネットに声をかけてきたのはーーーー
「何をやってもブスで貧相でどうしようも
ない女なんて、この世に存在しないのよ！」
男の身でありながら王宮お抱え
の美容アドバイザー・アマンディーヌだった。
半強制的にアマンディーヌから美にまつわる
レッスンを受けることになったジャネットは、
綺麗になって婚約者をギャフンと言わせることができるのか!?
初恋成就を目指す「美」のスパルタラブコメディ、開幕!!</v>
      </c>
      <c r="W693" s="14"/>
      <c r="X693" s="14" t="str">
        <f>IFERROR(__xludf.DUMMYFUNCTION("""COMPUTED_VALUE"""),"有
")</f>
        <v>有
</v>
      </c>
      <c r="Y693" s="8" t="str">
        <f>IFERROR(__xludf.DUMMYFUNCTION("""COMPUTED_VALUE"""),"12/18まで1~2巻無料")</f>
        <v>12/18まで1~2巻無料</v>
      </c>
      <c r="Z693" s="7"/>
      <c r="AA693" s="7"/>
      <c r="AB693" s="7"/>
    </row>
    <row r="694" ht="15.75" customHeight="1">
      <c r="A694" s="26">
        <f>IFERROR(__xludf.DUMMYFUNCTION("""COMPUTED_VALUE"""),2358.0)</f>
        <v>2358</v>
      </c>
      <c r="B694" s="31" t="str">
        <f>IFERROR(__xludf.DUMMYFUNCTION("""COMPUTED_VALUE"""),"確定")</f>
        <v>確定</v>
      </c>
      <c r="C694" s="28">
        <f>IFERROR(__xludf.DUMMYFUNCTION("""COMPUTED_VALUE"""),45176.0)</f>
        <v>45176</v>
      </c>
      <c r="D694" s="28">
        <f>IFERROR(__xludf.DUMMYFUNCTION("""COMPUTED_VALUE"""),45189.0)</f>
        <v>45189</v>
      </c>
      <c r="E694" s="31">
        <f>IFERROR(__xludf.DUMMYFUNCTION("""COMPUTED_VALUE"""),278847.0)</f>
        <v>278847</v>
      </c>
      <c r="F694" s="31" t="str">
        <f>IFERROR(__xludf.DUMMYFUNCTION("""COMPUTED_VALUE"""),"いじめっ子、女(メス)になる。")</f>
        <v>いじめっ子、女(メス)になる。</v>
      </c>
      <c r="G694" s="11" t="str">
        <f>IFERROR(__xludf.DUMMYFUNCTION("""COMPUTED_VALUE"""),"1～2")</f>
        <v>1～2</v>
      </c>
      <c r="H694" s="31" t="str">
        <f>IFERROR(__xludf.DUMMYFUNCTION("""COMPUTED_VALUE"""),"グレートモス")</f>
        <v>グレートモス</v>
      </c>
      <c r="I694" s="31" t="str">
        <f>IFERROR(__xludf.DUMMYFUNCTION("""COMPUTED_VALUE"""),"オトナ")</f>
        <v>オトナ</v>
      </c>
      <c r="J694" s="31"/>
      <c r="K694" s="31"/>
      <c r="L694" s="31" t="str">
        <f>IFERROR(__xludf.DUMMYFUNCTION("""COMPUTED_VALUE"""),"ナイトコミック")</f>
        <v>ナイトコミック</v>
      </c>
      <c r="M694" s="23">
        <f>IFERROR(__xludf.DUMMYFUNCTION("""COMPUTED_VALUE"""),45231.0)</f>
        <v>45231</v>
      </c>
      <c r="N694" s="23">
        <f>IFERROR(__xludf.DUMMYFUNCTION("""COMPUTED_VALUE"""),45291.0)</f>
        <v>45291</v>
      </c>
      <c r="O694" s="20"/>
      <c r="P694" s="34" t="str">
        <f>IFERROR(__xludf.DUMMYFUNCTION("""COMPUTED_VALUE"""),"可")</f>
        <v>可</v>
      </c>
      <c r="Q694" s="30" t="str">
        <f>IFERROR(__xludf.DUMMYFUNCTION("""COMPUTED_VALUE"""),"広告コミットOK(9/19)")</f>
        <v>広告コミットOK(9/19)</v>
      </c>
      <c r="R694" s="31"/>
      <c r="S694" s="31" t="str">
        <f>IFERROR(__xludf.DUMMYFUNCTION("""COMPUTED_VALUE"""),"20230914_ナイトコミック_いじめっ子、女(メス)になる。")</f>
        <v>20230914_ナイトコミック_いじめっ子、女(メス)になる。</v>
      </c>
      <c r="T694" s="31" t="str">
        <f>IFERROR(__xludf.DUMMYFUNCTION("""COMPUTED_VALUE"""),"格納済み")</f>
        <v>格納済み</v>
      </c>
      <c r="U694" s="15" t="str">
        <f>IFERROR(__xludf.DUMMYFUNCTION("""COMPUTED_VALUE"""),"©グレートモス")</f>
        <v>©グレートモス</v>
      </c>
      <c r="V694" s="8" t="str">
        <f>IFERROR(__xludf.DUMMYFUNCTION("""COMPUTED_VALUE"""),"なかなか友達のできないマイペースな陰山隼人は
同じクラスのいじめっ子「浅黄司」にいつも揶揄われていた。
そんなある日、突如浅黄司が女になってしまって…！？
いつも通り陰山をいびる浅黄だったが、女になった浅黄が陰山に力で敵うはずもなく陰山のなすがままになってしまう！
その後も場所を選ばず陰山に犯される浅黄…
やがていじめっ子はメスの悦びに目覚めていき…！？")</f>
        <v>なかなか友達のできないマイペースな陰山隼人は
同じクラスのいじめっ子「浅黄司」にいつも揶揄われていた。
そんなある日、突如浅黄司が女になってしまって…！？
いつも通り陰山をいびる浅黄だったが、女になった浅黄が陰山に力で敵うはずもなく陰山のなすがままになってしまう！
その後も場所を選ばず陰山に犯される浅黄…
やがていじめっ子はメスの悦びに目覚めていき…！？</v>
      </c>
      <c r="W694" s="14"/>
      <c r="X694" s="14" t="str">
        <f>IFERROR(__xludf.DUMMYFUNCTION("""COMPUTED_VALUE"""),"有
")</f>
        <v>有
</v>
      </c>
      <c r="Y694" s="8" t="str">
        <f>IFERROR(__xludf.DUMMYFUNCTION("""COMPUTED_VALUE"""),"12/31まで立ち読み増量P15まで")</f>
        <v>12/31まで立ち読み増量P15まで</v>
      </c>
      <c r="Z694" s="7"/>
      <c r="AA694" s="7"/>
      <c r="AB694" s="7"/>
    </row>
    <row r="695" ht="15.75" customHeight="1">
      <c r="A695" s="26">
        <f>IFERROR(__xludf.DUMMYFUNCTION("""COMPUTED_VALUE"""),2360.0)</f>
        <v>2360</v>
      </c>
      <c r="B695" s="31" t="str">
        <f>IFERROR(__xludf.DUMMYFUNCTION("""COMPUTED_VALUE"""),"確定")</f>
        <v>確定</v>
      </c>
      <c r="C695" s="28">
        <f>IFERROR(__xludf.DUMMYFUNCTION("""COMPUTED_VALUE"""),45176.0)</f>
        <v>45176</v>
      </c>
      <c r="D695" s="28">
        <f>IFERROR(__xludf.DUMMYFUNCTION("""COMPUTED_VALUE"""),45189.0)</f>
        <v>45189</v>
      </c>
      <c r="E695" s="31">
        <f>IFERROR(__xludf.DUMMYFUNCTION("""COMPUTED_VALUE"""),277288.0)</f>
        <v>277288</v>
      </c>
      <c r="F695" s="31" t="str">
        <f>IFERROR(__xludf.DUMMYFUNCTION("""COMPUTED_VALUE"""),"淫魔なわたしを愛してください！")</f>
        <v>淫魔なわたしを愛してください！</v>
      </c>
      <c r="G695" s="16" t="str">
        <f>IFERROR(__xludf.DUMMYFUNCTION("""COMPUTED_VALUE"""),"1～3")</f>
        <v>1～3</v>
      </c>
      <c r="H695" s="31" t="str">
        <f>IFERROR(__xludf.DUMMYFUNCTION("""COMPUTED_VALUE"""),"ぽこた/漫画 佐倉紫/原作")</f>
        <v>ぽこた/漫画 佐倉紫/原作</v>
      </c>
      <c r="I695" s="31" t="str">
        <f>IFERROR(__xludf.DUMMYFUNCTION("""COMPUTED_VALUE"""),"女性")</f>
        <v>女性</v>
      </c>
      <c r="J695" s="31"/>
      <c r="K695" s="31"/>
      <c r="L695" s="31" t="str">
        <f>IFERROR(__xludf.DUMMYFUNCTION("""COMPUTED_VALUE"""),"アルファポリス")</f>
        <v>アルファポリス</v>
      </c>
      <c r="M695" s="23">
        <f>IFERROR(__xludf.DUMMYFUNCTION("""COMPUTED_VALUE"""),45205.0)</f>
        <v>45205</v>
      </c>
      <c r="N695" s="23">
        <f>IFERROR(__xludf.DUMMYFUNCTION("""COMPUTED_VALUE"""),45351.0)</f>
        <v>45351</v>
      </c>
      <c r="O695" s="20"/>
      <c r="P695" s="34" t="str">
        <f>IFERROR(__xludf.DUMMYFUNCTION("""COMPUTED_VALUE"""),"可")</f>
        <v>可</v>
      </c>
      <c r="Q695" s="30" t="str">
        <f>IFERROR(__xludf.DUMMYFUNCTION("""COMPUTED_VALUE"""),"事前出稿検討NGでCMSID2227で削除としていましたが、先行いただけるので素材格納しております。可能であれば出稿をお願いします。")</f>
        <v>事前出稿検討NGでCMSID2227で削除としていましたが、先行いただけるので素材格納しております。可能であれば出稿をお願いします。</v>
      </c>
      <c r="R695" s="31"/>
      <c r="S695" s="31" t="str">
        <f>IFERROR(__xludf.DUMMYFUNCTION("""COMPUTED_VALUE"""),"20230913_アルファポリス_淫魔なわたしを愛してください！")</f>
        <v>20230913_アルファポリス_淫魔なわたしを愛してください！</v>
      </c>
      <c r="T695" s="31" t="str">
        <f>IFERROR(__xludf.DUMMYFUNCTION("""COMPUTED_VALUE"""),"格納済み")</f>
        <v>格納済み</v>
      </c>
      <c r="U695" s="15" t="str">
        <f>IFERROR(__xludf.DUMMYFUNCTION("""COMPUTED_VALUE"""),"(C)佐倉紫・ぽこた／アルファポリス")</f>
        <v>(C)佐倉紫・ぽこた／アルファポリス</v>
      </c>
      <c r="V695" s="8" t="str">
        <f>IFERROR(__xludf.DUMMYFUNCTION("""COMPUTED_VALUE"""),"男性恐怖症で、エッチができない半人前淫魔のイルミラ。姉たちには見放され、妹たちには馬鹿にされっぱなし。しかも、このまま処女を捨てられなければ、一年後にはこの世から消滅してしまう……！悩んだ末、イルミラは脱処女のため、人外専門の魔術医師・ デュークのもとに媚薬をもらいに行くことに……ところが彼は自ら治療を買って出た！昼も夜もなく彼から教え込まれる快感と悦楽にイルミラは身も心も翻弄されて――…？むっつり系青年魔術医師と男性恐怖症淫魔の濃厚ラブファンタジーが、待望のコミカライズ！")</f>
        <v>男性恐怖症で、エッチができない半人前淫魔のイルミラ。姉たちには見放され、妹たちには馬鹿にされっぱなし。しかも、このまま処女を捨てられなければ、一年後にはこの世から消滅してしまう……！悩んだ末、イルミラは脱処女のため、人外専門の魔術医師・ デュークのもとに媚薬をもらいに行くことに……ところが彼は自ら治療を買って出た！昼も夜もなく彼から教え込まれる快感と悦楽にイルミラは身も心も翻弄されて――…？むっつり系青年魔術医師と男性恐怖症淫魔の濃厚ラブファンタジーが、待望のコミカライズ！</v>
      </c>
      <c r="W695" s="14"/>
      <c r="X695" s="14" t="str">
        <f>IFERROR(__xludf.DUMMYFUNCTION("""COMPUTED_VALUE"""),"有
")</f>
        <v>有
</v>
      </c>
      <c r="Y695" s="8" t="str">
        <f>IFERROR(__xludf.DUMMYFUNCTION("""COMPUTED_VALUE"""),"1巻無料")</f>
        <v>1巻無料</v>
      </c>
      <c r="Z695" s="7"/>
      <c r="AA695" s="7"/>
      <c r="AB695" s="7"/>
    </row>
    <row r="696" ht="15.75" customHeight="1">
      <c r="A696" s="26">
        <f>IFERROR(__xludf.DUMMYFUNCTION("""COMPUTED_VALUE"""),2361.0)</f>
        <v>2361</v>
      </c>
      <c r="B696" s="31" t="str">
        <f>IFERROR(__xludf.DUMMYFUNCTION("""COMPUTED_VALUE"""),"確定")</f>
        <v>確定</v>
      </c>
      <c r="C696" s="28">
        <f>IFERROR(__xludf.DUMMYFUNCTION("""COMPUTED_VALUE"""),45176.0)</f>
        <v>45176</v>
      </c>
      <c r="D696" s="28">
        <f>IFERROR(__xludf.DUMMYFUNCTION("""COMPUTED_VALUE"""),45189.0)</f>
        <v>45189</v>
      </c>
      <c r="E696" s="26">
        <f>IFERROR(__xludf.DUMMYFUNCTION("""COMPUTED_VALUE"""),276608.0)</f>
        <v>276608</v>
      </c>
      <c r="F696" s="31" t="str">
        <f>IFERROR(__xludf.DUMMYFUNCTION("""COMPUTED_VALUE"""),"Lemon～純恋ミスリード～")</f>
        <v>Lemon～純恋ミスリード～</v>
      </c>
      <c r="G696" s="16" t="str">
        <f>IFERROR(__xludf.DUMMYFUNCTION("""COMPUTED_VALUE"""),"1～4")</f>
        <v>1～4</v>
      </c>
      <c r="H696" s="31" t="str">
        <f>IFERROR(__xludf.DUMMYFUNCTION("""COMPUTED_VALUE"""),"陽名ユキ")</f>
        <v>陽名ユキ</v>
      </c>
      <c r="I696" s="14" t="str">
        <f>IFERROR(__xludf.DUMMYFUNCTION("""COMPUTED_VALUE"""),"女性")</f>
        <v>女性</v>
      </c>
      <c r="J696" s="31"/>
      <c r="K696" s="31"/>
      <c r="L696" s="31" t="str">
        <f>IFERROR(__xludf.DUMMYFUNCTION("""COMPUTED_VALUE"""),"快感倶楽部")</f>
        <v>快感倶楽部</v>
      </c>
      <c r="M696" s="23">
        <f>IFERROR(__xludf.DUMMYFUNCTION("""COMPUTED_VALUE"""),45191.0)</f>
        <v>45191</v>
      </c>
      <c r="N696" s="23">
        <f>IFERROR(__xludf.DUMMYFUNCTION("""COMPUTED_VALUE"""),45251.0)</f>
        <v>45251</v>
      </c>
      <c r="O696" s="20"/>
      <c r="P696" s="32" t="str">
        <f>IFERROR(__xludf.DUMMYFUNCTION("""COMPUTED_VALUE"""),"可")</f>
        <v>可</v>
      </c>
      <c r="Q696" s="30"/>
      <c r="R696" s="31"/>
      <c r="S696" s="31" t="str">
        <f>IFERROR(__xludf.DUMMYFUNCTION("""COMPUTED_VALUE"""),"20230914_サード・ライン・ネクスト_Lemon～純恋ミスリード～")</f>
        <v>20230914_サード・ライン・ネクスト_Lemon～純恋ミスリード～</v>
      </c>
      <c r="T696" s="31" t="str">
        <f>IFERROR(__xludf.DUMMYFUNCTION("""COMPUTED_VALUE"""),"格納済み")</f>
        <v>格納済み</v>
      </c>
      <c r="U696" s="15" t="str">
        <f>IFERROR(__xludf.DUMMYFUNCTION("""COMPUTED_VALUE"""),"(C)陽名ユキ/ナニイロ")</f>
        <v>(C)陽名ユキ/ナニイロ</v>
      </c>
      <c r="V696" s="8" t="str">
        <f>IFERROR(__xludf.DUMMYFUNCTION("""COMPUTED_VALUE"""),"小説が原因ですれ違う青春ラブストーリー。 高校生活も残り１年となった中沼彩葉。彼女は焦っていた。それは2歳年下の幼なじみ・元町律に想いを寄せているものの、関係をあと一歩が踏み出せず学生生活が終わろうとしていること。そんなモヤモヤの発散にと彩葉が思いついたのは、小説投稿アプリ「Lemon」に自分の日記（小説）を投稿することだった。しかし、自分の恋日記はいつの間にか、彼と誰かの関係を結びつけるトリガーになってしまい…。")</f>
        <v>小説が原因ですれ違う青春ラブストーリー。 高校生活も残り１年となった中沼彩葉。彼女は焦っていた。それは2歳年下の幼なじみ・元町律に想いを寄せているものの、関係をあと一歩が踏み出せず学生生活が終わろうとしていること。そんなモヤモヤの発散にと彩葉が思いついたのは、小説投稿アプリ「Lemon」に自分の日記（小説）を投稿することだった。しかし、自分の恋日記はいつの間にか、彼と誰かの関係を結びつけるトリガーになってしまい…。</v>
      </c>
      <c r="W696" s="14"/>
      <c r="X696" s="14" t="str">
        <f>IFERROR(__xludf.DUMMYFUNCTION("""COMPUTED_VALUE"""),"有
")</f>
        <v>有
</v>
      </c>
      <c r="Y696" s="8" t="str">
        <f>IFERROR(__xludf.DUMMYFUNCTION("""COMPUTED_VALUE"""),"10/5まで1巻無料
")</f>
        <v>10/5まで1巻無料
</v>
      </c>
      <c r="Z696" s="7"/>
      <c r="AA696" s="7"/>
      <c r="AB696" s="7"/>
    </row>
    <row r="697" ht="109.5" customHeight="1">
      <c r="A697" s="26">
        <f>IFERROR(__xludf.DUMMYFUNCTION("""COMPUTED_VALUE"""),2371.0)</f>
        <v>2371</v>
      </c>
      <c r="B697" s="31" t="str">
        <f>IFERROR(__xludf.DUMMYFUNCTION("""COMPUTED_VALUE"""),"確定")</f>
        <v>確定</v>
      </c>
      <c r="C697" s="28">
        <f>IFERROR(__xludf.DUMMYFUNCTION("""COMPUTED_VALUE"""),45180.0)</f>
        <v>45180</v>
      </c>
      <c r="D697" s="28">
        <f>IFERROR(__xludf.DUMMYFUNCTION("""COMPUTED_VALUE"""),45189.0)</f>
        <v>45189</v>
      </c>
      <c r="E697" s="31">
        <f>IFERROR(__xludf.DUMMYFUNCTION("""COMPUTED_VALUE"""),277651.0)</f>
        <v>277651</v>
      </c>
      <c r="F697" s="31" t="str">
        <f>IFERROR(__xludf.DUMMYFUNCTION("""COMPUTED_VALUE"""),"旦那様はすべてを与える【マイクロ】")</f>
        <v>旦那様はすべてを与える【マイクロ】</v>
      </c>
      <c r="G697" s="16" t="str">
        <f>IFERROR(__xludf.DUMMYFUNCTION("""COMPUTED_VALUE"""),"1～6")</f>
        <v>1～6</v>
      </c>
      <c r="H697" s="31" t="str">
        <f>IFERROR(__xludf.DUMMYFUNCTION("""COMPUTED_VALUE"""),"原作：宮城杏奈、作画：響あい")</f>
        <v>原作：宮城杏奈、作画：響あい</v>
      </c>
      <c r="I697" s="31" t="str">
        <f>IFERROR(__xludf.DUMMYFUNCTION("""COMPUTED_VALUE"""),"少女")</f>
        <v>少女</v>
      </c>
      <c r="J697" s="31"/>
      <c r="K697" s="31"/>
      <c r="L697" s="31" t="str">
        <f>IFERROR(__xludf.DUMMYFUNCTION("""COMPUTED_VALUE"""),"小学館")</f>
        <v>小学館</v>
      </c>
      <c r="M697" s="23">
        <f>IFERROR(__xludf.DUMMYFUNCTION("""COMPUTED_VALUE"""),45209.0)</f>
        <v>45209</v>
      </c>
      <c r="N697" s="23">
        <f>IFERROR(__xludf.DUMMYFUNCTION("""COMPUTED_VALUE"""),45269.0)</f>
        <v>45269</v>
      </c>
      <c r="O697" s="20"/>
      <c r="P697" s="34" t="str">
        <f>IFERROR(__xludf.DUMMYFUNCTION("""COMPUTED_VALUE"""),"否")</f>
        <v>否</v>
      </c>
      <c r="Q697" s="30" t="str">
        <f>IFERROR(__xludf.DUMMYFUNCTION("""COMPUTED_VALUE"""),"広告コミットOK(9/19)")</f>
        <v>広告コミットOK(9/19)</v>
      </c>
      <c r="R697" s="31"/>
      <c r="S697" s="31" t="str">
        <f>IFERROR(__xludf.DUMMYFUNCTION("""COMPUTED_VALUE"""),"20230920_小学館_旦那様はすべてを与える【マイクロ】")</f>
        <v>20230920_小学館_旦那様はすべてを与える【マイクロ】</v>
      </c>
      <c r="T697" s="31" t="str">
        <f>IFERROR(__xludf.DUMMYFUNCTION("""COMPUTED_VALUE"""),"格納済み")</f>
        <v>格納済み</v>
      </c>
      <c r="U697" s="15" t="str">
        <f>IFERROR(__xludf.DUMMYFUNCTION("""COMPUTED_VALUE"""),"(C)宮城杏奈・響あい / 小学館")</f>
        <v>(C)宮城杏奈・響あい / 小学館</v>
      </c>
      <c r="V697" s="8" t="str">
        <f>IFERROR(__xludf.DUMMYFUNCTION("""COMPUTED_VALUE"""),"「九条朱莉は、俺の唯一無二の女性」　…絶対にこの男から、朱莉を奪い返す…!!　幼なじみでカレカノになった、18歳の朱莉と2つ下の尊。だけど、この恋はもう終わり…。朱莉の父の借金の肩代わりを条件に、朱莉は大企業の社長・大河内京介と結婚することに。しかし傷心の尊の前に京介が現れ、想定外の申し出を!?")</f>
        <v>「九条朱莉は、俺の唯一無二の女性」　…絶対にこの男から、朱莉を奪い返す…!!　幼なじみでカレカノになった、18歳の朱莉と2つ下の尊。だけど、この恋はもう終わり…。朱莉の父の借金の肩代わりを条件に、朱莉は大企業の社長・大河内京介と結婚することに。しかし傷心の尊の前に京介が現れ、想定外の申し出を!?</v>
      </c>
      <c r="W697" s="14"/>
      <c r="X697" s="14" t="str">
        <f>IFERROR(__xludf.DUMMYFUNCTION("""COMPUTED_VALUE"""),"有
")</f>
        <v>有
</v>
      </c>
      <c r="Y697" s="8" t="str">
        <f>IFERROR(__xludf.DUMMYFUNCTION("""COMPUTED_VALUE"""),"10/23まで1~2巻無料
")</f>
        <v>10/23まで1~2巻無料
</v>
      </c>
      <c r="Z697" s="7"/>
      <c r="AA697" s="7"/>
      <c r="AB697" s="7"/>
    </row>
    <row r="698" ht="15.75" customHeight="1">
      <c r="A698" s="26">
        <f>IFERROR(__xludf.DUMMYFUNCTION("""COMPUTED_VALUE"""),2396.0)</f>
        <v>2396</v>
      </c>
      <c r="B698" s="31" t="str">
        <f>IFERROR(__xludf.DUMMYFUNCTION("""COMPUTED_VALUE"""),"確定")</f>
        <v>確定</v>
      </c>
      <c r="C698" s="28">
        <f>IFERROR(__xludf.DUMMYFUNCTION("""COMPUTED_VALUE"""),45188.0)</f>
        <v>45188</v>
      </c>
      <c r="D698" s="28">
        <f>IFERROR(__xludf.DUMMYFUNCTION("""COMPUTED_VALUE"""),45189.0)</f>
        <v>45189</v>
      </c>
      <c r="E698" s="31">
        <f>IFERROR(__xludf.DUMMYFUNCTION("""COMPUTED_VALUE"""),276531.0)</f>
        <v>276531</v>
      </c>
      <c r="F698" s="31" t="str">
        <f>IFERROR(__xludf.DUMMYFUNCTION("""COMPUTED_VALUE"""),"その夫、観賞用につき。")</f>
        <v>その夫、観賞用につき。</v>
      </c>
      <c r="G698" s="20" t="str">
        <f>IFERROR(__xludf.DUMMYFUNCTION("""COMPUTED_VALUE"""),"1~3")</f>
        <v>1~3</v>
      </c>
      <c r="H698" s="31" t="str">
        <f>IFERROR(__xludf.DUMMYFUNCTION("""COMPUTED_VALUE"""),"作画:星下なつき 原作:高丘しずる")</f>
        <v>作画:星下なつき 原作:高丘しずる</v>
      </c>
      <c r="I698" s="31" t="str">
        <f>IFERROR(__xludf.DUMMYFUNCTION("""COMPUTED_VALUE"""),"女性")</f>
        <v>女性</v>
      </c>
      <c r="J698" s="31"/>
      <c r="K698" s="31"/>
      <c r="L698" s="31" t="str">
        <f>IFERROR(__xludf.DUMMYFUNCTION("""COMPUTED_VALUE"""),"CLLENN")</f>
        <v>CLLENN</v>
      </c>
      <c r="M698" s="23">
        <f>IFERROR(__xludf.DUMMYFUNCTION("""COMPUTED_VALUE"""),45196.0)</f>
        <v>45196</v>
      </c>
      <c r="N698" s="23">
        <f>IFERROR(__xludf.DUMMYFUNCTION("""COMPUTED_VALUE"""),45258.0)</f>
        <v>45258</v>
      </c>
      <c r="O698" s="20"/>
      <c r="P698" s="34" t="str">
        <f>IFERROR(__xludf.DUMMYFUNCTION("""COMPUTED_VALUE"""),"可")</f>
        <v>可</v>
      </c>
      <c r="Q698" s="31" t="str">
        <f>IFERROR(__xludf.DUMMYFUNCTION("""COMPUTED_VALUE"""),"協業：シーモア×コイパレ&lt;BR&gt;版元との連携がうまいこといっておらずこのタイミングでの格納となり申し訳ございません&lt;BR&gt;")</f>
        <v>協業：シーモア×コイパレ&lt;BR&gt;版元との連携がうまいこといっておらずこのタイミングでの格納となり申し訳ございません&lt;BR&gt;</v>
      </c>
      <c r="R698" s="31" t="str">
        <f>IFERROR(__xludf.DUMMYFUNCTION("""COMPUTED_VALUE"""),"格納済")</f>
        <v>格納済</v>
      </c>
      <c r="S698" s="31" t="str">
        <f>IFERROR(__xludf.DUMMYFUNCTION("""COMPUTED_VALUE"""),"20230919_CLLENN_その夫、観賞用につき")</f>
        <v>20230919_CLLENN_その夫、観賞用につき</v>
      </c>
      <c r="T698" s="31" t="str">
        <f>IFERROR(__xludf.DUMMYFUNCTION("""COMPUTED_VALUE"""),"格納済み")</f>
        <v>格納済み</v>
      </c>
      <c r="U698" s="15" t="str">
        <f>IFERROR(__xludf.DUMMYFUNCTION("""COMPUTED_VALUE"""),"ⓒ星下なつき・高丘しずる/CLLENN")</f>
        <v>ⓒ星下なつき・高丘しずる/CLLENN</v>
      </c>
      <c r="V698" s="8" t="str">
        <f>IFERROR(__xludf.DUMMYFUNCTION("""COMPUTED_VALUE"""),"バリキャリのライフコンサルタント・奥村貴子が結婚に求める条件とは…イケメンであること!!一目惚れからの逆プロポーズで、16歳年下のイケメンバーテンダー・宇野春哉と契約結婚スタート！姉活まがいの利害関係のはずなのに、「貴子さんの食べてる顔、可愛い」甘い言葉やおやすみのハグのおねだりと、まるで本物の恋人みたい。優しくて家事も完璧、そんな彼の“夫ファンサ”に日々悶絶。「観賞用の夫ってだけでは終わらせないから」――超絶ドタイプの顔に迫られ、翻弄されっぱなし!!だけど本気にしちゃダメ。だってこれは契約婚なんだから。"&amp;"頭ではわかっているのに、惹かれていって…！そんな春哉には、貴子に隠している秘密があり――")</f>
        <v>バリキャリのライフコンサルタント・奥村貴子が結婚に求める条件とは…イケメンであること!!一目惚れからの逆プロポーズで、16歳年下のイケメンバーテンダー・宇野春哉と契約結婚スタート！姉活まがいの利害関係のはずなのに、「貴子さんの食べてる顔、可愛い」甘い言葉やおやすみのハグのおねだりと、まるで本物の恋人みたい。優しくて家事も完璧、そんな彼の“夫ファンサ”に日々悶絶。「観賞用の夫ってだけでは終わらせないから」――超絶ドタイプの顔に迫られ、翻弄されっぱなし!!だけど本気にしちゃダメ。だってこれは契約婚なんだから。頭ではわかっているのに、惹かれていって…！そんな春哉には、貴子に隠している秘密があり――</v>
      </c>
      <c r="W698" s="14"/>
      <c r="X698" s="14" t="str">
        <f>IFERROR(__xludf.DUMMYFUNCTION("""COMPUTED_VALUE"""),"有
")</f>
        <v>有
</v>
      </c>
      <c r="Y698" s="8" t="str">
        <f>IFERROR(__xludf.DUMMYFUNCTION("""COMPUTED_VALUE"""),"10/10まで1巻無料
")</f>
        <v>10/10まで1巻無料
</v>
      </c>
      <c r="Z698" s="7"/>
      <c r="AA698" s="7"/>
      <c r="AB698" s="7"/>
    </row>
    <row r="699" ht="15.75" customHeight="1">
      <c r="A699" s="26">
        <f>IFERROR(__xludf.DUMMYFUNCTION("""COMPUTED_VALUE"""),2400.0)</f>
        <v>2400</v>
      </c>
      <c r="B699" s="31" t="str">
        <f>IFERROR(__xludf.DUMMYFUNCTION("""COMPUTED_VALUE"""),"確定")</f>
        <v>確定</v>
      </c>
      <c r="C699" s="28">
        <f>IFERROR(__xludf.DUMMYFUNCTION("""COMPUTED_VALUE"""),45188.0)</f>
        <v>45188</v>
      </c>
      <c r="D699" s="28">
        <f>IFERROR(__xludf.DUMMYFUNCTION("""COMPUTED_VALUE"""),45189.0)</f>
        <v>45189</v>
      </c>
      <c r="E699" s="31">
        <f>IFERROR(__xludf.DUMMYFUNCTION("""COMPUTED_VALUE"""),279209.0)</f>
        <v>279209</v>
      </c>
      <c r="F699" s="31" t="str">
        <f>IFERROR(__xludf.DUMMYFUNCTION("""COMPUTED_VALUE"""),"白衣の秘密")</f>
        <v>白衣の秘密</v>
      </c>
      <c r="G699" s="11" t="str">
        <f>IFERROR(__xludf.DUMMYFUNCTION("""COMPUTED_VALUE"""),"1～10")</f>
        <v>1～10</v>
      </c>
      <c r="H699" s="31" t="str">
        <f>IFERROR(__xludf.DUMMYFUNCTION("""COMPUTED_VALUE"""),"tal0/M16")</f>
        <v>tal0/M16</v>
      </c>
      <c r="I699" s="31" t="str">
        <f>IFERROR(__xludf.DUMMYFUNCTION("""COMPUTED_VALUE"""),"青年")</f>
        <v>青年</v>
      </c>
      <c r="J699" s="31"/>
      <c r="K699" s="31"/>
      <c r="L699" s="31" t="str">
        <f>IFERROR(__xludf.DUMMYFUNCTION("""COMPUTED_VALUE"""),"Rush!")</f>
        <v>Rush!</v>
      </c>
      <c r="M699" s="23">
        <f>IFERROR(__xludf.DUMMYFUNCTION("""COMPUTED_VALUE"""),45233.0)</f>
        <v>45233</v>
      </c>
      <c r="N699" s="23">
        <f>IFERROR(__xludf.DUMMYFUNCTION("""COMPUTED_VALUE"""),45323.0)</f>
        <v>45323</v>
      </c>
      <c r="O699" s="20"/>
      <c r="P699" s="34" t="str">
        <f>IFERROR(__xludf.DUMMYFUNCTION("""COMPUTED_VALUE"""),"可")</f>
        <v>可</v>
      </c>
      <c r="Q699" s="30" t="str">
        <f>IFERROR(__xludf.DUMMYFUNCTION("""COMPUTED_VALUE"""),"協業レーベル『シーモア×Rush!』作品です。")</f>
        <v>協業レーベル『シーモア×Rush!』作品です。</v>
      </c>
      <c r="R699" s="31"/>
      <c r="S699" s="31" t="str">
        <f>IFERROR(__xludf.DUMMYFUNCTION("""COMPUTED_VALUE"""),"20230919_ファンギルド_白衣の秘密")</f>
        <v>20230919_ファンギルド_白衣の秘密</v>
      </c>
      <c r="T699" s="31" t="str">
        <f>IFERROR(__xludf.DUMMYFUNCTION("""COMPUTED_VALUE"""),"格納済み")</f>
        <v>格納済み</v>
      </c>
      <c r="U699" s="15" t="str">
        <f>IFERROR(__xludf.DUMMYFUNCTION("""COMPUTED_VALUE"""),"©tal0/M16/TOPTOON")</f>
        <v>©tal0/M16/TOPTOON</v>
      </c>
      <c r="V699" s="8" t="str">
        <f>IFERROR(__xludf.DUMMYFUNCTION("""COMPUTED_VALUE"""),"看護師として働く三澤航平（みさわこうへい）は勤務先の精神病棟でとある認知症患者のおじいさんと出会う。そしてその日の夜勤中、航平は目撃してしまった…。認知症だったはずのおじいさんが美人介護士をセックスで虜にしているところを！――航平には、一つの悩みがあった。それは、セックスをすると必ずフラれてしまう事。自分にはない技を目にした航平は、たまらず弟子入りを申し出ていた。「お前には才能がある！」師匠となったおじいさんの指導の下、白衣の天使たちを思いのままに――！？")</f>
        <v>看護師として働く三澤航平（みさわこうへい）は勤務先の精神病棟でとある認知症患者のおじいさんと出会う。そしてその日の夜勤中、航平は目撃してしまった…。認知症だったはずのおじいさんが美人介護士をセックスで虜にしているところを！――航平には、一つの悩みがあった。それは、セックスをすると必ずフラれてしまう事。自分にはない技を目にした航平は、たまらず弟子入りを申し出ていた。「お前には才能がある！」師匠となったおじいさんの指導の下、白衣の天使たちを思いのままに――！？</v>
      </c>
      <c r="W699" s="14"/>
      <c r="X699" s="14" t="str">
        <f>IFERROR(__xludf.DUMMYFUNCTION("""COMPUTED_VALUE"""),"有
")</f>
        <v>有
</v>
      </c>
      <c r="Y699" s="8" t="str">
        <f>IFERROR(__xludf.DUMMYFUNCTION("""COMPUTED_VALUE"""),"11/16まで1巻無料")</f>
        <v>11/16まで1巻無料</v>
      </c>
      <c r="Z699" s="7"/>
      <c r="AA699" s="7"/>
      <c r="AB699" s="7"/>
    </row>
    <row r="700" ht="15.75" customHeight="1">
      <c r="A700" s="26">
        <f>IFERROR(__xludf.DUMMYFUNCTION("""COMPUTED_VALUE"""),2411.0)</f>
        <v>2411</v>
      </c>
      <c r="B700" s="31" t="str">
        <f>IFERROR(__xludf.DUMMYFUNCTION("""COMPUTED_VALUE"""),"確定")</f>
        <v>確定</v>
      </c>
      <c r="C700" s="28">
        <f>IFERROR(__xludf.DUMMYFUNCTION("""COMPUTED_VALUE"""),45188.0)</f>
        <v>45188</v>
      </c>
      <c r="D700" s="28">
        <f>IFERROR(__xludf.DUMMYFUNCTION("""COMPUTED_VALUE"""),45189.0)</f>
        <v>45189</v>
      </c>
      <c r="E700" s="31">
        <f>IFERROR(__xludf.DUMMYFUNCTION("""COMPUTED_VALUE"""),278708.0)</f>
        <v>278708</v>
      </c>
      <c r="F700" s="31" t="str">
        <f>IFERROR(__xludf.DUMMYFUNCTION("""COMPUTED_VALUE"""),"noicomi龍神と許嫁の赤い花印")</f>
        <v>noicomi龍神と許嫁の赤い花印</v>
      </c>
      <c r="G700" s="20" t="str">
        <f>IFERROR(__xludf.DUMMYFUNCTION("""COMPUTED_VALUE"""),"1～3")</f>
        <v>1～3</v>
      </c>
      <c r="H700" s="31" t="str">
        <f>IFERROR(__xludf.DUMMYFUNCTION("""COMPUTED_VALUE"""),"中野まや花（作画）、クレハ（原作）")</f>
        <v>中野まや花（作画）、クレハ（原作）</v>
      </c>
      <c r="I700" s="14" t="str">
        <f>IFERROR(__xludf.DUMMYFUNCTION("""COMPUTED_VALUE"""),"少女")</f>
        <v>少女</v>
      </c>
      <c r="J700" s="31"/>
      <c r="K700" s="31"/>
      <c r="L700" s="31" t="str">
        <f>IFERROR(__xludf.DUMMYFUNCTION("""COMPUTED_VALUE"""),"スターツ出版")</f>
        <v>スターツ出版</v>
      </c>
      <c r="M700" s="23">
        <f>IFERROR(__xludf.DUMMYFUNCTION("""COMPUTED_VALUE"""),45212.0)</f>
        <v>45212</v>
      </c>
      <c r="N700" s="23">
        <f>IFERROR(__xludf.DUMMYFUNCTION("""COMPUTED_VALUE"""),45358.0)</f>
        <v>45358</v>
      </c>
      <c r="O700" s="20"/>
      <c r="P700" s="32" t="str">
        <f>IFERROR(__xludf.DUMMYFUNCTION("""COMPUTED_VALUE"""),"否")</f>
        <v>否</v>
      </c>
      <c r="Q700" s="30"/>
      <c r="R700" s="31"/>
      <c r="S700" s="31" t="str">
        <f>IFERROR(__xludf.DUMMYFUNCTION("""COMPUTED_VALUE"""),"20230919_スターツ出版_龍神と許嫁の赤い花印")</f>
        <v>20230919_スターツ出版_龍神と許嫁の赤い花印</v>
      </c>
      <c r="T700" s="31" t="str">
        <f>IFERROR(__xludf.DUMMYFUNCTION("""COMPUTED_VALUE"""),"格納済み")</f>
        <v>格納済み</v>
      </c>
      <c r="U700" s="15" t="str">
        <f>IFERROR(__xludf.DUMMYFUNCTION("""COMPUTED_VALUE"""),"（C）中野まや花・クレハ/スターツ出版")</f>
        <v>（C）中野まや花・クレハ/スターツ出版</v>
      </c>
      <c r="V700" s="8" t="str">
        <f>IFERROR(__xludf.DUMMYFUNCTION("""COMPUTED_VALUE"""),"『迎えに行くよ、愛しの君を――』
◆◆◆
手の甲に赤い椿の形のアザを持つ少女・ミト。
本来であれば龍神の伴侶の証として祝福されるべきその証は、ミトが生まれ育った村では過去の因縁から凶兆として忌み嫌われていた。
そのせいでミトは生まれた時から『忌み子』と呼ばれ、戸籍もなく罪人のように責められ、虐げられる日々を送っていて……。
そんなミトの唯一の救いは幼い頃から夢に現れる美しい男性・波琉と過ごす時間だった。
銀色の髪に紫紺の瞳を持つ波琉は、実は天界の龍神たちの頂点に君臨する4人の龍神の一人『紫紺の"&amp;"王』と呼ばれる龍神で――！？
◆◆◆
時空を超えた和風ラブファンタジー！
(この作品は電子コミック誌noicomi vol.96に収録されています。重複購入にご注意ください)")</f>
        <v>『迎えに行くよ、愛しの君を――』
◆◆◆
手の甲に赤い椿の形のアザを持つ少女・ミト。
本来であれば龍神の伴侶の証として祝福されるべきその証は、ミトが生まれ育った村では過去の因縁から凶兆として忌み嫌われていた。
そのせいでミトは生まれた時から『忌み子』と呼ばれ、戸籍もなく罪人のように責められ、虐げられる日々を送っていて……。
そんなミトの唯一の救いは幼い頃から夢に現れる美しい男性・波琉と過ごす時間だった。
銀色の髪に紫紺の瞳を持つ波琉は、実は天界の龍神たちの頂点に君臨する4人の龍神の一人『紫紺の王』と呼ばれる龍神で――！？
◆◆◆
時空を超えた和風ラブファンタジー！
(この作品は電子コミック誌noicomi vol.96に収録されています。重複購入にご注意ください)</v>
      </c>
      <c r="W700" s="14"/>
      <c r="X700" s="14" t="str">
        <f>IFERROR(__xludf.DUMMYFUNCTION("""COMPUTED_VALUE"""),"有
")</f>
        <v>有
</v>
      </c>
      <c r="Y700" s="8" t="str">
        <f>IFERROR(__xludf.DUMMYFUNCTION("""COMPUTED_VALUE"""),"P7まで")</f>
        <v>P7まで</v>
      </c>
      <c r="Z700" s="7"/>
      <c r="AA700" s="7"/>
      <c r="AB700" s="7"/>
    </row>
    <row r="701" ht="15.75" customHeight="1">
      <c r="A701" s="26">
        <f>IFERROR(__xludf.DUMMYFUNCTION("""COMPUTED_VALUE"""),2065.0)</f>
        <v>2065</v>
      </c>
      <c r="B701" s="22" t="str">
        <f>IFERROR(__xludf.DUMMYFUNCTION("""COMPUTED_VALUE"""),"確定")</f>
        <v>確定</v>
      </c>
      <c r="C701" s="28">
        <f>IFERROR(__xludf.DUMMYFUNCTION("""COMPUTED_VALUE"""),45091.0)</f>
        <v>45091</v>
      </c>
      <c r="D701" s="28">
        <f>IFERROR(__xludf.DUMMYFUNCTION("""COMPUTED_VALUE"""),45190.0)</f>
        <v>45190</v>
      </c>
      <c r="E701" s="31">
        <f>IFERROR(__xludf.DUMMYFUNCTION("""COMPUTED_VALUE"""),277162.0)</f>
        <v>277162</v>
      </c>
      <c r="F701" s="22" t="str">
        <f>IFERROR(__xludf.DUMMYFUNCTION("""COMPUTED_VALUE"""),"後宮妃は龍神の生贄花嫁 五神山物語 【連載版】")</f>
        <v>後宮妃は龍神の生贄花嫁 五神山物語 【連載版】</v>
      </c>
      <c r="G701" s="20" t="str">
        <f>IFERROR(__xludf.DUMMYFUNCTION("""COMPUTED_VALUE"""),"1～4")</f>
        <v>1～4</v>
      </c>
      <c r="H701" s="22" t="str">
        <f>IFERROR(__xludf.DUMMYFUNCTION("""COMPUTED_VALUE"""),"コミック：葵ハカス/原作：唐澤和希/キャラクター原案：宵マチ")</f>
        <v>コミック：葵ハカス/原作：唐澤和希/キャラクター原案：宵マチ</v>
      </c>
      <c r="I701" s="22" t="str">
        <f>IFERROR(__xludf.DUMMYFUNCTION("""COMPUTED_VALUE"""),"少女")</f>
        <v>少女</v>
      </c>
      <c r="J701" s="22"/>
      <c r="K701" s="22"/>
      <c r="L701" s="22" t="str">
        <f>IFERROR(__xludf.DUMMYFUNCTION("""COMPUTED_VALUE"""),"一迅社")</f>
        <v>一迅社</v>
      </c>
      <c r="M701" s="23">
        <f>IFERROR(__xludf.DUMMYFUNCTION("""COMPUTED_VALUE"""),45213.0)</f>
        <v>45213</v>
      </c>
      <c r="N701" s="23">
        <f>IFERROR(__xludf.DUMMYFUNCTION("""COMPUTED_VALUE"""),45243.0)</f>
        <v>45243</v>
      </c>
      <c r="O701" s="20"/>
      <c r="P701" s="29" t="str">
        <f>IFERROR(__xludf.DUMMYFUNCTION("""COMPUTED_VALUE"""),"否")</f>
        <v>否</v>
      </c>
      <c r="Q701" s="30"/>
      <c r="R701" s="22"/>
      <c r="S701" s="30" t="str">
        <f>IFERROR(__xludf.DUMMYFUNCTION("""COMPUTED_VALUE"""),"20230907_一迅社_ZEROSUM10月新作")</f>
        <v>20230907_一迅社_ZEROSUM10月新作</v>
      </c>
      <c r="T701" s="22"/>
      <c r="U701" s="15" t="str">
        <f>IFERROR(__xludf.DUMMYFUNCTION("""COMPUTED_VALUE"""),"(C)葵ハカス・唐澤和希・宵マチ／スターツ出版／一迅社")</f>
        <v>(C)葵ハカス・唐澤和希・宵マチ／スターツ出版／一迅社</v>
      </c>
      <c r="V701" s="8" t="str">
        <f>IFERROR(__xludf.DUMMYFUNCTION("""COMPUTED_VALUE"""),"「スターツ出版文庫」の大人気作をコミカライズ！人嫌いの龍神様に一途に寵愛される、身代わりシンデレラ後宮譚！有能な姉と比較され、両親に虐げられて育った橙煉花。後宮入りするも、姉の策略で恐ろしい龍神の生贄花嫁に選ばれてしまう。絶望の淵で山奥に向かうと、そこで出迎えてくれたのは見目麗しい男・青嵐だった。期限付きで始まった共同生活だが――？【本商品は単話コンテンツとなります。単行本版と収録内容が異なる場合がございます。漫画内の告知等は過去のものとなりますので、ご注意ください。】")</f>
        <v>「スターツ出版文庫」の大人気作をコミカライズ！人嫌いの龍神様に一途に寵愛される、身代わりシンデレラ後宮譚！有能な姉と比較され、両親に虐げられて育った橙煉花。後宮入りするも、姉の策略で恐ろしい龍神の生贄花嫁に選ばれてしまう。絶望の淵で山奥に向かうと、そこで出迎えてくれたのは見目麗しい男・青嵐だった。期限付きで始まった共同生活だが――？【本商品は単話コンテンツとなります。単行本版と収録内容が異なる場合がございます。漫画内の告知等は過去のものとなりますので、ご注意ください。】</v>
      </c>
      <c r="W701" s="14"/>
      <c r="X701" s="14" t="str">
        <f>IFERROR(__xludf.DUMMYFUNCTION("""COMPUTED_VALUE"""),"有
")</f>
        <v>有
</v>
      </c>
      <c r="Y701" s="8" t="str">
        <f>IFERROR(__xludf.DUMMYFUNCTION("""COMPUTED_VALUE"""),"11/13まで1巻無料")</f>
        <v>11/13まで1巻無料</v>
      </c>
      <c r="Z701" s="7"/>
      <c r="AA701" s="7"/>
      <c r="AB701" s="7"/>
    </row>
    <row r="702" ht="15.75" customHeight="1">
      <c r="A702" s="26">
        <f>IFERROR(__xludf.DUMMYFUNCTION("""COMPUTED_VALUE"""),2066.0)</f>
        <v>2066</v>
      </c>
      <c r="B702" s="22" t="str">
        <f>IFERROR(__xludf.DUMMYFUNCTION("""COMPUTED_VALUE"""),"確定")</f>
        <v>確定</v>
      </c>
      <c r="C702" s="28">
        <f>IFERROR(__xludf.DUMMYFUNCTION("""COMPUTED_VALUE"""),45091.0)</f>
        <v>45091</v>
      </c>
      <c r="D702" s="28">
        <f>IFERROR(__xludf.DUMMYFUNCTION("""COMPUTED_VALUE"""),45189.0)</f>
        <v>45189</v>
      </c>
      <c r="E702" s="31">
        <f>IFERROR(__xludf.DUMMYFUNCTION("""COMPUTED_VALUE"""),277159.0)</f>
        <v>277159</v>
      </c>
      <c r="F702" s="22" t="str">
        <f>IFERROR(__xludf.DUMMYFUNCTION("""COMPUTED_VALUE"""),"婚約者に側妃として利用されるくらいなら魔術師様の褒賞となります 【連載版】")</f>
        <v>婚約者に側妃として利用されるくらいなら魔術師様の褒賞となります 【連載版】</v>
      </c>
      <c r="G702" s="20" t="str">
        <f>IFERROR(__xludf.DUMMYFUNCTION("""COMPUTED_VALUE"""),"1～3")</f>
        <v>1～3</v>
      </c>
      <c r="H702" s="22" t="str">
        <f>IFERROR(__xludf.DUMMYFUNCTION("""COMPUTED_VALUE"""),"コミック：春梅た子/原作：まつりか/キャラクター原案：御子柴リョウ")</f>
        <v>コミック：春梅た子/原作：まつりか/キャラクター原案：御子柴リョウ</v>
      </c>
      <c r="I702" s="22" t="str">
        <f>IFERROR(__xludf.DUMMYFUNCTION("""COMPUTED_VALUE"""),"少女")</f>
        <v>少女</v>
      </c>
      <c r="J702" s="22"/>
      <c r="K702" s="22"/>
      <c r="L702" s="22" t="str">
        <f>IFERROR(__xludf.DUMMYFUNCTION("""COMPUTED_VALUE"""),"一迅社")</f>
        <v>一迅社</v>
      </c>
      <c r="M702" s="23">
        <f>IFERROR(__xludf.DUMMYFUNCTION("""COMPUTED_VALUE"""),45213.0)</f>
        <v>45213</v>
      </c>
      <c r="N702" s="23">
        <f>IFERROR(__xludf.DUMMYFUNCTION("""COMPUTED_VALUE"""),45243.0)</f>
        <v>45243</v>
      </c>
      <c r="O702" s="20"/>
      <c r="P702" s="29" t="str">
        <f>IFERROR(__xludf.DUMMYFUNCTION("""COMPUTED_VALUE"""),"否")</f>
        <v>否</v>
      </c>
      <c r="Q702" s="30"/>
      <c r="R702" s="22"/>
      <c r="S702" s="30" t="str">
        <f>IFERROR(__xludf.DUMMYFUNCTION("""COMPUTED_VALUE"""),"20230907_一迅社_ZEROSUM10月新作")</f>
        <v>20230907_一迅社_ZEROSUM10月新作</v>
      </c>
      <c r="T702" s="22"/>
      <c r="U702" s="15" t="str">
        <f>IFERROR(__xludf.DUMMYFUNCTION("""COMPUTED_VALUE"""),"(C)春海た子・まつりか・御子柴リョウ／一迅社")</f>
        <v>(C)春海た子・まつりか・御子柴リョウ／一迅社</v>
      </c>
      <c r="V702" s="8" t="str">
        <f>IFERROR(__xludf.DUMMYFUNCTION("""COMPUTED_VALUE"""),"王太子妃教育に励んできた侯爵令嬢アメリアは、婚約者の王太子から、運命の相手に出会ってしまった、と告げられる。そのうえ、“運命の相手”を王太子妃にするから側妃になってほしいと、王太子妃の仕事をアメリアに押し付けてくる気で!? 利用される事態を円満に回避したいアメリアは、戦で国の窮地を救い英雄となった魔術師ロワールに褒賞として望んでもらい、彼に嫁ごうと考える。直談判すると「頑張って俺のこと口説いて」と交渉成立――！ 愛ある契約結婚を目指し、ロワールのもとに通い始めるが――!? 訳あり魔術師と生真面目な令嬢の溺"&amp;"愛ラブファンタジー！ 【本商品は単話コンテンツとなります。単行本版と収録内容が異なる場合がございます。漫画内の告知等は過去のものとなりますので、ご注意ください。】")</f>
        <v>王太子妃教育に励んできた侯爵令嬢アメリアは、婚約者の王太子から、運命の相手に出会ってしまった、と告げられる。そのうえ、“運命の相手”を王太子妃にするから側妃になってほしいと、王太子妃の仕事をアメリアに押し付けてくる気で!? 利用される事態を円満に回避したいアメリアは、戦で国の窮地を救い英雄となった魔術師ロワールに褒賞として望んでもらい、彼に嫁ごうと考える。直談判すると「頑張って俺のこと口説いて」と交渉成立――！ 愛ある契約結婚を目指し、ロワールのもとに通い始めるが――!? 訳あり魔術師と生真面目な令嬢の溺愛ラブファンタジー！ 【本商品は単話コンテンツとなります。単行本版と収録内容が異なる場合がございます。漫画内の告知等は過去のものとなりますので、ご注意ください。】</v>
      </c>
      <c r="W702" s="14"/>
      <c r="X702" s="14" t="str">
        <f>IFERROR(__xludf.DUMMYFUNCTION("""COMPUTED_VALUE"""),"有
")</f>
        <v>有
</v>
      </c>
      <c r="Y702" s="8" t="str">
        <f>IFERROR(__xludf.DUMMYFUNCTION("""COMPUTED_VALUE"""),"11/13まで1巻無料")</f>
        <v>11/13まで1巻無料</v>
      </c>
      <c r="Z702" s="7"/>
      <c r="AA702" s="7"/>
      <c r="AB702" s="7"/>
    </row>
    <row r="703" ht="15.75" customHeight="1">
      <c r="A703" s="26">
        <f>IFERROR(__xludf.DUMMYFUNCTION("""COMPUTED_VALUE"""),2067.0)</f>
        <v>2067</v>
      </c>
      <c r="B703" s="22" t="str">
        <f>IFERROR(__xludf.DUMMYFUNCTION("""COMPUTED_VALUE"""),"確定")</f>
        <v>確定</v>
      </c>
      <c r="C703" s="28">
        <f>IFERROR(__xludf.DUMMYFUNCTION("""COMPUTED_VALUE"""),45091.0)</f>
        <v>45091</v>
      </c>
      <c r="D703" s="28">
        <f>IFERROR(__xludf.DUMMYFUNCTION("""COMPUTED_VALUE"""),45191.0)</f>
        <v>45191</v>
      </c>
      <c r="E703" s="31">
        <f>IFERROR(__xludf.DUMMYFUNCTION("""COMPUTED_VALUE"""),277161.0)</f>
        <v>277161</v>
      </c>
      <c r="F703" s="22" t="str">
        <f>IFERROR(__xludf.DUMMYFUNCTION("""COMPUTED_VALUE"""),"帝都あやかし屋敷の契約花嫁 【連載版】")</f>
        <v>帝都あやかし屋敷の契約花嫁 【連載版】</v>
      </c>
      <c r="G703" s="20" t="str">
        <f>IFERROR(__xludf.DUMMYFUNCTION("""COMPUTED_VALUE"""),"1～4")</f>
        <v>1～4</v>
      </c>
      <c r="H703" s="22" t="str">
        <f>IFERROR(__xludf.DUMMYFUNCTION("""COMPUTED_VALUE"""),"コミック：はま/原作：江本マシメサ/キャラクター原案：とき間")</f>
        <v>コミック：はま/原作：江本マシメサ/キャラクター原案：とき間</v>
      </c>
      <c r="I703" s="22" t="str">
        <f>IFERROR(__xludf.DUMMYFUNCTION("""COMPUTED_VALUE"""),"少女")</f>
        <v>少女</v>
      </c>
      <c r="J703" s="22"/>
      <c r="K703" s="22"/>
      <c r="L703" s="22" t="str">
        <f>IFERROR(__xludf.DUMMYFUNCTION("""COMPUTED_VALUE"""),"一迅社")</f>
        <v>一迅社</v>
      </c>
      <c r="M703" s="23">
        <f>IFERROR(__xludf.DUMMYFUNCTION("""COMPUTED_VALUE"""),45213.0)</f>
        <v>45213</v>
      </c>
      <c r="N703" s="23">
        <f>IFERROR(__xludf.DUMMYFUNCTION("""COMPUTED_VALUE"""),45243.0)</f>
        <v>45243</v>
      </c>
      <c r="O703" s="20"/>
      <c r="P703" s="29" t="str">
        <f>IFERROR(__xludf.DUMMYFUNCTION("""COMPUTED_VALUE"""),"否")</f>
        <v>否</v>
      </c>
      <c r="Q703" s="30"/>
      <c r="R703" s="22"/>
      <c r="S703" s="22" t="str">
        <f>IFERROR(__xludf.DUMMYFUNCTION("""COMPUTED_VALUE"""),"20230907_一迅社_ZEROSUM10月新作")</f>
        <v>20230907_一迅社_ZEROSUM10月新作</v>
      </c>
      <c r="T703" s="22" t="str">
        <f>IFERROR(__xludf.DUMMYFUNCTION("""COMPUTED_VALUE"""),"格納済み")</f>
        <v>格納済み</v>
      </c>
      <c r="U703" s="15" t="str">
        <f>IFERROR(__xludf.DUMMYFUNCTION("""COMPUTED_VALUE"""),"(C)江本マシメサ・とき間／ポプラ社 (C)はま／一迅社")</f>
        <v>(C)江本マシメサ・とき間／ポプラ社 (C)はま／一迅社</v>
      </c>
      <c r="V703" s="8" t="str">
        <f>IFERROR(__xludf.DUMMYFUNCTION("""COMPUTED_VALUE"""),"大正時代、名家・久我家は当主の失脚により没落。御嬢様だったまりあは許嫁に婚約破棄され、下町のあばら家に住んでいる。そんな彼女が孔雀宮の夜会で出会ったのは、日本有数の名家である山上家の装二郎。しかし山上家には、帝都にはびこり夜な夜な事件を起こすあやかしを匿っているという不穏な噂あり、豪奢な住居もあやかし屋敷と呼ばれていた。だが、両親への援助を条件にまりあはそこに嫁ぐことになって……? 契約花嫁があやかしと当主を守るために大奮闘！ もふもふ和風大正ファンタジー♪【本商品は単話コンテンツとなります。単行本版と収"&amp;"録内容が異なる場合がございます。漫画内の告知等は過去のものとなりますので、ご注意ください。】")</f>
        <v>大正時代、名家・久我家は当主の失脚により没落。御嬢様だったまりあは許嫁に婚約破棄され、下町のあばら家に住んでいる。そんな彼女が孔雀宮の夜会で出会ったのは、日本有数の名家である山上家の装二郎。しかし山上家には、帝都にはびこり夜な夜な事件を起こすあやかしを匿っているという不穏な噂あり、豪奢な住居もあやかし屋敷と呼ばれていた。だが、両親への援助を条件にまりあはそこに嫁ぐことになって……? 契約花嫁があやかしと当主を守るために大奮闘！ もふもふ和風大正ファンタジー♪【本商品は単話コンテンツとなります。単行本版と収録内容が異なる場合がございます。漫画内の告知等は過去のものとなりますので、ご注意ください。】</v>
      </c>
      <c r="W703" s="14"/>
      <c r="X703" s="14" t="str">
        <f>IFERROR(__xludf.DUMMYFUNCTION("""COMPUTED_VALUE"""),"有
")</f>
        <v>有
</v>
      </c>
      <c r="Y703" s="8" t="str">
        <f>IFERROR(__xludf.DUMMYFUNCTION("""COMPUTED_VALUE"""),"11/13まで1巻無料")</f>
        <v>11/13まで1巻無料</v>
      </c>
      <c r="Z703" s="7"/>
      <c r="AA703" s="7"/>
      <c r="AB703" s="7"/>
    </row>
    <row r="704" ht="15.75" customHeight="1">
      <c r="A704" s="26">
        <f>IFERROR(__xludf.DUMMYFUNCTION("""COMPUTED_VALUE"""),2251.0)</f>
        <v>2251</v>
      </c>
      <c r="B704" s="22" t="str">
        <f>IFERROR(__xludf.DUMMYFUNCTION("""COMPUTED_VALUE"""),"確定")</f>
        <v>確定</v>
      </c>
      <c r="C704" s="28">
        <f>IFERROR(__xludf.DUMMYFUNCTION("""COMPUTED_VALUE"""),45140.0)</f>
        <v>45140</v>
      </c>
      <c r="D704" s="28">
        <f>IFERROR(__xludf.DUMMYFUNCTION("""COMPUTED_VALUE"""),45194.0)</f>
        <v>45194</v>
      </c>
      <c r="E704" s="31">
        <f>IFERROR(__xludf.DUMMYFUNCTION("""COMPUTED_VALUE"""),278612.0)</f>
        <v>278612</v>
      </c>
      <c r="F704" s="22" t="str">
        <f>IFERROR(__xludf.DUMMYFUNCTION("""COMPUTED_VALUE"""),"ゴリラと一緒")</f>
        <v>ゴリラと一緒</v>
      </c>
      <c r="G704" s="20" t="str">
        <f>IFERROR(__xludf.DUMMYFUNCTION("""COMPUTED_VALUE"""),"1～5")</f>
        <v>1～5</v>
      </c>
      <c r="H704" s="22" t="str">
        <f>IFERROR(__xludf.DUMMYFUNCTION("""COMPUTED_VALUE"""),"中村コネ・egumi")</f>
        <v>中村コネ・egumi</v>
      </c>
      <c r="I704" s="22" t="str">
        <f>IFERROR(__xludf.DUMMYFUNCTION("""COMPUTED_VALUE"""),"青年	")</f>
        <v>青年	</v>
      </c>
      <c r="J704" s="22"/>
      <c r="K704" s="22"/>
      <c r="L704" s="22" t="str">
        <f>IFERROR(__xludf.DUMMYFUNCTION("""COMPUTED_VALUE"""),"DPNブックス")</f>
        <v>DPNブックス</v>
      </c>
      <c r="M704" s="23">
        <f>IFERROR(__xludf.DUMMYFUNCTION("""COMPUTED_VALUE"""),45229.0)</f>
        <v>45229</v>
      </c>
      <c r="N704" s="23">
        <f>IFERROR(__xludf.DUMMYFUNCTION("""COMPUTED_VALUE"""),45259.0)</f>
        <v>45259</v>
      </c>
      <c r="O704" s="20"/>
      <c r="P704" s="29" t="str">
        <f>IFERROR(__xludf.DUMMYFUNCTION("""COMPUTED_VALUE"""),"否")</f>
        <v>否</v>
      </c>
      <c r="Q704" s="38" t="str">
        <f>IFERROR(__xludf.DUMMYFUNCTION("""COMPUTED_VALUE"""),"広告コミットOK(8/3)")</f>
        <v>広告コミットOK(8/3)</v>
      </c>
      <c r="R704" s="38">
        <f>IFERROR(__xludf.DUMMYFUNCTION("""COMPUTED_VALUE"""),45191.0)</f>
        <v>45191</v>
      </c>
      <c r="S704" s="22" t="str">
        <f>IFERROR(__xludf.DUMMYFUNCTION("""COMPUTED_VALUE"""),"20230922_DPNブックス_ゴリラと一緒")</f>
        <v>20230922_DPNブックス_ゴリラと一緒</v>
      </c>
      <c r="T704" s="22" t="str">
        <f>IFERROR(__xludf.DUMMYFUNCTION("""COMPUTED_VALUE"""),"格納済み")</f>
        <v>格納済み</v>
      </c>
      <c r="U704" s="15" t="str">
        <f>IFERROR(__xludf.DUMMYFUNCTION("""COMPUTED_VALUE"""),"©中村コネ・egumi／DPNブックス")</f>
        <v>©中村コネ・egumi／DPNブックス</v>
      </c>
      <c r="V704" s="8" t="str">
        <f>IFERROR(__xludf.DUMMYFUNCTION("""COMPUTED_VALUE"""),"ある日突然、同僚がゴリラのぬいぐるみと出社してきました！？
世界的な問題によりテレワークを余儀なくされた会社員・赤井は、最近元気がない同僚の緑川をオンライン飲み会に誘った。
オンライン飲み会当日、画面に映る緑川の隣にはゴリラのぬいぐるみ？？ワケを聞くと、外出禁止の孤独に耐えかねて子供のころのぬいぐるみを引っ張り出したらしい。
少々心配にはなるものの、徐々に元気を取り戻してゆく緑川に一度は安心した赤井だったが、久々に会う取引先との対面会議の場で、緑川はPCと一緒にあのゴリラを取り出してー！？
普通っ"&amp;"て何ですか？ぬいぐるみと出社しちゃだめですか？
『普通』からはみ出した緑川がぐいぐい受け入れられていく、新感覚受け入れられヒューマンコメディ！")</f>
        <v>ある日突然、同僚がゴリラのぬいぐるみと出社してきました！？
世界的な問題によりテレワークを余儀なくされた会社員・赤井は、最近元気がない同僚の緑川をオンライン飲み会に誘った。
オンライン飲み会当日、画面に映る緑川の隣にはゴリラのぬいぐるみ？？ワケを聞くと、外出禁止の孤独に耐えかねて子供のころのぬいぐるみを引っ張り出したらしい。
少々心配にはなるものの、徐々に元気を取り戻してゆく緑川に一度は安心した赤井だったが、久々に会う取引先との対面会議の場で、緑川はPCと一緒にあのゴリラを取り出してー！？
普通って何ですか？ぬいぐるみと出社しちゃだめですか？
『普通』からはみ出した緑川がぐいぐい受け入れられていく、新感覚受け入れられヒューマンコメディ！</v>
      </c>
      <c r="W704" s="14"/>
      <c r="X704" s="14" t="str">
        <f>IFERROR(__xludf.DUMMYFUNCTION("""COMPUTED_VALUE"""),"有
")</f>
        <v>有
</v>
      </c>
      <c r="Y704" s="8" t="str">
        <f>IFERROR(__xludf.DUMMYFUNCTION("""COMPUTED_VALUE"""),"11/29まで1~2巻無料")</f>
        <v>11/29まで1~2巻無料</v>
      </c>
      <c r="Z704" s="7"/>
      <c r="AA704" s="7"/>
      <c r="AB704" s="7"/>
    </row>
    <row r="705" ht="122.25" customHeight="1">
      <c r="A705" s="26">
        <f>IFERROR(__xludf.DUMMYFUNCTION("""COMPUTED_VALUE"""),2304.0)</f>
        <v>2304</v>
      </c>
      <c r="B705" s="22" t="str">
        <f>IFERROR(__xludf.DUMMYFUNCTION("""COMPUTED_VALUE"""),"確定")</f>
        <v>確定</v>
      </c>
      <c r="C705" s="28">
        <f>IFERROR(__xludf.DUMMYFUNCTION("""COMPUTED_VALUE"""),45160.0)</f>
        <v>45160</v>
      </c>
      <c r="D705" s="28">
        <f>IFERROR(__xludf.DUMMYFUNCTION("""COMPUTED_VALUE"""),45191.0)</f>
        <v>45191</v>
      </c>
      <c r="E705" s="31">
        <f>IFERROR(__xludf.DUMMYFUNCTION("""COMPUTED_VALUE"""),277356.0)</f>
        <v>277356</v>
      </c>
      <c r="F705" s="22" t="str">
        <f>IFERROR(__xludf.DUMMYFUNCTION("""COMPUTED_VALUE"""),"ショートケーキの苺はいつ食べる？【マイクロ】")</f>
        <v>ショートケーキの苺はいつ食べる？【マイクロ】</v>
      </c>
      <c r="G705" s="16" t="str">
        <f>IFERROR(__xludf.DUMMYFUNCTION("""COMPUTED_VALUE"""),"1～3")</f>
        <v>1～3</v>
      </c>
      <c r="H705" s="22" t="str">
        <f>IFERROR(__xludf.DUMMYFUNCTION("""COMPUTED_VALUE"""),"華谷艶")</f>
        <v>華谷艶</v>
      </c>
      <c r="I705" s="22" t="str">
        <f>IFERROR(__xludf.DUMMYFUNCTION("""COMPUTED_VALUE"""),"少女")</f>
        <v>少女</v>
      </c>
      <c r="J705" s="22"/>
      <c r="K705" s="22"/>
      <c r="L705" s="22" t="str">
        <f>IFERROR(__xludf.DUMMYFUNCTION("""COMPUTED_VALUE"""),"小学館")</f>
        <v>小学館</v>
      </c>
      <c r="M705" s="23">
        <f>IFERROR(__xludf.DUMMYFUNCTION("""COMPUTED_VALUE"""),45204.0)</f>
        <v>45204</v>
      </c>
      <c r="N705" s="23">
        <f>IFERROR(__xludf.DUMMYFUNCTION("""COMPUTED_VALUE"""),45264.0)</f>
        <v>45264</v>
      </c>
      <c r="O705" s="20"/>
      <c r="P705" s="29" t="str">
        <f>IFERROR(__xludf.DUMMYFUNCTION("""COMPUTED_VALUE"""),"否")</f>
        <v>否</v>
      </c>
      <c r="Q705" s="30" t="str">
        <f>IFERROR(__xludf.DUMMYFUNCTION("""COMPUTED_VALUE"""),"広告コミットOK(8/28)&lt;BR&gt;※初回配信1-3話ですが、4話まで素材いただきました。初回配信に合わせてのクリエイティブは3話までで制作ください。")</f>
        <v>広告コミットOK(8/28)&lt;BR&gt;※初回配信1-3話ですが、4話まで素材いただきました。初回配信に合わせてのクリエイティブは3話までで制作ください。</v>
      </c>
      <c r="R705" s="22"/>
      <c r="S705" s="22" t="str">
        <f>IFERROR(__xludf.DUMMYFUNCTION("""COMPUTED_VALUE"""),"20230922_小学館_ショートケーキの苺はいつ食べる？【マイクロ】")</f>
        <v>20230922_小学館_ショートケーキの苺はいつ食べる？【マイクロ】</v>
      </c>
      <c r="T705" s="22" t="str">
        <f>IFERROR(__xludf.DUMMYFUNCTION("""COMPUTED_VALUE"""),"格納済み")</f>
        <v>格納済み</v>
      </c>
      <c r="U705" s="15" t="str">
        <f>IFERROR(__xludf.DUMMYFUNCTION("""COMPUTED_VALUE"""),"(C)華谷艶 / 小学館")</f>
        <v>(C)華谷艶 / 小学館</v>
      </c>
      <c r="V705" s="8" t="str">
        <f>IFERROR(__xludf.DUMMYFUNCTION("""COMPUTED_VALUE"""),"【コミックシーモア限定版の描き下ろし特典つき】大学2年生の綾瀬なつめは、4年前の初恋が忘れられずにいる。大物政治家の息子でおさななじみの恒介とは両想いだったけど、恒介の父の秘書をしていたなつめの父親が逮捕された事件がきっかけで絶対叶わない恋になってしまったからーー。そんなある日、スイーツフェスで偶然知り合った、同じ大学の育人と急接近して！！")</f>
        <v>【コミックシーモア限定版の描き下ろし特典つき】大学2年生の綾瀬なつめは、4年前の初恋が忘れられずにいる。大物政治家の息子でおさななじみの恒介とは両想いだったけど、恒介の父の秘書をしていたなつめの父親が逮捕された事件がきっかけで絶対叶わない恋になってしまったからーー。そんなある日、スイーツフェスで偶然知り合った、同じ大学の育人と急接近して！！</v>
      </c>
      <c r="W705" s="14"/>
      <c r="X705" s="14" t="str">
        <f>IFERROR(__xludf.DUMMYFUNCTION("""COMPUTED_VALUE"""),"有
")</f>
        <v>有
</v>
      </c>
      <c r="Y705" s="8" t="str">
        <f>IFERROR(__xludf.DUMMYFUNCTION("""COMPUTED_VALUE"""),"P15まで")</f>
        <v>P15まで</v>
      </c>
      <c r="Z705" s="7"/>
      <c r="AA705" s="7"/>
      <c r="AB705" s="7"/>
    </row>
    <row r="706" ht="135.75" customHeight="1">
      <c r="A706" s="26">
        <f>IFERROR(__xludf.DUMMYFUNCTION("""COMPUTED_VALUE"""),2319.0)</f>
        <v>2319</v>
      </c>
      <c r="B706" s="22" t="str">
        <f>IFERROR(__xludf.DUMMYFUNCTION("""COMPUTED_VALUE"""),"確定")</f>
        <v>確定</v>
      </c>
      <c r="C706" s="28">
        <f>IFERROR(__xludf.DUMMYFUNCTION("""COMPUTED_VALUE"""),45166.0)</f>
        <v>45166</v>
      </c>
      <c r="D706" s="28">
        <f>IFERROR(__xludf.DUMMYFUNCTION("""COMPUTED_VALUE"""),45191.0)</f>
        <v>45191</v>
      </c>
      <c r="E706" s="31">
        <f>IFERROR(__xludf.DUMMYFUNCTION("""COMPUTED_VALUE"""),277901.0)</f>
        <v>277901</v>
      </c>
      <c r="F706" s="22" t="str">
        <f>IFERROR(__xludf.DUMMYFUNCTION("""COMPUTED_VALUE"""),"マリリンは、いなくなった")</f>
        <v>マリリンは、いなくなった</v>
      </c>
      <c r="G706" s="20" t="str">
        <f>IFERROR(__xludf.DUMMYFUNCTION("""COMPUTED_VALUE"""),"1～4")</f>
        <v>1～4</v>
      </c>
      <c r="H706" s="22" t="str">
        <f>IFERROR(__xludf.DUMMYFUNCTION("""COMPUTED_VALUE"""),"葉月めぐみ")</f>
        <v>葉月めぐみ</v>
      </c>
      <c r="I706" s="22" t="str">
        <f>IFERROR(__xludf.DUMMYFUNCTION("""COMPUTED_VALUE"""),"女性")</f>
        <v>女性</v>
      </c>
      <c r="J706" s="22"/>
      <c r="K706" s="22"/>
      <c r="L706" s="22" t="str">
        <f>IFERROR(__xludf.DUMMYFUNCTION("""COMPUTED_VALUE"""),"集英社")</f>
        <v>集英社</v>
      </c>
      <c r="M706" s="23">
        <f>IFERROR(__xludf.DUMMYFUNCTION("""COMPUTED_VALUE"""),45197.0)</f>
        <v>45197</v>
      </c>
      <c r="N706" s="23">
        <f>IFERROR(__xludf.DUMMYFUNCTION("""COMPUTED_VALUE"""),45223.0)</f>
        <v>45223</v>
      </c>
      <c r="O706" s="20"/>
      <c r="P706" s="32" t="str">
        <f>IFERROR(__xludf.DUMMYFUNCTION("""COMPUTED_VALUE"""),"否")</f>
        <v>否</v>
      </c>
      <c r="Q706" s="30"/>
      <c r="R706" s="22"/>
      <c r="S706" s="22" t="str">
        <f>IFERROR(__xludf.DUMMYFUNCTION("""COMPUTED_VALUE"""),"20230920_集英社_マリリンはいなくなった")</f>
        <v>20230920_集英社_マリリンはいなくなった</v>
      </c>
      <c r="T706" s="22" t="str">
        <f>IFERROR(__xludf.DUMMYFUNCTION("""COMPUTED_VALUE"""),"格納済み")</f>
        <v>格納済み</v>
      </c>
      <c r="U706" s="15" t="str">
        <f>IFERROR(__xludf.DUMMYFUNCTION("""COMPUTED_VALUE"""),"（C）葉月めぐみ／集英社")</f>
        <v>（C）葉月めぐみ／集英社</v>
      </c>
      <c r="V706" s="8" t="str">
        <f>IFERROR(__xludf.DUMMYFUNCTION("""COMPUTED_VALUE"""),"24歳の現国教師・鞠原今日子は、頭を打った衝撃で7年間の記憶を失ってしまい、中身が17歳の状態に。24歳の今日子は、真面目に幸せに生きていた17歳までの今日子とは見た目も様子もまるで別人。教師という立場でありながら、生徒とは不純な関係で…。この7年間に、一体何があったのか。今日子は自分を取り戻そうとするけれど…!?　【MC「マリリンは、いなくなった」単行本版1巻を話分割した分冊版です】")</f>
        <v>24歳の現国教師・鞠原今日子は、頭を打った衝撃で7年間の記憶を失ってしまい、中身が17歳の状態に。24歳の今日子は、真面目に幸せに生きていた17歳までの今日子とは見た目も様子もまるで別人。教師という立場でありながら、生徒とは不純な関係で…。この7年間に、一体何があったのか。今日子は自分を取り戻そうとするけれど…!?　【MC「マリリンは、いなくなった」単行本版1巻を話分割した分冊版です】</v>
      </c>
      <c r="W706" s="14"/>
      <c r="X706" s="14" t="str">
        <f>IFERROR(__xludf.DUMMYFUNCTION("""COMPUTED_VALUE"""),"有
")</f>
        <v>有
</v>
      </c>
      <c r="Y706" s="8" t="str">
        <f>IFERROR(__xludf.DUMMYFUNCTION("""COMPUTED_VALUE"""),"10/11まで1巻無料
")</f>
        <v>10/11まで1巻無料
</v>
      </c>
      <c r="Z706" s="7"/>
      <c r="AA706" s="7"/>
      <c r="AB706" s="7"/>
    </row>
    <row r="707" ht="15.75" customHeight="1">
      <c r="A707" s="26">
        <f>IFERROR(__xludf.DUMMYFUNCTION("""COMPUTED_VALUE"""),2320.0)</f>
        <v>2320</v>
      </c>
      <c r="B707" s="22" t="str">
        <f>IFERROR(__xludf.DUMMYFUNCTION("""COMPUTED_VALUE"""),"確定")</f>
        <v>確定</v>
      </c>
      <c r="C707" s="28">
        <f>IFERROR(__xludf.DUMMYFUNCTION("""COMPUTED_VALUE"""),45167.0)</f>
        <v>45167</v>
      </c>
      <c r="D707" s="28">
        <f>IFERROR(__xludf.DUMMYFUNCTION("""COMPUTED_VALUE"""),45196.0)</f>
        <v>45196</v>
      </c>
      <c r="E707" s="31">
        <f>IFERROR(__xludf.DUMMYFUNCTION("""COMPUTED_VALUE"""),277260.0)</f>
        <v>277260</v>
      </c>
      <c r="F707" s="22" t="str">
        <f>IFERROR(__xludf.DUMMYFUNCTION("""COMPUTED_VALUE"""),"幼馴染Wハニー")</f>
        <v>幼馴染Wハニー</v>
      </c>
      <c r="G707" s="20" t="str">
        <f>IFERROR(__xludf.DUMMYFUNCTION("""COMPUTED_VALUE"""),"1～3")</f>
        <v>1～3</v>
      </c>
      <c r="H707" s="22" t="str">
        <f>IFERROR(__xludf.DUMMYFUNCTION("""COMPUTED_VALUE"""),"蒼間かなた")</f>
        <v>蒼間かなた</v>
      </c>
      <c r="I707" s="22" t="str">
        <f>IFERROR(__xludf.DUMMYFUNCTION("""COMPUTED_VALUE"""),"BL")</f>
        <v>BL</v>
      </c>
      <c r="J707" s="22"/>
      <c r="K707" s="22"/>
      <c r="L707" s="22" t="str">
        <f>IFERROR(__xludf.DUMMYFUNCTION("""COMPUTED_VALUE"""),"ライブコミックス")</f>
        <v>ライブコミックス</v>
      </c>
      <c r="M707" s="23">
        <f>IFERROR(__xludf.DUMMYFUNCTION("""COMPUTED_VALUE"""),45203.0)</f>
        <v>45203</v>
      </c>
      <c r="N707" s="39">
        <f>IFERROR(__xludf.DUMMYFUNCTION("""COMPUTED_VALUE"""),45216.0)</f>
        <v>45216</v>
      </c>
      <c r="O707" s="20"/>
      <c r="P707" s="29" t="str">
        <f>IFERROR(__xludf.DUMMYFUNCTION("""COMPUTED_VALUE"""),"可")</f>
        <v>可</v>
      </c>
      <c r="Q707" s="30"/>
      <c r="R707" s="22"/>
      <c r="S707" s="22" t="str">
        <f>IFERROR(__xludf.DUMMYFUNCTION("""COMPUTED_VALUE"""),"20230829_Booklive_幼馴染Wハニー")</f>
        <v>20230829_Booklive_幼馴染Wハニー</v>
      </c>
      <c r="T707" s="22" t="str">
        <f>IFERROR(__xludf.DUMMYFUNCTION("""COMPUTED_VALUE"""),"格納済み")</f>
        <v>格納済み</v>
      </c>
      <c r="U707" s="15" t="str">
        <f>IFERROR(__xludf.DUMMYFUNCTION("""COMPUTED_VALUE"""),"Ⓒ蒼間かなた/ライブコミックス")</f>
        <v>Ⓒ蒼間かなた/ライブコミックス</v>
      </c>
      <c r="V707" s="8" t="str">
        <f>IFERROR(__xludf.DUMMYFUNCTION("""COMPUTED_VALUE"""),"恋に夢見る大学生の唯人（ゆいと）は、幼馴染の双子・叶翔（とわ）と志翔（しょう）とルームシェア中。長年ノンケの叶翔に対し辛い片思いをしてきた唯人は「大学では彼氏を作るんだ！」と意気込むも、双子がべったりで出会いがない。仕方がないのでゲイ向けのマッチングアプリに手を出すことに。いざお相手とご対面…というところで、なぜかそこに双子の姿が。しかも、アプリでヤリモクにひっかかりかけた”お仕置き”でふたりにセックスされて…！？　俺は彼氏を作って平和に暮らしたかっただけなのに…！　幼馴染の双子とルームシェアで溺愛３P！")</f>
        <v>恋に夢見る大学生の唯人（ゆいと）は、幼馴染の双子・叶翔（とわ）と志翔（しょう）とルームシェア中。長年ノンケの叶翔に対し辛い片思いをしてきた唯人は「大学では彼氏を作るんだ！」と意気込むも、双子がべったりで出会いがない。仕方がないのでゲイ向けのマッチングアプリに手を出すことに。いざお相手とご対面…というところで、なぜかそこに双子の姿が。しかも、アプリでヤリモクにひっかかりかけた”お仕置き”でふたりにセックスされて…！？　俺は彼氏を作って平和に暮らしたかっただけなのに…！　幼馴染の双子とルームシェアで溺愛３P！</v>
      </c>
      <c r="W707" s="14"/>
      <c r="X707" s="14" t="str">
        <f>IFERROR(__xludf.DUMMYFUNCTION("""COMPUTED_VALUE"""),"有
")</f>
        <v>有
</v>
      </c>
      <c r="Y707" s="8" t="str">
        <f>IFERROR(__xludf.DUMMYFUNCTION("""COMPUTED_VALUE"""),"10/31まで1巻無料
")</f>
        <v>10/31まで1巻無料
</v>
      </c>
      <c r="Z707" s="7"/>
      <c r="AA707" s="7"/>
      <c r="AB707" s="7"/>
    </row>
    <row r="708" ht="15.75" customHeight="1">
      <c r="A708" s="26">
        <f>IFERROR(__xludf.DUMMYFUNCTION("""COMPUTED_VALUE"""),2321.0)</f>
        <v>2321</v>
      </c>
      <c r="B708" s="22" t="str">
        <f>IFERROR(__xludf.DUMMYFUNCTION("""COMPUTED_VALUE"""),"確定")</f>
        <v>確定</v>
      </c>
      <c r="C708" s="28">
        <f>IFERROR(__xludf.DUMMYFUNCTION("""COMPUTED_VALUE"""),45167.0)</f>
        <v>45167</v>
      </c>
      <c r="D708" s="28">
        <f>IFERROR(__xludf.DUMMYFUNCTION("""COMPUTED_VALUE"""),45195.0)</f>
        <v>45195</v>
      </c>
      <c r="E708" s="31">
        <f>IFERROR(__xludf.DUMMYFUNCTION("""COMPUTED_VALUE"""),277266.0)</f>
        <v>277266</v>
      </c>
      <c r="F708" s="22" t="str">
        <f>IFERROR(__xludf.DUMMYFUNCTION("""COMPUTED_VALUE"""),"おとなの恋は不器用なので")</f>
        <v>おとなの恋は不器用なので</v>
      </c>
      <c r="G708" s="20">
        <f>IFERROR(__xludf.DUMMYFUNCTION("""COMPUTED_VALUE"""),1.0)</f>
        <v>1</v>
      </c>
      <c r="H708" s="22" t="str">
        <f>IFERROR(__xludf.DUMMYFUNCTION("""COMPUTED_VALUE"""),"ひがしづむ")</f>
        <v>ひがしづむ</v>
      </c>
      <c r="I708" s="22" t="str">
        <f>IFERROR(__xludf.DUMMYFUNCTION("""COMPUTED_VALUE"""),"BL")</f>
        <v>BL</v>
      </c>
      <c r="J708" s="22"/>
      <c r="K708" s="22"/>
      <c r="L708" s="22" t="str">
        <f>IFERROR(__xludf.DUMMYFUNCTION("""COMPUTED_VALUE"""),"ライブコミックス")</f>
        <v>ライブコミックス</v>
      </c>
      <c r="M708" s="23">
        <f>IFERROR(__xludf.DUMMYFUNCTION("""COMPUTED_VALUE"""),45203.0)</f>
        <v>45203</v>
      </c>
      <c r="N708" s="39">
        <f>IFERROR(__xludf.DUMMYFUNCTION("""COMPUTED_VALUE"""),45216.0)</f>
        <v>45216</v>
      </c>
      <c r="O708" s="20"/>
      <c r="P708" s="29" t="str">
        <f>IFERROR(__xludf.DUMMYFUNCTION("""COMPUTED_VALUE"""),"可")</f>
        <v>可</v>
      </c>
      <c r="Q708" s="30"/>
      <c r="R708" s="22"/>
      <c r="S708" s="22" t="str">
        <f>IFERROR(__xludf.DUMMYFUNCTION("""COMPUTED_VALUE"""),"20230829_Booklive_おとなの恋は不器用なので")</f>
        <v>20230829_Booklive_おとなの恋は不器用なので</v>
      </c>
      <c r="T708" s="22" t="str">
        <f>IFERROR(__xludf.DUMMYFUNCTION("""COMPUTED_VALUE"""),"格納済み")</f>
        <v>格納済み</v>
      </c>
      <c r="U708" s="15" t="str">
        <f>IFERROR(__xludf.DUMMYFUNCTION("""COMPUTED_VALUE"""),"Ⓒひがしづむ/ライブコミックス")</f>
        <v>Ⓒひがしづむ/ライブコミックス</v>
      </c>
      <c r="V708" s="8" t="str">
        <f>IFERROR(__xludf.DUMMYFUNCTION("""COMPUTED_VALUE"""),"仕事はそこそこ、独身で悠々自適、恋愛から遠ざかって幾数年。そんな穏やかなアラフォーライフを謳歌する浮ケ谷（うきがや）のもとに現れたのは、年下のイケメンエリート・進藤（しんどう）。進藤とはなにかと相性が悪く、ナメられ怒られ、ふりまわされぎみ…。ノンケ食いまくりのビッチな過去がある浮ケ谷は、進藤のイケメンっぷりに「昔なら狙ってたかも」と思ったりもするけれど、ばかばかしいと己を一笑に付す。だがある日、進藤の「とある秘密」を知って関係に変化が…？　若手辛辣エリート×元ビッチおじさんの凸凹な歳の差ラブ！")</f>
        <v>仕事はそこそこ、独身で悠々自適、恋愛から遠ざかって幾数年。そんな穏やかなアラフォーライフを謳歌する浮ケ谷（うきがや）のもとに現れたのは、年下のイケメンエリート・進藤（しんどう）。進藤とはなにかと相性が悪く、ナメられ怒られ、ふりまわされぎみ…。ノンケ食いまくりのビッチな過去がある浮ケ谷は、進藤のイケメンっぷりに「昔なら狙ってたかも」と思ったりもするけれど、ばかばかしいと己を一笑に付す。だがある日、進藤の「とある秘密」を知って関係に変化が…？　若手辛辣エリート×元ビッチおじさんの凸凹な歳の差ラブ！</v>
      </c>
      <c r="W708" s="14"/>
      <c r="X708" s="14" t="str">
        <f>IFERROR(__xludf.DUMMYFUNCTION("""COMPUTED_VALUE"""),"有
")</f>
        <v>有
</v>
      </c>
      <c r="Y708" s="8" t="str">
        <f>IFERROR(__xludf.DUMMYFUNCTION("""COMPUTED_VALUE"""),"P10まで")</f>
        <v>P10まで</v>
      </c>
      <c r="Z708" s="7"/>
      <c r="AA708" s="7"/>
      <c r="AB708" s="7"/>
    </row>
    <row r="709" ht="15.75" customHeight="1">
      <c r="A709" s="26">
        <f>IFERROR(__xludf.DUMMYFUNCTION("""COMPUTED_VALUE"""),2322.0)</f>
        <v>2322</v>
      </c>
      <c r="B709" s="22" t="str">
        <f>IFERROR(__xludf.DUMMYFUNCTION("""COMPUTED_VALUE"""),"確定")</f>
        <v>確定</v>
      </c>
      <c r="C709" s="28">
        <f>IFERROR(__xludf.DUMMYFUNCTION("""COMPUTED_VALUE"""),45167.0)</f>
        <v>45167</v>
      </c>
      <c r="D709" s="28">
        <f>IFERROR(__xludf.DUMMYFUNCTION("""COMPUTED_VALUE"""),45196.0)</f>
        <v>45196</v>
      </c>
      <c r="E709" s="31">
        <f>IFERROR(__xludf.DUMMYFUNCTION("""COMPUTED_VALUE"""),277262.0)</f>
        <v>277262</v>
      </c>
      <c r="F709" s="22" t="str">
        <f>IFERROR(__xludf.DUMMYFUNCTION("""COMPUTED_VALUE"""),"おれ推しの新人俳優に迫られています")</f>
        <v>おれ推しの新人俳優に迫られています</v>
      </c>
      <c r="G709" s="11" t="str">
        <f>IFERROR(__xludf.DUMMYFUNCTION("""COMPUTED_VALUE"""),"1～2")</f>
        <v>1～2</v>
      </c>
      <c r="H709" s="22" t="str">
        <f>IFERROR(__xludf.DUMMYFUNCTION("""COMPUTED_VALUE"""),"小鳥谷まるこ")</f>
        <v>小鳥谷まるこ</v>
      </c>
      <c r="I709" s="22" t="str">
        <f>IFERROR(__xludf.DUMMYFUNCTION("""COMPUTED_VALUE"""),"BL")</f>
        <v>BL</v>
      </c>
      <c r="J709" s="22"/>
      <c r="K709" s="22"/>
      <c r="L709" s="22" t="str">
        <f>IFERROR(__xludf.DUMMYFUNCTION("""COMPUTED_VALUE"""),"ライブコミックス")</f>
        <v>ライブコミックス</v>
      </c>
      <c r="M709" s="23">
        <f>IFERROR(__xludf.DUMMYFUNCTION("""COMPUTED_VALUE"""),45203.0)</f>
        <v>45203</v>
      </c>
      <c r="N709" s="39">
        <f>IFERROR(__xludf.DUMMYFUNCTION("""COMPUTED_VALUE"""),45216.0)</f>
        <v>45216</v>
      </c>
      <c r="O709" s="20"/>
      <c r="P709" s="29" t="str">
        <f>IFERROR(__xludf.DUMMYFUNCTION("""COMPUTED_VALUE"""),"可")</f>
        <v>可</v>
      </c>
      <c r="Q709" s="30"/>
      <c r="R709" s="22"/>
      <c r="S709" s="22" t="str">
        <f>IFERROR(__xludf.DUMMYFUNCTION("""COMPUTED_VALUE"""),"20230829_Booklive_おれ推しの新人俳優に迫られています")</f>
        <v>20230829_Booklive_おれ推しの新人俳優に迫られています</v>
      </c>
      <c r="T709" s="22" t="str">
        <f>IFERROR(__xludf.DUMMYFUNCTION("""COMPUTED_VALUE"""),"格納済み")</f>
        <v>格納済み</v>
      </c>
      <c r="U709" s="15" t="str">
        <f>IFERROR(__xludf.DUMMYFUNCTION("""COMPUTED_VALUE"""),"Ⓒ小鳥谷まるこ/ライブコミックス")</f>
        <v>Ⓒ小鳥谷まるこ/ライブコミックス</v>
      </c>
      <c r="V709" s="8" t="str">
        <f>IFERROR(__xludf.DUMMYFUNCTION("""COMPUTED_VALUE"""),"「俺なら週刊誌に売らないし、毎日セックスできますよ」子役上がりのイケメン俳優・宮崎爽汰（みやざきそうた）は、女性スキャンダルが絶えず今日も絶賛炎上中。あまりの素行の悪さに、後輩の新人俳優でモデルの立花陽（たちばなよう）とのルームシェアで監視されることに。男と暮らすなんて最悪！！と、陽に嫌がらせをしまくる爽汰だったが、ある日寡黙なはずの陽にキスをされ、しかもアソコに指まで入れられて…！？　男にヤられるなんて嘘だろ！？　ワガママな身体に〝わからせ〟セックス！　激重片想い人気モデル×ヤリチン炎上俳優の偏愛ストー"&amp;"キングBL！")</f>
        <v>「俺なら週刊誌に売らないし、毎日セックスできますよ」子役上がりのイケメン俳優・宮崎爽汰（みやざきそうた）は、女性スキャンダルが絶えず今日も絶賛炎上中。あまりの素行の悪さに、後輩の新人俳優でモデルの立花陽（たちばなよう）とのルームシェアで監視されることに。男と暮らすなんて最悪！！と、陽に嫌がらせをしまくる爽汰だったが、ある日寡黙なはずの陽にキスをされ、しかもアソコに指まで入れられて…！？　男にヤられるなんて嘘だろ！？　ワガママな身体に〝わからせ〟セックス！　激重片想い人気モデル×ヤリチン炎上俳優の偏愛ストーキングBL！</v>
      </c>
      <c r="W709" s="14"/>
      <c r="X709" s="14" t="str">
        <f>IFERROR(__xludf.DUMMYFUNCTION("""COMPUTED_VALUE"""),"有
")</f>
        <v>有
</v>
      </c>
      <c r="Y709" s="8" t="str">
        <f>IFERROR(__xludf.DUMMYFUNCTION("""COMPUTED_VALUE"""),"10/31まで1巻目立ち読み増量
P16まで")</f>
        <v>10/31まで1巻目立ち読み増量
P16まで</v>
      </c>
      <c r="Z709" s="7"/>
      <c r="AA709" s="7"/>
      <c r="AB709" s="7"/>
    </row>
    <row r="710" ht="15.75" customHeight="1">
      <c r="A710" s="26">
        <f>IFERROR(__xludf.DUMMYFUNCTION("""COMPUTED_VALUE"""),2323.0)</f>
        <v>2323</v>
      </c>
      <c r="B710" s="22" t="str">
        <f>IFERROR(__xludf.DUMMYFUNCTION("""COMPUTED_VALUE"""),"確定")</f>
        <v>確定</v>
      </c>
      <c r="C710" s="28">
        <f>IFERROR(__xludf.DUMMYFUNCTION("""COMPUTED_VALUE"""),45167.0)</f>
        <v>45167</v>
      </c>
      <c r="D710" s="28">
        <f>IFERROR(__xludf.DUMMYFUNCTION("""COMPUTED_VALUE"""),45196.0)</f>
        <v>45196</v>
      </c>
      <c r="E710" s="31">
        <f>IFERROR(__xludf.DUMMYFUNCTION("""COMPUTED_VALUE"""),277258.0)</f>
        <v>277258</v>
      </c>
      <c r="F710" s="22" t="str">
        <f>IFERROR(__xludf.DUMMYFUNCTION("""COMPUTED_VALUE"""),"オレ様Ωは発情期")</f>
        <v>オレ様Ωは発情期</v>
      </c>
      <c r="G710" s="20" t="str">
        <f>IFERROR(__xludf.DUMMYFUNCTION("""COMPUTED_VALUE"""),"1～3")</f>
        <v>1～3</v>
      </c>
      <c r="H710" s="22" t="str">
        <f>IFERROR(__xludf.DUMMYFUNCTION("""COMPUTED_VALUE"""),"すーざん")</f>
        <v>すーざん</v>
      </c>
      <c r="I710" s="22" t="str">
        <f>IFERROR(__xludf.DUMMYFUNCTION("""COMPUTED_VALUE"""),"BL")</f>
        <v>BL</v>
      </c>
      <c r="J710" s="22"/>
      <c r="K710" s="22"/>
      <c r="L710" s="22" t="str">
        <f>IFERROR(__xludf.DUMMYFUNCTION("""COMPUTED_VALUE"""),"ライブコミックス")</f>
        <v>ライブコミックス</v>
      </c>
      <c r="M710" s="23">
        <f>IFERROR(__xludf.DUMMYFUNCTION("""COMPUTED_VALUE"""),45203.0)</f>
        <v>45203</v>
      </c>
      <c r="N710" s="39">
        <f>IFERROR(__xludf.DUMMYFUNCTION("""COMPUTED_VALUE"""),45216.0)</f>
        <v>45216</v>
      </c>
      <c r="O710" s="20"/>
      <c r="P710" s="29" t="str">
        <f>IFERROR(__xludf.DUMMYFUNCTION("""COMPUTED_VALUE"""),"可")</f>
        <v>可</v>
      </c>
      <c r="Q710" s="30"/>
      <c r="R710" s="22"/>
      <c r="S710" s="22" t="str">
        <f>IFERROR(__xludf.DUMMYFUNCTION("""COMPUTED_VALUE"""),"20230926_BookLive_オレ様Ωは発情期")</f>
        <v>20230926_BookLive_オレ様Ωは発情期</v>
      </c>
      <c r="T710" s="22" t="str">
        <f>IFERROR(__xludf.DUMMYFUNCTION("""COMPUTED_VALUE"""),"格納済み")</f>
        <v>格納済み</v>
      </c>
      <c r="U710" s="15" t="str">
        <f>IFERROR(__xludf.DUMMYFUNCTION("""COMPUTED_VALUE"""),"Ⓒすーざん/ライブコミックス")</f>
        <v>Ⓒすーざん/ライブコミックス</v>
      </c>
      <c r="V710" s="8" t="str">
        <f>IFERROR(__xludf.DUMMYFUNCTION("""COMPUTED_VALUE"""),"優秀な学生が数多集う学園、その中でもひときわ目をひく存在・二階堂圭（にかいどうけい）。バスケ部次期エース＆有名ホテルグループの御曹司で、順風満帆なα生活を送っていた。だがある日、クラスに人気モデルの成宮玲央（なりみやれお）が転校してきてから、状況が一変。今までαだったはずの圭に、まるでΩの発情期のような体の火照りが。しかも、尻まで濡れてきて…！？　αのプライドとはうらはらに、体はどんどんΩに変わっていく。嫌いなあいつに抱かれたくて仕方がない！　犬猿ケンカップルの後天性オメガバース。")</f>
        <v>優秀な学生が数多集う学園、その中でもひときわ目をひく存在・二階堂圭（にかいどうけい）。バスケ部次期エース＆有名ホテルグループの御曹司で、順風満帆なα生活を送っていた。だがある日、クラスに人気モデルの成宮玲央（なりみやれお）が転校してきてから、状況が一変。今までαだったはずの圭に、まるでΩの発情期のような体の火照りが。しかも、尻まで濡れてきて…！？　αのプライドとはうらはらに、体はどんどんΩに変わっていく。嫌いなあいつに抱かれたくて仕方がない！　犬猿ケンカップルの後天性オメガバース。</v>
      </c>
      <c r="W710" s="14"/>
      <c r="X710" s="14" t="str">
        <f>IFERROR(__xludf.DUMMYFUNCTION("""COMPUTED_VALUE"""),"有
")</f>
        <v>有
</v>
      </c>
      <c r="Y710" s="8" t="str">
        <f>IFERROR(__xludf.DUMMYFUNCTION("""COMPUTED_VALUE"""),"10/31まで1巻無料
")</f>
        <v>10/31まで1巻無料
</v>
      </c>
      <c r="Z710" s="7"/>
      <c r="AA710" s="7"/>
      <c r="AB710" s="7"/>
    </row>
    <row r="711" ht="15.75" customHeight="1">
      <c r="A711" s="26">
        <f>IFERROR(__xludf.DUMMYFUNCTION("""COMPUTED_VALUE"""),2324.0)</f>
        <v>2324</v>
      </c>
      <c r="B711" s="22" t="str">
        <f>IFERROR(__xludf.DUMMYFUNCTION("""COMPUTED_VALUE"""),"確定")</f>
        <v>確定</v>
      </c>
      <c r="C711" s="28">
        <f>IFERROR(__xludf.DUMMYFUNCTION("""COMPUTED_VALUE"""),45167.0)</f>
        <v>45167</v>
      </c>
      <c r="D711" s="28">
        <f>IFERROR(__xludf.DUMMYFUNCTION("""COMPUTED_VALUE"""),45195.0)</f>
        <v>45195</v>
      </c>
      <c r="E711" s="31">
        <f>IFERROR(__xludf.DUMMYFUNCTION("""COMPUTED_VALUE"""),277257.0)</f>
        <v>277257</v>
      </c>
      <c r="F711" s="22" t="str">
        <f>IFERROR(__xludf.DUMMYFUNCTION("""COMPUTED_VALUE"""),"鬼神様の偽り花嫁")</f>
        <v>鬼神様の偽り花嫁</v>
      </c>
      <c r="G711" s="20" t="str">
        <f>IFERROR(__xludf.DUMMYFUNCTION("""COMPUTED_VALUE"""),"1～3")</f>
        <v>1～3</v>
      </c>
      <c r="H711" s="22" t="str">
        <f>IFERROR(__xludf.DUMMYFUNCTION("""COMPUTED_VALUE"""),"すぎちよ")</f>
        <v>すぎちよ</v>
      </c>
      <c r="I711" s="22" t="str">
        <f>IFERROR(__xludf.DUMMYFUNCTION("""COMPUTED_VALUE"""),"BL")</f>
        <v>BL</v>
      </c>
      <c r="J711" s="22"/>
      <c r="K711" s="22"/>
      <c r="L711" s="22" t="str">
        <f>IFERROR(__xludf.DUMMYFUNCTION("""COMPUTED_VALUE"""),"ライブコミックス")</f>
        <v>ライブコミックス</v>
      </c>
      <c r="M711" s="23">
        <f>IFERROR(__xludf.DUMMYFUNCTION("""COMPUTED_VALUE"""),45203.0)</f>
        <v>45203</v>
      </c>
      <c r="N711" s="39">
        <f>IFERROR(__xludf.DUMMYFUNCTION("""COMPUTED_VALUE"""),45216.0)</f>
        <v>45216</v>
      </c>
      <c r="O711" s="20"/>
      <c r="P711" s="29" t="str">
        <f>IFERROR(__xludf.DUMMYFUNCTION("""COMPUTED_VALUE"""),"可")</f>
        <v>可</v>
      </c>
      <c r="Q711" s="30"/>
      <c r="R711" s="22"/>
      <c r="S711" s="22" t="str">
        <f>IFERROR(__xludf.DUMMYFUNCTION("""COMPUTED_VALUE"""),"20230829_Booklive_鬼神様の偽り花嫁")</f>
        <v>20230829_Booklive_鬼神様の偽り花嫁</v>
      </c>
      <c r="T711" s="22" t="str">
        <f>IFERROR(__xludf.DUMMYFUNCTION("""COMPUTED_VALUE"""),"格納済み")</f>
        <v>格納済み</v>
      </c>
      <c r="U711" s="15" t="str">
        <f>IFERROR(__xludf.DUMMYFUNCTION("""COMPUTED_VALUE"""),"Ⓒすぎちよ/ライブコミックス")</f>
        <v>Ⓒすぎちよ/ライブコミックス</v>
      </c>
      <c r="V711" s="8" t="str">
        <f>IFERROR(__xludf.DUMMYFUNCTION("""COMPUTED_VALUE"""),"十年に一度、里の湯を守護する湯鬼神（ゆきじん）に生贄として花嫁を差し出す慣習がある「鬼火の里」。姉が花嫁に選ばれてしまった氷見（ひみ）は、湯鬼神を退治し悪しき慣習を終わらせるために、姉になり代わり嫁入りすることに――。夜伽で油断させて寝首を掻こうとするも、湯鬼神に男であることを見破られ、淫らなお仕置きされてしまい…！？孤独な神様と不憫な生贄が惹かれ合う、めくるめく神力供給LOVE！")</f>
        <v>十年に一度、里の湯を守護する湯鬼神（ゆきじん）に生贄として花嫁を差し出す慣習がある「鬼火の里」。姉が花嫁に選ばれてしまった氷見（ひみ）は、湯鬼神を退治し悪しき慣習を終わらせるために、姉になり代わり嫁入りすることに――。夜伽で油断させて寝首を掻こうとするも、湯鬼神に男であることを見破られ、淫らなお仕置きされてしまい…！？孤独な神様と不憫な生贄が惹かれ合う、めくるめく神力供給LOVE！</v>
      </c>
      <c r="W711" s="14"/>
      <c r="X711" s="14" t="str">
        <f>IFERROR(__xludf.DUMMYFUNCTION("""COMPUTED_VALUE"""),"有
")</f>
        <v>有
</v>
      </c>
      <c r="Y711" s="8" t="str">
        <f>IFERROR(__xludf.DUMMYFUNCTION("""COMPUTED_VALUE"""),"10/31まで1巻無料
")</f>
        <v>10/31まで1巻無料
</v>
      </c>
      <c r="Z711" s="7"/>
      <c r="AA711" s="7"/>
      <c r="AB711" s="7"/>
    </row>
    <row r="712" ht="15.75" customHeight="1">
      <c r="A712" s="26">
        <f>IFERROR(__xludf.DUMMYFUNCTION("""COMPUTED_VALUE"""),2325.0)</f>
        <v>2325</v>
      </c>
      <c r="B712" s="22" t="str">
        <f>IFERROR(__xludf.DUMMYFUNCTION("""COMPUTED_VALUE"""),"確定")</f>
        <v>確定</v>
      </c>
      <c r="C712" s="28">
        <f>IFERROR(__xludf.DUMMYFUNCTION("""COMPUTED_VALUE"""),45167.0)</f>
        <v>45167</v>
      </c>
      <c r="D712" s="28">
        <f>IFERROR(__xludf.DUMMYFUNCTION("""COMPUTED_VALUE"""),45196.0)</f>
        <v>45196</v>
      </c>
      <c r="E712" s="31">
        <f>IFERROR(__xludf.DUMMYFUNCTION("""COMPUTED_VALUE"""),277259.0)</f>
        <v>277259</v>
      </c>
      <c r="F712" s="22" t="str">
        <f>IFERROR(__xludf.DUMMYFUNCTION("""COMPUTED_VALUE"""),"今宵、あなたの犬になる")</f>
        <v>今宵、あなたの犬になる</v>
      </c>
      <c r="G712" s="20" t="str">
        <f>IFERROR(__xludf.DUMMYFUNCTION("""COMPUTED_VALUE"""),"1～3")</f>
        <v>1～3</v>
      </c>
      <c r="H712" s="22" t="str">
        <f>IFERROR(__xludf.DUMMYFUNCTION("""COMPUTED_VALUE"""),"牛☆丼子")</f>
        <v>牛☆丼子</v>
      </c>
      <c r="I712" s="22" t="str">
        <f>IFERROR(__xludf.DUMMYFUNCTION("""COMPUTED_VALUE"""),"BL")</f>
        <v>BL</v>
      </c>
      <c r="J712" s="22"/>
      <c r="K712" s="22"/>
      <c r="L712" s="22" t="str">
        <f>IFERROR(__xludf.DUMMYFUNCTION("""COMPUTED_VALUE"""),"ライブコミックス")</f>
        <v>ライブコミックス</v>
      </c>
      <c r="M712" s="23">
        <f>IFERROR(__xludf.DUMMYFUNCTION("""COMPUTED_VALUE"""),45203.0)</f>
        <v>45203</v>
      </c>
      <c r="N712" s="39">
        <f>IFERROR(__xludf.DUMMYFUNCTION("""COMPUTED_VALUE"""),45216.0)</f>
        <v>45216</v>
      </c>
      <c r="O712" s="20"/>
      <c r="P712" s="29" t="str">
        <f>IFERROR(__xludf.DUMMYFUNCTION("""COMPUTED_VALUE"""),"可")</f>
        <v>可</v>
      </c>
      <c r="Q712" s="30"/>
      <c r="R712" s="22"/>
      <c r="S712" s="22" t="str">
        <f>IFERROR(__xludf.DUMMYFUNCTION("""COMPUTED_VALUE"""),"20230829_Booklive_今宵、あなたの犬になる")</f>
        <v>20230829_Booklive_今宵、あなたの犬になる</v>
      </c>
      <c r="T712" s="22" t="str">
        <f>IFERROR(__xludf.DUMMYFUNCTION("""COMPUTED_VALUE"""),"格納済み")</f>
        <v>格納済み</v>
      </c>
      <c r="U712" s="15" t="str">
        <f>IFERROR(__xludf.DUMMYFUNCTION("""COMPUTED_VALUE"""),"Ⓒ牛☆丼子/ライブコミックス")</f>
        <v>Ⓒ牛☆丼子/ライブコミックス</v>
      </c>
      <c r="V712" s="8" t="str">
        <f>IFERROR(__xludf.DUMMYFUNCTION("""COMPUTED_VALUE"""),"ちゃんと店番できひんかった悪い子には…罰、与えよかーー。学芸員で読書家、品行方正で清純無垢な里見瑶一（さとみよういち）には、密かに恋する人がいる。それは、いきつけの古書店の店主・柳（やなぎ）さん。どこか飄々としていてつかめない、だけど優しくて穏やかな人。だがある日、古書店の店番の最中に蔵書の官能小説でこっそりヌいているところを柳に見られてしまう。その日を境に、「罰」を与えられるように。本業は官能小説家の柳は、サディストに豹変。取材と称して行われる淫らな行為に戸惑う里見だったが、徐々にマゾヒストの快感に開花"&amp;"していき…。インモラルでいびつな悦楽SM。")</f>
        <v>ちゃんと店番できひんかった悪い子には…罰、与えよかーー。学芸員で読書家、品行方正で清純無垢な里見瑶一（さとみよういち）には、密かに恋する人がいる。それは、いきつけの古書店の店主・柳（やなぎ）さん。どこか飄々としていてつかめない、だけど優しくて穏やかな人。だがある日、古書店の店番の最中に蔵書の官能小説でこっそりヌいているところを柳に見られてしまう。その日を境に、「罰」を与えられるように。本業は官能小説家の柳は、サディストに豹変。取材と称して行われる淫らな行為に戸惑う里見だったが、徐々にマゾヒストの快感に開花していき…。インモラルでいびつな悦楽SM。</v>
      </c>
      <c r="W712" s="14"/>
      <c r="X712" s="14" t="str">
        <f>IFERROR(__xludf.DUMMYFUNCTION("""COMPUTED_VALUE"""),"有
")</f>
        <v>有
</v>
      </c>
      <c r="Y712" s="8" t="str">
        <f>IFERROR(__xludf.DUMMYFUNCTION("""COMPUTED_VALUE"""),"10/31まで1巻無料
")</f>
        <v>10/31まで1巻無料
</v>
      </c>
      <c r="Z712" s="7"/>
      <c r="AA712" s="7"/>
      <c r="AB712" s="7"/>
    </row>
    <row r="713" ht="15.75" customHeight="1">
      <c r="A713" s="26">
        <f>IFERROR(__xludf.DUMMYFUNCTION("""COMPUTED_VALUE"""),2326.0)</f>
        <v>2326</v>
      </c>
      <c r="B713" s="22" t="str">
        <f>IFERROR(__xludf.DUMMYFUNCTION("""COMPUTED_VALUE"""),"確定")</f>
        <v>確定</v>
      </c>
      <c r="C713" s="28">
        <f>IFERROR(__xludf.DUMMYFUNCTION("""COMPUTED_VALUE"""),45167.0)</f>
        <v>45167</v>
      </c>
      <c r="D713" s="28">
        <f>IFERROR(__xludf.DUMMYFUNCTION("""COMPUTED_VALUE"""),45195.0)</f>
        <v>45195</v>
      </c>
      <c r="E713" s="31">
        <f>IFERROR(__xludf.DUMMYFUNCTION("""COMPUTED_VALUE"""),277265.0)</f>
        <v>277265</v>
      </c>
      <c r="F713" s="22" t="str">
        <f>IFERROR(__xludf.DUMMYFUNCTION("""COMPUTED_VALUE"""),"チシュ王の婚姻～花嫁に交わる王の糸～")</f>
        <v>チシュ王の婚姻～花嫁に交わる王の糸～</v>
      </c>
      <c r="G713" s="20">
        <f>IFERROR(__xludf.DUMMYFUNCTION("""COMPUTED_VALUE"""),1.0)</f>
        <v>1</v>
      </c>
      <c r="H713" s="22" t="str">
        <f>IFERROR(__xludf.DUMMYFUNCTION("""COMPUTED_VALUE"""),"藤咲もえ")</f>
        <v>藤咲もえ</v>
      </c>
      <c r="I713" s="22" t="str">
        <f>IFERROR(__xludf.DUMMYFUNCTION("""COMPUTED_VALUE"""),"BL")</f>
        <v>BL</v>
      </c>
      <c r="J713" s="22"/>
      <c r="K713" s="22"/>
      <c r="L713" s="22" t="str">
        <f>IFERROR(__xludf.DUMMYFUNCTION("""COMPUTED_VALUE"""),"ライブコミックス")</f>
        <v>ライブコミックス</v>
      </c>
      <c r="M713" s="23">
        <f>IFERROR(__xludf.DUMMYFUNCTION("""COMPUTED_VALUE"""),45203.0)</f>
        <v>45203</v>
      </c>
      <c r="N713" s="39">
        <f>IFERROR(__xludf.DUMMYFUNCTION("""COMPUTED_VALUE"""),45216.0)</f>
        <v>45216</v>
      </c>
      <c r="O713" s="20"/>
      <c r="P713" s="29" t="str">
        <f>IFERROR(__xludf.DUMMYFUNCTION("""COMPUTED_VALUE"""),"可")</f>
        <v>可</v>
      </c>
      <c r="Q713" s="30"/>
      <c r="R713" s="22"/>
      <c r="S713" s="22" t="str">
        <f>IFERROR(__xludf.DUMMYFUNCTION("""COMPUTED_VALUE"""),"20230829_Booklive_チシュ王の婚姻～花嫁に交わる王の糸～")</f>
        <v>20230829_Booklive_チシュ王の婚姻～花嫁に交わる王の糸～</v>
      </c>
      <c r="T713" s="22" t="str">
        <f>IFERROR(__xludf.DUMMYFUNCTION("""COMPUTED_VALUE"""),"格納済み")</f>
        <v>格納済み</v>
      </c>
      <c r="U713" s="15" t="str">
        <f>IFERROR(__xludf.DUMMYFUNCTION("""COMPUTED_VALUE"""),"Ⓒ藤咲もえ/ライブコミックス")</f>
        <v>Ⓒ藤咲もえ/ライブコミックス</v>
      </c>
      <c r="V713" s="8" t="str">
        <f>IFERROR(__xludf.DUMMYFUNCTION("""COMPUTED_VALUE"""),"「成人したら俺のもとへ来てくれ」村の風習で山の神・蜘蛛王（ちしゅおう）の番に選ばれた憂茄（ういか）は、恋焦がれていた相手への嫁入りを心待ちにしていた。しかし、約束の日に蜘蛛王は迎えに来ず、婚約破棄されたと思った憂茄はヤケをおこしてビッチ化！――それから一年、なんと音信不通だった蜘蛛王から再び縁談の話が持ち上がる。一度は捨てられた腹いせに、夢中にさせてから捨ててやると息巻きながら、憂茄は蜘蛛王のもとへに嫁ぐことに…！約束を破った神×”元”一途な花嫁の、もどかしくすれ違う人外嫁入りBL！")</f>
        <v>「成人したら俺のもとへ来てくれ」村の風習で山の神・蜘蛛王（ちしゅおう）の番に選ばれた憂茄（ういか）は、恋焦がれていた相手への嫁入りを心待ちにしていた。しかし、約束の日に蜘蛛王は迎えに来ず、婚約破棄されたと思った憂茄はヤケをおこしてビッチ化！――それから一年、なんと音信不通だった蜘蛛王から再び縁談の話が持ち上がる。一度は捨てられた腹いせに、夢中にさせてから捨ててやると息巻きながら、憂茄は蜘蛛王のもとへに嫁ぐことに…！約束を破った神×”元”一途な花嫁の、もどかしくすれ違う人外嫁入りBL！</v>
      </c>
      <c r="W713" s="14"/>
      <c r="X713" s="14" t="str">
        <f>IFERROR(__xludf.DUMMYFUNCTION("""COMPUTED_VALUE"""),"有
")</f>
        <v>有
</v>
      </c>
      <c r="Y713" s="8" t="str">
        <f>IFERROR(__xludf.DUMMYFUNCTION("""COMPUTED_VALUE"""),"P10まで")</f>
        <v>P10まで</v>
      </c>
      <c r="Z713" s="7"/>
      <c r="AA713" s="7"/>
      <c r="AB713" s="7"/>
    </row>
    <row r="714" ht="15.75" customHeight="1">
      <c r="A714" s="26">
        <f>IFERROR(__xludf.DUMMYFUNCTION("""COMPUTED_VALUE"""),2327.0)</f>
        <v>2327</v>
      </c>
      <c r="B714" s="22" t="str">
        <f>IFERROR(__xludf.DUMMYFUNCTION("""COMPUTED_VALUE"""),"確定")</f>
        <v>確定</v>
      </c>
      <c r="C714" s="28">
        <f>IFERROR(__xludf.DUMMYFUNCTION("""COMPUTED_VALUE"""),45167.0)</f>
        <v>45167</v>
      </c>
      <c r="D714" s="28">
        <f>IFERROR(__xludf.DUMMYFUNCTION("""COMPUTED_VALUE"""),45195.0)</f>
        <v>45195</v>
      </c>
      <c r="E714" s="31">
        <f>IFERROR(__xludf.DUMMYFUNCTION("""COMPUTED_VALUE"""),277261.0)</f>
        <v>277261</v>
      </c>
      <c r="F714" s="22" t="str">
        <f>IFERROR(__xludf.DUMMYFUNCTION("""COMPUTED_VALUE"""),"脱いでおすわりしてみせて－Dom/Subユニバース－")</f>
        <v>脱いでおすわりしてみせて－Dom/Subユニバース－</v>
      </c>
      <c r="G714" s="11" t="str">
        <f>IFERROR(__xludf.DUMMYFUNCTION("""COMPUTED_VALUE"""),"1～2")</f>
        <v>1～2</v>
      </c>
      <c r="H714" s="22" t="str">
        <f>IFERROR(__xludf.DUMMYFUNCTION("""COMPUTED_VALUE"""),"由元千子")</f>
        <v>由元千子</v>
      </c>
      <c r="I714" s="22" t="str">
        <f>IFERROR(__xludf.DUMMYFUNCTION("""COMPUTED_VALUE"""),"BL")</f>
        <v>BL</v>
      </c>
      <c r="J714" s="22"/>
      <c r="K714" s="22"/>
      <c r="L714" s="22" t="str">
        <f>IFERROR(__xludf.DUMMYFUNCTION("""COMPUTED_VALUE"""),"ライブコミックス")</f>
        <v>ライブコミックス</v>
      </c>
      <c r="M714" s="23">
        <f>IFERROR(__xludf.DUMMYFUNCTION("""COMPUTED_VALUE"""),45203.0)</f>
        <v>45203</v>
      </c>
      <c r="N714" s="39">
        <f>IFERROR(__xludf.DUMMYFUNCTION("""COMPUTED_VALUE"""),45216.0)</f>
        <v>45216</v>
      </c>
      <c r="O714" s="20"/>
      <c r="P714" s="29" t="str">
        <f>IFERROR(__xludf.DUMMYFUNCTION("""COMPUTED_VALUE"""),"可")</f>
        <v>可</v>
      </c>
      <c r="Q714" s="30"/>
      <c r="R714" s="22"/>
      <c r="S714" s="22" t="str">
        <f>IFERROR(__xludf.DUMMYFUNCTION("""COMPUTED_VALUE"""),"20230829_Booklive_脱いでおすわりしてみせて－DomSubユニバース－")</f>
        <v>20230829_Booklive_脱いでおすわりしてみせて－DomSubユニバース－</v>
      </c>
      <c r="T714" s="22" t="str">
        <f>IFERROR(__xludf.DUMMYFUNCTION("""COMPUTED_VALUE"""),"格納済み")</f>
        <v>格納済み</v>
      </c>
      <c r="U714" s="15" t="str">
        <f>IFERROR(__xludf.DUMMYFUNCTION("""COMPUTED_VALUE"""),"Ⓒ由元千子/ライブコミックス")</f>
        <v>Ⓒ由元千子/ライブコミックス</v>
      </c>
      <c r="V714" s="8" t="str">
        <f>IFERROR(__xludf.DUMMYFUNCTION("""COMPUTED_VALUE"""),"「言うこときけたご褒美、ほしいですか？」エリート営業の志方（しかた）は、Domでありながらプレイで満足できないのがコンプレックス。ある日、同僚の久間（くま）もDomだと知った志方は、彼のプレイに興味をもつ。プライドの高い志方は、コンプレックスを隠すため自分はSubだと嘘をつき話を聞き出すことに。しかし、久間からの「俺とプレイしてみますか」という一言に、なぜだか心が従ってしまい――彼とプレイをすることに！？普段は不愛想な久間から発せられるコマンドに、志方は初めての快感を得て…戸惑いながらも後天性Switch"&amp;"の本能が暴かれる、至極のDom/Subオフィスラブ。")</f>
        <v>「言うこときけたご褒美、ほしいですか？」エリート営業の志方（しかた）は、Domでありながらプレイで満足できないのがコンプレックス。ある日、同僚の久間（くま）もDomだと知った志方は、彼のプレイに興味をもつ。プライドの高い志方は、コンプレックスを隠すため自分はSubだと嘘をつき話を聞き出すことに。しかし、久間からの「俺とプレイしてみますか」という一言に、なぜだか心が従ってしまい――彼とプレイをすることに！？普段は不愛想な久間から発せられるコマンドに、志方は初めての快感を得て…戸惑いながらも後天性Switchの本能が暴かれる、至極のDom/Subオフィスラブ。</v>
      </c>
      <c r="W714" s="14"/>
      <c r="X714" s="14" t="str">
        <f>IFERROR(__xludf.DUMMYFUNCTION("""COMPUTED_VALUE"""),"有
")</f>
        <v>有
</v>
      </c>
      <c r="Y714" s="8" t="str">
        <f>IFERROR(__xludf.DUMMYFUNCTION("""COMPUTED_VALUE"""),"10/31まで1巻目立ち読み増量
P16まで")</f>
        <v>10/31まで1巻目立ち読み増量
P16まで</v>
      </c>
      <c r="Z714" s="7"/>
      <c r="AA714" s="7"/>
      <c r="AB714" s="7"/>
    </row>
    <row r="715" ht="15.75" customHeight="1">
      <c r="A715" s="26">
        <f>IFERROR(__xludf.DUMMYFUNCTION("""COMPUTED_VALUE"""),2328.0)</f>
        <v>2328</v>
      </c>
      <c r="B715" s="22" t="str">
        <f>IFERROR(__xludf.DUMMYFUNCTION("""COMPUTED_VALUE"""),"確定")</f>
        <v>確定</v>
      </c>
      <c r="C715" s="28">
        <f>IFERROR(__xludf.DUMMYFUNCTION("""COMPUTED_VALUE"""),45167.0)</f>
        <v>45167</v>
      </c>
      <c r="D715" s="28">
        <f>IFERROR(__xludf.DUMMYFUNCTION("""COMPUTED_VALUE"""),45195.0)</f>
        <v>45195</v>
      </c>
      <c r="E715" s="31">
        <f>IFERROR(__xludf.DUMMYFUNCTION("""COMPUTED_VALUE"""),277264.0)</f>
        <v>277264</v>
      </c>
      <c r="F715" s="22" t="str">
        <f>IFERROR(__xludf.DUMMYFUNCTION("""COMPUTED_VALUE"""),"先輩、もっかい抱いていい？")</f>
        <v>先輩、もっかい抱いていい？</v>
      </c>
      <c r="G715" s="20">
        <f>IFERROR(__xludf.DUMMYFUNCTION("""COMPUTED_VALUE"""),1.0)</f>
        <v>1</v>
      </c>
      <c r="H715" s="22" t="str">
        <f>IFERROR(__xludf.DUMMYFUNCTION("""COMPUTED_VALUE"""),"にじい橙")</f>
        <v>にじい橙</v>
      </c>
      <c r="I715" s="22" t="str">
        <f>IFERROR(__xludf.DUMMYFUNCTION("""COMPUTED_VALUE"""),"BL")</f>
        <v>BL</v>
      </c>
      <c r="J715" s="22"/>
      <c r="K715" s="22"/>
      <c r="L715" s="22" t="str">
        <f>IFERROR(__xludf.DUMMYFUNCTION("""COMPUTED_VALUE"""),"ライブコミックス")</f>
        <v>ライブコミックス</v>
      </c>
      <c r="M715" s="23">
        <f>IFERROR(__xludf.DUMMYFUNCTION("""COMPUTED_VALUE"""),45203.0)</f>
        <v>45203</v>
      </c>
      <c r="N715" s="39">
        <f>IFERROR(__xludf.DUMMYFUNCTION("""COMPUTED_VALUE"""),45216.0)</f>
        <v>45216</v>
      </c>
      <c r="O715" s="20"/>
      <c r="P715" s="29" t="str">
        <f>IFERROR(__xludf.DUMMYFUNCTION("""COMPUTED_VALUE"""),"可")</f>
        <v>可</v>
      </c>
      <c r="Q715" s="30"/>
      <c r="R715" s="22"/>
      <c r="S715" s="22" t="str">
        <f>IFERROR(__xludf.DUMMYFUNCTION("""COMPUTED_VALUE"""),"20230829_Booklive_先輩、もっかい抱いていい？")</f>
        <v>20230829_Booklive_先輩、もっかい抱いていい？</v>
      </c>
      <c r="T715" s="22" t="str">
        <f>IFERROR(__xludf.DUMMYFUNCTION("""COMPUTED_VALUE"""),"格納済み")</f>
        <v>格納済み</v>
      </c>
      <c r="U715" s="15" t="str">
        <f>IFERROR(__xludf.DUMMYFUNCTION("""COMPUTED_VALUE"""),"Ⓒにじい橙/ライブコミックス")</f>
        <v>Ⓒにじい橙/ライブコミックス</v>
      </c>
      <c r="V715" s="8" t="str">
        <f>IFERROR(__xludf.DUMMYFUNCTION("""COMPUTED_VALUE"""),"「先輩、7年前の続きをしましょうか」周囲から”完璧なエリート”だと噂される会社員の桐生（きりゅう）には、誰にも言えない秘密があった…それは、夜な夜なおもちゃでひとりエッチすること！本性を曝け出せず、恋人ができない桐生は欲求不満。いつも思い出すのは、高校時代に一度だけした名前も知らない後輩とのセックスだった。ある日、支社から小野寺（おのでら）という男が配属される。部下になった小野寺は、人当たりがよく優秀だがなぜか桐生にだけは素っ気ない態度で――？ふたりきりになった途端、小野寺の態度は一変。「俺のこと思い出し"&amp;"ませんか？」かっこよく見違えたが、その面影には見覚えがあり…この男まさか！？激重後輩と上司部下になって再会!?リーマン同士のこじらせLove！")</f>
        <v>「先輩、7年前の続きをしましょうか」周囲から”完璧なエリート”だと噂される会社員の桐生（きりゅう）には、誰にも言えない秘密があった…それは、夜な夜なおもちゃでひとりエッチすること！本性を曝け出せず、恋人ができない桐生は欲求不満。いつも思い出すのは、高校時代に一度だけした名前も知らない後輩とのセックスだった。ある日、支社から小野寺（おのでら）という男が配属される。部下になった小野寺は、人当たりがよく優秀だがなぜか桐生にだけは素っ気ない態度で――？ふたりきりになった途端、小野寺の態度は一変。「俺のこと思い出しませんか？」かっこよく見違えたが、その面影には見覚えがあり…この男まさか！？激重後輩と上司部下になって再会!?リーマン同士のこじらせLove！</v>
      </c>
      <c r="W715" s="14"/>
      <c r="X715" s="14" t="str">
        <f>IFERROR(__xludf.DUMMYFUNCTION("""COMPUTED_VALUE"""),"有
")</f>
        <v>有
</v>
      </c>
      <c r="Y715" s="8" t="str">
        <f>IFERROR(__xludf.DUMMYFUNCTION("""COMPUTED_VALUE"""),"P10まで")</f>
        <v>P10まで</v>
      </c>
      <c r="Z715" s="7"/>
      <c r="AA715" s="7"/>
      <c r="AB715" s="7"/>
    </row>
    <row r="716" ht="111.0" customHeight="1">
      <c r="A716" s="26">
        <f>IFERROR(__xludf.DUMMYFUNCTION("""COMPUTED_VALUE"""),2342.0)</f>
        <v>2342</v>
      </c>
      <c r="B716" s="22" t="str">
        <f>IFERROR(__xludf.DUMMYFUNCTION("""COMPUTED_VALUE"""),"確定")</f>
        <v>確定</v>
      </c>
      <c r="C716" s="28">
        <f>IFERROR(__xludf.DUMMYFUNCTION("""COMPUTED_VALUE"""),45173.0)</f>
        <v>45173</v>
      </c>
      <c r="D716" s="28">
        <f>IFERROR(__xludf.DUMMYFUNCTION("""COMPUTED_VALUE"""),45191.0)</f>
        <v>45191</v>
      </c>
      <c r="E716" s="31">
        <f>IFERROR(__xludf.DUMMYFUNCTION("""COMPUTED_VALUE"""),278682.0)</f>
        <v>278682</v>
      </c>
      <c r="F716" s="22" t="str">
        <f>IFERROR(__xludf.DUMMYFUNCTION("""COMPUTED_VALUE"""),"恋するふたりは臆病につき")</f>
        <v>恋するふたりは臆病につき</v>
      </c>
      <c r="G716" s="20" t="str">
        <f>IFERROR(__xludf.DUMMYFUNCTION("""COMPUTED_VALUE"""),"1～3")</f>
        <v>1～3</v>
      </c>
      <c r="H716" s="22" t="str">
        <f>IFERROR(__xludf.DUMMYFUNCTION("""COMPUTED_VALUE"""),"子葉")</f>
        <v>子葉</v>
      </c>
      <c r="I716" s="22" t="str">
        <f>IFERROR(__xludf.DUMMYFUNCTION("""COMPUTED_VALUE"""),"女性")</f>
        <v>女性</v>
      </c>
      <c r="J716" s="22"/>
      <c r="K716" s="22"/>
      <c r="L716" s="22" t="str">
        <f>IFERROR(__xludf.DUMMYFUNCTION("""COMPUTED_VALUE"""),"ファンギルド")</f>
        <v>ファンギルド</v>
      </c>
      <c r="M716" s="23">
        <f>IFERROR(__xludf.DUMMYFUNCTION("""COMPUTED_VALUE"""),45224.0)</f>
        <v>45224</v>
      </c>
      <c r="N716" s="23">
        <f>IFERROR(__xludf.DUMMYFUNCTION("""COMPUTED_VALUE"""),45251.0)</f>
        <v>45251</v>
      </c>
      <c r="O716" s="20"/>
      <c r="P716" s="32" t="str">
        <f>IFERROR(__xludf.DUMMYFUNCTION("""COMPUTED_VALUE"""),"可")</f>
        <v>可</v>
      </c>
      <c r="Q716" s="30"/>
      <c r="R716" s="22"/>
      <c r="S716" s="22" t="str">
        <f>IFERROR(__xludf.DUMMYFUNCTION("""COMPUTED_VALUE"""),"20230920_ファンギルド_恋するふたりは臆病につき")</f>
        <v>20230920_ファンギルド_恋するふたりは臆病につき</v>
      </c>
      <c r="T716" s="22" t="str">
        <f>IFERROR(__xludf.DUMMYFUNCTION("""COMPUTED_VALUE"""),"格納済み")</f>
        <v>格納済み</v>
      </c>
      <c r="U716" s="15" t="str">
        <f>IFERROR(__xludf.DUMMYFUNCTION("""COMPUTED_VALUE"""),"Ⓒ子葉/ファンギルド")</f>
        <v>Ⓒ子葉/ファンギルド</v>
      </c>
      <c r="V716" s="8" t="str">
        <f>IFERROR(__xludf.DUMMYFUNCTION("""COMPUTED_VALUE"""),"これまで男運が無さすぎて恋に臆病になってしまった栞。仕事も上手く回らず散々な一日を過ごした帰り道、たまたま入ったレストランで出迎えてきたのは超強面なシェフ…！怖がる栞をよそに次々出てくる絶品料理。そして強面シェフには意外過ぎるギャップがあって…！？疲れた心を癒し、恋に一歩踏み出す勇気をくれる大人ラブーー")</f>
        <v>これまで男運が無さすぎて恋に臆病になってしまった栞。仕事も上手く回らず散々な一日を過ごした帰り道、たまたま入ったレストランで出迎えてきたのは超強面なシェフ…！怖がる栞をよそに次々出てくる絶品料理。そして強面シェフには意外過ぎるギャップがあって…！？疲れた心を癒し、恋に一歩踏み出す勇気をくれる大人ラブーー</v>
      </c>
      <c r="W716" s="14"/>
      <c r="X716" s="14" t="str">
        <f>IFERROR(__xludf.DUMMYFUNCTION("""COMPUTED_VALUE"""),"有
")</f>
        <v>有
</v>
      </c>
      <c r="Y716" s="8" t="str">
        <f>IFERROR(__xludf.DUMMYFUNCTION("""COMPUTED_VALUE"""),"P7まで")</f>
        <v>P7まで</v>
      </c>
      <c r="Z716" s="7"/>
      <c r="AA716" s="7"/>
      <c r="AB716" s="7"/>
    </row>
    <row r="717" ht="15.75" customHeight="1">
      <c r="A717" s="26">
        <f>IFERROR(__xludf.DUMMYFUNCTION("""COMPUTED_VALUE"""),2359.0)</f>
        <v>2359</v>
      </c>
      <c r="B717" s="22" t="str">
        <f>IFERROR(__xludf.DUMMYFUNCTION("""COMPUTED_VALUE"""),"確定")</f>
        <v>確定</v>
      </c>
      <c r="C717" s="28">
        <f>IFERROR(__xludf.DUMMYFUNCTION("""COMPUTED_VALUE"""),45176.0)</f>
        <v>45176</v>
      </c>
      <c r="D717" s="28">
        <f>IFERROR(__xludf.DUMMYFUNCTION("""COMPUTED_VALUE"""),45196.0)</f>
        <v>45196</v>
      </c>
      <c r="E717" s="31">
        <f>IFERROR(__xludf.DUMMYFUNCTION("""COMPUTED_VALUE"""),278759.0)</f>
        <v>278759</v>
      </c>
      <c r="F717" s="22" t="str">
        <f>IFERROR(__xludf.DUMMYFUNCTION("""COMPUTED_VALUE"""),"大好きな弟が血の繋がってない妹に取られそうでヤキモキするお姉ちゃんの話。")</f>
        <v>大好きな弟が血の繋がってない妹に取られそうでヤキモキするお姉ちゃんの話。</v>
      </c>
      <c r="G717" s="11" t="str">
        <f>IFERROR(__xludf.DUMMYFUNCTION("""COMPUTED_VALUE"""),"1～2")</f>
        <v>1～2</v>
      </c>
      <c r="H717" s="22" t="str">
        <f>IFERROR(__xludf.DUMMYFUNCTION("""COMPUTED_VALUE"""),"Family Affair")</f>
        <v>Family Affair</v>
      </c>
      <c r="I717" s="22" t="str">
        <f>IFERROR(__xludf.DUMMYFUNCTION("""COMPUTED_VALUE"""),"オトナ")</f>
        <v>オトナ</v>
      </c>
      <c r="J717" s="22"/>
      <c r="K717" s="22"/>
      <c r="L717" s="22" t="str">
        <f>IFERROR(__xludf.DUMMYFUNCTION("""COMPUTED_VALUE"""),"ナイトコミック")</f>
        <v>ナイトコミック</v>
      </c>
      <c r="M717" s="23">
        <f>IFERROR(__xludf.DUMMYFUNCTION("""COMPUTED_VALUE"""),45226.0)</f>
        <v>45226</v>
      </c>
      <c r="N717" s="23">
        <f>IFERROR(__xludf.DUMMYFUNCTION("""COMPUTED_VALUE"""),45288.0)</f>
        <v>45288</v>
      </c>
      <c r="O717" s="20"/>
      <c r="P717" s="29" t="str">
        <f>IFERROR(__xludf.DUMMYFUNCTION("""COMPUTED_VALUE"""),"可")</f>
        <v>可</v>
      </c>
      <c r="Q717" s="30" t="str">
        <f>IFERROR(__xludf.DUMMYFUNCTION("""COMPUTED_VALUE"""),"広告コミットOK(9/19)")</f>
        <v>広告コミットOK(9/19)</v>
      </c>
      <c r="R717" s="22"/>
      <c r="S717" s="22" t="str">
        <f>IFERROR(__xludf.DUMMYFUNCTION("""COMPUTED_VALUE"""),"20230925_ナイトコミック_大好きな弟が血の繋がってない妹に取られそうでヤキモキするお姉ちゃんの話。")</f>
        <v>20230925_ナイトコミック_大好きな弟が血の繋がってない妹に取られそうでヤキモキするお姉ちゃんの話。</v>
      </c>
      <c r="T717" s="22" t="str">
        <f>IFERROR(__xludf.DUMMYFUNCTION("""COMPUTED_VALUE"""),"格納済み")</f>
        <v>格納済み</v>
      </c>
      <c r="U717" s="15" t="str">
        <f>IFERROR(__xludf.DUMMYFUNCTION("""COMPUTED_VALUE"""),"©Family Affair")</f>
        <v>©Family Affair</v>
      </c>
      <c r="V717" s="8" t="str">
        <f>IFERROR(__xludf.DUMMYFUNCTION("""COMPUTED_VALUE"""),"千冬と千夏、春佳は仲良し三姉弟妹（きょうだい）。しかし千冬（実姉）が密かに好きだった千夏（弟）は、いつの間にか春佳（義妹）とセックスするような関係に。2人の行為を壁越しに聞きながら自慰するだけのお姉ちゃん…そんなお姉ちゃんに、ある日弟と一晩ふたりきりになるという大チャンス！？が訪れる。姉弟でエッチなんて絶対ダメ！そう思ってはいるけれど、弟のベッドを見ると昨日の妹の嬌声を思い出して自然にアソコが濡れてきてしまう…。そんないじらしいお姉ちゃんのとった行動は、弟を刺激して…！？")</f>
        <v>千冬と千夏、春佳は仲良し三姉弟妹（きょうだい）。しかし千冬（実姉）が密かに好きだった千夏（弟）は、いつの間にか春佳（義妹）とセックスするような関係に。2人の行為を壁越しに聞きながら自慰するだけのお姉ちゃん…そんなお姉ちゃんに、ある日弟と一晩ふたりきりになるという大チャンス！？が訪れる。姉弟でエッチなんて絶対ダメ！そう思ってはいるけれど、弟のベッドを見ると昨日の妹の嬌声を思い出して自然にアソコが濡れてきてしまう…。そんないじらしいお姉ちゃんのとった行動は、弟を刺激して…！？</v>
      </c>
      <c r="W717" s="14"/>
      <c r="X717" s="14" t="str">
        <f>IFERROR(__xludf.DUMMYFUNCTION("""COMPUTED_VALUE"""),"有
")</f>
        <v>有
</v>
      </c>
      <c r="Y717" s="8" t="str">
        <f>IFERROR(__xludf.DUMMYFUNCTION("""COMPUTED_VALUE"""),"12/28まで1~2巻目立ち読み増量
P16まで")</f>
        <v>12/28まで1~2巻目立ち読み増量
P16まで</v>
      </c>
      <c r="Z717" s="7"/>
      <c r="AA717" s="7"/>
      <c r="AB717" s="7"/>
    </row>
    <row r="718" ht="15.75" customHeight="1">
      <c r="A718" s="26">
        <f>IFERROR(__xludf.DUMMYFUNCTION("""COMPUTED_VALUE"""),2372.0)</f>
        <v>2372</v>
      </c>
      <c r="B718" s="22" t="str">
        <f>IFERROR(__xludf.DUMMYFUNCTION("""COMPUTED_VALUE"""),"確定")</f>
        <v>確定</v>
      </c>
      <c r="C718" s="28">
        <f>IFERROR(__xludf.DUMMYFUNCTION("""COMPUTED_VALUE"""),45180.0)</f>
        <v>45180</v>
      </c>
      <c r="D718" s="28">
        <f>IFERROR(__xludf.DUMMYFUNCTION("""COMPUTED_VALUE"""),45194.0)</f>
        <v>45194</v>
      </c>
      <c r="E718" s="31">
        <f>IFERROR(__xludf.DUMMYFUNCTION("""COMPUTED_VALUE"""),279206.0)</f>
        <v>279206</v>
      </c>
      <c r="F718" s="22" t="str">
        <f>IFERROR(__xludf.DUMMYFUNCTION("""COMPUTED_VALUE"""),"王子様系で女子からモテモテだけど実はマゾメス猫な幼馴染とじっとりえっちする本")</f>
        <v>王子様系で女子からモテモテだけど実はマゾメス猫な幼馴染とじっとりえっちする本</v>
      </c>
      <c r="G718" s="20">
        <f>IFERROR(__xludf.DUMMYFUNCTION("""COMPUTED_VALUE"""),1.0)</f>
        <v>1</v>
      </c>
      <c r="H718" s="22" t="str">
        <f>IFERROR(__xludf.DUMMYFUNCTION("""COMPUTED_VALUE"""),"T-マン/三崎")</f>
        <v>T-マン/三崎</v>
      </c>
      <c r="I718" s="22" t="str">
        <f>IFERROR(__xludf.DUMMYFUNCTION("""COMPUTED_VALUE"""),"オトナ")</f>
        <v>オトナ</v>
      </c>
      <c r="J718" s="22"/>
      <c r="K718" s="22"/>
      <c r="L718" s="22" t="str">
        <f>IFERROR(__xludf.DUMMYFUNCTION("""COMPUTED_VALUE"""),"ブリック出版")</f>
        <v>ブリック出版</v>
      </c>
      <c r="M718" s="23">
        <f>IFERROR(__xludf.DUMMYFUNCTION("""COMPUTED_VALUE"""),45233.0)</f>
        <v>45233</v>
      </c>
      <c r="N718" s="23">
        <f>IFERROR(__xludf.DUMMYFUNCTION("""COMPUTED_VALUE"""),45303.0)</f>
        <v>45303</v>
      </c>
      <c r="O718" s="20"/>
      <c r="P718" s="29" t="str">
        <f>IFERROR(__xludf.DUMMYFUNCTION("""COMPUTED_VALUE"""),"可")</f>
        <v>可</v>
      </c>
      <c r="Q718" s="30" t="str">
        <f>IFERROR(__xludf.DUMMYFUNCTION("""COMPUTED_VALUE"""),"広告コミットOK(9/22)&lt;BR&gt;")</f>
        <v>広告コミットOK(9/22)&lt;BR&gt;</v>
      </c>
      <c r="R718" s="22"/>
      <c r="S718" s="22" t="str">
        <f>IFERROR(__xludf.DUMMYFUNCTION("""COMPUTED_VALUE"""),"20230911_BookLive_王子様系で女子からモテモテだけど実はマゾメス猫な幼馴染とじっとりえっちする本")</f>
        <v>20230911_BookLive_王子様系で女子からモテモテだけど実はマゾメス猫な幼馴染とじっとりえっちする本</v>
      </c>
      <c r="T718" s="22" t="str">
        <f>IFERROR(__xludf.DUMMYFUNCTION("""COMPUTED_VALUE"""),"格納済み")</f>
        <v>格納済み</v>
      </c>
      <c r="U718" s="15" t="str">
        <f>IFERROR(__xludf.DUMMYFUNCTION("""COMPUTED_VALUE"""),"(C)ブリック出版")</f>
        <v>(C)ブリック出版</v>
      </c>
      <c r="V718" s="8" t="str">
        <f>IFERROR(__xludf.DUMMYFUNCTION("""COMPUTED_VALUE"""),"王子様系で女子からモテモテだけど実はマゾメス猫な幼馴染の彼女に、
スケベ衣装を着てもらったり、トイレでフェラさせたり、スケベダンス躍らせたりしつつ、
じっとりラブラブ言葉責めセックスする本です。
※本作は桐原湧の個人誌作品の電子書籍版となります。【46ページ】")</f>
        <v>王子様系で女子からモテモテだけど実はマゾメス猫な幼馴染の彼女に、
スケベ衣装を着てもらったり、トイレでフェラさせたり、スケベダンス躍らせたりしつつ、
じっとりラブラブ言葉責めセックスする本です。
※本作は桐原湧の個人誌作品の電子書籍版となります。【46ページ】</v>
      </c>
      <c r="W718" s="14"/>
      <c r="X718" s="14" t="str">
        <f>IFERROR(__xludf.DUMMYFUNCTION("""COMPUTED_VALUE"""),"有
")</f>
        <v>有
</v>
      </c>
      <c r="Y718" s="8" t="str">
        <f>IFERROR(__xludf.DUMMYFUNCTION("""COMPUTED_VALUE"""),"P9まで")</f>
        <v>P9まで</v>
      </c>
      <c r="Z718" s="7"/>
      <c r="AA718" s="7"/>
      <c r="AB718" s="7"/>
    </row>
    <row r="719" ht="15.75" customHeight="1">
      <c r="A719" s="26">
        <f>IFERROR(__xludf.DUMMYFUNCTION("""COMPUTED_VALUE"""),2382.0)</f>
        <v>2382</v>
      </c>
      <c r="B719" s="22" t="str">
        <f>IFERROR(__xludf.DUMMYFUNCTION("""COMPUTED_VALUE"""),"確定")</f>
        <v>確定</v>
      </c>
      <c r="C719" s="28">
        <f>IFERROR(__xludf.DUMMYFUNCTION("""COMPUTED_VALUE"""),45182.0)</f>
        <v>45182</v>
      </c>
      <c r="D719" s="28">
        <f>IFERROR(__xludf.DUMMYFUNCTION("""COMPUTED_VALUE"""),45196.0)</f>
        <v>45196</v>
      </c>
      <c r="E719" s="31">
        <f>IFERROR(__xludf.DUMMYFUNCTION("""COMPUTED_VALUE"""),279003.0)</f>
        <v>279003</v>
      </c>
      <c r="F719" s="22" t="str">
        <f>IFERROR(__xludf.DUMMYFUNCTION("""COMPUTED_VALUE"""),"政略結婚のスパダリ弁護士はママとベビーに揺るぎない猛愛を証明する【分冊版】")</f>
        <v>政略結婚のスパダリ弁護士はママとベビーに揺るぎない猛愛を証明する【分冊版】</v>
      </c>
      <c r="G719" s="20" t="str">
        <f>IFERROR(__xludf.DUMMYFUNCTION("""COMPUTED_VALUE"""),"1~3")</f>
        <v>1~3</v>
      </c>
      <c r="H719" s="22" t="str">
        <f>IFERROR(__xludf.DUMMYFUNCTION("""COMPUTED_VALUE"""),"藤原基央・有坂芽流")</f>
        <v>藤原基央・有坂芽流</v>
      </c>
      <c r="I719" s="22" t="str">
        <f>IFERROR(__xludf.DUMMYFUNCTION("""COMPUTED_VALUE"""),"女性")</f>
        <v>女性</v>
      </c>
      <c r="J719" s="22"/>
      <c r="K719" s="22"/>
      <c r="L719" s="22" t="str">
        <f>IFERROR(__xludf.DUMMYFUNCTION("""COMPUTED_VALUE"""),"ハーパーコリンズ・ジャパン")</f>
        <v>ハーパーコリンズ・ジャパン</v>
      </c>
      <c r="M719" s="23">
        <f>IFERROR(__xludf.DUMMYFUNCTION("""COMPUTED_VALUE"""),45217.0)</f>
        <v>45217</v>
      </c>
      <c r="N719" s="23">
        <f>IFERROR(__xludf.DUMMYFUNCTION("""COMPUTED_VALUE"""),45274.0)</f>
        <v>45274</v>
      </c>
      <c r="O719" s="20"/>
      <c r="P719" s="29" t="str">
        <f>IFERROR(__xludf.DUMMYFUNCTION("""COMPUTED_VALUE"""),"可")</f>
        <v>可</v>
      </c>
      <c r="Q719" s="22" t="str">
        <f>IFERROR(__xludf.DUMMYFUNCTION("""COMPUTED_VALUE"""),"先行期間確認中&lt;BR&gt;広告コミットOK(9/22)&lt;BR&gt;")</f>
        <v>先行期間確認中&lt;BR&gt;広告コミットOK(9/22)&lt;BR&gt;</v>
      </c>
      <c r="R719" s="22" t="str">
        <f>IFERROR(__xludf.DUMMYFUNCTION("""COMPUTED_VALUE"""),"格納済")</f>
        <v>格納済</v>
      </c>
      <c r="S719" s="22" t="str">
        <f>IFERROR(__xludf.DUMMYFUNCTION("""COMPUTED_VALUE"""),"20230926_ハーパーコリンズ_政略結婚のスパダリ弁護士")</f>
        <v>20230926_ハーパーコリンズ_政略結婚のスパダリ弁護士</v>
      </c>
      <c r="T719" s="22" t="str">
        <f>IFERROR(__xludf.DUMMYFUNCTION("""COMPUTED_VALUE"""),"格納済み")</f>
        <v>格納済み</v>
      </c>
      <c r="U719" s="15" t="str">
        <f>IFERROR(__xludf.DUMMYFUNCTION("""COMPUTED_VALUE"""),"（C）藤原基央・有坂芽流／ハーパーコリンズ・ジャパン")</f>
        <v>（C）藤原基央・有坂芽流／ハーパーコリンズ・ジャパン</v>
      </c>
      <c r="V719" s="8" t="str">
        <f>IFERROR(__xludf.DUMMYFUNCTION("""COMPUTED_VALUE"""),"「大切にする。だから僕を刻み付けさせて」
花菜は父亡きあと、窮地に立たされた法律事務所を守るため、超エリート弁護士の遼河と政略結婚をする。ひそかに恋をしていた幼馴染の彼との初めての夜、「君をかならず幸せにする」とささやかれ…。子どもも授かり幸せな彼女の前に謎の女が現れ、遼河には愛する女性が他にいるという。この愛なき結婚に終止符を打たなければ…でも、彼の猛愛は止まらなくて──。")</f>
        <v>「大切にする。だから僕を刻み付けさせて」
花菜は父亡きあと、窮地に立たされた法律事務所を守るため、超エリート弁護士の遼河と政略結婚をする。ひそかに恋をしていた幼馴染の彼との初めての夜、「君をかならず幸せにする」とささやかれ…。子どもも授かり幸せな彼女の前に謎の女が現れ、遼河には愛する女性が他にいるという。この愛なき結婚に終止符を打たなければ…でも、彼の猛愛は止まらなくて──。</v>
      </c>
      <c r="W719" s="14"/>
      <c r="X719" s="14" t="str">
        <f>IFERROR(__xludf.DUMMYFUNCTION("""COMPUTED_VALUE"""),"有
")</f>
        <v>有
</v>
      </c>
      <c r="Y719" s="8" t="str">
        <f>IFERROR(__xludf.DUMMYFUNCTION("""COMPUTED_VALUE"""),"10/31まで1巻無料
")</f>
        <v>10/31まで1巻無料
</v>
      </c>
      <c r="Z719" s="7"/>
      <c r="AA719" s="7"/>
      <c r="AB719" s="7"/>
    </row>
    <row r="720" ht="15.75" customHeight="1">
      <c r="A720" s="26">
        <f>IFERROR(__xludf.DUMMYFUNCTION("""COMPUTED_VALUE"""),2383.0)</f>
        <v>2383</v>
      </c>
      <c r="B720" s="22" t="str">
        <f>IFERROR(__xludf.DUMMYFUNCTION("""COMPUTED_VALUE"""),"確定")</f>
        <v>確定</v>
      </c>
      <c r="C720" s="28">
        <f>IFERROR(__xludf.DUMMYFUNCTION("""COMPUTED_VALUE"""),45182.0)</f>
        <v>45182</v>
      </c>
      <c r="D720" s="28">
        <f>IFERROR(__xludf.DUMMYFUNCTION("""COMPUTED_VALUE"""),45196.0)</f>
        <v>45196</v>
      </c>
      <c r="E720" s="31">
        <f>IFERROR(__xludf.DUMMYFUNCTION("""COMPUTED_VALUE"""),280236.0)</f>
        <v>280236</v>
      </c>
      <c r="F720" s="22" t="str">
        <f>IFERROR(__xludf.DUMMYFUNCTION("""COMPUTED_VALUE"""),"冷徹社長と子づくり婚～ホテル王は愛の証が欲しくてたまらない～【分冊版】")</f>
        <v>冷徹社長と子づくり婚～ホテル王は愛の証が欲しくてたまらない～【分冊版】</v>
      </c>
      <c r="G720" s="20" t="str">
        <f>IFERROR(__xludf.DUMMYFUNCTION("""COMPUTED_VALUE"""),"1~3")</f>
        <v>1~3</v>
      </c>
      <c r="H720" s="22" t="str">
        <f>IFERROR(__xludf.DUMMYFUNCTION("""COMPUTED_VALUE"""),"音村紗恵子・伊月ジュイ")</f>
        <v>音村紗恵子・伊月ジュイ</v>
      </c>
      <c r="I720" s="22" t="str">
        <f>IFERROR(__xludf.DUMMYFUNCTION("""COMPUTED_VALUE"""),"女性")</f>
        <v>女性</v>
      </c>
      <c r="J720" s="22"/>
      <c r="K720" s="22"/>
      <c r="L720" s="22" t="str">
        <f>IFERROR(__xludf.DUMMYFUNCTION("""COMPUTED_VALUE"""),"ハーパーコリンズ・ジャパン")</f>
        <v>ハーパーコリンズ・ジャパン</v>
      </c>
      <c r="M720" s="23">
        <f>IFERROR(__xludf.DUMMYFUNCTION("""COMPUTED_VALUE"""),45247.0)</f>
        <v>45247</v>
      </c>
      <c r="N720" s="33">
        <f>IFERROR(__xludf.DUMMYFUNCTION("""COMPUTED_VALUE"""),45308.0)</f>
        <v>45308</v>
      </c>
      <c r="O720" s="20"/>
      <c r="P720" s="29" t="str">
        <f>IFERROR(__xludf.DUMMYFUNCTION("""COMPUTED_VALUE"""),"可")</f>
        <v>可</v>
      </c>
      <c r="Q720" s="22" t="str">
        <f>IFERROR(__xludf.DUMMYFUNCTION("""COMPUTED_VALUE"""),"先行期間確認中&lt;BR&gt;広告コミットOK(9/22)&lt;BR&gt;")</f>
        <v>先行期間確認中&lt;BR&gt;広告コミットOK(9/22)&lt;BR&gt;</v>
      </c>
      <c r="R720" s="22" t="str">
        <f>IFERROR(__xludf.DUMMYFUNCTION("""COMPUTED_VALUE"""),"格納済")</f>
        <v>格納済</v>
      </c>
      <c r="S720" s="22" t="str">
        <f>IFERROR(__xludf.DUMMYFUNCTION("""COMPUTED_VALUE"""),"20230926_ハーパーコリンズ_冷徹社長と子づくり婚")</f>
        <v>20230926_ハーパーコリンズ_冷徹社長と子づくり婚</v>
      </c>
      <c r="T720" s="22" t="str">
        <f>IFERROR(__xludf.DUMMYFUNCTION("""COMPUTED_VALUE"""),"格納済み")</f>
        <v>格納済み</v>
      </c>
      <c r="U720" s="15" t="str">
        <f>IFERROR(__xludf.DUMMYFUNCTION("""COMPUTED_VALUE"""),"（C)音村紗恵子・伊月ジュイ／ハーパーコリンズ・ジャパン")</f>
        <v>（C)音村紗恵子・伊月ジュイ／ハーパーコリンズ・ジャパン</v>
      </c>
      <c r="V720" s="8" t="str">
        <f>IFERROR(__xludf.DUMMYFUNCTION("""COMPUTED_VALUE"""),"俺に家族を作ってくれないか？
交際０日でプロポーズされた花澄。そのお相手は、花澄の働く喫茶店の常連客である「甘党な伯爵様」こと一弥だ。高貴で伯爵様のような雰囲気を持つ一弥が、花澄は密かに気になっていた。そんな彼に、酔っぱらいに絡まれているところを助けられ、二人は個人的に話すようになる。けれど、まさか付き合ってもいないのに、家族を作ってほしいと頼まれてしまうなんて……？")</f>
        <v>俺に家族を作ってくれないか？
交際０日でプロポーズされた花澄。そのお相手は、花澄の働く喫茶店の常連客である「甘党な伯爵様」こと一弥だ。高貴で伯爵様のような雰囲気を持つ一弥が、花澄は密かに気になっていた。そんな彼に、酔っぱらいに絡まれているところを助けられ、二人は個人的に話すようになる。けれど、まさか付き合ってもいないのに、家族を作ってほしいと頼まれてしまうなんて……？</v>
      </c>
      <c r="W720" s="14"/>
      <c r="X720" s="14" t="str">
        <f>IFERROR(__xludf.DUMMYFUNCTION("""COMPUTED_VALUE"""),"有
")</f>
        <v>有
</v>
      </c>
      <c r="Y720" s="8" t="str">
        <f>IFERROR(__xludf.DUMMYFUNCTION("""COMPUTED_VALUE"""),"11/30まで1巻無料")</f>
        <v>11/30まで1巻無料</v>
      </c>
      <c r="Z720" s="7"/>
      <c r="AA720" s="7"/>
      <c r="AB720" s="7"/>
    </row>
    <row r="721" ht="15.75" customHeight="1">
      <c r="A721" s="26">
        <f>IFERROR(__xludf.DUMMYFUNCTION("""COMPUTED_VALUE"""),2386.0)</f>
        <v>2386</v>
      </c>
      <c r="B721" s="22" t="str">
        <f>IFERROR(__xludf.DUMMYFUNCTION("""COMPUTED_VALUE"""),"確定")</f>
        <v>確定</v>
      </c>
      <c r="C721" s="28">
        <f>IFERROR(__xludf.DUMMYFUNCTION("""COMPUTED_VALUE"""),45183.0)</f>
        <v>45183</v>
      </c>
      <c r="D721" s="28">
        <f>IFERROR(__xludf.DUMMYFUNCTION("""COMPUTED_VALUE"""),45195.0)</f>
        <v>45195</v>
      </c>
      <c r="E721" s="31">
        <f>IFERROR(__xludf.DUMMYFUNCTION("""COMPUTED_VALUE"""),278761.0)</f>
        <v>278761</v>
      </c>
      <c r="F721" s="22" t="str">
        <f>IFERROR(__xludf.DUMMYFUNCTION("""COMPUTED_VALUE"""),"しんゆう")</f>
        <v>しんゆう</v>
      </c>
      <c r="G721" s="20" t="str">
        <f>IFERROR(__xludf.DUMMYFUNCTION("""COMPUTED_VALUE"""),"1~6")</f>
        <v>1~6</v>
      </c>
      <c r="H721" s="22" t="str">
        <f>IFERROR(__xludf.DUMMYFUNCTION("""COMPUTED_VALUE"""),"さめまんま")</f>
        <v>さめまんま</v>
      </c>
      <c r="I721" s="22" t="str">
        <f>IFERROR(__xludf.DUMMYFUNCTION("""COMPUTED_VALUE"""),"オトナ")</f>
        <v>オトナ</v>
      </c>
      <c r="J721" s="22"/>
      <c r="K721" s="22"/>
      <c r="L721" s="22" t="str">
        <f>IFERROR(__xludf.DUMMYFUNCTION("""COMPUTED_VALUE"""),"ブリック出版")</f>
        <v>ブリック出版</v>
      </c>
      <c r="M721" s="23">
        <f>IFERROR(__xludf.DUMMYFUNCTION("""COMPUTED_VALUE"""),45226.0)</f>
        <v>45226</v>
      </c>
      <c r="N721" s="23">
        <f>IFERROR(__xludf.DUMMYFUNCTION("""COMPUTED_VALUE"""),45296.0)</f>
        <v>45296</v>
      </c>
      <c r="O721" s="20"/>
      <c r="P721" s="29" t="str">
        <f>IFERROR(__xludf.DUMMYFUNCTION("""COMPUTED_VALUE"""),"可")</f>
        <v>可</v>
      </c>
      <c r="Q721" s="30" t="str">
        <f>IFERROR(__xludf.DUMMYFUNCTION("""COMPUTED_VALUE"""),"広告コミットOK(9/22)")</f>
        <v>広告コミットOK(9/22)</v>
      </c>
      <c r="R721" s="22"/>
      <c r="S721" s="22" t="str">
        <f>IFERROR(__xludf.DUMMYFUNCTION("""COMPUTED_VALUE"""),"20230926_BookLive_しんゆう")</f>
        <v>20230926_BookLive_しんゆう</v>
      </c>
      <c r="T721" s="22" t="str">
        <f>IFERROR(__xludf.DUMMYFUNCTION("""COMPUTED_VALUE"""),"格納済み")</f>
        <v>格納済み</v>
      </c>
      <c r="U721" s="15" t="str">
        <f>IFERROR(__xludf.DUMMYFUNCTION("""COMPUTED_VALUE"""),"(C)ブリック出版")</f>
        <v>(C)ブリック出版</v>
      </c>
      <c r="V721" s="8" t="str">
        <f>IFERROR(__xludf.DUMMYFUNCTION("""COMPUTED_VALUE"""),"『セフレみたいになりたくないねん。うちら友達やろ。』
関西から出張で東京に来た幼馴染の《倉町りお》には彼氏がいる。
しかし、独り身の主人公はりおと体の関係を持ってしまう。
関西で彼女の帰りを待つ彼氏をよそに、肉体関係を続けるふたり。
セフレのような、友達のような、恋人のような。
そんな曖昧な関係が続く最中、彼の中の感情に変化が生まれる。
互いにすれ違う想いを胸に、この関係にどう折り合いをつけていくのか…。
※本作はさめまんまの個人誌作品の電子書籍版となります。【24ページ】")</f>
        <v>『セフレみたいになりたくないねん。うちら友達やろ。』
関西から出張で東京に来た幼馴染の《倉町りお》には彼氏がいる。
しかし、独り身の主人公はりおと体の関係を持ってしまう。
関西で彼女の帰りを待つ彼氏をよそに、肉体関係を続けるふたり。
セフレのような、友達のような、恋人のような。
そんな曖昧な関係が続く最中、彼の中の感情に変化が生まれる。
互いにすれ違う想いを胸に、この関係にどう折り合いをつけていくのか…。
※本作はさめまんまの個人誌作品の電子書籍版となります。【24ページ】</v>
      </c>
      <c r="W721" s="14"/>
      <c r="X721" s="14" t="str">
        <f>IFERROR(__xludf.DUMMYFUNCTION("""COMPUTED_VALUE"""),"有
")</f>
        <v>有
</v>
      </c>
      <c r="Y721" s="8" t="str">
        <f>IFERROR(__xludf.DUMMYFUNCTION("""COMPUTED_VALUE"""),"P8まで")</f>
        <v>P8まで</v>
      </c>
      <c r="Z721" s="7"/>
      <c r="AA721" s="7"/>
      <c r="AB721" s="7"/>
    </row>
    <row r="722" ht="15.75" customHeight="1">
      <c r="A722" s="26">
        <f>IFERROR(__xludf.DUMMYFUNCTION("""COMPUTED_VALUE"""),2387.0)</f>
        <v>2387</v>
      </c>
      <c r="B722" s="22" t="str">
        <f>IFERROR(__xludf.DUMMYFUNCTION("""COMPUTED_VALUE"""),"確定")</f>
        <v>確定</v>
      </c>
      <c r="C722" s="28">
        <f>IFERROR(__xludf.DUMMYFUNCTION("""COMPUTED_VALUE"""),45183.0)</f>
        <v>45183</v>
      </c>
      <c r="D722" s="28">
        <f>IFERROR(__xludf.DUMMYFUNCTION("""COMPUTED_VALUE"""),45194.0)</f>
        <v>45194</v>
      </c>
      <c r="E722" s="31">
        <f>IFERROR(__xludf.DUMMYFUNCTION("""COMPUTED_VALUE"""),278762.0)</f>
        <v>278762</v>
      </c>
      <c r="F722" s="22" t="str">
        <f>IFERROR(__xludf.DUMMYFUNCTION("""COMPUTED_VALUE"""),"春待つ椿は恋に咲く")</f>
        <v>春待つ椿は恋に咲く</v>
      </c>
      <c r="G722" s="20" t="str">
        <f>IFERROR(__xludf.DUMMYFUNCTION("""COMPUTED_VALUE"""),"1～11")</f>
        <v>1～11</v>
      </c>
      <c r="H722" s="22" t="str">
        <f>IFERROR(__xludf.DUMMYFUNCTION("""COMPUTED_VALUE"""),"森埜ひつじ")</f>
        <v>森埜ひつじ</v>
      </c>
      <c r="I722" s="22" t="str">
        <f>IFERROR(__xludf.DUMMYFUNCTION("""COMPUTED_VALUE"""),"女性")</f>
        <v>女性</v>
      </c>
      <c r="J722" s="22"/>
      <c r="K722" s="22"/>
      <c r="L722" s="22" t="str">
        <f>IFERROR(__xludf.DUMMYFUNCTION("""COMPUTED_VALUE"""),"ライブコミックス")</f>
        <v>ライブコミックス</v>
      </c>
      <c r="M722" s="23">
        <f>IFERROR(__xludf.DUMMYFUNCTION("""COMPUTED_VALUE"""),45226.0)</f>
        <v>45226</v>
      </c>
      <c r="N722" s="23">
        <f>IFERROR(__xludf.DUMMYFUNCTION("""COMPUTED_VALUE"""),45281.0)</f>
        <v>45281</v>
      </c>
      <c r="O722" s="20"/>
      <c r="P722" s="29" t="str">
        <f>IFERROR(__xludf.DUMMYFUNCTION("""COMPUTED_VALUE"""),"可")</f>
        <v>可</v>
      </c>
      <c r="Q722" s="30" t="str">
        <f>IFERROR(__xludf.DUMMYFUNCTION("""COMPUTED_VALUE"""),"広告コミットOK(9/22)&lt;BR&gt;")</f>
        <v>広告コミットOK(9/22)&lt;BR&gt;</v>
      </c>
      <c r="R722" s="22"/>
      <c r="S722" s="22" t="str">
        <f>IFERROR(__xludf.DUMMYFUNCTION("""COMPUTED_VALUE"""),"20230914_BookLive_春待つ椿は恋に咲く")</f>
        <v>20230914_BookLive_春待つ椿は恋に咲く</v>
      </c>
      <c r="T722" s="22" t="str">
        <f>IFERROR(__xludf.DUMMYFUNCTION("""COMPUTED_VALUE"""),"格納済み")</f>
        <v>格納済み</v>
      </c>
      <c r="U722" s="15" t="str">
        <f>IFERROR(__xludf.DUMMYFUNCTION("""COMPUTED_VALUE"""),"Ⓒ森埜ひつじ/ライブコミックス")</f>
        <v>Ⓒ森埜ひつじ/ライブコミックス</v>
      </c>
      <c r="V722" s="8" t="str">
        <f>IFERROR(__xludf.DUMMYFUNCTION("""COMPUTED_VALUE"""),"「俺のこと、覚えてほしいなって」美術館の受付嬢として働く野原なこ。仕事に不満はないけれど、頼まれると断れない損な性格のせいでもやもやした日々を過ごしていた。そんなある日、先輩のミスを押し付けられ、釈明したいのに言葉が出てこない――そんななこを助けてくれたのは、なんと人気イケメン華道家の九条椿！？　しかも、とある『仕事』を頼まれて…！　ちょっと意地悪な華道家男子×ふわふわ女子の、ときめきが止まらない純情ラブコメ、開幕")</f>
        <v>「俺のこと、覚えてほしいなって」美術館の受付嬢として働く野原なこ。仕事に不満はないけれど、頼まれると断れない損な性格のせいでもやもやした日々を過ごしていた。そんなある日、先輩のミスを押し付けられ、釈明したいのに言葉が出てこない――そんななこを助けてくれたのは、なんと人気イケメン華道家の九条椿！？　しかも、とある『仕事』を頼まれて…！　ちょっと意地悪な華道家男子×ふわふわ女子の、ときめきが止まらない純情ラブコメ、開幕</v>
      </c>
      <c r="W722" s="14"/>
      <c r="X722" s="14" t="str">
        <f>IFERROR(__xludf.DUMMYFUNCTION("""COMPUTED_VALUE"""),"有
")</f>
        <v>有
</v>
      </c>
      <c r="Y722" s="8" t="str">
        <f>IFERROR(__xludf.DUMMYFUNCTION("""COMPUTED_VALUE"""),"12/21まで1巻無料
")</f>
        <v>12/21まで1巻無料
</v>
      </c>
      <c r="Z722" s="7"/>
      <c r="AA722" s="7"/>
      <c r="AB722" s="7"/>
    </row>
    <row r="723" ht="15.75" customHeight="1">
      <c r="A723" s="26">
        <f>IFERROR(__xludf.DUMMYFUNCTION("""COMPUTED_VALUE"""),2394.0)</f>
        <v>2394</v>
      </c>
      <c r="B723" s="22" t="str">
        <f>IFERROR(__xludf.DUMMYFUNCTION("""COMPUTED_VALUE"""),"確定")</f>
        <v>確定</v>
      </c>
      <c r="C723" s="28">
        <f>IFERROR(__xludf.DUMMYFUNCTION("""COMPUTED_VALUE"""),45188.0)</f>
        <v>45188</v>
      </c>
      <c r="D723" s="28">
        <f>IFERROR(__xludf.DUMMYFUNCTION("""COMPUTED_VALUE"""),45195.0)</f>
        <v>45195</v>
      </c>
      <c r="E723" s="26">
        <f>IFERROR(__xludf.DUMMYFUNCTION("""COMPUTED_VALUE"""),267231.0)</f>
        <v>267231</v>
      </c>
      <c r="F723" s="22" t="str">
        <f>IFERROR(__xludf.DUMMYFUNCTION("""COMPUTED_VALUE"""),"オメガ教授のとろかせかた(フルカラー)")</f>
        <v>オメガ教授のとろかせかた(フルカラー)</v>
      </c>
      <c r="G723" s="20" t="str">
        <f>IFERROR(__xludf.DUMMYFUNCTION("""COMPUTED_VALUE"""),"1～3")</f>
        <v>1～3</v>
      </c>
      <c r="H723" s="22" t="str">
        <f>IFERROR(__xludf.DUMMYFUNCTION("""COMPUTED_VALUE"""),"Bara")</f>
        <v>Bara</v>
      </c>
      <c r="I723" s="14" t="str">
        <f>IFERROR(__xludf.DUMMYFUNCTION("""COMPUTED_VALUE"""),"BL")</f>
        <v>BL</v>
      </c>
      <c r="J723" s="22"/>
      <c r="K723" s="22"/>
      <c r="L723" s="22" t="str">
        <f>IFERROR(__xludf.DUMMYFUNCTION("""COMPUTED_VALUE"""),"ソルマーレ編集部")</f>
        <v>ソルマーレ編集部</v>
      </c>
      <c r="M723" s="23">
        <f>IFERROR(__xludf.DUMMYFUNCTION("""COMPUTED_VALUE"""),45220.0)</f>
        <v>45220</v>
      </c>
      <c r="N723" s="23">
        <f>IFERROR(__xludf.DUMMYFUNCTION("""COMPUTED_VALUE"""),45281.0)</f>
        <v>45281</v>
      </c>
      <c r="O723" s="20"/>
      <c r="P723" s="32" t="str">
        <f>IFERROR(__xludf.DUMMYFUNCTION("""COMPUTED_VALUE"""),"可")</f>
        <v>可</v>
      </c>
      <c r="Q723" s="30"/>
      <c r="R723" s="22"/>
      <c r="S723" s="22" t="str">
        <f>IFERROR(__xludf.DUMMYFUNCTION("""COMPUTED_VALUE"""),"20230925_ソルマーレ編集部_オメガ教授のとろかせかた（フルカラー）")</f>
        <v>20230925_ソルマーレ編集部_オメガ教授のとろかせかた（フルカラー）</v>
      </c>
      <c r="T723" s="22" t="str">
        <f>IFERROR(__xludf.DUMMYFUNCTION("""COMPUTED_VALUE"""),"格納済み")</f>
        <v>格納済み</v>
      </c>
      <c r="U723" s="15" t="str">
        <f>IFERROR(__xludf.DUMMYFUNCTION("""COMPUTED_VALUE"""),"Ⓒ Bara/シーモアコミックス")</f>
        <v>Ⓒ Bara/シーモアコミックス</v>
      </c>
      <c r="V723" s="8" t="str">
        <f>IFERROR(__xludf.DUMMYFUNCTION("""COMPUTED_VALUE"""),"それは利害でつながる関係のはずだった。
秀才×天才の秘密のオメガバースラブ☆
下位アルファに生まれた賢人（けんと）の望みは、兄より先に大学教授の座につくこと。
彼が所属する社会学科に開学以来の最年少教授としてやってきた優（ゆう）は明晰な頭脳の持ち主だった。
無邪気で、尊大で、美しく、アルファらしさを備えた優には隠された秘密があって…!?【フィカス】")</f>
        <v>それは利害でつながる関係のはずだった。
秀才×天才の秘密のオメガバースラブ☆
下位アルファに生まれた賢人（けんと）の望みは、兄より先に大学教授の座につくこと。
彼が所属する社会学科に開学以来の最年少教授としてやってきた優（ゆう）は明晰な頭脳の持ち主だった。
無邪気で、尊大で、美しく、アルファらしさを備えた優には隠された秘密があって…!?【フィカス】</v>
      </c>
      <c r="W723" s="14"/>
      <c r="X723" s="14" t="str">
        <f>IFERROR(__xludf.DUMMYFUNCTION("""COMPUTED_VALUE"""),"有
")</f>
        <v>有
</v>
      </c>
      <c r="Y723" s="8" t="str">
        <f>IFERROR(__xludf.DUMMYFUNCTION("""COMPUTED_VALUE"""),"P14まで")</f>
        <v>P14まで</v>
      </c>
      <c r="Z723" s="7"/>
      <c r="AA723" s="7"/>
      <c r="AB723" s="7"/>
    </row>
    <row r="724" ht="15.75" customHeight="1">
      <c r="A724" s="26">
        <f>IFERROR(__xludf.DUMMYFUNCTION("""COMPUTED_VALUE"""),2395.0)</f>
        <v>2395</v>
      </c>
      <c r="B724" s="22" t="str">
        <f>IFERROR(__xludf.DUMMYFUNCTION("""COMPUTED_VALUE"""),"確定")</f>
        <v>確定</v>
      </c>
      <c r="C724" s="28">
        <f>IFERROR(__xludf.DUMMYFUNCTION("""COMPUTED_VALUE"""),45188.0)</f>
        <v>45188</v>
      </c>
      <c r="D724" s="28">
        <f>IFERROR(__xludf.DUMMYFUNCTION("""COMPUTED_VALUE"""),45195.0)</f>
        <v>45195</v>
      </c>
      <c r="E724" s="26">
        <f>IFERROR(__xludf.DUMMYFUNCTION("""COMPUTED_VALUE"""),267248.0)</f>
        <v>267248</v>
      </c>
      <c r="F724" s="22" t="str">
        <f>IFERROR(__xludf.DUMMYFUNCTION("""COMPUTED_VALUE"""),"オメガ教授のとろかせかた【タテヨミ】")</f>
        <v>オメガ教授のとろかせかた【タテヨミ】</v>
      </c>
      <c r="G724" s="20" t="str">
        <f>IFERROR(__xludf.DUMMYFUNCTION("""COMPUTED_VALUE"""),"1～9")</f>
        <v>1～9</v>
      </c>
      <c r="H724" s="22" t="str">
        <f>IFERROR(__xludf.DUMMYFUNCTION("""COMPUTED_VALUE"""),"Bara")</f>
        <v>Bara</v>
      </c>
      <c r="I724" s="14" t="str">
        <f>IFERROR(__xludf.DUMMYFUNCTION("""COMPUTED_VALUE"""),"BL")</f>
        <v>BL</v>
      </c>
      <c r="J724" s="22"/>
      <c r="K724" s="22"/>
      <c r="L724" s="22" t="str">
        <f>IFERROR(__xludf.DUMMYFUNCTION("""COMPUTED_VALUE"""),"ソルマーレ編集部")</f>
        <v>ソルマーレ編集部</v>
      </c>
      <c r="M724" s="23">
        <f>IFERROR(__xludf.DUMMYFUNCTION("""COMPUTED_VALUE"""),45220.0)</f>
        <v>45220</v>
      </c>
      <c r="N724" s="23">
        <f>IFERROR(__xludf.DUMMYFUNCTION("""COMPUTED_VALUE"""),45281.0)</f>
        <v>45281</v>
      </c>
      <c r="O724" s="20"/>
      <c r="P724" s="29" t="str">
        <f>IFERROR(__xludf.DUMMYFUNCTION("""COMPUTED_VALUE"""),"可")</f>
        <v>可</v>
      </c>
      <c r="Q724" s="30" t="str">
        <f>IFERROR(__xludf.DUMMYFUNCTION("""COMPUTED_VALUE"""),"※コマサム等素材は「267231 オメガ教授のとろかせかた（フルカラー）」のほうをお使いください。&lt;BR&gt;バナー制作はフルカラー版の素材を利用して問題ございません。")</f>
        <v>※コマサム等素材は「267231 オメガ教授のとろかせかた（フルカラー）」のほうをお使いください。&lt;BR&gt;バナー制作はフルカラー版の素材を利用して問題ございません。</v>
      </c>
      <c r="R724" s="22"/>
      <c r="S724" s="22" t="str">
        <f>IFERROR(__xludf.DUMMYFUNCTION("""COMPUTED_VALUE"""),"20230922_ソルマーレ編集部_オメガ教授のとろかせかた【タテヨミ】")</f>
        <v>20230922_ソルマーレ編集部_オメガ教授のとろかせかた【タテヨミ】</v>
      </c>
      <c r="T724" s="22" t="str">
        <f>IFERROR(__xludf.DUMMYFUNCTION("""COMPUTED_VALUE"""),"格納済み")</f>
        <v>格納済み</v>
      </c>
      <c r="U724" s="15" t="str">
        <f>IFERROR(__xludf.DUMMYFUNCTION("""COMPUTED_VALUE"""),"Ⓒ Bara/シーモアコミックス")</f>
        <v>Ⓒ Bara/シーモアコミックス</v>
      </c>
      <c r="V724" s="8" t="str">
        <f>IFERROR(__xludf.DUMMYFUNCTION("""COMPUTED_VALUE"""),"それは利害でつながる関係のはずだった。
秀才×天才の秘密のオメガバースラブ☆
下位アルファに生まれた賢人（けんと）の望みは、兄より先に大学教授の座につくこと。
彼が所属する社会学科に開学以来の最年少教授としてやってきた優（ゆう）は明晰な頭脳の持ち主だった。
無邪気で、尊大で、美しく、アルファらしさを備えた優には隠された秘密があって…!?【フィカス】")</f>
        <v>それは利害でつながる関係のはずだった。
秀才×天才の秘密のオメガバースラブ☆
下位アルファに生まれた賢人（けんと）の望みは、兄より先に大学教授の座につくこと。
彼が所属する社会学科に開学以来の最年少教授としてやってきた優（ゆう）は明晰な頭脳の持ち主だった。
無邪気で、尊大で、美しく、アルファらしさを備えた優には隠された秘密があって…!?【フィカス】</v>
      </c>
      <c r="W724" s="14"/>
      <c r="X724" s="14" t="str">
        <f>IFERROR(__xludf.DUMMYFUNCTION("""COMPUTED_VALUE"""),"有
")</f>
        <v>有
</v>
      </c>
      <c r="Y724" s="8" t="str">
        <f>IFERROR(__xludf.DUMMYFUNCTION("""COMPUTED_VALUE"""),"1巻目無料")</f>
        <v>1巻目無料</v>
      </c>
      <c r="Z724" s="7"/>
      <c r="AA724" s="7"/>
      <c r="AB724" s="7"/>
    </row>
    <row r="725" ht="15.75" customHeight="1">
      <c r="A725" s="26">
        <f>IFERROR(__xludf.DUMMYFUNCTION("""COMPUTED_VALUE"""),2408.0)</f>
        <v>2408</v>
      </c>
      <c r="B725" s="22" t="str">
        <f>IFERROR(__xludf.DUMMYFUNCTION("""COMPUTED_VALUE"""),"確定")</f>
        <v>確定</v>
      </c>
      <c r="C725" s="28">
        <f>IFERROR(__xludf.DUMMYFUNCTION("""COMPUTED_VALUE"""),45188.0)</f>
        <v>45188</v>
      </c>
      <c r="D725" s="28">
        <f>IFERROR(__xludf.DUMMYFUNCTION("""COMPUTED_VALUE"""),45196.0)</f>
        <v>45196</v>
      </c>
      <c r="E725" s="31">
        <f>IFERROR(__xludf.DUMMYFUNCTION("""COMPUTED_VALUE"""),278411.0)</f>
        <v>278411</v>
      </c>
      <c r="F725" s="22" t="str">
        <f>IFERROR(__xludf.DUMMYFUNCTION("""COMPUTED_VALUE"""),"メタフィクション・オーバードーズ")</f>
        <v>メタフィクション・オーバードーズ</v>
      </c>
      <c r="G725" s="11" t="str">
        <f>IFERROR(__xludf.DUMMYFUNCTION("""COMPUTED_VALUE"""),"1～2")</f>
        <v>1～2</v>
      </c>
      <c r="H725" s="22" t="str">
        <f>IFERROR(__xludf.DUMMYFUNCTION("""COMPUTED_VALUE"""),"じねん")</f>
        <v>じねん</v>
      </c>
      <c r="I725" s="22" t="str">
        <f>IFERROR(__xludf.DUMMYFUNCTION("""COMPUTED_VALUE"""),"BL")</f>
        <v>BL</v>
      </c>
      <c r="J725" s="22"/>
      <c r="K725" s="22"/>
      <c r="L725" s="22" t="str">
        <f>IFERROR(__xludf.DUMMYFUNCTION("""COMPUTED_VALUE"""),"MUGENUP")</f>
        <v>MUGENUP</v>
      </c>
      <c r="M725" s="23">
        <f>IFERROR(__xludf.DUMMYFUNCTION("""COMPUTED_VALUE"""),45206.0)</f>
        <v>45206</v>
      </c>
      <c r="N725" s="33">
        <f>IFERROR(__xludf.DUMMYFUNCTION("""COMPUTED_VALUE"""),45297.0)</f>
        <v>45297</v>
      </c>
      <c r="O725" s="20"/>
      <c r="P725" s="29" t="str">
        <f>IFERROR(__xludf.DUMMYFUNCTION("""COMPUTED_VALUE"""),"可")</f>
        <v>可</v>
      </c>
      <c r="Q725" s="30" t="str">
        <f>IFERROR(__xludf.DUMMYFUNCTION("""COMPUTED_VALUE"""),"広告コミットOK(9/22)&lt;BR&gt;")</f>
        <v>広告コミットOK(9/22)&lt;BR&gt;</v>
      </c>
      <c r="R725" s="22"/>
      <c r="S725" s="22" t="str">
        <f>IFERROR(__xludf.DUMMYFUNCTION("""COMPUTED_VALUE"""),"20230926_暁NEXT3作品")</f>
        <v>20230926_暁NEXT3作品</v>
      </c>
      <c r="T725" s="22" t="str">
        <f>IFERROR(__xludf.DUMMYFUNCTION("""COMPUTED_VALUE"""),"格納済み")</f>
        <v>格納済み</v>
      </c>
      <c r="U725" s="15" t="str">
        <f>IFERROR(__xludf.DUMMYFUNCTION("""COMPUTED_VALUE"""),"（C）じねん／MUGENUP")</f>
        <v>（C）じねん／MUGENUP</v>
      </c>
      <c r="V725" s="8" t="str">
        <f>IFERROR(__xludf.DUMMYFUNCTION("""COMPUTED_VALUE"""),"VRヘッドギアをつけ、喘ぎながらおもちゃを動かし前もシコり自慰行為に没頭する会社員の大和。達してから「今日はもう終わり」と言って一息つきヘッドギアを外す。
大和は普段は真面目に仕事をする会社員。だが、帰宅するや否やストレスを発散するかのようにVRのSNSで美少女アバターとしてHなことに没頭する毎日を送っている。
ある日、オープン（誰でも参加できる場所）のアバター確認部屋で自分の写りを確認しているとジョインしてきた新規ユーザーに声をかけられて…！？")</f>
        <v>VRヘッドギアをつけ、喘ぎながらおもちゃを動かし前もシコり自慰行為に没頭する会社員の大和。達してから「今日はもう終わり」と言って一息つきヘッドギアを外す。
大和は普段は真面目に仕事をする会社員。だが、帰宅するや否やストレスを発散するかのようにVRのSNSで美少女アバターとしてHなことに没頭する毎日を送っている。
ある日、オープン（誰でも参加できる場所）のアバター確認部屋で自分の写りを確認しているとジョインしてきた新規ユーザーに声をかけられて…！？</v>
      </c>
      <c r="W725" s="14"/>
      <c r="X725" s="14" t="str">
        <f>IFERROR(__xludf.DUMMYFUNCTION("""COMPUTED_VALUE"""),"有
")</f>
        <v>有
</v>
      </c>
      <c r="Y725" s="8" t="str">
        <f>IFERROR(__xludf.DUMMYFUNCTION("""COMPUTED_VALUE"""),"P5まで")</f>
        <v>P5まで</v>
      </c>
      <c r="Z725" s="7"/>
      <c r="AA725" s="7"/>
      <c r="AB725" s="7"/>
    </row>
    <row r="726" ht="15.75" customHeight="1">
      <c r="A726" s="26">
        <f>IFERROR(__xludf.DUMMYFUNCTION("""COMPUTED_VALUE"""),2410.0)</f>
        <v>2410</v>
      </c>
      <c r="B726" s="22" t="str">
        <f>IFERROR(__xludf.DUMMYFUNCTION("""COMPUTED_VALUE"""),"確定")</f>
        <v>確定</v>
      </c>
      <c r="C726" s="28">
        <f>IFERROR(__xludf.DUMMYFUNCTION("""COMPUTED_VALUE"""),45188.0)</f>
        <v>45188</v>
      </c>
      <c r="D726" s="28">
        <f>IFERROR(__xludf.DUMMYFUNCTION("""COMPUTED_VALUE"""),45196.0)</f>
        <v>45196</v>
      </c>
      <c r="E726" s="31">
        <f>IFERROR(__xludf.DUMMYFUNCTION("""COMPUTED_VALUE"""),278572.0)</f>
        <v>278572</v>
      </c>
      <c r="F726" s="22" t="str">
        <f>IFERROR(__xludf.DUMMYFUNCTION("""COMPUTED_VALUE"""),"幼なじみで元ヤン上司の溺愛が重すぎるっ！《Lovelicot》")</f>
        <v>幼なじみで元ヤン上司の溺愛が重すぎるっ！《Lovelicot》</v>
      </c>
      <c r="G726" s="11" t="str">
        <f>IFERROR(__xludf.DUMMYFUNCTION("""COMPUTED_VALUE"""),"1～2")</f>
        <v>1～2</v>
      </c>
      <c r="H726" s="22" t="str">
        <f>IFERROR(__xludf.DUMMYFUNCTION("""COMPUTED_VALUE"""),"おのまい⊥仙崎ひとみ")</f>
        <v>おのまい⊥仙崎ひとみ</v>
      </c>
      <c r="I726" s="22" t="str">
        <f>IFERROR(__xludf.DUMMYFUNCTION("""COMPUTED_VALUE"""),"TL")</f>
        <v>TL</v>
      </c>
      <c r="J726" s="22"/>
      <c r="K726" s="22"/>
      <c r="L726" s="22" t="str">
        <f>IFERROR(__xludf.DUMMYFUNCTION("""COMPUTED_VALUE"""),"ガールスカウトコミックス")</f>
        <v>ガールスカウトコミックス</v>
      </c>
      <c r="M726" s="23">
        <f>IFERROR(__xludf.DUMMYFUNCTION("""COMPUTED_VALUE"""),45220.0)</f>
        <v>45220</v>
      </c>
      <c r="N726" s="23">
        <f>IFERROR(__xludf.DUMMYFUNCTION("""COMPUTED_VALUE"""),45250.0)</f>
        <v>45250</v>
      </c>
      <c r="O726" s="20"/>
      <c r="P726" s="29" t="str">
        <f>IFERROR(__xludf.DUMMYFUNCTION("""COMPUTED_VALUE"""),"可")</f>
        <v>可</v>
      </c>
      <c r="Q726" s="30"/>
      <c r="R726" s="22"/>
      <c r="S726" s="22" t="str">
        <f>IFERROR(__xludf.DUMMYFUNCTION("""COMPUTED_VALUE"""),"20230926_暁NEXT3作品")</f>
        <v>20230926_暁NEXT3作品</v>
      </c>
      <c r="T726" s="22" t="str">
        <f>IFERROR(__xludf.DUMMYFUNCTION("""COMPUTED_VALUE"""),"格納済み")</f>
        <v>格納済み</v>
      </c>
      <c r="U726" s="15" t="str">
        <f>IFERROR(__xludf.DUMMYFUNCTION("""COMPUTED_VALUE"""),"(C)おのまい・仙崎ひとみ／ガールスカウトコミックス")</f>
        <v>(C)おのまい・仙崎ひとみ／ガールスカウトコミックス</v>
      </c>
      <c r="V726" s="8" t="str">
        <f>IFERROR(__xludf.DUMMYFUNCTION("""COMPUTED_VALUE"""),"「俺がお前の涙を止めてやる」──…
ブラック会社に就職してしまい、心を病んで引きこもっていた高坂ゆきの。母の紹介で再就職すると、なんと上司は幼なじみの片瀬拓真だった。学生時代はヤンキーだった拓真も、大人になった今では爽やかイケメンに…！
新しい先輩に理不尽な嫌味を言われるも言い返せないゆきのだったが、拓真の前では本音が出てしまい泣き出してしまう。拓真はそんなゆきのに「もっと気持ち良くしてやる…」慰めるようなとろけるキスと、長い指で奥までかき回されて…。【幼なじみで元ヤン上司ヒーローとほわほわ天然ヒロイ"&amp;"ンの溺愛オフィスラブ！】")</f>
        <v>「俺がお前の涙を止めてやる」──…
ブラック会社に就職してしまい、心を病んで引きこもっていた高坂ゆきの。母の紹介で再就職すると、なんと上司は幼なじみの片瀬拓真だった。学生時代はヤンキーだった拓真も、大人になった今では爽やかイケメンに…！
新しい先輩に理不尽な嫌味を言われるも言い返せないゆきのだったが、拓真の前では本音が出てしまい泣き出してしまう。拓真はそんなゆきのに「もっと気持ち良くしてやる…」慰めるようなとろけるキスと、長い指で奥までかき回されて…。【幼なじみで元ヤン上司ヒーローとほわほわ天然ヒロインの溺愛オフィスラブ！】</v>
      </c>
      <c r="W726" s="14"/>
      <c r="X726" s="14" t="str">
        <f>IFERROR(__xludf.DUMMYFUNCTION("""COMPUTED_VALUE"""),"有
")</f>
        <v>有
</v>
      </c>
      <c r="Y726" s="8" t="str">
        <f>IFERROR(__xludf.DUMMYFUNCTION("""COMPUTED_VALUE"""),"11/19まで立ち読み増量P16まで")</f>
        <v>11/19まで立ち読み増量P16まで</v>
      </c>
      <c r="Z726" s="7"/>
      <c r="AA726" s="7"/>
      <c r="AB726" s="7"/>
    </row>
    <row r="727" ht="15.75" customHeight="1">
      <c r="A727" s="26">
        <f>IFERROR(__xludf.DUMMYFUNCTION("""COMPUTED_VALUE"""),2412.0)</f>
        <v>2412</v>
      </c>
      <c r="B727" s="22" t="str">
        <f>IFERROR(__xludf.DUMMYFUNCTION("""COMPUTED_VALUE"""),"確定")</f>
        <v>確定</v>
      </c>
      <c r="C727" s="28">
        <f>IFERROR(__xludf.DUMMYFUNCTION("""COMPUTED_VALUE"""),45189.0)</f>
        <v>45189</v>
      </c>
      <c r="D727" s="28">
        <f>IFERROR(__xludf.DUMMYFUNCTION("""COMPUTED_VALUE"""),45191.0)</f>
        <v>45191</v>
      </c>
      <c r="E727" s="31">
        <f>IFERROR(__xludf.DUMMYFUNCTION("""COMPUTED_VALUE"""),279612.0)</f>
        <v>279612</v>
      </c>
      <c r="F727" s="22" t="str">
        <f>IFERROR(__xludf.DUMMYFUNCTION("""COMPUTED_VALUE"""),"人妻オナ保健医～校長に脅迫された人妻保健医は学校の共有オ〇ホに堕ちました～")</f>
        <v>人妻オナ保健医～校長に脅迫された人妻保健医は学校の共有オ〇ホに堕ちました～</v>
      </c>
      <c r="G727" s="11" t="str">
        <f>IFERROR(__xludf.DUMMYFUNCTION("""COMPUTED_VALUE"""),"1～4")</f>
        <v>1～4</v>
      </c>
      <c r="H727" s="22" t="str">
        <f>IFERROR(__xludf.DUMMYFUNCTION("""COMPUTED_VALUE"""),"ミルフ書房")</f>
        <v>ミルフ書房</v>
      </c>
      <c r="I727" s="22" t="str">
        <f>IFERROR(__xludf.DUMMYFUNCTION("""COMPUTED_VALUE"""),"オトナ")</f>
        <v>オトナ</v>
      </c>
      <c r="J727" s="22"/>
      <c r="K727" s="22"/>
      <c r="L727" s="22" t="str">
        <f>IFERROR(__xludf.DUMMYFUNCTION("""COMPUTED_VALUE"""),"FILL-IN")</f>
        <v>FILL-IN</v>
      </c>
      <c r="M727" s="23">
        <f>IFERROR(__xludf.DUMMYFUNCTION("""COMPUTED_VALUE"""),45233.0)</f>
        <v>45233</v>
      </c>
      <c r="N727" s="23">
        <f>IFERROR(__xludf.DUMMYFUNCTION("""COMPUTED_VALUE"""),45260.0)</f>
        <v>45260</v>
      </c>
      <c r="O727" s="20"/>
      <c r="P727" s="32" t="str">
        <f>IFERROR(__xludf.DUMMYFUNCTION("""COMPUTED_VALUE"""),"可")</f>
        <v>可</v>
      </c>
      <c r="Q727" s="30"/>
      <c r="R727" s="22"/>
      <c r="S727" s="22" t="str">
        <f>IFERROR(__xludf.DUMMYFUNCTION("""COMPUTED_VALUE"""),"20230920_ライドオン_人妻オナ保健医")</f>
        <v>20230920_ライドオン_人妻オナ保健医</v>
      </c>
      <c r="T727" s="22" t="str">
        <f>IFERROR(__xludf.DUMMYFUNCTION("""COMPUTED_VALUE"""),"格納済み")</f>
        <v>格納済み</v>
      </c>
      <c r="U727" s="15" t="str">
        <f>IFERROR(__xludf.DUMMYFUNCTION("""COMPUTED_VALUE"""),"©ミルフ書房/FILL-IN")</f>
        <v>©ミルフ書房/FILL-IN</v>
      </c>
      <c r="V727" s="8" t="str">
        <f>IFERROR(__xludf.DUMMYFUNCTION("""COMPUTED_VALUE"""),"「こんなところ…生徒に見られたらっ…！」人妻巨乳保険医の痴態が校内にさらされる…！
――生徒から人気の巨乳保険医。しかし実はエッチが大好きな淫乱お姉さんだった！
ある日、保健室でこっそりオナニーをしていた所を校長先生にバレてしまい…!?
秘めていた願望を暴かれた彼女の目の前に突きつけられた老齢ながらも逞しいチ〇ポ…！
私には旦那が…と思っていても、体が疼いてたまらない…！
甘言に惑わされ、自らフ〇ラをすると、その豊満なおっぱいを揉みしだかれ、トロトロになったアソコは奥まで犯される…！
神聖な校"&amp;"舎での背徳行為…絶対にバレてはいけないのに、なんと生徒たちに盗撮されていて…!?")</f>
        <v>「こんなところ…生徒に見られたらっ…！」人妻巨乳保険医の痴態が校内にさらされる…！
――生徒から人気の巨乳保険医。しかし実はエッチが大好きな淫乱お姉さんだった！
ある日、保健室でこっそりオナニーをしていた所を校長先生にバレてしまい…!?
秘めていた願望を暴かれた彼女の目の前に突きつけられた老齢ながらも逞しいチ〇ポ…！
私には旦那が…と思っていても、体が疼いてたまらない…！
甘言に惑わされ、自らフ〇ラをすると、その豊満なおっぱいを揉みしだかれ、トロトロになったアソコは奥まで犯される…！
神聖な校舎での背徳行為…絶対にバレてはいけないのに、なんと生徒たちに盗撮されていて…!?</v>
      </c>
      <c r="W727" s="14"/>
      <c r="X727" s="14" t="str">
        <f>IFERROR(__xludf.DUMMYFUNCTION("""COMPUTED_VALUE"""),"有
")</f>
        <v>有
</v>
      </c>
      <c r="Y727" s="8" t="str">
        <f>IFERROR(__xludf.DUMMYFUNCTION("""COMPUTED_VALUE"""),"11/30まで1巻無料")</f>
        <v>11/30まで1巻無料</v>
      </c>
      <c r="Z727" s="7"/>
      <c r="AA727" s="7"/>
      <c r="AB727" s="7"/>
    </row>
    <row r="728" ht="15.75" customHeight="1">
      <c r="A728" s="26">
        <f>IFERROR(__xludf.DUMMYFUNCTION("""COMPUTED_VALUE"""),2413.0)</f>
        <v>2413</v>
      </c>
      <c r="B728" s="22" t="str">
        <f>IFERROR(__xludf.DUMMYFUNCTION("""COMPUTED_VALUE"""),"確定")</f>
        <v>確定</v>
      </c>
      <c r="C728" s="28">
        <f>IFERROR(__xludf.DUMMYFUNCTION("""COMPUTED_VALUE"""),45189.0)</f>
        <v>45189</v>
      </c>
      <c r="D728" s="28">
        <f>IFERROR(__xludf.DUMMYFUNCTION("""COMPUTED_VALUE"""),45191.0)</f>
        <v>45191</v>
      </c>
      <c r="E728" s="31">
        <f>IFERROR(__xludf.DUMMYFUNCTION("""COMPUTED_VALUE"""),279971.0)</f>
        <v>279971</v>
      </c>
      <c r="F728" s="22" t="str">
        <f>IFERROR(__xludf.DUMMYFUNCTION("""COMPUTED_VALUE"""),"たまのこしいれ ―アシガールEDO―")</f>
        <v>たまのこしいれ ―アシガールEDO―</v>
      </c>
      <c r="G728" s="20">
        <f>IFERROR(__xludf.DUMMYFUNCTION("""COMPUTED_VALUE"""),1.0)</f>
        <v>1</v>
      </c>
      <c r="H728" s="22" t="str">
        <f>IFERROR(__xludf.DUMMYFUNCTION("""COMPUTED_VALUE"""),"森本梢子")</f>
        <v>森本梢子</v>
      </c>
      <c r="I728" s="22" t="str">
        <f>IFERROR(__xludf.DUMMYFUNCTION("""COMPUTED_VALUE"""),"女性")</f>
        <v>女性</v>
      </c>
      <c r="J728" s="22"/>
      <c r="K728" s="22"/>
      <c r="L728" s="22" t="str">
        <f>IFERROR(__xludf.DUMMYFUNCTION("""COMPUTED_VALUE"""),"集英社")</f>
        <v>集英社</v>
      </c>
      <c r="M728" s="23">
        <f>IFERROR(__xludf.DUMMYFUNCTION("""COMPUTED_VALUE"""),45224.0)</f>
        <v>45224</v>
      </c>
      <c r="N728" s="23">
        <f>IFERROR(__xludf.DUMMYFUNCTION("""COMPUTED_VALUE"""),45253.0)</f>
        <v>45253</v>
      </c>
      <c r="O728" s="20"/>
      <c r="P728" s="32" t="str">
        <f>IFERROR(__xludf.DUMMYFUNCTION("""COMPUTED_VALUE"""),"否")</f>
        <v>否</v>
      </c>
      <c r="Q728" s="30"/>
      <c r="R728" s="22"/>
      <c r="S728" s="22" t="str">
        <f>IFERROR(__xludf.DUMMYFUNCTION("""COMPUTED_VALUE"""),"20230920_集英社_たまのこしいれ")</f>
        <v>20230920_集英社_たまのこしいれ</v>
      </c>
      <c r="T728" s="22" t="str">
        <f>IFERROR(__xludf.DUMMYFUNCTION("""COMPUTED_VALUE"""),"格納済み")</f>
        <v>格納済み</v>
      </c>
      <c r="U728" s="15" t="str">
        <f>IFERROR(__xludf.DUMMYFUNCTION("""COMPUTED_VALUE"""),"©森本梢子／集英社")</f>
        <v>©森本梢子／集英社</v>
      </c>
      <c r="V728" s="8" t="str">
        <f>IFERROR(__xludf.DUMMYFUNCTION("""COMPUTED_VALUE"""),"時は令和。月が祖父母と暮らす家にある晩、三百年前から政略結婚前夜の玉姫と幼なじみの勇之進がやってきた。相思相愛なのに結ばれないふたりに同情する月は、タイムマシンの起動スイッチを興味本位で触っているうち、うっかり自分がタイムスリップ。気づけば江戸時代、玉姫の代わりに大名家にお輿入れする羽目となる。初対面の夫は年下のちょっとワケありな美少年で――？")</f>
        <v>時は令和。月が祖父母と暮らす家にある晩、三百年前から政略結婚前夜の玉姫と幼なじみの勇之進がやってきた。相思相愛なのに結ばれないふたりに同情する月は、タイムマシンの起動スイッチを興味本位で触っているうち、うっかり自分がタイムスリップ。気づけば江戸時代、玉姫の代わりに大名家にお輿入れする羽目となる。初対面の夫は年下のちょっとワケありな美少年で――？</v>
      </c>
      <c r="W728" s="14"/>
      <c r="X728" s="14" t="str">
        <f>IFERROR(__xludf.DUMMYFUNCTION("""COMPUTED_VALUE"""),"有
")</f>
        <v>有
</v>
      </c>
      <c r="Y728" s="8" t="str">
        <f>IFERROR(__xludf.DUMMYFUNCTION("""COMPUTED_VALUE"""),"P52まで")</f>
        <v>P52まで</v>
      </c>
      <c r="Z728" s="7"/>
      <c r="AA728" s="7"/>
      <c r="AB728" s="7"/>
    </row>
    <row r="729" ht="94.5" customHeight="1">
      <c r="A729" s="26">
        <f>IFERROR(__xludf.DUMMYFUNCTION("""COMPUTED_VALUE"""),2415.0)</f>
        <v>2415</v>
      </c>
      <c r="B729" s="22" t="str">
        <f>IFERROR(__xludf.DUMMYFUNCTION("""COMPUTED_VALUE"""),"確定")</f>
        <v>確定</v>
      </c>
      <c r="C729" s="28">
        <f>IFERROR(__xludf.DUMMYFUNCTION("""COMPUTED_VALUE"""),45189.0)</f>
        <v>45189</v>
      </c>
      <c r="D729" s="28">
        <f>IFERROR(__xludf.DUMMYFUNCTION("""COMPUTED_VALUE"""),45196.0)</f>
        <v>45196</v>
      </c>
      <c r="E729" s="31">
        <f>IFERROR(__xludf.DUMMYFUNCTION("""COMPUTED_VALUE"""),278084.0)</f>
        <v>278084</v>
      </c>
      <c r="F729" s="22" t="str">
        <f>IFERROR(__xludf.DUMMYFUNCTION("""COMPUTED_VALUE"""),"美島先輩の溺愛Hに酔いしれ中です")</f>
        <v>美島先輩の溺愛Hに酔いしれ中です</v>
      </c>
      <c r="G729" s="11" t="str">
        <f>IFERROR(__xludf.DUMMYFUNCTION("""COMPUTED_VALUE"""),"1～2")</f>
        <v>1～2</v>
      </c>
      <c r="H729" s="22" t="str">
        <f>IFERROR(__xludf.DUMMYFUNCTION("""COMPUTED_VALUE"""),"ミヤケ円")</f>
        <v>ミヤケ円</v>
      </c>
      <c r="I729" s="22" t="str">
        <f>IFERROR(__xludf.DUMMYFUNCTION("""COMPUTED_VALUE"""),"女性")</f>
        <v>女性</v>
      </c>
      <c r="J729" s="22"/>
      <c r="K729" s="22"/>
      <c r="L729" s="22" t="str">
        <f>IFERROR(__xludf.DUMMYFUNCTION("""COMPUTED_VALUE"""),"秋田書店")</f>
        <v>秋田書店</v>
      </c>
      <c r="M729" s="23">
        <f>IFERROR(__xludf.DUMMYFUNCTION("""COMPUTED_VALUE"""),45215.0)</f>
        <v>45215</v>
      </c>
      <c r="N729" s="23">
        <f>IFERROR(__xludf.DUMMYFUNCTION("""COMPUTED_VALUE"""),45273.0)</f>
        <v>45273</v>
      </c>
      <c r="O729" s="20"/>
      <c r="P729" s="32" t="str">
        <f>IFERROR(__xludf.DUMMYFUNCTION("""COMPUTED_VALUE"""),"否")</f>
        <v>否</v>
      </c>
      <c r="Q729" s="30"/>
      <c r="R729" s="22"/>
      <c r="S729" s="22" t="str">
        <f>IFERROR(__xludf.DUMMYFUNCTION("""COMPUTED_VALUE"""),"20230920_秋田書店_10月新作")</f>
        <v>20230920_秋田書店_10月新作</v>
      </c>
      <c r="T729" s="22" t="str">
        <f>IFERROR(__xludf.DUMMYFUNCTION("""COMPUTED_VALUE"""),"1~2巻格納済み、3巻素材確認中(9/27)")</f>
        <v>1~2巻格納済み、3巻素材確認中(9/27)</v>
      </c>
      <c r="U729" s="15" t="str">
        <f>IFERROR(__xludf.DUMMYFUNCTION("""COMPUTED_VALUE"""),"（C）ミヤケ円（秋田書店）")</f>
        <v>（C）ミヤケ円（秋田書店）</v>
      </c>
      <c r="V729" s="8" t="str">
        <f>IFERROR(__xludf.DUMMYFUNCTION("""COMPUTED_VALUE"""),"新シリーズスタート!!お酒じゃなくて、俺に酔ってみない？マジメOLのみゆ子は、酒癖が悪いのが悩みの種。片想いしている白木課長には絶対知られたくなくて、飲み会ではお酒を飲まないようにしているんだけど…!?")</f>
        <v>新シリーズスタート!!お酒じゃなくて、俺に酔ってみない？マジメOLのみゆ子は、酒癖が悪いのが悩みの種。片想いしている白木課長には絶対知られたくなくて、飲み会ではお酒を飲まないようにしているんだけど…!?</v>
      </c>
      <c r="W729" s="14"/>
      <c r="X729" s="14" t="str">
        <f>IFERROR(__xludf.DUMMYFUNCTION("""COMPUTED_VALUE"""),"有
")</f>
        <v>有
</v>
      </c>
      <c r="Y729" s="8" t="str">
        <f>IFERROR(__xludf.DUMMYFUNCTION("""COMPUTED_VALUE"""),"P11まで")</f>
        <v>P11まで</v>
      </c>
      <c r="Z729" s="7"/>
      <c r="AA729" s="7"/>
      <c r="AB729" s="7"/>
    </row>
    <row r="730" ht="100.5" customHeight="1">
      <c r="A730" s="26">
        <f>IFERROR(__xludf.DUMMYFUNCTION("""COMPUTED_VALUE"""),2416.0)</f>
        <v>2416</v>
      </c>
      <c r="B730" s="22" t="str">
        <f>IFERROR(__xludf.DUMMYFUNCTION("""COMPUTED_VALUE"""),"確定")</f>
        <v>確定</v>
      </c>
      <c r="C730" s="28">
        <f>IFERROR(__xludf.DUMMYFUNCTION("""COMPUTED_VALUE"""),45189.0)</f>
        <v>45189</v>
      </c>
      <c r="D730" s="28">
        <f>IFERROR(__xludf.DUMMYFUNCTION("""COMPUTED_VALUE"""),45196.0)</f>
        <v>45196</v>
      </c>
      <c r="E730" s="31">
        <f>IFERROR(__xludf.DUMMYFUNCTION("""COMPUTED_VALUE"""),278085.0)</f>
        <v>278085</v>
      </c>
      <c r="F730" s="22" t="str">
        <f>IFERROR(__xludf.DUMMYFUNCTION("""COMPUTED_VALUE"""),"鎖でつないで、72時間。")</f>
        <v>鎖でつないで、72時間。</v>
      </c>
      <c r="G730" s="11" t="str">
        <f>IFERROR(__xludf.DUMMYFUNCTION("""COMPUTED_VALUE"""),"1～2")</f>
        <v>1～2</v>
      </c>
      <c r="H730" s="22" t="str">
        <f>IFERROR(__xludf.DUMMYFUNCTION("""COMPUTED_VALUE"""),"坂下亜寿佳")</f>
        <v>坂下亜寿佳</v>
      </c>
      <c r="I730" s="22" t="str">
        <f>IFERROR(__xludf.DUMMYFUNCTION("""COMPUTED_VALUE"""),"女性")</f>
        <v>女性</v>
      </c>
      <c r="J730" s="22"/>
      <c r="K730" s="22"/>
      <c r="L730" s="22" t="str">
        <f>IFERROR(__xludf.DUMMYFUNCTION("""COMPUTED_VALUE"""),"秋田書店")</f>
        <v>秋田書店</v>
      </c>
      <c r="M730" s="23">
        <f>IFERROR(__xludf.DUMMYFUNCTION("""COMPUTED_VALUE"""),45215.0)</f>
        <v>45215</v>
      </c>
      <c r="N730" s="23">
        <f>IFERROR(__xludf.DUMMYFUNCTION("""COMPUTED_VALUE"""),45273.0)</f>
        <v>45273</v>
      </c>
      <c r="O730" s="20"/>
      <c r="P730" s="32" t="str">
        <f>IFERROR(__xludf.DUMMYFUNCTION("""COMPUTED_VALUE"""),"否")</f>
        <v>否</v>
      </c>
      <c r="Q730" s="30"/>
      <c r="R730" s="22"/>
      <c r="S730" s="22" t="str">
        <f>IFERROR(__xludf.DUMMYFUNCTION("""COMPUTED_VALUE"""),"20230920_秋田書店_10月新作")</f>
        <v>20230920_秋田書店_10月新作</v>
      </c>
      <c r="T730" s="22" t="str">
        <f>IFERROR(__xludf.DUMMYFUNCTION("""COMPUTED_VALUE"""),"1~2巻格納済み、3巻素材確認中(9/27)")</f>
        <v>1~2巻格納済み、3巻素材確認中(9/27)</v>
      </c>
      <c r="U730" s="15" t="str">
        <f>IFERROR(__xludf.DUMMYFUNCTION("""COMPUTED_VALUE"""),"（C）坂下亜寿佳（秋田書店）")</f>
        <v>（C）坂下亜寿佳（秋田書店）</v>
      </c>
      <c r="V730" s="8" t="str">
        <f>IFERROR(__xludf.DUMMYFUNCTION("""COMPUTED_VALUE"""),"危険で甘い恋の魔法新シリーズスタート！どんな男性だか全然知らない。だけど、これだけは確かなこと。「あなたに抱かれないと死んじゃう！」")</f>
        <v>危険で甘い恋の魔法新シリーズスタート！どんな男性だか全然知らない。だけど、これだけは確かなこと。「あなたに抱かれないと死んじゃう！」</v>
      </c>
      <c r="W730" s="14"/>
      <c r="X730" s="14" t="str">
        <f>IFERROR(__xludf.DUMMYFUNCTION("""COMPUTED_VALUE"""),"有
")</f>
        <v>有
</v>
      </c>
      <c r="Y730" s="8" t="str">
        <f>IFERROR(__xludf.DUMMYFUNCTION("""COMPUTED_VALUE"""),"P9まで")</f>
        <v>P9まで</v>
      </c>
      <c r="Z730" s="7"/>
      <c r="AA730" s="7"/>
      <c r="AB730" s="7"/>
    </row>
    <row r="731" ht="108.75" customHeight="1">
      <c r="A731" s="26">
        <f>IFERROR(__xludf.DUMMYFUNCTION("""COMPUTED_VALUE"""),2418.0)</f>
        <v>2418</v>
      </c>
      <c r="B731" s="22" t="str">
        <f>IFERROR(__xludf.DUMMYFUNCTION("""COMPUTED_VALUE"""),"確定")</f>
        <v>確定</v>
      </c>
      <c r="C731" s="28">
        <f>IFERROR(__xludf.DUMMYFUNCTION("""COMPUTED_VALUE"""),45190.0)</f>
        <v>45190</v>
      </c>
      <c r="D731" s="28">
        <f>IFERROR(__xludf.DUMMYFUNCTION("""COMPUTED_VALUE"""),45191.0)</f>
        <v>45191</v>
      </c>
      <c r="E731" s="31">
        <f>IFERROR(__xludf.DUMMYFUNCTION("""COMPUTED_VALUE"""),278022.0)</f>
        <v>278022</v>
      </c>
      <c r="F731" s="22" t="str">
        <f>IFERROR(__xludf.DUMMYFUNCTION("""COMPUTED_VALUE"""),"復讐パパ")</f>
        <v>復讐パパ</v>
      </c>
      <c r="G731" s="20" t="str">
        <f>IFERROR(__xludf.DUMMYFUNCTION("""COMPUTED_VALUE"""),"1～3")</f>
        <v>1～3</v>
      </c>
      <c r="H731" s="22" t="str">
        <f>IFERROR(__xludf.DUMMYFUNCTION("""COMPUTED_VALUE"""),"諸星モヨヨ/大路まぐろ")</f>
        <v>諸星モヨヨ/大路まぐろ</v>
      </c>
      <c r="I731" s="14" t="str">
        <f>IFERROR(__xludf.DUMMYFUNCTION("""COMPUTED_VALUE"""),"青年")</f>
        <v>青年</v>
      </c>
      <c r="J731" s="22"/>
      <c r="K731" s="22"/>
      <c r="L731" s="22" t="str">
        <f>IFERROR(__xludf.DUMMYFUNCTION("""COMPUTED_VALUE"""),"taskey")</f>
        <v>taskey</v>
      </c>
      <c r="M731" s="23">
        <f>IFERROR(__xludf.DUMMYFUNCTION("""COMPUTED_VALUE"""),45210.0)</f>
        <v>45210</v>
      </c>
      <c r="N731" s="23">
        <f>IFERROR(__xludf.DUMMYFUNCTION("""COMPUTED_VALUE"""),2958465.0)</f>
        <v>2958465</v>
      </c>
      <c r="O731" s="20"/>
      <c r="P731" s="32" t="str">
        <f>IFERROR(__xludf.DUMMYFUNCTION("""COMPUTED_VALUE"""),"可")</f>
        <v>可</v>
      </c>
      <c r="Q731" s="30"/>
      <c r="R731" s="22"/>
      <c r="S731" s="22" t="str">
        <f>IFERROR(__xludf.DUMMYFUNCTION("""COMPUTED_VALUE"""),"20230921_taskey_復讐パパ")</f>
        <v>20230921_taskey_復讐パパ</v>
      </c>
      <c r="T731" s="22" t="str">
        <f>IFERROR(__xludf.DUMMYFUNCTION("""COMPUTED_VALUE"""),"格納済み")</f>
        <v>格納済み</v>
      </c>
      <c r="U731" s="15" t="str">
        <f>IFERROR(__xludf.DUMMYFUNCTION("""COMPUTED_VALUE"""),"©︎諸星モヨヨ/大路まぐろ/taskey")</f>
        <v>©︎諸星モヨヨ/大路まぐろ/taskey</v>
      </c>
      <c r="V731" s="8" t="str">
        <f>IFERROR(__xludf.DUMMYFUNCTION("""COMPUTED_VALUE"""),"娘が自殺した―― その知らせを受けた冴えない中年男性、福永 渡は、変わり果てた娘の遺体と対面する。死の真相を探るうち、彼は娘が殺されたという事実に行き当たる。ところが、事実を究明しようとした渡は、何者かによって殺されてしまう。目を覚ました彼は、娘が殺される前にタイムリープしていた。")</f>
        <v>娘が自殺した―― その知らせを受けた冴えない中年男性、福永 渡は、変わり果てた娘の遺体と対面する。死の真相を探るうち、彼は娘が殺されたという事実に行き当たる。ところが、事実を究明しようとした渡は、何者かによって殺されてしまう。目を覚ました彼は、娘が殺される前にタイムリープしていた。</v>
      </c>
      <c r="W731" s="14"/>
      <c r="X731" s="14" t="str">
        <f>IFERROR(__xludf.DUMMYFUNCTION("""COMPUTED_VALUE"""),"有
")</f>
        <v>有
</v>
      </c>
      <c r="Y731" s="8" t="str">
        <f>IFERROR(__xludf.DUMMYFUNCTION("""COMPUTED_VALUE"""),"11/30まで1巻無料
")</f>
        <v>11/30まで1巻無料
</v>
      </c>
      <c r="Z731" s="7"/>
      <c r="AA731" s="7"/>
      <c r="AB731" s="7"/>
    </row>
    <row r="732" ht="99.0" customHeight="1">
      <c r="A732" s="26">
        <f>IFERROR(__xludf.DUMMYFUNCTION("""COMPUTED_VALUE"""),2419.0)</f>
        <v>2419</v>
      </c>
      <c r="B732" s="22" t="str">
        <f>IFERROR(__xludf.DUMMYFUNCTION("""COMPUTED_VALUE"""),"確定")</f>
        <v>確定</v>
      </c>
      <c r="C732" s="28">
        <f>IFERROR(__xludf.DUMMYFUNCTION("""COMPUTED_VALUE"""),45191.0)</f>
        <v>45191</v>
      </c>
      <c r="D732" s="28">
        <f>IFERROR(__xludf.DUMMYFUNCTION("""COMPUTED_VALUE"""),45194.0)</f>
        <v>45194</v>
      </c>
      <c r="E732" s="26">
        <f>IFERROR(__xludf.DUMMYFUNCTION("""COMPUTED_VALUE"""),267254.0)</f>
        <v>267254</v>
      </c>
      <c r="F732" s="22" t="str">
        <f>IFERROR(__xludf.DUMMYFUNCTION("""COMPUTED_VALUE"""),"人間観殺")</f>
        <v>人間観殺</v>
      </c>
      <c r="G732" s="20" t="str">
        <f>IFERROR(__xludf.DUMMYFUNCTION("""COMPUTED_VALUE"""),"1～3")</f>
        <v>1～3</v>
      </c>
      <c r="H732" s="22" t="str">
        <f>IFERROR(__xludf.DUMMYFUNCTION("""COMPUTED_VALUE"""),"そーえんごとう,新目岳")</f>
        <v>そーえんごとう,新目岳</v>
      </c>
      <c r="I732" s="14" t="str">
        <f>IFERROR(__xludf.DUMMYFUNCTION("""COMPUTED_VALUE"""),"青年")</f>
        <v>青年</v>
      </c>
      <c r="J732" s="22"/>
      <c r="K732" s="22"/>
      <c r="L732" s="22" t="str">
        <f>IFERROR(__xludf.DUMMYFUNCTION("""COMPUTED_VALUE"""),"シーモアコミックス")</f>
        <v>シーモアコミックス</v>
      </c>
      <c r="M732" s="23">
        <f>IFERROR(__xludf.DUMMYFUNCTION("""COMPUTED_VALUE"""),45226.0)</f>
        <v>45226</v>
      </c>
      <c r="N732" s="23">
        <f>IFERROR(__xludf.DUMMYFUNCTION("""COMPUTED_VALUE"""),45379.0)</f>
        <v>45379</v>
      </c>
      <c r="O732" s="20"/>
      <c r="P732" s="29" t="str">
        <f>IFERROR(__xludf.DUMMYFUNCTION("""COMPUTED_VALUE"""),"可")</f>
        <v>可</v>
      </c>
      <c r="Q732" s="30" t="str">
        <f>IFERROR(__xludf.DUMMYFUNCTION("""COMPUTED_VALUE"""),"※正式タイトル下記の通りです（9/22）&lt;BR&gt;＝＝＝&lt;BR&gt;人間観殺&lt;BR&gt;＝＝＝&lt;BR&gt;")</f>
        <v>※正式タイトル下記の通りです（9/22）&lt;BR&gt;＝＝＝&lt;BR&gt;人間観殺&lt;BR&gt;＝＝＝&lt;BR&gt;</v>
      </c>
      <c r="R732" s="22"/>
      <c r="S732" s="22" t="str">
        <f>IFERROR(__xludf.DUMMYFUNCTION("""COMPUTED_VALUE"""),"20230922_シーモアコミックス_人間観殺")</f>
        <v>20230922_シーモアコミックス_人間観殺</v>
      </c>
      <c r="T732" s="22" t="str">
        <f>IFERROR(__xludf.DUMMYFUNCTION("""COMPUTED_VALUE"""),"格納済み")</f>
        <v>格納済み</v>
      </c>
      <c r="U732" s="15" t="str">
        <f>IFERROR(__xludf.DUMMYFUNCTION("""COMPUTED_VALUE"""),"© そーえんごとう/新目岳/シーモアコミックス")</f>
        <v>© そーえんごとう/新目岳/シーモアコミックス</v>
      </c>
      <c r="V732" s="8" t="str">
        <f>IFERROR(__xludf.DUMMYFUNCTION("""COMPUTED_VALUE"""),"中学生の頃に壮絶ないじめに遭い、唯一の理解者であった夏目零を失った吹雪悠。彼は忌まわしい事件から10年後、いじめに加担した男女に対して復讐を実行する。真綿で首を締めるような陰湿な復讐を止めようとする旧友の袴田翔。しかし悠の復讐は淡々と実行されていく……。")</f>
        <v>中学生の頃に壮絶ないじめに遭い、唯一の理解者であった夏目零を失った吹雪悠。彼は忌まわしい事件から10年後、いじめに加担した男女に対して復讐を実行する。真綿で首を締めるような陰湿な復讐を止めようとする旧友の袴田翔。しかし悠の復讐は淡々と実行されていく……。</v>
      </c>
      <c r="W732" s="14"/>
      <c r="X732" s="14" t="str">
        <f>IFERROR(__xludf.DUMMYFUNCTION("""COMPUTED_VALUE"""),"有
")</f>
        <v>有
</v>
      </c>
      <c r="Y732" s="8" t="str">
        <f>IFERROR(__xludf.DUMMYFUNCTION("""COMPUTED_VALUE"""),"P24まで")</f>
        <v>P24まで</v>
      </c>
      <c r="Z732" s="7"/>
      <c r="AA732" s="7"/>
      <c r="AB732" s="7"/>
    </row>
    <row r="733" ht="15.75" customHeight="1">
      <c r="A733" s="26">
        <f>IFERROR(__xludf.DUMMYFUNCTION("""COMPUTED_VALUE"""),2420.0)</f>
        <v>2420</v>
      </c>
      <c r="B733" s="22" t="str">
        <f>IFERROR(__xludf.DUMMYFUNCTION("""COMPUTED_VALUE"""),"確定")</f>
        <v>確定</v>
      </c>
      <c r="C733" s="28">
        <f>IFERROR(__xludf.DUMMYFUNCTION("""COMPUTED_VALUE"""),45191.0)</f>
        <v>45191</v>
      </c>
      <c r="D733" s="28">
        <f>IFERROR(__xludf.DUMMYFUNCTION("""COMPUTED_VALUE"""),45194.0)</f>
        <v>45194</v>
      </c>
      <c r="E733" s="31">
        <f>IFERROR(__xludf.DUMMYFUNCTION("""COMPUTED_VALUE"""),278660.0)</f>
        <v>278660</v>
      </c>
      <c r="F733" s="22" t="str">
        <f>IFERROR(__xludf.DUMMYFUNCTION("""COMPUTED_VALUE"""),"ワークラブアンバランス 分冊版")</f>
        <v>ワークラブアンバランス 分冊版</v>
      </c>
      <c r="G733" s="20" t="str">
        <f>IFERROR(__xludf.DUMMYFUNCTION("""COMPUTED_VALUE"""),"1～5")</f>
        <v>1～5</v>
      </c>
      <c r="H733" s="22" t="str">
        <f>IFERROR(__xludf.DUMMYFUNCTION("""COMPUTED_VALUE"""),"安理由香")</f>
        <v>安理由香</v>
      </c>
      <c r="I733" s="22" t="str">
        <f>IFERROR(__xludf.DUMMYFUNCTION("""COMPUTED_VALUE"""),"女性")</f>
        <v>女性</v>
      </c>
      <c r="J733" s="22"/>
      <c r="K733" s="22"/>
      <c r="L733" s="22" t="str">
        <f>IFERROR(__xludf.DUMMYFUNCTION("""COMPUTED_VALUE"""),"集英社")</f>
        <v>集英社</v>
      </c>
      <c r="M733" s="23">
        <f>IFERROR(__xludf.DUMMYFUNCTION("""COMPUTED_VALUE"""),45223.0)</f>
        <v>45223</v>
      </c>
      <c r="N733" s="23">
        <f>IFERROR(__xludf.DUMMYFUNCTION("""COMPUTED_VALUE"""),45253.0)</f>
        <v>45253</v>
      </c>
      <c r="O733" s="20"/>
      <c r="P733" s="32" t="str">
        <f>IFERROR(__xludf.DUMMYFUNCTION("""COMPUTED_VALUE"""),"否")</f>
        <v>否</v>
      </c>
      <c r="Q733" s="30"/>
      <c r="R733" s="22"/>
      <c r="S733" s="22" t="str">
        <f>IFERROR(__xludf.DUMMYFUNCTION("""COMPUTED_VALUE"""),"20230922_集英社_ワークラブバランス")</f>
        <v>20230922_集英社_ワークラブバランス</v>
      </c>
      <c r="T733" s="22" t="str">
        <f>IFERROR(__xludf.DUMMYFUNCTION("""COMPUTED_VALUE"""),"格納済み")</f>
        <v>格納済み</v>
      </c>
      <c r="U733" s="15" t="str">
        <f>IFERROR(__xludf.DUMMYFUNCTION("""COMPUTED_VALUE"""),"（C）安理由香／集英社")</f>
        <v>（C）安理由香／集英社</v>
      </c>
      <c r="V733" s="8" t="str">
        <f>IFERROR(__xludf.DUMMYFUNCTION("""COMPUTED_VALUE"""),"税理士の笛吹美紀は仕事ができてお金もあるうえ美人という人も羨むパーフェクトな女性！　――ただ一つ“男を見る目がない”という弱点を除いては…。金の切れ目が縁の切れ目とばかりに振られ続ける美紀を後輩の幸くんは生温かくフォローしている。そんな美紀が運命の人にめぐり逢った…!?　【MC「ワークラブアンバランス」単行本第1巻を話分割した分冊版です】")</f>
        <v>税理士の笛吹美紀は仕事ができてお金もあるうえ美人という人も羨むパーフェクトな女性！　――ただ一つ“男を見る目がない”という弱点を除いては…。金の切れ目が縁の切れ目とばかりに振られ続ける美紀を後輩の幸くんは生温かくフォローしている。そんな美紀が運命の人にめぐり逢った…!?　【MC「ワークラブアンバランス」単行本第1巻を話分割した分冊版です】</v>
      </c>
      <c r="W733" s="14"/>
      <c r="X733" s="14" t="str">
        <f>IFERROR(__xludf.DUMMYFUNCTION("""COMPUTED_VALUE"""),"有
")</f>
        <v>有
</v>
      </c>
      <c r="Y733" s="8" t="str">
        <f>IFERROR(__xludf.DUMMYFUNCTION("""COMPUTED_VALUE"""),"11/6まで1巻無料")</f>
        <v>11/6まで1巻無料</v>
      </c>
      <c r="Z733" s="7"/>
      <c r="AA733" s="7"/>
      <c r="AB733" s="7"/>
    </row>
    <row r="734" ht="15.75" customHeight="1">
      <c r="A734" s="26">
        <f>IFERROR(__xludf.DUMMYFUNCTION("""COMPUTED_VALUE"""),2421.0)</f>
        <v>2421</v>
      </c>
      <c r="B734" s="22" t="str">
        <f>IFERROR(__xludf.DUMMYFUNCTION("""COMPUTED_VALUE"""),"確定")</f>
        <v>確定</v>
      </c>
      <c r="C734" s="28">
        <f>IFERROR(__xludf.DUMMYFUNCTION("""COMPUTED_VALUE"""),45191.0)</f>
        <v>45191</v>
      </c>
      <c r="D734" s="28">
        <f>IFERROR(__xludf.DUMMYFUNCTION("""COMPUTED_VALUE"""),45194.0)</f>
        <v>45194</v>
      </c>
      <c r="E734" s="31">
        <f>IFERROR(__xludf.DUMMYFUNCTION("""COMPUTED_VALUE"""),279190.0)</f>
        <v>279190</v>
      </c>
      <c r="F734" s="22" t="str">
        <f>IFERROR(__xludf.DUMMYFUNCTION("""COMPUTED_VALUE"""),"拝啓、未来（これから）のヒロインたちへ")</f>
        <v>拝啓、未来（これから）のヒロインたちへ</v>
      </c>
      <c r="G734" s="20" t="str">
        <f>IFERROR(__xludf.DUMMYFUNCTION("""COMPUTED_VALUE"""),"1～3")</f>
        <v>1～3</v>
      </c>
      <c r="H734" s="22" t="str">
        <f>IFERROR(__xludf.DUMMYFUNCTION("""COMPUTED_VALUE"""),"春楡いちる")</f>
        <v>春楡いちる</v>
      </c>
      <c r="I734" s="22" t="str">
        <f>IFERROR(__xludf.DUMMYFUNCTION("""COMPUTED_VALUE"""),"女性")</f>
        <v>女性</v>
      </c>
      <c r="J734" s="22"/>
      <c r="K734" s="22"/>
      <c r="L734" s="22" t="str">
        <f>IFERROR(__xludf.DUMMYFUNCTION("""COMPUTED_VALUE"""),"夢中文庫")</f>
        <v>夢中文庫</v>
      </c>
      <c r="M734" s="23">
        <f>IFERROR(__xludf.DUMMYFUNCTION("""COMPUTED_VALUE"""),45231.0)</f>
        <v>45231</v>
      </c>
      <c r="N734" s="23">
        <f>IFERROR(__xludf.DUMMYFUNCTION("""COMPUTED_VALUE"""),45322.0)</f>
        <v>45322</v>
      </c>
      <c r="O734" s="20"/>
      <c r="P734" s="32" t="str">
        <f>IFERROR(__xludf.DUMMYFUNCTION("""COMPUTED_VALUE"""),"否")</f>
        <v>否</v>
      </c>
      <c r="Q734" s="30"/>
      <c r="R734" s="22"/>
      <c r="S734" s="22" t="str">
        <f>IFERROR(__xludf.DUMMYFUNCTION("""COMPUTED_VALUE"""),"20230922_夢中文庫_11月新作4作品")</f>
        <v>20230922_夢中文庫_11月新作4作品</v>
      </c>
      <c r="T734" s="31" t="str">
        <f>IFERROR(__xludf.DUMMYFUNCTION("""COMPUTED_VALUE"""),"格納済み")</f>
        <v>格納済み</v>
      </c>
      <c r="U734" s="15" t="str">
        <f>IFERROR(__xludf.DUMMYFUNCTION("""COMPUTED_VALUE"""),"(c)春楡いちる/ゆめこみ")</f>
        <v>(c)春楡いちる/ゆめこみ</v>
      </c>
      <c r="V734" s="8" t="str">
        <f>IFERROR(__xludf.DUMMYFUNCTION("""COMPUTED_VALUE"""),"通勤中の駅でおじさんに転ばされたライターの壱華は、イケメンに助けられる。「まるで運命の出会い――」だったはずなのに、イケメンの正体は「気に食わない文章を書くヤツ！」と思っていたwebライターの“四宮楓”だった！しかも新企画のパートナーになってしまい、「やっぱりそんな都合よくいかないんだ…」とその後のパーティーでヤケ酒に溺れる。目が覚めると、なぜか横には裸で寝ている四宮の姿が。
（もしかして私…四宮さんとヤっちゃったの…！？）
ジェンダーやセクシュアリティについて考える、イマドキ女子たちの物語。")</f>
        <v>通勤中の駅でおじさんに転ばされたライターの壱華は、イケメンに助けられる。「まるで運命の出会い――」だったはずなのに、イケメンの正体は「気に食わない文章を書くヤツ！」と思っていたwebライターの“四宮楓”だった！しかも新企画のパートナーになってしまい、「やっぱりそんな都合よくいかないんだ…」とその後のパーティーでヤケ酒に溺れる。目が覚めると、なぜか横には裸で寝ている四宮の姿が。
（もしかして私…四宮さんとヤっちゃったの…！？）
ジェンダーやセクシュアリティについて考える、イマドキ女子たちの物語。</v>
      </c>
      <c r="W734" s="14"/>
      <c r="X734" s="14" t="str">
        <f>IFERROR(__xludf.DUMMYFUNCTION("""COMPUTED_VALUE"""),"有
")</f>
        <v>有
</v>
      </c>
      <c r="Y734" s="8" t="str">
        <f>IFERROR(__xludf.DUMMYFUNCTION("""COMPUTED_VALUE"""),"11/14まで1巻無料")</f>
        <v>11/14まで1巻無料</v>
      </c>
      <c r="Z734" s="7"/>
      <c r="AA734" s="7"/>
      <c r="AB734" s="7"/>
    </row>
    <row r="735" ht="15.75" customHeight="1">
      <c r="A735" s="26">
        <f>IFERROR(__xludf.DUMMYFUNCTION("""COMPUTED_VALUE"""),2422.0)</f>
        <v>2422</v>
      </c>
      <c r="B735" s="22" t="str">
        <f>IFERROR(__xludf.DUMMYFUNCTION("""COMPUTED_VALUE"""),"確定")</f>
        <v>確定</v>
      </c>
      <c r="C735" s="28">
        <f>IFERROR(__xludf.DUMMYFUNCTION("""COMPUTED_VALUE"""),45191.0)</f>
        <v>45191</v>
      </c>
      <c r="D735" s="28">
        <f>IFERROR(__xludf.DUMMYFUNCTION("""COMPUTED_VALUE"""),45194.0)</f>
        <v>45194</v>
      </c>
      <c r="E735" s="31">
        <f>IFERROR(__xludf.DUMMYFUNCTION("""COMPUTED_VALUE"""),279186.0)</f>
        <v>279186</v>
      </c>
      <c r="F735" s="22" t="str">
        <f>IFERROR(__xludf.DUMMYFUNCTION("""COMPUTED_VALUE"""),"じゃじゃ馬令嬢の婚活は前途多難です～辺境伯の筆頭護衛を攻略できません！～")</f>
        <v>じゃじゃ馬令嬢の婚活は前途多難です～辺境伯の筆頭護衛を攻略できません！～</v>
      </c>
      <c r="G735" s="20" t="str">
        <f>IFERROR(__xludf.DUMMYFUNCTION("""COMPUTED_VALUE"""),"1～3")</f>
        <v>1～3</v>
      </c>
      <c r="H735" s="22" t="str">
        <f>IFERROR(__xludf.DUMMYFUNCTION("""COMPUTED_VALUE"""),"著者：藤臣美弥子 原案：香月航")</f>
        <v>著者：藤臣美弥子 原案：香月航</v>
      </c>
      <c r="I735" s="22" t="str">
        <f>IFERROR(__xludf.DUMMYFUNCTION("""COMPUTED_VALUE"""),"女性")</f>
        <v>女性</v>
      </c>
      <c r="J735" s="22"/>
      <c r="K735" s="22"/>
      <c r="L735" s="22" t="str">
        <f>IFERROR(__xludf.DUMMYFUNCTION("""COMPUTED_VALUE"""),"夢中文庫")</f>
        <v>夢中文庫</v>
      </c>
      <c r="M735" s="23">
        <f>IFERROR(__xludf.DUMMYFUNCTION("""COMPUTED_VALUE"""),45231.0)</f>
        <v>45231</v>
      </c>
      <c r="N735" s="23">
        <f>IFERROR(__xludf.DUMMYFUNCTION("""COMPUTED_VALUE"""),45322.0)</f>
        <v>45322</v>
      </c>
      <c r="O735" s="20"/>
      <c r="P735" s="32" t="str">
        <f>IFERROR(__xludf.DUMMYFUNCTION("""COMPUTED_VALUE"""),"否")</f>
        <v>否</v>
      </c>
      <c r="Q735" s="30"/>
      <c r="R735" s="22"/>
      <c r="S735" s="22" t="str">
        <f>IFERROR(__xludf.DUMMYFUNCTION("""COMPUTED_VALUE"""),"20230922_夢中文庫_11月新作4作品")</f>
        <v>20230922_夢中文庫_11月新作4作品</v>
      </c>
      <c r="T735" s="31" t="str">
        <f>IFERROR(__xludf.DUMMYFUNCTION("""COMPUTED_VALUE"""),"格納済み")</f>
        <v>格納済み</v>
      </c>
      <c r="U735" s="15" t="str">
        <f>IFERROR(__xludf.DUMMYFUNCTION("""COMPUTED_VALUE"""),"(c)藤臣美弥子/香月航/ゆめこみ")</f>
        <v>(c)藤臣美弥子/香月航/ゆめこみ</v>
      </c>
      <c r="V735" s="8" t="str">
        <f>IFERROR(__xludf.DUMMYFUNCTION("""COMPUTED_VALUE"""),"大事な社交界デビューの日。伯爵令嬢のカリーナは良縁を求め、いざ会場へ。
頑張ろうと意気込んだ矢先、目の前には階段から落ちそうになっているご令嬢が。
「あぶない！！」
――目覚めたときには舞踏会だけではなく、すべてが終わっていた。
ご令嬢を助けたことにより「じゃじゃ馬」のイメージがついてしまったカリーナは、社交界デビューには失敗、縁談も破談しまくりで、貴族の娘としてはまさに危機的状況。
しかし、助けたご令嬢がそんな状況を申し訳なく思い、縁談を持ちかけてくれる。
条件は「丈夫で健康な女性」"&amp;"。
ふたつ返事で縁談を受けたカリーナは、さっそく辺境伯へ向かうが――？")</f>
        <v>大事な社交界デビューの日。伯爵令嬢のカリーナは良縁を求め、いざ会場へ。
頑張ろうと意気込んだ矢先、目の前には階段から落ちそうになっているご令嬢が。
「あぶない！！」
――目覚めたときには舞踏会だけではなく、すべてが終わっていた。
ご令嬢を助けたことにより「じゃじゃ馬」のイメージがついてしまったカリーナは、社交界デビューには失敗、縁談も破談しまくりで、貴族の娘としてはまさに危機的状況。
しかし、助けたご令嬢がそんな状況を申し訳なく思い、縁談を持ちかけてくれる。
条件は「丈夫で健康な女性」。
ふたつ返事で縁談を受けたカリーナは、さっそく辺境伯へ向かうが――？</v>
      </c>
      <c r="W735" s="14"/>
      <c r="X735" s="14" t="str">
        <f>IFERROR(__xludf.DUMMYFUNCTION("""COMPUTED_VALUE"""),"有
")</f>
        <v>有
</v>
      </c>
      <c r="Y735" s="8" t="str">
        <f>IFERROR(__xludf.DUMMYFUNCTION("""COMPUTED_VALUE"""),"11/14まで1巻無料")</f>
        <v>11/14まで1巻無料</v>
      </c>
      <c r="Z735" s="7"/>
      <c r="AA735" s="7"/>
      <c r="AB735" s="7"/>
    </row>
    <row r="736" ht="15.75" customHeight="1">
      <c r="A736" s="26">
        <f>IFERROR(__xludf.DUMMYFUNCTION("""COMPUTED_VALUE"""),2423.0)</f>
        <v>2423</v>
      </c>
      <c r="B736" s="22" t="str">
        <f>IFERROR(__xludf.DUMMYFUNCTION("""COMPUTED_VALUE"""),"確定")</f>
        <v>確定</v>
      </c>
      <c r="C736" s="28">
        <f>IFERROR(__xludf.DUMMYFUNCTION("""COMPUTED_VALUE"""),45191.0)</f>
        <v>45191</v>
      </c>
      <c r="D736" s="28">
        <f>IFERROR(__xludf.DUMMYFUNCTION("""COMPUTED_VALUE"""),45194.0)</f>
        <v>45194</v>
      </c>
      <c r="E736" s="31">
        <f>IFERROR(__xludf.DUMMYFUNCTION("""COMPUTED_VALUE"""),279188.0)</f>
        <v>279188</v>
      </c>
      <c r="F736" s="22" t="str">
        <f>IFERROR(__xludf.DUMMYFUNCTION("""COMPUTED_VALUE"""),"家に帰ると上司（霊）がいます")</f>
        <v>家に帰ると上司（霊）がいます</v>
      </c>
      <c r="G736" s="20" t="str">
        <f>IFERROR(__xludf.DUMMYFUNCTION("""COMPUTED_VALUE"""),"1～3")</f>
        <v>1～3</v>
      </c>
      <c r="H736" s="22" t="str">
        <f>IFERROR(__xludf.DUMMYFUNCTION("""COMPUTED_VALUE"""),"かすがはるひ")</f>
        <v>かすがはるひ</v>
      </c>
      <c r="I736" s="22" t="str">
        <f>IFERROR(__xludf.DUMMYFUNCTION("""COMPUTED_VALUE"""),"女性")</f>
        <v>女性</v>
      </c>
      <c r="J736" s="22"/>
      <c r="K736" s="22"/>
      <c r="L736" s="22" t="str">
        <f>IFERROR(__xludf.DUMMYFUNCTION("""COMPUTED_VALUE"""),"夢中文庫")</f>
        <v>夢中文庫</v>
      </c>
      <c r="M736" s="23">
        <f>IFERROR(__xludf.DUMMYFUNCTION("""COMPUTED_VALUE"""),45231.0)</f>
        <v>45231</v>
      </c>
      <c r="N736" s="23">
        <f>IFERROR(__xludf.DUMMYFUNCTION("""COMPUTED_VALUE"""),45322.0)</f>
        <v>45322</v>
      </c>
      <c r="O736" s="20"/>
      <c r="P736" s="32" t="str">
        <f>IFERROR(__xludf.DUMMYFUNCTION("""COMPUTED_VALUE"""),"否")</f>
        <v>否</v>
      </c>
      <c r="Q736" s="30"/>
      <c r="R736" s="22"/>
      <c r="S736" s="22" t="str">
        <f>IFERROR(__xludf.DUMMYFUNCTION("""COMPUTED_VALUE"""),"20230922_夢中文庫_11月新作4作品")</f>
        <v>20230922_夢中文庫_11月新作4作品</v>
      </c>
      <c r="T736" s="31" t="str">
        <f>IFERROR(__xludf.DUMMYFUNCTION("""COMPUTED_VALUE"""),"格納済み")</f>
        <v>格納済み</v>
      </c>
      <c r="U736" s="15" t="str">
        <f>IFERROR(__xludf.DUMMYFUNCTION("""COMPUTED_VALUE"""),"(c)かすがはるひ/ゆめこみ")</f>
        <v>(c)かすがはるひ/ゆめこみ</v>
      </c>
      <c r="V736" s="8" t="str">
        <f>IFERROR(__xludf.DUMMYFUNCTION("""COMPUTED_VALUE"""),"彼氏いない歴＝年齢のまひろが拾ったのは、上司の寒野が落としたクマのぬいぐるみ“まゆベア”。ふたりとも“まゆベア”好きということが分かり、いつもは恐い顔の寒野も笑顔を見せ、思わずドキッとするまひろ。しかし数日後“まゆベア”がゴミ箱に捨てられていることに気づく。大事そうにしていた寒野を思い出し、後日返そうと家に持ち帰ることに。
翌日、目が覚めるとなぜか目の前に寒野の姿が。
「なんで私の家に！？あれ…？でも透けてる！？もしかして幽霊？」と詰め寄るが、寒野によればなぜか外へは出られないらしい。……ということは"&amp;"、私、これから上司(霊)と同居するってこと！？
どうなっちゃうの――！？")</f>
        <v>彼氏いない歴＝年齢のまひろが拾ったのは、上司の寒野が落としたクマのぬいぐるみ“まゆベア”。ふたりとも“まゆベア”好きということが分かり、いつもは恐い顔の寒野も笑顔を見せ、思わずドキッとするまひろ。しかし数日後“まゆベア”がゴミ箱に捨てられていることに気づく。大事そうにしていた寒野を思い出し、後日返そうと家に持ち帰ることに。
翌日、目が覚めるとなぜか目の前に寒野の姿が。
「なんで私の家に！？あれ…？でも透けてる！？もしかして幽霊？」と詰め寄るが、寒野によればなぜか外へは出られないらしい。……ということは、私、これから上司(霊)と同居するってこと！？
どうなっちゃうの――！？</v>
      </c>
      <c r="W736" s="14"/>
      <c r="X736" s="14" t="str">
        <f>IFERROR(__xludf.DUMMYFUNCTION("""COMPUTED_VALUE"""),"有
")</f>
        <v>有
</v>
      </c>
      <c r="Y736" s="8" t="str">
        <f>IFERROR(__xludf.DUMMYFUNCTION("""COMPUTED_VALUE"""),"11/14まで1巻無料")</f>
        <v>11/14まで1巻無料</v>
      </c>
      <c r="Z736" s="7"/>
      <c r="AA736" s="7"/>
      <c r="AB736" s="7"/>
    </row>
    <row r="737" ht="15.75" customHeight="1">
      <c r="A737" s="26">
        <f>IFERROR(__xludf.DUMMYFUNCTION("""COMPUTED_VALUE"""),2424.0)</f>
        <v>2424</v>
      </c>
      <c r="B737" s="22" t="str">
        <f>IFERROR(__xludf.DUMMYFUNCTION("""COMPUTED_VALUE"""),"確定")</f>
        <v>確定</v>
      </c>
      <c r="C737" s="28">
        <f>IFERROR(__xludf.DUMMYFUNCTION("""COMPUTED_VALUE"""),45191.0)</f>
        <v>45191</v>
      </c>
      <c r="D737" s="28">
        <f>IFERROR(__xludf.DUMMYFUNCTION("""COMPUTED_VALUE"""),45194.0)</f>
        <v>45194</v>
      </c>
      <c r="E737" s="31">
        <f>IFERROR(__xludf.DUMMYFUNCTION("""COMPUTED_VALUE"""),279187.0)</f>
        <v>279187</v>
      </c>
      <c r="F737" s="22" t="str">
        <f>IFERROR(__xludf.DUMMYFUNCTION("""COMPUTED_VALUE"""),"冷徹将軍の熱すぎる愛に寒がりメイドは戸惑い中")</f>
        <v>冷徹将軍の熱すぎる愛に寒がりメイドは戸惑い中</v>
      </c>
      <c r="G737" s="20" t="str">
        <f>IFERROR(__xludf.DUMMYFUNCTION("""COMPUTED_VALUE"""),"1～3")</f>
        <v>1～3</v>
      </c>
      <c r="H737" s="22" t="str">
        <f>IFERROR(__xludf.DUMMYFUNCTION("""COMPUTED_VALUE"""),"著者：板東いるか 原作者：こいなだ陽日")</f>
        <v>著者：板東いるか 原作者：こいなだ陽日</v>
      </c>
      <c r="I737" s="22" t="str">
        <f>IFERROR(__xludf.DUMMYFUNCTION("""COMPUTED_VALUE"""),"女性")</f>
        <v>女性</v>
      </c>
      <c r="J737" s="22"/>
      <c r="K737" s="22"/>
      <c r="L737" s="22" t="str">
        <f>IFERROR(__xludf.DUMMYFUNCTION("""COMPUTED_VALUE"""),"夢中文庫")</f>
        <v>夢中文庫</v>
      </c>
      <c r="M737" s="23">
        <f>IFERROR(__xludf.DUMMYFUNCTION("""COMPUTED_VALUE"""),45231.0)</f>
        <v>45231</v>
      </c>
      <c r="N737" s="23">
        <f>IFERROR(__xludf.DUMMYFUNCTION("""COMPUTED_VALUE"""),45322.0)</f>
        <v>45322</v>
      </c>
      <c r="O737" s="20"/>
      <c r="P737" s="32" t="str">
        <f>IFERROR(__xludf.DUMMYFUNCTION("""COMPUTED_VALUE"""),"否")</f>
        <v>否</v>
      </c>
      <c r="Q737" s="30"/>
      <c r="R737" s="22"/>
      <c r="S737" s="22" t="str">
        <f>IFERROR(__xludf.DUMMYFUNCTION("""COMPUTED_VALUE"""),"20230922_夢中文庫_11月新作4作品")</f>
        <v>20230922_夢中文庫_11月新作4作品</v>
      </c>
      <c r="T737" s="31" t="str">
        <f>IFERROR(__xludf.DUMMYFUNCTION("""COMPUTED_VALUE"""),"格納済み")</f>
        <v>格納済み</v>
      </c>
      <c r="U737" s="15" t="str">
        <f>IFERROR(__xludf.DUMMYFUNCTION("""COMPUTED_VALUE"""),"(c)板東いるか/こいなだ陽日/ゆめこみ")</f>
        <v>(c)板東いるか/こいなだ陽日/ゆめこみ</v>
      </c>
      <c r="V737" s="8" t="str">
        <f>IFERROR(__xludf.DUMMYFUNCTION("""COMPUTED_VALUE"""),"王妃たちやその子どもたちが暮らす後宮。
そこで働けるのは、経験を積んだベテランや口の堅い有能なメイドだけ。
後宮メイドのフィーナは寒がりで、いつも媚薬を飲んで体を温めていた。後宮で５年勤め、念願の温暖な地に異動が決定！
と思ったら、そこは「冷徹将軍」と恐れられるシルヴェリオが治める南の砦。彼の第一印象は尊大で最悪…。けれど、後宮でのスキルを発揮するフィーナにシルヴェリオも一目置くようになる。ある日フィーナの部屋を訪れた彼は、間違えて彼女の愛飲する媚薬を飲んでしまう。火照りと熱い昂ぶりに襲われるシルヴ"&amp;"ェリオを見かねたフィーナはそれを鎮めるが、以来彼のフィーナへの独占欲が露骨になって…。")</f>
        <v>王妃たちやその子どもたちが暮らす後宮。
そこで働けるのは、経験を積んだベテランや口の堅い有能なメイドだけ。
後宮メイドのフィーナは寒がりで、いつも媚薬を飲んで体を温めていた。後宮で５年勤め、念願の温暖な地に異動が決定！
と思ったら、そこは「冷徹将軍」と恐れられるシルヴェリオが治める南の砦。彼の第一印象は尊大で最悪…。けれど、後宮でのスキルを発揮するフィーナにシルヴェリオも一目置くようになる。ある日フィーナの部屋を訪れた彼は、間違えて彼女の愛飲する媚薬を飲んでしまう。火照りと熱い昂ぶりに襲われるシルヴェリオを見かねたフィーナはそれを鎮めるが、以来彼のフィーナへの独占欲が露骨になって…。</v>
      </c>
      <c r="W737" s="14"/>
      <c r="X737" s="14" t="str">
        <f>IFERROR(__xludf.DUMMYFUNCTION("""COMPUTED_VALUE"""),"有
")</f>
        <v>有
</v>
      </c>
      <c r="Y737" s="8" t="str">
        <f>IFERROR(__xludf.DUMMYFUNCTION("""COMPUTED_VALUE"""),"11/14まで1巻無料")</f>
        <v>11/14まで1巻無料</v>
      </c>
      <c r="Z737" s="7"/>
      <c r="AA737" s="7"/>
      <c r="AB737" s="7"/>
    </row>
    <row r="738" ht="15.75" customHeight="1">
      <c r="A738" s="26">
        <f>IFERROR(__xludf.DUMMYFUNCTION("""COMPUTED_VALUE"""),2425.0)</f>
        <v>2425</v>
      </c>
      <c r="B738" s="22" t="str">
        <f>IFERROR(__xludf.DUMMYFUNCTION("""COMPUTED_VALUE"""),"確定")</f>
        <v>確定</v>
      </c>
      <c r="C738" s="28">
        <f>IFERROR(__xludf.DUMMYFUNCTION("""COMPUTED_VALUE"""),45191.0)</f>
        <v>45191</v>
      </c>
      <c r="D738" s="28">
        <f>IFERROR(__xludf.DUMMYFUNCTION("""COMPUTED_VALUE"""),45196.0)</f>
        <v>45196</v>
      </c>
      <c r="E738" s="31">
        <f>IFERROR(__xludf.DUMMYFUNCTION("""COMPUTED_VALUE"""),278814.0)</f>
        <v>278814</v>
      </c>
      <c r="F738" s="22" t="str">
        <f>IFERROR(__xludf.DUMMYFUNCTION("""COMPUTED_VALUE"""),"Berry’sFantasy捨てられ令嬢は、獣な次期国王に溺愛される")</f>
        <v>Berry’sFantasy捨てられ令嬢は、獣な次期国王に溺愛される</v>
      </c>
      <c r="G738" s="20" t="str">
        <f>IFERROR(__xludf.DUMMYFUNCTION("""COMPUTED_VALUE"""),"1～3")</f>
        <v>1～3</v>
      </c>
      <c r="H738" s="22" t="str">
        <f>IFERROR(__xludf.DUMMYFUNCTION("""COMPUTED_VALUE"""),"柚葵ゆゆ（作画）、朧月あき（原作）")</f>
        <v>柚葵ゆゆ（作画）、朧月あき（原作）</v>
      </c>
      <c r="I738" s="22" t="str">
        <f>IFERROR(__xludf.DUMMYFUNCTION("""COMPUTED_VALUE"""),"女性")</f>
        <v>女性</v>
      </c>
      <c r="J738" s="22"/>
      <c r="K738" s="22"/>
      <c r="L738" s="22" t="str">
        <f>IFERROR(__xludf.DUMMYFUNCTION("""COMPUTED_VALUE"""),"スターツ出版")</f>
        <v>スターツ出版</v>
      </c>
      <c r="M738" s="23">
        <f>IFERROR(__xludf.DUMMYFUNCTION("""COMPUTED_VALUE"""),45226.0)</f>
        <v>45226</v>
      </c>
      <c r="N738" s="23">
        <f>IFERROR(__xludf.DUMMYFUNCTION("""COMPUTED_VALUE"""),45281.0)</f>
        <v>45281</v>
      </c>
      <c r="O738" s="20"/>
      <c r="P738" s="32" t="str">
        <f>IFERROR(__xludf.DUMMYFUNCTION("""COMPUTED_VALUE"""),"否")</f>
        <v>否</v>
      </c>
      <c r="Q738" s="30"/>
      <c r="R738" s="22"/>
      <c r="S738" s="22" t="str">
        <f>IFERROR(__xludf.DUMMYFUNCTION("""COMPUTED_VALUE"""),"20230926_スターツ出版_捨てられ令嬢は、獣な次期国王に溺愛される")</f>
        <v>20230926_スターツ出版_捨てられ令嬢は、獣な次期国王に溺愛される</v>
      </c>
      <c r="T738" s="22" t="str">
        <f>IFERROR(__xludf.DUMMYFUNCTION("""COMPUTED_VALUE"""),"格納済み")</f>
        <v>格納済み</v>
      </c>
      <c r="U738" s="15" t="str">
        <f>IFERROR(__xludf.DUMMYFUNCTION("""COMPUTED_VALUE"""),"（C）Yuyu Yuzuki・Aki Oboroduki/スターツ出版")</f>
        <v>（C）Yuyu Yuzuki・Aki Oboroduki/スターツ出版</v>
      </c>
      <c r="V738" s="8" t="str">
        <f>IFERROR(__xludf.DUMMYFUNCTION("""COMPUTED_VALUE"""),"妾の子として虐げられてきたアメリ。彼女は家族に押し付けられる形で、”顔が醜く冷酷”だと噂されている王太子・カイルのもとに嫁ぐことに。
現れたカイルはローブで素顔を隠し、冷たい言葉でアメリを拒絶する。そんな様子にアメリは恐れ戸惑うものの、垣間見える彼の不器用な優しさに次第に惹かれていき…。
一方でカイルもまた、アメリの真っ直ぐな態度に惹かれていく。アメリの言葉はカイルの凍った心を解きほぐし、カイルはアメリに対して独占欲まで感じるようになり…!?
虐げられてきた不遇な令嬢と、秘密を抱える孤独な王太子"&amp;"。
二人の甘くて不器用な恋を描く、溺愛ドラマティック・ラブストーリー開幕！(この作品は電子コミック誌Berry’s Fantasy Vol.43に収録しております。重複購入にご注意ください)")</f>
        <v>妾の子として虐げられてきたアメリ。彼女は家族に押し付けられる形で、”顔が醜く冷酷”だと噂されている王太子・カイルのもとに嫁ぐことに。
現れたカイルはローブで素顔を隠し、冷たい言葉でアメリを拒絶する。そんな様子にアメリは恐れ戸惑うものの、垣間見える彼の不器用な優しさに次第に惹かれていき…。
一方でカイルもまた、アメリの真っ直ぐな態度に惹かれていく。アメリの言葉はカイルの凍った心を解きほぐし、カイルはアメリに対して独占欲まで感じるようになり…!?
虐げられてきた不遇な令嬢と、秘密を抱える孤独な王太子。
二人の甘くて不器用な恋を描く、溺愛ドラマティック・ラブストーリー開幕！(この作品は電子コミック誌Berry’s Fantasy Vol.43に収録しております。重複購入にご注意ください)</v>
      </c>
      <c r="W738" s="14"/>
      <c r="X738" s="14" t="str">
        <f>IFERROR(__xludf.DUMMYFUNCTION("""COMPUTED_VALUE"""),"有
")</f>
        <v>有
</v>
      </c>
      <c r="Y738" s="8" t="str">
        <f>IFERROR(__xludf.DUMMYFUNCTION("""COMPUTED_VALUE"""),"12/21まで1巻無料")</f>
        <v>12/21まで1巻無料</v>
      </c>
      <c r="Z738" s="7"/>
      <c r="AA738" s="7"/>
      <c r="AB738" s="7"/>
    </row>
    <row r="739" ht="111.0" customHeight="1">
      <c r="A739" s="26">
        <f>IFERROR(__xludf.DUMMYFUNCTION("""COMPUTED_VALUE"""),2428.0)</f>
        <v>2428</v>
      </c>
      <c r="B739" s="22" t="str">
        <f>IFERROR(__xludf.DUMMYFUNCTION("""COMPUTED_VALUE"""),"確定")</f>
        <v>確定</v>
      </c>
      <c r="C739" s="28">
        <f>IFERROR(__xludf.DUMMYFUNCTION("""COMPUTED_VALUE"""),45194.0)</f>
        <v>45194</v>
      </c>
      <c r="D739" s="28">
        <f>IFERROR(__xludf.DUMMYFUNCTION("""COMPUTED_VALUE"""),45195.0)</f>
        <v>45195</v>
      </c>
      <c r="E739" s="31">
        <f>IFERROR(__xludf.DUMMYFUNCTION("""COMPUTED_VALUE"""),279622.0)</f>
        <v>279622</v>
      </c>
      <c r="F739" s="22" t="str">
        <f>IFERROR(__xludf.DUMMYFUNCTION("""COMPUTED_VALUE"""),"アングリー・ベア～悪徳サークル熊害事件～")</f>
        <v>アングリー・ベア～悪徳サークル熊害事件～</v>
      </c>
      <c r="G739" s="11" t="str">
        <f>IFERROR(__xludf.DUMMYFUNCTION("""COMPUTED_VALUE"""),"1～4")</f>
        <v>1～4</v>
      </c>
      <c r="H739" s="22" t="str">
        <f>IFERROR(__xludf.DUMMYFUNCTION("""COMPUTED_VALUE"""),"樹生ナト")</f>
        <v>樹生ナト</v>
      </c>
      <c r="I739" s="22" t="str">
        <f>IFERROR(__xludf.DUMMYFUNCTION("""COMPUTED_VALUE"""),"青年")</f>
        <v>青年</v>
      </c>
      <c r="J739" s="22"/>
      <c r="K739" s="22"/>
      <c r="L739" s="22" t="str">
        <f>IFERROR(__xludf.DUMMYFUNCTION("""COMPUTED_VALUE"""),"ファンギルド")</f>
        <v>ファンギルド</v>
      </c>
      <c r="M739" s="23">
        <f>IFERROR(__xludf.DUMMYFUNCTION("""COMPUTED_VALUE"""),45241.0)</f>
        <v>45241</v>
      </c>
      <c r="N739" s="23">
        <f>IFERROR(__xludf.DUMMYFUNCTION("""COMPUTED_VALUE"""),45331.0)</f>
        <v>45331</v>
      </c>
      <c r="O739" s="20"/>
      <c r="P739" s="29" t="str">
        <f>IFERROR(__xludf.DUMMYFUNCTION("""COMPUTED_VALUE"""),"可")</f>
        <v>可</v>
      </c>
      <c r="Q739" s="30" t="str">
        <f>IFERROR(__xludf.DUMMYFUNCTION("""COMPUTED_VALUE"""),"協業レーベル『シーモア×コミックアウル』作品です。&lt;BR&gt;4巻の素材待ちです。")</f>
        <v>協業レーベル『シーモア×コミックアウル』作品です。&lt;BR&gt;4巻の素材待ちです。</v>
      </c>
      <c r="R739" s="22"/>
      <c r="S739" s="22" t="str">
        <f>IFERROR(__xludf.DUMMYFUNCTION("""COMPUTED_VALUE"""),"20230925_ファンギルド_アングリー・ベア～悪徳サークル熊害事件～")</f>
        <v>20230925_ファンギルド_アングリー・ベア～悪徳サークル熊害事件～</v>
      </c>
      <c r="T739" s="22" t="str">
        <f>IFERROR(__xludf.DUMMYFUNCTION("""COMPUTED_VALUE"""),"1~3巻格納済(9/26)")</f>
        <v>1~3巻格納済(9/26)</v>
      </c>
      <c r="U739" s="15" t="str">
        <f>IFERROR(__xludf.DUMMYFUNCTION("""COMPUTED_VALUE"""),"Ⓒ樹生ナト/ファンギルド")</f>
        <v>Ⓒ樹生ナト/ファンギルド</v>
      </c>
      <c r="V739" s="8" t="str">
        <f>IFERROR(__xludf.DUMMYFUNCTION("""COMPUTED_VALUE"""),"北海道へ旅行にやって来た大学生7人組。主人公の森下登（もりしたのぼる）は、グループの中で陰湿ないじめを受けていた。だんだんエスカレートしていく暴力。登が限界を感じたその時、冬眠から目覚めた巨大ヒグマが現れた……!!　恐怖のどん底に突き落とされるいじめっ子たち。狙われたら最後、怒り荒ぶるヒグマからは誰一人逃れられない!!　自然界から罰を下す爽快パニックホラー!!")</f>
        <v>北海道へ旅行にやって来た大学生7人組。主人公の森下登（もりしたのぼる）は、グループの中で陰湿ないじめを受けていた。だんだんエスカレートしていく暴力。登が限界を感じたその時、冬眠から目覚めた巨大ヒグマが現れた……!!　恐怖のどん底に突き落とされるいじめっ子たち。狙われたら最後、怒り荒ぶるヒグマからは誰一人逃れられない!!　自然界から罰を下す爽快パニックホラー!!</v>
      </c>
      <c r="W739" s="14"/>
      <c r="X739" s="14" t="str">
        <f>IFERROR(__xludf.DUMMYFUNCTION("""COMPUTED_VALUE"""),"有
")</f>
        <v>有
</v>
      </c>
      <c r="Y739" s="8" t="str">
        <f>IFERROR(__xludf.DUMMYFUNCTION("""COMPUTED_VALUE"""),"P7まで")</f>
        <v>P7まで</v>
      </c>
      <c r="Z739" s="7"/>
      <c r="AA739" s="7"/>
      <c r="AB739" s="7"/>
    </row>
    <row r="740" ht="124.5" customHeight="1">
      <c r="A740" s="26">
        <f>IFERROR(__xludf.DUMMYFUNCTION("""COMPUTED_VALUE"""),2429.0)</f>
        <v>2429</v>
      </c>
      <c r="B740" s="22" t="str">
        <f>IFERROR(__xludf.DUMMYFUNCTION("""COMPUTED_VALUE"""),"確定")</f>
        <v>確定</v>
      </c>
      <c r="C740" s="28">
        <f>IFERROR(__xludf.DUMMYFUNCTION("""COMPUTED_VALUE"""),45194.0)</f>
        <v>45194</v>
      </c>
      <c r="D740" s="28">
        <f>IFERROR(__xludf.DUMMYFUNCTION("""COMPUTED_VALUE"""),45195.0)</f>
        <v>45195</v>
      </c>
      <c r="E740" s="31">
        <f>IFERROR(__xludf.DUMMYFUNCTION("""COMPUTED_VALUE"""),279381.0)</f>
        <v>279381</v>
      </c>
      <c r="F740" s="22" t="str">
        <f>IFERROR(__xludf.DUMMYFUNCTION("""COMPUTED_VALUE"""),"触ってほしい顔してたのに～貧乳ＯＬと癖あり男子")</f>
        <v>触ってほしい顔してたのに～貧乳ＯＬと癖あり男子</v>
      </c>
      <c r="G740" s="20" t="str">
        <f>IFERROR(__xludf.DUMMYFUNCTION("""COMPUTED_VALUE"""),"1~5")</f>
        <v>1~5</v>
      </c>
      <c r="H740" s="22" t="str">
        <f>IFERROR(__xludf.DUMMYFUNCTION("""COMPUTED_VALUE"""),"日咲")</f>
        <v>日咲</v>
      </c>
      <c r="I740" s="22" t="str">
        <f>IFERROR(__xludf.DUMMYFUNCTION("""COMPUTED_VALUE"""),"女性")</f>
        <v>女性</v>
      </c>
      <c r="J740" s="22"/>
      <c r="K740" s="22"/>
      <c r="L740" s="22" t="str">
        <f>IFERROR(__xludf.DUMMYFUNCTION("""COMPUTED_VALUE"""),"ファンギルド")</f>
        <v>ファンギルド</v>
      </c>
      <c r="M740" s="23">
        <f>IFERROR(__xludf.DUMMYFUNCTION("""COMPUTED_VALUE"""),45238.0)</f>
        <v>45238</v>
      </c>
      <c r="N740" s="23">
        <f>IFERROR(__xludf.DUMMYFUNCTION("""COMPUTED_VALUE"""),45272.0)</f>
        <v>45272</v>
      </c>
      <c r="O740" s="20"/>
      <c r="P740" s="32" t="str">
        <f>IFERROR(__xludf.DUMMYFUNCTION("""COMPUTED_VALUE"""),"可")</f>
        <v>可</v>
      </c>
      <c r="Q740" s="30"/>
      <c r="R740" s="22"/>
      <c r="S740" s="22" t="str">
        <f>IFERROR(__xludf.DUMMYFUNCTION("""COMPUTED_VALUE"""),"20230925_ファンギルド_触ってほしい顔してたのに～貧乳OLと癖あり男子")</f>
        <v>20230925_ファンギルド_触ってほしい顔してたのに～貧乳OLと癖あり男子</v>
      </c>
      <c r="T740" s="22" t="str">
        <f>IFERROR(__xludf.DUMMYFUNCTION("""COMPUTED_VALUE"""),"格納済み")</f>
        <v>格納済み</v>
      </c>
      <c r="U740" s="15" t="str">
        <f>IFERROR(__xludf.DUMMYFUNCTION("""COMPUTED_VALUE"""),"Ⓒ日咲/ファンギルド")</f>
        <v>Ⓒ日咲/ファンギルド</v>
      </c>
      <c r="V740" s="8" t="str">
        <f>IFERROR(__xludf.DUMMYFUNCTION("""COMPUTED_VALUE"""),"世の女性が胸に自信をもってもらえるように――。貧乳がコンプレックスの仁科美子は、自分と同じ『胸に自信がない』女性たちの悩みを解消したく下着メーカーに勤務。ある日、憧れの有名ランジェリーデザイナー・アルトと一緒に仕事することに…！しかしそのデザイナーの正体は…「下着のこと、なんもわかってないんすね、B子さん。」年下の男で、しかも癖が強い…！！？")</f>
        <v>世の女性が胸に自信をもってもらえるように――。貧乳がコンプレックスの仁科美子は、自分と同じ『胸に自信がない』女性たちの悩みを解消したく下着メーカーに勤務。ある日、憧れの有名ランジェリーデザイナー・アルトと一緒に仕事することに…！しかしそのデザイナーの正体は…「下着のこと、なんもわかってないんすね、B子さん。」年下の男で、しかも癖が強い…！！？</v>
      </c>
      <c r="W740" s="14"/>
      <c r="X740" s="14" t="str">
        <f>IFERROR(__xludf.DUMMYFUNCTION("""COMPUTED_VALUE"""),"有
")</f>
        <v>有
</v>
      </c>
      <c r="Y740" s="8" t="str">
        <f>IFERROR(__xludf.DUMMYFUNCTION("""COMPUTED_VALUE"""),"11/21まで1巻無料")</f>
        <v>11/21まで1巻無料</v>
      </c>
      <c r="Z740" s="7"/>
      <c r="AA740" s="7"/>
      <c r="AB740" s="7"/>
    </row>
    <row r="741" ht="15.75" customHeight="1">
      <c r="A741" s="26">
        <f>IFERROR(__xludf.DUMMYFUNCTION("""COMPUTED_VALUE"""),2430.0)</f>
        <v>2430</v>
      </c>
      <c r="B741" s="22" t="str">
        <f>IFERROR(__xludf.DUMMYFUNCTION("""COMPUTED_VALUE"""),"確定")</f>
        <v>確定</v>
      </c>
      <c r="C741" s="28">
        <f>IFERROR(__xludf.DUMMYFUNCTION("""COMPUTED_VALUE"""),45194.0)</f>
        <v>45194</v>
      </c>
      <c r="D741" s="28">
        <f>IFERROR(__xludf.DUMMYFUNCTION("""COMPUTED_VALUE"""),45195.0)</f>
        <v>45195</v>
      </c>
      <c r="E741" s="31">
        <f>IFERROR(__xludf.DUMMYFUNCTION("""COMPUTED_VALUE"""),279383.0)</f>
        <v>279383</v>
      </c>
      <c r="F741" s="22" t="str">
        <f>IFERROR(__xludf.DUMMYFUNCTION("""COMPUTED_VALUE"""),"元教え子たちがエロすぎる")</f>
        <v>元教え子たちがエロすぎる</v>
      </c>
      <c r="G741" s="20" t="str">
        <f>IFERROR(__xludf.DUMMYFUNCTION("""COMPUTED_VALUE"""),"1～3")</f>
        <v>1～3</v>
      </c>
      <c r="H741" s="22" t="str">
        <f>IFERROR(__xludf.DUMMYFUNCTION("""COMPUTED_VALUE"""),"Arsene/onjeom")</f>
        <v>Arsene/onjeom</v>
      </c>
      <c r="I741" s="22" t="str">
        <f>IFERROR(__xludf.DUMMYFUNCTION("""COMPUTED_VALUE"""),"青年")</f>
        <v>青年</v>
      </c>
      <c r="J741" s="22"/>
      <c r="K741" s="22"/>
      <c r="L741" s="22" t="str">
        <f>IFERROR(__xludf.DUMMYFUNCTION("""COMPUTED_VALUE"""),"Rush!")</f>
        <v>Rush!</v>
      </c>
      <c r="M741" s="23">
        <f>IFERROR(__xludf.DUMMYFUNCTION("""COMPUTED_VALUE"""),45238.0)</f>
        <v>45238</v>
      </c>
      <c r="N741" s="23">
        <f>IFERROR(__xludf.DUMMYFUNCTION("""COMPUTED_VALUE"""),45265.0)</f>
        <v>45265</v>
      </c>
      <c r="O741" s="20"/>
      <c r="P741" s="32" t="str">
        <f>IFERROR(__xludf.DUMMYFUNCTION("""COMPUTED_VALUE"""),"可")</f>
        <v>可</v>
      </c>
      <c r="Q741" s="30"/>
      <c r="R741" s="22"/>
      <c r="S741" s="22" t="str">
        <f>IFERROR(__xludf.DUMMYFUNCTION("""COMPUTED_VALUE"""),"20230925_ファンギルド_元教え子たちがエロすぎる")</f>
        <v>20230925_ファンギルド_元教え子たちがエロすぎる</v>
      </c>
      <c r="T741" s="22" t="str">
        <f>IFERROR(__xludf.DUMMYFUNCTION("""COMPUTED_VALUE"""),"格納済み")</f>
        <v>格納済み</v>
      </c>
      <c r="U741" s="15" t="str">
        <f>IFERROR(__xludf.DUMMYFUNCTION("""COMPUTED_VALUE"""),"©Arsene/onjeom/TOPTOON")</f>
        <v>©Arsene/onjeom/TOPTOON</v>
      </c>
      <c r="V741" s="8" t="str">
        <f>IFERROR(__xludf.DUMMYFUNCTION("""COMPUTED_VALUE"""),"高校教師の弓倉は正義感が強く生徒からも慕われていたが、教え子を助けた際のトラブルで援助交際の疑惑をかけられ、高校をクビになってしまう。それから一年…いまだに過去のトラウマを抱えて生きていた。そんなある日、痴漢に襲われる女性を目にする。見過ごせずに助けに入るが…偶然居合わせたかつての教え子・愛良に痴漢だと誤解をされてしまった。その後、誤解だと気づいた愛良は弓倉の自宅に押しかけ、何故か積極的に迫ってきて――！教師と生徒――絶対不可侵だった大きな壁が無くなり元教え子たちは…エロくなる！？")</f>
        <v>高校教師の弓倉は正義感が強く生徒からも慕われていたが、教え子を助けた際のトラブルで援助交際の疑惑をかけられ、高校をクビになってしまう。それから一年…いまだに過去のトラウマを抱えて生きていた。そんなある日、痴漢に襲われる女性を目にする。見過ごせずに助けに入るが…偶然居合わせたかつての教え子・愛良に痴漢だと誤解をされてしまった。その後、誤解だと気づいた愛良は弓倉の自宅に押しかけ、何故か積極的に迫ってきて――！教師と生徒――絶対不可侵だった大きな壁が無くなり元教え子たちは…エロくなる！？</v>
      </c>
      <c r="W741" s="14"/>
      <c r="X741" s="14" t="str">
        <f>IFERROR(__xludf.DUMMYFUNCTION("""COMPUTED_VALUE"""),"有
")</f>
        <v>有
</v>
      </c>
      <c r="Y741" s="8" t="str">
        <f>IFERROR(__xludf.DUMMYFUNCTION("""COMPUTED_VALUE"""),"P18まで")</f>
        <v>P18まで</v>
      </c>
      <c r="Z741" s="7"/>
      <c r="AA741" s="7"/>
      <c r="AB741" s="7"/>
    </row>
    <row r="742" ht="105.75" customHeight="1">
      <c r="A742" s="26">
        <f>IFERROR(__xludf.DUMMYFUNCTION("""COMPUTED_VALUE"""),2431.0)</f>
        <v>2431</v>
      </c>
      <c r="B742" s="22" t="str">
        <f>IFERROR(__xludf.DUMMYFUNCTION("""COMPUTED_VALUE"""),"確定")</f>
        <v>確定</v>
      </c>
      <c r="C742" s="28">
        <f>IFERROR(__xludf.DUMMYFUNCTION("""COMPUTED_VALUE"""),45194.0)</f>
        <v>45194</v>
      </c>
      <c r="D742" s="28">
        <f>IFERROR(__xludf.DUMMYFUNCTION("""COMPUTED_VALUE"""),45195.0)</f>
        <v>45195</v>
      </c>
      <c r="E742" s="31">
        <f>IFERROR(__xludf.DUMMYFUNCTION("""COMPUTED_VALUE"""),279382.0)</f>
        <v>279382</v>
      </c>
      <c r="F742" s="22" t="str">
        <f>IFERROR(__xludf.DUMMYFUNCTION("""COMPUTED_VALUE"""),"わたしの隣のヤンデレくん")</f>
        <v>わたしの隣のヤンデレくん</v>
      </c>
      <c r="G742" s="11" t="str">
        <f>IFERROR(__xludf.DUMMYFUNCTION("""COMPUTED_VALUE"""),"1～4")</f>
        <v>1～4</v>
      </c>
      <c r="H742" s="22" t="str">
        <f>IFERROR(__xludf.DUMMYFUNCTION("""COMPUTED_VALUE"""),"杏蜜")</f>
        <v>杏蜜</v>
      </c>
      <c r="I742" s="22" t="str">
        <f>IFERROR(__xludf.DUMMYFUNCTION("""COMPUTED_VALUE"""),"女性")</f>
        <v>女性</v>
      </c>
      <c r="J742" s="22"/>
      <c r="K742" s="22"/>
      <c r="L742" s="22" t="str">
        <f>IFERROR(__xludf.DUMMYFUNCTION("""COMPUTED_VALUE"""),"ファンギルド")</f>
        <v>ファンギルド</v>
      </c>
      <c r="M742" s="23">
        <f>IFERROR(__xludf.DUMMYFUNCTION("""COMPUTED_VALUE"""),45238.0)</f>
        <v>45238</v>
      </c>
      <c r="N742" s="23">
        <f>IFERROR(__xludf.DUMMYFUNCTION("""COMPUTED_VALUE"""),45272.0)</f>
        <v>45272</v>
      </c>
      <c r="O742" s="20"/>
      <c r="P742" s="32" t="str">
        <f>IFERROR(__xludf.DUMMYFUNCTION("""COMPUTED_VALUE"""),"可")</f>
        <v>可</v>
      </c>
      <c r="Q742" s="30"/>
      <c r="R742" s="22"/>
      <c r="S742" s="22" t="str">
        <f>IFERROR(__xludf.DUMMYFUNCTION("""COMPUTED_VALUE"""),"20230925_ファンギルド_わたしの隣のヤンデレくん")</f>
        <v>20230925_ファンギルド_わたしの隣のヤンデレくん</v>
      </c>
      <c r="T742" s="22" t="str">
        <f>IFERROR(__xludf.DUMMYFUNCTION("""COMPUTED_VALUE"""),"格納済み")</f>
        <v>格納済み</v>
      </c>
      <c r="U742" s="15" t="str">
        <f>IFERROR(__xludf.DUMMYFUNCTION("""COMPUTED_VALUE"""),"Ⓒ杏蜜/ファンギルド")</f>
        <v>Ⓒ杏蜜/ファンギルド</v>
      </c>
      <c r="V742" s="8" t="str">
        <f>IFERROR(__xludf.DUMMYFUNCTION("""COMPUTED_VALUE"""),"「後輩の岸くんは、どうやら私のストーカーらしい。」制作会社で働く梨花を悩ませるのは彼女を異常に崇拝している後輩、岸の存在。オフィスで常に背後から見つめたり、些細な変化に気付いたり、挙句の果てには隣の家に住んでいることが判明して！？梨花を想うあまりに一線スレスレの謎行動が止まらない…！オフィスヤンデレラブ！")</f>
        <v>「後輩の岸くんは、どうやら私のストーカーらしい。」制作会社で働く梨花を悩ませるのは彼女を異常に崇拝している後輩、岸の存在。オフィスで常に背後から見つめたり、些細な変化に気付いたり、挙句の果てには隣の家に住んでいることが判明して！？梨花を想うあまりに一線スレスレの謎行動が止まらない…！オフィスヤンデレラブ！</v>
      </c>
      <c r="W742" s="14"/>
      <c r="X742" s="14" t="str">
        <f>IFERROR(__xludf.DUMMYFUNCTION("""COMPUTED_VALUE"""),"有
")</f>
        <v>有
</v>
      </c>
      <c r="Y742" s="8" t="str">
        <f>IFERROR(__xludf.DUMMYFUNCTION("""COMPUTED_VALUE"""),"11/21まで1巻無料")</f>
        <v>11/21まで1巻無料</v>
      </c>
      <c r="Z742" s="7"/>
      <c r="AA742" s="7"/>
      <c r="AB742" s="7"/>
    </row>
    <row r="743" ht="15.75" customHeight="1">
      <c r="A743" s="26">
        <f>IFERROR(__xludf.DUMMYFUNCTION("""COMPUTED_VALUE"""),2432.0)</f>
        <v>2432</v>
      </c>
      <c r="B743" s="22" t="str">
        <f>IFERROR(__xludf.DUMMYFUNCTION("""COMPUTED_VALUE"""),"確定")</f>
        <v>確定</v>
      </c>
      <c r="C743" s="28">
        <f>IFERROR(__xludf.DUMMYFUNCTION("""COMPUTED_VALUE"""),45194.0)</f>
        <v>45194</v>
      </c>
      <c r="D743" s="28">
        <f>IFERROR(__xludf.DUMMYFUNCTION("""COMPUTED_VALUE"""),45195.0)</f>
        <v>45195</v>
      </c>
      <c r="E743" s="31">
        <f>IFERROR(__xludf.DUMMYFUNCTION("""COMPUTED_VALUE"""),279384.0)</f>
        <v>279384</v>
      </c>
      <c r="F743" s="22" t="str">
        <f>IFERROR(__xludf.DUMMYFUNCTION("""COMPUTED_VALUE"""),"エロクラス～予備校でエッチは禁止です！")</f>
        <v>エロクラス～予備校でエッチは禁止です！</v>
      </c>
      <c r="G743" s="11" t="str">
        <f>IFERROR(__xludf.DUMMYFUNCTION("""COMPUTED_VALUE"""),"1～4")</f>
        <v>1～4</v>
      </c>
      <c r="H743" s="22" t="str">
        <f>IFERROR(__xludf.DUMMYFUNCTION("""COMPUTED_VALUE"""),"6ho/BASAK")</f>
        <v>6ho/BASAK</v>
      </c>
      <c r="I743" s="22" t="str">
        <f>IFERROR(__xludf.DUMMYFUNCTION("""COMPUTED_VALUE"""),"青年")</f>
        <v>青年</v>
      </c>
      <c r="J743" s="22"/>
      <c r="K743" s="22"/>
      <c r="L743" s="22" t="str">
        <f>IFERROR(__xludf.DUMMYFUNCTION("""COMPUTED_VALUE"""),"Rush!")</f>
        <v>Rush!</v>
      </c>
      <c r="M743" s="23">
        <f>IFERROR(__xludf.DUMMYFUNCTION("""COMPUTED_VALUE"""),45238.0)</f>
        <v>45238</v>
      </c>
      <c r="N743" s="23">
        <f>IFERROR(__xludf.DUMMYFUNCTION("""COMPUTED_VALUE"""),45265.0)</f>
        <v>45265</v>
      </c>
      <c r="O743" s="20"/>
      <c r="P743" s="32" t="str">
        <f>IFERROR(__xludf.DUMMYFUNCTION("""COMPUTED_VALUE"""),"可")</f>
        <v>可</v>
      </c>
      <c r="Q743" s="30"/>
      <c r="R743" s="22"/>
      <c r="S743" s="22" t="str">
        <f>IFERROR(__xludf.DUMMYFUNCTION("""COMPUTED_VALUE"""),"20230925_ファンギルド_エロクラス～予備校でエッチは禁止です！")</f>
        <v>20230925_ファンギルド_エロクラス～予備校でエッチは禁止です！</v>
      </c>
      <c r="T743" s="22" t="str">
        <f>IFERROR(__xludf.DUMMYFUNCTION("""COMPUTED_VALUE"""),"格納済み")</f>
        <v>格納済み</v>
      </c>
      <c r="U743" s="15" t="str">
        <f>IFERROR(__xludf.DUMMYFUNCTION("""COMPUTED_VALUE"""),"©6ho/BASAK/TOPTOON")</f>
        <v>©6ho/BASAK/TOPTOON</v>
      </c>
      <c r="V743" s="8" t="str">
        <f>IFERROR(__xludf.DUMMYFUNCTION("""COMPUTED_VALUE"""),"大学受験に失敗し、全寮制予備校への入学を余儀なくされた克之（かつゆき）。しかし強制連行された先は、まさかの離島！？隔絶された島で勉強づけの退屈な日々が幕を開ける…かと思いきや、到着早々目にしたのは、教師と生徒が絡み合う姿！？――予備校にはとあるルールがあった。それは、”男女交際絶対禁止、違反者は強制退学”である事。そのはずなのに、先生も生徒もエロ過ぎる！？バレてはいけない、真面目で不真面目な”エロクラス”の始業の鐘は今日も鳴り響く──。")</f>
        <v>大学受験に失敗し、全寮制予備校への入学を余儀なくされた克之（かつゆき）。しかし強制連行された先は、まさかの離島！？隔絶された島で勉強づけの退屈な日々が幕を開ける…かと思いきや、到着早々目にしたのは、教師と生徒が絡み合う姿！？――予備校にはとあるルールがあった。それは、”男女交際絶対禁止、違反者は強制退学”である事。そのはずなのに、先生も生徒もエロ過ぎる！？バレてはいけない、真面目で不真面目な”エロクラス”の始業の鐘は今日も鳴り響く──。</v>
      </c>
      <c r="W743" s="14"/>
      <c r="X743" s="14" t="str">
        <f>IFERROR(__xludf.DUMMYFUNCTION("""COMPUTED_VALUE"""),"有
")</f>
        <v>有
</v>
      </c>
      <c r="Y743" s="8" t="str">
        <f>IFERROR(__xludf.DUMMYFUNCTION("""COMPUTED_VALUE"""),"P17まで")</f>
        <v>P17まで</v>
      </c>
      <c r="Z743" s="7"/>
      <c r="AA743" s="7"/>
      <c r="AB743" s="7"/>
    </row>
    <row r="744" ht="15.75" customHeight="1">
      <c r="A744" s="26">
        <f>IFERROR(__xludf.DUMMYFUNCTION("""COMPUTED_VALUE"""),2435.0)</f>
        <v>2435</v>
      </c>
      <c r="B744" s="22" t="str">
        <f>IFERROR(__xludf.DUMMYFUNCTION("""COMPUTED_VALUE"""),"確定")</f>
        <v>確定</v>
      </c>
      <c r="C744" s="28">
        <f>IFERROR(__xludf.DUMMYFUNCTION("""COMPUTED_VALUE"""),45195.0)</f>
        <v>45195</v>
      </c>
      <c r="D744" s="28">
        <f>IFERROR(__xludf.DUMMYFUNCTION("""COMPUTED_VALUE"""),45195.0)</f>
        <v>45195</v>
      </c>
      <c r="E744" s="26">
        <f>IFERROR(__xludf.DUMMYFUNCTION("""COMPUTED_VALUE"""),255452.0)</f>
        <v>255452</v>
      </c>
      <c r="F744" s="22" t="str">
        <f>IFERROR(__xludf.DUMMYFUNCTION("""COMPUTED_VALUE"""),"買われた男～女性限定快感セラピスト～")</f>
        <v>買われた男～女性限定快感セラピスト～</v>
      </c>
      <c r="G744" s="20" t="str">
        <f>IFERROR(__xludf.DUMMYFUNCTION("""COMPUTED_VALUE"""),"1～3")</f>
        <v>1～3</v>
      </c>
      <c r="H744" s="22" t="str">
        <f>IFERROR(__xludf.DUMMYFUNCTION("""COMPUTED_VALUE"""),"芹沢由紀子,三並央実")</f>
        <v>芹沢由紀子,三並央実</v>
      </c>
      <c r="I744" s="22" t="str">
        <f>IFERROR(__xludf.DUMMYFUNCTION("""COMPUTED_VALUE"""),"女性")</f>
        <v>女性</v>
      </c>
      <c r="J744" s="22"/>
      <c r="K744" s="22"/>
      <c r="L744" s="22" t="str">
        <f>IFERROR(__xludf.DUMMYFUNCTION("""COMPUTED_VALUE"""),"ソルマーレ編集部")</f>
        <v>ソルマーレ編集部</v>
      </c>
      <c r="M744" s="23">
        <f>IFERROR(__xludf.DUMMYFUNCTION("""COMPUTED_VALUE"""),45227.0)</f>
        <v>45227</v>
      </c>
      <c r="N744" s="23">
        <f>IFERROR(__xludf.DUMMYFUNCTION("""COMPUTED_VALUE"""),45288.0)</f>
        <v>45288</v>
      </c>
      <c r="O744" s="20"/>
      <c r="P744" s="29" t="str">
        <f>IFERROR(__xludf.DUMMYFUNCTION("""COMPUTED_VALUE"""),"可")</f>
        <v>可</v>
      </c>
      <c r="Q744" s="30" t="str">
        <f>IFERROR(__xludf.DUMMYFUNCTION("""COMPUTED_VALUE"""),"※正式タイトル下記の通りです（9/26）&lt;BR&gt;＝＝＝&lt;BR&gt;買われた男～女性限定快感セラピスト～&lt;BR&gt;＝＝＝&lt;BR&gt;")</f>
        <v>※正式タイトル下記の通りです（9/26）&lt;BR&gt;＝＝＝&lt;BR&gt;買われた男～女性限定快感セラピスト～&lt;BR&gt;＝＝＝&lt;BR&gt;</v>
      </c>
      <c r="R744" s="22"/>
      <c r="S744" s="22" t="str">
        <f>IFERROR(__xludf.DUMMYFUNCTION("""COMPUTED_VALUE"""),"20230926_ソルマーレ編集部_買われた男～女性限定快感セラピスト～")</f>
        <v>20230926_ソルマーレ編集部_買われた男～女性限定快感セラピスト～</v>
      </c>
      <c r="T744" s="22" t="str">
        <f>IFERROR(__xludf.DUMMYFUNCTION("""COMPUTED_VALUE"""),"格納済み")</f>
        <v>格納済み</v>
      </c>
      <c r="U744" s="15" t="str">
        <f>IFERROR(__xludf.DUMMYFUNCTION("""COMPUTED_VALUE"""),"Ⓒ 三並央実/芹沢由紀子/シーモアコミックス")</f>
        <v>Ⓒ 三並央実/芹沢由紀子/シーモアコミックス</v>
      </c>
      <c r="V744" s="8" t="str">
        <f>IFERROR(__xludf.DUMMYFUNCTION("""COMPUTED_VALUE"""),"イケメンセラピストが恋人のように振舞いながら施術する、女性専用のマッサージ店『KIRAMEKI』。とある悩みを抱えて来店した新規客・かなみの担当は、優しい雰囲気が売りのセラピスト・ヤマト。「今日は僕のこと恋人だと思って甘えてね」施術だとわかってるけど――素肌を優しくマッサージされながら、恋人みたいに甘やかされると、心に巣食うモヤモヤまでデトックス…!? OL・ママさん・未経験女子まで…イケメンセラピストの超絶テクで、ワケアリ女性たちの心も体も癒してしまうヒーリング・ストーリー！【恋するソワレ＋】")</f>
        <v>イケメンセラピストが恋人のように振舞いながら施術する、女性専用のマッサージ店『KIRAMEKI』。とある悩みを抱えて来店した新規客・かなみの担当は、優しい雰囲気が売りのセラピスト・ヤマト。「今日は僕のこと恋人だと思って甘えてね」施術だとわかってるけど――素肌を優しくマッサージされながら、恋人みたいに甘やかされると、心に巣食うモヤモヤまでデトックス…!? OL・ママさん・未経験女子まで…イケメンセラピストの超絶テクで、ワケアリ女性たちの心も体も癒してしまうヒーリング・ストーリー！【恋するソワレ＋】</v>
      </c>
      <c r="W744" s="14"/>
      <c r="X744" s="14" t="str">
        <f>IFERROR(__xludf.DUMMYFUNCTION("""COMPUTED_VALUE"""),"有
")</f>
        <v>有
</v>
      </c>
      <c r="Y744" s="8" t="str">
        <f>IFERROR(__xludf.DUMMYFUNCTION("""COMPUTED_VALUE"""),"P12まで")</f>
        <v>P12まで</v>
      </c>
      <c r="Z744" s="7"/>
      <c r="AA744" s="7"/>
      <c r="AB744" s="7"/>
    </row>
    <row r="745" ht="94.5" customHeight="1">
      <c r="A745" s="26">
        <f>IFERROR(__xludf.DUMMYFUNCTION("""COMPUTED_VALUE"""),2437.0)</f>
        <v>2437</v>
      </c>
      <c r="B745" s="22" t="str">
        <f>IFERROR(__xludf.DUMMYFUNCTION("""COMPUTED_VALUE"""),"確定")</f>
        <v>確定</v>
      </c>
      <c r="C745" s="28">
        <f>IFERROR(__xludf.DUMMYFUNCTION("""COMPUTED_VALUE"""),45195.0)</f>
        <v>45195</v>
      </c>
      <c r="D745" s="28">
        <f>IFERROR(__xludf.DUMMYFUNCTION("""COMPUTED_VALUE"""),45196.0)</f>
        <v>45196</v>
      </c>
      <c r="E745" s="31">
        <f>IFERROR(__xludf.DUMMYFUNCTION("""COMPUTED_VALUE"""),278978.0)</f>
        <v>278978</v>
      </c>
      <c r="F745" s="22" t="str">
        <f>IFERROR(__xludf.DUMMYFUNCTION("""COMPUTED_VALUE"""),"生物怪談【タテヨミ】")</f>
        <v>生物怪談【タテヨミ】</v>
      </c>
      <c r="G745" s="20" t="str">
        <f>IFERROR(__xludf.DUMMYFUNCTION("""COMPUTED_VALUE"""),"1~65")</f>
        <v>1~65</v>
      </c>
      <c r="H745" s="22" t="str">
        <f>IFERROR(__xludf.DUMMYFUNCTION("""COMPUTED_VALUE"""),"Weibo Comic")</f>
        <v>Weibo Comic</v>
      </c>
      <c r="I745" s="22" t="str">
        <f>IFERROR(__xludf.DUMMYFUNCTION("""COMPUTED_VALUE"""),"少年")</f>
        <v>少年</v>
      </c>
      <c r="J745" s="22"/>
      <c r="K745" s="22"/>
      <c r="L745" s="22" t="str">
        <f>IFERROR(__xludf.DUMMYFUNCTION("""COMPUTED_VALUE"""),"Full Color Comics")</f>
        <v>Full Color Comics</v>
      </c>
      <c r="M745" s="23">
        <f>IFERROR(__xludf.DUMMYFUNCTION("""COMPUTED_VALUE"""),45216.0)</f>
        <v>45216</v>
      </c>
      <c r="N745" s="23">
        <f>IFERROR(__xludf.DUMMYFUNCTION("""COMPUTED_VALUE"""),45307.0)</f>
        <v>45307</v>
      </c>
      <c r="O745" s="20"/>
      <c r="P745" s="32" t="str">
        <f>IFERROR(__xludf.DUMMYFUNCTION("""COMPUTED_VALUE"""),"可")</f>
        <v>可</v>
      </c>
      <c r="Q745" s="22"/>
      <c r="R745" s="22" t="str">
        <f>IFERROR(__xludf.DUMMYFUNCTION("""COMPUTED_VALUE"""),"格納済")</f>
        <v>格納済</v>
      </c>
      <c r="S745" s="22" t="str">
        <f>IFERROR(__xludf.DUMMYFUNCTION("""COMPUTED_VALUE"""),"20230926_FullColorComics_生物怪談【タテヨミ】")</f>
        <v>20230926_FullColorComics_生物怪談【タテヨミ】</v>
      </c>
      <c r="T745" s="22" t="str">
        <f>IFERROR(__xludf.DUMMYFUNCTION("""COMPUTED_VALUE"""),"1～14巻まで格納済、15以降確認中(9/27)")</f>
        <v>1～14巻まで格納済、15以降確認中(9/27)</v>
      </c>
      <c r="U745" s="15" t="str">
        <f>IFERROR(__xludf.DUMMYFUNCTION("""COMPUTED_VALUE"""),"©Weibo Comic")</f>
        <v>©Weibo Comic</v>
      </c>
      <c r="V745" s="8" t="str">
        <f>IFERROR(__xludf.DUMMYFUNCTION("""COMPUTED_VALUE"""),"保険会社のしがない社員だった後藤は10年前に不慮の交通事故で記憶力が30分しかもたない山田という男性の担当になる。医師の診断結果は異常なしで、保険金詐欺を疑った後藤は真実を確かめようとある実験を試すが…")</f>
        <v>保険会社のしがない社員だった後藤は10年前に不慮の交通事故で記憶力が30分しかもたない山田という男性の担当になる。医師の診断結果は異常なしで、保険金詐欺を疑った後藤は真実を確かめようとある実験を試すが…</v>
      </c>
      <c r="W745" s="14"/>
      <c r="X745" s="14" t="str">
        <f>IFERROR(__xludf.DUMMYFUNCTION("""COMPUTED_VALUE"""),"有
")</f>
        <v>有
</v>
      </c>
      <c r="Y745" s="8" t="str">
        <f>IFERROR(__xludf.DUMMYFUNCTION("""COMPUTED_VALUE"""),"1~3巻無料")</f>
        <v>1~3巻無料</v>
      </c>
      <c r="Z745" s="7"/>
      <c r="AA745" s="7"/>
      <c r="AB745" s="7"/>
    </row>
    <row r="746" ht="103.5" customHeight="1">
      <c r="A746" s="26">
        <f>IFERROR(__xludf.DUMMYFUNCTION("""COMPUTED_VALUE"""),2438.0)</f>
        <v>2438</v>
      </c>
      <c r="B746" s="22" t="str">
        <f>IFERROR(__xludf.DUMMYFUNCTION("""COMPUTED_VALUE"""),"確定")</f>
        <v>確定</v>
      </c>
      <c r="C746" s="28">
        <f>IFERROR(__xludf.DUMMYFUNCTION("""COMPUTED_VALUE"""),45195.0)</f>
        <v>45195</v>
      </c>
      <c r="D746" s="28">
        <f>IFERROR(__xludf.DUMMYFUNCTION("""COMPUTED_VALUE"""),45195.0)</f>
        <v>45195</v>
      </c>
      <c r="E746" s="31">
        <f>IFERROR(__xludf.DUMMYFUNCTION("""COMPUTED_VALUE"""),278977.0)</f>
        <v>278977</v>
      </c>
      <c r="F746" s="22" t="str">
        <f>IFERROR(__xludf.DUMMYFUNCTION("""COMPUTED_VALUE"""),"悪意が視える彼女～狂ったのは私？【タテヨミ】")</f>
        <v>悪意が視える彼女～狂ったのは私？【タテヨミ】</v>
      </c>
      <c r="G746" s="20" t="str">
        <f>IFERROR(__xludf.DUMMYFUNCTION("""COMPUTED_VALUE"""),"1~59")</f>
        <v>1~59</v>
      </c>
      <c r="H746" s="22" t="str">
        <f>IFERROR(__xludf.DUMMYFUNCTION("""COMPUTED_VALUE"""),"アバム")</f>
        <v>アバム</v>
      </c>
      <c r="I746" s="22" t="str">
        <f>IFERROR(__xludf.DUMMYFUNCTION("""COMPUTED_VALUE"""),"少年")</f>
        <v>少年</v>
      </c>
      <c r="J746" s="22"/>
      <c r="K746" s="22"/>
      <c r="L746" s="22" t="str">
        <f>IFERROR(__xludf.DUMMYFUNCTION("""COMPUTED_VALUE"""),"Full Color Comics")</f>
        <v>Full Color Comics</v>
      </c>
      <c r="M746" s="23">
        <f>IFERROR(__xludf.DUMMYFUNCTION("""COMPUTED_VALUE"""),45215.0)</f>
        <v>45215</v>
      </c>
      <c r="N746" s="23">
        <f>IFERROR(__xludf.DUMMYFUNCTION("""COMPUTED_VALUE"""),45306.0)</f>
        <v>45306</v>
      </c>
      <c r="O746" s="20"/>
      <c r="P746" s="32" t="str">
        <f>IFERROR(__xludf.DUMMYFUNCTION("""COMPUTED_VALUE"""),"可")</f>
        <v>可</v>
      </c>
      <c r="Q746" s="22"/>
      <c r="R746" s="22" t="str">
        <f>IFERROR(__xludf.DUMMYFUNCTION("""COMPUTED_VALUE"""),"格納済")</f>
        <v>格納済</v>
      </c>
      <c r="S746" s="22" t="str">
        <f>IFERROR(__xludf.DUMMYFUNCTION("""COMPUTED_VALUE"""),"20230926_FullColorComics_悪意が視える彼女～狂ったのは私？【タテヨミ】")</f>
        <v>20230926_FullColorComics_悪意が視える彼女～狂ったのは私？【タテヨミ】</v>
      </c>
      <c r="T746" s="22" t="str">
        <f>IFERROR(__xludf.DUMMYFUNCTION("""COMPUTED_VALUE"""),"格納済み")</f>
        <v>格納済み</v>
      </c>
      <c r="U746" s="15" t="str">
        <f>IFERROR(__xludf.DUMMYFUNCTION("""COMPUTED_VALUE"""),"(C)TOPTOON")</f>
        <v>(C)TOPTOON</v>
      </c>
      <c r="V746" s="8" t="str">
        <f>IFERROR(__xludf.DUMMYFUNCTION("""COMPUTED_VALUE"""),"完璧な幸せをへし折ったらあの子はどこまで落ちていく…？容姿端麗で学年1位、誰が見ても完璧な花音はある日、身に覚えのない自分の噂を聞いてしまう。そして突然異様なものが見えるようになり、それらは花音の頭にある「幸せの花」をほしがってきて…")</f>
        <v>完璧な幸せをへし折ったらあの子はどこまで落ちていく…？容姿端麗で学年1位、誰が見ても完璧な花音はある日、身に覚えのない自分の噂を聞いてしまう。そして突然異様なものが見えるようになり、それらは花音の頭にある「幸せの花」をほしがってきて…</v>
      </c>
      <c r="W746" s="14"/>
      <c r="X746" s="14" t="str">
        <f>IFERROR(__xludf.DUMMYFUNCTION("""COMPUTED_VALUE"""),"有
")</f>
        <v>有
</v>
      </c>
      <c r="Y746" s="8" t="str">
        <f>IFERROR(__xludf.DUMMYFUNCTION("""COMPUTED_VALUE"""),"1~3巻無料")</f>
        <v>1~3巻無料</v>
      </c>
      <c r="Z746" s="7"/>
      <c r="AA746" s="7"/>
      <c r="AB746" s="7"/>
    </row>
    <row r="747" ht="15.75" customHeight="1">
      <c r="A747" s="26">
        <f>IFERROR(__xludf.DUMMYFUNCTION("""COMPUTED_VALUE"""),2439.0)</f>
        <v>2439</v>
      </c>
      <c r="B747" s="22" t="str">
        <f>IFERROR(__xludf.DUMMYFUNCTION("""COMPUTED_VALUE"""),"確定")</f>
        <v>確定</v>
      </c>
      <c r="C747" s="28">
        <f>IFERROR(__xludf.DUMMYFUNCTION("""COMPUTED_VALUE"""),45195.0)</f>
        <v>45195</v>
      </c>
      <c r="D747" s="28">
        <f>IFERROR(__xludf.DUMMYFUNCTION("""COMPUTED_VALUE"""),45195.0)</f>
        <v>45195</v>
      </c>
      <c r="E747" s="31">
        <f>IFERROR(__xludf.DUMMYFUNCTION("""COMPUTED_VALUE"""),278409.0)</f>
        <v>278409</v>
      </c>
      <c r="F747" s="22" t="str">
        <f>IFERROR(__xludf.DUMMYFUNCTION("""COMPUTED_VALUE"""),"魔力のないオタク令嬢は、次期公爵様の一途な溺愛に翻弄される【分冊版】")</f>
        <v>魔力のないオタク令嬢は、次期公爵様の一途な溺愛に翻弄される【分冊版】</v>
      </c>
      <c r="G747" s="20" t="str">
        <f>IFERROR(__xludf.DUMMYFUNCTION("""COMPUTED_VALUE"""),"1~3")</f>
        <v>1~3</v>
      </c>
      <c r="H747" s="22" t="str">
        <f>IFERROR(__xludf.DUMMYFUNCTION("""COMPUTED_VALUE"""),"まぶた単・糸加")</f>
        <v>まぶた単・糸加</v>
      </c>
      <c r="I747" s="22" t="str">
        <f>IFERROR(__xludf.DUMMYFUNCTION("""COMPUTED_VALUE"""),"女性")</f>
        <v>女性</v>
      </c>
      <c r="J747" s="22"/>
      <c r="K747" s="22"/>
      <c r="L747" s="22" t="str">
        <f>IFERROR(__xludf.DUMMYFUNCTION("""COMPUTED_VALUE"""),"ハーパーコリンズ・ジャパン")</f>
        <v>ハーパーコリンズ・ジャパン</v>
      </c>
      <c r="M747" s="23">
        <f>IFERROR(__xludf.DUMMYFUNCTION("""COMPUTED_VALUE"""),45217.0)</f>
        <v>45217</v>
      </c>
      <c r="N747" s="23">
        <f>IFERROR(__xludf.DUMMYFUNCTION("""COMPUTED_VALUE"""),45246.0)</f>
        <v>45246</v>
      </c>
      <c r="O747" s="20"/>
      <c r="P747" s="32" t="str">
        <f>IFERROR(__xludf.DUMMYFUNCTION("""COMPUTED_VALUE"""),"可")</f>
        <v>可</v>
      </c>
      <c r="Q747" s="22"/>
      <c r="R747" s="22" t="str">
        <f>IFERROR(__xludf.DUMMYFUNCTION("""COMPUTED_VALUE"""),"格納済")</f>
        <v>格納済</v>
      </c>
      <c r="S747" s="22" t="str">
        <f>IFERROR(__xludf.DUMMYFUNCTION("""COMPUTED_VALUE"""),"20230926_ハーパーコリンズ_魔力のないオタク令嬢は、次期侯爵様の一途な溺愛に翻弄される")</f>
        <v>20230926_ハーパーコリンズ_魔力のないオタク令嬢は、次期侯爵様の一途な溺愛に翻弄される</v>
      </c>
      <c r="T747" s="22" t="str">
        <f>IFERROR(__xludf.DUMMYFUNCTION("""COMPUTED_VALUE"""),"格納済み")</f>
        <v>格納済み</v>
      </c>
      <c r="U747" s="15" t="str">
        <f>IFERROR(__xludf.DUMMYFUNCTION("""COMPUTED_VALUE"""),"（C)まぶた単・糸加／ハーパーコリンズ・ジャパン")</f>
        <v>（C)まぶた単・糸加／ハーパーコリンズ・ジャパン</v>
      </c>
      <c r="V747" s="8" t="str">
        <f>IFERROR(__xludf.DUMMYFUNCTION("""COMPUTED_VALUE"""),"――僕から逃げられるとは思わないで？
貴族でありながら魔力のない伯爵令嬢・アリツィアは帳簿付けに夢中で社交界に一切興味なし。しかし将来を心配した父に命じられ、自分で結婚相手を見つけるハメに。しぶしぶ赴いたサンミエスク公爵家の舞踏会で留学から戻った令息・ミロスワフと久しぶりに再会する。実はミロスワフとは4年前に出会い、家族にも内緒でずっと文通をしていたのだ。そして数多の令嬢が花嫁の座を狙うミロスワフから、アリツィアは一途に想われていたけれど――!?")</f>
        <v>――僕から逃げられるとは思わないで？
貴族でありながら魔力のない伯爵令嬢・アリツィアは帳簿付けに夢中で社交界に一切興味なし。しかし将来を心配した父に命じられ、自分で結婚相手を見つけるハメに。しぶしぶ赴いたサンミエスク公爵家の舞踏会で留学から戻った令息・ミロスワフと久しぶりに再会する。実はミロスワフとは4年前に出会い、家族にも内緒でずっと文通をしていたのだ。そして数多の令嬢が花嫁の座を狙うミロスワフから、アリツィアは一途に想われていたけれど――!?</v>
      </c>
      <c r="W747" s="14"/>
      <c r="X747" s="14" t="str">
        <f>IFERROR(__xludf.DUMMYFUNCTION("""COMPUTED_VALUE"""),"有
")</f>
        <v>有
</v>
      </c>
      <c r="Y747" s="8" t="str">
        <f>IFERROR(__xludf.DUMMYFUNCTION("""COMPUTED_VALUE"""),"P9まで")</f>
        <v>P9まで</v>
      </c>
      <c r="Z747" s="7"/>
      <c r="AA747" s="7"/>
      <c r="AB747" s="7"/>
    </row>
    <row r="748" ht="114.75" customHeight="1">
      <c r="A748" s="26">
        <f>IFERROR(__xludf.DUMMYFUNCTION("""COMPUTED_VALUE"""),2354.0)</f>
        <v>2354</v>
      </c>
      <c r="B748" s="31" t="str">
        <f>IFERROR(__xludf.DUMMYFUNCTION("""COMPUTED_VALUE"""),"確定")</f>
        <v>確定</v>
      </c>
      <c r="C748" s="28">
        <f>IFERROR(__xludf.DUMMYFUNCTION("""COMPUTED_VALUE"""),45174.0)</f>
        <v>45174</v>
      </c>
      <c r="D748" s="28">
        <f>IFERROR(__xludf.DUMMYFUNCTION("""COMPUTED_VALUE"""),45202.0)</f>
        <v>45202</v>
      </c>
      <c r="E748" s="31">
        <f>IFERROR(__xludf.DUMMYFUNCTION("""COMPUTED_VALUE"""),278692.0)</f>
        <v>278692</v>
      </c>
      <c r="F748" s="31" t="str">
        <f>IFERROR(__xludf.DUMMYFUNCTION("""COMPUTED_VALUE"""),"甘やかな地獄【単話】")</f>
        <v>甘やかな地獄【単話】</v>
      </c>
      <c r="G748" s="16" t="str">
        <f>IFERROR(__xludf.DUMMYFUNCTION("""COMPUTED_VALUE"""),"1～3")</f>
        <v>1～3</v>
      </c>
      <c r="H748" s="31" t="str">
        <f>IFERROR(__xludf.DUMMYFUNCTION("""COMPUTED_VALUE"""),"真宮りんご")</f>
        <v>真宮りんご</v>
      </c>
      <c r="I748" s="14" t="str">
        <f>IFERROR(__xludf.DUMMYFUNCTION("""COMPUTED_VALUE"""),"女性")</f>
        <v>女性</v>
      </c>
      <c r="J748" s="31"/>
      <c r="K748" s="31"/>
      <c r="L748" s="31" t="str">
        <f>IFERROR(__xludf.DUMMYFUNCTION("""COMPUTED_VALUE"""),"祥伝社")</f>
        <v>祥伝社</v>
      </c>
      <c r="M748" s="23">
        <f>IFERROR(__xludf.DUMMYFUNCTION("""COMPUTED_VALUE"""),45244.0)</f>
        <v>45244</v>
      </c>
      <c r="N748" s="23">
        <f>IFERROR(__xludf.DUMMYFUNCTION("""COMPUTED_VALUE"""),45274.0)</f>
        <v>45274</v>
      </c>
      <c r="O748" s="20"/>
      <c r="P748" s="34" t="str">
        <f>IFERROR(__xludf.DUMMYFUNCTION("""COMPUTED_VALUE"""),"可")</f>
        <v>可</v>
      </c>
      <c r="Q748" s="30" t="str">
        <f>IFERROR(__xludf.DUMMYFUNCTION("""COMPUTED_VALUE"""),"広告コミットOK(9/15)
2025/2/26 河上↓
連載先行：1～22巻まで　※23巻から他書店で先行開始")</f>
        <v>広告コミットOK(9/15)
2025/2/26 河上↓
連載先行：1～22巻まで　※23巻から他書店で先行開始</v>
      </c>
      <c r="R748" s="31"/>
      <c r="S748" s="31" t="str">
        <f>IFERROR(__xludf.DUMMYFUNCTION("""COMPUTED_VALUE"""),"20230928_祥伝社_甘やかな地獄")</f>
        <v>20230928_祥伝社_甘やかな地獄</v>
      </c>
      <c r="T748" s="31" t="str">
        <f>IFERROR(__xludf.DUMMYFUNCTION("""COMPUTED_VALUE"""),"格納済み")</f>
        <v>格納済み</v>
      </c>
      <c r="U748" s="15" t="str">
        <f>IFERROR(__xludf.DUMMYFUNCTION("""COMPUTED_VALUE"""),"（C）真宮りんご/祥伝社")</f>
        <v>（C）真宮りんご/祥伝社</v>
      </c>
      <c r="V748" s="8" t="str">
        <f>IFERROR(__xludf.DUMMYFUNCTION("""COMPUTED_VALUE"""),"35歳の誕生日の前夜に私は…彼を買った。下条燈子（34）は会社では仕事はきっちりしているが周囲とはあまり馴染めておらず『喪女』と後ろ指を指されていた。四捨五入でアラフォーが迫っていたある日、広告で目にした女性向け風俗の目を奪われる。今まで考えもしなかったが…。誕生日を迎えたその瞬間、私の甘やかな地獄がはじまった。")</f>
        <v>35歳の誕生日の前夜に私は…彼を買った。下条燈子（34）は会社では仕事はきっちりしているが周囲とはあまり馴染めておらず『喪女』と後ろ指を指されていた。四捨五入でアラフォーが迫っていたある日、広告で目にした女性向け風俗の目を奪われる。今まで考えもしなかったが…。誕生日を迎えたその瞬間、私の甘やかな地獄がはじまった。</v>
      </c>
      <c r="W748" s="14"/>
      <c r="X748" s="14" t="str">
        <f>IFERROR(__xludf.DUMMYFUNCTION("""COMPUTED_VALUE"""),"有
")</f>
        <v>有
</v>
      </c>
      <c r="Y748" s="8" t="str">
        <f>IFERROR(__xludf.DUMMYFUNCTION("""COMPUTED_VALUE"""),"12/14まで1巻無料")</f>
        <v>12/14まで1巻無料</v>
      </c>
      <c r="Z748" s="7"/>
      <c r="AA748" s="7"/>
      <c r="AB748" s="7"/>
    </row>
    <row r="749" ht="15.75" customHeight="1">
      <c r="A749" s="26">
        <f>IFERROR(__xludf.DUMMYFUNCTION("""COMPUTED_VALUE"""),2385.0)</f>
        <v>2385</v>
      </c>
      <c r="B749" s="31" t="str">
        <f>IFERROR(__xludf.DUMMYFUNCTION("""COMPUTED_VALUE"""),"確定")</f>
        <v>確定</v>
      </c>
      <c r="C749" s="28">
        <f>IFERROR(__xludf.DUMMYFUNCTION("""COMPUTED_VALUE"""),45183.0)</f>
        <v>45183</v>
      </c>
      <c r="D749" s="28">
        <f>IFERROR(__xludf.DUMMYFUNCTION("""COMPUTED_VALUE"""),45203.0)</f>
        <v>45203</v>
      </c>
      <c r="E749" s="31">
        <f>IFERROR(__xludf.DUMMYFUNCTION("""COMPUTED_VALUE"""),279442.0)</f>
        <v>279442</v>
      </c>
      <c r="F749" s="31" t="str">
        <f>IFERROR(__xludf.DUMMYFUNCTION("""COMPUTED_VALUE"""),"指だけでぐちょ濡れにして…変態だね?不感症女子が最強の痴漢にイキ堕とされるまで【フルカラー】")</f>
        <v>指だけでぐちょ濡れにして…変態だね?不感症女子が最強の痴漢にイキ堕とされるまで【フルカラー】</v>
      </c>
      <c r="G749" s="11" t="str">
        <f>IFERROR(__xludf.DUMMYFUNCTION("""COMPUTED_VALUE"""),"1～2")</f>
        <v>1～2</v>
      </c>
      <c r="H749" s="31" t="str">
        <f>IFERROR(__xludf.DUMMYFUNCTION("""COMPUTED_VALUE"""),"綾乃るみ")</f>
        <v>綾乃るみ</v>
      </c>
      <c r="I749" s="31" t="str">
        <f>IFERROR(__xludf.DUMMYFUNCTION("""COMPUTED_VALUE"""),"オトナ")</f>
        <v>オトナ</v>
      </c>
      <c r="J749" s="31"/>
      <c r="K749" s="31"/>
      <c r="L749" s="31" t="str">
        <f>IFERROR(__xludf.DUMMYFUNCTION("""COMPUTED_VALUE"""),"DEEPER-ZERO")</f>
        <v>DEEPER-ZERO</v>
      </c>
      <c r="M749" s="23">
        <f>IFERROR(__xludf.DUMMYFUNCTION("""COMPUTED_VALUE"""),45234.0)</f>
        <v>45234</v>
      </c>
      <c r="N749" s="23">
        <f>IFERROR(__xludf.DUMMYFUNCTION("""COMPUTED_VALUE"""),45247.0)</f>
        <v>45247</v>
      </c>
      <c r="O749" s="20"/>
      <c r="P749" s="34" t="str">
        <f>IFERROR(__xludf.DUMMYFUNCTION("""COMPUTED_VALUE"""),"可")</f>
        <v>可</v>
      </c>
      <c r="Q749" s="31" t="str">
        <f>IFERROR(__xludf.DUMMYFUNCTION("""COMPUTED_VALUE"""),"3巻目の素材も入れておりますが、3巻は11/25配信になります。")</f>
        <v>3巻目の素材も入れておりますが、3巻は11/25配信になります。</v>
      </c>
      <c r="R749" s="31" t="str">
        <f>IFERROR(__xludf.DUMMYFUNCTION("""COMPUTED_VALUE"""),"格納済")</f>
        <v>格納済</v>
      </c>
      <c r="S749" s="31" t="str">
        <f>IFERROR(__xludf.DUMMYFUNCTION("""COMPUTED_VALUE"""),"20231003_DEEPER-ZERO_綾乃るみ_指だけでぐちょ濡れにして…変態だね不感症女子が最強の痴漢にイキ堕とされるまで【フルカラー】")</f>
        <v>20231003_DEEPER-ZERO_綾乃るみ_指だけでぐちょ濡れにして…変態だね不感症女子が最強の痴漢にイキ堕とされるまで【フルカラー】</v>
      </c>
      <c r="T749" s="31" t="str">
        <f>IFERROR(__xludf.DUMMYFUNCTION("""COMPUTED_VALUE"""),"格納済み")</f>
        <v>格納済み</v>
      </c>
      <c r="U749" s="15" t="str">
        <f>IFERROR(__xludf.DUMMYFUNCTION("""COMPUTED_VALUE"""),"ⓒ綾乃るみ/DEEPER-ZERO")</f>
        <v>ⓒ綾乃るみ/DEEPER-ZERO</v>
      </c>
      <c r="V749" s="8" t="str">
        <f>IFERROR(__xludf.DUMMYFUNCTION("""COMPUTED_VALUE"""),"またか…。今日もまた通学中の電車で痴漢に合う。最低…。そんな風に触られたって何も感じない。だって私、不感症だもん。…そう思っていたのに、今日の痴漢はいつもと違う。お尻を撫でられただけでゾクゾクきて、服の上からなのに、乳首を擦られるとジワッと下が湿ってくる…！？――「ここからが本番だ」痴漢が目をギンッと光らせ、その指先が私のア●コをまさぐった途端、これまでに感じたことのない快感でグチョグチョに…。そのまま痴漢にされるがまま、まるで、電車の中でハダカにされたみたいな感覚になっちゃって…こんなの最低なのに…っや"&amp;"めてほしくないっ…！？――その日から、不感症女子大生と痴漢リーマンの歪な関係が始まった――")</f>
        <v>またか…。今日もまた通学中の電車で痴漢に合う。最低…。そんな風に触られたって何も感じない。だって私、不感症だもん。…そう思っていたのに、今日の痴漢はいつもと違う。お尻を撫でられただけでゾクゾクきて、服の上からなのに、乳首を擦られるとジワッと下が湿ってくる…！？――「ここからが本番だ」痴漢が目をギンッと光らせ、その指先が私のア●コをまさぐった途端、これまでに感じたことのない快感でグチョグチョに…。そのまま痴漢にされるがまま、まるで、電車の中でハダカにされたみたいな感覚になっちゃって…こんなの最低なのに…っやめてほしくないっ…！？――その日から、不感症女子大生と痴漢リーマンの歪な関係が始まった――</v>
      </c>
      <c r="W749" s="14"/>
      <c r="X749" s="14" t="str">
        <f>IFERROR(__xludf.DUMMYFUNCTION("""COMPUTED_VALUE"""),"有
")</f>
        <v>有
</v>
      </c>
      <c r="Y749" s="8" t="str">
        <f>IFERROR(__xludf.DUMMYFUNCTION("""COMPUTED_VALUE"""),"P12まで")</f>
        <v>P12まで</v>
      </c>
      <c r="Z749" s="7"/>
      <c r="AA749" s="7"/>
      <c r="AB749" s="7"/>
    </row>
    <row r="750" ht="15.75" customHeight="1">
      <c r="A750" s="26">
        <f>IFERROR(__xludf.DUMMYFUNCTION("""COMPUTED_VALUE"""),2391.0)</f>
        <v>2391</v>
      </c>
      <c r="B750" s="31" t="str">
        <f>IFERROR(__xludf.DUMMYFUNCTION("""COMPUTED_VALUE"""),"確定")</f>
        <v>確定</v>
      </c>
      <c r="C750" s="28">
        <f>IFERROR(__xludf.DUMMYFUNCTION("""COMPUTED_VALUE"""),45188.0)</f>
        <v>45188</v>
      </c>
      <c r="D750" s="28">
        <f>IFERROR(__xludf.DUMMYFUNCTION("""COMPUTED_VALUE"""),45203.0)</f>
        <v>45203</v>
      </c>
      <c r="E750" s="31">
        <f>IFERROR(__xludf.DUMMYFUNCTION("""COMPUTED_VALUE"""),278749.0)</f>
        <v>278749</v>
      </c>
      <c r="F750" s="31" t="str">
        <f>IFERROR(__xludf.DUMMYFUNCTION("""COMPUTED_VALUE"""),"修羅場のワンサイドラブ")</f>
        <v>修羅場のワンサイドラブ</v>
      </c>
      <c r="G750" s="20">
        <f>IFERROR(__xludf.DUMMYFUNCTION("""COMPUTED_VALUE"""),1.0)</f>
        <v>1</v>
      </c>
      <c r="H750" s="31" t="str">
        <f>IFERROR(__xludf.DUMMYFUNCTION("""COMPUTED_VALUE"""),"藤倉レモン")</f>
        <v>藤倉レモン</v>
      </c>
      <c r="I750" s="31" t="str">
        <f>IFERROR(__xludf.DUMMYFUNCTION("""COMPUTED_VALUE"""),"BL")</f>
        <v>BL</v>
      </c>
      <c r="J750" s="31"/>
      <c r="K750" s="31"/>
      <c r="L750" s="31" t="str">
        <f>IFERROR(__xludf.DUMMYFUNCTION("""COMPUTED_VALUE"""),"from RED")</f>
        <v>from RED</v>
      </c>
      <c r="M750" s="23">
        <f>IFERROR(__xludf.DUMMYFUNCTION("""COMPUTED_VALUE"""),45226.0)</f>
        <v>45226</v>
      </c>
      <c r="N750" s="23">
        <f>IFERROR(__xludf.DUMMYFUNCTION("""COMPUTED_VALUE"""),45253.0)</f>
        <v>45253</v>
      </c>
      <c r="O750" s="20"/>
      <c r="P750" s="32" t="str">
        <f>IFERROR(__xludf.DUMMYFUNCTION("""COMPUTED_VALUE"""),"可")</f>
        <v>可</v>
      </c>
      <c r="Q750" s="30"/>
      <c r="R750" s="31"/>
      <c r="S750" s="31" t="str">
        <f>IFERROR(__xludf.DUMMYFUNCTION("""COMPUTED_VALUE"""),"20231003_シュークリーム_修羅場のワンサイドラブ")</f>
        <v>20231003_シュークリーム_修羅場のワンサイドラブ</v>
      </c>
      <c r="T750" s="31" t="str">
        <f>IFERROR(__xludf.DUMMYFUNCTION("""COMPUTED_VALUE"""),"格納済み")</f>
        <v>格納済み</v>
      </c>
      <c r="U750" s="15" t="str">
        <f>IFERROR(__xludf.DUMMYFUNCTION("""COMPUTED_VALUE"""),"（C）藤倉レモン/from RED")</f>
        <v>（C）藤倉レモン/from RED</v>
      </c>
      <c r="V750" s="8" t="str">
        <f>IFERROR(__xludf.DUMMYFUNCTION("""COMPUTED_VALUE"""),"甘え上手な執着漫画家×無自覚囲い込まれ担当編集！
大ヒット漫画家の三島楓と担当編集の穂波瑛二は、19年来の幼なじみだ。
敏腕編集の穂波の悩みは、三島の「甘え癖」！
修羅場の仕事場では穂波の腰にどっかりと抱きつき甘え倒し、
プライベートでは元カノの代わりのデートの相手まで…。
しかし穂波は「一緒に出かけるとめちゃくちゃ甘いし、なんかちょっとヘンなんだよな…」
と無自覚で、どんどん囲い込まれているのに気づかない。
「かわいいなぁ、何も気づかないで。オレの瑛ちゃん」
19年の執着"&amp;"に迫られる幼なじみラブ！")</f>
        <v>甘え上手な執着漫画家×無自覚囲い込まれ担当編集！
大ヒット漫画家の三島楓と担当編集の穂波瑛二は、19年来の幼なじみだ。
敏腕編集の穂波の悩みは、三島の「甘え癖」！
修羅場の仕事場では穂波の腰にどっかりと抱きつき甘え倒し、
プライベートでは元カノの代わりのデートの相手まで…。
しかし穂波は「一緒に出かけるとめちゃくちゃ甘いし、なんかちょっとヘンなんだよな…」
と無自覚で、どんどん囲い込まれているのに気づかない。
「かわいいなぁ、何も気づかないで。オレの瑛ちゃん」
19年の執着に迫られる幼なじみラブ！</v>
      </c>
      <c r="W750" s="14"/>
      <c r="X750" s="14" t="str">
        <f>IFERROR(__xludf.DUMMYFUNCTION("""COMPUTED_VALUE"""),"有
")</f>
        <v>有
</v>
      </c>
      <c r="Y750" s="8" t="str">
        <f>IFERROR(__xludf.DUMMYFUNCTION("""COMPUTED_VALUE"""),"P11まで")</f>
        <v>P11まで</v>
      </c>
      <c r="Z750" s="7"/>
      <c r="AA750" s="7"/>
      <c r="AB750" s="7"/>
    </row>
    <row r="751" ht="15.75" customHeight="1">
      <c r="A751" s="26">
        <f>IFERROR(__xludf.DUMMYFUNCTION("""COMPUTED_VALUE"""),2402.0)</f>
        <v>2402</v>
      </c>
      <c r="B751" s="31" t="str">
        <f>IFERROR(__xludf.DUMMYFUNCTION("""COMPUTED_VALUE"""),"確定")</f>
        <v>確定</v>
      </c>
      <c r="C751" s="28">
        <f>IFERROR(__xludf.DUMMYFUNCTION("""COMPUTED_VALUE"""),45188.0)</f>
        <v>45188</v>
      </c>
      <c r="D751" s="28">
        <f>IFERROR(__xludf.DUMMYFUNCTION("""COMPUTED_VALUE"""),45202.0)</f>
        <v>45202</v>
      </c>
      <c r="E751" s="31">
        <f>IFERROR(__xludf.DUMMYFUNCTION("""COMPUTED_VALUE"""),278666.0)</f>
        <v>278666</v>
      </c>
      <c r="F751" s="31" t="str">
        <f>IFERROR(__xludf.DUMMYFUNCTION("""COMPUTED_VALUE"""),"あきしぐれーお嬢様と庭師ー")</f>
        <v>あきしぐれーお嬢様と庭師ー</v>
      </c>
      <c r="G751" s="11" t="str">
        <f>IFERROR(__xludf.DUMMYFUNCTION("""COMPUTED_VALUE"""),"1～2")</f>
        <v>1～2</v>
      </c>
      <c r="H751" s="31" t="str">
        <f>IFERROR(__xludf.DUMMYFUNCTION("""COMPUTED_VALUE"""),"伊藤レイヂ")</f>
        <v>伊藤レイヂ</v>
      </c>
      <c r="I751" s="31" t="str">
        <f>IFERROR(__xludf.DUMMYFUNCTION("""COMPUTED_VALUE"""),"TL")</f>
        <v>TL</v>
      </c>
      <c r="J751" s="31"/>
      <c r="K751" s="31"/>
      <c r="L751" s="31" t="str">
        <f>IFERROR(__xludf.DUMMYFUNCTION("""COMPUTED_VALUE"""),"CLLENN")</f>
        <v>CLLENN</v>
      </c>
      <c r="M751" s="23">
        <f>IFERROR(__xludf.DUMMYFUNCTION("""COMPUTED_VALUE"""),45220.0)</f>
        <v>45220</v>
      </c>
      <c r="N751" s="23">
        <f>IFERROR(__xludf.DUMMYFUNCTION("""COMPUTED_VALUE"""),45247.0)</f>
        <v>45247</v>
      </c>
      <c r="O751" s="20"/>
      <c r="P751" s="32" t="str">
        <f>IFERROR(__xludf.DUMMYFUNCTION("""COMPUTED_VALUE"""),"可")</f>
        <v>可</v>
      </c>
      <c r="Q751" s="31"/>
      <c r="R751" s="31" t="str">
        <f>IFERROR(__xludf.DUMMYFUNCTION("""COMPUTED_VALUE"""),"格納済")</f>
        <v>格納済</v>
      </c>
      <c r="S751" s="31" t="str">
        <f>IFERROR(__xludf.DUMMYFUNCTION("""COMPUTED_VALUE"""),"20230928_CLLENN_あきしぐれ")</f>
        <v>20230928_CLLENN_あきしぐれ</v>
      </c>
      <c r="T751" s="31" t="str">
        <f>IFERROR(__xludf.DUMMYFUNCTION("""COMPUTED_VALUE"""),"格納済み")</f>
        <v>格納済み</v>
      </c>
      <c r="U751" s="15" t="str">
        <f>IFERROR(__xludf.DUMMYFUNCTION("""COMPUTED_VALUE"""),"ⓒ伊藤レイヂ/CLLENN")</f>
        <v>ⓒ伊藤レイヂ/CLLENN</v>
      </c>
      <c r="V751" s="8" t="str">
        <f>IFERROR(__xludf.DUMMYFUNCTION("""COMPUTED_VALUE"""),"「こんなに濡れて…期待していたんですか？お嬢様…」おてんば娘・なつは生まれつき体が弱く、日がな一日家で過ごしていた。ドスンという大きい音に驚き庭を覗いてみると、そこには鍛え抜かれた逞しい身体の青年が！？冬夜と名乗るその青年に内緒の話し相手になってと頼むなつ。身分は違うけれど、交流するうち二人の間には特別な感情が…。そんなある日、夏の太陽のような熱い眼差しに捕らえられたなつは唇を奪われ…？")</f>
        <v>「こんなに濡れて…期待していたんですか？お嬢様…」おてんば娘・なつは生まれつき体が弱く、日がな一日家で過ごしていた。ドスンという大きい音に驚き庭を覗いてみると、そこには鍛え抜かれた逞しい身体の青年が！？冬夜と名乗るその青年に内緒の話し相手になってと頼むなつ。身分は違うけれど、交流するうち二人の間には特別な感情が…。そんなある日、夏の太陽のような熱い眼差しに捕らえられたなつは唇を奪われ…？</v>
      </c>
      <c r="W751" s="14"/>
      <c r="X751" s="14" t="str">
        <f>IFERROR(__xludf.DUMMYFUNCTION("""COMPUTED_VALUE"""),"有
")</f>
        <v>有
</v>
      </c>
      <c r="Y751" s="8" t="str">
        <f>IFERROR(__xludf.DUMMYFUNCTION("""COMPUTED_VALUE"""),"P10まで")</f>
        <v>P10まで</v>
      </c>
      <c r="Z751" s="7"/>
      <c r="AA751" s="7"/>
      <c r="AB751" s="7"/>
    </row>
    <row r="752" ht="15.75" customHeight="1">
      <c r="A752" s="26">
        <f>IFERROR(__xludf.DUMMYFUNCTION("""COMPUTED_VALUE"""),2436.0)</f>
        <v>2436</v>
      </c>
      <c r="B752" s="31" t="str">
        <f>IFERROR(__xludf.DUMMYFUNCTION("""COMPUTED_VALUE"""),"確定")</f>
        <v>確定</v>
      </c>
      <c r="C752" s="28">
        <f>IFERROR(__xludf.DUMMYFUNCTION("""COMPUTED_VALUE"""),45195.0)</f>
        <v>45195</v>
      </c>
      <c r="D752" s="28">
        <f>IFERROR(__xludf.DUMMYFUNCTION("""COMPUTED_VALUE"""),45202.0)</f>
        <v>45202</v>
      </c>
      <c r="E752" s="26">
        <f>IFERROR(__xludf.DUMMYFUNCTION("""COMPUTED_VALUE"""),271091.0)</f>
        <v>271091</v>
      </c>
      <c r="F752" s="31" t="str">
        <f>IFERROR(__xludf.DUMMYFUNCTION("""COMPUTED_VALUE"""),"カネより重い愛ですが")</f>
        <v>カネより重い愛ですが</v>
      </c>
      <c r="G752" s="20">
        <f>IFERROR(__xludf.DUMMYFUNCTION("""COMPUTED_VALUE"""),1.0)</f>
        <v>1</v>
      </c>
      <c r="H752" s="31" t="str">
        <f>IFERROR(__xludf.DUMMYFUNCTION("""COMPUTED_VALUE"""),"デストロイ")</f>
        <v>デストロイ</v>
      </c>
      <c r="I752" s="14" t="str">
        <f>IFERROR(__xludf.DUMMYFUNCTION("""COMPUTED_VALUE"""),"BL")</f>
        <v>BL</v>
      </c>
      <c r="J752" s="31"/>
      <c r="K752" s="31"/>
      <c r="L752" s="31" t="str">
        <f>IFERROR(__xludf.DUMMYFUNCTION("""COMPUTED_VALUE"""),"ソルマーレ編集部")</f>
        <v>ソルマーレ編集部</v>
      </c>
      <c r="M752" s="23">
        <f>IFERROR(__xludf.DUMMYFUNCTION("""COMPUTED_VALUE"""),45227.0)</f>
        <v>45227</v>
      </c>
      <c r="N752" s="23">
        <f>IFERROR(__xludf.DUMMYFUNCTION("""COMPUTED_VALUE"""),45288.0)</f>
        <v>45288</v>
      </c>
      <c r="O752" s="20"/>
      <c r="P752" s="32" t="str">
        <f>IFERROR(__xludf.DUMMYFUNCTION("""COMPUTED_VALUE"""),"可")</f>
        <v>可</v>
      </c>
      <c r="Q752" s="30"/>
      <c r="R752" s="31"/>
      <c r="S752" s="31" t="str">
        <f>IFERROR(__xludf.DUMMYFUNCTION("""COMPUTED_VALUE"""),"20230928_ソルマーレ編集部_カネより重い愛ですが")</f>
        <v>20230928_ソルマーレ編集部_カネより重い愛ですが</v>
      </c>
      <c r="T752" s="31" t="str">
        <f>IFERROR(__xludf.DUMMYFUNCTION("""COMPUTED_VALUE"""),"格納済み")</f>
        <v>格納済み</v>
      </c>
      <c r="U752" s="15" t="str">
        <f>IFERROR(__xludf.DUMMYFUNCTION("""COMPUTED_VALUE"""),"Ⓒ デストロイ/シーモアコミックス")</f>
        <v>Ⓒ デストロイ/シーモアコミックス</v>
      </c>
      <c r="V752" s="8" t="str">
        <f>IFERROR(__xludf.DUMMYFUNCTION("""COMPUTED_VALUE"""),"「まだ指しか入れてねーのに…これからが本番だろうが」なんでコイツとこんなことに…気持ちよくて頭が回らない――…
ギャンブル中毒のサクは借金が膨らむも返せずついにヤ○ザの事務所へ連行される。人生最大のピンチにどう切り抜けるか考えていると、なんと組長が高校時代の友達・コウで!?泣きついて助けてもらおうとするサクだが、それを見てコウは借金をチャラにする代わりにある条件を出す……【フィカス】")</f>
        <v>「まだ指しか入れてねーのに…これからが本番だろうが」なんでコイツとこんなことに…気持ちよくて頭が回らない――…
ギャンブル中毒のサクは借金が膨らむも返せずついにヤ○ザの事務所へ連行される。人生最大のピンチにどう切り抜けるか考えていると、なんと組長が高校時代の友達・コウで!?泣きついて助けてもらおうとするサクだが、それを見てコウは借金をチャラにする代わりにある条件を出す……【フィカス】</v>
      </c>
      <c r="W752" s="14"/>
      <c r="X752" s="14" t="str">
        <f>IFERROR(__xludf.DUMMYFUNCTION("""COMPUTED_VALUE"""),"有
")</f>
        <v>有
</v>
      </c>
      <c r="Y752" s="8" t="str">
        <f>IFERROR(__xludf.DUMMYFUNCTION("""COMPUTED_VALUE"""),"P9まで")</f>
        <v>P9まで</v>
      </c>
      <c r="Z752" s="7"/>
      <c r="AA752" s="7"/>
      <c r="AB752" s="7"/>
    </row>
    <row r="753" ht="103.5" customHeight="1">
      <c r="A753" s="26">
        <f>IFERROR(__xludf.DUMMYFUNCTION("""COMPUTED_VALUE"""),2444.0)</f>
        <v>2444</v>
      </c>
      <c r="B753" s="31" t="str">
        <f>IFERROR(__xludf.DUMMYFUNCTION("""COMPUTED_VALUE"""),"確定")</f>
        <v>確定</v>
      </c>
      <c r="C753" s="28">
        <f>IFERROR(__xludf.DUMMYFUNCTION("""COMPUTED_VALUE"""),45197.0)</f>
        <v>45197</v>
      </c>
      <c r="D753" s="28">
        <f>IFERROR(__xludf.DUMMYFUNCTION("""COMPUTED_VALUE"""),45202.0)</f>
        <v>45202</v>
      </c>
      <c r="E753" s="31">
        <f>IFERROR(__xludf.DUMMYFUNCTION("""COMPUTED_VALUE"""),279015.0)</f>
        <v>279015</v>
      </c>
      <c r="F753" s="31" t="str">
        <f>IFERROR(__xludf.DUMMYFUNCTION("""COMPUTED_VALUE"""),"この王様すごい迫ってくるんですけど!？～古代エジプトに転生した私～")</f>
        <v>この王様すごい迫ってくるんですけど!？～古代エジプトに転生した私～</v>
      </c>
      <c r="G753" s="20" t="str">
        <f>IFERROR(__xludf.DUMMYFUNCTION("""COMPUTED_VALUE"""),"1~73")</f>
        <v>1~73</v>
      </c>
      <c r="H753" s="31" t="str">
        <f>IFERROR(__xludf.DUMMYFUNCTION("""COMPUTED_VALUE"""),"知音動漫")</f>
        <v>知音動漫</v>
      </c>
      <c r="I753" s="31" t="str">
        <f>IFERROR(__xludf.DUMMYFUNCTION("""COMPUTED_VALUE"""),"少女")</f>
        <v>少女</v>
      </c>
      <c r="J753" s="31"/>
      <c r="K753" s="31"/>
      <c r="L753" s="31" t="str">
        <f>IFERROR(__xludf.DUMMYFUNCTION("""COMPUTED_VALUE"""),"Full Color Comics")</f>
        <v>Full Color Comics</v>
      </c>
      <c r="M753" s="23">
        <f>IFERROR(__xludf.DUMMYFUNCTION("""COMPUTED_VALUE"""),45218.0)</f>
        <v>45218</v>
      </c>
      <c r="N753" s="23">
        <f>IFERROR(__xludf.DUMMYFUNCTION("""COMPUTED_VALUE"""),45309.0)</f>
        <v>45309</v>
      </c>
      <c r="O753" s="20"/>
      <c r="P753" s="32" t="str">
        <f>IFERROR(__xludf.DUMMYFUNCTION("""COMPUTED_VALUE"""),"可")</f>
        <v>可</v>
      </c>
      <c r="Q753" s="31"/>
      <c r="R753" s="31" t="str">
        <f>IFERROR(__xludf.DUMMYFUNCTION("""COMPUTED_VALUE"""),"格納済")</f>
        <v>格納済</v>
      </c>
      <c r="S753" s="31" t="str">
        <f>IFERROR(__xludf.DUMMYFUNCTION("""COMPUTED_VALUE"""),"20230928_FullColorComics_この王様すごい迫ってくるんですけど!？～古代エジプトに転生した私～")</f>
        <v>20230928_FullColorComics_この王様すごい迫ってくるんですけど!？～古代エジプトに転生した私～</v>
      </c>
      <c r="T753" s="31" t="str">
        <f>IFERROR(__xludf.DUMMYFUNCTION("""COMPUTED_VALUE"""),"格納済み")</f>
        <v>格納済み</v>
      </c>
      <c r="U753" s="15" t="str">
        <f>IFERROR(__xludf.DUMMYFUNCTION("""COMPUTED_VALUE"""),"©知音動漫/Wanda Cinemas Games")</f>
        <v>©知音動漫/Wanda Cinemas Games</v>
      </c>
      <c r="V753" s="8" t="str">
        <f>IFERROR(__xludf.DUMMYFUNCTION("""COMPUTED_VALUE"""),"イギリス名家のお嬢様であるアイビーは、兄からもらった不思議なブレスレットの力により、古代エジプトへと飛ばされてしまう。砂漠で2人の青年に拾われたアイビーは、首都で行われる晩餐会に強制的に参加することになり、そこでビフィスと名乗る王子と出会う。突如起こる乱闘の最中にアイビーはビフィスに無理やりキスされ…!?")</f>
        <v>イギリス名家のお嬢様であるアイビーは、兄からもらった不思議なブレスレットの力により、古代エジプトへと飛ばされてしまう。砂漠で2人の青年に拾われたアイビーは、首都で行われる晩餐会に強制的に参加することになり、そこでビフィスと名乗る王子と出会う。突如起こる乱闘の最中にアイビーはビフィスに無理やりキスされ…!?</v>
      </c>
      <c r="W753" s="14"/>
      <c r="X753" s="14" t="str">
        <f>IFERROR(__xludf.DUMMYFUNCTION("""COMPUTED_VALUE"""),"有
")</f>
        <v>有
</v>
      </c>
      <c r="Y753" s="8" t="str">
        <f>IFERROR(__xludf.DUMMYFUNCTION("""COMPUTED_VALUE"""),"3巻無料")</f>
        <v>3巻無料</v>
      </c>
      <c r="Z753" s="7"/>
      <c r="AA753" s="7"/>
      <c r="AB753" s="7"/>
    </row>
    <row r="754" ht="103.5" customHeight="1">
      <c r="A754" s="26">
        <f>IFERROR(__xludf.DUMMYFUNCTION("""COMPUTED_VALUE"""),2449.0)</f>
        <v>2449</v>
      </c>
      <c r="B754" s="31" t="str">
        <f>IFERROR(__xludf.DUMMYFUNCTION("""COMPUTED_VALUE"""),"確定")</f>
        <v>確定</v>
      </c>
      <c r="C754" s="28">
        <f>IFERROR(__xludf.DUMMYFUNCTION("""COMPUTED_VALUE"""),45198.0)</f>
        <v>45198</v>
      </c>
      <c r="D754" s="28">
        <f>IFERROR(__xludf.DUMMYFUNCTION("""COMPUTED_VALUE"""),45203.0)</f>
        <v>45203</v>
      </c>
      <c r="E754" s="26">
        <f>IFERROR(__xludf.DUMMYFUNCTION("""COMPUTED_VALUE"""),267255.0)</f>
        <v>267255</v>
      </c>
      <c r="F754" s="31" t="str">
        <f>IFERROR(__xludf.DUMMYFUNCTION("""COMPUTED_VALUE"""),"海に溺れて恋をする～年下男子と再会したら～")</f>
        <v>海に溺れて恋をする～年下男子と再会したら～</v>
      </c>
      <c r="G754" s="20" t="str">
        <f>IFERROR(__xludf.DUMMYFUNCTION("""COMPUTED_VALUE"""),"1～3")</f>
        <v>1～3</v>
      </c>
      <c r="H754" s="31" t="str">
        <f>IFERROR(__xludf.DUMMYFUNCTION("""COMPUTED_VALUE"""),"ひのもとめぐる,柳沢マコ")</f>
        <v>ひのもとめぐる,柳沢マコ</v>
      </c>
      <c r="I754" s="14" t="str">
        <f>IFERROR(__xludf.DUMMYFUNCTION("""COMPUTED_VALUE"""),"女性")</f>
        <v>女性</v>
      </c>
      <c r="J754" s="31"/>
      <c r="K754" s="31"/>
      <c r="L754" s="31" t="str">
        <f>IFERROR(__xludf.DUMMYFUNCTION("""COMPUTED_VALUE"""),"シーモアコミックス")</f>
        <v>シーモアコミックス</v>
      </c>
      <c r="M754" s="23">
        <f>IFERROR(__xludf.DUMMYFUNCTION("""COMPUTED_VALUE"""),45233.0)</f>
        <v>45233</v>
      </c>
      <c r="N754" s="23">
        <f>IFERROR(__xludf.DUMMYFUNCTION("""COMPUTED_VALUE"""),45386.0)</f>
        <v>45386</v>
      </c>
      <c r="O754" s="20"/>
      <c r="P754" s="34" t="str">
        <f>IFERROR(__xludf.DUMMYFUNCTION("""COMPUTED_VALUE"""),"可")</f>
        <v>可</v>
      </c>
      <c r="Q754" s="30" t="str">
        <f>IFERROR(__xludf.DUMMYFUNCTION("""COMPUTED_VALUE"""),"※正式タイトル下記の通りです（9/29）&lt;BR&gt;＝＝＝&lt;BR&gt;海に溺れて恋をする～年下男子と再会したら～&lt;BR&gt;＝＝＝")</f>
        <v>※正式タイトル下記の通りです（9/29）&lt;BR&gt;＝＝＝&lt;BR&gt;海に溺れて恋をする～年下男子と再会したら～&lt;BR&gt;＝＝＝</v>
      </c>
      <c r="R754" s="31"/>
      <c r="S754" s="31" t="str">
        <f>IFERROR(__xludf.DUMMYFUNCTION("""COMPUTED_VALUE"""),"20231003_シーモアコミックス_海に溺れて恋をする～年下男子と再会したら～")</f>
        <v>20231003_シーモアコミックス_海に溺れて恋をする～年下男子と再会したら～</v>
      </c>
      <c r="T754" s="31" t="str">
        <f>IFERROR(__xludf.DUMMYFUNCTION("""COMPUTED_VALUE"""),"格納済み")</f>
        <v>格納済み</v>
      </c>
      <c r="U754" s="15" t="str">
        <f>IFERROR(__xludf.DUMMYFUNCTION("""COMPUTED_VALUE"""),"© ひのもとめぐる/柳沢マコ/シーモアコミックス")</f>
        <v>© ひのもとめぐる/柳沢マコ/シーモアコミックス</v>
      </c>
      <c r="V754" s="8" t="str">
        <f>IFERROR(__xludf.DUMMYFUNCTION("""COMPUTED_VALUE"""),"29歳のクリスマスの夜、恋人に振られた福原 雫（ふくはら しずく）は、仕事の関係で大嫌いな地元に帰ることになった。噂話しか楽しみの無い最低な町と思っていたが、そこでとある男の子に再会し――…？「おかえり、僕の雫ちゃん」複雑な人間関係が織り成す、海沿いラブストーリー。")</f>
        <v>29歳のクリスマスの夜、恋人に振られた福原 雫（ふくはら しずく）は、仕事の関係で大嫌いな地元に帰ることになった。噂話しか楽しみの無い最低な町と思っていたが、そこでとある男の子に再会し――…？「おかえり、僕の雫ちゃん」複雑な人間関係が織り成す、海沿いラブストーリー。</v>
      </c>
      <c r="W754" s="14"/>
      <c r="X754" s="14" t="str">
        <f>IFERROR(__xludf.DUMMYFUNCTION("""COMPUTED_VALUE"""),"有
")</f>
        <v>有
</v>
      </c>
      <c r="Y754" s="8" t="str">
        <f>IFERROR(__xludf.DUMMYFUNCTION("""COMPUTED_VALUE"""),"P11まで")</f>
        <v>P11まで</v>
      </c>
      <c r="Z754" s="7"/>
      <c r="AA754" s="7"/>
      <c r="AB754" s="7"/>
    </row>
    <row r="755" ht="98.25" customHeight="1">
      <c r="A755" s="26">
        <f>IFERROR(__xludf.DUMMYFUNCTION("""COMPUTED_VALUE"""),2450.0)</f>
        <v>2450</v>
      </c>
      <c r="B755" s="31" t="str">
        <f>IFERROR(__xludf.DUMMYFUNCTION("""COMPUTED_VALUE"""),"確定")</f>
        <v>確定</v>
      </c>
      <c r="C755" s="28">
        <f>IFERROR(__xludf.DUMMYFUNCTION("""COMPUTED_VALUE"""),45198.0)</f>
        <v>45198</v>
      </c>
      <c r="D755" s="28">
        <f>IFERROR(__xludf.DUMMYFUNCTION("""COMPUTED_VALUE"""),45202.0)</f>
        <v>45202</v>
      </c>
      <c r="E755" s="31">
        <f>IFERROR(__xludf.DUMMYFUNCTION("""COMPUTED_VALUE"""),279025.0)</f>
        <v>279025</v>
      </c>
      <c r="F755" s="31" t="str">
        <f>IFERROR(__xludf.DUMMYFUNCTION("""COMPUTED_VALUE"""),"火星の捕食者たち【タテヨミ】")</f>
        <v>火星の捕食者たち【タテヨミ】</v>
      </c>
      <c r="G755" s="20" t="str">
        <f>IFERROR(__xludf.DUMMYFUNCTION("""COMPUTED_VALUE"""),"1~85")</f>
        <v>1~85</v>
      </c>
      <c r="H755" s="31" t="str">
        <f>IFERROR(__xludf.DUMMYFUNCTION("""COMPUTED_VALUE"""),"閔忠基")</f>
        <v>閔忠基</v>
      </c>
      <c r="I755" s="31" t="str">
        <f>IFERROR(__xludf.DUMMYFUNCTION("""COMPUTED_VALUE"""),"少年")</f>
        <v>少年</v>
      </c>
      <c r="J755" s="31"/>
      <c r="K755" s="31"/>
      <c r="L755" s="31" t="str">
        <f>IFERROR(__xludf.DUMMYFUNCTION("""COMPUTED_VALUE"""),"Full Color Comics")</f>
        <v>Full Color Comics</v>
      </c>
      <c r="M755" s="23">
        <f>IFERROR(__xludf.DUMMYFUNCTION("""COMPUTED_VALUE"""),45223.0)</f>
        <v>45223</v>
      </c>
      <c r="N755" s="23">
        <f>IFERROR(__xludf.DUMMYFUNCTION("""COMPUTED_VALUE"""),45314.0)</f>
        <v>45314</v>
      </c>
      <c r="O755" s="20"/>
      <c r="P755" s="32" t="str">
        <f>IFERROR(__xludf.DUMMYFUNCTION("""COMPUTED_VALUE"""),"可")</f>
        <v>可</v>
      </c>
      <c r="Q755" s="31"/>
      <c r="R755" s="31" t="str">
        <f>IFERROR(__xludf.DUMMYFUNCTION("""COMPUTED_VALUE"""),"格納済")</f>
        <v>格納済</v>
      </c>
      <c r="S755" s="31" t="str">
        <f>IFERROR(__xludf.DUMMYFUNCTION("""COMPUTED_VALUE"""),"20230929_FullColorComics_火星の捕食者たち【タテヨミ】")</f>
        <v>20230929_FullColorComics_火星の捕食者たち【タテヨミ】</v>
      </c>
      <c r="T755" s="31" t="str">
        <f>IFERROR(__xludf.DUMMYFUNCTION("""COMPUTED_VALUE"""),"格納済み")</f>
        <v>格納済み</v>
      </c>
      <c r="U755" s="15" t="str">
        <f>IFERROR(__xludf.DUMMYFUNCTION("""COMPUTED_VALUE"""),"©webtoontv")</f>
        <v>©webtoontv</v>
      </c>
      <c r="V755" s="8" t="str">
        <f>IFERROR(__xludf.DUMMYFUNCTION("""COMPUTED_VALUE"""),"火星プロジェクトを阻止するカイネによって探査船が使えなくなり、人々の命が危うくなる。さらに台風のせいで一人孤立したジョンは未知の怪物によって気を失うが…目覚めるとトリトンの実験対象になってしまっていた。ジョンは生き残るため、全力で立ち向かう！")</f>
        <v>火星プロジェクトを阻止するカイネによって探査船が使えなくなり、人々の命が危うくなる。さらに台風のせいで一人孤立したジョンは未知の怪物によって気を失うが…目覚めるとトリトンの実験対象になってしまっていた。ジョンは生き残るため、全力で立ち向かう！</v>
      </c>
      <c r="W755" s="14"/>
      <c r="X755" s="14" t="str">
        <f>IFERROR(__xludf.DUMMYFUNCTION("""COMPUTED_VALUE"""),"有
")</f>
        <v>有
</v>
      </c>
      <c r="Y755" s="8" t="str">
        <f>IFERROR(__xludf.DUMMYFUNCTION("""COMPUTED_VALUE"""),"3巻無料")</f>
        <v>3巻無料</v>
      </c>
      <c r="Z755" s="7"/>
      <c r="AA755" s="7"/>
      <c r="AB755" s="7"/>
    </row>
    <row r="756" ht="15.75" customHeight="1">
      <c r="A756" s="26">
        <f>IFERROR(__xludf.DUMMYFUNCTION("""COMPUTED_VALUE"""),2451.0)</f>
        <v>2451</v>
      </c>
      <c r="B756" s="31" t="str">
        <f>IFERROR(__xludf.DUMMYFUNCTION("""COMPUTED_VALUE"""),"確定")</f>
        <v>確定</v>
      </c>
      <c r="C756" s="28">
        <f>IFERROR(__xludf.DUMMYFUNCTION("""COMPUTED_VALUE"""),45198.0)</f>
        <v>45198</v>
      </c>
      <c r="D756" s="28">
        <f>IFERROR(__xludf.DUMMYFUNCTION("""COMPUTED_VALUE"""),45202.0)</f>
        <v>45202</v>
      </c>
      <c r="E756" s="31">
        <f>IFERROR(__xludf.DUMMYFUNCTION("""COMPUTED_VALUE"""),279026.0)</f>
        <v>279026</v>
      </c>
      <c r="F756" s="31" t="str">
        <f>IFERROR(__xludf.DUMMYFUNCTION("""COMPUTED_VALUE"""),"狂師～チートスキルで落ちこぼれ更生～【タテヨミ】")</f>
        <v>狂師～チートスキルで落ちこぼれ更生～【タテヨミ】</v>
      </c>
      <c r="G756" s="20" t="str">
        <f>IFERROR(__xludf.DUMMYFUNCTION("""COMPUTED_VALUE"""),"1~55")</f>
        <v>1~55</v>
      </c>
      <c r="H756" s="31" t="str">
        <f>IFERROR(__xludf.DUMMYFUNCTION("""COMPUTED_VALUE"""),"小明太極")</f>
        <v>小明太極</v>
      </c>
      <c r="I756" s="31" t="str">
        <f>IFERROR(__xludf.DUMMYFUNCTION("""COMPUTED_VALUE"""),"少年")</f>
        <v>少年</v>
      </c>
      <c r="J756" s="31"/>
      <c r="K756" s="31"/>
      <c r="L756" s="31" t="str">
        <f>IFERROR(__xludf.DUMMYFUNCTION("""COMPUTED_VALUE"""),"Full Color Comics")</f>
        <v>Full Color Comics</v>
      </c>
      <c r="M756" s="23">
        <f>IFERROR(__xludf.DUMMYFUNCTION("""COMPUTED_VALUE"""),45217.0)</f>
        <v>45217</v>
      </c>
      <c r="N756" s="23">
        <f>IFERROR(__xludf.DUMMYFUNCTION("""COMPUTED_VALUE"""),45308.0)</f>
        <v>45308</v>
      </c>
      <c r="O756" s="20"/>
      <c r="P756" s="32" t="str">
        <f>IFERROR(__xludf.DUMMYFUNCTION("""COMPUTED_VALUE"""),"可")</f>
        <v>可</v>
      </c>
      <c r="Q756" s="31"/>
      <c r="R756" s="31" t="str">
        <f>IFERROR(__xludf.DUMMYFUNCTION("""COMPUTED_VALUE"""),"格納済")</f>
        <v>格納済</v>
      </c>
      <c r="S756" s="31" t="str">
        <f>IFERROR(__xludf.DUMMYFUNCTION("""COMPUTED_VALUE"""),"20230929_FullColorComics_狂師～チートスキルで落ちこぼれ更生～【タテヨミ】")</f>
        <v>20230929_FullColorComics_狂師～チートスキルで落ちこぼれ更生～【タテヨミ】</v>
      </c>
      <c r="T756" s="31" t="str">
        <f>IFERROR(__xludf.DUMMYFUNCTION("""COMPUTED_VALUE"""),"格納済み")</f>
        <v>格納済み</v>
      </c>
      <c r="U756" s="15" t="str">
        <f>IFERROR(__xludf.DUMMYFUNCTION("""COMPUTED_VALUE"""),"©小明太極")</f>
        <v>©小明太極</v>
      </c>
      <c r="V756" s="8" t="str">
        <f>IFERROR(__xludf.DUMMYFUNCTION("""COMPUTED_VALUE"""),"絶体絶命のピンチに陥った俺は、気がつくと宇崎というエスパー学院の教師に転生していた。元はS級天才教師だった宇崎は学校最下級D組の担任にまで落ちぶれていたが、転生とともに備わった狂師システムを駆使して、自信を失っていたD組の生徒を一人ずつ立ち直らせ始める。D組をなめてかかっていた他クラスの生徒や教師を次々とぶっ飛ばし、生徒の俺への信頼値は高まる一方で…")</f>
        <v>絶体絶命のピンチに陥った俺は、気がつくと宇崎というエスパー学院の教師に転生していた。元はS級天才教師だった宇崎は学校最下級D組の担任にまで落ちぶれていたが、転生とともに備わった狂師システムを駆使して、自信を失っていたD組の生徒を一人ずつ立ち直らせ始める。D組をなめてかかっていた他クラスの生徒や教師を次々とぶっ飛ばし、生徒の俺への信頼値は高まる一方で…</v>
      </c>
      <c r="W756" s="14"/>
      <c r="X756" s="14" t="str">
        <f>IFERROR(__xludf.DUMMYFUNCTION("""COMPUTED_VALUE"""),"有
")</f>
        <v>有
</v>
      </c>
      <c r="Y756" s="8" t="str">
        <f>IFERROR(__xludf.DUMMYFUNCTION("""COMPUTED_VALUE"""),"3巻無料")</f>
        <v>3巻無料</v>
      </c>
      <c r="Z756" s="7"/>
      <c r="AA756" s="7"/>
      <c r="AB756" s="7"/>
    </row>
    <row r="757" ht="103.5" customHeight="1">
      <c r="A757" s="26">
        <f>IFERROR(__xludf.DUMMYFUNCTION("""COMPUTED_VALUE"""),2452.0)</f>
        <v>2452</v>
      </c>
      <c r="B757" s="31" t="str">
        <f>IFERROR(__xludf.DUMMYFUNCTION("""COMPUTED_VALUE"""),"確定")</f>
        <v>確定</v>
      </c>
      <c r="C757" s="28">
        <f>IFERROR(__xludf.DUMMYFUNCTION("""COMPUTED_VALUE"""),45198.0)</f>
        <v>45198</v>
      </c>
      <c r="D757" s="28">
        <f>IFERROR(__xludf.DUMMYFUNCTION("""COMPUTED_VALUE"""),45202.0)</f>
        <v>45202</v>
      </c>
      <c r="E757" s="31">
        <f>IFERROR(__xludf.DUMMYFUNCTION("""COMPUTED_VALUE"""),279016.0)</f>
        <v>279016</v>
      </c>
      <c r="F757" s="31" t="str">
        <f>IFERROR(__xludf.DUMMYFUNCTION("""COMPUTED_VALUE"""),"この王様すごい迫ってくるんですけど!？～古代エジプトに転生した私～【タテヨミ】")</f>
        <v>この王様すごい迫ってくるんですけど!？～古代エジプトに転生した私～【タテヨミ】</v>
      </c>
      <c r="G757" s="20" t="str">
        <f>IFERROR(__xludf.DUMMYFUNCTION("""COMPUTED_VALUE"""),"1~73")</f>
        <v>1~73</v>
      </c>
      <c r="H757" s="31" t="str">
        <f>IFERROR(__xludf.DUMMYFUNCTION("""COMPUTED_VALUE"""),"知音動漫")</f>
        <v>知音動漫</v>
      </c>
      <c r="I757" s="31" t="str">
        <f>IFERROR(__xludf.DUMMYFUNCTION("""COMPUTED_VALUE"""),"少女")</f>
        <v>少女</v>
      </c>
      <c r="J757" s="31"/>
      <c r="K757" s="31"/>
      <c r="L757" s="31" t="str">
        <f>IFERROR(__xludf.DUMMYFUNCTION("""COMPUTED_VALUE"""),"Full Color Comics")</f>
        <v>Full Color Comics</v>
      </c>
      <c r="M757" s="23">
        <f>IFERROR(__xludf.DUMMYFUNCTION("""COMPUTED_VALUE"""),45218.0)</f>
        <v>45218</v>
      </c>
      <c r="N757" s="23">
        <f>IFERROR(__xludf.DUMMYFUNCTION("""COMPUTED_VALUE"""),44944.0)</f>
        <v>44944</v>
      </c>
      <c r="O757" s="20"/>
      <c r="P757" s="32" t="str">
        <f>IFERROR(__xludf.DUMMYFUNCTION("""COMPUTED_VALUE"""),"可")</f>
        <v>可</v>
      </c>
      <c r="Q757" s="31"/>
      <c r="R757" s="31" t="str">
        <f>IFERROR(__xludf.DUMMYFUNCTION("""COMPUTED_VALUE"""),"格納済")</f>
        <v>格納済</v>
      </c>
      <c r="S757" s="31" t="str">
        <f>IFERROR(__xludf.DUMMYFUNCTION("""COMPUTED_VALUE"""),"20230929_FullColorComics_この王様すごい迫ってくるんですけど!？～古代エジプトに転生した私～【タテヨミ】")</f>
        <v>20230929_FullColorComics_この王様すごい迫ってくるんですけど!？～古代エジプトに転生した私～【タテヨミ】</v>
      </c>
      <c r="T757" s="31" t="str">
        <f>IFERROR(__xludf.DUMMYFUNCTION("""COMPUTED_VALUE"""),"格納済み")</f>
        <v>格納済み</v>
      </c>
      <c r="U757" s="15" t="str">
        <f>IFERROR(__xludf.DUMMYFUNCTION("""COMPUTED_VALUE"""),"©知音動漫/Wanda Cinemas Games")</f>
        <v>©知音動漫/Wanda Cinemas Games</v>
      </c>
      <c r="V757" s="8" t="str">
        <f>IFERROR(__xludf.DUMMYFUNCTION("""COMPUTED_VALUE"""),"イギリス名家のお嬢様であるアイビーは、兄からもらった不思議なブレスレットの力により、古代エジプトへと飛ばされてしまう。砂漠で2人の青年に拾われたアイビーは、首都で行われる晩餐会に強制的に参加することになり、そこでビフィスと名乗る王子と出会う。突如起こる乱闘の最中にアイビーはビフィスに無理やりキスされ…!?")</f>
        <v>イギリス名家のお嬢様であるアイビーは、兄からもらった不思議なブレスレットの力により、古代エジプトへと飛ばされてしまう。砂漠で2人の青年に拾われたアイビーは、首都で行われる晩餐会に強制的に参加することになり、そこでビフィスと名乗る王子と出会う。突如起こる乱闘の最中にアイビーはビフィスに無理やりキスされ…!?</v>
      </c>
      <c r="W757" s="14"/>
      <c r="X757" s="14" t="str">
        <f>IFERROR(__xludf.DUMMYFUNCTION("""COMPUTED_VALUE"""),"有
")</f>
        <v>有
</v>
      </c>
      <c r="Y757" s="8" t="str">
        <f>IFERROR(__xludf.DUMMYFUNCTION("""COMPUTED_VALUE"""),"3巻無料")</f>
        <v>3巻無料</v>
      </c>
      <c r="Z757" s="7"/>
      <c r="AA757" s="7"/>
      <c r="AB757" s="7"/>
    </row>
    <row r="758" ht="15.75" customHeight="1">
      <c r="A758" s="26">
        <f>IFERROR(__xludf.DUMMYFUNCTION("""COMPUTED_VALUE"""),2454.0)</f>
        <v>2454</v>
      </c>
      <c r="B758" s="31" t="str">
        <f>IFERROR(__xludf.DUMMYFUNCTION("""COMPUTED_VALUE"""),"確定")</f>
        <v>確定</v>
      </c>
      <c r="C758" s="28">
        <f>IFERROR(__xludf.DUMMYFUNCTION("""COMPUTED_VALUE"""),45202.0)</f>
        <v>45202</v>
      </c>
      <c r="D758" s="28">
        <f>IFERROR(__xludf.DUMMYFUNCTION("""COMPUTED_VALUE"""),45202.0)</f>
        <v>45202</v>
      </c>
      <c r="E758" s="26">
        <f>IFERROR(__xludf.DUMMYFUNCTION("""COMPUTED_VALUE"""),265331.0)</f>
        <v>265331</v>
      </c>
      <c r="F758" s="31" t="str">
        <f>IFERROR(__xludf.DUMMYFUNCTION("""COMPUTED_VALUE"""),"やり直し新卒は今度こそキミを救いたい!?【タテヨミ】")</f>
        <v>やり直し新卒は今度こそキミを救いたい!?【タテヨミ】</v>
      </c>
      <c r="G758" s="20" t="str">
        <f>IFERROR(__xludf.DUMMYFUNCTION("""COMPUTED_VALUE"""),"1～9")</f>
        <v>1～9</v>
      </c>
      <c r="H758" s="31" t="str">
        <f>IFERROR(__xludf.DUMMYFUNCTION("""COMPUTED_VALUE"""),"Naru,Guruview,MOTGINI")</f>
        <v>Naru,Guruview,MOTGINI</v>
      </c>
      <c r="I758" s="14" t="str">
        <f>IFERROR(__xludf.DUMMYFUNCTION("""COMPUTED_VALUE"""),"青年")</f>
        <v>青年</v>
      </c>
      <c r="J758" s="31"/>
      <c r="K758" s="31"/>
      <c r="L758" s="31" t="str">
        <f>IFERROR(__xludf.DUMMYFUNCTION("""COMPUTED_VALUE"""),"ソルマーレ編集部")</f>
        <v>ソルマーレ編集部</v>
      </c>
      <c r="M758" s="23">
        <f>IFERROR(__xludf.DUMMYFUNCTION("""COMPUTED_VALUE"""),45234.0)</f>
        <v>45234</v>
      </c>
      <c r="N758" s="23">
        <f>IFERROR(__xludf.DUMMYFUNCTION("""COMPUTED_VALUE"""),45295.0)</f>
        <v>45295</v>
      </c>
      <c r="O758" s="20"/>
      <c r="P758" s="34" t="str">
        <f>IFERROR(__xludf.DUMMYFUNCTION("""COMPUTED_VALUE"""),"可")</f>
        <v>可</v>
      </c>
      <c r="Q758" s="30" t="str">
        <f>IFERROR(__xludf.DUMMYFUNCTION("""COMPUTED_VALUE"""),"※コマサム等素材は「265330 やり直し新卒は今度こそキミを救いたい!?（フルカラー）」のほうをお使いください。&lt;BR&gt;バナー制作はフルカラー版の素材を利用して問題ございません。&lt;BR&gt;※正式タイトル下記の通りです（10/3）&lt;BR&gt;＝＝＝&lt;BR&gt;やり直し新卒は今度こそキミを救いたい!?【タテヨミ】&lt;BR&gt;＝＝＝&lt;BR&gt;")</f>
        <v>※コマサム等素材は「265330 やり直し新卒は今度こそキミを救いたい!?（フルカラー）」のほうをお使いください。&lt;BR&gt;バナー制作はフルカラー版の素材を利用して問題ございません。&lt;BR&gt;※正式タイトル下記の通りです（10/3）&lt;BR&gt;＝＝＝&lt;BR&gt;やり直し新卒は今度こそキミを救いたい!?【タテヨミ】&lt;BR&gt;＝＝＝&lt;BR&gt;</v>
      </c>
      <c r="R758" s="31"/>
      <c r="S758" s="30" t="str">
        <f>IFERROR(__xludf.DUMMYFUNCTION("""COMPUTED_VALUE"""),"20231003_ソルマーレ編集部_やり直し新卒は今度こそキミを救いたい！？【タテヨミ】")</f>
        <v>20231003_ソルマーレ編集部_やり直し新卒は今度こそキミを救いたい！？【タテヨミ】</v>
      </c>
      <c r="T758" s="31"/>
      <c r="U758" s="15" t="str">
        <f>IFERROR(__xludf.DUMMYFUNCTION("""COMPUTED_VALUE"""),"Ⓒ Naru/Guruview/シーモアコミックス")</f>
        <v>Ⓒ Naru/Guruview/シーモアコミックス</v>
      </c>
      <c r="V758" s="8" t="str">
        <f>IFERROR(__xludf.DUMMYFUNCTION("""COMPUTED_VALUE"""),"新卒初日をやり直して、僕は愛を手に入れる!!　オフィスを舞台に新感覚の転生チート☆
うるわしの女上司・世良さんの寿退社に耐えきれず、旅行会社を自主退職した僕。人生オワタと嘆いていたら、なぜか新卒初日にタイムスリップしていた！　エリート新入社員として今度こそ世良さんのハートを射止めたいのに、恋愛フラグが立ったのはイジワルな女センパイ・麻里奈だった。気の強い彼女のカワイイ一面にきゅんとするけど、世良さんのことだって大好きで…僕はいったいどうしたらいいんだ～！【ズズズキュン！】")</f>
        <v>新卒初日をやり直して、僕は愛を手に入れる!!　オフィスを舞台に新感覚の転生チート☆
うるわしの女上司・世良さんの寿退社に耐えきれず、旅行会社を自主退職した僕。人生オワタと嘆いていたら、なぜか新卒初日にタイムスリップしていた！　エリート新入社員として今度こそ世良さんのハートを射止めたいのに、恋愛フラグが立ったのはイジワルな女センパイ・麻里奈だった。気の強い彼女のカワイイ一面にきゅんとするけど、世良さんのことだって大好きで…僕はいったいどうしたらいいんだ～！【ズズズキュン！】</v>
      </c>
      <c r="W758" s="14"/>
      <c r="X758" s="14" t="str">
        <f>IFERROR(__xludf.DUMMYFUNCTION("""COMPUTED_VALUE"""),"有
")</f>
        <v>有
</v>
      </c>
      <c r="Y758" s="8" t="str">
        <f>IFERROR(__xludf.DUMMYFUNCTION("""COMPUTED_VALUE"""),"11/17まで1~3巻無料")</f>
        <v>11/17まで1~3巻無料</v>
      </c>
      <c r="Z758" s="7"/>
      <c r="AA758" s="7"/>
      <c r="AB758" s="7"/>
    </row>
    <row r="759" ht="15.75" customHeight="1">
      <c r="A759" s="26">
        <f>IFERROR(__xludf.DUMMYFUNCTION("""COMPUTED_VALUE"""),2456.0)</f>
        <v>2456</v>
      </c>
      <c r="B759" s="31" t="str">
        <f>IFERROR(__xludf.DUMMYFUNCTION("""COMPUTED_VALUE"""),"確定")</f>
        <v>確定</v>
      </c>
      <c r="C759" s="28">
        <f>IFERROR(__xludf.DUMMYFUNCTION("""COMPUTED_VALUE"""),45202.0)</f>
        <v>45202</v>
      </c>
      <c r="D759" s="28">
        <f>IFERROR(__xludf.DUMMYFUNCTION("""COMPUTED_VALUE"""),45202.0)</f>
        <v>45202</v>
      </c>
      <c r="E759" s="26">
        <f>IFERROR(__xludf.DUMMYFUNCTION("""COMPUTED_VALUE"""),274855.0)</f>
        <v>274855</v>
      </c>
      <c r="F759" s="31" t="str">
        <f>IFERROR(__xludf.DUMMYFUNCTION("""COMPUTED_VALUE"""),"体感予報 TVドラマ化記念番外編")</f>
        <v>体感予報 TVドラマ化記念番外編</v>
      </c>
      <c r="G759" s="20">
        <f>IFERROR(__xludf.DUMMYFUNCTION("""COMPUTED_VALUE"""),1.0)</f>
        <v>1</v>
      </c>
      <c r="H759" s="31" t="str">
        <f>IFERROR(__xludf.DUMMYFUNCTION("""COMPUTED_VALUE"""),"鯛野ニッケ")</f>
        <v>鯛野ニッケ</v>
      </c>
      <c r="I759" s="14" t="str">
        <f>IFERROR(__xludf.DUMMYFUNCTION("""COMPUTED_VALUE"""),"BL")</f>
        <v>BL</v>
      </c>
      <c r="J759" s="31"/>
      <c r="K759" s="31"/>
      <c r="L759" s="31" t="str">
        <f>IFERROR(__xludf.DUMMYFUNCTION("""COMPUTED_VALUE"""),"ソルマーレ編集部")</f>
        <v>ソルマーレ編集部</v>
      </c>
      <c r="M759" s="23">
        <f>IFERROR(__xludf.DUMMYFUNCTION("""COMPUTED_VALUE"""),45206.0)</f>
        <v>45206</v>
      </c>
      <c r="N759" s="23">
        <f>IFERROR(__xludf.DUMMYFUNCTION("""COMPUTED_VALUE"""),45267.0)</f>
        <v>45267</v>
      </c>
      <c r="O759" s="20"/>
      <c r="P759" s="32" t="str">
        <f>IFERROR(__xludf.DUMMYFUNCTION("""COMPUTED_VALUE"""),"可")</f>
        <v>可</v>
      </c>
      <c r="Q759" s="30"/>
      <c r="R759" s="31"/>
      <c r="S759" s="31" t="str">
        <f>IFERROR(__xludf.DUMMYFUNCTION("""COMPUTED_VALUE"""),"20231003_ソルマーレ編集部_体感予報 TVドラマ化記念番外編")</f>
        <v>20231003_ソルマーレ編集部_体感予報 TVドラマ化記念番外編</v>
      </c>
      <c r="T759" s="31" t="str">
        <f>IFERROR(__xludf.DUMMYFUNCTION("""COMPUTED_VALUE"""),"格納済み")</f>
        <v>格納済み</v>
      </c>
      <c r="U759" s="15" t="str">
        <f>IFERROR(__xludf.DUMMYFUNCTION("""COMPUTED_VALUE"""),"Ⓒ 鯛野ニッケ/シーモアコミックス")</f>
        <v>Ⓒ 鯛野ニッケ/シーモアコミックス</v>
      </c>
      <c r="V759" s="8" t="str">
        <f>IFERROR(__xludf.DUMMYFUNCTION("""COMPUTED_VALUE"""),"【大人気作品「体感予報」TVドラマ化記念番外編登場！】崖っぷちエロ漫画家の葉(よう)は、人気上昇中のイケメン気象予報士・瀬ヶ崎(せがさき)と一緒に住んでいる。ある日 余ったワインの扱いに困り、瀬ヶ崎に相談したところ――事態は思わぬ方向に…？ 曇りのち甘々な二人の恋模様をお届け☆【フィカス】")</f>
        <v>【大人気作品「体感予報」TVドラマ化記念番外編登場！】崖っぷちエロ漫画家の葉(よう)は、人気上昇中のイケメン気象予報士・瀬ヶ崎(せがさき)と一緒に住んでいる。ある日 余ったワインの扱いに困り、瀬ヶ崎に相談したところ――事態は思わぬ方向に…？ 曇りのち甘々な二人の恋模様をお届け☆【フィカス】</v>
      </c>
      <c r="W759" s="14"/>
      <c r="X759" s="14" t="str">
        <f>IFERROR(__xludf.DUMMYFUNCTION("""COMPUTED_VALUE"""),"有
")</f>
        <v>有
</v>
      </c>
      <c r="Y759" s="8" t="str">
        <f>IFERROR(__xludf.DUMMYFUNCTION("""COMPUTED_VALUE"""),"P8まで")</f>
        <v>P8まで</v>
      </c>
      <c r="Z759" s="7"/>
      <c r="AA759" s="7"/>
      <c r="AB759" s="7"/>
    </row>
    <row r="760" ht="103.5" customHeight="1">
      <c r="A760" s="26">
        <f>IFERROR(__xludf.DUMMYFUNCTION("""COMPUTED_VALUE"""),2459.0)</f>
        <v>2459</v>
      </c>
      <c r="B760" s="31" t="str">
        <f>IFERROR(__xludf.DUMMYFUNCTION("""COMPUTED_VALUE"""),"確定")</f>
        <v>確定</v>
      </c>
      <c r="C760" s="28">
        <f>IFERROR(__xludf.DUMMYFUNCTION("""COMPUTED_VALUE"""),45202.0)</f>
        <v>45202</v>
      </c>
      <c r="D760" s="28">
        <f>IFERROR(__xludf.DUMMYFUNCTION("""COMPUTED_VALUE"""),45202.0)</f>
        <v>45202</v>
      </c>
      <c r="E760" s="31">
        <f>IFERROR(__xludf.DUMMYFUNCTION("""COMPUTED_VALUE"""),278706.0)</f>
        <v>278706</v>
      </c>
      <c r="F760" s="31" t="str">
        <f>IFERROR(__xludf.DUMMYFUNCTION("""COMPUTED_VALUE"""),"メンヘラうさぎはヤンデレ狼に溺愛される")</f>
        <v>メンヘラうさぎはヤンデレ狼に溺愛される</v>
      </c>
      <c r="G760" s="20" t="str">
        <f>IFERROR(__xludf.DUMMYFUNCTION("""COMPUTED_VALUE"""),"1～5")</f>
        <v>1～5</v>
      </c>
      <c r="H760" s="31" t="str">
        <f>IFERROR(__xludf.DUMMYFUNCTION("""COMPUTED_VALUE"""),"葉夕シオリ")</f>
        <v>葉夕シオリ</v>
      </c>
      <c r="I760" s="22" t="str">
        <f>IFERROR(__xludf.DUMMYFUNCTION("""COMPUTED_VALUE"""),"女性")</f>
        <v>女性</v>
      </c>
      <c r="J760" s="31"/>
      <c r="K760" s="31"/>
      <c r="L760" s="31" t="str">
        <f>IFERROR(__xludf.DUMMYFUNCTION("""COMPUTED_VALUE"""),"集英社")</f>
        <v>集英社</v>
      </c>
      <c r="M760" s="23">
        <f>IFERROR(__xludf.DUMMYFUNCTION("""COMPUTED_VALUE"""),45224.0)</f>
        <v>45224</v>
      </c>
      <c r="N760" s="23">
        <f>IFERROR(__xludf.DUMMYFUNCTION("""COMPUTED_VALUE"""),45254.0)</f>
        <v>45254</v>
      </c>
      <c r="O760" s="20"/>
      <c r="P760" s="34" t="str">
        <f>IFERROR(__xludf.DUMMYFUNCTION("""COMPUTED_VALUE"""),"否")</f>
        <v>否</v>
      </c>
      <c r="Q760" s="30" t="str">
        <f>IFERROR(__xludf.DUMMYFUNCTION("""COMPUTED_VALUE"""),"マンガMee")</f>
        <v>マンガMee</v>
      </c>
      <c r="R760" s="31"/>
      <c r="S760" s="30" t="str">
        <f>IFERROR(__xludf.DUMMYFUNCTION("""COMPUTED_VALUE"""),"20231003_集英社_メンヘラうさぎはヤンデレ狼に溺愛される")</f>
        <v>20231003_集英社_メンヘラうさぎはヤンデレ狼に溺愛される</v>
      </c>
      <c r="T760" s="31"/>
      <c r="U760" s="15" t="str">
        <f>IFERROR(__xludf.DUMMYFUNCTION("""COMPUTED_VALUE"""),"©葉夕シオリ／集英社")</f>
        <v>©葉夕シオリ／集英社</v>
      </c>
      <c r="V760" s="8" t="str">
        <f>IFERROR(__xludf.DUMMYFUNCTION("""COMPUTED_VALUE"""),"メンヘラ女子×ヤンデレ男子の危険で歪な恋!?　つむぎは歴代彼氏に「重すぎる」と捨てられてきたメンヘラ女子。彼氏のスマホを勝手に覗き怒られ、家から追い出されてしまう。そんな時助けてくれたのは、自分を全肯定してくれる超優しい年下の男の子、愛士。彼の優しい慰めで傷ついた心が安らぐつむぎだったが、愛士には秘密があって…!?")</f>
        <v>メンヘラ女子×ヤンデレ男子の危険で歪な恋!?　つむぎは歴代彼氏に「重すぎる」と捨てられてきたメンヘラ女子。彼氏のスマホを勝手に覗き怒られ、家から追い出されてしまう。そんな時助けてくれたのは、自分を全肯定してくれる超優しい年下の男の子、愛士。彼の優しい慰めで傷ついた心が安らぐつむぎだったが、愛士には秘密があって…!?</v>
      </c>
      <c r="W760" s="14"/>
      <c r="X760" s="14" t="str">
        <f>IFERROR(__xludf.DUMMYFUNCTION("""COMPUTED_VALUE"""),"有
")</f>
        <v>有
</v>
      </c>
      <c r="Y760" s="8" t="str">
        <f>IFERROR(__xludf.DUMMYFUNCTION("""COMPUTED_VALUE"""),"P26まで")</f>
        <v>P26まで</v>
      </c>
      <c r="Z760" s="7"/>
      <c r="AA760" s="7"/>
      <c r="AB760" s="7"/>
    </row>
    <row r="761" ht="99.0" customHeight="1">
      <c r="A761" s="26">
        <f>IFERROR(__xludf.DUMMYFUNCTION("""COMPUTED_VALUE"""),2274.0)</f>
        <v>2274</v>
      </c>
      <c r="B761" s="22" t="str">
        <f>IFERROR(__xludf.DUMMYFUNCTION("""COMPUTED_VALUE"""),"確定")</f>
        <v>確定</v>
      </c>
      <c r="C761" s="28">
        <f>IFERROR(__xludf.DUMMYFUNCTION("""COMPUTED_VALUE"""),45148.0)</f>
        <v>45148</v>
      </c>
      <c r="D761" s="28">
        <f>IFERROR(__xludf.DUMMYFUNCTION("""COMPUTED_VALUE"""),45203.0)</f>
        <v>45203</v>
      </c>
      <c r="E761" s="31">
        <f>IFERROR(__xludf.DUMMYFUNCTION("""COMPUTED_VALUE"""),280107.0)</f>
        <v>280107</v>
      </c>
      <c r="F761" s="22" t="str">
        <f>IFERROR(__xludf.DUMMYFUNCTION("""COMPUTED_VALUE"""),"夕闇の頃、この町では必ず誰かが笑う【単話版】")</f>
        <v>夕闇の頃、この町では必ず誰かが笑う【単話版】</v>
      </c>
      <c r="G761" s="11" t="str">
        <f>IFERROR(__xludf.DUMMYFUNCTION("""COMPUTED_VALUE"""),"1～4")</f>
        <v>1～4</v>
      </c>
      <c r="H761" s="22" t="str">
        <f>IFERROR(__xludf.DUMMYFUNCTION("""COMPUTED_VALUE"""),"原案：藤色人鳥／作画：うるみ")</f>
        <v>原案：藤色人鳥／作画：うるみ</v>
      </c>
      <c r="I761" s="22" t="str">
        <f>IFERROR(__xludf.DUMMYFUNCTION("""COMPUTED_VALUE"""),"男性")</f>
        <v>男性</v>
      </c>
      <c r="J761" s="22"/>
      <c r="K761" s="22"/>
      <c r="L761" s="22" t="str">
        <f>IFERROR(__xludf.DUMMYFUNCTION("""COMPUTED_VALUE"""),"GANMA!")</f>
        <v>GANMA!</v>
      </c>
      <c r="M761" s="23">
        <f>IFERROR(__xludf.DUMMYFUNCTION("""COMPUTED_VALUE"""),45231.0)</f>
        <v>45231</v>
      </c>
      <c r="N761" s="23">
        <f>IFERROR(__xludf.DUMMYFUNCTION("""COMPUTED_VALUE"""),45291.0)</f>
        <v>45291</v>
      </c>
      <c r="O761" s="20"/>
      <c r="P761" s="29" t="str">
        <f>IFERROR(__xludf.DUMMYFUNCTION("""COMPUTED_VALUE"""),"否")</f>
        <v>否</v>
      </c>
      <c r="Q761" s="30" t="str">
        <f>IFERROR(__xludf.DUMMYFUNCTION("""COMPUTED_VALUE"""),"広告コミットOK(8/18)&lt;BR&gt;&lt;BR&gt;初回配信が3話予定から4話に増えました")</f>
        <v>広告コミットOK(8/18)&lt;BR&gt;&lt;BR&gt;初回配信が3話予定から4話に増えました</v>
      </c>
      <c r="R761" s="22"/>
      <c r="S761" s="30" t="str">
        <f>IFERROR(__xludf.DUMMYFUNCTION("""COMPUTED_VALUE"""),"20231004_GANMA!_夕闇の頃、この町では必ず誰かが笑う【単話版】")</f>
        <v>20231004_GANMA!_夕闇の頃、この町では必ず誰かが笑う【単話版】</v>
      </c>
      <c r="T761" s="22"/>
      <c r="U761" s="15" t="str">
        <f>IFERROR(__xludf.DUMMYFUNCTION("""COMPUTED_VALUE"""),"©藤色人鳥／うるみ／COMICSMART INC.")</f>
        <v>©藤色人鳥／うるみ／COMICSMART INC.</v>
      </c>
      <c r="V761" s="8" t="str">
        <f>IFERROR(__xludf.DUMMYFUNCTION("""COMPUTED_VALUE"""),"もしも、今まで暮らしていた町や生活が偽物に思えたらどうする…？　本格ノスタルジック怪奇ホラー！（著者名： 原案：藤色人鳥／作画：うるみ /初出：GANMA!1話掲載分）")</f>
        <v>もしも、今まで暮らしていた町や生活が偽物に思えたらどうする…？　本格ノスタルジック怪奇ホラー！（著者名： 原案：藤色人鳥／作画：うるみ /初出：GANMA!1話掲載分）</v>
      </c>
      <c r="W761" s="14"/>
      <c r="X761" s="14" t="str">
        <f>IFERROR(__xludf.DUMMYFUNCTION("""COMPUTED_VALUE"""),"有
")</f>
        <v>有
</v>
      </c>
      <c r="Y761" s="8" t="str">
        <f>IFERROR(__xludf.DUMMYFUNCTION("""COMPUTED_VALUE"""),"P5まで")</f>
        <v>P5まで</v>
      </c>
      <c r="Z761" s="7"/>
      <c r="AA761" s="7"/>
      <c r="AB761" s="7"/>
    </row>
    <row r="762" ht="15.75" customHeight="1">
      <c r="A762" s="26">
        <f>IFERROR(__xludf.DUMMYFUNCTION("""COMPUTED_VALUE"""),2401.0)</f>
        <v>2401</v>
      </c>
      <c r="B762" s="22" t="str">
        <f>IFERROR(__xludf.DUMMYFUNCTION("""COMPUTED_VALUE"""),"確定")</f>
        <v>確定</v>
      </c>
      <c r="C762" s="28">
        <f>IFERROR(__xludf.DUMMYFUNCTION("""COMPUTED_VALUE"""),45188.0)</f>
        <v>45188</v>
      </c>
      <c r="D762" s="28">
        <f>IFERROR(__xludf.DUMMYFUNCTION("""COMPUTED_VALUE"""),45210.0)</f>
        <v>45210</v>
      </c>
      <c r="E762" s="31">
        <f>IFERROR(__xludf.DUMMYFUNCTION("""COMPUTED_VALUE"""),278959.0)</f>
        <v>278959</v>
      </c>
      <c r="F762" s="22" t="str">
        <f>IFERROR(__xludf.DUMMYFUNCTION("""COMPUTED_VALUE"""),"狐族の花嫁～香りが導く運命の番～【ページ版】")</f>
        <v>狐族の花嫁～香りが導く運命の番～【ページ版】</v>
      </c>
      <c r="G762" s="20" t="str">
        <f>IFERROR(__xludf.DUMMYFUNCTION("""COMPUTED_VALUE"""),"1~5")</f>
        <v>1~5</v>
      </c>
      <c r="H762" s="22" t="str">
        <f>IFERROR(__xludf.DUMMYFUNCTION("""COMPUTED_VALUE"""),"ショコラ*/兎原シイタ/JAMTOON")</f>
        <v>ショコラ*/兎原シイタ/JAMTOON</v>
      </c>
      <c r="I762" s="22" t="str">
        <f>IFERROR(__xludf.DUMMYFUNCTION("""COMPUTED_VALUE"""),"女性")</f>
        <v>女性</v>
      </c>
      <c r="J762" s="22"/>
      <c r="K762" s="22"/>
      <c r="L762" s="22" t="str">
        <f>IFERROR(__xludf.DUMMYFUNCTION("""COMPUTED_VALUE"""),"ファンギルド")</f>
        <v>ファンギルド</v>
      </c>
      <c r="M762" s="23">
        <f>IFERROR(__xludf.DUMMYFUNCTION("""COMPUTED_VALUE"""),45231.0)</f>
        <v>45231</v>
      </c>
      <c r="N762" s="23">
        <f>IFERROR(__xludf.DUMMYFUNCTION("""COMPUTED_VALUE"""),45264.0)</f>
        <v>45264</v>
      </c>
      <c r="O762" s="20"/>
      <c r="P762" s="32" t="str">
        <f>IFERROR(__xludf.DUMMYFUNCTION("""COMPUTED_VALUE"""),"可")</f>
        <v>可</v>
      </c>
      <c r="Q762" s="30"/>
      <c r="R762" s="22"/>
      <c r="S762" s="22" t="str">
        <f>IFERROR(__xludf.DUMMYFUNCTION("""COMPUTED_VALUE"""),"20230929_ファンギルド_狐族の花嫁～香りが導く運命の番～")</f>
        <v>20230929_ファンギルド_狐族の花嫁～香りが導く運命の番～</v>
      </c>
      <c r="T762" s="22" t="str">
        <f>IFERROR(__xludf.DUMMYFUNCTION("""COMPUTED_VALUE"""),"格納済み")</f>
        <v>格納済み</v>
      </c>
      <c r="U762" s="15" t="str">
        <f>IFERROR(__xludf.DUMMYFUNCTION("""COMPUTED_VALUE"""),"©dotworks LLC. /ショコラ*/兎原シイタ/JAMTOON/FUNGUILD")</f>
        <v>©dotworks LLC. /ショコラ*/兎原シイタ/JAMTOON/FUNGUILD</v>
      </c>
      <c r="V762" s="8" t="str">
        <f>IFERROR(__xludf.DUMMYFUNCTION("""COMPUTED_VALUE"""),"「お前は昂ぶるとひときわ甘く香るな」「そんなー…」狐族の母と人間の父の間に生まれ、天涯孤独となった澪。引き取られた狐族の中では異物扱いされ、使用人として寂しい日々を送っていた。そんな時、都を統べる宗主・近衛恭介に花嫁として見初められ、嫁ぐことに…！緊張の中で迎えた初夜では、恭介が近づくだけでも体が熱く、触れられたら体の芯からとろけるような、まるで発情するような感覚になってしまい…！？互いの魂が惹かれ合う、ドラマチック大人向けファンタジー！【「狐族の花嫁～香りが導く運命の番～」の再編集版です。重複購入にご注"&amp;"意ください。】")</f>
        <v>「お前は昂ぶるとひときわ甘く香るな」「そんなー…」狐族の母と人間の父の間に生まれ、天涯孤独となった澪。引き取られた狐族の中では異物扱いされ、使用人として寂しい日々を送っていた。そんな時、都を統べる宗主・近衛恭介に花嫁として見初められ、嫁ぐことに…！緊張の中で迎えた初夜では、恭介が近づくだけでも体が熱く、触れられたら体の芯からとろけるような、まるで発情するような感覚になってしまい…！？互いの魂が惹かれ合う、ドラマチック大人向けファンタジー！【「狐族の花嫁～香りが導く運命の番～」の再編集版です。重複購入にご注意ください。】</v>
      </c>
      <c r="W762" s="14"/>
      <c r="X762" s="14" t="str">
        <f>IFERROR(__xludf.DUMMYFUNCTION("""COMPUTED_VALUE"""),"有
")</f>
        <v>有
</v>
      </c>
      <c r="Y762" s="8" t="str">
        <f>IFERROR(__xludf.DUMMYFUNCTION("""COMPUTED_VALUE"""),"11/14まで1巻無料")</f>
        <v>11/14まで1巻無料</v>
      </c>
      <c r="Z762" s="7"/>
      <c r="AA762" s="7"/>
      <c r="AB762" s="7"/>
    </row>
    <row r="763" ht="15.75" customHeight="1">
      <c r="A763" s="26">
        <f>IFERROR(__xludf.DUMMYFUNCTION("""COMPUTED_VALUE"""),2427.0)</f>
        <v>2427</v>
      </c>
      <c r="B763" s="22" t="str">
        <f>IFERROR(__xludf.DUMMYFUNCTION("""COMPUTED_VALUE"""),"確定")</f>
        <v>確定</v>
      </c>
      <c r="C763" s="28">
        <f>IFERROR(__xludf.DUMMYFUNCTION("""COMPUTED_VALUE"""),45194.0)</f>
        <v>45194</v>
      </c>
      <c r="D763" s="28">
        <f>IFERROR(__xludf.DUMMYFUNCTION("""COMPUTED_VALUE"""),45210.0)</f>
        <v>45210</v>
      </c>
      <c r="E763" s="31">
        <f>IFERROR(__xludf.DUMMYFUNCTION("""COMPUTED_VALUE"""),279713.0)</f>
        <v>279713</v>
      </c>
      <c r="F763" s="22" t="str">
        <f>IFERROR(__xludf.DUMMYFUNCTION("""COMPUTED_VALUE"""),"サレ妻のリベンジ【タテヨミ】")</f>
        <v>サレ妻のリベンジ【タテヨミ】</v>
      </c>
      <c r="G763" s="20" t="str">
        <f>IFERROR(__xludf.DUMMYFUNCTION("""COMPUTED_VALUE"""),"1～14")</f>
        <v>1～14</v>
      </c>
      <c r="H763" s="22" t="str">
        <f>IFERROR(__xludf.DUMMYFUNCTION("""COMPUTED_VALUE"""),"都築七美, comee, 仲紙")</f>
        <v>都築七美, comee, 仲紙</v>
      </c>
      <c r="I763" s="22" t="str">
        <f>IFERROR(__xludf.DUMMYFUNCTION("""COMPUTED_VALUE"""),"女性")</f>
        <v>女性</v>
      </c>
      <c r="J763" s="22"/>
      <c r="K763" s="22"/>
      <c r="L763" s="22" t="str">
        <f>IFERROR(__xludf.DUMMYFUNCTION("""COMPUTED_VALUE"""),"NHNcomico")</f>
        <v>NHNcomico</v>
      </c>
      <c r="M763" s="23">
        <f>IFERROR(__xludf.DUMMYFUNCTION("""COMPUTED_VALUE"""),45233.0)</f>
        <v>45233</v>
      </c>
      <c r="N763" s="23">
        <f>IFERROR(__xludf.DUMMYFUNCTION("""COMPUTED_VALUE"""),45323.0)</f>
        <v>45323</v>
      </c>
      <c r="O763" s="20"/>
      <c r="P763" s="29" t="str">
        <f>IFERROR(__xludf.DUMMYFUNCTION("""COMPUTED_VALUE"""),"可")</f>
        <v>可</v>
      </c>
      <c r="Q763" s="30" t="str">
        <f>IFERROR(__xludf.DUMMYFUNCTION("""COMPUTED_VALUE"""),"広告コミットOK(10/3)")</f>
        <v>広告コミットOK(10/3)</v>
      </c>
      <c r="R763" s="22"/>
      <c r="S763" s="22" t="str">
        <f>IFERROR(__xludf.DUMMYFUNCTION("""COMPUTED_VALUE"""),"20231010_comico_サレ妻のリベンジ")</f>
        <v>20231010_comico_サレ妻のリベンジ</v>
      </c>
      <c r="T763" s="22" t="str">
        <f>IFERROR(__xludf.DUMMYFUNCTION("""COMPUTED_VALUE"""),"格納済み")</f>
        <v>格納済み</v>
      </c>
      <c r="U763" s="15" t="str">
        <f>IFERROR(__xludf.DUMMYFUNCTION("""COMPUTED_VALUE"""),"(C)comee・仲紙/comico (C)都築七美/エブリスタ")</f>
        <v>(C)comee・仲紙/comico (C)都築七美/エブリスタ</v>
      </c>
      <c r="V763" s="8" t="str">
        <f>IFERROR(__xludf.DUMMYFUNCTION("""COMPUTED_VALUE"""),"私はニュースであの子の「死」を知った。義母からの壮絶な嫁いびり、夫の不倫、友人の裏切り。ボロボロになった末に捨てられた私は、最愛の存在までも失った。ああどうか、過去に戻ることができたなら。神様がもう一度私にやり直すチャンスをくれたのなら―――今度こそ間違えない。全てを奪われたサレ妻は、過去に舞い戻ってリベンジを誓う。小説投稿サイト『エブリスタ』の大人気作品を元に待望のコミカライズ！")</f>
        <v>私はニュースであの子の「死」を知った。義母からの壮絶な嫁いびり、夫の不倫、友人の裏切り。ボロボロになった末に捨てられた私は、最愛の存在までも失った。ああどうか、過去に戻ることができたなら。神様がもう一度私にやり直すチャンスをくれたのなら―――今度こそ間違えない。全てを奪われたサレ妻は、過去に舞い戻ってリベンジを誓う。小説投稿サイト『エブリスタ』の大人気作品を元に待望のコミカライズ！</v>
      </c>
      <c r="W763" s="14"/>
      <c r="X763" s="14" t="str">
        <f>IFERROR(__xludf.DUMMYFUNCTION("""COMPUTED_VALUE"""),"有
")</f>
        <v>有
</v>
      </c>
      <c r="Y763" s="8" t="str">
        <f>IFERROR(__xludf.DUMMYFUNCTION("""COMPUTED_VALUE"""),"1～2巻永久無料
11/16まで3～5巻無料")</f>
        <v>1～2巻永久無料
11/16まで3～5巻無料</v>
      </c>
      <c r="Z763" s="7"/>
      <c r="AA763" s="7"/>
      <c r="AB763" s="7"/>
    </row>
    <row r="764" ht="15.75" customHeight="1">
      <c r="A764" s="26">
        <f>IFERROR(__xludf.DUMMYFUNCTION("""COMPUTED_VALUE"""),2446.0)</f>
        <v>2446</v>
      </c>
      <c r="B764" s="22" t="str">
        <f>IFERROR(__xludf.DUMMYFUNCTION("""COMPUTED_VALUE"""),"確定")</f>
        <v>確定</v>
      </c>
      <c r="C764" s="28">
        <f>IFERROR(__xludf.DUMMYFUNCTION("""COMPUTED_VALUE"""),45198.0)</f>
        <v>45198</v>
      </c>
      <c r="D764" s="28">
        <f>IFERROR(__xludf.DUMMYFUNCTION("""COMPUTED_VALUE"""),45210.0)</f>
        <v>45210</v>
      </c>
      <c r="E764" s="31">
        <f>IFERROR(__xludf.DUMMYFUNCTION("""COMPUTED_VALUE"""),289068.0)</f>
        <v>289068</v>
      </c>
      <c r="F764" s="22" t="str">
        <f>IFERROR(__xludf.DUMMYFUNCTION("""COMPUTED_VALUE"""),"姉ヶ崎姉妹の誘惑")</f>
        <v>姉ヶ崎姉妹の誘惑</v>
      </c>
      <c r="G764" s="20">
        <f>IFERROR(__xludf.DUMMYFUNCTION("""COMPUTED_VALUE"""),1.0)</f>
        <v>1</v>
      </c>
      <c r="H764" s="22" t="str">
        <f>IFERROR(__xludf.DUMMYFUNCTION("""COMPUTED_VALUE"""),"ken-1/夜桜")</f>
        <v>ken-1/夜桜</v>
      </c>
      <c r="I764" s="22" t="str">
        <f>IFERROR(__xludf.DUMMYFUNCTION("""COMPUTED_VALUE"""),"オトナ")</f>
        <v>オトナ</v>
      </c>
      <c r="J764" s="22"/>
      <c r="K764" s="22"/>
      <c r="L764" s="22" t="str">
        <f>IFERROR(__xludf.DUMMYFUNCTION("""COMPUTED_VALUE"""),"ブリック出版")</f>
        <v>ブリック出版</v>
      </c>
      <c r="M764" s="23">
        <f>IFERROR(__xludf.DUMMYFUNCTION("""COMPUTED_VALUE"""),45373.0)</f>
        <v>45373</v>
      </c>
      <c r="N764" s="23">
        <f>IFERROR(__xludf.DUMMYFUNCTION("""COMPUTED_VALUE"""),45443.0)</f>
        <v>45443</v>
      </c>
      <c r="O764" s="20"/>
      <c r="P764" s="29" t="str">
        <f>IFERROR(__xludf.DUMMYFUNCTION("""COMPUTED_VALUE"""),"可")</f>
        <v>可</v>
      </c>
      <c r="Q764" s="30" t="str">
        <f>IFERROR(__xludf.DUMMYFUNCTION("""COMPUTED_VALUE"""),"広告コミットOK(10/6)")</f>
        <v>広告コミットOK(10/6)</v>
      </c>
      <c r="R764" s="22"/>
      <c r="S764" s="22" t="str">
        <f>IFERROR(__xludf.DUMMYFUNCTION("""COMPUTED_VALUE"""),"20230929_BookLive_姉ヶ崎姉妹の誘惑")</f>
        <v>20230929_BookLive_姉ヶ崎姉妹の誘惑</v>
      </c>
      <c r="T764" s="22" t="str">
        <f>IFERROR(__xludf.DUMMYFUNCTION("""COMPUTED_VALUE"""),"格納済み")</f>
        <v>格納済み</v>
      </c>
      <c r="U764" s="15" t="str">
        <f>IFERROR(__xludf.DUMMYFUNCTION("""COMPUTED_VALUE"""),"(C)ブリック出版")</f>
        <v>(C)ブリック出版</v>
      </c>
      <c r="V764" s="8" t="str">
        <f>IFERROR(__xludf.DUMMYFUNCTION("""COMPUTED_VALUE"""),"◆あらすじ◆
両親達の旅行をきっかけに主人公（翔太）は久しぶりに〇校生になった従妹のお姉ちゃん達、
陽光（ひかり）と燈灯（あかり）の家で二人との再会を果たした。
大人になり性的な魅力に溢れる二人の姉は、主人公の意思とは無関係に
競い合うようにそれぞれが誘惑をしかけていくのであった...
-----------
姉妹二人による同時攻めは悩みぬいた結果ページ数の関係でありません。
何卒お許しください。
-------------
作画・漫画 ken-1
企画・原案 夜桜
発行:Cior")</f>
        <v>◆あらすじ◆
両親達の旅行をきっかけに主人公（翔太）は久しぶりに〇校生になった従妹のお姉ちゃん達、
陽光（ひかり）と燈灯（あかり）の家で二人との再会を果たした。
大人になり性的な魅力に溢れる二人の姉は、主人公の意思とは無関係に
競い合うようにそれぞれが誘惑をしかけていくのであった...
-----------
姉妹二人による同時攻めは悩みぬいた結果ページ数の関係でありません。
何卒お許しください。
-------------
作画・漫画 ken-1
企画・原案 夜桜
発行:Cior</v>
      </c>
      <c r="W764" s="14"/>
      <c r="X764" s="14" t="str">
        <f>IFERROR(__xludf.DUMMYFUNCTION("""COMPUTED_VALUE"""),"有
")</f>
        <v>有
</v>
      </c>
      <c r="Y764" s="8" t="str">
        <f>IFERROR(__xludf.DUMMYFUNCTION("""COMPUTED_VALUE"""),"P9まで")</f>
        <v>P9まで</v>
      </c>
      <c r="Z764" s="7"/>
      <c r="AA764" s="7"/>
      <c r="AB764" s="7"/>
    </row>
    <row r="765" ht="15.75" customHeight="1">
      <c r="A765" s="26">
        <f>IFERROR(__xludf.DUMMYFUNCTION("""COMPUTED_VALUE"""),2447.0)</f>
        <v>2447</v>
      </c>
      <c r="B765" s="22" t="str">
        <f>IFERROR(__xludf.DUMMYFUNCTION("""COMPUTED_VALUE"""),"確定")</f>
        <v>確定</v>
      </c>
      <c r="C765" s="28">
        <f>IFERROR(__xludf.DUMMYFUNCTION("""COMPUTED_VALUE"""),45198.0)</f>
        <v>45198</v>
      </c>
      <c r="D765" s="28">
        <f>IFERROR(__xludf.DUMMYFUNCTION("""COMPUTED_VALUE"""),45210.0)</f>
        <v>45210</v>
      </c>
      <c r="E765" s="31">
        <f>IFERROR(__xludf.DUMMYFUNCTION("""COMPUTED_VALUE"""),284900.0)</f>
        <v>284900</v>
      </c>
      <c r="F765" s="22" t="str">
        <f>IFERROR(__xludf.DUMMYFUNCTION("""COMPUTED_VALUE"""),"彼女がボクの知らないところで――")</f>
        <v>彼女がボクの知らないところで――</v>
      </c>
      <c r="G765" s="20">
        <f>IFERROR(__xludf.DUMMYFUNCTION("""COMPUTED_VALUE"""),1.0)</f>
        <v>1</v>
      </c>
      <c r="H765" s="22" t="str">
        <f>IFERROR(__xludf.DUMMYFUNCTION("""COMPUTED_VALUE"""),"ken-1/夜桜")</f>
        <v>ken-1/夜桜</v>
      </c>
      <c r="I765" s="22" t="str">
        <f>IFERROR(__xludf.DUMMYFUNCTION("""COMPUTED_VALUE"""),"オトナ")</f>
        <v>オトナ</v>
      </c>
      <c r="J765" s="22"/>
      <c r="K765" s="22"/>
      <c r="L765" s="22" t="str">
        <f>IFERROR(__xludf.DUMMYFUNCTION("""COMPUTED_VALUE"""),"ブリック出版")</f>
        <v>ブリック出版</v>
      </c>
      <c r="M765" s="23">
        <f>IFERROR(__xludf.DUMMYFUNCTION("""COMPUTED_VALUE"""),45317.0)</f>
        <v>45317</v>
      </c>
      <c r="N765" s="23">
        <f>IFERROR(__xludf.DUMMYFUNCTION("""COMPUTED_VALUE"""),45387.0)</f>
        <v>45387</v>
      </c>
      <c r="O765" s="20"/>
      <c r="P765" s="29" t="str">
        <f>IFERROR(__xludf.DUMMYFUNCTION("""COMPUTED_VALUE"""),"可")</f>
        <v>可</v>
      </c>
      <c r="Q765" s="30" t="str">
        <f>IFERROR(__xludf.DUMMYFUNCTION("""COMPUTED_VALUE"""),"広告コミットOK(10/6)")</f>
        <v>広告コミットOK(10/6)</v>
      </c>
      <c r="R765" s="22"/>
      <c r="S765" s="22" t="str">
        <f>IFERROR(__xludf.DUMMYFUNCTION("""COMPUTED_VALUE"""),"20230929_BookLive_彼女がボクの知らないところで――")</f>
        <v>20230929_BookLive_彼女がボクの知らないところで――</v>
      </c>
      <c r="T765" s="22" t="str">
        <f>IFERROR(__xludf.DUMMYFUNCTION("""COMPUTED_VALUE"""),"格納済み")</f>
        <v>格納済み</v>
      </c>
      <c r="U765" s="15" t="str">
        <f>IFERROR(__xludf.DUMMYFUNCTION("""COMPUTED_VALUE"""),"(C)ブリック出版")</f>
        <v>(C)ブリック出版</v>
      </c>
      <c r="V765" s="8" t="str">
        <f>IFERROR(__xludf.DUMMYFUNCTION("""COMPUTED_VALUE"""),"◆あらすじ◆
スタイル抜群（おっぱい大きい）で、男子の間で陰の人気者『光瑠』。
彼女は密かに陰キャの彼氏と付き合っていた。
しかし、保健室で彼氏とイチャついているところを学校の不良にみられてしまう…
今作は王道のNTRを意識して作った作品です。
もし、ご興味沸きましたら宜しくお願い致します。
-------------
作画・漫画 ken-1
企画・原案 夜桜
発行:Cior")</f>
        <v>◆あらすじ◆
スタイル抜群（おっぱい大きい）で、男子の間で陰の人気者『光瑠』。
彼女は密かに陰キャの彼氏と付き合っていた。
しかし、保健室で彼氏とイチャついているところを学校の不良にみられてしまう…
今作は王道のNTRを意識して作った作品です。
もし、ご興味沸きましたら宜しくお願い致します。
-------------
作画・漫画 ken-1
企画・原案 夜桜
発行:Cior</v>
      </c>
      <c r="W765" s="14"/>
      <c r="X765" s="14" t="str">
        <f>IFERROR(__xludf.DUMMYFUNCTION("""COMPUTED_VALUE"""),"有
")</f>
        <v>有
</v>
      </c>
      <c r="Y765" s="8" t="str">
        <f>IFERROR(__xludf.DUMMYFUNCTION("""COMPUTED_VALUE"""),"P9まで")</f>
        <v>P9まで</v>
      </c>
      <c r="Z765" s="7"/>
      <c r="AA765" s="7"/>
      <c r="AB765" s="7"/>
    </row>
    <row r="766" ht="15.75" customHeight="1">
      <c r="A766" s="26">
        <f>IFERROR(__xludf.DUMMYFUNCTION("""COMPUTED_VALUE"""),2448.0)</f>
        <v>2448</v>
      </c>
      <c r="B766" s="22" t="str">
        <f>IFERROR(__xludf.DUMMYFUNCTION("""COMPUTED_VALUE"""),"確定")</f>
        <v>確定</v>
      </c>
      <c r="C766" s="28">
        <f>IFERROR(__xludf.DUMMYFUNCTION("""COMPUTED_VALUE"""),45198.0)</f>
        <v>45198</v>
      </c>
      <c r="D766" s="28">
        <f>IFERROR(__xludf.DUMMYFUNCTION("""COMPUTED_VALUE"""),45210.0)</f>
        <v>45210</v>
      </c>
      <c r="E766" s="31">
        <f>IFERROR(__xludf.DUMMYFUNCTION("""COMPUTED_VALUE"""),279293.0)</f>
        <v>279293</v>
      </c>
      <c r="F766" s="22" t="str">
        <f>IFERROR(__xludf.DUMMYFUNCTION("""COMPUTED_VALUE"""),"夏日")</f>
        <v>夏日</v>
      </c>
      <c r="G766" s="20">
        <f>IFERROR(__xludf.DUMMYFUNCTION("""COMPUTED_VALUE"""),1.0)</f>
        <v>1</v>
      </c>
      <c r="H766" s="22" t="str">
        <f>IFERROR(__xludf.DUMMYFUNCTION("""COMPUTED_VALUE"""),"ken-1/夜桜")</f>
        <v>ken-1/夜桜</v>
      </c>
      <c r="I766" s="22" t="str">
        <f>IFERROR(__xludf.DUMMYFUNCTION("""COMPUTED_VALUE"""),"オトナ")</f>
        <v>オトナ</v>
      </c>
      <c r="J766" s="22"/>
      <c r="K766" s="22"/>
      <c r="L766" s="22" t="str">
        <f>IFERROR(__xludf.DUMMYFUNCTION("""COMPUTED_VALUE"""),"ブリック出版")</f>
        <v>ブリック出版</v>
      </c>
      <c r="M766" s="23">
        <f>IFERROR(__xludf.DUMMYFUNCTION("""COMPUTED_VALUE"""),45226.0)</f>
        <v>45226</v>
      </c>
      <c r="N766" s="23">
        <f>IFERROR(__xludf.DUMMYFUNCTION("""COMPUTED_VALUE"""),45296.0)</f>
        <v>45296</v>
      </c>
      <c r="O766" s="20"/>
      <c r="P766" s="29" t="str">
        <f>IFERROR(__xludf.DUMMYFUNCTION("""COMPUTED_VALUE"""),"可")</f>
        <v>可</v>
      </c>
      <c r="Q766" s="30" t="str">
        <f>IFERROR(__xludf.DUMMYFUNCTION("""COMPUTED_VALUE"""),"広告コミットOK(10/6)")</f>
        <v>広告コミットOK(10/6)</v>
      </c>
      <c r="R766" s="22"/>
      <c r="S766" s="22" t="str">
        <f>IFERROR(__xludf.DUMMYFUNCTION("""COMPUTED_VALUE"""),"20230929_BookLive_夏日")</f>
        <v>20230929_BookLive_夏日</v>
      </c>
      <c r="T766" s="22" t="str">
        <f>IFERROR(__xludf.DUMMYFUNCTION("""COMPUTED_VALUE"""),"格納済み")</f>
        <v>格納済み</v>
      </c>
      <c r="U766" s="15" t="str">
        <f>IFERROR(__xludf.DUMMYFUNCTION("""COMPUTED_VALUE"""),"(C)ブリック出版")</f>
        <v>(C)ブリック出版</v>
      </c>
      <c r="V766" s="8" t="str">
        <f>IFERROR(__xludf.DUMMYFUNCTION("""COMPUTED_VALUE"""),"◆あらすじ◆
田舎に出張に来たサラリーマン（既婚）の男（タケル）がギャルの常盤薺（ときわ なずな）と出会い系アプリを通じて出会う。
薺は「男を無性に惹きつける自身の性的な魅力」を積極的に使い男を篭絡していく確信犯的な小悪魔ギャルだった。
そして出会ってすぐに二人は田舎の片隅にある
一軒家のヤリ部屋に向かっていくのだった...
-------------
作画・漫画 ken-1
企画・原案 夜桜
発行:Cior
※本作はCiorの個人誌作品の電子書籍版となります。【32ページ】")</f>
        <v>◆あらすじ◆
田舎に出張に来たサラリーマン（既婚）の男（タケル）がギャルの常盤薺（ときわ なずな）と出会い系アプリを通じて出会う。
薺は「男を無性に惹きつける自身の性的な魅力」を積極的に使い男を篭絡していく確信犯的な小悪魔ギャルだった。
そして出会ってすぐに二人は田舎の片隅にある
一軒家のヤリ部屋に向かっていくのだった...
-------------
作画・漫画 ken-1
企画・原案 夜桜
発行:Cior
※本作はCiorの個人誌作品の電子書籍版となります。【32ページ】</v>
      </c>
      <c r="W766" s="14"/>
      <c r="X766" s="14" t="str">
        <f>IFERROR(__xludf.DUMMYFUNCTION("""COMPUTED_VALUE"""),"有
")</f>
        <v>有
</v>
      </c>
      <c r="Y766" s="8" t="str">
        <f>IFERROR(__xludf.DUMMYFUNCTION("""COMPUTED_VALUE"""),"P9まで")</f>
        <v>P9まで</v>
      </c>
      <c r="Z766" s="7"/>
      <c r="AA766" s="7"/>
      <c r="AB766" s="7"/>
    </row>
    <row r="767" ht="15.75" customHeight="1">
      <c r="A767" s="26">
        <f>IFERROR(__xludf.DUMMYFUNCTION("""COMPUTED_VALUE"""),2453.0)</f>
        <v>2453</v>
      </c>
      <c r="B767" s="22" t="str">
        <f>IFERROR(__xludf.DUMMYFUNCTION("""COMPUTED_VALUE"""),"確定")</f>
        <v>確定</v>
      </c>
      <c r="C767" s="28">
        <f>IFERROR(__xludf.DUMMYFUNCTION("""COMPUTED_VALUE"""),45202.0)</f>
        <v>45202</v>
      </c>
      <c r="D767" s="28">
        <f>IFERROR(__xludf.DUMMYFUNCTION("""COMPUTED_VALUE"""),45205.0)</f>
        <v>45205</v>
      </c>
      <c r="E767" s="26">
        <f>IFERROR(__xludf.DUMMYFUNCTION("""COMPUTED_VALUE"""),265330.0)</f>
        <v>265330</v>
      </c>
      <c r="F767" s="22" t="str">
        <f>IFERROR(__xludf.DUMMYFUNCTION("""COMPUTED_VALUE"""),"やり直し新卒は今度こそキミを救いたい!?(フルカラー)")</f>
        <v>やり直し新卒は今度こそキミを救いたい!?(フルカラー)</v>
      </c>
      <c r="G767" s="20" t="str">
        <f>IFERROR(__xludf.DUMMYFUNCTION("""COMPUTED_VALUE"""),"1～3")</f>
        <v>1～3</v>
      </c>
      <c r="H767" s="22" t="str">
        <f>IFERROR(__xludf.DUMMYFUNCTION("""COMPUTED_VALUE"""),"Naru,Guruview,MOTGINI")</f>
        <v>Naru,Guruview,MOTGINI</v>
      </c>
      <c r="I767" s="14" t="str">
        <f>IFERROR(__xludf.DUMMYFUNCTION("""COMPUTED_VALUE"""),"青年")</f>
        <v>青年</v>
      </c>
      <c r="J767" s="22"/>
      <c r="K767" s="22"/>
      <c r="L767" s="22" t="str">
        <f>IFERROR(__xludf.DUMMYFUNCTION("""COMPUTED_VALUE"""),"ソルマーレ編集部")</f>
        <v>ソルマーレ編集部</v>
      </c>
      <c r="M767" s="23">
        <f>IFERROR(__xludf.DUMMYFUNCTION("""COMPUTED_VALUE"""),45234.0)</f>
        <v>45234</v>
      </c>
      <c r="N767" s="23">
        <f>IFERROR(__xludf.DUMMYFUNCTION("""COMPUTED_VALUE"""),45295.0)</f>
        <v>45295</v>
      </c>
      <c r="O767" s="20"/>
      <c r="P767" s="29" t="str">
        <f>IFERROR(__xludf.DUMMYFUNCTION("""COMPUTED_VALUE"""),"可")</f>
        <v>可</v>
      </c>
      <c r="Q767" s="30"/>
      <c r="R767" s="22"/>
      <c r="S767" s="22" t="str">
        <f>IFERROR(__xludf.DUMMYFUNCTION("""COMPUTED_VALUE"""),"20231006_ソルマーレ編集部_やり直し新卒は今度こそキミを救いたい！？（フルカラー）")</f>
        <v>20231006_ソルマーレ編集部_やり直し新卒は今度こそキミを救いたい！？（フルカラー）</v>
      </c>
      <c r="T767" s="22" t="str">
        <f>IFERROR(__xludf.DUMMYFUNCTION("""COMPUTED_VALUE"""),"格納済み")</f>
        <v>格納済み</v>
      </c>
      <c r="U767" s="15" t="str">
        <f>IFERROR(__xludf.DUMMYFUNCTION("""COMPUTED_VALUE"""),"Ⓒ Naru/Guruview/TOPCO/シーモアコミックス")</f>
        <v>Ⓒ Naru/Guruview/TOPCO/シーモアコミックス</v>
      </c>
      <c r="V767" s="8" t="str">
        <f>IFERROR(__xludf.DUMMYFUNCTION("""COMPUTED_VALUE"""),"新卒初日をやり直して、僕は愛を手に入れる!!　オフィスを舞台に新感覚の転生チート☆
うるわしの女上司・世良さんの寿退社に耐えきれず、旅行会社を自主退職した僕。人生オワタと嘆いていたら、なぜか新卒初日にタイムスリップしていた！　エリート新入社員として今度こそ世良さんのハートを射止めたいのに、恋愛フラグが立ったのはイジワルな女センパイ・麻里奈だった。気の強い彼女のカワイイ一面にきゅんとするけど、世良さんのことだって大好きで…僕はいったいどうしたらいいんだ～！【ズズズキュン！】")</f>
        <v>新卒初日をやり直して、僕は愛を手に入れる!!　オフィスを舞台に新感覚の転生チート☆
うるわしの女上司・世良さんの寿退社に耐えきれず、旅行会社を自主退職した僕。人生オワタと嘆いていたら、なぜか新卒初日にタイムスリップしていた！　エリート新入社員として今度こそ世良さんのハートを射止めたいのに、恋愛フラグが立ったのはイジワルな女センパイ・麻里奈だった。気の強い彼女のカワイイ一面にきゅんとするけど、世良さんのことだって大好きで…僕はいったいどうしたらいいんだ～！【ズズズキュン！】</v>
      </c>
      <c r="W767" s="14"/>
      <c r="X767" s="14" t="str">
        <f>IFERROR(__xludf.DUMMYFUNCTION("""COMPUTED_VALUE"""),"有
")</f>
        <v>有
</v>
      </c>
      <c r="Y767" s="8" t="str">
        <f>IFERROR(__xludf.DUMMYFUNCTION("""COMPUTED_VALUE"""),"11/17まで1巻無料")</f>
        <v>11/17まで1巻無料</v>
      </c>
      <c r="Z767" s="7"/>
      <c r="AA767" s="7"/>
      <c r="AB767" s="7"/>
    </row>
    <row r="768" ht="15.75" customHeight="1">
      <c r="A768" s="26">
        <f>IFERROR(__xludf.DUMMYFUNCTION("""COMPUTED_VALUE"""),2455.0)</f>
        <v>2455</v>
      </c>
      <c r="B768" s="22" t="str">
        <f>IFERROR(__xludf.DUMMYFUNCTION("""COMPUTED_VALUE"""),"確定")</f>
        <v>確定</v>
      </c>
      <c r="C768" s="28">
        <f>IFERROR(__xludf.DUMMYFUNCTION("""COMPUTED_VALUE"""),45202.0)</f>
        <v>45202</v>
      </c>
      <c r="D768" s="28">
        <f>IFERROR(__xludf.DUMMYFUNCTION("""COMPUTED_VALUE"""),45210.0)</f>
        <v>45210</v>
      </c>
      <c r="E768" s="26">
        <f>IFERROR(__xludf.DUMMYFUNCTION("""COMPUTED_VALUE"""),267240.0)</f>
        <v>267240</v>
      </c>
      <c r="F768" s="22" t="str">
        <f>IFERROR(__xludf.DUMMYFUNCTION("""COMPUTED_VALUE"""),"青木くんとはお酒が飲めない")</f>
        <v>青木くんとはお酒が飲めない</v>
      </c>
      <c r="G768" s="20" t="str">
        <f>IFERROR(__xludf.DUMMYFUNCTION("""COMPUTED_VALUE"""),"1～3")</f>
        <v>1～3</v>
      </c>
      <c r="H768" s="22" t="str">
        <f>IFERROR(__xludf.DUMMYFUNCTION("""COMPUTED_VALUE"""),"るかな")</f>
        <v>るかな</v>
      </c>
      <c r="I768" s="14" t="str">
        <f>IFERROR(__xludf.DUMMYFUNCTION("""COMPUTED_VALUE"""),"少女")</f>
        <v>少女</v>
      </c>
      <c r="J768" s="22"/>
      <c r="K768" s="22"/>
      <c r="L768" s="22" t="str">
        <f>IFERROR(__xludf.DUMMYFUNCTION("""COMPUTED_VALUE"""),"ソルマーレ編集部")</f>
        <v>ソルマーレ編集部</v>
      </c>
      <c r="M768" s="23">
        <f>IFERROR(__xludf.DUMMYFUNCTION("""COMPUTED_VALUE"""),45234.0)</f>
        <v>45234</v>
      </c>
      <c r="N768" s="23">
        <f>IFERROR(__xludf.DUMMYFUNCTION("""COMPUTED_VALUE"""),45324.70833333333)</f>
        <v>45324.70833</v>
      </c>
      <c r="O768" s="20"/>
      <c r="P768" s="32" t="str">
        <f>IFERROR(__xludf.DUMMYFUNCTION("""COMPUTED_VALUE"""),"可")</f>
        <v>可</v>
      </c>
      <c r="Q768" s="30"/>
      <c r="R768" s="22"/>
      <c r="S768" s="22" t="str">
        <f>IFERROR(__xludf.DUMMYFUNCTION("""COMPUTED_VALUE"""),"20231006_ソルマーレ編集部_青木くんとはお酒が飲めない")</f>
        <v>20231006_ソルマーレ編集部_青木くんとはお酒が飲めない</v>
      </c>
      <c r="T768" s="22" t="str">
        <f>IFERROR(__xludf.DUMMYFUNCTION("""COMPUTED_VALUE"""),"格納済み")</f>
        <v>格納済み</v>
      </c>
      <c r="U768" s="15" t="str">
        <f>IFERROR(__xludf.DUMMYFUNCTION("""COMPUTED_VALUE"""),"Ⓒ るかな/シーモアコミックス")</f>
        <v>Ⓒ るかな/シーモアコミックス</v>
      </c>
      <c r="V768" s="8" t="str">
        <f>IFERROR(__xludf.DUMMYFUNCTION("""COMPUTED_VALUE"""),"高嶺の花×無表情男子の、ほほが熱くなるリアピュアストーリー☆
「みんな絶対この人だって思ってつき合うのかな」
二十歳の誕生日に彼氏と破局した翠（すい）。暗い気分で一日を終わらせたくなくて、楽しく人生初飲酒！…をしたものの、目に入るのは楽しそうに寄り添う恋人たち。
誰かを想いたいし、想われたい。
誰かにとって代わりのいない存在になりたい──。
迎えた翌朝。自分の部屋で目覚めた翠の隣には、見知らぬ美青年が横たわっていて…!?　振り回されて、振り回して、恋って心がいそがしい！【恋するソワレ】")</f>
        <v>高嶺の花×無表情男子の、ほほが熱くなるリアピュアストーリー☆
「みんな絶対この人だって思ってつき合うのかな」
二十歳の誕生日に彼氏と破局した翠（すい）。暗い気分で一日を終わらせたくなくて、楽しく人生初飲酒！…をしたものの、目に入るのは楽しそうに寄り添う恋人たち。
誰かを想いたいし、想われたい。
誰かにとって代わりのいない存在になりたい──。
迎えた翌朝。自分の部屋で目覚めた翠の隣には、見知らぬ美青年が横たわっていて…!?　振り回されて、振り回して、恋って心がいそがしい！【恋するソワレ】</v>
      </c>
      <c r="W768" s="14"/>
      <c r="X768" s="14" t="str">
        <f>IFERROR(__xludf.DUMMYFUNCTION("""COMPUTED_VALUE"""),"有
")</f>
        <v>有
</v>
      </c>
      <c r="Y768" s="8" t="str">
        <f>IFERROR(__xludf.DUMMYFUNCTION("""COMPUTED_VALUE"""),"11/17まで1巻無料")</f>
        <v>11/17まで1巻無料</v>
      </c>
      <c r="Z768" s="7"/>
      <c r="AA768" s="7"/>
      <c r="AB768" s="7"/>
    </row>
    <row r="769" ht="15.75" customHeight="1">
      <c r="A769" s="26">
        <f>IFERROR(__xludf.DUMMYFUNCTION("""COMPUTED_VALUE"""),2466.0)</f>
        <v>2466</v>
      </c>
      <c r="B769" s="22" t="str">
        <f>IFERROR(__xludf.DUMMYFUNCTION("""COMPUTED_VALUE"""),"確定")</f>
        <v>確定</v>
      </c>
      <c r="C769" s="28">
        <f>IFERROR(__xludf.DUMMYFUNCTION("""COMPUTED_VALUE"""),45203.0)</f>
        <v>45203</v>
      </c>
      <c r="D769" s="28">
        <f>IFERROR(__xludf.DUMMYFUNCTION("""COMPUTED_VALUE"""),45205.0)</f>
        <v>45205</v>
      </c>
      <c r="E769" s="31">
        <f>IFERROR(__xludf.DUMMYFUNCTION("""COMPUTED_VALUE"""),280133.0)</f>
        <v>280133</v>
      </c>
      <c r="F769" s="22" t="str">
        <f>IFERROR(__xludf.DUMMYFUNCTION("""COMPUTED_VALUE"""),"仮愛婚～捨てられた花嫁はクールな旦那様に執着されています")</f>
        <v>仮愛婚～捨てられた花嫁はクールな旦那様に執着されています</v>
      </c>
      <c r="G769" s="11" t="str">
        <f>IFERROR(__xludf.DUMMYFUNCTION("""COMPUTED_VALUE"""),"1～4")</f>
        <v>1～4</v>
      </c>
      <c r="H769" s="22" t="str">
        <f>IFERROR(__xludf.DUMMYFUNCTION("""COMPUTED_VALUE"""),"中島まお")</f>
        <v>中島まお</v>
      </c>
      <c r="I769" s="22" t="str">
        <f>IFERROR(__xludf.DUMMYFUNCTION("""COMPUTED_VALUE"""),"女性")</f>
        <v>女性</v>
      </c>
      <c r="J769" s="22"/>
      <c r="K769" s="22"/>
      <c r="L769" s="22" t="str">
        <f>IFERROR(__xludf.DUMMYFUNCTION("""COMPUTED_VALUE"""),"ファンギルド")</f>
        <v>ファンギルド</v>
      </c>
      <c r="M769" s="23">
        <f>IFERROR(__xludf.DUMMYFUNCTION("""COMPUTED_VALUE"""),45252.0)</f>
        <v>45252</v>
      </c>
      <c r="N769" s="23">
        <f>IFERROR(__xludf.DUMMYFUNCTION("""COMPUTED_VALUE"""),45286.0)</f>
        <v>45286</v>
      </c>
      <c r="O769" s="20"/>
      <c r="P769" s="32" t="str">
        <f>IFERROR(__xludf.DUMMYFUNCTION("""COMPUTED_VALUE"""),"可")</f>
        <v>可</v>
      </c>
      <c r="Q769" s="30"/>
      <c r="R769" s="22"/>
      <c r="S769" s="22" t="str">
        <f>IFERROR(__xludf.DUMMYFUNCTION("""COMPUTED_VALUE"""),"20231005_ファンギルド_仮愛婚～捨てられた花嫁はクールな旦那様に執着されています")</f>
        <v>20231005_ファンギルド_仮愛婚～捨てられた花嫁はクールな旦那様に執着されています</v>
      </c>
      <c r="T769" s="22" t="str">
        <f>IFERROR(__xludf.DUMMYFUNCTION("""COMPUTED_VALUE"""),"格納済み")</f>
        <v>格納済み</v>
      </c>
      <c r="U769" s="15" t="str">
        <f>IFERROR(__xludf.DUMMYFUNCTION("""COMPUTED_VALUE"""),"Ⓒ中島まお/ファンギルド")</f>
        <v>Ⓒ中島まお/ファンギルド</v>
      </c>
      <c r="V769" s="8" t="str">
        <f>IFERROR(__xludf.DUMMYFUNCTION("""COMPUTED_VALUE"""),"「それなら　俺と結婚しろよ」ーー付き合っていた彼氏に浮気されていた萌。幸せになるはずだった結婚式までめちゃくちゃにされて何もかも失った絶望から一人飛び出してしまう。そんな萌に手を差し伸べたのは、とある事情で花嫁を必要としていた男・椎名悠里。ハイスペックだけど強引な彼は、萌にメリットのある契約結婚を提案してきて…！？余儀なく仮初の夫婦を演じていた2人だったが、徐々に心は動き始めーー")</f>
        <v>「それなら　俺と結婚しろよ」ーー付き合っていた彼氏に浮気されていた萌。幸せになるはずだった結婚式までめちゃくちゃにされて何もかも失った絶望から一人飛び出してしまう。そんな萌に手を差し伸べたのは、とある事情で花嫁を必要としていた男・椎名悠里。ハイスペックだけど強引な彼は、萌にメリットのある契約結婚を提案してきて…！？余儀なく仮初の夫婦を演じていた2人だったが、徐々に心は動き始めーー</v>
      </c>
      <c r="W769" s="14"/>
      <c r="X769" s="14" t="str">
        <f>IFERROR(__xludf.DUMMYFUNCTION("""COMPUTED_VALUE"""),"有
")</f>
        <v>有
</v>
      </c>
      <c r="Y769" s="8" t="str">
        <f>IFERROR(__xludf.DUMMYFUNCTION("""COMPUTED_VALUE"""),"P9まで")</f>
        <v>P9まで</v>
      </c>
      <c r="Z769" s="7"/>
      <c r="AA769" s="7"/>
      <c r="AB769" s="7"/>
    </row>
    <row r="770" ht="15.75" customHeight="1">
      <c r="A770" s="26">
        <f>IFERROR(__xludf.DUMMYFUNCTION("""COMPUTED_VALUE"""),2468.0)</f>
        <v>2468</v>
      </c>
      <c r="B770" s="22" t="str">
        <f>IFERROR(__xludf.DUMMYFUNCTION("""COMPUTED_VALUE"""),"確定")</f>
        <v>確定</v>
      </c>
      <c r="C770" s="28">
        <f>IFERROR(__xludf.DUMMYFUNCTION("""COMPUTED_VALUE"""),45203.0)</f>
        <v>45203</v>
      </c>
      <c r="D770" s="28">
        <f>IFERROR(__xludf.DUMMYFUNCTION("""COMPUTED_VALUE"""),45205.0)</f>
        <v>45205</v>
      </c>
      <c r="E770" s="31">
        <f>IFERROR(__xludf.DUMMYFUNCTION("""COMPUTED_VALUE"""),280136.0)</f>
        <v>280136</v>
      </c>
      <c r="F770" s="22" t="str">
        <f>IFERROR(__xludf.DUMMYFUNCTION("""COMPUTED_VALUE"""),"お届け物はエロ払いで")</f>
        <v>お届け物はエロ払いで</v>
      </c>
      <c r="G770" s="11" t="str">
        <f>IFERROR(__xludf.DUMMYFUNCTION("""COMPUTED_VALUE"""),"1～4")</f>
        <v>1～4</v>
      </c>
      <c r="H770" s="22" t="str">
        <f>IFERROR(__xludf.DUMMYFUNCTION("""COMPUTED_VALUE"""),"青いゆず/スリッパ")</f>
        <v>青いゆず/スリッパ</v>
      </c>
      <c r="I770" s="22" t="str">
        <f>IFERROR(__xludf.DUMMYFUNCTION("""COMPUTED_VALUE"""),"青年")</f>
        <v>青年</v>
      </c>
      <c r="J770" s="22"/>
      <c r="K770" s="22"/>
      <c r="L770" s="22" t="str">
        <f>IFERROR(__xludf.DUMMYFUNCTION("""COMPUTED_VALUE"""),"Rush!")</f>
        <v>Rush!</v>
      </c>
      <c r="M770" s="23">
        <f>IFERROR(__xludf.DUMMYFUNCTION("""COMPUTED_VALUE"""),45247.0)</f>
        <v>45247</v>
      </c>
      <c r="N770" s="23">
        <f>IFERROR(__xludf.DUMMYFUNCTION("""COMPUTED_VALUE"""),45274.0)</f>
        <v>45274</v>
      </c>
      <c r="O770" s="20"/>
      <c r="P770" s="32" t="str">
        <f>IFERROR(__xludf.DUMMYFUNCTION("""COMPUTED_VALUE"""),"可")</f>
        <v>可</v>
      </c>
      <c r="Q770" s="30"/>
      <c r="R770" s="22"/>
      <c r="S770" s="22" t="str">
        <f>IFERROR(__xludf.DUMMYFUNCTION("""COMPUTED_VALUE"""),"20231004_ファンギルド_お届け物はエロ払いで")</f>
        <v>20231004_ファンギルド_お届け物はエロ払いで</v>
      </c>
      <c r="T770" s="22" t="str">
        <f>IFERROR(__xludf.DUMMYFUNCTION("""COMPUTED_VALUE"""),"格納済み")</f>
        <v>格納済み</v>
      </c>
      <c r="U770" s="15" t="str">
        <f>IFERROR(__xludf.DUMMYFUNCTION("""COMPUTED_VALUE"""),"©青いゆず/スリッパ/TOPTOON")</f>
        <v>©青いゆず/スリッパ/TOPTOON</v>
      </c>
      <c r="V770" s="8" t="str">
        <f>IFERROR(__xludf.DUMMYFUNCTION("""COMPUTED_VALUE"""),"父親が設立したアパレル会社の常務を務める、葉倉佑衣人。親の七光りだと揶揄されながらも確かな実力を持ち、有り余る金で酒に女にと日々人生を楽しんでいた。…しかし、破滅は突然訪れる。突如として、昨日まであったはずの金も地位も何もかもを失ってしまった佑衣人。生きるためにはなりふり構っていられず、仕方なく宅配の仕事を始めることに。配達初日、元常務を待っていたのは…上裸の女性！？その後も何故か配達先では、エッチなハプニングばかりが巻き起こり――！？")</f>
        <v>父親が設立したアパレル会社の常務を務める、葉倉佑衣人。親の七光りだと揶揄されながらも確かな実力を持ち、有り余る金で酒に女にと日々人生を楽しんでいた。…しかし、破滅は突然訪れる。突如として、昨日まであったはずの金も地位も何もかもを失ってしまった佑衣人。生きるためにはなりふり構っていられず、仕方なく宅配の仕事を始めることに。配達初日、元常務を待っていたのは…上裸の女性！？その後も何故か配達先では、エッチなハプニングばかりが巻き起こり――！？</v>
      </c>
      <c r="W770" s="14"/>
      <c r="X770" s="14" t="str">
        <f>IFERROR(__xludf.DUMMYFUNCTION("""COMPUTED_VALUE"""),"有
")</f>
        <v>有
</v>
      </c>
      <c r="Y770" s="8" t="str">
        <f>IFERROR(__xludf.DUMMYFUNCTION("""COMPUTED_VALUE"""),"11/30まで1巻無料")</f>
        <v>11/30まで1巻無料</v>
      </c>
      <c r="Z770" s="7"/>
      <c r="AA770" s="7"/>
      <c r="AB770" s="7"/>
    </row>
    <row r="771" ht="15.75" customHeight="1">
      <c r="A771" s="26">
        <f>IFERROR(__xludf.DUMMYFUNCTION("""COMPUTED_VALUE"""),2469.0)</f>
        <v>2469</v>
      </c>
      <c r="B771" s="22" t="str">
        <f>IFERROR(__xludf.DUMMYFUNCTION("""COMPUTED_VALUE"""),"確定")</f>
        <v>確定</v>
      </c>
      <c r="C771" s="28">
        <f>IFERROR(__xludf.DUMMYFUNCTION("""COMPUTED_VALUE"""),45203.0)</f>
        <v>45203</v>
      </c>
      <c r="D771" s="28">
        <f>IFERROR(__xludf.DUMMYFUNCTION("""COMPUTED_VALUE"""),45205.0)</f>
        <v>45205</v>
      </c>
      <c r="E771" s="31">
        <f>IFERROR(__xludf.DUMMYFUNCTION("""COMPUTED_VALUE"""),280137.0)</f>
        <v>280137</v>
      </c>
      <c r="F771" s="22" t="str">
        <f>IFERROR(__xludf.DUMMYFUNCTION("""COMPUTED_VALUE"""),"エロティカ・レッスン")</f>
        <v>エロティカ・レッスン</v>
      </c>
      <c r="G771" s="16" t="str">
        <f>IFERROR(__xludf.DUMMYFUNCTION("""COMPUTED_VALUE"""),"1～3")</f>
        <v>1～3</v>
      </c>
      <c r="H771" s="22" t="str">
        <f>IFERROR(__xludf.DUMMYFUNCTION("""COMPUTED_VALUE"""),"muloli/Dabeul")</f>
        <v>muloli/Dabeul</v>
      </c>
      <c r="I771" s="22" t="str">
        <f>IFERROR(__xludf.DUMMYFUNCTION("""COMPUTED_VALUE"""),"青年")</f>
        <v>青年</v>
      </c>
      <c r="J771" s="22"/>
      <c r="K771" s="22"/>
      <c r="L771" s="22" t="str">
        <f>IFERROR(__xludf.DUMMYFUNCTION("""COMPUTED_VALUE"""),"Rush!")</f>
        <v>Rush!</v>
      </c>
      <c r="M771" s="23">
        <f>IFERROR(__xludf.DUMMYFUNCTION("""COMPUTED_VALUE"""),45247.0)</f>
        <v>45247</v>
      </c>
      <c r="N771" s="23">
        <f>IFERROR(__xludf.DUMMYFUNCTION("""COMPUTED_VALUE"""),45274.0)</f>
        <v>45274</v>
      </c>
      <c r="O771" s="20"/>
      <c r="P771" s="32" t="str">
        <f>IFERROR(__xludf.DUMMYFUNCTION("""COMPUTED_VALUE"""),"可")</f>
        <v>可</v>
      </c>
      <c r="Q771" s="30"/>
      <c r="R771" s="22"/>
      <c r="S771" s="22" t="str">
        <f>IFERROR(__xludf.DUMMYFUNCTION("""COMPUTED_VALUE"""),"20231004_ファンギルド_エロティカ・レッスン")</f>
        <v>20231004_ファンギルド_エロティカ・レッスン</v>
      </c>
      <c r="T771" s="22" t="str">
        <f>IFERROR(__xludf.DUMMYFUNCTION("""COMPUTED_VALUE"""),"格納済み")</f>
        <v>格納済み</v>
      </c>
      <c r="U771" s="15" t="str">
        <f>IFERROR(__xludf.DUMMYFUNCTION("""COMPUTED_VALUE"""),"©muloli/Dabeul/TOPTOON")</f>
        <v>©muloli/Dabeul/TOPTOON</v>
      </c>
      <c r="V771" s="8" t="str">
        <f>IFERROR(__xludf.DUMMYFUNCTION("""COMPUTED_VALUE"""),"官能小説家・相田恭司は、美人編集者と二人三脚で奮闘中。しかし、女性経験の無さからなかなか芽が出ずにいた。そんなある日、憧れの売れっ子作家・莉花と偶然出くわす。喜びを隠せずつい挙動不審になるが、そんな恭司に対して莉花は自分のストーカーだと誤解してしまう…。何とか誤解を解くことに成功するが、今度は莉花がお詫びとして「何でもする」と言い出して――！事実は（官能）小説よりも奇なり！？手取り足取り体当たりな秘密の取材が、今始まる！！")</f>
        <v>官能小説家・相田恭司は、美人編集者と二人三脚で奮闘中。しかし、女性経験の無さからなかなか芽が出ずにいた。そんなある日、憧れの売れっ子作家・莉花と偶然出くわす。喜びを隠せずつい挙動不審になるが、そんな恭司に対して莉花は自分のストーカーだと誤解してしまう…。何とか誤解を解くことに成功するが、今度は莉花がお詫びとして「何でもする」と言い出して――！事実は（官能）小説よりも奇なり！？手取り足取り体当たりな秘密の取材が、今始まる！！</v>
      </c>
      <c r="W771" s="14"/>
      <c r="X771" s="14" t="str">
        <f>IFERROR(__xludf.DUMMYFUNCTION("""COMPUTED_VALUE"""),"有
")</f>
        <v>有
</v>
      </c>
      <c r="Y771" s="8" t="str">
        <f>IFERROR(__xludf.DUMMYFUNCTION("""COMPUTED_VALUE"""),"11/30まで1巻無料")</f>
        <v>11/30まで1巻無料</v>
      </c>
      <c r="Z771" s="7"/>
      <c r="AA771" s="7"/>
      <c r="AB771" s="7"/>
    </row>
    <row r="772" ht="111.75" customHeight="1">
      <c r="A772" s="26">
        <f>IFERROR(__xludf.DUMMYFUNCTION("""COMPUTED_VALUE"""),2470.0)</f>
        <v>2470</v>
      </c>
      <c r="B772" s="22" t="str">
        <f>IFERROR(__xludf.DUMMYFUNCTION("""COMPUTED_VALUE"""),"確定")</f>
        <v>確定</v>
      </c>
      <c r="C772" s="28">
        <f>IFERROR(__xludf.DUMMYFUNCTION("""COMPUTED_VALUE"""),45203.0)</f>
        <v>45203</v>
      </c>
      <c r="D772" s="28">
        <f>IFERROR(__xludf.DUMMYFUNCTION("""COMPUTED_VALUE"""),45205.0)</f>
        <v>45205</v>
      </c>
      <c r="E772" s="31">
        <f>IFERROR(__xludf.DUMMYFUNCTION("""COMPUTED_VALUE"""),279725.0)</f>
        <v>279725</v>
      </c>
      <c r="F772" s="22" t="str">
        <f>IFERROR(__xludf.DUMMYFUNCTION("""COMPUTED_VALUE"""),"ボクと彼女のピュアハンド【単話版】")</f>
        <v>ボクと彼女のピュアハンド【単話版】</v>
      </c>
      <c r="G772" s="20" t="str">
        <f>IFERROR(__xludf.DUMMYFUNCTION("""COMPUTED_VALUE"""),"1～3")</f>
        <v>1～3</v>
      </c>
      <c r="H772" s="22" t="str">
        <f>IFERROR(__xludf.DUMMYFUNCTION("""COMPUTED_VALUE"""),"もうれの＋クロセイム")</f>
        <v>もうれの＋クロセイム</v>
      </c>
      <c r="I772" s="14" t="str">
        <f>IFERROR(__xludf.DUMMYFUNCTION("""COMPUTED_VALUE"""),"青年")</f>
        <v>青年</v>
      </c>
      <c r="J772" s="22"/>
      <c r="K772" s="22"/>
      <c r="L772" s="22" t="str">
        <f>IFERROR(__xludf.DUMMYFUNCTION("""COMPUTED_VALUE"""),"日本文芸社")</f>
        <v>日本文芸社</v>
      </c>
      <c r="M772" s="23">
        <f>IFERROR(__xludf.DUMMYFUNCTION("""COMPUTED_VALUE"""),45235.0)</f>
        <v>45235</v>
      </c>
      <c r="N772" s="23">
        <f>IFERROR(__xludf.DUMMYFUNCTION("""COMPUTED_VALUE"""),45326.0)</f>
        <v>45326</v>
      </c>
      <c r="O772" s="20"/>
      <c r="P772" s="29" t="str">
        <f>IFERROR(__xludf.DUMMYFUNCTION("""COMPUTED_VALUE"""),"可")</f>
        <v>可</v>
      </c>
      <c r="Q772" s="30" t="str">
        <f>IFERROR(__xludf.DUMMYFUNCTION("""COMPUTED_VALUE"""),"1話⇒P35～P64")</f>
        <v>1話⇒P35～P64</v>
      </c>
      <c r="R772" s="22"/>
      <c r="S772" s="22" t="str">
        <f>IFERROR(__xludf.DUMMYFUNCTION("""COMPUTED_VALUE"""),"20231003_日本文芸社_ボクと彼女のピュアハンド")</f>
        <v>20231003_日本文芸社_ボクと彼女のピュアハンド</v>
      </c>
      <c r="T772" s="22" t="str">
        <f>IFERROR(__xludf.DUMMYFUNCTION("""COMPUTED_VALUE"""),"格納済み")</f>
        <v>格納済み</v>
      </c>
      <c r="U772" s="15" t="str">
        <f>IFERROR(__xludf.DUMMYFUNCTION("""COMPUTED_VALUE"""),"©もうれの・クロセイム／日本文芸社")</f>
        <v>©もうれの・クロセイム／日本文芸社</v>
      </c>
      <c r="V772" s="8" t="str">
        <f>IFERROR(__xludf.DUMMYFUNCTION("""COMPUTED_VALUE"""),"ハンドヘルス。そこは風俗慣れしていない、 男と女が集う場所。客である男にとっては激 安。働く女にとっては、触れるのは手のみな ので、罪悪感も低い。そんなハンドヘルスの 店長、下野が観察するのは、そこに集う男と 女の、独特な人間ドラマ。手だけで繋がる、 セクシャルな人間模様を描く、オムニバスス トーリー!!")</f>
        <v>ハンドヘルス。そこは風俗慣れしていない、 男と女が集う場所。客である男にとっては激 安。働く女にとっては、触れるのは手のみな ので、罪悪感も低い。そんなハンドヘルスの 店長、下野が観察するのは、そこに集う男と 女の、独特な人間ドラマ。手だけで繋がる、 セクシャルな人間模様を描く、オムニバスス トーリー!!</v>
      </c>
      <c r="W772" s="14"/>
      <c r="X772" s="14" t="str">
        <f>IFERROR(__xludf.DUMMYFUNCTION("""COMPUTED_VALUE"""),"有
")</f>
        <v>有
</v>
      </c>
      <c r="Y772" s="8" t="str">
        <f>IFERROR(__xludf.DUMMYFUNCTION("""COMPUTED_VALUE"""),"2/4まで1巻無料")</f>
        <v>2/4まで1巻無料</v>
      </c>
      <c r="Z772" s="7"/>
      <c r="AA772" s="7"/>
      <c r="AB772" s="7"/>
    </row>
    <row r="773" ht="15.75" customHeight="1">
      <c r="A773" s="26">
        <f>IFERROR(__xludf.DUMMYFUNCTION("""COMPUTED_VALUE"""),2471.0)</f>
        <v>2471</v>
      </c>
      <c r="B773" s="22" t="str">
        <f>IFERROR(__xludf.DUMMYFUNCTION("""COMPUTED_VALUE"""),"確定")</f>
        <v>確定</v>
      </c>
      <c r="C773" s="28">
        <f>IFERROR(__xludf.DUMMYFUNCTION("""COMPUTED_VALUE"""),45204.0)</f>
        <v>45204</v>
      </c>
      <c r="D773" s="28">
        <f>IFERROR(__xludf.DUMMYFUNCTION("""COMPUTED_VALUE"""),45205.0)</f>
        <v>45205</v>
      </c>
      <c r="E773" s="31">
        <f>IFERROR(__xludf.DUMMYFUNCTION("""COMPUTED_VALUE"""),279361.0)</f>
        <v>279361</v>
      </c>
      <c r="F773" s="22" t="str">
        <f>IFERROR(__xludf.DUMMYFUNCTION("""COMPUTED_VALUE"""),"ここからが本番です～リベンジオフィスマッサージ～【フルカラー】")</f>
        <v>ここからが本番です～リベンジオフィスマッサージ～【フルカラー】</v>
      </c>
      <c r="G773" s="20" t="str">
        <f>IFERROR(__xludf.DUMMYFUNCTION("""COMPUTED_VALUE"""),"1~3")</f>
        <v>1~3</v>
      </c>
      <c r="H773" s="22" t="str">
        <f>IFERROR(__xludf.DUMMYFUNCTION("""COMPUTED_VALUE"""),"もりとん")</f>
        <v>もりとん</v>
      </c>
      <c r="I773" s="22" t="str">
        <f>IFERROR(__xludf.DUMMYFUNCTION("""COMPUTED_VALUE"""),"青年")</f>
        <v>青年</v>
      </c>
      <c r="J773" s="22"/>
      <c r="K773" s="22"/>
      <c r="L773" s="22" t="str">
        <f>IFERROR(__xludf.DUMMYFUNCTION("""COMPUTED_VALUE"""),"CLLENN")</f>
        <v>CLLENN</v>
      </c>
      <c r="M773" s="23">
        <f>IFERROR(__xludf.DUMMYFUNCTION("""COMPUTED_VALUE"""),45233.0)</f>
        <v>45233</v>
      </c>
      <c r="N773" s="23">
        <f>IFERROR(__xludf.DUMMYFUNCTION("""COMPUTED_VALUE"""),45324.0)</f>
        <v>45324</v>
      </c>
      <c r="O773" s="20"/>
      <c r="P773" s="29" t="str">
        <f>IFERROR(__xludf.DUMMYFUNCTION("""COMPUTED_VALUE"""),"可")</f>
        <v>可</v>
      </c>
      <c r="Q773" s="22" t="str">
        <f>IFERROR(__xludf.DUMMYFUNCTION("""COMPUTED_VALUE"""),"協業：シーモア×DEDEDE")</f>
        <v>協業：シーモア×DEDEDE</v>
      </c>
      <c r="R773" s="22" t="str">
        <f>IFERROR(__xludf.DUMMYFUNCTION("""COMPUTED_VALUE"""),"格納済")</f>
        <v>格納済</v>
      </c>
      <c r="S773" s="22" t="str">
        <f>IFERROR(__xludf.DUMMYFUNCTION("""COMPUTED_VALUE"""),"20231005_CLLENN_ここからが本番です～リベンジオフィスマッサージ～【フルカラー】")</f>
        <v>20231005_CLLENN_ここからが本番です～リベンジオフィスマッサージ～【フルカラー】</v>
      </c>
      <c r="T773" s="22" t="str">
        <f>IFERROR(__xludf.DUMMYFUNCTION("""COMPUTED_VALUE"""),"格納済み")</f>
        <v>格納済み</v>
      </c>
      <c r="U773" s="15" t="str">
        <f>IFERROR(__xludf.DUMMYFUNCTION("""COMPUTED_VALUE"""),"ⓒもりとん/CLLENN")</f>
        <v>ⓒもりとん/CLLENN</v>
      </c>
      <c r="V773" s="8" t="str">
        <f>IFERROR(__xludf.DUMMYFUNCTION("""COMPUTED_VALUE"""),"福利厚生で、社員なら誰でも利用できる社内マッサージ室。女性社員のあいだでは、そこへ新たに配属された専属マッサージ師・相川カケルがイケメンだと話題になっていた。主人公のOL・マドカは、日々のデスクワークで凝り固まっていた体をほぐしてもらうため、カケルの施術を受けてみることに。「前の人より上手いかも…！」とその腕の良さに感心するマドカだったが、次第にその手は際どいところにまで伸びていき…。「相川さん、一体なにを考えているの…？」爽やかで優しい仮面を被った、カケルの真の思惑とは――")</f>
        <v>福利厚生で、社員なら誰でも利用できる社内マッサージ室。女性社員のあいだでは、そこへ新たに配属された専属マッサージ師・相川カケルがイケメンだと話題になっていた。主人公のOL・マドカは、日々のデスクワークで凝り固まっていた体をほぐしてもらうため、カケルの施術を受けてみることに。「前の人より上手いかも…！」とその腕の良さに感心するマドカだったが、次第にその手は際どいところにまで伸びていき…。「相川さん、一体なにを考えているの…？」爽やかで優しい仮面を被った、カケルの真の思惑とは――</v>
      </c>
      <c r="W773" s="14"/>
      <c r="X773" s="14" t="str">
        <f>IFERROR(__xludf.DUMMYFUNCTION("""COMPUTED_VALUE"""),"有
")</f>
        <v>有
</v>
      </c>
      <c r="Y773" s="8" t="str">
        <f>IFERROR(__xludf.DUMMYFUNCTION("""COMPUTED_VALUE"""),"P10まで")</f>
        <v>P10まで</v>
      </c>
      <c r="Z773" s="7"/>
      <c r="AA773" s="7"/>
      <c r="AB773" s="7"/>
    </row>
    <row r="774" ht="15.75" customHeight="1">
      <c r="A774" s="26">
        <f>IFERROR(__xludf.DUMMYFUNCTION("""COMPUTED_VALUE"""),2472.0)</f>
        <v>2472</v>
      </c>
      <c r="B774" s="22" t="str">
        <f>IFERROR(__xludf.DUMMYFUNCTION("""COMPUTED_VALUE"""),"確定")</f>
        <v>確定</v>
      </c>
      <c r="C774" s="28">
        <f>IFERROR(__xludf.DUMMYFUNCTION("""COMPUTED_VALUE"""),45204.0)</f>
        <v>45204</v>
      </c>
      <c r="D774" s="28">
        <f>IFERROR(__xludf.DUMMYFUNCTION("""COMPUTED_VALUE"""),45205.0)</f>
        <v>45205</v>
      </c>
      <c r="E774" s="31">
        <f>IFERROR(__xludf.DUMMYFUNCTION("""COMPUTED_VALUE"""),279310.0)</f>
        <v>279310</v>
      </c>
      <c r="F774" s="22" t="str">
        <f>IFERROR(__xludf.DUMMYFUNCTION("""COMPUTED_VALUE"""),"Dr.アブノのイケない病")</f>
        <v>Dr.アブノのイケない病</v>
      </c>
      <c r="G774" s="20" t="str">
        <f>IFERROR(__xludf.DUMMYFUNCTION("""COMPUTED_VALUE"""),"1～3")</f>
        <v>1～3</v>
      </c>
      <c r="H774" s="22" t="str">
        <f>IFERROR(__xludf.DUMMYFUNCTION("""COMPUTED_VALUE"""),"大城密/げろねば/山田 凡斗")</f>
        <v>大城密/げろねば/山田 凡斗</v>
      </c>
      <c r="I774" s="14" t="str">
        <f>IFERROR(__xludf.DUMMYFUNCTION("""COMPUTED_VALUE"""),"青年")</f>
        <v>青年</v>
      </c>
      <c r="J774" s="22"/>
      <c r="K774" s="22"/>
      <c r="L774" s="22" t="str">
        <f>IFERROR(__xludf.DUMMYFUNCTION("""COMPUTED_VALUE"""),"taskey")</f>
        <v>taskey</v>
      </c>
      <c r="M774" s="23">
        <f>IFERROR(__xludf.DUMMYFUNCTION("""COMPUTED_VALUE"""),45224.0)</f>
        <v>45224</v>
      </c>
      <c r="N774" s="23">
        <f>IFERROR(__xludf.DUMMYFUNCTION("""COMPUTED_VALUE"""),2958465.0)</f>
        <v>2958465</v>
      </c>
      <c r="O774" s="20"/>
      <c r="P774" s="32" t="str">
        <f>IFERROR(__xludf.DUMMYFUNCTION("""COMPUTED_VALUE"""),"可")</f>
        <v>可</v>
      </c>
      <c r="Q774" s="30"/>
      <c r="R774" s="22"/>
      <c r="S774" s="22" t="str">
        <f>IFERROR(__xludf.DUMMYFUNCTION("""COMPUTED_VALUE"""),"20231005_taskey_Dr.虻野のイケない病")</f>
        <v>20231005_taskey_Dr.虻野のイケない病</v>
      </c>
      <c r="T774" s="22" t="str">
        <f>IFERROR(__xludf.DUMMYFUNCTION("""COMPUTED_VALUE"""),"格納済み")</f>
        <v>格納済み</v>
      </c>
      <c r="U774" s="15" t="str">
        <f>IFERROR(__xludf.DUMMYFUNCTION("""COMPUTED_VALUE"""),"©︎大城密/げろねば/山田 凡斗/taskey")</f>
        <v>©︎大城密/げろねば/山田 凡斗/taskey</v>
      </c>
      <c r="V774" s="8" t="str">
        <f>IFERROR(__xludf.DUMMYFUNCTION("""COMPUTED_VALUE"""),"鴨井美波は元カレとの別れ話中に歩道橋の階段から落下し足を怪我して入院することに。そんな美波の前に現れたのは眉目秀麗な若き医師「虻野九一」だった。美波は魅力溢れる虻野に徐々に惹かれていくが、彼女の周りではおかしなことが起き始める。Dr.虻野の真の目的とは！？変態医師が蠢くサイコスリラーが始まる！")</f>
        <v>鴨井美波は元カレとの別れ話中に歩道橋の階段から落下し足を怪我して入院することに。そんな美波の前に現れたのは眉目秀麗な若き医師「虻野九一」だった。美波は魅力溢れる虻野に徐々に惹かれていくが、彼女の周りではおかしなことが起き始める。Dr.虻野の真の目的とは！？変態医師が蠢くサイコスリラーが始まる！</v>
      </c>
      <c r="W774" s="14"/>
      <c r="X774" s="14" t="str">
        <f>IFERROR(__xludf.DUMMYFUNCTION("""COMPUTED_VALUE"""),"有
")</f>
        <v>有
</v>
      </c>
      <c r="Y774" s="8" t="str">
        <f>IFERROR(__xludf.DUMMYFUNCTION("""COMPUTED_VALUE"""),"11/30まで1巻無料
")</f>
        <v>11/30まで1巻無料
</v>
      </c>
      <c r="Z774" s="7"/>
      <c r="AA774" s="7"/>
      <c r="AB774" s="7"/>
    </row>
    <row r="775" ht="97.5" customHeight="1">
      <c r="A775" s="26">
        <f>IFERROR(__xludf.DUMMYFUNCTION("""COMPUTED_VALUE"""),2473.0)</f>
        <v>2473</v>
      </c>
      <c r="B775" s="22" t="str">
        <f>IFERROR(__xludf.DUMMYFUNCTION("""COMPUTED_VALUE"""),"確定")</f>
        <v>確定</v>
      </c>
      <c r="C775" s="28">
        <f>IFERROR(__xludf.DUMMYFUNCTION("""COMPUTED_VALUE"""),45204.0)</f>
        <v>45204</v>
      </c>
      <c r="D775" s="28">
        <f>IFERROR(__xludf.DUMMYFUNCTION("""COMPUTED_VALUE"""),45205.0)</f>
        <v>45205</v>
      </c>
      <c r="E775" s="31">
        <f>IFERROR(__xludf.DUMMYFUNCTION("""COMPUTED_VALUE"""),278925.0)</f>
        <v>278925</v>
      </c>
      <c r="F775" s="22" t="str">
        <f>IFERROR(__xludf.DUMMYFUNCTION("""COMPUTED_VALUE"""),"三十歳まで童貞だと魔法使いじゃなくなっちゃうらしいので、魔法騎士の幼馴染のために一肌脱ぎます！")</f>
        <v>三十歳まで童貞だと魔法使いじゃなくなっちゃうらしいので、魔法騎士の幼馴染のために一肌脱ぎます！</v>
      </c>
      <c r="G775" s="20">
        <f>IFERROR(__xludf.DUMMYFUNCTION("""COMPUTED_VALUE"""),1.0)</f>
        <v>1</v>
      </c>
      <c r="H775" s="22" t="str">
        <f>IFERROR(__xludf.DUMMYFUNCTION("""COMPUTED_VALUE"""),"栄ひらく、夜明星良")</f>
        <v>栄ひらく、夜明星良</v>
      </c>
      <c r="I775" s="22" t="str">
        <f>IFERROR(__xludf.DUMMYFUNCTION("""COMPUTED_VALUE"""),"TL")</f>
        <v>TL</v>
      </c>
      <c r="J775" s="22"/>
      <c r="K775" s="22"/>
      <c r="L775" s="22" t="str">
        <f>IFERROR(__xludf.DUMMYFUNCTION("""COMPUTED_VALUE"""),"一迅社")</f>
        <v>一迅社</v>
      </c>
      <c r="M775" s="23">
        <f>IFERROR(__xludf.DUMMYFUNCTION("""COMPUTED_VALUE"""),45231.0)</f>
        <v>45231</v>
      </c>
      <c r="N775" s="23">
        <f>IFERROR(__xludf.DUMMYFUNCTION("""COMPUTED_VALUE"""),45260.0)</f>
        <v>45260</v>
      </c>
      <c r="O775" s="20"/>
      <c r="P775" s="29" t="str">
        <f>IFERROR(__xludf.DUMMYFUNCTION("""COMPUTED_VALUE"""),"可")</f>
        <v>可</v>
      </c>
      <c r="Q775" s="30" t="str">
        <f>IFERROR(__xludf.DUMMYFUNCTION("""COMPUTED_VALUE"""),"P36～P70")</f>
        <v>P36～P70</v>
      </c>
      <c r="R775" s="22"/>
      <c r="S775" s="22" t="str">
        <f>IFERROR(__xludf.DUMMYFUNCTION("""COMPUTED_VALUE"""),"20231005_一迅社_三十歳まで童貞だと魔法使いじゃなくなっちゃう…")</f>
        <v>20231005_一迅社_三十歳まで童貞だと魔法使いじゃなくなっちゃう…</v>
      </c>
      <c r="T775" s="22" t="str">
        <f>IFERROR(__xludf.DUMMYFUNCTION("""COMPUTED_VALUE"""),"格納済み")</f>
        <v>格納済み</v>
      </c>
      <c r="U775" s="15" t="str">
        <f>IFERROR(__xludf.DUMMYFUNCTION("""COMPUTED_VALUE"""),"@栄ひらく・夜明星良／一迅社")</f>
        <v>@栄ひらく・夜明星良／一迅社</v>
      </c>
      <c r="V775" s="8" t="str">
        <f>IFERROR(__xludf.DUMMYFUNCTION("""COMPUTED_VALUE"""),"幼馴染の為に一夜を共にする決意を固めた令嬢だが…？　※この作品は『溺愛令嬢は旦那さまから逃げられません…っ アンソロジーコミック』6巻収録作品と同一の内容を単話版として再編集したものとなります。")</f>
        <v>幼馴染の為に一夜を共にする決意を固めた令嬢だが…？　※この作品は『溺愛令嬢は旦那さまから逃げられません…っ アンソロジーコミック』6巻収録作品と同一の内容を単話版として再編集したものとなります。</v>
      </c>
      <c r="W775" s="14"/>
      <c r="X775" s="14" t="str">
        <f>IFERROR(__xludf.DUMMYFUNCTION("""COMPUTED_VALUE"""),"有
")</f>
        <v>有
</v>
      </c>
      <c r="Y775" s="8" t="str">
        <f>IFERROR(__xludf.DUMMYFUNCTION("""COMPUTED_VALUE"""),"P7まで")</f>
        <v>P7まで</v>
      </c>
      <c r="Z775" s="7"/>
      <c r="AA775" s="7"/>
      <c r="AB775" s="7"/>
    </row>
    <row r="776" ht="15.75" customHeight="1">
      <c r="A776" s="26">
        <f>IFERROR(__xludf.DUMMYFUNCTION("""COMPUTED_VALUE"""),2475.0)</f>
        <v>2475</v>
      </c>
      <c r="B776" s="22" t="str">
        <f>IFERROR(__xludf.DUMMYFUNCTION("""COMPUTED_VALUE"""),"確定")</f>
        <v>確定</v>
      </c>
      <c r="C776" s="28">
        <f>IFERROR(__xludf.DUMMYFUNCTION("""COMPUTED_VALUE"""),45204.0)</f>
        <v>45204</v>
      </c>
      <c r="D776" s="28">
        <f>IFERROR(__xludf.DUMMYFUNCTION("""COMPUTED_VALUE"""),45205.0)</f>
        <v>45205</v>
      </c>
      <c r="E776" s="31">
        <f>IFERROR(__xludf.DUMMYFUNCTION("""COMPUTED_VALUE"""),278968.0)</f>
        <v>278968</v>
      </c>
      <c r="F776" s="22" t="str">
        <f>IFERROR(__xludf.DUMMYFUNCTION("""COMPUTED_VALUE"""),"使用人は年下騎士の執着愛でイカされる")</f>
        <v>使用人は年下騎士の執着愛でイカされる</v>
      </c>
      <c r="G776" s="20">
        <f>IFERROR(__xludf.DUMMYFUNCTION("""COMPUTED_VALUE"""),1.0)</f>
        <v>1</v>
      </c>
      <c r="H776" s="22" t="str">
        <f>IFERROR(__xludf.DUMMYFUNCTION("""COMPUTED_VALUE"""),"テディー・ユキ")</f>
        <v>テディー・ユキ</v>
      </c>
      <c r="I776" s="22" t="str">
        <f>IFERROR(__xludf.DUMMYFUNCTION("""COMPUTED_VALUE"""),"TL")</f>
        <v>TL</v>
      </c>
      <c r="J776" s="22"/>
      <c r="K776" s="22"/>
      <c r="L776" s="22" t="str">
        <f>IFERROR(__xludf.DUMMYFUNCTION("""COMPUTED_VALUE"""),"一迅社")</f>
        <v>一迅社</v>
      </c>
      <c r="M776" s="23">
        <f>IFERROR(__xludf.DUMMYFUNCTION("""COMPUTED_VALUE"""),45254.0)</f>
        <v>45254</v>
      </c>
      <c r="N776" s="23">
        <f>IFERROR(__xludf.DUMMYFUNCTION("""COMPUTED_VALUE"""),45283.0)</f>
        <v>45283</v>
      </c>
      <c r="O776" s="20"/>
      <c r="P776" s="29" t="str">
        <f>IFERROR(__xludf.DUMMYFUNCTION("""COMPUTED_VALUE"""),"可")</f>
        <v>可</v>
      </c>
      <c r="Q776" s="30" t="str">
        <f>IFERROR(__xludf.DUMMYFUNCTION("""COMPUTED_VALUE"""),"P7～P40")</f>
        <v>P7～P40</v>
      </c>
      <c r="R776" s="22"/>
      <c r="S776" s="22" t="str">
        <f>IFERROR(__xludf.DUMMYFUNCTION("""COMPUTED_VALUE"""),"20231005_一迅社_使用人は年下騎士の執着愛でイカされる")</f>
        <v>20231005_一迅社_使用人は年下騎士の執着愛でイカされる</v>
      </c>
      <c r="T776" s="22" t="str">
        <f>IFERROR(__xludf.DUMMYFUNCTION("""COMPUTED_VALUE"""),"格納済み")</f>
        <v>格納済み</v>
      </c>
      <c r="U776" s="15" t="str">
        <f>IFERROR(__xludf.DUMMYFUNCTION("""COMPUTED_VALUE"""),"(C)テディー・ユキ／一迅社")</f>
        <v>(C)テディー・ユキ／一迅社</v>
      </c>
      <c r="V776" s="8" t="str">
        <f>IFERROR(__xludf.DUMMYFUNCTION("""COMPUTED_VALUE"""),"使用人のレイラがお世話係を任された貴族の子息・エリオットは、成長して国が誇る騎士となった。今、レイラは大人になった彼に強引に抱かれる日々を送っている。少年時代の愛らしさを失くし冷酷な騎士になってしまったエリオットの、瞳の奥の秘めた寂しさに気づきながら――。※この作品は『冷酷騎士様にイカされとろけちゃう…アンソロジー ～最奥まで愛される夜～』収録作品に新規ページを追加したものを単話版として再編集したものとなります。重複購入にご注意ください。")</f>
        <v>使用人のレイラがお世話係を任された貴族の子息・エリオットは、成長して国が誇る騎士となった。今、レイラは大人になった彼に強引に抱かれる日々を送っている。少年時代の愛らしさを失くし冷酷な騎士になってしまったエリオットの、瞳の奥の秘めた寂しさに気づきながら――。※この作品は『冷酷騎士様にイカされとろけちゃう…アンソロジー ～最奥まで愛される夜～』収録作品に新規ページを追加したものを単話版として再編集したものとなります。重複購入にご注意ください。</v>
      </c>
      <c r="W776" s="14"/>
      <c r="X776" s="14" t="str">
        <f>IFERROR(__xludf.DUMMYFUNCTION("""COMPUTED_VALUE"""),"有
")</f>
        <v>有
</v>
      </c>
      <c r="Y776" s="8" t="str">
        <f>IFERROR(__xludf.DUMMYFUNCTION("""COMPUTED_VALUE"""),"P8まで")</f>
        <v>P8まで</v>
      </c>
      <c r="Z776" s="7"/>
      <c r="AA776" s="7"/>
      <c r="AB776" s="7"/>
    </row>
    <row r="777" ht="15.75" customHeight="1">
      <c r="A777" s="26">
        <f>IFERROR(__xludf.DUMMYFUNCTION("""COMPUTED_VALUE"""),2476.0)</f>
        <v>2476</v>
      </c>
      <c r="B777" s="22" t="str">
        <f>IFERROR(__xludf.DUMMYFUNCTION("""COMPUTED_VALUE"""),"確定")</f>
        <v>確定</v>
      </c>
      <c r="C777" s="28">
        <f>IFERROR(__xludf.DUMMYFUNCTION("""COMPUTED_VALUE"""),45204.0)</f>
        <v>45204</v>
      </c>
      <c r="D777" s="28">
        <f>IFERROR(__xludf.DUMMYFUNCTION("""COMPUTED_VALUE"""),45205.0)</f>
        <v>45205</v>
      </c>
      <c r="E777" s="31">
        <f>IFERROR(__xludf.DUMMYFUNCTION("""COMPUTED_VALUE"""),278971.0)</f>
        <v>278971</v>
      </c>
      <c r="F777" s="22" t="str">
        <f>IFERROR(__xludf.DUMMYFUNCTION("""COMPUTED_VALUE"""),"転生して令嬢になったハズなのに、エロゲの蜜壺役なんてヒドいですわ！ 【分冊版】")</f>
        <v>転生して令嬢になったハズなのに、エロゲの蜜壺役なんてヒドいですわ！ 【分冊版】</v>
      </c>
      <c r="G777" s="20" t="str">
        <f>IFERROR(__xludf.DUMMYFUNCTION("""COMPUTED_VALUE"""),"1～3")</f>
        <v>1～3</v>
      </c>
      <c r="H777" s="22" t="str">
        <f>IFERROR(__xludf.DUMMYFUNCTION("""COMPUTED_VALUE"""),"オンディ・あのにむ")</f>
        <v>オンディ・あのにむ</v>
      </c>
      <c r="I777" s="14" t="str">
        <f>IFERROR(__xludf.DUMMYFUNCTION("""COMPUTED_VALUE"""),"青年")</f>
        <v>青年</v>
      </c>
      <c r="J777" s="22"/>
      <c r="K777" s="22"/>
      <c r="L777" s="22" t="str">
        <f>IFERROR(__xludf.DUMMYFUNCTION("""COMPUTED_VALUE"""),"一迅社")</f>
        <v>一迅社</v>
      </c>
      <c r="M777" s="23">
        <f>IFERROR(__xludf.DUMMYFUNCTION("""COMPUTED_VALUE"""),45257.0)</f>
        <v>45257</v>
      </c>
      <c r="N777" s="23">
        <f>IFERROR(__xludf.DUMMYFUNCTION("""COMPUTED_VALUE"""),45286.0)</f>
        <v>45286</v>
      </c>
      <c r="O777" s="20"/>
      <c r="P777" s="29" t="str">
        <f>IFERROR(__xludf.DUMMYFUNCTION("""COMPUTED_VALUE"""),"可")</f>
        <v>可</v>
      </c>
      <c r="Q777" s="30" t="str">
        <f>IFERROR(__xludf.DUMMYFUNCTION("""COMPUTED_VALUE"""),"3話目素材がギリギリになるので2話目までの素材でご確認、制作いただけますと幸いです。&lt;BR&gt;0000145378_jp_0016⇒P5～P34&lt;BR&gt;0000145378_jp_0017⇒P41～70")</f>
        <v>3話目素材がギリギリになるので2話目までの素材でご確認、制作いただけますと幸いです。&lt;BR&gt;0000145378_jp_0016⇒P5～P34&lt;BR&gt;0000145378_jp_0017⇒P41～70</v>
      </c>
      <c r="R777" s="22"/>
      <c r="S777" s="22" t="str">
        <f>IFERROR(__xludf.DUMMYFUNCTION("""COMPUTED_VALUE"""),"20231005_一迅社_転生して令嬢になったハズなのに、エロゲの蜜壺役なんてヒドいですわ！")</f>
        <v>20231005_一迅社_転生して令嬢になったハズなのに、エロゲの蜜壺役なんてヒドいですわ！</v>
      </c>
      <c r="T777" s="22" t="str">
        <f>IFERROR(__xludf.DUMMYFUNCTION("""COMPUTED_VALUE"""),"格納済み")</f>
        <v>格納済み</v>
      </c>
      <c r="U777" s="15" t="str">
        <f>IFERROR(__xludf.DUMMYFUNCTION("""COMPUTED_VALUE"""),"(C)オンディ・あのにむ／一迅社")</f>
        <v>(C)オンディ・あのにむ／一迅社</v>
      </c>
      <c r="V777" s="8" t="str">
        <f>IFERROR(__xludf.DUMMYFUNCTION("""COMPUTED_VALUE"""),"事故によって命を落とした北野さくらは、まるで”乙女ゲーム”のような世界に転生する。きらびやかな令嬢のドレスに身を包み、これから始まる恋の駆け引きに心躍らせていたが、待ち受けていたのはゴブリンによる凌辱が蔓延る”エロゲ”のような世界だった――。　※この作品は『ゴブリンにエロいことされちゃうアンソロジーコミック』16巻収録作品と同一の内容を単話版として再編集したものとなります。")</f>
        <v>事故によって命を落とした北野さくらは、まるで”乙女ゲーム”のような世界に転生する。きらびやかな令嬢のドレスに身を包み、これから始まる恋の駆け引きに心躍らせていたが、待ち受けていたのはゴブリンによる凌辱が蔓延る”エロゲ”のような世界だった――。　※この作品は『ゴブリンにエロいことされちゃうアンソロジーコミック』16巻収録作品と同一の内容を単話版として再編集したものとなります。</v>
      </c>
      <c r="W777" s="14"/>
      <c r="X777" s="14" t="str">
        <f>IFERROR(__xludf.DUMMYFUNCTION("""COMPUTED_VALUE"""),"有
")</f>
        <v>有
</v>
      </c>
      <c r="Y777" s="8" t="str">
        <f>IFERROR(__xludf.DUMMYFUNCTION("""COMPUTED_VALUE"""),"P7まで")</f>
        <v>P7まで</v>
      </c>
      <c r="Z777" s="7"/>
      <c r="AA777" s="7"/>
      <c r="AB777" s="7"/>
    </row>
    <row r="778" ht="15.75" customHeight="1">
      <c r="A778" s="26">
        <f>IFERROR(__xludf.DUMMYFUNCTION("""COMPUTED_VALUE"""),2477.0)</f>
        <v>2477</v>
      </c>
      <c r="B778" s="22" t="str">
        <f>IFERROR(__xludf.DUMMYFUNCTION("""COMPUTED_VALUE"""),"確定")</f>
        <v>確定</v>
      </c>
      <c r="C778" s="28">
        <f>IFERROR(__xludf.DUMMYFUNCTION("""COMPUTED_VALUE"""),45204.0)</f>
        <v>45204</v>
      </c>
      <c r="D778" s="28">
        <f>IFERROR(__xludf.DUMMYFUNCTION("""COMPUTED_VALUE"""),45205.0)</f>
        <v>45205</v>
      </c>
      <c r="E778" s="31">
        <f>IFERROR(__xludf.DUMMYFUNCTION("""COMPUTED_VALUE"""),278972.0)</f>
        <v>278972</v>
      </c>
      <c r="F778" s="22" t="str">
        <f>IFERROR(__xludf.DUMMYFUNCTION("""COMPUTED_VALUE"""),"怨恨のサクリファイス～復讐の館～ 【分冊版】")</f>
        <v>怨恨のサクリファイス～復讐の館～ 【分冊版】</v>
      </c>
      <c r="G778" s="20" t="str">
        <f>IFERROR(__xludf.DUMMYFUNCTION("""COMPUTED_VALUE"""),"1～3")</f>
        <v>1～3</v>
      </c>
      <c r="H778" s="22" t="str">
        <f>IFERROR(__xludf.DUMMYFUNCTION("""COMPUTED_VALUE"""),"オンディ・あのにむ")</f>
        <v>オンディ・あのにむ</v>
      </c>
      <c r="I778" s="14" t="str">
        <f>IFERROR(__xludf.DUMMYFUNCTION("""COMPUTED_VALUE"""),"青年")</f>
        <v>青年</v>
      </c>
      <c r="J778" s="22"/>
      <c r="K778" s="22"/>
      <c r="L778" s="22" t="str">
        <f>IFERROR(__xludf.DUMMYFUNCTION("""COMPUTED_VALUE"""),"一迅社")</f>
        <v>一迅社</v>
      </c>
      <c r="M778" s="23">
        <f>IFERROR(__xludf.DUMMYFUNCTION("""COMPUTED_VALUE"""),45257.0)</f>
        <v>45257</v>
      </c>
      <c r="N778" s="23">
        <f>IFERROR(__xludf.DUMMYFUNCTION("""COMPUTED_VALUE"""),45286.0)</f>
        <v>45286</v>
      </c>
      <c r="O778" s="20"/>
      <c r="P778" s="29" t="str">
        <f>IFERROR(__xludf.DUMMYFUNCTION("""COMPUTED_VALUE"""),"可")</f>
        <v>可</v>
      </c>
      <c r="Q778" s="30" t="str">
        <f>IFERROR(__xludf.DUMMYFUNCTION("""COMPUTED_VALUE"""),"0000214548_jp_0002⇒P38～72&lt;BR&gt;0000214548_jp_0003⇒P85～112&lt;BR&gt;0000214548_jp_0004⇒P29～P58")</f>
        <v>0000214548_jp_0002⇒P38～72&lt;BR&gt;0000214548_jp_0003⇒P85～112&lt;BR&gt;0000214548_jp_0004⇒P29～P58</v>
      </c>
      <c r="R778" s="22"/>
      <c r="S778" s="22" t="str">
        <f>IFERROR(__xludf.DUMMYFUNCTION("""COMPUTED_VALUE"""),"20231005_一迅社_怨恨のサクリファイス～復讐の館～")</f>
        <v>20231005_一迅社_怨恨のサクリファイス～復讐の館～</v>
      </c>
      <c r="T778" s="22" t="str">
        <f>IFERROR(__xludf.DUMMYFUNCTION("""COMPUTED_VALUE"""),"格納済み")</f>
        <v>格納済み</v>
      </c>
      <c r="U778" s="15" t="str">
        <f>IFERROR(__xludf.DUMMYFUNCTION("""COMPUTED_VALUE"""),"(C)オンディ・あのにむ／一迅社")</f>
        <v>(C)オンディ・あのにむ／一迅社</v>
      </c>
      <c r="V778" s="8" t="str">
        <f>IFERROR(__xludf.DUMMYFUNCTION("""COMPUTED_VALUE"""),"女性4人組の冒険者パーティ”緋星(あけぼし)”は、武器や魔法が使えなくなる呪いに悩まされていた。呪いを解くため呪術師の館を訪れた一行だが、一人また一人と何者かに犯され、殺されてしまう。残されたメンバーは、”呪い”の裏に隠された真実を知ることになる――。　※この作品は『パーティ追放された俺が裏切った仲間に復讐するアンソロジーコミック』2巻収録作品と同一の内容を単話版として再編集したものとなります。")</f>
        <v>女性4人組の冒険者パーティ”緋星(あけぼし)”は、武器や魔法が使えなくなる呪いに悩まされていた。呪いを解くため呪術師の館を訪れた一行だが、一人また一人と何者かに犯され、殺されてしまう。残されたメンバーは、”呪い”の裏に隠された真実を知ることになる――。　※この作品は『パーティ追放された俺が裏切った仲間に復讐するアンソロジーコミック』2巻収録作品と同一の内容を単話版として再編集したものとなります。</v>
      </c>
      <c r="W778" s="14"/>
      <c r="X778" s="14" t="str">
        <f>IFERROR(__xludf.DUMMYFUNCTION("""COMPUTED_VALUE"""),"有
")</f>
        <v>有
</v>
      </c>
      <c r="Y778" s="8" t="str">
        <f>IFERROR(__xludf.DUMMYFUNCTION("""COMPUTED_VALUE"""),"P8まで")</f>
        <v>P8まで</v>
      </c>
      <c r="Z778" s="7"/>
      <c r="AA778" s="7"/>
      <c r="AB778" s="7"/>
    </row>
    <row r="779" ht="15.75" customHeight="1">
      <c r="A779" s="26">
        <f>IFERROR(__xludf.DUMMYFUNCTION("""COMPUTED_VALUE"""),2478.0)</f>
        <v>2478</v>
      </c>
      <c r="B779" s="22" t="str">
        <f>IFERROR(__xludf.DUMMYFUNCTION("""COMPUTED_VALUE"""),"確定")</f>
        <v>確定</v>
      </c>
      <c r="C779" s="28">
        <f>IFERROR(__xludf.DUMMYFUNCTION("""COMPUTED_VALUE"""),45204.0)</f>
        <v>45204</v>
      </c>
      <c r="D779" s="28">
        <f>IFERROR(__xludf.DUMMYFUNCTION("""COMPUTED_VALUE"""),45205.0)</f>
        <v>45205</v>
      </c>
      <c r="E779" s="31">
        <f>IFERROR(__xludf.DUMMYFUNCTION("""COMPUTED_VALUE"""),278581.0)</f>
        <v>278581</v>
      </c>
      <c r="F779" s="22" t="str">
        <f>IFERROR(__xludf.DUMMYFUNCTION("""COMPUTED_VALUE"""),"社畜リーマン、運命の恋～俺のことが大好きな子がグイグイきて…～")</f>
        <v>社畜リーマン、運命の恋～俺のことが大好きな子がグイグイきて…～</v>
      </c>
      <c r="G779" s="20" t="str">
        <f>IFERROR(__xludf.DUMMYFUNCTION("""COMPUTED_VALUE"""),"1~3")</f>
        <v>1~3</v>
      </c>
      <c r="H779" s="22" t="str">
        <f>IFERROR(__xludf.DUMMYFUNCTION("""COMPUTED_VALUE"""),"色鳥ラムネ")</f>
        <v>色鳥ラムネ</v>
      </c>
      <c r="I779" s="22" t="str">
        <f>IFERROR(__xludf.DUMMYFUNCTION("""COMPUTED_VALUE"""),"青年")</f>
        <v>青年</v>
      </c>
      <c r="J779" s="22"/>
      <c r="K779" s="22"/>
      <c r="L779" s="22" t="str">
        <f>IFERROR(__xludf.DUMMYFUNCTION("""COMPUTED_VALUE"""),"CLLENN")</f>
        <v>CLLENN</v>
      </c>
      <c r="M779" s="23">
        <f>IFERROR(__xludf.DUMMYFUNCTION("""COMPUTED_VALUE"""),45221.0)</f>
        <v>45221</v>
      </c>
      <c r="N779" s="23">
        <f>IFERROR(__xludf.DUMMYFUNCTION("""COMPUTED_VALUE"""),45318.0)</f>
        <v>45318</v>
      </c>
      <c r="O779" s="20"/>
      <c r="P779" s="29" t="str">
        <f>IFERROR(__xludf.DUMMYFUNCTION("""COMPUTED_VALUE"""),"可")</f>
        <v>可</v>
      </c>
      <c r="Q779" s="22" t="str">
        <f>IFERROR(__xludf.DUMMYFUNCTION("""COMPUTED_VALUE"""),"協業：シーモア×DEDEDE")</f>
        <v>協業：シーモア×DEDEDE</v>
      </c>
      <c r="R779" s="22" t="str">
        <f>IFERROR(__xludf.DUMMYFUNCTION("""COMPUTED_VALUE"""),"格納済")</f>
        <v>格納済</v>
      </c>
      <c r="S779" s="22" t="str">
        <f>IFERROR(__xludf.DUMMYFUNCTION("""COMPUTED_VALUE"""),"20231005_CLLENN_社畜リーマン、運命の恋～俺のことが大好きな子がグイグイきて…～")</f>
        <v>20231005_CLLENN_社畜リーマン、運命の恋～俺のことが大好きな子がグイグイきて…～</v>
      </c>
      <c r="T779" s="22" t="str">
        <f>IFERROR(__xludf.DUMMYFUNCTION("""COMPUTED_VALUE"""),"格納済み")</f>
        <v>格納済み</v>
      </c>
      <c r="U779" s="15" t="str">
        <f>IFERROR(__xludf.DUMMYFUNCTION("""COMPUTED_VALUE"""),"ⓒ色鳥ラムネ/CLLENN")</f>
        <v>ⓒ色鳥ラムネ/CLLENN</v>
      </c>
      <c r="V779" s="8" t="str">
        <f>IFERROR(__xludf.DUMMYFUNCTION("""COMPUTED_VALUE"""),"就職してからまったく実家に帰っていなかった社畜の俺が、突然の有休で帰省することに…。「おかえりなさいっ！」10年ぶりに俺を出迎えてくれたのは、年下の幼馴染の乃々華だった。ひさしぶりの彼女は、胸やお尻が健康的に育っていて…って、おっさんのクセになにドキドキしてんだよ、俺！　しかし、その晩…ふと窓の外を見ると、入浴中の乃々華が丸見えで、その姿に思わず興奮してしまい…!?――社畜リーマン×田舎美少女の有休消化ラブストーリー！")</f>
        <v>就職してからまったく実家に帰っていなかった社畜の俺が、突然の有休で帰省することに…。「おかえりなさいっ！」10年ぶりに俺を出迎えてくれたのは、年下の幼馴染の乃々華だった。ひさしぶりの彼女は、胸やお尻が健康的に育っていて…って、おっさんのクセになにドキドキしてんだよ、俺！　しかし、その晩…ふと窓の外を見ると、入浴中の乃々華が丸見えで、その姿に思わず興奮してしまい…!?――社畜リーマン×田舎美少女の有休消化ラブストーリー！</v>
      </c>
      <c r="W779" s="14"/>
      <c r="X779" s="14" t="str">
        <f>IFERROR(__xludf.DUMMYFUNCTION("""COMPUTED_VALUE"""),"有
")</f>
        <v>有
</v>
      </c>
      <c r="Y779" s="8" t="str">
        <f>IFERROR(__xludf.DUMMYFUNCTION("""COMPUTED_VALUE"""),"P10まで")</f>
        <v>P10まで</v>
      </c>
      <c r="Z779" s="7"/>
      <c r="AA779" s="7"/>
      <c r="AB779" s="7"/>
    </row>
    <row r="780" ht="105.0" customHeight="1">
      <c r="A780" s="26">
        <f>IFERROR(__xludf.DUMMYFUNCTION("""COMPUTED_VALUE"""),2481.0)</f>
        <v>2481</v>
      </c>
      <c r="B780" s="22" t="str">
        <f>IFERROR(__xludf.DUMMYFUNCTION("""COMPUTED_VALUE"""),"確定")</f>
        <v>確定</v>
      </c>
      <c r="C780" s="28">
        <f>IFERROR(__xludf.DUMMYFUNCTION("""COMPUTED_VALUE"""),45205.0)</f>
        <v>45205</v>
      </c>
      <c r="D780" s="28">
        <f>IFERROR(__xludf.DUMMYFUNCTION("""COMPUTED_VALUE"""),45209.0)</f>
        <v>45209</v>
      </c>
      <c r="E780" s="31">
        <f>IFERROR(__xludf.DUMMYFUNCTION("""COMPUTED_VALUE"""),279027.0)</f>
        <v>279027</v>
      </c>
      <c r="F780" s="22" t="str">
        <f>IFERROR(__xludf.DUMMYFUNCTION("""COMPUTED_VALUE"""),"腐肉列車【タテヨミ】")</f>
        <v>腐肉列車【タテヨミ】</v>
      </c>
      <c r="G780" s="20" t="str">
        <f>IFERROR(__xludf.DUMMYFUNCTION("""COMPUTED_VALUE"""),"1~35")</f>
        <v>1~35</v>
      </c>
      <c r="H780" s="22" t="str">
        <f>IFERROR(__xludf.DUMMYFUNCTION("""COMPUTED_VALUE"""),"TENCENT Animation&amp; Comics/PXTAR")</f>
        <v>TENCENT Animation&amp; Comics/PXTAR</v>
      </c>
      <c r="I780" s="22" t="str">
        <f>IFERROR(__xludf.DUMMYFUNCTION("""COMPUTED_VALUE"""),"少年")</f>
        <v>少年</v>
      </c>
      <c r="J780" s="22"/>
      <c r="K780" s="22"/>
      <c r="L780" s="22" t="str">
        <f>IFERROR(__xludf.DUMMYFUNCTION("""COMPUTED_VALUE"""),"Full Color Comics")</f>
        <v>Full Color Comics</v>
      </c>
      <c r="M780" s="23">
        <f>IFERROR(__xludf.DUMMYFUNCTION("""COMPUTED_VALUE"""),45231.0)</f>
        <v>45231</v>
      </c>
      <c r="N780" s="23">
        <f>IFERROR(__xludf.DUMMYFUNCTION("""COMPUTED_VALUE"""),45322.0)</f>
        <v>45322</v>
      </c>
      <c r="O780" s="20"/>
      <c r="P780" s="29" t="str">
        <f>IFERROR(__xludf.DUMMYFUNCTION("""COMPUTED_VALUE"""),"可")</f>
        <v>可</v>
      </c>
      <c r="Q780" s="22" t="str">
        <f>IFERROR(__xludf.DUMMYFUNCTION("""COMPUTED_VALUE"""),"「腐肉列車」が正しいです")</f>
        <v>「腐肉列車」が正しいです</v>
      </c>
      <c r="R780" s="22" t="str">
        <f>IFERROR(__xludf.DUMMYFUNCTION("""COMPUTED_VALUE"""),"格納済")</f>
        <v>格納済</v>
      </c>
      <c r="S780" s="22" t="str">
        <f>IFERROR(__xludf.DUMMYFUNCTION("""COMPUTED_VALUE"""),"20231006_FullColorComics_腐食列車【タテヨミ】")</f>
        <v>20231006_FullColorComics_腐食列車【タテヨミ】</v>
      </c>
      <c r="T780" s="22" t="str">
        <f>IFERROR(__xludf.DUMMYFUNCTION("""COMPUTED_VALUE"""),"格納済み")</f>
        <v>格納済み</v>
      </c>
      <c r="U780" s="15" t="str">
        <f>IFERROR(__xludf.DUMMYFUNCTION("""COMPUTED_VALUE"""),"(C)TENCENT Animation&amp; Comics/PXTAR")</f>
        <v>(C)TENCENT Animation&amp; Comics/PXTAR</v>
      </c>
      <c r="V780" s="8" t="str">
        <f>IFERROR(__xludf.DUMMYFUNCTION("""COMPUTED_VALUE"""),"病弱な浪人の健健は、里帰りする人々を載せた列車に家族と乗り込む。しかし、その列車には変異した蚊に噛まれ、狂暴化した人たちが混じっていた。混沌と化していく車内で、健健も女性に噛まれてしまい…")</f>
        <v>病弱な浪人の健健は、里帰りする人々を載せた列車に家族と乗り込む。しかし、その列車には変異した蚊に噛まれ、狂暴化した人たちが混じっていた。混沌と化していく車内で、健健も女性に噛まれてしまい…</v>
      </c>
      <c r="W780" s="14"/>
      <c r="X780" s="14" t="str">
        <f>IFERROR(__xludf.DUMMYFUNCTION("""COMPUTED_VALUE"""),"有
")</f>
        <v>有
</v>
      </c>
      <c r="Y780" s="8" t="str">
        <f>IFERROR(__xludf.DUMMYFUNCTION("""COMPUTED_VALUE"""),"3巻無料
")</f>
        <v>3巻無料
</v>
      </c>
      <c r="Z780" s="7"/>
      <c r="AA780" s="7"/>
      <c r="AB780" s="7"/>
    </row>
    <row r="781" ht="104.25" customHeight="1">
      <c r="A781" s="26">
        <f>IFERROR(__xludf.DUMMYFUNCTION("""COMPUTED_VALUE"""),2482.0)</f>
        <v>2482</v>
      </c>
      <c r="B781" s="22" t="str">
        <f>IFERROR(__xludf.DUMMYFUNCTION("""COMPUTED_VALUE"""),"確定")</f>
        <v>確定</v>
      </c>
      <c r="C781" s="28">
        <f>IFERROR(__xludf.DUMMYFUNCTION("""COMPUTED_VALUE"""),45205.0)</f>
        <v>45205</v>
      </c>
      <c r="D781" s="28">
        <f>IFERROR(__xludf.DUMMYFUNCTION("""COMPUTED_VALUE"""),45209.0)</f>
        <v>45209</v>
      </c>
      <c r="E781" s="31">
        <f>IFERROR(__xludf.DUMMYFUNCTION("""COMPUTED_VALUE"""),279024.0)</f>
        <v>279024</v>
      </c>
      <c r="F781" s="22" t="str">
        <f>IFERROR(__xludf.DUMMYFUNCTION("""COMPUTED_VALUE"""),"王位継承者の俺は覚醒兆候ゼロの肉体を手に入れて自由を謳歌する。【タテヨミ】")</f>
        <v>王位継承者の俺は覚醒兆候ゼロの肉体を手に入れて自由を謳歌する。【タテヨミ】</v>
      </c>
      <c r="G781" s="11" t="str">
        <f>IFERROR(__xludf.DUMMYFUNCTION("""COMPUTED_VALUE"""),"1～29")</f>
        <v>1～29</v>
      </c>
      <c r="H781" s="22" t="str">
        <f>IFERROR(__xludf.DUMMYFUNCTION("""COMPUTED_VALUE"""),"TENCENT Animation&amp; Comics/PXTAR")</f>
        <v>TENCENT Animation&amp; Comics/PXTAR</v>
      </c>
      <c r="I781" s="22" t="str">
        <f>IFERROR(__xludf.DUMMYFUNCTION("""COMPUTED_VALUE"""),"少年")</f>
        <v>少年</v>
      </c>
      <c r="J781" s="22"/>
      <c r="K781" s="22"/>
      <c r="L781" s="22" t="str">
        <f>IFERROR(__xludf.DUMMYFUNCTION("""COMPUTED_VALUE"""),"Full Color Comics")</f>
        <v>Full Color Comics</v>
      </c>
      <c r="M781" s="23">
        <f>IFERROR(__xludf.DUMMYFUNCTION("""COMPUTED_VALUE"""),45231.0)</f>
        <v>45231</v>
      </c>
      <c r="N781" s="23">
        <f>IFERROR(__xludf.DUMMYFUNCTION("""COMPUTED_VALUE"""),45322.0)</f>
        <v>45322</v>
      </c>
      <c r="O781" s="20"/>
      <c r="P781" s="29" t="str">
        <f>IFERROR(__xludf.DUMMYFUNCTION("""COMPUTED_VALUE"""),"可")</f>
        <v>可</v>
      </c>
      <c r="Q781" s="22" t="str">
        <f>IFERROR(__xludf.DUMMYFUNCTION("""COMPUTED_VALUE"""),"2483との違いはタテか横かだけです。")</f>
        <v>2483との違いはタテか横かだけです。</v>
      </c>
      <c r="R781" s="22" t="str">
        <f>IFERROR(__xludf.DUMMYFUNCTION("""COMPUTED_VALUE"""),"格納済")</f>
        <v>格納済</v>
      </c>
      <c r="S781" s="22" t="str">
        <f>IFERROR(__xludf.DUMMYFUNCTION("""COMPUTED_VALUE"""),"20231006_FullColorComics_王位継承者の俺は覚醒兆候ゼロの肉体を手に入れて自由を謳歌する。【タテヨミ】")</f>
        <v>20231006_FullColorComics_王位継承者の俺は覚醒兆候ゼロの肉体を手に入れて自由を謳歌する。【タテヨミ】</v>
      </c>
      <c r="T781" s="22" t="str">
        <f>IFERROR(__xludf.DUMMYFUNCTION("""COMPUTED_VALUE"""),"校了済素材/格納済み")</f>
        <v>校了済素材/格納済み</v>
      </c>
      <c r="U781" s="15" t="str">
        <f>IFERROR(__xludf.DUMMYFUNCTION("""COMPUTED_VALUE"""),"(C)TENCENT Animation&amp; Comics/PXTAR")</f>
        <v>(C)TENCENT Animation&amp; Comics/PXTAR</v>
      </c>
      <c r="V781" s="8" t="str">
        <f>IFERROR(__xludf.DUMMYFUNCTION("""COMPUTED_VALUE"""),"地球がオーラに包まれ、均衡が崩れた世界。人類は覚醒し、力を持ち始めていた。異世界で皇帝の座を強要されそうになっていた皇太子は、気づくと才能ゼロで貧弱な貧乏学生に転生していて…!?残っていた魔力を駆使して、完璧な自由を謳歌しようとするが…")</f>
        <v>地球がオーラに包まれ、均衡が崩れた世界。人類は覚醒し、力を持ち始めていた。異世界で皇帝の座を強要されそうになっていた皇太子は、気づくと才能ゼロで貧弱な貧乏学生に転生していて…!?残っていた魔力を駆使して、完璧な自由を謳歌しようとするが…</v>
      </c>
      <c r="W781" s="14"/>
      <c r="X781" s="14" t="str">
        <f>IFERROR(__xludf.DUMMYFUNCTION("""COMPUTED_VALUE"""),"有
")</f>
        <v>有
</v>
      </c>
      <c r="Y781" s="8" t="str">
        <f>IFERROR(__xludf.DUMMYFUNCTION("""COMPUTED_VALUE"""),"3巻無料
")</f>
        <v>3巻無料
</v>
      </c>
      <c r="Z781" s="7"/>
      <c r="AA781" s="7"/>
      <c r="AB781" s="7"/>
    </row>
    <row r="782" ht="105.0" customHeight="1">
      <c r="A782" s="26">
        <f>IFERROR(__xludf.DUMMYFUNCTION("""COMPUTED_VALUE"""),2483.0)</f>
        <v>2483</v>
      </c>
      <c r="B782" s="22" t="str">
        <f>IFERROR(__xludf.DUMMYFUNCTION("""COMPUTED_VALUE"""),"確定")</f>
        <v>確定</v>
      </c>
      <c r="C782" s="28">
        <f>IFERROR(__xludf.DUMMYFUNCTION("""COMPUTED_VALUE"""),45205.0)</f>
        <v>45205</v>
      </c>
      <c r="D782" s="28">
        <f>IFERROR(__xludf.DUMMYFUNCTION("""COMPUTED_VALUE"""),45209.0)</f>
        <v>45209</v>
      </c>
      <c r="E782" s="31">
        <f>IFERROR(__xludf.DUMMYFUNCTION("""COMPUTED_VALUE"""),279023.0)</f>
        <v>279023</v>
      </c>
      <c r="F782" s="22" t="str">
        <f>IFERROR(__xludf.DUMMYFUNCTION("""COMPUTED_VALUE"""),"王位継承者の俺は覚醒兆候ゼロの肉体を手に入れて自由を謳歌する。")</f>
        <v>王位継承者の俺は覚醒兆候ゼロの肉体を手に入れて自由を謳歌する。</v>
      </c>
      <c r="G782" s="11" t="str">
        <f>IFERROR(__xludf.DUMMYFUNCTION("""COMPUTED_VALUE"""),"1～29")</f>
        <v>1～29</v>
      </c>
      <c r="H782" s="22" t="str">
        <f>IFERROR(__xludf.DUMMYFUNCTION("""COMPUTED_VALUE"""),"TENCENT Animation&amp; Comics/PXTAR")</f>
        <v>TENCENT Animation&amp; Comics/PXTAR</v>
      </c>
      <c r="I782" s="22" t="str">
        <f>IFERROR(__xludf.DUMMYFUNCTION("""COMPUTED_VALUE"""),"少年")</f>
        <v>少年</v>
      </c>
      <c r="J782" s="22"/>
      <c r="K782" s="22"/>
      <c r="L782" s="22" t="str">
        <f>IFERROR(__xludf.DUMMYFUNCTION("""COMPUTED_VALUE"""),"Full Color Comics")</f>
        <v>Full Color Comics</v>
      </c>
      <c r="M782" s="23">
        <f>IFERROR(__xludf.DUMMYFUNCTION("""COMPUTED_VALUE"""),45231.0)</f>
        <v>45231</v>
      </c>
      <c r="N782" s="23">
        <f>IFERROR(__xludf.DUMMYFUNCTION("""COMPUTED_VALUE"""),45322.0)</f>
        <v>45322</v>
      </c>
      <c r="O782" s="20"/>
      <c r="P782" s="29" t="str">
        <f>IFERROR(__xludf.DUMMYFUNCTION("""COMPUTED_VALUE"""),"可")</f>
        <v>可</v>
      </c>
      <c r="Q782" s="22" t="str">
        <f>IFERROR(__xludf.DUMMYFUNCTION("""COMPUTED_VALUE"""),"2482との違いはタテか横かだけです")</f>
        <v>2482との違いはタテか横かだけです</v>
      </c>
      <c r="R782" s="22" t="str">
        <f>IFERROR(__xludf.DUMMYFUNCTION("""COMPUTED_VALUE"""),"格納済")</f>
        <v>格納済</v>
      </c>
      <c r="S782" s="22" t="str">
        <f>IFERROR(__xludf.DUMMYFUNCTION("""COMPUTED_VALUE"""),"20231006_FullColorComics_王位継承者の俺は覚醒兆候ゼロの肉体を手に入れて自由を謳歌する。")</f>
        <v>20231006_FullColorComics_王位継承者の俺は覚醒兆候ゼロの肉体を手に入れて自由を謳歌する。</v>
      </c>
      <c r="T782" s="22" t="str">
        <f>IFERROR(__xludf.DUMMYFUNCTION("""COMPUTED_VALUE"""),"校了済素材/格納済み")</f>
        <v>校了済素材/格納済み</v>
      </c>
      <c r="U782" s="15" t="str">
        <f>IFERROR(__xludf.DUMMYFUNCTION("""COMPUTED_VALUE"""),"(C)TENCENT Animation&amp; Comics/PXTAR")</f>
        <v>(C)TENCENT Animation&amp; Comics/PXTAR</v>
      </c>
      <c r="V782" s="8" t="str">
        <f>IFERROR(__xludf.DUMMYFUNCTION("""COMPUTED_VALUE"""),"地球がオーラに包まれ、均衡が崩れた世界。人類は覚醒し、力を持ち始めていた。異世界で皇帝の座を強要されそうになっていた皇太子は、気づくと才能ゼロで貧弱な貧乏学生に転生していて…!?残っていた魔力を駆使して、完璧な自由を謳歌しようとするが…")</f>
        <v>地球がオーラに包まれ、均衡が崩れた世界。人類は覚醒し、力を持ち始めていた。異世界で皇帝の座を強要されそうになっていた皇太子は、気づくと才能ゼロで貧弱な貧乏学生に転生していて…!?残っていた魔力を駆使して、完璧な自由を謳歌しようとするが…</v>
      </c>
      <c r="W782" s="14"/>
      <c r="X782" s="14" t="str">
        <f>IFERROR(__xludf.DUMMYFUNCTION("""COMPUTED_VALUE"""),"有
")</f>
        <v>有
</v>
      </c>
      <c r="Y782" s="8" t="str">
        <f>IFERROR(__xludf.DUMMYFUNCTION("""COMPUTED_VALUE"""),"3巻無料
")</f>
        <v>3巻無料
</v>
      </c>
      <c r="Z782" s="7"/>
      <c r="AA782" s="7"/>
      <c r="AB782" s="7"/>
    </row>
    <row r="783" ht="15.75" customHeight="1">
      <c r="A783" s="26">
        <f>IFERROR(__xludf.DUMMYFUNCTION("""COMPUTED_VALUE"""),2484.0)</f>
        <v>2484</v>
      </c>
      <c r="B783" s="22" t="str">
        <f>IFERROR(__xludf.DUMMYFUNCTION("""COMPUTED_VALUE"""),"確定")</f>
        <v>確定</v>
      </c>
      <c r="C783" s="28">
        <f>IFERROR(__xludf.DUMMYFUNCTION("""COMPUTED_VALUE"""),45205.0)</f>
        <v>45205</v>
      </c>
      <c r="D783" s="28">
        <f>IFERROR(__xludf.DUMMYFUNCTION("""COMPUTED_VALUE"""),45209.0)</f>
        <v>45209</v>
      </c>
      <c r="E783" s="31">
        <f>IFERROR(__xludf.DUMMYFUNCTION("""COMPUTED_VALUE"""),279075.0)</f>
        <v>279075</v>
      </c>
      <c r="F783" s="22" t="str">
        <f>IFERROR(__xludf.DUMMYFUNCTION("""COMPUTED_VALUE"""),"復讐のサレ妻〜あなたとは結婚できません〜")</f>
        <v>復讐のサレ妻〜あなたとは結婚できません〜</v>
      </c>
      <c r="G783" s="11" t="str">
        <f>IFERROR(__xludf.DUMMYFUNCTION("""COMPUTED_VALUE"""),"1～2")</f>
        <v>1～2</v>
      </c>
      <c r="H783" s="22" t="str">
        <f>IFERROR(__xludf.DUMMYFUNCTION("""COMPUTED_VALUE"""),"岸本悠希")</f>
        <v>岸本悠希</v>
      </c>
      <c r="I783" s="22" t="str">
        <f>IFERROR(__xludf.DUMMYFUNCTION("""COMPUTED_VALUE"""),"女性")</f>
        <v>女性</v>
      </c>
      <c r="J783" s="22"/>
      <c r="K783" s="22"/>
      <c r="L783" s="22" t="str">
        <f>IFERROR(__xludf.DUMMYFUNCTION("""COMPUTED_VALUE"""),"コミックルーム")</f>
        <v>コミックルーム</v>
      </c>
      <c r="M783" s="23">
        <f>IFERROR(__xludf.DUMMYFUNCTION("""COMPUTED_VALUE"""),45230.0)</f>
        <v>45230</v>
      </c>
      <c r="N783" s="23">
        <f>IFERROR(__xludf.DUMMYFUNCTION("""COMPUTED_VALUE"""),45412.0)</f>
        <v>45412</v>
      </c>
      <c r="O783" s="20"/>
      <c r="P783" s="32" t="str">
        <f>IFERROR(__xludf.DUMMYFUNCTION("""COMPUTED_VALUE"""),"可")</f>
        <v>可</v>
      </c>
      <c r="Q783" s="30"/>
      <c r="R783" s="22"/>
      <c r="S783" s="22" t="str">
        <f>IFERROR(__xludf.DUMMYFUNCTION("""COMPUTED_VALUE"""),"20231006_コミックルーム_1031配信新作")</f>
        <v>20231006_コミックルーム_1031配信新作</v>
      </c>
      <c r="T783" s="22" t="str">
        <f>IFERROR(__xludf.DUMMYFUNCTION("""COMPUTED_VALUE"""),"格納済み")</f>
        <v>格納済み</v>
      </c>
      <c r="U783" s="15" t="str">
        <f>IFERROR(__xludf.DUMMYFUNCTION("""COMPUTED_VALUE"""),"@岸本悠希／COMIC ROOM")</f>
        <v>@岸本悠希／COMIC ROOM</v>
      </c>
      <c r="V783" s="8" t="str">
        <f>IFERROR(__xludf.DUMMYFUNCTION("""COMPUTED_VALUE"""),"いつもの居酒屋で、 同棲中の悠太にプロポーズされる明日香。
悠太とは付き合って７年目。
プロポーズに憧れていた彼女は目も見ずスマホ片手に「結婚する？」と聞いてきた悠太に内心ブチギレるも
現実なんてこんなものかと受け入れた。
結婚式の準備を着々と進めていたある日、
家の掃除をしていると、開封された避妊具が見つかる。
しかも、８個入りのはずが残り１個。
使った記憶のない、残りわずかな避妊具を見て、
明日香は確信する──あいつ浮気してやがるっ！")</f>
        <v>いつもの居酒屋で、 同棲中の悠太にプロポーズされる明日香。
悠太とは付き合って７年目。
プロポーズに憧れていた彼女は目も見ずスマホ片手に「結婚する？」と聞いてきた悠太に内心ブチギレるも
現実なんてこんなものかと受け入れた。
結婚式の準備を着々と進めていたある日、
家の掃除をしていると、開封された避妊具が見つかる。
しかも、８個入りのはずが残り１個。
使った記憶のない、残りわずかな避妊具を見て、
明日香は確信する──あいつ浮気してやがるっ！</v>
      </c>
      <c r="W783" s="14"/>
      <c r="X783" s="14" t="str">
        <f>IFERROR(__xludf.DUMMYFUNCTION("""COMPUTED_VALUE"""),"有
")</f>
        <v>有
</v>
      </c>
      <c r="Y783" s="8" t="str">
        <f>IFERROR(__xludf.DUMMYFUNCTION("""COMPUTED_VALUE"""),"P13まで")</f>
        <v>P13まで</v>
      </c>
      <c r="Z783" s="7"/>
      <c r="AA783" s="7"/>
      <c r="AB783" s="7"/>
    </row>
    <row r="784" ht="15.75" customHeight="1">
      <c r="A784" s="26">
        <f>IFERROR(__xludf.DUMMYFUNCTION("""COMPUTED_VALUE"""),2485.0)</f>
        <v>2485</v>
      </c>
      <c r="B784" s="22" t="str">
        <f>IFERROR(__xludf.DUMMYFUNCTION("""COMPUTED_VALUE"""),"確定")</f>
        <v>確定</v>
      </c>
      <c r="C784" s="28">
        <f>IFERROR(__xludf.DUMMYFUNCTION("""COMPUTED_VALUE"""),45205.0)</f>
        <v>45205</v>
      </c>
      <c r="D784" s="28">
        <f>IFERROR(__xludf.DUMMYFUNCTION("""COMPUTED_VALUE"""),45209.0)</f>
        <v>45209</v>
      </c>
      <c r="E784" s="31">
        <f>IFERROR(__xludf.DUMMYFUNCTION("""COMPUTED_VALUE"""),279076.0)</f>
        <v>279076</v>
      </c>
      <c r="F784" s="22" t="str">
        <f>IFERROR(__xludf.DUMMYFUNCTION("""COMPUTED_VALUE"""),"復讐のサレ妻〜夫、捨てます〜")</f>
        <v>復讐のサレ妻〜夫、捨てます〜</v>
      </c>
      <c r="G784" s="11" t="str">
        <f>IFERROR(__xludf.DUMMYFUNCTION("""COMPUTED_VALUE"""),"1～2")</f>
        <v>1～2</v>
      </c>
      <c r="H784" s="22" t="str">
        <f>IFERROR(__xludf.DUMMYFUNCTION("""COMPUTED_VALUE"""),"NewYork")</f>
        <v>NewYork</v>
      </c>
      <c r="I784" s="22" t="str">
        <f>IFERROR(__xludf.DUMMYFUNCTION("""COMPUTED_VALUE"""),"女性")</f>
        <v>女性</v>
      </c>
      <c r="J784" s="22"/>
      <c r="K784" s="22"/>
      <c r="L784" s="22" t="str">
        <f>IFERROR(__xludf.DUMMYFUNCTION("""COMPUTED_VALUE"""),"コミックルーム")</f>
        <v>コミックルーム</v>
      </c>
      <c r="M784" s="23">
        <f>IFERROR(__xludf.DUMMYFUNCTION("""COMPUTED_VALUE"""),45230.0)</f>
        <v>45230</v>
      </c>
      <c r="N784" s="23">
        <f>IFERROR(__xludf.DUMMYFUNCTION("""COMPUTED_VALUE"""),45412.0)</f>
        <v>45412</v>
      </c>
      <c r="O784" s="20"/>
      <c r="P784" s="32" t="str">
        <f>IFERROR(__xludf.DUMMYFUNCTION("""COMPUTED_VALUE"""),"可")</f>
        <v>可</v>
      </c>
      <c r="Q784" s="30"/>
      <c r="R784" s="22"/>
      <c r="S784" s="22" t="str">
        <f>IFERROR(__xludf.DUMMYFUNCTION("""COMPUTED_VALUE"""),"20231006_コミックルーム_1031配信新作")</f>
        <v>20231006_コミックルーム_1031配信新作</v>
      </c>
      <c r="T784" s="22" t="str">
        <f>IFERROR(__xludf.DUMMYFUNCTION("""COMPUTED_VALUE"""),"格納済み")</f>
        <v>格納済み</v>
      </c>
      <c r="U784" s="15" t="str">
        <f>IFERROR(__xludf.DUMMYFUNCTION("""COMPUTED_VALUE"""),"＠NewYork／COMIC ROOM")</f>
        <v>＠NewYork／COMIC ROOM</v>
      </c>
      <c r="V784" s="8" t="str">
        <f>IFERROR(__xludf.DUMMYFUNCTION("""COMPUTED_VALUE"""),"専業主婦の麻美は、7年前に夫・春樹と結婚。
3年前には、子宝にも恵まれて息子・春之介が誕生した。
麻美は、これからもっと幸せな家庭を築き上げられると思っていた。
しかし、現実は違った…！
夫の食事中の放屁に、裸で部屋を徘徊といったデリカシー皆無の悪癖に、
うんざりするばかり…。このままでは子供に悪影響だと、注意をしても夫は知らんぷり。
夫への小さなストレスは、日に日に積み重なり、大きくなっていく。
そんなある日、夫が脱ぎ散らかしたスーツを片付けていると、ラブホのポイントカードが出てきた。ポイ"&amp;"ントの日付には、最近の日付が書いてある…。
夫・春樹への復讐劇を企てる──！")</f>
        <v>専業主婦の麻美は、7年前に夫・春樹と結婚。
3年前には、子宝にも恵まれて息子・春之介が誕生した。
麻美は、これからもっと幸せな家庭を築き上げられると思っていた。
しかし、現実は違った…！
夫の食事中の放屁に、裸で部屋を徘徊といったデリカシー皆無の悪癖に、
うんざりするばかり…。このままでは子供に悪影響だと、注意をしても夫は知らんぷり。
夫への小さなストレスは、日に日に積み重なり、大きくなっていく。
そんなある日、夫が脱ぎ散らかしたスーツを片付けていると、ラブホのポイントカードが出てきた。ポイントの日付には、最近の日付が書いてある…。
夫・春樹への復讐劇を企てる──！</v>
      </c>
      <c r="W784" s="14"/>
      <c r="X784" s="14" t="str">
        <f>IFERROR(__xludf.DUMMYFUNCTION("""COMPUTED_VALUE"""),"有
")</f>
        <v>有
</v>
      </c>
      <c r="Y784" s="8" t="str">
        <f>IFERROR(__xludf.DUMMYFUNCTION("""COMPUTED_VALUE"""),"P13まで")</f>
        <v>P13まで</v>
      </c>
      <c r="Z784" s="7"/>
      <c r="AA784" s="7"/>
      <c r="AB784" s="7"/>
    </row>
    <row r="785" ht="15.75" customHeight="1">
      <c r="A785" s="26">
        <f>IFERROR(__xludf.DUMMYFUNCTION("""COMPUTED_VALUE"""),2486.0)</f>
        <v>2486</v>
      </c>
      <c r="B785" s="22" t="str">
        <f>IFERROR(__xludf.DUMMYFUNCTION("""COMPUTED_VALUE"""),"確定")</f>
        <v>確定</v>
      </c>
      <c r="C785" s="28">
        <f>IFERROR(__xludf.DUMMYFUNCTION("""COMPUTED_VALUE"""),45205.0)</f>
        <v>45205</v>
      </c>
      <c r="D785" s="28">
        <f>IFERROR(__xludf.DUMMYFUNCTION("""COMPUTED_VALUE"""),45209.0)</f>
        <v>45209</v>
      </c>
      <c r="E785" s="31">
        <f>IFERROR(__xludf.DUMMYFUNCTION("""COMPUTED_VALUE"""),279077.0)</f>
        <v>279077</v>
      </c>
      <c r="F785" s="22" t="str">
        <f>IFERROR(__xludf.DUMMYFUNCTION("""COMPUTED_VALUE"""),"復讐のサレ妻〜クズメンはクズ箱へ〜")</f>
        <v>復讐のサレ妻〜クズメンはクズ箱へ〜</v>
      </c>
      <c r="G785" s="11" t="str">
        <f>IFERROR(__xludf.DUMMYFUNCTION("""COMPUTED_VALUE"""),"1～2")</f>
        <v>1～2</v>
      </c>
      <c r="H785" s="22" t="str">
        <f>IFERROR(__xludf.DUMMYFUNCTION("""COMPUTED_VALUE"""),"上村秀子")</f>
        <v>上村秀子</v>
      </c>
      <c r="I785" s="22" t="str">
        <f>IFERROR(__xludf.DUMMYFUNCTION("""COMPUTED_VALUE"""),"女性")</f>
        <v>女性</v>
      </c>
      <c r="J785" s="22"/>
      <c r="K785" s="22"/>
      <c r="L785" s="22" t="str">
        <f>IFERROR(__xludf.DUMMYFUNCTION("""COMPUTED_VALUE"""),"コミックルーム")</f>
        <v>コミックルーム</v>
      </c>
      <c r="M785" s="23">
        <f>IFERROR(__xludf.DUMMYFUNCTION("""COMPUTED_VALUE"""),45230.0)</f>
        <v>45230</v>
      </c>
      <c r="N785" s="23">
        <f>IFERROR(__xludf.DUMMYFUNCTION("""COMPUTED_VALUE"""),45412.0)</f>
        <v>45412</v>
      </c>
      <c r="O785" s="20"/>
      <c r="P785" s="32" t="str">
        <f>IFERROR(__xludf.DUMMYFUNCTION("""COMPUTED_VALUE"""),"可")</f>
        <v>可</v>
      </c>
      <c r="Q785" s="30"/>
      <c r="R785" s="22"/>
      <c r="S785" s="22" t="str">
        <f>IFERROR(__xludf.DUMMYFUNCTION("""COMPUTED_VALUE"""),"20231006_コミックルーム_1031配信新作")</f>
        <v>20231006_コミックルーム_1031配信新作</v>
      </c>
      <c r="T785" s="22" t="str">
        <f>IFERROR(__xludf.DUMMYFUNCTION("""COMPUTED_VALUE"""),"格納済み")</f>
        <v>格納済み</v>
      </c>
      <c r="U785" s="15" t="str">
        <f>IFERROR(__xludf.DUMMYFUNCTION("""COMPUTED_VALUE"""),"＠上村秀子／COMIC ROO＠")</f>
        <v>＠上村秀子／COMIC ROO＠</v>
      </c>
      <c r="V785" s="8" t="str">
        <f>IFERROR(__xludf.DUMMYFUNCTION("""COMPUTED_VALUE"""),"勉強しか取り柄のない女性・みずほ。風邪をひき大学受験に失敗し、就職は滑り込みで入った派遣会社。しかし、誰もが羨む会社の先輩・佐東彰との結婚により、人生大逆転！……かと思いきや、彰はとんでもないクズメンだった。自分ではやらない家事に口を出し、汚いと言って子供を放置。調理器具の手入れが足りないと文句を言い、みずほの作ったご飯を平気でゴミ箱へ捨てる。それでも、娘から父親を奪ってはいけないと耐えるみずほ。そんなある日、彰のワイシャツから不倫の痕跡を見つけ、ついにみずほの我慢は限界に……！")</f>
        <v>勉強しか取り柄のない女性・みずほ。風邪をひき大学受験に失敗し、就職は滑り込みで入った派遣会社。しかし、誰もが羨む会社の先輩・佐東彰との結婚により、人生大逆転！……かと思いきや、彰はとんでもないクズメンだった。自分ではやらない家事に口を出し、汚いと言って子供を放置。調理器具の手入れが足りないと文句を言い、みずほの作ったご飯を平気でゴミ箱へ捨てる。それでも、娘から父親を奪ってはいけないと耐えるみずほ。そんなある日、彰のワイシャツから不倫の痕跡を見つけ、ついにみずほの我慢は限界に……！</v>
      </c>
      <c r="W785" s="14"/>
      <c r="X785" s="14" t="str">
        <f>IFERROR(__xludf.DUMMYFUNCTION("""COMPUTED_VALUE"""),"有
")</f>
        <v>有
</v>
      </c>
      <c r="Y785" s="8" t="str">
        <f>IFERROR(__xludf.DUMMYFUNCTION("""COMPUTED_VALUE"""),"P9まで")</f>
        <v>P9まで</v>
      </c>
      <c r="Z785" s="7"/>
      <c r="AA785" s="7"/>
      <c r="AB785" s="7"/>
    </row>
    <row r="786" ht="15.75" customHeight="1">
      <c r="A786" s="26">
        <f>IFERROR(__xludf.DUMMYFUNCTION("""COMPUTED_VALUE"""),2487.0)</f>
        <v>2487</v>
      </c>
      <c r="B786" s="22" t="str">
        <f>IFERROR(__xludf.DUMMYFUNCTION("""COMPUTED_VALUE"""),"確定")</f>
        <v>確定</v>
      </c>
      <c r="C786" s="28">
        <f>IFERROR(__xludf.DUMMYFUNCTION("""COMPUTED_VALUE"""),45205.0)</f>
        <v>45205</v>
      </c>
      <c r="D786" s="28">
        <f>IFERROR(__xludf.DUMMYFUNCTION("""COMPUTED_VALUE"""),45209.0)</f>
        <v>45209</v>
      </c>
      <c r="E786" s="31">
        <f>IFERROR(__xludf.DUMMYFUNCTION("""COMPUTED_VALUE"""),279079.0)</f>
        <v>279079</v>
      </c>
      <c r="F786" s="22" t="str">
        <f>IFERROR(__xludf.DUMMYFUNCTION("""COMPUTED_VALUE"""),"復讐のサレ妻〜さらば、夫〜")</f>
        <v>復讐のサレ妻〜さらば、夫〜</v>
      </c>
      <c r="G786" s="11" t="str">
        <f>IFERROR(__xludf.DUMMYFUNCTION("""COMPUTED_VALUE"""),"1～2")</f>
        <v>1～2</v>
      </c>
      <c r="H786" s="22" t="str">
        <f>IFERROR(__xludf.DUMMYFUNCTION("""COMPUTED_VALUE"""),"虹村あこ")</f>
        <v>虹村あこ</v>
      </c>
      <c r="I786" s="22" t="str">
        <f>IFERROR(__xludf.DUMMYFUNCTION("""COMPUTED_VALUE"""),"女性")</f>
        <v>女性</v>
      </c>
      <c r="J786" s="22"/>
      <c r="K786" s="22"/>
      <c r="L786" s="22" t="str">
        <f>IFERROR(__xludf.DUMMYFUNCTION("""COMPUTED_VALUE"""),"コミックルーム")</f>
        <v>コミックルーム</v>
      </c>
      <c r="M786" s="23">
        <f>IFERROR(__xludf.DUMMYFUNCTION("""COMPUTED_VALUE"""),45230.0)</f>
        <v>45230</v>
      </c>
      <c r="N786" s="23">
        <f>IFERROR(__xludf.DUMMYFUNCTION("""COMPUTED_VALUE"""),45412.0)</f>
        <v>45412</v>
      </c>
      <c r="O786" s="20"/>
      <c r="P786" s="32" t="str">
        <f>IFERROR(__xludf.DUMMYFUNCTION("""COMPUTED_VALUE"""),"可")</f>
        <v>可</v>
      </c>
      <c r="Q786" s="30"/>
      <c r="R786" s="22"/>
      <c r="S786" s="22" t="str">
        <f>IFERROR(__xludf.DUMMYFUNCTION("""COMPUTED_VALUE"""),"20231006_コミックルーム_1031配信新作")</f>
        <v>20231006_コミックルーム_1031配信新作</v>
      </c>
      <c r="T786" s="22" t="str">
        <f>IFERROR(__xludf.DUMMYFUNCTION("""COMPUTED_VALUE"""),"格納済み")</f>
        <v>格納済み</v>
      </c>
      <c r="U786" s="15" t="str">
        <f>IFERROR(__xludf.DUMMYFUNCTION("""COMPUTED_VALUE"""),"＠虹村あこ／COMIC ROOM")</f>
        <v>＠虹村あこ／COMIC ROOM</v>
      </c>
      <c r="V786" s="8" t="str">
        <f>IFERROR(__xludf.DUMMYFUNCTION("""COMPUTED_VALUE"""),"幸せな結婚をしたはずの雪は、夫・大樹の帰りを待っていた。
今日は雪の誕生日。きっと帰ってきてくれるはず。
しかし、雪の淡い希望は打ち砕かれることになる。
日付が変わっても、大樹は現れない。
朝帰りした夫を問い詰めると、どうやら女と遊んで帰ってきたらしい。
悪びれることもなく、反省のかけらも見えない大樹。
幸せにすると誓ってくれた彼はもういない。
その時、雪の中で復讐の炎が燃え上がるのだった──。")</f>
        <v>幸せな結婚をしたはずの雪は、夫・大樹の帰りを待っていた。
今日は雪の誕生日。きっと帰ってきてくれるはず。
しかし、雪の淡い希望は打ち砕かれることになる。
日付が変わっても、大樹は現れない。
朝帰りした夫を問い詰めると、どうやら女と遊んで帰ってきたらしい。
悪びれることもなく、反省のかけらも見えない大樹。
幸せにすると誓ってくれた彼はもういない。
その時、雪の中で復讐の炎が燃え上がるのだった──。</v>
      </c>
      <c r="W786" s="14"/>
      <c r="X786" s="14" t="str">
        <f>IFERROR(__xludf.DUMMYFUNCTION("""COMPUTED_VALUE"""),"有
")</f>
        <v>有
</v>
      </c>
      <c r="Y786" s="8" t="str">
        <f>IFERROR(__xludf.DUMMYFUNCTION("""COMPUTED_VALUE"""),"P10まで")</f>
        <v>P10まで</v>
      </c>
      <c r="Z786" s="7"/>
      <c r="AA786" s="7"/>
      <c r="AB786" s="7"/>
    </row>
    <row r="787" ht="15.75" customHeight="1">
      <c r="A787" s="26">
        <f>IFERROR(__xludf.DUMMYFUNCTION("""COMPUTED_VALUE"""),2495.0)</f>
        <v>2495</v>
      </c>
      <c r="B787" s="22" t="str">
        <f>IFERROR(__xludf.DUMMYFUNCTION("""COMPUTED_VALUE"""),"確定")</f>
        <v>確定</v>
      </c>
      <c r="C787" s="28">
        <f>IFERROR(__xludf.DUMMYFUNCTION("""COMPUTED_VALUE"""),45209.0)</f>
        <v>45209</v>
      </c>
      <c r="D787" s="28">
        <f>IFERROR(__xludf.DUMMYFUNCTION("""COMPUTED_VALUE"""),45209.0)</f>
        <v>45209</v>
      </c>
      <c r="E787" s="26">
        <f>IFERROR(__xludf.DUMMYFUNCTION("""COMPUTED_VALUE"""),261001.0)</f>
        <v>261001</v>
      </c>
      <c r="F787" s="22" t="str">
        <f>IFERROR(__xludf.DUMMYFUNCTION("""COMPUTED_VALUE"""),"花めく酒と恋")</f>
        <v>花めく酒と恋</v>
      </c>
      <c r="G787" s="20" t="str">
        <f>IFERROR(__xludf.DUMMYFUNCTION("""COMPUTED_VALUE"""),"1～3")</f>
        <v>1～3</v>
      </c>
      <c r="H787" s="22" t="str">
        <f>IFERROR(__xludf.DUMMYFUNCTION("""COMPUTED_VALUE"""),"花織亘")</f>
        <v>花織亘</v>
      </c>
      <c r="I787" s="14" t="str">
        <f>IFERROR(__xludf.DUMMYFUNCTION("""COMPUTED_VALUE"""),"女性")</f>
        <v>女性</v>
      </c>
      <c r="J787" s="22"/>
      <c r="K787" s="22"/>
      <c r="L787" s="22" t="str">
        <f>IFERROR(__xludf.DUMMYFUNCTION("""COMPUTED_VALUE"""),"ソルマーレ編集部")</f>
        <v>ソルマーレ編集部</v>
      </c>
      <c r="M787" s="23">
        <f>IFERROR(__xludf.DUMMYFUNCTION("""COMPUTED_VALUE"""),45241.0)</f>
        <v>45241</v>
      </c>
      <c r="N787" s="23">
        <f>IFERROR(__xludf.DUMMYFUNCTION("""COMPUTED_VALUE"""),45302.0)</f>
        <v>45302</v>
      </c>
      <c r="O787" s="20"/>
      <c r="P787" s="29" t="str">
        <f>IFERROR(__xludf.DUMMYFUNCTION("""COMPUTED_VALUE"""),"可")</f>
        <v>可</v>
      </c>
      <c r="Q787" s="30" t="str">
        <f>IFERROR(__xludf.DUMMYFUNCTION("""COMPUTED_VALUE"""),"※正式タイトル下記の通りです（10/10）&lt;BR&gt;＝＝＝&lt;BR&gt;花めく酒と恋&lt;BR&gt;＝＝＝&lt;BR&gt;")</f>
        <v>※正式タイトル下記の通りです（10/10）&lt;BR&gt;＝＝＝&lt;BR&gt;花めく酒と恋&lt;BR&gt;＝＝＝&lt;BR&gt;</v>
      </c>
      <c r="R787" s="22"/>
      <c r="S787" s="22" t="str">
        <f>IFERROR(__xludf.DUMMYFUNCTION("""COMPUTED_VALUE"""),"20231010_ソルマーレ編集部_花めく酒と恋")</f>
        <v>20231010_ソルマーレ編集部_花めく酒と恋</v>
      </c>
      <c r="T787" s="22" t="str">
        <f>IFERROR(__xludf.DUMMYFUNCTION("""COMPUTED_VALUE"""),"格納済み")</f>
        <v>格納済み</v>
      </c>
      <c r="U787" s="15" t="str">
        <f>IFERROR(__xludf.DUMMYFUNCTION("""COMPUTED_VALUE"""),"Ⓒ 花織亘/シーモアコミックス")</f>
        <v>Ⓒ 花織亘/シーモアコミックス</v>
      </c>
      <c r="V787" s="8" t="str">
        <f>IFERROR(__xludf.DUMMYFUNCTION("""COMPUTED_VALUE"""),"おいしいお酒×恋の予感！
仕事でつらい事があり路上でヤケ酒をしていた学童職員のつむぎは、暗がりの中でひときわ明るく賑やかなお店を見つけ思わず覗き込む。そこに広がっていたのは…飲んだくれおじさま達の楽園！？
楽しそう、でも場違いかも…とドキドキするつむぎだったが、店員の大男・ヤマトの優しさに癒され満たされて――美味しくてほんわか優しいピュアラブストーリー【恋するソワレ＋】")</f>
        <v>おいしいお酒×恋の予感！
仕事でつらい事があり路上でヤケ酒をしていた学童職員のつむぎは、暗がりの中でひときわ明るく賑やかなお店を見つけ思わず覗き込む。そこに広がっていたのは…飲んだくれおじさま達の楽園！？
楽しそう、でも場違いかも…とドキドキするつむぎだったが、店員の大男・ヤマトの優しさに癒され満たされて――美味しくてほんわか優しいピュアラブストーリー【恋するソワレ＋】</v>
      </c>
      <c r="W787" s="14"/>
      <c r="X787" s="14" t="str">
        <f>IFERROR(__xludf.DUMMYFUNCTION("""COMPUTED_VALUE"""),"有
")</f>
        <v>有
</v>
      </c>
      <c r="Y787" s="8" t="str">
        <f>IFERROR(__xludf.DUMMYFUNCTION("""COMPUTED_VALUE"""),"11/24まで1巻無料")</f>
        <v>11/24まで1巻無料</v>
      </c>
      <c r="Z787" s="7"/>
      <c r="AA787" s="7"/>
      <c r="AB787" s="7"/>
    </row>
    <row r="788" ht="15.75" customHeight="1">
      <c r="A788" s="26">
        <f>IFERROR(__xludf.DUMMYFUNCTION("""COMPUTED_VALUE"""),2503.0)</f>
        <v>2503</v>
      </c>
      <c r="B788" s="22" t="str">
        <f>IFERROR(__xludf.DUMMYFUNCTION("""COMPUTED_VALUE"""),"確定")</f>
        <v>確定</v>
      </c>
      <c r="C788" s="28">
        <f>IFERROR(__xludf.DUMMYFUNCTION("""COMPUTED_VALUE"""),45209.0)</f>
        <v>45209</v>
      </c>
      <c r="D788" s="28">
        <f>IFERROR(__xludf.DUMMYFUNCTION("""COMPUTED_VALUE"""),45210.0)</f>
        <v>45210</v>
      </c>
      <c r="E788" s="31">
        <f>IFERROR(__xludf.DUMMYFUNCTION("""COMPUTED_VALUE"""),279447.0)</f>
        <v>279447</v>
      </c>
      <c r="F788" s="22" t="str">
        <f>IFERROR(__xludf.DUMMYFUNCTION("""COMPUTED_VALUE"""),"リーリエ国騎士団とシンデレラの弓音")</f>
        <v>リーリエ国騎士団とシンデレラの弓音</v>
      </c>
      <c r="G788" s="20" t="str">
        <f>IFERROR(__xludf.DUMMYFUNCTION("""COMPUTED_VALUE"""),"1～3")</f>
        <v>1～3</v>
      </c>
      <c r="H788" s="22" t="str">
        <f>IFERROR(__xludf.DUMMYFUNCTION("""COMPUTED_VALUE"""),"八咫緑／瑚池ことり／六七質")</f>
        <v>八咫緑／瑚池ことり／六七質</v>
      </c>
      <c r="I788" s="22" t="str">
        <f>IFERROR(__xludf.DUMMYFUNCTION("""COMPUTED_VALUE"""),"女性")</f>
        <v>女性</v>
      </c>
      <c r="J788" s="22"/>
      <c r="K788" s="22"/>
      <c r="L788" s="22" t="str">
        <f>IFERROR(__xludf.DUMMYFUNCTION("""COMPUTED_VALUE"""),"集英社")</f>
        <v>集英社</v>
      </c>
      <c r="M788" s="23">
        <f>IFERROR(__xludf.DUMMYFUNCTION("""COMPUTED_VALUE"""),45231.0)</f>
        <v>45231</v>
      </c>
      <c r="N788" s="23">
        <f>IFERROR(__xludf.DUMMYFUNCTION("""COMPUTED_VALUE"""),45260.0)</f>
        <v>45260</v>
      </c>
      <c r="O788" s="20"/>
      <c r="P788" s="29" t="str">
        <f>IFERROR(__xludf.DUMMYFUNCTION("""COMPUTED_VALUE"""),"否")</f>
        <v>否</v>
      </c>
      <c r="Q788" s="30" t="str">
        <f>IFERROR(__xludf.DUMMYFUNCTION("""COMPUTED_VALUE"""),"デジタルマーガレット")</f>
        <v>デジタルマーガレット</v>
      </c>
      <c r="R788" s="22"/>
      <c r="S788" s="22" t="str">
        <f>IFERROR(__xludf.DUMMYFUNCTION("""COMPUTED_VALUE"""),"20231010_集英社_11月デジマ新作")</f>
        <v>20231010_集英社_11月デジマ新作</v>
      </c>
      <c r="T788" s="22" t="str">
        <f>IFERROR(__xludf.DUMMYFUNCTION("""COMPUTED_VALUE"""),"格納済み")</f>
        <v>格納済み</v>
      </c>
      <c r="U788" s="15" t="str">
        <f>IFERROR(__xludf.DUMMYFUNCTION("""COMPUTED_VALUE"""),"（C）八咫緑・瑚池ことり／集英社")</f>
        <v>（C）八咫緑・瑚池ことり／集英社</v>
      </c>
      <c r="V788" s="8" t="str">
        <f>IFERROR(__xludf.DUMMYFUNCTION("""COMPUTED_VALUE"""),"〈戦争〉にかわり、騎士が互いの兜につけられた命石を砕いて勝敗を争う〈戦闘競技会〉が国々の命運を決するようになり三百年。優秀な騎士を輩出する村に生まれながら、周りの少女たちのように剣を扱えないニナは、不遇な人生を送っていた。だが、騎士のリヒトから「おれが探していたのは君だった」と、騎士団に突然勧誘される。なんと目的は、ニナの弓の才能で…!?　大人気ファンタジー小説、待望の漫画化！")</f>
        <v>〈戦争〉にかわり、騎士が互いの兜につけられた命石を砕いて勝敗を争う〈戦闘競技会〉が国々の命運を決するようになり三百年。優秀な騎士を輩出する村に生まれながら、周りの少女たちのように剣を扱えないニナは、不遇な人生を送っていた。だが、騎士のリヒトから「おれが探していたのは君だった」と、騎士団に突然勧誘される。なんと目的は、ニナの弓の才能で…!?　大人気ファンタジー小説、待望の漫画化！</v>
      </c>
      <c r="W788" s="14"/>
      <c r="X788" s="14" t="str">
        <f>IFERROR(__xludf.DUMMYFUNCTION("""COMPUTED_VALUE"""),"有
")</f>
        <v>有
</v>
      </c>
      <c r="Y788" s="8" t="str">
        <f>IFERROR(__xludf.DUMMYFUNCTION("""COMPUTED_VALUE"""),"1/14まで1巻無料")</f>
        <v>1/14まで1巻無料</v>
      </c>
      <c r="Z788" s="7"/>
      <c r="AA788" s="7"/>
      <c r="AB788" s="7"/>
    </row>
    <row r="789" ht="15.75" customHeight="1">
      <c r="A789" s="26">
        <f>IFERROR(__xludf.DUMMYFUNCTION("""COMPUTED_VALUE"""),2504.0)</f>
        <v>2504</v>
      </c>
      <c r="B789" s="22" t="str">
        <f>IFERROR(__xludf.DUMMYFUNCTION("""COMPUTED_VALUE"""),"確定")</f>
        <v>確定</v>
      </c>
      <c r="C789" s="28">
        <f>IFERROR(__xludf.DUMMYFUNCTION("""COMPUTED_VALUE"""),45209.0)</f>
        <v>45209</v>
      </c>
      <c r="D789" s="28">
        <f>IFERROR(__xludf.DUMMYFUNCTION("""COMPUTED_VALUE"""),45210.0)</f>
        <v>45210</v>
      </c>
      <c r="E789" s="31">
        <f>IFERROR(__xludf.DUMMYFUNCTION("""COMPUTED_VALUE"""),279448.0)</f>
        <v>279448</v>
      </c>
      <c r="F789" s="22" t="str">
        <f>IFERROR(__xludf.DUMMYFUNCTION("""COMPUTED_VALUE"""),"落城の美姫〜堅物皇子の甘い執着〜")</f>
        <v>落城の美姫〜堅物皇子の甘い執着〜</v>
      </c>
      <c r="G789" s="20" t="str">
        <f>IFERROR(__xludf.DUMMYFUNCTION("""COMPUTED_VALUE"""),"1～3")</f>
        <v>1～3</v>
      </c>
      <c r="H789" s="22" t="str">
        <f>IFERROR(__xludf.DUMMYFUNCTION("""COMPUTED_VALUE"""),"漫画：紅衣ユナ／原作：依田ザクロ／キャラクター原案：風コトハ")</f>
        <v>漫画：紅衣ユナ／原作：依田ザクロ／キャラクター原案：風コトハ</v>
      </c>
      <c r="I789" s="14" t="str">
        <f>IFERROR(__xludf.DUMMYFUNCTION("""COMPUTED_VALUE"""),"少女")</f>
        <v>少女</v>
      </c>
      <c r="J789" s="22"/>
      <c r="K789" s="22"/>
      <c r="L789" s="22" t="str">
        <f>IFERROR(__xludf.DUMMYFUNCTION("""COMPUTED_VALUE"""),"集英社")</f>
        <v>集英社</v>
      </c>
      <c r="M789" s="23">
        <f>IFERROR(__xludf.DUMMYFUNCTION("""COMPUTED_VALUE"""),45231.0)</f>
        <v>45231</v>
      </c>
      <c r="N789" s="23">
        <f>IFERROR(__xludf.DUMMYFUNCTION("""COMPUTED_VALUE"""),45260.0)</f>
        <v>45260</v>
      </c>
      <c r="O789" s="20"/>
      <c r="P789" s="29" t="str">
        <f>IFERROR(__xludf.DUMMYFUNCTION("""COMPUTED_VALUE"""),"否")</f>
        <v>否</v>
      </c>
      <c r="Q789" s="30" t="str">
        <f>IFERROR(__xludf.DUMMYFUNCTION("""COMPUTED_VALUE"""),"デジタルマーガレット")</f>
        <v>デジタルマーガレット</v>
      </c>
      <c r="R789" s="22"/>
      <c r="S789" s="22" t="str">
        <f>IFERROR(__xludf.DUMMYFUNCTION("""COMPUTED_VALUE"""),"20231010_集英社_11月デジマ新作")</f>
        <v>20231010_集英社_11月デジマ新作</v>
      </c>
      <c r="T789" s="22" t="str">
        <f>IFERROR(__xludf.DUMMYFUNCTION("""COMPUTED_VALUE"""),"格納済み")</f>
        <v>格納済み</v>
      </c>
      <c r="U789" s="15" t="str">
        <f>IFERROR(__xludf.DUMMYFUNCTION("""COMPUTED_VALUE"""),"（C）紅衣ユナ・依田ザクロ・風コトハ／集英社")</f>
        <v>（C）紅衣ユナ・依田ザクロ・風コトハ／集英社</v>
      </c>
      <c r="V789" s="8" t="str">
        <f>IFERROR(__xludf.DUMMYFUNCTION("""COMPUTED_VALUE"""),"新興国に祖国を攻められ、兄と大国・塘へ亡命してきたペルシエフの姫・セレス。彼女は女色に溺れる塘の皇帝を色香で籠絡し、祖国再興の力を得るために後宮へ潜入することに。だが宮城で迷子になり、有能と評判の高い皇子・景聖に見つかってしまう。怪しまれたセレスは身分を誤魔化すが、衣服が脱げてしまい、皇帝を誘惑するための肌もあらわな踊り子の姿を見られてしまい…!?　堅物皇子と踊り子姫の淫らな尋問が始まる！")</f>
        <v>新興国に祖国を攻められ、兄と大国・塘へ亡命してきたペルシエフの姫・セレス。彼女は女色に溺れる塘の皇帝を色香で籠絡し、祖国再興の力を得るために後宮へ潜入することに。だが宮城で迷子になり、有能と評判の高い皇子・景聖に見つかってしまう。怪しまれたセレスは身分を誤魔化すが、衣服が脱げてしまい、皇帝を誘惑するための肌もあらわな踊り子の姿を見られてしまい…!?　堅物皇子と踊り子姫の淫らな尋問が始まる！</v>
      </c>
      <c r="W789" s="14"/>
      <c r="X789" s="14" t="str">
        <f>IFERROR(__xludf.DUMMYFUNCTION("""COMPUTED_VALUE"""),"有
")</f>
        <v>有
</v>
      </c>
      <c r="Y789" s="8" t="str">
        <f>IFERROR(__xludf.DUMMYFUNCTION("""COMPUTED_VALUE"""),"11/14まで1巻無料")</f>
        <v>11/14まで1巻無料</v>
      </c>
      <c r="Z789" s="7"/>
      <c r="AA789" s="7"/>
      <c r="AB789" s="7"/>
    </row>
    <row r="790" ht="15.75" customHeight="1">
      <c r="A790" s="26">
        <f>IFERROR(__xludf.DUMMYFUNCTION("""COMPUTED_VALUE"""),2509.0)</f>
        <v>2509</v>
      </c>
      <c r="B790" s="22" t="str">
        <f>IFERROR(__xludf.DUMMYFUNCTION("""COMPUTED_VALUE"""),"確定")</f>
        <v>確定</v>
      </c>
      <c r="C790" s="28">
        <f>IFERROR(__xludf.DUMMYFUNCTION("""COMPUTED_VALUE"""),45209.0)</f>
        <v>45209</v>
      </c>
      <c r="D790" s="28">
        <f>IFERROR(__xludf.DUMMYFUNCTION("""COMPUTED_VALUE"""),45210.0)</f>
        <v>45210</v>
      </c>
      <c r="E790" s="31">
        <f>IFERROR(__xludf.DUMMYFUNCTION("""COMPUTED_VALUE"""),278970.0)</f>
        <v>278970</v>
      </c>
      <c r="F790" s="22" t="str">
        <f>IFERROR(__xludf.DUMMYFUNCTION("""COMPUTED_VALUE"""),"腹黒アイドルの大きなアレが入りません…！～小動物系OLは再会した幼なじみに食べられる～")</f>
        <v>腹黒アイドルの大きなアレが入りません…！～小動物系OLは再会した幼なじみに食べられる～</v>
      </c>
      <c r="G790" s="20" t="str">
        <f>IFERROR(__xludf.DUMMYFUNCTION("""COMPUTED_VALUE"""),"1～3")</f>
        <v>1～3</v>
      </c>
      <c r="H790" s="22" t="str">
        <f>IFERROR(__xludf.DUMMYFUNCTION("""COMPUTED_VALUE"""),"折川")</f>
        <v>折川</v>
      </c>
      <c r="I790" s="22" t="str">
        <f>IFERROR(__xludf.DUMMYFUNCTION("""COMPUTED_VALUE"""),"TL")</f>
        <v>TL</v>
      </c>
      <c r="J790" s="22"/>
      <c r="K790" s="22"/>
      <c r="L790" s="22" t="str">
        <f>IFERROR(__xludf.DUMMYFUNCTION("""COMPUTED_VALUE"""),"一迅社")</f>
        <v>一迅社</v>
      </c>
      <c r="M790" s="23">
        <f>IFERROR(__xludf.DUMMYFUNCTION("""COMPUTED_VALUE"""),45233.0)</f>
        <v>45233</v>
      </c>
      <c r="N790" s="23">
        <f>IFERROR(__xludf.DUMMYFUNCTION("""COMPUTED_VALUE"""),45260.0)</f>
        <v>45260</v>
      </c>
      <c r="O790" s="20"/>
      <c r="P790" s="32" t="str">
        <f>IFERROR(__xludf.DUMMYFUNCTION("""COMPUTED_VALUE"""),"可")</f>
        <v>可</v>
      </c>
      <c r="Q790" s="30"/>
      <c r="R790" s="22"/>
      <c r="S790" s="22" t="str">
        <f>IFERROR(__xludf.DUMMYFUNCTION("""COMPUTED_VALUE"""),"20231010_一迅社_腹黒アイドルの大きなアレが入りません")</f>
        <v>20231010_一迅社_腹黒アイドルの大きなアレが入りません</v>
      </c>
      <c r="T790" s="22" t="str">
        <f>IFERROR(__xludf.DUMMYFUNCTION("""COMPUTED_VALUE"""),"格納済み")</f>
        <v>格納済み</v>
      </c>
      <c r="U790" s="15" t="str">
        <f>IFERROR(__xludf.DUMMYFUNCTION("""COMPUTED_VALUE"""),"(C)折川／一迅社")</f>
        <v>(C)折川／一迅社</v>
      </c>
      <c r="V790" s="8" t="str">
        <f>IFERROR(__xludf.DUMMYFUNCTION("""COMPUTED_VALUE"""),"「俺と練習よろしくね。芽衣」もしかして私、とんでもない約束しちゃった…!?広告会社に勤めるOL・仙堂芽衣(せんどうめい)は、アイドルグループ・Oiaz（イアズ）の撮影現場に行くことに。イアズのメンバーには昔疎遠になった幼なじみ・吾妻晴希（あづまはるき）がいて…？「俺のこと忘れちゃった？芽衣ちゃん」小さくて可愛かった年下の男の子だけど、背も高く大きくなっていてドキドキが止まらない…!?久々に再会した二人は晴希の家に…そこで晴希から恋愛相談を持ち掛けられ…腹黒一途アイドル×小動物OLの秘密の夜特訓、スタート！"&amp;"！")</f>
        <v>「俺と練習よろしくね。芽衣」もしかして私、とんでもない約束しちゃった…!?広告会社に勤めるOL・仙堂芽衣(せんどうめい)は、アイドルグループ・Oiaz（イアズ）の撮影現場に行くことに。イアズのメンバーには昔疎遠になった幼なじみ・吾妻晴希（あづまはるき）がいて…？「俺のこと忘れちゃった？芽衣ちゃん」小さくて可愛かった年下の男の子だけど、背も高く大きくなっていてドキドキが止まらない…!?久々に再会した二人は晴希の家に…そこで晴希から恋愛相談を持ち掛けられ…腹黒一途アイドル×小動物OLの秘密の夜特訓、スタート！！</v>
      </c>
      <c r="W790" s="14"/>
      <c r="X790" s="14" t="str">
        <f>IFERROR(__xludf.DUMMYFUNCTION("""COMPUTED_VALUE"""),"有
")</f>
        <v>有
</v>
      </c>
      <c r="Y790" s="8" t="str">
        <f>IFERROR(__xludf.DUMMYFUNCTION("""COMPUTED_VALUE"""),"P8まで")</f>
        <v>P8まで</v>
      </c>
      <c r="Z790" s="7"/>
      <c r="AA790" s="7"/>
      <c r="AB790" s="7"/>
    </row>
    <row r="791" ht="99.75" customHeight="1">
      <c r="A791" s="26">
        <f>IFERROR(__xludf.DUMMYFUNCTION("""COMPUTED_VALUE"""),2510.0)</f>
        <v>2510</v>
      </c>
      <c r="B791" s="22" t="str">
        <f>IFERROR(__xludf.DUMMYFUNCTION("""COMPUTED_VALUE"""),"確定")</f>
        <v>確定</v>
      </c>
      <c r="C791" s="28">
        <f>IFERROR(__xludf.DUMMYFUNCTION("""COMPUTED_VALUE"""),45209.0)</f>
        <v>45209</v>
      </c>
      <c r="D791" s="28">
        <f>IFERROR(__xludf.DUMMYFUNCTION("""COMPUTED_VALUE"""),45210.0)</f>
        <v>45210</v>
      </c>
      <c r="E791" s="31">
        <f>IFERROR(__xludf.DUMMYFUNCTION("""COMPUTED_VALUE"""),279181.0)</f>
        <v>279181</v>
      </c>
      <c r="F791" s="22" t="str">
        <f>IFERROR(__xludf.DUMMYFUNCTION("""COMPUTED_VALUE"""),"氷の悪女は嗤いながら毒の花を咲かせる")</f>
        <v>氷の悪女は嗤いながら毒の花を咲かせる</v>
      </c>
      <c r="G791" s="20">
        <f>IFERROR(__xludf.DUMMYFUNCTION("""COMPUTED_VALUE"""),1.0)</f>
        <v>1</v>
      </c>
      <c r="H791" s="22" t="str">
        <f>IFERROR(__xludf.DUMMYFUNCTION("""COMPUTED_VALUE"""),"漫画：太田優姫、原作：里海慧")</f>
        <v>漫画：太田優姫、原作：里海慧</v>
      </c>
      <c r="I791" s="31" t="str">
        <f>IFERROR(__xludf.DUMMYFUNCTION("""COMPUTED_VALUE"""),"少女")</f>
        <v>少女</v>
      </c>
      <c r="J791" s="22"/>
      <c r="K791" s="22"/>
      <c r="L791" s="22" t="str">
        <f>IFERROR(__xludf.DUMMYFUNCTION("""COMPUTED_VALUE"""),"マッグガーデン")</f>
        <v>マッグガーデン</v>
      </c>
      <c r="M791" s="23">
        <f>IFERROR(__xludf.DUMMYFUNCTION("""COMPUTED_VALUE"""),45231.0)</f>
        <v>45231</v>
      </c>
      <c r="N791" s="23">
        <f>IFERROR(__xludf.DUMMYFUNCTION("""COMPUTED_VALUE"""),45322.0)</f>
        <v>45322</v>
      </c>
      <c r="O791" s="20"/>
      <c r="P791" s="32" t="str">
        <f>IFERROR(__xludf.DUMMYFUNCTION("""COMPUTED_VALUE"""),"可")</f>
        <v>可</v>
      </c>
      <c r="Q791" s="30"/>
      <c r="R791" s="22"/>
      <c r="S791" s="22" t="str">
        <f>IFERROR(__xludf.DUMMYFUNCTION("""COMPUTED_VALUE"""),"20231010_マッグガーデン_氷の悪女は嗤いながら毒の花を咲かせる")</f>
        <v>20231010_マッグガーデン_氷の悪女は嗤いながら毒の花を咲かせる</v>
      </c>
      <c r="T791" s="22" t="str">
        <f>IFERROR(__xludf.DUMMYFUNCTION("""COMPUTED_VALUE"""),"格納済み")</f>
        <v>格納済み</v>
      </c>
      <c r="U791" s="15" t="str">
        <f>IFERROR(__xludf.DUMMYFUNCTION("""COMPUTED_VALUE"""),"(C)AKIRA SATOMI/MAG Garden")</f>
        <v>(C)AKIRA SATOMI/MAG Garden</v>
      </c>
      <c r="V791" s="8" t="str">
        <f>IFERROR(__xludf.DUMMYFUNCTION("""COMPUTED_VALUE"""),"義妹に婚約者を奪われた悪女は、花が咲くような美しい笑顔で―!?※この作品は『悪役令嬢にハッピーエンドの祝福を！アンソロジーコミック 3』に収録されている同タイトルを、同一の内容にて分冊版として再編集したものです。")</f>
        <v>義妹に婚約者を奪われた悪女は、花が咲くような美しい笑顔で―!?※この作品は『悪役令嬢にハッピーエンドの祝福を！アンソロジーコミック 3』に収録されている同タイトルを、同一の内容にて分冊版として再編集したものです。</v>
      </c>
      <c r="W791" s="14"/>
      <c r="X791" s="14" t="str">
        <f>IFERROR(__xludf.DUMMYFUNCTION("""COMPUTED_VALUE"""),"有
")</f>
        <v>有
</v>
      </c>
      <c r="Y791" s="8" t="str">
        <f>IFERROR(__xludf.DUMMYFUNCTION("""COMPUTED_VALUE"""),"P13まで")</f>
        <v>P13まで</v>
      </c>
      <c r="Z791" s="7"/>
      <c r="AA791" s="7"/>
      <c r="AB791" s="7"/>
    </row>
    <row r="792" ht="85.5" customHeight="1">
      <c r="A792" s="26">
        <f>IFERROR(__xludf.DUMMYFUNCTION("""COMPUTED_VALUE"""),2511.0)</f>
        <v>2511</v>
      </c>
      <c r="B792" s="22" t="str">
        <f>IFERROR(__xludf.DUMMYFUNCTION("""COMPUTED_VALUE"""),"確定")</f>
        <v>確定</v>
      </c>
      <c r="C792" s="28">
        <f>IFERROR(__xludf.DUMMYFUNCTION("""COMPUTED_VALUE"""),45209.0)</f>
        <v>45209</v>
      </c>
      <c r="D792" s="28">
        <f>IFERROR(__xludf.DUMMYFUNCTION("""COMPUTED_VALUE"""),45210.0)</f>
        <v>45210</v>
      </c>
      <c r="E792" s="31">
        <f>IFERROR(__xludf.DUMMYFUNCTION("""COMPUTED_VALUE"""),279184.0)</f>
        <v>279184</v>
      </c>
      <c r="F792" s="22" t="str">
        <f>IFERROR(__xludf.DUMMYFUNCTION("""COMPUTED_VALUE"""),"婚約破棄された悪役令嬢はヤケ酒に逃げる。")</f>
        <v>婚約破棄された悪役令嬢はヤケ酒に逃げる。</v>
      </c>
      <c r="G792" s="20">
        <f>IFERROR(__xludf.DUMMYFUNCTION("""COMPUTED_VALUE"""),1.0)</f>
        <v>1</v>
      </c>
      <c r="H792" s="22" t="str">
        <f>IFERROR(__xludf.DUMMYFUNCTION("""COMPUTED_VALUE"""),"漫画：宵のま 原作：天笠すいとん")</f>
        <v>漫画：宵のま 原作：天笠すいとん</v>
      </c>
      <c r="I792" s="31" t="str">
        <f>IFERROR(__xludf.DUMMYFUNCTION("""COMPUTED_VALUE"""),"少女")</f>
        <v>少女</v>
      </c>
      <c r="J792" s="22"/>
      <c r="K792" s="22"/>
      <c r="L792" s="22" t="str">
        <f>IFERROR(__xludf.DUMMYFUNCTION("""COMPUTED_VALUE"""),"マッグガーデン")</f>
        <v>マッグガーデン</v>
      </c>
      <c r="M792" s="23">
        <f>IFERROR(__xludf.DUMMYFUNCTION("""COMPUTED_VALUE"""),45231.0)</f>
        <v>45231</v>
      </c>
      <c r="N792" s="23">
        <f>IFERROR(__xludf.DUMMYFUNCTION("""COMPUTED_VALUE"""),45322.0)</f>
        <v>45322</v>
      </c>
      <c r="O792" s="20"/>
      <c r="P792" s="32" t="str">
        <f>IFERROR(__xludf.DUMMYFUNCTION("""COMPUTED_VALUE"""),"可")</f>
        <v>可</v>
      </c>
      <c r="Q792" s="30"/>
      <c r="R792" s="22"/>
      <c r="S792" s="22" t="str">
        <f>IFERROR(__xludf.DUMMYFUNCTION("""COMPUTED_VALUE"""),"20231010_マッグガーデン_婚約破棄された悪役令嬢はヤケ酒に逃げる。")</f>
        <v>20231010_マッグガーデン_婚約破棄された悪役令嬢はヤケ酒に逃げる。</v>
      </c>
      <c r="T792" s="22" t="str">
        <f>IFERROR(__xludf.DUMMYFUNCTION("""COMPUTED_VALUE"""),"格納済み")</f>
        <v>格納済み</v>
      </c>
      <c r="U792" s="15" t="str">
        <f>IFERROR(__xludf.DUMMYFUNCTION("""COMPUTED_VALUE"""),"(C)Amagasa Suiton/MAG Garden")</f>
        <v>(C)Amagasa Suiton/MAG Garden</v>
      </c>
      <c r="V792" s="8" t="str">
        <f>IFERROR(__xludf.DUMMYFUNCTION("""COMPUTED_VALUE"""),"婚約破棄されたので、ヤケ酒します。※この作品は『悪役令嬢にハッピーエンドの祝福を！アンソロジーコミック 3』に収録されている同タイトルを、同一の内容にて分冊版として再編集したものです。")</f>
        <v>婚約破棄されたので、ヤケ酒します。※この作品は『悪役令嬢にハッピーエンドの祝福を！アンソロジーコミック 3』に収録されている同タイトルを、同一の内容にて分冊版として再編集したものです。</v>
      </c>
      <c r="W792" s="14"/>
      <c r="X792" s="14" t="str">
        <f>IFERROR(__xludf.DUMMYFUNCTION("""COMPUTED_VALUE"""),"有
")</f>
        <v>有
</v>
      </c>
      <c r="Y792" s="8" t="str">
        <f>IFERROR(__xludf.DUMMYFUNCTION("""COMPUTED_VALUE"""),"P13まで")</f>
        <v>P13まで</v>
      </c>
      <c r="Z792" s="7"/>
      <c r="AA792" s="7"/>
      <c r="AB792" s="7"/>
    </row>
    <row r="793" ht="96.0" customHeight="1">
      <c r="A793" s="26">
        <f>IFERROR(__xludf.DUMMYFUNCTION("""COMPUTED_VALUE"""),2512.0)</f>
        <v>2512</v>
      </c>
      <c r="B793" s="22" t="str">
        <f>IFERROR(__xludf.DUMMYFUNCTION("""COMPUTED_VALUE"""),"確定")</f>
        <v>確定</v>
      </c>
      <c r="C793" s="28">
        <f>IFERROR(__xludf.DUMMYFUNCTION("""COMPUTED_VALUE"""),45209.0)</f>
        <v>45209</v>
      </c>
      <c r="D793" s="28">
        <f>IFERROR(__xludf.DUMMYFUNCTION("""COMPUTED_VALUE"""),45210.0)</f>
        <v>45210</v>
      </c>
      <c r="E793" s="31">
        <f>IFERROR(__xludf.DUMMYFUNCTION("""COMPUTED_VALUE"""),279182.0)</f>
        <v>279182</v>
      </c>
      <c r="F793" s="22" t="str">
        <f>IFERROR(__xludf.DUMMYFUNCTION("""COMPUTED_VALUE"""),"悪役令嬢自爆テロ 婚約破棄されたので国ごと道連れにします")</f>
        <v>悪役令嬢自爆テロ 婚約破棄されたので国ごと道連れにします</v>
      </c>
      <c r="G793" s="20">
        <f>IFERROR(__xludf.DUMMYFUNCTION("""COMPUTED_VALUE"""),1.0)</f>
        <v>1</v>
      </c>
      <c r="H793" s="22" t="str">
        <f>IFERROR(__xludf.DUMMYFUNCTION("""COMPUTED_VALUE"""),"漫画：野坂千惠 原作：レオナールＤ")</f>
        <v>漫画：野坂千惠 原作：レオナールＤ</v>
      </c>
      <c r="I793" s="31" t="str">
        <f>IFERROR(__xludf.DUMMYFUNCTION("""COMPUTED_VALUE"""),"少女")</f>
        <v>少女</v>
      </c>
      <c r="J793" s="22"/>
      <c r="K793" s="22"/>
      <c r="L793" s="22" t="str">
        <f>IFERROR(__xludf.DUMMYFUNCTION("""COMPUTED_VALUE"""),"マッグガーデン")</f>
        <v>マッグガーデン</v>
      </c>
      <c r="M793" s="23">
        <f>IFERROR(__xludf.DUMMYFUNCTION("""COMPUTED_VALUE"""),45231.0)</f>
        <v>45231</v>
      </c>
      <c r="N793" s="23">
        <f>IFERROR(__xludf.DUMMYFUNCTION("""COMPUTED_VALUE"""),45322.0)</f>
        <v>45322</v>
      </c>
      <c r="O793" s="20"/>
      <c r="P793" s="32" t="str">
        <f>IFERROR(__xludf.DUMMYFUNCTION("""COMPUTED_VALUE"""),"可")</f>
        <v>可</v>
      </c>
      <c r="Q793" s="30"/>
      <c r="R793" s="22"/>
      <c r="S793" s="22" t="str">
        <f>IFERROR(__xludf.DUMMYFUNCTION("""COMPUTED_VALUE"""),"20231010_マッグガーデン_悪役令嬢自爆テロ 婚約破棄されたので国ごと道連れにします")</f>
        <v>20231010_マッグガーデン_悪役令嬢自爆テロ 婚約破棄されたので国ごと道連れにします</v>
      </c>
      <c r="T793" s="22" t="str">
        <f>IFERROR(__xludf.DUMMYFUNCTION("""COMPUTED_VALUE"""),"格納済み")</f>
        <v>格納済み</v>
      </c>
      <c r="U793" s="15" t="str">
        <f>IFERROR(__xludf.DUMMYFUNCTION("""COMPUTED_VALUE"""),"(C)LeonarD/MAG Garden")</f>
        <v>(C)LeonarD/MAG Garden</v>
      </c>
      <c r="V793" s="8" t="str">
        <f>IFERROR(__xludf.DUMMYFUNCTION("""COMPUTED_VALUE"""),"国ぐるみの陰謀で悪役令嬢危うし!?土下座から始まる劇的逆転勝利コメディ！※この作品は『悪役令嬢にハッピーエンドの祝福を！アンソロジーコミック 3』に収録されている同タイトルを、同一の内容にて分冊版として再編集したものです。")</f>
        <v>国ぐるみの陰謀で悪役令嬢危うし!?土下座から始まる劇的逆転勝利コメディ！※この作品は『悪役令嬢にハッピーエンドの祝福を！アンソロジーコミック 3』に収録されている同タイトルを、同一の内容にて分冊版として再編集したものです。</v>
      </c>
      <c r="W793" s="14"/>
      <c r="X793" s="14" t="str">
        <f>IFERROR(__xludf.DUMMYFUNCTION("""COMPUTED_VALUE"""),"有
")</f>
        <v>有
</v>
      </c>
      <c r="Y793" s="8" t="str">
        <f>IFERROR(__xludf.DUMMYFUNCTION("""COMPUTED_VALUE"""),"P17まで")</f>
        <v>P17まで</v>
      </c>
      <c r="Z793" s="7"/>
      <c r="AA793" s="7"/>
      <c r="AB793" s="7"/>
    </row>
    <row r="794" ht="96.75" customHeight="1">
      <c r="A794" s="26">
        <f>IFERROR(__xludf.DUMMYFUNCTION("""COMPUTED_VALUE"""),2513.0)</f>
        <v>2513</v>
      </c>
      <c r="B794" s="22" t="str">
        <f>IFERROR(__xludf.DUMMYFUNCTION("""COMPUTED_VALUE"""),"確定")</f>
        <v>確定</v>
      </c>
      <c r="C794" s="28">
        <f>IFERROR(__xludf.DUMMYFUNCTION("""COMPUTED_VALUE"""),45209.0)</f>
        <v>45209</v>
      </c>
      <c r="D794" s="28">
        <f>IFERROR(__xludf.DUMMYFUNCTION("""COMPUTED_VALUE"""),45210.0)</f>
        <v>45210</v>
      </c>
      <c r="E794" s="31">
        <f>IFERROR(__xludf.DUMMYFUNCTION("""COMPUTED_VALUE"""),279183.0)</f>
        <v>279183</v>
      </c>
      <c r="F794" s="22" t="str">
        <f>IFERROR(__xludf.DUMMYFUNCTION("""COMPUTED_VALUE"""),"「理由は自分の胸に聞いてみろ！」と婚約破棄をされたのですが、納得できません！")</f>
        <v>「理由は自分の胸に聞いてみろ！」と婚約破棄をされたのですが、納得できません！</v>
      </c>
      <c r="G794" s="20">
        <f>IFERROR(__xludf.DUMMYFUNCTION("""COMPUTED_VALUE"""),1.0)</f>
        <v>1</v>
      </c>
      <c r="H794" s="22" t="str">
        <f>IFERROR(__xludf.DUMMYFUNCTION("""COMPUTED_VALUE"""),"漫画：赤城和 原作：佐崎一路")</f>
        <v>漫画：赤城和 原作：佐崎一路</v>
      </c>
      <c r="I794" s="31" t="str">
        <f>IFERROR(__xludf.DUMMYFUNCTION("""COMPUTED_VALUE"""),"少女")</f>
        <v>少女</v>
      </c>
      <c r="J794" s="22"/>
      <c r="K794" s="22"/>
      <c r="L794" s="22" t="str">
        <f>IFERROR(__xludf.DUMMYFUNCTION("""COMPUTED_VALUE"""),"マッグガーデン")</f>
        <v>マッグガーデン</v>
      </c>
      <c r="M794" s="23">
        <f>IFERROR(__xludf.DUMMYFUNCTION("""COMPUTED_VALUE"""),45231.0)</f>
        <v>45231</v>
      </c>
      <c r="N794" s="23">
        <f>IFERROR(__xludf.DUMMYFUNCTION("""COMPUTED_VALUE"""),45322.0)</f>
        <v>45322</v>
      </c>
      <c r="O794" s="20"/>
      <c r="P794" s="32" t="str">
        <f>IFERROR(__xludf.DUMMYFUNCTION("""COMPUTED_VALUE"""),"可")</f>
        <v>可</v>
      </c>
      <c r="Q794" s="30"/>
      <c r="R794" s="22"/>
      <c r="S794" s="22" t="str">
        <f>IFERROR(__xludf.DUMMYFUNCTION("""COMPUTED_VALUE"""),"20231010_マッグガーデン_「理由は自分の胸に聞いてみろ！」と婚約破棄をされたのですが、納得できません！")</f>
        <v>20231010_マッグガーデン_「理由は自分の胸に聞いてみろ！」と婚約破棄をされたのですが、納得できません！</v>
      </c>
      <c r="T794" s="22" t="str">
        <f>IFERROR(__xludf.DUMMYFUNCTION("""COMPUTED_VALUE"""),"格納済み")</f>
        <v>格納済み</v>
      </c>
      <c r="U794" s="15" t="str">
        <f>IFERROR(__xludf.DUMMYFUNCTION("""COMPUTED_VALUE"""),"(C)Ichiro sasaki/MAG Garden")</f>
        <v>(C)Ichiro sasaki/MAG Garden</v>
      </c>
      <c r="V794" s="8" t="str">
        <f>IFERROR(__xludf.DUMMYFUNCTION("""COMPUTED_VALUE"""),"この婚約破棄、私が悪いんですか―!?詐欺だなんて、言いがかりです!!※この作品は『悪役令嬢にハッピーエンドの祝福を！アンソロジーコミック 3』に収録されている同タイトルを、同一の内容にて分冊版として再編集したものです。")</f>
        <v>この婚約破棄、私が悪いんですか―!?詐欺だなんて、言いがかりです!!※この作品は『悪役令嬢にハッピーエンドの祝福を！アンソロジーコミック 3』に収録されている同タイトルを、同一の内容にて分冊版として再編集したものです。</v>
      </c>
      <c r="W794" s="14"/>
      <c r="X794" s="14" t="str">
        <f>IFERROR(__xludf.DUMMYFUNCTION("""COMPUTED_VALUE"""),"有
")</f>
        <v>有
</v>
      </c>
      <c r="Y794" s="8" t="str">
        <f>IFERROR(__xludf.DUMMYFUNCTION("""COMPUTED_VALUE"""),"P14まで")</f>
        <v>P14まで</v>
      </c>
      <c r="Z794" s="7"/>
      <c r="AA794" s="7"/>
      <c r="AB794" s="7"/>
    </row>
    <row r="795" ht="93.75" customHeight="1">
      <c r="A795" s="26">
        <f>IFERROR(__xludf.DUMMYFUNCTION("""COMPUTED_VALUE"""),2514.0)</f>
        <v>2514</v>
      </c>
      <c r="B795" s="22" t="str">
        <f>IFERROR(__xludf.DUMMYFUNCTION("""COMPUTED_VALUE"""),"確定")</f>
        <v>確定</v>
      </c>
      <c r="C795" s="28">
        <f>IFERROR(__xludf.DUMMYFUNCTION("""COMPUTED_VALUE"""),45209.0)</f>
        <v>45209</v>
      </c>
      <c r="D795" s="28">
        <f>IFERROR(__xludf.DUMMYFUNCTION("""COMPUTED_VALUE"""),45210.0)</f>
        <v>45210</v>
      </c>
      <c r="E795" s="31">
        <f>IFERROR(__xludf.DUMMYFUNCTION("""COMPUTED_VALUE"""),279185.0)</f>
        <v>279185</v>
      </c>
      <c r="F795" s="22" t="str">
        <f>IFERROR(__xludf.DUMMYFUNCTION("""COMPUTED_VALUE"""),"もらわれっ子の悪役令嬢は、ただ猫と貴方を愛でる")</f>
        <v>もらわれっ子の悪役令嬢は、ただ猫と貴方を愛でる</v>
      </c>
      <c r="G795" s="20">
        <f>IFERROR(__xludf.DUMMYFUNCTION("""COMPUTED_VALUE"""),1.0)</f>
        <v>1</v>
      </c>
      <c r="H795" s="22" t="str">
        <f>IFERROR(__xludf.DUMMYFUNCTION("""COMPUTED_VALUE"""),"漫画：わたなか 原作：木山花名美")</f>
        <v>漫画：わたなか 原作：木山花名美</v>
      </c>
      <c r="I795" s="31" t="str">
        <f>IFERROR(__xludf.DUMMYFUNCTION("""COMPUTED_VALUE"""),"少女")</f>
        <v>少女</v>
      </c>
      <c r="J795" s="22"/>
      <c r="K795" s="22"/>
      <c r="L795" s="22" t="str">
        <f>IFERROR(__xludf.DUMMYFUNCTION("""COMPUTED_VALUE"""),"マッグガーデン")</f>
        <v>マッグガーデン</v>
      </c>
      <c r="M795" s="23">
        <f>IFERROR(__xludf.DUMMYFUNCTION("""COMPUTED_VALUE"""),45231.0)</f>
        <v>45231</v>
      </c>
      <c r="N795" s="23">
        <f>IFERROR(__xludf.DUMMYFUNCTION("""COMPUTED_VALUE"""),45322.0)</f>
        <v>45322</v>
      </c>
      <c r="O795" s="20"/>
      <c r="P795" s="32" t="str">
        <f>IFERROR(__xludf.DUMMYFUNCTION("""COMPUTED_VALUE"""),"可")</f>
        <v>可</v>
      </c>
      <c r="Q795" s="30"/>
      <c r="R795" s="22"/>
      <c r="S795" s="22" t="str">
        <f>IFERROR(__xludf.DUMMYFUNCTION("""COMPUTED_VALUE"""),"20231010_マッグガーデン_もらわれっ子の悪役令嬢は、ただ猫と貴方を愛でる")</f>
        <v>20231010_マッグガーデン_もらわれっ子の悪役令嬢は、ただ猫と貴方を愛でる</v>
      </c>
      <c r="T795" s="22" t="str">
        <f>IFERROR(__xludf.DUMMYFUNCTION("""COMPUTED_VALUE"""),"格納済み")</f>
        <v>格納済み</v>
      </c>
      <c r="U795" s="15" t="str">
        <f>IFERROR(__xludf.DUMMYFUNCTION("""COMPUTED_VALUE"""),"(C)木山花名美/MAG Garden")</f>
        <v>(C)木山花名美/MAG Garden</v>
      </c>
      <c r="V795" s="8" t="str">
        <f>IFERROR(__xludf.DUMMYFUNCTION("""COMPUTED_VALUE"""),"これは悪役令嬢と呼ばれる私が、猫と共に幸せになる物語―！※この作品は『悪役令嬢にハッピーエンドの祝福を！アンソロジーコミック 3』に収録されている同タイトルを、同一の内容にて分冊版として再編集したものです。")</f>
        <v>これは悪役令嬢と呼ばれる私が、猫と共に幸せになる物語―！※この作品は『悪役令嬢にハッピーエンドの祝福を！アンソロジーコミック 3』に収録されている同タイトルを、同一の内容にて分冊版として再編集したものです。</v>
      </c>
      <c r="W795" s="14"/>
      <c r="X795" s="14" t="str">
        <f>IFERROR(__xludf.DUMMYFUNCTION("""COMPUTED_VALUE"""),"有
")</f>
        <v>有
</v>
      </c>
      <c r="Y795" s="8" t="str">
        <f>IFERROR(__xludf.DUMMYFUNCTION("""COMPUTED_VALUE"""),"P16まで")</f>
        <v>P16まで</v>
      </c>
      <c r="Z795" s="7"/>
      <c r="AA795" s="7"/>
      <c r="AB795" s="7"/>
    </row>
    <row r="796" ht="104.25" customHeight="1">
      <c r="A796" s="26">
        <f>IFERROR(__xludf.DUMMYFUNCTION("""COMPUTED_VALUE"""),1969.0)</f>
        <v>1969</v>
      </c>
      <c r="B796" s="31" t="str">
        <f>IFERROR(__xludf.DUMMYFUNCTION("""COMPUTED_VALUE"""),"確定")</f>
        <v>確定</v>
      </c>
      <c r="C796" s="28">
        <f>IFERROR(__xludf.DUMMYFUNCTION("""COMPUTED_VALUE"""),45068.0)</f>
        <v>45068</v>
      </c>
      <c r="D796" s="28">
        <f>IFERROR(__xludf.DUMMYFUNCTION("""COMPUTED_VALUE"""),45217.0)</f>
        <v>45217</v>
      </c>
      <c r="E796" s="31">
        <f>IFERROR(__xludf.DUMMYFUNCTION("""COMPUTED_VALUE"""),279900.0)</f>
        <v>279900</v>
      </c>
      <c r="F796" s="31" t="str">
        <f>IFERROR(__xludf.DUMMYFUNCTION("""COMPUTED_VALUE"""),"殺し屋は今日も冷徹皇帝に愛される【マイクロ】")</f>
        <v>殺し屋は今日も冷徹皇帝に愛される【マイクロ】</v>
      </c>
      <c r="G796" s="16" t="str">
        <f>IFERROR(__xludf.DUMMYFUNCTION("""COMPUTED_VALUE"""),"1～4")</f>
        <v>1～4</v>
      </c>
      <c r="H796" s="31" t="str">
        <f>IFERROR(__xludf.DUMMYFUNCTION("""COMPUTED_VALUE"""),"原作：車谷晴子、作画：央知")</f>
        <v>原作：車谷晴子、作画：央知</v>
      </c>
      <c r="I796" s="22" t="str">
        <f>IFERROR(__xludf.DUMMYFUNCTION("""COMPUTED_VALUE"""),"女性")</f>
        <v>女性</v>
      </c>
      <c r="J796" s="31"/>
      <c r="K796" s="31"/>
      <c r="L796" s="31" t="str">
        <f>IFERROR(__xludf.DUMMYFUNCTION("""COMPUTED_VALUE"""),"小学館")</f>
        <v>小学館</v>
      </c>
      <c r="M796" s="23">
        <f>IFERROR(__xludf.DUMMYFUNCTION("""COMPUTED_VALUE"""),45245.0)</f>
        <v>45245</v>
      </c>
      <c r="N796" s="33">
        <f>IFERROR(__xludf.DUMMYFUNCTION("""COMPUTED_VALUE"""),45305.0)</f>
        <v>45305</v>
      </c>
      <c r="O796" s="20"/>
      <c r="P796" s="34" t="str">
        <f>IFERROR(__xludf.DUMMYFUNCTION("""COMPUTED_VALUE"""),"可")</f>
        <v>可</v>
      </c>
      <c r="Q796" s="30" t="str">
        <f>IFERROR(__xludf.DUMMYFUNCTION("""COMPUTED_VALUE"""),"・広告コミットOK(5/29)&lt;BR&gt;(初回リリース巻数について駒村さんに相談済み)")</f>
        <v>・広告コミットOK(5/29)&lt;BR&gt;(初回リリース巻数について駒村さんに相談済み)</v>
      </c>
      <c r="R796" s="31"/>
      <c r="S796" s="31" t="str">
        <f>IFERROR(__xludf.DUMMYFUNCTION("""COMPUTED_VALUE"""),"20231017_小学館_殺し屋は今日も冷徹皇帝に愛される【マイクロ】")</f>
        <v>20231017_小学館_殺し屋は今日も冷徹皇帝に愛される【マイクロ】</v>
      </c>
      <c r="T796" s="31" t="str">
        <f>IFERROR(__xludf.DUMMYFUNCTION("""COMPUTED_VALUE"""),"格納済み")</f>
        <v>格納済み</v>
      </c>
      <c r="U796" s="15" t="str">
        <f>IFERROR(__xludf.DUMMYFUNCTION("""COMPUTED_VALUE"""),"(C)車谷晴子・央知夕 / 小学館")</f>
        <v>(C)車谷晴子・央知夕 / 小学館</v>
      </c>
      <c r="V796" s="8" t="str">
        <f>IFERROR(__xludf.DUMMYFUNCTION("""COMPUTED_VALUE"""),"中華後宮×エロティックファンタジー、開幕！貧民街で育った娘・華涼は幼い頃から殺しを叩き込まれ、暗殺を生業としてきた。そんな彼女が次の標的に定めた相手は、国を治め暴君と名高い皇帝・狼月。呪いの皇帝とも呼ばれる彼の城に潜入する華涼だったが…。")</f>
        <v>中華後宮×エロティックファンタジー、開幕！貧民街で育った娘・華涼は幼い頃から殺しを叩き込まれ、暗殺を生業としてきた。そんな彼女が次の標的に定めた相手は、国を治め暴君と名高い皇帝・狼月。呪いの皇帝とも呼ばれる彼の城に潜入する華涼だったが…。</v>
      </c>
      <c r="W796" s="14"/>
      <c r="X796" s="14" t="str">
        <f>IFERROR(__xludf.DUMMYFUNCTION("""COMPUTED_VALUE"""),"有
")</f>
        <v>有
</v>
      </c>
      <c r="Y796" s="8" t="str">
        <f>IFERROR(__xludf.DUMMYFUNCTION("""COMPUTED_VALUE"""),"11/28まで1巻無料")</f>
        <v>11/28まで1巻無料</v>
      </c>
      <c r="Z796" s="7"/>
      <c r="AA796" s="7"/>
      <c r="AB796" s="7"/>
    </row>
    <row r="797" ht="15.75" customHeight="1">
      <c r="A797" s="26">
        <f>IFERROR(__xludf.DUMMYFUNCTION("""COMPUTED_VALUE"""),2143.0)</f>
        <v>2143</v>
      </c>
      <c r="B797" s="31" t="str">
        <f>IFERROR(__xludf.DUMMYFUNCTION("""COMPUTED_VALUE"""),"確定")</f>
        <v>確定</v>
      </c>
      <c r="C797" s="28">
        <f>IFERROR(__xludf.DUMMYFUNCTION("""COMPUTED_VALUE"""),45117.0)</f>
        <v>45117</v>
      </c>
      <c r="D797" s="28">
        <f>IFERROR(__xludf.DUMMYFUNCTION("""COMPUTED_VALUE"""),45212.0)</f>
        <v>45212</v>
      </c>
      <c r="E797" s="31">
        <f>IFERROR(__xludf.DUMMYFUNCTION("""COMPUTED_VALUE"""),279315.0)</f>
        <v>279315</v>
      </c>
      <c r="F797" s="31" t="str">
        <f>IFERROR(__xludf.DUMMYFUNCTION("""COMPUTED_VALUE"""),"私たちは離婚する。深く、甘く、繋がって…")</f>
        <v>私たちは離婚する。深く、甘く、繋がって…</v>
      </c>
      <c r="G797" s="11" t="str">
        <f>IFERROR(__xludf.DUMMYFUNCTION("""COMPUTED_VALUE"""),"1～2")</f>
        <v>1～2</v>
      </c>
      <c r="H797" s="31" t="str">
        <f>IFERROR(__xludf.DUMMYFUNCTION("""COMPUTED_VALUE"""),"小嶋すみれ")</f>
        <v>小嶋すみれ</v>
      </c>
      <c r="I797" s="31" t="str">
        <f>IFERROR(__xludf.DUMMYFUNCTION("""COMPUTED_VALUE"""),"TL")</f>
        <v>TL</v>
      </c>
      <c r="J797" s="31"/>
      <c r="K797" s="31"/>
      <c r="L797" s="31" t="str">
        <f>IFERROR(__xludf.DUMMYFUNCTION("""COMPUTED_VALUE"""),"CLLENN")</f>
        <v>CLLENN</v>
      </c>
      <c r="M797" s="23">
        <f>IFERROR(__xludf.DUMMYFUNCTION("""COMPUTED_VALUE"""),45233.0)</f>
        <v>45233</v>
      </c>
      <c r="N797" s="23">
        <f>IFERROR(__xludf.DUMMYFUNCTION("""COMPUTED_VALUE"""),45262.0)</f>
        <v>45262</v>
      </c>
      <c r="O797" s="20"/>
      <c r="P797" s="34" t="str">
        <f>IFERROR(__xludf.DUMMYFUNCTION("""COMPUTED_VALUE"""),"可")</f>
        <v>可</v>
      </c>
      <c r="Q797" s="31" t="str">
        <f>IFERROR(__xludf.DUMMYFUNCTION("""COMPUTED_VALUE"""),"広告コミットOK(7/18)")</f>
        <v>広告コミットOK(7/18)</v>
      </c>
      <c r="R797" s="31" t="str">
        <f>IFERROR(__xludf.DUMMYFUNCTION("""COMPUTED_VALUE"""),"格納済（10/11）")</f>
        <v>格納済（10/11）</v>
      </c>
      <c r="S797" s="31" t="str">
        <f>IFERROR(__xludf.DUMMYFUNCTION("""COMPUTED_VALUE"""),"20231011_CLLENN_私たちは離婚する。深く、甘く、繋がって…")</f>
        <v>20231011_CLLENN_私たちは離婚する。深く、甘く、繋がって…</v>
      </c>
      <c r="T797" s="31" t="str">
        <f>IFERROR(__xludf.DUMMYFUNCTION("""COMPUTED_VALUE"""),"校了済素材/格納済み")</f>
        <v>校了済素材/格納済み</v>
      </c>
      <c r="U797" s="15" t="str">
        <f>IFERROR(__xludf.DUMMYFUNCTION("""COMPUTED_VALUE"""),"ⓒ小嶋すみれ/CLLENN")</f>
        <v>ⓒ小嶋すみれ/CLLENN</v>
      </c>
      <c r="V797" s="8" t="str">
        <f>IFERROR(__xludf.DUMMYFUNCTION("""COMPUTED_VALUE"""),"「結婚してくれない？」長い指で私のナカをかき乱しながら、あなたが言う。契約結婚には終わりがあるのに…快感に溺れながら私が出した答えは――結婚を夢見るカフェ店員・杉本光波は不感症がコンプレックス。イケメンの常連客・桐乃悠斗と思いがけず飲みに行くことになり、酔った勢いで不感症であることを暴露！「開発されてないだけかも」ベッドに押し倒され、乳首を這う指と舌先でコリコリ弄られる。優しくやらしい愛撫でくちゅくちゅかきまわされたら――待って、しぬほどきもちいい…。「結婚にイエスって言ってくれたら、もっと気持ちよくして"&amp;"あげる」ウソからはじまった限りある夫婦生活。こんなに大切にされたら…切ないよ。")</f>
        <v>「結婚してくれない？」長い指で私のナカをかき乱しながら、あなたが言う。契約結婚には終わりがあるのに…快感に溺れながら私が出した答えは――結婚を夢見るカフェ店員・杉本光波は不感症がコンプレックス。イケメンの常連客・桐乃悠斗と思いがけず飲みに行くことになり、酔った勢いで不感症であることを暴露！「開発されてないだけかも」ベッドに押し倒され、乳首を這う指と舌先でコリコリ弄られる。優しくやらしい愛撫でくちゅくちゅかきまわされたら――待って、しぬほどきもちいい…。「結婚にイエスって言ってくれたら、もっと気持ちよくしてあげる」ウソからはじまった限りある夫婦生活。こんなに大切にされたら…切ないよ。</v>
      </c>
      <c r="W797" s="14"/>
      <c r="X797" s="14" t="str">
        <f>IFERROR(__xludf.DUMMYFUNCTION("""COMPUTED_VALUE"""),"有
")</f>
        <v>有
</v>
      </c>
      <c r="Y797" s="8" t="str">
        <f>IFERROR(__xludf.DUMMYFUNCTION("""COMPUTED_VALUE"""),"P8まで")</f>
        <v>P8まで</v>
      </c>
      <c r="Z797" s="7"/>
      <c r="AA797" s="7"/>
      <c r="AB797" s="7"/>
    </row>
    <row r="798" ht="15.75" customHeight="1">
      <c r="A798" s="26">
        <f>IFERROR(__xludf.DUMMYFUNCTION("""COMPUTED_VALUE"""),2226.0)</f>
        <v>2226</v>
      </c>
      <c r="B798" s="31" t="str">
        <f>IFERROR(__xludf.DUMMYFUNCTION("""COMPUTED_VALUE"""),"確定")</f>
        <v>確定</v>
      </c>
      <c r="C798" s="28">
        <f>IFERROR(__xludf.DUMMYFUNCTION("""COMPUTED_VALUE"""),45131.0)</f>
        <v>45131</v>
      </c>
      <c r="D798" s="28">
        <f>IFERROR(__xludf.DUMMYFUNCTION("""COMPUTED_VALUE"""),45217.0)</f>
        <v>45217</v>
      </c>
      <c r="E798" s="31">
        <f>IFERROR(__xludf.DUMMYFUNCTION("""COMPUTED_VALUE"""),279686.0)</f>
        <v>279686</v>
      </c>
      <c r="F798" s="31" t="str">
        <f>IFERROR(__xludf.DUMMYFUNCTION("""COMPUTED_VALUE"""),"お前にだけは抱かれたくない")</f>
        <v>お前にだけは抱かれたくない</v>
      </c>
      <c r="G798" s="11" t="str">
        <f>IFERROR(__xludf.DUMMYFUNCTION("""COMPUTED_VALUE"""),"1～2")</f>
        <v>1～2</v>
      </c>
      <c r="H798" s="31" t="str">
        <f>IFERROR(__xludf.DUMMYFUNCTION("""COMPUTED_VALUE"""),"原作：中村およよ、作画：灰庭ソウスケ")</f>
        <v>原作：中村およよ、作画：灰庭ソウスケ</v>
      </c>
      <c r="I798" s="31" t="str">
        <f>IFERROR(__xludf.DUMMYFUNCTION("""COMPUTED_VALUE"""),"BL")</f>
        <v>BL</v>
      </c>
      <c r="J798" s="31"/>
      <c r="K798" s="31"/>
      <c r="L798" s="31" t="str">
        <f>IFERROR(__xludf.DUMMYFUNCTION("""COMPUTED_VALUE"""),"CLLENN")</f>
        <v>CLLENN</v>
      </c>
      <c r="M798" s="23">
        <f>IFERROR(__xludf.DUMMYFUNCTION("""COMPUTED_VALUE"""),45241.0)</f>
        <v>45241</v>
      </c>
      <c r="N798" s="23">
        <f>IFERROR(__xludf.DUMMYFUNCTION("""COMPUTED_VALUE"""),45303.0)</f>
        <v>45303</v>
      </c>
      <c r="O798" s="20"/>
      <c r="P798" s="34" t="str">
        <f>IFERROR(__xludf.DUMMYFUNCTION("""COMPUTED_VALUE"""),"可")</f>
        <v>可</v>
      </c>
      <c r="Q798" s="31" t="str">
        <f>IFERROR(__xludf.DUMMYFUNCTION("""COMPUTED_VALUE"""),"広告コミットOK(7/28)")</f>
        <v>広告コミットOK(7/28)</v>
      </c>
      <c r="R798" s="31" t="str">
        <f>IFERROR(__xludf.DUMMYFUNCTION("""COMPUTED_VALUE"""),"格納済")</f>
        <v>格納済</v>
      </c>
      <c r="S798" s="31" t="str">
        <f>IFERROR(__xludf.DUMMYFUNCTION("""COMPUTED_VALUE"""),"20231018_CLLENN_お前にだけは抱かれたくない")</f>
        <v>20231018_CLLENN_お前にだけは抱かれたくない</v>
      </c>
      <c r="T798" s="31" t="str">
        <f>IFERROR(__xludf.DUMMYFUNCTION("""COMPUTED_VALUE"""),"格納済み")</f>
        <v>格納済み</v>
      </c>
      <c r="U798" s="15" t="str">
        <f>IFERROR(__xludf.DUMMYFUNCTION("""COMPUTED_VALUE"""),"ⓒ灰庭ソウスケ・中村およよ/CLLENN")</f>
        <v>ⓒ灰庭ソウスケ・中村およよ/CLLENN</v>
      </c>
      <c r="V798" s="8" t="str">
        <f>IFERROR(__xludf.DUMMYFUNCTION("""COMPUTED_VALUE"""),"【鈴宮にケツ弄られたら勃起できるってこと…！？】後輩AV男優に後ろを弄られたら…EDだったはずのち○ぽが完勃ち！！？　若手AV男優×人気ナンバーワンAV男優の、心も身体もぐちゃぐちゃに乱される下剋上ラブ！女性向けAV男優として圧倒的人気を誇る安達 輝星（あだち こうせい）は、売り出し中の若手AV男優・鈴宮 涼太（すずみや りょうた）をライバル視していた。そんなある日、安達はタチ役として鈴宮とBL作品を撮影することに。先輩らしくリードしようとするものの…肝心のシーンでち〇ぽが勃たない！？　――実は安達は、A"&amp;"V男優なのにEDだった！　鈴宮に秘密を知られ、インポ野郎とバカにされると思いきや…後学のために勉強させてとキスしてきて…。しかもアナルを弄られ、まさかのち○ぽが完勃ち！！？")</f>
        <v>【鈴宮にケツ弄られたら勃起できるってこと…！？】後輩AV男優に後ろを弄られたら…EDだったはずのち○ぽが完勃ち！！？　若手AV男優×人気ナンバーワンAV男優の、心も身体もぐちゃぐちゃに乱される下剋上ラブ！女性向けAV男優として圧倒的人気を誇る安達 輝星（あだち こうせい）は、売り出し中の若手AV男優・鈴宮 涼太（すずみや りょうた）をライバル視していた。そんなある日、安達はタチ役として鈴宮とBL作品を撮影することに。先輩らしくリードしようとするものの…肝心のシーンでち〇ぽが勃たない！？　――実は安達は、AV男優なのにEDだった！　鈴宮に秘密を知られ、インポ野郎とバカにされると思いきや…後学のために勉強させてとキスしてきて…。しかもアナルを弄られ、まさかのち○ぽが完勃ち！！？</v>
      </c>
      <c r="W798" s="14"/>
      <c r="X798" s="14" t="str">
        <f>IFERROR(__xludf.DUMMYFUNCTION("""COMPUTED_VALUE"""),"有
")</f>
        <v>有
</v>
      </c>
      <c r="Y798" s="8" t="str">
        <f>IFERROR(__xludf.DUMMYFUNCTION("""COMPUTED_VALUE"""),"P10まで")</f>
        <v>P10まで</v>
      </c>
      <c r="Z798" s="7"/>
      <c r="AA798" s="7"/>
      <c r="AB798" s="7"/>
    </row>
    <row r="799" ht="15.75" customHeight="1">
      <c r="A799" s="26">
        <f>IFERROR(__xludf.DUMMYFUNCTION("""COMPUTED_VALUE"""),2292.0)</f>
        <v>2292</v>
      </c>
      <c r="B799" s="31" t="str">
        <f>IFERROR(__xludf.DUMMYFUNCTION("""COMPUTED_VALUE"""),"確定")</f>
        <v>確定</v>
      </c>
      <c r="C799" s="28">
        <f>IFERROR(__xludf.DUMMYFUNCTION("""COMPUTED_VALUE"""),45159.0)</f>
        <v>45159</v>
      </c>
      <c r="D799" s="28">
        <f>IFERROR(__xludf.DUMMYFUNCTION("""COMPUTED_VALUE"""),45217.0)</f>
        <v>45217</v>
      </c>
      <c r="E799" s="31">
        <f>IFERROR(__xludf.DUMMYFUNCTION("""COMPUTED_VALUE"""),279685.0)</f>
        <v>279685</v>
      </c>
      <c r="F799" s="31" t="str">
        <f>IFERROR(__xludf.DUMMYFUNCTION("""COMPUTED_VALUE"""),"ねえ真白くん、こっちおいで")</f>
        <v>ねえ真白くん、こっちおいで</v>
      </c>
      <c r="G799" s="11" t="str">
        <f>IFERROR(__xludf.DUMMYFUNCTION("""COMPUTED_VALUE"""),"1～2")</f>
        <v>1～2</v>
      </c>
      <c r="H799" s="31" t="str">
        <f>IFERROR(__xludf.DUMMYFUNCTION("""COMPUTED_VALUE"""),"ロジコ")</f>
        <v>ロジコ</v>
      </c>
      <c r="I799" s="31" t="str">
        <f>IFERROR(__xludf.DUMMYFUNCTION("""COMPUTED_VALUE"""),"BL")</f>
        <v>BL</v>
      </c>
      <c r="J799" s="31"/>
      <c r="K799" s="31"/>
      <c r="L799" s="31" t="str">
        <f>IFERROR(__xludf.DUMMYFUNCTION("""COMPUTED_VALUE"""),"CLLENN")</f>
        <v>CLLENN</v>
      </c>
      <c r="M799" s="23">
        <f>IFERROR(__xludf.DUMMYFUNCTION("""COMPUTED_VALUE"""),45241.0)</f>
        <v>45241</v>
      </c>
      <c r="N799" s="23">
        <f>IFERROR(__xludf.DUMMYFUNCTION("""COMPUTED_VALUE"""),45303.0)</f>
        <v>45303</v>
      </c>
      <c r="O799" s="20"/>
      <c r="P799" s="34" t="str">
        <f>IFERROR(__xludf.DUMMYFUNCTION("""COMPUTED_VALUE"""),"可")</f>
        <v>可</v>
      </c>
      <c r="Q799" s="31" t="str">
        <f>IFERROR(__xludf.DUMMYFUNCTION("""COMPUTED_VALUE"""),"広告コミットOk(8/23)")</f>
        <v>広告コミットOk(8/23)</v>
      </c>
      <c r="R799" s="31" t="str">
        <f>IFERROR(__xludf.DUMMYFUNCTION("""COMPUTED_VALUE"""),"格納済")</f>
        <v>格納済</v>
      </c>
      <c r="S799" s="31" t="str">
        <f>IFERROR(__xludf.DUMMYFUNCTION("""COMPUTED_VALUE"""),"20231018_CLLENN_ねえ真白くん、こっちおいで")</f>
        <v>20231018_CLLENN_ねえ真白くん、こっちおいで</v>
      </c>
      <c r="T799" s="31" t="str">
        <f>IFERROR(__xludf.DUMMYFUNCTION("""COMPUTED_VALUE"""),"格納済み")</f>
        <v>格納済み</v>
      </c>
      <c r="U799" s="15" t="str">
        <f>IFERROR(__xludf.DUMMYFUNCTION("""COMPUTED_VALUE"""),"ⓒロジコ/CLLENN")</f>
        <v>ⓒロジコ/CLLENN</v>
      </c>
      <c r="V799" s="8" t="str">
        <f>IFERROR(__xludf.DUMMYFUNCTION("""COMPUTED_VALUE"""),"「不感症のビッチ？じゃあ俺がめちゃくちゃ気持ちよくしてイかせてあげる」セックスで感じたことなんて一度もなかったのに…っ。――元カレがストーカー化した吉塚 真白（よしづか ましろ）を、何かと気遣う一条 敦樹（いちじょう あつき）は、同じ大学で隣人同士。“男にケツを振るビッチ”と噂され不愛想な真白だが、元カレのせいで不感症。敦樹に迫られても反応なんてしないはず…と、思っていたのに！？ 甘く優しく執拗に快感を与えられ、やめてくれない。「もっとおかしくしてあげる、俺真白のことなんでも知ってるからね」　サイコパスな"&amp;"一面を秘めたまま、狂おしいほど真白を求める敦樹の真意とは――…！？")</f>
        <v>「不感症のビッチ？じゃあ俺がめちゃくちゃ気持ちよくしてイかせてあげる」セックスで感じたことなんて一度もなかったのに…っ。――元カレがストーカー化した吉塚 真白（よしづか ましろ）を、何かと気遣う一条 敦樹（いちじょう あつき）は、同じ大学で隣人同士。“男にケツを振るビッチ”と噂され不愛想な真白だが、元カレのせいで不感症。敦樹に迫られても反応なんてしないはず…と、思っていたのに！？ 甘く優しく執拗に快感を与えられ、やめてくれない。「もっとおかしくしてあげる、俺真白のことなんでも知ってるからね」　サイコパスな一面を秘めたまま、狂おしいほど真白を求める敦樹の真意とは――…！？</v>
      </c>
      <c r="W799" s="14"/>
      <c r="X799" s="14" t="str">
        <f>IFERROR(__xludf.DUMMYFUNCTION("""COMPUTED_VALUE"""),"有
")</f>
        <v>有
</v>
      </c>
      <c r="Y799" s="8" t="str">
        <f>IFERROR(__xludf.DUMMYFUNCTION("""COMPUTED_VALUE"""),"P9まで")</f>
        <v>P9まで</v>
      </c>
      <c r="Z799" s="7"/>
      <c r="AA799" s="7"/>
      <c r="AB799" s="7"/>
    </row>
    <row r="800" ht="15.75" customHeight="1">
      <c r="A800" s="26">
        <f>IFERROR(__xludf.DUMMYFUNCTION("""COMPUTED_VALUE"""),2368.0)</f>
        <v>2368</v>
      </c>
      <c r="B800" s="31" t="str">
        <f>IFERROR(__xludf.DUMMYFUNCTION("""COMPUTED_VALUE"""),"確定")</f>
        <v>確定</v>
      </c>
      <c r="C800" s="28">
        <f>IFERROR(__xludf.DUMMYFUNCTION("""COMPUTED_VALUE"""),45176.0)</f>
        <v>45176</v>
      </c>
      <c r="D800" s="28">
        <f>IFERROR(__xludf.DUMMYFUNCTION("""COMPUTED_VALUE"""),45212.0)</f>
        <v>45212</v>
      </c>
      <c r="E800" s="31">
        <f>IFERROR(__xludf.DUMMYFUNCTION("""COMPUTED_VALUE"""),280106.0)</f>
        <v>280106</v>
      </c>
      <c r="F800" s="31" t="str">
        <f>IFERROR(__xludf.DUMMYFUNCTION("""COMPUTED_VALUE"""),"番犬αは牙を隠している【タテマンガ(完全版)】")</f>
        <v>番犬αは牙を隠している【タテマンガ(完全版)】</v>
      </c>
      <c r="G800" s="11" t="str">
        <f>IFERROR(__xludf.DUMMYFUNCTION("""COMPUTED_VALUE"""),"1～10")</f>
        <v>1～10</v>
      </c>
      <c r="H800" s="31" t="str">
        <f>IFERROR(__xludf.DUMMYFUNCTION("""COMPUTED_VALUE"""),"脚本:JingleBells, 作画:Faerie")</f>
        <v>脚本:JingleBells, 作画:Faerie</v>
      </c>
      <c r="I800" s="31" t="str">
        <f>IFERROR(__xludf.DUMMYFUNCTION("""COMPUTED_VALUE"""),"BL")</f>
        <v>BL</v>
      </c>
      <c r="J800" s="31"/>
      <c r="K800" s="31"/>
      <c r="L800" s="31" t="str">
        <f>IFERROR(__xludf.DUMMYFUNCTION("""COMPUTED_VALUE"""),"YUZU comics")</f>
        <v>YUZU comics</v>
      </c>
      <c r="M800" s="23">
        <f>IFERROR(__xludf.DUMMYFUNCTION("""COMPUTED_VALUE"""),45226.0)</f>
        <v>45226</v>
      </c>
      <c r="N800" s="23">
        <f>IFERROR(__xludf.DUMMYFUNCTION("""COMPUTED_VALUE"""),45316.0)</f>
        <v>45316</v>
      </c>
      <c r="O800" s="20"/>
      <c r="P800" s="34" t="str">
        <f>IFERROR(__xludf.DUMMYFUNCTION("""COMPUTED_VALUE"""),"可")</f>
        <v>可</v>
      </c>
      <c r="Q800" s="30" t="str">
        <f>IFERROR(__xludf.DUMMYFUNCTION("""COMPUTED_VALUE"""),"広告コミットOK(9/12)")</f>
        <v>広告コミットOK(9/12)</v>
      </c>
      <c r="R800" s="31"/>
      <c r="S800" s="31" t="str">
        <f>IFERROR(__xludf.DUMMYFUNCTION("""COMPUTED_VALUE"""),"20231013_YUZUcomics_番犬αは牙を隠している")</f>
        <v>20231013_YUZUcomics_番犬αは牙を隠している</v>
      </c>
      <c r="T800" s="31" t="str">
        <f>IFERROR(__xludf.DUMMYFUNCTION("""COMPUTED_VALUE"""),"格納済み")</f>
        <v>格納済み</v>
      </c>
      <c r="U800" s="15" t="str">
        <f>IFERROR(__xludf.DUMMYFUNCTION("""COMPUTED_VALUE"""),"©YUZU comics")</f>
        <v>©YUZU comics</v>
      </c>
      <c r="V800" s="8" t="str">
        <f>IFERROR(__xludf.DUMMYFUNCTION("""COMPUTED_VALUE"""),"芸能界のトップアイドルグループ””AWE””の綾小路凱は、俺様キャラで人気を博していた。しかし、アルファ男性である彼が、近頃オメガ特有の発情に悩まされていることは、誰も知らない…。医者が出した解決策は、彼がアルファとセッ〇スすることだった！！発情を収めるパートナー探しに奔走する中、凱は長い間行方不明になっていた幼馴染――凱の「犬」・小泉伊織と運命的な再会を果たす。しかし伊織は心に秘めていた愛憎から凶犬と化し、凱への恐るべき復讐を企んでいたのだった…！")</f>
        <v>芸能界のトップアイドルグループ””AWE””の綾小路凱は、俺様キャラで人気を博していた。しかし、アルファ男性である彼が、近頃オメガ特有の発情に悩まされていることは、誰も知らない…。医者が出した解決策は、彼がアルファとセッ〇スすることだった！！発情を収めるパートナー探しに奔走する中、凱は長い間行方不明になっていた幼馴染――凱の「犬」・小泉伊織と運命的な再会を果たす。しかし伊織は心に秘めていた愛憎から凶犬と化し、凱への恐るべき復讐を企んでいたのだった…！</v>
      </c>
      <c r="W800" s="14"/>
      <c r="X800" s="14" t="str">
        <f>IFERROR(__xludf.DUMMYFUNCTION("""COMPUTED_VALUE"""),"有
")</f>
        <v>有
</v>
      </c>
      <c r="Y800" s="8" t="str">
        <f>IFERROR(__xludf.DUMMYFUNCTION("""COMPUTED_VALUE"""),"1/25まで1～3巻無料")</f>
        <v>1/25まで1～3巻無料</v>
      </c>
      <c r="Z800" s="7"/>
      <c r="AA800" s="7"/>
      <c r="AB800" s="7"/>
    </row>
    <row r="801" ht="15.75" customHeight="1">
      <c r="A801" s="26">
        <f>IFERROR(__xludf.DUMMYFUNCTION("""COMPUTED_VALUE"""),2377.0)</f>
        <v>2377</v>
      </c>
      <c r="B801" s="31" t="str">
        <f>IFERROR(__xludf.DUMMYFUNCTION("""COMPUTED_VALUE"""),"確定")</f>
        <v>確定</v>
      </c>
      <c r="C801" s="28">
        <f>IFERROR(__xludf.DUMMYFUNCTION("""COMPUTED_VALUE"""),45181.0)</f>
        <v>45181</v>
      </c>
      <c r="D801" s="28">
        <f>IFERROR(__xludf.DUMMYFUNCTION("""COMPUTED_VALUE"""),45215.0)</f>
        <v>45215</v>
      </c>
      <c r="E801" s="31">
        <f>IFERROR(__xludf.DUMMYFUNCTION("""COMPUTED_VALUE"""),279684.0)</f>
        <v>279684</v>
      </c>
      <c r="F801" s="31" t="str">
        <f>IFERROR(__xludf.DUMMYFUNCTION("""COMPUTED_VALUE"""),"ALL BE PLUS！")</f>
        <v>ALL BE PLUS！</v>
      </c>
      <c r="G801" s="20" t="str">
        <f>IFERROR(__xludf.DUMMYFUNCTION("""COMPUTED_VALUE"""),"1~3")</f>
        <v>1~3</v>
      </c>
      <c r="H801" s="31" t="str">
        <f>IFERROR(__xludf.DUMMYFUNCTION("""COMPUTED_VALUE"""),"花影あると")</f>
        <v>花影あると</v>
      </c>
      <c r="I801" s="31" t="str">
        <f>IFERROR(__xludf.DUMMYFUNCTION("""COMPUTED_VALUE"""),"少女")</f>
        <v>少女</v>
      </c>
      <c r="J801" s="31"/>
      <c r="K801" s="31"/>
      <c r="L801" s="31" t="str">
        <f>IFERROR(__xludf.DUMMYFUNCTION("""COMPUTED_VALUE"""),"forcs")</f>
        <v>forcs</v>
      </c>
      <c r="M801" s="23">
        <f>IFERROR(__xludf.DUMMYFUNCTION("""COMPUTED_VALUE"""),45239.0)</f>
        <v>45239</v>
      </c>
      <c r="N801" s="23">
        <f>IFERROR(__xludf.DUMMYFUNCTION("""COMPUTED_VALUE"""),45302.0)</f>
        <v>45302</v>
      </c>
      <c r="O801" s="20"/>
      <c r="P801" s="34" t="str">
        <f>IFERROR(__xludf.DUMMYFUNCTION("""COMPUTED_VALUE"""),"否")</f>
        <v>否</v>
      </c>
      <c r="Q801" s="31" t="str">
        <f>IFERROR(__xludf.DUMMYFUNCTION("""COMPUTED_VALUE"""),"広告コミットOK(9/20)")</f>
        <v>広告コミットOK(9/20)</v>
      </c>
      <c r="R801" s="31" t="str">
        <f>IFERROR(__xludf.DUMMYFUNCTION("""COMPUTED_VALUE"""),"格納済み")</f>
        <v>格納済み</v>
      </c>
      <c r="S801" s="31" t="str">
        <f>IFERROR(__xludf.DUMMYFUNCTION("""COMPUTED_VALUE"""),"20231012_forcs_ALL BE PLUS！")</f>
        <v>20231012_forcs_ALL BE PLUS！</v>
      </c>
      <c r="T801" s="31" t="str">
        <f>IFERROR(__xludf.DUMMYFUNCTION("""COMPUTED_VALUE"""),"格納済み")</f>
        <v>格納済み</v>
      </c>
      <c r="U801" s="15" t="str">
        <f>IFERROR(__xludf.DUMMYFUNCTION("""COMPUTED_VALUE"""),"©花影あると/forcs")</f>
        <v>©花影あると/forcs</v>
      </c>
      <c r="V801" s="8" t="str">
        <f>IFERROR(__xludf.DUMMYFUNCTION("""COMPUTED_VALUE"""),"「痩せなければクビだ」
トップモデルのオリナは精神病の長期療養により太ってしまった。
2ヶ月後には日本最大のイベント「TLC」が控えており、出演できなければクビだと宣告される。
薬の副作用で痩せにくい身体を抱えつつも、応援してくれるファンのためにと懸命に痩せるオリナ。
「みんなの求める痩せたキレイな身体にしないと…。でも、美しい身体ってなんなんだろう？」
体型が変わって初めて気づく、私らしい美の尊さ。
誰もが思う体型の悩みを通し、自分らしさを見つけ人生をプラスにしていく！")</f>
        <v>「痩せなければクビだ」
トップモデルのオリナは精神病の長期療養により太ってしまった。
2ヶ月後には日本最大のイベント「TLC」が控えており、出演できなければクビだと宣告される。
薬の副作用で痩せにくい身体を抱えつつも、応援してくれるファンのためにと懸命に痩せるオリナ。
「みんなの求める痩せたキレイな身体にしないと…。でも、美しい身体ってなんなんだろう？」
体型が変わって初めて気づく、私らしい美の尊さ。
誰もが思う体型の悩みを通し、自分らしさを見つけ人生をプラスにしていく！</v>
      </c>
      <c r="W801" s="14"/>
      <c r="X801" s="14" t="str">
        <f>IFERROR(__xludf.DUMMYFUNCTION("""COMPUTED_VALUE"""),"有
")</f>
        <v>有
</v>
      </c>
      <c r="Y801" s="8" t="str">
        <f>IFERROR(__xludf.DUMMYFUNCTION("""COMPUTED_VALUE"""),"P15まで")</f>
        <v>P15まで</v>
      </c>
      <c r="Z801" s="7"/>
      <c r="AA801" s="7"/>
      <c r="AB801" s="7"/>
    </row>
    <row r="802" ht="15.75" customHeight="1">
      <c r="A802" s="26">
        <f>IFERROR(__xludf.DUMMYFUNCTION("""COMPUTED_VALUE"""),2392.0)</f>
        <v>2392</v>
      </c>
      <c r="B802" s="31" t="str">
        <f>IFERROR(__xludf.DUMMYFUNCTION("""COMPUTED_VALUE"""),"確定")</f>
        <v>確定</v>
      </c>
      <c r="C802" s="28">
        <f>IFERROR(__xludf.DUMMYFUNCTION("""COMPUTED_VALUE"""),45188.0)</f>
        <v>45188</v>
      </c>
      <c r="D802" s="28">
        <f>IFERROR(__xludf.DUMMYFUNCTION("""COMPUTED_VALUE"""),45217.0)</f>
        <v>45217</v>
      </c>
      <c r="E802" s="31">
        <f>IFERROR(__xludf.DUMMYFUNCTION("""COMPUTED_VALUE"""),279479.0)</f>
        <v>279479</v>
      </c>
      <c r="F802" s="31" t="str">
        <f>IFERROR(__xludf.DUMMYFUNCTION("""COMPUTED_VALUE"""),"薄明に充ちる")</f>
        <v>薄明に充ちる</v>
      </c>
      <c r="G802" s="20">
        <f>IFERROR(__xludf.DUMMYFUNCTION("""COMPUTED_VALUE"""),1.0)</f>
        <v>1</v>
      </c>
      <c r="H802" s="31" t="str">
        <f>IFERROR(__xludf.DUMMYFUNCTION("""COMPUTED_VALUE"""),"宇野ユキアキ")</f>
        <v>宇野ユキアキ</v>
      </c>
      <c r="I802" s="31" t="str">
        <f>IFERROR(__xludf.DUMMYFUNCTION("""COMPUTED_VALUE"""),"BL")</f>
        <v>BL</v>
      </c>
      <c r="J802" s="31"/>
      <c r="K802" s="31"/>
      <c r="L802" s="31" t="str">
        <f>IFERROR(__xludf.DUMMYFUNCTION("""COMPUTED_VALUE"""),"from RED")</f>
        <v>from RED</v>
      </c>
      <c r="M802" s="23">
        <f>IFERROR(__xludf.DUMMYFUNCTION("""COMPUTED_VALUE"""),45240.0)</f>
        <v>45240</v>
      </c>
      <c r="N802" s="23">
        <f>IFERROR(__xludf.DUMMYFUNCTION("""COMPUTED_VALUE"""),45302.70833333333)</f>
        <v>45302.70833</v>
      </c>
      <c r="O802" s="20"/>
      <c r="P802" s="32" t="str">
        <f>IFERROR(__xludf.DUMMYFUNCTION("""COMPUTED_VALUE"""),"可")</f>
        <v>可</v>
      </c>
      <c r="Q802" s="30"/>
      <c r="R802" s="31"/>
      <c r="S802" s="31" t="str">
        <f>IFERROR(__xludf.DUMMYFUNCTION("""COMPUTED_VALUE"""),"20231017_シュークリーム_薄明に充ちる")</f>
        <v>20231017_シュークリーム_薄明に充ちる</v>
      </c>
      <c r="T802" s="31" t="str">
        <f>IFERROR(__xludf.DUMMYFUNCTION("""COMPUTED_VALUE"""),"格納済み")</f>
        <v>格納済み</v>
      </c>
      <c r="U802" s="15" t="str">
        <f>IFERROR(__xludf.DUMMYFUNCTION("""COMPUTED_VALUE"""),"（C）宇野ユキアキ/from RED")</f>
        <v>（C）宇野ユキアキ/from RED</v>
      </c>
      <c r="V802" s="8" t="str">
        <f>IFERROR(__xludf.DUMMYFUNCTION("""COMPUTED_VALUE"""),"申家の末弟・申鳳は、幼馴染であり師匠のような存在の宵星を幼い頃からずっと慕っている。
強く美しく、凛とした宵星に憧れと信頼を寄せてきた申鳳は、いつか申家で一番強くなって宵星に勝つという約束を交わしていた。
しかしその約束が果たされることはなく……ある事がきっかけで、申家と宵家の間に諍いが起こってしまう。
両家の争いに巻き込まれ、互いに刃を向けなければならない状況に陥った申鳳と宵星。
宵家の唯一の生き残りとなった宵星と戦うことを拒んだ申鳳は宵星を逃し、二人の道は違えてしまうことになるのだった――…。
数十年"&amp;"後、申家の当主である父が殺されたという知らせが申鳳に届く。
届いた手紙には、当主暗殺の事件に宵星が関わっている可能性があると記されており、申鳳は慌てて実家に戻ることに。
するとそこには、もう二度と会うことはないかもしれないと思っていた宵星の姿があって……。
師弟×幼馴染×年齢差悠久の刻を超えた再会ファンタジーBL、開幕！")</f>
        <v>申家の末弟・申鳳は、幼馴染であり師匠のような存在の宵星を幼い頃からずっと慕っている。
強く美しく、凛とした宵星に憧れと信頼を寄せてきた申鳳は、いつか申家で一番強くなって宵星に勝つという約束を交わしていた。
しかしその約束が果たされることはなく……ある事がきっかけで、申家と宵家の間に諍いが起こってしまう。
両家の争いに巻き込まれ、互いに刃を向けなければならない状況に陥った申鳳と宵星。
宵家の唯一の生き残りとなった宵星と戦うことを拒んだ申鳳は宵星を逃し、二人の道は違えてしまうことになるのだった――…。
数十年後、申家の当主である父が殺されたという知らせが申鳳に届く。
届いた手紙には、当主暗殺の事件に宵星が関わっている可能性があると記されており、申鳳は慌てて実家に戻ることに。
するとそこには、もう二度と会うことはないかもしれないと思っていた宵星の姿があって……。
師弟×幼馴染×年齢差悠久の刻を超えた再会ファンタジーBL、開幕！</v>
      </c>
      <c r="W802" s="14"/>
      <c r="X802" s="14" t="str">
        <f>IFERROR(__xludf.DUMMYFUNCTION("""COMPUTED_VALUE"""),"有
")</f>
        <v>有
</v>
      </c>
      <c r="Y802" s="8" t="str">
        <f>IFERROR(__xludf.DUMMYFUNCTION("""COMPUTED_VALUE"""),"P10まで")</f>
        <v>P10まで</v>
      </c>
      <c r="Z802" s="7"/>
      <c r="AA802" s="7"/>
      <c r="AB802" s="7"/>
    </row>
    <row r="803" ht="15.75" customHeight="1">
      <c r="A803" s="26">
        <f>IFERROR(__xludf.DUMMYFUNCTION("""COMPUTED_VALUE"""),2403.0)</f>
        <v>2403</v>
      </c>
      <c r="B803" s="31" t="str">
        <f>IFERROR(__xludf.DUMMYFUNCTION("""COMPUTED_VALUE"""),"確定")</f>
        <v>確定</v>
      </c>
      <c r="C803" s="28">
        <f>IFERROR(__xludf.DUMMYFUNCTION("""COMPUTED_VALUE"""),45188.0)</f>
        <v>45188</v>
      </c>
      <c r="D803" s="28">
        <f>IFERROR(__xludf.DUMMYFUNCTION("""COMPUTED_VALUE"""),45212.0)</f>
        <v>45212</v>
      </c>
      <c r="E803" s="31">
        <f>IFERROR(__xludf.DUMMYFUNCTION("""COMPUTED_VALUE"""),279908.0)</f>
        <v>279908</v>
      </c>
      <c r="F803" s="31" t="str">
        <f>IFERROR(__xludf.DUMMYFUNCTION("""COMPUTED_VALUE"""),"【ラブフリック】俺だけに甘えてよ～年下幼馴染の純愛は、重くて深い～")</f>
        <v>【ラブフリック】俺だけに甘えてよ～年下幼馴染の純愛は、重くて深い～</v>
      </c>
      <c r="G803" s="11" t="str">
        <f>IFERROR(__xludf.DUMMYFUNCTION("""COMPUTED_VALUE"""),"1～2")</f>
        <v>1～2</v>
      </c>
      <c r="H803" s="31" t="str">
        <f>IFERROR(__xludf.DUMMYFUNCTION("""COMPUTED_VALUE"""),"しおり")</f>
        <v>しおり</v>
      </c>
      <c r="I803" s="31" t="str">
        <f>IFERROR(__xludf.DUMMYFUNCTION("""COMPUTED_VALUE"""),"TL")</f>
        <v>TL</v>
      </c>
      <c r="J803" s="31"/>
      <c r="K803" s="31"/>
      <c r="L803" s="31" t="str">
        <f>IFERROR(__xludf.DUMMYFUNCTION("""COMPUTED_VALUE"""),"CLLENN")</f>
        <v>CLLENN</v>
      </c>
      <c r="M803" s="23">
        <f>IFERROR(__xludf.DUMMYFUNCTION("""COMPUTED_VALUE"""),45245.0)</f>
        <v>45245</v>
      </c>
      <c r="N803" s="23">
        <f>IFERROR(__xludf.DUMMYFUNCTION("""COMPUTED_VALUE"""),45307.0)</f>
        <v>45307</v>
      </c>
      <c r="O803" s="20"/>
      <c r="P803" s="32" t="str">
        <f>IFERROR(__xludf.DUMMYFUNCTION("""COMPUTED_VALUE"""),"可")</f>
        <v>可</v>
      </c>
      <c r="Q803" s="31"/>
      <c r="R803" s="31" t="str">
        <f>IFERROR(__xludf.DUMMYFUNCTION("""COMPUTED_VALUE"""),"格納済")</f>
        <v>格納済</v>
      </c>
      <c r="S803" s="31" t="str">
        <f>IFERROR(__xludf.DUMMYFUNCTION("""COMPUTED_VALUE"""),"20231011_CLLENN_俺だけに甘えてよ～年下幼馴染の純愛は、重くて深い～")</f>
        <v>20231011_CLLENN_俺だけに甘えてよ～年下幼馴染の純愛は、重くて深い～</v>
      </c>
      <c r="T803" s="31" t="str">
        <f>IFERROR(__xludf.DUMMYFUNCTION("""COMPUTED_VALUE"""),"校了済素材/格納済み")</f>
        <v>校了済素材/格納済み</v>
      </c>
      <c r="U803" s="15" t="str">
        <f>IFERROR(__xludf.DUMMYFUNCTION("""COMPUTED_VALUE"""),"ⓒしおり/CLLENN")</f>
        <v>ⓒしおり/CLLENN</v>
      </c>
      <c r="V803" s="8" t="str">
        <f>IFERROR(__xludf.DUMMYFUNCTION("""COMPUTED_VALUE"""),"「俺だったら、咲良をもっと満足させてあげられる」――だめ…湊は幼馴染なのに…どうしてこんなに感じちゃうの!? ◆辻咲良（つじ・さくら）24歳、いたって普通の会社員です。他人と違うところといえば、性欲がちょっと強めなぐらい…？実は昨夜も「性欲強すぎ」と、私が絶倫なせいで彼氏にフラれてしまいました（泣）。そんな傷心中の私をいつも優しく慰めてくれるのは、幼馴染の湊（みなと）。幼い頃からずっと一緒で、今でもマンションの部屋が隣同士という腐れ縁ぶり。私より２つ年下だけど、しっかりしてるし料理もできるし、いつも私に優"&amp;"しい。今日もフラれた心を癒してもらおうと、湊と飲んでいたんだけど、急にベッドに押し倒されて…!?「俺にしておかない？ 俺だったら毎日セックスできるよ」突然そんなこと言うなんて…湊…どうしちゃったの!? ねっとりと熱いキスをされて、私を甘やかすように逞しい腕で抱きしめられて、何度も何度も湊の指でイかされて…。私、セックス強いはずなのに…感じすぎてもう限界――！！ ◆初恋重めのこじらせ幼馴染×性欲強めの愛されたがり女子、絶倫同士の純愛ラブストーリー！")</f>
        <v>「俺だったら、咲良をもっと満足させてあげられる」――だめ…湊は幼馴染なのに…どうしてこんなに感じちゃうの!? ◆辻咲良（つじ・さくら）24歳、いたって普通の会社員です。他人と違うところといえば、性欲がちょっと強めなぐらい…？実は昨夜も「性欲強すぎ」と、私が絶倫なせいで彼氏にフラれてしまいました（泣）。そんな傷心中の私をいつも優しく慰めてくれるのは、幼馴染の湊（みなと）。幼い頃からずっと一緒で、今でもマンションの部屋が隣同士という腐れ縁ぶり。私より２つ年下だけど、しっかりしてるし料理もできるし、いつも私に優しい。今日もフラれた心を癒してもらおうと、湊と飲んでいたんだけど、急にベッドに押し倒されて…!?「俺にしておかない？ 俺だったら毎日セックスできるよ」突然そんなこと言うなんて…湊…どうしちゃったの!? ねっとりと熱いキスをされて、私を甘やかすように逞しい腕で抱きしめられて、何度も何度も湊の指でイかされて…。私、セックス強いはずなのに…感じすぎてもう限界――！！ ◆初恋重めのこじらせ幼馴染×性欲強めの愛されたがり女子、絶倫同士の純愛ラブストーリー！</v>
      </c>
      <c r="W803" s="14"/>
      <c r="X803" s="14" t="str">
        <f>IFERROR(__xludf.DUMMYFUNCTION("""COMPUTED_VALUE"""),"有
")</f>
        <v>有
</v>
      </c>
      <c r="Y803" s="8" t="str">
        <f>IFERROR(__xludf.DUMMYFUNCTION("""COMPUTED_VALUE"""),"P10まで")</f>
        <v>P10まで</v>
      </c>
      <c r="Z803" s="7"/>
      <c r="AA803" s="7"/>
      <c r="AB803" s="7"/>
    </row>
    <row r="804" ht="15.75" customHeight="1">
      <c r="A804" s="26">
        <f>IFERROR(__xludf.DUMMYFUNCTION("""COMPUTED_VALUE"""),2433.0)</f>
        <v>2433</v>
      </c>
      <c r="B804" s="31" t="str">
        <f>IFERROR(__xludf.DUMMYFUNCTION("""COMPUTED_VALUE"""),"確定")</f>
        <v>確定</v>
      </c>
      <c r="C804" s="28">
        <f>IFERROR(__xludf.DUMMYFUNCTION("""COMPUTED_VALUE"""),45194.0)</f>
        <v>45194</v>
      </c>
      <c r="D804" s="28">
        <f>IFERROR(__xludf.DUMMYFUNCTION("""COMPUTED_VALUE"""),45216.0)</f>
        <v>45216</v>
      </c>
      <c r="E804" s="31">
        <f>IFERROR(__xludf.DUMMYFUNCTION("""COMPUTED_VALUE"""),281631.0)</f>
        <v>281631</v>
      </c>
      <c r="F804" s="31" t="str">
        <f>IFERROR(__xludf.DUMMYFUNCTION("""COMPUTED_VALUE"""),"ブラ恋～よせてあげてもズレてる二人～【分冊版】")</f>
        <v>ブラ恋～よせてあげてもズレてる二人～【分冊版】</v>
      </c>
      <c r="G804" s="16" t="str">
        <f>IFERROR(__xludf.DUMMYFUNCTION("""COMPUTED_VALUE"""),"1～4")</f>
        <v>1～4</v>
      </c>
      <c r="H804" s="31" t="str">
        <f>IFERROR(__xludf.DUMMYFUNCTION("""COMPUTED_VALUE"""),"餅月はるか")</f>
        <v>餅月はるか</v>
      </c>
      <c r="I804" s="31" t="str">
        <f>IFERROR(__xludf.DUMMYFUNCTION("""COMPUTED_VALUE"""),"少女")</f>
        <v>少女</v>
      </c>
      <c r="J804" s="31"/>
      <c r="K804" s="31"/>
      <c r="L804" s="31" t="str">
        <f>IFERROR(__xludf.DUMMYFUNCTION("""COMPUTED_VALUE"""),"スクウェア・エニックス")</f>
        <v>スクウェア・エニックス</v>
      </c>
      <c r="M804" s="23">
        <f>IFERROR(__xludf.DUMMYFUNCTION("""COMPUTED_VALUE"""),45256.0)</f>
        <v>45256</v>
      </c>
      <c r="N804" s="23">
        <f>IFERROR(__xludf.DUMMYFUNCTION("""COMPUTED_VALUE"""),45260.0)</f>
        <v>45260</v>
      </c>
      <c r="O804" s="20"/>
      <c r="P804" s="34" t="str">
        <f>IFERROR(__xludf.DUMMYFUNCTION("""COMPUTED_VALUE"""),"可")</f>
        <v>可</v>
      </c>
      <c r="Q804" s="30" t="str">
        <f>IFERROR(__xludf.DUMMYFUNCTION("""COMPUTED_VALUE"""),"広告コミットOK(9/29)")</f>
        <v>広告コミットOK(9/29)</v>
      </c>
      <c r="R804" s="31"/>
      <c r="S804" s="31" t="str">
        <f>IFERROR(__xludf.DUMMYFUNCTION("""COMPUTED_VALUE"""),"20231016_スクウェア・エニックス_ブラ恋～よせてあげてもズレてる二人～")</f>
        <v>20231016_スクウェア・エニックス_ブラ恋～よせてあげてもズレてる二人～</v>
      </c>
      <c r="T804" s="31" t="str">
        <f>IFERROR(__xludf.DUMMYFUNCTION("""COMPUTED_VALUE"""),"格納済み")</f>
        <v>格納済み</v>
      </c>
      <c r="U804" s="15" t="str">
        <f>IFERROR(__xludf.DUMMYFUNCTION("""COMPUTED_VALUE"""),"(C)Haruka Mochiduki/SQUARE ENIX")</f>
        <v>(C)Haruka Mochiduki/SQUARE ENIX</v>
      </c>
      <c r="V804" s="8" t="str">
        <f>IFERROR(__xludf.DUMMYFUNCTION("""COMPUTED_VALUE"""),"【下着デザイナーとギリギリLOVE♪】
過去の大失恋が原因で「男なんて体しか見ない」と考えるようになったOL・桜庭萌加。日々、SNSの裏アカで過激な自撮りを投稿し、男性を釣っては翻弄していたが、ある日、勤め先の超有名ランジェリーデザイナーに裏アカがバレてしまい…!?裏アカあざと女子×無遠慮ランジェリーデザイナー＝大人のぎりぎりラブゲーム開幕♪
※この商品は「ブラ恋～よせてあげてもズレてる二人～」を1話ごとに分冊したものです
")</f>
        <v>【下着デザイナーとギリギリLOVE♪】
過去の大失恋が原因で「男なんて体しか見ない」と考えるようになったOL・桜庭萌加。日々、SNSの裏アカで過激な自撮りを投稿し、男性を釣っては翻弄していたが、ある日、勤め先の超有名ランジェリーデザイナーに裏アカがバレてしまい…!?裏アカあざと女子×無遠慮ランジェリーデザイナー＝大人のぎりぎりラブゲーム開幕♪
※この商品は「ブラ恋～よせてあげてもズレてる二人～」を1話ごとに分冊したものです
</v>
      </c>
      <c r="W804" s="14"/>
      <c r="X804" s="14" t="str">
        <f>IFERROR(__xludf.DUMMYFUNCTION("""COMPUTED_VALUE"""),"有
")</f>
        <v>有
</v>
      </c>
      <c r="Y804" s="8" t="str">
        <f>IFERROR(__xludf.DUMMYFUNCTION("""COMPUTED_VALUE"""),"P6まで")</f>
        <v>P6まで</v>
      </c>
      <c r="Z804" s="7"/>
      <c r="AA804" s="7"/>
      <c r="AB804" s="7"/>
    </row>
    <row r="805" ht="15.75" customHeight="1">
      <c r="A805" s="26">
        <f>IFERROR(__xludf.DUMMYFUNCTION("""COMPUTED_VALUE"""),2434.0)</f>
        <v>2434</v>
      </c>
      <c r="B805" s="31" t="str">
        <f>IFERROR(__xludf.DUMMYFUNCTION("""COMPUTED_VALUE"""),"確定")</f>
        <v>確定</v>
      </c>
      <c r="C805" s="28">
        <f>IFERROR(__xludf.DUMMYFUNCTION("""COMPUTED_VALUE"""),45194.0)</f>
        <v>45194</v>
      </c>
      <c r="D805" s="28">
        <f>IFERROR(__xludf.DUMMYFUNCTION("""COMPUTED_VALUE"""),45216.0)</f>
        <v>45216</v>
      </c>
      <c r="E805" s="31">
        <f>IFERROR(__xludf.DUMMYFUNCTION("""COMPUTED_VALUE"""),281644.0)</f>
        <v>281644</v>
      </c>
      <c r="F805" s="31" t="str">
        <f>IFERROR(__xludf.DUMMYFUNCTION("""COMPUTED_VALUE"""),"後宮医妃伝")</f>
        <v>後宮医妃伝</v>
      </c>
      <c r="G805" s="16" t="str">
        <f>IFERROR(__xludf.DUMMYFUNCTION("""COMPUTED_VALUE"""),"1～4")</f>
        <v>1～4</v>
      </c>
      <c r="H805" s="31" t="str">
        <f>IFERROR(__xludf.DUMMYFUNCTION("""COMPUTED_VALUE"""),"原作：涙鳴 漫画：やもり四季。 キャラクター原案：漣ミサ ネーム構成：嶋")</f>
        <v>原作：涙鳴 漫画：やもり四季。 キャラクター原案：漣ミサ ネーム構成：嶋</v>
      </c>
      <c r="I805" s="31" t="str">
        <f>IFERROR(__xludf.DUMMYFUNCTION("""COMPUTED_VALUE"""),"少女")</f>
        <v>少女</v>
      </c>
      <c r="J805" s="31"/>
      <c r="K805" s="31"/>
      <c r="L805" s="31" t="str">
        <f>IFERROR(__xludf.DUMMYFUNCTION("""COMPUTED_VALUE"""),"スクウェア・エニックス")</f>
        <v>スクウェア・エニックス</v>
      </c>
      <c r="M805" s="23">
        <f>IFERROR(__xludf.DUMMYFUNCTION("""COMPUTED_VALUE"""),45261.0)</f>
        <v>45261</v>
      </c>
      <c r="N805" s="23">
        <f>IFERROR(__xludf.DUMMYFUNCTION("""COMPUTED_VALUE"""),45322.0)</f>
        <v>45322</v>
      </c>
      <c r="O805" s="20"/>
      <c r="P805" s="34" t="str">
        <f>IFERROR(__xludf.DUMMYFUNCTION("""COMPUTED_VALUE"""),"否")</f>
        <v>否</v>
      </c>
      <c r="Q805" s="30" t="str">
        <f>IFERROR(__xludf.DUMMYFUNCTION("""COMPUTED_VALUE"""),"広告コミットOK(9/29)&lt;BR&gt;&lt;BR&gt;当初1～3巻初回配信予定でしたが、1～4巻になりました。&lt;BR&gt;コピーライト短縮形も記載します&lt;BR&gt;(C)Ruina&lt;BR&gt;(C)SY/SQEX&lt;BR&gt;(C)Shima/SQEX")</f>
        <v>広告コミットOK(9/29)&lt;BR&gt;&lt;BR&gt;当初1～3巻初回配信予定でしたが、1～4巻になりました。&lt;BR&gt;コピーライト短縮形も記載します&lt;BR&gt;(C)Ruina&lt;BR&gt;(C)SY/SQEX&lt;BR&gt;(C)Shima/SQEX</v>
      </c>
      <c r="R805" s="31"/>
      <c r="S805" s="31" t="str">
        <f>IFERROR(__xludf.DUMMYFUNCTION("""COMPUTED_VALUE"""),"20231016_スクウェア・エニックス_後宮医妃伝")</f>
        <v>20231016_スクウェア・エニックス_後宮医妃伝</v>
      </c>
      <c r="T805" s="31" t="str">
        <f>IFERROR(__xludf.DUMMYFUNCTION("""COMPUTED_VALUE"""),"格納済み")</f>
        <v>格納済み</v>
      </c>
      <c r="U805" s="15" t="str">
        <f>IFERROR(__xludf.DUMMYFUNCTION("""COMPUTED_VALUE"""),"(C)Ruina (C)Shiki Yamori/SQUARE ENIX (C)Shima/SQUARE ENIX")</f>
        <v>(C)Ruina (C)Shiki Yamori/SQUARE ENIX (C)Shima/SQUARE ENIX</v>
      </c>
      <c r="V805" s="8" t="str">
        <f>IFERROR(__xludf.DUMMYFUNCTION("""COMPUTED_VALUE"""),"【平凡な看護師が、転生して後宮の妃に…!?カタブツ皇子の寵愛に翻弄される転生後宮ラブファンタジー!!】
ある理由で命を落とし、後宮の時代「雪華国」へと転生した元看護士の白井 蘭。前世の記憶と医療の知識を用いて病人を救う彼女は、いつしか特別な力を持つ“医仙”として崇められ、その噂を聞きつけた雪華国の皇子・琥劉に連れ去られてしまう。聞けば、ワケありの病を持つ琥劉。彼の病気を治すため、“偽りの妃”として後宮入りするも、治療をするうちに二人は惹かれ合い、蘭は琥劉の寵愛を受けるようになって――!?
※この商品は"&amp;"「後宮医妃伝」を1話ごとに分冊したものです。
(C)Ruina (C)2024 Shiki Yamori (C)2024 Shima")</f>
        <v>【平凡な看護師が、転生して後宮の妃に…!?カタブツ皇子の寵愛に翻弄される転生後宮ラブファンタジー!!】
ある理由で命を落とし、後宮の時代「雪華国」へと転生した元看護士の白井 蘭。前世の記憶と医療の知識を用いて病人を救う彼女は、いつしか特別な力を持つ“医仙”として崇められ、その噂を聞きつけた雪華国の皇子・琥劉に連れ去られてしまう。聞けば、ワケありの病を持つ琥劉。彼の病気を治すため、“偽りの妃”として後宮入りするも、治療をするうちに二人は惹かれ合い、蘭は琥劉の寵愛を受けるようになって――!?
※この商品は「後宮医妃伝」を1話ごとに分冊したものです。
(C)Ruina (C)2024 Shiki Yamori (C)2024 Shima</v>
      </c>
      <c r="W805" s="14"/>
      <c r="X805" s="14" t="str">
        <f>IFERROR(__xludf.DUMMYFUNCTION("""COMPUTED_VALUE"""),"有")</f>
        <v>有</v>
      </c>
      <c r="Y805" s="8" t="str">
        <f>IFERROR(__xludf.DUMMYFUNCTION("""COMPUTED_VALUE"""),"2023/12/31まで１巻無料")</f>
        <v>2023/12/31まで１巻無料</v>
      </c>
      <c r="Z805" s="7"/>
      <c r="AA805" s="7"/>
      <c r="AB805" s="7"/>
    </row>
    <row r="806" ht="15.75" customHeight="1">
      <c r="A806" s="26">
        <f>IFERROR(__xludf.DUMMYFUNCTION("""COMPUTED_VALUE"""),2441.0)</f>
        <v>2441</v>
      </c>
      <c r="B806" s="31" t="str">
        <f>IFERROR(__xludf.DUMMYFUNCTION("""COMPUTED_VALUE"""),"確定")</f>
        <v>確定</v>
      </c>
      <c r="C806" s="28">
        <f>IFERROR(__xludf.DUMMYFUNCTION("""COMPUTED_VALUE"""),45196.0)</f>
        <v>45196</v>
      </c>
      <c r="D806" s="28">
        <f>IFERROR(__xludf.DUMMYFUNCTION("""COMPUTED_VALUE"""),45216.0)</f>
        <v>45216</v>
      </c>
      <c r="E806" s="31">
        <f>IFERROR(__xludf.DUMMYFUNCTION("""COMPUTED_VALUE"""),279695.0)</f>
        <v>279695</v>
      </c>
      <c r="F806" s="31" t="str">
        <f>IFERROR(__xludf.DUMMYFUNCTION("""COMPUTED_VALUE"""),"きみとだから恋になる【分冊版】")</f>
        <v>きみとだから恋になる【分冊版】</v>
      </c>
      <c r="G806" s="20">
        <f>IFERROR(__xludf.DUMMYFUNCTION("""COMPUTED_VALUE"""),1.0)</f>
        <v>1</v>
      </c>
      <c r="H806" s="31" t="str">
        <f>IFERROR(__xludf.DUMMYFUNCTION("""COMPUTED_VALUE"""),"麦生まいこ")</f>
        <v>麦生まいこ</v>
      </c>
      <c r="I806" s="31" t="str">
        <f>IFERROR(__xludf.DUMMYFUNCTION("""COMPUTED_VALUE"""),"BL")</f>
        <v>BL</v>
      </c>
      <c r="J806" s="31"/>
      <c r="K806" s="31"/>
      <c r="L806" s="31" t="str">
        <f>IFERROR(__xludf.DUMMYFUNCTION("""COMPUTED_VALUE"""),"笠倉出版社")</f>
        <v>笠倉出版社</v>
      </c>
      <c r="M806" s="23">
        <f>IFERROR(__xludf.DUMMYFUNCTION("""COMPUTED_VALUE"""),45240.0)</f>
        <v>45240</v>
      </c>
      <c r="N806" s="33">
        <f>IFERROR(__xludf.DUMMYFUNCTION("""COMPUTED_VALUE"""),45267.0)</f>
        <v>45267</v>
      </c>
      <c r="O806" s="20"/>
      <c r="P806" s="32" t="str">
        <f>IFERROR(__xludf.DUMMYFUNCTION("""COMPUTED_VALUE"""),"可")</f>
        <v>可</v>
      </c>
      <c r="Q806" s="30"/>
      <c r="R806" s="31"/>
      <c r="S806" s="31" t="str">
        <f>IFERROR(__xludf.DUMMYFUNCTION("""COMPUTED_VALUE"""),"20231016_笠倉出版社_きみとだから恋になる【分冊版】")</f>
        <v>20231016_笠倉出版社_きみとだから恋になる【分冊版】</v>
      </c>
      <c r="T806" s="31" t="str">
        <f>IFERROR(__xludf.DUMMYFUNCTION("""COMPUTED_VALUE"""),"格納済み")</f>
        <v>格納済み</v>
      </c>
      <c r="U806" s="15" t="str">
        <f>IFERROR(__xludf.DUMMYFUNCTION("""COMPUTED_VALUE"""),"©麦生まいこ/笠倉出版社")</f>
        <v>©麦生まいこ/笠倉出版社</v>
      </c>
      <c r="V806" s="8" t="str">
        <f>IFERROR(__xludf.DUMMYFUNCTION("""COMPUTED_VALUE"""),"幼なじみで小さい頃からいつも一緒な矢野と辺見。けれど矢野へ恋心を抱く辺見は、高校では距離を取るようにしていた。ゲイだと周囲にバレるのも、本人に気持ちを知られるのも怖いから。だからこそ自分では普通の距離感を維持していると思っていた。そんなある日、矢野が自分の気持ちに気づいていることを知ってしまい…！？一方的な片想いだったはずなのに…！？【爽やかイケメンなダメ系男子×恋に臆病なこじらせ男子】の幼なじみＢＬ！※本作品はWEB雑誌「equal」に収録されています。重複購入にご注意ください。")</f>
        <v>幼なじみで小さい頃からいつも一緒な矢野と辺見。けれど矢野へ恋心を抱く辺見は、高校では距離を取るようにしていた。ゲイだと周囲にバレるのも、本人に気持ちを知られるのも怖いから。だからこそ自分では普通の距離感を維持していると思っていた。そんなある日、矢野が自分の気持ちに気づいていることを知ってしまい…！？一方的な片想いだったはずなのに…！？【爽やかイケメンなダメ系男子×恋に臆病なこじらせ男子】の幼なじみＢＬ！※本作品はWEB雑誌「equal」に収録されています。重複購入にご注意ください。</v>
      </c>
      <c r="W806" s="14"/>
      <c r="X806" s="14" t="str">
        <f>IFERROR(__xludf.DUMMYFUNCTION("""COMPUTED_VALUE"""),"有
")</f>
        <v>有
</v>
      </c>
      <c r="Y806" s="8" t="str">
        <f>IFERROR(__xludf.DUMMYFUNCTION("""COMPUTED_VALUE"""),"P8まで")</f>
        <v>P8まで</v>
      </c>
      <c r="Z806" s="7"/>
      <c r="AA806" s="7"/>
      <c r="AB806" s="7"/>
    </row>
    <row r="807" ht="15.75" customHeight="1">
      <c r="A807" s="26">
        <f>IFERROR(__xludf.DUMMYFUNCTION("""COMPUTED_VALUE"""),2442.0)</f>
        <v>2442</v>
      </c>
      <c r="B807" s="31" t="str">
        <f>IFERROR(__xludf.DUMMYFUNCTION("""COMPUTED_VALUE"""),"確定")</f>
        <v>確定</v>
      </c>
      <c r="C807" s="28">
        <f>IFERROR(__xludf.DUMMYFUNCTION("""COMPUTED_VALUE"""),45196.0)</f>
        <v>45196</v>
      </c>
      <c r="D807" s="28">
        <f>IFERROR(__xludf.DUMMYFUNCTION("""COMPUTED_VALUE"""),45216.0)</f>
        <v>45216</v>
      </c>
      <c r="E807" s="31">
        <f>IFERROR(__xludf.DUMMYFUNCTION("""COMPUTED_VALUE"""),279696.0)</f>
        <v>279696</v>
      </c>
      <c r="F807" s="31" t="str">
        <f>IFERROR(__xludf.DUMMYFUNCTION("""COMPUTED_VALUE"""),"恋愛偏差値回想録【分冊版】")</f>
        <v>恋愛偏差値回想録【分冊版】</v>
      </c>
      <c r="G807" s="11" t="str">
        <f>IFERROR(__xludf.DUMMYFUNCTION("""COMPUTED_VALUE"""),"1～2")</f>
        <v>1～2</v>
      </c>
      <c r="H807" s="31" t="str">
        <f>IFERROR(__xludf.DUMMYFUNCTION("""COMPUTED_VALUE"""),"しなちゃそ")</f>
        <v>しなちゃそ</v>
      </c>
      <c r="I807" s="31" t="str">
        <f>IFERROR(__xludf.DUMMYFUNCTION("""COMPUTED_VALUE"""),"BL")</f>
        <v>BL</v>
      </c>
      <c r="J807" s="31"/>
      <c r="K807" s="31"/>
      <c r="L807" s="31" t="str">
        <f>IFERROR(__xludf.DUMMYFUNCTION("""COMPUTED_VALUE"""),"笠倉出版社")</f>
        <v>笠倉出版社</v>
      </c>
      <c r="M807" s="23">
        <f>IFERROR(__xludf.DUMMYFUNCTION("""COMPUTED_VALUE"""),45240.0)</f>
        <v>45240</v>
      </c>
      <c r="N807" s="33">
        <f>IFERROR(__xludf.DUMMYFUNCTION("""COMPUTED_VALUE"""),45267.0)</f>
        <v>45267</v>
      </c>
      <c r="O807" s="20"/>
      <c r="P807" s="32" t="str">
        <f>IFERROR(__xludf.DUMMYFUNCTION("""COMPUTED_VALUE"""),"可")</f>
        <v>可</v>
      </c>
      <c r="Q807" s="30"/>
      <c r="R807" s="31"/>
      <c r="S807" s="31" t="str">
        <f>IFERROR(__xludf.DUMMYFUNCTION("""COMPUTED_VALUE"""),"20231016_笠倉出版社_恋愛偏差値回想録【分冊版】")</f>
        <v>20231016_笠倉出版社_恋愛偏差値回想録【分冊版】</v>
      </c>
      <c r="T807" s="31" t="str">
        <f>IFERROR(__xludf.DUMMYFUNCTION("""COMPUTED_VALUE"""),"格納済み")</f>
        <v>格納済み</v>
      </c>
      <c r="U807" s="15" t="str">
        <f>IFERROR(__xludf.DUMMYFUNCTION("""COMPUTED_VALUE"""),"©しなちゃそ/笠倉出版社")</f>
        <v>©しなちゃそ/笠倉出版社</v>
      </c>
      <c r="V807" s="8" t="str">
        <f>IFERROR(__xludf.DUMMYFUNCTION("""COMPUTED_VALUE"""),"三十路になり、級友たちとの同窓会。昔話に花を咲かせる楠井だったが、実はふと思い出してしまう存在が…。当時付き合っていた同級生の千鶴和だった。小柄で笑顔が可愛い奴で、自分にとって初恋。初めてできた恋人でもあり、忘れようとしても忘れられない存在。一人懐かしむ中、同級生がたまたま職場で知り合って誘ったと言って千鶴和を連れてきて…！？十年以上ぶりに再会した元恋人との再会＆やり直しラブ。同人誌『恋愛偏差値回想録』を商業＆連載化!!※本作品はWEB雑誌「equal」に収録されています。重複購入にご注意ください。※こち"&amp;"らの作品は同人誌版として配信していた『恋愛偏差値回想録』に加筆修正し商業誌版として配信している作品となります。")</f>
        <v>三十路になり、級友たちとの同窓会。昔話に花を咲かせる楠井だったが、実はふと思い出してしまう存在が…。当時付き合っていた同級生の千鶴和だった。小柄で笑顔が可愛い奴で、自分にとって初恋。初めてできた恋人でもあり、忘れようとしても忘れられない存在。一人懐かしむ中、同級生がたまたま職場で知り合って誘ったと言って千鶴和を連れてきて…！？十年以上ぶりに再会した元恋人との再会＆やり直しラブ。同人誌『恋愛偏差値回想録』を商業＆連載化!!※本作品はWEB雑誌「equal」に収録されています。重複購入にご注意ください。※こちらの作品は同人誌版として配信していた『恋愛偏差値回想録』に加筆修正し商業誌版として配信している作品となります。</v>
      </c>
      <c r="W807" s="14"/>
      <c r="X807" s="14" t="str">
        <f>IFERROR(__xludf.DUMMYFUNCTION("""COMPUTED_VALUE"""),"有
")</f>
        <v>有
</v>
      </c>
      <c r="Y807" s="8" t="str">
        <f>IFERROR(__xludf.DUMMYFUNCTION("""COMPUTED_VALUE"""),"P10まで")</f>
        <v>P10まで</v>
      </c>
      <c r="Z807" s="7"/>
      <c r="AA807" s="7"/>
      <c r="AB807" s="7"/>
    </row>
    <row r="808" ht="15.75" customHeight="1">
      <c r="A808" s="26">
        <f>IFERROR(__xludf.DUMMYFUNCTION("""COMPUTED_VALUE"""),2445.0)</f>
        <v>2445</v>
      </c>
      <c r="B808" s="31" t="str">
        <f>IFERROR(__xludf.DUMMYFUNCTION("""COMPUTED_VALUE"""),"確定")</f>
        <v>確定</v>
      </c>
      <c r="C808" s="28">
        <f>IFERROR(__xludf.DUMMYFUNCTION("""COMPUTED_VALUE"""),45197.0)</f>
        <v>45197</v>
      </c>
      <c r="D808" s="28">
        <f>IFERROR(__xludf.DUMMYFUNCTION("""COMPUTED_VALUE"""),45212.0)</f>
        <v>45212</v>
      </c>
      <c r="E808" s="31">
        <f>IFERROR(__xludf.DUMMYFUNCTION("""COMPUTED_VALUE"""),279324.0)</f>
        <v>279324</v>
      </c>
      <c r="F808" s="31" t="str">
        <f>IFERROR(__xludf.DUMMYFUNCTION("""COMPUTED_VALUE"""),"落ちこぼれローゼは吸血貴族の寵愛に染まる")</f>
        <v>落ちこぼれローゼは吸血貴族の寵愛に染まる</v>
      </c>
      <c r="G808" s="11" t="str">
        <f>IFERROR(__xludf.DUMMYFUNCTION("""COMPUTED_VALUE"""),"1～2")</f>
        <v>1～2</v>
      </c>
      <c r="H808" s="31" t="str">
        <f>IFERROR(__xludf.DUMMYFUNCTION("""COMPUTED_VALUE"""),"なるせまこと")</f>
        <v>なるせまこと</v>
      </c>
      <c r="I808" s="31" t="str">
        <f>IFERROR(__xludf.DUMMYFUNCTION("""COMPUTED_VALUE"""),"TL")</f>
        <v>TL</v>
      </c>
      <c r="J808" s="31"/>
      <c r="K808" s="31"/>
      <c r="L808" s="31" t="str">
        <f>IFERROR(__xludf.DUMMYFUNCTION("""COMPUTED_VALUE"""),"CLLENN")</f>
        <v>CLLENN</v>
      </c>
      <c r="M808" s="23">
        <f>IFERROR(__xludf.DUMMYFUNCTION("""COMPUTED_VALUE"""),45234.0)</f>
        <v>45234</v>
      </c>
      <c r="N808" s="23">
        <f>IFERROR(__xludf.DUMMYFUNCTION("""COMPUTED_VALUE"""),45261.0)</f>
        <v>45261</v>
      </c>
      <c r="O808" s="20"/>
      <c r="P808" s="32" t="str">
        <f>IFERROR(__xludf.DUMMYFUNCTION("""COMPUTED_VALUE"""),"可")</f>
        <v>可</v>
      </c>
      <c r="Q808" s="31"/>
      <c r="R808" s="31" t="str">
        <f>IFERROR(__xludf.DUMMYFUNCTION("""COMPUTED_VALUE"""),"格納済")</f>
        <v>格納済</v>
      </c>
      <c r="S808" s="31" t="str">
        <f>IFERROR(__xludf.DUMMYFUNCTION("""COMPUTED_VALUE"""),"20231011_CLLENN_落ちこぼれローゼは吸血貴族の寵愛に染まる")</f>
        <v>20231011_CLLENN_落ちこぼれローゼは吸血貴族の寵愛に染まる</v>
      </c>
      <c r="T808" s="31" t="str">
        <f>IFERROR(__xludf.DUMMYFUNCTION("""COMPUTED_VALUE"""),"校了済素材/格納済み")</f>
        <v>校了済素材/格納済み</v>
      </c>
      <c r="U808" s="15" t="str">
        <f>IFERROR(__xludf.DUMMYFUNCTION("""COMPUTED_VALUE"""),"（C)なるせまこと/CLLENN")</f>
        <v>（C)なるせまこと/CLLENN</v>
      </c>
      <c r="V808" s="8" t="str">
        <f>IFERROR(__xludf.DUMMYFUNCTION("""COMPUTED_VALUE"""),"「俺たちが人間を吸血するとそうなる」噛み痕に優しく触れるくちづけ、発情する肌にはそれすら快感で―…。貧しい農家の娘・エマは病弱な母と弟妹を支えるばかりの生活を送っていた。唯一の出世の道は、吸血鬼一族の使用人として祭事で選抜されること。最後の機会にも選ばれなかったエマはその夜、吸血鬼・ノルトに攫われる。そしてなぜか彼に血を捧げる役目の“ローゼ”に任命されて!?噛まれた途端に広がる甘い痺れ。丁寧な愛撫に滴るほど奥が疼いて…そんなとこまで吸われたら――。「お前が望んだんだろう、俺の役に立ちたいと」謎多き吸血貴族"&amp;"と紡ぐ、薔薇色シンデレラストーリー！")</f>
        <v>「俺たちが人間を吸血するとそうなる」噛み痕に優しく触れるくちづけ、発情する肌にはそれすら快感で―…。貧しい農家の娘・エマは病弱な母と弟妹を支えるばかりの生活を送っていた。唯一の出世の道は、吸血鬼一族の使用人として祭事で選抜されること。最後の機会にも選ばれなかったエマはその夜、吸血鬼・ノルトに攫われる。そしてなぜか彼に血を捧げる役目の“ローゼ”に任命されて!?噛まれた途端に広がる甘い痺れ。丁寧な愛撫に滴るほど奥が疼いて…そんなとこまで吸われたら――。「お前が望んだんだろう、俺の役に立ちたいと」謎多き吸血貴族と紡ぐ、薔薇色シンデレラストーリー！</v>
      </c>
      <c r="W808" s="14"/>
      <c r="X808" s="14" t="str">
        <f>IFERROR(__xludf.DUMMYFUNCTION("""COMPUTED_VALUE"""),"有
")</f>
        <v>有
</v>
      </c>
      <c r="Y808" s="8" t="str">
        <f>IFERROR(__xludf.DUMMYFUNCTION("""COMPUTED_VALUE"""),"P10まで")</f>
        <v>P10まで</v>
      </c>
      <c r="Z808" s="7"/>
      <c r="AA808" s="7"/>
      <c r="AB808" s="7"/>
    </row>
    <row r="809" ht="15.75" customHeight="1">
      <c r="A809" s="26">
        <f>IFERROR(__xludf.DUMMYFUNCTION("""COMPUTED_VALUE"""),2460.0)</f>
        <v>2460</v>
      </c>
      <c r="B809" s="31" t="str">
        <f>IFERROR(__xludf.DUMMYFUNCTION("""COMPUTED_VALUE"""),"確定")</f>
        <v>確定</v>
      </c>
      <c r="C809" s="28">
        <f>IFERROR(__xludf.DUMMYFUNCTION("""COMPUTED_VALUE"""),45203.0)</f>
        <v>45203</v>
      </c>
      <c r="D809" s="28">
        <f>IFERROR(__xludf.DUMMYFUNCTION("""COMPUTED_VALUE"""),45216.0)</f>
        <v>45216</v>
      </c>
      <c r="E809" s="31">
        <f>IFERROR(__xludf.DUMMYFUNCTION("""COMPUTED_VALUE"""),280235.0)</f>
        <v>280235</v>
      </c>
      <c r="F809" s="31" t="str">
        <f>IFERROR(__xludf.DUMMYFUNCTION("""COMPUTED_VALUE"""),"ヤンデレ王子様に愛されちゃいました【分冊版】")</f>
        <v>ヤンデレ王子様に愛されちゃいました【分冊版】</v>
      </c>
      <c r="G809" s="20" t="str">
        <f>IFERROR(__xludf.DUMMYFUNCTION("""COMPUTED_VALUE"""),"1~3")</f>
        <v>1~3</v>
      </c>
      <c r="H809" s="31" t="str">
        <f>IFERROR(__xludf.DUMMYFUNCTION("""COMPUTED_VALUE"""),"神奈アズミ")</f>
        <v>神奈アズミ</v>
      </c>
      <c r="I809" s="31" t="str">
        <f>IFERROR(__xludf.DUMMYFUNCTION("""COMPUTED_VALUE"""),"女性")</f>
        <v>女性</v>
      </c>
      <c r="J809" s="31"/>
      <c r="K809" s="31"/>
      <c r="L809" s="31" t="str">
        <f>IFERROR(__xludf.DUMMYFUNCTION("""COMPUTED_VALUE"""),"ハーパーコリンズ・ジャパン")</f>
        <v>ハーパーコリンズ・ジャパン</v>
      </c>
      <c r="M809" s="23">
        <f>IFERROR(__xludf.DUMMYFUNCTION("""COMPUTED_VALUE"""),45247.0)</f>
        <v>45247</v>
      </c>
      <c r="N809" s="23">
        <f>IFERROR(__xludf.DUMMYFUNCTION("""COMPUTED_VALUE"""),45308.0)</f>
        <v>45308</v>
      </c>
      <c r="O809" s="20"/>
      <c r="P809" s="34" t="str">
        <f>IFERROR(__xludf.DUMMYFUNCTION("""COMPUTED_VALUE"""),"可")</f>
        <v>可</v>
      </c>
      <c r="Q809" s="31" t="str">
        <f>IFERROR(__xludf.DUMMYFUNCTION("""COMPUTED_VALUE"""),"コミット不可")</f>
        <v>コミット不可</v>
      </c>
      <c r="R809" s="31" t="str">
        <f>IFERROR(__xludf.DUMMYFUNCTION("""COMPUTED_VALUE"""),"格納済")</f>
        <v>格納済</v>
      </c>
      <c r="S809" s="31" t="str">
        <f>IFERROR(__xludf.DUMMYFUNCTION("""COMPUTED_VALUE"""),"20231016_ハーパーコリンズ_ヤンデレ王子様に愛されちゃいました")</f>
        <v>20231016_ハーパーコリンズ_ヤンデレ王子様に愛されちゃいました</v>
      </c>
      <c r="T809" s="31" t="str">
        <f>IFERROR(__xludf.DUMMYFUNCTION("""COMPUTED_VALUE"""),"格納済み")</f>
        <v>格納済み</v>
      </c>
      <c r="U809" s="15" t="str">
        <f>IFERROR(__xludf.DUMMYFUNCTION("""COMPUTED_VALUE"""),"（C)神奈アズミ／ハーパーコリンズ・ジャパン")</f>
        <v>（C)神奈アズミ／ハーパーコリンズ・ジャパン</v>
      </c>
      <c r="V809" s="8" t="str">
        <f>IFERROR(__xludf.DUMMYFUNCTION("""COMPUTED_VALUE"""),"「ずっと会いたかったんだ」
甘いマスクのCEOに強引に誘われ、ドラマみたいな恋が始まる!?
超お嬢様学校を卒業しお菓子作り専門の家政婦をしている陽菜。ごく一般の家庭で育つも、周りには良家のお嬢様で恋愛も結婚も自由がない友人が多く“陽菜にはドラマみたいな恋をしてほしい”と期待を寄せられている。ロクに出会いもない陽菜だが、ある日、甘いマスクのイケメンに花束を渡される。その後も陽菜の前に現れ執着する彼は陽菜に”恋人になろう”と迫り…!?")</f>
        <v>「ずっと会いたかったんだ」
甘いマスクのCEOに強引に誘われ、ドラマみたいな恋が始まる!?
超お嬢様学校を卒業しお菓子作り専門の家政婦をしている陽菜。ごく一般の家庭で育つも、周りには良家のお嬢様で恋愛も結婚も自由がない友人が多く“陽菜にはドラマみたいな恋をしてほしい”と期待を寄せられている。ロクに出会いもない陽菜だが、ある日、甘いマスクのイケメンに花束を渡される。その後も陽菜の前に現れ執着する彼は陽菜に”恋人になろう”と迫り…!?</v>
      </c>
      <c r="W809" s="14"/>
      <c r="X809" s="14" t="str">
        <f>IFERROR(__xludf.DUMMYFUNCTION("""COMPUTED_VALUE"""),"有
")</f>
        <v>有
</v>
      </c>
      <c r="Y809" s="8" t="str">
        <f>IFERROR(__xludf.DUMMYFUNCTION("""COMPUTED_VALUE"""),"11/30まで1巻無料")</f>
        <v>11/30まで1巻無料</v>
      </c>
      <c r="Z809" s="7"/>
      <c r="AA809" s="7"/>
      <c r="AB809" s="7"/>
    </row>
    <row r="810" ht="15.75" customHeight="1">
      <c r="A810" s="26">
        <f>IFERROR(__xludf.DUMMYFUNCTION("""COMPUTED_VALUE"""),2461.0)</f>
        <v>2461</v>
      </c>
      <c r="B810" s="31" t="str">
        <f>IFERROR(__xludf.DUMMYFUNCTION("""COMPUTED_VALUE"""),"確定")</f>
        <v>確定</v>
      </c>
      <c r="C810" s="28">
        <f>IFERROR(__xludf.DUMMYFUNCTION("""COMPUTED_VALUE"""),45203.0)</f>
        <v>45203</v>
      </c>
      <c r="D810" s="28">
        <f>IFERROR(__xludf.DUMMYFUNCTION("""COMPUTED_VALUE"""),45216.0)</f>
        <v>45216</v>
      </c>
      <c r="E810" s="31">
        <f>IFERROR(__xludf.DUMMYFUNCTION("""COMPUTED_VALUE"""),280238.0)</f>
        <v>280238</v>
      </c>
      <c r="F810" s="31" t="str">
        <f>IFERROR(__xludf.DUMMYFUNCTION("""COMPUTED_VALUE"""),"婚約破棄しましたが、御曹司の愛され新妻になりました【分冊版】")</f>
        <v>婚約破棄しましたが、御曹司の愛され新妻になりました【分冊版】</v>
      </c>
      <c r="G810" s="20" t="str">
        <f>IFERROR(__xludf.DUMMYFUNCTION("""COMPUTED_VALUE"""),"1~3")</f>
        <v>1~3</v>
      </c>
      <c r="H810" s="31" t="str">
        <f>IFERROR(__xludf.DUMMYFUNCTION("""COMPUTED_VALUE"""),"ながさわさとる・綾瀬麻結")</f>
        <v>ながさわさとる・綾瀬麻結</v>
      </c>
      <c r="I810" s="31" t="str">
        <f>IFERROR(__xludf.DUMMYFUNCTION("""COMPUTED_VALUE"""),"女性")</f>
        <v>女性</v>
      </c>
      <c r="J810" s="31"/>
      <c r="K810" s="31"/>
      <c r="L810" s="31" t="str">
        <f>IFERROR(__xludf.DUMMYFUNCTION("""COMPUTED_VALUE"""),"ハーパーコリンズ・ジャパン")</f>
        <v>ハーパーコリンズ・ジャパン</v>
      </c>
      <c r="M810" s="23">
        <f>IFERROR(__xludf.DUMMYFUNCTION("""COMPUTED_VALUE"""),45247.0)</f>
        <v>45247</v>
      </c>
      <c r="N810" s="23">
        <f>IFERROR(__xludf.DUMMYFUNCTION("""COMPUTED_VALUE"""),45308.0)</f>
        <v>45308</v>
      </c>
      <c r="O810" s="20"/>
      <c r="P810" s="34" t="str">
        <f>IFERROR(__xludf.DUMMYFUNCTION("""COMPUTED_VALUE"""),"可")</f>
        <v>可</v>
      </c>
      <c r="Q810" s="31" t="str">
        <f>IFERROR(__xludf.DUMMYFUNCTION("""COMPUTED_VALUE"""),"広告コミットOK(10/12)")</f>
        <v>広告コミットOK(10/12)</v>
      </c>
      <c r="R810" s="31" t="str">
        <f>IFERROR(__xludf.DUMMYFUNCTION("""COMPUTED_VALUE"""),"格納済")</f>
        <v>格納済</v>
      </c>
      <c r="S810" s="31" t="str">
        <f>IFERROR(__xludf.DUMMYFUNCTION("""COMPUTED_VALUE"""),"20231016_ハーパーコリンズ_婚約破棄しましたが、御曹司の愛され妻に_1話")</f>
        <v>20231016_ハーパーコリンズ_婚約破棄しましたが、御曹司の愛され妻に_1話</v>
      </c>
      <c r="T810" s="31" t="str">
        <f>IFERROR(__xludf.DUMMYFUNCTION("""COMPUTED_VALUE"""),"格納済み")</f>
        <v>格納済み</v>
      </c>
      <c r="U810" s="15" t="str">
        <f>IFERROR(__xludf.DUMMYFUNCTION("""COMPUTED_VALUE"""),"（C)ながさわさとる・綾瀬麻結／ハーパーコリンズ・ジャパン")</f>
        <v>（C)ながさわさとる・綾瀬麻結／ハーパーコリンズ・ジャパン</v>
      </c>
      <c r="V810" s="8" t="str">
        <f>IFERROR(__xludf.DUMMYFUNCTION("""COMPUTED_VALUE"""),"何も知らない君を　俺の手で大人にしたい
親に紹介された相手と婚約したのはいいけれど、なんとその相手には恋人が!?　困った寿々は、両家の顔合わせの日に出会った初対面の昴生に、思わず助けを求めてしまう。けれど、昴生が世界的に有名な企業の副社長だと知り、寿々はそんな彼に頼んでしまったことに不安になる。昴生はある条件と引き換えに、結婚話を壊してくれることになって──。")</f>
        <v>何も知らない君を　俺の手で大人にしたい
親に紹介された相手と婚約したのはいいけれど、なんとその相手には恋人が!?　困った寿々は、両家の顔合わせの日に出会った初対面の昴生に、思わず助けを求めてしまう。けれど、昴生が世界的に有名な企業の副社長だと知り、寿々はそんな彼に頼んでしまったことに不安になる。昴生はある条件と引き換えに、結婚話を壊してくれることになって──。</v>
      </c>
      <c r="W810" s="14"/>
      <c r="X810" s="14" t="str">
        <f>IFERROR(__xludf.DUMMYFUNCTION("""COMPUTED_VALUE"""),"有
")</f>
        <v>有
</v>
      </c>
      <c r="Y810" s="8" t="str">
        <f>IFERROR(__xludf.DUMMYFUNCTION("""COMPUTED_VALUE"""),"11/30まで1巻無料")</f>
        <v>11/30まで1巻無料</v>
      </c>
      <c r="Z810" s="7"/>
      <c r="AA810" s="7"/>
      <c r="AB810" s="7"/>
    </row>
    <row r="811" ht="15.75" customHeight="1">
      <c r="A811" s="26">
        <f>IFERROR(__xludf.DUMMYFUNCTION("""COMPUTED_VALUE"""),2496.0)</f>
        <v>2496</v>
      </c>
      <c r="B811" s="31" t="str">
        <f>IFERROR(__xludf.DUMMYFUNCTION("""COMPUTED_VALUE"""),"確定")</f>
        <v>確定</v>
      </c>
      <c r="C811" s="28">
        <f>IFERROR(__xludf.DUMMYFUNCTION("""COMPUTED_VALUE"""),45209.0)</f>
        <v>45209</v>
      </c>
      <c r="D811" s="28">
        <f>IFERROR(__xludf.DUMMYFUNCTION("""COMPUTED_VALUE"""),45216.0)</f>
        <v>45216</v>
      </c>
      <c r="E811" s="26">
        <f>IFERROR(__xludf.DUMMYFUNCTION("""COMPUTED_VALUE"""),262288.0)</f>
        <v>262288</v>
      </c>
      <c r="F811" s="31" t="str">
        <f>IFERROR(__xludf.DUMMYFUNCTION("""COMPUTED_VALUE"""),"里人上京記(フルカラー)")</f>
        <v>里人上京記(フルカラー)</v>
      </c>
      <c r="G811" s="20" t="str">
        <f>IFERROR(__xludf.DUMMYFUNCTION("""COMPUTED_VALUE"""),"1～3")</f>
        <v>1～3</v>
      </c>
      <c r="H811" s="31" t="str">
        <f>IFERROR(__xludf.DUMMYFUNCTION("""COMPUTED_VALUE"""),"kimono,Tothemoon")</f>
        <v>kimono,Tothemoon</v>
      </c>
      <c r="I811" s="14" t="str">
        <f>IFERROR(__xludf.DUMMYFUNCTION("""COMPUTED_VALUE"""),"青年")</f>
        <v>青年</v>
      </c>
      <c r="J811" s="31"/>
      <c r="K811" s="31"/>
      <c r="L811" s="31" t="str">
        <f>IFERROR(__xludf.DUMMYFUNCTION("""COMPUTED_VALUE"""),"ソルマーレ編集部")</f>
        <v>ソルマーレ編集部</v>
      </c>
      <c r="M811" s="23">
        <f>IFERROR(__xludf.DUMMYFUNCTION("""COMPUTED_VALUE"""),45241.0)</f>
        <v>45241</v>
      </c>
      <c r="N811" s="23">
        <f>IFERROR(__xludf.DUMMYFUNCTION("""COMPUTED_VALUE"""),45302.0)</f>
        <v>45302</v>
      </c>
      <c r="O811" s="20"/>
      <c r="P811" s="32" t="str">
        <f>IFERROR(__xludf.DUMMYFUNCTION("""COMPUTED_VALUE"""),"可")</f>
        <v>可</v>
      </c>
      <c r="Q811" s="30"/>
      <c r="R811" s="31"/>
      <c r="S811" s="31" t="str">
        <f>IFERROR(__xludf.DUMMYFUNCTION("""COMPUTED_VALUE"""),"20231016_ソルマーレ編集部_里人上京記（フルカラー）")</f>
        <v>20231016_ソルマーレ編集部_里人上京記（フルカラー）</v>
      </c>
      <c r="T811" s="31" t="str">
        <f>IFERROR(__xludf.DUMMYFUNCTION("""COMPUTED_VALUE"""),"格納済み")</f>
        <v>格納済み</v>
      </c>
      <c r="U811" s="15" t="str">
        <f>IFERROR(__xludf.DUMMYFUNCTION("""COMPUTED_VALUE"""),"Ⓒ kimono/Tothemoon/TOPCO/シーモアコミックス")</f>
        <v>Ⓒ kimono/Tothemoon/TOPCO/シーモアコミックス</v>
      </c>
      <c r="V811" s="8" t="str">
        <f>IFERROR(__xludf.DUMMYFUNCTION("""COMPUTED_VALUE"""),"幼い頃、実の親に捨てられた安西稔。貧しい農夫に引き取られ、山里で畑を耕し慎ましく暮らしていたが、不慮の事故で育ての母を失ってしまう。東京で金持ちの息子の家に嫁いだ義理の姉・京子は、稔の将来を心配し、義理の父・天川秀造が経営している会社の運転手として稔を雇ってくれるよう頼んだ。今まで山奥で暮らしてきた稔は上京することを決心し、大都会・東京での生活が始まる――。元タレントの義母、名門大学に通う女子大生の義姪とその友人、洗練された都会のセンスをまとった義父の秘書…。稔はこれまでの人生では出会うことなかった美女た"&amp;"ちと関わることになり…!?【ズズズキュン！】")</f>
        <v>幼い頃、実の親に捨てられた安西稔。貧しい農夫に引き取られ、山里で畑を耕し慎ましく暮らしていたが、不慮の事故で育ての母を失ってしまう。東京で金持ちの息子の家に嫁いだ義理の姉・京子は、稔の将来を心配し、義理の父・天川秀造が経営している会社の運転手として稔を雇ってくれるよう頼んだ。今まで山奥で暮らしてきた稔は上京することを決心し、大都会・東京での生活が始まる――。元タレントの義母、名門大学に通う女子大生の義姪とその友人、洗練された都会のセンスをまとった義父の秘書…。稔はこれまでの人生では出会うことなかった美女たちと関わることになり…!?【ズズズキュン！】</v>
      </c>
      <c r="W811" s="14"/>
      <c r="X811" s="14" t="str">
        <f>IFERROR(__xludf.DUMMYFUNCTION("""COMPUTED_VALUE"""),"有
")</f>
        <v>有
</v>
      </c>
      <c r="Y811" s="8" t="str">
        <f>IFERROR(__xludf.DUMMYFUNCTION("""COMPUTED_VALUE"""),"P12まで")</f>
        <v>P12まで</v>
      </c>
      <c r="Z811" s="7"/>
      <c r="AA811" s="7"/>
      <c r="AB811" s="7"/>
    </row>
    <row r="812" ht="15.75" customHeight="1">
      <c r="A812" s="26">
        <f>IFERROR(__xludf.DUMMYFUNCTION("""COMPUTED_VALUE"""),2497.0)</f>
        <v>2497</v>
      </c>
      <c r="B812" s="31" t="str">
        <f>IFERROR(__xludf.DUMMYFUNCTION("""COMPUTED_VALUE"""),"確定")</f>
        <v>確定</v>
      </c>
      <c r="C812" s="28">
        <f>IFERROR(__xludf.DUMMYFUNCTION("""COMPUTED_VALUE"""),45209.0)</f>
        <v>45209</v>
      </c>
      <c r="D812" s="28">
        <f>IFERROR(__xludf.DUMMYFUNCTION("""COMPUTED_VALUE"""),45216.0)</f>
        <v>45216</v>
      </c>
      <c r="E812" s="26">
        <f>IFERROR(__xludf.DUMMYFUNCTION("""COMPUTED_VALUE"""),262289.0)</f>
        <v>262289</v>
      </c>
      <c r="F812" s="31" t="str">
        <f>IFERROR(__xludf.DUMMYFUNCTION("""COMPUTED_VALUE"""),"里人上京記【タテヨミ】")</f>
        <v>里人上京記【タテヨミ】</v>
      </c>
      <c r="G812" s="20" t="str">
        <f>IFERROR(__xludf.DUMMYFUNCTION("""COMPUTED_VALUE"""),"1～9")</f>
        <v>1～9</v>
      </c>
      <c r="H812" s="31" t="str">
        <f>IFERROR(__xludf.DUMMYFUNCTION("""COMPUTED_VALUE"""),"kimono,Tothemoon")</f>
        <v>kimono,Tothemoon</v>
      </c>
      <c r="I812" s="14" t="str">
        <f>IFERROR(__xludf.DUMMYFUNCTION("""COMPUTED_VALUE"""),"青年")</f>
        <v>青年</v>
      </c>
      <c r="J812" s="31"/>
      <c r="K812" s="31"/>
      <c r="L812" s="31" t="str">
        <f>IFERROR(__xludf.DUMMYFUNCTION("""COMPUTED_VALUE"""),"ソルマーレ編集部")</f>
        <v>ソルマーレ編集部</v>
      </c>
      <c r="M812" s="23">
        <f>IFERROR(__xludf.DUMMYFUNCTION("""COMPUTED_VALUE"""),45241.0)</f>
        <v>45241</v>
      </c>
      <c r="N812" s="23">
        <f>IFERROR(__xludf.DUMMYFUNCTION("""COMPUTED_VALUE"""),45302.0)</f>
        <v>45302</v>
      </c>
      <c r="O812" s="20"/>
      <c r="P812" s="34" t="str">
        <f>IFERROR(__xludf.DUMMYFUNCTION("""COMPUTED_VALUE"""),"可")</f>
        <v>可</v>
      </c>
      <c r="Q812" s="30" t="str">
        <f>IFERROR(__xludf.DUMMYFUNCTION("""COMPUTED_VALUE"""),"※コマサム等素材は「262288 里人上京記（フルカラー）」のほうをお使いください。&lt;BR&gt;バナー制作はフルカラー版の素材を利用して問題ございません。（10/10）")</f>
        <v>※コマサム等素材は「262288 里人上京記（フルカラー）」のほうをお使いください。&lt;BR&gt;バナー制作はフルカラー版の素材を利用して問題ございません。（10/10）</v>
      </c>
      <c r="R812" s="31"/>
      <c r="S812" s="31" t="str">
        <f>IFERROR(__xludf.DUMMYFUNCTION("""COMPUTED_VALUE"""),"20231013_ソルマーレ編集部_里人上京記【タテヨミ】")</f>
        <v>20231013_ソルマーレ編集部_里人上京記【タテヨミ】</v>
      </c>
      <c r="T812" s="31" t="str">
        <f>IFERROR(__xludf.DUMMYFUNCTION("""COMPUTED_VALUE"""),"格納済み")</f>
        <v>格納済み</v>
      </c>
      <c r="U812" s="15" t="str">
        <f>IFERROR(__xludf.DUMMYFUNCTION("""COMPUTED_VALUE"""),"Ⓒ kimono/Tothemoon/TOPCO/シーモアコミックス")</f>
        <v>Ⓒ kimono/Tothemoon/TOPCO/シーモアコミックス</v>
      </c>
      <c r="V812" s="8" t="str">
        <f>IFERROR(__xludf.DUMMYFUNCTION("""COMPUTED_VALUE"""),"幼い頃、実の親に捨てられた安西稔。貧しい農夫に引き取られ、山里で畑を耕し慎ましく暮らしていたが、不慮の事故で育ての母を失ってしまう。東京で金持ちの息子の家に嫁いだ義理の姉・京子は、稔の将来を心配し、義理の父・天川秀造が経営している会社の運転手として稔を雇ってくれるよう頼んだ。今まで山奥で暮らしてきた稔は上京することを決心し、大都会・東京での生活が始まる――。元タレントの義母、名門大学に通う女子大生の義姪とその友人、洗練された都会のセンスをまとった義父の秘書…。稔はこれまでの人生では出会うことなかった美女た"&amp;"ちと関わることになり…!?【ズズズキュン！】")</f>
        <v>幼い頃、実の親に捨てられた安西稔。貧しい農夫に引き取られ、山里で畑を耕し慎ましく暮らしていたが、不慮の事故で育ての母を失ってしまう。東京で金持ちの息子の家に嫁いだ義理の姉・京子は、稔の将来を心配し、義理の父・天川秀造が経営している会社の運転手として稔を雇ってくれるよう頼んだ。今まで山奥で暮らしてきた稔は上京することを決心し、大都会・東京での生活が始まる――。元タレントの義母、名門大学に通う女子大生の義姪とその友人、洗練された都会のセンスをまとった義父の秘書…。稔はこれまでの人生では出会うことなかった美女たちと関わることになり…!?【ズズズキュン！】</v>
      </c>
      <c r="W812" s="14"/>
      <c r="X812" s="14" t="str">
        <f>IFERROR(__xludf.DUMMYFUNCTION("""COMPUTED_VALUE"""),"有
")</f>
        <v>有
</v>
      </c>
      <c r="Y812" s="8" t="str">
        <f>IFERROR(__xludf.DUMMYFUNCTION("""COMPUTED_VALUE"""),"1巻無料")</f>
        <v>1巻無料</v>
      </c>
      <c r="Z812" s="7"/>
      <c r="AA812" s="7"/>
      <c r="AB812" s="7"/>
    </row>
    <row r="813" ht="15.75" customHeight="1">
      <c r="A813" s="26">
        <f>IFERROR(__xludf.DUMMYFUNCTION("""COMPUTED_VALUE"""),2498.0)</f>
        <v>2498</v>
      </c>
      <c r="B813" s="31" t="str">
        <f>IFERROR(__xludf.DUMMYFUNCTION("""COMPUTED_VALUE"""),"確定")</f>
        <v>確定</v>
      </c>
      <c r="C813" s="28">
        <f>IFERROR(__xludf.DUMMYFUNCTION("""COMPUTED_VALUE"""),45209.0)</f>
        <v>45209</v>
      </c>
      <c r="D813" s="28">
        <f>IFERROR(__xludf.DUMMYFUNCTION("""COMPUTED_VALUE"""),45216.0)</f>
        <v>45216</v>
      </c>
      <c r="E813" s="26">
        <f>IFERROR(__xludf.DUMMYFUNCTION("""COMPUTED_VALUE"""),265332.0)</f>
        <v>265332</v>
      </c>
      <c r="F813" s="31" t="str">
        <f>IFERROR(__xludf.DUMMYFUNCTION("""COMPUTED_VALUE"""),"らぶナビゲーション～セックスまであと○メートル～(フルカラー)")</f>
        <v>らぶナビゲーション～セックスまであと○メートル～(フルカラー)</v>
      </c>
      <c r="G813" s="20" t="str">
        <f>IFERROR(__xludf.DUMMYFUNCTION("""COMPUTED_VALUE"""),"1～3")</f>
        <v>1～3</v>
      </c>
      <c r="H813" s="31" t="str">
        <f>IFERROR(__xludf.DUMMYFUNCTION("""COMPUTED_VALUE"""),"Yoongonji,Gosonjak")</f>
        <v>Yoongonji,Gosonjak</v>
      </c>
      <c r="I813" s="14" t="str">
        <f>IFERROR(__xludf.DUMMYFUNCTION("""COMPUTED_VALUE"""),"青年")</f>
        <v>青年</v>
      </c>
      <c r="J813" s="31"/>
      <c r="K813" s="31"/>
      <c r="L813" s="31" t="str">
        <f>IFERROR(__xludf.DUMMYFUNCTION("""COMPUTED_VALUE"""),"ソルマーレ編集部")</f>
        <v>ソルマーレ編集部</v>
      </c>
      <c r="M813" s="23">
        <f>IFERROR(__xludf.DUMMYFUNCTION("""COMPUTED_VALUE"""),45241.0)</f>
        <v>45241</v>
      </c>
      <c r="N813" s="23">
        <f>IFERROR(__xludf.DUMMYFUNCTION("""COMPUTED_VALUE"""),45302.0)</f>
        <v>45302</v>
      </c>
      <c r="O813" s="20"/>
      <c r="P813" s="32" t="str">
        <f>IFERROR(__xludf.DUMMYFUNCTION("""COMPUTED_VALUE"""),"可")</f>
        <v>可</v>
      </c>
      <c r="Q813" s="30"/>
      <c r="R813" s="31"/>
      <c r="S813" s="31" t="str">
        <f>IFERROR(__xludf.DUMMYFUNCTION("""COMPUTED_VALUE"""),"20231016_ソルマーレ編集部_らぶナビゲーション～セックスまであと○メートル～（フルカラー）")</f>
        <v>20231016_ソルマーレ編集部_らぶナビゲーション～セックスまであと○メートル～（フルカラー）</v>
      </c>
      <c r="T813" s="31" t="str">
        <f>IFERROR(__xludf.DUMMYFUNCTION("""COMPUTED_VALUE"""),"格納済み")</f>
        <v>格納済み</v>
      </c>
      <c r="U813" s="15" t="str">
        <f>IFERROR(__xludf.DUMMYFUNCTION("""COMPUTED_VALUE"""),"Ⓒ Yoongonji/Gosonjak/TOPCO/シーモアコミックス")</f>
        <v>Ⓒ Yoongonji/Gosonjak/TOPCO/シーモアコミックス</v>
      </c>
      <c r="V813" s="8" t="str">
        <f>IFERROR(__xludf.DUMMYFUNCTION("""COMPUTED_VALUE"""),"大学デビューを夢見ていた俺は、理想と現実の差に失望していた。大学生になったら女の子とあんなことやこんなことができると思っていたのに…現実は気の合う童貞男3人でほどよくツルみ、「セックスしたい」と嘆く日々。そして今日もそんな変わらない毎日になるはずだった。このナビゲーションを拾うまでは――…。「ウチとシたかったんじゃないの？」そう言って、すでにガチガチに硬くなっている俺の股間にすり寄る超セクシーな女の子。どうしてこうなった!? 俺はただ、この「ラブナビゲーター」に従っただけなのに…！さらに、その後もエッチな"&amp;"展開が俺に幾度となくやってきて…!? ラブナビゲーターって一体なんなんだ!? 【桃色エンジェル】")</f>
        <v>大学デビューを夢見ていた俺は、理想と現実の差に失望していた。大学生になったら女の子とあんなことやこんなことができると思っていたのに…現実は気の合う童貞男3人でほどよくツルみ、「セックスしたい」と嘆く日々。そして今日もそんな変わらない毎日になるはずだった。このナビゲーションを拾うまでは――…。「ウチとシたかったんじゃないの？」そう言って、すでにガチガチに硬くなっている俺の股間にすり寄る超セクシーな女の子。どうしてこうなった!? 俺はただ、この「ラブナビゲーター」に従っただけなのに…！さらに、その後もエッチな展開が俺に幾度となくやってきて…!? ラブナビゲーターって一体なんなんだ!? 【桃色エンジェル】</v>
      </c>
      <c r="W813" s="14"/>
      <c r="X813" s="14" t="str">
        <f>IFERROR(__xludf.DUMMYFUNCTION("""COMPUTED_VALUE"""),"有
")</f>
        <v>有
</v>
      </c>
      <c r="Y813" s="8" t="str">
        <f>IFERROR(__xludf.DUMMYFUNCTION("""COMPUTED_VALUE"""),"P15まで")</f>
        <v>P15まで</v>
      </c>
      <c r="Z813" s="7"/>
      <c r="AA813" s="7"/>
      <c r="AB813" s="7"/>
    </row>
    <row r="814" ht="15.75" customHeight="1">
      <c r="A814" s="26">
        <f>IFERROR(__xludf.DUMMYFUNCTION("""COMPUTED_VALUE"""),2499.0)</f>
        <v>2499</v>
      </c>
      <c r="B814" s="31" t="str">
        <f>IFERROR(__xludf.DUMMYFUNCTION("""COMPUTED_VALUE"""),"確定")</f>
        <v>確定</v>
      </c>
      <c r="C814" s="28">
        <f>IFERROR(__xludf.DUMMYFUNCTION("""COMPUTED_VALUE"""),45209.0)</f>
        <v>45209</v>
      </c>
      <c r="D814" s="28">
        <f>IFERROR(__xludf.DUMMYFUNCTION("""COMPUTED_VALUE"""),45216.0)</f>
        <v>45216</v>
      </c>
      <c r="E814" s="26">
        <f>IFERROR(__xludf.DUMMYFUNCTION("""COMPUTED_VALUE"""),265333.0)</f>
        <v>265333</v>
      </c>
      <c r="F814" s="31" t="str">
        <f>IFERROR(__xludf.DUMMYFUNCTION("""COMPUTED_VALUE"""),"らぶナビゲーション～セックスまであと○メートル～【タテヨミ】")</f>
        <v>らぶナビゲーション～セックスまであと○メートル～【タテヨミ】</v>
      </c>
      <c r="G814" s="20" t="str">
        <f>IFERROR(__xludf.DUMMYFUNCTION("""COMPUTED_VALUE"""),"1～9")</f>
        <v>1～9</v>
      </c>
      <c r="H814" s="31" t="str">
        <f>IFERROR(__xludf.DUMMYFUNCTION("""COMPUTED_VALUE"""),"Yoongonji,Gosonjak")</f>
        <v>Yoongonji,Gosonjak</v>
      </c>
      <c r="I814" s="14" t="str">
        <f>IFERROR(__xludf.DUMMYFUNCTION("""COMPUTED_VALUE"""),"青年")</f>
        <v>青年</v>
      </c>
      <c r="J814" s="31"/>
      <c r="K814" s="31"/>
      <c r="L814" s="31" t="str">
        <f>IFERROR(__xludf.DUMMYFUNCTION("""COMPUTED_VALUE"""),"ソルマーレ編集部")</f>
        <v>ソルマーレ編集部</v>
      </c>
      <c r="M814" s="23">
        <f>IFERROR(__xludf.DUMMYFUNCTION("""COMPUTED_VALUE"""),45241.0)</f>
        <v>45241</v>
      </c>
      <c r="N814" s="23">
        <f>IFERROR(__xludf.DUMMYFUNCTION("""COMPUTED_VALUE"""),45302.0)</f>
        <v>45302</v>
      </c>
      <c r="O814" s="20"/>
      <c r="P814" s="34" t="str">
        <f>IFERROR(__xludf.DUMMYFUNCTION("""COMPUTED_VALUE"""),"可")</f>
        <v>可</v>
      </c>
      <c r="Q814" s="30" t="str">
        <f>IFERROR(__xludf.DUMMYFUNCTION("""COMPUTED_VALUE"""),"※コマサム等素材は「265332 らぶナビゲーション～セックスまであと○メートル～（フルカラー）」のほうをお使いください。&lt;BR&gt;バナー制作はフルカラー版の素材を利用して問題ございません。（10/10）")</f>
        <v>※コマサム等素材は「265332 らぶナビゲーション～セックスまであと○メートル～（フルカラー）」のほうをお使いください。&lt;BR&gt;バナー制作はフルカラー版の素材を利用して問題ございません。（10/10）</v>
      </c>
      <c r="R814" s="31"/>
      <c r="S814" s="31" t="str">
        <f>IFERROR(__xludf.DUMMYFUNCTION("""COMPUTED_VALUE"""),"20231016_ソルマーレ編集部_らぶナビゲーション～セックスまであと○メートル～【タテヨミ】")</f>
        <v>20231016_ソルマーレ編集部_らぶナビゲーション～セックスまであと○メートル～【タテヨミ】</v>
      </c>
      <c r="T814" s="31" t="str">
        <f>IFERROR(__xludf.DUMMYFUNCTION("""COMPUTED_VALUE"""),"格納済み")</f>
        <v>格納済み</v>
      </c>
      <c r="U814" s="15" t="str">
        <f>IFERROR(__xludf.DUMMYFUNCTION("""COMPUTED_VALUE"""),"Ⓒ Yoongonji/Gosonjak/TOPCO/シーモアコミックス")</f>
        <v>Ⓒ Yoongonji/Gosonjak/TOPCO/シーモアコミックス</v>
      </c>
      <c r="V814" s="8" t="str">
        <f>IFERROR(__xludf.DUMMYFUNCTION("""COMPUTED_VALUE"""),"大学デビューを夢見ていた俺は、理想と現実の差に失望していた。大学生になったら女の子とあんなことやこんなことができると思っていたのに…現実は気の合う童貞男3人でほどよくツルみ、「セックスしたい」と嘆く日々。そして今日もそんな変わらない毎日になるはずだった。このナビゲーションを拾うまでは――…。「ウチとシたかったんじゃないの？」そう言って、すでにガチガチに硬くなっている俺の股間にすり寄る超セクシーな女の子。どうしてこうなった!? 俺はただ、この「ラブナビゲーター」に従っただけなのに…！さらに、その後もエッチな"&amp;"展開が俺に幾度となくやってきて…!? ラブナビゲーターって一体なんなんだ!? 【桃色エンジェル】")</f>
        <v>大学デビューを夢見ていた俺は、理想と現実の差に失望していた。大学生になったら女の子とあんなことやこんなことができると思っていたのに…現実は気の合う童貞男3人でほどよくツルみ、「セックスしたい」と嘆く日々。そして今日もそんな変わらない毎日になるはずだった。このナビゲーションを拾うまでは――…。「ウチとシたかったんじゃないの？」そう言って、すでにガチガチに硬くなっている俺の股間にすり寄る超セクシーな女の子。どうしてこうなった!? 俺はただ、この「ラブナビゲーター」に従っただけなのに…！さらに、その後もエッチな展開が俺に幾度となくやってきて…!? ラブナビゲーターって一体なんなんだ!? 【桃色エンジェル】</v>
      </c>
      <c r="W814" s="14"/>
      <c r="X814" s="14" t="str">
        <f>IFERROR(__xludf.DUMMYFUNCTION("""COMPUTED_VALUE"""),"有
")</f>
        <v>有
</v>
      </c>
      <c r="Y814" s="8" t="str">
        <f>IFERROR(__xludf.DUMMYFUNCTION("""COMPUTED_VALUE"""),"1巻無料")</f>
        <v>1巻無料</v>
      </c>
      <c r="Z814" s="7"/>
      <c r="AA814" s="7"/>
      <c r="AB814" s="7"/>
    </row>
    <row r="815" ht="15.75" customHeight="1">
      <c r="A815" s="26">
        <f>IFERROR(__xludf.DUMMYFUNCTION("""COMPUTED_VALUE"""),2500.0)</f>
        <v>2500</v>
      </c>
      <c r="B815" s="31" t="str">
        <f>IFERROR(__xludf.DUMMYFUNCTION("""COMPUTED_VALUE"""),"確定")</f>
        <v>確定</v>
      </c>
      <c r="C815" s="28">
        <f>IFERROR(__xludf.DUMMYFUNCTION("""COMPUTED_VALUE"""),45209.0)</f>
        <v>45209</v>
      </c>
      <c r="D815" s="28">
        <f>IFERROR(__xludf.DUMMYFUNCTION("""COMPUTED_VALUE"""),45215.0)</f>
        <v>45215</v>
      </c>
      <c r="E815" s="26">
        <f>IFERROR(__xludf.DUMMYFUNCTION("""COMPUTED_VALUE"""),268001.0)</f>
        <v>268001</v>
      </c>
      <c r="F815" s="31" t="str">
        <f>IFERROR(__xludf.DUMMYFUNCTION("""COMPUTED_VALUE"""),"ピュア恋希望の安堂くん")</f>
        <v>ピュア恋希望の安堂くん</v>
      </c>
      <c r="G815" s="20" t="str">
        <f>IFERROR(__xludf.DUMMYFUNCTION("""COMPUTED_VALUE"""),"1～3")</f>
        <v>1～3</v>
      </c>
      <c r="H815" s="31" t="str">
        <f>IFERROR(__xludf.DUMMYFUNCTION("""COMPUTED_VALUE"""),"らむ菜")</f>
        <v>らむ菜</v>
      </c>
      <c r="I815" s="14" t="str">
        <f>IFERROR(__xludf.DUMMYFUNCTION("""COMPUTED_VALUE"""),"少女")</f>
        <v>少女</v>
      </c>
      <c r="J815" s="31"/>
      <c r="K815" s="31"/>
      <c r="L815" s="31" t="str">
        <f>IFERROR(__xludf.DUMMYFUNCTION("""COMPUTED_VALUE"""),"ソルマーレ編集部")</f>
        <v>ソルマーレ編集部</v>
      </c>
      <c r="M815" s="23">
        <f>IFERROR(__xludf.DUMMYFUNCTION("""COMPUTED_VALUE"""),45241.0)</f>
        <v>45241</v>
      </c>
      <c r="N815" s="23">
        <f>IFERROR(__xludf.DUMMYFUNCTION("""COMPUTED_VALUE"""),45302.0)</f>
        <v>45302</v>
      </c>
      <c r="O815" s="20"/>
      <c r="P815" s="32" t="str">
        <f>IFERROR(__xludf.DUMMYFUNCTION("""COMPUTED_VALUE"""),"可")</f>
        <v>可</v>
      </c>
      <c r="Q815" s="30"/>
      <c r="R815" s="31"/>
      <c r="S815" s="31" t="str">
        <f>IFERROR(__xludf.DUMMYFUNCTION("""COMPUTED_VALUE"""),"20231013_ソルマーレ編集部_ピュア恋希望の安堂くん")</f>
        <v>20231013_ソルマーレ編集部_ピュア恋希望の安堂くん</v>
      </c>
      <c r="T815" s="31" t="str">
        <f>IFERROR(__xludf.DUMMYFUNCTION("""COMPUTED_VALUE"""),"格納済み")</f>
        <v>格納済み</v>
      </c>
      <c r="U815" s="15" t="str">
        <f>IFERROR(__xludf.DUMMYFUNCTION("""COMPUTED_VALUE"""),"Ⓒ らむ菜/シーモアコミックス")</f>
        <v>Ⓒ らむ菜/シーモアコミックス</v>
      </c>
      <c r="V815" s="8" t="str">
        <f>IFERROR(__xludf.DUMMYFUNCTION("""COMPUTED_VALUE"""),"小説の編集者として出版社で働いている安堂初斗（あんどうういと）は、付き合っている彼女との半年記念日の日に「女々しい」と言われフラれてしまった。思い返すとこれまで付き合っていた彼女たちに、いつも同じことを言われてフラれ続けていた。
「見た目で人を決めつけるな！俺はただドラマや漫画みたいなピュアな恋がしたいだけなのに！」と店で一人ヤケ酒をあおる彼の隣にいた女性に「君の恋愛観をもっと教えてよ」と話しかけられ、愚痴を聞いてもらった挙句スマートに奢られてしまった。
俺もあんな風に男前な性格してたら――と気持ちを引き"&amp;"ずりながらも悩みは尽きなかった。
そして翌日、新しく担当を引き継ぐことになった人気作家との打ち合わせに現れたのは、お店で出会ったお姉さんっだった。
「はじめまして、如月誉（きさらぎほまれ）です」
これからピュアな恋が始まる？【恋するソワレ】")</f>
        <v>小説の編集者として出版社で働いている安堂初斗（あんどうういと）は、付き合っている彼女との半年記念日の日に「女々しい」と言われフラれてしまった。思い返すとこれまで付き合っていた彼女たちに、いつも同じことを言われてフラれ続けていた。
「見た目で人を決めつけるな！俺はただドラマや漫画みたいなピュアな恋がしたいだけなのに！」と店で一人ヤケ酒をあおる彼の隣にいた女性に「君の恋愛観をもっと教えてよ」と話しかけられ、愚痴を聞いてもらった挙句スマートに奢られてしまった。
俺もあんな風に男前な性格してたら――と気持ちを引きずりながらも悩みは尽きなかった。
そして翌日、新しく担当を引き継ぐことになった人気作家との打ち合わせに現れたのは、お店で出会ったお姉さんっだった。
「はじめまして、如月誉（きさらぎほまれ）です」
これからピュアな恋が始まる？【恋するソワレ】</v>
      </c>
      <c r="W815" s="14"/>
      <c r="X815" s="14" t="str">
        <f>IFERROR(__xludf.DUMMYFUNCTION("""COMPUTED_VALUE"""),"有
")</f>
        <v>有
</v>
      </c>
      <c r="Y815" s="8" t="str">
        <f>IFERROR(__xludf.DUMMYFUNCTION("""COMPUTED_VALUE"""),"11/24まで1巻無料")</f>
        <v>11/24まで1巻無料</v>
      </c>
      <c r="Z815" s="7"/>
      <c r="AA815" s="7"/>
      <c r="AB815" s="7"/>
    </row>
    <row r="816" ht="15.75" customHeight="1">
      <c r="A816" s="26">
        <f>IFERROR(__xludf.DUMMYFUNCTION("""COMPUTED_VALUE"""),2501.0)</f>
        <v>2501</v>
      </c>
      <c r="B816" s="31" t="str">
        <f>IFERROR(__xludf.DUMMYFUNCTION("""COMPUTED_VALUE"""),"確定")</f>
        <v>確定</v>
      </c>
      <c r="C816" s="28">
        <f>IFERROR(__xludf.DUMMYFUNCTION("""COMPUTED_VALUE"""),45209.0)</f>
        <v>45209</v>
      </c>
      <c r="D816" s="28">
        <f>IFERROR(__xludf.DUMMYFUNCTION("""COMPUTED_VALUE"""),45217.0)</f>
        <v>45217</v>
      </c>
      <c r="E816" s="26">
        <f>IFERROR(__xludf.DUMMYFUNCTION("""COMPUTED_VALUE"""),240413.0)</f>
        <v>240413</v>
      </c>
      <c r="F816" s="31" t="str">
        <f>IFERROR(__xludf.DUMMYFUNCTION("""COMPUTED_VALUE"""),"映えたい暗殺者")</f>
        <v>映えたい暗殺者</v>
      </c>
      <c r="G816" s="20" t="str">
        <f>IFERROR(__xludf.DUMMYFUNCTION("""COMPUTED_VALUE"""),"1～3")</f>
        <v>1～3</v>
      </c>
      <c r="H816" s="31" t="str">
        <f>IFERROR(__xludf.DUMMYFUNCTION("""COMPUTED_VALUE"""),"久谷碧")</f>
        <v>久谷碧</v>
      </c>
      <c r="I816" s="14" t="str">
        <f>IFERROR(__xludf.DUMMYFUNCTION("""COMPUTED_VALUE"""),"青年")</f>
        <v>青年</v>
      </c>
      <c r="J816" s="31"/>
      <c r="K816" s="31"/>
      <c r="L816" s="31" t="str">
        <f>IFERROR(__xludf.DUMMYFUNCTION("""COMPUTED_VALUE"""),"ソルマーレ編集部")</f>
        <v>ソルマーレ編集部</v>
      </c>
      <c r="M816" s="23">
        <f>IFERROR(__xludf.DUMMYFUNCTION("""COMPUTED_VALUE"""),45248.0)</f>
        <v>45248</v>
      </c>
      <c r="N816" s="23">
        <f>IFERROR(__xludf.DUMMYFUNCTION("""COMPUTED_VALUE"""),45309.0)</f>
        <v>45309</v>
      </c>
      <c r="O816" s="20"/>
      <c r="P816" s="34" t="str">
        <f>IFERROR(__xludf.DUMMYFUNCTION("""COMPUTED_VALUE"""),"可")</f>
        <v>可</v>
      </c>
      <c r="Q816" s="30" t="str">
        <f>IFERROR(__xludf.DUMMYFUNCTION("""COMPUTED_VALUE"""),"※正式タイトル下記の通りです（10/10）&lt;BR&gt;＝＝＝&lt;BR&gt;映えたい暗殺者&lt;BR&gt;＝＝＝")</f>
        <v>※正式タイトル下記の通りです（10/10）&lt;BR&gt;＝＝＝&lt;BR&gt;映えたい暗殺者&lt;BR&gt;＝＝＝</v>
      </c>
      <c r="R816" s="31"/>
      <c r="S816" s="31" t="str">
        <f>IFERROR(__xludf.DUMMYFUNCTION("""COMPUTED_VALUE"""),"20231018_ソルマーレ編集部_映えたい暗殺者")</f>
        <v>20231018_ソルマーレ編集部_映えたい暗殺者</v>
      </c>
      <c r="T816" s="31" t="str">
        <f>IFERROR(__xludf.DUMMYFUNCTION("""COMPUTED_VALUE"""),"格納済み")</f>
        <v>格納済み</v>
      </c>
      <c r="U816" s="15" t="str">
        <f>IFERROR(__xludf.DUMMYFUNCTION("""COMPUTED_VALUE"""),"Ⓒ 久谷碧/シーモアコミックス")</f>
        <v>Ⓒ 久谷碧/シーモアコミックス</v>
      </c>
      <c r="V816" s="8" t="str">
        <f>IFERROR(__xludf.DUMMYFUNCTION("""COMPUTED_VALUE"""),"人生はSNSで映えてこそ。映えない人生は無価値。そう思いながらSNSをメインに生きてきた森田は就職活動という人生の一大イベントで何社も落ち続け、自分に価値はないのか…？と絶望していた。そんな中、とある大企業の人間から声をかけられて【ある仕事】にスカウトされ――。映えの為ならどんな汚れ仕事でもこなす映えに憑りつかれた森田の人生の行く末はいかに!?【ズズズキュン！】")</f>
        <v>人生はSNSで映えてこそ。映えない人生は無価値。そう思いながらSNSをメインに生きてきた森田は就職活動という人生の一大イベントで何社も落ち続け、自分に価値はないのか…？と絶望していた。そんな中、とある大企業の人間から声をかけられて【ある仕事】にスカウトされ――。映えの為ならどんな汚れ仕事でもこなす映えに憑りつかれた森田の人生の行く末はいかに!?【ズズズキュン！】</v>
      </c>
      <c r="W816" s="14"/>
      <c r="X816" s="14" t="str">
        <f>IFERROR(__xludf.DUMMYFUNCTION("""COMPUTED_VALUE"""),"有
")</f>
        <v>有
</v>
      </c>
      <c r="Y816" s="8" t="str">
        <f>IFERROR(__xludf.DUMMYFUNCTION("""COMPUTED_VALUE"""),"P13まで")</f>
        <v>P13まで</v>
      </c>
      <c r="Z816" s="7"/>
      <c r="AA816" s="7"/>
      <c r="AB816" s="7"/>
    </row>
    <row r="817" ht="79.5" customHeight="1">
      <c r="A817" s="26">
        <f>IFERROR(__xludf.DUMMYFUNCTION("""COMPUTED_VALUE"""),2524.0)</f>
        <v>2524</v>
      </c>
      <c r="B817" s="31" t="str">
        <f>IFERROR(__xludf.DUMMYFUNCTION("""COMPUTED_VALUE"""),"確定")</f>
        <v>確定</v>
      </c>
      <c r="C817" s="28">
        <f>IFERROR(__xludf.DUMMYFUNCTION("""COMPUTED_VALUE"""),45212.0)</f>
        <v>45212</v>
      </c>
      <c r="D817" s="28">
        <f>IFERROR(__xludf.DUMMYFUNCTION("""COMPUTED_VALUE"""),45216.0)</f>
        <v>45216</v>
      </c>
      <c r="E817" s="31">
        <f>IFERROR(__xludf.DUMMYFUNCTION("""COMPUTED_VALUE"""),279938.0)</f>
        <v>279938</v>
      </c>
      <c r="F817" s="31" t="str">
        <f>IFERROR(__xludf.DUMMYFUNCTION("""COMPUTED_VALUE"""),"出戻り令嬢ですが、執事の愛が重すぎます…っ！")</f>
        <v>出戻り令嬢ですが、執事の愛が重すぎます…っ！</v>
      </c>
      <c r="G817" s="11" t="str">
        <f>IFERROR(__xludf.DUMMYFUNCTION("""COMPUTED_VALUE"""),"1～2")</f>
        <v>1～2</v>
      </c>
      <c r="H817" s="31" t="str">
        <f>IFERROR(__xludf.DUMMYFUNCTION("""COMPUTED_VALUE"""),"桜咲和美")</f>
        <v>桜咲和美</v>
      </c>
      <c r="I817" s="31" t="str">
        <f>IFERROR(__xludf.DUMMYFUNCTION("""COMPUTED_VALUE"""),"女性")</f>
        <v>女性</v>
      </c>
      <c r="J817" s="31"/>
      <c r="K817" s="31"/>
      <c r="L817" s="31" t="str">
        <f>IFERROR(__xludf.DUMMYFUNCTION("""COMPUTED_VALUE"""),"秋田書店")</f>
        <v>秋田書店</v>
      </c>
      <c r="M817" s="23">
        <f>IFERROR(__xludf.DUMMYFUNCTION("""COMPUTED_VALUE"""),45246.0)</f>
        <v>45246</v>
      </c>
      <c r="N817" s="23">
        <f>IFERROR(__xludf.DUMMYFUNCTION("""COMPUTED_VALUE"""),44941.0)</f>
        <v>44941</v>
      </c>
      <c r="O817" s="20"/>
      <c r="P817" s="34" t="str">
        <f>IFERROR(__xludf.DUMMYFUNCTION("""COMPUTED_VALUE"""),"可")</f>
        <v>可</v>
      </c>
      <c r="Q817" s="30" t="str">
        <f>IFERROR(__xludf.DUMMYFUNCTION("""COMPUTED_VALUE"""),"格納素材で2巻分です")</f>
        <v>格納素材で2巻分です</v>
      </c>
      <c r="R817" s="31"/>
      <c r="S817" s="31" t="str">
        <f>IFERROR(__xludf.DUMMYFUNCTION("""COMPUTED_VALUE"""),"20231013_秋田書店_出戻り令嬢ですが、執事の愛が重すぎます…っ！")</f>
        <v>20231013_秋田書店_出戻り令嬢ですが、執事の愛が重すぎます…っ！</v>
      </c>
      <c r="T817" s="31" t="str">
        <f>IFERROR(__xludf.DUMMYFUNCTION("""COMPUTED_VALUE"""),"格納済み")</f>
        <v>格納済み</v>
      </c>
      <c r="U817" s="15" t="str">
        <f>IFERROR(__xludf.DUMMYFUNCTION("""COMPUTED_VALUE"""),"（C)桜咲和美（秋田書店）")</f>
        <v>（C)桜咲和美（秋田書店）</v>
      </c>
      <c r="V817" s="8" t="str">
        <f>IFERROR(__xludf.DUMMYFUNCTION("""COMPUTED_VALUE"""),"深夜の溺愛レッスン!!新シリーズスタート！私の大切なお嬢さま…。どんな殿方も一夜で虜にする立派なレディーにして差し上げます！")</f>
        <v>深夜の溺愛レッスン!!新シリーズスタート！私の大切なお嬢さま…。どんな殿方も一夜で虜にする立派なレディーにして差し上げます！</v>
      </c>
      <c r="W817" s="14"/>
      <c r="X817" s="14" t="str">
        <f>IFERROR(__xludf.DUMMYFUNCTION("""COMPUTED_VALUE"""),"有
")</f>
        <v>有
</v>
      </c>
      <c r="Y817" s="8" t="str">
        <f>IFERROR(__xludf.DUMMYFUNCTION("""COMPUTED_VALUE"""),"P11まで")</f>
        <v>P11まで</v>
      </c>
      <c r="Z817" s="7"/>
      <c r="AA817" s="7"/>
      <c r="AB817" s="7"/>
    </row>
    <row r="818" ht="15.75" customHeight="1">
      <c r="A818" s="26">
        <f>IFERROR(__xludf.DUMMYFUNCTION("""COMPUTED_VALUE"""),2525.0)</f>
        <v>2525</v>
      </c>
      <c r="B818" s="31" t="str">
        <f>IFERROR(__xludf.DUMMYFUNCTION("""COMPUTED_VALUE"""),"確定")</f>
        <v>確定</v>
      </c>
      <c r="C818" s="28">
        <f>IFERROR(__xludf.DUMMYFUNCTION("""COMPUTED_VALUE"""),45212.0)</f>
        <v>45212</v>
      </c>
      <c r="D818" s="28">
        <f>IFERROR(__xludf.DUMMYFUNCTION("""COMPUTED_VALUE"""),45216.0)</f>
        <v>45216</v>
      </c>
      <c r="E818" s="26">
        <f>IFERROR(__xludf.DUMMYFUNCTION("""COMPUTED_VALUE"""),276094.0)</f>
        <v>276094</v>
      </c>
      <c r="F818" s="31" t="str">
        <f>IFERROR(__xludf.DUMMYFUNCTION("""COMPUTED_VALUE"""),"カスミの地味な未確認生物的返済生活")</f>
        <v>カスミの地味な未確認生物的返済生活</v>
      </c>
      <c r="G818" s="11" t="str">
        <f>IFERROR(__xludf.DUMMYFUNCTION("""COMPUTED_VALUE"""),"1～2")</f>
        <v>1～2</v>
      </c>
      <c r="H818" s="31" t="str">
        <f>IFERROR(__xludf.DUMMYFUNCTION("""COMPUTED_VALUE"""),"畠山達也,クロスバー直撃 前野悠介")</f>
        <v>畠山達也,クロスバー直撃 前野悠介</v>
      </c>
      <c r="I818" s="14" t="str">
        <f>IFERROR(__xludf.DUMMYFUNCTION("""COMPUTED_VALUE"""),"青年")</f>
        <v>青年</v>
      </c>
      <c r="J818" s="31"/>
      <c r="K818" s="31"/>
      <c r="L818" s="31" t="str">
        <f>IFERROR(__xludf.DUMMYFUNCTION("""COMPUTED_VALUE"""),"ソルマーレ編集部")</f>
        <v>ソルマーレ編集部</v>
      </c>
      <c r="M818" s="23">
        <f>IFERROR(__xludf.DUMMYFUNCTION("""COMPUTED_VALUE"""),45232.0)</f>
        <v>45232</v>
      </c>
      <c r="N818" s="23">
        <f>IFERROR(__xludf.DUMMYFUNCTION("""COMPUTED_VALUE"""),45293.0)</f>
        <v>45293</v>
      </c>
      <c r="O818" s="20"/>
      <c r="P818" s="32" t="str">
        <f>IFERROR(__xludf.DUMMYFUNCTION("""COMPUTED_VALUE"""),"可")</f>
        <v>可</v>
      </c>
      <c r="Q818" s="30"/>
      <c r="R818" s="31"/>
      <c r="S818" s="31" t="str">
        <f>IFERROR(__xludf.DUMMYFUNCTION("""COMPUTED_VALUE"""),"20231013_ソルマーレ編集_カスミの地味な未確認生物的返済生活")</f>
        <v>20231013_ソルマーレ編集_カスミの地味な未確認生物的返済生活</v>
      </c>
      <c r="T818" s="31" t="str">
        <f>IFERROR(__xludf.DUMMYFUNCTION("""COMPUTED_VALUE"""),"格納済み")</f>
        <v>格納済み</v>
      </c>
      <c r="U818" s="15" t="str">
        <f>IFERROR(__xludf.DUMMYFUNCTION("""COMPUTED_VALUE"""),"Ⓒ 畠山達也/クロスバー直撃 前野悠介/吉本興業/シーモアコミックス")</f>
        <v>Ⓒ 畠山達也/クロスバー直撃 前野悠介/吉本興業/シーモアコミックス</v>
      </c>
      <c r="V818" s="8" t="str">
        <f>IFERROR(__xludf.DUMMYFUNCTION("""COMPUTED_VALUE"""),"不幸続きの女子高生・花澄カスミ。父の転勤で引っ越しをしてきた転校初日、同じく転校してきた中野という男に絡まれる。彼は未確認生物・UMAの中でも、地味な嫌がらせをしてくる＝JUMAを倒す組織に所属しているという…。肉眼では認識できないJUMAが見えるようになる3兆円のメガネをカスミが壊してしまい、弁償しろと言われ――！
読売テレビ「川島・山内のマンガ沼」の4コママンガ王決定戦で、見事グランドチャンピオンの称号を手にした芸人、畠山達也&amp;クロスバー直撃・前野悠介の特別タッグが贈る、迷惑だけど憎めない地味すぎる"&amp;"未確認生物と変な組織…に巻きこまれる女子高生のドタバタUMAコメディ開幕！")</f>
        <v>不幸続きの女子高生・花澄カスミ。父の転勤で引っ越しをしてきた転校初日、同じく転校してきた中野という男に絡まれる。彼は未確認生物・UMAの中でも、地味な嫌がらせをしてくる＝JUMAを倒す組織に所属しているという…。肉眼では認識できないJUMAが見えるようになる3兆円のメガネをカスミが壊してしまい、弁償しろと言われ――！
読売テレビ「川島・山内のマンガ沼」の4コママンガ王決定戦で、見事グランドチャンピオンの称号を手にした芸人、畠山達也&amp;クロスバー直撃・前野悠介の特別タッグが贈る、迷惑だけど憎めない地味すぎる未確認生物と変な組織…に巻きこまれる女子高生のドタバタUMAコメディ開幕！</v>
      </c>
      <c r="W818" s="14"/>
      <c r="X818" s="14" t="str">
        <f>IFERROR(__xludf.DUMMYFUNCTION("""COMPUTED_VALUE"""),"有
")</f>
        <v>有
</v>
      </c>
      <c r="Y818" s="8" t="str">
        <f>IFERROR(__xludf.DUMMYFUNCTION("""COMPUTED_VALUE"""),"P8まで")</f>
        <v>P8まで</v>
      </c>
      <c r="Z818" s="7"/>
      <c r="AA818" s="7"/>
      <c r="AB818" s="7"/>
    </row>
    <row r="819" ht="15.75" customHeight="1">
      <c r="A819" s="26">
        <f>IFERROR(__xludf.DUMMYFUNCTION("""COMPUTED_VALUE"""),2378.0)</f>
        <v>2378</v>
      </c>
      <c r="B819" s="31" t="str">
        <f>IFERROR(__xludf.DUMMYFUNCTION("""COMPUTED_VALUE"""),"確定")</f>
        <v>確定</v>
      </c>
      <c r="C819" s="28">
        <f>IFERROR(__xludf.DUMMYFUNCTION("""COMPUTED_VALUE"""),45181.0)</f>
        <v>45181</v>
      </c>
      <c r="D819" s="28">
        <f>IFERROR(__xludf.DUMMYFUNCTION("""COMPUTED_VALUE"""),45222.0)</f>
        <v>45222</v>
      </c>
      <c r="E819" s="31">
        <f>IFERROR(__xludf.DUMMYFUNCTION("""COMPUTED_VALUE"""),277163.0)</f>
        <v>277163</v>
      </c>
      <c r="F819" s="31" t="str">
        <f>IFERROR(__xludf.DUMMYFUNCTION("""COMPUTED_VALUE"""),"どうかこの恋を見つけて 【連載版】")</f>
        <v>どうかこの恋を見つけて 【連載版】</v>
      </c>
      <c r="G819" s="20" t="str">
        <f>IFERROR(__xludf.DUMMYFUNCTION("""COMPUTED_VALUE"""),"1～3")</f>
        <v>1～3</v>
      </c>
      <c r="H819" s="31" t="str">
        <f>IFERROR(__xludf.DUMMYFUNCTION("""COMPUTED_VALUE"""),"沢ワカ")</f>
        <v>沢ワカ</v>
      </c>
      <c r="I819" s="31" t="str">
        <f>IFERROR(__xludf.DUMMYFUNCTION("""COMPUTED_VALUE"""),"少女")</f>
        <v>少女</v>
      </c>
      <c r="J819" s="31"/>
      <c r="K819" s="31"/>
      <c r="L819" s="31" t="str">
        <f>IFERROR(__xludf.DUMMYFUNCTION("""COMPUTED_VALUE"""),"一迅社")</f>
        <v>一迅社</v>
      </c>
      <c r="M819" s="23">
        <f>IFERROR(__xludf.DUMMYFUNCTION("""COMPUTED_VALUE"""),45226.0)</f>
        <v>45226</v>
      </c>
      <c r="N819" s="23">
        <f>IFERROR(__xludf.DUMMYFUNCTION("""COMPUTED_VALUE"""),45257.0)</f>
        <v>45257</v>
      </c>
      <c r="O819" s="20"/>
      <c r="P819" s="32" t="str">
        <f>IFERROR(__xludf.DUMMYFUNCTION("""COMPUTED_VALUE"""),"否")</f>
        <v>否</v>
      </c>
      <c r="Q819" s="30"/>
      <c r="R819" s="31"/>
      <c r="S819" s="31" t="str">
        <f>IFERROR(__xludf.DUMMYFUNCTION("""COMPUTED_VALUE"""),"20230907_一迅社_ZEROSUM10月新作")</f>
        <v>20230907_一迅社_ZEROSUM10月新作</v>
      </c>
      <c r="T819" s="31" t="str">
        <f>IFERROR(__xludf.DUMMYFUNCTION("""COMPUTED_VALUE"""),"格納済み")</f>
        <v>格納済み</v>
      </c>
      <c r="U819" s="15" t="str">
        <f>IFERROR(__xludf.DUMMYFUNCTION("""COMPUTED_VALUE"""),"(C)沢ワカ／一迅社")</f>
        <v>(C)沢ワカ／一迅社</v>
      </c>
      <c r="V819" s="8" t="str">
        <f>IFERROR(__xludf.DUMMYFUNCTION("""COMPUTED_VALUE"""),"病弱な令嬢ミリアンは、執事のアランに密かに恋をしている――。家族から捨て置かれ孤独だったミリアンに、唯一優しくしてくれたアラン。献身的な彼の提案で始まった田舎での二人きりの療養生活は、ミリアンに穏やかな幸せをもたらす。しかし、ある日ミリアンは、自分がアランのことを何も知らないと気づいてしまい……？【本商品は単話コンテンツとなります。単行本版と収録内容が異なる場合がございます。漫画内の告知等は過去のものとなりますので、ご注意ください。】")</f>
        <v>病弱な令嬢ミリアンは、執事のアランに密かに恋をしている――。家族から捨て置かれ孤独だったミリアンに、唯一優しくしてくれたアラン。献身的な彼の提案で始まった田舎での二人きりの療養生活は、ミリアンに穏やかな幸せをもたらす。しかし、ある日ミリアンは、自分がアランのことを何も知らないと気づいてしまい……？【本商品は単話コンテンツとなります。単行本版と収録内容が異なる場合がございます。漫画内の告知等は過去のものとなりますので、ご注意ください。】</v>
      </c>
      <c r="W819" s="14"/>
      <c r="X819" s="14" t="str">
        <f>IFERROR(__xludf.DUMMYFUNCTION("""COMPUTED_VALUE"""),"有
")</f>
        <v>有
</v>
      </c>
      <c r="Y819" s="8" t="str">
        <f>IFERROR(__xludf.DUMMYFUNCTION("""COMPUTED_VALUE"""),"11/27まで1巻無料")</f>
        <v>11/27まで1巻無料</v>
      </c>
      <c r="Z819" s="7"/>
      <c r="AA819" s="7"/>
      <c r="AB819" s="7"/>
    </row>
    <row r="820" ht="15.75" customHeight="1">
      <c r="A820" s="26">
        <f>IFERROR(__xludf.DUMMYFUNCTION("""COMPUTED_VALUE"""),2333.0)</f>
        <v>2333</v>
      </c>
      <c r="B820" s="31" t="str">
        <f>IFERROR(__xludf.DUMMYFUNCTION("""COMPUTED_VALUE"""),"確定")</f>
        <v>確定</v>
      </c>
      <c r="C820" s="28">
        <f>IFERROR(__xludf.DUMMYFUNCTION("""COMPUTED_VALUE"""),45168.0)</f>
        <v>45168</v>
      </c>
      <c r="D820" s="28">
        <f>IFERROR(__xludf.DUMMYFUNCTION("""COMPUTED_VALUE"""),45219.0)</f>
        <v>45219</v>
      </c>
      <c r="E820" s="31">
        <f>IFERROR(__xludf.DUMMYFUNCTION("""COMPUTED_VALUE"""),279174.0)</f>
        <v>279174</v>
      </c>
      <c r="F820" s="31" t="str">
        <f>IFERROR(__xludf.DUMMYFUNCTION("""COMPUTED_VALUE"""),"19。【単話版】")</f>
        <v>19。【単話版】</v>
      </c>
      <c r="G820" s="20" t="str">
        <f>IFERROR(__xludf.DUMMYFUNCTION("""COMPUTED_VALUE"""),"1~5")</f>
        <v>1~5</v>
      </c>
      <c r="H820" s="31" t="str">
        <f>IFERROR(__xludf.DUMMYFUNCTION("""COMPUTED_VALUE"""),"naka")</f>
        <v>naka</v>
      </c>
      <c r="I820" s="31" t="str">
        <f>IFERROR(__xludf.DUMMYFUNCTION("""COMPUTED_VALUE"""),"青年")</f>
        <v>青年</v>
      </c>
      <c r="J820" s="31"/>
      <c r="K820" s="31"/>
      <c r="L820" s="31" t="str">
        <f>IFERROR(__xludf.DUMMYFUNCTION("""COMPUTED_VALUE"""),"デジタルカタパルト（デジカタ編集部）")</f>
        <v>デジタルカタパルト（デジカタ編集部）</v>
      </c>
      <c r="M820" s="23">
        <f>IFERROR(__xludf.DUMMYFUNCTION("""COMPUTED_VALUE"""),45231.0)</f>
        <v>45231</v>
      </c>
      <c r="N820" s="23">
        <f>IFERROR(__xludf.DUMMYFUNCTION("""COMPUTED_VALUE"""),45351.70833333333)</f>
        <v>45351.70833</v>
      </c>
      <c r="O820" s="20"/>
      <c r="P820" s="34" t="str">
        <f>IFERROR(__xludf.DUMMYFUNCTION("""COMPUTED_VALUE"""),"可")</f>
        <v>可</v>
      </c>
      <c r="Q820" s="31" t="str">
        <f>IFERROR(__xludf.DUMMYFUNCTION("""COMPUTED_VALUE"""),"広告コミットOk(9/8)&lt;BR&gt;先行期間は3ヶ月でお願い致します。&lt;BR&gt;素材は1～5巻目まで使用OKです")</f>
        <v>広告コミットOk(9/8)&lt;BR&gt;先行期間は3ヶ月でお願い致します。&lt;BR&gt;素材は1～5巻目まで使用OKです</v>
      </c>
      <c r="R820" s="31" t="str">
        <f>IFERROR(__xludf.DUMMYFUNCTION("""COMPUTED_VALUE"""),"格納済み")</f>
        <v>格納済み</v>
      </c>
      <c r="S820" s="31" t="str">
        <f>IFERROR(__xludf.DUMMYFUNCTION("""COMPUTED_VALUE"""),"20231019_ デジカタ編集部_19。")</f>
        <v>20231019_ デジカタ編集部_19。</v>
      </c>
      <c r="T820" s="31" t="str">
        <f>IFERROR(__xludf.DUMMYFUNCTION("""COMPUTED_VALUE"""),"格納済み")</f>
        <v>格納済み</v>
      </c>
      <c r="U820" s="15" t="str">
        <f>IFERROR(__xludf.DUMMYFUNCTION("""COMPUTED_VALUE"""),"©naka/デジカタ編集部")</f>
        <v>©naka/デジカタ編集部</v>
      </c>
      <c r="V820" s="8" t="str">
        <f>IFERROR(__xludf.DUMMYFUNCTION("""COMPUTED_VALUE"""),"主人公の真山はある日、自分の手に不思議な糸が絡みついていることに気付く。その糸は時に激しく掌を縛り付け痛みを伴い決して消えることはない。いつからか、真山は糸に覆われた担任教師、顔のない父親、糸に絡まった同級生たちに囲まれていた。そして糸に纏わる幼少期のトラウマ…。糸の謎を解き明かすため真山は人の心に触れていく――。糸が織りなす友情と葛藤を描く青春ストーリーが解禁！")</f>
        <v>主人公の真山はある日、自分の手に不思議な糸が絡みついていることに気付く。その糸は時に激しく掌を縛り付け痛みを伴い決して消えることはない。いつからか、真山は糸に覆われた担任教師、顔のない父親、糸に絡まった同級生たちに囲まれていた。そして糸に纏わる幼少期のトラウマ…。糸の謎を解き明かすため真山は人の心に触れていく――。糸が織りなす友情と葛藤を描く青春ストーリーが解禁！</v>
      </c>
      <c r="W820" s="14"/>
      <c r="X820" s="14" t="str">
        <f>IFERROR(__xludf.DUMMYFUNCTION("""COMPUTED_VALUE"""),"有
")</f>
        <v>有
</v>
      </c>
      <c r="Y820" s="8" t="str">
        <f>IFERROR(__xludf.DUMMYFUNCTION("""COMPUTED_VALUE"""),"1/30まで1巻無料")</f>
        <v>1/30まで1巻無料</v>
      </c>
      <c r="Z820" s="7"/>
      <c r="AA820" s="7"/>
      <c r="AB820" s="7"/>
    </row>
    <row r="821" ht="15.75" customHeight="1">
      <c r="A821" s="26">
        <f>IFERROR(__xludf.DUMMYFUNCTION("""COMPUTED_VALUE"""),2384.0)</f>
        <v>2384</v>
      </c>
      <c r="B821" s="31" t="str">
        <f>IFERROR(__xludf.DUMMYFUNCTION("""COMPUTED_VALUE"""),"確定")</f>
        <v>確定</v>
      </c>
      <c r="C821" s="28">
        <f>IFERROR(__xludf.DUMMYFUNCTION("""COMPUTED_VALUE"""),45182.0)</f>
        <v>45182</v>
      </c>
      <c r="D821" s="28">
        <f>IFERROR(__xludf.DUMMYFUNCTION("""COMPUTED_VALUE"""),45224.0)</f>
        <v>45224</v>
      </c>
      <c r="E821" s="31">
        <f>IFERROR(__xludf.DUMMYFUNCTION("""COMPUTED_VALUE"""),281044.0)</f>
        <v>281044</v>
      </c>
      <c r="F821" s="31" t="str">
        <f>IFERROR(__xludf.DUMMYFUNCTION("""COMPUTED_VALUE"""),"ナカからトロける極甘婚～絶倫エリート同僚とカラダの相性MAXエッチ")</f>
        <v>ナカからトロける極甘婚～絶倫エリート同僚とカラダの相性MAXエッチ</v>
      </c>
      <c r="G821" s="11" t="str">
        <f>IFERROR(__xludf.DUMMYFUNCTION("""COMPUTED_VALUE"""),"1～2")</f>
        <v>1～2</v>
      </c>
      <c r="H821" s="31" t="str">
        <f>IFERROR(__xludf.DUMMYFUNCTION("""COMPUTED_VALUE"""),"雲縞")</f>
        <v>雲縞</v>
      </c>
      <c r="I821" s="31" t="str">
        <f>IFERROR(__xludf.DUMMYFUNCTION("""COMPUTED_VALUE"""),"TL")</f>
        <v>TL</v>
      </c>
      <c r="J821" s="31"/>
      <c r="K821" s="31"/>
      <c r="L821" s="31" t="str">
        <f>IFERROR(__xludf.DUMMYFUNCTION("""COMPUTED_VALUE"""),"オーバーラップ")</f>
        <v>オーバーラップ</v>
      </c>
      <c r="M821" s="23">
        <f>IFERROR(__xludf.DUMMYFUNCTION("""COMPUTED_VALUE"""),45261.0)</f>
        <v>45261</v>
      </c>
      <c r="N821" s="23">
        <f>IFERROR(__xludf.DUMMYFUNCTION("""COMPUTED_VALUE"""),45291.0)</f>
        <v>45291</v>
      </c>
      <c r="O821" s="20"/>
      <c r="P821" s="32" t="str">
        <f>IFERROR(__xludf.DUMMYFUNCTION("""COMPUTED_VALUE"""),"可")</f>
        <v>可</v>
      </c>
      <c r="Q821" s="30"/>
      <c r="R821" s="31"/>
      <c r="S821" s="31" t="str">
        <f>IFERROR(__xludf.DUMMYFUNCTION("""COMPUTED_VALUE"""),"20231025_オーバーラップ_ナカからトロける極甘婚～絶倫エリート同僚とカラダの相性MAXエッチ")</f>
        <v>20231025_オーバーラップ_ナカからトロける極甘婚～絶倫エリート同僚とカラダの相性MAXエッチ</v>
      </c>
      <c r="T821" s="31" t="str">
        <f>IFERROR(__xludf.DUMMYFUNCTION("""COMPUTED_VALUE"""),"格納済み")</f>
        <v>格納済み</v>
      </c>
      <c r="U821" s="15" t="str">
        <f>IFERROR(__xludf.DUMMYFUNCTION("""COMPUTED_VALUE"""),"(c)雲縞／オーバーラップ")</f>
        <v>(c)雲縞／オーバーラップ</v>
      </c>
      <c r="V821" s="8" t="str">
        <f>IFERROR(__xludf.DUMMYFUNCTION("""COMPUTED_VALUE"""),"26歳。結婚を親に心配されている美奈（みな）。
でも実は男性の匂いが苦手で、結婚どころか恋愛もうまくいったことがない…。
そんな悩みを聞いてくれたのは憧れの営業部のエース・三芳（みよし）さん。
「それなら俺と結婚しない？」
突然の申し出に驚くも、三芳さんも親から結婚を迫られていて…お互いの利害が一致！
偽装だけど、結婚するなら夜の相性も大事だよね!?
「体の相性、確かめようか」「俺に全部させて？」
優しくて熱い愛撫でトロトロにされて、気持ちよすぎて何度もイっちゃう…！
どんどん欲しくなっち"&amp;"ゃって――この結婚、エッチすぎる…！
オフィス内で秘密のカラダから始まる偽装結婚スタート☆
※本書は「ラブパルフェVOL.67-2」に収録されています。重複購入にご注意ください。")</f>
        <v>26歳。結婚を親に心配されている美奈（みな）。
でも実は男性の匂いが苦手で、結婚どころか恋愛もうまくいったことがない…。
そんな悩みを聞いてくれたのは憧れの営業部のエース・三芳（みよし）さん。
「それなら俺と結婚しない？」
突然の申し出に驚くも、三芳さんも親から結婚を迫られていて…お互いの利害が一致！
偽装だけど、結婚するなら夜の相性も大事だよね!?
「体の相性、確かめようか」「俺に全部させて？」
優しくて熱い愛撫でトロトロにされて、気持ちよすぎて何度もイっちゃう…！
どんどん欲しくなっちゃって――この結婚、エッチすぎる…！
オフィス内で秘密のカラダから始まる偽装結婚スタート☆
※本書は「ラブパルフェVOL.67-2」に収録されています。重複購入にご注意ください。</v>
      </c>
      <c r="W821" s="14"/>
      <c r="X821" s="14" t="str">
        <f>IFERROR(__xludf.DUMMYFUNCTION("""COMPUTED_VALUE"""),"有")</f>
        <v>有</v>
      </c>
      <c r="Y821" s="8" t="str">
        <f>IFERROR(__xludf.DUMMYFUNCTION("""COMPUTED_VALUE"""),"P7まで")</f>
        <v>P7まで</v>
      </c>
      <c r="Z821" s="7"/>
      <c r="AA821" s="7"/>
      <c r="AB821" s="7"/>
    </row>
    <row r="822" ht="15.75" customHeight="1">
      <c r="A822" s="26">
        <f>IFERROR(__xludf.DUMMYFUNCTION("""COMPUTED_VALUE"""),2388.0)</f>
        <v>2388</v>
      </c>
      <c r="B822" s="31" t="str">
        <f>IFERROR(__xludf.DUMMYFUNCTION("""COMPUTED_VALUE"""),"確定")</f>
        <v>確定</v>
      </c>
      <c r="C822" s="28">
        <f>IFERROR(__xludf.DUMMYFUNCTION("""COMPUTED_VALUE"""),45183.0)</f>
        <v>45183</v>
      </c>
      <c r="D822" s="28">
        <f>IFERROR(__xludf.DUMMYFUNCTION("""COMPUTED_VALUE"""),45219.0)</f>
        <v>45219</v>
      </c>
      <c r="E822" s="31">
        <f>IFERROR(__xludf.DUMMYFUNCTION("""COMPUTED_VALUE"""),279487.0)</f>
        <v>279487</v>
      </c>
      <c r="F822" s="31" t="str">
        <f>IFERROR(__xludf.DUMMYFUNCTION("""COMPUTED_VALUE"""),"毒好き令嬢は結婚にたどり着きたい【分冊版】")</f>
        <v>毒好き令嬢は結婚にたどり着きたい【分冊版】</v>
      </c>
      <c r="G822" s="20" t="str">
        <f>IFERROR(__xludf.DUMMYFUNCTION("""COMPUTED_VALUE"""),"1～3")</f>
        <v>1～3</v>
      </c>
      <c r="H822" s="31" t="str">
        <f>IFERROR(__xludf.DUMMYFUNCTION("""COMPUTED_VALUE"""),"著者作画：深月アンネ／原作：守雨／キャラクター原案：紫藤むらさき")</f>
        <v>著者作画：深月アンネ／原作：守雨／キャラクター原案：紫藤むらさき</v>
      </c>
      <c r="I822" s="31" t="str">
        <f>IFERROR(__xludf.DUMMYFUNCTION("""COMPUTED_VALUE"""),"少女")</f>
        <v>少女</v>
      </c>
      <c r="J822" s="31"/>
      <c r="K822" s="31"/>
      <c r="L822" s="31" t="str">
        <f>IFERROR(__xludf.DUMMYFUNCTION("""COMPUTED_VALUE"""),"笠倉出版社")</f>
        <v>笠倉出版社</v>
      </c>
      <c r="M822" s="23">
        <f>IFERROR(__xludf.DUMMYFUNCTION("""COMPUTED_VALUE"""),45240.0)</f>
        <v>45240</v>
      </c>
      <c r="N822" s="33">
        <f>IFERROR(__xludf.DUMMYFUNCTION("""COMPUTED_VALUE"""),45331.70833333333)</f>
        <v>45331.70833</v>
      </c>
      <c r="O822" s="20"/>
      <c r="P822" s="32" t="str">
        <f>IFERROR(__xludf.DUMMYFUNCTION("""COMPUTED_VALUE"""),"可")</f>
        <v>可</v>
      </c>
      <c r="Q822" s="30"/>
      <c r="R822" s="31"/>
      <c r="S822" s="31" t="str">
        <f>IFERROR(__xludf.DUMMYFUNCTION("""COMPUTED_VALUE"""),"20231019_笠倉出版社_毒好き令嬢は結婚にたどり着きたい【分冊版】")</f>
        <v>20231019_笠倉出版社_毒好き令嬢は結婚にたどり着きたい【分冊版】</v>
      </c>
      <c r="T822" s="31" t="str">
        <f>IFERROR(__xludf.DUMMYFUNCTION("""COMPUTED_VALUE"""),"格納済み")</f>
        <v>格納済み</v>
      </c>
      <c r="U822" s="15" t="str">
        <f>IFERROR(__xludf.DUMMYFUNCTION("""COMPUTED_VALUE"""),"©深月アンネ/守雨/紫藤むらさき/笠倉出版社")</f>
        <v>©深月アンネ/守雨/紫藤むらさき/笠倉出版社</v>
      </c>
      <c r="V822" s="8" t="str">
        <f>IFERROR(__xludf.DUMMYFUNCTION("""COMPUTED_VALUE"""),"結婚を二週間後に控えたある日、エレンは婚約者・サムエルの浮気現場に遭遇してしまう。そんな彼との結婚を自ら破断し、新たな婚約者を探すことに。しかし、エレンは毒の扱いに長けたボウエン家の薬師で後継者。結婚相手に求める条件は、婿入りしてくれて、自分が毒にかかわること、娘を薬師にすることを許してくれる人がいい――って条件多すぎ？心から信頼し合える愛のある結婚をしたい。でも、理解してくれるのは護衛のステファンだけで――。エレンは運命の相手を見つけることはできるのか！？※本商品はpixivコミック内の「Niμ」レーベ"&amp;"ルにて掲載していたものの単話コンテンツとなります。")</f>
        <v>結婚を二週間後に控えたある日、エレンは婚約者・サムエルの浮気現場に遭遇してしまう。そんな彼との結婚を自ら破断し、新たな婚約者を探すことに。しかし、エレンは毒の扱いに長けたボウエン家の薬師で後継者。結婚相手に求める条件は、婿入りしてくれて、自分が毒にかかわること、娘を薬師にすることを許してくれる人がいい――って条件多すぎ？心から信頼し合える愛のある結婚をしたい。でも、理解してくれるのは護衛のステファンだけで――。エレンは運命の相手を見つけることはできるのか！？※本商品はpixivコミック内の「Niμ」レーベルにて掲載していたものの単話コンテンツとなります。</v>
      </c>
      <c r="W822" s="14"/>
      <c r="X822" s="14" t="str">
        <f>IFERROR(__xludf.DUMMYFUNCTION("""COMPUTED_VALUE"""),"有
")</f>
        <v>有
</v>
      </c>
      <c r="Y822" s="8" t="str">
        <f>IFERROR(__xludf.DUMMYFUNCTION("""COMPUTED_VALUE"""),"11/23まで1巻無料")</f>
        <v>11/23まで1巻無料</v>
      </c>
      <c r="Z822" s="7"/>
      <c r="AA822" s="7"/>
      <c r="AB822" s="7"/>
    </row>
    <row r="823" ht="15.75" customHeight="1">
      <c r="A823" s="26">
        <f>IFERROR(__xludf.DUMMYFUNCTION("""COMPUTED_VALUE"""),2397.0)</f>
        <v>2397</v>
      </c>
      <c r="B823" s="31" t="str">
        <f>IFERROR(__xludf.DUMMYFUNCTION("""COMPUTED_VALUE"""),"確定")</f>
        <v>確定</v>
      </c>
      <c r="C823" s="28">
        <f>IFERROR(__xludf.DUMMYFUNCTION("""COMPUTED_VALUE"""),45188.0)</f>
        <v>45188</v>
      </c>
      <c r="D823" s="28">
        <f>IFERROR(__xludf.DUMMYFUNCTION("""COMPUTED_VALUE"""),45224.0)</f>
        <v>45224</v>
      </c>
      <c r="E823" s="31">
        <f>IFERROR(__xludf.DUMMYFUNCTION("""COMPUTED_VALUE"""),281048.0)</f>
        <v>281048</v>
      </c>
      <c r="F823" s="31" t="str">
        <f>IFERROR(__xludf.DUMMYFUNCTION("""COMPUTED_VALUE"""),"トロける彼の欲情スイッチ～快感アパートのイケナイ秘密")</f>
        <v>トロける彼の欲情スイッチ～快感アパートのイケナイ秘密</v>
      </c>
      <c r="G823" s="11" t="str">
        <f>IFERROR(__xludf.DUMMYFUNCTION("""COMPUTED_VALUE"""),"1～2")</f>
        <v>1～2</v>
      </c>
      <c r="H823" s="31" t="str">
        <f>IFERROR(__xludf.DUMMYFUNCTION("""COMPUTED_VALUE"""),"黒崎なおき")</f>
        <v>黒崎なおき</v>
      </c>
      <c r="I823" s="31" t="str">
        <f>IFERROR(__xludf.DUMMYFUNCTION("""COMPUTED_VALUE"""),"TL")</f>
        <v>TL</v>
      </c>
      <c r="J823" s="31"/>
      <c r="K823" s="31"/>
      <c r="L823" s="31" t="str">
        <f>IFERROR(__xludf.DUMMYFUNCTION("""COMPUTED_VALUE"""),"オーバーラップ")</f>
        <v>オーバーラップ</v>
      </c>
      <c r="M823" s="23">
        <f>IFERROR(__xludf.DUMMYFUNCTION("""COMPUTED_VALUE"""),45261.0)</f>
        <v>45261</v>
      </c>
      <c r="N823" s="23">
        <f>IFERROR(__xludf.DUMMYFUNCTION("""COMPUTED_VALUE"""),45291.0)</f>
        <v>45291</v>
      </c>
      <c r="O823" s="20"/>
      <c r="P823" s="34" t="str">
        <f>IFERROR(__xludf.DUMMYFUNCTION("""COMPUTED_VALUE"""),"可")</f>
        <v>可</v>
      </c>
      <c r="Q823" s="30" t="str">
        <f>IFERROR(__xludf.DUMMYFUNCTION("""COMPUTED_VALUE"""),"1か月先行いただけました")</f>
        <v>1か月先行いただけました</v>
      </c>
      <c r="R823" s="31"/>
      <c r="S823" s="31" t="str">
        <f>IFERROR(__xludf.DUMMYFUNCTION("""COMPUTED_VALUE"""),"20231025_オーバーラップ_トロける彼の欲情スイッチ～快感アパートのイケナイ秘密")</f>
        <v>20231025_オーバーラップ_トロける彼の欲情スイッチ～快感アパートのイケナイ秘密</v>
      </c>
      <c r="T823" s="31" t="str">
        <f>IFERROR(__xludf.DUMMYFUNCTION("""COMPUTED_VALUE"""),"格納済み")</f>
        <v>格納済み</v>
      </c>
      <c r="U823" s="15" t="str">
        <f>IFERROR(__xludf.DUMMYFUNCTION("""COMPUTED_VALUE"""),"(c)黒崎なおき／オーバーラップ")</f>
        <v>(c)黒崎なおき／オーバーラップ</v>
      </c>
      <c r="V823" s="8" t="str">
        <f>IFERROR(__xludf.DUMMYFUNCTION("""COMPUTED_VALUE"""),"イケナイ秘密がいっぱいのHなアパートに新しい入居者が――
強面の彼の名は田方（たがた）。とっつきにくいタイプかと思いきや、意外な弱点があって…
ホラー作品でビクビクしてしまう彼に、ムラムラしちゃう管理人の敦子（あつこ）。
そんなギャップにキュンとして思わず大胆なお誘いを☆
「エロいことすると、怖さが無くなるかもよ」
互いの高まる熱を持て余して、素肌でとろとろに愛撫しあって…
「挿れながら、観よっか」
ムラムラ欲情MAXなカラダを繋げて――こんなの気持ちよすぎるっ
奥まで欲しくてたまらない…"&amp;"没頭しちゃうほど夢中なHで、快感だらけの濃蜜ライフ♪
※本書は「ラブパルフェVOL.59-1」に収録されています。重複購入にご注意ください。")</f>
        <v>イケナイ秘密がいっぱいのHなアパートに新しい入居者が――
強面の彼の名は田方（たがた）。とっつきにくいタイプかと思いきや、意外な弱点があって…
ホラー作品でビクビクしてしまう彼に、ムラムラしちゃう管理人の敦子（あつこ）。
そんなギャップにキュンとして思わず大胆なお誘いを☆
「エロいことすると、怖さが無くなるかもよ」
互いの高まる熱を持て余して、素肌でとろとろに愛撫しあって…
「挿れながら、観よっか」
ムラムラ欲情MAXなカラダを繋げて――こんなの気持ちよすぎるっ
奥まで欲しくてたまらない…没頭しちゃうほど夢中なHで、快感だらけの濃蜜ライフ♪
※本書は「ラブパルフェVOL.59-1」に収録されています。重複購入にご注意ください。</v>
      </c>
      <c r="W823" s="14"/>
      <c r="X823" s="14" t="str">
        <f>IFERROR(__xludf.DUMMYFUNCTION("""COMPUTED_VALUE"""),"有")</f>
        <v>有</v>
      </c>
      <c r="Y823" s="8" t="str">
        <f>IFERROR(__xludf.DUMMYFUNCTION("""COMPUTED_VALUE"""),"P8まで")</f>
        <v>P8まで</v>
      </c>
      <c r="Z823" s="7"/>
      <c r="AA823" s="7"/>
      <c r="AB823" s="7"/>
    </row>
    <row r="824" ht="15.75" customHeight="1">
      <c r="A824" s="26">
        <f>IFERROR(__xludf.DUMMYFUNCTION("""COMPUTED_VALUE"""),2398.0)</f>
        <v>2398</v>
      </c>
      <c r="B824" s="31" t="str">
        <f>IFERROR(__xludf.DUMMYFUNCTION("""COMPUTED_VALUE"""),"確定")</f>
        <v>確定</v>
      </c>
      <c r="C824" s="28">
        <f>IFERROR(__xludf.DUMMYFUNCTION("""COMPUTED_VALUE"""),45188.0)</f>
        <v>45188</v>
      </c>
      <c r="D824" s="28">
        <f>IFERROR(__xludf.DUMMYFUNCTION("""COMPUTED_VALUE"""),45224.0)</f>
        <v>45224</v>
      </c>
      <c r="E824" s="31">
        <f>IFERROR(__xludf.DUMMYFUNCTION("""COMPUTED_VALUE"""),281047.0)</f>
        <v>281047</v>
      </c>
      <c r="F824" s="31" t="str">
        <f>IFERROR(__xludf.DUMMYFUNCTION("""COMPUTED_VALUE"""),"オオカミ上司と濡れトロH～癒やし系部長の豹変極甘テクニック")</f>
        <v>オオカミ上司と濡れトロH～癒やし系部長の豹変極甘テクニック</v>
      </c>
      <c r="G824" s="11" t="str">
        <f>IFERROR(__xludf.DUMMYFUNCTION("""COMPUTED_VALUE"""),"1～2")</f>
        <v>1～2</v>
      </c>
      <c r="H824" s="31" t="str">
        <f>IFERROR(__xludf.DUMMYFUNCTION("""COMPUTED_VALUE"""),"夕槻ちや")</f>
        <v>夕槻ちや</v>
      </c>
      <c r="I824" s="31" t="str">
        <f>IFERROR(__xludf.DUMMYFUNCTION("""COMPUTED_VALUE"""),"TL")</f>
        <v>TL</v>
      </c>
      <c r="J824" s="31"/>
      <c r="K824" s="31"/>
      <c r="L824" s="31" t="str">
        <f>IFERROR(__xludf.DUMMYFUNCTION("""COMPUTED_VALUE"""),"オーバーラップ")</f>
        <v>オーバーラップ</v>
      </c>
      <c r="M824" s="23">
        <f>IFERROR(__xludf.DUMMYFUNCTION("""COMPUTED_VALUE"""),45261.0)</f>
        <v>45261</v>
      </c>
      <c r="N824" s="23">
        <f>IFERROR(__xludf.DUMMYFUNCTION("""COMPUTED_VALUE"""),45291.0)</f>
        <v>45291</v>
      </c>
      <c r="O824" s="20"/>
      <c r="P824" s="34" t="str">
        <f>IFERROR(__xludf.DUMMYFUNCTION("""COMPUTED_VALUE"""),"可")</f>
        <v>可</v>
      </c>
      <c r="Q824" s="30" t="str">
        <f>IFERROR(__xludf.DUMMYFUNCTION("""COMPUTED_VALUE"""),"1か月先行")</f>
        <v>1か月先行</v>
      </c>
      <c r="R824" s="31"/>
      <c r="S824" s="31" t="str">
        <f>IFERROR(__xludf.DUMMYFUNCTION("""COMPUTED_VALUE"""),"20231025_オーバーラップ_オオカミ上司と濡れトロH～癒やし系部長の豹変極甘テクニック")</f>
        <v>20231025_オーバーラップ_オオカミ上司と濡れトロH～癒やし系部長の豹変極甘テクニック</v>
      </c>
      <c r="T824" s="31" t="str">
        <f>IFERROR(__xludf.DUMMYFUNCTION("""COMPUTED_VALUE"""),"格納済み")</f>
        <v>格納済み</v>
      </c>
      <c r="U824" s="15" t="str">
        <f>IFERROR(__xludf.DUMMYFUNCTION("""COMPUTED_VALUE"""),"(c)夕槻ちや／オーバーラップ")</f>
        <v>(c)夕槻ちや／オーバーラップ</v>
      </c>
      <c r="V824" s="8" t="str">
        <f>IFERROR(__xludf.DUMMYFUNCTION("""COMPUTED_VALUE"""),"「僕に入れて欲しがってるみたいだ。いやらしいね」
濡れたアソコを下着越しにクチュクチュされて…直接触ってほしくてヒクヒク疼いちゃう…！
クール系OLの楓（かえで）の日々の癒やしは、仕事はデキるのにド天然な上司の東雲（しののめ）部長。
ところがある日、隠し撮りをこっそり携帯の待ち受け画面にしていたのが本人にバレてしまい――!?
「このまま帰したくない」
肉食オオカミに豹変した部長に、気持ちいいところを舐め尽くされて…
熱いオスでアソコのまわりをなぞられて、一気に奥まで入れられてイッちゃう！
"&amp;"
※本書は「ラブパルフェVOL.60」に収録されています。重複購入にご注意ください。")</f>
        <v>「僕に入れて欲しがってるみたいだ。いやらしいね」
濡れたアソコを下着越しにクチュクチュされて…直接触ってほしくてヒクヒク疼いちゃう…！
クール系OLの楓（かえで）の日々の癒やしは、仕事はデキるのにド天然な上司の東雲（しののめ）部長。
ところがある日、隠し撮りをこっそり携帯の待ち受け画面にしていたのが本人にバレてしまい――!?
「このまま帰したくない」
肉食オオカミに豹変した部長に、気持ちいいところを舐め尽くされて…
熱いオスでアソコのまわりをなぞられて、一気に奥まで入れられてイッちゃう！
※本書は「ラブパルフェVOL.60」に収録されています。重複購入にご注意ください。</v>
      </c>
      <c r="W824" s="14"/>
      <c r="X824" s="14" t="str">
        <f>IFERROR(__xludf.DUMMYFUNCTION("""COMPUTED_VALUE"""),"有")</f>
        <v>有</v>
      </c>
      <c r="Y824" s="8" t="str">
        <f>IFERROR(__xludf.DUMMYFUNCTION("""COMPUTED_VALUE"""),"P8まで")</f>
        <v>P8まで</v>
      </c>
      <c r="Z824" s="7"/>
      <c r="AA824" s="7"/>
      <c r="AB824" s="7"/>
    </row>
    <row r="825" ht="15.75" customHeight="1">
      <c r="A825" s="26">
        <f>IFERROR(__xludf.DUMMYFUNCTION("""COMPUTED_VALUE"""),2399.0)</f>
        <v>2399</v>
      </c>
      <c r="B825" s="31" t="str">
        <f>IFERROR(__xludf.DUMMYFUNCTION("""COMPUTED_VALUE"""),"確定")</f>
        <v>確定</v>
      </c>
      <c r="C825" s="28">
        <f>IFERROR(__xludf.DUMMYFUNCTION("""COMPUTED_VALUE"""),45188.0)</f>
        <v>45188</v>
      </c>
      <c r="D825" s="28">
        <f>IFERROR(__xludf.DUMMYFUNCTION("""COMPUTED_VALUE"""),45224.0)</f>
        <v>45224</v>
      </c>
      <c r="E825" s="31">
        <f>IFERROR(__xludf.DUMMYFUNCTION("""COMPUTED_VALUE"""),281045.0)</f>
        <v>281045</v>
      </c>
      <c r="F825" s="31" t="str">
        <f>IFERROR(__xludf.DUMMYFUNCTION("""COMPUTED_VALUE"""),"お前がイくまで離さない～絶倫ヤクザと溺愛すぎる政略結婚")</f>
        <v>お前がイくまで離さない～絶倫ヤクザと溺愛すぎる政略結婚</v>
      </c>
      <c r="G825" s="11" t="str">
        <f>IFERROR(__xludf.DUMMYFUNCTION("""COMPUTED_VALUE"""),"1～2")</f>
        <v>1～2</v>
      </c>
      <c r="H825" s="31" t="str">
        <f>IFERROR(__xludf.DUMMYFUNCTION("""COMPUTED_VALUE"""),"弓槻みあ・森田りょう")</f>
        <v>弓槻みあ・森田りょう</v>
      </c>
      <c r="I825" s="31" t="str">
        <f>IFERROR(__xludf.DUMMYFUNCTION("""COMPUTED_VALUE"""),"TL")</f>
        <v>TL</v>
      </c>
      <c r="J825" s="31"/>
      <c r="K825" s="31"/>
      <c r="L825" s="31" t="str">
        <f>IFERROR(__xludf.DUMMYFUNCTION("""COMPUTED_VALUE"""),"オーバーラップ")</f>
        <v>オーバーラップ</v>
      </c>
      <c r="M825" s="23">
        <f>IFERROR(__xludf.DUMMYFUNCTION("""COMPUTED_VALUE"""),45261.0)</f>
        <v>45261</v>
      </c>
      <c r="N825" s="23">
        <f>IFERROR(__xludf.DUMMYFUNCTION("""COMPUTED_VALUE"""),45322.0)</f>
        <v>45322</v>
      </c>
      <c r="O825" s="20"/>
      <c r="P825" s="34" t="str">
        <f>IFERROR(__xludf.DUMMYFUNCTION("""COMPUTED_VALUE"""),"可")</f>
        <v>可</v>
      </c>
      <c r="Q825" s="30" t="str">
        <f>IFERROR(__xludf.DUMMYFUNCTION("""COMPUTED_VALUE"""),"広告コミットOK(9/22)&lt;BR&gt;")</f>
        <v>広告コミットOK(9/22)&lt;BR&gt;</v>
      </c>
      <c r="R825" s="31"/>
      <c r="S825" s="31" t="str">
        <f>IFERROR(__xludf.DUMMYFUNCTION("""COMPUTED_VALUE"""),"20231025_オーバーラップ_お前がイくまで離さない～絶倫ヤクザと溺愛すぎる政略結婚")</f>
        <v>20231025_オーバーラップ_お前がイくまで離さない～絶倫ヤクザと溺愛すぎる政略結婚</v>
      </c>
      <c r="T825" s="31" t="str">
        <f>IFERROR(__xludf.DUMMYFUNCTION("""COMPUTED_VALUE"""),"格納済み")</f>
        <v>格納済み</v>
      </c>
      <c r="U825" s="15" t="str">
        <f>IFERROR(__xludf.DUMMYFUNCTION("""COMPUTED_VALUE"""),"(c)弓槻みあ・森田りょう／オーバーラップ")</f>
        <v>(c)弓槻みあ・森田りょう／オーバーラップ</v>
      </c>
      <c r="V825" s="8" t="str">
        <f>IFERROR(__xludf.DUMMYFUNCTION("""COMPUTED_VALUE"""),"「俺が全部教えてやる、快感ってやつを――」
長い指でくちゅくちゅかき回されて…いやらしい蜜が溢れて止まらないっ
取引先のバーのオーナーである加瀬（かせ）に密かに思いを寄せるOLの由那（ゆな）は、実はヤクザの娘。
身分を隠して一人暮らしをしていたが、組同士の抗争を鎮めるために政略結婚することに…！
しかも結婚相手として現れた若頭は、憧れの加瀬さんその人で――!?
「お前を満たすことが俺の役目だ」
甘すぎるキスでとろとろにされちゃって、立ってられない…！
初めてなのにびしょ濡れの下着をずらされ、"&amp;"浅いところをぬるぬる擦られて…
しかも熱い舌で一番ビンカンなところに触れてきて――そんなとこ舐めちゃダメ…っ！
※本書は「ラブパルフェVOL.55-2」に収録されています。重複購入にご注意ください。")</f>
        <v>「俺が全部教えてやる、快感ってやつを――」
長い指でくちゅくちゅかき回されて…いやらしい蜜が溢れて止まらないっ
取引先のバーのオーナーである加瀬（かせ）に密かに思いを寄せるOLの由那（ゆな）は、実はヤクザの娘。
身分を隠して一人暮らしをしていたが、組同士の抗争を鎮めるために政略結婚することに…！
しかも結婚相手として現れた若頭は、憧れの加瀬さんその人で――!?
「お前を満たすことが俺の役目だ」
甘すぎるキスでとろとろにされちゃって、立ってられない…！
初めてなのにびしょ濡れの下着をずらされ、浅いところをぬるぬる擦られて…
しかも熱い舌で一番ビンカンなところに触れてきて――そんなとこ舐めちゃダメ…っ！
※本書は「ラブパルフェVOL.55-2」に収録されています。重複購入にご注意ください。</v>
      </c>
      <c r="W825" s="14"/>
      <c r="X825" s="14" t="str">
        <f>IFERROR(__xludf.DUMMYFUNCTION("""COMPUTED_VALUE"""),"有")</f>
        <v>有</v>
      </c>
      <c r="Y825" s="8" t="str">
        <f>IFERROR(__xludf.DUMMYFUNCTION("""COMPUTED_VALUE"""),"P8まで")</f>
        <v>P8まで</v>
      </c>
      <c r="Z825" s="7"/>
      <c r="AA825" s="7"/>
      <c r="AB825" s="7"/>
    </row>
    <row r="826" ht="15.75" customHeight="1">
      <c r="A826" s="26">
        <f>IFERROR(__xludf.DUMMYFUNCTION("""COMPUTED_VALUE"""),2426.0)</f>
        <v>2426</v>
      </c>
      <c r="B826" s="31" t="str">
        <f>IFERROR(__xludf.DUMMYFUNCTION("""COMPUTED_VALUE"""),"確定")</f>
        <v>確定</v>
      </c>
      <c r="C826" s="28">
        <f>IFERROR(__xludf.DUMMYFUNCTION("""COMPUTED_VALUE"""),45194.0)</f>
        <v>45194</v>
      </c>
      <c r="D826" s="28">
        <f>IFERROR(__xludf.DUMMYFUNCTION("""COMPUTED_VALUE"""),45224.0)</f>
        <v>45224</v>
      </c>
      <c r="E826" s="31">
        <f>IFERROR(__xludf.DUMMYFUNCTION("""COMPUTED_VALUE"""),279500.0)</f>
        <v>279500</v>
      </c>
      <c r="F826" s="31" t="str">
        <f>IFERROR(__xludf.DUMMYFUNCTION("""COMPUTED_VALUE"""),"パコパコして…作ろ？-極上の子作り生活-")</f>
        <v>パコパコして…作ろ？-極上の子作り生活-</v>
      </c>
      <c r="G826" s="20">
        <f>IFERROR(__xludf.DUMMYFUNCTION("""COMPUTED_VALUE"""),1.0)</f>
        <v>1</v>
      </c>
      <c r="H826" s="31" t="str">
        <f>IFERROR(__xludf.DUMMYFUNCTION("""COMPUTED_VALUE"""),"REDLIGHT")</f>
        <v>REDLIGHT</v>
      </c>
      <c r="I826" s="31" t="str">
        <f>IFERROR(__xludf.DUMMYFUNCTION("""COMPUTED_VALUE"""),"オトナ")</f>
        <v>オトナ</v>
      </c>
      <c r="J826" s="31"/>
      <c r="K826" s="31"/>
      <c r="L826" s="31" t="str">
        <f>IFERROR(__xludf.DUMMYFUNCTION("""COMPUTED_VALUE"""),"キャスコミ")</f>
        <v>キャスコミ</v>
      </c>
      <c r="M826" s="23">
        <f>IFERROR(__xludf.DUMMYFUNCTION("""COMPUTED_VALUE"""),45233.0)</f>
        <v>45233</v>
      </c>
      <c r="N826" s="23">
        <f>IFERROR(__xludf.DUMMYFUNCTION("""COMPUTED_VALUE"""),45260.0)</f>
        <v>45260</v>
      </c>
      <c r="O826" s="20"/>
      <c r="P826" s="34" t="str">
        <f>IFERROR(__xludf.DUMMYFUNCTION("""COMPUTED_VALUE"""),"可")</f>
        <v>可</v>
      </c>
      <c r="Q826" s="30" t="str">
        <f>IFERROR(__xludf.DUMMYFUNCTION("""COMPUTED_VALUE"""),"1か月先行頂戴しました")</f>
        <v>1か月先行頂戴しました</v>
      </c>
      <c r="R826" s="31"/>
      <c r="S826" s="31" t="str">
        <f>IFERROR(__xludf.DUMMYFUNCTION("""COMPUTED_VALUE"""),"20231024_ナイトコミック_パコパコして…作ろ？-極上の子作り生活-")</f>
        <v>20231024_ナイトコミック_パコパコして…作ろ？-極上の子作り生活-</v>
      </c>
      <c r="T826" s="31" t="str">
        <f>IFERROR(__xludf.DUMMYFUNCTION("""COMPUTED_VALUE"""),"格納済み")</f>
        <v>格納済み</v>
      </c>
      <c r="U826" s="15" t="str">
        <f>IFERROR(__xludf.DUMMYFUNCTION("""COMPUTED_VALUE"""),"コピーライト不要")</f>
        <v>コピーライト不要</v>
      </c>
      <c r="V826" s="8" t="str">
        <f>IFERROR(__xludf.DUMMYFUNCTION("""COMPUTED_VALUE"""),"西暦205X年、少子高齢化・人口減少が進み、ついに絶滅の危機に瀕する日本人…。
そこで政府はガチの少子化対策として、美人のDNAを使って子作り特化型の「汎用雌型人造人間マイパ」を大量生産！独身男性に配給を始めた！
マイパは、アプリで簡単に自分好みにカスタマイズ可能！独身男性たちはこぞって理想の子作り相手を自分で作り、セックスに明け暮れる日々を送る。
そんな世紀末に…とあるデブでハゲのモテない独身男「満男」も、自分の理想を具現化した巨乳美少女と濃密なラブラブ子作り生活に勤しんでいた…。
彼女の名は「"&amp;"アイ」
アイからすると満男の寵愛を受けることが何よりの喜びであり、生きがいだった！
そんな彼女に精力のつく夕食を振舞ってもらった満男がいつものように二人でお風呂に入ると…
今までに感じたことのないような凄まじい興奮に襲われて…！？")</f>
        <v>西暦205X年、少子高齢化・人口減少が進み、ついに絶滅の危機に瀕する日本人…。
そこで政府はガチの少子化対策として、美人のDNAを使って子作り特化型の「汎用雌型人造人間マイパ」を大量生産！独身男性に配給を始めた！
マイパは、アプリで簡単に自分好みにカスタマイズ可能！独身男性たちはこぞって理想の子作り相手を自分で作り、セックスに明け暮れる日々を送る。
そんな世紀末に…とあるデブでハゲのモテない独身男「満男」も、自分の理想を具現化した巨乳美少女と濃密なラブラブ子作り生活に勤しんでいた…。
彼女の名は「アイ」
アイからすると満男の寵愛を受けることが何よりの喜びであり、生きがいだった！
そんな彼女に精力のつく夕食を振舞ってもらった満男がいつものように二人でお風呂に入ると…
今までに感じたことのないような凄まじい興奮に襲われて…！？</v>
      </c>
      <c r="W826" s="14"/>
      <c r="X826" s="14" t="str">
        <f>IFERROR(__xludf.DUMMYFUNCTION("""COMPUTED_VALUE"""),"有
")</f>
        <v>有
</v>
      </c>
      <c r="Y826" s="8" t="str">
        <f>IFERROR(__xludf.DUMMYFUNCTION("""COMPUTED_VALUE"""),"11/16まで立ち読み増量P23まで")</f>
        <v>11/16まで立ち読み増量P23まで</v>
      </c>
      <c r="Z826" s="7"/>
      <c r="AA826" s="7"/>
      <c r="AB826" s="7"/>
    </row>
    <row r="827" ht="15.75" customHeight="1">
      <c r="A827" s="26">
        <f>IFERROR(__xludf.DUMMYFUNCTION("""COMPUTED_VALUE"""),2440.0)</f>
        <v>2440</v>
      </c>
      <c r="B827" s="31" t="str">
        <f>IFERROR(__xludf.DUMMYFUNCTION("""COMPUTED_VALUE"""),"確定")</f>
        <v>確定</v>
      </c>
      <c r="C827" s="28">
        <f>IFERROR(__xludf.DUMMYFUNCTION("""COMPUTED_VALUE"""),45196.0)</f>
        <v>45196</v>
      </c>
      <c r="D827" s="28">
        <f>IFERROR(__xludf.DUMMYFUNCTION("""COMPUTED_VALUE"""),45219.0)</f>
        <v>45219</v>
      </c>
      <c r="E827" s="31">
        <f>IFERROR(__xludf.DUMMYFUNCTION("""COMPUTED_VALUE"""),279694.0)</f>
        <v>279694</v>
      </c>
      <c r="F827" s="31" t="str">
        <f>IFERROR(__xludf.DUMMYFUNCTION("""COMPUTED_VALUE"""),"黒き獣と夜の花【分冊版】")</f>
        <v>黒き獣と夜の花【分冊版】</v>
      </c>
      <c r="G827" s="20">
        <f>IFERROR(__xludf.DUMMYFUNCTION("""COMPUTED_VALUE"""),1.0)</f>
        <v>1</v>
      </c>
      <c r="H827" s="31" t="str">
        <f>IFERROR(__xludf.DUMMYFUNCTION("""COMPUTED_VALUE"""),"丸田ザール")</f>
        <v>丸田ザール</v>
      </c>
      <c r="I827" s="31" t="str">
        <f>IFERROR(__xludf.DUMMYFUNCTION("""COMPUTED_VALUE"""),"BL")</f>
        <v>BL</v>
      </c>
      <c r="J827" s="31"/>
      <c r="K827" s="31"/>
      <c r="L827" s="31" t="str">
        <f>IFERROR(__xludf.DUMMYFUNCTION("""COMPUTED_VALUE"""),"笠倉出版社")</f>
        <v>笠倉出版社</v>
      </c>
      <c r="M827" s="23">
        <f>IFERROR(__xludf.DUMMYFUNCTION("""COMPUTED_VALUE"""),45240.0)</f>
        <v>45240</v>
      </c>
      <c r="N827" s="33">
        <f>IFERROR(__xludf.DUMMYFUNCTION("""COMPUTED_VALUE"""),45267.0)</f>
        <v>45267</v>
      </c>
      <c r="O827" s="20"/>
      <c r="P827" s="32" t="str">
        <f>IFERROR(__xludf.DUMMYFUNCTION("""COMPUTED_VALUE"""),"可")</f>
        <v>可</v>
      </c>
      <c r="Q827" s="30"/>
      <c r="R827" s="31"/>
      <c r="S827" s="31" t="str">
        <f>IFERROR(__xludf.DUMMYFUNCTION("""COMPUTED_VALUE"""),"20231019_笠倉出版社_黒き獣と夜の花【分冊版】")</f>
        <v>20231019_笠倉出版社_黒き獣と夜の花【分冊版】</v>
      </c>
      <c r="T827" s="31" t="str">
        <f>IFERROR(__xludf.DUMMYFUNCTION("""COMPUTED_VALUE"""),"格納済み")</f>
        <v>格納済み</v>
      </c>
      <c r="U827" s="15" t="str">
        <f>IFERROR(__xludf.DUMMYFUNCTION("""COMPUTED_VALUE"""),"©丸田ザール/笠倉出版社")</f>
        <v>©丸田ザール/笠倉出版社</v>
      </c>
      <c r="V827" s="8" t="str">
        <f>IFERROR(__xludf.DUMMYFUNCTION("""COMPUTED_VALUE"""),"組の若頭候補で血生臭い世界に身を置く東。先代の墓参りに行く途中、立ち寄った花屋で盲目の青年・春樹と出会う。初めはただの興味だったが、春樹と接する時間は心地良かった。しかし、いつしかその肌に、唇に、激しい欲を抱くようになり…。これは底なしの執着愛――。組の若頭候補×盲目の花屋渦巻く想いは愛か欲望か…偶然の出会いが二人の世界を激しく揺さぶる――！超新星・丸田ザールのデビュー作！※本作品はWEB雑誌「equal」に収録されています。重複購入にご注意ください。")</f>
        <v>組の若頭候補で血生臭い世界に身を置く東。先代の墓参りに行く途中、立ち寄った花屋で盲目の青年・春樹と出会う。初めはただの興味だったが、春樹と接する時間は心地良かった。しかし、いつしかその肌に、唇に、激しい欲を抱くようになり…。これは底なしの執着愛――。組の若頭候補×盲目の花屋渦巻く想いは愛か欲望か…偶然の出会いが二人の世界を激しく揺さぶる――！超新星・丸田ザールのデビュー作！※本作品はWEB雑誌「equal」に収録されています。重複購入にご注意ください。</v>
      </c>
      <c r="W827" s="14"/>
      <c r="X827" s="14" t="str">
        <f>IFERROR(__xludf.DUMMYFUNCTION("""COMPUTED_VALUE"""),"有
")</f>
        <v>有
</v>
      </c>
      <c r="Y827" s="8" t="str">
        <f>IFERROR(__xludf.DUMMYFUNCTION("""COMPUTED_VALUE"""),"P7まで")</f>
        <v>P7まで</v>
      </c>
      <c r="Z827" s="7"/>
      <c r="AA827" s="7"/>
      <c r="AB827" s="7"/>
    </row>
    <row r="828" ht="15.75" customHeight="1">
      <c r="A828" s="26">
        <f>IFERROR(__xludf.DUMMYFUNCTION("""COMPUTED_VALUE"""),2467.0)</f>
        <v>2467</v>
      </c>
      <c r="B828" s="31" t="str">
        <f>IFERROR(__xludf.DUMMYFUNCTION("""COMPUTED_VALUE"""),"確定")</f>
        <v>確定</v>
      </c>
      <c r="C828" s="28">
        <f>IFERROR(__xludf.DUMMYFUNCTION("""COMPUTED_VALUE"""),45203.0)</f>
        <v>45203</v>
      </c>
      <c r="D828" s="28">
        <f>IFERROR(__xludf.DUMMYFUNCTION("""COMPUTED_VALUE"""),45219.0)</f>
        <v>45219</v>
      </c>
      <c r="E828" s="31">
        <f>IFERROR(__xludf.DUMMYFUNCTION("""COMPUTED_VALUE"""),280134.0)</f>
        <v>280134</v>
      </c>
      <c r="F828" s="31" t="str">
        <f>IFERROR(__xludf.DUMMYFUNCTION("""COMPUTED_VALUE"""),"青い夏の先に、")</f>
        <v>青い夏の先に、</v>
      </c>
      <c r="G828" s="11" t="str">
        <f>IFERROR(__xludf.DUMMYFUNCTION("""COMPUTED_VALUE"""),"1～4")</f>
        <v>1～4</v>
      </c>
      <c r="H828" s="31" t="str">
        <f>IFERROR(__xludf.DUMMYFUNCTION("""COMPUTED_VALUE"""),"Zeolgu/Iiromill/Minggur")</f>
        <v>Zeolgu/Iiromill/Minggur</v>
      </c>
      <c r="I828" s="31" t="str">
        <f>IFERROR(__xludf.DUMMYFUNCTION("""COMPUTED_VALUE"""),"BL")</f>
        <v>BL</v>
      </c>
      <c r="J828" s="31"/>
      <c r="K828" s="31"/>
      <c r="L828" s="31" t="str">
        <f>IFERROR(__xludf.DUMMYFUNCTION("""COMPUTED_VALUE"""),"Rush!")</f>
        <v>Rush!</v>
      </c>
      <c r="M828" s="23">
        <f>IFERROR(__xludf.DUMMYFUNCTION("""COMPUTED_VALUE"""),45254.0)</f>
        <v>45254</v>
      </c>
      <c r="N828" s="23">
        <f>IFERROR(__xludf.DUMMYFUNCTION("""COMPUTED_VALUE"""),45288.0)</f>
        <v>45288</v>
      </c>
      <c r="O828" s="20"/>
      <c r="P828" s="32" t="str">
        <f>IFERROR(__xludf.DUMMYFUNCTION("""COMPUTED_VALUE"""),"可")</f>
        <v>可</v>
      </c>
      <c r="Q828" s="30"/>
      <c r="R828" s="31"/>
      <c r="S828" s="31" t="str">
        <f>IFERROR(__xludf.DUMMYFUNCTION("""COMPUTED_VALUE"""),"20231018_ファンギルド_青い夏の先に、")</f>
        <v>20231018_ファンギルド_青い夏の先に、</v>
      </c>
      <c r="T828" s="31" t="str">
        <f>IFERROR(__xludf.DUMMYFUNCTION("""COMPUTED_VALUE"""),"格納済み")</f>
        <v>格納済み</v>
      </c>
      <c r="U828" s="15" t="str">
        <f>IFERROR(__xludf.DUMMYFUNCTION("""COMPUTED_VALUE"""),"ⒸZeolgu/Iiromill/Minggur")</f>
        <v>ⒸZeolgu/Iiromill/Minggur</v>
      </c>
      <c r="V828" s="8" t="str">
        <f>IFERROR(__xludf.DUMMYFUNCTION("""COMPUTED_VALUE"""),"少し素行の悪い瑞穂には、出来が良過ぎる幼馴染がいる。運動神経抜群で全国模試では一位をとり生徒会長でもある直広は、まさに非の打ちどころがない存在。瑞穂は直広に淡いコンプレックスを抱きながらも、一番の友達だと思っていた。けれど瑞穂のクラスに転校生が現れた事をきっかけに、直広に不可解な行動が増えていく。直広の真意がわからずに混乱する瑞穂だが、気持ちを乱されるたびに彼にも変化は現れて――。「あいつは俺のだ」夏至が過ぎ、誰にも見せなかった独占欲が垣間見えた時、今までの関係が変わる高校最後の夏が始まった。")</f>
        <v>少し素行の悪い瑞穂には、出来が良過ぎる幼馴染がいる。運動神経抜群で全国模試では一位をとり生徒会長でもある直広は、まさに非の打ちどころがない存在。瑞穂は直広に淡いコンプレックスを抱きながらも、一番の友達だと思っていた。けれど瑞穂のクラスに転校生が現れた事をきっかけに、直広に不可解な行動が増えていく。直広の真意がわからずに混乱する瑞穂だが、気持ちを乱されるたびに彼にも変化は現れて――。「あいつは俺のだ」夏至が過ぎ、誰にも見せなかった独占欲が垣間見えた時、今までの関係が変わる高校最後の夏が始まった。</v>
      </c>
      <c r="W828" s="14"/>
      <c r="X828" s="14" t="str">
        <f>IFERROR(__xludf.DUMMYFUNCTION("""COMPUTED_VALUE"""),"有
")</f>
        <v>有
</v>
      </c>
      <c r="Y828" s="8" t="str">
        <f>IFERROR(__xludf.DUMMYFUNCTION("""COMPUTED_VALUE"""),"12/37まで1巻無料")</f>
        <v>12/37まで1巻無料</v>
      </c>
      <c r="Z828" s="7"/>
      <c r="AA828" s="7"/>
      <c r="AB828" s="7"/>
    </row>
    <row r="829" ht="15.75" customHeight="1">
      <c r="A829" s="26">
        <f>IFERROR(__xludf.DUMMYFUNCTION("""COMPUTED_VALUE"""),2505.0)</f>
        <v>2505</v>
      </c>
      <c r="B829" s="31" t="str">
        <f>IFERROR(__xludf.DUMMYFUNCTION("""COMPUTED_VALUE"""),"確定")</f>
        <v>確定</v>
      </c>
      <c r="C829" s="28">
        <f>IFERROR(__xludf.DUMMYFUNCTION("""COMPUTED_VALUE"""),45209.0)</f>
        <v>45209</v>
      </c>
      <c r="D829" s="28">
        <f>IFERROR(__xludf.DUMMYFUNCTION("""COMPUTED_VALUE"""),45223.0)</f>
        <v>45223</v>
      </c>
      <c r="E829" s="31">
        <f>IFERROR(__xludf.DUMMYFUNCTION("""COMPUTED_VALUE"""),282418.0)</f>
        <v>282418</v>
      </c>
      <c r="F829" s="31" t="str">
        <f>IFERROR(__xludf.DUMMYFUNCTION("""COMPUTED_VALUE"""),"絶倫幼なじみの溺愛Hで満たされたい《Lovelicot》")</f>
        <v>絶倫幼なじみの溺愛Hで満たされたい《Lovelicot》</v>
      </c>
      <c r="G829" s="11" t="str">
        <f>IFERROR(__xludf.DUMMYFUNCTION("""COMPUTED_VALUE"""),"1～2")</f>
        <v>1～2</v>
      </c>
      <c r="H829" s="31" t="str">
        <f>IFERROR(__xludf.DUMMYFUNCTION("""COMPUTED_VALUE"""),"浅葉さばこ")</f>
        <v>浅葉さばこ</v>
      </c>
      <c r="I829" s="31" t="str">
        <f>IFERROR(__xludf.DUMMYFUNCTION("""COMPUTED_VALUE"""),"TL")</f>
        <v>TL</v>
      </c>
      <c r="J829" s="31"/>
      <c r="K829" s="31"/>
      <c r="L829" s="31" t="str">
        <f>IFERROR(__xludf.DUMMYFUNCTION("""COMPUTED_VALUE"""),"ガールスカウトコミックス")</f>
        <v>ガールスカウトコミックス</v>
      </c>
      <c r="M829" s="23">
        <f>IFERROR(__xludf.DUMMYFUNCTION("""COMPUTED_VALUE"""),45280.0)</f>
        <v>45280</v>
      </c>
      <c r="N829" s="33">
        <f>IFERROR(__xludf.DUMMYFUNCTION("""COMPUTED_VALUE"""),45370.0)</f>
        <v>45370</v>
      </c>
      <c r="O829" s="20"/>
      <c r="P829" s="34" t="str">
        <f>IFERROR(__xludf.DUMMYFUNCTION("""COMPUTED_VALUE"""),"可")</f>
        <v>可</v>
      </c>
      <c r="Q829" s="31" t="str">
        <f>IFERROR(__xludf.DUMMYFUNCTION("""COMPUTED_VALUE"""),"広告コミットOK(10/18)")</f>
        <v>広告コミットOK(10/18)</v>
      </c>
      <c r="R829" s="31" t="str">
        <f>IFERROR(__xludf.DUMMYFUNCTION("""COMPUTED_VALUE"""),"格納済み")</f>
        <v>格納済み</v>
      </c>
      <c r="S829" s="31" t="str">
        <f>IFERROR(__xludf.DUMMYFUNCTION("""COMPUTED_VALUE"""),"20231024_暁NEXT（GSC）_絶倫幼なじみの溺愛Hで満たされたい《Lovelicot》")</f>
        <v>20231024_暁NEXT（GSC）_絶倫幼なじみの溺愛Hで満たされたい《Lovelicot》</v>
      </c>
      <c r="T829" s="31" t="str">
        <f>IFERROR(__xludf.DUMMYFUNCTION("""COMPUTED_VALUE"""),"格納済み")</f>
        <v>格納済み</v>
      </c>
      <c r="U829" s="15" t="str">
        <f>IFERROR(__xludf.DUMMYFUNCTION("""COMPUTED_VALUE"""),"(C)浅葉さばこ／ガールスカウトコミックス")</f>
        <v>(C)浅葉さばこ／ガールスカウトコミックス</v>
      </c>
      <c r="V829" s="8" t="str">
        <f>IFERROR(__xludf.DUMMYFUNCTION("""COMPUTED_VALUE"""),"「俺で試したら──俺も男だから抱けるよ」
甘い誘惑に負けて幼なじみの純也にカラダを許してしまい
イかしイかされてお互いを激しく求め合う──
名器が原因で恋人と長続きしないことに悩みを抱える＜虎谷みのり＞。
そこで、絶倫の人とならいい関係が築けるのでは？と
同僚で幼なじみの＜大鷹純也＞に絶倫の人を紹介してもらおうとしたら
なぜか自分は絶倫だと話にノってきて純也とエッチする流れになっていた！
家族みたいに一緒に育ってきた純也とシてしまったら
今の心地よい関係が壊れちゃうかも…と及び腰のみのりを"&amp;"
純也はその不安ごと優しく包み込んでくれる。
変わらないと思っていた二人の関係が動きはじめる──")</f>
        <v>「俺で試したら──俺も男だから抱けるよ」
甘い誘惑に負けて幼なじみの純也にカラダを許してしまい
イかしイかされてお互いを激しく求め合う──
名器が原因で恋人と長続きしないことに悩みを抱える＜虎谷みのり＞。
そこで、絶倫の人とならいい関係が築けるのでは？と
同僚で幼なじみの＜大鷹純也＞に絶倫の人を紹介してもらおうとしたら
なぜか自分は絶倫だと話にノってきて純也とエッチする流れになっていた！
家族みたいに一緒に育ってきた純也とシてしまったら
今の心地よい関係が壊れちゃうかも…と及び腰のみのりを
純也はその不安ごと優しく包み込んでくれる。
変わらないと思っていた二人の関係が動きはじめる──</v>
      </c>
      <c r="W829" s="14"/>
      <c r="X829" s="14" t="str">
        <f>IFERROR(__xludf.DUMMYFUNCTION("""COMPUTED_VALUE"""),"有
")</f>
        <v>有
</v>
      </c>
      <c r="Y829" s="8" t="str">
        <f>IFERROR(__xludf.DUMMYFUNCTION("""COMPUTED_VALUE"""),"P7まで")</f>
        <v>P7まで</v>
      </c>
      <c r="Z829" s="7"/>
      <c r="AA829" s="7"/>
      <c r="AB829" s="7"/>
    </row>
    <row r="830" ht="15.75" customHeight="1">
      <c r="A830" s="26">
        <f>IFERROR(__xludf.DUMMYFUNCTION("""COMPUTED_VALUE"""),2516.0)</f>
        <v>2516</v>
      </c>
      <c r="B830" s="31" t="str">
        <f>IFERROR(__xludf.DUMMYFUNCTION("""COMPUTED_VALUE"""),"確定")</f>
        <v>確定</v>
      </c>
      <c r="C830" s="28">
        <f>IFERROR(__xludf.DUMMYFUNCTION("""COMPUTED_VALUE"""),45211.0)</f>
        <v>45211</v>
      </c>
      <c r="D830" s="28">
        <f>IFERROR(__xludf.DUMMYFUNCTION("""COMPUTED_VALUE"""),45223.0)</f>
        <v>45223</v>
      </c>
      <c r="E830" s="31">
        <f>IFERROR(__xludf.DUMMYFUNCTION("""COMPUTED_VALUE"""),280688.0)</f>
        <v>280688</v>
      </c>
      <c r="F830" s="31" t="str">
        <f>IFERROR(__xludf.DUMMYFUNCTION("""COMPUTED_VALUE"""),"おなかいっぱい愛で満たして")</f>
        <v>おなかいっぱい愛で満たして</v>
      </c>
      <c r="G830" s="11" t="str">
        <f>IFERROR(__xludf.DUMMYFUNCTION("""COMPUTED_VALUE"""),"1～2")</f>
        <v>1～2</v>
      </c>
      <c r="H830" s="31" t="str">
        <f>IFERROR(__xludf.DUMMYFUNCTION("""COMPUTED_VALUE"""),"綿貫うた")</f>
        <v>綿貫うた</v>
      </c>
      <c r="I830" s="31" t="str">
        <f>IFERROR(__xludf.DUMMYFUNCTION("""COMPUTED_VALUE"""),"BL")</f>
        <v>BL</v>
      </c>
      <c r="J830" s="31"/>
      <c r="K830" s="31"/>
      <c r="L830" s="31" t="str">
        <f>IFERROR(__xludf.DUMMYFUNCTION("""COMPUTED_VALUE"""),"CLLENN")</f>
        <v>CLLENN</v>
      </c>
      <c r="M830" s="23">
        <f>IFERROR(__xludf.DUMMYFUNCTION("""COMPUTED_VALUE"""),45255.0)</f>
        <v>45255</v>
      </c>
      <c r="N830" s="23">
        <f>IFERROR(__xludf.DUMMYFUNCTION("""COMPUTED_VALUE"""),45317.0)</f>
        <v>45317</v>
      </c>
      <c r="O830" s="20"/>
      <c r="P830" s="32" t="str">
        <f>IFERROR(__xludf.DUMMYFUNCTION("""COMPUTED_VALUE"""),"可")</f>
        <v>可</v>
      </c>
      <c r="Q830" s="31"/>
      <c r="R830" s="31" t="str">
        <f>IFERROR(__xludf.DUMMYFUNCTION("""COMPUTED_VALUE"""),"格納済")</f>
        <v>格納済</v>
      </c>
      <c r="S830" s="31" t="str">
        <f>IFERROR(__xludf.DUMMYFUNCTION("""COMPUTED_VALUE"""),"20231024_CLLENN_おなかいっぱい愛で満たして")</f>
        <v>20231024_CLLENN_おなかいっぱい愛で満たして</v>
      </c>
      <c r="T830" s="31" t="str">
        <f>IFERROR(__xludf.DUMMYFUNCTION("""COMPUTED_VALUE"""),"格納済み")</f>
        <v>格納済み</v>
      </c>
      <c r="U830" s="15" t="str">
        <f>IFERROR(__xludf.DUMMYFUNCTION("""COMPUTED_VALUE"""),"ⓒ綿貫うた/CLLENN")</f>
        <v>ⓒ綿貫うた/CLLENN</v>
      </c>
      <c r="V830" s="8" t="str">
        <f>IFERROR(__xludf.DUMMYFUNCTION("""COMPUTED_VALUE"""),"「俺たちにとって食事は、セックスの合図」お料理系インフルエンサー・北斗（ほくと）は、幼なじみで生活力のない小説家・翠（すい）の家に押しかけては、彼の身の回りの世話を焼いている。翠の食事姿を見ていると北斗はたまらなく愛おしい気持ちになり、ベッドの上でいつもめちゃくちゃにかわいがってしまう。しかしこの関係は学生時代に北斗がついた一つの嘘から始まった、不安定なもので…？――好きすぎるから、前に進めない。ちょっと苦くてとっても甘い恋。")</f>
        <v>「俺たちにとって食事は、セックスの合図」お料理系インフルエンサー・北斗（ほくと）は、幼なじみで生活力のない小説家・翠（すい）の家に押しかけては、彼の身の回りの世話を焼いている。翠の食事姿を見ていると北斗はたまらなく愛おしい気持ちになり、ベッドの上でいつもめちゃくちゃにかわいがってしまう。しかしこの関係は学生時代に北斗がついた一つの嘘から始まった、不安定なもので…？――好きすぎるから、前に進めない。ちょっと苦くてとっても甘い恋。</v>
      </c>
      <c r="W830" s="14"/>
      <c r="X830" s="14" t="str">
        <f>IFERROR(__xludf.DUMMYFUNCTION("""COMPUTED_VALUE"""),"有
")</f>
        <v>有
</v>
      </c>
      <c r="Y830" s="8" t="str">
        <f>IFERROR(__xludf.DUMMYFUNCTION("""COMPUTED_VALUE"""),"P10まで")</f>
        <v>P10まで</v>
      </c>
      <c r="Z830" s="7"/>
      <c r="AA830" s="7"/>
      <c r="AB830" s="7"/>
    </row>
    <row r="831" ht="15.75" customHeight="1">
      <c r="A831" s="26">
        <f>IFERROR(__xludf.DUMMYFUNCTION("""COMPUTED_VALUE"""),2536.0)</f>
        <v>2536</v>
      </c>
      <c r="B831" s="31" t="str">
        <f>IFERROR(__xludf.DUMMYFUNCTION("""COMPUTED_VALUE"""),"確定")</f>
        <v>確定</v>
      </c>
      <c r="C831" s="28">
        <f>IFERROR(__xludf.DUMMYFUNCTION("""COMPUTED_VALUE"""),45217.0)</f>
        <v>45217</v>
      </c>
      <c r="D831" s="28">
        <f>IFERROR(__xludf.DUMMYFUNCTION("""COMPUTED_VALUE"""),45217.0)</f>
        <v>45217</v>
      </c>
      <c r="E831" s="31">
        <f>IFERROR(__xludf.DUMMYFUNCTION("""COMPUTED_VALUE"""),280118.0)</f>
        <v>280118</v>
      </c>
      <c r="F831" s="31" t="str">
        <f>IFERROR(__xludf.DUMMYFUNCTION("""COMPUTED_VALUE"""),"猫塚くんは秘密をかぶる")</f>
        <v>猫塚くんは秘密をかぶる</v>
      </c>
      <c r="G831" s="20" t="str">
        <f>IFERROR(__xludf.DUMMYFUNCTION("""COMPUTED_VALUE"""),"1~3")</f>
        <v>1~3</v>
      </c>
      <c r="H831" s="31" t="str">
        <f>IFERROR(__xludf.DUMMYFUNCTION("""COMPUTED_VALUE"""),"上田ぽん")</f>
        <v>上田ぽん</v>
      </c>
      <c r="I831" s="31" t="str">
        <f>IFERROR(__xludf.DUMMYFUNCTION("""COMPUTED_VALUE"""),"女性")</f>
        <v>女性</v>
      </c>
      <c r="J831" s="31"/>
      <c r="K831" s="31"/>
      <c r="L831" s="31" t="str">
        <f>IFERROR(__xludf.DUMMYFUNCTION("""COMPUTED_VALUE"""),"CLLENN")</f>
        <v>CLLENN</v>
      </c>
      <c r="M831" s="23">
        <f>IFERROR(__xludf.DUMMYFUNCTION("""COMPUTED_VALUE"""),45245.0)</f>
        <v>45245</v>
      </c>
      <c r="N831" s="23">
        <f>IFERROR(__xludf.DUMMYFUNCTION("""COMPUTED_VALUE"""),44977.0)</f>
        <v>44977</v>
      </c>
      <c r="O831" s="20"/>
      <c r="P831" s="32" t="str">
        <f>IFERROR(__xludf.DUMMYFUNCTION("""COMPUTED_VALUE"""),"可")</f>
        <v>可</v>
      </c>
      <c r="Q831" s="31"/>
      <c r="R831" s="31" t="str">
        <f>IFERROR(__xludf.DUMMYFUNCTION("""COMPUTED_VALUE"""),"格納済")</f>
        <v>格納済</v>
      </c>
      <c r="S831" s="31" t="str">
        <f>IFERROR(__xludf.DUMMYFUNCTION("""COMPUTED_VALUE"""),"20231018_CLLENN_猫塚くんは秘密をかぶる")</f>
        <v>20231018_CLLENN_猫塚くんは秘密をかぶる</v>
      </c>
      <c r="T831" s="31" t="str">
        <f>IFERROR(__xludf.DUMMYFUNCTION("""COMPUTED_VALUE"""),"格納済み")</f>
        <v>格納済み</v>
      </c>
      <c r="U831" s="15" t="str">
        <f>IFERROR(__xludf.DUMMYFUNCTION("""COMPUTED_VALUE"""),"ⓒ上田ぽん/CLLENN")</f>
        <v>ⓒ上田ぽん/CLLENN</v>
      </c>
      <c r="V831" s="8" t="str">
        <f>IFERROR(__xludf.DUMMYFUNCTION("""COMPUTED_VALUE"""),"「俺のこと本当に好き？もっと甘えたりしてほしかった」という理由で彼氏にフラれた小松芽依(２８)。甘えるって何！？こんな夜は実家の猫が恋しくなる――最近ブラックな会社から転職してきた猫塚くんはどこか影をもっていて、まるでボロボロの野良猫みたいな後輩くん。そんな彼が実家の猫とかぶってしまい、芽依にはほっておけない存在だった。ある日、歓迎会でヘロヘロになってしまった猫塚くんを見かねてお持ち帰り（？）することに。朝方目が覚めて声の方を見てみると、そこには一匹の黒ネコが…。（なんで！？猫塚くんがいた布団に猫ちゃんが"&amp;"！？）芽依は猫塚くんの重大なヒミツを知ってしまい――？ 猫塚くんと叶える夢のペットライフ！ 「私が猫塚くんを幸せにする！」")</f>
        <v>「俺のこと本当に好き？もっと甘えたりしてほしかった」という理由で彼氏にフラれた小松芽依(２８)。甘えるって何！？こんな夜は実家の猫が恋しくなる――最近ブラックな会社から転職してきた猫塚くんはどこか影をもっていて、まるでボロボロの野良猫みたいな後輩くん。そんな彼が実家の猫とかぶってしまい、芽依にはほっておけない存在だった。ある日、歓迎会でヘロヘロになってしまった猫塚くんを見かねてお持ち帰り（？）することに。朝方目が覚めて声の方を見てみると、そこには一匹の黒ネコが…。（なんで！？猫塚くんがいた布団に猫ちゃんが！？）芽依は猫塚くんの重大なヒミツを知ってしまい――？ 猫塚くんと叶える夢のペットライフ！ 「私が猫塚くんを幸せにする！」</v>
      </c>
      <c r="W831" s="14"/>
      <c r="X831" s="14" t="str">
        <f>IFERROR(__xludf.DUMMYFUNCTION("""COMPUTED_VALUE"""),"有
")</f>
        <v>有
</v>
      </c>
      <c r="Y831" s="8" t="str">
        <f>IFERROR(__xludf.DUMMYFUNCTION("""COMPUTED_VALUE"""),"11/28まで1巻無料")</f>
        <v>11/28まで1巻無料</v>
      </c>
      <c r="Z831" s="7"/>
      <c r="AA831" s="7"/>
      <c r="AB831" s="7"/>
    </row>
    <row r="832" ht="15.75" customHeight="1">
      <c r="A832" s="26">
        <f>IFERROR(__xludf.DUMMYFUNCTION("""COMPUTED_VALUE"""),2537.0)</f>
        <v>2537</v>
      </c>
      <c r="B832" s="31" t="str">
        <f>IFERROR(__xludf.DUMMYFUNCTION("""COMPUTED_VALUE"""),"確定")</f>
        <v>確定</v>
      </c>
      <c r="C832" s="28">
        <f>IFERROR(__xludf.DUMMYFUNCTION("""COMPUTED_VALUE"""),45217.0)</f>
        <v>45217</v>
      </c>
      <c r="D832" s="28">
        <f>IFERROR(__xludf.DUMMYFUNCTION("""COMPUTED_VALUE"""),45222.0)</f>
        <v>45222</v>
      </c>
      <c r="E832" s="31">
        <f>IFERROR(__xludf.DUMMYFUNCTION("""COMPUTED_VALUE"""),281616.0)</f>
        <v>281616</v>
      </c>
      <c r="F832" s="31" t="str">
        <f>IFERROR(__xludf.DUMMYFUNCTION("""COMPUTED_VALUE"""),"ピスはめ！【分冊版】")</f>
        <v>ピスはめ！【分冊版】</v>
      </c>
      <c r="G832" s="20" t="str">
        <f>IFERROR(__xludf.DUMMYFUNCTION("""COMPUTED_VALUE"""),"1~5")</f>
        <v>1~5</v>
      </c>
      <c r="H832" s="31" t="str">
        <f>IFERROR(__xludf.DUMMYFUNCTION("""COMPUTED_VALUE"""),"師走の翁/ヒット出版社")</f>
        <v>師走の翁/ヒット出版社</v>
      </c>
      <c r="I832" s="31" t="str">
        <f>IFERROR(__xludf.DUMMYFUNCTION("""COMPUTED_VALUE"""),"オトナ")</f>
        <v>オトナ</v>
      </c>
      <c r="J832" s="31"/>
      <c r="K832" s="31"/>
      <c r="L832" s="31" t="str">
        <f>IFERROR(__xludf.DUMMYFUNCTION("""COMPUTED_VALUE"""),"FILL-IN")</f>
        <v>FILL-IN</v>
      </c>
      <c r="M832" s="23">
        <f>IFERROR(__xludf.DUMMYFUNCTION("""COMPUTED_VALUE"""),45261.0)</f>
        <v>45261</v>
      </c>
      <c r="N832" s="37" t="str">
        <f>IFERROR(__xludf.DUMMYFUNCTION("""COMPUTED_VALUE"""),"配信から1か月後")</f>
        <v>配信から1か月後</v>
      </c>
      <c r="O832" s="20"/>
      <c r="P832" s="34" t="str">
        <f>IFERROR(__xludf.DUMMYFUNCTION("""COMPUTED_VALUE"""),"可")</f>
        <v>可</v>
      </c>
      <c r="Q832" s="30" t="str">
        <f>IFERROR(__xludf.DUMMYFUNCTION("""COMPUTED_VALUE"""),"『ヌーディストビーチに修学旅行で！！（https://www.cmoa.jp/title/267565/）』と&lt;BR&gt;同一作家作品となります")</f>
        <v>『ヌーディストビーチに修学旅行で！！（https://www.cmoa.jp/title/267565/）』と&lt;BR&gt;同一作家作品となります</v>
      </c>
      <c r="R832" s="31"/>
      <c r="S832" s="31" t="str">
        <f>IFERROR(__xludf.DUMMYFUNCTION("""COMPUTED_VALUE"""),"20231018_ライドオン_ピスはめ！【分冊版】")</f>
        <v>20231018_ライドオン_ピスはめ！【分冊版】</v>
      </c>
      <c r="T832" s="31" t="str">
        <f>IFERROR(__xludf.DUMMYFUNCTION("""COMPUTED_VALUE"""),"格納済み")</f>
        <v>格納済み</v>
      </c>
      <c r="U832" s="15" t="str">
        <f>IFERROR(__xludf.DUMMYFUNCTION("""COMPUTED_VALUE"""),"©師走の翁/ヒット出版社")</f>
        <v>©師走の翁/ヒット出版社</v>
      </c>
      <c r="V832" s="8" t="str">
        <f>IFERROR(__xludf.DUMMYFUNCTION("""COMPUTED_VALUE"""),"「んっ…アソコの奥までコンコン当たってるぅ…！」学園の美少女たちとハメ放題！
――剣道部の童貞、柄武君が任命されたのは、祥泉学園ハメ撮り卒業アルバムの製作委員だった!?
まさかこの学園にそんな『裏』の伝統があるなんて!?
彼氏持ちの女の子たちからはハメ撮り写真を提出して貰えるものの、相手のいない女の子には撮影パートナーも勤めるわけで…。
年上の女の子たちのプニッと柔らかいアソコを立派なチ〇コで激しく突くと、トロトロに蕩けた彼女たちから恍惚のＷピースをゲット！
ハメ撮りに非協力的な女生徒たちには、"&amp;"賭嬢勝負に打ち勝ち、屈辱のＷピースを奪い取る！
首尾よくハメ撮り写真を集める柄武君だが、そのハメ撮り卒業アルバム…実はとんでもない悪事に利用されていて…!?
＜収録作品＞
ピスはめ！Episode:01-16／JKエッチ宣伝漫画／じゃーみードック！")</f>
        <v>「んっ…アソコの奥までコンコン当たってるぅ…！」学園の美少女たちとハメ放題！
――剣道部の童貞、柄武君が任命されたのは、祥泉学園ハメ撮り卒業アルバムの製作委員だった!?
まさかこの学園にそんな『裏』の伝統があるなんて!?
彼氏持ちの女の子たちからはハメ撮り写真を提出して貰えるものの、相手のいない女の子には撮影パートナーも勤めるわけで…。
年上の女の子たちのプニッと柔らかいアソコを立派なチ〇コで激しく突くと、トロトロに蕩けた彼女たちから恍惚のＷピースをゲット！
ハメ撮りに非協力的な女生徒たちには、賭嬢勝負に打ち勝ち、屈辱のＷピースを奪い取る！
首尾よくハメ撮り写真を集める柄武君だが、そのハメ撮り卒業アルバム…実はとんでもない悪事に利用されていて…!?
＜収録作品＞
ピスはめ！Episode:01-16／JKエッチ宣伝漫画／じゃーみードック！</v>
      </c>
      <c r="W832" s="14"/>
      <c r="X832" s="14" t="str">
        <f>IFERROR(__xludf.DUMMYFUNCTION("""COMPUTED_VALUE"""),"有")</f>
        <v>有</v>
      </c>
      <c r="Y832" s="8" t="str">
        <f>IFERROR(__xludf.DUMMYFUNCTION("""COMPUTED_VALUE"""),"P13まで")</f>
        <v>P13まで</v>
      </c>
      <c r="Z832" s="7"/>
      <c r="AA832" s="7"/>
      <c r="AB832" s="7"/>
    </row>
    <row r="833" ht="15.75" customHeight="1">
      <c r="A833" s="26">
        <f>IFERROR(__xludf.DUMMYFUNCTION("""COMPUTED_VALUE"""),2549.0)</f>
        <v>2549</v>
      </c>
      <c r="B833" s="31" t="str">
        <f>IFERROR(__xludf.DUMMYFUNCTION("""COMPUTED_VALUE"""),"確定")</f>
        <v>確定</v>
      </c>
      <c r="C833" s="28">
        <f>IFERROR(__xludf.DUMMYFUNCTION("""COMPUTED_VALUE"""),45219.0)</f>
        <v>45219</v>
      </c>
      <c r="D833" s="28">
        <f>IFERROR(__xludf.DUMMYFUNCTION("""COMPUTED_VALUE"""),45222.0)</f>
        <v>45222</v>
      </c>
      <c r="E833" s="31">
        <f>IFERROR(__xludf.DUMMYFUNCTION("""COMPUTED_VALUE"""),280408.0)</f>
        <v>280408</v>
      </c>
      <c r="F833" s="31" t="str">
        <f>IFERROR(__xludf.DUMMYFUNCTION("""COMPUTED_VALUE"""),"勇者機兵ブリガンダイン～Girl’s Brave Squad～")</f>
        <v>勇者機兵ブリガンダイン～Girl’s Brave Squad～</v>
      </c>
      <c r="G833" s="20" t="str">
        <f>IFERROR(__xludf.DUMMYFUNCTION("""COMPUTED_VALUE"""),"1~3")</f>
        <v>1~3</v>
      </c>
      <c r="H833" s="31" t="str">
        <f>IFERROR(__xludf.DUMMYFUNCTION("""COMPUTED_VALUE"""),"エンチ")</f>
        <v>エンチ</v>
      </c>
      <c r="I833" s="31" t="str">
        <f>IFERROR(__xludf.DUMMYFUNCTION("""COMPUTED_VALUE"""),"青年")</f>
        <v>青年</v>
      </c>
      <c r="J833" s="31"/>
      <c r="K833" s="31"/>
      <c r="L833" s="31" t="str">
        <f>IFERROR(__xludf.DUMMYFUNCTION("""COMPUTED_VALUE"""),"CLLENN")</f>
        <v>CLLENN</v>
      </c>
      <c r="M833" s="23">
        <f>IFERROR(__xludf.DUMMYFUNCTION("""COMPUTED_VALUE"""),45265.0)</f>
        <v>45265</v>
      </c>
      <c r="N833" s="23">
        <f>IFERROR(__xludf.DUMMYFUNCTION("""COMPUTED_VALUE"""),45297.0)</f>
        <v>45297</v>
      </c>
      <c r="O833" s="20"/>
      <c r="P833" s="32" t="str">
        <f>IFERROR(__xludf.DUMMYFUNCTION("""COMPUTED_VALUE"""),"可")</f>
        <v>可</v>
      </c>
      <c r="Q833" s="31"/>
      <c r="R833" s="31" t="str">
        <f>IFERROR(__xludf.DUMMYFUNCTION("""COMPUTED_VALUE"""),"格納済")</f>
        <v>格納済</v>
      </c>
      <c r="S833" s="31" t="str">
        <f>IFERROR(__xludf.DUMMYFUNCTION("""COMPUTED_VALUE"""),"20231020_CLLENN_勇者機兵ブリガンダイン")</f>
        <v>20231020_CLLENN_勇者機兵ブリガンダイン</v>
      </c>
      <c r="T833" s="31" t="str">
        <f>IFERROR(__xludf.DUMMYFUNCTION("""COMPUTED_VALUE"""),"格納済み")</f>
        <v>格納済み</v>
      </c>
      <c r="U833" s="15" t="str">
        <f>IFERROR(__xludf.DUMMYFUNCTION("""COMPUTED_VALUE"""),"ⓒエンチ/CLLENN")</f>
        <v>ⓒエンチ/CLLENN</v>
      </c>
      <c r="V833" s="8" t="str">
        <f>IFERROR(__xludf.DUMMYFUNCTION("""COMPUTED_VALUE"""),"異世界の門から出現せし魔王――世界は滅亡の危機に陥るが、勇者により魔王は討伐され平和がもたらされる。魔王復活を恐れた人々は門の周りに砦を築き、次世代の勇者を育てる学園都市ナルタを設立。学生たちによる勇者隊が編成される。姉を追って入隊したユウキ＝アンデルセンはその中でも問題児が集められたという班に班長として就任する。ユウキは自身の勇者隊としての在り方に悩んでいた。そんな時、約５００年ぶりに魔王が出現して勇者隊は壊滅的な打撃を受けてしまう。残されたのは落ちこぼれ少女5人とかつて勇者が操ったとされる巨大ロボット"&amp;"――勇者機兵ブリガンダイン。学園と人々の未来をかけた少女達の戦いが始まろうとしていた！")</f>
        <v>異世界の門から出現せし魔王――世界は滅亡の危機に陥るが、勇者により魔王は討伐され平和がもたらされる。魔王復活を恐れた人々は門の周りに砦を築き、次世代の勇者を育てる学園都市ナルタを設立。学生たちによる勇者隊が編成される。姉を追って入隊したユウキ＝アンデルセンはその中でも問題児が集められたという班に班長として就任する。ユウキは自身の勇者隊としての在り方に悩んでいた。そんな時、約５００年ぶりに魔王が出現して勇者隊は壊滅的な打撃を受けてしまう。残されたのは落ちこぼれ少女5人とかつて勇者が操ったとされる巨大ロボット――勇者機兵ブリガンダイン。学園と人々の未来をかけた少女達の戦いが始まろうとしていた！</v>
      </c>
      <c r="W833" s="14"/>
      <c r="X833" s="14" t="str">
        <f>IFERROR(__xludf.DUMMYFUNCTION("""COMPUTED_VALUE"""),"有")</f>
        <v>有</v>
      </c>
      <c r="Y833" s="8" t="str">
        <f>IFERROR(__xludf.DUMMYFUNCTION("""COMPUTED_VALUE"""),"P10まで")</f>
        <v>P10まで</v>
      </c>
      <c r="Z833" s="7"/>
      <c r="AA833" s="7"/>
      <c r="AB833" s="7"/>
    </row>
    <row r="834" ht="91.5" customHeight="1">
      <c r="A834" s="26">
        <f>IFERROR(__xludf.DUMMYFUNCTION("""COMPUTED_VALUE"""),2552.0)</f>
        <v>2552</v>
      </c>
      <c r="B834" s="31" t="str">
        <f>IFERROR(__xludf.DUMMYFUNCTION("""COMPUTED_VALUE"""),"確定")</f>
        <v>確定</v>
      </c>
      <c r="C834" s="28">
        <f>IFERROR(__xludf.DUMMYFUNCTION("""COMPUTED_VALUE"""),45222.0)</f>
        <v>45222</v>
      </c>
      <c r="D834" s="28">
        <f>IFERROR(__xludf.DUMMYFUNCTION("""COMPUTED_VALUE"""),45223.0)</f>
        <v>45223</v>
      </c>
      <c r="E834" s="31">
        <f>IFERROR(__xludf.DUMMYFUNCTION("""COMPUTED_VALUE"""),279893.0)</f>
        <v>279893</v>
      </c>
      <c r="F834" s="31" t="str">
        <f>IFERROR(__xludf.DUMMYFUNCTION("""COMPUTED_VALUE"""),"気遣い紳士の純愛調教")</f>
        <v>気遣い紳士の純愛調教</v>
      </c>
      <c r="G834" s="20" t="str">
        <f>IFERROR(__xludf.DUMMYFUNCTION("""COMPUTED_VALUE"""),"1～4")</f>
        <v>1～4</v>
      </c>
      <c r="H834" s="31" t="str">
        <f>IFERROR(__xludf.DUMMYFUNCTION("""COMPUTED_VALUE"""),"もくすけ。")</f>
        <v>もくすけ。</v>
      </c>
      <c r="I834" s="31" t="str">
        <f>IFERROR(__xludf.DUMMYFUNCTION("""COMPUTED_VALUE"""),"女性")</f>
        <v>女性</v>
      </c>
      <c r="J834" s="31"/>
      <c r="K834" s="31"/>
      <c r="L834" s="31" t="str">
        <f>IFERROR(__xludf.DUMMYFUNCTION("""COMPUTED_VALUE"""),"集英社")</f>
        <v>集英社</v>
      </c>
      <c r="M834" s="23">
        <f>IFERROR(__xludf.DUMMYFUNCTION("""COMPUTED_VALUE"""),45245.0)</f>
        <v>45245</v>
      </c>
      <c r="N834" s="23">
        <f>IFERROR(__xludf.DUMMYFUNCTION("""COMPUTED_VALUE"""),45274.0)</f>
        <v>45274</v>
      </c>
      <c r="O834" s="20"/>
      <c r="P834" s="34" t="str">
        <f>IFERROR(__xludf.DUMMYFUNCTION("""COMPUTED_VALUE"""),"否")</f>
        <v>否</v>
      </c>
      <c r="Q834" s="30" t="str">
        <f>IFERROR(__xludf.DUMMYFUNCTION("""COMPUTED_VALUE"""),"ココロマンス")</f>
        <v>ココロマンス</v>
      </c>
      <c r="R834" s="31"/>
      <c r="S834" s="31" t="str">
        <f>IFERROR(__xludf.DUMMYFUNCTION("""COMPUTED_VALUE"""),"20231023_集英社_気遣い紳士の純愛調教")</f>
        <v>20231023_集英社_気遣い紳士の純愛調教</v>
      </c>
      <c r="T834" s="31" t="str">
        <f>IFERROR(__xludf.DUMMYFUNCTION("""COMPUTED_VALUE"""),"格納済み")</f>
        <v>格納済み</v>
      </c>
      <c r="U834" s="15" t="str">
        <f>IFERROR(__xludf.DUMMYFUNCTION("""COMPUTED_VALUE"""),"（C）もくすけ。／集英社")</f>
        <v>（C）もくすけ。／集英社</v>
      </c>
      <c r="V834" s="8" t="str">
        <f>IFERROR(__xludf.DUMMYFUNCTION("""COMPUTED_VALUE"""),"処女で生身の男性は苦手…なのに性欲を持て余す千彩。唯一普通に話せる、いきつけのバーの紳士・和美に相談してみたところ、返ってきたこたえは「ぼくとセックスしてみませんか？」!?　性欲強め処女×優しい手練れ紳士、「男を知るため」の秘密のレッスン開始！")</f>
        <v>処女で生身の男性は苦手…なのに性欲を持て余す千彩。唯一普通に話せる、いきつけのバーの紳士・和美に相談してみたところ、返ってきたこたえは「ぼくとセックスしてみませんか？」!?　性欲強め処女×優しい手練れ紳士、「男を知るため」の秘密のレッスン開始！</v>
      </c>
      <c r="W834" s="14"/>
      <c r="X834" s="14" t="str">
        <f>IFERROR(__xludf.DUMMYFUNCTION("""COMPUTED_VALUE"""),"有
")</f>
        <v>有
</v>
      </c>
      <c r="Y834" s="8" t="str">
        <f>IFERROR(__xludf.DUMMYFUNCTION("""COMPUTED_VALUE"""),"11/28まで1巻無料")</f>
        <v>11/28まで1巻無料</v>
      </c>
      <c r="Z834" s="7"/>
      <c r="AA834" s="7"/>
      <c r="AB834" s="7"/>
    </row>
    <row r="835" ht="15.75" customHeight="1">
      <c r="A835" s="26">
        <f>IFERROR(__xludf.DUMMYFUNCTION("""COMPUTED_VALUE"""),2555.0)</f>
        <v>2555</v>
      </c>
      <c r="B835" s="31" t="str">
        <f>IFERROR(__xludf.DUMMYFUNCTION("""COMPUTED_VALUE"""),"確定")</f>
        <v>確定</v>
      </c>
      <c r="C835" s="28">
        <f>IFERROR(__xludf.DUMMYFUNCTION("""COMPUTED_VALUE"""),45223.0)</f>
        <v>45223</v>
      </c>
      <c r="D835" s="28">
        <f>IFERROR(__xludf.DUMMYFUNCTION("""COMPUTED_VALUE"""),45223.0)</f>
        <v>45223</v>
      </c>
      <c r="E835" s="26">
        <f>IFERROR(__xludf.DUMMYFUNCTION("""COMPUTED_VALUE"""),224012.0)</f>
        <v>224012</v>
      </c>
      <c r="F835" s="31" t="str">
        <f>IFERROR(__xludf.DUMMYFUNCTION("""COMPUTED_VALUE"""),"人気キャスターは本番前、雌になる")</f>
        <v>人気キャスターは本番前、雌になる</v>
      </c>
      <c r="G835" s="20" t="str">
        <f>IFERROR(__xludf.DUMMYFUNCTION("""COMPUTED_VALUE"""),"1～6")</f>
        <v>1～6</v>
      </c>
      <c r="H835" s="31" t="str">
        <f>IFERROR(__xludf.DUMMYFUNCTION("""COMPUTED_VALUE"""),"三並")</f>
        <v>三並</v>
      </c>
      <c r="I835" s="14" t="str">
        <f>IFERROR(__xludf.DUMMYFUNCTION("""COMPUTED_VALUE"""),"BL")</f>
        <v>BL</v>
      </c>
      <c r="J835" s="31"/>
      <c r="K835" s="31"/>
      <c r="L835" s="31" t="str">
        <f>IFERROR(__xludf.DUMMYFUNCTION("""COMPUTED_VALUE"""),"ソルマーレ編集部")</f>
        <v>ソルマーレ編集部</v>
      </c>
      <c r="M835" s="23">
        <f>IFERROR(__xludf.DUMMYFUNCTION("""COMPUTED_VALUE"""),45255.0)</f>
        <v>45255</v>
      </c>
      <c r="N835" s="23">
        <f>IFERROR(__xludf.DUMMYFUNCTION("""COMPUTED_VALUE"""),45316.0)</f>
        <v>45316</v>
      </c>
      <c r="O835" s="20"/>
      <c r="P835" s="34" t="str">
        <f>IFERROR(__xludf.DUMMYFUNCTION("""COMPUTED_VALUE"""),"可")</f>
        <v>可</v>
      </c>
      <c r="Q835" s="30" t="str">
        <f>IFERROR(__xludf.DUMMYFUNCTION("""COMPUTED_VALUE"""),"※正式タイトル下記の通りです（10/24）&lt;BR&gt;＝＝＝&lt;BR&gt;人気キャスターは本番前、雌になる&lt;BR&gt;＝＝＝&lt;BR&gt;")</f>
        <v>※正式タイトル下記の通りです（10/24）&lt;BR&gt;＝＝＝&lt;BR&gt;人気キャスターは本番前、雌になる&lt;BR&gt;＝＝＝&lt;BR&gt;</v>
      </c>
      <c r="R835" s="31"/>
      <c r="S835" s="31" t="str">
        <f>IFERROR(__xludf.DUMMYFUNCTION("""COMPUTED_VALUE"""),"20231024_ソルマーレ編集部_人気キャスターは本番前、雌になる")</f>
        <v>20231024_ソルマーレ編集部_人気キャスターは本番前、雌になる</v>
      </c>
      <c r="T835" s="31" t="str">
        <f>IFERROR(__xludf.DUMMYFUNCTION("""COMPUTED_VALUE"""),"格納済み")</f>
        <v>格納済み</v>
      </c>
      <c r="U835" s="15" t="str">
        <f>IFERROR(__xludf.DUMMYFUNCTION("""COMPUTED_VALUE"""),"Ⓒ 三並/シーモアコミックス")</f>
        <v>Ⓒ 三並/シーモアコミックス</v>
      </c>
      <c r="V835" s="8" t="str">
        <f>IFERROR(__xludf.DUMMYFUNCTION("""COMPUTED_VALUE"""),"月イチで1週間、性衝動をコントロールできなくなってしまう病気『誘引症』になってしまった、ニュースキャスターの御門（みかど）。「咥えるの上手ですね…見てるだけでイキそうです」発情を抑制するには男性の体液を摂取することが有効らしいけれど――番組に穴を空けられない御門に、新人アナウンサーの湊（みなと）が治療に協力すると提案してきて…。イケメン新人アナ×実力派キャスターのスキャンダラス・ラブ！【本作品は他社より配信されていた「人気キャスターは本番前、雌になる」を一部加筆修正したものです。重複購入にご注意ください】"&amp;"【フィカス】")</f>
        <v>月イチで1週間、性衝動をコントロールできなくなってしまう病気『誘引症』になってしまった、ニュースキャスターの御門（みかど）。「咥えるの上手ですね…見てるだけでイキそうです」発情を抑制するには男性の体液を摂取することが有効らしいけれど――番組に穴を空けられない御門に、新人アナウンサーの湊（みなと）が治療に協力すると提案してきて…。イケメン新人アナ×実力派キャスターのスキャンダラス・ラブ！【本作品は他社より配信されていた「人気キャスターは本番前、雌になる」を一部加筆修正したものです。重複購入にご注意ください】【フィカス】</v>
      </c>
      <c r="W835" s="14"/>
      <c r="X835" s="14" t="str">
        <f>IFERROR(__xludf.DUMMYFUNCTION("""COMPUTED_VALUE"""),"有
")</f>
        <v>有
</v>
      </c>
      <c r="Y835" s="8" t="str">
        <f>IFERROR(__xludf.DUMMYFUNCTION("""COMPUTED_VALUE"""),"P8まで")</f>
        <v>P8まで</v>
      </c>
      <c r="Z835" s="7"/>
      <c r="AA835" s="7"/>
      <c r="AB835" s="7"/>
    </row>
    <row r="836" ht="97.5" customHeight="1">
      <c r="A836" s="26">
        <f>IFERROR(__xludf.DUMMYFUNCTION("""COMPUTED_VALUE"""),2556.0)</f>
        <v>2556</v>
      </c>
      <c r="B836" s="31" t="str">
        <f>IFERROR(__xludf.DUMMYFUNCTION("""COMPUTED_VALUE"""),"確定")</f>
        <v>確定</v>
      </c>
      <c r="C836" s="28">
        <f>IFERROR(__xludf.DUMMYFUNCTION("""COMPUTED_VALUE"""),45223.0)</f>
        <v>45223</v>
      </c>
      <c r="D836" s="28">
        <f>IFERROR(__xludf.DUMMYFUNCTION("""COMPUTED_VALUE"""),45223.0)</f>
        <v>45223</v>
      </c>
      <c r="E836" s="26">
        <f>IFERROR(__xludf.DUMMYFUNCTION("""COMPUTED_VALUE"""),249065.0)</f>
        <v>249065</v>
      </c>
      <c r="F836" s="31" t="str">
        <f>IFERROR(__xludf.DUMMYFUNCTION("""COMPUTED_VALUE"""),"とある男女のなれそめ話")</f>
        <v>とある男女のなれそめ話</v>
      </c>
      <c r="G836" s="20" t="str">
        <f>IFERROR(__xludf.DUMMYFUNCTION("""COMPUTED_VALUE"""),"1～3")</f>
        <v>1～3</v>
      </c>
      <c r="H836" s="31" t="str">
        <f>IFERROR(__xludf.DUMMYFUNCTION("""COMPUTED_VALUE"""),"オザキミカ")</f>
        <v>オザキミカ</v>
      </c>
      <c r="I836" s="14" t="str">
        <f>IFERROR(__xludf.DUMMYFUNCTION("""COMPUTED_VALUE"""),"少女")</f>
        <v>少女</v>
      </c>
      <c r="J836" s="31"/>
      <c r="K836" s="31"/>
      <c r="L836" s="31" t="str">
        <f>IFERROR(__xludf.DUMMYFUNCTION("""COMPUTED_VALUE"""),"ソルマーレ編集部")</f>
        <v>ソルマーレ編集部</v>
      </c>
      <c r="M836" s="23">
        <f>IFERROR(__xludf.DUMMYFUNCTION("""COMPUTED_VALUE"""),45255.0)</f>
        <v>45255</v>
      </c>
      <c r="N836" s="23">
        <f>IFERROR(__xludf.DUMMYFUNCTION("""COMPUTED_VALUE"""),45316.0)</f>
        <v>45316</v>
      </c>
      <c r="O836" s="20"/>
      <c r="P836" s="34" t="str">
        <f>IFERROR(__xludf.DUMMYFUNCTION("""COMPUTED_VALUE"""),"可")</f>
        <v>可</v>
      </c>
      <c r="Q836" s="30" t="str">
        <f>IFERROR(__xludf.DUMMYFUNCTION("""COMPUTED_VALUE"""),"※正式タイトル下記の通りです（10/25）&lt;BR&gt;＝＝＝&lt;BR&gt;とある男女のなれそめ話&lt;BR&gt;＝＝＝&lt;BR&gt;")</f>
        <v>※正式タイトル下記の通りです（10/25）&lt;BR&gt;＝＝＝&lt;BR&gt;とある男女のなれそめ話&lt;BR&gt;＝＝＝&lt;BR&gt;</v>
      </c>
      <c r="R836" s="31"/>
      <c r="S836" s="31" t="str">
        <f>IFERROR(__xludf.DUMMYFUNCTION("""COMPUTED_VALUE"""),"20231024_ソルマーレ編集部_とある男女のなれそめ話")</f>
        <v>20231024_ソルマーレ編集部_とある男女のなれそめ話</v>
      </c>
      <c r="T836" s="31" t="str">
        <f>IFERROR(__xludf.DUMMYFUNCTION("""COMPUTED_VALUE"""),"格納済み")</f>
        <v>格納済み</v>
      </c>
      <c r="U836" s="15" t="str">
        <f>IFERROR(__xludf.DUMMYFUNCTION("""COMPUTED_VALUE"""),"Ⓒ オザキミカ/シーモアコミックス")</f>
        <v>Ⓒ オザキミカ/シーモアコミックス</v>
      </c>
      <c r="V836" s="8" t="str">
        <f>IFERROR(__xludf.DUMMYFUNCTION("""COMPUTED_VALUE"""),"これはとある男女の本当にあったなれそめ話である――会社に入って3年目の史はコールセンターから営業部署へ異動になった。営業では南野さんという爽やかでイケメンな人が上司になって…!?【恋するソワレ】")</f>
        <v>これはとある男女の本当にあったなれそめ話である――会社に入って3年目の史はコールセンターから営業部署へ異動になった。営業では南野さんという爽やかでイケメンな人が上司になって…!?【恋するソワレ】</v>
      </c>
      <c r="W836" s="14"/>
      <c r="X836" s="14" t="str">
        <f>IFERROR(__xludf.DUMMYFUNCTION("""COMPUTED_VALUE"""),"有
")</f>
        <v>有
</v>
      </c>
      <c r="Y836" s="8" t="str">
        <f>IFERROR(__xludf.DUMMYFUNCTION("""COMPUTED_VALUE"""),"12/8まで1巻無料")</f>
        <v>12/8まで1巻無料</v>
      </c>
      <c r="Z836" s="7"/>
      <c r="AA836" s="7"/>
      <c r="AB836" s="7"/>
    </row>
    <row r="837" ht="15.75" customHeight="1">
      <c r="A837" s="26">
        <f>IFERROR(__xludf.DUMMYFUNCTION("""COMPUTED_VALUE"""),2557.0)</f>
        <v>2557</v>
      </c>
      <c r="B837" s="31" t="str">
        <f>IFERROR(__xludf.DUMMYFUNCTION("""COMPUTED_VALUE"""),"確定")</f>
        <v>確定</v>
      </c>
      <c r="C837" s="28">
        <f>IFERROR(__xludf.DUMMYFUNCTION("""COMPUTED_VALUE"""),45223.0)</f>
        <v>45223</v>
      </c>
      <c r="D837" s="28">
        <f>IFERROR(__xludf.DUMMYFUNCTION("""COMPUTED_VALUE"""),45223.0)</f>
        <v>45223</v>
      </c>
      <c r="E837" s="26">
        <f>IFERROR(__xludf.DUMMYFUNCTION("""COMPUTED_VALUE"""),271090.0)</f>
        <v>271090</v>
      </c>
      <c r="F837" s="31" t="str">
        <f>IFERROR(__xludf.DUMMYFUNCTION("""COMPUTED_VALUE"""),"500万のシンデレラ")</f>
        <v>500万のシンデレラ</v>
      </c>
      <c r="G837" s="20" t="str">
        <f>IFERROR(__xludf.DUMMYFUNCTION("""COMPUTED_VALUE"""),"1～3")</f>
        <v>1～3</v>
      </c>
      <c r="H837" s="31" t="str">
        <f>IFERROR(__xludf.DUMMYFUNCTION("""COMPUTED_VALUE"""),"IS")</f>
        <v>IS</v>
      </c>
      <c r="I837" s="14" t="str">
        <f>IFERROR(__xludf.DUMMYFUNCTION("""COMPUTED_VALUE"""),"少女")</f>
        <v>少女</v>
      </c>
      <c r="J837" s="31"/>
      <c r="K837" s="31"/>
      <c r="L837" s="31" t="str">
        <f>IFERROR(__xludf.DUMMYFUNCTION("""COMPUTED_VALUE"""),"ソルマーレ編集部")</f>
        <v>ソルマーレ編集部</v>
      </c>
      <c r="M837" s="23">
        <f>IFERROR(__xludf.DUMMYFUNCTION("""COMPUTED_VALUE"""),45255.0)</f>
        <v>45255</v>
      </c>
      <c r="N837" s="23">
        <f>IFERROR(__xludf.DUMMYFUNCTION("""COMPUTED_VALUE"""),45316.0)</f>
        <v>45316</v>
      </c>
      <c r="O837" s="20"/>
      <c r="P837" s="34" t="str">
        <f>IFERROR(__xludf.DUMMYFUNCTION("""COMPUTED_VALUE"""),"可")</f>
        <v>可</v>
      </c>
      <c r="Q837" s="30" t="str">
        <f>IFERROR(__xludf.DUMMYFUNCTION("""COMPUTED_VALUE"""),"&lt;BR&gt;")</f>
        <v>&lt;BR&gt;</v>
      </c>
      <c r="R837" s="31"/>
      <c r="S837" s="31" t="str">
        <f>IFERROR(__xludf.DUMMYFUNCTION("""COMPUTED_VALUE"""),"20231024_ソルマーレ編集部_500万のシンデレラ")</f>
        <v>20231024_ソルマーレ編集部_500万のシンデレラ</v>
      </c>
      <c r="T837" s="31" t="str">
        <f>IFERROR(__xludf.DUMMYFUNCTION("""COMPUTED_VALUE"""),"格納済み")</f>
        <v>格納済み</v>
      </c>
      <c r="U837" s="15" t="str">
        <f>IFERROR(__xludf.DUMMYFUNCTION("""COMPUTED_VALUE"""),"Ⓒ IS/シーモアコミックス")</f>
        <v>Ⓒ IS/シーモアコミックス</v>
      </c>
      <c r="V837" s="8" t="str">
        <f>IFERROR(__xludf.DUMMYFUNCTION("""COMPUTED_VALUE"""),"名家・七瀬家にも関わらず家庭内では愛人の娘だからと使用人のように扱われてきた明日花はいつかこの家を出て自立することを夢に生きてきた。そんなある日、食堂で大学の学長の息子・平野孝弥にぶつかられてそれをきっかけにナゼか「金を払うから俺の同伴者としてパーティーに来てほしい」と誘われ…!?限界大学生・明日花の人生、シンデレラ展開に突入の予感…？【恋するソワレ】")</f>
        <v>名家・七瀬家にも関わらず家庭内では愛人の娘だからと使用人のように扱われてきた明日花はいつかこの家を出て自立することを夢に生きてきた。そんなある日、食堂で大学の学長の息子・平野孝弥にぶつかられてそれをきっかけにナゼか「金を払うから俺の同伴者としてパーティーに来てほしい」と誘われ…!?限界大学生・明日花の人生、シンデレラ展開に突入の予感…？【恋するソワレ】</v>
      </c>
      <c r="W837" s="14"/>
      <c r="X837" s="14" t="str">
        <f>IFERROR(__xludf.DUMMYFUNCTION("""COMPUTED_VALUE"""),"有
")</f>
        <v>有
</v>
      </c>
      <c r="Y837" s="8" t="str">
        <f>IFERROR(__xludf.DUMMYFUNCTION("""COMPUTED_VALUE"""),"12/8まで1巻無料")</f>
        <v>12/8まで1巻無料</v>
      </c>
      <c r="Z837" s="7"/>
      <c r="AA837" s="7"/>
      <c r="AB837" s="7"/>
    </row>
    <row r="838" ht="15.75" customHeight="1">
      <c r="A838" s="26">
        <f>IFERROR(__xludf.DUMMYFUNCTION("""COMPUTED_VALUE"""),2558.0)</f>
        <v>2558</v>
      </c>
      <c r="B838" s="31" t="str">
        <f>IFERROR(__xludf.DUMMYFUNCTION("""COMPUTED_VALUE"""),"確定")</f>
        <v>確定</v>
      </c>
      <c r="C838" s="28">
        <f>IFERROR(__xludf.DUMMYFUNCTION("""COMPUTED_VALUE"""),45223.0)</f>
        <v>45223</v>
      </c>
      <c r="D838" s="28">
        <f>IFERROR(__xludf.DUMMYFUNCTION("""COMPUTED_VALUE"""),45223.0)</f>
        <v>45223</v>
      </c>
      <c r="E838" s="26">
        <f>IFERROR(__xludf.DUMMYFUNCTION("""COMPUTED_VALUE"""),273342.0)</f>
        <v>273342</v>
      </c>
      <c r="F838" s="31" t="str">
        <f>IFERROR(__xludf.DUMMYFUNCTION("""COMPUTED_VALUE"""),"恋愛デビュー")</f>
        <v>恋愛デビュー</v>
      </c>
      <c r="G838" s="20" t="str">
        <f>IFERROR(__xludf.DUMMYFUNCTION("""COMPUTED_VALUE"""),"1～3")</f>
        <v>1～3</v>
      </c>
      <c r="H838" s="31" t="str">
        <f>IFERROR(__xludf.DUMMYFUNCTION("""COMPUTED_VALUE"""),"和時シキ")</f>
        <v>和時シキ</v>
      </c>
      <c r="I838" s="14" t="str">
        <f>IFERROR(__xludf.DUMMYFUNCTION("""COMPUTED_VALUE"""),"BL")</f>
        <v>BL</v>
      </c>
      <c r="J838" s="31"/>
      <c r="K838" s="31"/>
      <c r="L838" s="31" t="str">
        <f>IFERROR(__xludf.DUMMYFUNCTION("""COMPUTED_VALUE"""),"ソルマーレ編集部")</f>
        <v>ソルマーレ編集部</v>
      </c>
      <c r="M838" s="23">
        <f>IFERROR(__xludf.DUMMYFUNCTION("""COMPUTED_VALUE"""),45255.0)</f>
        <v>45255</v>
      </c>
      <c r="N838" s="23">
        <f>IFERROR(__xludf.DUMMYFUNCTION("""COMPUTED_VALUE"""),45316.0)</f>
        <v>45316</v>
      </c>
      <c r="O838" s="20"/>
      <c r="P838" s="34" t="str">
        <f>IFERROR(__xludf.DUMMYFUNCTION("""COMPUTED_VALUE"""),"可")</f>
        <v>可</v>
      </c>
      <c r="Q838" s="30" t="str">
        <f>IFERROR(__xludf.DUMMYFUNCTION("""COMPUTED_VALUE"""),"※正式タイトル下記の通りです（10/24）&lt;BR&gt;＝＝＝&lt;BR&gt;恋愛デビュー&lt;BR&gt;＝＝＝&lt;BR&gt;")</f>
        <v>※正式タイトル下記の通りです（10/24）&lt;BR&gt;＝＝＝&lt;BR&gt;恋愛デビュー&lt;BR&gt;＝＝＝&lt;BR&gt;</v>
      </c>
      <c r="R838" s="31"/>
      <c r="S838" s="31" t="str">
        <f>IFERROR(__xludf.DUMMYFUNCTION("""COMPUTED_VALUE"""),"20231024_ソルマーレ編集部_恋愛デビュー")</f>
        <v>20231024_ソルマーレ編集部_恋愛デビュー</v>
      </c>
      <c r="T838" s="31" t="str">
        <f>IFERROR(__xludf.DUMMYFUNCTION("""COMPUTED_VALUE"""),"格納済み")</f>
        <v>格納済み</v>
      </c>
      <c r="U838" s="15" t="str">
        <f>IFERROR(__xludf.DUMMYFUNCTION("""COMPUTED_VALUE"""),"Ⓒ 和時シキ/シーモアコミックス")</f>
        <v>Ⓒ 和時シキ/シーモアコミックス</v>
      </c>
      <c r="V838" s="8" t="str">
        <f>IFERROR(__xludf.DUMMYFUNCTION("""COMPUTED_VALUE"""),"職業：小説家、扶養家族：ネコ1匹、恋愛経験：ゼロ。
人生初の恋人は…10歳年下の筋肉男子！
小説家の律（りつ）の恋人は、スポーツジムのインストラクターの一真（かずま）。元高校球児の一真は爽やかで明るくて、料理上手で、いつもとろとろになるまで甘やかしてくれる。人生初めての恋人がこんなにステキでいいんですか？　恋愛関係になるなんて、出会った当初は思いもしてなかったのに──。ワンコ系年下×コミュ苦手作家のエロきゅん初恋ストーリー☆【フィカス】")</f>
        <v>職業：小説家、扶養家族：ネコ1匹、恋愛経験：ゼロ。
人生初の恋人は…10歳年下の筋肉男子！
小説家の律（りつ）の恋人は、スポーツジムのインストラクターの一真（かずま）。元高校球児の一真は爽やかで明るくて、料理上手で、いつもとろとろになるまで甘やかしてくれる。人生初めての恋人がこんなにステキでいいんですか？　恋愛関係になるなんて、出会った当初は思いもしてなかったのに──。ワンコ系年下×コミュ苦手作家のエロきゅん初恋ストーリー☆【フィカス】</v>
      </c>
      <c r="W838" s="14"/>
      <c r="X838" s="14" t="str">
        <f>IFERROR(__xludf.DUMMYFUNCTION("""COMPUTED_VALUE"""),"有
")</f>
        <v>有
</v>
      </c>
      <c r="Y838" s="8" t="str">
        <f>IFERROR(__xludf.DUMMYFUNCTION("""COMPUTED_VALUE"""),"P12まで")</f>
        <v>P12まで</v>
      </c>
      <c r="Z838" s="7"/>
      <c r="AA838" s="7"/>
      <c r="AB838" s="7"/>
    </row>
    <row r="839" ht="15.75" customHeight="1">
      <c r="A839" s="26">
        <f>IFERROR(__xludf.DUMMYFUNCTION("""COMPUTED_VALUE"""),2559.0)</f>
        <v>2559</v>
      </c>
      <c r="B839" s="31" t="str">
        <f>IFERROR(__xludf.DUMMYFUNCTION("""COMPUTED_VALUE"""),"確定")</f>
        <v>確定</v>
      </c>
      <c r="C839" s="28">
        <f>IFERROR(__xludf.DUMMYFUNCTION("""COMPUTED_VALUE"""),45223.0)</f>
        <v>45223</v>
      </c>
      <c r="D839" s="28">
        <f>IFERROR(__xludf.DUMMYFUNCTION("""COMPUTED_VALUE"""),45223.0)</f>
        <v>45223</v>
      </c>
      <c r="E839" s="26">
        <f>IFERROR(__xludf.DUMMYFUNCTION("""COMPUTED_VALUE"""),277981.0)</f>
        <v>277981</v>
      </c>
      <c r="F839" s="31" t="str">
        <f>IFERROR(__xludf.DUMMYFUNCTION("""COMPUTED_VALUE"""),"君さえいれば晴天なり")</f>
        <v>君さえいれば晴天なり</v>
      </c>
      <c r="G839" s="20">
        <f>IFERROR(__xludf.DUMMYFUNCTION("""COMPUTED_VALUE"""),1.0)</f>
        <v>1</v>
      </c>
      <c r="H839" s="31" t="str">
        <f>IFERROR(__xludf.DUMMYFUNCTION("""COMPUTED_VALUE"""),"bon")</f>
        <v>bon</v>
      </c>
      <c r="I839" s="14" t="str">
        <f>IFERROR(__xludf.DUMMYFUNCTION("""COMPUTED_VALUE"""),"BL")</f>
        <v>BL</v>
      </c>
      <c r="J839" s="31"/>
      <c r="K839" s="31"/>
      <c r="L839" s="31" t="str">
        <f>IFERROR(__xludf.DUMMYFUNCTION("""COMPUTED_VALUE"""),"ソルマーレ編集部")</f>
        <v>ソルマーレ編集部</v>
      </c>
      <c r="M839" s="23">
        <f>IFERROR(__xludf.DUMMYFUNCTION("""COMPUTED_VALUE"""),45255.0)</f>
        <v>45255</v>
      </c>
      <c r="N839" s="23">
        <f>IFERROR(__xludf.DUMMYFUNCTION("""COMPUTED_VALUE"""),45316.0)</f>
        <v>45316</v>
      </c>
      <c r="O839" s="20"/>
      <c r="P839" s="32" t="str">
        <f>IFERROR(__xludf.DUMMYFUNCTION("""COMPUTED_VALUE"""),"可")</f>
        <v>可</v>
      </c>
      <c r="Q839" s="30"/>
      <c r="R839" s="31"/>
      <c r="S839" s="31" t="str">
        <f>IFERROR(__xludf.DUMMYFUNCTION("""COMPUTED_VALUE"""),"20231024_ソルマーレ編集部_君さえいれば晴天なり")</f>
        <v>20231024_ソルマーレ編集部_君さえいれば晴天なり</v>
      </c>
      <c r="T839" s="31" t="str">
        <f>IFERROR(__xludf.DUMMYFUNCTION("""COMPUTED_VALUE"""),"格納済み")</f>
        <v>格納済み</v>
      </c>
      <c r="U839" s="15" t="str">
        <f>IFERROR(__xludf.DUMMYFUNCTION("""COMPUTED_VALUE"""),"Ⓒ bon/シーモアコミックス")</f>
        <v>Ⓒ bon/シーモアコミックス</v>
      </c>
      <c r="V839" s="8" t="str">
        <f>IFERROR(__xludf.DUMMYFUNCTION("""COMPUTED_VALUE"""),"【2023年8月期コミックシーモア毎月マンガ賞銅賞受賞作品】
泣き虫な天(そら)には秘密がある。彼が【泣くと雨が降ること】だ。そんな彼に課せられた日課、それはサボり魔の塁(るい)を連れ戻すこと。真逆で強気な性格をしている塁にいつもいじめられ、天は泣かされてしまう。だけどふと見せる、優しさや屈託のない笑顔に惹かれ、思わずキスを――!? 近づいたり遠ざかったり、二人の距離は大忙し！な青春ラブストーリー☆【フィカス】")</f>
        <v>【2023年8月期コミックシーモア毎月マンガ賞銅賞受賞作品】
泣き虫な天(そら)には秘密がある。彼が【泣くと雨が降ること】だ。そんな彼に課せられた日課、それはサボり魔の塁(るい)を連れ戻すこと。真逆で強気な性格をしている塁にいつもいじめられ、天は泣かされてしまう。だけどふと見せる、優しさや屈託のない笑顔に惹かれ、思わずキスを――!? 近づいたり遠ざかったり、二人の距離は大忙し！な青春ラブストーリー☆【フィカス】</v>
      </c>
      <c r="W839" s="14"/>
      <c r="X839" s="14" t="str">
        <f>IFERROR(__xludf.DUMMYFUNCTION("""COMPUTED_VALUE"""),"有
")</f>
        <v>有
</v>
      </c>
      <c r="Y839" s="8" t="str">
        <f>IFERROR(__xludf.DUMMYFUNCTION("""COMPUTED_VALUE"""),"P7まで")</f>
        <v>P7まで</v>
      </c>
      <c r="Z839" s="7"/>
      <c r="AA839" s="7"/>
      <c r="AB839" s="7"/>
    </row>
    <row r="840" ht="15.75" customHeight="1">
      <c r="A840" s="26">
        <f>IFERROR(__xludf.DUMMYFUNCTION("""COMPUTED_VALUE"""),2127.0)</f>
        <v>2127</v>
      </c>
      <c r="B840" s="31" t="str">
        <f>IFERROR(__xludf.DUMMYFUNCTION("""COMPUTED_VALUE"""),"確定")</f>
        <v>確定</v>
      </c>
      <c r="C840" s="28">
        <f>IFERROR(__xludf.DUMMYFUNCTION("""COMPUTED_VALUE"""),45110.0)</f>
        <v>45110</v>
      </c>
      <c r="D840" s="28">
        <f>IFERROR(__xludf.DUMMYFUNCTION("""COMPUTED_VALUE"""),45230.0)</f>
        <v>45230</v>
      </c>
      <c r="E840" s="31">
        <f>IFERROR(__xludf.DUMMYFUNCTION("""COMPUTED_VALUE"""),280571.0)</f>
        <v>280571</v>
      </c>
      <c r="F840" s="31" t="str">
        <f>IFERROR(__xludf.DUMMYFUNCTION("""COMPUTED_VALUE"""),"ベッドの中で 起きても イイコト【単話】")</f>
        <v>ベッドの中で 起きても イイコト【単話】</v>
      </c>
      <c r="G840" s="16" t="str">
        <f>IFERROR(__xludf.DUMMYFUNCTION("""COMPUTED_VALUE"""),"1～3")</f>
        <v>1～3</v>
      </c>
      <c r="H840" s="31" t="str">
        <f>IFERROR(__xludf.DUMMYFUNCTION("""COMPUTED_VALUE"""),"yamato")</f>
        <v>yamato</v>
      </c>
      <c r="I840" s="31" t="str">
        <f>IFERROR(__xludf.DUMMYFUNCTION("""COMPUTED_VALUE"""),"TL")</f>
        <v>TL</v>
      </c>
      <c r="J840" s="31"/>
      <c r="K840" s="31"/>
      <c r="L840" s="31" t="str">
        <f>IFERROR(__xludf.DUMMYFUNCTION("""COMPUTED_VALUE"""),"オークラ出版")</f>
        <v>オークラ出版</v>
      </c>
      <c r="M840" s="23">
        <f>IFERROR(__xludf.DUMMYFUNCTION("""COMPUTED_VALUE"""),45254.0)</f>
        <v>45254</v>
      </c>
      <c r="N840" s="23">
        <f>IFERROR(__xludf.DUMMYFUNCTION("""COMPUTED_VALUE"""),45281.0)</f>
        <v>45281</v>
      </c>
      <c r="O840" s="20"/>
      <c r="P840" s="32" t="str">
        <f>IFERROR(__xludf.DUMMYFUNCTION("""COMPUTED_VALUE"""),"可")</f>
        <v>可</v>
      </c>
      <c r="Q840" s="35"/>
      <c r="R840" s="35">
        <f>IFERROR(__xludf.DUMMYFUNCTION("""COMPUTED_VALUE"""),45226.0)</f>
        <v>45226</v>
      </c>
      <c r="S840" s="31" t="str">
        <f>IFERROR(__xludf.DUMMYFUNCTION("""COMPUTED_VALUE"""),"20231031_オークラ出版_ベッドの中で 起きても イイコト【単話】")</f>
        <v>20231031_オークラ出版_ベッドの中で 起きても イイコト【単話】</v>
      </c>
      <c r="T840" s="31" t="str">
        <f>IFERROR(__xludf.DUMMYFUNCTION("""COMPUTED_VALUE"""),"格納済み")</f>
        <v>格納済み</v>
      </c>
      <c r="U840" s="15" t="str">
        <f>IFERROR(__xludf.DUMMYFUNCTION("""COMPUTED_VALUE"""),"(C)yamato/オークラ出版 ミンティ")</f>
        <v>(C)yamato/オークラ出版 ミンティ</v>
      </c>
      <c r="V840" s="8" t="str">
        <f>IFERROR(__xludf.DUMMYFUNCTION("""COMPUTED_VALUE"""),"「俺が気持ちよくするから…、だから帰っちゃダメ」
“お金を大切にしたらイイコトがある”という亡き祖母の教えを守っている派遣社員の四葉は、ある日、路地裏で一人座り込む綺麗な顔立ちのどこか憂いを帯びた青年と出会う。
その青年は急にお金を差し出し「コレあげるから…だから、俺と一緒にいて」と懇願してきた。
一人にするのも気が引けて、青年が住む家まで送り届け帰ろうとする四葉だが、「一緒にいてって言ったよね！」と引き止められた挙句、キスをされてソファに押し倒されてしまう。
「帰さないよ。俺がちゃんと気持ちよく"&amp;"するから…」
名前も知らない、会ったばかりの男性にイケナイことをされて、身体が熱く疼いて声も勝手に出ちゃう！
整った顔立ちで、高級マンション住みのお金持ち…、貴方は一体何者なの…！？
お金が二人の縁を結ぶラブコメディ！！")</f>
        <v>「俺が気持ちよくするから…、だから帰っちゃダメ」
“お金を大切にしたらイイコトがある”という亡き祖母の教えを守っている派遣社員の四葉は、ある日、路地裏で一人座り込む綺麗な顔立ちのどこか憂いを帯びた青年と出会う。
その青年は急にお金を差し出し「コレあげるから…だから、俺と一緒にいて」と懇願してきた。
一人にするのも気が引けて、青年が住む家まで送り届け帰ろうとする四葉だが、「一緒にいてって言ったよね！」と引き止められた挙句、キスをされてソファに押し倒されてしまう。
「帰さないよ。俺がちゃんと気持ちよくするから…」
名前も知らない、会ったばかりの男性にイケナイことをされて、身体が熱く疼いて声も勝手に出ちゃう！
整った顔立ちで、高級マンション住みのお金持ち…、貴方は一体何者なの…！？
お金が二人の縁を結ぶラブコメディ！！</v>
      </c>
      <c r="W840" s="14"/>
      <c r="X840" s="14" t="str">
        <f>IFERROR(__xludf.DUMMYFUNCTION("""COMPUTED_VALUE"""),"有
")</f>
        <v>有
</v>
      </c>
      <c r="Y840" s="8" t="str">
        <f>IFERROR(__xludf.DUMMYFUNCTION("""COMPUTED_VALUE"""),"12/7まで1巻無料")</f>
        <v>12/7まで1巻無料</v>
      </c>
      <c r="Z840" s="7"/>
      <c r="AA840" s="7"/>
      <c r="AB840" s="7"/>
    </row>
    <row r="841" ht="15.75" customHeight="1">
      <c r="A841" s="26">
        <f>IFERROR(__xludf.DUMMYFUNCTION("""COMPUTED_VALUE"""),2355.0)</f>
        <v>2355</v>
      </c>
      <c r="B841" s="31" t="str">
        <f>IFERROR(__xludf.DUMMYFUNCTION("""COMPUTED_VALUE"""),"確定")</f>
        <v>確定</v>
      </c>
      <c r="C841" s="28">
        <f>IFERROR(__xludf.DUMMYFUNCTION("""COMPUTED_VALUE"""),45175.0)</f>
        <v>45175</v>
      </c>
      <c r="D841" s="28">
        <f>IFERROR(__xludf.DUMMYFUNCTION("""COMPUTED_VALUE"""),45231.0)</f>
        <v>45231</v>
      </c>
      <c r="E841" s="31">
        <f>IFERROR(__xludf.DUMMYFUNCTION("""COMPUTED_VALUE"""),281266.0)</f>
        <v>281266</v>
      </c>
      <c r="F841" s="31" t="str">
        <f>IFERROR(__xludf.DUMMYFUNCTION("""COMPUTED_VALUE"""),"最強勇者パーティーは愛が知りたい【単話版】")</f>
        <v>最強勇者パーティーは愛が知りたい【単話版】</v>
      </c>
      <c r="G841" s="11" t="str">
        <f>IFERROR(__xludf.DUMMYFUNCTION("""COMPUTED_VALUE"""),"1～4")</f>
        <v>1～4</v>
      </c>
      <c r="H841" s="31" t="str">
        <f>IFERROR(__xludf.DUMMYFUNCTION("""COMPUTED_VALUE"""),"山田肌襦袢")</f>
        <v>山田肌襦袢</v>
      </c>
      <c r="I841" s="31" t="str">
        <f>IFERROR(__xludf.DUMMYFUNCTION("""COMPUTED_VALUE"""),"青年")</f>
        <v>青年</v>
      </c>
      <c r="J841" s="31"/>
      <c r="K841" s="31"/>
      <c r="L841" s="31" t="str">
        <f>IFERROR(__xludf.DUMMYFUNCTION("""COMPUTED_VALUE"""),"GANMA!")</f>
        <v>GANMA!</v>
      </c>
      <c r="M841" s="23">
        <f>IFERROR(__xludf.DUMMYFUNCTION("""COMPUTED_VALUE"""),45261.0)</f>
        <v>45261</v>
      </c>
      <c r="N841" s="23">
        <f>IFERROR(__xludf.DUMMYFUNCTION("""COMPUTED_VALUE"""),45412.66666666667)</f>
        <v>45412.66667</v>
      </c>
      <c r="O841" s="20"/>
      <c r="P841" s="34" t="str">
        <f>IFERROR(__xludf.DUMMYFUNCTION("""COMPUTED_VALUE"""),"否")</f>
        <v>否</v>
      </c>
      <c r="Q841" s="30" t="str">
        <f>IFERROR(__xludf.DUMMYFUNCTION("""COMPUTED_VALUE"""),"広告コミットOK(9/12)")</f>
        <v>広告コミットOK(9/12)</v>
      </c>
      <c r="R841" s="31"/>
      <c r="S841" s="31" t="str">
        <f>IFERROR(__xludf.DUMMYFUNCTION("""COMPUTED_VALUE"""),"20231030_GANMA!_最強勇者パーティーは愛が知りたい【単話版】")</f>
        <v>20231030_GANMA!_最強勇者パーティーは愛が知りたい【単話版】</v>
      </c>
      <c r="T841" s="31" t="str">
        <f>IFERROR(__xludf.DUMMYFUNCTION("""COMPUTED_VALUE"""),"格納済み")</f>
        <v>格納済み</v>
      </c>
      <c r="U841" s="15" t="str">
        <f>IFERROR(__xludf.DUMMYFUNCTION("""COMPUTED_VALUE"""),"©山田肌襦袢／COMICSMART INC.")</f>
        <v>©山田肌襦袢／COMICSMART INC.</v>
      </c>
      <c r="V841" s="8" t="str">
        <f>IFERROR(__xludf.DUMMYFUNCTION("""COMPUTED_VALUE"""),"最強モテ勇者が、なぜか俺（非モテ魔法使い）を離してくれない！！！！最強勇者パーティーの冒険は、みんなのちょっと変わった愛（ラブ）に溢れている。（著者名： 山田肌襦袢/初出：GANMA!1話掲載分）")</f>
        <v>最強モテ勇者が、なぜか俺（非モテ魔法使い）を離してくれない！！！！最強勇者パーティーの冒険は、みんなのちょっと変わった愛（ラブ）に溢れている。（著者名： 山田肌襦袢/初出：GANMA!1話掲載分）</v>
      </c>
      <c r="W841" s="14"/>
      <c r="X841" s="14" t="str">
        <f>IFERROR(__xludf.DUMMYFUNCTION("""COMPUTED_VALUE"""),"有")</f>
        <v>有</v>
      </c>
      <c r="Y841" s="8" t="str">
        <f>IFERROR(__xludf.DUMMYFUNCTION("""COMPUTED_VALUE"""),"12/31まで1話無料")</f>
        <v>12/31まで1話無料</v>
      </c>
      <c r="Z841" s="7"/>
      <c r="AA841" s="7"/>
      <c r="AB841" s="7"/>
    </row>
    <row r="842" ht="15.75" customHeight="1">
      <c r="A842" s="26">
        <f>IFERROR(__xludf.DUMMYFUNCTION("""COMPUTED_VALUE"""),2409.0)</f>
        <v>2409</v>
      </c>
      <c r="B842" s="31" t="str">
        <f>IFERROR(__xludf.DUMMYFUNCTION("""COMPUTED_VALUE"""),"確定")</f>
        <v>確定</v>
      </c>
      <c r="C842" s="28">
        <f>IFERROR(__xludf.DUMMYFUNCTION("""COMPUTED_VALUE"""),45188.0)</f>
        <v>45188</v>
      </c>
      <c r="D842" s="28">
        <f>IFERROR(__xludf.DUMMYFUNCTION("""COMPUTED_VALUE"""),45229.0)</f>
        <v>45229</v>
      </c>
      <c r="E842" s="31">
        <f>IFERROR(__xludf.DUMMYFUNCTION("""COMPUTED_VALUE"""),283755.0)</f>
        <v>283755</v>
      </c>
      <c r="F842" s="31" t="str">
        <f>IFERROR(__xludf.DUMMYFUNCTION("""COMPUTED_VALUE"""),"金色の花嫁とやさしい旦那様")</f>
        <v>金色の花嫁とやさしい旦那様</v>
      </c>
      <c r="G842" s="20" t="str">
        <f>IFERROR(__xludf.DUMMYFUNCTION("""COMPUTED_VALUE"""),"1~3")</f>
        <v>1~3</v>
      </c>
      <c r="H842" s="31" t="str">
        <f>IFERROR(__xludf.DUMMYFUNCTION("""COMPUTED_VALUE"""),"Nage")</f>
        <v>Nage</v>
      </c>
      <c r="I842" s="31" t="str">
        <f>IFERROR(__xludf.DUMMYFUNCTION("""COMPUTED_VALUE"""),"女性")</f>
        <v>女性</v>
      </c>
      <c r="J842" s="31"/>
      <c r="K842" s="31"/>
      <c r="L842" s="31" t="str">
        <f>IFERROR(__xludf.DUMMYFUNCTION("""COMPUTED_VALUE"""),"COMIC stella")</f>
        <v>COMIC stella</v>
      </c>
      <c r="M842" s="23">
        <f>IFERROR(__xludf.DUMMYFUNCTION("""COMPUTED_VALUE"""),45297.0)</f>
        <v>45297</v>
      </c>
      <c r="N842" s="33">
        <f>IFERROR(__xludf.DUMMYFUNCTION("""COMPUTED_VALUE"""),45387.0)</f>
        <v>45387</v>
      </c>
      <c r="O842" s="20"/>
      <c r="P842" s="34" t="str">
        <f>IFERROR(__xludf.DUMMYFUNCTION("""COMPUTED_VALUE"""),"可")</f>
        <v>可</v>
      </c>
      <c r="Q842" s="30" t="str">
        <f>IFERROR(__xludf.DUMMYFUNCTION("""COMPUTED_VALUE"""),"広告コミットOK(9/22)&lt;BR&gt;")</f>
        <v>広告コミットOK(9/22)&lt;BR&gt;</v>
      </c>
      <c r="R842" s="31"/>
      <c r="S842" s="31" t="str">
        <f>IFERROR(__xludf.DUMMYFUNCTION("""COMPUTED_VALUE"""),"20231030_暁NEXT（COMICstella）_金色の花嫁とやさしい旦那様")</f>
        <v>20231030_暁NEXT（COMICstella）_金色の花嫁とやさしい旦那様</v>
      </c>
      <c r="T842" s="31" t="str">
        <f>IFERROR(__xludf.DUMMYFUNCTION("""COMPUTED_VALUE"""),"格納済み")</f>
        <v>格納済み</v>
      </c>
      <c r="U842" s="15" t="str">
        <f>IFERROR(__xludf.DUMMYFUNCTION("""COMPUTED_VALUE"""),"（C）Nage／COMIC stella")</f>
        <v>（C）Nage／COMIC stella</v>
      </c>
      <c r="V842" s="8" t="str">
        <f>IFERROR(__xludf.DUMMYFUNCTION("""COMPUTED_VALUE"""),"人とは異なる能力を持って生まれた『いと』は、鎖で繋がれ、家族に搾取される日々をおくっていた。そんないとを救い出すために、『燐』はある提案をする。
愛のない結婚ではあったが、ぶっきらぼうながらも優しい燐に徐々に心を開いていくいと。
しかし、いとを取り戻そうと弟・誠一郎はある計画を企てるのだった。")</f>
        <v>人とは異なる能力を持って生まれた『いと』は、鎖で繋がれ、家族に搾取される日々をおくっていた。そんないとを救い出すために、『燐』はある提案をする。
愛のない結婚ではあったが、ぶっきらぼうながらも優しい燐に徐々に心を開いていくいと。
しかし、いとを取り戻そうと弟・誠一郎はある計画を企てるのだった。</v>
      </c>
      <c r="W842" s="14"/>
      <c r="X842" s="14" t="str">
        <f>IFERROR(__xludf.DUMMYFUNCTION("""COMPUTED_VALUE"""),"有
")</f>
        <v>有
</v>
      </c>
      <c r="Y842" s="8" t="str">
        <f>IFERROR(__xludf.DUMMYFUNCTION("""COMPUTED_VALUE"""),"P5まで")</f>
        <v>P5まで</v>
      </c>
      <c r="Z842" s="7"/>
      <c r="AA842" s="7"/>
      <c r="AB842" s="7"/>
    </row>
    <row r="843" ht="15.75" customHeight="1">
      <c r="A843" s="26">
        <f>IFERROR(__xludf.DUMMYFUNCTION("""COMPUTED_VALUE"""),2417.0)</f>
        <v>2417</v>
      </c>
      <c r="B843" s="31" t="str">
        <f>IFERROR(__xludf.DUMMYFUNCTION("""COMPUTED_VALUE"""),"確定")</f>
        <v>確定</v>
      </c>
      <c r="C843" s="28">
        <f>IFERROR(__xludf.DUMMYFUNCTION("""COMPUTED_VALUE"""),45190.0)</f>
        <v>45190</v>
      </c>
      <c r="D843" s="28">
        <f>IFERROR(__xludf.DUMMYFUNCTION("""COMPUTED_VALUE"""),45225.0)</f>
        <v>45225</v>
      </c>
      <c r="E843" s="31">
        <f>IFERROR(__xludf.DUMMYFUNCTION("""COMPUTED_VALUE"""),280535.0)</f>
        <v>280535</v>
      </c>
      <c r="F843" s="31" t="str">
        <f>IFERROR(__xludf.DUMMYFUNCTION("""COMPUTED_VALUE"""),"小鳥遊家の妹は花嫁になりたいっ!!【マイクロ】")</f>
        <v>小鳥遊家の妹は花嫁になりたいっ!!【マイクロ】</v>
      </c>
      <c r="G843" s="16" t="str">
        <f>IFERROR(__xludf.DUMMYFUNCTION("""COMPUTED_VALUE"""),"1～5")</f>
        <v>1～5</v>
      </c>
      <c r="H843" s="31" t="str">
        <f>IFERROR(__xludf.DUMMYFUNCTION("""COMPUTED_VALUE"""),"池山田剛")</f>
        <v>池山田剛</v>
      </c>
      <c r="I843" s="31" t="str">
        <f>IFERROR(__xludf.DUMMYFUNCTION("""COMPUTED_VALUE"""),"少女")</f>
        <v>少女</v>
      </c>
      <c r="J843" s="31"/>
      <c r="K843" s="31"/>
      <c r="L843" s="31" t="str">
        <f>IFERROR(__xludf.DUMMYFUNCTION("""COMPUTED_VALUE"""),"小学館")</f>
        <v>小学館</v>
      </c>
      <c r="M843" s="23">
        <f>IFERROR(__xludf.DUMMYFUNCTION("""COMPUTED_VALUE"""),45250.0)</f>
        <v>45250</v>
      </c>
      <c r="N843" s="33">
        <f>IFERROR(__xludf.DUMMYFUNCTION("""COMPUTED_VALUE"""),45310.0)</f>
        <v>45310</v>
      </c>
      <c r="O843" s="20"/>
      <c r="P843" s="34" t="str">
        <f>IFERROR(__xludf.DUMMYFUNCTION("""COMPUTED_VALUE"""),"否")</f>
        <v>否</v>
      </c>
      <c r="Q843" s="30" t="str">
        <f>IFERROR(__xludf.DUMMYFUNCTION("""COMPUTED_VALUE"""),"広告コミットOK(9/29)")</f>
        <v>広告コミットOK(9/29)</v>
      </c>
      <c r="R843" s="31"/>
      <c r="S843" s="31" t="str">
        <f>IFERROR(__xludf.DUMMYFUNCTION("""COMPUTED_VALUE"""),"20231026_小学館_小鳥遊家の妹は花嫁になりたいっ!!【マイクロ】")</f>
        <v>20231026_小学館_小鳥遊家の妹は花嫁になりたいっ!!【マイクロ】</v>
      </c>
      <c r="T843" s="31" t="str">
        <f>IFERROR(__xludf.DUMMYFUNCTION("""COMPUTED_VALUE"""),"格納済み")</f>
        <v>格納済み</v>
      </c>
      <c r="U843" s="15" t="str">
        <f>IFERROR(__xludf.DUMMYFUNCTION("""COMPUTED_VALUE"""),"(C)池山田剛 / 小学館")</f>
        <v>(C)池山田剛 / 小学館</v>
      </c>
      <c r="V843" s="8" t="str">
        <f>IFERROR(__xludf.DUMMYFUNCTION("""COMPUTED_VALUE"""),"サッカー一筋少年・小鳥遊凛に、父親の再婚である日突然、3人のかわいすぎる妹が爆誕…？！！
クセ強美少女双子・理桜＆陽音と、末っ子・夢芽ちゃんとの同居生活は刺激的なできごとの連続！
学校生活でも、幼馴染・妹夕、サッカー部マネージャー・妹尾先輩、委員長・河妹さんと、個性的美少女たちに囲まれて…！
小鳥遊家の未来の花嫁は一体、だれ…？！！
登場人物が全員かわいい！ハッピー青春同居ラブコメ開幕っ！！")</f>
        <v>サッカー一筋少年・小鳥遊凛に、父親の再婚である日突然、3人のかわいすぎる妹が爆誕…？！！
クセ強美少女双子・理桜＆陽音と、末っ子・夢芽ちゃんとの同居生活は刺激的なできごとの連続！
学校生活でも、幼馴染・妹夕、サッカー部マネージャー・妹尾先輩、委員長・河妹さんと、個性的美少女たちに囲まれて…！
小鳥遊家の未来の花嫁は一体、だれ…？！！
登場人物が全員かわいい！ハッピー青春同居ラブコメ開幕っ！！</v>
      </c>
      <c r="W843" s="14"/>
      <c r="X843" s="14" t="str">
        <f>IFERROR(__xludf.DUMMYFUNCTION("""COMPUTED_VALUE"""),"有
")</f>
        <v>有
</v>
      </c>
      <c r="Y843" s="8" t="str">
        <f>IFERROR(__xludf.DUMMYFUNCTION("""COMPUTED_VALUE"""),"12/3まで1巻無料")</f>
        <v>12/3まで1巻無料</v>
      </c>
      <c r="Z843" s="7"/>
      <c r="AA843" s="7"/>
      <c r="AB843" s="7"/>
    </row>
    <row r="844" ht="15.75" customHeight="1">
      <c r="A844" s="26">
        <f>IFERROR(__xludf.DUMMYFUNCTION("""COMPUTED_VALUE"""),2532.0)</f>
        <v>2532</v>
      </c>
      <c r="B844" s="31" t="str">
        <f>IFERROR(__xludf.DUMMYFUNCTION("""COMPUTED_VALUE"""),"確定")</f>
        <v>確定</v>
      </c>
      <c r="C844" s="28">
        <f>IFERROR(__xludf.DUMMYFUNCTION("""COMPUTED_VALUE"""),45216.0)</f>
        <v>45216</v>
      </c>
      <c r="D844" s="28">
        <f>IFERROR(__xludf.DUMMYFUNCTION("""COMPUTED_VALUE"""),45230.0)</f>
        <v>45230</v>
      </c>
      <c r="E844" s="31">
        <f>IFERROR(__xludf.DUMMYFUNCTION("""COMPUTED_VALUE"""),283402.0)</f>
        <v>283402</v>
      </c>
      <c r="F844" s="31" t="str">
        <f>IFERROR(__xludf.DUMMYFUNCTION("""COMPUTED_VALUE"""),"協力するよね？灰崎くん")</f>
        <v>協力するよね？灰崎くん</v>
      </c>
      <c r="G844" s="11" t="str">
        <f>IFERROR(__xludf.DUMMYFUNCTION("""COMPUTED_VALUE"""),"1～2")</f>
        <v>1～2</v>
      </c>
      <c r="H844" s="31" t="str">
        <f>IFERROR(__xludf.DUMMYFUNCTION("""COMPUTED_VALUE"""),"御結祭")</f>
        <v>御結祭</v>
      </c>
      <c r="I844" s="31" t="str">
        <f>IFERROR(__xludf.DUMMYFUNCTION("""COMPUTED_VALUE"""),"BL")</f>
        <v>BL</v>
      </c>
      <c r="J844" s="31"/>
      <c r="K844" s="31"/>
      <c r="L844" s="31" t="str">
        <f>IFERROR(__xludf.DUMMYFUNCTION("""COMPUTED_VALUE"""),"MUGENUP")</f>
        <v>MUGENUP</v>
      </c>
      <c r="M844" s="23">
        <f>IFERROR(__xludf.DUMMYFUNCTION("""COMPUTED_VALUE"""),45297.0)</f>
        <v>45297</v>
      </c>
      <c r="N844" s="33">
        <f>IFERROR(__xludf.DUMMYFUNCTION("""COMPUTED_VALUE"""),45387.0)</f>
        <v>45387</v>
      </c>
      <c r="O844" s="20"/>
      <c r="P844" s="34" t="str">
        <f>IFERROR(__xludf.DUMMYFUNCTION("""COMPUTED_VALUE"""),"可")</f>
        <v>可</v>
      </c>
      <c r="Q844" s="31" t="str">
        <f>IFERROR(__xludf.DUMMYFUNCTION("""COMPUTED_VALUE"""),"広告コミットOK(10/26)")</f>
        <v>広告コミットOK(10/26)</v>
      </c>
      <c r="R844" s="31" t="str">
        <f>IFERROR(__xludf.DUMMYFUNCTION("""COMPUTED_VALUE"""),"校了済")</f>
        <v>校了済</v>
      </c>
      <c r="S844" s="31" t="str">
        <f>IFERROR(__xludf.DUMMYFUNCTION("""COMPUTED_VALUE"""),"20231027_MUGENUP_協力するよね？灰崎くん")</f>
        <v>20231027_MUGENUP_協力するよね？灰崎くん</v>
      </c>
      <c r="T844" s="31" t="str">
        <f>IFERROR(__xludf.DUMMYFUNCTION("""COMPUTED_VALUE"""),"格納済み")</f>
        <v>格納済み</v>
      </c>
      <c r="U844" s="15" t="str">
        <f>IFERROR(__xludf.DUMMYFUNCTION("""COMPUTED_VALUE"""),"（C）御結祭／MUGENUP")</f>
        <v>（C）御結祭／MUGENUP</v>
      </c>
      <c r="V844" s="8" t="str">
        <f>IFERROR(__xludf.DUMMYFUNCTION("""COMPUTED_VALUE"""),"「──灰崎くん、協力してくれるよね？」
灰崎はラブホ清掃員のバイトをしている大学生。昔体験したある出来事が理由で顔を隠しながら生活をしている。
ある日のバイト中、備品の補充をしに部屋を訪れると、中に利用客が……！
しかもそれは同じ大学のモテ男で有名な倉橋先輩!!
できるだけ関わりたくない灰崎は備品を置いて帰ろうとするが、ドアにあたってメガネを落とし顔を見られてしまう。慌ててメガネを拾おうとすると、なぜか倉橋の股間は盛大にふくれ上がっていた！
「勃起してるでしょ、キミの顔に反応したんだ」
EDに"&amp;"なってしまったという倉橋は灰崎の素顔をスマホで撮影し、大学でバラされたくなければ協力しろと脅してきて──!?
ED腹黒イケメン×DT陰キャ男子の、ハプニング(?)から始まるちょっとエッチなラブコメディ！")</f>
        <v>「──灰崎くん、協力してくれるよね？」
灰崎はラブホ清掃員のバイトをしている大学生。昔体験したある出来事が理由で顔を隠しながら生活をしている。
ある日のバイト中、備品の補充をしに部屋を訪れると、中に利用客が……！
しかもそれは同じ大学のモテ男で有名な倉橋先輩!!
できるだけ関わりたくない灰崎は備品を置いて帰ろうとするが、ドアにあたってメガネを落とし顔を見られてしまう。慌ててメガネを拾おうとすると、なぜか倉橋の股間は盛大にふくれ上がっていた！
「勃起してるでしょ、キミの顔に反応したんだ」
EDになってしまったという倉橋は灰崎の素顔をスマホで撮影し、大学でバラされたくなければ協力しろと脅してきて──!?
ED腹黒イケメン×DT陰キャ男子の、ハプニング(?)から始まるちょっとエッチなラブコメディ！</v>
      </c>
      <c r="W844" s="14"/>
      <c r="X844" s="14" t="str">
        <f>IFERROR(__xludf.DUMMYFUNCTION("""COMPUTED_VALUE"""),"有
")</f>
        <v>有
</v>
      </c>
      <c r="Y844" s="8" t="str">
        <f>IFERROR(__xludf.DUMMYFUNCTION("""COMPUTED_VALUE"""),"P11まで")</f>
        <v>P11まで</v>
      </c>
      <c r="Z844" s="7"/>
      <c r="AA844" s="7"/>
      <c r="AB844" s="7"/>
    </row>
    <row r="845" ht="15.75" customHeight="1">
      <c r="A845" s="26">
        <f>IFERROR(__xludf.DUMMYFUNCTION("""COMPUTED_VALUE"""),2533.0)</f>
        <v>2533</v>
      </c>
      <c r="B845" s="31" t="str">
        <f>IFERROR(__xludf.DUMMYFUNCTION("""COMPUTED_VALUE"""),"確定")</f>
        <v>確定</v>
      </c>
      <c r="C845" s="28">
        <f>IFERROR(__xludf.DUMMYFUNCTION("""COMPUTED_VALUE"""),45216.0)</f>
        <v>45216</v>
      </c>
      <c r="D845" s="28">
        <f>IFERROR(__xludf.DUMMYFUNCTION("""COMPUTED_VALUE"""),45230.0)</f>
        <v>45230</v>
      </c>
      <c r="E845" s="31">
        <f>IFERROR(__xludf.DUMMYFUNCTION("""COMPUTED_VALUE"""),282735.0)</f>
        <v>282735</v>
      </c>
      <c r="F845" s="31" t="str">
        <f>IFERROR(__xludf.DUMMYFUNCTION("""COMPUTED_VALUE"""),"大正曼殊沙華～未亡人は参謀将校の愛檻に囚われる")</f>
        <v>大正曼殊沙華～未亡人は参謀将校の愛檻に囚われる</v>
      </c>
      <c r="G845" s="20" t="str">
        <f>IFERROR(__xludf.DUMMYFUNCTION("""COMPUTED_VALUE"""),"1~3")</f>
        <v>1~3</v>
      </c>
      <c r="H845" s="31" t="str">
        <f>IFERROR(__xludf.DUMMYFUNCTION("""COMPUTED_VALUE"""),"白井粥┴無憂")</f>
        <v>白井粥┴無憂</v>
      </c>
      <c r="I845" s="31" t="str">
        <f>IFERROR(__xludf.DUMMYFUNCTION("""COMPUTED_VALUE"""),"女性")</f>
        <v>女性</v>
      </c>
      <c r="J845" s="31"/>
      <c r="K845" s="31"/>
      <c r="L845" s="31" t="str">
        <f>IFERROR(__xludf.DUMMYFUNCTION("""COMPUTED_VALUE"""),"MUGENUP")</f>
        <v>MUGENUP</v>
      </c>
      <c r="M845" s="23">
        <f>IFERROR(__xludf.DUMMYFUNCTION("""COMPUTED_VALUE"""),45283.0)</f>
        <v>45283</v>
      </c>
      <c r="N845" s="33">
        <f>IFERROR(__xludf.DUMMYFUNCTION("""COMPUTED_VALUE"""),45373.0)</f>
        <v>45373</v>
      </c>
      <c r="O845" s="20"/>
      <c r="P845" s="34" t="str">
        <f>IFERROR(__xludf.DUMMYFUNCTION("""COMPUTED_VALUE"""),"可")</f>
        <v>可</v>
      </c>
      <c r="Q845" s="31" t="str">
        <f>IFERROR(__xludf.DUMMYFUNCTION("""COMPUTED_VALUE"""),"広告コミットOK(10/26)")</f>
        <v>広告コミットOK(10/26)</v>
      </c>
      <c r="R845" s="31" t="str">
        <f>IFERROR(__xludf.DUMMYFUNCTION("""COMPUTED_VALUE"""),"校了済")</f>
        <v>校了済</v>
      </c>
      <c r="S845" s="31" t="str">
        <f>IFERROR(__xludf.DUMMYFUNCTION("""COMPUTED_VALUE"""),"20231026_MUGENUP_大正曼殊沙華～未亡人は参謀将校の愛檻に囚われる")</f>
        <v>20231026_MUGENUP_大正曼殊沙華～未亡人は参謀将校の愛檻に囚われる</v>
      </c>
      <c r="T845" s="31" t="str">
        <f>IFERROR(__xludf.DUMMYFUNCTION("""COMPUTED_VALUE"""),"格納済み")</f>
        <v>格納済み</v>
      </c>
      <c r="U845" s="15" t="str">
        <f>IFERROR(__xludf.DUMMYFUNCTION("""COMPUTED_VALUE"""),"（C）無憂・白井粥／MUGENUP")</f>
        <v>（C）無憂・白井粥／MUGENUP</v>
      </c>
      <c r="V845" s="8" t="str">
        <f>IFERROR(__xludf.DUMMYFUNCTION("""COMPUTED_VALUE"""),"大正十年。新聞記者の夫・片桐良平が取材のためロシアへ渡って四年、史乃は三歳になる一人娘の波瑠を育てながら、家を出たきり連絡のない夫の帰りを待っていた。
だがある日突然、エリート将校の清河誠吾少佐から、夫が凄惨な事件に巻き込まれて殺されており、テロリストとの関わりを仄めかされる。史乃にも危険が及ぶかもしれないと強引に清河邸に住まいを移されてしまう史乃親子だが、なぜか手厚い待遇で迎えられた上、誠吾は責任を持つと言って史乃に結婚を迫ってきて!?
さらに良平と誠吾にはただならぬ関係があるようで……。")</f>
        <v>大正十年。新聞記者の夫・片桐良平が取材のためロシアへ渡って四年、史乃は三歳になる一人娘の波瑠を育てながら、家を出たきり連絡のない夫の帰りを待っていた。
だがある日突然、エリート将校の清河誠吾少佐から、夫が凄惨な事件に巻き込まれて殺されており、テロリストとの関わりを仄めかされる。史乃にも危険が及ぶかもしれないと強引に清河邸に住まいを移されてしまう史乃親子だが、なぜか手厚い待遇で迎えられた上、誠吾は責任を持つと言って史乃に結婚を迫ってきて!?
さらに良平と誠吾にはただならぬ関係があるようで……。</v>
      </c>
      <c r="W845" s="14"/>
      <c r="X845" s="14" t="str">
        <f>IFERROR(__xludf.DUMMYFUNCTION("""COMPUTED_VALUE"""),"有
")</f>
        <v>有
</v>
      </c>
      <c r="Y845" s="8" t="str">
        <f>IFERROR(__xludf.DUMMYFUNCTION("""COMPUTED_VALUE"""),"P19まで")</f>
        <v>P19まで</v>
      </c>
      <c r="Z845" s="7"/>
      <c r="AA845" s="7"/>
      <c r="AB845" s="7"/>
    </row>
    <row r="846" ht="15.75" customHeight="1">
      <c r="A846" s="26">
        <f>IFERROR(__xludf.DUMMYFUNCTION("""COMPUTED_VALUE"""),2534.0)</f>
        <v>2534</v>
      </c>
      <c r="B846" s="31" t="str">
        <f>IFERROR(__xludf.DUMMYFUNCTION("""COMPUTED_VALUE"""),"確定")</f>
        <v>確定</v>
      </c>
      <c r="C846" s="28">
        <f>IFERROR(__xludf.DUMMYFUNCTION("""COMPUTED_VALUE"""),45216.0)</f>
        <v>45216</v>
      </c>
      <c r="D846" s="28">
        <f>IFERROR(__xludf.DUMMYFUNCTION("""COMPUTED_VALUE"""),45230.0)</f>
        <v>45230</v>
      </c>
      <c r="E846" s="31">
        <f>IFERROR(__xludf.DUMMYFUNCTION("""COMPUTED_VALUE"""),282568.0)</f>
        <v>282568</v>
      </c>
      <c r="F846" s="31" t="str">
        <f>IFERROR(__xludf.DUMMYFUNCTION("""COMPUTED_VALUE"""),"マンションゲーム 全2101戸の究極サバイバル（分冊版）")</f>
        <v>マンションゲーム 全2101戸の究極サバイバル（分冊版）</v>
      </c>
      <c r="G846" s="20" t="str">
        <f>IFERROR(__xludf.DUMMYFUNCTION("""COMPUTED_VALUE"""),"1~3")</f>
        <v>1~3</v>
      </c>
      <c r="H846" s="31" t="str">
        <f>IFERROR(__xludf.DUMMYFUNCTION("""COMPUTED_VALUE"""),"雛瀬かぐや┴黒井嵐輔")</f>
        <v>雛瀬かぐや┴黒井嵐輔</v>
      </c>
      <c r="I846" s="31" t="str">
        <f>IFERROR(__xludf.DUMMYFUNCTION("""COMPUTED_VALUE"""),"青年")</f>
        <v>青年</v>
      </c>
      <c r="J846" s="31"/>
      <c r="K846" s="31"/>
      <c r="L846" s="31" t="str">
        <f>IFERROR(__xludf.DUMMYFUNCTION("""COMPUTED_VALUE"""),"MUGENUP")</f>
        <v>MUGENUP</v>
      </c>
      <c r="M846" s="23">
        <f>IFERROR(__xludf.DUMMYFUNCTION("""COMPUTED_VALUE"""),45266.0)</f>
        <v>45266</v>
      </c>
      <c r="N846" s="37" t="str">
        <f>IFERROR(__xludf.DUMMYFUNCTION("""COMPUTED_VALUE"""),"出稿可⇒3ヶ月")</f>
        <v>出稿可⇒3ヶ月</v>
      </c>
      <c r="O846" s="20"/>
      <c r="P846" s="34" t="str">
        <f>IFERROR(__xludf.DUMMYFUNCTION("""COMPUTED_VALUE"""),"可")</f>
        <v>可</v>
      </c>
      <c r="Q846" s="31" t="str">
        <f>IFERROR(__xludf.DUMMYFUNCTION("""COMPUTED_VALUE"""),"広告コミットOK(10/26)")</f>
        <v>広告コミットOK(10/26)</v>
      </c>
      <c r="R846" s="31" t="str">
        <f>IFERROR(__xludf.DUMMYFUNCTION("""COMPUTED_VALUE"""),"校了済")</f>
        <v>校了済</v>
      </c>
      <c r="S846" s="31" t="str">
        <f>IFERROR(__xludf.DUMMYFUNCTION("""COMPUTED_VALUE"""),"20231026_MUGENUP_マンション・ゲーム")</f>
        <v>20231026_MUGENUP_マンション・ゲーム</v>
      </c>
      <c r="T846" s="31" t="str">
        <f>IFERROR(__xludf.DUMMYFUNCTION("""COMPUTED_VALUE"""),"格納済み")</f>
        <v>格納済み</v>
      </c>
      <c r="U846" s="15" t="str">
        <f>IFERROR(__xludf.DUMMYFUNCTION("""COMPUTED_VALUE"""),"（C）黒井嵐輔・雛瀬かぐや／MUGENUP")</f>
        <v>（C）黒井嵐輔・雛瀬かぐや／MUGENUP</v>
      </c>
      <c r="V846" s="8" t="str">
        <f>IFERROR(__xludf.DUMMYFUNCTION("""COMPUTED_VALUE"""),"ゲームのルールはいたってシンプル。マンションの住戸1つにつき1ライフ。一度でも失敗すればゲームオーバー、その部屋の住人は全員死ぬこととなる…。50階建てのタワーマンションで突如として開始されるデスゲーム。シングルマザーのさくらは子供2人とともに、このデスゲームを生き抜くことができるのか!?")</f>
        <v>ゲームのルールはいたってシンプル。マンションの住戸1つにつき1ライフ。一度でも失敗すればゲームオーバー、その部屋の住人は全員死ぬこととなる…。50階建てのタワーマンションで突如として開始されるデスゲーム。シングルマザーのさくらは子供2人とともに、このデスゲームを生き抜くことができるのか!?</v>
      </c>
      <c r="W846" s="14"/>
      <c r="X846" s="14" t="str">
        <f>IFERROR(__xludf.DUMMYFUNCTION("""COMPUTED_VALUE"""),"有")</f>
        <v>有</v>
      </c>
      <c r="Y846" s="8" t="str">
        <f>IFERROR(__xludf.DUMMYFUNCTION("""COMPUTED_VALUE"""),"P5まで")</f>
        <v>P5まで</v>
      </c>
      <c r="Z846" s="7"/>
      <c r="AA846" s="7"/>
      <c r="AB846" s="7"/>
    </row>
    <row r="847" ht="15.75" customHeight="1">
      <c r="A847" s="26">
        <f>IFERROR(__xludf.DUMMYFUNCTION("""COMPUTED_VALUE"""),2566.0)</f>
        <v>2566</v>
      </c>
      <c r="B847" s="31" t="str">
        <f>IFERROR(__xludf.DUMMYFUNCTION("""COMPUTED_VALUE"""),"確定")</f>
        <v>確定</v>
      </c>
      <c r="C847" s="28">
        <f>IFERROR(__xludf.DUMMYFUNCTION("""COMPUTED_VALUE"""),45226.0)</f>
        <v>45226</v>
      </c>
      <c r="D847" s="28">
        <f>IFERROR(__xludf.DUMMYFUNCTION("""COMPUTED_VALUE"""),45230.0)</f>
        <v>45230</v>
      </c>
      <c r="E847" s="26">
        <f>IFERROR(__xludf.DUMMYFUNCTION("""COMPUTED_VALUE"""),272191.0)</f>
        <v>272191</v>
      </c>
      <c r="F847" s="31" t="str">
        <f>IFERROR(__xludf.DUMMYFUNCTION("""COMPUTED_VALUE"""),"双子男子にドロドロに愛されてます")</f>
        <v>双子男子にドロドロに愛されてます</v>
      </c>
      <c r="G847" s="20" t="str">
        <f>IFERROR(__xludf.DUMMYFUNCTION("""COMPUTED_VALUE"""),"1～3")</f>
        <v>1～3</v>
      </c>
      <c r="H847" s="31" t="str">
        <f>IFERROR(__xludf.DUMMYFUNCTION("""COMPUTED_VALUE"""),"sunoma")</f>
        <v>sunoma</v>
      </c>
      <c r="I847" s="14" t="str">
        <f>IFERROR(__xludf.DUMMYFUNCTION("""COMPUTED_VALUE"""),"女性")</f>
        <v>女性</v>
      </c>
      <c r="J847" s="31"/>
      <c r="K847" s="31"/>
      <c r="L847" s="31" t="str">
        <f>IFERROR(__xludf.DUMMYFUNCTION("""COMPUTED_VALUE"""),"シーモアコミックス")</f>
        <v>シーモアコミックス</v>
      </c>
      <c r="M847" s="23">
        <f>IFERROR(__xludf.DUMMYFUNCTION("""COMPUTED_VALUE"""),45261.0)</f>
        <v>45261</v>
      </c>
      <c r="N847" s="23">
        <f>IFERROR(__xludf.DUMMYFUNCTION("""COMPUTED_VALUE"""),45414.0)</f>
        <v>45414</v>
      </c>
      <c r="O847" s="20"/>
      <c r="P847" s="34" t="str">
        <f>IFERROR(__xludf.DUMMYFUNCTION("""COMPUTED_VALUE"""),"可")</f>
        <v>可</v>
      </c>
      <c r="Q847" s="30" t="str">
        <f>IFERROR(__xludf.DUMMYFUNCTION("""COMPUTED_VALUE"""),"※正式タイトル下記の通りです（10/27）&lt;BR&gt;＝＝＝&lt;BR&gt;双子男子にドロドロに愛されてます&lt;BR&gt;＝＝＝&lt;BR&gt;")</f>
        <v>※正式タイトル下記の通りです（10/27）&lt;BR&gt;＝＝＝&lt;BR&gt;双子男子にドロドロに愛されてます&lt;BR&gt;＝＝＝&lt;BR&gt;</v>
      </c>
      <c r="R847" s="31"/>
      <c r="S847" s="31" t="str">
        <f>IFERROR(__xludf.DUMMYFUNCTION("""COMPUTED_VALUE"""),"20231028_シーモアコミックス_双子男子にドロドロに愛されてます")</f>
        <v>20231028_シーモアコミックス_双子男子にドロドロに愛されてます</v>
      </c>
      <c r="T847" s="31" t="str">
        <f>IFERROR(__xludf.DUMMYFUNCTION("""COMPUTED_VALUE"""),"格納済み")</f>
        <v>格納済み</v>
      </c>
      <c r="U847" s="15" t="str">
        <f>IFERROR(__xludf.DUMMYFUNCTION("""COMPUTED_VALUE"""),"© sunoma/シーモアコミックス")</f>
        <v>© sunoma/シーモアコミックス</v>
      </c>
      <c r="V847" s="8" t="str">
        <f>IFERROR(__xludf.DUMMYFUNCTION("""COMPUTED_VALUE"""),"性に消極的な主人公・香純。彼氏の馨一は「香純のペースでいい」と言ってくれるが申し訳無さを感じていた中、ついに勇気を出してホテルに誘うが、彼に対して違和感を覚える。何と彼は馨一の双子の弟・聖二だったのだ。怒ってホテルから出ていく香純を追い掛けてしつこく誘ってくる聖二だったが、そこに香純から返事がないことを心配した馨一が現れ――！？")</f>
        <v>性に消極的な主人公・香純。彼氏の馨一は「香純のペースでいい」と言ってくれるが申し訳無さを感じていた中、ついに勇気を出してホテルに誘うが、彼に対して違和感を覚える。何と彼は馨一の双子の弟・聖二だったのだ。怒ってホテルから出ていく香純を追い掛けてしつこく誘ってくる聖二だったが、そこに香純から返事がないことを心配した馨一が現れ――！？</v>
      </c>
      <c r="W847" s="14"/>
      <c r="X847" s="14" t="str">
        <f>IFERROR(__xludf.DUMMYFUNCTION("""COMPUTED_VALUE"""),"有")</f>
        <v>有</v>
      </c>
      <c r="Y847" s="8" t="str">
        <f>IFERROR(__xludf.DUMMYFUNCTION("""COMPUTED_VALUE"""),"1/4まで1巻無料")</f>
        <v>1/4まで1巻無料</v>
      </c>
      <c r="Z847" s="7"/>
      <c r="AA847" s="7"/>
      <c r="AB847" s="7"/>
    </row>
    <row r="848" ht="15.75" customHeight="1">
      <c r="A848" s="26">
        <f>IFERROR(__xludf.DUMMYFUNCTION("""COMPUTED_VALUE"""),2567.0)</f>
        <v>2567</v>
      </c>
      <c r="B848" s="31" t="str">
        <f>IFERROR(__xludf.DUMMYFUNCTION("""COMPUTED_VALUE"""),"確定")</f>
        <v>確定</v>
      </c>
      <c r="C848" s="28">
        <f>IFERROR(__xludf.DUMMYFUNCTION("""COMPUTED_VALUE"""),45226.0)</f>
        <v>45226</v>
      </c>
      <c r="D848" s="28">
        <f>IFERROR(__xludf.DUMMYFUNCTION("""COMPUTED_VALUE"""),45230.0)</f>
        <v>45230</v>
      </c>
      <c r="E848" s="26">
        <f>IFERROR(__xludf.DUMMYFUNCTION("""COMPUTED_VALUE"""),273890.0)</f>
        <v>273890</v>
      </c>
      <c r="F848" s="31" t="str">
        <f>IFERROR(__xludf.DUMMYFUNCTION("""COMPUTED_VALUE"""),"リライト～クズ彼に搾取されるのはもうやめます～")</f>
        <v>リライト～クズ彼に搾取されるのはもうやめます～</v>
      </c>
      <c r="G848" s="20" t="str">
        <f>IFERROR(__xludf.DUMMYFUNCTION("""COMPUTED_VALUE"""),"1～3")</f>
        <v>1～3</v>
      </c>
      <c r="H848" s="31" t="str">
        <f>IFERROR(__xludf.DUMMYFUNCTION("""COMPUTED_VALUE"""),"日山依")</f>
        <v>日山依</v>
      </c>
      <c r="I848" s="14" t="str">
        <f>IFERROR(__xludf.DUMMYFUNCTION("""COMPUTED_VALUE"""),"女性")</f>
        <v>女性</v>
      </c>
      <c r="J848" s="31"/>
      <c r="K848" s="31"/>
      <c r="L848" s="31" t="str">
        <f>IFERROR(__xludf.DUMMYFUNCTION("""COMPUTED_VALUE"""),"シーモアコミックス")</f>
        <v>シーモアコミックス</v>
      </c>
      <c r="M848" s="23">
        <f>IFERROR(__xludf.DUMMYFUNCTION("""COMPUTED_VALUE"""),45261.0)</f>
        <v>45261</v>
      </c>
      <c r="N848" s="23">
        <f>IFERROR(__xludf.DUMMYFUNCTION("""COMPUTED_VALUE"""),45414.0)</f>
        <v>45414</v>
      </c>
      <c r="O848" s="20"/>
      <c r="P848" s="32" t="str">
        <f>IFERROR(__xludf.DUMMYFUNCTION("""COMPUTED_VALUE"""),"可")</f>
        <v>可</v>
      </c>
      <c r="Q848" s="30"/>
      <c r="R848" s="31"/>
      <c r="S848" s="31" t="str">
        <f>IFERROR(__xludf.DUMMYFUNCTION("""COMPUTED_VALUE"""),"20231028_シーモアコミックス_リライト～クズ彼に搾取されるのはもうやめます～")</f>
        <v>20231028_シーモアコミックス_リライト～クズ彼に搾取されるのはもうやめます～</v>
      </c>
      <c r="T848" s="31" t="str">
        <f>IFERROR(__xludf.DUMMYFUNCTION("""COMPUTED_VALUE"""),"格納済み")</f>
        <v>格納済み</v>
      </c>
      <c r="U848" s="15" t="str">
        <f>IFERROR(__xludf.DUMMYFUNCTION("""COMPUTED_VALUE"""),"© 日山依/シーモアコミックス")</f>
        <v>© 日山依/シーモアコミックス</v>
      </c>
      <c r="V848" s="8" t="str">
        <f>IFERROR(__xludf.DUMMYFUNCTION("""COMPUTED_VALUE"""),"岩原美鶴(27)は、彼氏で売れっ子小説家・高倉智久(28)のゴーストライターをしている。智久はネタを考えるだけで、構成し執筆するのは美鶴の仕事。智久が実際に執筆していないことは編集部にも知られていない――。自分自身を評価されなくても、智久の考えたものが世間に認められていくのは嬉しく思っていた。しかし、美鶴が彼の小説の執筆に勤しんでいる間に、智久は女性の作家仲間と浮気をしていて…!?")</f>
        <v>岩原美鶴(27)は、彼氏で売れっ子小説家・高倉智久(28)のゴーストライターをしている。智久はネタを考えるだけで、構成し執筆するのは美鶴の仕事。智久が実際に執筆していないことは編集部にも知られていない――。自分自身を評価されなくても、智久の考えたものが世間に認められていくのは嬉しく思っていた。しかし、美鶴が彼の小説の執筆に勤しんでいる間に、智久は女性の作家仲間と浮気をしていて…!?</v>
      </c>
      <c r="W848" s="14"/>
      <c r="X848" s="14" t="str">
        <f>IFERROR(__xludf.DUMMYFUNCTION("""COMPUTED_VALUE"""),"有")</f>
        <v>有</v>
      </c>
      <c r="Y848" s="8" t="str">
        <f>IFERROR(__xludf.DUMMYFUNCTION("""COMPUTED_VALUE"""),"1/4まで1巻無料")</f>
        <v>1/4まで1巻無料</v>
      </c>
      <c r="Z848" s="7"/>
      <c r="AA848" s="7"/>
      <c r="AB848" s="7"/>
    </row>
    <row r="849" ht="15.75" customHeight="1">
      <c r="A849" s="26">
        <f>IFERROR(__xludf.DUMMYFUNCTION("""COMPUTED_VALUE"""),2568.0)</f>
        <v>2568</v>
      </c>
      <c r="B849" s="31" t="str">
        <f>IFERROR(__xludf.DUMMYFUNCTION("""COMPUTED_VALUE"""),"確定")</f>
        <v>確定</v>
      </c>
      <c r="C849" s="28">
        <f>IFERROR(__xludf.DUMMYFUNCTION("""COMPUTED_VALUE"""),45226.0)</f>
        <v>45226</v>
      </c>
      <c r="D849" s="28">
        <f>IFERROR(__xludf.DUMMYFUNCTION("""COMPUTED_VALUE"""),45230.0)</f>
        <v>45230</v>
      </c>
      <c r="E849" s="26">
        <f>IFERROR(__xludf.DUMMYFUNCTION("""COMPUTED_VALUE"""),273891.0)</f>
        <v>273891</v>
      </c>
      <c r="F849" s="31" t="str">
        <f>IFERROR(__xludf.DUMMYFUNCTION("""COMPUTED_VALUE"""),"偽装恋愛のはずなのに御曹司からの好意が止まりません!")</f>
        <v>偽装恋愛のはずなのに御曹司からの好意が止まりません!</v>
      </c>
      <c r="G849" s="20" t="str">
        <f>IFERROR(__xludf.DUMMYFUNCTION("""COMPUTED_VALUE"""),"1～3")</f>
        <v>1～3</v>
      </c>
      <c r="H849" s="31" t="str">
        <f>IFERROR(__xludf.DUMMYFUNCTION("""COMPUTED_VALUE"""),"入江桃樺")</f>
        <v>入江桃樺</v>
      </c>
      <c r="I849" s="14" t="str">
        <f>IFERROR(__xludf.DUMMYFUNCTION("""COMPUTED_VALUE"""),"女性")</f>
        <v>女性</v>
      </c>
      <c r="J849" s="31"/>
      <c r="K849" s="31"/>
      <c r="L849" s="31" t="str">
        <f>IFERROR(__xludf.DUMMYFUNCTION("""COMPUTED_VALUE"""),"シーモアコミックス")</f>
        <v>シーモアコミックス</v>
      </c>
      <c r="M849" s="23">
        <f>IFERROR(__xludf.DUMMYFUNCTION("""COMPUTED_VALUE"""),45261.0)</f>
        <v>45261</v>
      </c>
      <c r="N849" s="23">
        <f>IFERROR(__xludf.DUMMYFUNCTION("""COMPUTED_VALUE"""),45414.0)</f>
        <v>45414</v>
      </c>
      <c r="O849" s="20"/>
      <c r="P849" s="32" t="str">
        <f>IFERROR(__xludf.DUMMYFUNCTION("""COMPUTED_VALUE"""),"可")</f>
        <v>可</v>
      </c>
      <c r="Q849" s="30"/>
      <c r="R849" s="31"/>
      <c r="S849" s="31" t="str">
        <f>IFERROR(__xludf.DUMMYFUNCTION("""COMPUTED_VALUE"""),"20231028_シーモアコミックス_偽装恋愛のはずなのに御曹司からの溺愛が止まりません！")</f>
        <v>20231028_シーモアコミックス_偽装恋愛のはずなのに御曹司からの溺愛が止まりません！</v>
      </c>
      <c r="T849" s="31" t="str">
        <f>IFERROR(__xludf.DUMMYFUNCTION("""COMPUTED_VALUE"""),"格納済み")</f>
        <v>格納済み</v>
      </c>
      <c r="U849" s="15" t="str">
        <f>IFERROR(__xludf.DUMMYFUNCTION("""COMPUTED_VALUE"""),"© 入江桃樺/シーモアコミックス")</f>
        <v>© 入江桃樺/シーモアコミックス</v>
      </c>
      <c r="V849" s="8" t="str">
        <f>IFERROR(__xludf.DUMMYFUNCTION("""COMPUTED_VALUE"""),"雪峰綾(30)は営業アシスタントとして働きながら、同じ営業部のエース・桐生友也(35)と付き合っている。仕事も恋愛も充実していると思っていたのに、ある日友也が後輩社員と浮気をしていることが発覚した上、別れを告げられてしまった。そんな中、結婚を考えている相手がいると伝えていた父親と遭遇してしまう。居合わせていたハイスペックな後輩・蒼井遥斗(24)を彼氏と勘違いしている様子の父親に、友也と別れたことを告げようとすると、遥斗は「綾さんとお付き合いさせていただいている蒼井遥斗です」と宣言してきて――!?")</f>
        <v>雪峰綾(30)は営業アシスタントとして働きながら、同じ営業部のエース・桐生友也(35)と付き合っている。仕事も恋愛も充実していると思っていたのに、ある日友也が後輩社員と浮気をしていることが発覚した上、別れを告げられてしまった。そんな中、結婚を考えている相手がいると伝えていた父親と遭遇してしまう。居合わせていたハイスペックな後輩・蒼井遥斗(24)を彼氏と勘違いしている様子の父親に、友也と別れたことを告げようとすると、遥斗は「綾さんとお付き合いさせていただいている蒼井遥斗です」と宣言してきて――!?</v>
      </c>
      <c r="W849" s="14"/>
      <c r="X849" s="14" t="str">
        <f>IFERROR(__xludf.DUMMYFUNCTION("""COMPUTED_VALUE"""),"有")</f>
        <v>有</v>
      </c>
      <c r="Y849" s="8" t="str">
        <f>IFERROR(__xludf.DUMMYFUNCTION("""COMPUTED_VALUE"""),"1/4まで1巻無料")</f>
        <v>1/4まで1巻無料</v>
      </c>
      <c r="Z849" s="7"/>
      <c r="AA849" s="7"/>
      <c r="AB849" s="7"/>
    </row>
    <row r="850" ht="15.75" customHeight="1">
      <c r="A850" s="26">
        <f>IFERROR(__xludf.DUMMYFUNCTION("""COMPUTED_VALUE"""),2569.0)</f>
        <v>2569</v>
      </c>
      <c r="B850" s="31" t="str">
        <f>IFERROR(__xludf.DUMMYFUNCTION("""COMPUTED_VALUE"""),"確定")</f>
        <v>確定</v>
      </c>
      <c r="C850" s="28">
        <f>IFERROR(__xludf.DUMMYFUNCTION("""COMPUTED_VALUE"""),45226.0)</f>
        <v>45226</v>
      </c>
      <c r="D850" s="28">
        <f>IFERROR(__xludf.DUMMYFUNCTION("""COMPUTED_VALUE"""),45230.0)</f>
        <v>45230</v>
      </c>
      <c r="E850" s="31">
        <f>IFERROR(__xludf.DUMMYFUNCTION("""COMPUTED_VALUE"""),280623.0)</f>
        <v>280623</v>
      </c>
      <c r="F850" s="31" t="str">
        <f>IFERROR(__xludf.DUMMYFUNCTION("""COMPUTED_VALUE"""),"かしこい男は恋しかしない")</f>
        <v>かしこい男は恋しかしない</v>
      </c>
      <c r="G850" s="20">
        <f>IFERROR(__xludf.DUMMYFUNCTION("""COMPUTED_VALUE"""),1.0)</f>
        <v>1</v>
      </c>
      <c r="H850" s="31" t="str">
        <f>IFERROR(__xludf.DUMMYFUNCTION("""COMPUTED_VALUE"""),"凹沢みなみ")</f>
        <v>凹沢みなみ</v>
      </c>
      <c r="I850" s="14" t="str">
        <f>IFERROR(__xludf.DUMMYFUNCTION("""COMPUTED_VALUE"""),"少女")</f>
        <v>少女</v>
      </c>
      <c r="J850" s="31"/>
      <c r="K850" s="31"/>
      <c r="L850" s="31" t="str">
        <f>IFERROR(__xludf.DUMMYFUNCTION("""COMPUTED_VALUE"""),"集英社")</f>
        <v>集英社</v>
      </c>
      <c r="M850" s="23">
        <f>IFERROR(__xludf.DUMMYFUNCTION("""COMPUTED_VALUE"""),45254.0)</f>
        <v>45254</v>
      </c>
      <c r="N850" s="23">
        <f>IFERROR(__xludf.DUMMYFUNCTION("""COMPUTED_VALUE"""),45284.0)</f>
        <v>45284</v>
      </c>
      <c r="O850" s="20"/>
      <c r="P850" s="34" t="str">
        <f>IFERROR(__xludf.DUMMYFUNCTION("""COMPUTED_VALUE"""),"否")</f>
        <v>否</v>
      </c>
      <c r="Q850" s="30" t="str">
        <f>IFERROR(__xludf.DUMMYFUNCTION("""COMPUTED_VALUE"""),"別冊マーガレット&lt;BR&gt;全てまとめて1巻分となります。&lt;BR&gt;素材はすべて使用いただいて問題ございません。")</f>
        <v>別冊マーガレット&lt;BR&gt;全てまとめて1巻分となります。&lt;BR&gt;素材はすべて使用いただいて問題ございません。</v>
      </c>
      <c r="R850" s="31"/>
      <c r="S850" s="31" t="str">
        <f>IFERROR(__xludf.DUMMYFUNCTION("""COMPUTED_VALUE"""),"20231027_集英社_11月単行本新作2作品")</f>
        <v>20231027_集英社_11月単行本新作2作品</v>
      </c>
      <c r="T850" s="31" t="str">
        <f>IFERROR(__xludf.DUMMYFUNCTION("""COMPUTED_VALUE"""),"格納済み")</f>
        <v>格納済み</v>
      </c>
      <c r="U850" s="15" t="str">
        <f>IFERROR(__xludf.DUMMYFUNCTION("""COMPUTED_VALUE"""),"（C）凹沢みなみ／集英社")</f>
        <v>（C）凹沢みなみ／集英社</v>
      </c>
      <c r="V850" s="8" t="str">
        <f>IFERROR(__xludf.DUMMYFUNCTION("""COMPUTED_VALUE"""),"「使われてる…！　他人の青春のダシに使われてる…！」　日本トップクラスの中高一貫男子校・開帝高校に通う正直、シグマ、樹太郎の3人は、今日も近所の共学カップルに心をかき乱される！　偏差値は高くても、東大合格者数は多くても、俺たちの高校生活には何かが欠けている…!?　彼らの青春を、恋を探して――学歴×ラブの男子校コメディが今、始まる!!　雑誌掲載時大反響の名門男子校生インタビュー（武蔵、聖光、暁星、浅野、筑駒）収録＆巻末には外山薫氏による書き下ろしスピンオフ小説も♪　【デジタル版限定！「別冊マーガレット」掲載"&amp;"時のカラーページを完全収録!!】")</f>
        <v>「使われてる…！　他人の青春のダシに使われてる…！」　日本トップクラスの中高一貫男子校・開帝高校に通う正直、シグマ、樹太郎の3人は、今日も近所の共学カップルに心をかき乱される！　偏差値は高くても、東大合格者数は多くても、俺たちの高校生活には何かが欠けている…!?　彼らの青春を、恋を探して――学歴×ラブの男子校コメディが今、始まる!!　雑誌掲載時大反響の名門男子校生インタビュー（武蔵、聖光、暁星、浅野、筑駒）収録＆巻末には外山薫氏による書き下ろしスピンオフ小説も♪　【デジタル版限定！「別冊マーガレット」掲載時のカラーページを完全収録!!】</v>
      </c>
      <c r="W850" s="14"/>
      <c r="X850" s="14" t="str">
        <f>IFERROR(__xludf.DUMMYFUNCTION("""COMPUTED_VALUE"""),"有
")</f>
        <v>有
</v>
      </c>
      <c r="Y850" s="8" t="str">
        <f>IFERROR(__xludf.DUMMYFUNCTION("""COMPUTED_VALUE"""),"12/7まで立ち読み増量P80まで")</f>
        <v>12/7まで立ち読み増量P80まで</v>
      </c>
      <c r="Z850" s="7"/>
      <c r="AA850" s="7"/>
      <c r="AB850" s="7"/>
    </row>
    <row r="851" ht="97.5" customHeight="1">
      <c r="A851" s="26">
        <f>IFERROR(__xludf.DUMMYFUNCTION("""COMPUTED_VALUE"""),2570.0)</f>
        <v>2570</v>
      </c>
      <c r="B851" s="31" t="str">
        <f>IFERROR(__xludf.DUMMYFUNCTION("""COMPUTED_VALUE"""),"確定")</f>
        <v>確定</v>
      </c>
      <c r="C851" s="28">
        <f>IFERROR(__xludf.DUMMYFUNCTION("""COMPUTED_VALUE"""),45226.0)</f>
        <v>45226</v>
      </c>
      <c r="D851" s="28">
        <f>IFERROR(__xludf.DUMMYFUNCTION("""COMPUTED_VALUE"""),45230.0)</f>
        <v>45230</v>
      </c>
      <c r="E851" s="31">
        <f>IFERROR(__xludf.DUMMYFUNCTION("""COMPUTED_VALUE"""),280624.0)</f>
        <v>280624</v>
      </c>
      <c r="F851" s="31" t="str">
        <f>IFERROR(__xludf.DUMMYFUNCTION("""COMPUTED_VALUE"""),"不可抗力のI LOVE YOU")</f>
        <v>不可抗力のI LOVE YOU</v>
      </c>
      <c r="G851" s="20">
        <f>IFERROR(__xludf.DUMMYFUNCTION("""COMPUTED_VALUE"""),1.0)</f>
        <v>1</v>
      </c>
      <c r="H851" s="31" t="str">
        <f>IFERROR(__xludf.DUMMYFUNCTION("""COMPUTED_VALUE"""),"ほしの 瑞希")</f>
        <v>ほしの 瑞希</v>
      </c>
      <c r="I851" s="14" t="str">
        <f>IFERROR(__xludf.DUMMYFUNCTION("""COMPUTED_VALUE"""),"少女")</f>
        <v>少女</v>
      </c>
      <c r="J851" s="31"/>
      <c r="K851" s="31"/>
      <c r="L851" s="31" t="str">
        <f>IFERROR(__xludf.DUMMYFUNCTION("""COMPUTED_VALUE"""),"集英社")</f>
        <v>集英社</v>
      </c>
      <c r="M851" s="23">
        <f>IFERROR(__xludf.DUMMYFUNCTION("""COMPUTED_VALUE"""),45254.0)</f>
        <v>45254</v>
      </c>
      <c r="N851" s="23">
        <f>IFERROR(__xludf.DUMMYFUNCTION("""COMPUTED_VALUE"""),45284.0)</f>
        <v>45284</v>
      </c>
      <c r="O851" s="20"/>
      <c r="P851" s="34" t="str">
        <f>IFERROR(__xludf.DUMMYFUNCTION("""COMPUTED_VALUE"""),"否")</f>
        <v>否</v>
      </c>
      <c r="Q851" s="30" t="str">
        <f>IFERROR(__xludf.DUMMYFUNCTION("""COMPUTED_VALUE"""),"マーガレット&lt;BR&gt;全てまとめて1巻分となります。&lt;BR&gt;素材はすべて使用いただいて問題ございません。")</f>
        <v>マーガレット&lt;BR&gt;全てまとめて1巻分となります。&lt;BR&gt;素材はすべて使用いただいて問題ございません。</v>
      </c>
      <c r="R851" s="31"/>
      <c r="S851" s="31" t="str">
        <f>IFERROR(__xludf.DUMMYFUNCTION("""COMPUTED_VALUE"""),"20231027_集英社_11月単行本新作2作品")</f>
        <v>20231027_集英社_11月単行本新作2作品</v>
      </c>
      <c r="T851" s="31" t="str">
        <f>IFERROR(__xludf.DUMMYFUNCTION("""COMPUTED_VALUE"""),"格納済み")</f>
        <v>格納済み</v>
      </c>
      <c r="U851" s="15" t="str">
        <f>IFERROR(__xludf.DUMMYFUNCTION("""COMPUTED_VALUE"""),"（C）ほしの瑞希／集英社")</f>
        <v>（C）ほしの瑞希／集英社</v>
      </c>
      <c r="V851" s="8" t="str">
        <f>IFERROR(__xludf.DUMMYFUNCTION("""COMPUTED_VALUE"""),"この男に恋をせずにはいられない!?　高校1年生の星凪（せな）は、超絶人たらしな綿谷先輩に片想い中。望みがないから…と恋心を封印しているのに、毎日先輩の魅力に振り回されっぱなし!!　どうにか想いを断ち切りたい星凪だけど、ひょんなことから先輩と「お試しで付き合う」ことになって――!?")</f>
        <v>この男に恋をせずにはいられない!?　高校1年生の星凪（せな）は、超絶人たらしな綿谷先輩に片想い中。望みがないから…と恋心を封印しているのに、毎日先輩の魅力に振り回されっぱなし!!　どうにか想いを断ち切りたい星凪だけど、ひょんなことから先輩と「お試しで付き合う」ことになって――!?</v>
      </c>
      <c r="W851" s="14"/>
      <c r="X851" s="14" t="str">
        <f>IFERROR(__xludf.DUMMYFUNCTION("""COMPUTED_VALUE"""),"有
")</f>
        <v>有
</v>
      </c>
      <c r="Y851" s="8" t="str">
        <f>IFERROR(__xludf.DUMMYFUNCTION("""COMPUTED_VALUE"""),"12/7まで立ち読み増量P80まで")</f>
        <v>12/7まで立ち読み増量P80まで</v>
      </c>
      <c r="Z851" s="7"/>
      <c r="AA851" s="7"/>
      <c r="AB851" s="7"/>
    </row>
    <row r="852" ht="15.75" customHeight="1">
      <c r="A852" s="26">
        <f>IFERROR(__xludf.DUMMYFUNCTION("""COMPUTED_VALUE"""),2577.0)</f>
        <v>2577</v>
      </c>
      <c r="B852" s="31" t="str">
        <f>IFERROR(__xludf.DUMMYFUNCTION("""COMPUTED_VALUE"""),"確定")</f>
        <v>確定</v>
      </c>
      <c r="C852" s="28">
        <f>IFERROR(__xludf.DUMMYFUNCTION("""COMPUTED_VALUE"""),45230.0)</f>
        <v>45230</v>
      </c>
      <c r="D852" s="28">
        <f>IFERROR(__xludf.DUMMYFUNCTION("""COMPUTED_VALUE"""),45231.0)</f>
        <v>45231</v>
      </c>
      <c r="E852" s="26">
        <f>IFERROR(__xludf.DUMMYFUNCTION("""COMPUTED_VALUE"""),271092.0)</f>
        <v>271092</v>
      </c>
      <c r="F852" s="31" t="str">
        <f>IFERROR(__xludf.DUMMYFUNCTION("""COMPUTED_VALUE"""),"恋という毒を飲むことにした")</f>
        <v>恋という毒を飲むことにした</v>
      </c>
      <c r="G852" s="20" t="str">
        <f>IFERROR(__xludf.DUMMYFUNCTION("""COMPUTED_VALUE"""),"1～3")</f>
        <v>1～3</v>
      </c>
      <c r="H852" s="31" t="str">
        <f>IFERROR(__xludf.DUMMYFUNCTION("""COMPUTED_VALUE"""),"かいだ広")</f>
        <v>かいだ広</v>
      </c>
      <c r="I852" s="14" t="str">
        <f>IFERROR(__xludf.DUMMYFUNCTION("""COMPUTED_VALUE"""),"少女")</f>
        <v>少女</v>
      </c>
      <c r="J852" s="31"/>
      <c r="K852" s="31"/>
      <c r="L852" s="31" t="str">
        <f>IFERROR(__xludf.DUMMYFUNCTION("""COMPUTED_VALUE"""),"ソルマーレ編集部")</f>
        <v>ソルマーレ編集部</v>
      </c>
      <c r="M852" s="23">
        <f>IFERROR(__xludf.DUMMYFUNCTION("""COMPUTED_VALUE"""),45262.0)</f>
        <v>45262</v>
      </c>
      <c r="N852" s="23">
        <f>IFERROR(__xludf.DUMMYFUNCTION("""COMPUTED_VALUE"""),45323.0)</f>
        <v>45323</v>
      </c>
      <c r="O852" s="20"/>
      <c r="P852" s="34" t="str">
        <f>IFERROR(__xludf.DUMMYFUNCTION("""COMPUTED_VALUE"""),"可")</f>
        <v>可</v>
      </c>
      <c r="Q852" s="30" t="str">
        <f>IFERROR(__xludf.DUMMYFUNCTION("""COMPUTED_VALUE"""),"※正式タイトル下記の通りです（10/31）&lt;BR&gt;＝＝＝&lt;BR&gt;恋という毒を飲むことにした&lt;BR&gt;＝＝＝")</f>
        <v>※正式タイトル下記の通りです（10/31）&lt;BR&gt;＝＝＝&lt;BR&gt;恋という毒を飲むことにした&lt;BR&gt;＝＝＝</v>
      </c>
      <c r="R852" s="31"/>
      <c r="S852" s="31" t="str">
        <f>IFERROR(__xludf.DUMMYFUNCTION("""COMPUTED_VALUE"""),"20231101_ソルマーレ編集部_恋という毒を飲むことにした")</f>
        <v>20231101_ソルマーレ編集部_恋という毒を飲むことにした</v>
      </c>
      <c r="T852" s="31" t="str">
        <f>IFERROR(__xludf.DUMMYFUNCTION("""COMPUTED_VALUE"""),"格納済み")</f>
        <v>格納済み</v>
      </c>
      <c r="U852" s="15" t="str">
        <f>IFERROR(__xludf.DUMMYFUNCTION("""COMPUTED_VALUE"""),"Ⓒ かいだ広/シーモアコミックス")</f>
        <v>Ⓒ かいだ広/シーモアコミックス</v>
      </c>
      <c r="V852" s="8" t="str">
        <f>IFERROR(__xludf.DUMMYFUNCTION("""COMPUTED_VALUE"""),"それでも、惹かれる気持ちを止められない――
早くに母を亡くし、小さな工場を経営する父と弟と三人、苦労しながらも明るく生きてきた凪。人のいい凪は、ある日バス停で、大声をあげて赤ちゃん連れのお母さんに絡むおじさんを止めようとして、殴られそうになる。間一髪、救ってくれたのはジョギング中の男性。凪は彼を追いかけ、お礼をしたいと名前を聞き出す。彼の名前は「久我理仁」。
口は悪いが、周囲が遠巻きに見るなか、ただ一人彼だけが、凪と親子を守ってくれたのだ。何度か会うたび、ほの甘い想いを抱きはじめる凪だが、一緒に食事に"&amp;"行く約束をしたその日、父が倒れ、母の思い出がつまった工場兼自宅が、再開発で立ち退きを迫られていることを知る――!!")</f>
        <v>それでも、惹かれる気持ちを止められない――
早くに母を亡くし、小さな工場を経営する父と弟と三人、苦労しながらも明るく生きてきた凪。人のいい凪は、ある日バス停で、大声をあげて赤ちゃん連れのお母さんに絡むおじさんを止めようとして、殴られそうになる。間一髪、救ってくれたのはジョギング中の男性。凪は彼を追いかけ、お礼をしたいと名前を聞き出す。彼の名前は「久我理仁」。
口は悪いが、周囲が遠巻きに見るなか、ただ一人彼だけが、凪と親子を守ってくれたのだ。何度か会うたび、ほの甘い想いを抱きはじめる凪だが、一緒に食事に行く約束をしたその日、父が倒れ、母の思い出がつまった工場兼自宅が、再開発で立ち退きを迫られていることを知る――!!</v>
      </c>
      <c r="W852" s="8"/>
      <c r="X852" s="8"/>
      <c r="Y852" s="8"/>
      <c r="Z852" s="7"/>
      <c r="AA852" s="7"/>
      <c r="AB852" s="7"/>
    </row>
    <row r="853" ht="15.75" customHeight="1">
      <c r="A853" s="26">
        <f>IFERROR(__xludf.DUMMYFUNCTION("""COMPUTED_VALUE"""),2578.0)</f>
        <v>2578</v>
      </c>
      <c r="B853" s="31" t="str">
        <f>IFERROR(__xludf.DUMMYFUNCTION("""COMPUTED_VALUE"""),"確定")</f>
        <v>確定</v>
      </c>
      <c r="C853" s="28">
        <f>IFERROR(__xludf.DUMMYFUNCTION("""COMPUTED_VALUE"""),45230.0)</f>
        <v>45230</v>
      </c>
      <c r="D853" s="28">
        <f>IFERROR(__xludf.DUMMYFUNCTION("""COMPUTED_VALUE"""),45230.0)</f>
        <v>45230</v>
      </c>
      <c r="E853" s="26">
        <f>IFERROR(__xludf.DUMMYFUNCTION("""COMPUTED_VALUE"""),273043.0)</f>
        <v>273043</v>
      </c>
      <c r="F853" s="31" t="str">
        <f>IFERROR(__xludf.DUMMYFUNCTION("""COMPUTED_VALUE"""),"甘やかして ちゅうして とろっとろにして。")</f>
        <v>甘やかして ちゅうして とろっとろにして。</v>
      </c>
      <c r="G853" s="20" t="str">
        <f>IFERROR(__xludf.DUMMYFUNCTION("""COMPUTED_VALUE"""),"1～3")</f>
        <v>1～3</v>
      </c>
      <c r="H853" s="31" t="str">
        <f>IFERROR(__xludf.DUMMYFUNCTION("""COMPUTED_VALUE"""),"つばくろ")</f>
        <v>つばくろ</v>
      </c>
      <c r="I853" s="14" t="str">
        <f>IFERROR(__xludf.DUMMYFUNCTION("""COMPUTED_VALUE"""),"TL")</f>
        <v>TL</v>
      </c>
      <c r="J853" s="31"/>
      <c r="K853" s="31"/>
      <c r="L853" s="31" t="str">
        <f>IFERROR(__xludf.DUMMYFUNCTION("""COMPUTED_VALUE"""),"ソルマーレ編集部")</f>
        <v>ソルマーレ編集部</v>
      </c>
      <c r="M853" s="23">
        <f>IFERROR(__xludf.DUMMYFUNCTION("""COMPUTED_VALUE"""),45262.0)</f>
        <v>45262</v>
      </c>
      <c r="N853" s="23">
        <f>IFERROR(__xludf.DUMMYFUNCTION("""COMPUTED_VALUE"""),45323.0)</f>
        <v>45323</v>
      </c>
      <c r="O853" s="20"/>
      <c r="P853" s="34" t="str">
        <f>IFERROR(__xludf.DUMMYFUNCTION("""COMPUTED_VALUE"""),"可")</f>
        <v>可</v>
      </c>
      <c r="Q853" s="30" t="str">
        <f>IFERROR(__xludf.DUMMYFUNCTION("""COMPUTED_VALUE"""),"※正式タイトル下記の通りです（10/31）&lt;BR&gt;＝＝＝&lt;BR&gt;甘やかして ちゅうして とろっとろにして。&lt;BR&gt;＝＝＝&lt;BR&gt;")</f>
        <v>※正式タイトル下記の通りです（10/31）&lt;BR&gt;＝＝＝&lt;BR&gt;甘やかして ちゅうして とろっとろにして。&lt;BR&gt;＝＝＝&lt;BR&gt;</v>
      </c>
      <c r="R853" s="31"/>
      <c r="S853" s="31" t="str">
        <f>IFERROR(__xludf.DUMMYFUNCTION("""COMPUTED_VALUE"""),"20231101_ソルマーレ編集部_甘やかして ちゅうして とろっとろにして。")</f>
        <v>20231101_ソルマーレ編集部_甘やかして ちゅうして とろっとろにして。</v>
      </c>
      <c r="T853" s="31" t="str">
        <f>IFERROR(__xludf.DUMMYFUNCTION("""COMPUTED_VALUE"""),"格納済み")</f>
        <v>格納済み</v>
      </c>
      <c r="U853" s="15" t="str">
        <f>IFERROR(__xludf.DUMMYFUNCTION("""COMPUTED_VALUE"""),"Ⓒ つばくろ/シーモアコミックス")</f>
        <v>Ⓒ つばくろ/シーモアコミックス</v>
      </c>
      <c r="V853" s="8" t="str">
        <f>IFERROR(__xludf.DUMMYFUNCTION("""COMPUTED_VALUE"""),"「優しくしたいよ 　先輩が好きだから」そして彼の唇が私の中に入ってやわらかな舌でとろっとろにからめとられた――上司や周りから仕事を押し付けられることが多い北郷じゅん。本人的にはこなせさえすれば人から必要とされるので、損な性格だとは思いつつも引き受けてしまって毎日残業三昧。そんな時指導係をしている南瀬が残業を手伝ってくれることになり…!?【桃色日記】")</f>
        <v>「優しくしたいよ 　先輩が好きだから」そして彼の唇が私の中に入ってやわらかな舌でとろっとろにからめとられた――上司や周りから仕事を押し付けられることが多い北郷じゅん。本人的にはこなせさえすれば人から必要とされるので、損な性格だとは思いつつも引き受けてしまって毎日残業三昧。そんな時指導係をしている南瀬が残業を手伝ってくれることになり…!?【桃色日記】</v>
      </c>
      <c r="W853" s="8"/>
      <c r="X853" s="8"/>
      <c r="Y853" s="8"/>
      <c r="Z853" s="7"/>
      <c r="AA853" s="7"/>
      <c r="AB853" s="7"/>
    </row>
    <row r="854" ht="99.75" customHeight="1">
      <c r="A854" s="26">
        <f>IFERROR(__xludf.DUMMYFUNCTION("""COMPUTED_VALUE"""),2580.0)</f>
        <v>2580</v>
      </c>
      <c r="B854" s="31" t="str">
        <f>IFERROR(__xludf.DUMMYFUNCTION("""COMPUTED_VALUE"""),"確定")</f>
        <v>確定</v>
      </c>
      <c r="C854" s="28">
        <f>IFERROR(__xludf.DUMMYFUNCTION("""COMPUTED_VALUE"""),45230.0)</f>
        <v>45230</v>
      </c>
      <c r="D854" s="28">
        <f>IFERROR(__xludf.DUMMYFUNCTION("""COMPUTED_VALUE"""),45231.0)</f>
        <v>45231</v>
      </c>
      <c r="E854" s="31">
        <f>IFERROR(__xludf.DUMMYFUNCTION("""COMPUTED_VALUE"""),280460.0)</f>
        <v>280460</v>
      </c>
      <c r="F854" s="31" t="str">
        <f>IFERROR(__xludf.DUMMYFUNCTION("""COMPUTED_VALUE"""),"ビハインド ザ シーン")</f>
        <v>ビハインド ザ シーン</v>
      </c>
      <c r="G854" s="20">
        <f>IFERROR(__xludf.DUMMYFUNCTION("""COMPUTED_VALUE"""),1.0)</f>
        <v>1</v>
      </c>
      <c r="H854" s="31" t="str">
        <f>IFERROR(__xludf.DUMMYFUNCTION("""COMPUTED_VALUE"""),"槻岡あに")</f>
        <v>槻岡あに</v>
      </c>
      <c r="I854" s="31" t="str">
        <f>IFERROR(__xludf.DUMMYFUNCTION("""COMPUTED_VALUE"""),"BL")</f>
        <v>BL</v>
      </c>
      <c r="J854" s="31"/>
      <c r="K854" s="31"/>
      <c r="L854" s="31" t="str">
        <f>IFERROR(__xludf.DUMMYFUNCTION("""COMPUTED_VALUE"""),"集英社")</f>
        <v>集英社</v>
      </c>
      <c r="M854" s="23">
        <f>IFERROR(__xludf.DUMMYFUNCTION("""COMPUTED_VALUE"""),45255.0)</f>
        <v>45255</v>
      </c>
      <c r="N854" s="23">
        <f>IFERROR(__xludf.DUMMYFUNCTION("""COMPUTED_VALUE"""),45284.0)</f>
        <v>45284</v>
      </c>
      <c r="O854" s="20"/>
      <c r="P854" s="34" t="str">
        <f>IFERROR(__xludf.DUMMYFUNCTION("""COMPUTED_VALUE"""),"否")</f>
        <v>否</v>
      </c>
      <c r="Q854" s="30" t="str">
        <f>IFERROR(__xludf.DUMMYFUNCTION("""COMPUTED_VALUE"""),"君恋")</f>
        <v>君恋</v>
      </c>
      <c r="R854" s="31"/>
      <c r="S854" s="31" t="str">
        <f>IFERROR(__xludf.DUMMYFUNCTION("""COMPUTED_VALUE"""),"20231031_集英社_11月新作3作品")</f>
        <v>20231031_集英社_11月新作3作品</v>
      </c>
      <c r="T854" s="31" t="str">
        <f>IFERROR(__xludf.DUMMYFUNCTION("""COMPUTED_VALUE"""),"格納済み")</f>
        <v>格納済み</v>
      </c>
      <c r="U854" s="15" t="str">
        <f>IFERROR(__xludf.DUMMYFUNCTION("""COMPUTED_VALUE"""),"（C）槻岡あに／集英社")</f>
        <v>（C）槻岡あに／集英社</v>
      </c>
      <c r="V854" s="8" t="str">
        <f>IFERROR(__xludf.DUMMYFUNCTION("""COMPUTED_VALUE"""),"集英社“君恋”が贈るボーイズ・ラブ！　叶多と瀬凪は、BLドラマ「リトライ」で恋人同士を演じ、人気になった若手俳優。ドラマ以外の仕事でも仲睦まじさを売りにしていたが、二人にはある秘密が…!?")</f>
        <v>集英社“君恋”が贈るボーイズ・ラブ！　叶多と瀬凪は、BLドラマ「リトライ」で恋人同士を演じ、人気になった若手俳優。ドラマ以外の仕事でも仲睦まじさを売りにしていたが、二人にはある秘密が…!?</v>
      </c>
      <c r="W854" s="14"/>
      <c r="X854" s="14" t="str">
        <f>IFERROR(__xludf.DUMMYFUNCTION("""COMPUTED_VALUE"""),"有
")</f>
        <v>有
</v>
      </c>
      <c r="Y854" s="8" t="str">
        <f>IFERROR(__xludf.DUMMYFUNCTION("""COMPUTED_VALUE"""),"P26まで")</f>
        <v>P26まで</v>
      </c>
      <c r="Z854" s="7"/>
      <c r="AA854" s="7"/>
      <c r="AB854" s="7"/>
    </row>
    <row r="855" ht="15.75" customHeight="1">
      <c r="A855" s="26">
        <f>IFERROR(__xludf.DUMMYFUNCTION("""COMPUTED_VALUE"""),2581.0)</f>
        <v>2581</v>
      </c>
      <c r="B855" s="31" t="str">
        <f>IFERROR(__xludf.DUMMYFUNCTION("""COMPUTED_VALUE"""),"確定")</f>
        <v>確定</v>
      </c>
      <c r="C855" s="28">
        <f>IFERROR(__xludf.DUMMYFUNCTION("""COMPUTED_VALUE"""),45230.0)</f>
        <v>45230</v>
      </c>
      <c r="D855" s="28">
        <f>IFERROR(__xludf.DUMMYFUNCTION("""COMPUTED_VALUE"""),45231.0)</f>
        <v>45231</v>
      </c>
      <c r="E855" s="31">
        <f>IFERROR(__xludf.DUMMYFUNCTION("""COMPUTED_VALUE"""),280754.0)</f>
        <v>280754</v>
      </c>
      <c r="F855" s="31" t="str">
        <f>IFERROR(__xludf.DUMMYFUNCTION("""COMPUTED_VALUE"""),"正しい不良のはじめかた")</f>
        <v>正しい不良のはじめかた</v>
      </c>
      <c r="G855" s="11" t="str">
        <f>IFERROR(__xludf.DUMMYFUNCTION("""COMPUTED_VALUE"""),"1～4")</f>
        <v>1～4</v>
      </c>
      <c r="H855" s="31" t="str">
        <f>IFERROR(__xludf.DUMMYFUNCTION("""COMPUTED_VALUE"""),"雨宮メム")</f>
        <v>雨宮メム</v>
      </c>
      <c r="I855" s="31" t="str">
        <f>IFERROR(__xludf.DUMMYFUNCTION("""COMPUTED_VALUE"""),"女性")</f>
        <v>女性</v>
      </c>
      <c r="J855" s="31"/>
      <c r="K855" s="31"/>
      <c r="L855" s="31" t="str">
        <f>IFERROR(__xludf.DUMMYFUNCTION("""COMPUTED_VALUE"""),"集英社")</f>
        <v>集英社</v>
      </c>
      <c r="M855" s="23">
        <f>IFERROR(__xludf.DUMMYFUNCTION("""COMPUTED_VALUE"""),45255.0)</f>
        <v>45255</v>
      </c>
      <c r="N855" s="23">
        <f>IFERROR(__xludf.DUMMYFUNCTION("""COMPUTED_VALUE"""),45284.0)</f>
        <v>45284</v>
      </c>
      <c r="O855" s="20"/>
      <c r="P855" s="34" t="str">
        <f>IFERROR(__xludf.DUMMYFUNCTION("""COMPUTED_VALUE"""),"否")</f>
        <v>否</v>
      </c>
      <c r="Q855" s="30" t="str">
        <f>IFERROR(__xludf.DUMMYFUNCTION("""COMPUTED_VALUE"""),"マンガMee")</f>
        <v>マンガMee</v>
      </c>
      <c r="R855" s="31"/>
      <c r="S855" s="31" t="str">
        <f>IFERROR(__xludf.DUMMYFUNCTION("""COMPUTED_VALUE"""),"20231031_集英社_11月新作3作品")</f>
        <v>20231031_集英社_11月新作3作品</v>
      </c>
      <c r="T855" s="31" t="str">
        <f>IFERROR(__xludf.DUMMYFUNCTION("""COMPUTED_VALUE"""),"格納済み")</f>
        <v>格納済み</v>
      </c>
      <c r="U855" s="15" t="str">
        <f>IFERROR(__xludf.DUMMYFUNCTION("""COMPUTED_VALUE"""),"（C）雨宮メム／集英社")</f>
        <v>（C）雨宮メム／集英社</v>
      </c>
      <c r="V855" s="8" t="str">
        <f>IFERROR(__xludf.DUMMYFUNCTION("""COMPUTED_VALUE"""),"柊冴月は学年1位の優等生。勉強はできるが人間関係は苦手…校庭で教師に追われているのは不良で通る、正宗先輩。ある日、柊は廃部した映研の部室管理を任される。その部室を占拠していたのは、正宗先輩の問題児グループ!!　麻雀で勝たなければ帰さないと挑発され、勝負することに。自分勝手な正宗先輩に強引に部員にされてしまい…天才少女が部活を守るため…「不良」はじめます！")</f>
        <v>柊冴月は学年1位の優等生。勉強はできるが人間関係は苦手…校庭で教師に追われているのは不良で通る、正宗先輩。ある日、柊は廃部した映研の部室管理を任される。その部室を占拠していたのは、正宗先輩の問題児グループ!!　麻雀で勝たなければ帰さないと挑発され、勝負することに。自分勝手な正宗先輩に強引に部員にされてしまい…天才少女が部活を守るため…「不良」はじめます！</v>
      </c>
      <c r="W855" s="14"/>
      <c r="X855" s="14" t="str">
        <f>IFERROR(__xludf.DUMMYFUNCTION("""COMPUTED_VALUE"""),"有
")</f>
        <v>有
</v>
      </c>
      <c r="Y855" s="8" t="str">
        <f>IFERROR(__xludf.DUMMYFUNCTION("""COMPUTED_VALUE"""),"P29まで")</f>
        <v>P29まで</v>
      </c>
      <c r="Z855" s="7"/>
      <c r="AA855" s="7"/>
      <c r="AB855" s="7"/>
    </row>
    <row r="856" ht="15.75" customHeight="1">
      <c r="A856" s="26">
        <f>IFERROR(__xludf.DUMMYFUNCTION("""COMPUTED_VALUE"""),2582.0)</f>
        <v>2582</v>
      </c>
      <c r="B856" s="31" t="str">
        <f>IFERROR(__xludf.DUMMYFUNCTION("""COMPUTED_VALUE"""),"確定")</f>
        <v>確定</v>
      </c>
      <c r="C856" s="28">
        <f>IFERROR(__xludf.DUMMYFUNCTION("""COMPUTED_VALUE"""),45230.0)</f>
        <v>45230</v>
      </c>
      <c r="D856" s="28">
        <f>IFERROR(__xludf.DUMMYFUNCTION("""COMPUTED_VALUE"""),45231.0)</f>
        <v>45231</v>
      </c>
      <c r="E856" s="31">
        <f>IFERROR(__xludf.DUMMYFUNCTION("""COMPUTED_VALUE"""),280753.0)</f>
        <v>280753</v>
      </c>
      <c r="F856" s="31" t="str">
        <f>IFERROR(__xludf.DUMMYFUNCTION("""COMPUTED_VALUE"""),"恋にほろよい")</f>
        <v>恋にほろよい</v>
      </c>
      <c r="G856" s="20" t="str">
        <f>IFERROR(__xludf.DUMMYFUNCTION("""COMPUTED_VALUE"""),"1～5")</f>
        <v>1～5</v>
      </c>
      <c r="H856" s="31" t="str">
        <f>IFERROR(__xludf.DUMMYFUNCTION("""COMPUTED_VALUE"""),"紅雨ぐみ")</f>
        <v>紅雨ぐみ</v>
      </c>
      <c r="I856" s="31" t="str">
        <f>IFERROR(__xludf.DUMMYFUNCTION("""COMPUTED_VALUE"""),"女性")</f>
        <v>女性</v>
      </c>
      <c r="J856" s="31"/>
      <c r="K856" s="31"/>
      <c r="L856" s="31" t="str">
        <f>IFERROR(__xludf.DUMMYFUNCTION("""COMPUTED_VALUE"""),"集英社")</f>
        <v>集英社</v>
      </c>
      <c r="M856" s="23">
        <f>IFERROR(__xludf.DUMMYFUNCTION("""COMPUTED_VALUE"""),45255.0)</f>
        <v>45255</v>
      </c>
      <c r="N856" s="23">
        <f>IFERROR(__xludf.DUMMYFUNCTION("""COMPUTED_VALUE"""),45284.0)</f>
        <v>45284</v>
      </c>
      <c r="O856" s="20"/>
      <c r="P856" s="34" t="str">
        <f>IFERROR(__xludf.DUMMYFUNCTION("""COMPUTED_VALUE"""),"否")</f>
        <v>否</v>
      </c>
      <c r="Q856" s="30" t="str">
        <f>IFERROR(__xludf.DUMMYFUNCTION("""COMPUTED_VALUE"""),"マンガMee")</f>
        <v>マンガMee</v>
      </c>
      <c r="R856" s="31"/>
      <c r="S856" s="31" t="str">
        <f>IFERROR(__xludf.DUMMYFUNCTION("""COMPUTED_VALUE"""),"20231031_集英社_11月新作3作品")</f>
        <v>20231031_集英社_11月新作3作品</v>
      </c>
      <c r="T856" s="31" t="str">
        <f>IFERROR(__xludf.DUMMYFUNCTION("""COMPUTED_VALUE"""),"格納済み")</f>
        <v>格納済み</v>
      </c>
      <c r="U856" s="15" t="str">
        <f>IFERROR(__xludf.DUMMYFUNCTION("""COMPUTED_VALUE"""),"（C）紅雨ぐみ／集英社")</f>
        <v>（C）紅雨ぐみ／集英社</v>
      </c>
      <c r="V856" s="8" t="str">
        <f>IFERROR(__xludf.DUMMYFUNCTION("""COMPUTED_VALUE"""),"少女漫画家のくるみは、打ち切りと突然の担当変更に驚くばかり。電話越しのストレートな指摘と冷たい言葉にモヤモヤ…こんな日は、“飲むしかない!!”　駆け込んだ立ち飲み屋で、男性と相席することに…どうやらこの人、新しい担当編集!?　担当作家であることを隠して声をかけてみると、「酔った様子も可愛いですね」…!?　こんなギャップ聞いてない!!　作家と編集、ほろよい恋の駆け引きスタート！")</f>
        <v>少女漫画家のくるみは、打ち切りと突然の担当変更に驚くばかり。電話越しのストレートな指摘と冷たい言葉にモヤモヤ…こんな日は、“飲むしかない!!”　駆け込んだ立ち飲み屋で、男性と相席することに…どうやらこの人、新しい担当編集!?　担当作家であることを隠して声をかけてみると、「酔った様子も可愛いですね」…!?　こんなギャップ聞いてない!!　作家と編集、ほろよい恋の駆け引きスタート！</v>
      </c>
      <c r="W856" s="14"/>
      <c r="X856" s="14" t="str">
        <f>IFERROR(__xludf.DUMMYFUNCTION("""COMPUTED_VALUE"""),"有
")</f>
        <v>有
</v>
      </c>
      <c r="Y856" s="8" t="str">
        <f>IFERROR(__xludf.DUMMYFUNCTION("""COMPUTED_VALUE"""),"P23まで")</f>
        <v>P23まで</v>
      </c>
      <c r="Z856" s="7"/>
      <c r="AA856" s="7"/>
      <c r="AB856" s="7"/>
    </row>
    <row r="857" ht="15.75" customHeight="1">
      <c r="A857" s="26">
        <f>IFERROR(__xludf.DUMMYFUNCTION("""COMPUTED_VALUE"""),2508.0)</f>
        <v>2508</v>
      </c>
      <c r="B857" s="31" t="str">
        <f>IFERROR(__xludf.DUMMYFUNCTION("""COMPUTED_VALUE"""),"確定")</f>
        <v>確定</v>
      </c>
      <c r="C857" s="28">
        <f>IFERROR(__xludf.DUMMYFUNCTION("""COMPUTED_VALUE"""),45209.0)</f>
        <v>45209</v>
      </c>
      <c r="D857" s="28">
        <f>IFERROR(__xludf.DUMMYFUNCTION("""COMPUTED_VALUE"""),45237.0)</f>
        <v>45237</v>
      </c>
      <c r="E857" s="31">
        <f>IFERROR(__xludf.DUMMYFUNCTION("""COMPUTED_VALUE"""),281539.0)</f>
        <v>281539</v>
      </c>
      <c r="F857" s="31" t="str">
        <f>IFERROR(__xludf.DUMMYFUNCTION("""COMPUTED_VALUE"""),"嘘吐きたちの戯曲（ラシーヌ）")</f>
        <v>嘘吐きたちの戯曲（ラシーヌ）</v>
      </c>
      <c r="G857" s="11" t="str">
        <f>IFERROR(__xludf.DUMMYFUNCTION("""COMPUTED_VALUE"""),"1～2")</f>
        <v>1～2</v>
      </c>
      <c r="H857" s="31" t="str">
        <f>IFERROR(__xludf.DUMMYFUNCTION("""COMPUTED_VALUE"""),"縫宇")</f>
        <v>縫宇</v>
      </c>
      <c r="I857" s="31" t="str">
        <f>IFERROR(__xludf.DUMMYFUNCTION("""COMPUTED_VALUE"""),"BL")</f>
        <v>BL</v>
      </c>
      <c r="J857" s="31"/>
      <c r="K857" s="31"/>
      <c r="L857" s="31" t="str">
        <f>IFERROR(__xludf.DUMMYFUNCTION("""COMPUTED_VALUE"""),"MUGENUP")</f>
        <v>MUGENUP</v>
      </c>
      <c r="M857" s="23">
        <f>IFERROR(__xludf.DUMMYFUNCTION("""COMPUTED_VALUE"""),45262.0)</f>
        <v>45262</v>
      </c>
      <c r="N857" s="37" t="str">
        <f>IFERROR(__xludf.DUMMYFUNCTION("""COMPUTED_VALUE"""),"出稿可⇒3ヶ月")</f>
        <v>出稿可⇒3ヶ月</v>
      </c>
      <c r="O857" s="20"/>
      <c r="P857" s="34" t="str">
        <f>IFERROR(__xludf.DUMMYFUNCTION("""COMPUTED_VALUE"""),"可")</f>
        <v>可</v>
      </c>
      <c r="Q857" s="31" t="str">
        <f>IFERROR(__xludf.DUMMYFUNCTION("""COMPUTED_VALUE"""),"広告コミットOK(10/18)")</f>
        <v>広告コミットOK(10/18)</v>
      </c>
      <c r="R857" s="31" t="str">
        <f>IFERROR(__xludf.DUMMYFUNCTION("""COMPUTED_VALUE"""),"格納済み")</f>
        <v>格納済み</v>
      </c>
      <c r="S857" s="31" t="str">
        <f>IFERROR(__xludf.DUMMYFUNCTION("""COMPUTED_VALUE"""),"20231106_暁NEXT_嘘吐きたちの戯曲（ラシーヌ）")</f>
        <v>20231106_暁NEXT_嘘吐きたちの戯曲（ラシーヌ）</v>
      </c>
      <c r="T857" s="31" t="str">
        <f>IFERROR(__xludf.DUMMYFUNCTION("""COMPUTED_VALUE"""),"格納済み")</f>
        <v>格納済み</v>
      </c>
      <c r="U857" s="15" t="str">
        <f>IFERROR(__xludf.DUMMYFUNCTION("""COMPUTED_VALUE"""),"（C）縫宇／MUGENUP")</f>
        <v>（C）縫宇／MUGENUP</v>
      </c>
      <c r="V857" s="8" t="str">
        <f>IFERROR(__xludf.DUMMYFUNCTION("""COMPUTED_VALUE"""),"豊城悠久（ゆうき）は国内外トップブランドからキャスティングされる人気モデル。その成功に驕ることなく知的でストイック、業界内では気さくな好青年として周知されている。
しかし素の悠久（はるひさ）は自信家・わがまま・潔癖症。その性格のため仕事以外の人間関係は壊滅的、友人はおろか恋愛でも長続きせず後腐れのないワンナイばかり。
しかし、そんな悠久は半年ほど前に仕事先で知り合った会社員・人見陽（ひとみよう）に恋をしている。
陽のしっかりした真面目な性格と意志の強い眼差し、身体の相性の良さに惹かれ、今度こそ自身の"&amp;"性格で別れることがないよう、完璧な好青年「モデル豊城悠久」として関係を築いていた。セフレのような関係であるものの、素の自分を内側から変えてくれる陽との日々に悠久は充足感を感じていた。
お互いに相思相愛であると確信した悠久は、ベッドの中で陽に現状の曖昧な関係から将来を見据えた交際をしようと告白が──！？")</f>
        <v>豊城悠久（ゆうき）は国内外トップブランドからキャスティングされる人気モデル。その成功に驕ることなく知的でストイック、業界内では気さくな好青年として周知されている。
しかし素の悠久（はるひさ）は自信家・わがまま・潔癖症。その性格のため仕事以外の人間関係は壊滅的、友人はおろか恋愛でも長続きせず後腐れのないワンナイばかり。
しかし、そんな悠久は半年ほど前に仕事先で知り合った会社員・人見陽（ひとみよう）に恋をしている。
陽のしっかりした真面目な性格と意志の強い眼差し、身体の相性の良さに惹かれ、今度こそ自身の性格で別れることがないよう、完璧な好青年「モデル豊城悠久」として関係を築いていた。セフレのような関係であるものの、素の自分を内側から変えてくれる陽との日々に悠久は充足感を感じていた。
お互いに相思相愛であると確信した悠久は、ベッドの中で陽に現状の曖昧な関係から将来を見据えた交際をしようと告白が──！？</v>
      </c>
      <c r="W857" s="14"/>
      <c r="X857" s="14" t="str">
        <f>IFERROR(__xludf.DUMMYFUNCTION("""COMPUTED_VALUE"""),"有")</f>
        <v>有</v>
      </c>
      <c r="Y857" s="8" t="str">
        <f>IFERROR(__xludf.DUMMYFUNCTION("""COMPUTED_VALUE"""),"P12まで")</f>
        <v>P12まで</v>
      </c>
      <c r="Z857" s="7"/>
      <c r="AA857" s="7"/>
      <c r="AB857" s="7"/>
    </row>
    <row r="858" ht="15.75" customHeight="1">
      <c r="A858" s="26">
        <f>IFERROR(__xludf.DUMMYFUNCTION("""COMPUTED_VALUE"""),2535.0)</f>
        <v>2535</v>
      </c>
      <c r="B858" s="31" t="str">
        <f>IFERROR(__xludf.DUMMYFUNCTION("""COMPUTED_VALUE"""),"確定")</f>
        <v>確定</v>
      </c>
      <c r="C858" s="28">
        <f>IFERROR(__xludf.DUMMYFUNCTION("""COMPUTED_VALUE"""),45217.0)</f>
        <v>45217</v>
      </c>
      <c r="D858" s="28">
        <f>IFERROR(__xludf.DUMMYFUNCTION("""COMPUTED_VALUE"""),45238.0)</f>
        <v>45238</v>
      </c>
      <c r="E858" s="31">
        <f>IFERROR(__xludf.DUMMYFUNCTION("""COMPUTED_VALUE"""),282270.0)</f>
        <v>282270</v>
      </c>
      <c r="F858" s="31" t="str">
        <f>IFERROR(__xludf.DUMMYFUNCTION("""COMPUTED_VALUE"""),"この件はご内密に願います！ 旦那様は男装に励む妻を今日もぐずぐずにかわいがりたい")</f>
        <v>この件はご内密に願います！ 旦那様は男装に励む妻を今日もぐずぐずにかわいがりたい</v>
      </c>
      <c r="G858" s="11" t="str">
        <f>IFERROR(__xludf.DUMMYFUNCTION("""COMPUTED_VALUE"""),"1～2")</f>
        <v>1～2</v>
      </c>
      <c r="H858" s="31" t="str">
        <f>IFERROR(__xludf.DUMMYFUNCTION("""COMPUTED_VALUE"""),"高屋/クレイン")</f>
        <v>高屋/クレイン</v>
      </c>
      <c r="I858" s="31" t="str">
        <f>IFERROR(__xludf.DUMMYFUNCTION("""COMPUTED_VALUE"""),"TL")</f>
        <v>TL</v>
      </c>
      <c r="J858" s="31"/>
      <c r="K858" s="31"/>
      <c r="L858" s="31" t="str">
        <f>IFERROR(__xludf.DUMMYFUNCTION("""COMPUTED_VALUE"""),"CLLENN")</f>
        <v>CLLENN</v>
      </c>
      <c r="M858" s="23">
        <f>IFERROR(__xludf.DUMMYFUNCTION("""COMPUTED_VALUE"""),45276.0)</f>
        <v>45276</v>
      </c>
      <c r="N858" s="23">
        <f>IFERROR(__xludf.DUMMYFUNCTION("""COMPUTED_VALUE"""),45310.0)</f>
        <v>45310</v>
      </c>
      <c r="O858" s="20"/>
      <c r="P858" s="32" t="str">
        <f>IFERROR(__xludf.DUMMYFUNCTION("""COMPUTED_VALUE"""),"可")</f>
        <v>可</v>
      </c>
      <c r="Q858" s="31"/>
      <c r="R858" s="31" t="str">
        <f>IFERROR(__xludf.DUMMYFUNCTION("""COMPUTED_VALUE"""),"格納済")</f>
        <v>格納済</v>
      </c>
      <c r="S858" s="31" t="str">
        <f>IFERROR(__xludf.DUMMYFUNCTION("""COMPUTED_VALUE"""),"20231107_CLLENN_この件はご内密に願います！ 旦那様は男装に励む妻を今日もぐずぐずにかわいがりたい")</f>
        <v>20231107_CLLENN_この件はご内密に願います！ 旦那様は男装に励む妻を今日もぐずぐずにかわいがりたい</v>
      </c>
      <c r="T858" s="31" t="str">
        <f>IFERROR(__xludf.DUMMYFUNCTION("""COMPUTED_VALUE"""),"格納済み")</f>
        <v>格納済み</v>
      </c>
      <c r="U858" s="15" t="str">
        <f>IFERROR(__xludf.DUMMYFUNCTION("""COMPUTED_VALUE"""),"ⓒ高屋・クレイン/CLLENN")</f>
        <v>ⓒ高屋・クレイン/CLLENN</v>
      </c>
      <c r="V858" s="8" t="str">
        <f>IFERROR(__xludf.DUMMYFUNCTION("""COMPUTED_VALUE"""),"「なに…シたくなった？」晴斗と和歌子は仲睦まじい普通の夫婦。ごく普通っぽい二人は、ごく普通に見える恋をして、ごく普通と思われる結婚をした。ちょっぴり違うのはひとつだけ――奥さまが男装レイヤーであること。「……変な奥さんでゴメンね」「良いんだよ。お前が俺の隣で楽しそうにしてるだけで、俺は幸せだから」学生時代は先輩後輩、再会、溺愛、こじらせ、甘々えっち…。なにげない遠野夫妻の日常には、悶絶キュンが大渋滞！！山もなければ谷もない（？）だけど少しだけアブノーマルな、幸せな日々！")</f>
        <v>「なに…シたくなった？」晴斗と和歌子は仲睦まじい普通の夫婦。ごく普通っぽい二人は、ごく普通に見える恋をして、ごく普通と思われる結婚をした。ちょっぴり違うのはひとつだけ――奥さまが男装レイヤーであること。「……変な奥さんでゴメンね」「良いんだよ。お前が俺の隣で楽しそうにしてるだけで、俺は幸せだから」学生時代は先輩後輩、再会、溺愛、こじらせ、甘々えっち…。なにげない遠野夫妻の日常には、悶絶キュンが大渋滞！！山もなければ谷もない（？）だけど少しだけアブノーマルな、幸せな日々！</v>
      </c>
      <c r="W858" s="14"/>
      <c r="X858" s="14" t="str">
        <f>IFERROR(__xludf.DUMMYFUNCTION("""COMPUTED_VALUE"""),"有")</f>
        <v>有</v>
      </c>
      <c r="Y858" s="8" t="str">
        <f>IFERROR(__xludf.DUMMYFUNCTION("""COMPUTED_VALUE"""),"P8まで")</f>
        <v>P8まで</v>
      </c>
      <c r="Z858" s="7"/>
      <c r="AA858" s="7"/>
      <c r="AB858" s="7"/>
    </row>
    <row r="859" ht="15.75" customHeight="1">
      <c r="A859" s="26">
        <f>IFERROR(__xludf.DUMMYFUNCTION("""COMPUTED_VALUE"""),2586.0)</f>
        <v>2586</v>
      </c>
      <c r="B859" s="31" t="str">
        <f>IFERROR(__xludf.DUMMYFUNCTION("""COMPUTED_VALUE"""),"確定")</f>
        <v>確定</v>
      </c>
      <c r="C859" s="28">
        <f>IFERROR(__xludf.DUMMYFUNCTION("""COMPUTED_VALUE"""),45231.0)</f>
        <v>45231</v>
      </c>
      <c r="D859" s="28">
        <f>IFERROR(__xludf.DUMMYFUNCTION("""COMPUTED_VALUE"""),45236.0)</f>
        <v>45236</v>
      </c>
      <c r="E859" s="31">
        <f>IFERROR(__xludf.DUMMYFUNCTION("""COMPUTED_VALUE"""),280959.0)</f>
        <v>280959</v>
      </c>
      <c r="F859" s="31" t="str">
        <f>IFERROR(__xludf.DUMMYFUNCTION("""COMPUTED_VALUE"""),"エロ×マンキツ")</f>
        <v>エロ×マンキツ</v>
      </c>
      <c r="G859" s="11" t="str">
        <f>IFERROR(__xludf.DUMMYFUNCTION("""COMPUTED_VALUE"""),"1～4")</f>
        <v>1～4</v>
      </c>
      <c r="H859" s="31" t="str">
        <f>IFERROR(__xludf.DUMMYFUNCTION("""COMPUTED_VALUE"""),"Mishi Beach/ラルケン")</f>
        <v>Mishi Beach/ラルケン</v>
      </c>
      <c r="I859" s="31" t="str">
        <f>IFERROR(__xludf.DUMMYFUNCTION("""COMPUTED_VALUE"""),"青年")</f>
        <v>青年</v>
      </c>
      <c r="J859" s="31"/>
      <c r="K859" s="31"/>
      <c r="L859" s="31" t="str">
        <f>IFERROR(__xludf.DUMMYFUNCTION("""COMPUTED_VALUE"""),"Rush!")</f>
        <v>Rush!</v>
      </c>
      <c r="M859" s="23">
        <f>IFERROR(__xludf.DUMMYFUNCTION("""COMPUTED_VALUE"""),45261.0)</f>
        <v>45261</v>
      </c>
      <c r="N859" s="23">
        <f>IFERROR(__xludf.DUMMYFUNCTION("""COMPUTED_VALUE"""),45295.0)</f>
        <v>45295</v>
      </c>
      <c r="O859" s="20"/>
      <c r="P859" s="32" t="str">
        <f>IFERROR(__xludf.DUMMYFUNCTION("""COMPUTED_VALUE"""),"可")</f>
        <v>可</v>
      </c>
      <c r="Q859" s="30"/>
      <c r="R859" s="31"/>
      <c r="S859" s="31" t="str">
        <f>IFERROR(__xludf.DUMMYFUNCTION("""COMPUTED_VALUE"""),"20231101_ファンギルド_エロ×マンキツ")</f>
        <v>20231101_ファンギルド_エロ×マンキツ</v>
      </c>
      <c r="T859" s="31" t="str">
        <f>IFERROR(__xludf.DUMMYFUNCTION("""COMPUTED_VALUE"""),"格納済み")</f>
        <v>格納済み</v>
      </c>
      <c r="U859" s="15" t="str">
        <f>IFERROR(__xludf.DUMMYFUNCTION("""COMPUTED_VALUE"""),"©Mishi Beach/ラルケン/TOPTOON")</f>
        <v>©Mishi Beach/ラルケン/TOPTOON</v>
      </c>
      <c r="V859" s="8" t="str">
        <f>IFERROR(__xludf.DUMMYFUNCTION("""COMPUTED_VALUE"""),"部屋に引きこもり漫画に読み耽る日々を送る冴えない大学生・亮太（りょうた）。しかし誕生日にその生活は一変。叔父がくれた誕生日プレゼントは――まさかの漫画喫茶！？　夏休みの間、経営を任されたその店のスタッフは、美人な女性ばかり…そしてそこには、亮太を引きこもりに追い込んだ張本人・麗奈がいた。麗奈が借金を抱えている事を知った亮太は、借金を肩代わりするのと引き換えに絶対服従を契約させて──。ひと夏の、ヤリたい放題マンキツライフ！！")</f>
        <v>部屋に引きこもり漫画に読み耽る日々を送る冴えない大学生・亮太（りょうた）。しかし誕生日にその生活は一変。叔父がくれた誕生日プレゼントは――まさかの漫画喫茶！？　夏休みの間、経営を任されたその店のスタッフは、美人な女性ばかり…そしてそこには、亮太を引きこもりに追い込んだ張本人・麗奈がいた。麗奈が借金を抱えている事を知った亮太は、借金を肩代わりするのと引き換えに絶対服従を契約させて──。ひと夏の、ヤリたい放題マンキツライフ！！</v>
      </c>
      <c r="W859" s="14"/>
      <c r="X859" s="14" t="str">
        <f>IFERROR(__xludf.DUMMYFUNCTION("""COMPUTED_VALUE"""),"有")</f>
        <v>有</v>
      </c>
      <c r="Y859" s="8" t="str">
        <f>IFERROR(__xludf.DUMMYFUNCTION("""COMPUTED_VALUE"""),"12/14まで1巻無料")</f>
        <v>12/14まで1巻無料</v>
      </c>
      <c r="Z859" s="7"/>
      <c r="AA859" s="7"/>
      <c r="AB859" s="7"/>
    </row>
    <row r="860" ht="15.75" customHeight="1">
      <c r="A860" s="26">
        <f>IFERROR(__xludf.DUMMYFUNCTION("""COMPUTED_VALUE"""),2587.0)</f>
        <v>2587</v>
      </c>
      <c r="B860" s="31" t="str">
        <f>IFERROR(__xludf.DUMMYFUNCTION("""COMPUTED_VALUE"""),"確定")</f>
        <v>確定</v>
      </c>
      <c r="C860" s="28">
        <f>IFERROR(__xludf.DUMMYFUNCTION("""COMPUTED_VALUE"""),45231.0)</f>
        <v>45231</v>
      </c>
      <c r="D860" s="28">
        <f>IFERROR(__xludf.DUMMYFUNCTION("""COMPUTED_VALUE"""),45236.0)</f>
        <v>45236</v>
      </c>
      <c r="E860" s="31">
        <f>IFERROR(__xludf.DUMMYFUNCTION("""COMPUTED_VALUE"""),280960.0)</f>
        <v>280960</v>
      </c>
      <c r="F860" s="31" t="str">
        <f>IFERROR(__xludf.DUMMYFUNCTION("""COMPUTED_VALUE"""),"オトナの階段")</f>
        <v>オトナの階段</v>
      </c>
      <c r="G860" s="20" t="str">
        <f>IFERROR(__xludf.DUMMYFUNCTION("""COMPUTED_VALUE"""),"1～3")</f>
        <v>1～3</v>
      </c>
      <c r="H860" s="31" t="str">
        <f>IFERROR(__xludf.DUMMYFUNCTION("""COMPUTED_VALUE"""),"Moon Seokbae/Naisitsuokusama")</f>
        <v>Moon Seokbae/Naisitsuokusama</v>
      </c>
      <c r="I860" s="31" t="str">
        <f>IFERROR(__xludf.DUMMYFUNCTION("""COMPUTED_VALUE"""),"青年")</f>
        <v>青年</v>
      </c>
      <c r="J860" s="31"/>
      <c r="K860" s="31"/>
      <c r="L860" s="31" t="str">
        <f>IFERROR(__xludf.DUMMYFUNCTION("""COMPUTED_VALUE"""),"Rush!")</f>
        <v>Rush!</v>
      </c>
      <c r="M860" s="23">
        <f>IFERROR(__xludf.DUMMYFUNCTION("""COMPUTED_VALUE"""),45261.0)</f>
        <v>45261</v>
      </c>
      <c r="N860" s="23">
        <f>IFERROR(__xludf.DUMMYFUNCTION("""COMPUTED_VALUE"""),45295.0)</f>
        <v>45295</v>
      </c>
      <c r="O860" s="20"/>
      <c r="P860" s="32" t="str">
        <f>IFERROR(__xludf.DUMMYFUNCTION("""COMPUTED_VALUE"""),"可")</f>
        <v>可</v>
      </c>
      <c r="Q860" s="30"/>
      <c r="R860" s="31"/>
      <c r="S860" s="31" t="str">
        <f>IFERROR(__xludf.DUMMYFUNCTION("""COMPUTED_VALUE"""),"20231101_ファンギルド_オトナの階段")</f>
        <v>20231101_ファンギルド_オトナの階段</v>
      </c>
      <c r="T860" s="31" t="str">
        <f>IFERROR(__xludf.DUMMYFUNCTION("""COMPUTED_VALUE"""),"格納済み")</f>
        <v>格納済み</v>
      </c>
      <c r="U860" s="15" t="str">
        <f>IFERROR(__xludf.DUMMYFUNCTION("""COMPUTED_VALUE"""),"©Moon Seokbae/Naisitsuokusama/TOPTOON")</f>
        <v>©Moon Seokbae/Naisitsuokusama/TOPTOON</v>
      </c>
      <c r="V860" s="8" t="str">
        <f>IFERROR(__xludf.DUMMYFUNCTION("""COMPUTED_VALUE"""),"姉夫婦の家に居候しながら大学への復学を目指す樹。新婚でアツアツな姉達に対し、彼女すらいない童貞は今日も元気だけを持て余していた。そんなある日、アルバイト先である百貨店に向かう途中、電車内に好みの女性が。ボーっと見とれていると、彼女が痴漢に遭う瞬間を目撃。反射的に痴漢を撃退した樹だったが、助けた女性はまさかの勤め先の新しい美人チーム長！？おまけに痴漢撃退現場を捉えた動画が世間に出回り、一躍有名人に。これまで縁のなかった女性達から言い寄られ――！？元気だけが取り柄の童貞は今、オトナの階段を登り始める――！")</f>
        <v>姉夫婦の家に居候しながら大学への復学を目指す樹。新婚でアツアツな姉達に対し、彼女すらいない童貞は今日も元気だけを持て余していた。そんなある日、アルバイト先である百貨店に向かう途中、電車内に好みの女性が。ボーっと見とれていると、彼女が痴漢に遭う瞬間を目撃。反射的に痴漢を撃退した樹だったが、助けた女性はまさかの勤め先の新しい美人チーム長！？おまけに痴漢撃退現場を捉えた動画が世間に出回り、一躍有名人に。これまで縁のなかった女性達から言い寄られ――！？元気だけが取り柄の童貞は今、オトナの階段を登り始める――！</v>
      </c>
      <c r="W860" s="14"/>
      <c r="X860" s="14" t="str">
        <f>IFERROR(__xludf.DUMMYFUNCTION("""COMPUTED_VALUE"""),"有")</f>
        <v>有</v>
      </c>
      <c r="Y860" s="8" t="str">
        <f>IFERROR(__xludf.DUMMYFUNCTION("""COMPUTED_VALUE"""),"12/14まで1巻無料")</f>
        <v>12/14まで1巻無料</v>
      </c>
      <c r="Z860" s="7"/>
      <c r="AA860" s="7"/>
      <c r="AB860" s="7"/>
    </row>
    <row r="861" ht="15.75" customHeight="1">
      <c r="A861" s="26">
        <f>IFERROR(__xludf.DUMMYFUNCTION("""COMPUTED_VALUE"""),2590.0)</f>
        <v>2590</v>
      </c>
      <c r="B861" s="31" t="str">
        <f>IFERROR(__xludf.DUMMYFUNCTION("""COMPUTED_VALUE"""),"確定")</f>
        <v>確定</v>
      </c>
      <c r="C861" s="28">
        <f>IFERROR(__xludf.DUMMYFUNCTION("""COMPUTED_VALUE"""),45232.0)</f>
        <v>45232</v>
      </c>
      <c r="D861" s="28">
        <f>IFERROR(__xludf.DUMMYFUNCTION("""COMPUTED_VALUE"""),45232.0)</f>
        <v>45232</v>
      </c>
      <c r="E861" s="31">
        <f>IFERROR(__xludf.DUMMYFUNCTION("""COMPUTED_VALUE"""),285934.0)</f>
        <v>285934</v>
      </c>
      <c r="F861" s="31" t="str">
        <f>IFERROR(__xludf.DUMMYFUNCTION("""COMPUTED_VALUE"""),"好感度ゼロからはじまる宰相閣下との結婚生活")</f>
        <v>好感度ゼロからはじまる宰相閣下との結婚生活</v>
      </c>
      <c r="G861" s="20" t="str">
        <f>IFERROR(__xludf.DUMMYFUNCTION("""COMPUTED_VALUE"""),"1～3")</f>
        <v>1～3</v>
      </c>
      <c r="H861" s="31" t="str">
        <f>IFERROR(__xludf.DUMMYFUNCTION("""COMPUTED_VALUE"""),"茅谷しょうゆ")</f>
        <v>茅谷しょうゆ</v>
      </c>
      <c r="I861" s="31" t="str">
        <f>IFERROR(__xludf.DUMMYFUNCTION("""COMPUTED_VALUE"""),"TL")</f>
        <v>TL</v>
      </c>
      <c r="J861" s="31"/>
      <c r="K861" s="31"/>
      <c r="L861" s="31" t="str">
        <f>IFERROR(__xludf.DUMMYFUNCTION("""COMPUTED_VALUE"""),"リブレ")</f>
        <v>リブレ</v>
      </c>
      <c r="M861" s="23">
        <f>IFERROR(__xludf.DUMMYFUNCTION("""COMPUTED_VALUE"""),45337.0)</f>
        <v>45337</v>
      </c>
      <c r="N861" s="23">
        <f>IFERROR(__xludf.DUMMYFUNCTION("""COMPUTED_VALUE"""),45371.0)</f>
        <v>45371</v>
      </c>
      <c r="O861" s="20"/>
      <c r="P861" s="34" t="str">
        <f>IFERROR(__xludf.DUMMYFUNCTION("""COMPUTED_VALUE"""),"可")</f>
        <v>可</v>
      </c>
      <c r="Q861" s="30" t="str">
        <f>IFERROR(__xludf.DUMMYFUNCTION("""COMPUTED_VALUE"""),"現在いただいている素材を格納しております。以降分は頂き次第格納します。")</f>
        <v>現在いただいている素材を格納しております。以降分は頂き次第格納します。</v>
      </c>
      <c r="R861" s="31"/>
      <c r="S861" s="30" t="str">
        <f>IFERROR(__xludf.DUMMYFUNCTION("""COMPUTED_VALUE"""),"検討用_20231102_リブレ_好感度ゼロからはじまる宰相閣下との結婚生活")</f>
        <v>検討用_20231102_リブレ_好感度ゼロからはじまる宰相閣下との結婚生活</v>
      </c>
      <c r="T861" s="31"/>
      <c r="U861" s="15" t="str">
        <f>IFERROR(__xludf.DUMMYFUNCTION("""COMPUTED_VALUE"""),"(C)茅谷しょうゆ・マチバリ/libre")</f>
        <v>(C)茅谷しょうゆ・マチバリ/libre</v>
      </c>
      <c r="V861" s="8" t="str">
        <f>IFERROR(__xludf.DUMMYFUNCTION("""COMPUTED_VALUE"""),"「嘘ではない証に私の足に口づけしてくださる？」
東の小国レナタニアの第二王女アデラが結婚を命じられたのは宰相トリスタン・オリオ。彼は若くして宰相まで上りつめた天才であり、剣技にも優れた完璧男。
だけど、アデラにとっては会えば小言ばかりを言ってくる嫌な男でもある。
…この結婚はきっと出世のための政略結婚。
ろくな結婚生活にならないと思っていたのに結婚初夜、トリスタンから衝撃の言葉を告げられて!?
――信じられない。私のことなんて嫌いなクセに、どうしてそんな熱い眼差しで見つめてくるの…？
【クール"&amp;"な宰相閣下】×【素直になれない平凡王女】
好感度ゼロから始まる!?　溺愛マリッジラブストーリー！")</f>
        <v>「嘘ではない証に私の足に口づけしてくださる？」
東の小国レナタニアの第二王女アデラが結婚を命じられたのは宰相トリスタン・オリオ。彼は若くして宰相まで上りつめた天才であり、剣技にも優れた完璧男。
だけど、アデラにとっては会えば小言ばかりを言ってくる嫌な男でもある。
…この結婚はきっと出世のための政略結婚。
ろくな結婚生活にならないと思っていたのに結婚初夜、トリスタンから衝撃の言葉を告げられて!?
――信じられない。私のことなんて嫌いなクセに、どうしてそんな熱い眼差しで見つめてくるの…？
【クールな宰相閣下】×【素直になれない平凡王女】
好感度ゼロから始まる!?　溺愛マリッジラブストーリー！</v>
      </c>
      <c r="W861" s="14"/>
      <c r="X861" s="14" t="str">
        <f>IFERROR(__xludf.DUMMYFUNCTION("""COMPUTED_VALUE"""),"有")</f>
        <v>有</v>
      </c>
      <c r="Y861" s="8" t="str">
        <f>IFERROR(__xludf.DUMMYFUNCTION("""COMPUTED_VALUE"""),"P11まで")</f>
        <v>P11まで</v>
      </c>
      <c r="Z861" s="7"/>
      <c r="AA861" s="7"/>
      <c r="AB861" s="7"/>
    </row>
    <row r="862" ht="15.75" customHeight="1">
      <c r="A862" s="26">
        <f>IFERROR(__xludf.DUMMYFUNCTION("""COMPUTED_VALUE"""),2591.0)</f>
        <v>2591</v>
      </c>
      <c r="B862" s="31" t="str">
        <f>IFERROR(__xludf.DUMMYFUNCTION("""COMPUTED_VALUE"""),"確定")</f>
        <v>確定</v>
      </c>
      <c r="C862" s="28">
        <f>IFERROR(__xludf.DUMMYFUNCTION("""COMPUTED_VALUE"""),45232.0)</f>
        <v>45232</v>
      </c>
      <c r="D862" s="28">
        <f>IFERROR(__xludf.DUMMYFUNCTION("""COMPUTED_VALUE"""),45232.0)</f>
        <v>45232</v>
      </c>
      <c r="E862" s="31">
        <f>IFERROR(__xludf.DUMMYFUNCTION("""COMPUTED_VALUE"""),284759.0)</f>
        <v>284759</v>
      </c>
      <c r="F862" s="31" t="str">
        <f>IFERROR(__xludf.DUMMYFUNCTION("""COMPUTED_VALUE"""),"【ショコラブ】記憶をなくした夫と、もう一度ハジメテ。 ～夫の愛情と妻の決意～")</f>
        <v>【ショコラブ】記憶をなくした夫と、もう一度ハジメテ。 ～夫の愛情と妻の決意～</v>
      </c>
      <c r="G862" s="20" t="str">
        <f>IFERROR(__xludf.DUMMYFUNCTION("""COMPUTED_VALUE"""),"1～3")</f>
        <v>1～3</v>
      </c>
      <c r="H862" s="31" t="str">
        <f>IFERROR(__xludf.DUMMYFUNCTION("""COMPUTED_VALUE"""),"くにしげ")</f>
        <v>くにしげ</v>
      </c>
      <c r="I862" s="31" t="str">
        <f>IFERROR(__xludf.DUMMYFUNCTION("""COMPUTED_VALUE"""),"TL")</f>
        <v>TL</v>
      </c>
      <c r="J862" s="31"/>
      <c r="K862" s="31"/>
      <c r="L862" s="31" t="str">
        <f>IFERROR(__xludf.DUMMYFUNCTION("""COMPUTED_VALUE"""),"リブレ")</f>
        <v>リブレ</v>
      </c>
      <c r="M862" s="23">
        <f>IFERROR(__xludf.DUMMYFUNCTION("""COMPUTED_VALUE"""),45316.0)</f>
        <v>45316</v>
      </c>
      <c r="N862" s="23">
        <f>IFERROR(__xludf.DUMMYFUNCTION("""COMPUTED_VALUE"""),45350.0)</f>
        <v>45350</v>
      </c>
      <c r="O862" s="20"/>
      <c r="P862" s="32" t="str">
        <f>IFERROR(__xludf.DUMMYFUNCTION("""COMPUTED_VALUE"""),"可")</f>
        <v>可</v>
      </c>
      <c r="Q862" s="30"/>
      <c r="R862" s="31"/>
      <c r="S862" s="30" t="str">
        <f>IFERROR(__xludf.DUMMYFUNCTION("""COMPUTED_VALUE"""),"検討用_20231102_リブレ_くにしげ先生作品")</f>
        <v>検討用_20231102_リブレ_くにしげ先生作品</v>
      </c>
      <c r="T862" s="31"/>
      <c r="U862" s="15" t="str">
        <f>IFERROR(__xludf.DUMMYFUNCTION("""COMPUTED_VALUE"""),"(C)くにしげ・秋野真珠/libre")</f>
        <v>(C)くにしげ・秋野真珠/libre</v>
      </c>
      <c r="V862" s="8" t="str">
        <f>IFERROR(__xludf.DUMMYFUNCTION("""COMPUTED_VALUE"""),"「…誰っすか？」
年下夫から心も身体も溺愛され、幸せな毎日を送っていた結子。しかしある日、彼が事故に遭い、出会う前からの記憶を失ってしまう。
落ち込む結子だったが、彼ともう一度関係を築くことを決意して…!?
年下のガテンな夫×地味OL妻の記憶を超えた極甘ラブ！
※本書は「ショコラブvol.84」に収録されております。")</f>
        <v>「…誰っすか？」
年下夫から心も身体も溺愛され、幸せな毎日を送っていた結子。しかしある日、彼が事故に遭い、出会う前からの記憶を失ってしまう。
落ち込む結子だったが、彼ともう一度関係を築くことを決意して…!?
年下のガテンな夫×地味OL妻の記憶を超えた極甘ラブ！
※本書は「ショコラブvol.84」に収録されております。</v>
      </c>
      <c r="W862" s="14"/>
      <c r="X862" s="14" t="str">
        <f>IFERROR(__xludf.DUMMYFUNCTION("""COMPUTED_VALUE"""),"有")</f>
        <v>有</v>
      </c>
      <c r="Y862" s="8" t="str">
        <f>IFERROR(__xludf.DUMMYFUNCTION("""COMPUTED_VALUE"""),"2024/2/7まで1巻無料")</f>
        <v>2024/2/7まで1巻無料</v>
      </c>
      <c r="Z862" s="7"/>
      <c r="AA862" s="7"/>
      <c r="AB862" s="7"/>
    </row>
    <row r="863" ht="15.75" customHeight="1">
      <c r="A863" s="26">
        <f>IFERROR(__xludf.DUMMYFUNCTION("""COMPUTED_VALUE"""),2592.0)</f>
        <v>2592</v>
      </c>
      <c r="B863" s="31" t="str">
        <f>IFERROR(__xludf.DUMMYFUNCTION("""COMPUTED_VALUE"""),"確定")</f>
        <v>確定</v>
      </c>
      <c r="C863" s="28">
        <f>IFERROR(__xludf.DUMMYFUNCTION("""COMPUTED_VALUE"""),45232.0)</f>
        <v>45232</v>
      </c>
      <c r="D863" s="28">
        <f>IFERROR(__xludf.DUMMYFUNCTION("""COMPUTED_VALUE"""),45238.0)</f>
        <v>45238</v>
      </c>
      <c r="E863" s="31">
        <f>IFERROR(__xludf.DUMMYFUNCTION("""COMPUTED_VALUE"""),282654.0)</f>
        <v>282654</v>
      </c>
      <c r="F863" s="31" t="str">
        <f>IFERROR(__xludf.DUMMYFUNCTION("""COMPUTED_VALUE"""),"勃たないヤリチン元ホストがハマるとヤバい男に監禁される7日間")</f>
        <v>勃たないヤリチン元ホストがハマるとヤバい男に監禁される7日間</v>
      </c>
      <c r="G863" s="20" t="str">
        <f>IFERROR(__xludf.DUMMYFUNCTION("""COMPUTED_VALUE"""),"1～3")</f>
        <v>1～3</v>
      </c>
      <c r="H863" s="31" t="str">
        <f>IFERROR(__xludf.DUMMYFUNCTION("""COMPUTED_VALUE"""),"すめし┴すめし屋さん")</f>
        <v>すめし┴すめし屋さん</v>
      </c>
      <c r="I863" s="31" t="str">
        <f>IFERROR(__xludf.DUMMYFUNCTION("""COMPUTED_VALUE"""),"BL")</f>
        <v>BL</v>
      </c>
      <c r="J863" s="31"/>
      <c r="K863" s="31"/>
      <c r="L863" s="31" t="str">
        <f>IFERROR(__xludf.DUMMYFUNCTION("""COMPUTED_VALUE"""),"ブリック出版")</f>
        <v>ブリック出版</v>
      </c>
      <c r="M863" s="23">
        <f>IFERROR(__xludf.DUMMYFUNCTION("""COMPUTED_VALUE"""),45268.0)</f>
        <v>45268</v>
      </c>
      <c r="N863" s="23">
        <f>IFERROR(__xludf.DUMMYFUNCTION("""COMPUTED_VALUE"""),45330.0)</f>
        <v>45330</v>
      </c>
      <c r="O863" s="20"/>
      <c r="P863" s="34" t="str">
        <f>IFERROR(__xludf.DUMMYFUNCTION("""COMPUTED_VALUE"""),"可")</f>
        <v>可</v>
      </c>
      <c r="Q863" s="30" t="str">
        <f>IFERROR(__xludf.DUMMYFUNCTION("""COMPUTED_VALUE"""),"河上さんへ事前確認し広告コミットOK頂いてます。")</f>
        <v>河上さんへ事前確認し広告コミットOK頂いてます。</v>
      </c>
      <c r="R863" s="31"/>
      <c r="S863" s="31" t="str">
        <f>IFERROR(__xludf.DUMMYFUNCTION("""COMPUTED_VALUE"""),"20231102_BookLive_勃たないヤリチン元ホストがハマるとヤバい男に監禁される7日間")</f>
        <v>20231102_BookLive_勃たないヤリチン元ホストがハマるとヤバい男に監禁される7日間</v>
      </c>
      <c r="T863" s="31" t="str">
        <f>IFERROR(__xludf.DUMMYFUNCTION("""COMPUTED_VALUE"""),"格納済み")</f>
        <v>格納済み</v>
      </c>
      <c r="U863" s="15" t="str">
        <f>IFERROR(__xludf.DUMMYFUNCTION("""COMPUTED_VALUE"""),"(C)ブリック出版")</f>
        <v>(C)ブリック出版</v>
      </c>
      <c r="V863" s="8" t="str">
        <f>IFERROR(__xludf.DUMMYFUNCTION("""COMPUTED_VALUE"""),"※本作はすめしの個人誌作品の電子書籍版となります。【73ページ】
男の最強のステータスって何だと思う？
それは”顔”だ。
『人は中身』なんて絶対キレイ事だね。
結局、この世は顔がすべてだ。
顔がいいだけで万能感。
顔がいいだけで圧倒的勝利感。
そんな俺に突如訪れた「ED」…
きらびやかな20代の半ばからの転落は秒だった。
そしていつしか、しがない会社員に……
そんな中、会社の先輩から誘われた夜遊びで
ふと目を奪われた相手はなんと男で…
『リーマンラブホ男"&amp;"子会』スピンオフ作品！
キャラクタースピンオフ読み切りなので
シリーズ未読でもお楽しみいただけます！
【ご購入前のご確認事項】
・本作の表紙奥付等を含んで全73ページとなり、漫画本編のページ数は62ページとなります。
・本作は作者個人誌の電子書籍版のため価格設定が高めになっております。
・本作は2023年11月末まで配信されていた同作品の再配信版となります。重複購入にご注意ください。
上記をご確認、ご了承いただいた上でご購入下さいますようお願い申し上げます。")</f>
        <v>※本作はすめしの個人誌作品の電子書籍版となります。【73ページ】
男の最強のステータスって何だと思う？
それは”顔”だ。
『人は中身』なんて絶対キレイ事だね。
結局、この世は顔がすべてだ。
顔がいいだけで万能感。
顔がいいだけで圧倒的勝利感。
そんな俺に突如訪れた「ED」…
きらびやかな20代の半ばからの転落は秒だった。
そしていつしか、しがない会社員に……
そんな中、会社の先輩から誘われた夜遊びで
ふと目を奪われた相手はなんと男で…
『リーマンラブホ男子会』スピンオフ作品！
キャラクタースピンオフ読み切りなので
シリーズ未読でもお楽しみいただけます！
【ご購入前のご確認事項】
・本作の表紙奥付等を含んで全73ページとなり、漫画本編のページ数は62ページとなります。
・本作は作者個人誌の電子書籍版のため価格設定が高めになっております。
・本作は2023年11月末まで配信されていた同作品の再配信版となります。重複購入にご注意ください。
上記をご確認、ご了承いただいた上でご購入下さいますようお願い申し上げます。</v>
      </c>
      <c r="W863" s="8"/>
      <c r="X863" s="8"/>
      <c r="Y863" s="8"/>
      <c r="Z863" s="7"/>
      <c r="AA863" s="7"/>
      <c r="AB863" s="7"/>
    </row>
    <row r="864" ht="15.75" customHeight="1">
      <c r="A864" s="26">
        <f>IFERROR(__xludf.DUMMYFUNCTION("""COMPUTED_VALUE"""),2600.0)</f>
        <v>2600</v>
      </c>
      <c r="B864" s="31" t="str">
        <f>IFERROR(__xludf.DUMMYFUNCTION("""COMPUTED_VALUE"""),"確定")</f>
        <v>確定</v>
      </c>
      <c r="C864" s="28">
        <f>IFERROR(__xludf.DUMMYFUNCTION("""COMPUTED_VALUE"""),45236.0)</f>
        <v>45236</v>
      </c>
      <c r="D864" s="28">
        <f>IFERROR(__xludf.DUMMYFUNCTION("""COMPUTED_VALUE"""),45236.0)</f>
        <v>45236</v>
      </c>
      <c r="E864" s="31">
        <f>IFERROR(__xludf.DUMMYFUNCTION("""COMPUTED_VALUE"""),281204.0)</f>
        <v>281204</v>
      </c>
      <c r="F864" s="31" t="str">
        <f>IFERROR(__xludf.DUMMYFUNCTION("""COMPUTED_VALUE"""),"泣き虫ペット〜OL女王様とリーマンわんこ〜")</f>
        <v>泣き虫ペット〜OL女王様とリーマンわんこ〜</v>
      </c>
      <c r="G864" s="20" t="str">
        <f>IFERROR(__xludf.DUMMYFUNCTION("""COMPUTED_VALUE"""),"1~3")</f>
        <v>1~3</v>
      </c>
      <c r="H864" s="31" t="str">
        <f>IFERROR(__xludf.DUMMYFUNCTION("""COMPUTED_VALUE"""),"袋小路")</f>
        <v>袋小路</v>
      </c>
      <c r="I864" s="31" t="str">
        <f>IFERROR(__xludf.DUMMYFUNCTION("""COMPUTED_VALUE"""),"青年")</f>
        <v>青年</v>
      </c>
      <c r="J864" s="31"/>
      <c r="K864" s="31"/>
      <c r="L864" s="31" t="str">
        <f>IFERROR(__xludf.DUMMYFUNCTION("""COMPUTED_VALUE"""),"CLLENN")</f>
        <v>CLLENN</v>
      </c>
      <c r="M864" s="23">
        <f>IFERROR(__xludf.DUMMYFUNCTION("""COMPUTED_VALUE"""),45261.0)</f>
        <v>45261</v>
      </c>
      <c r="N864" s="23">
        <f>IFERROR(__xludf.DUMMYFUNCTION("""COMPUTED_VALUE"""),44987.0)</f>
        <v>44987</v>
      </c>
      <c r="O864" s="20"/>
      <c r="P864" s="34" t="str">
        <f>IFERROR(__xludf.DUMMYFUNCTION("""COMPUTED_VALUE"""),"可")</f>
        <v>可</v>
      </c>
      <c r="Q864" s="31" t="str">
        <f>IFERROR(__xludf.DUMMYFUNCTION("""COMPUTED_VALUE"""),"協業：シーモア×DEDEDE")</f>
        <v>協業：シーモア×DEDEDE</v>
      </c>
      <c r="R864" s="31" t="str">
        <f>IFERROR(__xludf.DUMMYFUNCTION("""COMPUTED_VALUE"""),"格納済")</f>
        <v>格納済</v>
      </c>
      <c r="S864" s="31" t="str">
        <f>IFERROR(__xludf.DUMMYFUNCTION("""COMPUTED_VALUE"""),"20231106_CLLENN_泣き虫ペット〜OL女王様とリーマンわんこ〜")</f>
        <v>20231106_CLLENN_泣き虫ペット〜OL女王様とリーマンわんこ〜</v>
      </c>
      <c r="T864" s="31" t="str">
        <f>IFERROR(__xludf.DUMMYFUNCTION("""COMPUTED_VALUE"""),"格納済み")</f>
        <v>格納済み</v>
      </c>
      <c r="U864" s="15" t="str">
        <f>IFERROR(__xludf.DUMMYFUNCTION("""COMPUTED_VALUE"""),"ⓒ袋小路/CLLENN")</f>
        <v>ⓒ袋小路/CLLENN</v>
      </c>
      <c r="V864" s="18" t="str">
        <f>IFERROR(__xludf.DUMMYFUNCTION("""COMPUTED_VALUE"""),"プライド高めな俺様リーマンの堀田は、ワンナイトの相手を捜しに訪れたSMバーで、清楚な美人OLと出会う。「この子もSMに興味あるんだ」…卑猥な想像をめぐらせ昂った堀田は、彼女を口説いてホテルに連れ込むことに成功する。「今夜は俺がたっぷり責めて、イカせまくってやるか」自信満々でベッドに入るのだが…。――新たな性癖が目覚めちゃう？ OL女王様×俺様リーマンのSMラブストーリー！")</f>
        <v>プライド高めな俺様リーマンの堀田は、ワンナイトの相手を捜しに訪れたSMバーで、清楚な美人OLと出会う。「この子もSMに興味あるんだ」…卑猥な想像をめぐらせ昂った堀田は、彼女を口説いてホテルに連れ込むことに成功する。「今夜は俺がたっぷり責めて、イカせまくってやるか」自信満々でベッドに入るのだが…。――新たな性癖が目覚めちゃう？ OL女王様×俺様リーマンのSMラブストーリー！</v>
      </c>
      <c r="W864" s="14"/>
      <c r="X864" s="14" t="str">
        <f>IFERROR(__xludf.DUMMYFUNCTION("""COMPUTED_VALUE"""),"有")</f>
        <v>有</v>
      </c>
      <c r="Y864" s="8" t="str">
        <f>IFERROR(__xludf.DUMMYFUNCTION("""COMPUTED_VALUE"""),"P10まで")</f>
        <v>P10まで</v>
      </c>
      <c r="Z864" s="7"/>
      <c r="AA864" s="7"/>
      <c r="AB864" s="7"/>
    </row>
    <row r="865" ht="15.75" customHeight="1">
      <c r="A865" s="26">
        <f>IFERROR(__xludf.DUMMYFUNCTION("""COMPUTED_VALUE"""),2601.0)</f>
        <v>2601</v>
      </c>
      <c r="B865" s="31" t="str">
        <f>IFERROR(__xludf.DUMMYFUNCTION("""COMPUTED_VALUE"""),"確定")</f>
        <v>確定</v>
      </c>
      <c r="C865" s="28">
        <f>IFERROR(__xludf.DUMMYFUNCTION("""COMPUTED_VALUE"""),45236.0)</f>
        <v>45236</v>
      </c>
      <c r="D865" s="28">
        <f>IFERROR(__xludf.DUMMYFUNCTION("""COMPUTED_VALUE"""),45236.0)</f>
        <v>45236</v>
      </c>
      <c r="E865" s="31">
        <f>IFERROR(__xludf.DUMMYFUNCTION("""COMPUTED_VALUE"""),281199.0)</f>
        <v>281199</v>
      </c>
      <c r="F865" s="31" t="str">
        <f>IFERROR(__xludf.DUMMYFUNCTION("""COMPUTED_VALUE"""),"聖女でなくなる日")</f>
        <v>聖女でなくなる日</v>
      </c>
      <c r="G865" s="20">
        <f>IFERROR(__xludf.DUMMYFUNCTION("""COMPUTED_VALUE"""),1.0)</f>
        <v>1</v>
      </c>
      <c r="H865" s="31" t="str">
        <f>IFERROR(__xludf.DUMMYFUNCTION("""COMPUTED_VALUE"""),"もち／雪")</f>
        <v>もち／雪</v>
      </c>
      <c r="I865" s="31" t="str">
        <f>IFERROR(__xludf.DUMMYFUNCTION("""COMPUTED_VALUE"""),"TL")</f>
        <v>TL</v>
      </c>
      <c r="J865" s="31"/>
      <c r="K865" s="31"/>
      <c r="L865" s="31" t="str">
        <f>IFERROR(__xludf.DUMMYFUNCTION("""COMPUTED_VALUE"""),"一迅社")</f>
        <v>一迅社</v>
      </c>
      <c r="M865" s="23">
        <f>IFERROR(__xludf.DUMMYFUNCTION("""COMPUTED_VALUE"""),45261.0)</f>
        <v>45261</v>
      </c>
      <c r="N865" s="23">
        <f>IFERROR(__xludf.DUMMYFUNCTION("""COMPUTED_VALUE"""),45291.0)</f>
        <v>45291</v>
      </c>
      <c r="O865" s="20"/>
      <c r="P865" s="34" t="str">
        <f>IFERROR(__xludf.DUMMYFUNCTION("""COMPUTED_VALUE"""),"可")</f>
        <v>可</v>
      </c>
      <c r="Q865" s="30" t="str">
        <f>IFERROR(__xludf.DUMMYFUNCTION("""COMPUTED_VALUE"""),"0000252415_jp_0002&lt;BR&gt;P109~146")</f>
        <v>0000252415_jp_0002&lt;BR&gt;P109~146</v>
      </c>
      <c r="R865" s="31"/>
      <c r="S865" s="31" t="str">
        <f>IFERROR(__xludf.DUMMYFUNCTION("""COMPUTED_VALUE"""),"20231102_一迅社_12月新作")</f>
        <v>20231102_一迅社_12月新作</v>
      </c>
      <c r="T865" s="31" t="str">
        <f>IFERROR(__xludf.DUMMYFUNCTION("""COMPUTED_VALUE"""),"格納済み")</f>
        <v>格納済み</v>
      </c>
      <c r="U865" s="15" t="str">
        <f>IFERROR(__xludf.DUMMYFUNCTION("""COMPUTED_VALUE"""),"(C)もち・雪／一迅社")</f>
        <v>(C)もち・雪／一迅社</v>
      </c>
      <c r="V865" s="8" t="str">
        <f>IFERROR(__xludf.DUMMYFUNCTION("""COMPUTED_VALUE"""),"神殿から追い出され、平凡な日々を過ごす聖女の前に現れたのは初恋の神官――!?　※この作品は『無垢な聖女は甘くはじめてを奪われる ～捨てられた先でなぜか溺愛されています～ アンソロジーコミック』2巻収録作品と同一の内容を単話版として再編集したものとなります。")</f>
        <v>神殿から追い出され、平凡な日々を過ごす聖女の前に現れたのは初恋の神官――!?　※この作品は『無垢な聖女は甘くはじめてを奪われる ～捨てられた先でなぜか溺愛されています～ アンソロジーコミック』2巻収録作品と同一の内容を単話版として再編集したものとなります。</v>
      </c>
      <c r="W865" s="14"/>
      <c r="X865" s="14" t="str">
        <f>IFERROR(__xludf.DUMMYFUNCTION("""COMPUTED_VALUE"""),"有")</f>
        <v>有</v>
      </c>
      <c r="Y865" s="8" t="str">
        <f>IFERROR(__xludf.DUMMYFUNCTION("""COMPUTED_VALUE"""),"P７まで")</f>
        <v>P７まで</v>
      </c>
      <c r="Z865" s="7"/>
      <c r="AA865" s="7"/>
      <c r="AB865" s="7"/>
    </row>
    <row r="866" ht="15.75" customHeight="1">
      <c r="A866" s="26">
        <f>IFERROR(__xludf.DUMMYFUNCTION("""COMPUTED_VALUE"""),2602.0)</f>
        <v>2602</v>
      </c>
      <c r="B866" s="31" t="str">
        <f>IFERROR(__xludf.DUMMYFUNCTION("""COMPUTED_VALUE"""),"確定")</f>
        <v>確定</v>
      </c>
      <c r="C866" s="28">
        <f>IFERROR(__xludf.DUMMYFUNCTION("""COMPUTED_VALUE"""),45236.0)</f>
        <v>45236</v>
      </c>
      <c r="D866" s="28">
        <f>IFERROR(__xludf.DUMMYFUNCTION("""COMPUTED_VALUE"""),45237.0)</f>
        <v>45237</v>
      </c>
      <c r="E866" s="31">
        <f>IFERROR(__xludf.DUMMYFUNCTION("""COMPUTED_VALUE"""),281200.0)</f>
        <v>281200</v>
      </c>
      <c r="F866" s="31" t="str">
        <f>IFERROR(__xludf.DUMMYFUNCTION("""COMPUTED_VALUE"""),"落ちこぼれ衛士見習いの少年。(実は)最強最悪の暗殺者。 【連載版】")</f>
        <v>落ちこぼれ衛士見習いの少年。(実は)最強最悪の暗殺者。 【連載版】</v>
      </c>
      <c r="G866" s="20" t="str">
        <f>IFERROR(__xludf.DUMMYFUNCTION("""COMPUTED_VALUE"""),"1～5")</f>
        <v>1～5</v>
      </c>
      <c r="H866" s="31" t="str">
        <f>IFERROR(__xludf.DUMMYFUNCTION("""COMPUTED_VALUE"""),"マサイ・ミツコエユウ")</f>
        <v>マサイ・ミツコエユウ</v>
      </c>
      <c r="I866" s="14" t="str">
        <f>IFERROR(__xludf.DUMMYFUNCTION("""COMPUTED_VALUE"""),"青年")</f>
        <v>青年</v>
      </c>
      <c r="J866" s="31"/>
      <c r="K866" s="31"/>
      <c r="L866" s="31" t="str">
        <f>IFERROR(__xludf.DUMMYFUNCTION("""COMPUTED_VALUE"""),"一迅社")</f>
        <v>一迅社</v>
      </c>
      <c r="M866" s="23">
        <f>IFERROR(__xludf.DUMMYFUNCTION("""COMPUTED_VALUE"""),45286.0)</f>
        <v>45286</v>
      </c>
      <c r="N866" s="23">
        <f>IFERROR(__xludf.DUMMYFUNCTION("""COMPUTED_VALUE"""),45377.66666666667)</f>
        <v>45377.66667</v>
      </c>
      <c r="O866" s="20"/>
      <c r="P866" s="34" t="str">
        <f>IFERROR(__xludf.DUMMYFUNCTION("""COMPUTED_VALUE"""),"可")</f>
        <v>可</v>
      </c>
      <c r="Q866" s="30" t="str">
        <f>IFERROR(__xludf.DUMMYFUNCTION("""COMPUTED_VALUE"""),"河上さんとの共同選定作品&lt;BR&gt;4話：11/24格納予定&lt;BR&gt;5話はかなりギリギリの納品になるため4話までの素材でご制作をお願いいたします。")</f>
        <v>河上さんとの共同選定作品&lt;BR&gt;4話：11/24格納予定&lt;BR&gt;5話はかなりギリギリの納品になるため4話までの素材でご制作をお願いいたします。</v>
      </c>
      <c r="R866" s="31"/>
      <c r="S866" s="31" t="str">
        <f>IFERROR(__xludf.DUMMYFUNCTION("""COMPUTED_VALUE"""),"20231102_一迅社_12月新作")</f>
        <v>20231102_一迅社_12月新作</v>
      </c>
      <c r="T866" s="31" t="str">
        <f>IFERROR(__xludf.DUMMYFUNCTION("""COMPUTED_VALUE"""),"格納済み")</f>
        <v>格納済み</v>
      </c>
      <c r="U866" s="15" t="str">
        <f>IFERROR(__xludf.DUMMYFUNCTION("""COMPUTED_VALUE"""),"(C)マサイ・ミツコエ ユウ／一迅社")</f>
        <v>(C)マサイ・ミツコエ ユウ／一迅社</v>
      </c>
      <c r="V866" s="8" t="str">
        <f>IFERROR(__xludf.DUMMYFUNCTION("""COMPUTED_VALUE"""),"戦禍が近づく、とある王国の首都。衛士見習いの少年・イルは、仕事ができないダメ人間扱いを受けながらも、義理の妹に甘えっぱなしのぐうたらな日々を送っていた。そんな中、街にはとある”噂”が広まっていた。「夜の住人（ノクターナル）」と呼ばれる謎の暗殺者集団が暗躍している……と。これはその中でも、「最悪」の暗殺者の物語――。大人気原作者と新鋭絵師のタッグが送る、暗夜を切り裂く異世界ダークヒーロー、ここに見参……!!漫画内の告知等は過去のものとなりますので、ご注意ください。")</f>
        <v>戦禍が近づく、とある王国の首都。衛士見習いの少年・イルは、仕事ができないダメ人間扱いを受けながらも、義理の妹に甘えっぱなしのぐうたらな日々を送っていた。そんな中、街にはとある”噂”が広まっていた。「夜の住人（ノクターナル）」と呼ばれる謎の暗殺者集団が暗躍している……と。これはその中でも、「最悪」の暗殺者の物語――。大人気原作者と新鋭絵師のタッグが送る、暗夜を切り裂く異世界ダークヒーロー、ここに見参……!!漫画内の告知等は過去のものとなりますので、ご注意ください。</v>
      </c>
      <c r="W866" s="14"/>
      <c r="X866" s="14" t="str">
        <f>IFERROR(__xludf.DUMMYFUNCTION("""COMPUTED_VALUE"""),"有")</f>
        <v>有</v>
      </c>
      <c r="Y866" s="8" t="str">
        <f>IFERROR(__xludf.DUMMYFUNCTION("""COMPUTED_VALUE"""),"P11まで")</f>
        <v>P11まで</v>
      </c>
      <c r="Z866" s="7"/>
      <c r="AA866" s="7"/>
      <c r="AB866" s="7"/>
    </row>
    <row r="867" ht="93.0" customHeight="1">
      <c r="A867" s="26">
        <f>IFERROR(__xludf.DUMMYFUNCTION("""COMPUTED_VALUE"""),2603.0)</f>
        <v>2603</v>
      </c>
      <c r="B867" s="31" t="str">
        <f>IFERROR(__xludf.DUMMYFUNCTION("""COMPUTED_VALUE"""),"確定")</f>
        <v>確定</v>
      </c>
      <c r="C867" s="28">
        <f>IFERROR(__xludf.DUMMYFUNCTION("""COMPUTED_VALUE"""),45236.0)</f>
        <v>45236</v>
      </c>
      <c r="D867" s="28">
        <f>IFERROR(__xludf.DUMMYFUNCTION("""COMPUTED_VALUE"""),45236.0)</f>
        <v>45236</v>
      </c>
      <c r="E867" s="31">
        <f>IFERROR(__xludf.DUMMYFUNCTION("""COMPUTED_VALUE"""),281350.0)</f>
        <v>281350</v>
      </c>
      <c r="F867" s="31" t="str">
        <f>IFERROR(__xludf.DUMMYFUNCTION("""COMPUTED_VALUE"""),"竜を救った聖女のおはなし")</f>
        <v>竜を救った聖女のおはなし</v>
      </c>
      <c r="G867" s="20">
        <f>IFERROR(__xludf.DUMMYFUNCTION("""COMPUTED_VALUE"""),1.0)</f>
        <v>1</v>
      </c>
      <c r="H867" s="31" t="str">
        <f>IFERROR(__xludf.DUMMYFUNCTION("""COMPUTED_VALUE"""),"whimhalooo・イシクロ")</f>
        <v>whimhalooo・イシクロ</v>
      </c>
      <c r="I867" s="31" t="str">
        <f>IFERROR(__xludf.DUMMYFUNCTION("""COMPUTED_VALUE"""),"TL")</f>
        <v>TL</v>
      </c>
      <c r="J867" s="31"/>
      <c r="K867" s="31"/>
      <c r="L867" s="31" t="str">
        <f>IFERROR(__xludf.DUMMYFUNCTION("""COMPUTED_VALUE"""),"一迅社")</f>
        <v>一迅社</v>
      </c>
      <c r="M867" s="23">
        <f>IFERROR(__xludf.DUMMYFUNCTION("""COMPUTED_VALUE"""),45288.0)</f>
        <v>45288</v>
      </c>
      <c r="N867" s="23">
        <f>IFERROR(__xludf.DUMMYFUNCTION("""COMPUTED_VALUE"""),44953.0)</f>
        <v>44953</v>
      </c>
      <c r="O867" s="20"/>
      <c r="P867" s="34" t="str">
        <f>IFERROR(__xludf.DUMMYFUNCTION("""COMPUTED_VALUE"""),"可")</f>
        <v>可</v>
      </c>
      <c r="Q867" s="30" t="str">
        <f>IFERROR(__xludf.DUMMYFUNCTION("""COMPUTED_VALUE"""),"0000252415_jp_0002&lt;BR&gt;P35~72")</f>
        <v>0000252415_jp_0002&lt;BR&gt;P35~72</v>
      </c>
      <c r="R867" s="31"/>
      <c r="S867" s="31" t="str">
        <f>IFERROR(__xludf.DUMMYFUNCTION("""COMPUTED_VALUE"""),"20231102_一迅社_12月新作")</f>
        <v>20231102_一迅社_12月新作</v>
      </c>
      <c r="T867" s="31" t="str">
        <f>IFERROR(__xludf.DUMMYFUNCTION("""COMPUTED_VALUE"""),"格納済み")</f>
        <v>格納済み</v>
      </c>
      <c r="U867" s="15" t="str">
        <f>IFERROR(__xludf.DUMMYFUNCTION("""COMPUTED_VALUE"""),"(C)whimhalooo・イシクロ／一迅社")</f>
        <v>(C)whimhalooo・イシクロ／一迅社</v>
      </c>
      <c r="V867" s="8" t="str">
        <f>IFERROR(__xludf.DUMMYFUNCTION("""COMPUTED_VALUE"""),"身寄りのない聖女は、白竜の世話をするうちに彼と心を通わせ――。　※この作品は『無垢な聖女は甘くはじめてを奪われる ～捨てられた先でなぜか溺愛されています～ アンソロジーコミック』2巻収録作品と同一の内容を単話版として再編集したものとなります。")</f>
        <v>身寄りのない聖女は、白竜の世話をするうちに彼と心を通わせ――。　※この作品は『無垢な聖女は甘くはじめてを奪われる ～捨てられた先でなぜか溺愛されています～ アンソロジーコミック』2巻収録作品と同一の内容を単話版として再編集したものとなります。</v>
      </c>
      <c r="W867" s="14"/>
      <c r="X867" s="14" t="str">
        <f>IFERROR(__xludf.DUMMYFUNCTION("""COMPUTED_VALUE"""),"有")</f>
        <v>有</v>
      </c>
      <c r="Y867" s="8" t="str">
        <f>IFERROR(__xludf.DUMMYFUNCTION("""COMPUTED_VALUE"""),"P8まで")</f>
        <v>P8まで</v>
      </c>
      <c r="Z867" s="7"/>
      <c r="AA867" s="7"/>
      <c r="AB867" s="7"/>
    </row>
    <row r="868" ht="89.25" customHeight="1">
      <c r="A868" s="26">
        <f>IFERROR(__xludf.DUMMYFUNCTION("""COMPUTED_VALUE"""),2604.0)</f>
        <v>2604</v>
      </c>
      <c r="B868" s="31" t="str">
        <f>IFERROR(__xludf.DUMMYFUNCTION("""COMPUTED_VALUE"""),"確定")</f>
        <v>確定</v>
      </c>
      <c r="C868" s="28">
        <f>IFERROR(__xludf.DUMMYFUNCTION("""COMPUTED_VALUE"""),45236.0)</f>
        <v>45236</v>
      </c>
      <c r="D868" s="28">
        <f>IFERROR(__xludf.DUMMYFUNCTION("""COMPUTED_VALUE"""),45236.0)</f>
        <v>45236</v>
      </c>
      <c r="E868" s="31">
        <f>IFERROR(__xludf.DUMMYFUNCTION("""COMPUTED_VALUE"""),281351.0)</f>
        <v>281351</v>
      </c>
      <c r="F868" s="31" t="str">
        <f>IFERROR(__xludf.DUMMYFUNCTION("""COMPUTED_VALUE"""),"用無し聖女の旦那様")</f>
        <v>用無し聖女の旦那様</v>
      </c>
      <c r="G868" s="20">
        <f>IFERROR(__xludf.DUMMYFUNCTION("""COMPUTED_VALUE"""),1.0)</f>
        <v>1</v>
      </c>
      <c r="H868" s="31" t="str">
        <f>IFERROR(__xludf.DUMMYFUNCTION("""COMPUTED_VALUE"""),"江宮由莉・夕焼け")</f>
        <v>江宮由莉・夕焼け</v>
      </c>
      <c r="I868" s="31" t="str">
        <f>IFERROR(__xludf.DUMMYFUNCTION("""COMPUTED_VALUE"""),"TL")</f>
        <v>TL</v>
      </c>
      <c r="J868" s="31"/>
      <c r="K868" s="31"/>
      <c r="L868" s="31" t="str">
        <f>IFERROR(__xludf.DUMMYFUNCTION("""COMPUTED_VALUE"""),"一迅社")</f>
        <v>一迅社</v>
      </c>
      <c r="M868" s="23">
        <f>IFERROR(__xludf.DUMMYFUNCTION("""COMPUTED_VALUE"""),45288.0)</f>
        <v>45288</v>
      </c>
      <c r="N868" s="23">
        <f>IFERROR(__xludf.DUMMYFUNCTION("""COMPUTED_VALUE"""),44953.0)</f>
        <v>44953</v>
      </c>
      <c r="O868" s="20"/>
      <c r="P868" s="34" t="str">
        <f>IFERROR(__xludf.DUMMYFUNCTION("""COMPUTED_VALUE"""),"可")</f>
        <v>可</v>
      </c>
      <c r="Q868" s="30" t="str">
        <f>IFERROR(__xludf.DUMMYFUNCTION("""COMPUTED_VALUE"""),"0000252415_jp_0002&lt;BR&gt;P75~107")</f>
        <v>0000252415_jp_0002&lt;BR&gt;P75~107</v>
      </c>
      <c r="R868" s="31"/>
      <c r="S868" s="31" t="str">
        <f>IFERROR(__xludf.DUMMYFUNCTION("""COMPUTED_VALUE"""),"20231102_一迅社_12月新作")</f>
        <v>20231102_一迅社_12月新作</v>
      </c>
      <c r="T868" s="31" t="str">
        <f>IFERROR(__xludf.DUMMYFUNCTION("""COMPUTED_VALUE"""),"格納済み")</f>
        <v>格納済み</v>
      </c>
      <c r="U868" s="15" t="str">
        <f>IFERROR(__xludf.DUMMYFUNCTION("""COMPUTED_VALUE"""),"(C)江宮由莉・夕焼け／一迅社")</f>
        <v>(C)江宮由莉・夕焼け／一迅社</v>
      </c>
      <c r="V868" s="8" t="str">
        <f>IFERROR(__xludf.DUMMYFUNCTION("""COMPUTED_VALUE"""),"騎士の夫から疎まれていると知った聖女は家を飛び出すが迎えにきた夫に激しく求められて…!?　※この作品は『無垢な聖女は甘くはじめてを奪われる ～捨てられた先でなぜか溺愛されています～ アンソロジーコミック』2巻収録作品と同一の内容を単話版として再編集したものとなります。")</f>
        <v>騎士の夫から疎まれていると知った聖女は家を飛び出すが迎えにきた夫に激しく求められて…!?　※この作品は『無垢な聖女は甘くはじめてを奪われる ～捨てられた先でなぜか溺愛されています～ アンソロジーコミック』2巻収録作品と同一の内容を単話版として再編集したものとなります。</v>
      </c>
      <c r="W868" s="14"/>
      <c r="X868" s="14" t="str">
        <f>IFERROR(__xludf.DUMMYFUNCTION("""COMPUTED_VALUE"""),"有")</f>
        <v>有</v>
      </c>
      <c r="Y868" s="8" t="str">
        <f>IFERROR(__xludf.DUMMYFUNCTION("""COMPUTED_VALUE"""),"P7まで")</f>
        <v>P7まで</v>
      </c>
      <c r="Z868" s="7"/>
      <c r="AA868" s="7"/>
      <c r="AB868" s="7"/>
    </row>
    <row r="869" ht="89.25" customHeight="1">
      <c r="A869" s="26">
        <f>IFERROR(__xludf.DUMMYFUNCTION("""COMPUTED_VALUE"""),2605.0)</f>
        <v>2605</v>
      </c>
      <c r="B869" s="31" t="str">
        <f>IFERROR(__xludf.DUMMYFUNCTION("""COMPUTED_VALUE"""),"確定")</f>
        <v>確定</v>
      </c>
      <c r="C869" s="28">
        <f>IFERROR(__xludf.DUMMYFUNCTION("""COMPUTED_VALUE"""),45236.0)</f>
        <v>45236</v>
      </c>
      <c r="D869" s="28">
        <f>IFERROR(__xludf.DUMMYFUNCTION("""COMPUTED_VALUE"""),45236.0)</f>
        <v>45236</v>
      </c>
      <c r="E869" s="31">
        <f>IFERROR(__xludf.DUMMYFUNCTION("""COMPUTED_VALUE"""),281352.0)</f>
        <v>281352</v>
      </c>
      <c r="F869" s="31" t="str">
        <f>IFERROR(__xludf.DUMMYFUNCTION("""COMPUTED_VALUE"""),"堕ちていく竜の聖女は、年下皇太子に奪われる")</f>
        <v>堕ちていく竜の聖女は、年下皇太子に奪われる</v>
      </c>
      <c r="G869" s="20">
        <f>IFERROR(__xludf.DUMMYFUNCTION("""COMPUTED_VALUE"""),1.0)</f>
        <v>1</v>
      </c>
      <c r="H869" s="31" t="str">
        <f>IFERROR(__xludf.DUMMYFUNCTION("""COMPUTED_VALUE"""),"沢ワカ・おうぎ まちこ")</f>
        <v>沢ワカ・おうぎ まちこ</v>
      </c>
      <c r="I869" s="31" t="str">
        <f>IFERROR(__xludf.DUMMYFUNCTION("""COMPUTED_VALUE"""),"TL")</f>
        <v>TL</v>
      </c>
      <c r="J869" s="31"/>
      <c r="K869" s="31"/>
      <c r="L869" s="31" t="str">
        <f>IFERROR(__xludf.DUMMYFUNCTION("""COMPUTED_VALUE"""),"一迅社")</f>
        <v>一迅社</v>
      </c>
      <c r="M869" s="23">
        <f>IFERROR(__xludf.DUMMYFUNCTION("""COMPUTED_VALUE"""),45288.0)</f>
        <v>45288</v>
      </c>
      <c r="N869" s="23">
        <f>IFERROR(__xludf.DUMMYFUNCTION("""COMPUTED_VALUE"""),44953.0)</f>
        <v>44953</v>
      </c>
      <c r="O869" s="20"/>
      <c r="P869" s="34" t="str">
        <f>IFERROR(__xludf.DUMMYFUNCTION("""COMPUTED_VALUE"""),"可")</f>
        <v>可</v>
      </c>
      <c r="Q869" s="30" t="str">
        <f>IFERROR(__xludf.DUMMYFUNCTION("""COMPUTED_VALUE"""),"0000252415_jp_0002&lt;BR&gt;P147~175")</f>
        <v>0000252415_jp_0002&lt;BR&gt;P147~175</v>
      </c>
      <c r="R869" s="31"/>
      <c r="S869" s="31" t="str">
        <f>IFERROR(__xludf.DUMMYFUNCTION("""COMPUTED_VALUE"""),"20231102_一迅社_12月新作")</f>
        <v>20231102_一迅社_12月新作</v>
      </c>
      <c r="T869" s="31" t="str">
        <f>IFERROR(__xludf.DUMMYFUNCTION("""COMPUTED_VALUE"""),"格納済み")</f>
        <v>格納済み</v>
      </c>
      <c r="U869" s="15" t="str">
        <f>IFERROR(__xludf.DUMMYFUNCTION("""COMPUTED_VALUE"""),"(C)沢ワカ・おうぎ まちこ／一迅社")</f>
        <v>(C)沢ワカ・おうぎ まちこ／一迅社</v>
      </c>
      <c r="V869" s="8" t="str">
        <f>IFERROR(__xludf.DUMMYFUNCTION("""COMPUTED_VALUE"""),"不義密通の疑いをかけられ、無実を証明するために皇太子と――!?　※この作品は『無垢な聖女は甘くはじめてを奪われる ～捨てられた先でなぜか溺愛されています～ アンソロジーコミック』2巻収録作品と同一の内容を単話版として再編集したものとなります。")</f>
        <v>不義密通の疑いをかけられ、無実を証明するために皇太子と――!?　※この作品は『無垢な聖女は甘くはじめてを奪われる ～捨てられた先でなぜか溺愛されています～ アンソロジーコミック』2巻収録作品と同一の内容を単話版として再編集したものとなります。</v>
      </c>
      <c r="W869" s="14"/>
      <c r="X869" s="14" t="str">
        <f>IFERROR(__xludf.DUMMYFUNCTION("""COMPUTED_VALUE"""),"有")</f>
        <v>有</v>
      </c>
      <c r="Y869" s="8" t="str">
        <f>IFERROR(__xludf.DUMMYFUNCTION("""COMPUTED_VALUE"""),"P6まで")</f>
        <v>P6まで</v>
      </c>
      <c r="Z869" s="7"/>
      <c r="AA869" s="7"/>
      <c r="AB869" s="7"/>
    </row>
    <row r="870" ht="15.75" customHeight="1">
      <c r="A870" s="26">
        <f>IFERROR(__xludf.DUMMYFUNCTION("""COMPUTED_VALUE"""),2612.0)</f>
        <v>2612</v>
      </c>
      <c r="B870" s="31" t="str">
        <f>IFERROR(__xludf.DUMMYFUNCTION("""COMPUTED_VALUE"""),"確定")</f>
        <v>確定</v>
      </c>
      <c r="C870" s="28">
        <f>IFERROR(__xludf.DUMMYFUNCTION("""COMPUTED_VALUE"""),45237.0)</f>
        <v>45237</v>
      </c>
      <c r="D870" s="28">
        <f>IFERROR(__xludf.DUMMYFUNCTION("""COMPUTED_VALUE"""),45237.0)</f>
        <v>45237</v>
      </c>
      <c r="E870" s="26">
        <f>IFERROR(__xludf.DUMMYFUNCTION("""COMPUTED_VALUE"""),265335.0)</f>
        <v>265335</v>
      </c>
      <c r="F870" s="31" t="str">
        <f>IFERROR(__xludf.DUMMYFUNCTION("""COMPUTED_VALUE"""),"女神狩り【タテヨミ】")</f>
        <v>女神狩り【タテヨミ】</v>
      </c>
      <c r="G870" s="11" t="str">
        <f>IFERROR(__xludf.DUMMYFUNCTION("""COMPUTED_VALUE"""),"1～9")</f>
        <v>1～9</v>
      </c>
      <c r="H870" s="31" t="str">
        <f>IFERROR(__xludf.DUMMYFUNCTION("""COMPUTED_VALUE"""),"Yoongonji,Gosonjak")</f>
        <v>Yoongonji,Gosonjak</v>
      </c>
      <c r="I870" s="14" t="str">
        <f>IFERROR(__xludf.DUMMYFUNCTION("""COMPUTED_VALUE"""),"青年")</f>
        <v>青年</v>
      </c>
      <c r="J870" s="31"/>
      <c r="K870" s="31"/>
      <c r="L870" s="31" t="str">
        <f>IFERROR(__xludf.DUMMYFUNCTION("""COMPUTED_VALUE"""),"ソルマーレ編集部")</f>
        <v>ソルマーレ編集部</v>
      </c>
      <c r="M870" s="23">
        <f>IFERROR(__xludf.DUMMYFUNCTION("""COMPUTED_VALUE"""),45269.0)</f>
        <v>45269</v>
      </c>
      <c r="N870" s="23">
        <f>IFERROR(__xludf.DUMMYFUNCTION("""COMPUTED_VALUE"""),45330.0)</f>
        <v>45330</v>
      </c>
      <c r="O870" s="20"/>
      <c r="P870" s="34" t="str">
        <f>IFERROR(__xludf.DUMMYFUNCTION("""COMPUTED_VALUE"""),"可")</f>
        <v>可</v>
      </c>
      <c r="Q870" s="30" t="str">
        <f>IFERROR(__xludf.DUMMYFUNCTION("""COMPUTED_VALUE"""),"※コマサム等素材は「265334 女神狩り（フルカラー）」のほうをお使いください。&lt;BR&gt;バナー制作はフルカラー版の素材を利用して問題ございません。1/7）")</f>
        <v>※コマサム等素材は「265334 女神狩り（フルカラー）」のほうをお使いください。&lt;BR&gt;バナー制作はフルカラー版の素材を利用して問題ございません。1/7）</v>
      </c>
      <c r="R870" s="31"/>
      <c r="S870" s="30" t="str">
        <f>IFERROR(__xludf.DUMMYFUNCTION("""COMPUTED_VALUE"""),"20231107_ソルマーレ編集部_女神狩り【タテヨミ】")</f>
        <v>20231107_ソルマーレ編集部_女神狩り【タテヨミ】</v>
      </c>
      <c r="T870" s="31"/>
      <c r="U870" s="15" t="str">
        <f>IFERROR(__xludf.DUMMYFUNCTION("""COMPUTED_VALUE"""),"Ⓒ Yoongonji/Gosonjak/STUDIO NUWARU/シーモアコミックス")</f>
        <v>Ⓒ Yoongonji/Gosonjak/STUDIO NUWARU/シーモアコミックス</v>
      </c>
      <c r="V870" s="8" t="str">
        <f>IFERROR(__xludf.DUMMYFUNCTION("""COMPUTED_VALUE"""),"神の子である俺は「セックスの神」になりたい。
なぜならセックスこそ俺の特技であり、好きなことであるからだ。しかし父である“神”はそれを理解してくれない。だから勝負を提案したんだ。神にだけ仕えるという12の女神を攻略することができれば「セックスの神」に任命、できなければ父の言うことをどんなことでも従うと…。そうして始まったこの勝負。女神たちは天上界での記憶を消され、地上でそれぞれ人間として生活している。俺ももちろん神の力を失い、人間として彼女らを攻略せねばならない。でも必ずやり遂げて見せる。そして、セック"&amp;"スの神になってみせる――!! 【桃色エンジェル】")</f>
        <v>神の子である俺は「セックスの神」になりたい。
なぜならセックスこそ俺の特技であり、好きなことであるからだ。しかし父である“神”はそれを理解してくれない。だから勝負を提案したんだ。神にだけ仕えるという12の女神を攻略することができれば「セックスの神」に任命、できなければ父の言うことをどんなことでも従うと…。そうして始まったこの勝負。女神たちは天上界での記憶を消され、地上でそれぞれ人間として生活している。俺ももちろん神の力を失い、人間として彼女らを攻略せねばならない。でも必ずやり遂げて見せる。そして、セックスの神になってみせる――!! 【桃色エンジェル】</v>
      </c>
      <c r="W870" s="14"/>
      <c r="X870" s="14" t="str">
        <f>IFERROR(__xludf.DUMMYFUNCTION("""COMPUTED_VALUE"""),"有
")</f>
        <v>有
</v>
      </c>
      <c r="Y870" s="8" t="str">
        <f>IFERROR(__xludf.DUMMYFUNCTION("""COMPUTED_VALUE"""),"1/12まで1~3巻無料")</f>
        <v>1/12まで1~3巻無料</v>
      </c>
      <c r="Z870" s="7"/>
      <c r="AA870" s="7"/>
      <c r="AB870" s="7"/>
    </row>
    <row r="871" ht="15.75" customHeight="1">
      <c r="A871" s="26">
        <f>IFERROR(__xludf.DUMMYFUNCTION("""COMPUTED_VALUE"""),2617.0)</f>
        <v>2617</v>
      </c>
      <c r="B871" s="31" t="str">
        <f>IFERROR(__xludf.DUMMYFUNCTION("""COMPUTED_VALUE"""),"確定")</f>
        <v>確定</v>
      </c>
      <c r="C871" s="28">
        <f>IFERROR(__xludf.DUMMYFUNCTION("""COMPUTED_VALUE"""),45237.0)</f>
        <v>45237</v>
      </c>
      <c r="D871" s="28">
        <f>IFERROR(__xludf.DUMMYFUNCTION("""COMPUTED_VALUE"""),45238.0)</f>
        <v>45238</v>
      </c>
      <c r="E871" s="31">
        <f>IFERROR(__xludf.DUMMYFUNCTION("""COMPUTED_VALUE"""),281403.0)</f>
        <v>281403</v>
      </c>
      <c r="F871" s="31" t="str">
        <f>IFERROR(__xludf.DUMMYFUNCTION("""COMPUTED_VALUE"""),"ダブル・エッジ")</f>
        <v>ダブル・エッジ</v>
      </c>
      <c r="G871" s="16" t="str">
        <f>IFERROR(__xludf.DUMMYFUNCTION("""COMPUTED_VALUE"""),"1～3")</f>
        <v>1～3</v>
      </c>
      <c r="H871" s="31" t="str">
        <f>IFERROR(__xludf.DUMMYFUNCTION("""COMPUTED_VALUE"""),"小野浜こわし")</f>
        <v>小野浜こわし</v>
      </c>
      <c r="I871" s="14" t="str">
        <f>IFERROR(__xludf.DUMMYFUNCTION("""COMPUTED_VALUE"""),"BL")</f>
        <v>BL</v>
      </c>
      <c r="J871" s="31"/>
      <c r="K871" s="31"/>
      <c r="L871" s="31" t="str">
        <f>IFERROR(__xludf.DUMMYFUNCTION("""COMPUTED_VALUE"""),"アイプロダクション")</f>
        <v>アイプロダクション</v>
      </c>
      <c r="M871" s="23">
        <f>IFERROR(__xludf.DUMMYFUNCTION("""COMPUTED_VALUE"""),45268.0)</f>
        <v>45268</v>
      </c>
      <c r="N871" s="23">
        <f>IFERROR(__xludf.DUMMYFUNCTION("""COMPUTED_VALUE"""),45298.0)</f>
        <v>45298</v>
      </c>
      <c r="O871" s="20"/>
      <c r="P871" s="34" t="str">
        <f>IFERROR(__xludf.DUMMYFUNCTION("""COMPUTED_VALUE"""),"可")</f>
        <v>可</v>
      </c>
      <c r="Q871" s="30" t="str">
        <f>IFERROR(__xludf.DUMMYFUNCTION("""COMPUTED_VALUE"""),"1ヶ月先行ですので、可能であればお願いいたします。")</f>
        <v>1ヶ月先行ですので、可能であればお願いいたします。</v>
      </c>
      <c r="R871" s="31"/>
      <c r="S871" s="31" t="str">
        <f>IFERROR(__xludf.DUMMYFUNCTION("""COMPUTED_VALUE"""),"20231107_小学館クリエイティブ_ダブル・エッジ")</f>
        <v>20231107_小学館クリエイティブ_ダブル・エッジ</v>
      </c>
      <c r="T871" s="31" t="str">
        <f>IFERROR(__xludf.DUMMYFUNCTION("""COMPUTED_VALUE"""),"格納済み")</f>
        <v>格納済み</v>
      </c>
      <c r="U871" s="15" t="str">
        <f>IFERROR(__xludf.DUMMYFUNCTION("""COMPUTED_VALUE"""),"小野浜こわし/アイプロダクション")</f>
        <v>小野浜こわし/アイプロダクション</v>
      </c>
      <c r="V871" s="8" t="str">
        <f>IFERROR(__xludf.DUMMYFUNCTION("""COMPUTED_VALUE"""),"「一緒に行くかい。『地獄』とやらへ――。」かつて伝説のプロ雀士として名を轟かせていた村椿（むらつばき）は、とある出来事を機に雀士を引退し、今は郊外でひっそりと麻雀荘を経営している。ヤクザも出入りするその雀荘で、村椿はときに慰み者にされたりしながら空虚な日々を送っていたが、ある夜、偶然殺人現場を目撃したうえ、負傷していた殺し屋を助けたことで、村椿の人生が一変する。「殺し屋のアンタを助ければ、地獄に行けると思ったんだ。おれには『罰』が必要だから――。」村椿がプロ雀士を引退することになった理由――大切な人の命と"&amp;"引き換えに、究極の幸運を得てしまったこと。誰かが罰を与えてくれるまで、自分は生きることも死ぬこともできずにいること。真実の想いを吐露する村椿に、殺し屋は……？　謎に包まれた殺し屋×生きる望みを失った元プロ雀士。闇に生きる二人が、互いの存在と生きる意味を求め合い惹かれ合う様を描いた、ノワール・ラブストーリー。")</f>
        <v>「一緒に行くかい。『地獄』とやらへ――。」かつて伝説のプロ雀士として名を轟かせていた村椿（むらつばき）は、とある出来事を機に雀士を引退し、今は郊外でひっそりと麻雀荘を経営している。ヤクザも出入りするその雀荘で、村椿はときに慰み者にされたりしながら空虚な日々を送っていたが、ある夜、偶然殺人現場を目撃したうえ、負傷していた殺し屋を助けたことで、村椿の人生が一変する。「殺し屋のアンタを助ければ、地獄に行けると思ったんだ。おれには『罰』が必要だから――。」村椿がプロ雀士を引退することになった理由――大切な人の命と引き換えに、究極の幸運を得てしまったこと。誰かが罰を与えてくれるまで、自分は生きることも死ぬこともできずにいること。真実の想いを吐露する村椿に、殺し屋は……？　謎に包まれた殺し屋×生きる望みを失った元プロ雀士。闇に生きる二人が、互いの存在と生きる意味を求め合い惹かれ合う様を描いた、ノワール・ラブストーリー。</v>
      </c>
      <c r="W871" s="14"/>
      <c r="X871" s="14" t="str">
        <f>IFERROR(__xludf.DUMMYFUNCTION("""COMPUTED_VALUE"""),"有
")</f>
        <v>有
</v>
      </c>
      <c r="Y871" s="8" t="str">
        <f>IFERROR(__xludf.DUMMYFUNCTION("""COMPUTED_VALUE"""),"12/21まで1巻無料")</f>
        <v>12/21まで1巻無料</v>
      </c>
      <c r="Z871" s="7"/>
      <c r="AA871" s="7"/>
      <c r="AB871" s="7"/>
    </row>
    <row r="872" ht="15.75" customHeight="1">
      <c r="A872" s="26">
        <f>IFERROR(__xludf.DUMMYFUNCTION("""COMPUTED_VALUE"""),2159.0)</f>
        <v>2159</v>
      </c>
      <c r="B872" s="22" t="str">
        <f>IFERROR(__xludf.DUMMYFUNCTION("""COMPUTED_VALUE"""),"確定")</f>
        <v>確定</v>
      </c>
      <c r="C872" s="28">
        <f>IFERROR(__xludf.DUMMYFUNCTION("""COMPUTED_VALUE"""),45118.0)</f>
        <v>45118</v>
      </c>
      <c r="D872" s="28">
        <f>IFERROR(__xludf.DUMMYFUNCTION("""COMPUTED_VALUE"""),45245.0)</f>
        <v>45245</v>
      </c>
      <c r="E872" s="26">
        <f>IFERROR(__xludf.DUMMYFUNCTION("""COMPUTED_VALUE"""),281409.0)</f>
        <v>281409</v>
      </c>
      <c r="F872" s="22" t="str">
        <f>IFERROR(__xludf.DUMMYFUNCTION("""COMPUTED_VALUE"""),"白虎さまの愛され花嫁")</f>
        <v>白虎さまの愛され花嫁</v>
      </c>
      <c r="G872" s="16" t="str">
        <f>IFERROR(__xludf.DUMMYFUNCTION("""COMPUTED_VALUE"""),"1～3")</f>
        <v>1～3</v>
      </c>
      <c r="H872" s="22" t="str">
        <f>IFERROR(__xludf.DUMMYFUNCTION("""COMPUTED_VALUE"""),"茜たま,くまのみ鮭")</f>
        <v>茜たま,くまのみ鮭</v>
      </c>
      <c r="I872" s="22" t="str">
        <f>IFERROR(__xludf.DUMMYFUNCTION("""COMPUTED_VALUE"""),"少女")</f>
        <v>少女</v>
      </c>
      <c r="J872" s="22"/>
      <c r="K872" s="22"/>
      <c r="L872" s="22" t="str">
        <f>IFERROR(__xludf.DUMMYFUNCTION("""COMPUTED_VALUE"""),"EVOパブリッシング")</f>
        <v>EVOパブリッシング</v>
      </c>
      <c r="M872" s="23">
        <f>IFERROR(__xludf.DUMMYFUNCTION("""COMPUTED_VALUE"""),45258.0)</f>
        <v>45258</v>
      </c>
      <c r="N872" s="33">
        <f>IFERROR(__xludf.DUMMYFUNCTION("""COMPUTED_VALUE"""),45351.0)</f>
        <v>45351</v>
      </c>
      <c r="O872" s="20"/>
      <c r="P872" s="29" t="str">
        <f>IFERROR(__xludf.DUMMYFUNCTION("""COMPUTED_VALUE"""),"否")</f>
        <v>否</v>
      </c>
      <c r="Q872" s="30" t="str">
        <f>IFERROR(__xludf.DUMMYFUNCTION("""COMPUTED_VALUE"""),"こちら2巻で完結作品になります。&lt;BR&gt;（1～4話に分割かつ1話無料であればコミット可の場合、調整しますとのことです）")</f>
        <v>こちら2巻で完結作品になります。&lt;BR&gt;（1～4話に分割かつ1話無料であればコミット可の場合、調整しますとのことです）</v>
      </c>
      <c r="R872" s="22"/>
      <c r="S872" s="30" t="str">
        <f>IFERROR(__xludf.DUMMYFUNCTION("""COMPUTED_VALUE"""),"20231113_EVOパブリッシング_白虎さまの愛され花嫁")</f>
        <v>20231113_EVOパブリッシング_白虎さまの愛され花嫁</v>
      </c>
      <c r="T872" s="22"/>
      <c r="U872" s="15" t="str">
        <f>IFERROR(__xludf.DUMMYFUNCTION("""COMPUTED_VALUE"""),"©茜たま/くまのみ鮭/EVOパブリッシング")</f>
        <v>©茜たま/くまのみ鮭/EVOパブリッシング</v>
      </c>
      <c r="V872" s="8" t="str">
        <f>IFERROR(__xludf.DUMMYFUNCTION("""COMPUTED_VALUE"""),"【コミックシーモア限定、描き下ろしイラスト収録！！】
青龍・朱雀・玄武・・・そして白虎――
ここは四神によって古くから護られる国。
巫女――四神の力を具現化するもの。
時に四神は巫女の中から伴侶を選び永遠の契りを結ぶという。
「待っていたぞ　俺の妻――」
ある日、巫女の力がないはずの奏が白虎に伴侶の指名をされる。
奏は代々白虎の巫女を務める香月家の息女だが、巫女の力が無く周りから役立たずと罵られ惨めな日々を送っていた。
何かの間違いではないかと伺い立てるも聞く耳を持たない白虎。
言われる"&amp;"がまま嫁ぐ奏だったが、白虎の見せてくれる景色、かけてくれる優しい言葉に辛かった日々の記憶は洗われていく…！
ただ伴侶として過ごす二人の時間はきまって――「歌を歌え…!?」
【白虎さまのラブきゅんシンデレラストーリー、開幕！！】")</f>
        <v>【コミックシーモア限定、描き下ろしイラスト収録！！】
青龍・朱雀・玄武・・・そして白虎――
ここは四神によって古くから護られる国。
巫女――四神の力を具現化するもの。
時に四神は巫女の中から伴侶を選び永遠の契りを結ぶという。
「待っていたぞ　俺の妻――」
ある日、巫女の力がないはずの奏が白虎に伴侶の指名をされる。
奏は代々白虎の巫女を務める香月家の息女だが、巫女の力が無く周りから役立たずと罵られ惨めな日々を送っていた。
何かの間違いではないかと伺い立てるも聞く耳を持たない白虎。
言われるがまま嫁ぐ奏だったが、白虎の見せてくれる景色、かけてくれる優しい言葉に辛かった日々の記憶は洗われていく…！
ただ伴侶として過ごす二人の時間はきまって――「歌を歌え…!?」
【白虎さまのラブきゅんシンデレラストーリー、開幕！！】</v>
      </c>
      <c r="W872" s="14"/>
      <c r="X872" s="14" t="str">
        <f>IFERROR(__xludf.DUMMYFUNCTION("""COMPUTED_VALUE"""),"有
")</f>
        <v>有
</v>
      </c>
      <c r="Y872" s="8" t="str">
        <f>IFERROR(__xludf.DUMMYFUNCTION("""COMPUTED_VALUE"""),"P11まで")</f>
        <v>P11まで</v>
      </c>
      <c r="Z872" s="7"/>
      <c r="AA872" s="7"/>
      <c r="AB872" s="7"/>
    </row>
    <row r="873" ht="15.75" customHeight="1">
      <c r="A873" s="26">
        <f>IFERROR(__xludf.DUMMYFUNCTION("""COMPUTED_VALUE"""),2464.0)</f>
        <v>2464</v>
      </c>
      <c r="B873" s="22" t="str">
        <f>IFERROR(__xludf.DUMMYFUNCTION("""COMPUTED_VALUE"""),"確定")</f>
        <v>確定</v>
      </c>
      <c r="C873" s="28">
        <f>IFERROR(__xludf.DUMMYFUNCTION("""COMPUTED_VALUE"""),45203.0)</f>
        <v>45203</v>
      </c>
      <c r="D873" s="28">
        <f>IFERROR(__xludf.DUMMYFUNCTION("""COMPUTED_VALUE"""),45239.0)</f>
        <v>45239</v>
      </c>
      <c r="E873" s="31">
        <f>IFERROR(__xludf.DUMMYFUNCTION("""COMPUTED_VALUE"""),282215.0)</f>
        <v>282215</v>
      </c>
      <c r="F873" s="22" t="str">
        <f>IFERROR(__xludf.DUMMYFUNCTION("""COMPUTED_VALUE"""),"かりそめ婚約者に溺愛されてます～一途な御曹司は失恋女子を捕まえたい～【分冊版】")</f>
        <v>かりそめ婚約者に溺愛されてます～一途な御曹司は失恋女子を捕まえたい～【分冊版】</v>
      </c>
      <c r="G873" s="20" t="str">
        <f>IFERROR(__xludf.DUMMYFUNCTION("""COMPUTED_VALUE"""),"1~6")</f>
        <v>1~6</v>
      </c>
      <c r="H873" s="22" t="str">
        <f>IFERROR(__xludf.DUMMYFUNCTION("""COMPUTED_VALUE"""),"チユタン・吉澤紗矢")</f>
        <v>チユタン・吉澤紗矢</v>
      </c>
      <c r="I873" s="22" t="str">
        <f>IFERROR(__xludf.DUMMYFUNCTION("""COMPUTED_VALUE"""),"女性")</f>
        <v>女性</v>
      </c>
      <c r="J873" s="22"/>
      <c r="K873" s="22"/>
      <c r="L873" s="22" t="str">
        <f>IFERROR(__xludf.DUMMYFUNCTION("""COMPUTED_VALUE"""),"ハーパーコリンズ・ジャパン")</f>
        <v>ハーパーコリンズ・ジャパン</v>
      </c>
      <c r="M873" s="23">
        <f>IFERROR(__xludf.DUMMYFUNCTION("""COMPUTED_VALUE"""),45275.0)</f>
        <v>45275</v>
      </c>
      <c r="N873" s="23">
        <f>IFERROR(__xludf.DUMMYFUNCTION("""COMPUTED_VALUE"""),45337.0)</f>
        <v>45337</v>
      </c>
      <c r="O873" s="20"/>
      <c r="P873" s="29" t="str">
        <f>IFERROR(__xludf.DUMMYFUNCTION("""COMPUTED_VALUE"""),"可")</f>
        <v>可</v>
      </c>
      <c r="Q873" s="22" t="str">
        <f>IFERROR(__xludf.DUMMYFUNCTION("""COMPUTED_VALUE"""),"広告コミットOK(10/12)")</f>
        <v>広告コミットOK(10/12)</v>
      </c>
      <c r="R873" s="22" t="str">
        <f>IFERROR(__xludf.DUMMYFUNCTION("""COMPUTED_VALUE"""),"格納済")</f>
        <v>格納済</v>
      </c>
      <c r="S873" s="22" t="str">
        <f>IFERROR(__xludf.DUMMYFUNCTION("""COMPUTED_VALUE"""),"20231109_ハーパーコリンズ_かりそめ婚約者に溺愛されてます～一途な御曹司は失恋女子を捕まえたい～")</f>
        <v>20231109_ハーパーコリンズ_かりそめ婚約者に溺愛されてます～一途な御曹司は失恋女子を捕まえたい～</v>
      </c>
      <c r="T873" s="22" t="str">
        <f>IFERROR(__xludf.DUMMYFUNCTION("""COMPUTED_VALUE"""),"格納済み")</f>
        <v>格納済み</v>
      </c>
      <c r="U873" s="15" t="str">
        <f>IFERROR(__xludf.DUMMYFUNCTION("""COMPUTED_VALUE"""),"（C)チユタン・吉澤紗矢／ハーパーコリンズ・ジャパン")</f>
        <v>（C)チユタン・吉澤紗矢／ハーパーコリンズ・ジャパン</v>
      </c>
      <c r="V873" s="8" t="str">
        <f>IFERROR(__xludf.DUMMYFUNCTION("""COMPUTED_VALUE"""),"仮の恋人なのにときめいてどうするの？
社内恋愛での失恋を乗り越えた美緒は、先輩の伊織に助けてもらいながら前向きに仕事を頑張っている。でも、失恋相手と美緒の後輩が婚約したことから、美緒にまつわるよくない噂が社内に広まってしまう。そんなとき、伊織が驚くような提案を！　次期社長候補でもある彼が、噂を消すために偽の恋人役として名乗りを上げてくれて…!?")</f>
        <v>仮の恋人なのにときめいてどうするの？
社内恋愛での失恋を乗り越えた美緒は、先輩の伊織に助けてもらいながら前向きに仕事を頑張っている。でも、失恋相手と美緒の後輩が婚約したことから、美緒にまつわるよくない噂が社内に広まってしまう。そんなとき、伊織が驚くような提案を！　次期社長候補でもある彼が、噂を消すために偽の恋人役として名乗りを上げてくれて…!?</v>
      </c>
      <c r="W873" s="14"/>
      <c r="X873" s="14" t="str">
        <f>IFERROR(__xludf.DUMMYFUNCTION("""COMPUTED_VALUE"""),"有
")</f>
        <v>有
</v>
      </c>
      <c r="Y873" s="8" t="str">
        <f>IFERROR(__xludf.DUMMYFUNCTION("""COMPUTED_VALUE"""),"P8まで")</f>
        <v>P8まで</v>
      </c>
      <c r="Z873" s="7"/>
      <c r="AA873" s="7"/>
      <c r="AB873" s="7"/>
    </row>
    <row r="874" ht="15.75" customHeight="1">
      <c r="A874" s="26">
        <f>IFERROR(__xludf.DUMMYFUNCTION("""COMPUTED_VALUE"""),2544.0)</f>
        <v>2544</v>
      </c>
      <c r="B874" s="22" t="str">
        <f>IFERROR(__xludf.DUMMYFUNCTION("""COMPUTED_VALUE"""),"確定")</f>
        <v>確定</v>
      </c>
      <c r="C874" s="28">
        <f>IFERROR(__xludf.DUMMYFUNCTION("""COMPUTED_VALUE"""),45218.0)</f>
        <v>45218</v>
      </c>
      <c r="D874" s="28">
        <f>IFERROR(__xludf.DUMMYFUNCTION("""COMPUTED_VALUE"""),45244.0)</f>
        <v>45244</v>
      </c>
      <c r="E874" s="31">
        <f>IFERROR(__xludf.DUMMYFUNCTION("""COMPUTED_VALUE"""),282519.0)</f>
        <v>282519</v>
      </c>
      <c r="F874" s="22" t="str">
        <f>IFERROR(__xludf.DUMMYFUNCTION("""COMPUTED_VALUE"""),"絶倫ヤクザは溺愛上手!? ～ふたりの開運百回セックス【分冊版】")</f>
        <v>絶倫ヤクザは溺愛上手!? ～ふたりの開運百回セックス【分冊版】</v>
      </c>
      <c r="G874" s="11" t="str">
        <f>IFERROR(__xludf.DUMMYFUNCTION("""COMPUTED_VALUE"""),"1～2")</f>
        <v>1～2</v>
      </c>
      <c r="H874" s="22" t="str">
        <f>IFERROR(__xludf.DUMMYFUNCTION("""COMPUTED_VALUE"""),"花里ひかり")</f>
        <v>花里ひかり</v>
      </c>
      <c r="I874" s="22" t="str">
        <f>IFERROR(__xludf.DUMMYFUNCTION("""COMPUTED_VALUE"""),"TL")</f>
        <v>TL</v>
      </c>
      <c r="J874" s="22"/>
      <c r="K874" s="22"/>
      <c r="L874" s="22" t="str">
        <f>IFERROR(__xludf.DUMMYFUNCTION("""COMPUTED_VALUE"""),"ハーパーコリンズ・ジャパン")</f>
        <v>ハーパーコリンズ・ジャパン</v>
      </c>
      <c r="M874" s="23">
        <f>IFERROR(__xludf.DUMMYFUNCTION("""COMPUTED_VALUE"""),45282.0)</f>
        <v>45282</v>
      </c>
      <c r="N874" s="23">
        <f>IFERROR(__xludf.DUMMYFUNCTION("""COMPUTED_VALUE"""),45344.0)</f>
        <v>45344</v>
      </c>
      <c r="O874" s="20"/>
      <c r="P874" s="29" t="str">
        <f>IFERROR(__xludf.DUMMYFUNCTION("""COMPUTED_VALUE"""),"可")</f>
        <v>可</v>
      </c>
      <c r="Q874" s="22" t="str">
        <f>IFERROR(__xludf.DUMMYFUNCTION("""COMPUTED_VALUE"""),"広告コミットOK(10/26)")</f>
        <v>広告コミットOK(10/26)</v>
      </c>
      <c r="R874" s="22" t="str">
        <f>IFERROR(__xludf.DUMMYFUNCTION("""COMPUTED_VALUE"""),"格納済")</f>
        <v>格納済</v>
      </c>
      <c r="S874" s="22" t="str">
        <f>IFERROR(__xludf.DUMMYFUNCTION("""COMPUTED_VALUE"""),"20231113_ハーパーコリンズ_絶倫ヤクザは溺愛上手～ふたりの開運百回セックス【分冊版】")</f>
        <v>20231113_ハーパーコリンズ_絶倫ヤクザは溺愛上手～ふたりの開運百回セックス【分冊版】</v>
      </c>
      <c r="T874" s="22" t="str">
        <f>IFERROR(__xludf.DUMMYFUNCTION("""COMPUTED_VALUE"""),"格納済み")</f>
        <v>格納済み</v>
      </c>
      <c r="U874" s="15" t="str">
        <f>IFERROR(__xludf.DUMMYFUNCTION("""COMPUTED_VALUE"""),"（C)花里ひかり/ハーパーコリンズ・ジャパン")</f>
        <v>（C)花里ひかり/ハーパーコリンズ・ジャパン</v>
      </c>
      <c r="V874" s="8" t="str">
        <f>IFERROR(__xludf.DUMMYFUNCTION("""COMPUTED_VALUE"""),"「悪運をかき消すため、強い男と１００回エッチしなきゃダメっ！？」
不運が続くОＬの葵は、ある日彼氏である潮がほかの女性とキスしているのを目撃。だけどその夜も彼に激しく求められたからただの見間違いだったと思いきや、急に「別の女性と結婚するから」とフラれた。そのせいで葵は一気に住むところも仕事もなくしてしまう。しかも、彼のせいで借金取り立てに風俗に売られてしまうことに。「快楽の館」という娼館に連れてこられた葵の前に現れたのは、彫刻のように美しい顔を持ち、周りから若頭と呼ばれる真輝という名のヤクザ。最初は"&amp;"純粋な葵に現実を思い知らせたいだけに彼女を抱いた真輝なのに、体の相性が最高過ぎて……？")</f>
        <v>「悪運をかき消すため、強い男と１００回エッチしなきゃダメっ！？」
不運が続くОＬの葵は、ある日彼氏である潮がほかの女性とキスしているのを目撃。だけどその夜も彼に激しく求められたからただの見間違いだったと思いきや、急に「別の女性と結婚するから」とフラれた。そのせいで葵は一気に住むところも仕事もなくしてしまう。しかも、彼のせいで借金取り立てに風俗に売られてしまうことに。「快楽の館」という娼館に連れてこられた葵の前に現れたのは、彫刻のように美しい顔を持ち、周りから若頭と呼ばれる真輝という名のヤクザ。最初は純粋な葵に現実を思い知らせたいだけに彼女を抱いた真輝なのに、体の相性が最高過ぎて……？</v>
      </c>
      <c r="W874" s="14"/>
      <c r="X874" s="14" t="str">
        <f>IFERROR(__xludf.DUMMYFUNCTION("""COMPUTED_VALUE"""),"有
")</f>
        <v>有
</v>
      </c>
      <c r="Y874" s="8" t="str">
        <f>IFERROR(__xludf.DUMMYFUNCTION("""COMPUTED_VALUE"""),"P12まで")</f>
        <v>P12まで</v>
      </c>
      <c r="Z874" s="7"/>
      <c r="AA874" s="7"/>
      <c r="AB874" s="7"/>
    </row>
    <row r="875" ht="15.75" customHeight="1">
      <c r="A875" s="26">
        <f>IFERROR(__xludf.DUMMYFUNCTION("""COMPUTED_VALUE"""),2561.0)</f>
        <v>2561</v>
      </c>
      <c r="B875" s="22" t="str">
        <f>IFERROR(__xludf.DUMMYFUNCTION("""COMPUTED_VALUE"""),"確定")</f>
        <v>確定</v>
      </c>
      <c r="C875" s="28">
        <f>IFERROR(__xludf.DUMMYFUNCTION("""COMPUTED_VALUE"""),45224.0)</f>
        <v>45224</v>
      </c>
      <c r="D875" s="28">
        <f>IFERROR(__xludf.DUMMYFUNCTION("""COMPUTED_VALUE"""),45244.0)</f>
        <v>45244</v>
      </c>
      <c r="E875" s="31">
        <f>IFERROR(__xludf.DUMMYFUNCTION("""COMPUTED_VALUE"""),281632.0)</f>
        <v>281632</v>
      </c>
      <c r="F875" s="22" t="str">
        <f>IFERROR(__xludf.DUMMYFUNCTION("""COMPUTED_VALUE"""),"私は敵になりません！〜悪の魔術師に転生したけど、死ぬのはごめんなのでシナリオに逆らって生き延びます〜")</f>
        <v>私は敵になりません！〜悪の魔術師に転生したけど、死ぬのはごめんなのでシナリオに逆らって生き延びます〜</v>
      </c>
      <c r="G875" s="20" t="str">
        <f>IFERROR(__xludf.DUMMYFUNCTION("""COMPUTED_VALUE"""),"1～7")</f>
        <v>1～7</v>
      </c>
      <c r="H875" s="22" t="str">
        <f>IFERROR(__xludf.DUMMYFUNCTION("""COMPUTED_VALUE"""),"（C）藤代千鶴 / 佐槻奏多/藤未都也/主婦と生活社")</f>
        <v>（C）藤代千鶴 / 佐槻奏多/藤未都也/主婦と生活社</v>
      </c>
      <c r="I875" s="22" t="str">
        <f>IFERROR(__xludf.DUMMYFUNCTION("""COMPUTED_VALUE"""),"少女")</f>
        <v>少女</v>
      </c>
      <c r="J875" s="22"/>
      <c r="K875" s="22"/>
      <c r="L875" s="22" t="str">
        <f>IFERROR(__xludf.DUMMYFUNCTION("""COMPUTED_VALUE"""),"主婦と生活社")</f>
        <v>主婦と生活社</v>
      </c>
      <c r="M875" s="23">
        <f>IFERROR(__xludf.DUMMYFUNCTION("""COMPUTED_VALUE"""),45261.0)</f>
        <v>45261</v>
      </c>
      <c r="N875" s="23">
        <f>IFERROR(__xludf.DUMMYFUNCTION("""COMPUTED_VALUE"""),45322.0)</f>
        <v>45322</v>
      </c>
      <c r="O875" s="20"/>
      <c r="P875" s="29" t="str">
        <f>IFERROR(__xludf.DUMMYFUNCTION("""COMPUTED_VALUE"""),"否")</f>
        <v>否</v>
      </c>
      <c r="Q875" s="30" t="str">
        <f>IFERROR(__xludf.DUMMYFUNCTION("""COMPUTED_VALUE"""),"広告コミットOK(10/30)")</f>
        <v>広告コミットOK(10/30)</v>
      </c>
      <c r="R875" s="22"/>
      <c r="S875" s="22" t="str">
        <f>IFERROR(__xludf.DUMMYFUNCTION("""COMPUTED_VALUE"""),"20231109_主婦と生活社_私は敵になりません！〜悪の魔術師に転生したけど、死ぬのはごめんなのでシナリオに逆らって生き延びます〜")</f>
        <v>20231109_主婦と生活社_私は敵になりません！〜悪の魔術師に転生したけど、死ぬのはごめんなのでシナリオに逆らって生き延びます〜</v>
      </c>
      <c r="T875" s="22" t="str">
        <f>IFERROR(__xludf.DUMMYFUNCTION("""COMPUTED_VALUE"""),"格納済み")</f>
        <v>格納済み</v>
      </c>
      <c r="U875" s="15" t="str">
        <f>IFERROR(__xludf.DUMMYFUNCTION("""COMPUTED_VALUE"""),"（C）藤代千鶴 / 佐槻奏多/藤未都也/主婦と生活社")</f>
        <v>（C）藤代千鶴 / 佐槻奏多/藤未都也/主婦と生活社</v>
      </c>
      <c r="V875" s="8" t="str">
        <f>IFERROR(__xludf.DUMMYFUNCTION("""COMPUTED_VALUE"""),"幼い頃から義母に虐げられて育った伯爵令嬢・キアラ。
14歳で政略結婚を命じられたその時、脳裏によみがえったのは
前世の記憶とよく遊んでいたゲーム『ファルジア王国戦記』だった。
自分が、殺される運命の悪役令嬢に転生したと気づいたキアラは
シナリオ回避のため、逃亡を企てる。
学校を抜け出した彼女が出会ったのは、美しい少年達と騎士。
なんと彼らはゲームの中でキアラを倒す主人公達でーー！？
転生悪役令嬢×薄幸（予定）王子の
バトル&amp;ラブファンタジー！")</f>
        <v>幼い頃から義母に虐げられて育った伯爵令嬢・キアラ。
14歳で政略結婚を命じられたその時、脳裏によみがえったのは
前世の記憶とよく遊んでいたゲーム『ファルジア王国戦記』だった。
自分が、殺される運命の悪役令嬢に転生したと気づいたキアラは
シナリオ回避のため、逃亡を企てる。
学校を抜け出した彼女が出会ったのは、美しい少年達と騎士。
なんと彼らはゲームの中でキアラを倒す主人公達でーー！？
転生悪役令嬢×薄幸（予定）王子の
バトル&amp;ラブファンタジー！</v>
      </c>
      <c r="W875" s="14"/>
      <c r="X875" s="14" t="str">
        <f>IFERROR(__xludf.DUMMYFUNCTION("""COMPUTED_VALUE"""),"有")</f>
        <v>有</v>
      </c>
      <c r="Y875" s="8" t="str">
        <f>IFERROR(__xludf.DUMMYFUNCTION("""COMPUTED_VALUE"""),"2024/1/31まで１巻無料")</f>
        <v>2024/1/31まで１巻無料</v>
      </c>
      <c r="Z875" s="7"/>
      <c r="AA875" s="7"/>
      <c r="AB875" s="7"/>
    </row>
    <row r="876" ht="15.75" customHeight="1">
      <c r="A876" s="26">
        <f>IFERROR(__xludf.DUMMYFUNCTION("""COMPUTED_VALUE"""),2571.0)</f>
        <v>2571</v>
      </c>
      <c r="B876" s="22" t="str">
        <f>IFERROR(__xludf.DUMMYFUNCTION("""COMPUTED_VALUE"""),"確定")</f>
        <v>確定</v>
      </c>
      <c r="C876" s="28">
        <f>IFERROR(__xludf.DUMMYFUNCTION("""COMPUTED_VALUE"""),45229.0)</f>
        <v>45229</v>
      </c>
      <c r="D876" s="28">
        <f>IFERROR(__xludf.DUMMYFUNCTION("""COMPUTED_VALUE"""),45244.0)</f>
        <v>45244</v>
      </c>
      <c r="E876" s="31">
        <f>IFERROR(__xludf.DUMMYFUNCTION("""COMPUTED_VALUE"""),281536.0)</f>
        <v>281536</v>
      </c>
      <c r="F876" s="22" t="str">
        <f>IFERROR(__xludf.DUMMYFUNCTION("""COMPUTED_VALUE"""),"ぽんこつサキュバスとエリートAV男優")</f>
        <v>ぽんこつサキュバスとエリートAV男優</v>
      </c>
      <c r="G876" s="20" t="str">
        <f>IFERROR(__xludf.DUMMYFUNCTION("""COMPUTED_VALUE"""),"1～3")</f>
        <v>1～3</v>
      </c>
      <c r="H876" s="22" t="str">
        <f>IFERROR(__xludf.DUMMYFUNCTION("""COMPUTED_VALUE"""),"ふうな")</f>
        <v>ふうな</v>
      </c>
      <c r="I876" s="22" t="str">
        <f>IFERROR(__xludf.DUMMYFUNCTION("""COMPUTED_VALUE"""),"オトナ")</f>
        <v>オトナ</v>
      </c>
      <c r="J876" s="22"/>
      <c r="K876" s="22"/>
      <c r="L876" s="22" t="str">
        <f>IFERROR(__xludf.DUMMYFUNCTION("""COMPUTED_VALUE"""),"KATTS")</f>
        <v>KATTS</v>
      </c>
      <c r="M876" s="23">
        <f>IFERROR(__xludf.DUMMYFUNCTION("""COMPUTED_VALUE"""),45261.0)</f>
        <v>45261</v>
      </c>
      <c r="N876" s="23">
        <f>IFERROR(__xludf.DUMMYFUNCTION("""COMPUTED_VALUE"""),44965.0)</f>
        <v>44965</v>
      </c>
      <c r="O876" s="20"/>
      <c r="P876" s="29" t="str">
        <f>IFERROR(__xludf.DUMMYFUNCTION("""COMPUTED_VALUE"""),"可")</f>
        <v>可</v>
      </c>
      <c r="Q876" s="30" t="str">
        <f>IFERROR(__xludf.DUMMYFUNCTION("""COMPUTED_VALUE"""),"広告コミットOK(11/9)")</f>
        <v>広告コミットOK(11/9)</v>
      </c>
      <c r="R876" s="22"/>
      <c r="S876" s="22" t="str">
        <f>IFERROR(__xludf.DUMMYFUNCTION("""COMPUTED_VALUE"""),"20231114_BookLive_ぽんこつサキュバスとエリートAV男優")</f>
        <v>20231114_BookLive_ぽんこつサキュバスとエリートAV男優</v>
      </c>
      <c r="T876" s="22" t="str">
        <f>IFERROR(__xludf.DUMMYFUNCTION("""COMPUTED_VALUE"""),"格納済み")</f>
        <v>格納済み</v>
      </c>
      <c r="U876" s="15" t="str">
        <f>IFERROR(__xludf.DUMMYFUNCTION("""COMPUTED_VALUE"""),"ⒸKATTS")</f>
        <v>ⒸKATTS</v>
      </c>
      <c r="V876" s="8" t="str">
        <f>IFERROR(__xludf.DUMMYFUNCTION("""COMPUTED_VALUE"""),"落ちこぼれサキュバスのミアは下界で人気ＡＶ男優の悠斗に出会う。精気を吸って一人前になろうとするが、処女のミアは悠斗のテクにメロメロになって…。")</f>
        <v>落ちこぼれサキュバスのミアは下界で人気ＡＶ男優の悠斗に出会う。精気を吸って一人前になろうとするが、処女のミアは悠斗のテクにメロメロになって…。</v>
      </c>
      <c r="W876" s="14"/>
      <c r="X876" s="14" t="str">
        <f>IFERROR(__xludf.DUMMYFUNCTION("""COMPUTED_VALUE"""),"有")</f>
        <v>有</v>
      </c>
      <c r="Y876" s="8" t="str">
        <f>IFERROR(__xludf.DUMMYFUNCTION("""COMPUTED_VALUE"""),"P18まで")</f>
        <v>P18まで</v>
      </c>
      <c r="Z876" s="7"/>
      <c r="AA876" s="7"/>
      <c r="AB876" s="7"/>
    </row>
    <row r="877" ht="15.75" customHeight="1">
      <c r="A877" s="26">
        <f>IFERROR(__xludf.DUMMYFUNCTION("""COMPUTED_VALUE"""),2572.0)</f>
        <v>2572</v>
      </c>
      <c r="B877" s="22" t="str">
        <f>IFERROR(__xludf.DUMMYFUNCTION("""COMPUTED_VALUE"""),"確定")</f>
        <v>確定</v>
      </c>
      <c r="C877" s="28">
        <f>IFERROR(__xludf.DUMMYFUNCTION("""COMPUTED_VALUE"""),45229.0)</f>
        <v>45229</v>
      </c>
      <c r="D877" s="28">
        <f>IFERROR(__xludf.DUMMYFUNCTION("""COMPUTED_VALUE"""),45245.0)</f>
        <v>45245</v>
      </c>
      <c r="E877" s="31">
        <f>IFERROR(__xludf.DUMMYFUNCTION("""COMPUTED_VALUE"""),281537.0)</f>
        <v>281537</v>
      </c>
      <c r="F877" s="22" t="str">
        <f>IFERROR(__xludf.DUMMYFUNCTION("""COMPUTED_VALUE"""),"異種族街の男娼事情～お隣のルカくんが知らない間に風俗堕ちして汚されていた話～")</f>
        <v>異種族街の男娼事情～お隣のルカくんが知らない間に風俗堕ちして汚されていた話～</v>
      </c>
      <c r="G877" s="20" t="str">
        <f>IFERROR(__xludf.DUMMYFUNCTION("""COMPUTED_VALUE"""),"1～3")</f>
        <v>1～3</v>
      </c>
      <c r="H877" s="22" t="str">
        <f>IFERROR(__xludf.DUMMYFUNCTION("""COMPUTED_VALUE"""),"肉職/麦とろカルマ")</f>
        <v>肉職/麦とろカルマ</v>
      </c>
      <c r="I877" s="22" t="str">
        <f>IFERROR(__xludf.DUMMYFUNCTION("""COMPUTED_VALUE"""),"BL")</f>
        <v>BL</v>
      </c>
      <c r="J877" s="22"/>
      <c r="K877" s="22"/>
      <c r="L877" s="22" t="str">
        <f>IFERROR(__xludf.DUMMYFUNCTION("""COMPUTED_VALUE"""),"ライブコミックス")</f>
        <v>ライブコミックス</v>
      </c>
      <c r="M877" s="23">
        <f>IFERROR(__xludf.DUMMYFUNCTION("""COMPUTED_VALUE"""),45261.0)</f>
        <v>45261</v>
      </c>
      <c r="N877" s="23">
        <f>IFERROR(__xludf.DUMMYFUNCTION("""COMPUTED_VALUE"""),44965.0)</f>
        <v>44965</v>
      </c>
      <c r="O877" s="20"/>
      <c r="P877" s="29" t="str">
        <f>IFERROR(__xludf.DUMMYFUNCTION("""COMPUTED_VALUE"""),"可")</f>
        <v>可</v>
      </c>
      <c r="Q877" s="30" t="str">
        <f>IFERROR(__xludf.DUMMYFUNCTION("""COMPUTED_VALUE"""),"広告コミットOK(11/9)&lt;BR&gt;素材はすべて使用していただいて大丈夫です")</f>
        <v>広告コミットOK(11/9)&lt;BR&gt;素材はすべて使用していただいて大丈夫です</v>
      </c>
      <c r="R877" s="22"/>
      <c r="S877" s="22" t="str">
        <f>IFERROR(__xludf.DUMMYFUNCTION("""COMPUTED_VALUE"""),"20231114_BookLive_異種族街の男娼事情～お隣のルカくんが知らない間に風俗堕ちして汚されていた話～")</f>
        <v>20231114_BookLive_異種族街の男娼事情～お隣のルカくんが知らない間に風俗堕ちして汚されていた話～</v>
      </c>
      <c r="T877" s="22" t="str">
        <f>IFERROR(__xludf.DUMMYFUNCTION("""COMPUTED_VALUE"""),"格納済み")</f>
        <v>格納済み</v>
      </c>
      <c r="U877" s="15" t="str">
        <f>IFERROR(__xludf.DUMMYFUNCTION("""COMPUTED_VALUE"""),"Ⓒ肉職/麦とろカルマ/ライブコミックス")</f>
        <v>Ⓒ肉職/麦とろカルマ/ライブコミックス</v>
      </c>
      <c r="V877" s="8" t="str">
        <f>IFERROR(__xludf.DUMMYFUNCTION("""COMPUTED_VALUE"""),"舞台は、あらゆる種族が共存する世界。
ケモミミ青年・ルカは、生きていくために「奴隷窟」で働くことを選択する。
「奴隷窟」とは貧民街の風俗店。
新人回遊クソ客汚っさん豚オークの洗礼を受け、脳がとろけるスライム姦や、乱暴者のケンタウロスに凌辱され、果ては複数のゴブリンにまで…!
※殴る蹴るの直接的な描写はありませんが、一部暴力的な描写がございます(ケンタウロスパート)
※異種姦のみではなく、お話の特性上、人間との絡み描写もございます。
”俺”の楽しみは、お隣に住んでいるルカくんの成"&amp;"長を見守ること…のハズだった。
ある時から、ルカくんが日に日に色っぽくなっていくのを指をくわえてみていることしかできない”俺”。
どうやら「奴隷窟」で男娼として働いているという噂に、謎のモヤモヤとイライラが募る日々。
そして最後に気づいた俺の本当の気持ちは、
「俺が最初に汚したかったのに――!」")</f>
        <v>舞台は、あらゆる種族が共存する世界。
ケモミミ青年・ルカは、生きていくために「奴隷窟」で働くことを選択する。
「奴隷窟」とは貧民街の風俗店。
新人回遊クソ客汚っさん豚オークの洗礼を受け、脳がとろけるスライム姦や、乱暴者のケンタウロスに凌辱され、果ては複数のゴブリンにまで…!
※殴る蹴るの直接的な描写はありませんが、一部暴力的な描写がございます(ケンタウロスパート)
※異種姦のみではなく、お話の特性上、人間との絡み描写もございます。
”俺”の楽しみは、お隣に住んでいるルカくんの成長を見守ること…のハズだった。
ある時から、ルカくんが日に日に色っぽくなっていくのを指をくわえてみていることしかできない”俺”。
どうやら「奴隷窟」で男娼として働いているという噂に、謎のモヤモヤとイライラが募る日々。
そして最後に気づいた俺の本当の気持ちは、
「俺が最初に汚したかったのに――!」</v>
      </c>
      <c r="W877" s="14"/>
      <c r="X877" s="14" t="str">
        <f>IFERROR(__xludf.DUMMYFUNCTION("""COMPUTED_VALUE"""),"有")</f>
        <v>有</v>
      </c>
      <c r="Y877" s="8" t="str">
        <f>IFERROR(__xludf.DUMMYFUNCTION("""COMPUTED_VALUE"""),"P11まで")</f>
        <v>P11まで</v>
      </c>
      <c r="Z877" s="7"/>
      <c r="AA877" s="7"/>
      <c r="AB877" s="7"/>
    </row>
    <row r="878" ht="15.75" customHeight="1">
      <c r="A878" s="26">
        <f>IFERROR(__xludf.DUMMYFUNCTION("""COMPUTED_VALUE"""),2573.0)</f>
        <v>2573</v>
      </c>
      <c r="B878" s="22" t="str">
        <f>IFERROR(__xludf.DUMMYFUNCTION("""COMPUTED_VALUE"""),"確定")</f>
        <v>確定</v>
      </c>
      <c r="C878" s="28">
        <f>IFERROR(__xludf.DUMMYFUNCTION("""COMPUTED_VALUE"""),45229.0)</f>
        <v>45229</v>
      </c>
      <c r="D878" s="28">
        <f>IFERROR(__xludf.DUMMYFUNCTION("""COMPUTED_VALUE"""),45245.0)</f>
        <v>45245</v>
      </c>
      <c r="E878" s="31">
        <f>IFERROR(__xludf.DUMMYFUNCTION("""COMPUTED_VALUE"""),281538.0)</f>
        <v>281538</v>
      </c>
      <c r="F878" s="22" t="str">
        <f>IFERROR(__xludf.DUMMYFUNCTION("""COMPUTED_VALUE"""),"男色霊の棲むアパート～ノンケの俺が見えないナニかをハメられてメスイキなんかするわけない～")</f>
        <v>男色霊の棲むアパート～ノンケの俺が見えないナニかをハメられてメスイキなんかするわけない～</v>
      </c>
      <c r="G878" s="11" t="str">
        <f>IFERROR(__xludf.DUMMYFUNCTION("""COMPUTED_VALUE"""),"1～2")</f>
        <v>1～2</v>
      </c>
      <c r="H878" s="22" t="str">
        <f>IFERROR(__xludf.DUMMYFUNCTION("""COMPUTED_VALUE"""),"チンプル堀田/麦とろカルマ")</f>
        <v>チンプル堀田/麦とろカルマ</v>
      </c>
      <c r="I878" s="22" t="str">
        <f>IFERROR(__xludf.DUMMYFUNCTION("""COMPUTED_VALUE"""),"BL")</f>
        <v>BL</v>
      </c>
      <c r="J878" s="22"/>
      <c r="K878" s="22"/>
      <c r="L878" s="22" t="str">
        <f>IFERROR(__xludf.DUMMYFUNCTION("""COMPUTED_VALUE"""),"ライブコミックス")</f>
        <v>ライブコミックス</v>
      </c>
      <c r="M878" s="23">
        <f>IFERROR(__xludf.DUMMYFUNCTION("""COMPUTED_VALUE"""),45261.0)</f>
        <v>45261</v>
      </c>
      <c r="N878" s="23">
        <f>IFERROR(__xludf.DUMMYFUNCTION("""COMPUTED_VALUE"""),45535.66666666667)</f>
        <v>45535.66667</v>
      </c>
      <c r="O878" s="20"/>
      <c r="P878" s="29" t="str">
        <f>IFERROR(__xludf.DUMMYFUNCTION("""COMPUTED_VALUE"""),"可")</f>
        <v>可</v>
      </c>
      <c r="Q878" s="30" t="str">
        <f>IFERROR(__xludf.DUMMYFUNCTION("""COMPUTED_VALUE"""),"広告コミットOK(11/9)&lt;BR&gt;素材はすべて使用していただいて大丈夫です")</f>
        <v>広告コミットOK(11/9)&lt;BR&gt;素材はすべて使用していただいて大丈夫です</v>
      </c>
      <c r="R878" s="22"/>
      <c r="S878" s="22" t="str">
        <f>IFERROR(__xludf.DUMMYFUNCTION("""COMPUTED_VALUE"""),"20231114_BookLive_男色霊の棲むアパート～ノンケの俺が見えないナニかをハメられてメスイキなんかするわけない～")</f>
        <v>20231114_BookLive_男色霊の棲むアパート～ノンケの俺が見えないナニかをハメられてメスイキなんかするわけない～</v>
      </c>
      <c r="T878" s="22" t="str">
        <f>IFERROR(__xludf.DUMMYFUNCTION("""COMPUTED_VALUE"""),"格納済み")</f>
        <v>格納済み</v>
      </c>
      <c r="U878" s="15" t="str">
        <f>IFERROR(__xludf.DUMMYFUNCTION("""COMPUTED_VALUE"""),"Ⓒチンプル堀田・麦とろカルマ/ライブコミックス")</f>
        <v>Ⓒチンプル堀田・麦とろカルマ/ライブコミックス</v>
      </c>
      <c r="V878" s="8" t="str">
        <f>IFERROR(__xludf.DUMMYFUNCTION("""COMPUTED_VALUE"""),"”入居者は全員男、しかも3ヶ月以内に理由も告げずに退去する”といういわくつき物件に住むことになった亮介。
その物件は、大学でも幽霊が出ると噂になっていたボロアパートだった。
「幽霊なんて信じてないし、大丈夫っしょ(笑)」
そんな甘い考えに反し、”それ”は入居初日の夜から始まってしまった。
突然の金縛りに手足を動かせない状態で”ナニか”に股間をまさぐられ、強制的に快楽を感じさせられる亮介。
こんな不気味な状況に気持ちよくなるわけない、と強がるがついにイカされてしまう。
毎日少しず"&amp;"つ与えられる快楽に次第に調教されていく亮介は、ついに処女を許してしまい…!?")</f>
        <v>”入居者は全員男、しかも3ヶ月以内に理由も告げずに退去する”といういわくつき物件に住むことになった亮介。
その物件は、大学でも幽霊が出ると噂になっていたボロアパートだった。
「幽霊なんて信じてないし、大丈夫っしょ(笑)」
そんな甘い考えに反し、”それ”は入居初日の夜から始まってしまった。
突然の金縛りに手足を動かせない状態で”ナニか”に股間をまさぐられ、強制的に快楽を感じさせられる亮介。
こんな不気味な状況に気持ちよくなるわけない、と強がるがついにイカされてしまう。
毎日少しずつ与えられる快楽に次第に調教されていく亮介は、ついに処女を許してしまい…!?</v>
      </c>
      <c r="W878" s="14"/>
      <c r="X878" s="14" t="str">
        <f>IFERROR(__xludf.DUMMYFUNCTION("""COMPUTED_VALUE"""),"有")</f>
        <v>有</v>
      </c>
      <c r="Y878" s="8" t="str">
        <f>IFERROR(__xludf.DUMMYFUNCTION("""COMPUTED_VALUE"""),"P11まで")</f>
        <v>P11まで</v>
      </c>
      <c r="Z878" s="7"/>
      <c r="AA878" s="7"/>
      <c r="AB878" s="7"/>
    </row>
    <row r="879" ht="15.75" customHeight="1">
      <c r="A879" s="26">
        <f>IFERROR(__xludf.DUMMYFUNCTION("""COMPUTED_VALUE"""),2574.0)</f>
        <v>2574</v>
      </c>
      <c r="B879" s="22" t="str">
        <f>IFERROR(__xludf.DUMMYFUNCTION("""COMPUTED_VALUE"""),"確定")</f>
        <v>確定</v>
      </c>
      <c r="C879" s="28">
        <f>IFERROR(__xludf.DUMMYFUNCTION("""COMPUTED_VALUE"""),45229.0)</f>
        <v>45229</v>
      </c>
      <c r="D879" s="28">
        <f>IFERROR(__xludf.DUMMYFUNCTION("""COMPUTED_VALUE"""),45244.0)</f>
        <v>45244</v>
      </c>
      <c r="E879" s="31">
        <f>IFERROR(__xludf.DUMMYFUNCTION("""COMPUTED_VALUE"""),283056.0)</f>
        <v>283056</v>
      </c>
      <c r="F879" s="22" t="str">
        <f>IFERROR(__xludf.DUMMYFUNCTION("""COMPUTED_VALUE"""),"柳木さんは甘やかしたい。～溺愛上司のとろとろセックス～《Lovelicot》")</f>
        <v>柳木さんは甘やかしたい。～溺愛上司のとろとろセックス～《Lovelicot》</v>
      </c>
      <c r="G879" s="20" t="str">
        <f>IFERROR(__xludf.DUMMYFUNCTION("""COMPUTED_VALUE"""),"1～3")</f>
        <v>1～3</v>
      </c>
      <c r="H879" s="22" t="str">
        <f>IFERROR(__xludf.DUMMYFUNCTION("""COMPUTED_VALUE"""),"おたけびやさん")</f>
        <v>おたけびやさん</v>
      </c>
      <c r="I879" s="22" t="str">
        <f>IFERROR(__xludf.DUMMYFUNCTION("""COMPUTED_VALUE"""),"TL")</f>
        <v>TL</v>
      </c>
      <c r="J879" s="22"/>
      <c r="K879" s="22"/>
      <c r="L879" s="22" t="str">
        <f>IFERROR(__xludf.DUMMYFUNCTION("""COMPUTED_VALUE"""),"ガールスカウトコミックス")</f>
        <v>ガールスカウトコミックス</v>
      </c>
      <c r="M879" s="23">
        <f>IFERROR(__xludf.DUMMYFUNCTION("""COMPUTED_VALUE"""),45299.0)</f>
        <v>45299</v>
      </c>
      <c r="N879" s="23">
        <f>IFERROR(__xludf.DUMMYFUNCTION("""COMPUTED_VALUE"""),45389.0)</f>
        <v>45389</v>
      </c>
      <c r="O879" s="20"/>
      <c r="P879" s="29" t="str">
        <f>IFERROR(__xludf.DUMMYFUNCTION("""COMPUTED_VALUE"""),"可")</f>
        <v>可</v>
      </c>
      <c r="Q879" s="30" t="str">
        <f>IFERROR(__xludf.DUMMYFUNCTION("""COMPUTED_VALUE"""),"広告コミットOK(11/7)")</f>
        <v>広告コミットOK(11/7)</v>
      </c>
      <c r="R879" s="22"/>
      <c r="S879" s="22" t="str">
        <f>IFERROR(__xludf.DUMMYFUNCTION("""COMPUTED_VALUE"""),"20231113_暁NEXT(GSC)_柳木さんは甘やかしたい。～溺愛上司のとろとろセックス～《Lovelicot》")</f>
        <v>20231113_暁NEXT(GSC)_柳木さんは甘やかしたい。～溺愛上司のとろとろセックス～《Lovelicot》</v>
      </c>
      <c r="T879" s="22" t="str">
        <f>IFERROR(__xludf.DUMMYFUNCTION("""COMPUTED_VALUE"""),"格納済み")</f>
        <v>格納済み</v>
      </c>
      <c r="U879" s="15" t="str">
        <f>IFERROR(__xludf.DUMMYFUNCTION("""COMPUTED_VALUE"""),"(C)おたけびやさん／ガールスカウトコミックス")</f>
        <v>(C)おたけびやさん／ガールスカウトコミックス</v>
      </c>
      <c r="V879" s="8" t="str">
        <f>IFERROR(__xludf.DUMMYFUNCTION("""COMPUTED_VALUE"""),"「もっと気持ちよくしますね…」
愛されることがこんなに気持ちいいなんて、知らなかった──
入社二年目の葉月は彼氏にフラれ、仕事でミスを連発。上司の柳木にも怒られてさらに落ち込む葉月…。そんな姿を見た柳木は呑みに誘うが、フラれたことを知ると「結婚してください」と言い始め…!?酔っ払いでもそんなふうに言われるのは悪くない…と思う葉月は、勢いでホテルまで…!!優しく、甘やかされるような言葉と指の動きに、身体はまるでこの先を求めてるみたい…。上司にとろとろに甘やかされる、溺愛オフィスラブ！")</f>
        <v>「もっと気持ちよくしますね…」
愛されることがこんなに気持ちいいなんて、知らなかった──
入社二年目の葉月は彼氏にフラれ、仕事でミスを連発。上司の柳木にも怒られてさらに落ち込む葉月…。そんな姿を見た柳木は呑みに誘うが、フラれたことを知ると「結婚してください」と言い始め…!?酔っ払いでもそんなふうに言われるのは悪くない…と思う葉月は、勢いでホテルまで…!!優しく、甘やかされるような言葉と指の動きに、身体はまるでこの先を求めてるみたい…。上司にとろとろに甘やかされる、溺愛オフィスラブ！</v>
      </c>
      <c r="W879" s="14"/>
      <c r="X879" s="14" t="str">
        <f>IFERROR(__xludf.DUMMYFUNCTION("""COMPUTED_VALUE"""),"有")</f>
        <v>有</v>
      </c>
      <c r="Y879" s="8" t="str">
        <f>IFERROR(__xludf.DUMMYFUNCTION("""COMPUTED_VALUE"""),"P10まで")</f>
        <v>P10まで</v>
      </c>
      <c r="Z879" s="7"/>
      <c r="AA879" s="7"/>
      <c r="AB879" s="7"/>
    </row>
    <row r="880" ht="15.75" customHeight="1">
      <c r="A880" s="26">
        <f>IFERROR(__xludf.DUMMYFUNCTION("""COMPUTED_VALUE"""),2585.0)</f>
        <v>2585</v>
      </c>
      <c r="B880" s="22" t="str">
        <f>IFERROR(__xludf.DUMMYFUNCTION("""COMPUTED_VALUE"""),"確定")</f>
        <v>確定</v>
      </c>
      <c r="C880" s="28">
        <f>IFERROR(__xludf.DUMMYFUNCTION("""COMPUTED_VALUE"""),45230.0)</f>
        <v>45230</v>
      </c>
      <c r="D880" s="28">
        <f>IFERROR(__xludf.DUMMYFUNCTION("""COMPUTED_VALUE"""),45244.0)</f>
        <v>45244</v>
      </c>
      <c r="E880" s="31">
        <f>IFERROR(__xludf.DUMMYFUNCTION("""COMPUTED_VALUE"""),282066.0)</f>
        <v>282066</v>
      </c>
      <c r="F880" s="22" t="str">
        <f>IFERROR(__xludf.DUMMYFUNCTION("""COMPUTED_VALUE"""),"町外れの聖女様 ‐大好きなおねえちゃんは僕の知らない男のモノ‐")</f>
        <v>町外れの聖女様 ‐大好きなおねえちゃんは僕の知らない男のモノ‐</v>
      </c>
      <c r="G880" s="20">
        <f>IFERROR(__xludf.DUMMYFUNCTION("""COMPUTED_VALUE"""),1.0)</f>
        <v>1</v>
      </c>
      <c r="H880" s="22" t="str">
        <f>IFERROR(__xludf.DUMMYFUNCTION("""COMPUTED_VALUE"""),"スギユウ")</f>
        <v>スギユウ</v>
      </c>
      <c r="I880" s="22" t="str">
        <f>IFERROR(__xludf.DUMMYFUNCTION("""COMPUTED_VALUE"""),"オトナ")</f>
        <v>オトナ</v>
      </c>
      <c r="J880" s="22"/>
      <c r="K880" s="22"/>
      <c r="L880" s="22" t="str">
        <f>IFERROR(__xludf.DUMMYFUNCTION("""COMPUTED_VALUE"""),"ナイトコミック")</f>
        <v>ナイトコミック</v>
      </c>
      <c r="M880" s="23">
        <f>IFERROR(__xludf.DUMMYFUNCTION("""COMPUTED_VALUE"""),45275.0)</f>
        <v>45275</v>
      </c>
      <c r="N880" s="37" t="str">
        <f>IFERROR(__xludf.DUMMYFUNCTION("""COMPUTED_VALUE"""),"初回2か月先行予定")</f>
        <v>初回2か月先行予定</v>
      </c>
      <c r="O880" s="20"/>
      <c r="P880" s="29" t="str">
        <f>IFERROR(__xludf.DUMMYFUNCTION("""COMPUTED_VALUE"""),"可")</f>
        <v>可</v>
      </c>
      <c r="Q880" s="30" t="str">
        <f>IFERROR(__xludf.DUMMYFUNCTION("""COMPUTED_VALUE"""),"広告コミットOK(11/10)&lt;BR&gt;クリエイティブ制作には1巻目のみご使用ください")</f>
        <v>広告コミットOK(11/10)&lt;BR&gt;クリエイティブ制作には1巻目のみご使用ください</v>
      </c>
      <c r="R880" s="22"/>
      <c r="S880" s="22" t="str">
        <f>IFERROR(__xludf.DUMMYFUNCTION("""COMPUTED_VALUE"""),"20231113_ナイトコミック_町外れの聖女様 ‐大好きなおねえちゃんは僕の知らない男のモノ‐")</f>
        <v>20231113_ナイトコミック_町外れの聖女様 ‐大好きなおねえちゃんは僕の知らない男のモノ‐</v>
      </c>
      <c r="T880" s="22" t="str">
        <f>IFERROR(__xludf.DUMMYFUNCTION("""COMPUTED_VALUE"""),"格納済み")</f>
        <v>格納済み</v>
      </c>
      <c r="U880" s="15" t="str">
        <f>IFERROR(__xludf.DUMMYFUNCTION("""COMPUTED_VALUE"""),"©スギユウ")</f>
        <v>©スギユウ</v>
      </c>
      <c r="V880" s="8" t="str">
        <f>IFERROR(__xludf.DUMMYFUNCTION("""COMPUTED_VALUE"""),"辺境の地にある名もなき孤児院。貧しく慎ましやかな生活を送るその裏には、けっして口外できない秘密の事情があった。若くして院の運営を引き継いだシスター・カペラは、パトロンの男に身を捧げることで孤児院の経営費を賄っていたのである。ふわふわした金髪を振り乱して男に組み敷かれる、シスターの服のままのカペラ。子供たちのため…そう念じ屈辱に耐えるカペラは、少しずつ男に慣らされ、豊満かつ敏感なカラダは男の与える快楽に抗えなくなっていくのだった…。")</f>
        <v>辺境の地にある名もなき孤児院。貧しく慎ましやかな生活を送るその裏には、けっして口外できない秘密の事情があった。若くして院の運営を引き継いだシスター・カペラは、パトロンの男に身を捧げることで孤児院の経営費を賄っていたのである。ふわふわした金髪を振り乱して男に組み敷かれる、シスターの服のままのカペラ。子供たちのため…そう念じ屈辱に耐えるカペラは、少しずつ男に慣らされ、豊満かつ敏感なカラダは男の与える快楽に抗えなくなっていくのだった…。</v>
      </c>
      <c r="W880" s="14"/>
      <c r="X880" s="14" t="str">
        <f>IFERROR(__xludf.DUMMYFUNCTION("""COMPUTED_VALUE"""),"有")</f>
        <v>有</v>
      </c>
      <c r="Y880" s="8" t="str">
        <f>IFERROR(__xludf.DUMMYFUNCTION("""COMPUTED_VALUE"""),"P13まで")</f>
        <v>P13まで</v>
      </c>
      <c r="Z880" s="7"/>
      <c r="AA880" s="7"/>
      <c r="AB880" s="7"/>
    </row>
    <row r="881" ht="15.75" customHeight="1">
      <c r="A881" s="26">
        <f>IFERROR(__xludf.DUMMYFUNCTION("""COMPUTED_VALUE"""),2610.0)</f>
        <v>2610</v>
      </c>
      <c r="B881" s="22" t="str">
        <f>IFERROR(__xludf.DUMMYFUNCTION("""COMPUTED_VALUE"""),"確定")</f>
        <v>確定</v>
      </c>
      <c r="C881" s="28">
        <f>IFERROR(__xludf.DUMMYFUNCTION("""COMPUTED_VALUE"""),45237.0)</f>
        <v>45237</v>
      </c>
      <c r="D881" s="28">
        <f>IFERROR(__xludf.DUMMYFUNCTION("""COMPUTED_VALUE"""),45244.0)</f>
        <v>45244</v>
      </c>
      <c r="E881" s="26">
        <f>IFERROR(__xludf.DUMMYFUNCTION("""COMPUTED_VALUE"""),259255.0)</f>
        <v>259255</v>
      </c>
      <c r="F881" s="22" t="str">
        <f>IFERROR(__xludf.DUMMYFUNCTION("""COMPUTED_VALUE"""),"なつかないネコみたい")</f>
        <v>なつかないネコみたい</v>
      </c>
      <c r="G881" s="20" t="str">
        <f>IFERROR(__xludf.DUMMYFUNCTION("""COMPUTED_VALUE"""),"1～3")</f>
        <v>1～3</v>
      </c>
      <c r="H881" s="22" t="str">
        <f>IFERROR(__xludf.DUMMYFUNCTION("""COMPUTED_VALUE"""),"菊屋きく子")</f>
        <v>菊屋きく子</v>
      </c>
      <c r="I881" s="14" t="str">
        <f>IFERROR(__xludf.DUMMYFUNCTION("""COMPUTED_VALUE"""),"BL")</f>
        <v>BL</v>
      </c>
      <c r="J881" s="22"/>
      <c r="K881" s="22"/>
      <c r="L881" s="22" t="str">
        <f>IFERROR(__xludf.DUMMYFUNCTION("""COMPUTED_VALUE"""),"ソルマーレ編集部")</f>
        <v>ソルマーレ編集部</v>
      </c>
      <c r="M881" s="23">
        <f>IFERROR(__xludf.DUMMYFUNCTION("""COMPUTED_VALUE"""),45269.0)</f>
        <v>45269</v>
      </c>
      <c r="N881" s="23">
        <f>IFERROR(__xludf.DUMMYFUNCTION("""COMPUTED_VALUE"""),45330.0)</f>
        <v>45330</v>
      </c>
      <c r="O881" s="20"/>
      <c r="P881" s="32" t="str">
        <f>IFERROR(__xludf.DUMMYFUNCTION("""COMPUTED_VALUE"""),"可")</f>
        <v>可</v>
      </c>
      <c r="Q881" s="30"/>
      <c r="R881" s="22"/>
      <c r="S881" s="22" t="str">
        <f>IFERROR(__xludf.DUMMYFUNCTION("""COMPUTED_VALUE"""),"20231108_ソルマーレ編集部_なつかないネコみたい")</f>
        <v>20231108_ソルマーレ編集部_なつかないネコみたい</v>
      </c>
      <c r="T881" s="22" t="str">
        <f>IFERROR(__xludf.DUMMYFUNCTION("""COMPUTED_VALUE"""),"格納済み")</f>
        <v>格納済み</v>
      </c>
      <c r="U881" s="15" t="str">
        <f>IFERROR(__xludf.DUMMYFUNCTION("""COMPUTED_VALUE"""),"Ⓒ 菊屋きく子/シーモアコミックス")</f>
        <v>Ⓒ 菊屋きく子/シーモアコミックス</v>
      </c>
      <c r="V881" s="8" t="str">
        <f>IFERROR(__xludf.DUMMYFUNCTION("""COMPUTED_VALUE"""),"『別にもうどうでも――。』バイト先でケンカをふっかけられ、顔中にアザができるほど殴られても無感動な主人公・遊（あそび）。すべてを諦めて何も期待しないようなその眼差しに映ったのは、一人の男だった。ケンカの仲裁に入るも、鈍器でやられそうになるその男を、遊は思わず身体を張って庇う。気を失って目を覚ますと、そこは助けた男の家だった…？【フィカス】")</f>
        <v>『別にもうどうでも――。』バイト先でケンカをふっかけられ、顔中にアザができるほど殴られても無感動な主人公・遊（あそび）。すべてを諦めて何も期待しないようなその眼差しに映ったのは、一人の男だった。ケンカの仲裁に入るも、鈍器でやられそうになるその男を、遊は思わず身体を張って庇う。気を失って目を覚ますと、そこは助けた男の家だった…？【フィカス】</v>
      </c>
      <c r="W881" s="14"/>
      <c r="X881" s="14" t="str">
        <f>IFERROR(__xludf.DUMMYFUNCTION("""COMPUTED_VALUE"""),"有")</f>
        <v>有</v>
      </c>
      <c r="Y881" s="8" t="str">
        <f>IFERROR(__xludf.DUMMYFUNCTION("""COMPUTED_VALUE"""),"2024/1/12まで１巻無料")</f>
        <v>2024/1/12まで１巻無料</v>
      </c>
      <c r="Z881" s="7"/>
      <c r="AA881" s="7"/>
      <c r="AB881" s="7"/>
    </row>
    <row r="882" ht="15.75" customHeight="1">
      <c r="A882" s="26">
        <f>IFERROR(__xludf.DUMMYFUNCTION("""COMPUTED_VALUE"""),2611.0)</f>
        <v>2611</v>
      </c>
      <c r="B882" s="22" t="str">
        <f>IFERROR(__xludf.DUMMYFUNCTION("""COMPUTED_VALUE"""),"確定")</f>
        <v>確定</v>
      </c>
      <c r="C882" s="28">
        <f>IFERROR(__xludf.DUMMYFUNCTION("""COMPUTED_VALUE"""),45237.0)</f>
        <v>45237</v>
      </c>
      <c r="D882" s="28">
        <f>IFERROR(__xludf.DUMMYFUNCTION("""COMPUTED_VALUE"""),45240.0)</f>
        <v>45240</v>
      </c>
      <c r="E882" s="26">
        <f>IFERROR(__xludf.DUMMYFUNCTION("""COMPUTED_VALUE"""),265334.0)</f>
        <v>265334</v>
      </c>
      <c r="F882" s="22" t="str">
        <f>IFERROR(__xludf.DUMMYFUNCTION("""COMPUTED_VALUE"""),"女神狩り(フルカラー)")</f>
        <v>女神狩り(フルカラー)</v>
      </c>
      <c r="G882" s="20" t="str">
        <f>IFERROR(__xludf.DUMMYFUNCTION("""COMPUTED_VALUE"""),"1～3")</f>
        <v>1～3</v>
      </c>
      <c r="H882" s="22" t="str">
        <f>IFERROR(__xludf.DUMMYFUNCTION("""COMPUTED_VALUE"""),"Yoongonji,Gosonjak")</f>
        <v>Yoongonji,Gosonjak</v>
      </c>
      <c r="I882" s="14" t="str">
        <f>IFERROR(__xludf.DUMMYFUNCTION("""COMPUTED_VALUE"""),"青年")</f>
        <v>青年</v>
      </c>
      <c r="J882" s="22"/>
      <c r="K882" s="22"/>
      <c r="L882" s="22" t="str">
        <f>IFERROR(__xludf.DUMMYFUNCTION("""COMPUTED_VALUE"""),"ソルマーレ編集部")</f>
        <v>ソルマーレ編集部</v>
      </c>
      <c r="M882" s="23">
        <f>IFERROR(__xludf.DUMMYFUNCTION("""COMPUTED_VALUE"""),45269.0)</f>
        <v>45269</v>
      </c>
      <c r="N882" s="23">
        <f>IFERROR(__xludf.DUMMYFUNCTION("""COMPUTED_VALUE"""),45358.70833333333)</f>
        <v>45358.70833</v>
      </c>
      <c r="O882" s="20"/>
      <c r="P882" s="32" t="str">
        <f>IFERROR(__xludf.DUMMYFUNCTION("""COMPUTED_VALUE"""),"可")</f>
        <v>可</v>
      </c>
      <c r="Q882" s="30"/>
      <c r="R882" s="22"/>
      <c r="S882" s="22" t="str">
        <f>IFERROR(__xludf.DUMMYFUNCTION("""COMPUTED_VALUE"""),"20231109_ソルマーレ編集部_女神狩り（フルカラー）")</f>
        <v>20231109_ソルマーレ編集部_女神狩り（フルカラー）</v>
      </c>
      <c r="T882" s="22" t="str">
        <f>IFERROR(__xludf.DUMMYFUNCTION("""COMPUTED_VALUE"""),"格納済み")</f>
        <v>格納済み</v>
      </c>
      <c r="U882" s="15" t="str">
        <f>IFERROR(__xludf.DUMMYFUNCTION("""COMPUTED_VALUE"""),"Ⓒ Yoongonji/Gosonjak/STUDIO NUWARU/シーモアコミックス")</f>
        <v>Ⓒ Yoongonji/Gosonjak/STUDIO NUWARU/シーモアコミックス</v>
      </c>
      <c r="V882" s="8" t="str">
        <f>IFERROR(__xludf.DUMMYFUNCTION("""COMPUTED_VALUE"""),"神の子である俺は「セックスの神」になりたい。
なぜならセックスこそ俺の特技であり、好きなことであるからだ。しかし父である“神”はそれを理解してくれない。だから勝負を提案したんだ。神にだけ仕えるという12の女神を攻略することができれば「セックスの神」に任命、できなければ父の言うことをどんなことでも従うと…。そうして始まったこの勝負。女神たちは天上界での記憶を消され、地上でそれぞれ人間として生活している。俺ももちろん神の力を失い、人間として彼女らを攻略せねばならない。でも必ずやり遂げて見せる。そして、セック"&amp;"スの神になってみせる――!! 【桃色エンジェル】")</f>
        <v>神の子である俺は「セックスの神」になりたい。
なぜならセックスこそ俺の特技であり、好きなことであるからだ。しかし父である“神”はそれを理解してくれない。だから勝負を提案したんだ。神にだけ仕えるという12の女神を攻略することができれば「セックスの神」に任命、できなければ父の言うことをどんなことでも従うと…。そうして始まったこの勝負。女神たちは天上界での記憶を消され、地上でそれぞれ人間として生活している。俺ももちろん神の力を失い、人間として彼女らを攻略せねばならない。でも必ずやり遂げて見せる。そして、セックスの神になってみせる――!! 【桃色エンジェル】</v>
      </c>
      <c r="W882" s="14"/>
      <c r="X882" s="14" t="str">
        <f>IFERROR(__xludf.DUMMYFUNCTION("""COMPUTED_VALUE"""),"有")</f>
        <v>有</v>
      </c>
      <c r="Y882" s="8" t="str">
        <f>IFERROR(__xludf.DUMMYFUNCTION("""COMPUTED_VALUE"""),"2024/1/12まで１巻無料")</f>
        <v>2024/1/12まで１巻無料</v>
      </c>
      <c r="Z882" s="7"/>
      <c r="AA882" s="7"/>
      <c r="AB882" s="7"/>
    </row>
    <row r="883" ht="15.75" customHeight="1">
      <c r="A883" s="26">
        <f>IFERROR(__xludf.DUMMYFUNCTION("""COMPUTED_VALUE"""),2613.0)</f>
        <v>2613</v>
      </c>
      <c r="B883" s="22" t="str">
        <f>IFERROR(__xludf.DUMMYFUNCTION("""COMPUTED_VALUE"""),"確定")</f>
        <v>確定</v>
      </c>
      <c r="C883" s="28">
        <f>IFERROR(__xludf.DUMMYFUNCTION("""COMPUTED_VALUE"""),45237.0)</f>
        <v>45237</v>
      </c>
      <c r="D883" s="28">
        <f>IFERROR(__xludf.DUMMYFUNCTION("""COMPUTED_VALUE"""),45244.0)</f>
        <v>45244</v>
      </c>
      <c r="E883" s="26">
        <f>IFERROR(__xludf.DUMMYFUNCTION("""COMPUTED_VALUE"""),279566.0)</f>
        <v>279566</v>
      </c>
      <c r="F883" s="22" t="str">
        <f>IFERROR(__xludf.DUMMYFUNCTION("""COMPUTED_VALUE"""),"大好きな君へ願うこと")</f>
        <v>大好きな君へ願うこと</v>
      </c>
      <c r="G883" s="20">
        <f>IFERROR(__xludf.DUMMYFUNCTION("""COMPUTED_VALUE"""),1.0)</f>
        <v>1</v>
      </c>
      <c r="H883" s="22" t="str">
        <f>IFERROR(__xludf.DUMMYFUNCTION("""COMPUTED_VALUE"""),"塩田キョウカ")</f>
        <v>塩田キョウカ</v>
      </c>
      <c r="I883" s="14" t="str">
        <f>IFERROR(__xludf.DUMMYFUNCTION("""COMPUTED_VALUE"""),"BL")</f>
        <v>BL</v>
      </c>
      <c r="J883" s="22"/>
      <c r="K883" s="22"/>
      <c r="L883" s="22" t="str">
        <f>IFERROR(__xludf.DUMMYFUNCTION("""COMPUTED_VALUE"""),"ソルマーレ編集部")</f>
        <v>ソルマーレ編集部</v>
      </c>
      <c r="M883" s="23">
        <f>IFERROR(__xludf.DUMMYFUNCTION("""COMPUTED_VALUE"""),45269.0)</f>
        <v>45269</v>
      </c>
      <c r="N883" s="23">
        <f>IFERROR(__xludf.DUMMYFUNCTION("""COMPUTED_VALUE"""),45330.0)</f>
        <v>45330</v>
      </c>
      <c r="O883" s="20"/>
      <c r="P883" s="29" t="str">
        <f>IFERROR(__xludf.DUMMYFUNCTION("""COMPUTED_VALUE"""),"可")</f>
        <v>可</v>
      </c>
      <c r="Q883" s="30" t="str">
        <f>IFERROR(__xludf.DUMMYFUNCTION("""COMPUTED_VALUE"""),"※読み切り作品のため1巻のみですが出稿お願いします")</f>
        <v>※読み切り作品のため1巻のみですが出稿お願いします</v>
      </c>
      <c r="R883" s="22"/>
      <c r="S883" s="22" t="str">
        <f>IFERROR(__xludf.DUMMYFUNCTION("""COMPUTED_VALUE"""),"20231109_ソルマーレ編集部_大好きな君へ願うこと")</f>
        <v>20231109_ソルマーレ編集部_大好きな君へ願うこと</v>
      </c>
      <c r="T883" s="22" t="str">
        <f>IFERROR(__xludf.DUMMYFUNCTION("""COMPUTED_VALUE"""),"格納済み")</f>
        <v>格納済み</v>
      </c>
      <c r="U883" s="15" t="str">
        <f>IFERROR(__xludf.DUMMYFUNCTION("""COMPUTED_VALUE"""),"Ⓒ 塩田キョウカ/シーモアコミックス")</f>
        <v>Ⓒ 塩田キョウカ/シーモアコミックス</v>
      </c>
      <c r="V883" s="8" t="str">
        <f>IFERROR(__xludf.DUMMYFUNCTION("""COMPUTED_VALUE"""),"『何があっても上手くいく』あの時の俺たちは、そう信じていた―――。人気若手俳優・奥村は、高校の同窓会に参加するため地元に戻ってきていた。そこで再会した元恋人・古本に助けられ、胸がぎゅっと締め付けられる。何故なら今でも古本のことが好きだから…。不器用な自分をからかう声、繋いだ手のぬくもり、何年経っても古本を忘れることはできなかった。「なぁ…久しぶりにシようよ」つい口走ってしまった奥村に、古本は…？ 不器用な大人たちの、もどかしくも愛おしい再会ストーリー。【フィカス】")</f>
        <v>『何があっても上手くいく』あの時の俺たちは、そう信じていた―――。人気若手俳優・奥村は、高校の同窓会に参加するため地元に戻ってきていた。そこで再会した元恋人・古本に助けられ、胸がぎゅっと締め付けられる。何故なら今でも古本のことが好きだから…。不器用な自分をからかう声、繋いだ手のぬくもり、何年経っても古本を忘れることはできなかった。「なぁ…久しぶりにシようよ」つい口走ってしまった奥村に、古本は…？ 不器用な大人たちの、もどかしくも愛おしい再会ストーリー。【フィカス】</v>
      </c>
      <c r="W883" s="14"/>
      <c r="X883" s="14" t="str">
        <f>IFERROR(__xludf.DUMMYFUNCTION("""COMPUTED_VALUE"""),"有")</f>
        <v>有</v>
      </c>
      <c r="Y883" s="8" t="str">
        <f>IFERROR(__xludf.DUMMYFUNCTION("""COMPUTED_VALUE"""),"P13まで")</f>
        <v>P13まで</v>
      </c>
      <c r="Z883" s="7"/>
      <c r="AA883" s="7"/>
      <c r="AB883" s="7"/>
    </row>
    <row r="884" ht="15.75" customHeight="1">
      <c r="A884" s="26">
        <f>IFERROR(__xludf.DUMMYFUNCTION("""COMPUTED_VALUE"""),2614.0)</f>
        <v>2614</v>
      </c>
      <c r="B884" s="22" t="str">
        <f>IFERROR(__xludf.DUMMYFUNCTION("""COMPUTED_VALUE"""),"確定")</f>
        <v>確定</v>
      </c>
      <c r="C884" s="28">
        <f>IFERROR(__xludf.DUMMYFUNCTION("""COMPUTED_VALUE"""),45237.0)</f>
        <v>45237</v>
      </c>
      <c r="D884" s="28">
        <f>IFERROR(__xludf.DUMMYFUNCTION("""COMPUTED_VALUE"""),45244.0)</f>
        <v>45244</v>
      </c>
      <c r="E884" s="26">
        <f>IFERROR(__xludf.DUMMYFUNCTION("""COMPUTED_VALUE"""),251437.0)</f>
        <v>251437</v>
      </c>
      <c r="F884" s="22" t="str">
        <f>IFERROR(__xludf.DUMMYFUNCTION("""COMPUTED_VALUE"""),"怖がり男子を暴きたい")</f>
        <v>怖がり男子を暴きたい</v>
      </c>
      <c r="G884" s="11" t="str">
        <f>IFERROR(__xludf.DUMMYFUNCTION("""COMPUTED_VALUE"""),"1～2")</f>
        <v>1～2</v>
      </c>
      <c r="H884" s="22" t="str">
        <f>IFERROR(__xludf.DUMMYFUNCTION("""COMPUTED_VALUE"""),"ときたほのじ")</f>
        <v>ときたほのじ</v>
      </c>
      <c r="I884" s="22" t="str">
        <f>IFERROR(__xludf.DUMMYFUNCTION("""COMPUTED_VALUE"""),"BL")</f>
        <v>BL</v>
      </c>
      <c r="J884" s="22"/>
      <c r="K884" s="22"/>
      <c r="L884" s="22" t="str">
        <f>IFERROR(__xludf.DUMMYFUNCTION("""COMPUTED_VALUE"""),"ソルマーレ編集部")</f>
        <v>ソルマーレ編集部</v>
      </c>
      <c r="M884" s="23">
        <f>IFERROR(__xludf.DUMMYFUNCTION("""COMPUTED_VALUE"""),45269.0)</f>
        <v>45269</v>
      </c>
      <c r="N884" s="23">
        <f>IFERROR(__xludf.DUMMYFUNCTION("""COMPUTED_VALUE"""),45331.70833333333)</f>
        <v>45331.70833</v>
      </c>
      <c r="O884" s="20"/>
      <c r="P884" s="29" t="str">
        <f>IFERROR(__xludf.DUMMYFUNCTION("""COMPUTED_VALUE"""),"可")</f>
        <v>可</v>
      </c>
      <c r="Q884" s="30" t="str">
        <f>IFERROR(__xludf.DUMMYFUNCTION("""COMPUTED_VALUE"""),"※2巻配信に合わせて出稿依頼の素材格納（1巻は11/11配信）")</f>
        <v>※2巻配信に合わせて出稿依頼の素材格納（1巻は11/11配信）</v>
      </c>
      <c r="R884" s="22"/>
      <c r="S884" s="22" t="str">
        <f>IFERROR(__xludf.DUMMYFUNCTION("""COMPUTED_VALUE"""),"20231108_ソルマーレ編集部_怖がり男子を暴きたい")</f>
        <v>20231108_ソルマーレ編集部_怖がり男子を暴きたい</v>
      </c>
      <c r="T884" s="22" t="str">
        <f>IFERROR(__xludf.DUMMYFUNCTION("""COMPUTED_VALUE"""),"格納済み")</f>
        <v>格納済み</v>
      </c>
      <c r="U884" s="15" t="str">
        <f>IFERROR(__xludf.DUMMYFUNCTION("""COMPUTED_VALUE"""),"Ⓒ ときたほのじ/シーモアコミックス")</f>
        <v>Ⓒ ときたほのじ/シーモアコミックス</v>
      </c>
      <c r="V884" s="8" t="str">
        <f>IFERROR(__xludf.DUMMYFUNCTION("""COMPUTED_VALUE"""),"お隣さんは、超～～～怖がりなコワモテ輩(やから)!? システムエンジニアの井岡は、毎晩 帰宅するたび隣人に絡まれている。「ちょっとお前ん家上げろや…!!」とナゼかご近所付き合いを強要してくる、コワモテな隣人・久我。相手にしないことで心の平穏を保ってきた井岡だったが、ある日「悪かったな、お前疲れてっかもなのに…うるさくして」と謝罪され、久我の素直な一面に驚く。さらに、話の流れで久我の部屋に行くことになった井岡は、彼の秘密に触れて…？ ピュアだったり泣き虫だったり少し色っぽかったり、コワモテ男子のギャップ萌え"&amp;"が止まらない―――!!!!【フィカス】")</f>
        <v>お隣さんは、超～～～怖がりなコワモテ輩(やから)!? システムエンジニアの井岡は、毎晩 帰宅するたび隣人に絡まれている。「ちょっとお前ん家上げろや…!!」とナゼかご近所付き合いを強要してくる、コワモテな隣人・久我。相手にしないことで心の平穏を保ってきた井岡だったが、ある日「悪かったな、お前疲れてっかもなのに…うるさくして」と謝罪され、久我の素直な一面に驚く。さらに、話の流れで久我の部屋に行くことになった井岡は、彼の秘密に触れて…？ ピュアだったり泣き虫だったり少し色っぽかったり、コワモテ男子のギャップ萌えが止まらない―――!!!!【フィカス】</v>
      </c>
      <c r="W884" s="14"/>
      <c r="X884" s="14" t="str">
        <f>IFERROR(__xludf.DUMMYFUNCTION("""COMPUTED_VALUE"""),"有")</f>
        <v>有</v>
      </c>
      <c r="Y884" s="8" t="str">
        <f>IFERROR(__xludf.DUMMYFUNCTION("""COMPUTED_VALUE"""),"P10まで")</f>
        <v>P10まで</v>
      </c>
      <c r="Z884" s="7"/>
      <c r="AA884" s="7"/>
      <c r="AB884" s="7"/>
    </row>
    <row r="885" ht="15.75" customHeight="1">
      <c r="A885" s="26">
        <f>IFERROR(__xludf.DUMMYFUNCTION("""COMPUTED_VALUE"""),2615.0)</f>
        <v>2615</v>
      </c>
      <c r="B885" s="22" t="str">
        <f>IFERROR(__xludf.DUMMYFUNCTION("""COMPUTED_VALUE"""),"確定")</f>
        <v>確定</v>
      </c>
      <c r="C885" s="28">
        <f>IFERROR(__xludf.DUMMYFUNCTION("""COMPUTED_VALUE"""),45237.0)</f>
        <v>45237</v>
      </c>
      <c r="D885" s="28">
        <f>IFERROR(__xludf.DUMMYFUNCTION("""COMPUTED_VALUE"""),45244.0)</f>
        <v>45244</v>
      </c>
      <c r="E885" s="26">
        <f>IFERROR(__xludf.DUMMYFUNCTION("""COMPUTED_VALUE"""),265323.0)</f>
        <v>265323</v>
      </c>
      <c r="F885" s="22" t="str">
        <f>IFERROR(__xludf.DUMMYFUNCTION("""COMPUTED_VALUE"""),"ワケアリ開発者の溺愛スイッチ")</f>
        <v>ワケアリ開発者の溺愛スイッチ</v>
      </c>
      <c r="G885" s="11" t="str">
        <f>IFERROR(__xludf.DUMMYFUNCTION("""COMPUTED_VALUE"""),"1～2")</f>
        <v>1～2</v>
      </c>
      <c r="H885" s="22" t="str">
        <f>IFERROR(__xludf.DUMMYFUNCTION("""COMPUTED_VALUE"""),"多々田ヨシオ,芽獅")</f>
        <v>多々田ヨシオ,芽獅</v>
      </c>
      <c r="I885" s="22" t="str">
        <f>IFERROR(__xludf.DUMMYFUNCTION("""COMPUTED_VALUE"""),"BL")</f>
        <v>BL</v>
      </c>
      <c r="J885" s="22"/>
      <c r="K885" s="22"/>
      <c r="L885" s="22" t="str">
        <f>IFERROR(__xludf.DUMMYFUNCTION("""COMPUTED_VALUE"""),"ソルマーレ編集部")</f>
        <v>ソルマーレ編集部</v>
      </c>
      <c r="M885" s="23">
        <f>IFERROR(__xludf.DUMMYFUNCTION("""COMPUTED_VALUE"""),45269.0)</f>
        <v>45269</v>
      </c>
      <c r="N885" s="23">
        <f>IFERROR(__xludf.DUMMYFUNCTION("""COMPUTED_VALUE"""),45331.70833333333)</f>
        <v>45331.70833</v>
      </c>
      <c r="O885" s="20"/>
      <c r="P885" s="29" t="str">
        <f>IFERROR(__xludf.DUMMYFUNCTION("""COMPUTED_VALUE"""),"可")</f>
        <v>可</v>
      </c>
      <c r="Q885" s="30" t="str">
        <f>IFERROR(__xludf.DUMMYFUNCTION("""COMPUTED_VALUE"""),"※2巻配信に合わせて出稿依頼の素材格納（1巻は11/11配信）")</f>
        <v>※2巻配信に合わせて出稿依頼の素材格納（1巻は11/11配信）</v>
      </c>
      <c r="R885" s="22"/>
      <c r="S885" s="22" t="str">
        <f>IFERROR(__xludf.DUMMYFUNCTION("""COMPUTED_VALUE"""),"20231108_ソルマーレ編集部_ワケアリ開発者の溺愛スイッチ")</f>
        <v>20231108_ソルマーレ編集部_ワケアリ開発者の溺愛スイッチ</v>
      </c>
      <c r="T885" s="22" t="str">
        <f>IFERROR(__xludf.DUMMYFUNCTION("""COMPUTED_VALUE"""),"格納済み")</f>
        <v>格納済み</v>
      </c>
      <c r="U885" s="15" t="str">
        <f>IFERROR(__xludf.DUMMYFUNCTION("""COMPUTED_VALUE"""),"Ⓒ 多々田ヨシオ/芽獅/シーモアコミックス")</f>
        <v>Ⓒ 多々田ヨシオ/芽獅/シーモアコミックス</v>
      </c>
      <c r="V885" s="8" t="str">
        <f>IFERROR(__xludf.DUMMYFUNCTION("""COMPUTED_VALUE"""),"令和の時代に【家電なし生活】を送る、超絶貧乏大学生・御手洗(みたらい)。ある日、借金取りに脅されていたところを家電量販店の販売スタッフに助けられたことから、事態は一変！ その販売スタッフ・八多喜(はたき)は、じつは家電開発者。ぜひ御手洗に商品モニターを頼みたいと言ってくる。御手洗は喜んで引き受けるが、アレ…この家電、僕が想像してたのとなんだか違うんですけど――!!!??? あらゆるところを開発されちゃう!? スパダリ開発者×ウブな貧乏学生の、しあわせ家電生活☆【フィカス】")</f>
        <v>令和の時代に【家電なし生活】を送る、超絶貧乏大学生・御手洗(みたらい)。ある日、借金取りに脅されていたところを家電量販店の販売スタッフに助けられたことから、事態は一変！ その販売スタッフ・八多喜(はたき)は、じつは家電開発者。ぜひ御手洗に商品モニターを頼みたいと言ってくる。御手洗は喜んで引き受けるが、アレ…この家電、僕が想像してたのとなんだか違うんですけど――!!!??? あらゆるところを開発されちゃう!? スパダリ開発者×ウブな貧乏学生の、しあわせ家電生活☆【フィカス】</v>
      </c>
      <c r="W885" s="14"/>
      <c r="X885" s="14" t="str">
        <f>IFERROR(__xludf.DUMMYFUNCTION("""COMPUTED_VALUE"""),"有")</f>
        <v>有</v>
      </c>
      <c r="Y885" s="8" t="str">
        <f>IFERROR(__xludf.DUMMYFUNCTION("""COMPUTED_VALUE"""),"P14まで")</f>
        <v>P14まで</v>
      </c>
      <c r="Z885" s="7"/>
      <c r="AA885" s="7"/>
      <c r="AB885" s="7"/>
    </row>
    <row r="886" ht="89.25" customHeight="1">
      <c r="A886" s="26">
        <f>IFERROR(__xludf.DUMMYFUNCTION("""COMPUTED_VALUE"""),2622.0)</f>
        <v>2622</v>
      </c>
      <c r="B886" s="22" t="str">
        <f>IFERROR(__xludf.DUMMYFUNCTION("""COMPUTED_VALUE"""),"確定")</f>
        <v>確定</v>
      </c>
      <c r="C886" s="28">
        <f>IFERROR(__xludf.DUMMYFUNCTION("""COMPUTED_VALUE"""),45239.0)</f>
        <v>45239</v>
      </c>
      <c r="D886" s="28">
        <f>IFERROR(__xludf.DUMMYFUNCTION("""COMPUTED_VALUE"""),45240.0)</f>
        <v>45240</v>
      </c>
      <c r="E886" s="31">
        <f>IFERROR(__xludf.DUMMYFUNCTION("""COMPUTED_VALUE"""),279939.0)</f>
        <v>279939</v>
      </c>
      <c r="F886" s="22" t="str">
        <f>IFERROR(__xludf.DUMMYFUNCTION("""COMPUTED_VALUE"""),"悪役令嬢なのに溺愛えっちルートなんて聞いてないっ")</f>
        <v>悪役令嬢なのに溺愛えっちルートなんて聞いてないっ</v>
      </c>
      <c r="G886" s="20" t="str">
        <f>IFERROR(__xludf.DUMMYFUNCTION("""COMPUTED_VALUE"""),"1~3")</f>
        <v>1~3</v>
      </c>
      <c r="H886" s="22" t="str">
        <f>IFERROR(__xludf.DUMMYFUNCTION("""COMPUTED_VALUE"""),"甘夏りる")</f>
        <v>甘夏りる</v>
      </c>
      <c r="I886" s="22" t="str">
        <f>IFERROR(__xludf.DUMMYFUNCTION("""COMPUTED_VALUE"""),"女性")</f>
        <v>女性</v>
      </c>
      <c r="J886" s="22"/>
      <c r="K886" s="22"/>
      <c r="L886" s="22" t="str">
        <f>IFERROR(__xludf.DUMMYFUNCTION("""COMPUTED_VALUE"""),"秋田書店")</f>
        <v>秋田書店</v>
      </c>
      <c r="M886" s="23">
        <f>IFERROR(__xludf.DUMMYFUNCTION("""COMPUTED_VALUE"""),45246.0)</f>
        <v>45246</v>
      </c>
      <c r="N886" s="23">
        <f>IFERROR(__xludf.DUMMYFUNCTION("""COMPUTED_VALUE"""),45306.0)</f>
        <v>45306</v>
      </c>
      <c r="O886" s="20"/>
      <c r="P886" s="32" t="str">
        <f>IFERROR(__xludf.DUMMYFUNCTION("""COMPUTED_VALUE"""),"可")</f>
        <v>可</v>
      </c>
      <c r="Q886" s="30"/>
      <c r="R886" s="22"/>
      <c r="S886" s="22" t="str">
        <f>IFERROR(__xludf.DUMMYFUNCTION("""COMPUTED_VALUE"""),"20231109_秋田書店_悪役令嬢なのに溺愛えっちルートなんて聞いてないっ")</f>
        <v>20231109_秋田書店_悪役令嬢なのに溺愛えっちルートなんて聞いてないっ</v>
      </c>
      <c r="T886" s="22" t="str">
        <f>IFERROR(__xludf.DUMMYFUNCTION("""COMPUTED_VALUE"""),"格納済み")</f>
        <v>格納済み</v>
      </c>
      <c r="U886" s="15" t="str">
        <f>IFERROR(__xludf.DUMMYFUNCTION("""COMPUTED_VALUE"""),"（C)甘夏りる（秋田書店）")</f>
        <v>（C)甘夏りる（秋田書店）</v>
      </c>
      <c r="V886" s="8" t="str">
        <f>IFERROR(__xludf.DUMMYFUNCTION("""COMPUTED_VALUE"""),"婚約破棄された悪役令嬢・レティシアは、第1王子に見初められ、えっちすればするほど淫紋が疼いて、無敵聖女に覚醒し…！？王子の役割は、令嬢の欲情を満たしてあげること。溺愛王子×悪役令嬢の、発情ファンタジー！")</f>
        <v>婚約破棄された悪役令嬢・レティシアは、第1王子に見初められ、えっちすればするほど淫紋が疼いて、無敵聖女に覚醒し…！？王子の役割は、令嬢の欲情を満たしてあげること。溺愛王子×悪役令嬢の、発情ファンタジー！</v>
      </c>
      <c r="W886" s="14"/>
      <c r="X886" s="14" t="str">
        <f>IFERROR(__xludf.DUMMYFUNCTION("""COMPUTED_VALUE"""),"有
")</f>
        <v>有
</v>
      </c>
      <c r="Y886" s="8" t="str">
        <f>IFERROR(__xludf.DUMMYFUNCTION("""COMPUTED_VALUE"""),"1/15まで1巻無料")</f>
        <v>1/15まで1巻無料</v>
      </c>
      <c r="Z886" s="7"/>
      <c r="AA886" s="7"/>
      <c r="AB886" s="7"/>
    </row>
    <row r="887" ht="15.75" customHeight="1">
      <c r="A887" s="26">
        <f>IFERROR(__xludf.DUMMYFUNCTION("""COMPUTED_VALUE"""),2623.0)</f>
        <v>2623</v>
      </c>
      <c r="B887" s="22" t="str">
        <f>IFERROR(__xludf.DUMMYFUNCTION("""COMPUTED_VALUE"""),"確定")</f>
        <v>確定</v>
      </c>
      <c r="C887" s="28">
        <f>IFERROR(__xludf.DUMMYFUNCTION("""COMPUTED_VALUE"""),45240.0)</f>
        <v>45240</v>
      </c>
      <c r="D887" s="28">
        <f>IFERROR(__xludf.DUMMYFUNCTION("""COMPUTED_VALUE"""),45245.0)</f>
        <v>45245</v>
      </c>
      <c r="E887" s="31">
        <f>IFERROR(__xludf.DUMMYFUNCTION("""COMPUTED_VALUE"""),281532.0)</f>
        <v>281532</v>
      </c>
      <c r="F887" s="22" t="str">
        <f>IFERROR(__xludf.DUMMYFUNCTION("""COMPUTED_VALUE"""),"復讐のサレ妻〜離婚届に捺印を〜")</f>
        <v>復讐のサレ妻〜離婚届に捺印を〜</v>
      </c>
      <c r="G887" s="11" t="str">
        <f>IFERROR(__xludf.DUMMYFUNCTION("""COMPUTED_VALUE"""),"1～2")</f>
        <v>1～2</v>
      </c>
      <c r="H887" s="22" t="str">
        <f>IFERROR(__xludf.DUMMYFUNCTION("""COMPUTED_VALUE"""),"朱琳／COMIC ROOM")</f>
        <v>朱琳／COMIC ROOM</v>
      </c>
      <c r="I887" s="22" t="str">
        <f>IFERROR(__xludf.DUMMYFUNCTION("""COMPUTED_VALUE"""),"女性")</f>
        <v>女性</v>
      </c>
      <c r="J887" s="22"/>
      <c r="K887" s="22"/>
      <c r="L887" s="22" t="str">
        <f>IFERROR(__xludf.DUMMYFUNCTION("""COMPUTED_VALUE"""),"コミックルーム")</f>
        <v>コミックルーム</v>
      </c>
      <c r="M887" s="23">
        <f>IFERROR(__xludf.DUMMYFUNCTION("""COMPUTED_VALUE"""),45260.0)</f>
        <v>45260</v>
      </c>
      <c r="N887" s="23">
        <f>IFERROR(__xludf.DUMMYFUNCTION("""COMPUTED_VALUE"""),45351.0)</f>
        <v>45351</v>
      </c>
      <c r="O887" s="20"/>
      <c r="P887" s="29" t="str">
        <f>IFERROR(__xludf.DUMMYFUNCTION("""COMPUTED_VALUE"""),"可")</f>
        <v>可</v>
      </c>
      <c r="Q887" s="30" t="str">
        <f>IFERROR(__xludf.DUMMYFUNCTION("""COMPUTED_VALUE"""),"後編13P 美優が美憂になっており素材確認中です(11/13)")</f>
        <v>後編13P 美優が美憂になっており素材確認中です(11/13)</v>
      </c>
      <c r="R887" s="22"/>
      <c r="S887" s="22" t="str">
        <f>IFERROR(__xludf.DUMMYFUNCTION("""COMPUTED_VALUE"""),"20231110_コミックルーム_11月新作")</f>
        <v>20231110_コミックルーム_11月新作</v>
      </c>
      <c r="T887" s="22" t="str">
        <f>IFERROR(__xludf.DUMMYFUNCTION("""COMPUTED_VALUE"""),"素材確認中(11/13)")</f>
        <v>素材確認中(11/13)</v>
      </c>
      <c r="U887" s="15" t="str">
        <f>IFERROR(__xludf.DUMMYFUNCTION("""COMPUTED_VALUE"""),"(C)朱琳／COMIC ROOM")</f>
        <v>(C)朱琳／COMIC ROOM</v>
      </c>
      <c r="V887" s="8" t="str">
        <f>IFERROR(__xludf.DUMMYFUNCTION("""COMPUTED_VALUE"""),"美優と同僚の真也は、結婚３年目を迎えた仲良し夫婦。
職場でも羨ましがられるほどの仲の良さだが、
美優はセックスレスに心を痛めていた。
現状を変えたいと願い、勇気を出して真也をセックスに誘う美優。
しかし、真也から意外なほど強い口調で拒絶されてしまう。悲しみに打ちひしがれ涙する美優。
そんな彼女の姿に同情したのか優しく抱きしめる真也。
自分の気持ちが理解されたと安堵する美優だったが
当然、そんな円満に行くわけもなく、
真也にはイケない秘密があるわけでーー。")</f>
        <v>美優と同僚の真也は、結婚３年目を迎えた仲良し夫婦。
職場でも羨ましがられるほどの仲の良さだが、
美優はセックスレスに心を痛めていた。
現状を変えたいと願い、勇気を出して真也をセックスに誘う美優。
しかし、真也から意外なほど強い口調で拒絶されてしまう。悲しみに打ちひしがれ涙する美優。
そんな彼女の姿に同情したのか優しく抱きしめる真也。
自分の気持ちが理解されたと安堵する美優だったが
当然、そんな円満に行くわけもなく、
真也にはイケない秘密があるわけでーー。</v>
      </c>
      <c r="W887" s="14"/>
      <c r="X887" s="14" t="str">
        <f>IFERROR(__xludf.DUMMYFUNCTION("""COMPUTED_VALUE"""),"有")</f>
        <v>有</v>
      </c>
      <c r="Y887" s="8" t="str">
        <f>IFERROR(__xludf.DUMMYFUNCTION("""COMPUTED_VALUE"""),"12/31まで1巻無料")</f>
        <v>12/31まで1巻無料</v>
      </c>
      <c r="Z887" s="7"/>
      <c r="AA887" s="7"/>
      <c r="AB887" s="7"/>
    </row>
    <row r="888" ht="15.75" customHeight="1">
      <c r="A888" s="26">
        <f>IFERROR(__xludf.DUMMYFUNCTION("""COMPUTED_VALUE"""),2624.0)</f>
        <v>2624</v>
      </c>
      <c r="B888" s="22" t="str">
        <f>IFERROR(__xludf.DUMMYFUNCTION("""COMPUTED_VALUE"""),"確定")</f>
        <v>確定</v>
      </c>
      <c r="C888" s="28">
        <f>IFERROR(__xludf.DUMMYFUNCTION("""COMPUTED_VALUE"""),45240.0)</f>
        <v>45240</v>
      </c>
      <c r="D888" s="28">
        <f>IFERROR(__xludf.DUMMYFUNCTION("""COMPUTED_VALUE"""),45243.0)</f>
        <v>45243</v>
      </c>
      <c r="E888" s="31">
        <f>IFERROR(__xludf.DUMMYFUNCTION("""COMPUTED_VALUE"""),281533.0)</f>
        <v>281533</v>
      </c>
      <c r="F888" s="22" t="str">
        <f>IFERROR(__xludf.DUMMYFUNCTION("""COMPUTED_VALUE"""),"復讐のサレ妻〜違う匂い〜")</f>
        <v>復讐のサレ妻〜違う匂い〜</v>
      </c>
      <c r="G888" s="11" t="str">
        <f>IFERROR(__xludf.DUMMYFUNCTION("""COMPUTED_VALUE"""),"1～2")</f>
        <v>1～2</v>
      </c>
      <c r="H888" s="22" t="str">
        <f>IFERROR(__xludf.DUMMYFUNCTION("""COMPUTED_VALUE"""),"EMI／COMIC ROOM")</f>
        <v>EMI／COMIC ROOM</v>
      </c>
      <c r="I888" s="22" t="str">
        <f>IFERROR(__xludf.DUMMYFUNCTION("""COMPUTED_VALUE"""),"女性")</f>
        <v>女性</v>
      </c>
      <c r="J888" s="22"/>
      <c r="K888" s="22"/>
      <c r="L888" s="22" t="str">
        <f>IFERROR(__xludf.DUMMYFUNCTION("""COMPUTED_VALUE"""),"コミックルーム")</f>
        <v>コミックルーム</v>
      </c>
      <c r="M888" s="23">
        <f>IFERROR(__xludf.DUMMYFUNCTION("""COMPUTED_VALUE"""),45260.0)</f>
        <v>45260</v>
      </c>
      <c r="N888" s="23">
        <f>IFERROR(__xludf.DUMMYFUNCTION("""COMPUTED_VALUE"""),45351.0)</f>
        <v>45351</v>
      </c>
      <c r="O888" s="20"/>
      <c r="P888" s="32" t="str">
        <f>IFERROR(__xludf.DUMMYFUNCTION("""COMPUTED_VALUE"""),"可")</f>
        <v>可</v>
      </c>
      <c r="Q888" s="30"/>
      <c r="R888" s="22"/>
      <c r="S888" s="22" t="str">
        <f>IFERROR(__xludf.DUMMYFUNCTION("""COMPUTED_VALUE"""),"20231110_コミックルーム_11月新作")</f>
        <v>20231110_コミックルーム_11月新作</v>
      </c>
      <c r="T888" s="22" t="str">
        <f>IFERROR(__xludf.DUMMYFUNCTION("""COMPUTED_VALUE"""),"格納済み")</f>
        <v>格納済み</v>
      </c>
      <c r="U888" s="15" t="str">
        <f>IFERROR(__xludf.DUMMYFUNCTION("""COMPUTED_VALUE"""),"(C)EMI／COMIC ROOM")</f>
        <v>(C)EMI／COMIC ROOM</v>
      </c>
      <c r="V888" s="8" t="str">
        <f>IFERROR(__xludf.DUMMYFUNCTION("""COMPUTED_VALUE"""),"結婚から10年が経過した主婦・有希は、寝室で衝撃的な発見をする。
それは、使用期限まで残り1ヶ月の未開封のコンドーム。
夫と共に「今は子供はいらない」と購入して早５年。
つまり、５年のレス夫婦という現実を物語っていた。
この問題に直面し、友人に相談した有希は、夫婦関係の改善を決意する。
しかし、有希のセックスへの誘いに対し、夫から返ってきた言葉は彼女を呆然とさせる。
「今更、性欲強くなったの？　勘弁してよ」")</f>
        <v>結婚から10年が経過した主婦・有希は、寝室で衝撃的な発見をする。
それは、使用期限まで残り1ヶ月の未開封のコンドーム。
夫と共に「今は子供はいらない」と購入して早５年。
つまり、５年のレス夫婦という現実を物語っていた。
この問題に直面し、友人に相談した有希は、夫婦関係の改善を決意する。
しかし、有希のセックスへの誘いに対し、夫から返ってきた言葉は彼女を呆然とさせる。
「今更、性欲強くなったの？　勘弁してよ」</v>
      </c>
      <c r="W888" s="14"/>
      <c r="X888" s="14" t="str">
        <f>IFERROR(__xludf.DUMMYFUNCTION("""COMPUTED_VALUE"""),"有")</f>
        <v>有</v>
      </c>
      <c r="Y888" s="8" t="str">
        <f>IFERROR(__xludf.DUMMYFUNCTION("""COMPUTED_VALUE"""),"12/31まで1巻無料")</f>
        <v>12/31まで1巻無料</v>
      </c>
      <c r="Z888" s="7"/>
      <c r="AA888" s="7"/>
      <c r="AB888" s="7"/>
    </row>
    <row r="889" ht="15.75" customHeight="1">
      <c r="A889" s="26">
        <f>IFERROR(__xludf.DUMMYFUNCTION("""COMPUTED_VALUE"""),2625.0)</f>
        <v>2625</v>
      </c>
      <c r="B889" s="22" t="str">
        <f>IFERROR(__xludf.DUMMYFUNCTION("""COMPUTED_VALUE"""),"確定")</f>
        <v>確定</v>
      </c>
      <c r="C889" s="28">
        <f>IFERROR(__xludf.DUMMYFUNCTION("""COMPUTED_VALUE"""),45240.0)</f>
        <v>45240</v>
      </c>
      <c r="D889" s="28">
        <f>IFERROR(__xludf.DUMMYFUNCTION("""COMPUTED_VALUE"""),45243.0)</f>
        <v>45243</v>
      </c>
      <c r="E889" s="31">
        <f>IFERROR(__xludf.DUMMYFUNCTION("""COMPUTED_VALUE"""),281534.0)</f>
        <v>281534</v>
      </c>
      <c r="F889" s="22" t="str">
        <f>IFERROR(__xludf.DUMMYFUNCTION("""COMPUTED_VALUE"""),"復讐のサレ妻〜ポイ活夫〜")</f>
        <v>復讐のサレ妻〜ポイ活夫〜</v>
      </c>
      <c r="G889" s="11" t="str">
        <f>IFERROR(__xludf.DUMMYFUNCTION("""COMPUTED_VALUE"""),"1～2")</f>
        <v>1～2</v>
      </c>
      <c r="H889" s="22" t="str">
        <f>IFERROR(__xludf.DUMMYFUNCTION("""COMPUTED_VALUE"""),"咲倉げてぃ／桐野さおり")</f>
        <v>咲倉げてぃ／桐野さおり</v>
      </c>
      <c r="I889" s="22" t="str">
        <f>IFERROR(__xludf.DUMMYFUNCTION("""COMPUTED_VALUE"""),"女性")</f>
        <v>女性</v>
      </c>
      <c r="J889" s="22"/>
      <c r="K889" s="22"/>
      <c r="L889" s="22" t="str">
        <f>IFERROR(__xludf.DUMMYFUNCTION("""COMPUTED_VALUE"""),"コミックルーム")</f>
        <v>コミックルーム</v>
      </c>
      <c r="M889" s="23">
        <f>IFERROR(__xludf.DUMMYFUNCTION("""COMPUTED_VALUE"""),45260.0)</f>
        <v>45260</v>
      </c>
      <c r="N889" s="23">
        <f>IFERROR(__xludf.DUMMYFUNCTION("""COMPUTED_VALUE"""),45351.0)</f>
        <v>45351</v>
      </c>
      <c r="O889" s="20"/>
      <c r="P889" s="32" t="str">
        <f>IFERROR(__xludf.DUMMYFUNCTION("""COMPUTED_VALUE"""),"可")</f>
        <v>可</v>
      </c>
      <c r="Q889" s="30"/>
      <c r="R889" s="22"/>
      <c r="S889" s="22" t="str">
        <f>IFERROR(__xludf.DUMMYFUNCTION("""COMPUTED_VALUE"""),"20231110_コミックルーム_11月新作")</f>
        <v>20231110_コミックルーム_11月新作</v>
      </c>
      <c r="T889" s="22" t="str">
        <f>IFERROR(__xludf.DUMMYFUNCTION("""COMPUTED_VALUE"""),"格納済み")</f>
        <v>格納済み</v>
      </c>
      <c r="U889" s="15" t="str">
        <f>IFERROR(__xludf.DUMMYFUNCTION("""COMPUTED_VALUE"""),"(C)咲倉げてぃ／桐野さおり")</f>
        <v>(C)咲倉げてぃ／桐野さおり</v>
      </c>
      <c r="V889" s="8" t="str">
        <f>IFERROR(__xludf.DUMMYFUNCTION("""COMPUTED_VALUE"""),"結婚して4年目の沙樹子は、夫の隼人に不満を感じていた。
その理由は、隼人の異常なほどのポイント収集癖にあった。
コンビニ、薬局、飲食店、家電量販店、雑貨店と、
隼人はポイント獲得のためならどこへでも出かける。
やがて、ポイントのためには交通費や不要な商品の購入も厭わない「ポイ活魔」に変貌。
沙樹子はこのポイント狂の夫を止めることができるのかーー？")</f>
        <v>結婚して4年目の沙樹子は、夫の隼人に不満を感じていた。
その理由は、隼人の異常なほどのポイント収集癖にあった。
コンビニ、薬局、飲食店、家電量販店、雑貨店と、
隼人はポイント獲得のためならどこへでも出かける。
やがて、ポイントのためには交通費や不要な商品の購入も厭わない「ポイ活魔」に変貌。
沙樹子はこのポイント狂の夫を止めることができるのかーー？</v>
      </c>
      <c r="W889" s="14"/>
      <c r="X889" s="14" t="str">
        <f>IFERROR(__xludf.DUMMYFUNCTION("""COMPUTED_VALUE"""),"有")</f>
        <v>有</v>
      </c>
      <c r="Y889" s="8" t="str">
        <f>IFERROR(__xludf.DUMMYFUNCTION("""COMPUTED_VALUE"""),"12/31まで1巻無料")</f>
        <v>12/31まで1巻無料</v>
      </c>
      <c r="Z889" s="7"/>
      <c r="AA889" s="7"/>
      <c r="AB889" s="7"/>
    </row>
    <row r="890" ht="15.75" customHeight="1">
      <c r="A890" s="26">
        <f>IFERROR(__xludf.DUMMYFUNCTION("""COMPUTED_VALUE"""),2626.0)</f>
        <v>2626</v>
      </c>
      <c r="B890" s="22" t="str">
        <f>IFERROR(__xludf.DUMMYFUNCTION("""COMPUTED_VALUE"""),"確定")</f>
        <v>確定</v>
      </c>
      <c r="C890" s="28">
        <f>IFERROR(__xludf.DUMMYFUNCTION("""COMPUTED_VALUE"""),45240.0)</f>
        <v>45240</v>
      </c>
      <c r="D890" s="28">
        <f>IFERROR(__xludf.DUMMYFUNCTION("""COMPUTED_VALUE"""),45243.0)</f>
        <v>45243</v>
      </c>
      <c r="E890" s="31">
        <f>IFERROR(__xludf.DUMMYFUNCTION("""COMPUTED_VALUE"""),281535.0)</f>
        <v>281535</v>
      </c>
      <c r="F890" s="22" t="str">
        <f>IFERROR(__xludf.DUMMYFUNCTION("""COMPUTED_VALUE"""),"復讐のサレ妻〜モラハラ夫を断罪しました〜")</f>
        <v>復讐のサレ妻〜モラハラ夫を断罪しました〜</v>
      </c>
      <c r="G890" s="11" t="str">
        <f>IFERROR(__xludf.DUMMYFUNCTION("""COMPUTED_VALUE"""),"1～2")</f>
        <v>1～2</v>
      </c>
      <c r="H890" s="22" t="str">
        <f>IFERROR(__xludf.DUMMYFUNCTION("""COMPUTED_VALUE"""),"梅田かいじ／ヨシダ有希")</f>
        <v>梅田かいじ／ヨシダ有希</v>
      </c>
      <c r="I890" s="22" t="str">
        <f>IFERROR(__xludf.DUMMYFUNCTION("""COMPUTED_VALUE"""),"女性")</f>
        <v>女性</v>
      </c>
      <c r="J890" s="22"/>
      <c r="K890" s="22"/>
      <c r="L890" s="22" t="str">
        <f>IFERROR(__xludf.DUMMYFUNCTION("""COMPUTED_VALUE"""),"コミックルーム")</f>
        <v>コミックルーム</v>
      </c>
      <c r="M890" s="23">
        <f>IFERROR(__xludf.DUMMYFUNCTION("""COMPUTED_VALUE"""),45260.0)</f>
        <v>45260</v>
      </c>
      <c r="N890" s="23">
        <f>IFERROR(__xludf.DUMMYFUNCTION("""COMPUTED_VALUE"""),45351.0)</f>
        <v>45351</v>
      </c>
      <c r="O890" s="20"/>
      <c r="P890" s="32" t="str">
        <f>IFERROR(__xludf.DUMMYFUNCTION("""COMPUTED_VALUE"""),"可")</f>
        <v>可</v>
      </c>
      <c r="Q890" s="30"/>
      <c r="R890" s="22"/>
      <c r="S890" s="22" t="str">
        <f>IFERROR(__xludf.DUMMYFUNCTION("""COMPUTED_VALUE"""),"20231110_コミックルーム_11月新作")</f>
        <v>20231110_コミックルーム_11月新作</v>
      </c>
      <c r="T890" s="22" t="str">
        <f>IFERROR(__xludf.DUMMYFUNCTION("""COMPUTED_VALUE"""),"格納済み")</f>
        <v>格納済み</v>
      </c>
      <c r="U890" s="15" t="str">
        <f>IFERROR(__xludf.DUMMYFUNCTION("""COMPUTED_VALUE"""),"(C)梅田かいじ／ヨシダ有希")</f>
        <v>(C)梅田かいじ／ヨシダ有希</v>
      </c>
      <c r="V890" s="8" t="str">
        <f>IFERROR(__xludf.DUMMYFUNCTION("""COMPUTED_VALUE"""),"仕事に情熱を傾ける葵は、キャリアと結婚生活の両立を夢見ていた。
その夢は、裕との出会いによって実現するかに思えた。
幸福な結婚生活を手に入れたかに思えた葵だったが、
コロナ禍によるリモートワークで二人は徐々にすれ違い始める。
裕は日常の雑務や自らの業務も葵に押し付けるようになり、
昼食の準備から手紙の投函、プリンターの修理まで葵の負担となっていった。
そんな細かい仕事の積み重ねにより、
肉体的にも精神的にも限界を迎えた葵は裕に対し変革を求める。
しかし、葵の期待とは裏腹に、裕の反応は予想外"&amp;"のもので──！？")</f>
        <v>仕事に情熱を傾ける葵は、キャリアと結婚生活の両立を夢見ていた。
その夢は、裕との出会いによって実現するかに思えた。
幸福な結婚生活を手に入れたかに思えた葵だったが、
コロナ禍によるリモートワークで二人は徐々にすれ違い始める。
裕は日常の雑務や自らの業務も葵に押し付けるようになり、
昼食の準備から手紙の投函、プリンターの修理まで葵の負担となっていった。
そんな細かい仕事の積み重ねにより、
肉体的にも精神的にも限界を迎えた葵は裕に対し変革を求める。
しかし、葵の期待とは裏腹に、裕の反応は予想外のもので──！？</v>
      </c>
      <c r="W890" s="14"/>
      <c r="X890" s="14" t="str">
        <f>IFERROR(__xludf.DUMMYFUNCTION("""COMPUTED_VALUE"""),"有")</f>
        <v>有</v>
      </c>
      <c r="Y890" s="8" t="str">
        <f>IFERROR(__xludf.DUMMYFUNCTION("""COMPUTED_VALUE"""),"12/31まで1巻無料")</f>
        <v>12/31まで1巻無料</v>
      </c>
      <c r="Z890" s="7"/>
      <c r="AA890" s="7"/>
      <c r="AB890" s="7"/>
    </row>
    <row r="891" ht="15.75" customHeight="1">
      <c r="A891" s="26">
        <f>IFERROR(__xludf.DUMMYFUNCTION("""COMPUTED_VALUE"""),2627.0)</f>
        <v>2627</v>
      </c>
      <c r="B891" s="22" t="str">
        <f>IFERROR(__xludf.DUMMYFUNCTION("""COMPUTED_VALUE"""),"確定")</f>
        <v>確定</v>
      </c>
      <c r="C891" s="28">
        <f>IFERROR(__xludf.DUMMYFUNCTION("""COMPUTED_VALUE"""),45240.0)</f>
        <v>45240</v>
      </c>
      <c r="D891" s="28">
        <f>IFERROR(__xludf.DUMMYFUNCTION("""COMPUTED_VALUE"""),45243.0)</f>
        <v>45243</v>
      </c>
      <c r="E891" s="31">
        <f>IFERROR(__xludf.DUMMYFUNCTION("""COMPUTED_VALUE"""),280755.0)</f>
        <v>280755</v>
      </c>
      <c r="F891" s="22" t="str">
        <f>IFERROR(__xludf.DUMMYFUNCTION("""COMPUTED_VALUE"""),"したい、されたい、したくない〜働くわたしの性事情〜")</f>
        <v>したい、されたい、したくない〜働くわたしの性事情〜</v>
      </c>
      <c r="G891" s="20" t="str">
        <f>IFERROR(__xludf.DUMMYFUNCTION("""COMPUTED_VALUE"""),"1～6")</f>
        <v>1～6</v>
      </c>
      <c r="H891" s="22" t="str">
        <f>IFERROR(__xludf.DUMMYFUNCTION("""COMPUTED_VALUE"""),"キョウ子")</f>
        <v>キョウ子</v>
      </c>
      <c r="I891" s="22" t="str">
        <f>IFERROR(__xludf.DUMMYFUNCTION("""COMPUTED_VALUE"""),"女性")</f>
        <v>女性</v>
      </c>
      <c r="J891" s="22"/>
      <c r="K891" s="22"/>
      <c r="L891" s="22" t="str">
        <f>IFERROR(__xludf.DUMMYFUNCTION("""COMPUTED_VALUE"""),"集英社")</f>
        <v>集英社</v>
      </c>
      <c r="M891" s="23">
        <f>IFERROR(__xludf.DUMMYFUNCTION("""COMPUTED_VALUE"""),45258.0)</f>
        <v>45258</v>
      </c>
      <c r="N891" s="23">
        <f>IFERROR(__xludf.DUMMYFUNCTION("""COMPUTED_VALUE"""),45286.0)</f>
        <v>45286</v>
      </c>
      <c r="O891" s="20"/>
      <c r="P891" s="32" t="str">
        <f>IFERROR(__xludf.DUMMYFUNCTION("""COMPUTED_VALUE"""),"否")</f>
        <v>否</v>
      </c>
      <c r="Q891" s="30"/>
      <c r="R891" s="22"/>
      <c r="S891" s="22" t="str">
        <f>IFERROR(__xludf.DUMMYFUNCTION("""COMPUTED_VALUE"""),"20231110_集英社_したい、されたい、したくない")</f>
        <v>20231110_集英社_したい、されたい、したくない</v>
      </c>
      <c r="T891" s="22" t="str">
        <f>IFERROR(__xludf.DUMMYFUNCTION("""COMPUTED_VALUE"""),"格納済み")</f>
        <v>格納済み</v>
      </c>
      <c r="U891" s="15" t="str">
        <f>IFERROR(__xludf.DUMMYFUNCTION("""COMPUTED_VALUE"""),"©キョウ子／集英社")</f>
        <v>©キョウ子／集英社</v>
      </c>
      <c r="V891" s="8" t="str">
        <f>IFERROR(__xludf.DUMMYFUNCTION("""COMPUTED_VALUE"""),"30歳のももかは一緒に住むパートナーと「セックスだけ」がうまくいっていない。信頼関係も愛情もあるはずなのに、そして昔は嬉しかったはずなのに。どうしても今は面倒に感じてしまう。ひょんなきっかけから、とある人に相談することになるが……。大人になった今改めて、自身が抱える“性の悩み”と向き合い、たどり着く、自分たちらしい答えとは…？　『結婚しない娘は用無しですか？』のキョウ子がコミカルにお届けする、働く女性たちの“性のもやもや”物語。")</f>
        <v>30歳のももかは一緒に住むパートナーと「セックスだけ」がうまくいっていない。信頼関係も愛情もあるはずなのに、そして昔は嬉しかったはずなのに。どうしても今は面倒に感じてしまう。ひょんなきっかけから、とある人に相談することになるが……。大人になった今改めて、自身が抱える“性の悩み”と向き合い、たどり着く、自分たちらしい答えとは…？　『結婚しない娘は用無しですか？』のキョウ子がコミカルにお届けする、働く女性たちの“性のもやもや”物語。</v>
      </c>
      <c r="W891" s="14"/>
      <c r="X891" s="14" t="str">
        <f>IFERROR(__xludf.DUMMYFUNCTION("""COMPUTED_VALUE"""),"有
")</f>
        <v>有
</v>
      </c>
      <c r="Y891" s="8" t="str">
        <f>IFERROR(__xludf.DUMMYFUNCTION("""COMPUTED_VALUE"""),"12/11まで1巻無料")</f>
        <v>12/11まで1巻無料</v>
      </c>
      <c r="Z891" s="7"/>
      <c r="AA891" s="7"/>
      <c r="AB891" s="7"/>
    </row>
    <row r="892" ht="15.75" customHeight="1">
      <c r="A892" s="26">
        <f>IFERROR(__xludf.DUMMYFUNCTION("""COMPUTED_VALUE"""),2632.0)</f>
        <v>2632</v>
      </c>
      <c r="B892" s="22" t="str">
        <f>IFERROR(__xludf.DUMMYFUNCTION("""COMPUTED_VALUE"""),"確定")</f>
        <v>確定</v>
      </c>
      <c r="C892" s="28">
        <f>IFERROR(__xludf.DUMMYFUNCTION("""COMPUTED_VALUE"""),45240.0)</f>
        <v>45240</v>
      </c>
      <c r="D892" s="28">
        <f>IFERROR(__xludf.DUMMYFUNCTION("""COMPUTED_VALUE"""),45243.0)</f>
        <v>45243</v>
      </c>
      <c r="E892" s="31">
        <f>IFERROR(__xludf.DUMMYFUNCTION("""COMPUTED_VALUE"""),282105.0)</f>
        <v>282105</v>
      </c>
      <c r="F892" s="22" t="str">
        <f>IFERROR(__xludf.DUMMYFUNCTION("""COMPUTED_VALUE"""),"出オチキャラだったはずなのに、今やすっかり聖女です")</f>
        <v>出オチキャラだったはずなのに、今やすっかり聖女です</v>
      </c>
      <c r="G892" s="20" t="str">
        <f>IFERROR(__xludf.DUMMYFUNCTION("""COMPUTED_VALUE"""),"1～3")</f>
        <v>1～3</v>
      </c>
      <c r="H892" s="22" t="str">
        <f>IFERROR(__xludf.DUMMYFUNCTION("""COMPUTED_VALUE"""),"神武ひろよし／仲村つばき")</f>
        <v>神武ひろよし／仲村つばき</v>
      </c>
      <c r="I892" s="22" t="str">
        <f>IFERROR(__xludf.DUMMYFUNCTION("""COMPUTED_VALUE"""),"女性")</f>
        <v>女性</v>
      </c>
      <c r="J892" s="22"/>
      <c r="K892" s="22"/>
      <c r="L892" s="22" t="str">
        <f>IFERROR(__xludf.DUMMYFUNCTION("""COMPUTED_VALUE"""),"集英社")</f>
        <v>集英社</v>
      </c>
      <c r="M892" s="23">
        <f>IFERROR(__xludf.DUMMYFUNCTION("""COMPUTED_VALUE"""),45261.0)</f>
        <v>45261</v>
      </c>
      <c r="N892" s="23">
        <f>IFERROR(__xludf.DUMMYFUNCTION("""COMPUTED_VALUE"""),45292.0)</f>
        <v>45292</v>
      </c>
      <c r="O892" s="20"/>
      <c r="P892" s="29" t="str">
        <f>IFERROR(__xludf.DUMMYFUNCTION("""COMPUTED_VALUE"""),"否")</f>
        <v>否</v>
      </c>
      <c r="Q892" s="30" t="str">
        <f>IFERROR(__xludf.DUMMYFUNCTION("""COMPUTED_VALUE"""),"デジタルマーガレット")</f>
        <v>デジタルマーガレット</v>
      </c>
      <c r="R892" s="22"/>
      <c r="S892" s="22" t="str">
        <f>IFERROR(__xludf.DUMMYFUNCTION("""COMPUTED_VALUE"""),"20231110_集英社_異世界マーガレット2作品")</f>
        <v>20231110_集英社_異世界マーガレット2作品</v>
      </c>
      <c r="T892" s="22" t="str">
        <f>IFERROR(__xludf.DUMMYFUNCTION("""COMPUTED_VALUE"""),"格納済み")</f>
        <v>格納済み</v>
      </c>
      <c r="U892" s="15" t="str">
        <f>IFERROR(__xludf.DUMMYFUNCTION("""COMPUTED_VALUE"""),"（C）神武ひろよし・仲村つばき／集英社")</f>
        <v>（C）神武ひろよし・仲村つばき／集英社</v>
      </c>
      <c r="V892" s="8" t="str">
        <f>IFERROR(__xludf.DUMMYFUNCTION("""COMPUTED_VALUE"""),"ゲームデザイナーの佐藤みことは、あまりの激務で過労死してしまい、気づけば自分で開発していた乙女ゲーム「ジュエルサポーター」の世界に転生していた。モブとしてゲーム序盤で死ぬ役目のルチル・ボートウェイに転生したみことは、自分の役目を果たすために、果敢に「死」に挑もうとする。しかし、ゲームとは違う展開に次々フラグが折れていき……。")</f>
        <v>ゲームデザイナーの佐藤みことは、あまりの激務で過労死してしまい、気づけば自分で開発していた乙女ゲーム「ジュエルサポーター」の世界に転生していた。モブとしてゲーム序盤で死ぬ役目のルチル・ボートウェイに転生したみことは、自分の役目を果たすために、果敢に「死」に挑もうとする。しかし、ゲームとは違う展開に次々フラグが折れていき……。</v>
      </c>
      <c r="W892" s="14"/>
      <c r="X892" s="14" t="str">
        <f>IFERROR(__xludf.DUMMYFUNCTION("""COMPUTED_VALUE"""),"有")</f>
        <v>有</v>
      </c>
      <c r="Y892" s="8" t="str">
        <f>IFERROR(__xludf.DUMMYFUNCTION("""COMPUTED_VALUE"""),"12/21まで1巻無料")</f>
        <v>12/21まで1巻無料</v>
      </c>
      <c r="Z892" s="7"/>
      <c r="AA892" s="7"/>
      <c r="AB892" s="7"/>
    </row>
    <row r="893" ht="15.75" customHeight="1">
      <c r="A893" s="26">
        <f>IFERROR(__xludf.DUMMYFUNCTION("""COMPUTED_VALUE"""),2633.0)</f>
        <v>2633</v>
      </c>
      <c r="B893" s="22" t="str">
        <f>IFERROR(__xludf.DUMMYFUNCTION("""COMPUTED_VALUE"""),"確定")</f>
        <v>確定</v>
      </c>
      <c r="C893" s="28">
        <f>IFERROR(__xludf.DUMMYFUNCTION("""COMPUTED_VALUE"""),45240.0)</f>
        <v>45240</v>
      </c>
      <c r="D893" s="28">
        <f>IFERROR(__xludf.DUMMYFUNCTION("""COMPUTED_VALUE"""),45243.0)</f>
        <v>45243</v>
      </c>
      <c r="E893" s="31">
        <f>IFERROR(__xludf.DUMMYFUNCTION("""COMPUTED_VALUE"""),282108.0)</f>
        <v>282108</v>
      </c>
      <c r="F893" s="22" t="str">
        <f>IFERROR(__xludf.DUMMYFUNCTION("""COMPUTED_VALUE"""),"旦那さまは、新妻がかわいくてたまらない悪魔でした")</f>
        <v>旦那さまは、新妻がかわいくてたまらない悪魔でした</v>
      </c>
      <c r="G893" s="20" t="str">
        <f>IFERROR(__xludf.DUMMYFUNCTION("""COMPUTED_VALUE"""),"1～3")</f>
        <v>1～3</v>
      </c>
      <c r="H893" s="22" t="str">
        <f>IFERROR(__xludf.DUMMYFUNCTION("""COMPUTED_VALUE"""),"朝葉ゆき／あまおう紅")</f>
        <v>朝葉ゆき／あまおう紅</v>
      </c>
      <c r="I893" s="22" t="str">
        <f>IFERROR(__xludf.DUMMYFUNCTION("""COMPUTED_VALUE"""),"女性")</f>
        <v>女性</v>
      </c>
      <c r="J893" s="22"/>
      <c r="K893" s="22"/>
      <c r="L893" s="22" t="str">
        <f>IFERROR(__xludf.DUMMYFUNCTION("""COMPUTED_VALUE"""),"集英社")</f>
        <v>集英社</v>
      </c>
      <c r="M893" s="23">
        <f>IFERROR(__xludf.DUMMYFUNCTION("""COMPUTED_VALUE"""),45261.0)</f>
        <v>45261</v>
      </c>
      <c r="N893" s="23">
        <f>IFERROR(__xludf.DUMMYFUNCTION("""COMPUTED_VALUE"""),45292.0)</f>
        <v>45292</v>
      </c>
      <c r="O893" s="20"/>
      <c r="P893" s="29" t="str">
        <f>IFERROR(__xludf.DUMMYFUNCTION("""COMPUTED_VALUE"""),"否")</f>
        <v>否</v>
      </c>
      <c r="Q893" s="30" t="str">
        <f>IFERROR(__xludf.DUMMYFUNCTION("""COMPUTED_VALUE"""),"デジタルマーガレット")</f>
        <v>デジタルマーガレット</v>
      </c>
      <c r="R893" s="22"/>
      <c r="S893" s="22" t="str">
        <f>IFERROR(__xludf.DUMMYFUNCTION("""COMPUTED_VALUE"""),"20231110_集英社_異世界マーガレット2作品")</f>
        <v>20231110_集英社_異世界マーガレット2作品</v>
      </c>
      <c r="T893" s="22" t="str">
        <f>IFERROR(__xludf.DUMMYFUNCTION("""COMPUTED_VALUE"""),"格納済み")</f>
        <v>格納済み</v>
      </c>
      <c r="U893" s="15" t="str">
        <f>IFERROR(__xludf.DUMMYFUNCTION("""COMPUTED_VALUE"""),"（C）朝葉ゆき・あまおう紅／集英社")</f>
        <v>（C）朝葉ゆき・あまおう紅／集英社</v>
      </c>
      <c r="V893" s="8" t="str">
        <f>IFERROR(__xludf.DUMMYFUNCTION("""COMPUTED_VALUE"""),"男爵令嬢のアデラインは、昔から意地悪をしてくる公爵子息で幼馴染のロレンスが大の苦手である。社交界デビューをしてからは、ロレンスと離れるべく、遠い異国の男性と結婚しようと意気込んでいたが、それもまた、彼によって阻まれてしまった。そんな中、華やかで魅力的な皆の憧れの令嬢、ジャクリーンが、ロレンスにモーションをかける。その様子に、アデラインは胸がモヤモヤする感覚を覚え…？")</f>
        <v>男爵令嬢のアデラインは、昔から意地悪をしてくる公爵子息で幼馴染のロレンスが大の苦手である。社交界デビューをしてからは、ロレンスと離れるべく、遠い異国の男性と結婚しようと意気込んでいたが、それもまた、彼によって阻まれてしまった。そんな中、華やかで魅力的な皆の憧れの令嬢、ジャクリーンが、ロレンスにモーションをかける。その様子に、アデラインは胸がモヤモヤする感覚を覚え…？</v>
      </c>
      <c r="W893" s="14"/>
      <c r="X893" s="14" t="str">
        <f>IFERROR(__xludf.DUMMYFUNCTION("""COMPUTED_VALUE"""),"無")</f>
        <v>無</v>
      </c>
      <c r="Y893" s="8" t="str">
        <f>IFERROR(__xludf.DUMMYFUNCTION("""COMPUTED_VALUE"""),"12/21まで1巻無料")</f>
        <v>12/21まで1巻無料</v>
      </c>
      <c r="Z893" s="7"/>
      <c r="AA893" s="7"/>
      <c r="AB893" s="7"/>
    </row>
    <row r="894" ht="104.25" customHeight="1">
      <c r="A894" s="26">
        <f>IFERROR(__xludf.DUMMYFUNCTION("""COMPUTED_VALUE"""),2639.0)</f>
        <v>2639</v>
      </c>
      <c r="B894" s="22" t="str">
        <f>IFERROR(__xludf.DUMMYFUNCTION("""COMPUTED_VALUE"""),"確定")</f>
        <v>確定</v>
      </c>
      <c r="C894" s="28">
        <f>IFERROR(__xludf.DUMMYFUNCTION("""COMPUTED_VALUE"""),45244.0)</f>
        <v>45244</v>
      </c>
      <c r="D894" s="28">
        <f>IFERROR(__xludf.DUMMYFUNCTION("""COMPUTED_VALUE"""),45244.0)</f>
        <v>45244</v>
      </c>
      <c r="E894" s="26">
        <f>IFERROR(__xludf.DUMMYFUNCTION("""COMPUTED_VALUE"""),263135.0)</f>
        <v>263135</v>
      </c>
      <c r="F894" s="22" t="str">
        <f>IFERROR(__xludf.DUMMYFUNCTION("""COMPUTED_VALUE"""),"おやすみ前に、声を聴かせて")</f>
        <v>おやすみ前に、声を聴かせて</v>
      </c>
      <c r="G894" s="20" t="str">
        <f>IFERROR(__xludf.DUMMYFUNCTION("""COMPUTED_VALUE"""),"1～3")</f>
        <v>1～3</v>
      </c>
      <c r="H894" s="22" t="str">
        <f>IFERROR(__xludf.DUMMYFUNCTION("""COMPUTED_VALUE"""),"佐久間いちい")</f>
        <v>佐久間いちい</v>
      </c>
      <c r="I894" s="14" t="str">
        <f>IFERROR(__xludf.DUMMYFUNCTION("""COMPUTED_VALUE"""),"女性")</f>
        <v>女性</v>
      </c>
      <c r="J894" s="22"/>
      <c r="K894" s="22"/>
      <c r="L894" s="22" t="str">
        <f>IFERROR(__xludf.DUMMYFUNCTION("""COMPUTED_VALUE"""),"シーモアコミックス")</f>
        <v>シーモアコミックス</v>
      </c>
      <c r="M894" s="23">
        <f>IFERROR(__xludf.DUMMYFUNCTION("""COMPUTED_VALUE"""),45296.0)</f>
        <v>45296</v>
      </c>
      <c r="N894" s="23">
        <f>IFERROR(__xludf.DUMMYFUNCTION("""COMPUTED_VALUE"""),45449.0)</f>
        <v>45449</v>
      </c>
      <c r="O894" s="20"/>
      <c r="P894" s="32" t="str">
        <f>IFERROR(__xludf.DUMMYFUNCTION("""COMPUTED_VALUE"""),"可")</f>
        <v>可</v>
      </c>
      <c r="Q894" s="30"/>
      <c r="R894" s="22"/>
      <c r="S894" s="22" t="str">
        <f>IFERROR(__xludf.DUMMYFUNCTION("""COMPUTED_VALUE"""),"20231114_シーモアコミックス_おやすみ前に、声を聴かせて")</f>
        <v>20231114_シーモアコミックス_おやすみ前に、声を聴かせて</v>
      </c>
      <c r="T894" s="22" t="str">
        <f>IFERROR(__xludf.DUMMYFUNCTION("""COMPUTED_VALUE"""),"格納済み")</f>
        <v>格納済み</v>
      </c>
      <c r="U894" s="15" t="str">
        <f>IFERROR(__xludf.DUMMYFUNCTION("""COMPUTED_VALUE"""),"© 佐久間いちい/シーモアコミックス")</f>
        <v>© 佐久間いちい/シーモアコミックス</v>
      </c>
      <c r="V894" s="8" t="str">
        <f>IFERROR(__xludf.DUMMYFUNCTION("""COMPUTED_VALUE"""),"「その声……もっと聞かせて」自分の声で誰かを幸せにしたい――そう願う相葉美子はコールセンターで働く32歳。かつてはある夢を胸に秘めていたが現実は甘くなく、職場と家の往復ばかりの毎日を過ごしていた。このままただ時間だけが過ぎていくのかと考えていた中、ある日、美子の後輩・広木耀司に勝手に自分の声を録音されていて…！？")</f>
        <v>「その声……もっと聞かせて」自分の声で誰かを幸せにしたい――そう願う相葉美子はコールセンターで働く32歳。かつてはある夢を胸に秘めていたが現実は甘くなく、職場と家の往復ばかりの毎日を過ごしていた。このままただ時間だけが過ぎていくのかと考えていた中、ある日、美子の後輩・広木耀司に勝手に自分の声を録音されていて…！？</v>
      </c>
      <c r="W894" s="14"/>
      <c r="X894" s="14" t="str">
        <f>IFERROR(__xludf.DUMMYFUNCTION("""COMPUTED_VALUE"""),"有")</f>
        <v>有</v>
      </c>
      <c r="Y894" s="8" t="str">
        <f>IFERROR(__xludf.DUMMYFUNCTION("""COMPUTED_VALUE"""),"P11まで")</f>
        <v>P11まで</v>
      </c>
      <c r="Z894" s="7"/>
      <c r="AA894" s="7"/>
      <c r="AB894" s="7"/>
    </row>
    <row r="895" ht="94.5" customHeight="1">
      <c r="A895" s="26">
        <f>IFERROR(__xludf.DUMMYFUNCTION("""COMPUTED_VALUE"""),2640.0)</f>
        <v>2640</v>
      </c>
      <c r="B895" s="22" t="str">
        <f>IFERROR(__xludf.DUMMYFUNCTION("""COMPUTED_VALUE"""),"確定")</f>
        <v>確定</v>
      </c>
      <c r="C895" s="28">
        <f>IFERROR(__xludf.DUMMYFUNCTION("""COMPUTED_VALUE"""),45244.0)</f>
        <v>45244</v>
      </c>
      <c r="D895" s="28">
        <f>IFERROR(__xludf.DUMMYFUNCTION("""COMPUTED_VALUE"""),45245.0)</f>
        <v>45245</v>
      </c>
      <c r="E895" s="31">
        <f>IFERROR(__xludf.DUMMYFUNCTION("""COMPUTED_VALUE"""),282209.0)</f>
        <v>282209</v>
      </c>
      <c r="F895" s="22" t="str">
        <f>IFERROR(__xludf.DUMMYFUNCTION("""COMPUTED_VALUE"""),"悪役令嬢らしくパパラッチさんを断罪いたしますわ！")</f>
        <v>悪役令嬢らしくパパラッチさんを断罪いたしますわ！</v>
      </c>
      <c r="G895" s="20">
        <f>IFERROR(__xludf.DUMMYFUNCTION("""COMPUTED_VALUE"""),1.0)</f>
        <v>1</v>
      </c>
      <c r="H895" s="22" t="str">
        <f>IFERROR(__xludf.DUMMYFUNCTION("""COMPUTED_VALUE"""),"漫画:新島なるい・原案:浅桜ひつじ")</f>
        <v>漫画:新島なるい・原案:浅桜ひつじ</v>
      </c>
      <c r="I895" s="14" t="str">
        <f>IFERROR(__xludf.DUMMYFUNCTION("""COMPUTED_VALUE"""),"女性")</f>
        <v>女性</v>
      </c>
      <c r="J895" s="22"/>
      <c r="K895" s="22"/>
      <c r="L895" s="22" t="str">
        <f>IFERROR(__xludf.DUMMYFUNCTION("""COMPUTED_VALUE"""),"実業之日本社")</f>
        <v>実業之日本社</v>
      </c>
      <c r="M895" s="23">
        <f>IFERROR(__xludf.DUMMYFUNCTION("""COMPUTED_VALUE"""),45274.0)</f>
        <v>45274</v>
      </c>
      <c r="N895" s="23">
        <f>IFERROR(__xludf.DUMMYFUNCTION("""COMPUTED_VALUE"""),45335.0)</f>
        <v>45335</v>
      </c>
      <c r="O895" s="20"/>
      <c r="P895" s="29" t="str">
        <f>IFERROR(__xludf.DUMMYFUNCTION("""COMPUTED_VALUE"""),"可")</f>
        <v>可</v>
      </c>
      <c r="Q895" s="30" t="str">
        <f>IFERROR(__xludf.DUMMYFUNCTION("""COMPUTED_VALUE"""),"事前コミットOKの作品です")</f>
        <v>事前コミットOKの作品です</v>
      </c>
      <c r="R895" s="22"/>
      <c r="S895" s="22" t="str">
        <f>IFERROR(__xludf.DUMMYFUNCTION("""COMPUTED_VALUE"""),"20231114_実業之日本社_悪役令嬢らしくパパラッチさんを断罪いたしますわ！")</f>
        <v>20231114_実業之日本社_悪役令嬢らしくパパラッチさんを断罪いたしますわ！</v>
      </c>
      <c r="T895" s="22" t="str">
        <f>IFERROR(__xludf.DUMMYFUNCTION("""COMPUTED_VALUE"""),"格納済み")</f>
        <v>格納済み</v>
      </c>
      <c r="U895" s="15" t="str">
        <f>IFERROR(__xludf.DUMMYFUNCTION("""COMPUTED_VALUE"""),"©新島なるい・浅桜ひつじ／実業之日本社")</f>
        <v>©新島なるい・浅桜ひつじ／実業之日本社</v>
      </c>
      <c r="V895" s="8" t="str">
        <f>IFERROR(__xludf.DUMMYFUNCTION("""COMPUTED_VALUE"""),"訳アリ令嬢でも、愛されていいですか？甘く繰り広げられる悪役令嬢ハッピーエンドアンソロジー！！※この作品は『これが運命!? 悪役令嬢は愛されルートに入りました！アンソロジーコミック（２）』収録作品と同一の内容を単話版として再編集したものとなります。")</f>
        <v>訳アリ令嬢でも、愛されていいですか？甘く繰り広げられる悪役令嬢ハッピーエンドアンソロジー！！※この作品は『これが運命!? 悪役令嬢は愛されルートに入りました！アンソロジーコミック（２）』収録作品と同一の内容を単話版として再編集したものとなります。</v>
      </c>
      <c r="W895" s="14"/>
      <c r="X895" s="14" t="str">
        <f>IFERROR(__xludf.DUMMYFUNCTION("""COMPUTED_VALUE"""),"有")</f>
        <v>有</v>
      </c>
      <c r="Y895" s="8" t="str">
        <f>IFERROR(__xludf.DUMMYFUNCTION("""COMPUTED_VALUE"""),"2024/1/13まで立ち読み増量P8まで")</f>
        <v>2024/1/13まで立ち読み増量P8まで</v>
      </c>
      <c r="Z895" s="7"/>
      <c r="AA895" s="7"/>
      <c r="AB895" s="7"/>
    </row>
    <row r="896" ht="95.25" customHeight="1">
      <c r="A896" s="26">
        <f>IFERROR(__xludf.DUMMYFUNCTION("""COMPUTED_VALUE"""),2641.0)</f>
        <v>2641</v>
      </c>
      <c r="B896" s="22" t="str">
        <f>IFERROR(__xludf.DUMMYFUNCTION("""COMPUTED_VALUE"""),"確定")</f>
        <v>確定</v>
      </c>
      <c r="C896" s="28">
        <f>IFERROR(__xludf.DUMMYFUNCTION("""COMPUTED_VALUE"""),45244.0)</f>
        <v>45244</v>
      </c>
      <c r="D896" s="28">
        <f>IFERROR(__xludf.DUMMYFUNCTION("""COMPUTED_VALUE"""),45245.0)</f>
        <v>45245</v>
      </c>
      <c r="E896" s="31">
        <f>IFERROR(__xludf.DUMMYFUNCTION("""COMPUTED_VALUE"""),282207.0)</f>
        <v>282207</v>
      </c>
      <c r="F896" s="22" t="str">
        <f>IFERROR(__xludf.DUMMYFUNCTION("""COMPUTED_VALUE"""),"結婚式を中止しろ")</f>
        <v>結婚式を中止しろ</v>
      </c>
      <c r="G896" s="20">
        <f>IFERROR(__xludf.DUMMYFUNCTION("""COMPUTED_VALUE"""),1.0)</f>
        <v>1</v>
      </c>
      <c r="H896" s="22" t="str">
        <f>IFERROR(__xludf.DUMMYFUNCTION("""COMPUTED_VALUE"""),"漫画:空路 恵・原作:春井環二")</f>
        <v>漫画:空路 恵・原作:春井環二</v>
      </c>
      <c r="I896" s="14" t="str">
        <f>IFERROR(__xludf.DUMMYFUNCTION("""COMPUTED_VALUE"""),"女性")</f>
        <v>女性</v>
      </c>
      <c r="J896" s="22"/>
      <c r="K896" s="22"/>
      <c r="L896" s="22" t="str">
        <f>IFERROR(__xludf.DUMMYFUNCTION("""COMPUTED_VALUE"""),"実業之日本社")</f>
        <v>実業之日本社</v>
      </c>
      <c r="M896" s="23">
        <f>IFERROR(__xludf.DUMMYFUNCTION("""COMPUTED_VALUE"""),45274.0)</f>
        <v>45274</v>
      </c>
      <c r="N896" s="23">
        <f>IFERROR(__xludf.DUMMYFUNCTION("""COMPUTED_VALUE"""),45335.0)</f>
        <v>45335</v>
      </c>
      <c r="O896" s="20"/>
      <c r="P896" s="29" t="str">
        <f>IFERROR(__xludf.DUMMYFUNCTION("""COMPUTED_VALUE"""),"可")</f>
        <v>可</v>
      </c>
      <c r="Q896" s="30" t="str">
        <f>IFERROR(__xludf.DUMMYFUNCTION("""COMPUTED_VALUE"""),"事前コミットOKの作品です")</f>
        <v>事前コミットOKの作品です</v>
      </c>
      <c r="R896" s="22"/>
      <c r="S896" s="22" t="str">
        <f>IFERROR(__xludf.DUMMYFUNCTION("""COMPUTED_VALUE"""),"20231114_実業之日本社_結婚式を中止しろ")</f>
        <v>20231114_実業之日本社_結婚式を中止しろ</v>
      </c>
      <c r="T896" s="31" t="str">
        <f>IFERROR(__xludf.DUMMYFUNCTION("""COMPUTED_VALUE"""),"格納済み")</f>
        <v>格納済み</v>
      </c>
      <c r="U896" s="15" t="str">
        <f>IFERROR(__xludf.DUMMYFUNCTION("""COMPUTED_VALUE"""),"©空路 恵・春井環二／実業之日本社")</f>
        <v>©空路 恵・春井環二／実業之日本社</v>
      </c>
      <c r="V896" s="8" t="str">
        <f>IFERROR(__xludf.DUMMYFUNCTION("""COMPUTED_VALUE"""),"訳アリ令嬢でも、愛されていいですか？甘く繰り広げられる悪役令嬢ハッピーエンドアンソロジー！！※この作品は『これが運命!? 悪役令嬢は愛されルートに入りました！アンソロジーコミック（２）』収録作品と同一の内容を単話版として再編集したものとなります。")</f>
        <v>訳アリ令嬢でも、愛されていいですか？甘く繰り広げられる悪役令嬢ハッピーエンドアンソロジー！！※この作品は『これが運命!? 悪役令嬢は愛されルートに入りました！アンソロジーコミック（２）』収録作品と同一の内容を単話版として再編集したものとなります。</v>
      </c>
      <c r="W896" s="14"/>
      <c r="X896" s="14" t="str">
        <f>IFERROR(__xludf.DUMMYFUNCTION("""COMPUTED_VALUE"""),"有")</f>
        <v>有</v>
      </c>
      <c r="Y896" s="8" t="str">
        <f>IFERROR(__xludf.DUMMYFUNCTION("""COMPUTED_VALUE"""),"P7まで")</f>
        <v>P7まで</v>
      </c>
      <c r="Z896" s="7"/>
      <c r="AA896" s="7"/>
      <c r="AB896" s="7"/>
    </row>
    <row r="897" ht="93.75" customHeight="1">
      <c r="A897" s="26">
        <f>IFERROR(__xludf.DUMMYFUNCTION("""COMPUTED_VALUE"""),2642.0)</f>
        <v>2642</v>
      </c>
      <c r="B897" s="22" t="str">
        <f>IFERROR(__xludf.DUMMYFUNCTION("""COMPUTED_VALUE"""),"確定")</f>
        <v>確定</v>
      </c>
      <c r="C897" s="28">
        <f>IFERROR(__xludf.DUMMYFUNCTION("""COMPUTED_VALUE"""),45244.0)</f>
        <v>45244</v>
      </c>
      <c r="D897" s="28">
        <f>IFERROR(__xludf.DUMMYFUNCTION("""COMPUTED_VALUE"""),45245.0)</f>
        <v>45245</v>
      </c>
      <c r="E897" s="31">
        <f>IFERROR(__xludf.DUMMYFUNCTION("""COMPUTED_VALUE"""),282205.0)</f>
        <v>282205</v>
      </c>
      <c r="F897" s="22" t="str">
        <f>IFERROR(__xludf.DUMMYFUNCTION("""COMPUTED_VALUE"""),"高嶺のオタ活令嬢は推しに認知されたくない")</f>
        <v>高嶺のオタ活令嬢は推しに認知されたくない</v>
      </c>
      <c r="G897" s="20">
        <f>IFERROR(__xludf.DUMMYFUNCTION("""COMPUTED_VALUE"""),1.0)</f>
        <v>1</v>
      </c>
      <c r="H897" s="22" t="str">
        <f>IFERROR(__xludf.DUMMYFUNCTION("""COMPUTED_VALUE"""),"漫画:百餅こもち・原作:田中冥土")</f>
        <v>漫画:百餅こもち・原作:田中冥土</v>
      </c>
      <c r="I897" s="14" t="str">
        <f>IFERROR(__xludf.DUMMYFUNCTION("""COMPUTED_VALUE"""),"女性")</f>
        <v>女性</v>
      </c>
      <c r="J897" s="22"/>
      <c r="K897" s="22"/>
      <c r="L897" s="22" t="str">
        <f>IFERROR(__xludf.DUMMYFUNCTION("""COMPUTED_VALUE"""),"実業之日本社")</f>
        <v>実業之日本社</v>
      </c>
      <c r="M897" s="23">
        <f>IFERROR(__xludf.DUMMYFUNCTION("""COMPUTED_VALUE"""),45274.0)</f>
        <v>45274</v>
      </c>
      <c r="N897" s="23">
        <f>IFERROR(__xludf.DUMMYFUNCTION("""COMPUTED_VALUE"""),45335.0)</f>
        <v>45335</v>
      </c>
      <c r="O897" s="20"/>
      <c r="P897" s="29" t="str">
        <f>IFERROR(__xludf.DUMMYFUNCTION("""COMPUTED_VALUE"""),"可")</f>
        <v>可</v>
      </c>
      <c r="Q897" s="30" t="str">
        <f>IFERROR(__xludf.DUMMYFUNCTION("""COMPUTED_VALUE"""),"事前コミットOKの作品です")</f>
        <v>事前コミットOKの作品です</v>
      </c>
      <c r="R897" s="22"/>
      <c r="S897" s="22" t="str">
        <f>IFERROR(__xludf.DUMMYFUNCTION("""COMPUTED_VALUE"""),"20231114_実業之日本社_高嶺のオタ活令嬢は推しに認知されたくない")</f>
        <v>20231114_実業之日本社_高嶺のオタ活令嬢は推しに認知されたくない</v>
      </c>
      <c r="T897" s="31" t="str">
        <f>IFERROR(__xludf.DUMMYFUNCTION("""COMPUTED_VALUE"""),"格納済み")</f>
        <v>格納済み</v>
      </c>
      <c r="U897" s="15" t="str">
        <f>IFERROR(__xludf.DUMMYFUNCTION("""COMPUTED_VALUE"""),"©百餅こもち・田中冥土／実業之日本社")</f>
        <v>©百餅こもち・田中冥土／実業之日本社</v>
      </c>
      <c r="V897" s="8" t="str">
        <f>IFERROR(__xludf.DUMMYFUNCTION("""COMPUTED_VALUE"""),"訳アリ令嬢でも、愛されていいですか？甘く繰り広げられる悪役令嬢ハッピーエンドアンソロジー！！※この作品は『これが運命!? 悪役令嬢は愛されルートに入りました！アンソロジーコミック（２）』収録作品と同一の内容を単話版として再編集したものとなります。")</f>
        <v>訳アリ令嬢でも、愛されていいですか？甘く繰り広げられる悪役令嬢ハッピーエンドアンソロジー！！※この作品は『これが運命!? 悪役令嬢は愛されルートに入りました！アンソロジーコミック（２）』収録作品と同一の内容を単話版として再編集したものとなります。</v>
      </c>
      <c r="W897" s="14"/>
      <c r="X897" s="14" t="str">
        <f>IFERROR(__xludf.DUMMYFUNCTION("""COMPUTED_VALUE"""),"有")</f>
        <v>有</v>
      </c>
      <c r="Y897" s="8" t="str">
        <f>IFERROR(__xludf.DUMMYFUNCTION("""COMPUTED_VALUE"""),"P7まで")</f>
        <v>P7まで</v>
      </c>
      <c r="Z897" s="7"/>
      <c r="AA897" s="7"/>
      <c r="AB897" s="7"/>
    </row>
    <row r="898" ht="95.25" customHeight="1">
      <c r="A898" s="26">
        <f>IFERROR(__xludf.DUMMYFUNCTION("""COMPUTED_VALUE"""),2643.0)</f>
        <v>2643</v>
      </c>
      <c r="B898" s="22" t="str">
        <f>IFERROR(__xludf.DUMMYFUNCTION("""COMPUTED_VALUE"""),"確定")</f>
        <v>確定</v>
      </c>
      <c r="C898" s="28">
        <f>IFERROR(__xludf.DUMMYFUNCTION("""COMPUTED_VALUE"""),45244.0)</f>
        <v>45244</v>
      </c>
      <c r="D898" s="28">
        <f>IFERROR(__xludf.DUMMYFUNCTION("""COMPUTED_VALUE"""),45245.0)</f>
        <v>45245</v>
      </c>
      <c r="E898" s="31">
        <f>IFERROR(__xludf.DUMMYFUNCTION("""COMPUTED_VALUE"""),282208.0)</f>
        <v>282208</v>
      </c>
      <c r="F898" s="22" t="str">
        <f>IFERROR(__xludf.DUMMYFUNCTION("""COMPUTED_VALUE"""),"婚約破棄令嬢は真実の愛を諦めない")</f>
        <v>婚約破棄令嬢は真実の愛を諦めない</v>
      </c>
      <c r="G898" s="20">
        <f>IFERROR(__xludf.DUMMYFUNCTION("""COMPUTED_VALUE"""),1.0)</f>
        <v>1</v>
      </c>
      <c r="H898" s="22" t="str">
        <f>IFERROR(__xludf.DUMMYFUNCTION("""COMPUTED_VALUE"""),"漫画:嘉噛もち・原作:谷地 雪・構成:丹波 良玄")</f>
        <v>漫画:嘉噛もち・原作:谷地 雪・構成:丹波 良玄</v>
      </c>
      <c r="I898" s="14" t="str">
        <f>IFERROR(__xludf.DUMMYFUNCTION("""COMPUTED_VALUE"""),"女性")</f>
        <v>女性</v>
      </c>
      <c r="J898" s="22"/>
      <c r="K898" s="22"/>
      <c r="L898" s="22" t="str">
        <f>IFERROR(__xludf.DUMMYFUNCTION("""COMPUTED_VALUE"""),"実業之日本社")</f>
        <v>実業之日本社</v>
      </c>
      <c r="M898" s="23">
        <f>IFERROR(__xludf.DUMMYFUNCTION("""COMPUTED_VALUE"""),45274.0)</f>
        <v>45274</v>
      </c>
      <c r="N898" s="23">
        <f>IFERROR(__xludf.DUMMYFUNCTION("""COMPUTED_VALUE"""),45335.0)</f>
        <v>45335</v>
      </c>
      <c r="O898" s="20"/>
      <c r="P898" s="29" t="str">
        <f>IFERROR(__xludf.DUMMYFUNCTION("""COMPUTED_VALUE"""),"可")</f>
        <v>可</v>
      </c>
      <c r="Q898" s="30" t="str">
        <f>IFERROR(__xludf.DUMMYFUNCTION("""COMPUTED_VALUE"""),"事前コミットOKの作品です")</f>
        <v>事前コミットOKの作品です</v>
      </c>
      <c r="R898" s="22"/>
      <c r="S898" s="22" t="str">
        <f>IFERROR(__xludf.DUMMYFUNCTION("""COMPUTED_VALUE"""),"20231114_実業之日本社_婚約破棄令嬢は真実の愛を諦めない")</f>
        <v>20231114_実業之日本社_婚約破棄令嬢は真実の愛を諦めない</v>
      </c>
      <c r="T898" s="22" t="str">
        <f>IFERROR(__xludf.DUMMYFUNCTION("""COMPUTED_VALUE"""),"格納済み")</f>
        <v>格納済み</v>
      </c>
      <c r="U898" s="15" t="str">
        <f>IFERROR(__xludf.DUMMYFUNCTION("""COMPUTED_VALUE"""),"©嘉噛もち・谷地 雪・丹波良玄／実業之日本社")</f>
        <v>©嘉噛もち・谷地 雪・丹波良玄／実業之日本社</v>
      </c>
      <c r="V898" s="8" t="str">
        <f>IFERROR(__xludf.DUMMYFUNCTION("""COMPUTED_VALUE"""),"訳アリ令嬢でも、愛されていいですか？甘く繰り広げられる悪役令嬢ハッピーエンドアンソロジー！！※この作品は『これが運命!? 悪役令嬢は愛されルートに入りました！アンソロジーコミック（２）』収録作品と同一の内容を単話版として再編集したものとなります。")</f>
        <v>訳アリ令嬢でも、愛されていいですか？甘く繰り広げられる悪役令嬢ハッピーエンドアンソロジー！！※この作品は『これが運命!? 悪役令嬢は愛されルートに入りました！アンソロジーコミック（２）』収録作品と同一の内容を単話版として再編集したものとなります。</v>
      </c>
      <c r="W898" s="14"/>
      <c r="X898" s="14" t="str">
        <f>IFERROR(__xludf.DUMMYFUNCTION("""COMPUTED_VALUE"""),"有")</f>
        <v>有</v>
      </c>
      <c r="Y898" s="8" t="str">
        <f>IFERROR(__xludf.DUMMYFUNCTION("""COMPUTED_VALUE"""),"P7まで")</f>
        <v>P7まで</v>
      </c>
      <c r="Z898" s="7"/>
      <c r="AA898" s="7"/>
      <c r="AB898" s="7"/>
    </row>
    <row r="899" ht="96.0" customHeight="1">
      <c r="A899" s="26">
        <f>IFERROR(__xludf.DUMMYFUNCTION("""COMPUTED_VALUE"""),2644.0)</f>
        <v>2644</v>
      </c>
      <c r="B899" s="22" t="str">
        <f>IFERROR(__xludf.DUMMYFUNCTION("""COMPUTED_VALUE"""),"確定")</f>
        <v>確定</v>
      </c>
      <c r="C899" s="28">
        <f>IFERROR(__xludf.DUMMYFUNCTION("""COMPUTED_VALUE"""),45244.0)</f>
        <v>45244</v>
      </c>
      <c r="D899" s="28">
        <f>IFERROR(__xludf.DUMMYFUNCTION("""COMPUTED_VALUE"""),45245.0)</f>
        <v>45245</v>
      </c>
      <c r="E899" s="31">
        <f>IFERROR(__xludf.DUMMYFUNCTION("""COMPUTED_VALUE"""),282204.0)</f>
        <v>282204</v>
      </c>
      <c r="F899" s="22" t="str">
        <f>IFERROR(__xludf.DUMMYFUNCTION("""COMPUTED_VALUE"""),"真実の愛を見つけられたのですね。とても素晴らしいので、私も殿下を見習います")</f>
        <v>真実の愛を見つけられたのですね。とても素晴らしいので、私も殿下を見習います</v>
      </c>
      <c r="G899" s="20">
        <f>IFERROR(__xludf.DUMMYFUNCTION("""COMPUTED_VALUE"""),1.0)</f>
        <v>1</v>
      </c>
      <c r="H899" s="22" t="str">
        <f>IFERROR(__xludf.DUMMYFUNCTION("""COMPUTED_VALUE"""),"漫画:榎のと 原作:来須みかん 構成:浅桜ひつじ")</f>
        <v>漫画:榎のと 原作:来須みかん 構成:浅桜ひつじ</v>
      </c>
      <c r="I899" s="14" t="str">
        <f>IFERROR(__xludf.DUMMYFUNCTION("""COMPUTED_VALUE"""),"女性")</f>
        <v>女性</v>
      </c>
      <c r="J899" s="22"/>
      <c r="K899" s="22"/>
      <c r="L899" s="22" t="str">
        <f>IFERROR(__xludf.DUMMYFUNCTION("""COMPUTED_VALUE"""),"実業之日本社")</f>
        <v>実業之日本社</v>
      </c>
      <c r="M899" s="23">
        <f>IFERROR(__xludf.DUMMYFUNCTION("""COMPUTED_VALUE"""),45274.0)</f>
        <v>45274</v>
      </c>
      <c r="N899" s="23">
        <f>IFERROR(__xludf.DUMMYFUNCTION("""COMPUTED_VALUE"""),45335.0)</f>
        <v>45335</v>
      </c>
      <c r="O899" s="20"/>
      <c r="P899" s="29" t="str">
        <f>IFERROR(__xludf.DUMMYFUNCTION("""COMPUTED_VALUE"""),"可")</f>
        <v>可</v>
      </c>
      <c r="Q899" s="30" t="str">
        <f>IFERROR(__xludf.DUMMYFUNCTION("""COMPUTED_VALUE"""),"事前コミットOKの作品です")</f>
        <v>事前コミットOKの作品です</v>
      </c>
      <c r="R899" s="22"/>
      <c r="S899" s="22" t="str">
        <f>IFERROR(__xludf.DUMMYFUNCTION("""COMPUTED_VALUE"""),"20231114_実業之日本社_真実の愛を見つけられたのですね。とても素晴らしいので、私も殿下を見習います")</f>
        <v>20231114_実業之日本社_真実の愛を見つけられたのですね。とても素晴らしいので、私も殿下を見習います</v>
      </c>
      <c r="T899" s="22" t="str">
        <f>IFERROR(__xludf.DUMMYFUNCTION("""COMPUTED_VALUE"""),"格納済み")</f>
        <v>格納済み</v>
      </c>
      <c r="U899" s="15" t="str">
        <f>IFERROR(__xludf.DUMMYFUNCTION("""COMPUTED_VALUE"""),"©榎のと・来須みかん・浅桜ひつじ／実業之日本社")</f>
        <v>©榎のと・来須みかん・浅桜ひつじ／実業之日本社</v>
      </c>
      <c r="V899" s="8" t="str">
        <f>IFERROR(__xludf.DUMMYFUNCTION("""COMPUTED_VALUE"""),"訳アリ令嬢でも、愛されていいですか？甘く繰り広げられる悪役令嬢ハッピーエンドアンソロジー！！※この作品は『これが運命!? 悪役令嬢は愛されルートに入りました！アンソロジーコミック（２）』収録作品と同一の内容を単話版として再編集したものとなります。")</f>
        <v>訳アリ令嬢でも、愛されていいですか？甘く繰り広げられる悪役令嬢ハッピーエンドアンソロジー！！※この作品は『これが運命!? 悪役令嬢は愛されルートに入りました！アンソロジーコミック（２）』収録作品と同一の内容を単話版として再編集したものとなります。</v>
      </c>
      <c r="W899" s="14"/>
      <c r="X899" s="14" t="str">
        <f>IFERROR(__xludf.DUMMYFUNCTION("""COMPUTED_VALUE"""),"有")</f>
        <v>有</v>
      </c>
      <c r="Y899" s="8" t="str">
        <f>IFERROR(__xludf.DUMMYFUNCTION("""COMPUTED_VALUE"""),"P7まで")</f>
        <v>P7まで</v>
      </c>
      <c r="Z899" s="7"/>
      <c r="AA899" s="7"/>
      <c r="AB899" s="7"/>
    </row>
    <row r="900" ht="15.75" customHeight="1">
      <c r="A900" s="26">
        <f>IFERROR(__xludf.DUMMYFUNCTION("""COMPUTED_VALUE"""),2393.0)</f>
        <v>2393</v>
      </c>
      <c r="B900" s="22" t="str">
        <f>IFERROR(__xludf.DUMMYFUNCTION("""COMPUTED_VALUE"""),"確定")</f>
        <v>確定</v>
      </c>
      <c r="C900" s="28">
        <f>IFERROR(__xludf.DUMMYFUNCTION("""COMPUTED_VALUE"""),45188.0)</f>
        <v>45188</v>
      </c>
      <c r="D900" s="28">
        <f>IFERROR(__xludf.DUMMYFUNCTION("""COMPUTED_VALUE"""),45251.0)</f>
        <v>45251</v>
      </c>
      <c r="E900" s="31">
        <f>IFERROR(__xludf.DUMMYFUNCTION("""COMPUTED_VALUE"""),282079.0)</f>
        <v>282079</v>
      </c>
      <c r="F900" s="22" t="str">
        <f>IFERROR(__xludf.DUMMYFUNCTION("""COMPUTED_VALUE"""),"食べられたいのは君のせい")</f>
        <v>食べられたいのは君のせい</v>
      </c>
      <c r="G900" s="20">
        <f>IFERROR(__xludf.DUMMYFUNCTION("""COMPUTED_VALUE"""),1.0)</f>
        <v>1</v>
      </c>
      <c r="H900" s="22" t="str">
        <f>IFERROR(__xludf.DUMMYFUNCTION("""COMPUTED_VALUE"""),"らぐららぐ")</f>
        <v>らぐららぐ</v>
      </c>
      <c r="I900" s="22" t="str">
        <f>IFERROR(__xludf.DUMMYFUNCTION("""COMPUTED_VALUE"""),"BL")</f>
        <v>BL</v>
      </c>
      <c r="J900" s="22"/>
      <c r="K900" s="22"/>
      <c r="L900" s="22" t="str">
        <f>IFERROR(__xludf.DUMMYFUNCTION("""COMPUTED_VALUE"""),"アメイロ")</f>
        <v>アメイロ</v>
      </c>
      <c r="M900" s="23">
        <f>IFERROR(__xludf.DUMMYFUNCTION("""COMPUTED_VALUE"""),45275.0)</f>
        <v>45275</v>
      </c>
      <c r="N900" s="23">
        <f>IFERROR(__xludf.DUMMYFUNCTION("""COMPUTED_VALUE"""),45309.0)</f>
        <v>45309</v>
      </c>
      <c r="O900" s="20"/>
      <c r="P900" s="29" t="str">
        <f>IFERROR(__xludf.DUMMYFUNCTION("""COMPUTED_VALUE"""),"可")</f>
        <v>可</v>
      </c>
      <c r="Q900" s="30" t="str">
        <f>IFERROR(__xludf.DUMMYFUNCTION("""COMPUTED_VALUE"""),"1121：著者名変更しました。「らぐららぐ」さんでお願いいたします。")</f>
        <v>1121：著者名変更しました。「らぐららぐ」さんでお願いいたします。</v>
      </c>
      <c r="R900" s="22"/>
      <c r="S900" s="22" t="str">
        <f>IFERROR(__xludf.DUMMYFUNCTION("""COMPUTED_VALUE"""),"20231121_アメイロ_食べられたいのは君のせい")</f>
        <v>20231121_アメイロ_食べられたいのは君のせい</v>
      </c>
      <c r="T900" s="22" t="str">
        <f>IFERROR(__xludf.DUMMYFUNCTION("""COMPUTED_VALUE"""),"格納済み")</f>
        <v>格納済み</v>
      </c>
      <c r="U900" s="15" t="str">
        <f>IFERROR(__xludf.DUMMYFUNCTION("""COMPUTED_VALUE"""),"（C）らぐららぐ/アメイロ")</f>
        <v>（C）らぐららぐ/アメイロ</v>
      </c>
      <c r="V900" s="8" t="str">
        <f>IFERROR(__xludf.DUMMYFUNCTION("""COMPUTED_VALUE"""),"【年下ワンコ大学生×ひねくれ不器用ビッチ】
トラウマも甘くとろける救済ケーキバース！！
この世界には、「フォーク」と「ケーキ」――味覚を失った“捕食者”と、彼らが唯一甘く感じる体液を持つ“被食者”と呼ばれる2種類の人間がいる。
過去のとある出来事から、フォークをひどく嫌っている黒瀬 凛（くろせ りん）。
ケーキである黒瀬の甘美な体液に釣られ、毎日のように近づいてくるフォークたち――
黒瀬は、そんな彼らにカラダを許しては、ハマらせて捨てる「遊び」を繰り返していた。
ある日、黒瀬は謎の"&amp;"大型犬系男子・立花 莉央（たちばな りお）に出会う。
「最近、味がしない」と悩む莉央を見て、黒瀬は莉央がフォークだと直感し、
いつものように、莉央を自分の部屋へ誘おうとするが――
「どうせフォークなんか、みんな一緒だ」
そう思っていたのに、莉央はフォークらしからぬ行動に出て…！？")</f>
        <v>【年下ワンコ大学生×ひねくれ不器用ビッチ】
トラウマも甘くとろける救済ケーキバース！！
この世界には、「フォーク」と「ケーキ」――味覚を失った“捕食者”と、彼らが唯一甘く感じる体液を持つ“被食者”と呼ばれる2種類の人間がいる。
過去のとある出来事から、フォークをひどく嫌っている黒瀬 凛（くろせ りん）。
ケーキである黒瀬の甘美な体液に釣られ、毎日のように近づいてくるフォークたち――
黒瀬は、そんな彼らにカラダを許しては、ハマらせて捨てる「遊び」を繰り返していた。
ある日、黒瀬は謎の大型犬系男子・立花 莉央（たちばな りお）に出会う。
「最近、味がしない」と悩む莉央を見て、黒瀬は莉央がフォークだと直感し、
いつものように、莉央を自分の部屋へ誘おうとするが――
「どうせフォークなんか、みんな一緒だ」
そう思っていたのに、莉央はフォークらしからぬ行動に出て…！？</v>
      </c>
      <c r="W900" s="14"/>
      <c r="X900" s="14" t="str">
        <f>IFERROR(__xludf.DUMMYFUNCTION("""COMPUTED_VALUE"""),"有")</f>
        <v>有</v>
      </c>
      <c r="Y900" s="8" t="str">
        <f>IFERROR(__xludf.DUMMYFUNCTION("""COMPUTED_VALUE"""),"P14まで")</f>
        <v>P14まで</v>
      </c>
      <c r="Z900" s="7"/>
      <c r="AA900" s="7"/>
      <c r="AB900" s="7"/>
    </row>
    <row r="901" ht="15.75" customHeight="1">
      <c r="A901" s="26">
        <f>IFERROR(__xludf.DUMMYFUNCTION("""COMPUTED_VALUE"""),2457.0)</f>
        <v>2457</v>
      </c>
      <c r="B901" s="22" t="str">
        <f>IFERROR(__xludf.DUMMYFUNCTION("""COMPUTED_VALUE"""),"確定")</f>
        <v>確定</v>
      </c>
      <c r="C901" s="28">
        <f>IFERROR(__xludf.DUMMYFUNCTION("""COMPUTED_VALUE"""),45202.0)</f>
        <v>45202</v>
      </c>
      <c r="D901" s="28">
        <f>IFERROR(__xludf.DUMMYFUNCTION("""COMPUTED_VALUE"""),45251.0)</f>
        <v>45251</v>
      </c>
      <c r="E901" s="31">
        <f>IFERROR(__xludf.DUMMYFUNCTION("""COMPUTED_VALUE"""),282619.0)</f>
        <v>282619</v>
      </c>
      <c r="F901" s="22" t="str">
        <f>IFERROR(__xludf.DUMMYFUNCTION("""COMPUTED_VALUE"""),"限界家族")</f>
        <v>限界家族</v>
      </c>
      <c r="G901" s="16" t="str">
        <f>IFERROR(__xludf.DUMMYFUNCTION("""COMPUTED_VALUE"""),"1～3")</f>
        <v>1～3</v>
      </c>
      <c r="H901" s="22" t="str">
        <f>IFERROR(__xludf.DUMMYFUNCTION("""COMPUTED_VALUE"""),"COMIC ROOM┴水村あくと")</f>
        <v>COMIC ROOM┴水村あくと</v>
      </c>
      <c r="I901" s="22" t="str">
        <f>IFERROR(__xludf.DUMMYFUNCTION("""COMPUTED_VALUE"""),"女性")</f>
        <v>女性</v>
      </c>
      <c r="J901" s="22"/>
      <c r="K901" s="22"/>
      <c r="L901" s="22" t="str">
        <f>IFERROR(__xludf.DUMMYFUNCTION("""COMPUTED_VALUE"""),"小学館")</f>
        <v>小学館</v>
      </c>
      <c r="M901" s="23">
        <f>IFERROR(__xludf.DUMMYFUNCTION("""COMPUTED_VALUE"""),45281.0)</f>
        <v>45281</v>
      </c>
      <c r="N901" s="33">
        <f>IFERROR(__xludf.DUMMYFUNCTION("""COMPUTED_VALUE"""),45463.0)</f>
        <v>45463</v>
      </c>
      <c r="O901" s="20"/>
      <c r="P901" s="29" t="str">
        <f>IFERROR(__xludf.DUMMYFUNCTION("""COMPUTED_VALUE"""),"可")</f>
        <v>可</v>
      </c>
      <c r="Q901" s="30" t="str">
        <f>IFERROR(__xludf.DUMMYFUNCTION("""COMPUTED_VALUE"""),"広告コミットOK(10/12)&lt;BR&gt;・1巻目0円のため常時無料です")</f>
        <v>広告コミットOK(10/12)&lt;BR&gt;・1巻目0円のため常時無料です</v>
      </c>
      <c r="R901" s="22"/>
      <c r="S901" s="22" t="str">
        <f>IFERROR(__xludf.DUMMYFUNCTION("""COMPUTED_VALUE"""),"20231121_小学館_限界家族")</f>
        <v>20231121_小学館_限界家族</v>
      </c>
      <c r="T901" s="22" t="str">
        <f>IFERROR(__xludf.DUMMYFUNCTION("""COMPUTED_VALUE"""),"格納済み")</f>
        <v>格納済み</v>
      </c>
      <c r="U901" s="15" t="str">
        <f>IFERROR(__xludf.DUMMYFUNCTION("""COMPUTED_VALUE"""),"(C)COMIC ROOM・水村あくと/小学館")</f>
        <v>(C)COMIC ROOM・水村あくと/小学館</v>
      </c>
      <c r="V901" s="8" t="str">
        <f>IFERROR(__xludf.DUMMYFUNCTION("""COMPUTED_VALUE"""),"結婚20年目を迎えた主婦・佐藤美咲。３年前に念願のマイホームを購入し、夫の両親と同居を開始。思い描いていた楽しい生活はしかし、悲劇の幕開けに過ぎなかった。ママ活、パパ活、老々介護。孤立に詐欺に引きこもり…。次々と湧き上がる問題を前に、崩壊寸前の佐藤家はどう立ち向かうのか。現代社会の問題満載、限界家族の運命は、予測不可能な展開に…！？")</f>
        <v>結婚20年目を迎えた主婦・佐藤美咲。３年前に念願のマイホームを購入し、夫の両親と同居を開始。思い描いていた楽しい生活はしかし、悲劇の幕開けに過ぎなかった。ママ活、パパ活、老々介護。孤立に詐欺に引きこもり…。次々と湧き上がる問題を前に、崩壊寸前の佐藤家はどう立ち向かうのか。現代社会の問題満載、限界家族の運命は、予測不可能な展開に…！？</v>
      </c>
      <c r="W901" s="14"/>
      <c r="X901" s="14" t="str">
        <f>IFERROR(__xludf.DUMMYFUNCTION("""COMPUTED_VALUE"""),"有")</f>
        <v>有</v>
      </c>
      <c r="Y901" s="8" t="str">
        <f>IFERROR(__xludf.DUMMYFUNCTION("""COMPUTED_VALUE"""),"1巻無料")</f>
        <v>1巻無料</v>
      </c>
      <c r="Z901" s="7"/>
      <c r="AA901" s="7"/>
      <c r="AB901" s="7"/>
    </row>
    <row r="902" ht="15.75" customHeight="1">
      <c r="A902" s="26">
        <f>IFERROR(__xludf.DUMMYFUNCTION("""COMPUTED_VALUE"""),2502.0)</f>
        <v>2502</v>
      </c>
      <c r="B902" s="22" t="str">
        <f>IFERROR(__xludf.DUMMYFUNCTION("""COMPUTED_VALUE"""),"確定")</f>
        <v>確定</v>
      </c>
      <c r="C902" s="28">
        <f>IFERROR(__xludf.DUMMYFUNCTION("""COMPUTED_VALUE"""),45209.0)</f>
        <v>45209</v>
      </c>
      <c r="D902" s="28">
        <f>IFERROR(__xludf.DUMMYFUNCTION("""COMPUTED_VALUE"""),45247.0)</f>
        <v>45247</v>
      </c>
      <c r="E902" s="31">
        <f>IFERROR(__xludf.DUMMYFUNCTION("""COMPUTED_VALUE"""),282273.0)</f>
        <v>282273</v>
      </c>
      <c r="F902" s="22" t="str">
        <f>IFERROR(__xludf.DUMMYFUNCTION("""COMPUTED_VALUE"""),"彼氏持ち学生バイト弓野ちゃんは今日も店長に狙われる")</f>
        <v>彼氏持ち学生バイト弓野ちゃんは今日も店長に狙われる</v>
      </c>
      <c r="G902" s="20" t="str">
        <f>IFERROR(__xludf.DUMMYFUNCTION("""COMPUTED_VALUE"""),"1~3")</f>
        <v>1~3</v>
      </c>
      <c r="H902" s="22" t="str">
        <f>IFERROR(__xludf.DUMMYFUNCTION("""COMPUTED_VALUE"""),"カマキリファーム")</f>
        <v>カマキリファーム</v>
      </c>
      <c r="I902" s="22" t="str">
        <f>IFERROR(__xludf.DUMMYFUNCTION("""COMPUTED_VALUE"""),"オトナ")</f>
        <v>オトナ</v>
      </c>
      <c r="J902" s="22"/>
      <c r="K902" s="22"/>
      <c r="L902" s="22" t="str">
        <f>IFERROR(__xludf.DUMMYFUNCTION("""COMPUTED_VALUE"""),"DEEPER-ZERO")</f>
        <v>DEEPER-ZERO</v>
      </c>
      <c r="M902" s="23">
        <f>IFERROR(__xludf.DUMMYFUNCTION("""COMPUTED_VALUE"""),45276.0)</f>
        <v>45276</v>
      </c>
      <c r="N902" s="23">
        <f>IFERROR(__xludf.DUMMYFUNCTION("""COMPUTED_VALUE"""),45311.0)</f>
        <v>45311</v>
      </c>
      <c r="O902" s="20"/>
      <c r="P902" s="29" t="str">
        <f>IFERROR(__xludf.DUMMYFUNCTION("""COMPUTED_VALUE"""),"可")</f>
        <v>可</v>
      </c>
      <c r="Q902" s="22" t="str">
        <f>IFERROR(__xludf.DUMMYFUNCTION("""COMPUTED_VALUE"""),"広告コミットOK(10/18)")</f>
        <v>広告コミットOK(10/18)</v>
      </c>
      <c r="R902" s="22" t="str">
        <f>IFERROR(__xludf.DUMMYFUNCTION("""COMPUTED_VALUE"""),"格納済")</f>
        <v>格納済</v>
      </c>
      <c r="S902" s="22" t="str">
        <f>IFERROR(__xludf.DUMMYFUNCTION("""COMPUTED_VALUE"""),"20231117_DEEPERZERO_彼氏持ち学生バイト弓野ちゃんは今日も店長に狙われる")</f>
        <v>20231117_DEEPERZERO_彼氏持ち学生バイト弓野ちゃんは今日も店長に狙われる</v>
      </c>
      <c r="T902" s="22" t="str">
        <f>IFERROR(__xludf.DUMMYFUNCTION("""COMPUTED_VALUE"""),"格納済み")</f>
        <v>格納済み</v>
      </c>
      <c r="U902" s="15" t="str">
        <f>IFERROR(__xludf.DUMMYFUNCTION("""COMPUTED_VALUE"""),"©カマキリファーム/DEEPER-ZERO")</f>
        <v>©カマキリファーム/DEEPER-ZERO</v>
      </c>
      <c r="V902" s="14" t="str">
        <f>IFERROR(__xludf.DUMMYFUNCTION("""COMPUTED_VALUE"""),"「ダメです店長、初めては彼に…ああ、おかしくなっちゃう。入れてもらえたら楽になるのかな…」コンビニで働く彼氏持ち新人バイトの弓野ちゃんはある日、盗撮が趣味の店長にスマホのパスワードを知られてしまう。「フェラの練習しておいて！」と、まだキスしかした事のない彼氏から唐突に送られてきたメッセージーー。経験のない弓野ちゃんは戸惑うが、それは遠距離恋愛中の彼氏になりすました店長からの‘偽メッセージ’だった。弓野ちゃんの為にと強引に教育係を申し出る店長。何も知らない弓野ちゃんは、彼氏への一途な思いから、なし崩し的に店"&amp;"長のエロ指導を受ける事に。その日から始まる、指導という名目で行われる店長室での情事。セックスだけは頑なに拒否する弓野ちゃんだったが教え込まれていく快楽の中である日、ついに彼女の理性は崩壊するーーー。")</f>
        <v>「ダメです店長、初めては彼に…ああ、おかしくなっちゃう。入れてもらえたら楽になるのかな…」コンビニで働く彼氏持ち新人バイトの弓野ちゃんはある日、盗撮が趣味の店長にスマホのパスワードを知られてしまう。「フェラの練習しておいて！」と、まだキスしかした事のない彼氏から唐突に送られてきたメッセージーー。経験のない弓野ちゃんは戸惑うが、それは遠距離恋愛中の彼氏になりすました店長からの‘偽メッセージ’だった。弓野ちゃんの為にと強引に教育係を申し出る店長。何も知らない弓野ちゃんは、彼氏への一途な思いから、なし崩し的に店長のエロ指導を受ける事に。その日から始まる、指導という名目で行われる店長室での情事。セックスだけは頑なに拒否する弓野ちゃんだったが教え込まれていく快楽の中である日、ついに彼女の理性は崩壊するーーー。</v>
      </c>
      <c r="W902" s="14"/>
      <c r="X902" s="14" t="str">
        <f>IFERROR(__xludf.DUMMYFUNCTION("""COMPUTED_VALUE"""),"有")</f>
        <v>有</v>
      </c>
      <c r="Y902" s="8" t="str">
        <f>IFERROR(__xludf.DUMMYFUNCTION("""COMPUTED_VALUE"""),"P９まで")</f>
        <v>P９まで</v>
      </c>
      <c r="Z902" s="7"/>
      <c r="AA902" s="7"/>
      <c r="AB902" s="7"/>
    </row>
    <row r="903" ht="15.75" customHeight="1">
      <c r="A903" s="26">
        <f>IFERROR(__xludf.DUMMYFUNCTION("""COMPUTED_VALUE"""),2520.0)</f>
        <v>2520</v>
      </c>
      <c r="B903" s="22" t="str">
        <f>IFERROR(__xludf.DUMMYFUNCTION("""COMPUTED_VALUE"""),"確定")</f>
        <v>確定</v>
      </c>
      <c r="C903" s="28">
        <f>IFERROR(__xludf.DUMMYFUNCTION("""COMPUTED_VALUE"""),45212.0)</f>
        <v>45212</v>
      </c>
      <c r="D903" s="28">
        <f>IFERROR(__xludf.DUMMYFUNCTION("""COMPUTED_VALUE"""),45251.0)</f>
        <v>45251</v>
      </c>
      <c r="E903" s="31">
        <f>IFERROR(__xludf.DUMMYFUNCTION("""COMPUTED_VALUE"""),282122.0)</f>
        <v>282122</v>
      </c>
      <c r="F903" s="22" t="str">
        <f>IFERROR(__xludf.DUMMYFUNCTION("""COMPUTED_VALUE"""),"リミットシンデレラ～はじめての恋は〆切のあとで～")</f>
        <v>リミットシンデレラ～はじめての恋は〆切のあとで～</v>
      </c>
      <c r="G903" s="20" t="str">
        <f>IFERROR(__xludf.DUMMYFUNCTION("""COMPUTED_VALUE"""),"1～3")</f>
        <v>1～3</v>
      </c>
      <c r="H903" s="22" t="str">
        <f>IFERROR(__xludf.DUMMYFUNCTION("""COMPUTED_VALUE"""),"原作・霜月セイ / 作画・白身")</f>
        <v>原作・霜月セイ / 作画・白身</v>
      </c>
      <c r="I903" s="22" t="str">
        <f>IFERROR(__xludf.DUMMYFUNCTION("""COMPUTED_VALUE"""),"女性")</f>
        <v>女性</v>
      </c>
      <c r="J903" s="22"/>
      <c r="K903" s="22"/>
      <c r="L903" s="22" t="str">
        <f>IFERROR(__xludf.DUMMYFUNCTION("""COMPUTED_VALUE"""),"ICE")</f>
        <v>ICE</v>
      </c>
      <c r="M903" s="23">
        <f>IFERROR(__xludf.DUMMYFUNCTION("""COMPUTED_VALUE"""),45274.0)</f>
        <v>45274</v>
      </c>
      <c r="N903" s="23">
        <f>IFERROR(__xludf.DUMMYFUNCTION("""COMPUTED_VALUE"""),45365.0)</f>
        <v>45365</v>
      </c>
      <c r="O903" s="20"/>
      <c r="P903" s="29" t="str">
        <f>IFERROR(__xludf.DUMMYFUNCTION("""COMPUTED_VALUE"""),"可")</f>
        <v>可</v>
      </c>
      <c r="Q903" s="30" t="str">
        <f>IFERROR(__xludf.DUMMYFUNCTION("""COMPUTED_VALUE"""),"広告コミットOK(10/20)")</f>
        <v>広告コミットOK(10/20)</v>
      </c>
      <c r="R903" s="22"/>
      <c r="S903" s="22" t="str">
        <f>IFERROR(__xludf.DUMMYFUNCTION("""COMPUTED_VALUE"""),"20231121_ICE_12月新作")</f>
        <v>20231121_ICE_12月新作</v>
      </c>
      <c r="T903" s="22" t="str">
        <f>IFERROR(__xludf.DUMMYFUNCTION("""COMPUTED_VALUE"""),"格納済み")</f>
        <v>格納済み</v>
      </c>
      <c r="U903" s="15" t="str">
        <f>IFERROR(__xludf.DUMMYFUNCTION("""COMPUTED_VALUE"""),"(C)Sei Shimotsuki・Karubonara・Shiromi / ICE")</f>
        <v>(C)Sei Shimotsuki・Karubonara・Shiromi / ICE</v>
      </c>
      <c r="V903" s="8" t="str">
        <f>IFERROR(__xludf.DUMMYFUNCTION("""COMPUTED_VALUE"""),"女性の美を追求する雑誌『Seven Virtues』の企画・編集リーダーである黒木弥生。学生時代の時にかけられた”とある呪い”により、恋からもオシャレからも距離を置き、仕事一筋で頑張ってきたが、気づけばもう30代。かつて思い描いていた姿とは大違いの大人になっていた。そんな彼女の前に、強気な笑顔のイケメンが目の前に現れて───！？ 生きにくい社会の中で「なりたい自分」の姿を目指して変わっていくヒロインが紡ぐ、現代のシンデレラストーリー。")</f>
        <v>女性の美を追求する雑誌『Seven Virtues』の企画・編集リーダーである黒木弥生。学生時代の時にかけられた”とある呪い”により、恋からもオシャレからも距離を置き、仕事一筋で頑張ってきたが、気づけばもう30代。かつて思い描いていた姿とは大違いの大人になっていた。そんな彼女の前に、強気な笑顔のイケメンが目の前に現れて───！？ 生きにくい社会の中で「なりたい自分」の姿を目指して変わっていくヒロインが紡ぐ、現代のシンデレラストーリー。</v>
      </c>
      <c r="W903" s="14"/>
      <c r="X903" s="14" t="str">
        <f>IFERROR(__xludf.DUMMYFUNCTION("""COMPUTED_VALUE"""),"有")</f>
        <v>有</v>
      </c>
      <c r="Y903" s="8" t="str">
        <f>IFERROR(__xludf.DUMMYFUNCTION("""COMPUTED_VALUE"""),"P1まで")</f>
        <v>P1まで</v>
      </c>
      <c r="Z903" s="7"/>
      <c r="AA903" s="7"/>
      <c r="AB903" s="7"/>
    </row>
    <row r="904" ht="15.75" customHeight="1">
      <c r="A904" s="26">
        <f>IFERROR(__xludf.DUMMYFUNCTION("""COMPUTED_VALUE"""),2521.0)</f>
        <v>2521</v>
      </c>
      <c r="B904" s="22" t="str">
        <f>IFERROR(__xludf.DUMMYFUNCTION("""COMPUTED_VALUE"""),"確定")</f>
        <v>確定</v>
      </c>
      <c r="C904" s="28">
        <f>IFERROR(__xludf.DUMMYFUNCTION("""COMPUTED_VALUE"""),45212.0)</f>
        <v>45212</v>
      </c>
      <c r="D904" s="28">
        <f>IFERROR(__xludf.DUMMYFUNCTION("""COMPUTED_VALUE"""),45251.0)</f>
        <v>45251</v>
      </c>
      <c r="E904" s="31">
        <f>IFERROR(__xludf.DUMMYFUNCTION("""COMPUTED_VALUE"""),282125.0)</f>
        <v>282125</v>
      </c>
      <c r="F904" s="22" t="str">
        <f>IFERROR(__xludf.DUMMYFUNCTION("""COMPUTED_VALUE"""),"男運のない私がマッチングアプリしてみたら～キラびやかな闇に堕ちました～")</f>
        <v>男運のない私がマッチングアプリしてみたら～キラびやかな闇に堕ちました～</v>
      </c>
      <c r="G904" s="20" t="str">
        <f>IFERROR(__xludf.DUMMYFUNCTION("""COMPUTED_VALUE"""),"1～3")</f>
        <v>1～3</v>
      </c>
      <c r="H904" s="22" t="str">
        <f>IFERROR(__xludf.DUMMYFUNCTION("""COMPUTED_VALUE"""),"原作・道端 夢 / 作画・コタツ")</f>
        <v>原作・道端 夢 / 作画・コタツ</v>
      </c>
      <c r="I904" s="22" t="str">
        <f>IFERROR(__xludf.DUMMYFUNCTION("""COMPUTED_VALUE"""),"女性")</f>
        <v>女性</v>
      </c>
      <c r="J904" s="22"/>
      <c r="K904" s="22"/>
      <c r="L904" s="22" t="str">
        <f>IFERROR(__xludf.DUMMYFUNCTION("""COMPUTED_VALUE"""),"ICE")</f>
        <v>ICE</v>
      </c>
      <c r="M904" s="23">
        <f>IFERROR(__xludf.DUMMYFUNCTION("""COMPUTED_VALUE"""),45274.0)</f>
        <v>45274</v>
      </c>
      <c r="N904" s="23">
        <f>IFERROR(__xludf.DUMMYFUNCTION("""COMPUTED_VALUE"""),45365.0)</f>
        <v>45365</v>
      </c>
      <c r="O904" s="20"/>
      <c r="P904" s="29" t="str">
        <f>IFERROR(__xludf.DUMMYFUNCTION("""COMPUTED_VALUE"""),"可")</f>
        <v>可</v>
      </c>
      <c r="Q904" s="30" t="str">
        <f>IFERROR(__xludf.DUMMYFUNCTION("""COMPUTED_VALUE"""),"広告コミットOK(10/20)&lt;BR&gt;「婚活女子ときらびやかな闇（仮）/」をご使用ください")</f>
        <v>広告コミットOK(10/20)&lt;BR&gt;「婚活女子ときらびやかな闇（仮）/」をご使用ください</v>
      </c>
      <c r="R904" s="22"/>
      <c r="S904" s="22" t="str">
        <f>IFERROR(__xludf.DUMMYFUNCTION("""COMPUTED_VALUE"""),"20231121_ICE_12月新作")</f>
        <v>20231121_ICE_12月新作</v>
      </c>
      <c r="T904" s="22" t="str">
        <f>IFERROR(__xludf.DUMMYFUNCTION("""COMPUTED_VALUE"""),"格納済み")</f>
        <v>格納済み</v>
      </c>
      <c r="U904" s="15" t="str">
        <f>IFERROR(__xludf.DUMMYFUNCTION("""COMPUTED_VALUE"""),"(C)Yume Michiba・Yua Wakaba・Kotatsu / ICE")</f>
        <v>(C)Yume Michiba・Yua Wakaba・Kotatsu / ICE</v>
      </c>
      <c r="V904" s="8" t="str">
        <f>IFERROR(__xludf.DUMMYFUNCTION("""COMPUTED_VALUE"""),"青柳唯花29歳。3年間… 彼氏なし。高校時代からの親友の結婚に焦った唯花は、彼女から勧められマッチングアプリを始めることに。…だが、絶望的な男運のなさで失敗続き。「顔も中身もいい男なんて物語の中だけなのかな…」そんな中、何気なくメッセージした相手と思った以上に意気投合し、素顔も素性も分からないまま会うことに。特に期待していなかった唯花の前に登場したのはスタイル抜群のイケメンで――！？ マッチングアプリでの出会いをきっかけに始まる、光と闇のラブストーリー。")</f>
        <v>青柳唯花29歳。3年間… 彼氏なし。高校時代からの親友の結婚に焦った唯花は、彼女から勧められマッチングアプリを始めることに。…だが、絶望的な男運のなさで失敗続き。「顔も中身もいい男なんて物語の中だけなのかな…」そんな中、何気なくメッセージした相手と思った以上に意気投合し、素顔も素性も分からないまま会うことに。特に期待していなかった唯花の前に登場したのはスタイル抜群のイケメンで――！？ マッチングアプリでの出会いをきっかけに始まる、光と闇のラブストーリー。</v>
      </c>
      <c r="W904" s="14"/>
      <c r="X904" s="14" t="str">
        <f>IFERROR(__xludf.DUMMYFUNCTION("""COMPUTED_VALUE"""),"有")</f>
        <v>有</v>
      </c>
      <c r="Y904" s="8" t="str">
        <f>IFERROR(__xludf.DUMMYFUNCTION("""COMPUTED_VALUE"""),"P１まで")</f>
        <v>P１まで</v>
      </c>
      <c r="Z904" s="7"/>
      <c r="AA904" s="7"/>
      <c r="AB904" s="7"/>
    </row>
    <row r="905" ht="15.75" customHeight="1">
      <c r="A905" s="26">
        <f>IFERROR(__xludf.DUMMYFUNCTION("""COMPUTED_VALUE"""),2523.0)</f>
        <v>2523</v>
      </c>
      <c r="B905" s="22" t="str">
        <f>IFERROR(__xludf.DUMMYFUNCTION("""COMPUTED_VALUE"""),"確定")</f>
        <v>確定</v>
      </c>
      <c r="C905" s="28">
        <f>IFERROR(__xludf.DUMMYFUNCTION("""COMPUTED_VALUE"""),45212.0)</f>
        <v>45212</v>
      </c>
      <c r="D905" s="28">
        <f>IFERROR(__xludf.DUMMYFUNCTION("""COMPUTED_VALUE"""),45252.0)</f>
        <v>45252</v>
      </c>
      <c r="E905" s="31">
        <f>IFERROR(__xludf.DUMMYFUNCTION("""COMPUTED_VALUE"""),282123.0)</f>
        <v>282123</v>
      </c>
      <c r="F905" s="22" t="str">
        <f>IFERROR(__xludf.DUMMYFUNCTION("""COMPUTED_VALUE"""),"恋は包むように寄せよ")</f>
        <v>恋は包むように寄せよ</v>
      </c>
      <c r="G905" s="20" t="str">
        <f>IFERROR(__xludf.DUMMYFUNCTION("""COMPUTED_VALUE"""),"1～3")</f>
        <v>1～3</v>
      </c>
      <c r="H905" s="22" t="str">
        <f>IFERROR(__xludf.DUMMYFUNCTION("""COMPUTED_VALUE"""),"原作・猪道小町 / 作画・成田恵美")</f>
        <v>原作・猪道小町 / 作画・成田恵美</v>
      </c>
      <c r="I905" s="22" t="str">
        <f>IFERROR(__xludf.DUMMYFUNCTION("""COMPUTED_VALUE"""),"女性")</f>
        <v>女性</v>
      </c>
      <c r="J905" s="22"/>
      <c r="K905" s="22"/>
      <c r="L905" s="22" t="str">
        <f>IFERROR(__xludf.DUMMYFUNCTION("""COMPUTED_VALUE"""),"ICE")</f>
        <v>ICE</v>
      </c>
      <c r="M905" s="23">
        <f>IFERROR(__xludf.DUMMYFUNCTION("""COMPUTED_VALUE"""),45274.0)</f>
        <v>45274</v>
      </c>
      <c r="N905" s="23">
        <f>IFERROR(__xludf.DUMMYFUNCTION("""COMPUTED_VALUE"""),45365.0)</f>
        <v>45365</v>
      </c>
      <c r="O905" s="20"/>
      <c r="P905" s="29" t="str">
        <f>IFERROR(__xludf.DUMMYFUNCTION("""COMPUTED_VALUE"""),"可")</f>
        <v>可</v>
      </c>
      <c r="Q905" s="30" t="str">
        <f>IFERROR(__xludf.DUMMYFUNCTION("""COMPUTED_VALUE"""),"広告コミットOK(10/20)&lt;BR&gt;「恋は包むように寄せよ_231121修正.zip」をご使用ください")</f>
        <v>広告コミットOK(10/20)&lt;BR&gt;「恋は包むように寄せよ_231121修正.zip」をご使用ください</v>
      </c>
      <c r="R905" s="22"/>
      <c r="S905" s="22" t="str">
        <f>IFERROR(__xludf.DUMMYFUNCTION("""COMPUTED_VALUE"""),"20231121_ICE_12月新作")</f>
        <v>20231121_ICE_12月新作</v>
      </c>
      <c r="T905" s="22" t="str">
        <f>IFERROR(__xludf.DUMMYFUNCTION("""COMPUTED_VALUE"""),"格納済み")</f>
        <v>格納済み</v>
      </c>
      <c r="U905" s="15" t="str">
        <f>IFERROR(__xludf.DUMMYFUNCTION("""COMPUTED_VALUE"""),"(C)Komachi Shishimichi・Emi Narita / ICE")</f>
        <v>(C)Komachi Shishimichi・Emi Narita / ICE</v>
      </c>
      <c r="V905" s="8" t="str">
        <f>IFERROR(__xludf.DUMMYFUNCTION("""COMPUTED_VALUE"""),"横浜支局で新聞記者として働く船橋千歳の夢はいち早く本社の社会部に異動すること。そのために手段を選ばず特ダネを狙う日々だったが、ある日ネタ元である地方検事に体の関係を迫られる。居合わせた男性に救ってもらうも、この不本意な出来事がキッカケで千歳のビジョンは崩れ始め――。")</f>
        <v>横浜支局で新聞記者として働く船橋千歳の夢はいち早く本社の社会部に異動すること。そのために手段を選ばず特ダネを狙う日々だったが、ある日ネタ元である地方検事に体の関係を迫られる。居合わせた男性に救ってもらうも、この不本意な出来事がキッカケで千歳のビジョンは崩れ始め――。</v>
      </c>
      <c r="W905" s="14"/>
      <c r="X905" s="14" t="str">
        <f>IFERROR(__xludf.DUMMYFUNCTION("""COMPUTED_VALUE"""),"有")</f>
        <v>有</v>
      </c>
      <c r="Y905" s="8" t="str">
        <f>IFERROR(__xludf.DUMMYFUNCTION("""COMPUTED_VALUE"""),"P1まで")</f>
        <v>P1まで</v>
      </c>
      <c r="Z905" s="7"/>
      <c r="AA905" s="7"/>
      <c r="AB905" s="7"/>
    </row>
    <row r="906" ht="15.75" customHeight="1">
      <c r="A906" s="26">
        <f>IFERROR(__xludf.DUMMYFUNCTION("""COMPUTED_VALUE"""),2526.0)</f>
        <v>2526</v>
      </c>
      <c r="B906" s="22" t="str">
        <f>IFERROR(__xludf.DUMMYFUNCTION("""COMPUTED_VALUE"""),"確定")</f>
        <v>確定</v>
      </c>
      <c r="C906" s="28">
        <f>IFERROR(__xludf.DUMMYFUNCTION("""COMPUTED_VALUE"""),45212.0)</f>
        <v>45212</v>
      </c>
      <c r="D906" s="28">
        <f>IFERROR(__xludf.DUMMYFUNCTION("""COMPUTED_VALUE"""),45252.0)</f>
        <v>45252</v>
      </c>
      <c r="E906" s="31">
        <f>IFERROR(__xludf.DUMMYFUNCTION("""COMPUTED_VALUE"""),281894.0)</f>
        <v>281894</v>
      </c>
      <c r="F906" s="22" t="str">
        <f>IFERROR(__xludf.DUMMYFUNCTION("""COMPUTED_VALUE"""),"モブなのに過保護な公爵に溺愛されています")</f>
        <v>モブなのに過保護な公爵に溺愛されています</v>
      </c>
      <c r="G906" s="11" t="str">
        <f>IFERROR(__xludf.DUMMYFUNCTION("""COMPUTED_VALUE"""),"1～15")</f>
        <v>1～15</v>
      </c>
      <c r="H906" s="22" t="str">
        <f>IFERROR(__xludf.DUMMYFUNCTION("""COMPUTED_VALUE"""),"三日月美夜 / 林保彦 / BAON / Minto Studio")</f>
        <v>三日月美夜 / 林保彦 / BAON / Minto Studio</v>
      </c>
      <c r="I906" s="22" t="str">
        <f>IFERROR(__xludf.DUMMYFUNCTION("""COMPUTED_VALUE"""),"少女")</f>
        <v>少女</v>
      </c>
      <c r="J906" s="22"/>
      <c r="K906" s="22"/>
      <c r="L906" s="22" t="str">
        <f>IFERROR(__xludf.DUMMYFUNCTION("""COMPUTED_VALUE"""),"booklistaSTUDIO/SBCr")</f>
        <v>booklistaSTUDIO/SBCr</v>
      </c>
      <c r="M906" s="23">
        <f>IFERROR(__xludf.DUMMYFUNCTION("""COMPUTED_VALUE"""),45269.0)</f>
        <v>45269</v>
      </c>
      <c r="N906" s="23">
        <f>IFERROR(__xludf.DUMMYFUNCTION("""COMPUTED_VALUE"""),45330.0)</f>
        <v>45330</v>
      </c>
      <c r="O906" s="20"/>
      <c r="P906" s="29" t="str">
        <f>IFERROR(__xludf.DUMMYFUNCTION("""COMPUTED_VALUE"""),"可")</f>
        <v>可</v>
      </c>
      <c r="Q906" s="40" t="str">
        <f>IFERROR(__xludf.DUMMYFUNCTION("""COMPUTED_VALUE"""),"広告出稿される場合、導線は必ず「出版社名：booklistaSTUDIO/SBCr」の『モブなのに過保護な公爵に溺愛されています』（版面＆分冊版）でお願いします")</f>
        <v>広告出稿される場合、導線は必ず「出版社名：booklistaSTUDIO/SBCr」の『モブなのに過保護な公爵に溺愛されています』（版面＆分冊版）でお願いします</v>
      </c>
      <c r="R906" s="40">
        <f>IFERROR(__xludf.DUMMYFUNCTION("""COMPUTED_VALUE"""),45240.0)</f>
        <v>45240</v>
      </c>
      <c r="S906" s="22" t="str">
        <f>IFERROR(__xludf.DUMMYFUNCTION("""COMPUTED_VALUE"""),"20231120_booklistaSTUDIOSBCr_モブなのに過保護な公爵に溺愛されています")</f>
        <v>20231120_booklistaSTUDIOSBCr_モブなのに過保護な公爵に溺愛されています</v>
      </c>
      <c r="T906" s="22" t="str">
        <f>IFERROR(__xludf.DUMMYFUNCTION("""COMPUTED_VALUE"""),"4、5巻抜けあるため素材確認中(11/20)")</f>
        <v>4、5巻抜けあるため素材確認中(11/20)</v>
      </c>
      <c r="U906" s="15" t="str">
        <f>IFERROR(__xludf.DUMMYFUNCTION("""COMPUTED_VALUE"""),"©Minto studio ©booklistaSTUDIO")</f>
        <v>©Minto studio ©booklistaSTUDIO</v>
      </c>
      <c r="V906" s="8" t="str">
        <f>IFERROR(__xludf.DUMMYFUNCTION("""COMPUTED_VALUE"""),"転生した先は・・・乙女ゲームモブキャラ!?婚約者はイケメン公爵!?モブのわたしに降り掛かる、異世界溺愛ラブストーリー
乙女ゲームの中のモブキャラ『レティシア』に生まれ変わった“私”は、性格が最悪な双子の姉から婚約者のリオネルを押し付けられる。
初対面のリオネルは噂通りのぽっちゃり太った姿・・・。だが、レティシアは磨けば輝く原石だと気づき、婚約者であるリオネルをプロデュースすることに。
わたしはモブなのに!見た目も中身も変身した婚約者から溺愛される日々が始まるーーー。")</f>
        <v>転生した先は・・・乙女ゲームモブキャラ!?婚約者はイケメン公爵!?モブのわたしに降り掛かる、異世界溺愛ラブストーリー
乙女ゲームの中のモブキャラ『レティシア』に生まれ変わった“私”は、性格が最悪な双子の姉から婚約者のリオネルを押し付けられる。
初対面のリオネルは噂通りのぽっちゃり太った姿・・・。だが、レティシアは磨けば輝く原石だと気づき、婚約者であるリオネルをプロデュースすることに。
わたしはモブなのに!見た目も中身も変身した婚約者から溺愛される日々が始まるーーー。</v>
      </c>
      <c r="W906" s="14"/>
      <c r="X906" s="14" t="str">
        <f>IFERROR(__xludf.DUMMYFUNCTION("""COMPUTED_VALUE"""),"有")</f>
        <v>有</v>
      </c>
      <c r="Y906" s="8" t="str">
        <f>IFERROR(__xludf.DUMMYFUNCTION("""COMPUTED_VALUE"""),"1話無料（期間不明）")</f>
        <v>1話無料（期間不明）</v>
      </c>
      <c r="Z906" s="7"/>
      <c r="AA906" s="7"/>
      <c r="AB906" s="7"/>
    </row>
    <row r="907" ht="15.75" customHeight="1">
      <c r="A907" s="26">
        <f>IFERROR(__xludf.DUMMYFUNCTION("""COMPUTED_VALUE"""),2546.0)</f>
        <v>2546</v>
      </c>
      <c r="B907" s="22" t="str">
        <f>IFERROR(__xludf.DUMMYFUNCTION("""COMPUTED_VALUE"""),"確定")</f>
        <v>確定</v>
      </c>
      <c r="C907" s="28">
        <f>IFERROR(__xludf.DUMMYFUNCTION("""COMPUTED_VALUE"""),45218.0)</f>
        <v>45218</v>
      </c>
      <c r="D907" s="28">
        <f>IFERROR(__xludf.DUMMYFUNCTION("""COMPUTED_VALUE"""),45247.0)</f>
        <v>45247</v>
      </c>
      <c r="E907" s="31">
        <f>IFERROR(__xludf.DUMMYFUNCTION("""COMPUTED_VALUE"""),281404.0)</f>
        <v>281404</v>
      </c>
      <c r="F907" s="22" t="str">
        <f>IFERROR(__xludf.DUMMYFUNCTION("""COMPUTED_VALUE"""),"あばいてキスして、全部俺だけ。")</f>
        <v>あばいてキスして、全部俺だけ。</v>
      </c>
      <c r="G907" s="11" t="str">
        <f>IFERROR(__xludf.DUMMYFUNCTION("""COMPUTED_VALUE"""),"1～2")</f>
        <v>1～2</v>
      </c>
      <c r="H907" s="22" t="str">
        <f>IFERROR(__xludf.DUMMYFUNCTION("""COMPUTED_VALUE"""),"夏野汐")</f>
        <v>夏野汐</v>
      </c>
      <c r="I907" s="22" t="str">
        <f>IFERROR(__xludf.DUMMYFUNCTION("""COMPUTED_VALUE"""),"TL")</f>
        <v>TL</v>
      </c>
      <c r="J907" s="22"/>
      <c r="K907" s="22"/>
      <c r="L907" s="22" t="str">
        <f>IFERROR(__xludf.DUMMYFUNCTION("""COMPUTED_VALUE"""),"モバイルメディアリサーチ")</f>
        <v>モバイルメディアリサーチ</v>
      </c>
      <c r="M907" s="23">
        <f>IFERROR(__xludf.DUMMYFUNCTION("""COMPUTED_VALUE"""),45268.0)</f>
        <v>45268</v>
      </c>
      <c r="N907" s="23">
        <f>IFERROR(__xludf.DUMMYFUNCTION("""COMPUTED_VALUE"""),45294.0)</f>
        <v>45294</v>
      </c>
      <c r="O907" s="20"/>
      <c r="P907" s="32" t="str">
        <f>IFERROR(__xludf.DUMMYFUNCTION("""COMPUTED_VALUE"""),"可")</f>
        <v>可</v>
      </c>
      <c r="Q907" s="30"/>
      <c r="R907" s="22"/>
      <c r="S907" s="22" t="str">
        <f>IFERROR(__xludf.DUMMYFUNCTION("""COMPUTED_VALUE"""),"20231115_ファンギルド_あばいてキスして、全部俺だけ。")</f>
        <v>20231115_ファンギルド_あばいてキスして、全部俺だけ。</v>
      </c>
      <c r="T907" s="22" t="str">
        <f>IFERROR(__xludf.DUMMYFUNCTION("""COMPUTED_VALUE"""),"格納済み")</f>
        <v>格納済み</v>
      </c>
      <c r="U907" s="15" t="str">
        <f>IFERROR(__xludf.DUMMYFUNCTION("""COMPUTED_VALUE"""),"©夏野汐/モバイルメディアリサーチ")</f>
        <v>©夏野汐/モバイルメディアリサーチ</v>
      </c>
      <c r="V907" s="8" t="str">
        <f>IFERROR(__xludf.DUMMYFUNCTION("""COMPUTED_VALUE"""),"智世ほのり、24歳、私にはとある秘密があります。それは――生まれつき敏感体質で、触れられるとすぐに反応して声が出てしまうこと…！好きな人には特に顕著で、過去の恋愛では失敗してばかり。誰にも知られないよう振る舞っていたはずなのに、ひょんなことから、気になっていた後輩の慧くんに体質がバレてしまって…!? 「俺のこと好きだから反応しちゃうんでしょ？こんな可愛い顔見せてもらえて、困るわけない」厄介な体質も、弱い本音もまるごと愛してくれる慧くんに、好きの気持ちは募るばかり。最初は緊張していたはずが、段々とナカも、と"&amp;"ろとろにほぐれたオク深くまで、慧くんの熱を覚えだして――。「ほのりさんの初めてを暴くのが俺なの、すげー嬉しい」年下後輩くんの甘くてちょっぴりズルい愛撫にほだされるムズきゅんラブ！")</f>
        <v>智世ほのり、24歳、私にはとある秘密があります。それは――生まれつき敏感体質で、触れられるとすぐに反応して声が出てしまうこと…！好きな人には特に顕著で、過去の恋愛では失敗してばかり。誰にも知られないよう振る舞っていたはずなのに、ひょんなことから、気になっていた後輩の慧くんに体質がバレてしまって…!? 「俺のこと好きだから反応しちゃうんでしょ？こんな可愛い顔見せてもらえて、困るわけない」厄介な体質も、弱い本音もまるごと愛してくれる慧くんに、好きの気持ちは募るばかり。最初は緊張していたはずが、段々とナカも、とろとろにほぐれたオク深くまで、慧くんの熱を覚えだして――。「ほのりさんの初めてを暴くのが俺なの、すげー嬉しい」年下後輩くんの甘くてちょっぴりズルい愛撫にほだされるムズきゅんラブ！</v>
      </c>
      <c r="W907" s="14"/>
      <c r="X907" s="14" t="str">
        <f>IFERROR(__xludf.DUMMYFUNCTION("""COMPUTED_VALUE"""),"有")</f>
        <v>有</v>
      </c>
      <c r="Y907" s="8" t="str">
        <f>IFERROR(__xludf.DUMMYFUNCTION("""COMPUTED_VALUE"""),"12/21まで立ち読み増量P21まで")</f>
        <v>12/21まで立ち読み増量P21まで</v>
      </c>
      <c r="Z907" s="7"/>
      <c r="AA907" s="7"/>
      <c r="AB907" s="7"/>
    </row>
    <row r="908" ht="15.75" customHeight="1">
      <c r="A908" s="26">
        <f>IFERROR(__xludf.DUMMYFUNCTION("""COMPUTED_VALUE"""),2547.0)</f>
        <v>2547</v>
      </c>
      <c r="B908" s="22" t="str">
        <f>IFERROR(__xludf.DUMMYFUNCTION("""COMPUTED_VALUE"""),"確定")</f>
        <v>確定</v>
      </c>
      <c r="C908" s="28">
        <f>IFERROR(__xludf.DUMMYFUNCTION("""COMPUTED_VALUE"""),45218.0)</f>
        <v>45218</v>
      </c>
      <c r="D908" s="28">
        <f>IFERROR(__xludf.DUMMYFUNCTION("""COMPUTED_VALUE"""),45250.0)</f>
        <v>45250</v>
      </c>
      <c r="E908" s="31">
        <f>IFERROR(__xludf.DUMMYFUNCTION("""COMPUTED_VALUE"""),281421.0)</f>
        <v>281421</v>
      </c>
      <c r="F908" s="22" t="str">
        <f>IFERROR(__xludf.DUMMYFUNCTION("""COMPUTED_VALUE"""),"後宮の獣は愛を孕む【分冊版】")</f>
        <v>後宮の獣は愛を孕む【分冊版】</v>
      </c>
      <c r="G908" s="20">
        <f>IFERROR(__xludf.DUMMYFUNCTION("""COMPUTED_VALUE"""),1.0)</f>
        <v>1</v>
      </c>
      <c r="H908" s="22" t="str">
        <f>IFERROR(__xludf.DUMMYFUNCTION("""COMPUTED_VALUE"""),"じんにくれーちぇ")</f>
        <v>じんにくれーちぇ</v>
      </c>
      <c r="I908" s="22" t="str">
        <f>IFERROR(__xludf.DUMMYFUNCTION("""COMPUTED_VALUE"""),"BL")</f>
        <v>BL</v>
      </c>
      <c r="J908" s="22"/>
      <c r="K908" s="22"/>
      <c r="L908" s="22" t="str">
        <f>IFERROR(__xludf.DUMMYFUNCTION("""COMPUTED_VALUE"""),"笠倉出版社")</f>
        <v>笠倉出版社</v>
      </c>
      <c r="M908" s="23">
        <f>IFERROR(__xludf.DUMMYFUNCTION("""COMPUTED_VALUE"""),45268.0)</f>
        <v>45268</v>
      </c>
      <c r="N908" s="37" t="str">
        <f>IFERROR(__xludf.DUMMYFUNCTION("""COMPUTED_VALUE"""),"配信から1か月")</f>
        <v>配信から1か月</v>
      </c>
      <c r="O908" s="20"/>
      <c r="P908" s="32" t="str">
        <f>IFERROR(__xludf.DUMMYFUNCTION("""COMPUTED_VALUE"""),"可")</f>
        <v>可</v>
      </c>
      <c r="Q908" s="30"/>
      <c r="R908" s="22"/>
      <c r="S908" s="22" t="str">
        <f>IFERROR(__xludf.DUMMYFUNCTION("""COMPUTED_VALUE"""),"20231120_笠倉出版社_後宮の獣は愛を孕む【分冊版】")</f>
        <v>20231120_笠倉出版社_後宮の獣は愛を孕む【分冊版】</v>
      </c>
      <c r="T908" s="22" t="str">
        <f>IFERROR(__xludf.DUMMYFUNCTION("""COMPUTED_VALUE"""),"格納済み")</f>
        <v>格納済み</v>
      </c>
      <c r="U908" s="15" t="str">
        <f>IFERROR(__xludf.DUMMYFUNCTION("""COMPUTED_VALUE"""),"(c)じんにくれーちぇ/笠倉出版社")</f>
        <v>(c)じんにくれーちぇ/笠倉出版社</v>
      </c>
      <c r="V908" s="8" t="str">
        <f>IFERROR(__xludf.DUMMYFUNCTION("""COMPUTED_VALUE"""),"皇帝の寵愛を失い、後宮を追い出されることになった涙星（レイシン）。亜人が後宮の外に出れば、待っているのは迫害される惨めな人生のみ。どうにかして後宮にとどまりたい涙星の前に、奴隷としてテンゲルがさらわれてきた。辺境からきたテンゲルの恵まれた肉体に目をつけた涙星は、彼を皇帝好みに仕立てあげて、再び後宮での地位を得ようと画策するが…。無知で野蛮な辺境の亜人×美麗で狡猾な後宮の住人、欲望渦巻く後宮BL！※本作品はWEB雑誌「equal」に収録されています。重複購入にご注意ください。")</f>
        <v>皇帝の寵愛を失い、後宮を追い出されることになった涙星（レイシン）。亜人が後宮の外に出れば、待っているのは迫害される惨めな人生のみ。どうにかして後宮にとどまりたい涙星の前に、奴隷としてテンゲルがさらわれてきた。辺境からきたテンゲルの恵まれた肉体に目をつけた涙星は、彼を皇帝好みに仕立てあげて、再び後宮での地位を得ようと画策するが…。無知で野蛮な辺境の亜人×美麗で狡猾な後宮の住人、欲望渦巻く後宮BL！※本作品はWEB雑誌「equal」に収録されています。重複購入にご注意ください。</v>
      </c>
      <c r="W908" s="14"/>
      <c r="X908" s="14" t="str">
        <f>IFERROR(__xludf.DUMMYFUNCTION("""COMPUTED_VALUE"""),"有")</f>
        <v>有</v>
      </c>
      <c r="Y908" s="8" t="str">
        <f>IFERROR(__xludf.DUMMYFUNCTION("""COMPUTED_VALUE"""),"12/21まで立ち読み増量P18まで")</f>
        <v>12/21まで立ち読み増量P18まで</v>
      </c>
      <c r="Z908" s="7"/>
      <c r="AA908" s="7"/>
      <c r="AB908" s="7"/>
    </row>
    <row r="909" ht="15.75" customHeight="1">
      <c r="A909" s="26">
        <f>IFERROR(__xludf.DUMMYFUNCTION("""COMPUTED_VALUE"""),2548.0)</f>
        <v>2548</v>
      </c>
      <c r="B909" s="22" t="str">
        <f>IFERROR(__xludf.DUMMYFUNCTION("""COMPUTED_VALUE"""),"確定")</f>
        <v>確定</v>
      </c>
      <c r="C909" s="28">
        <f>IFERROR(__xludf.DUMMYFUNCTION("""COMPUTED_VALUE"""),45218.0)</f>
        <v>45218</v>
      </c>
      <c r="D909" s="28">
        <f>IFERROR(__xludf.DUMMYFUNCTION("""COMPUTED_VALUE"""),45250.0)</f>
        <v>45250</v>
      </c>
      <c r="E909" s="31">
        <f>IFERROR(__xludf.DUMMYFUNCTION("""COMPUTED_VALUE"""),281422.0)</f>
        <v>281422</v>
      </c>
      <c r="F909" s="22" t="str">
        <f>IFERROR(__xludf.DUMMYFUNCTION("""COMPUTED_VALUE"""),"君と僕と世界のほとり 迷い恋バレンタイン【分冊版】")</f>
        <v>君と僕と世界のほとり 迷い恋バレンタイン【分冊版】</v>
      </c>
      <c r="G909" s="20">
        <f>IFERROR(__xludf.DUMMYFUNCTION("""COMPUTED_VALUE"""),1.0)</f>
        <v>1</v>
      </c>
      <c r="H909" s="22" t="str">
        <f>IFERROR(__xludf.DUMMYFUNCTION("""COMPUTED_VALUE"""),"作画：あおいさり 原作：PONY CANYON×GINGER BERRY")</f>
        <v>作画：あおいさり 原作：PONY CANYON×GINGER BERRY</v>
      </c>
      <c r="I909" s="22" t="str">
        <f>IFERROR(__xludf.DUMMYFUNCTION("""COMPUTED_VALUE"""),"BL")</f>
        <v>BL</v>
      </c>
      <c r="J909" s="22"/>
      <c r="K909" s="22"/>
      <c r="L909" s="22" t="str">
        <f>IFERROR(__xludf.DUMMYFUNCTION("""COMPUTED_VALUE"""),"笠倉出版社")</f>
        <v>笠倉出版社</v>
      </c>
      <c r="M909" s="23">
        <f>IFERROR(__xludf.DUMMYFUNCTION("""COMPUTED_VALUE"""),45268.0)</f>
        <v>45268</v>
      </c>
      <c r="N909" s="37" t="str">
        <f>IFERROR(__xludf.DUMMYFUNCTION("""COMPUTED_VALUE"""),"配信から1か月")</f>
        <v>配信から1か月</v>
      </c>
      <c r="O909" s="20"/>
      <c r="P909" s="32" t="str">
        <f>IFERROR(__xludf.DUMMYFUNCTION("""COMPUTED_VALUE"""),"可")</f>
        <v>可</v>
      </c>
      <c r="Q909" s="30"/>
      <c r="R909" s="22"/>
      <c r="S909" s="22" t="str">
        <f>IFERROR(__xludf.DUMMYFUNCTION("""COMPUTED_VALUE"""),"20231120_笠倉出版社_君と僕と世界のほとり 迷い恋バレンタイン【分冊版】")</f>
        <v>20231120_笠倉出版社_君と僕と世界のほとり 迷い恋バレンタイン【分冊版】</v>
      </c>
      <c r="T909" s="22" t="str">
        <f>IFERROR(__xludf.DUMMYFUNCTION("""COMPUTED_VALUE"""),"格納済み")</f>
        <v>格納済み</v>
      </c>
      <c r="U909" s="15" t="str">
        <f>IFERROR(__xludf.DUMMYFUNCTION("""COMPUTED_VALUE"""),"©あおいさり/PONY CANYON/笠倉出版社")</f>
        <v>©あおいさり/PONY CANYON/笠倉出版社</v>
      </c>
      <c r="V909" s="8" t="str">
        <f>IFERROR(__xludf.DUMMYFUNCTION("""COMPUTED_VALUE"""),"東京からやってきた噂の美形パティシエ・雪斗と海辺の公園で偶然出会った奏介。そこからふたりは少しずつお互いを知っていく。雪斗と話す時間は同級生とも周囲の大人とも違い心地良く感じながらも少しだけ刺激的。そんなある日、誰かと電話をし終えた雪斗が泣いていた。今まで見たことのない姿に、奏介は衝動的に抱きしめてしまう。しかし、その手は拒絶されてしまい…！大人気オリジナルBLドラマCD待望のコミカライズ第二弾が登場!!※本作品はWEB雑誌「equal」に収録されています。重複購入にご注意ください。")</f>
        <v>東京からやってきた噂の美形パティシエ・雪斗と海辺の公園で偶然出会った奏介。そこからふたりは少しずつお互いを知っていく。雪斗と話す時間は同級生とも周囲の大人とも違い心地良く感じながらも少しだけ刺激的。そんなある日、誰かと電話をし終えた雪斗が泣いていた。今まで見たことのない姿に、奏介は衝動的に抱きしめてしまう。しかし、その手は拒絶されてしまい…！大人気オリジナルBLドラマCD待望のコミカライズ第二弾が登場!!※本作品はWEB雑誌「equal」に収録されています。重複購入にご注意ください。</v>
      </c>
      <c r="W909" s="14"/>
      <c r="X909" s="14" t="str">
        <f>IFERROR(__xludf.DUMMYFUNCTION("""COMPUTED_VALUE"""),"有")</f>
        <v>有</v>
      </c>
      <c r="Y909" s="8" t="str">
        <f>IFERROR(__xludf.DUMMYFUNCTION("""COMPUTED_VALUE"""),"12/21まで立ち読み増量P14まで")</f>
        <v>12/21まで立ち読み増量P14まで</v>
      </c>
      <c r="Z909" s="7"/>
      <c r="AA909" s="7"/>
      <c r="AB909" s="7"/>
    </row>
    <row r="910" ht="15.75" customHeight="1">
      <c r="A910" s="26">
        <f>IFERROR(__xludf.DUMMYFUNCTION("""COMPUTED_VALUE"""),2579.0)</f>
        <v>2579</v>
      </c>
      <c r="B910" s="22" t="str">
        <f>IFERROR(__xludf.DUMMYFUNCTION("""COMPUTED_VALUE"""),"確定")</f>
        <v>確定</v>
      </c>
      <c r="C910" s="28">
        <f>IFERROR(__xludf.DUMMYFUNCTION("""COMPUTED_VALUE"""),45230.0)</f>
        <v>45230</v>
      </c>
      <c r="D910" s="28">
        <f>IFERROR(__xludf.DUMMYFUNCTION("""COMPUTED_VALUE"""),45251.0)</f>
        <v>45251</v>
      </c>
      <c r="E910" s="31">
        <f>IFERROR(__xludf.DUMMYFUNCTION("""COMPUTED_VALUE"""),281875.0)</f>
        <v>281875</v>
      </c>
      <c r="F910" s="22" t="str">
        <f>IFERROR(__xludf.DUMMYFUNCTION("""COMPUTED_VALUE"""),"惑愛 乙女は蜜夜に濡れる【短編】")</f>
        <v>惑愛 乙女は蜜夜に濡れる【短編】</v>
      </c>
      <c r="G910" s="20" t="str">
        <f>IFERROR(__xludf.DUMMYFUNCTION("""COMPUTED_VALUE"""),"1~3")</f>
        <v>1~3</v>
      </c>
      <c r="H910" s="22" t="str">
        <f>IFERROR(__xludf.DUMMYFUNCTION("""COMPUTED_VALUE"""),"ぬこたくろ 原作：御堂志生")</f>
        <v>ぬこたくろ 原作：御堂志生</v>
      </c>
      <c r="I910" s="22" t="str">
        <f>IFERROR(__xludf.DUMMYFUNCTION("""COMPUTED_VALUE"""),"女性")</f>
        <v>女性</v>
      </c>
      <c r="J910" s="22"/>
      <c r="K910" s="22"/>
      <c r="L910" s="22" t="str">
        <f>IFERROR(__xludf.DUMMYFUNCTION("""COMPUTED_VALUE"""),"竹書房")</f>
        <v>竹書房</v>
      </c>
      <c r="M910" s="23">
        <f>IFERROR(__xludf.DUMMYFUNCTION("""COMPUTED_VALUE"""),45261.0)</f>
        <v>45261</v>
      </c>
      <c r="N910" s="23">
        <f>IFERROR(__xludf.DUMMYFUNCTION("""COMPUTED_VALUE"""),44957.0)</f>
        <v>44957</v>
      </c>
      <c r="O910" s="20"/>
      <c r="P910" s="29" t="str">
        <f>IFERROR(__xludf.DUMMYFUNCTION("""COMPUTED_VALUE"""),"可")</f>
        <v>可</v>
      </c>
      <c r="Q910" s="22" t="str">
        <f>IFERROR(__xludf.DUMMYFUNCTION("""COMPUTED_VALUE"""),"広告コミットOK(11/6)")</f>
        <v>広告コミットOK(11/6)</v>
      </c>
      <c r="R910" s="22" t="str">
        <f>IFERROR(__xludf.DUMMYFUNCTION("""COMPUTED_VALUE"""),"格納済")</f>
        <v>格納済</v>
      </c>
      <c r="S910" s="22" t="str">
        <f>IFERROR(__xludf.DUMMYFUNCTION("""COMPUTED_VALUE"""),"20231117_竹書房_惑愛 乙女は蜜夜に濡れる【短編】")</f>
        <v>20231117_竹書房_惑愛 乙女は蜜夜に濡れる【短編】</v>
      </c>
      <c r="T910" s="22" t="str">
        <f>IFERROR(__xludf.DUMMYFUNCTION("""COMPUTED_VALUE"""),"格納済み")</f>
        <v>格納済み</v>
      </c>
      <c r="U910" s="15" t="str">
        <f>IFERROR(__xludf.DUMMYFUNCTION("""COMPUTED_VALUE"""),"(C)ぬこたくろ・御堂志生/竹書房")</f>
        <v>(C)ぬこたくろ・御堂志生/竹書房</v>
      </c>
      <c r="V910" s="8" t="str">
        <f>IFERROR(__xludf.DUMMYFUNCTION("""COMPUTED_VALUE"""),"夜の図書館から漏れ聞こえる助けを求める女性の声…。救助のためそこに近ずくとおそろしい光景を目撃してしまい―――!?")</f>
        <v>夜の図書館から漏れ聞こえる助けを求める女性の声…。救助のためそこに近ずくとおそろしい光景を目撃してしまい―――!?</v>
      </c>
      <c r="W910" s="14"/>
      <c r="X910" s="14" t="str">
        <f>IFERROR(__xludf.DUMMYFUNCTION("""COMPUTED_VALUE"""),"有")</f>
        <v>有</v>
      </c>
      <c r="Y910" s="8" t="str">
        <f>IFERROR(__xludf.DUMMYFUNCTION("""COMPUTED_VALUE"""),"P6まで
12/31まで1巻目半額")</f>
        <v>P6まで
12/31まで1巻目半額</v>
      </c>
      <c r="Z910" s="7"/>
      <c r="AA910" s="7"/>
      <c r="AB910" s="7"/>
    </row>
    <row r="911" ht="15.75" customHeight="1">
      <c r="A911" s="26">
        <f>IFERROR(__xludf.DUMMYFUNCTION("""COMPUTED_VALUE"""),2599.0)</f>
        <v>2599</v>
      </c>
      <c r="B911" s="22" t="str">
        <f>IFERROR(__xludf.DUMMYFUNCTION("""COMPUTED_VALUE"""),"確定")</f>
        <v>確定</v>
      </c>
      <c r="C911" s="28">
        <f>IFERROR(__xludf.DUMMYFUNCTION("""COMPUTED_VALUE"""),45232.0)</f>
        <v>45232</v>
      </c>
      <c r="D911" s="28">
        <f>IFERROR(__xludf.DUMMYFUNCTION("""COMPUTED_VALUE"""),45250.0)</f>
        <v>45250</v>
      </c>
      <c r="E911" s="31">
        <f>IFERROR(__xludf.DUMMYFUNCTION("""COMPUTED_VALUE"""),282093.0)</f>
        <v>282093</v>
      </c>
      <c r="F911" s="22" t="str">
        <f>IFERROR(__xludf.DUMMYFUNCTION("""COMPUTED_VALUE"""),"オレはアイドルをやめたい【マイクロ】")</f>
        <v>オレはアイドルをやめたい【マイクロ】</v>
      </c>
      <c r="G911" s="16" t="str">
        <f>IFERROR(__xludf.DUMMYFUNCTION("""COMPUTED_VALUE"""),"1～3")</f>
        <v>1～3</v>
      </c>
      <c r="H911" s="22" t="str">
        <f>IFERROR(__xludf.DUMMYFUNCTION("""COMPUTED_VALUE"""),"相原実貴")</f>
        <v>相原実貴</v>
      </c>
      <c r="I911" s="22" t="str">
        <f>IFERROR(__xludf.DUMMYFUNCTION("""COMPUTED_VALUE"""),"少女")</f>
        <v>少女</v>
      </c>
      <c r="J911" s="22"/>
      <c r="K911" s="22"/>
      <c r="L911" s="22" t="str">
        <f>IFERROR(__xludf.DUMMYFUNCTION("""COMPUTED_VALUE"""),"小学館")</f>
        <v>小学館</v>
      </c>
      <c r="M911" s="23">
        <f>IFERROR(__xludf.DUMMYFUNCTION("""COMPUTED_VALUE"""),45265.0)</f>
        <v>45265</v>
      </c>
      <c r="N911" s="37" t="str">
        <f>IFERROR(__xludf.DUMMYFUNCTION("""COMPUTED_VALUE"""),"初回2か月、以降１か月")</f>
        <v>初回2か月、以降１か月</v>
      </c>
      <c r="O911" s="20"/>
      <c r="P911" s="32" t="str">
        <f>IFERROR(__xludf.DUMMYFUNCTION("""COMPUTED_VALUE"""),"否")</f>
        <v>否</v>
      </c>
      <c r="Q911" s="30"/>
      <c r="R911" s="22"/>
      <c r="S911" s="22" t="str">
        <f>IFERROR(__xludf.DUMMYFUNCTION("""COMPUTED_VALUE"""),"20231120_小学館_オレはアイドルをやめたい【マイクロ】")</f>
        <v>20231120_小学館_オレはアイドルをやめたい【マイクロ】</v>
      </c>
      <c r="T911" s="22" t="str">
        <f>IFERROR(__xludf.DUMMYFUNCTION("""COMPUTED_VALUE"""),"格納済み")</f>
        <v>格納済み</v>
      </c>
      <c r="U911" s="15" t="str">
        <f>IFERROR(__xludf.DUMMYFUNCTION("""COMPUTED_VALUE"""),"(C)相原実貴 / 小学館")</f>
        <v>(C)相原実貴 / 小学館</v>
      </c>
      <c r="V911" s="8" t="str">
        <f>IFERROR(__xludf.DUMMYFUNCTION("""COMPUTED_VALUE"""),"決めたわオレ。やっぱアイドルやめる。今度こそ本気。転職するなら早いほうがいいし、それにオレはどうしても・・・。4人組ダンス＆ボーカルパフォーマンスユニット「ＮＩＧＨＴＳ（ナイツ）」の最年少にしてグループの核・南谷ハルカ。メンバーからグループ脱退を盛大に反対されているなか、オーラが見えるという女性に出会って！？")</f>
        <v>決めたわオレ。やっぱアイドルやめる。今度こそ本気。転職するなら早いほうがいいし、それにオレはどうしても・・・。4人組ダンス＆ボーカルパフォーマンスユニット「ＮＩＧＨＴＳ（ナイツ）」の最年少にしてグループの核・南谷ハルカ。メンバーからグループ脱退を盛大に反対されているなか、オーラが見えるという女性に出会って！？</v>
      </c>
      <c r="W911" s="14"/>
      <c r="X911" s="14" t="str">
        <f>IFERROR(__xludf.DUMMYFUNCTION("""COMPUTED_VALUE"""),"有")</f>
        <v>有</v>
      </c>
      <c r="Y911" s="8" t="str">
        <f>IFERROR(__xludf.DUMMYFUNCTION("""COMPUTED_VALUE"""),"P12まで")</f>
        <v>P12まで</v>
      </c>
      <c r="Z911" s="7"/>
      <c r="AA911" s="7"/>
      <c r="AB911" s="7"/>
    </row>
    <row r="912" ht="15.75" customHeight="1">
      <c r="A912" s="26">
        <f>IFERROR(__xludf.DUMMYFUNCTION("""COMPUTED_VALUE"""),2606.0)</f>
        <v>2606</v>
      </c>
      <c r="B912" s="22" t="str">
        <f>IFERROR(__xludf.DUMMYFUNCTION("""COMPUTED_VALUE"""),"確定")</f>
        <v>確定</v>
      </c>
      <c r="C912" s="28">
        <f>IFERROR(__xludf.DUMMYFUNCTION("""COMPUTED_VALUE"""),45237.0)</f>
        <v>45237</v>
      </c>
      <c r="D912" s="28">
        <f>IFERROR(__xludf.DUMMYFUNCTION("""COMPUTED_VALUE"""),45247.0)</f>
        <v>45247</v>
      </c>
      <c r="E912" s="31">
        <f>IFERROR(__xludf.DUMMYFUNCTION("""COMPUTED_VALUE"""),282777.0)</f>
        <v>282777</v>
      </c>
      <c r="F912" s="22" t="str">
        <f>IFERROR(__xludf.DUMMYFUNCTION("""COMPUTED_VALUE"""),"この上司、おくちが性的すぎます…！ 超ゼツ愛撫をほどこす舌先（ピアス付き）")</f>
        <v>この上司、おくちが性的すぎます…！ 超ゼツ愛撫をほどこす舌先（ピアス付き）</v>
      </c>
      <c r="G912" s="11" t="str">
        <f>IFERROR(__xludf.DUMMYFUNCTION("""COMPUTED_VALUE"""),"1～2")</f>
        <v>1～2</v>
      </c>
      <c r="H912" s="22" t="str">
        <f>IFERROR(__xludf.DUMMYFUNCTION("""COMPUTED_VALUE"""),"滝壺ゼゼラ")</f>
        <v>滝壺ゼゼラ</v>
      </c>
      <c r="I912" s="22" t="str">
        <f>IFERROR(__xludf.DUMMYFUNCTION("""COMPUTED_VALUE"""),"TL")</f>
        <v>TL</v>
      </c>
      <c r="J912" s="22"/>
      <c r="K912" s="22"/>
      <c r="L912" s="22" t="str">
        <f>IFERROR(__xludf.DUMMYFUNCTION("""COMPUTED_VALUE"""),"CLLENN")</f>
        <v>CLLENN</v>
      </c>
      <c r="M912" s="23">
        <f>IFERROR(__xludf.DUMMYFUNCTION("""COMPUTED_VALUE"""),45283.0)</f>
        <v>45283</v>
      </c>
      <c r="N912" s="23">
        <f>IFERROR(__xludf.DUMMYFUNCTION("""COMPUTED_VALUE"""),45345.0)</f>
        <v>45345</v>
      </c>
      <c r="O912" s="20"/>
      <c r="P912" s="29" t="str">
        <f>IFERROR(__xludf.DUMMYFUNCTION("""COMPUTED_VALUE"""),"可")</f>
        <v>可</v>
      </c>
      <c r="Q912" s="22" t="str">
        <f>IFERROR(__xludf.DUMMYFUNCTION("""COMPUTED_VALUE"""),"広告コミットOK(11/14)")</f>
        <v>広告コミットOK(11/14)</v>
      </c>
      <c r="R912" s="22" t="str">
        <f>IFERROR(__xludf.DUMMYFUNCTION("""COMPUTED_VALUE"""),"格納済")</f>
        <v>格納済</v>
      </c>
      <c r="S912" s="22" t="str">
        <f>IFERROR(__xludf.DUMMYFUNCTION("""COMPUTED_VALUE"""),"20231115_CLLENN_この上司、おくちが性的すぎます…！超ゼツ愛撫をほどこす舌先（ピアス付き）")</f>
        <v>20231115_CLLENN_この上司、おくちが性的すぎます…！超ゼツ愛撫をほどこす舌先（ピアス付き）</v>
      </c>
      <c r="T912" s="22" t="str">
        <f>IFERROR(__xludf.DUMMYFUNCTION("""COMPUTED_VALUE"""),"格納済み")</f>
        <v>格納済み</v>
      </c>
      <c r="U912" s="15" t="str">
        <f>IFERROR(__xludf.DUMMYFUNCTION("""COMPUTED_VALUE"""),"ⓒ滝壺ゼゼラ/CLLENN")</f>
        <v>ⓒ滝壺ゼゼラ/CLLENN</v>
      </c>
      <c r="V912" s="8" t="str">
        <f>IFERROR(__xludf.DUMMYFUNCTION("""COMPUTED_VALUE"""),"「すごいな…キスだけでそんなに感じる？」上司とのキスはあまりにも刺激的…ってこの感触、舌ピアス――！？三度の飯より“おくち”が好き、そんな口フェチOLの志穂には憧れの人（おくち）がいる…それは主任の阿形さん。理想のおくちと1度でいいからキスしてみたい…なんて思いを馳せている中、偶然にも彼の過去を知り…「なんでもする」と口止めされて、「キス」をお願いすることに！舌ピが口から覗いたとき、志穂の新たな扉が開いてしまい…もう興味が止まらない！！「もっと気持ちいいこと、試してみようか」敏感な乳首やアソコをえっちな舌"&amp;"ピにぐしょぐしょになるまで舐められたらもう――ッ 新感覚★ドタバタラブコメディ、開幕！")</f>
        <v>「すごいな…キスだけでそんなに感じる？」上司とのキスはあまりにも刺激的…ってこの感触、舌ピアス――！？三度の飯より“おくち”が好き、そんな口フェチOLの志穂には憧れの人（おくち）がいる…それは主任の阿形さん。理想のおくちと1度でいいからキスしてみたい…なんて思いを馳せている中、偶然にも彼の過去を知り…「なんでもする」と口止めされて、「キス」をお願いすることに！舌ピが口から覗いたとき、志穂の新たな扉が開いてしまい…もう興味が止まらない！！「もっと気持ちいいこと、試してみようか」敏感な乳首やアソコをえっちな舌ピにぐしょぐしょになるまで舐められたらもう――ッ 新感覚★ドタバタラブコメディ、開幕！</v>
      </c>
      <c r="W912" s="14"/>
      <c r="X912" s="14" t="str">
        <f>IFERROR(__xludf.DUMMYFUNCTION("""COMPUTED_VALUE"""),"有")</f>
        <v>有</v>
      </c>
      <c r="Y912" s="8" t="str">
        <f>IFERROR(__xludf.DUMMYFUNCTION("""COMPUTED_VALUE"""),"P10まで")</f>
        <v>P10まで</v>
      </c>
      <c r="Z912" s="7"/>
      <c r="AA912" s="7"/>
      <c r="AB912" s="7"/>
    </row>
    <row r="913" ht="15.75" customHeight="1">
      <c r="A913" s="26">
        <f>IFERROR(__xludf.DUMMYFUNCTION("""COMPUTED_VALUE"""),2607.0)</f>
        <v>2607</v>
      </c>
      <c r="B913" s="22" t="str">
        <f>IFERROR(__xludf.DUMMYFUNCTION("""COMPUTED_VALUE"""),"確定")</f>
        <v>確定</v>
      </c>
      <c r="C913" s="28">
        <f>IFERROR(__xludf.DUMMYFUNCTION("""COMPUTED_VALUE"""),45237.0)</f>
        <v>45237</v>
      </c>
      <c r="D913" s="28">
        <f>IFERROR(__xludf.DUMMYFUNCTION("""COMPUTED_VALUE"""),45247.0)</f>
        <v>45247</v>
      </c>
      <c r="E913" s="31">
        <f>IFERROR(__xludf.DUMMYFUNCTION("""COMPUTED_VALUE"""),282945.0)</f>
        <v>282945</v>
      </c>
      <c r="F913" s="22" t="str">
        <f>IFERROR(__xludf.DUMMYFUNCTION("""COMPUTED_VALUE"""),"狼虎のあくなき青春")</f>
        <v>狼虎のあくなき青春</v>
      </c>
      <c r="G913" s="11" t="str">
        <f>IFERROR(__xludf.DUMMYFUNCTION("""COMPUTED_VALUE"""),"1～2")</f>
        <v>1～2</v>
      </c>
      <c r="H913" s="22" t="str">
        <f>IFERROR(__xludf.DUMMYFUNCTION("""COMPUTED_VALUE"""),"天月テノ")</f>
        <v>天月テノ</v>
      </c>
      <c r="I913" s="22" t="str">
        <f>IFERROR(__xludf.DUMMYFUNCTION("""COMPUTED_VALUE"""),"BL")</f>
        <v>BL</v>
      </c>
      <c r="J913" s="22"/>
      <c r="K913" s="22"/>
      <c r="L913" s="22" t="str">
        <f>IFERROR(__xludf.DUMMYFUNCTION("""COMPUTED_VALUE"""),"CLLENN")</f>
        <v>CLLENN</v>
      </c>
      <c r="M913" s="23">
        <f>IFERROR(__xludf.DUMMYFUNCTION("""COMPUTED_VALUE"""),45283.0)</f>
        <v>45283</v>
      </c>
      <c r="N913" s="23">
        <f>IFERROR(__xludf.DUMMYFUNCTION("""COMPUTED_VALUE"""),45345.0)</f>
        <v>45345</v>
      </c>
      <c r="O913" s="20"/>
      <c r="P913" s="29" t="str">
        <f>IFERROR(__xludf.DUMMYFUNCTION("""COMPUTED_VALUE"""),"可")</f>
        <v>可</v>
      </c>
      <c r="Q913" s="22" t="str">
        <f>IFERROR(__xludf.DUMMYFUNCTION("""COMPUTED_VALUE"""),"広告コミットOK(11/14)")</f>
        <v>広告コミットOK(11/14)</v>
      </c>
      <c r="R913" s="22" t="str">
        <f>IFERROR(__xludf.DUMMYFUNCTION("""COMPUTED_VALUE"""),"格納済")</f>
        <v>格納済</v>
      </c>
      <c r="S913" s="22" t="str">
        <f>IFERROR(__xludf.DUMMYFUNCTION("""COMPUTED_VALUE"""),"20231115_CLLENN_狼虎のあくなき青春")</f>
        <v>20231115_CLLENN_狼虎のあくなき青春</v>
      </c>
      <c r="T913" s="22" t="str">
        <f>IFERROR(__xludf.DUMMYFUNCTION("""COMPUTED_VALUE"""),"格納済み")</f>
        <v>格納済み</v>
      </c>
      <c r="U913" s="15" t="str">
        <f>IFERROR(__xludf.DUMMYFUNCTION("""COMPUTED_VALUE"""),"ⓒ天月テノ/CLLENN")</f>
        <v>ⓒ天月テノ/CLLENN</v>
      </c>
      <c r="V913" s="8" t="str">
        <f>IFERROR(__xludf.DUMMYFUNCTION("""COMPUTED_VALUE"""),"「紫摩組の天虎クンは、ち●こが大好きってこと」学内で恐れられる若頭・天虎（たかとら）は、じつは恋と青春…とエッチに興味津々。カースト上位のヤリチン・志狼（しろう）がセフレとヤってる姿を見てからというもの、アイツの顔とち●こで頭がいっぱいになる。こっそり覗いては、ヤられる妄想をしてお尻を弄る日々。ヤクザの息子が警察の息子のむすこをオカズにしているなんて極秘なのに――本人にバレて脅されて!?「欲しいんだろ？コレが」目の前に差し出されたアレに、抗えず拙い口で愛撫する。くそ…くそ…っなんでこんな奴の…欲しいと思っ"&amp;"てるんだ俺!!!［無自覚独占×ツンデレちょろイン］むさぼり合い、ハピえろ青春BL！")</f>
        <v>「紫摩組の天虎クンは、ち●こが大好きってこと」学内で恐れられる若頭・天虎（たかとら）は、じつは恋と青春…とエッチに興味津々。カースト上位のヤリチン・志狼（しろう）がセフレとヤってる姿を見てからというもの、アイツの顔とち●こで頭がいっぱいになる。こっそり覗いては、ヤられる妄想をしてお尻を弄る日々。ヤクザの息子が警察の息子のむすこをオカズにしているなんて極秘なのに――本人にバレて脅されて!?「欲しいんだろ？コレが」目の前に差し出されたアレに、抗えず拙い口で愛撫する。くそ…くそ…っなんでこんな奴の…欲しいと思ってるんだ俺!!!［無自覚独占×ツンデレちょろイン］むさぼり合い、ハピえろ青春BL！</v>
      </c>
      <c r="W913" s="14"/>
      <c r="X913" s="14" t="str">
        <f>IFERROR(__xludf.DUMMYFUNCTION("""COMPUTED_VALUE"""),"有")</f>
        <v>有</v>
      </c>
      <c r="Y913" s="8" t="str">
        <f>IFERROR(__xludf.DUMMYFUNCTION("""COMPUTED_VALUE"""),"P10まで")</f>
        <v>P10まで</v>
      </c>
      <c r="Z913" s="7"/>
      <c r="AA913" s="7"/>
      <c r="AB913" s="7"/>
    </row>
    <row r="914" ht="15.75" customHeight="1">
      <c r="A914" s="26">
        <f>IFERROR(__xludf.DUMMYFUNCTION("""COMPUTED_VALUE"""),2638.0)</f>
        <v>2638</v>
      </c>
      <c r="B914" s="22" t="str">
        <f>IFERROR(__xludf.DUMMYFUNCTION("""COMPUTED_VALUE"""),"確定")</f>
        <v>確定</v>
      </c>
      <c r="C914" s="28">
        <f>IFERROR(__xludf.DUMMYFUNCTION("""COMPUTED_VALUE"""),45244.0)</f>
        <v>45244</v>
      </c>
      <c r="D914" s="28">
        <f>IFERROR(__xludf.DUMMYFUNCTION("""COMPUTED_VALUE"""),45251.0)</f>
        <v>45251</v>
      </c>
      <c r="E914" s="26">
        <f>IFERROR(__xludf.DUMMYFUNCTION("""COMPUTED_VALUE"""),267245.0)</f>
        <v>267245</v>
      </c>
      <c r="F914" s="22" t="str">
        <f>IFERROR(__xludf.DUMMYFUNCTION("""COMPUTED_VALUE"""),"二人だけの秘密にして")</f>
        <v>二人だけの秘密にして</v>
      </c>
      <c r="G914" s="20" t="str">
        <f>IFERROR(__xludf.DUMMYFUNCTION("""COMPUTED_VALUE"""),"1～3")</f>
        <v>1～3</v>
      </c>
      <c r="H914" s="22" t="str">
        <f>IFERROR(__xludf.DUMMYFUNCTION("""COMPUTED_VALUE"""),"森永みなも")</f>
        <v>森永みなも</v>
      </c>
      <c r="I914" s="14" t="str">
        <f>IFERROR(__xludf.DUMMYFUNCTION("""COMPUTED_VALUE"""),"TL")</f>
        <v>TL</v>
      </c>
      <c r="J914" s="22"/>
      <c r="K914" s="22"/>
      <c r="L914" s="22" t="str">
        <f>IFERROR(__xludf.DUMMYFUNCTION("""COMPUTED_VALUE"""),"ソルマーレ編集部")</f>
        <v>ソルマーレ編集部</v>
      </c>
      <c r="M914" s="23">
        <f>IFERROR(__xludf.DUMMYFUNCTION("""COMPUTED_VALUE"""),45276.0)</f>
        <v>45276</v>
      </c>
      <c r="N914" s="23">
        <f>IFERROR(__xludf.DUMMYFUNCTION("""COMPUTED_VALUE"""),45337.0)</f>
        <v>45337</v>
      </c>
      <c r="O914" s="20"/>
      <c r="P914" s="32" t="str">
        <f>IFERROR(__xludf.DUMMYFUNCTION("""COMPUTED_VALUE"""),"可")</f>
        <v>可</v>
      </c>
      <c r="Q914" s="30"/>
      <c r="R914" s="22"/>
      <c r="S914" s="22" t="str">
        <f>IFERROR(__xludf.DUMMYFUNCTION("""COMPUTED_VALUE"""),"20231115_ソルマーレ編集部_二人だけの秘密にして")</f>
        <v>20231115_ソルマーレ編集部_二人だけの秘密にして</v>
      </c>
      <c r="T914" s="22" t="str">
        <f>IFERROR(__xludf.DUMMYFUNCTION("""COMPUTED_VALUE"""),"格納済み")</f>
        <v>格納済み</v>
      </c>
      <c r="U914" s="15" t="str">
        <f>IFERROR(__xludf.DUMMYFUNCTION("""COMPUTED_VALUE"""),"Ⓒ森永みなも/シーモアコミックス")</f>
        <v>Ⓒ森永みなも/シーモアコミックス</v>
      </c>
      <c r="V914" s="8" t="str">
        <f>IFERROR(__xludf.DUMMYFUNCTION("""COMPUTED_VALUE"""),"同じ書店でアルバイトをしている1コ年下の悠磨くんに片想い中のつむぎ。
本が好きで引っ込み思案なつむぎは、普通の小説はもちろん、じつはエッチな小説が大好き。ある日、コッソリ読んでいたところを、偶然悠磨くんに見られてしまう。恋も人生も終わった……そう思ったけれど、それをきっかけにまさかの急接近!? まるで小説の中のようなことが起こり――!?【桃色日記】")</f>
        <v>同じ書店でアルバイトをしている1コ年下の悠磨くんに片想い中のつむぎ。
本が好きで引っ込み思案なつむぎは、普通の小説はもちろん、じつはエッチな小説が大好き。ある日、コッソリ読んでいたところを、偶然悠磨くんに見られてしまう。恋も人生も終わった……そう思ったけれど、それをきっかけにまさかの急接近!? まるで小説の中のようなことが起こり――!?【桃色日記】</v>
      </c>
      <c r="W914" s="14"/>
      <c r="X914" s="14" t="str">
        <f>IFERROR(__xludf.DUMMYFUNCTION("""COMPUTED_VALUE"""),"有")</f>
        <v>有</v>
      </c>
      <c r="Y914" s="8" t="str">
        <f>IFERROR(__xludf.DUMMYFUNCTION("""COMPUTED_VALUE"""),"P10まで")</f>
        <v>P10まで</v>
      </c>
      <c r="Z914" s="7"/>
      <c r="AA914" s="7"/>
      <c r="AB914" s="7"/>
    </row>
    <row r="915" ht="15.75" customHeight="1">
      <c r="A915" s="26">
        <f>IFERROR(__xludf.DUMMYFUNCTION("""COMPUTED_VALUE"""),2647.0)</f>
        <v>2647</v>
      </c>
      <c r="B915" s="22" t="str">
        <f>IFERROR(__xludf.DUMMYFUNCTION("""COMPUTED_VALUE"""),"確定")</f>
        <v>確定</v>
      </c>
      <c r="C915" s="28">
        <f>IFERROR(__xludf.DUMMYFUNCTION("""COMPUTED_VALUE"""),45245.0)</f>
        <v>45245</v>
      </c>
      <c r="D915" s="28">
        <f>IFERROR(__xludf.DUMMYFUNCTION("""COMPUTED_VALUE"""),45251.0)</f>
        <v>45251</v>
      </c>
      <c r="E915" s="31">
        <f>IFERROR(__xludf.DUMMYFUNCTION("""COMPUTED_VALUE"""),282024.0)</f>
        <v>282024</v>
      </c>
      <c r="F915" s="22" t="str">
        <f>IFERROR(__xludf.DUMMYFUNCTION("""COMPUTED_VALUE"""),"【単話】軍神の花嫁")</f>
        <v>【単話】軍神の花嫁</v>
      </c>
      <c r="G915" s="20" t="str">
        <f>IFERROR(__xludf.DUMMYFUNCTION("""COMPUTED_VALUE"""),"1～5")</f>
        <v>1～5</v>
      </c>
      <c r="H915" s="22" t="str">
        <f>IFERROR(__xludf.DUMMYFUNCTION("""COMPUTED_VALUE"""),"灰庭ソウスケ")</f>
        <v>灰庭ソウスケ</v>
      </c>
      <c r="I915" s="22" t="str">
        <f>IFERROR(__xludf.DUMMYFUNCTION("""COMPUTED_VALUE"""),"少女")</f>
        <v>少女</v>
      </c>
      <c r="J915" s="22"/>
      <c r="K915" s="22"/>
      <c r="L915" s="22" t="str">
        <f>IFERROR(__xludf.DUMMYFUNCTION("""COMPUTED_VALUE"""),"KADOKAWA")</f>
        <v>KADOKAWA</v>
      </c>
      <c r="M915" s="23">
        <f>IFERROR(__xludf.DUMMYFUNCTION("""COMPUTED_VALUE"""),45274.0)</f>
        <v>45274</v>
      </c>
      <c r="N915" s="23">
        <f>IFERROR(__xludf.DUMMYFUNCTION("""COMPUTED_VALUE"""),45291.0)</f>
        <v>45291</v>
      </c>
      <c r="O915" s="20"/>
      <c r="P915" s="29" t="str">
        <f>IFERROR(__xludf.DUMMYFUNCTION("""COMPUTED_VALUE"""),"否")</f>
        <v>否</v>
      </c>
      <c r="Q915" s="22" t="str">
        <f>IFERROR(__xludf.DUMMYFUNCTION("""COMPUTED_VALUE"""),"4巻9Pまで格納済。トータル18P。11/22納品予定&lt;BR&gt;5巻目は12/1納品予定&lt;BR&gt;協業タイトル第2弾")</f>
        <v>4巻9Pまで格納済。トータル18P。11/22納品予定&lt;BR&gt;5巻目は12/1納品予定&lt;BR&gt;協業タイトル第2弾</v>
      </c>
      <c r="R915" s="22" t="str">
        <f>IFERROR(__xludf.DUMMYFUNCTION("""COMPUTED_VALUE"""),"格納済（1-3巻）")</f>
        <v>格納済（1-3巻）</v>
      </c>
      <c r="S915" s="22" t="str">
        <f>IFERROR(__xludf.DUMMYFUNCTION("""COMPUTED_VALUE"""),"20231117_KADOKAWA_軍神の花嫁")</f>
        <v>20231117_KADOKAWA_軍神の花嫁</v>
      </c>
      <c r="T915" s="22" t="str">
        <f>IFERROR(__xludf.DUMMYFUNCTION("""COMPUTED_VALUE"""),"校了済素材/格納済み")</f>
        <v>校了済素材/格納済み</v>
      </c>
      <c r="U915" s="15" t="str">
        <f>IFERROR(__xludf.DUMMYFUNCTION("""COMPUTED_VALUE"""),"(C)Sosuke Haiba 2023 （C)Suifuyo 2023")</f>
        <v>(C)Sosuke Haiba 2023 （C)Suifuyo 2023</v>
      </c>
      <c r="V915" s="8" t="str">
        <f>IFERROR(__xludf.DUMMYFUNCTION("""COMPUTED_VALUE"""),"優秀な長女と美しい三女に挟まれ、目立つこともなく生きてきたオードル家の次女サクラ。小さな魔獣を手懐けること以外、これといった特技も持たずひっそりと生きてきたにもかかわらず、サクラは一夜にして「軍神」と呼ばれる皇子カイの妃として連れ去られてしまった。その理由は、サクラが「破魔の剣」を納める鞘となる身を持っていたから――。ただ「剣の鞘」としてカイの手元に置かれるため、正妃として迎えられたサクラだったが、その聡さ、優しさが冷徹なカイに少しずつ変化を与えていく。不器用にすれ違いながら愛を深め合う、美しきシンデレラ"&amp;"ロマンス！")</f>
        <v>優秀な長女と美しい三女に挟まれ、目立つこともなく生きてきたオードル家の次女サクラ。小さな魔獣を手懐けること以外、これといった特技も持たずひっそりと生きてきたにもかかわらず、サクラは一夜にして「軍神」と呼ばれる皇子カイの妃として連れ去られてしまった。その理由は、サクラが「破魔の剣」を納める鞘となる身を持っていたから――。ただ「剣の鞘」としてカイの手元に置かれるため、正妃として迎えられたサクラだったが、その聡さ、優しさが冷徹なカイに少しずつ変化を与えていく。不器用にすれ違いながら愛を深め合う、美しきシンデレラロマンス！</v>
      </c>
      <c r="W915" s="14"/>
      <c r="X915" s="14" t="str">
        <f>IFERROR(__xludf.DUMMYFUNCTION("""COMPUTED_VALUE"""),"無")</f>
        <v>無</v>
      </c>
      <c r="Y915" s="8" t="str">
        <f>IFERROR(__xludf.DUMMYFUNCTION("""COMPUTED_VALUE"""),"2024/1/31まで1巻無料")</f>
        <v>2024/1/31まで1巻無料</v>
      </c>
      <c r="Z915" s="7"/>
      <c r="AA915" s="7"/>
      <c r="AB915" s="7"/>
    </row>
    <row r="916" ht="15.75" customHeight="1">
      <c r="A916" s="26">
        <f>IFERROR(__xludf.DUMMYFUNCTION("""COMPUTED_VALUE"""),2652.0)</f>
        <v>2652</v>
      </c>
      <c r="B916" s="22" t="str">
        <f>IFERROR(__xludf.DUMMYFUNCTION("""COMPUTED_VALUE"""),"確定")</f>
        <v>確定</v>
      </c>
      <c r="C916" s="28">
        <f>IFERROR(__xludf.DUMMYFUNCTION("""COMPUTED_VALUE"""),45245.0)</f>
        <v>45245</v>
      </c>
      <c r="D916" s="28">
        <f>IFERROR(__xludf.DUMMYFUNCTION("""COMPUTED_VALUE"""),45251.0)</f>
        <v>45251</v>
      </c>
      <c r="E916" s="31">
        <f>IFERROR(__xludf.DUMMYFUNCTION("""COMPUTED_VALUE"""),282186.0)</f>
        <v>282186</v>
      </c>
      <c r="F916" s="22" t="str">
        <f>IFERROR(__xludf.DUMMYFUNCTION("""COMPUTED_VALUE"""),"恋愛感情を抱くまで")</f>
        <v>恋愛感情を抱くまで</v>
      </c>
      <c r="G916" s="11" t="str">
        <f>IFERROR(__xludf.DUMMYFUNCTION("""COMPUTED_VALUE"""),"1～4")</f>
        <v>1～4</v>
      </c>
      <c r="H916" s="22" t="str">
        <f>IFERROR(__xludf.DUMMYFUNCTION("""COMPUTED_VALUE"""),"YUKIO")</f>
        <v>YUKIO</v>
      </c>
      <c r="I916" s="22" t="str">
        <f>IFERROR(__xludf.DUMMYFUNCTION("""COMPUTED_VALUE"""),"青年")</f>
        <v>青年</v>
      </c>
      <c r="J916" s="22"/>
      <c r="K916" s="22"/>
      <c r="L916" s="22" t="str">
        <f>IFERROR(__xludf.DUMMYFUNCTION("""COMPUTED_VALUE"""),"Rush!")</f>
        <v>Rush!</v>
      </c>
      <c r="M916" s="23">
        <f>IFERROR(__xludf.DUMMYFUNCTION("""COMPUTED_VALUE"""),45275.0)</f>
        <v>45275</v>
      </c>
      <c r="N916" s="23">
        <f>IFERROR(__xludf.DUMMYFUNCTION("""COMPUTED_VALUE"""),2958465.0)</f>
        <v>2958465</v>
      </c>
      <c r="O916" s="20"/>
      <c r="P916" s="29" t="str">
        <f>IFERROR(__xludf.DUMMYFUNCTION("""COMPUTED_VALUE"""),"可")</f>
        <v>可</v>
      </c>
      <c r="Q916" s="30" t="str">
        <f>IFERROR(__xludf.DUMMYFUNCTION("""COMPUTED_VALUE"""),"協業レーベル『シーモア×rush！』作品です。&lt;BR&gt;「カラダにイイ男」の作家さんで売上が期待できる作品です。また先行期間は通常3ヶ月ですが先行終了日を3ヶ月以上は担保しつつ一旦無期限先行で調整できましたので全力プッシュお願いします！")</f>
        <v>協業レーベル『シーモア×rush！』作品です。&lt;BR&gt;「カラダにイイ男」の作家さんで売上が期待できる作品です。また先行期間は通常3ヶ月ですが先行終了日を3ヶ月以上は担保しつつ一旦無期限先行で調整できましたので全力プッシュお願いします！</v>
      </c>
      <c r="R916" s="22"/>
      <c r="S916" s="22" t="str">
        <f>IFERROR(__xludf.DUMMYFUNCTION("""COMPUTED_VALUE"""),"20231116_ファンギルド_恋愛感情を抱くまで")</f>
        <v>20231116_ファンギルド_恋愛感情を抱くまで</v>
      </c>
      <c r="T916" s="22" t="str">
        <f>IFERROR(__xludf.DUMMYFUNCTION("""COMPUTED_VALUE"""),"格納済み")</f>
        <v>格納済み</v>
      </c>
      <c r="U916" s="15" t="str">
        <f>IFERROR(__xludf.DUMMYFUNCTION("""COMPUTED_VALUE"""),"©YUKIO/TOPTOON")</f>
        <v>©YUKIO/TOPTOON</v>
      </c>
      <c r="V916" s="8" t="str">
        <f>IFERROR(__xludf.DUMMYFUNCTION("""COMPUTED_VALUE"""),"バイト暮らしの大学生・大地はある日、実の父を亡くした。11年前に自分と母を捨て、他の女の元へと行ってしまった父だったが、大地にとある財産を残していた。それは、郊外のアパート丸々1棟。大地は一夜にして”家主”として、一国一城の主となった。そうしてアパート内に用意された自分の部屋に入ると、足元には何故か女性用の靴と…見知らぬ黒髪美少女！？「おじさんが…鷹村 大地さんですか？」冴えない生活が一変、見知らぬ美少女との強制共同生活が勝手に幕を開ける――！")</f>
        <v>バイト暮らしの大学生・大地はある日、実の父を亡くした。11年前に自分と母を捨て、他の女の元へと行ってしまった父だったが、大地にとある財産を残していた。それは、郊外のアパート丸々1棟。大地は一夜にして”家主”として、一国一城の主となった。そうしてアパート内に用意された自分の部屋に入ると、足元には何故か女性用の靴と…見知らぬ黒髪美少女！？「おじさんが…鷹村 大地さんですか？」冴えない生活が一変、見知らぬ美少女との強制共同生活が勝手に幕を開ける――！</v>
      </c>
      <c r="W916" s="14"/>
      <c r="X916" s="14" t="str">
        <f>IFERROR(__xludf.DUMMYFUNCTION("""COMPUTED_VALUE"""),"無")</f>
        <v>無</v>
      </c>
      <c r="Y916" s="8" t="str">
        <f>IFERROR(__xludf.DUMMYFUNCTION("""COMPUTED_VALUE"""),"12/28まで1巻無料")</f>
        <v>12/28まで1巻無料</v>
      </c>
      <c r="Z916" s="7"/>
      <c r="AA916" s="7"/>
      <c r="AB916" s="7"/>
    </row>
    <row r="917" ht="15.75" customHeight="1">
      <c r="A917" s="26">
        <f>IFERROR(__xludf.DUMMYFUNCTION("""COMPUTED_VALUE"""),2656.0)</f>
        <v>2656</v>
      </c>
      <c r="B917" s="22" t="str">
        <f>IFERROR(__xludf.DUMMYFUNCTION("""COMPUTED_VALUE"""),"確定")</f>
        <v>確定</v>
      </c>
      <c r="C917" s="28">
        <f>IFERROR(__xludf.DUMMYFUNCTION("""COMPUTED_VALUE"""),45247.0)</f>
        <v>45247</v>
      </c>
      <c r="D917" s="28">
        <f>IFERROR(__xludf.DUMMYFUNCTION("""COMPUTED_VALUE"""),45251.0)</f>
        <v>45251</v>
      </c>
      <c r="E917" s="26">
        <f>IFERROR(__xludf.DUMMYFUNCTION("""COMPUTED_VALUE"""),265954.0)</f>
        <v>265954</v>
      </c>
      <c r="F917" s="22" t="str">
        <f>IFERROR(__xludf.DUMMYFUNCTION("""COMPUTED_VALUE"""),"クズの一掃")</f>
        <v>クズの一掃</v>
      </c>
      <c r="G917" s="20" t="str">
        <f>IFERROR(__xludf.DUMMYFUNCTION("""COMPUTED_VALUE"""),"1～3")</f>
        <v>1～3</v>
      </c>
      <c r="H917" s="22" t="str">
        <f>IFERROR(__xludf.DUMMYFUNCTION("""COMPUTED_VALUE"""),"ユリガオカ,SR")</f>
        <v>ユリガオカ,SR</v>
      </c>
      <c r="I917" s="14" t="str">
        <f>IFERROR(__xludf.DUMMYFUNCTION("""COMPUTED_VALUE"""),"青年")</f>
        <v>青年</v>
      </c>
      <c r="J917" s="22"/>
      <c r="K917" s="22"/>
      <c r="L917" s="22" t="str">
        <f>IFERROR(__xludf.DUMMYFUNCTION("""COMPUTED_VALUE"""),"シーモアコミックス")</f>
        <v>シーモアコミックス</v>
      </c>
      <c r="M917" s="23">
        <f>IFERROR(__xludf.DUMMYFUNCTION("""COMPUTED_VALUE"""),45289.0)</f>
        <v>45289</v>
      </c>
      <c r="N917" s="23">
        <f>IFERROR(__xludf.DUMMYFUNCTION("""COMPUTED_VALUE"""),45442.0)</f>
        <v>45442</v>
      </c>
      <c r="O917" s="20"/>
      <c r="P917" s="29" t="str">
        <f>IFERROR(__xludf.DUMMYFUNCTION("""COMPUTED_VALUE"""),"可")</f>
        <v>可</v>
      </c>
      <c r="Q917" s="30" t="str">
        <f>IFERROR(__xludf.DUMMYFUNCTION("""COMPUTED_VALUE"""),"※正式タイトル下記の通りです（11/17）&lt;BR&gt;＝＝＝&lt;BR&gt;クズの一掃&lt;BR&gt;＝＝＝&lt;BR&gt;")</f>
        <v>※正式タイトル下記の通りです（11/17）&lt;BR&gt;＝＝＝&lt;BR&gt;クズの一掃&lt;BR&gt;＝＝＝&lt;BR&gt;</v>
      </c>
      <c r="R917" s="22"/>
      <c r="S917" s="22" t="str">
        <f>IFERROR(__xludf.DUMMYFUNCTION("""COMPUTED_VALUE"""),"20231117_シーモアコミックス_クズの一掃")</f>
        <v>20231117_シーモアコミックス_クズの一掃</v>
      </c>
      <c r="T917" s="22" t="str">
        <f>IFERROR(__xludf.DUMMYFUNCTION("""COMPUTED_VALUE"""),"格納済み")</f>
        <v>格納済み</v>
      </c>
      <c r="U917" s="15" t="str">
        <f>IFERROR(__xludf.DUMMYFUNCTION("""COMPUTED_VALUE"""),"© ユリガオカ/SR/シーモアコミックス")</f>
        <v>© ユリガオカ/SR/シーモアコミックス</v>
      </c>
      <c r="V917" s="8" t="str">
        <f>IFERROR(__xludf.DUMMYFUNCTION("""COMPUTED_VALUE"""),"正義感の強い父に憧れ、汚れたことが大嫌いな少年・阿左美千寿は、父のように人を助けられる人間になると心に決めていた。しかしある日、帰宅した千寿の目に飛び込んできたのは、何者かに拷問され瀕死状態の父。正義を求め、真面目に生きてきた父にはふさわしくない無残な最期を見届けた千寿は、自らの手で復讐することを誓う。怪しい影をもつ校内清掃員・田中とともに父の死の真相へ迫る千寿。千寿と田中は徐々に、自らの通う高校の裏の顔を解き明かしていく――")</f>
        <v>正義感の強い父に憧れ、汚れたことが大嫌いな少年・阿左美千寿は、父のように人を助けられる人間になると心に決めていた。しかしある日、帰宅した千寿の目に飛び込んできたのは、何者かに拷問され瀕死状態の父。正義を求め、真面目に生きてきた父にはふさわしくない無残な最期を見届けた千寿は、自らの手で復讐することを誓う。怪しい影をもつ校内清掃員・田中とともに父の死の真相へ迫る千寿。千寿と田中は徐々に、自らの通う高校の裏の顔を解き明かしていく――</v>
      </c>
      <c r="W917" s="14"/>
      <c r="X917" s="14" t="str">
        <f>IFERROR(__xludf.DUMMYFUNCTION("""COMPUTED_VALUE"""),"有")</f>
        <v>有</v>
      </c>
      <c r="Y917" s="8" t="str">
        <f>IFERROR(__xludf.DUMMYFUNCTION("""COMPUTED_VALUE"""),"P4まで")</f>
        <v>P4まで</v>
      </c>
      <c r="Z917" s="7"/>
      <c r="AA917" s="7"/>
      <c r="AB917" s="7"/>
    </row>
    <row r="918" ht="95.25" customHeight="1">
      <c r="A918" s="26">
        <f>IFERROR(__xludf.DUMMYFUNCTION("""COMPUTED_VALUE"""),2657.0)</f>
        <v>2657</v>
      </c>
      <c r="B918" s="22" t="str">
        <f>IFERROR(__xludf.DUMMYFUNCTION("""COMPUTED_VALUE"""),"確定")</f>
        <v>確定</v>
      </c>
      <c r="C918" s="28">
        <f>IFERROR(__xludf.DUMMYFUNCTION("""COMPUTED_VALUE"""),45247.0)</f>
        <v>45247</v>
      </c>
      <c r="D918" s="28">
        <f>IFERROR(__xludf.DUMMYFUNCTION("""COMPUTED_VALUE"""),45251.0)</f>
        <v>45251</v>
      </c>
      <c r="E918" s="26">
        <f>IFERROR(__xludf.DUMMYFUNCTION("""COMPUTED_VALUE"""),275041.0)</f>
        <v>275041</v>
      </c>
      <c r="F918" s="22" t="str">
        <f>IFERROR(__xludf.DUMMYFUNCTION("""COMPUTED_VALUE"""),"厄者～舞台の上で死神は復讐する～")</f>
        <v>厄者～舞台の上で死神は復讐する～</v>
      </c>
      <c r="G918" s="20" t="str">
        <f>IFERROR(__xludf.DUMMYFUNCTION("""COMPUTED_VALUE"""),"1～3")</f>
        <v>1～3</v>
      </c>
      <c r="H918" s="22" t="str">
        <f>IFERROR(__xludf.DUMMYFUNCTION("""COMPUTED_VALUE"""),"よしむら香月,日野わいま")</f>
        <v>よしむら香月,日野わいま</v>
      </c>
      <c r="I918" s="14" t="str">
        <f>IFERROR(__xludf.DUMMYFUNCTION("""COMPUTED_VALUE"""),"青年")</f>
        <v>青年</v>
      </c>
      <c r="J918" s="22"/>
      <c r="K918" s="22"/>
      <c r="L918" s="22" t="str">
        <f>IFERROR(__xludf.DUMMYFUNCTION("""COMPUTED_VALUE"""),"シーモアコミックス")</f>
        <v>シーモアコミックス</v>
      </c>
      <c r="M918" s="23">
        <f>IFERROR(__xludf.DUMMYFUNCTION("""COMPUTED_VALUE"""),45289.0)</f>
        <v>45289</v>
      </c>
      <c r="N918" s="23">
        <f>IFERROR(__xludf.DUMMYFUNCTION("""COMPUTED_VALUE"""),45442.0)</f>
        <v>45442</v>
      </c>
      <c r="O918" s="20"/>
      <c r="P918" s="29" t="str">
        <f>IFERROR(__xludf.DUMMYFUNCTION("""COMPUTED_VALUE"""),"可")</f>
        <v>可</v>
      </c>
      <c r="Q918" s="30" t="str">
        <f>IFERROR(__xludf.DUMMYFUNCTION("""COMPUTED_VALUE"""),"※正式タイトル下記の通りです（11/17）&lt;BR&gt;＝＝＝&lt;BR&gt;厄者～舞台の上で死神は復讐する～&lt;BR&gt;＝＝＝&lt;BR&gt;")</f>
        <v>※正式タイトル下記の通りです（11/17）&lt;BR&gt;＝＝＝&lt;BR&gt;厄者～舞台の上で死神は復讐する～&lt;BR&gt;＝＝＝&lt;BR&gt;</v>
      </c>
      <c r="R918" s="22"/>
      <c r="S918" s="22" t="str">
        <f>IFERROR(__xludf.DUMMYFUNCTION("""COMPUTED_VALUE"""),"20231117_シーモアコミックス_厄者～舞台の上で死神は復讐する～")</f>
        <v>20231117_シーモアコミックス_厄者～舞台の上で死神は復讐する～</v>
      </c>
      <c r="T918" s="22" t="str">
        <f>IFERROR(__xludf.DUMMYFUNCTION("""COMPUTED_VALUE"""),"格納済み")</f>
        <v>格納済み</v>
      </c>
      <c r="U918" s="15" t="str">
        <f>IFERROR(__xludf.DUMMYFUNCTION("""COMPUTED_VALUE"""),"© よしむら香月/日野わいま/シーモアコミックス")</f>
        <v>© よしむら香月/日野わいま/シーモアコミックス</v>
      </c>
      <c r="V918" s="8" t="str">
        <f>IFERROR(__xludf.DUMMYFUNCTION("""COMPUTED_VALUE"""),"神翔一はその爽やかな見た目とは裏腹に過激な役で人気のある売れっ子俳優。だが、その正体は…役作りのためなら犯罪をもいとわないサイコパスだった…！社会で日常的に繰り広げられているいじめ、セクハラ、パワハラetc…。人を人とも思わぬ鬼畜達にサイコパス俳優が制裁を下す！")</f>
        <v>神翔一はその爽やかな見た目とは裏腹に過激な役で人気のある売れっ子俳優。だが、その正体は…役作りのためなら犯罪をもいとわないサイコパスだった…！社会で日常的に繰り広げられているいじめ、セクハラ、パワハラetc…。人を人とも思わぬ鬼畜達にサイコパス俳優が制裁を下す！</v>
      </c>
      <c r="W918" s="14"/>
      <c r="X918" s="14" t="str">
        <f>IFERROR(__xludf.DUMMYFUNCTION("""COMPUTED_VALUE"""),"有")</f>
        <v>有</v>
      </c>
      <c r="Y918" s="8" t="str">
        <f>IFERROR(__xludf.DUMMYFUNCTION("""COMPUTED_VALUE"""),"P15まで")</f>
        <v>P15まで</v>
      </c>
      <c r="Z918" s="7"/>
      <c r="AA918" s="7"/>
      <c r="AB918" s="7"/>
    </row>
    <row r="919" ht="15.75" customHeight="1">
      <c r="A919" s="26">
        <f>IFERROR(__xludf.DUMMYFUNCTION("""COMPUTED_VALUE"""),2658.0)</f>
        <v>2658</v>
      </c>
      <c r="B919" s="22" t="str">
        <f>IFERROR(__xludf.DUMMYFUNCTION("""COMPUTED_VALUE"""),"確定")</f>
        <v>確定</v>
      </c>
      <c r="C919" s="28">
        <f>IFERROR(__xludf.DUMMYFUNCTION("""COMPUTED_VALUE"""),45247.0)</f>
        <v>45247</v>
      </c>
      <c r="D919" s="28">
        <f>IFERROR(__xludf.DUMMYFUNCTION("""COMPUTED_VALUE"""),45251.0)</f>
        <v>45251</v>
      </c>
      <c r="E919" s="26">
        <f>IFERROR(__xludf.DUMMYFUNCTION("""COMPUTED_VALUE"""),269915.0)</f>
        <v>269915</v>
      </c>
      <c r="F919" s="22" t="str">
        <f>IFERROR(__xludf.DUMMYFUNCTION("""COMPUTED_VALUE"""),"鏡ノ御子～醜いといわれる次期当主様に慕われておりました～")</f>
        <v>鏡ノ御子～醜いといわれる次期当主様に慕われておりました～</v>
      </c>
      <c r="G919" s="20" t="str">
        <f>IFERROR(__xludf.DUMMYFUNCTION("""COMPUTED_VALUE"""),"1～3")</f>
        <v>1～3</v>
      </c>
      <c r="H919" s="22" t="str">
        <f>IFERROR(__xludf.DUMMYFUNCTION("""COMPUTED_VALUE"""),"宮ト青,春井環二")</f>
        <v>宮ト青,春井環二</v>
      </c>
      <c r="I919" s="22" t="str">
        <f>IFERROR(__xludf.DUMMYFUNCTION("""COMPUTED_VALUE"""),"少女")</f>
        <v>少女</v>
      </c>
      <c r="J919" s="22"/>
      <c r="K919" s="22"/>
      <c r="L919" s="22" t="str">
        <f>IFERROR(__xludf.DUMMYFUNCTION("""COMPUTED_VALUE"""),"シーモアコミックス")</f>
        <v>シーモアコミックス</v>
      </c>
      <c r="M919" s="23">
        <f>IFERROR(__xludf.DUMMYFUNCTION("""COMPUTED_VALUE"""),45296.0)</f>
        <v>45296</v>
      </c>
      <c r="N919" s="23">
        <f>IFERROR(__xludf.DUMMYFUNCTION("""COMPUTED_VALUE"""),45449.0)</f>
        <v>45449</v>
      </c>
      <c r="O919" s="20"/>
      <c r="P919" s="29" t="str">
        <f>IFERROR(__xludf.DUMMYFUNCTION("""COMPUTED_VALUE"""),"可")</f>
        <v>可</v>
      </c>
      <c r="Q919" s="30" t="str">
        <f>IFERROR(__xludf.DUMMYFUNCTION("""COMPUTED_VALUE"""),"※正式タイトル下記の通りです（11/17）&lt;BR&gt;＝＝＝&lt;BR&gt;鏡ノ御子～醜いといわれる次期当主様に慕われておりました～&lt;BR&gt;＝＝＝")</f>
        <v>※正式タイトル下記の通りです（11/17）&lt;BR&gt;＝＝＝&lt;BR&gt;鏡ノ御子～醜いといわれる次期当主様に慕われておりました～&lt;BR&gt;＝＝＝</v>
      </c>
      <c r="R919" s="22"/>
      <c r="S919" s="22" t="str">
        <f>IFERROR(__xludf.DUMMYFUNCTION("""COMPUTED_VALUE"""),"20231117_シーモアコミックス_鏡ノ御子～醜いといわれる次期当主様に慕われておりました～")</f>
        <v>20231117_シーモアコミックス_鏡ノ御子～醜いといわれる次期当主様に慕われておりました～</v>
      </c>
      <c r="T919" s="22" t="str">
        <f>IFERROR(__xludf.DUMMYFUNCTION("""COMPUTED_VALUE"""),"格納済み")</f>
        <v>格納済み</v>
      </c>
      <c r="U919" s="15" t="str">
        <f>IFERROR(__xludf.DUMMYFUNCTION("""COMPUTED_VALUE"""),"© 宮ト青/春井環二/シーモアコミックス")</f>
        <v>© 宮ト青/春井環二/シーモアコミックス</v>
      </c>
      <c r="V919" s="8" t="str">
        <f>IFERROR(__xludf.DUMMYFUNCTION("""COMPUTED_VALUE"""),"大正時代末期。地方の旧家の長女として生まれた綾乃は、父親の再婚相手の継母と義妹に虐げられる辛い日々をおくっていた。ある日、綾乃は醜い顔の跡継ぎがいると噂される渡来家に無理やり嫁がされることになる。断ることも出来ず祝言の場に臨む綾乃だったが、そこに現れたのは美しい青年・鏡一郎だった。初対面のはずなのに、鏡一郎は何故か綾乃のことを慕っていて…！？大正ロマン香るシンデレラストーリー！")</f>
        <v>大正時代末期。地方の旧家の長女として生まれた綾乃は、父親の再婚相手の継母と義妹に虐げられる辛い日々をおくっていた。ある日、綾乃は醜い顔の跡継ぎがいると噂される渡来家に無理やり嫁がされることになる。断ることも出来ず祝言の場に臨む綾乃だったが、そこに現れたのは美しい青年・鏡一郎だった。初対面のはずなのに、鏡一郎は何故か綾乃のことを慕っていて…！？大正ロマン香るシンデレラストーリー！</v>
      </c>
      <c r="W919" s="14"/>
      <c r="X919" s="14" t="str">
        <f>IFERROR(__xludf.DUMMYFUNCTION("""COMPUTED_VALUE"""),"有")</f>
        <v>有</v>
      </c>
      <c r="Y919" s="8" t="str">
        <f>IFERROR(__xludf.DUMMYFUNCTION("""COMPUTED_VALUE"""),"P10まで")</f>
        <v>P10まで</v>
      </c>
      <c r="Z919" s="7"/>
      <c r="AA919" s="7"/>
      <c r="AB919" s="7"/>
    </row>
    <row r="920" ht="78.0" customHeight="1">
      <c r="A920" s="26">
        <f>IFERROR(__xludf.DUMMYFUNCTION("""COMPUTED_VALUE"""),2673.0)</f>
        <v>2673</v>
      </c>
      <c r="B920" s="22" t="str">
        <f>IFERROR(__xludf.DUMMYFUNCTION("""COMPUTED_VALUE"""),"確定")</f>
        <v>確定</v>
      </c>
      <c r="C920" s="28">
        <f>IFERROR(__xludf.DUMMYFUNCTION("""COMPUTED_VALUE"""),45251.0)</f>
        <v>45251</v>
      </c>
      <c r="D920" s="28">
        <f>IFERROR(__xludf.DUMMYFUNCTION("""COMPUTED_VALUE"""),45251.0)</f>
        <v>45251</v>
      </c>
      <c r="E920" s="31">
        <f>IFERROR(__xludf.DUMMYFUNCTION("""COMPUTED_VALUE"""),282020.0)</f>
        <v>282020</v>
      </c>
      <c r="F920" s="22" t="str">
        <f>IFERROR(__xludf.DUMMYFUNCTION("""COMPUTED_VALUE"""),"イケメン名医の溺愛カルテ～院内秘密の絶頂SEX～")</f>
        <v>イケメン名医の溺愛カルテ～院内秘密の絶頂SEX～</v>
      </c>
      <c r="G920" s="11" t="str">
        <f>IFERROR(__xludf.DUMMYFUNCTION("""COMPUTED_VALUE"""),"1～2")</f>
        <v>1～2</v>
      </c>
      <c r="H920" s="22" t="str">
        <f>IFERROR(__xludf.DUMMYFUNCTION("""COMPUTED_VALUE"""),"あまぐり")</f>
        <v>あまぐり</v>
      </c>
      <c r="I920" s="22" t="str">
        <f>IFERROR(__xludf.DUMMYFUNCTION("""COMPUTED_VALUE"""),"女性")</f>
        <v>女性</v>
      </c>
      <c r="J920" s="22"/>
      <c r="K920" s="22"/>
      <c r="L920" s="22" t="str">
        <f>IFERROR(__xludf.DUMMYFUNCTION("""COMPUTED_VALUE"""),"秋田書店")</f>
        <v>秋田書店</v>
      </c>
      <c r="M920" s="23">
        <f>IFERROR(__xludf.DUMMYFUNCTION("""COMPUTED_VALUE"""),45274.0)</f>
        <v>45274</v>
      </c>
      <c r="N920" s="23">
        <f>IFERROR(__xludf.DUMMYFUNCTION("""COMPUTED_VALUE"""),45337.0)</f>
        <v>45337</v>
      </c>
      <c r="O920" s="20"/>
      <c r="P920" s="29" t="str">
        <f>IFERROR(__xludf.DUMMYFUNCTION("""COMPUTED_VALUE"""),"可")</f>
        <v>可</v>
      </c>
      <c r="Q920" s="30" t="str">
        <f>IFERROR(__xludf.DUMMYFUNCTION("""COMPUTED_VALUE"""),"素材を分割して2巻分として配信予定")</f>
        <v>素材を分割して2巻分として配信予定</v>
      </c>
      <c r="R920" s="22"/>
      <c r="S920" s="22" t="str">
        <f>IFERROR(__xludf.DUMMYFUNCTION("""COMPUTED_VALUE"""),"20231121_秋田書店_恋愛Lovemax2作品")</f>
        <v>20231121_秋田書店_恋愛Lovemax2作品</v>
      </c>
      <c r="T920" s="22" t="str">
        <f>IFERROR(__xludf.DUMMYFUNCTION("""COMPUTED_VALUE"""),"格納済み")</f>
        <v>格納済み</v>
      </c>
      <c r="U920" s="15" t="str">
        <f>IFERROR(__xludf.DUMMYFUNCTION("""COMPUTED_VALUE"""),"（C)あまぐり（秋田書店）")</f>
        <v>（C)あまぐり（秋田書店）</v>
      </c>
      <c r="V920" s="8" t="str">
        <f>IFERROR(__xludf.DUMMYFUNCTION("""COMPUTED_VALUE"""),"新シリーズスタート!!クールすぎる小児科医の、熱い情動に溶かされちゃう！あべこべな2人の正反対いちゃラブ！新しい病院に勤務し始めた看護師の佳菜子。小児科医の朝霞先生とは油と水の関係で…!?")</f>
        <v>新シリーズスタート!!クールすぎる小児科医の、熱い情動に溶かされちゃう！あべこべな2人の正反対いちゃラブ！新しい病院に勤務し始めた看護師の佳菜子。小児科医の朝霞先生とは油と水の関係で…!?</v>
      </c>
      <c r="W920" s="14"/>
      <c r="X920" s="14" t="str">
        <f>IFERROR(__xludf.DUMMYFUNCTION("""COMPUTED_VALUE"""),"有")</f>
        <v>有</v>
      </c>
      <c r="Y920" s="8" t="str">
        <f>IFERROR(__xludf.DUMMYFUNCTION("""COMPUTED_VALUE"""),"P11まで")</f>
        <v>P11まで</v>
      </c>
      <c r="Z920" s="7"/>
      <c r="AA920" s="7"/>
      <c r="AB920" s="7"/>
    </row>
    <row r="921" ht="83.25" customHeight="1">
      <c r="A921" s="26">
        <f>IFERROR(__xludf.DUMMYFUNCTION("""COMPUTED_VALUE"""),2674.0)</f>
        <v>2674</v>
      </c>
      <c r="B921" s="22" t="str">
        <f>IFERROR(__xludf.DUMMYFUNCTION("""COMPUTED_VALUE"""),"確定")</f>
        <v>確定</v>
      </c>
      <c r="C921" s="28">
        <f>IFERROR(__xludf.DUMMYFUNCTION("""COMPUTED_VALUE"""),45251.0)</f>
        <v>45251</v>
      </c>
      <c r="D921" s="28">
        <f>IFERROR(__xludf.DUMMYFUNCTION("""COMPUTED_VALUE"""),45251.0)</f>
        <v>45251</v>
      </c>
      <c r="E921" s="31">
        <f>IFERROR(__xludf.DUMMYFUNCTION("""COMPUTED_VALUE"""),282019.0)</f>
        <v>282019</v>
      </c>
      <c r="F921" s="22" t="str">
        <f>IFERROR(__xludf.DUMMYFUNCTION("""COMPUTED_VALUE"""),"みだらな妄想、全部バレてました！～彼は恥ずかしい秘密を読み取る超能力者～")</f>
        <v>みだらな妄想、全部バレてました！～彼は恥ずかしい秘密を読み取る超能力者～</v>
      </c>
      <c r="G921" s="11" t="str">
        <f>IFERROR(__xludf.DUMMYFUNCTION("""COMPUTED_VALUE"""),"1～2")</f>
        <v>1～2</v>
      </c>
      <c r="H921" s="22" t="str">
        <f>IFERROR(__xludf.DUMMYFUNCTION("""COMPUTED_VALUE"""),"横家早")</f>
        <v>横家早</v>
      </c>
      <c r="I921" s="22" t="str">
        <f>IFERROR(__xludf.DUMMYFUNCTION("""COMPUTED_VALUE"""),"女性")</f>
        <v>女性</v>
      </c>
      <c r="J921" s="22"/>
      <c r="K921" s="22"/>
      <c r="L921" s="22" t="str">
        <f>IFERROR(__xludf.DUMMYFUNCTION("""COMPUTED_VALUE"""),"秋田書店")</f>
        <v>秋田書店</v>
      </c>
      <c r="M921" s="23">
        <f>IFERROR(__xludf.DUMMYFUNCTION("""COMPUTED_VALUE"""),45274.0)</f>
        <v>45274</v>
      </c>
      <c r="N921" s="23">
        <f>IFERROR(__xludf.DUMMYFUNCTION("""COMPUTED_VALUE"""),45337.0)</f>
        <v>45337</v>
      </c>
      <c r="O921" s="20"/>
      <c r="P921" s="29" t="str">
        <f>IFERROR(__xludf.DUMMYFUNCTION("""COMPUTED_VALUE"""),"可")</f>
        <v>可</v>
      </c>
      <c r="Q921" s="30" t="str">
        <f>IFERROR(__xludf.DUMMYFUNCTION("""COMPUTED_VALUE"""),"素材を分割して2巻分として配信予定")</f>
        <v>素材を分割して2巻分として配信予定</v>
      </c>
      <c r="R921" s="22"/>
      <c r="S921" s="22" t="str">
        <f>IFERROR(__xludf.DUMMYFUNCTION("""COMPUTED_VALUE"""),"20231121_秋田書店_恋愛Lovemax2作品")</f>
        <v>20231121_秋田書店_恋愛Lovemax2作品</v>
      </c>
      <c r="T921" s="22" t="str">
        <f>IFERROR(__xludf.DUMMYFUNCTION("""COMPUTED_VALUE"""),"格納済み")</f>
        <v>格納済み</v>
      </c>
      <c r="U921" s="15" t="str">
        <f>IFERROR(__xludf.DUMMYFUNCTION("""COMPUTED_VALUE"""),"（C)横家早（秋田書店）")</f>
        <v>（C)横家早（秋田書店）</v>
      </c>
      <c r="V921" s="8" t="str">
        <f>IFERROR(__xludf.DUMMYFUNCTION("""COMPUTED_VALUE"""),"新シリーズスタート!!心も体もつつぬけラブ！エッチな妄想相手にぜ～んぶ丸見えだったんです!?溢れる性欲を妄想で解消している撫子。大好きな人との妄想が止まらない毎日ですが、なんと彼には特殊能力があって…!?")</f>
        <v>新シリーズスタート!!心も体もつつぬけラブ！エッチな妄想相手にぜ～んぶ丸見えだったんです!?溢れる性欲を妄想で解消している撫子。大好きな人との妄想が止まらない毎日ですが、なんと彼には特殊能力があって…!?</v>
      </c>
      <c r="W921" s="14"/>
      <c r="X921" s="14" t="str">
        <f>IFERROR(__xludf.DUMMYFUNCTION("""COMPUTED_VALUE"""),"有")</f>
        <v>有</v>
      </c>
      <c r="Y921" s="8" t="str">
        <f>IFERROR(__xludf.DUMMYFUNCTION("""COMPUTED_VALUE"""),"P10まで")</f>
        <v>P10まで</v>
      </c>
      <c r="Z921" s="7"/>
      <c r="AA921" s="7"/>
      <c r="AB921" s="7"/>
    </row>
    <row r="922" ht="15.75" customHeight="1">
      <c r="A922" s="26">
        <f>IFERROR(__xludf.DUMMYFUNCTION("""COMPUTED_VALUE"""),2675.0)</f>
        <v>2675</v>
      </c>
      <c r="B922" s="22" t="str">
        <f>IFERROR(__xludf.DUMMYFUNCTION("""COMPUTED_VALUE"""),"確定")</f>
        <v>確定</v>
      </c>
      <c r="C922" s="28">
        <f>IFERROR(__xludf.DUMMYFUNCTION("""COMPUTED_VALUE"""),45251.0)</f>
        <v>45251</v>
      </c>
      <c r="D922" s="28">
        <f>IFERROR(__xludf.DUMMYFUNCTION("""COMPUTED_VALUE"""),45251.0)</f>
        <v>45251</v>
      </c>
      <c r="E922" s="31">
        <f>IFERROR(__xludf.DUMMYFUNCTION("""COMPUTED_VALUE"""),284104.0)</f>
        <v>284104</v>
      </c>
      <c r="F922" s="22" t="str">
        <f>IFERROR(__xludf.DUMMYFUNCTION("""COMPUTED_VALUE"""),"隔絶された獣人は虐げられた令嬢を溺愛する")</f>
        <v>隔絶された獣人は虐げられた令嬢を溺愛する</v>
      </c>
      <c r="G922" s="20" t="str">
        <f>IFERROR(__xludf.DUMMYFUNCTION("""COMPUTED_VALUE"""),"1～3")</f>
        <v>1～3</v>
      </c>
      <c r="H922" s="22" t="str">
        <f>IFERROR(__xludf.DUMMYFUNCTION("""COMPUTED_VALUE"""),"野崎アユ")</f>
        <v>野崎アユ</v>
      </c>
      <c r="I922" s="22" t="str">
        <f>IFERROR(__xludf.DUMMYFUNCTION("""COMPUTED_VALUE"""),"女性")</f>
        <v>女性</v>
      </c>
      <c r="J922" s="22"/>
      <c r="K922" s="22"/>
      <c r="L922" s="22" t="str">
        <f>IFERROR(__xludf.DUMMYFUNCTION("""COMPUTED_VALUE"""),"DPNブックス")</f>
        <v>DPNブックス</v>
      </c>
      <c r="M922" s="23">
        <f>IFERROR(__xludf.DUMMYFUNCTION("""COMPUTED_VALUE"""),45317.0)</f>
        <v>45317</v>
      </c>
      <c r="N922" s="23">
        <f>IFERROR(__xludf.DUMMYFUNCTION("""COMPUTED_VALUE"""),45347.0)</f>
        <v>45347</v>
      </c>
      <c r="O922" s="20"/>
      <c r="P922" s="32" t="str">
        <f>IFERROR(__xludf.DUMMYFUNCTION("""COMPUTED_VALUE"""),"可")</f>
        <v>可</v>
      </c>
      <c r="Q922" s="30"/>
      <c r="R922" s="22"/>
      <c r="S922" s="30" t="str">
        <f>IFERROR(__xludf.DUMMYFUNCTION("""COMPUTED_VALUE"""),"検討用_20231121_DPNブックス_隔絶された獣人は虐げられた令嬢を溺愛する")</f>
        <v>検討用_20231121_DPNブックス_隔絶された獣人は虐げられた令嬢を溺愛する</v>
      </c>
      <c r="T922" s="22"/>
      <c r="U922" s="15" t="str">
        <f>IFERROR(__xludf.DUMMYFUNCTION("""COMPUTED_VALUE"""),"(C)野崎アユ／DPNブックス")</f>
        <v>(C)野崎アユ／DPNブックス</v>
      </c>
      <c r="V922" s="8" t="str">
        <f>IFERROR(__xludf.DUMMYFUNCTION("""COMPUTED_VALUE"""),"「愛して 愛して 私から離れられなくしてやる」
幼い頃に捨てられ、人買いに売られたミツバ。下働きで働くものの、顔にあるアザのせいでいじめられる日々。「絶対に挫けない」と思って頑張ってきたが、同僚のミスをかばったことにより下働きを解雇されてしまう。
主人に捨てられたのは人喰いの獣人がいるという森。その森で男たちに襲われそうになるが、助けてくれたのは獣人のダンテで――。
助けた見返りとして、ダンテから提案されたのは“溺愛関係の契約”！？獣人ダンテとの溺愛執着ラブストーリー開幕！")</f>
        <v>「愛して 愛して 私から離れられなくしてやる」
幼い頃に捨てられ、人買いに売られたミツバ。下働きで働くものの、顔にあるアザのせいでいじめられる日々。「絶対に挫けない」と思って頑張ってきたが、同僚のミスをかばったことにより下働きを解雇されてしまう。
主人に捨てられたのは人喰いの獣人がいるという森。その森で男たちに襲われそうになるが、助けてくれたのは獣人のダンテで――。
助けた見返りとして、ダンテから提案されたのは“溺愛関係の契約”！？獣人ダンテとの溺愛執着ラブストーリー開幕！</v>
      </c>
      <c r="W922" s="14"/>
      <c r="X922" s="14" t="str">
        <f>IFERROR(__xludf.DUMMYFUNCTION("""COMPUTED_VALUE"""),"有")</f>
        <v>有</v>
      </c>
      <c r="Y922" s="8" t="str">
        <f>IFERROR(__xludf.DUMMYFUNCTION("""COMPUTED_VALUE"""),"P6まで")</f>
        <v>P6まで</v>
      </c>
      <c r="Z922" s="7"/>
      <c r="AA922" s="7"/>
      <c r="AB922" s="7"/>
    </row>
    <row r="923" ht="15.75" customHeight="1">
      <c r="A923" s="31">
        <f>IFERROR(__xludf.DUMMYFUNCTION("""COMPUTED_VALUE"""),2488.0)</f>
        <v>2488</v>
      </c>
      <c r="B923" s="31" t="str">
        <f>IFERROR(__xludf.DUMMYFUNCTION("""COMPUTED_VALUE"""),"確定")</f>
        <v>確定</v>
      </c>
      <c r="C923" s="35">
        <f>IFERROR(__xludf.DUMMYFUNCTION("""COMPUTED_VALUE"""),45205.0)</f>
        <v>45205</v>
      </c>
      <c r="D923" s="35">
        <f>IFERROR(__xludf.DUMMYFUNCTION("""COMPUTED_VALUE"""),45257.0)</f>
        <v>45257</v>
      </c>
      <c r="E923" s="31">
        <f>IFERROR(__xludf.DUMMYFUNCTION("""COMPUTED_VALUE"""),282213.0)</f>
        <v>282213</v>
      </c>
      <c r="F923" s="31" t="str">
        <f>IFERROR(__xludf.DUMMYFUNCTION("""COMPUTED_VALUE"""),"勇者に裏切られた転生治癒士が魔王の寵姫になるまで【分冊版】")</f>
        <v>勇者に裏切られた転生治癒士が魔王の寵姫になるまで【分冊版】</v>
      </c>
      <c r="G923" s="20" t="str">
        <f>IFERROR(__xludf.DUMMYFUNCTION("""COMPUTED_VALUE"""),"1~3")</f>
        <v>1~3</v>
      </c>
      <c r="H923" s="31" t="str">
        <f>IFERROR(__xludf.DUMMYFUNCTION("""COMPUTED_VALUE"""),"しげまつ貴子")</f>
        <v>しげまつ貴子</v>
      </c>
      <c r="I923" s="31" t="str">
        <f>IFERROR(__xludf.DUMMYFUNCTION("""COMPUTED_VALUE"""),"女性")</f>
        <v>女性</v>
      </c>
      <c r="J923" s="31"/>
      <c r="K923" s="31"/>
      <c r="L923" s="31" t="str">
        <f>IFERROR(__xludf.DUMMYFUNCTION("""COMPUTED_VALUE"""),"ハーパーコリンズ・ジャパン")</f>
        <v>ハーパーコリンズ・ジャパン</v>
      </c>
      <c r="M923" s="23">
        <f>IFERROR(__xludf.DUMMYFUNCTION("""COMPUTED_VALUE"""),45275.0)</f>
        <v>45275</v>
      </c>
      <c r="N923" s="23">
        <f>IFERROR(__xludf.DUMMYFUNCTION("""COMPUTED_VALUE"""),45337.0)</f>
        <v>45337</v>
      </c>
      <c r="O923" s="20"/>
      <c r="P923" s="34" t="str">
        <f>IFERROR(__xludf.DUMMYFUNCTION("""COMPUTED_VALUE"""),"可")</f>
        <v>可</v>
      </c>
      <c r="Q923" s="31" t="str">
        <f>IFERROR(__xludf.DUMMYFUNCTION("""COMPUTED_VALUE"""),"広告コミットOK(10/16)")</f>
        <v>広告コミットOK(10/16)</v>
      </c>
      <c r="R923" s="31" t="str">
        <f>IFERROR(__xludf.DUMMYFUNCTION("""COMPUTED_VALUE"""),"格納済")</f>
        <v>格納済</v>
      </c>
      <c r="S923" s="31" t="str">
        <f>IFERROR(__xludf.DUMMYFUNCTION("""COMPUTED_VALUE"""),"20231127_ハーパーコリンズ_勇者に裏切られた転生治癒士が魔王の寵姫になるまで")</f>
        <v>20231127_ハーパーコリンズ_勇者に裏切られた転生治癒士が魔王の寵姫になるまで</v>
      </c>
      <c r="T923" s="31" t="str">
        <f>IFERROR(__xludf.DUMMYFUNCTION("""COMPUTED_VALUE"""),"校了済素材")</f>
        <v>校了済素材</v>
      </c>
      <c r="U923" s="15" t="str">
        <f>IFERROR(__xludf.DUMMYFUNCTION("""COMPUTED_VALUE"""),"（C）しげまつ貴子／ハーパーコリンズ・ジャパン")</f>
        <v>（C）しげまつ貴子／ハーパーコリンズ・ジャパン</v>
      </c>
      <c r="V923" s="8" t="str">
        <f>IFERROR(__xludf.DUMMYFUNCTION("""COMPUTED_VALUE"""),"お前は私に捧げられた花嫁だ
転生し孤児として異世界で育ったアリシアは、幼馴染のクリスと婚約をしていた。
しかし勇者になったクリスが聖女イレーネ姫に一目ぼれ。姫の誘惑に負け、アリシアを刺してしまう。
失意のアリシアを助けたのは敵だったはずの魔王で―…。")</f>
        <v>お前は私に捧げられた花嫁だ
転生し孤児として異世界で育ったアリシアは、幼馴染のクリスと婚約をしていた。
しかし勇者になったクリスが聖女イレーネ姫に一目ぼれ。姫の誘惑に負け、アリシアを刺してしまう。
失意のアリシアを助けたのは敵だったはずの魔王で―…。</v>
      </c>
      <c r="W923" s="14"/>
      <c r="X923" s="14" t="str">
        <f>IFERROR(__xludf.DUMMYFUNCTION("""COMPUTED_VALUE"""),"有")</f>
        <v>有</v>
      </c>
      <c r="Y923" s="8" t="str">
        <f>IFERROR(__xludf.DUMMYFUNCTION("""COMPUTED_VALUE"""),"P12まで")</f>
        <v>P12まで</v>
      </c>
      <c r="Z923" s="7"/>
      <c r="AA923" s="7"/>
      <c r="AB923" s="7"/>
    </row>
    <row r="924" ht="15.75" customHeight="1">
      <c r="A924" s="31">
        <f>IFERROR(__xludf.DUMMYFUNCTION("""COMPUTED_VALUE"""),2575.0)</f>
        <v>2575</v>
      </c>
      <c r="B924" s="31" t="str">
        <f>IFERROR(__xludf.DUMMYFUNCTION("""COMPUTED_VALUE"""),"確定")</f>
        <v>確定</v>
      </c>
      <c r="C924" s="35">
        <f>IFERROR(__xludf.DUMMYFUNCTION("""COMPUTED_VALUE"""),45229.0)</f>
        <v>45229</v>
      </c>
      <c r="D924" s="35">
        <f>IFERROR(__xludf.DUMMYFUNCTION("""COMPUTED_VALUE"""),45259.0)</f>
        <v>45259</v>
      </c>
      <c r="E924" s="31">
        <f>IFERROR(__xludf.DUMMYFUNCTION("""COMPUTED_VALUE"""),282737.0)</f>
        <v>282737</v>
      </c>
      <c r="F924" s="31" t="str">
        <f>IFERROR(__xludf.DUMMYFUNCTION("""COMPUTED_VALUE"""),"どっちも佑進くん！ ～年下ワンコと美オジと私、濃密セックス猛特訓～")</f>
        <v>どっちも佑進くん！ ～年下ワンコと美オジと私、濃密セックス猛特訓～</v>
      </c>
      <c r="G924" s="11" t="str">
        <f>IFERROR(__xludf.DUMMYFUNCTION("""COMPUTED_VALUE"""),"1～2")</f>
        <v>1～2</v>
      </c>
      <c r="H924" s="31" t="str">
        <f>IFERROR(__xludf.DUMMYFUNCTION("""COMPUTED_VALUE"""),"[漫画]武蔵野チカ [原作]黒之響")</f>
        <v>[漫画]武蔵野チカ [原作]黒之響</v>
      </c>
      <c r="I924" s="31" t="str">
        <f>IFERROR(__xludf.DUMMYFUNCTION("""COMPUTED_VALUE"""),"TL")</f>
        <v>TL</v>
      </c>
      <c r="J924" s="31"/>
      <c r="K924" s="31"/>
      <c r="L924" s="31" t="str">
        <f>IFERROR(__xludf.DUMMYFUNCTION("""COMPUTED_VALUE"""),"小学館")</f>
        <v>小学館</v>
      </c>
      <c r="M924" s="23">
        <f>IFERROR(__xludf.DUMMYFUNCTION("""COMPUTED_VALUE"""),45287.0)</f>
        <v>45287</v>
      </c>
      <c r="N924" s="33">
        <f>IFERROR(__xludf.DUMMYFUNCTION("""COMPUTED_VALUE"""),45323.0)</f>
        <v>45323</v>
      </c>
      <c r="O924" s="20"/>
      <c r="P924" s="34" t="str">
        <f>IFERROR(__xludf.DUMMYFUNCTION("""COMPUTED_VALUE"""),"可")</f>
        <v>可</v>
      </c>
      <c r="Q924" s="30" t="str">
        <f>IFERROR(__xludf.DUMMYFUNCTION("""COMPUTED_VALUE"""),"広告コミットOK(11/2)&lt;BR&gt;巻数を1-3→1-2に修正（11/7）&lt;BR&gt;-----------------&lt;BR&gt;11/29下記2点修正&lt;BR&gt;タイトル名：&lt;BR&gt; 変更前：どっちも佑進くん！～年下ワンコと美オジと私、濃密セックス猛特訓～&lt;BR&gt; 変更後：どっちも佑進くん！ ～年下ワンコと美オジと私、濃密セックス猛特訓～&lt;BR&gt;■先行開始日：&lt;BR&gt; 2023/12/29→2023/12/27に変更&lt;BR&gt;-----------------")</f>
        <v>広告コミットOK(11/2)&lt;BR&gt;巻数を1-3→1-2に修正（11/7）&lt;BR&gt;-----------------&lt;BR&gt;11/29下記2点修正&lt;BR&gt;タイトル名：&lt;BR&gt; 変更前：どっちも佑進くん！～年下ワンコと美オジと私、濃密セックス猛特訓～&lt;BR&gt; 変更後：どっちも佑進くん！ ～年下ワンコと美オジと私、濃密セックス猛特訓～&lt;BR&gt;■先行開始日：&lt;BR&gt; 2023/12/29→2023/12/27に変更&lt;BR&gt;-----------------</v>
      </c>
      <c r="R924" s="31"/>
      <c r="S924" s="31" t="str">
        <f>IFERROR(__xludf.DUMMYFUNCTION("""COMPUTED_VALUE"""),"20231127_小学館_どっちも佑進くん！")</f>
        <v>20231127_小学館_どっちも佑進くん！</v>
      </c>
      <c r="T924" s="31" t="str">
        <f>IFERROR(__xludf.DUMMYFUNCTION("""COMPUTED_VALUE"""),"格納済")</f>
        <v>格納済</v>
      </c>
      <c r="U924" s="15" t="str">
        <f>IFERROR(__xludf.DUMMYFUNCTION("""COMPUTED_VALUE"""),"(C)黒之響・武蔵野チカ / 小学館")</f>
        <v>(C)黒之響・武蔵野チカ / 小学館</v>
      </c>
      <c r="V924" s="8" t="str">
        <f>IFERROR(__xludf.DUMMYFUNCTION("""COMPUTED_VALUE"""),"「それってつまり...3人でえっちするってことですか!?」――かわいい年下カレシ・佑進くんと付き合っているOLの蛍花。セックスには物足りなさを感じているものの、大好きな佑進くんとの同棲生活に満足していた。しかしある日、20年後の未来からタイムスリップしてきた佑進さんが現れて、「お前たちはこのままだとヘタクソセックスが原因で別れる!」と、とんでもない予言を放つ!?「“離別”を回避するために俺はやってきた。お前ら!脱げ!セックスの猛特訓を始めるぞ!」「「えええ～!?!?!?」」初々しいワンコな《佑進くん》と、"&amp;"セクシーイケオジ《佑進さん》。2人に身も心も愛されて、快感に目覚めてゆく蛍花だったが...!?")</f>
        <v>「それってつまり...3人でえっちするってことですか!?」――かわいい年下カレシ・佑進くんと付き合っているOLの蛍花。セックスには物足りなさを感じているものの、大好きな佑進くんとの同棲生活に満足していた。しかしある日、20年後の未来からタイムスリップしてきた佑進さんが現れて、「お前たちはこのままだとヘタクソセックスが原因で別れる!」と、とんでもない予言を放つ!?「“離別”を回避するために俺はやってきた。お前ら!脱げ!セックスの猛特訓を始めるぞ!」「「えええ～!?!?!?」」初々しいワンコな《佑進くん》と、セクシーイケオジ《佑進さん》。2人に身も心も愛されて、快感に目覚めてゆく蛍花だったが...!?</v>
      </c>
      <c r="W924" s="14"/>
      <c r="X924" s="14" t="str">
        <f>IFERROR(__xludf.DUMMYFUNCTION("""COMPUTED_VALUE"""),"有")</f>
        <v>有</v>
      </c>
      <c r="Y924" s="8" t="str">
        <f>IFERROR(__xludf.DUMMYFUNCTION("""COMPUTED_VALUE"""),"P6まで")</f>
        <v>P6まで</v>
      </c>
      <c r="Z924" s="7"/>
      <c r="AA924" s="7"/>
      <c r="AB924" s="7"/>
    </row>
    <row r="925" ht="15.75" customHeight="1">
      <c r="A925" s="31">
        <f>IFERROR(__xludf.DUMMYFUNCTION("""COMPUTED_VALUE"""),2595.0)</f>
        <v>2595</v>
      </c>
      <c r="B925" s="31" t="str">
        <f>IFERROR(__xludf.DUMMYFUNCTION("""COMPUTED_VALUE"""),"確定")</f>
        <v>確定</v>
      </c>
      <c r="C925" s="35">
        <f>IFERROR(__xludf.DUMMYFUNCTION("""COMPUTED_VALUE"""),45232.0)</f>
        <v>45232</v>
      </c>
      <c r="D925" s="35">
        <f>IFERROR(__xludf.DUMMYFUNCTION("""COMPUTED_VALUE"""),45258.0)</f>
        <v>45258</v>
      </c>
      <c r="E925" s="31">
        <f>IFERROR(__xludf.DUMMYFUNCTION("""COMPUTED_VALUE"""),234301.0)</f>
        <v>234301</v>
      </c>
      <c r="F925" s="31" t="str">
        <f>IFERROR(__xludf.DUMMYFUNCTION("""COMPUTED_VALUE"""),"僕は君だけのもの【単行本版】")</f>
        <v>僕は君だけのもの【単行本版】</v>
      </c>
      <c r="G925" s="20">
        <f>IFERROR(__xludf.DUMMYFUNCTION("""COMPUTED_VALUE"""),3.0)</f>
        <v>3</v>
      </c>
      <c r="H925" s="31" t="str">
        <f>IFERROR(__xludf.DUMMYFUNCTION("""COMPUTED_VALUE"""),"薄井いろは")</f>
        <v>薄井いろは</v>
      </c>
      <c r="I925" s="22" t="str">
        <f>IFERROR(__xludf.DUMMYFUNCTION("""COMPUTED_VALUE"""),"BL")</f>
        <v>BL</v>
      </c>
      <c r="J925" s="31"/>
      <c r="K925" s="31"/>
      <c r="L925" s="31" t="str">
        <f>IFERROR(__xludf.DUMMYFUNCTION("""COMPUTED_VALUE"""),"シュークリーム")</f>
        <v>シュークリーム</v>
      </c>
      <c r="M925" s="23">
        <f>IFERROR(__xludf.DUMMYFUNCTION("""COMPUTED_VALUE"""),45282.0)</f>
        <v>45282</v>
      </c>
      <c r="N925" s="23">
        <f>IFERROR(__xludf.DUMMYFUNCTION("""COMPUTED_VALUE"""),2958465.0)</f>
        <v>2958465</v>
      </c>
      <c r="O925" s="20"/>
      <c r="P925" s="34" t="str">
        <f>IFERROR(__xludf.DUMMYFUNCTION("""COMPUTED_VALUE"""),"可")</f>
        <v>可</v>
      </c>
      <c r="Q925" s="30" t="str">
        <f>IFERROR(__xludf.DUMMYFUNCTION("""COMPUTED_VALUE"""),"シーモア限定BOOKです")</f>
        <v>シーモア限定BOOKです</v>
      </c>
      <c r="R925" s="31"/>
      <c r="S925" s="31" t="str">
        <f>IFERROR(__xludf.DUMMYFUNCTION("""COMPUTED_VALUE"""),"20231128_シュークリーム_僕は君だけのもの【シーモア限定BOOK】")</f>
        <v>20231128_シュークリーム_僕は君だけのもの【シーモア限定BOOK】</v>
      </c>
      <c r="T925" s="31" t="str">
        <f>IFERROR(__xludf.DUMMYFUNCTION("""COMPUTED_VALUE"""),"格納済")</f>
        <v>格納済</v>
      </c>
      <c r="U925" s="15" t="str">
        <f>IFERROR(__xludf.DUMMYFUNCTION("""COMPUTED_VALUE"""),"（C）薄井いろは/シュークリーム")</f>
        <v>（C）薄井いろは/シュークリーム</v>
      </c>
      <c r="V925" s="8" t="str">
        <f>IFERROR(__xludf.DUMMYFUNCTION("""COMPUTED_VALUE"""),"「俺しか知らないカラダ」待望のカップル続編！！
コイツは俺のだって、見せつけてやればよかった。
――付き合って半年。
遊び人だったはずの高橋は、もう石黒を手放せはしないと感じていた。
一途な想いを全身で伝えるコイツが可愛く思えてたまらない。
そんな石黒にいつのまにか出来た『親しい男の友人』。
嫉妬と執着に甘く痺れる姿は、
俺しか知らないままでいい――…。
いっそう深まる想いと距離
一日の終わりにくり返し
読みたくなるような恋愛譚。
◆収録内容◆
「僕は君だけのもの」全6話／単行本収"&amp;"録描き下ろし4P／シーモア限定描き下ろし（おまけ漫画1P）")</f>
        <v>「俺しか知らないカラダ」待望のカップル続編！！
コイツは俺のだって、見せつけてやればよかった。
――付き合って半年。
遊び人だったはずの高橋は、もう石黒を手放せはしないと感じていた。
一途な想いを全身で伝えるコイツが可愛く思えてたまらない。
そんな石黒にいつのまにか出来た『親しい男の友人』。
嫉妬と執着に甘く痺れる姿は、
俺しか知らないままでいい――…。
いっそう深まる想いと距離
一日の終わりにくり返し
読みたくなるような恋愛譚。
◆収録内容◆
「僕は君だけのもの」全6話／単行本収録描き下ろし4P／シーモア限定描き下ろし（おまけ漫画1P）</v>
      </c>
      <c r="W925" s="14"/>
      <c r="X925" s="14" t="str">
        <f>IFERROR(__xludf.DUMMYFUNCTION("""COMPUTED_VALUE"""),"有")</f>
        <v>有</v>
      </c>
      <c r="Y925" s="8" t="str">
        <f>IFERROR(__xludf.DUMMYFUNCTION("""COMPUTED_VALUE"""),"2024/1/22まで立ち読み増量P58まで")</f>
        <v>2024/1/22まで立ち読み増量P58まで</v>
      </c>
      <c r="Z925" s="7"/>
      <c r="AA925" s="7"/>
      <c r="AB925" s="7"/>
    </row>
    <row r="926" ht="15.75" customHeight="1">
      <c r="A926" s="14">
        <f>IFERROR(__xludf.DUMMYFUNCTION("""COMPUTED_VALUE"""),2634.0)</f>
        <v>2634</v>
      </c>
      <c r="B926" s="15" t="str">
        <f>IFERROR(__xludf.DUMMYFUNCTION("""COMPUTED_VALUE"""),"確定")</f>
        <v>確定</v>
      </c>
      <c r="C926" s="25">
        <f>IFERROR(__xludf.DUMMYFUNCTION("""COMPUTED_VALUE"""),45243.0)</f>
        <v>45243</v>
      </c>
      <c r="D926" s="25">
        <f>IFERROR(__xludf.DUMMYFUNCTION("""COMPUTED_VALUE"""),45257.0)</f>
        <v>45257</v>
      </c>
      <c r="E926" s="14">
        <f>IFERROR(__xludf.DUMMYFUNCTION("""COMPUTED_VALUE"""),283403.0)</f>
        <v>283403</v>
      </c>
      <c r="F926" s="15" t="str">
        <f>IFERROR(__xludf.DUMMYFUNCTION("""COMPUTED_VALUE"""),"あやかし狐の色情いろは")</f>
        <v>あやかし狐の色情いろは</v>
      </c>
      <c r="G926" s="11" t="str">
        <f>IFERROR(__xludf.DUMMYFUNCTION("""COMPUTED_VALUE"""),"1～2")</f>
        <v>1～2</v>
      </c>
      <c r="H926" s="14" t="str">
        <f>IFERROR(__xludf.DUMMYFUNCTION("""COMPUTED_VALUE"""),"sacco")</f>
        <v>sacco</v>
      </c>
      <c r="I926" s="14" t="str">
        <f>IFERROR(__xludf.DUMMYFUNCTION("""COMPUTED_VALUE"""),"BL")</f>
        <v>BL</v>
      </c>
      <c r="J926" s="14"/>
      <c r="K926" s="14"/>
      <c r="L926" s="14" t="str">
        <f>IFERROR(__xludf.DUMMYFUNCTION("""COMPUTED_VALUE"""),"MUGENUP")</f>
        <v>MUGENUP</v>
      </c>
      <c r="M926" s="21">
        <f>IFERROR(__xludf.DUMMYFUNCTION("""COMPUTED_VALUE"""),45297.0)</f>
        <v>45297</v>
      </c>
      <c r="N926" s="41">
        <f>IFERROR(__xludf.DUMMYFUNCTION("""COMPUTED_VALUE"""),45387.0)</f>
        <v>45387</v>
      </c>
      <c r="O926" s="16"/>
      <c r="P926" s="15" t="str">
        <f>IFERROR(__xludf.DUMMYFUNCTION("""COMPUTED_VALUE"""),"可")</f>
        <v>可</v>
      </c>
      <c r="Q926" s="14" t="str">
        <f>IFERROR(__xludf.DUMMYFUNCTION("""COMPUTED_VALUE"""),"広告コミットOK(11/20)")</f>
        <v>広告コミットOK(11/20)</v>
      </c>
      <c r="R926" s="15" t="str">
        <f>IFERROR(__xludf.DUMMYFUNCTION("""COMPUTED_VALUE"""),"格納済み")</f>
        <v>格納済み</v>
      </c>
      <c r="S926" s="14" t="str">
        <f>IFERROR(__xludf.DUMMYFUNCTION("""COMPUTED_VALUE"""),"20231127_MUGENUP_あやかし狐の色情いろは")</f>
        <v>20231127_MUGENUP_あやかし狐の色情いろは</v>
      </c>
      <c r="T926" s="15" t="str">
        <f>IFERROR(__xludf.DUMMYFUNCTION("""COMPUTED_VALUE"""),"校了済")</f>
        <v>校了済</v>
      </c>
      <c r="U926" s="15" t="str">
        <f>IFERROR(__xludf.DUMMYFUNCTION("""COMPUTED_VALUE"""),"（C）sacco／MUGENUP")</f>
        <v>（C）sacco／MUGENUP</v>
      </c>
      <c r="V926" s="8" t="str">
        <f>IFERROR(__xludf.DUMMYFUNCTION("""COMPUTED_VALUE"""),"「男でも孕む程の快楽というものを教えてやろう」
ある日、登校中に老婆を助けた葉助(ようすけ)は、学校の屋上にあるお社にお神札を納めに行くことに。
しかし、葉助はお社の鏡を割ってしまい、封印を解いてしまう。
そして現れたのは眉目秀麗な狐で──
天ノ崇常(あまのたかつね)と名乗る天狐ツネは、葉助が童貞だと知ると願いを叶えてやると言ってきて…!?
孤高のイケメンお狐様×孤独を抱えた童貞男子の、エッチで心温まる和風ファンタジー")</f>
        <v>「男でも孕む程の快楽というものを教えてやろう」
ある日、登校中に老婆を助けた葉助(ようすけ)は、学校の屋上にあるお社にお神札を納めに行くことに。
しかし、葉助はお社の鏡を割ってしまい、封印を解いてしまう。
そして現れたのは眉目秀麗な狐で──
天ノ崇常(あまのたかつね)と名乗る天狐ツネは、葉助が童貞だと知ると願いを叶えてやると言ってきて…!?
孤高のイケメンお狐様×孤独を抱えた童貞男子の、エッチで心温まる和風ファンタジー</v>
      </c>
      <c r="W926" s="14"/>
      <c r="X926" s="14" t="str">
        <f>IFERROR(__xludf.DUMMYFUNCTION("""COMPUTED_VALUE"""),"有")</f>
        <v>有</v>
      </c>
      <c r="Y926" s="8" t="str">
        <f>IFERROR(__xludf.DUMMYFUNCTION("""COMPUTED_VALUE"""),"P13まで")</f>
        <v>P13まで</v>
      </c>
      <c r="Z926" s="7"/>
      <c r="AA926" s="7"/>
      <c r="AB926" s="7"/>
    </row>
    <row r="927" ht="15.75" customHeight="1">
      <c r="A927" s="14">
        <f>IFERROR(__xludf.DUMMYFUNCTION("""COMPUTED_VALUE"""),2635.0)</f>
        <v>2635</v>
      </c>
      <c r="B927" s="15" t="str">
        <f>IFERROR(__xludf.DUMMYFUNCTION("""COMPUTED_VALUE"""),"確定")</f>
        <v>確定</v>
      </c>
      <c r="C927" s="25">
        <f>IFERROR(__xludf.DUMMYFUNCTION("""COMPUTED_VALUE"""),45243.0)</f>
        <v>45243</v>
      </c>
      <c r="D927" s="25">
        <f>IFERROR(__xludf.DUMMYFUNCTION("""COMPUTED_VALUE"""),45257.0)</f>
        <v>45257</v>
      </c>
      <c r="E927" s="14">
        <f>IFERROR(__xludf.DUMMYFUNCTION("""COMPUTED_VALUE"""),284374.0)</f>
        <v>284374</v>
      </c>
      <c r="F927" s="15" t="str">
        <f>IFERROR(__xludf.DUMMYFUNCTION("""COMPUTED_VALUE"""),"ACT NOW.")</f>
        <v>ACT NOW.</v>
      </c>
      <c r="G927" s="11" t="str">
        <f>IFERROR(__xludf.DUMMYFUNCTION("""COMPUTED_VALUE"""),"1～2")</f>
        <v>1～2</v>
      </c>
      <c r="H927" s="14" t="str">
        <f>IFERROR(__xludf.DUMMYFUNCTION("""COMPUTED_VALUE"""),"乞依")</f>
        <v>乞依</v>
      </c>
      <c r="I927" s="14" t="str">
        <f>IFERROR(__xludf.DUMMYFUNCTION("""COMPUTED_VALUE"""),"BL")</f>
        <v>BL</v>
      </c>
      <c r="J927" s="14"/>
      <c r="K927" s="14"/>
      <c r="L927" s="14" t="str">
        <f>IFERROR(__xludf.DUMMYFUNCTION("""COMPUTED_VALUE"""),"ガールスカウトコミックス")</f>
        <v>ガールスカウトコミックス</v>
      </c>
      <c r="M927" s="21">
        <f>IFERROR(__xludf.DUMMYFUNCTION("""COMPUTED_VALUE"""),45322.0)</f>
        <v>45322</v>
      </c>
      <c r="N927" s="41">
        <f>IFERROR(__xludf.DUMMYFUNCTION("""COMPUTED_VALUE"""),45411.0)</f>
        <v>45411</v>
      </c>
      <c r="O927" s="16"/>
      <c r="P927" s="15" t="str">
        <f>IFERROR(__xludf.DUMMYFUNCTION("""COMPUTED_VALUE"""),"可")</f>
        <v>可</v>
      </c>
      <c r="Q927" s="14" t="str">
        <f>IFERROR(__xludf.DUMMYFUNCTION("""COMPUTED_VALUE"""),"広告コミットOK(11/20)")</f>
        <v>広告コミットOK(11/20)</v>
      </c>
      <c r="R927" s="15" t="str">
        <f>IFERROR(__xludf.DUMMYFUNCTION("""COMPUTED_VALUE"""),"格納済み")</f>
        <v>格納済み</v>
      </c>
      <c r="S927" s="14" t="str">
        <f>IFERROR(__xludf.DUMMYFUNCTION("""COMPUTED_VALUE"""),"20231127_ガールスカウトコミックス_ACT NOW")</f>
        <v>20231127_ガールスカウトコミックス_ACT NOW</v>
      </c>
      <c r="T927" s="15" t="str">
        <f>IFERROR(__xludf.DUMMYFUNCTION("""COMPUTED_VALUE"""),"校了済")</f>
        <v>校了済</v>
      </c>
      <c r="U927" s="15" t="str">
        <f>IFERROR(__xludf.DUMMYFUNCTION("""COMPUTED_VALUE"""),"(C)乞依／ガールスカウトコミックス")</f>
        <v>(C)乞依／ガールスカウトコミックス</v>
      </c>
      <c r="V927" s="8" t="str">
        <f>IFERROR(__xludf.DUMMYFUNCTION("""COMPUTED_VALUE"""),"椎名 馨(しいな かおる)、生涯において恋人ナシの33歳独身。
最良の相手と出会うことを夢見る彼は、部下の紹介によって恋愛案件に強い対人関係専門のカウンセリングを受けることに。
半信半疑で向かった椎名であったが、シミュレーションレクチャー：向 幸生(むかい こうせい)に声を掛けられ一目惚れしてしまう。
「相手は担当講師(プロ)、好きになってもらうなんて難しい」
これは、恋愛初心者の甘酸っぱい恋物語──")</f>
        <v>椎名 馨(しいな かおる)、生涯において恋人ナシの33歳独身。
最良の相手と出会うことを夢見る彼は、部下の紹介によって恋愛案件に強い対人関係専門のカウンセリングを受けることに。
半信半疑で向かった椎名であったが、シミュレーションレクチャー：向 幸生(むかい こうせい)に声を掛けられ一目惚れしてしまう。
「相手は担当講師(プロ)、好きになってもらうなんて難しい」
これは、恋愛初心者の甘酸っぱい恋物語──</v>
      </c>
      <c r="W927" s="14"/>
      <c r="X927" s="14" t="str">
        <f>IFERROR(__xludf.DUMMYFUNCTION("""COMPUTED_VALUE"""),"有")</f>
        <v>有</v>
      </c>
      <c r="Y927" s="8" t="str">
        <f>IFERROR(__xludf.DUMMYFUNCTION("""COMPUTED_VALUE"""),"2024/2/13まで立ち読み増量P20まで")</f>
        <v>2024/2/13まで立ち読み増量P20まで</v>
      </c>
      <c r="Z927" s="7"/>
      <c r="AA927" s="7"/>
      <c r="AB927" s="7"/>
    </row>
    <row r="928" ht="15.75" customHeight="1">
      <c r="A928" s="14">
        <f>IFERROR(__xludf.DUMMYFUNCTION("""COMPUTED_VALUE"""),2636.0)</f>
        <v>2636</v>
      </c>
      <c r="B928" s="15" t="str">
        <f>IFERROR(__xludf.DUMMYFUNCTION("""COMPUTED_VALUE"""),"確定")</f>
        <v>確定</v>
      </c>
      <c r="C928" s="25">
        <f>IFERROR(__xludf.DUMMYFUNCTION("""COMPUTED_VALUE"""),45243.0)</f>
        <v>45243</v>
      </c>
      <c r="D928" s="25">
        <f>IFERROR(__xludf.DUMMYFUNCTION("""COMPUTED_VALUE"""),45257.0)</f>
        <v>45257</v>
      </c>
      <c r="E928" s="14">
        <f>IFERROR(__xludf.DUMMYFUNCTION("""COMPUTED_VALUE"""),284375.0)</f>
        <v>284375</v>
      </c>
      <c r="F928" s="15" t="str">
        <f>IFERROR(__xludf.DUMMYFUNCTION("""COMPUTED_VALUE"""),"バレるまで、好きでいいですか")</f>
        <v>バレるまで、好きでいいですか</v>
      </c>
      <c r="G928" s="11" t="str">
        <f>IFERROR(__xludf.DUMMYFUNCTION("""COMPUTED_VALUE"""),"1～2")</f>
        <v>1～2</v>
      </c>
      <c r="H928" s="14" t="str">
        <f>IFERROR(__xludf.DUMMYFUNCTION("""COMPUTED_VALUE"""),"黛ろきこ")</f>
        <v>黛ろきこ</v>
      </c>
      <c r="I928" s="14" t="str">
        <f>IFERROR(__xludf.DUMMYFUNCTION("""COMPUTED_VALUE"""),"BL")</f>
        <v>BL</v>
      </c>
      <c r="J928" s="14"/>
      <c r="K928" s="14"/>
      <c r="L928" s="14" t="str">
        <f>IFERROR(__xludf.DUMMYFUNCTION("""COMPUTED_VALUE"""),"ガールスカウトコミックス")</f>
        <v>ガールスカウトコミックス</v>
      </c>
      <c r="M928" s="21">
        <f>IFERROR(__xludf.DUMMYFUNCTION("""COMPUTED_VALUE"""),45322.0)</f>
        <v>45322</v>
      </c>
      <c r="N928" s="41">
        <f>IFERROR(__xludf.DUMMYFUNCTION("""COMPUTED_VALUE"""),45411.0)</f>
        <v>45411</v>
      </c>
      <c r="O928" s="16"/>
      <c r="P928" s="15" t="str">
        <f>IFERROR(__xludf.DUMMYFUNCTION("""COMPUTED_VALUE"""),"可")</f>
        <v>可</v>
      </c>
      <c r="Q928" s="14" t="str">
        <f>IFERROR(__xludf.DUMMYFUNCTION("""COMPUTED_VALUE"""),"広告コミットOK(11/20)")</f>
        <v>広告コミットOK(11/20)</v>
      </c>
      <c r="R928" s="15" t="str">
        <f>IFERROR(__xludf.DUMMYFUNCTION("""COMPUTED_VALUE"""),"格納済み")</f>
        <v>格納済み</v>
      </c>
      <c r="S928" s="14" t="str">
        <f>IFERROR(__xludf.DUMMYFUNCTION("""COMPUTED_VALUE"""),"20231127_ガールスカウトコミックス_バレるまで、好きでいいですか")</f>
        <v>20231127_ガールスカウトコミックス_バレるまで、好きでいいですか</v>
      </c>
      <c r="T928" s="15" t="str">
        <f>IFERROR(__xludf.DUMMYFUNCTION("""COMPUTED_VALUE"""),"校了済")</f>
        <v>校了済</v>
      </c>
      <c r="U928" s="15" t="str">
        <f>IFERROR(__xludf.DUMMYFUNCTION("""COMPUTED_VALUE"""),"(C)黛ろきこ／ガールスカウトコミックス")</f>
        <v>(C)黛ろきこ／ガールスカウトコミックス</v>
      </c>
      <c r="V928" s="8" t="str">
        <f>IFERROR(__xludf.DUMMYFUNCTION("""COMPUTED_VALUE"""),"「なんで、兄が選んだ人を好きになったんだろう」
学生の頃から兄の恋人：司(つかさ)に片想いしていた遥（はるか）。
司を大切にしない兄に嫌気が差し、自分ならばもっと大切に出来ると思いながらも、ただ二人を眺めることしか出来なかった…。
あれから5年後。兄と別れて以来、行方が掴めなくなっていた司と再会する。
また会えたことを夢のように感じていた遥だが、司は遥を兄の名前で呼び──")</f>
        <v>「なんで、兄が選んだ人を好きになったんだろう」
学生の頃から兄の恋人：司(つかさ)に片想いしていた遥（はるか）。
司を大切にしない兄に嫌気が差し、自分ならばもっと大切に出来ると思いながらも、ただ二人を眺めることしか出来なかった…。
あれから5年後。兄と別れて以来、行方が掴めなくなっていた司と再会する。
また会えたことを夢のように感じていた遥だが、司は遥を兄の名前で呼び──</v>
      </c>
      <c r="W928" s="14"/>
      <c r="X928" s="14" t="str">
        <f>IFERROR(__xludf.DUMMYFUNCTION("""COMPUTED_VALUE"""),"有")</f>
        <v>有</v>
      </c>
      <c r="Y928" s="8" t="str">
        <f>IFERROR(__xludf.DUMMYFUNCTION("""COMPUTED_VALUE"""),"2024/2/13まで立ち読み増量P23まで")</f>
        <v>2024/2/13まで立ち読み増量P23まで</v>
      </c>
      <c r="Z928" s="7"/>
      <c r="AA928" s="7"/>
      <c r="AB928" s="7"/>
    </row>
    <row r="929" ht="15.75" customHeight="1">
      <c r="A929" s="14">
        <f>IFERROR(__xludf.DUMMYFUNCTION("""COMPUTED_VALUE"""),2648.0)</f>
        <v>2648</v>
      </c>
      <c r="B929" s="15" t="str">
        <f>IFERROR(__xludf.DUMMYFUNCTION("""COMPUTED_VALUE"""),"確定")</f>
        <v>確定</v>
      </c>
      <c r="C929" s="25">
        <f>IFERROR(__xludf.DUMMYFUNCTION("""COMPUTED_VALUE"""),45245.0)</f>
        <v>45245</v>
      </c>
      <c r="D929" s="25">
        <f>IFERROR(__xludf.DUMMYFUNCTION("""COMPUTED_VALUE"""),45259.0)</f>
        <v>45259</v>
      </c>
      <c r="E929" s="14">
        <f>IFERROR(__xludf.DUMMYFUNCTION("""COMPUTED_VALUE"""),269910.0)</f>
        <v>269910</v>
      </c>
      <c r="F929" s="15" t="str">
        <f>IFERROR(__xludf.DUMMYFUNCTION("""COMPUTED_VALUE"""),"ただで家に置いてくれとは言いません。(フルカラー)")</f>
        <v>ただで家に置いてくれとは言いません。(フルカラー)</v>
      </c>
      <c r="G929" s="16" t="str">
        <f>IFERROR(__xludf.DUMMYFUNCTION("""COMPUTED_VALUE"""),"1～3")</f>
        <v>1～3</v>
      </c>
      <c r="H929" s="14" t="str">
        <f>IFERROR(__xludf.DUMMYFUNCTION("""COMPUTED_VALUE"""),"doya,rock crab")</f>
        <v>doya,rock crab</v>
      </c>
      <c r="I929" s="14" t="str">
        <f>IFERROR(__xludf.DUMMYFUNCTION("""COMPUTED_VALUE"""),"青年")</f>
        <v>青年</v>
      </c>
      <c r="J929" s="14"/>
      <c r="K929" s="14"/>
      <c r="L929" s="14" t="str">
        <f>IFERROR(__xludf.DUMMYFUNCTION("""COMPUTED_VALUE"""),"ソルマーレ編集部")</f>
        <v>ソルマーレ編集部</v>
      </c>
      <c r="M929" s="21">
        <f>IFERROR(__xludf.DUMMYFUNCTION("""COMPUTED_VALUE"""),45297.0)</f>
        <v>45297</v>
      </c>
      <c r="N929" s="21">
        <f>IFERROR(__xludf.DUMMYFUNCTION("""COMPUTED_VALUE"""),45358.0)</f>
        <v>45358</v>
      </c>
      <c r="O929" s="16"/>
      <c r="P929" s="15" t="str">
        <f>IFERROR(__xludf.DUMMYFUNCTION("""COMPUTED_VALUE"""),"可")</f>
        <v>可</v>
      </c>
      <c r="Q929" s="8" t="str">
        <f>IFERROR(__xludf.DUMMYFUNCTION("""COMPUTED_VALUE"""),"※正式タイトル下記の通りです（11/15）&lt;BR&gt;＝＝＝&lt;BR&gt;ただで家に置いてくれとは言いません。(フルカラー)&lt;BR&gt;＝＝＝&lt;BR&gt;※素材が揃いましたのでフォルダパスを更新しました（11/29）")</f>
        <v>※正式タイトル下記の通りです（11/15）&lt;BR&gt;＝＝＝&lt;BR&gt;ただで家に置いてくれとは言いません。(フルカラー)&lt;BR&gt;＝＝＝&lt;BR&gt;※素材が揃いましたのでフォルダパスを更新しました（11/29）</v>
      </c>
      <c r="R929" s="15"/>
      <c r="S929" s="8" t="str">
        <f>IFERROR(__xludf.DUMMYFUNCTION("""COMPUTED_VALUE"""),"20231129_ソルマーレ編集部_ただで家に置いてくれとは言いません。（フルカラー）")</f>
        <v>20231129_ソルマーレ編集部_ただで家に置いてくれとは言いません。（フルカラー）</v>
      </c>
      <c r="T929" s="15"/>
      <c r="U929" s="15" t="str">
        <f>IFERROR(__xludf.DUMMYFUNCTION("""COMPUTED_VALUE"""),"Ⓒ doya/rock crab/TOPCO/シーモアコミックス")</f>
        <v>Ⓒ doya/rock crab/TOPCO/シーモアコミックス</v>
      </c>
      <c r="V929" s="8" t="str">
        <f>IFERROR(__xludf.DUMMYFUNCTION("""COMPUTED_VALUE"""),"15年前の雨の日、幼い陸の前から忽然と姿を消した初恋の人、理子。仕事で忙しい父に代わり、よく面倒を見てくれた理子お姉ちゃんは、陸にとって忘れられない人だった。
最後に彼女を見た日と同じく激しい雨が降る夜、ずぶぬれで家の前に立ち尽くしていた理子とその妹の理奈。驚く陸と陸の父親だが、15年の間、どうしていたのか二人は決して語ろうとはせず、しばらく家に置いてほしい、と跪く。そして「ただで居候するつもりはありません。なんでもします」と言うが……。住み込みの家政婦として一緒に暮らすことになった姉妹との奇妙な生活が"&amp;"始まる――!?【ズズズキュン！】")</f>
        <v>15年前の雨の日、幼い陸の前から忽然と姿を消した初恋の人、理子。仕事で忙しい父に代わり、よく面倒を見てくれた理子お姉ちゃんは、陸にとって忘れられない人だった。
最後に彼女を見た日と同じく激しい雨が降る夜、ずぶぬれで家の前に立ち尽くしていた理子とその妹の理奈。驚く陸と陸の父親だが、15年の間、どうしていたのか二人は決して語ろうとはせず、しばらく家に置いてほしい、と跪く。そして「ただで居候するつもりはありません。なんでもします」と言うが……。住み込みの家政婦として一緒に暮らすことになった姉妹との奇妙な生活が始まる――!?【ズズズキュン！】</v>
      </c>
      <c r="W929" s="14"/>
      <c r="X929" s="14" t="str">
        <f>IFERROR(__xludf.DUMMYFUNCTION("""COMPUTED_VALUE"""),"有")</f>
        <v>有</v>
      </c>
      <c r="Y929" s="8" t="str">
        <f>IFERROR(__xludf.DUMMYFUNCTION("""COMPUTED_VALUE"""),"2024/2/2まで1巻無料")</f>
        <v>2024/2/2まで1巻無料</v>
      </c>
      <c r="Z929" s="7"/>
      <c r="AA929" s="7"/>
      <c r="AB929" s="7"/>
    </row>
    <row r="930" ht="15.75" customHeight="1">
      <c r="A930" s="14">
        <f>IFERROR(__xludf.DUMMYFUNCTION("""COMPUTED_VALUE"""),2649.0)</f>
        <v>2649</v>
      </c>
      <c r="B930" s="15" t="str">
        <f>IFERROR(__xludf.DUMMYFUNCTION("""COMPUTED_VALUE"""),"確定")</f>
        <v>確定</v>
      </c>
      <c r="C930" s="25">
        <f>IFERROR(__xludf.DUMMYFUNCTION("""COMPUTED_VALUE"""),45245.0)</f>
        <v>45245</v>
      </c>
      <c r="D930" s="25">
        <f>IFERROR(__xludf.DUMMYFUNCTION("""COMPUTED_VALUE"""),45257.0)</f>
        <v>45257</v>
      </c>
      <c r="E930" s="14">
        <f>IFERROR(__xludf.DUMMYFUNCTION("""COMPUTED_VALUE"""),269911.0)</f>
        <v>269911</v>
      </c>
      <c r="F930" s="15" t="str">
        <f>IFERROR(__xludf.DUMMYFUNCTION("""COMPUTED_VALUE"""),"ただで家に置いてくれとは言いません。【タテヨミ】")</f>
        <v>ただで家に置いてくれとは言いません。【タテヨミ】</v>
      </c>
      <c r="G930" s="11" t="str">
        <f>IFERROR(__xludf.DUMMYFUNCTION("""COMPUTED_VALUE"""),"1～9")</f>
        <v>1～9</v>
      </c>
      <c r="H930" s="14" t="str">
        <f>IFERROR(__xludf.DUMMYFUNCTION("""COMPUTED_VALUE"""),"doya,rock crab")</f>
        <v>doya,rock crab</v>
      </c>
      <c r="I930" s="14" t="str">
        <f>IFERROR(__xludf.DUMMYFUNCTION("""COMPUTED_VALUE"""),"青年")</f>
        <v>青年</v>
      </c>
      <c r="J930" s="14"/>
      <c r="K930" s="14"/>
      <c r="L930" s="14" t="str">
        <f>IFERROR(__xludf.DUMMYFUNCTION("""COMPUTED_VALUE"""),"ソルマーレ編集部")</f>
        <v>ソルマーレ編集部</v>
      </c>
      <c r="M930" s="21">
        <f>IFERROR(__xludf.DUMMYFUNCTION("""COMPUTED_VALUE"""),45297.0)</f>
        <v>45297</v>
      </c>
      <c r="N930" s="21">
        <f>IFERROR(__xludf.DUMMYFUNCTION("""COMPUTED_VALUE"""),45358.0)</f>
        <v>45358</v>
      </c>
      <c r="O930" s="16"/>
      <c r="P930" s="15" t="str">
        <f>IFERROR(__xludf.DUMMYFUNCTION("""COMPUTED_VALUE"""),"可")</f>
        <v>可</v>
      </c>
      <c r="Q930" s="8" t="str">
        <f>IFERROR(__xludf.DUMMYFUNCTION("""COMPUTED_VALUE"""),"※正式タイトル下記の通りです（11/15）&lt;BR&gt;＝＝＝&lt;BR&gt;ただで家に置いてくれとは言いません。【タテヨミ】&lt;BR&gt;＝＝＝&lt;BR&gt;※コマサム等素材は「269910 ただで家に置いてくれとは言いません。（フルカラー）」のほうをお使いください。&lt;BR&gt;バナー制作はフルカラー版の素材を利用して問題ございません。（11/15）&lt;BR&gt;※素材が揃いましたのでフォルダパスを更新しました（11/27）")</f>
        <v>※正式タイトル下記の通りです（11/15）&lt;BR&gt;＝＝＝&lt;BR&gt;ただで家に置いてくれとは言いません。【タテヨミ】&lt;BR&gt;＝＝＝&lt;BR&gt;※コマサム等素材は「269910 ただで家に置いてくれとは言いません。（フルカラー）」のほうをお使いください。&lt;BR&gt;バナー制作はフルカラー版の素材を利用して問題ございません。（11/15）&lt;BR&gt;※素材が揃いましたのでフォルダパスを更新しました（11/27）</v>
      </c>
      <c r="R930" s="15"/>
      <c r="S930" s="8" t="str">
        <f>IFERROR(__xludf.DUMMYFUNCTION("""COMPUTED_VALUE"""),"20231127_ソルマーレ編集部_ただで家に置いてくれとは言いません。【タテヨミ】")</f>
        <v>20231127_ソルマーレ編集部_ただで家に置いてくれとは言いません。【タテヨミ】</v>
      </c>
      <c r="T930" s="15"/>
      <c r="U930" s="15" t="str">
        <f>IFERROR(__xludf.DUMMYFUNCTION("""COMPUTED_VALUE"""),"Ⓒ doya/rock crab/TOPCO/シーモアコミックス")</f>
        <v>Ⓒ doya/rock crab/TOPCO/シーモアコミックス</v>
      </c>
      <c r="V930" s="8" t="str">
        <f>IFERROR(__xludf.DUMMYFUNCTION("""COMPUTED_VALUE"""),"15年前の雨の日、幼い陸の前から忽然と姿を消した初恋の人、理子。仕事で忙しい父に代わり、よく面倒を見てくれた理子お姉ちゃんは、陸にとって忘れられない人だった。
最後に彼女を見た日と同じく激しい雨が降る夜、ずぶぬれで家の前に立ち尽くしていた理子とその妹の理奈。驚く陸と陸の父親だが、15年の間、どうしていたのか二人は決して語ろうとはせず、しばらく家に置いてほしい、と跪く。そして「ただで居候するつもりはありません。なんでもします」と言うが……。住み込みの家政婦として一緒に暮らすことになった姉妹との奇妙な生活が"&amp;"始まる――!?【ズズズキュン！】")</f>
        <v>15年前の雨の日、幼い陸の前から忽然と姿を消した初恋の人、理子。仕事で忙しい父に代わり、よく面倒を見てくれた理子お姉ちゃんは、陸にとって忘れられない人だった。
最後に彼女を見た日と同じく激しい雨が降る夜、ずぶぬれで家の前に立ち尽くしていた理子とその妹の理奈。驚く陸と陸の父親だが、15年の間、どうしていたのか二人は決して語ろうとはせず、しばらく家に置いてほしい、と跪く。そして「ただで居候するつもりはありません。なんでもします」と言うが……。住み込みの家政婦として一緒に暮らすことになった姉妹との奇妙な生活が始まる――!?【ズズズキュン！】</v>
      </c>
      <c r="W930" s="14"/>
      <c r="X930" s="14" t="str">
        <f>IFERROR(__xludf.DUMMYFUNCTION("""COMPUTED_VALUE"""),"有")</f>
        <v>有</v>
      </c>
      <c r="Y930" s="8" t="str">
        <f>IFERROR(__xludf.DUMMYFUNCTION("""COMPUTED_VALUE"""),"2024/2/2まで3巻無料")</f>
        <v>2024/2/2まで3巻無料</v>
      </c>
      <c r="Z930" s="7"/>
      <c r="AA930" s="7"/>
      <c r="AB930" s="7"/>
    </row>
    <row r="931" ht="15.75" customHeight="1">
      <c r="A931" s="14">
        <f>IFERROR(__xludf.DUMMYFUNCTION("""COMPUTED_VALUE"""),2650.0)</f>
        <v>2650</v>
      </c>
      <c r="B931" s="15" t="str">
        <f>IFERROR(__xludf.DUMMYFUNCTION("""COMPUTED_VALUE"""),"確定")</f>
        <v>確定</v>
      </c>
      <c r="C931" s="25">
        <f>IFERROR(__xludf.DUMMYFUNCTION("""COMPUTED_VALUE"""),45245.0)</f>
        <v>45245</v>
      </c>
      <c r="D931" s="25">
        <f>IFERROR(__xludf.DUMMYFUNCTION("""COMPUTED_VALUE"""),45258.0)</f>
        <v>45258</v>
      </c>
      <c r="E931" s="14">
        <f>IFERROR(__xludf.DUMMYFUNCTION("""COMPUTED_VALUE"""),274778.0)</f>
        <v>274778</v>
      </c>
      <c r="F931" s="15" t="str">
        <f>IFERROR(__xludf.DUMMYFUNCTION("""COMPUTED_VALUE"""),"恋が始まるかもしれないパンクロッカーと司書")</f>
        <v>恋が始まるかもしれないパンクロッカーと司書</v>
      </c>
      <c r="G931" s="16" t="str">
        <f>IFERROR(__xludf.DUMMYFUNCTION("""COMPUTED_VALUE"""),"1～3")</f>
        <v>1～3</v>
      </c>
      <c r="H931" s="14" t="str">
        <f>IFERROR(__xludf.DUMMYFUNCTION("""COMPUTED_VALUE"""),"伊達しのぶ")</f>
        <v>伊達しのぶ</v>
      </c>
      <c r="I931" s="14" t="str">
        <f>IFERROR(__xludf.DUMMYFUNCTION("""COMPUTED_VALUE"""),"女性")</f>
        <v>女性</v>
      </c>
      <c r="J931" s="14"/>
      <c r="K931" s="14"/>
      <c r="L931" s="14" t="str">
        <f>IFERROR(__xludf.DUMMYFUNCTION("""COMPUTED_VALUE"""),"ソルマーレ編集部")</f>
        <v>ソルマーレ編集部</v>
      </c>
      <c r="M931" s="21">
        <f>IFERROR(__xludf.DUMMYFUNCTION("""COMPUTED_VALUE"""),45297.0)</f>
        <v>45297</v>
      </c>
      <c r="N931" s="21">
        <f>IFERROR(__xludf.DUMMYFUNCTION("""COMPUTED_VALUE"""),45388.66666666667)</f>
        <v>45388.66667</v>
      </c>
      <c r="O931" s="16"/>
      <c r="P931" s="15" t="str">
        <f>IFERROR(__xludf.DUMMYFUNCTION("""COMPUTED_VALUE"""),"可")</f>
        <v>可</v>
      </c>
      <c r="Q931" s="8" t="str">
        <f>IFERROR(__xludf.DUMMYFUNCTION("""COMPUTED_VALUE"""),"※正式タイトル下記の通りです（11/15）&lt;BR&gt;＝＝＝&lt;BR&gt;恋が始まるかもしれないパンクロッカーと司書&lt;BR&gt;＝＝＝&lt;BR&gt;※素材が揃いましたのでフォルダパスを更新しました（11/28）")</f>
        <v>※正式タイトル下記の通りです（11/15）&lt;BR&gt;＝＝＝&lt;BR&gt;恋が始まるかもしれないパンクロッカーと司書&lt;BR&gt;＝＝＝&lt;BR&gt;※素材が揃いましたのでフォルダパスを更新しました（11/28）</v>
      </c>
      <c r="R931" s="15"/>
      <c r="S931" s="8" t="str">
        <f>IFERROR(__xludf.DUMMYFUNCTION("""COMPUTED_VALUE"""),"20231128_ソルマーレ編集部_恋が始まるかもしれないパンクロッカーと司書")</f>
        <v>20231128_ソルマーレ編集部_恋が始まるかもしれないパンクロッカーと司書</v>
      </c>
      <c r="T931" s="15"/>
      <c r="U931" s="15" t="str">
        <f>IFERROR(__xludf.DUMMYFUNCTION("""COMPUTED_VALUE"""),"Ⓒ 伊達しのぶ/シーモアコミックス")</f>
        <v>Ⓒ 伊達しのぶ/シーモアコミックス</v>
      </c>
      <c r="V931" s="8" t="str">
        <f>IFERROR(__xludf.DUMMYFUNCTION("""COMPUTED_VALUE"""),"岩鬼はシングルマザーで息子を育てつつパンクロッカーのボーカルをしている。とはいえパンクロッカーには似つかわしくない真面目さで、息子がバレンタインにもらったチョコのお返しに手作りせねばと思い立つ。レシピ本を求め図書館に向かうと爽やかでイケメンの司書が丁寧に対応してくれて…！【ズズズキュン！】")</f>
        <v>岩鬼はシングルマザーで息子を育てつつパンクロッカーのボーカルをしている。とはいえパンクロッカーには似つかわしくない真面目さで、息子がバレンタインにもらったチョコのお返しに手作りせねばと思い立つ。レシピ本を求め図書館に向かうと爽やかでイケメンの司書が丁寧に対応してくれて…！【ズズズキュン！】</v>
      </c>
      <c r="W931" s="14"/>
      <c r="X931" s="14" t="str">
        <f>IFERROR(__xludf.DUMMYFUNCTION("""COMPUTED_VALUE"""),"有")</f>
        <v>有</v>
      </c>
      <c r="Y931" s="8" t="str">
        <f>IFERROR(__xludf.DUMMYFUNCTION("""COMPUTED_VALUE"""),"2024/2/2まで1巻無料")</f>
        <v>2024/2/2まで1巻無料</v>
      </c>
      <c r="Z931" s="7"/>
      <c r="AA931" s="7"/>
      <c r="AB931" s="7"/>
    </row>
    <row r="932" ht="96.75" customHeight="1">
      <c r="A932" s="14">
        <f>IFERROR(__xludf.DUMMYFUNCTION("""COMPUTED_VALUE"""),2653.0)</f>
        <v>2653</v>
      </c>
      <c r="B932" s="15" t="str">
        <f>IFERROR(__xludf.DUMMYFUNCTION("""COMPUTED_VALUE"""),"確定")</f>
        <v>確定</v>
      </c>
      <c r="C932" s="25">
        <f>IFERROR(__xludf.DUMMYFUNCTION("""COMPUTED_VALUE"""),45246.0)</f>
        <v>45246</v>
      </c>
      <c r="D932" s="25">
        <f>IFERROR(__xludf.DUMMYFUNCTION("""COMPUTED_VALUE"""),45259.0)</f>
        <v>45259</v>
      </c>
      <c r="E932" s="14">
        <f>IFERROR(__xludf.DUMMYFUNCTION("""COMPUTED_VALUE"""),284154.0)</f>
        <v>284154</v>
      </c>
      <c r="F932" s="15" t="str">
        <f>IFERROR(__xludf.DUMMYFUNCTION("""COMPUTED_VALUE"""),"悪役令嬢、生存の鍵は最凶お義兄様のヤンデレパワーです【短編】")</f>
        <v>悪役令嬢、生存の鍵は最凶お義兄様のヤンデレパワーです【短編】</v>
      </c>
      <c r="G932" s="11" t="str">
        <f>IFERROR(__xludf.DUMMYFUNCTION("""COMPUTED_VALUE"""),"1～2")</f>
        <v>1～2</v>
      </c>
      <c r="H932" s="14" t="str">
        <f>IFERROR(__xludf.DUMMYFUNCTION("""COMPUTED_VALUE"""),"日車メレ・城之内寧々")</f>
        <v>日車メレ・城之内寧々</v>
      </c>
      <c r="I932" s="14" t="str">
        <f>IFERROR(__xludf.DUMMYFUNCTION("""COMPUTED_VALUE"""),"女性")</f>
        <v>女性</v>
      </c>
      <c r="J932" s="14"/>
      <c r="K932" s="14"/>
      <c r="L932" s="14" t="str">
        <f>IFERROR(__xludf.DUMMYFUNCTION("""COMPUTED_VALUE"""),"竹書房")</f>
        <v>竹書房</v>
      </c>
      <c r="M932" s="21">
        <f>IFERROR(__xludf.DUMMYFUNCTION("""COMPUTED_VALUE"""),45292.0)</f>
        <v>45292</v>
      </c>
      <c r="N932" s="21">
        <f>IFERROR(__xludf.DUMMYFUNCTION("""COMPUTED_VALUE"""),45351.0)</f>
        <v>45351</v>
      </c>
      <c r="O932" s="16"/>
      <c r="P932" s="15" t="str">
        <f>IFERROR(__xludf.DUMMYFUNCTION("""COMPUTED_VALUE"""),"可")</f>
        <v>可</v>
      </c>
      <c r="Q932" s="14" t="str">
        <f>IFERROR(__xludf.DUMMYFUNCTION("""COMPUTED_VALUE"""),"コミット不可")</f>
        <v>コミット不可</v>
      </c>
      <c r="R932" s="15" t="str">
        <f>IFERROR(__xludf.DUMMYFUNCTION("""COMPUTED_VALUE"""),"格納済")</f>
        <v>格納済</v>
      </c>
      <c r="S932" s="14" t="str">
        <f>IFERROR(__xludf.DUMMYFUNCTION("""COMPUTED_VALUE"""),"20231129_竹書房_悪役令嬢、生存の鍵はヤンデレお義兄様")</f>
        <v>20231129_竹書房_悪役令嬢、生存の鍵はヤンデレお義兄様</v>
      </c>
      <c r="T932" s="15" t="str">
        <f>IFERROR(__xludf.DUMMYFUNCTION("""COMPUTED_VALUE"""),"校了済素材")</f>
        <v>校了済素材</v>
      </c>
      <c r="U932" s="15" t="str">
        <f>IFERROR(__xludf.DUMMYFUNCTION("""COMPUTED_VALUE"""),"(C)日車メレ・城之内寧々／竹書房")</f>
        <v>(C)日車メレ・城之内寧々／竹書房</v>
      </c>
      <c r="V932" s="8" t="str">
        <f>IFERROR(__xludf.DUMMYFUNCTION("""COMPUTED_VALUE"""),"愛読漫画の悪役令嬢に転生した事に気付いたエリカは、愛する義兄ダリルと共に破滅エンドの回避を決意するが…!?")</f>
        <v>愛読漫画の悪役令嬢に転生した事に気付いたエリカは、愛する義兄ダリルと共に破滅エンドの回避を決意するが…!?</v>
      </c>
      <c r="W932" s="14"/>
      <c r="X932" s="14" t="str">
        <f>IFERROR(__xludf.DUMMYFUNCTION("""COMPUTED_VALUE"""),"有")</f>
        <v>有</v>
      </c>
      <c r="Y932" s="8" t="str">
        <f>IFERROR(__xludf.DUMMYFUNCTION("""COMPUTED_VALUE"""),"P6まで")</f>
        <v>P6まで</v>
      </c>
      <c r="Z932" s="7"/>
      <c r="AA932" s="7"/>
      <c r="AB932" s="7"/>
    </row>
    <row r="933" ht="15.75" customHeight="1">
      <c r="A933" s="14">
        <f>IFERROR(__xludf.DUMMYFUNCTION("""COMPUTED_VALUE"""),2670.0)</f>
        <v>2670</v>
      </c>
      <c r="B933" s="15" t="str">
        <f>IFERROR(__xludf.DUMMYFUNCTION("""COMPUTED_VALUE"""),"確定")</f>
        <v>確定</v>
      </c>
      <c r="C933" s="25">
        <f>IFERROR(__xludf.DUMMYFUNCTION("""COMPUTED_VALUE"""),45250.0)</f>
        <v>45250</v>
      </c>
      <c r="D933" s="25">
        <f>IFERROR(__xludf.DUMMYFUNCTION("""COMPUTED_VALUE"""),45258.0)</f>
        <v>45258</v>
      </c>
      <c r="E933" s="14">
        <f>IFERROR(__xludf.DUMMYFUNCTION("""COMPUTED_VALUE"""),283233.0)</f>
        <v>283233</v>
      </c>
      <c r="F933" s="15" t="str">
        <f>IFERROR(__xludf.DUMMYFUNCTION("""COMPUTED_VALUE"""),"魔法少女(22才)は淫獣になんて負けませんっ！ （分冊版）")</f>
        <v>魔法少女(22才)は淫獣になんて負けませんっ！ （分冊版）</v>
      </c>
      <c r="G933" s="11" t="str">
        <f>IFERROR(__xludf.DUMMYFUNCTION("""COMPUTED_VALUE"""),"1～2")</f>
        <v>1～2</v>
      </c>
      <c r="H933" s="14" t="str">
        <f>IFERROR(__xludf.DUMMYFUNCTION("""COMPUTED_VALUE"""),"LiryRain")</f>
        <v>LiryRain</v>
      </c>
      <c r="I933" s="14" t="str">
        <f>IFERROR(__xludf.DUMMYFUNCTION("""COMPUTED_VALUE"""),"オトナ")</f>
        <v>オトナ</v>
      </c>
      <c r="J933" s="14"/>
      <c r="K933" s="14"/>
      <c r="L933" s="14" t="str">
        <f>IFERROR(__xludf.DUMMYFUNCTION("""COMPUTED_VALUE"""),"ライトリーズン")</f>
        <v>ライトリーズン</v>
      </c>
      <c r="M933" s="21">
        <f>IFERROR(__xludf.DUMMYFUNCTION("""COMPUTED_VALUE"""),45282.0)</f>
        <v>45282</v>
      </c>
      <c r="N933" s="41">
        <f>IFERROR(__xludf.DUMMYFUNCTION("""COMPUTED_VALUE"""),45372.0)</f>
        <v>45372</v>
      </c>
      <c r="O933" s="16"/>
      <c r="P933" s="15" t="str">
        <f>IFERROR(__xludf.DUMMYFUNCTION("""COMPUTED_VALUE"""),"可")</f>
        <v>可</v>
      </c>
      <c r="Q933" s="8" t="str">
        <f>IFERROR(__xludf.DUMMYFUNCTION("""COMPUTED_VALUE"""),"広告コミットOK(11/24)&lt;BR&gt;素材は1巻となっていますが、配信時には2分割されます")</f>
        <v>広告コミットOK(11/24)&lt;BR&gt;素材は1巻となっていますが、配信時には2分割されます</v>
      </c>
      <c r="R933" s="15"/>
      <c r="S933" s="8" t="str">
        <f>IFERROR(__xludf.DUMMYFUNCTION("""COMPUTED_VALUE"""),"20231128_ライトリーズン_魔法少女(22才)は淫獣になんて負けませんっ!")</f>
        <v>20231128_ライトリーズン_魔法少女(22才)は淫獣になんて負けませんっ!</v>
      </c>
      <c r="T933" s="15"/>
      <c r="U933" s="15" t="str">
        <f>IFERROR(__xludf.DUMMYFUNCTION("""COMPUTED_VALUE"""),"(C)LiryRain／ライトリーズン")</f>
        <v>(C)LiryRain／ライトリーズン</v>
      </c>
      <c r="V933" s="8" t="str">
        <f>IFERROR(__xludf.DUMMYFUNCTION("""COMPUTED_VALUE"""),"※こちらの作品は同人誌です※
「人間の男の精液をかければ、種は自然に排出される」
《20年前に月近くで起きた磁場の歪み…その後、地球に宇宙生物が襲来するようになった。
唯一対抗できたのは、磁場の影響を受けて魔力に目覚めた魔法少女だけだった――》
16才の時に魔力に目覚め、国防省宇宙防衛政策局の佐伯にスカウトされた葵は
22才になる今でも力を失わず、魔法少女として活動を続けていた。
佐伯に恋心を抱くも、昔から子供扱いされていることに複雑な葵。
今回現れた宇宙生物は初めて見る…淫獣型!?
油断"&amp;"したところを触手に絡めとられてしまい……!!
--------------
漫画・発行: 柚りゆう Liry Rain(X：@liry_rain )
原作: 大江戸ウメコ(X：@umeko_ooedo )")</f>
        <v>※こちらの作品は同人誌です※
「人間の男の精液をかければ、種は自然に排出される」
《20年前に月近くで起きた磁場の歪み…その後、地球に宇宙生物が襲来するようになった。
唯一対抗できたのは、磁場の影響を受けて魔力に目覚めた魔法少女だけだった――》
16才の時に魔力に目覚め、国防省宇宙防衛政策局の佐伯にスカウトされた葵は
22才になる今でも力を失わず、魔法少女として活動を続けていた。
佐伯に恋心を抱くも、昔から子供扱いされていることに複雑な葵。
今回現れた宇宙生物は初めて見る…淫獣型!?
油断したところを触手に絡めとられてしまい……!!
--------------
漫画・発行: 柚りゆう Liry Rain(X：@liry_rain )
原作: 大江戸ウメコ(X：@umeko_ooedo )</v>
      </c>
      <c r="W933" s="14"/>
      <c r="X933" s="14" t="str">
        <f>IFERROR(__xludf.DUMMYFUNCTION("""COMPUTED_VALUE"""),"有")</f>
        <v>有</v>
      </c>
      <c r="Y933" s="8" t="str">
        <f>IFERROR(__xludf.DUMMYFUNCTION("""COMPUTED_VALUE"""),"P5まで")</f>
        <v>P5まで</v>
      </c>
      <c r="Z933" s="7"/>
      <c r="AA933" s="7"/>
      <c r="AB933" s="7"/>
    </row>
    <row r="934" ht="97.5" customHeight="1">
      <c r="A934" s="14">
        <f>IFERROR(__xludf.DUMMYFUNCTION("""COMPUTED_VALUE"""),2690.0)</f>
        <v>2690</v>
      </c>
      <c r="B934" s="15" t="str">
        <f>IFERROR(__xludf.DUMMYFUNCTION("""COMPUTED_VALUE"""),"確定")</f>
        <v>確定</v>
      </c>
      <c r="C934" s="25">
        <f>IFERROR(__xludf.DUMMYFUNCTION("""COMPUTED_VALUE"""),45254.0)</f>
        <v>45254</v>
      </c>
      <c r="D934" s="25">
        <f>IFERROR(__xludf.DUMMYFUNCTION("""COMPUTED_VALUE"""),45254.0)</f>
        <v>45254</v>
      </c>
      <c r="E934" s="14">
        <f>IFERROR(__xludf.DUMMYFUNCTION("""COMPUTED_VALUE"""),282189.0)</f>
        <v>282189</v>
      </c>
      <c r="F934" s="15" t="str">
        <f>IFERROR(__xludf.DUMMYFUNCTION("""COMPUTED_VALUE"""),"嫌われすぎて死にかけていたらヤンデレ変態公爵に溺愛されました")</f>
        <v>嫌われすぎて死にかけていたらヤンデレ変態公爵に溺愛されました</v>
      </c>
      <c r="G934" s="16" t="str">
        <f>IFERROR(__xludf.DUMMYFUNCTION("""COMPUTED_VALUE"""),"1～3")</f>
        <v>1～3</v>
      </c>
      <c r="H934" s="14" t="str">
        <f>IFERROR(__xludf.DUMMYFUNCTION("""COMPUTED_VALUE"""),"小森薫")</f>
        <v>小森薫</v>
      </c>
      <c r="I934" s="22" t="str">
        <f>IFERROR(__xludf.DUMMYFUNCTION("""COMPUTED_VALUE"""),"少女")</f>
        <v>少女</v>
      </c>
      <c r="J934" s="14"/>
      <c r="K934" s="14"/>
      <c r="L934" s="14" t="str">
        <f>IFERROR(__xludf.DUMMYFUNCTION("""COMPUTED_VALUE"""),"マッグガーデン")</f>
        <v>マッグガーデン</v>
      </c>
      <c r="M934" s="21">
        <f>IFERROR(__xludf.DUMMYFUNCTION("""COMPUTED_VALUE"""),45275.0)</f>
        <v>45275</v>
      </c>
      <c r="N934" s="21">
        <f>IFERROR(__xludf.DUMMYFUNCTION("""COMPUTED_VALUE"""),45427.0)</f>
        <v>45427</v>
      </c>
      <c r="O934" s="16"/>
      <c r="P934" s="15" t="str">
        <f>IFERROR(__xludf.DUMMYFUNCTION("""COMPUTED_VALUE"""),"否")</f>
        <v>否</v>
      </c>
      <c r="Q934" s="8" t="str">
        <f>IFERROR(__xludf.DUMMYFUNCTION("""COMPUTED_VALUE"""),"『シーモア×MAGKAN PLUS』協業作品です")</f>
        <v>『シーモア×MAGKAN PLUS』協業作品です</v>
      </c>
      <c r="R934" s="15"/>
      <c r="S934" s="8" t="str">
        <f>IFERROR(__xludf.DUMMYFUNCTION("""COMPUTED_VALUE"""),"20231124_マッグガーデン_嫌われすぎて死にかけていたらヤンデレ変態公爵に溺愛されました")</f>
        <v>20231124_マッグガーデン_嫌われすぎて死にかけていたらヤンデレ変態公爵に溺愛されました</v>
      </c>
      <c r="T934" s="15"/>
      <c r="U934" s="15" t="str">
        <f>IFERROR(__xludf.DUMMYFUNCTION("""COMPUTED_VALUE"""),"(C)小森薫/MAG Garden")</f>
        <v>(C)小森薫/MAG Garden</v>
      </c>
      <c r="V934" s="8" t="str">
        <f>IFERROR(__xludf.DUMMYFUNCTION("""COMPUTED_VALUE"""),"特異な髪と瞳のせいで「白髪の魔女」と村中から忌み嫌われてきた少女、ファニ。夢はお金を貯めてこの村を出ていくこと──しかし、ある晩見知らぬ男たちの襲撃に遭い、死を覚悟をする。そんな彼女を救ったのは、恐ろしいほどに顔の整った公爵様で…？")</f>
        <v>特異な髪と瞳のせいで「白髪の魔女」と村中から忌み嫌われてきた少女、ファニ。夢はお金を貯めてこの村を出ていくこと──しかし、ある晩見知らぬ男たちの襲撃に遭い、死を覚悟をする。そんな彼女を救ったのは、恐ろしいほどに顔の整った公爵様で…？</v>
      </c>
      <c r="W934" s="14"/>
      <c r="X934" s="14" t="str">
        <f>IFERROR(__xludf.DUMMYFUNCTION("""COMPUTED_VALUE"""),"無")</f>
        <v>無</v>
      </c>
      <c r="Y934" s="8" t="str">
        <f>IFERROR(__xludf.DUMMYFUNCTION("""COMPUTED_VALUE"""),"12/21まで1巻無料")</f>
        <v>12/21まで1巻無料</v>
      </c>
      <c r="Z934" s="7"/>
      <c r="AA934" s="7"/>
      <c r="AB934" s="7"/>
    </row>
    <row r="935" ht="15.75" customHeight="1">
      <c r="A935" s="14">
        <f>IFERROR(__xludf.DUMMYFUNCTION("""COMPUTED_VALUE"""),2691.0)</f>
        <v>2691</v>
      </c>
      <c r="B935" s="15" t="str">
        <f>IFERROR(__xludf.DUMMYFUNCTION("""COMPUTED_VALUE"""),"確定")</f>
        <v>確定</v>
      </c>
      <c r="C935" s="25">
        <f>IFERROR(__xludf.DUMMYFUNCTION("""COMPUTED_VALUE"""),45257.0)</f>
        <v>45257</v>
      </c>
      <c r="D935" s="25">
        <f>IFERROR(__xludf.DUMMYFUNCTION("""COMPUTED_VALUE"""),45257.0)</f>
        <v>45257</v>
      </c>
      <c r="E935" s="14">
        <f>IFERROR(__xludf.DUMMYFUNCTION("""COMPUTED_VALUE"""),283168.0)</f>
        <v>283168</v>
      </c>
      <c r="F935" s="15" t="str">
        <f>IFERROR(__xludf.DUMMYFUNCTION("""COMPUTED_VALUE"""),"余命わずかだからと追放された聖女ですが、巡礼の旅に出たら超健康になりました【分冊版】")</f>
        <v>余命わずかだからと追放された聖女ですが、巡礼の旅に出たら超健康になりました【分冊版】</v>
      </c>
      <c r="G935" s="11" t="str">
        <f>IFERROR(__xludf.DUMMYFUNCTION("""COMPUTED_VALUE"""),"1～4")</f>
        <v>1～4</v>
      </c>
      <c r="H935" s="14" t="str">
        <f>IFERROR(__xludf.DUMMYFUNCTION("""COMPUTED_VALUE"""),"原作：マチバリ(アース・スター ルナ／アース・スター エンターテイメント刊) 漫画：淡谷こむぎ")</f>
        <v>原作：マチバリ(アース・スター ルナ／アース・スター エンターテイメント刊) 漫画：淡谷こむぎ</v>
      </c>
      <c r="I935" s="14" t="str">
        <f>IFERROR(__xludf.DUMMYFUNCTION("""COMPUTED_VALUE"""),"少女")</f>
        <v>少女</v>
      </c>
      <c r="J935" s="14"/>
      <c r="K935" s="14"/>
      <c r="L935" s="14" t="str">
        <f>IFERROR(__xludf.DUMMYFUNCTION("""COMPUTED_VALUE"""),"スクウェア・エニックス")</f>
        <v>スクウェア・エニックス</v>
      </c>
      <c r="M935" s="21">
        <f>IFERROR(__xludf.DUMMYFUNCTION("""COMPUTED_VALUE"""),45292.0)</f>
        <v>45292</v>
      </c>
      <c r="N935" s="21">
        <f>IFERROR(__xludf.DUMMYFUNCTION("""COMPUTED_VALUE"""),45322.0)</f>
        <v>45322</v>
      </c>
      <c r="O935" s="16"/>
      <c r="P935" s="15" t="str">
        <f>IFERROR(__xludf.DUMMYFUNCTION("""COMPUTED_VALUE"""),"否")</f>
        <v>否</v>
      </c>
      <c r="Q935" s="8" t="str">
        <f>IFERROR(__xludf.DUMMYFUNCTION("""COMPUTED_VALUE"""),"可能であれば出稿お願いします。1か月先行確定。")</f>
        <v>可能であれば出稿お願いします。1か月先行確定。</v>
      </c>
      <c r="R935" s="15"/>
      <c r="S935" s="8" t="str">
        <f>IFERROR(__xludf.DUMMYFUNCTION("""COMPUTED_VALUE"""),"20231127_スクウェア・エニックス_余命わずかだからと追放された聖女ですが、巡礼の旅に出たら超健康になりました【分冊版】")</f>
        <v>20231127_スクウェア・エニックス_余命わずかだからと追放された聖女ですが、巡礼の旅に出たら超健康になりました【分冊版】</v>
      </c>
      <c r="T935" s="15"/>
      <c r="U935" s="15" t="str">
        <f>IFERROR(__xludf.DUMMYFUNCTION("""COMPUTED_VALUE"""),"(C)Machibari (C)Komugi Awaya/SQUARE ENIX")</f>
        <v>(C)Machibari (C)Komugi Awaya/SQUARE ENIX</v>
      </c>
      <c r="V935" s="8" t="str">
        <f>IFERROR(__xludf.DUMMYFUNCTION("""COMPUTED_VALUE"""),"【聖女と黒騎士が起こす奇跡の旅物語】
国のために聖女として尽力していた王女のプラティナは余命宣告を受けるも、義理の妹から過酷な聖地巡礼の旅を命じられ王城から追放される。彼女の死の見届け人として捕虜の騎士アイゼンをあてがわれた。二人の旅と命の行方は…？
※この商品は「余命わずかだからと追放された聖女ですが、巡礼の旅に出たら超健康になりました」を1話ごとに分冊したものです。
(C)Machibari (C)2024 Komugi Awaya")</f>
        <v>【聖女と黒騎士が起こす奇跡の旅物語】
国のために聖女として尽力していた王女のプラティナは余命宣告を受けるも、義理の妹から過酷な聖地巡礼の旅を命じられ王城から追放される。彼女の死の見届け人として捕虜の騎士アイゼンをあてがわれた。二人の旅と命の行方は…？
※この商品は「余命わずかだからと追放された聖女ですが、巡礼の旅に出たら超健康になりました」を1話ごとに分冊したものです。
(C)Machibari (C)2024 Komugi Awaya</v>
      </c>
      <c r="W935" s="14"/>
      <c r="X935" s="14" t="str">
        <f>IFERROR(__xludf.DUMMYFUNCTION("""COMPUTED_VALUE"""),"無")</f>
        <v>無</v>
      </c>
      <c r="Y935" s="8" t="str">
        <f>IFERROR(__xludf.DUMMYFUNCTION("""COMPUTED_VALUE"""),"2024/1/31まで1巻無料")</f>
        <v>2024/1/31まで1巻無料</v>
      </c>
      <c r="Z935" s="7"/>
      <c r="AA935" s="7"/>
      <c r="AB935" s="7"/>
    </row>
    <row r="936" ht="15.75" customHeight="1">
      <c r="A936" s="14">
        <f>IFERROR(__xludf.DUMMYFUNCTION("""COMPUTED_VALUE"""),2692.0)</f>
        <v>2692</v>
      </c>
      <c r="B936" s="15" t="str">
        <f>IFERROR(__xludf.DUMMYFUNCTION("""COMPUTED_VALUE"""),"確定")</f>
        <v>確定</v>
      </c>
      <c r="C936" s="25">
        <f>IFERROR(__xludf.DUMMYFUNCTION("""COMPUTED_VALUE"""),45257.0)</f>
        <v>45257</v>
      </c>
      <c r="D936" s="25">
        <f>IFERROR(__xludf.DUMMYFUNCTION("""COMPUTED_VALUE"""),45257.0)</f>
        <v>45257</v>
      </c>
      <c r="E936" s="14">
        <f>IFERROR(__xludf.DUMMYFUNCTION("""COMPUTED_VALUE"""),283171.0)</f>
        <v>283171</v>
      </c>
      <c r="F936" s="15" t="str">
        <f>IFERROR(__xludf.DUMMYFUNCTION("""COMPUTED_VALUE"""),"悪役令嬢の矜持～婚約者を奪い取って義姉を追い出した私は、どうやら今から破滅するようです。～（コミック）【分冊版】")</f>
        <v>悪役令嬢の矜持～婚約者を奪い取って義姉を追い出した私は、どうやら今から破滅するようです。～（コミック）【分冊版】</v>
      </c>
      <c r="G936" s="11" t="str">
        <f>IFERROR(__xludf.DUMMYFUNCTION("""COMPUTED_VALUE"""),"1～4")</f>
        <v>1～4</v>
      </c>
      <c r="H936" s="14" t="str">
        <f>IFERROR(__xludf.DUMMYFUNCTION("""COMPUTED_VALUE"""),"原作：メアリー＝ドゥ 原作：久賀フーナ 漫画：星樹スズカ")</f>
        <v>原作：メアリー＝ドゥ 原作：久賀フーナ 漫画：星樹スズカ</v>
      </c>
      <c r="I936" s="14" t="str">
        <f>IFERROR(__xludf.DUMMYFUNCTION("""COMPUTED_VALUE"""),"女性")</f>
        <v>女性</v>
      </c>
      <c r="J936" s="14"/>
      <c r="K936" s="14"/>
      <c r="L936" s="14" t="str">
        <f>IFERROR(__xludf.DUMMYFUNCTION("""COMPUTED_VALUE"""),"スクウェア・エニックス")</f>
        <v>スクウェア・エニックス</v>
      </c>
      <c r="M936" s="21">
        <f>IFERROR(__xludf.DUMMYFUNCTION("""COMPUTED_VALUE"""),45292.0)</f>
        <v>45292</v>
      </c>
      <c r="N936" s="21">
        <f>IFERROR(__xludf.DUMMYFUNCTION("""COMPUTED_VALUE"""),45322.70833333333)</f>
        <v>45322.70833</v>
      </c>
      <c r="O936" s="16"/>
      <c r="P936" s="15" t="str">
        <f>IFERROR(__xludf.DUMMYFUNCTION("""COMPUTED_VALUE"""),"否")</f>
        <v>否</v>
      </c>
      <c r="Q936" s="8" t="str">
        <f>IFERROR(__xludf.DUMMYFUNCTION("""COMPUTED_VALUE"""),"可能であれば出稿お願いします。1か月先行確定。")</f>
        <v>可能であれば出稿お願いします。1か月先行確定。</v>
      </c>
      <c r="R936" s="15"/>
      <c r="S936" s="8" t="str">
        <f>IFERROR(__xludf.DUMMYFUNCTION("""COMPUTED_VALUE"""),"20231127_スクウェア・エニックス_悪役令嬢の矜持～婚約者を奪い取って義姉を追い出した私は、どうやら今から破滅するようです。～（コミック）【分冊版】")</f>
        <v>20231127_スクウェア・エニックス_悪役令嬢の矜持～婚約者を奪い取って義姉を追い出した私は、どうやら今から破滅するようです。～（コミック）【分冊版】</v>
      </c>
      <c r="T936" s="15"/>
      <c r="U936" s="15" t="str">
        <f>IFERROR(__xludf.DUMMYFUNCTION("""COMPUTED_VALUE"""),"(C)Mary=Doe/SQUARE ENIX (C)Kuga Huna/SQUARE ENIX (C)Suzuka Suteragi/SQUARE ENIX")</f>
        <v>(C)Mary=Doe/SQUARE ENIX (C)Kuga Huna/SQUARE ENIX (C)Suzuka Suteragi/SQUARE ENIX</v>
      </c>
      <c r="V936" s="8" t="str">
        <f>IFERROR(__xludf.DUMMYFUNCTION("""COMPUTED_VALUE"""),"【私はこれから破滅するようです。――私の策略通りに。】
後妻として迎えられた母とともに伯爵家の一員となった元平民のウェルミィ・エルネスト。そんな彼女は家でも貴族学校でも同い年の義姉を虐げ、後継者の地位も婚約者も奪い取り、最後には冷酷と噂される魔導卿に義姉を売り飛ばす。地味で冴えない義姉に抗う術はない。すべてはウェルミィの思うがままに。それからしばらくして、魔導卿から夜会の招待状が届く。自身の婚約者として義姉を紹介するのだろう。父母とともに夜会に参加するウェルミィだったが、赴いた先では華やかな宴……ではな"&amp;"く、『義姉を虐げた』として伯爵家への断罪が始まった。すべてはウェルミィの策略通りに――これは自分が憎まれても義姉を幸せにしようと企んだ、一人の悪役令嬢の物語。
※この商品は「悪役令嬢の矜持～婚約者を奪い取って義姉を追い出した私は、どうやら今から破滅するようです。～（コミック）」を1話ごとに分冊したものです。
(C)2024 Mary=Doe (C)2024 Kuga Huna (C)2024 Suzuka Suteragi")</f>
        <v>【私はこれから破滅するようです。――私の策略通りに。】
後妻として迎えられた母とともに伯爵家の一員となった元平民のウェルミィ・エルネスト。そんな彼女は家でも貴族学校でも同い年の義姉を虐げ、後継者の地位も婚約者も奪い取り、最後には冷酷と噂される魔導卿に義姉を売り飛ばす。地味で冴えない義姉に抗う術はない。すべてはウェルミィの思うがままに。それからしばらくして、魔導卿から夜会の招待状が届く。自身の婚約者として義姉を紹介するのだろう。父母とともに夜会に参加するウェルミィだったが、赴いた先では華やかな宴……ではなく、『義姉を虐げた』として伯爵家への断罪が始まった。すべてはウェルミィの策略通りに――これは自分が憎まれても義姉を幸せにしようと企んだ、一人の悪役令嬢の物語。
※この商品は「悪役令嬢の矜持～婚約者を奪い取って義姉を追い出した私は、どうやら今から破滅するようです。～（コミック）」を1話ごとに分冊したものです。
(C)2024 Mary=Doe (C)2024 Kuga Huna (C)2024 Suzuka Suteragi</v>
      </c>
      <c r="W936" s="14"/>
      <c r="X936" s="14" t="str">
        <f>IFERROR(__xludf.DUMMYFUNCTION("""COMPUTED_VALUE"""),"有")</f>
        <v>有</v>
      </c>
      <c r="Y936" s="8" t="str">
        <f>IFERROR(__xludf.DUMMYFUNCTION("""COMPUTED_VALUE"""),"2024/1/31まで1巻無料")</f>
        <v>2024/1/31まで1巻無料</v>
      </c>
      <c r="Z936" s="7"/>
      <c r="AA936" s="7"/>
      <c r="AB936" s="7"/>
    </row>
    <row r="937" ht="15.75" customHeight="1">
      <c r="A937" s="14">
        <f>IFERROR(__xludf.DUMMYFUNCTION("""COMPUTED_VALUE"""),2694.0)</f>
        <v>2694</v>
      </c>
      <c r="B937" s="15" t="str">
        <f>IFERROR(__xludf.DUMMYFUNCTION("""COMPUTED_VALUE"""),"確定")</f>
        <v>確定</v>
      </c>
      <c r="C937" s="25">
        <f>IFERROR(__xludf.DUMMYFUNCTION("""COMPUTED_VALUE"""),45259.0)</f>
        <v>45259</v>
      </c>
      <c r="D937" s="25">
        <f>IFERROR(__xludf.DUMMYFUNCTION("""COMPUTED_VALUE"""),45259.0)</f>
        <v>45259</v>
      </c>
      <c r="E937" s="14">
        <f>IFERROR(__xludf.DUMMYFUNCTION("""COMPUTED_VALUE"""),283136.0)</f>
        <v>283136</v>
      </c>
      <c r="F937" s="15" t="str">
        <f>IFERROR(__xludf.DUMMYFUNCTION("""COMPUTED_VALUE"""),"恋より熱い！？ニセモノ夫婦の燃え婚セイカツ")</f>
        <v>恋より熱い！？ニセモノ夫婦の燃え婚セイカツ</v>
      </c>
      <c r="G937" s="16" t="str">
        <f>IFERROR(__xludf.DUMMYFUNCTION("""COMPUTED_VALUE"""),"1～3")</f>
        <v>1～3</v>
      </c>
      <c r="H937" s="14" t="str">
        <f>IFERROR(__xludf.DUMMYFUNCTION("""COMPUTED_VALUE"""),"高尾鷹浬")</f>
        <v>高尾鷹浬</v>
      </c>
      <c r="I937" s="14" t="str">
        <f>IFERROR(__xludf.DUMMYFUNCTION("""COMPUTED_VALUE"""),"女性")</f>
        <v>女性</v>
      </c>
      <c r="J937" s="14"/>
      <c r="K937" s="14"/>
      <c r="L937" s="14" t="str">
        <f>IFERROR(__xludf.DUMMYFUNCTION("""COMPUTED_VALUE"""),"Bevy")</f>
        <v>Bevy</v>
      </c>
      <c r="M937" s="21">
        <f>IFERROR(__xludf.DUMMYFUNCTION("""COMPUTED_VALUE"""),45303.0)</f>
        <v>45303</v>
      </c>
      <c r="N937" s="21">
        <f>IFERROR(__xludf.DUMMYFUNCTION("""COMPUTED_VALUE"""),45485.0)</f>
        <v>45485</v>
      </c>
      <c r="O937" s="16"/>
      <c r="P937" s="9" t="str">
        <f>IFERROR(__xludf.DUMMYFUNCTION("""COMPUTED_VALUE"""),"可")</f>
        <v>可</v>
      </c>
      <c r="Q937" s="8"/>
      <c r="R937" s="15"/>
      <c r="S937" s="8" t="str">
        <f>IFERROR(__xludf.DUMMYFUNCTION("""COMPUTED_VALUE"""),"20231129_Bevy_恋より熱い ニセモノ夫婦の燃え婚セイカツ")</f>
        <v>20231129_Bevy_恋より熱い ニセモノ夫婦の燃え婚セイカツ</v>
      </c>
      <c r="T937" s="15"/>
      <c r="U937" s="15" t="str">
        <f>IFERROR(__xludf.DUMMYFUNCTION("""COMPUTED_VALUE"""),"????高尾鷹浬")</f>
        <v>????高尾鷹浬</v>
      </c>
      <c r="V937" s="8" t="str">
        <f>IFERROR(__xludf.DUMMYFUNCTION("""COMPUTED_VALUE"""),"彼氏ナシ、貯金ナシ、手に職もナシ。そろそろ現実をみないと…そう思いながらも、絵本作家を夢見ているアラサー女子の希望（のぞみ）。ある日、家族が勝手に『花ムコ募集』をしてしまい！？エントリーしてきたのは11歳下のワケありボクサー龍仁（りゅうじん）。「やりたい事に本気なら、結婚すらも利用してみろよ」グイグイ迫ってくる彼に押され、お互いの夢のため、利害の一致で結婚することに。でも、いきなり始まった新婚セイカツは一つ屋根の下で二人っきりのうえ、布団の距離も近すぎで！？想像以上に接近戦な毎日は、いろんな意味でドキドキ"&amp;"しっぱなし…！冷めた夫婦関係のハズが、龍仁の熱は希望の心に火をつけて――。")</f>
        <v>彼氏ナシ、貯金ナシ、手に職もナシ。そろそろ現実をみないと…そう思いながらも、絵本作家を夢見ているアラサー女子の希望（のぞみ）。ある日、家族が勝手に『花ムコ募集』をしてしまい！？エントリーしてきたのは11歳下のワケありボクサー龍仁（りゅうじん）。「やりたい事に本気なら、結婚すらも利用してみろよ」グイグイ迫ってくる彼に押され、お互いの夢のため、利害の一致で結婚することに。でも、いきなり始まった新婚セイカツは一つ屋根の下で二人っきりのうえ、布団の距離も近すぎで！？想像以上に接近戦な毎日は、いろんな意味でドキドキしっぱなし…！冷めた夫婦関係のハズが、龍仁の熱は希望の心に火をつけて――。</v>
      </c>
      <c r="W937" s="14"/>
      <c r="X937" s="14" t="str">
        <f>IFERROR(__xludf.DUMMYFUNCTION("""COMPUTED_VALUE"""),"有")</f>
        <v>有</v>
      </c>
      <c r="Y937" s="8" t="str">
        <f>IFERROR(__xludf.DUMMYFUNCTION("""COMPUTED_VALUE"""),"2024/7/12まで1巻無料")</f>
        <v>2024/7/12まで1巻無料</v>
      </c>
      <c r="Z937" s="7"/>
      <c r="AA937" s="7"/>
      <c r="AB937" s="7"/>
    </row>
    <row r="938" ht="15.75" customHeight="1">
      <c r="A938" s="26">
        <f>IFERROR(__xludf.DUMMYFUNCTION("""COMPUTED_VALUE"""),2462.0)</f>
        <v>2462</v>
      </c>
      <c r="B938" s="22" t="str">
        <f>IFERROR(__xludf.DUMMYFUNCTION("""COMPUTED_VALUE"""),"確定")</f>
        <v>確定</v>
      </c>
      <c r="C938" s="28">
        <f>IFERROR(__xludf.DUMMYFUNCTION("""COMPUTED_VALUE"""),45203.0)</f>
        <v>45203</v>
      </c>
      <c r="D938" s="28">
        <f>IFERROR(__xludf.DUMMYFUNCTION("""COMPUTED_VALUE"""),45266.0)</f>
        <v>45266</v>
      </c>
      <c r="E938" s="31">
        <f>IFERROR(__xludf.DUMMYFUNCTION("""COMPUTED_VALUE"""),282240.0)</f>
        <v>282240</v>
      </c>
      <c r="F938" s="22" t="str">
        <f>IFERROR(__xludf.DUMMYFUNCTION("""COMPUTED_VALUE"""),"脱!? 溺甘オフィスラブ～ワイルド御曹司のハードな求愛～【分冊版】")</f>
        <v>脱!? 溺甘オフィスラブ～ワイルド御曹司のハードな求愛～【分冊版】</v>
      </c>
      <c r="G938" s="20" t="str">
        <f>IFERROR(__xludf.DUMMYFUNCTION("""COMPUTED_VALUE"""),"1~3")</f>
        <v>1~3</v>
      </c>
      <c r="H938" s="22" t="str">
        <f>IFERROR(__xludf.DUMMYFUNCTION("""COMPUTED_VALUE"""),"有沢 遼・藤谷 郁")</f>
        <v>有沢 遼・藤谷 郁</v>
      </c>
      <c r="I938" s="22" t="str">
        <f>IFERROR(__xludf.DUMMYFUNCTION("""COMPUTED_VALUE"""),"女性")</f>
        <v>女性</v>
      </c>
      <c r="J938" s="22"/>
      <c r="K938" s="22"/>
      <c r="L938" s="22" t="str">
        <f>IFERROR(__xludf.DUMMYFUNCTION("""COMPUTED_VALUE"""),"ハーパーコリンズ・ジャパン")</f>
        <v>ハーパーコリンズ・ジャパン</v>
      </c>
      <c r="M938" s="23">
        <f>IFERROR(__xludf.DUMMYFUNCTION("""COMPUTED_VALUE"""),45275.0)</f>
        <v>45275</v>
      </c>
      <c r="N938" s="23">
        <f>IFERROR(__xludf.DUMMYFUNCTION("""COMPUTED_VALUE"""),45337.0)</f>
        <v>45337</v>
      </c>
      <c r="O938" s="20"/>
      <c r="P938" s="32" t="str">
        <f>IFERROR(__xludf.DUMMYFUNCTION("""COMPUTED_VALUE"""),"可")</f>
        <v>可</v>
      </c>
      <c r="Q938" s="22"/>
      <c r="R938" s="22" t="str">
        <f>IFERROR(__xludf.DUMMYFUNCTION("""COMPUTED_VALUE"""),"格納済")</f>
        <v>格納済</v>
      </c>
      <c r="S938" s="22" t="str">
        <f>IFERROR(__xludf.DUMMYFUNCTION("""COMPUTED_VALUE"""),"20231130_ハーパーコリンズ_脱!溺甘オフィスラブ～ワイルド御曹司のハードな求愛～【分冊版】")</f>
        <v>20231130_ハーパーコリンズ_脱!溺甘オフィスラブ～ワイルド御曹司のハードな求愛～【分冊版】</v>
      </c>
      <c r="T938" s="22" t="str">
        <f>IFERROR(__xludf.DUMMYFUNCTION("""COMPUTED_VALUE"""),"格納済み")</f>
        <v>格納済み</v>
      </c>
      <c r="U938" s="15" t="str">
        <f>IFERROR(__xludf.DUMMYFUNCTION("""COMPUTED_VALUE"""),"（C)有沢 遼・藤谷 郁／ハーパーコリンズ・ジャパン")</f>
        <v>（C)有沢 遼・藤谷 郁／ハーパーコリンズ・ジャパン</v>
      </c>
      <c r="V938" s="8" t="str">
        <f>IFERROR(__xludf.DUMMYFUNCTION("""COMPUTED_VALUE"""),"「初めてか…じゃあ俺と体験してみる？」イケメン上司の驚きの提案とは!?
職場の仲よし友人グループでキャンプ場にやって来た結月。
役員秘書に抜擢されてから、関係がギクシャクしている友人の紗英や彼と仲直りできると信じていたけれど、彼の部屋で見たものは、紗英と彼の浮気現場だった！　寝盗ったことを勝ち誇るように紗英は結月をあざ笑い、開き直った彼は心無い言葉を浴びせてくる。そんな地獄のような空間から結月を救ったのは、キャンプ場の謎めいたイケメンのスタッフだった。――数か月後、居心地の悪さから退社した結月はイ"&amp;"ケメンの導きで転職を決意。役員面接で再会したイケメンの正体は入社先の御曹司であり部長・嶺人だった…！")</f>
        <v>「初めてか…じゃあ俺と体験してみる？」イケメン上司の驚きの提案とは!?
職場の仲よし友人グループでキャンプ場にやって来た結月。
役員秘書に抜擢されてから、関係がギクシャクしている友人の紗英や彼と仲直りできると信じていたけれど、彼の部屋で見たものは、紗英と彼の浮気現場だった！　寝盗ったことを勝ち誇るように紗英は結月をあざ笑い、開き直った彼は心無い言葉を浴びせてくる。そんな地獄のような空間から結月を救ったのは、キャンプ場の謎めいたイケメンのスタッフだった。――数か月後、居心地の悪さから退社した結月はイケメンの導きで転職を決意。役員面接で再会したイケメンの正体は入社先の御曹司であり部長・嶺人だった…！</v>
      </c>
      <c r="W938" s="14"/>
      <c r="X938" s="14" t="str">
        <f>IFERROR(__xludf.DUMMYFUNCTION("""COMPUTED_VALUE"""),"有")</f>
        <v>有</v>
      </c>
      <c r="Y938" s="8" t="str">
        <f>IFERROR(__xludf.DUMMYFUNCTION("""COMPUTED_VALUE"""),"P10まで")</f>
        <v>P10まで</v>
      </c>
      <c r="Z938" s="7"/>
      <c r="AA938" s="7"/>
      <c r="AB938" s="7"/>
    </row>
    <row r="939" ht="15.75" customHeight="1">
      <c r="A939" s="26">
        <f>IFERROR(__xludf.DUMMYFUNCTION("""COMPUTED_VALUE"""),2480.0)</f>
        <v>2480</v>
      </c>
      <c r="B939" s="22" t="str">
        <f>IFERROR(__xludf.DUMMYFUNCTION("""COMPUTED_VALUE"""),"確定")</f>
        <v>確定</v>
      </c>
      <c r="C939" s="28">
        <f>IFERROR(__xludf.DUMMYFUNCTION("""COMPUTED_VALUE"""),45204.0)</f>
        <v>45204</v>
      </c>
      <c r="D939" s="28">
        <f>IFERROR(__xludf.DUMMYFUNCTION("""COMPUTED_VALUE"""),45266.0)</f>
        <v>45266</v>
      </c>
      <c r="E939" s="31">
        <f>IFERROR(__xludf.DUMMYFUNCTION("""COMPUTED_VALUE"""),283716.0)</f>
        <v>283716</v>
      </c>
      <c r="F939" s="22" t="str">
        <f>IFERROR(__xludf.DUMMYFUNCTION("""COMPUTED_VALUE"""),"ギフテッド－相棒の遺したもの－")</f>
        <v>ギフテッド－相棒の遺したもの－</v>
      </c>
      <c r="G939" s="20" t="str">
        <f>IFERROR(__xludf.DUMMYFUNCTION("""COMPUTED_VALUE"""),"1~3")</f>
        <v>1~3</v>
      </c>
      <c r="H939" s="22" t="str">
        <f>IFERROR(__xludf.DUMMYFUNCTION("""COMPUTED_VALUE"""),"加東セツコ")</f>
        <v>加東セツコ</v>
      </c>
      <c r="I939" s="22" t="str">
        <f>IFERROR(__xludf.DUMMYFUNCTION("""COMPUTED_VALUE"""),"BL")</f>
        <v>BL</v>
      </c>
      <c r="J939" s="22"/>
      <c r="K939" s="22"/>
      <c r="L939" s="22" t="str">
        <f>IFERROR(__xludf.DUMMYFUNCTION("""COMPUTED_VALUE"""),"サード・ライン・ネクスト")</f>
        <v>サード・ライン・ネクスト</v>
      </c>
      <c r="M939" s="23">
        <f>IFERROR(__xludf.DUMMYFUNCTION("""COMPUTED_VALUE"""),45308.0)</f>
        <v>45308</v>
      </c>
      <c r="N939" s="23">
        <f>IFERROR(__xludf.DUMMYFUNCTION("""COMPUTED_VALUE"""),45367.0)</f>
        <v>45367</v>
      </c>
      <c r="O939" s="20"/>
      <c r="P939" s="29" t="str">
        <f>IFERROR(__xludf.DUMMYFUNCTION("""COMPUTED_VALUE"""),"可")</f>
        <v>可</v>
      </c>
      <c r="Q939" s="30" t="str">
        <f>IFERROR(__xludf.DUMMYFUNCTION("""COMPUTED_VALUE"""),"広告コミットOK(10/12)")</f>
        <v>広告コミットOK(10/12)</v>
      </c>
      <c r="R939" s="22"/>
      <c r="S939" s="22" t="str">
        <f>IFERROR(__xludf.DUMMYFUNCTION("""COMPUTED_VALUE"""),"20231205_サード・ライン・ネクスト_ギフテッド－相棒の遺したもの－")</f>
        <v>20231205_サード・ライン・ネクスト_ギフテッド－相棒の遺したもの－</v>
      </c>
      <c r="T939" s="31" t="str">
        <f>IFERROR(__xludf.DUMMYFUNCTION("""COMPUTED_VALUE"""),"格納済み")</f>
        <v>格納済み</v>
      </c>
      <c r="U939" s="15" t="str">
        <f>IFERROR(__xludf.DUMMYFUNCTION("""COMPUTED_VALUE"""),"©加東セツコ/Boy'sRecipe")</f>
        <v>©加東セツコ/Boy'sRecipe</v>
      </c>
      <c r="V939" s="8" t="str">
        <f>IFERROR(__xludf.DUMMYFUNCTION("""COMPUTED_VALUE"""),"公安特殊捜査班（特務四係）のベテラン捜査員：柳井は、とある事件で相棒である崎田を亡くしていた。事件以来、人を寄せ付けず一人で捜査を続ける柳井の元に新しい相棒として配属されたのは、亡き相棒と同じ顔を持つ男：三津沢だった。崎田を思わせる三津沢の存在に動揺する柳井だったが、行動を共にする中で三津沢の持つある能力を知ることになり…!?未解決の事件を追う公安特殊捜査班を舞台にしたサスペンスBL。")</f>
        <v>公安特殊捜査班（特務四係）のベテラン捜査員：柳井は、とある事件で相棒である崎田を亡くしていた。事件以来、人を寄せ付けず一人で捜査を続ける柳井の元に新しい相棒として配属されたのは、亡き相棒と同じ顔を持つ男：三津沢だった。崎田を思わせる三津沢の存在に動揺する柳井だったが、行動を共にする中で三津沢の持つある能力を知ることになり…!?未解決の事件を追う公安特殊捜査班を舞台にしたサスペンスBL。</v>
      </c>
      <c r="W939" s="14"/>
      <c r="X939" s="14" t="str">
        <f>IFERROR(__xludf.DUMMYFUNCTION("""COMPUTED_VALUE"""),"有")</f>
        <v>有</v>
      </c>
      <c r="Y939" s="8" t="str">
        <f>IFERROR(__xludf.DUMMYFUNCTION("""COMPUTED_VALUE"""),"2024/1/30まで1巻無料")</f>
        <v>2024/1/30まで1巻無料</v>
      </c>
      <c r="Z939" s="7"/>
      <c r="AA939" s="7"/>
      <c r="AB939" s="7"/>
    </row>
    <row r="940" ht="15.75" customHeight="1">
      <c r="A940" s="26">
        <f>IFERROR(__xludf.DUMMYFUNCTION("""COMPUTED_VALUE"""),2528.0)</f>
        <v>2528</v>
      </c>
      <c r="B940" s="22" t="str">
        <f>IFERROR(__xludf.DUMMYFUNCTION("""COMPUTED_VALUE"""),"確定")</f>
        <v>確定</v>
      </c>
      <c r="C940" s="28">
        <f>IFERROR(__xludf.DUMMYFUNCTION("""COMPUTED_VALUE"""),45215.0)</f>
        <v>45215</v>
      </c>
      <c r="D940" s="28">
        <f>IFERROR(__xludf.DUMMYFUNCTION("""COMPUTED_VALUE"""),45266.0)</f>
        <v>45266</v>
      </c>
      <c r="E940" s="31">
        <f>IFERROR(__xludf.DUMMYFUNCTION("""COMPUTED_VALUE"""),282656.0)</f>
        <v>282656</v>
      </c>
      <c r="F940" s="22" t="str">
        <f>IFERROR(__xludf.DUMMYFUNCTION("""COMPUTED_VALUE"""),"ゼロ距離から声でとかして")</f>
        <v>ゼロ距離から声でとかして</v>
      </c>
      <c r="G940" s="20">
        <f>IFERROR(__xludf.DUMMYFUNCTION("""COMPUTED_VALUE"""),1.0)</f>
        <v>1</v>
      </c>
      <c r="H940" s="22" t="str">
        <f>IFERROR(__xludf.DUMMYFUNCTION("""COMPUTED_VALUE"""),"佐々川かのこ")</f>
        <v>佐々川かのこ</v>
      </c>
      <c r="I940" s="22" t="str">
        <f>IFERROR(__xludf.DUMMYFUNCTION("""COMPUTED_VALUE"""),"BL")</f>
        <v>BL</v>
      </c>
      <c r="J940" s="22"/>
      <c r="K940" s="22"/>
      <c r="L940" s="22" t="str">
        <f>IFERROR(__xludf.DUMMYFUNCTION("""COMPUTED_VALUE"""),"from RED")</f>
        <v>from RED</v>
      </c>
      <c r="M940" s="23">
        <f>IFERROR(__xludf.DUMMYFUNCTION("""COMPUTED_VALUE"""),45282.0)</f>
        <v>45282</v>
      </c>
      <c r="N940" s="23">
        <f>IFERROR(__xludf.DUMMYFUNCTION("""COMPUTED_VALUE"""),45316.0)</f>
        <v>45316</v>
      </c>
      <c r="O940" s="20"/>
      <c r="P940" s="32" t="str">
        <f>IFERROR(__xludf.DUMMYFUNCTION("""COMPUTED_VALUE"""),"可")</f>
        <v>可</v>
      </c>
      <c r="Q940" s="30"/>
      <c r="R940" s="22"/>
      <c r="S940" s="22" t="str">
        <f>IFERROR(__xludf.DUMMYFUNCTION("""COMPUTED_VALUE"""),"20231130_シュークリーム_ゼロ距離から声でとかして")</f>
        <v>20231130_シュークリーム_ゼロ距離から声でとかして</v>
      </c>
      <c r="T940" s="22" t="str">
        <f>IFERROR(__xludf.DUMMYFUNCTION("""COMPUTED_VALUE"""),"格納済み")</f>
        <v>格納済み</v>
      </c>
      <c r="U940" s="15" t="str">
        <f>IFERROR(__xludf.DUMMYFUNCTION("""COMPUTED_VALUE"""),"（C）佐々川かのこ/from RED")</f>
        <v>（C）佐々川かのこ/from RED</v>
      </c>
      <c r="V940" s="8" t="str">
        <f>IFERROR(__xludf.DUMMYFUNCTION("""COMPUTED_VALUE"""),"ゲームが趣味の平凡大学生・古賀太陽の「推し」は、同じオンラインゲームでプレイしている「a_uさん」。
直接喋ったことはないけれど、優しくてゲームが上手くて、何より声が最高に良い……！
お近づきになってあんなことやこんなことを囁いてもらえたら…と、声フェチの太陽は密かに妄想を膨らませていた。
そんなある日、寝落ちしてる間にふたりきりになっていた「a_uさん」と通話することに！
夜通し話してリアルで会ってみることになるも、そこに現れたのは小学校時代の因縁の相手・内海絢斗で……！？
【俺様推しゲーマー×声フェチ"&amp;"妄想癖受】
嫌いなアイツの甘い声に逆らえない…！ もだキュン再会BL・開幕！")</f>
        <v>ゲームが趣味の平凡大学生・古賀太陽の「推し」は、同じオンラインゲームでプレイしている「a_uさん」。
直接喋ったことはないけれど、優しくてゲームが上手くて、何より声が最高に良い……！
お近づきになってあんなことやこんなことを囁いてもらえたら…と、声フェチの太陽は密かに妄想を膨らませていた。
そんなある日、寝落ちしてる間にふたりきりになっていた「a_uさん」と通話することに！
夜通し話してリアルで会ってみることになるも、そこに現れたのは小学校時代の因縁の相手・内海絢斗で……！？
【俺様推しゲーマー×声フェチ妄想癖受】
嫌いなアイツの甘い声に逆らえない…！ もだキュン再会BL・開幕！</v>
      </c>
      <c r="W940" s="14"/>
      <c r="X940" s="14" t="str">
        <f>IFERROR(__xludf.DUMMYFUNCTION("""COMPUTED_VALUE"""),"有")</f>
        <v>有</v>
      </c>
      <c r="Y940" s="8" t="str">
        <f>IFERROR(__xludf.DUMMYFUNCTION("""COMPUTED_VALUE"""),"P13まで")</f>
        <v>P13まで</v>
      </c>
      <c r="Z940" s="7"/>
      <c r="AA940" s="7"/>
      <c r="AB940" s="7"/>
    </row>
    <row r="941" ht="15.75" customHeight="1">
      <c r="A941" s="26">
        <f>IFERROR(__xludf.DUMMYFUNCTION("""COMPUTED_VALUE"""),2560.0)</f>
        <v>2560</v>
      </c>
      <c r="B941" s="22" t="str">
        <f>IFERROR(__xludf.DUMMYFUNCTION("""COMPUTED_VALUE"""),"確定")</f>
        <v>確定</v>
      </c>
      <c r="C941" s="28">
        <f>IFERROR(__xludf.DUMMYFUNCTION("""COMPUTED_VALUE"""),45223.0)</f>
        <v>45223</v>
      </c>
      <c r="D941" s="28">
        <f>IFERROR(__xludf.DUMMYFUNCTION("""COMPUTED_VALUE"""),45265.0)</f>
        <v>45265</v>
      </c>
      <c r="E941" s="31">
        <f>IFERROR(__xludf.DUMMYFUNCTION("""COMPUTED_VALUE"""),284938.0)</f>
        <v>284938</v>
      </c>
      <c r="F941" s="22" t="str">
        <f>IFERROR(__xludf.DUMMYFUNCTION("""COMPUTED_VALUE"""),"メルティホワイトアウト")</f>
        <v>メルティホワイトアウト</v>
      </c>
      <c r="G941" s="20">
        <f>IFERROR(__xludf.DUMMYFUNCTION("""COMPUTED_VALUE"""),1.0)</f>
        <v>1</v>
      </c>
      <c r="H941" s="22" t="str">
        <f>IFERROR(__xludf.DUMMYFUNCTION("""COMPUTED_VALUE"""),"鯛野ニッケ")</f>
        <v>鯛野ニッケ</v>
      </c>
      <c r="I941" s="22" t="str">
        <f>IFERROR(__xludf.DUMMYFUNCTION("""COMPUTED_VALUE"""),"BL")</f>
        <v>BL</v>
      </c>
      <c r="J941" s="22"/>
      <c r="K941" s="22"/>
      <c r="L941" s="22" t="str">
        <f>IFERROR(__xludf.DUMMYFUNCTION("""COMPUTED_VALUE"""),"新書館")</f>
        <v>新書館</v>
      </c>
      <c r="M941" s="23">
        <f>IFERROR(__xludf.DUMMYFUNCTION("""COMPUTED_VALUE"""),45317.0)</f>
        <v>45317</v>
      </c>
      <c r="N941" s="23">
        <f>IFERROR(__xludf.DUMMYFUNCTION("""COMPUTED_VALUE"""),45344.0)</f>
        <v>45344</v>
      </c>
      <c r="O941" s="20"/>
      <c r="P941" s="29" t="str">
        <f>IFERROR(__xludf.DUMMYFUNCTION("""COMPUTED_VALUE"""),"可")</f>
        <v>可</v>
      </c>
      <c r="Q941" s="30"/>
      <c r="R941" s="22"/>
      <c r="S941" s="30" t="str">
        <f>IFERROR(__xludf.DUMMYFUNCTION("""COMPUTED_VALUE"""),"20231205_新書館_メルティホワイトアウト")</f>
        <v>20231205_新書館_メルティホワイトアウト</v>
      </c>
      <c r="T941" s="22"/>
      <c r="U941" s="15" t="str">
        <f>IFERROR(__xludf.DUMMYFUNCTION("""COMPUTED_VALUE"""),"©鯛野ニッケ／新書館")</f>
        <v>©鯛野ニッケ／新書館</v>
      </c>
      <c r="V941" s="8" t="str">
        <f>IFERROR(__xludf.DUMMYFUNCTION("""COMPUTED_VALUE"""),"「劇団マチナカ」で脚本・演出をしている辰彦のもとに、ある日、声が出せなくなった超人気若手俳優・早坂真樹が現れる。５年前まで劇団にいた後輩で、理由も言わず何故か辰彦のもとに居座り始める。そんな中迎えた公演で、主演が急遽出られなくなるトラブルが発生し……！？　脚本・演出家×若手俳優の火照りとろける救済物語。（この作品はシェリプラス２０２３年９月号に収録されました。重複購入にはご注意ください）")</f>
        <v>「劇団マチナカ」で脚本・演出をしている辰彦のもとに、ある日、声が出せなくなった超人気若手俳優・早坂真樹が現れる。５年前まで劇団にいた後輩で、理由も言わず何故か辰彦のもとに居座り始める。そんな中迎えた公演で、主演が急遽出られなくなるトラブルが発生し……！？　脚本・演出家×若手俳優の火照りとろける救済物語。（この作品はシェリプラス２０２３年９月号に収録されました。重複購入にはご注意ください）</v>
      </c>
      <c r="W941" s="14"/>
      <c r="X941" s="14" t="str">
        <f>IFERROR(__xludf.DUMMYFUNCTION("""COMPUTED_VALUE"""),"有")</f>
        <v>有</v>
      </c>
      <c r="Y941" s="8" t="str">
        <f>IFERROR(__xludf.DUMMYFUNCTION("""COMPUTED_VALUE"""),"P4まで")</f>
        <v>P4まで</v>
      </c>
      <c r="Z941" s="7"/>
      <c r="AA941" s="7"/>
      <c r="AB941" s="7"/>
    </row>
    <row r="942" ht="15.75" customHeight="1">
      <c r="A942" s="26">
        <f>IFERROR(__xludf.DUMMYFUNCTION("""COMPUTED_VALUE"""),2583.0)</f>
        <v>2583</v>
      </c>
      <c r="B942" s="22" t="str">
        <f>IFERROR(__xludf.DUMMYFUNCTION("""COMPUTED_VALUE"""),"確定")</f>
        <v>確定</v>
      </c>
      <c r="C942" s="28">
        <f>IFERROR(__xludf.DUMMYFUNCTION("""COMPUTED_VALUE"""),45230.0)</f>
        <v>45230</v>
      </c>
      <c r="D942" s="28">
        <f>IFERROR(__xludf.DUMMYFUNCTION("""COMPUTED_VALUE"""),45264.0)</f>
        <v>45264</v>
      </c>
      <c r="E942" s="31">
        <f>IFERROR(__xludf.DUMMYFUNCTION("""COMPUTED_VALUE"""),283378.0)</f>
        <v>283378</v>
      </c>
      <c r="F942" s="22" t="str">
        <f>IFERROR(__xludf.DUMMYFUNCTION("""COMPUTED_VALUE"""),"地味巨乳のストーカー女に告白されたのでヤりまくってみた話")</f>
        <v>地味巨乳のストーカー女に告白されたのでヤりまくってみた話</v>
      </c>
      <c r="G942" s="11" t="str">
        <f>IFERROR(__xludf.DUMMYFUNCTION("""COMPUTED_VALUE"""),"1～2")</f>
        <v>1～2</v>
      </c>
      <c r="H942" s="22" t="str">
        <f>IFERROR(__xludf.DUMMYFUNCTION("""COMPUTED_VALUE"""),"ひよりハムスター")</f>
        <v>ひよりハムスター</v>
      </c>
      <c r="I942" s="22" t="str">
        <f>IFERROR(__xludf.DUMMYFUNCTION("""COMPUTED_VALUE"""),"オトナ")</f>
        <v>オトナ</v>
      </c>
      <c r="J942" s="22"/>
      <c r="K942" s="22"/>
      <c r="L942" s="22" t="str">
        <f>IFERROR(__xludf.DUMMYFUNCTION("""COMPUTED_VALUE"""),"ナイトコミック")</f>
        <v>ナイトコミック</v>
      </c>
      <c r="M942" s="23">
        <f>IFERROR(__xludf.DUMMYFUNCTION("""COMPUTED_VALUE"""),45296.0)</f>
        <v>45296</v>
      </c>
      <c r="N942" s="23">
        <f>IFERROR(__xludf.DUMMYFUNCTION("""COMPUTED_VALUE"""),45351.0)</f>
        <v>45351</v>
      </c>
      <c r="O942" s="20"/>
      <c r="P942" s="29" t="str">
        <f>IFERROR(__xludf.DUMMYFUNCTION("""COMPUTED_VALUE"""),"可")</f>
        <v>可</v>
      </c>
      <c r="Q942" s="30" t="str">
        <f>IFERROR(__xludf.DUMMYFUNCTION("""COMPUTED_VALUE"""),"広告コミットOK(11/16)")</f>
        <v>広告コミットOK(11/16)</v>
      </c>
      <c r="R942" s="22"/>
      <c r="S942" s="30" t="str">
        <f>IFERROR(__xludf.DUMMYFUNCTION("""COMPUTED_VALUE"""),"20231204_ナイトコミック_地味巨乳のストーカー女に告白されたのでヤりまくってみた話")</f>
        <v>20231204_ナイトコミック_地味巨乳のストーカー女に告白されたのでヤりまくってみた話</v>
      </c>
      <c r="T942" s="22"/>
      <c r="U942" s="15" t="str">
        <f>IFERROR(__xludf.DUMMYFUNCTION("""COMPUTED_VALUE"""),"©ひよりハムスター")</f>
        <v>©ひよりハムスター</v>
      </c>
      <c r="V942" s="8" t="str">
        <f>IFERROR(__xludf.DUMMYFUNCTION("""COMPUTED_VALUE"""),"陰キャの学生「小宮 優太」は彼女を作ることも童貞卒業も諦めていたが、ある日から自分をストーカーしている女の子「鈴原 真冬」の存在に気づく。「このストーカー女にならエッチな事しても許されるんじゃないか…？」そう思い、真冬を呼び止めた優太は勢いでカラオケボックスの中でセックスをしてしまう。なんだかんだで付き合うことになり、初デートに出かけてもネットカフェ、ラブホテルで一日中セックスしまくる。お互い経験の浅いふたりは歯止めが聞かず、とうとう最後には中で…！？")</f>
        <v>陰キャの学生「小宮 優太」は彼女を作ることも童貞卒業も諦めていたが、ある日から自分をストーカーしている女の子「鈴原 真冬」の存在に気づく。「このストーカー女にならエッチな事しても許されるんじゃないか…？」そう思い、真冬を呼び止めた優太は勢いでカラオケボックスの中でセックスをしてしまう。なんだかんだで付き合うことになり、初デートに出かけてもネットカフェ、ラブホテルで一日中セックスしまくる。お互い経験の浅いふたりは歯止めが聞かず、とうとう最後には中で…！？</v>
      </c>
      <c r="W942" s="14"/>
      <c r="X942" s="14" t="str">
        <f>IFERROR(__xludf.DUMMYFUNCTION("""COMPUTED_VALUE"""),"有")</f>
        <v>有</v>
      </c>
      <c r="Y942" s="8" t="str">
        <f>IFERROR(__xludf.DUMMYFUNCTION("""COMPUTED_VALUE"""),"P10まで")</f>
        <v>P10まで</v>
      </c>
      <c r="Z942" s="7"/>
      <c r="AA942" s="7"/>
      <c r="AB942" s="7"/>
    </row>
    <row r="943" ht="15.75" customHeight="1">
      <c r="A943" s="26">
        <f>IFERROR(__xludf.DUMMYFUNCTION("""COMPUTED_VALUE"""),2584.0)</f>
        <v>2584</v>
      </c>
      <c r="B943" s="22" t="str">
        <f>IFERROR(__xludf.DUMMYFUNCTION("""COMPUTED_VALUE"""),"確定")</f>
        <v>確定</v>
      </c>
      <c r="C943" s="28">
        <f>IFERROR(__xludf.DUMMYFUNCTION("""COMPUTED_VALUE"""),45230.0)</f>
        <v>45230</v>
      </c>
      <c r="D943" s="28">
        <f>IFERROR(__xludf.DUMMYFUNCTION("""COMPUTED_VALUE"""),45264.0)</f>
        <v>45264</v>
      </c>
      <c r="E943" s="31">
        <f>IFERROR(__xludf.DUMMYFUNCTION("""COMPUTED_VALUE"""),284019.0)</f>
        <v>284019</v>
      </c>
      <c r="F943" s="22" t="str">
        <f>IFERROR(__xludf.DUMMYFUNCTION("""COMPUTED_VALUE"""),"父親公認！長谷川さんちの母子関係")</f>
        <v>父親公認！長谷川さんちの母子関係</v>
      </c>
      <c r="G943" s="11" t="str">
        <f>IFERROR(__xludf.DUMMYFUNCTION("""COMPUTED_VALUE"""),"1～2")</f>
        <v>1～2</v>
      </c>
      <c r="H943" s="22" t="str">
        <f>IFERROR(__xludf.DUMMYFUNCTION("""COMPUTED_VALUE"""),"はいとく")</f>
        <v>はいとく</v>
      </c>
      <c r="I943" s="22" t="str">
        <f>IFERROR(__xludf.DUMMYFUNCTION("""COMPUTED_VALUE"""),"オトナ")</f>
        <v>オトナ</v>
      </c>
      <c r="J943" s="22"/>
      <c r="K943" s="22"/>
      <c r="L943" s="22" t="str">
        <f>IFERROR(__xludf.DUMMYFUNCTION("""COMPUTED_VALUE"""),"ナイトコミック")</f>
        <v>ナイトコミック</v>
      </c>
      <c r="M943" s="23">
        <f>IFERROR(__xludf.DUMMYFUNCTION("""COMPUTED_VALUE"""),45303.0)</f>
        <v>45303</v>
      </c>
      <c r="N943" s="23">
        <f>IFERROR(__xludf.DUMMYFUNCTION("""COMPUTED_VALUE"""),45358.0)</f>
        <v>45358</v>
      </c>
      <c r="O943" s="20"/>
      <c r="P943" s="29" t="str">
        <f>IFERROR(__xludf.DUMMYFUNCTION("""COMPUTED_VALUE"""),"可")</f>
        <v>可</v>
      </c>
      <c r="Q943" s="30" t="str">
        <f>IFERROR(__xludf.DUMMYFUNCTION("""COMPUTED_VALUE"""),"広告コミットOK(11/16)")</f>
        <v>広告コミットOK(11/16)</v>
      </c>
      <c r="R943" s="22"/>
      <c r="S943" s="30" t="str">
        <f>IFERROR(__xludf.DUMMYFUNCTION("""COMPUTED_VALUE"""),"20231204_ナイトコミック_父親公認！長谷川さんちの母子関係")</f>
        <v>20231204_ナイトコミック_父親公認！長谷川さんちの母子関係</v>
      </c>
      <c r="T943" s="22"/>
      <c r="U943" s="15" t="str">
        <f>IFERROR(__xludf.DUMMYFUNCTION("""COMPUTED_VALUE"""),"©はいとく先生")</f>
        <v>©はいとく先生</v>
      </c>
      <c r="V943" s="8" t="str">
        <f>IFERROR(__xludf.DUMMYFUNCTION("""COMPUTED_VALUE"""),"料理がうまくて、よく笑って、いつも優しくて美人な母さん。
そしてなんだかエロい母さん！
母さんとの情事を妄想していたら、父親に聞かれてしまい、
母さんとセックスしたいなら父さんに任せろと言われ…
寝取られ願望を持っていた父親が母さんを説得、
トントン拍子で本当にエッチすることになって…！？
「とりあえず…おっぱい見てみる？」
父親公認で禁断の関係が始まる…！！")</f>
        <v>料理がうまくて、よく笑って、いつも優しくて美人な母さん。
そしてなんだかエロい母さん！
母さんとの情事を妄想していたら、父親に聞かれてしまい、
母さんとセックスしたいなら父さんに任せろと言われ…
寝取られ願望を持っていた父親が母さんを説得、
トントン拍子で本当にエッチすることになって…！？
「とりあえず…おっぱい見てみる？」
父親公認で禁断の関係が始まる…！！</v>
      </c>
      <c r="W943" s="14"/>
      <c r="X943" s="14" t="str">
        <f>IFERROR(__xludf.DUMMYFUNCTION("""COMPUTED_VALUE"""),"有")</f>
        <v>有</v>
      </c>
      <c r="Y943" s="8" t="str">
        <f>IFERROR(__xludf.DUMMYFUNCTION("""COMPUTED_VALUE"""),"2024/1/25まで立ち読み増量
1巻P19まで
2巻P11")</f>
        <v>2024/1/25まで立ち読み増量
1巻P19まで
2巻P11</v>
      </c>
      <c r="Z943" s="7"/>
      <c r="AA943" s="7"/>
      <c r="AB943" s="7"/>
    </row>
    <row r="944" ht="15.75" customHeight="1">
      <c r="A944" s="26">
        <f>IFERROR(__xludf.DUMMYFUNCTION("""COMPUTED_VALUE"""),2594.0)</f>
        <v>2594</v>
      </c>
      <c r="B944" s="22" t="str">
        <f>IFERROR(__xludf.DUMMYFUNCTION("""COMPUTED_VALUE"""),"確定")</f>
        <v>確定</v>
      </c>
      <c r="C944" s="28">
        <f>IFERROR(__xludf.DUMMYFUNCTION("""COMPUTED_VALUE"""),45232.0)</f>
        <v>45232</v>
      </c>
      <c r="D944" s="28">
        <f>IFERROR(__xludf.DUMMYFUNCTION("""COMPUTED_VALUE"""),45261.0)</f>
        <v>45261</v>
      </c>
      <c r="E944" s="26">
        <f>IFERROR(__xludf.DUMMYFUNCTION("""COMPUTED_VALUE"""),188563.0)</f>
        <v>188563</v>
      </c>
      <c r="F944" s="22" t="str">
        <f>IFERROR(__xludf.DUMMYFUNCTION("""COMPUTED_VALUE"""),"溺れるキスに酔わされて【シーモア限定特典付き】【コミックス版】")</f>
        <v>溺れるキスに酔わされて【シーモア限定特典付き】【コミックス版】</v>
      </c>
      <c r="G944" s="20">
        <f>IFERROR(__xludf.DUMMYFUNCTION("""COMPUTED_VALUE"""),2.0)</f>
        <v>2</v>
      </c>
      <c r="H944" s="22" t="str">
        <f>IFERROR(__xludf.DUMMYFUNCTION("""COMPUTED_VALUE"""),"OOY")</f>
        <v>OOY</v>
      </c>
      <c r="I944" s="22" t="str">
        <f>IFERROR(__xludf.DUMMYFUNCTION("""COMPUTED_VALUE"""),"BL")</f>
        <v>BL</v>
      </c>
      <c r="J944" s="22"/>
      <c r="K944" s="22"/>
      <c r="L944" s="22" t="str">
        <f>IFERROR(__xludf.DUMMYFUNCTION("""COMPUTED_VALUE"""),"笠倉出版社")</f>
        <v>笠倉出版社</v>
      </c>
      <c r="M944" s="23">
        <f>IFERROR(__xludf.DUMMYFUNCTION("""COMPUTED_VALUE"""),45282.0)</f>
        <v>45282</v>
      </c>
      <c r="N944" s="23">
        <f>IFERROR(__xludf.DUMMYFUNCTION("""COMPUTED_VALUE"""),2958465.0)</f>
        <v>2958465</v>
      </c>
      <c r="O944" s="20"/>
      <c r="P944" s="29" t="str">
        <f>IFERROR(__xludf.DUMMYFUNCTION("""COMPUTED_VALUE"""),"可")</f>
        <v>可</v>
      </c>
      <c r="Q944" s="30" t="str">
        <f>IFERROR(__xludf.DUMMYFUNCTION("""COMPUTED_VALUE"""),"シーモア限定BOOKです")</f>
        <v>シーモア限定BOOKです</v>
      </c>
      <c r="R944" s="22"/>
      <c r="S944" s="22" t="str">
        <f>IFERROR(__xludf.DUMMYFUNCTION("""COMPUTED_VALUE"""),"20231201_笠倉出版社_溺れるキスに酔わされて いちゃえろ社員旅行編【シーモア限定BOOK】")</f>
        <v>20231201_笠倉出版社_溺れるキスに酔わされて いちゃえろ社員旅行編【シーモア限定BOOK】</v>
      </c>
      <c r="T944" s="22" t="str">
        <f>IFERROR(__xludf.DUMMYFUNCTION("""COMPUTED_VALUE"""),"格納済")</f>
        <v>格納済</v>
      </c>
      <c r="U944" s="15" t="str">
        <f>IFERROR(__xludf.DUMMYFUNCTION("""COMPUTED_VALUE"""),"（C)OOY/笠倉出版社")</f>
        <v>（C)OOY/笠倉出版社</v>
      </c>
      <c r="V944" s="8" t="str">
        <f>IFERROR(__xludf.DUMMYFUNCTION("""COMPUTED_VALUE"""),"「俺のキスがそんなになるほど良かったか？」アダルトグッズメーカーの新入社員である稲葉陽太は、仕事で結果が出せないのが最大の悩み。自分をかってくれたエースの柴に叱責されつつ、気持ちに報いたいと奔走していた。ある日、会社の飲み会で酔った柴がキス魔だと知らされ、濃厚な洗礼を受けたことで思わず勃起！「キス一つでおっ勃ってて…これじゃウチの営業は大変だろ？」そのままアレを激しく弄られ、何度もイかされてしまって――！？イケメン上司(キス魔で既婚者？！)×チェリー部下この人のキスが、きもち良すぎておかしくなりそう！甘々"&amp;"えっちなコミックス描き下ろし7P収録！更に電子配信版でしか読めない限定漫画＋シーモア限定特典付き。")</f>
        <v>「俺のキスがそんなになるほど良かったか？」アダルトグッズメーカーの新入社員である稲葉陽太は、仕事で結果が出せないのが最大の悩み。自分をかってくれたエースの柴に叱責されつつ、気持ちに報いたいと奔走していた。ある日、会社の飲み会で酔った柴がキス魔だと知らされ、濃厚な洗礼を受けたことで思わず勃起！「キス一つでおっ勃ってて…これじゃウチの営業は大変だろ？」そのままアレを激しく弄られ、何度もイかされてしまって――！？イケメン上司(キス魔で既婚者？！)×チェリー部下この人のキスが、きもち良すぎておかしくなりそう！甘々えっちなコミックス描き下ろし7P収録！更に電子配信版でしか読めない限定漫画＋シーモア限定特典付き。</v>
      </c>
      <c r="W944" s="14"/>
      <c r="X944" s="14" t="str">
        <f>IFERROR(__xludf.DUMMYFUNCTION("""COMPUTED_VALUE"""),"有")</f>
        <v>有</v>
      </c>
      <c r="Y944" s="8" t="str">
        <f>IFERROR(__xludf.DUMMYFUNCTION("""COMPUTED_VALUE"""),"2024/1/22まで立ち読み増量P30まで")</f>
        <v>2024/1/22まで立ち読み増量P30まで</v>
      </c>
      <c r="Z944" s="7"/>
      <c r="AA944" s="7"/>
      <c r="AB944" s="7"/>
    </row>
    <row r="945" ht="15.75" customHeight="1">
      <c r="A945" s="26">
        <f>IFERROR(__xludf.DUMMYFUNCTION("""COMPUTED_VALUE"""),2596.0)</f>
        <v>2596</v>
      </c>
      <c r="B945" s="22" t="str">
        <f>IFERROR(__xludf.DUMMYFUNCTION("""COMPUTED_VALUE"""),"確定")</f>
        <v>確定</v>
      </c>
      <c r="C945" s="28">
        <f>IFERROR(__xludf.DUMMYFUNCTION("""COMPUTED_VALUE"""),45232.0)</f>
        <v>45232</v>
      </c>
      <c r="D945" s="28">
        <f>IFERROR(__xludf.DUMMYFUNCTION("""COMPUTED_VALUE"""),45266.0)</f>
        <v>45266</v>
      </c>
      <c r="E945" s="31">
        <f>IFERROR(__xludf.DUMMYFUNCTION("""COMPUTED_VALUE"""),283736.0)</f>
        <v>283736</v>
      </c>
      <c r="F945" s="22" t="str">
        <f>IFERROR(__xludf.DUMMYFUNCTION("""COMPUTED_VALUE"""),"炎上教師に恋なんて【マイクロ】")</f>
        <v>炎上教師に恋なんて【マイクロ】</v>
      </c>
      <c r="G945" s="16" t="str">
        <f>IFERROR(__xludf.DUMMYFUNCTION("""COMPUTED_VALUE"""),"1～3")</f>
        <v>1～3</v>
      </c>
      <c r="H945" s="22" t="str">
        <f>IFERROR(__xludf.DUMMYFUNCTION("""COMPUTED_VALUE"""),"大島ニコラ")</f>
        <v>大島ニコラ</v>
      </c>
      <c r="I945" s="22" t="str">
        <f>IFERROR(__xludf.DUMMYFUNCTION("""COMPUTED_VALUE"""),"少女")</f>
        <v>少女</v>
      </c>
      <c r="J945" s="22"/>
      <c r="K945" s="22"/>
      <c r="L945" s="22" t="str">
        <f>IFERROR(__xludf.DUMMYFUNCTION("""COMPUTED_VALUE"""),"小学館")</f>
        <v>小学館</v>
      </c>
      <c r="M945" s="23">
        <f>IFERROR(__xludf.DUMMYFUNCTION("""COMPUTED_VALUE"""),45296.0)</f>
        <v>45296</v>
      </c>
      <c r="N945" s="33">
        <f>IFERROR(__xludf.DUMMYFUNCTION("""COMPUTED_VALUE"""),45355.0)</f>
        <v>45355</v>
      </c>
      <c r="O945" s="20"/>
      <c r="P945" s="29" t="str">
        <f>IFERROR(__xludf.DUMMYFUNCTION("""COMPUTED_VALUE"""),"可")</f>
        <v>可</v>
      </c>
      <c r="Q945" s="30" t="str">
        <f>IFERROR(__xludf.DUMMYFUNCTION("""COMPUTED_VALUE"""),"広告コミットOK(11/9)&lt;BR&gt;先行配信開始日：2024年1月以降→2024/1/5に変更（11/15）&lt;BR&gt;アダルト媒体での出稿可否：否→可に変更（11/15）&lt;BR&gt;&lt;BR&gt;《その他》&lt;BR&gt;・価格施策：初回2ヵ月先行期間中、1巻目のストリーミング無料OK")</f>
        <v>広告コミットOK(11/9)&lt;BR&gt;先行配信開始日：2024年1月以降→2024/1/5に変更（11/15）&lt;BR&gt;アダルト媒体での出稿可否：否→可に変更（11/15）&lt;BR&gt;&lt;BR&gt;《その他》&lt;BR&gt;・価格施策：初回2ヵ月先行期間中、1巻目のストリーミング無料OK</v>
      </c>
      <c r="R945" s="22"/>
      <c r="S945" s="22" t="str">
        <f>IFERROR(__xludf.DUMMYFUNCTION("""COMPUTED_VALUE"""),"20231206_小学館_炎上教師に恋なんて【マイクロ】")</f>
        <v>20231206_小学館_炎上教師に恋なんて【マイクロ】</v>
      </c>
      <c r="T945" s="22" t="str">
        <f>IFERROR(__xludf.DUMMYFUNCTION("""COMPUTED_VALUE"""),"格納済")</f>
        <v>格納済</v>
      </c>
      <c r="U945" s="15" t="str">
        <f>IFERROR(__xludf.DUMMYFUNCTION("""COMPUTED_VALUE"""),"(C)大島ニコラ / 小学館")</f>
        <v>(C)大島ニコラ / 小学館</v>
      </c>
      <c r="V945" s="8" t="str">
        <f>IFERROR(__xludf.DUMMYFUNCTION("""COMPUTED_VALUE"""),"言いたいことなら沢山ある。でも正直に言ったら炎上する。それなら言わない方が賢い生き方でしょ？そう思って本音を出さずに生きてきた高校生の葵は、彼氏のワガママに応えたせいで危ない目に遭ってしまう。助けてくれた男性・関は、初対面にもかかわらず「お前馬鹿か？」と発破をかけてきて！？しかも関はクラスの担任に！？本音教師×建前JKの反抗的ラブ！！")</f>
        <v>言いたいことなら沢山ある。でも正直に言ったら炎上する。それなら言わない方が賢い生き方でしょ？そう思って本音を出さずに生きてきた高校生の葵は、彼氏のワガママに応えたせいで危ない目に遭ってしまう。助けてくれた男性・関は、初対面にもかかわらず「お前馬鹿か？」と発破をかけてきて！？しかも関はクラスの担任に！？本音教師×建前JKの反抗的ラブ！！</v>
      </c>
      <c r="W945" s="14"/>
      <c r="X945" s="14" t="str">
        <f>IFERROR(__xludf.DUMMYFUNCTION("""COMPUTED_VALUE"""),"有")</f>
        <v>有</v>
      </c>
      <c r="Y945" s="8" t="str">
        <f>IFERROR(__xludf.DUMMYFUNCTION("""COMPUTED_VALUE"""),"2024/3/4まで1巻無料")</f>
        <v>2024/3/4まで1巻無料</v>
      </c>
      <c r="Z945" s="7"/>
      <c r="AA945" s="7"/>
      <c r="AB945" s="7"/>
    </row>
    <row r="946" ht="15.75" customHeight="1">
      <c r="A946" s="26">
        <f>IFERROR(__xludf.DUMMYFUNCTION("""COMPUTED_VALUE"""),2597.0)</f>
        <v>2597</v>
      </c>
      <c r="B946" s="22" t="str">
        <f>IFERROR(__xludf.DUMMYFUNCTION("""COMPUTED_VALUE"""),"確定")</f>
        <v>確定</v>
      </c>
      <c r="C946" s="28">
        <f>IFERROR(__xludf.DUMMYFUNCTION("""COMPUTED_VALUE"""),45232.0)</f>
        <v>45232</v>
      </c>
      <c r="D946" s="28">
        <f>IFERROR(__xludf.DUMMYFUNCTION("""COMPUTED_VALUE"""),45266.0)</f>
        <v>45266</v>
      </c>
      <c r="E946" s="31">
        <f>IFERROR(__xludf.DUMMYFUNCTION("""COMPUTED_VALUE"""),283735.0)</f>
        <v>283735</v>
      </c>
      <c r="F946" s="22" t="str">
        <f>IFERROR(__xludf.DUMMYFUNCTION("""COMPUTED_VALUE"""),"すきありです五十嵐先輩【マイクロ】")</f>
        <v>すきありです五十嵐先輩【マイクロ】</v>
      </c>
      <c r="G946" s="16" t="str">
        <f>IFERROR(__xludf.DUMMYFUNCTION("""COMPUTED_VALUE"""),"1～3")</f>
        <v>1～3</v>
      </c>
      <c r="H946" s="22" t="str">
        <f>IFERROR(__xludf.DUMMYFUNCTION("""COMPUTED_VALUE"""),"大河きっぷ")</f>
        <v>大河きっぷ</v>
      </c>
      <c r="I946" s="22" t="str">
        <f>IFERROR(__xludf.DUMMYFUNCTION("""COMPUTED_VALUE"""),"少女")</f>
        <v>少女</v>
      </c>
      <c r="J946" s="22"/>
      <c r="K946" s="22"/>
      <c r="L946" s="22" t="str">
        <f>IFERROR(__xludf.DUMMYFUNCTION("""COMPUTED_VALUE"""),"小学館")</f>
        <v>小学館</v>
      </c>
      <c r="M946" s="23">
        <f>IFERROR(__xludf.DUMMYFUNCTION("""COMPUTED_VALUE"""),45296.0)</f>
        <v>45296</v>
      </c>
      <c r="N946" s="33">
        <f>IFERROR(__xludf.DUMMYFUNCTION("""COMPUTED_VALUE"""),45355.0)</f>
        <v>45355</v>
      </c>
      <c r="O946" s="20"/>
      <c r="P946" s="29" t="str">
        <f>IFERROR(__xludf.DUMMYFUNCTION("""COMPUTED_VALUE"""),"可")</f>
        <v>可</v>
      </c>
      <c r="Q946" s="30" t="str">
        <f>IFERROR(__xludf.DUMMYFUNCTION("""COMPUTED_VALUE"""),"広告コミットOK(11/9)&lt;BR&gt;先行配信開始日：2024年1月以降→2024/1/5に変更（11/15）&lt;BR&gt;アダルト媒体での出稿可否：否→可に変更（11/15）&lt;BR&gt;&lt;BR&gt;《その他》&lt;BR&gt;・価格施策：初回2ヵ月先行期間中、1巻目のストリーミング無料OK")</f>
        <v>広告コミットOK(11/9)&lt;BR&gt;先行配信開始日：2024年1月以降→2024/1/5に変更（11/15）&lt;BR&gt;アダルト媒体での出稿可否：否→可に変更（11/15）&lt;BR&gt;&lt;BR&gt;《その他》&lt;BR&gt;・価格施策：初回2ヵ月先行期間中、1巻目のストリーミング無料OK</v>
      </c>
      <c r="R946" s="22"/>
      <c r="S946" s="22" t="str">
        <f>IFERROR(__xludf.DUMMYFUNCTION("""COMPUTED_VALUE"""),"20231206_小学館_すきありです五十嵐先輩【マイクロ】")</f>
        <v>20231206_小学館_すきありです五十嵐先輩【マイクロ】</v>
      </c>
      <c r="T946" s="22" t="str">
        <f>IFERROR(__xludf.DUMMYFUNCTION("""COMPUTED_VALUE"""),"格納済")</f>
        <v>格納済</v>
      </c>
      <c r="U946" s="15" t="str">
        <f>IFERROR(__xludf.DUMMYFUNCTION("""COMPUTED_VALUE"""),"(C)大河きっぷ / 小学館")</f>
        <v>(C)大河きっぷ / 小学館</v>
      </c>
      <c r="V946" s="8" t="str">
        <f>IFERROR(__xludf.DUMMYFUNCTION("""COMPUTED_VALUE"""),"好きになったら一直線！だけどすぐにフラれてしまう一花。こんな自分を好きになってくれる人はいないのかな、と思いながらいつも通り美術室で絵を描いていたら、超有名な孤高の王子・五十嵐先輩がやってきて、「お前の絵が好きだ」と言ってきて！？しかも恋におちた一花は、今回は何が何でも成就させようと、絵をあげることを条件に、「1ヶ月限定で付き合ってほしい」と提案！1ヶ月で孤高の王子をオトせる！？猪突猛進女子×隙ありドライ男子のつけ込みラブ☆")</f>
        <v>好きになったら一直線！だけどすぐにフラれてしまう一花。こんな自分を好きになってくれる人はいないのかな、と思いながらいつも通り美術室で絵を描いていたら、超有名な孤高の王子・五十嵐先輩がやってきて、「お前の絵が好きだ」と言ってきて！？しかも恋におちた一花は、今回は何が何でも成就させようと、絵をあげることを条件に、「1ヶ月限定で付き合ってほしい」と提案！1ヶ月で孤高の王子をオトせる！？猪突猛進女子×隙ありドライ男子のつけ込みラブ☆</v>
      </c>
      <c r="W946" s="14"/>
      <c r="X946" s="14" t="str">
        <f>IFERROR(__xludf.DUMMYFUNCTION("""COMPUTED_VALUE"""),"有")</f>
        <v>有</v>
      </c>
      <c r="Y946" s="8" t="str">
        <f>IFERROR(__xludf.DUMMYFUNCTION("""COMPUTED_VALUE"""),"2024/3/4まで1巻無料")</f>
        <v>2024/3/4まで1巻無料</v>
      </c>
      <c r="Z946" s="7"/>
      <c r="AA946" s="7"/>
      <c r="AB946" s="7"/>
    </row>
    <row r="947" ht="100.5" customHeight="1">
      <c r="A947" s="26">
        <f>IFERROR(__xludf.DUMMYFUNCTION("""COMPUTED_VALUE"""),2598.0)</f>
        <v>2598</v>
      </c>
      <c r="B947" s="22" t="str">
        <f>IFERROR(__xludf.DUMMYFUNCTION("""COMPUTED_VALUE"""),"確定")</f>
        <v>確定</v>
      </c>
      <c r="C947" s="28">
        <f>IFERROR(__xludf.DUMMYFUNCTION("""COMPUTED_VALUE"""),45232.0)</f>
        <v>45232</v>
      </c>
      <c r="D947" s="28">
        <f>IFERROR(__xludf.DUMMYFUNCTION("""COMPUTED_VALUE"""),45266.0)</f>
        <v>45266</v>
      </c>
      <c r="E947" s="31">
        <f>IFERROR(__xludf.DUMMYFUNCTION("""COMPUTED_VALUE"""),283737.0)</f>
        <v>283737</v>
      </c>
      <c r="F947" s="22" t="str">
        <f>IFERROR(__xludf.DUMMYFUNCTION("""COMPUTED_VALUE"""),"年下旦那様がヤンデレすぎてぎゅんぎゅんです【マイクロ】")</f>
        <v>年下旦那様がヤンデレすぎてぎゅんぎゅんです【マイクロ】</v>
      </c>
      <c r="G947" s="16" t="str">
        <f>IFERROR(__xludf.DUMMYFUNCTION("""COMPUTED_VALUE"""),"1～3")</f>
        <v>1～3</v>
      </c>
      <c r="H947" s="22" t="str">
        <f>IFERROR(__xludf.DUMMYFUNCTION("""COMPUTED_VALUE"""),"みなとゆみ")</f>
        <v>みなとゆみ</v>
      </c>
      <c r="I947" s="22" t="str">
        <f>IFERROR(__xludf.DUMMYFUNCTION("""COMPUTED_VALUE"""),"少女")</f>
        <v>少女</v>
      </c>
      <c r="J947" s="22"/>
      <c r="K947" s="22"/>
      <c r="L947" s="22" t="str">
        <f>IFERROR(__xludf.DUMMYFUNCTION("""COMPUTED_VALUE"""),"小学館")</f>
        <v>小学館</v>
      </c>
      <c r="M947" s="23">
        <f>IFERROR(__xludf.DUMMYFUNCTION("""COMPUTED_VALUE"""),45296.0)</f>
        <v>45296</v>
      </c>
      <c r="N947" s="33">
        <f>IFERROR(__xludf.DUMMYFUNCTION("""COMPUTED_VALUE"""),45355.0)</f>
        <v>45355</v>
      </c>
      <c r="O947" s="20"/>
      <c r="P947" s="29" t="str">
        <f>IFERROR(__xludf.DUMMYFUNCTION("""COMPUTED_VALUE"""),"可")</f>
        <v>可</v>
      </c>
      <c r="Q947" s="30" t="str">
        <f>IFERROR(__xludf.DUMMYFUNCTION("""COMPUTED_VALUE"""),"広告コミットOK(11/9)&lt;BR&gt;先行配信開始日：2024年1月以降→2024/1/5に変更（11/15）&lt;BR&gt;アダルト媒体での出稿可否：否→可に変更（11/15）&lt;BR&gt;&lt;BR&gt;《その他》&lt;BR&gt;・価格施策：初回2ヵ月先行期間中、1巻目のストリーミング無料OK")</f>
        <v>広告コミットOK(11/9)&lt;BR&gt;先行配信開始日：2024年1月以降→2024/1/5に変更（11/15）&lt;BR&gt;アダルト媒体での出稿可否：否→可に変更（11/15）&lt;BR&gt;&lt;BR&gt;《その他》&lt;BR&gt;・価格施策：初回2ヵ月先行期間中、1巻目のストリーミング無料OK</v>
      </c>
      <c r="R947" s="22"/>
      <c r="S947" s="22" t="str">
        <f>IFERROR(__xludf.DUMMYFUNCTION("""COMPUTED_VALUE"""),"20231206_小学館_年下旦那様がヤンデレすぎてぎゅんぎゅんです【マイクロ】")</f>
        <v>20231206_小学館_年下旦那様がヤンデレすぎてぎゅんぎゅんです【マイクロ】</v>
      </c>
      <c r="T947" s="22" t="str">
        <f>IFERROR(__xludf.DUMMYFUNCTION("""COMPUTED_VALUE"""),"格納済")</f>
        <v>格納済</v>
      </c>
      <c r="U947" s="15" t="str">
        <f>IFERROR(__xludf.DUMMYFUNCTION("""COMPUTED_VALUE"""),"(C)みなとゆみ / 小学館")</f>
        <v>(C)みなとゆみ / 小学館</v>
      </c>
      <c r="V947" s="8" t="str">
        <f>IFERROR(__xludf.DUMMYFUNCTION("""COMPUTED_VALUE"""),"仕事・彼氏・家を1日にして全てなくしてしまった天涯孤独のアラサー女子、小春。もう誰も自分を必要となんてしない・・・そう思っていたが、10年前に唯一慕ってくれていた男の子・千秋が成長して現れ、「小春ちゃんのすべてが欲しい」と言ってきて＿＿！？自己肯定感クソ低めアラサー女子×執着心ヤバめな年下男子の激甘ヤンデレ新婚ラブ▼")</f>
        <v>仕事・彼氏・家を1日にして全てなくしてしまった天涯孤独のアラサー女子、小春。もう誰も自分を必要となんてしない・・・そう思っていたが、10年前に唯一慕ってくれていた男の子・千秋が成長して現れ、「小春ちゃんのすべてが欲しい」と言ってきて＿＿！？自己肯定感クソ低めアラサー女子×執着心ヤバめな年下男子の激甘ヤンデレ新婚ラブ▼</v>
      </c>
      <c r="W947" s="14"/>
      <c r="X947" s="14" t="str">
        <f>IFERROR(__xludf.DUMMYFUNCTION("""COMPUTED_VALUE"""),"有")</f>
        <v>有</v>
      </c>
      <c r="Y947" s="8" t="str">
        <f>IFERROR(__xludf.DUMMYFUNCTION("""COMPUTED_VALUE"""),"2024/3/4まで1巻無料")</f>
        <v>2024/3/4まで1巻無料</v>
      </c>
      <c r="Z947" s="7"/>
      <c r="AA947" s="7"/>
      <c r="AB947" s="7"/>
    </row>
    <row r="948" ht="15.75" customHeight="1">
      <c r="A948" s="26">
        <f>IFERROR(__xludf.DUMMYFUNCTION("""COMPUTED_VALUE"""),2616.0)</f>
        <v>2616</v>
      </c>
      <c r="B948" s="22" t="str">
        <f>IFERROR(__xludf.DUMMYFUNCTION("""COMPUTED_VALUE"""),"確定")</f>
        <v>確定</v>
      </c>
      <c r="C948" s="28">
        <f>IFERROR(__xludf.DUMMYFUNCTION("""COMPUTED_VALUE"""),45237.0)</f>
        <v>45237</v>
      </c>
      <c r="D948" s="28">
        <f>IFERROR(__xludf.DUMMYFUNCTION("""COMPUTED_VALUE"""),45259.0)</f>
        <v>45259</v>
      </c>
      <c r="E948" s="31">
        <f>IFERROR(__xludf.DUMMYFUNCTION("""COMPUTED_VALUE"""),283740.0)</f>
        <v>283740</v>
      </c>
      <c r="F948" s="22" t="str">
        <f>IFERROR(__xludf.DUMMYFUNCTION("""COMPUTED_VALUE"""),"あざかわDomに気をつけろ！")</f>
        <v>あざかわDomに気をつけろ！</v>
      </c>
      <c r="G948" s="20" t="str">
        <f>IFERROR(__xludf.DUMMYFUNCTION("""COMPUTED_VALUE"""),"1~3")</f>
        <v>1~3</v>
      </c>
      <c r="H948" s="22" t="str">
        <f>IFERROR(__xludf.DUMMYFUNCTION("""COMPUTED_VALUE"""),"たさきまざー")</f>
        <v>たさきまざー</v>
      </c>
      <c r="I948" s="22" t="str">
        <f>IFERROR(__xludf.DUMMYFUNCTION("""COMPUTED_VALUE"""),"BL")</f>
        <v>BL</v>
      </c>
      <c r="J948" s="22"/>
      <c r="K948" s="22"/>
      <c r="L948" s="22" t="str">
        <f>IFERROR(__xludf.DUMMYFUNCTION("""COMPUTED_VALUE"""),"forcs")</f>
        <v>forcs</v>
      </c>
      <c r="M948" s="21">
        <f>IFERROR(__xludf.DUMMYFUNCTION("""COMPUTED_VALUE"""),45302.0)</f>
        <v>45302</v>
      </c>
      <c r="N948" s="33">
        <f>IFERROR(__xludf.DUMMYFUNCTION("""COMPUTED_VALUE"""),45358.0)</f>
        <v>45358</v>
      </c>
      <c r="O948" s="20"/>
      <c r="P948" s="29" t="str">
        <f>IFERROR(__xludf.DUMMYFUNCTION("""COMPUTED_VALUE"""),"可")</f>
        <v>可</v>
      </c>
      <c r="Q948" s="22" t="str">
        <f>IFERROR(__xludf.DUMMYFUNCTION("""COMPUTED_VALUE"""),"広告コミットOK(11/14)")</f>
        <v>広告コミットOK(11/14)</v>
      </c>
      <c r="R948" s="22" t="str">
        <f>IFERROR(__xludf.DUMMYFUNCTION("""COMPUTED_VALUE"""),"格納済み")</f>
        <v>格納済み</v>
      </c>
      <c r="S948" s="22" t="str">
        <f>IFERROR(__xludf.DUMMYFUNCTION("""COMPUTED_VALUE"""),"20231129_forcs_あざかわDomに気をつけろ！")</f>
        <v>20231129_forcs_あざかわDomに気をつけろ！</v>
      </c>
      <c r="T948" s="31" t="str">
        <f>IFERROR(__xludf.DUMMYFUNCTION("""COMPUTED_VALUE"""),"校了済")</f>
        <v>校了済</v>
      </c>
      <c r="U948" s="15" t="str">
        <f>IFERROR(__xludf.DUMMYFUNCTION("""COMPUTED_VALUE"""),"(C)たさきまざー/forcs")</f>
        <v>(C)たさきまざー/forcs</v>
      </c>
      <c r="V948" s="8" t="str">
        <f>IFERROR(__xludf.DUMMYFUNCTION("""COMPUTED_VALUE"""),"かわいい顔してヤリチンDomな理央(りお)は、その容姿のせいで好みのタイプである細マッチョにモテず嫌気がさしていた。
そんな時サブ不安症で倒れた不愛想で無口な陰キャSub・誠大(まさひろ)を助ける。
第二の性のことも分からずプレイ未経験の誠大のために、理央は興味本位からプレイをしてあげることにするが…、調子に乗って服をめくってみると誠大は理想的すぎる腹筋に魅惑のえろぼくろを携えた完璧な細マッチョだった…！
あざとかわいい理央とDom/Sub初心者の誠大のピュアすぎる恋が始まる！？
細マッチョ好きの"&amp;"カワイイ系Dom×隠れ細マッチョのツンデレ陰キャSubのDom/Subラブコメ！")</f>
        <v>かわいい顔してヤリチンDomな理央(りお)は、その容姿のせいで好みのタイプである細マッチョにモテず嫌気がさしていた。
そんな時サブ不安症で倒れた不愛想で無口な陰キャSub・誠大(まさひろ)を助ける。
第二の性のことも分からずプレイ未経験の誠大のために、理央は興味本位からプレイをしてあげることにするが…、調子に乗って服をめくってみると誠大は理想的すぎる腹筋に魅惑のえろぼくろを携えた完璧な細マッチョだった…！
あざとかわいい理央とDom/Sub初心者の誠大のピュアすぎる恋が始まる！？
細マッチョ好きのカワイイ系Dom×隠れ細マッチョのツンデレ陰キャSubのDom/Subラブコメ！</v>
      </c>
      <c r="W948" s="14"/>
      <c r="X948" s="14" t="str">
        <f>IFERROR(__xludf.DUMMYFUNCTION("""COMPUTED_VALUE"""),"有")</f>
        <v>有</v>
      </c>
      <c r="Y948" s="8" t="str">
        <f>IFERROR(__xludf.DUMMYFUNCTION("""COMPUTED_VALUE"""),"2024/1/26まで1巻無料")</f>
        <v>2024/1/26まで1巻無料</v>
      </c>
      <c r="Z948" s="7"/>
      <c r="AA948" s="7"/>
      <c r="AB948" s="7"/>
    </row>
    <row r="949" ht="15.75" customHeight="1">
      <c r="A949" s="26">
        <f>IFERROR(__xludf.DUMMYFUNCTION("""COMPUTED_VALUE"""),2637.0)</f>
        <v>2637</v>
      </c>
      <c r="B949" s="22" t="str">
        <f>IFERROR(__xludf.DUMMYFUNCTION("""COMPUTED_VALUE"""),"確定")</f>
        <v>確定</v>
      </c>
      <c r="C949" s="28">
        <f>IFERROR(__xludf.DUMMYFUNCTION("""COMPUTED_VALUE"""),45243.0)</f>
        <v>45243</v>
      </c>
      <c r="D949" s="28">
        <f>IFERROR(__xludf.DUMMYFUNCTION("""COMPUTED_VALUE"""),45265.0)</f>
        <v>45265</v>
      </c>
      <c r="E949" s="31">
        <f>IFERROR(__xludf.DUMMYFUNCTION("""COMPUTED_VALUE"""),282860.0)</f>
        <v>282860</v>
      </c>
      <c r="F949" s="22" t="str">
        <f>IFERROR(__xludf.DUMMYFUNCTION("""COMPUTED_VALUE"""),"【単話版】真・女性に風俗って必要ですか？ ～女性用風俗店の裏方やったら人生いろいろ変わった件～")</f>
        <v>【単話版】真・女性に風俗って必要ですか？ ～女性用風俗店の裏方やったら人生いろいろ変わった件～</v>
      </c>
      <c r="G949" s="16" t="str">
        <f>IFERROR(__xludf.DUMMYFUNCTION("""COMPUTED_VALUE"""),"1～3")</f>
        <v>1～3</v>
      </c>
      <c r="H949" s="22" t="str">
        <f>IFERROR(__xludf.DUMMYFUNCTION("""COMPUTED_VALUE"""),"ヤチナツ")</f>
        <v>ヤチナツ</v>
      </c>
      <c r="I949" s="22" t="str">
        <f>IFERROR(__xludf.DUMMYFUNCTION("""COMPUTED_VALUE"""),"女性")</f>
        <v>女性</v>
      </c>
      <c r="J949" s="22"/>
      <c r="K949" s="22"/>
      <c r="L949" s="22" t="str">
        <f>IFERROR(__xludf.DUMMYFUNCTION("""COMPUTED_VALUE"""),"新潮社")</f>
        <v>新潮社</v>
      </c>
      <c r="M949" s="23">
        <f>IFERROR(__xludf.DUMMYFUNCTION("""COMPUTED_VALUE"""),45285.0)</f>
        <v>45285</v>
      </c>
      <c r="N949" s="23">
        <f>IFERROR(__xludf.DUMMYFUNCTION("""COMPUTED_VALUE"""),45657.0)</f>
        <v>45657</v>
      </c>
      <c r="O949" s="20"/>
      <c r="P949" s="29" t="str">
        <f>IFERROR(__xludf.DUMMYFUNCTION("""COMPUTED_VALUE"""),"可")</f>
        <v>可</v>
      </c>
      <c r="Q949" s="30" t="str">
        <f>IFERROR(__xludf.DUMMYFUNCTION("""COMPUTED_VALUE"""),"広告コミットOK(11/24)")</f>
        <v>広告コミットOK(11/24)</v>
      </c>
      <c r="R949" s="22"/>
      <c r="S949" s="30" t="str">
        <f>IFERROR(__xludf.DUMMYFUNCTION("""COMPUTED_VALUE"""),"20231205_新潮社_【単話版】真・女性に風俗って必要ですか？ ～女性用風俗店の裏方やったら人生いろいろ変わった件～")</f>
        <v>20231205_新潮社_【単話版】真・女性に風俗って必要ですか？ ～女性用風俗店の裏方やったら人生いろいろ変わった件～</v>
      </c>
      <c r="T949" s="22"/>
      <c r="U949" s="15" t="str">
        <f>IFERROR(__xludf.DUMMYFUNCTION("""COMPUTED_VALUE"""),"©ヤチナツ／新潮社")</f>
        <v>©ヤチナツ／新潮社</v>
      </c>
      <c r="V949" s="8" t="str">
        <f>IFERROR(__xludf.DUMMYFUNCTION("""COMPUTED_VALUE"""),"気軽に始めてしまった「女性用風俗」の裏方のアルバイト。「お金を払って風俗に行くならマッチングアプリで良くない？」と思っていた私の初仕事はなんと、「経費で女性用風俗を体験する」だった――！　女性用風俗店の裏方として、多岐にわたるお客様の要望に翻弄されつつも、男性セラピストたちと協力して寄り添ってます！　SNSで「笑った」「共感した」の声多数の大人気コミックエッセイ！")</f>
        <v>気軽に始めてしまった「女性用風俗」の裏方のアルバイト。「お金を払って風俗に行くならマッチングアプリで良くない？」と思っていた私の初仕事はなんと、「経費で女性用風俗を体験する」だった――！　女性用風俗店の裏方として、多岐にわたるお客様の要望に翻弄されつつも、男性セラピストたちと協力して寄り添ってます！　SNSで「笑った」「共感した」の声多数の大人気コミックエッセイ！</v>
      </c>
      <c r="W949" s="14"/>
      <c r="X949" s="14" t="str">
        <f>IFERROR(__xludf.DUMMYFUNCTION("""COMPUTED_VALUE"""),"有")</f>
        <v>有</v>
      </c>
      <c r="Y949" s="8" t="str">
        <f>IFERROR(__xludf.DUMMYFUNCTION("""COMPUTED_VALUE"""),"P5まで")</f>
        <v>P5まで</v>
      </c>
      <c r="Z949" s="7"/>
      <c r="AA949" s="7"/>
      <c r="AB949" s="7"/>
    </row>
    <row r="950" ht="15.75" customHeight="1">
      <c r="A950" s="26">
        <f>IFERROR(__xludf.DUMMYFUNCTION("""COMPUTED_VALUE"""),2651.0)</f>
        <v>2651</v>
      </c>
      <c r="B950" s="22" t="str">
        <f>IFERROR(__xludf.DUMMYFUNCTION("""COMPUTED_VALUE"""),"確定")</f>
        <v>確定</v>
      </c>
      <c r="C950" s="28">
        <f>IFERROR(__xludf.DUMMYFUNCTION("""COMPUTED_VALUE"""),45245.0)</f>
        <v>45245</v>
      </c>
      <c r="D950" s="28">
        <f>IFERROR(__xludf.DUMMYFUNCTION("""COMPUTED_VALUE"""),45264.0)</f>
        <v>45264</v>
      </c>
      <c r="E950" s="31">
        <f>IFERROR(__xludf.DUMMYFUNCTION("""COMPUTED_VALUE"""),284431.0)</f>
        <v>284431</v>
      </c>
      <c r="F950" s="22" t="str">
        <f>IFERROR(__xludf.DUMMYFUNCTION("""COMPUTED_VALUE"""),"できそこない魔女の嫁入り～かつての弟子からこじらせ溺愛されて成り上がります～【分冊版】")</f>
        <v>できそこない魔女の嫁入り～かつての弟子からこじらせ溺愛されて成り上がります～【分冊版】</v>
      </c>
      <c r="G950" s="11" t="str">
        <f>IFERROR(__xludf.DUMMYFUNCTION("""COMPUTED_VALUE"""),"1～2")</f>
        <v>1～2</v>
      </c>
      <c r="H950" s="22" t="str">
        <f>IFERROR(__xludf.DUMMYFUNCTION("""COMPUTED_VALUE"""),"那須まうー・ゆちば")</f>
        <v>那須まうー・ゆちば</v>
      </c>
      <c r="I950" s="22" t="str">
        <f>IFERROR(__xludf.DUMMYFUNCTION("""COMPUTED_VALUE"""),"女性")</f>
        <v>女性</v>
      </c>
      <c r="J950" s="22"/>
      <c r="K950" s="22"/>
      <c r="L950" s="22" t="str">
        <f>IFERROR(__xludf.DUMMYFUNCTION("""COMPUTED_VALUE"""),"ハーパーコリンズ・ジャパン")</f>
        <v>ハーパーコリンズ・ジャパン</v>
      </c>
      <c r="M950" s="23">
        <f>IFERROR(__xludf.DUMMYFUNCTION("""COMPUTED_VALUE"""),45309.0)</f>
        <v>45309</v>
      </c>
      <c r="N950" s="23">
        <f>IFERROR(__xludf.DUMMYFUNCTION("""COMPUTED_VALUE"""),45368.0)</f>
        <v>45368</v>
      </c>
      <c r="O950" s="20"/>
      <c r="P950" s="29" t="str">
        <f>IFERROR(__xludf.DUMMYFUNCTION("""COMPUTED_VALUE"""),"可")</f>
        <v>可</v>
      </c>
      <c r="Q950" s="22" t="str">
        <f>IFERROR(__xludf.DUMMYFUNCTION("""COMPUTED_VALUE"""),"広告コミットOK(11/24)")</f>
        <v>広告コミットOK(11/24)</v>
      </c>
      <c r="R950" s="22" t="str">
        <f>IFERROR(__xludf.DUMMYFUNCTION("""COMPUTED_VALUE"""),"格納済")</f>
        <v>格納済</v>
      </c>
      <c r="S950" s="22" t="str">
        <f>IFERROR(__xludf.DUMMYFUNCTION("""COMPUTED_VALUE"""),"20231204_ハーパーコリンズ_できそこない魔女の嫁入り")</f>
        <v>20231204_ハーパーコリンズ_できそこない魔女の嫁入り</v>
      </c>
      <c r="T950" s="22" t="str">
        <f>IFERROR(__xludf.DUMMYFUNCTION("""COMPUTED_VALUE"""),"校了済素材")</f>
        <v>校了済素材</v>
      </c>
      <c r="U950" s="15" t="str">
        <f>IFERROR(__xludf.DUMMYFUNCTION("""COMPUTED_VALUE"""),"（C)那須まうー・ゆちば／ハーパーコリンズ・ジャパン")</f>
        <v>（C)那須まうー・ゆちば／ハーパーコリンズ・ジャパン</v>
      </c>
      <c r="V950" s="8" t="str">
        <f>IFERROR(__xludf.DUMMYFUNCTION("""COMPUTED_VALUE"""),"奴隷オークションで私を買ったのは、かつての弟子!?
片角が折れているせいで魔法が使えない亜人のリーニャは、祖国である亜人の国を追われ、人間の国で薬を売って暮らしていた。ある日売れ残っていた奴隷の少年・ジルと出会う。彼の持つ膨大な魔力に目をつけ弟子にすることにしたリーニャだったが、ジルは愛が重い子だったようで―…？")</f>
        <v>奴隷オークションで私を買ったのは、かつての弟子!?
片角が折れているせいで魔法が使えない亜人のリーニャは、祖国である亜人の国を追われ、人間の国で薬を売って暮らしていた。ある日売れ残っていた奴隷の少年・ジルと出会う。彼の持つ膨大な魔力に目をつけ弟子にすることにしたリーニャだったが、ジルは愛が重い子だったようで―…？</v>
      </c>
      <c r="W950" s="14"/>
      <c r="X950" s="14" t="str">
        <f>IFERROR(__xludf.DUMMYFUNCTION("""COMPUTED_VALUE"""),"有")</f>
        <v>有</v>
      </c>
      <c r="Y950" s="8" t="str">
        <f>IFERROR(__xludf.DUMMYFUNCTION("""COMPUTED_VALUE"""),"P12まで")</f>
        <v>P12まで</v>
      </c>
      <c r="Z950" s="7"/>
      <c r="AA950" s="7"/>
      <c r="AB950" s="7"/>
    </row>
    <row r="951" ht="15.75" customHeight="1">
      <c r="A951" s="26">
        <f>IFERROR(__xludf.DUMMYFUNCTION("""COMPUTED_VALUE"""),2668.0)</f>
        <v>2668</v>
      </c>
      <c r="B951" s="22" t="str">
        <f>IFERROR(__xludf.DUMMYFUNCTION("""COMPUTED_VALUE"""),"確定")</f>
        <v>確定</v>
      </c>
      <c r="C951" s="28">
        <f>IFERROR(__xludf.DUMMYFUNCTION("""COMPUTED_VALUE"""),45250.0)</f>
        <v>45250</v>
      </c>
      <c r="D951" s="28">
        <f>IFERROR(__xludf.DUMMYFUNCTION("""COMPUTED_VALUE"""),45266.0)</f>
        <v>45266</v>
      </c>
      <c r="E951" s="31">
        <f>IFERROR(__xludf.DUMMYFUNCTION("""COMPUTED_VALUE"""),284913.0)</f>
        <v>284913</v>
      </c>
      <c r="F951" s="22" t="str">
        <f>IFERROR(__xludf.DUMMYFUNCTION("""COMPUTED_VALUE"""),"悪女の私を処刑した騎士団長に、なぜか溺愛されてます")</f>
        <v>悪女の私を処刑した騎士団長に、なぜか溺愛されてます</v>
      </c>
      <c r="G951" s="11" t="str">
        <f>IFERROR(__xludf.DUMMYFUNCTION("""COMPUTED_VALUE"""),"1～10")</f>
        <v>1～10</v>
      </c>
      <c r="H951" s="22" t="str">
        <f>IFERROR(__xludf.DUMMYFUNCTION("""COMPUTED_VALUE"""),"ゆきのななみ")</f>
        <v>ゆきのななみ</v>
      </c>
      <c r="I951" s="22" t="str">
        <f>IFERROR(__xludf.DUMMYFUNCTION("""COMPUTED_VALUE"""),"女性")</f>
        <v>女性</v>
      </c>
      <c r="J951" s="22"/>
      <c r="K951" s="22"/>
      <c r="L951" s="22" t="str">
        <f>IFERROR(__xludf.DUMMYFUNCTION("""COMPUTED_VALUE"""),"ライブコミックス")</f>
        <v>ライブコミックス</v>
      </c>
      <c r="M951" s="23">
        <f>IFERROR(__xludf.DUMMYFUNCTION("""COMPUTED_VALUE"""),45317.0)</f>
        <v>45317</v>
      </c>
      <c r="N951" s="23">
        <f>IFERROR(__xludf.DUMMYFUNCTION("""COMPUTED_VALUE"""),45407.0)</f>
        <v>45407</v>
      </c>
      <c r="O951" s="20"/>
      <c r="P951" s="29" t="str">
        <f>IFERROR(__xludf.DUMMYFUNCTION("""COMPUTED_VALUE"""),"可")</f>
        <v>可</v>
      </c>
      <c r="Q951" s="30" t="str">
        <f>IFERROR(__xludf.DUMMYFUNCTION("""COMPUTED_VALUE"""),"広告コミットOK(12/6)")</f>
        <v>広告コミットOK(12/6)</v>
      </c>
      <c r="R951" s="22"/>
      <c r="S951" s="30" t="str">
        <f>IFERROR(__xludf.DUMMYFUNCTION("""COMPUTED_VALUE"""),"20231120_BookLive_悪女の私を処刑した騎士団長に、なぜか溺愛されてます")</f>
        <v>20231120_BookLive_悪女の私を処刑した騎士団長に、なぜか溺愛されてます</v>
      </c>
      <c r="T951" s="22"/>
      <c r="U951" s="15" t="str">
        <f>IFERROR(__xludf.DUMMYFUNCTION("""COMPUTED_VALUE"""),"Ⓒゆきのななみ/ライブコミックス")</f>
        <v>Ⓒゆきのななみ/ライブコミックス</v>
      </c>
      <c r="V951" s="8" t="str">
        <f>IFERROR(__xludf.DUMMYFUNCTION("""COMPUTED_VALUE"""),"幼い頃から父親に虐げられてきた公爵令嬢・ウィスタリアの使命は、王妃の座に就くこと。しかしクロノスの王子・アルフォンスが婚約者に選んだのは、子爵令嬢のマルグリットだった。彼女の暗殺を試みたウィスタリアは、幼なじみであり騎士団長のガーランドによって処刑されることに……。「騎士になって弱い人たちを守りたい」かつてそう語ってくれたガーランドに、まさか自分が裁かれるなんて――。温かな記憶を取り戻したのも束の間、容赦なく剣を振り下ろされた次の瞬間、なんと時間が巻き戻っていた！　そのうえガーランドから、「もしも貴方が望"&amp;"むのなら、私がいつでも手を取りましょう」と救いの手を差し伸べられて――？　闇落ち令嬢×過保護な騎士団長の逆行ラブファンタジー！")</f>
        <v>幼い頃から父親に虐げられてきた公爵令嬢・ウィスタリアの使命は、王妃の座に就くこと。しかしクロノスの王子・アルフォンスが婚約者に選んだのは、子爵令嬢のマルグリットだった。彼女の暗殺を試みたウィスタリアは、幼なじみであり騎士団長のガーランドによって処刑されることに……。「騎士になって弱い人たちを守りたい」かつてそう語ってくれたガーランドに、まさか自分が裁かれるなんて――。温かな記憶を取り戻したのも束の間、容赦なく剣を振り下ろされた次の瞬間、なんと時間が巻き戻っていた！　そのうえガーランドから、「もしも貴方が望むのなら、私がいつでも手を取りましょう」と救いの手を差し伸べられて――？　闇落ち令嬢×過保護な騎士団長の逆行ラブファンタジー！</v>
      </c>
      <c r="W951" s="14"/>
      <c r="X951" s="14" t="str">
        <f>IFERROR(__xludf.DUMMYFUNCTION("""COMPUTED_VALUE"""),"有")</f>
        <v>有</v>
      </c>
      <c r="Y951" s="8" t="str">
        <f>IFERROR(__xludf.DUMMYFUNCTION("""COMPUTED_VALUE"""),"P15まで")</f>
        <v>P15まで</v>
      </c>
      <c r="Z951" s="7"/>
      <c r="AA951" s="7"/>
      <c r="AB951" s="7"/>
    </row>
    <row r="952" ht="15.75" customHeight="1">
      <c r="A952" s="26">
        <f>IFERROR(__xludf.DUMMYFUNCTION("""COMPUTED_VALUE"""),2678.0)</f>
        <v>2678</v>
      </c>
      <c r="B952" s="22" t="str">
        <f>IFERROR(__xludf.DUMMYFUNCTION("""COMPUTED_VALUE"""),"確定")</f>
        <v>確定</v>
      </c>
      <c r="C952" s="28">
        <f>IFERROR(__xludf.DUMMYFUNCTION("""COMPUTED_VALUE"""),45252.0)</f>
        <v>45252</v>
      </c>
      <c r="D952" s="28">
        <f>IFERROR(__xludf.DUMMYFUNCTION("""COMPUTED_VALUE"""),45265.0)</f>
        <v>45265</v>
      </c>
      <c r="E952" s="31">
        <f>IFERROR(__xludf.DUMMYFUNCTION("""COMPUTED_VALUE"""),283231.0)</f>
        <v>283231</v>
      </c>
      <c r="F952" s="22" t="str">
        <f>IFERROR(__xludf.DUMMYFUNCTION("""COMPUTED_VALUE"""),"裏切りの代償")</f>
        <v>裏切りの代償</v>
      </c>
      <c r="G952" s="11" t="str">
        <f>IFERROR(__xludf.DUMMYFUNCTION("""COMPUTED_VALUE"""),"1～2")</f>
        <v>1～2</v>
      </c>
      <c r="H952" s="22" t="str">
        <f>IFERROR(__xludf.DUMMYFUNCTION("""COMPUTED_VALUE"""),"島藤ゆかり")</f>
        <v>島藤ゆかり</v>
      </c>
      <c r="I952" s="22" t="str">
        <f>IFERROR(__xludf.DUMMYFUNCTION("""COMPUTED_VALUE"""),"女性")</f>
        <v>女性</v>
      </c>
      <c r="J952" s="22"/>
      <c r="K952" s="22"/>
      <c r="L952" s="22" t="str">
        <f>IFERROR(__xludf.DUMMYFUNCTION("""COMPUTED_VALUE"""),"コミックルーム")</f>
        <v>コミックルーム</v>
      </c>
      <c r="M952" s="23">
        <f>IFERROR(__xludf.DUMMYFUNCTION("""COMPUTED_VALUE"""),45289.0)</f>
        <v>45289</v>
      </c>
      <c r="N952" s="23">
        <f>IFERROR(__xludf.DUMMYFUNCTION("""COMPUTED_VALUE"""),45379.0)</f>
        <v>45379</v>
      </c>
      <c r="O952" s="20"/>
      <c r="P952" s="32" t="str">
        <f>IFERROR(__xludf.DUMMYFUNCTION("""COMPUTED_VALUE"""),"可")</f>
        <v>可</v>
      </c>
      <c r="Q952" s="30"/>
      <c r="R952" s="22"/>
      <c r="S952" s="30" t="str">
        <f>IFERROR(__xludf.DUMMYFUNCTION("""COMPUTED_VALUE"""),"20231205_コミックルーム_12月新作")</f>
        <v>20231205_コミックルーム_12月新作</v>
      </c>
      <c r="T952" s="22"/>
      <c r="U952" s="15" t="str">
        <f>IFERROR(__xludf.DUMMYFUNCTION("""COMPUTED_VALUE"""),"(C)島藤ゆかり／高見亜紗")</f>
        <v>(C)島藤ゆかり／高見亜紗</v>
      </c>
      <c r="V952" s="8" t="str">
        <f>IFERROR(__xludf.DUMMYFUNCTION("""COMPUTED_VALUE"""),"共働き夫婦の深雪は、夫・圭吾との結婚生活に不満を抱いていた。
その理由は、圭吾が家事を何一つ手伝ってくれないからだ。
しかし深雪は、甘え上手の圭吾をついつい甘やかしてしまう。そんな自分に嫌気がさすものの、その度に何かしら理由をつけて自分を納得させていた。
だが、圭吾の不倫が発覚し、日常は一変する！
可愛さ余って憎さ百倍！
深雪はこれまでの優しさを捨て、圭吾に対する復讐計画を練り始める──!!")</f>
        <v>共働き夫婦の深雪は、夫・圭吾との結婚生活に不満を抱いていた。
その理由は、圭吾が家事を何一つ手伝ってくれないからだ。
しかし深雪は、甘え上手の圭吾をついつい甘やかしてしまう。そんな自分に嫌気がさすものの、その度に何かしら理由をつけて自分を納得させていた。
だが、圭吾の不倫が発覚し、日常は一変する！
可愛さ余って憎さ百倍！
深雪はこれまでの優しさを捨て、圭吾に対する復讐計画を練り始める──!!</v>
      </c>
      <c r="W952" s="14"/>
      <c r="X952" s="14" t="str">
        <f>IFERROR(__xludf.DUMMYFUNCTION("""COMPUTED_VALUE"""),"有")</f>
        <v>有</v>
      </c>
      <c r="Y952" s="8" t="str">
        <f>IFERROR(__xludf.DUMMYFUNCTION("""COMPUTED_VALUE"""),"P5まで")</f>
        <v>P5まで</v>
      </c>
      <c r="Z952" s="7"/>
      <c r="AA952" s="7"/>
      <c r="AB952" s="7"/>
    </row>
    <row r="953" ht="15.75" customHeight="1">
      <c r="A953" s="26">
        <f>IFERROR(__xludf.DUMMYFUNCTION("""COMPUTED_VALUE"""),2679.0)</f>
        <v>2679</v>
      </c>
      <c r="B953" s="22" t="str">
        <f>IFERROR(__xludf.DUMMYFUNCTION("""COMPUTED_VALUE"""),"確定")</f>
        <v>確定</v>
      </c>
      <c r="C953" s="28">
        <f>IFERROR(__xludf.DUMMYFUNCTION("""COMPUTED_VALUE"""),45252.0)</f>
        <v>45252</v>
      </c>
      <c r="D953" s="28">
        <f>IFERROR(__xludf.DUMMYFUNCTION("""COMPUTED_VALUE"""),45265.0)</f>
        <v>45265</v>
      </c>
      <c r="E953" s="31">
        <f>IFERROR(__xludf.DUMMYFUNCTION("""COMPUTED_VALUE"""),283234.0)</f>
        <v>283234</v>
      </c>
      <c r="F953" s="22" t="str">
        <f>IFERROR(__xludf.DUMMYFUNCTION("""COMPUTED_VALUE"""),"モラハラ夫から抜け出したい")</f>
        <v>モラハラ夫から抜け出したい</v>
      </c>
      <c r="G953" s="11" t="str">
        <f>IFERROR(__xludf.DUMMYFUNCTION("""COMPUTED_VALUE"""),"1～2")</f>
        <v>1～2</v>
      </c>
      <c r="H953" s="22" t="str">
        <f>IFERROR(__xludf.DUMMYFUNCTION("""COMPUTED_VALUE"""),"A／金山カメ")</f>
        <v>A／金山カメ</v>
      </c>
      <c r="I953" s="22" t="str">
        <f>IFERROR(__xludf.DUMMYFUNCTION("""COMPUTED_VALUE"""),"女性")</f>
        <v>女性</v>
      </c>
      <c r="J953" s="22"/>
      <c r="K953" s="22"/>
      <c r="L953" s="22" t="str">
        <f>IFERROR(__xludf.DUMMYFUNCTION("""COMPUTED_VALUE"""),"コミックルーム")</f>
        <v>コミックルーム</v>
      </c>
      <c r="M953" s="23">
        <f>IFERROR(__xludf.DUMMYFUNCTION("""COMPUTED_VALUE"""),45289.0)</f>
        <v>45289</v>
      </c>
      <c r="N953" s="23">
        <f>IFERROR(__xludf.DUMMYFUNCTION("""COMPUTED_VALUE"""),45379.0)</f>
        <v>45379</v>
      </c>
      <c r="O953" s="20"/>
      <c r="P953" s="32" t="str">
        <f>IFERROR(__xludf.DUMMYFUNCTION("""COMPUTED_VALUE"""),"可")</f>
        <v>可</v>
      </c>
      <c r="Q953" s="30"/>
      <c r="R953" s="22"/>
      <c r="S953" s="30" t="str">
        <f>IFERROR(__xludf.DUMMYFUNCTION("""COMPUTED_VALUE"""),"20231205_コミックルーム_12月新作")</f>
        <v>20231205_コミックルーム_12月新作</v>
      </c>
      <c r="T953" s="22"/>
      <c r="U953" s="15" t="str">
        <f>IFERROR(__xludf.DUMMYFUNCTION("""COMPUTED_VALUE"""),"(C)A／金山カメ")</f>
        <v>(C)A／金山カメ</v>
      </c>
      <c r="V953" s="8" t="str">
        <f>IFERROR(__xludf.DUMMYFUNCTION("""COMPUTED_VALUE"""),"茅野祐子は家事と育児と仕事に追われる多忙な主婦。
そんな彼女の目下の悩みは、モラハラ気質の夫・浩介の存在。
浩介は「家の事は嫁の仕事」が口癖で、在宅勤務にも関わらず家事育児にはノータッチ。
娘・環奈が熱を出しても、スマホゲームに夢中で見向きもしない。
祐子が抗議しても、「文句があるなら俺と同じくらい稼いでみろ！」と圧殺される。
この状況に耐えかねた祐子は、自分と娘のため、モラハラ夫の支配から逃げ出すことを決意する…！")</f>
        <v>茅野祐子は家事と育児と仕事に追われる多忙な主婦。
そんな彼女の目下の悩みは、モラハラ気質の夫・浩介の存在。
浩介は「家の事は嫁の仕事」が口癖で、在宅勤務にも関わらず家事育児にはノータッチ。
娘・環奈が熱を出しても、スマホゲームに夢中で見向きもしない。
祐子が抗議しても、「文句があるなら俺と同じくらい稼いでみろ！」と圧殺される。
この状況に耐えかねた祐子は、自分と娘のため、モラハラ夫の支配から逃げ出すことを決意する…！</v>
      </c>
      <c r="W953" s="14"/>
      <c r="X953" s="14" t="str">
        <f>IFERROR(__xludf.DUMMYFUNCTION("""COMPUTED_VALUE"""),"有")</f>
        <v>有</v>
      </c>
      <c r="Y953" s="8" t="str">
        <f>IFERROR(__xludf.DUMMYFUNCTION("""COMPUTED_VALUE"""),"P7まで")</f>
        <v>P7まで</v>
      </c>
      <c r="Z953" s="7"/>
      <c r="AA953" s="7"/>
      <c r="AB953" s="7"/>
    </row>
    <row r="954" ht="15.75" customHeight="1">
      <c r="A954" s="26">
        <f>IFERROR(__xludf.DUMMYFUNCTION("""COMPUTED_VALUE"""),2680.0)</f>
        <v>2680</v>
      </c>
      <c r="B954" s="22" t="str">
        <f>IFERROR(__xludf.DUMMYFUNCTION("""COMPUTED_VALUE"""),"確定")</f>
        <v>確定</v>
      </c>
      <c r="C954" s="28">
        <f>IFERROR(__xludf.DUMMYFUNCTION("""COMPUTED_VALUE"""),45252.0)</f>
        <v>45252</v>
      </c>
      <c r="D954" s="28">
        <f>IFERROR(__xludf.DUMMYFUNCTION("""COMPUTED_VALUE"""),45265.0)</f>
        <v>45265</v>
      </c>
      <c r="E954" s="31">
        <f>IFERROR(__xludf.DUMMYFUNCTION("""COMPUTED_VALUE"""),283236.0)</f>
        <v>283236</v>
      </c>
      <c r="F954" s="22" t="str">
        <f>IFERROR(__xludf.DUMMYFUNCTION("""COMPUTED_VALUE"""),"夫を社会的に抹殺しました")</f>
        <v>夫を社会的に抹殺しました</v>
      </c>
      <c r="G954" s="11" t="str">
        <f>IFERROR(__xludf.DUMMYFUNCTION("""COMPUTED_VALUE"""),"1～2")</f>
        <v>1～2</v>
      </c>
      <c r="H954" s="22" t="str">
        <f>IFERROR(__xludf.DUMMYFUNCTION("""COMPUTED_VALUE"""),"宇佐美みね")</f>
        <v>宇佐美みね</v>
      </c>
      <c r="I954" s="22" t="str">
        <f>IFERROR(__xludf.DUMMYFUNCTION("""COMPUTED_VALUE"""),"女性")</f>
        <v>女性</v>
      </c>
      <c r="J954" s="22"/>
      <c r="K954" s="22"/>
      <c r="L954" s="22" t="str">
        <f>IFERROR(__xludf.DUMMYFUNCTION("""COMPUTED_VALUE"""),"コミックルーム")</f>
        <v>コミックルーム</v>
      </c>
      <c r="M954" s="23">
        <f>IFERROR(__xludf.DUMMYFUNCTION("""COMPUTED_VALUE"""),45289.0)</f>
        <v>45289</v>
      </c>
      <c r="N954" s="23">
        <f>IFERROR(__xludf.DUMMYFUNCTION("""COMPUTED_VALUE"""),45379.0)</f>
        <v>45379</v>
      </c>
      <c r="O954" s="20"/>
      <c r="P954" s="32" t="str">
        <f>IFERROR(__xludf.DUMMYFUNCTION("""COMPUTED_VALUE"""),"可")</f>
        <v>可</v>
      </c>
      <c r="Q954" s="30"/>
      <c r="R954" s="22"/>
      <c r="S954" s="30" t="str">
        <f>IFERROR(__xludf.DUMMYFUNCTION("""COMPUTED_VALUE"""),"20231205_コミックルーム_12月新作")</f>
        <v>20231205_コミックルーム_12月新作</v>
      </c>
      <c r="T954" s="22"/>
      <c r="U954" s="15" t="str">
        <f>IFERROR(__xludf.DUMMYFUNCTION("""COMPUTED_VALUE"""),"(C)宇佐美みね／COMIC ROOM")</f>
        <v>(C)宇佐美みね／COMIC ROOM</v>
      </c>
      <c r="V954" s="8" t="str">
        <f>IFERROR(__xludf.DUMMYFUNCTION("""COMPUTED_VALUE"""),"専業主婦の美優は、セックスレスに悩んでいる。最後にシたのは記憶の彼方…。
結婚五年の記念日に夫・浩一と温泉旅行へ出かけるも、そこでも美優は「疲れているから」と誘いを断られてしまう。
そんなある日、美優は友人に勧められたネット掲示板で、セックスレスの打開策を発見する。早速実践のため、浩一の退社を待つ美優。
しかし、そんな彼女が目にしたのは、見知らぬ女と腕を組み歩く夫の姿だった！
「旅行先でも抱いてくれなんて、ほんと勘弁してほしい」と、知らぬ女に愚痴る夫の姿に、愛と信頼が崩れて行く。裏切りに直面した美"&amp;"優は、復讐を心に誓う──。")</f>
        <v>専業主婦の美優は、セックスレスに悩んでいる。最後にシたのは記憶の彼方…。
結婚五年の記念日に夫・浩一と温泉旅行へ出かけるも、そこでも美優は「疲れているから」と誘いを断られてしまう。
そんなある日、美優は友人に勧められたネット掲示板で、セックスレスの打開策を発見する。早速実践のため、浩一の退社を待つ美優。
しかし、そんな彼女が目にしたのは、見知らぬ女と腕を組み歩く夫の姿だった！
「旅行先でも抱いてくれなんて、ほんと勘弁してほしい」と、知らぬ女に愚痴る夫の姿に、愛と信頼が崩れて行く。裏切りに直面した美優は、復讐を心に誓う──。</v>
      </c>
      <c r="W954" s="14"/>
      <c r="X954" s="14" t="str">
        <f>IFERROR(__xludf.DUMMYFUNCTION("""COMPUTED_VALUE"""),"有")</f>
        <v>有</v>
      </c>
      <c r="Y954" s="8" t="str">
        <f>IFERROR(__xludf.DUMMYFUNCTION("""COMPUTED_VALUE"""),"P9まで")</f>
        <v>P9まで</v>
      </c>
      <c r="Z954" s="7"/>
      <c r="AA954" s="7"/>
      <c r="AB954" s="7"/>
    </row>
    <row r="955" ht="15.75" customHeight="1">
      <c r="A955" s="26">
        <f>IFERROR(__xludf.DUMMYFUNCTION("""COMPUTED_VALUE"""),2681.0)</f>
        <v>2681</v>
      </c>
      <c r="B955" s="22" t="str">
        <f>IFERROR(__xludf.DUMMYFUNCTION("""COMPUTED_VALUE"""),"確定")</f>
        <v>確定</v>
      </c>
      <c r="C955" s="28">
        <f>IFERROR(__xludf.DUMMYFUNCTION("""COMPUTED_VALUE"""),45252.0)</f>
        <v>45252</v>
      </c>
      <c r="D955" s="28">
        <f>IFERROR(__xludf.DUMMYFUNCTION("""COMPUTED_VALUE"""),45265.0)</f>
        <v>45265</v>
      </c>
      <c r="E955" s="31">
        <f>IFERROR(__xludf.DUMMYFUNCTION("""COMPUTED_VALUE"""),283235.0)</f>
        <v>283235</v>
      </c>
      <c r="F955" s="22" t="str">
        <f>IFERROR(__xludf.DUMMYFUNCTION("""COMPUTED_VALUE"""),"不倫夫の●ケモンカードを売却して高額な慰謝料を手に入れました。")</f>
        <v>不倫夫の●ケモンカードを売却して高額な慰謝料を手に入れました。</v>
      </c>
      <c r="G955" s="11" t="str">
        <f>IFERROR(__xludf.DUMMYFUNCTION("""COMPUTED_VALUE"""),"1～2")</f>
        <v>1～2</v>
      </c>
      <c r="H955" s="22" t="str">
        <f>IFERROR(__xludf.DUMMYFUNCTION("""COMPUTED_VALUE"""),"青山六郎")</f>
        <v>青山六郎</v>
      </c>
      <c r="I955" s="22" t="str">
        <f>IFERROR(__xludf.DUMMYFUNCTION("""COMPUTED_VALUE"""),"女性")</f>
        <v>女性</v>
      </c>
      <c r="J955" s="22"/>
      <c r="K955" s="22"/>
      <c r="L955" s="22" t="str">
        <f>IFERROR(__xludf.DUMMYFUNCTION("""COMPUTED_VALUE"""),"コミックルーム")</f>
        <v>コミックルーム</v>
      </c>
      <c r="M955" s="23">
        <f>IFERROR(__xludf.DUMMYFUNCTION("""COMPUTED_VALUE"""),45289.0)</f>
        <v>45289</v>
      </c>
      <c r="N955" s="23">
        <f>IFERROR(__xludf.DUMMYFUNCTION("""COMPUTED_VALUE"""),45379.0)</f>
        <v>45379</v>
      </c>
      <c r="O955" s="20"/>
      <c r="P955" s="32" t="str">
        <f>IFERROR(__xludf.DUMMYFUNCTION("""COMPUTED_VALUE"""),"可")</f>
        <v>可</v>
      </c>
      <c r="Q955" s="30"/>
      <c r="R955" s="22"/>
      <c r="S955" s="30" t="str">
        <f>IFERROR(__xludf.DUMMYFUNCTION("""COMPUTED_VALUE"""),"20231205_コミックルーム_12月新作")</f>
        <v>20231205_コミックルーム_12月新作</v>
      </c>
      <c r="T955" s="22"/>
      <c r="U955" s="15" t="str">
        <f>IFERROR(__xludf.DUMMYFUNCTION("""COMPUTED_VALUE"""),"(C)青山六郎／COMIC ROOM")</f>
        <v>(C)青山六郎／COMIC ROOM</v>
      </c>
      <c r="V955" s="8" t="str">
        <f>IFERROR(__xludf.DUMMYFUNCTION("""COMPUTED_VALUE"""),"家計簿を前に、日々の物価高騰に頭を悩ませる奥村瞳。
そんな彼女にはもう一つ、悩みの種があった。
それは夫・光一の趣味であるバケモンカード。
価値がどんどん高騰していくカードたちを、
光一は投資と称して生活費を使ってまで買い漁るのだ。
おかげで家計が圧迫され、瞳たちは日常生活に我慢を強いられる。
そんな中、光一の浮気まで発覚。
その資金源がカードであると分かった時、瞳の中で何かが壊れて――？
現代のリアルエッセイ。
あなたの旦那さんは浮気、してませんか？")</f>
        <v>家計簿を前に、日々の物価高騰に頭を悩ませる奥村瞳。
そんな彼女にはもう一つ、悩みの種があった。
それは夫・光一の趣味であるバケモンカード。
価値がどんどん高騰していくカードたちを、
光一は投資と称して生活費を使ってまで買い漁るのだ。
おかげで家計が圧迫され、瞳たちは日常生活に我慢を強いられる。
そんな中、光一の浮気まで発覚。
その資金源がカードであると分かった時、瞳の中で何かが壊れて――？
現代のリアルエッセイ。
あなたの旦那さんは浮気、してませんか？</v>
      </c>
      <c r="W955" s="14"/>
      <c r="X955" s="14" t="str">
        <f>IFERROR(__xludf.DUMMYFUNCTION("""COMPUTED_VALUE"""),"有")</f>
        <v>有</v>
      </c>
      <c r="Y955" s="8" t="str">
        <f>IFERROR(__xludf.DUMMYFUNCTION("""COMPUTED_VALUE"""),"P6まで")</f>
        <v>P6まで</v>
      </c>
      <c r="Z955" s="7"/>
      <c r="AA955" s="7"/>
      <c r="AB955" s="7"/>
    </row>
    <row r="956" ht="15.75" customHeight="1">
      <c r="A956" s="26">
        <f>IFERROR(__xludf.DUMMYFUNCTION("""COMPUTED_VALUE"""),2682.0)</f>
        <v>2682</v>
      </c>
      <c r="B956" s="22" t="str">
        <f>IFERROR(__xludf.DUMMYFUNCTION("""COMPUTED_VALUE"""),"確定")</f>
        <v>確定</v>
      </c>
      <c r="C956" s="28">
        <f>IFERROR(__xludf.DUMMYFUNCTION("""COMPUTED_VALUE"""),45252.0)</f>
        <v>45252</v>
      </c>
      <c r="D956" s="28">
        <f>IFERROR(__xludf.DUMMYFUNCTION("""COMPUTED_VALUE"""),45264.0)</f>
        <v>45264</v>
      </c>
      <c r="E956" s="31">
        <f>IFERROR(__xludf.DUMMYFUNCTION("""COMPUTED_VALUE"""),283014.0)</f>
        <v>283014</v>
      </c>
      <c r="F956" s="22" t="str">
        <f>IFERROR(__xludf.DUMMYFUNCTION("""COMPUTED_VALUE"""),"アヲのイドコロ")</f>
        <v>アヲのイドコロ</v>
      </c>
      <c r="G956" s="20">
        <f>IFERROR(__xludf.DUMMYFUNCTION("""COMPUTED_VALUE"""),1.0)</f>
        <v>1</v>
      </c>
      <c r="H956" s="22" t="str">
        <f>IFERROR(__xludf.DUMMYFUNCTION("""COMPUTED_VALUE"""),"青衣ショウ")</f>
        <v>青衣ショウ</v>
      </c>
      <c r="I956" s="22" t="str">
        <f>IFERROR(__xludf.DUMMYFUNCTION("""COMPUTED_VALUE"""),"少女")</f>
        <v>少女</v>
      </c>
      <c r="J956" s="22"/>
      <c r="K956" s="22"/>
      <c r="L956" s="22" t="str">
        <f>IFERROR(__xludf.DUMMYFUNCTION("""COMPUTED_VALUE"""),"集英社")</f>
        <v>集英社</v>
      </c>
      <c r="M956" s="23">
        <f>IFERROR(__xludf.DUMMYFUNCTION("""COMPUTED_VALUE"""),45285.0)</f>
        <v>45285</v>
      </c>
      <c r="N956" s="23">
        <f>IFERROR(__xludf.DUMMYFUNCTION("""COMPUTED_VALUE"""),45315.0)</f>
        <v>45315</v>
      </c>
      <c r="O956" s="20"/>
      <c r="P956" s="29" t="str">
        <f>IFERROR(__xludf.DUMMYFUNCTION("""COMPUTED_VALUE"""),"否")</f>
        <v>否</v>
      </c>
      <c r="Q956" s="30" t="str">
        <f>IFERROR(__xludf.DUMMYFUNCTION("""COMPUTED_VALUE"""),"別冊マーガレット")</f>
        <v>別冊マーガレット</v>
      </c>
      <c r="R956" s="22"/>
      <c r="S956" s="30" t="str">
        <f>IFERROR(__xludf.DUMMYFUNCTION("""COMPUTED_VALUE"""),"20231204_集英社_12月新作")</f>
        <v>20231204_集英社_12月新作</v>
      </c>
      <c r="T956" s="22"/>
      <c r="U956" s="15" t="str">
        <f>IFERROR(__xludf.DUMMYFUNCTION("""COMPUTED_VALUE"""),"(C)青衣ショウ／集英社")</f>
        <v>(C)青衣ショウ／集英社</v>
      </c>
      <c r="V956" s="8" t="str">
        <f>IFERROR(__xludf.DUMMYFUNCTION("""COMPUTED_VALUE"""),"【最強女子×最弱イケメン、アヲ色の青春】体育会系熱血女子の凪は、入学早々、青春を謳歌するために生徒会長に立候補！　ところが会長に当選したのは、圧倒的顔面で「ハイリ様」と呼ばれる緋田ハイリだった。負けた凪は生徒会の副会長となるも、最強の顔面をしたハイリが実は最弱メンタルの持ち主と知り……!?　ハイテンションエモきゅんラブ！　コミックス限定描きおろしページも収録！")</f>
        <v>【最強女子×最弱イケメン、アヲ色の青春】体育会系熱血女子の凪は、入学早々、青春を謳歌するために生徒会長に立候補！　ところが会長に当選したのは、圧倒的顔面で「ハイリ様」と呼ばれる緋田ハイリだった。負けた凪は生徒会の副会長となるも、最強の顔面をしたハイリが実は最弱メンタルの持ち主と知り……!?　ハイテンションエモきゅんラブ！　コミックス限定描きおろしページも収録！</v>
      </c>
      <c r="W956" s="14"/>
      <c r="X956" s="14" t="str">
        <f>IFERROR(__xludf.DUMMYFUNCTION("""COMPUTED_VALUE"""),"有")</f>
        <v>有</v>
      </c>
      <c r="Y956" s="8" t="str">
        <f>IFERROR(__xludf.DUMMYFUNCTION("""COMPUTED_VALUE"""),"P42まで")</f>
        <v>P42まで</v>
      </c>
      <c r="Z956" s="7"/>
      <c r="AA956" s="7"/>
      <c r="AB956" s="7"/>
    </row>
    <row r="957" ht="15.75" customHeight="1">
      <c r="A957" s="26">
        <f>IFERROR(__xludf.DUMMYFUNCTION("""COMPUTED_VALUE"""),2684.0)</f>
        <v>2684</v>
      </c>
      <c r="B957" s="22" t="str">
        <f>IFERROR(__xludf.DUMMYFUNCTION("""COMPUTED_VALUE"""),"確定")</f>
        <v>確定</v>
      </c>
      <c r="C957" s="28">
        <f>IFERROR(__xludf.DUMMYFUNCTION("""COMPUTED_VALUE"""),45252.0)</f>
        <v>45252</v>
      </c>
      <c r="D957" s="28">
        <f>IFERROR(__xludf.DUMMYFUNCTION("""COMPUTED_VALUE"""),45264.0)</f>
        <v>45264</v>
      </c>
      <c r="E957" s="31">
        <f>IFERROR(__xludf.DUMMYFUNCTION("""COMPUTED_VALUE"""),283003.0)</f>
        <v>283003</v>
      </c>
      <c r="F957" s="22" t="str">
        <f>IFERROR(__xludf.DUMMYFUNCTION("""COMPUTED_VALUE"""),"完璧ワイフによる完璧な復讐計画")</f>
        <v>完璧ワイフによる完璧な復讐計画</v>
      </c>
      <c r="G957" s="20" t="str">
        <f>IFERROR(__xludf.DUMMYFUNCTION("""COMPUTED_VALUE"""),"1～5")</f>
        <v>1～5</v>
      </c>
      <c r="H957" s="22" t="str">
        <f>IFERROR(__xludf.DUMMYFUNCTION("""COMPUTED_VALUE"""),"佐倉サク／錦ヒトミ")</f>
        <v>佐倉サク／錦ヒトミ</v>
      </c>
      <c r="I957" s="22" t="str">
        <f>IFERROR(__xludf.DUMMYFUNCTION("""COMPUTED_VALUE"""),"少女")</f>
        <v>少女</v>
      </c>
      <c r="J957" s="22"/>
      <c r="K957" s="22"/>
      <c r="L957" s="22" t="str">
        <f>IFERROR(__xludf.DUMMYFUNCTION("""COMPUTED_VALUE"""),"集英社")</f>
        <v>集英社</v>
      </c>
      <c r="M957" s="23">
        <f>IFERROR(__xludf.DUMMYFUNCTION("""COMPUTED_VALUE"""),45285.0)</f>
        <v>45285</v>
      </c>
      <c r="N957" s="23">
        <f>IFERROR(__xludf.DUMMYFUNCTION("""COMPUTED_VALUE"""),45315.0)</f>
        <v>45315</v>
      </c>
      <c r="O957" s="20"/>
      <c r="P957" s="29" t="str">
        <f>IFERROR(__xludf.DUMMYFUNCTION("""COMPUTED_VALUE"""),"否")</f>
        <v>否</v>
      </c>
      <c r="Q957" s="30" t="str">
        <f>IFERROR(__xludf.DUMMYFUNCTION("""COMPUTED_VALUE"""),"マンガMee")</f>
        <v>マンガMee</v>
      </c>
      <c r="R957" s="22"/>
      <c r="S957" s="30" t="str">
        <f>IFERROR(__xludf.DUMMYFUNCTION("""COMPUTED_VALUE"""),"20231204_集英社_12月新作")</f>
        <v>20231204_集英社_12月新作</v>
      </c>
      <c r="T957" s="22"/>
      <c r="U957" s="15" t="str">
        <f>IFERROR(__xludf.DUMMYFUNCTION("""COMPUTED_VALUE"""),"(C)錦ヒトミ・佐倉サク・雪村こはる（エブリスタ）／集英社")</f>
        <v>(C)錦ヒトミ・佐倉サク・雪村こはる（エブリスタ）／集英社</v>
      </c>
      <c r="V957" s="8" t="str">
        <f>IFERROR(__xludf.DUMMYFUNCTION("""COMPUTED_VALUE"""),"成美は才色兼備でありながら、仕事も家事もそつなくこなす完璧な妻だった。夫のために尽くし、生涯愛する夫と幸せな家庭を築いていくと信じて疑わなかった。どんなに仕事が忙しくとも、優しい夫の言葉で疲れなんて吹っ飛んでしまう。自他共に認めるおしどり夫婦。そう思っていた。夫が自分の後輩と不倫をしていると知ったその時までは。完璧すぎる妻による完璧な復讐物語、ここに開幕―…！")</f>
        <v>成美は才色兼備でありながら、仕事も家事もそつなくこなす完璧な妻だった。夫のために尽くし、生涯愛する夫と幸せな家庭を築いていくと信じて疑わなかった。どんなに仕事が忙しくとも、優しい夫の言葉で疲れなんて吹っ飛んでしまう。自他共に認めるおしどり夫婦。そう思っていた。夫が自分の後輩と不倫をしていると知ったその時までは。完璧すぎる妻による完璧な復讐物語、ここに開幕―…！</v>
      </c>
      <c r="W957" s="14"/>
      <c r="X957" s="14" t="str">
        <f>IFERROR(__xludf.DUMMYFUNCTION("""COMPUTED_VALUE"""),"有")</f>
        <v>有</v>
      </c>
      <c r="Y957" s="8" t="str">
        <f>IFERROR(__xludf.DUMMYFUNCTION("""COMPUTED_VALUE"""),"P20まで")</f>
        <v>P20まで</v>
      </c>
      <c r="Z957" s="7"/>
      <c r="AA957" s="7"/>
      <c r="AB957" s="7"/>
    </row>
    <row r="958" ht="15.75" customHeight="1">
      <c r="A958" s="26">
        <f>IFERROR(__xludf.DUMMYFUNCTION("""COMPUTED_VALUE"""),2685.0)</f>
        <v>2685</v>
      </c>
      <c r="B958" s="22" t="str">
        <f>IFERROR(__xludf.DUMMYFUNCTION("""COMPUTED_VALUE"""),"確定")</f>
        <v>確定</v>
      </c>
      <c r="C958" s="28">
        <f>IFERROR(__xludf.DUMMYFUNCTION("""COMPUTED_VALUE"""),45252.0)</f>
        <v>45252</v>
      </c>
      <c r="D958" s="28">
        <f>IFERROR(__xludf.DUMMYFUNCTION("""COMPUTED_VALUE"""),45264.0)</f>
        <v>45264</v>
      </c>
      <c r="E958" s="31">
        <f>IFERROR(__xludf.DUMMYFUNCTION("""COMPUTED_VALUE"""),283015.0)</f>
        <v>283015</v>
      </c>
      <c r="F958" s="22" t="str">
        <f>IFERROR(__xludf.DUMMYFUNCTION("""COMPUTED_VALUE"""),"オートフォーカスピンク")</f>
        <v>オートフォーカスピンク</v>
      </c>
      <c r="G958" s="11" t="str">
        <f>IFERROR(__xludf.DUMMYFUNCTION("""COMPUTED_VALUE"""),"1～2")</f>
        <v>1～2</v>
      </c>
      <c r="H958" s="22" t="str">
        <f>IFERROR(__xludf.DUMMYFUNCTION("""COMPUTED_VALUE"""),"田中ゆちあ")</f>
        <v>田中ゆちあ</v>
      </c>
      <c r="I958" s="22" t="str">
        <f>IFERROR(__xludf.DUMMYFUNCTION("""COMPUTED_VALUE"""),"少女")</f>
        <v>少女</v>
      </c>
      <c r="J958" s="22"/>
      <c r="K958" s="22"/>
      <c r="L958" s="22" t="str">
        <f>IFERROR(__xludf.DUMMYFUNCTION("""COMPUTED_VALUE"""),"集英社")</f>
        <v>集英社</v>
      </c>
      <c r="M958" s="23">
        <f>IFERROR(__xludf.DUMMYFUNCTION("""COMPUTED_VALUE"""),45285.0)</f>
        <v>45285</v>
      </c>
      <c r="N958" s="23">
        <f>IFERROR(__xludf.DUMMYFUNCTION("""COMPUTED_VALUE"""),45315.0)</f>
        <v>45315</v>
      </c>
      <c r="O958" s="20"/>
      <c r="P958" s="29" t="str">
        <f>IFERROR(__xludf.DUMMYFUNCTION("""COMPUTED_VALUE"""),"否")</f>
        <v>否</v>
      </c>
      <c r="Q958" s="30" t="str">
        <f>IFERROR(__xludf.DUMMYFUNCTION("""COMPUTED_VALUE"""),"別冊マーガレット")</f>
        <v>別冊マーガレット</v>
      </c>
      <c r="R958" s="22"/>
      <c r="S958" s="30" t="str">
        <f>IFERROR(__xludf.DUMMYFUNCTION("""COMPUTED_VALUE"""),"20231204_集英社_12月新作")</f>
        <v>20231204_集英社_12月新作</v>
      </c>
      <c r="T958" s="22"/>
      <c r="U958" s="15" t="str">
        <f>IFERROR(__xludf.DUMMYFUNCTION("""COMPUTED_VALUE"""),"(C)田中ゆちあ／集英社")</f>
        <v>(C)田中ゆちあ／集英社</v>
      </c>
      <c r="V958" s="8" t="str">
        <f>IFERROR(__xludf.DUMMYFUNCTION("""COMPUTED_VALUE"""),"【彼の想い人は、わたしの親友】高2の夏に日向子が出会ったのは、親友・虹香の幼なじみで背が高い後輩男子の宵一。日向子は宵一が虹香を好きだとすぐ気づくも、虹香は同じクラスの浅葉と付き合いはじめてしまう。親友に片想いする彼の一途な姿勢に、心惹かれた日向子は……!?　『別冊マーガレット』の人気連載、1・2巻同時発売！　描きおろしページも収録！")</f>
        <v>【彼の想い人は、わたしの親友】高2の夏に日向子が出会ったのは、親友・虹香の幼なじみで背が高い後輩男子の宵一。日向子は宵一が虹香を好きだとすぐ気づくも、虹香は同じクラスの浅葉と付き合いはじめてしまう。親友に片想いする彼の一途な姿勢に、心惹かれた日向子は……!?　『別冊マーガレット』の人気連載、1・2巻同時発売！　描きおろしページも収録！</v>
      </c>
      <c r="W958" s="14"/>
      <c r="X958" s="14" t="str">
        <f>IFERROR(__xludf.DUMMYFUNCTION("""COMPUTED_VALUE"""),"有")</f>
        <v>有</v>
      </c>
      <c r="Y958" s="8" t="str">
        <f>IFERROR(__xludf.DUMMYFUNCTION("""COMPUTED_VALUE"""),"P37まで")</f>
        <v>P37まで</v>
      </c>
      <c r="Z958" s="7"/>
      <c r="AA958" s="7"/>
      <c r="AB958" s="7"/>
    </row>
    <row r="959" ht="15.75" customHeight="1">
      <c r="A959" s="26">
        <f>IFERROR(__xludf.DUMMYFUNCTION("""COMPUTED_VALUE"""),2686.0)</f>
        <v>2686</v>
      </c>
      <c r="B959" s="22" t="str">
        <f>IFERROR(__xludf.DUMMYFUNCTION("""COMPUTED_VALUE"""),"確定")</f>
        <v>確定</v>
      </c>
      <c r="C959" s="28">
        <f>IFERROR(__xludf.DUMMYFUNCTION("""COMPUTED_VALUE"""),45252.0)</f>
        <v>45252</v>
      </c>
      <c r="D959" s="28">
        <f>IFERROR(__xludf.DUMMYFUNCTION("""COMPUTED_VALUE"""),45260.0)</f>
        <v>45260</v>
      </c>
      <c r="E959" s="31">
        <f>IFERROR(__xludf.DUMMYFUNCTION("""COMPUTED_VALUE"""),284500.0)</f>
        <v>284500</v>
      </c>
      <c r="F959" s="22" t="str">
        <f>IFERROR(__xludf.DUMMYFUNCTION("""COMPUTED_VALUE"""),"金曜日、プレイルームで暴かせて")</f>
        <v>金曜日、プレイルームで暴かせて</v>
      </c>
      <c r="G959" s="11" t="str">
        <f>IFERROR(__xludf.DUMMYFUNCTION("""COMPUTED_VALUE"""),"1～2")</f>
        <v>1～2</v>
      </c>
      <c r="H959" s="22" t="str">
        <f>IFERROR(__xludf.DUMMYFUNCTION("""COMPUTED_VALUE"""),"むじもり")</f>
        <v>むじもり</v>
      </c>
      <c r="I959" s="22" t="str">
        <f>IFERROR(__xludf.DUMMYFUNCTION("""COMPUTED_VALUE"""),"BL")</f>
        <v>BL</v>
      </c>
      <c r="J959" s="22"/>
      <c r="K959" s="22"/>
      <c r="L959" s="22" t="str">
        <f>IFERROR(__xludf.DUMMYFUNCTION("""COMPUTED_VALUE"""),"CLLENN")</f>
        <v>CLLENN</v>
      </c>
      <c r="M959" s="23">
        <f>IFERROR(__xludf.DUMMYFUNCTION("""COMPUTED_VALUE"""),45318.0)</f>
        <v>45318</v>
      </c>
      <c r="N959" s="23">
        <f>IFERROR(__xludf.DUMMYFUNCTION("""COMPUTED_VALUE"""),45373.0)</f>
        <v>45373</v>
      </c>
      <c r="O959" s="20"/>
      <c r="P959" s="29" t="str">
        <f>IFERROR(__xludf.DUMMYFUNCTION("""COMPUTED_VALUE"""),"可")</f>
        <v>可</v>
      </c>
      <c r="Q959" s="22" t="str">
        <f>IFERROR(__xludf.DUMMYFUNCTION("""COMPUTED_VALUE"""),"広告コミットOK(11/30)&lt;BR&gt;")</f>
        <v>広告コミットOK(11/30)&lt;BR&gt;</v>
      </c>
      <c r="R959" s="22" t="str">
        <f>IFERROR(__xludf.DUMMYFUNCTION("""COMPUTED_VALUE"""),"格納済")</f>
        <v>格納済</v>
      </c>
      <c r="S959" s="22" t="str">
        <f>IFERROR(__xludf.DUMMYFUNCTION("""COMPUTED_VALUE"""),"20231130_CLLENN_金曜日、プレイルームで暴かせて")</f>
        <v>20231130_CLLENN_金曜日、プレイルームで暴かせて</v>
      </c>
      <c r="T959" s="22" t="str">
        <f>IFERROR(__xludf.DUMMYFUNCTION("""COMPUTED_VALUE"""),"校了済素材")</f>
        <v>校了済素材</v>
      </c>
      <c r="U959" s="15" t="str">
        <f>IFERROR(__xludf.DUMMYFUNCTION("""COMPUTED_VALUE"""),"ⓒむじもり/CLLENN")</f>
        <v>ⓒむじもり/CLLENN</v>
      </c>
      <c r="V959" s="8" t="str">
        <f>IFERROR(__xludf.DUMMYFUNCTION("""COMPUTED_VALUE"""),"あなたのこと…全部暴きたい――社会人2年目の阿澄（あずみ）は、塩対応で考えが読めない先輩社員・黒羽（くろば）を、少し苦手に感じていた。そんなある日、同僚に連れられゲイ風俗店へ行くことになってしまった阿澄。担当してくれたのは顔を仮面で隠し『レイ』と名乗るキャスト。仮面越しでもわかる美人なレイの、とてもヤらしい言葉責めに、思わず阿澄は興奮してしまい…？後輩と先輩、客とキャスト、仮面の下に隠された二つの関係が今動きだす――")</f>
        <v>あなたのこと…全部暴きたい――社会人2年目の阿澄（あずみ）は、塩対応で考えが読めない先輩社員・黒羽（くろば）を、少し苦手に感じていた。そんなある日、同僚に連れられゲイ風俗店へ行くことになってしまった阿澄。担当してくれたのは顔を仮面で隠し『レイ』と名乗るキャスト。仮面越しでもわかる美人なレイの、とてもヤらしい言葉責めに、思わず阿澄は興奮してしまい…？後輩と先輩、客とキャスト、仮面の下に隠された二つの関係が今動きだす――</v>
      </c>
      <c r="W959" s="14"/>
      <c r="X959" s="14" t="str">
        <f>IFERROR(__xludf.DUMMYFUNCTION("""COMPUTED_VALUE"""),"有")</f>
        <v>有</v>
      </c>
      <c r="Y959" s="8" t="str">
        <f>IFERROR(__xludf.DUMMYFUNCTION("""COMPUTED_VALUE"""),"P10まで")</f>
        <v>P10まで</v>
      </c>
      <c r="Z959" s="7"/>
      <c r="AA959" s="7"/>
      <c r="AB959" s="7"/>
    </row>
    <row r="960" ht="15.75" customHeight="1">
      <c r="A960" s="26">
        <f>IFERROR(__xludf.DUMMYFUNCTION("""COMPUTED_VALUE"""),2697.0)</f>
        <v>2697</v>
      </c>
      <c r="B960" s="22" t="str">
        <f>IFERROR(__xludf.DUMMYFUNCTION("""COMPUTED_VALUE"""),"確定")</f>
        <v>確定</v>
      </c>
      <c r="C960" s="28">
        <f>IFERROR(__xludf.DUMMYFUNCTION("""COMPUTED_VALUE"""),45259.0)</f>
        <v>45259</v>
      </c>
      <c r="D960" s="28">
        <f>IFERROR(__xludf.DUMMYFUNCTION("""COMPUTED_VALUE"""),45266.0)</f>
        <v>45266</v>
      </c>
      <c r="E960" s="31">
        <f>IFERROR(__xludf.DUMMYFUNCTION("""COMPUTED_VALUE"""),283029.0)</f>
        <v>283029</v>
      </c>
      <c r="F960" s="22" t="str">
        <f>IFERROR(__xludf.DUMMYFUNCTION("""COMPUTED_VALUE"""),"ハプニング・キャンピング")</f>
        <v>ハプニング・キャンピング</v>
      </c>
      <c r="G960" s="11" t="str">
        <f>IFERROR(__xludf.DUMMYFUNCTION("""COMPUTED_VALUE"""),"1～10")</f>
        <v>1～10</v>
      </c>
      <c r="H960" s="22" t="str">
        <f>IFERROR(__xludf.DUMMYFUNCTION("""COMPUTED_VALUE"""),"革帯/redcarrot")</f>
        <v>革帯/redcarrot</v>
      </c>
      <c r="I960" s="22" t="str">
        <f>IFERROR(__xludf.DUMMYFUNCTION("""COMPUTED_VALUE"""),"青年")</f>
        <v>青年</v>
      </c>
      <c r="J960" s="22"/>
      <c r="K960" s="22"/>
      <c r="L960" s="22" t="str">
        <f>IFERROR(__xludf.DUMMYFUNCTION("""COMPUTED_VALUE"""),"Rush!")</f>
        <v>Rush!</v>
      </c>
      <c r="M960" s="23">
        <f>IFERROR(__xludf.DUMMYFUNCTION("""COMPUTED_VALUE"""),45289.0)</f>
        <v>45289</v>
      </c>
      <c r="N960" s="23">
        <f>IFERROR(__xludf.DUMMYFUNCTION("""COMPUTED_VALUE"""),45379.66666666667)</f>
        <v>45379.66667</v>
      </c>
      <c r="O960" s="20"/>
      <c r="P960" s="32" t="str">
        <f>IFERROR(__xludf.DUMMYFUNCTION("""COMPUTED_VALUE"""),"可")</f>
        <v>可</v>
      </c>
      <c r="Q960" s="30"/>
      <c r="R960" s="22"/>
      <c r="S960" s="22" t="str">
        <f>IFERROR(__xludf.DUMMYFUNCTION("""COMPUTED_VALUE"""),"20231129_ファンギルド_ハプニング・キャンピング")</f>
        <v>20231129_ファンギルド_ハプニング・キャンピング</v>
      </c>
      <c r="T960" s="22" t="str">
        <f>IFERROR(__xludf.DUMMYFUNCTION("""COMPUTED_VALUE"""),"格納済み")</f>
        <v>格納済み</v>
      </c>
      <c r="U960" s="15" t="str">
        <f>IFERROR(__xludf.DUMMYFUNCTION("""COMPUTED_VALUE"""),"©Kawaobi/redcarrot/TOPTOON")</f>
        <v>©Kawaobi/redcarrot/TOPTOON</v>
      </c>
      <c r="V960" s="8" t="str">
        <f>IFERROR(__xludf.DUMMYFUNCTION("""COMPUTED_VALUE"""),"先輩に声を掛けられ、とあるキャンプ場でバイトすることになったチャン。除隊後、暇を持て余していた彼はその誘いを承諾する。しかしそこはただのキャンプ場ではなかった――！若い男女が昼夜問わずにキャンプ以外の”楽しいコト”に明け暮れているとんでもない場所だった。バイト初日から刺激的な光景を目の当たりにしてしまったチャンも、突然見知らぬ女性に誘われ…！？美女だらけのちょっとおかしなキャンプ場で、チャンは一体どうなってしまうのか！？")</f>
        <v>先輩に声を掛けられ、とあるキャンプ場でバイトすることになったチャン。除隊後、暇を持て余していた彼はその誘いを承諾する。しかしそこはただのキャンプ場ではなかった――！若い男女が昼夜問わずにキャンプ以外の”楽しいコト”に明け暮れているとんでもない場所だった。バイト初日から刺激的な光景を目の当たりにしてしまったチャンも、突然見知らぬ女性に誘われ…！？美女だらけのちょっとおかしなキャンプ場で、チャンは一体どうなってしまうのか！？</v>
      </c>
      <c r="W960" s="14"/>
      <c r="X960" s="14" t="str">
        <f>IFERROR(__xludf.DUMMYFUNCTION("""COMPUTED_VALUE"""),"有")</f>
        <v>有</v>
      </c>
      <c r="Y960" s="8" t="str">
        <f>IFERROR(__xludf.DUMMYFUNCTION("""COMPUTED_VALUE"""),"P26まで")</f>
        <v>P26まで</v>
      </c>
      <c r="Z960" s="7"/>
      <c r="AA960" s="7"/>
      <c r="AB960" s="7"/>
    </row>
    <row r="961" ht="15.75" customHeight="1">
      <c r="A961" s="26">
        <f>IFERROR(__xludf.DUMMYFUNCTION("""COMPUTED_VALUE"""),2698.0)</f>
        <v>2698</v>
      </c>
      <c r="B961" s="22" t="str">
        <f>IFERROR(__xludf.DUMMYFUNCTION("""COMPUTED_VALUE"""),"確定")</f>
        <v>確定</v>
      </c>
      <c r="C961" s="28">
        <f>IFERROR(__xludf.DUMMYFUNCTION("""COMPUTED_VALUE"""),45259.0)</f>
        <v>45259</v>
      </c>
      <c r="D961" s="28">
        <f>IFERROR(__xludf.DUMMYFUNCTION("""COMPUTED_VALUE"""),45266.0)</f>
        <v>45266</v>
      </c>
      <c r="E961" s="31">
        <f>IFERROR(__xludf.DUMMYFUNCTION("""COMPUTED_VALUE"""),282939.0)</f>
        <v>282939</v>
      </c>
      <c r="F961" s="22" t="str">
        <f>IFERROR(__xludf.DUMMYFUNCTION("""COMPUTED_VALUE"""),"夏の果実【タテヨミ】")</f>
        <v>夏の果実【タテヨミ】</v>
      </c>
      <c r="G961" s="20" t="str">
        <f>IFERROR(__xludf.DUMMYFUNCTION("""COMPUTED_VALUE"""),"1~30")</f>
        <v>1~30</v>
      </c>
      <c r="H961" s="22" t="str">
        <f>IFERROR(__xludf.DUMMYFUNCTION("""COMPUTED_VALUE"""),"NOKO/yuwol")</f>
        <v>NOKO/yuwol</v>
      </c>
      <c r="I961" s="22" t="str">
        <f>IFERROR(__xludf.DUMMYFUNCTION("""COMPUTED_VALUE"""),"青年")</f>
        <v>青年</v>
      </c>
      <c r="J961" s="22"/>
      <c r="K961" s="22"/>
      <c r="L961" s="22" t="str">
        <f>IFERROR(__xludf.DUMMYFUNCTION("""COMPUTED_VALUE"""),"Rush!")</f>
        <v>Rush!</v>
      </c>
      <c r="M961" s="23">
        <f>IFERROR(__xludf.DUMMYFUNCTION("""COMPUTED_VALUE"""),45289.0)</f>
        <v>45289</v>
      </c>
      <c r="N961" s="23">
        <f>IFERROR(__xludf.DUMMYFUNCTION("""COMPUTED_VALUE"""),45379.66666666667)</f>
        <v>45379.66667</v>
      </c>
      <c r="O961" s="20"/>
      <c r="P961" s="32" t="str">
        <f>IFERROR(__xludf.DUMMYFUNCTION("""COMPUTED_VALUE"""),"可")</f>
        <v>可</v>
      </c>
      <c r="Q961" s="30"/>
      <c r="R961" s="22"/>
      <c r="S961" s="22" t="str">
        <f>IFERROR(__xludf.DUMMYFUNCTION("""COMPUTED_VALUE"""),"20231129_ファンギルド_夏の果実")</f>
        <v>20231129_ファンギルド_夏の果実</v>
      </c>
      <c r="T961" s="22" t="str">
        <f>IFERROR(__xludf.DUMMYFUNCTION("""COMPUTED_VALUE"""),"格納済み")</f>
        <v>格納済み</v>
      </c>
      <c r="U961" s="15" t="str">
        <f>IFERROR(__xludf.DUMMYFUNCTION("""COMPUTED_VALUE"""),"©NOKO/yuwol/TOPTOON")</f>
        <v>©NOKO/yuwol/TOPTOON</v>
      </c>
      <c r="V961" s="8" t="str">
        <f>IFERROR(__xludf.DUMMYFUNCTION("""COMPUTED_VALUE"""),"7年ぶりに故郷に帰ってきた主人公、伊藤和真。 幼馴染の民泊に住み込みで働き始める。 しかしそこでの生活は、和真を刺激する誘惑がいっぱい… セクシーな海女さんに、スタイルの良いおばさんまで… 果たして和真は、誘惑に打ち勝つことができるのだろうか！？【※この作品はTOPTOON JPで配信されている「ハジけろ！夏の果実」と同内容の作品です。】")</f>
        <v>7年ぶりに故郷に帰ってきた主人公、伊藤和真。 幼馴染の民泊に住み込みで働き始める。 しかしそこでの生活は、和真を刺激する誘惑がいっぱい… セクシーな海女さんに、スタイルの良いおばさんまで… 果たして和真は、誘惑に打ち勝つことができるのだろうか！？【※この作品はTOPTOON JPで配信されている「ハジけろ！夏の果実」と同内容の作品です。】</v>
      </c>
      <c r="W961" s="14"/>
      <c r="X961" s="14" t="str">
        <f>IFERROR(__xludf.DUMMYFUNCTION("""COMPUTED_VALUE"""),"有")</f>
        <v>有</v>
      </c>
      <c r="Y961" s="8" t="str">
        <f>IFERROR(__xludf.DUMMYFUNCTION("""COMPUTED_VALUE"""),"3巻無料")</f>
        <v>3巻無料</v>
      </c>
      <c r="Z961" s="7"/>
      <c r="AA961" s="7"/>
      <c r="AB961" s="7"/>
    </row>
    <row r="962" ht="81.75" customHeight="1">
      <c r="A962" s="26">
        <f>IFERROR(__xludf.DUMMYFUNCTION("""COMPUTED_VALUE"""),2710.0)</f>
        <v>2710</v>
      </c>
      <c r="B962" s="22" t="str">
        <f>IFERROR(__xludf.DUMMYFUNCTION("""COMPUTED_VALUE"""),"確定")</f>
        <v>確定</v>
      </c>
      <c r="C962" s="28">
        <f>IFERROR(__xludf.DUMMYFUNCTION("""COMPUTED_VALUE"""),45260.0)</f>
        <v>45260</v>
      </c>
      <c r="D962" s="28">
        <f>IFERROR(__xludf.DUMMYFUNCTION("""COMPUTED_VALUE"""),45266.0)</f>
        <v>45266</v>
      </c>
      <c r="E962" s="31">
        <f>IFERROR(__xludf.DUMMYFUNCTION("""COMPUTED_VALUE"""),283047.0)</f>
        <v>283047</v>
      </c>
      <c r="F962" s="22" t="str">
        <f>IFERROR(__xludf.DUMMYFUNCTION("""COMPUTED_VALUE"""),"Sab(サブ)な彼女の裏事情")</f>
        <v>Sab(サブ)な彼女の裏事情</v>
      </c>
      <c r="G962" s="11" t="str">
        <f>IFERROR(__xludf.DUMMYFUNCTION("""COMPUTED_VALUE"""),"1～15")</f>
        <v>1～15</v>
      </c>
      <c r="H962" s="22" t="str">
        <f>IFERROR(__xludf.DUMMYFUNCTION("""COMPUTED_VALUE"""),"シャンプー・ジュニョン")</f>
        <v>シャンプー・ジュニョン</v>
      </c>
      <c r="I962" s="22" t="str">
        <f>IFERROR(__xludf.DUMMYFUNCTION("""COMPUTED_VALUE"""),"青年")</f>
        <v>青年</v>
      </c>
      <c r="J962" s="22"/>
      <c r="K962" s="22"/>
      <c r="L962" s="22" t="str">
        <f>IFERROR(__xludf.DUMMYFUNCTION("""COMPUTED_VALUE"""),"Full Color Comics")</f>
        <v>Full Color Comics</v>
      </c>
      <c r="M962" s="23">
        <f>IFERROR(__xludf.DUMMYFUNCTION("""COMPUTED_VALUE"""),45282.0)</f>
        <v>45282</v>
      </c>
      <c r="N962" s="23">
        <f>IFERROR(__xludf.DUMMYFUNCTION("""COMPUTED_VALUE"""),45372.0)</f>
        <v>45372</v>
      </c>
      <c r="O962" s="20"/>
      <c r="P962" s="32" t="str">
        <f>IFERROR(__xludf.DUMMYFUNCTION("""COMPUTED_VALUE"""),"可")</f>
        <v>可</v>
      </c>
      <c r="Q962" s="22"/>
      <c r="R962" s="22" t="str">
        <f>IFERROR(__xludf.DUMMYFUNCTION("""COMPUTED_VALUE"""),"格納済")</f>
        <v>格納済</v>
      </c>
      <c r="S962" s="22" t="str">
        <f>IFERROR(__xludf.DUMMYFUNCTION("""COMPUTED_VALUE"""),"20231130_FullColorComics_Sab(サブ)な彼女の裏事情")</f>
        <v>20231130_FullColorComics_Sab(サブ)な彼女の裏事情</v>
      </c>
      <c r="T962" s="22" t="str">
        <f>IFERROR(__xludf.DUMMYFUNCTION("""COMPUTED_VALUE"""),"格納済み")</f>
        <v>格納済み</v>
      </c>
      <c r="U962" s="15" t="str">
        <f>IFERROR(__xludf.DUMMYFUNCTION("""COMPUTED_VALUE"""),"(C)Webtoon KoiContent")</f>
        <v>(C)Webtoon KoiContent</v>
      </c>
      <c r="V962" s="8" t="str">
        <f>IFERROR(__xludf.DUMMYFUNCTION("""COMPUTED_VALUE"""),"翔太はアダルトサイトの運営者。ある日、サイトで彼女に似た女性の投稿を見つけ、彼女の性的趣向を知る！ しかも、別の男とホテルに!? そんな彼女への当てつけに、サイトに投稿した女性たちに近づくのだが…")</f>
        <v>翔太はアダルトサイトの運営者。ある日、サイトで彼女に似た女性の投稿を見つけ、彼女の性的趣向を知る！ しかも、別の男とホテルに!? そんな彼女への当てつけに、サイトに投稿した女性たちに近づくのだが…</v>
      </c>
      <c r="W962" s="14"/>
      <c r="X962" s="14" t="str">
        <f>IFERROR(__xludf.DUMMYFUNCTION("""COMPUTED_VALUE"""),"有")</f>
        <v>有</v>
      </c>
      <c r="Y962" s="8" t="str">
        <f>IFERROR(__xludf.DUMMYFUNCTION("""COMPUTED_VALUE"""),"1巻無料")</f>
        <v>1巻無料</v>
      </c>
      <c r="Z962" s="7"/>
      <c r="AA962" s="7"/>
      <c r="AB962" s="7"/>
    </row>
    <row r="963" ht="15.75" customHeight="1">
      <c r="A963" s="26">
        <f>IFERROR(__xludf.DUMMYFUNCTION("""COMPUTED_VALUE"""),2711.0)</f>
        <v>2711</v>
      </c>
      <c r="B963" s="22" t="str">
        <f>IFERROR(__xludf.DUMMYFUNCTION("""COMPUTED_VALUE"""),"確定")</f>
        <v>確定</v>
      </c>
      <c r="C963" s="28">
        <f>IFERROR(__xludf.DUMMYFUNCTION("""COMPUTED_VALUE"""),45260.0)</f>
        <v>45260</v>
      </c>
      <c r="D963" s="28">
        <f>IFERROR(__xludf.DUMMYFUNCTION("""COMPUTED_VALUE"""),45266.0)</f>
        <v>45266</v>
      </c>
      <c r="E963" s="31">
        <f>IFERROR(__xludf.DUMMYFUNCTION("""COMPUTED_VALUE"""),283048.0)</f>
        <v>283048</v>
      </c>
      <c r="F963" s="22" t="str">
        <f>IFERROR(__xludf.DUMMYFUNCTION("""COMPUTED_VALUE"""),"アプローチはお静かに～元プロゴルファーがオ・モ・テ・ナ・シ")</f>
        <v>アプローチはお静かに～元プロゴルファーがオ・モ・テ・ナ・シ</v>
      </c>
      <c r="G963" s="20" t="str">
        <f>IFERROR(__xludf.DUMMYFUNCTION("""COMPUTED_VALUE"""),"1~6")</f>
        <v>1~6</v>
      </c>
      <c r="H963" s="22" t="str">
        <f>IFERROR(__xludf.DUMMYFUNCTION("""COMPUTED_VALUE"""),"FACON")</f>
        <v>FACON</v>
      </c>
      <c r="I963" s="22" t="str">
        <f>IFERROR(__xludf.DUMMYFUNCTION("""COMPUTED_VALUE"""),"青年")</f>
        <v>青年</v>
      </c>
      <c r="J963" s="22"/>
      <c r="K963" s="22"/>
      <c r="L963" s="22" t="str">
        <f>IFERROR(__xludf.DUMMYFUNCTION("""COMPUTED_VALUE"""),"Full Color Comics")</f>
        <v>Full Color Comics</v>
      </c>
      <c r="M963" s="23">
        <f>IFERROR(__xludf.DUMMYFUNCTION("""COMPUTED_VALUE"""),45282.0)</f>
        <v>45282</v>
      </c>
      <c r="N963" s="23">
        <f>IFERROR(__xludf.DUMMYFUNCTION("""COMPUTED_VALUE"""),45372.0)</f>
        <v>45372</v>
      </c>
      <c r="O963" s="20"/>
      <c r="P963" s="32" t="str">
        <f>IFERROR(__xludf.DUMMYFUNCTION("""COMPUTED_VALUE"""),"可")</f>
        <v>可</v>
      </c>
      <c r="Q963" s="22"/>
      <c r="R963" s="22" t="str">
        <f>IFERROR(__xludf.DUMMYFUNCTION("""COMPUTED_VALUE"""),"格納済")</f>
        <v>格納済</v>
      </c>
      <c r="S963" s="22" t="str">
        <f>IFERROR(__xludf.DUMMYFUNCTION("""COMPUTED_VALUE"""),"20231130_FullColorComics_アプローチはお静かに～元プロゴルファーがオ・モ・テ・ナ・シ")</f>
        <v>20231130_FullColorComics_アプローチはお静かに～元プロゴルファーがオ・モ・テ・ナ・シ</v>
      </c>
      <c r="T963" s="22" t="str">
        <f>IFERROR(__xludf.DUMMYFUNCTION("""COMPUTED_VALUE"""),"格納済み")</f>
        <v>格納済み</v>
      </c>
      <c r="U963" s="15" t="str">
        <f>IFERROR(__xludf.DUMMYFUNCTION("""COMPUTED_VALUE"""),"(C)FACON")</f>
        <v>(C)FACON</v>
      </c>
      <c r="V963" s="8" t="str">
        <f>IFERROR(__xludf.DUMMYFUNCTION("""COMPUTED_VALUE"""),"プロゴルファーの樹里は身に覚えのない冤罪でプロ資格を剥奪されてしまう。さらに不渡りを起こして生活が苦しくなった両親のために「キャディー」になることを決心する。同僚達から嫌がらせ、客からセクハラを受ける日々…次第に状況は悪化してついには犯されてしまう。ある日息子から全ての元凶は旦那だったことを知らされ「やられてばかりではいられない」と反撃に出るが…")</f>
        <v>プロゴルファーの樹里は身に覚えのない冤罪でプロ資格を剥奪されてしまう。さらに不渡りを起こして生活が苦しくなった両親のために「キャディー」になることを決心する。同僚達から嫌がらせ、客からセクハラを受ける日々…次第に状況は悪化してついには犯されてしまう。ある日息子から全ての元凶は旦那だったことを知らされ「やられてばかりではいられない」と反撃に出るが…</v>
      </c>
      <c r="W963" s="14"/>
      <c r="X963" s="14" t="str">
        <f>IFERROR(__xludf.DUMMYFUNCTION("""COMPUTED_VALUE"""),"有")</f>
        <v>有</v>
      </c>
      <c r="Y963" s="8" t="str">
        <f>IFERROR(__xludf.DUMMYFUNCTION("""COMPUTED_VALUE"""),"1巻無料")</f>
        <v>1巻無料</v>
      </c>
      <c r="Z963" s="7"/>
      <c r="AA963" s="7"/>
      <c r="AB963" s="7"/>
    </row>
    <row r="964" ht="15.75" customHeight="1">
      <c r="A964" s="26">
        <f>IFERROR(__xludf.DUMMYFUNCTION("""COMPUTED_VALUE"""),2712.0)</f>
        <v>2712</v>
      </c>
      <c r="B964" s="22" t="str">
        <f>IFERROR(__xludf.DUMMYFUNCTION("""COMPUTED_VALUE"""),"確定")</f>
        <v>確定</v>
      </c>
      <c r="C964" s="28">
        <f>IFERROR(__xludf.DUMMYFUNCTION("""COMPUTED_VALUE"""),45264.0)</f>
        <v>45264</v>
      </c>
      <c r="D964" s="28">
        <f>IFERROR(__xludf.DUMMYFUNCTION("""COMPUTED_VALUE"""),45266.0)</f>
        <v>45266</v>
      </c>
      <c r="E964" s="31">
        <f>IFERROR(__xludf.DUMMYFUNCTION("""COMPUTED_VALUE"""),284249.0)</f>
        <v>284249</v>
      </c>
      <c r="F964" s="22" t="str">
        <f>IFERROR(__xludf.DUMMYFUNCTION("""COMPUTED_VALUE"""),"彼女の妹～半年間、誘惑だらけのサンカク関係")</f>
        <v>彼女の妹～半年間、誘惑だらけのサンカク関係</v>
      </c>
      <c r="G964" s="20" t="str">
        <f>IFERROR(__xludf.DUMMYFUNCTION("""COMPUTED_VALUE"""),"1～3")</f>
        <v>1～3</v>
      </c>
      <c r="H964" s="22" t="str">
        <f>IFERROR(__xludf.DUMMYFUNCTION("""COMPUTED_VALUE"""),"めぎ")</f>
        <v>めぎ</v>
      </c>
      <c r="I964" s="22" t="str">
        <f>IFERROR(__xludf.DUMMYFUNCTION("""COMPUTED_VALUE"""),"青年")</f>
        <v>青年</v>
      </c>
      <c r="J964" s="22"/>
      <c r="K964" s="22"/>
      <c r="L964" s="22" t="str">
        <f>IFERROR(__xludf.DUMMYFUNCTION("""COMPUTED_VALUE"""),"Rush!")</f>
        <v>Rush!</v>
      </c>
      <c r="M964" s="23">
        <f>IFERROR(__xludf.DUMMYFUNCTION("""COMPUTED_VALUE"""),45316.0)</f>
        <v>45316</v>
      </c>
      <c r="N964" s="23">
        <f>IFERROR(__xludf.DUMMYFUNCTION("""COMPUTED_VALUE"""),45343.0)</f>
        <v>45343</v>
      </c>
      <c r="O964" s="20"/>
      <c r="P964" s="32" t="str">
        <f>IFERROR(__xludf.DUMMYFUNCTION("""COMPUTED_VALUE"""),"可")</f>
        <v>可</v>
      </c>
      <c r="Q964" s="30"/>
      <c r="R964" s="22"/>
      <c r="S964" s="22" t="str">
        <f>IFERROR(__xludf.DUMMYFUNCTION("""COMPUTED_VALUE"""),"20231204_ファンギルド_彼女の妹～半年間、誘惑だらけのサンカク関係")</f>
        <v>20231204_ファンギルド_彼女の妹～半年間、誘惑だらけのサンカク関係</v>
      </c>
      <c r="T964" s="22" t="str">
        <f>IFERROR(__xludf.DUMMYFUNCTION("""COMPUTED_VALUE"""),"格納済み")</f>
        <v>格納済み</v>
      </c>
      <c r="U964" s="15" t="str">
        <f>IFERROR(__xludf.DUMMYFUNCTION("""COMPUTED_VALUE"""),"©Megi")</f>
        <v>©Megi</v>
      </c>
      <c r="V964" s="8" t="str">
        <f>IFERROR(__xludf.DUMMYFUNCTION("""COMPUTED_VALUE"""),"【カノジョと間違えて、その妹とベットの中で…!?】最愛の彼女・遥にプロポーズを成功させ、実家に挨拶へ行くこととなった一志。そこで遥の妹・悠希と出会うーー。その夜、遥の家に泊まることになった一志はリビングに敷いた布団で寝ていると、”誰か”が布団に入ってくるのを感じる… てっきり遥だと思い、寝ぼけて抱きしめた”カノジョ”は、まさかの悠希の方でーー!?　幸せな新婚生活前に忍び寄る甘い誘惑… バレたらヤバすぎる、小悪魔な義妹と最愛の彼女との三角関係が始まる。")</f>
        <v>【カノジョと間違えて、その妹とベットの中で…!?】最愛の彼女・遥にプロポーズを成功させ、実家に挨拶へ行くこととなった一志。そこで遥の妹・悠希と出会うーー。その夜、遥の家に泊まることになった一志はリビングに敷いた布団で寝ていると、”誰か”が布団に入ってくるのを感じる… てっきり遥だと思い、寝ぼけて抱きしめた”カノジョ”は、まさかの悠希の方でーー!?　幸せな新婚生活前に忍び寄る甘い誘惑… バレたらヤバすぎる、小悪魔な義妹と最愛の彼女との三角関係が始まる。</v>
      </c>
      <c r="W964" s="14"/>
      <c r="X964" s="14" t="str">
        <f>IFERROR(__xludf.DUMMYFUNCTION("""COMPUTED_VALUE"""),"有")</f>
        <v>有</v>
      </c>
      <c r="Y964" s="8" t="str">
        <f>IFERROR(__xludf.DUMMYFUNCTION("""COMPUTED_VALUE"""),"P7まで")</f>
        <v>P7まで</v>
      </c>
      <c r="Z964" s="7"/>
      <c r="AA964" s="7"/>
      <c r="AB964" s="7"/>
    </row>
    <row r="965" ht="15.75" customHeight="1">
      <c r="A965" s="26">
        <f>IFERROR(__xludf.DUMMYFUNCTION("""COMPUTED_VALUE"""),2713.0)</f>
        <v>2713</v>
      </c>
      <c r="B965" s="22" t="str">
        <f>IFERROR(__xludf.DUMMYFUNCTION("""COMPUTED_VALUE"""),"確定")</f>
        <v>確定</v>
      </c>
      <c r="C965" s="28">
        <f>IFERROR(__xludf.DUMMYFUNCTION("""COMPUTED_VALUE"""),45264.0)</f>
        <v>45264</v>
      </c>
      <c r="D965" s="28">
        <f>IFERROR(__xludf.DUMMYFUNCTION("""COMPUTED_VALUE"""),45266.0)</f>
        <v>45266</v>
      </c>
      <c r="E965" s="31">
        <f>IFERROR(__xludf.DUMMYFUNCTION("""COMPUTED_VALUE"""),283592.0)</f>
        <v>283592</v>
      </c>
      <c r="F965" s="22" t="str">
        <f>IFERROR(__xludf.DUMMYFUNCTION("""COMPUTED_VALUE"""),"異世界妻は妖しい天魔")</f>
        <v>異世界妻は妖しい天魔</v>
      </c>
      <c r="G965" s="11" t="str">
        <f>IFERROR(__xludf.DUMMYFUNCTION("""COMPUTED_VALUE"""),"1～4")</f>
        <v>1～4</v>
      </c>
      <c r="H965" s="22" t="str">
        <f>IFERROR(__xludf.DUMMYFUNCTION("""COMPUTED_VALUE"""),"manstew/カモノハシ/KJH")</f>
        <v>manstew/カモノハシ/KJH</v>
      </c>
      <c r="I965" s="22" t="str">
        <f>IFERROR(__xludf.DUMMYFUNCTION("""COMPUTED_VALUE"""),"青年")</f>
        <v>青年</v>
      </c>
      <c r="J965" s="22"/>
      <c r="K965" s="22"/>
      <c r="L965" s="22" t="str">
        <f>IFERROR(__xludf.DUMMYFUNCTION("""COMPUTED_VALUE"""),"Rush!")</f>
        <v>Rush!</v>
      </c>
      <c r="M965" s="23">
        <f>IFERROR(__xludf.DUMMYFUNCTION("""COMPUTED_VALUE"""),45303.0)</f>
        <v>45303</v>
      </c>
      <c r="N965" s="23">
        <f>IFERROR(__xludf.DUMMYFUNCTION("""COMPUTED_VALUE"""),45330.0)</f>
        <v>45330</v>
      </c>
      <c r="O965" s="20"/>
      <c r="P965" s="32" t="str">
        <f>IFERROR(__xludf.DUMMYFUNCTION("""COMPUTED_VALUE"""),"可")</f>
        <v>可</v>
      </c>
      <c r="Q965" s="30"/>
      <c r="R965" s="22"/>
      <c r="S965" s="22" t="str">
        <f>IFERROR(__xludf.DUMMYFUNCTION("""COMPUTED_VALUE"""),"20231204_ファンギルド_異世界妻は妖しい天魔")</f>
        <v>20231204_ファンギルド_異世界妻は妖しい天魔</v>
      </c>
      <c r="T965" s="22" t="str">
        <f>IFERROR(__xludf.DUMMYFUNCTION("""COMPUTED_VALUE"""),"格納済み")</f>
        <v>格納済み</v>
      </c>
      <c r="U965" s="15" t="str">
        <f>IFERROR(__xludf.DUMMYFUNCTION("""COMPUTED_VALUE"""),"©manstew/カモノハシ/KJH")</f>
        <v>©manstew/カモノハシ/KJH</v>
      </c>
      <c r="V965" s="8" t="str">
        <f>IFERROR(__xludf.DUMMYFUNCTION("""COMPUTED_VALUE"""),"ひょんなことから武侠世界へ異世界転生した仁道 雄爾（じんどう ゆうじ）は、川岸で桃色の髪とたわわに実った乳房を携えた女性・四華（ヨンファ）を助ける事に。目覚めた彼女は天魔がいないとされるこの世界で、「天魔」を自称する妖しい存在だった。力を失い回復が必要だった彼女のため、一人暮らしをする雄爾の家で同居を始める。突然の異性との共同生活に妄想が止まらない雄爾だったが、その日常はとある訪問者によって終わりを告げて――！？「四華…俺は君が好きだ」熱いバトルと巨乳美人天魔とのお熱い武侠異世界冒険譚！！")</f>
        <v>ひょんなことから武侠世界へ異世界転生した仁道 雄爾（じんどう ゆうじ）は、川岸で桃色の髪とたわわに実った乳房を携えた女性・四華（ヨンファ）を助ける事に。目覚めた彼女は天魔がいないとされるこの世界で、「天魔」を自称する妖しい存在だった。力を失い回復が必要だった彼女のため、一人暮らしをする雄爾の家で同居を始める。突然の異性との共同生活に妄想が止まらない雄爾だったが、その日常はとある訪問者によって終わりを告げて――！？「四華…俺は君が好きだ」熱いバトルと巨乳美人天魔とのお熱い武侠異世界冒険譚！！</v>
      </c>
      <c r="W965" s="14"/>
      <c r="X965" s="14" t="str">
        <f>IFERROR(__xludf.DUMMYFUNCTION("""COMPUTED_VALUE"""),"無")</f>
        <v>無</v>
      </c>
      <c r="Y965" s="8" t="str">
        <f>IFERROR(__xludf.DUMMYFUNCTION("""COMPUTED_VALUE"""),"2024/1/25まで1巻無料")</f>
        <v>2024/1/25まで1巻無料</v>
      </c>
      <c r="Z965" s="7"/>
      <c r="AA965" s="7"/>
      <c r="AB965" s="7"/>
    </row>
    <row r="966" ht="15.75" customHeight="1">
      <c r="A966" s="26">
        <f>IFERROR(__xludf.DUMMYFUNCTION("""COMPUTED_VALUE"""),2714.0)</f>
        <v>2714</v>
      </c>
      <c r="B966" s="22" t="str">
        <f>IFERROR(__xludf.DUMMYFUNCTION("""COMPUTED_VALUE"""),"確定")</f>
        <v>確定</v>
      </c>
      <c r="C966" s="28">
        <f>IFERROR(__xludf.DUMMYFUNCTION("""COMPUTED_VALUE"""),45264.0)</f>
        <v>45264</v>
      </c>
      <c r="D966" s="28">
        <f>IFERROR(__xludf.DUMMYFUNCTION("""COMPUTED_VALUE"""),45266.0)</f>
        <v>45266</v>
      </c>
      <c r="E966" s="31">
        <f>IFERROR(__xludf.DUMMYFUNCTION("""COMPUTED_VALUE"""),284251.0)</f>
        <v>284251</v>
      </c>
      <c r="F966" s="22" t="str">
        <f>IFERROR(__xludf.DUMMYFUNCTION("""COMPUTED_VALUE"""),"水平落下")</f>
        <v>水平落下</v>
      </c>
      <c r="G966" s="20" t="str">
        <f>IFERROR(__xludf.DUMMYFUNCTION("""COMPUTED_VALUE"""),"1～3")</f>
        <v>1～3</v>
      </c>
      <c r="H966" s="22" t="str">
        <f>IFERROR(__xludf.DUMMYFUNCTION("""COMPUTED_VALUE"""),"TeamS＆S")</f>
        <v>TeamS＆S</v>
      </c>
      <c r="I966" s="22" t="str">
        <f>IFERROR(__xludf.DUMMYFUNCTION("""COMPUTED_VALUE"""),"BL")</f>
        <v>BL</v>
      </c>
      <c r="J966" s="22"/>
      <c r="K966" s="22"/>
      <c r="L966" s="22" t="str">
        <f>IFERROR(__xludf.DUMMYFUNCTION("""COMPUTED_VALUE"""),"Rush!")</f>
        <v>Rush!</v>
      </c>
      <c r="M966" s="23">
        <f>IFERROR(__xludf.DUMMYFUNCTION("""COMPUTED_VALUE"""),45315.0)</f>
        <v>45315</v>
      </c>
      <c r="N966" s="23">
        <f>IFERROR(__xludf.DUMMYFUNCTION("""COMPUTED_VALUE"""),45342.0)</f>
        <v>45342</v>
      </c>
      <c r="O966" s="20"/>
      <c r="P966" s="29" t="str">
        <f>IFERROR(__xludf.DUMMYFUNCTION("""COMPUTED_VALUE"""),"可")</f>
        <v>可</v>
      </c>
      <c r="Q966" s="30" t="str">
        <f>IFERROR(__xludf.DUMMYFUNCTION("""COMPUTED_VALUE"""),"素材はタテ素材も入れておりますが版面での展開を希望です。（タテは同日で1~9話配信）")</f>
        <v>素材はタテ素材も入れておりますが版面での展開を希望です。（タテは同日で1~9話配信）</v>
      </c>
      <c r="R966" s="22"/>
      <c r="S966" s="22" t="str">
        <f>IFERROR(__xludf.DUMMYFUNCTION("""COMPUTED_VALUE"""),"20231204_ファンギルド_水平落下")</f>
        <v>20231204_ファンギルド_水平落下</v>
      </c>
      <c r="T966" s="22" t="str">
        <f>IFERROR(__xludf.DUMMYFUNCTION("""COMPUTED_VALUE"""),"格納済み")</f>
        <v>格納済み</v>
      </c>
      <c r="U966" s="15" t="str">
        <f>IFERROR(__xludf.DUMMYFUNCTION("""COMPUTED_VALUE"""),"©TeamS＆S")</f>
        <v>©TeamS＆S</v>
      </c>
      <c r="V966" s="8" t="str">
        <f>IFERROR(__xludf.DUMMYFUNCTION("""COMPUTED_VALUE"""),"内気な青年・ハンジュは、酔った勢いで大学の先輩・チャンヨンに告白をする。返ってきた答えは――身体だけの関係。あれだけ欲しがっていたものを手に入れたはずなのに、惨めで鬱々とした日々を過ごしていた。そんなある日、ハンジュの父が再婚し義理の兄ができた。義兄・ジヒョンは心穏やかで優しく、ハンジュは彼と過ごす時間を心地よく感じ始める。しかし、ジヒョンといると不気味な事ばかりが起こった。ジヒョンを危険人物だと認識したチャンヨンはハンジュに忠告をする。ハンジュの事を心の底から想った事など、これまで一度もなかったはずなの"&amp;"に――。交錯する青年たちの、どこか不思議でどこか不気味な三角関係の行方は…。")</f>
        <v>内気な青年・ハンジュは、酔った勢いで大学の先輩・チャンヨンに告白をする。返ってきた答えは――身体だけの関係。あれだけ欲しがっていたものを手に入れたはずなのに、惨めで鬱々とした日々を過ごしていた。そんなある日、ハンジュの父が再婚し義理の兄ができた。義兄・ジヒョンは心穏やかで優しく、ハンジュは彼と過ごす時間を心地よく感じ始める。しかし、ジヒョンといると不気味な事ばかりが起こった。ジヒョンを危険人物だと認識したチャンヨンはハンジュに忠告をする。ハンジュの事を心の底から想った事など、これまで一度もなかったはずなのに――。交錯する青年たちの、どこか不思議でどこか不気味な三角関係の行方は…。</v>
      </c>
      <c r="W966" s="14"/>
      <c r="X966" s="14" t="str">
        <f>IFERROR(__xludf.DUMMYFUNCTION("""COMPUTED_VALUE"""),"有")</f>
        <v>有</v>
      </c>
      <c r="Y966" s="8" t="str">
        <f>IFERROR(__xludf.DUMMYFUNCTION("""COMPUTED_VALUE"""),"P10まで")</f>
        <v>P10まで</v>
      </c>
      <c r="Z966" s="7"/>
      <c r="AA966" s="7"/>
      <c r="AB966" s="7"/>
    </row>
    <row r="967" ht="15.75" customHeight="1">
      <c r="A967" s="26">
        <f>IFERROR(__xludf.DUMMYFUNCTION("""COMPUTED_VALUE"""),2715.0)</f>
        <v>2715</v>
      </c>
      <c r="B967" s="22" t="str">
        <f>IFERROR(__xludf.DUMMYFUNCTION("""COMPUTED_VALUE"""),"確定")</f>
        <v>確定</v>
      </c>
      <c r="C967" s="28">
        <f>IFERROR(__xludf.DUMMYFUNCTION("""COMPUTED_VALUE"""),45264.0)</f>
        <v>45264</v>
      </c>
      <c r="D967" s="28">
        <f>IFERROR(__xludf.DUMMYFUNCTION("""COMPUTED_VALUE"""),45266.0)</f>
        <v>45266</v>
      </c>
      <c r="E967" s="31">
        <f>IFERROR(__xludf.DUMMYFUNCTION("""COMPUTED_VALUE"""),284250.0)</f>
        <v>284250</v>
      </c>
      <c r="F967" s="22" t="str">
        <f>IFERROR(__xludf.DUMMYFUNCTION("""COMPUTED_VALUE"""),"秘密の女子大性活")</f>
        <v>秘密の女子大性活</v>
      </c>
      <c r="G967" s="11" t="str">
        <f>IFERROR(__xludf.DUMMYFUNCTION("""COMPUTED_VALUE"""),"1～4")</f>
        <v>1～4</v>
      </c>
      <c r="H967" s="22" t="str">
        <f>IFERROR(__xludf.DUMMYFUNCTION("""COMPUTED_VALUE"""),"guunhanchi/Minsu")</f>
        <v>guunhanchi/Minsu</v>
      </c>
      <c r="I967" s="22" t="str">
        <f>IFERROR(__xludf.DUMMYFUNCTION("""COMPUTED_VALUE"""),"青年")</f>
        <v>青年</v>
      </c>
      <c r="J967" s="22"/>
      <c r="K967" s="22"/>
      <c r="L967" s="22" t="str">
        <f>IFERROR(__xludf.DUMMYFUNCTION("""COMPUTED_VALUE"""),"Rush!")</f>
        <v>Rush!</v>
      </c>
      <c r="M967" s="23">
        <f>IFERROR(__xludf.DUMMYFUNCTION("""COMPUTED_VALUE"""),45310.0)</f>
        <v>45310</v>
      </c>
      <c r="N967" s="23">
        <f>IFERROR(__xludf.DUMMYFUNCTION("""COMPUTED_VALUE"""),45337.0)</f>
        <v>45337</v>
      </c>
      <c r="O967" s="20"/>
      <c r="P967" s="32" t="str">
        <f>IFERROR(__xludf.DUMMYFUNCTION("""COMPUTED_VALUE"""),"可")</f>
        <v>可</v>
      </c>
      <c r="Q967" s="30"/>
      <c r="R967" s="22"/>
      <c r="S967" s="22" t="str">
        <f>IFERROR(__xludf.DUMMYFUNCTION("""COMPUTED_VALUE"""),"20231204_ファンギルド_秘密の女子大性活")</f>
        <v>20231204_ファンギルド_秘密の女子大性活</v>
      </c>
      <c r="T967" s="22" t="str">
        <f>IFERROR(__xludf.DUMMYFUNCTION("""COMPUTED_VALUE"""),"格納済み")</f>
        <v>格納済み</v>
      </c>
      <c r="U967" s="15" t="str">
        <f>IFERROR(__xludf.DUMMYFUNCTION("""COMPUTED_VALUE"""),"©guunhanchi/Minsu/TOPTOON")</f>
        <v>©guunhanchi/Minsu/TOPTOON</v>
      </c>
      <c r="V967" s="8" t="str">
        <f>IFERROR(__xludf.DUMMYFUNCTION("""COMPUTED_VALUE"""),"女子大――それは男が足を踏み入れる事を許されぬ禁断の花園。そんなキャンパスに、本来いるはずのない男子学生が一人。名をカン・サンチョル。諸般の事情から華の女子大生？となったサンチョルは、夢とその他諸々を膨らませていた。しかし、足を踏み入れたその先は…軍隊のような規律に満ちた年功序列の別世界！？黒一点のサンチョルには美人な先輩方からの熱い指導が待っていて――。「私の…触ってみる？」漢（おとこ）・サンチョルの華の女子大性活が幕を開ける！")</f>
        <v>女子大――それは男が足を踏み入れる事を許されぬ禁断の花園。そんなキャンパスに、本来いるはずのない男子学生が一人。名をカン・サンチョル。諸般の事情から華の女子大生？となったサンチョルは、夢とその他諸々を膨らませていた。しかし、足を踏み入れたその先は…軍隊のような規律に満ちた年功序列の別世界！？黒一点のサンチョルには美人な先輩方からの熱い指導が待っていて――。「私の…触ってみる？」漢（おとこ）・サンチョルの華の女子大性活が幕を開ける！</v>
      </c>
      <c r="W967" s="14"/>
      <c r="X967" s="14" t="str">
        <f>IFERROR(__xludf.DUMMYFUNCTION("""COMPUTED_VALUE"""),"有")</f>
        <v>有</v>
      </c>
      <c r="Y967" s="8" t="str">
        <f>IFERROR(__xludf.DUMMYFUNCTION("""COMPUTED_VALUE"""),"P16まで")</f>
        <v>P16まで</v>
      </c>
      <c r="Z967" s="7"/>
      <c r="AA967" s="7"/>
      <c r="AB967" s="7"/>
    </row>
    <row r="968" ht="15.75" customHeight="1">
      <c r="A968" s="26">
        <f>IFERROR(__xludf.DUMMYFUNCTION("""COMPUTED_VALUE"""),2716.0)</f>
        <v>2716</v>
      </c>
      <c r="B968" s="22" t="str">
        <f>IFERROR(__xludf.DUMMYFUNCTION("""COMPUTED_VALUE"""),"確定")</f>
        <v>確定</v>
      </c>
      <c r="C968" s="28">
        <f>IFERROR(__xludf.DUMMYFUNCTION("""COMPUTED_VALUE"""),45264.0)</f>
        <v>45264</v>
      </c>
      <c r="D968" s="28">
        <f>IFERROR(__xludf.DUMMYFUNCTION("""COMPUTED_VALUE"""),45266.0)</f>
        <v>45266</v>
      </c>
      <c r="E968" s="31">
        <f>IFERROR(__xludf.DUMMYFUNCTION("""COMPUTED_VALUE"""),284241.0)</f>
        <v>284241</v>
      </c>
      <c r="F968" s="22" t="str">
        <f>IFERROR(__xludf.DUMMYFUNCTION("""COMPUTED_VALUE"""),"お前の美味しい顔が見たい")</f>
        <v>お前の美味しい顔が見たい</v>
      </c>
      <c r="G968" s="11" t="str">
        <f>IFERROR(__xludf.DUMMYFUNCTION("""COMPUTED_VALUE"""),"1～4")</f>
        <v>1～4</v>
      </c>
      <c r="H968" s="22" t="str">
        <f>IFERROR(__xludf.DUMMYFUNCTION("""COMPUTED_VALUE"""),"奥道庵")</f>
        <v>奥道庵</v>
      </c>
      <c r="I968" s="22" t="str">
        <f>IFERROR(__xludf.DUMMYFUNCTION("""COMPUTED_VALUE"""),"女性")</f>
        <v>女性</v>
      </c>
      <c r="J968" s="22"/>
      <c r="K968" s="22"/>
      <c r="L968" s="22" t="str">
        <f>IFERROR(__xludf.DUMMYFUNCTION("""COMPUTED_VALUE"""),"ファンギルド")</f>
        <v>ファンギルド</v>
      </c>
      <c r="M968" s="23">
        <f>IFERROR(__xludf.DUMMYFUNCTION("""COMPUTED_VALUE"""),45315.0)</f>
        <v>45315</v>
      </c>
      <c r="N968" s="23">
        <f>IFERROR(__xludf.DUMMYFUNCTION("""COMPUTED_VALUE"""),45349.0)</f>
        <v>45349</v>
      </c>
      <c r="O968" s="20"/>
      <c r="P968" s="32" t="str">
        <f>IFERROR(__xludf.DUMMYFUNCTION("""COMPUTED_VALUE"""),"可")</f>
        <v>可</v>
      </c>
      <c r="Q968" s="30"/>
      <c r="R968" s="22"/>
      <c r="S968" s="22" t="str">
        <f>IFERROR(__xludf.DUMMYFUNCTION("""COMPUTED_VALUE"""),"20231204_ファンギルド_お前の美味しい顔が見たい")</f>
        <v>20231204_ファンギルド_お前の美味しい顔が見たい</v>
      </c>
      <c r="T968" s="22" t="str">
        <f>IFERROR(__xludf.DUMMYFUNCTION("""COMPUTED_VALUE"""),"格納済み")</f>
        <v>格納済み</v>
      </c>
      <c r="U968" s="15" t="str">
        <f>IFERROR(__xludf.DUMMYFUNCTION("""COMPUTED_VALUE"""),"©奥道庵/ファンギルド")</f>
        <v>©奥道庵/ファンギルド</v>
      </c>
      <c r="V968" s="8" t="str">
        <f>IFERROR(__xludf.DUMMYFUNCTION("""COMPUTED_VALUE"""),"レストランチェーン「マカロニ」に勤めるアラサーOL、井上環（たまき）。仕事一筋で頑張っていたら、気づけば33歳。そんな環の前に、当時は冴えなかった幼なじみの史也（ふみや）が、イケメン料理人になって現れる。実は史也は高校生の時に環がフッた相手。15年ぶりの再会に動揺していると、史也が転職してきて…家も職場もお隣さんに！？ さらに毎晩、夕飯を作りにやって来るように。「なぁ、俺ら付き合わん？」自分が作った料理を美味しそうに食べる環に、史也が熱い視線を送ってきて――。")</f>
        <v>レストランチェーン「マカロニ」に勤めるアラサーOL、井上環（たまき）。仕事一筋で頑張っていたら、気づけば33歳。そんな環の前に、当時は冴えなかった幼なじみの史也（ふみや）が、イケメン料理人になって現れる。実は史也は高校生の時に環がフッた相手。15年ぶりの再会に動揺していると、史也が転職してきて…家も職場もお隣さんに！？ さらに毎晩、夕飯を作りにやって来るように。「なぁ、俺ら付き合わん？」自分が作った料理を美味しそうに食べる環に、史也が熱い視線を送ってきて――。</v>
      </c>
      <c r="W968" s="14"/>
      <c r="X968" s="14" t="str">
        <f>IFERROR(__xludf.DUMMYFUNCTION("""COMPUTED_VALUE"""),"無")</f>
        <v>無</v>
      </c>
      <c r="Y968" s="8" t="str">
        <f>IFERROR(__xludf.DUMMYFUNCTION("""COMPUTED_VALUE"""),"2024/2/6まで1巻無料")</f>
        <v>2024/2/6まで1巻無料</v>
      </c>
      <c r="Z968" s="7"/>
      <c r="AA968" s="7"/>
      <c r="AB968" s="7"/>
    </row>
    <row r="969" ht="15.75" customHeight="1">
      <c r="A969" s="26">
        <f>IFERROR(__xludf.DUMMYFUNCTION("""COMPUTED_VALUE"""),2717.0)</f>
        <v>2717</v>
      </c>
      <c r="B969" s="22" t="str">
        <f>IFERROR(__xludf.DUMMYFUNCTION("""COMPUTED_VALUE"""),"確定")</f>
        <v>確定</v>
      </c>
      <c r="C969" s="28">
        <f>IFERROR(__xludf.DUMMYFUNCTION("""COMPUTED_VALUE"""),45264.0)</f>
        <v>45264</v>
      </c>
      <c r="D969" s="28">
        <f>IFERROR(__xludf.DUMMYFUNCTION("""COMPUTED_VALUE"""),45266.0)</f>
        <v>45266</v>
      </c>
      <c r="E969" s="31">
        <f>IFERROR(__xludf.DUMMYFUNCTION("""COMPUTED_VALUE"""),286095.0)</f>
        <v>286095</v>
      </c>
      <c r="F969" s="22" t="str">
        <f>IFERROR(__xludf.DUMMYFUNCTION("""COMPUTED_VALUE"""),"EAT")</f>
        <v>EAT</v>
      </c>
      <c r="G969" s="20">
        <f>IFERROR(__xludf.DUMMYFUNCTION("""COMPUTED_VALUE"""),1.0)</f>
        <v>1</v>
      </c>
      <c r="H969" s="22" t="str">
        <f>IFERROR(__xludf.DUMMYFUNCTION("""COMPUTED_VALUE"""),"ながべ")</f>
        <v>ながべ</v>
      </c>
      <c r="I969" s="22" t="str">
        <f>IFERROR(__xludf.DUMMYFUNCTION("""COMPUTED_VALUE"""),"BL")</f>
        <v>BL</v>
      </c>
      <c r="J969" s="22"/>
      <c r="K969" s="22"/>
      <c r="L969" s="22" t="str">
        <f>IFERROR(__xludf.DUMMYFUNCTION("""COMPUTED_VALUE"""),"リブレ")</f>
        <v>リブレ</v>
      </c>
      <c r="M969" s="23">
        <f>IFERROR(__xludf.DUMMYFUNCTION("""COMPUTED_VALUE"""),45337.0)</f>
        <v>45337</v>
      </c>
      <c r="N969" s="23">
        <f>IFERROR(__xludf.DUMMYFUNCTION("""COMPUTED_VALUE"""),45364.0)</f>
        <v>45364</v>
      </c>
      <c r="O969" s="20"/>
      <c r="P969" s="29" t="str">
        <f>IFERROR(__xludf.DUMMYFUNCTION("""COMPUTED_VALUE"""),"可")</f>
        <v>可</v>
      </c>
      <c r="Q969" s="30" t="str">
        <f>IFERROR(__xludf.DUMMYFUNCTION("""COMPUTED_VALUE"""),"事前に確認して出稿可と回答いただいているものです。&lt;BR&gt;素材は全て1巻に含まれますので使用可です。")</f>
        <v>事前に確認して出稿可と回答いただいているものです。&lt;BR&gt;素材は全て1巻に含まれますので使用可です。</v>
      </c>
      <c r="R969" s="22"/>
      <c r="S969" s="22" t="str">
        <f>IFERROR(__xludf.DUMMYFUNCTION("""COMPUTED_VALUE"""),"20231204_リブレ_EAT")</f>
        <v>20231204_リブレ_EAT</v>
      </c>
      <c r="T969" s="22" t="str">
        <f>IFERROR(__xludf.DUMMYFUNCTION("""COMPUTED_VALUE"""),"格納済み")</f>
        <v>格納済み</v>
      </c>
      <c r="U969" s="15" t="str">
        <f>IFERROR(__xludf.DUMMYFUNCTION("""COMPUTED_VALUE"""),"(C)ながべ/libre")</f>
        <v>(C)ながべ/libre</v>
      </c>
      <c r="V969" s="8" t="str">
        <f>IFERROR(__xludf.DUMMYFUNCTION("""COMPUTED_VALUE"""),"私は誰かに食べられたい。
規則に厳しく慈悲がない大学講師のルフリアは、その見た目から「殺し屋」のあだ名で恐れられている。
入学早々遅刻してきた生徒・グラに注意していると、ぐうぐうとお腹の音が聞こえてくる。
すると、ご飯と間違えたのか首筋に噛みつかれてしまい…!?
突然の出来事に驚くルフリア！
しかしグラこそがずっと恋焦がれていた“自分を食べてくれる”存在だと気付いて――!!
人外ストーリーテラー・ながべがおくる獣人フェティシズムラブ！
電子限定描き下ろしマンガ1Pも収録。")</f>
        <v>私は誰かに食べられたい。
規則に厳しく慈悲がない大学講師のルフリアは、その見た目から「殺し屋」のあだ名で恐れられている。
入学早々遅刻してきた生徒・グラに注意していると、ぐうぐうとお腹の音が聞こえてくる。
すると、ご飯と間違えたのか首筋に噛みつかれてしまい…!?
突然の出来事に驚くルフリア！
しかしグラこそがずっと恋焦がれていた“自分を食べてくれる”存在だと気付いて――!!
人外ストーリーテラー・ながべがおくる獣人フェティシズムラブ！
電子限定描き下ろしマンガ1Pも収録。</v>
      </c>
      <c r="W969" s="14"/>
      <c r="X969" s="14" t="str">
        <f>IFERROR(__xludf.DUMMYFUNCTION("""COMPUTED_VALUE"""),"有")</f>
        <v>有</v>
      </c>
      <c r="Y969" s="8" t="str">
        <f>IFERROR(__xludf.DUMMYFUNCTION("""COMPUTED_VALUE"""),"P34まで")</f>
        <v>P34まで</v>
      </c>
      <c r="Z969" s="7"/>
      <c r="AA969" s="7"/>
      <c r="AB969" s="7"/>
    </row>
    <row r="970" ht="15.75" customHeight="1">
      <c r="A970" s="26">
        <f>IFERROR(__xludf.DUMMYFUNCTION("""COMPUTED_VALUE"""),2719.0)</f>
        <v>2719</v>
      </c>
      <c r="B970" s="22" t="str">
        <f>IFERROR(__xludf.DUMMYFUNCTION("""COMPUTED_VALUE"""),"確定")</f>
        <v>確定</v>
      </c>
      <c r="C970" s="28">
        <f>IFERROR(__xludf.DUMMYFUNCTION("""COMPUTED_VALUE"""),45264.0)</f>
        <v>45264</v>
      </c>
      <c r="D970" s="28">
        <f>IFERROR(__xludf.DUMMYFUNCTION("""COMPUTED_VALUE"""),45266.0)</f>
        <v>45266</v>
      </c>
      <c r="E970" s="31">
        <f>IFERROR(__xludf.DUMMYFUNCTION("""COMPUTED_VALUE"""),281892.0)</f>
        <v>281892</v>
      </c>
      <c r="F970" s="22" t="str">
        <f>IFERROR(__xludf.DUMMYFUNCTION("""COMPUTED_VALUE"""),"10000いいねのカラダ ～3年抱かれていない、私～")</f>
        <v>10000いいねのカラダ ～3年抱かれていない、私～</v>
      </c>
      <c r="G970" s="20" t="str">
        <f>IFERROR(__xludf.DUMMYFUNCTION("""COMPUTED_VALUE"""),"1～3")</f>
        <v>1～3</v>
      </c>
      <c r="H970" s="22" t="str">
        <f>IFERROR(__xludf.DUMMYFUNCTION("""COMPUTED_VALUE"""),"原作／一宮梨華 ネーム／梛十澪 作画／椎葉きのこ")</f>
        <v>原作／一宮梨華 ネーム／梛十澪 作画／椎葉きのこ</v>
      </c>
      <c r="I970" s="22" t="str">
        <f>IFERROR(__xludf.DUMMYFUNCTION("""COMPUTED_VALUE"""),"女性")</f>
        <v>女性</v>
      </c>
      <c r="J970" s="22"/>
      <c r="K970" s="22"/>
      <c r="L970" s="22" t="str">
        <f>IFERROR(__xludf.DUMMYFUNCTION("""COMPUTED_VALUE"""),"taskey")</f>
        <v>taskey</v>
      </c>
      <c r="M970" s="23">
        <f>IFERROR(__xludf.DUMMYFUNCTION("""COMPUTED_VALUE"""),45271.0)</f>
        <v>45271</v>
      </c>
      <c r="N970" s="23">
        <f>IFERROR(__xludf.DUMMYFUNCTION("""COMPUTED_VALUE"""),45333.0)</f>
        <v>45333</v>
      </c>
      <c r="O970" s="20"/>
      <c r="P970" s="32" t="str">
        <f>IFERROR(__xludf.DUMMYFUNCTION("""COMPUTED_VALUE"""),"可")</f>
        <v>可</v>
      </c>
      <c r="Q970" s="30"/>
      <c r="R970" s="22"/>
      <c r="S970" s="22" t="str">
        <f>IFERROR(__xludf.DUMMYFUNCTION("""COMPUTED_VALUE"""),"20231204_taskey_12月新作")</f>
        <v>20231204_taskey_12月新作</v>
      </c>
      <c r="T970" s="22" t="str">
        <f>IFERROR(__xludf.DUMMYFUNCTION("""COMPUTED_VALUE"""),"格納済み")</f>
        <v>格納済み</v>
      </c>
      <c r="U970" s="15" t="str">
        <f>IFERROR(__xludf.DUMMYFUNCTION("""COMPUTED_VALUE"""),"©︎taskey 原作／一宮梨華 ネーム／梛十澪 作画／椎葉きのこ")</f>
        <v>©︎taskey 原作／一宮梨華 ネーム／梛十澪 作画／椎葉きのこ</v>
      </c>
      <c r="V970" s="8" t="str">
        <f>IFERROR(__xludf.DUMMYFUNCTION("""COMPUTED_VALUE"""),"「私を必要としてくれる場所はここしかない」。夫との関係に悩んでいた文乃はある時、裏アカの存在を知る。淫靡で不思議な世界に魅了され、気づけば足を踏み入れていた。嘘、見栄、嫉妬、裏の顔……人を欺き、己を肯定する。ここが自分の居場所だと信じる文乃だったが段々と歯止めがきかなくなり、次第に追い詰められていく。「それでも私は私を捨てられない」。女の闇と、夫婦の在り方を問うヒューマンドラマ。")</f>
        <v>「私を必要としてくれる場所はここしかない」。夫との関係に悩んでいた文乃はある時、裏アカの存在を知る。淫靡で不思議な世界に魅了され、気づけば足を踏み入れていた。嘘、見栄、嫉妬、裏の顔……人を欺き、己を肯定する。ここが自分の居場所だと信じる文乃だったが段々と歯止めがきかなくなり、次第に追い詰められていく。「それでも私は私を捨てられない」。女の闇と、夫婦の在り方を問うヒューマンドラマ。</v>
      </c>
      <c r="W970" s="14"/>
      <c r="X970" s="14" t="str">
        <f>IFERROR(__xludf.DUMMYFUNCTION("""COMPUTED_VALUE"""),"有")</f>
        <v>有</v>
      </c>
      <c r="Y970" s="8" t="str">
        <f>IFERROR(__xludf.DUMMYFUNCTION("""COMPUTED_VALUE"""),"2024/2/11まで1巻無料")</f>
        <v>2024/2/11まで1巻無料</v>
      </c>
      <c r="Z970" s="7"/>
      <c r="AA970" s="7"/>
      <c r="AB970" s="7"/>
    </row>
    <row r="971" ht="103.5" customHeight="1">
      <c r="A971" s="26">
        <f>IFERROR(__xludf.DUMMYFUNCTION("""COMPUTED_VALUE"""),2720.0)</f>
        <v>2720</v>
      </c>
      <c r="B971" s="22" t="str">
        <f>IFERROR(__xludf.DUMMYFUNCTION("""COMPUTED_VALUE"""),"確定")</f>
        <v>確定</v>
      </c>
      <c r="C971" s="28">
        <f>IFERROR(__xludf.DUMMYFUNCTION("""COMPUTED_VALUE"""),45264.0)</f>
        <v>45264</v>
      </c>
      <c r="D971" s="28">
        <f>IFERROR(__xludf.DUMMYFUNCTION("""COMPUTED_VALUE"""),45266.0)</f>
        <v>45266</v>
      </c>
      <c r="E971" s="31">
        <f>IFERROR(__xludf.DUMMYFUNCTION("""COMPUTED_VALUE"""),282412.0)</f>
        <v>282412</v>
      </c>
      <c r="F971" s="22" t="str">
        <f>IFERROR(__xludf.DUMMYFUNCTION("""COMPUTED_VALUE"""),"復讐同盟 -サレ妻と愛人はクズ旦那を制裁する-")</f>
        <v>復讐同盟 -サレ妻と愛人はクズ旦那を制裁する-</v>
      </c>
      <c r="G971" s="20" t="str">
        <f>IFERROR(__xludf.DUMMYFUNCTION("""COMPUTED_VALUE"""),"1～3")</f>
        <v>1～3</v>
      </c>
      <c r="H971" s="22" t="str">
        <f>IFERROR(__xludf.DUMMYFUNCTION("""COMPUTED_VALUE"""),"原作／二久アカミ ネーム／絹川コウ 作画／kawaru")</f>
        <v>原作／二久アカミ ネーム／絹川コウ 作画／kawaru</v>
      </c>
      <c r="I971" s="22" t="str">
        <f>IFERROR(__xludf.DUMMYFUNCTION("""COMPUTED_VALUE"""),"女性")</f>
        <v>女性</v>
      </c>
      <c r="J971" s="22"/>
      <c r="K971" s="22"/>
      <c r="L971" s="22" t="str">
        <f>IFERROR(__xludf.DUMMYFUNCTION("""COMPUTED_VALUE"""),"taskey")</f>
        <v>taskey</v>
      </c>
      <c r="M971" s="23">
        <f>IFERROR(__xludf.DUMMYFUNCTION("""COMPUTED_VALUE"""),45278.0)</f>
        <v>45278</v>
      </c>
      <c r="N971" s="23">
        <f>IFERROR(__xludf.DUMMYFUNCTION("""COMPUTED_VALUE"""),45340.0)</f>
        <v>45340</v>
      </c>
      <c r="O971" s="20"/>
      <c r="P971" s="32" t="str">
        <f>IFERROR(__xludf.DUMMYFUNCTION("""COMPUTED_VALUE"""),"可")</f>
        <v>可</v>
      </c>
      <c r="Q971" s="30"/>
      <c r="R971" s="22"/>
      <c r="S971" s="22" t="str">
        <f>IFERROR(__xludf.DUMMYFUNCTION("""COMPUTED_VALUE"""),"20231204_taskey_12月新作")</f>
        <v>20231204_taskey_12月新作</v>
      </c>
      <c r="T971" s="22" t="str">
        <f>IFERROR(__xludf.DUMMYFUNCTION("""COMPUTED_VALUE"""),"格納済み")</f>
        <v>格納済み</v>
      </c>
      <c r="U971" s="15" t="str">
        <f>IFERROR(__xludf.DUMMYFUNCTION("""COMPUTED_VALUE"""),"©︎taskey 原作／二久アカミ ネーム／絹川コウ 作画／kawaru")</f>
        <v>©︎taskey 原作／二久アカミ ネーム／絹川コウ 作画／kawaru</v>
      </c>
      <c r="V971" s="8" t="str">
        <f>IFERROR(__xludf.DUMMYFUNCTION("""COMPUTED_VALUE"""),"キャリアウーマンである上村麻美子は、会社の同期である一樹と結婚し、順風満帆で幸せな生活を送っている……かのように見えた。しかし、結婚して3年一樹の浮気が発覚、最初は穏便にことを済ませようと思ったが……。一樹のしてきたことを知り衝撃を受け、夫への復讐を決意する。――あのクズ、絶対にボロボロにしてから捨ててやる。")</f>
        <v>キャリアウーマンである上村麻美子は、会社の同期である一樹と結婚し、順風満帆で幸せな生活を送っている……かのように見えた。しかし、結婚して3年一樹の浮気が発覚、最初は穏便にことを済ませようと思ったが……。一樹のしてきたことを知り衝撃を受け、夫への復讐を決意する。――あのクズ、絶対にボロボロにしてから捨ててやる。</v>
      </c>
      <c r="W971" s="14"/>
      <c r="X971" s="14" t="str">
        <f>IFERROR(__xludf.DUMMYFUNCTION("""COMPUTED_VALUE"""),"有")</f>
        <v>有</v>
      </c>
      <c r="Y971" s="8" t="str">
        <f>IFERROR(__xludf.DUMMYFUNCTION("""COMPUTED_VALUE"""),"1巻無料")</f>
        <v>1巻無料</v>
      </c>
      <c r="Z971" s="7"/>
      <c r="AA971" s="7"/>
      <c r="AB971" s="7"/>
    </row>
    <row r="972" ht="15.75" customHeight="1">
      <c r="A972" s="26">
        <f>IFERROR(__xludf.DUMMYFUNCTION("""COMPUTED_VALUE"""),2721.0)</f>
        <v>2721</v>
      </c>
      <c r="B972" s="22" t="str">
        <f>IFERROR(__xludf.DUMMYFUNCTION("""COMPUTED_VALUE"""),"確定")</f>
        <v>確定</v>
      </c>
      <c r="C972" s="28">
        <f>IFERROR(__xludf.DUMMYFUNCTION("""COMPUTED_VALUE"""),45264.0)</f>
        <v>45264</v>
      </c>
      <c r="D972" s="28">
        <f>IFERROR(__xludf.DUMMYFUNCTION("""COMPUTED_VALUE"""),45266.0)</f>
        <v>45266</v>
      </c>
      <c r="E972" s="31">
        <f>IFERROR(__xludf.DUMMYFUNCTION("""COMPUTED_VALUE"""),285018.0)</f>
        <v>285018</v>
      </c>
      <c r="F972" s="22" t="str">
        <f>IFERROR(__xludf.DUMMYFUNCTION("""COMPUTED_VALUE"""),"傾城の姫は生真面目な婚約者に溺れる")</f>
        <v>傾城の姫は生真面目な婚約者に溺れる</v>
      </c>
      <c r="G972" s="20" t="str">
        <f>IFERROR(__xludf.DUMMYFUNCTION("""COMPUTED_VALUE"""),"1～3")</f>
        <v>1～3</v>
      </c>
      <c r="H972" s="22" t="str">
        <f>IFERROR(__xludf.DUMMYFUNCTION("""COMPUTED_VALUE"""),"著者：小久ヒロ 原作者：群田景")</f>
        <v>著者：小久ヒロ 原作者：群田景</v>
      </c>
      <c r="I972" s="22" t="str">
        <f>IFERROR(__xludf.DUMMYFUNCTION("""COMPUTED_VALUE"""),"女性")</f>
        <v>女性</v>
      </c>
      <c r="J972" s="22"/>
      <c r="K972" s="22"/>
      <c r="L972" s="22" t="str">
        <f>IFERROR(__xludf.DUMMYFUNCTION("""COMPUTED_VALUE"""),"夢中文庫")</f>
        <v>夢中文庫</v>
      </c>
      <c r="M972" s="23">
        <f>IFERROR(__xludf.DUMMYFUNCTION("""COMPUTED_VALUE"""),45323.0)</f>
        <v>45323</v>
      </c>
      <c r="N972" s="23">
        <f>IFERROR(__xludf.DUMMYFUNCTION("""COMPUTED_VALUE"""),45412.0)</f>
        <v>45412</v>
      </c>
      <c r="O972" s="20"/>
      <c r="P972" s="32" t="str">
        <f>IFERROR(__xludf.DUMMYFUNCTION("""COMPUTED_VALUE"""),"可")</f>
        <v>可</v>
      </c>
      <c r="Q972" s="30"/>
      <c r="R972" s="22"/>
      <c r="S972" s="22" t="str">
        <f>IFERROR(__xludf.DUMMYFUNCTION("""COMPUTED_VALUE"""),"20231204_夢中文庫_2月新作2作品")</f>
        <v>20231204_夢中文庫_2月新作2作品</v>
      </c>
      <c r="T972" s="31" t="str">
        <f>IFERROR(__xludf.DUMMYFUNCTION("""COMPUTED_VALUE"""),"格納済み")</f>
        <v>格納済み</v>
      </c>
      <c r="U972" s="15" t="str">
        <f>IFERROR(__xludf.DUMMYFUNCTION("""COMPUTED_VALUE"""),"(C)小久ヒロ/群田景/ゆめこみ")</f>
        <v>(C)小久ヒロ/群田景/ゆめこみ</v>
      </c>
      <c r="V972" s="8" t="str">
        <f>IFERROR(__xludf.DUMMYFUNCTION("""COMPUTED_VALUE"""),"長く海外と断交していた秋津国は軍事同盟のため大国アルビオン国の王族ジェレミーと秋津太守の娘・雪代の婚姻を決めた。艶やかな雪代にひと目で惹かれるジェレミーだが、これは両国の関係を深めるための政略結婚で、スパイの疑いもある雪代に素直に接することができない。一方、雪代は男を篭絡し意のままに操るという「傾城」の能力を期待されていたが、落ちこぼれだと自覚していた。健気に尽す雪代に、ジェレミーの態度は頑なで、その役目を果たすことが出来ずに悩んでいた。秋津国から同伴していた特使・鶴木は幼いころから「傾城」雪代の教育係兼"&amp;"監視役で、その厳しいプレッシャーにも追い詰められていく雪代は――。")</f>
        <v>長く海外と断交していた秋津国は軍事同盟のため大国アルビオン国の王族ジェレミーと秋津太守の娘・雪代の婚姻を決めた。艶やかな雪代にひと目で惹かれるジェレミーだが、これは両国の関係を深めるための政略結婚で、スパイの疑いもある雪代に素直に接することができない。一方、雪代は男を篭絡し意のままに操るという「傾城」の能力を期待されていたが、落ちこぼれだと自覚していた。健気に尽す雪代に、ジェレミーの態度は頑なで、その役目を果たすことが出来ずに悩んでいた。秋津国から同伴していた特使・鶴木は幼いころから「傾城」雪代の教育係兼監視役で、その厳しいプレッシャーにも追い詰められていく雪代は――。</v>
      </c>
      <c r="W972" s="14"/>
      <c r="X972" s="14" t="str">
        <f>IFERROR(__xludf.DUMMYFUNCTION("""COMPUTED_VALUE"""),"有")</f>
        <v>有</v>
      </c>
      <c r="Y972" s="8" t="str">
        <f>IFERROR(__xludf.DUMMYFUNCTION("""COMPUTED_VALUE"""),"2024/2/14まで1巻無料")</f>
        <v>2024/2/14まで1巻無料</v>
      </c>
      <c r="Z972" s="7"/>
      <c r="AA972" s="7"/>
      <c r="AB972" s="7"/>
    </row>
    <row r="973" ht="15.75" customHeight="1">
      <c r="A973" s="26">
        <f>IFERROR(__xludf.DUMMYFUNCTION("""COMPUTED_VALUE"""),2722.0)</f>
        <v>2722</v>
      </c>
      <c r="B973" s="22" t="str">
        <f>IFERROR(__xludf.DUMMYFUNCTION("""COMPUTED_VALUE"""),"確定")</f>
        <v>確定</v>
      </c>
      <c r="C973" s="28">
        <f>IFERROR(__xludf.DUMMYFUNCTION("""COMPUTED_VALUE"""),45264.0)</f>
        <v>45264</v>
      </c>
      <c r="D973" s="28">
        <f>IFERROR(__xludf.DUMMYFUNCTION("""COMPUTED_VALUE"""),45266.0)</f>
        <v>45266</v>
      </c>
      <c r="E973" s="31">
        <f>IFERROR(__xludf.DUMMYFUNCTION("""COMPUTED_VALUE"""),285019.0)</f>
        <v>285019</v>
      </c>
      <c r="F973" s="22" t="str">
        <f>IFERROR(__xludf.DUMMYFUNCTION("""COMPUTED_VALUE"""),"騎士が仕掛ける甘くて強引な片恋と素直になれない魔女の理由")</f>
        <v>騎士が仕掛ける甘くて強引な片恋と素直になれない魔女の理由</v>
      </c>
      <c r="G973" s="20" t="str">
        <f>IFERROR(__xludf.DUMMYFUNCTION("""COMPUTED_VALUE"""),"1～3")</f>
        <v>1～3</v>
      </c>
      <c r="H973" s="22" t="str">
        <f>IFERROR(__xludf.DUMMYFUNCTION("""COMPUTED_VALUE"""),"著者：武浦すぐる 原作者：八巻にのは")</f>
        <v>著者：武浦すぐる 原作者：八巻にのは</v>
      </c>
      <c r="I973" s="22" t="str">
        <f>IFERROR(__xludf.DUMMYFUNCTION("""COMPUTED_VALUE"""),"女性")</f>
        <v>女性</v>
      </c>
      <c r="J973" s="22"/>
      <c r="K973" s="22"/>
      <c r="L973" s="22" t="str">
        <f>IFERROR(__xludf.DUMMYFUNCTION("""COMPUTED_VALUE"""),"夢中文庫")</f>
        <v>夢中文庫</v>
      </c>
      <c r="M973" s="23">
        <f>IFERROR(__xludf.DUMMYFUNCTION("""COMPUTED_VALUE"""),45323.0)</f>
        <v>45323</v>
      </c>
      <c r="N973" s="23">
        <f>IFERROR(__xludf.DUMMYFUNCTION("""COMPUTED_VALUE"""),45412.0)</f>
        <v>45412</v>
      </c>
      <c r="O973" s="20"/>
      <c r="P973" s="32" t="str">
        <f>IFERROR(__xludf.DUMMYFUNCTION("""COMPUTED_VALUE"""),"可")</f>
        <v>可</v>
      </c>
      <c r="Q973" s="30"/>
      <c r="R973" s="22"/>
      <c r="S973" s="22" t="str">
        <f>IFERROR(__xludf.DUMMYFUNCTION("""COMPUTED_VALUE"""),"20231204_夢中文庫_2月新作2作品")</f>
        <v>20231204_夢中文庫_2月新作2作品</v>
      </c>
      <c r="T973" s="31" t="str">
        <f>IFERROR(__xludf.DUMMYFUNCTION("""COMPUTED_VALUE"""),"格納済み")</f>
        <v>格納済み</v>
      </c>
      <c r="U973" s="15" t="str">
        <f>IFERROR(__xludf.DUMMYFUNCTION("""COMPUTED_VALUE"""),"(C)武浦すぐる/八巻にのは/ゆめこみ")</f>
        <v>(C)武浦すぐる/八巻にのは/ゆめこみ</v>
      </c>
      <c r="V973" s="8" t="str">
        <f>IFERROR(__xludf.DUMMYFUNCTION("""COMPUTED_VALUE"""),"『恋を消す薬』がほしいんだ――ネーア国の地下迷宮の奥底に住む美しい魔女オリヴィア。そこにやってくるのはハーフエルフにして英雄騎士エルダー。国イチのプレイボーイとしても名高い彼は、女性から言い寄られるたびにオリヴィアの作る『恋を消す薬』で相手の恋心を消してきたのだ。そしてエルダーはいつものように甘く囁く「君を愛してる　オリヴィア」――これ以上、彼に惹かれてはいけない。私はこの地下から離れられないのだから……")</f>
        <v>『恋を消す薬』がほしいんだ――ネーア国の地下迷宮の奥底に住む美しい魔女オリヴィア。そこにやってくるのはハーフエルフにして英雄騎士エルダー。国イチのプレイボーイとしても名高い彼は、女性から言い寄られるたびにオリヴィアの作る『恋を消す薬』で相手の恋心を消してきたのだ。そしてエルダーはいつものように甘く囁く「君を愛してる　オリヴィア」――これ以上、彼に惹かれてはいけない。私はこの地下から離れられないのだから……</v>
      </c>
      <c r="W973" s="14"/>
      <c r="X973" s="14" t="str">
        <f>IFERROR(__xludf.DUMMYFUNCTION("""COMPUTED_VALUE"""),"有")</f>
        <v>有</v>
      </c>
      <c r="Y973" s="8" t="str">
        <f>IFERROR(__xludf.DUMMYFUNCTION("""COMPUTED_VALUE"""),"2024/2/14まで1巻無料")</f>
        <v>2024/2/14まで1巻無料</v>
      </c>
      <c r="Z973" s="7"/>
      <c r="AA973" s="7"/>
      <c r="AB973" s="7"/>
    </row>
    <row r="974" ht="15.75" customHeight="1">
      <c r="A974" s="26">
        <f>IFERROR(__xludf.DUMMYFUNCTION("""COMPUTED_VALUE"""),2725.0)</f>
        <v>2725</v>
      </c>
      <c r="B974" s="22" t="str">
        <f>IFERROR(__xludf.DUMMYFUNCTION("""COMPUTED_VALUE"""),"確定")</f>
        <v>確定</v>
      </c>
      <c r="C974" s="28">
        <f>IFERROR(__xludf.DUMMYFUNCTION("""COMPUTED_VALUE"""),45265.0)</f>
        <v>45265</v>
      </c>
      <c r="D974" s="28">
        <f>IFERROR(__xludf.DUMMYFUNCTION("""COMPUTED_VALUE"""),45266.0)</f>
        <v>45266</v>
      </c>
      <c r="E974" s="26">
        <f>IFERROR(__xludf.DUMMYFUNCTION("""COMPUTED_VALUE"""),277977.0)</f>
        <v>277977</v>
      </c>
      <c r="F974" s="22" t="str">
        <f>IFERROR(__xludf.DUMMYFUNCTION("""COMPUTED_VALUE"""),"今日はなんて最悪の日")</f>
        <v>今日はなんて最悪の日</v>
      </c>
      <c r="G974" s="20">
        <f>IFERROR(__xludf.DUMMYFUNCTION("""COMPUTED_VALUE"""),1.0)</f>
        <v>1</v>
      </c>
      <c r="H974" s="22" t="str">
        <f>IFERROR(__xludf.DUMMYFUNCTION("""COMPUTED_VALUE"""),"碧浪れもん")</f>
        <v>碧浪れもん</v>
      </c>
      <c r="I974" s="14" t="str">
        <f>IFERROR(__xludf.DUMMYFUNCTION("""COMPUTED_VALUE"""),"TL")</f>
        <v>TL</v>
      </c>
      <c r="J974" s="22"/>
      <c r="K974" s="22"/>
      <c r="L974" s="22" t="str">
        <f>IFERROR(__xludf.DUMMYFUNCTION("""COMPUTED_VALUE"""),"ソルマーレ編集部")</f>
        <v>ソルマーレ編集部</v>
      </c>
      <c r="M974" s="23">
        <f>IFERROR(__xludf.DUMMYFUNCTION("""COMPUTED_VALUE"""),45304.0)</f>
        <v>45304</v>
      </c>
      <c r="N974" s="23">
        <f>IFERROR(__xludf.DUMMYFUNCTION("""COMPUTED_VALUE"""),45365.0)</f>
        <v>45365</v>
      </c>
      <c r="O974" s="20"/>
      <c r="P974" s="29" t="str">
        <f>IFERROR(__xludf.DUMMYFUNCTION("""COMPUTED_VALUE"""),"可")</f>
        <v>可</v>
      </c>
      <c r="Q974" s="30" t="str">
        <f>IFERROR(__xludf.DUMMYFUNCTION("""COMPUTED_VALUE"""),"※読み切り作品のため1巻のみですが出稿お願いします&lt;BR&gt;")</f>
        <v>※読み切り作品のため1巻のみですが出稿お願いします&lt;BR&gt;</v>
      </c>
      <c r="R974" s="22"/>
      <c r="S974" s="22" t="str">
        <f>IFERROR(__xludf.DUMMYFUNCTION("""COMPUTED_VALUE"""),"20231205_ソルマーレ編集部_今日はなんて最悪の日")</f>
        <v>20231205_ソルマーレ編集部_今日はなんて最悪の日</v>
      </c>
      <c r="T974" s="22" t="str">
        <f>IFERROR(__xludf.DUMMYFUNCTION("""COMPUTED_VALUE"""),"格納済み")</f>
        <v>格納済み</v>
      </c>
      <c r="U974" s="15" t="str">
        <f>IFERROR(__xludf.DUMMYFUNCTION("""COMPUTED_VALUE"""),"Ⓒ 碧浪れもん/シーモアコミックス")</f>
        <v>Ⓒ 碧浪れもん/シーモアコミックス</v>
      </c>
      <c r="V974" s="8" t="str">
        <f>IFERROR(__xludf.DUMMYFUNCTION("""COMPUTED_VALUE"""),"人生が変わるのはいつも突然、年下男子とのサプライズラブ☆
森川四季、本日29歳になりました。SNSにはともだちの幸せ報告が相次いでるけれど、それに比べて四季は今年もパッとしない誕生日。成果ナシの合コンで朝帰り、隣人男子には嫌味を言われ、シャワーも壊れてサイアクだ～！　…そこへ救いの手をさしのべたのはまさかの嫌味な隣人男子！　部屋でお風呂を借りることになっちゃって…!?【コミックシーモア毎月マンガ賞銅賞受賞作品】【桃色日記】")</f>
        <v>人生が変わるのはいつも突然、年下男子とのサプライズラブ☆
森川四季、本日29歳になりました。SNSにはともだちの幸せ報告が相次いでるけれど、それに比べて四季は今年もパッとしない誕生日。成果ナシの合コンで朝帰り、隣人男子には嫌味を言われ、シャワーも壊れてサイアクだ～！　…そこへ救いの手をさしのべたのはまさかの嫌味な隣人男子！　部屋でお風呂を借りることになっちゃって…!?【コミックシーモア毎月マンガ賞銅賞受賞作品】【桃色日記】</v>
      </c>
      <c r="W974" s="14"/>
      <c r="X974" s="14" t="str">
        <f>IFERROR(__xludf.DUMMYFUNCTION("""COMPUTED_VALUE"""),"有")</f>
        <v>有</v>
      </c>
      <c r="Y974" s="8" t="str">
        <f>IFERROR(__xludf.DUMMYFUNCTION("""COMPUTED_VALUE"""),"P7まで")</f>
        <v>P7まで</v>
      </c>
      <c r="Z974" s="7"/>
      <c r="AA974" s="7"/>
      <c r="AB974" s="7"/>
    </row>
    <row r="975" ht="15.75" customHeight="1">
      <c r="A975" s="26">
        <f>IFERROR(__xludf.DUMMYFUNCTION("""COMPUTED_VALUE"""),2530.0)</f>
        <v>2530</v>
      </c>
      <c r="B975" s="22" t="str">
        <f>IFERROR(__xludf.DUMMYFUNCTION("""COMPUTED_VALUE"""),"確定")</f>
        <v>確定</v>
      </c>
      <c r="C975" s="28">
        <f>IFERROR(__xludf.DUMMYFUNCTION("""COMPUTED_VALUE"""),45215.0)</f>
        <v>45215</v>
      </c>
      <c r="D975" s="28">
        <f>IFERROR(__xludf.DUMMYFUNCTION("""COMPUTED_VALUE"""),45273.0)</f>
        <v>45273</v>
      </c>
      <c r="E975" s="31">
        <f>IFERROR(__xludf.DUMMYFUNCTION("""COMPUTED_VALUE"""),285873.0)</f>
        <v>285873</v>
      </c>
      <c r="F975" s="22" t="str">
        <f>IFERROR(__xludf.DUMMYFUNCTION("""COMPUTED_VALUE"""),"俺の武器は最弱だけどレベルアップするらしい")</f>
        <v>俺の武器は最弱だけどレベルアップするらしい</v>
      </c>
      <c r="G975" s="16" t="str">
        <f>IFERROR(__xludf.DUMMYFUNCTION("""COMPUTED_VALUE"""),"1～6")</f>
        <v>1～6</v>
      </c>
      <c r="H975" s="22" t="str">
        <f>IFERROR(__xludf.DUMMYFUNCTION("""COMPUTED_VALUE"""),"神崎耀")</f>
        <v>神崎耀</v>
      </c>
      <c r="I975" s="22" t="str">
        <f>IFERROR(__xludf.DUMMYFUNCTION("""COMPUTED_VALUE"""),"少年")</f>
        <v>少年</v>
      </c>
      <c r="J975" s="22"/>
      <c r="K975" s="22"/>
      <c r="L975" s="22" t="str">
        <f>IFERROR(__xludf.DUMMYFUNCTION("""COMPUTED_VALUE"""),"GANMA!")</f>
        <v>GANMA!</v>
      </c>
      <c r="M975" s="23">
        <f>IFERROR(__xludf.DUMMYFUNCTION("""COMPUTED_VALUE"""),45323.0)</f>
        <v>45323</v>
      </c>
      <c r="N975" s="23">
        <f>IFERROR(__xludf.DUMMYFUNCTION("""COMPUTED_VALUE"""),45412.0)</f>
        <v>45412</v>
      </c>
      <c r="O975" s="20"/>
      <c r="P975" s="29" t="str">
        <f>IFERROR(__xludf.DUMMYFUNCTION("""COMPUTED_VALUE"""),"否")</f>
        <v>否</v>
      </c>
      <c r="Q975" s="30" t="str">
        <f>IFERROR(__xludf.DUMMYFUNCTION("""COMPUTED_VALUE"""),"広告コミットOK(10/26)")</f>
        <v>広告コミットOK(10/26)</v>
      </c>
      <c r="R975" s="22"/>
      <c r="S975" s="22" t="str">
        <f>IFERROR(__xludf.DUMMYFUNCTION("""COMPUTED_VALUE"""),"20231212_GANMA!_俺の武器は最弱だけどレベルアップするらしい")</f>
        <v>20231212_GANMA!_俺の武器は最弱だけどレベルアップするらしい</v>
      </c>
      <c r="T975" s="22" t="str">
        <f>IFERROR(__xludf.DUMMYFUNCTION("""COMPUTED_VALUE"""),"格納済み")</f>
        <v>格納済み</v>
      </c>
      <c r="U975" s="15" t="str">
        <f>IFERROR(__xludf.DUMMYFUNCTION("""COMPUTED_VALUE"""),"©神崎耀／COMICSMARTINC.")</f>
        <v>©神崎耀／COMICSMARTINC.</v>
      </c>
      <c r="V975" s="8" t="str">
        <f>IFERROR(__xludf.DUMMYFUNCTION("""COMPUTED_VALUE"""),"ニート俺、虐げられ続ける日常から最強の英雄に逆転する――。その秘密は… ボロボロに折れた “最弱の武器” ？！この世界で唯一　《レベルアップする特性を持つ》 武器だったのだ。落ちこぼれだと嘲笑われた主人公が、最弱の武器と共に世界を救う英雄になるまでの物語！（初出：GANMA!／著者名：神崎耀）")</f>
        <v>ニート俺、虐げられ続ける日常から最強の英雄に逆転する――。その秘密は… ボロボロに折れた “最弱の武器” ？！この世界で唯一　《レベルアップする特性を持つ》 武器だったのだ。落ちこぼれだと嘲笑われた主人公が、最弱の武器と共に世界を救う英雄になるまでの物語！（初出：GANMA!／著者名：神崎耀）</v>
      </c>
      <c r="W975" s="14"/>
      <c r="X975" s="14" t="str">
        <f>IFERROR(__xludf.DUMMYFUNCTION("""COMPUTED_VALUE"""),"有")</f>
        <v>有</v>
      </c>
      <c r="Y975" s="8" t="str">
        <f>IFERROR(__xludf.DUMMYFUNCTION("""COMPUTED_VALUE"""),"3巻無料")</f>
        <v>3巻無料</v>
      </c>
      <c r="Z975" s="7"/>
      <c r="AA975" s="7"/>
      <c r="AB975" s="7"/>
    </row>
    <row r="976" ht="15.75" customHeight="1">
      <c r="A976" s="26">
        <f>IFERROR(__xludf.DUMMYFUNCTION("""COMPUTED_VALUE"""),2563.0)</f>
        <v>2563</v>
      </c>
      <c r="B976" s="22" t="str">
        <f>IFERROR(__xludf.DUMMYFUNCTION("""COMPUTED_VALUE"""),"確定")</f>
        <v>確定</v>
      </c>
      <c r="C976" s="28">
        <f>IFERROR(__xludf.DUMMYFUNCTION("""COMPUTED_VALUE"""),45224.0)</f>
        <v>45224</v>
      </c>
      <c r="D976" s="28">
        <f>IFERROR(__xludf.DUMMYFUNCTION("""COMPUTED_VALUE"""),45272.0)</f>
        <v>45272</v>
      </c>
      <c r="E976" s="31">
        <f>IFERROR(__xludf.DUMMYFUNCTION("""COMPUTED_VALUE"""),284651.0)</f>
        <v>284651</v>
      </c>
      <c r="F976" s="22" t="str">
        <f>IFERROR(__xludf.DUMMYFUNCTION("""COMPUTED_VALUE"""),"異世界転生したら旦那様に濃厚吸血されて夜も眠れない")</f>
        <v>異世界転生したら旦那様に濃厚吸血されて夜も眠れない</v>
      </c>
      <c r="G976" s="11" t="str">
        <f>IFERROR(__xludf.DUMMYFUNCTION("""COMPUTED_VALUE"""),"1～2")</f>
        <v>1～2</v>
      </c>
      <c r="H976" s="22" t="str">
        <f>IFERROR(__xludf.DUMMYFUNCTION("""COMPUTED_VALUE"""),"おこめ")</f>
        <v>おこめ</v>
      </c>
      <c r="I976" s="22" t="str">
        <f>IFERROR(__xludf.DUMMYFUNCTION("""COMPUTED_VALUE"""),"TL")</f>
        <v>TL</v>
      </c>
      <c r="J976" s="22"/>
      <c r="K976" s="22"/>
      <c r="L976" s="22" t="str">
        <f>IFERROR(__xludf.DUMMYFUNCTION("""COMPUTED_VALUE"""),"ふゅーじょんぷろだくと")</f>
        <v>ふゅーじょんぷろだくと</v>
      </c>
      <c r="M976" s="23">
        <f>IFERROR(__xludf.DUMMYFUNCTION("""COMPUTED_VALUE"""),45313.0)</f>
        <v>45313</v>
      </c>
      <c r="N976" s="33">
        <f>IFERROR(__xludf.DUMMYFUNCTION("""COMPUTED_VALUE"""),45343.0)</f>
        <v>45343</v>
      </c>
      <c r="O976" s="20"/>
      <c r="P976" s="32" t="str">
        <f>IFERROR(__xludf.DUMMYFUNCTION("""COMPUTED_VALUE"""),"可")</f>
        <v>可</v>
      </c>
      <c r="Q976" s="30"/>
      <c r="R976" s="22"/>
      <c r="S976" s="22" t="str">
        <f>IFERROR(__xludf.DUMMYFUNCTION("""COMPUTED_VALUE"""),"20231212_ふゅーじょんぷろだくと_異世界転生したら旦那様に濃厚吸血されて夜も眠れない")</f>
        <v>20231212_ふゅーじょんぷろだくと_異世界転生したら旦那様に濃厚吸血されて夜も眠れない</v>
      </c>
      <c r="T976" s="22" t="str">
        <f>IFERROR(__xludf.DUMMYFUNCTION("""COMPUTED_VALUE"""),"格納済")</f>
        <v>格納済</v>
      </c>
      <c r="U976" s="15" t="str">
        <f>IFERROR(__xludf.DUMMYFUNCTION("""COMPUTED_VALUE"""),"『異世界転生したら旦那様に濃厚吸血されて夜も眠れない』©おこめ／FUSION PRODUCT")</f>
        <v>『異世界転生したら旦那様に濃厚吸血されて夜も眠れない』©おこめ／FUSION PRODUCT</v>
      </c>
      <c r="V976" s="8" t="str">
        <f>IFERROR(__xludf.DUMMYFUNCTION("""COMPUTED_VALUE"""),"【ヴァンパイアに闇オークションで競り落とされました。（泣）】電車に轢かれ、どうやら異世界転生をしてしまったOLの加奈瀬 凛（かなせ りん）。鬱蒼として森で目を覚まし訳がわからぬまま拉致されたかと思えば、いつの間にか檻の中。さらに自分を目玉商品にしたオークションが開催されている！？異世界転生していきなり競売にかけられるってどういうことですか。怪しげな公爵に落札されたリンは、彼が吸血鬼だと知り…！？＜美しすぎる吸血鬼×エサとして買われた元OL＞の異種間TL。『身勝手な神様に溺愛されて結婚するまで離さない』のお"&amp;"こめがおくる、ラブファンタジーを刮目せよ☆")</f>
        <v>【ヴァンパイアに闇オークションで競り落とされました。（泣）】電車に轢かれ、どうやら異世界転生をしてしまったOLの加奈瀬 凛（かなせ りん）。鬱蒼として森で目を覚まし訳がわからぬまま拉致されたかと思えば、いつの間にか檻の中。さらに自分を目玉商品にしたオークションが開催されている！？異世界転生していきなり競売にかけられるってどういうことですか。怪しげな公爵に落札されたリンは、彼が吸血鬼だと知り…！？＜美しすぎる吸血鬼×エサとして買われた元OL＞の異種間TL。『身勝手な神様に溺愛されて結婚するまで離さない』のおこめがおくる、ラブファンタジーを刮目せよ☆</v>
      </c>
      <c r="W976" s="14"/>
      <c r="X976" s="14" t="str">
        <f>IFERROR(__xludf.DUMMYFUNCTION("""COMPUTED_VALUE"""),"有")</f>
        <v>有</v>
      </c>
      <c r="Y976" s="8" t="str">
        <f>IFERROR(__xludf.DUMMYFUNCTION("""COMPUTED_VALUE"""),"P10まで")</f>
        <v>P10まで</v>
      </c>
      <c r="Z976" s="7"/>
      <c r="AA976" s="7"/>
      <c r="AB976" s="7"/>
    </row>
    <row r="977" ht="15.75" customHeight="1">
      <c r="A977" s="26">
        <f>IFERROR(__xludf.DUMMYFUNCTION("""COMPUTED_VALUE"""),2645.0)</f>
        <v>2645</v>
      </c>
      <c r="B977" s="22" t="str">
        <f>IFERROR(__xludf.DUMMYFUNCTION("""COMPUTED_VALUE"""),"確定")</f>
        <v>確定</v>
      </c>
      <c r="C977" s="28">
        <f>IFERROR(__xludf.DUMMYFUNCTION("""COMPUTED_VALUE"""),45245.0)</f>
        <v>45245</v>
      </c>
      <c r="D977" s="28">
        <f>IFERROR(__xludf.DUMMYFUNCTION("""COMPUTED_VALUE"""),45273.0)</f>
        <v>45273</v>
      </c>
      <c r="E977" s="31">
        <f>IFERROR(__xludf.DUMMYFUNCTION("""COMPUTED_VALUE"""),283878.0)</f>
        <v>283878</v>
      </c>
      <c r="F977" s="22" t="str">
        <f>IFERROR(__xludf.DUMMYFUNCTION("""COMPUTED_VALUE"""),"ロッカ・バイ・ベイビー")</f>
        <v>ロッカ・バイ・ベイビー</v>
      </c>
      <c r="G977" s="20">
        <f>IFERROR(__xludf.DUMMYFUNCTION("""COMPUTED_VALUE"""),1.0)</f>
        <v>1</v>
      </c>
      <c r="H977" s="22" t="str">
        <f>IFERROR(__xludf.DUMMYFUNCTION("""COMPUTED_VALUE"""),"倉橋トモ")</f>
        <v>倉橋トモ</v>
      </c>
      <c r="I977" s="22" t="str">
        <f>IFERROR(__xludf.DUMMYFUNCTION("""COMPUTED_VALUE"""),"BL")</f>
        <v>BL</v>
      </c>
      <c r="J977" s="22"/>
      <c r="K977" s="22"/>
      <c r="L977" s="22" t="str">
        <f>IFERROR(__xludf.DUMMYFUNCTION("""COMPUTED_VALUE"""),"from RED")</f>
        <v>from RED</v>
      </c>
      <c r="M977" s="23">
        <f>IFERROR(__xludf.DUMMYFUNCTION("""COMPUTED_VALUE"""),45303.0)</f>
        <v>45303</v>
      </c>
      <c r="N977" s="23">
        <f>IFERROR(__xludf.DUMMYFUNCTION("""COMPUTED_VALUE"""),45330.0)</f>
        <v>45330</v>
      </c>
      <c r="O977" s="20"/>
      <c r="P977" s="32" t="str">
        <f>IFERROR(__xludf.DUMMYFUNCTION("""COMPUTED_VALUE"""),"可")</f>
        <v>可</v>
      </c>
      <c r="Q977" s="30"/>
      <c r="R977" s="22"/>
      <c r="S977" s="22" t="str">
        <f>IFERROR(__xludf.DUMMYFUNCTION("""COMPUTED_VALUE"""),"20231212_シュークリーム_ロッカ・バイ・ベイビー")</f>
        <v>20231212_シュークリーム_ロッカ・バイ・ベイビー</v>
      </c>
      <c r="T977" s="22" t="str">
        <f>IFERROR(__xludf.DUMMYFUNCTION("""COMPUTED_VALUE"""),"格納済み")</f>
        <v>格納済み</v>
      </c>
      <c r="U977" s="15" t="str">
        <f>IFERROR(__xludf.DUMMYFUNCTION("""COMPUTED_VALUE"""),"（C）倉橋トモ/from RED")</f>
        <v>（C）倉橋トモ/from RED</v>
      </c>
      <c r="V977" s="8" t="str">
        <f>IFERROR(__xludf.DUMMYFUNCTION("""COMPUTED_VALUE"""),"俺にもう一度生きると決めさせたアンタから離れない。
地獄すら共にする、番犬×族長の主従ノワールBL！
20××年。
経済が崩壊し、治安は悪化。
その汚れた路地裏の一角で命を終える寸前だった旭は、「鈴」と名乗る青年に助けられる。
死ぬつもりだった旭は始めこそ鈴に当たっていたが、本当は生きたかった心の奥底を暴かれて以来、鈴に心を許すようになった。
堅気ではないだろうが、騙しているようにも見えない。
自分をひどく年下のように扱う一方で、時々驚くほど寂しげな顔をする鈴に、旭の心は初めて震えた。
そうして思った。
"&amp;"もっと、鈴のことを知りたいと。
例え、どんな悲しみを抱えていようとも―――。")</f>
        <v>俺にもう一度生きると決めさせたアンタから離れない。
地獄すら共にする、番犬×族長の主従ノワールBL！
20××年。
経済が崩壊し、治安は悪化。
その汚れた路地裏の一角で命を終える寸前だった旭は、「鈴」と名乗る青年に助けられる。
死ぬつもりだった旭は始めこそ鈴に当たっていたが、本当は生きたかった心の奥底を暴かれて以来、鈴に心を許すようになった。
堅気ではないだろうが、騙しているようにも見えない。
自分をひどく年下のように扱う一方で、時々驚くほど寂しげな顔をする鈴に、旭の心は初めて震えた。
そうして思った。
もっと、鈴のことを知りたいと。
例え、どんな悲しみを抱えていようとも―――。</v>
      </c>
      <c r="W977" s="14"/>
      <c r="X977" s="14" t="str">
        <f>IFERROR(__xludf.DUMMYFUNCTION("""COMPUTED_VALUE"""),"有")</f>
        <v>有</v>
      </c>
      <c r="Y977" s="8" t="str">
        <f>IFERROR(__xludf.DUMMYFUNCTION("""COMPUTED_VALUE"""),"P14まで")</f>
        <v>P14まで</v>
      </c>
      <c r="Z977" s="7"/>
      <c r="AA977" s="7"/>
      <c r="AB977" s="7"/>
    </row>
    <row r="978" ht="15.75" customHeight="1">
      <c r="A978" s="26">
        <f>IFERROR(__xludf.DUMMYFUNCTION("""COMPUTED_VALUE"""),2659.0)</f>
        <v>2659</v>
      </c>
      <c r="B978" s="22" t="str">
        <f>IFERROR(__xludf.DUMMYFUNCTION("""COMPUTED_VALUE"""),"確定")</f>
        <v>確定</v>
      </c>
      <c r="C978" s="28">
        <f>IFERROR(__xludf.DUMMYFUNCTION("""COMPUTED_VALUE"""),45250.0)</f>
        <v>45250</v>
      </c>
      <c r="D978" s="28">
        <f>IFERROR(__xludf.DUMMYFUNCTION("""COMPUTED_VALUE"""),45273.0)</f>
        <v>45273</v>
      </c>
      <c r="E978" s="31">
        <f>IFERROR(__xludf.DUMMYFUNCTION("""COMPUTED_VALUE"""),285141.0)</f>
        <v>285141</v>
      </c>
      <c r="F978" s="22" t="str">
        <f>IFERROR(__xludf.DUMMYFUNCTION("""COMPUTED_VALUE"""),"東雲くんとはデキない関係")</f>
        <v>東雲くんとはデキない関係</v>
      </c>
      <c r="G978" s="16" t="str">
        <f>IFERROR(__xludf.DUMMYFUNCTION("""COMPUTED_VALUE"""),"1～3")</f>
        <v>1～3</v>
      </c>
      <c r="H978" s="22" t="str">
        <f>IFERROR(__xludf.DUMMYFUNCTION("""COMPUTED_VALUE"""),"イサコ")</f>
        <v>イサコ</v>
      </c>
      <c r="I978" s="22" t="str">
        <f>IFERROR(__xludf.DUMMYFUNCTION("""COMPUTED_VALUE"""),"女性")</f>
        <v>女性</v>
      </c>
      <c r="J978" s="22"/>
      <c r="K978" s="22"/>
      <c r="L978" s="22" t="str">
        <f>IFERROR(__xludf.DUMMYFUNCTION("""COMPUTED_VALUE"""),"オーバーラップ")</f>
        <v>オーバーラップ</v>
      </c>
      <c r="M978" s="23">
        <f>IFERROR(__xludf.DUMMYFUNCTION("""COMPUTED_VALUE"""),45315.0)</f>
        <v>45315</v>
      </c>
      <c r="N978" s="33">
        <f>IFERROR(__xludf.DUMMYFUNCTION("""COMPUTED_VALUE"""),45406.0)</f>
        <v>45406</v>
      </c>
      <c r="O978" s="20"/>
      <c r="P978" s="29" t="str">
        <f>IFERROR(__xludf.DUMMYFUNCTION("""COMPUTED_VALUE"""),"可")</f>
        <v>可</v>
      </c>
      <c r="Q978" s="30" t="str">
        <f>IFERROR(__xludf.DUMMYFUNCTION("""COMPUTED_VALUE"""),"広告コミットOK(11/30)&lt;BR&gt;")</f>
        <v>広告コミットOK(11/30)&lt;BR&gt;</v>
      </c>
      <c r="R978" s="22"/>
      <c r="S978" s="22" t="str">
        <f>IFERROR(__xludf.DUMMYFUNCTION("""COMPUTED_VALUE"""),"20231211_オーバーラップ_東雲くんとはデキない関係")</f>
        <v>20231211_オーバーラップ_東雲くんとはデキない関係</v>
      </c>
      <c r="T978" s="22" t="str">
        <f>IFERROR(__xludf.DUMMYFUNCTION("""COMPUTED_VALUE"""),"格納済み")</f>
        <v>格納済み</v>
      </c>
      <c r="U978" s="15" t="str">
        <f>IFERROR(__xludf.DUMMYFUNCTION("""COMPUTED_VALUE"""),"(c)イサコ／オーバーラップ")</f>
        <v>(c)イサコ／オーバーラップ</v>
      </c>
      <c r="V978" s="8" t="str">
        <f>IFERROR(__xludf.DUMMYFUNCTION("""COMPUTED_VALUE"""),"地味で平凡なアラサーOL・鳴海 凛（なるみりん）は過去の恋愛のトラウマから不感症となり、おまけに恋愛にも消極的…。
そんなある日、会社の飲み会で潰れてしまった営業部のエース・東雲千秋（しののめちあき）を自宅で介抱することに。爽やかで人気者で仕事ができる、自分とは正反対だと思っていた彼にも誰にも言えない“性”のコンプレックスがあるようで…!?")</f>
        <v>地味で平凡なアラサーOL・鳴海 凛（なるみりん）は過去の恋愛のトラウマから不感症となり、おまけに恋愛にも消極的…。
そんなある日、会社の飲み会で潰れてしまった営業部のエース・東雲千秋（しののめちあき）を自宅で介抱することに。爽やかで人気者で仕事ができる、自分とは正反対だと思っていた彼にも誰にも言えない“性”のコンプレックスがあるようで…!?</v>
      </c>
      <c r="W978" s="14"/>
      <c r="X978" s="14" t="str">
        <f>IFERROR(__xludf.DUMMYFUNCTION("""COMPUTED_VALUE"""),"有")</f>
        <v>有</v>
      </c>
      <c r="Y978" s="8" t="str">
        <f>IFERROR(__xludf.DUMMYFUNCTION("""COMPUTED_VALUE"""),"2024/4/24まで1巻無料")</f>
        <v>2024/4/24まで1巻無料</v>
      </c>
      <c r="Z978" s="7"/>
      <c r="AA978" s="7"/>
      <c r="AB978" s="7"/>
    </row>
    <row r="979" ht="15.75" customHeight="1">
      <c r="A979" s="26">
        <f>IFERROR(__xludf.DUMMYFUNCTION("""COMPUTED_VALUE"""),2660.0)</f>
        <v>2660</v>
      </c>
      <c r="B979" s="22" t="str">
        <f>IFERROR(__xludf.DUMMYFUNCTION("""COMPUTED_VALUE"""),"確定")</f>
        <v>確定</v>
      </c>
      <c r="C979" s="28">
        <f>IFERROR(__xludf.DUMMYFUNCTION("""COMPUTED_VALUE"""),45250.0)</f>
        <v>45250</v>
      </c>
      <c r="D979" s="28">
        <f>IFERROR(__xludf.DUMMYFUNCTION("""COMPUTED_VALUE"""),45267.0)</f>
        <v>45267</v>
      </c>
      <c r="E979" s="31">
        <f>IFERROR(__xludf.DUMMYFUNCTION("""COMPUTED_VALUE"""),285139.0)</f>
        <v>285139</v>
      </c>
      <c r="F979" s="22" t="str">
        <f>IFERROR(__xludf.DUMMYFUNCTION("""COMPUTED_VALUE"""),"断罪されたダメ王子、拾いました")</f>
        <v>断罪されたダメ王子、拾いました</v>
      </c>
      <c r="G979" s="16" t="str">
        <f>IFERROR(__xludf.DUMMYFUNCTION("""COMPUTED_VALUE"""),"1～3")</f>
        <v>1～3</v>
      </c>
      <c r="H979" s="22" t="str">
        <f>IFERROR(__xludf.DUMMYFUNCTION("""COMPUTED_VALUE"""),"一桔群青")</f>
        <v>一桔群青</v>
      </c>
      <c r="I979" s="22" t="str">
        <f>IFERROR(__xludf.DUMMYFUNCTION("""COMPUTED_VALUE"""),"女性")</f>
        <v>女性</v>
      </c>
      <c r="J979" s="22"/>
      <c r="K979" s="22"/>
      <c r="L979" s="22" t="str">
        <f>IFERROR(__xludf.DUMMYFUNCTION("""COMPUTED_VALUE"""),"オーバーラップ")</f>
        <v>オーバーラップ</v>
      </c>
      <c r="M979" s="23">
        <f>IFERROR(__xludf.DUMMYFUNCTION("""COMPUTED_VALUE"""),45315.0)</f>
        <v>45315</v>
      </c>
      <c r="N979" s="33">
        <f>IFERROR(__xludf.DUMMYFUNCTION("""COMPUTED_VALUE"""),45406.0)</f>
        <v>45406</v>
      </c>
      <c r="O979" s="20"/>
      <c r="P979" s="29" t="str">
        <f>IFERROR(__xludf.DUMMYFUNCTION("""COMPUTED_VALUE"""),"否")</f>
        <v>否</v>
      </c>
      <c r="Q979" s="30" t="str">
        <f>IFERROR(__xludf.DUMMYFUNCTION("""COMPUTED_VALUE"""),"広告コミットOK(11/30)&lt;BR&gt;")</f>
        <v>広告コミットOK(11/30)&lt;BR&gt;</v>
      </c>
      <c r="R979" s="22"/>
      <c r="S979" s="22" t="str">
        <f>IFERROR(__xludf.DUMMYFUNCTION("""COMPUTED_VALUE"""),"20231207_オーバーラップ_断罪されたダメ王子、拾いました")</f>
        <v>20231207_オーバーラップ_断罪されたダメ王子、拾いました</v>
      </c>
      <c r="T979" s="22" t="str">
        <f>IFERROR(__xludf.DUMMYFUNCTION("""COMPUTED_VALUE"""),"格納済み")</f>
        <v>格納済み</v>
      </c>
      <c r="U979" s="15" t="str">
        <f>IFERROR(__xludf.DUMMYFUNCTION("""COMPUTED_VALUE"""),"(c)一桔群青／オーバーラップ")</f>
        <v>(c)一桔群青／オーバーラップ</v>
      </c>
      <c r="V979" s="8" t="str">
        <f>IFERROR(__xludf.DUMMYFUNCTION("""COMPUTED_VALUE"""),"尊大で自信過剰な王子・クルヒは、その目に余る振る舞いのせいで王宮から追放されてしまう。城下町を彷徨い歩き辿り着いたのは、重度の宮廷モノオタクの少女・エマが営む宿屋だった。かつての華美な姿を失ってしまったクルヒに、エマの“解釈違い”が炸裂！そしてエマは大好きな“推し”を復活させるため、ある計画を始動する――！")</f>
        <v>尊大で自信過剰な王子・クルヒは、その目に余る振る舞いのせいで王宮から追放されてしまう。城下町を彷徨い歩き辿り着いたのは、重度の宮廷モノオタクの少女・エマが営む宿屋だった。かつての華美な姿を失ってしまったクルヒに、エマの“解釈違い”が炸裂！そしてエマは大好きな“推し”を復活させるため、ある計画を始動する――！</v>
      </c>
      <c r="W979" s="14"/>
      <c r="X979" s="14" t="str">
        <f>IFERROR(__xludf.DUMMYFUNCTION("""COMPUTED_VALUE"""),"有")</f>
        <v>有</v>
      </c>
      <c r="Y979" s="8" t="str">
        <f>IFERROR(__xludf.DUMMYFUNCTION("""COMPUTED_VALUE"""),"2024/4/24まで1巻無料")</f>
        <v>2024/4/24まで1巻無料</v>
      </c>
      <c r="Z979" s="7"/>
      <c r="AA979" s="7"/>
      <c r="AB979" s="7"/>
    </row>
    <row r="980" ht="15.75" customHeight="1">
      <c r="A980" s="26">
        <f>IFERROR(__xludf.DUMMYFUNCTION("""COMPUTED_VALUE"""),2661.0)</f>
        <v>2661</v>
      </c>
      <c r="B980" s="22" t="str">
        <f>IFERROR(__xludf.DUMMYFUNCTION("""COMPUTED_VALUE"""),"確定")</f>
        <v>確定</v>
      </c>
      <c r="C980" s="28">
        <f>IFERROR(__xludf.DUMMYFUNCTION("""COMPUTED_VALUE"""),45250.0)</f>
        <v>45250</v>
      </c>
      <c r="D980" s="28">
        <f>IFERROR(__xludf.DUMMYFUNCTION("""COMPUTED_VALUE"""),45273.0)</f>
        <v>45273</v>
      </c>
      <c r="E980" s="31">
        <f>IFERROR(__xludf.DUMMYFUNCTION("""COMPUTED_VALUE"""),285138.0)</f>
        <v>285138</v>
      </c>
      <c r="F980" s="22" t="str">
        <f>IFERROR(__xludf.DUMMYFUNCTION("""COMPUTED_VALUE"""),"恋い初めは落ちゆく椿の下で")</f>
        <v>恋い初めは落ちゆく椿の下で</v>
      </c>
      <c r="G980" s="16" t="str">
        <f>IFERROR(__xludf.DUMMYFUNCTION("""COMPUTED_VALUE"""),"1～3")</f>
        <v>1～3</v>
      </c>
      <c r="H980" s="22" t="str">
        <f>IFERROR(__xludf.DUMMYFUNCTION("""COMPUTED_VALUE"""),"市川なつを")</f>
        <v>市川なつを</v>
      </c>
      <c r="I980" s="22" t="str">
        <f>IFERROR(__xludf.DUMMYFUNCTION("""COMPUTED_VALUE"""),"女性")</f>
        <v>女性</v>
      </c>
      <c r="J980" s="22"/>
      <c r="K980" s="22"/>
      <c r="L980" s="22" t="str">
        <f>IFERROR(__xludf.DUMMYFUNCTION("""COMPUTED_VALUE"""),"オーバーラップ")</f>
        <v>オーバーラップ</v>
      </c>
      <c r="M980" s="23">
        <f>IFERROR(__xludf.DUMMYFUNCTION("""COMPUTED_VALUE"""),45315.0)</f>
        <v>45315</v>
      </c>
      <c r="N980" s="33">
        <f>IFERROR(__xludf.DUMMYFUNCTION("""COMPUTED_VALUE"""),45406.0)</f>
        <v>45406</v>
      </c>
      <c r="O980" s="20"/>
      <c r="P980" s="32" t="str">
        <f>IFERROR(__xludf.DUMMYFUNCTION("""COMPUTED_VALUE"""),"否")</f>
        <v>否</v>
      </c>
      <c r="Q980" s="30"/>
      <c r="R980" s="22"/>
      <c r="S980" s="22" t="str">
        <f>IFERROR(__xludf.DUMMYFUNCTION("""COMPUTED_VALUE"""),"20231211_オーバーラップ_恋い初めは落ちゆく椿の下で")</f>
        <v>20231211_オーバーラップ_恋い初めは落ちゆく椿の下で</v>
      </c>
      <c r="T980" s="22" t="str">
        <f>IFERROR(__xludf.DUMMYFUNCTION("""COMPUTED_VALUE"""),"格納済み")</f>
        <v>格納済み</v>
      </c>
      <c r="U980" s="15" t="str">
        <f>IFERROR(__xludf.DUMMYFUNCTION("""COMPUTED_VALUE"""),"(c)市川なつを／オーバーラップ")</f>
        <v>(c)市川なつを／オーバーラップ</v>
      </c>
      <c r="V980" s="8" t="str">
        <f>IFERROR(__xludf.DUMMYFUNCTION("""COMPUTED_VALUE"""),"事故で両親を失い、天涯孤独となった東 春一（あずまはるいち）は、引き取られた先の親戚から冷遇され、裏切られ…受難な日々を送っていた。そんなある日、父親の旧友から“娘の世話係”として家に招かれる。ところが待っていたのは、わがままで尊大な態度をとる八乙女（やおとめ）家の次女・椿（つばき）。苦手なタイプに辟易するも、椿も春一と同じく目に孤独を宿していて――…")</f>
        <v>事故で両親を失い、天涯孤独となった東 春一（あずまはるいち）は、引き取られた先の親戚から冷遇され、裏切られ…受難な日々を送っていた。そんなある日、父親の旧友から“娘の世話係”として家に招かれる。ところが待っていたのは、わがままで尊大な態度をとる八乙女（やおとめ）家の次女・椿（つばき）。苦手なタイプに辟易するも、椿も春一と同じく目に孤独を宿していて――…</v>
      </c>
      <c r="W980" s="14"/>
      <c r="X980" s="14" t="str">
        <f>IFERROR(__xludf.DUMMYFUNCTION("""COMPUTED_VALUE"""),"有")</f>
        <v>有</v>
      </c>
      <c r="Y980" s="8" t="str">
        <f>IFERROR(__xludf.DUMMYFUNCTION("""COMPUTED_VALUE"""),"2024/4/24まで1巻無料")</f>
        <v>2024/4/24まで1巻無料</v>
      </c>
      <c r="Z980" s="7"/>
      <c r="AA980" s="7"/>
      <c r="AB980" s="7"/>
    </row>
    <row r="981" ht="15.75" customHeight="1">
      <c r="A981" s="26">
        <f>IFERROR(__xludf.DUMMYFUNCTION("""COMPUTED_VALUE"""),2662.0)</f>
        <v>2662</v>
      </c>
      <c r="B981" s="22" t="str">
        <f>IFERROR(__xludf.DUMMYFUNCTION("""COMPUTED_VALUE"""),"確定")</f>
        <v>確定</v>
      </c>
      <c r="C981" s="28">
        <f>IFERROR(__xludf.DUMMYFUNCTION("""COMPUTED_VALUE"""),45250.0)</f>
        <v>45250</v>
      </c>
      <c r="D981" s="28">
        <f>IFERROR(__xludf.DUMMYFUNCTION("""COMPUTED_VALUE"""),45267.0)</f>
        <v>45267</v>
      </c>
      <c r="E981" s="31">
        <f>IFERROR(__xludf.DUMMYFUNCTION("""COMPUTED_VALUE"""),285140.0)</f>
        <v>285140</v>
      </c>
      <c r="F981" s="22" t="str">
        <f>IFERROR(__xludf.DUMMYFUNCTION("""COMPUTED_VALUE"""),"春雷と恋わずらい")</f>
        <v>春雷と恋わずらい</v>
      </c>
      <c r="G981" s="16" t="str">
        <f>IFERROR(__xludf.DUMMYFUNCTION("""COMPUTED_VALUE"""),"1～3")</f>
        <v>1～3</v>
      </c>
      <c r="H981" s="22" t="str">
        <f>IFERROR(__xludf.DUMMYFUNCTION("""COMPUTED_VALUE"""),"ma2")</f>
        <v>ma2</v>
      </c>
      <c r="I981" s="22" t="str">
        <f>IFERROR(__xludf.DUMMYFUNCTION("""COMPUTED_VALUE"""),"女性")</f>
        <v>女性</v>
      </c>
      <c r="J981" s="22"/>
      <c r="K981" s="22"/>
      <c r="L981" s="22" t="str">
        <f>IFERROR(__xludf.DUMMYFUNCTION("""COMPUTED_VALUE"""),"オーバーラップ")</f>
        <v>オーバーラップ</v>
      </c>
      <c r="M981" s="23">
        <f>IFERROR(__xludf.DUMMYFUNCTION("""COMPUTED_VALUE"""),45315.0)</f>
        <v>45315</v>
      </c>
      <c r="N981" s="33">
        <f>IFERROR(__xludf.DUMMYFUNCTION("""COMPUTED_VALUE"""),45487.66666666667)</f>
        <v>45487.66667</v>
      </c>
      <c r="O981" s="20"/>
      <c r="P981" s="32" t="str">
        <f>IFERROR(__xludf.DUMMYFUNCTION("""COMPUTED_VALUE"""),"否")</f>
        <v>否</v>
      </c>
      <c r="Q981" s="30"/>
      <c r="R981" s="22"/>
      <c r="S981" s="22" t="str">
        <f>IFERROR(__xludf.DUMMYFUNCTION("""COMPUTED_VALUE"""),"20231207_オーバーラップ_春雷と恋わずらい")</f>
        <v>20231207_オーバーラップ_春雷と恋わずらい</v>
      </c>
      <c r="T981" s="22" t="str">
        <f>IFERROR(__xludf.DUMMYFUNCTION("""COMPUTED_VALUE"""),"格納済み")</f>
        <v>格納済み</v>
      </c>
      <c r="U981" s="15" t="str">
        <f>IFERROR(__xludf.DUMMYFUNCTION("""COMPUTED_VALUE"""),"(c)ma2／オーバーラップ")</f>
        <v>(c)ma2／オーバーラップ</v>
      </c>
      <c r="V981" s="8" t="str">
        <f>IFERROR(__xludf.DUMMYFUNCTION("""COMPUTED_VALUE"""),"星野華、18歳。
天真爛漫な彼女が”結婚したい相手”は、
朴訥・不器用・無愛想なお世話係・櫻井33歳。
ワケあって両親の代わりに一緒に暮らす彼とは
14歳で出会ってから悲しいことも、嬉しいことも、全部見せてきた。
「お世話係」と「お嬢さん」の関係から抜け出して
そろそろ「女」として見てほしい！ と、
18歳の誕生日、満を辞して逆プロポーズするけれど…？
距離感おかしい（!?）凸凹な二人の
一つ屋根の下で巻き起こる、
歳の差15歳の焦れった恋物語")</f>
        <v>星野華、18歳。
天真爛漫な彼女が”結婚したい相手”は、
朴訥・不器用・無愛想なお世話係・櫻井33歳。
ワケあって両親の代わりに一緒に暮らす彼とは
14歳で出会ってから悲しいことも、嬉しいことも、全部見せてきた。
「お世話係」と「お嬢さん」の関係から抜け出して
そろそろ「女」として見てほしい！ と、
18歳の誕生日、満を辞して逆プロポーズするけれど…？
距離感おかしい（!?）凸凹な二人の
一つ屋根の下で巻き起こる、
歳の差15歳の焦れった恋物語</v>
      </c>
      <c r="W981" s="14"/>
      <c r="X981" s="14" t="str">
        <f>IFERROR(__xludf.DUMMYFUNCTION("""COMPUTED_VALUE"""),"有")</f>
        <v>有</v>
      </c>
      <c r="Y981" s="8" t="str">
        <f>IFERROR(__xludf.DUMMYFUNCTION("""COMPUTED_VALUE"""),"2024/4/24まで1巻無料")</f>
        <v>2024/4/24まで1巻無料</v>
      </c>
      <c r="Z981" s="7"/>
      <c r="AA981" s="7"/>
      <c r="AB981" s="7"/>
    </row>
    <row r="982" ht="15.75" customHeight="1">
      <c r="A982" s="26">
        <f>IFERROR(__xludf.DUMMYFUNCTION("""COMPUTED_VALUE"""),2663.0)</f>
        <v>2663</v>
      </c>
      <c r="B982" s="22" t="str">
        <f>IFERROR(__xludf.DUMMYFUNCTION("""COMPUTED_VALUE"""),"確定")</f>
        <v>確定</v>
      </c>
      <c r="C982" s="28">
        <f>IFERROR(__xludf.DUMMYFUNCTION("""COMPUTED_VALUE"""),45250.0)</f>
        <v>45250</v>
      </c>
      <c r="D982" s="28">
        <f>IFERROR(__xludf.DUMMYFUNCTION("""COMPUTED_VALUE"""),45273.0)</f>
        <v>45273</v>
      </c>
      <c r="E982" s="31">
        <f>IFERROR(__xludf.DUMMYFUNCTION("""COMPUTED_VALUE"""),285137.0)</f>
        <v>285137</v>
      </c>
      <c r="F982" s="22" t="str">
        <f>IFERROR(__xludf.DUMMYFUNCTION("""COMPUTED_VALUE"""),"僕とあやかしの365日")</f>
        <v>僕とあやかしの365日</v>
      </c>
      <c r="G982" s="16" t="str">
        <f>IFERROR(__xludf.DUMMYFUNCTION("""COMPUTED_VALUE"""),"1～3")</f>
        <v>1～3</v>
      </c>
      <c r="H982" s="22" t="str">
        <f>IFERROR(__xludf.DUMMYFUNCTION("""COMPUTED_VALUE"""),"ころりよ")</f>
        <v>ころりよ</v>
      </c>
      <c r="I982" s="22" t="str">
        <f>IFERROR(__xludf.DUMMYFUNCTION("""COMPUTED_VALUE"""),"女性")</f>
        <v>女性</v>
      </c>
      <c r="J982" s="22"/>
      <c r="K982" s="22"/>
      <c r="L982" s="22" t="str">
        <f>IFERROR(__xludf.DUMMYFUNCTION("""COMPUTED_VALUE"""),"オーバーラップ")</f>
        <v>オーバーラップ</v>
      </c>
      <c r="M982" s="23">
        <f>IFERROR(__xludf.DUMMYFUNCTION("""COMPUTED_VALUE"""),45315.0)</f>
        <v>45315</v>
      </c>
      <c r="N982" s="33">
        <f>IFERROR(__xludf.DUMMYFUNCTION("""COMPUTED_VALUE"""),45406.0)</f>
        <v>45406</v>
      </c>
      <c r="O982" s="20"/>
      <c r="P982" s="29" t="str">
        <f>IFERROR(__xludf.DUMMYFUNCTION("""COMPUTED_VALUE"""),"否")</f>
        <v>否</v>
      </c>
      <c r="Q982" s="30" t="str">
        <f>IFERROR(__xludf.DUMMYFUNCTION("""COMPUTED_VALUE"""),"広告コミットOK(11/30)&lt;BR&gt;")</f>
        <v>広告コミットOK(11/30)&lt;BR&gt;</v>
      </c>
      <c r="R982" s="22"/>
      <c r="S982" s="22" t="str">
        <f>IFERROR(__xludf.DUMMYFUNCTION("""COMPUTED_VALUE"""),"20231211_オーバーラップ_僕とあやかしの365日")</f>
        <v>20231211_オーバーラップ_僕とあやかしの365日</v>
      </c>
      <c r="T982" s="22" t="str">
        <f>IFERROR(__xludf.DUMMYFUNCTION("""COMPUTED_VALUE"""),"格納済み")</f>
        <v>格納済み</v>
      </c>
      <c r="U982" s="15" t="str">
        <f>IFERROR(__xludf.DUMMYFUNCTION("""COMPUTED_VALUE"""),"(c)ころりよ／オーバーラップ")</f>
        <v>(c)ころりよ／オーバーラップ</v>
      </c>
      <c r="V982" s="8" t="str">
        <f>IFERROR(__xludf.DUMMYFUNCTION("""COMPUTED_VALUE"""),"妖怪が見える家系に生まれるも、妖怪が苦手な11歳の光晴（みはる）は、
たった一人の家族だった祖父が死んで以来、いじわるな親戚や妖怪たちのイタズラに耐えながら一人で暮らしてきた。
そんなある日、背中に呪いの矢が刺さった大妖怪「コチ」が現れる。どうやら、背中の呪いを解くには光晴が必要らしい…。ところが、光晴にもまた“ある呪い”がかかっていて――")</f>
        <v>妖怪が見える家系に生まれるも、妖怪が苦手な11歳の光晴（みはる）は、
たった一人の家族だった祖父が死んで以来、いじわるな親戚や妖怪たちのイタズラに耐えながら一人で暮らしてきた。
そんなある日、背中に呪いの矢が刺さった大妖怪「コチ」が現れる。どうやら、背中の呪いを解くには光晴が必要らしい…。ところが、光晴にもまた“ある呪い”がかかっていて――</v>
      </c>
      <c r="W982" s="14"/>
      <c r="X982" s="14" t="str">
        <f>IFERROR(__xludf.DUMMYFUNCTION("""COMPUTED_VALUE"""),"有")</f>
        <v>有</v>
      </c>
      <c r="Y982" s="8" t="str">
        <f>IFERROR(__xludf.DUMMYFUNCTION("""COMPUTED_VALUE"""),"2024/4/24まで1巻無料")</f>
        <v>2024/4/24まで1巻無料</v>
      </c>
      <c r="Z982" s="7"/>
      <c r="AA982" s="7"/>
      <c r="AB982" s="7"/>
    </row>
    <row r="983" ht="103.5" customHeight="1">
      <c r="A983" s="26">
        <f>IFERROR(__xludf.DUMMYFUNCTION("""COMPUTED_VALUE"""),2671.0)</f>
        <v>2671</v>
      </c>
      <c r="B983" s="22" t="str">
        <f>IFERROR(__xludf.DUMMYFUNCTION("""COMPUTED_VALUE"""),"確定")</f>
        <v>確定</v>
      </c>
      <c r="C983" s="28">
        <f>IFERROR(__xludf.DUMMYFUNCTION("""COMPUTED_VALUE"""),45251.0)</f>
        <v>45251</v>
      </c>
      <c r="D983" s="28">
        <f>IFERROR(__xludf.DUMMYFUNCTION("""COMPUTED_VALUE"""),45267.0)</f>
        <v>45267</v>
      </c>
      <c r="E983" s="26">
        <f>IFERROR(__xludf.DUMMYFUNCTION("""COMPUTED_VALUE"""),127752.0)</f>
        <v>127752</v>
      </c>
      <c r="F983" s="22" t="str">
        <f>IFERROR(__xludf.DUMMYFUNCTION("""COMPUTED_VALUE"""),"Life 線上の僕ら")</f>
        <v>Life 線上の僕ら</v>
      </c>
      <c r="G983" s="20">
        <f>IFERROR(__xludf.DUMMYFUNCTION("""COMPUTED_VALUE"""),2.0)</f>
        <v>2</v>
      </c>
      <c r="H983" s="22" t="str">
        <f>IFERROR(__xludf.DUMMYFUNCTION("""COMPUTED_VALUE"""),"常倉三矢")</f>
        <v>常倉三矢</v>
      </c>
      <c r="I983" s="22" t="str">
        <f>IFERROR(__xludf.DUMMYFUNCTION("""COMPUTED_VALUE"""),"BL")</f>
        <v>BL</v>
      </c>
      <c r="J983" s="22"/>
      <c r="K983" s="22"/>
      <c r="L983" s="22" t="str">
        <f>IFERROR(__xludf.DUMMYFUNCTION("""COMPUTED_VALUE"""),"芳文社")</f>
        <v>芳文社</v>
      </c>
      <c r="M983" s="23">
        <f>IFERROR(__xludf.DUMMYFUNCTION("""COMPUTED_VALUE"""),45282.0)</f>
        <v>45282</v>
      </c>
      <c r="N983" s="23">
        <f>IFERROR(__xludf.DUMMYFUNCTION("""COMPUTED_VALUE"""),2958465.0)</f>
        <v>2958465</v>
      </c>
      <c r="O983" s="20"/>
      <c r="P983" s="29" t="str">
        <f>IFERROR(__xludf.DUMMYFUNCTION("""COMPUTED_VALUE"""),"否")</f>
        <v>否</v>
      </c>
      <c r="Q983" s="40" t="str">
        <f>IFERROR(__xludf.DUMMYFUNCTION("""COMPUTED_VALUE"""),"『シーモア限定BOOK』です")</f>
        <v>『シーモア限定BOOK』です</v>
      </c>
      <c r="R983" s="40">
        <f>IFERROR(__xludf.DUMMYFUNCTION("""COMPUTED_VALUE"""),45284.0)</f>
        <v>45284</v>
      </c>
      <c r="S983" s="22" t="str">
        <f>IFERROR(__xludf.DUMMYFUNCTION("""COMPUTED_VALUE"""),"20231206_芳文社_Life 線上の僕ら2【シーモア限定BOOK】")</f>
        <v>20231206_芳文社_Life 線上の僕ら2【シーモア限定BOOK】</v>
      </c>
      <c r="T983" s="22" t="str">
        <f>IFERROR(__xludf.DUMMYFUNCTION("""COMPUTED_VALUE"""),"格納済み")</f>
        <v>格納済み</v>
      </c>
      <c r="U983" s="15" t="str">
        <f>IFERROR(__xludf.DUMMYFUNCTION("""COMPUTED_VALUE"""),"（c）常倉三矢/芳文社")</f>
        <v>（c）常倉三矢/芳文社</v>
      </c>
      <c r="V983" s="8" t="str">
        <f>IFERROR(__xludf.DUMMYFUNCTION("""COMPUTED_VALUE"""),"下校途中の一人遊び「白線ゲーム」で偶然出会った生真面目な伊東と無邪気な西。恋に落ち、「白線の上だけの逢瀬」にもどかしさを覚えた伊東は咄嗟に西へキスしてしまって……高校生から大学生、そして大人へ―――変わらない想いと、変わりゆく現実の狭間で愛に翻弄された二人の男の人生を描いた感動の話題作。描き下ろし10ページあり")</f>
        <v>下校途中の一人遊び「白線ゲーム」で偶然出会った生真面目な伊東と無邪気な西。恋に落ち、「白線の上だけの逢瀬」にもどかしさを覚えた伊東は咄嗟に西へキスしてしまって……高校生から大学生、そして大人へ―――変わらない想いと、変わりゆく現実の狭間で愛に翻弄された二人の男の人生を描いた感動の話題作。描き下ろし10ページあり</v>
      </c>
      <c r="W983" s="14"/>
      <c r="X983" s="14" t="str">
        <f>IFERROR(__xludf.DUMMYFUNCTION("""COMPUTED_VALUE"""),"有")</f>
        <v>有</v>
      </c>
      <c r="Y983" s="8" t="str">
        <f>IFERROR(__xludf.DUMMYFUNCTION("""COMPUTED_VALUE"""),"2024/1/22まで立ち読み増量P50まで")</f>
        <v>2024/1/22まで立ち読み増量P50まで</v>
      </c>
      <c r="Z983" s="7"/>
      <c r="AA983" s="7"/>
      <c r="AB983" s="7"/>
    </row>
    <row r="984" ht="15.75" customHeight="1">
      <c r="A984" s="26">
        <f>IFERROR(__xludf.DUMMYFUNCTION("""COMPUTED_VALUE"""),2672.0)</f>
        <v>2672</v>
      </c>
      <c r="B984" s="22" t="str">
        <f>IFERROR(__xludf.DUMMYFUNCTION("""COMPUTED_VALUE"""),"確定")</f>
        <v>確定</v>
      </c>
      <c r="C984" s="28">
        <f>IFERROR(__xludf.DUMMYFUNCTION("""COMPUTED_VALUE"""),45251.0)</f>
        <v>45251</v>
      </c>
      <c r="D984" s="28">
        <f>IFERROR(__xludf.DUMMYFUNCTION("""COMPUTED_VALUE"""),45268.0)</f>
        <v>45268</v>
      </c>
      <c r="E984" s="26">
        <f>IFERROR(__xludf.DUMMYFUNCTION("""COMPUTED_VALUE"""),136977.0)</f>
        <v>136977</v>
      </c>
      <c r="F984" s="22" t="str">
        <f>IFERROR(__xludf.DUMMYFUNCTION("""COMPUTED_VALUE"""),"先生は仏頂面してやってくる【電子限定おまけ付き】")</f>
        <v>先生は仏頂面してやってくる【電子限定おまけ付き】</v>
      </c>
      <c r="G984" s="20">
        <f>IFERROR(__xludf.DUMMYFUNCTION("""COMPUTED_VALUE"""),4.0)</f>
        <v>4</v>
      </c>
      <c r="H984" s="22" t="str">
        <f>IFERROR(__xludf.DUMMYFUNCTION("""COMPUTED_VALUE"""),"来栖ハイジ")</f>
        <v>来栖ハイジ</v>
      </c>
      <c r="I984" s="22" t="str">
        <f>IFERROR(__xludf.DUMMYFUNCTION("""COMPUTED_VALUE"""),"BL")</f>
        <v>BL</v>
      </c>
      <c r="J984" s="22"/>
      <c r="K984" s="22"/>
      <c r="L984" s="22" t="str">
        <f>IFERROR(__xludf.DUMMYFUNCTION("""COMPUTED_VALUE"""),"芳文社")</f>
        <v>芳文社</v>
      </c>
      <c r="M984" s="23">
        <f>IFERROR(__xludf.DUMMYFUNCTION("""COMPUTED_VALUE"""),45282.0)</f>
        <v>45282</v>
      </c>
      <c r="N984" s="23">
        <f>IFERROR(__xludf.DUMMYFUNCTION("""COMPUTED_VALUE"""),2958465.0)</f>
        <v>2958465</v>
      </c>
      <c r="O984" s="20"/>
      <c r="P984" s="29" t="str">
        <f>IFERROR(__xludf.DUMMYFUNCTION("""COMPUTED_VALUE"""),"可")</f>
        <v>可</v>
      </c>
      <c r="Q984" s="40" t="str">
        <f>IFERROR(__xludf.DUMMYFUNCTION("""COMPUTED_VALUE"""),"「シーモア限定BOOK」作品です")</f>
        <v>「シーモア限定BOOK」作品です</v>
      </c>
      <c r="R984" s="40">
        <f>IFERROR(__xludf.DUMMYFUNCTION("""COMPUTED_VALUE"""),45254.0)</f>
        <v>45254</v>
      </c>
      <c r="S984" s="22" t="str">
        <f>IFERROR(__xludf.DUMMYFUNCTION("""COMPUTED_VALUE"""),"20231207_芳文社_先生は仏頂面してやってくる 番外編【シーモア限定BOOK】")</f>
        <v>20231207_芳文社_先生は仏頂面してやってくる 番外編【シーモア限定BOOK】</v>
      </c>
      <c r="T984" s="22" t="str">
        <f>IFERROR(__xludf.DUMMYFUNCTION("""COMPUTED_VALUE"""),"格納済み")</f>
        <v>格納済み</v>
      </c>
      <c r="U984" s="15" t="str">
        <f>IFERROR(__xludf.DUMMYFUNCTION("""COMPUTED_VALUE"""),"（c）来栖ハイジ/芳文社")</f>
        <v>（c）来栖ハイジ/芳文社</v>
      </c>
      <c r="V984" s="8" t="str">
        <f>IFERROR(__xludf.DUMMYFUNCTION("""COMPUTED_VALUE"""),"会社帰りに保育園に甥っ子をお迎えに行く由良には天敵がいる。それは無愛想極まりない保育士・加持先生。子ども達には優しいのに、保護者には笑顔のひとつもないのだ。そんな男に、ゲイの自分がつらい失恋のせいで、恋に臆病になっている事を見抜かれてしまう。憎たらしく思っていたのに、失恋相手から「ホモヤロー」と罵られる由良を、加持は恋人のフリで庇ってくれて…!?　無愛想保育士×サラリーマンの恋！　36P大幅描き下ろしは『Ｈ禁止令』!?　「狼パパは羊ヅラしてやってくる」新カップル編！")</f>
        <v>会社帰りに保育園に甥っ子をお迎えに行く由良には天敵がいる。それは無愛想極まりない保育士・加持先生。子ども達には優しいのに、保護者には笑顔のひとつもないのだ。そんな男に、ゲイの自分がつらい失恋のせいで、恋に臆病になっている事を見抜かれてしまう。憎たらしく思っていたのに、失恋相手から「ホモヤロー」と罵られる由良を、加持は恋人のフリで庇ってくれて…!?　無愛想保育士×サラリーマンの恋！　36P大幅描き下ろしは『Ｈ禁止令』!?　「狼パパは羊ヅラしてやってくる」新カップル編！</v>
      </c>
      <c r="W984" s="14"/>
      <c r="X984" s="14" t="str">
        <f>IFERROR(__xludf.DUMMYFUNCTION("""COMPUTED_VALUE"""),"有")</f>
        <v>有</v>
      </c>
      <c r="Y984" s="8" t="str">
        <f>IFERROR(__xludf.DUMMYFUNCTION("""COMPUTED_VALUE"""),"2024/1/22まで立ち読み増量P36まで")</f>
        <v>2024/1/22まで立ち読み増量P36まで</v>
      </c>
      <c r="Z984" s="7"/>
      <c r="AA984" s="7"/>
      <c r="AB984" s="7"/>
    </row>
    <row r="985" ht="15.75" customHeight="1">
      <c r="A985" s="26">
        <f>IFERROR(__xludf.DUMMYFUNCTION("""COMPUTED_VALUE"""),2683.0)</f>
        <v>2683</v>
      </c>
      <c r="B985" s="22" t="str">
        <f>IFERROR(__xludf.DUMMYFUNCTION("""COMPUTED_VALUE"""),"確定")</f>
        <v>確定</v>
      </c>
      <c r="C985" s="28">
        <f>IFERROR(__xludf.DUMMYFUNCTION("""COMPUTED_VALUE"""),45252.0)</f>
        <v>45252</v>
      </c>
      <c r="D985" s="28">
        <f>IFERROR(__xludf.DUMMYFUNCTION("""COMPUTED_VALUE"""),45268.0)</f>
        <v>45268</v>
      </c>
      <c r="E985" s="31">
        <f>IFERROR(__xludf.DUMMYFUNCTION("""COMPUTED_VALUE"""),283013.0)</f>
        <v>283013</v>
      </c>
      <c r="F985" s="22" t="str">
        <f>IFERROR(__xludf.DUMMYFUNCTION("""COMPUTED_VALUE"""),"ねんねんころりよ天使くん")</f>
        <v>ねんねんころりよ天使くん</v>
      </c>
      <c r="G985" s="20">
        <f>IFERROR(__xludf.DUMMYFUNCTION("""COMPUTED_VALUE"""),1.0)</f>
        <v>1</v>
      </c>
      <c r="H985" s="22" t="str">
        <f>IFERROR(__xludf.DUMMYFUNCTION("""COMPUTED_VALUE"""),"四元シマコ")</f>
        <v>四元シマコ</v>
      </c>
      <c r="I985" s="22" t="str">
        <f>IFERROR(__xludf.DUMMYFUNCTION("""COMPUTED_VALUE"""),"少女")</f>
        <v>少女</v>
      </c>
      <c r="J985" s="22"/>
      <c r="K985" s="22"/>
      <c r="L985" s="22" t="str">
        <f>IFERROR(__xludf.DUMMYFUNCTION("""COMPUTED_VALUE"""),"集英社")</f>
        <v>集英社</v>
      </c>
      <c r="M985" s="23">
        <f>IFERROR(__xludf.DUMMYFUNCTION("""COMPUTED_VALUE"""),45285.0)</f>
        <v>45285</v>
      </c>
      <c r="N985" s="23">
        <f>IFERROR(__xludf.DUMMYFUNCTION("""COMPUTED_VALUE"""),45315.0)</f>
        <v>45315</v>
      </c>
      <c r="O985" s="20"/>
      <c r="P985" s="29" t="str">
        <f>IFERROR(__xludf.DUMMYFUNCTION("""COMPUTED_VALUE"""),"否")</f>
        <v>否</v>
      </c>
      <c r="Q985" s="30" t="str">
        <f>IFERROR(__xludf.DUMMYFUNCTION("""COMPUTED_VALUE"""),"別冊マーガレット")</f>
        <v>別冊マーガレット</v>
      </c>
      <c r="R985" s="22"/>
      <c r="S985" s="22" t="str">
        <f>IFERROR(__xludf.DUMMYFUNCTION("""COMPUTED_VALUE"""),"20231204_集英社_12月新作")</f>
        <v>20231204_集英社_12月新作</v>
      </c>
      <c r="T985" s="22" t="str">
        <f>IFERROR(__xludf.DUMMYFUNCTION("""COMPUTED_VALUE"""),"格納済み")</f>
        <v>格納済み</v>
      </c>
      <c r="U985" s="15" t="str">
        <f>IFERROR(__xludf.DUMMYFUNCTION("""COMPUTED_VALUE"""),"©四元シマコ／集英社")</f>
        <v>©四元シマコ／集英社</v>
      </c>
      <c r="V985" s="8" t="str">
        <f>IFERROR(__xludf.DUMMYFUNCTION("""COMPUTED_VALUE"""),"【俺のこと寝かしつけてくれない？】入学早々、風邪で休んでしまい友だちができなかった千夢。するとアウトローすぎるオーラでクラスから浮いている天使くんに呼び出され、「俺のこと寝かしつけてくれない？」という謎のオファーが……!?　『別冊マーガレット』の人気連載、コミックス限定描きおろしページも収録！")</f>
        <v>【俺のこと寝かしつけてくれない？】入学早々、風邪で休んでしまい友だちができなかった千夢。するとアウトローすぎるオーラでクラスから浮いている天使くんに呼び出され、「俺のこと寝かしつけてくれない？」という謎のオファーが……!?　『別冊マーガレット』の人気連載、コミックス限定描きおろしページも収録！</v>
      </c>
      <c r="W985" s="14"/>
      <c r="X985" s="14" t="str">
        <f>IFERROR(__xludf.DUMMYFUNCTION("""COMPUTED_VALUE"""),"有")</f>
        <v>有</v>
      </c>
      <c r="Y985" s="8" t="str">
        <f>IFERROR(__xludf.DUMMYFUNCTION("""COMPUTED_VALUE"""),"P54まで")</f>
        <v>P54まで</v>
      </c>
      <c r="Z985" s="7"/>
      <c r="AA985" s="7"/>
      <c r="AB985" s="7"/>
    </row>
    <row r="986" ht="15.75" customHeight="1">
      <c r="A986" s="26">
        <f>IFERROR(__xludf.DUMMYFUNCTION("""COMPUTED_VALUE"""),2693.0)</f>
        <v>2693</v>
      </c>
      <c r="B986" s="22" t="str">
        <f>IFERROR(__xludf.DUMMYFUNCTION("""COMPUTED_VALUE"""),"確定")</f>
        <v>確定</v>
      </c>
      <c r="C986" s="28">
        <f>IFERROR(__xludf.DUMMYFUNCTION("""COMPUTED_VALUE"""),45257.0)</f>
        <v>45257</v>
      </c>
      <c r="D986" s="28">
        <f>IFERROR(__xludf.DUMMYFUNCTION("""COMPUTED_VALUE"""),45273.0)</f>
        <v>45273</v>
      </c>
      <c r="E986" s="31">
        <f>IFERROR(__xludf.DUMMYFUNCTION("""COMPUTED_VALUE"""),283604.0)</f>
        <v>283604</v>
      </c>
      <c r="F986" s="22" t="str">
        <f>IFERROR(__xludf.DUMMYFUNCTION("""COMPUTED_VALUE"""),"【単話版】蜜を追う")</f>
        <v>【単話版】蜜を追う</v>
      </c>
      <c r="G986" s="16" t="str">
        <f>IFERROR(__xludf.DUMMYFUNCTION("""COMPUTED_VALUE"""),"1～3")</f>
        <v>1～3</v>
      </c>
      <c r="H986" s="22" t="str">
        <f>IFERROR(__xludf.DUMMYFUNCTION("""COMPUTED_VALUE"""),"肥谷圭介")</f>
        <v>肥谷圭介</v>
      </c>
      <c r="I986" s="22" t="str">
        <f>IFERROR(__xludf.DUMMYFUNCTION("""COMPUTED_VALUE"""),"青年")</f>
        <v>青年</v>
      </c>
      <c r="J986" s="22"/>
      <c r="K986" s="22"/>
      <c r="L986" s="22" t="str">
        <f>IFERROR(__xludf.DUMMYFUNCTION("""COMPUTED_VALUE"""),"新潮社")</f>
        <v>新潮社</v>
      </c>
      <c r="M986" s="23">
        <f>IFERROR(__xludf.DUMMYFUNCTION("""COMPUTED_VALUE"""),45316.0)</f>
        <v>45316</v>
      </c>
      <c r="N986" s="23">
        <f>IFERROR(__xludf.DUMMYFUNCTION("""COMPUTED_VALUE"""),45656.0)</f>
        <v>45656</v>
      </c>
      <c r="O986" s="20"/>
      <c r="P986" s="29" t="str">
        <f>IFERROR(__xludf.DUMMYFUNCTION("""COMPUTED_VALUE"""),"可")</f>
        <v>可</v>
      </c>
      <c r="Q986" s="30" t="str">
        <f>IFERROR(__xludf.DUMMYFUNCTION("""COMPUTED_VALUE"""),"広告コミットOK(11/30)&lt;BR&gt;本作品、実際は12/25に1話目、1/25に2.3話配信となるのですが、他社解禁がほぼ1年後ということもあるのでCMS上は1/25に1～3話配信として記載させていただいております")</f>
        <v>広告コミットOK(11/30)&lt;BR&gt;本作品、実際は12/25に1話目、1/25に2.3話配信となるのですが、他社解禁がほぼ1年後ということもあるのでCMS上は1/25に1～3話配信として記載させていただいております</v>
      </c>
      <c r="R986" s="22"/>
      <c r="S986" s="22" t="str">
        <f>IFERROR(__xludf.DUMMYFUNCTION("""COMPUTED_VALUE"""),"20231211_新潮社_【単話版】蜜を追う")</f>
        <v>20231211_新潮社_【単話版】蜜を追う</v>
      </c>
      <c r="T986" s="22" t="str">
        <f>IFERROR(__xludf.DUMMYFUNCTION("""COMPUTED_VALUE"""),"格納済み")</f>
        <v>格納済み</v>
      </c>
      <c r="U986" s="15" t="str">
        <f>IFERROR(__xludf.DUMMYFUNCTION("""COMPUTED_VALUE"""),"©肥谷圭介／新潮社")</f>
        <v>©肥谷圭介／新潮社</v>
      </c>
      <c r="V986" s="8" t="str">
        <f>IFERROR(__xludf.DUMMYFUNCTION("""COMPUTED_VALUE"""),"この世で最も甘く危険な蜜、「麻薬」。日々増加する麻薬犯罪を取り締まる厚生労働省麻薬取締官、通称・マトリの新人捜査官である草加は、夜となく昼となく奔走する業務に身と心をすり減らしていた。しかもともに働く先輩捜査官である鷹取は押収額にしか興味を示さない変わり者で……？　鬼才・肥谷圭介と伝説のマトリ・瀬戸晴海のタッグで描き出す、麻薬問題最前線！")</f>
        <v>この世で最も甘く危険な蜜、「麻薬」。日々増加する麻薬犯罪を取り締まる厚生労働省麻薬取締官、通称・マトリの新人捜査官である草加は、夜となく昼となく奔走する業務に身と心をすり減らしていた。しかもともに働く先輩捜査官である鷹取は押収額にしか興味を示さない変わり者で……？　鬼才・肥谷圭介と伝説のマトリ・瀬戸晴海のタッグで描き出す、麻薬問題最前線！</v>
      </c>
      <c r="W986" s="14"/>
      <c r="X986" s="14" t="str">
        <f>IFERROR(__xludf.DUMMYFUNCTION("""COMPUTED_VALUE"""),"有")</f>
        <v>有</v>
      </c>
      <c r="Y986" s="8" t="str">
        <f>IFERROR(__xludf.DUMMYFUNCTION("""COMPUTED_VALUE"""),"P5まで")</f>
        <v>P5まで</v>
      </c>
      <c r="Z986" s="7"/>
      <c r="AA986" s="7"/>
      <c r="AB986" s="7"/>
    </row>
    <row r="987" ht="15.75" customHeight="1">
      <c r="A987" s="26">
        <f>IFERROR(__xludf.DUMMYFUNCTION("""COMPUTED_VALUE"""),2740.0)</f>
        <v>2740</v>
      </c>
      <c r="B987" s="22" t="str">
        <f>IFERROR(__xludf.DUMMYFUNCTION("""COMPUTED_VALUE"""),"確定")</f>
        <v>確定</v>
      </c>
      <c r="C987" s="28">
        <f>IFERROR(__xludf.DUMMYFUNCTION("""COMPUTED_VALUE"""),45271.0)</f>
        <v>45271</v>
      </c>
      <c r="D987" s="28">
        <f>IFERROR(__xludf.DUMMYFUNCTION("""COMPUTED_VALUE"""),45273.0)</f>
        <v>45273</v>
      </c>
      <c r="E987" s="31">
        <f>IFERROR(__xludf.DUMMYFUNCTION("""COMPUTED_VALUE"""),283925.0)</f>
        <v>283925</v>
      </c>
      <c r="F987" s="22" t="str">
        <f>IFERROR(__xludf.DUMMYFUNCTION("""COMPUTED_VALUE"""),"兄の恋人は気まぐれに【タテヨミ】")</f>
        <v>兄の恋人は気まぐれに【タテヨミ】</v>
      </c>
      <c r="G987" s="20" t="str">
        <f>IFERROR(__xludf.DUMMYFUNCTION("""COMPUTED_VALUE"""),"1~30")</f>
        <v>1~30</v>
      </c>
      <c r="H987" s="22" t="str">
        <f>IFERROR(__xludf.DUMMYFUNCTION("""COMPUTED_VALUE"""),"イ・ハナ")</f>
        <v>イ・ハナ</v>
      </c>
      <c r="I987" s="22" t="str">
        <f>IFERROR(__xludf.DUMMYFUNCTION("""COMPUTED_VALUE"""),"BL")</f>
        <v>BL</v>
      </c>
      <c r="J987" s="22"/>
      <c r="K987" s="22"/>
      <c r="L987" s="22" t="str">
        <f>IFERROR(__xludf.DUMMYFUNCTION("""COMPUTED_VALUE"""),"PEANUTOON")</f>
        <v>PEANUTOON</v>
      </c>
      <c r="M987" s="23">
        <f>IFERROR(__xludf.DUMMYFUNCTION("""COMPUTED_VALUE"""),45319.0)</f>
        <v>45319</v>
      </c>
      <c r="N987" s="23">
        <f>IFERROR(__xludf.DUMMYFUNCTION("""COMPUTED_VALUE"""),45409.0)</f>
        <v>45409</v>
      </c>
      <c r="O987" s="20"/>
      <c r="P987" s="29" t="str">
        <f>IFERROR(__xludf.DUMMYFUNCTION("""COMPUTED_VALUE"""),"可")</f>
        <v>可</v>
      </c>
      <c r="Q987" s="30" t="str">
        <f>IFERROR(__xludf.DUMMYFUNCTION("""COMPUTED_VALUE"""),"河上さん事前コミット済みです。&lt;BR&gt;素材は1~20巻分を格納してます。それ以降は届き次第格納します。1/28以降可能な日からの出稿でOKです。")</f>
        <v>河上さん事前コミット済みです。&lt;BR&gt;素材は1~20巻分を格納してます。それ以降は届き次第格納します。1/28以降可能な日からの出稿でOKです。</v>
      </c>
      <c r="R987" s="22"/>
      <c r="S987" s="22" t="str">
        <f>IFERROR(__xludf.DUMMYFUNCTION("""COMPUTED_VALUE"""),"20231212_PEANUTOON_兄の恋人は気まぐれに【タテヨミ】")</f>
        <v>20231212_PEANUTOON_兄の恋人は気まぐれに【タテヨミ】</v>
      </c>
      <c r="T987" s="22" t="str">
        <f>IFERROR(__xludf.DUMMYFUNCTION("""COMPUTED_VALUE"""),"格納済み")</f>
        <v>格納済み</v>
      </c>
      <c r="U987" s="15" t="str">
        <f>IFERROR(__xludf.DUMMYFUNCTION("""COMPUTED_VALUE"""),"ⓒイ・ハナ/peanutoon")</f>
        <v>ⓒイ・ハナ/peanutoon</v>
      </c>
      <c r="V987" s="8" t="str">
        <f>IFERROR(__xludf.DUMMYFUNCTION("""COMPUTED_VALUE"""),"連絡がずっと途絶えていた兄は、ある日亡き人として帰ってきた。兄であるチャ・ジンソの葬儀に参列した弟のチャ・ジンハ。そこで出会ったのは、兄の同居人であるユ・ソウォン。兄を失った悲しみなんかより、今にも崩れ落ちそうな彼に目を惹かれてしまうのは何故だろうか？ソウォンの悲しみに暮れた表情を見て、妙な欲望を掻き立てるジンハ。そんな彼の心情を察してか、ソウォンは段々とジンハとの距離を縮めるが…。")</f>
        <v>連絡がずっと途絶えていた兄は、ある日亡き人として帰ってきた。兄であるチャ・ジンソの葬儀に参列した弟のチャ・ジンハ。そこで出会ったのは、兄の同居人であるユ・ソウォン。兄を失った悲しみなんかより、今にも崩れ落ちそうな彼に目を惹かれてしまうのは何故だろうか？ソウォンの悲しみに暮れた表情を見て、妙な欲望を掻き立てるジンハ。そんな彼の心情を察してか、ソウォンは段々とジンハとの距離を縮めるが…。</v>
      </c>
      <c r="W987" s="14"/>
      <c r="X987" s="14" t="str">
        <f>IFERROR(__xludf.DUMMYFUNCTION("""COMPUTED_VALUE"""),"有")</f>
        <v>有</v>
      </c>
      <c r="Y987" s="8" t="str">
        <f>IFERROR(__xludf.DUMMYFUNCTION("""COMPUTED_VALUE"""),"2024/4/27まで1巻無料")</f>
        <v>2024/4/27まで1巻無料</v>
      </c>
      <c r="Z987" s="7"/>
      <c r="AA987" s="7"/>
      <c r="AB987" s="7"/>
    </row>
    <row r="988" ht="15.75" customHeight="1">
      <c r="A988" s="26">
        <f>IFERROR(__xludf.DUMMYFUNCTION("""COMPUTED_VALUE"""),2745.0)</f>
        <v>2745</v>
      </c>
      <c r="B988" s="22" t="str">
        <f>IFERROR(__xludf.DUMMYFUNCTION("""COMPUTED_VALUE"""),"確定")</f>
        <v>確定</v>
      </c>
      <c r="C988" s="28">
        <f>IFERROR(__xludf.DUMMYFUNCTION("""COMPUTED_VALUE"""),45272.0)</f>
        <v>45272</v>
      </c>
      <c r="D988" s="28">
        <f>IFERROR(__xludf.DUMMYFUNCTION("""COMPUTED_VALUE"""),45273.0)</f>
        <v>45273</v>
      </c>
      <c r="E988" s="31">
        <f>IFERROR(__xludf.DUMMYFUNCTION("""COMPUTED_VALUE"""),284245.0)</f>
        <v>284245</v>
      </c>
      <c r="F988" s="22" t="str">
        <f>IFERROR(__xludf.DUMMYFUNCTION("""COMPUTED_VALUE"""),"悪役令嬢に転生して追放エンドを回避したら、かわりに婚約者が記憶喪失になりました")</f>
        <v>悪役令嬢に転生して追放エンドを回避したら、かわりに婚約者が記憶喪失になりました</v>
      </c>
      <c r="G988" s="20" t="str">
        <f>IFERROR(__xludf.DUMMYFUNCTION("""COMPUTED_VALUE"""),"1～3")</f>
        <v>1～3</v>
      </c>
      <c r="H988" s="22" t="str">
        <f>IFERROR(__xludf.DUMMYFUNCTION("""COMPUTED_VALUE"""),"漫画：松河美衣／原作：狭山ひびき")</f>
        <v>漫画：松河美衣／原作：狭山ひびき</v>
      </c>
      <c r="I988" s="22" t="str">
        <f>IFERROR(__xludf.DUMMYFUNCTION("""COMPUTED_VALUE"""),"女性")</f>
        <v>女性</v>
      </c>
      <c r="J988" s="22"/>
      <c r="K988" s="22"/>
      <c r="L988" s="22" t="str">
        <f>IFERROR(__xludf.DUMMYFUNCTION("""COMPUTED_VALUE"""),"集英社")</f>
        <v>集英社</v>
      </c>
      <c r="M988" s="23">
        <f>IFERROR(__xludf.DUMMYFUNCTION("""COMPUTED_VALUE"""),45292.0)</f>
        <v>45292</v>
      </c>
      <c r="N988" s="23">
        <f>IFERROR(__xludf.DUMMYFUNCTION("""COMPUTED_VALUE"""),45322.0)</f>
        <v>45322</v>
      </c>
      <c r="O988" s="20"/>
      <c r="P988" s="29" t="str">
        <f>IFERROR(__xludf.DUMMYFUNCTION("""COMPUTED_VALUE"""),"否")</f>
        <v>否</v>
      </c>
      <c r="Q988" s="30" t="str">
        <f>IFERROR(__xludf.DUMMYFUNCTION("""COMPUTED_VALUE"""),"デジタルマーガレット")</f>
        <v>デジタルマーガレット</v>
      </c>
      <c r="R988" s="22"/>
      <c r="S988" s="22" t="str">
        <f>IFERROR(__xludf.DUMMYFUNCTION("""COMPUTED_VALUE"""),"20231212_集英社_デジマ新作")</f>
        <v>20231212_集英社_デジマ新作</v>
      </c>
      <c r="T988" s="22" t="str">
        <f>IFERROR(__xludf.DUMMYFUNCTION("""COMPUTED_VALUE"""),"格納済み")</f>
        <v>格納済み</v>
      </c>
      <c r="U988" s="15" t="str">
        <f>IFERROR(__xludf.DUMMYFUNCTION("""COMPUTED_VALUE"""),"(C)松河美衣・狭山ひびき／集英社")</f>
        <v>(C)松河美衣・狭山ひびき／集英社</v>
      </c>
      <c r="V988" s="8" t="str">
        <f>IFERROR(__xludf.DUMMYFUNCTION("""COMPUTED_VALUE"""),"【前世の記憶を取り戻したら、婚約者が記憶喪失に!?】公爵令嬢のオルテンシアは、転倒の衝撃で自分の前世を思い出す。それがきっかけで、ここが前世の自分が好きだった乙女ゲームの世界で、自分が追放エンドを免れない悪役令嬢に転生したことに気づいてしまう。努力の甲斐もむなしく、ゲームの展開通りに断罪される日を迎えるけど…？")</f>
        <v>【前世の記憶を取り戻したら、婚約者が記憶喪失に!?】公爵令嬢のオルテンシアは、転倒の衝撃で自分の前世を思い出す。それがきっかけで、ここが前世の自分が好きだった乙女ゲームの世界で、自分が追放エンドを免れない悪役令嬢に転生したことに気づいてしまう。努力の甲斐もむなしく、ゲームの展開通りに断罪される日を迎えるけど…？</v>
      </c>
      <c r="W988" s="14"/>
      <c r="X988" s="14" t="str">
        <f>IFERROR(__xludf.DUMMYFUNCTION("""COMPUTED_VALUE"""),"有")</f>
        <v>有</v>
      </c>
      <c r="Y988" s="8" t="str">
        <f>IFERROR(__xludf.DUMMYFUNCTION("""COMPUTED_VALUE"""),"2024/1/20まで1巻無料")</f>
        <v>2024/1/20まで1巻無料</v>
      </c>
      <c r="Z988" s="7"/>
      <c r="AA988" s="7"/>
      <c r="AB988" s="7"/>
    </row>
    <row r="989" ht="15.75" customHeight="1">
      <c r="A989" s="26">
        <f>IFERROR(__xludf.DUMMYFUNCTION("""COMPUTED_VALUE"""),2746.0)</f>
        <v>2746</v>
      </c>
      <c r="B989" s="22" t="str">
        <f>IFERROR(__xludf.DUMMYFUNCTION("""COMPUTED_VALUE"""),"確定")</f>
        <v>確定</v>
      </c>
      <c r="C989" s="28">
        <f>IFERROR(__xludf.DUMMYFUNCTION("""COMPUTED_VALUE"""),45272.0)</f>
        <v>45272</v>
      </c>
      <c r="D989" s="28">
        <f>IFERROR(__xludf.DUMMYFUNCTION("""COMPUTED_VALUE"""),45273.0)</f>
        <v>45273</v>
      </c>
      <c r="E989" s="31">
        <f>IFERROR(__xludf.DUMMYFUNCTION("""COMPUTED_VALUE"""),284247.0)</f>
        <v>284247</v>
      </c>
      <c r="F989" s="22" t="str">
        <f>IFERROR(__xludf.DUMMYFUNCTION("""COMPUTED_VALUE"""),"雲隠れ王女は冷酷皇太子の腕の中〜あなたに溺愛されても困ります！")</f>
        <v>雲隠れ王女は冷酷皇太子の腕の中〜あなたに溺愛されても困ります！</v>
      </c>
      <c r="G989" s="20" t="str">
        <f>IFERROR(__xludf.DUMMYFUNCTION("""COMPUTED_VALUE"""),"1～3")</f>
        <v>1～3</v>
      </c>
      <c r="H989" s="22" t="str">
        <f>IFERROR(__xludf.DUMMYFUNCTION("""COMPUTED_VALUE"""),")雪森あゆむ・七瀬みお（エブリスタ）")</f>
        <v>)雪森あゆむ・七瀬みお（エブリスタ）</v>
      </c>
      <c r="I989" s="22" t="str">
        <f>IFERROR(__xludf.DUMMYFUNCTION("""COMPUTED_VALUE"""),"女性")</f>
        <v>女性</v>
      </c>
      <c r="J989" s="22"/>
      <c r="K989" s="22"/>
      <c r="L989" s="22" t="str">
        <f>IFERROR(__xludf.DUMMYFUNCTION("""COMPUTED_VALUE"""),"集英社")</f>
        <v>集英社</v>
      </c>
      <c r="M989" s="23">
        <f>IFERROR(__xludf.DUMMYFUNCTION("""COMPUTED_VALUE"""),45292.0)</f>
        <v>45292</v>
      </c>
      <c r="N989" s="23">
        <f>IFERROR(__xludf.DUMMYFUNCTION("""COMPUTED_VALUE"""),45322.0)</f>
        <v>45322</v>
      </c>
      <c r="O989" s="20"/>
      <c r="P989" s="29" t="str">
        <f>IFERROR(__xludf.DUMMYFUNCTION("""COMPUTED_VALUE"""),"否")</f>
        <v>否</v>
      </c>
      <c r="Q989" s="30" t="str">
        <f>IFERROR(__xludf.DUMMYFUNCTION("""COMPUTED_VALUE"""),"デジタルマーガレット")</f>
        <v>デジタルマーガレット</v>
      </c>
      <c r="R989" s="22"/>
      <c r="S989" s="22" t="str">
        <f>IFERROR(__xludf.DUMMYFUNCTION("""COMPUTED_VALUE"""),"20231212_集英社_デジマ新作")</f>
        <v>20231212_集英社_デジマ新作</v>
      </c>
      <c r="T989" s="22" t="str">
        <f>IFERROR(__xludf.DUMMYFUNCTION("""COMPUTED_VALUE"""),"格納済み")</f>
        <v>格納済み</v>
      </c>
      <c r="U989" s="15" t="str">
        <f>IFERROR(__xludf.DUMMYFUNCTION("""COMPUTED_VALUE"""),"(C)雪森あゆむ・七瀬みお（エブリスタ）／集英社")</f>
        <v>(C)雪森あゆむ・七瀬みお（エブリスタ）／集英社</v>
      </c>
      <c r="V989" s="8" t="str">
        <f>IFERROR(__xludf.DUMMYFUNCTION("""COMPUTED_VALUE"""),"【王女を探し求める皇太子と、彼の腕の中にいるのに正体を明かせない王女の“じれ甘”すれ違い溺愛ラブストーリー！】失われた「シャルロワ国」の王家、唯一の生き残りのリュシエンヌ・マリーア・シャルロワ王女。元王女はなんとか生き延び、現在は小国の城でマリアとして下働きをしている。何をしても失敗ばかりなマリアを見かね、メイド長はある事情を抱えた囚人の配膳を命じた。そして初めて囚人を見た時、その美しい眼差しに思わず見惚れてしまったマリアは、その青年が冤罪で捕まっているのではと思い…？")</f>
        <v>【王女を探し求める皇太子と、彼の腕の中にいるのに正体を明かせない王女の“じれ甘”すれ違い溺愛ラブストーリー！】失われた「シャルロワ国」の王家、唯一の生き残りのリュシエンヌ・マリーア・シャルロワ王女。元王女はなんとか生き延び、現在は小国の城でマリアとして下働きをしている。何をしても失敗ばかりなマリアを見かね、メイド長はある事情を抱えた囚人の配膳を命じた。そして初めて囚人を見た時、その美しい眼差しに思わず見惚れてしまったマリアは、その青年が冤罪で捕まっているのではと思い…？</v>
      </c>
      <c r="W989" s="14"/>
      <c r="X989" s="14" t="str">
        <f>IFERROR(__xludf.DUMMYFUNCTION("""COMPUTED_VALUE"""),"有")</f>
        <v>有</v>
      </c>
      <c r="Y989" s="8" t="str">
        <f>IFERROR(__xludf.DUMMYFUNCTION("""COMPUTED_VALUE"""),"2024/1/20まで1巻無料")</f>
        <v>2024/1/20まで1巻無料</v>
      </c>
      <c r="Z989" s="7"/>
      <c r="AA989" s="7"/>
      <c r="AB989" s="7"/>
    </row>
    <row r="990" ht="95.25" customHeight="1">
      <c r="A990" s="26">
        <f>IFERROR(__xludf.DUMMYFUNCTION("""COMPUTED_VALUE"""),2747.0)</f>
        <v>2747</v>
      </c>
      <c r="B990" s="22" t="str">
        <f>IFERROR(__xludf.DUMMYFUNCTION("""COMPUTED_VALUE"""),"確定")</f>
        <v>確定</v>
      </c>
      <c r="C990" s="28">
        <f>IFERROR(__xludf.DUMMYFUNCTION("""COMPUTED_VALUE"""),45272.0)</f>
        <v>45272</v>
      </c>
      <c r="D990" s="28">
        <f>IFERROR(__xludf.DUMMYFUNCTION("""COMPUTED_VALUE"""),45273.0)</f>
        <v>45273</v>
      </c>
      <c r="E990" s="31">
        <f>IFERROR(__xludf.DUMMYFUNCTION("""COMPUTED_VALUE"""),284248.0)</f>
        <v>284248</v>
      </c>
      <c r="F990" s="22" t="str">
        <f>IFERROR(__xludf.DUMMYFUNCTION("""COMPUTED_VALUE"""),"霊媒体質の教授に抱かれてます。～祓えない劣情")</f>
        <v>霊媒体質の教授に抱かれてます。～祓えない劣情</v>
      </c>
      <c r="G990" s="20" t="str">
        <f>IFERROR(__xludf.DUMMYFUNCTION("""COMPUTED_VALUE"""),"1～3")</f>
        <v>1～3</v>
      </c>
      <c r="H990" s="22" t="str">
        <f>IFERROR(__xludf.DUMMYFUNCTION("""COMPUTED_VALUE"""),"柚依りい太")</f>
        <v>柚依りい太</v>
      </c>
      <c r="I990" s="22" t="str">
        <f>IFERROR(__xludf.DUMMYFUNCTION("""COMPUTED_VALUE"""),"BL")</f>
        <v>BL</v>
      </c>
      <c r="J990" s="22"/>
      <c r="K990" s="22"/>
      <c r="L990" s="22" t="str">
        <f>IFERROR(__xludf.DUMMYFUNCTION("""COMPUTED_VALUE"""),"集英社")</f>
        <v>集英社</v>
      </c>
      <c r="M990" s="23">
        <f>IFERROR(__xludf.DUMMYFUNCTION("""COMPUTED_VALUE"""),45292.0)</f>
        <v>45292</v>
      </c>
      <c r="N990" s="23">
        <f>IFERROR(__xludf.DUMMYFUNCTION("""COMPUTED_VALUE"""),45322.0)</f>
        <v>45322</v>
      </c>
      <c r="O990" s="20"/>
      <c r="P990" s="29" t="str">
        <f>IFERROR(__xludf.DUMMYFUNCTION("""COMPUTED_VALUE"""),"否")</f>
        <v>否</v>
      </c>
      <c r="Q990" s="30" t="str">
        <f>IFERROR(__xludf.DUMMYFUNCTION("""COMPUTED_VALUE"""),"デジタルマーガレット")</f>
        <v>デジタルマーガレット</v>
      </c>
      <c r="R990" s="22"/>
      <c r="S990" s="22" t="str">
        <f>IFERROR(__xludf.DUMMYFUNCTION("""COMPUTED_VALUE"""),"20231212_集英社_デジマ新作")</f>
        <v>20231212_集英社_デジマ新作</v>
      </c>
      <c r="T990" s="22" t="str">
        <f>IFERROR(__xludf.DUMMYFUNCTION("""COMPUTED_VALUE"""),"格納済み")</f>
        <v>格納済み</v>
      </c>
      <c r="U990" s="15" t="str">
        <f>IFERROR(__xludf.DUMMYFUNCTION("""COMPUTED_VALUE"""),"(C)柚依りい太／集英社")</f>
        <v>(C)柚依りい太／集英社</v>
      </c>
      <c r="V990" s="8" t="str">
        <f>IFERROR(__xludf.DUMMYFUNCTION("""COMPUTED_VALUE"""),"霊を祓う力を持つ青年・弥咲が出会ったのは霊に好かれやすい体質の教授代理の立花だった。出会って早々に巻き込まれる霊現象さえポジティブに捉える彼に思わずツッコミを入れてしまいそうになるが、学校に被害が出ることを心配した弥咲は除霊することを決意することに――!?")</f>
        <v>霊を祓う力を持つ青年・弥咲が出会ったのは霊に好かれやすい体質の教授代理の立花だった。出会って早々に巻き込まれる霊現象さえポジティブに捉える彼に思わずツッコミを入れてしまいそうになるが、学校に被害が出ることを心配した弥咲は除霊することを決意することに――!?</v>
      </c>
      <c r="W990" s="14"/>
      <c r="X990" s="14" t="str">
        <f>IFERROR(__xludf.DUMMYFUNCTION("""COMPUTED_VALUE"""),"有")</f>
        <v>有</v>
      </c>
      <c r="Y990" s="8" t="str">
        <f>IFERROR(__xludf.DUMMYFUNCTION("""COMPUTED_VALUE"""),"2024/1/20まで1巻無料")</f>
        <v>2024/1/20まで1巻無料</v>
      </c>
      <c r="Z990" s="7"/>
      <c r="AA990" s="7"/>
      <c r="AB990" s="7"/>
    </row>
    <row r="991" ht="15.75" customHeight="1">
      <c r="A991" s="26">
        <f>IFERROR(__xludf.DUMMYFUNCTION("""COMPUTED_VALUE"""),2748.0)</f>
        <v>2748</v>
      </c>
      <c r="B991" s="22" t="str">
        <f>IFERROR(__xludf.DUMMYFUNCTION("""COMPUTED_VALUE"""),"確定")</f>
        <v>確定</v>
      </c>
      <c r="C991" s="28">
        <f>IFERROR(__xludf.DUMMYFUNCTION("""COMPUTED_VALUE"""),45272.0)</f>
        <v>45272</v>
      </c>
      <c r="D991" s="28">
        <f>IFERROR(__xludf.DUMMYFUNCTION("""COMPUTED_VALUE"""),45273.0)</f>
        <v>45273</v>
      </c>
      <c r="E991" s="31">
        <f>IFERROR(__xludf.DUMMYFUNCTION("""COMPUTED_VALUE"""),284244.0)</f>
        <v>284244</v>
      </c>
      <c r="F991" s="22" t="str">
        <f>IFERROR(__xludf.DUMMYFUNCTION("""COMPUTED_VALUE"""),"あと1％で運命の恋～久世新也編～")</f>
        <v>あと1％で運命の恋～久世新也編～</v>
      </c>
      <c r="G991" s="20" t="str">
        <f>IFERROR(__xludf.DUMMYFUNCTION("""COMPUTED_VALUE"""),"1～3")</f>
        <v>1～3</v>
      </c>
      <c r="H991" s="22" t="str">
        <f>IFERROR(__xludf.DUMMYFUNCTION("""COMPUTED_VALUE"""),"岡さくら・ボルテージ")</f>
        <v>岡さくら・ボルテージ</v>
      </c>
      <c r="I991" s="22" t="str">
        <f>IFERROR(__xludf.DUMMYFUNCTION("""COMPUTED_VALUE"""),"少女")</f>
        <v>少女</v>
      </c>
      <c r="J991" s="22"/>
      <c r="K991" s="22"/>
      <c r="L991" s="22" t="str">
        <f>IFERROR(__xludf.DUMMYFUNCTION("""COMPUTED_VALUE"""),"集英社")</f>
        <v>集英社</v>
      </c>
      <c r="M991" s="23">
        <f>IFERROR(__xludf.DUMMYFUNCTION("""COMPUTED_VALUE"""),45292.0)</f>
        <v>45292</v>
      </c>
      <c r="N991" s="23">
        <f>IFERROR(__xludf.DUMMYFUNCTION("""COMPUTED_VALUE"""),45322.0)</f>
        <v>45322</v>
      </c>
      <c r="O991" s="20"/>
      <c r="P991" s="29" t="str">
        <f>IFERROR(__xludf.DUMMYFUNCTION("""COMPUTED_VALUE"""),"否")</f>
        <v>否</v>
      </c>
      <c r="Q991" s="30" t="str">
        <f>IFERROR(__xludf.DUMMYFUNCTION("""COMPUTED_VALUE"""),"デジタルマーガレット")</f>
        <v>デジタルマーガレット</v>
      </c>
      <c r="R991" s="22"/>
      <c r="S991" s="22" t="str">
        <f>IFERROR(__xludf.DUMMYFUNCTION("""COMPUTED_VALUE"""),"20231212_集英社_デジマ新作")</f>
        <v>20231212_集英社_デジマ新作</v>
      </c>
      <c r="T991" s="22" t="str">
        <f>IFERROR(__xludf.DUMMYFUNCTION("""COMPUTED_VALUE"""),"格納済み")</f>
        <v>格納済み</v>
      </c>
      <c r="U991" s="15" t="str">
        <f>IFERROR(__xludf.DUMMYFUNCTION("""COMPUTED_VALUE"""),"(C)岡さくら・ボルテージ／集英社")</f>
        <v>(C)岡さくら・ボルテージ／集英社</v>
      </c>
      <c r="V991" s="8" t="str">
        <f>IFERROR(__xludf.DUMMYFUNCTION("""COMPUTED_VALUE"""),"【胸キュンアプリの人気作をコミカライズ！　アプリで始まる運命の恋】化粧品会社に勤める佳保里は、国が開発した超高性能マッチングアプリに登録したところ、相性99％の男性とマッチングする。会社の後輩から背中を押され、佳保里はマッチング相手と会うことに。待ち合わせ場所にやってきたのは、高校時代仲の良かった後輩・新也だった。そこで彼が相性99％の相手だと知り――!?　オトナ女子のための胸キュン充電アプリ「100シーンの恋＋」の人気作、待望のコミカライズ！")</f>
        <v>【胸キュンアプリの人気作をコミカライズ！　アプリで始まる運命の恋】化粧品会社に勤める佳保里は、国が開発した超高性能マッチングアプリに登録したところ、相性99％の男性とマッチングする。会社の後輩から背中を押され、佳保里はマッチング相手と会うことに。待ち合わせ場所にやってきたのは、高校時代仲の良かった後輩・新也だった。そこで彼が相性99％の相手だと知り――!?　オトナ女子のための胸キュン充電アプリ「100シーンの恋＋」の人気作、待望のコミカライズ！</v>
      </c>
      <c r="W991" s="14"/>
      <c r="X991" s="14" t="str">
        <f>IFERROR(__xludf.DUMMYFUNCTION("""COMPUTED_VALUE"""),"有")</f>
        <v>有</v>
      </c>
      <c r="Y991" s="8" t="str">
        <f>IFERROR(__xludf.DUMMYFUNCTION("""COMPUTED_VALUE"""),"2024/1/20まで1巻無料")</f>
        <v>2024/1/20まで1巻無料</v>
      </c>
      <c r="Z991" s="7"/>
      <c r="AA991" s="7"/>
      <c r="AB991" s="7"/>
    </row>
    <row r="992" ht="15.75" customHeight="1">
      <c r="A992" s="26">
        <f>IFERROR(__xludf.DUMMYFUNCTION("""COMPUTED_VALUE"""),2749.0)</f>
        <v>2749</v>
      </c>
      <c r="B992" s="22" t="str">
        <f>IFERROR(__xludf.DUMMYFUNCTION("""COMPUTED_VALUE"""),"確定")</f>
        <v>確定</v>
      </c>
      <c r="C992" s="28">
        <f>IFERROR(__xludf.DUMMYFUNCTION("""COMPUTED_VALUE"""),45272.0)</f>
        <v>45272</v>
      </c>
      <c r="D992" s="28">
        <f>IFERROR(__xludf.DUMMYFUNCTION("""COMPUTED_VALUE"""),45273.0)</f>
        <v>45273</v>
      </c>
      <c r="E992" s="31">
        <f>IFERROR(__xludf.DUMMYFUNCTION("""COMPUTED_VALUE"""),284443.0)</f>
        <v>284443</v>
      </c>
      <c r="F992" s="22" t="str">
        <f>IFERROR(__xludf.DUMMYFUNCTION("""COMPUTED_VALUE"""),"悪役令嬢はハイスペ隠しキャラの蜜愛に惑う")</f>
        <v>悪役令嬢はハイスペ隠しキャラの蜜愛に惑う</v>
      </c>
      <c r="G992" s="20" t="str">
        <f>IFERROR(__xludf.DUMMYFUNCTION("""COMPUTED_VALUE"""),"1～3")</f>
        <v>1～3</v>
      </c>
      <c r="H992" s="22" t="str">
        <f>IFERROR(__xludf.DUMMYFUNCTION("""COMPUTED_VALUE"""),"子羊ノニク・依田ザクロ")</f>
        <v>子羊ノニク・依田ザクロ</v>
      </c>
      <c r="I992" s="22" t="str">
        <f>IFERROR(__xludf.DUMMYFUNCTION("""COMPUTED_VALUE"""),"女性")</f>
        <v>女性</v>
      </c>
      <c r="J992" s="22"/>
      <c r="K992" s="22"/>
      <c r="L992" s="22" t="str">
        <f>IFERROR(__xludf.DUMMYFUNCTION("""COMPUTED_VALUE"""),"集英社")</f>
        <v>集英社</v>
      </c>
      <c r="M992" s="23">
        <f>IFERROR(__xludf.DUMMYFUNCTION("""COMPUTED_VALUE"""),45292.0)</f>
        <v>45292</v>
      </c>
      <c r="N992" s="23">
        <f>IFERROR(__xludf.DUMMYFUNCTION("""COMPUTED_VALUE"""),45322.0)</f>
        <v>45322</v>
      </c>
      <c r="O992" s="20"/>
      <c r="P992" s="29" t="str">
        <f>IFERROR(__xludf.DUMMYFUNCTION("""COMPUTED_VALUE"""),"否")</f>
        <v>否</v>
      </c>
      <c r="Q992" s="30" t="str">
        <f>IFERROR(__xludf.DUMMYFUNCTION("""COMPUTED_VALUE"""),"デジタルマーガレット")</f>
        <v>デジタルマーガレット</v>
      </c>
      <c r="R992" s="22"/>
      <c r="S992" s="22" t="str">
        <f>IFERROR(__xludf.DUMMYFUNCTION("""COMPUTED_VALUE"""),"20231212_集英社_デジマ新作")</f>
        <v>20231212_集英社_デジマ新作</v>
      </c>
      <c r="T992" s="22" t="str">
        <f>IFERROR(__xludf.DUMMYFUNCTION("""COMPUTED_VALUE"""),"格納済み")</f>
        <v>格納済み</v>
      </c>
      <c r="U992" s="15" t="str">
        <f>IFERROR(__xludf.DUMMYFUNCTION("""COMPUTED_VALUE"""),"(C)子羊ノニク・依田ザクロ／集英社")</f>
        <v>(C)子羊ノニク・依田ザクロ／集英社</v>
      </c>
      <c r="V992" s="8" t="str">
        <f>IFERROR(__xludf.DUMMYFUNCTION("""COMPUTED_VALUE"""),"日本で平々凡々に暮らす有田葉菜は、トリマーと趣味の乙女ゲームの繰り返しの日々を送っていた。しかし、ある日、仕事帰りにトラックに轢かれて亡くなってしまう。目覚めたらそこは、大好きだった乙女ゲーム、『翼舞う香国のラブ・ファンタジア』の世界。そして葉菜は、悪役令嬢・ハニーフローラに転生していた…！　ハニーの断罪イベント直前という時期に転生してしまった葉菜だが、メインヒーローで婚約者のアーシー王子にまさに告発されたとき、サブキャラである隣国の皇太子・シトラスになぜか庇われ、処分は保留となる。そして、冤罪だと証明す"&amp;"べく奔走する中、シトラスから甘く熱く口説かれて…？")</f>
        <v>日本で平々凡々に暮らす有田葉菜は、トリマーと趣味の乙女ゲームの繰り返しの日々を送っていた。しかし、ある日、仕事帰りにトラックに轢かれて亡くなってしまう。目覚めたらそこは、大好きだった乙女ゲーム、『翼舞う香国のラブ・ファンタジア』の世界。そして葉菜は、悪役令嬢・ハニーフローラに転生していた…！　ハニーの断罪イベント直前という時期に転生してしまった葉菜だが、メインヒーローで婚約者のアーシー王子にまさに告発されたとき、サブキャラである隣国の皇太子・シトラスになぜか庇われ、処分は保留となる。そして、冤罪だと証明すべく奔走する中、シトラスから甘く熱く口説かれて…？</v>
      </c>
      <c r="W992" s="14"/>
      <c r="X992" s="14" t="str">
        <f>IFERROR(__xludf.DUMMYFUNCTION("""COMPUTED_VALUE"""),"有")</f>
        <v>有</v>
      </c>
      <c r="Y992" s="8" t="str">
        <f>IFERROR(__xludf.DUMMYFUNCTION("""COMPUTED_VALUE"""),"2024/1/20まで1巻無料")</f>
        <v>2024/1/20まで1巻無料</v>
      </c>
      <c r="Z992" s="7"/>
      <c r="AA992" s="7"/>
      <c r="AB992" s="7"/>
    </row>
    <row r="993" ht="86.25" customHeight="1">
      <c r="A993" s="26">
        <f>IFERROR(__xludf.DUMMYFUNCTION("""COMPUTED_VALUE"""),2593.0)</f>
        <v>2593</v>
      </c>
      <c r="B993" s="22" t="str">
        <f>IFERROR(__xludf.DUMMYFUNCTION("""COMPUTED_VALUE"""),"確定")</f>
        <v>確定</v>
      </c>
      <c r="C993" s="28">
        <f>IFERROR(__xludf.DUMMYFUNCTION("""COMPUTED_VALUE"""),45232.0)</f>
        <v>45232</v>
      </c>
      <c r="D993" s="28">
        <f>IFERROR(__xludf.DUMMYFUNCTION("""COMPUTED_VALUE"""),45274.0)</f>
        <v>45274</v>
      </c>
      <c r="E993" s="31">
        <f>IFERROR(__xludf.DUMMYFUNCTION("""COMPUTED_VALUE"""),284271.0)</f>
        <v>284271</v>
      </c>
      <c r="F993" s="22" t="str">
        <f>IFERROR(__xludf.DUMMYFUNCTION("""COMPUTED_VALUE"""),"悦覧禁止-暁月教授の怪異検証-")</f>
        <v>悦覧禁止-暁月教授の怪異検証-</v>
      </c>
      <c r="G993" s="11" t="str">
        <f>IFERROR(__xludf.DUMMYFUNCTION("""COMPUTED_VALUE"""),"1～2")</f>
        <v>1～2</v>
      </c>
      <c r="H993" s="22" t="str">
        <f>IFERROR(__xludf.DUMMYFUNCTION("""COMPUTED_VALUE"""),"加藤キャシー")</f>
        <v>加藤キャシー</v>
      </c>
      <c r="I993" s="14" t="str">
        <f>IFERROR(__xludf.DUMMYFUNCTION("""COMPUTED_VALUE"""),"女性")</f>
        <v>女性</v>
      </c>
      <c r="J993" s="22"/>
      <c r="K993" s="22"/>
      <c r="L993" s="22" t="str">
        <f>IFERROR(__xludf.DUMMYFUNCTION("""COMPUTED_VALUE"""),"秋田書店")</f>
        <v>秋田書店</v>
      </c>
      <c r="M993" s="23">
        <f>IFERROR(__xludf.DUMMYFUNCTION("""COMPUTED_VALUE"""),45307.0)</f>
        <v>45307</v>
      </c>
      <c r="N993" s="23">
        <f>IFERROR(__xludf.DUMMYFUNCTION("""COMPUTED_VALUE"""),45365.0)</f>
        <v>45365</v>
      </c>
      <c r="O993" s="20"/>
      <c r="P993" s="29" t="str">
        <f>IFERROR(__xludf.DUMMYFUNCTION("""COMPUTED_VALUE"""),"可")</f>
        <v>可</v>
      </c>
      <c r="Q993" s="30" t="str">
        <f>IFERROR(__xludf.DUMMYFUNCTION("""COMPUTED_VALUE"""),"広告コミットOK(11/9)&lt;BR&gt;")</f>
        <v>広告コミットOK(11/9)&lt;BR&gt;</v>
      </c>
      <c r="R993" s="22"/>
      <c r="S993" s="22" t="str">
        <f>IFERROR(__xludf.DUMMYFUNCTION("""COMPUTED_VALUE"""),"20231213_秋田書店_新作4作品")</f>
        <v>20231213_秋田書店_新作4作品</v>
      </c>
      <c r="T993" s="22" t="str">
        <f>IFERROR(__xludf.DUMMYFUNCTION("""COMPUTED_VALUE"""),"素材確認中(12/14)")</f>
        <v>素材確認中(12/14)</v>
      </c>
      <c r="U993" s="15" t="str">
        <f>IFERROR(__xludf.DUMMYFUNCTION("""COMPUTED_VALUE"""),"（C）加藤キャシー（秋田書店）")</f>
        <v>（C）加藤キャシー（秋田書店）</v>
      </c>
      <c r="V993" s="8" t="str">
        <f>IFERROR(__xludf.DUMMYFUNCTION("""COMPUTED_VALUE"""),"ホラー大好き教授＆巻き込まれ女子、淫らな怪異を検証します!?物理学者の暁月ユキヲのライフワークは「怪異の検証」。担当編集の玉森かなでは暁月教授の取材として、「座敷童」が出るという旅館へと向かうが…？")</f>
        <v>ホラー大好き教授＆巻き込まれ女子、淫らな怪異を検証します!?物理学者の暁月ユキヲのライフワークは「怪異の検証」。担当編集の玉森かなでは暁月教授の取材として、「座敷童」が出るという旅館へと向かうが…？</v>
      </c>
      <c r="W993" s="14"/>
      <c r="X993" s="14" t="str">
        <f>IFERROR(__xludf.DUMMYFUNCTION("""COMPUTED_VALUE"""),"有")</f>
        <v>有</v>
      </c>
      <c r="Y993" s="8" t="str">
        <f>IFERROR(__xludf.DUMMYFUNCTION("""COMPUTED_VALUE"""),"2024/3/14まで1巻無料")</f>
        <v>2024/3/14まで1巻無料</v>
      </c>
      <c r="Z993" s="7"/>
      <c r="AA993" s="7"/>
      <c r="AB993" s="7"/>
    </row>
    <row r="994" ht="15.75" customHeight="1">
      <c r="A994" s="26">
        <f>IFERROR(__xludf.DUMMYFUNCTION("""COMPUTED_VALUE"""),2728.0)</f>
        <v>2728</v>
      </c>
      <c r="B994" s="22" t="str">
        <f>IFERROR(__xludf.DUMMYFUNCTION("""COMPUTED_VALUE"""),"確定")</f>
        <v>確定</v>
      </c>
      <c r="C994" s="28">
        <f>IFERROR(__xludf.DUMMYFUNCTION("""COMPUTED_VALUE"""),45267.0)</f>
        <v>45267</v>
      </c>
      <c r="D994" s="28">
        <f>IFERROR(__xludf.DUMMYFUNCTION("""COMPUTED_VALUE"""),45274.0)</f>
        <v>45274</v>
      </c>
      <c r="E994" s="31">
        <f>IFERROR(__xludf.DUMMYFUNCTION("""COMPUTED_VALUE"""),284937.0)</f>
        <v>284937</v>
      </c>
      <c r="F994" s="22" t="str">
        <f>IFERROR(__xludf.DUMMYFUNCTION("""COMPUTED_VALUE"""),"元奴隷の身代わり姫は、冷血王子の花嫁になって溺愛される")</f>
        <v>元奴隷の身代わり姫は、冷血王子の花嫁になって溺愛される</v>
      </c>
      <c r="G994" s="20" t="str">
        <f>IFERROR(__xludf.DUMMYFUNCTION("""COMPUTED_VALUE"""),"1～7")</f>
        <v>1～7</v>
      </c>
      <c r="H994" s="22" t="str">
        <f>IFERROR(__xludf.DUMMYFUNCTION("""COMPUTED_VALUE"""),"広枝出海")</f>
        <v>広枝出海</v>
      </c>
      <c r="I994" s="22" t="str">
        <f>IFERROR(__xludf.DUMMYFUNCTION("""COMPUTED_VALUE"""),"女性")</f>
        <v>女性</v>
      </c>
      <c r="J994" s="22"/>
      <c r="K994" s="22"/>
      <c r="L994" s="22" t="str">
        <f>IFERROR(__xludf.DUMMYFUNCTION("""COMPUTED_VALUE"""),"ライブコミックス")</f>
        <v>ライブコミックス</v>
      </c>
      <c r="M994" s="23">
        <f>IFERROR(__xludf.DUMMYFUNCTION("""COMPUTED_VALUE"""),45317.0)</f>
        <v>45317</v>
      </c>
      <c r="N994" s="23">
        <f>IFERROR(__xludf.DUMMYFUNCTION("""COMPUTED_VALUE"""),45372.0)</f>
        <v>45372</v>
      </c>
      <c r="O994" s="20"/>
      <c r="P994" s="29" t="str">
        <f>IFERROR(__xludf.DUMMYFUNCTION("""COMPUTED_VALUE"""),"可")</f>
        <v>可</v>
      </c>
      <c r="Q994" s="30" t="str">
        <f>IFERROR(__xludf.DUMMYFUNCTION("""COMPUTED_VALUE"""),"広告コミットOK(12/13)&lt;BR&gt;7巻目の素材についてですが、配信には間に合いますが納品がぎりぎりになるとのことなので、バナーは格納してある1~6巻分でご制作頂ければと思います。")</f>
        <v>広告コミットOK(12/13)&lt;BR&gt;7巻目の素材についてですが、配信には間に合いますが納品がぎりぎりになるとのことなので、バナーは格納してある1~6巻分でご制作頂ければと思います。</v>
      </c>
      <c r="R994" s="22"/>
      <c r="S994" s="22" t="str">
        <f>IFERROR(__xludf.DUMMYFUNCTION("""COMPUTED_VALUE"""),"20231207_BookLive_元奴隷の身代わり姫は、冷血王子の花嫁になって溺愛される")</f>
        <v>20231207_BookLive_元奴隷の身代わり姫は、冷血王子の花嫁になって溺愛される</v>
      </c>
      <c r="T994" s="22" t="str">
        <f>IFERROR(__xludf.DUMMYFUNCTION("""COMPUTED_VALUE"""),"格納済み")</f>
        <v>格納済み</v>
      </c>
      <c r="U994" s="15" t="str">
        <f>IFERROR(__xludf.DUMMYFUNCTION("""COMPUTED_VALUE"""),"Ⓒ広枝出海/ライブコミックス")</f>
        <v>Ⓒ広枝出海/ライブコミックス</v>
      </c>
      <c r="V994" s="8" t="str">
        <f>IFERROR(__xludf.DUMMYFUNCTION("""COMPUTED_VALUE"""),"姫の身代わりとして「血まみれ王子」に嫁ぐことになりました――。王太子の座を手に入れるため、他の王子を殺したと噂されるテオドシウス王子と政略結婚することになったベアトリス姫。しかしその正体は、テオドシウスとの結婚を嫌がったベアトリスと同じ瞳と髪の色をした奴隷・リリアンで……。成り代わりから始まる、冷血王子とのファンタジー・ラブストーリー！")</f>
        <v>姫の身代わりとして「血まみれ王子」に嫁ぐことになりました――。王太子の座を手に入れるため、他の王子を殺したと噂されるテオドシウス王子と政略結婚することになったベアトリス姫。しかしその正体は、テオドシウスとの結婚を嫌がったベアトリスと同じ瞳と髪の色をした奴隷・リリアンで……。成り代わりから始まる、冷血王子とのファンタジー・ラブストーリー！</v>
      </c>
      <c r="W994" s="14"/>
      <c r="X994" s="14" t="str">
        <f>IFERROR(__xludf.DUMMYFUNCTION("""COMPUTED_VALUE"""),"有")</f>
        <v>有</v>
      </c>
      <c r="Y994" s="8" t="str">
        <f>IFERROR(__xludf.DUMMYFUNCTION("""COMPUTED_VALUE"""),"P11まで")</f>
        <v>P11まで</v>
      </c>
      <c r="Z994" s="7"/>
      <c r="AA994" s="7"/>
      <c r="AB994" s="7"/>
    </row>
    <row r="995" ht="68.25" customHeight="1">
      <c r="A995" s="26">
        <f>IFERROR(__xludf.DUMMYFUNCTION("""COMPUTED_VALUE"""),2751.0)</f>
        <v>2751</v>
      </c>
      <c r="B995" s="22" t="str">
        <f>IFERROR(__xludf.DUMMYFUNCTION("""COMPUTED_VALUE"""),"確定")</f>
        <v>確定</v>
      </c>
      <c r="C995" s="28">
        <f>IFERROR(__xludf.DUMMYFUNCTION("""COMPUTED_VALUE"""),45273.0)</f>
        <v>45273</v>
      </c>
      <c r="D995" s="28">
        <f>IFERROR(__xludf.DUMMYFUNCTION("""COMPUTED_VALUE"""),45274.0)</f>
        <v>45274</v>
      </c>
      <c r="E995" s="31">
        <f>IFERROR(__xludf.DUMMYFUNCTION("""COMPUTED_VALUE"""),284270.0)</f>
        <v>284270</v>
      </c>
      <c r="F995" s="22" t="str">
        <f>IFERROR(__xludf.DUMMYFUNCTION("""COMPUTED_VALUE"""),"お嬢様、夜伽勉強のお時間です。")</f>
        <v>お嬢様、夜伽勉強のお時間です。</v>
      </c>
      <c r="G995" s="11" t="str">
        <f>IFERROR(__xludf.DUMMYFUNCTION("""COMPUTED_VALUE"""),"1～2")</f>
        <v>1～2</v>
      </c>
      <c r="H995" s="22" t="str">
        <f>IFERROR(__xludf.DUMMYFUNCTION("""COMPUTED_VALUE"""),"夏咲たかお")</f>
        <v>夏咲たかお</v>
      </c>
      <c r="I995" s="22" t="str">
        <f>IFERROR(__xludf.DUMMYFUNCTION("""COMPUTED_VALUE"""),"女性")</f>
        <v>女性</v>
      </c>
      <c r="J995" s="22"/>
      <c r="K995" s="22"/>
      <c r="L995" s="22" t="str">
        <f>IFERROR(__xludf.DUMMYFUNCTION("""COMPUTED_VALUE"""),"秋田書店")</f>
        <v>秋田書店</v>
      </c>
      <c r="M995" s="23">
        <f>IFERROR(__xludf.DUMMYFUNCTION("""COMPUTED_VALUE"""),45307.0)</f>
        <v>45307</v>
      </c>
      <c r="N995" s="23">
        <f>IFERROR(__xludf.DUMMYFUNCTION("""COMPUTED_VALUE"""),45365.0)</f>
        <v>45365</v>
      </c>
      <c r="O995" s="20"/>
      <c r="P995" s="29" t="str">
        <f>IFERROR(__xludf.DUMMYFUNCTION("""COMPUTED_VALUE"""),"否")</f>
        <v>否</v>
      </c>
      <c r="Q995" s="30" t="str">
        <f>IFERROR(__xludf.DUMMYFUNCTION("""COMPUTED_VALUE"""),"格納データが2話分のデータになります")</f>
        <v>格納データが2話分のデータになります</v>
      </c>
      <c r="R995" s="22"/>
      <c r="S995" s="22" t="str">
        <f>IFERROR(__xludf.DUMMYFUNCTION("""COMPUTED_VALUE"""),"20231213_秋田書店_新作4作品")</f>
        <v>20231213_秋田書店_新作4作品</v>
      </c>
      <c r="T995" s="22" t="str">
        <f>IFERROR(__xludf.DUMMYFUNCTION("""COMPUTED_VALUE"""),"格納済み")</f>
        <v>格納済み</v>
      </c>
      <c r="U995" s="15" t="str">
        <f>IFERROR(__xludf.DUMMYFUNCTION("""COMPUTED_VALUE"""),"（C）夏咲たかお（秋田書店）")</f>
        <v>（C）夏咲たかお（秋田書店）</v>
      </c>
      <c r="V995" s="8" t="str">
        <f>IFERROR(__xludf.DUMMYFUNCTION("""COMPUTED_VALUE"""),"お嬢様×執事の淫らな夜伽レッスン！下町娘のあさひは母の死のきっかけに舞原家の「お嬢様」として迎えいれられる。そこで家を継ぐものとしての夜伽教育を受けることになり…？")</f>
        <v>お嬢様×執事の淫らな夜伽レッスン！下町娘のあさひは母の死のきっかけに舞原家の「お嬢様」として迎えいれられる。そこで家を継ぐものとしての夜伽教育を受けることになり…？</v>
      </c>
      <c r="W995" s="14"/>
      <c r="X995" s="14" t="str">
        <f>IFERROR(__xludf.DUMMYFUNCTION("""COMPUTED_VALUE"""),"有")</f>
        <v>有</v>
      </c>
      <c r="Y995" s="8" t="str">
        <f>IFERROR(__xludf.DUMMYFUNCTION("""COMPUTED_VALUE"""),"2024/3/14まで1巻無料")</f>
        <v>2024/3/14まで1巻無料</v>
      </c>
      <c r="Z995" s="7"/>
      <c r="AA995" s="7"/>
      <c r="AB995" s="7"/>
    </row>
    <row r="996" ht="90.0" customHeight="1">
      <c r="A996" s="26">
        <f>IFERROR(__xludf.DUMMYFUNCTION("""COMPUTED_VALUE"""),2752.0)</f>
        <v>2752</v>
      </c>
      <c r="B996" s="22" t="str">
        <f>IFERROR(__xludf.DUMMYFUNCTION("""COMPUTED_VALUE"""),"確定")</f>
        <v>確定</v>
      </c>
      <c r="C996" s="28">
        <f>IFERROR(__xludf.DUMMYFUNCTION("""COMPUTED_VALUE"""),45273.0)</f>
        <v>45273</v>
      </c>
      <c r="D996" s="28">
        <f>IFERROR(__xludf.DUMMYFUNCTION("""COMPUTED_VALUE"""),45274.0)</f>
        <v>45274</v>
      </c>
      <c r="E996" s="31">
        <f>IFERROR(__xludf.DUMMYFUNCTION("""COMPUTED_VALUE"""),283552.0)</f>
        <v>283552</v>
      </c>
      <c r="F996" s="22" t="str">
        <f>IFERROR(__xludf.DUMMYFUNCTION("""COMPUTED_VALUE"""),"蓮尺さんとあそぼ【分冊版】")</f>
        <v>蓮尺さんとあそぼ【分冊版】</v>
      </c>
      <c r="G996" s="20" t="str">
        <f>IFERROR(__xludf.DUMMYFUNCTION("""COMPUTED_VALUE"""),"1～3")</f>
        <v>1～3</v>
      </c>
      <c r="H996" s="22" t="str">
        <f>IFERROR(__xludf.DUMMYFUNCTION("""COMPUTED_VALUE"""),"かねもりあやみ")</f>
        <v>かねもりあやみ</v>
      </c>
      <c r="I996" s="22" t="str">
        <f>IFERROR(__xludf.DUMMYFUNCTION("""COMPUTED_VALUE"""),"女性")</f>
        <v>女性</v>
      </c>
      <c r="J996" s="22"/>
      <c r="K996" s="22"/>
      <c r="L996" s="22" t="str">
        <f>IFERROR(__xludf.DUMMYFUNCTION("""COMPUTED_VALUE"""),"秋田書店")</f>
        <v>秋田書店</v>
      </c>
      <c r="M996" s="23">
        <f>IFERROR(__xludf.DUMMYFUNCTION("""COMPUTED_VALUE"""),45291.0)</f>
        <v>45291</v>
      </c>
      <c r="N996" s="23">
        <f>IFERROR(__xludf.DUMMYFUNCTION("""COMPUTED_VALUE"""),45321.0)</f>
        <v>45321</v>
      </c>
      <c r="O996" s="20"/>
      <c r="P996" s="29" t="str">
        <f>IFERROR(__xludf.DUMMYFUNCTION("""COMPUTED_VALUE"""),"否")</f>
        <v>否</v>
      </c>
      <c r="Q996" s="30" t="str">
        <f>IFERROR(__xludf.DUMMYFUNCTION("""COMPUTED_VALUE"""),"素材格納が切迫になるため2話分で制作をお願い致します。&lt;BR&gt;0000120513_jp_0088⇒P7～P48&lt;BR&gt;0000120513_jp_0089⇒P59～P86")</f>
        <v>素材格納が切迫になるため2話分で制作をお願い致します。&lt;BR&gt;0000120513_jp_0088⇒P7～P48&lt;BR&gt;0000120513_jp_0089⇒P59～P86</v>
      </c>
      <c r="R996" s="22"/>
      <c r="S996" s="22" t="str">
        <f>IFERROR(__xludf.DUMMYFUNCTION("""COMPUTED_VALUE"""),"20231213_秋田書店_新作4作品")</f>
        <v>20231213_秋田書店_新作4作品</v>
      </c>
      <c r="T996" s="22" t="str">
        <f>IFERROR(__xludf.DUMMYFUNCTION("""COMPUTED_VALUE"""),"格納済み")</f>
        <v>格納済み</v>
      </c>
      <c r="U996" s="15" t="str">
        <f>IFERROR(__xludf.DUMMYFUNCTION("""COMPUTED_VALUE"""),"（C)かねもりあやみ（秋田書店）")</f>
        <v>（C)かねもりあやみ（秋田書店）</v>
      </c>
      <c r="V996" s="8" t="str">
        <f>IFERROR(__xludf.DUMMYFUNCTION("""COMPUTED_VALUE"""),"自分に自信を持てない境純平は入学した高校で蓮尺紫という不思議なお嬢様に出会う。「遊ぶために高校に来た」という彼女に誘われ、純平は放課後一緒に遊ぶことに。そんな蓮尺さんにはなにやら秘密がありそうで…？ 自由で不思議なお嬢様と自分に自信がない僕の、秘密の放課後ライフ！")</f>
        <v>自分に自信を持てない境純平は入学した高校で蓮尺紫という不思議なお嬢様に出会う。「遊ぶために高校に来た」という彼女に誘われ、純平は放課後一緒に遊ぶことに。そんな蓮尺さんにはなにやら秘密がありそうで…？ 自由で不思議なお嬢様と自分に自信がない僕の、秘密の放課後ライフ！</v>
      </c>
      <c r="W996" s="14"/>
      <c r="X996" s="14" t="str">
        <f>IFERROR(__xludf.DUMMYFUNCTION("""COMPUTED_VALUE"""),"有")</f>
        <v>有</v>
      </c>
      <c r="Y996" s="8" t="str">
        <f>IFERROR(__xludf.DUMMYFUNCTION("""COMPUTED_VALUE"""),"P6まで")</f>
        <v>P6まで</v>
      </c>
      <c r="Z996" s="7"/>
      <c r="AA996" s="7"/>
      <c r="AB996" s="7"/>
    </row>
    <row r="997" ht="15.75" customHeight="1">
      <c r="A997" s="26">
        <f>IFERROR(__xludf.DUMMYFUNCTION("""COMPUTED_VALUE"""),2753.0)</f>
        <v>2753</v>
      </c>
      <c r="B997" s="22" t="str">
        <f>IFERROR(__xludf.DUMMYFUNCTION("""COMPUTED_VALUE"""),"確定")</f>
        <v>確定</v>
      </c>
      <c r="C997" s="28">
        <f>IFERROR(__xludf.DUMMYFUNCTION("""COMPUTED_VALUE"""),45273.0)</f>
        <v>45273</v>
      </c>
      <c r="D997" s="28">
        <f>IFERROR(__xludf.DUMMYFUNCTION("""COMPUTED_VALUE"""),45274.0)</f>
        <v>45274</v>
      </c>
      <c r="E997" s="31">
        <f>IFERROR(__xludf.DUMMYFUNCTION("""COMPUTED_VALUE"""),283811.0)</f>
        <v>283811</v>
      </c>
      <c r="F997" s="22" t="str">
        <f>IFERROR(__xludf.DUMMYFUNCTION("""COMPUTED_VALUE"""),"それって詐欺じゃないですか【分冊版】")</f>
        <v>それって詐欺じゃないですか【分冊版】</v>
      </c>
      <c r="G997" s="20" t="str">
        <f>IFERROR(__xludf.DUMMYFUNCTION("""COMPUTED_VALUE"""),"1～4")</f>
        <v>1～4</v>
      </c>
      <c r="H997" s="22" t="str">
        <f>IFERROR(__xludf.DUMMYFUNCTION("""COMPUTED_VALUE"""),"和田育子")</f>
        <v>和田育子</v>
      </c>
      <c r="I997" s="22" t="str">
        <f>IFERROR(__xludf.DUMMYFUNCTION("""COMPUTED_VALUE"""),"女性")</f>
        <v>女性</v>
      </c>
      <c r="J997" s="22"/>
      <c r="K997" s="22"/>
      <c r="L997" s="22" t="str">
        <f>IFERROR(__xludf.DUMMYFUNCTION("""COMPUTED_VALUE"""),"秋田書店")</f>
        <v>秋田書店</v>
      </c>
      <c r="M997" s="23">
        <f>IFERROR(__xludf.DUMMYFUNCTION("""COMPUTED_VALUE"""),45300.0)</f>
        <v>45300</v>
      </c>
      <c r="N997" s="23">
        <f>IFERROR(__xludf.DUMMYFUNCTION("""COMPUTED_VALUE"""),45330.0)</f>
        <v>45330</v>
      </c>
      <c r="O997" s="20"/>
      <c r="P997" s="29" t="str">
        <f>IFERROR(__xludf.DUMMYFUNCTION("""COMPUTED_VALUE"""),"否")</f>
        <v>否</v>
      </c>
      <c r="Q997" s="30" t="str">
        <f>IFERROR(__xludf.DUMMYFUNCTION("""COMPUTED_VALUE"""),"素材格納が切迫になるため3話分で制作をお願い致します。&lt;BR&gt;0000120768_jp_0084⇒P239～P270&lt;BR&gt;0000120768_jp_0086⇒P369～P400&lt;BR&gt;0000120768_jp_0089⇒P107～P138")</f>
        <v>素材格納が切迫になるため3話分で制作をお願い致します。&lt;BR&gt;0000120768_jp_0084⇒P239～P270&lt;BR&gt;0000120768_jp_0086⇒P369～P400&lt;BR&gt;0000120768_jp_0089⇒P107～P138</v>
      </c>
      <c r="R997" s="22"/>
      <c r="S997" s="22" t="str">
        <f>IFERROR(__xludf.DUMMYFUNCTION("""COMPUTED_VALUE"""),"20231213_秋田書店_新作4作品")</f>
        <v>20231213_秋田書店_新作4作品</v>
      </c>
      <c r="T997" s="22" t="str">
        <f>IFERROR(__xludf.DUMMYFUNCTION("""COMPUTED_VALUE"""),"格納済み")</f>
        <v>格納済み</v>
      </c>
      <c r="U997" s="15" t="str">
        <f>IFERROR(__xludf.DUMMYFUNCTION("""COMPUTED_VALUE"""),"（C)和田育子（秋田書店）")</f>
        <v>（C)和田育子（秋田書店）</v>
      </c>
      <c r="V997" s="8" t="str">
        <f>IFERROR(__xludf.DUMMYFUNCTION("""COMPUTED_VALUE"""),"だまされる女たちを描くオムニバスシリーズ!! ストップ詐欺被害!! 48歳独身貴族の女性がハマった「国際ロマンス詐欺」。バツイチ40歳女性の寂しさにつけこむ「マッチングアプリ詐欺」。パート感覚だったのに…「闇バイト詐欺」。やせたい女心をふみにじる「ダイエット詐欺」etc.…。詐欺はすぐそばであなたを狙っています!!")</f>
        <v>だまされる女たちを描くオムニバスシリーズ!! ストップ詐欺被害!! 48歳独身貴族の女性がハマった「国際ロマンス詐欺」。バツイチ40歳女性の寂しさにつけこむ「マッチングアプリ詐欺」。パート感覚だったのに…「闇バイト詐欺」。やせたい女心をふみにじる「ダイエット詐欺」etc.…。詐欺はすぐそばであなたを狙っています!!</v>
      </c>
      <c r="W997" s="14"/>
      <c r="X997" s="14" t="str">
        <f>IFERROR(__xludf.DUMMYFUNCTION("""COMPUTED_VALUE"""),"有")</f>
        <v>有</v>
      </c>
      <c r="Y997" s="8" t="str">
        <f>IFERROR(__xludf.DUMMYFUNCTION("""COMPUTED_VALUE"""),"2024/2/8まで1巻無料")</f>
        <v>2024/2/8まで1巻無料</v>
      </c>
      <c r="Z997" s="7"/>
      <c r="AA997" s="7"/>
      <c r="AB997" s="7"/>
    </row>
    <row r="998" ht="15.75" customHeight="1">
      <c r="A998" s="26">
        <f>IFERROR(__xludf.DUMMYFUNCTION("""COMPUTED_VALUE"""),2755.0)</f>
        <v>2755</v>
      </c>
      <c r="B998" s="22" t="str">
        <f>IFERROR(__xludf.DUMMYFUNCTION("""COMPUTED_VALUE"""),"確定")</f>
        <v>確定</v>
      </c>
      <c r="C998" s="28">
        <f>IFERROR(__xludf.DUMMYFUNCTION("""COMPUTED_VALUE"""),45273.0)</f>
        <v>45273</v>
      </c>
      <c r="D998" s="28">
        <f>IFERROR(__xludf.DUMMYFUNCTION("""COMPUTED_VALUE"""),45274.0)</f>
        <v>45274</v>
      </c>
      <c r="E998" s="31">
        <f>IFERROR(__xludf.DUMMYFUNCTION("""COMPUTED_VALUE"""),284624.0)</f>
        <v>284624</v>
      </c>
      <c r="F998" s="22" t="str">
        <f>IFERROR(__xludf.DUMMYFUNCTION("""COMPUTED_VALUE"""),"先生、元教え子と恋しませんか？")</f>
        <v>先生、元教え子と恋しませんか？</v>
      </c>
      <c r="G998" s="11" t="str">
        <f>IFERROR(__xludf.DUMMYFUNCTION("""COMPUTED_VALUE"""),"1～4")</f>
        <v>1～4</v>
      </c>
      <c r="H998" s="22" t="str">
        <f>IFERROR(__xludf.DUMMYFUNCTION("""COMPUTED_VALUE"""),"甘夏テン")</f>
        <v>甘夏テン</v>
      </c>
      <c r="I998" s="22" t="str">
        <f>IFERROR(__xludf.DUMMYFUNCTION("""COMPUTED_VALUE"""),"少女")</f>
        <v>少女</v>
      </c>
      <c r="J998" s="22"/>
      <c r="K998" s="22"/>
      <c r="L998" s="22" t="str">
        <f>IFERROR(__xludf.DUMMYFUNCTION("""COMPUTED_VALUE"""),"ファンギルド")</f>
        <v>ファンギルド</v>
      </c>
      <c r="M998" s="23">
        <f>IFERROR(__xludf.DUMMYFUNCTION("""COMPUTED_VALUE"""),45315.0)</f>
        <v>45315</v>
      </c>
      <c r="N998" s="23">
        <f>IFERROR(__xludf.DUMMYFUNCTION("""COMPUTED_VALUE"""),45349.0)</f>
        <v>45349</v>
      </c>
      <c r="O998" s="20"/>
      <c r="P998" s="32" t="str">
        <f>IFERROR(__xludf.DUMMYFUNCTION("""COMPUTED_VALUE"""),"可")</f>
        <v>可</v>
      </c>
      <c r="Q998" s="30"/>
      <c r="R998" s="22"/>
      <c r="S998" s="22" t="str">
        <f>IFERROR(__xludf.DUMMYFUNCTION("""COMPUTED_VALUE"""),"20231213_ファンギルド_先生、元教え子と恋しませんか？")</f>
        <v>20231213_ファンギルド_先生、元教え子と恋しませんか？</v>
      </c>
      <c r="T998" s="22" t="str">
        <f>IFERROR(__xludf.DUMMYFUNCTION("""COMPUTED_VALUE"""),"格納済み")</f>
        <v>格納済み</v>
      </c>
      <c r="U998" s="15" t="str">
        <f>IFERROR(__xludf.DUMMYFUNCTION("""COMPUTED_VALUE"""),"©甘夏テン/ファンギルド")</f>
        <v>©甘夏テン/ファンギルド</v>
      </c>
      <c r="V998" s="8" t="str">
        <f>IFERROR(__xludf.DUMMYFUNCTION("""COMPUTED_VALUE"""),"「…私のこと覚えてますか？」教員生活10年目、訳あって小学校に異動してきた古賀拓海は、新たな職場で教師となった元教え子・大沢杏奈と再会をする。一緒に仕事をしていく内に、古賀に対して恋心が芽生えた杏奈。しかし、「元生徒は恋愛対象にならない」と言っている古賀の発言を聞いてしまって…！？先生×元教え子の10年ぶりの恋愛が今始まる――。")</f>
        <v>「…私のこと覚えてますか？」教員生活10年目、訳あって小学校に異動してきた古賀拓海は、新たな職場で教師となった元教え子・大沢杏奈と再会をする。一緒に仕事をしていく内に、古賀に対して恋心が芽生えた杏奈。しかし、「元生徒は恋愛対象にならない」と言っている古賀の発言を聞いてしまって…！？先生×元教え子の10年ぶりの恋愛が今始まる――。</v>
      </c>
      <c r="W998" s="14"/>
      <c r="X998" s="14" t="str">
        <f>IFERROR(__xludf.DUMMYFUNCTION("""COMPUTED_VALUE"""),"有")</f>
        <v>有</v>
      </c>
      <c r="Y998" s="8" t="str">
        <f>IFERROR(__xludf.DUMMYFUNCTION("""COMPUTED_VALUE"""),"P7まで")</f>
        <v>P7まで</v>
      </c>
      <c r="Z998" s="7"/>
      <c r="AA998" s="7"/>
      <c r="AB998" s="7"/>
    </row>
    <row r="999" ht="15.75" customHeight="1">
      <c r="A999" s="26">
        <f>IFERROR(__xludf.DUMMYFUNCTION("""COMPUTED_VALUE"""),2756.0)</f>
        <v>2756</v>
      </c>
      <c r="B999" s="22" t="str">
        <f>IFERROR(__xludf.DUMMYFUNCTION("""COMPUTED_VALUE"""),"確定")</f>
        <v>確定</v>
      </c>
      <c r="C999" s="28">
        <f>IFERROR(__xludf.DUMMYFUNCTION("""COMPUTED_VALUE"""),45273.0)</f>
        <v>45273</v>
      </c>
      <c r="D999" s="28">
        <f>IFERROR(__xludf.DUMMYFUNCTION("""COMPUTED_VALUE"""),45274.0)</f>
        <v>45274</v>
      </c>
      <c r="E999" s="31">
        <f>IFERROR(__xludf.DUMMYFUNCTION("""COMPUTED_VALUE"""),284620.0)</f>
        <v>284620</v>
      </c>
      <c r="F999" s="22" t="str">
        <f>IFERROR(__xludf.DUMMYFUNCTION("""COMPUTED_VALUE"""),"無能と蔑まれた【勇気ある者】が、実は伝説の【勇者】でした～500年前の仲間＆魔王の娘と一緒に今度こそ世界を救います～")</f>
        <v>無能と蔑まれた【勇気ある者】が、実は伝説の【勇者】でした～500年前の仲間＆魔王の娘と一緒に今度こそ世界を救います～</v>
      </c>
      <c r="G999" s="20" t="str">
        <f>IFERROR(__xludf.DUMMYFUNCTION("""COMPUTED_VALUE"""),"1～3")</f>
        <v>1～3</v>
      </c>
      <c r="H999" s="22" t="str">
        <f>IFERROR(__xludf.DUMMYFUNCTION("""COMPUTED_VALUE"""),"シグチサトシ/やすくん")</f>
        <v>シグチサトシ/やすくん</v>
      </c>
      <c r="I999" s="22" t="str">
        <f>IFERROR(__xludf.DUMMYFUNCTION("""COMPUTED_VALUE"""),"少年")</f>
        <v>少年</v>
      </c>
      <c r="J999" s="22"/>
      <c r="K999" s="22"/>
      <c r="L999" s="22" t="str">
        <f>IFERROR(__xludf.DUMMYFUNCTION("""COMPUTED_VALUE"""),"ファンギルド")</f>
        <v>ファンギルド</v>
      </c>
      <c r="M999" s="21">
        <f>IFERROR(__xludf.DUMMYFUNCTION("""COMPUTED_VALUE"""),45313.0)</f>
        <v>45313</v>
      </c>
      <c r="N999" s="23">
        <f>IFERROR(__xludf.DUMMYFUNCTION("""COMPUTED_VALUE"""),45372.0)</f>
        <v>45372</v>
      </c>
      <c r="O999" s="20"/>
      <c r="P999" s="29" t="str">
        <f>IFERROR(__xludf.DUMMYFUNCTION("""COMPUTED_VALUE"""),"可")</f>
        <v>可</v>
      </c>
      <c r="Q999" s="30" t="str">
        <f>IFERROR(__xludf.DUMMYFUNCTION("""COMPUTED_VALUE"""),"広告コミットOK（河上12/14）&lt;BR&gt;一旦先行終了日を設けずに先行いただきました。非お色気の男性向けファンタジー作品なので広告プッシュお願いします！！")</f>
        <v>広告コミットOK（河上12/14）&lt;BR&gt;一旦先行終了日を設けずに先行いただきました。非お色気の男性向けファンタジー作品なので広告プッシュお願いします！！</v>
      </c>
      <c r="R999" s="22"/>
      <c r="S999" s="22" t="str">
        <f>IFERROR(__xludf.DUMMYFUNCTION("""COMPUTED_VALUE"""),"20231213_ファンギルド_無能と蔑まれた【勇気ある者】が、実は伝説の【勇者】でした~500年前の仲間＆魔王の娘と一緒に今度こそ世界を救います~")</f>
        <v>20231213_ファンギルド_無能と蔑まれた【勇気ある者】が、実は伝説の【勇者】でした~500年前の仲間＆魔王の娘と一緒に今度こそ世界を救います~</v>
      </c>
      <c r="T999" s="22" t="str">
        <f>IFERROR(__xludf.DUMMYFUNCTION("""COMPUTED_VALUE"""),"格納済み")</f>
        <v>格納済み</v>
      </c>
      <c r="U999" s="15" t="str">
        <f>IFERROR(__xludf.DUMMYFUNCTION("""COMPUTED_VALUE"""),"©シグチサトシ/やすくん/ファンギルド")</f>
        <v>©シグチサトシ/やすくん/ファンギルド</v>
      </c>
      <c r="V999" s="8" t="str">
        <f>IFERROR(__xludf.DUMMYFUNCTION("""COMPUTED_VALUE"""),"”守りたい”という強い想いが、ハズレスキル【勇気ある者】を【勇者】に覚醒させる！最底辺の冒険者レンヤは、家族を守れるくらい強くなりたいと努力していた。力を付けるためAランクパーティの荷物持ちとして魔王城の攻略に参加していたが、メンバーに裏切られ絶体絶命の危機に…！こんなところで終わってしまうのかと絶望したそのとき、魔王の娘との出会いがレンヤのスキルを覚醒させる！最底辺の勇気ある冒険者が、 仲間と共に成り上がる逆転ファンタジー開幕！！")</f>
        <v>”守りたい”という強い想いが、ハズレスキル【勇気ある者】を【勇者】に覚醒させる！最底辺の冒険者レンヤは、家族を守れるくらい強くなりたいと努力していた。力を付けるためAランクパーティの荷物持ちとして魔王城の攻略に参加していたが、メンバーに裏切られ絶体絶命の危機に…！こんなところで終わってしまうのかと絶望したそのとき、魔王の娘との出会いがレンヤのスキルを覚醒させる！最底辺の勇気ある冒険者が、 仲間と共に成り上がる逆転ファンタジー開幕！！</v>
      </c>
      <c r="W999" s="14"/>
      <c r="X999" s="14" t="str">
        <f>IFERROR(__xludf.DUMMYFUNCTION("""COMPUTED_VALUE"""),"有")</f>
        <v>有</v>
      </c>
      <c r="Y999" s="8" t="str">
        <f>IFERROR(__xludf.DUMMYFUNCTION("""COMPUTED_VALUE"""),"P7まで")</f>
        <v>P7まで</v>
      </c>
      <c r="Z999" s="7"/>
      <c r="AA999" s="7"/>
      <c r="AB999" s="7"/>
    </row>
    <row r="1000" ht="15.75" customHeight="1">
      <c r="A1000" s="26">
        <f>IFERROR(__xludf.DUMMYFUNCTION("""COMPUTED_VALUE"""),2757.0)</f>
        <v>2757</v>
      </c>
      <c r="B1000" s="22" t="str">
        <f>IFERROR(__xludf.DUMMYFUNCTION("""COMPUTED_VALUE"""),"確定")</f>
        <v>確定</v>
      </c>
      <c r="C1000" s="28">
        <f>IFERROR(__xludf.DUMMYFUNCTION("""COMPUTED_VALUE"""),45274.0)</f>
        <v>45274</v>
      </c>
      <c r="D1000" s="28">
        <f>IFERROR(__xludf.DUMMYFUNCTION("""COMPUTED_VALUE"""),45274.0)</f>
        <v>45274</v>
      </c>
      <c r="E1000" s="31">
        <f>IFERROR(__xludf.DUMMYFUNCTION("""COMPUTED_VALUE"""),283170.0)</f>
        <v>283170</v>
      </c>
      <c r="F1000" s="22" t="str">
        <f>IFERROR(__xludf.DUMMYFUNCTION("""COMPUTED_VALUE"""),"千年紀末に吠える恋【分冊版】")</f>
        <v>千年紀末に吠える恋【分冊版】</v>
      </c>
      <c r="G1000" s="16" t="str">
        <f>IFERROR(__xludf.DUMMYFUNCTION("""COMPUTED_VALUE"""),"1～3")</f>
        <v>1～3</v>
      </c>
      <c r="H1000" s="22" t="str">
        <f>IFERROR(__xludf.DUMMYFUNCTION("""COMPUTED_VALUE"""),"みよしあやと")</f>
        <v>みよしあやと</v>
      </c>
      <c r="I1000" s="22" t="str">
        <f>IFERROR(__xludf.DUMMYFUNCTION("""COMPUTED_VALUE"""),"BL")</f>
        <v>BL</v>
      </c>
      <c r="J1000" s="22"/>
      <c r="K1000" s="22"/>
      <c r="L1000" s="22" t="str">
        <f>IFERROR(__xludf.DUMMYFUNCTION("""COMPUTED_VALUE"""),"スクウェア・エニックス")</f>
        <v>スクウェア・エニックス</v>
      </c>
      <c r="M1000" s="23">
        <f>IFERROR(__xludf.DUMMYFUNCTION("""COMPUTED_VALUE"""),45292.0)</f>
        <v>45292</v>
      </c>
      <c r="N1000" s="23">
        <f>IFERROR(__xludf.DUMMYFUNCTION("""COMPUTED_VALUE"""),45322.0)</f>
        <v>45322</v>
      </c>
      <c r="O1000" s="20"/>
      <c r="P1000" s="29" t="str">
        <f>IFERROR(__xludf.DUMMYFUNCTION("""COMPUTED_VALUE"""),"可")</f>
        <v>可</v>
      </c>
      <c r="Q1000" s="30" t="str">
        <f>IFERROR(__xludf.DUMMYFUNCTION("""COMPUTED_VALUE"""),"配信日が迫っており、かつ１か月先行なので難しいかと思いますが可能であれば出稿お願いします。")</f>
        <v>配信日が迫っており、かつ１か月先行なので難しいかと思いますが可能であれば出稿お願いします。</v>
      </c>
      <c r="R1000" s="22"/>
      <c r="S1000" s="22" t="str">
        <f>IFERROR(__xludf.DUMMYFUNCTION("""COMPUTED_VALUE"""),"20231214_スクウェア・エニックス_千年紀末に吠える恋【分冊版】")</f>
        <v>20231214_スクウェア・エニックス_千年紀末に吠える恋【分冊版】</v>
      </c>
      <c r="T1000" s="22" t="str">
        <f>IFERROR(__xludf.DUMMYFUNCTION("""COMPUTED_VALUE"""),"格納済み")</f>
        <v>格納済み</v>
      </c>
      <c r="U1000" s="15" t="str">
        <f>IFERROR(__xludf.DUMMYFUNCTION("""COMPUTED_VALUE"""),"©Ayato Miyoshi/SQUARE ENIX")</f>
        <v>©Ayato Miyoshi/SQUARE ENIX</v>
      </c>
      <c r="V1000" s="8" t="str">
        <f>IFERROR(__xludf.DUMMYFUNCTION("""COMPUTED_VALUE"""),"【宮中を駆けるヒストリカル中華風BL】
時は戦乱の世。兄弟のように、はたまた番の鳥のように仲が良い天陽と雨流は、とある国の精鋭部隊に属していた。二人は共に暮らし、共に戦い、絆と愛を深めたが…別れは唐突に訪れる。雨流は敵地にて、最期に約束と口づけを残して絶命してしまった。そして二年後、天陽は雨流との約束を支えに生き続け、敵将・欠月を討つべく奇襲を仕掛ける。しかし、振り返った欠月の顔は懐かしく愛おしい雨流そのものだった。「この男からどうしようもなく雨流の匂いがする」――欠月は何者なのか？失くした愛の行方は？"&amp;"中世の宮中を駆けるヒストリカル中華風BL、開幕。
※この商品は「千年紀末に吠える恋」を1話ごとに分冊したものです。
(C)2024 Ayato Miyoshi")</f>
        <v>【宮中を駆けるヒストリカル中華風BL】
時は戦乱の世。兄弟のように、はたまた番の鳥のように仲が良い天陽と雨流は、とある国の精鋭部隊に属していた。二人は共に暮らし、共に戦い、絆と愛を深めたが…別れは唐突に訪れる。雨流は敵地にて、最期に約束と口づけを残して絶命してしまった。そして二年後、天陽は雨流との約束を支えに生き続け、敵将・欠月を討つべく奇襲を仕掛ける。しかし、振り返った欠月の顔は懐かしく愛おしい雨流そのものだった。「この男からどうしようもなく雨流の匂いがする」――欠月は何者なのか？失くした愛の行方は？中世の宮中を駆けるヒストリカル中華風BL、開幕。
※この商品は「千年紀末に吠える恋」を1話ごとに分冊したものです。
(C)2024 Ayato Miyoshi</v>
      </c>
      <c r="W1000" s="14"/>
      <c r="X1000" s="14" t="str">
        <f>IFERROR(__xludf.DUMMYFUNCTION("""COMPUTED_VALUE"""),"有")</f>
        <v>有</v>
      </c>
      <c r="Y1000" s="8" t="str">
        <f>IFERROR(__xludf.DUMMYFUNCTION("""COMPUTED_VALUE"""),"P8まで")</f>
        <v>P8まで</v>
      </c>
      <c r="Z1000" s="7"/>
      <c r="AA1000" s="7"/>
      <c r="AB1000" s="7"/>
    </row>
    <row r="1001" ht="15.75" customHeight="1">
      <c r="A1001" s="26">
        <f>IFERROR(__xludf.DUMMYFUNCTION("""COMPUTED_VALUE"""),2762.0)</f>
        <v>2762</v>
      </c>
      <c r="B1001" s="22" t="str">
        <f>IFERROR(__xludf.DUMMYFUNCTION("""COMPUTED_VALUE"""),"確定")</f>
        <v>確定</v>
      </c>
      <c r="C1001" s="28">
        <f>IFERROR(__xludf.DUMMYFUNCTION("""COMPUTED_VALUE"""),45278.0)</f>
        <v>45278</v>
      </c>
      <c r="D1001" s="28">
        <f>IFERROR(__xludf.DUMMYFUNCTION("""COMPUTED_VALUE"""),45278.0)</f>
        <v>45278</v>
      </c>
      <c r="E1001" s="31">
        <f>IFERROR(__xludf.DUMMYFUNCTION("""COMPUTED_VALUE"""),284617.0)</f>
        <v>284617</v>
      </c>
      <c r="F1001" s="22" t="str">
        <f>IFERROR(__xludf.DUMMYFUNCTION("""COMPUTED_VALUE"""),"射程極振り弓おじさん【分冊版】")</f>
        <v>射程極振り弓おじさん【分冊版】</v>
      </c>
      <c r="G1001" s="16" t="str">
        <f>IFERROR(__xludf.DUMMYFUNCTION("""COMPUTED_VALUE"""),"1～5")</f>
        <v>1～5</v>
      </c>
      <c r="H1001" s="22" t="str">
        <f>IFERROR(__xludf.DUMMYFUNCTION("""COMPUTED_VALUE"""),"草乃葉オウル 米野ヌキ")</f>
        <v>草乃葉オウル 米野ヌキ</v>
      </c>
      <c r="I1001" s="22" t="str">
        <f>IFERROR(__xludf.DUMMYFUNCTION("""COMPUTED_VALUE"""),"青年")</f>
        <v>青年</v>
      </c>
      <c r="J1001" s="22"/>
      <c r="K1001" s="22"/>
      <c r="L1001" s="22" t="str">
        <f>IFERROR(__xludf.DUMMYFUNCTION("""COMPUTED_VALUE"""),"Amazia")</f>
        <v>Amazia</v>
      </c>
      <c r="M1001" s="23">
        <f>IFERROR(__xludf.DUMMYFUNCTION("""COMPUTED_VALUE"""),45311.0)</f>
        <v>45311</v>
      </c>
      <c r="N1001" s="23">
        <f>IFERROR(__xludf.DUMMYFUNCTION("""COMPUTED_VALUE"""),45401.0)</f>
        <v>45401</v>
      </c>
      <c r="O1001" s="20"/>
      <c r="P1001" s="29" t="str">
        <f>IFERROR(__xludf.DUMMYFUNCTION("""COMPUTED_VALUE"""),"否")</f>
        <v>否</v>
      </c>
      <c r="Q1001" s="30" t="str">
        <f>IFERROR(__xludf.DUMMYFUNCTION("""COMPUTED_VALUE"""),"河上さんと事前に広告出稿コミットいただいた件になります。")</f>
        <v>河上さんと事前に広告出稿コミットいただいた件になります。</v>
      </c>
      <c r="R1001" s="22"/>
      <c r="S1001" s="22" t="str">
        <f>IFERROR(__xludf.DUMMYFUNCTION("""COMPUTED_VALUE"""),"20231218_Amazia_射程極振り弓おじさん【分冊版】")</f>
        <v>20231218_Amazia_射程極振り弓おじさん【分冊版】</v>
      </c>
      <c r="T1001" s="22" t="str">
        <f>IFERROR(__xludf.DUMMYFUNCTION("""COMPUTED_VALUE"""),"格納済み")</f>
        <v>格納済み</v>
      </c>
      <c r="U1001" s="15" t="str">
        <f>IFERROR(__xludf.DUMMYFUNCTION("""COMPUTED_VALUE"""),"©︎米野ヌキ/Amazia,inc. ©︎草乃葉オウル/オーバーラップ")</f>
        <v>©︎米野ヌキ/Amazia,inc. ©︎草乃葉オウル/オーバーラップ</v>
      </c>
      <c r="V1001" s="8" t="str">
        <f>IFERROR(__xludf.DUMMYFUNCTION("""COMPUTED_VALUE"""),"「反撃されない位置からチクチク攻撃するのが最強じゃないか？」 大人気VRMMORPG――『Next Stage Online』を始めた35歳のキュージィ。 期待して職業選択に挑むが、適職が見つからない。 パーティーを組もうにも、おじさんの衰えた身体では誰からも相手にされなかった。 そんな彼に残された最後の職業は『弓使い』。扱いが難しく、突出した長所もない不遇職だった。 最初は落ち込むが、固有ステータス「射程」に目を付けた彼は、とある戦法を思い付く…！ これは自分の理論を証明するため、また第二の人生を楽しむ"&amp;"ために弓を握り射程を極めるおじさんのマイペース冒険日誌。")</f>
        <v>「反撃されない位置からチクチク攻撃するのが最強じゃないか？」 大人気VRMMORPG――『Next Stage Online』を始めた35歳のキュージィ。 期待して職業選択に挑むが、適職が見つからない。 パーティーを組もうにも、おじさんの衰えた身体では誰からも相手にされなかった。 そんな彼に残された最後の職業は『弓使い』。扱いが難しく、突出した長所もない不遇職だった。 最初は落ち込むが、固有ステータス「射程」に目を付けた彼は、とある戦法を思い付く…！ これは自分の理論を証明するため、また第二の人生を楽しむために弓を握り射程を極めるおじさんのマイペース冒険日誌。</v>
      </c>
      <c r="W1001" s="14"/>
      <c r="X1001" s="14" t="str">
        <f>IFERROR(__xludf.DUMMYFUNCTION("""COMPUTED_VALUE"""),"有")</f>
        <v>有</v>
      </c>
      <c r="Y1001" s="8" t="str">
        <f>IFERROR(__xludf.DUMMYFUNCTION("""COMPUTED_VALUE"""),"P5まで")</f>
        <v>P5まで</v>
      </c>
      <c r="Z1001" s="7"/>
      <c r="AA1001" s="7"/>
      <c r="AB1001" s="7"/>
    </row>
    <row r="1002" ht="15.75" customHeight="1">
      <c r="A1002" s="26">
        <f>IFERROR(__xludf.DUMMYFUNCTION("""COMPUTED_VALUE"""),2764.0)</f>
        <v>2764</v>
      </c>
      <c r="B1002" s="22" t="str">
        <f>IFERROR(__xludf.DUMMYFUNCTION("""COMPUTED_VALUE"""),"確定")</f>
        <v>確定</v>
      </c>
      <c r="C1002" s="28">
        <f>IFERROR(__xludf.DUMMYFUNCTION("""COMPUTED_VALUE"""),45279.0)</f>
        <v>45279</v>
      </c>
      <c r="D1002" s="28">
        <f>IFERROR(__xludf.DUMMYFUNCTION("""COMPUTED_VALUE"""),45279.0)</f>
        <v>45279</v>
      </c>
      <c r="E1002" s="26">
        <f>IFERROR(__xludf.DUMMYFUNCTION("""COMPUTED_VALUE"""),262290.0)</f>
        <v>262290</v>
      </c>
      <c r="F1002" s="22" t="str">
        <f>IFERROR(__xludf.DUMMYFUNCTION("""COMPUTED_VALUE"""),"未満。だけど愛して、愛して、愛しつくす")</f>
        <v>未満。だけど愛して、愛して、愛しつくす</v>
      </c>
      <c r="G1002" s="20" t="str">
        <f>IFERROR(__xludf.DUMMYFUNCTION("""COMPUTED_VALUE"""),"1～3")</f>
        <v>1～3</v>
      </c>
      <c r="H1002" s="22" t="str">
        <f>IFERROR(__xludf.DUMMYFUNCTION("""COMPUTED_VALUE"""),"おけいど")</f>
        <v>おけいど</v>
      </c>
      <c r="I1002" s="14" t="str">
        <f>IFERROR(__xludf.DUMMYFUNCTION("""COMPUTED_VALUE"""),"女性")</f>
        <v>女性</v>
      </c>
      <c r="J1002" s="22"/>
      <c r="K1002" s="22"/>
      <c r="L1002" s="22" t="str">
        <f>IFERROR(__xludf.DUMMYFUNCTION("""COMPUTED_VALUE"""),"ソルマーレ編集部")</f>
        <v>ソルマーレ編集部</v>
      </c>
      <c r="M1002" s="21">
        <f>IFERROR(__xludf.DUMMYFUNCTION("""COMPUTED_VALUE"""),45318.0)</f>
        <v>45318</v>
      </c>
      <c r="N1002" s="33">
        <f>IFERROR(__xludf.DUMMYFUNCTION("""COMPUTED_VALUE"""),45526.66666666667)</f>
        <v>45526.66667</v>
      </c>
      <c r="O1002" s="20"/>
      <c r="P1002" s="29" t="str">
        <f>IFERROR(__xludf.DUMMYFUNCTION("""COMPUTED_VALUE"""),"可")</f>
        <v>可</v>
      </c>
      <c r="Q1002" s="30" t="str">
        <f>IFERROR(__xludf.DUMMYFUNCTION("""COMPUTED_VALUE"""),"※正式タイトル下記の通りです（12/19）&lt;BR&gt;＝＝＝&lt;BR&gt;未満。だけど愛して、愛して、愛しつくす&lt;BR&gt;＝＝＝")</f>
        <v>※正式タイトル下記の通りです（12/19）&lt;BR&gt;＝＝＝&lt;BR&gt;未満。だけど愛して、愛して、愛しつくす&lt;BR&gt;＝＝＝</v>
      </c>
      <c r="R1002" s="22"/>
      <c r="S1002" s="22" t="str">
        <f>IFERROR(__xludf.DUMMYFUNCTION("""COMPUTED_VALUE"""),"20231220_ソルマーレ編集部_未満。だけど愛して、愛して、愛しつくす")</f>
        <v>20231220_ソルマーレ編集部_未満。だけど愛して、愛して、愛しつくす</v>
      </c>
      <c r="T1002" s="22" t="str">
        <f>IFERROR(__xludf.DUMMYFUNCTION("""COMPUTED_VALUE"""),"格納済み")</f>
        <v>格納済み</v>
      </c>
      <c r="U1002" s="15" t="str">
        <f>IFERROR(__xludf.DUMMYFUNCTION("""COMPUTED_VALUE"""),"Ⓒ おけいど/シーモアコミックス")</f>
        <v>Ⓒ おけいど/シーモアコミックス</v>
      </c>
      <c r="V1002" s="8" t="str">
        <f>IFERROR(__xludf.DUMMYFUNCTION("""COMPUTED_VALUE"""),"元彼に「ガサツなメシマズ女と結婚するわけないやろ」と言われ料理の道を目指すべく一念発起！今では食事処の店長になるまで成長した和花。そこにくる常連客の刑事・武田の食べっぷりがあまりにも和花の性癖にささり見るたびにハァハァしてしまい、ついにはいけない妄想が膨らんで…!?【桃色日記】")</f>
        <v>元彼に「ガサツなメシマズ女と結婚するわけないやろ」と言われ料理の道を目指すべく一念発起！今では食事処の店長になるまで成長した和花。そこにくる常連客の刑事・武田の食べっぷりがあまりにも和花の性癖にささり見るたびにハァハァしてしまい、ついにはいけない妄想が膨らんで…!?【桃色日記】</v>
      </c>
      <c r="W1002" s="14"/>
      <c r="X1002" s="14" t="str">
        <f>IFERROR(__xludf.DUMMYFUNCTION("""COMPUTED_VALUE"""),"有")</f>
        <v>有</v>
      </c>
      <c r="Y1002" s="8" t="str">
        <f>IFERROR(__xludf.DUMMYFUNCTION("""COMPUTED_VALUE"""),"2024/2/23まで1巻無料")</f>
        <v>2024/2/23まで1巻無料</v>
      </c>
      <c r="Z1002" s="7"/>
      <c r="AA1002" s="7"/>
      <c r="AB1002" s="7"/>
    </row>
    <row r="1003" ht="15.75" customHeight="1">
      <c r="A1003" s="26">
        <f>IFERROR(__xludf.DUMMYFUNCTION("""COMPUTED_VALUE"""),2765.0)</f>
        <v>2765</v>
      </c>
      <c r="B1003" s="22" t="str">
        <f>IFERROR(__xludf.DUMMYFUNCTION("""COMPUTED_VALUE"""),"確定")</f>
        <v>確定</v>
      </c>
      <c r="C1003" s="28">
        <f>IFERROR(__xludf.DUMMYFUNCTION("""COMPUTED_VALUE"""),45279.0)</f>
        <v>45279</v>
      </c>
      <c r="D1003" s="28">
        <f>IFERROR(__xludf.DUMMYFUNCTION("""COMPUTED_VALUE"""),45279.0)</f>
        <v>45279</v>
      </c>
      <c r="E1003" s="26">
        <f>IFERROR(__xludf.DUMMYFUNCTION("""COMPUTED_VALUE"""),277980.0)</f>
        <v>277980</v>
      </c>
      <c r="F1003" s="22" t="str">
        <f>IFERROR(__xludf.DUMMYFUNCTION("""COMPUTED_VALUE"""),"あくまのけんぞく")</f>
        <v>あくまのけんぞく</v>
      </c>
      <c r="G1003" s="20">
        <f>IFERROR(__xludf.DUMMYFUNCTION("""COMPUTED_VALUE"""),1.0)</f>
        <v>1</v>
      </c>
      <c r="H1003" s="22" t="str">
        <f>IFERROR(__xludf.DUMMYFUNCTION("""COMPUTED_VALUE"""),"おつぼくのみ")</f>
        <v>おつぼくのみ</v>
      </c>
      <c r="I1003" s="22" t="str">
        <f>IFERROR(__xludf.DUMMYFUNCTION("""COMPUTED_VALUE"""),"BL")</f>
        <v>BL</v>
      </c>
      <c r="J1003" s="22"/>
      <c r="K1003" s="22"/>
      <c r="L1003" s="22" t="str">
        <f>IFERROR(__xludf.DUMMYFUNCTION("""COMPUTED_VALUE"""),"ソルマーレ編集部")</f>
        <v>ソルマーレ編集部</v>
      </c>
      <c r="M1003" s="21">
        <f>IFERROR(__xludf.DUMMYFUNCTION("""COMPUTED_VALUE"""),45318.0)</f>
        <v>45318</v>
      </c>
      <c r="N1003" s="33">
        <f>IFERROR(__xludf.DUMMYFUNCTION("""COMPUTED_VALUE"""),45371.0)</f>
        <v>45371</v>
      </c>
      <c r="O1003" s="20"/>
      <c r="P1003" s="29" t="str">
        <f>IFERROR(__xludf.DUMMYFUNCTION("""COMPUTED_VALUE"""),"可")</f>
        <v>可</v>
      </c>
      <c r="Q1003" s="30" t="str">
        <f>IFERROR(__xludf.DUMMYFUNCTION("""COMPUTED_VALUE"""),"※正式タイトル下記の通りです（12/19）&lt;BR&gt;＝＝＝&lt;BR&gt;あくまのけんぞく&lt;BR&gt;＝＝＝&lt;BR&gt;※読み切り作品のため1巻のみですが出稿お願いします")</f>
        <v>※正式タイトル下記の通りです（12/19）&lt;BR&gt;＝＝＝&lt;BR&gt;あくまのけんぞく&lt;BR&gt;＝＝＝&lt;BR&gt;※読み切り作品のため1巻のみですが出稿お願いします</v>
      </c>
      <c r="R1003" s="22"/>
      <c r="S1003" s="22" t="str">
        <f>IFERROR(__xludf.DUMMYFUNCTION("""COMPUTED_VALUE"""),"20231219_ソルマーレ編集部_あくまのけんぞく")</f>
        <v>20231219_ソルマーレ編集部_あくまのけんぞく</v>
      </c>
      <c r="T1003" s="22" t="str">
        <f>IFERROR(__xludf.DUMMYFUNCTION("""COMPUTED_VALUE"""),"格納済み")</f>
        <v>格納済み</v>
      </c>
      <c r="U1003" s="15" t="str">
        <f>IFERROR(__xludf.DUMMYFUNCTION("""COMPUTED_VALUE"""),"Ⓒ おつぼくのみ/シーモアコミックス")</f>
        <v>Ⓒ おつぼくのみ/シーモアコミックス</v>
      </c>
      <c r="V1003" s="8" t="str">
        <f>IFERROR(__xludf.DUMMYFUNCTION("""COMPUTED_VALUE"""),"悪魔と人間が共存する世界。かつてあった対立はないものの、悪魔が持つ能力は凄まじく、様々な魔法を使うことができ、人間を眷属にすることもできる。いわば生物界のヒエラルキーの頂点だ。そんな悪魔・千暁(ちあき)の眷属になった俺は「魔力の補充」という理由で毎晩、体液を摂取されている。あんなところやこんなところを舐められて…。単なる主従関係である俺たちに、この淫らな行為の意味なんてなくて当然のはずなのに…どうして胸が苦しくなるんだ――…【フィカス】")</f>
        <v>悪魔と人間が共存する世界。かつてあった対立はないものの、悪魔が持つ能力は凄まじく、様々な魔法を使うことができ、人間を眷属にすることもできる。いわば生物界のヒエラルキーの頂点だ。そんな悪魔・千暁(ちあき)の眷属になった俺は「魔力の補充」という理由で毎晩、体液を摂取されている。あんなところやこんなところを舐められて…。単なる主従関係である俺たちに、この淫らな行為の意味なんてなくて当然のはずなのに…どうして胸が苦しくなるんだ――…【フィカス】</v>
      </c>
      <c r="W1003" s="14"/>
      <c r="X1003" s="14" t="str">
        <f>IFERROR(__xludf.DUMMYFUNCTION("""COMPUTED_VALUE"""),"有")</f>
        <v>有</v>
      </c>
      <c r="Y1003" s="8" t="str">
        <f>IFERROR(__xludf.DUMMYFUNCTION("""COMPUTED_VALUE"""),"P12まで")</f>
        <v>P12まで</v>
      </c>
      <c r="Z1003" s="7"/>
      <c r="AA1003" s="7"/>
      <c r="AB1003" s="7"/>
    </row>
    <row r="1004" ht="86.25" customHeight="1">
      <c r="A1004" s="26">
        <f>IFERROR(__xludf.DUMMYFUNCTION("""COMPUTED_VALUE"""),2766.0)</f>
        <v>2766</v>
      </c>
      <c r="B1004" s="22" t="str">
        <f>IFERROR(__xludf.DUMMYFUNCTION("""COMPUTED_VALUE"""),"確定")</f>
        <v>確定</v>
      </c>
      <c r="C1004" s="28">
        <f>IFERROR(__xludf.DUMMYFUNCTION("""COMPUTED_VALUE"""),45279.0)</f>
        <v>45279</v>
      </c>
      <c r="D1004" s="28">
        <f>IFERROR(__xludf.DUMMYFUNCTION("""COMPUTED_VALUE"""),45279.0)</f>
        <v>45279</v>
      </c>
      <c r="E1004" s="26">
        <f>IFERROR(__xludf.DUMMYFUNCTION("""COMPUTED_VALUE"""),267253.0)</f>
        <v>267253</v>
      </c>
      <c r="F1004" s="22" t="str">
        <f>IFERROR(__xludf.DUMMYFUNCTION("""COMPUTED_VALUE"""),"溺愛社長のメイク指南")</f>
        <v>溺愛社長のメイク指南</v>
      </c>
      <c r="G1004" s="20" t="str">
        <f>IFERROR(__xludf.DUMMYFUNCTION("""COMPUTED_VALUE"""),"1～3")</f>
        <v>1～3</v>
      </c>
      <c r="H1004" s="22" t="str">
        <f>IFERROR(__xludf.DUMMYFUNCTION("""COMPUTED_VALUE"""),"酒井さゆり,ねこまたみさ")</f>
        <v>酒井さゆり,ねこまたみさ</v>
      </c>
      <c r="I1004" s="14" t="str">
        <f>IFERROR(__xludf.DUMMYFUNCTION("""COMPUTED_VALUE"""),"女性")</f>
        <v>女性</v>
      </c>
      <c r="J1004" s="22"/>
      <c r="K1004" s="22"/>
      <c r="L1004" s="22" t="str">
        <f>IFERROR(__xludf.DUMMYFUNCTION("""COMPUTED_VALUE"""),"シーモアコミックス")</f>
        <v>シーモアコミックス</v>
      </c>
      <c r="M1004" s="23">
        <f>IFERROR(__xludf.DUMMYFUNCTION("""COMPUTED_VALUE"""),45296.0)</f>
        <v>45296</v>
      </c>
      <c r="N1004" s="33">
        <f>IFERROR(__xludf.DUMMYFUNCTION("""COMPUTED_VALUE"""),45449.0)</f>
        <v>45449</v>
      </c>
      <c r="O1004" s="20"/>
      <c r="P1004" s="32" t="str">
        <f>IFERROR(__xludf.DUMMYFUNCTION("""COMPUTED_VALUE"""),"可")</f>
        <v>可</v>
      </c>
      <c r="Q1004" s="30"/>
      <c r="R1004" s="22"/>
      <c r="S1004" s="22" t="str">
        <f>IFERROR(__xludf.DUMMYFUNCTION("""COMPUTED_VALUE"""),"20231219_シーモアコミックス_溺愛社長のメイク指南")</f>
        <v>20231219_シーモアコミックス_溺愛社長のメイク指南</v>
      </c>
      <c r="T1004" s="22" t="str">
        <f>IFERROR(__xludf.DUMMYFUNCTION("""COMPUTED_VALUE"""),"格納済み")</f>
        <v>格納済み</v>
      </c>
      <c r="U1004" s="15" t="str">
        <f>IFERROR(__xludf.DUMMYFUNCTION("""COMPUTED_VALUE"""),"© 酒井さゆり/ねこまたみさ/シーモアコミックス")</f>
        <v>© 酒井さゆり/ねこまたみさ/シーモアコミックス</v>
      </c>
      <c r="V1004" s="8" t="str">
        <f>IFERROR(__xludf.DUMMYFUNCTION("""COMPUTED_VALUE"""),"デパコスブランド「ミヤビ」の美容部員であるさおりは、小さな頃からメイクが大好き。色んなお客様にメイクの良さを伝えたいと一生懸命働いていたある日、店に超絶美形な男性が現れて――？メイク愛溢れる溺愛ストーリー！")</f>
        <v>デパコスブランド「ミヤビ」の美容部員であるさおりは、小さな頃からメイクが大好き。色んなお客様にメイクの良さを伝えたいと一生懸命働いていたある日、店に超絶美形な男性が現れて――？メイク愛溢れる溺愛ストーリー！</v>
      </c>
      <c r="W1004" s="14"/>
      <c r="X1004" s="14" t="str">
        <f>IFERROR(__xludf.DUMMYFUNCTION("""COMPUTED_VALUE"""),"有")</f>
        <v>有</v>
      </c>
      <c r="Y1004" s="8" t="str">
        <f>IFERROR(__xludf.DUMMYFUNCTION("""COMPUTED_VALUE"""),"P11まで")</f>
        <v>P11まで</v>
      </c>
      <c r="Z1004" s="7"/>
      <c r="AA1004" s="7"/>
      <c r="AB1004" s="7"/>
    </row>
    <row r="1005" ht="15.75" customHeight="1">
      <c r="A1005" s="26">
        <f>IFERROR(__xludf.DUMMYFUNCTION("""COMPUTED_VALUE"""),2458.0)</f>
        <v>2458</v>
      </c>
      <c r="B1005" s="22" t="str">
        <f>IFERROR(__xludf.DUMMYFUNCTION("""COMPUTED_VALUE"""),"確定")</f>
        <v>確定</v>
      </c>
      <c r="C1005" s="28">
        <f>IFERROR(__xludf.DUMMYFUNCTION("""COMPUTED_VALUE"""),45202.0)</f>
        <v>45202</v>
      </c>
      <c r="D1005" s="28">
        <f>IFERROR(__xludf.DUMMYFUNCTION("""COMPUTED_VALUE"""),45286.0)</f>
        <v>45286</v>
      </c>
      <c r="E1005" s="31">
        <f>IFERROR(__xludf.DUMMYFUNCTION("""COMPUTED_VALUE"""),284885.0)</f>
        <v>284885</v>
      </c>
      <c r="F1005" s="22" t="str">
        <f>IFERROR(__xludf.DUMMYFUNCTION("""COMPUTED_VALUE"""),"宝くじで10億円当たったのでモラハラ夫と離婚します")</f>
        <v>宝くじで10億円当たったのでモラハラ夫と離婚します</v>
      </c>
      <c r="G1005" s="16" t="str">
        <f>IFERROR(__xludf.DUMMYFUNCTION("""COMPUTED_VALUE"""),"1～5")</f>
        <v>1～5</v>
      </c>
      <c r="H1005" s="22" t="str">
        <f>IFERROR(__xludf.DUMMYFUNCTION("""COMPUTED_VALUE"""),"エヌシ┴餅西うまし┴持永るい")</f>
        <v>エヌシ┴餅西うまし┴持永るい</v>
      </c>
      <c r="I1005" s="22" t="str">
        <f>IFERROR(__xludf.DUMMYFUNCTION("""COMPUTED_VALUE"""),"女性")</f>
        <v>女性</v>
      </c>
      <c r="J1005" s="22"/>
      <c r="K1005" s="22"/>
      <c r="L1005" s="22" t="str">
        <f>IFERROR(__xludf.DUMMYFUNCTION("""COMPUTED_VALUE"""),"小学館")</f>
        <v>小学館</v>
      </c>
      <c r="M1005" s="21">
        <f>IFERROR(__xludf.DUMMYFUNCTION("""COMPUTED_VALUE"""),45312.0)</f>
        <v>45312</v>
      </c>
      <c r="N1005" s="33">
        <f>IFERROR(__xludf.DUMMYFUNCTION("""COMPUTED_VALUE"""),45493.0)</f>
        <v>45493</v>
      </c>
      <c r="O1005" s="20"/>
      <c r="P1005" s="29" t="str">
        <f>IFERROR(__xludf.DUMMYFUNCTION("""COMPUTED_VALUE"""),"可")</f>
        <v>可</v>
      </c>
      <c r="Q1005" s="30" t="str">
        <f>IFERROR(__xludf.DUMMYFUNCTION("""COMPUTED_VALUE"""),"広告コミットOK(10/12)")</f>
        <v>広告コミットOK(10/12)</v>
      </c>
      <c r="R1005" s="22"/>
      <c r="S1005" s="22" t="str">
        <f>IFERROR(__xludf.DUMMYFUNCTION("""COMPUTED_VALUE"""),"20231225_小学館_宝くじで10億円当たったのでモラハラ夫と離婚します")</f>
        <v>20231225_小学館_宝くじで10億円当たったのでモラハラ夫と離婚します</v>
      </c>
      <c r="T1005" s="22" t="str">
        <f>IFERROR(__xludf.DUMMYFUNCTION("""COMPUTED_VALUE"""),"格納済み")</f>
        <v>格納済み</v>
      </c>
      <c r="U1005" s="15" t="str">
        <f>IFERROR(__xludf.DUMMYFUNCTION("""COMPUTED_VALUE"""),"(C)STUDIO SEED / 小学館")</f>
        <v>(C)STUDIO SEED / 小学館</v>
      </c>
      <c r="V1005" s="8" t="str">
        <f>IFERROR(__xludf.DUMMYFUNCTION("""COMPUTED_VALUE"""),"「これって…10億円、当たってる…？」
雪の舞い散る田舎町に暮らす多香子は、無職の夫や義母からのモラハラに耐えながら、仕事と家事と義父の介護をこなす毎日で、心身ともに疲れ果てていた。
しかし”1枚の宝くじ”が、運命を大きく変えることになって…！？
多香子は「10億円」を手に入れて、モラハラ夫の束縛を振り切り、娘と一緒に新たな幸せへと歩み出せるのか！？")</f>
        <v>「これって…10億円、当たってる…？」
雪の舞い散る田舎町に暮らす多香子は、無職の夫や義母からのモラハラに耐えながら、仕事と家事と義父の介護をこなす毎日で、心身ともに疲れ果てていた。
しかし”1枚の宝くじ”が、運命を大きく変えることになって…！？
多香子は「10億円」を手に入れて、モラハラ夫の束縛を振り切り、娘と一緒に新たな幸せへと歩み出せるのか！？</v>
      </c>
      <c r="W1005" s="14"/>
      <c r="X1005" s="14" t="str">
        <f>IFERROR(__xludf.DUMMYFUNCTION("""COMPUTED_VALUE"""),"有")</f>
        <v>有</v>
      </c>
      <c r="Y1005" s="8" t="str">
        <f>IFERROR(__xludf.DUMMYFUNCTION("""COMPUTED_VALUE"""),"1巻無料")</f>
        <v>1巻無料</v>
      </c>
      <c r="Z1005" s="7"/>
      <c r="AA1005" s="7"/>
      <c r="AB1005" s="7"/>
    </row>
    <row r="1006" ht="15.75" customHeight="1">
      <c r="A1006" s="26">
        <f>IFERROR(__xludf.DUMMYFUNCTION("""COMPUTED_VALUE"""),2665.0)</f>
        <v>2665</v>
      </c>
      <c r="B1006" s="22" t="str">
        <f>IFERROR(__xludf.DUMMYFUNCTION("""COMPUTED_VALUE"""),"確定")</f>
        <v>確定</v>
      </c>
      <c r="C1006" s="28">
        <f>IFERROR(__xludf.DUMMYFUNCTION("""COMPUTED_VALUE"""),45250.0)</f>
        <v>45250</v>
      </c>
      <c r="D1006" s="28">
        <f>IFERROR(__xludf.DUMMYFUNCTION("""COMPUTED_VALUE"""),45286.0)</f>
        <v>45286</v>
      </c>
      <c r="E1006" s="31">
        <f>IFERROR(__xludf.DUMMYFUNCTION("""COMPUTED_VALUE"""),285017.0)</f>
        <v>285017</v>
      </c>
      <c r="F1006" s="22" t="str">
        <f>IFERROR(__xludf.DUMMYFUNCTION("""COMPUTED_VALUE"""),"嫁ぎ先は土地神さま -一目惚れから始まる溺愛エッチで誰のものかわからされました-")</f>
        <v>嫁ぎ先は土地神さま -一目惚れから始まる溺愛エッチで誰のものかわからされました-</v>
      </c>
      <c r="G1006" s="11" t="str">
        <f>IFERROR(__xludf.DUMMYFUNCTION("""COMPUTED_VALUE"""),"1～2")</f>
        <v>1～2</v>
      </c>
      <c r="H1006" s="22" t="str">
        <f>IFERROR(__xludf.DUMMYFUNCTION("""COMPUTED_VALUE"""),"やまなし娘。")</f>
        <v>やまなし娘。</v>
      </c>
      <c r="I1006" s="22" t="str">
        <f>IFERROR(__xludf.DUMMYFUNCTION("""COMPUTED_VALUE"""),"オトナ")</f>
        <v>オトナ</v>
      </c>
      <c r="J1006" s="22"/>
      <c r="K1006" s="22"/>
      <c r="L1006" s="22" t="str">
        <f>IFERROR(__xludf.DUMMYFUNCTION("""COMPUTED_VALUE"""),"ナイトコミック")</f>
        <v>ナイトコミック</v>
      </c>
      <c r="M1006" s="23">
        <f>IFERROR(__xludf.DUMMYFUNCTION("""COMPUTED_VALUE"""),45324.0)</f>
        <v>45324</v>
      </c>
      <c r="N1006" s="33">
        <f>IFERROR(__xludf.DUMMYFUNCTION("""COMPUTED_VALUE"""),45386.0)</f>
        <v>45386</v>
      </c>
      <c r="O1006" s="20"/>
      <c r="P1006" s="29" t="str">
        <f>IFERROR(__xludf.DUMMYFUNCTION("""COMPUTED_VALUE"""),"可")</f>
        <v>可</v>
      </c>
      <c r="Q1006" s="30" t="str">
        <f>IFERROR(__xludf.DUMMYFUNCTION("""COMPUTED_VALUE"""),"広告コミットOK(12/1)")</f>
        <v>広告コミットOK(12/1)</v>
      </c>
      <c r="R1006" s="22"/>
      <c r="S1006" s="22" t="str">
        <f>IFERROR(__xludf.DUMMYFUNCTION("""COMPUTED_VALUE"""),"20231225_ナイトコミック_嫁ぎ先は土地神さま -一目惚れから始まる溺愛エッチで誰のものかわからされました-")</f>
        <v>20231225_ナイトコミック_嫁ぎ先は土地神さま -一目惚れから始まる溺愛エッチで誰のものかわからされました-</v>
      </c>
      <c r="T1006" s="22" t="str">
        <f>IFERROR(__xludf.DUMMYFUNCTION("""COMPUTED_VALUE"""),"格納済み")</f>
        <v>格納済み</v>
      </c>
      <c r="U1006" s="15" t="str">
        <f>IFERROR(__xludf.DUMMYFUNCTION("""COMPUTED_VALUE"""),"©やまなし娘。")</f>
        <v>©やまなし娘。</v>
      </c>
      <c r="V1006" s="8" t="str">
        <f>IFERROR(__xludf.DUMMYFUNCTION("""COMPUTED_VALUE"""),"高く険しい山の奥深く、そこには土地を治める神が住まう。
数年に一度、神へ若い娘が捧げられる里。
新たに贄となった「梢」は、恐れながら社にあいさつすると、
そこから出てきたのは美形の男で、その場で互いに一目惚れ！？
丁寧にもてはやされた後、契りと称してＨのお誘いを受けるも、
梢の身体には快感を得られないという秘密があり…。
「儂だけがお主に快楽を与えられる」と優しくキスされて…！？")</f>
        <v>高く険しい山の奥深く、そこには土地を治める神が住まう。
数年に一度、神へ若い娘が捧げられる里。
新たに贄となった「梢」は、恐れながら社にあいさつすると、
そこから出てきたのは美形の男で、その場で互いに一目惚れ！？
丁寧にもてはやされた後、契りと称してＨのお誘いを受けるも、
梢の身体には快感を得られないという秘密があり…。
「儂だけがお主に快楽を与えられる」と優しくキスされて…！？</v>
      </c>
      <c r="W1006" s="14"/>
      <c r="X1006" s="14" t="str">
        <f>IFERROR(__xludf.DUMMYFUNCTION("""COMPUTED_VALUE"""),"有")</f>
        <v>有</v>
      </c>
      <c r="Y1006" s="8" t="str">
        <f>IFERROR(__xludf.DUMMYFUNCTION("""COMPUTED_VALUE"""),"2024/4/4まで立ち読み増量
1巻P15まで
2巻P12まで")</f>
        <v>2024/4/4まで立ち読み増量
1巻P15まで
2巻P12まで</v>
      </c>
      <c r="Z1006" s="7"/>
      <c r="AA1006" s="7"/>
      <c r="AB1006" s="7"/>
    </row>
    <row r="1007" ht="15.75" customHeight="1">
      <c r="A1007" s="26">
        <f>IFERROR(__xludf.DUMMYFUNCTION("""COMPUTED_VALUE"""),2666.0)</f>
        <v>2666</v>
      </c>
      <c r="B1007" s="22" t="str">
        <f>IFERROR(__xludf.DUMMYFUNCTION("""COMPUTED_VALUE"""),"確定")</f>
        <v>確定</v>
      </c>
      <c r="C1007" s="28">
        <f>IFERROR(__xludf.DUMMYFUNCTION("""COMPUTED_VALUE"""),45250.0)</f>
        <v>45250</v>
      </c>
      <c r="D1007" s="28">
        <f>IFERROR(__xludf.DUMMYFUNCTION("""COMPUTED_VALUE"""),45286.0)</f>
        <v>45286</v>
      </c>
      <c r="E1007" s="31">
        <f>IFERROR(__xludf.DUMMYFUNCTION("""COMPUTED_VALUE"""),284432.0)</f>
        <v>284432</v>
      </c>
      <c r="F1007" s="22" t="str">
        <f>IFERROR(__xludf.DUMMYFUNCTION("""COMPUTED_VALUE"""),"催眠術なら巨乳JKに何でもできるって本当ですか？")</f>
        <v>催眠術なら巨乳JKに何でもできるって本当ですか？</v>
      </c>
      <c r="G1007" s="11" t="str">
        <f>IFERROR(__xludf.DUMMYFUNCTION("""COMPUTED_VALUE"""),"1～2")</f>
        <v>1～2</v>
      </c>
      <c r="H1007" s="22" t="str">
        <f>IFERROR(__xludf.DUMMYFUNCTION("""COMPUTED_VALUE"""),"夢ミガチ")</f>
        <v>夢ミガチ</v>
      </c>
      <c r="I1007" s="22" t="str">
        <f>IFERROR(__xludf.DUMMYFUNCTION("""COMPUTED_VALUE"""),"オトナ")</f>
        <v>オトナ</v>
      </c>
      <c r="J1007" s="22"/>
      <c r="K1007" s="22"/>
      <c r="L1007" s="22" t="str">
        <f>IFERROR(__xludf.DUMMYFUNCTION("""COMPUTED_VALUE"""),"ナイトコミック")</f>
        <v>ナイトコミック</v>
      </c>
      <c r="M1007" s="23">
        <f>IFERROR(__xludf.DUMMYFUNCTION("""COMPUTED_VALUE"""),45310.0)</f>
        <v>45310</v>
      </c>
      <c r="N1007" s="33">
        <f>IFERROR(__xludf.DUMMYFUNCTION("""COMPUTED_VALUE"""),45372.0)</f>
        <v>45372</v>
      </c>
      <c r="O1007" s="20"/>
      <c r="P1007" s="29" t="str">
        <f>IFERROR(__xludf.DUMMYFUNCTION("""COMPUTED_VALUE"""),"可")</f>
        <v>可</v>
      </c>
      <c r="Q1007" s="30" t="str">
        <f>IFERROR(__xludf.DUMMYFUNCTION("""COMPUTED_VALUE"""),"広告コミットOK(12/1)")</f>
        <v>広告コミットOK(12/1)</v>
      </c>
      <c r="R1007" s="22"/>
      <c r="S1007" s="22" t="str">
        <f>IFERROR(__xludf.DUMMYFUNCTION("""COMPUTED_VALUE"""),"20231225_ナイトコミック_催眠術なら巨乳JKに何でもできるって本当ですか？")</f>
        <v>20231225_ナイトコミック_催眠術なら巨乳JKに何でもできるって本当ですか？</v>
      </c>
      <c r="T1007" s="22" t="str">
        <f>IFERROR(__xludf.DUMMYFUNCTION("""COMPUTED_VALUE"""),"格納済み")</f>
        <v>格納済み</v>
      </c>
      <c r="U1007" s="15" t="str">
        <f>IFERROR(__xludf.DUMMYFUNCTION("""COMPUTED_VALUE"""),"©夢ミガチ")</f>
        <v>©夢ミガチ</v>
      </c>
      <c r="V1007" s="8" t="str">
        <f>IFERROR(__xludf.DUMMYFUNCTION("""COMPUTED_VALUE"""),"家が隣同士の弘樹と弥生は幼馴染。子供のころから変わらず仲の良い二人は、催眠術にチャレンジする。試行錯誤の結果「指を鳴らすと命令を何でも実行してしまう」催眠術にかかった弥生。弘樹はついその催眠術を解除することなく、弥生を家に帰してしまった…。さらに悪友の雅也にそのことを話してしまう弘樹。雅也は、ものをためしと弥生を社会準備室に呼び出して、彼女にエッチな命令をする。幼馴染二人の関係が変わってしまったのは、その瞬間だった……。")</f>
        <v>家が隣同士の弘樹と弥生は幼馴染。子供のころから変わらず仲の良い二人は、催眠術にチャレンジする。試行錯誤の結果「指を鳴らすと命令を何でも実行してしまう」催眠術にかかった弥生。弘樹はついその催眠術を解除することなく、弥生を家に帰してしまった…。さらに悪友の雅也にそのことを話してしまう弘樹。雅也は、ものをためしと弥生を社会準備室に呼び出して、彼女にエッチな命令をする。幼馴染二人の関係が変わってしまったのは、その瞬間だった……。</v>
      </c>
      <c r="W1007" s="14"/>
      <c r="X1007" s="14" t="str">
        <f>IFERROR(__xludf.DUMMYFUNCTION("""COMPUTED_VALUE"""),"有")</f>
        <v>有</v>
      </c>
      <c r="Y1007" s="8" t="str">
        <f>IFERROR(__xludf.DUMMYFUNCTION("""COMPUTED_VALUE"""),"2024/3/21まで立ち読み増量
P21まで")</f>
        <v>2024/3/21まで立ち読み増量
P21まで</v>
      </c>
      <c r="Z1007" s="7"/>
      <c r="AA1007" s="7"/>
      <c r="AB1007" s="7"/>
    </row>
    <row r="1008" ht="15.75" customHeight="1">
      <c r="A1008" s="26">
        <f>IFERROR(__xludf.DUMMYFUNCTION("""COMPUTED_VALUE"""),2667.0)</f>
        <v>2667</v>
      </c>
      <c r="B1008" s="22" t="str">
        <f>IFERROR(__xludf.DUMMYFUNCTION("""COMPUTED_VALUE"""),"確定")</f>
        <v>確定</v>
      </c>
      <c r="C1008" s="28">
        <f>IFERROR(__xludf.DUMMYFUNCTION("""COMPUTED_VALUE"""),45250.0)</f>
        <v>45250</v>
      </c>
      <c r="D1008" s="28">
        <f>IFERROR(__xludf.DUMMYFUNCTION("""COMPUTED_VALUE"""),45286.0)</f>
        <v>45286</v>
      </c>
      <c r="E1008" s="31">
        <f>IFERROR(__xludf.DUMMYFUNCTION("""COMPUTED_VALUE"""),285125.0)</f>
        <v>285125</v>
      </c>
      <c r="F1008" s="22" t="str">
        <f>IFERROR(__xludf.DUMMYFUNCTION("""COMPUTED_VALUE"""),"今日の天気は雨時々家出JK")</f>
        <v>今日の天気は雨時々家出JK</v>
      </c>
      <c r="G1008" s="20">
        <f>IFERROR(__xludf.DUMMYFUNCTION("""COMPUTED_VALUE"""),1.0)</f>
        <v>1</v>
      </c>
      <c r="H1008" s="22" t="str">
        <f>IFERROR(__xludf.DUMMYFUNCTION("""COMPUTED_VALUE"""),"夢ミガチ")</f>
        <v>夢ミガチ</v>
      </c>
      <c r="I1008" s="22" t="str">
        <f>IFERROR(__xludf.DUMMYFUNCTION("""COMPUTED_VALUE"""),"オトナ")</f>
        <v>オトナ</v>
      </c>
      <c r="J1008" s="22"/>
      <c r="K1008" s="22"/>
      <c r="L1008" s="22" t="str">
        <f>IFERROR(__xludf.DUMMYFUNCTION("""COMPUTED_VALUE"""),"ナイトコミック")</f>
        <v>ナイトコミック</v>
      </c>
      <c r="M1008" s="23">
        <f>IFERROR(__xludf.DUMMYFUNCTION("""COMPUTED_VALUE"""),45324.0)</f>
        <v>45324</v>
      </c>
      <c r="N1008" s="33">
        <f>IFERROR(__xludf.DUMMYFUNCTION("""COMPUTED_VALUE"""),45386.0)</f>
        <v>45386</v>
      </c>
      <c r="O1008" s="20"/>
      <c r="P1008" s="29" t="str">
        <f>IFERROR(__xludf.DUMMYFUNCTION("""COMPUTED_VALUE"""),"可")</f>
        <v>可</v>
      </c>
      <c r="Q1008" s="30" t="str">
        <f>IFERROR(__xludf.DUMMYFUNCTION("""COMPUTED_VALUE"""),"広告コミットOK(12/1)")</f>
        <v>広告コミットOK(12/1)</v>
      </c>
      <c r="R1008" s="22"/>
      <c r="S1008" s="22" t="str">
        <f>IFERROR(__xludf.DUMMYFUNCTION("""COMPUTED_VALUE"""),"20231225_ナイトコミック_今日の天気は雨時々家出JK")</f>
        <v>20231225_ナイトコミック_今日の天気は雨時々家出JK</v>
      </c>
      <c r="T1008" s="22" t="str">
        <f>IFERROR(__xludf.DUMMYFUNCTION("""COMPUTED_VALUE"""),"格納済み")</f>
        <v>格納済み</v>
      </c>
      <c r="U1008" s="15" t="str">
        <f>IFERROR(__xludf.DUMMYFUNCTION("""COMPUTED_VALUE"""),"©夢ミガチ")</f>
        <v>©夢ミガチ</v>
      </c>
      <c r="V1008" s="8" t="str">
        <f>IFERROR(__xludf.DUMMYFUNCTION("""COMPUTED_VALUE"""),"残業続きの主人公は、金曜の夜も遅くまで働いていた。最寄り駅についたのは終電も終わったころ。雨の中家に帰ろうとすると、傘もささずに歩いている少女を見かける。そんな彼女を放っておくこともできない主人公は彼女に傘を貸そうとするが、何も言わぬ少女に引き留められ、家に連れ帰ってしまう。少女が風邪を引かぬよう、急ぎ風呂に入れた主人公だが、風呂上りの彼女はタオルだけを身に着け主人公を誘惑する。「お礼をしなきゃと思って……」そんな彼女にパジャマを押し付け、一人ソファで寝た主人公だったが……。")</f>
        <v>残業続きの主人公は、金曜の夜も遅くまで働いていた。最寄り駅についたのは終電も終わったころ。雨の中家に帰ろうとすると、傘もささずに歩いている少女を見かける。そんな彼女を放っておくこともできない主人公は彼女に傘を貸そうとするが、何も言わぬ少女に引き留められ、家に連れ帰ってしまう。少女が風邪を引かぬよう、急ぎ風呂に入れた主人公だが、風呂上りの彼女はタオルだけを身に着け主人公を誘惑する。「お礼をしなきゃと思って……」そんな彼女にパジャマを押し付け、一人ソファで寝た主人公だったが……。</v>
      </c>
      <c r="W1008" s="14"/>
      <c r="X1008" s="14" t="str">
        <f>IFERROR(__xludf.DUMMYFUNCTION("""COMPUTED_VALUE"""),"有")</f>
        <v>有</v>
      </c>
      <c r="Y1008" s="8" t="str">
        <f>IFERROR(__xludf.DUMMYFUNCTION("""COMPUTED_VALUE"""),"P11まで")</f>
        <v>P11まで</v>
      </c>
      <c r="Z1008" s="7"/>
      <c r="AA1008" s="7"/>
      <c r="AB1008" s="7"/>
    </row>
    <row r="1009" ht="15.75" customHeight="1">
      <c r="A1009" s="26">
        <f>IFERROR(__xludf.DUMMYFUNCTION("""COMPUTED_VALUE"""),2723.0)</f>
        <v>2723</v>
      </c>
      <c r="B1009" s="22" t="str">
        <f>IFERROR(__xludf.DUMMYFUNCTION("""COMPUTED_VALUE"""),"確定")</f>
        <v>確定</v>
      </c>
      <c r="C1009" s="28">
        <f>IFERROR(__xludf.DUMMYFUNCTION("""COMPUTED_VALUE"""),45264.0)</f>
        <v>45264</v>
      </c>
      <c r="D1009" s="28">
        <f>IFERROR(__xludf.DUMMYFUNCTION("""COMPUTED_VALUE"""),45286.0)</f>
        <v>45286</v>
      </c>
      <c r="E1009" s="31">
        <f>IFERROR(__xludf.DUMMYFUNCTION("""COMPUTED_VALUE"""),284957.0)</f>
        <v>284957</v>
      </c>
      <c r="F1009" s="22" t="str">
        <f>IFERROR(__xludf.DUMMYFUNCTION("""COMPUTED_VALUE"""),"交差勤務 ーバイト先の店長と男女ふたり屋根の下ー")</f>
        <v>交差勤務 ーバイト先の店長と男女ふたり屋根の下ー</v>
      </c>
      <c r="G1009" s="16" t="str">
        <f>IFERROR(__xludf.DUMMYFUNCTION("""COMPUTED_VALUE"""),"1～3")</f>
        <v>1～3</v>
      </c>
      <c r="H1009" s="22" t="str">
        <f>IFERROR(__xludf.DUMMYFUNCTION("""COMPUTED_VALUE"""),"崖お")</f>
        <v>崖お</v>
      </c>
      <c r="I1009" s="22" t="str">
        <f>IFERROR(__xludf.DUMMYFUNCTION("""COMPUTED_VALUE"""),"オトナ")</f>
        <v>オトナ</v>
      </c>
      <c r="J1009" s="22"/>
      <c r="K1009" s="22"/>
      <c r="L1009" s="22" t="str">
        <f>IFERROR(__xludf.DUMMYFUNCTION("""COMPUTED_VALUE"""),"ナイトコミック")</f>
        <v>ナイトコミック</v>
      </c>
      <c r="M1009" s="23">
        <f>IFERROR(__xludf.DUMMYFUNCTION("""COMPUTED_VALUE"""),45317.0)</f>
        <v>45317</v>
      </c>
      <c r="N1009" s="33">
        <f>IFERROR(__xludf.DUMMYFUNCTION("""COMPUTED_VALUE"""),45372.0)</f>
        <v>45372</v>
      </c>
      <c r="O1009" s="20"/>
      <c r="P1009" s="29" t="str">
        <f>IFERROR(__xludf.DUMMYFUNCTION("""COMPUTED_VALUE"""),"可")</f>
        <v>可</v>
      </c>
      <c r="Q1009" s="30" t="str">
        <f>IFERROR(__xludf.DUMMYFUNCTION("""COMPUTED_VALUE"""),"広告コミットOK(12/8)")</f>
        <v>広告コミットOK(12/8)</v>
      </c>
      <c r="R1009" s="22"/>
      <c r="S1009" s="22" t="str">
        <f>IFERROR(__xludf.DUMMYFUNCTION("""COMPUTED_VALUE"""),"20231225_ナイトコミック_交差勤務 -バイト先の店長と男女ふたり屋根の下-")</f>
        <v>20231225_ナイトコミック_交差勤務 -バイト先の店長と男女ふたり屋根の下-</v>
      </c>
      <c r="T1009" s="22" t="str">
        <f>IFERROR(__xludf.DUMMYFUNCTION("""COMPUTED_VALUE"""),"格納済み")</f>
        <v>格納済み</v>
      </c>
      <c r="U1009" s="15" t="str">
        <f>IFERROR(__xludf.DUMMYFUNCTION("""COMPUTED_VALUE"""),"©崖お")</f>
        <v>©崖お</v>
      </c>
      <c r="V1009" s="8" t="str">
        <f>IFERROR(__xludf.DUMMYFUNCTION("""COMPUTED_VALUE"""),"虎冢コウタ（こつかこうた）は新しく飲食店でバイトを始めた。パワハラ店長に四苦八苦する日々だったが、
新しく美人の店長が仕事は一気に楽しく！明るく気が付く染雛店長に憧れるコウタだったが、ある日前店長の罠にかかり、
染雛店長は連れていかれてしまう…。間一髪で助け出すと、店長は今日泊めてくれる…？と言い出して！？男女ふたり一つ屋根の下、何も起きないはずがなく…！？")</f>
        <v>虎冢コウタ（こつかこうた）は新しく飲食店でバイトを始めた。パワハラ店長に四苦八苦する日々だったが、
新しく美人の店長が仕事は一気に楽しく！明るく気が付く染雛店長に憧れるコウタだったが、ある日前店長の罠にかかり、
染雛店長は連れていかれてしまう…。間一髪で助け出すと、店長は今日泊めてくれる…？と言い出して！？男女ふたり一つ屋根の下、何も起きないはずがなく…！？</v>
      </c>
      <c r="W1009" s="14"/>
      <c r="X1009" s="14" t="str">
        <f>IFERROR(__xludf.DUMMYFUNCTION("""COMPUTED_VALUE"""),"有")</f>
        <v>有</v>
      </c>
      <c r="Y1009" s="8" t="str">
        <f>IFERROR(__xludf.DUMMYFUNCTION("""COMPUTED_VALUE"""),"P32まで")</f>
        <v>P32まで</v>
      </c>
      <c r="Z1009" s="7"/>
      <c r="AA1009" s="7"/>
      <c r="AB1009" s="7"/>
    </row>
    <row r="1010" ht="15.75" customHeight="1">
      <c r="A1010" s="26">
        <f>IFERROR(__xludf.DUMMYFUNCTION("""COMPUTED_VALUE"""),2727.0)</f>
        <v>2727</v>
      </c>
      <c r="B1010" s="22" t="str">
        <f>IFERROR(__xludf.DUMMYFUNCTION("""COMPUTED_VALUE"""),"確定")</f>
        <v>確定</v>
      </c>
      <c r="C1010" s="28">
        <f>IFERROR(__xludf.DUMMYFUNCTION("""COMPUTED_VALUE"""),45266.0)</f>
        <v>45266</v>
      </c>
      <c r="D1010" s="28">
        <f>IFERROR(__xludf.DUMMYFUNCTION("""COMPUTED_VALUE"""),45286.0)</f>
        <v>45286</v>
      </c>
      <c r="E1010" s="31">
        <f>IFERROR(__xludf.DUMMYFUNCTION("""COMPUTED_VALUE"""),284100.0)</f>
        <v>284100</v>
      </c>
      <c r="F1010" s="22" t="str">
        <f>IFERROR(__xludf.DUMMYFUNCTION("""COMPUTED_VALUE"""),"アウターQ 弱小Webマガジンの事件簿（話売り）")</f>
        <v>アウターQ 弱小Webマガジンの事件簿（話売り）</v>
      </c>
      <c r="G1010" s="11" t="str">
        <f>IFERROR(__xludf.DUMMYFUNCTION("""COMPUTED_VALUE"""),"1～4")</f>
        <v>1～4</v>
      </c>
      <c r="H1010" s="22" t="str">
        <f>IFERROR(__xludf.DUMMYFUNCTION("""COMPUTED_VALUE"""),"原作：澤村伊智 漫画：宵町めめ")</f>
        <v>原作：澤村伊智 漫画：宵町めめ</v>
      </c>
      <c r="I1010" s="14" t="str">
        <f>IFERROR(__xludf.DUMMYFUNCTION("""COMPUTED_VALUE"""),"青年")</f>
        <v>青年</v>
      </c>
      <c r="J1010" s="22"/>
      <c r="K1010" s="22"/>
      <c r="L1010" s="22" t="str">
        <f>IFERROR(__xludf.DUMMYFUNCTION("""COMPUTED_VALUE"""),"秋田書店")</f>
        <v>秋田書店</v>
      </c>
      <c r="M1010" s="21">
        <f>IFERROR(__xludf.DUMMYFUNCTION("""COMPUTED_VALUE"""),45314.0)</f>
        <v>45314</v>
      </c>
      <c r="N1010" s="33">
        <f>IFERROR(__xludf.DUMMYFUNCTION("""COMPUTED_VALUE"""),45404.0)</f>
        <v>45404</v>
      </c>
      <c r="O1010" s="20"/>
      <c r="P1010" s="29" t="str">
        <f>IFERROR(__xludf.DUMMYFUNCTION("""COMPUTED_VALUE"""),"可")</f>
        <v>可</v>
      </c>
      <c r="Q1010" s="30" t="str">
        <f>IFERROR(__xludf.DUMMYFUNCTION("""COMPUTED_VALUE"""),"4話目素材が期日間近になりますので、3話目素材でご対応いただけますと幸いです。&lt;BR&gt;0000188546_jp_0048⇒P15～P46&lt;BR&gt;0000188546_jp_0049⇒P99～P124&lt;BR&gt;0000188546_jp_0050⇒P315～P346")</f>
        <v>4話目素材が期日間近になりますので、3話目素材でご対応いただけますと幸いです。&lt;BR&gt;0000188546_jp_0048⇒P15～P46&lt;BR&gt;0000188546_jp_0049⇒P99～P124&lt;BR&gt;0000188546_jp_0050⇒P315～P346</v>
      </c>
      <c r="R1010" s="22"/>
      <c r="S1010" s="22" t="str">
        <f>IFERROR(__xludf.DUMMYFUNCTION("""COMPUTED_VALUE"""),"20231225_秋田書店_アウターQ 弱小Webマガジンの事件簿（話売り）")</f>
        <v>20231225_秋田書店_アウターQ 弱小Webマガジンの事件簿（話売り）</v>
      </c>
      <c r="T1010" s="22" t="str">
        <f>IFERROR(__xludf.DUMMYFUNCTION("""COMPUTED_VALUE"""),"格納済み")</f>
        <v>格納済み</v>
      </c>
      <c r="U1010" s="15" t="str">
        <f>IFERROR(__xludf.DUMMYFUNCTION("""COMPUTED_VALUE"""),"©澤村伊智・宵町めめ（秋田書店）")</f>
        <v>©澤村伊智・宵町めめ（秋田書店）</v>
      </c>
      <c r="V1010" s="8" t="str">
        <f>IFERROR(__xludf.DUMMYFUNCTION("""COMPUTED_VALUE"""),"鬼才・澤村伊智の傑作を衝撃コミカライズ！ 面白い記事なら何でもありのエンタメ系ウェブマガジン『アウターQ』。編集部で新人ライターとして活動する湾沢は、ネタ不足に苦しむ日々を送っていた。そんな中、かつて子供たちを震え上がらせた都市伝説『露死獣』のことを思い出し取材を始めていく…。それが、さまざまな奇怪な事件へ踏み込んでいくことになるとは気づかずに…。")</f>
        <v>鬼才・澤村伊智の傑作を衝撃コミカライズ！ 面白い記事なら何でもありのエンタメ系ウェブマガジン『アウターQ』。編集部で新人ライターとして活動する湾沢は、ネタ不足に苦しむ日々を送っていた。そんな中、かつて子供たちを震え上がらせた都市伝説『露死獣』のことを思い出し取材を始めていく…。それが、さまざまな奇怪な事件へ踏み込んでいくことになるとは気づかずに…。</v>
      </c>
      <c r="W1010" s="14"/>
      <c r="X1010" s="14" t="str">
        <f>IFERROR(__xludf.DUMMYFUNCTION("""COMPUTED_VALUE"""),"有")</f>
        <v>有</v>
      </c>
      <c r="Y1010" s="8" t="str">
        <f>IFERROR(__xludf.DUMMYFUNCTION("""COMPUTED_VALUE"""),"P6まで")</f>
        <v>P6まで</v>
      </c>
      <c r="Z1010" s="7"/>
      <c r="AA1010" s="7"/>
      <c r="AB1010" s="7"/>
    </row>
    <row r="1011" ht="15.75" customHeight="1">
      <c r="A1011" s="26">
        <f>IFERROR(__xludf.DUMMYFUNCTION("""COMPUTED_VALUE"""),2731.0)</f>
        <v>2731</v>
      </c>
      <c r="B1011" s="22" t="str">
        <f>IFERROR(__xludf.DUMMYFUNCTION("""COMPUTED_VALUE"""),"確定")</f>
        <v>確定</v>
      </c>
      <c r="C1011" s="28">
        <f>IFERROR(__xludf.DUMMYFUNCTION("""COMPUTED_VALUE"""),45268.0)</f>
        <v>45268</v>
      </c>
      <c r="D1011" s="28">
        <f>IFERROR(__xludf.DUMMYFUNCTION("""COMPUTED_VALUE"""),45286.0)</f>
        <v>45286</v>
      </c>
      <c r="E1011" s="31">
        <f>IFERROR(__xludf.DUMMYFUNCTION("""COMPUTED_VALUE"""),286650.0)</f>
        <v>286650</v>
      </c>
      <c r="F1011" s="22" t="str">
        <f>IFERROR(__xludf.DUMMYFUNCTION("""COMPUTED_VALUE"""),"年下幼なじみの一途な初恋～執着わからせエッチに溺れる身体～【分冊版】")</f>
        <v>年下幼なじみの一途な初恋～執着わからせエッチに溺れる身体～【分冊版】</v>
      </c>
      <c r="G1011" s="11" t="str">
        <f>IFERROR(__xludf.DUMMYFUNCTION("""COMPUTED_VALUE"""),"1～2")</f>
        <v>1～2</v>
      </c>
      <c r="H1011" s="22" t="str">
        <f>IFERROR(__xludf.DUMMYFUNCTION("""COMPUTED_VALUE"""),"作画：おのまい/原作：白玉コハク")</f>
        <v>作画：おのまい/原作：白玉コハク</v>
      </c>
      <c r="I1011" s="22" t="str">
        <f>IFERROR(__xludf.DUMMYFUNCTION("""COMPUTED_VALUE"""),"TL")</f>
        <v>TL</v>
      </c>
      <c r="J1011" s="22"/>
      <c r="K1011" s="22"/>
      <c r="L1011" s="22" t="str">
        <f>IFERROR(__xludf.DUMMYFUNCTION("""COMPUTED_VALUE"""),"笠倉出版社")</f>
        <v>笠倉出版社</v>
      </c>
      <c r="M1011" s="23">
        <f>IFERROR(__xludf.DUMMYFUNCTION("""COMPUTED_VALUE"""),45344.0)</f>
        <v>45344</v>
      </c>
      <c r="N1011" s="23">
        <f>IFERROR(__xludf.DUMMYFUNCTION("""COMPUTED_VALUE"""),45378.0)</f>
        <v>45378</v>
      </c>
      <c r="O1011" s="20"/>
      <c r="P1011" s="29" t="str">
        <f>IFERROR(__xludf.DUMMYFUNCTION("""COMPUTED_VALUE"""),"可")</f>
        <v>可</v>
      </c>
      <c r="Q1011" s="30" t="str">
        <f>IFERROR(__xludf.DUMMYFUNCTION("""COMPUTED_VALUE"""),"トンボ付きデータのためクリエイティブ作成時ご注意ください")</f>
        <v>トンボ付きデータのためクリエイティブ作成時ご注意ください</v>
      </c>
      <c r="R1011" s="22"/>
      <c r="S1011" s="22" t="str">
        <f>IFERROR(__xludf.DUMMYFUNCTION("""COMPUTED_VALUE"""),"20231221_笠倉出版社_年下幼なじみの一途な初恋～執着わからせエッチに溺れる身体～【分冊版】")</f>
        <v>20231221_笠倉出版社_年下幼なじみの一途な初恋～執着わからせエッチに溺れる身体～【分冊版】</v>
      </c>
      <c r="T1011" s="22" t="str">
        <f>IFERROR(__xludf.DUMMYFUNCTION("""COMPUTED_VALUE"""),"格納済")</f>
        <v>格納済</v>
      </c>
      <c r="U1011" s="15" t="str">
        <f>IFERROR(__xludf.DUMMYFUNCTION("""COMPUTED_VALUE"""),"©おのまい/白玉コハク/笠倉出版社")</f>
        <v>©おのまい/白玉コハク/笠倉出版社</v>
      </c>
      <c r="V1011" s="8" t="str">
        <f>IFERROR(__xludf.DUMMYFUNCTION("""COMPUTED_VALUE"""),"「大人の僕をしっかり味わわせてあげるね？」弟のように思っていた彼に、執拗にナカをかき回され高められる。募らせた想いを教え込まれるように幾度も絶頂させられて――もう訳がわからないっ…!!保育士のカスミは彼氏いない歴＝年齢の２５歳。恋人探し中のある日、５歳年下の幼なじみ・奏多が突如アパートの隣室に入居してくる。幼いころ海外へ引っ越した奏多は、カスミの記憶では小さくてかわいい子供だったのに…めちゃくちゃイケメンな大学生に育っていた!!しかも「ずっと好きだった」と告白してきて‥!?執着強めの年下美形×鈍感な年上処"&amp;"女の甘々愛されご近所ライフ")</f>
        <v>「大人の僕をしっかり味わわせてあげるね？」弟のように思っていた彼に、執拗にナカをかき回され高められる。募らせた想いを教え込まれるように幾度も絶頂させられて――もう訳がわからないっ…!!保育士のカスミは彼氏いない歴＝年齢の２５歳。恋人探し中のある日、５歳年下の幼なじみ・奏多が突如アパートの隣室に入居してくる。幼いころ海外へ引っ越した奏多は、カスミの記憶では小さくてかわいい子供だったのに…めちゃくちゃイケメンな大学生に育っていた!!しかも「ずっと好きだった」と告白してきて‥!?執着強めの年下美形×鈍感な年上処女の甘々愛されご近所ライフ</v>
      </c>
      <c r="W1011" s="14"/>
      <c r="X1011" s="14" t="str">
        <f>IFERROR(__xludf.DUMMYFUNCTION("""COMPUTED_VALUE"""),"有")</f>
        <v>有</v>
      </c>
      <c r="Y1011" s="8" t="str">
        <f>IFERROR(__xludf.DUMMYFUNCTION("""COMPUTED_VALUE"""),"2024/3/6まで立ち読み増量
P12まで")</f>
        <v>2024/3/6まで立ち読み増量
P12まで</v>
      </c>
      <c r="Z1011" s="7"/>
      <c r="AA1011" s="7"/>
      <c r="AB1011" s="7"/>
    </row>
    <row r="1012" ht="15.75" customHeight="1">
      <c r="A1012" s="26">
        <f>IFERROR(__xludf.DUMMYFUNCTION("""COMPUTED_VALUE"""),2768.0)</f>
        <v>2768</v>
      </c>
      <c r="B1012" s="22" t="str">
        <f>IFERROR(__xludf.DUMMYFUNCTION("""COMPUTED_VALUE"""),"確定")</f>
        <v>確定</v>
      </c>
      <c r="C1012" s="28">
        <f>IFERROR(__xludf.DUMMYFUNCTION("""COMPUTED_VALUE"""),45280.0)</f>
        <v>45280</v>
      </c>
      <c r="D1012" s="28">
        <f>IFERROR(__xludf.DUMMYFUNCTION("""COMPUTED_VALUE"""),45285.0)</f>
        <v>45285</v>
      </c>
      <c r="E1012" s="31">
        <f>IFERROR(__xludf.DUMMYFUNCTION("""COMPUTED_VALUE"""),285003.0)</f>
        <v>285003</v>
      </c>
      <c r="F1012" s="22" t="str">
        <f>IFERROR(__xludf.DUMMYFUNCTION("""COMPUTED_VALUE"""),"異世界最高の貴族、ハーレムを増やすほど強くなる【フルカラー】【タテヨミ】")</f>
        <v>異世界最高の貴族、ハーレムを増やすほど強くなる【フルカラー】【タテヨミ】</v>
      </c>
      <c r="G1012" s="16" t="str">
        <f>IFERROR(__xludf.DUMMYFUNCTION("""COMPUTED_VALUE"""),"1～20")</f>
        <v>1～20</v>
      </c>
      <c r="H1012" s="22" t="str">
        <f>IFERROR(__xludf.DUMMYFUNCTION("""COMPUTED_VALUE"""),"三木なずな・へいろー・集英社・アップクロス")</f>
        <v>三木なずな・へいろー・集英社・アップクロス</v>
      </c>
      <c r="I1012" s="22" t="str">
        <f>IFERROR(__xludf.DUMMYFUNCTION("""COMPUTED_VALUE"""),"青年")</f>
        <v>青年</v>
      </c>
      <c r="J1012" s="22"/>
      <c r="K1012" s="22"/>
      <c r="L1012" s="22" t="str">
        <f>IFERROR(__xludf.DUMMYFUNCTION("""COMPUTED_VALUE"""),"CLLENN")</f>
        <v>CLLENN</v>
      </c>
      <c r="M1012" s="21">
        <f>IFERROR(__xludf.DUMMYFUNCTION("""COMPUTED_VALUE"""),45322.0)</f>
        <v>45322</v>
      </c>
      <c r="N1012" s="33">
        <f>IFERROR(__xludf.DUMMYFUNCTION("""COMPUTED_VALUE"""),45381.0)</f>
        <v>45381</v>
      </c>
      <c r="O1012" s="20"/>
      <c r="P1012" s="32" t="str">
        <f>IFERROR(__xludf.DUMMYFUNCTION("""COMPUTED_VALUE"""),"可")</f>
        <v>可</v>
      </c>
      <c r="Q1012" s="22"/>
      <c r="R1012" s="22" t="str">
        <f>IFERROR(__xludf.DUMMYFUNCTION("""COMPUTED_VALUE"""),"格納済")</f>
        <v>格納済</v>
      </c>
      <c r="S1012" s="22" t="str">
        <f>IFERROR(__xludf.DUMMYFUNCTION("""COMPUTED_VALUE"""),"20231220_CLLENN_異世界最高の貴族ハーレムを増やすほど強くなる")</f>
        <v>20231220_CLLENN_異世界最高の貴族ハーレムを増やすほど強くなる</v>
      </c>
      <c r="T1012" s="22" t="str">
        <f>IFERROR(__xludf.DUMMYFUNCTION("""COMPUTED_VALUE"""),"格納済み")</f>
        <v>格納済み</v>
      </c>
      <c r="U1012" s="15" t="str">
        <f>IFERROR(__xludf.DUMMYFUNCTION("""COMPUTED_VALUE"""),"©三木なずな・へいろー・集英社・アップクロス／CLLENN")</f>
        <v>©三木なずな・へいろー・集英社・アップクロス／CLLENN</v>
      </c>
      <c r="V1012" s="8" t="str">
        <f>IFERROR(__xludf.DUMMYFUNCTION("""COMPUTED_VALUE"""),"主人公・ユウトはスキル【ノブレスオブリージュ】を持ってスマホのゲーム内に貴族の三男として転生していた。成人したユウトが、儀式として女性を抱くと【ノブレスオブリージュ】が発動する。そのスキルは抱いた女性のスキルをコピーできる、希少スキルだった！欲しい女とスキルはすべて俺のもの！最強チートハーレム、ここに開幕！")</f>
        <v>主人公・ユウトはスキル【ノブレスオブリージュ】を持ってスマホのゲーム内に貴族の三男として転生していた。成人したユウトが、儀式として女性を抱くと【ノブレスオブリージュ】が発動する。そのスキルは抱いた女性のスキルをコピーできる、希少スキルだった！欲しい女とスキルはすべて俺のもの！最強チートハーレム、ここに開幕！</v>
      </c>
      <c r="W1012" s="14"/>
      <c r="X1012" s="14" t="str">
        <f>IFERROR(__xludf.DUMMYFUNCTION("""COMPUTED_VALUE"""),"有")</f>
        <v>有</v>
      </c>
      <c r="Y1012" s="8" t="str">
        <f>IFERROR(__xludf.DUMMYFUNCTION("""COMPUTED_VALUE"""),"3巻無料")</f>
        <v>3巻無料</v>
      </c>
      <c r="Z1012" s="7"/>
      <c r="AA1012" s="7"/>
      <c r="AB1012" s="7"/>
    </row>
    <row r="1013" ht="15.75" customHeight="1">
      <c r="A1013" s="26">
        <f>IFERROR(__xludf.DUMMYFUNCTION("""COMPUTED_VALUE"""),2769.0)</f>
        <v>2769</v>
      </c>
      <c r="B1013" s="22" t="str">
        <f>IFERROR(__xludf.DUMMYFUNCTION("""COMPUTED_VALUE"""),"確定")</f>
        <v>確定</v>
      </c>
      <c r="C1013" s="28">
        <f>IFERROR(__xludf.DUMMYFUNCTION("""COMPUTED_VALUE"""),45280.0)</f>
        <v>45280</v>
      </c>
      <c r="D1013" s="28">
        <f>IFERROR(__xludf.DUMMYFUNCTION("""COMPUTED_VALUE"""),45285.0)</f>
        <v>45285</v>
      </c>
      <c r="E1013" s="31">
        <f>IFERROR(__xludf.DUMMYFUNCTION("""COMPUTED_VALUE"""),285113.0)</f>
        <v>285113</v>
      </c>
      <c r="F1013" s="22" t="str">
        <f>IFERROR(__xludf.DUMMYFUNCTION("""COMPUTED_VALUE"""),"アデル～全てを奪われた令嬢は復讐を誓う～")</f>
        <v>アデル～全てを奪われた令嬢は復讐を誓う～</v>
      </c>
      <c r="G1013" s="20" t="str">
        <f>IFERROR(__xludf.DUMMYFUNCTION("""COMPUTED_VALUE"""),"1～3")</f>
        <v>1～3</v>
      </c>
      <c r="H1013" s="22" t="str">
        <f>IFERROR(__xludf.DUMMYFUNCTION("""COMPUTED_VALUE"""),"原作：葵井瑞貴／作画：綾瀬")</f>
        <v>原作：葵井瑞貴／作画：綾瀬</v>
      </c>
      <c r="I1013" s="22" t="str">
        <f>IFERROR(__xludf.DUMMYFUNCTION("""COMPUTED_VALUE"""),"女性")</f>
        <v>女性</v>
      </c>
      <c r="J1013" s="22"/>
      <c r="K1013" s="22"/>
      <c r="L1013" s="22" t="str">
        <f>IFERROR(__xludf.DUMMYFUNCTION("""COMPUTED_VALUE"""),"DPNブックス")</f>
        <v>DPNブックス</v>
      </c>
      <c r="M1013" s="23">
        <f>IFERROR(__xludf.DUMMYFUNCTION("""COMPUTED_VALUE"""),45323.0)</f>
        <v>45323</v>
      </c>
      <c r="N1013" s="23">
        <f>IFERROR(__xludf.DUMMYFUNCTION("""COMPUTED_VALUE"""),45351.0)</f>
        <v>45351</v>
      </c>
      <c r="O1013" s="20"/>
      <c r="P1013" s="32" t="str">
        <f>IFERROR(__xludf.DUMMYFUNCTION("""COMPUTED_VALUE"""),"可")</f>
        <v>可</v>
      </c>
      <c r="Q1013" s="30"/>
      <c r="R1013" s="22"/>
      <c r="S1013" s="22" t="str">
        <f>IFERROR(__xludf.DUMMYFUNCTION("""COMPUTED_VALUE"""),"20231220_DPNブックス_アデル～全てを奪われた令嬢は復讐を誓う")</f>
        <v>20231220_DPNブックス_アデル～全てを奪われた令嬢は復讐を誓う</v>
      </c>
      <c r="T1013" s="22" t="str">
        <f>IFERROR(__xludf.DUMMYFUNCTION("""COMPUTED_VALUE"""),"格納済み")</f>
        <v>格納済み</v>
      </c>
      <c r="U1013" s="15" t="str">
        <f>IFERROR(__xludf.DUMMYFUNCTION("""COMPUTED_VALUE"""),"©綾瀬／葵井瑞貴／DPNブックス")</f>
        <v>©綾瀬／葵井瑞貴／DPNブックス</v>
      </c>
      <c r="V1013" s="8" t="str">
        <f>IFERROR(__xludf.DUMMYFUNCTION("""COMPUTED_VALUE"""),"【黒薔薇姫】という小説の世界に転生した主人公エスターは、本来のシナリオではヒロインの妹を虐げる悪役令嬢だった。しかし転生したエスターは品行方正で思いやりの強い人物で癒しの異能により周囲の反応も小説とは異なって好意的だった。しかしそれに嫉妬した妹ミーティアは、エスターの婚約者ダニエルと逢瀬を繰り返しさらには婚約披露パーティーでエスターの異能を奪ってしまう。
そこから物語のシナリオに戻るかのように、エスターには異能も婚約もなくなりミーティアや両親に虐げられる日々…。唯一心の癒しである病弱な親友”アデル”の元"&amp;"へ向かうと一緒に隣国へ行かないかと提案される。そんな生き方も素敵…と思っていた矢先、ミーティアの陰謀により冤罪を着せられ収容所送りとなってしまう。
しかしアデルの使いが現れ、無事脱出するも待っていたのはアデルの死という残酷な事実。亡き親友アデルに成り代わり、ミーティアへの復讐を誓うも第二王子シリウスとの出会いでかき乱されていき――！？※本作品は小説投稿サイト「エブリスタ」で人気の「アデル～顔も名前も捨てた。すべては、私を破滅させた妹聖女を追い詰め、幸せをつかむため～」のコミカライズです。")</f>
        <v>【黒薔薇姫】という小説の世界に転生した主人公エスターは、本来のシナリオではヒロインの妹を虐げる悪役令嬢だった。しかし転生したエスターは品行方正で思いやりの強い人物で癒しの異能により周囲の反応も小説とは異なって好意的だった。しかしそれに嫉妬した妹ミーティアは、エスターの婚約者ダニエルと逢瀬を繰り返しさらには婚約披露パーティーでエスターの異能を奪ってしまう。
そこから物語のシナリオに戻るかのように、エスターには異能も婚約もなくなりミーティアや両親に虐げられる日々…。唯一心の癒しである病弱な親友”アデル”の元へ向かうと一緒に隣国へ行かないかと提案される。そんな生き方も素敵…と思っていた矢先、ミーティアの陰謀により冤罪を着せられ収容所送りとなってしまう。
しかしアデルの使いが現れ、無事脱出するも待っていたのはアデルの死という残酷な事実。亡き親友アデルに成り代わり、ミーティアへの復讐を誓うも第二王子シリウスとの出会いでかき乱されていき――！？※本作品は小説投稿サイト「エブリスタ」で人気の「アデル～顔も名前も捨てた。すべては、私を破滅させた妹聖女を追い詰め、幸せをつかむため～」のコミカライズです。</v>
      </c>
      <c r="W1013" s="14"/>
      <c r="X1013" s="14" t="str">
        <f>IFERROR(__xludf.DUMMYFUNCTION("""COMPUTED_VALUE"""),"有")</f>
        <v>有</v>
      </c>
      <c r="Y1013" s="8" t="str">
        <f>IFERROR(__xludf.DUMMYFUNCTION("""COMPUTED_VALUE"""),"P9まで")</f>
        <v>P9まで</v>
      </c>
      <c r="Z1013" s="7"/>
      <c r="AA1013" s="7"/>
      <c r="AB1013" s="7"/>
    </row>
    <row r="1014" ht="15.75" customHeight="1">
      <c r="A1014" s="26">
        <f>IFERROR(__xludf.DUMMYFUNCTION("""COMPUTED_VALUE"""),2773.0)</f>
        <v>2773</v>
      </c>
      <c r="B1014" s="22" t="str">
        <f>IFERROR(__xludf.DUMMYFUNCTION("""COMPUTED_VALUE"""),"確定")</f>
        <v>確定</v>
      </c>
      <c r="C1014" s="28">
        <f>IFERROR(__xludf.DUMMYFUNCTION("""COMPUTED_VALUE"""),45281.0)</f>
        <v>45281</v>
      </c>
      <c r="D1014" s="28">
        <f>IFERROR(__xludf.DUMMYFUNCTION("""COMPUTED_VALUE"""),45285.0)</f>
        <v>45285</v>
      </c>
      <c r="E1014" s="31">
        <f>IFERROR(__xludf.DUMMYFUNCTION("""COMPUTED_VALUE"""),283833.0)</f>
        <v>283833</v>
      </c>
      <c r="F1014" s="22" t="str">
        <f>IFERROR(__xludf.DUMMYFUNCTION("""COMPUTED_VALUE"""),"幼馴染の顔が良い【タテヨミ】")</f>
        <v>幼馴染の顔が良い【タテヨミ】</v>
      </c>
      <c r="G1014" s="11" t="str">
        <f>IFERROR(__xludf.DUMMYFUNCTION("""COMPUTED_VALUE"""),"1～15")</f>
        <v>1～15</v>
      </c>
      <c r="H1014" s="22" t="str">
        <f>IFERROR(__xludf.DUMMYFUNCTION("""COMPUTED_VALUE"""),"comicle（Libalent inc.）,FANY Studio,可")</f>
        <v>comicle（Libalent inc.）,FANY Studio,可</v>
      </c>
      <c r="I1014" s="22" t="str">
        <f>IFERROR(__xludf.DUMMYFUNCTION("""COMPUTED_VALUE"""),"BL")</f>
        <v>BL</v>
      </c>
      <c r="J1014" s="22"/>
      <c r="K1014" s="22"/>
      <c r="L1014" s="22" t="str">
        <f>IFERROR(__xludf.DUMMYFUNCTION("""COMPUTED_VALUE"""),"太田出版")</f>
        <v>太田出版</v>
      </c>
      <c r="M1014" s="33">
        <f>IFERROR(__xludf.DUMMYFUNCTION("""COMPUTED_VALUE"""),45282.0)</f>
        <v>45282</v>
      </c>
      <c r="N1014" s="33">
        <f>IFERROR(__xludf.DUMMYFUNCTION("""COMPUTED_VALUE"""),45376.0)</f>
        <v>45376</v>
      </c>
      <c r="O1014" s="20"/>
      <c r="P1014" s="32" t="str">
        <f>IFERROR(__xludf.DUMMYFUNCTION("""COMPUTED_VALUE"""),"可")</f>
        <v>可</v>
      </c>
      <c r="Q1014" s="30"/>
      <c r="R1014" s="22"/>
      <c r="S1014" s="22" t="str">
        <f>IFERROR(__xludf.DUMMYFUNCTION("""COMPUTED_VALUE"""),"20231221_太田出版_幼馴染の顔がいい")</f>
        <v>20231221_太田出版_幼馴染の顔がいい</v>
      </c>
      <c r="T1014" s="22" t="str">
        <f>IFERROR(__xludf.DUMMYFUNCTION("""COMPUTED_VALUE"""),"格納済み")</f>
        <v>格納済み</v>
      </c>
      <c r="U1014" s="15" t="str">
        <f>IFERROR(__xludf.DUMMYFUNCTION("""COMPUTED_VALUE"""),"©comicle（Libalent inc.）/ FANY Studio / 原作：可")</f>
        <v>©comicle（Libalent inc.）/ FANY Studio / 原作：可</v>
      </c>
      <c r="V1014" s="8" t="str">
        <f>IFERROR(__xludf.DUMMYFUNCTION("""COMPUTED_VALUE"""),"容姿端麗で男女ともにモテる遥と、彼に深いコンプレックスを抱いている圭一は幼馴染。
圭一はコンプレックスを克服するために、メンズメイクでコンプレックスを克服し始める…がその一方で、徐々に変わる圭一に、幼馴染は秘めていた恋心を表し始める
そんな二人の恋模様とともに、多様な生徒が集まる学園で、圭一が様々な価値観に触れ、自分の目指す道を見つける青春ストーリー！
※既に販売されている同タイトルのコミックを原作としたリメイク作品です。")</f>
        <v>容姿端麗で男女ともにモテる遥と、彼に深いコンプレックスを抱いている圭一は幼馴染。
圭一はコンプレックスを克服するために、メンズメイクでコンプレックスを克服し始める…がその一方で、徐々に変わる圭一に、幼馴染は秘めていた恋心を表し始める
そんな二人の恋模様とともに、多様な生徒が集まる学園で、圭一が様々な価値観に触れ、自分の目指す道を見つける青春ストーリー！
※既に販売されている同タイトルのコミックを原作としたリメイク作品です。</v>
      </c>
      <c r="W1014" s="14"/>
      <c r="X1014" s="14" t="str">
        <f>IFERROR(__xludf.DUMMYFUNCTION("""COMPUTED_VALUE"""),"有")</f>
        <v>有</v>
      </c>
      <c r="Y1014" s="8" t="str">
        <f>IFERROR(__xludf.DUMMYFUNCTION("""COMPUTED_VALUE"""),"6巻無料")</f>
        <v>6巻無料</v>
      </c>
      <c r="Z1014" s="7"/>
      <c r="AA1014" s="7"/>
      <c r="AB1014" s="7"/>
    </row>
    <row r="1015" ht="15.75" customHeight="1">
      <c r="A1015" s="26">
        <f>IFERROR(__xludf.DUMMYFUNCTION("""COMPUTED_VALUE"""),2774.0)</f>
        <v>2774</v>
      </c>
      <c r="B1015" s="22" t="str">
        <f>IFERROR(__xludf.DUMMYFUNCTION("""COMPUTED_VALUE"""),"確定")</f>
        <v>確定</v>
      </c>
      <c r="C1015" s="28">
        <f>IFERROR(__xludf.DUMMYFUNCTION("""COMPUTED_VALUE"""),45282.0)</f>
        <v>45282</v>
      </c>
      <c r="D1015" s="28">
        <f>IFERROR(__xludf.DUMMYFUNCTION("""COMPUTED_VALUE"""),45285.0)</f>
        <v>45285</v>
      </c>
      <c r="E1015" s="31">
        <f>IFERROR(__xludf.DUMMYFUNCTION("""COMPUTED_VALUE"""),285522.0)</f>
        <v>285522</v>
      </c>
      <c r="F1015" s="22" t="str">
        <f>IFERROR(__xludf.DUMMYFUNCTION("""COMPUTED_VALUE"""),"人妻妊活倶楽部")</f>
        <v>人妻妊活倶楽部</v>
      </c>
      <c r="G1015" s="11" t="str">
        <f>IFERROR(__xludf.DUMMYFUNCTION("""COMPUTED_VALUE"""),"1～4")</f>
        <v>1～4</v>
      </c>
      <c r="H1015" s="22" t="str">
        <f>IFERROR(__xludf.DUMMYFUNCTION("""COMPUTED_VALUE"""),"しっとりボウズ")</f>
        <v>しっとりボウズ</v>
      </c>
      <c r="I1015" s="22" t="str">
        <f>IFERROR(__xludf.DUMMYFUNCTION("""COMPUTED_VALUE"""),"オトナ")</f>
        <v>オトナ</v>
      </c>
      <c r="J1015" s="22"/>
      <c r="K1015" s="22"/>
      <c r="L1015" s="22" t="str">
        <f>IFERROR(__xludf.DUMMYFUNCTION("""COMPUTED_VALUE"""),"FILL-IN")</f>
        <v>FILL-IN</v>
      </c>
      <c r="M1015" s="23">
        <f>IFERROR(__xludf.DUMMYFUNCTION("""COMPUTED_VALUE"""),45317.0)</f>
        <v>45317</v>
      </c>
      <c r="N1015" s="33">
        <f>IFERROR(__xludf.DUMMYFUNCTION("""COMPUTED_VALUE"""),45344.0)</f>
        <v>45344</v>
      </c>
      <c r="O1015" s="20"/>
      <c r="P1015" s="32" t="str">
        <f>IFERROR(__xludf.DUMMYFUNCTION("""COMPUTED_VALUE"""),"可")</f>
        <v>可</v>
      </c>
      <c r="Q1015" s="30"/>
      <c r="R1015" s="22"/>
      <c r="S1015" s="22" t="str">
        <f>IFERROR(__xludf.DUMMYFUNCTION("""COMPUTED_VALUE"""),"20231222_ライドオン_人妻妊活倶楽部")</f>
        <v>20231222_ライドオン_人妻妊活倶楽部</v>
      </c>
      <c r="T1015" s="22" t="str">
        <f>IFERROR(__xludf.DUMMYFUNCTION("""COMPUTED_VALUE"""),"格納済み")</f>
        <v>格納済み</v>
      </c>
      <c r="U1015" s="15" t="str">
        <f>IFERROR(__xludf.DUMMYFUNCTION("""COMPUTED_VALUE"""),"© しっとりボウズ/FILL-IN")</f>
        <v>© しっとりボウズ/FILL-IN</v>
      </c>
      <c r="V1015" s="8" t="str">
        <f>IFERROR(__xludf.DUMMYFUNCTION("""COMPUTED_VALUE"""),"「私は大丈夫!!私たちの子供のためだもの!!」
妻は、たくさんの僕以外のち〇ぽに囲まれながら僕を励ますように笑った。
――夫の不妊体質は順風満帆な夫婦の暮らしを一変させた。
そんな中、元気のない妻を心配した夫はとあるサイトを見つける！
それは子供を諦めるしかない夫婦に優秀で強い遺伝子を提供してくれるというもの。
夢を叶えるため、覚悟を決めた二人を待っていたのは…
「あなた…みないでぇ…」
夫が見ている目の前で代わる代わる屈強な男たちに種付けされていく妻！
誰のものかもわからない精〇をアソコ"&amp;"からとろりと垂らす彼女の表情は蕩けていて…
あまりの光景に言葉を失うも耐えるしかない夫。
夫婦は果たして幸せになれるのか…")</f>
        <v>「私は大丈夫!!私たちの子供のためだもの!!」
妻は、たくさんの僕以外のち〇ぽに囲まれながら僕を励ますように笑った。
――夫の不妊体質は順風満帆な夫婦の暮らしを一変させた。
そんな中、元気のない妻を心配した夫はとあるサイトを見つける！
それは子供を諦めるしかない夫婦に優秀で強い遺伝子を提供してくれるというもの。
夢を叶えるため、覚悟を決めた二人を待っていたのは…
「あなた…みないでぇ…」
夫が見ている目の前で代わる代わる屈強な男たちに種付けされていく妻！
誰のものかもわからない精〇をアソコからとろりと垂らす彼女の表情は蕩けていて…
あまりの光景に言葉を失うも耐えるしかない夫。
夫婦は果たして幸せになれるのか…</v>
      </c>
      <c r="W1015" s="14"/>
      <c r="X1015" s="14" t="str">
        <f>IFERROR(__xludf.DUMMYFUNCTION("""COMPUTED_VALUE"""),"有")</f>
        <v>有</v>
      </c>
      <c r="Y1015" s="8" t="str">
        <f>IFERROR(__xludf.DUMMYFUNCTION("""COMPUTED_VALUE"""),"P9まで")</f>
        <v>P9まで</v>
      </c>
      <c r="Z1015" s="7"/>
      <c r="AA1015" s="7"/>
      <c r="AB1015" s="7"/>
    </row>
    <row r="1016" ht="15.75" customHeight="1">
      <c r="A1016" s="26">
        <f>IFERROR(__xludf.DUMMYFUNCTION("""COMPUTED_VALUE"""),2779.0)</f>
        <v>2779</v>
      </c>
      <c r="B1016" s="22" t="str">
        <f>IFERROR(__xludf.DUMMYFUNCTION("""COMPUTED_VALUE"""),"確定")</f>
        <v>確定</v>
      </c>
      <c r="C1016" s="28">
        <f>IFERROR(__xludf.DUMMYFUNCTION("""COMPUTED_VALUE"""),45285.0)</f>
        <v>45285</v>
      </c>
      <c r="D1016" s="28">
        <f>IFERROR(__xludf.DUMMYFUNCTION("""COMPUTED_VALUE"""),45286.0)</f>
        <v>45286</v>
      </c>
      <c r="E1016" s="31">
        <f>IFERROR(__xludf.DUMMYFUNCTION("""COMPUTED_VALUE"""),285466.0)</f>
        <v>285466</v>
      </c>
      <c r="F1016" s="22" t="str">
        <f>IFERROR(__xludf.DUMMYFUNCTION("""COMPUTED_VALUE"""),"【分冊版】 ガールズ・アット・ジ・エッジ")</f>
        <v>【分冊版】 ガールズ・アット・ジ・エッジ</v>
      </c>
      <c r="G1016" s="11" t="str">
        <f>IFERROR(__xludf.DUMMYFUNCTION("""COMPUTED_VALUE"""),"1～9")</f>
        <v>1～9</v>
      </c>
      <c r="H1016" s="22" t="str">
        <f>IFERROR(__xludf.DUMMYFUNCTION("""COMPUTED_VALUE"""),"犬怪寅日子/ ハトリアヤコ")</f>
        <v>犬怪寅日子/ ハトリアヤコ</v>
      </c>
      <c r="I1016" s="22" t="str">
        <f>IFERROR(__xludf.DUMMYFUNCTION("""COMPUTED_VALUE"""),"青年")</f>
        <v>青年</v>
      </c>
      <c r="J1016" s="22"/>
      <c r="K1016" s="22"/>
      <c r="L1016" s="22" t="str">
        <f>IFERROR(__xludf.DUMMYFUNCTION("""COMPUTED_VALUE"""),"GOT")</f>
        <v>GOT</v>
      </c>
      <c r="M1016" s="21">
        <f>IFERROR(__xludf.DUMMYFUNCTION("""COMPUTED_VALUE"""),45322.0)</f>
        <v>45322</v>
      </c>
      <c r="N1016" s="23">
        <f>IFERROR(__xludf.DUMMYFUNCTION("""COMPUTED_VALUE"""),45381.0)</f>
        <v>45381</v>
      </c>
      <c r="O1016" s="20"/>
      <c r="P1016" s="32" t="str">
        <f>IFERROR(__xludf.DUMMYFUNCTION("""COMPUTED_VALUE"""),"可")</f>
        <v>可</v>
      </c>
      <c r="Q1016" s="22"/>
      <c r="R1016" s="22" t="str">
        <f>IFERROR(__xludf.DUMMYFUNCTION("""COMPUTED_VALUE"""),"格納済")</f>
        <v>格納済</v>
      </c>
      <c r="S1016" s="22" t="str">
        <f>IFERROR(__xludf.DUMMYFUNCTION("""COMPUTED_VALUE"""),"20231225_GOT_ガールズ・アット・ジ・エッジ")</f>
        <v>20231225_GOT_ガールズ・アット・ジ・エッジ</v>
      </c>
      <c r="T1016" s="22" t="str">
        <f>IFERROR(__xludf.DUMMYFUNCTION("""COMPUTED_VALUE"""),"格納済み")</f>
        <v>格納済み</v>
      </c>
      <c r="U1016" s="15" t="str">
        <f>IFERROR(__xludf.DUMMYFUNCTION("""COMPUTED_VALUE"""),"©犬怪寅日子／ハトリアヤコ／ジーオーティー")</f>
        <v>©犬怪寅日子／ハトリアヤコ／ジーオーティー</v>
      </c>
      <c r="V1016" s="8" t="str">
        <f>IFERROR(__xludf.DUMMYFUNCTION("""COMPUTED_VALUE"""),"夏のある日、ピンサロで働くボーイ塩原が殺された。
死体とともに消えたのは、その店で働く嬢が4人とボーイが1人。
誰が彼を殺したのか!? 殺した理由とは!?
社会の片隅で生きる。境界を越える。怒れる女たちの物語ーー。
※この作品は『COMIC MeDu』掲載時のものです。単行本版と内容が異なる場合がございます。")</f>
        <v>夏のある日、ピンサロで働くボーイ塩原が殺された。
死体とともに消えたのは、その店で働く嬢が4人とボーイが1人。
誰が彼を殺したのか!? 殺した理由とは!?
社会の片隅で生きる。境界を越える。怒れる女たちの物語ーー。
※この作品は『COMIC MeDu』掲載時のものです。単行本版と内容が異なる場合がございます。</v>
      </c>
      <c r="W1016" s="14"/>
      <c r="X1016" s="14" t="str">
        <f>IFERROR(__xludf.DUMMYFUNCTION("""COMPUTED_VALUE"""),"有")</f>
        <v>有</v>
      </c>
      <c r="Y1016" s="8" t="str">
        <f>IFERROR(__xludf.DUMMYFUNCTION("""COMPUTED_VALUE"""),"P4まで")</f>
        <v>P4まで</v>
      </c>
      <c r="Z1016" s="7"/>
      <c r="AA1016" s="7"/>
      <c r="AB1016" s="7"/>
    </row>
    <row r="1017" ht="15.75" customHeight="1">
      <c r="A1017" s="26">
        <f>IFERROR(__xludf.DUMMYFUNCTION("""COMPUTED_VALUE"""),2780.0)</f>
        <v>2780</v>
      </c>
      <c r="B1017" s="22" t="str">
        <f>IFERROR(__xludf.DUMMYFUNCTION("""COMPUTED_VALUE"""),"確定")</f>
        <v>確定</v>
      </c>
      <c r="C1017" s="28">
        <f>IFERROR(__xludf.DUMMYFUNCTION("""COMPUTED_VALUE"""),45285.0)</f>
        <v>45285</v>
      </c>
      <c r="D1017" s="28">
        <f>IFERROR(__xludf.DUMMYFUNCTION("""COMPUTED_VALUE"""),45286.0)</f>
        <v>45286</v>
      </c>
      <c r="E1017" s="31">
        <f>IFERROR(__xludf.DUMMYFUNCTION("""COMPUTED_VALUE"""),286549.0)</f>
        <v>286549</v>
      </c>
      <c r="F1017" s="22" t="str">
        <f>IFERROR(__xludf.DUMMYFUNCTION("""COMPUTED_VALUE"""),"＃氷室くんは恋したくない")</f>
        <v>＃氷室くんは恋したくない</v>
      </c>
      <c r="G1017" s="20">
        <f>IFERROR(__xludf.DUMMYFUNCTION("""COMPUTED_VALUE"""),1.0)</f>
        <v>1</v>
      </c>
      <c r="H1017" s="22" t="str">
        <f>IFERROR(__xludf.DUMMYFUNCTION("""COMPUTED_VALUE"""),"久留米くる")</f>
        <v>久留米くる</v>
      </c>
      <c r="I1017" s="22" t="str">
        <f>IFERROR(__xludf.DUMMYFUNCTION("""COMPUTED_VALUE"""),"BL")</f>
        <v>BL</v>
      </c>
      <c r="J1017" s="22"/>
      <c r="K1017" s="22"/>
      <c r="L1017" s="22" t="str">
        <f>IFERROR(__xludf.DUMMYFUNCTION("""COMPUTED_VALUE"""),".ink works")</f>
        <v>.ink works</v>
      </c>
      <c r="M1017" s="23">
        <f>IFERROR(__xludf.DUMMYFUNCTION("""COMPUTED_VALUE"""),45340.0)</f>
        <v>45340</v>
      </c>
      <c r="N1017" s="23">
        <f>IFERROR(__xludf.DUMMYFUNCTION("""COMPUTED_VALUE"""),45368.0)</f>
        <v>45368</v>
      </c>
      <c r="O1017" s="20"/>
      <c r="P1017" s="32" t="str">
        <f>IFERROR(__xludf.DUMMYFUNCTION("""COMPUTED_VALUE"""),"可")</f>
        <v>可</v>
      </c>
      <c r="Q1017" s="30"/>
      <c r="R1017" s="22"/>
      <c r="S1017" s="22" t="str">
        <f>IFERROR(__xludf.DUMMYFUNCTION("""COMPUTED_VALUE"""),"20231225_inkworks_＃氷室くんは恋したくない")</f>
        <v>20231225_inkworks_＃氷室くんは恋したくない</v>
      </c>
      <c r="T1017" s="22" t="str">
        <f>IFERROR(__xludf.DUMMYFUNCTION("""COMPUTED_VALUE"""),"格納済み")</f>
        <v>格納済み</v>
      </c>
      <c r="U1017" s="15" t="str">
        <f>IFERROR(__xludf.DUMMYFUNCTION("""COMPUTED_VALUE"""),"(C)久留米くる/w/MAUVE")</f>
        <v>(C)久留米くる/w/MAUVE</v>
      </c>
      <c r="V1017" s="8" t="str">
        <f>IFERROR(__xludf.DUMMYFUNCTION("""COMPUTED_VALUE"""),"「俺の推しが今日も最高にかっこよすぎる―――！！！！！」
注目度急上昇中のアイドルデュオ【SUGGAR BOYS】。
メンバーである氷室侑李は、クールでミステリアスな雰囲気が大人気！
けれど彼には誰にも言えないヒミツの顔が…。
それは世のイメージが総崩れするほど、相方・美角梓真の大大大ファンであり、恋してるということ。
―この思いだけは絶対にバレちゃいけない…。
そう思ってプライベートを避け続けているのに、梓真の純粋な好意に後ろめたさが拭えなくて…？
陽キャイケメン（推し）×不器用美人（ファ"&amp;"ン）
胸キュン度120％のドラマティック・ラブ！
※本コンテンツには、コミックシーモア限定特典が付与されています")</f>
        <v>「俺の推しが今日も最高にかっこよすぎる―――！！！！！」
注目度急上昇中のアイドルデュオ【SUGGAR BOYS】。
メンバーである氷室侑李は、クールでミステリアスな雰囲気が大人気！
けれど彼には誰にも言えないヒミツの顔が…。
それは世のイメージが総崩れするほど、相方・美角梓真の大大大ファンであり、恋してるということ。
―この思いだけは絶対にバレちゃいけない…。
そう思ってプライベートを避け続けているのに、梓真の純粋な好意に後ろめたさが拭えなくて…？
陽キャイケメン（推し）×不器用美人（ファン）
胸キュン度120％のドラマティック・ラブ！
※本コンテンツには、コミックシーモア限定特典が付与されています</v>
      </c>
      <c r="W1017" s="14"/>
      <c r="X1017" s="14" t="str">
        <f>IFERROR(__xludf.DUMMYFUNCTION("""COMPUTED_VALUE"""),"有")</f>
        <v>有</v>
      </c>
      <c r="Y1017" s="8" t="str">
        <f>IFERROR(__xludf.DUMMYFUNCTION("""COMPUTED_VALUE"""),"P8まで")</f>
        <v>P8まで</v>
      </c>
      <c r="Z1017" s="7"/>
      <c r="AA1017" s="7"/>
      <c r="AB1017" s="7"/>
    </row>
    <row r="1018" ht="15.75" customHeight="1">
      <c r="A1018" s="26">
        <f>IFERROR(__xludf.DUMMYFUNCTION("""COMPUTED_VALUE"""),2783.0)</f>
        <v>2783</v>
      </c>
      <c r="B1018" s="22" t="str">
        <f>IFERROR(__xludf.DUMMYFUNCTION("""COMPUTED_VALUE"""),"確定")</f>
        <v>確定</v>
      </c>
      <c r="C1018" s="28">
        <f>IFERROR(__xludf.DUMMYFUNCTION("""COMPUTED_VALUE"""),45286.0)</f>
        <v>45286</v>
      </c>
      <c r="D1018" s="28">
        <f>IFERROR(__xludf.DUMMYFUNCTION("""COMPUTED_VALUE"""),45286.0)</f>
        <v>45286</v>
      </c>
      <c r="E1018" s="26">
        <f>IFERROR(__xludf.DUMMYFUNCTION("""COMPUTED_VALUE"""),281379.0)</f>
        <v>281379</v>
      </c>
      <c r="F1018" s="22" t="str">
        <f>IFERROR(__xludf.DUMMYFUNCTION("""COMPUTED_VALUE"""),"先輩は激甘完璧彼氏～ダメ彼から救ってくれたのは冷たいと思っていた先輩でした～先輩は激甘完璧彼氏～ダメ彼から救ってくれたのは冷たいと思っていた先輩でした～")</f>
        <v>先輩は激甘完璧彼氏～ダメ彼から救ってくれたのは冷たいと思っていた先輩でした～先輩は激甘完璧彼氏～ダメ彼から救ってくれたのは冷たいと思っていた先輩でした～</v>
      </c>
      <c r="G1018" s="20" t="str">
        <f>IFERROR(__xludf.DUMMYFUNCTION("""COMPUTED_VALUE"""),"1～3")</f>
        <v>1～3</v>
      </c>
      <c r="H1018" s="22" t="str">
        <f>IFERROR(__xludf.DUMMYFUNCTION("""COMPUTED_VALUE"""),"ちゃま")</f>
        <v>ちゃま</v>
      </c>
      <c r="I1018" s="14" t="str">
        <f>IFERROR(__xludf.DUMMYFUNCTION("""COMPUTED_VALUE"""),"女性")</f>
        <v>女性</v>
      </c>
      <c r="J1018" s="22"/>
      <c r="K1018" s="22"/>
      <c r="L1018" s="22" t="str">
        <f>IFERROR(__xludf.DUMMYFUNCTION("""COMPUTED_VALUE"""),"シーモアコミックス")</f>
        <v>シーモアコミックス</v>
      </c>
      <c r="M1018" s="23">
        <f>IFERROR(__xludf.DUMMYFUNCTION("""COMPUTED_VALUE"""),45324.0)</f>
        <v>45324</v>
      </c>
      <c r="N1018" s="33">
        <f>IFERROR(__xludf.DUMMYFUNCTION("""COMPUTED_VALUE"""),45477.0)</f>
        <v>45477</v>
      </c>
      <c r="O1018" s="20"/>
      <c r="P1018" s="29" t="str">
        <f>IFERROR(__xludf.DUMMYFUNCTION("""COMPUTED_VALUE"""),"可")</f>
        <v>可</v>
      </c>
      <c r="Q1018" s="30" t="str">
        <f>IFERROR(__xludf.DUMMYFUNCTION("""COMPUTED_VALUE"""),"※正式タイトル下記の通りです（12/26）&lt;BR&gt;＝＝＝&lt;BR&gt;先輩は激甘完璧彼氏～ダメ彼から救ってくれたのは冷たいと思っていた先輩でした～&lt;BR&gt;＝＝＝")</f>
        <v>※正式タイトル下記の通りです（12/26）&lt;BR&gt;＝＝＝&lt;BR&gt;先輩は激甘完璧彼氏～ダメ彼から救ってくれたのは冷たいと思っていた先輩でした～&lt;BR&gt;＝＝＝</v>
      </c>
      <c r="R1018" s="22"/>
      <c r="S1018" s="22" t="str">
        <f>IFERROR(__xludf.DUMMYFUNCTION("""COMPUTED_VALUE"""),"20231226_シーモアコミックス_先輩は激甘完璧彼氏～ダメ彼から救ってくれたのは冷たいと思っていた先輩でした～")</f>
        <v>20231226_シーモアコミックス_先輩は激甘完璧彼氏～ダメ彼から救ってくれたのは冷たいと思っていた先輩でした～</v>
      </c>
      <c r="T1018" s="22" t="str">
        <f>IFERROR(__xludf.DUMMYFUNCTION("""COMPUTED_VALUE"""),"格納済み")</f>
        <v>格納済み</v>
      </c>
      <c r="U1018" s="15" t="str">
        <f>IFERROR(__xludf.DUMMYFUNCTION("""COMPUTED_VALUE"""),"© ちゃま/シーモアコミックス")</f>
        <v>© ちゃま/シーモアコミックス</v>
      </c>
      <c r="V1018" s="8" t="str">
        <f>IFERROR(__xludf.DUMMYFUNCTION("""COMPUTED_VALUE"""),"『こいつ「元カノ」』付き合って3年目の彼氏が、知らない女と街で歩いているところを見かけ、声をかけた千尋。彼氏に嘘をつかれ、付きまといの激しい元カノとして紹介された千尋は、同棲中の家を出ていく決意をする。信じていた彼氏に裏切られ、傷ついていた千尋に声をかけたのは、「ちょっと怖い」と思っていた職場の白石先輩で――。")</f>
        <v>『こいつ「元カノ」』付き合って3年目の彼氏が、知らない女と街で歩いているところを見かけ、声をかけた千尋。彼氏に嘘をつかれ、付きまといの激しい元カノとして紹介された千尋は、同棲中の家を出ていく決意をする。信じていた彼氏に裏切られ、傷ついていた千尋に声をかけたのは、「ちょっと怖い」と思っていた職場の白石先輩で――。</v>
      </c>
      <c r="W1018" s="14"/>
      <c r="X1018" s="14" t="str">
        <f>IFERROR(__xludf.DUMMYFUNCTION("""COMPUTED_VALUE"""),"有")</f>
        <v>有</v>
      </c>
      <c r="Y1018" s="8" t="str">
        <f>IFERROR(__xludf.DUMMYFUNCTION("""COMPUTED_VALUE"""),"P12まで")</f>
        <v>P12まで</v>
      </c>
      <c r="Z1018" s="7"/>
      <c r="AA1018" s="7"/>
      <c r="AB1018" s="7"/>
    </row>
    <row r="1019" ht="15.75" customHeight="1">
      <c r="A1019" s="26">
        <f>IFERROR(__xludf.DUMMYFUNCTION("""COMPUTED_VALUE"""),2608.0)</f>
        <v>2608</v>
      </c>
      <c r="B1019" s="22" t="str">
        <f>IFERROR(__xludf.DUMMYFUNCTION("""COMPUTED_VALUE"""),"確定")</f>
        <v>確定</v>
      </c>
      <c r="C1019" s="28">
        <f>IFERROR(__xludf.DUMMYFUNCTION("""COMPUTED_VALUE"""),45237.0)</f>
        <v>45237</v>
      </c>
      <c r="D1019" s="28">
        <f>IFERROR(__xludf.DUMMYFUNCTION("""COMPUTED_VALUE"""),45301.0)</f>
        <v>45301</v>
      </c>
      <c r="E1019" s="31">
        <f>IFERROR(__xludf.DUMMYFUNCTION("""COMPUTED_VALUE"""),284983.0)</f>
        <v>284983</v>
      </c>
      <c r="F1019" s="22" t="str">
        <f>IFERROR(__xludf.DUMMYFUNCTION("""COMPUTED_VALUE"""),"ピンク・ディペンド")</f>
        <v>ピンク・ディペンド</v>
      </c>
      <c r="G1019" s="11" t="str">
        <f>IFERROR(__xludf.DUMMYFUNCTION("""COMPUTED_VALUE"""),"1～2")</f>
        <v>1～2</v>
      </c>
      <c r="H1019" s="22" t="str">
        <f>IFERROR(__xludf.DUMMYFUNCTION("""COMPUTED_VALUE"""),"こめおかしぐ")</f>
        <v>こめおかしぐ</v>
      </c>
      <c r="I1019" s="22" t="str">
        <f>IFERROR(__xludf.DUMMYFUNCTION("""COMPUTED_VALUE"""),"BL")</f>
        <v>BL</v>
      </c>
      <c r="J1019" s="22"/>
      <c r="K1019" s="22"/>
      <c r="L1019" s="22" t="str">
        <f>IFERROR(__xludf.DUMMYFUNCTION("""COMPUTED_VALUE"""),"CLLENN")</f>
        <v>CLLENN</v>
      </c>
      <c r="M1019" s="21">
        <f>IFERROR(__xludf.DUMMYFUNCTION("""COMPUTED_VALUE"""),45318.0)</f>
        <v>45318</v>
      </c>
      <c r="N1019" s="33">
        <f>IFERROR(__xludf.DUMMYFUNCTION("""COMPUTED_VALUE"""),45380.0)</f>
        <v>45380</v>
      </c>
      <c r="O1019" s="20"/>
      <c r="P1019" s="29" t="str">
        <f>IFERROR(__xludf.DUMMYFUNCTION("""COMPUTED_VALUE"""),"可")</f>
        <v>可</v>
      </c>
      <c r="Q1019" s="22" t="str">
        <f>IFERROR(__xludf.DUMMYFUNCTION("""COMPUTED_VALUE"""),"広告コミットOK(11/14)")</f>
        <v>広告コミットOK(11/14)</v>
      </c>
      <c r="R1019" s="22" t="str">
        <f>IFERROR(__xludf.DUMMYFUNCTION("""COMPUTED_VALUE"""),"確認中")</f>
        <v>確認中</v>
      </c>
      <c r="S1019" s="22" t="str">
        <f>IFERROR(__xludf.DUMMYFUNCTION("""COMPUTED_VALUE"""),"20240109_CLLENN_ピンク・ディペンド")</f>
        <v>20240109_CLLENN_ピンク・ディペンド</v>
      </c>
      <c r="T1019" s="22" t="str">
        <f>IFERROR(__xludf.DUMMYFUNCTION("""COMPUTED_VALUE"""),"格納済み")</f>
        <v>格納済み</v>
      </c>
      <c r="U1019" s="15" t="str">
        <f>IFERROR(__xludf.DUMMYFUNCTION("""COMPUTED_VALUE"""),"ⓒこめおかしぐ/CLLENN")</f>
        <v>ⓒこめおかしぐ/CLLENN</v>
      </c>
      <c r="V1019" s="8" t="str">
        <f>IFERROR(__xludf.DUMMYFUNCTION("""COMPUTED_VALUE"""),"「何か買いそうになったら、気持ちイイことして忘れましょう」恋人と別れてから通販での買い物が止まらなくなった山木（やまぎ）は、ある日電車で荷物を取り違えてしまう。中を見ると夕飯用に購入したはずの総菜が、アダルトグッズに変わっていた！荷物を取り違えた相手は、アダルトグッズショップの店長・石倉（いしくら）。石倉は山木がライターだと知ると、店の商品レビューを書くよう頼んできた。しかも、石倉自らグッズを手にして……「刺激的で、ハマっちゃうかもよ」そう耳元で囁かれ、ぐずぐずのとろとろにイかされて…体験したことのない刺"&amp;"激が気持ちイイ…！ドライな合理主義者×根が真面目な寂しがり屋。ビジネスライクな関係から始まった二人だったけど…？")</f>
        <v>「何か買いそうになったら、気持ちイイことして忘れましょう」恋人と別れてから通販での買い物が止まらなくなった山木（やまぎ）は、ある日電車で荷物を取り違えてしまう。中を見ると夕飯用に購入したはずの総菜が、アダルトグッズに変わっていた！荷物を取り違えた相手は、アダルトグッズショップの店長・石倉（いしくら）。石倉は山木がライターだと知ると、店の商品レビューを書くよう頼んできた。しかも、石倉自らグッズを手にして……「刺激的で、ハマっちゃうかもよ」そう耳元で囁かれ、ぐずぐずのとろとろにイかされて…体験したことのない刺激が気持ちイイ…！ドライな合理主義者×根が真面目な寂しがり屋。ビジネスライクな関係から始まった二人だったけど…？</v>
      </c>
      <c r="W1019" s="14"/>
      <c r="X1019" s="14" t="str">
        <f>IFERROR(__xludf.DUMMYFUNCTION("""COMPUTED_VALUE"""),"有")</f>
        <v>有</v>
      </c>
      <c r="Y1019" s="8" t="str">
        <f>IFERROR(__xludf.DUMMYFUNCTION("""COMPUTED_VALUE"""),"P10まで")</f>
        <v>P10まで</v>
      </c>
      <c r="Z1019" s="7"/>
      <c r="AA1019" s="7"/>
      <c r="AB1019" s="7"/>
    </row>
    <row r="1020" ht="15.75" customHeight="1">
      <c r="A1020" s="26">
        <f>IFERROR(__xludf.DUMMYFUNCTION("""COMPUTED_VALUE"""),2702.0)</f>
        <v>2702</v>
      </c>
      <c r="B1020" s="22" t="str">
        <f>IFERROR(__xludf.DUMMYFUNCTION("""COMPUTED_VALUE"""),"確定")</f>
        <v>確定</v>
      </c>
      <c r="C1020" s="28">
        <f>IFERROR(__xludf.DUMMYFUNCTION("""COMPUTED_VALUE"""),45260.0)</f>
        <v>45260</v>
      </c>
      <c r="D1020" s="28">
        <f>IFERROR(__xludf.DUMMYFUNCTION("""COMPUTED_VALUE"""),45301.0)</f>
        <v>45301</v>
      </c>
      <c r="E1020" s="31">
        <f>IFERROR(__xludf.DUMMYFUNCTION("""COMPUTED_VALUE"""),286283.0)</f>
        <v>286283</v>
      </c>
      <c r="F1020" s="22" t="str">
        <f>IFERROR(__xludf.DUMMYFUNCTION("""COMPUTED_VALUE"""),"きまじめ旦那様の隠しきれない情欲溺愛～偽装結婚から甘い恋を始めます～【分冊版】")</f>
        <v>きまじめ旦那様の隠しきれない情欲溺愛～偽装結婚から甘い恋を始めます～【分冊版】</v>
      </c>
      <c r="G1020" s="20" t="str">
        <f>IFERROR(__xludf.DUMMYFUNCTION("""COMPUTED_VALUE"""),"1~3")</f>
        <v>1~3</v>
      </c>
      <c r="H1020" s="22" t="str">
        <f>IFERROR(__xludf.DUMMYFUNCTION("""COMPUTED_VALUE"""),"moca・西條六花")</f>
        <v>moca・西條六花</v>
      </c>
      <c r="I1020" s="22" t="str">
        <f>IFERROR(__xludf.DUMMYFUNCTION("""COMPUTED_VALUE"""),"女性")</f>
        <v>女性</v>
      </c>
      <c r="J1020" s="22"/>
      <c r="K1020" s="22"/>
      <c r="L1020" s="22" t="str">
        <f>IFERROR(__xludf.DUMMYFUNCTION("""COMPUTED_VALUE"""),"ハーパーコリンズ・ジャパン")</f>
        <v>ハーパーコリンズ・ジャパン</v>
      </c>
      <c r="M1020" s="23">
        <f>IFERROR(__xludf.DUMMYFUNCTION("""COMPUTED_VALUE"""),45338.0)</f>
        <v>45338</v>
      </c>
      <c r="N1020" s="23">
        <f>IFERROR(__xludf.DUMMYFUNCTION("""COMPUTED_VALUE"""),45399.0)</f>
        <v>45399</v>
      </c>
      <c r="O1020" s="20"/>
      <c r="P1020" s="29" t="str">
        <f>IFERROR(__xludf.DUMMYFUNCTION("""COMPUTED_VALUE"""),"否")</f>
        <v>否</v>
      </c>
      <c r="Q1020" s="22" t="str">
        <f>IFERROR(__xludf.DUMMYFUNCTION("""COMPUTED_VALUE"""),"広告コミットOK(12/7)&lt;BR&gt;")</f>
        <v>広告コミットOK(12/7)&lt;BR&gt;</v>
      </c>
      <c r="R1020" s="22" t="str">
        <f>IFERROR(__xludf.DUMMYFUNCTION("""COMPUTED_VALUE"""),"格納済")</f>
        <v>格納済</v>
      </c>
      <c r="S1020" s="22" t="str">
        <f>IFERROR(__xludf.DUMMYFUNCTION("""COMPUTED_VALUE"""),"20231228_ハーパーコリンズ_きまじめ旦那様の隠しきれない情欲溺愛～偽装結婚から甘い恋を始めます～")</f>
        <v>20231228_ハーパーコリンズ_きまじめ旦那様の隠しきれない情欲溺愛～偽装結婚から甘い恋を始めます～</v>
      </c>
      <c r="T1020" s="22" t="str">
        <f>IFERROR(__xludf.DUMMYFUNCTION("""COMPUTED_VALUE"""),"格納済み")</f>
        <v>格納済み</v>
      </c>
      <c r="U1020" s="15" t="str">
        <f>IFERROR(__xludf.DUMMYFUNCTION("""COMPUTED_VALUE"""),"（C)moca・西條六花／ハーパーコリンズ・ジャパン")</f>
        <v>（C)moca・西條六花／ハーパーコリンズ・ジャパン</v>
      </c>
      <c r="V1020" s="8" t="str">
        <f>IFERROR(__xludf.DUMMYFUNCTION("""COMPUTED_VALUE"""),"大学1年の夏―――18歳の私は、兄の親友で初恋の人と結婚した
事故で家族を失った栞は、兄の親友・中沢匠とワケあって偽装結婚したものの匠を一途に想っていた。もっと近づきたい、本当の夫婦になりたい…。3年目の結婚記念日の今日、想いを伝えようと決意を胸にした矢先、栞は匠から「離婚しようか」と宣言されてしまう。離婚回避のために策を練る栞だったがことごとく失敗、さらには夫が女性とふたりっきりの場面まで目撃してしまい――…？")</f>
        <v>大学1年の夏―――18歳の私は、兄の親友で初恋の人と結婚した
事故で家族を失った栞は、兄の親友・中沢匠とワケあって偽装結婚したものの匠を一途に想っていた。もっと近づきたい、本当の夫婦になりたい…。3年目の結婚記念日の今日、想いを伝えようと決意を胸にした矢先、栞は匠から「離婚しようか」と宣言されてしまう。離婚回避のために策を練る栞だったがことごとく失敗、さらには夫が女性とふたりっきりの場面まで目撃してしまい――…？</v>
      </c>
      <c r="W1020" s="14"/>
      <c r="X1020" s="14" t="str">
        <f>IFERROR(__xludf.DUMMYFUNCTION("""COMPUTED_VALUE"""),"有")</f>
        <v>有</v>
      </c>
      <c r="Y1020" s="8" t="str">
        <f>IFERROR(__xludf.DUMMYFUNCTION("""COMPUTED_VALUE"""),"P6まで")</f>
        <v>P6まで</v>
      </c>
      <c r="Z1020" s="7"/>
      <c r="AA1020" s="7"/>
      <c r="AB1020" s="7"/>
    </row>
    <row r="1021" ht="15.75" customHeight="1">
      <c r="A1021" s="26">
        <f>IFERROR(__xludf.DUMMYFUNCTION("""COMPUTED_VALUE"""),2736.0)</f>
        <v>2736</v>
      </c>
      <c r="B1021" s="22" t="str">
        <f>IFERROR(__xludf.DUMMYFUNCTION("""COMPUTED_VALUE"""),"確定")</f>
        <v>確定</v>
      </c>
      <c r="C1021" s="28">
        <f>IFERROR(__xludf.DUMMYFUNCTION("""COMPUTED_VALUE"""),45271.0)</f>
        <v>45271</v>
      </c>
      <c r="D1021" s="28">
        <f>IFERROR(__xludf.DUMMYFUNCTION("""COMPUTED_VALUE"""),45301.0)</f>
        <v>45301</v>
      </c>
      <c r="E1021" s="31">
        <f>IFERROR(__xludf.DUMMYFUNCTION("""COMPUTED_VALUE"""),285800.0)</f>
        <v>285800</v>
      </c>
      <c r="F1021" s="22" t="str">
        <f>IFERROR(__xludf.DUMMYFUNCTION("""COMPUTED_VALUE"""),"いいよって言ったらどうすんの？")</f>
        <v>いいよって言ったらどうすんの？</v>
      </c>
      <c r="G1021" s="11" t="str">
        <f>IFERROR(__xludf.DUMMYFUNCTION("""COMPUTED_VALUE"""),"1～2")</f>
        <v>1～2</v>
      </c>
      <c r="H1021" s="22" t="str">
        <f>IFERROR(__xludf.DUMMYFUNCTION("""COMPUTED_VALUE"""),"34番地")</f>
        <v>34番地</v>
      </c>
      <c r="I1021" s="22" t="str">
        <f>IFERROR(__xludf.DUMMYFUNCTION("""COMPUTED_VALUE"""),"BL")</f>
        <v>BL</v>
      </c>
      <c r="J1021" s="22"/>
      <c r="K1021" s="22"/>
      <c r="L1021" s="22" t="str">
        <f>IFERROR(__xludf.DUMMYFUNCTION("""COMPUTED_VALUE"""),"MUGENUP")</f>
        <v>MUGENUP</v>
      </c>
      <c r="M1021" s="23">
        <f>IFERROR(__xludf.DUMMYFUNCTION("""COMPUTED_VALUE"""),45325.0)</f>
        <v>45325</v>
      </c>
      <c r="N1021" s="33">
        <f>IFERROR(__xludf.DUMMYFUNCTION("""COMPUTED_VALUE"""),45048.0)</f>
        <v>45048</v>
      </c>
      <c r="O1021" s="20"/>
      <c r="P1021" s="29" t="str">
        <f>IFERROR(__xludf.DUMMYFUNCTION("""COMPUTED_VALUE"""),"可")</f>
        <v>可</v>
      </c>
      <c r="Q1021" s="22" t="str">
        <f>IFERROR(__xludf.DUMMYFUNCTION("""COMPUTED_VALUE"""),"広告コミットOK(12/19)")</f>
        <v>広告コミットOK(12/19)</v>
      </c>
      <c r="R1021" s="22" t="str">
        <f>IFERROR(__xludf.DUMMYFUNCTION("""COMPUTED_VALUE"""),"格納済み")</f>
        <v>格納済み</v>
      </c>
      <c r="S1021" s="22" t="str">
        <f>IFERROR(__xludf.DUMMYFUNCTION("""COMPUTED_VALUE"""),"20231211_MUGENUP_いいよって言ったらどうすんの？")</f>
        <v>20231211_MUGENUP_いいよって言ったらどうすんの？</v>
      </c>
      <c r="T1021" s="22" t="str">
        <f>IFERROR(__xludf.DUMMYFUNCTION("""COMPUTED_VALUE"""),"格納済み")</f>
        <v>格納済み</v>
      </c>
      <c r="U1021" s="15" t="str">
        <f>IFERROR(__xludf.DUMMYFUNCTION("""COMPUTED_VALUE"""),"(C)34番地／MUGENUP")</f>
        <v>(C)34番地／MUGENUP</v>
      </c>
      <c r="V1021" s="8" t="str">
        <f>IFERROR(__xludf.DUMMYFUNCTION("""COMPUTED_VALUE"""),"どこにでもある普通の居酒屋。
そこでは、5年間両片思いの二人の攻防が日々繰り広げられている。
榊鮫矢はごく普通の刑事。そんな彼の呑み相手は今をときめくファッションモデル兼インフルエンサーの橋本梟。ひょんなことから関わりを持ち、今では居酒屋で呑む間柄だ。
軽快なトークを繰り広げる二人だが、実は絶賛両片思い中。
そんな、二人に周りはもどかしい思いを抱いている。
ある日、榊が冗談で「尻でも触ろうか？」と言うと頬を赤らめた梟が「いいよって言ったらどうすんの？」と返事をし・・・！？")</f>
        <v>どこにでもある普通の居酒屋。
そこでは、5年間両片思いの二人の攻防が日々繰り広げられている。
榊鮫矢はごく普通の刑事。そんな彼の呑み相手は今をときめくファッションモデル兼インフルエンサーの橋本梟。ひょんなことから関わりを持ち、今では居酒屋で呑む間柄だ。
軽快なトークを繰り広げる二人だが、実は絶賛両片思い中。
そんな、二人に周りはもどかしい思いを抱いている。
ある日、榊が冗談で「尻でも触ろうか？」と言うと頬を赤らめた梟が「いいよって言ったらどうすんの？」と返事をし・・・！？</v>
      </c>
      <c r="W1021" s="14"/>
      <c r="X1021" s="14" t="str">
        <f>IFERROR(__xludf.DUMMYFUNCTION("""COMPUTED_VALUE"""),"有")</f>
        <v>有</v>
      </c>
      <c r="Y1021" s="8" t="str">
        <f>IFERROR(__xludf.DUMMYFUNCTION("""COMPUTED_VALUE"""),"P14まで")</f>
        <v>P14まで</v>
      </c>
      <c r="Z1021" s="7"/>
      <c r="AA1021" s="7"/>
      <c r="AB1021" s="7"/>
    </row>
    <row r="1022" ht="15.75" customHeight="1">
      <c r="A1022" s="26">
        <f>IFERROR(__xludf.DUMMYFUNCTION("""COMPUTED_VALUE"""),2784.0)</f>
        <v>2784</v>
      </c>
      <c r="B1022" s="22" t="str">
        <f>IFERROR(__xludf.DUMMYFUNCTION("""COMPUTED_VALUE"""),"確定")</f>
        <v>確定</v>
      </c>
      <c r="C1022" s="28">
        <f>IFERROR(__xludf.DUMMYFUNCTION("""COMPUTED_VALUE"""),45287.0)</f>
        <v>45287</v>
      </c>
      <c r="D1022" s="28">
        <f>IFERROR(__xludf.DUMMYFUNCTION("""COMPUTED_VALUE"""),45288.0)</f>
        <v>45288</v>
      </c>
      <c r="E1022" s="31">
        <f>IFERROR(__xludf.DUMMYFUNCTION("""COMPUTED_VALUE"""),285228.0)</f>
        <v>285228</v>
      </c>
      <c r="F1022" s="22" t="str">
        <f>IFERROR(__xludf.DUMMYFUNCTION("""COMPUTED_VALUE"""),"ヘンタイ作家とヒミツの絵師")</f>
        <v>ヘンタイ作家とヒミツの絵師</v>
      </c>
      <c r="G1022" s="11" t="str">
        <f>IFERROR(__xludf.DUMMYFUNCTION("""COMPUTED_VALUE"""),"1～4")</f>
        <v>1～4</v>
      </c>
      <c r="H1022" s="22" t="str">
        <f>IFERROR(__xludf.DUMMYFUNCTION("""COMPUTED_VALUE"""),"Yuja")</f>
        <v>Yuja</v>
      </c>
      <c r="I1022" s="22" t="str">
        <f>IFERROR(__xludf.DUMMYFUNCTION("""COMPUTED_VALUE"""),"青年")</f>
        <v>青年</v>
      </c>
      <c r="J1022" s="22"/>
      <c r="K1022" s="22"/>
      <c r="L1022" s="22" t="str">
        <f>IFERROR(__xludf.DUMMYFUNCTION("""COMPUTED_VALUE"""),"Rush!")</f>
        <v>Rush!</v>
      </c>
      <c r="M1022" s="23">
        <f>IFERROR(__xludf.DUMMYFUNCTION("""COMPUTED_VALUE"""),45324.0)</f>
        <v>45324</v>
      </c>
      <c r="N1022" s="23">
        <f>IFERROR(__xludf.DUMMYFUNCTION("""COMPUTED_VALUE"""),45414.0)</f>
        <v>45414</v>
      </c>
      <c r="O1022" s="20"/>
      <c r="P1022" s="29" t="str">
        <f>IFERROR(__xludf.DUMMYFUNCTION("""COMPUTED_VALUE"""),"可")</f>
        <v>可</v>
      </c>
      <c r="Q1022" s="30" t="str">
        <f>IFERROR(__xludf.DUMMYFUNCTION("""COMPUTED_VALUE"""),"協業レーベル『シーモア×Rush!』作品です。")</f>
        <v>協業レーベル『シーモア×Rush!』作品です。</v>
      </c>
      <c r="R1022" s="22"/>
      <c r="S1022" s="22" t="str">
        <f>IFERROR(__xludf.DUMMYFUNCTION("""COMPUTED_VALUE"""),"20231227_ファンギルド_ヘンタイ作家とヒミツの絵師")</f>
        <v>20231227_ファンギルド_ヘンタイ作家とヒミツの絵師</v>
      </c>
      <c r="T1022" s="22" t="str">
        <f>IFERROR(__xludf.DUMMYFUNCTION("""COMPUTED_VALUE"""),"格納済み")</f>
        <v>格納済み</v>
      </c>
      <c r="U1022" s="15" t="str">
        <f>IFERROR(__xludf.DUMMYFUNCTION("""COMPUTED_VALUE"""),"©Yuja/GAURU/yaplanet/TOPTOON")</f>
        <v>©Yuja/GAURU/yaplanet/TOPTOON</v>
      </c>
      <c r="V1022" s="8" t="str">
        <f>IFERROR(__xludf.DUMMYFUNCTION("""COMPUTED_VALUE"""),"ネット上で人気を博している成人向け小説作家、入野稔（いりのみのる）。日々枯渇するインスピレーションの湖を、神絵師・ＨＮＥの刺激的なイラストで潤わせながら作家業を続けていた。本業は大学生である稔はある日、学内で偶然目にしてしまう――学科一の美少女・花江（はなえ）のモニターに、ＨＮＥに依頼したイラストのラフが描かれているのを！弱みを握って好き放題できると思いきや、何故か花江に挑発された稔は自作小説のドＳ主人公のように豹変！？強引に迫られた花江も動揺――するどころか内心大興奮で！？恋愛経験ゼロのヘンタイ作家とヒ"&amp;"ミツを抱えた神絵師との、誰にも言えないナイショの関係が始まる！")</f>
        <v>ネット上で人気を博している成人向け小説作家、入野稔（いりのみのる）。日々枯渇するインスピレーションの湖を、神絵師・ＨＮＥの刺激的なイラストで潤わせながら作家業を続けていた。本業は大学生である稔はある日、学内で偶然目にしてしまう――学科一の美少女・花江（はなえ）のモニターに、ＨＮＥに依頼したイラストのラフが描かれているのを！弱みを握って好き放題できると思いきや、何故か花江に挑発された稔は自作小説のドＳ主人公のように豹変！？強引に迫られた花江も動揺――するどころか内心大興奮で！？恋愛経験ゼロのヘンタイ作家とヒミツを抱えた神絵師との、誰にも言えないナイショの関係が始まる！</v>
      </c>
      <c r="W1022" s="14"/>
      <c r="X1022" s="14" t="str">
        <f>IFERROR(__xludf.DUMMYFUNCTION("""COMPUTED_VALUE"""),"有")</f>
        <v>有</v>
      </c>
      <c r="Y1022" s="8" t="str">
        <f>IFERROR(__xludf.DUMMYFUNCTION("""COMPUTED_VALUE"""),"2024/2/15まで1巻無料")</f>
        <v>2024/2/15まで1巻無料</v>
      </c>
      <c r="Z1022" s="7"/>
      <c r="AA1022" s="7"/>
      <c r="AB1022" s="7"/>
    </row>
    <row r="1023" ht="15.75" customHeight="1">
      <c r="A1023" s="26">
        <f>IFERROR(__xludf.DUMMYFUNCTION("""COMPUTED_VALUE"""),2785.0)</f>
        <v>2785</v>
      </c>
      <c r="B1023" s="22" t="str">
        <f>IFERROR(__xludf.DUMMYFUNCTION("""COMPUTED_VALUE"""),"確定")</f>
        <v>確定</v>
      </c>
      <c r="C1023" s="28">
        <f>IFERROR(__xludf.DUMMYFUNCTION("""COMPUTED_VALUE"""),45287.0)</f>
        <v>45287</v>
      </c>
      <c r="D1023" s="28">
        <f>IFERROR(__xludf.DUMMYFUNCTION("""COMPUTED_VALUE"""),45300.0)</f>
        <v>45300</v>
      </c>
      <c r="E1023" s="31">
        <f>IFERROR(__xludf.DUMMYFUNCTION("""COMPUTED_VALUE"""),285412.0)</f>
        <v>285412</v>
      </c>
      <c r="F1023" s="22" t="str">
        <f>IFERROR(__xludf.DUMMYFUNCTION("""COMPUTED_VALUE"""),"オンナムラ")</f>
        <v>オンナムラ</v>
      </c>
      <c r="G1023" s="20" t="str">
        <f>IFERROR(__xludf.DUMMYFUNCTION("""COMPUTED_VALUE"""),"1~5")</f>
        <v>1~5</v>
      </c>
      <c r="H1023" s="22" t="str">
        <f>IFERROR(__xludf.DUMMYFUNCTION("""COMPUTED_VALUE"""),"みや中みえ")</f>
        <v>みや中みえ</v>
      </c>
      <c r="I1023" s="22" t="str">
        <f>IFERROR(__xludf.DUMMYFUNCTION("""COMPUTED_VALUE"""),"青年")</f>
        <v>青年</v>
      </c>
      <c r="J1023" s="22"/>
      <c r="K1023" s="22"/>
      <c r="L1023" s="22" t="str">
        <f>IFERROR(__xludf.DUMMYFUNCTION("""COMPUTED_VALUE"""),"ファンギルド")</f>
        <v>ファンギルド</v>
      </c>
      <c r="M1023" s="23">
        <f>IFERROR(__xludf.DUMMYFUNCTION("""COMPUTED_VALUE"""),45332.0)</f>
        <v>45332</v>
      </c>
      <c r="N1023" s="33">
        <f>IFERROR(__xludf.DUMMYFUNCTION("""COMPUTED_VALUE"""),2958465.0)</f>
        <v>2958465</v>
      </c>
      <c r="O1023" s="20"/>
      <c r="P1023" s="29" t="str">
        <f>IFERROR(__xludf.DUMMYFUNCTION("""COMPUTED_VALUE"""),"可")</f>
        <v>可</v>
      </c>
      <c r="Q1023" s="30" t="str">
        <f>IFERROR(__xludf.DUMMYFUNCTION("""COMPUTED_VALUE"""),"協業レーベル『シーモア×コミックアウル』作品です。")</f>
        <v>協業レーベル『シーモア×コミックアウル』作品です。</v>
      </c>
      <c r="R1023" s="22"/>
      <c r="S1023" s="22" t="str">
        <f>IFERROR(__xludf.DUMMYFUNCTION("""COMPUTED_VALUE"""),"20231227_ファンギルド_オンナムラ")</f>
        <v>20231227_ファンギルド_オンナムラ</v>
      </c>
      <c r="T1023" s="22" t="str">
        <f>IFERROR(__xludf.DUMMYFUNCTION("""COMPUTED_VALUE"""),"格納済み")</f>
        <v>格納済み</v>
      </c>
      <c r="U1023" s="15" t="str">
        <f>IFERROR(__xludf.DUMMYFUNCTION("""COMPUTED_VALUE"""),"Ⓒみや中みえ/ファンギルド")</f>
        <v>Ⓒみや中みえ/ファンギルド</v>
      </c>
      <c r="V1023" s="8" t="str">
        <f>IFERROR(__xludf.DUMMYFUNCTION("""COMPUTED_VALUE"""),"モニターツアーに誘われ、片田舎の村にやって来た女子大学生のあい、麗華、良子。そこは「女和村（オンナムラ）」と呼ばれ、はるか昔からある”商品”の売買で繁栄した恐ろしい村だった。旅行の最終日に催される祭儀が近づくにつれ、あいは村の異常性に気付いていく。「オンナ…オンナ…オンナ」あいたちは不気味な村人たちから逃げられるのか…！")</f>
        <v>モニターツアーに誘われ、片田舎の村にやって来た女子大学生のあい、麗華、良子。そこは「女和村（オンナムラ）」と呼ばれ、はるか昔からある”商品”の売買で繁栄した恐ろしい村だった。旅行の最終日に催される祭儀が近づくにつれ、あいは村の異常性に気付いていく。「オンナ…オンナ…オンナ」あいたちは不気味な村人たちから逃げられるのか…！</v>
      </c>
      <c r="W1023" s="14"/>
      <c r="X1023" s="14" t="str">
        <f>IFERROR(__xludf.DUMMYFUNCTION("""COMPUTED_VALUE"""),"有")</f>
        <v>有</v>
      </c>
      <c r="Y1023" s="8" t="str">
        <f>IFERROR(__xludf.DUMMYFUNCTION("""COMPUTED_VALUE"""),"P7まで")</f>
        <v>P7まで</v>
      </c>
      <c r="Z1023" s="7"/>
      <c r="AA1023" s="7"/>
      <c r="AB1023" s="7"/>
    </row>
    <row r="1024" ht="15.75" customHeight="1">
      <c r="A1024" s="26">
        <f>IFERROR(__xludf.DUMMYFUNCTION("""COMPUTED_VALUE"""),2786.0)</f>
        <v>2786</v>
      </c>
      <c r="B1024" s="22" t="str">
        <f>IFERROR(__xludf.DUMMYFUNCTION("""COMPUTED_VALUE"""),"確定")</f>
        <v>確定</v>
      </c>
      <c r="C1024" s="28">
        <f>IFERROR(__xludf.DUMMYFUNCTION("""COMPUTED_VALUE"""),45287.0)</f>
        <v>45287</v>
      </c>
      <c r="D1024" s="28">
        <f>IFERROR(__xludf.DUMMYFUNCTION("""COMPUTED_VALUE"""),45288.0)</f>
        <v>45288</v>
      </c>
      <c r="E1024" s="31">
        <f>IFERROR(__xludf.DUMMYFUNCTION("""COMPUTED_VALUE"""),285759.0)</f>
        <v>285759</v>
      </c>
      <c r="F1024" s="22" t="str">
        <f>IFERROR(__xludf.DUMMYFUNCTION("""COMPUTED_VALUE"""),"のろわれエッチ")</f>
        <v>のろわれエッチ</v>
      </c>
      <c r="G1024" s="20" t="str">
        <f>IFERROR(__xludf.DUMMYFUNCTION("""COMPUTED_VALUE"""),"1～3")</f>
        <v>1～3</v>
      </c>
      <c r="H1024" s="22" t="str">
        <f>IFERROR(__xludf.DUMMYFUNCTION("""COMPUTED_VALUE"""),"MODO")</f>
        <v>MODO</v>
      </c>
      <c r="I1024" s="22" t="str">
        <f>IFERROR(__xludf.DUMMYFUNCTION("""COMPUTED_VALUE"""),"青年")</f>
        <v>青年</v>
      </c>
      <c r="J1024" s="22"/>
      <c r="K1024" s="22"/>
      <c r="L1024" s="22" t="str">
        <f>IFERROR(__xludf.DUMMYFUNCTION("""COMPUTED_VALUE"""),"Rush!")</f>
        <v>Rush!</v>
      </c>
      <c r="M1024" s="23">
        <f>IFERROR(__xludf.DUMMYFUNCTION("""COMPUTED_VALUE"""),45336.0)</f>
        <v>45336</v>
      </c>
      <c r="N1024" s="23">
        <f>IFERROR(__xludf.DUMMYFUNCTION("""COMPUTED_VALUE"""),45363.0)</f>
        <v>45363</v>
      </c>
      <c r="O1024" s="20"/>
      <c r="P1024" s="32" t="str">
        <f>IFERROR(__xludf.DUMMYFUNCTION("""COMPUTED_VALUE"""),"可")</f>
        <v>可</v>
      </c>
      <c r="Q1024" s="30"/>
      <c r="R1024" s="22"/>
      <c r="S1024" s="22" t="str">
        <f>IFERROR(__xludf.DUMMYFUNCTION("""COMPUTED_VALUE"""),"20231227_ファンギルド_のろわれエッチ")</f>
        <v>20231227_ファンギルド_のろわれエッチ</v>
      </c>
      <c r="T1024" s="22" t="str">
        <f>IFERROR(__xludf.DUMMYFUNCTION("""COMPUTED_VALUE"""),"格納済み")</f>
        <v>格納済み</v>
      </c>
      <c r="U1024" s="15" t="str">
        <f>IFERROR(__xludf.DUMMYFUNCTION("""COMPUTED_VALUE"""),"©MODO/Grouzamu/TOPTOON")</f>
        <v>©MODO/Grouzamu/TOPTOON</v>
      </c>
      <c r="V1024" s="8" t="str">
        <f>IFERROR(__xludf.DUMMYFUNCTION("""COMPUTED_VALUE"""),"大学生のナ・テウンは二十歳の誕生日を境に見始めた淫夢に悩まされていた。なぜなら、その夢を見た日は決まって危険な目に合うのだ――股間だけが。藁にもすがる思いで女友達に紹介された占い師から伝えられたのは、テウンのはるか先祖にまつわる呪い。――女性と関係を持ち続けなければ、”不能”になる！？そんな不幸と引き換えに、どんな女も自分の虜に出来る力があると知らされて！？自身の大切なナニを守るため、生き残りを賭けた性存戦略が始まる！")</f>
        <v>大学生のナ・テウンは二十歳の誕生日を境に見始めた淫夢に悩まされていた。なぜなら、その夢を見た日は決まって危険な目に合うのだ――股間だけが。藁にもすがる思いで女友達に紹介された占い師から伝えられたのは、テウンのはるか先祖にまつわる呪い。――女性と関係を持ち続けなければ、”不能”になる！？そんな不幸と引き換えに、どんな女も自分の虜に出来る力があると知らされて！？自身の大切なナニを守るため、生き残りを賭けた性存戦略が始まる！</v>
      </c>
      <c r="W1024" s="14"/>
      <c r="X1024" s="14" t="str">
        <f>IFERROR(__xludf.DUMMYFUNCTION("""COMPUTED_VALUE"""),"有")</f>
        <v>有</v>
      </c>
      <c r="Y1024" s="8" t="str">
        <f>IFERROR(__xludf.DUMMYFUNCTION("""COMPUTED_VALUE"""),"P21まで")</f>
        <v>P21まで</v>
      </c>
      <c r="Z1024" s="7"/>
      <c r="AA1024" s="7"/>
      <c r="AB1024" s="7"/>
    </row>
    <row r="1025" ht="15.75" customHeight="1">
      <c r="A1025" s="26">
        <f>IFERROR(__xludf.DUMMYFUNCTION("""COMPUTED_VALUE"""),2787.0)</f>
        <v>2787</v>
      </c>
      <c r="B1025" s="22" t="str">
        <f>IFERROR(__xludf.DUMMYFUNCTION("""COMPUTED_VALUE"""),"確定")</f>
        <v>確定</v>
      </c>
      <c r="C1025" s="28">
        <f>IFERROR(__xludf.DUMMYFUNCTION("""COMPUTED_VALUE"""),45287.0)</f>
        <v>45287</v>
      </c>
      <c r="D1025" s="28">
        <f>IFERROR(__xludf.DUMMYFUNCTION("""COMPUTED_VALUE"""),45288.0)</f>
        <v>45288</v>
      </c>
      <c r="E1025" s="31">
        <f>IFERROR(__xludf.DUMMYFUNCTION("""COMPUTED_VALUE"""),285760.0)</f>
        <v>285760</v>
      </c>
      <c r="F1025" s="22" t="str">
        <f>IFERROR(__xludf.DUMMYFUNCTION("""COMPUTED_VALUE"""),"聖女不在による仮初め婚なのに、不器用な王太子に溺愛されています")</f>
        <v>聖女不在による仮初め婚なのに、不器用な王太子に溺愛されています</v>
      </c>
      <c r="G1025" s="20" t="str">
        <f>IFERROR(__xludf.DUMMYFUNCTION("""COMPUTED_VALUE"""),"1～3")</f>
        <v>1～3</v>
      </c>
      <c r="H1025" s="22" t="str">
        <f>IFERROR(__xludf.DUMMYFUNCTION("""COMPUTED_VALUE"""),"シンキロウ")</f>
        <v>シンキロウ</v>
      </c>
      <c r="I1025" s="22" t="str">
        <f>IFERROR(__xludf.DUMMYFUNCTION("""COMPUTED_VALUE"""),"少女")</f>
        <v>少女</v>
      </c>
      <c r="J1025" s="22"/>
      <c r="K1025" s="22"/>
      <c r="L1025" s="22" t="str">
        <f>IFERROR(__xludf.DUMMYFUNCTION("""COMPUTED_VALUE"""),"ファンギルド")</f>
        <v>ファンギルド</v>
      </c>
      <c r="M1025" s="23">
        <f>IFERROR(__xludf.DUMMYFUNCTION("""COMPUTED_VALUE"""),45333.0)</f>
        <v>45333</v>
      </c>
      <c r="N1025" s="23">
        <f>IFERROR(__xludf.DUMMYFUNCTION("""COMPUTED_VALUE"""),45392.0)</f>
        <v>45392</v>
      </c>
      <c r="O1025" s="20"/>
      <c r="P1025" s="32" t="str">
        <f>IFERROR(__xludf.DUMMYFUNCTION("""COMPUTED_VALUE"""),"可")</f>
        <v>可</v>
      </c>
      <c r="Q1025" s="30"/>
      <c r="R1025" s="22"/>
      <c r="S1025" s="22" t="str">
        <f>IFERROR(__xludf.DUMMYFUNCTION("""COMPUTED_VALUE"""),"20231227_ファンギルド_聖女不在による仮初め婚なのに、不器用な王太子に溺愛されています")</f>
        <v>20231227_ファンギルド_聖女不在による仮初め婚なのに、不器用な王太子に溺愛されています</v>
      </c>
      <c r="T1025" s="22" t="str">
        <f>IFERROR(__xludf.DUMMYFUNCTION("""COMPUTED_VALUE"""),"格納済み")</f>
        <v>格納済み</v>
      </c>
      <c r="U1025" s="15" t="str">
        <f>IFERROR(__xludf.DUMMYFUNCTION("""COMPUTED_VALUE"""),"Ⓒシンキロウ/ファンギルド")</f>
        <v>Ⓒシンキロウ/ファンギルド</v>
      </c>
      <c r="V1025" s="8" t="str">
        <f>IFERROR(__xludf.DUMMYFUNCTION("""COMPUTED_VALUE"""),"前世の記憶がある公爵令嬢ロザリアは、聖女に婚約者を奪われ、悪役令嬢として断罪される未来を回避するため、奮闘する日々を送っていた。だが、待てど暮せど聖女は現れずなんとそのまま王太子レイモンドと結婚することに!!聖女の出現を待ち侘びているレイモンドを見て、この結婚は聖女が現れるまでの繋ぎだと気がついたロザリアは離縁後の居場所を探すが……「結婚したからにはお前が俺の妻だ」なぜかレイモンドは不器用ながらも溺愛してきてーー??")</f>
        <v>前世の記憶がある公爵令嬢ロザリアは、聖女に婚約者を奪われ、悪役令嬢として断罪される未来を回避するため、奮闘する日々を送っていた。だが、待てど暮せど聖女は現れずなんとそのまま王太子レイモンドと結婚することに!!聖女の出現を待ち侘びているレイモンドを見て、この結婚は聖女が現れるまでの繋ぎだと気がついたロザリアは離縁後の居場所を探すが……「結婚したからにはお前が俺の妻だ」なぜかレイモンドは不器用ながらも溺愛してきてーー??</v>
      </c>
      <c r="W1025" s="14"/>
      <c r="X1025" s="14" t="str">
        <f>IFERROR(__xludf.DUMMYFUNCTION("""COMPUTED_VALUE"""),"有")</f>
        <v>有</v>
      </c>
      <c r="Y1025" s="8" t="str">
        <f>IFERROR(__xludf.DUMMYFUNCTION("""COMPUTED_VALUE"""),"P7まで")</f>
        <v>P7まで</v>
      </c>
      <c r="Z1025" s="7"/>
      <c r="AA1025" s="7"/>
      <c r="AB1025" s="7"/>
    </row>
    <row r="1026" ht="15.75" customHeight="1">
      <c r="A1026" s="26">
        <f>IFERROR(__xludf.DUMMYFUNCTION("""COMPUTED_VALUE"""),2788.0)</f>
        <v>2788</v>
      </c>
      <c r="B1026" s="22" t="str">
        <f>IFERROR(__xludf.DUMMYFUNCTION("""COMPUTED_VALUE"""),"確定")</f>
        <v>確定</v>
      </c>
      <c r="C1026" s="28">
        <f>IFERROR(__xludf.DUMMYFUNCTION("""COMPUTED_VALUE"""),45287.0)</f>
        <v>45287</v>
      </c>
      <c r="D1026" s="28">
        <f>IFERROR(__xludf.DUMMYFUNCTION("""COMPUTED_VALUE"""),45288.0)</f>
        <v>45288</v>
      </c>
      <c r="E1026" s="31">
        <f>IFERROR(__xludf.DUMMYFUNCTION("""COMPUTED_VALUE"""),288051.0)</f>
        <v>288051</v>
      </c>
      <c r="F1026" s="22" t="str">
        <f>IFERROR(__xludf.DUMMYFUNCTION("""COMPUTED_VALUE"""),"副社長、この執愛は契約違反です！【タテスク】")</f>
        <v>副社長、この執愛は契約違反です！【タテスク】</v>
      </c>
      <c r="G1026" s="11" t="str">
        <f>IFERROR(__xludf.DUMMYFUNCTION("""COMPUTED_VALUE"""),"1～10")</f>
        <v>1～10</v>
      </c>
      <c r="H1026" s="22" t="str">
        <f>IFERROR(__xludf.DUMMYFUNCTION("""COMPUTED_VALUE"""),"原作：羽村 美海、作画：MANGA SHOKUNIN STUDIO")</f>
        <v>原作：羽村 美海、作画：MANGA SHOKUNIN STUDIO</v>
      </c>
      <c r="I1026" s="22" t="str">
        <f>IFERROR(__xludf.DUMMYFUNCTION("""COMPUTED_VALUE"""),"女性")</f>
        <v>女性</v>
      </c>
      <c r="J1026" s="22"/>
      <c r="K1026" s="22"/>
      <c r="L1026" s="22" t="str">
        <f>IFERROR(__xludf.DUMMYFUNCTION("""COMPUTED_VALUE"""),"KADOKAWA")</f>
        <v>KADOKAWA</v>
      </c>
      <c r="M1026" s="23">
        <f>IFERROR(__xludf.DUMMYFUNCTION("""COMPUTED_VALUE"""),45344.0)</f>
        <v>45344</v>
      </c>
      <c r="N1026" s="33">
        <f>IFERROR(__xludf.DUMMYFUNCTION("""COMPUTED_VALUE"""),45433.0)</f>
        <v>45433</v>
      </c>
      <c r="O1026" s="20"/>
      <c r="P1026" s="32" t="str">
        <f>IFERROR(__xludf.DUMMYFUNCTION("""COMPUTED_VALUE"""),"否")</f>
        <v>否</v>
      </c>
      <c r="Q1026" s="22"/>
      <c r="R1026" s="22" t="str">
        <f>IFERROR(__xludf.DUMMYFUNCTION("""COMPUTED_VALUE"""),"格納済")</f>
        <v>格納済</v>
      </c>
      <c r="S1026" s="22" t="str">
        <f>IFERROR(__xludf.DUMMYFUNCTION("""COMPUTED_VALUE"""),"20231227_KADOKAWA_副社長")</f>
        <v>20231227_KADOKAWA_副社長</v>
      </c>
      <c r="T1026" s="22" t="str">
        <f>IFERROR(__xludf.DUMMYFUNCTION("""COMPUTED_VALUE"""),"格納済み")</f>
        <v>格納済み</v>
      </c>
      <c r="U1026" s="15" t="str">
        <f>IFERROR(__xludf.DUMMYFUNCTION("""COMPUTED_VALUE"""),"(C)Mimi Hamura, MANGA SHOKUNIN STUDIO, KADOKAWA")</f>
        <v>(C)Mimi Hamura, MANGA SHOKUNIN STUDIO, KADOKAWA</v>
      </c>
      <c r="V1026" s="8" t="str">
        <f>IFERROR(__xludf.DUMMYFUNCTION("""COMPUTED_VALUE"""),"秘書の間では厳しい性格で相手しづらいと噂の専務である隼。侑李も彼のことを苦手に思っていた。
それなのに、家庭の事情で弱味を握られた挙げ句、大きな借りまで作ってしまうことになり、隼からはある”契約”を持ちかけられる。
”恋人のフリ”だけのはずが、甘く淫らに翻弄されて……。気づけば囚われ、もう、逃げられない。")</f>
        <v>秘書の間では厳しい性格で相手しづらいと噂の専務である隼。侑李も彼のことを苦手に思っていた。
それなのに、家庭の事情で弱味を握られた挙げ句、大きな借りまで作ってしまうことになり、隼からはある”契約”を持ちかけられる。
”恋人のフリ”だけのはずが、甘く淫らに翻弄されて……。気づけば囚われ、もう、逃げられない。</v>
      </c>
      <c r="W1026" s="14"/>
      <c r="X1026" s="14" t="str">
        <f>IFERROR(__xludf.DUMMYFUNCTION("""COMPUTED_VALUE"""),"有")</f>
        <v>有</v>
      </c>
      <c r="Y1026" s="8" t="str">
        <f>IFERROR(__xludf.DUMMYFUNCTION("""COMPUTED_VALUE"""),"4巻無料")</f>
        <v>4巻無料</v>
      </c>
      <c r="Z1026" s="7"/>
      <c r="AA1026" s="7"/>
      <c r="AB1026" s="7"/>
    </row>
    <row r="1027" ht="15.75" customHeight="1">
      <c r="A1027" s="26">
        <f>IFERROR(__xludf.DUMMYFUNCTION("""COMPUTED_VALUE"""),2789.0)</f>
        <v>2789</v>
      </c>
      <c r="B1027" s="22" t="str">
        <f>IFERROR(__xludf.DUMMYFUNCTION("""COMPUTED_VALUE"""),"確定")</f>
        <v>確定</v>
      </c>
      <c r="C1027" s="28">
        <f>IFERROR(__xludf.DUMMYFUNCTION("""COMPUTED_VALUE"""),45287.0)</f>
        <v>45287</v>
      </c>
      <c r="D1027" s="28">
        <f>IFERROR(__xludf.DUMMYFUNCTION("""COMPUTED_VALUE"""),45288.0)</f>
        <v>45288</v>
      </c>
      <c r="E1027" s="31">
        <f>IFERROR(__xludf.DUMMYFUNCTION("""COMPUTED_VALUE"""),284295.0)</f>
        <v>284295</v>
      </c>
      <c r="F1027" s="22" t="str">
        <f>IFERROR(__xludf.DUMMYFUNCTION("""COMPUTED_VALUE"""),"ヤリたがりな僕ら")</f>
        <v>ヤリたがりな僕ら</v>
      </c>
      <c r="G1027" s="11" t="str">
        <f>IFERROR(__xludf.DUMMYFUNCTION("""COMPUTED_VALUE"""),"1～2")</f>
        <v>1～2</v>
      </c>
      <c r="H1027" s="22" t="str">
        <f>IFERROR(__xludf.DUMMYFUNCTION("""COMPUTED_VALUE"""),"武者サブ")</f>
        <v>武者サブ</v>
      </c>
      <c r="I1027" s="22" t="str">
        <f>IFERROR(__xludf.DUMMYFUNCTION("""COMPUTED_VALUE"""),"オトナ")</f>
        <v>オトナ</v>
      </c>
      <c r="J1027" s="22"/>
      <c r="K1027" s="22"/>
      <c r="L1027" s="22" t="str">
        <f>IFERROR(__xludf.DUMMYFUNCTION("""COMPUTED_VALUE"""),"ナンバーナイン")</f>
        <v>ナンバーナイン</v>
      </c>
      <c r="M1027" s="23">
        <f>IFERROR(__xludf.DUMMYFUNCTION("""COMPUTED_VALUE"""),45324.0)</f>
        <v>45324</v>
      </c>
      <c r="N1027" s="23">
        <f>IFERROR(__xludf.DUMMYFUNCTION("""COMPUTED_VALUE"""),45384.0)</f>
        <v>45384</v>
      </c>
      <c r="O1027" s="20"/>
      <c r="P1027" s="32" t="str">
        <f>IFERROR(__xludf.DUMMYFUNCTION("""COMPUTED_VALUE"""),"可")</f>
        <v>可</v>
      </c>
      <c r="Q1027" s="30"/>
      <c r="R1027" s="22"/>
      <c r="S1027" s="22" t="str">
        <f>IFERROR(__xludf.DUMMYFUNCTION("""COMPUTED_VALUE"""),"20231227_ナンバーナイン_ヤリたがりな僕ら")</f>
        <v>20231227_ナンバーナイン_ヤリたがりな僕ら</v>
      </c>
      <c r="T1027" s="22" t="str">
        <f>IFERROR(__xludf.DUMMYFUNCTION("""COMPUTED_VALUE"""),"格納済み")</f>
        <v>格納済み</v>
      </c>
      <c r="U1027" s="15" t="str">
        <f>IFERROR(__xludf.DUMMYFUNCTION("""COMPUTED_VALUE"""),"©武者サブ/ナンバーナイン")</f>
        <v>©武者サブ/ナンバーナイン</v>
      </c>
      <c r="V1027" s="8" t="str">
        <f>IFERROR(__xludf.DUMMYFUNCTION("""COMPUTED_VALUE"""),"配信中の「補習が必要な僕ら」「暴走彼女はヤリたがり」のペアカップルの続編です。一緒にナイトプールにいって、何も起こらないわけがなく…！？
水着脱ぎません。
竿交換なし。
百合じゃないです。")</f>
        <v>配信中の「補習が必要な僕ら」「暴走彼女はヤリたがり」のペアカップルの続編です。一緒にナイトプールにいって、何も起こらないわけがなく…！？
水着脱ぎません。
竿交換なし。
百合じゃないです。</v>
      </c>
      <c r="W1027" s="14"/>
      <c r="X1027" s="14" t="str">
        <f>IFERROR(__xludf.DUMMYFUNCTION("""COMPUTED_VALUE"""),"有")</f>
        <v>有</v>
      </c>
      <c r="Y1027" s="8" t="str">
        <f>IFERROR(__xludf.DUMMYFUNCTION("""COMPUTED_VALUE"""),"P7まで")</f>
        <v>P7まで</v>
      </c>
      <c r="Z1027" s="7"/>
      <c r="AA1027" s="7"/>
      <c r="AB1027" s="7"/>
    </row>
    <row r="1028" ht="15.75" customHeight="1">
      <c r="A1028" s="26">
        <f>IFERROR(__xludf.DUMMYFUNCTION("""COMPUTED_VALUE"""),2790.0)</f>
        <v>2790</v>
      </c>
      <c r="B1028" s="22" t="str">
        <f>IFERROR(__xludf.DUMMYFUNCTION("""COMPUTED_VALUE"""),"確定")</f>
        <v>確定</v>
      </c>
      <c r="C1028" s="28">
        <f>IFERROR(__xludf.DUMMYFUNCTION("""COMPUTED_VALUE"""),45287.0)</f>
        <v>45287</v>
      </c>
      <c r="D1028" s="28">
        <f>IFERROR(__xludf.DUMMYFUNCTION("""COMPUTED_VALUE"""),45300.0)</f>
        <v>45300</v>
      </c>
      <c r="E1028" s="31">
        <f>IFERROR(__xludf.DUMMYFUNCTION("""COMPUTED_VALUE"""),284886.0)</f>
        <v>284886</v>
      </c>
      <c r="F1028" s="22" t="str">
        <f>IFERROR(__xludf.DUMMYFUNCTION("""COMPUTED_VALUE"""),"君を忘れる恋がしたい")</f>
        <v>君を忘れる恋がしたい</v>
      </c>
      <c r="G1028" s="20">
        <f>IFERROR(__xludf.DUMMYFUNCTION("""COMPUTED_VALUE"""),1.0)</f>
        <v>1</v>
      </c>
      <c r="H1028" s="22" t="str">
        <f>IFERROR(__xludf.DUMMYFUNCTION("""COMPUTED_VALUE"""),"結木悠")</f>
        <v>結木悠</v>
      </c>
      <c r="I1028" s="22" t="str">
        <f>IFERROR(__xludf.DUMMYFUNCTION("""COMPUTED_VALUE"""),"少女")</f>
        <v>少女</v>
      </c>
      <c r="J1028" s="22"/>
      <c r="K1028" s="22"/>
      <c r="L1028" s="22" t="str">
        <f>IFERROR(__xludf.DUMMYFUNCTION("""COMPUTED_VALUE"""),"集英社")</f>
        <v>集英社</v>
      </c>
      <c r="M1028" s="23">
        <f>IFERROR(__xludf.DUMMYFUNCTION("""COMPUTED_VALUE"""),45316.0)</f>
        <v>45316</v>
      </c>
      <c r="N1028" s="33">
        <f>IFERROR(__xludf.DUMMYFUNCTION("""COMPUTED_VALUE"""),45376.66666666667)</f>
        <v>45376.66667</v>
      </c>
      <c r="O1028" s="20"/>
      <c r="P1028" s="29" t="str">
        <f>IFERROR(__xludf.DUMMYFUNCTION("""COMPUTED_VALUE"""),"否")</f>
        <v>否</v>
      </c>
      <c r="Q1028" s="30" t="str">
        <f>IFERROR(__xludf.DUMMYFUNCTION("""COMPUTED_VALUE"""),"別冊マーガレット")</f>
        <v>別冊マーガレット</v>
      </c>
      <c r="R1028" s="22"/>
      <c r="S1028" s="22" t="str">
        <f>IFERROR(__xludf.DUMMYFUNCTION("""COMPUTED_VALUE"""),"20231227_集英社_1月新作")</f>
        <v>20231227_集英社_1月新作</v>
      </c>
      <c r="T1028" s="22" t="str">
        <f>IFERROR(__xludf.DUMMYFUNCTION("""COMPUTED_VALUE"""),"素材確認中(1/9)")</f>
        <v>素材確認中(1/9)</v>
      </c>
      <c r="U1028" s="15" t="str">
        <f>IFERROR(__xludf.DUMMYFUNCTION("""COMPUTED_VALUE"""),"(C)結木悠／集英社")</f>
        <v>(C)結木悠／集英社</v>
      </c>
      <c r="V1028" s="8" t="str">
        <f>IFERROR(__xludf.DUMMYFUNCTION("""COMPUTED_VALUE"""),"中学生の時、ギターを弾く瀬名を見て恋に落ちた志乃。はじめての両想い、はじめての彼氏、はじめての…しかし瀬名の転校で、ふたりは別れてしまう。初恋をひきずったまま大学生になった志乃は瀬名とまさかの再会を果たす。でも純粋だった面影はすでになく…!?　呪いのような運命の恋。センチメンタル大学ラブ！")</f>
        <v>中学生の時、ギターを弾く瀬名を見て恋に落ちた志乃。はじめての両想い、はじめての彼氏、はじめての…しかし瀬名の転校で、ふたりは別れてしまう。初恋をひきずったまま大学生になった志乃は瀬名とまさかの再会を果たす。でも純粋だった面影はすでになく…!?　呪いのような運命の恋。センチメンタル大学ラブ！</v>
      </c>
      <c r="W1028" s="14"/>
      <c r="X1028" s="14" t="str">
        <f>IFERROR(__xludf.DUMMYFUNCTION("""COMPUTED_VALUE"""),"有")</f>
        <v>有</v>
      </c>
      <c r="Y1028" s="8" t="str">
        <f>IFERROR(__xludf.DUMMYFUNCTION("""COMPUTED_VALUE"""),"2024/2/7まで立ち読み増量P80まで")</f>
        <v>2024/2/7まで立ち読み増量P80まで</v>
      </c>
      <c r="Z1028" s="7"/>
      <c r="AA1028" s="7"/>
      <c r="AB1028" s="7"/>
    </row>
    <row r="1029" ht="15.75" customHeight="1">
      <c r="A1029" s="26">
        <f>IFERROR(__xludf.DUMMYFUNCTION("""COMPUTED_VALUE"""),2791.0)</f>
        <v>2791</v>
      </c>
      <c r="B1029" s="22" t="str">
        <f>IFERROR(__xludf.DUMMYFUNCTION("""COMPUTED_VALUE"""),"確定")</f>
        <v>確定</v>
      </c>
      <c r="C1029" s="28">
        <f>IFERROR(__xludf.DUMMYFUNCTION("""COMPUTED_VALUE"""),45287.0)</f>
        <v>45287</v>
      </c>
      <c r="D1029" s="28">
        <f>IFERROR(__xludf.DUMMYFUNCTION("""COMPUTED_VALUE"""),45288.0)</f>
        <v>45288</v>
      </c>
      <c r="E1029" s="31">
        <f>IFERROR(__xludf.DUMMYFUNCTION("""COMPUTED_VALUE"""),284880.0)</f>
        <v>284880</v>
      </c>
      <c r="F1029" s="22" t="str">
        <f>IFERROR(__xludf.DUMMYFUNCTION("""COMPUTED_VALUE"""),"東京宵待シンデレラ")</f>
        <v>東京宵待シンデレラ</v>
      </c>
      <c r="G1029" s="20" t="str">
        <f>IFERROR(__xludf.DUMMYFUNCTION("""COMPUTED_VALUE"""),"1～4")</f>
        <v>1～4</v>
      </c>
      <c r="H1029" s="22" t="str">
        <f>IFERROR(__xludf.DUMMYFUNCTION("""COMPUTED_VALUE"""),"東ねね")</f>
        <v>東ねね</v>
      </c>
      <c r="I1029" s="22" t="str">
        <f>IFERROR(__xludf.DUMMYFUNCTION("""COMPUTED_VALUE"""),"女性")</f>
        <v>女性</v>
      </c>
      <c r="J1029" s="22"/>
      <c r="K1029" s="22"/>
      <c r="L1029" s="22" t="str">
        <f>IFERROR(__xludf.DUMMYFUNCTION("""COMPUTED_VALUE"""),"集英社")</f>
        <v>集英社</v>
      </c>
      <c r="M1029" s="23">
        <f>IFERROR(__xludf.DUMMYFUNCTION("""COMPUTED_VALUE"""),45316.0)</f>
        <v>45316</v>
      </c>
      <c r="N1029" s="33">
        <f>IFERROR(__xludf.DUMMYFUNCTION("""COMPUTED_VALUE"""),45346.0)</f>
        <v>45346</v>
      </c>
      <c r="O1029" s="20"/>
      <c r="P1029" s="29" t="str">
        <f>IFERROR(__xludf.DUMMYFUNCTION("""COMPUTED_VALUE"""),"否")</f>
        <v>否</v>
      </c>
      <c r="Q1029" s="30" t="str">
        <f>IFERROR(__xludf.DUMMYFUNCTION("""COMPUTED_VALUE"""),"マンガmee")</f>
        <v>マンガmee</v>
      </c>
      <c r="R1029" s="22"/>
      <c r="S1029" s="22" t="str">
        <f>IFERROR(__xludf.DUMMYFUNCTION("""COMPUTED_VALUE"""),"20231227_集英社_1月新作")</f>
        <v>20231227_集英社_1月新作</v>
      </c>
      <c r="T1029" s="22" t="str">
        <f>IFERROR(__xludf.DUMMYFUNCTION("""COMPUTED_VALUE"""),"格納済み")</f>
        <v>格納済み</v>
      </c>
      <c r="U1029" s="15" t="str">
        <f>IFERROR(__xludf.DUMMYFUNCTION("""COMPUTED_VALUE"""),"(C)東ねね／集英社")</f>
        <v>(C)東ねね／集英社</v>
      </c>
      <c r="V1029" s="8" t="str">
        <f>IFERROR(__xludf.DUMMYFUNCTION("""COMPUTED_VALUE"""),"人気小説家のハルミはある日、友人に勧められ『女性用風俗』を利用することに。そこで初めて味わう“細胞レベルの快感”。自分の知らなかった感情が細胞ごと芽吹き、また会いたい思いがとまらない。ここに沼る、シンデレラたちの純粋な恋愛が始まる――。")</f>
        <v>人気小説家のハルミはある日、友人に勧められ『女性用風俗』を利用することに。そこで初めて味わう“細胞レベルの快感”。自分の知らなかった感情が細胞ごと芽吹き、また会いたい思いがとまらない。ここに沼る、シンデレラたちの純粋な恋愛が始まる――。</v>
      </c>
      <c r="W1029" s="14"/>
      <c r="X1029" s="14" t="str">
        <f>IFERROR(__xludf.DUMMYFUNCTION("""COMPUTED_VALUE"""),"有")</f>
        <v>有</v>
      </c>
      <c r="Y1029" s="8" t="str">
        <f>IFERROR(__xludf.DUMMYFUNCTION("""COMPUTED_VALUE"""),"2024/2/7まで1巻無料")</f>
        <v>2024/2/7まで1巻無料</v>
      </c>
      <c r="Z1029" s="7"/>
      <c r="AA1029" s="7"/>
      <c r="AB1029" s="7"/>
    </row>
    <row r="1030" ht="15.75" customHeight="1">
      <c r="A1030" s="26">
        <f>IFERROR(__xludf.DUMMYFUNCTION("""COMPUTED_VALUE"""),2792.0)</f>
        <v>2792</v>
      </c>
      <c r="B1030" s="22" t="str">
        <f>IFERROR(__xludf.DUMMYFUNCTION("""COMPUTED_VALUE"""),"確定")</f>
        <v>確定</v>
      </c>
      <c r="C1030" s="28">
        <f>IFERROR(__xludf.DUMMYFUNCTION("""COMPUTED_VALUE"""),45287.0)</f>
        <v>45287</v>
      </c>
      <c r="D1030" s="28">
        <f>IFERROR(__xludf.DUMMYFUNCTION("""COMPUTED_VALUE"""),45300.0)</f>
        <v>45300</v>
      </c>
      <c r="E1030" s="31">
        <f>IFERROR(__xludf.DUMMYFUNCTION("""COMPUTED_VALUE"""),284883.0)</f>
        <v>284883</v>
      </c>
      <c r="F1030" s="22" t="str">
        <f>IFERROR(__xludf.DUMMYFUNCTION("""COMPUTED_VALUE"""),"親友の彼氏【タテヨミ】")</f>
        <v>親友の彼氏【タテヨミ】</v>
      </c>
      <c r="G1030" s="16" t="str">
        <f>IFERROR(__xludf.DUMMYFUNCTION("""COMPUTED_VALUE"""),"1～12")</f>
        <v>1～12</v>
      </c>
      <c r="H1030" s="22" t="str">
        <f>IFERROR(__xludf.DUMMYFUNCTION("""COMPUTED_VALUE"""),"ポリン")</f>
        <v>ポリン</v>
      </c>
      <c r="I1030" s="22" t="str">
        <f>IFERROR(__xludf.DUMMYFUNCTION("""COMPUTED_VALUE"""),"少女")</f>
        <v>少女</v>
      </c>
      <c r="J1030" s="22"/>
      <c r="K1030" s="22"/>
      <c r="L1030" s="22" t="str">
        <f>IFERROR(__xludf.DUMMYFUNCTION("""COMPUTED_VALUE"""),"集英社")</f>
        <v>集英社</v>
      </c>
      <c r="M1030" s="23">
        <f>IFERROR(__xludf.DUMMYFUNCTION("""COMPUTED_VALUE"""),45316.0)</f>
        <v>45316</v>
      </c>
      <c r="N1030" s="33">
        <f>IFERROR(__xludf.DUMMYFUNCTION("""COMPUTED_VALUE"""),45467.66666666667)</f>
        <v>45467.66667</v>
      </c>
      <c r="O1030" s="20"/>
      <c r="P1030" s="29" t="str">
        <f>IFERROR(__xludf.DUMMYFUNCTION("""COMPUTED_VALUE"""),"否")</f>
        <v>否</v>
      </c>
      <c r="Q1030" s="30" t="str">
        <f>IFERROR(__xludf.DUMMYFUNCTION("""COMPUTED_VALUE"""),"マンガMee")</f>
        <v>マンガMee</v>
      </c>
      <c r="R1030" s="22"/>
      <c r="S1030" s="22" t="str">
        <f>IFERROR(__xludf.DUMMYFUNCTION("""COMPUTED_VALUE"""),"20231227_集英社_1月新作")</f>
        <v>20231227_集英社_1月新作</v>
      </c>
      <c r="T1030" s="22" t="str">
        <f>IFERROR(__xludf.DUMMYFUNCTION("""COMPUTED_VALUE"""),"素材確認中(1/9)")</f>
        <v>素材確認中(1/9)</v>
      </c>
      <c r="U1030" s="15" t="str">
        <f>IFERROR(__xludf.DUMMYFUNCTION("""COMPUTED_VALUE"""),"(C)ポリン／集英社")</f>
        <v>(C)ポリン／集英社</v>
      </c>
      <c r="V1030" s="8" t="str">
        <f>IFERROR(__xludf.DUMMYFUNCTION("""COMPUTED_VALUE"""),"栗原優梨は、中3の時に別れてしまった元カレ・神崎春樹のことを高2になっても引きずっている。 新学期は友達ともクラスが離れ、春樹との思い出だったキーホルダーを失くして災難続き…と思いきや、天使みたいに明るくて優しいクラスメイト・真奈と親友に。はじめての親友が出来た喜びもつかの間、真奈の彼氏は思いがけない人物で!?　友情と恋に揺れ動く、青い春がはじまる…！")</f>
        <v>栗原優梨は、中3の時に別れてしまった元カレ・神崎春樹のことを高2になっても引きずっている。 新学期は友達ともクラスが離れ、春樹との思い出だったキーホルダーを失くして災難続き…と思いきや、天使みたいに明るくて優しいクラスメイト・真奈と親友に。はじめての親友が出来た喜びもつかの間、真奈の彼氏は思いがけない人物で!?　友情と恋に揺れ動く、青い春がはじまる…！</v>
      </c>
      <c r="W1030" s="14"/>
      <c r="X1030" s="14" t="str">
        <f>IFERROR(__xludf.DUMMYFUNCTION("""COMPUTED_VALUE"""),"有")</f>
        <v>有</v>
      </c>
      <c r="Y1030" s="8" t="str">
        <f>IFERROR(__xludf.DUMMYFUNCTION("""COMPUTED_VALUE"""),"3巻無料")</f>
        <v>3巻無料</v>
      </c>
      <c r="Z1030" s="7"/>
      <c r="AA1030" s="7"/>
      <c r="AB1030" s="7"/>
    </row>
    <row r="1031" ht="15.75" customHeight="1">
      <c r="A1031" s="26">
        <f>IFERROR(__xludf.DUMMYFUNCTION("""COMPUTED_VALUE"""),2793.0)</f>
        <v>2793</v>
      </c>
      <c r="B1031" s="22" t="str">
        <f>IFERROR(__xludf.DUMMYFUNCTION("""COMPUTED_VALUE"""),"確定")</f>
        <v>確定</v>
      </c>
      <c r="C1031" s="28">
        <f>IFERROR(__xludf.DUMMYFUNCTION("""COMPUTED_VALUE"""),45287.0)</f>
        <v>45287</v>
      </c>
      <c r="D1031" s="28">
        <f>IFERROR(__xludf.DUMMYFUNCTION("""COMPUTED_VALUE"""),45288.0)</f>
        <v>45288</v>
      </c>
      <c r="E1031" s="31">
        <f>IFERROR(__xludf.DUMMYFUNCTION("""COMPUTED_VALUE"""),284881.0)</f>
        <v>284881</v>
      </c>
      <c r="F1031" s="22" t="str">
        <f>IFERROR(__xludf.DUMMYFUNCTION("""COMPUTED_VALUE"""),"理想の弟コノコ 分冊版")</f>
        <v>理想の弟コノコ 分冊版</v>
      </c>
      <c r="G1031" s="20" t="str">
        <f>IFERROR(__xludf.DUMMYFUNCTION("""COMPUTED_VALUE"""),"1～4")</f>
        <v>1～4</v>
      </c>
      <c r="H1031" s="22" t="str">
        <f>IFERROR(__xludf.DUMMYFUNCTION("""COMPUTED_VALUE"""),"七海のじ")</f>
        <v>七海のじ</v>
      </c>
      <c r="I1031" s="22" t="str">
        <f>IFERROR(__xludf.DUMMYFUNCTION("""COMPUTED_VALUE"""),"女性")</f>
        <v>女性</v>
      </c>
      <c r="J1031" s="22"/>
      <c r="K1031" s="22"/>
      <c r="L1031" s="22" t="str">
        <f>IFERROR(__xludf.DUMMYFUNCTION("""COMPUTED_VALUE"""),"集英社")</f>
        <v>集英社</v>
      </c>
      <c r="M1031" s="23">
        <f>IFERROR(__xludf.DUMMYFUNCTION("""COMPUTED_VALUE"""),45316.0)</f>
        <v>45316</v>
      </c>
      <c r="N1031" s="33">
        <f>IFERROR(__xludf.DUMMYFUNCTION("""COMPUTED_VALUE"""),45346.0)</f>
        <v>45346</v>
      </c>
      <c r="O1031" s="20"/>
      <c r="P1031" s="29" t="str">
        <f>IFERROR(__xludf.DUMMYFUNCTION("""COMPUTED_VALUE"""),"否")</f>
        <v>否</v>
      </c>
      <c r="Q1031" s="30" t="str">
        <f>IFERROR(__xludf.DUMMYFUNCTION("""COMPUTED_VALUE"""),"マンガMee")</f>
        <v>マンガMee</v>
      </c>
      <c r="R1031" s="22"/>
      <c r="S1031" s="22" t="str">
        <f>IFERROR(__xludf.DUMMYFUNCTION("""COMPUTED_VALUE"""),"20231227_集英社_1月新作")</f>
        <v>20231227_集英社_1月新作</v>
      </c>
      <c r="T1031" s="22" t="str">
        <f>IFERROR(__xludf.DUMMYFUNCTION("""COMPUTED_VALUE"""),"格納済み")</f>
        <v>格納済み</v>
      </c>
      <c r="U1031" s="15" t="str">
        <f>IFERROR(__xludf.DUMMYFUNCTION("""COMPUTED_VALUE"""),"(C)七海のじ／集英社")</f>
        <v>(C)七海のじ／集英社</v>
      </c>
      <c r="V1031" s="8" t="str">
        <f>IFERROR(__xludf.DUMMYFUNCTION("""COMPUTED_VALUE"""),"日比谷 朱音（ひびや・あかね）は仕事に生きる独身アラサー。密かにベタな恋愛に憧れているけど、元彼との婚約破棄や後見人として引き取った上司の息子・律（りつ）との同居生活など、色々あって恋はお休み中……。そんな矢先、無愛想だけど優しいと思っていた律にキスされて――!?　激甘すぎる「義弟」との、理想的だけど禁断の同居ラブ！")</f>
        <v>日比谷 朱音（ひびや・あかね）は仕事に生きる独身アラサー。密かにベタな恋愛に憧れているけど、元彼との婚約破棄や後見人として引き取った上司の息子・律（りつ）との同居生活など、色々あって恋はお休み中……。そんな矢先、無愛想だけど優しいと思っていた律にキスされて――!?　激甘すぎる「義弟」との、理想的だけど禁断の同居ラブ！</v>
      </c>
      <c r="W1031" s="14"/>
      <c r="X1031" s="14" t="str">
        <f>IFERROR(__xludf.DUMMYFUNCTION("""COMPUTED_VALUE"""),"有")</f>
        <v>有</v>
      </c>
      <c r="Y1031" s="8" t="str">
        <f>IFERROR(__xludf.DUMMYFUNCTION("""COMPUTED_VALUE"""),"2024/2/7まで1巻無料")</f>
        <v>2024/2/7まで1巻無料</v>
      </c>
      <c r="Z1031" s="7"/>
      <c r="AA1031" s="7"/>
      <c r="AB1031" s="7"/>
    </row>
    <row r="1032" ht="15.75" customHeight="1">
      <c r="A1032" s="26">
        <f>IFERROR(__xludf.DUMMYFUNCTION("""COMPUTED_VALUE"""),2794.0)</f>
        <v>2794</v>
      </c>
      <c r="B1032" s="22" t="str">
        <f>IFERROR(__xludf.DUMMYFUNCTION("""COMPUTED_VALUE"""),"確定")</f>
        <v>確定</v>
      </c>
      <c r="C1032" s="28">
        <f>IFERROR(__xludf.DUMMYFUNCTION("""COMPUTED_VALUE"""),45287.0)</f>
        <v>45287</v>
      </c>
      <c r="D1032" s="28">
        <f>IFERROR(__xludf.DUMMYFUNCTION("""COMPUTED_VALUE"""),45288.0)</f>
        <v>45288</v>
      </c>
      <c r="E1032" s="31">
        <f>IFERROR(__xludf.DUMMYFUNCTION("""COMPUTED_VALUE"""),284879.0)</f>
        <v>284879</v>
      </c>
      <c r="F1032" s="22" t="str">
        <f>IFERROR(__xludf.DUMMYFUNCTION("""COMPUTED_VALUE"""),"おさななじみとキスしたら")</f>
        <v>おさななじみとキスしたら</v>
      </c>
      <c r="G1032" s="20" t="str">
        <f>IFERROR(__xludf.DUMMYFUNCTION("""COMPUTED_VALUE"""),"1～7")</f>
        <v>1～7</v>
      </c>
      <c r="H1032" s="22" t="str">
        <f>IFERROR(__xludf.DUMMYFUNCTION("""COMPUTED_VALUE"""),"ヒデツロ")</f>
        <v>ヒデツロ</v>
      </c>
      <c r="I1032" s="22" t="str">
        <f>IFERROR(__xludf.DUMMYFUNCTION("""COMPUTED_VALUE"""),"女性")</f>
        <v>女性</v>
      </c>
      <c r="J1032" s="22"/>
      <c r="K1032" s="22"/>
      <c r="L1032" s="22" t="str">
        <f>IFERROR(__xludf.DUMMYFUNCTION("""COMPUTED_VALUE"""),"集英社")</f>
        <v>集英社</v>
      </c>
      <c r="M1032" s="23">
        <f>IFERROR(__xludf.DUMMYFUNCTION("""COMPUTED_VALUE"""),45316.0)</f>
        <v>45316</v>
      </c>
      <c r="N1032" s="33">
        <f>IFERROR(__xludf.DUMMYFUNCTION("""COMPUTED_VALUE"""),45346.0)</f>
        <v>45346</v>
      </c>
      <c r="O1032" s="20"/>
      <c r="P1032" s="29" t="str">
        <f>IFERROR(__xludf.DUMMYFUNCTION("""COMPUTED_VALUE"""),"否")</f>
        <v>否</v>
      </c>
      <c r="Q1032" s="30" t="str">
        <f>IFERROR(__xludf.DUMMYFUNCTION("""COMPUTED_VALUE"""),"マンガMee")</f>
        <v>マンガMee</v>
      </c>
      <c r="R1032" s="22"/>
      <c r="S1032" s="22" t="str">
        <f>IFERROR(__xludf.DUMMYFUNCTION("""COMPUTED_VALUE"""),"20231227_集英社_1月新作")</f>
        <v>20231227_集英社_1月新作</v>
      </c>
      <c r="T1032" s="22" t="str">
        <f>IFERROR(__xludf.DUMMYFUNCTION("""COMPUTED_VALUE"""),"格納済み")</f>
        <v>格納済み</v>
      </c>
      <c r="U1032" s="15" t="str">
        <f>IFERROR(__xludf.DUMMYFUNCTION("""COMPUTED_VALUE"""),"(C)ヒデツロ／集英社")</f>
        <v>(C)ヒデツロ／集英社</v>
      </c>
      <c r="V1032" s="8" t="str">
        <f>IFERROR(__xludf.DUMMYFUNCTION("""COMPUTED_VALUE"""),"吉原レイには悩みがあった。それはどうしてもキスができないこと。告白されるとそれに応えたくなって「付き合ってみよう」と思うのに、いざキスとなると拒否してしまい、いつも彼氏に振られてしまう。そんな時、幼なじみである史也の家のホームパーティーで間違ってお酒を飲んでしまったレイは、「幼なじみの史也とならできるかも」と勢いで史也にキスをする。すると小さい頃は泣き虫だった史也からは想像できないようなエッチなキスを返されて…？")</f>
        <v>吉原レイには悩みがあった。それはどうしてもキスができないこと。告白されるとそれに応えたくなって「付き合ってみよう」と思うのに、いざキスとなると拒否してしまい、いつも彼氏に振られてしまう。そんな時、幼なじみである史也の家のホームパーティーで間違ってお酒を飲んでしまったレイは、「幼なじみの史也とならできるかも」と勢いで史也にキスをする。すると小さい頃は泣き虫だった史也からは想像できないようなエッチなキスを返されて…？</v>
      </c>
      <c r="W1032" s="14"/>
      <c r="X1032" s="14" t="str">
        <f>IFERROR(__xludf.DUMMYFUNCTION("""COMPUTED_VALUE"""),"有")</f>
        <v>有</v>
      </c>
      <c r="Y1032" s="8" t="str">
        <f>IFERROR(__xludf.DUMMYFUNCTION("""COMPUTED_VALUE"""),"2024/2/7まで1巻無料")</f>
        <v>2024/2/7まで1巻無料</v>
      </c>
      <c r="Z1032" s="7"/>
      <c r="AA1032" s="7"/>
      <c r="AB1032" s="7"/>
    </row>
    <row r="1033" ht="15.75" customHeight="1">
      <c r="A1033" s="26">
        <f>IFERROR(__xludf.DUMMYFUNCTION("""COMPUTED_VALUE"""),2795.0)</f>
        <v>2795</v>
      </c>
      <c r="B1033" s="22" t="str">
        <f>IFERROR(__xludf.DUMMYFUNCTION("""COMPUTED_VALUE"""),"確定")</f>
        <v>確定</v>
      </c>
      <c r="C1033" s="28">
        <f>IFERROR(__xludf.DUMMYFUNCTION("""COMPUTED_VALUE"""),45287.0)</f>
        <v>45287</v>
      </c>
      <c r="D1033" s="28">
        <f>IFERROR(__xludf.DUMMYFUNCTION("""COMPUTED_VALUE"""),45300.0)</f>
        <v>45300</v>
      </c>
      <c r="E1033" s="31">
        <f>IFERROR(__xludf.DUMMYFUNCTION("""COMPUTED_VALUE"""),284876.0)</f>
        <v>284876</v>
      </c>
      <c r="F1033" s="22" t="str">
        <f>IFERROR(__xludf.DUMMYFUNCTION("""COMPUTED_VALUE"""),"4Dゲーム〜オトナの男の手触りは〜")</f>
        <v>4Dゲーム〜オトナの男の手触りは〜</v>
      </c>
      <c r="G1033" s="20" t="str">
        <f>IFERROR(__xludf.DUMMYFUNCTION("""COMPUTED_VALUE"""),"1～4")</f>
        <v>1～4</v>
      </c>
      <c r="H1033" s="22" t="str">
        <f>IFERROR(__xludf.DUMMYFUNCTION("""COMPUTED_VALUE"""),"漫画：秦なつは 原作：蒼穹（エブリスタ）")</f>
        <v>漫画：秦なつは 原作：蒼穹（エブリスタ）</v>
      </c>
      <c r="I1033" s="22" t="str">
        <f>IFERROR(__xludf.DUMMYFUNCTION("""COMPUTED_VALUE"""),"女性")</f>
        <v>女性</v>
      </c>
      <c r="J1033" s="22"/>
      <c r="K1033" s="22"/>
      <c r="L1033" s="22" t="str">
        <f>IFERROR(__xludf.DUMMYFUNCTION("""COMPUTED_VALUE"""),"集英社")</f>
        <v>集英社</v>
      </c>
      <c r="M1033" s="23">
        <f>IFERROR(__xludf.DUMMYFUNCTION("""COMPUTED_VALUE"""),45316.0)</f>
        <v>45316</v>
      </c>
      <c r="N1033" s="33">
        <f>IFERROR(__xludf.DUMMYFUNCTION("""COMPUTED_VALUE"""),45346.0)</f>
        <v>45346</v>
      </c>
      <c r="O1033" s="20"/>
      <c r="P1033" s="29" t="str">
        <f>IFERROR(__xludf.DUMMYFUNCTION("""COMPUTED_VALUE"""),"否")</f>
        <v>否</v>
      </c>
      <c r="Q1033" s="30" t="str">
        <f>IFERROR(__xludf.DUMMYFUNCTION("""COMPUTED_VALUE"""),"マンガMee")</f>
        <v>マンガMee</v>
      </c>
      <c r="R1033" s="22"/>
      <c r="S1033" s="22" t="str">
        <f>IFERROR(__xludf.DUMMYFUNCTION("""COMPUTED_VALUE"""),"20231227_集英社_1月新作")</f>
        <v>20231227_集英社_1月新作</v>
      </c>
      <c r="T1033" s="22" t="str">
        <f>IFERROR(__xludf.DUMMYFUNCTION("""COMPUTED_VALUE"""),"素材確認中(1/9)")</f>
        <v>素材確認中(1/9)</v>
      </c>
      <c r="U1033" s="15" t="str">
        <f>IFERROR(__xludf.DUMMYFUNCTION("""COMPUTED_VALUE"""),"(C)秦なつは／蒼穹（エブリスタ）／集英社")</f>
        <v>(C)秦なつは／蒼穹（エブリスタ）／集英社</v>
      </c>
      <c r="V1033" s="8" t="str">
        <f>IFERROR(__xludf.DUMMYFUNCTION("""COMPUTED_VALUE"""),"二次元ラブアラサー×手練れ王子、五感で落ちるオトナの恋愛勝負！　神崎繭（かんざきまゆ）30歳。恋愛漫画と小説をこよなく愛して、現実の男には興味がない。だって生身の男は、二次元の男に勝てるわけないから。そんな中、「王子」というあだ名のかっこいいけど胡散臭い男・田口雅人（たぐちまさと）から仕掛けられた恋愛ゲーム。3万円の図書カードを賭けて、大人の恋愛のアレコレ、全部ひっくるめて勝負します！")</f>
        <v>二次元ラブアラサー×手練れ王子、五感で落ちるオトナの恋愛勝負！　神崎繭（かんざきまゆ）30歳。恋愛漫画と小説をこよなく愛して、現実の男には興味がない。だって生身の男は、二次元の男に勝てるわけないから。そんな中、「王子」というあだ名のかっこいいけど胡散臭い男・田口雅人（たぐちまさと）から仕掛けられた恋愛ゲーム。3万円の図書カードを賭けて、大人の恋愛のアレコレ、全部ひっくるめて勝負します！</v>
      </c>
      <c r="W1033" s="14"/>
      <c r="X1033" s="14" t="str">
        <f>IFERROR(__xludf.DUMMYFUNCTION("""COMPUTED_VALUE"""),"有")</f>
        <v>有</v>
      </c>
      <c r="Y1033" s="8" t="str">
        <f>IFERROR(__xludf.DUMMYFUNCTION("""COMPUTED_VALUE"""),"2024/2/7まで1巻無料")</f>
        <v>2024/2/7まで1巻無料</v>
      </c>
      <c r="Z1033" s="7"/>
      <c r="AA1033" s="7"/>
      <c r="AB1033" s="7"/>
    </row>
    <row r="1034" ht="15.75" customHeight="1">
      <c r="A1034" s="26">
        <f>IFERROR(__xludf.DUMMYFUNCTION("""COMPUTED_VALUE"""),2798.0)</f>
        <v>2798</v>
      </c>
      <c r="B1034" s="22" t="str">
        <f>IFERROR(__xludf.DUMMYFUNCTION("""COMPUTED_VALUE"""),"確定")</f>
        <v>確定</v>
      </c>
      <c r="C1034" s="28">
        <f>IFERROR(__xludf.DUMMYFUNCTION("""COMPUTED_VALUE"""),45288.0)</f>
        <v>45288</v>
      </c>
      <c r="D1034" s="28">
        <f>IFERROR(__xludf.DUMMYFUNCTION("""COMPUTED_VALUE"""),45300.0)</f>
        <v>45300</v>
      </c>
      <c r="E1034" s="31">
        <f>IFERROR(__xludf.DUMMYFUNCTION("""COMPUTED_VALUE"""),285472.0)</f>
        <v>285472</v>
      </c>
      <c r="F1034" s="22" t="str">
        <f>IFERROR(__xludf.DUMMYFUNCTION("""COMPUTED_VALUE"""),"【単話版】ノイパちゃんはアブナイ!")</f>
        <v>【単話版】ノイパちゃんはアブナイ!</v>
      </c>
      <c r="G1034" s="11" t="str">
        <f>IFERROR(__xludf.DUMMYFUNCTION("""COMPUTED_VALUE"""),"1～4")</f>
        <v>1～4</v>
      </c>
      <c r="H1034" s="22" t="str">
        <f>IFERROR(__xludf.DUMMYFUNCTION("""COMPUTED_VALUE"""),"緋月アキラ")</f>
        <v>緋月アキラ</v>
      </c>
      <c r="I1034" s="22" t="str">
        <f>IFERROR(__xludf.DUMMYFUNCTION("""COMPUTED_VALUE"""),"青年")</f>
        <v>青年</v>
      </c>
      <c r="J1034" s="22"/>
      <c r="K1034" s="22"/>
      <c r="L1034" s="22" t="str">
        <f>IFERROR(__xludf.DUMMYFUNCTION("""COMPUTED_VALUE"""),"GOT")</f>
        <v>GOT</v>
      </c>
      <c r="M1034" s="23">
        <f>IFERROR(__xludf.DUMMYFUNCTION("""COMPUTED_VALUE"""),45323.0)</f>
        <v>45323</v>
      </c>
      <c r="N1034" s="33">
        <f>IFERROR(__xludf.DUMMYFUNCTION("""COMPUTED_VALUE"""),45382.0)</f>
        <v>45382</v>
      </c>
      <c r="O1034" s="20"/>
      <c r="P1034" s="32" t="str">
        <f>IFERROR(__xludf.DUMMYFUNCTION("""COMPUTED_VALUE"""),"可")</f>
        <v>可</v>
      </c>
      <c r="Q1034" s="22"/>
      <c r="R1034" s="22" t="str">
        <f>IFERROR(__xludf.DUMMYFUNCTION("""COMPUTED_VALUE"""),"格納済")</f>
        <v>格納済</v>
      </c>
      <c r="S1034" s="22" t="str">
        <f>IFERROR(__xludf.DUMMYFUNCTION("""COMPUTED_VALUE"""),"20231228_GOT_【単話版】ノイパちゃんはアブナイ!")</f>
        <v>20231228_GOT_【単話版】ノイパちゃんはアブナイ!</v>
      </c>
      <c r="T1034" s="22" t="str">
        <f>IFERROR(__xludf.DUMMYFUNCTION("""COMPUTED_VALUE"""),"格納済み")</f>
        <v>格納済み</v>
      </c>
      <c r="U1034" s="15" t="str">
        <f>IFERROR(__xludf.DUMMYFUNCTION("""COMPUTED_VALUE"""),"©緋月アキラ／ジーオーティー")</f>
        <v>©緋月アキラ／ジーオーティー</v>
      </c>
      <c r="V1034" s="8" t="str">
        <f>IFERROR(__xludf.DUMMYFUNCTION("""COMPUTED_VALUE"""),"『キミ、見てた…?』
男子学生”ユウ”の前に現れた、露出全開なキケン美少女”ノイパ”。
ユウの隣りで佇む彼女は校則違反を遥かに超えた露出度全開ギリギリな衣装に身を包んでいるにも関わらず、教師や生徒その誰もが気にも留めない…。
『僕の隣りの席にはとんでもなくアブナイ転校生が座っているーー…。』
ノイパを取り巻く不思議な状況の中、戸惑いの中で逸らした視線は次第に彼女へと戻り、やがて目が合ったユウに、彼女はーー。
この出会いをきっかけにセクシーで悪戯好きでちょっびり小悪魔なノイパと過ごす、フェチでエッ"&amp;"チなアブナイ毎日が始まるのだった!?
美しくも麗しい女体の全てを愛し、全方位から余すことなく観察し、ロマンと妄想を追い求め続ける、フェチ界の麒麟児『緋月アキラ』が描く、新たなアルティメットフェチ10000％ファンタジーが遂に開幕ーー!!")</f>
        <v>『キミ、見てた…?』
男子学生”ユウ”の前に現れた、露出全開なキケン美少女”ノイパ”。
ユウの隣りで佇む彼女は校則違反を遥かに超えた露出度全開ギリギリな衣装に身を包んでいるにも関わらず、教師や生徒その誰もが気にも留めない…。
『僕の隣りの席にはとんでもなくアブナイ転校生が座っているーー…。』
ノイパを取り巻く不思議な状況の中、戸惑いの中で逸らした視線は次第に彼女へと戻り、やがて目が合ったユウに、彼女はーー。
この出会いをきっかけにセクシーで悪戯好きでちょっびり小悪魔なノイパと過ごす、フェチでエッチなアブナイ毎日が始まるのだった!?
美しくも麗しい女体の全てを愛し、全方位から余すことなく観察し、ロマンと妄想を追い求め続ける、フェチ界の麒麟児『緋月アキラ』が描く、新たなアルティメットフェチ10000％ファンタジーが遂に開幕ーー!!</v>
      </c>
      <c r="W1034" s="14"/>
      <c r="X1034" s="14" t="str">
        <f>IFERROR(__xludf.DUMMYFUNCTION("""COMPUTED_VALUE"""),"有")</f>
        <v>有</v>
      </c>
      <c r="Y1034" s="8" t="str">
        <f>IFERROR(__xludf.DUMMYFUNCTION("""COMPUTED_VALUE"""),"P4まで")</f>
        <v>P4まで</v>
      </c>
      <c r="Z1034" s="7"/>
      <c r="AA1034" s="7"/>
      <c r="AB1034" s="7"/>
    </row>
    <row r="1035" ht="15.75" customHeight="1">
      <c r="A1035" s="26">
        <f>IFERROR(__xludf.DUMMYFUNCTION("""COMPUTED_VALUE"""),2799.0)</f>
        <v>2799</v>
      </c>
      <c r="B1035" s="22" t="str">
        <f>IFERROR(__xludf.DUMMYFUNCTION("""COMPUTED_VALUE"""),"確定")</f>
        <v>確定</v>
      </c>
      <c r="C1035" s="28">
        <f>IFERROR(__xludf.DUMMYFUNCTION("""COMPUTED_VALUE"""),45288.0)</f>
        <v>45288</v>
      </c>
      <c r="D1035" s="28">
        <f>IFERROR(__xludf.DUMMYFUNCTION("""COMPUTED_VALUE"""),45300.0)</f>
        <v>45300</v>
      </c>
      <c r="E1035" s="31">
        <f>IFERROR(__xludf.DUMMYFUNCTION("""COMPUTED_VALUE"""),285476.0)</f>
        <v>285476</v>
      </c>
      <c r="F1035" s="22" t="str">
        <f>IFERROR(__xludf.DUMMYFUNCTION("""COMPUTED_VALUE"""),"【単話版】爆乳バニーおばさん")</f>
        <v>【単話版】爆乳バニーおばさん</v>
      </c>
      <c r="G1035" s="11" t="str">
        <f>IFERROR(__xludf.DUMMYFUNCTION("""COMPUTED_VALUE"""),"1～4")</f>
        <v>1～4</v>
      </c>
      <c r="H1035" s="22" t="str">
        <f>IFERROR(__xludf.DUMMYFUNCTION("""COMPUTED_VALUE"""),"かむC")</f>
        <v>かむC</v>
      </c>
      <c r="I1035" s="22" t="str">
        <f>IFERROR(__xludf.DUMMYFUNCTION("""COMPUTED_VALUE"""),"青年")</f>
        <v>青年</v>
      </c>
      <c r="J1035" s="22"/>
      <c r="K1035" s="22"/>
      <c r="L1035" s="22" t="str">
        <f>IFERROR(__xludf.DUMMYFUNCTION("""COMPUTED_VALUE"""),"GOT")</f>
        <v>GOT</v>
      </c>
      <c r="M1035" s="23">
        <f>IFERROR(__xludf.DUMMYFUNCTION("""COMPUTED_VALUE"""),45323.0)</f>
        <v>45323</v>
      </c>
      <c r="N1035" s="33">
        <f>IFERROR(__xludf.DUMMYFUNCTION("""COMPUTED_VALUE"""),45382.0)</f>
        <v>45382</v>
      </c>
      <c r="O1035" s="20"/>
      <c r="P1035" s="32" t="str">
        <f>IFERROR(__xludf.DUMMYFUNCTION("""COMPUTED_VALUE"""),"可")</f>
        <v>可</v>
      </c>
      <c r="Q1035" s="22"/>
      <c r="R1035" s="22" t="str">
        <f>IFERROR(__xludf.DUMMYFUNCTION("""COMPUTED_VALUE"""),"格納済")</f>
        <v>格納済</v>
      </c>
      <c r="S1035" s="22" t="str">
        <f>IFERROR(__xludf.DUMMYFUNCTION("""COMPUTED_VALUE"""),"20231228_GOT_【単話版】爆乳バニーおばさん")</f>
        <v>20231228_GOT_【単話版】爆乳バニーおばさん</v>
      </c>
      <c r="T1035" s="22" t="str">
        <f>IFERROR(__xludf.DUMMYFUNCTION("""COMPUTED_VALUE"""),"格納済み")</f>
        <v>格納済み</v>
      </c>
      <c r="U1035" s="15" t="str">
        <f>IFERROR(__xludf.DUMMYFUNCTION("""COMPUTED_VALUE"""),"©かむC／ジーオーティー")</f>
        <v>©かむC／ジーオーティー</v>
      </c>
      <c r="V1035" s="8" t="str">
        <f>IFERROR(__xludf.DUMMYFUNCTION("""COMPUTED_VALUE"""),"『ようこです。先日のお礼をさせて頂きますね。』
日常の悩みと疲れに絶望し公園に佇んでいた彼の元に現れた一人の美女。
慈愛の瞳と母性溢れるダイナミックマックスボティを持つその美女は、別れ際に一枚の名刺を差し出したーー…。
名刺に記された店”ファニーガーデン”に向かった先にて出迎えたあの日の美女ーー”ようこ”はそのグラマラスな肢体を鮮やかに彩るバニースーツへと包み、艶かしくも美しいバニーガール姿となっていた!!?
多忙な現代社会に悩みに悩める全人類へ捧げる、其の全てを癒し包み癒す爆乳グランドヒーリング"&amp;"ヒロイン遂に爆誕!!☆
『大丈夫。気持ちよさに身を任せてしまえばいいのよ…。さぁ、触ってみてーー。』")</f>
        <v>『ようこです。先日のお礼をさせて頂きますね。』
日常の悩みと疲れに絶望し公園に佇んでいた彼の元に現れた一人の美女。
慈愛の瞳と母性溢れるダイナミックマックスボティを持つその美女は、別れ際に一枚の名刺を差し出したーー…。
名刺に記された店”ファニーガーデン”に向かった先にて出迎えたあの日の美女ーー”ようこ”はそのグラマラスな肢体を鮮やかに彩るバニースーツへと包み、艶かしくも美しいバニーガール姿となっていた!!?
多忙な現代社会に悩みに悩める全人類へ捧げる、其の全てを癒し包み癒す爆乳グランドヒーリングヒロイン遂に爆誕!!☆
『大丈夫。気持ちよさに身を任せてしまえばいいのよ…。さぁ、触ってみてーー。』</v>
      </c>
      <c r="W1035" s="14"/>
      <c r="X1035" s="14" t="str">
        <f>IFERROR(__xludf.DUMMYFUNCTION("""COMPUTED_VALUE"""),"有")</f>
        <v>有</v>
      </c>
      <c r="Y1035" s="8" t="str">
        <f>IFERROR(__xludf.DUMMYFUNCTION("""COMPUTED_VALUE"""),"P4まで")</f>
        <v>P4まで</v>
      </c>
      <c r="Z1035" s="7"/>
      <c r="AA1035" s="7"/>
      <c r="AB1035" s="7"/>
    </row>
    <row r="1036" ht="15.75" customHeight="1">
      <c r="A1036" s="26">
        <f>IFERROR(__xludf.DUMMYFUNCTION("""COMPUTED_VALUE"""),2800.0)</f>
        <v>2800</v>
      </c>
      <c r="B1036" s="22" t="str">
        <f>IFERROR(__xludf.DUMMYFUNCTION("""COMPUTED_VALUE"""),"確定")</f>
        <v>確定</v>
      </c>
      <c r="C1036" s="28">
        <f>IFERROR(__xludf.DUMMYFUNCTION("""COMPUTED_VALUE"""),45288.0)</f>
        <v>45288</v>
      </c>
      <c r="D1036" s="28">
        <f>IFERROR(__xludf.DUMMYFUNCTION("""COMPUTED_VALUE"""),45300.0)</f>
        <v>45300</v>
      </c>
      <c r="E1036" s="31">
        <f>IFERROR(__xludf.DUMMYFUNCTION("""COMPUTED_VALUE"""),285473.0)</f>
        <v>285473</v>
      </c>
      <c r="F1036" s="22" t="str">
        <f>IFERROR(__xludf.DUMMYFUNCTION("""COMPUTED_VALUE"""),"【単話版】マジめにイキたい小名川さん")</f>
        <v>【単話版】マジめにイキたい小名川さん</v>
      </c>
      <c r="G1036" s="20" t="str">
        <f>IFERROR(__xludf.DUMMYFUNCTION("""COMPUTED_VALUE"""),"1~3")</f>
        <v>1~3</v>
      </c>
      <c r="H1036" s="22" t="str">
        <f>IFERROR(__xludf.DUMMYFUNCTION("""COMPUTED_VALUE"""),"山崎かずま")</f>
        <v>山崎かずま</v>
      </c>
      <c r="I1036" s="22" t="str">
        <f>IFERROR(__xludf.DUMMYFUNCTION("""COMPUTED_VALUE"""),"青年")</f>
        <v>青年</v>
      </c>
      <c r="J1036" s="22"/>
      <c r="K1036" s="22"/>
      <c r="L1036" s="22" t="str">
        <f>IFERROR(__xludf.DUMMYFUNCTION("""COMPUTED_VALUE"""),"GOT")</f>
        <v>GOT</v>
      </c>
      <c r="M1036" s="23">
        <f>IFERROR(__xludf.DUMMYFUNCTION("""COMPUTED_VALUE"""),45323.0)</f>
        <v>45323</v>
      </c>
      <c r="N1036" s="33">
        <f>IFERROR(__xludf.DUMMYFUNCTION("""COMPUTED_VALUE"""),45382.0)</f>
        <v>45382</v>
      </c>
      <c r="O1036" s="20"/>
      <c r="P1036" s="32" t="str">
        <f>IFERROR(__xludf.DUMMYFUNCTION("""COMPUTED_VALUE"""),"可")</f>
        <v>可</v>
      </c>
      <c r="Q1036" s="22"/>
      <c r="R1036" s="22" t="str">
        <f>IFERROR(__xludf.DUMMYFUNCTION("""COMPUTED_VALUE"""),"格納済")</f>
        <v>格納済</v>
      </c>
      <c r="S1036" s="22" t="str">
        <f>IFERROR(__xludf.DUMMYFUNCTION("""COMPUTED_VALUE"""),"20231228_GOT_【単話版】マジめにイキたい小名川さん")</f>
        <v>20231228_GOT_【単話版】マジめにイキたい小名川さん</v>
      </c>
      <c r="T1036" s="22" t="str">
        <f>IFERROR(__xludf.DUMMYFUNCTION("""COMPUTED_VALUE"""),"格納済み")</f>
        <v>格納済み</v>
      </c>
      <c r="U1036" s="15" t="str">
        <f>IFERROR(__xludf.DUMMYFUNCTION("""COMPUTED_VALUE"""),"©山崎かずま／ジーオーティー")</f>
        <v>©山崎かずま／ジーオーティー</v>
      </c>
      <c r="V1036" s="8" t="str">
        <f>IFERROR(__xludf.DUMMYFUNCTION("""COMPUTED_VALUE"""),"アタシには悩みがあります──。自称「普通」の女の子である小名川(おながわ) 操(みさお)。
家庭では性に奔放である兄や姉、学校でも可愛いけどちょっと不思議な姫乃ちゃんなど個性豊かなメンツに囲まれ騒々しい日々を贈っていた。
そんな日々のストレスを抱えていた彼女には、とある「私事（ヒミツ）」があって──!？
抗い系日常(エロ)コメディ開幕!!")</f>
        <v>アタシには悩みがあります──。自称「普通」の女の子である小名川(おながわ) 操(みさお)。
家庭では性に奔放である兄や姉、学校でも可愛いけどちょっと不思議な姫乃ちゃんなど個性豊かなメンツに囲まれ騒々しい日々を贈っていた。
そんな日々のストレスを抱えていた彼女には、とある「私事（ヒミツ）」があって──!？
抗い系日常(エロ)コメディ開幕!!</v>
      </c>
      <c r="W1036" s="14"/>
      <c r="X1036" s="14" t="str">
        <f>IFERROR(__xludf.DUMMYFUNCTION("""COMPUTED_VALUE"""),"有")</f>
        <v>有</v>
      </c>
      <c r="Y1036" s="8" t="str">
        <f>IFERROR(__xludf.DUMMYFUNCTION("""COMPUTED_VALUE"""),"P4まで")</f>
        <v>P4まで</v>
      </c>
      <c r="Z1036" s="7"/>
      <c r="AA1036" s="7"/>
      <c r="AB1036" s="7"/>
    </row>
    <row r="1037" ht="15.75" customHeight="1">
      <c r="A1037" s="26">
        <f>IFERROR(__xludf.DUMMYFUNCTION("""COMPUTED_VALUE"""),2801.0)</f>
        <v>2801</v>
      </c>
      <c r="B1037" s="22" t="str">
        <f>IFERROR(__xludf.DUMMYFUNCTION("""COMPUTED_VALUE"""),"確定")</f>
        <v>確定</v>
      </c>
      <c r="C1037" s="28">
        <f>IFERROR(__xludf.DUMMYFUNCTION("""COMPUTED_VALUE"""),45288.0)</f>
        <v>45288</v>
      </c>
      <c r="D1037" s="28">
        <f>IFERROR(__xludf.DUMMYFUNCTION("""COMPUTED_VALUE"""),45300.0)</f>
        <v>45300</v>
      </c>
      <c r="E1037" s="31">
        <f>IFERROR(__xludf.DUMMYFUNCTION("""COMPUTED_VALUE"""),285474.0)</f>
        <v>285474</v>
      </c>
      <c r="F1037" s="22" t="str">
        <f>IFERROR(__xludf.DUMMYFUNCTION("""COMPUTED_VALUE"""),"【単話版】メンヘラ○○させてみた")</f>
        <v>【単話版】メンヘラ○○させてみた</v>
      </c>
      <c r="G1037" s="20" t="str">
        <f>IFERROR(__xludf.DUMMYFUNCTION("""COMPUTED_VALUE"""),"1~3")</f>
        <v>1~3</v>
      </c>
      <c r="H1037" s="22">
        <f>IFERROR(__xludf.DUMMYFUNCTION("""COMPUTED_VALUE"""),218.0)</f>
        <v>218</v>
      </c>
      <c r="I1037" s="22" t="str">
        <f>IFERROR(__xludf.DUMMYFUNCTION("""COMPUTED_VALUE"""),"青年")</f>
        <v>青年</v>
      </c>
      <c r="J1037" s="22"/>
      <c r="K1037" s="22"/>
      <c r="L1037" s="22" t="str">
        <f>IFERROR(__xludf.DUMMYFUNCTION("""COMPUTED_VALUE"""),"GOT")</f>
        <v>GOT</v>
      </c>
      <c r="M1037" s="23">
        <f>IFERROR(__xludf.DUMMYFUNCTION("""COMPUTED_VALUE"""),45323.0)</f>
        <v>45323</v>
      </c>
      <c r="N1037" s="33">
        <f>IFERROR(__xludf.DUMMYFUNCTION("""COMPUTED_VALUE"""),45382.0)</f>
        <v>45382</v>
      </c>
      <c r="O1037" s="20"/>
      <c r="P1037" s="32" t="str">
        <f>IFERROR(__xludf.DUMMYFUNCTION("""COMPUTED_VALUE"""),"可")</f>
        <v>可</v>
      </c>
      <c r="Q1037" s="22"/>
      <c r="R1037" s="22" t="str">
        <f>IFERROR(__xludf.DUMMYFUNCTION("""COMPUTED_VALUE"""),"格納済")</f>
        <v>格納済</v>
      </c>
      <c r="S1037" s="22" t="str">
        <f>IFERROR(__xludf.DUMMYFUNCTION("""COMPUTED_VALUE"""),"20231228_GOT_【単話版】メンヘラ○○させてみた")</f>
        <v>20231228_GOT_【単話版】メンヘラ○○させてみた</v>
      </c>
      <c r="T1037" s="22" t="str">
        <f>IFERROR(__xludf.DUMMYFUNCTION("""COMPUTED_VALUE"""),"格納済み")</f>
        <v>格納済み</v>
      </c>
      <c r="U1037" s="15" t="str">
        <f>IFERROR(__xludf.DUMMYFUNCTION("""COMPUTED_VALUE"""),"©218／ジーオーティー")</f>
        <v>©218／ジーオーティー</v>
      </c>
      <c r="V1037" s="8" t="str">
        <f>IFERROR(__xludf.DUMMYFUNCTION("""COMPUTED_VALUE"""),"ド級メンヘラガール×脱童チー牛ボーイ！
最凶のボーイ・ミーツ・ガールが織りなす新感覚サスペンスコメディ☆
彼女いない歴＝年齢なチー牛大学生・拓真はある日、ソシャゲのオフ会で出会ったメンヘラ美少女・ハナに誘われ、図らずも「童貞卒業」の悲願を成就させる。
そして謎の自信をつけた拓真は、ボサボサ眉毛・謎英字T・ベリベリ靴に別れを告げ、劇的ビフォーアフター＝脱チー牛に成功！
その後は順風満帆が服を着たように人生をリスタートする拓真だったが、その背後には黒い影が迫っていて……!?")</f>
        <v>ド級メンヘラガール×脱童チー牛ボーイ！
最凶のボーイ・ミーツ・ガールが織りなす新感覚サスペンスコメディ☆
彼女いない歴＝年齢なチー牛大学生・拓真はある日、ソシャゲのオフ会で出会ったメンヘラ美少女・ハナに誘われ、図らずも「童貞卒業」の悲願を成就させる。
そして謎の自信をつけた拓真は、ボサボサ眉毛・謎英字T・ベリベリ靴に別れを告げ、劇的ビフォーアフター＝脱チー牛に成功！
その後は順風満帆が服を着たように人生をリスタートする拓真だったが、その背後には黒い影が迫っていて……!?</v>
      </c>
      <c r="W1037" s="14"/>
      <c r="X1037" s="14" t="str">
        <f>IFERROR(__xludf.DUMMYFUNCTION("""COMPUTED_VALUE"""),"有")</f>
        <v>有</v>
      </c>
      <c r="Y1037" s="8" t="str">
        <f>IFERROR(__xludf.DUMMYFUNCTION("""COMPUTED_VALUE"""),"P4まで")</f>
        <v>P4まで</v>
      </c>
      <c r="Z1037" s="7"/>
      <c r="AA1037" s="7"/>
      <c r="AB1037" s="7"/>
    </row>
    <row r="1038" ht="15.75" customHeight="1">
      <c r="A1038" s="26">
        <f>IFERROR(__xludf.DUMMYFUNCTION("""COMPUTED_VALUE"""),2802.0)</f>
        <v>2802</v>
      </c>
      <c r="B1038" s="22" t="str">
        <f>IFERROR(__xludf.DUMMYFUNCTION("""COMPUTED_VALUE"""),"確定")</f>
        <v>確定</v>
      </c>
      <c r="C1038" s="28">
        <f>IFERROR(__xludf.DUMMYFUNCTION("""COMPUTED_VALUE"""),45288.0)</f>
        <v>45288</v>
      </c>
      <c r="D1038" s="28">
        <f>IFERROR(__xludf.DUMMYFUNCTION("""COMPUTED_VALUE"""),45300.0)</f>
        <v>45300</v>
      </c>
      <c r="E1038" s="31">
        <f>IFERROR(__xludf.DUMMYFUNCTION("""COMPUTED_VALUE"""),285820.0)</f>
        <v>285820</v>
      </c>
      <c r="F1038" s="22" t="str">
        <f>IFERROR(__xludf.DUMMYFUNCTION("""COMPUTED_VALUE"""),"【単話版】身寄りのない女の子 同棲する")</f>
        <v>【単話版】身寄りのない女の子 同棲する</v>
      </c>
      <c r="G1038" s="11" t="str">
        <f>IFERROR(__xludf.DUMMYFUNCTION("""COMPUTED_VALUE"""),"1～2")</f>
        <v>1～2</v>
      </c>
      <c r="H1038" s="22" t="str">
        <f>IFERROR(__xludf.DUMMYFUNCTION("""COMPUTED_VALUE"""),"えんど")</f>
        <v>えんど</v>
      </c>
      <c r="I1038" s="22" t="str">
        <f>IFERROR(__xludf.DUMMYFUNCTION("""COMPUTED_VALUE"""),"青年")</f>
        <v>青年</v>
      </c>
      <c r="J1038" s="22"/>
      <c r="K1038" s="22"/>
      <c r="L1038" s="22" t="str">
        <f>IFERROR(__xludf.DUMMYFUNCTION("""COMPUTED_VALUE"""),"GOT")</f>
        <v>GOT</v>
      </c>
      <c r="M1038" s="23">
        <f>IFERROR(__xludf.DUMMYFUNCTION("""COMPUTED_VALUE"""),45323.0)</f>
        <v>45323</v>
      </c>
      <c r="N1038" s="33">
        <f>IFERROR(__xludf.DUMMYFUNCTION("""COMPUTED_VALUE"""),45382.0)</f>
        <v>45382</v>
      </c>
      <c r="O1038" s="20"/>
      <c r="P1038" s="32" t="str">
        <f>IFERROR(__xludf.DUMMYFUNCTION("""COMPUTED_VALUE"""),"可")</f>
        <v>可</v>
      </c>
      <c r="Q1038" s="22"/>
      <c r="R1038" s="22" t="str">
        <f>IFERROR(__xludf.DUMMYFUNCTION("""COMPUTED_VALUE"""),"格納済")</f>
        <v>格納済</v>
      </c>
      <c r="S1038" s="22" t="str">
        <f>IFERROR(__xludf.DUMMYFUNCTION("""COMPUTED_VALUE"""),"20231228_GOT_【単話版】身寄りのない女の子 同棲する")</f>
        <v>20231228_GOT_【単話版】身寄りのない女の子 同棲する</v>
      </c>
      <c r="T1038" s="22" t="str">
        <f>IFERROR(__xludf.DUMMYFUNCTION("""COMPUTED_VALUE"""),"格納済み")</f>
        <v>格納済み</v>
      </c>
      <c r="U1038" s="15" t="str">
        <f>IFERROR(__xludf.DUMMYFUNCTION("""COMPUTED_VALUE"""),"©えんど／ジーオーティー")</f>
        <v>©えんど／ジーオーティー</v>
      </c>
      <c r="V1038" s="8" t="str">
        <f>IFERROR(__xludf.DUMMYFUNCTION("""COMPUTED_VALUE"""),"育児放棄の果てに12歳で山に捨てられ、俺の父親が拾ってきた女の子……遊（ゆう）。
今日から俺は高校生になった彼女と親元を離れ、同棲生活を始める━━。
SNS等で人気沸騰の話題作が甘酸っぱさ全開で贈る、【悩みが尽きない系】同棲ラブコメディ！
初めての同棲をする恋人同士の二人に、〇〇問題・△△事件・××騒動など次々試練が降りかかる!!
二人は無事に、この難題たちを乗り越えることができるか━━!?")</f>
        <v>育児放棄の果てに12歳で山に捨てられ、俺の父親が拾ってきた女の子……遊（ゆう）。
今日から俺は高校生になった彼女と親元を離れ、同棲生活を始める━━。
SNS等で人気沸騰の話題作が甘酸っぱさ全開で贈る、【悩みが尽きない系】同棲ラブコメディ！
初めての同棲をする恋人同士の二人に、〇〇問題・△△事件・××騒動など次々試練が降りかかる!!
二人は無事に、この難題たちを乗り越えることができるか━━!?</v>
      </c>
      <c r="W1038" s="14"/>
      <c r="X1038" s="14" t="str">
        <f>IFERROR(__xludf.DUMMYFUNCTION("""COMPUTED_VALUE"""),"有")</f>
        <v>有</v>
      </c>
      <c r="Y1038" s="8" t="str">
        <f>IFERROR(__xludf.DUMMYFUNCTION("""COMPUTED_VALUE"""),"P4まで")</f>
        <v>P4まで</v>
      </c>
      <c r="Z1038" s="7"/>
      <c r="AA1038" s="7"/>
      <c r="AB1038" s="7"/>
    </row>
    <row r="1039" ht="15.75" customHeight="1">
      <c r="A1039" s="26">
        <f>IFERROR(__xludf.DUMMYFUNCTION("""COMPUTED_VALUE"""),2803.0)</f>
        <v>2803</v>
      </c>
      <c r="B1039" s="22" t="str">
        <f>IFERROR(__xludf.DUMMYFUNCTION("""COMPUTED_VALUE"""),"確定")</f>
        <v>確定</v>
      </c>
      <c r="C1039" s="28">
        <f>IFERROR(__xludf.DUMMYFUNCTION("""COMPUTED_VALUE"""),45288.0)</f>
        <v>45288</v>
      </c>
      <c r="D1039" s="28">
        <f>IFERROR(__xludf.DUMMYFUNCTION("""COMPUTED_VALUE"""),45300.0)</f>
        <v>45300</v>
      </c>
      <c r="E1039" s="31">
        <f>IFERROR(__xludf.DUMMYFUNCTION("""COMPUTED_VALUE"""),285471.0)</f>
        <v>285471</v>
      </c>
      <c r="F1039" s="22" t="str">
        <f>IFERROR(__xludf.DUMMYFUNCTION("""COMPUTED_VALUE"""),"【単話版】めぐりどころ")</f>
        <v>【単話版】めぐりどころ</v>
      </c>
      <c r="G1039" s="20" t="str">
        <f>IFERROR(__xludf.DUMMYFUNCTION("""COMPUTED_VALUE"""),"1~3")</f>
        <v>1~3</v>
      </c>
      <c r="H1039" s="22" t="str">
        <f>IFERROR(__xludf.DUMMYFUNCTION("""COMPUTED_VALUE"""),"睦茸")</f>
        <v>睦茸</v>
      </c>
      <c r="I1039" s="22" t="str">
        <f>IFERROR(__xludf.DUMMYFUNCTION("""COMPUTED_VALUE"""),"青年")</f>
        <v>青年</v>
      </c>
      <c r="J1039" s="22"/>
      <c r="K1039" s="22"/>
      <c r="L1039" s="22" t="str">
        <f>IFERROR(__xludf.DUMMYFUNCTION("""COMPUTED_VALUE"""),"GOT")</f>
        <v>GOT</v>
      </c>
      <c r="M1039" s="23">
        <f>IFERROR(__xludf.DUMMYFUNCTION("""COMPUTED_VALUE"""),45323.0)</f>
        <v>45323</v>
      </c>
      <c r="N1039" s="33">
        <f>IFERROR(__xludf.DUMMYFUNCTION("""COMPUTED_VALUE"""),45382.0)</f>
        <v>45382</v>
      </c>
      <c r="O1039" s="20"/>
      <c r="P1039" s="32" t="str">
        <f>IFERROR(__xludf.DUMMYFUNCTION("""COMPUTED_VALUE"""),"可")</f>
        <v>可</v>
      </c>
      <c r="Q1039" s="22"/>
      <c r="R1039" s="22" t="str">
        <f>IFERROR(__xludf.DUMMYFUNCTION("""COMPUTED_VALUE"""),"格納済")</f>
        <v>格納済</v>
      </c>
      <c r="S1039" s="22" t="str">
        <f>IFERROR(__xludf.DUMMYFUNCTION("""COMPUTED_VALUE"""),"20231228_GOT_【単話版】めぐりどころ")</f>
        <v>20231228_GOT_【単話版】めぐりどころ</v>
      </c>
      <c r="T1039" s="22" t="str">
        <f>IFERROR(__xludf.DUMMYFUNCTION("""COMPUTED_VALUE"""),"格納済み")</f>
        <v>格納済み</v>
      </c>
      <c r="U1039" s="15" t="str">
        <f>IFERROR(__xludf.DUMMYFUNCTION("""COMPUTED_VALUE"""),"©睦茸／ジーオーティー")</f>
        <v>©睦茸／ジーオーティー</v>
      </c>
      <c r="V1039" s="8" t="str">
        <f>IFERROR(__xludf.DUMMYFUNCTION("""COMPUTED_VALUE"""),"健全なスケベ男子VSクーデレ美少女、惚れた弱みはどっちだ！？赤面100本勝負！！
クール×巨乳×三つ編み×ボクっ娘の美少女・めぐるが今日もカレシに肩揉みをさせていると、彼はただちにめぐるの×××をガン見メン。負けずにめぐるも熱い視線でEYE to EYE。すかさず、めぐるをベッドに横たえて全身マッサージに移行すれば、不意に外れたブラのホックが2人の体温を加速させてーー。ツンでクールと見せて本音はカレのことが大好きすぎる最強カノジョと過ごすドチャ甘日常エンターテインメント！")</f>
        <v>健全なスケベ男子VSクーデレ美少女、惚れた弱みはどっちだ！？赤面100本勝負！！
クール×巨乳×三つ編み×ボクっ娘の美少女・めぐるが今日もカレシに肩揉みをさせていると、彼はただちにめぐるの×××をガン見メン。負けずにめぐるも熱い視線でEYE to EYE。すかさず、めぐるをベッドに横たえて全身マッサージに移行すれば、不意に外れたブラのホックが2人の体温を加速させてーー。ツンでクールと見せて本音はカレのことが大好きすぎる最強カノジョと過ごすドチャ甘日常エンターテインメント！</v>
      </c>
      <c r="W1039" s="14"/>
      <c r="X1039" s="14" t="str">
        <f>IFERROR(__xludf.DUMMYFUNCTION("""COMPUTED_VALUE"""),"有")</f>
        <v>有</v>
      </c>
      <c r="Y1039" s="8" t="str">
        <f>IFERROR(__xludf.DUMMYFUNCTION("""COMPUTED_VALUE"""),"P4まで")</f>
        <v>P4まで</v>
      </c>
      <c r="Z1039" s="7"/>
      <c r="AA1039" s="7"/>
      <c r="AB1039" s="7"/>
    </row>
    <row r="1040" ht="87.75" customHeight="1">
      <c r="A1040" s="26">
        <f>IFERROR(__xludf.DUMMYFUNCTION("""COMPUTED_VALUE"""),2804.0)</f>
        <v>2804</v>
      </c>
      <c r="B1040" s="22" t="str">
        <f>IFERROR(__xludf.DUMMYFUNCTION("""COMPUTED_VALUE"""),"確定")</f>
        <v>確定</v>
      </c>
      <c r="C1040" s="28">
        <f>IFERROR(__xludf.DUMMYFUNCTION("""COMPUTED_VALUE"""),45288.0)</f>
        <v>45288</v>
      </c>
      <c r="D1040" s="28">
        <f>IFERROR(__xludf.DUMMYFUNCTION("""COMPUTED_VALUE"""),45300.0)</f>
        <v>45300</v>
      </c>
      <c r="E1040" s="31">
        <f>IFERROR(__xludf.DUMMYFUNCTION("""COMPUTED_VALUE"""),285742.0)</f>
        <v>285742</v>
      </c>
      <c r="F1040" s="22" t="str">
        <f>IFERROR(__xludf.DUMMYFUNCTION("""COMPUTED_VALUE"""),"元婚約者の結婚式にウェディングドレスで参列した公爵令嬢は元皇子様に溺愛される")</f>
        <v>元婚約者の結婚式にウェディングドレスで参列した公爵令嬢は元皇子様に溺愛される</v>
      </c>
      <c r="G1040" s="16" t="str">
        <f>IFERROR(__xludf.DUMMYFUNCTION("""COMPUTED_VALUE"""),"1～4")</f>
        <v>1～4</v>
      </c>
      <c r="H1040" s="22" t="str">
        <f>IFERROR(__xludf.DUMMYFUNCTION("""COMPUTED_VALUE"""),"あすかいくに")</f>
        <v>あすかいくに</v>
      </c>
      <c r="I1040" s="22" t="str">
        <f>IFERROR(__xludf.DUMMYFUNCTION("""COMPUTED_VALUE"""),"少女")</f>
        <v>少女</v>
      </c>
      <c r="J1040" s="22"/>
      <c r="K1040" s="22"/>
      <c r="L1040" s="22" t="str">
        <f>IFERROR(__xludf.DUMMYFUNCTION("""COMPUTED_VALUE"""),"マッグガーデン")</f>
        <v>マッグガーデン</v>
      </c>
      <c r="M1040" s="23">
        <f>IFERROR(__xludf.DUMMYFUNCTION("""COMPUTED_VALUE"""),45338.0)</f>
        <v>45338</v>
      </c>
      <c r="N1040" s="23">
        <f>IFERROR(__xludf.DUMMYFUNCTION("""COMPUTED_VALUE"""),45457.0)</f>
        <v>45457</v>
      </c>
      <c r="O1040" s="20"/>
      <c r="P1040" s="29" t="str">
        <f>IFERROR(__xludf.DUMMYFUNCTION("""COMPUTED_VALUE"""),"否")</f>
        <v>否</v>
      </c>
      <c r="Q1040" s="30" t="str">
        <f>IFERROR(__xludf.DUMMYFUNCTION("""COMPUTED_VALUE"""),"協業作品です")</f>
        <v>協業作品です</v>
      </c>
      <c r="R1040" s="22"/>
      <c r="S1040" s="22" t="str">
        <f>IFERROR(__xludf.DUMMYFUNCTION("""COMPUTED_VALUE"""),"20231228_マッグガーデン_元婚約者の結婚式にウェディングドレスで参列した公爵令嬢は元皇子様に溺愛される")</f>
        <v>20231228_マッグガーデン_元婚約者の結婚式にウェディングドレスで参列した公爵令嬢は元皇子様に溺愛される</v>
      </c>
      <c r="T1040" s="22" t="str">
        <f>IFERROR(__xludf.DUMMYFUNCTION("""COMPUTED_VALUE"""),"格納済み")</f>
        <v>格納済み</v>
      </c>
      <c r="U1040" s="15" t="str">
        <f>IFERROR(__xludf.DUMMYFUNCTION("""COMPUTED_VALUE"""),"(c)あすかいくに/MAG Garden")</f>
        <v>(c)あすかいくに/MAG Garden</v>
      </c>
      <c r="V1040" s="8" t="str">
        <f>IFERROR(__xludf.DUMMYFUNCTION("""COMPUTED_VALUE"""),"皇太子に捨てられた公爵令嬢が、その結婚式にウェディングドレス姿で現れた。　私は私のために戦います。どんなに傷つけられても健気に逞しく生き、自らの信じる「幸せ」に迎えられた、一人の女性の物語。")</f>
        <v>皇太子に捨てられた公爵令嬢が、その結婚式にウェディングドレス姿で現れた。　私は私のために戦います。どんなに傷つけられても健気に逞しく生き、自らの信じる「幸せ」に迎えられた、一人の女性の物語。</v>
      </c>
      <c r="W1040" s="14"/>
      <c r="X1040" s="14" t="str">
        <f>IFERROR(__xludf.DUMMYFUNCTION("""COMPUTED_VALUE"""),"有")</f>
        <v>有</v>
      </c>
      <c r="Y1040" s="8" t="str">
        <f>IFERROR(__xludf.DUMMYFUNCTION("""COMPUTED_VALUE"""),"2024/2/29まで1巻無料")</f>
        <v>2024/2/29まで1巻無料</v>
      </c>
      <c r="Z1040" s="7"/>
      <c r="AA1040" s="7"/>
      <c r="AB1040" s="7"/>
    </row>
    <row r="1041" ht="15.75" customHeight="1">
      <c r="A1041" s="26">
        <f>IFERROR(__xludf.DUMMYFUNCTION("""COMPUTED_VALUE"""),2807.0)</f>
        <v>2807</v>
      </c>
      <c r="B1041" s="22" t="str">
        <f>IFERROR(__xludf.DUMMYFUNCTION("""COMPUTED_VALUE"""),"確定")</f>
        <v>確定</v>
      </c>
      <c r="C1041" s="28">
        <f>IFERROR(__xludf.DUMMYFUNCTION("""COMPUTED_VALUE"""),45296.0)</f>
        <v>45296</v>
      </c>
      <c r="D1041" s="28">
        <f>IFERROR(__xludf.DUMMYFUNCTION("""COMPUTED_VALUE"""),45300.0)</f>
        <v>45300</v>
      </c>
      <c r="E1041" s="31">
        <f>IFERROR(__xludf.DUMMYFUNCTION("""COMPUTED_VALUE"""),285083.0)</f>
        <v>285083</v>
      </c>
      <c r="F1041" s="22" t="str">
        <f>IFERROR(__xludf.DUMMYFUNCTION("""COMPUTED_VALUE"""),"従順な純愛～今夜、私を抱いて～【タテヨミ】")</f>
        <v>従順な純愛～今夜、私を抱いて～【タテヨミ】</v>
      </c>
      <c r="G1041" s="20" t="str">
        <f>IFERROR(__xludf.DUMMYFUNCTION("""COMPUTED_VALUE"""),"1～22")</f>
        <v>1～22</v>
      </c>
      <c r="H1041" s="22" t="str">
        <f>IFERROR(__xludf.DUMMYFUNCTION("""COMPUTED_VALUE"""),"royalblue・gangteukja")</f>
        <v>royalblue・gangteukja</v>
      </c>
      <c r="I1041" s="22" t="str">
        <f>IFERROR(__xludf.DUMMYFUNCTION("""COMPUTED_VALUE"""),"女性")</f>
        <v>女性</v>
      </c>
      <c r="J1041" s="22"/>
      <c r="K1041" s="22"/>
      <c r="L1041" s="22" t="str">
        <f>IFERROR(__xludf.DUMMYFUNCTION("""COMPUTED_VALUE"""),"レジンエンターテインメント")</f>
        <v>レジンエンターテインメント</v>
      </c>
      <c r="M1041" s="23">
        <f>IFERROR(__xludf.DUMMYFUNCTION("""COMPUTED_VALUE"""),45310.0)</f>
        <v>45310</v>
      </c>
      <c r="N1041" s="33">
        <f>IFERROR(__xludf.DUMMYFUNCTION("""COMPUTED_VALUE"""),45341.0)</f>
        <v>45341</v>
      </c>
      <c r="O1041" s="20"/>
      <c r="P1041" s="29" t="str">
        <f>IFERROR(__xludf.DUMMYFUNCTION("""COMPUTED_VALUE"""),"可")</f>
        <v>可</v>
      </c>
      <c r="Q1041" s="30" t="str">
        <f>IFERROR(__xludf.DUMMYFUNCTION("""COMPUTED_VALUE"""),"事前コミット作品ですが広告バナーは準備でき次第でOKです。")</f>
        <v>事前コミット作品ですが広告バナーは準備でき次第でOKです。</v>
      </c>
      <c r="R1041" s="22"/>
      <c r="S1041" s="22" t="str">
        <f>IFERROR(__xludf.DUMMYFUNCTION("""COMPUTED_VALUE"""),"20231213_レジンエンターテインメント_従順な純愛～今夜、私を抱いて～")</f>
        <v>20231213_レジンエンターテインメント_従順な純愛～今夜、私を抱いて～</v>
      </c>
      <c r="T1041" s="22" t="str">
        <f>IFERROR(__xludf.DUMMYFUNCTION("""COMPUTED_VALUE"""),"格納済み")</f>
        <v>格納済み</v>
      </c>
      <c r="U1041" s="15" t="str">
        <f>IFERROR(__xludf.DUMMYFUNCTION("""COMPUTED_VALUE"""),"ⓒroyalblue・gangteukja / レジンコミックス")</f>
        <v>ⓒroyalblue・gangteukja / レジンコミックス</v>
      </c>
      <c r="V1041" s="8" t="str">
        <f>IFERROR(__xludf.DUMMYFUNCTION("""COMPUTED_VALUE"""),"#一途#年下男子#年上年下#ハイスペック女子#初恋#片思い#三角関係#ロマンス ヨンハは小さい頃から姉の友達であるスイ一筋だった。しかし、スイは年の差を理由にヨンハを相手にはしてくれない。それでもヨンハは、一途に彼女を想いつづけた。そんなある日、弱っている彼女を慰め、家まで送り届けて帰ろうとしたヨンハを、スイは押し倒して衝撃の提案をする。「お願い、私を抱いて」")</f>
        <v>#一途#年下男子#年上年下#ハイスペック女子#初恋#片思い#三角関係#ロマンス ヨンハは小さい頃から姉の友達であるスイ一筋だった。しかし、スイは年の差を理由にヨンハを相手にはしてくれない。それでもヨンハは、一途に彼女を想いつづけた。そんなある日、弱っている彼女を慰め、家まで送り届けて帰ろうとしたヨンハを、スイは押し倒して衝撃の提案をする。「お願い、私を抱いて」</v>
      </c>
      <c r="W1041" s="14"/>
      <c r="X1041" s="14" t="str">
        <f>IFERROR(__xludf.DUMMYFUNCTION("""COMPUTED_VALUE"""),"有")</f>
        <v>有</v>
      </c>
      <c r="Y1041" s="8" t="str">
        <f>IFERROR(__xludf.DUMMYFUNCTION("""COMPUTED_VALUE"""),"1巻無料")</f>
        <v>1巻無料</v>
      </c>
      <c r="Z1041" s="7"/>
      <c r="AA1041" s="7"/>
      <c r="AB1041" s="7"/>
    </row>
    <row r="1042" ht="80.25" customHeight="1">
      <c r="A1042" s="26">
        <f>IFERROR(__xludf.DUMMYFUNCTION("""COMPUTED_VALUE"""),2629.0)</f>
        <v>2629</v>
      </c>
      <c r="B1042" s="22" t="str">
        <f>IFERROR(__xludf.DUMMYFUNCTION("""COMPUTED_VALUE"""),"確定")</f>
        <v>確定</v>
      </c>
      <c r="C1042" s="28">
        <f>IFERROR(__xludf.DUMMYFUNCTION("""COMPUTED_VALUE"""),45240.0)</f>
        <v>45240</v>
      </c>
      <c r="D1042" s="28">
        <f>IFERROR(__xludf.DUMMYFUNCTION("""COMPUTED_VALUE"""),45308.0)</f>
        <v>45308</v>
      </c>
      <c r="E1042" s="31">
        <f>IFERROR(__xludf.DUMMYFUNCTION("""COMPUTED_VALUE"""),285733.0)</f>
        <v>285733</v>
      </c>
      <c r="F1042" s="22" t="str">
        <f>IFERROR(__xludf.DUMMYFUNCTION("""COMPUTED_VALUE"""),"私の秘密を消す方法 【タテヨミ】")</f>
        <v>私の秘密を消す方法 【タテヨミ】</v>
      </c>
      <c r="G1042" s="16" t="str">
        <f>IFERROR(__xludf.DUMMYFUNCTION("""COMPUTED_VALUE"""),"1～20")</f>
        <v>1～20</v>
      </c>
      <c r="H1042" s="22" t="str">
        <f>IFERROR(__xludf.DUMMYFUNCTION("""COMPUTED_VALUE"""),"PRISMstudio┴谷原")</f>
        <v>PRISMstudio┴谷原</v>
      </c>
      <c r="I1042" s="22" t="str">
        <f>IFERROR(__xludf.DUMMYFUNCTION("""COMPUTED_VALUE"""),"女性")</f>
        <v>女性</v>
      </c>
      <c r="J1042" s="22"/>
      <c r="K1042" s="22"/>
      <c r="L1042" s="22" t="str">
        <f>IFERROR(__xludf.DUMMYFUNCTION("""COMPUTED_VALUE"""),"U-NEXT")</f>
        <v>U-NEXT</v>
      </c>
      <c r="M1042" s="23">
        <f>IFERROR(__xludf.DUMMYFUNCTION("""COMPUTED_VALUE"""),45323.0)</f>
        <v>45323</v>
      </c>
      <c r="N1042" s="33">
        <f>IFERROR(__xludf.DUMMYFUNCTION("""COMPUTED_VALUE"""),45416.0)</f>
        <v>45416</v>
      </c>
      <c r="O1042" s="20"/>
      <c r="P1042" s="29" t="str">
        <f>IFERROR(__xludf.DUMMYFUNCTION("""COMPUTED_VALUE"""),"可")</f>
        <v>可</v>
      </c>
      <c r="Q1042" s="30" t="str">
        <f>IFERROR(__xludf.DUMMYFUNCTION("""COMPUTED_VALUE"""),"広告コミットOK(11/16)")</f>
        <v>広告コミットOK(11/16)</v>
      </c>
      <c r="R1042" s="22"/>
      <c r="S1042" s="22" t="str">
        <f>IFERROR(__xludf.DUMMYFUNCTION("""COMPUTED_VALUE"""),"20240116_UNEXT_新作2作品")</f>
        <v>20240116_UNEXT_新作2作品</v>
      </c>
      <c r="T1042" s="22" t="str">
        <f>IFERROR(__xludf.DUMMYFUNCTION("""COMPUTED_VALUE"""),"格納済み")</f>
        <v>格納済み</v>
      </c>
      <c r="U1042" s="15" t="str">
        <f>IFERROR(__xludf.DUMMYFUNCTION("""COMPUTED_VALUE"""),"©U-NEXT")</f>
        <v>©U-NEXT</v>
      </c>
      <c r="V1042" s="8" t="str">
        <f>IFERROR(__xludf.DUMMYFUNCTION("""COMPUTED_VALUE"""),"「アナタノヒミツヲシッテイル」そのメッセージが届いてから、10年前の女子高校生殺害事件を彷彿させるように、弥生の周りで次々と殺人事件が起きていく...。それぞれの秘密を巡る「愛」と「執着」のサスペンス")</f>
        <v>「アナタノヒミツヲシッテイル」そのメッセージが届いてから、10年前の女子高校生殺害事件を彷彿させるように、弥生の周りで次々と殺人事件が起きていく...。それぞれの秘密を巡る「愛」と「執着」のサスペンス</v>
      </c>
      <c r="W1042" s="14"/>
      <c r="X1042" s="14" t="str">
        <f>IFERROR(__xludf.DUMMYFUNCTION("""COMPUTED_VALUE"""),"有")</f>
        <v>有</v>
      </c>
      <c r="Y1042" s="8" t="str">
        <f>IFERROR(__xludf.DUMMYFUNCTION("""COMPUTED_VALUE"""),"3巻無料")</f>
        <v>3巻無料</v>
      </c>
      <c r="Z1042" s="7"/>
      <c r="AA1042" s="7"/>
      <c r="AB1042" s="7"/>
    </row>
    <row r="1043" ht="99.75" customHeight="1">
      <c r="A1043" s="26">
        <f>IFERROR(__xludf.DUMMYFUNCTION("""COMPUTED_VALUE"""),2630.0)</f>
        <v>2630</v>
      </c>
      <c r="B1043" s="22" t="str">
        <f>IFERROR(__xludf.DUMMYFUNCTION("""COMPUTED_VALUE"""),"確定")</f>
        <v>確定</v>
      </c>
      <c r="C1043" s="28">
        <f>IFERROR(__xludf.DUMMYFUNCTION("""COMPUTED_VALUE"""),45240.0)</f>
        <v>45240</v>
      </c>
      <c r="D1043" s="28">
        <f>IFERROR(__xludf.DUMMYFUNCTION("""COMPUTED_VALUE"""),45308.0)</f>
        <v>45308</v>
      </c>
      <c r="E1043" s="31">
        <f>IFERROR(__xludf.DUMMYFUNCTION("""COMPUTED_VALUE"""),285999.0)</f>
        <v>285999</v>
      </c>
      <c r="F1043" s="22" t="str">
        <f>IFERROR(__xludf.DUMMYFUNCTION("""COMPUTED_VALUE"""),"セカンドショジョと契約彼氏 【分冊版】")</f>
        <v>セカンドショジョと契約彼氏 【分冊版】</v>
      </c>
      <c r="G1043" s="20" t="str">
        <f>IFERROR(__xludf.DUMMYFUNCTION("""COMPUTED_VALUE"""),"1～5")</f>
        <v>1～5</v>
      </c>
      <c r="H1043" s="22" t="str">
        <f>IFERROR(__xludf.DUMMYFUNCTION("""COMPUTED_VALUE"""),"たりほ")</f>
        <v>たりほ</v>
      </c>
      <c r="I1043" s="22" t="str">
        <f>IFERROR(__xludf.DUMMYFUNCTION("""COMPUTED_VALUE"""),"女性")</f>
        <v>女性</v>
      </c>
      <c r="J1043" s="22"/>
      <c r="K1043" s="22"/>
      <c r="L1043" s="22" t="str">
        <f>IFERROR(__xludf.DUMMYFUNCTION("""COMPUTED_VALUE"""),"U-NEXT")</f>
        <v>U-NEXT</v>
      </c>
      <c r="M1043" s="23">
        <f>IFERROR(__xludf.DUMMYFUNCTION("""COMPUTED_VALUE"""),45352.0)</f>
        <v>45352</v>
      </c>
      <c r="N1043" s="23">
        <f>IFERROR(__xludf.DUMMYFUNCTION("""COMPUTED_VALUE"""),45451.0)</f>
        <v>45451</v>
      </c>
      <c r="O1043" s="20"/>
      <c r="P1043" s="29" t="str">
        <f>IFERROR(__xludf.DUMMYFUNCTION("""COMPUTED_VALUE"""),"可")</f>
        <v>可</v>
      </c>
      <c r="Q1043" s="30" t="str">
        <f>IFERROR(__xludf.DUMMYFUNCTION("""COMPUTED_VALUE"""),"広告コミットOK(11/16)")</f>
        <v>広告コミットOK(11/16)</v>
      </c>
      <c r="R1043" s="22"/>
      <c r="S1043" s="22" t="str">
        <f>IFERROR(__xludf.DUMMYFUNCTION("""COMPUTED_VALUE"""),"20240116_UNEXT_新作2作品")</f>
        <v>20240116_UNEXT_新作2作品</v>
      </c>
      <c r="T1043" s="31" t="str">
        <f>IFERROR(__xludf.DUMMYFUNCTION("""COMPUTED_VALUE"""),"格納済み")</f>
        <v>格納済み</v>
      </c>
      <c r="U1043" s="15" t="str">
        <f>IFERROR(__xludf.DUMMYFUNCTION("""COMPUTED_VALUE"""),"©たりほ／U-NEXT")</f>
        <v>©たりほ／U-NEXT</v>
      </c>
      <c r="V1043" s="8" t="str">
        <f>IFERROR(__xludf.DUMMYFUNCTION("""COMPUTED_VALUE"""),"初体験のトラウマで恋愛ができなくなったアラサーの明日香は、母親から強要された見合いを回避するため、出会ったばかりの年下イケメンからの偽装恋人のオファーを受けることに──。")</f>
        <v>初体験のトラウマで恋愛ができなくなったアラサーの明日香は、母親から強要された見合いを回避するため、出会ったばかりの年下イケメンからの偽装恋人のオファーを受けることに──。</v>
      </c>
      <c r="W1043" s="14"/>
      <c r="X1043" s="14" t="str">
        <f>IFERROR(__xludf.DUMMYFUNCTION("""COMPUTED_VALUE"""),"有")</f>
        <v>有</v>
      </c>
      <c r="Y1043" s="8" t="str">
        <f>IFERROR(__xludf.DUMMYFUNCTION("""COMPUTED_VALUE"""),"2024/3/14まで1巻無料")</f>
        <v>2024/3/14まで1巻無料</v>
      </c>
      <c r="Z1043" s="7"/>
      <c r="AA1043" s="7"/>
      <c r="AB1043" s="7"/>
    </row>
    <row r="1044" ht="15.75" customHeight="1">
      <c r="A1044" s="26">
        <f>IFERROR(__xludf.DUMMYFUNCTION("""COMPUTED_VALUE"""),2646.0)</f>
        <v>2646</v>
      </c>
      <c r="B1044" s="22" t="str">
        <f>IFERROR(__xludf.DUMMYFUNCTION("""COMPUTED_VALUE"""),"確定")</f>
        <v>確定</v>
      </c>
      <c r="C1044" s="28">
        <f>IFERROR(__xludf.DUMMYFUNCTION("""COMPUTED_VALUE"""),45245.0)</f>
        <v>45245</v>
      </c>
      <c r="D1044" s="28">
        <f>IFERROR(__xludf.DUMMYFUNCTION("""COMPUTED_VALUE"""),45302.0)</f>
        <v>45302</v>
      </c>
      <c r="E1044" s="31">
        <f>IFERROR(__xludf.DUMMYFUNCTION("""COMPUTED_VALUE"""),284742.0)</f>
        <v>284742</v>
      </c>
      <c r="F1044" s="22" t="str">
        <f>IFERROR(__xludf.DUMMYFUNCTION("""COMPUTED_VALUE"""),"ほのちゃんはそんなコト言わない")</f>
        <v>ほのちゃんはそんなコト言わない</v>
      </c>
      <c r="G1044" s="20">
        <f>IFERROR(__xludf.DUMMYFUNCTION("""COMPUTED_VALUE"""),1.0)</f>
        <v>1</v>
      </c>
      <c r="H1044" s="22" t="str">
        <f>IFERROR(__xludf.DUMMYFUNCTION("""COMPUTED_VALUE"""),"本田ゆいた")</f>
        <v>本田ゆいた</v>
      </c>
      <c r="I1044" s="22" t="str">
        <f>IFERROR(__xludf.DUMMYFUNCTION("""COMPUTED_VALUE"""),"BL")</f>
        <v>BL</v>
      </c>
      <c r="J1044" s="22"/>
      <c r="K1044" s="22"/>
      <c r="L1044" s="22" t="str">
        <f>IFERROR(__xludf.DUMMYFUNCTION("""COMPUTED_VALUE"""),"アメイロ")</f>
        <v>アメイロ</v>
      </c>
      <c r="M1044" s="23">
        <f>IFERROR(__xludf.DUMMYFUNCTION("""COMPUTED_VALUE"""),45324.0)</f>
        <v>45324</v>
      </c>
      <c r="N1044" s="23">
        <f>IFERROR(__xludf.DUMMYFUNCTION("""COMPUTED_VALUE"""),45351.0)</f>
        <v>45351</v>
      </c>
      <c r="O1044" s="20"/>
      <c r="P1044" s="32" t="str">
        <f>IFERROR(__xludf.DUMMYFUNCTION("""COMPUTED_VALUE"""),"可")</f>
        <v>可</v>
      </c>
      <c r="Q1044" s="42"/>
      <c r="R1044" s="42">
        <f>IFERROR(__xludf.DUMMYFUNCTION("""COMPUTED_VALUE"""),45300.0)</f>
        <v>45300</v>
      </c>
      <c r="S1044" s="22" t="str">
        <f>IFERROR(__xludf.DUMMYFUNCTION("""COMPUTED_VALUE"""),"20240111_アメイロ_ほのちゃんはそんなコト言わない")</f>
        <v>20240111_アメイロ_ほのちゃんはそんなコト言わない</v>
      </c>
      <c r="T1044" s="22" t="str">
        <f>IFERROR(__xludf.DUMMYFUNCTION("""COMPUTED_VALUE"""),"格納済み")</f>
        <v>格納済み</v>
      </c>
      <c r="U1044" s="15" t="str">
        <f>IFERROR(__xludf.DUMMYFUNCTION("""COMPUTED_VALUE"""),"（C）本田ゆいた/アメイロ")</f>
        <v>（C）本田ゆいた/アメイロ</v>
      </c>
      <c r="V1044" s="8" t="str">
        <f>IFERROR(__xludf.DUMMYFUNCTION("""COMPUTED_VALUE"""),"――オフの推しは、もしかしたらクソ野郎かもしれない。
コンビニ店員・ケーゴの推しは人気配信者の「ほのか」。
整ったクールな容姿、話すとお茶目なそのギャップに日々癒しをもらうケーゴだったが、ある日レジに立っているとほのかが来店！
一緒にいたのは彼女かと思いきや、その後毎日違う女性を連れてくるほのかに、悲しいかな、彼がかなりの遊び人であることを知る…。
そんな折、ケーゴは仕事終わりにほのかと女性がいるところに遭遇。
思わぬ一悶着の末に「言い訳させてよ」と引き止められて…！？
人気配信者×健気オタク"&amp;"が織りなす、初恋ロマンティック・コメディBL！")</f>
        <v>――オフの推しは、もしかしたらクソ野郎かもしれない。
コンビニ店員・ケーゴの推しは人気配信者の「ほのか」。
整ったクールな容姿、話すとお茶目なそのギャップに日々癒しをもらうケーゴだったが、ある日レジに立っているとほのかが来店！
一緒にいたのは彼女かと思いきや、その後毎日違う女性を連れてくるほのかに、悲しいかな、彼がかなりの遊び人であることを知る…。
そんな折、ケーゴは仕事終わりにほのかと女性がいるところに遭遇。
思わぬ一悶着の末に「言い訳させてよ」と引き止められて…！？
人気配信者×健気オタクが織りなす、初恋ロマンティック・コメディBL！</v>
      </c>
      <c r="W1044" s="14"/>
      <c r="X1044" s="14" t="str">
        <f>IFERROR(__xludf.DUMMYFUNCTION("""COMPUTED_VALUE"""),"有")</f>
        <v>有</v>
      </c>
      <c r="Y1044" s="8" t="str">
        <f>IFERROR(__xludf.DUMMYFUNCTION("""COMPUTED_VALUE"""),"P7まで")</f>
        <v>P7まで</v>
      </c>
      <c r="Z1044" s="7"/>
      <c r="AA1044" s="7"/>
      <c r="AB1044" s="7"/>
    </row>
    <row r="1045" ht="15.75" customHeight="1">
      <c r="A1045" s="26">
        <f>IFERROR(__xludf.DUMMYFUNCTION("""COMPUTED_VALUE"""),2654.0)</f>
        <v>2654</v>
      </c>
      <c r="B1045" s="22" t="str">
        <f>IFERROR(__xludf.DUMMYFUNCTION("""COMPUTED_VALUE"""),"確定")</f>
        <v>確定</v>
      </c>
      <c r="C1045" s="28">
        <f>IFERROR(__xludf.DUMMYFUNCTION("""COMPUTED_VALUE"""),45247.0)</f>
        <v>45247</v>
      </c>
      <c r="D1045" s="28">
        <f>IFERROR(__xludf.DUMMYFUNCTION("""COMPUTED_VALUE"""),45308.0)</f>
        <v>45308</v>
      </c>
      <c r="E1045" s="31">
        <f>IFERROR(__xludf.DUMMYFUNCTION("""COMPUTED_VALUE"""),288257.0)</f>
        <v>288257</v>
      </c>
      <c r="F1045" s="22" t="str">
        <f>IFERROR(__xludf.DUMMYFUNCTION("""COMPUTED_VALUE"""),"性の劇薬～淫らに開発される身体～【HQカラー】")</f>
        <v>性の劇薬～淫らに開発される身体～【HQカラー】</v>
      </c>
      <c r="G1045" s="20" t="str">
        <f>IFERROR(__xludf.DUMMYFUNCTION("""COMPUTED_VALUE"""),"1~3")</f>
        <v>1~3</v>
      </c>
      <c r="H1045" s="22" t="str">
        <f>IFERROR(__xludf.DUMMYFUNCTION("""COMPUTED_VALUE"""),"水田ゆき")</f>
        <v>水田ゆき</v>
      </c>
      <c r="I1045" s="22" t="str">
        <f>IFERROR(__xludf.DUMMYFUNCTION("""COMPUTED_VALUE"""),"BL")</f>
        <v>BL</v>
      </c>
      <c r="J1045" s="22"/>
      <c r="K1045" s="22"/>
      <c r="L1045" s="22" t="str">
        <f>IFERROR(__xludf.DUMMYFUNCTION("""COMPUTED_VALUE"""),"CLLENN")</f>
        <v>CLLENN</v>
      </c>
      <c r="M1045" s="23">
        <f>IFERROR(__xludf.DUMMYFUNCTION("""COMPUTED_VALUE"""),45353.0)</f>
        <v>45353</v>
      </c>
      <c r="N1045" s="23">
        <f>IFERROR(__xludf.DUMMYFUNCTION("""COMPUTED_VALUE"""),45415.0)</f>
        <v>45415</v>
      </c>
      <c r="O1045" s="20"/>
      <c r="P1045" s="29" t="str">
        <f>IFERROR(__xludf.DUMMYFUNCTION("""COMPUTED_VALUE"""),"可")</f>
        <v>可</v>
      </c>
      <c r="Q1045" s="22" t="str">
        <f>IFERROR(__xludf.DUMMYFUNCTION("""COMPUTED_VALUE"""),"広告コミットOK(11/28)")</f>
        <v>広告コミットOK(11/28)</v>
      </c>
      <c r="R1045" s="22" t="str">
        <f>IFERROR(__xludf.DUMMYFUNCTION("""COMPUTED_VALUE"""),"格納済")</f>
        <v>格納済</v>
      </c>
      <c r="S1045" s="22" t="str">
        <f>IFERROR(__xludf.DUMMYFUNCTION("""COMPUTED_VALUE"""),"20240115_CLLENN_性の劇薬～淫らに開発される身体～【HQカラー】")</f>
        <v>20240115_CLLENN_性の劇薬～淫らに開発される身体～【HQカラー】</v>
      </c>
      <c r="T1045" s="22" t="str">
        <f>IFERROR(__xludf.DUMMYFUNCTION("""COMPUTED_VALUE"""),"格納済み")</f>
        <v>格納済み</v>
      </c>
      <c r="U1045" s="15" t="str">
        <f>IFERROR(__xludf.DUMMYFUNCTION("""COMPUTED_VALUE"""),"ⓒ水田ゆき/CLLENN")</f>
        <v>ⓒ水田ゆき/CLLENN</v>
      </c>
      <c r="V1045" s="8" t="str">
        <f>IFERROR(__xludf.DUMMYFUNCTION("""COMPUTED_VALUE"""),"【デジタル着色による美麗フルカラー版！】「あんたの気持ちいいところ、全部引きずり出してやる」広告代理店に勤務する桂木誠は、仕事もプライベートも完璧な人生を送っていた。しかしある時状況が一変し、全てを失ってしまう…。失意の最中、酔った勢いままにビルから飛び降りようとするも、「捨てようとするなら…その命、俺に寄こせ」意味深な言葉と共に現れた余田龍二に助けられ、言われるがまま命を預けることに。そうして目覚めた瞬間から始まった徹底調教の日々に、体だけでなく、心も開放されていく…")</f>
        <v>【デジタル着色による美麗フルカラー版！】「あんたの気持ちいいところ、全部引きずり出してやる」広告代理店に勤務する桂木誠は、仕事もプライベートも完璧な人生を送っていた。しかしある時状況が一変し、全てを失ってしまう…。失意の最中、酔った勢いままにビルから飛び降りようとするも、「捨てようとするなら…その命、俺に寄こせ」意味深な言葉と共に現れた余田龍二に助けられ、言われるがまま命を預けることに。そうして目覚めた瞬間から始まった徹底調教の日々に、体だけでなく、心も開放されていく…</v>
      </c>
      <c r="W1045" s="14"/>
      <c r="X1045" s="14" t="str">
        <f>IFERROR(__xludf.DUMMYFUNCTION("""COMPUTED_VALUE"""),"有")</f>
        <v>有</v>
      </c>
      <c r="Y1045" s="8" t="str">
        <f>IFERROR(__xludf.DUMMYFUNCTION("""COMPUTED_VALUE"""),"2024/3/15まで1巻無料")</f>
        <v>2024/3/15まで1巻無料</v>
      </c>
      <c r="Z1045" s="7"/>
      <c r="AA1045" s="7"/>
      <c r="AB1045" s="7"/>
    </row>
    <row r="1046" ht="88.5" customHeight="1">
      <c r="A1046" s="26">
        <f>IFERROR(__xludf.DUMMYFUNCTION("""COMPUTED_VALUE"""),2699.0)</f>
        <v>2699</v>
      </c>
      <c r="B1046" s="22" t="str">
        <f>IFERROR(__xludf.DUMMYFUNCTION("""COMPUTED_VALUE"""),"確定")</f>
        <v>確定</v>
      </c>
      <c r="C1046" s="28">
        <f>IFERROR(__xludf.DUMMYFUNCTION("""COMPUTED_VALUE"""),45260.0)</f>
        <v>45260</v>
      </c>
      <c r="D1046" s="28">
        <f>IFERROR(__xludf.DUMMYFUNCTION("""COMPUTED_VALUE"""),45308.0)</f>
        <v>45308</v>
      </c>
      <c r="E1046" s="31">
        <f>IFERROR(__xludf.DUMMYFUNCTION("""COMPUTED_VALUE"""),286269.0)</f>
        <v>286269</v>
      </c>
      <c r="F1046" s="22" t="str">
        <f>IFERROR(__xludf.DUMMYFUNCTION("""COMPUTED_VALUE"""),"名も知らず")</f>
        <v>名も知らず</v>
      </c>
      <c r="G1046" s="16" t="str">
        <f>IFERROR(__xludf.DUMMYFUNCTION("""COMPUTED_VALUE"""),"1～3")</f>
        <v>1～3</v>
      </c>
      <c r="H1046" s="22" t="str">
        <f>IFERROR(__xludf.DUMMYFUNCTION("""COMPUTED_VALUE"""),"ヤナギナギ")</f>
        <v>ヤナギナギ</v>
      </c>
      <c r="I1046" s="22" t="str">
        <f>IFERROR(__xludf.DUMMYFUNCTION("""COMPUTED_VALUE"""),"女性")</f>
        <v>女性</v>
      </c>
      <c r="J1046" s="22"/>
      <c r="K1046" s="22"/>
      <c r="L1046" s="22" t="str">
        <f>IFERROR(__xludf.DUMMYFUNCTION("""COMPUTED_VALUE"""),"ふゅーじょんぷろだくと")</f>
        <v>ふゅーじょんぷろだくと</v>
      </c>
      <c r="M1046" s="23">
        <f>IFERROR(__xludf.DUMMYFUNCTION("""COMPUTED_VALUE"""),45337.0)</f>
        <v>45337</v>
      </c>
      <c r="N1046" s="23">
        <f>IFERROR(__xludf.DUMMYFUNCTION("""COMPUTED_VALUE"""),45455.66666666667)</f>
        <v>45455.66667</v>
      </c>
      <c r="O1046" s="20"/>
      <c r="P1046" s="29" t="str">
        <f>IFERROR(__xludf.DUMMYFUNCTION("""COMPUTED_VALUE"""),"可")</f>
        <v>可</v>
      </c>
      <c r="Q1046" s="30" t="str">
        <f>IFERROR(__xludf.DUMMYFUNCTION("""COMPUTED_VALUE"""),"広告コミットOK(12/7)")</f>
        <v>広告コミットOK(12/7)</v>
      </c>
      <c r="R1046" s="22"/>
      <c r="S1046" s="43" t="str">
        <f>IFERROR(__xludf.DUMMYFUNCTION("""COMPUTED_VALUE"""),"20240117_ふゅーじょんぷろだくと_名も知らず")</f>
        <v>20240117_ふゅーじょんぷろだくと_名も知らず</v>
      </c>
      <c r="T1046" s="22"/>
      <c r="U1046" s="15" t="str">
        <f>IFERROR(__xludf.DUMMYFUNCTION("""COMPUTED_VALUE"""),"『名も知らず』©ヤナギナギ／FUSION PRODUCT")</f>
        <v>『名も知らず』©ヤナギナギ／FUSION PRODUCT</v>
      </c>
      <c r="V1046" s="8" t="str">
        <f>IFERROR(__xludf.DUMMYFUNCTION("""COMPUTED_VALUE"""),"七瀬 彩音（ななせ あやね）、23歳、シングルマザーのΩ。生活は厳しいけれど、娘の鈴（りん）との静かな暮らしに幸せを感じていた。しかし、平穏な日常は終わりを迎える。5年前、彩音のうなじを噛んだ番（つがい）によってーー。")</f>
        <v>七瀬 彩音（ななせ あやね）、23歳、シングルマザーのΩ。生活は厳しいけれど、娘の鈴（りん）との静かな暮らしに幸せを感じていた。しかし、平穏な日常は終わりを迎える。5年前、彩音のうなじを噛んだ番（つがい）によってーー。</v>
      </c>
      <c r="W1046" s="14"/>
      <c r="X1046" s="14" t="str">
        <f>IFERROR(__xludf.DUMMYFUNCTION("""COMPUTED_VALUE"""),"有")</f>
        <v>有</v>
      </c>
      <c r="Y1046" s="8" t="str">
        <f>IFERROR(__xludf.DUMMYFUNCTION("""COMPUTED_VALUE"""),"2024/5/14まで1巻無料")</f>
        <v>2024/5/14まで1巻無料</v>
      </c>
      <c r="Z1046" s="7"/>
      <c r="AA1046" s="7"/>
      <c r="AB1046" s="7"/>
    </row>
    <row r="1047" ht="90.75" customHeight="1">
      <c r="A1047" s="26">
        <f>IFERROR(__xludf.DUMMYFUNCTION("""COMPUTED_VALUE"""),2758.0)</f>
        <v>2758</v>
      </c>
      <c r="B1047" s="22" t="str">
        <f>IFERROR(__xludf.DUMMYFUNCTION("""COMPUTED_VALUE"""),"確定")</f>
        <v>確定</v>
      </c>
      <c r="C1047" s="28">
        <f>IFERROR(__xludf.DUMMYFUNCTION("""COMPUTED_VALUE"""),45274.0)</f>
        <v>45274</v>
      </c>
      <c r="D1047" s="28">
        <f>IFERROR(__xludf.DUMMYFUNCTION("""COMPUTED_VALUE"""),45308.0)</f>
        <v>45308</v>
      </c>
      <c r="E1047" s="31">
        <f>IFERROR(__xludf.DUMMYFUNCTION("""COMPUTED_VALUE"""),285852.0)</f>
        <v>285852</v>
      </c>
      <c r="F1047" s="22" t="str">
        <f>IFERROR(__xludf.DUMMYFUNCTION("""COMPUTED_VALUE"""),"パパとダディ【マイクロ】")</f>
        <v>パパとダディ【マイクロ】</v>
      </c>
      <c r="G1047" s="16" t="str">
        <f>IFERROR(__xludf.DUMMYFUNCTION("""COMPUTED_VALUE"""),"1～3")</f>
        <v>1～3</v>
      </c>
      <c r="H1047" s="22" t="str">
        <f>IFERROR(__xludf.DUMMYFUNCTION("""COMPUTED_VALUE"""),"おおや和美")</f>
        <v>おおや和美</v>
      </c>
      <c r="I1047" s="22" t="str">
        <f>IFERROR(__xludf.DUMMYFUNCTION("""COMPUTED_VALUE"""),"女性")</f>
        <v>女性</v>
      </c>
      <c r="J1047" s="22"/>
      <c r="K1047" s="22"/>
      <c r="L1047" s="22" t="str">
        <f>IFERROR(__xludf.DUMMYFUNCTION("""COMPUTED_VALUE"""),"小学館")</f>
        <v>小学館</v>
      </c>
      <c r="M1047" s="23">
        <f>IFERROR(__xludf.DUMMYFUNCTION("""COMPUTED_VALUE"""),45330.0)</f>
        <v>45330</v>
      </c>
      <c r="N1047" s="23">
        <f>IFERROR(__xludf.DUMMYFUNCTION("""COMPUTED_VALUE"""),45389.0)</f>
        <v>45389</v>
      </c>
      <c r="O1047" s="20"/>
      <c r="P1047" s="29" t="str">
        <f>IFERROR(__xludf.DUMMYFUNCTION("""COMPUTED_VALUE"""),"否")</f>
        <v>否</v>
      </c>
      <c r="Q1047" s="30" t="str">
        <f>IFERROR(__xludf.DUMMYFUNCTION("""COMPUTED_VALUE"""),"広告コミットOK(12/19)")</f>
        <v>広告コミットOK(12/19)</v>
      </c>
      <c r="R1047" s="22"/>
      <c r="S1047" s="22" t="str">
        <f>IFERROR(__xludf.DUMMYFUNCTION("""COMPUTED_VALUE"""),"20240116_小学館_パパとダディ【マイクロ】")</f>
        <v>20240116_小学館_パパとダディ【マイクロ】</v>
      </c>
      <c r="T1047" s="22" t="str">
        <f>IFERROR(__xludf.DUMMYFUNCTION("""COMPUTED_VALUE"""),"格納済み")</f>
        <v>格納済み</v>
      </c>
      <c r="U1047" s="15" t="str">
        <f>IFERROR(__xludf.DUMMYFUNCTION("""COMPUTED_VALUE"""),"(C)おおや和美 / 小学館")</f>
        <v>(C)おおや和美 / 小学館</v>
      </c>
      <c r="V1047" s="8" t="str">
        <f>IFERROR(__xludf.DUMMYFUNCTION("""COMPUTED_VALUE"""),"イケメン2人は“バツイチ子持ちのシングルファーザー”！？　基がいつものように近所のスーパーで晩ご飯お買い物をしていると、営業部エースの廉と偶然出くわし突然「家に来てほしい」といわれ―・・・？　心くすぐるアットホームブなロマンスコメディ▽")</f>
        <v>イケメン2人は“バツイチ子持ちのシングルファーザー”！？　基がいつものように近所のスーパーで晩ご飯お買い物をしていると、営業部エースの廉と偶然出くわし突然「家に来てほしい」といわれ―・・・？　心くすぐるアットホームブなロマンスコメディ▽</v>
      </c>
      <c r="W1047" s="14"/>
      <c r="X1047" s="14" t="str">
        <f>IFERROR(__xludf.DUMMYFUNCTION("""COMPUTED_VALUE"""),"有")</f>
        <v>有</v>
      </c>
      <c r="Y1047" s="8" t="str">
        <f>IFERROR(__xludf.DUMMYFUNCTION("""COMPUTED_VALUE"""),"P14まで")</f>
        <v>P14まで</v>
      </c>
      <c r="Z1047" s="7"/>
      <c r="AA1047" s="7"/>
      <c r="AB1047" s="7"/>
    </row>
    <row r="1048" ht="15.75" customHeight="1">
      <c r="A1048" s="26">
        <f>IFERROR(__xludf.DUMMYFUNCTION("""COMPUTED_VALUE"""),2806.0)</f>
        <v>2806</v>
      </c>
      <c r="B1048" s="22" t="str">
        <f>IFERROR(__xludf.DUMMYFUNCTION("""COMPUTED_VALUE"""),"確定")</f>
        <v>確定</v>
      </c>
      <c r="C1048" s="28">
        <f>IFERROR(__xludf.DUMMYFUNCTION("""COMPUTED_VALUE"""),45295.0)</f>
        <v>45295</v>
      </c>
      <c r="D1048" s="28">
        <f>IFERROR(__xludf.DUMMYFUNCTION("""COMPUTED_VALUE"""),45306.0)</f>
        <v>45306</v>
      </c>
      <c r="E1048" s="31">
        <f>IFERROR(__xludf.DUMMYFUNCTION("""COMPUTED_VALUE"""),287641.0)</f>
        <v>287641</v>
      </c>
      <c r="F1048" s="22" t="str">
        <f>IFERROR(__xludf.DUMMYFUNCTION("""COMPUTED_VALUE"""),"甘えて愛でて解かされて")</f>
        <v>甘えて愛でて解かされて</v>
      </c>
      <c r="G1048" s="11" t="str">
        <f>IFERROR(__xludf.DUMMYFUNCTION("""COMPUTED_VALUE"""),"1～2")</f>
        <v>1～2</v>
      </c>
      <c r="H1048" s="22" t="str">
        <f>IFERROR(__xludf.DUMMYFUNCTION("""COMPUTED_VALUE"""),"はるまき")</f>
        <v>はるまき</v>
      </c>
      <c r="I1048" s="22" t="str">
        <f>IFERROR(__xludf.DUMMYFUNCTION("""COMPUTED_VALUE"""),"BL")</f>
        <v>BL</v>
      </c>
      <c r="J1048" s="22"/>
      <c r="K1048" s="22"/>
      <c r="L1048" s="22" t="str">
        <f>IFERROR(__xludf.DUMMYFUNCTION("""COMPUTED_VALUE"""),"マイクロマガジン社")</f>
        <v>マイクロマガジン社</v>
      </c>
      <c r="M1048" s="23">
        <f>IFERROR(__xludf.DUMMYFUNCTION("""COMPUTED_VALUE"""),45351.0)</f>
        <v>45351</v>
      </c>
      <c r="N1048" s="23">
        <f>IFERROR(__xludf.DUMMYFUNCTION("""COMPUTED_VALUE"""),45410.0)</f>
        <v>45410</v>
      </c>
      <c r="O1048" s="20"/>
      <c r="P1048" s="29" t="str">
        <f>IFERROR(__xludf.DUMMYFUNCTION("""COMPUTED_VALUE"""),"可")</f>
        <v>可</v>
      </c>
      <c r="Q1048" s="22" t="str">
        <f>IFERROR(__xludf.DUMMYFUNCTION("""COMPUTED_VALUE"""),"広告コミットOK(1/12)&lt;BR&gt;")</f>
        <v>広告コミットOK(1/12)&lt;BR&gt;</v>
      </c>
      <c r="R1048" s="22" t="str">
        <f>IFERROR(__xludf.DUMMYFUNCTION("""COMPUTED_VALUE"""),"格納済み")</f>
        <v>格納済み</v>
      </c>
      <c r="S1048" s="22" t="str">
        <f>IFERROR(__xludf.DUMMYFUNCTION("""COMPUTED_VALUE"""),"20240104_マイクロマガジン社_甘えて愛でて解かされて")</f>
        <v>20240104_マイクロマガジン社_甘えて愛でて解かされて</v>
      </c>
      <c r="T1048" s="22" t="str">
        <f>IFERROR(__xludf.DUMMYFUNCTION("""COMPUTED_VALUE"""),"格納済み")</f>
        <v>格納済み</v>
      </c>
      <c r="U1048" s="15" t="str">
        <f>IFERROR(__xludf.DUMMYFUNCTION("""COMPUTED_VALUE"""),"（C）はるまき （C）マイクロマガジン社")</f>
        <v>（C）はるまき （C）マイクロマガジン社</v>
      </c>
      <c r="V1048" s="8" t="str">
        <f>IFERROR(__xludf.DUMMYFUNCTION("""COMPUTED_VALUE"""),"甘く痺れる命令コマンドに強がる心が解けていく――
【Dom】と【Sub】という第二性が存在する世界。
人に甘えることが苦手な蒼空(そら)は、自身がSubであることを受け入れられずにいた。
そんなある日、下校途中の公園で出会ったDomの男と目が合った瞬間、
感じたことのない強い衝撃に意識を失う。
意識を取り戻すと、目の前にはクールな俺様っぷりが人気の俳優・西園寺璃久(さいおんじ りく)の姿が。
無意識にグレアを浴びせてしまったお詫びにケアを提案する璃久に、Subとしての本能を刺激され次第に身体ご"&amp;"と心もほどかれて――。
クールな俺様を演じる俳優のＤｏｍ×孤独に敏感な甘え下手Ｓｕｂの
エロかわ溺愛系 Ｄｏｍ/Ｓｕｂユニバース開幕！")</f>
        <v>甘く痺れる命令コマンドに強がる心が解けていく――
【Dom】と【Sub】という第二性が存在する世界。
人に甘えることが苦手な蒼空(そら)は、自身がSubであることを受け入れられずにいた。
そんなある日、下校途中の公園で出会ったDomの男と目が合った瞬間、
感じたことのない強い衝撃に意識を失う。
意識を取り戻すと、目の前にはクールな俺様っぷりが人気の俳優・西園寺璃久(さいおんじ りく)の姿が。
無意識にグレアを浴びせてしまったお詫びにケアを提案する璃久に、Subとしての本能を刺激され次第に身体ごと心もほどかれて――。
クールな俺様を演じる俳優のＤｏｍ×孤独に敏感な甘え下手Ｓｕｂの
エロかわ溺愛系 Ｄｏｍ/Ｓｕｂユニバース開幕！</v>
      </c>
      <c r="W1048" s="14"/>
      <c r="X1048" s="14" t="str">
        <f>IFERROR(__xludf.DUMMYFUNCTION("""COMPUTED_VALUE"""),"有")</f>
        <v>有</v>
      </c>
      <c r="Y1048" s="8" t="str">
        <f>IFERROR(__xludf.DUMMYFUNCTION("""COMPUTED_VALUE"""),"P19まで")</f>
        <v>P19まで</v>
      </c>
      <c r="Z1048" s="7"/>
      <c r="AA1048" s="7"/>
      <c r="AB1048" s="7"/>
    </row>
    <row r="1049" ht="15.75" customHeight="1">
      <c r="A1049" s="26">
        <f>IFERROR(__xludf.DUMMYFUNCTION("""COMPUTED_VALUE"""),2820.0)</f>
        <v>2820</v>
      </c>
      <c r="B1049" s="22" t="str">
        <f>IFERROR(__xludf.DUMMYFUNCTION("""COMPUTED_VALUE"""),"確定")</f>
        <v>確定</v>
      </c>
      <c r="C1049" s="28">
        <f>IFERROR(__xludf.DUMMYFUNCTION("""COMPUTED_VALUE"""),45301.0)</f>
        <v>45301</v>
      </c>
      <c r="D1049" s="28">
        <f>IFERROR(__xludf.DUMMYFUNCTION("""COMPUTED_VALUE"""),45306.0)</f>
        <v>45306</v>
      </c>
      <c r="E1049" s="31">
        <f>IFERROR(__xludf.DUMMYFUNCTION("""COMPUTED_VALUE"""),287811.0)</f>
        <v>287811</v>
      </c>
      <c r="F1049" s="22" t="str">
        <f>IFERROR(__xludf.DUMMYFUNCTION("""COMPUTED_VALUE"""),"ツンデレくんは「好き」がだだ洩れ")</f>
        <v>ツンデレくんは「好き」がだだ洩れ</v>
      </c>
      <c r="G1049" s="20" t="str">
        <f>IFERROR(__xludf.DUMMYFUNCTION("""COMPUTED_VALUE"""),"1～3")</f>
        <v>1～3</v>
      </c>
      <c r="H1049" s="22" t="str">
        <f>IFERROR(__xludf.DUMMYFUNCTION("""COMPUTED_VALUE"""),"成瀬ヨリ")</f>
        <v>成瀬ヨリ</v>
      </c>
      <c r="I1049" s="22" t="str">
        <f>IFERROR(__xludf.DUMMYFUNCTION("""COMPUTED_VALUE"""),"BL")</f>
        <v>BL</v>
      </c>
      <c r="J1049" s="22"/>
      <c r="K1049" s="22"/>
      <c r="L1049" s="22" t="str">
        <f>IFERROR(__xludf.DUMMYFUNCTION("""COMPUTED_VALUE"""),"スクリーモ")</f>
        <v>スクリーモ</v>
      </c>
      <c r="M1049" s="23">
        <f>IFERROR(__xludf.DUMMYFUNCTION("""COMPUTED_VALUE"""),45352.0)</f>
        <v>45352</v>
      </c>
      <c r="N1049" s="23">
        <f>IFERROR(__xludf.DUMMYFUNCTION("""COMPUTED_VALUE"""),45380.0)</f>
        <v>45380</v>
      </c>
      <c r="O1049" s="20"/>
      <c r="P1049" s="29" t="str">
        <f>IFERROR(__xludf.DUMMYFUNCTION("""COMPUTED_VALUE"""),"可")</f>
        <v>可</v>
      </c>
      <c r="Q1049" s="30" t="str">
        <f>IFERROR(__xludf.DUMMYFUNCTION("""COMPUTED_VALUE"""),"コミックフェスタとの2社先行&lt;BR&gt;3巻目の素材待ち")</f>
        <v>コミックフェスタとの2社先行&lt;BR&gt;3巻目の素材待ち</v>
      </c>
      <c r="R1049" s="22"/>
      <c r="S1049" s="22" t="str">
        <f>IFERROR(__xludf.DUMMYFUNCTION("""COMPUTED_VALUE"""),"20230115_ウェイブ_ツンデレくんは「好き」がだだ洩れ")</f>
        <v>20230115_ウェイブ_ツンデレくんは「好き」がだだ洩れ</v>
      </c>
      <c r="T1049" s="22" t="str">
        <f>IFERROR(__xludf.DUMMYFUNCTION("""COMPUTED_VALUE"""),"格納済み(3巻素材待ち1/15)")</f>
        <v>格納済み(3巻素材待ち1/15)</v>
      </c>
      <c r="U1049" s="15" t="str">
        <f>IFERROR(__xludf.DUMMYFUNCTION("""COMPUTED_VALUE"""),"Ⓒ成瀬ヨリ／パチカ")</f>
        <v>Ⓒ成瀬ヨリ／パチカ</v>
      </c>
      <c r="V1049" s="8" t="str">
        <f>IFERROR(__xludf.DUMMYFUNCTION("""COMPUTED_VALUE"""),"「クソ生意気なくせに可愛すぎ」国宝級ツンギレの“心の声”が聞こえたら…あまりの可愛さに卒倒寸前!?「カッコつけ男！バーカ！」華の男子校生・充希は、幼なじみ・日向のこういったキツイ態度に悩んでいた。脱・幼馴染！彼女をつくってスクールライフ満喫だ!!と意気込んだら…「充希カッコイイな」突然日向の“心の声”が聞こえるように!?無性に可愛く見えてしまった充希は、わざと心の声が聞こえないように日向を避けるけど…「嫌だ…離れたくないっ大好き！」ツンギレ幼馴染のデレがだだ洩れたらもう止まれない!!")</f>
        <v>「クソ生意気なくせに可愛すぎ」国宝級ツンギレの“心の声”が聞こえたら…あまりの可愛さに卒倒寸前!?「カッコつけ男！バーカ！」華の男子校生・充希は、幼なじみ・日向のこういったキツイ態度に悩んでいた。脱・幼馴染！彼女をつくってスクールライフ満喫だ!!と意気込んだら…「充希カッコイイな」突然日向の“心の声”が聞こえるように!?無性に可愛く見えてしまった充希は、わざと心の声が聞こえないように日向を避けるけど…「嫌だ…離れたくないっ大好き！」ツンギレ幼馴染のデレがだだ洩れたらもう止まれない!!</v>
      </c>
      <c r="W1049" s="14"/>
      <c r="X1049" s="14" t="str">
        <f>IFERROR(__xludf.DUMMYFUNCTION("""COMPUTED_VALUE"""),"有")</f>
        <v>有</v>
      </c>
      <c r="Y1049" s="8" t="str">
        <f>IFERROR(__xludf.DUMMYFUNCTION("""COMPUTED_VALUE"""),"2024/3/14まで1巻無料")</f>
        <v>2024/3/14まで1巻無料</v>
      </c>
      <c r="Z1049" s="7"/>
      <c r="AA1049" s="7"/>
      <c r="AB1049" s="7"/>
    </row>
    <row r="1050" ht="15.75" customHeight="1">
      <c r="A1050" s="26">
        <f>IFERROR(__xludf.DUMMYFUNCTION("""COMPUTED_VALUE"""),2821.0)</f>
        <v>2821</v>
      </c>
      <c r="B1050" s="22" t="str">
        <f>IFERROR(__xludf.DUMMYFUNCTION("""COMPUTED_VALUE"""),"確定")</f>
        <v>確定</v>
      </c>
      <c r="C1050" s="28">
        <f>IFERROR(__xludf.DUMMYFUNCTION("""COMPUTED_VALUE"""),45301.0)</f>
        <v>45301</v>
      </c>
      <c r="D1050" s="28">
        <f>IFERROR(__xludf.DUMMYFUNCTION("""COMPUTED_VALUE"""),45306.0)</f>
        <v>45306</v>
      </c>
      <c r="E1050" s="31">
        <f>IFERROR(__xludf.DUMMYFUNCTION("""COMPUTED_VALUE"""),285481.0)</f>
        <v>285481</v>
      </c>
      <c r="F1050" s="22" t="str">
        <f>IFERROR(__xludf.DUMMYFUNCTION("""COMPUTED_VALUE"""),"冥婚―花嫁くんは転生前夜―")</f>
        <v>冥婚―花嫁くんは転生前夜―</v>
      </c>
      <c r="G1050" s="20" t="str">
        <f>IFERROR(__xludf.DUMMYFUNCTION("""COMPUTED_VALUE"""),"1～3")</f>
        <v>1～3</v>
      </c>
      <c r="H1050" s="22" t="str">
        <f>IFERROR(__xludf.DUMMYFUNCTION("""COMPUTED_VALUE"""),"さとう")</f>
        <v>さとう</v>
      </c>
      <c r="I1050" s="22" t="str">
        <f>IFERROR(__xludf.DUMMYFUNCTION("""COMPUTED_VALUE"""),"BL")</f>
        <v>BL</v>
      </c>
      <c r="J1050" s="22"/>
      <c r="K1050" s="22"/>
      <c r="L1050" s="22" t="str">
        <f>IFERROR(__xludf.DUMMYFUNCTION("""COMPUTED_VALUE"""),"スクリーモ")</f>
        <v>スクリーモ</v>
      </c>
      <c r="M1050" s="23">
        <f>IFERROR(__xludf.DUMMYFUNCTION("""COMPUTED_VALUE"""),45338.0)</f>
        <v>45338</v>
      </c>
      <c r="N1050" s="23">
        <f>IFERROR(__xludf.DUMMYFUNCTION("""COMPUTED_VALUE"""),45366.0)</f>
        <v>45366</v>
      </c>
      <c r="O1050" s="20"/>
      <c r="P1050" s="29" t="str">
        <f>IFERROR(__xludf.DUMMYFUNCTION("""COMPUTED_VALUE"""),"可")</f>
        <v>可</v>
      </c>
      <c r="Q1050" s="30" t="str">
        <f>IFERROR(__xludf.DUMMYFUNCTION("""COMPUTED_VALUE"""),"コミックフェスタとの2社先行&lt;BR&gt;3巻目の素材待ち")</f>
        <v>コミックフェスタとの2社先行&lt;BR&gt;3巻目の素材待ち</v>
      </c>
      <c r="R1050" s="22"/>
      <c r="S1050" s="22" t="str">
        <f>IFERROR(__xludf.DUMMYFUNCTION("""COMPUTED_VALUE"""),"20230115_ウェイブ_冥婚―花嫁くんは転生前夜―")</f>
        <v>20230115_ウェイブ_冥婚―花嫁くんは転生前夜―</v>
      </c>
      <c r="T1050" s="22" t="str">
        <f>IFERROR(__xludf.DUMMYFUNCTION("""COMPUTED_VALUE"""),"格納済み(3巻素材待ち1/15)")</f>
        <v>格納済み(3巻素材待ち1/15)</v>
      </c>
      <c r="U1050" s="15" t="str">
        <f>IFERROR(__xludf.DUMMYFUNCTION("""COMPUTED_VALUE"""),"Ⓒさとう／パチカ")</f>
        <v>Ⓒさとう／パチカ</v>
      </c>
      <c r="V1050" s="8" t="str">
        <f>IFERROR(__xludf.DUMMYFUNCTION("""COMPUTED_VALUE"""),"悪魔に愛されすぎて、輪廻転生ができない!?執着悪魔×不憫な強気少年の冥界ファンタジーBL！毒親に巻き込まれて事故死してしまった恵一。来世は幸せになりたいと願いながら目を開けると――「やっっっっっと死んでくれた！！」と謎の悪魔が俺を大歓迎！？しかも、その悪魔はナゼか俺への執着がもの凄くて…。気づいたら、冥婚するために外堀を埋められていた。こんなの冗談じゃない！また死んで絶対に生まれ変わってやる！そう思っていたら――「そんなに死にたいならイキ殺してやろう」と不敵な笑みで押し倒されて―…")</f>
        <v>悪魔に愛されすぎて、輪廻転生ができない!?執着悪魔×不憫な強気少年の冥界ファンタジーBL！毒親に巻き込まれて事故死してしまった恵一。来世は幸せになりたいと願いながら目を開けると――「やっっっっっと死んでくれた！！」と謎の悪魔が俺を大歓迎！？しかも、その悪魔はナゼか俺への執着がもの凄くて…。気づいたら、冥婚するために外堀を埋められていた。こんなの冗談じゃない！また死んで絶対に生まれ変わってやる！そう思っていたら――「そんなに死にたいならイキ殺してやろう」と不敵な笑みで押し倒されて―…</v>
      </c>
      <c r="W1050" s="14"/>
      <c r="X1050" s="14" t="str">
        <f>IFERROR(__xludf.DUMMYFUNCTION("""COMPUTED_VALUE"""),"有")</f>
        <v>有</v>
      </c>
      <c r="Y1050" s="8" t="str">
        <f>IFERROR(__xludf.DUMMYFUNCTION("""COMPUTED_VALUE"""),"P13まで")</f>
        <v>P13まで</v>
      </c>
      <c r="Z1050" s="7"/>
      <c r="AA1050" s="7"/>
      <c r="AB1050" s="7"/>
    </row>
    <row r="1051" ht="15.75" customHeight="1">
      <c r="A1051" s="26">
        <f>IFERROR(__xludf.DUMMYFUNCTION("""COMPUTED_VALUE"""),2822.0)</f>
        <v>2822</v>
      </c>
      <c r="B1051" s="22" t="str">
        <f>IFERROR(__xludf.DUMMYFUNCTION("""COMPUTED_VALUE"""),"確定")</f>
        <v>確定</v>
      </c>
      <c r="C1051" s="28">
        <f>IFERROR(__xludf.DUMMYFUNCTION("""COMPUTED_VALUE"""),45303.0)</f>
        <v>45303</v>
      </c>
      <c r="D1051" s="28">
        <f>IFERROR(__xludf.DUMMYFUNCTION("""COMPUTED_VALUE"""),45303.0)</f>
        <v>45303</v>
      </c>
      <c r="E1051" s="26">
        <f>IFERROR(__xludf.DUMMYFUNCTION("""COMPUTED_VALUE"""),269916.0)</f>
        <v>269916</v>
      </c>
      <c r="F1051" s="22" t="str">
        <f>IFERROR(__xludf.DUMMYFUNCTION("""COMPUTED_VALUE"""),"キラーチューバー")</f>
        <v>キラーチューバー</v>
      </c>
      <c r="G1051" s="20" t="str">
        <f>IFERROR(__xludf.DUMMYFUNCTION("""COMPUTED_VALUE"""),"1～3")</f>
        <v>1～3</v>
      </c>
      <c r="H1051" s="22" t="str">
        <f>IFERROR(__xludf.DUMMYFUNCTION("""COMPUTED_VALUE"""),"羅風龍,春井環二")</f>
        <v>羅風龍,春井環二</v>
      </c>
      <c r="I1051" s="14" t="str">
        <f>IFERROR(__xludf.DUMMYFUNCTION("""COMPUTED_VALUE"""),"青年")</f>
        <v>青年</v>
      </c>
      <c r="J1051" s="22"/>
      <c r="K1051" s="22"/>
      <c r="L1051" s="22" t="str">
        <f>IFERROR(__xludf.DUMMYFUNCTION("""COMPUTED_VALUE"""),"シーモアコミックス")</f>
        <v>シーモアコミックス</v>
      </c>
      <c r="M1051" s="23">
        <f>IFERROR(__xludf.DUMMYFUNCTION("""COMPUTED_VALUE"""),45345.0)</f>
        <v>45345</v>
      </c>
      <c r="N1051" s="23">
        <f>IFERROR(__xludf.DUMMYFUNCTION("""COMPUTED_VALUE"""),45498.0)</f>
        <v>45498</v>
      </c>
      <c r="O1051" s="20"/>
      <c r="P1051" s="29" t="str">
        <f>IFERROR(__xludf.DUMMYFUNCTION("""COMPUTED_VALUE"""),"可")</f>
        <v>可</v>
      </c>
      <c r="Q1051" s="30" t="str">
        <f>IFERROR(__xludf.DUMMYFUNCTION("""COMPUTED_VALUE"""),"※正式タイトル下記の通りです（2/23）&lt;BR&gt;＝＝＝&lt;BR&gt;キラーチューバー&lt;BR&gt;＝＝＝")</f>
        <v>※正式タイトル下記の通りです（2/23）&lt;BR&gt;＝＝＝&lt;BR&gt;キラーチューバー&lt;BR&gt;＝＝＝</v>
      </c>
      <c r="R1051" s="22"/>
      <c r="S1051" s="22" t="str">
        <f>IFERROR(__xludf.DUMMYFUNCTION("""COMPUTED_VALUE"""),"20240112_シーモアコミックス_キラーチューバー")</f>
        <v>20240112_シーモアコミックス_キラーチューバー</v>
      </c>
      <c r="T1051" s="22" t="str">
        <f>IFERROR(__xludf.DUMMYFUNCTION("""COMPUTED_VALUE"""),"格納済み")</f>
        <v>格納済み</v>
      </c>
      <c r="U1051" s="15" t="str">
        <f>IFERROR(__xludf.DUMMYFUNCTION("""COMPUTED_VALUE"""),"© 羅風龍/春井環二/fumio/シーモアコミックス")</f>
        <v>© 羅風龍/春井環二/fumio/シーモアコミックス</v>
      </c>
      <c r="V1051" s="8" t="str">
        <f>IFERROR(__xludf.DUMMYFUNCTION("""COMPUTED_VALUE"""),"会社員の菅野良晴は上司である斉藤からのパワハラに悩まされていた。そんな良晴にとっての日々のストレス解消は、世間で話題の殺人配信者【キラーチューバー】の生配信を観ることだった。ある日、職場でストレスの限界を迎えた良晴は自らのかつての悲惨な過去を思い出してしまう。生きる意味も見失い彷徨う中、良晴は予期せずキラーチューバーの配信の現場に辿り着いてしまい…！")</f>
        <v>会社員の菅野良晴は上司である斉藤からのパワハラに悩まされていた。そんな良晴にとっての日々のストレス解消は、世間で話題の殺人配信者【キラーチューバー】の生配信を観ることだった。ある日、職場でストレスの限界を迎えた良晴は自らのかつての悲惨な過去を思い出してしまう。生きる意味も見失い彷徨う中、良晴は予期せずキラーチューバーの配信の現場に辿り着いてしまい…！</v>
      </c>
      <c r="W1051" s="14"/>
      <c r="X1051" s="14" t="str">
        <f>IFERROR(__xludf.DUMMYFUNCTION("""COMPUTED_VALUE"""),"有")</f>
        <v>有</v>
      </c>
      <c r="Y1051" s="8" t="str">
        <f>IFERROR(__xludf.DUMMYFUNCTION("""COMPUTED_VALUE"""),"P10まで")</f>
        <v>P10まで</v>
      </c>
      <c r="Z1051" s="7"/>
      <c r="AA1051" s="7"/>
      <c r="AB1051" s="7"/>
    </row>
    <row r="1052" ht="15.75" customHeight="1">
      <c r="A1052" s="26">
        <f>IFERROR(__xludf.DUMMYFUNCTION("""COMPUTED_VALUE"""),2823.0)</f>
        <v>2823</v>
      </c>
      <c r="B1052" s="22" t="str">
        <f>IFERROR(__xludf.DUMMYFUNCTION("""COMPUTED_VALUE"""),"確定")</f>
        <v>確定</v>
      </c>
      <c r="C1052" s="28">
        <f>IFERROR(__xludf.DUMMYFUNCTION("""COMPUTED_VALUE"""),45303.0)</f>
        <v>45303</v>
      </c>
      <c r="D1052" s="28">
        <f>IFERROR(__xludf.DUMMYFUNCTION("""COMPUTED_VALUE"""),45303.0)</f>
        <v>45303</v>
      </c>
      <c r="E1052" s="26">
        <f>IFERROR(__xludf.DUMMYFUNCTION("""COMPUTED_VALUE"""),271105.0)</f>
        <v>271105</v>
      </c>
      <c r="F1052" s="22" t="str">
        <f>IFERROR(__xludf.DUMMYFUNCTION("""COMPUTED_VALUE"""),"冷酷メイドは静かに笑う")</f>
        <v>冷酷メイドは静かに笑う</v>
      </c>
      <c r="G1052" s="20" t="str">
        <f>IFERROR(__xludf.DUMMYFUNCTION("""COMPUTED_VALUE"""),"1～3")</f>
        <v>1～3</v>
      </c>
      <c r="H1052" s="22" t="str">
        <f>IFERROR(__xludf.DUMMYFUNCTION("""COMPUTED_VALUE"""),"ムライ")</f>
        <v>ムライ</v>
      </c>
      <c r="I1052" s="14" t="str">
        <f>IFERROR(__xludf.DUMMYFUNCTION("""COMPUTED_VALUE"""),"青年")</f>
        <v>青年</v>
      </c>
      <c r="J1052" s="22"/>
      <c r="K1052" s="22"/>
      <c r="L1052" s="22" t="str">
        <f>IFERROR(__xludf.DUMMYFUNCTION("""COMPUTED_VALUE"""),"シーモアコミックス")</f>
        <v>シーモアコミックス</v>
      </c>
      <c r="M1052" s="23">
        <f>IFERROR(__xludf.DUMMYFUNCTION("""COMPUTED_VALUE"""),45345.0)</f>
        <v>45345</v>
      </c>
      <c r="N1052" s="23">
        <f>IFERROR(__xludf.DUMMYFUNCTION("""COMPUTED_VALUE"""),45498.0)</f>
        <v>45498</v>
      </c>
      <c r="O1052" s="20"/>
      <c r="P1052" s="29" t="str">
        <f>IFERROR(__xludf.DUMMYFUNCTION("""COMPUTED_VALUE"""),"可")</f>
        <v>可</v>
      </c>
      <c r="Q1052" s="30" t="str">
        <f>IFERROR(__xludf.DUMMYFUNCTION("""COMPUTED_VALUE"""),"※正式タイトル下記の通りです（2/23）&lt;BR&gt;＝＝＝&lt;BR&gt;冷酷メイドは静かに笑う&lt;BR&gt;＝＝＝")</f>
        <v>※正式タイトル下記の通りです（2/23）&lt;BR&gt;＝＝＝&lt;BR&gt;冷酷メイドは静かに笑う&lt;BR&gt;＝＝＝</v>
      </c>
      <c r="R1052" s="22"/>
      <c r="S1052" s="22" t="str">
        <f>IFERROR(__xludf.DUMMYFUNCTION("""COMPUTED_VALUE"""),"20240112_シーモアコミックス_冷酷メイドは静かに笑う")</f>
        <v>20240112_シーモアコミックス_冷酷メイドは静かに笑う</v>
      </c>
      <c r="T1052" s="22" t="str">
        <f>IFERROR(__xludf.DUMMYFUNCTION("""COMPUTED_VALUE"""),"格納済み")</f>
        <v>格納済み</v>
      </c>
      <c r="U1052" s="15" t="str">
        <f>IFERROR(__xludf.DUMMYFUNCTION("""COMPUTED_VALUE"""),"© ムライ/シーモアコミックス")</f>
        <v>© ムライ/シーモアコミックス</v>
      </c>
      <c r="V1052" s="8" t="str">
        <f>IFERROR(__xludf.DUMMYFUNCTION("""COMPUTED_VALUE"""),"鬱蒼とした山奥に佇む洋館――『ヒナガタ家』。孤児だったミズキはヒナガタ家に引き取られ、そこで献身的に働くものの、先輩メイドから折檻を受ける日々だった。それでも、唯一の理解者であり恋人でもある執事・アスカの言葉が、ミズキの心を支えていた。「いつか一緒にここを出て、外の世界で幸せに暮らそう」――しかし、その願いはアスカの死によって無残にも打ち砕かれる。アスカが自殺に見立てて殺されたと知ったミズキは、復讐を誓い、事件の真相を探っていく――…。")</f>
        <v>鬱蒼とした山奥に佇む洋館――『ヒナガタ家』。孤児だったミズキはヒナガタ家に引き取られ、そこで献身的に働くものの、先輩メイドから折檻を受ける日々だった。それでも、唯一の理解者であり恋人でもある執事・アスカの言葉が、ミズキの心を支えていた。「いつか一緒にここを出て、外の世界で幸せに暮らそう」――しかし、その願いはアスカの死によって無残にも打ち砕かれる。アスカが自殺に見立てて殺されたと知ったミズキは、復讐を誓い、事件の真相を探っていく――…。</v>
      </c>
      <c r="W1052" s="14"/>
      <c r="X1052" s="14" t="str">
        <f>IFERROR(__xludf.DUMMYFUNCTION("""COMPUTED_VALUE"""),"有")</f>
        <v>有</v>
      </c>
      <c r="Y1052" s="8" t="str">
        <f>IFERROR(__xludf.DUMMYFUNCTION("""COMPUTED_VALUE"""),"P14まで")</f>
        <v>P14まで</v>
      </c>
      <c r="Z1052" s="7"/>
      <c r="AA1052" s="7"/>
      <c r="AB1052" s="7"/>
    </row>
    <row r="1053" ht="15.75" customHeight="1">
      <c r="A1053" s="26">
        <f>IFERROR(__xludf.DUMMYFUNCTION("""COMPUTED_VALUE"""),2824.0)</f>
        <v>2824</v>
      </c>
      <c r="B1053" s="22" t="str">
        <f>IFERROR(__xludf.DUMMYFUNCTION("""COMPUTED_VALUE"""),"確定")</f>
        <v>確定</v>
      </c>
      <c r="C1053" s="28">
        <f>IFERROR(__xludf.DUMMYFUNCTION("""COMPUTED_VALUE"""),45303.0)</f>
        <v>45303</v>
      </c>
      <c r="D1053" s="28">
        <f>IFERROR(__xludf.DUMMYFUNCTION("""COMPUTED_VALUE"""),45303.0)</f>
        <v>45303</v>
      </c>
      <c r="E1053" s="26">
        <f>IFERROR(__xludf.DUMMYFUNCTION("""COMPUTED_VALUE"""),271102.0)</f>
        <v>271102</v>
      </c>
      <c r="F1053" s="22" t="str">
        <f>IFERROR(__xludf.DUMMYFUNCTION("""COMPUTED_VALUE"""),"幸せを夢見る魔女は、血濡れた王子の手を取るか")</f>
        <v>幸せを夢見る魔女は、血濡れた王子の手を取るか</v>
      </c>
      <c r="G1053" s="20" t="str">
        <f>IFERROR(__xludf.DUMMYFUNCTION("""COMPUTED_VALUE"""),"1～3")</f>
        <v>1～3</v>
      </c>
      <c r="H1053" s="22" t="str">
        <f>IFERROR(__xludf.DUMMYFUNCTION("""COMPUTED_VALUE"""),"尾畑惟")</f>
        <v>尾畑惟</v>
      </c>
      <c r="I1053" s="22" t="str">
        <f>IFERROR(__xludf.DUMMYFUNCTION("""COMPUTED_VALUE"""),"少女")</f>
        <v>少女</v>
      </c>
      <c r="J1053" s="22"/>
      <c r="K1053" s="22"/>
      <c r="L1053" s="22" t="str">
        <f>IFERROR(__xludf.DUMMYFUNCTION("""COMPUTED_VALUE"""),"シーモアコミックス")</f>
        <v>シーモアコミックス</v>
      </c>
      <c r="M1053" s="23">
        <f>IFERROR(__xludf.DUMMYFUNCTION("""COMPUTED_VALUE"""),45352.0)</f>
        <v>45352</v>
      </c>
      <c r="N1053" s="23">
        <f>IFERROR(__xludf.DUMMYFUNCTION("""COMPUTED_VALUE"""),45505.0)</f>
        <v>45505</v>
      </c>
      <c r="O1053" s="20"/>
      <c r="P1053" s="29" t="str">
        <f>IFERROR(__xludf.DUMMYFUNCTION("""COMPUTED_VALUE"""),"可")</f>
        <v>可</v>
      </c>
      <c r="Q1053" s="30"/>
      <c r="R1053" s="22"/>
      <c r="S1053" s="22" t="str">
        <f>IFERROR(__xludf.DUMMYFUNCTION("""COMPUTED_VALUE"""),"20240112_シーモアコミックス_幸せを夢見る魔女は、血濡れた王子の手を取るか")</f>
        <v>20240112_シーモアコミックス_幸せを夢見る魔女は、血濡れた王子の手を取るか</v>
      </c>
      <c r="T1053" s="22" t="str">
        <f>IFERROR(__xludf.DUMMYFUNCTION("""COMPUTED_VALUE"""),"格納済み")</f>
        <v>格納済み</v>
      </c>
      <c r="U1053" s="15" t="str">
        <f>IFERROR(__xludf.DUMMYFUNCTION("""COMPUTED_VALUE"""),"© 尾畑惟/シーモアコミックス")</f>
        <v>© 尾畑惟/シーモアコミックス</v>
      </c>
      <c r="V1053" s="8" t="str">
        <f>IFERROR(__xludf.DUMMYFUNCTION("""COMPUTED_VALUE"""),"辺境の城で暮らすユーリ、彼女は毎日誰かが死ぬ夢を見ることに怯えていた。だがどんなに恐ろしい夢を見ても必ず金髪の青年が出てきて安心させてくれるのだ。「指輪が君を守るから」幼い頃母から渡された赤い石の指輪と一体何の関係が…？16歳の誕生日を迎える直前グロースという国の兵達により辺境の城は襲撃されてしまう。黒髪であることから自身が魔女であると責め立てられたユーリは、処刑台の上で衝撃の事実を伝えられる――。")</f>
        <v>辺境の城で暮らすユーリ、彼女は毎日誰かが死ぬ夢を見ることに怯えていた。だがどんなに恐ろしい夢を見ても必ず金髪の青年が出てきて安心させてくれるのだ。「指輪が君を守るから」幼い頃母から渡された赤い石の指輪と一体何の関係が…？16歳の誕生日を迎える直前グロースという国の兵達により辺境の城は襲撃されてしまう。黒髪であることから自身が魔女であると責め立てられたユーリは、処刑台の上で衝撃の事実を伝えられる――。</v>
      </c>
      <c r="W1053" s="14"/>
      <c r="X1053" s="14" t="str">
        <f>IFERROR(__xludf.DUMMYFUNCTION("""COMPUTED_VALUE"""),"有")</f>
        <v>有</v>
      </c>
      <c r="Y1053" s="8" t="str">
        <f>IFERROR(__xludf.DUMMYFUNCTION("""COMPUTED_VALUE"""),"2024/4/4まで1巻無料")</f>
        <v>2024/4/4まで1巻無料</v>
      </c>
      <c r="Z1053" s="7"/>
      <c r="AA1053" s="7"/>
      <c r="AB1053" s="7"/>
    </row>
    <row r="1054" ht="15.75" customHeight="1">
      <c r="A1054" s="26">
        <f>IFERROR(__xludf.DUMMYFUNCTION("""COMPUTED_VALUE"""),2825.0)</f>
        <v>2825</v>
      </c>
      <c r="B1054" s="22" t="str">
        <f>IFERROR(__xludf.DUMMYFUNCTION("""COMPUTED_VALUE"""),"確定")</f>
        <v>確定</v>
      </c>
      <c r="C1054" s="28">
        <f>IFERROR(__xludf.DUMMYFUNCTION("""COMPUTED_VALUE"""),45303.0)</f>
        <v>45303</v>
      </c>
      <c r="D1054" s="28">
        <f>IFERROR(__xludf.DUMMYFUNCTION("""COMPUTED_VALUE"""),45303.0)</f>
        <v>45303</v>
      </c>
      <c r="E1054" s="31">
        <f>IFERROR(__xludf.DUMMYFUNCTION("""COMPUTED_VALUE"""),282713.0)</f>
        <v>282713</v>
      </c>
      <c r="F1054" s="22" t="str">
        <f>IFERROR(__xludf.DUMMYFUNCTION("""COMPUTED_VALUE"""),"生まれ変わった剣聖、剣士が冷遇される魔術至上主義の学園で無双する")</f>
        <v>生まれ変わった剣聖、剣士が冷遇される魔術至上主義の学園で無双する</v>
      </c>
      <c r="G1054" s="20" t="str">
        <f>IFERROR(__xludf.DUMMYFUNCTION("""COMPUTED_VALUE"""),"1～5")</f>
        <v>1～5</v>
      </c>
      <c r="H1054" s="22" t="str">
        <f>IFERROR(__xludf.DUMMYFUNCTION("""COMPUTED_VALUE"""),"岸本和葉 peep 染野静也 桑島黎音 taskey STUDIO")</f>
        <v>岸本和葉 peep 染野静也 桑島黎音 taskey STUDIO</v>
      </c>
      <c r="I1054" s="14" t="str">
        <f>IFERROR(__xludf.DUMMYFUNCTION("""COMPUTED_VALUE"""),"少年")</f>
        <v>少年</v>
      </c>
      <c r="J1054" s="22"/>
      <c r="K1054" s="22"/>
      <c r="L1054" s="22" t="str">
        <f>IFERROR(__xludf.DUMMYFUNCTION("""COMPUTED_VALUE"""),"taskey")</f>
        <v>taskey</v>
      </c>
      <c r="M1054" s="23">
        <f>IFERROR(__xludf.DUMMYFUNCTION("""COMPUTED_VALUE"""),45309.0)</f>
        <v>45309</v>
      </c>
      <c r="N1054" s="33">
        <f>IFERROR(__xludf.DUMMYFUNCTION("""COMPUTED_VALUE"""),45535.66666666667)</f>
        <v>45535.66667</v>
      </c>
      <c r="O1054" s="20"/>
      <c r="P1054" s="29" t="str">
        <f>IFERROR(__xludf.DUMMYFUNCTION("""COMPUTED_VALUE"""),"可")</f>
        <v>可</v>
      </c>
      <c r="Q1054" s="30" t="str">
        <f>IFERROR(__xludf.DUMMYFUNCTION("""COMPUTED_VALUE"""),"既刊タイトルですが、5巻目配信タイミングでの投入となります。")</f>
        <v>既刊タイトルですが、5巻目配信タイミングでの投入となります。</v>
      </c>
      <c r="R1054" s="22"/>
      <c r="S1054" s="22" t="str">
        <f>IFERROR(__xludf.DUMMYFUNCTION("""COMPUTED_VALUE"""),"20241012_taskey_生まれ変わった剣聖")</f>
        <v>20241012_taskey_生まれ変わった剣聖</v>
      </c>
      <c r="T1054" s="22" t="str">
        <f>IFERROR(__xludf.DUMMYFUNCTION("""COMPUTED_VALUE"""),"格納済み")</f>
        <v>格納済み</v>
      </c>
      <c r="U1054" s="15" t="str">
        <f>IFERROR(__xludf.DUMMYFUNCTION("""COMPUTED_VALUE"""),"©︎taskey 原作／岸本和葉 漫画／染野静也 キャラクター原案／桑島黎音")</f>
        <v>©︎taskey 原作／岸本和葉 漫画／染野静也 キャラクター原案／桑島黎音</v>
      </c>
      <c r="V1054" s="8" t="str">
        <f>IFERROR(__xludf.DUMMYFUNCTION("""COMPUTED_VALUE"""),"かつて剣聖と呼ばれた男は、なんの因果か記憶を保持したまま転生を果たした。彼はさらなる高見を目指すため、帝都にあるもっとも大きな学園へと入学する。しかし魔法こそが至上とされる世界では、剣士は不遇な扱いを受けていた。そんな常識の中でも、前世の実力をそのまま持ち合わせている彼には関係ない。剣一本で魔法使いを蹂躙する彼は、やがて剣士たちの希望へと変わっていく。")</f>
        <v>かつて剣聖と呼ばれた男は、なんの因果か記憶を保持したまま転生を果たした。彼はさらなる高見を目指すため、帝都にあるもっとも大きな学園へと入学する。しかし魔法こそが至上とされる世界では、剣士は不遇な扱いを受けていた。そんな常識の中でも、前世の実力をそのまま持ち合わせている彼には関係ない。剣一本で魔法使いを蹂躙する彼は、やがて剣士たちの希望へと変わっていく。</v>
      </c>
      <c r="W1054" s="14"/>
      <c r="X1054" s="14" t="str">
        <f>IFERROR(__xludf.DUMMYFUNCTION("""COMPUTED_VALUE"""),"有")</f>
        <v>有</v>
      </c>
      <c r="Y1054" s="8" t="str">
        <f>IFERROR(__xludf.DUMMYFUNCTION("""COMPUTED_VALUE"""),"2024/3/13まで1巻無料")</f>
        <v>2024/3/13まで1巻無料</v>
      </c>
      <c r="Z1054" s="7"/>
      <c r="AA1054" s="7"/>
      <c r="AB1054" s="7"/>
    </row>
    <row r="1055" ht="15.75" customHeight="1">
      <c r="A1055" s="26">
        <f>IFERROR(__xludf.DUMMYFUNCTION("""COMPUTED_VALUE"""),2826.0)</f>
        <v>2826</v>
      </c>
      <c r="B1055" s="22" t="str">
        <f>IFERROR(__xludf.DUMMYFUNCTION("""COMPUTED_VALUE"""),"確定")</f>
        <v>確定</v>
      </c>
      <c r="C1055" s="28">
        <f>IFERROR(__xludf.DUMMYFUNCTION("""COMPUTED_VALUE"""),45303.0)</f>
        <v>45303</v>
      </c>
      <c r="D1055" s="28">
        <f>IFERROR(__xludf.DUMMYFUNCTION("""COMPUTED_VALUE"""),45303.0)</f>
        <v>45303</v>
      </c>
      <c r="E1055" s="31">
        <f>IFERROR(__xludf.DUMMYFUNCTION("""COMPUTED_VALUE"""),287147.0)</f>
        <v>287147</v>
      </c>
      <c r="F1055" s="22" t="str">
        <f>IFERROR(__xludf.DUMMYFUNCTION("""COMPUTED_VALUE"""),"華に浪漫～夜伽のはずですが溺愛されています～")</f>
        <v>華に浪漫～夜伽のはずですが溺愛されています～</v>
      </c>
      <c r="G1055" s="20" t="str">
        <f>IFERROR(__xludf.DUMMYFUNCTION("""COMPUTED_VALUE"""),"1～3")</f>
        <v>1～3</v>
      </c>
      <c r="H1055" s="22" t="str">
        <f>IFERROR(__xludf.DUMMYFUNCTION("""COMPUTED_VALUE"""),"ミナミカズキ／夜桜ゆーり／風華弓弦")</f>
        <v>ミナミカズキ／夜桜ゆーり／風華弓弦</v>
      </c>
      <c r="I1055" s="22" t="str">
        <f>IFERROR(__xludf.DUMMYFUNCTION("""COMPUTED_VALUE"""),"女性")</f>
        <v>女性</v>
      </c>
      <c r="J1055" s="22"/>
      <c r="K1055" s="22"/>
      <c r="L1055" s="22" t="str">
        <f>IFERROR(__xludf.DUMMYFUNCTION("""COMPUTED_VALUE"""),"DPNブックス")</f>
        <v>DPNブックス</v>
      </c>
      <c r="M1055" s="23">
        <f>IFERROR(__xludf.DUMMYFUNCTION("""COMPUTED_VALUE"""),45352.0)</f>
        <v>45352</v>
      </c>
      <c r="N1055" s="23">
        <f>IFERROR(__xludf.DUMMYFUNCTION("""COMPUTED_VALUE"""),45382.0)</f>
        <v>45382</v>
      </c>
      <c r="O1055" s="20"/>
      <c r="P1055" s="32" t="str">
        <f>IFERROR(__xludf.DUMMYFUNCTION("""COMPUTED_VALUE"""),"可")</f>
        <v>可</v>
      </c>
      <c r="Q1055" s="30"/>
      <c r="R1055" s="22"/>
      <c r="S1055" s="22" t="str">
        <f>IFERROR(__xludf.DUMMYFUNCTION("""COMPUTED_VALUE"""),"20240112_DPNブックス_華に浪漫")</f>
        <v>20240112_DPNブックス_華に浪漫</v>
      </c>
      <c r="T1055" s="22" t="str">
        <f>IFERROR(__xludf.DUMMYFUNCTION("""COMPUTED_VALUE"""),"格納済み")</f>
        <v>格納済み</v>
      </c>
      <c r="U1055" s="15" t="str">
        <f>IFERROR(__xludf.DUMMYFUNCTION("""COMPUTED_VALUE"""),"(C)ミナミカズキ・夜桜ゆーり・風華弓弦／DPNブックス")</f>
        <v>(C)ミナミカズキ・夜桜ゆーり・風華弓弦／DPNブックス</v>
      </c>
      <c r="V1055" s="8" t="str">
        <f>IFERROR(__xludf.DUMMYFUNCTION("""COMPUTED_VALUE"""),"幼少期、主人公であるつばきの瞳にある能力が現れ周りから忌み嫌われるようになってしまった。それでも平穏な暮らしをしようと努力していたがいとこである清菜に噂を流され囚われの身となってしまう。ついに売られそうになった時、思わず逃げ出してしまう。追手に追い付かれそうになった時、助けてくれたのは名家の御曹司である京だった。しかし彼が口にしたのは「俺が買おう」。『夜伽』としてつらく苦しい日々の始まりかと思っていたら、甘く優しく溺愛されて――
※本作品は小説投稿サイト「エブリスタ」で人気の「華に浪漫～夜伽のはずが溺愛"&amp;"されています～」のコミカライズです。")</f>
        <v>幼少期、主人公であるつばきの瞳にある能力が現れ周りから忌み嫌われるようになってしまった。それでも平穏な暮らしをしようと努力していたがいとこである清菜に噂を流され囚われの身となってしまう。ついに売られそうになった時、思わず逃げ出してしまう。追手に追い付かれそうになった時、助けてくれたのは名家の御曹司である京だった。しかし彼が口にしたのは「俺が買おう」。『夜伽』としてつらく苦しい日々の始まりかと思っていたら、甘く優しく溺愛されて――
※本作品は小説投稿サイト「エブリスタ」で人気の「華に浪漫～夜伽のはずが溺愛されています～」のコミカライズです。</v>
      </c>
      <c r="W1055" s="14"/>
      <c r="X1055" s="14" t="str">
        <f>IFERROR(__xludf.DUMMYFUNCTION("""COMPUTED_VALUE"""),"有")</f>
        <v>有</v>
      </c>
      <c r="Y1055" s="8" t="str">
        <f>IFERROR(__xludf.DUMMYFUNCTION("""COMPUTED_VALUE"""),"2024/3/31まで1巻無料")</f>
        <v>2024/3/31まで1巻無料</v>
      </c>
      <c r="Z1055" s="7"/>
      <c r="AA1055" s="7"/>
      <c r="AB1055" s="7"/>
    </row>
    <row r="1056" ht="15.75" customHeight="1">
      <c r="A1056" s="26">
        <f>IFERROR(__xludf.DUMMYFUNCTION("""COMPUTED_VALUE"""),2828.0)</f>
        <v>2828</v>
      </c>
      <c r="B1056" s="22" t="str">
        <f>IFERROR(__xludf.DUMMYFUNCTION("""COMPUTED_VALUE"""),"確定")</f>
        <v>確定</v>
      </c>
      <c r="C1056" s="28">
        <f>IFERROR(__xludf.DUMMYFUNCTION("""COMPUTED_VALUE"""),45306.0)</f>
        <v>45306</v>
      </c>
      <c r="D1056" s="28">
        <f>IFERROR(__xludf.DUMMYFUNCTION("""COMPUTED_VALUE"""),45306.0)</f>
        <v>45306</v>
      </c>
      <c r="E1056" s="31">
        <f>IFERROR(__xludf.DUMMYFUNCTION("""COMPUTED_VALUE"""),288068.0)</f>
        <v>288068</v>
      </c>
      <c r="F1056" s="22" t="str">
        <f>IFERROR(__xludf.DUMMYFUNCTION("""COMPUTED_VALUE"""),"エルフは絶対ときめかない")</f>
        <v>エルフは絶対ときめかない</v>
      </c>
      <c r="G1056" s="20" t="str">
        <f>IFERROR(__xludf.DUMMYFUNCTION("""COMPUTED_VALUE"""),"1～3")</f>
        <v>1～3</v>
      </c>
      <c r="H1056" s="22" t="str">
        <f>IFERROR(__xludf.DUMMYFUNCTION("""COMPUTED_VALUE"""),"浪田")</f>
        <v>浪田</v>
      </c>
      <c r="I1056" s="22" t="str">
        <f>IFERROR(__xludf.DUMMYFUNCTION("""COMPUTED_VALUE"""),"少年")</f>
        <v>少年</v>
      </c>
      <c r="J1056" s="22"/>
      <c r="K1056" s="22"/>
      <c r="L1056" s="22" t="str">
        <f>IFERROR(__xludf.DUMMYFUNCTION("""COMPUTED_VALUE"""),"ウェイブ")</f>
        <v>ウェイブ</v>
      </c>
      <c r="M1056" s="23">
        <f>IFERROR(__xludf.DUMMYFUNCTION("""COMPUTED_VALUE"""),45352.0)</f>
        <v>45352</v>
      </c>
      <c r="N1056" s="23">
        <f>IFERROR(__xludf.DUMMYFUNCTION("""COMPUTED_VALUE"""),45380.0)</f>
        <v>45380</v>
      </c>
      <c r="O1056" s="20"/>
      <c r="P1056" s="29" t="str">
        <f>IFERROR(__xludf.DUMMYFUNCTION("""COMPUTED_VALUE"""),"可")</f>
        <v>可</v>
      </c>
      <c r="Q1056" s="30" t="str">
        <f>IFERROR(__xludf.DUMMYFUNCTION("""COMPUTED_VALUE"""),"コミックフェスタとの2社先行&lt;BR&gt;3巻目の素材待ち")</f>
        <v>コミックフェスタとの2社先行&lt;BR&gt;3巻目の素材待ち</v>
      </c>
      <c r="R1056" s="22"/>
      <c r="S1056" s="22" t="str">
        <f>IFERROR(__xludf.DUMMYFUNCTION("""COMPUTED_VALUE"""),"20230115_ウェイブ_エルフは絶対ときめかない")</f>
        <v>20230115_ウェイブ_エルフは絶対ときめかない</v>
      </c>
      <c r="T1056" s="22" t="str">
        <f>IFERROR(__xludf.DUMMYFUNCTION("""COMPUTED_VALUE"""),"格納済み(3巻素材待ち1/15)")</f>
        <v>格納済み(3巻素材待ち1/15)</v>
      </c>
      <c r="U1056" s="15" t="str">
        <f>IFERROR(__xludf.DUMMYFUNCTION("""COMPUTED_VALUE"""),"浪田／wwwave comics")</f>
        <v>浪田／wwwave comics</v>
      </c>
      <c r="V1056" s="8" t="str">
        <f>IFERROR(__xludf.DUMMYFUNCTION("""COMPUTED_VALUE"""),"「エルフと先っぽ当てゲーム…!?」お腹の奥をキュンとさせる“ときめき”を求めて人間界にやってきたエルフの少女リリィ。平凡な男子学生・朝日はひょんな事からヒト代表としてリリィと胸の先っぽを当て合うゲームをすることに。こんなクソゲームじゃ絶対ときめかないと豪語していたリリィだったが――「そこじゃ…ない…っ」触られるほどに頬を赤らめ息を荒くして…――異世界女子はチョロかった!?ツンデレエルフにむっつりサキュバス、果てはドＭ天使まで！あらゆる種族をときめかせる、ちょっぴりおバカなハーレムラブコメ開幕!!")</f>
        <v>「エルフと先っぽ当てゲーム…!?」お腹の奥をキュンとさせる“ときめき”を求めて人間界にやってきたエルフの少女リリィ。平凡な男子学生・朝日はひょんな事からヒト代表としてリリィと胸の先っぽを当て合うゲームをすることに。こんなクソゲームじゃ絶対ときめかないと豪語していたリリィだったが――「そこじゃ…ない…っ」触られるほどに頬を赤らめ息を荒くして…――異世界女子はチョロかった!?ツンデレエルフにむっつりサキュバス、果てはドＭ天使まで！あらゆる種族をときめかせる、ちょっぴりおバカなハーレムラブコメ開幕!!</v>
      </c>
      <c r="W1056" s="14"/>
      <c r="X1056" s="14" t="str">
        <f>IFERROR(__xludf.DUMMYFUNCTION("""COMPUTED_VALUE"""),"有")</f>
        <v>有</v>
      </c>
      <c r="Y1056" s="8" t="str">
        <f>IFERROR(__xludf.DUMMYFUNCTION("""COMPUTED_VALUE"""),"2024/3/29まで1巻無料")</f>
        <v>2024/3/29まで1巻無料</v>
      </c>
      <c r="Z1056" s="7"/>
      <c r="AA1056" s="7"/>
      <c r="AB1056" s="7"/>
    </row>
    <row r="1057" ht="15.75" customHeight="1">
      <c r="A1057" s="26">
        <f>IFERROR(__xludf.DUMMYFUNCTION("""COMPUTED_VALUE"""),2829.0)</f>
        <v>2829</v>
      </c>
      <c r="B1057" s="22" t="str">
        <f>IFERROR(__xludf.DUMMYFUNCTION("""COMPUTED_VALUE"""),"確定")</f>
        <v>確定</v>
      </c>
      <c r="C1057" s="28">
        <f>IFERROR(__xludf.DUMMYFUNCTION("""COMPUTED_VALUE"""),45306.0)</f>
        <v>45306</v>
      </c>
      <c r="D1057" s="28">
        <f>IFERROR(__xludf.DUMMYFUNCTION("""COMPUTED_VALUE"""),45306.0)</f>
        <v>45306</v>
      </c>
      <c r="E1057" s="31">
        <f>IFERROR(__xludf.DUMMYFUNCTION("""COMPUTED_VALUE"""),286905.0)</f>
        <v>286905</v>
      </c>
      <c r="F1057" s="22" t="str">
        <f>IFERROR(__xludf.DUMMYFUNCTION("""COMPUTED_VALUE"""),"歌に甘いは愛に毒")</f>
        <v>歌に甘いは愛に毒</v>
      </c>
      <c r="G1057" s="20" t="str">
        <f>IFERROR(__xludf.DUMMYFUNCTION("""COMPUTED_VALUE"""),"1～11")</f>
        <v>1～11</v>
      </c>
      <c r="H1057" s="22" t="str">
        <f>IFERROR(__xludf.DUMMYFUNCTION("""COMPUTED_VALUE"""),"みくに莉子/雨郷つかさ")</f>
        <v>みくに莉子/雨郷つかさ</v>
      </c>
      <c r="I1057" s="22" t="str">
        <f>IFERROR(__xludf.DUMMYFUNCTION("""COMPUTED_VALUE"""),"女性")</f>
        <v>女性</v>
      </c>
      <c r="J1057" s="22"/>
      <c r="K1057" s="22"/>
      <c r="L1057" s="22" t="str">
        <f>IFERROR(__xludf.DUMMYFUNCTION("""COMPUTED_VALUE"""),"ライブコミックス")</f>
        <v>ライブコミックス</v>
      </c>
      <c r="M1057" s="23">
        <f>IFERROR(__xludf.DUMMYFUNCTION("""COMPUTED_VALUE"""),45345.0)</f>
        <v>45345</v>
      </c>
      <c r="N1057" s="23">
        <f>IFERROR(__xludf.DUMMYFUNCTION("""COMPUTED_VALUE"""),45435.0)</f>
        <v>45435</v>
      </c>
      <c r="O1057" s="20"/>
      <c r="P1057" s="29" t="str">
        <f>IFERROR(__xludf.DUMMYFUNCTION("""COMPUTED_VALUE"""),"可")</f>
        <v>可</v>
      </c>
      <c r="Q1057" s="30" t="str">
        <f>IFERROR(__xludf.DUMMYFUNCTION("""COMPUTED_VALUE"""),"BookLive書店で実績の良い作品のの二次3ヶ月先行です。&lt;BR&gt;11巻目の素材は別途頂きます。")</f>
        <v>BookLive書店で実績の良い作品のの二次3ヶ月先行です。&lt;BR&gt;11巻目の素材は別途頂きます。</v>
      </c>
      <c r="R1057" s="22"/>
      <c r="S1057" s="22" t="str">
        <f>IFERROR(__xludf.DUMMYFUNCTION("""COMPUTED_VALUE"""),"20240115_BookLive_歌に甘いは愛に毒")</f>
        <v>20240115_BookLive_歌に甘いは愛に毒</v>
      </c>
      <c r="T1057" s="22" t="str">
        <f>IFERROR(__xludf.DUMMYFUNCTION("""COMPUTED_VALUE"""),"格納済み(11巻素材待ち1/15)")</f>
        <v>格納済み(11巻素材待ち1/15)</v>
      </c>
      <c r="U1057" s="15" t="str">
        <f>IFERROR(__xludf.DUMMYFUNCTION("""COMPUTED_VALUE"""),"Ⓒみくに莉子/雨郷つかさ/ライブコミックス")</f>
        <v>Ⓒみくに莉子/雨郷つかさ/ライブコミックス</v>
      </c>
      <c r="V1057" s="8" t="str">
        <f>IFERROR(__xludf.DUMMYFUNCTION("""COMPUTED_VALUE"""),"「付き合うって言ったら、やることはひとつだろ？」カフェで働くなずなは、平凡ながら充実した毎日を過ごしていたある日、人気歌手・藍井瑞貴（あおいみずき）が女性と揉めている場面に遭遇。爽やかな笑顔と甘い歌声が売りの藍井の裏の顔を知り、慌てて逃げるが、なんとなずなが働く店にMV撮影のため藍井が現れ、しかも彼の大事なギターを壊してしまう！！　なずなの前では素を隠さず、強引な態度で詫びの交換条件に藍井はあることを提案してきて――！？　平凡女子の世界が一変する、刺激的なラブストーリー開幕！")</f>
        <v>「付き合うって言ったら、やることはひとつだろ？」カフェで働くなずなは、平凡ながら充実した毎日を過ごしていたある日、人気歌手・藍井瑞貴（あおいみずき）が女性と揉めている場面に遭遇。爽やかな笑顔と甘い歌声が売りの藍井の裏の顔を知り、慌てて逃げるが、なんとなずなが働く店にMV撮影のため藍井が現れ、しかも彼の大事なギターを壊してしまう！！　なずなの前では素を隠さず、強引な態度で詫びの交換条件に藍井はあることを提案してきて――！？　平凡女子の世界が一変する、刺激的なラブストーリー開幕！</v>
      </c>
      <c r="W1057" s="14"/>
      <c r="X1057" s="14" t="str">
        <f>IFERROR(__xludf.DUMMYFUNCTION("""COMPUTED_VALUE"""),"有")</f>
        <v>有</v>
      </c>
      <c r="Y1057" s="8" t="str">
        <f>IFERROR(__xludf.DUMMYFUNCTION("""COMPUTED_VALUE"""),"P10まで")</f>
        <v>P10まで</v>
      </c>
      <c r="Z1057" s="7"/>
      <c r="AA1057" s="7"/>
      <c r="AB1057" s="7"/>
    </row>
    <row r="1058" ht="15.75" customHeight="1">
      <c r="A1058" s="26">
        <f>IFERROR(__xludf.DUMMYFUNCTION("""COMPUTED_VALUE"""),2833.0)</f>
        <v>2833</v>
      </c>
      <c r="B1058" s="22" t="str">
        <f>IFERROR(__xludf.DUMMYFUNCTION("""COMPUTED_VALUE"""),"確定")</f>
        <v>確定</v>
      </c>
      <c r="C1058" s="28">
        <f>IFERROR(__xludf.DUMMYFUNCTION("""COMPUTED_VALUE"""),45306.0)</f>
        <v>45306</v>
      </c>
      <c r="D1058" s="28">
        <f>IFERROR(__xludf.DUMMYFUNCTION("""COMPUTED_VALUE"""),45308.0)</f>
        <v>45308</v>
      </c>
      <c r="E1058" s="31">
        <f>IFERROR(__xludf.DUMMYFUNCTION("""COMPUTED_VALUE"""),285005.0)</f>
        <v>285005</v>
      </c>
      <c r="F1058" s="22" t="str">
        <f>IFERROR(__xludf.DUMMYFUNCTION("""COMPUTED_VALUE"""),"即退場したい脇役なのに、寝取ってしまった王子様が逃がしてくれません 【連載版】")</f>
        <v>即退場したい脇役なのに、寝取ってしまった王子様が逃がしてくれません 【連載版】</v>
      </c>
      <c r="G1058" s="20" t="str">
        <f>IFERROR(__xludf.DUMMYFUNCTION("""COMPUTED_VALUE"""),"1～3")</f>
        <v>1～3</v>
      </c>
      <c r="H1058" s="22" t="str">
        <f>IFERROR(__xludf.DUMMYFUNCTION("""COMPUTED_VALUE"""),"一花夜・琴子／一迅社")</f>
        <v>一花夜・琴子／一迅社</v>
      </c>
      <c r="I1058" s="22" t="str">
        <f>IFERROR(__xludf.DUMMYFUNCTION("""COMPUTED_VALUE"""),"少女")</f>
        <v>少女</v>
      </c>
      <c r="J1058" s="22"/>
      <c r="K1058" s="22"/>
      <c r="L1058" s="22" t="str">
        <f>IFERROR(__xludf.DUMMYFUNCTION("""COMPUTED_VALUE"""),"一迅社")</f>
        <v>一迅社</v>
      </c>
      <c r="M1058" s="23">
        <f>IFERROR(__xludf.DUMMYFUNCTION("""COMPUTED_VALUE"""),45323.0)</f>
        <v>45323</v>
      </c>
      <c r="N1058" s="23">
        <f>IFERROR(__xludf.DUMMYFUNCTION("""COMPUTED_VALUE"""),45351.0)</f>
        <v>45351</v>
      </c>
      <c r="O1058" s="20"/>
      <c r="P1058" s="32" t="str">
        <f>IFERROR(__xludf.DUMMYFUNCTION("""COMPUTED_VALUE"""),"可")</f>
        <v>可</v>
      </c>
      <c r="Q1058" s="30"/>
      <c r="R1058" s="22"/>
      <c r="S1058" s="22" t="str">
        <f>IFERROR(__xludf.DUMMYFUNCTION("""COMPUTED_VALUE"""),"20240115_一迅社_2月新作")</f>
        <v>20240115_一迅社_2月新作</v>
      </c>
      <c r="T1058" s="22" t="str">
        <f>IFERROR(__xludf.DUMMYFUNCTION("""COMPUTED_VALUE"""),"格納済み")</f>
        <v>格納済み</v>
      </c>
      <c r="U1058" s="15" t="str">
        <f>IFERROR(__xludf.DUMMYFUNCTION("""COMPUTED_VALUE"""),"(C)一花夜・琴子／一迅社")</f>
        <v>(C)一花夜・琴子／一迅社</v>
      </c>
      <c r="V1058" s="8" t="str">
        <f>IFERROR(__xludf.DUMMYFUNCTION("""COMPUTED_VALUE"""),"「この俺と寝ておいて、間違えましたで済むとでも？」とある人気WEB小説の脇役に転生していた、子爵令嬢のエステル。小説でのエステルの役割は、ヒロインから第二王子を寝取って断罪追放されること。さっさと物語から退場したいエステルは、小説の流れの通り第二王子を寝取る“フリ”をしようと計画するけれど…間違えて主人公の第一王子・オスカーに声をかけてしまい――!? 不憫なモブ令嬢と独占欲強めな完璧王子の溺愛ファンタジー!!【本商品は単話コンテンツとなります。単行本版と収録内容が異なる場合がございます。漫画内の告知等は過"&amp;"去のものとなりますので、ご注意ください。】")</f>
        <v>「この俺と寝ておいて、間違えましたで済むとでも？」とある人気WEB小説の脇役に転生していた、子爵令嬢のエステル。小説でのエステルの役割は、ヒロインから第二王子を寝取って断罪追放されること。さっさと物語から退場したいエステルは、小説の流れの通り第二王子を寝取る“フリ”をしようと計画するけれど…間違えて主人公の第一王子・オスカーに声をかけてしまい――!? 不憫なモブ令嬢と独占欲強めな完璧王子の溺愛ファンタジー!!【本商品は単話コンテンツとなります。単行本版と収録内容が異なる場合がございます。漫画内の告知等は過去のものとなりますので、ご注意ください。】</v>
      </c>
      <c r="W1058" s="14"/>
      <c r="X1058" s="14" t="str">
        <f>IFERROR(__xludf.DUMMYFUNCTION("""COMPUTED_VALUE"""),"有")</f>
        <v>有</v>
      </c>
      <c r="Y1058" s="8" t="str">
        <f>IFERROR(__xludf.DUMMYFUNCTION("""COMPUTED_VALUE"""),"2024/2/29まで1巻無料")</f>
        <v>2024/2/29まで1巻無料</v>
      </c>
      <c r="Z1058" s="7"/>
      <c r="AA1058" s="7"/>
      <c r="AB1058" s="7"/>
    </row>
    <row r="1059" ht="15.75" customHeight="1">
      <c r="A1059" s="26">
        <f>IFERROR(__xludf.DUMMYFUNCTION("""COMPUTED_VALUE"""),2834.0)</f>
        <v>2834</v>
      </c>
      <c r="B1059" s="22" t="str">
        <f>IFERROR(__xludf.DUMMYFUNCTION("""COMPUTED_VALUE"""),"確定")</f>
        <v>確定</v>
      </c>
      <c r="C1059" s="28">
        <f>IFERROR(__xludf.DUMMYFUNCTION("""COMPUTED_VALUE"""),45306.0)</f>
        <v>45306</v>
      </c>
      <c r="D1059" s="28">
        <f>IFERROR(__xludf.DUMMYFUNCTION("""COMPUTED_VALUE"""),45308.0)</f>
        <v>45308</v>
      </c>
      <c r="E1059" s="31">
        <f>IFERROR(__xludf.DUMMYFUNCTION("""COMPUTED_VALUE"""),285106.0)</f>
        <v>285106</v>
      </c>
      <c r="F1059" s="22" t="str">
        <f>IFERROR(__xludf.DUMMYFUNCTION("""COMPUTED_VALUE"""),"死神様とお嫁様 【連載版】")</f>
        <v>死神様とお嫁様 【連載版】</v>
      </c>
      <c r="G1059" s="20" t="str">
        <f>IFERROR(__xludf.DUMMYFUNCTION("""COMPUTED_VALUE"""),"1～3")</f>
        <v>1～3</v>
      </c>
      <c r="H1059" s="22" t="str">
        <f>IFERROR(__xludf.DUMMYFUNCTION("""COMPUTED_VALUE"""),"中乃なな花／一迅社")</f>
        <v>中乃なな花／一迅社</v>
      </c>
      <c r="I1059" s="22" t="str">
        <f>IFERROR(__xludf.DUMMYFUNCTION("""COMPUTED_VALUE"""),"少女")</f>
        <v>少女</v>
      </c>
      <c r="J1059" s="22"/>
      <c r="K1059" s="22"/>
      <c r="L1059" s="22" t="str">
        <f>IFERROR(__xludf.DUMMYFUNCTION("""COMPUTED_VALUE"""),"一迅社")</f>
        <v>一迅社</v>
      </c>
      <c r="M1059" s="23">
        <f>IFERROR(__xludf.DUMMYFUNCTION("""COMPUTED_VALUE"""),45323.0)</f>
        <v>45323</v>
      </c>
      <c r="N1059" s="23">
        <f>IFERROR(__xludf.DUMMYFUNCTION("""COMPUTED_VALUE"""),45351.0)</f>
        <v>45351</v>
      </c>
      <c r="O1059" s="20"/>
      <c r="P1059" s="29" t="str">
        <f>IFERROR(__xludf.DUMMYFUNCTION("""COMPUTED_VALUE"""),"可")</f>
        <v>可</v>
      </c>
      <c r="Q1059" s="30" t="str">
        <f>IFERROR(__xludf.DUMMYFUNCTION("""COMPUTED_VALUE"""),"2話目までの素材で制作をお願いいたします。&lt;BR&gt;0000082465_jp_0113⇒P35～P66")</f>
        <v>2話目までの素材で制作をお願いいたします。&lt;BR&gt;0000082465_jp_0113⇒P35～P66</v>
      </c>
      <c r="R1059" s="22"/>
      <c r="S1059" s="22" t="str">
        <f>IFERROR(__xludf.DUMMYFUNCTION("""COMPUTED_VALUE"""),"20240115_一迅社_2月新作")</f>
        <v>20240115_一迅社_2月新作</v>
      </c>
      <c r="T1059" s="22" t="str">
        <f>IFERROR(__xludf.DUMMYFUNCTION("""COMPUTED_VALUE"""),"格納済み")</f>
        <v>格納済み</v>
      </c>
      <c r="U1059" s="15" t="str">
        <f>IFERROR(__xludf.DUMMYFUNCTION("""COMPUTED_VALUE"""),"(C)中乃なな花／一迅社")</f>
        <v>(C)中乃なな花／一迅社</v>
      </c>
      <c r="V1059" s="8" t="str">
        <f>IFERROR(__xludf.DUMMYFUNCTION("""COMPUTED_VALUE"""),"金の髪に青い瞳を持つ永遠子は、村人から「鬼の子」と呼ばれ忌み嫌われている。唯一の味方で大好きなおばあちゃんに恩返しすることを目標にたくましく生きていたけれど…ある日突然、妖たちがいる世界に来てしまった！ 帰るためには、その世界を統べる死神と偽装結婚しなければならない――!? 最強死神と契約花嫁の和風シンデレラ・ファンタジー！【本商品は単話コンテンツとなります。単行本版と収録内容が異なる場合がございます。漫画内の告知等は過去のものとなりますので、ご注意ください。】")</f>
        <v>金の髪に青い瞳を持つ永遠子は、村人から「鬼の子」と呼ばれ忌み嫌われている。唯一の味方で大好きなおばあちゃんに恩返しすることを目標にたくましく生きていたけれど…ある日突然、妖たちがいる世界に来てしまった！ 帰るためには、その世界を統べる死神と偽装結婚しなければならない――!? 最強死神と契約花嫁の和風シンデレラ・ファンタジー！【本商品は単話コンテンツとなります。単行本版と収録内容が異なる場合がございます。漫画内の告知等は過去のものとなりますので、ご注意ください。】</v>
      </c>
      <c r="W1059" s="14"/>
      <c r="X1059" s="14" t="str">
        <f>IFERROR(__xludf.DUMMYFUNCTION("""COMPUTED_VALUE"""),"有")</f>
        <v>有</v>
      </c>
      <c r="Y1059" s="8" t="str">
        <f>IFERROR(__xludf.DUMMYFUNCTION("""COMPUTED_VALUE"""),"2024/2/29まで1巻無料")</f>
        <v>2024/2/29まで1巻無料</v>
      </c>
      <c r="Z1059" s="7"/>
      <c r="AA1059" s="7"/>
      <c r="AB1059" s="7"/>
    </row>
    <row r="1060" ht="15.75" customHeight="1">
      <c r="A1060" s="26">
        <f>IFERROR(__xludf.DUMMYFUNCTION("""COMPUTED_VALUE"""),2835.0)</f>
        <v>2835</v>
      </c>
      <c r="B1060" s="22" t="str">
        <f>IFERROR(__xludf.DUMMYFUNCTION("""COMPUTED_VALUE"""),"確定")</f>
        <v>確定</v>
      </c>
      <c r="C1060" s="28">
        <f>IFERROR(__xludf.DUMMYFUNCTION("""COMPUTED_VALUE"""),45306.0)</f>
        <v>45306</v>
      </c>
      <c r="D1060" s="28">
        <f>IFERROR(__xludf.DUMMYFUNCTION("""COMPUTED_VALUE"""),45308.0)</f>
        <v>45308</v>
      </c>
      <c r="E1060" s="31">
        <f>IFERROR(__xludf.DUMMYFUNCTION("""COMPUTED_VALUE"""),284955.0)</f>
        <v>284955</v>
      </c>
      <c r="F1060" s="22" t="str">
        <f>IFERROR(__xludf.DUMMYFUNCTION("""COMPUTED_VALUE"""),"せくすちぇんじ！ オトコの身体になったので彼氏♀を開発してみた:")</f>
        <v>せくすちぇんじ！ オトコの身体になったので彼氏♀を開発してみた:</v>
      </c>
      <c r="G1060" s="20" t="str">
        <f>IFERROR(__xludf.DUMMYFUNCTION("""COMPUTED_VALUE"""),"1～3")</f>
        <v>1～3</v>
      </c>
      <c r="H1060" s="22" t="str">
        <f>IFERROR(__xludf.DUMMYFUNCTION("""COMPUTED_VALUE"""),"仁井屋シロ")</f>
        <v>仁井屋シロ</v>
      </c>
      <c r="I1060" s="22" t="str">
        <f>IFERROR(__xludf.DUMMYFUNCTION("""COMPUTED_VALUE"""),"TL")</f>
        <v>TL</v>
      </c>
      <c r="J1060" s="22"/>
      <c r="K1060" s="22"/>
      <c r="L1060" s="22" t="str">
        <f>IFERROR(__xludf.DUMMYFUNCTION("""COMPUTED_VALUE"""),"一迅社")</f>
        <v>一迅社</v>
      </c>
      <c r="M1060" s="23">
        <f>IFERROR(__xludf.DUMMYFUNCTION("""COMPUTED_VALUE"""),45324.0)</f>
        <v>45324</v>
      </c>
      <c r="N1060" s="23">
        <f>IFERROR(__xludf.DUMMYFUNCTION("""COMPUTED_VALUE"""),45351.0)</f>
        <v>45351</v>
      </c>
      <c r="O1060" s="20"/>
      <c r="P1060" s="32" t="str">
        <f>IFERROR(__xludf.DUMMYFUNCTION("""COMPUTED_VALUE"""),"可")</f>
        <v>可</v>
      </c>
      <c r="Q1060" s="30"/>
      <c r="R1060" s="22"/>
      <c r="S1060" s="22" t="str">
        <f>IFERROR(__xludf.DUMMYFUNCTION("""COMPUTED_VALUE"""),"20240115_一迅社_2月新作")</f>
        <v>20240115_一迅社_2月新作</v>
      </c>
      <c r="T1060" s="22" t="str">
        <f>IFERROR(__xludf.DUMMYFUNCTION("""COMPUTED_VALUE"""),"格納済み")</f>
        <v>格納済み</v>
      </c>
      <c r="U1060" s="15" t="str">
        <f>IFERROR(__xludf.DUMMYFUNCTION("""COMPUTED_VALUE"""),"(C)仁井屋シロ／一迅社")</f>
        <v>(C)仁井屋シロ／一迅社</v>
      </c>
      <c r="V1060" s="8" t="str">
        <f>IFERROR(__xludf.DUMMYFUNCTION("""COMPUTED_VALUE"""),"涼風珠里（すずかぜじゅり）は、過去にエッチを拒絶して以来、同棲中の彼氏・日永瑞樹（ひながみずき）に触れてもらえないことに悩んでいた。そんな悩みを抱えながら迎えた誕生日、目が覚めると珠里は男になっていて―!?夢かと思えば女の子になった瑞樹が悲鳴をあげてる―!?瑞樹の身体に興味津々…！恥ずかしそうな瑞樹を見ていると、感じたことがないような興奮が沸き上がってきて…。今なら、瑞樹くんを私のものにできる…？恋に悩めるカップルの奇妙でときめく男女逆転ライフ、スタート！")</f>
        <v>涼風珠里（すずかぜじゅり）は、過去にエッチを拒絶して以来、同棲中の彼氏・日永瑞樹（ひながみずき）に触れてもらえないことに悩んでいた。そんな悩みを抱えながら迎えた誕生日、目が覚めると珠里は男になっていて―!?夢かと思えば女の子になった瑞樹が悲鳴をあげてる―!?瑞樹の身体に興味津々…！恥ずかしそうな瑞樹を見ていると、感じたことがないような興奮が沸き上がってきて…。今なら、瑞樹くんを私のものにできる…？恋に悩めるカップルの奇妙でときめく男女逆転ライフ、スタート！</v>
      </c>
      <c r="W1060" s="14"/>
      <c r="X1060" s="14" t="str">
        <f>IFERROR(__xludf.DUMMYFUNCTION("""COMPUTED_VALUE"""),"有")</f>
        <v>有</v>
      </c>
      <c r="Y1060" s="8" t="str">
        <f>IFERROR(__xludf.DUMMYFUNCTION("""COMPUTED_VALUE"""),"2024/2/29まで1巻無料")</f>
        <v>2024/2/29まで1巻無料</v>
      </c>
      <c r="Z1060" s="7"/>
      <c r="AA1060" s="7"/>
      <c r="AB1060" s="7"/>
    </row>
    <row r="1061" ht="15.75" customHeight="1">
      <c r="A1061" s="26">
        <f>IFERROR(__xludf.DUMMYFUNCTION("""COMPUTED_VALUE"""),2836.0)</f>
        <v>2836</v>
      </c>
      <c r="B1061" s="22" t="str">
        <f>IFERROR(__xludf.DUMMYFUNCTION("""COMPUTED_VALUE"""),"確定")</f>
        <v>確定</v>
      </c>
      <c r="C1061" s="28">
        <f>IFERROR(__xludf.DUMMYFUNCTION("""COMPUTED_VALUE"""),45306.0)</f>
        <v>45306</v>
      </c>
      <c r="D1061" s="28">
        <f>IFERROR(__xludf.DUMMYFUNCTION("""COMPUTED_VALUE"""),45308.0)</f>
        <v>45308</v>
      </c>
      <c r="E1061" s="31">
        <f>IFERROR(__xludf.DUMMYFUNCTION("""COMPUTED_VALUE"""),285111.0)</f>
        <v>285111</v>
      </c>
      <c r="F1061" s="22" t="str">
        <f>IFERROR(__xludf.DUMMYFUNCTION("""COMPUTED_VALUE"""),"黒竜陛下の政略花嫁 魔女ですが、助けた竜に嫁入りさせられそうです　【連載版】")</f>
        <v>黒竜陛下の政略花嫁 魔女ですが、助けた竜に嫁入りさせられそうです　【連載版】</v>
      </c>
      <c r="G1061" s="20" t="str">
        <f>IFERROR(__xludf.DUMMYFUNCTION("""COMPUTED_VALUE"""),"1～4")</f>
        <v>1～4</v>
      </c>
      <c r="H1061" s="22" t="str">
        <f>IFERROR(__xludf.DUMMYFUNCTION("""COMPUTED_VALUE"""),"環・花散ここ")</f>
        <v>環・花散ここ</v>
      </c>
      <c r="I1061" s="22" t="str">
        <f>IFERROR(__xludf.DUMMYFUNCTION("""COMPUTED_VALUE"""),"少女")</f>
        <v>少女</v>
      </c>
      <c r="J1061" s="22"/>
      <c r="K1061" s="22"/>
      <c r="L1061" s="22" t="str">
        <f>IFERROR(__xludf.DUMMYFUNCTION("""COMPUTED_VALUE"""),"一迅社")</f>
        <v>一迅社</v>
      </c>
      <c r="M1061" s="23">
        <f>IFERROR(__xludf.DUMMYFUNCTION("""COMPUTED_VALUE"""),45336.0)</f>
        <v>45336</v>
      </c>
      <c r="N1061" s="23">
        <f>IFERROR(__xludf.DUMMYFUNCTION("""COMPUTED_VALUE"""),45364.0)</f>
        <v>45364</v>
      </c>
      <c r="O1061" s="20"/>
      <c r="P1061" s="29" t="str">
        <f>IFERROR(__xludf.DUMMYFUNCTION("""COMPUTED_VALUE"""),"可")</f>
        <v>可</v>
      </c>
      <c r="Q1061" s="30" t="str">
        <f>IFERROR(__xludf.DUMMYFUNCTION("""COMPUTED_VALUE"""),"3話目までの素材で制作をお願いいたします。")</f>
        <v>3話目までの素材で制作をお願いいたします。</v>
      </c>
      <c r="R1061" s="22"/>
      <c r="S1061" s="22" t="str">
        <f>IFERROR(__xludf.DUMMYFUNCTION("""COMPUTED_VALUE"""),"20240115_一迅社_2月新作")</f>
        <v>20240115_一迅社_2月新作</v>
      </c>
      <c r="T1061" s="22" t="str">
        <f>IFERROR(__xludf.DUMMYFUNCTION("""COMPUTED_VALUE"""),"格納済み")</f>
        <v>格納済み</v>
      </c>
      <c r="U1061" s="15" t="str">
        <f>IFERROR(__xludf.DUMMYFUNCTION("""COMPUTED_VALUE"""),"(C)環・花散ここ／一迅社")</f>
        <v>(C)環・花散ここ／一迅社</v>
      </c>
      <c r="V1061" s="8" t="str">
        <f>IFERROR(__xludf.DUMMYFUNCTION("""COMPUTED_VALUE"""),"「お前はどこにもやらない」歌うことで魔法を使う魔女オリヴィア。彼女は、幼い日に傷ついた黒竜を助けたことで声を失い、魔法が使えないまま魔女の姉と暮らしていた。そんなある日、竜王リベルトの命の恩人として姉妹で竜王国へ行くことに。そこでは結婚する気がない竜王と、強い魔女を彼の花嫁にしたい側近たちが密かに争っているようだけれど……。女性に興味がないリベルトが、なぜかオリヴィアの元を訪れるようになり!?声を失った魔女と最強の黒竜陛下が織りなす切なさMAXのラブファンタジー！【本商品は単話コンテンツとなります。単行本"&amp;"版と収録内容が異なる場合がございます。漫画内の告知等は過去のものとなりますので、ご注意ください。】")</f>
        <v>「お前はどこにもやらない」歌うことで魔法を使う魔女オリヴィア。彼女は、幼い日に傷ついた黒竜を助けたことで声を失い、魔法が使えないまま魔女の姉と暮らしていた。そんなある日、竜王リベルトの命の恩人として姉妹で竜王国へ行くことに。そこでは結婚する気がない竜王と、強い魔女を彼の花嫁にしたい側近たちが密かに争っているようだけれど……。女性に興味がないリベルトが、なぜかオリヴィアの元を訪れるようになり!?声を失った魔女と最強の黒竜陛下が織りなす切なさMAXのラブファンタジー！【本商品は単話コンテンツとなります。単行本版と収録内容が異なる場合がございます。漫画内の告知等は過去のものとなりますので、ご注意ください。】</v>
      </c>
      <c r="W1061" s="14"/>
      <c r="X1061" s="14" t="str">
        <f>IFERROR(__xludf.DUMMYFUNCTION("""COMPUTED_VALUE"""),"有")</f>
        <v>有</v>
      </c>
      <c r="Y1061" s="8" t="str">
        <f>IFERROR(__xludf.DUMMYFUNCTION("""COMPUTED_VALUE"""),"P8まで")</f>
        <v>P8まで</v>
      </c>
      <c r="Z1061" s="7"/>
      <c r="AA1061" s="7"/>
      <c r="AB1061" s="7"/>
    </row>
    <row r="1062" ht="15.75" customHeight="1">
      <c r="A1062" s="26">
        <f>IFERROR(__xludf.DUMMYFUNCTION("""COMPUTED_VALUE"""),2838.0)</f>
        <v>2838</v>
      </c>
      <c r="B1062" s="22" t="str">
        <f>IFERROR(__xludf.DUMMYFUNCTION("""COMPUTED_VALUE"""),"確定")</f>
        <v>確定</v>
      </c>
      <c r="C1062" s="28">
        <f>IFERROR(__xludf.DUMMYFUNCTION("""COMPUTED_VALUE"""),45307.0)</f>
        <v>45307</v>
      </c>
      <c r="D1062" s="28">
        <f>IFERROR(__xludf.DUMMYFUNCTION("""COMPUTED_VALUE"""),45308.0)</f>
        <v>45308</v>
      </c>
      <c r="E1062" s="31">
        <f>IFERROR(__xludf.DUMMYFUNCTION("""COMPUTED_VALUE"""),285729.0)</f>
        <v>285729</v>
      </c>
      <c r="F1062" s="22" t="str">
        <f>IFERROR(__xludf.DUMMYFUNCTION("""COMPUTED_VALUE"""),"貞操サバイバー～転生先はお色気漫画の世界～")</f>
        <v>貞操サバイバー～転生先はお色気漫画の世界～</v>
      </c>
      <c r="G1062" s="20" t="str">
        <f>IFERROR(__xludf.DUMMYFUNCTION("""COMPUTED_VALUE"""),"1～3")</f>
        <v>1～3</v>
      </c>
      <c r="H1062" s="22" t="str">
        <f>IFERROR(__xludf.DUMMYFUNCTION("""COMPUTED_VALUE"""),"夢野")</f>
        <v>夢野</v>
      </c>
      <c r="I1062" s="22" t="str">
        <f>IFERROR(__xludf.DUMMYFUNCTION("""COMPUTED_VALUE"""),"青年")</f>
        <v>青年</v>
      </c>
      <c r="J1062" s="22"/>
      <c r="K1062" s="22"/>
      <c r="L1062" s="22" t="str">
        <f>IFERROR(__xludf.DUMMYFUNCTION("""COMPUTED_VALUE"""),"ウェイブ")</f>
        <v>ウェイブ</v>
      </c>
      <c r="M1062" s="23">
        <f>IFERROR(__xludf.DUMMYFUNCTION("""COMPUTED_VALUE"""),45324.0)</f>
        <v>45324</v>
      </c>
      <c r="N1062" s="23">
        <f>IFERROR(__xludf.DUMMYFUNCTION("""COMPUTED_VALUE"""),45352.0)</f>
        <v>45352</v>
      </c>
      <c r="O1062" s="20"/>
      <c r="P1062" s="29" t="str">
        <f>IFERROR(__xludf.DUMMYFUNCTION("""COMPUTED_VALUE"""),"可")</f>
        <v>可</v>
      </c>
      <c r="Q1062" s="30" t="str">
        <f>IFERROR(__xludf.DUMMYFUNCTION("""COMPUTED_VALUE"""),"コミックフェスタとの2社先行です。")</f>
        <v>コミックフェスタとの2社先行です。</v>
      </c>
      <c r="R1062" s="22"/>
      <c r="S1062" s="22" t="str">
        <f>IFERROR(__xludf.DUMMYFUNCTION("""COMPUTED_VALUE"""),"20240116_ウェイブ_貞操サバイバー～転生先はお色気漫画の世界～")</f>
        <v>20240116_ウェイブ_貞操サバイバー～転生先はお色気漫画の世界～</v>
      </c>
      <c r="T1062" s="22" t="str">
        <f>IFERROR(__xludf.DUMMYFUNCTION("""COMPUTED_VALUE"""),"格納済み")</f>
        <v>格納済み</v>
      </c>
      <c r="U1062" s="15" t="str">
        <f>IFERROR(__xludf.DUMMYFUNCTION("""COMPUTED_VALUE"""),"夢野／wwwave comics")</f>
        <v>夢野／wwwave comics</v>
      </c>
      <c r="V1062" s="8" t="str">
        <f>IFERROR(__xludf.DUMMYFUNCTION("""COMPUTED_VALUE"""),"「こんなにキモチイイ世界、最高…っ」友達も先輩も、みんなこの異常な世界に染まってしまった。次は、私が男に襲われる番――ある日突然、”お色気漫画の世界”に転生した望愛。この世界では、男が女を食い放題らしい…冗談じゃない！…そう思っていたのに、みんな、男と交わると幸せそうな顔してる…まるで、このために生きてるみたいに。次々と女の子が堕ちていく中、男の欲望はついに望愛へ。少し触られただけで、未経験な望愛のカラダは男に媚びるように反応してしまい――この世界で、貞操を守るなんて不可能なの…!?")</f>
        <v>「こんなにキモチイイ世界、最高…っ」友達も先輩も、みんなこの異常な世界に染まってしまった。次は、私が男に襲われる番――ある日突然、”お色気漫画の世界”に転生した望愛。この世界では、男が女を食い放題らしい…冗談じゃない！…そう思っていたのに、みんな、男と交わると幸せそうな顔してる…まるで、このために生きてるみたいに。次々と女の子が堕ちていく中、男の欲望はついに望愛へ。少し触られただけで、未経験な望愛のカラダは男に媚びるように反応してしまい――この世界で、貞操を守るなんて不可能なの…!?</v>
      </c>
      <c r="W1062" s="14"/>
      <c r="X1062" s="14" t="str">
        <f>IFERROR(__xludf.DUMMYFUNCTION("""COMPUTED_VALUE"""),"有")</f>
        <v>有</v>
      </c>
      <c r="Y1062" s="8" t="str">
        <f>IFERROR(__xludf.DUMMYFUNCTION("""COMPUTED_VALUE"""),"P13まで")</f>
        <v>P13まで</v>
      </c>
      <c r="Z1062" s="7"/>
      <c r="AA1062" s="7"/>
      <c r="AB1062" s="7"/>
    </row>
    <row r="1063" ht="15.75" customHeight="1">
      <c r="A1063" s="26">
        <f>IFERROR(__xludf.DUMMYFUNCTION("""COMPUTED_VALUE"""),2351.0)</f>
        <v>2351</v>
      </c>
      <c r="B1063" s="22" t="str">
        <f>IFERROR(__xludf.DUMMYFUNCTION("""COMPUTED_VALUE"""),"確定")</f>
        <v>確定</v>
      </c>
      <c r="C1063" s="28">
        <f>IFERROR(__xludf.DUMMYFUNCTION("""COMPUTED_VALUE"""),45174.0)</f>
        <v>45174</v>
      </c>
      <c r="D1063" s="28">
        <f>IFERROR(__xludf.DUMMYFUNCTION("""COMPUTED_VALUE"""),45315.0)</f>
        <v>45315</v>
      </c>
      <c r="E1063" s="31">
        <f>IFERROR(__xludf.DUMMYFUNCTION("""COMPUTED_VALUE"""),287400.0)</f>
        <v>287400</v>
      </c>
      <c r="F1063" s="22" t="str">
        <f>IFERROR(__xludf.DUMMYFUNCTION("""COMPUTED_VALUE"""),"悪役令嬢の意外な能力～死にたくないのでチートスキル 「識る力」をつかってすべての破滅フラグを回避させていただきます～【分冊版】")</f>
        <v>悪役令嬢の意外な能力～死にたくないのでチートスキル 「識る力」をつかってすべての破滅フラグを回避させていただきます～【分冊版】</v>
      </c>
      <c r="G1063" s="20" t="str">
        <f>IFERROR(__xludf.DUMMYFUNCTION("""COMPUTED_VALUE"""),"1～5")</f>
        <v>1～5</v>
      </c>
      <c r="H1063" s="22" t="str">
        <f>IFERROR(__xludf.DUMMYFUNCTION("""COMPUTED_VALUE"""),"Orenge30・ReiOn")</f>
        <v>Orenge30・ReiOn</v>
      </c>
      <c r="I1063" s="22" t="str">
        <f>IFERROR(__xludf.DUMMYFUNCTION("""COMPUTED_VALUE"""),"女性")</f>
        <v>女性</v>
      </c>
      <c r="J1063" s="22"/>
      <c r="K1063" s="22"/>
      <c r="L1063" s="22" t="str">
        <f>IFERROR(__xludf.DUMMYFUNCTION("""COMPUTED_VALUE"""),"マンガボックス")</f>
        <v>マンガボックス</v>
      </c>
      <c r="M1063" s="23">
        <f>IFERROR(__xludf.DUMMYFUNCTION("""COMPUTED_VALUE"""),45338.0)</f>
        <v>45338</v>
      </c>
      <c r="N1063" s="23">
        <f>IFERROR(__xludf.DUMMYFUNCTION("""COMPUTED_VALUE"""),45489.0)</f>
        <v>45489</v>
      </c>
      <c r="O1063" s="20"/>
      <c r="P1063" s="29" t="str">
        <f>IFERROR(__xludf.DUMMYFUNCTION("""COMPUTED_VALUE"""),"可")</f>
        <v>可</v>
      </c>
      <c r="Q1063" s="30" t="str">
        <f>IFERROR(__xludf.DUMMYFUNCTION("""COMPUTED_VALUE"""),"広告コミットOK(9/12)")</f>
        <v>広告コミットOK(9/12)</v>
      </c>
      <c r="R1063" s="22"/>
      <c r="S1063" s="22" t="str">
        <f>IFERROR(__xludf.DUMMYFUNCTION("""COMPUTED_VALUE"""),"20240117_マンガボックス_悪役令嬢の意外な能力")</f>
        <v>20240117_マンガボックス_悪役令嬢の意外な能力</v>
      </c>
      <c r="T1063" s="22" t="str">
        <f>IFERROR(__xludf.DUMMYFUNCTION("""COMPUTED_VALUE"""),"格納済み")</f>
        <v>格納済み</v>
      </c>
      <c r="U1063" s="15" t="str">
        <f>IFERROR(__xludf.DUMMYFUNCTION("""COMPUTED_VALUE"""),"©Orenge30・ReiOn/マンガボックス")</f>
        <v>©Orenge30・ReiOn/マンガボックス</v>
      </c>
      <c r="V1063" s="8" t="str">
        <f>IFERROR(__xludf.DUMMYFUNCTION("""COMPUTED_VALUE"""),"カルム王国の公爵令嬢アイリス・グレイは、あるとき前世でプレイしていた乙女ゲームの悪役令嬢に自身が転生していたことを知る。”アイリス”はゲームの主人公である”救世主”に嫌がらせをすることで処刑されるキャラクター。最悪のバッドエンドだけは回避したい一心で、鍵となるエリオット王子との婚約破棄を画策するも、エリオットはアイリス一筋で婚約破棄に応じてくれない。しかし、ひょんなことからアイリスに『識る力』というチートスキルが発現！　あらゆる魔法を使い放題できるその能力こそが、断罪イベントを阻止できる唯一の手段だとアイ"&amp;"リスは確信してーー")</f>
        <v>カルム王国の公爵令嬢アイリス・グレイは、あるとき前世でプレイしていた乙女ゲームの悪役令嬢に自身が転生していたことを知る。”アイリス”はゲームの主人公である”救世主”に嫌がらせをすることで処刑されるキャラクター。最悪のバッドエンドだけは回避したい一心で、鍵となるエリオット王子との婚約破棄を画策するも、エリオットはアイリス一筋で婚約破棄に応じてくれない。しかし、ひょんなことからアイリスに『識る力』というチートスキルが発現！　あらゆる魔法を使い放題できるその能力こそが、断罪イベントを阻止できる唯一の手段だとアイリスは確信してーー</v>
      </c>
      <c r="W1063" s="14"/>
      <c r="X1063" s="14" t="str">
        <f>IFERROR(__xludf.DUMMYFUNCTION("""COMPUTED_VALUE"""),"有")</f>
        <v>有</v>
      </c>
      <c r="Y1063" s="8" t="str">
        <f>IFERROR(__xludf.DUMMYFUNCTION("""COMPUTED_VALUE"""),"2024/3/15まで1巻無料")</f>
        <v>2024/3/15まで1巻無料</v>
      </c>
      <c r="Z1063" s="7"/>
      <c r="AA1063" s="7"/>
      <c r="AB1063" s="7"/>
    </row>
    <row r="1064" ht="15.75" customHeight="1">
      <c r="A1064" s="26">
        <f>IFERROR(__xludf.DUMMYFUNCTION("""COMPUTED_VALUE"""),2551.0)</f>
        <v>2551</v>
      </c>
      <c r="B1064" s="22" t="str">
        <f>IFERROR(__xludf.DUMMYFUNCTION("""COMPUTED_VALUE"""),"確定")</f>
        <v>確定</v>
      </c>
      <c r="C1064" s="28">
        <f>IFERROR(__xludf.DUMMYFUNCTION("""COMPUTED_VALUE"""),45222.0)</f>
        <v>45222</v>
      </c>
      <c r="D1064" s="28">
        <f>IFERROR(__xludf.DUMMYFUNCTION("""COMPUTED_VALUE"""),45314.0)</f>
        <v>45314</v>
      </c>
      <c r="E1064" s="31">
        <f>IFERROR(__xludf.DUMMYFUNCTION("""COMPUTED_VALUE"""),287065.0)</f>
        <v>287065</v>
      </c>
      <c r="F1064" s="22" t="str">
        <f>IFERROR(__xludf.DUMMYFUNCTION("""COMPUTED_VALUE"""),"永遠に恋をした【マイクロ】")</f>
        <v>永遠に恋をした【マイクロ】</v>
      </c>
      <c r="G1064" s="16" t="str">
        <f>IFERROR(__xludf.DUMMYFUNCTION("""COMPUTED_VALUE"""),"1～3")</f>
        <v>1～3</v>
      </c>
      <c r="H1064" s="22" t="str">
        <f>IFERROR(__xludf.DUMMYFUNCTION("""COMPUTED_VALUE"""),"高瀬由香")</f>
        <v>高瀬由香</v>
      </c>
      <c r="I1064" s="22" t="str">
        <f>IFERROR(__xludf.DUMMYFUNCTION("""COMPUTED_VALUE"""),"少女")</f>
        <v>少女</v>
      </c>
      <c r="J1064" s="22"/>
      <c r="K1064" s="22"/>
      <c r="L1064" s="22" t="str">
        <f>IFERROR(__xludf.DUMMYFUNCTION("""COMPUTED_VALUE"""),"小学館")</f>
        <v>小学館</v>
      </c>
      <c r="M1064" s="23">
        <f>IFERROR(__xludf.DUMMYFUNCTION("""COMPUTED_VALUE"""),45347.0)</f>
        <v>45347</v>
      </c>
      <c r="N1064" s="23">
        <f>IFERROR(__xludf.DUMMYFUNCTION("""COMPUTED_VALUE"""),45406.0)</f>
        <v>45406</v>
      </c>
      <c r="O1064" s="20"/>
      <c r="P1064" s="29" t="str">
        <f>IFERROR(__xludf.DUMMYFUNCTION("""COMPUTED_VALUE"""),"否")</f>
        <v>否</v>
      </c>
      <c r="Q1064" s="30" t="str">
        <f>IFERROR(__xludf.DUMMYFUNCTION("""COMPUTED_VALUE"""),"広告コミットOK(10/30)")</f>
        <v>広告コミットOK(10/30)</v>
      </c>
      <c r="R1064" s="22"/>
      <c r="S1064" s="22" t="str">
        <f>IFERROR(__xludf.DUMMYFUNCTION("""COMPUTED_VALUE"""),"20240122_小学館_永遠に恋をした【マイクロ】")</f>
        <v>20240122_小学館_永遠に恋をした【マイクロ】</v>
      </c>
      <c r="T1064" s="22" t="str">
        <f>IFERROR(__xludf.DUMMYFUNCTION("""COMPUTED_VALUE"""),"格納済み")</f>
        <v>格納済み</v>
      </c>
      <c r="U1064" s="15" t="str">
        <f>IFERROR(__xludf.DUMMYFUNCTION("""COMPUTED_VALUE"""),"(C)高瀬由香 / 小学館")</f>
        <v>(C)高瀬由香 / 小学館</v>
      </c>
      <c r="V1064" s="8" t="str">
        <f>IFERROR(__xludf.DUMMYFUNCTION("""COMPUTED_VALUE"""),"両親が離婚し、母親と２人で暮らしている亜衣。
幼い頃に山の中で迷子になるが、頭の中で響く優しい男性の声に助けられる。
その日からずっと、その”永遠”と名乗る声に守られてきた亜衣は、料理も遊びも全て彼に教わって高校生に。
だけど彼の存在は、誰にも話すことができなくてーー…？")</f>
        <v>両親が離婚し、母親と２人で暮らしている亜衣。
幼い頃に山の中で迷子になるが、頭の中で響く優しい男性の声に助けられる。
その日からずっと、その”永遠”と名乗る声に守られてきた亜衣は、料理も遊びも全て彼に教わって高校生に。
だけど彼の存在は、誰にも話すことができなくてーー…？</v>
      </c>
      <c r="W1064" s="14"/>
      <c r="X1064" s="14" t="str">
        <f>IFERROR(__xludf.DUMMYFUNCTION("""COMPUTED_VALUE"""),"有")</f>
        <v>有</v>
      </c>
      <c r="Y1064" s="8" t="str">
        <f>IFERROR(__xludf.DUMMYFUNCTION("""COMPUTED_VALUE"""),"2024/4/24まで1巻無料")</f>
        <v>2024/4/24まで1巻無料</v>
      </c>
      <c r="Z1064" s="7"/>
      <c r="AA1064" s="7"/>
      <c r="AB1064" s="7"/>
    </row>
    <row r="1065" ht="15.75" customHeight="1">
      <c r="A1065" s="26">
        <f>IFERROR(__xludf.DUMMYFUNCTION("""COMPUTED_VALUE"""),2609.0)</f>
        <v>2609</v>
      </c>
      <c r="B1065" s="22" t="str">
        <f>IFERROR(__xludf.DUMMYFUNCTION("""COMPUTED_VALUE"""),"確定")</f>
        <v>確定</v>
      </c>
      <c r="C1065" s="28">
        <f>IFERROR(__xludf.DUMMYFUNCTION("""COMPUTED_VALUE"""),45237.0)</f>
        <v>45237</v>
      </c>
      <c r="D1065" s="28">
        <f>IFERROR(__xludf.DUMMYFUNCTION("""COMPUTED_VALUE"""),45314.0)</f>
        <v>45314</v>
      </c>
      <c r="E1065" s="31">
        <f>IFERROR(__xludf.DUMMYFUNCTION("""COMPUTED_VALUE"""),286268.0)</f>
        <v>286268</v>
      </c>
      <c r="F1065" s="22" t="str">
        <f>IFERROR(__xludf.DUMMYFUNCTION("""COMPUTED_VALUE"""),"イケないのに、食べちゃいたい。")</f>
        <v>イケないのに、食べちゃいたい。</v>
      </c>
      <c r="G1065" s="11" t="str">
        <f>IFERROR(__xludf.DUMMYFUNCTION("""COMPUTED_VALUE"""),"1～2")</f>
        <v>1～2</v>
      </c>
      <c r="H1065" s="22" t="str">
        <f>IFERROR(__xludf.DUMMYFUNCTION("""COMPUTED_VALUE"""),"海苔巻がむひこ")</f>
        <v>海苔巻がむひこ</v>
      </c>
      <c r="I1065" s="22" t="str">
        <f>IFERROR(__xludf.DUMMYFUNCTION("""COMPUTED_VALUE"""),"BL")</f>
        <v>BL</v>
      </c>
      <c r="J1065" s="22"/>
      <c r="K1065" s="22"/>
      <c r="L1065" s="22" t="str">
        <f>IFERROR(__xludf.DUMMYFUNCTION("""COMPUTED_VALUE"""),"CLLENN")</f>
        <v>CLLENN</v>
      </c>
      <c r="M1065" s="23">
        <f>IFERROR(__xludf.DUMMYFUNCTION("""COMPUTED_VALUE"""),45332.0)</f>
        <v>45332</v>
      </c>
      <c r="N1065" s="23">
        <f>IFERROR(__xludf.DUMMYFUNCTION("""COMPUTED_VALUE"""),45394.0)</f>
        <v>45394</v>
      </c>
      <c r="O1065" s="20"/>
      <c r="P1065" s="29" t="str">
        <f>IFERROR(__xludf.DUMMYFUNCTION("""COMPUTED_VALUE"""),"可")</f>
        <v>可</v>
      </c>
      <c r="Q1065" s="22" t="str">
        <f>IFERROR(__xludf.DUMMYFUNCTION("""COMPUTED_VALUE"""),"広告コミットOK(11/14)")</f>
        <v>広告コミットOK(11/14)</v>
      </c>
      <c r="R1065" s="22" t="str">
        <f>IFERROR(__xludf.DUMMYFUNCTION("""COMPUTED_VALUE"""),"格納済")</f>
        <v>格納済</v>
      </c>
      <c r="S1065" s="22" t="str">
        <f>IFERROR(__xludf.DUMMYFUNCTION("""COMPUTED_VALUE"""),"20240123_CLLENN_イケないのに、食べちゃいたい。")</f>
        <v>20240123_CLLENN_イケないのに、食べちゃいたい。</v>
      </c>
      <c r="T1065" s="22" t="str">
        <f>IFERROR(__xludf.DUMMYFUNCTION("""COMPUTED_VALUE"""),"格納済み")</f>
        <v>格納済み</v>
      </c>
      <c r="U1065" s="15" t="str">
        <f>IFERROR(__xludf.DUMMYFUNCTION("""COMPUTED_VALUE"""),"ⓒ海苔巻がむひこ/CLLENN")</f>
        <v>ⓒ海苔巻がむひこ/CLLENN</v>
      </c>
      <c r="V1065" s="8" t="str">
        <f>IFERROR(__xludf.DUMMYFUNCTION("""COMPUTED_VALUE"""),"【あぁ、こんなに蜜を垂らして…美味しそう】とろとろに溢れた先端を舐められて――！？会社で鬼係長と恐れられている空閑（くが）は、高カロリーの物を食べると身体が火照り勃起してしまう、誰にも言えない特殊なアレルギーに苦しめられていた。精通した時から食を節制している彼にとって、ランチタイムは地獄の時間。美味しそうな弁当販売が来ても、見るだけで我慢する日々…。そんな中、お世話になった本部長の送別会に参加することに。そこで断れずに食べた料理が美味しすぎて……食べ進める箸が止まらない！　身体がじんわり熱く疼いて、苦しい"&amp;"っ…えっ！？　早くもアレルギー反応（勃起）が！？！？悶える空閑を心配して声をかけてきたのは、会社に来る弁当販売の男・与（あと）だった。彼はこの美味しい料理を作った張本人だと言う。空閑の秘密を知った与は、「お辛いんでしょう？」とチ〇コを愛撫してきて…！？世話焼きワンコなお弁当屋さん×高カロリー勃起体質（！？）鬼係長の、胃袋もチ〇コも掴まれる新食感ラブ！！")</f>
        <v>【あぁ、こんなに蜜を垂らして…美味しそう】とろとろに溢れた先端を舐められて――！？会社で鬼係長と恐れられている空閑（くが）は、高カロリーの物を食べると身体が火照り勃起してしまう、誰にも言えない特殊なアレルギーに苦しめられていた。精通した時から食を節制している彼にとって、ランチタイムは地獄の時間。美味しそうな弁当販売が来ても、見るだけで我慢する日々…。そんな中、お世話になった本部長の送別会に参加することに。そこで断れずに食べた料理が美味しすぎて……食べ進める箸が止まらない！　身体がじんわり熱く疼いて、苦しいっ…えっ！？　早くもアレルギー反応（勃起）が！？！？悶える空閑を心配して声をかけてきたのは、会社に来る弁当販売の男・与（あと）だった。彼はこの美味しい料理を作った張本人だと言う。空閑の秘密を知った与は、「お辛いんでしょう？」とチ〇コを愛撫してきて…！？世話焼きワンコなお弁当屋さん×高カロリー勃起体質（！？）鬼係長の、胃袋もチ〇コも掴まれる新食感ラブ！！</v>
      </c>
      <c r="W1065" s="14"/>
      <c r="X1065" s="14" t="str">
        <f>IFERROR(__xludf.DUMMYFUNCTION("""COMPUTED_VALUE"""),"有")</f>
        <v>有</v>
      </c>
      <c r="Y1065" s="8" t="str">
        <f>IFERROR(__xludf.DUMMYFUNCTION("""COMPUTED_VALUE"""),"2024/2/23まで立ち読み増量
1～2巻P17まで")</f>
        <v>2024/2/23まで立ち読み増量
1～2巻P17まで</v>
      </c>
      <c r="Z1065" s="7"/>
      <c r="AA1065" s="7"/>
      <c r="AB1065" s="7"/>
    </row>
    <row r="1066" ht="15.75" customHeight="1">
      <c r="A1066" s="26">
        <f>IFERROR(__xludf.DUMMYFUNCTION("""COMPUTED_VALUE"""),2621.0)</f>
        <v>2621</v>
      </c>
      <c r="B1066" s="22" t="str">
        <f>IFERROR(__xludf.DUMMYFUNCTION("""COMPUTED_VALUE"""),"確定")</f>
        <v>確定</v>
      </c>
      <c r="C1066" s="28">
        <f>IFERROR(__xludf.DUMMYFUNCTION("""COMPUTED_VALUE"""),45239.0)</f>
        <v>45239</v>
      </c>
      <c r="D1066" s="28">
        <f>IFERROR(__xludf.DUMMYFUNCTION("""COMPUTED_VALUE"""),45315.0)</f>
        <v>45315</v>
      </c>
      <c r="E1066" s="31">
        <f>IFERROR(__xludf.DUMMYFUNCTION("""COMPUTED_VALUE"""),286978.0)</f>
        <v>286978</v>
      </c>
      <c r="F1066" s="22" t="str">
        <f>IFERROR(__xludf.DUMMYFUNCTION("""COMPUTED_VALUE"""),"【分冊版】旅は愛いもの甘いもの")</f>
        <v>【分冊版】旅は愛いもの甘いもの</v>
      </c>
      <c r="G1066" s="20" t="str">
        <f>IFERROR(__xludf.DUMMYFUNCTION("""COMPUTED_VALUE"""),"1～5")</f>
        <v>1～5</v>
      </c>
      <c r="H1066" s="22" t="str">
        <f>IFERROR(__xludf.DUMMYFUNCTION("""COMPUTED_VALUE"""),"ももしろ、美月ともこ")</f>
        <v>ももしろ、美月ともこ</v>
      </c>
      <c r="I1066" s="22" t="str">
        <f>IFERROR(__xludf.DUMMYFUNCTION("""COMPUTED_VALUE"""),"女性")</f>
        <v>女性</v>
      </c>
      <c r="J1066" s="22"/>
      <c r="K1066" s="22"/>
      <c r="L1066" s="22" t="str">
        <f>IFERROR(__xludf.DUMMYFUNCTION("""COMPUTED_VALUE"""),"文藝春秋")</f>
        <v>文藝春秋</v>
      </c>
      <c r="M1066" s="23">
        <f>IFERROR(__xludf.DUMMYFUNCTION("""COMPUTED_VALUE"""),45343.0)</f>
        <v>45343</v>
      </c>
      <c r="N1066" s="23">
        <f>IFERROR(__xludf.DUMMYFUNCTION("""COMPUTED_VALUE"""),45432.0)</f>
        <v>45432</v>
      </c>
      <c r="O1066" s="20"/>
      <c r="P1066" s="29" t="str">
        <f>IFERROR(__xludf.DUMMYFUNCTION("""COMPUTED_VALUE"""),"可")</f>
        <v>可</v>
      </c>
      <c r="Q1066" s="30" t="str">
        <f>IFERROR(__xludf.DUMMYFUNCTION("""COMPUTED_VALUE"""),"広告コミットOK(11/16)")</f>
        <v>広告コミットOK(11/16)</v>
      </c>
      <c r="R1066" s="22"/>
      <c r="S1066" s="22" t="str">
        <f>IFERROR(__xludf.DUMMYFUNCTION("""COMPUTED_VALUE"""),"20240118_文藝春秋_旅は愛いもの甘いもの")</f>
        <v>20240118_文藝春秋_旅は愛いもの甘いもの</v>
      </c>
      <c r="T1066" s="22" t="str">
        <f>IFERROR(__xludf.DUMMYFUNCTION("""COMPUTED_VALUE"""),"格納済み")</f>
        <v>格納済み</v>
      </c>
      <c r="U1066" s="15" t="str">
        <f>IFERROR(__xludf.DUMMYFUNCTION("""COMPUTED_VALUE"""),"(C)ももしろ・三月トモコ／文藝春秋")</f>
        <v>(C)ももしろ・三月トモコ／文藝春秋</v>
      </c>
      <c r="V1066" s="8" t="str">
        <f>IFERROR(__xludf.DUMMYFUNCTION("""COMPUTED_VALUE"""),"「涼音さん可愛い――からかいたくなる」
付き合っていた先輩から、30歳の誕生日直前に「二股宣言」をされた派遣ＯＬ・涼音。ヤケクソで訪れた傷心旅行先の高千穂峡で、謎めいた青年・悠臣と出会う。実はスランプ中の人気小説家だという悠臣から、「旅のパートナーになってほしい」と言われ…!?
さらに、旅とときめきで息を吹き返していく涼音を見て、元カレの先輩も再びちょっかいを出してきて…。
甘く癒されたいオトナのための旅ラブコメ。")</f>
        <v>「涼音さん可愛い――からかいたくなる」
付き合っていた先輩から、30歳の誕生日直前に「二股宣言」をされた派遣ＯＬ・涼音。ヤケクソで訪れた傷心旅行先の高千穂峡で、謎めいた青年・悠臣と出会う。実はスランプ中の人気小説家だという悠臣から、「旅のパートナーになってほしい」と言われ…!?
さらに、旅とときめきで息を吹き返していく涼音を見て、元カレの先輩も再びちょっかいを出してきて…。
甘く癒されたいオトナのための旅ラブコメ。</v>
      </c>
      <c r="W1066" s="14"/>
      <c r="X1066" s="14" t="str">
        <f>IFERROR(__xludf.DUMMYFUNCTION("""COMPUTED_VALUE"""),"有")</f>
        <v>有</v>
      </c>
      <c r="Y1066" s="8" t="str">
        <f>IFERROR(__xludf.DUMMYFUNCTION("""COMPUTED_VALUE"""),"2024/3/20まで1巻無料")</f>
        <v>2024/3/20まで1巻無料</v>
      </c>
      <c r="Z1066" s="7"/>
      <c r="AA1066" s="7"/>
      <c r="AB1066" s="7"/>
    </row>
    <row r="1067" ht="15.75" customHeight="1">
      <c r="A1067" s="26">
        <f>IFERROR(__xludf.DUMMYFUNCTION("""COMPUTED_VALUE"""),2676.0)</f>
        <v>2676</v>
      </c>
      <c r="B1067" s="22" t="str">
        <f>IFERROR(__xludf.DUMMYFUNCTION("""COMPUTED_VALUE"""),"確定")</f>
        <v>確定</v>
      </c>
      <c r="C1067" s="28">
        <f>IFERROR(__xludf.DUMMYFUNCTION("""COMPUTED_VALUE"""),45251.0)</f>
        <v>45251</v>
      </c>
      <c r="D1067" s="28">
        <f>IFERROR(__xludf.DUMMYFUNCTION("""COMPUTED_VALUE"""),45314.0)</f>
        <v>45314</v>
      </c>
      <c r="E1067" s="31">
        <f>IFERROR(__xludf.DUMMYFUNCTION("""COMPUTED_VALUE"""),285403.0)</f>
        <v>285403</v>
      </c>
      <c r="F1067" s="22" t="str">
        <f>IFERROR(__xludf.DUMMYFUNCTION("""COMPUTED_VALUE"""),"毒好き令嬢は結婚にたどり着きたい【電子限定特典付き】【コミックス版】")</f>
        <v>毒好き令嬢は結婚にたどり着きたい【電子限定特典付き】【コミックス版】</v>
      </c>
      <c r="G1067" s="20">
        <f>IFERROR(__xludf.DUMMYFUNCTION("""COMPUTED_VALUE"""),1.0)</f>
        <v>1</v>
      </c>
      <c r="H1067" s="22" t="str">
        <f>IFERROR(__xludf.DUMMYFUNCTION("""COMPUTED_VALUE"""),"作画：深月アンネ/原作：守雨/キャラクター原案：紫藤むらさき")</f>
        <v>作画：深月アンネ/原作：守雨/キャラクター原案：紫藤むらさき</v>
      </c>
      <c r="I1067" s="22" t="str">
        <f>IFERROR(__xludf.DUMMYFUNCTION("""COMPUTED_VALUE"""),"少女")</f>
        <v>少女</v>
      </c>
      <c r="J1067" s="22"/>
      <c r="K1067" s="22"/>
      <c r="L1067" s="22" t="str">
        <f>IFERROR(__xludf.DUMMYFUNCTION("""COMPUTED_VALUE"""),"笠倉出版社")</f>
        <v>笠倉出版社</v>
      </c>
      <c r="M1067" s="23">
        <f>IFERROR(__xludf.DUMMYFUNCTION("""COMPUTED_VALUE"""),45332.0)</f>
        <v>45332</v>
      </c>
      <c r="N1067" s="23">
        <f>IFERROR(__xludf.DUMMYFUNCTION("""COMPUTED_VALUE"""),45421.0)</f>
        <v>45421</v>
      </c>
      <c r="O1067" s="20"/>
      <c r="P1067" s="32" t="str">
        <f>IFERROR(__xludf.DUMMYFUNCTION("""COMPUTED_VALUE"""),"可")</f>
        <v>可</v>
      </c>
      <c r="Q1067" s="30"/>
      <c r="R1067" s="22"/>
      <c r="S1067" s="43" t="str">
        <f>IFERROR(__xludf.DUMMYFUNCTION("""COMPUTED_VALUE"""),"20240123_笠倉出版社_毒好き令嬢は結婚にたどり着きたい【電子限定特典付き】【コミックス版】")</f>
        <v>20240123_笠倉出版社_毒好き令嬢は結婚にたどり着きたい【電子限定特典付き】【コミックス版】</v>
      </c>
      <c r="T1067" s="22"/>
      <c r="U1067" s="15" t="str">
        <f>IFERROR(__xludf.DUMMYFUNCTION("""COMPUTED_VALUE"""),"©深月アンネ/守雨/紫藤むらさき/笠倉出版社")</f>
        <v>©深月アンネ/守雨/紫藤むらさき/笠倉出版社</v>
      </c>
      <c r="V1067" s="8" t="str">
        <f>IFERROR(__xludf.DUMMYFUNCTION("""COMPUTED_VALUE"""),"人気沸騰中の話題作、ついにコミックス化！！結婚を二週間後に控えたある日、婚約者・サムエルの浮気現場に遭遇してしまったエレン。そんな彼との結婚を自ら破談にし、新たな婚約者を探すことに。しかし、エレンは毒の扱いに長けたボウエン家の薬師で後継者。結婚相手に求める条件婿入りしてくれて、自分が毒にかかわること、娘を薬師にすることを許してくれる人がいい――って条件多すぎ？心から信頼し合える愛のある結婚をしたいけれど、理解してくれるのは護衛のステファンだけで……。お仕事一筋な薬師の令嬢が愛のある結婚を目指す異世界ラブス"&amp;"トーリー！◆収録内容◆「毒好き令嬢は結婚にたどり着きたい」全5話／単行本収録描き下ろし漫画4P／電子限定描き下ろしイラスト")</f>
        <v>人気沸騰中の話題作、ついにコミックス化！！結婚を二週間後に控えたある日、婚約者・サムエルの浮気現場に遭遇してしまったエレン。そんな彼との結婚を自ら破談にし、新たな婚約者を探すことに。しかし、エレンは毒の扱いに長けたボウエン家の薬師で後継者。結婚相手に求める条件婿入りしてくれて、自分が毒にかかわること、娘を薬師にすることを許してくれる人がいい――って条件多すぎ？心から信頼し合える愛のある結婚をしたいけれど、理解してくれるのは護衛のステファンだけで……。お仕事一筋な薬師の令嬢が愛のある結婚を目指す異世界ラブストーリー！◆収録内容◆「毒好き令嬢は結婚にたどり着きたい」全5話／単行本収録描き下ろし漫画4P／電子限定描き下ろしイラスト</v>
      </c>
      <c r="W1067" s="14"/>
      <c r="X1067" s="14" t="str">
        <f>IFERROR(__xludf.DUMMYFUNCTION("""COMPUTED_VALUE"""),"有")</f>
        <v>有</v>
      </c>
      <c r="Y1067" s="8" t="str">
        <f>IFERROR(__xludf.DUMMYFUNCTION("""COMPUTED_VALUE"""),"P15まで")</f>
        <v>P15まで</v>
      </c>
      <c r="Z1067" s="7"/>
      <c r="AA1067" s="7"/>
      <c r="AB1067" s="7"/>
    </row>
    <row r="1068" ht="15.75" customHeight="1">
      <c r="A1068" s="26">
        <f>IFERROR(__xludf.DUMMYFUNCTION("""COMPUTED_VALUE"""),2732.0)</f>
        <v>2732</v>
      </c>
      <c r="B1068" s="22" t="str">
        <f>IFERROR(__xludf.DUMMYFUNCTION("""COMPUTED_VALUE"""),"確定")</f>
        <v>確定</v>
      </c>
      <c r="C1068" s="28">
        <f>IFERROR(__xludf.DUMMYFUNCTION("""COMPUTED_VALUE"""),45271.0)</f>
        <v>45271</v>
      </c>
      <c r="D1068" s="28">
        <f>IFERROR(__xludf.DUMMYFUNCTION("""COMPUTED_VALUE"""),45314.0)</f>
        <v>45314</v>
      </c>
      <c r="E1068" s="31">
        <f>IFERROR(__xludf.DUMMYFUNCTION("""COMPUTED_VALUE"""),286644.0)</f>
        <v>286644</v>
      </c>
      <c r="F1068" s="22" t="str">
        <f>IFERROR(__xludf.DUMMYFUNCTION("""COMPUTED_VALUE"""),"波打ち際でずっと、")</f>
        <v>波打ち際でずっと、</v>
      </c>
      <c r="G1068" s="11" t="str">
        <f>IFERROR(__xludf.DUMMYFUNCTION("""COMPUTED_VALUE"""),"1～2")</f>
        <v>1～2</v>
      </c>
      <c r="H1068" s="22" t="str">
        <f>IFERROR(__xludf.DUMMYFUNCTION("""COMPUTED_VALUE"""),"まめなえ")</f>
        <v>まめなえ</v>
      </c>
      <c r="I1068" s="22" t="str">
        <f>IFERROR(__xludf.DUMMYFUNCTION("""COMPUTED_VALUE"""),"BL")</f>
        <v>BL</v>
      </c>
      <c r="J1068" s="22"/>
      <c r="K1068" s="22"/>
      <c r="L1068" s="22" t="str">
        <f>IFERROR(__xludf.DUMMYFUNCTION("""COMPUTED_VALUE"""),"CLLENN")</f>
        <v>CLLENN</v>
      </c>
      <c r="M1068" s="23">
        <f>IFERROR(__xludf.DUMMYFUNCTION("""COMPUTED_VALUE"""),45342.0)</f>
        <v>45342</v>
      </c>
      <c r="N1068" s="23">
        <f>IFERROR(__xludf.DUMMYFUNCTION("""COMPUTED_VALUE"""),45397.0)</f>
        <v>45397</v>
      </c>
      <c r="O1068" s="20"/>
      <c r="P1068" s="32" t="str">
        <f>IFERROR(__xludf.DUMMYFUNCTION("""COMPUTED_VALUE"""),"可")</f>
        <v>可</v>
      </c>
      <c r="Q1068" s="22"/>
      <c r="R1068" s="22" t="str">
        <f>IFERROR(__xludf.DUMMYFUNCTION("""COMPUTED_VALUE"""),"格納済")</f>
        <v>格納済</v>
      </c>
      <c r="S1068" s="22" t="str">
        <f>IFERROR(__xludf.DUMMYFUNCTION("""COMPUTED_VALUE"""),"20240122_CLLENN_波打ち際でずっと、")</f>
        <v>20240122_CLLENN_波打ち際でずっと、</v>
      </c>
      <c r="T1068" s="22" t="str">
        <f>IFERROR(__xludf.DUMMYFUNCTION("""COMPUTED_VALUE"""),"格納済み")</f>
        <v>格納済み</v>
      </c>
      <c r="U1068" s="15" t="str">
        <f>IFERROR(__xludf.DUMMYFUNCTION("""COMPUTED_VALUE"""),"ⓒまめなえ/CLLENN")</f>
        <v>ⓒまめなえ/CLLENN</v>
      </c>
      <c r="V1068" s="8" t="str">
        <f>IFERROR(__xludf.DUMMYFUNCTION("""COMPUTED_VALUE"""),"【もしも俺が「好きだ」って言ったら……】《優しい陽キャ×寡黙で不器用なヤンキーふたりの、潮風かおる青春同級生BL》――幼馴染で親友の亜季に対し、密かにそれ以上の想いを抱いていた大樹。このままずっとこの町で一緒にバカやっていられると思っていた。だが、ある日、亜季から「卒業したら上京する」と聞かされる。動揺する大樹は、ふたりの関係をどうすればいいかわからなくなり……。親友への想いや葛藤が、波のように寄せては返す。彼らがたどり着く先は―――。子供でも大人でもないふたりの、ピュアで優しい恋愛ストーリー。")</f>
        <v>【もしも俺が「好きだ」って言ったら……】《優しい陽キャ×寡黙で不器用なヤンキーふたりの、潮風かおる青春同級生BL》――幼馴染で親友の亜季に対し、密かにそれ以上の想いを抱いていた大樹。このままずっとこの町で一緒にバカやっていられると思っていた。だが、ある日、亜季から「卒業したら上京する」と聞かされる。動揺する大樹は、ふたりの関係をどうすればいいかわからなくなり……。親友への想いや葛藤が、波のように寄せては返す。彼らがたどり着く先は―――。子供でも大人でもないふたりの、ピュアで優しい恋愛ストーリー。</v>
      </c>
      <c r="W1068" s="14"/>
      <c r="X1068" s="14" t="str">
        <f>IFERROR(__xludf.DUMMYFUNCTION("""COMPUTED_VALUE"""),"有")</f>
        <v>有</v>
      </c>
      <c r="Y1068" s="8" t="str">
        <f>IFERROR(__xludf.DUMMYFUNCTION("""COMPUTED_VALUE"""),"P10まで")</f>
        <v>P10まで</v>
      </c>
      <c r="Z1068" s="7"/>
      <c r="AA1068" s="7"/>
      <c r="AB1068" s="7"/>
    </row>
    <row r="1069" ht="15.75" customHeight="1">
      <c r="A1069" s="26">
        <f>IFERROR(__xludf.DUMMYFUNCTION("""COMPUTED_VALUE"""),2744.0)</f>
        <v>2744</v>
      </c>
      <c r="B1069" s="22" t="str">
        <f>IFERROR(__xludf.DUMMYFUNCTION("""COMPUTED_VALUE"""),"確定")</f>
        <v>確定</v>
      </c>
      <c r="C1069" s="28">
        <f>IFERROR(__xludf.DUMMYFUNCTION("""COMPUTED_VALUE"""),45272.0)</f>
        <v>45272</v>
      </c>
      <c r="D1069" s="28">
        <f>IFERROR(__xludf.DUMMYFUNCTION("""COMPUTED_VALUE"""),45310.0)</f>
        <v>45310</v>
      </c>
      <c r="E1069" s="31">
        <f>IFERROR(__xludf.DUMMYFUNCTION("""COMPUTED_VALUE"""),285695.0)</f>
        <v>285695</v>
      </c>
      <c r="F1069" s="22" t="str">
        <f>IFERROR(__xludf.DUMMYFUNCTION("""COMPUTED_VALUE"""),"マネがアイドルに推されて炎上不可避です！？【マイクロ】")</f>
        <v>マネがアイドルに推されて炎上不可避です！？【マイクロ】</v>
      </c>
      <c r="G1069" s="16" t="str">
        <f>IFERROR(__xludf.DUMMYFUNCTION("""COMPUTED_VALUE"""),"1～5")</f>
        <v>1～5</v>
      </c>
      <c r="H1069" s="22" t="str">
        <f>IFERROR(__xludf.DUMMYFUNCTION("""COMPUTED_VALUE"""),"花本麻実")</f>
        <v>花本麻実</v>
      </c>
      <c r="I1069" s="22" t="str">
        <f>IFERROR(__xludf.DUMMYFUNCTION("""COMPUTED_VALUE"""),"少女")</f>
        <v>少女</v>
      </c>
      <c r="J1069" s="22"/>
      <c r="K1069" s="22"/>
      <c r="L1069" s="22" t="str">
        <f>IFERROR(__xludf.DUMMYFUNCTION("""COMPUTED_VALUE"""),"小学館")</f>
        <v>小学館</v>
      </c>
      <c r="M1069" s="23">
        <f>IFERROR(__xludf.DUMMYFUNCTION("""COMPUTED_VALUE"""),45327.0)</f>
        <v>45327</v>
      </c>
      <c r="N1069" s="23">
        <f>IFERROR(__xludf.DUMMYFUNCTION("""COMPUTED_VALUE"""),45386.0)</f>
        <v>45386</v>
      </c>
      <c r="O1069" s="20"/>
      <c r="P1069" s="29" t="str">
        <f>IFERROR(__xludf.DUMMYFUNCTION("""COMPUTED_VALUE"""),"否")</f>
        <v>否</v>
      </c>
      <c r="Q1069" s="30" t="str">
        <f>IFERROR(__xludf.DUMMYFUNCTION("""COMPUTED_VALUE"""),"広告コミットOK(12/19)")</f>
        <v>広告コミットOK(12/19)</v>
      </c>
      <c r="R1069" s="22"/>
      <c r="S1069" s="22" t="str">
        <f>IFERROR(__xludf.DUMMYFUNCTION("""COMPUTED_VALUE"""),"20240117_小学館_マネがアイドルに推されて炎上不可避です！？【マイクロ】")</f>
        <v>20240117_小学館_マネがアイドルに推されて炎上不可避です！？【マイクロ】</v>
      </c>
      <c r="T1069" s="22" t="str">
        <f>IFERROR(__xludf.DUMMYFUNCTION("""COMPUTED_VALUE"""),"格納済み")</f>
        <v>格納済み</v>
      </c>
      <c r="U1069" s="15" t="str">
        <f>IFERROR(__xludf.DUMMYFUNCTION("""COMPUTED_VALUE"""),"(C)花本麻実 / 小学館")</f>
        <v>(C)花本麻実 / 小学館</v>
      </c>
      <c r="V1069" s="8" t="str">
        <f>IFERROR(__xludf.DUMMYFUNCTION("""COMPUTED_VALUE"""),"アイドルオタクの「樹梨」がマネージャーとして担当することになったのは、全く推しじゃないアイドル「玲央」。
マネージャーとしての仕事に意気込む樹梨だが、玲央からのアプローチが始まることに！？
アイドルオタクマネ×推しじゃないアイドル
予測不能な推し活LOVE開幕！")</f>
        <v>アイドルオタクの「樹梨」がマネージャーとして担当することになったのは、全く推しじゃないアイドル「玲央」。
マネージャーとしての仕事に意気込む樹梨だが、玲央からのアプローチが始まることに！？
アイドルオタクマネ×推しじゃないアイドル
予測不能な推し活LOVE開幕！</v>
      </c>
      <c r="W1069" s="14"/>
      <c r="X1069" s="14" t="str">
        <f>IFERROR(__xludf.DUMMYFUNCTION("""COMPUTED_VALUE"""),"有")</f>
        <v>有</v>
      </c>
      <c r="Y1069" s="8" t="str">
        <f>IFERROR(__xludf.DUMMYFUNCTION("""COMPUTED_VALUE"""),"2024/4/4まで1巻無料")</f>
        <v>2024/4/4まで1巻無料</v>
      </c>
      <c r="Z1069" s="7"/>
      <c r="AA1069" s="7"/>
      <c r="AB1069" s="7"/>
    </row>
    <row r="1070" ht="15.75" customHeight="1">
      <c r="A1070" s="26">
        <f>IFERROR(__xludf.DUMMYFUNCTION("""COMPUTED_VALUE"""),2761.0)</f>
        <v>2761</v>
      </c>
      <c r="B1070" s="22" t="str">
        <f>IFERROR(__xludf.DUMMYFUNCTION("""COMPUTED_VALUE"""),"確定")</f>
        <v>確定</v>
      </c>
      <c r="C1070" s="28">
        <f>IFERROR(__xludf.DUMMYFUNCTION("""COMPUTED_VALUE"""),45275.0)</f>
        <v>45275</v>
      </c>
      <c r="D1070" s="28">
        <f>IFERROR(__xludf.DUMMYFUNCTION("""COMPUTED_VALUE"""),45308.0)</f>
        <v>45308</v>
      </c>
      <c r="E1070" s="31">
        <f>IFERROR(__xludf.DUMMYFUNCTION("""COMPUTED_VALUE"""),286850.0)</f>
        <v>286850</v>
      </c>
      <c r="F1070" s="22" t="str">
        <f>IFERROR(__xludf.DUMMYFUNCTION("""COMPUTED_VALUE"""),"オオカミと甘噛み【短編】")</f>
        <v>オオカミと甘噛み【短編】</v>
      </c>
      <c r="G1070" s="20" t="str">
        <f>IFERROR(__xludf.DUMMYFUNCTION("""COMPUTED_VALUE"""),"1~3")</f>
        <v>1~3</v>
      </c>
      <c r="H1070" s="22" t="str">
        <f>IFERROR(__xludf.DUMMYFUNCTION("""COMPUTED_VALUE"""),"江口 尋")</f>
        <v>江口 尋</v>
      </c>
      <c r="I1070" s="22" t="str">
        <f>IFERROR(__xludf.DUMMYFUNCTION("""COMPUTED_VALUE"""),"TL")</f>
        <v>TL</v>
      </c>
      <c r="J1070" s="22"/>
      <c r="K1070" s="22"/>
      <c r="L1070" s="22" t="str">
        <f>IFERROR(__xludf.DUMMYFUNCTION("""COMPUTED_VALUE"""),"竹書房")</f>
        <v>竹書房</v>
      </c>
      <c r="M1070" s="23">
        <f>IFERROR(__xludf.DUMMYFUNCTION("""COMPUTED_VALUE"""),45343.0)</f>
        <v>45343</v>
      </c>
      <c r="N1070" s="23">
        <f>IFERROR(__xludf.DUMMYFUNCTION("""COMPUTED_VALUE"""),45398.0)</f>
        <v>45398</v>
      </c>
      <c r="O1070" s="20"/>
      <c r="P1070" s="29" t="str">
        <f>IFERROR(__xludf.DUMMYFUNCTION("""COMPUTED_VALUE"""),"可")</f>
        <v>可</v>
      </c>
      <c r="Q1070" s="22" t="str">
        <f>IFERROR(__xludf.DUMMYFUNCTION("""COMPUTED_VALUE"""),"広告コミットOK(12/26)")</f>
        <v>広告コミットOK(12/26)</v>
      </c>
      <c r="R1070" s="22" t="str">
        <f>IFERROR(__xludf.DUMMYFUNCTION("""COMPUTED_VALUE"""),"格納済")</f>
        <v>格納済</v>
      </c>
      <c r="S1070" s="22" t="str">
        <f>IFERROR(__xludf.DUMMYFUNCTION("""COMPUTED_VALUE"""),"20240117_竹書房_オオカミと甘噛み【短編】")</f>
        <v>20240117_竹書房_オオカミと甘噛み【短編】</v>
      </c>
      <c r="T1070" s="22" t="str">
        <f>IFERROR(__xludf.DUMMYFUNCTION("""COMPUTED_VALUE"""),"雑誌素材")</f>
        <v>雑誌素材</v>
      </c>
      <c r="U1070" s="15" t="str">
        <f>IFERROR(__xludf.DUMMYFUNCTION("""COMPUTED_VALUE"""),"ⓒ江口 尋/竹書房")</f>
        <v>ⓒ江口 尋/竹書房</v>
      </c>
      <c r="V1070" s="8" t="str">
        <f>IFERROR(__xludf.DUMMYFUNCTION("""COMPUTED_VALUE"""),"派遣社員として働く白石優は昼間は地味なメガネ女子だけれど、夜は推しアイドルのための資金としてガールズバーで働いている。バーでも目立たないはずだったのにイケメン上司が来店して…!?
※本電子書籍は「恋愛天国 vol.40」に収録の「オオカミと甘噛み1」と同内容です。
本電子書籍は『オオカミさんとヒミツの子羊ちゃん～ケダモノ上司に私のハジメテ奪われちゃました。～』1話（ブレインハウス）に加筆修正をし再編集したものです。")</f>
        <v>派遣社員として働く白石優は昼間は地味なメガネ女子だけれど、夜は推しアイドルのための資金としてガールズバーで働いている。バーでも目立たないはずだったのにイケメン上司が来店して…!?
※本電子書籍は「恋愛天国 vol.40」に収録の「オオカミと甘噛み1」と同内容です。
本電子書籍は『オオカミさんとヒミツの子羊ちゃん～ケダモノ上司に私のハジメテ奪われちゃました。～』1話（ブレインハウス）に加筆修正をし再編集したものです。</v>
      </c>
      <c r="W1070" s="14"/>
      <c r="X1070" s="14" t="str">
        <f>IFERROR(__xludf.DUMMYFUNCTION("""COMPUTED_VALUE"""),"有")</f>
        <v>有</v>
      </c>
      <c r="Y1070" s="8" t="str">
        <f>IFERROR(__xludf.DUMMYFUNCTION("""COMPUTED_VALUE"""),"2024/3/5まで1巻無料")</f>
        <v>2024/3/5まで1巻無料</v>
      </c>
      <c r="Z1070" s="7"/>
      <c r="AA1070" s="7"/>
      <c r="AB1070" s="7"/>
    </row>
    <row r="1071" ht="15.75" customHeight="1">
      <c r="A1071" s="26">
        <f>IFERROR(__xludf.DUMMYFUNCTION("""COMPUTED_VALUE"""),2772.0)</f>
        <v>2772</v>
      </c>
      <c r="B1071" s="22" t="str">
        <f>IFERROR(__xludf.DUMMYFUNCTION("""COMPUTED_VALUE"""),"確定")</f>
        <v>確定</v>
      </c>
      <c r="C1071" s="28">
        <f>IFERROR(__xludf.DUMMYFUNCTION("""COMPUTED_VALUE"""),45281.0)</f>
        <v>45281</v>
      </c>
      <c r="D1071" s="28">
        <f>IFERROR(__xludf.DUMMYFUNCTION("""COMPUTED_VALUE"""),45310.0)</f>
        <v>45310</v>
      </c>
      <c r="E1071" s="31">
        <f>IFERROR(__xludf.DUMMYFUNCTION("""COMPUTED_VALUE"""),285330.0)</f>
        <v>285330</v>
      </c>
      <c r="F1071" s="22" t="str">
        <f>IFERROR(__xludf.DUMMYFUNCTION("""COMPUTED_VALUE"""),"ふれあえば恋【分冊版】")</f>
        <v>ふれあえば恋【分冊版】</v>
      </c>
      <c r="G1071" s="20">
        <f>IFERROR(__xludf.DUMMYFUNCTION("""COMPUTED_VALUE"""),1.0)</f>
        <v>1</v>
      </c>
      <c r="H1071" s="22" t="str">
        <f>IFERROR(__xludf.DUMMYFUNCTION("""COMPUTED_VALUE"""),"ばんどう")</f>
        <v>ばんどう</v>
      </c>
      <c r="I1071" s="22" t="str">
        <f>IFERROR(__xludf.DUMMYFUNCTION("""COMPUTED_VALUE"""),"BL")</f>
        <v>BL</v>
      </c>
      <c r="J1071" s="22"/>
      <c r="K1071" s="22"/>
      <c r="L1071" s="22" t="str">
        <f>IFERROR(__xludf.DUMMYFUNCTION("""COMPUTED_VALUE"""),"笠倉出版社")</f>
        <v>笠倉出版社</v>
      </c>
      <c r="M1071" s="23">
        <f>IFERROR(__xludf.DUMMYFUNCTION("""COMPUTED_VALUE"""),45331.0)</f>
        <v>45331</v>
      </c>
      <c r="N1071" s="23">
        <f>IFERROR(__xludf.DUMMYFUNCTION("""COMPUTED_VALUE"""),45358.0)</f>
        <v>45358</v>
      </c>
      <c r="O1071" s="20"/>
      <c r="P1071" s="32" t="str">
        <f>IFERROR(__xludf.DUMMYFUNCTION("""COMPUTED_VALUE"""),"可")</f>
        <v>可</v>
      </c>
      <c r="Q1071" s="30"/>
      <c r="R1071" s="22"/>
      <c r="S1071" s="22" t="str">
        <f>IFERROR(__xludf.DUMMYFUNCTION("""COMPUTED_VALUE"""),"20240117_笠倉出版社_ふれあえば恋【分冊版】")</f>
        <v>20240117_笠倉出版社_ふれあえば恋【分冊版】</v>
      </c>
      <c r="T1071" s="22" t="str">
        <f>IFERROR(__xludf.DUMMYFUNCTION("""COMPUTED_VALUE"""),"格納済み")</f>
        <v>格納済み</v>
      </c>
      <c r="U1071" s="15" t="str">
        <f>IFERROR(__xludf.DUMMYFUNCTION("""COMPUTED_VALUE"""),"©ばんどう/笠倉出版社")</f>
        <v>©ばんどう/笠倉出版社</v>
      </c>
      <c r="V1071" s="8" t="str">
        <f>IFERROR(__xludf.DUMMYFUNCTION("""COMPUTED_VALUE"""),"「好きです。柊木先輩のことが」「ほんっと、恥ずかしい奴だな…」一目惚れした先輩を一途に追いかける大型わんこの恋は実るのか――！？同じ大学の柊木氷央は先輩で潔癖症で少し口が悪い。そんな柊木に一目惚れしていた伊吹は、ひょんなことから共通の趣味のお陰でお近づきになる。何気ない事でも話せるのが嬉しくてどんどん好きが加速していく。そんなある日、気持ちが抑えきれずキスしてしまい…！？※本作品はWEB雑誌「equal」に収録されています。重複購入にご注意ください。")</f>
        <v>「好きです。柊木先輩のことが」「ほんっと、恥ずかしい奴だな…」一目惚れした先輩を一途に追いかける大型わんこの恋は実るのか――！？同じ大学の柊木氷央は先輩で潔癖症で少し口が悪い。そんな柊木に一目惚れしていた伊吹は、ひょんなことから共通の趣味のお陰でお近づきになる。何気ない事でも話せるのが嬉しくてどんどん好きが加速していく。そんなある日、気持ちが抑えきれずキスしてしまい…！？※本作品はWEB雑誌「equal」に収録されています。重複購入にご注意ください。</v>
      </c>
      <c r="W1071" s="14"/>
      <c r="X1071" s="14" t="str">
        <f>IFERROR(__xludf.DUMMYFUNCTION("""COMPUTED_VALUE"""),"有")</f>
        <v>有</v>
      </c>
      <c r="Y1071" s="8" t="str">
        <f>IFERROR(__xludf.DUMMYFUNCTION("""COMPUTED_VALUE"""),"P6まで")</f>
        <v>P6まで</v>
      </c>
      <c r="Z1071" s="7"/>
      <c r="AA1071" s="7"/>
      <c r="AB1071" s="7"/>
    </row>
    <row r="1072" ht="15.75" customHeight="1">
      <c r="A1072" s="26">
        <f>IFERROR(__xludf.DUMMYFUNCTION("""COMPUTED_VALUE"""),2809.0)</f>
        <v>2809</v>
      </c>
      <c r="B1072" s="22" t="str">
        <f>IFERROR(__xludf.DUMMYFUNCTION("""COMPUTED_VALUE"""),"確定")</f>
        <v>確定</v>
      </c>
      <c r="C1072" s="28">
        <f>IFERROR(__xludf.DUMMYFUNCTION("""COMPUTED_VALUE"""),45300.0)</f>
        <v>45300</v>
      </c>
      <c r="D1072" s="28">
        <f>IFERROR(__xludf.DUMMYFUNCTION("""COMPUTED_VALUE"""),45314.0)</f>
        <v>45314</v>
      </c>
      <c r="E1072" s="26">
        <f>IFERROR(__xludf.DUMMYFUNCTION("""COMPUTED_VALUE"""),276807.0)</f>
        <v>276807</v>
      </c>
      <c r="F1072" s="22" t="str">
        <f>IFERROR(__xludf.DUMMYFUNCTION("""COMPUTED_VALUE"""),"甘い命令で支配して")</f>
        <v>甘い命令で支配して</v>
      </c>
      <c r="G1072" s="20" t="str">
        <f>IFERROR(__xludf.DUMMYFUNCTION("""COMPUTED_VALUE"""),"1～3")</f>
        <v>1～3</v>
      </c>
      <c r="H1072" s="22" t="str">
        <f>IFERROR(__xludf.DUMMYFUNCTION("""COMPUTED_VALUE"""),"佐崎いま＋高瀬ろく")</f>
        <v>佐崎いま＋高瀬ろく</v>
      </c>
      <c r="I1072" s="22" t="str">
        <f>IFERROR(__xludf.DUMMYFUNCTION("""COMPUTED_VALUE"""),"BL")</f>
        <v>BL</v>
      </c>
      <c r="J1072" s="22"/>
      <c r="K1072" s="22"/>
      <c r="L1072" s="22" t="str">
        <f>IFERROR(__xludf.DUMMYFUNCTION("""COMPUTED_VALUE"""),"ソルマーレ編集部")</f>
        <v>ソルマーレ編集部</v>
      </c>
      <c r="M1072" s="23">
        <f>IFERROR(__xludf.DUMMYFUNCTION("""COMPUTED_VALUE"""),45332.0)</f>
        <v>45332</v>
      </c>
      <c r="N1072" s="23">
        <f>IFERROR(__xludf.DUMMYFUNCTION("""COMPUTED_VALUE"""),45393.0)</f>
        <v>45393</v>
      </c>
      <c r="O1072" s="20"/>
      <c r="P1072" s="32" t="str">
        <f>IFERROR(__xludf.DUMMYFUNCTION("""COMPUTED_VALUE"""),"可")</f>
        <v>可</v>
      </c>
      <c r="Q1072" s="30"/>
      <c r="R1072" s="22"/>
      <c r="S1072" s="22" t="str">
        <f>IFERROR(__xludf.DUMMYFUNCTION("""COMPUTED_VALUE"""),"20240122_ソルマーレ編集部_甘い命令で支配して")</f>
        <v>20240122_ソルマーレ編集部_甘い命令で支配して</v>
      </c>
      <c r="T1072" s="22" t="str">
        <f>IFERROR(__xludf.DUMMYFUNCTION("""COMPUTED_VALUE"""),"格納済み")</f>
        <v>格納済み</v>
      </c>
      <c r="U1072" s="15" t="str">
        <f>IFERROR(__xludf.DUMMYFUNCTION("""COMPUTED_VALUE"""),"Ⓒ 佐崎いま＋高瀬ろく/シーモアコミックス")</f>
        <v>Ⓒ 佐崎いま＋高瀬ろく/シーモアコミックス</v>
      </c>
      <c r="V1072" s="8" t="str">
        <f>IFERROR(__xludf.DUMMYFUNCTION("""COMPUTED_VALUE"""),"『ただひたすら、甘い命令に従わされる――もしかして これがお前の仕返しなのか…？』金欠状態の落ち目の漫画家・千里は、『Sub』であることを隠しながら生きている。ある日の打ち合わせ中、今もっとも会いたくないヤツ――売れっ子漫画家の蒼馬に遭遇！ 蒼馬は千里の元アシスタントで、当時 作品のヒットで天狗になっていた千里はSubのように従順な蒼馬をことあるごとに虐めていたのだった。内心ヒヤヒヤの千里に、蒼馬は「俺のところでアシスタントしませんか？」と、とんでもない提案をしてきて…!? 年下執着攻×ツンデレ底辺漫画家"&amp;"の、溺愛Dom/Subユニバース。【フィカス】")</f>
        <v>『ただひたすら、甘い命令に従わされる――もしかして これがお前の仕返しなのか…？』金欠状態の落ち目の漫画家・千里は、『Sub』であることを隠しながら生きている。ある日の打ち合わせ中、今もっとも会いたくないヤツ――売れっ子漫画家の蒼馬に遭遇！ 蒼馬は千里の元アシスタントで、当時 作品のヒットで天狗になっていた千里はSubのように従順な蒼馬をことあるごとに虐めていたのだった。内心ヒヤヒヤの千里に、蒼馬は「俺のところでアシスタントしませんか？」と、とんでもない提案をしてきて…!? 年下執着攻×ツンデレ底辺漫画家の、溺愛Dom/Subユニバース。【フィカス】</v>
      </c>
      <c r="W1072" s="14"/>
      <c r="X1072" s="14" t="str">
        <f>IFERROR(__xludf.DUMMYFUNCTION("""COMPUTED_VALUE"""),"有")</f>
        <v>有</v>
      </c>
      <c r="Y1072" s="8" t="str">
        <f>IFERROR(__xludf.DUMMYFUNCTION("""COMPUTED_VALUE"""),"2024/3/8まで1巻無料")</f>
        <v>2024/3/8まで1巻無料</v>
      </c>
      <c r="Z1072" s="7"/>
      <c r="AA1072" s="7"/>
      <c r="AB1072" s="7"/>
    </row>
    <row r="1073" ht="15.75" customHeight="1">
      <c r="A1073" s="26">
        <f>IFERROR(__xludf.DUMMYFUNCTION("""COMPUTED_VALUE"""),2810.0)</f>
        <v>2810</v>
      </c>
      <c r="B1073" s="22" t="str">
        <f>IFERROR(__xludf.DUMMYFUNCTION("""COMPUTED_VALUE"""),"確定")</f>
        <v>確定</v>
      </c>
      <c r="C1073" s="28">
        <f>IFERROR(__xludf.DUMMYFUNCTION("""COMPUTED_VALUE"""),45300.0)</f>
        <v>45300</v>
      </c>
      <c r="D1073" s="28">
        <f>IFERROR(__xludf.DUMMYFUNCTION("""COMPUTED_VALUE"""),45310.0)</f>
        <v>45310</v>
      </c>
      <c r="E1073" s="26">
        <f>IFERROR(__xludf.DUMMYFUNCTION("""COMPUTED_VALUE"""),276808.0)</f>
        <v>276808</v>
      </c>
      <c r="F1073" s="22" t="str">
        <f>IFERROR(__xludf.DUMMYFUNCTION("""COMPUTED_VALUE"""),"束縛上司の溺愛からは逃げられない")</f>
        <v>束縛上司の溺愛からは逃げられない</v>
      </c>
      <c r="G1073" s="20" t="str">
        <f>IFERROR(__xludf.DUMMYFUNCTION("""COMPUTED_VALUE"""),"1～3")</f>
        <v>1～3</v>
      </c>
      <c r="H1073" s="22" t="str">
        <f>IFERROR(__xludf.DUMMYFUNCTION("""COMPUTED_VALUE"""),"桑井とみ")</f>
        <v>桑井とみ</v>
      </c>
      <c r="I1073" s="14" t="str">
        <f>IFERROR(__xludf.DUMMYFUNCTION("""COMPUTED_VALUE"""),"TL")</f>
        <v>TL</v>
      </c>
      <c r="J1073" s="22"/>
      <c r="K1073" s="22"/>
      <c r="L1073" s="22" t="str">
        <f>IFERROR(__xludf.DUMMYFUNCTION("""COMPUTED_VALUE"""),"ソルマーレ編集部")</f>
        <v>ソルマーレ編集部</v>
      </c>
      <c r="M1073" s="23">
        <f>IFERROR(__xludf.DUMMYFUNCTION("""COMPUTED_VALUE"""),45332.0)</f>
        <v>45332</v>
      </c>
      <c r="N1073" s="23">
        <f>IFERROR(__xludf.DUMMYFUNCTION("""COMPUTED_VALUE"""),45393.0)</f>
        <v>45393</v>
      </c>
      <c r="O1073" s="20"/>
      <c r="P1073" s="32" t="str">
        <f>IFERROR(__xludf.DUMMYFUNCTION("""COMPUTED_VALUE"""),"可")</f>
        <v>可</v>
      </c>
      <c r="Q1073" s="30"/>
      <c r="R1073" s="22"/>
      <c r="S1073" s="22" t="str">
        <f>IFERROR(__xludf.DUMMYFUNCTION("""COMPUTED_VALUE"""),"20240118_ソルマーレ編集部_束縛上司の溺愛からは逃げられない")</f>
        <v>20240118_ソルマーレ編集部_束縛上司の溺愛からは逃げられない</v>
      </c>
      <c r="T1073" s="22" t="str">
        <f>IFERROR(__xludf.DUMMYFUNCTION("""COMPUTED_VALUE"""),"格納済み")</f>
        <v>格納済み</v>
      </c>
      <c r="U1073" s="15" t="str">
        <f>IFERROR(__xludf.DUMMYFUNCTION("""COMPUTED_VALUE"""),"Ⓒ 桑井とみ/シーモアコミックス")</f>
        <v>Ⓒ 桑井とみ/シーモアコミックス</v>
      </c>
      <c r="V1073" s="8" t="str">
        <f>IFERROR(__xludf.DUMMYFUNCTION("""COMPUTED_VALUE"""),"…キスだけでそんな顔になるのか？かわいいな
婚約直前のカレに「かーちゃんみたいで萎える」とフラれたOL・茉実（まみ）は、絶望しながらも何とか出社しエレベーターに乗り込む。しかし、地震でエレベーターが緊急停止！乗り合わせた社長・藤堂（とうどう）と二人きりに…
世界から切り離されたような密室で息苦しそうに汗をかく藤堂に、余計なお世話かもと思いつつ手を差し伸べる茉実。すると突然、藤堂がキスしてきて――　束縛系上司×母性強めOLのトロトロに甘い溺愛ラブストーリー【桃色日記】")</f>
        <v>…キスだけでそんな顔になるのか？かわいいな
婚約直前のカレに「かーちゃんみたいで萎える」とフラれたOL・茉実（まみ）は、絶望しながらも何とか出社しエレベーターに乗り込む。しかし、地震でエレベーターが緊急停止！乗り合わせた社長・藤堂（とうどう）と二人きりに…
世界から切り離されたような密室で息苦しそうに汗をかく藤堂に、余計なお世話かもと思いつつ手を差し伸べる茉実。すると突然、藤堂がキスしてきて――　束縛系上司×母性強めOLのトロトロに甘い溺愛ラブストーリー【桃色日記】</v>
      </c>
      <c r="W1073" s="14"/>
      <c r="X1073" s="14" t="str">
        <f>IFERROR(__xludf.DUMMYFUNCTION("""COMPUTED_VALUE"""),"有")</f>
        <v>有</v>
      </c>
      <c r="Y1073" s="8" t="str">
        <f>IFERROR(__xludf.DUMMYFUNCTION("""COMPUTED_VALUE"""),"P11まで")</f>
        <v>P11まで</v>
      </c>
      <c r="Z1073" s="7"/>
      <c r="AA1073" s="7"/>
      <c r="AB1073" s="7"/>
    </row>
    <row r="1074" ht="15.75" customHeight="1">
      <c r="A1074" s="26">
        <f>IFERROR(__xludf.DUMMYFUNCTION("""COMPUTED_VALUE"""),2811.0)</f>
        <v>2811</v>
      </c>
      <c r="B1074" s="22" t="str">
        <f>IFERROR(__xludf.DUMMYFUNCTION("""COMPUTED_VALUE"""),"確定")</f>
        <v>確定</v>
      </c>
      <c r="C1074" s="28">
        <f>IFERROR(__xludf.DUMMYFUNCTION("""COMPUTED_VALUE"""),45300.0)</f>
        <v>45300</v>
      </c>
      <c r="D1074" s="28">
        <f>IFERROR(__xludf.DUMMYFUNCTION("""COMPUTED_VALUE"""),45310.0)</f>
        <v>45310</v>
      </c>
      <c r="E1074" s="26">
        <f>IFERROR(__xludf.DUMMYFUNCTION("""COMPUTED_VALUE"""),277494.0)</f>
        <v>277494</v>
      </c>
      <c r="F1074" s="22" t="str">
        <f>IFERROR(__xludf.DUMMYFUNCTION("""COMPUTED_VALUE"""),"ゴマ塩とぷりん")</f>
        <v>ゴマ塩とぷりん</v>
      </c>
      <c r="G1074" s="16" t="str">
        <f>IFERROR(__xludf.DUMMYFUNCTION("""COMPUTED_VALUE"""),"1～12")</f>
        <v>1～12</v>
      </c>
      <c r="H1074" s="22" t="str">
        <f>IFERROR(__xludf.DUMMYFUNCTION("""COMPUTED_VALUE"""),"鈴木有布子")</f>
        <v>鈴木有布子</v>
      </c>
      <c r="I1074" s="14" t="str">
        <f>IFERROR(__xludf.DUMMYFUNCTION("""COMPUTED_VALUE"""),"女性")</f>
        <v>女性</v>
      </c>
      <c r="J1074" s="22"/>
      <c r="K1074" s="22"/>
      <c r="L1074" s="22" t="str">
        <f>IFERROR(__xludf.DUMMYFUNCTION("""COMPUTED_VALUE"""),"ソルマーレ編集部")</f>
        <v>ソルマーレ編集部</v>
      </c>
      <c r="M1074" s="23">
        <f>IFERROR(__xludf.DUMMYFUNCTION("""COMPUTED_VALUE"""),45332.0)</f>
        <v>45332</v>
      </c>
      <c r="N1074" s="23">
        <f>IFERROR(__xludf.DUMMYFUNCTION("""COMPUTED_VALUE"""),45393.0)</f>
        <v>45393</v>
      </c>
      <c r="O1074" s="20"/>
      <c r="P1074" s="32" t="str">
        <f>IFERROR(__xludf.DUMMYFUNCTION("""COMPUTED_VALUE"""),"可")</f>
        <v>可</v>
      </c>
      <c r="Q1074" s="30"/>
      <c r="R1074" s="22"/>
      <c r="S1074" s="22" t="str">
        <f>IFERROR(__xludf.DUMMYFUNCTION("""COMPUTED_VALUE"""),"20240118_ソルマーレ編集部_ゴマ塩とぷりん")</f>
        <v>20240118_ソルマーレ編集部_ゴマ塩とぷりん</v>
      </c>
      <c r="T1074" s="22" t="str">
        <f>IFERROR(__xludf.DUMMYFUNCTION("""COMPUTED_VALUE"""),"格納済み")</f>
        <v>格納済み</v>
      </c>
      <c r="U1074" s="15" t="str">
        <f>IFERROR(__xludf.DUMMYFUNCTION("""COMPUTED_VALUE"""),"Ⓒ 鈴木有布子/シーモアコミックス")</f>
        <v>Ⓒ 鈴木有布子/シーモアコミックス</v>
      </c>
      <c r="V1074" s="8" t="str">
        <f>IFERROR(__xludf.DUMMYFUNCTION("""COMPUTED_VALUE"""),"出逢ったその日に電撃入籍＆同居開始!?!? 男だらけの工事現場で重機オペレーターをしているガテン系女子・晴日（はるひ）は、ある夜、居酒屋で出会った白髪頭の中年男性と酔った勢いで婚姻届けを提出☆そのまま部屋に連れ込んでしまっていて――!?
アラフォーオジさん×ガテン系女子の胸キュンラブコメディ♪【本作品は他社より配信されていた「ゴマ塩とぷりん」を一部加筆修正したものです。重複購入にご注意ください】【恋するソワレ】")</f>
        <v>出逢ったその日に電撃入籍＆同居開始!?!? 男だらけの工事現場で重機オペレーターをしているガテン系女子・晴日（はるひ）は、ある夜、居酒屋で出会った白髪頭の中年男性と酔った勢いで婚姻届けを提出☆そのまま部屋に連れ込んでしまっていて――!?
アラフォーオジさん×ガテン系女子の胸キュンラブコメディ♪【本作品は他社より配信されていた「ゴマ塩とぷりん」を一部加筆修正したものです。重複購入にご注意ください】【恋するソワレ】</v>
      </c>
      <c r="W1074" s="14"/>
      <c r="X1074" s="14" t="str">
        <f>IFERROR(__xludf.DUMMYFUNCTION("""COMPUTED_VALUE"""),"有")</f>
        <v>有</v>
      </c>
      <c r="Y1074" s="8" t="str">
        <f>IFERROR(__xludf.DUMMYFUNCTION("""COMPUTED_VALUE"""),"2024/3/8まで1巻無料")</f>
        <v>2024/3/8まで1巻無料</v>
      </c>
      <c r="Z1074" s="7"/>
      <c r="AA1074" s="7"/>
      <c r="AB1074" s="7"/>
    </row>
    <row r="1075" ht="15.75" customHeight="1">
      <c r="A1075" s="26">
        <f>IFERROR(__xludf.DUMMYFUNCTION("""COMPUTED_VALUE"""),2812.0)</f>
        <v>2812</v>
      </c>
      <c r="B1075" s="22" t="str">
        <f>IFERROR(__xludf.DUMMYFUNCTION("""COMPUTED_VALUE"""),"確定")</f>
        <v>確定</v>
      </c>
      <c r="C1075" s="28">
        <f>IFERROR(__xludf.DUMMYFUNCTION("""COMPUTED_VALUE"""),45300.0)</f>
        <v>45300</v>
      </c>
      <c r="D1075" s="28">
        <f>IFERROR(__xludf.DUMMYFUNCTION("""COMPUTED_VALUE"""),45310.0)</f>
        <v>45310</v>
      </c>
      <c r="E1075" s="26">
        <f>IFERROR(__xludf.DUMMYFUNCTION("""COMPUTED_VALUE"""),277978.0)</f>
        <v>277978</v>
      </c>
      <c r="F1075" s="22" t="str">
        <f>IFERROR(__xludf.DUMMYFUNCTION("""COMPUTED_VALUE"""),"侍女の私が皇子の閨のレッスンをすることになりました")</f>
        <v>侍女の私が皇子の閨のレッスンをすることになりました</v>
      </c>
      <c r="G1075" s="20">
        <f>IFERROR(__xludf.DUMMYFUNCTION("""COMPUTED_VALUE"""),1.0)</f>
        <v>1</v>
      </c>
      <c r="H1075" s="22" t="str">
        <f>IFERROR(__xludf.DUMMYFUNCTION("""COMPUTED_VALUE"""),"野崎てんか")</f>
        <v>野崎てんか</v>
      </c>
      <c r="I1075" s="14" t="str">
        <f>IFERROR(__xludf.DUMMYFUNCTION("""COMPUTED_VALUE"""),"TL")</f>
        <v>TL</v>
      </c>
      <c r="J1075" s="22"/>
      <c r="K1075" s="22"/>
      <c r="L1075" s="22" t="str">
        <f>IFERROR(__xludf.DUMMYFUNCTION("""COMPUTED_VALUE"""),"ソルマーレ編集部")</f>
        <v>ソルマーレ編集部</v>
      </c>
      <c r="M1075" s="23">
        <f>IFERROR(__xludf.DUMMYFUNCTION("""COMPUTED_VALUE"""),45332.0)</f>
        <v>45332</v>
      </c>
      <c r="N1075" s="23">
        <f>IFERROR(__xludf.DUMMYFUNCTION("""COMPUTED_VALUE"""),45393.0)</f>
        <v>45393</v>
      </c>
      <c r="O1075" s="20"/>
      <c r="P1075" s="29" t="str">
        <f>IFERROR(__xludf.DUMMYFUNCTION("""COMPUTED_VALUE"""),"可")</f>
        <v>可</v>
      </c>
      <c r="Q1075" s="30" t="str">
        <f>IFERROR(__xludf.DUMMYFUNCTION("""COMPUTED_VALUE"""),"※読み切り作品のため1巻のみですが出稿お願いします")</f>
        <v>※読み切り作品のため1巻のみですが出稿お願いします</v>
      </c>
      <c r="R1075" s="22"/>
      <c r="S1075" s="22" t="str">
        <f>IFERROR(__xludf.DUMMYFUNCTION("""COMPUTED_VALUE"""),"20240118_ソルマーレ編集部_侍女の私が皇子の閨のレッスンをすることになりました")</f>
        <v>20240118_ソルマーレ編集部_侍女の私が皇子の閨のレッスンをすることになりました</v>
      </c>
      <c r="T1075" s="22" t="str">
        <f>IFERROR(__xludf.DUMMYFUNCTION("""COMPUTED_VALUE"""),"格納済み")</f>
        <v>格納済み</v>
      </c>
      <c r="U1075" s="15" t="str">
        <f>IFERROR(__xludf.DUMMYFUNCTION("""COMPUTED_VALUE"""),"Ⓒ 野崎てんか/シーモアコミックス")</f>
        <v>Ⓒ 野崎てんか/シーモアコミックス</v>
      </c>
      <c r="V1075" s="8" t="str">
        <f>IFERROR(__xludf.DUMMYFUNCTION("""COMPUTED_VALUE"""),"日本で教師をしていたわたしは、突然の死をきっかけに異世界に転生！　第二の人生は皇子付きの侍女として、仲よしの同僚と楽しく働く毎日です。そんなある日舞いこんできたのは、皇子からの「閨（ねや）のレッスン」の依頼。閨ってつまり…夜の営みってことですよね…!?　そんなのムリなんだけど、年下の皇子様のお願い顔がかわいくって断れなくて──!?【コミックシーモア毎月マンガ賞銅賞受賞作品】【桃色日記】")</f>
        <v>日本で教師をしていたわたしは、突然の死をきっかけに異世界に転生！　第二の人生は皇子付きの侍女として、仲よしの同僚と楽しく働く毎日です。そんなある日舞いこんできたのは、皇子からの「閨（ねや）のレッスン」の依頼。閨ってつまり…夜の営みってことですよね…!?　そんなのムリなんだけど、年下の皇子様のお願い顔がかわいくって断れなくて──!?【コミックシーモア毎月マンガ賞銅賞受賞作品】【桃色日記】</v>
      </c>
      <c r="W1075" s="14"/>
      <c r="X1075" s="14" t="str">
        <f>IFERROR(__xludf.DUMMYFUNCTION("""COMPUTED_VALUE"""),"有")</f>
        <v>有</v>
      </c>
      <c r="Y1075" s="8" t="str">
        <f>IFERROR(__xludf.DUMMYFUNCTION("""COMPUTED_VALUE"""),"P8まで")</f>
        <v>P8まで</v>
      </c>
      <c r="Z1075" s="7"/>
      <c r="AA1075" s="7"/>
      <c r="AB1075" s="7"/>
    </row>
    <row r="1076" ht="15.75" customHeight="1">
      <c r="A1076" s="26">
        <f>IFERROR(__xludf.DUMMYFUNCTION("""COMPUTED_VALUE"""),2813.0)</f>
        <v>2813</v>
      </c>
      <c r="B1076" s="22" t="str">
        <f>IFERROR(__xludf.DUMMYFUNCTION("""COMPUTED_VALUE"""),"確定")</f>
        <v>確定</v>
      </c>
      <c r="C1076" s="28">
        <f>IFERROR(__xludf.DUMMYFUNCTION("""COMPUTED_VALUE"""),45300.0)</f>
        <v>45300</v>
      </c>
      <c r="D1076" s="28">
        <f>IFERROR(__xludf.DUMMYFUNCTION("""COMPUTED_VALUE"""),45310.0)</f>
        <v>45310</v>
      </c>
      <c r="E1076" s="26">
        <f>IFERROR(__xludf.DUMMYFUNCTION("""COMPUTED_VALUE"""),279222.0)</f>
        <v>279222</v>
      </c>
      <c r="F1076" s="22" t="str">
        <f>IFERROR(__xludf.DUMMYFUNCTION("""COMPUTED_VALUE"""),"恋は異なもの美味なもの")</f>
        <v>恋は異なもの美味なもの</v>
      </c>
      <c r="G1076" s="20" t="str">
        <f>IFERROR(__xludf.DUMMYFUNCTION("""COMPUTED_VALUE"""),"1～3")</f>
        <v>1～3</v>
      </c>
      <c r="H1076" s="22" t="str">
        <f>IFERROR(__xludf.DUMMYFUNCTION("""COMPUTED_VALUE"""),"鈴木有布子")</f>
        <v>鈴木有布子</v>
      </c>
      <c r="I1076" s="14" t="str">
        <f>IFERROR(__xludf.DUMMYFUNCTION("""COMPUTED_VALUE"""),"女性")</f>
        <v>女性</v>
      </c>
      <c r="J1076" s="22"/>
      <c r="K1076" s="22"/>
      <c r="L1076" s="22" t="str">
        <f>IFERROR(__xludf.DUMMYFUNCTION("""COMPUTED_VALUE"""),"ソルマーレ編集部")</f>
        <v>ソルマーレ編集部</v>
      </c>
      <c r="M1076" s="23">
        <f>IFERROR(__xludf.DUMMYFUNCTION("""COMPUTED_VALUE"""),45332.0)</f>
        <v>45332</v>
      </c>
      <c r="N1076" s="23">
        <f>IFERROR(__xludf.DUMMYFUNCTION("""COMPUTED_VALUE"""),45393.0)</f>
        <v>45393</v>
      </c>
      <c r="O1076" s="20"/>
      <c r="P1076" s="32" t="str">
        <f>IFERROR(__xludf.DUMMYFUNCTION("""COMPUTED_VALUE"""),"可")</f>
        <v>可</v>
      </c>
      <c r="Q1076" s="30"/>
      <c r="R1076" s="22"/>
      <c r="S1076" s="22" t="str">
        <f>IFERROR(__xludf.DUMMYFUNCTION("""COMPUTED_VALUE"""),"20240118_ソルマーレ編集部_恋は異なもの美味なもの")</f>
        <v>20240118_ソルマーレ編集部_恋は異なもの美味なもの</v>
      </c>
      <c r="T1076" s="22" t="str">
        <f>IFERROR(__xludf.DUMMYFUNCTION("""COMPUTED_VALUE"""),"格納済み")</f>
        <v>格納済み</v>
      </c>
      <c r="U1076" s="15" t="str">
        <f>IFERROR(__xludf.DUMMYFUNCTION("""COMPUTED_VALUE"""),"Ⓒ 鈴木有布子/シーモアコミックス")</f>
        <v>Ⓒ 鈴木有布子/シーモアコミックス</v>
      </c>
      <c r="V1076" s="8" t="str">
        <f>IFERROR(__xludf.DUMMYFUNCTION("""COMPUTED_VALUE"""),"大学とTV局のバイトに明け暮れる、イケメン大学生・平良(たいら)は、恋愛も食事も興味ナシ。ある日、酔っぱらって玄関前で寝落ちていたところを料理好きな隣人・言(こと)に介抱され、美味しいご飯を振るまわれた平良。「お味はいかがだったでしょうか!?」期待の目で感想を求められても、そもそも食事に興味がなさすぎて…。
恋も胃袋もつかめない、難攻不落なラブ・ストーリー！【本作品は他社より配信されていた「恋は異なもの美味なもの」を一部加筆修正したものです。重複購入にご注意ください】【恋するソワレ】")</f>
        <v>大学とTV局のバイトに明け暮れる、イケメン大学生・平良(たいら)は、恋愛も食事も興味ナシ。ある日、酔っぱらって玄関前で寝落ちていたところを料理好きな隣人・言(こと)に介抱され、美味しいご飯を振るまわれた平良。「お味はいかがだったでしょうか!?」期待の目で感想を求められても、そもそも食事に興味がなさすぎて…。
恋も胃袋もつかめない、難攻不落なラブ・ストーリー！【本作品は他社より配信されていた「恋は異なもの美味なもの」を一部加筆修正したものです。重複購入にご注意ください】【恋するソワレ】</v>
      </c>
      <c r="W1076" s="14"/>
      <c r="X1076" s="14" t="str">
        <f>IFERROR(__xludf.DUMMYFUNCTION("""COMPUTED_VALUE"""),"有")</f>
        <v>有</v>
      </c>
      <c r="Y1076" s="8" t="str">
        <f>IFERROR(__xludf.DUMMYFUNCTION("""COMPUTED_VALUE"""),"2024/3/8まで1巻無料")</f>
        <v>2024/3/8まで1巻無料</v>
      </c>
      <c r="Z1076" s="7"/>
      <c r="AA1076" s="7"/>
      <c r="AB1076" s="7"/>
    </row>
    <row r="1077" ht="15.75" customHeight="1">
      <c r="A1077" s="26">
        <f>IFERROR(__xludf.DUMMYFUNCTION("""COMPUTED_VALUE"""),2827.0)</f>
        <v>2827</v>
      </c>
      <c r="B1077" s="22" t="str">
        <f>IFERROR(__xludf.DUMMYFUNCTION("""COMPUTED_VALUE"""),"確定")</f>
        <v>確定</v>
      </c>
      <c r="C1077" s="28">
        <f>IFERROR(__xludf.DUMMYFUNCTION("""COMPUTED_VALUE"""),45303.0)</f>
        <v>45303</v>
      </c>
      <c r="D1077" s="28">
        <f>IFERROR(__xludf.DUMMYFUNCTION("""COMPUTED_VALUE"""),45314.0)</f>
        <v>45314</v>
      </c>
      <c r="E1077" s="31">
        <f>IFERROR(__xludf.DUMMYFUNCTION("""COMPUTED_VALUE"""),286055.0)</f>
        <v>286055</v>
      </c>
      <c r="F1077" s="22" t="str">
        <f>IFERROR(__xludf.DUMMYFUNCTION("""COMPUTED_VALUE"""),"絶頂リフレ 駅前の性感マッサージ店で◯◯になっちゃう女の子の話（分冊版）")</f>
        <v>絶頂リフレ 駅前の性感マッサージ店で◯◯になっちゃう女の子の話（分冊版）</v>
      </c>
      <c r="G1077" s="11" t="str">
        <f>IFERROR(__xludf.DUMMYFUNCTION("""COMPUTED_VALUE"""),"1～2")</f>
        <v>1～2</v>
      </c>
      <c r="H1077" s="22" t="str">
        <f>IFERROR(__xludf.DUMMYFUNCTION("""COMPUTED_VALUE"""),"ぽちたろ")</f>
        <v>ぽちたろ</v>
      </c>
      <c r="I1077" s="22" t="str">
        <f>IFERROR(__xludf.DUMMYFUNCTION("""COMPUTED_VALUE"""),"オトナ")</f>
        <v>オトナ</v>
      </c>
      <c r="J1077" s="22"/>
      <c r="K1077" s="22"/>
      <c r="L1077" s="22" t="str">
        <f>IFERROR(__xludf.DUMMYFUNCTION("""COMPUTED_VALUE"""),"ライトリーズン")</f>
        <v>ライトリーズン</v>
      </c>
      <c r="M1077" s="23">
        <f>IFERROR(__xludf.DUMMYFUNCTION("""COMPUTED_VALUE"""),45323.0)</f>
        <v>45323</v>
      </c>
      <c r="N1077" s="33">
        <f>IFERROR(__xludf.DUMMYFUNCTION("""COMPUTED_VALUE"""),45596.66666666667)</f>
        <v>45596.66667</v>
      </c>
      <c r="O1077" s="20"/>
      <c r="P1077" s="29" t="str">
        <f>IFERROR(__xludf.DUMMYFUNCTION("""COMPUTED_VALUE"""),"可")</f>
        <v>可</v>
      </c>
      <c r="Q1077" s="30" t="str">
        <f>IFERROR(__xludf.DUMMYFUNCTION("""COMPUTED_VALUE"""),"広告コミットOK(1/16)")</f>
        <v>広告コミットOK(1/16)</v>
      </c>
      <c r="R1077" s="22"/>
      <c r="S1077" s="22" t="str">
        <f>IFERROR(__xludf.DUMMYFUNCTION("""COMPUTED_VALUE"""),"20240123_ライトリーズン_絶頂リフレ 駅前の性感マッサージ店で◯◯になっちゃう女の子の話（分冊版）")</f>
        <v>20240123_ライトリーズン_絶頂リフレ 駅前の性感マッサージ店で◯◯になっちゃう女の子の話（分冊版）</v>
      </c>
      <c r="T1077" s="22" t="str">
        <f>IFERROR(__xludf.DUMMYFUNCTION("""COMPUTED_VALUE"""),"格納済み")</f>
        <v>格納済み</v>
      </c>
      <c r="U1077" s="15" t="str">
        <f>IFERROR(__xludf.DUMMYFUNCTION("""COMPUTED_VALUE"""),"©ぽちたろ/ライトリーズン")</f>
        <v>©ぽちたろ/ライトリーズン</v>
      </c>
      <c r="V1077" s="8" t="str">
        <f>IFERROR(__xludf.DUMMYFUNCTION("""COMPUTED_VALUE"""),"■紹介文
本作品は同人誌です。
※本番・中出し有り。
押しに弱くなんでも言う事を聞いてしまう性格の主人公「音無 花（おとなし はな）」（26歳/OL）
酔った勢いで予約した「性感マッサージ」に行って●●になってしまう。そんなお話。
「施術するの…女の人なんだ…」と少し安心していたのも束の間。
アシスタントには屈強な男性もおりマッサージという名の性行為に今まで体験した事のない絶頂を何度も体感する。
※ 当サークルの絶対
・登場する女の子が本当に嫌な事は絶対に描きません。")</f>
        <v>■紹介文
本作品は同人誌です。
※本番・中出し有り。
押しに弱くなんでも言う事を聞いてしまう性格の主人公「音無 花（おとなし はな）」（26歳/OL）
酔った勢いで予約した「性感マッサージ」に行って●●になってしまう。そんなお話。
「施術するの…女の人なんだ…」と少し安心していたのも束の間。
アシスタントには屈強な男性もおりマッサージという名の性行為に今まで体験した事のない絶頂を何度も体感する。
※ 当サークルの絶対
・登場する女の子が本当に嫌な事は絶対に描きません。</v>
      </c>
      <c r="W1077" s="14"/>
      <c r="X1077" s="14" t="str">
        <f>IFERROR(__xludf.DUMMYFUNCTION("""COMPUTED_VALUE"""),"有")</f>
        <v>有</v>
      </c>
      <c r="Y1077" s="8" t="str">
        <f>IFERROR(__xludf.DUMMYFUNCTION("""COMPUTED_VALUE"""),"P5まで")</f>
        <v>P5まで</v>
      </c>
      <c r="Z1077" s="7"/>
      <c r="AA1077" s="7"/>
      <c r="AB1077" s="7"/>
    </row>
    <row r="1078" ht="15.75" customHeight="1">
      <c r="A1078" s="26">
        <f>IFERROR(__xludf.DUMMYFUNCTION("""COMPUTED_VALUE"""),2843.0)</f>
        <v>2843</v>
      </c>
      <c r="B1078" s="22" t="str">
        <f>IFERROR(__xludf.DUMMYFUNCTION("""COMPUTED_VALUE"""),"確定")</f>
        <v>確定</v>
      </c>
      <c r="C1078" s="28">
        <f>IFERROR(__xludf.DUMMYFUNCTION("""COMPUTED_VALUE"""),45307.0)</f>
        <v>45307</v>
      </c>
      <c r="D1078" s="28">
        <f>IFERROR(__xludf.DUMMYFUNCTION("""COMPUTED_VALUE"""),45314.0)</f>
        <v>45314</v>
      </c>
      <c r="E1078" s="31">
        <f>IFERROR(__xludf.DUMMYFUNCTION("""COMPUTED_VALUE"""),287224.0)</f>
        <v>287224</v>
      </c>
      <c r="F1078" s="22" t="str">
        <f>IFERROR(__xludf.DUMMYFUNCTION("""COMPUTED_VALUE"""),"こら！あんた母親を口説いて何しようっていうの！-カツオ独り暮らし編-")</f>
        <v>こら！あんた母親を口説いて何しようっていうの！-カツオ独り暮らし編-</v>
      </c>
      <c r="G1078" s="11" t="str">
        <f>IFERROR(__xludf.DUMMYFUNCTION("""COMPUTED_VALUE"""),"1～2")</f>
        <v>1～2</v>
      </c>
      <c r="H1078" s="22" t="str">
        <f>IFERROR(__xludf.DUMMYFUNCTION("""COMPUTED_VALUE"""),"ほよよ")</f>
        <v>ほよよ</v>
      </c>
      <c r="I1078" s="22" t="str">
        <f>IFERROR(__xludf.DUMMYFUNCTION("""COMPUTED_VALUE"""),"オトナ")</f>
        <v>オトナ</v>
      </c>
      <c r="J1078" s="22"/>
      <c r="K1078" s="22"/>
      <c r="L1078" s="22" t="str">
        <f>IFERROR(__xludf.DUMMYFUNCTION("""COMPUTED_VALUE"""),"ナイトコミック")</f>
        <v>ナイトコミック</v>
      </c>
      <c r="M1078" s="23">
        <f>IFERROR(__xludf.DUMMYFUNCTION("""COMPUTED_VALUE"""),45344.0)</f>
        <v>45344</v>
      </c>
      <c r="N1078" s="23">
        <f>IFERROR(__xludf.DUMMYFUNCTION("""COMPUTED_VALUE"""),45407.0)</f>
        <v>45407</v>
      </c>
      <c r="O1078" s="20"/>
      <c r="P1078" s="29" t="str">
        <f>IFERROR(__xludf.DUMMYFUNCTION("""COMPUTED_VALUE"""),"可")</f>
        <v>可</v>
      </c>
      <c r="Q1078" s="30" t="str">
        <f>IFERROR(__xludf.DUMMYFUNCTION("""COMPUTED_VALUE"""),"広告コミットOK(1/22)")</f>
        <v>広告コミットOK(1/22)</v>
      </c>
      <c r="R1078" s="22"/>
      <c r="S1078" s="22" t="str">
        <f>IFERROR(__xludf.DUMMYFUNCTION("""COMPUTED_VALUE"""),"20240123_ナイトコミック_こら！あんた母親を口説いて何しようっていうの！-カツオ独り暮らし編-")</f>
        <v>20240123_ナイトコミック_こら！あんた母親を口説いて何しようっていうの！-カツオ独り暮らし編-</v>
      </c>
      <c r="T1078" s="22" t="str">
        <f>IFERROR(__xludf.DUMMYFUNCTION("""COMPUTED_VALUE"""),"格納済み")</f>
        <v>格納済み</v>
      </c>
      <c r="U1078" s="15" t="str">
        <f>IFERROR(__xludf.DUMMYFUNCTION("""COMPUTED_VALUE"""),"©ほよよ")</f>
        <v>©ほよよ</v>
      </c>
      <c r="V1078" s="8" t="str">
        <f>IFERROR(__xludf.DUMMYFUNCTION("""COMPUTED_VALUE"""),"かつて童貞のカツオは母親に裸を見せてくれと頼み込んだのをきっかけに母親とセックスをしてしまった。それからは暇なのをいいことに母親とセックス三昧の毎日を過ごす。しかし父親との口論をきっかけにとうとう家を追い出されてしまった！母に会えずムラムラがたまりっぱなしのカツオ…そんなアパートにひと月ぶりの母親が様子を見にやってきたのだが・・・")</f>
        <v>かつて童貞のカツオは母親に裸を見せてくれと頼み込んだのをきっかけに母親とセックスをしてしまった。それからは暇なのをいいことに母親とセックス三昧の毎日を過ごす。しかし父親との口論をきっかけにとうとう家を追い出されてしまった！母に会えずムラムラがたまりっぱなしのカツオ…そんなアパートにひと月ぶりの母親が様子を見にやってきたのだが・・・</v>
      </c>
      <c r="W1078" s="14"/>
      <c r="X1078" s="14" t="str">
        <f>IFERROR(__xludf.DUMMYFUNCTION("""COMPUTED_VALUE"""),"有")</f>
        <v>有</v>
      </c>
      <c r="Y1078" s="8" t="str">
        <f>IFERROR(__xludf.DUMMYFUNCTION("""COMPUTED_VALUE"""),"2024/4/25まで立ち読み増量
1巻P14まで
2巻P11まで")</f>
        <v>2024/4/25まで立ち読み増量
1巻P14まで
2巻P11まで</v>
      </c>
      <c r="Z1078" s="7"/>
      <c r="AA1078" s="7"/>
      <c r="AB1078" s="7"/>
    </row>
    <row r="1079" ht="15.75" customHeight="1">
      <c r="A1079" s="26">
        <f>IFERROR(__xludf.DUMMYFUNCTION("""COMPUTED_VALUE"""),2844.0)</f>
        <v>2844</v>
      </c>
      <c r="B1079" s="22" t="str">
        <f>IFERROR(__xludf.DUMMYFUNCTION("""COMPUTED_VALUE"""),"確定")</f>
        <v>確定</v>
      </c>
      <c r="C1079" s="28">
        <f>IFERROR(__xludf.DUMMYFUNCTION("""COMPUTED_VALUE"""),45308.0)</f>
        <v>45308</v>
      </c>
      <c r="D1079" s="28">
        <f>IFERROR(__xludf.DUMMYFUNCTION("""COMPUTED_VALUE"""),45310.0)</f>
        <v>45310</v>
      </c>
      <c r="E1079" s="31">
        <f>IFERROR(__xludf.DUMMYFUNCTION("""COMPUTED_VALUE"""),285689.0)</f>
        <v>285689</v>
      </c>
      <c r="F1079" s="22" t="str">
        <f>IFERROR(__xludf.DUMMYFUNCTION("""COMPUTED_VALUE"""),"レベルが支配する世界で")</f>
        <v>レベルが支配する世界で</v>
      </c>
      <c r="G1079" s="20" t="str">
        <f>IFERROR(__xludf.DUMMYFUNCTION("""COMPUTED_VALUE"""),"1～4")</f>
        <v>1～4</v>
      </c>
      <c r="H1079" s="22" t="str">
        <f>IFERROR(__xludf.DUMMYFUNCTION("""COMPUTED_VALUE"""),"原作／猫子 漫画／平村大輔")</f>
        <v>原作／猫子 漫画／平村大輔</v>
      </c>
      <c r="I1079" s="22" t="str">
        <f>IFERROR(__xludf.DUMMYFUNCTION("""COMPUTED_VALUE"""),"少年")</f>
        <v>少年</v>
      </c>
      <c r="J1079" s="22"/>
      <c r="K1079" s="22"/>
      <c r="L1079" s="22" t="str">
        <f>IFERROR(__xludf.DUMMYFUNCTION("""COMPUTED_VALUE"""),"taskey")</f>
        <v>taskey</v>
      </c>
      <c r="M1079" s="23">
        <f>IFERROR(__xludf.DUMMYFUNCTION("""COMPUTED_VALUE"""),45323.0)</f>
        <v>45323</v>
      </c>
      <c r="N1079" s="33">
        <f>IFERROR(__xludf.DUMMYFUNCTION("""COMPUTED_VALUE"""),45382.0)</f>
        <v>45382</v>
      </c>
      <c r="O1079" s="20"/>
      <c r="P1079" s="32" t="str">
        <f>IFERROR(__xludf.DUMMYFUNCTION("""COMPUTED_VALUE"""),"可")</f>
        <v>可</v>
      </c>
      <c r="Q1079" s="30"/>
      <c r="R1079" s="22"/>
      <c r="S1079" s="22" t="str">
        <f>IFERROR(__xludf.DUMMYFUNCTION("""COMPUTED_VALUE"""),"20240117_taskey_レベルが支配する世界で")</f>
        <v>20240117_taskey_レベルが支配する世界で</v>
      </c>
      <c r="T1079" s="22" t="str">
        <f>IFERROR(__xludf.DUMMYFUNCTION("""COMPUTED_VALUE"""),"格納済み")</f>
        <v>格納済み</v>
      </c>
      <c r="U1079" s="15" t="str">
        <f>IFERROR(__xludf.DUMMYFUNCTION("""COMPUTED_VALUE"""),"©︎taskey 原作／猫子 漫画／平村大輔")</f>
        <v>©︎taskey 原作／猫子 漫画／平村大輔</v>
      </c>
      <c r="V1079" s="8" t="str">
        <f>IFERROR(__xludf.DUMMYFUNCTION("""COMPUTED_VALUE"""),"ある日、高校生の少年トオルは異世界の貴族によって「レベルが全てを支配する世界」に召喚されてしまう。最弱レベルのトオルは奴隷として扱われ、高レベルダンジョンに入れられることに…。高レベルダンジョンで規格外の魔物を倒し、誰よりもレベルを上げ、元の世界に帰ることを誓うのだった――。「小説家になろう」人気作家・猫子が描くダークファンタジーが、待望のコミカライズ化！！")</f>
        <v>ある日、高校生の少年トオルは異世界の貴族によって「レベルが全てを支配する世界」に召喚されてしまう。最弱レベルのトオルは奴隷として扱われ、高レベルダンジョンに入れられることに…。高レベルダンジョンで規格外の魔物を倒し、誰よりもレベルを上げ、元の世界に帰ることを誓うのだった――。「小説家になろう」人気作家・猫子が描くダークファンタジーが、待望のコミカライズ化！！</v>
      </c>
      <c r="W1079" s="14"/>
      <c r="X1079" s="14" t="str">
        <f>IFERROR(__xludf.DUMMYFUNCTION("""COMPUTED_VALUE"""),"有")</f>
        <v>有</v>
      </c>
      <c r="Y1079" s="8" t="str">
        <f>IFERROR(__xludf.DUMMYFUNCTION("""COMPUTED_VALUE"""),"2024/2/29まで1巻無料")</f>
        <v>2024/2/29まで1巻無料</v>
      </c>
      <c r="Z1079" s="7"/>
      <c r="AA1079" s="7"/>
      <c r="AB1079" s="7"/>
    </row>
    <row r="1080" ht="15.75" customHeight="1">
      <c r="A1080" s="26">
        <f>IFERROR(__xludf.DUMMYFUNCTION("""COMPUTED_VALUE"""),2846.0)</f>
        <v>2846</v>
      </c>
      <c r="B1080" s="22" t="str">
        <f>IFERROR(__xludf.DUMMYFUNCTION("""COMPUTED_VALUE"""),"確定")</f>
        <v>確定</v>
      </c>
      <c r="C1080" s="28">
        <f>IFERROR(__xludf.DUMMYFUNCTION("""COMPUTED_VALUE"""),45309.0)</f>
        <v>45309</v>
      </c>
      <c r="D1080" s="28">
        <f>IFERROR(__xludf.DUMMYFUNCTION("""COMPUTED_VALUE"""),45310.0)</f>
        <v>45310</v>
      </c>
      <c r="E1080" s="31">
        <f>IFERROR(__xludf.DUMMYFUNCTION("""COMPUTED_VALUE"""),286981.0)</f>
        <v>286981</v>
      </c>
      <c r="F1080" s="22" t="str">
        <f>IFERROR(__xludf.DUMMYFUNCTION("""COMPUTED_VALUE"""),"【単話】乙女ゲーの推しが逆トリップしてきた話。")</f>
        <v>【単話】乙女ゲーの推しが逆トリップしてきた話。</v>
      </c>
      <c r="G1080" s="20" t="str">
        <f>IFERROR(__xludf.DUMMYFUNCTION("""COMPUTED_VALUE"""),"1~５")</f>
        <v>1~５</v>
      </c>
      <c r="H1080" s="22" t="str">
        <f>IFERROR(__xludf.DUMMYFUNCTION("""COMPUTED_VALUE"""),"チチカカ池")</f>
        <v>チチカカ池</v>
      </c>
      <c r="I1080" s="22" t="str">
        <f>IFERROR(__xludf.DUMMYFUNCTION("""COMPUTED_VALUE"""),"少女")</f>
        <v>少女</v>
      </c>
      <c r="J1080" s="22"/>
      <c r="K1080" s="22"/>
      <c r="L1080" s="22" t="str">
        <f>IFERROR(__xludf.DUMMYFUNCTION("""COMPUTED_VALUE"""),"KADOKAWA")</f>
        <v>KADOKAWA</v>
      </c>
      <c r="M1080" s="23">
        <f>IFERROR(__xludf.DUMMYFUNCTION("""COMPUTED_VALUE"""),45344.0)</f>
        <v>45344</v>
      </c>
      <c r="N1080" s="23">
        <f>IFERROR(__xludf.DUMMYFUNCTION("""COMPUTED_VALUE"""),45404.0)</f>
        <v>45404</v>
      </c>
      <c r="O1080" s="20"/>
      <c r="P1080" s="32" t="str">
        <f>IFERROR(__xludf.DUMMYFUNCTION("""COMPUTED_VALUE"""),"否")</f>
        <v>否</v>
      </c>
      <c r="Q1080" s="22"/>
      <c r="R1080" s="22" t="str">
        <f>IFERROR(__xludf.DUMMYFUNCTION("""COMPUTED_VALUE"""),"格納済")</f>
        <v>格納済</v>
      </c>
      <c r="S1080" s="22" t="str">
        <f>IFERROR(__xludf.DUMMYFUNCTION("""COMPUTED_VALUE"""),"20240118_KADOKAWA_乙女ゲーの推しが逆トリップしてきた話。")</f>
        <v>20240118_KADOKAWA_乙女ゲーの推しが逆トリップしてきた話。</v>
      </c>
      <c r="T1080" s="22" t="str">
        <f>IFERROR(__xludf.DUMMYFUNCTION("""COMPUTED_VALUE"""),"格納済み")</f>
        <v>格納済み</v>
      </c>
      <c r="U1080" s="15" t="str">
        <f>IFERROR(__xludf.DUMMYFUNCTION("""COMPUTED_VALUE"""),"(C)Chichikakaike")</f>
        <v>(C)Chichikakaike</v>
      </c>
      <c r="V1080" s="8" t="str">
        <f>IFERROR(__xludf.DUMMYFUNCTION("""COMPUTED_VALUE"""),"主人公・北野汐里（きたの　しおり）は、学業・部活動・バイトに励む華のＪＫ２。目まぐるしい毎日だけど、乙女ゲーム『リアルにときめいて』（通称リアとき）が何よりの息抜きで癒し。推しの【雪平周（ゆきひら　あまね）】に、日々の活力をもらっていた。「あぁ…周くんが現実にいたらなぁ」そんなことを願っていたら、ある朝部屋に周くんが……!?!?!?推しのいるすべての人へ捧ぐ――「推し」とのピュアすぎる同棲ラブコメディ☆")</f>
        <v>主人公・北野汐里（きたの　しおり）は、学業・部活動・バイトに励む華のＪＫ２。目まぐるしい毎日だけど、乙女ゲーム『リアルにときめいて』（通称リアとき）が何よりの息抜きで癒し。推しの【雪平周（ゆきひら　あまね）】に、日々の活力をもらっていた。「あぁ…周くんが現実にいたらなぁ」そんなことを願っていたら、ある朝部屋に周くんが……!?!?!?推しのいるすべての人へ捧ぐ――「推し」とのピュアすぎる同棲ラブコメディ☆</v>
      </c>
      <c r="W1080" s="14"/>
      <c r="X1080" s="14" t="str">
        <f>IFERROR(__xludf.DUMMYFUNCTION("""COMPUTED_VALUE"""),"有")</f>
        <v>有</v>
      </c>
      <c r="Y1080" s="8" t="str">
        <f>IFERROR(__xludf.DUMMYFUNCTION("""COMPUTED_VALUE"""),"2024/3/31まで1～2巻無料")</f>
        <v>2024/3/31まで1～2巻無料</v>
      </c>
      <c r="Z1080" s="7"/>
      <c r="AA1080" s="7"/>
      <c r="AB1080" s="7"/>
    </row>
    <row r="1081" ht="15.75" customHeight="1">
      <c r="A1081" s="26">
        <f>IFERROR(__xludf.DUMMYFUNCTION("""COMPUTED_VALUE"""),2847.0)</f>
        <v>2847</v>
      </c>
      <c r="B1081" s="22" t="str">
        <f>IFERROR(__xludf.DUMMYFUNCTION("""COMPUTED_VALUE"""),"確定")</f>
        <v>確定</v>
      </c>
      <c r="C1081" s="28">
        <f>IFERROR(__xludf.DUMMYFUNCTION("""COMPUTED_VALUE"""),45309.0)</f>
        <v>45309</v>
      </c>
      <c r="D1081" s="28">
        <f>IFERROR(__xludf.DUMMYFUNCTION("""COMPUTED_VALUE"""),45310.0)</f>
        <v>45310</v>
      </c>
      <c r="E1081" s="31">
        <f>IFERROR(__xludf.DUMMYFUNCTION("""COMPUTED_VALUE"""),286749.0)</f>
        <v>286749</v>
      </c>
      <c r="F1081" s="22" t="str">
        <f>IFERROR(__xludf.DUMMYFUNCTION("""COMPUTED_VALUE"""),"異世界からワケあり王子が降ってきた～社畜女子とイケメン王子の貧乏同棲～")</f>
        <v>異世界からワケあり王子が降ってきた～社畜女子とイケメン王子の貧乏同棲～</v>
      </c>
      <c r="G1081" s="16" t="str">
        <f>IFERROR(__xludf.DUMMYFUNCTION("""COMPUTED_VALUE"""),"1～5")</f>
        <v>1～5</v>
      </c>
      <c r="H1081" s="22" t="str">
        <f>IFERROR(__xludf.DUMMYFUNCTION("""COMPUTED_VALUE"""),"高梨まどか")</f>
        <v>高梨まどか</v>
      </c>
      <c r="I1081" s="14" t="str">
        <f>IFERROR(__xludf.DUMMYFUNCTION("""COMPUTED_VALUE"""),"女性")</f>
        <v>女性</v>
      </c>
      <c r="J1081" s="22"/>
      <c r="K1081" s="22"/>
      <c r="L1081" s="22" t="str">
        <f>IFERROR(__xludf.DUMMYFUNCTION("""COMPUTED_VALUE"""),"光文社")</f>
        <v>光文社</v>
      </c>
      <c r="M1081" s="23">
        <f>IFERROR(__xludf.DUMMYFUNCTION("""COMPUTED_VALUE"""),45345.0)</f>
        <v>45345</v>
      </c>
      <c r="N1081" s="23">
        <f>IFERROR(__xludf.DUMMYFUNCTION("""COMPUTED_VALUE"""),45434.0)</f>
        <v>45434</v>
      </c>
      <c r="O1081" s="20"/>
      <c r="P1081" s="29" t="str">
        <f>IFERROR(__xludf.DUMMYFUNCTION("""COMPUTED_VALUE"""),"否")</f>
        <v>否</v>
      </c>
      <c r="Q1081" s="30" t="str">
        <f>IFERROR(__xludf.DUMMYFUNCTION("""COMPUTED_VALUE"""),"【協業作品】です")</f>
        <v>【協業作品】です</v>
      </c>
      <c r="R1081" s="22"/>
      <c r="S1081" s="22" t="str">
        <f>IFERROR(__xludf.DUMMYFUNCTION("""COMPUTED_VALUE"""),"20240118_光文社_異世界からワケあり王子が降ってきた")</f>
        <v>20240118_光文社_異世界からワケあり王子が降ってきた</v>
      </c>
      <c r="T1081" s="22" t="str">
        <f>IFERROR(__xludf.DUMMYFUNCTION("""COMPUTED_VALUE"""),"格納済み")</f>
        <v>格納済み</v>
      </c>
      <c r="U1081" s="15" t="str">
        <f>IFERROR(__xludf.DUMMYFUNCTION("""COMPUTED_VALUE"""),"（c）高梨まどか／光文社")</f>
        <v>（c）高梨まどか／光文社</v>
      </c>
      <c r="V1081" s="8" t="str">
        <f>IFERROR(__xludf.DUMMYFUNCTION("""COMPUTED_VALUE"""),"結婚どころか彼氏をつくる余裕もない社畜OLのさつきは、母親からの結婚の催促に嫌気がさして、たまたま夜空を流れた彗星に「王子様みたいな素敵な人が降ってきたらいいのに」と願う。すると、本物の王子様・アルバートが部屋の中に降りてきて!?　元の世界に戻れず困る王子に、戻る協力する代わりに偽装彼氏になって欲しいとお願いしたさつきだったが――…。社畜OLと金髪イケメン・ワケあり王子様のチグハグ同居ラブ!!")</f>
        <v>結婚どころか彼氏をつくる余裕もない社畜OLのさつきは、母親からの結婚の催促に嫌気がさして、たまたま夜空を流れた彗星に「王子様みたいな素敵な人が降ってきたらいいのに」と願う。すると、本物の王子様・アルバートが部屋の中に降りてきて!?　元の世界に戻れず困る王子に、戻る協力する代わりに偽装彼氏になって欲しいとお願いしたさつきだったが――…。社畜OLと金髪イケメン・ワケあり王子様のチグハグ同居ラブ!!</v>
      </c>
      <c r="W1081" s="14"/>
      <c r="X1081" s="14" t="str">
        <f>IFERROR(__xludf.DUMMYFUNCTION("""COMPUTED_VALUE"""),"有")</f>
        <v>有</v>
      </c>
      <c r="Y1081" s="8" t="str">
        <f>IFERROR(__xludf.DUMMYFUNCTION("""COMPUTED_VALUE"""),"1巻無料
2024/3/7まで2巻無料")</f>
        <v>1巻無料
2024/3/7まで2巻無料</v>
      </c>
      <c r="Z1081" s="7"/>
      <c r="AA1081" s="7"/>
      <c r="AB1081" s="7"/>
    </row>
    <row r="1082" ht="15.75" customHeight="1">
      <c r="A1082" s="26">
        <f>IFERROR(__xludf.DUMMYFUNCTION("""COMPUTED_VALUE"""),2848.0)</f>
        <v>2848</v>
      </c>
      <c r="B1082" s="22" t="str">
        <f>IFERROR(__xludf.DUMMYFUNCTION("""COMPUTED_VALUE"""),"確定")</f>
        <v>確定</v>
      </c>
      <c r="C1082" s="28">
        <f>IFERROR(__xludf.DUMMYFUNCTION("""COMPUTED_VALUE"""),45309.0)</f>
        <v>45309</v>
      </c>
      <c r="D1082" s="28">
        <f>IFERROR(__xludf.DUMMYFUNCTION("""COMPUTED_VALUE"""),45310.0)</f>
        <v>45310</v>
      </c>
      <c r="E1082" s="31">
        <f>IFERROR(__xludf.DUMMYFUNCTION("""COMPUTED_VALUE"""),285946.0)</f>
        <v>285946</v>
      </c>
      <c r="F1082" s="22" t="str">
        <f>IFERROR(__xludf.DUMMYFUNCTION("""COMPUTED_VALUE"""),"破滅の聖女は運命の夫の溺愛から逃れたい")</f>
        <v>破滅の聖女は運命の夫の溺愛から逃れたい</v>
      </c>
      <c r="G1082" s="16" t="str">
        <f>IFERROR(__xludf.DUMMYFUNCTION("""COMPUTED_VALUE"""),"1～3")</f>
        <v>1～3</v>
      </c>
      <c r="H1082" s="22" t="str">
        <f>IFERROR(__xludf.DUMMYFUNCTION("""COMPUTED_VALUE"""),"漫画：まなづき 原作：顧宮ちえ")</f>
        <v>漫画：まなづき 原作：顧宮ちえ</v>
      </c>
      <c r="I1082" s="22" t="str">
        <f>IFERROR(__xludf.DUMMYFUNCTION("""COMPUTED_VALUE"""),"女性")</f>
        <v>女性</v>
      </c>
      <c r="J1082" s="22"/>
      <c r="K1082" s="22"/>
      <c r="L1082" s="22" t="str">
        <f>IFERROR(__xludf.DUMMYFUNCTION("""COMPUTED_VALUE"""),"芳文社")</f>
        <v>芳文社</v>
      </c>
      <c r="M1082" s="23">
        <f>IFERROR(__xludf.DUMMYFUNCTION("""COMPUTED_VALUE"""),45336.0)</f>
        <v>45336</v>
      </c>
      <c r="N1082" s="23">
        <f>IFERROR(__xludf.DUMMYFUNCTION("""COMPUTED_VALUE"""),45443.0)</f>
        <v>45443</v>
      </c>
      <c r="O1082" s="20"/>
      <c r="P1082" s="29" t="str">
        <f>IFERROR(__xludf.DUMMYFUNCTION("""COMPUTED_VALUE"""),"否")</f>
        <v>否</v>
      </c>
      <c r="Q1082" s="30" t="str">
        <f>IFERROR(__xludf.DUMMYFUNCTION("""COMPUTED_VALUE"""),"【協業作品】です")</f>
        <v>【協業作品】です</v>
      </c>
      <c r="R1082" s="22"/>
      <c r="S1082" s="22" t="str">
        <f>IFERROR(__xludf.DUMMYFUNCTION("""COMPUTED_VALUE"""),"20240118_芳文社_破滅の聖女は運命の夫の溺愛から逃れたい")</f>
        <v>20240118_芳文社_破滅の聖女は運命の夫の溺愛から逃れたい</v>
      </c>
      <c r="T1082" s="22" t="str">
        <f>IFERROR(__xludf.DUMMYFUNCTION("""COMPUTED_VALUE"""),"格納済み")</f>
        <v>格納済み</v>
      </c>
      <c r="U1082" s="15" t="str">
        <f>IFERROR(__xludf.DUMMYFUNCTION("""COMPUTED_VALUE"""),"（c）まなづき・顧宮ちえ/芳文社")</f>
        <v>（c）まなづき・顧宮ちえ/芳文社</v>
      </c>
      <c r="V1082" s="8" t="str">
        <f>IFERROR(__xludf.DUMMYFUNCTION("""COMPUTED_VALUE"""),"「お前と出逢っていなければ――」そう言い残して、聖女になれず一族から虐げられていたローザを唯一望んでくれた夫・クロードは目の前で殺された。政略のための白い結婚だったが、実はクロードを愛していたローザは「彼を殺したのは私」と絶望して意識を失ってしまう。彼女が目覚めると6年前、まだクロードと出会っていない聖女査定の日に戻っていた。クロードを不幸にしないためにも、彼との結婚を回避しようとするローザだったが、むしろ以前よりも二人の距離は近づいて!?")</f>
        <v>「お前と出逢っていなければ――」そう言い残して、聖女になれず一族から虐げられていたローザを唯一望んでくれた夫・クロードは目の前で殺された。政略のための白い結婚だったが、実はクロードを愛していたローザは「彼を殺したのは私」と絶望して意識を失ってしまう。彼女が目覚めると6年前、まだクロードと出会っていない聖女査定の日に戻っていた。クロードを不幸にしないためにも、彼との結婚を回避しようとするローザだったが、むしろ以前よりも二人の距離は近づいて!?</v>
      </c>
      <c r="W1082" s="14"/>
      <c r="X1082" s="14" t="str">
        <f>IFERROR(__xludf.DUMMYFUNCTION("""COMPUTED_VALUE"""),"有")</f>
        <v>有</v>
      </c>
      <c r="Y1082" s="8" t="str">
        <f>IFERROR(__xludf.DUMMYFUNCTION("""COMPUTED_VALUE"""),"2024/2/27まで1巻無料")</f>
        <v>2024/2/27まで1巻無料</v>
      </c>
      <c r="Z1082" s="7"/>
      <c r="AA1082" s="7"/>
      <c r="AB1082" s="7"/>
    </row>
    <row r="1083" ht="15.75" customHeight="1">
      <c r="A1083" s="26">
        <f>IFERROR(__xludf.DUMMYFUNCTION("""COMPUTED_VALUE"""),2849.0)</f>
        <v>2849</v>
      </c>
      <c r="B1083" s="22" t="str">
        <f>IFERROR(__xludf.DUMMYFUNCTION("""COMPUTED_VALUE"""),"確定")</f>
        <v>確定</v>
      </c>
      <c r="C1083" s="28">
        <f>IFERROR(__xludf.DUMMYFUNCTION("""COMPUTED_VALUE"""),45309.0)</f>
        <v>45309</v>
      </c>
      <c r="D1083" s="28">
        <f>IFERROR(__xludf.DUMMYFUNCTION("""COMPUTED_VALUE"""),45310.0)</f>
        <v>45310</v>
      </c>
      <c r="E1083" s="31">
        <f>IFERROR(__xludf.DUMMYFUNCTION("""COMPUTED_VALUE"""),286561.0)</f>
        <v>286561</v>
      </c>
      <c r="F1083" s="22" t="str">
        <f>IFERROR(__xludf.DUMMYFUNCTION("""COMPUTED_VALUE"""),"美神のハンマー探し")</f>
        <v>美神のハンマー探し</v>
      </c>
      <c r="G1083" s="11" t="str">
        <f>IFERROR(__xludf.DUMMYFUNCTION("""COMPUTED_VALUE"""),"1～4")</f>
        <v>1～4</v>
      </c>
      <c r="H1083" s="22" t="str">
        <f>IFERROR(__xludf.DUMMYFUNCTION("""COMPUTED_VALUE"""),"Dollkong")</f>
        <v>Dollkong</v>
      </c>
      <c r="I1083" s="22" t="str">
        <f>IFERROR(__xludf.DUMMYFUNCTION("""COMPUTED_VALUE"""),"青年")</f>
        <v>青年</v>
      </c>
      <c r="J1083" s="22"/>
      <c r="K1083" s="22"/>
      <c r="L1083" s="22" t="str">
        <f>IFERROR(__xludf.DUMMYFUNCTION("""COMPUTED_VALUE"""),"Rush!")</f>
        <v>Rush!</v>
      </c>
      <c r="M1083" s="23">
        <f>IFERROR(__xludf.DUMMYFUNCTION("""COMPUTED_VALUE"""),45345.0)</f>
        <v>45345</v>
      </c>
      <c r="N1083" s="23">
        <f>IFERROR(__xludf.DUMMYFUNCTION("""COMPUTED_VALUE"""),45372.0)</f>
        <v>45372</v>
      </c>
      <c r="O1083" s="20"/>
      <c r="P1083" s="29" t="str">
        <f>IFERROR(__xludf.DUMMYFUNCTION("""COMPUTED_VALUE"""),"可")</f>
        <v>可</v>
      </c>
      <c r="Q1083" s="30" t="str">
        <f>IFERROR(__xludf.DUMMYFUNCTION("""COMPUTED_VALUE"""),"素材は版面の方を使用願います。")</f>
        <v>素材は版面の方を使用願います。</v>
      </c>
      <c r="R1083" s="22"/>
      <c r="S1083" s="22" t="str">
        <f>IFERROR(__xludf.DUMMYFUNCTION("""COMPUTED_VALUE"""),"20240118_ファンギルド_美神のハンマー探し")</f>
        <v>20240118_ファンギルド_美神のハンマー探し</v>
      </c>
      <c r="T1083" s="22" t="str">
        <f>IFERROR(__xludf.DUMMYFUNCTION("""COMPUTED_VALUE"""),"格納済み")</f>
        <v>格納済み</v>
      </c>
      <c r="U1083" s="15" t="str">
        <f>IFERROR(__xludf.DUMMYFUNCTION("""COMPUTED_VALUE"""),"©Dollkong/TOPTOON")</f>
        <v>©Dollkong/TOPTOON</v>
      </c>
      <c r="V1083" s="8" t="str">
        <f>IFERROR(__xludf.DUMMYFUNCTION("""COMPUTED_VALUE"""),"ひょんなことから、アスガルドで暮らすことになった留学神のロキ・ラウフェイソン。最高神の好意で気性の荒い娘トール・オディンソンと一緒に住むことになったが、そのトールの雷鎚「ミョルニル」が一夜にして消え、その犯人として疑われることに。絶対探し出せというトールの脅迫にやむを得ず従うことになったが、その過程で出会った美しい女神たちと熱く豪快に関係を深め合っていく――！")</f>
        <v>ひょんなことから、アスガルドで暮らすことになった留学神のロキ・ラウフェイソン。最高神の好意で気性の荒い娘トール・オディンソンと一緒に住むことになったが、そのトールの雷鎚「ミョルニル」が一夜にして消え、その犯人として疑われることに。絶対探し出せというトールの脅迫にやむを得ず従うことになったが、その過程で出会った美しい女神たちと熱く豪快に関係を深め合っていく――！</v>
      </c>
      <c r="W1083" s="14"/>
      <c r="X1083" s="14" t="str">
        <f>IFERROR(__xludf.DUMMYFUNCTION("""COMPUTED_VALUE"""),"有")</f>
        <v>有</v>
      </c>
      <c r="Y1083" s="8" t="str">
        <f>IFERROR(__xludf.DUMMYFUNCTION("""COMPUTED_VALUE"""),"P28まで")</f>
        <v>P28まで</v>
      </c>
      <c r="Z1083" s="7"/>
      <c r="AA1083" s="7"/>
      <c r="AB1083" s="7"/>
    </row>
    <row r="1084" ht="15.75" customHeight="1">
      <c r="A1084" s="26">
        <f>IFERROR(__xludf.DUMMYFUNCTION("""COMPUTED_VALUE"""),2850.0)</f>
        <v>2850</v>
      </c>
      <c r="B1084" s="22" t="str">
        <f>IFERROR(__xludf.DUMMYFUNCTION("""COMPUTED_VALUE"""),"確定")</f>
        <v>確定</v>
      </c>
      <c r="C1084" s="28">
        <f>IFERROR(__xludf.DUMMYFUNCTION("""COMPUTED_VALUE"""),45309.0)</f>
        <v>45309</v>
      </c>
      <c r="D1084" s="28">
        <f>IFERROR(__xludf.DUMMYFUNCTION("""COMPUTED_VALUE"""),45310.0)</f>
        <v>45310</v>
      </c>
      <c r="E1084" s="31">
        <f>IFERROR(__xludf.DUMMYFUNCTION("""COMPUTED_VALUE"""),286558.0)</f>
        <v>286558</v>
      </c>
      <c r="F1084" s="22" t="str">
        <f>IFERROR(__xludf.DUMMYFUNCTION("""COMPUTED_VALUE"""),"復讐の魔女")</f>
        <v>復讐の魔女</v>
      </c>
      <c r="G1084" s="20" t="str">
        <f>IFERROR(__xludf.DUMMYFUNCTION("""COMPUTED_VALUE"""),"1～3")</f>
        <v>1～3</v>
      </c>
      <c r="H1084" s="22" t="str">
        <f>IFERROR(__xludf.DUMMYFUNCTION("""COMPUTED_VALUE"""),"諏訪正宗")</f>
        <v>諏訪正宗</v>
      </c>
      <c r="I1084" s="22" t="str">
        <f>IFERROR(__xludf.DUMMYFUNCTION("""COMPUTED_VALUE"""),"青年")</f>
        <v>青年</v>
      </c>
      <c r="J1084" s="22"/>
      <c r="K1084" s="22"/>
      <c r="L1084" s="22" t="str">
        <f>IFERROR(__xludf.DUMMYFUNCTION("""COMPUTED_VALUE"""),"ファンギルド")</f>
        <v>ファンギルド</v>
      </c>
      <c r="M1084" s="23">
        <f>IFERROR(__xludf.DUMMYFUNCTION("""COMPUTED_VALUE"""),45341.0)</f>
        <v>45341</v>
      </c>
      <c r="N1084" s="23">
        <f>IFERROR(__xludf.DUMMYFUNCTION("""COMPUTED_VALUE"""),45373.0)</f>
        <v>45373</v>
      </c>
      <c r="O1084" s="20"/>
      <c r="P1084" s="32" t="str">
        <f>IFERROR(__xludf.DUMMYFUNCTION("""COMPUTED_VALUE"""),"可")</f>
        <v>可</v>
      </c>
      <c r="Q1084" s="30"/>
      <c r="R1084" s="22"/>
      <c r="S1084" s="22" t="str">
        <f>IFERROR(__xludf.DUMMYFUNCTION("""COMPUTED_VALUE"""),"20240118_ファンギルド_復讐の魔女")</f>
        <v>20240118_ファンギルド_復讐の魔女</v>
      </c>
      <c r="T1084" s="22" t="str">
        <f>IFERROR(__xludf.DUMMYFUNCTION("""COMPUTED_VALUE"""),"格納済み")</f>
        <v>格納済み</v>
      </c>
      <c r="U1084" s="15" t="str">
        <f>IFERROR(__xludf.DUMMYFUNCTION("""COMPUTED_VALUE"""),"©諏訪正宗/井上紀良/ファンギルド")</f>
        <v>©諏訪正宗/井上紀良/ファンギルド</v>
      </c>
      <c r="V1084" s="8" t="str">
        <f>IFERROR(__xludf.DUMMYFUNCTION("""COMPUTED_VALUE"""),"「私は逃げたりなんかしない。奴らにあの時の復讐をする――！」あの日、突然家族の平和が壊された。獣のような男たちによって…。娘の目の前で父が殺され、母は自我を失った。それから12年後――復讐を誓った娘は【村国涼子】と名前を変え、人を殺す術を身につけて、再び男たちの前に現れる。かつて自分から両親を奪った奴らを地獄へ送るために…!!")</f>
        <v>「私は逃げたりなんかしない。奴らにあの時の復讐をする――！」あの日、突然家族の平和が壊された。獣のような男たちによって…。娘の目の前で父が殺され、母は自我を失った。それから12年後――復讐を誓った娘は【村国涼子】と名前を変え、人を殺す術を身につけて、再び男たちの前に現れる。かつて自分から両親を奪った奴らを地獄へ送るために…!!</v>
      </c>
      <c r="W1084" s="14"/>
      <c r="X1084" s="14" t="str">
        <f>IFERROR(__xludf.DUMMYFUNCTION("""COMPUTED_VALUE"""),"有")</f>
        <v>有</v>
      </c>
      <c r="Y1084" s="8" t="str">
        <f>IFERROR(__xludf.DUMMYFUNCTION("""COMPUTED_VALUE"""),"P7まで")</f>
        <v>P7まで</v>
      </c>
      <c r="Z1084" s="7"/>
      <c r="AA1084" s="7"/>
      <c r="AB1084" s="7"/>
    </row>
    <row r="1085" ht="15.75" customHeight="1">
      <c r="A1085" s="26">
        <f>IFERROR(__xludf.DUMMYFUNCTION("""COMPUTED_VALUE"""),2851.0)</f>
        <v>2851</v>
      </c>
      <c r="B1085" s="22" t="str">
        <f>IFERROR(__xludf.DUMMYFUNCTION("""COMPUTED_VALUE"""),"確定")</f>
        <v>確定</v>
      </c>
      <c r="C1085" s="28">
        <f>IFERROR(__xludf.DUMMYFUNCTION("""COMPUTED_VALUE"""),45309.0)</f>
        <v>45309</v>
      </c>
      <c r="D1085" s="28">
        <f>IFERROR(__xludf.DUMMYFUNCTION("""COMPUTED_VALUE"""),45310.0)</f>
        <v>45310</v>
      </c>
      <c r="E1085" s="31">
        <f>IFERROR(__xludf.DUMMYFUNCTION("""COMPUTED_VALUE"""),286267.0)</f>
        <v>286267</v>
      </c>
      <c r="F1085" s="22" t="str">
        <f>IFERROR(__xludf.DUMMYFUNCTION("""COMPUTED_VALUE"""),"チートスペルマ～転生ヒロインは俺の股間で無双する")</f>
        <v>チートスペルマ～転生ヒロインは俺の股間で無双する</v>
      </c>
      <c r="G1085" s="20" t="str">
        <f>IFERROR(__xludf.DUMMYFUNCTION("""COMPUTED_VALUE"""),"1～3")</f>
        <v>1～3</v>
      </c>
      <c r="H1085" s="22" t="str">
        <f>IFERROR(__xludf.DUMMYFUNCTION("""COMPUTED_VALUE"""),"まるキ堂")</f>
        <v>まるキ堂</v>
      </c>
      <c r="I1085" s="22" t="str">
        <f>IFERROR(__xludf.DUMMYFUNCTION("""COMPUTED_VALUE"""),"青年")</f>
        <v>青年</v>
      </c>
      <c r="J1085" s="22"/>
      <c r="K1085" s="22"/>
      <c r="L1085" s="22" t="str">
        <f>IFERROR(__xludf.DUMMYFUNCTION("""COMPUTED_VALUE"""),"Rush!")</f>
        <v>Rush!</v>
      </c>
      <c r="M1085" s="23">
        <f>IFERROR(__xludf.DUMMYFUNCTION("""COMPUTED_VALUE"""),45344.0)</f>
        <v>45344</v>
      </c>
      <c r="N1085" s="23">
        <f>IFERROR(__xludf.DUMMYFUNCTION("""COMPUTED_VALUE"""),45399.0)</f>
        <v>45399</v>
      </c>
      <c r="O1085" s="20"/>
      <c r="P1085" s="29" t="str">
        <f>IFERROR(__xludf.DUMMYFUNCTION("""COMPUTED_VALUE"""),"可")</f>
        <v>可</v>
      </c>
      <c r="Q1085" s="30" t="str">
        <f>IFERROR(__xludf.DUMMYFUNCTION("""COMPUTED_VALUE"""),"素材は版面の方をご使用下さい。")</f>
        <v>素材は版面の方をご使用下さい。</v>
      </c>
      <c r="R1085" s="22"/>
      <c r="S1085" s="22" t="str">
        <f>IFERROR(__xludf.DUMMYFUNCTION("""COMPUTED_VALUE"""),"20240118_ファンギルド_チートスペルマ～転生ヒロインは俺の股間で無双する")</f>
        <v>20240118_ファンギルド_チートスペルマ～転生ヒロインは俺の股間で無双する</v>
      </c>
      <c r="T1085" s="22" t="str">
        <f>IFERROR(__xludf.DUMMYFUNCTION("""COMPUTED_VALUE"""),"格納済み")</f>
        <v>格納済み</v>
      </c>
      <c r="U1085" s="15" t="str">
        <f>IFERROR(__xludf.DUMMYFUNCTION("""COMPUTED_VALUE"""),"©Marukidou")</f>
        <v>©Marukidou</v>
      </c>
      <c r="V1085" s="8" t="str">
        <f>IFERROR(__xludf.DUMMYFUNCTION("""COMPUTED_VALUE"""),"「性交しましょう！一刻も早く世界を救うために！」 ある日、しがないニート・那由太――は謎の美女・ディユーナと出会う。彼女は異世界から「救世主」を探しに現世にたどり着いたようだったが 、そんなことよりも彼女のエッチ過ぎる格好から覗く双乳に釘付け...の那由太。ついに我慢の限界を迎えた那由太はディユーナを襲い、彼女の肉体にスペルマを浴びせると、彼女の言う「救世主伝説」を再現するが如く体が光り出して...!?もしかして俺って世界を救う「救世主」なの!?――そんな世界を救うため、性交に励む二人の様子を怪しげな黒い"&amp;"影が見つめており…")</f>
        <v>「性交しましょう！一刻も早く世界を救うために！」 ある日、しがないニート・那由太――は謎の美女・ディユーナと出会う。彼女は異世界から「救世主」を探しに現世にたどり着いたようだったが 、そんなことよりも彼女のエッチ過ぎる格好から覗く双乳に釘付け...の那由太。ついに我慢の限界を迎えた那由太はディユーナを襲い、彼女の肉体にスペルマを浴びせると、彼女の言う「救世主伝説」を再現するが如く体が光り出して...!?もしかして俺って世界を救う「救世主」なの!?――そんな世界を救うため、性交に励む二人の様子を怪しげな黒い影が見つめており…</v>
      </c>
      <c r="W1085" s="14"/>
      <c r="X1085" s="14" t="str">
        <f>IFERROR(__xludf.DUMMYFUNCTION("""COMPUTED_VALUE"""),"有")</f>
        <v>有</v>
      </c>
      <c r="Y1085" s="8" t="str">
        <f>IFERROR(__xludf.DUMMYFUNCTION("""COMPUTED_VALUE"""),"2024/3/7まで1巻無料")</f>
        <v>2024/3/7まで1巻無料</v>
      </c>
      <c r="Z1085" s="7"/>
      <c r="AA1085" s="7"/>
      <c r="AB1085" s="7"/>
    </row>
    <row r="1086" ht="15.75" customHeight="1">
      <c r="A1086" s="26">
        <f>IFERROR(__xludf.DUMMYFUNCTION("""COMPUTED_VALUE"""),2852.0)</f>
        <v>2852</v>
      </c>
      <c r="B1086" s="22" t="str">
        <f>IFERROR(__xludf.DUMMYFUNCTION("""COMPUTED_VALUE"""),"確定")</f>
        <v>確定</v>
      </c>
      <c r="C1086" s="28">
        <f>IFERROR(__xludf.DUMMYFUNCTION("""COMPUTED_VALUE"""),45309.0)</f>
        <v>45309</v>
      </c>
      <c r="D1086" s="28">
        <f>IFERROR(__xludf.DUMMYFUNCTION("""COMPUTED_VALUE"""),45310.0)</f>
        <v>45310</v>
      </c>
      <c r="E1086" s="31">
        <f>IFERROR(__xludf.DUMMYFUNCTION("""COMPUTED_VALUE"""),286559.0)</f>
        <v>286559</v>
      </c>
      <c r="F1086" s="22" t="str">
        <f>IFERROR(__xludf.DUMMYFUNCTION("""COMPUTED_VALUE"""),"一途に溺愛されて、幸せを掴み取ってみせますわ！異世界アンソロジーコミック")</f>
        <v>一途に溺愛されて、幸せを掴み取ってみせますわ！異世界アンソロジーコミック</v>
      </c>
      <c r="G1086" s="20">
        <f>IFERROR(__xludf.DUMMYFUNCTION("""COMPUTED_VALUE"""),1.0)</f>
        <v>1</v>
      </c>
      <c r="H1086" s="22" t="str">
        <f>IFERROR(__xludf.DUMMYFUNCTION("""COMPUTED_VALUE"""),"アンソロジー")</f>
        <v>アンソロジー</v>
      </c>
      <c r="I1086" s="22" t="str">
        <f>IFERROR(__xludf.DUMMYFUNCTION("""COMPUTED_VALUE"""),"少女")</f>
        <v>少女</v>
      </c>
      <c r="J1086" s="22"/>
      <c r="K1086" s="22"/>
      <c r="L1086" s="22" t="str">
        <f>IFERROR(__xludf.DUMMYFUNCTION("""COMPUTED_VALUE"""),"ファンギルド")</f>
        <v>ファンギルド</v>
      </c>
      <c r="M1086" s="23">
        <f>IFERROR(__xludf.DUMMYFUNCTION("""COMPUTED_VALUE"""),45344.0)</f>
        <v>45344</v>
      </c>
      <c r="N1086" s="23">
        <f>IFERROR(__xludf.DUMMYFUNCTION("""COMPUTED_VALUE"""),45403.0)</f>
        <v>45403</v>
      </c>
      <c r="O1086" s="20"/>
      <c r="P1086" s="34" t="str">
        <f>IFERROR(__xludf.DUMMYFUNCTION("""COMPUTED_VALUE"""),"可")</f>
        <v>可</v>
      </c>
      <c r="Q1086" s="30" t="str">
        <f>IFERROR(__xludf.DUMMYFUNCTION("""COMPUTED_VALUE"""),"全5作品収録されており、作品ごとに作画/原作が異なりますのでそれぞれ5作品分コピーライトを記載します。
・忘れられた王女ですが政略婚の旦那様に溺愛されてます
　⇒©Odayaka/Maya Koike/FUNGUILD
・猫になって王太子を護衛するはずが、なぜか愛をささやかれています！
　⇒©Mizuki Kanai/Yuhi Akane/FUNGUILD
・婚約破棄されましたが、大好きな魔法の研究ができて幸せです！
　⇒©Disai/shinobu/FUNGUILD
・悪女と呼ばれた傷モノ令嬢の白い結婚"&amp;"～溺愛は不要ですよ、王弟殿下～
　⇒©Kie Otsuki/Izumi Shibano/FUNGUILD
・『君に干渉しない』と冷徹だった旦那様がなぜか一途に見つめてきます
　⇒©Kusabi Kurokawa/comic spira/FUNGUILD")</f>
        <v>全5作品収録されており、作品ごとに作画/原作が異なりますのでそれぞれ5作品分コピーライトを記載します。
・忘れられた王女ですが政略婚の旦那様に溺愛されてます
　⇒©Odayaka/Maya Koike/FUNGUILD
・猫になって王太子を護衛するはずが、なぜか愛をささやかれています！
　⇒©Mizuki Kanai/Yuhi Akane/FUNGUILD
・婚約破棄されましたが、大好きな魔法の研究ができて幸せです！
　⇒©Disai/shinobu/FUNGUILD
・悪女と呼ばれた傷モノ令嬢の白い結婚～溺愛は不要ですよ、王弟殿下～
　⇒©Kie Otsuki/Izumi Shibano/FUNGUILD
・『君に干渉しない』と冷徹だった旦那様がなぜか一途に見つめてきます
　⇒©Kusabi Kurokawa/comic spira/FUNGUILD</v>
      </c>
      <c r="R1086" s="22"/>
      <c r="S1086" s="22" t="str">
        <f>IFERROR(__xludf.DUMMYFUNCTION("""COMPUTED_VALUE"""),"20240118_ファンギルド_一途に溺愛されて、幸せを掴み取ってみせますわ！異世界アンソロジーコミック")</f>
        <v>20240118_ファンギルド_一途に溺愛されて、幸せを掴み取ってみせますわ！異世界アンソロジーコミック</v>
      </c>
      <c r="T1086" s="22" t="str">
        <f>IFERROR(__xludf.DUMMYFUNCTION("""COMPUTED_VALUE"""),"格納済み")</f>
        <v>格納済み</v>
      </c>
      <c r="U1086" s="15" t="str">
        <f>IFERROR(__xludf.DUMMYFUNCTION("""COMPUTED_VALUE"""),"作品ごとに異なるため作品備考参照ください")</f>
        <v>作品ごとに異なるため作品備考参照ください</v>
      </c>
      <c r="V1086" s="8" t="str">
        <f>IFERROR(__xludf.DUMMYFUNCTION("""COMPUTED_VALUE"""),"今ここで巡り合うハッピーエンド溺愛アンソロジー！王弟殿下、王太子、魔術師、辺境伯……ハイスペックな男性たちからの甘い求愛が止まらない！？読み切り5作品を収録。＜収録作品＞カバーイラスト：おだやか／「忘れられた王女ですが政略婚の旦那様に溺愛されてます」作画：おだやか　原作：古池マヤ／「猫になって王太子を護衛するはずが、なぜか愛をささやかれています！」作画：カナイミズキ　原作：朱音ゆうひ／「婚約破棄されましたが、大好きな魔法の研究ができて幸せです！」作画：Disai　原作：shinobu／「悪女と呼ばれた傷モ"&amp;"ノ令嬢の白い結婚～溺愛は不要ですよ、王弟殿下～」作画：大月キエ　原作：柴野いずみ／「『君に干渉しない』と冷徹だった旦那様がなぜか一途に見つめてきます」作画：黒川くさび　原作：comic スピラ")</f>
        <v>今ここで巡り合うハッピーエンド溺愛アンソロジー！王弟殿下、王太子、魔術師、辺境伯……ハイスペックな男性たちからの甘い求愛が止まらない！？読み切り5作品を収録。＜収録作品＞カバーイラスト：おだやか／「忘れられた王女ですが政略婚の旦那様に溺愛されてます」作画：おだやか　原作：古池マヤ／「猫になって王太子を護衛するはずが、なぜか愛をささやかれています！」作画：カナイミズキ　原作：朱音ゆうひ／「婚約破棄されましたが、大好きな魔法の研究ができて幸せです！」作画：Disai　原作：shinobu／「悪女と呼ばれた傷モノ令嬢の白い結婚～溺愛は不要ですよ、王弟殿下～」作画：大月キエ　原作：柴野いずみ／「『君に干渉しない』と冷徹だった旦那様がなぜか一途に見つめてきます」作画：黒川くさび　原作：comic スピラ</v>
      </c>
      <c r="W1086" s="14"/>
      <c r="X1086" s="14" t="str">
        <f>IFERROR(__xludf.DUMMYFUNCTION("""COMPUTED_VALUE"""),"有")</f>
        <v>有</v>
      </c>
      <c r="Y1086" s="8" t="str">
        <f>IFERROR(__xludf.DUMMYFUNCTION("""COMPUTED_VALUE"""),"P24まで")</f>
        <v>P24まで</v>
      </c>
      <c r="Z1086" s="7"/>
      <c r="AA1086" s="7"/>
      <c r="AB1086" s="7"/>
    </row>
    <row r="1087" ht="15.75" customHeight="1">
      <c r="A1087" s="26">
        <f>IFERROR(__xludf.DUMMYFUNCTION("""COMPUTED_VALUE"""),2863.0)</f>
        <v>2863</v>
      </c>
      <c r="B1087" s="22" t="str">
        <f>IFERROR(__xludf.DUMMYFUNCTION("""COMPUTED_VALUE"""),"確定")</f>
        <v>確定</v>
      </c>
      <c r="C1087" s="28">
        <f>IFERROR(__xludf.DUMMYFUNCTION("""COMPUTED_VALUE"""),45313.0)</f>
        <v>45313</v>
      </c>
      <c r="D1087" s="28">
        <f>IFERROR(__xludf.DUMMYFUNCTION("""COMPUTED_VALUE"""),45314.0)</f>
        <v>45314</v>
      </c>
      <c r="E1087" s="31">
        <f>IFERROR(__xludf.DUMMYFUNCTION("""COMPUTED_VALUE"""),285894.0)</f>
        <v>285894</v>
      </c>
      <c r="F1087" s="22" t="str">
        <f>IFERROR(__xludf.DUMMYFUNCTION("""COMPUTED_VALUE"""),"【単話版】不良っぽい彼女はダラダラしたい")</f>
        <v>【単話版】不良っぽい彼女はダラダラしたい</v>
      </c>
      <c r="G1087" s="20">
        <f>IFERROR(__xludf.DUMMYFUNCTION("""COMPUTED_VALUE"""),1.0)</f>
        <v>1</v>
      </c>
      <c r="H1087" s="22" t="str">
        <f>IFERROR(__xludf.DUMMYFUNCTION("""COMPUTED_VALUE"""),"赤城あさひと")</f>
        <v>赤城あさひと</v>
      </c>
      <c r="I1087" s="22" t="str">
        <f>IFERROR(__xludf.DUMMYFUNCTION("""COMPUTED_VALUE"""),"青年")</f>
        <v>青年</v>
      </c>
      <c r="J1087" s="22"/>
      <c r="K1087" s="22"/>
      <c r="L1087" s="22" t="str">
        <f>IFERROR(__xludf.DUMMYFUNCTION("""COMPUTED_VALUE"""),"GOT")</f>
        <v>GOT</v>
      </c>
      <c r="M1087" s="23">
        <f>IFERROR(__xludf.DUMMYFUNCTION("""COMPUTED_VALUE"""),45352.0)</f>
        <v>45352</v>
      </c>
      <c r="N1087" s="23">
        <f>IFERROR(__xludf.DUMMYFUNCTION("""COMPUTED_VALUE"""),45412.0)</f>
        <v>45412</v>
      </c>
      <c r="O1087" s="20"/>
      <c r="P1087" s="32" t="str">
        <f>IFERROR(__xludf.DUMMYFUNCTION("""COMPUTED_VALUE"""),"可")</f>
        <v>可</v>
      </c>
      <c r="Q1087" s="22"/>
      <c r="R1087" s="22" t="str">
        <f>IFERROR(__xludf.DUMMYFUNCTION("""COMPUTED_VALUE"""),"格納済")</f>
        <v>格納済</v>
      </c>
      <c r="S1087" s="22" t="str">
        <f>IFERROR(__xludf.DUMMYFUNCTION("""COMPUTED_VALUE"""),"20240122_GOT_不良っぽい彼女はダラダラしたい")</f>
        <v>20240122_GOT_不良っぽい彼女はダラダラしたい</v>
      </c>
      <c r="T1087" s="22" t="str">
        <f>IFERROR(__xludf.DUMMYFUNCTION("""COMPUTED_VALUE"""),"格納済み")</f>
        <v>格納済み</v>
      </c>
      <c r="U1087" s="15" t="str">
        <f>IFERROR(__xludf.DUMMYFUNCTION("""COMPUTED_VALUE"""),"©赤城あさひと／ジーオーティー")</f>
        <v>©赤城あさひと／ジーオーティー</v>
      </c>
      <c r="V1087" s="8" t="str">
        <f>IFERROR(__xludf.DUMMYFUNCTION("""COMPUTED_VALUE"""),"さりげないボディピアスとタバコを吸う姿が似合う彼女、
不破良香(ふわ　りょうか)こと略して『不良』ちゃん。
読んで字のごとく”不良”っぽい雰囲気の良香ちゃんと、
彼女のことが好きすぎる彼氏が織りなす日常性活の“事後”を描いた
アフターエロコメディ★
※本作は人気同人シリーズの一般連載版です。
本番シーンが見たい方は同人版を要チェック!!")</f>
        <v>さりげないボディピアスとタバコを吸う姿が似合う彼女、
不破良香(ふわ　りょうか)こと略して『不良』ちゃん。
読んで字のごとく”不良”っぽい雰囲気の良香ちゃんと、
彼女のことが好きすぎる彼氏が織りなす日常性活の“事後”を描いた
アフターエロコメディ★
※本作は人気同人シリーズの一般連載版です。
本番シーンが見たい方は同人版を要チェック!!</v>
      </c>
      <c r="W1087" s="14"/>
      <c r="X1087" s="14" t="str">
        <f>IFERROR(__xludf.DUMMYFUNCTION("""COMPUTED_VALUE"""),"有")</f>
        <v>有</v>
      </c>
      <c r="Y1087" s="8" t="str">
        <f>IFERROR(__xludf.DUMMYFUNCTION("""COMPUTED_VALUE"""),"P4まで")</f>
        <v>P4まで</v>
      </c>
      <c r="Z1087" s="7"/>
      <c r="AA1087" s="7"/>
      <c r="AB1087" s="7"/>
    </row>
    <row r="1088" ht="15.75" customHeight="1">
      <c r="A1088" s="26">
        <f>IFERROR(__xludf.DUMMYFUNCTION("""COMPUTED_VALUE"""),2864.0)</f>
        <v>2864</v>
      </c>
      <c r="B1088" s="22" t="str">
        <f>IFERROR(__xludf.DUMMYFUNCTION("""COMPUTED_VALUE"""),"確定")</f>
        <v>確定</v>
      </c>
      <c r="C1088" s="28">
        <f>IFERROR(__xludf.DUMMYFUNCTION("""COMPUTED_VALUE"""),45313.0)</f>
        <v>45313</v>
      </c>
      <c r="D1088" s="28">
        <f>IFERROR(__xludf.DUMMYFUNCTION("""COMPUTED_VALUE"""),45314.0)</f>
        <v>45314</v>
      </c>
      <c r="E1088" s="31">
        <f>IFERROR(__xludf.DUMMYFUNCTION("""COMPUTED_VALUE"""),285895.0)</f>
        <v>285895</v>
      </c>
      <c r="F1088" s="22" t="str">
        <f>IFERROR(__xludf.DUMMYFUNCTION("""COMPUTED_VALUE"""),"【単話版】百合フェチLIFE")</f>
        <v>【単話版】百合フェチLIFE</v>
      </c>
      <c r="G1088" s="11" t="str">
        <f>IFERROR(__xludf.DUMMYFUNCTION("""COMPUTED_VALUE"""),"1～2")</f>
        <v>1～2</v>
      </c>
      <c r="H1088" s="22" t="str">
        <f>IFERROR(__xludf.DUMMYFUNCTION("""COMPUTED_VALUE"""),"館山けーた")</f>
        <v>館山けーた</v>
      </c>
      <c r="I1088" s="22" t="str">
        <f>IFERROR(__xludf.DUMMYFUNCTION("""COMPUTED_VALUE"""),"青年")</f>
        <v>青年</v>
      </c>
      <c r="J1088" s="22"/>
      <c r="K1088" s="22"/>
      <c r="L1088" s="22" t="str">
        <f>IFERROR(__xludf.DUMMYFUNCTION("""COMPUTED_VALUE"""),"GOT")</f>
        <v>GOT</v>
      </c>
      <c r="M1088" s="23">
        <f>IFERROR(__xludf.DUMMYFUNCTION("""COMPUTED_VALUE"""),45352.0)</f>
        <v>45352</v>
      </c>
      <c r="N1088" s="23">
        <f>IFERROR(__xludf.DUMMYFUNCTION("""COMPUTED_VALUE"""),45412.0)</f>
        <v>45412</v>
      </c>
      <c r="O1088" s="20"/>
      <c r="P1088" s="32" t="str">
        <f>IFERROR(__xludf.DUMMYFUNCTION("""COMPUTED_VALUE"""),"可")</f>
        <v>可</v>
      </c>
      <c r="Q1088" s="22"/>
      <c r="R1088" s="22" t="str">
        <f>IFERROR(__xludf.DUMMYFUNCTION("""COMPUTED_VALUE"""),"格納済")</f>
        <v>格納済</v>
      </c>
      <c r="S1088" s="22" t="str">
        <f>IFERROR(__xludf.DUMMYFUNCTION("""COMPUTED_VALUE"""),"20240122_GOT_百合フェチLIFE")</f>
        <v>20240122_GOT_百合フェチLIFE</v>
      </c>
      <c r="T1088" s="22" t="str">
        <f>IFERROR(__xludf.DUMMYFUNCTION("""COMPUTED_VALUE"""),"格納済み")</f>
        <v>格納済み</v>
      </c>
      <c r="U1088" s="15" t="str">
        <f>IFERROR(__xludf.DUMMYFUNCTION("""COMPUTED_VALUE"""),"©館山けーた ／ジーオーティー")</f>
        <v>©館山けーた ／ジーオーティー</v>
      </c>
      <c r="V1088" s="8" t="str">
        <f>IFERROR(__xludf.DUMMYFUNCTION("""COMPUTED_VALUE"""),"『最近、わたしは彼女のクチビルが気になってしょうがない』
高2の『ミキ』は同級生『ナツ』の唇を自然と見つめてしまう。
その原因は”とてもエッチだから…”
日常的に繰り出される、ナツのゼロ距離無防備アプローチに、
ミキの秘めた想いは意外な形で叶う事となってしまい、
やがて二人の関係は友達以上へとーー…。
恥ずかしいのに抗えないーー、徐々に高ぶる二人の体温ーー
百合界の超新星が放つ、麗しく艶かしい乙女遊戯、開幕です★")</f>
        <v>『最近、わたしは彼女のクチビルが気になってしょうがない』
高2の『ミキ』は同級生『ナツ』の唇を自然と見つめてしまう。
その原因は”とてもエッチだから…”
日常的に繰り出される、ナツのゼロ距離無防備アプローチに、
ミキの秘めた想いは意外な形で叶う事となってしまい、
やがて二人の関係は友達以上へとーー…。
恥ずかしいのに抗えないーー、徐々に高ぶる二人の体温ーー
百合界の超新星が放つ、麗しく艶かしい乙女遊戯、開幕です★</v>
      </c>
      <c r="W1088" s="14"/>
      <c r="X1088" s="14" t="str">
        <f>IFERROR(__xludf.DUMMYFUNCTION("""COMPUTED_VALUE"""),"有")</f>
        <v>有</v>
      </c>
      <c r="Y1088" s="8" t="str">
        <f>IFERROR(__xludf.DUMMYFUNCTION("""COMPUTED_VALUE"""),"P4まで")</f>
        <v>P4まで</v>
      </c>
      <c r="Z1088" s="7"/>
      <c r="AA1088" s="7"/>
      <c r="AB1088" s="7"/>
    </row>
    <row r="1089" ht="15.75" customHeight="1">
      <c r="A1089" s="26">
        <f>IFERROR(__xludf.DUMMYFUNCTION("""COMPUTED_VALUE"""),2865.0)</f>
        <v>2865</v>
      </c>
      <c r="B1089" s="22" t="str">
        <f>IFERROR(__xludf.DUMMYFUNCTION("""COMPUTED_VALUE"""),"確定")</f>
        <v>確定</v>
      </c>
      <c r="C1089" s="28">
        <f>IFERROR(__xludf.DUMMYFUNCTION("""COMPUTED_VALUE"""),45313.0)</f>
        <v>45313</v>
      </c>
      <c r="D1089" s="28">
        <f>IFERROR(__xludf.DUMMYFUNCTION("""COMPUTED_VALUE"""),45314.0)</f>
        <v>45314</v>
      </c>
      <c r="E1089" s="31">
        <f>IFERROR(__xludf.DUMMYFUNCTION("""COMPUTED_VALUE"""),285896.0)</f>
        <v>285896</v>
      </c>
      <c r="F1089" s="22" t="str">
        <f>IFERROR(__xludf.DUMMYFUNCTION("""COMPUTED_VALUE"""),"【単話版】ぶらり異世界ケモの旅")</f>
        <v>【単話版】ぶらり異世界ケモの旅</v>
      </c>
      <c r="G1089" s="20" t="str">
        <f>IFERROR(__xludf.DUMMYFUNCTION("""COMPUTED_VALUE"""),"1~3")</f>
        <v>1~3</v>
      </c>
      <c r="H1089" s="22" t="str">
        <f>IFERROR(__xludf.DUMMYFUNCTION("""COMPUTED_VALUE"""),"しのづかあつと")</f>
        <v>しのづかあつと</v>
      </c>
      <c r="I1089" s="22" t="str">
        <f>IFERROR(__xludf.DUMMYFUNCTION("""COMPUTED_VALUE"""),"青年")</f>
        <v>青年</v>
      </c>
      <c r="J1089" s="22"/>
      <c r="K1089" s="22"/>
      <c r="L1089" s="22" t="str">
        <f>IFERROR(__xludf.DUMMYFUNCTION("""COMPUTED_VALUE"""),"GOT")</f>
        <v>GOT</v>
      </c>
      <c r="M1089" s="23">
        <f>IFERROR(__xludf.DUMMYFUNCTION("""COMPUTED_VALUE"""),45352.0)</f>
        <v>45352</v>
      </c>
      <c r="N1089" s="23">
        <f>IFERROR(__xludf.DUMMYFUNCTION("""COMPUTED_VALUE"""),45412.0)</f>
        <v>45412</v>
      </c>
      <c r="O1089" s="20"/>
      <c r="P1089" s="32" t="str">
        <f>IFERROR(__xludf.DUMMYFUNCTION("""COMPUTED_VALUE"""),"可")</f>
        <v>可</v>
      </c>
      <c r="Q1089" s="22"/>
      <c r="R1089" s="22" t="str">
        <f>IFERROR(__xludf.DUMMYFUNCTION("""COMPUTED_VALUE"""),"格納済")</f>
        <v>格納済</v>
      </c>
      <c r="S1089" s="22" t="str">
        <f>IFERROR(__xludf.DUMMYFUNCTION("""COMPUTED_VALUE"""),"20240122_GOT_ぶらり異世界ケモの旅")</f>
        <v>20240122_GOT_ぶらり異世界ケモの旅</v>
      </c>
      <c r="T1089" s="22" t="str">
        <f>IFERROR(__xludf.DUMMYFUNCTION("""COMPUTED_VALUE"""),"格納済み")</f>
        <v>格納済み</v>
      </c>
      <c r="U1089" s="15" t="str">
        <f>IFERROR(__xludf.DUMMYFUNCTION("""COMPUTED_VALUE"""),"©しのづかあつと／ジーオーティー")</f>
        <v>©しのづかあつと／ジーオーティー</v>
      </c>
      <c r="V1089" s="8" t="str">
        <f>IFERROR(__xludf.DUMMYFUNCTION("""COMPUTED_VALUE"""),"獣人少女たちとナカヨくなって、ゆる～く目指せほのぼのライフ♪
異世界転生時に手に入れたスキル『動物好き（ビーストマスター）』は動物たちを眷属にできるというもの。でもコレ、ケモミミ少女達にも有効で！？
珠玉のおっぱいマイスター・しのづかあつとが描くちょっとエッチな異世界（おっぱい）ゆるふわライフ、開幕です！")</f>
        <v>獣人少女たちとナカヨくなって、ゆる～く目指せほのぼのライフ♪
異世界転生時に手に入れたスキル『動物好き（ビーストマスター）』は動物たちを眷属にできるというもの。でもコレ、ケモミミ少女達にも有効で！？
珠玉のおっぱいマイスター・しのづかあつとが描くちょっとエッチな異世界（おっぱい）ゆるふわライフ、開幕です！</v>
      </c>
      <c r="W1089" s="14"/>
      <c r="X1089" s="14" t="str">
        <f>IFERROR(__xludf.DUMMYFUNCTION("""COMPUTED_VALUE"""),"有")</f>
        <v>有</v>
      </c>
      <c r="Y1089" s="8" t="str">
        <f>IFERROR(__xludf.DUMMYFUNCTION("""COMPUTED_VALUE"""),"P4まで")</f>
        <v>P4まで</v>
      </c>
      <c r="Z1089" s="7"/>
      <c r="AA1089" s="7"/>
      <c r="AB1089" s="7"/>
    </row>
    <row r="1090" ht="15.75" customHeight="1">
      <c r="A1090" s="26">
        <f>IFERROR(__xludf.DUMMYFUNCTION("""COMPUTED_VALUE"""),2866.0)</f>
        <v>2866</v>
      </c>
      <c r="B1090" s="22" t="str">
        <f>IFERROR(__xludf.DUMMYFUNCTION("""COMPUTED_VALUE"""),"確定")</f>
        <v>確定</v>
      </c>
      <c r="C1090" s="28">
        <f>IFERROR(__xludf.DUMMYFUNCTION("""COMPUTED_VALUE"""),45313.0)</f>
        <v>45313</v>
      </c>
      <c r="D1090" s="28">
        <f>IFERROR(__xludf.DUMMYFUNCTION("""COMPUTED_VALUE"""),45314.0)</f>
        <v>45314</v>
      </c>
      <c r="E1090" s="31">
        <f>IFERROR(__xludf.DUMMYFUNCTION("""COMPUTED_VALUE"""),285897.0)</f>
        <v>285897</v>
      </c>
      <c r="F1090" s="22" t="str">
        <f>IFERROR(__xludf.DUMMYFUNCTION("""COMPUTED_VALUE"""),"【単話版】ラブ・スプリント")</f>
        <v>【単話版】ラブ・スプリント</v>
      </c>
      <c r="G1090" s="20" t="str">
        <f>IFERROR(__xludf.DUMMYFUNCTION("""COMPUTED_VALUE"""),"1~3")</f>
        <v>1~3</v>
      </c>
      <c r="H1090" s="22" t="str">
        <f>IFERROR(__xludf.DUMMYFUNCTION("""COMPUTED_VALUE"""),"かぱ")</f>
        <v>かぱ</v>
      </c>
      <c r="I1090" s="22" t="str">
        <f>IFERROR(__xludf.DUMMYFUNCTION("""COMPUTED_VALUE"""),"青年")</f>
        <v>青年</v>
      </c>
      <c r="J1090" s="22"/>
      <c r="K1090" s="22"/>
      <c r="L1090" s="22" t="str">
        <f>IFERROR(__xludf.DUMMYFUNCTION("""COMPUTED_VALUE"""),"GOT")</f>
        <v>GOT</v>
      </c>
      <c r="M1090" s="23">
        <f>IFERROR(__xludf.DUMMYFUNCTION("""COMPUTED_VALUE"""),45352.0)</f>
        <v>45352</v>
      </c>
      <c r="N1090" s="23">
        <f>IFERROR(__xludf.DUMMYFUNCTION("""COMPUTED_VALUE"""),45412.0)</f>
        <v>45412</v>
      </c>
      <c r="O1090" s="20"/>
      <c r="P1090" s="32" t="str">
        <f>IFERROR(__xludf.DUMMYFUNCTION("""COMPUTED_VALUE"""),"可")</f>
        <v>可</v>
      </c>
      <c r="Q1090" s="22"/>
      <c r="R1090" s="22" t="str">
        <f>IFERROR(__xludf.DUMMYFUNCTION("""COMPUTED_VALUE"""),"格納済")</f>
        <v>格納済</v>
      </c>
      <c r="S1090" s="22" t="str">
        <f>IFERROR(__xludf.DUMMYFUNCTION("""COMPUTED_VALUE"""),"20240122_GOT_ラブ・スプリント")</f>
        <v>20240122_GOT_ラブ・スプリント</v>
      </c>
      <c r="T1090" s="22" t="str">
        <f>IFERROR(__xludf.DUMMYFUNCTION("""COMPUTED_VALUE"""),"格納済み")</f>
        <v>格納済み</v>
      </c>
      <c r="U1090" s="15" t="str">
        <f>IFERROR(__xludf.DUMMYFUNCTION("""COMPUTED_VALUE"""),"©かぱ／ジーオーティー")</f>
        <v>©かぱ／ジーオーティー</v>
      </c>
      <c r="V1090" s="8" t="str">
        <f>IFERROR(__xludf.DUMMYFUNCTION("""COMPUTED_VALUE"""),"『世界一のカップルは俺たちだ！』
愛の神を祀る社。そこには10年に1度だけあらゆる願いを叶える力が宿るという。そしてその願いを叶える資格は恋人同士がペアを組んで挑む大障害物レース『ラブ・スプリント』を勝ち抜いた”世界一のカップル”のみに与えられるという。
ラブラブ絶頂ながらもインポだったために彼女をNTRれた過去を持つ彼はインポを治し彼女と愛し合うため…、忍の里出身のくのいちは衰退する一族の未来を賭けて…、世界的炎上系アイドルと釣り合う彼女になるために…、様々な想いを賭けて今、恋人たちの一大障害物レー"&amp;"スが始まる！！")</f>
        <v>『世界一のカップルは俺たちだ！』
愛の神を祀る社。そこには10年に1度だけあらゆる願いを叶える力が宿るという。そしてその願いを叶える資格は恋人同士がペアを組んで挑む大障害物レース『ラブ・スプリント』を勝ち抜いた”世界一のカップル”のみに与えられるという。
ラブラブ絶頂ながらもインポだったために彼女をNTRれた過去を持つ彼はインポを治し彼女と愛し合うため…、忍の里出身のくのいちは衰退する一族の未来を賭けて…、世界的炎上系アイドルと釣り合う彼女になるために…、様々な想いを賭けて今、恋人たちの一大障害物レースが始まる！！</v>
      </c>
      <c r="W1090" s="14"/>
      <c r="X1090" s="14" t="str">
        <f>IFERROR(__xludf.DUMMYFUNCTION("""COMPUTED_VALUE"""),"有")</f>
        <v>有</v>
      </c>
      <c r="Y1090" s="8" t="str">
        <f>IFERROR(__xludf.DUMMYFUNCTION("""COMPUTED_VALUE"""),"P4まで")</f>
        <v>P4まで</v>
      </c>
      <c r="Z1090" s="7"/>
      <c r="AA1090" s="7"/>
      <c r="AB1090" s="7"/>
    </row>
    <row r="1091" ht="15.75" customHeight="1">
      <c r="A1091" s="26">
        <f>IFERROR(__xludf.DUMMYFUNCTION("""COMPUTED_VALUE"""),2867.0)</f>
        <v>2867</v>
      </c>
      <c r="B1091" s="22" t="str">
        <f>IFERROR(__xludf.DUMMYFUNCTION("""COMPUTED_VALUE"""),"確定")</f>
        <v>確定</v>
      </c>
      <c r="C1091" s="28">
        <f>IFERROR(__xludf.DUMMYFUNCTION("""COMPUTED_VALUE"""),45313.0)</f>
        <v>45313</v>
      </c>
      <c r="D1091" s="28">
        <f>IFERROR(__xludf.DUMMYFUNCTION("""COMPUTED_VALUE"""),45314.0)</f>
        <v>45314</v>
      </c>
      <c r="E1091" s="31">
        <f>IFERROR(__xludf.DUMMYFUNCTION("""COMPUTED_VALUE"""),285898.0)</f>
        <v>285898</v>
      </c>
      <c r="F1091" s="22" t="str">
        <f>IFERROR(__xludf.DUMMYFUNCTION("""COMPUTED_VALUE"""),"【単話版】旧友と不倫してみた")</f>
        <v>【単話版】旧友と不倫してみた</v>
      </c>
      <c r="G1091" s="11" t="str">
        <f>IFERROR(__xludf.DUMMYFUNCTION("""COMPUTED_VALUE"""),"1～2")</f>
        <v>1～2</v>
      </c>
      <c r="H1091" s="22" t="str">
        <f>IFERROR(__xludf.DUMMYFUNCTION("""COMPUTED_VALUE"""),"岸虎次郎")</f>
        <v>岸虎次郎</v>
      </c>
      <c r="I1091" s="22" t="str">
        <f>IFERROR(__xludf.DUMMYFUNCTION("""COMPUTED_VALUE"""),"青年")</f>
        <v>青年</v>
      </c>
      <c r="J1091" s="22"/>
      <c r="K1091" s="22"/>
      <c r="L1091" s="22" t="str">
        <f>IFERROR(__xludf.DUMMYFUNCTION("""COMPUTED_VALUE"""),"GOT")</f>
        <v>GOT</v>
      </c>
      <c r="M1091" s="23">
        <f>IFERROR(__xludf.DUMMYFUNCTION("""COMPUTED_VALUE"""),45352.0)</f>
        <v>45352</v>
      </c>
      <c r="N1091" s="23">
        <f>IFERROR(__xludf.DUMMYFUNCTION("""COMPUTED_VALUE"""),45412.0)</f>
        <v>45412</v>
      </c>
      <c r="O1091" s="20"/>
      <c r="P1091" s="32" t="str">
        <f>IFERROR(__xludf.DUMMYFUNCTION("""COMPUTED_VALUE"""),"可")</f>
        <v>可</v>
      </c>
      <c r="Q1091" s="22"/>
      <c r="R1091" s="22" t="str">
        <f>IFERROR(__xludf.DUMMYFUNCTION("""COMPUTED_VALUE"""),"格納済")</f>
        <v>格納済</v>
      </c>
      <c r="S1091" s="22" t="str">
        <f>IFERROR(__xludf.DUMMYFUNCTION("""COMPUTED_VALUE"""),"20240122_GOT_旧友と不倫してみた")</f>
        <v>20240122_GOT_旧友と不倫してみた</v>
      </c>
      <c r="T1091" s="22" t="str">
        <f>IFERROR(__xludf.DUMMYFUNCTION("""COMPUTED_VALUE"""),"格納済み")</f>
        <v>格納済み</v>
      </c>
      <c r="U1091" s="15" t="str">
        <f>IFERROR(__xludf.DUMMYFUNCTION("""COMPUTED_VALUE"""),"©岸虎次郎／ジーオーティー")</f>
        <v>©岸虎次郎／ジーオーティー</v>
      </c>
      <c r="V1091" s="8" t="str">
        <f>IFERROR(__xludf.DUMMYFUNCTION("""COMPUTED_VALUE"""),"『そうだった…あたしの身体ってこんなにきもちいいんだった』
結婚10年目のOL・安芸(あき)あゆなは、優しい夫と平穏な日々を送っていた。
彼女の元にクラス会のハガキが届くまでは――。
ある日、クラス会のハガキを受け取ったあゆなはその夜、学生時代の元彼・殿田(とのだ)とセックスする夢を見る。夢の中で本当に気持ちのいい、あの頃の自分の身体を思い出したあゆなは、寝ても覚めても身体を疼かせる殿田との行為を反芻してしまう。そんな中、学生時代の親友・智花(ともか)から久々に届いたメッセージに、あゆなは”あること”を思"&amp;"いつき…。")</f>
        <v>『そうだった…あたしの身体ってこんなにきもちいいんだった』
結婚10年目のOL・安芸(あき)あゆなは、優しい夫と平穏な日々を送っていた。
彼女の元にクラス会のハガキが届くまでは――。
ある日、クラス会のハガキを受け取ったあゆなはその夜、学生時代の元彼・殿田(とのだ)とセックスする夢を見る。夢の中で本当に気持ちのいい、あの頃の自分の身体を思い出したあゆなは、寝ても覚めても身体を疼かせる殿田との行為を反芻してしまう。そんな中、学生時代の親友・智花(ともか)から久々に届いたメッセージに、あゆなは”あること”を思いつき…。</v>
      </c>
      <c r="W1091" s="14"/>
      <c r="X1091" s="14" t="str">
        <f>IFERROR(__xludf.DUMMYFUNCTION("""COMPUTED_VALUE"""),"有")</f>
        <v>有</v>
      </c>
      <c r="Y1091" s="8" t="str">
        <f>IFERROR(__xludf.DUMMYFUNCTION("""COMPUTED_VALUE"""),"P4まで")</f>
        <v>P4まで</v>
      </c>
      <c r="Z1091" s="7"/>
      <c r="AA1091" s="7"/>
      <c r="AB1091" s="7"/>
    </row>
    <row r="1092" ht="15.75" customHeight="1">
      <c r="A1092" s="26">
        <f>IFERROR(__xludf.DUMMYFUNCTION("""COMPUTED_VALUE"""),2868.0)</f>
        <v>2868</v>
      </c>
      <c r="B1092" s="22" t="str">
        <f>IFERROR(__xludf.DUMMYFUNCTION("""COMPUTED_VALUE"""),"確定")</f>
        <v>確定</v>
      </c>
      <c r="C1092" s="28">
        <f>IFERROR(__xludf.DUMMYFUNCTION("""COMPUTED_VALUE"""),45313.0)</f>
        <v>45313</v>
      </c>
      <c r="D1092" s="28">
        <f>IFERROR(__xludf.DUMMYFUNCTION("""COMPUTED_VALUE"""),45314.0)</f>
        <v>45314</v>
      </c>
      <c r="E1092" s="31">
        <f>IFERROR(__xludf.DUMMYFUNCTION("""COMPUTED_VALUE"""),285899.0)</f>
        <v>285899</v>
      </c>
      <c r="F1092" s="22" t="str">
        <f>IFERROR(__xludf.DUMMYFUNCTION("""COMPUTED_VALUE"""),"【単話版】バリよか飯！")</f>
        <v>【単話版】バリよか飯！</v>
      </c>
      <c r="G1092" s="11" t="str">
        <f>IFERROR(__xludf.DUMMYFUNCTION("""COMPUTED_VALUE"""),"1～2")</f>
        <v>1～2</v>
      </c>
      <c r="H1092" s="22" t="str">
        <f>IFERROR(__xludf.DUMMYFUNCTION("""COMPUTED_VALUE"""),"西園寺ぽるぽる")</f>
        <v>西園寺ぽるぽる</v>
      </c>
      <c r="I1092" s="22" t="str">
        <f>IFERROR(__xludf.DUMMYFUNCTION("""COMPUTED_VALUE"""),"青年")</f>
        <v>青年</v>
      </c>
      <c r="J1092" s="22"/>
      <c r="K1092" s="22"/>
      <c r="L1092" s="22" t="str">
        <f>IFERROR(__xludf.DUMMYFUNCTION("""COMPUTED_VALUE"""),"GOT")</f>
        <v>GOT</v>
      </c>
      <c r="M1092" s="23">
        <f>IFERROR(__xludf.DUMMYFUNCTION("""COMPUTED_VALUE"""),45352.0)</f>
        <v>45352</v>
      </c>
      <c r="N1092" s="23">
        <f>IFERROR(__xludf.DUMMYFUNCTION("""COMPUTED_VALUE"""),45412.0)</f>
        <v>45412</v>
      </c>
      <c r="O1092" s="20"/>
      <c r="P1092" s="32" t="str">
        <f>IFERROR(__xludf.DUMMYFUNCTION("""COMPUTED_VALUE"""),"可")</f>
        <v>可</v>
      </c>
      <c r="Q1092" s="22"/>
      <c r="R1092" s="22" t="str">
        <f>IFERROR(__xludf.DUMMYFUNCTION("""COMPUTED_VALUE"""),"格納済")</f>
        <v>格納済</v>
      </c>
      <c r="S1092" s="22" t="str">
        <f>IFERROR(__xludf.DUMMYFUNCTION("""COMPUTED_VALUE"""),"20240122_GOT_バリよか飯！")</f>
        <v>20240122_GOT_バリよか飯！</v>
      </c>
      <c r="T1092" s="22" t="str">
        <f>IFERROR(__xludf.DUMMYFUNCTION("""COMPUTED_VALUE"""),"格納済み")</f>
        <v>格納済み</v>
      </c>
      <c r="U1092" s="15" t="str">
        <f>IFERROR(__xludf.DUMMYFUNCTION("""COMPUTED_VALUE"""),"©西園寺ぽるぽる／ジーオーティー")</f>
        <v>©西園寺ぽるぽる／ジーオーティー</v>
      </c>
      <c r="V1092" s="8" t="str">
        <f>IFERROR(__xludf.DUMMYFUNCTION("""COMPUTED_VALUE"""),"美味しくてえっちかマンガば、ここにあるとよ☆
福岡全力応援マンガ部門第1位…！※当社調べ
唯一無二のコメディセンスを誇る西園寺ぽるぽるが贈る、ご当地系フードコメディがここに爆誕!!
東京から福岡に引っ越した早生(さき)。
慣れない土地に不安と期待が入り混じる中、個性豊かなクラスメイトたちは「バリよか」なグルメで歓迎☆
豚骨ラーメンに、明太子、苺スイーツなど福岡グルメオールスターが早生をトリコに！
押し寄せる食欲の波に彼女の幸福値はMAX！
時に可愛く麗しく、色っぽく乱れていくのだった──!?"&amp;"
とってもヤミーでちょっぴりえっちな美食物語をご堪能あれっ!!!!")</f>
        <v>美味しくてえっちかマンガば、ここにあるとよ☆
福岡全力応援マンガ部門第1位…！※当社調べ
唯一無二のコメディセンスを誇る西園寺ぽるぽるが贈る、ご当地系フードコメディがここに爆誕!!
東京から福岡に引っ越した早生(さき)。
慣れない土地に不安と期待が入り混じる中、個性豊かなクラスメイトたちは「バリよか」なグルメで歓迎☆
豚骨ラーメンに、明太子、苺スイーツなど福岡グルメオールスターが早生をトリコに！
押し寄せる食欲の波に彼女の幸福値はMAX！
時に可愛く麗しく、色っぽく乱れていくのだった──!?
とってもヤミーでちょっぴりえっちな美食物語をご堪能あれっ!!!!</v>
      </c>
      <c r="W1092" s="14"/>
      <c r="X1092" s="14" t="str">
        <f>IFERROR(__xludf.DUMMYFUNCTION("""COMPUTED_VALUE"""),"有")</f>
        <v>有</v>
      </c>
      <c r="Y1092" s="8" t="str">
        <f>IFERROR(__xludf.DUMMYFUNCTION("""COMPUTED_VALUE"""),"P4まで")</f>
        <v>P4まで</v>
      </c>
      <c r="Z1092" s="7"/>
      <c r="AA1092" s="7"/>
      <c r="AB1092" s="7"/>
    </row>
    <row r="1093" ht="15.75" customHeight="1">
      <c r="A1093" s="26">
        <f>IFERROR(__xludf.DUMMYFUNCTION("""COMPUTED_VALUE"""),2869.0)</f>
        <v>2869</v>
      </c>
      <c r="B1093" s="22" t="str">
        <f>IFERROR(__xludf.DUMMYFUNCTION("""COMPUTED_VALUE"""),"確定")</f>
        <v>確定</v>
      </c>
      <c r="C1093" s="28">
        <f>IFERROR(__xludf.DUMMYFUNCTION("""COMPUTED_VALUE"""),45313.0)</f>
        <v>45313</v>
      </c>
      <c r="D1093" s="28">
        <f>IFERROR(__xludf.DUMMYFUNCTION("""COMPUTED_VALUE"""),45314.0)</f>
        <v>45314</v>
      </c>
      <c r="E1093" s="31">
        <f>IFERROR(__xludf.DUMMYFUNCTION("""COMPUTED_VALUE"""),285949.0)</f>
        <v>285949</v>
      </c>
      <c r="F1093" s="22" t="str">
        <f>IFERROR(__xludf.DUMMYFUNCTION("""COMPUTED_VALUE"""),"ハレムの呪いの指環～契約結婚の初夜をぶち壊すために精霊を召喚してみました～")</f>
        <v>ハレムの呪いの指環～契約結婚の初夜をぶち壊すために精霊を召喚してみました～</v>
      </c>
      <c r="G1093" s="20" t="str">
        <f>IFERROR(__xludf.DUMMYFUNCTION("""COMPUTED_VALUE"""),"1～3")</f>
        <v>1～3</v>
      </c>
      <c r="H1093" s="22" t="str">
        <f>IFERROR(__xludf.DUMMYFUNCTION("""COMPUTED_VALUE"""),"漫画：神月凛／原作：高山ちあき／キャラクター原案：山下ナナオ")</f>
        <v>漫画：神月凛／原作：高山ちあき／キャラクター原案：山下ナナオ</v>
      </c>
      <c r="I1093" s="22" t="str">
        <f>IFERROR(__xludf.DUMMYFUNCTION("""COMPUTED_VALUE"""),"女性")</f>
        <v>女性</v>
      </c>
      <c r="J1093" s="22"/>
      <c r="K1093" s="22"/>
      <c r="L1093" s="22" t="str">
        <f>IFERROR(__xludf.DUMMYFUNCTION("""COMPUTED_VALUE"""),"集英社")</f>
        <v>集英社</v>
      </c>
      <c r="M1093" s="23">
        <f>IFERROR(__xludf.DUMMYFUNCTION("""COMPUTED_VALUE"""),45323.0)</f>
        <v>45323</v>
      </c>
      <c r="N1093" s="33">
        <f>IFERROR(__xludf.DUMMYFUNCTION("""COMPUTED_VALUE"""),45351.0)</f>
        <v>45351</v>
      </c>
      <c r="O1093" s="20"/>
      <c r="P1093" s="29" t="str">
        <f>IFERROR(__xludf.DUMMYFUNCTION("""COMPUTED_VALUE"""),"否")</f>
        <v>否</v>
      </c>
      <c r="Q1093" s="30" t="str">
        <f>IFERROR(__xludf.DUMMYFUNCTION("""COMPUTED_VALUE"""),"デジタルマーガレット")</f>
        <v>デジタルマーガレット</v>
      </c>
      <c r="R1093" s="22"/>
      <c r="S1093" s="22" t="str">
        <f>IFERROR(__xludf.DUMMYFUNCTION("""COMPUTED_VALUE"""),"20230122_集英社_2月新作")</f>
        <v>20230122_集英社_2月新作</v>
      </c>
      <c r="T1093" s="22" t="str">
        <f>IFERROR(__xludf.DUMMYFUNCTION("""COMPUTED_VALUE"""),"格納済み")</f>
        <v>格納済み</v>
      </c>
      <c r="U1093" s="15" t="str">
        <f>IFERROR(__xludf.DUMMYFUNCTION("""COMPUTED_VALUE"""),"(C)神月凛・高山ちあき／集英社")</f>
        <v>(C)神月凛・高山ちあき／集英社</v>
      </c>
      <c r="V1093" s="8" t="str">
        <f>IFERROR(__xludf.DUMMYFUNCTION("""COMPUTED_VALUE"""),"大国エルマンドの悪名高き国王のもとに嫁ぐことになった王女シエラ。亡き母の願いを胸に秘め、国王との初夜を台無しにして一人で生きていく計画を立てる。ところがエルマンド到着早々に見目麗しい魔法を操る精イマームと出会い、思わぬ騒動に巻き込まれていく。アラビアンを舞台にした後宮ラブファンタジー。")</f>
        <v>大国エルマンドの悪名高き国王のもとに嫁ぐことになった王女シエラ。亡き母の願いを胸に秘め、国王との初夜を台無しにして一人で生きていく計画を立てる。ところがエルマンド到着早々に見目麗しい魔法を操る精イマームと出会い、思わぬ騒動に巻き込まれていく。アラビアンを舞台にした後宮ラブファンタジー。</v>
      </c>
      <c r="W1093" s="14"/>
      <c r="X1093" s="14" t="str">
        <f>IFERROR(__xludf.DUMMYFUNCTION("""COMPUTED_VALUE"""),"有")</f>
        <v>有</v>
      </c>
      <c r="Y1093" s="8" t="str">
        <f>IFERROR(__xludf.DUMMYFUNCTION("""COMPUTED_VALUE"""),"P10まで")</f>
        <v>P10まで</v>
      </c>
      <c r="Z1093" s="7"/>
      <c r="AA1093" s="7"/>
      <c r="AB1093" s="7"/>
    </row>
    <row r="1094" ht="15.75" customHeight="1">
      <c r="A1094" s="26">
        <f>IFERROR(__xludf.DUMMYFUNCTION("""COMPUTED_VALUE"""),2870.0)</f>
        <v>2870</v>
      </c>
      <c r="B1094" s="22" t="str">
        <f>IFERROR(__xludf.DUMMYFUNCTION("""COMPUTED_VALUE"""),"確定")</f>
        <v>確定</v>
      </c>
      <c r="C1094" s="28">
        <f>IFERROR(__xludf.DUMMYFUNCTION("""COMPUTED_VALUE"""),45313.0)</f>
        <v>45313</v>
      </c>
      <c r="D1094" s="28">
        <f>IFERROR(__xludf.DUMMYFUNCTION("""COMPUTED_VALUE"""),45314.0)</f>
        <v>45314</v>
      </c>
      <c r="E1094" s="31">
        <f>IFERROR(__xludf.DUMMYFUNCTION("""COMPUTED_VALUE"""),285945.0)</f>
        <v>285945</v>
      </c>
      <c r="F1094" s="22" t="str">
        <f>IFERROR(__xludf.DUMMYFUNCTION("""COMPUTED_VALUE"""),"竜の国の魔導書 〜婚約破棄された上に呪われて角が生えたので、イケメン魔法使いと解呪に奔走しています〜")</f>
        <v>竜の国の魔導書 〜婚約破棄された上に呪われて角が生えたので、イケメン魔法使いと解呪に奔走しています〜</v>
      </c>
      <c r="G1094" s="20" t="str">
        <f>IFERROR(__xludf.DUMMYFUNCTION("""COMPUTED_VALUE"""),"1～3")</f>
        <v>1～3</v>
      </c>
      <c r="H1094" s="22" t="str">
        <f>IFERROR(__xludf.DUMMYFUNCTION("""COMPUTED_VALUE"""),"漫画：オト有記／原作：森りん／キャラクター原案：庄屋")</f>
        <v>漫画：オト有記／原作：森りん／キャラクター原案：庄屋</v>
      </c>
      <c r="I1094" s="22" t="str">
        <f>IFERROR(__xludf.DUMMYFUNCTION("""COMPUTED_VALUE"""),"女性")</f>
        <v>女性</v>
      </c>
      <c r="J1094" s="22"/>
      <c r="K1094" s="22"/>
      <c r="L1094" s="22" t="str">
        <f>IFERROR(__xludf.DUMMYFUNCTION("""COMPUTED_VALUE"""),"集英社")</f>
        <v>集英社</v>
      </c>
      <c r="M1094" s="23">
        <f>IFERROR(__xludf.DUMMYFUNCTION("""COMPUTED_VALUE"""),45323.0)</f>
        <v>45323</v>
      </c>
      <c r="N1094" s="33">
        <f>IFERROR(__xludf.DUMMYFUNCTION("""COMPUTED_VALUE"""),45351.0)</f>
        <v>45351</v>
      </c>
      <c r="O1094" s="20"/>
      <c r="P1094" s="29" t="str">
        <f>IFERROR(__xludf.DUMMYFUNCTION("""COMPUTED_VALUE"""),"否")</f>
        <v>否</v>
      </c>
      <c r="Q1094" s="30" t="str">
        <f>IFERROR(__xludf.DUMMYFUNCTION("""COMPUTED_VALUE"""),"デジタルマーガレット")</f>
        <v>デジタルマーガレット</v>
      </c>
      <c r="R1094" s="22"/>
      <c r="S1094" s="22" t="str">
        <f>IFERROR(__xludf.DUMMYFUNCTION("""COMPUTED_VALUE"""),"20230122_集英社_2月新作")</f>
        <v>20230122_集英社_2月新作</v>
      </c>
      <c r="T1094" s="22" t="str">
        <f>IFERROR(__xludf.DUMMYFUNCTION("""COMPUTED_VALUE"""),"格納済み")</f>
        <v>格納済み</v>
      </c>
      <c r="U1094" s="15" t="str">
        <f>IFERROR(__xludf.DUMMYFUNCTION("""COMPUTED_VALUE"""),"(C)オト有記・森りん／集英社")</f>
        <v>(C)オト有記・森りん／集英社</v>
      </c>
      <c r="V1094" s="8" t="str">
        <f>IFERROR(__xludf.DUMMYFUNCTION("""COMPUTED_VALUE"""),"【婚約破棄された呪われ令嬢が、イケメン魔法使いと解呪に大奔走！】婚約破棄され、実家に戻らずに、ある島の王立図書館で人目を忍んで働く名家の娘・エリカ。そんなある日、分厚い眼鏡の男・ミルチャが「伝説の魔道書」を探しに図書館へやって来る。ミルチャ曰く、この島は“竜の身体”で出来た島で、魔法が存在しているらしい。半信半疑のエリカは目当ての本を一緒に探し、図書館の特別書架で見つけるが、本に触れた途端、エリカは気を失ってしまった。気づくとそこは見知らぬ家。しかもエリカの頭には竜の角が生えていて…!?")</f>
        <v>【婚約破棄された呪われ令嬢が、イケメン魔法使いと解呪に大奔走！】婚約破棄され、実家に戻らずに、ある島の王立図書館で人目を忍んで働く名家の娘・エリカ。そんなある日、分厚い眼鏡の男・ミルチャが「伝説の魔道書」を探しに図書館へやって来る。ミルチャ曰く、この島は“竜の身体”で出来た島で、魔法が存在しているらしい。半信半疑のエリカは目当ての本を一緒に探し、図書館の特別書架で見つけるが、本に触れた途端、エリカは気を失ってしまった。気づくとそこは見知らぬ家。しかもエリカの頭には竜の角が生えていて…!?</v>
      </c>
      <c r="W1094" s="14"/>
      <c r="X1094" s="14" t="str">
        <f>IFERROR(__xludf.DUMMYFUNCTION("""COMPUTED_VALUE"""),"有")</f>
        <v>有</v>
      </c>
      <c r="Y1094" s="8" t="str">
        <f>IFERROR(__xludf.DUMMYFUNCTION("""COMPUTED_VALUE"""),"P19まで")</f>
        <v>P19まで</v>
      </c>
      <c r="Z1094" s="7"/>
      <c r="AA1094" s="7"/>
      <c r="AB1094" s="7"/>
    </row>
    <row r="1095" ht="15.75" customHeight="1">
      <c r="A1095" s="26">
        <f>IFERROR(__xludf.DUMMYFUNCTION("""COMPUTED_VALUE"""),2871.0)</f>
        <v>2871</v>
      </c>
      <c r="B1095" s="22" t="str">
        <f>IFERROR(__xludf.DUMMYFUNCTION("""COMPUTED_VALUE"""),"確定")</f>
        <v>確定</v>
      </c>
      <c r="C1095" s="28">
        <f>IFERROR(__xludf.DUMMYFUNCTION("""COMPUTED_VALUE"""),45313.0)</f>
        <v>45313</v>
      </c>
      <c r="D1095" s="28">
        <f>IFERROR(__xludf.DUMMYFUNCTION("""COMPUTED_VALUE"""),45314.0)</f>
        <v>45314</v>
      </c>
      <c r="E1095" s="31">
        <f>IFERROR(__xludf.DUMMYFUNCTION("""COMPUTED_VALUE"""),285948.0)</f>
        <v>285948</v>
      </c>
      <c r="F1095" s="22" t="str">
        <f>IFERROR(__xludf.DUMMYFUNCTION("""COMPUTED_VALUE"""),"婚約者の浮気現場を見た悪役令嬢は、逃亡中にジャージを着た魔王に拾われる")</f>
        <v>婚約者の浮気現場を見た悪役令嬢は、逃亡中にジャージを着た魔王に拾われる</v>
      </c>
      <c r="G1095" s="20" t="str">
        <f>IFERROR(__xludf.DUMMYFUNCTION("""COMPUTED_VALUE"""),"1～3")</f>
        <v>1～3</v>
      </c>
      <c r="H1095" s="22" t="str">
        <f>IFERROR(__xludf.DUMMYFUNCTION("""COMPUTED_VALUE"""),"漫画：ちゃのあ／原作：ハナミズキ")</f>
        <v>漫画：ちゃのあ／原作：ハナミズキ</v>
      </c>
      <c r="I1095" s="22" t="str">
        <f>IFERROR(__xludf.DUMMYFUNCTION("""COMPUTED_VALUE"""),"女性")</f>
        <v>女性</v>
      </c>
      <c r="J1095" s="22"/>
      <c r="K1095" s="22"/>
      <c r="L1095" s="22" t="str">
        <f>IFERROR(__xludf.DUMMYFUNCTION("""COMPUTED_VALUE"""),"集英社")</f>
        <v>集英社</v>
      </c>
      <c r="M1095" s="23">
        <f>IFERROR(__xludf.DUMMYFUNCTION("""COMPUTED_VALUE"""),45323.0)</f>
        <v>45323</v>
      </c>
      <c r="N1095" s="33">
        <f>IFERROR(__xludf.DUMMYFUNCTION("""COMPUTED_VALUE"""),45351.0)</f>
        <v>45351</v>
      </c>
      <c r="O1095" s="20"/>
      <c r="P1095" s="29" t="str">
        <f>IFERROR(__xludf.DUMMYFUNCTION("""COMPUTED_VALUE"""),"否")</f>
        <v>否</v>
      </c>
      <c r="Q1095" s="30" t="str">
        <f>IFERROR(__xludf.DUMMYFUNCTION("""COMPUTED_VALUE"""),"デジタルマーガレット")</f>
        <v>デジタルマーガレット</v>
      </c>
      <c r="R1095" s="22"/>
      <c r="S1095" s="22" t="str">
        <f>IFERROR(__xludf.DUMMYFUNCTION("""COMPUTED_VALUE"""),"20230122_集英社_2月新作")</f>
        <v>20230122_集英社_2月新作</v>
      </c>
      <c r="T1095" s="22" t="str">
        <f>IFERROR(__xludf.DUMMYFUNCTION("""COMPUTED_VALUE"""),"格納済み")</f>
        <v>格納済み</v>
      </c>
      <c r="U1095" s="15" t="str">
        <f>IFERROR(__xludf.DUMMYFUNCTION("""COMPUTED_VALUE"""),"(C)ちゃのあ・ハナミズキ／集英社")</f>
        <v>(C)ちゃのあ・ハナミズキ／集英社</v>
      </c>
      <c r="V1095" s="8" t="str">
        <f>IFERROR(__xludf.DUMMYFUNCTION("""COMPUTED_VALUE"""),"【オタク男子が俺様冷酷魔王に豹変!?　二重人格魔王×悪役令嬢のラブコメファンタジー!!】公爵令嬢のレティシアはある日、婚約者のルイス王太子と救世の巫女・ユリカの逢瀬を目撃する。そのショックから前世の記憶を思い出し、この世界が乙女ゲームの世界であり、自身が悪役令嬢に転生した事を知る。断罪エンドを回避するため国外へ逃亡した彼女はこのゲームのラスボス兼隠し攻略キャラである魔王に出会うが…。")</f>
        <v>【オタク男子が俺様冷酷魔王に豹変!?　二重人格魔王×悪役令嬢のラブコメファンタジー!!】公爵令嬢のレティシアはある日、婚約者のルイス王太子と救世の巫女・ユリカの逢瀬を目撃する。そのショックから前世の記憶を思い出し、この世界が乙女ゲームの世界であり、自身が悪役令嬢に転生した事を知る。断罪エンドを回避するため国外へ逃亡した彼女はこのゲームのラスボス兼隠し攻略キャラである魔王に出会うが…。</v>
      </c>
      <c r="W1095" s="14"/>
      <c r="X1095" s="14" t="str">
        <f>IFERROR(__xludf.DUMMYFUNCTION("""COMPUTED_VALUE"""),"有")</f>
        <v>有</v>
      </c>
      <c r="Y1095" s="8" t="str">
        <f>IFERROR(__xludf.DUMMYFUNCTION("""COMPUTED_VALUE"""),"P13まで")</f>
        <v>P13まで</v>
      </c>
      <c r="Z1095" s="7"/>
      <c r="AA1095" s="7"/>
      <c r="AB1095" s="7"/>
    </row>
    <row r="1096" ht="15.75" customHeight="1">
      <c r="A1096" s="26">
        <f>IFERROR(__xludf.DUMMYFUNCTION("""COMPUTED_VALUE"""),2873.0)</f>
        <v>2873</v>
      </c>
      <c r="B1096" s="22" t="str">
        <f>IFERROR(__xludf.DUMMYFUNCTION("""COMPUTED_VALUE"""),"確定")</f>
        <v>確定</v>
      </c>
      <c r="C1096" s="28">
        <f>IFERROR(__xludf.DUMMYFUNCTION("""COMPUTED_VALUE"""),45314.0)</f>
        <v>45314</v>
      </c>
      <c r="D1096" s="28">
        <f>IFERROR(__xludf.DUMMYFUNCTION("""COMPUTED_VALUE"""),45314.0)</f>
        <v>45314</v>
      </c>
      <c r="E1096" s="31">
        <f>IFERROR(__xludf.DUMMYFUNCTION("""COMPUTED_VALUE"""),286651.0)</f>
        <v>286651</v>
      </c>
      <c r="F1096" s="22" t="str">
        <f>IFERROR(__xludf.DUMMYFUNCTION("""COMPUTED_VALUE"""),"甘いお菓子の後は甘い溺愛を～婚約破棄された令嬢は辺境伯子息に溺愛される～")</f>
        <v>甘いお菓子の後は甘い溺愛を～婚約破棄された令嬢は辺境伯子息に溺愛される～</v>
      </c>
      <c r="G1096" s="20" t="str">
        <f>IFERROR(__xludf.DUMMYFUNCTION("""COMPUTED_VALUE"""),"1～3")</f>
        <v>1～3</v>
      </c>
      <c r="H1096" s="22" t="str">
        <f>IFERROR(__xludf.DUMMYFUNCTION("""COMPUTED_VALUE"""),"七生")</f>
        <v>七生</v>
      </c>
      <c r="I1096" s="22" t="str">
        <f>IFERROR(__xludf.DUMMYFUNCTION("""COMPUTED_VALUE"""),"女性")</f>
        <v>女性</v>
      </c>
      <c r="J1096" s="22"/>
      <c r="K1096" s="22"/>
      <c r="L1096" s="22" t="str">
        <f>IFERROR(__xludf.DUMMYFUNCTION("""COMPUTED_VALUE"""),"DPNブックス")</f>
        <v>DPNブックス</v>
      </c>
      <c r="M1096" s="23">
        <f>IFERROR(__xludf.DUMMYFUNCTION("""COMPUTED_VALUE"""),45344.0)</f>
        <v>45344</v>
      </c>
      <c r="N1096" s="23">
        <f>IFERROR(__xludf.DUMMYFUNCTION("""COMPUTED_VALUE"""),45372.0)</f>
        <v>45372</v>
      </c>
      <c r="O1096" s="20"/>
      <c r="P1096" s="32" t="str">
        <f>IFERROR(__xludf.DUMMYFUNCTION("""COMPUTED_VALUE"""),"可")</f>
        <v>可</v>
      </c>
      <c r="Q1096" s="30"/>
      <c r="R1096" s="22"/>
      <c r="S1096" s="22" t="str">
        <f>IFERROR(__xludf.DUMMYFUNCTION("""COMPUTED_VALUE"""),"20240123_DPNブックス_甘いお菓子の後は甘い溺愛を")</f>
        <v>20240123_DPNブックス_甘いお菓子の後は甘い溺愛を</v>
      </c>
      <c r="T1096" s="22" t="str">
        <f>IFERROR(__xludf.DUMMYFUNCTION("""COMPUTED_VALUE"""),"格納済み")</f>
        <v>格納済み</v>
      </c>
      <c r="U1096" s="15" t="str">
        <f>IFERROR(__xludf.DUMMYFUNCTION("""COMPUTED_VALUE"""),"(C)七生／DPNブックス")</f>
        <v>(C)七生／DPNブックス</v>
      </c>
      <c r="V1096" s="8" t="str">
        <f>IFERROR(__xludf.DUMMYFUNCTION("""COMPUTED_VALUE"""),"仕事が忙しいと都合のつかない婚約者のために手作りお菓子を差し入れしに王宮へ出向いたリシェルが目撃したのは婚約者と仕事仲間だという令嬢とのキスシーンだった。
呆然とするリシェルに罵詈雑言を浴びせてくる婚約者。挙句、使用人のすることだとお菓子作りを馬鹿にされ婚約解消を言い渡されてしまう。
そんな彼女に寄り添い、作ったお菓子を「優しい味がする」と肯定してくれたのは王太子殿下の側近である辺境伯子息のルシアンだった。
自分を見守り甘やかしてくるルシアンの無自覚な溺愛にゆっくりとリシェルの恋も育っていく―")</f>
        <v>仕事が忙しいと都合のつかない婚約者のために手作りお菓子を差し入れしに王宮へ出向いたリシェルが目撃したのは婚約者と仕事仲間だという令嬢とのキスシーンだった。
呆然とするリシェルに罵詈雑言を浴びせてくる婚約者。挙句、使用人のすることだとお菓子作りを馬鹿にされ婚約解消を言い渡されてしまう。
そんな彼女に寄り添い、作ったお菓子を「優しい味がする」と肯定してくれたのは王太子殿下の側近である辺境伯子息のルシアンだった。
自分を見守り甘やかしてくるルシアンの無自覚な溺愛にゆっくりとリシェルの恋も育っていく―</v>
      </c>
      <c r="W1096" s="14"/>
      <c r="X1096" s="14" t="str">
        <f>IFERROR(__xludf.DUMMYFUNCTION("""COMPUTED_VALUE"""),"有")</f>
        <v>有</v>
      </c>
      <c r="Y1096" s="8" t="str">
        <f>IFERROR(__xludf.DUMMYFUNCTION("""COMPUTED_VALUE"""),"2024/3/21まで1巻無料")</f>
        <v>2024/3/21まで1巻無料</v>
      </c>
      <c r="Z1096" s="7"/>
      <c r="AA1096" s="7"/>
      <c r="AB1096" s="7"/>
    </row>
    <row r="1097" ht="15.75" customHeight="1">
      <c r="A1097" s="26">
        <f>IFERROR(__xludf.DUMMYFUNCTION("""COMPUTED_VALUE"""),2705.0)</f>
        <v>2705</v>
      </c>
      <c r="B1097" s="22" t="str">
        <f>IFERROR(__xludf.DUMMYFUNCTION("""COMPUTED_VALUE"""),"確定")</f>
        <v>確定</v>
      </c>
      <c r="C1097" s="28">
        <f>IFERROR(__xludf.DUMMYFUNCTION("""COMPUTED_VALUE"""),45260.0)</f>
        <v>45260</v>
      </c>
      <c r="D1097" s="28">
        <f>IFERROR(__xludf.DUMMYFUNCTION("""COMPUTED_VALUE"""),45322.0)</f>
        <v>45322</v>
      </c>
      <c r="E1097" s="26">
        <f>IFERROR(__xludf.DUMMYFUNCTION("""COMPUTED_VALUE"""),288723.0)</f>
        <v>288723</v>
      </c>
      <c r="F1097" s="22" t="str">
        <f>IFERROR(__xludf.DUMMYFUNCTION("""COMPUTED_VALUE"""),"エリート警視の独占欲に絡めとられ溺愛されています【分冊版】")</f>
        <v>エリート警視の独占欲に絡めとられ溺愛されています【分冊版】</v>
      </c>
      <c r="G1097" s="20" t="str">
        <f>IFERROR(__xludf.DUMMYFUNCTION("""COMPUTED_VALUE"""),"1~3")</f>
        <v>1~3</v>
      </c>
      <c r="H1097" s="22" t="str">
        <f>IFERROR(__xludf.DUMMYFUNCTION("""COMPUTED_VALUE"""),"緋室 晋・真彩-mahya-")</f>
        <v>緋室 晋・真彩-mahya-</v>
      </c>
      <c r="I1097" s="22" t="str">
        <f>IFERROR(__xludf.DUMMYFUNCTION("""COMPUTED_VALUE"""),"女性")</f>
        <v>女性</v>
      </c>
      <c r="J1097" s="22"/>
      <c r="K1097" s="22"/>
      <c r="L1097" s="22" t="str">
        <f>IFERROR(__xludf.DUMMYFUNCTION("""COMPUTED_VALUE"""),"ハーパーコリンズ・ジャパン")</f>
        <v>ハーパーコリンズ・ジャパン</v>
      </c>
      <c r="M1097" s="23">
        <f>IFERROR(__xludf.DUMMYFUNCTION("""COMPUTED_VALUE"""),45369.0)</f>
        <v>45369</v>
      </c>
      <c r="N1097" s="23">
        <f>IFERROR(__xludf.DUMMYFUNCTION("""COMPUTED_VALUE"""),45428.0)</f>
        <v>45428</v>
      </c>
      <c r="O1097" s="20"/>
      <c r="P1097" s="34" t="str">
        <f>IFERROR(__xludf.DUMMYFUNCTION("""COMPUTED_VALUE"""),"否")</f>
        <v>否</v>
      </c>
      <c r="Q1097" s="31" t="str">
        <f>IFERROR(__xludf.DUMMYFUNCTION("""COMPUTED_VALUE"""),"広告コミットOK(12/7)&lt;BR&gt;配信日後ろ倒し")</f>
        <v>広告コミットOK(12/7)&lt;BR&gt;配信日後ろ倒し</v>
      </c>
      <c r="R1097" s="22" t="str">
        <f>IFERROR(__xludf.DUMMYFUNCTION("""COMPUTED_VALUE"""),"確認中")</f>
        <v>確認中</v>
      </c>
      <c r="S1097" s="22" t="str">
        <f>IFERROR(__xludf.DUMMYFUNCTION("""COMPUTED_VALUE"""),"20240126_ハーパーコリンズ・ジャパン_エリート警視の独占欲に絡めとられ溺愛されています")</f>
        <v>20240126_ハーパーコリンズ・ジャパン_エリート警視の独占欲に絡めとられ溺愛されています</v>
      </c>
      <c r="T1097" s="22" t="str">
        <f>IFERROR(__xludf.DUMMYFUNCTION("""COMPUTED_VALUE"""),"格納済み")</f>
        <v>格納済み</v>
      </c>
      <c r="U1097" s="15" t="str">
        <f>IFERROR(__xludf.DUMMYFUNCTION("""COMPUTED_VALUE"""),"（C)緋室 晋・真彩-mahya-／ハーパーコリンズ・ジャパン")</f>
        <v>（C)緋室 晋・真彩-mahya-／ハーパーコリンズ・ジャパン</v>
      </c>
      <c r="V1097" s="8" t="str">
        <f>IFERROR(__xludf.DUMMYFUNCTION("""COMPUTED_VALUE"""),"ミステリアスな彼と恋に落ちて―…
IT企業に勤める里紗は、通っているジムでいつも見かける涼真のことが気になっていた。
ある日のジム帰り、不審者に襲われたところを涼真に助けてもらい、それから２人で会うようになる。
自分のことを話したがらない涼真に違和感を覚えつつも、優しく守ってくれる彼に惹かれていく。
しかし突然、里紗の会社に涼真が偽名で現れて…？
彼の目的は一体なに―…!?")</f>
        <v>ミステリアスな彼と恋に落ちて―…
IT企業に勤める里紗は、通っているジムでいつも見かける涼真のことが気になっていた。
ある日のジム帰り、不審者に襲われたところを涼真に助けてもらい、それから２人で会うようになる。
自分のことを話したがらない涼真に違和感を覚えつつも、優しく守ってくれる彼に惹かれていく。
しかし突然、里紗の会社に涼真が偽名で現れて…？
彼の目的は一体なに―…!?</v>
      </c>
      <c r="W1097" s="14"/>
      <c r="X1097" s="14" t="str">
        <f>IFERROR(__xludf.DUMMYFUNCTION("""COMPUTED_VALUE"""),"有")</f>
        <v>有</v>
      </c>
      <c r="Y1097" s="8" t="str">
        <f>IFERROR(__xludf.DUMMYFUNCTION("""COMPUTED_VALUE"""),"P8まで")</f>
        <v>P8まで</v>
      </c>
      <c r="Z1097" s="7"/>
      <c r="AA1097" s="7"/>
      <c r="AB1097" s="7"/>
    </row>
    <row r="1098" ht="15.75" customHeight="1">
      <c r="A1098" s="26">
        <f>IFERROR(__xludf.DUMMYFUNCTION("""COMPUTED_VALUE"""),2737.0)</f>
        <v>2737</v>
      </c>
      <c r="B1098" s="22" t="str">
        <f>IFERROR(__xludf.DUMMYFUNCTION("""COMPUTED_VALUE"""),"確定")</f>
        <v>確定</v>
      </c>
      <c r="C1098" s="28">
        <f>IFERROR(__xludf.DUMMYFUNCTION("""COMPUTED_VALUE"""),45271.0)</f>
        <v>45271</v>
      </c>
      <c r="D1098" s="28">
        <f>IFERROR(__xludf.DUMMYFUNCTION("""COMPUTED_VALUE"""),45322.0)</f>
        <v>45322</v>
      </c>
      <c r="E1098" s="26">
        <f>IFERROR(__xludf.DUMMYFUNCTION("""COMPUTED_VALUE"""),286256.0)</f>
        <v>286256</v>
      </c>
      <c r="F1098" s="22" t="str">
        <f>IFERROR(__xludf.DUMMYFUNCTION("""COMPUTED_VALUE"""),"七日間の恋人契約")</f>
        <v>七日間の恋人契約</v>
      </c>
      <c r="G1098" s="11" t="str">
        <f>IFERROR(__xludf.DUMMYFUNCTION("""COMPUTED_VALUE"""),"1～2")</f>
        <v>1～2</v>
      </c>
      <c r="H1098" s="22" t="str">
        <f>IFERROR(__xludf.DUMMYFUNCTION("""COMPUTED_VALUE"""),"颯月ナクル")</f>
        <v>颯月ナクル</v>
      </c>
      <c r="I1098" s="22" t="str">
        <f>IFERROR(__xludf.DUMMYFUNCTION("""COMPUTED_VALUE"""),"BL")</f>
        <v>BL</v>
      </c>
      <c r="J1098" s="22"/>
      <c r="K1098" s="22"/>
      <c r="L1098" s="22" t="str">
        <f>IFERROR(__xludf.DUMMYFUNCTION("""COMPUTED_VALUE"""),"ガールスカウトコミックス")</f>
        <v>ガールスカウトコミックス</v>
      </c>
      <c r="M1098" s="23">
        <f>IFERROR(__xludf.DUMMYFUNCTION("""COMPUTED_VALUE"""),45351.0)</f>
        <v>45351</v>
      </c>
      <c r="N1098" s="23">
        <f>IFERROR(__xludf.DUMMYFUNCTION("""COMPUTED_VALUE"""),45440.0)</f>
        <v>45440</v>
      </c>
      <c r="O1098" s="20"/>
      <c r="P1098" s="34" t="str">
        <f>IFERROR(__xludf.DUMMYFUNCTION("""COMPUTED_VALUE"""),"可")</f>
        <v>可</v>
      </c>
      <c r="Q1098" s="31" t="str">
        <f>IFERROR(__xludf.DUMMYFUNCTION("""COMPUTED_VALUE"""),"広告コミットOK(12/19)")</f>
        <v>広告コミットOK(12/19)</v>
      </c>
      <c r="R1098" s="22" t="str">
        <f>IFERROR(__xludf.DUMMYFUNCTION("""COMPUTED_VALUE"""),"格納済み")</f>
        <v>格納済み</v>
      </c>
      <c r="S1098" s="22" t="str">
        <f>IFERROR(__xludf.DUMMYFUNCTION("""COMPUTED_VALUE"""),"20240130_ガールスカウトコミックス_七日間の恋人契約")</f>
        <v>20240130_ガールスカウトコミックス_七日間の恋人契約</v>
      </c>
      <c r="T1098" s="22" t="str">
        <f>IFERROR(__xludf.DUMMYFUNCTION("""COMPUTED_VALUE"""),"格納済み")</f>
        <v>格納済み</v>
      </c>
      <c r="U1098" s="15" t="str">
        <f>IFERROR(__xludf.DUMMYFUNCTION("""COMPUTED_VALUE"""),"(C)颯月ナクル／ガールスカウトコミックス")</f>
        <v>(C)颯月ナクル／ガールスカウトコミックス</v>
      </c>
      <c r="V1098" s="8" t="str">
        <f>IFERROR(__xludf.DUMMYFUNCTION("""COMPUTED_VALUE"""),"「これは夢だ…！こんなことあって、いいはずがない！」
成績優秀！スポーツ万能！生徒会長！完璧超人である幼馴染、月見なずな。
昔は泣いてばかりだったなずなの変化に、高梨コウは苦手意識を持っていた。
なるべく、なずなと関わらないようにしていたある日、コウは人助けをしたはずみで暴漢に襲われ、気を失ってしまう──
コウが目を覚ますと、なぜか手錠と首輪で拘束されていて!?目の前にはなずなの姿が…！
暴漢から救出したお礼と拘束を解く条件として提案されたのは”一週間、恋人になってほしい”だって──!?
『ヤ"&amp;"ンデレ生徒会長×ツンデレヤンキー』の
1週間の受難が始まる、えっちで可愛いラブコメディ！！")</f>
        <v>「これは夢だ…！こんなことあって、いいはずがない！」
成績優秀！スポーツ万能！生徒会長！完璧超人である幼馴染、月見なずな。
昔は泣いてばかりだったなずなの変化に、高梨コウは苦手意識を持っていた。
なるべく、なずなと関わらないようにしていたある日、コウは人助けをしたはずみで暴漢に襲われ、気を失ってしまう──
コウが目を覚ますと、なぜか手錠と首輪で拘束されていて!?目の前にはなずなの姿が…！
暴漢から救出したお礼と拘束を解く条件として提案されたのは”一週間、恋人になってほしい”だって──!?
『ヤンデレ生徒会長×ツンデレヤンキー』の
1週間の受難が始まる、えっちで可愛いラブコメディ！！</v>
      </c>
      <c r="W1098" s="14"/>
      <c r="X1098" s="14" t="str">
        <f>IFERROR(__xludf.DUMMYFUNCTION("""COMPUTED_VALUE"""),"有")</f>
        <v>有</v>
      </c>
      <c r="Y1098" s="8" t="str">
        <f>IFERROR(__xludf.DUMMYFUNCTION("""COMPUTED_VALUE"""),"2024/3/30まで立ち読み増量
P22まで")</f>
        <v>2024/3/30まで立ち読み増量
P22まで</v>
      </c>
      <c r="Z1098" s="7"/>
      <c r="AA1098" s="7"/>
      <c r="AB1098" s="7"/>
    </row>
    <row r="1099" ht="15.75" customHeight="1">
      <c r="A1099" s="26">
        <f>IFERROR(__xludf.DUMMYFUNCTION("""COMPUTED_VALUE"""),2763.0)</f>
        <v>2763</v>
      </c>
      <c r="B1099" s="22" t="str">
        <f>IFERROR(__xludf.DUMMYFUNCTION("""COMPUTED_VALUE"""),"確定")</f>
        <v>確定</v>
      </c>
      <c r="C1099" s="28">
        <f>IFERROR(__xludf.DUMMYFUNCTION("""COMPUTED_VALUE"""),45278.0)</f>
        <v>45278</v>
      </c>
      <c r="D1099" s="28">
        <f>IFERROR(__xludf.DUMMYFUNCTION("""COMPUTED_VALUE"""),45322.0)</f>
        <v>45322</v>
      </c>
      <c r="E1099" s="26">
        <f>IFERROR(__xludf.DUMMYFUNCTION("""COMPUTED_VALUE"""),289381.0)</f>
        <v>289381</v>
      </c>
      <c r="F1099" s="22" t="str">
        <f>IFERROR(__xludf.DUMMYFUNCTION("""COMPUTED_VALUE"""),"侯爵様、勃たないはずでは！？～初夜から絶倫ケダモノえっち～")</f>
        <v>侯爵様、勃たないはずでは！？～初夜から絶倫ケダモノえっち～</v>
      </c>
      <c r="G1099" s="11" t="str">
        <f>IFERROR(__xludf.DUMMYFUNCTION("""COMPUTED_VALUE"""),"1～2")</f>
        <v>1～2</v>
      </c>
      <c r="H1099" s="22" t="str">
        <f>IFERROR(__xludf.DUMMYFUNCTION("""COMPUTED_VALUE"""),"安里瀅")</f>
        <v>安里瀅</v>
      </c>
      <c r="I1099" s="22" t="str">
        <f>IFERROR(__xludf.DUMMYFUNCTION("""COMPUTED_VALUE"""),"TL")</f>
        <v>TL</v>
      </c>
      <c r="J1099" s="22"/>
      <c r="K1099" s="22"/>
      <c r="L1099" s="22" t="str">
        <f>IFERROR(__xludf.DUMMYFUNCTION("""COMPUTED_VALUE"""),"CLLENN")</f>
        <v>CLLENN</v>
      </c>
      <c r="M1099" s="23">
        <f>IFERROR(__xludf.DUMMYFUNCTION("""COMPUTED_VALUE"""),45381.0)</f>
        <v>45381</v>
      </c>
      <c r="N1099" s="23">
        <f>IFERROR(__xludf.DUMMYFUNCTION("""COMPUTED_VALUE"""),45408.0)</f>
        <v>45408</v>
      </c>
      <c r="O1099" s="20"/>
      <c r="P1099" s="32" t="str">
        <f>IFERROR(__xludf.DUMMYFUNCTION("""COMPUTED_VALUE"""),"可")</f>
        <v>可</v>
      </c>
      <c r="Q1099" s="31"/>
      <c r="R1099" s="22" t="str">
        <f>IFERROR(__xludf.DUMMYFUNCTION("""COMPUTED_VALUE"""),"格納済")</f>
        <v>格納済</v>
      </c>
      <c r="S1099" s="22" t="str">
        <f>IFERROR(__xludf.DUMMYFUNCTION("""COMPUTED_VALUE"""),"20240130_CLLENN_侯爵様、勃たないはずでは！？～初夜から絶倫ケダモノえっち～")</f>
        <v>20240130_CLLENN_侯爵様、勃たないはずでは！？～初夜から絶倫ケダモノえっち～</v>
      </c>
      <c r="T1099" s="22" t="str">
        <f>IFERROR(__xludf.DUMMYFUNCTION("""COMPUTED_VALUE"""),"格納済み")</f>
        <v>格納済み</v>
      </c>
      <c r="U1099" s="15" t="str">
        <f>IFERROR(__xludf.DUMMYFUNCTION("""COMPUTED_VALUE"""),"ⓒ安里瀅/CLLENN")</f>
        <v>ⓒ安里瀅/CLLENN</v>
      </c>
      <c r="V1099" s="8" t="str">
        <f>IFERROR(__xludf.DUMMYFUNCTION("""COMPUTED_VALUE"""),"「すべてを受け止めると言ったが…どうかな？俺の花嫁」初めて与えられる快感にあたまの中が何度もはじけて――彼はデキないはずなのに、どうして!?　没落した伯爵家を立て直すため、令嬢・ユリアが結婚を申し込んだのは、女性の眼差しを一身に集める眉目秀麗な侯爵・レオナルト。彼には“勃たない”という噂があって……未婚の理由はソレのはずが、初夜から押し倒されて!? え、硬くなってる？「残念ながら君の思惑はハズレだ」噂とは真逆の大きなモノ。激しい愛撫でトロけた中をレオナルト様でいっぱいにされて――不純な政略的結婚から始まる"&amp;"、溺愛純度高めのエロティック・ラブロマンス♪")</f>
        <v>「すべてを受け止めると言ったが…どうかな？俺の花嫁」初めて与えられる快感にあたまの中が何度もはじけて――彼はデキないはずなのに、どうして!?　没落した伯爵家を立て直すため、令嬢・ユリアが結婚を申し込んだのは、女性の眼差しを一身に集める眉目秀麗な侯爵・レオナルト。彼には“勃たない”という噂があって……未婚の理由はソレのはずが、初夜から押し倒されて!? え、硬くなってる？「残念ながら君の思惑はハズレだ」噂とは真逆の大きなモノ。激しい愛撫でトロけた中をレオナルト様でいっぱいにされて――不純な政略的結婚から始まる、溺愛純度高めのエロティック・ラブロマンス♪</v>
      </c>
      <c r="W1099" s="14"/>
      <c r="X1099" s="14" t="str">
        <f>IFERROR(__xludf.DUMMYFUNCTION("""COMPUTED_VALUE"""),"有")</f>
        <v>有</v>
      </c>
      <c r="Y1099" s="8" t="str">
        <f>IFERROR(__xludf.DUMMYFUNCTION("""COMPUTED_VALUE"""),"P10まで")</f>
        <v>P10まで</v>
      </c>
      <c r="Z1099" s="7"/>
      <c r="AA1099" s="7"/>
      <c r="AB1099" s="7"/>
    </row>
    <row r="1100" ht="15.75" customHeight="1">
      <c r="A1100" s="26">
        <f>IFERROR(__xludf.DUMMYFUNCTION("""COMPUTED_VALUE"""),2872.0)</f>
        <v>2872</v>
      </c>
      <c r="B1100" s="22" t="str">
        <f>IFERROR(__xludf.DUMMYFUNCTION("""COMPUTED_VALUE"""),"確定")</f>
        <v>確定</v>
      </c>
      <c r="C1100" s="28">
        <f>IFERROR(__xludf.DUMMYFUNCTION("""COMPUTED_VALUE"""),45314.0)</f>
        <v>45314</v>
      </c>
      <c r="D1100" s="28">
        <f>IFERROR(__xludf.DUMMYFUNCTION("""COMPUTED_VALUE"""),45320.0)</f>
        <v>45320</v>
      </c>
      <c r="E1100" s="26">
        <f>IFERROR(__xludf.DUMMYFUNCTION("""COMPUTED_VALUE"""),273042.0)</f>
        <v>273042</v>
      </c>
      <c r="F1100" s="22" t="str">
        <f>IFERROR(__xludf.DUMMYFUNCTION("""COMPUTED_VALUE"""),"好きだよ、親友！")</f>
        <v>好きだよ、親友！</v>
      </c>
      <c r="G1100" s="11" t="str">
        <f>IFERROR(__xludf.DUMMYFUNCTION("""COMPUTED_VALUE"""),"1～2")</f>
        <v>1～2</v>
      </c>
      <c r="H1100" s="22" t="str">
        <f>IFERROR(__xludf.DUMMYFUNCTION("""COMPUTED_VALUE"""),"桜庭千嘉")</f>
        <v>桜庭千嘉</v>
      </c>
      <c r="I1100" s="22" t="str">
        <f>IFERROR(__xludf.DUMMYFUNCTION("""COMPUTED_VALUE"""),"BL")</f>
        <v>BL</v>
      </c>
      <c r="J1100" s="22"/>
      <c r="K1100" s="22"/>
      <c r="L1100" s="22" t="str">
        <f>IFERROR(__xludf.DUMMYFUNCTION("""COMPUTED_VALUE"""),"ソルマーレ編集部")</f>
        <v>ソルマーレ編集部</v>
      </c>
      <c r="M1100" s="23">
        <f>IFERROR(__xludf.DUMMYFUNCTION("""COMPUTED_VALUE"""),45346.0)</f>
        <v>45346</v>
      </c>
      <c r="N1100" s="23">
        <f>IFERROR(__xludf.DUMMYFUNCTION("""COMPUTED_VALUE"""),45436.66666666667)</f>
        <v>45436.66667</v>
      </c>
      <c r="O1100" s="20"/>
      <c r="P1100" s="32" t="str">
        <f>IFERROR(__xludf.DUMMYFUNCTION("""COMPUTED_VALUE"""),"可")</f>
        <v>可</v>
      </c>
      <c r="Q1100" s="30"/>
      <c r="R1100" s="22"/>
      <c r="S1100" s="22" t="str">
        <f>IFERROR(__xludf.DUMMYFUNCTION("""COMPUTED_VALUE"""),"20240125_ソルマーレ編集部_好きだよ、親友！")</f>
        <v>20240125_ソルマーレ編集部_好きだよ、親友！</v>
      </c>
      <c r="T1100" s="22" t="str">
        <f>IFERROR(__xludf.DUMMYFUNCTION("""COMPUTED_VALUE"""),"格納済み")</f>
        <v>格納済み</v>
      </c>
      <c r="U1100" s="15" t="str">
        <f>IFERROR(__xludf.DUMMYFUNCTION("""COMPUTED_VALUE"""),"Ⓒ 桜庭千嘉/シーモアコミックス")</f>
        <v>Ⓒ 桜庭千嘉/シーモアコミックス</v>
      </c>
      <c r="V1100" s="8" t="str">
        <f>IFERROR(__xludf.DUMMYFUNCTION("""COMPUTED_VALUE"""),"奇才研究者×控えめ営業マンの同期オフィスラブ！
「オレが作った薬。恋心をポエム化する薬だよ！」
製薬会社で営業として働いている響（ひびき）は同僚の研究者・知晶（ちあき）と学生時代からのつきあいだ。腹を割って話せる親友に、一つだけ言えない秘密がある。それは知晶に想いを寄せているということ。けれど知晶のふしぎな発明薬をうっかり飲んでしまったせいで、秘めた想いがポエムのかたちであふれ出して──!?
コミックシーモア毎月マンガ賞銀賞作が、反響大きく連載化☆　友情から始まる片恋ラブコメ【フィカス】")</f>
        <v>奇才研究者×控えめ営業マンの同期オフィスラブ！
「オレが作った薬。恋心をポエム化する薬だよ！」
製薬会社で営業として働いている響（ひびき）は同僚の研究者・知晶（ちあき）と学生時代からのつきあいだ。腹を割って話せる親友に、一つだけ言えない秘密がある。それは知晶に想いを寄せているということ。けれど知晶のふしぎな発明薬をうっかり飲んでしまったせいで、秘めた想いがポエムのかたちであふれ出して──!?
コミックシーモア毎月マンガ賞銀賞作が、反響大きく連載化☆　友情から始まる片恋ラブコメ【フィカス】</v>
      </c>
      <c r="W1100" s="14"/>
      <c r="X1100" s="14" t="str">
        <f>IFERROR(__xludf.DUMMYFUNCTION("""COMPUTED_VALUE"""),"有")</f>
        <v>有</v>
      </c>
      <c r="Y1100" s="8" t="str">
        <f>IFERROR(__xludf.DUMMYFUNCTION("""COMPUTED_VALUE"""),"P7まで")</f>
        <v>P7まで</v>
      </c>
      <c r="Z1100" s="7"/>
      <c r="AA1100" s="7"/>
      <c r="AB1100" s="7"/>
    </row>
    <row r="1101" ht="15.75" customHeight="1">
      <c r="A1101" s="26">
        <f>IFERROR(__xludf.DUMMYFUNCTION("""COMPUTED_VALUE"""),2883.0)</f>
        <v>2883</v>
      </c>
      <c r="B1101" s="22" t="str">
        <f>IFERROR(__xludf.DUMMYFUNCTION("""COMPUTED_VALUE"""),"確定")</f>
        <v>確定</v>
      </c>
      <c r="C1101" s="28">
        <f>IFERROR(__xludf.DUMMYFUNCTION("""COMPUTED_VALUE"""),45317.0)</f>
        <v>45317</v>
      </c>
      <c r="D1101" s="28">
        <f>IFERROR(__xludf.DUMMYFUNCTION("""COMPUTED_VALUE"""),45320.0)</f>
        <v>45320</v>
      </c>
      <c r="E1101" s="26">
        <f>IFERROR(__xludf.DUMMYFUNCTION("""COMPUTED_VALUE"""),287089.0)</f>
        <v>287089</v>
      </c>
      <c r="F1101" s="22" t="str">
        <f>IFERROR(__xludf.DUMMYFUNCTION("""COMPUTED_VALUE"""),"不器用な蓮也くんの甘やかし契約")</f>
        <v>不器用な蓮也くんの甘やかし契約</v>
      </c>
      <c r="G1101" s="11" t="str">
        <f>IFERROR(__xludf.DUMMYFUNCTION("""COMPUTED_VALUE"""),"1～4")</f>
        <v>1～4</v>
      </c>
      <c r="H1101" s="22" t="str">
        <f>IFERROR(__xludf.DUMMYFUNCTION("""COMPUTED_VALUE"""),"餅子みけ")</f>
        <v>餅子みけ</v>
      </c>
      <c r="I1101" s="22" t="str">
        <f>IFERROR(__xludf.DUMMYFUNCTION("""COMPUTED_VALUE"""),"少女")</f>
        <v>少女</v>
      </c>
      <c r="J1101" s="22"/>
      <c r="K1101" s="22"/>
      <c r="L1101" s="22" t="str">
        <f>IFERROR(__xludf.DUMMYFUNCTION("""COMPUTED_VALUE"""),"ファンギルド")</f>
        <v>ファンギルド</v>
      </c>
      <c r="M1101" s="23">
        <f>IFERROR(__xludf.DUMMYFUNCTION("""COMPUTED_VALUE"""),45350.0)</f>
        <v>45350</v>
      </c>
      <c r="N1101" s="23">
        <f>IFERROR(__xludf.DUMMYFUNCTION("""COMPUTED_VALUE"""),45440.0)</f>
        <v>45440</v>
      </c>
      <c r="O1101" s="20"/>
      <c r="P1101" s="34" t="str">
        <f>IFERROR(__xludf.DUMMYFUNCTION("""COMPUTED_VALUE"""),"可")</f>
        <v>可</v>
      </c>
      <c r="Q1101" s="30" t="str">
        <f>IFERROR(__xludf.DUMMYFUNCTION("""COMPUTED_VALUE"""),"協業レーベル『シーモア×ピース！』作品です。")</f>
        <v>協業レーベル『シーモア×ピース！』作品です。</v>
      </c>
      <c r="R1101" s="22"/>
      <c r="S1101" s="22" t="str">
        <f>IFERROR(__xludf.DUMMYFUNCTION("""COMPUTED_VALUE"""),"20240126_ファンギルド_不器用な蓮也くんの甘やかし契約")</f>
        <v>20240126_ファンギルド_不器用な蓮也くんの甘やかし契約</v>
      </c>
      <c r="T1101" s="22" t="str">
        <f>IFERROR(__xludf.DUMMYFUNCTION("""COMPUTED_VALUE"""),"格納済み")</f>
        <v>格納済み</v>
      </c>
      <c r="U1101" s="15" t="str">
        <f>IFERROR(__xludf.DUMMYFUNCTION("""COMPUTED_VALUE"""),"©餅子みけ/ファンギルド")</f>
        <v>©餅子みけ/ファンギルド</v>
      </c>
      <c r="V1101" s="8" t="str">
        <f>IFERROR(__xludf.DUMMYFUNCTION("""COMPUTED_VALUE"""),"「月20万円 これで俺と契約してよ」 世話焼きな性格から「母親かよ」と恋人にフラれたあげく、職場が倒産して無職になったアラサー・藍は、実家に帰省して、しばらくは自由気ままに過ごすことを決める。ある日、母親の勧めで昔自分に懐いていた10歳下のご近所さん・蓮也に会いに行くが、そこには、汚部屋で体調を悪化させた彼の姿が！高校生になった蓮也は広い家にひとりで住んでおり、どうやら訳ありの様子…。さらには「月20万円 住み込みで身の回りのサポートをしてほしい」と藍に契約を持ちかけてきて――？ 初恋を拗らせた男子高校生"&amp;"（16歳） × 恋愛はこりごりな世話焼きアラサー（26歳）、年の差ご近所さんの甘酸っぱいすれ違い同居生活スタート！")</f>
        <v>「月20万円 これで俺と契約してよ」 世話焼きな性格から「母親かよ」と恋人にフラれたあげく、職場が倒産して無職になったアラサー・藍は、実家に帰省して、しばらくは自由気ままに過ごすことを決める。ある日、母親の勧めで昔自分に懐いていた10歳下のご近所さん・蓮也に会いに行くが、そこには、汚部屋で体調を悪化させた彼の姿が！高校生になった蓮也は広い家にひとりで住んでおり、どうやら訳ありの様子…。さらには「月20万円 住み込みで身の回りのサポートをしてほしい」と藍に契約を持ちかけてきて――？ 初恋を拗らせた男子高校生（16歳） × 恋愛はこりごりな世話焼きアラサー（26歳）、年の差ご近所さんの甘酸っぱいすれ違い同居生活スタート！</v>
      </c>
      <c r="W1101" s="14"/>
      <c r="X1101" s="14" t="str">
        <f>IFERROR(__xludf.DUMMYFUNCTION("""COMPUTED_VALUE"""),"有")</f>
        <v>有</v>
      </c>
      <c r="Y1101" s="8" t="str">
        <f>IFERROR(__xludf.DUMMYFUNCTION("""COMPUTED_VALUE"""),"2024/3/12まで1巻無料")</f>
        <v>2024/3/12まで1巻無料</v>
      </c>
      <c r="Z1101" s="7"/>
      <c r="AA1101" s="7"/>
      <c r="AB1101" s="7"/>
    </row>
    <row r="1102" ht="15.75" customHeight="1">
      <c r="A1102" s="26">
        <f>IFERROR(__xludf.DUMMYFUNCTION("""COMPUTED_VALUE"""),2889.0)</f>
        <v>2889</v>
      </c>
      <c r="B1102" s="22" t="str">
        <f>IFERROR(__xludf.DUMMYFUNCTION("""COMPUTED_VALUE"""),"確定")</f>
        <v>確定</v>
      </c>
      <c r="C1102" s="28">
        <f>IFERROR(__xludf.DUMMYFUNCTION("""COMPUTED_VALUE"""),45320.0)</f>
        <v>45320</v>
      </c>
      <c r="D1102" s="28">
        <f>IFERROR(__xludf.DUMMYFUNCTION("""COMPUTED_VALUE"""),45322.0)</f>
        <v>45322</v>
      </c>
      <c r="E1102" s="26">
        <f>IFERROR(__xludf.DUMMYFUNCTION("""COMPUTED_VALUE"""),286053.0)</f>
        <v>286053</v>
      </c>
      <c r="F1102" s="22" t="str">
        <f>IFERROR(__xludf.DUMMYFUNCTION("""COMPUTED_VALUE"""),"3月15日に気を付けよ【タテヨミ】")</f>
        <v>3月15日に気を付けよ【タテヨミ】</v>
      </c>
      <c r="G1102" s="20" t="str">
        <f>IFERROR(__xludf.DUMMYFUNCTION("""COMPUTED_VALUE"""),"1~30")</f>
        <v>1~30</v>
      </c>
      <c r="H1102" s="22" t="str">
        <f>IFERROR(__xludf.DUMMYFUNCTION("""COMPUTED_VALUE"""),"Choi Song / Stan")</f>
        <v>Choi Song / Stan</v>
      </c>
      <c r="I1102" s="22" t="str">
        <f>IFERROR(__xludf.DUMMYFUNCTION("""COMPUTED_VALUE"""),"BL")</f>
        <v>BL</v>
      </c>
      <c r="J1102" s="22"/>
      <c r="K1102" s="22"/>
      <c r="L1102" s="22" t="str">
        <f>IFERROR(__xludf.DUMMYFUNCTION("""COMPUTED_VALUE"""),"レジンエンターテインメント")</f>
        <v>レジンエンターテインメント</v>
      </c>
      <c r="M1102" s="23">
        <f>IFERROR(__xludf.DUMMYFUNCTION("""COMPUTED_VALUE"""),45324.0)</f>
        <v>45324</v>
      </c>
      <c r="N1102" s="23">
        <f>IFERROR(__xludf.DUMMYFUNCTION("""COMPUTED_VALUE"""),45414.0)</f>
        <v>45414</v>
      </c>
      <c r="O1102" s="20"/>
      <c r="P1102" s="34" t="str">
        <f>IFERROR(__xludf.DUMMYFUNCTION("""COMPUTED_VALUE"""),"可")</f>
        <v>可</v>
      </c>
      <c r="Q1102" s="30" t="str">
        <f>IFERROR(__xludf.DUMMYFUNCTION("""COMPUTED_VALUE"""),"プロモTより事前に出稿コミットいただいているものです。")</f>
        <v>プロモTより事前に出稿コミットいただいているものです。</v>
      </c>
      <c r="R1102" s="22"/>
      <c r="S1102" s="22" t="str">
        <f>IFERROR(__xludf.DUMMYFUNCTION("""COMPUTED_VALUE"""),"20240129_レジンエンターテインメント_3月15日に気を付けよ")</f>
        <v>20240129_レジンエンターテインメント_3月15日に気を付けよ</v>
      </c>
      <c r="T1102" s="22" t="str">
        <f>IFERROR(__xludf.DUMMYFUNCTION("""COMPUTED_VALUE"""),"格納済み")</f>
        <v>格納済み</v>
      </c>
      <c r="U1102" s="44" t="str">
        <f>IFERROR(__xludf.DUMMYFUNCTION("""COMPUTED_VALUE"""),"ⓒChoi Song・Stan / レジンコミックス")</f>
        <v>ⓒChoi Song・Stan / レジンコミックス</v>
      </c>
      <c r="V1102" s="8" t="str">
        <f>IFERROR(__xludf.DUMMYFUNCTION("""COMPUTED_VALUE"""),"#愛憎 #暴力団 #美人攻め #後悔する攻め #筋肉受け　　　元暴力団組員のパク・モクハは、刑期を終え、穏やかに花屋を営んでいた。ある日、警察のキム・ナゴンがモクハの所属していた東洋PK事件調査のため、彼の元を訪ねる。自分の快楽のためなら、ためらうことなどないナゴンは、モクハに暴力を振るうが...。ただただ沈黙を貫き通すモクハと、そんな彼にだんだん興味を持ち始めるナゴン。二人の関係は、果たしてどうなるのだろうか？")</f>
        <v>#愛憎 #暴力団 #美人攻め #後悔する攻め #筋肉受け　　　元暴力団組員のパク・モクハは、刑期を終え、穏やかに花屋を営んでいた。ある日、警察のキム・ナゴンがモクハの所属していた東洋PK事件調査のため、彼の元を訪ねる。自分の快楽のためなら、ためらうことなどないナゴンは、モクハに暴力を振るうが...。ただただ沈黙を貫き通すモクハと、そんな彼にだんだん興味を持ち始めるナゴン。二人の関係は、果たしてどうなるのだろうか？</v>
      </c>
      <c r="W1102" s="14"/>
      <c r="X1102" s="14" t="str">
        <f>IFERROR(__xludf.DUMMYFUNCTION("""COMPUTED_VALUE"""),"有")</f>
        <v>有</v>
      </c>
      <c r="Y1102" s="8" t="str">
        <f>IFERROR(__xludf.DUMMYFUNCTION("""COMPUTED_VALUE"""),"1巻無料")</f>
        <v>1巻無料</v>
      </c>
      <c r="Z1102" s="7"/>
      <c r="AA1102" s="7"/>
      <c r="AB1102" s="7"/>
    </row>
    <row r="1103" ht="15.75" customHeight="1">
      <c r="A1103" s="26">
        <f>IFERROR(__xludf.DUMMYFUNCTION("""COMPUTED_VALUE"""),2890.0)</f>
        <v>2890</v>
      </c>
      <c r="B1103" s="22" t="str">
        <f>IFERROR(__xludf.DUMMYFUNCTION("""COMPUTED_VALUE"""),"確定")</f>
        <v>確定</v>
      </c>
      <c r="C1103" s="28">
        <f>IFERROR(__xludf.DUMMYFUNCTION("""COMPUTED_VALUE"""),45320.0)</f>
        <v>45320</v>
      </c>
      <c r="D1103" s="28">
        <f>IFERROR(__xludf.DUMMYFUNCTION("""COMPUTED_VALUE"""),45322.0)</f>
        <v>45322</v>
      </c>
      <c r="E1103" s="26">
        <f>IFERROR(__xludf.DUMMYFUNCTION("""COMPUTED_VALUE"""),287955.0)</f>
        <v>287955</v>
      </c>
      <c r="F1103" s="22" t="str">
        <f>IFERROR(__xludf.DUMMYFUNCTION("""COMPUTED_VALUE"""),"彼らのご主人様【タテヨミ】")</f>
        <v>彼らのご主人様【タテヨミ】</v>
      </c>
      <c r="G1103" s="20" t="str">
        <f>IFERROR(__xludf.DUMMYFUNCTION("""COMPUTED_VALUE"""),"1~63")</f>
        <v>1~63</v>
      </c>
      <c r="H1103" s="22" t="str">
        <f>IFERROR(__xludf.DUMMYFUNCTION("""COMPUTED_VALUE"""),"ZZIN-BAM / WAJE")</f>
        <v>ZZIN-BAM / WAJE</v>
      </c>
      <c r="I1103" s="22" t="str">
        <f>IFERROR(__xludf.DUMMYFUNCTION("""COMPUTED_VALUE"""),"BL")</f>
        <v>BL</v>
      </c>
      <c r="J1103" s="22"/>
      <c r="K1103" s="22"/>
      <c r="L1103" s="22" t="str">
        <f>IFERROR(__xludf.DUMMYFUNCTION("""COMPUTED_VALUE"""),"レジンエンターテインメント")</f>
        <v>レジンエンターテインメント</v>
      </c>
      <c r="M1103" s="23">
        <f>IFERROR(__xludf.DUMMYFUNCTION("""COMPUTED_VALUE"""),45352.0)</f>
        <v>45352</v>
      </c>
      <c r="N1103" s="23">
        <f>IFERROR(__xludf.DUMMYFUNCTION("""COMPUTED_VALUE"""),45444.0)</f>
        <v>45444</v>
      </c>
      <c r="O1103" s="20"/>
      <c r="P1103" s="34" t="str">
        <f>IFERROR(__xludf.DUMMYFUNCTION("""COMPUTED_VALUE"""),"可")</f>
        <v>可</v>
      </c>
      <c r="Q1103" s="30" t="str">
        <f>IFERROR(__xludf.DUMMYFUNCTION("""COMPUTED_VALUE"""),"事前に出稿コミットしているものです。")</f>
        <v>事前に出稿コミットしているものです。</v>
      </c>
      <c r="R1103" s="22"/>
      <c r="S1103" s="22" t="str">
        <f>IFERROR(__xludf.DUMMYFUNCTION("""COMPUTED_VALUE"""),"20240129_レジンエンターテインメント_彼らのご主人様")</f>
        <v>20240129_レジンエンターテインメント_彼らのご主人様</v>
      </c>
      <c r="T1103" s="22" t="str">
        <f>IFERROR(__xludf.DUMMYFUNCTION("""COMPUTED_VALUE"""),"素材確認中(1/31)")</f>
        <v>素材確認中(1/31)</v>
      </c>
      <c r="U1103" s="15" t="str">
        <f>IFERROR(__xludf.DUMMYFUNCTION("""COMPUTED_VALUE"""),"© ZZIN-BAM・WAJE / レジンコミックス")</f>
        <v>© ZZIN-BAM・WAJE / レジンコミックス</v>
      </c>
      <c r="V1103" s="8" t="str">
        <f>IFERROR(__xludf.DUMMYFUNCTION("""COMPUTED_VALUE"""),"#BL #ツンデレ攻め #わんこ攻め #面食い受け #初恋 #総受け 死ぬまで起伏のない人生を送るはずだったド平凡主人公・ジュイン。しかし、そんな彼の前にイケメンでちょっと性格の悪い先輩・ヤフィが現れた。自分の面倒事を処理する盾になってほしいという勝手なことを頼まれたが、かっこいい顔で言われるから断れる気がしない…！ しかも、ヤフィ先輩のことで手一杯だっていうのに、ジュインのことを「ご主人様」って呼ぶ変なイケメンまで現れた！果たしてジュインのイケメンキャパシティは大丈夫だろうか…!?")</f>
        <v>#BL #ツンデレ攻め #わんこ攻め #面食い受け #初恋 #総受け 死ぬまで起伏のない人生を送るはずだったド平凡主人公・ジュイン。しかし、そんな彼の前にイケメンでちょっと性格の悪い先輩・ヤフィが現れた。自分の面倒事を処理する盾になってほしいという勝手なことを頼まれたが、かっこいい顔で言われるから断れる気がしない…！ しかも、ヤフィ先輩のことで手一杯だっていうのに、ジュインのことを「ご主人様」って呼ぶ変なイケメンまで現れた！果たしてジュインのイケメンキャパシティは大丈夫だろうか…!?</v>
      </c>
      <c r="W1103" s="14"/>
      <c r="X1103" s="14" t="str">
        <f>IFERROR(__xludf.DUMMYFUNCTION("""COMPUTED_VALUE"""),"有")</f>
        <v>有</v>
      </c>
      <c r="Y1103" s="8" t="str">
        <f>IFERROR(__xludf.DUMMYFUNCTION("""COMPUTED_VALUE"""),"3巻無料")</f>
        <v>3巻無料</v>
      </c>
      <c r="Z1103" s="7"/>
      <c r="AA1103" s="7"/>
      <c r="AB1103" s="7"/>
    </row>
    <row r="1104" ht="108.0" customHeight="1">
      <c r="A1104" s="26">
        <f>IFERROR(__xludf.DUMMYFUNCTION("""COMPUTED_VALUE"""),2891.0)</f>
        <v>2891</v>
      </c>
      <c r="B1104" s="22" t="str">
        <f>IFERROR(__xludf.DUMMYFUNCTION("""COMPUTED_VALUE"""),"確定")</f>
        <v>確定</v>
      </c>
      <c r="C1104" s="28">
        <f>IFERROR(__xludf.DUMMYFUNCTION("""COMPUTED_VALUE"""),45320.0)</f>
        <v>45320</v>
      </c>
      <c r="D1104" s="28">
        <f>IFERROR(__xludf.DUMMYFUNCTION("""COMPUTED_VALUE"""),45322.0)</f>
        <v>45322</v>
      </c>
      <c r="E1104" s="26">
        <f>IFERROR(__xludf.DUMMYFUNCTION("""COMPUTED_VALUE"""),287954.0)</f>
        <v>287954</v>
      </c>
      <c r="F1104" s="22" t="str">
        <f>IFERROR(__xludf.DUMMYFUNCTION("""COMPUTED_VALUE"""),"ブラインドプレイ【タテヨミ】")</f>
        <v>ブラインドプレイ【タテヨミ】</v>
      </c>
      <c r="G1104" s="20" t="str">
        <f>IFERROR(__xludf.DUMMYFUNCTION("""COMPUTED_VALUE"""),"1~87")</f>
        <v>1~87</v>
      </c>
      <c r="H1104" s="22" t="str">
        <f>IFERROR(__xludf.DUMMYFUNCTION("""COMPUTED_VALUE"""),"YD / ライック")</f>
        <v>YD / ライック</v>
      </c>
      <c r="I1104" s="22" t="str">
        <f>IFERROR(__xludf.DUMMYFUNCTION("""COMPUTED_VALUE"""),"BL")</f>
        <v>BL</v>
      </c>
      <c r="J1104" s="22"/>
      <c r="K1104" s="22"/>
      <c r="L1104" s="22" t="str">
        <f>IFERROR(__xludf.DUMMYFUNCTION("""COMPUTED_VALUE"""),"レジンエンターテインメント")</f>
        <v>レジンエンターテインメント</v>
      </c>
      <c r="M1104" s="23">
        <f>IFERROR(__xludf.DUMMYFUNCTION("""COMPUTED_VALUE"""),45352.0)</f>
        <v>45352</v>
      </c>
      <c r="N1104" s="23">
        <f>IFERROR(__xludf.DUMMYFUNCTION("""COMPUTED_VALUE"""),45444.0)</f>
        <v>45444</v>
      </c>
      <c r="O1104" s="20"/>
      <c r="P1104" s="34" t="str">
        <f>IFERROR(__xludf.DUMMYFUNCTION("""COMPUTED_VALUE"""),"可")</f>
        <v>可</v>
      </c>
      <c r="Q1104" s="30" t="str">
        <f>IFERROR(__xludf.DUMMYFUNCTION("""COMPUTED_VALUE"""),"事前に出稿コミットしているものです。")</f>
        <v>事前に出稿コミットしているものです。</v>
      </c>
      <c r="R1104" s="22"/>
      <c r="S1104" s="22" t="str">
        <f>IFERROR(__xludf.DUMMYFUNCTION("""COMPUTED_VALUE"""),"20240129_レジンエンターテインメント_ブラインドプレイ")</f>
        <v>20240129_レジンエンターテインメント_ブラインドプレイ</v>
      </c>
      <c r="T1104" s="22" t="str">
        <f>IFERROR(__xludf.DUMMYFUNCTION("""COMPUTED_VALUE"""),"素材確認中(1/31)")</f>
        <v>素材確認中(1/31)</v>
      </c>
      <c r="U1104" s="15" t="str">
        <f>IFERROR(__xludf.DUMMYFUNCTION("""COMPUTED_VALUE"""),"© YD・ライック / レジンコミックス")</f>
        <v>© YD・ライック / レジンコミックス</v>
      </c>
      <c r="V1104" s="8" t="str">
        <f>IFERROR(__xludf.DUMMYFUNCTION("""COMPUTED_VALUE"""),"#腹黒攻め #腹黒受け #殺人 ゲイマッサージ師として食いつないでいるアインは、売上を上げるために視覚障害者のフリをしている。ある日、仕事のため有名小説家·イルモの家に行ったアインは、そこで冷たくなっている死体を見つけてしまうのだが…。果たしてアインは見えないふりを貫き通せるのだろうか？")</f>
        <v>#腹黒攻め #腹黒受け #殺人 ゲイマッサージ師として食いつないでいるアインは、売上を上げるために視覚障害者のフリをしている。ある日、仕事のため有名小説家·イルモの家に行ったアインは、そこで冷たくなっている死体を見つけてしまうのだが…。果たしてアインは見えないふりを貫き通せるのだろうか？</v>
      </c>
      <c r="W1104" s="14"/>
      <c r="X1104" s="14" t="str">
        <f>IFERROR(__xludf.DUMMYFUNCTION("""COMPUTED_VALUE"""),"有")</f>
        <v>有</v>
      </c>
      <c r="Y1104" s="8" t="str">
        <f>IFERROR(__xludf.DUMMYFUNCTION("""COMPUTED_VALUE"""),"1巻無料")</f>
        <v>1巻無料</v>
      </c>
      <c r="Z1104" s="7"/>
      <c r="AA1104" s="7"/>
      <c r="AB1104" s="7"/>
    </row>
    <row r="1105" ht="15.75" customHeight="1">
      <c r="A1105" s="26">
        <f>IFERROR(__xludf.DUMMYFUNCTION("""COMPUTED_VALUE"""),2892.0)</f>
        <v>2892</v>
      </c>
      <c r="B1105" s="22" t="str">
        <f>IFERROR(__xludf.DUMMYFUNCTION("""COMPUTED_VALUE"""),"確定")</f>
        <v>確定</v>
      </c>
      <c r="C1105" s="28">
        <f>IFERROR(__xludf.DUMMYFUNCTION("""COMPUTED_VALUE"""),45320.0)</f>
        <v>45320</v>
      </c>
      <c r="D1105" s="28">
        <f>IFERROR(__xludf.DUMMYFUNCTION("""COMPUTED_VALUE"""),45322.0)</f>
        <v>45322</v>
      </c>
      <c r="E1105" s="45">
        <f>IFERROR(__xludf.DUMMYFUNCTION("""COMPUTED_VALUE"""),286052.0)</f>
        <v>286052</v>
      </c>
      <c r="F1105" s="22" t="str">
        <f>IFERROR(__xludf.DUMMYFUNCTION("""COMPUTED_VALUE"""),"BAD KID GOOD PARTNER～この恋、演じなくてもいいですか？～【タテヨミ】")</f>
        <v>BAD KID GOOD PARTNER～この恋、演じなくてもいいですか？～【タテヨミ】</v>
      </c>
      <c r="G1105" s="11" t="str">
        <f>IFERROR(__xludf.DUMMYFUNCTION("""COMPUTED_VALUE"""),"1～34")</f>
        <v>1～34</v>
      </c>
      <c r="H1105" s="22" t="str">
        <f>IFERROR(__xludf.DUMMYFUNCTION("""COMPUTED_VALUE"""),"曙緑 / milmil")</f>
        <v>曙緑 / milmil</v>
      </c>
      <c r="I1105" s="22" t="str">
        <f>IFERROR(__xludf.DUMMYFUNCTION("""COMPUTED_VALUE"""),"BL")</f>
        <v>BL</v>
      </c>
      <c r="J1105" s="22"/>
      <c r="K1105" s="22"/>
      <c r="L1105" s="22" t="str">
        <f>IFERROR(__xludf.DUMMYFUNCTION("""COMPUTED_VALUE"""),"レジンエンターテインメント")</f>
        <v>レジンエンターテインメント</v>
      </c>
      <c r="M1105" s="23">
        <f>IFERROR(__xludf.DUMMYFUNCTION("""COMPUTED_VALUE"""),45324.0)</f>
        <v>45324</v>
      </c>
      <c r="N1105" s="23">
        <f>IFERROR(__xludf.DUMMYFUNCTION("""COMPUTED_VALUE"""),45414.0)</f>
        <v>45414</v>
      </c>
      <c r="O1105" s="20"/>
      <c r="P1105" s="34" t="str">
        <f>IFERROR(__xludf.DUMMYFUNCTION("""COMPUTED_VALUE"""),"可")</f>
        <v>可</v>
      </c>
      <c r="Q1105" s="30" t="str">
        <f>IFERROR(__xludf.DUMMYFUNCTION("""COMPUTED_VALUE"""),"事前に出稿コミットしているものです。")</f>
        <v>事前に出稿コミットしているものです。</v>
      </c>
      <c r="R1105" s="22"/>
      <c r="S1105" s="22" t="str">
        <f>IFERROR(__xludf.DUMMYFUNCTION("""COMPUTED_VALUE"""),"20240129_レジンエンターテインメント_BAD KID GOOD PARTNER")</f>
        <v>20240129_レジンエンターテインメント_BAD KID GOOD PARTNER</v>
      </c>
      <c r="T1105" s="22" t="str">
        <f>IFERROR(__xludf.DUMMYFUNCTION("""COMPUTED_VALUE"""),"格納済み")</f>
        <v>格納済み</v>
      </c>
      <c r="U1105" s="44" t="str">
        <f>IFERROR(__xludf.DUMMYFUNCTION("""COMPUTED_VALUE"""),"ⓒ曙緑・milmil / レジンコミックス")</f>
        <v>ⓒ曙緑・milmil / レジンコミックス</v>
      </c>
      <c r="V1105" s="8" t="str">
        <f>IFERROR(__xludf.DUMMYFUNCTION("""COMPUTED_VALUE"""),"#BL #芸能人 #美人攻め #ツンデレ受け #再会　　スキャンダルの多い人気俳優、シン・ユイルとひょんなことから熱愛報道が出てしまった無名俳優、イ・ヘソン。事実ではなかったため、この騒ぎはすぐに治まると思っていたが、事務所の事情で交際を認めることになり…。その上、偽装カップルにしては、ユイルがあまりにもヘソンに積極的にアプローチしてくる…!? イケメンに弱いヘソンは、果たしてこの誘惑に負けずにいられるだろうか？")</f>
        <v>#BL #芸能人 #美人攻め #ツンデレ受け #再会　　スキャンダルの多い人気俳優、シン・ユイルとひょんなことから熱愛報道が出てしまった無名俳優、イ・ヘソン。事実ではなかったため、この騒ぎはすぐに治まると思っていたが、事務所の事情で交際を認めることになり…。その上、偽装カップルにしては、ユイルがあまりにもヘソンに積極的にアプローチしてくる…!? イケメンに弱いヘソンは、果たしてこの誘惑に負けずにいられるだろうか？</v>
      </c>
      <c r="W1105" s="14"/>
      <c r="X1105" s="14" t="str">
        <f>IFERROR(__xludf.DUMMYFUNCTION("""COMPUTED_VALUE"""),"有")</f>
        <v>有</v>
      </c>
      <c r="Y1105" s="8" t="str">
        <f>IFERROR(__xludf.DUMMYFUNCTION("""COMPUTED_VALUE"""),"1巻無料")</f>
        <v>1巻無料</v>
      </c>
      <c r="Z1105" s="7"/>
      <c r="AA1105" s="7"/>
      <c r="AB1105" s="7"/>
    </row>
    <row r="1106" ht="15.75" customHeight="1">
      <c r="A1106" s="26">
        <f>IFERROR(__xludf.DUMMYFUNCTION("""COMPUTED_VALUE"""),2893.0)</f>
        <v>2893</v>
      </c>
      <c r="B1106" s="22" t="str">
        <f>IFERROR(__xludf.DUMMYFUNCTION("""COMPUTED_VALUE"""),"確定")</f>
        <v>確定</v>
      </c>
      <c r="C1106" s="28">
        <f>IFERROR(__xludf.DUMMYFUNCTION("""COMPUTED_VALUE"""),45320.0)</f>
        <v>45320</v>
      </c>
      <c r="D1106" s="28">
        <f>IFERROR(__xludf.DUMMYFUNCTION("""COMPUTED_VALUE"""),45322.0)</f>
        <v>45322</v>
      </c>
      <c r="E1106" s="26">
        <f>IFERROR(__xludf.DUMMYFUNCTION("""COMPUTED_VALUE"""),290296.0)</f>
        <v>290296</v>
      </c>
      <c r="F1106" s="22" t="str">
        <f>IFERROR(__xludf.DUMMYFUNCTION("""COMPUTED_VALUE"""),"黒天狗の溺愛婚[ばら売り]")</f>
        <v>黒天狗の溺愛婚[ばら売り]</v>
      </c>
      <c r="G1106" s="20" t="str">
        <f>IFERROR(__xludf.DUMMYFUNCTION("""COMPUTED_VALUE"""),"1～3")</f>
        <v>1～3</v>
      </c>
      <c r="H1106" s="22" t="str">
        <f>IFERROR(__xludf.DUMMYFUNCTION("""COMPUTED_VALUE"""),"五里ムチュウ")</f>
        <v>五里ムチュウ</v>
      </c>
      <c r="I1106" s="22" t="str">
        <f>IFERROR(__xludf.DUMMYFUNCTION("""COMPUTED_VALUE"""),"女性")</f>
        <v>女性</v>
      </c>
      <c r="J1106" s="22"/>
      <c r="K1106" s="22"/>
      <c r="L1106" s="22" t="str">
        <f>IFERROR(__xludf.DUMMYFUNCTION("""COMPUTED_VALUE"""),"白泉社")</f>
        <v>白泉社</v>
      </c>
      <c r="M1106" s="23">
        <f>IFERROR(__xludf.DUMMYFUNCTION("""COMPUTED_VALUE"""),45395.0)</f>
        <v>45395</v>
      </c>
      <c r="N1106" s="23">
        <f>IFERROR(__xludf.DUMMYFUNCTION("""COMPUTED_VALUE"""),45456.0)</f>
        <v>45456</v>
      </c>
      <c r="O1106" s="20"/>
      <c r="P1106" s="32" t="str">
        <f>IFERROR(__xludf.DUMMYFUNCTION("""COMPUTED_VALUE"""),"否")</f>
        <v>否</v>
      </c>
      <c r="Q1106" s="30"/>
      <c r="R1106" s="22"/>
      <c r="S1106" s="22" t="str">
        <f>IFERROR(__xludf.DUMMYFUNCTION("""COMPUTED_VALUE"""),"20240129_白泉社_黒天狗の溺愛婚")</f>
        <v>20240129_白泉社_黒天狗の溺愛婚</v>
      </c>
      <c r="T1106" s="22" t="str">
        <f>IFERROR(__xludf.DUMMYFUNCTION("""COMPUTED_VALUE"""),"格納済み")</f>
        <v>格納済み</v>
      </c>
      <c r="U1106" s="15" t="str">
        <f>IFERROR(__xludf.DUMMYFUNCTION("""COMPUTED_VALUE"""),"Ⓒ五里ムチュウ/白泉社")</f>
        <v>Ⓒ五里ムチュウ/白泉社</v>
      </c>
      <c r="V1106" s="8" t="str">
        <f>IFERROR(__xludf.DUMMYFUNCTION("""COMPUTED_VALUE"""),"【第1話】杏樹のコンプレックスは「可愛い」「優秀」だとチヤホヤされる妹の存在。すさまじい努力で妹に対抗するも負け続ける日々を送っていたある日、天狗の里から「杏樹が名誉ある“大天狗の嫁”に選ばれた」という手紙が届く。初めて自分を選んでくれる人がいた！と優越感＆喜びにひたり、天狗の里へ向かった杏樹。そこにいたのは、イケメンだけどスケベな大天狗で……!?　甘やかし絶倫天狗×ツン健気女子の、心も身体も満たされる溺愛ラブコメ！")</f>
        <v>【第1話】杏樹のコンプレックスは「可愛い」「優秀」だとチヤホヤされる妹の存在。すさまじい努力で妹に対抗するも負け続ける日々を送っていたある日、天狗の里から「杏樹が名誉ある“大天狗の嫁”に選ばれた」という手紙が届く。初めて自分を選んでくれる人がいた！と優越感＆喜びにひたり、天狗の里へ向かった杏樹。そこにいたのは、イケメンだけどスケベな大天狗で……!?　甘やかし絶倫天狗×ツン健気女子の、心も身体も満たされる溺愛ラブコメ！</v>
      </c>
      <c r="W1106" s="14"/>
      <c r="X1106" s="14" t="str">
        <f>IFERROR(__xludf.DUMMYFUNCTION("""COMPUTED_VALUE"""),"有")</f>
        <v>有</v>
      </c>
      <c r="Y1106" s="8" t="str">
        <f>IFERROR(__xludf.DUMMYFUNCTION("""COMPUTED_VALUE"""),"2024/4/26まで1巻無料")</f>
        <v>2024/4/26まで1巻無料</v>
      </c>
      <c r="Z1106" s="7"/>
      <c r="AA1106" s="7"/>
      <c r="AB1106" s="7"/>
    </row>
    <row r="1107" ht="15.75" customHeight="1">
      <c r="A1107" s="26">
        <f>IFERROR(__xludf.DUMMYFUNCTION("""COMPUTED_VALUE"""),2895.0)</f>
        <v>2895</v>
      </c>
      <c r="B1107" s="22" t="str">
        <f>IFERROR(__xludf.DUMMYFUNCTION("""COMPUTED_VALUE"""),"確定")</f>
        <v>確定</v>
      </c>
      <c r="C1107" s="28">
        <f>IFERROR(__xludf.DUMMYFUNCTION("""COMPUTED_VALUE"""),45321.0)</f>
        <v>45321</v>
      </c>
      <c r="D1107" s="28">
        <f>IFERROR(__xludf.DUMMYFUNCTION("""COMPUTED_VALUE"""),45322.0)</f>
        <v>45322</v>
      </c>
      <c r="E1107" s="26">
        <f>IFERROR(__xludf.DUMMYFUNCTION("""COMPUTED_VALUE"""),288229.0)</f>
        <v>288229</v>
      </c>
      <c r="F1107" s="22" t="str">
        <f>IFERROR(__xludf.DUMMYFUNCTION("""COMPUTED_VALUE"""),"みだらなヒモはダメですか？[ばら売り]")</f>
        <v>みだらなヒモはダメですか？[ばら売り]</v>
      </c>
      <c r="G1107" s="11" t="str">
        <f>IFERROR(__xludf.DUMMYFUNCTION("""COMPUTED_VALUE"""),"1～4")</f>
        <v>1～4</v>
      </c>
      <c r="H1107" s="22" t="str">
        <f>IFERROR(__xludf.DUMMYFUNCTION("""COMPUTED_VALUE"""),"松下リサ")</f>
        <v>松下リサ</v>
      </c>
      <c r="I1107" s="22" t="str">
        <f>IFERROR(__xludf.DUMMYFUNCTION("""COMPUTED_VALUE"""),"BL")</f>
        <v>BL</v>
      </c>
      <c r="J1107" s="22"/>
      <c r="K1107" s="22"/>
      <c r="L1107" s="22" t="str">
        <f>IFERROR(__xludf.DUMMYFUNCTION("""COMPUTED_VALUE"""),"白泉社")</f>
        <v>白泉社</v>
      </c>
      <c r="M1107" s="23">
        <f>IFERROR(__xludf.DUMMYFUNCTION("""COMPUTED_VALUE"""),45360.0)</f>
        <v>45360</v>
      </c>
      <c r="N1107" s="23">
        <f>IFERROR(__xludf.DUMMYFUNCTION("""COMPUTED_VALUE"""),45421.0)</f>
        <v>45421</v>
      </c>
      <c r="O1107" s="20"/>
      <c r="P1107" s="32" t="str">
        <f>IFERROR(__xludf.DUMMYFUNCTION("""COMPUTED_VALUE"""),"可")</f>
        <v>可</v>
      </c>
      <c r="Q1107" s="30"/>
      <c r="R1107" s="22"/>
      <c r="S1107" s="22" t="str">
        <f>IFERROR(__xludf.DUMMYFUNCTION("""COMPUTED_VALUE"""),"20240130_白泉社_みだらなヒモはダメですか？[ばら売り]")</f>
        <v>20240130_白泉社_みだらなヒモはダメですか？[ばら売り]</v>
      </c>
      <c r="T1107" s="22" t="str">
        <f>IFERROR(__xludf.DUMMYFUNCTION("""COMPUTED_VALUE"""),"格納済み")</f>
        <v>格納済み</v>
      </c>
      <c r="U1107" s="15" t="str">
        <f>IFERROR(__xludf.DUMMYFUNCTION("""COMPUTED_VALUE"""),"Ⓒ松下リサ/白泉社")</f>
        <v>Ⓒ松下リサ/白泉社</v>
      </c>
      <c r="V1107" s="8" t="str">
        <f>IFERROR(__xludf.DUMMYFUNCTION("""COMPUTED_VALUE"""),"【第1話】≪禁欲的警官攻め×美形誘い受け≫エリート警察一家に生まれた不破正則は、ゲイであることを隠し、望まれた人生を全うしようと生きてきた。だがある夜、タイプの顔立ちの美形の男が裏路地で震えてうずくまっているところに遭遇。うろたえる正則だが、手を取られた上に「キスして」と甘くねだられて！？　強すぎる誘惑。理性崩壊ぐずぐずBL。")</f>
        <v>【第1話】≪禁欲的警官攻め×美形誘い受け≫エリート警察一家に生まれた不破正則は、ゲイであることを隠し、望まれた人生を全うしようと生きてきた。だがある夜、タイプの顔立ちの美形の男が裏路地で震えてうずくまっているところに遭遇。うろたえる正則だが、手を取られた上に「キスして」と甘くねだられて！？　強すぎる誘惑。理性崩壊ぐずぐずBL。</v>
      </c>
      <c r="W1107" s="14"/>
      <c r="X1107" s="14" t="str">
        <f>IFERROR(__xludf.DUMMYFUNCTION("""COMPUTED_VALUE"""),"有")</f>
        <v>有</v>
      </c>
      <c r="Y1107" s="8" t="str">
        <f>IFERROR(__xludf.DUMMYFUNCTION("""COMPUTED_VALUE"""),"2024/3/22まで1巻無料")</f>
        <v>2024/3/22まで1巻無料</v>
      </c>
      <c r="Z1107" s="7"/>
      <c r="AA1107" s="7"/>
      <c r="AB1107" s="7"/>
    </row>
    <row r="1108" ht="15.75" customHeight="1">
      <c r="A1108" s="26">
        <f>IFERROR(__xludf.DUMMYFUNCTION("""COMPUTED_VALUE"""),2899.0)</f>
        <v>2899</v>
      </c>
      <c r="B1108" s="22" t="str">
        <f>IFERROR(__xludf.DUMMYFUNCTION("""COMPUTED_VALUE"""),"確定")</f>
        <v>確定</v>
      </c>
      <c r="C1108" s="28">
        <f>IFERROR(__xludf.DUMMYFUNCTION("""COMPUTED_VALUE"""),45321.0)</f>
        <v>45321</v>
      </c>
      <c r="D1108" s="28">
        <f>IFERROR(__xludf.DUMMYFUNCTION("""COMPUTED_VALUE"""),45322.0)</f>
        <v>45322</v>
      </c>
      <c r="E1108" s="26">
        <f>IFERROR(__xludf.DUMMYFUNCTION("""COMPUTED_VALUE"""),286748.0)</f>
        <v>286748</v>
      </c>
      <c r="F1108" s="22" t="str">
        <f>IFERROR(__xludf.DUMMYFUNCTION("""COMPUTED_VALUE"""),"シンジュウエンド【タテヨミ】")</f>
        <v>シンジュウエンド【タテヨミ】</v>
      </c>
      <c r="G1108" s="20" t="str">
        <f>IFERROR(__xludf.DUMMYFUNCTION("""COMPUTED_VALUE"""),"1～22")</f>
        <v>1～22</v>
      </c>
      <c r="H1108" s="22" t="str">
        <f>IFERROR(__xludf.DUMMYFUNCTION("""COMPUTED_VALUE"""),"セモトちか")</f>
        <v>セモトちか</v>
      </c>
      <c r="I1108" s="22" t="str">
        <f>IFERROR(__xludf.DUMMYFUNCTION("""COMPUTED_VALUE"""),"女性")</f>
        <v>女性</v>
      </c>
      <c r="J1108" s="22"/>
      <c r="K1108" s="22"/>
      <c r="L1108" s="22" t="str">
        <f>IFERROR(__xludf.DUMMYFUNCTION("""COMPUTED_VALUE"""),"集英社")</f>
        <v>集英社</v>
      </c>
      <c r="M1108" s="23">
        <f>IFERROR(__xludf.DUMMYFUNCTION("""COMPUTED_VALUE"""),45345.0)</f>
        <v>45345</v>
      </c>
      <c r="N1108" s="23">
        <f>IFERROR(__xludf.DUMMYFUNCTION("""COMPUTED_VALUE"""),45373.0)</f>
        <v>45373</v>
      </c>
      <c r="O1108" s="20"/>
      <c r="P1108" s="34" t="str">
        <f>IFERROR(__xludf.DUMMYFUNCTION("""COMPUTED_VALUE"""),"否")</f>
        <v>否</v>
      </c>
      <c r="Q1108" s="30" t="str">
        <f>IFERROR(__xludf.DUMMYFUNCTION("""COMPUTED_VALUE"""),"マンガMee&lt;BR&gt;&lt;BR&gt;1～20話分の素材でご対応をお願いいたします。")</f>
        <v>マンガMee&lt;BR&gt;&lt;BR&gt;1～20話分の素材でご対応をお願いいたします。</v>
      </c>
      <c r="R1108" s="22"/>
      <c r="S1108" s="22" t="str">
        <f>IFERROR(__xludf.DUMMYFUNCTION("""COMPUTED_VALUE"""),"20240130_集英社_2月新作")</f>
        <v>20240130_集英社_2月新作</v>
      </c>
      <c r="T1108" s="22" t="str">
        <f>IFERROR(__xludf.DUMMYFUNCTION("""COMPUTED_VALUE"""),"格納済み")</f>
        <v>格納済み</v>
      </c>
      <c r="U1108" s="15" t="str">
        <f>IFERROR(__xludf.DUMMYFUNCTION("""COMPUTED_VALUE"""),"(C)セモトちか／MIXER／集英社")</f>
        <v>(C)セモトちか／MIXER／集英社</v>
      </c>
      <c r="V1108" s="8" t="str">
        <f>IFERROR(__xludf.DUMMYFUNCTION("""COMPUTED_VALUE"""),"イケメンで爽やかな営業マン・遠藤真志25歳。社内では若手のエースとして期待され、家に帰ればかわいくて優しい妻と、世界一愛らしい娘が出迎えてくれる。仕事も家庭も順調そのもの。そんな幸せの絶頂だったある日、玄関に見知らぬ男物の靴があって…？　人生に絶望した男と、人生を諦めかけた女子高生の出会いがもたらす、“終わり”と“始まり”とは――。『サレタガワのブルー』の著者・セモトちかが描く、読めば“死にたくなくなる”再生の物語。")</f>
        <v>イケメンで爽やかな営業マン・遠藤真志25歳。社内では若手のエースとして期待され、家に帰ればかわいくて優しい妻と、世界一愛らしい娘が出迎えてくれる。仕事も家庭も順調そのもの。そんな幸せの絶頂だったある日、玄関に見知らぬ男物の靴があって…？　人生に絶望した男と、人生を諦めかけた女子高生の出会いがもたらす、“終わり”と“始まり”とは――。『サレタガワのブルー』の著者・セモトちかが描く、読めば“死にたくなくなる”再生の物語。</v>
      </c>
      <c r="W1108" s="14"/>
      <c r="X1108" s="14" t="str">
        <f>IFERROR(__xludf.DUMMYFUNCTION("""COMPUTED_VALUE"""),"有")</f>
        <v>有</v>
      </c>
      <c r="Y1108" s="8" t="str">
        <f>IFERROR(__xludf.DUMMYFUNCTION("""COMPUTED_VALUE"""),"3巻無料")</f>
        <v>3巻無料</v>
      </c>
      <c r="Z1108" s="7"/>
      <c r="AA1108" s="7"/>
      <c r="AB1108" s="7"/>
    </row>
    <row r="1109" ht="99.75" customHeight="1">
      <c r="A1109" s="26">
        <f>IFERROR(__xludf.DUMMYFUNCTION("""COMPUTED_VALUE"""),2900.0)</f>
        <v>2900</v>
      </c>
      <c r="B1109" s="22" t="str">
        <f>IFERROR(__xludf.DUMMYFUNCTION("""COMPUTED_VALUE"""),"確定")</f>
        <v>確定</v>
      </c>
      <c r="C1109" s="28">
        <f>IFERROR(__xludf.DUMMYFUNCTION("""COMPUTED_VALUE"""),45321.0)</f>
        <v>45321</v>
      </c>
      <c r="D1109" s="28">
        <f>IFERROR(__xludf.DUMMYFUNCTION("""COMPUTED_VALUE"""),45322.0)</f>
        <v>45322</v>
      </c>
      <c r="E1109" s="26">
        <f>IFERROR(__xludf.DUMMYFUNCTION("""COMPUTED_VALUE"""),286732.0)</f>
        <v>286732</v>
      </c>
      <c r="F1109" s="22" t="str">
        <f>IFERROR(__xludf.DUMMYFUNCTION("""COMPUTED_VALUE"""),"鳴かぬ蛍の眠る場所")</f>
        <v>鳴かぬ蛍の眠る場所</v>
      </c>
      <c r="G1109" s="20">
        <f>IFERROR(__xludf.DUMMYFUNCTION("""COMPUTED_VALUE"""),1.0)</f>
        <v>1</v>
      </c>
      <c r="H1109" s="22" t="str">
        <f>IFERROR(__xludf.DUMMYFUNCTION("""COMPUTED_VALUE"""),"清水奏良")</f>
        <v>清水奏良</v>
      </c>
      <c r="I1109" s="22" t="str">
        <f>IFERROR(__xludf.DUMMYFUNCTION("""COMPUTED_VALUE"""),"少女")</f>
        <v>少女</v>
      </c>
      <c r="J1109" s="22"/>
      <c r="K1109" s="22"/>
      <c r="L1109" s="22" t="str">
        <f>IFERROR(__xludf.DUMMYFUNCTION("""COMPUTED_VALUE"""),"集英社")</f>
        <v>集英社</v>
      </c>
      <c r="M1109" s="23">
        <f>IFERROR(__xludf.DUMMYFUNCTION("""COMPUTED_VALUE"""),45344.0)</f>
        <v>45344</v>
      </c>
      <c r="N1109" s="23">
        <f>IFERROR(__xludf.DUMMYFUNCTION("""COMPUTED_VALUE"""),45375.0)</f>
        <v>45375</v>
      </c>
      <c r="O1109" s="20"/>
      <c r="P1109" s="34" t="str">
        <f>IFERROR(__xludf.DUMMYFUNCTION("""COMPUTED_VALUE"""),"否")</f>
        <v>否</v>
      </c>
      <c r="Q1109" s="30" t="str">
        <f>IFERROR(__xludf.DUMMYFUNCTION("""COMPUTED_VALUE"""),"別冊マーガレット")</f>
        <v>別冊マーガレット</v>
      </c>
      <c r="R1109" s="22"/>
      <c r="S1109" s="22" t="str">
        <f>IFERROR(__xludf.DUMMYFUNCTION("""COMPUTED_VALUE"""),"20240130_集英社_2月新作")</f>
        <v>20240130_集英社_2月新作</v>
      </c>
      <c r="T1109" s="22" t="str">
        <f>IFERROR(__xludf.DUMMYFUNCTION("""COMPUTED_VALUE"""),"格納済み")</f>
        <v>格納済み</v>
      </c>
      <c r="U1109" s="15" t="str">
        <f>IFERROR(__xludf.DUMMYFUNCTION("""COMPUTED_VALUE"""),"(C)清水奏良／集英社")</f>
        <v>(C)清水奏良／集英社</v>
      </c>
      <c r="V1109" s="8" t="str">
        <f>IFERROR(__xludf.DUMMYFUNCTION("""COMPUTED_VALUE"""),"【俺が馬瀬蛍を殺した】幼いときに姉を亡くした照は、姉の分まで青春を謳歌すると決意。そして運命の恋の相手・颯太朗に出会った。ところが彼は、照の姉・蛍を殺したのは自分だと言い出し――!?　『別冊マーガレット』で反響を呼んだミステリーラブ！　描きおろしページも収録。")</f>
        <v>【俺が馬瀬蛍を殺した】幼いときに姉を亡くした照は、姉の分まで青春を謳歌すると決意。そして運命の恋の相手・颯太朗に出会った。ところが彼は、照の姉・蛍を殺したのは自分だと言い出し――!?　『別冊マーガレット』で反響を呼んだミステリーラブ！　描きおろしページも収録。</v>
      </c>
      <c r="W1109" s="14"/>
      <c r="X1109" s="14" t="str">
        <f>IFERROR(__xludf.DUMMYFUNCTION("""COMPUTED_VALUE"""),"有")</f>
        <v>有</v>
      </c>
      <c r="Y1109" s="8" t="str">
        <f>IFERROR(__xludf.DUMMYFUNCTION("""COMPUTED_VALUE"""),"2024/3/6まで立ち読み増量P80まで")</f>
        <v>2024/3/6まで立ち読み増量P80まで</v>
      </c>
      <c r="Z1109" s="7"/>
      <c r="AA1109" s="7"/>
      <c r="AB1109" s="7"/>
    </row>
    <row r="1110" ht="15.75" customHeight="1">
      <c r="A1110" s="26">
        <f>IFERROR(__xludf.DUMMYFUNCTION("""COMPUTED_VALUE"""),2902.0)</f>
        <v>2902</v>
      </c>
      <c r="B1110" s="22" t="str">
        <f>IFERROR(__xludf.DUMMYFUNCTION("""COMPUTED_VALUE"""),"確定")</f>
        <v>確定</v>
      </c>
      <c r="C1110" s="28">
        <f>IFERROR(__xludf.DUMMYFUNCTION("""COMPUTED_VALUE"""),45321.0)</f>
        <v>45321</v>
      </c>
      <c r="D1110" s="28">
        <f>IFERROR(__xludf.DUMMYFUNCTION("""COMPUTED_VALUE"""),45322.0)</f>
        <v>45322</v>
      </c>
      <c r="E1110" s="26">
        <f>IFERROR(__xludf.DUMMYFUNCTION("""COMPUTED_VALUE"""),286976.0)</f>
        <v>286976</v>
      </c>
      <c r="F1110" s="22" t="str">
        <f>IFERROR(__xludf.DUMMYFUNCTION("""COMPUTED_VALUE"""),"【分冊版】灰汁女")</f>
        <v>【分冊版】灰汁女</v>
      </c>
      <c r="G1110" s="20" t="str">
        <f>IFERROR(__xludf.DUMMYFUNCTION("""COMPUTED_VALUE"""),"1～3")</f>
        <v>1～3</v>
      </c>
      <c r="H1110" s="22" t="str">
        <f>IFERROR(__xludf.DUMMYFUNCTION("""COMPUTED_VALUE"""),"松本千秋")</f>
        <v>松本千秋</v>
      </c>
      <c r="I1110" s="22" t="str">
        <f>IFERROR(__xludf.DUMMYFUNCTION("""COMPUTED_VALUE"""),"女性")</f>
        <v>女性</v>
      </c>
      <c r="J1110" s="22"/>
      <c r="K1110" s="22"/>
      <c r="L1110" s="22" t="str">
        <f>IFERROR(__xludf.DUMMYFUNCTION("""COMPUTED_VALUE"""),"Seasons")</f>
        <v>Seasons</v>
      </c>
      <c r="M1110" s="23">
        <f>IFERROR(__xludf.DUMMYFUNCTION("""COMPUTED_VALUE"""),45343.0)</f>
        <v>45343</v>
      </c>
      <c r="N1110" s="23">
        <f>IFERROR(__xludf.DUMMYFUNCTION("""COMPUTED_VALUE"""),45432.0)</f>
        <v>45432</v>
      </c>
      <c r="O1110" s="20"/>
      <c r="P1110" s="32" t="str">
        <f>IFERROR(__xludf.DUMMYFUNCTION("""COMPUTED_VALUE"""),"可")</f>
        <v>可</v>
      </c>
      <c r="Q1110" s="30"/>
      <c r="R1110" s="22"/>
      <c r="S1110" s="22" t="str">
        <f>IFERROR(__xludf.DUMMYFUNCTION("""COMPUTED_VALUE"""),"20240130_Seasons_新作2作品")</f>
        <v>20240130_Seasons_新作2作品</v>
      </c>
      <c r="T1110" s="22" t="str">
        <f>IFERROR(__xludf.DUMMYFUNCTION("""COMPUTED_VALUE"""),"格納済み")</f>
        <v>格納済み</v>
      </c>
      <c r="U1110" s="15" t="str">
        <f>IFERROR(__xludf.DUMMYFUNCTION("""COMPUTED_VALUE"""),"(C)松本千秋／文藝春秋")</f>
        <v>(C)松本千秋／文藝春秋</v>
      </c>
      <c r="V1110" s="8" t="str">
        <f>IFERROR(__xludf.DUMMYFUNCTION("""COMPUTED_VALUE"""),"私の人生には、まだドラマが必要！！
マッチングアプリで疑似恋愛、既婚者合コン、それとも…？
レスの夫との生活から目をそらすために、美禰子が手を出したのは……？
『ニュートーキョーカモフラージュアワー』（少年画報社）『38歳バツイチ独身女がマッチングアプリをやってみた結果日記』（幻冬舎）の松本千秋最新作。")</f>
        <v>私の人生には、まだドラマが必要！！
マッチングアプリで疑似恋愛、既婚者合コン、それとも…？
レスの夫との生活から目をそらすために、美禰子が手を出したのは……？
『ニュートーキョーカモフラージュアワー』（少年画報社）『38歳バツイチ独身女がマッチングアプリをやってみた結果日記』（幻冬舎）の松本千秋最新作。</v>
      </c>
      <c r="W1110" s="14"/>
      <c r="X1110" s="14" t="str">
        <f>IFERROR(__xludf.DUMMYFUNCTION("""COMPUTED_VALUE"""),"有")</f>
        <v>有</v>
      </c>
      <c r="Y1110" s="8" t="str">
        <f>IFERROR(__xludf.DUMMYFUNCTION("""COMPUTED_VALUE"""),"2024/3/20まで1巻無料")</f>
        <v>2024/3/20まで1巻無料</v>
      </c>
      <c r="Z1110" s="7"/>
      <c r="AA1110" s="7"/>
      <c r="AB1110" s="7"/>
    </row>
    <row r="1111" ht="100.5" customHeight="1">
      <c r="A1111" s="26">
        <f>IFERROR(__xludf.DUMMYFUNCTION("""COMPUTED_VALUE"""),2903.0)</f>
        <v>2903</v>
      </c>
      <c r="B1111" s="22" t="str">
        <f>IFERROR(__xludf.DUMMYFUNCTION("""COMPUTED_VALUE"""),"確定")</f>
        <v>確定</v>
      </c>
      <c r="C1111" s="28">
        <f>IFERROR(__xludf.DUMMYFUNCTION("""COMPUTED_VALUE"""),45321.0)</f>
        <v>45321</v>
      </c>
      <c r="D1111" s="28">
        <f>IFERROR(__xludf.DUMMYFUNCTION("""COMPUTED_VALUE"""),45322.0)</f>
        <v>45322</v>
      </c>
      <c r="E1111" s="26">
        <f>IFERROR(__xludf.DUMMYFUNCTION("""COMPUTED_VALUE"""),286977.0)</f>
        <v>286977</v>
      </c>
      <c r="F1111" s="22" t="str">
        <f>IFERROR(__xludf.DUMMYFUNCTION("""COMPUTED_VALUE"""),"【分冊版】四月になれば彼女は")</f>
        <v>【分冊版】四月になれば彼女は</v>
      </c>
      <c r="G1111" s="20" t="str">
        <f>IFERROR(__xludf.DUMMYFUNCTION("""COMPUTED_VALUE"""),"1～3")</f>
        <v>1～3</v>
      </c>
      <c r="H1111" s="22" t="str">
        <f>IFERROR(__xludf.DUMMYFUNCTION("""COMPUTED_VALUE"""),"原作：川村元気┴漫画：箸井地図")</f>
        <v>原作：川村元気┴漫画：箸井地図</v>
      </c>
      <c r="I1111" s="22" t="str">
        <f>IFERROR(__xludf.DUMMYFUNCTION("""COMPUTED_VALUE"""),"女性")</f>
        <v>女性</v>
      </c>
      <c r="J1111" s="22"/>
      <c r="K1111" s="22"/>
      <c r="L1111" s="22" t="str">
        <f>IFERROR(__xludf.DUMMYFUNCTION("""COMPUTED_VALUE"""),"Seasons")</f>
        <v>Seasons</v>
      </c>
      <c r="M1111" s="23">
        <f>IFERROR(__xludf.DUMMYFUNCTION("""COMPUTED_VALUE"""),45343.0)</f>
        <v>45343</v>
      </c>
      <c r="N1111" s="23">
        <f>IFERROR(__xludf.DUMMYFUNCTION("""COMPUTED_VALUE"""),45432.0)</f>
        <v>45432</v>
      </c>
      <c r="O1111" s="20"/>
      <c r="P1111" s="32" t="str">
        <f>IFERROR(__xludf.DUMMYFUNCTION("""COMPUTED_VALUE"""),"可")</f>
        <v>可</v>
      </c>
      <c r="Q1111" s="30"/>
      <c r="R1111" s="22"/>
      <c r="S1111" s="22" t="str">
        <f>IFERROR(__xludf.DUMMYFUNCTION("""COMPUTED_VALUE"""),"20240130_Seasons_新作2作品")</f>
        <v>20240130_Seasons_新作2作品</v>
      </c>
      <c r="T1111" s="22" t="str">
        <f>IFERROR(__xludf.DUMMYFUNCTION("""COMPUTED_VALUE"""),"格納済み")</f>
        <v>格納済み</v>
      </c>
      <c r="U1111" s="15" t="str">
        <f>IFERROR(__xludf.DUMMYFUNCTION("""COMPUTED_VALUE"""),"(C)川村元気・箸井地図／文藝春秋")</f>
        <v>(C)川村元気・箸井地図／文藝春秋</v>
      </c>
      <c r="V1111" s="8" t="str">
        <f>IFERROR(__xludf.DUMMYFUNCTION("""COMPUTED_VALUE"""),"「あのときのわたしには、自分よりも大切なひとがいた。それが、永遠に続くものだと信じていた」　大学時代の彼女から一通の手紙を受け取った精神科医の藤代。1年後に結婚を控えている婚約者・弥生と暮らしながらも、過去に絡めとられてーー。
2024年3月22日（金）に映画公開される、川村元気による究極の恋愛小説をコミカライズ！")</f>
        <v>「あのときのわたしには、自分よりも大切なひとがいた。それが、永遠に続くものだと信じていた」　大学時代の彼女から一通の手紙を受け取った精神科医の藤代。1年後に結婚を控えている婚約者・弥生と暮らしながらも、過去に絡めとられてーー。
2024年3月22日（金）に映画公開される、川村元気による究極の恋愛小説をコミカライズ！</v>
      </c>
      <c r="W1111" s="14"/>
      <c r="X1111" s="14" t="str">
        <f>IFERROR(__xludf.DUMMYFUNCTION("""COMPUTED_VALUE"""),"有")</f>
        <v>有</v>
      </c>
      <c r="Y1111" s="8" t="str">
        <f>IFERROR(__xludf.DUMMYFUNCTION("""COMPUTED_VALUE"""),"2024/3/20まで1巻無料")</f>
        <v>2024/3/20まで1巻無料</v>
      </c>
      <c r="Z1111" s="7"/>
      <c r="AA1111" s="7"/>
      <c r="AB1111" s="7"/>
    </row>
    <row r="1112" ht="15.75" customHeight="1">
      <c r="A1112" s="26">
        <f>IFERROR(__xludf.DUMMYFUNCTION("""COMPUTED_VALUE"""),2724.0)</f>
        <v>2724</v>
      </c>
      <c r="B1112" s="22" t="str">
        <f>IFERROR(__xludf.DUMMYFUNCTION("""COMPUTED_VALUE"""),"確定")</f>
        <v>確定</v>
      </c>
      <c r="C1112" s="28">
        <f>IFERROR(__xludf.DUMMYFUNCTION("""COMPUTED_VALUE"""),45264.0)</f>
        <v>45264</v>
      </c>
      <c r="D1112" s="28">
        <f>IFERROR(__xludf.DUMMYFUNCTION("""COMPUTED_VALUE"""),45329.0)</f>
        <v>45329</v>
      </c>
      <c r="E1112" s="31">
        <f>IFERROR(__xludf.DUMMYFUNCTION("""COMPUTED_VALUE"""),288123.0)</f>
        <v>288123</v>
      </c>
      <c r="F1112" s="22" t="str">
        <f>IFERROR(__xludf.DUMMYFUNCTION("""COMPUTED_VALUE"""),"二度目の春はきみの隣で")</f>
        <v>二度目の春はきみの隣で</v>
      </c>
      <c r="G1112" s="11" t="str">
        <f>IFERROR(__xludf.DUMMYFUNCTION("""COMPUTED_VALUE"""),"1～2")</f>
        <v>1～2</v>
      </c>
      <c r="H1112" s="22" t="str">
        <f>IFERROR(__xludf.DUMMYFUNCTION("""COMPUTED_VALUE"""),"木田迦ゆん汰")</f>
        <v>木田迦ゆん汰</v>
      </c>
      <c r="I1112" s="22" t="str">
        <f>IFERROR(__xludf.DUMMYFUNCTION("""COMPUTED_VALUE"""),"BL")</f>
        <v>BL</v>
      </c>
      <c r="J1112" s="22"/>
      <c r="K1112" s="22"/>
      <c r="L1112" s="22" t="str">
        <f>IFERROR(__xludf.DUMMYFUNCTION("""COMPUTED_VALUE"""),"東京漫画社")</f>
        <v>東京漫画社</v>
      </c>
      <c r="M1112" s="23">
        <f>IFERROR(__xludf.DUMMYFUNCTION("""COMPUTED_VALUE"""),45359.0)</f>
        <v>45359</v>
      </c>
      <c r="N1112" s="23">
        <f>IFERROR(__xludf.DUMMYFUNCTION("""COMPUTED_VALUE"""),45419.0)</f>
        <v>45419</v>
      </c>
      <c r="O1112" s="20"/>
      <c r="P1112" s="29" t="str">
        <f>IFERROR(__xludf.DUMMYFUNCTION("""COMPUTED_VALUE"""),"可")</f>
        <v>可</v>
      </c>
      <c r="Q1112" s="30" t="str">
        <f>IFERROR(__xludf.DUMMYFUNCTION("""COMPUTED_VALUE"""),"広告コミットOK(12/8)&lt;BR&gt;先行期間を2カ月に延長が条件。")</f>
        <v>広告コミットOK(12/8)&lt;BR&gt;先行期間を2カ月に延長が条件。</v>
      </c>
      <c r="R1112" s="22"/>
      <c r="S1112" s="22" t="str">
        <f>IFERROR(__xludf.DUMMYFUNCTION("""COMPUTED_VALUE"""),"20240205_東京漫画社_二度目の春はきみの隣で")</f>
        <v>20240205_東京漫画社_二度目の春はきみの隣で</v>
      </c>
      <c r="T1112" s="22" t="str">
        <f>IFERROR(__xludf.DUMMYFUNCTION("""COMPUTED_VALUE"""),"素材確認中(2/6)")</f>
        <v>素材確認中(2/6)</v>
      </c>
      <c r="U1112" s="15" t="str">
        <f>IFERROR(__xludf.DUMMYFUNCTION("""COMPUTED_VALUE"""),"©木田迦ゆん汰/東京漫画社")</f>
        <v>©木田迦ゆん汰/東京漫画社</v>
      </c>
      <c r="V1112" s="8" t="str">
        <f>IFERROR(__xludf.DUMMYFUNCTION("""COMPUTED_VALUE"""),"高校2年の時に親友の千隼に告白するも酷く振られてしまった淳は、8年経った今でも「自分が好きにならなければずっと親友でいられたのに」と後悔していた。
そんなある日、仕事の帰りに道路に飛び出した猫を助けようとした淳は、トラックに撥ねられてしまう。
死を覚悟した淳だが、再び目を開けるとそこにいたのは、忘れたくても忘れられなかった高校時代の親友で…。
もう一度人生をやり直せるなら、俺は…。懐かしくて切ないタイムリープBL始動。
（※本電子作品は『Cab vol.89』に収録されているものと同じ内容になりま"&amp;"す。）")</f>
        <v>高校2年の時に親友の千隼に告白するも酷く振られてしまった淳は、8年経った今でも「自分が好きにならなければずっと親友でいられたのに」と後悔していた。
そんなある日、仕事の帰りに道路に飛び出した猫を助けようとした淳は、トラックに撥ねられてしまう。
死を覚悟した淳だが、再び目を開けるとそこにいたのは、忘れたくても忘れられなかった高校時代の親友で…。
もう一度人生をやり直せるなら、俺は…。懐かしくて切ないタイムリープBL始動。
（※本電子作品は『Cab vol.89』に収録されているものと同じ内容になります。）</v>
      </c>
      <c r="W1112" s="14"/>
      <c r="X1112" s="14" t="str">
        <f>IFERROR(__xludf.DUMMYFUNCTION("""COMPUTED_VALUE"""),"有")</f>
        <v>有</v>
      </c>
      <c r="Y1112" s="8" t="str">
        <f>IFERROR(__xludf.DUMMYFUNCTION("""COMPUTED_VALUE"""),"2024/5/7まで1巻無料")</f>
        <v>2024/5/7まで1巻無料</v>
      </c>
      <c r="Z1112" s="7"/>
      <c r="AA1112" s="7"/>
      <c r="AB1112" s="7"/>
    </row>
    <row r="1113" ht="84.75" customHeight="1">
      <c r="A1113" s="26">
        <f>IFERROR(__xludf.DUMMYFUNCTION("""COMPUTED_VALUE"""),2742.0)</f>
        <v>2742</v>
      </c>
      <c r="B1113" s="22" t="str">
        <f>IFERROR(__xludf.DUMMYFUNCTION("""COMPUTED_VALUE"""),"確定")</f>
        <v>確定</v>
      </c>
      <c r="C1113" s="28">
        <f>IFERROR(__xludf.DUMMYFUNCTION("""COMPUTED_VALUE"""),45272.0)</f>
        <v>45272</v>
      </c>
      <c r="D1113" s="28">
        <f>IFERROR(__xludf.DUMMYFUNCTION("""COMPUTED_VALUE"""),46120.0)</f>
        <v>46120</v>
      </c>
      <c r="E1113" s="31">
        <f>IFERROR(__xludf.DUMMYFUNCTION("""COMPUTED_VALUE"""),288679.0)</f>
        <v>288679</v>
      </c>
      <c r="F1113" s="22" t="str">
        <f>IFERROR(__xludf.DUMMYFUNCTION("""COMPUTED_VALUE"""),"子連れバツイチ、最後の恋は沼でした。【単話版】")</f>
        <v>子連れバツイチ、最後の恋は沼でした。【単話版】</v>
      </c>
      <c r="G1113" s="11" t="str">
        <f>IFERROR(__xludf.DUMMYFUNCTION("""COMPUTED_VALUE"""),"1～4")</f>
        <v>1～4</v>
      </c>
      <c r="H1113" s="22" t="str">
        <f>IFERROR(__xludf.DUMMYFUNCTION("""COMPUTED_VALUE"""),"餅本もよ")</f>
        <v>餅本もよ</v>
      </c>
      <c r="I1113" s="22" t="str">
        <f>IFERROR(__xludf.DUMMYFUNCTION("""COMPUTED_VALUE"""),"女性")</f>
        <v>女性</v>
      </c>
      <c r="J1113" s="22"/>
      <c r="K1113" s="22"/>
      <c r="L1113" s="22" t="str">
        <f>IFERROR(__xludf.DUMMYFUNCTION("""COMPUTED_VALUE"""),"GANMA!")</f>
        <v>GANMA!</v>
      </c>
      <c r="M1113" s="23">
        <f>IFERROR(__xludf.DUMMYFUNCTION("""COMPUTED_VALUE"""),45352.0)</f>
        <v>45352</v>
      </c>
      <c r="N1113" s="37" t="str">
        <f>IFERROR(__xludf.DUMMYFUNCTION("""COMPUTED_VALUE"""),"初回2か月先行予定")</f>
        <v>初回2か月先行予定</v>
      </c>
      <c r="O1113" s="20"/>
      <c r="P1113" s="29" t="str">
        <f>IFERROR(__xludf.DUMMYFUNCTION("""COMPUTED_VALUE"""),"否")</f>
        <v>否</v>
      </c>
      <c r="Q1113" s="30" t="str">
        <f>IFERROR(__xludf.DUMMYFUNCTION("""COMPUTED_VALUE"""),"広告コミットOK(12/19)")</f>
        <v>広告コミットOK(12/19)</v>
      </c>
      <c r="R1113" s="22"/>
      <c r="S1113" s="22" t="str">
        <f>IFERROR(__xludf.DUMMYFUNCTION("""COMPUTED_VALUE"""),"20240205_GANMA!_子連れバツイチ、最後の恋は沼でした。")</f>
        <v>20240205_GANMA!_子連れバツイチ、最後の恋は沼でした。</v>
      </c>
      <c r="T1113" s="22" t="str">
        <f>IFERROR(__xludf.DUMMYFUNCTION("""COMPUTED_VALUE"""),"素材確認中(2/6)")</f>
        <v>素材確認中(2/6)</v>
      </c>
      <c r="U1113" s="15" t="str">
        <f>IFERROR(__xludf.DUMMYFUNCTION("""COMPUTED_VALUE"""),"©餅本もよ／COMISMA INC.")</f>
        <v>©餅本もよ／COMISMA INC.</v>
      </c>
      <c r="V1113" s="8" t="str">
        <f>IFERROR(__xludf.DUMMYFUNCTION("""COMPUTED_VALUE"""),"男ギライのシングルマザーのお隣さんは、女を沼らせる年下男子！？クズのくせに、特技は料理と育児。それなんてスパダリ？？（著者名：餅本もよ/初出：GANMA!1話掲載分）")</f>
        <v>男ギライのシングルマザーのお隣さんは、女を沼らせる年下男子！？クズのくせに、特技は料理と育児。それなんてスパダリ？？（著者名：餅本もよ/初出：GANMA!1話掲載分）</v>
      </c>
      <c r="W1113" s="14"/>
      <c r="X1113" s="14" t="str">
        <f>IFERROR(__xludf.DUMMYFUNCTION("""COMPUTED_VALUE"""),"有")</f>
        <v>有</v>
      </c>
      <c r="Y1113" s="8" t="str">
        <f>IFERROR(__xludf.DUMMYFUNCTION("""COMPUTED_VALUE"""),"P5まで")</f>
        <v>P5まで</v>
      </c>
      <c r="Z1113" s="7"/>
      <c r="AA1113" s="7"/>
      <c r="AB1113" s="7"/>
    </row>
    <row r="1114" ht="96.0" customHeight="1">
      <c r="A1114" s="26">
        <f>IFERROR(__xludf.DUMMYFUNCTION("""COMPUTED_VALUE"""),2743.0)</f>
        <v>2743</v>
      </c>
      <c r="B1114" s="22" t="str">
        <f>IFERROR(__xludf.DUMMYFUNCTION("""COMPUTED_VALUE"""),"確定")</f>
        <v>確定</v>
      </c>
      <c r="C1114" s="28">
        <f>IFERROR(__xludf.DUMMYFUNCTION("""COMPUTED_VALUE"""),45272.0)</f>
        <v>45272</v>
      </c>
      <c r="D1114" s="28">
        <f>IFERROR(__xludf.DUMMYFUNCTION("""COMPUTED_VALUE"""),45328.0)</f>
        <v>45328</v>
      </c>
      <c r="E1114" s="31">
        <f>IFERROR(__xludf.DUMMYFUNCTION("""COMPUTED_VALUE"""),288423.0)</f>
        <v>288423</v>
      </c>
      <c r="F1114" s="22" t="str">
        <f>IFERROR(__xludf.DUMMYFUNCTION("""COMPUTED_VALUE"""),"ズキュン×バキュン【単話版】")</f>
        <v>ズキュン×バキュン【単話版】</v>
      </c>
      <c r="G1114" s="20" t="str">
        <f>IFERROR(__xludf.DUMMYFUNCTION("""COMPUTED_VALUE"""),"1～8")</f>
        <v>1～8</v>
      </c>
      <c r="H1114" s="22" t="str">
        <f>IFERROR(__xludf.DUMMYFUNCTION("""COMPUTED_VALUE"""),"楪 廷戸")</f>
        <v>楪 廷戸</v>
      </c>
      <c r="I1114" s="22" t="str">
        <f>IFERROR(__xludf.DUMMYFUNCTION("""COMPUTED_VALUE"""),"少年")</f>
        <v>少年</v>
      </c>
      <c r="J1114" s="22"/>
      <c r="K1114" s="22"/>
      <c r="L1114" s="22" t="str">
        <f>IFERROR(__xludf.DUMMYFUNCTION("""COMPUTED_VALUE"""),"GANMA!")</f>
        <v>GANMA!</v>
      </c>
      <c r="M1114" s="23">
        <f>IFERROR(__xludf.DUMMYFUNCTION("""COMPUTED_VALUE"""),45352.0)</f>
        <v>45352</v>
      </c>
      <c r="N1114" s="37" t="str">
        <f>IFERROR(__xludf.DUMMYFUNCTION("""COMPUTED_VALUE"""),"初回2か月先行予定")</f>
        <v>初回2か月先行予定</v>
      </c>
      <c r="O1114" s="20"/>
      <c r="P1114" s="29" t="str">
        <f>IFERROR(__xludf.DUMMYFUNCTION("""COMPUTED_VALUE"""),"否")</f>
        <v>否</v>
      </c>
      <c r="Q1114" s="30" t="str">
        <f>IFERROR(__xludf.DUMMYFUNCTION("""COMPUTED_VALUE"""),"広告コミットOK(12/19)")</f>
        <v>広告コミットOK(12/19)</v>
      </c>
      <c r="R1114" s="22"/>
      <c r="S1114" s="22" t="str">
        <f>IFERROR(__xludf.DUMMYFUNCTION("""COMPUTED_VALUE"""),"20240205_GANMA!_ズキュン×バキュン")</f>
        <v>20240205_GANMA!_ズキュン×バキュン</v>
      </c>
      <c r="T1114" s="22" t="str">
        <f>IFERROR(__xludf.DUMMYFUNCTION("""COMPUTED_VALUE"""),"格納済み")</f>
        <v>格納済み</v>
      </c>
      <c r="U1114" s="15" t="str">
        <f>IFERROR(__xludf.DUMMYFUNCTION("""COMPUTED_VALUE"""),"©楪 廷戸／COMICSMART INC.")</f>
        <v>©楪 廷戸／COMICSMART INC.</v>
      </c>
      <c r="V1114" s="8" t="str">
        <f>IFERROR(__xludf.DUMMYFUNCTION("""COMPUTED_VALUE"""),"最凶殺し屋カップルの、殺戮ピュアピュア大恋愛!!恋の弾丸、DEATHずっきゅん!!（著者名：楪 廷戸/初出：GANMA!1話掲載分）")</f>
        <v>最凶殺し屋カップルの、殺戮ピュアピュア大恋愛!!恋の弾丸、DEATHずっきゅん!!（著者名：楪 廷戸/初出：GANMA!1話掲載分）</v>
      </c>
      <c r="W1114" s="14"/>
      <c r="X1114" s="14" t="str">
        <f>IFERROR(__xludf.DUMMYFUNCTION("""COMPUTED_VALUE"""),"有")</f>
        <v>有</v>
      </c>
      <c r="Y1114" s="8" t="str">
        <f>IFERROR(__xludf.DUMMYFUNCTION("""COMPUTED_VALUE"""),"P5まで")</f>
        <v>P5まで</v>
      </c>
      <c r="Z1114" s="7"/>
      <c r="AA1114" s="7"/>
      <c r="AB1114" s="7"/>
    </row>
    <row r="1115" ht="15.75" customHeight="1">
      <c r="A1115" s="26">
        <f>IFERROR(__xludf.DUMMYFUNCTION("""COMPUTED_VALUE"""),2750.0)</f>
        <v>2750</v>
      </c>
      <c r="B1115" s="22" t="str">
        <f>IFERROR(__xludf.DUMMYFUNCTION("""COMPUTED_VALUE"""),"確定")</f>
        <v>確定</v>
      </c>
      <c r="C1115" s="28">
        <f>IFERROR(__xludf.DUMMYFUNCTION("""COMPUTED_VALUE"""),45273.0)</f>
        <v>45273</v>
      </c>
      <c r="D1115" s="28">
        <f>IFERROR(__xludf.DUMMYFUNCTION("""COMPUTED_VALUE"""),45328.0)</f>
        <v>45328</v>
      </c>
      <c r="E1115" s="31">
        <f>IFERROR(__xludf.DUMMYFUNCTION("""COMPUTED_VALUE"""),286851.0)</f>
        <v>286851</v>
      </c>
      <c r="F1115" s="22" t="str">
        <f>IFERROR(__xludf.DUMMYFUNCTION("""COMPUTED_VALUE"""),"イケない推し活。～オフ会したら上司とえっちな展開になりました～")</f>
        <v>イケない推し活。～オフ会したら上司とえっちな展開になりました～</v>
      </c>
      <c r="G1115" s="11" t="str">
        <f>IFERROR(__xludf.DUMMYFUNCTION("""COMPUTED_VALUE"""),"1～2")</f>
        <v>1～2</v>
      </c>
      <c r="H1115" s="22" t="str">
        <f>IFERROR(__xludf.DUMMYFUNCTION("""COMPUTED_VALUE"""),"汐見シャガ")</f>
        <v>汐見シャガ</v>
      </c>
      <c r="I1115" s="22" t="str">
        <f>IFERROR(__xludf.DUMMYFUNCTION("""COMPUTED_VALUE"""),"TL")</f>
        <v>TL</v>
      </c>
      <c r="J1115" s="22"/>
      <c r="K1115" s="22"/>
      <c r="L1115" s="22" t="str">
        <f>IFERROR(__xludf.DUMMYFUNCTION("""COMPUTED_VALUE"""),"CLLENN")</f>
        <v>CLLENN</v>
      </c>
      <c r="M1115" s="23">
        <f>IFERROR(__xludf.DUMMYFUNCTION("""COMPUTED_VALUE"""),45346.0)</f>
        <v>45346</v>
      </c>
      <c r="N1115" s="23">
        <f>IFERROR(__xludf.DUMMYFUNCTION("""COMPUTED_VALUE"""),45408.0)</f>
        <v>45408</v>
      </c>
      <c r="O1115" s="20"/>
      <c r="P1115" s="32" t="str">
        <f>IFERROR(__xludf.DUMMYFUNCTION("""COMPUTED_VALUE"""),"可")</f>
        <v>可</v>
      </c>
      <c r="Q1115" s="22"/>
      <c r="R1115" s="22" t="str">
        <f>IFERROR(__xludf.DUMMYFUNCTION("""COMPUTED_VALUE"""),"格納済")</f>
        <v>格納済</v>
      </c>
      <c r="S1115" s="22" t="str">
        <f>IFERROR(__xludf.DUMMYFUNCTION("""COMPUTED_VALUE"""),"20240131_CLLENN_イケない推し活。～オフ会したら上司とえっちな展開になりました～")</f>
        <v>20240131_CLLENN_イケない推し活。～オフ会したら上司とえっちな展開になりました～</v>
      </c>
      <c r="T1115" s="22" t="str">
        <f>IFERROR(__xludf.DUMMYFUNCTION("""COMPUTED_VALUE"""),"格納済み")</f>
        <v>格納済み</v>
      </c>
      <c r="U1115" s="15" t="str">
        <f>IFERROR(__xludf.DUMMYFUNCTION("""COMPUTED_VALUE"""),"ⓒ汐見シャガ/CLLENN")</f>
        <v>ⓒ汐見シャガ/CLLENN</v>
      </c>
      <c r="V1115" s="8" t="str">
        <f>IFERROR(__xludf.DUMMYFUNCTION("""COMPUTED_VALUE"""),"「えっちな音…すごいね…」甘いキスと熱い愛撫…太く長い指でぐちゃぐちゃになったナカを掻き回されたら…何か、きちゃう――っ！SNSで仲良くなった推し活仲間とオフ会することになったOLの鈴音。ところが女性だと思っていたその人は、まさかの超イケメン男性で！？　SNSどおりの優しい人柄に安心して、つい恥ずかしい悩みを打ち明けると協力を申し出てくれて…勢いでホテルへ。甘いひと時も束の間、会社へ行くと彼が新しい上司としてやってきて―！？優しく開かれていく体、次々に押し寄せる未知の快感。乳首を甘噛みし濡れきったオクをト"&amp;"ントンされた瞬間、頭が真っ白になって―…。オフ会えっちから始まるイケメンエリートの猛溺愛、開幕！")</f>
        <v>「えっちな音…すごいね…」甘いキスと熱い愛撫…太く長い指でぐちゃぐちゃになったナカを掻き回されたら…何か、きちゃう――っ！SNSで仲良くなった推し活仲間とオフ会することになったOLの鈴音。ところが女性だと思っていたその人は、まさかの超イケメン男性で！？　SNSどおりの優しい人柄に安心して、つい恥ずかしい悩みを打ち明けると協力を申し出てくれて…勢いでホテルへ。甘いひと時も束の間、会社へ行くと彼が新しい上司としてやってきて―！？優しく開かれていく体、次々に押し寄せる未知の快感。乳首を甘噛みし濡れきったオクをトントンされた瞬間、頭が真っ白になって―…。オフ会えっちから始まるイケメンエリートの猛溺愛、開幕！</v>
      </c>
      <c r="W1115" s="14"/>
      <c r="X1115" s="14" t="str">
        <f>IFERROR(__xludf.DUMMYFUNCTION("""COMPUTED_VALUE"""),"有")</f>
        <v>有</v>
      </c>
      <c r="Y1115" s="8" t="str">
        <f>IFERROR(__xludf.DUMMYFUNCTION("""COMPUTED_VALUE"""),"2024/3/8まで立ち読み増量P17まで")</f>
        <v>2024/3/8まで立ち読み増量P17まで</v>
      </c>
      <c r="Z1115" s="7"/>
      <c r="AA1115" s="7"/>
      <c r="AB1115" s="7"/>
    </row>
    <row r="1116" ht="15.75" customHeight="1">
      <c r="A1116" s="26">
        <f>IFERROR(__xludf.DUMMYFUNCTION("""COMPUTED_VALUE"""),2860.0)</f>
        <v>2860</v>
      </c>
      <c r="B1116" s="22" t="str">
        <f>IFERROR(__xludf.DUMMYFUNCTION("""COMPUTED_VALUE"""),"確定")</f>
        <v>確定</v>
      </c>
      <c r="C1116" s="28">
        <f>IFERROR(__xludf.DUMMYFUNCTION("""COMPUTED_VALUE"""),45310.0)</f>
        <v>45310</v>
      </c>
      <c r="D1116" s="28">
        <f>IFERROR(__xludf.DUMMYFUNCTION("""COMPUTED_VALUE"""),45328.0)</f>
        <v>45328</v>
      </c>
      <c r="E1116" s="31">
        <f>IFERROR(__xludf.DUMMYFUNCTION("""COMPUTED_VALUE"""),287456.0)</f>
        <v>287456</v>
      </c>
      <c r="F1116" s="22" t="str">
        <f>IFERROR(__xludf.DUMMYFUNCTION("""COMPUTED_VALUE"""),"火花夢【タテヨミ】")</f>
        <v>火花夢【タテヨミ】</v>
      </c>
      <c r="G1116" s="11" t="str">
        <f>IFERROR(__xludf.DUMMYFUNCTION("""COMPUTED_VALUE"""),"1～15")</f>
        <v>1～15</v>
      </c>
      <c r="H1116" s="22" t="str">
        <f>IFERROR(__xludf.DUMMYFUNCTION("""COMPUTED_VALUE"""),"ダムチョクダン、NULL")</f>
        <v>ダムチョクダン、NULL</v>
      </c>
      <c r="I1116" s="22" t="str">
        <f>IFERROR(__xludf.DUMMYFUNCTION("""COMPUTED_VALUE"""),"BL")</f>
        <v>BL</v>
      </c>
      <c r="J1116" s="22"/>
      <c r="K1116" s="22"/>
      <c r="L1116" s="22" t="str">
        <f>IFERROR(__xludf.DUMMYFUNCTION("""COMPUTED_VALUE"""),"Studio reBorn")</f>
        <v>Studio reBorn</v>
      </c>
      <c r="M1116" s="23">
        <f>IFERROR(__xludf.DUMMYFUNCTION("""COMPUTED_VALUE"""),45350.0)</f>
        <v>45350</v>
      </c>
      <c r="N1116" s="23">
        <f>IFERROR(__xludf.DUMMYFUNCTION("""COMPUTED_VALUE"""),45440.0)</f>
        <v>45440</v>
      </c>
      <c r="O1116" s="20"/>
      <c r="P1116" s="29" t="str">
        <f>IFERROR(__xludf.DUMMYFUNCTION("""COMPUTED_VALUE"""),"可")</f>
        <v>可</v>
      </c>
      <c r="Q1116" s="30" t="str">
        <f>IFERROR(__xludf.DUMMYFUNCTION("""COMPUTED_VALUE"""),"広告コミットOK(1/24)")</f>
        <v>広告コミットOK(1/24)</v>
      </c>
      <c r="R1116" s="22"/>
      <c r="S1116" s="22" t="str">
        <f>IFERROR(__xludf.DUMMYFUNCTION("""COMPUTED_VALUE"""),"20240202_ロケットスタッフ_火花夢")</f>
        <v>20240202_ロケットスタッフ_火花夢</v>
      </c>
      <c r="T1116" s="22" t="str">
        <f>IFERROR(__xludf.DUMMYFUNCTION("""COMPUTED_VALUE"""),"格納済み")</f>
        <v>格納済み</v>
      </c>
      <c r="U1116" s="15" t="str">
        <f>IFERROR(__xludf.DUMMYFUNCTION("""COMPUTED_VALUE"""),"ⓒ Damjuckdan / NULL / SMC ⓒStudio reBorn")</f>
        <v>ⓒ Damjuckdan / NULL / SMC ⓒStudio reBorn</v>
      </c>
      <c r="V1116" s="8" t="str">
        <f>IFERROR(__xludf.DUMMYFUNCTION("""COMPUTED_VALUE"""),"信じていた者に裏切られ命を落としたリュ・ヒギョム。巫女から与えられた5つの命で回帰を繰り返し、裏切り者への復讐を目論むも、与えられたすべての人生で復讐を果たせず死に絶えてしまった…。
しかしヒギョムはなぜか再び生き返り、瑛王ジン・ヒョクウィの唯一の妃になることに！こうして7度目の人生はヒギョムの記憶とは異なる方向に流れはじめ──。
ヒギョムに異常なほどの執着を見せるジン・ヒョクウィと裏切り者への復讐を果たしたいリュ・ヒギョムの物語。")</f>
        <v>信じていた者に裏切られ命を落としたリュ・ヒギョム。巫女から与えられた5つの命で回帰を繰り返し、裏切り者への復讐を目論むも、与えられたすべての人生で復讐を果たせず死に絶えてしまった…。
しかしヒギョムはなぜか再び生き返り、瑛王ジン・ヒョクウィの唯一の妃になることに！こうして7度目の人生はヒギョムの記憶とは異なる方向に流れはじめ──。
ヒギョムに異常なほどの執着を見せるジン・ヒョクウィと裏切り者への復讐を果たしたいリュ・ヒギョムの物語。</v>
      </c>
      <c r="W1116" s="14"/>
      <c r="X1116" s="14" t="str">
        <f>IFERROR(__xludf.DUMMYFUNCTION("""COMPUTED_VALUE"""),"有")</f>
        <v>有</v>
      </c>
      <c r="Y1116" s="8" t="str">
        <f>IFERROR(__xludf.DUMMYFUNCTION("""COMPUTED_VALUE"""),"5巻無料")</f>
        <v>5巻無料</v>
      </c>
      <c r="Z1116" s="7"/>
      <c r="AA1116" s="7"/>
      <c r="AB1116" s="7"/>
    </row>
    <row r="1117" ht="129.75" customHeight="1">
      <c r="A1117" s="26">
        <f>IFERROR(__xludf.DUMMYFUNCTION("""COMPUTED_VALUE"""),2862.0)</f>
        <v>2862</v>
      </c>
      <c r="B1117" s="22" t="str">
        <f>IFERROR(__xludf.DUMMYFUNCTION("""COMPUTED_VALUE"""),"確定")</f>
        <v>確定</v>
      </c>
      <c r="C1117" s="28">
        <f>IFERROR(__xludf.DUMMYFUNCTION("""COMPUTED_VALUE"""),45313.0)</f>
        <v>45313</v>
      </c>
      <c r="D1117" s="28">
        <f>IFERROR(__xludf.DUMMYFUNCTION("""COMPUTED_VALUE"""),45328.0)</f>
        <v>45328</v>
      </c>
      <c r="E1117" s="31">
        <f>IFERROR(__xludf.DUMMYFUNCTION("""COMPUTED_VALUE"""),289065.0)</f>
        <v>289065</v>
      </c>
      <c r="F1117" s="22" t="str">
        <f>IFERROR(__xludf.DUMMYFUNCTION("""COMPUTED_VALUE"""),"女魔王ですが、生贄はせめてイケメンにしてください")</f>
        <v>女魔王ですが、生贄はせめてイケメンにしてください</v>
      </c>
      <c r="G1117" s="11" t="str">
        <f>IFERROR(__xludf.DUMMYFUNCTION("""COMPUTED_VALUE"""),"1～2")</f>
        <v>1～2</v>
      </c>
      <c r="H1117" s="22" t="str">
        <f>IFERROR(__xludf.DUMMYFUNCTION("""COMPUTED_VALUE"""),"三夏")</f>
        <v>三夏</v>
      </c>
      <c r="I1117" s="22" t="str">
        <f>IFERROR(__xludf.DUMMYFUNCTION("""COMPUTED_VALUE"""),"TL")</f>
        <v>TL</v>
      </c>
      <c r="J1117" s="22"/>
      <c r="K1117" s="22"/>
      <c r="L1117" s="22" t="str">
        <f>IFERROR(__xludf.DUMMYFUNCTION("""COMPUTED_VALUE"""),"竹書房")</f>
        <v>竹書房</v>
      </c>
      <c r="M1117" s="23">
        <f>IFERROR(__xludf.DUMMYFUNCTION("""COMPUTED_VALUE"""),45371.0)</f>
        <v>45371</v>
      </c>
      <c r="N1117" s="23">
        <f>IFERROR(__xludf.DUMMYFUNCTION("""COMPUTED_VALUE"""),45426.0)</f>
        <v>45426</v>
      </c>
      <c r="O1117" s="20"/>
      <c r="P1117" s="32" t="str">
        <f>IFERROR(__xludf.DUMMYFUNCTION("""COMPUTED_VALUE"""),"可")</f>
        <v>可</v>
      </c>
      <c r="Q1117" s="22"/>
      <c r="R1117" s="22" t="str">
        <f>IFERROR(__xludf.DUMMYFUNCTION("""COMPUTED_VALUE"""),"格納済")</f>
        <v>格納済</v>
      </c>
      <c r="S1117" s="22" t="str">
        <f>IFERROR(__xludf.DUMMYFUNCTION("""COMPUTED_VALUE"""),"20240201_竹書房_女魔王ですが、生贄はせめてイケメンにしてください")</f>
        <v>20240201_竹書房_女魔王ですが、生贄はせめてイケメンにしてください</v>
      </c>
      <c r="T1117" s="22" t="str">
        <f>IFERROR(__xludf.DUMMYFUNCTION("""COMPUTED_VALUE"""),"雑誌素材")</f>
        <v>雑誌素材</v>
      </c>
      <c r="U1117" s="15" t="str">
        <f>IFERROR(__xludf.DUMMYFUNCTION("""COMPUTED_VALUE"""),"(C)日車メレ・三夏/竹書房")</f>
        <v>(C)日車メレ・三夏/竹書房</v>
      </c>
      <c r="V1117" s="8" t="str">
        <f>IFERROR(__xludf.DUMMYFUNCTION("""COMPUTED_VALUE"""),"争いに敗れ、賠償交渉のため魔王国を訪れた人間の使節団。彼らの不誠実な対応に苛立つ若き女魔王のルチアは、条件をのむかわりに麗しい騎士・ヴォルフを男妾に指名する。脅しのつもりだったが…!?
※本電子書籍は「恋愛天国 vol.48」に収録の「女魔王ですが、生贄はせめてイケメンにしてください1」と同内容です。")</f>
        <v>争いに敗れ、賠償交渉のため魔王国を訪れた人間の使節団。彼らの不誠実な対応に苛立つ若き女魔王のルチアは、条件をのむかわりに麗しい騎士・ヴォルフを男妾に指名する。脅しのつもりだったが…!?
※本電子書籍は「恋愛天国 vol.48」に収録の「女魔王ですが、生贄はせめてイケメンにしてください1」と同内容です。</v>
      </c>
      <c r="W1117" s="14"/>
      <c r="X1117" s="14" t="str">
        <f>IFERROR(__xludf.DUMMYFUNCTION("""COMPUTED_VALUE"""),"有")</f>
        <v>有</v>
      </c>
      <c r="Y1117" s="8" t="str">
        <f>IFERROR(__xludf.DUMMYFUNCTION("""COMPUTED_VALUE"""),"P6まで")</f>
        <v>P6まで</v>
      </c>
      <c r="Z1117" s="7"/>
      <c r="AA1117" s="7"/>
      <c r="AB1117" s="7"/>
    </row>
    <row r="1118" ht="15.75" customHeight="1">
      <c r="A1118" s="26">
        <f>IFERROR(__xludf.DUMMYFUNCTION("""COMPUTED_VALUE"""),2874.0)</f>
        <v>2874</v>
      </c>
      <c r="B1118" s="22" t="str">
        <f>IFERROR(__xludf.DUMMYFUNCTION("""COMPUTED_VALUE"""),"確定")</f>
        <v>確定</v>
      </c>
      <c r="C1118" s="28">
        <f>IFERROR(__xludf.DUMMYFUNCTION("""COMPUTED_VALUE"""),45314.0)</f>
        <v>45314</v>
      </c>
      <c r="D1118" s="28">
        <f>IFERROR(__xludf.DUMMYFUNCTION("""COMPUTED_VALUE"""),45328.0)</f>
        <v>45328</v>
      </c>
      <c r="E1118" s="31">
        <f>IFERROR(__xludf.DUMMYFUNCTION("""COMPUTED_VALUE"""),287022.0)</f>
        <v>287022</v>
      </c>
      <c r="F1118" s="22" t="str">
        <f>IFERROR(__xludf.DUMMYFUNCTION("""COMPUTED_VALUE"""),"江家のイス～ある財閥家の嫁～【タテヨミ】        ")</f>
        <v>江家のイス～ある財閥家の嫁～【タテヨミ】        </v>
      </c>
      <c r="G1118" s="20" t="str">
        <f>IFERROR(__xludf.DUMMYFUNCTION("""COMPUTED_VALUE"""),"1~30")</f>
        <v>1~30</v>
      </c>
      <c r="H1118" s="22" t="str">
        <f>IFERROR(__xludf.DUMMYFUNCTION("""COMPUTED_VALUE"""),"Mambo, Winterbaum, Pesone")</f>
        <v>Mambo, Winterbaum, Pesone</v>
      </c>
      <c r="I1118" s="22" t="str">
        <f>IFERROR(__xludf.DUMMYFUNCTION("""COMPUTED_VALUE"""),"BL")</f>
        <v>BL</v>
      </c>
      <c r="J1118" s="22"/>
      <c r="K1118" s="22"/>
      <c r="L1118" s="22" t="str">
        <f>IFERROR(__xludf.DUMMYFUNCTION("""COMPUTED_VALUE"""),"NHN comico")</f>
        <v>NHN comico</v>
      </c>
      <c r="M1118" s="23">
        <f>IFERROR(__xludf.DUMMYFUNCTION("""COMPUTED_VALUE"""),45348.0)</f>
        <v>45348</v>
      </c>
      <c r="N1118" s="23">
        <f>IFERROR(__xludf.DUMMYFUNCTION("""COMPUTED_VALUE"""),45410.0)</f>
        <v>45410</v>
      </c>
      <c r="O1118" s="20"/>
      <c r="P1118" s="29" t="str">
        <f>IFERROR(__xludf.DUMMYFUNCTION("""COMPUTED_VALUE"""),"可")</f>
        <v>可</v>
      </c>
      <c r="Q1118" s="30" t="str">
        <f>IFERROR(__xludf.DUMMYFUNCTION("""COMPUTED_VALUE"""),"広告コミットOK(1/25)&lt;BR&gt;https://www.comico.jp/comic/8030")</f>
        <v>広告コミットOK(1/25)&lt;BR&gt;https://www.comico.jp/comic/8030</v>
      </c>
      <c r="R1118" s="22"/>
      <c r="S1118" s="22" t="str">
        <f>IFERROR(__xludf.DUMMYFUNCTION("""COMPUTED_VALUE"""),"20240201_comico_江家のイス~ある財閥家の嫁～（1-30）")</f>
        <v>20240201_comico_江家のイス~ある財閥家の嫁～（1-30）</v>
      </c>
      <c r="T1118" s="22" t="str">
        <f>IFERROR(__xludf.DUMMYFUNCTION("""COMPUTED_VALUE"""),"格納済み")</f>
        <v>格納済み</v>
      </c>
      <c r="U1118" s="15" t="str">
        <f>IFERROR(__xludf.DUMMYFUNCTION("""COMPUTED_VALUE"""),"(C)Mambo, Pesone, Winterbaum/Haksan Publishing Co.,Ltd.")</f>
        <v>(C)Mambo, Pesone, Winterbaum/Haksan Publishing Co.,Ltd.</v>
      </c>
      <c r="V1118" s="8" t="str">
        <f>IFERROR(__xludf.DUMMYFUNCTION("""COMPUTED_VALUE"""),"ドロドロの愛憎劇とBLのまさかのコラボ！想像以上の作品に間違いなし！俺はクールなシティーボーイのゲイ ハン・イス。しかし愛するカン・ジヒョンのためなら財閥家の嫁にだってなってやる。それなのに――「父さんが気に入っていたから結婚しようと連れてきたのになぜ反対するんです？」ある日、カン・ジヒョンが女を連れてきた。父親であるカン・ジュンマンに反抗するためだけに。俺一人でどうしろっていうんだよ!?腹は立ったものの、再出発しようと心に決めたイスだったが、義父であるカン・ジュンマンに引き止められた。「息子をあんなふう"&amp;"にした責任を取れ！お前があいつの代わりになるんだ！」グループの後継者になれという義父の命令を受け、気が付けば資料に埋もれて残業をしていた。しかし、いくら心身がつらくても性欲だけは消えず――短気で頑固な性格だがセクシーなジジイ、カン・ジュンマンか？裏切り者だが俺の理想の男、カン・ジヒョンか？２人の男の間で葛藤するイスの愛憎いっぱいのコメディ漫画。")</f>
        <v>ドロドロの愛憎劇とBLのまさかのコラボ！想像以上の作品に間違いなし！俺はクールなシティーボーイのゲイ ハン・イス。しかし愛するカン・ジヒョンのためなら財閥家の嫁にだってなってやる。それなのに――「父さんが気に入っていたから結婚しようと連れてきたのになぜ反対するんです？」ある日、カン・ジヒョンが女を連れてきた。父親であるカン・ジュンマンに反抗するためだけに。俺一人でどうしろっていうんだよ!?腹は立ったものの、再出発しようと心に決めたイスだったが、義父であるカン・ジュンマンに引き止められた。「息子をあんなふうにした責任を取れ！お前があいつの代わりになるんだ！」グループの後継者になれという義父の命令を受け、気が付けば資料に埋もれて残業をしていた。しかし、いくら心身がつらくても性欲だけは消えず――短気で頑固な性格だがセクシーなジジイ、カン・ジュンマンか？裏切り者だが俺の理想の男、カン・ジヒョンか？２人の男の間で葛藤するイスの愛憎いっぱいのコメディ漫画。</v>
      </c>
      <c r="W1118" s="14"/>
      <c r="X1118" s="14" t="str">
        <f>IFERROR(__xludf.DUMMYFUNCTION("""COMPUTED_VALUE"""),"有")</f>
        <v>有</v>
      </c>
      <c r="Y1118" s="8" t="str">
        <f>IFERROR(__xludf.DUMMYFUNCTION("""COMPUTED_VALUE"""),"5巻無料")</f>
        <v>5巻無料</v>
      </c>
      <c r="Z1118" s="7"/>
      <c r="AA1118" s="7"/>
      <c r="AB1118" s="7"/>
    </row>
    <row r="1119" ht="15.75" customHeight="1">
      <c r="A1119" s="26">
        <f>IFERROR(__xludf.DUMMYFUNCTION("""COMPUTED_VALUE"""),2875.0)</f>
        <v>2875</v>
      </c>
      <c r="B1119" s="22" t="str">
        <f>IFERROR(__xludf.DUMMYFUNCTION("""COMPUTED_VALUE"""),"確定")</f>
        <v>確定</v>
      </c>
      <c r="C1119" s="28">
        <f>IFERROR(__xludf.DUMMYFUNCTION("""COMPUTED_VALUE"""),45314.0)</f>
        <v>45314</v>
      </c>
      <c r="D1119" s="28">
        <f>IFERROR(__xludf.DUMMYFUNCTION("""COMPUTED_VALUE"""),45328.0)</f>
        <v>45328</v>
      </c>
      <c r="E1119" s="31">
        <f>IFERROR(__xludf.DUMMYFUNCTION("""COMPUTED_VALUE"""),287023.0)</f>
        <v>287023</v>
      </c>
      <c r="F1119" s="22" t="str">
        <f>IFERROR(__xludf.DUMMYFUNCTION("""COMPUTED_VALUE"""),"ホテルパロス～その裏の顔は～【タテヨミ】")</f>
        <v>ホテルパロス～その裏の顔は～【タテヨミ】</v>
      </c>
      <c r="G1119" s="20" t="str">
        <f>IFERROR(__xludf.DUMMYFUNCTION("""COMPUTED_VALUE"""),"1~35")</f>
        <v>1~35</v>
      </c>
      <c r="H1119" s="22" t="str">
        <f>IFERROR(__xludf.DUMMYFUNCTION("""COMPUTED_VALUE"""),"BINGO")</f>
        <v>BINGO</v>
      </c>
      <c r="I1119" s="22" t="str">
        <f>IFERROR(__xludf.DUMMYFUNCTION("""COMPUTED_VALUE"""),"BL")</f>
        <v>BL</v>
      </c>
      <c r="J1119" s="22"/>
      <c r="K1119" s="22"/>
      <c r="L1119" s="22" t="str">
        <f>IFERROR(__xludf.DUMMYFUNCTION("""COMPUTED_VALUE"""),"NHN comico")</f>
        <v>NHN comico</v>
      </c>
      <c r="M1119" s="23">
        <f>IFERROR(__xludf.DUMMYFUNCTION("""COMPUTED_VALUE"""),45348.0)</f>
        <v>45348</v>
      </c>
      <c r="N1119" s="23">
        <f>IFERROR(__xludf.DUMMYFUNCTION("""COMPUTED_VALUE"""),45410.0)</f>
        <v>45410</v>
      </c>
      <c r="O1119" s="20"/>
      <c r="P1119" s="29" t="str">
        <f>IFERROR(__xludf.DUMMYFUNCTION("""COMPUTED_VALUE"""),"可")</f>
        <v>可</v>
      </c>
      <c r="Q1119" s="30" t="str">
        <f>IFERROR(__xludf.DUMMYFUNCTION("""COMPUTED_VALUE"""),"広告コミットOK(1/25)&lt;BR&gt;https://www.comico.jp/comic/8089")</f>
        <v>広告コミットOK(1/25)&lt;BR&gt;https://www.comico.jp/comic/8089</v>
      </c>
      <c r="R1119" s="22"/>
      <c r="S1119" s="22" t="str">
        <f>IFERROR(__xludf.DUMMYFUNCTION("""COMPUTED_VALUE"""),"20240201_comico_ホテルパロス～その裏の顔は～（1-35）")</f>
        <v>20240201_comico_ホテルパロス～その裏の顔は～（1-35）</v>
      </c>
      <c r="T1119" s="22" t="str">
        <f>IFERROR(__xludf.DUMMYFUNCTION("""COMPUTED_VALUE"""),"格納済み")</f>
        <v>格納済み</v>
      </c>
      <c r="U1119" s="15" t="str">
        <f>IFERROR(__xludf.DUMMYFUNCTION("""COMPUTED_VALUE"""),"(C)BINGO/Haksan Publishing Co.,Ltd.")</f>
        <v>(C)BINGO/Haksan Publishing Co.,Ltd.</v>
      </c>
      <c r="V1119" s="8" t="str">
        <f>IFERROR(__xludf.DUMMYFUNCTION("""COMPUTED_VALUE"""),"幼い頃の思い出に美化されて隠されていたホテルパロスの真の姿が今明らかになる!!都会の生活に嫌気がさしていたダニエルは、長い間交流のなかった父親が亡くなったという知らせとともに、人里離れた海辺に位置した古いホテルを受け継ぐことになる。ホテルを処分するつもりでホテルパロスを訪ねたダニエルだったが…?")</f>
        <v>幼い頃の思い出に美化されて隠されていたホテルパロスの真の姿が今明らかになる!!都会の生活に嫌気がさしていたダニエルは、長い間交流のなかった父親が亡くなったという知らせとともに、人里離れた海辺に位置した古いホテルを受け継ぐことになる。ホテルを処分するつもりでホテルパロスを訪ねたダニエルだったが…?</v>
      </c>
      <c r="W1119" s="14"/>
      <c r="X1119" s="14" t="str">
        <f>IFERROR(__xludf.DUMMYFUNCTION("""COMPUTED_VALUE"""),"有")</f>
        <v>有</v>
      </c>
      <c r="Y1119" s="8" t="str">
        <f>IFERROR(__xludf.DUMMYFUNCTION("""COMPUTED_VALUE"""),"6巻無料")</f>
        <v>6巻無料</v>
      </c>
      <c r="Z1119" s="7"/>
      <c r="AA1119" s="7"/>
      <c r="AB1119" s="7"/>
    </row>
    <row r="1120" ht="15.75" customHeight="1">
      <c r="A1120" s="26">
        <f>IFERROR(__xludf.DUMMYFUNCTION("""COMPUTED_VALUE"""),2881.0)</f>
        <v>2881</v>
      </c>
      <c r="B1120" s="22" t="str">
        <f>IFERROR(__xludf.DUMMYFUNCTION("""COMPUTED_VALUE"""),"確定")</f>
        <v>確定</v>
      </c>
      <c r="C1120" s="28">
        <f>IFERROR(__xludf.DUMMYFUNCTION("""COMPUTED_VALUE"""),45317.0)</f>
        <v>45317</v>
      </c>
      <c r="D1120" s="28">
        <f>IFERROR(__xludf.DUMMYFUNCTION("""COMPUTED_VALUE"""),45328.0)</f>
        <v>45328</v>
      </c>
      <c r="E1120" s="31">
        <f>IFERROR(__xludf.DUMMYFUNCTION("""COMPUTED_VALUE"""),286906.0)</f>
        <v>286906</v>
      </c>
      <c r="F1120" s="22" t="str">
        <f>IFERROR(__xludf.DUMMYFUNCTION("""COMPUTED_VALUE"""),"そういうコンセプト")</f>
        <v>そういうコンセプト</v>
      </c>
      <c r="G1120" s="20" t="str">
        <f>IFERROR(__xludf.DUMMYFUNCTION("""COMPUTED_VALUE"""),"1~6")</f>
        <v>1~6</v>
      </c>
      <c r="H1120" s="22" t="str">
        <f>IFERROR(__xludf.DUMMYFUNCTION("""COMPUTED_VALUE"""),"裏筋侍")</f>
        <v>裏筋侍</v>
      </c>
      <c r="I1120" s="22" t="str">
        <f>IFERROR(__xludf.DUMMYFUNCTION("""COMPUTED_VALUE"""),"オトナ")</f>
        <v>オトナ</v>
      </c>
      <c r="J1120" s="22"/>
      <c r="K1120" s="22"/>
      <c r="L1120" s="22" t="str">
        <f>IFERROR(__xludf.DUMMYFUNCTION("""COMPUTED_VALUE"""),"ブリック出版")</f>
        <v>ブリック出版</v>
      </c>
      <c r="M1120" s="23">
        <f>IFERROR(__xludf.DUMMYFUNCTION("""COMPUTED_VALUE"""),45345.0)</f>
        <v>45345</v>
      </c>
      <c r="N1120" s="23">
        <f>IFERROR(__xludf.DUMMYFUNCTION("""COMPUTED_VALUE"""),45435.0)</f>
        <v>45435</v>
      </c>
      <c r="O1120" s="20"/>
      <c r="P1120" s="29" t="str">
        <f>IFERROR(__xludf.DUMMYFUNCTION("""COMPUTED_VALUE"""),"可")</f>
        <v>可</v>
      </c>
      <c r="Q1120" s="30" t="str">
        <f>IFERROR(__xludf.DUMMYFUNCTION("""COMPUTED_VALUE"""),"広告コミットOK(1/30)&lt;BR&gt;&lt;BR&gt;BookLiveからの2次先行です。&lt;BR&gt;「フラチ」の裏筋侍氏の新作です。&lt;BR&gt;素材のうち1巻を2つに、2巻を4つに分割して1~6巻分として配信します。")</f>
        <v>広告コミットOK(1/30)&lt;BR&gt;&lt;BR&gt;BookLiveからの2次先行です。&lt;BR&gt;「フラチ」の裏筋侍氏の新作です。&lt;BR&gt;素材のうち1巻を2つに、2巻を4つに分割して1~6巻分として配信します。</v>
      </c>
      <c r="R1120" s="22"/>
      <c r="S1120" s="22" t="str">
        <f>IFERROR(__xludf.DUMMYFUNCTION("""COMPUTED_VALUE"""),"20240206_BookLive_そういうコンセプト")</f>
        <v>20240206_BookLive_そういうコンセプト</v>
      </c>
      <c r="T1120" s="22" t="str">
        <f>IFERROR(__xludf.DUMMYFUNCTION("""COMPUTED_VALUE"""),"格納済み")</f>
        <v>格納済み</v>
      </c>
      <c r="U1120" s="15" t="str">
        <f>IFERROR(__xludf.DUMMYFUNCTION("""COMPUTED_VALUE"""),"(C)ブリック出版")</f>
        <v>(C)ブリック出版</v>
      </c>
      <c r="V1120" s="8" t="str">
        <f>IFERROR(__xludf.DUMMYFUNCTION("""COMPUTED_VALUE"""),"仕事への情熱を失い退職に悩む主人公「浩平」
同僚に誘われたコンカフェで 出会ったキャスト「りおん」と意気投合し それ以降お店に顔を出すようになる
しかし浩平はお店に通う中で、りおんが他のキャストから 嫌がらせを受けていることに気付き始める・・・
ある晩、公園でばったりと出会う2人 彼女に話すを聞くと 居候していた友人の部屋から 追い出されたとのこと・・・
下心と親切心のはざまで自宅に誘う浩平
すんなり受け入れたりおんとそこから謎の同居生活が始まり・・・")</f>
        <v>仕事への情熱を失い退職に悩む主人公「浩平」
同僚に誘われたコンカフェで 出会ったキャスト「りおん」と意気投合し それ以降お店に顔を出すようになる
しかし浩平はお店に通う中で、りおんが他のキャストから 嫌がらせを受けていることに気付き始める・・・
ある晩、公園でばったりと出会う2人 彼女に話すを聞くと 居候していた友人の部屋から 追い出されたとのこと・・・
下心と親切心のはざまで自宅に誘う浩平
すんなり受け入れたりおんとそこから謎の同居生活が始まり・・・</v>
      </c>
      <c r="W1120" s="14"/>
      <c r="X1120" s="14" t="str">
        <f>IFERROR(__xludf.DUMMYFUNCTION("""COMPUTED_VALUE"""),"有")</f>
        <v>有</v>
      </c>
      <c r="Y1120" s="8" t="str">
        <f>IFERROR(__xludf.DUMMYFUNCTION("""COMPUTED_VALUE"""),"P10まで")</f>
        <v>P10まで</v>
      </c>
      <c r="Z1120" s="7"/>
      <c r="AA1120" s="7"/>
      <c r="AB1120" s="7"/>
    </row>
    <row r="1121" ht="15.75" customHeight="1">
      <c r="A1121" s="26">
        <f>IFERROR(__xludf.DUMMYFUNCTION("""COMPUTED_VALUE"""),2896.0)</f>
        <v>2896</v>
      </c>
      <c r="B1121" s="22" t="str">
        <f>IFERROR(__xludf.DUMMYFUNCTION("""COMPUTED_VALUE"""),"確定")</f>
        <v>確定</v>
      </c>
      <c r="C1121" s="28">
        <f>IFERROR(__xludf.DUMMYFUNCTION("""COMPUTED_VALUE"""),45321.0)</f>
        <v>45321</v>
      </c>
      <c r="D1121" s="28">
        <f>IFERROR(__xludf.DUMMYFUNCTION("""COMPUTED_VALUE"""),45328.0)</f>
        <v>45328</v>
      </c>
      <c r="E1121" s="26">
        <f>IFERROR(__xludf.DUMMYFUNCTION("""COMPUTED_VALUE"""),242968.0)</f>
        <v>242968</v>
      </c>
      <c r="F1121" s="22" t="str">
        <f>IFERROR(__xludf.DUMMYFUNCTION("""COMPUTED_VALUE"""),"羊くんはオオカミ")</f>
        <v>羊くんはオオカミ</v>
      </c>
      <c r="G1121" s="20" t="str">
        <f>IFERROR(__xludf.DUMMYFUNCTION("""COMPUTED_VALUE"""),"1～3")</f>
        <v>1～3</v>
      </c>
      <c r="H1121" s="22" t="str">
        <f>IFERROR(__xludf.DUMMYFUNCTION("""COMPUTED_VALUE"""),"三隅")</f>
        <v>三隅</v>
      </c>
      <c r="I1121" s="22" t="str">
        <f>IFERROR(__xludf.DUMMYFUNCTION("""COMPUTED_VALUE"""),"少女")</f>
        <v>少女</v>
      </c>
      <c r="J1121" s="22"/>
      <c r="K1121" s="22"/>
      <c r="L1121" s="22" t="str">
        <f>IFERROR(__xludf.DUMMYFUNCTION("""COMPUTED_VALUE"""),"ソルマーレ編集部")</f>
        <v>ソルマーレ編集部</v>
      </c>
      <c r="M1121" s="23">
        <f>IFERROR(__xludf.DUMMYFUNCTION("""COMPUTED_VALUE"""),45353.0)</f>
        <v>45353</v>
      </c>
      <c r="N1121" s="23">
        <f>IFERROR(__xludf.DUMMYFUNCTION("""COMPUTED_VALUE"""),45371.0)</f>
        <v>45371</v>
      </c>
      <c r="O1121" s="20"/>
      <c r="P1121" s="32" t="str">
        <f>IFERROR(__xludf.DUMMYFUNCTION("""COMPUTED_VALUE"""),"可")</f>
        <v>可</v>
      </c>
      <c r="Q1121" s="30"/>
      <c r="R1121" s="22"/>
      <c r="S1121" s="22" t="str">
        <f>IFERROR(__xludf.DUMMYFUNCTION("""COMPUTED_VALUE"""),"20240201_ソルマーレ編集部_羊くんはオオカミ")</f>
        <v>20240201_ソルマーレ編集部_羊くんはオオカミ</v>
      </c>
      <c r="T1121" s="22" t="str">
        <f>IFERROR(__xludf.DUMMYFUNCTION("""COMPUTED_VALUE"""),"格納済み")</f>
        <v>格納済み</v>
      </c>
      <c r="U1121" s="15" t="str">
        <f>IFERROR(__xludf.DUMMYFUNCTION("""COMPUTED_VALUE"""),"Ⓒ 三隅/シーモアコミックス")</f>
        <v>Ⓒ 三隅/シーモアコミックス</v>
      </c>
      <c r="V1121" s="8" t="str">
        <f>IFERROR(__xludf.DUMMYFUNCTION("""COMPUTED_VALUE"""),"あのかわいい羊はどこへいったの…？
手のかかる甘えん坊でかわいい弟・羊。愛深の面倒見のよさもあいまって、小さい頃から社会人になった今もずっと身の回りのお世話をしている。といっても実の弟ではなく、羊は幼なじみの年下男子。心配だしおねだりされると放っとけない、同棲だって始めちゃう勢いだけど、羊はあくまで弟みたいな存在で恋愛対象ではない！事実最近、愛深は婚活してイイ人もできた。でもそれを知った羊が突然――!?【恋するソワレ】")</f>
        <v>あのかわいい羊はどこへいったの…？
手のかかる甘えん坊でかわいい弟・羊。愛深の面倒見のよさもあいまって、小さい頃から社会人になった今もずっと身の回りのお世話をしている。といっても実の弟ではなく、羊は幼なじみの年下男子。心配だしおねだりされると放っとけない、同棲だって始めちゃう勢いだけど、羊はあくまで弟みたいな存在で恋愛対象ではない！事実最近、愛深は婚活してイイ人もできた。でもそれを知った羊が突然――!?【恋するソワレ】</v>
      </c>
      <c r="W1121" s="14"/>
      <c r="X1121" s="14" t="str">
        <f>IFERROR(__xludf.DUMMYFUNCTION("""COMPUTED_VALUE"""),"有")</f>
        <v>有</v>
      </c>
      <c r="Y1121" s="8" t="str">
        <f>IFERROR(__xludf.DUMMYFUNCTION("""COMPUTED_VALUE"""),"2024/4/5まで1巻無料")</f>
        <v>2024/4/5まで1巻無料</v>
      </c>
      <c r="Z1121" s="7"/>
      <c r="AA1121" s="7"/>
      <c r="AB1121" s="7"/>
    </row>
    <row r="1122" ht="15.75" customHeight="1">
      <c r="A1122" s="26">
        <f>IFERROR(__xludf.DUMMYFUNCTION("""COMPUTED_VALUE"""),2897.0)</f>
        <v>2897</v>
      </c>
      <c r="B1122" s="22" t="str">
        <f>IFERROR(__xludf.DUMMYFUNCTION("""COMPUTED_VALUE"""),"確定")</f>
        <v>確定</v>
      </c>
      <c r="C1122" s="28">
        <f>IFERROR(__xludf.DUMMYFUNCTION("""COMPUTED_VALUE"""),45321.0)</f>
        <v>45321</v>
      </c>
      <c r="D1122" s="28">
        <f>IFERROR(__xludf.DUMMYFUNCTION("""COMPUTED_VALUE"""),45328.0)</f>
        <v>45328</v>
      </c>
      <c r="E1122" s="26">
        <f>IFERROR(__xludf.DUMMYFUNCTION("""COMPUTED_VALUE"""),274776.0)</f>
        <v>274776</v>
      </c>
      <c r="F1122" s="22" t="str">
        <f>IFERROR(__xludf.DUMMYFUNCTION("""COMPUTED_VALUE"""),"いけにえ巫女は呪われ王に愛される")</f>
        <v>いけにえ巫女は呪われ王に愛される</v>
      </c>
      <c r="G1122" s="20" t="str">
        <f>IFERROR(__xludf.DUMMYFUNCTION("""COMPUTED_VALUE"""),"1～3")</f>
        <v>1～3</v>
      </c>
      <c r="H1122" s="22" t="str">
        <f>IFERROR(__xludf.DUMMYFUNCTION("""COMPUTED_VALUE"""),"NUKI")</f>
        <v>NUKI</v>
      </c>
      <c r="I1122" s="14" t="str">
        <f>IFERROR(__xludf.DUMMYFUNCTION("""COMPUTED_VALUE"""),"TL")</f>
        <v>TL</v>
      </c>
      <c r="J1122" s="22"/>
      <c r="K1122" s="22"/>
      <c r="L1122" s="22" t="str">
        <f>IFERROR(__xludf.DUMMYFUNCTION("""COMPUTED_VALUE"""),"ソルマーレ編集部")</f>
        <v>ソルマーレ編集部</v>
      </c>
      <c r="M1122" s="23">
        <f>IFERROR(__xludf.DUMMYFUNCTION("""COMPUTED_VALUE"""),45353.0)</f>
        <v>45353</v>
      </c>
      <c r="N1122" s="23">
        <f>IFERROR(__xludf.DUMMYFUNCTION("""COMPUTED_VALUE"""),45414.0)</f>
        <v>45414</v>
      </c>
      <c r="O1122" s="20"/>
      <c r="P1122" s="32" t="str">
        <f>IFERROR(__xludf.DUMMYFUNCTION("""COMPUTED_VALUE"""),"可")</f>
        <v>可</v>
      </c>
      <c r="Q1122" s="30"/>
      <c r="R1122" s="22"/>
      <c r="S1122" s="22" t="str">
        <f>IFERROR(__xludf.DUMMYFUNCTION("""COMPUTED_VALUE"""),"20240201_ソルマーレ編集部_いけにえ巫女は呪われ王に愛される")</f>
        <v>20240201_ソルマーレ編集部_いけにえ巫女は呪われ王に愛される</v>
      </c>
      <c r="T1122" s="22" t="str">
        <f>IFERROR(__xludf.DUMMYFUNCTION("""COMPUTED_VALUE"""),"格納済み")</f>
        <v>格納済み</v>
      </c>
      <c r="U1122" s="15" t="str">
        <f>IFERROR(__xludf.DUMMYFUNCTION("""COMPUTED_VALUE"""),"Ⓒ NUKI/シーモアコミックス")</f>
        <v>Ⓒ NUKI/シーモアコミックス</v>
      </c>
      <c r="V1122" s="8" t="str">
        <f>IFERROR(__xludf.DUMMYFUNCTION("""COMPUTED_VALUE"""),"おそろしい呪われ王は震える私に「すまない」と詫びて──。
コミックシーモア毎月マンガ賞受賞作が連載スタート！　王と巫女が立場をこえて触れあうファンタジーロマンス☆
メリッサは城下町の酒場で働きながら、妹たちを一人で養っている。今日の酒場は亡くなった「祝福の巫女」の話題でもちきりだ。祝福の巫女はこの国の王・呪われ王に身をささげるさだめ。王は魔物を身の内に封じ、何十年も公の場には姿を現していない。自分とは違う世界の話だと思っていたのに、巫女にメリッサが選ばれてしまって…!?【桃色日記】")</f>
        <v>おそろしい呪われ王は震える私に「すまない」と詫びて──。
コミックシーモア毎月マンガ賞受賞作が連載スタート！　王と巫女が立場をこえて触れあうファンタジーロマンス☆
メリッサは城下町の酒場で働きながら、妹たちを一人で養っている。今日の酒場は亡くなった「祝福の巫女」の話題でもちきりだ。祝福の巫女はこの国の王・呪われ王に身をささげるさだめ。王は魔物を身の内に封じ、何十年も公の場には姿を現していない。自分とは違う世界の話だと思っていたのに、巫女にメリッサが選ばれてしまって…!?【桃色日記】</v>
      </c>
      <c r="W1122" s="14"/>
      <c r="X1122" s="14" t="str">
        <f>IFERROR(__xludf.DUMMYFUNCTION("""COMPUTED_VALUE"""),"有")</f>
        <v>有</v>
      </c>
      <c r="Y1122" s="8" t="str">
        <f>IFERROR(__xludf.DUMMYFUNCTION("""COMPUTED_VALUE"""),"2024/4/5まで1巻無料")</f>
        <v>2024/4/5まで1巻無料</v>
      </c>
      <c r="Z1122" s="7"/>
      <c r="AA1122" s="7"/>
      <c r="AB1122" s="7"/>
    </row>
    <row r="1123" ht="15.75" customHeight="1">
      <c r="A1123" s="26">
        <f>IFERROR(__xludf.DUMMYFUNCTION("""COMPUTED_VALUE"""),2911.0)</f>
        <v>2911</v>
      </c>
      <c r="B1123" s="22" t="str">
        <f>IFERROR(__xludf.DUMMYFUNCTION("""COMPUTED_VALUE"""),"確定")</f>
        <v>確定</v>
      </c>
      <c r="C1123" s="28">
        <f>IFERROR(__xludf.DUMMYFUNCTION("""COMPUTED_VALUE"""),45322.0)</f>
        <v>45322</v>
      </c>
      <c r="D1123" s="28">
        <f>IFERROR(__xludf.DUMMYFUNCTION("""COMPUTED_VALUE"""),45328.0)</f>
        <v>45328</v>
      </c>
      <c r="E1123" s="31">
        <f>IFERROR(__xludf.DUMMYFUNCTION("""COMPUTED_VALUE"""),287719.0)</f>
        <v>287719</v>
      </c>
      <c r="F1123" s="22" t="str">
        <f>IFERROR(__xludf.DUMMYFUNCTION("""COMPUTED_VALUE"""),"対極的セカンドラブ")</f>
        <v>対極的セカンドラブ</v>
      </c>
      <c r="G1123" s="11" t="str">
        <f>IFERROR(__xludf.DUMMYFUNCTION("""COMPUTED_VALUE"""),"1～2")</f>
        <v>1～2</v>
      </c>
      <c r="H1123" s="22" t="str">
        <f>IFERROR(__xludf.DUMMYFUNCTION("""COMPUTED_VALUE"""),"beno")</f>
        <v>beno</v>
      </c>
      <c r="I1123" s="22" t="str">
        <f>IFERROR(__xludf.DUMMYFUNCTION("""COMPUTED_VALUE"""),"BL")</f>
        <v>BL</v>
      </c>
      <c r="J1123" s="22"/>
      <c r="K1123" s="22"/>
      <c r="L1123" s="22" t="str">
        <f>IFERROR(__xludf.DUMMYFUNCTION("""COMPUTED_VALUE"""),"MUGENUP")</f>
        <v>MUGENUP</v>
      </c>
      <c r="M1123" s="23">
        <f>IFERROR(__xludf.DUMMYFUNCTION("""COMPUTED_VALUE"""),45353.0)</f>
        <v>45353</v>
      </c>
      <c r="N1123" s="23">
        <f>IFERROR(__xludf.DUMMYFUNCTION("""COMPUTED_VALUE"""),45444.0)</f>
        <v>45444</v>
      </c>
      <c r="O1123" s="20"/>
      <c r="P1123" s="29" t="str">
        <f>IFERROR(__xludf.DUMMYFUNCTION("""COMPUTED_VALUE"""),"可")</f>
        <v>可</v>
      </c>
      <c r="Q1123" s="22" t="str">
        <f>IFERROR(__xludf.DUMMYFUNCTION("""COMPUTED_VALUE"""),"広告コミットOK(2/2)&lt;BR&gt;※旧ペンネーム：稲根デツ")</f>
        <v>広告コミットOK(2/2)&lt;BR&gt;※旧ペンネーム：稲根デツ</v>
      </c>
      <c r="R1123" s="22" t="str">
        <f>IFERROR(__xludf.DUMMYFUNCTION("""COMPUTED_VALUE"""),"格納済み")</f>
        <v>格納済み</v>
      </c>
      <c r="S1123" s="22" t="str">
        <f>IFERROR(__xludf.DUMMYFUNCTION("""COMPUTED_VALUE"""),"20240206_MUGENUP_対極的セカンドラブ")</f>
        <v>20240206_MUGENUP_対極的セカンドラブ</v>
      </c>
      <c r="T1123" s="22" t="str">
        <f>IFERROR(__xludf.DUMMYFUNCTION("""COMPUTED_VALUE"""),"格納済み")</f>
        <v>格納済み</v>
      </c>
      <c r="U1123" s="15" t="str">
        <f>IFERROR(__xludf.DUMMYFUNCTION("""COMPUTED_VALUE"""),"(C) beno／MUGENUP")</f>
        <v>(C) beno／MUGENUP</v>
      </c>
      <c r="V1123" s="8" t="str">
        <f>IFERROR(__xludf.DUMMYFUNCTION("""COMPUTED_VALUE"""),"男女性のほかに、アルファ・オメガ・ベータという第二性が存在する世界。
オメガの壬生坂セキ（みぶさかせき）は、困っていたところをヤクザである眞咬徳道（まかみなりみち）に救われたことから一目惚れしてしまい、家に転がり込むようになっていた。
そんな徳道が亡くなってから1週間──。
実の弟でありアルファの眞咬ハジメ（まかみはじめ）への手紙を託されたセキは、徳道の実家を訪れた。
成り行きで一緒に住むことになったハジメとセキだが、部屋に案内された途端突然ヒートが起きてしまい…！？
「ここは『あの人』にだ"&amp;"けって決めてて…」
忘れられない人とは正反対で相性最悪なのにどこかむずがゆい。
不器用で堅物なアルファ×未練を断ち切れないオメガの、セカンドラブストーリー。")</f>
        <v>男女性のほかに、アルファ・オメガ・ベータという第二性が存在する世界。
オメガの壬生坂セキ（みぶさかせき）は、困っていたところをヤクザである眞咬徳道（まかみなりみち）に救われたことから一目惚れしてしまい、家に転がり込むようになっていた。
そんな徳道が亡くなってから1週間──。
実の弟でありアルファの眞咬ハジメ（まかみはじめ）への手紙を託されたセキは、徳道の実家を訪れた。
成り行きで一緒に住むことになったハジメとセキだが、部屋に案内された途端突然ヒートが起きてしまい…！？
「ここは『あの人』にだけって決めてて…」
忘れられない人とは正反対で相性最悪なのにどこかむずがゆい。
不器用で堅物なアルファ×未練を断ち切れないオメガの、セカンドラブストーリー。</v>
      </c>
      <c r="W1123" s="14"/>
      <c r="X1123" s="14" t="str">
        <f>IFERROR(__xludf.DUMMYFUNCTION("""COMPUTED_VALUE"""),"有")</f>
        <v>有</v>
      </c>
      <c r="Y1123" s="8" t="str">
        <f>IFERROR(__xludf.DUMMYFUNCTION("""COMPUTED_VALUE"""),"P13まで")</f>
        <v>P13まで</v>
      </c>
      <c r="Z1123" s="7"/>
      <c r="AA1123" s="7"/>
      <c r="AB1123" s="7"/>
    </row>
    <row r="1124" ht="15.75" customHeight="1">
      <c r="A1124" s="26">
        <f>IFERROR(__xludf.DUMMYFUNCTION("""COMPUTED_VALUE"""),2914.0)</f>
        <v>2914</v>
      </c>
      <c r="B1124" s="22" t="str">
        <f>IFERROR(__xludf.DUMMYFUNCTION("""COMPUTED_VALUE"""),"確定")</f>
        <v>確定</v>
      </c>
      <c r="C1124" s="28">
        <f>IFERROR(__xludf.DUMMYFUNCTION("""COMPUTED_VALUE"""),45323.0)</f>
        <v>45323</v>
      </c>
      <c r="D1124" s="28">
        <f>IFERROR(__xludf.DUMMYFUNCTION("""COMPUTED_VALUE"""),45328.0)</f>
        <v>45328</v>
      </c>
      <c r="E1124" s="31">
        <f>IFERROR(__xludf.DUMMYFUNCTION("""COMPUTED_VALUE"""),287363.0)</f>
        <v>287363</v>
      </c>
      <c r="F1124" s="22" t="str">
        <f>IFERROR(__xludf.DUMMYFUNCTION("""COMPUTED_VALUE"""),"失恋伯爵令嬢と俺様騎士団長～一夜限りの関係なので、溺愛しないでください～")</f>
        <v>失恋伯爵令嬢と俺様騎士団長～一夜限りの関係なので、溺愛しないでください～</v>
      </c>
      <c r="G1124" s="20" t="str">
        <f>IFERROR(__xludf.DUMMYFUNCTION("""COMPUTED_VALUE"""),"1～3")</f>
        <v>1～3</v>
      </c>
      <c r="H1124" s="22" t="str">
        <f>IFERROR(__xludf.DUMMYFUNCTION("""COMPUTED_VALUE"""),"Sweet rich/LaChic/Jeong Hyejin")</f>
        <v>Sweet rich/LaChic/Jeong Hyejin</v>
      </c>
      <c r="I1124" s="22" t="str">
        <f>IFERROR(__xludf.DUMMYFUNCTION("""COMPUTED_VALUE"""),"女性")</f>
        <v>女性</v>
      </c>
      <c r="J1124" s="22"/>
      <c r="K1124" s="22"/>
      <c r="L1124" s="22" t="str">
        <f>IFERROR(__xludf.DUMMYFUNCTION("""COMPUTED_VALUE"""),"Rush!")</f>
        <v>Rush!</v>
      </c>
      <c r="M1124" s="23">
        <f>IFERROR(__xludf.DUMMYFUNCTION("""COMPUTED_VALUE"""),45357.0)</f>
        <v>45357</v>
      </c>
      <c r="N1124" s="23">
        <f>IFERROR(__xludf.DUMMYFUNCTION("""COMPUTED_VALUE"""),45384.0)</f>
        <v>45384</v>
      </c>
      <c r="O1124" s="20"/>
      <c r="P1124" s="32" t="str">
        <f>IFERROR(__xludf.DUMMYFUNCTION("""COMPUTED_VALUE"""),"可")</f>
        <v>可</v>
      </c>
      <c r="Q1124" s="30"/>
      <c r="R1124" s="22"/>
      <c r="S1124" s="22" t="str">
        <f>IFERROR(__xludf.DUMMYFUNCTION("""COMPUTED_VALUE"""),"20240201_ファンギルド_失恋伯爵令嬢と俺様騎士団長")</f>
        <v>20240201_ファンギルド_失恋伯爵令嬢と俺様騎士団長</v>
      </c>
      <c r="T1124" s="22" t="str">
        <f>IFERROR(__xludf.DUMMYFUNCTION("""COMPUTED_VALUE"""),"格納済み")</f>
        <v>格納済み</v>
      </c>
      <c r="U1124" s="15" t="str">
        <f>IFERROR(__xludf.DUMMYFUNCTION("""COMPUTED_VALUE"""),"©Sweet rich/LaChic/Jeong Hyejin")</f>
        <v>©Sweet rich/LaChic/Jeong Hyejin</v>
      </c>
      <c r="V1124" s="8" t="str">
        <f>IFERROR(__xludf.DUMMYFUNCTION("""COMPUTED_VALUE"""),"社交界一の美女と謳われる伯爵家令嬢・ダミエ。長年想ってきた幼馴染に告白するも散々な振られ方をされてしまい、衝動的に”遊び人”と名高い宮廷騎士団長・アーカードと一夜を明かす。熱い夜を共にするも、一夜限りの関係だと思ったダミエは彼の前からそそくさと姿を消した。しかしその数日後、アーカードが屋敷を訪ねて来て…？「あなたと過ごしたあの日の夜は、特別な夜だった」自分に靡かないダミエを手懐けたいアーカードと、必死に反発するダミエ。しかし何度も求められるうちにダミエは──。一夜限りの関係から始まる、俺様騎士団長との溺愛"&amp;"物語。")</f>
        <v>社交界一の美女と謳われる伯爵家令嬢・ダミエ。長年想ってきた幼馴染に告白するも散々な振られ方をされてしまい、衝動的に”遊び人”と名高い宮廷騎士団長・アーカードと一夜を明かす。熱い夜を共にするも、一夜限りの関係だと思ったダミエは彼の前からそそくさと姿を消した。しかしその数日後、アーカードが屋敷を訪ねて来て…？「あなたと過ごしたあの日の夜は、特別な夜だった」自分に靡かないダミエを手懐けたいアーカードと、必死に反発するダミエ。しかし何度も求められるうちにダミエは──。一夜限りの関係から始まる、俺様騎士団長との溺愛物語。</v>
      </c>
      <c r="W1124" s="14"/>
      <c r="X1124" s="14" t="str">
        <f>IFERROR(__xludf.DUMMYFUNCTION("""COMPUTED_VALUE"""),"有")</f>
        <v>有</v>
      </c>
      <c r="Y1124" s="8" t="str">
        <f>IFERROR(__xludf.DUMMYFUNCTION("""COMPUTED_VALUE"""),"2024/3/19まで1巻無料")</f>
        <v>2024/3/19まで1巻無料</v>
      </c>
      <c r="Z1124" s="7"/>
      <c r="AA1124" s="7"/>
      <c r="AB1124" s="7"/>
    </row>
    <row r="1125" ht="15.75" customHeight="1">
      <c r="A1125" s="26">
        <f>IFERROR(__xludf.DUMMYFUNCTION("""COMPUTED_VALUE"""),2915.0)</f>
        <v>2915</v>
      </c>
      <c r="B1125" s="22" t="str">
        <f>IFERROR(__xludf.DUMMYFUNCTION("""COMPUTED_VALUE"""),"確定")</f>
        <v>確定</v>
      </c>
      <c r="C1125" s="28">
        <f>IFERROR(__xludf.DUMMYFUNCTION("""COMPUTED_VALUE"""),45323.0)</f>
        <v>45323</v>
      </c>
      <c r="D1125" s="28">
        <f>IFERROR(__xludf.DUMMYFUNCTION("""COMPUTED_VALUE"""),45328.0)</f>
        <v>45328</v>
      </c>
      <c r="E1125" s="31">
        <f>IFERROR(__xludf.DUMMYFUNCTION("""COMPUTED_VALUE"""),287354.0)</f>
        <v>287354</v>
      </c>
      <c r="F1125" s="22" t="str">
        <f>IFERROR(__xludf.DUMMYFUNCTION("""COMPUTED_VALUE"""),"桃色交換～ カースト上位の女子とキスから先に進んだら～")</f>
        <v>桃色交換～ カースト上位の女子とキスから先に進んだら～</v>
      </c>
      <c r="G1125" s="20" t="str">
        <f>IFERROR(__xludf.DUMMYFUNCTION("""COMPUTED_VALUE"""),"1～3")</f>
        <v>1～3</v>
      </c>
      <c r="H1125" s="22" t="str">
        <f>IFERROR(__xludf.DUMMYFUNCTION("""COMPUTED_VALUE"""),"椎奈しな")</f>
        <v>椎奈しな</v>
      </c>
      <c r="I1125" s="22" t="str">
        <f>IFERROR(__xludf.DUMMYFUNCTION("""COMPUTED_VALUE"""),"青年")</f>
        <v>青年</v>
      </c>
      <c r="J1125" s="22"/>
      <c r="K1125" s="22"/>
      <c r="L1125" s="22" t="str">
        <f>IFERROR(__xludf.DUMMYFUNCTION("""COMPUTED_VALUE"""),"Rush!")</f>
        <v>Rush!</v>
      </c>
      <c r="M1125" s="23">
        <f>IFERROR(__xludf.DUMMYFUNCTION("""COMPUTED_VALUE"""),45352.0)</f>
        <v>45352</v>
      </c>
      <c r="N1125" s="23">
        <f>IFERROR(__xludf.DUMMYFUNCTION("""COMPUTED_VALUE"""),45427.0)</f>
        <v>45427</v>
      </c>
      <c r="O1125" s="20"/>
      <c r="P1125" s="32" t="str">
        <f>IFERROR(__xludf.DUMMYFUNCTION("""COMPUTED_VALUE"""),"可")</f>
        <v>可</v>
      </c>
      <c r="Q1125" s="30"/>
      <c r="R1125" s="22"/>
      <c r="S1125" s="22" t="str">
        <f>IFERROR(__xludf.DUMMYFUNCTION("""COMPUTED_VALUE"""),"20240201_ファンギルド_桃色交換")</f>
        <v>20240201_ファンギルド_桃色交換</v>
      </c>
      <c r="T1125" s="22" t="str">
        <f>IFERROR(__xludf.DUMMYFUNCTION("""COMPUTED_VALUE"""),"格納済み")</f>
        <v>格納済み</v>
      </c>
      <c r="U1125" s="15" t="str">
        <f>IFERROR(__xludf.DUMMYFUNCTION("""COMPUTED_VALUE"""),"©Shina Shiina")</f>
        <v>©Shina Shiina</v>
      </c>
      <c r="V1125" s="8" t="str">
        <f>IFERROR(__xludf.DUMMYFUNCTION("""COMPUTED_VALUE"""),"「かわいい彼女とキスより先に進みたい！」――フツメン高校生・百田鈴丸（ももたすずまる）の唯一にして最大の自慢、それは学年で一番かわいい同級生・七瀬咲希（ななせさき）と付き合っていること！しかし、ヘタレな鈴丸はまだ童貞を卒業できず、咲希も奥手な鈴丸に呆れている様子。そんなある日、【願いを叶えてくれる猫神様】という怪しい学園の噂を聞いた鈴丸は、藁にもすがる思いで学園内にいたノラ猫に願いを伝える。するとその夜、目が覚めると顔の前に何やら温かくてスベスベした肌感触…こ、これは――！？鈴丸は無事に彼女と最後までヤり"&amp;"遂げることが出来るのか…！")</f>
        <v>「かわいい彼女とキスより先に進みたい！」――フツメン高校生・百田鈴丸（ももたすずまる）の唯一にして最大の自慢、それは学年で一番かわいい同級生・七瀬咲希（ななせさき）と付き合っていること！しかし、ヘタレな鈴丸はまだ童貞を卒業できず、咲希も奥手な鈴丸に呆れている様子。そんなある日、【願いを叶えてくれる猫神様】という怪しい学園の噂を聞いた鈴丸は、藁にもすがる思いで学園内にいたノラ猫に願いを伝える。するとその夜、目が覚めると顔の前に何やら温かくてスベスベした肌感触…こ、これは――！？鈴丸は無事に彼女と最後までヤり遂げることが出来るのか…！</v>
      </c>
      <c r="W1125" s="14"/>
      <c r="X1125" s="14" t="str">
        <f>IFERROR(__xludf.DUMMYFUNCTION("""COMPUTED_VALUE"""),"有")</f>
        <v>有</v>
      </c>
      <c r="Y1125" s="8" t="str">
        <f>IFERROR(__xludf.DUMMYFUNCTION("""COMPUTED_VALUE"""),"2024/3/14まで1巻無料")</f>
        <v>2024/3/14まで1巻無料</v>
      </c>
      <c r="Z1125" s="7"/>
      <c r="AA1125" s="7"/>
      <c r="AB1125" s="7"/>
    </row>
    <row r="1126" ht="15.75" customHeight="1">
      <c r="A1126" s="26">
        <f>IFERROR(__xludf.DUMMYFUNCTION("""COMPUTED_VALUE"""),2916.0)</f>
        <v>2916</v>
      </c>
      <c r="B1126" s="22" t="str">
        <f>IFERROR(__xludf.DUMMYFUNCTION("""COMPUTED_VALUE"""),"確定")</f>
        <v>確定</v>
      </c>
      <c r="C1126" s="28">
        <f>IFERROR(__xludf.DUMMYFUNCTION("""COMPUTED_VALUE"""),45323.0)</f>
        <v>45323</v>
      </c>
      <c r="D1126" s="28">
        <f>IFERROR(__xludf.DUMMYFUNCTION("""COMPUTED_VALUE"""),45328.0)</f>
        <v>45328</v>
      </c>
      <c r="E1126" s="31">
        <f>IFERROR(__xludf.DUMMYFUNCTION("""COMPUTED_VALUE"""),287357.0)</f>
        <v>287357</v>
      </c>
      <c r="F1126" s="22" t="str">
        <f>IFERROR(__xludf.DUMMYFUNCTION("""COMPUTED_VALUE"""),"ワンチャンス！")</f>
        <v>ワンチャンス！</v>
      </c>
      <c r="G1126" s="20" t="str">
        <f>IFERROR(__xludf.DUMMYFUNCTION("""COMPUTED_VALUE"""),"1～3")</f>
        <v>1～3</v>
      </c>
      <c r="H1126" s="22" t="str">
        <f>IFERROR(__xludf.DUMMYFUNCTION("""COMPUTED_VALUE"""),"ぷちゴリちゃん")</f>
        <v>ぷちゴリちゃん</v>
      </c>
      <c r="I1126" s="22" t="str">
        <f>IFERROR(__xludf.DUMMYFUNCTION("""COMPUTED_VALUE"""),"青年")</f>
        <v>青年</v>
      </c>
      <c r="J1126" s="22"/>
      <c r="K1126" s="22"/>
      <c r="L1126" s="22" t="str">
        <f>IFERROR(__xludf.DUMMYFUNCTION("""COMPUTED_VALUE"""),"Rush!")</f>
        <v>Rush!</v>
      </c>
      <c r="M1126" s="23">
        <f>IFERROR(__xludf.DUMMYFUNCTION("""COMPUTED_VALUE"""),45352.0)</f>
        <v>45352</v>
      </c>
      <c r="N1126" s="23">
        <f>IFERROR(__xludf.DUMMYFUNCTION("""COMPUTED_VALUE"""),45427.0)</f>
        <v>45427</v>
      </c>
      <c r="O1126" s="20"/>
      <c r="P1126" s="32" t="str">
        <f>IFERROR(__xludf.DUMMYFUNCTION("""COMPUTED_VALUE"""),"可")</f>
        <v>可</v>
      </c>
      <c r="Q1126" s="30"/>
      <c r="R1126" s="22"/>
      <c r="S1126" s="22" t="str">
        <f>IFERROR(__xludf.DUMMYFUNCTION("""COMPUTED_VALUE"""),"20240201_ファンギルド_ワンチャンス！")</f>
        <v>20240201_ファンギルド_ワンチャンス！</v>
      </c>
      <c r="T1126" s="22" t="str">
        <f>IFERROR(__xludf.DUMMYFUNCTION("""COMPUTED_VALUE"""),"格納済み")</f>
        <v>格納済み</v>
      </c>
      <c r="U1126" s="15" t="str">
        <f>IFERROR(__xludf.DUMMYFUNCTION("""COMPUTED_VALUE"""),"©Petitgorichan")</f>
        <v>©Petitgorichan</v>
      </c>
      <c r="V1126" s="8" t="str">
        <f>IFERROR(__xludf.DUMMYFUNCTION("""COMPUTED_VALUE"""),"年齢＝彼女ナシの童貞男子・邦雄（くにお）は、ある日大の苦手な犬に股間を咬まれる事故から、ニオイが見えるという特殊能力を手に入れた…！ニオイにはそれぞれ”色”があり、その中に濃いピンク色のモヤを見つける。モヤの先には火照り顔で色っぽい美女がいて――！？発情した美女からオスを求めるアツい視線を受けた邦雄は…これってワンチャンあるかも！！更に、ピンクのモヤを吸い込むとヘタレなはずの邦雄もたちまちプレイボーイに変身！ニオイが見える男が巻き起こす、美女のニオイから始まるハプニングストーリー！")</f>
        <v>年齢＝彼女ナシの童貞男子・邦雄（くにお）は、ある日大の苦手な犬に股間を咬まれる事故から、ニオイが見えるという特殊能力を手に入れた…！ニオイにはそれぞれ”色”があり、その中に濃いピンク色のモヤを見つける。モヤの先には火照り顔で色っぽい美女がいて――！？発情した美女からオスを求めるアツい視線を受けた邦雄は…これってワンチャンあるかも！！更に、ピンクのモヤを吸い込むとヘタレなはずの邦雄もたちまちプレイボーイに変身！ニオイが見える男が巻き起こす、美女のニオイから始まるハプニングストーリー！</v>
      </c>
      <c r="W1126" s="14"/>
      <c r="X1126" s="14" t="str">
        <f>IFERROR(__xludf.DUMMYFUNCTION("""COMPUTED_VALUE"""),"有")</f>
        <v>有</v>
      </c>
      <c r="Y1126" s="8" t="str">
        <f>IFERROR(__xludf.DUMMYFUNCTION("""COMPUTED_VALUE"""),"2024/3/14まで1巻無料")</f>
        <v>2024/3/14まで1巻無料</v>
      </c>
      <c r="Z1126" s="7"/>
      <c r="AA1126" s="7"/>
      <c r="AB1126" s="7"/>
    </row>
    <row r="1127" ht="15.75" customHeight="1">
      <c r="A1127" s="26">
        <f>IFERROR(__xludf.DUMMYFUNCTION("""COMPUTED_VALUE"""),2919.0)</f>
        <v>2919</v>
      </c>
      <c r="B1127" s="22" t="str">
        <f>IFERROR(__xludf.DUMMYFUNCTION("""COMPUTED_VALUE"""),"確定")</f>
        <v>確定</v>
      </c>
      <c r="C1127" s="28">
        <f>IFERROR(__xludf.DUMMYFUNCTION("""COMPUTED_VALUE"""),45324.0)</f>
        <v>45324</v>
      </c>
      <c r="D1127" s="28">
        <f>IFERROR(__xludf.DUMMYFUNCTION("""COMPUTED_VALUE"""),45328.0)</f>
        <v>45328</v>
      </c>
      <c r="E1127" s="31">
        <f>IFERROR(__xludf.DUMMYFUNCTION("""COMPUTED_VALUE"""),288224.0)</f>
        <v>288224</v>
      </c>
      <c r="F1127" s="22" t="str">
        <f>IFERROR(__xludf.DUMMYFUNCTION("""COMPUTED_VALUE"""),"クラスのギャルとヤリ放題な同棲肉壺性活始めました。")</f>
        <v>クラスのギャルとヤリ放題な同棲肉壺性活始めました。</v>
      </c>
      <c r="G1127" s="11" t="str">
        <f>IFERROR(__xludf.DUMMYFUNCTION("""COMPUTED_VALUE"""),"1～2")</f>
        <v>1～2</v>
      </c>
      <c r="H1127" s="22" t="str">
        <f>IFERROR(__xludf.DUMMYFUNCTION("""COMPUTED_VALUE"""),"ねやぐるい／やまなし娘。")</f>
        <v>ねやぐるい／やまなし娘。</v>
      </c>
      <c r="I1127" s="22" t="str">
        <f>IFERROR(__xludf.DUMMYFUNCTION("""COMPUTED_VALUE"""),"オトナ")</f>
        <v>オトナ</v>
      </c>
      <c r="J1127" s="22"/>
      <c r="K1127" s="22"/>
      <c r="L1127" s="22" t="str">
        <f>IFERROR(__xludf.DUMMYFUNCTION("""COMPUTED_VALUE"""),"ナイトコミック")</f>
        <v>ナイトコミック</v>
      </c>
      <c r="M1127" s="23">
        <f>IFERROR(__xludf.DUMMYFUNCTION("""COMPUTED_VALUE"""),45359.0)</f>
        <v>45359</v>
      </c>
      <c r="N1127" s="23">
        <f>IFERROR(__xludf.DUMMYFUNCTION("""COMPUTED_VALUE"""),45421.0)</f>
        <v>45421</v>
      </c>
      <c r="O1127" s="20"/>
      <c r="P1127" s="29" t="str">
        <f>IFERROR(__xludf.DUMMYFUNCTION("""COMPUTED_VALUE"""),"可")</f>
        <v>可</v>
      </c>
      <c r="Q1127" s="30" t="str">
        <f>IFERROR(__xludf.DUMMYFUNCTION("""COMPUTED_VALUE"""),"広告コミットOK(2/6)")</f>
        <v>広告コミットOK(2/6)</v>
      </c>
      <c r="R1127" s="22"/>
      <c r="S1127" s="22" t="str">
        <f>IFERROR(__xludf.DUMMYFUNCTION("""COMPUTED_VALUE"""),"20240206_ナイトコミック_クラスのギャルとヤリ放題な同棲肉壺性活始めました。")</f>
        <v>20240206_ナイトコミック_クラスのギャルとヤリ放題な同棲肉壺性活始めました。</v>
      </c>
      <c r="T1127" s="22" t="str">
        <f>IFERROR(__xludf.DUMMYFUNCTION("""COMPUTED_VALUE"""),"格納済み")</f>
        <v>格納済み</v>
      </c>
      <c r="U1127" s="15" t="str">
        <f>IFERROR(__xludf.DUMMYFUNCTION("""COMPUTED_VALUE"""),"©ねやぐるい／やまなし娘。")</f>
        <v>©ねやぐるい／やまなし娘。</v>
      </c>
      <c r="V1127" s="8" t="str">
        <f>IFERROR(__xludf.DUMMYFUNCTION("""COMPUTED_VALUE"""),"父さんが再婚した。それ自体は喜ばしいことだと思ってる…だが。相手の連れ子が、クラスメイトのギャルだなんて！？沢谷愛美は、家の中では僕を男だと認識していないのか、制服のままくつろいでいたりして、パンチラ胸チラが見放題。家族になったのに意識するなんて…！そう思っていると、僕の入浴中に突然沢谷が入ってきて！？こんなに大きくなっちゃったんだから…解消しよ？クラスメイトのあの沢谷の、大きなおっぱいもお尻もま〇こも、全部好き放題できるなんて…！")</f>
        <v>父さんが再婚した。それ自体は喜ばしいことだと思ってる…だが。相手の連れ子が、クラスメイトのギャルだなんて！？沢谷愛美は、家の中では僕を男だと認識していないのか、制服のままくつろいでいたりして、パンチラ胸チラが見放題。家族になったのに意識するなんて…！そう思っていると、僕の入浴中に突然沢谷が入ってきて！？こんなに大きくなっちゃったんだから…解消しよ？クラスメイトのあの沢谷の、大きなおっぱいもお尻もま〇こも、全部好き放題できるなんて…！</v>
      </c>
      <c r="W1127" s="14"/>
      <c r="X1127" s="14" t="str">
        <f>IFERROR(__xludf.DUMMYFUNCTION("""COMPUTED_VALUE"""),"有")</f>
        <v>有</v>
      </c>
      <c r="Y1127" s="8" t="str">
        <f>IFERROR(__xludf.DUMMYFUNCTION("""COMPUTED_VALUE"""),"2024/5/9まで立ち読み増量
1巻P16まで
2巻P11まで")</f>
        <v>2024/5/9まで立ち読み増量
1巻P16まで
2巻P11まで</v>
      </c>
      <c r="Z1127" s="7"/>
      <c r="AA1127" s="7"/>
      <c r="AB1127" s="7"/>
    </row>
    <row r="1128" ht="15.75" customHeight="1">
      <c r="A1128" s="26">
        <f>IFERROR(__xludf.DUMMYFUNCTION("""COMPUTED_VALUE"""),2921.0)</f>
        <v>2921</v>
      </c>
      <c r="B1128" s="22" t="str">
        <f>IFERROR(__xludf.DUMMYFUNCTION("""COMPUTED_VALUE"""),"確定")</f>
        <v>確定</v>
      </c>
      <c r="C1128" s="28">
        <f>IFERROR(__xludf.DUMMYFUNCTION("""COMPUTED_VALUE"""),45327.0)</f>
        <v>45327</v>
      </c>
      <c r="D1128" s="28">
        <f>IFERROR(__xludf.DUMMYFUNCTION("""COMPUTED_VALUE"""),45328.0)</f>
        <v>45328</v>
      </c>
      <c r="E1128" s="31">
        <f>IFERROR(__xludf.DUMMYFUNCTION("""COMPUTED_VALUE"""),288310.0)</f>
        <v>288310</v>
      </c>
      <c r="F1128" s="22" t="str">
        <f>IFERROR(__xludf.DUMMYFUNCTION("""COMPUTED_VALUE"""),"【単話版】妄想課長")</f>
        <v>【単話版】妄想課長</v>
      </c>
      <c r="G1128" s="11" t="str">
        <f>IFERROR(__xludf.DUMMYFUNCTION("""COMPUTED_VALUE"""),"1～4")</f>
        <v>1～4</v>
      </c>
      <c r="H1128" s="22" t="str">
        <f>IFERROR(__xludf.DUMMYFUNCTION("""COMPUTED_VALUE"""),"DYTM")</f>
        <v>DYTM</v>
      </c>
      <c r="I1128" s="22" t="str">
        <f>IFERROR(__xludf.DUMMYFUNCTION("""COMPUTED_VALUE"""),"青年")</f>
        <v>青年</v>
      </c>
      <c r="J1128" s="22"/>
      <c r="K1128" s="22"/>
      <c r="L1128" s="22" t="str">
        <f>IFERROR(__xludf.DUMMYFUNCTION("""COMPUTED_VALUE"""),"GOT")</f>
        <v>GOT</v>
      </c>
      <c r="M1128" s="23">
        <f>IFERROR(__xludf.DUMMYFUNCTION("""COMPUTED_VALUE"""),45383.0)</f>
        <v>45383</v>
      </c>
      <c r="N1128" s="23">
        <f>IFERROR(__xludf.DUMMYFUNCTION("""COMPUTED_VALUE"""),45443.0)</f>
        <v>45443</v>
      </c>
      <c r="O1128" s="20"/>
      <c r="P1128" s="29" t="str">
        <f>IFERROR(__xludf.DUMMYFUNCTION("""COMPUTED_VALUE"""),"可")</f>
        <v>可</v>
      </c>
      <c r="Q1128" s="22" t="str">
        <f>IFERROR(__xludf.DUMMYFUNCTION("""COMPUTED_VALUE"""),"素材は3巻のみ（2/5時点）")</f>
        <v>素材は3巻のみ（2/5時点）</v>
      </c>
      <c r="R1128" s="22" t="str">
        <f>IFERROR(__xludf.DUMMYFUNCTION("""COMPUTED_VALUE"""),"格納済")</f>
        <v>格納済</v>
      </c>
      <c r="S1128" s="22" t="str">
        <f>IFERROR(__xludf.DUMMYFUNCTION("""COMPUTED_VALUE"""),"20240205_GOT_妄想課長")</f>
        <v>20240205_GOT_妄想課長</v>
      </c>
      <c r="T1128" s="22" t="str">
        <f>IFERROR(__xludf.DUMMYFUNCTION("""COMPUTED_VALUE"""),"格納済み")</f>
        <v>格納済み</v>
      </c>
      <c r="U1128" s="15" t="str">
        <f>IFERROR(__xludf.DUMMYFUNCTION("""COMPUTED_VALUE"""),"©DYTM／ジーオーティー")</f>
        <v>©DYTM／ジーオーティー</v>
      </c>
      <c r="V1128" s="8" t="str">
        <f>IFERROR(__xludf.DUMMYFUNCTION("""COMPUTED_VALUE"""),"『みんなに私の恥ずかしいとこ、見せてあげる…』
デキる女上司・晏西課長はクールビューティー、仕事も完璧にこなし、スタイルも抜群。
ただし怒ると、ととんでもなく怖い叱責が飛び出してきて、かなり怖い…。
普段はスーツ姿で隠しているけれどエロスが溢れている、その肢体はきっと脱いだらすごいだろう……
ということで、部下で後輩の六原が催眠術をかけて、課長の常識を変えちゃいましたッ…!?☆
人気同人作品を原作にした、ちょっぴりセクシーな一般連載版
更にアダルトな課長が見たい方は同人版も要チェック!")</f>
        <v>『みんなに私の恥ずかしいとこ、見せてあげる…』
デキる女上司・晏西課長はクールビューティー、仕事も完璧にこなし、スタイルも抜群。
ただし怒ると、ととんでもなく怖い叱責が飛び出してきて、かなり怖い…。
普段はスーツ姿で隠しているけれどエロスが溢れている、その肢体はきっと脱いだらすごいだろう……
ということで、部下で後輩の六原が催眠術をかけて、課長の常識を変えちゃいましたッ…!?☆
人気同人作品を原作にした、ちょっぴりセクシーな一般連載版
更にアダルトな課長が見たい方は同人版も要チェック!</v>
      </c>
      <c r="W1128" s="14"/>
      <c r="X1128" s="14" t="str">
        <f>IFERROR(__xludf.DUMMYFUNCTION("""COMPUTED_VALUE"""),"有")</f>
        <v>有</v>
      </c>
      <c r="Y1128" s="8" t="str">
        <f>IFERROR(__xludf.DUMMYFUNCTION("""COMPUTED_VALUE"""),"P4まで")</f>
        <v>P4まで</v>
      </c>
      <c r="Z1128" s="7"/>
      <c r="AA1128" s="7"/>
      <c r="AB1128" s="7"/>
    </row>
    <row r="1129" ht="15.75" customHeight="1">
      <c r="A1129" s="26">
        <f>IFERROR(__xludf.DUMMYFUNCTION("""COMPUTED_VALUE"""),2924.0)</f>
        <v>2924</v>
      </c>
      <c r="B1129" s="22" t="str">
        <f>IFERROR(__xludf.DUMMYFUNCTION("""COMPUTED_VALUE"""),"確定")</f>
        <v>確定</v>
      </c>
      <c r="C1129" s="28">
        <f>IFERROR(__xludf.DUMMYFUNCTION("""COMPUTED_VALUE"""),45327.0)</f>
        <v>45327</v>
      </c>
      <c r="D1129" s="28">
        <f>IFERROR(__xludf.DUMMYFUNCTION("""COMPUTED_VALUE"""),45329.0)</f>
        <v>45329</v>
      </c>
      <c r="E1129" s="26">
        <f>IFERROR(__xludf.DUMMYFUNCTION("""COMPUTED_VALUE"""),272189.0)</f>
        <v>272189</v>
      </c>
      <c r="F1129" s="22" t="str">
        <f>IFERROR(__xludf.DUMMYFUNCTION("""COMPUTED_VALUE"""),"本部長殿、キスは契約違反です！【タテヨミ】")</f>
        <v>本部長殿、キスは契約違反です！【タテヨミ】</v>
      </c>
      <c r="G1129" s="11" t="str">
        <f>IFERROR(__xludf.DUMMYFUNCTION("""COMPUTED_VALUE"""),"1～9")</f>
        <v>1～9</v>
      </c>
      <c r="H1129" s="22" t="str">
        <f>IFERROR(__xludf.DUMMYFUNCTION("""COMPUTED_VALUE"""),"J.O,YHN")</f>
        <v>J.O,YHN</v>
      </c>
      <c r="I1129" s="14" t="str">
        <f>IFERROR(__xludf.DUMMYFUNCTION("""COMPUTED_VALUE"""),"女性")</f>
        <v>女性</v>
      </c>
      <c r="J1129" s="22"/>
      <c r="K1129" s="22"/>
      <c r="L1129" s="22" t="str">
        <f>IFERROR(__xludf.DUMMYFUNCTION("""COMPUTED_VALUE"""),"ソルマーレ編集部")</f>
        <v>ソルマーレ編集部</v>
      </c>
      <c r="M1129" s="23">
        <f>IFERROR(__xludf.DUMMYFUNCTION("""COMPUTED_VALUE"""),45360.0)</f>
        <v>45360</v>
      </c>
      <c r="N1129" s="23">
        <f>IFERROR(__xludf.DUMMYFUNCTION("""COMPUTED_VALUE"""),45526.66666666667)</f>
        <v>45526.66667</v>
      </c>
      <c r="O1129" s="20"/>
      <c r="P1129" s="29" t="str">
        <f>IFERROR(__xludf.DUMMYFUNCTION("""COMPUTED_VALUE"""),"可")</f>
        <v>可</v>
      </c>
      <c r="Q1129" s="30" t="str">
        <f>IFERROR(__xludf.DUMMYFUNCTION("""COMPUTED_VALUE"""),"※コマサム等素材は「272188　本部長殿、キスは契約違反です！（フルカラー）」のほうをお使いください。
バナー制作はフルカラー版の素材を利用して問題ございません。")</f>
        <v>※コマサム等素材は「272188　本部長殿、キスは契約違反です！（フルカラー）」のほうをお使いください。
バナー制作はフルカラー版の素材を利用して問題ございません。</v>
      </c>
      <c r="R1129" s="22"/>
      <c r="S1129" s="43" t="str">
        <f>IFERROR(__xludf.DUMMYFUNCTION("""COMPUTED_VALUE"""),"20240205_ソルマーレ編集部_本部長殿、キスは契約違反です！【タテヨミ】")</f>
        <v>20240205_ソルマーレ編集部_本部長殿、キスは契約違反です！【タテヨミ】</v>
      </c>
      <c r="T1129" s="22"/>
      <c r="U1129" s="15" t="str">
        <f>IFERROR(__xludf.DUMMYFUNCTION("""COMPUTED_VALUE"""),"Ⓒ J.O/YHN/GTENT/シーモアコミックス")</f>
        <v>Ⓒ J.O/YHN/GTENT/シーモアコミックス</v>
      </c>
      <c r="V1129" s="8" t="str">
        <f>IFERROR(__xludf.DUMMYFUNCTION("""COMPUTED_VALUE"""),"ようやく手に入れた仕事は、大企業の役付きイケメン×エリートの彼女役!?
曲がったことは大嫌いで、責任感の強い朝陽（あさひ）は、就職活動がうまくいかず、配達のバイトをしながら仕事先を探していた。そんななか、面接に行った国内屈指の大企業で、偶然にして最悪の再会を果たす。面接官だった本部長の神楽大河（かぐらたいが）は前日、朝陽が汚した45万のスーツ代返金を脅しのネタに、彼女役という仕事の契約を迫る。契約期間3ヵ月。気が進まない朝陽だが、大企業の短期契約社員の座を手に入れ「社内恋愛のうわさが必要」という大河の求"&amp;"めるミッションをクリアすることができるのか!?【恋するソワレ】")</f>
        <v>ようやく手に入れた仕事は、大企業の役付きイケメン×エリートの彼女役!?
曲がったことは大嫌いで、責任感の強い朝陽（あさひ）は、就職活動がうまくいかず、配達のバイトをしながら仕事先を探していた。そんななか、面接に行った国内屈指の大企業で、偶然にして最悪の再会を果たす。面接官だった本部長の神楽大河（かぐらたいが）は前日、朝陽が汚した45万のスーツ代返金を脅しのネタに、彼女役という仕事の契約を迫る。契約期間3ヵ月。気が進まない朝陽だが、大企業の短期契約社員の座を手に入れ「社内恋愛のうわさが必要」という大河の求めるミッションをクリアすることができるのか!?【恋するソワレ】</v>
      </c>
      <c r="W1129" s="14"/>
      <c r="X1129" s="14" t="str">
        <f>IFERROR(__xludf.DUMMYFUNCTION("""COMPUTED_VALUE"""),"有")</f>
        <v>有</v>
      </c>
      <c r="Y1129" s="8" t="str">
        <f>IFERROR(__xludf.DUMMYFUNCTION("""COMPUTED_VALUE"""),"1巻無料")</f>
        <v>1巻無料</v>
      </c>
      <c r="Z1129" s="7"/>
      <c r="AA1129" s="7"/>
      <c r="AB1129" s="7"/>
    </row>
    <row r="1130" ht="15.75" customHeight="1">
      <c r="A1130" s="26">
        <f>IFERROR(__xludf.DUMMYFUNCTION("""COMPUTED_VALUE"""),2926.0)</f>
        <v>2926</v>
      </c>
      <c r="B1130" s="22" t="str">
        <f>IFERROR(__xludf.DUMMYFUNCTION("""COMPUTED_VALUE"""),"確定")</f>
        <v>確定</v>
      </c>
      <c r="C1130" s="28">
        <f>IFERROR(__xludf.DUMMYFUNCTION("""COMPUTED_VALUE"""),45327.0)</f>
        <v>45327</v>
      </c>
      <c r="D1130" s="28">
        <f>IFERROR(__xludf.DUMMYFUNCTION("""COMPUTED_VALUE"""),45328.0)</f>
        <v>45328</v>
      </c>
      <c r="E1130" s="31">
        <f>IFERROR(__xludf.DUMMYFUNCTION("""COMPUTED_VALUE"""),287407.0)</f>
        <v>287407</v>
      </c>
      <c r="F1130" s="22" t="str">
        <f>IFERROR(__xludf.DUMMYFUNCTION("""COMPUTED_VALUE"""),"ウラトオモテ")</f>
        <v>ウラトオモテ</v>
      </c>
      <c r="G1130" s="11" t="str">
        <f>IFERROR(__xludf.DUMMYFUNCTION("""COMPUTED_VALUE"""),"1～4")</f>
        <v>1～4</v>
      </c>
      <c r="H1130" s="22" t="str">
        <f>IFERROR(__xludf.DUMMYFUNCTION("""COMPUTED_VALUE"""),"高梨まどか")</f>
        <v>高梨まどか</v>
      </c>
      <c r="I1130" s="22" t="str">
        <f>IFERROR(__xludf.DUMMYFUNCTION("""COMPUTED_VALUE"""),"女性")</f>
        <v>女性</v>
      </c>
      <c r="J1130" s="22"/>
      <c r="K1130" s="22"/>
      <c r="L1130" s="22" t="str">
        <f>IFERROR(__xludf.DUMMYFUNCTION("""COMPUTED_VALUE"""),"一迅社")</f>
        <v>一迅社</v>
      </c>
      <c r="M1130" s="23">
        <f>IFERROR(__xludf.DUMMYFUNCTION("""COMPUTED_VALUE"""),45352.0)</f>
        <v>45352</v>
      </c>
      <c r="N1130" s="23">
        <f>IFERROR(__xludf.DUMMYFUNCTION("""COMPUTED_VALUE"""),45449.0)</f>
        <v>45449</v>
      </c>
      <c r="O1130" s="20"/>
      <c r="P1130" s="29" t="str">
        <f>IFERROR(__xludf.DUMMYFUNCTION("""COMPUTED_VALUE"""),"可")</f>
        <v>可</v>
      </c>
      <c r="Q1130" s="30" t="str">
        <f>IFERROR(__xludf.DUMMYFUNCTION("""COMPUTED_VALUE"""),"協業作品（echo）")</f>
        <v>協業作品（echo）</v>
      </c>
      <c r="R1130" s="22"/>
      <c r="S1130" s="22" t="str">
        <f>IFERROR(__xludf.DUMMYFUNCTION("""COMPUTED_VALUE"""),"20240205_一迅社_協業ウラトオモテ")</f>
        <v>20240205_一迅社_協業ウラトオモテ</v>
      </c>
      <c r="T1130" s="22" t="str">
        <f>IFERROR(__xludf.DUMMYFUNCTION("""COMPUTED_VALUE"""),"格納済み")</f>
        <v>格納済み</v>
      </c>
      <c r="U1130" s="15" t="str">
        <f>IFERROR(__xludf.DUMMYFUNCTION("""COMPUTED_VALUE"""),"©高梨まどか/一迅社")</f>
        <v>©高梨まどか/一迅社</v>
      </c>
      <c r="V1130" s="8" t="str">
        <f>IFERROR(__xludf.DUMMYFUNCTION("""COMPUTED_VALUE"""),"健斗と朱莉は結婚して2年。仲は悪くないが、半年前から朱莉が“夜の生活”を拒否するようになった。自分が良い夫になることで、夫婦仲が改善するのではないかと考えた健斗は、家事を積極的にこなしたり、サプライズを計画してみるなど、今まで以上に朱莉を喜ばせようと努力する。しかしその努力も虚しく、朱莉には拒否されてしまう。そんな中、朱莉の携帯に知らない男の名前が……。それに対してひどく焦る様子の朱莉を見た健人は浮気を疑うも証拠がない。彼女を疑いつつも、必死に悩み、2人の仲を修復するために努力する健斗。しかし、それは地獄"&amp;"の始まりに過ぎなかった――。")</f>
        <v>健斗と朱莉は結婚して2年。仲は悪くないが、半年前から朱莉が“夜の生活”を拒否するようになった。自分が良い夫になることで、夫婦仲が改善するのではないかと考えた健斗は、家事を積極的にこなしたり、サプライズを計画してみるなど、今まで以上に朱莉を喜ばせようと努力する。しかしその努力も虚しく、朱莉には拒否されてしまう。そんな中、朱莉の携帯に知らない男の名前が……。それに対してひどく焦る様子の朱莉を見た健人は浮気を疑うも証拠がない。彼女を疑いつつも、必死に悩み、2人の仲を修復するために努力する健斗。しかし、それは地獄の始まりに過ぎなかった――。</v>
      </c>
      <c r="W1130" s="14"/>
      <c r="X1130" s="14" t="str">
        <f>IFERROR(__xludf.DUMMYFUNCTION("""COMPUTED_VALUE"""),"有")</f>
        <v>有</v>
      </c>
      <c r="Y1130" s="8" t="str">
        <f>IFERROR(__xludf.DUMMYFUNCTION("""COMPUTED_VALUE"""),"P8まで")</f>
        <v>P8まで</v>
      </c>
      <c r="Z1130" s="7"/>
      <c r="AA1130" s="7"/>
      <c r="AB1130" s="7"/>
    </row>
    <row r="1131" ht="15.75" customHeight="1">
      <c r="A1131" s="26">
        <f>IFERROR(__xludf.DUMMYFUNCTION("""COMPUTED_VALUE"""),2929.0)</f>
        <v>2929</v>
      </c>
      <c r="B1131" s="22" t="str">
        <f>IFERROR(__xludf.DUMMYFUNCTION("""COMPUTED_VALUE"""),"確定")</f>
        <v>確定</v>
      </c>
      <c r="C1131" s="28">
        <f>IFERROR(__xludf.DUMMYFUNCTION("""COMPUTED_VALUE"""),45327.0)</f>
        <v>45327</v>
      </c>
      <c r="D1131" s="28">
        <f>IFERROR(__xludf.DUMMYFUNCTION("""COMPUTED_VALUE"""),45328.0)</f>
        <v>45328</v>
      </c>
      <c r="E1131" s="31">
        <f>IFERROR(__xludf.DUMMYFUNCTION("""COMPUTED_VALUE"""),287405.0)</f>
        <v>287405</v>
      </c>
      <c r="F1131" s="22" t="str">
        <f>IFERROR(__xludf.DUMMYFUNCTION("""COMPUTED_VALUE"""),"宝石令嬢は今宵も悪食王子の皿の上 転生したら捕食対象でした")</f>
        <v>宝石令嬢は今宵も悪食王子の皿の上 転生したら捕食対象でした</v>
      </c>
      <c r="G1131" s="20" t="str">
        <f>IFERROR(__xludf.DUMMYFUNCTION("""COMPUTED_VALUE"""),"1～3")</f>
        <v>1～3</v>
      </c>
      <c r="H1131" s="22" t="str">
        <f>IFERROR(__xludf.DUMMYFUNCTION("""COMPUTED_VALUE"""),"小桃姫そよ")</f>
        <v>小桃姫そよ</v>
      </c>
      <c r="I1131" s="22" t="str">
        <f>IFERROR(__xludf.DUMMYFUNCTION("""COMPUTED_VALUE"""),"TL")</f>
        <v>TL</v>
      </c>
      <c r="J1131" s="22"/>
      <c r="K1131" s="22"/>
      <c r="L1131" s="22" t="str">
        <f>IFERROR(__xludf.DUMMYFUNCTION("""COMPUTED_VALUE"""),"一迅社")</f>
        <v>一迅社</v>
      </c>
      <c r="M1131" s="23">
        <f>IFERROR(__xludf.DUMMYFUNCTION("""COMPUTED_VALUE"""),45352.0)</f>
        <v>45352</v>
      </c>
      <c r="N1131" s="23">
        <f>IFERROR(__xludf.DUMMYFUNCTION("""COMPUTED_VALUE"""),45386.0)</f>
        <v>45386</v>
      </c>
      <c r="O1131" s="20"/>
      <c r="P1131" s="32" t="str">
        <f>IFERROR(__xludf.DUMMYFUNCTION("""COMPUTED_VALUE"""),"可")</f>
        <v>可</v>
      </c>
      <c r="Q1131" s="30"/>
      <c r="R1131" s="22"/>
      <c r="S1131" s="22" t="str">
        <f>IFERROR(__xludf.DUMMYFUNCTION("""COMPUTED_VALUE"""),"20240205_一迅社_3月新作")</f>
        <v>20240205_一迅社_3月新作</v>
      </c>
      <c r="T1131" s="22" t="str">
        <f>IFERROR(__xludf.DUMMYFUNCTION("""COMPUTED_VALUE"""),"格納済み")</f>
        <v>格納済み</v>
      </c>
      <c r="U1131" s="15" t="str">
        <f>IFERROR(__xludf.DUMMYFUNCTION("""COMPUTED_VALUE"""),"(C)小桃姫そよ／一迅社")</f>
        <v>(C)小桃姫そよ／一迅社</v>
      </c>
      <c r="V1131" s="8" t="str">
        <f>IFERROR(__xludf.DUMMYFUNCTION("""COMPUTED_VALUE"""),"「この手で優しく泣かせてあげよう」いけません、王子様。私を食べないで…！　乙女ゲーム【ジュエルチカ】。涙が宝石になる特異体質のヒロインが、宝石を食べるトンデモ体質である悪役令嬢―ならぬ「悪食（あくじき）令嬢」に狩り尽くされる、バッドエンド確定の超ド鬼畜ゲーム！ヒロイン・リチカとして転生した私は、悪食令嬢に見つかりたくないのに舞踏会に無理やり連れて行かれ…！でも、そこにいたのは悪食令嬢じゃなくて「悪食王子」！？もしかして、ゲームの世界線とは違うってこと！？「君が宝石令嬢なのだな」出会った瞬間にキスされるし、"&amp;"ベッドに押し倒されちゃうし、「悪食王子」に食べられちゃう…！？運命を求める執着系王子×運命に抗いたいお転婆令嬢の”禁断”ファンタジー開幕★")</f>
        <v>「この手で優しく泣かせてあげよう」いけません、王子様。私を食べないで…！　乙女ゲーム【ジュエルチカ】。涙が宝石になる特異体質のヒロインが、宝石を食べるトンデモ体質である悪役令嬢―ならぬ「悪食（あくじき）令嬢」に狩り尽くされる、バッドエンド確定の超ド鬼畜ゲーム！ヒロイン・リチカとして転生した私は、悪食令嬢に見つかりたくないのに舞踏会に無理やり連れて行かれ…！でも、そこにいたのは悪食令嬢じゃなくて「悪食王子」！？もしかして、ゲームの世界線とは違うってこと！？「君が宝石令嬢なのだな」出会った瞬間にキスされるし、ベッドに押し倒されちゃうし、「悪食王子」に食べられちゃう…！？運命を求める執着系王子×運命に抗いたいお転婆令嬢の”禁断”ファンタジー開幕★</v>
      </c>
      <c r="W1131" s="14"/>
      <c r="X1131" s="14" t="str">
        <f>IFERROR(__xludf.DUMMYFUNCTION("""COMPUTED_VALUE"""),"有")</f>
        <v>有</v>
      </c>
      <c r="Y1131" s="8" t="str">
        <f>IFERROR(__xludf.DUMMYFUNCTION("""COMPUTED_VALUE"""),"2024/4/4まで1巻無料")</f>
        <v>2024/4/4まで1巻無料</v>
      </c>
      <c r="Z1131" s="7"/>
      <c r="AA1131" s="7"/>
      <c r="AB1131" s="7"/>
    </row>
    <row r="1132" ht="102.0" customHeight="1">
      <c r="A1132" s="26">
        <f>IFERROR(__xludf.DUMMYFUNCTION("""COMPUTED_VALUE"""),2930.0)</f>
        <v>2930</v>
      </c>
      <c r="B1132" s="22" t="str">
        <f>IFERROR(__xludf.DUMMYFUNCTION("""COMPUTED_VALUE"""),"確定")</f>
        <v>確定</v>
      </c>
      <c r="C1132" s="28">
        <f>IFERROR(__xludf.DUMMYFUNCTION("""COMPUTED_VALUE"""),45327.0)</f>
        <v>45327</v>
      </c>
      <c r="D1132" s="28">
        <f>IFERROR(__xludf.DUMMYFUNCTION("""COMPUTED_VALUE"""),45328.0)</f>
        <v>45328</v>
      </c>
      <c r="E1132" s="31">
        <f>IFERROR(__xludf.DUMMYFUNCTION("""COMPUTED_VALUE"""),287406.0)</f>
        <v>287406</v>
      </c>
      <c r="F1132" s="22" t="str">
        <f>IFERROR(__xludf.DUMMYFUNCTION("""COMPUTED_VALUE"""),"都合のいい聖女")</f>
        <v>都合のいい聖女</v>
      </c>
      <c r="G1132" s="20">
        <f>IFERROR(__xludf.DUMMYFUNCTION("""COMPUTED_VALUE"""),1.0)</f>
        <v>1</v>
      </c>
      <c r="H1132" s="22" t="str">
        <f>IFERROR(__xludf.DUMMYFUNCTION("""COMPUTED_VALUE"""),"今波マナ・やまだ")</f>
        <v>今波マナ・やまだ</v>
      </c>
      <c r="I1132" s="22" t="str">
        <f>IFERROR(__xludf.DUMMYFUNCTION("""COMPUTED_VALUE"""),"TL")</f>
        <v>TL</v>
      </c>
      <c r="J1132" s="22"/>
      <c r="K1132" s="22"/>
      <c r="L1132" s="22" t="str">
        <f>IFERROR(__xludf.DUMMYFUNCTION("""COMPUTED_VALUE"""),"一迅社")</f>
        <v>一迅社</v>
      </c>
      <c r="M1132" s="23">
        <f>IFERROR(__xludf.DUMMYFUNCTION("""COMPUTED_VALUE"""),45352.0)</f>
        <v>45352</v>
      </c>
      <c r="N1132" s="23">
        <f>IFERROR(__xludf.DUMMYFUNCTION("""COMPUTED_VALUE"""),45382.0)</f>
        <v>45382</v>
      </c>
      <c r="O1132" s="20"/>
      <c r="P1132" s="29" t="str">
        <f>IFERROR(__xludf.DUMMYFUNCTION("""COMPUTED_VALUE"""),"可")</f>
        <v>可</v>
      </c>
      <c r="Q1132" s="30" t="str">
        <f>IFERROR(__xludf.DUMMYFUNCTION("""COMPUTED_VALUE"""),"P7～32")</f>
        <v>P7～32</v>
      </c>
      <c r="R1132" s="22"/>
      <c r="S1132" s="22" t="str">
        <f>IFERROR(__xludf.DUMMYFUNCTION("""COMPUTED_VALUE"""),"20240205_一迅社_3月新作")</f>
        <v>20240205_一迅社_3月新作</v>
      </c>
      <c r="T1132" s="22" t="str">
        <f>IFERROR(__xludf.DUMMYFUNCTION("""COMPUTED_VALUE"""),"格納済み")</f>
        <v>格納済み</v>
      </c>
      <c r="U1132" s="15" t="str">
        <f>IFERROR(__xludf.DUMMYFUNCTION("""COMPUTED_VALUE"""),"(C)今波マナ・やまだ／一迅社")</f>
        <v>(C)今波マナ・やまだ／一迅社</v>
      </c>
      <c r="V1132" s="8" t="str">
        <f>IFERROR(__xludf.DUMMYFUNCTION("""COMPUTED_VALUE"""),"異世界から召喚され、都合よく扱われ続けた聖女を助けたのは隣国の騎士――!?　※この作品は『無垢な聖女は甘くはじめてを奪われる ～捨てられた先でなぜか溺愛されています～ アンソロジーコミック』2巻収録作品と同一の内容を単話版として再編集したものとなります。")</f>
        <v>異世界から召喚され、都合よく扱われ続けた聖女を助けたのは隣国の騎士――!?　※この作品は『無垢な聖女は甘くはじめてを奪われる ～捨てられた先でなぜか溺愛されています～ アンソロジーコミック』2巻収録作品と同一の内容を単話版として再編集したものとなります。</v>
      </c>
      <c r="W1132" s="14"/>
      <c r="X1132" s="14" t="str">
        <f>IFERROR(__xludf.DUMMYFUNCTION("""COMPUTED_VALUE"""),"有")</f>
        <v>有</v>
      </c>
      <c r="Y1132" s="8" t="str">
        <f>IFERROR(__xludf.DUMMYFUNCTION("""COMPUTED_VALUE"""),"P6まで")</f>
        <v>P6まで</v>
      </c>
      <c r="Z1132" s="7"/>
      <c r="AA1132" s="7"/>
      <c r="AB1132" s="7"/>
    </row>
    <row r="1133" ht="15.75" customHeight="1">
      <c r="A1133" s="26">
        <f>IFERROR(__xludf.DUMMYFUNCTION("""COMPUTED_VALUE"""),2931.0)</f>
        <v>2931</v>
      </c>
      <c r="B1133" s="22" t="str">
        <f>IFERROR(__xludf.DUMMYFUNCTION("""COMPUTED_VALUE"""),"確定")</f>
        <v>確定</v>
      </c>
      <c r="C1133" s="28">
        <f>IFERROR(__xludf.DUMMYFUNCTION("""COMPUTED_VALUE"""),45327.0)</f>
        <v>45327</v>
      </c>
      <c r="D1133" s="28">
        <f>IFERROR(__xludf.DUMMYFUNCTION("""COMPUTED_VALUE"""),45328.0)</f>
        <v>45328</v>
      </c>
      <c r="E1133" s="31">
        <f>IFERROR(__xludf.DUMMYFUNCTION("""COMPUTED_VALUE"""),287932.0)</f>
        <v>287932</v>
      </c>
      <c r="F1133" s="22" t="str">
        <f>IFERROR(__xludf.DUMMYFUNCTION("""COMPUTED_VALUE"""),"異世界パーティークラッシャーズ～推しの魔王に召喚されたのでブラック勤めのストレスを内輪揉めで発散します。～(話売り) ")</f>
        <v>異世界パーティークラッシャーズ～推しの魔王に召喚されたのでブラック勤めのストレスを内輪揉めで発散します。～(話売り) </v>
      </c>
      <c r="G1133" s="20" t="str">
        <f>IFERROR(__xludf.DUMMYFUNCTION("""COMPUTED_VALUE"""),"1～5")</f>
        <v>1～5</v>
      </c>
      <c r="H1133" s="22" t="str">
        <f>IFERROR(__xludf.DUMMYFUNCTION("""COMPUTED_VALUE"""),"原作・監修：ひろせたくじ 漫画：坂下勇斗")</f>
        <v>原作・監修：ひろせたくじ 漫画：坂下勇斗</v>
      </c>
      <c r="I1133" s="14" t="str">
        <f>IFERROR(__xludf.DUMMYFUNCTION("""COMPUTED_VALUE"""),"青年")</f>
        <v>青年</v>
      </c>
      <c r="J1133" s="22"/>
      <c r="K1133" s="22"/>
      <c r="L1133" s="22" t="str">
        <f>IFERROR(__xludf.DUMMYFUNCTION("""COMPUTED_VALUE"""),"秋田書店")</f>
        <v>秋田書店</v>
      </c>
      <c r="M1133" s="23">
        <f>IFERROR(__xludf.DUMMYFUNCTION("""COMPUTED_VALUE"""),45349.0)</f>
        <v>45349</v>
      </c>
      <c r="N1133" s="23">
        <f>IFERROR(__xludf.DUMMYFUNCTION("""COMPUTED_VALUE"""),45404.0)</f>
        <v>45404</v>
      </c>
      <c r="O1133" s="20"/>
      <c r="P1133" s="29" t="str">
        <f>IFERROR(__xludf.DUMMYFUNCTION("""COMPUTED_VALUE"""),"可")</f>
        <v>可</v>
      </c>
      <c r="Q1133" s="30" t="str">
        <f>IFERROR(__xludf.DUMMYFUNCTION("""COMPUTED_VALUE"""),"4話分で制作をお願いいたします&lt;BR&gt;0000188546_jp_0050⇒P15～P110（1～3話）0000188546_jp_0051⇒P59～86（4話）")</f>
        <v>4話分で制作をお願いいたします&lt;BR&gt;0000188546_jp_0050⇒P15～P110（1～3話）0000188546_jp_0051⇒P59～86（4話）</v>
      </c>
      <c r="R1133" s="22"/>
      <c r="S1133" s="22" t="str">
        <f>IFERROR(__xludf.DUMMYFUNCTION("""COMPUTED_VALUE"""),"20240205_秋田書店_異世界パーティークラッシャーズ")</f>
        <v>20240205_秋田書店_異世界パーティークラッシャーズ</v>
      </c>
      <c r="T1133" s="31" t="str">
        <f>IFERROR(__xludf.DUMMYFUNCTION("""COMPUTED_VALUE"""),"格納済み")</f>
        <v>格納済み</v>
      </c>
      <c r="U1133" s="15" t="str">
        <f>IFERROR(__xludf.DUMMYFUNCTION("""COMPUTED_VALUE"""),"(C)ひろせたくじ・坂下勇斗（秋田書店）")</f>
        <v>(C)ひろせたくじ・坂下勇斗（秋田書店）</v>
      </c>
      <c r="V1133" s="8" t="str">
        <f>IFERROR(__xludf.DUMMYFUNCTION("""COMPUTED_VALUE"""),"冒険者パーティーの内輪揉めによる内部崩壊…通称“パーティークラッシュ”。それはたとえ崇高な目的を掲げた勇者の仲間たちも例外ではない！元ブラック企業勤めのダイスケは推しの動画配信者で幼女の魔王・カーナ様に導かれ、女冒険者として異世界転生！　カーナ様の命令により勇者パーティーに潜入し“パーティークラッシュ”させるため奮闘するが……実はターゲットの勇者たちも並々ならぬクセ者ぞろいで!?")</f>
        <v>冒険者パーティーの内輪揉めによる内部崩壊…通称“パーティークラッシュ”。それはたとえ崇高な目的を掲げた勇者の仲間たちも例外ではない！元ブラック企業勤めのダイスケは推しの動画配信者で幼女の魔王・カーナ様に導かれ、女冒険者として異世界転生！　カーナ様の命令により勇者パーティーに潜入し“パーティークラッシュ”させるため奮闘するが……実はターゲットの勇者たちも並々ならぬクセ者ぞろいで!?</v>
      </c>
      <c r="W1133" s="14"/>
      <c r="X1133" s="14" t="str">
        <f>IFERROR(__xludf.DUMMYFUNCTION("""COMPUTED_VALUE"""),"有")</f>
        <v>有</v>
      </c>
      <c r="Y1133" s="8" t="str">
        <f>IFERROR(__xludf.DUMMYFUNCTION("""COMPUTED_VALUE"""),"P6まで")</f>
        <v>P6まで</v>
      </c>
      <c r="Z1133" s="7"/>
      <c r="AA1133" s="7"/>
      <c r="AB1133" s="7"/>
    </row>
    <row r="1134" ht="90.0" customHeight="1">
      <c r="A1134" s="26">
        <f>IFERROR(__xludf.DUMMYFUNCTION("""COMPUTED_VALUE"""),2932.0)</f>
        <v>2932</v>
      </c>
      <c r="B1134" s="22" t="str">
        <f>IFERROR(__xludf.DUMMYFUNCTION("""COMPUTED_VALUE"""),"確定")</f>
        <v>確定</v>
      </c>
      <c r="C1134" s="28">
        <f>IFERROR(__xludf.DUMMYFUNCTION("""COMPUTED_VALUE"""),45327.0)</f>
        <v>45327</v>
      </c>
      <c r="D1134" s="28">
        <f>IFERROR(__xludf.DUMMYFUNCTION("""COMPUTED_VALUE"""),45328.0)</f>
        <v>45328</v>
      </c>
      <c r="E1134" s="31">
        <f>IFERROR(__xludf.DUMMYFUNCTION("""COMPUTED_VALUE"""),286316.0)</f>
        <v>286316</v>
      </c>
      <c r="F1134" s="22" t="str">
        <f>IFERROR(__xludf.DUMMYFUNCTION("""COMPUTED_VALUE"""),"身寄りのニャい猫娘は、神主様に溺愛されてます!?")</f>
        <v>身寄りのニャい猫娘は、神主様に溺愛されてます!?</v>
      </c>
      <c r="G1134" s="20" t="str">
        <f>IFERROR(__xludf.DUMMYFUNCTION("""COMPUTED_VALUE"""),"1～3")</f>
        <v>1～3</v>
      </c>
      <c r="H1134" s="22" t="str">
        <f>IFERROR(__xludf.DUMMYFUNCTION("""COMPUTED_VALUE"""),"しろのきせい")</f>
        <v>しろのきせい</v>
      </c>
      <c r="I1134" s="22" t="str">
        <f>IFERROR(__xludf.DUMMYFUNCTION("""COMPUTED_VALUE"""),"女性")</f>
        <v>女性</v>
      </c>
      <c r="J1134" s="22"/>
      <c r="K1134" s="22"/>
      <c r="L1134" s="22" t="str">
        <f>IFERROR(__xludf.DUMMYFUNCTION("""COMPUTED_VALUE"""),"秋田書店")</f>
        <v>秋田書店</v>
      </c>
      <c r="M1134" s="23">
        <f>IFERROR(__xludf.DUMMYFUNCTION("""COMPUTED_VALUE"""),45338.0)</f>
        <v>45338</v>
      </c>
      <c r="N1134" s="23">
        <f>IFERROR(__xludf.DUMMYFUNCTION("""COMPUTED_VALUE"""),45397.0)</f>
        <v>45397</v>
      </c>
      <c r="O1134" s="20"/>
      <c r="P1134" s="32" t="str">
        <f>IFERROR(__xludf.DUMMYFUNCTION("""COMPUTED_VALUE"""),"可")</f>
        <v>可</v>
      </c>
      <c r="Q1134" s="30"/>
      <c r="R1134" s="22"/>
      <c r="S1134" s="22" t="str">
        <f>IFERROR(__xludf.DUMMYFUNCTION("""COMPUTED_VALUE"""),"20240205_秋田書店_身寄りのニャい猫娘は、神主様に溺愛されてます!")</f>
        <v>20240205_秋田書店_身寄りのニャい猫娘は、神主様に溺愛されてます!</v>
      </c>
      <c r="T1134" s="22" t="str">
        <f>IFERROR(__xludf.DUMMYFUNCTION("""COMPUTED_VALUE"""),"格納済み")</f>
        <v>格納済み</v>
      </c>
      <c r="U1134" s="15" t="str">
        <f>IFERROR(__xludf.DUMMYFUNCTION("""COMPUTED_VALUE"""),"（C）しろのきせい（秋田書店）")</f>
        <v>（C）しろのきせい（秋田書店）</v>
      </c>
      <c r="V1134" s="8" t="str">
        <f>IFERROR(__xludf.DUMMYFUNCTION("""COMPUTED_VALUE"""),"ここは猫の神を祀る猫神神社。半妖の猫娘として生きる実花は、これまで先代神主の豊かな「霊力」でお腹を満たしていたが、そこに霊力ゼロの跡取り・優人が神主になってしまい、一気に空腹のドン底に。ただ優人は、半妖のもう一つの栄養である「精気」がみなぎっていて…？")</f>
        <v>ここは猫の神を祀る猫神神社。半妖の猫娘として生きる実花は、これまで先代神主の豊かな「霊力」でお腹を満たしていたが、そこに霊力ゼロの跡取り・優人が神主になってしまい、一気に空腹のドン底に。ただ優人は、半妖のもう一つの栄養である「精気」がみなぎっていて…？</v>
      </c>
      <c r="W1134" s="14"/>
      <c r="X1134" s="14" t="str">
        <f>IFERROR(__xludf.DUMMYFUNCTION("""COMPUTED_VALUE"""),"有")</f>
        <v>有</v>
      </c>
      <c r="Y1134" s="8" t="str">
        <f>IFERROR(__xludf.DUMMYFUNCTION("""COMPUTED_VALUE"""),"P10まで")</f>
        <v>P10まで</v>
      </c>
      <c r="Z1134" s="7"/>
      <c r="AA1134" s="7"/>
      <c r="AB1134" s="7"/>
    </row>
    <row r="1135" ht="15.75" customHeight="1">
      <c r="A1135" s="26">
        <f>IFERROR(__xludf.DUMMYFUNCTION("""COMPUTED_VALUE"""),2933.0)</f>
        <v>2933</v>
      </c>
      <c r="B1135" s="22" t="str">
        <f>IFERROR(__xludf.DUMMYFUNCTION("""COMPUTED_VALUE"""),"確定")</f>
        <v>確定</v>
      </c>
      <c r="C1135" s="28">
        <f>IFERROR(__xludf.DUMMYFUNCTION("""COMPUTED_VALUE"""),45327.0)</f>
        <v>45327</v>
      </c>
      <c r="D1135" s="28">
        <f>IFERROR(__xludf.DUMMYFUNCTION("""COMPUTED_VALUE"""),45328.0)</f>
        <v>45328</v>
      </c>
      <c r="E1135" s="31">
        <f>IFERROR(__xludf.DUMMYFUNCTION("""COMPUTED_VALUE"""),287094.0)</f>
        <v>287094</v>
      </c>
      <c r="F1135" s="22" t="str">
        <f>IFERROR(__xludf.DUMMYFUNCTION("""COMPUTED_VALUE"""),"塩見くんとはじめる恋のリハビリ")</f>
        <v>塩見くんとはじめる恋のリハビリ</v>
      </c>
      <c r="G1135" s="20" t="str">
        <f>IFERROR(__xludf.DUMMYFUNCTION("""COMPUTED_VALUE"""),"1～3")</f>
        <v>1～3</v>
      </c>
      <c r="H1135" s="22" t="str">
        <f>IFERROR(__xludf.DUMMYFUNCTION("""COMPUTED_VALUE"""),"koikoi")</f>
        <v>koikoi</v>
      </c>
      <c r="I1135" s="22" t="str">
        <f>IFERROR(__xludf.DUMMYFUNCTION("""COMPUTED_VALUE"""),"女性")</f>
        <v>女性</v>
      </c>
      <c r="J1135" s="22"/>
      <c r="K1135" s="22"/>
      <c r="L1135" s="22" t="str">
        <f>IFERROR(__xludf.DUMMYFUNCTION("""COMPUTED_VALUE"""),"DPNブックス")</f>
        <v>DPNブックス</v>
      </c>
      <c r="M1135" s="23">
        <f>IFERROR(__xludf.DUMMYFUNCTION("""COMPUTED_VALUE"""),45350.0)</f>
        <v>45350</v>
      </c>
      <c r="N1135" s="23">
        <f>IFERROR(__xludf.DUMMYFUNCTION("""COMPUTED_VALUE"""),45378.0)</f>
        <v>45378</v>
      </c>
      <c r="O1135" s="20"/>
      <c r="P1135" s="32" t="str">
        <f>IFERROR(__xludf.DUMMYFUNCTION("""COMPUTED_VALUE"""),"可")</f>
        <v>可</v>
      </c>
      <c r="Q1135" s="30"/>
      <c r="R1135" s="22"/>
      <c r="S1135" s="22" t="str">
        <f>IFERROR(__xludf.DUMMYFUNCTION("""COMPUTED_VALUE"""),"20240205_DPNブックス_塩見くんとはじめる恋のリハビリ")</f>
        <v>20240205_DPNブックス_塩見くんとはじめる恋のリハビリ</v>
      </c>
      <c r="T1135" s="22" t="str">
        <f>IFERROR(__xludf.DUMMYFUNCTION("""COMPUTED_VALUE"""),"格納済み")</f>
        <v>格納済み</v>
      </c>
      <c r="U1135" s="15" t="str">
        <f>IFERROR(__xludf.DUMMYFUNCTION("""COMPUTED_VALUE"""),"©koikoi／DPNブックス")</f>
        <v>©koikoi／DPNブックス</v>
      </c>
      <c r="V1135" s="8" t="str">
        <f>IFERROR(__xludf.DUMMYFUNCTION("""COMPUTED_VALUE"""),"「俺と恋のリハビリしませんか？」
社内恋愛をしていた百瀬小春は、突然手酷くフラれてしまう。
その理由は「つまんねー女」だから。
恋にトラウマを抱えた百瀬は「もう恋愛なんてしない」と決めるが、営業部のエース塩見綾斗にとある提案をされてー！？
年下の塩見に百瀬はドキドキさせられっぱなし・・・！
会社一のモテ男と不器用なアラサー女子の、恋のリハビリの行方はー！？")</f>
        <v>「俺と恋のリハビリしませんか？」
社内恋愛をしていた百瀬小春は、突然手酷くフラれてしまう。
その理由は「つまんねー女」だから。
恋にトラウマを抱えた百瀬は「もう恋愛なんてしない」と決めるが、営業部のエース塩見綾斗にとある提案をされてー！？
年下の塩見に百瀬はドキドキさせられっぱなし・・・！
会社一のモテ男と不器用なアラサー女子の、恋のリハビリの行方はー！？</v>
      </c>
      <c r="W1135" s="14"/>
      <c r="X1135" s="14" t="str">
        <f>IFERROR(__xludf.DUMMYFUNCTION("""COMPUTED_VALUE"""),"有")</f>
        <v>有</v>
      </c>
      <c r="Y1135" s="8" t="str">
        <f>IFERROR(__xludf.DUMMYFUNCTION("""COMPUTED_VALUE"""),"2024/3/27まで1巻無料")</f>
        <v>2024/3/27まで1巻無料</v>
      </c>
      <c r="Z1135" s="7"/>
      <c r="AA1135" s="7"/>
      <c r="AB1135" s="7"/>
    </row>
    <row r="1136" ht="15.75" customHeight="1">
      <c r="A1136" s="26">
        <f>IFERROR(__xludf.DUMMYFUNCTION("""COMPUTED_VALUE"""),2934.0)</f>
        <v>2934</v>
      </c>
      <c r="B1136" s="22" t="str">
        <f>IFERROR(__xludf.DUMMYFUNCTION("""COMPUTED_VALUE"""),"確定")</f>
        <v>確定</v>
      </c>
      <c r="C1136" s="28">
        <f>IFERROR(__xludf.DUMMYFUNCTION("""COMPUTED_VALUE"""),45328.0)</f>
        <v>45328</v>
      </c>
      <c r="D1136" s="28">
        <f>IFERROR(__xludf.DUMMYFUNCTION("""COMPUTED_VALUE"""),45328.0)</f>
        <v>45328</v>
      </c>
      <c r="E1136" s="31">
        <f>IFERROR(__xludf.DUMMYFUNCTION("""COMPUTED_VALUE"""),287723.0)</f>
        <v>287723</v>
      </c>
      <c r="F1136" s="22" t="str">
        <f>IFERROR(__xludf.DUMMYFUNCTION("""COMPUTED_VALUE"""),"ループ100回目の転生執事は、最愛の悪役令嬢を今度こそ救いたい【単話】")</f>
        <v>ループ100回目の転生執事は、最愛の悪役令嬢を今度こそ救いたい【単話】</v>
      </c>
      <c r="G1136" s="11" t="str">
        <f>IFERROR(__xludf.DUMMYFUNCTION("""COMPUTED_VALUE"""),"1～2")</f>
        <v>1～2</v>
      </c>
      <c r="H1136" s="22" t="str">
        <f>IFERROR(__xludf.DUMMYFUNCTION("""COMPUTED_VALUE"""),"ばにら棒・沖果南")</f>
        <v>ばにら棒・沖果南</v>
      </c>
      <c r="I1136" s="22" t="str">
        <f>IFERROR(__xludf.DUMMYFUNCTION("""COMPUTED_VALUE"""),"女性")</f>
        <v>女性</v>
      </c>
      <c r="J1136" s="22"/>
      <c r="K1136" s="22"/>
      <c r="L1136" s="22" t="str">
        <f>IFERROR(__xludf.DUMMYFUNCTION("""COMPUTED_VALUE"""),"マガジンハウス")</f>
        <v>マガジンハウス</v>
      </c>
      <c r="M1136" s="23">
        <f>IFERROR(__xludf.DUMMYFUNCTION("""COMPUTED_VALUE"""),45355.0)</f>
        <v>45355</v>
      </c>
      <c r="N1136" s="23">
        <f>IFERROR(__xludf.DUMMYFUNCTION("""COMPUTED_VALUE"""),45382.0)</f>
        <v>45382</v>
      </c>
      <c r="O1136" s="20"/>
      <c r="P1136" s="32" t="str">
        <f>IFERROR(__xludf.DUMMYFUNCTION("""COMPUTED_VALUE"""),"可")</f>
        <v>可</v>
      </c>
      <c r="Q1136" s="22"/>
      <c r="R1136" s="22" t="str">
        <f>IFERROR(__xludf.DUMMYFUNCTION("""COMPUTED_VALUE"""),"格納済")</f>
        <v>格納済</v>
      </c>
      <c r="S1136" s="22" t="str">
        <f>IFERROR(__xludf.DUMMYFUNCTION("""COMPUTED_VALUE"""),"20240206_マガジンハウス_ループ100回目の転生執事は、最愛の悪役令嬢を今度こそ救いたい")</f>
        <v>20240206_マガジンハウス_ループ100回目の転生執事は、最愛の悪役令嬢を今度こそ救いたい</v>
      </c>
      <c r="T1136" s="22" t="str">
        <f>IFERROR(__xludf.DUMMYFUNCTION("""COMPUTED_VALUE"""),"格納済み")</f>
        <v>格納済み</v>
      </c>
      <c r="U1136" s="15" t="str">
        <f>IFERROR(__xludf.DUMMYFUNCTION("""COMPUTED_VALUE"""),"(C)ばにら棒/沖果南/マガジンハウス")</f>
        <v>(C)ばにら棒/沖果南/マガジンハウス</v>
      </c>
      <c r="V1136" s="8" t="str">
        <f>IFERROR(__xludf.DUMMYFUNCTION("""COMPUTED_VALUE"""),"「小説家になろう」発！
褐色イケメン執事が願うのは…悪役令嬢の幸せ!?
万能執事と性悪令嬢がゆく破滅ルート攻略ラブストーリー！
「おめでとうございます！　お嬢様はヴァルナー様に振られることで、破滅を回避しました！」
ヴァルナー王子の頭に紅茶をぶちまけ、見合い話が破談し落ち込むリアンノは、謎の執事にそう告げられた。
執事曰く、リアンノは悪役令嬢で、破滅する運命にあるという。
「私は転生していますから」
怪しげに微笑む執事の言うことなんて、リアンノはもちろん半信半疑。
でも「このままだと死にま"&amp;"すよ」と脅されれば、小心者のリアンノは従うしかないわけで……
とびきり優秀でちょっと変わり者の執事と、ちょっと性悪な悪役令嬢リアンノが二人三脚で目指すのは、悪役令嬢脱却と破滅フラグ回避……そしてラブラブハッピーエンド!?")</f>
        <v>「小説家になろう」発！
褐色イケメン執事が願うのは…悪役令嬢の幸せ!?
万能執事と性悪令嬢がゆく破滅ルート攻略ラブストーリー！
「おめでとうございます！　お嬢様はヴァルナー様に振られることで、破滅を回避しました！」
ヴァルナー王子の頭に紅茶をぶちまけ、見合い話が破談し落ち込むリアンノは、謎の執事にそう告げられた。
執事曰く、リアンノは悪役令嬢で、破滅する運命にあるという。
「私は転生していますから」
怪しげに微笑む執事の言うことなんて、リアンノはもちろん半信半疑。
でも「このままだと死にますよ」と脅されれば、小心者のリアンノは従うしかないわけで……
とびきり優秀でちょっと変わり者の執事と、ちょっと性悪な悪役令嬢リアンノが二人三脚で目指すのは、悪役令嬢脱却と破滅フラグ回避……そしてラブラブハッピーエンド!?</v>
      </c>
      <c r="W1136" s="14"/>
      <c r="X1136" s="14" t="str">
        <f>IFERROR(__xludf.DUMMYFUNCTION("""COMPUTED_VALUE"""),"有")</f>
        <v>有</v>
      </c>
      <c r="Y1136" s="8" t="str">
        <f>IFERROR(__xludf.DUMMYFUNCTION("""COMPUTED_VALUE"""),"P34まで")</f>
        <v>P34まで</v>
      </c>
      <c r="Z1136" s="7"/>
      <c r="AA1136" s="7"/>
      <c r="AB1136" s="7"/>
    </row>
    <row r="1137" ht="15.75" customHeight="1">
      <c r="A1137" s="26">
        <f>IFERROR(__xludf.DUMMYFUNCTION("""COMPUTED_VALUE"""),2935.0)</f>
        <v>2935</v>
      </c>
      <c r="B1137" s="22" t="str">
        <f>IFERROR(__xludf.DUMMYFUNCTION("""COMPUTED_VALUE"""),"確定")</f>
        <v>確定</v>
      </c>
      <c r="C1137" s="28">
        <f>IFERROR(__xludf.DUMMYFUNCTION("""COMPUTED_VALUE"""),45328.0)</f>
        <v>45328</v>
      </c>
      <c r="D1137" s="28">
        <f>IFERROR(__xludf.DUMMYFUNCTION("""COMPUTED_VALUE"""),45328.0)</f>
        <v>45328</v>
      </c>
      <c r="E1137" s="31">
        <f>IFERROR(__xludf.DUMMYFUNCTION("""COMPUTED_VALUE"""),287923.0)</f>
        <v>287923</v>
      </c>
      <c r="F1137" s="22" t="str">
        <f>IFERROR(__xludf.DUMMYFUNCTION("""COMPUTED_VALUE"""),"窓の椿-保護者だったはずの私はいま隣の子とスケベに身体を重ね合っている-")</f>
        <v>窓の椿-保護者だったはずの私はいま隣の子とスケベに身体を重ね合っている-</v>
      </c>
      <c r="G1137" s="20">
        <f>IFERROR(__xludf.DUMMYFUNCTION("""COMPUTED_VALUE"""),1.0)</f>
        <v>1</v>
      </c>
      <c r="H1137" s="22" t="str">
        <f>IFERROR(__xludf.DUMMYFUNCTION("""COMPUTED_VALUE"""),"sage・ジョー")</f>
        <v>sage・ジョー</v>
      </c>
      <c r="I1137" s="22" t="str">
        <f>IFERROR(__xludf.DUMMYFUNCTION("""COMPUTED_VALUE"""),"オトナ")</f>
        <v>オトナ</v>
      </c>
      <c r="J1137" s="22"/>
      <c r="K1137" s="22"/>
      <c r="L1137" s="22" t="str">
        <f>IFERROR(__xludf.DUMMYFUNCTION("""COMPUTED_VALUE"""),"ナイトコミック")</f>
        <v>ナイトコミック</v>
      </c>
      <c r="M1137" s="23">
        <f>IFERROR(__xludf.DUMMYFUNCTION("""COMPUTED_VALUE"""),45352.0)</f>
        <v>45352</v>
      </c>
      <c r="N1137" s="23">
        <f>IFERROR(__xludf.DUMMYFUNCTION("""COMPUTED_VALUE"""),45414.0)</f>
        <v>45414</v>
      </c>
      <c r="O1137" s="20"/>
      <c r="P1137" s="29" t="str">
        <f>IFERROR(__xludf.DUMMYFUNCTION("""COMPUTED_VALUE"""),"可")</f>
        <v>可</v>
      </c>
      <c r="Q1137" s="30" t="str">
        <f>IFERROR(__xludf.DUMMYFUNCTION("""COMPUTED_VALUE"""),"出稿確約不要で2か月先行いただきました。可能であれば出稿お願いします。")</f>
        <v>出稿確約不要で2か月先行いただきました。可能であれば出稿お願いします。</v>
      </c>
      <c r="R1137" s="22"/>
      <c r="S1137" s="22" t="str">
        <f>IFERROR(__xludf.DUMMYFUNCTION("""COMPUTED_VALUE"""),"20240206_ナイトコミック_窓の椿-保護者だったはずの私はいま隣の子とスケベに身体を重ね合っている-")</f>
        <v>20240206_ナイトコミック_窓の椿-保護者だったはずの私はいま隣の子とスケベに身体を重ね合っている-</v>
      </c>
      <c r="T1137" s="22" t="str">
        <f>IFERROR(__xludf.DUMMYFUNCTION("""COMPUTED_VALUE"""),"格納済み")</f>
        <v>格納済み</v>
      </c>
      <c r="U1137" s="15" t="str">
        <f>IFERROR(__xludf.DUMMYFUNCTION("""COMPUTED_VALUE"""),"©sage・ジョー")</f>
        <v>©sage・ジョー</v>
      </c>
      <c r="V1137" s="8" t="str">
        <f>IFERROR(__xludf.DUMMYFUNCTION("""COMPUTED_VALUE"""),"『ゆうと』と人妻『水野つばき』の家の窓はとても密接しており、二人はいつも窓越しに会話していた。親子のような関係のふたりだったが、ある日無防備な姿を見せられたゆうとの我慢が限界に達する。彼に見せつけられた大きなモノに驚きながら、つばきは口で性処理をしてしまう。「一回だけだよ…」。その後ゆうとはつばきの夫とのセックスを目撃。つばきの罪悪感を利用したゆうとはついにそのまま一線を越えてしまい…")</f>
        <v>『ゆうと』と人妻『水野つばき』の家の窓はとても密接しており、二人はいつも窓越しに会話していた。親子のような関係のふたりだったが、ある日無防備な姿を見せられたゆうとの我慢が限界に達する。彼に見せつけられた大きなモノに驚きながら、つばきは口で性処理をしてしまう。「一回だけだよ…」。その後ゆうとはつばきの夫とのセックスを目撃。つばきの罪悪感を利用したゆうとはついにそのまま一線を越えてしまい…</v>
      </c>
      <c r="W1137" s="14"/>
      <c r="X1137" s="14" t="str">
        <f>IFERROR(__xludf.DUMMYFUNCTION("""COMPUTED_VALUE"""),"有")</f>
        <v>有</v>
      </c>
      <c r="Y1137" s="8" t="str">
        <f>IFERROR(__xludf.DUMMYFUNCTION("""COMPUTED_VALUE"""),"2024/5/2まで立ち読み増量P17まで")</f>
        <v>2024/5/2まで立ち読み増量P17まで</v>
      </c>
      <c r="Z1137" s="7"/>
      <c r="AA1137" s="7"/>
      <c r="AB1137" s="7"/>
    </row>
    <row r="1138" ht="15.75" customHeight="1">
      <c r="A1138" s="26">
        <f>IFERROR(__xludf.DUMMYFUNCTION("""COMPUTED_VALUE"""),2937.0)</f>
        <v>2937</v>
      </c>
      <c r="B1138" s="22" t="str">
        <f>IFERROR(__xludf.DUMMYFUNCTION("""COMPUTED_VALUE"""),"確定")</f>
        <v>確定</v>
      </c>
      <c r="C1138" s="28">
        <f>IFERROR(__xludf.DUMMYFUNCTION("""COMPUTED_VALUE"""),45328.0)</f>
        <v>45328</v>
      </c>
      <c r="D1138" s="28">
        <f>IFERROR(__xludf.DUMMYFUNCTION("""COMPUTED_VALUE"""),45329.0)</f>
        <v>45329</v>
      </c>
      <c r="E1138" s="31">
        <f>IFERROR(__xludf.DUMMYFUNCTION("""COMPUTED_VALUE"""),288716.0)</f>
        <v>288716</v>
      </c>
      <c r="F1138" s="22" t="str">
        <f>IFERROR(__xludf.DUMMYFUNCTION("""COMPUTED_VALUE"""),"甘く抱かれる執愛婚―冷酷な御曹司は契約花嫁を離さない―【財閥御曹司シリーズ】")</f>
        <v>甘く抱かれる執愛婚―冷酷な御曹司は契約花嫁を離さない―【財閥御曹司シリーズ】</v>
      </c>
      <c r="G1138" s="11" t="str">
        <f>IFERROR(__xludf.DUMMYFUNCTION("""COMPUTED_VALUE"""),"1～4")</f>
        <v>1～4</v>
      </c>
      <c r="H1138" s="22" t="str">
        <f>IFERROR(__xludf.DUMMYFUNCTION("""COMPUTED_VALUE"""),"南香かをり（作画）、玉紀直（原作）")</f>
        <v>南香かをり（作画）、玉紀直（原作）</v>
      </c>
      <c r="I1138" s="22" t="str">
        <f>IFERROR(__xludf.DUMMYFUNCTION("""COMPUTED_VALUE"""),"女性")</f>
        <v>女性</v>
      </c>
      <c r="J1138" s="22"/>
      <c r="K1138" s="22"/>
      <c r="L1138" s="22" t="str">
        <f>IFERROR(__xludf.DUMMYFUNCTION("""COMPUTED_VALUE"""),"スターツ出版")</f>
        <v>スターツ出版</v>
      </c>
      <c r="M1138" s="23">
        <f>IFERROR(__xludf.DUMMYFUNCTION("""COMPUTED_VALUE"""),45366.0)</f>
        <v>45366</v>
      </c>
      <c r="N1138" s="23">
        <f>IFERROR(__xludf.DUMMYFUNCTION("""COMPUTED_VALUE"""),45400.0)</f>
        <v>45400</v>
      </c>
      <c r="O1138" s="20"/>
      <c r="P1138" s="29" t="str">
        <f>IFERROR(__xludf.DUMMYFUNCTION("""COMPUTED_VALUE"""),"否")</f>
        <v>否</v>
      </c>
      <c r="Q1138" s="30" t="str">
        <f>IFERROR(__xludf.DUMMYFUNCTION("""COMPUTED_VALUE"""),"3話分でのご制作をお願いいたします")</f>
        <v>3話分でのご制作をお願いいたします</v>
      </c>
      <c r="R1138" s="22"/>
      <c r="S1138" s="22" t="str">
        <f>IFERROR(__xludf.DUMMYFUNCTION("""COMPUTED_VALUE"""),"20240206_スターツ出版_甘く抱かれる執愛婚")</f>
        <v>20240206_スターツ出版_甘く抱かれる執愛婚</v>
      </c>
      <c r="T1138" s="31" t="str">
        <f>IFERROR(__xludf.DUMMYFUNCTION("""COMPUTED_VALUE"""),"格納済み")</f>
        <v>格納済み</v>
      </c>
      <c r="U1138" s="15" t="str">
        <f>IFERROR(__xludf.DUMMYFUNCTION("""COMPUTED_VALUE"""),"（C）Kawori Nanko・Nao Tamaki/スターツ出版")</f>
        <v>（C）Kawori Nanko・Nao Tamaki/スターツ出版</v>
      </c>
      <c r="V1138" s="8" t="str">
        <f>IFERROR(__xludf.DUMMYFUNCTION("""COMPUTED_VALUE"""),"小笠原商事・社長令嬢の澪は倒産寸前の父の会社の経営再建を目指して日々奔走中。ある日、悪い男に騙されそうになっているところを西園寺財閥・次期総帥である魁成に助けてもらう。事情を知った彼から「君の選択肢は三つある」と取引を提案され、提示された選択肢の中から澪が選んだのは、西園寺財閥に嫁ぐ契約結婚だった。 家族を救うため、愛のない夫婦になると決めたはずが、予想外に甘い彼に翻弄されてしまい――…。
【財閥御曹司シリーズ】第1弾！
没落寸前の崖っぷち令嬢×財閥御曹司のドラマティックシンデレラストーリー！
ここ"&amp;"に開幕！
(この作品は電子コミック誌comic Berry's Vol. 177掲載の1話～5話を収録しております。重複購入にご注意ください)")</f>
        <v>小笠原商事・社長令嬢の澪は倒産寸前の父の会社の経営再建を目指して日々奔走中。ある日、悪い男に騙されそうになっているところを西園寺財閥・次期総帥である魁成に助けてもらう。事情を知った彼から「君の選択肢は三つある」と取引を提案され、提示された選択肢の中から澪が選んだのは、西園寺財閥に嫁ぐ契約結婚だった。 家族を救うため、愛のない夫婦になると決めたはずが、予想外に甘い彼に翻弄されてしまい――…。
【財閥御曹司シリーズ】第1弾！
没落寸前の崖っぷち令嬢×財閥御曹司のドラマティックシンデレラストーリー！
ここに開幕！
(この作品は電子コミック誌comic Berry's Vol. 177掲載の1話～5話を収録しております。重複購入にご注意ください)</v>
      </c>
      <c r="W1138" s="14"/>
      <c r="X1138" s="14" t="str">
        <f>IFERROR(__xludf.DUMMYFUNCTION("""COMPUTED_VALUE"""),"有")</f>
        <v>有</v>
      </c>
      <c r="Y1138" s="8" t="str">
        <f>IFERROR(__xludf.DUMMYFUNCTION("""COMPUTED_VALUE"""),"2024/4/18まで1巻無料")</f>
        <v>2024/4/18まで1巻無料</v>
      </c>
      <c r="Z1138" s="7"/>
      <c r="AA1138" s="7"/>
      <c r="AB1138" s="7"/>
    </row>
    <row r="1139" ht="15.75" customHeight="1">
      <c r="A1139" s="26">
        <f>IFERROR(__xludf.DUMMYFUNCTION("""COMPUTED_VALUE"""),2796.0)</f>
        <v>2796</v>
      </c>
      <c r="B1139" s="22" t="str">
        <f>IFERROR(__xludf.DUMMYFUNCTION("""COMPUTED_VALUE"""),"確定")</f>
        <v>確定</v>
      </c>
      <c r="C1139" s="28">
        <f>IFERROR(__xludf.DUMMYFUNCTION("""COMPUTED_VALUE"""),45288.0)</f>
        <v>45288</v>
      </c>
      <c r="D1139" s="28">
        <f>IFERROR(__xludf.DUMMYFUNCTION("""COMPUTED_VALUE"""),45331.0)</f>
        <v>45331</v>
      </c>
      <c r="E1139" s="31">
        <f>IFERROR(__xludf.DUMMYFUNCTION("""COMPUTED_VALUE"""),287844.0)</f>
        <v>287844</v>
      </c>
      <c r="F1139" s="22" t="str">
        <f>IFERROR(__xludf.DUMMYFUNCTION("""COMPUTED_VALUE"""),"紘人くんは絶対逃がさない【マイクロ】")</f>
        <v>紘人くんは絶対逃がさない【マイクロ】</v>
      </c>
      <c r="G1139" s="16" t="str">
        <f>IFERROR(__xludf.DUMMYFUNCTION("""COMPUTED_VALUE"""),"1～3")</f>
        <v>1～3</v>
      </c>
      <c r="H1139" s="22" t="str">
        <f>IFERROR(__xludf.DUMMYFUNCTION("""COMPUTED_VALUE"""),"赤月すみれ")</f>
        <v>赤月すみれ</v>
      </c>
      <c r="I1139" s="22" t="str">
        <f>IFERROR(__xludf.DUMMYFUNCTION("""COMPUTED_VALUE"""),"女性")</f>
        <v>女性</v>
      </c>
      <c r="J1139" s="22"/>
      <c r="K1139" s="22"/>
      <c r="L1139" s="22" t="str">
        <f>IFERROR(__xludf.DUMMYFUNCTION("""COMPUTED_VALUE"""),"小学館")</f>
        <v>小学館</v>
      </c>
      <c r="M1139" s="23">
        <f>IFERROR(__xludf.DUMMYFUNCTION("""COMPUTED_VALUE"""),45356.0)</f>
        <v>45356</v>
      </c>
      <c r="N1139" s="23">
        <f>IFERROR(__xludf.DUMMYFUNCTION("""COMPUTED_VALUE"""),45416.0)</f>
        <v>45416</v>
      </c>
      <c r="O1139" s="20"/>
      <c r="P1139" s="29" t="str">
        <f>IFERROR(__xludf.DUMMYFUNCTION("""COMPUTED_VALUE"""),"可")</f>
        <v>可</v>
      </c>
      <c r="Q1139" s="30" t="str">
        <f>IFERROR(__xludf.DUMMYFUNCTION("""COMPUTED_VALUE"""),"広告コミットOK(1/9₎")</f>
        <v>広告コミットOK(1/9₎</v>
      </c>
      <c r="R1139" s="22"/>
      <c r="S1139" s="22" t="str">
        <f>IFERROR(__xludf.DUMMYFUNCTION("""COMPUTED_VALUE"""),"20240207_小学館_紘人くんは絶対逃がさない【マイクロ】")</f>
        <v>20240207_小学館_紘人くんは絶対逃がさない【マイクロ】</v>
      </c>
      <c r="T1139" s="22" t="str">
        <f>IFERROR(__xludf.DUMMYFUNCTION("""COMPUTED_VALUE"""),"格納済み")</f>
        <v>格納済み</v>
      </c>
      <c r="U1139" s="15" t="str">
        <f>IFERROR(__xludf.DUMMYFUNCTION("""COMPUTED_VALUE"""),"(C)赤月すみれ / 小学館")</f>
        <v>(C)赤月すみれ / 小学館</v>
      </c>
      <c r="V1139" s="8" t="str">
        <f>IFERROR(__xludf.DUMMYFUNCTION("""COMPUTED_VALUE"""),"受験に失敗し、荒れた不良高校に通っている七菜子。昔から不運でどんくさかった自分を変えるため、1日100善を目標に生徒会で人助けを日課にしていた。忠実で頼りになる後輩で副会長の紘人がいる生徒会室だけは、七菜子にとって平和な世界＿＿のはずだったけど、実は彼の正体は・・・超有名な不良だった！？正体がバレた紘人は七菜子に迫ってきて＿＿！？真面目（！？）な年下男子と超キケンな恋が始まる＿＿！！")</f>
        <v>受験に失敗し、荒れた不良高校に通っている七菜子。昔から不運でどんくさかった自分を変えるため、1日100善を目標に生徒会で人助けを日課にしていた。忠実で頼りになる後輩で副会長の紘人がいる生徒会室だけは、七菜子にとって平和な世界＿＿のはずだったけど、実は彼の正体は・・・超有名な不良だった！？正体がバレた紘人は七菜子に迫ってきて＿＿！？真面目（！？）な年下男子と超キケンな恋が始まる＿＿！！</v>
      </c>
      <c r="W1139" s="14"/>
      <c r="X1139" s="14" t="str">
        <f>IFERROR(__xludf.DUMMYFUNCTION("""COMPUTED_VALUE"""),"有")</f>
        <v>有</v>
      </c>
      <c r="Y1139" s="8" t="str">
        <f>IFERROR(__xludf.DUMMYFUNCTION("""COMPUTED_VALUE"""),"2024/5/4まで1巻無料")</f>
        <v>2024/5/4まで1巻無料</v>
      </c>
      <c r="Z1139" s="7"/>
      <c r="AA1139" s="7"/>
      <c r="AB1139" s="7"/>
    </row>
    <row r="1140" ht="15.75" customHeight="1">
      <c r="A1140" s="26">
        <f>IFERROR(__xludf.DUMMYFUNCTION("""COMPUTED_VALUE"""),2880.0)</f>
        <v>2880</v>
      </c>
      <c r="B1140" s="22" t="str">
        <f>IFERROR(__xludf.DUMMYFUNCTION("""COMPUTED_VALUE"""),"確定")</f>
        <v>確定</v>
      </c>
      <c r="C1140" s="28">
        <f>IFERROR(__xludf.DUMMYFUNCTION("""COMPUTED_VALUE"""),45317.0)</f>
        <v>45317</v>
      </c>
      <c r="D1140" s="28">
        <f>IFERROR(__xludf.DUMMYFUNCTION("""COMPUTED_VALUE"""),45336.0)</f>
        <v>45336</v>
      </c>
      <c r="E1140" s="31">
        <f>IFERROR(__xludf.DUMMYFUNCTION("""COMPUTED_VALUE"""),287873.0)</f>
        <v>287873</v>
      </c>
      <c r="F1140" s="22" t="str">
        <f>IFERROR(__xludf.DUMMYFUNCTION("""COMPUTED_VALUE"""),"女子が支配する学園で俺だけが襲われる")</f>
        <v>女子が支配する学園で俺だけが襲われる</v>
      </c>
      <c r="G1140" s="16" t="str">
        <f>IFERROR(__xludf.DUMMYFUNCTION("""COMPUTED_VALUE"""),"1～12")</f>
        <v>1～12</v>
      </c>
      <c r="H1140" s="22" t="str">
        <f>IFERROR(__xludf.DUMMYFUNCTION("""COMPUTED_VALUE"""),"真白ゆに/シオセタモツ")</f>
        <v>真白ゆに/シオセタモツ</v>
      </c>
      <c r="I1140" s="22" t="str">
        <f>IFERROR(__xludf.DUMMYFUNCTION("""COMPUTED_VALUE"""),"青年")</f>
        <v>青年</v>
      </c>
      <c r="J1140" s="22"/>
      <c r="K1140" s="22"/>
      <c r="L1140" s="22" t="str">
        <f>IFERROR(__xludf.DUMMYFUNCTION("""COMPUTED_VALUE"""),"ライブコミックス")</f>
        <v>ライブコミックス</v>
      </c>
      <c r="M1140" s="23">
        <f>IFERROR(__xludf.DUMMYFUNCTION("""COMPUTED_VALUE"""),45359.0)</f>
        <v>45359</v>
      </c>
      <c r="N1140" s="23">
        <f>IFERROR(__xludf.DUMMYFUNCTION("""COMPUTED_VALUE"""),45421.0)</f>
        <v>45421</v>
      </c>
      <c r="O1140" s="20"/>
      <c r="P1140" s="29" t="str">
        <f>IFERROR(__xludf.DUMMYFUNCTION("""COMPUTED_VALUE"""),"可")</f>
        <v>可</v>
      </c>
      <c r="Q1140" s="30" t="str">
        <f>IFERROR(__xludf.DUMMYFUNCTION("""COMPUTED_VALUE"""),"広告コミットOK(1/30)")</f>
        <v>広告コミットOK(1/30)</v>
      </c>
      <c r="R1140" s="22"/>
      <c r="S1140" s="22" t="str">
        <f>IFERROR(__xludf.DUMMYFUNCTION("""COMPUTED_VALUE"""),"20240126_BookLive_女子が支配する学園で俺だけが襲われる")</f>
        <v>20240126_BookLive_女子が支配する学園で俺だけが襲われる</v>
      </c>
      <c r="T1140" s="22" t="str">
        <f>IFERROR(__xludf.DUMMYFUNCTION("""COMPUTED_VALUE"""),"格納済み")</f>
        <v>格納済み</v>
      </c>
      <c r="U1140" s="15" t="str">
        <f>IFERROR(__xludf.DUMMYFUNCTION("""COMPUTED_VALUE"""),"Ⓒ真白ゆに/シオセタモツ/ライブコミックス")</f>
        <v>Ⓒ真白ゆに/シオセタモツ/ライブコミックス</v>
      </c>
      <c r="V1140" s="8" t="str">
        <f>IFERROR(__xludf.DUMMYFUNCTION("""COMPUTED_VALUE"""),"アルファ女子が支配する学園にオメガ男子は俺だけ！？
学園中の女子から狙われるドタバタハーレム漫画登場！
未知のウイルスにより人類には第2の性別が誕生した。
容姿知力体力に優れたアルファ、そのアルファを魅了するフェロモンを撒くことができるオメガ。
これは女性だけにしか現れず優秀なアルファ女性が増えた世界は女性が実権を握るようになった。
そんなある日、突然オメガになってしまった男子の來夢（くるむ）
彼はアルファ女子が支配する学園に入学することになったのだが
ちょっとした拍子で周りの女子を発情させてしまいエッチ"&amp;"を求められてしまう！？
果たして來夢は貞操を守って無事に卒業することができるのか…。
セーシを賭けた学園サバイバル開幕！")</f>
        <v>アルファ女子が支配する学園にオメガ男子は俺だけ！？
学園中の女子から狙われるドタバタハーレム漫画登場！
未知のウイルスにより人類には第2の性別が誕生した。
容姿知力体力に優れたアルファ、そのアルファを魅了するフェロモンを撒くことができるオメガ。
これは女性だけにしか現れず優秀なアルファ女性が増えた世界は女性が実権を握るようになった。
そんなある日、突然オメガになってしまった男子の來夢（くるむ）
彼はアルファ女子が支配する学園に入学することになったのだが
ちょっとした拍子で周りの女子を発情させてしまいエッチを求められてしまう！？
果たして來夢は貞操を守って無事に卒業することができるのか…。
セーシを賭けた学園サバイバル開幕！</v>
      </c>
      <c r="W1140" s="14"/>
      <c r="X1140" s="14" t="str">
        <f>IFERROR(__xludf.DUMMYFUNCTION("""COMPUTED_VALUE"""),"有")</f>
        <v>有</v>
      </c>
      <c r="Y1140" s="8" t="str">
        <f>IFERROR(__xludf.DUMMYFUNCTION("""COMPUTED_VALUE"""),"P17まで")</f>
        <v>P17まで</v>
      </c>
      <c r="Z1140" s="7"/>
      <c r="AA1140" s="7"/>
      <c r="AB1140" s="7"/>
    </row>
    <row r="1141" ht="15.75" customHeight="1">
      <c r="A1141" s="26">
        <f>IFERROR(__xludf.DUMMYFUNCTION("""COMPUTED_VALUE"""),2886.0)</f>
        <v>2886</v>
      </c>
      <c r="B1141" s="22" t="str">
        <f>IFERROR(__xludf.DUMMYFUNCTION("""COMPUTED_VALUE"""),"確定")</f>
        <v>確定</v>
      </c>
      <c r="C1141" s="28">
        <f>IFERROR(__xludf.DUMMYFUNCTION("""COMPUTED_VALUE"""),45320.0)</f>
        <v>45320</v>
      </c>
      <c r="D1141" s="28">
        <f>IFERROR(__xludf.DUMMYFUNCTION("""COMPUTED_VALUE"""),45336.0)</f>
        <v>45336</v>
      </c>
      <c r="E1141" s="31">
        <f>IFERROR(__xludf.DUMMYFUNCTION("""COMPUTED_VALUE"""),288482.0)</f>
        <v>288482</v>
      </c>
      <c r="F1141" s="22" t="str">
        <f>IFERROR(__xludf.DUMMYFUNCTION("""COMPUTED_VALUE"""),"飼育係の一日")</f>
        <v>飼育係の一日</v>
      </c>
      <c r="G1141" s="20" t="str">
        <f>IFERROR(__xludf.DUMMYFUNCTION("""COMPUTED_VALUE"""),"1～3")</f>
        <v>1～3</v>
      </c>
      <c r="H1141" s="22" t="str">
        <f>IFERROR(__xludf.DUMMYFUNCTION("""COMPUTED_VALUE"""),"綾枷ちよこ / 綾枷家の猫")</f>
        <v>綾枷ちよこ / 綾枷家の猫</v>
      </c>
      <c r="I1141" s="22" t="str">
        <f>IFERROR(__xludf.DUMMYFUNCTION("""COMPUTED_VALUE"""),"オトナ")</f>
        <v>オトナ</v>
      </c>
      <c r="J1141" s="22"/>
      <c r="K1141" s="22"/>
      <c r="L1141" s="22" t="str">
        <f>IFERROR(__xludf.DUMMYFUNCTION("""COMPUTED_VALUE"""),"ブリック出版")</f>
        <v>ブリック出版</v>
      </c>
      <c r="M1141" s="23">
        <f>IFERROR(__xludf.DUMMYFUNCTION("""COMPUTED_VALUE"""),45366.0)</f>
        <v>45366</v>
      </c>
      <c r="N1141" s="23">
        <f>IFERROR(__xludf.DUMMYFUNCTION("""COMPUTED_VALUE"""),45428.0)</f>
        <v>45428</v>
      </c>
      <c r="O1141" s="20"/>
      <c r="P1141" s="29" t="str">
        <f>IFERROR(__xludf.DUMMYFUNCTION("""COMPUTED_VALUE"""),"可")</f>
        <v>可</v>
      </c>
      <c r="Q1141" s="30" t="str">
        <f>IFERROR(__xludf.DUMMYFUNCTION("""COMPUTED_VALUE"""),"広告コミットOK(2/2)")</f>
        <v>広告コミットOK(2/2)</v>
      </c>
      <c r="R1141" s="22"/>
      <c r="S1141" s="22" t="str">
        <f>IFERROR(__xludf.DUMMYFUNCTION("""COMPUTED_VALUE"""),"20240213_BookLive_飼育係の一日")</f>
        <v>20240213_BookLive_飼育係の一日</v>
      </c>
      <c r="T1141" s="22" t="str">
        <f>IFERROR(__xludf.DUMMYFUNCTION("""COMPUTED_VALUE"""),"格納済み")</f>
        <v>格納済み</v>
      </c>
      <c r="U1141" s="15" t="str">
        <f>IFERROR(__xludf.DUMMYFUNCTION("""COMPUTED_VALUE"""),"(C)ブリック出版")</f>
        <v>(C)ブリック出版</v>
      </c>
      <c r="V1141" s="8" t="str">
        <f>IFERROR(__xludf.DUMMYFUNCTION("""COMPUTED_VALUE"""),"親が一定以上の権力を持っており、ある程度の家柄の学生にはとても人気な優蘭学園。
そんな将来を担うエリート達が集まるこの学園には、秘密の部屋「飼育室」があるという噂があった……
※本作は綾枷ちよこの個人誌作品の電子書籍版となります。【22ページ】")</f>
        <v>親が一定以上の権力を持っており、ある程度の家柄の学生にはとても人気な優蘭学園。
そんな将来を担うエリート達が集まるこの学園には、秘密の部屋「飼育室」があるという噂があった……
※本作は綾枷ちよこの個人誌作品の電子書籍版となります。【22ページ】</v>
      </c>
      <c r="W1141" s="14"/>
      <c r="X1141" s="14" t="str">
        <f>IFERROR(__xludf.DUMMYFUNCTION("""COMPUTED_VALUE"""),"有")</f>
        <v>有</v>
      </c>
      <c r="Y1141" s="8" t="str">
        <f>IFERROR(__xludf.DUMMYFUNCTION("""COMPUTED_VALUE"""),"P8まで")</f>
        <v>P8まで</v>
      </c>
      <c r="Z1141" s="7"/>
      <c r="AA1141" s="7"/>
      <c r="AB1141" s="7"/>
    </row>
    <row r="1142" ht="15.75" customHeight="1">
      <c r="A1142" s="26">
        <f>IFERROR(__xludf.DUMMYFUNCTION("""COMPUTED_VALUE"""),2898.0)</f>
        <v>2898</v>
      </c>
      <c r="B1142" s="22" t="str">
        <f>IFERROR(__xludf.DUMMYFUNCTION("""COMPUTED_VALUE"""),"確定")</f>
        <v>確定</v>
      </c>
      <c r="C1142" s="28">
        <f>IFERROR(__xludf.DUMMYFUNCTION("""COMPUTED_VALUE"""),45321.0)</f>
        <v>45321</v>
      </c>
      <c r="D1142" s="28">
        <f>IFERROR(__xludf.DUMMYFUNCTION("""COMPUTED_VALUE"""),45336.0)</f>
        <v>45336</v>
      </c>
      <c r="E1142" s="31">
        <f>IFERROR(__xludf.DUMMYFUNCTION("""COMPUTED_VALUE"""),287855.0)</f>
        <v>287855</v>
      </c>
      <c r="F1142" s="22" t="str">
        <f>IFERROR(__xludf.DUMMYFUNCTION("""COMPUTED_VALUE"""),"思い出の欠片")</f>
        <v>思い出の欠片</v>
      </c>
      <c r="G1142" s="20" t="str">
        <f>IFERROR(__xludf.DUMMYFUNCTION("""COMPUTED_VALUE"""),"1～3")</f>
        <v>1～3</v>
      </c>
      <c r="H1142" s="22" t="str">
        <f>IFERROR(__xludf.DUMMYFUNCTION("""COMPUTED_VALUE"""),"作画：ただのゆう 原作：日月あきら")</f>
        <v>作画：ただのゆう 原作：日月あきら</v>
      </c>
      <c r="I1142" s="22" t="str">
        <f>IFERROR(__xludf.DUMMYFUNCTION("""COMPUTED_VALUE"""),"青年")</f>
        <v>青年</v>
      </c>
      <c r="J1142" s="22"/>
      <c r="K1142" s="22"/>
      <c r="L1142" s="22" t="str">
        <f>IFERROR(__xludf.DUMMYFUNCTION("""COMPUTED_VALUE"""),"アイエムエー")</f>
        <v>アイエムエー</v>
      </c>
      <c r="M1142" s="23">
        <f>IFERROR(__xludf.DUMMYFUNCTION("""COMPUTED_VALUE"""),45354.0)</f>
        <v>45354</v>
      </c>
      <c r="N1142" s="23">
        <f>IFERROR(__xludf.DUMMYFUNCTION("""COMPUTED_VALUE"""),45384.0)</f>
        <v>45384</v>
      </c>
      <c r="O1142" s="20"/>
      <c r="P1142" s="32" t="str">
        <f>IFERROR(__xludf.DUMMYFUNCTION("""COMPUTED_VALUE"""),"可")</f>
        <v>可</v>
      </c>
      <c r="Q1142" s="22"/>
      <c r="R1142" s="22" t="str">
        <f>IFERROR(__xludf.DUMMYFUNCTION("""COMPUTED_VALUE"""),"格納済")</f>
        <v>格納済</v>
      </c>
      <c r="S1142" s="22" t="str">
        <f>IFERROR(__xludf.DUMMYFUNCTION("""COMPUTED_VALUE"""),"20240209_アイエムエー_思い出の欠片")</f>
        <v>20240209_アイエムエー_思い出の欠片</v>
      </c>
      <c r="T1142" s="22" t="str">
        <f>IFERROR(__xludf.DUMMYFUNCTION("""COMPUTED_VALUE"""),"格納済")</f>
        <v>格納済</v>
      </c>
      <c r="U1142" s="15" t="str">
        <f>IFERROR(__xludf.DUMMYFUNCTION("""COMPUTED_VALUE"""),"(C)ただのゆう/日月あきら/アイエムエー")</f>
        <v>(C)ただのゆう/日月あきら/アイエムエー</v>
      </c>
      <c r="V1142" s="8" t="str">
        <f>IFERROR(__xludf.DUMMYFUNCTION("""COMPUTED_VALUE"""),"後ろから羽交い締めにされ、男の手が服の中に――「近頃、誰かにつけられている気がする……」ある日突然、ストーカーに襲われた千夏。ストーカーの狙いが、幼馴染から「絶対に手放さないで」と渡されたペンダントだったのかもしれないと気づいた千夏と大学教授の大輔は、「思い出の欠片」をめぐる恐ろしい事件に巻き込まれていく。最後まで明かされない犯人の正体にハラハラドキドキさせられる、純愛×ミステリーサスペンス！")</f>
        <v>後ろから羽交い締めにされ、男の手が服の中に――「近頃、誰かにつけられている気がする……」ある日突然、ストーカーに襲われた千夏。ストーカーの狙いが、幼馴染から「絶対に手放さないで」と渡されたペンダントだったのかもしれないと気づいた千夏と大学教授の大輔は、「思い出の欠片」をめぐる恐ろしい事件に巻き込まれていく。最後まで明かされない犯人の正体にハラハラドキドキさせられる、純愛×ミステリーサスペンス！</v>
      </c>
      <c r="W1142" s="14"/>
      <c r="X1142" s="14" t="str">
        <f>IFERROR(__xludf.DUMMYFUNCTION("""COMPUTED_VALUE"""),"有")</f>
        <v>有</v>
      </c>
      <c r="Y1142" s="8" t="str">
        <f>IFERROR(__xludf.DUMMYFUNCTION("""COMPUTED_VALUE"""),"P10まで")</f>
        <v>P10まで</v>
      </c>
      <c r="Z1142" s="7"/>
      <c r="AA1142" s="7"/>
      <c r="AB1142" s="7"/>
    </row>
    <row r="1143" ht="15.75" customHeight="1">
      <c r="A1143" s="26">
        <f>IFERROR(__xludf.DUMMYFUNCTION("""COMPUTED_VALUE"""),2922.0)</f>
        <v>2922</v>
      </c>
      <c r="B1143" s="22" t="str">
        <f>IFERROR(__xludf.DUMMYFUNCTION("""COMPUTED_VALUE"""),"確定")</f>
        <v>確定</v>
      </c>
      <c r="C1143" s="28">
        <f>IFERROR(__xludf.DUMMYFUNCTION("""COMPUTED_VALUE"""),45327.0)</f>
        <v>45327</v>
      </c>
      <c r="D1143" s="28">
        <f>IFERROR(__xludf.DUMMYFUNCTION("""COMPUTED_VALUE"""),45336.0)</f>
        <v>45336</v>
      </c>
      <c r="E1143" s="26">
        <f>IFERROR(__xludf.DUMMYFUNCTION("""COMPUTED_VALUE"""),268977.0)</f>
        <v>268977</v>
      </c>
      <c r="F1143" s="22" t="str">
        <f>IFERROR(__xludf.DUMMYFUNCTION("""COMPUTED_VALUE"""),"限界女子リカちゃんはご自愛できない")</f>
        <v>限界女子リカちゃんはご自愛できない</v>
      </c>
      <c r="G1143" s="20" t="str">
        <f>IFERROR(__xludf.DUMMYFUNCTION("""COMPUTED_VALUE"""),"1～3")</f>
        <v>1～3</v>
      </c>
      <c r="H1143" s="22" t="str">
        <f>IFERROR(__xludf.DUMMYFUNCTION("""COMPUTED_VALUE"""),"浜名杏")</f>
        <v>浜名杏</v>
      </c>
      <c r="I1143" s="14" t="str">
        <f>IFERROR(__xludf.DUMMYFUNCTION("""COMPUTED_VALUE"""),"女性")</f>
        <v>女性</v>
      </c>
      <c r="J1143" s="22"/>
      <c r="K1143" s="22"/>
      <c r="L1143" s="22" t="str">
        <f>IFERROR(__xludf.DUMMYFUNCTION("""COMPUTED_VALUE"""),"ソルマーレ編集部")</f>
        <v>ソルマーレ編集部</v>
      </c>
      <c r="M1143" s="23">
        <f>IFERROR(__xludf.DUMMYFUNCTION("""COMPUTED_VALUE"""),45360.0)</f>
        <v>45360</v>
      </c>
      <c r="N1143" s="23">
        <f>IFERROR(__xludf.DUMMYFUNCTION("""COMPUTED_VALUE"""),45457.66666666667)</f>
        <v>45457.66667</v>
      </c>
      <c r="O1143" s="20"/>
      <c r="P1143" s="29" t="str">
        <f>IFERROR(__xludf.DUMMYFUNCTION("""COMPUTED_VALUE"""),"可")</f>
        <v>可</v>
      </c>
      <c r="Q1143" s="30"/>
      <c r="R1143" s="22"/>
      <c r="S1143" s="22" t="str">
        <f>IFERROR(__xludf.DUMMYFUNCTION("""COMPUTED_VALUE"""),"20240209_ソルマーレ編集部_限界女子リカちゃんはご自愛できない")</f>
        <v>20240209_ソルマーレ編集部_限界女子リカちゃんはご自愛できない</v>
      </c>
      <c r="T1143" s="22" t="str">
        <f>IFERROR(__xludf.DUMMYFUNCTION("""COMPUTED_VALUE"""),"格納済み")</f>
        <v>格納済み</v>
      </c>
      <c r="U1143" s="15" t="str">
        <f>IFERROR(__xludf.DUMMYFUNCTION("""COMPUTED_VALUE"""),"Ⓒ 浜名杏/シーモアコミックス")</f>
        <v>Ⓒ 浜名杏/シーモアコミックス</v>
      </c>
      <c r="V1143" s="8" t="str">
        <f>IFERROR(__xludf.DUMMYFUNCTION("""COMPUTED_VALUE"""),"「32歳、夏。フリーターはじめました。」自分を大事にできない中学教師・莉果（りか）は、体調を崩して仕事を辞め、残業ナシ・持ち帰り仕事ナシ・おいしいまかない付きの中華屋でアルバイトをすることに。
「よっぽど飢えてたんだなぁと思って…」料理の腕はいいけれど…性格に難アリな店主・百瀬（ももせ）の言動に振り回されながらも、彼の作るおいしいまかない効果で、莉果のQOLは爆上がりで!?
ちゃんとした大人になるって難しい…限界女子のヒーリング・ラブストーリー！【恋するソワレ＋】")</f>
        <v>「32歳、夏。フリーターはじめました。」自分を大事にできない中学教師・莉果（りか）は、体調を崩して仕事を辞め、残業ナシ・持ち帰り仕事ナシ・おいしいまかない付きの中華屋でアルバイトをすることに。
「よっぽど飢えてたんだなぁと思って…」料理の腕はいいけれど…性格に難アリな店主・百瀬（ももせ）の言動に振り回されながらも、彼の作るおいしいまかない効果で、莉果のQOLは爆上がりで!?
ちゃんとした大人になるって難しい…限界女子のヒーリング・ラブストーリー！【恋するソワレ＋】</v>
      </c>
      <c r="W1143" s="14"/>
      <c r="X1143" s="14" t="str">
        <f>IFERROR(__xludf.DUMMYFUNCTION("""COMPUTED_VALUE"""),"有")</f>
        <v>有</v>
      </c>
      <c r="Y1143" s="8" t="str">
        <f>IFERROR(__xludf.DUMMYFUNCTION("""COMPUTED_VALUE"""),"2024/4/12まで1巻無料")</f>
        <v>2024/4/12まで1巻無料</v>
      </c>
      <c r="Z1143" s="7"/>
      <c r="AA1143" s="7"/>
      <c r="AB1143" s="7"/>
    </row>
    <row r="1144" ht="15.75" customHeight="1">
      <c r="A1144" s="26">
        <f>IFERROR(__xludf.DUMMYFUNCTION("""COMPUTED_VALUE"""),2923.0)</f>
        <v>2923</v>
      </c>
      <c r="B1144" s="22" t="str">
        <f>IFERROR(__xludf.DUMMYFUNCTION("""COMPUTED_VALUE"""),"確定")</f>
        <v>確定</v>
      </c>
      <c r="C1144" s="28">
        <f>IFERROR(__xludf.DUMMYFUNCTION("""COMPUTED_VALUE"""),45327.0)</f>
        <v>45327</v>
      </c>
      <c r="D1144" s="28">
        <f>IFERROR(__xludf.DUMMYFUNCTION("""COMPUTED_VALUE"""),45336.0)</f>
        <v>45336</v>
      </c>
      <c r="E1144" s="26">
        <f>IFERROR(__xludf.DUMMYFUNCTION("""COMPUTED_VALUE"""),272188.0)</f>
        <v>272188</v>
      </c>
      <c r="F1144" s="22" t="str">
        <f>IFERROR(__xludf.DUMMYFUNCTION("""COMPUTED_VALUE"""),"本部長殿、キスは契約違反です！(フルカラー)")</f>
        <v>本部長殿、キスは契約違反です！(フルカラー)</v>
      </c>
      <c r="G1144" s="20" t="str">
        <f>IFERROR(__xludf.DUMMYFUNCTION("""COMPUTED_VALUE"""),"1～3")</f>
        <v>1～3</v>
      </c>
      <c r="H1144" s="22" t="str">
        <f>IFERROR(__xludf.DUMMYFUNCTION("""COMPUTED_VALUE"""),"J.O,YHN")</f>
        <v>J.O,YHN</v>
      </c>
      <c r="I1144" s="14" t="str">
        <f>IFERROR(__xludf.DUMMYFUNCTION("""COMPUTED_VALUE"""),"女性")</f>
        <v>女性</v>
      </c>
      <c r="J1144" s="22"/>
      <c r="K1144" s="22"/>
      <c r="L1144" s="22" t="str">
        <f>IFERROR(__xludf.DUMMYFUNCTION("""COMPUTED_VALUE"""),"ソルマーレ編集部")</f>
        <v>ソルマーレ編集部</v>
      </c>
      <c r="M1144" s="23">
        <f>IFERROR(__xludf.DUMMYFUNCTION("""COMPUTED_VALUE"""),45360.0)</f>
        <v>45360</v>
      </c>
      <c r="N1144" s="23">
        <f>IFERROR(__xludf.DUMMYFUNCTION("""COMPUTED_VALUE"""),45526.66666666667)</f>
        <v>45526.66667</v>
      </c>
      <c r="O1144" s="20"/>
      <c r="P1144" s="32" t="str">
        <f>IFERROR(__xludf.DUMMYFUNCTION("""COMPUTED_VALUE"""),"可")</f>
        <v>可</v>
      </c>
      <c r="Q1144" s="30"/>
      <c r="R1144" s="22"/>
      <c r="S1144" s="22" t="str">
        <f>IFERROR(__xludf.DUMMYFUNCTION("""COMPUTED_VALUE"""),"20240209_ソルマーレ編集部_本部長殿、キスは契約違反です！（フルカラー）")</f>
        <v>20240209_ソルマーレ編集部_本部長殿、キスは契約違反です！（フルカラー）</v>
      </c>
      <c r="T1144" s="22" t="str">
        <f>IFERROR(__xludf.DUMMYFUNCTION("""COMPUTED_VALUE"""),"格納済み")</f>
        <v>格納済み</v>
      </c>
      <c r="U1144" s="15" t="str">
        <f>IFERROR(__xludf.DUMMYFUNCTION("""COMPUTED_VALUE"""),"Ⓒ J.O/YHN/GTENT/シーモアコミックス")</f>
        <v>Ⓒ J.O/YHN/GTENT/シーモアコミックス</v>
      </c>
      <c r="V1144" s="8" t="str">
        <f>IFERROR(__xludf.DUMMYFUNCTION("""COMPUTED_VALUE"""),"ようやく手に入れた仕事は、大企業の役付きイケメン×エリートの彼女役!?
曲がったことは大嫌いで、責任感の強い朝陽（あさひ）は、就職活動がうまくいかず、配達のバイトをしながら仕事先を探していた。そんななか、面接に行った国内屈指の大企業で、偶然にして最悪の再会を果たす。面接官だった本部長の神楽大河（かぐらたいが）は前日、朝陽が汚した45万のスーツ代返金を脅しのネタに、彼女役という仕事の契約を迫る。契約期間3ヵ月。気が進まない朝陽だが、大企業の短期契約社員の座を手に入れ「社内恋愛のうわさが必要」という大河の求"&amp;"めるミッションをクリアすることができるのか!?【恋するソワレ】")</f>
        <v>ようやく手に入れた仕事は、大企業の役付きイケメン×エリートの彼女役!?
曲がったことは大嫌いで、責任感の強い朝陽（あさひ）は、就職活動がうまくいかず、配達のバイトをしながら仕事先を探していた。そんななか、面接に行った国内屈指の大企業で、偶然にして最悪の再会を果たす。面接官だった本部長の神楽大河（かぐらたいが）は前日、朝陽が汚した45万のスーツ代返金を脅しのネタに、彼女役という仕事の契約を迫る。契約期間3ヵ月。気が進まない朝陽だが、大企業の短期契約社員の座を手に入れ「社内恋愛のうわさが必要」という大河の求めるミッションをクリアすることができるのか!?【恋するソワレ】</v>
      </c>
      <c r="W1144" s="14"/>
      <c r="X1144" s="14" t="str">
        <f>IFERROR(__xludf.DUMMYFUNCTION("""COMPUTED_VALUE"""),"有")</f>
        <v>有</v>
      </c>
      <c r="Y1144" s="8" t="str">
        <f>IFERROR(__xludf.DUMMYFUNCTION("""COMPUTED_VALUE"""),"P12まで")</f>
        <v>P12まで</v>
      </c>
      <c r="Z1144" s="7"/>
      <c r="AA1144" s="7"/>
      <c r="AB1144" s="7"/>
    </row>
    <row r="1145" ht="15.75" customHeight="1">
      <c r="A1145" s="26">
        <f>IFERROR(__xludf.DUMMYFUNCTION("""COMPUTED_VALUE"""),2925.0)</f>
        <v>2925</v>
      </c>
      <c r="B1145" s="22" t="str">
        <f>IFERROR(__xludf.DUMMYFUNCTION("""COMPUTED_VALUE"""),"確定")</f>
        <v>確定</v>
      </c>
      <c r="C1145" s="28">
        <f>IFERROR(__xludf.DUMMYFUNCTION("""COMPUTED_VALUE"""),45327.0)</f>
        <v>45327</v>
      </c>
      <c r="D1145" s="28">
        <f>IFERROR(__xludf.DUMMYFUNCTION("""COMPUTED_VALUE"""),45336.0)</f>
        <v>45336</v>
      </c>
      <c r="E1145" s="26">
        <f>IFERROR(__xludf.DUMMYFUNCTION("""COMPUTED_VALUE"""),283522.0)</f>
        <v>283522</v>
      </c>
      <c r="F1145" s="22" t="str">
        <f>IFERROR(__xludf.DUMMYFUNCTION("""COMPUTED_VALUE"""),"噛んで吸って、溶かされて")</f>
        <v>噛んで吸って、溶かされて</v>
      </c>
      <c r="G1145" s="20" t="str">
        <f>IFERROR(__xludf.DUMMYFUNCTION("""COMPUTED_VALUE"""),"1～3")</f>
        <v>1～3</v>
      </c>
      <c r="H1145" s="22" t="str">
        <f>IFERROR(__xludf.DUMMYFUNCTION("""COMPUTED_VALUE"""),"ねこたか")</f>
        <v>ねこたか</v>
      </c>
      <c r="I1145" s="14" t="str">
        <f>IFERROR(__xludf.DUMMYFUNCTION("""COMPUTED_VALUE"""),"TL")</f>
        <v>TL</v>
      </c>
      <c r="J1145" s="22"/>
      <c r="K1145" s="22"/>
      <c r="L1145" s="22" t="str">
        <f>IFERROR(__xludf.DUMMYFUNCTION("""COMPUTED_VALUE"""),"ソルマーレ編集部")</f>
        <v>ソルマーレ編集部</v>
      </c>
      <c r="M1145" s="23">
        <f>IFERROR(__xludf.DUMMYFUNCTION("""COMPUTED_VALUE"""),45360.0)</f>
        <v>45360</v>
      </c>
      <c r="N1145" s="23">
        <f>IFERROR(__xludf.DUMMYFUNCTION("""COMPUTED_VALUE"""),45421.0)</f>
        <v>45421</v>
      </c>
      <c r="O1145" s="20"/>
      <c r="P1145" s="32" t="str">
        <f>IFERROR(__xludf.DUMMYFUNCTION("""COMPUTED_VALUE"""),"可")</f>
        <v>可</v>
      </c>
      <c r="Q1145" s="30"/>
      <c r="R1145" s="22"/>
      <c r="S1145" s="22" t="str">
        <f>IFERROR(__xludf.DUMMYFUNCTION("""COMPUTED_VALUE"""),"20240209_ソルマーレ編集部_噛んで吸って、溶かされて")</f>
        <v>20240209_ソルマーレ編集部_噛んで吸って、溶かされて</v>
      </c>
      <c r="T1145" s="22" t="str">
        <f>IFERROR(__xludf.DUMMYFUNCTION("""COMPUTED_VALUE"""),"格納済み")</f>
        <v>格納済み</v>
      </c>
      <c r="U1145" s="15" t="str">
        <f>IFERROR(__xludf.DUMMYFUNCTION("""COMPUTED_VALUE"""),"Ⓒ ねこたか/シーモアコミックス")</f>
        <v>Ⓒ ねこたか/シーモアコミックス</v>
      </c>
      <c r="V1145" s="8" t="str">
        <f>IFERROR(__xludf.DUMMYFUNCTION("""COMPUTED_VALUE"""),"雨の中、帰宅した地方公務員の心麦（こむぎ）の住むボロアパートの前で倒れていた「少年」の正体は吸血魔!?
そうとは知らず、世話焼きの心麦は介抱しようととにかく部屋に入れて救急車を呼ぼうとするが、その時、背後から迫るまさに魔の手…いや、魔の牙!?　ほんの少し精気を分けてほしい、と心麦の首筋を優しく噛む。すると血を吸われた心麦の体に異変が!!　彼の愛撫に、誰かに触れられたことのない敏感なところは、自分の体とは思えないくらい激しく反応してーー。その日から、京（きょう）と名乗る彼はそのまま家に居座ることになるが、"&amp;"心麦に執着するには理由があるようで…!?【桃色日記】")</f>
        <v>雨の中、帰宅した地方公務員の心麦（こむぎ）の住むボロアパートの前で倒れていた「少年」の正体は吸血魔!?
そうとは知らず、世話焼きの心麦は介抱しようととにかく部屋に入れて救急車を呼ぼうとするが、その時、背後から迫るまさに魔の手…いや、魔の牙!?　ほんの少し精気を分けてほしい、と心麦の首筋を優しく噛む。すると血を吸われた心麦の体に異変が!!　彼の愛撫に、誰かに触れられたことのない敏感なところは、自分の体とは思えないくらい激しく反応してーー。その日から、京（きょう）と名乗る彼はそのまま家に居座ることになるが、心麦に執着するには理由があるようで…!?【桃色日記】</v>
      </c>
      <c r="W1145" s="14"/>
      <c r="X1145" s="14" t="str">
        <f>IFERROR(__xludf.DUMMYFUNCTION("""COMPUTED_VALUE"""),"有")</f>
        <v>有</v>
      </c>
      <c r="Y1145" s="8" t="str">
        <f>IFERROR(__xludf.DUMMYFUNCTION("""COMPUTED_VALUE"""),"2024//12まで1巻無料")</f>
        <v>2024//12まで1巻無料</v>
      </c>
      <c r="Z1145" s="7"/>
      <c r="AA1145" s="7"/>
      <c r="AB1145" s="7"/>
    </row>
    <row r="1146" ht="15.75" customHeight="1">
      <c r="A1146" s="26">
        <f>IFERROR(__xludf.DUMMYFUNCTION("""COMPUTED_VALUE"""),2927.0)</f>
        <v>2927</v>
      </c>
      <c r="B1146" s="22" t="str">
        <f>IFERROR(__xludf.DUMMYFUNCTION("""COMPUTED_VALUE"""),"確定")</f>
        <v>確定</v>
      </c>
      <c r="C1146" s="28">
        <f>IFERROR(__xludf.DUMMYFUNCTION("""COMPUTED_VALUE"""),45327.0)</f>
        <v>45327</v>
      </c>
      <c r="D1146" s="28">
        <f>IFERROR(__xludf.DUMMYFUNCTION("""COMPUTED_VALUE"""),45336.0)</f>
        <v>45336</v>
      </c>
      <c r="E1146" s="31">
        <f>IFERROR(__xludf.DUMMYFUNCTION("""COMPUTED_VALUE"""),287124.0)</f>
        <v>287124</v>
      </c>
      <c r="F1146" s="22" t="str">
        <f>IFERROR(__xludf.DUMMYFUNCTION("""COMPUTED_VALUE"""),"私は選ばれない【連載版】")</f>
        <v>私は選ばれない【連載版】</v>
      </c>
      <c r="G1146" s="20" t="str">
        <f>IFERROR(__xludf.DUMMYFUNCTION("""COMPUTED_VALUE"""),"1～3")</f>
        <v>1～3</v>
      </c>
      <c r="H1146" s="22" t="str">
        <f>IFERROR(__xludf.DUMMYFUNCTION("""COMPUTED_VALUE"""),"鈴宮ユニコ・碧貴子・whimhalooo")</f>
        <v>鈴宮ユニコ・碧貴子・whimhalooo</v>
      </c>
      <c r="I1146" s="22" t="str">
        <f>IFERROR(__xludf.DUMMYFUNCTION("""COMPUTED_VALUE"""),"少女")</f>
        <v>少女</v>
      </c>
      <c r="J1146" s="22"/>
      <c r="K1146" s="22"/>
      <c r="L1146" s="22" t="str">
        <f>IFERROR(__xludf.DUMMYFUNCTION("""COMPUTED_VALUE"""),"一迅社")</f>
        <v>一迅社</v>
      </c>
      <c r="M1146" s="23">
        <f>IFERROR(__xludf.DUMMYFUNCTION("""COMPUTED_VALUE"""),45352.0)</f>
        <v>45352</v>
      </c>
      <c r="N1146" s="23">
        <f>IFERROR(__xludf.DUMMYFUNCTION("""COMPUTED_VALUE"""),45382.0)</f>
        <v>45382</v>
      </c>
      <c r="O1146" s="20"/>
      <c r="P1146" s="32" t="str">
        <f>IFERROR(__xludf.DUMMYFUNCTION("""COMPUTED_VALUE"""),"否")</f>
        <v>否</v>
      </c>
      <c r="Q1146" s="30"/>
      <c r="R1146" s="22"/>
      <c r="S1146" s="22" t="str">
        <f>IFERROR(__xludf.DUMMYFUNCTION("""COMPUTED_VALUE"""),"20240205_一迅社_3月新作")</f>
        <v>20240205_一迅社_3月新作</v>
      </c>
      <c r="T1146" s="22" t="str">
        <f>IFERROR(__xludf.DUMMYFUNCTION("""COMPUTED_VALUE"""),"格納済み")</f>
        <v>格納済み</v>
      </c>
      <c r="U1146" s="15" t="str">
        <f>IFERROR(__xludf.DUMMYFUNCTION("""COMPUTED_VALUE"""),"(C)鈴宮ユニコ・碧貴子・whimhalooo／一迅社")</f>
        <v>(C)鈴宮ユニコ・碧貴子・whimhalooo／一迅社</v>
      </c>
      <c r="V1146" s="8" t="str">
        <f>IFERROR(__xludf.DUMMYFUNCTION("""COMPUTED_VALUE"""),"親が決めた政略結婚とはいえ、相手を子供の頃から恋い慕っている伯爵令嬢のクロエ。ところが、婚約者であるその男性、オルドランド侯爵家の嫡男エルネストは、最終的にクロエではなく妹のエミリィを選ぶ。残酷な現実に打ちひしがれるクロエだが、そんな彼女にシスレーユ公爵家のレオネルが突然結婚を申し込んできて――。不遇な伯爵令嬢と愛を知らない小公爵の、契約結婚からはじまる執着×溺愛ストーリー！【本商品は単話コンテンツとなります。単行本版と収録内容が異なる場合がございます。漫画内の告知等は過去のものとなりますので、ご注意くだ"&amp;"さい。】")</f>
        <v>親が決めた政略結婚とはいえ、相手を子供の頃から恋い慕っている伯爵令嬢のクロエ。ところが、婚約者であるその男性、オルドランド侯爵家の嫡男エルネストは、最終的にクロエではなく妹のエミリィを選ぶ。残酷な現実に打ちひしがれるクロエだが、そんな彼女にシスレーユ公爵家のレオネルが突然結婚を申し込んできて――。不遇な伯爵令嬢と愛を知らない小公爵の、契約結婚からはじまる執着×溺愛ストーリー！【本商品は単話コンテンツとなります。単行本版と収録内容が異なる場合がございます。漫画内の告知等は過去のものとなりますので、ご注意ください。】</v>
      </c>
      <c r="W1146" s="14"/>
      <c r="X1146" s="14" t="str">
        <f>IFERROR(__xludf.DUMMYFUNCTION("""COMPUTED_VALUE"""),"有")</f>
        <v>有</v>
      </c>
      <c r="Y1146" s="8" t="str">
        <f>IFERROR(__xludf.DUMMYFUNCTION("""COMPUTED_VALUE"""),"2024/3/31まで1巻無料")</f>
        <v>2024/3/31まで1巻無料</v>
      </c>
      <c r="Z1146" s="7"/>
      <c r="AA1146" s="7"/>
      <c r="AB1146" s="7"/>
    </row>
    <row r="1147" ht="15.75" customHeight="1">
      <c r="A1147" s="26">
        <f>IFERROR(__xludf.DUMMYFUNCTION("""COMPUTED_VALUE"""),2928.0)</f>
        <v>2928</v>
      </c>
      <c r="B1147" s="22" t="str">
        <f>IFERROR(__xludf.DUMMYFUNCTION("""COMPUTED_VALUE"""),"確定")</f>
        <v>確定</v>
      </c>
      <c r="C1147" s="28">
        <f>IFERROR(__xludf.DUMMYFUNCTION("""COMPUTED_VALUE"""),45327.0)</f>
        <v>45327</v>
      </c>
      <c r="D1147" s="28">
        <f>IFERROR(__xludf.DUMMYFUNCTION("""COMPUTED_VALUE"""),45336.0)</f>
        <v>45336</v>
      </c>
      <c r="E1147" s="31">
        <f>IFERROR(__xludf.DUMMYFUNCTION("""COMPUTED_VALUE"""),287116.0)</f>
        <v>287116</v>
      </c>
      <c r="F1147" s="22" t="str">
        <f>IFERROR(__xludf.DUMMYFUNCTION("""COMPUTED_VALUE"""),"ウソつき夫婦のあやかし婚姻事情～旦那さまは最強の天邪鬼!?～【連載版】")</f>
        <v>ウソつき夫婦のあやかし婚姻事情～旦那さまは最強の天邪鬼!?～【連載版】</v>
      </c>
      <c r="G1147" s="20" t="str">
        <f>IFERROR(__xludf.DUMMYFUNCTION("""COMPUTED_VALUE"""),"1～3")</f>
        <v>1～3</v>
      </c>
      <c r="H1147" s="22" t="str">
        <f>IFERROR(__xludf.DUMMYFUNCTION("""COMPUTED_VALUE"""),"御巫史・編乃肌・漣ミサ")</f>
        <v>御巫史・編乃肌・漣ミサ</v>
      </c>
      <c r="I1147" s="22" t="str">
        <f>IFERROR(__xludf.DUMMYFUNCTION("""COMPUTED_VALUE"""),"少女")</f>
        <v>少女</v>
      </c>
      <c r="J1147" s="22"/>
      <c r="K1147" s="22"/>
      <c r="L1147" s="22" t="str">
        <f>IFERROR(__xludf.DUMMYFUNCTION("""COMPUTED_VALUE"""),"一迅社")</f>
        <v>一迅社</v>
      </c>
      <c r="M1147" s="23">
        <f>IFERROR(__xludf.DUMMYFUNCTION("""COMPUTED_VALUE"""),45352.0)</f>
        <v>45352</v>
      </c>
      <c r="N1147" s="23">
        <f>IFERROR(__xludf.DUMMYFUNCTION("""COMPUTED_VALUE"""),45443.0)</f>
        <v>45443</v>
      </c>
      <c r="O1147" s="20"/>
      <c r="P1147" s="32" t="str">
        <f>IFERROR(__xludf.DUMMYFUNCTION("""COMPUTED_VALUE"""),"否")</f>
        <v>否</v>
      </c>
      <c r="Q1147" s="30"/>
      <c r="R1147" s="22"/>
      <c r="S1147" s="22" t="str">
        <f>IFERROR(__xludf.DUMMYFUNCTION("""COMPUTED_VALUE"""),"20240205_一迅社_3月新作")</f>
        <v>20240205_一迅社_3月新作</v>
      </c>
      <c r="T1147" s="22" t="str">
        <f>IFERROR(__xludf.DUMMYFUNCTION("""COMPUTED_VALUE"""),"格納済み")</f>
        <v>格納済み</v>
      </c>
      <c r="U1147" s="15" t="str">
        <f>IFERROR(__xludf.DUMMYFUNCTION("""COMPUTED_VALUE"""),"(C)御巫史・編乃肌・漣ミサ／一迅社")</f>
        <v>(C)御巫史・編乃肌・漣ミサ／一迅社</v>
      </c>
      <c r="V1147" s="8" t="str">
        <f>IFERROR(__xludf.DUMMYFUNCTION("""COMPUTED_VALUE"""),"スターツ出版文庫の大人気作をコミカライズ！恋愛偏差値ゼロOL×天邪鬼なイケメン上司…ワケあって、偽装夫婦始めます――!?【STORY】とある事情で恋愛偏差値はゼロ、仕事に生きる玲央奈。そんな彼女を見かねた従姉妹が勝手に組んだお見合いに現れたのは、会社の上司・天野だった。しかも、彼の正体は『天邪鬼の半妖』ってどういうこと!?「これは取引だ。困っているんだろ？ その呪いのせいで」偽の夫婦生活が始まったものの、ツンデレな天野の言動はつかみどころがなくて……。「愛しているよ、俺のお嫁さん」「ウソですね、旦那さま」"&amp;"これは、ウソつきな2人が、本当の夫婦になるまでのお話。【本商品は単話コンテンツとなります。単行本版と収録内容が異なる場合がございます。漫画内の告知等は過去のものとなりますので、ご注意ください。】")</f>
        <v>スターツ出版文庫の大人気作をコミカライズ！恋愛偏差値ゼロOL×天邪鬼なイケメン上司…ワケあって、偽装夫婦始めます――!?【STORY】とある事情で恋愛偏差値はゼロ、仕事に生きる玲央奈。そんな彼女を見かねた従姉妹が勝手に組んだお見合いに現れたのは、会社の上司・天野だった。しかも、彼の正体は『天邪鬼の半妖』ってどういうこと!?「これは取引だ。困っているんだろ？ その呪いのせいで」偽の夫婦生活が始まったものの、ツンデレな天野の言動はつかみどころがなくて……。「愛しているよ、俺のお嫁さん」「ウソですね、旦那さま」これは、ウソつきな2人が、本当の夫婦になるまでのお話。【本商品は単話コンテンツとなります。単行本版と収録内容が異なる場合がございます。漫画内の告知等は過去のものとなりますので、ご注意ください。】</v>
      </c>
      <c r="W1147" s="14"/>
      <c r="X1147" s="14" t="str">
        <f>IFERROR(__xludf.DUMMYFUNCTION("""COMPUTED_VALUE"""),"有")</f>
        <v>有</v>
      </c>
      <c r="Y1147" s="8" t="str">
        <f>IFERROR(__xludf.DUMMYFUNCTION("""COMPUTED_VALUE"""),"2024/5/31まで1巻無料")</f>
        <v>2024/5/31まで1巻無料</v>
      </c>
      <c r="Z1147" s="7"/>
      <c r="AA1147" s="7"/>
      <c r="AB1147" s="7"/>
    </row>
    <row r="1148" ht="15.75" customHeight="1">
      <c r="A1148" s="26">
        <f>IFERROR(__xludf.DUMMYFUNCTION("""COMPUTED_VALUE"""),2936.0)</f>
        <v>2936</v>
      </c>
      <c r="B1148" s="22" t="str">
        <f>IFERROR(__xludf.DUMMYFUNCTION("""COMPUTED_VALUE"""),"確定")</f>
        <v>確定</v>
      </c>
      <c r="C1148" s="28">
        <f>IFERROR(__xludf.DUMMYFUNCTION("""COMPUTED_VALUE"""),45328.0)</f>
        <v>45328</v>
      </c>
      <c r="D1148" s="28">
        <f>IFERROR(__xludf.DUMMYFUNCTION("""COMPUTED_VALUE"""),45336.0)</f>
        <v>45336</v>
      </c>
      <c r="E1148" s="31">
        <f>IFERROR(__xludf.DUMMYFUNCTION("""COMPUTED_VALUE"""),286987.0)</f>
        <v>286987</v>
      </c>
      <c r="F1148" s="22" t="str">
        <f>IFERROR(__xludf.DUMMYFUNCTION("""COMPUTED_VALUE"""),"ハイカラ乙女の最期の嫁入り～媚薬を使って大正紳士に溺愛されます～")</f>
        <v>ハイカラ乙女の最期の嫁入り～媚薬を使って大正紳士に溺愛されます～</v>
      </c>
      <c r="G1148" s="20" t="str">
        <f>IFERROR(__xludf.DUMMYFUNCTION("""COMPUTED_VALUE"""),"1~3")</f>
        <v>1~3</v>
      </c>
      <c r="H1148" s="22" t="str">
        <f>IFERROR(__xludf.DUMMYFUNCTION("""COMPUTED_VALUE"""),"すのまた壱夜")</f>
        <v>すのまた壱夜</v>
      </c>
      <c r="I1148" s="22" t="str">
        <f>IFERROR(__xludf.DUMMYFUNCTION("""COMPUTED_VALUE"""),"女性")</f>
        <v>女性</v>
      </c>
      <c r="J1148" s="22"/>
      <c r="K1148" s="22"/>
      <c r="L1148" s="22" t="str">
        <f>IFERROR(__xludf.DUMMYFUNCTION("""COMPUTED_VALUE"""),"MUGENUP")</f>
        <v>MUGENUP</v>
      </c>
      <c r="M1148" s="23">
        <f>IFERROR(__xludf.DUMMYFUNCTION("""COMPUTED_VALUE"""),45346.0)</f>
        <v>45346</v>
      </c>
      <c r="N1148" s="23">
        <f>IFERROR(__xludf.DUMMYFUNCTION("""COMPUTED_VALUE"""),45435.0)</f>
        <v>45435</v>
      </c>
      <c r="O1148" s="20"/>
      <c r="P1148" s="29" t="str">
        <f>IFERROR(__xludf.DUMMYFUNCTION("""COMPUTED_VALUE"""),"可")</f>
        <v>可</v>
      </c>
      <c r="Q1148" s="22" t="str">
        <f>IFERROR(__xludf.DUMMYFUNCTION("""COMPUTED_VALUE"""),"広告コミットOK(2/8)")</f>
        <v>広告コミットOK(2/8)</v>
      </c>
      <c r="R1148" s="22" t="str">
        <f>IFERROR(__xludf.DUMMYFUNCTION("""COMPUTED_VALUE"""),"格納済み")</f>
        <v>格納済み</v>
      </c>
      <c r="S1148" s="22" t="str">
        <f>IFERROR(__xludf.DUMMYFUNCTION("""COMPUTED_VALUE"""),"20240216_MUGENUP_ハイカラ乙女の最期の嫁入り～媚薬を使って大正紳士に溺愛されます～（MUGENUP）")</f>
        <v>20240216_MUGENUP_ハイカラ乙女の最期の嫁入り～媚薬を使って大正紳士に溺愛されます～（MUGENUP）</v>
      </c>
      <c r="T1148" s="22" t="str">
        <f>IFERROR(__xludf.DUMMYFUNCTION("""COMPUTED_VALUE"""),"格納済み")</f>
        <v>格納済み</v>
      </c>
      <c r="U1148" s="15" t="str">
        <f>IFERROR(__xludf.DUMMYFUNCTION("""COMPUTED_VALUE"""),"（C）すのまた壱夜／MUGENUP")</f>
        <v>（C）すのまた壱夜／MUGENUP</v>
      </c>
      <c r="V1148" s="8" t="str">
        <f>IFERROR(__xludf.DUMMYFUNCTION("""COMPUTED_VALUE"""),"真実の恋が叶う果実、“恋蔓”の実。それは強力な催淫効果があり媚薬の原料となる。
帝国東都の森に棲み恋蔓を育てている“森人（もりびと）”の木実（このみ）。ある日、木実の棲む森が売却されるという知らせが持ち主である大森家からが届く。森を離れて生きることができない森人の木実は、新しく森のオーナーとなった大森家の伊吹（いぶき）に森の売却を考え直すよう進言するが、本家の決定を覆すのは難しいと告げられてしまう。
伊吹と結婚し大森家にとって欠かせない存在となれば、森を残してもらえるかもしれない。木実は考え抜いた末、"&amp;"自身が生きるために、恋蔓の実を使って伊吹を篭絡することを決意するが──")</f>
        <v>真実の恋が叶う果実、“恋蔓”の実。それは強力な催淫効果があり媚薬の原料となる。
帝国東都の森に棲み恋蔓を育てている“森人（もりびと）”の木実（このみ）。ある日、木実の棲む森が売却されるという知らせが持ち主である大森家からが届く。森を離れて生きることができない森人の木実は、新しく森のオーナーとなった大森家の伊吹（いぶき）に森の売却を考え直すよう進言するが、本家の決定を覆すのは難しいと告げられてしまう。
伊吹と結婚し大森家にとって欠かせない存在となれば、森を残してもらえるかもしれない。木実は考え抜いた末、自身が生きるために、恋蔓の実を使って伊吹を篭絡することを決意するが──</v>
      </c>
      <c r="W1148" s="14"/>
      <c r="X1148" s="14" t="str">
        <f>IFERROR(__xludf.DUMMYFUNCTION("""COMPUTED_VALUE"""),"有")</f>
        <v>有</v>
      </c>
      <c r="Y1148" s="8" t="str">
        <f>IFERROR(__xludf.DUMMYFUNCTION("""COMPUTED_VALUE"""),"2024/3/10まで1巻無料")</f>
        <v>2024/3/10まで1巻無料</v>
      </c>
      <c r="Z1148" s="7"/>
      <c r="AA1148" s="7"/>
      <c r="AB1148" s="7"/>
    </row>
    <row r="1149" ht="99.75" customHeight="1">
      <c r="A1149" s="26">
        <f>IFERROR(__xludf.DUMMYFUNCTION("""COMPUTED_VALUE"""),2941.0)</f>
        <v>2941</v>
      </c>
      <c r="B1149" s="22" t="str">
        <f>IFERROR(__xludf.DUMMYFUNCTION("""COMPUTED_VALUE"""),"確定")</f>
        <v>確定</v>
      </c>
      <c r="C1149" s="28">
        <f>IFERROR(__xludf.DUMMYFUNCTION("""COMPUTED_VALUE"""),45329.0)</f>
        <v>45329</v>
      </c>
      <c r="D1149" s="28">
        <f>IFERROR(__xludf.DUMMYFUNCTION("""COMPUTED_VALUE"""),45331.0)</f>
        <v>45331</v>
      </c>
      <c r="E1149" s="31">
        <f>IFERROR(__xludf.DUMMYFUNCTION("""COMPUTED_VALUE"""),288228.0)</f>
        <v>288228</v>
      </c>
      <c r="F1149" s="22" t="str">
        <f>IFERROR(__xludf.DUMMYFUNCTION("""COMPUTED_VALUE"""),"身代わり姫と呪われし賢者")</f>
        <v>身代わり姫と呪われし賢者</v>
      </c>
      <c r="G1149" s="20" t="str">
        <f>IFERROR(__xludf.DUMMYFUNCTION("""COMPUTED_VALUE"""),"1～3")</f>
        <v>1～3</v>
      </c>
      <c r="H1149" s="22" t="str">
        <f>IFERROR(__xludf.DUMMYFUNCTION("""COMPUTED_VALUE"""),"貉むむ・奥乃桜子")</f>
        <v>貉むむ・奥乃桜子</v>
      </c>
      <c r="I1149" s="22" t="str">
        <f>IFERROR(__xludf.DUMMYFUNCTION("""COMPUTED_VALUE"""),"女性")</f>
        <v>女性</v>
      </c>
      <c r="J1149" s="22"/>
      <c r="K1149" s="22"/>
      <c r="L1149" s="22" t="str">
        <f>IFERROR(__xludf.DUMMYFUNCTION("""COMPUTED_VALUE"""),"集英社")</f>
        <v>集英社</v>
      </c>
      <c r="M1149" s="23">
        <f>IFERROR(__xludf.DUMMYFUNCTION("""COMPUTED_VALUE"""),45352.0)</f>
        <v>45352</v>
      </c>
      <c r="N1149" s="23">
        <f>IFERROR(__xludf.DUMMYFUNCTION("""COMPUTED_VALUE"""),45382.0)</f>
        <v>45382</v>
      </c>
      <c r="O1149" s="20"/>
      <c r="P1149" s="29" t="str">
        <f>IFERROR(__xludf.DUMMYFUNCTION("""COMPUTED_VALUE"""),"否")</f>
        <v>否</v>
      </c>
      <c r="Q1149" s="30" t="str">
        <f>IFERROR(__xludf.DUMMYFUNCTION("""COMPUTED_VALUE"""),"異世界マーガレット")</f>
        <v>異世界マーガレット</v>
      </c>
      <c r="R1149" s="22"/>
      <c r="S1149" s="22" t="str">
        <f>IFERROR(__xludf.DUMMYFUNCTION("""COMPUTED_VALUE"""),"20240207_集英社_身代わり姫と呪われし賢者")</f>
        <v>20240207_集英社_身代わり姫と呪われし賢者</v>
      </c>
      <c r="T1149" s="22" t="str">
        <f>IFERROR(__xludf.DUMMYFUNCTION("""COMPUTED_VALUE"""),"格納済み")</f>
        <v>格納済み</v>
      </c>
      <c r="U1149" s="15" t="str">
        <f>IFERROR(__xludf.DUMMYFUNCTION("""COMPUTED_VALUE"""),"(C)貉むむ・奥乃桜子／集英社")</f>
        <v>(C)貉むむ・奥乃桜子／集英社</v>
      </c>
      <c r="V1149" s="8" t="str">
        <f>IFERROR(__xludf.DUMMYFUNCTION("""COMPUTED_VALUE"""),"【目が覚めると、高貴な姫と魂が入れ替わっていて!?】平凡な町娘のリアナはある朝目覚めると、公女ファスと魂が入れ替わっていた。賢者イードにすぐさま正体を見破られたリアナは、しばらくファスの身代わりとして過ごすはめに…!?")</f>
        <v>【目が覚めると、高貴な姫と魂が入れ替わっていて!?】平凡な町娘のリアナはある朝目覚めると、公女ファスと魂が入れ替わっていた。賢者イードにすぐさま正体を見破られたリアナは、しばらくファスの身代わりとして過ごすはめに…!?</v>
      </c>
      <c r="W1149" s="14"/>
      <c r="X1149" s="14" t="str">
        <f>IFERROR(__xludf.DUMMYFUNCTION("""COMPUTED_VALUE"""),"有")</f>
        <v>有</v>
      </c>
      <c r="Y1149" s="8" t="str">
        <f>IFERROR(__xludf.DUMMYFUNCTION("""COMPUTED_VALUE"""),"P8まで")</f>
        <v>P8まで</v>
      </c>
      <c r="Z1149" s="7"/>
      <c r="AA1149" s="7"/>
      <c r="AB1149" s="7"/>
    </row>
    <row r="1150" ht="15.75" customHeight="1">
      <c r="A1150" s="26">
        <f>IFERROR(__xludf.DUMMYFUNCTION("""COMPUTED_VALUE"""),2942.0)</f>
        <v>2942</v>
      </c>
      <c r="B1150" s="22" t="str">
        <f>IFERROR(__xludf.DUMMYFUNCTION("""COMPUTED_VALUE"""),"確定")</f>
        <v>確定</v>
      </c>
      <c r="C1150" s="28">
        <f>IFERROR(__xludf.DUMMYFUNCTION("""COMPUTED_VALUE"""),45330.0)</f>
        <v>45330</v>
      </c>
      <c r="D1150" s="28">
        <f>IFERROR(__xludf.DUMMYFUNCTION("""COMPUTED_VALUE"""),45331.0)</f>
        <v>45331</v>
      </c>
      <c r="E1150" s="31">
        <f>IFERROR(__xludf.DUMMYFUNCTION("""COMPUTED_VALUE"""),288232.0)</f>
        <v>288232</v>
      </c>
      <c r="F1150" s="22" t="str">
        <f>IFERROR(__xludf.DUMMYFUNCTION("""COMPUTED_VALUE"""),"夫のための不倫セックス～人妻ギャル、元同級生の陰キャち〇ぽで堕とされる～（フルカラー）")</f>
        <v>夫のための不倫セックス～人妻ギャル、元同級生の陰キャち〇ぽで堕とされる～（フルカラー）</v>
      </c>
      <c r="G1150" s="20" t="str">
        <f>IFERROR(__xludf.DUMMYFUNCTION("""COMPUTED_VALUE"""),"1～3")</f>
        <v>1～3</v>
      </c>
      <c r="H1150" s="22" t="str">
        <f>IFERROR(__xludf.DUMMYFUNCTION("""COMPUTED_VALUE"""),"ウェス・ハートランド")</f>
        <v>ウェス・ハートランド</v>
      </c>
      <c r="I1150" s="22" t="str">
        <f>IFERROR(__xludf.DUMMYFUNCTION("""COMPUTED_VALUE"""),"オトナ")</f>
        <v>オトナ</v>
      </c>
      <c r="J1150" s="22"/>
      <c r="K1150" s="22"/>
      <c r="L1150" s="22" t="str">
        <f>IFERROR(__xludf.DUMMYFUNCTION("""COMPUTED_VALUE"""),"FILL-IN")</f>
        <v>FILL-IN</v>
      </c>
      <c r="M1150" s="23">
        <f>IFERROR(__xludf.DUMMYFUNCTION("""COMPUTED_VALUE"""),45359.0)</f>
        <v>45359</v>
      </c>
      <c r="N1150" s="23">
        <f>IFERROR(__xludf.DUMMYFUNCTION("""COMPUTED_VALUE"""),45386.0)</f>
        <v>45386</v>
      </c>
      <c r="O1150" s="20"/>
      <c r="P1150" s="32" t="str">
        <f>IFERROR(__xludf.DUMMYFUNCTION("""COMPUTED_VALUE"""),"可")</f>
        <v>可</v>
      </c>
      <c r="Q1150" s="30"/>
      <c r="R1150" s="22"/>
      <c r="S1150" s="22" t="str">
        <f>IFERROR(__xludf.DUMMYFUNCTION("""COMPUTED_VALUE"""),"20240208_ライドオン_夫のための不倫セックス")</f>
        <v>20240208_ライドオン_夫のための不倫セックス</v>
      </c>
      <c r="T1150" s="22" t="str">
        <f>IFERROR(__xludf.DUMMYFUNCTION("""COMPUTED_VALUE"""),"格納済み")</f>
        <v>格納済み</v>
      </c>
      <c r="U1150" s="15" t="str">
        <f>IFERROR(__xludf.DUMMYFUNCTION("""COMPUTED_VALUE"""),"© ウェス・ハートランド /FILL-IN")</f>
        <v>© ウェス・ハートランド /FILL-IN</v>
      </c>
      <c r="V1150" s="8" t="str">
        <f>IFERROR(__xludf.DUMMYFUNCTION("""COMPUTED_VALUE"""),"「こんなの初めてっ！またいっぱいイッちゃうぅ！」
普段のセックスで満たされないカラダに大きいモノが奥までねじ込まれて…！
――夫が勤めていた会社が倒産したカナエ。
次の勤め先が見つかるまで休みなしで働くという夫を諫め、カナエはかつてから興味のあったフードデリバリーを始めることにしたが…
「ひ、久しぶり…」
配達先のマンションで出くわしたのは、学生時代に告白されて振った元同級生の陰キャだった…！
高額なチップの代わりに身体を要求してくる陰キャに対し、カナエは罪悪感に苛まれつつも身体を許してしまう"&amp;"。
早漏な夫とのセックスでは満たされなかったカナエの身体は、巨大な陰キャチ〇ポでかつてない快楽に書き換えられていく――！")</f>
        <v>「こんなの初めてっ！またいっぱいイッちゃうぅ！」
普段のセックスで満たされないカラダに大きいモノが奥までねじ込まれて…！
――夫が勤めていた会社が倒産したカナエ。
次の勤め先が見つかるまで休みなしで働くという夫を諫め、カナエはかつてから興味のあったフードデリバリーを始めることにしたが…
「ひ、久しぶり…」
配達先のマンションで出くわしたのは、学生時代に告白されて振った元同級生の陰キャだった…！
高額なチップの代わりに身体を要求してくる陰キャに対し、カナエは罪悪感に苛まれつつも身体を許してしまう。
早漏な夫とのセックスでは満たされなかったカナエの身体は、巨大な陰キャチ〇ポでかつてない快楽に書き換えられていく――！</v>
      </c>
      <c r="W1150" s="14"/>
      <c r="X1150" s="14" t="str">
        <f>IFERROR(__xludf.DUMMYFUNCTION("""COMPUTED_VALUE"""),"有")</f>
        <v>有</v>
      </c>
      <c r="Y1150" s="8" t="str">
        <f>IFERROR(__xludf.DUMMYFUNCTION("""COMPUTED_VALUE"""),"P9まで")</f>
        <v>P9まで</v>
      </c>
      <c r="Z1150" s="7"/>
      <c r="AA1150" s="7"/>
      <c r="AB1150" s="7"/>
    </row>
    <row r="1151" ht="15.75" customHeight="1">
      <c r="A1151" s="26">
        <f>IFERROR(__xludf.DUMMYFUNCTION("""COMPUTED_VALUE"""),2943.0)</f>
        <v>2943</v>
      </c>
      <c r="B1151" s="22" t="str">
        <f>IFERROR(__xludf.DUMMYFUNCTION("""COMPUTED_VALUE"""),"確定")</f>
        <v>確定</v>
      </c>
      <c r="C1151" s="28">
        <f>IFERROR(__xludf.DUMMYFUNCTION("""COMPUTED_VALUE"""),45330.0)</f>
        <v>45330</v>
      </c>
      <c r="D1151" s="28">
        <f>IFERROR(__xludf.DUMMYFUNCTION("""COMPUTED_VALUE"""),45331.0)</f>
        <v>45331</v>
      </c>
      <c r="E1151" s="31">
        <f>IFERROR(__xludf.DUMMYFUNCTION("""COMPUTED_VALUE"""),289187.0)</f>
        <v>289187</v>
      </c>
      <c r="F1151" s="22" t="str">
        <f>IFERROR(__xludf.DUMMYFUNCTION("""COMPUTED_VALUE"""),"オオカミ公爵は聖女を脅し結婚したはずが溺愛が止まりません")</f>
        <v>オオカミ公爵は聖女を脅し結婚したはずが溺愛が止まりません</v>
      </c>
      <c r="G1151" s="11" t="str">
        <f>IFERROR(__xludf.DUMMYFUNCTION("""COMPUTED_VALUE"""),"1～4")</f>
        <v>1～4</v>
      </c>
      <c r="H1151" s="22" t="str">
        <f>IFERROR(__xludf.DUMMYFUNCTION("""COMPUTED_VALUE"""),"丸田丹塗")</f>
        <v>丸田丹塗</v>
      </c>
      <c r="I1151" s="22" t="str">
        <f>IFERROR(__xludf.DUMMYFUNCTION("""COMPUTED_VALUE"""),"女性")</f>
        <v>女性</v>
      </c>
      <c r="J1151" s="22"/>
      <c r="K1151" s="22"/>
      <c r="L1151" s="22" t="str">
        <f>IFERROR(__xludf.DUMMYFUNCTION("""COMPUTED_VALUE"""),"リブレ")</f>
        <v>リブレ</v>
      </c>
      <c r="M1151" s="23">
        <f>IFERROR(__xludf.DUMMYFUNCTION("""COMPUTED_VALUE"""),45379.0)</f>
        <v>45379</v>
      </c>
      <c r="N1151" s="23">
        <f>IFERROR(__xludf.DUMMYFUNCTION("""COMPUTED_VALUE"""),45469.0)</f>
        <v>45469</v>
      </c>
      <c r="O1151" s="20"/>
      <c r="P1151" s="29" t="str">
        <f>IFERROR(__xludf.DUMMYFUNCTION("""COMPUTED_VALUE"""),"否")</f>
        <v>否</v>
      </c>
      <c r="Q1151" s="30" t="str">
        <f>IFERROR(__xludf.DUMMYFUNCTION("""COMPUTED_VALUE"""),"協業レーベル『バニラブ×シーモア』作品です。")</f>
        <v>協業レーベル『バニラブ×シーモア』作品です。</v>
      </c>
      <c r="R1151" s="22"/>
      <c r="S1151" s="22" t="str">
        <f>IFERROR(__xludf.DUMMYFUNCTION("""COMPUTED_VALUE"""),"20240208_リブレ_オオカミ公爵は聖女を脅し結婚したはずが溺愛が止まりません")</f>
        <v>20240208_リブレ_オオカミ公爵は聖女を脅し結婚したはずが溺愛が止まりません</v>
      </c>
      <c r="T1151" s="22" t="str">
        <f>IFERROR(__xludf.DUMMYFUNCTION("""COMPUTED_VALUE"""),"格納済み")</f>
        <v>格納済み</v>
      </c>
      <c r="U1151" s="15" t="str">
        <f>IFERROR(__xludf.DUMMYFUNCTION("""COMPUTED_VALUE"""),"(C)丸田丹塗/libre")</f>
        <v>(C)丸田丹塗/libre</v>
      </c>
      <c r="V1151" s="8" t="str">
        <f>IFERROR(__xludf.DUMMYFUNCTION("""COMPUTED_VALUE"""),"「何が相手でもあなたを必ず守ります」
オオカミ公爵に脅されて結婚したのに、溺愛が重すぎます！
その恐ろしい姿のせいで魔女と噂される辺境伯令嬢のジュリア。
実は極度の口下手なため婚約者は見つからず、人間どころか大好きな動物にまで怖がられ悩んでいた。
そんなある日、森で道に迷い熊に襲われ、人狼のハーベイに助けられる。
なぜか彼にいきなり脅され結婚を迫られてしまい!?
だけど恐れていた新婚生活は予想外に甘く、彼の執着愛が止まらなくて…オオカミ公爵と人見知り令嬢の運命の溺愛婚！
※本書は「バニラ"&amp;"ブvol.48」に収録されております。")</f>
        <v>「何が相手でもあなたを必ず守ります」
オオカミ公爵に脅されて結婚したのに、溺愛が重すぎます！
その恐ろしい姿のせいで魔女と噂される辺境伯令嬢のジュリア。
実は極度の口下手なため婚約者は見つからず、人間どころか大好きな動物にまで怖がられ悩んでいた。
そんなある日、森で道に迷い熊に襲われ、人狼のハーベイに助けられる。
なぜか彼にいきなり脅され結婚を迫られてしまい!?
だけど恐れていた新婚生活は予想外に甘く、彼の執着愛が止まらなくて…オオカミ公爵と人見知り令嬢の運命の溺愛婚！
※本書は「バニラブvol.48」に収録されております。</v>
      </c>
      <c r="W1151" s="14"/>
      <c r="X1151" s="14" t="str">
        <f>IFERROR(__xludf.DUMMYFUNCTION("""COMPUTED_VALUE"""),"有")</f>
        <v>有</v>
      </c>
      <c r="Y1151" s="8" t="str">
        <f>IFERROR(__xludf.DUMMYFUNCTION("""COMPUTED_VALUE"""),"2024/4/10まで1巻無料")</f>
        <v>2024/4/10まで1巻無料</v>
      </c>
      <c r="Z1151" s="7"/>
      <c r="AA1151" s="7"/>
      <c r="AB1151" s="7"/>
    </row>
    <row r="1152" ht="15.75" customHeight="1">
      <c r="A1152" s="26">
        <f>IFERROR(__xludf.DUMMYFUNCTION("""COMPUTED_VALUE"""),2944.0)</f>
        <v>2944</v>
      </c>
      <c r="B1152" s="22" t="str">
        <f>IFERROR(__xludf.DUMMYFUNCTION("""COMPUTED_VALUE"""),"確定")</f>
        <v>確定</v>
      </c>
      <c r="C1152" s="28">
        <f>IFERROR(__xludf.DUMMYFUNCTION("""COMPUTED_VALUE"""),45331.0)</f>
        <v>45331</v>
      </c>
      <c r="D1152" s="28">
        <f>IFERROR(__xludf.DUMMYFUNCTION("""COMPUTED_VALUE"""),45336.0)</f>
        <v>45336</v>
      </c>
      <c r="E1152" s="31">
        <f>IFERROR(__xludf.DUMMYFUNCTION("""COMPUTED_VALUE"""),289388.0)</f>
        <v>289388</v>
      </c>
      <c r="F1152" s="22" t="str">
        <f>IFERROR(__xludf.DUMMYFUNCTION("""COMPUTED_VALUE"""),"ボールアンドチェイン")</f>
        <v>ボールアンドチェイン</v>
      </c>
      <c r="G1152" s="11" t="str">
        <f>IFERROR(__xludf.DUMMYFUNCTION("""COMPUTED_VALUE"""),"1～9")</f>
        <v>1～9</v>
      </c>
      <c r="H1152" s="22" t="str">
        <f>IFERROR(__xludf.DUMMYFUNCTION("""COMPUTED_VALUE"""),"南Q太")</f>
        <v>南Q太</v>
      </c>
      <c r="I1152" s="22" t="str">
        <f>IFERROR(__xludf.DUMMYFUNCTION("""COMPUTED_VALUE"""),"女性")</f>
        <v>女性</v>
      </c>
      <c r="J1152" s="22"/>
      <c r="K1152" s="22"/>
      <c r="L1152" s="22" t="str">
        <f>IFERROR(__xludf.DUMMYFUNCTION("""COMPUTED_VALUE"""),"マガジンハウス")</f>
        <v>マガジンハウス</v>
      </c>
      <c r="M1152" s="23">
        <f>IFERROR(__xludf.DUMMYFUNCTION("""COMPUTED_VALUE"""),45382.0)</f>
        <v>45382</v>
      </c>
      <c r="N1152" s="23">
        <f>IFERROR(__xludf.DUMMYFUNCTION("""COMPUTED_VALUE"""),45411.0)</f>
        <v>45411</v>
      </c>
      <c r="O1152" s="20"/>
      <c r="P1152" s="29" t="str">
        <f>IFERROR(__xludf.DUMMYFUNCTION("""COMPUTED_VALUE"""),"可")</f>
        <v>可</v>
      </c>
      <c r="Q1152" s="22" t="str">
        <f>IFERROR(__xludf.DUMMYFUNCTION("""COMPUTED_VALUE"""),"9話素材は、3月以降")</f>
        <v>9話素材は、3月以降</v>
      </c>
      <c r="R1152" s="22" t="str">
        <f>IFERROR(__xludf.DUMMYFUNCTION("""COMPUTED_VALUE"""),"格納済")</f>
        <v>格納済</v>
      </c>
      <c r="S1152" s="22" t="str">
        <f>IFERROR(__xludf.DUMMYFUNCTION("""COMPUTED_VALUE"""),"20240209_マガジンハウス_ボールアンドチェイン")</f>
        <v>20240209_マガジンハウス_ボールアンドチェイン</v>
      </c>
      <c r="T1152" s="22" t="str">
        <f>IFERROR(__xludf.DUMMYFUNCTION("""COMPUTED_VALUE"""),"格納済み")</f>
        <v>格納済み</v>
      </c>
      <c r="U1152" s="15" t="str">
        <f>IFERROR(__xludf.DUMMYFUNCTION("""COMPUTED_VALUE"""),"(C)南Q太/マガジンハウス")</f>
        <v>(C)南Q太/マガジンハウス</v>
      </c>
      <c r="V1152" s="8" t="str">
        <f>IFERROR(__xludf.DUMMYFUNCTION("""COMPUTED_VALUE"""),"結婚と、離婚。
人生の岐路に立たされた
二人を描いた
南Q太最新作。
【この物語は…】
冷え切った夫婦関係に悩む〈あや〉。
性自認に揺らぐ中、結婚を控える〈けいと〉。
まったく接点のなかった二人の人生が交差するとき…
「女」だとか「妻」だとか。「普通」だとか「常識」だとか。
自分を縛るものと闘い続ける「私たち」の物語。
行き詰まりを感じる日々。
自分の本心に向き合ったとき、人生が動き出す。")</f>
        <v>結婚と、離婚。
人生の岐路に立たされた
二人を描いた
南Q太最新作。
【この物語は…】
冷え切った夫婦関係に悩む〈あや〉。
性自認に揺らぐ中、結婚を控える〈けいと〉。
まったく接点のなかった二人の人生が交差するとき…
「女」だとか「妻」だとか。「普通」だとか「常識」だとか。
自分を縛るものと闘い続ける「私たち」の物語。
行き詰まりを感じる日々。
自分の本心に向き合ったとき、人生が動き出す。</v>
      </c>
      <c r="W1152" s="14"/>
      <c r="X1152" s="14" t="str">
        <f>IFERROR(__xludf.DUMMYFUNCTION("""COMPUTED_VALUE"""),"有")</f>
        <v>有</v>
      </c>
      <c r="Y1152" s="8" t="str">
        <f>IFERROR(__xludf.DUMMYFUNCTION("""COMPUTED_VALUE"""),"2024/4/29まで1巻無料")</f>
        <v>2024/4/29まで1巻無料</v>
      </c>
      <c r="Z1152" s="7"/>
      <c r="AA1152" s="7"/>
      <c r="AB1152" s="7"/>
    </row>
    <row r="1153" ht="15.75" customHeight="1">
      <c r="A1153" s="26">
        <f>IFERROR(__xludf.DUMMYFUNCTION("""COMPUTED_VALUE"""),2945.0)</f>
        <v>2945</v>
      </c>
      <c r="B1153" s="22" t="str">
        <f>IFERROR(__xludf.DUMMYFUNCTION("""COMPUTED_VALUE"""),"確定")</f>
        <v>確定</v>
      </c>
      <c r="C1153" s="28">
        <f>IFERROR(__xludf.DUMMYFUNCTION("""COMPUTED_VALUE"""),45331.0)</f>
        <v>45331</v>
      </c>
      <c r="D1153" s="28">
        <f>IFERROR(__xludf.DUMMYFUNCTION("""COMPUTED_VALUE"""),45336.0)</f>
        <v>45336</v>
      </c>
      <c r="E1153" s="31">
        <f>IFERROR(__xludf.DUMMYFUNCTION("""COMPUTED_VALUE"""),289385.0)</f>
        <v>289385</v>
      </c>
      <c r="F1153" s="22" t="str">
        <f>IFERROR(__xludf.DUMMYFUNCTION("""COMPUTED_VALUE"""),"40歳 典子のリスタート！")</f>
        <v>40歳 典子のリスタート！</v>
      </c>
      <c r="G1153" s="11" t="str">
        <f>IFERROR(__xludf.DUMMYFUNCTION("""COMPUTED_VALUE"""),"1～4")</f>
        <v>1～4</v>
      </c>
      <c r="H1153" s="22" t="str">
        <f>IFERROR(__xludf.DUMMYFUNCTION("""COMPUTED_VALUE"""),"此処田ヨー子・穂科エミ")</f>
        <v>此処田ヨー子・穂科エミ</v>
      </c>
      <c r="I1153" s="22" t="str">
        <f>IFERROR(__xludf.DUMMYFUNCTION("""COMPUTED_VALUE"""),"女性")</f>
        <v>女性</v>
      </c>
      <c r="J1153" s="22"/>
      <c r="K1153" s="22"/>
      <c r="L1153" s="22" t="str">
        <f>IFERROR(__xludf.DUMMYFUNCTION("""COMPUTED_VALUE"""),"マガジンハウス")</f>
        <v>マガジンハウス</v>
      </c>
      <c r="M1153" s="23">
        <f>IFERROR(__xludf.DUMMYFUNCTION("""COMPUTED_VALUE"""),45382.0)</f>
        <v>45382</v>
      </c>
      <c r="N1153" s="23">
        <f>IFERROR(__xludf.DUMMYFUNCTION("""COMPUTED_VALUE"""),45411.0)</f>
        <v>45411</v>
      </c>
      <c r="O1153" s="20"/>
      <c r="P1153" s="29" t="str">
        <f>IFERROR(__xludf.DUMMYFUNCTION("""COMPUTED_VALUE"""),"可")</f>
        <v>可</v>
      </c>
      <c r="Q1153" s="22" t="str">
        <f>IFERROR(__xludf.DUMMYFUNCTION("""COMPUTED_VALUE"""),"格納済5話の配信は、4/30")</f>
        <v>格納済5話の配信は、4/30</v>
      </c>
      <c r="R1153" s="22" t="str">
        <f>IFERROR(__xludf.DUMMYFUNCTION("""COMPUTED_VALUE"""),"格納済")</f>
        <v>格納済</v>
      </c>
      <c r="S1153" s="22" t="str">
        <f>IFERROR(__xludf.DUMMYFUNCTION("""COMPUTED_VALUE"""),"2020209_マガジンハウス_40歳典子のリスタート！")</f>
        <v>2020209_マガジンハウス_40歳典子のリスタート！</v>
      </c>
      <c r="T1153" s="22" t="str">
        <f>IFERROR(__xludf.DUMMYFUNCTION("""COMPUTED_VALUE"""),"格納済み")</f>
        <v>格納済み</v>
      </c>
      <c r="U1153" s="15" t="str">
        <f>IFERROR(__xludf.DUMMYFUNCTION("""COMPUTED_VALUE"""),"(C)此処田ヨー子／穂科エミ／マガジンハウス")</f>
        <v>(C)此処田ヨー子／穂科エミ／マガジンハウス</v>
      </c>
      <c r="V1153" s="8" t="str">
        <f>IFERROR(__xludf.DUMMYFUNCTION("""COMPUTED_VALUE"""),"「ワタシ」の人生を「ワタシ」らしく生きるために、リスタートします！
夫の精神的DVに耐え、家事と育児に専念する日々を過ごしてきた主人公・金崎典子（かなさきのりこ）。
息子が20歳を迎えたことをきっかけに離婚を決め、慰謝料を犠牲にしてやっと、地獄のような結婚生活から解放された。
心機一転、一人暮らしを始め、生活のためにカフェでバイトをすることに。
そこで出会った息子と同世代の彼。
新しい仕事、人間関係、典子の新生活にはどんな展開が待っているのか……！？
幸せに向かって自分らしく生きる"&amp;"ことを諦めない人に読んでほしい漫画です。")</f>
        <v>「ワタシ」の人生を「ワタシ」らしく生きるために、リスタートします！
夫の精神的DVに耐え、家事と育児に専念する日々を過ごしてきた主人公・金崎典子（かなさきのりこ）。
息子が20歳を迎えたことをきっかけに離婚を決め、慰謝料を犠牲にしてやっと、地獄のような結婚生活から解放された。
心機一転、一人暮らしを始め、生活のためにカフェでバイトをすることに。
そこで出会った息子と同世代の彼。
新しい仕事、人間関係、典子の新生活にはどんな展開が待っているのか……！？
幸せに向かって自分らしく生きることを諦めない人に読んでほしい漫画です。</v>
      </c>
      <c r="W1153" s="14"/>
      <c r="X1153" s="14" t="str">
        <f>IFERROR(__xludf.DUMMYFUNCTION("""COMPUTED_VALUE"""),"有")</f>
        <v>有</v>
      </c>
      <c r="Y1153" s="8" t="str">
        <f>IFERROR(__xludf.DUMMYFUNCTION("""COMPUTED_VALUE"""),"2024/4/29まで1巻無料")</f>
        <v>2024/4/29まで1巻無料</v>
      </c>
      <c r="Z1153" s="7"/>
      <c r="AA1153" s="7"/>
      <c r="AB1153" s="7"/>
    </row>
    <row r="1154" ht="15.75" customHeight="1">
      <c r="A1154" s="26">
        <f>IFERROR(__xludf.DUMMYFUNCTION("""COMPUTED_VALUE"""),2946.0)</f>
        <v>2946</v>
      </c>
      <c r="B1154" s="22" t="str">
        <f>IFERROR(__xludf.DUMMYFUNCTION("""COMPUTED_VALUE"""),"確定")</f>
        <v>確定</v>
      </c>
      <c r="C1154" s="28">
        <f>IFERROR(__xludf.DUMMYFUNCTION("""COMPUTED_VALUE"""),45331.0)</f>
        <v>45331</v>
      </c>
      <c r="D1154" s="28">
        <f>IFERROR(__xludf.DUMMYFUNCTION("""COMPUTED_VALUE"""),45336.0)</f>
        <v>45336</v>
      </c>
      <c r="E1154" s="31">
        <f>IFERROR(__xludf.DUMMYFUNCTION("""COMPUTED_VALUE"""),287827.0)</f>
        <v>287827</v>
      </c>
      <c r="F1154" s="22" t="str">
        <f>IFERROR(__xludf.DUMMYFUNCTION("""COMPUTED_VALUE"""),"処女島")</f>
        <v>処女島</v>
      </c>
      <c r="G1154" s="20" t="str">
        <f>IFERROR(__xludf.DUMMYFUNCTION("""COMPUTED_VALUE"""),"1～3")</f>
        <v>1～3</v>
      </c>
      <c r="H1154" s="22" t="str">
        <f>IFERROR(__xludf.DUMMYFUNCTION("""COMPUTED_VALUE"""),"原作／粟国翼 漫画／杉島谷野")</f>
        <v>原作／粟国翼 漫画／杉島谷野</v>
      </c>
      <c r="I1154" s="22" t="str">
        <f>IFERROR(__xludf.DUMMYFUNCTION("""COMPUTED_VALUE"""),"青年")</f>
        <v>青年</v>
      </c>
      <c r="J1154" s="22"/>
      <c r="K1154" s="22"/>
      <c r="L1154" s="22" t="str">
        <f>IFERROR(__xludf.DUMMYFUNCTION("""COMPUTED_VALUE"""),"taskey")</f>
        <v>taskey</v>
      </c>
      <c r="M1154" s="23">
        <f>IFERROR(__xludf.DUMMYFUNCTION("""COMPUTED_VALUE"""),45352.0)</f>
        <v>45352</v>
      </c>
      <c r="N1154" s="33">
        <f>IFERROR(__xludf.DUMMYFUNCTION("""COMPUTED_VALUE"""),2958465.0)</f>
        <v>2958465</v>
      </c>
      <c r="O1154" s="20"/>
      <c r="P1154" s="29" t="str">
        <f>IFERROR(__xludf.DUMMYFUNCTION("""COMPUTED_VALUE"""),"可")</f>
        <v>可</v>
      </c>
      <c r="Q1154" s="30" t="str">
        <f>IFERROR(__xludf.DUMMYFUNCTION("""COMPUTED_VALUE"""),"2話で製作をお願い致します。")</f>
        <v>2話で製作をお願い致します。</v>
      </c>
      <c r="R1154" s="22"/>
      <c r="S1154" s="22" t="str">
        <f>IFERROR(__xludf.DUMMYFUNCTION("""COMPUTED_VALUE"""),"20240209_taskey_3月新作")</f>
        <v>20240209_taskey_3月新作</v>
      </c>
      <c r="T1154" s="22" t="str">
        <f>IFERROR(__xludf.DUMMYFUNCTION("""COMPUTED_VALUE"""),"格納済み")</f>
        <v>格納済み</v>
      </c>
      <c r="U1154" s="15" t="str">
        <f>IFERROR(__xludf.DUMMYFUNCTION("""COMPUTED_VALUE"""),"©︎taskey 原作／粟国翼 漫画／杉島谷野")</f>
        <v>©︎taskey 原作／粟国翼 漫画／杉島谷野</v>
      </c>
      <c r="V1154" s="8" t="str">
        <f>IFERROR(__xludf.DUMMYFUNCTION("""COMPUTED_VALUE"""),"夏休みに祖母の民宿の手伝いに来ていた早乙女まもりは、気がつくと謎の装束を着せられた状態で砂浜に放置されていた。その島には、自分と同じ格好の従姉妹や幼なじみの少女達の姿。混乱する中、少女たちの１人が非業の死を遂げる…。まもり達は森の中へ逃げ込むが、そこで待ち受けていたのは、処女の匂いに惹かれた淫獣達だった──。衝撃のサバイバルホラー、禁断のコミカライズ化！！")</f>
        <v>夏休みに祖母の民宿の手伝いに来ていた早乙女まもりは、気がつくと謎の装束を着せられた状態で砂浜に放置されていた。その島には、自分と同じ格好の従姉妹や幼なじみの少女達の姿。混乱する中、少女たちの１人が非業の死を遂げる…。まもり達は森の中へ逃げ込むが、そこで待ち受けていたのは、処女の匂いに惹かれた淫獣達だった──。衝撃のサバイバルホラー、禁断のコミカライズ化！！</v>
      </c>
      <c r="W1154" s="14"/>
      <c r="X1154" s="14" t="str">
        <f>IFERROR(__xludf.DUMMYFUNCTION("""COMPUTED_VALUE"""),"有")</f>
        <v>有</v>
      </c>
      <c r="Y1154" s="8" t="str">
        <f>IFERROR(__xludf.DUMMYFUNCTION("""COMPUTED_VALUE"""),"2024/3/31まで1巻無料")</f>
        <v>2024/3/31まで1巻無料</v>
      </c>
      <c r="Z1154" s="7"/>
      <c r="AA1154" s="7"/>
      <c r="AB1154" s="7"/>
    </row>
    <row r="1155" ht="15.75" customHeight="1">
      <c r="A1155" s="26">
        <f>IFERROR(__xludf.DUMMYFUNCTION("""COMPUTED_VALUE"""),2947.0)</f>
        <v>2947</v>
      </c>
      <c r="B1155" s="22" t="str">
        <f>IFERROR(__xludf.DUMMYFUNCTION("""COMPUTED_VALUE"""),"確定")</f>
        <v>確定</v>
      </c>
      <c r="C1155" s="28">
        <f>IFERROR(__xludf.DUMMYFUNCTION("""COMPUTED_VALUE"""),45331.0)</f>
        <v>45331</v>
      </c>
      <c r="D1155" s="28">
        <f>IFERROR(__xludf.DUMMYFUNCTION("""COMPUTED_VALUE"""),45336.0)</f>
        <v>45336</v>
      </c>
      <c r="E1155" s="31">
        <f>IFERROR(__xludf.DUMMYFUNCTION("""COMPUTED_VALUE"""),287828.0)</f>
        <v>287828</v>
      </c>
      <c r="F1155" s="22" t="str">
        <f>IFERROR(__xludf.DUMMYFUNCTION("""COMPUTED_VALUE"""),"黄泉がえり聖女は冥府の王に愛される")</f>
        <v>黄泉がえり聖女は冥府の王に愛される</v>
      </c>
      <c r="G1155" s="11" t="str">
        <f>IFERROR(__xludf.DUMMYFUNCTION("""COMPUTED_VALUE"""),"1～4")</f>
        <v>1～4</v>
      </c>
      <c r="H1155" s="22" t="str">
        <f>IFERROR(__xludf.DUMMYFUNCTION("""COMPUTED_VALUE"""),"原作／鳥村居子 漫画／泉美テイヌ")</f>
        <v>原作／鳥村居子 漫画／泉美テイヌ</v>
      </c>
      <c r="I1155" s="22" t="str">
        <f>IFERROR(__xludf.DUMMYFUNCTION("""COMPUTED_VALUE"""),"少女")</f>
        <v>少女</v>
      </c>
      <c r="J1155" s="22"/>
      <c r="K1155" s="22"/>
      <c r="L1155" s="22" t="str">
        <f>IFERROR(__xludf.DUMMYFUNCTION("""COMPUTED_VALUE"""),"taskey")</f>
        <v>taskey</v>
      </c>
      <c r="M1155" s="23">
        <f>IFERROR(__xludf.DUMMYFUNCTION("""COMPUTED_VALUE"""),45352.0)</f>
        <v>45352</v>
      </c>
      <c r="N1155" s="23">
        <f>IFERROR(__xludf.DUMMYFUNCTION("""COMPUTED_VALUE"""),45504.66666666667)</f>
        <v>45504.66667</v>
      </c>
      <c r="O1155" s="20"/>
      <c r="P1155" s="29" t="str">
        <f>IFERROR(__xludf.DUMMYFUNCTION("""COMPUTED_VALUE"""),"可")</f>
        <v>可</v>
      </c>
      <c r="Q1155" s="30" t="str">
        <f>IFERROR(__xludf.DUMMYFUNCTION("""COMPUTED_VALUE"""),"3話で製作をお願い致します。")</f>
        <v>3話で製作をお願い致します。</v>
      </c>
      <c r="R1155" s="22"/>
      <c r="S1155" s="22" t="str">
        <f>IFERROR(__xludf.DUMMYFUNCTION("""COMPUTED_VALUE"""),"20240209_taskey_3月新作")</f>
        <v>20240209_taskey_3月新作</v>
      </c>
      <c r="T1155" s="22" t="str">
        <f>IFERROR(__xludf.DUMMYFUNCTION("""COMPUTED_VALUE"""),"格納済み")</f>
        <v>格納済み</v>
      </c>
      <c r="U1155" s="15" t="str">
        <f>IFERROR(__xludf.DUMMYFUNCTION("""COMPUTED_VALUE"""),"©︎taskey 原作／鳥村居子 漫画／泉美テイヌ")</f>
        <v>©︎taskey 原作／鳥村居子 漫画／泉美テイヌ</v>
      </c>
      <c r="V1155" s="8" t="str">
        <f>IFERROR(__xludf.DUMMYFUNCTION("""COMPUTED_VALUE"""),"1000年に一度の特別な聖女として選ばれたファティマは、貴族の幼なじみに裏切られて、聖女としての立場を奪われ、家族もろとも無惨に殺された——はずだった。冥府の金狼神に見初められて、再び蘇ったファティマ。しかしそれは仮初の命。完全に蘇るための条件は……処女を捧げること――！？理不尽に不幸に沈められた少女が、愛する人ともに幸せになっていく物語が、待望のコミカライズ化！！")</f>
        <v>1000年に一度の特別な聖女として選ばれたファティマは、貴族の幼なじみに裏切られて、聖女としての立場を奪われ、家族もろとも無惨に殺された——はずだった。冥府の金狼神に見初められて、再び蘇ったファティマ。しかしそれは仮初の命。完全に蘇るための条件は……処女を捧げること――！？理不尽に不幸に沈められた少女が、愛する人ともに幸せになっていく物語が、待望のコミカライズ化！！</v>
      </c>
      <c r="W1155" s="14"/>
      <c r="X1155" s="14" t="str">
        <f>IFERROR(__xludf.DUMMYFUNCTION("""COMPUTED_VALUE"""),"有")</f>
        <v>有</v>
      </c>
      <c r="Y1155" s="8" t="str">
        <f>IFERROR(__xludf.DUMMYFUNCTION("""COMPUTED_VALUE"""),"1巻無料")</f>
        <v>1巻無料</v>
      </c>
      <c r="Z1155" s="7"/>
      <c r="AA1155" s="7"/>
      <c r="AB1155" s="7"/>
    </row>
    <row r="1156" ht="15.75" customHeight="1">
      <c r="A1156" s="26">
        <f>IFERROR(__xludf.DUMMYFUNCTION("""COMPUTED_VALUE"""),2951.0)</f>
        <v>2951</v>
      </c>
      <c r="B1156" s="22" t="str">
        <f>IFERROR(__xludf.DUMMYFUNCTION("""COMPUTED_VALUE"""),"確定")</f>
        <v>確定</v>
      </c>
      <c r="C1156" s="28">
        <f>IFERROR(__xludf.DUMMYFUNCTION("""COMPUTED_VALUE"""),45335.0)</f>
        <v>45335</v>
      </c>
      <c r="D1156" s="28">
        <f>IFERROR(__xludf.DUMMYFUNCTION("""COMPUTED_VALUE"""),45336.0)</f>
        <v>45336</v>
      </c>
      <c r="E1156" s="26">
        <f>IFERROR(__xludf.DUMMYFUNCTION("""COMPUTED_VALUE"""),273340.0)</f>
        <v>273340</v>
      </c>
      <c r="F1156" s="22" t="str">
        <f>IFERROR(__xludf.DUMMYFUNCTION("""COMPUTED_VALUE"""),"秋山くんのはあったかくて、反則級です")</f>
        <v>秋山くんのはあったかくて、反則級です</v>
      </c>
      <c r="G1156" s="20" t="str">
        <f>IFERROR(__xludf.DUMMYFUNCTION("""COMPUTED_VALUE"""),"1～3")</f>
        <v>1～3</v>
      </c>
      <c r="H1156" s="22" t="str">
        <f>IFERROR(__xludf.DUMMYFUNCTION("""COMPUTED_VALUE"""),"日佐")</f>
        <v>日佐</v>
      </c>
      <c r="I1156" s="14" t="str">
        <f>IFERROR(__xludf.DUMMYFUNCTION("""COMPUTED_VALUE"""),"TL")</f>
        <v>TL</v>
      </c>
      <c r="J1156" s="22"/>
      <c r="K1156" s="22"/>
      <c r="L1156" s="22" t="str">
        <f>IFERROR(__xludf.DUMMYFUNCTION("""COMPUTED_VALUE"""),"ソルマーレ編集部")</f>
        <v>ソルマーレ編集部</v>
      </c>
      <c r="M1156" s="23">
        <f>IFERROR(__xludf.DUMMYFUNCTION("""COMPUTED_VALUE"""),45367.0)</f>
        <v>45367</v>
      </c>
      <c r="N1156" s="23">
        <f>IFERROR(__xludf.DUMMYFUNCTION("""COMPUTED_VALUE"""),45428.0)</f>
        <v>45428</v>
      </c>
      <c r="O1156" s="20"/>
      <c r="P1156" s="29" t="str">
        <f>IFERROR(__xludf.DUMMYFUNCTION("""COMPUTED_VALUE"""),"可")</f>
        <v>可</v>
      </c>
      <c r="Q1156" s="30"/>
      <c r="R1156" s="22"/>
      <c r="S1156" s="22" t="str">
        <f>IFERROR(__xludf.DUMMYFUNCTION("""COMPUTED_VALUE"""),"20240213_ソルマーレ編集部_秋山くんのはあったかくて、反則級です")</f>
        <v>20240213_ソルマーレ編集部_秋山くんのはあったかくて、反則級です</v>
      </c>
      <c r="T1156" s="22" t="str">
        <f>IFERROR(__xludf.DUMMYFUNCTION("""COMPUTED_VALUE"""),"格納済み")</f>
        <v>格納済み</v>
      </c>
      <c r="U1156" s="15" t="str">
        <f>IFERROR(__xludf.DUMMYFUNCTION("""COMPUTED_VALUE"""),"Ⓒ 日佐/シーモアコミックス")</f>
        <v>Ⓒ 日佐/シーモアコミックス</v>
      </c>
      <c r="V1156" s="8" t="str">
        <f>IFERROR(__xludf.DUMMYFUNCTION("""COMPUTED_VALUE"""),"経験はゼロだが恋愛ドラマ好きの女子大生・真子はいつか自分もドラマのように素敵な恋をしたいと夢見ていた。そんなある日、雨で電車が止まってしまい帰宅できずに困っていると憧れの秋山くんから「その、俺ん家でよかったら来る？」と嬉しすぎる提案をされて…!?そこからまさかの展開で恋愛初心者の真子はたじたじで…不器用×不器用の甘酸っぱいキャンパスラブのはじまりです。【桃色日記】")</f>
        <v>経験はゼロだが恋愛ドラマ好きの女子大生・真子はいつか自分もドラマのように素敵な恋をしたいと夢見ていた。そんなある日、雨で電車が止まってしまい帰宅できずに困っていると憧れの秋山くんから「その、俺ん家でよかったら来る？」と嬉しすぎる提案をされて…!?そこからまさかの展開で恋愛初心者の真子はたじたじで…不器用×不器用の甘酸っぱいキャンパスラブのはじまりです。【桃色日記】</v>
      </c>
      <c r="W1156" s="14"/>
      <c r="X1156" s="14" t="str">
        <f>IFERROR(__xludf.DUMMYFUNCTION("""COMPUTED_VALUE"""),"有")</f>
        <v>有</v>
      </c>
      <c r="Y1156" s="8" t="str">
        <f>IFERROR(__xludf.DUMMYFUNCTION("""COMPUTED_VALUE"""),"2024/4/19まで1巻無料")</f>
        <v>2024/4/19まで1巻無料</v>
      </c>
      <c r="Z1156" s="7"/>
      <c r="AA1156" s="7"/>
      <c r="AB1156" s="7"/>
    </row>
    <row r="1157" ht="102.75" customHeight="1">
      <c r="A1157" s="26">
        <f>IFERROR(__xludf.DUMMYFUNCTION("""COMPUTED_VALUE"""),2953.0)</f>
        <v>2953</v>
      </c>
      <c r="B1157" s="22" t="str">
        <f>IFERROR(__xludf.DUMMYFUNCTION("""COMPUTED_VALUE"""),"確定")</f>
        <v>確定</v>
      </c>
      <c r="C1157" s="28">
        <f>IFERROR(__xludf.DUMMYFUNCTION("""COMPUTED_VALUE"""),45335.0)</f>
        <v>45335</v>
      </c>
      <c r="D1157" s="28">
        <f>IFERROR(__xludf.DUMMYFUNCTION("""COMPUTED_VALUE"""),45335.0)</f>
        <v>45335</v>
      </c>
      <c r="E1157" s="26">
        <f>IFERROR(__xludf.DUMMYFUNCTION("""COMPUTED_VALUE"""),282463.0)</f>
        <v>282463</v>
      </c>
      <c r="F1157" s="22" t="str">
        <f>IFERROR(__xludf.DUMMYFUNCTION("""COMPUTED_VALUE"""),"結婚相談所のヤバい女たち【タテヨミ】")</f>
        <v>結婚相談所のヤバい女たち【タテヨミ】</v>
      </c>
      <c r="G1157" s="20" t="str">
        <f>IFERROR(__xludf.DUMMYFUNCTION("""COMPUTED_VALUE"""),"1～9")</f>
        <v>1～9</v>
      </c>
      <c r="H1157" s="22" t="str">
        <f>IFERROR(__xludf.DUMMYFUNCTION("""COMPUTED_VALUE"""),"overlab")</f>
        <v>overlab</v>
      </c>
      <c r="I1157" s="22" t="str">
        <f>IFERROR(__xludf.DUMMYFUNCTION("""COMPUTED_VALUE"""),"青年")</f>
        <v>青年</v>
      </c>
      <c r="J1157" s="22"/>
      <c r="K1157" s="22"/>
      <c r="L1157" s="22" t="str">
        <f>IFERROR(__xludf.DUMMYFUNCTION("""COMPUTED_VALUE"""),"ソルマーレ編集部")</f>
        <v>ソルマーレ編集部</v>
      </c>
      <c r="M1157" s="23">
        <f>IFERROR(__xludf.DUMMYFUNCTION("""COMPUTED_VALUE"""),45367.0)</f>
        <v>45367</v>
      </c>
      <c r="N1157" s="23">
        <f>IFERROR(__xludf.DUMMYFUNCTION("""COMPUTED_VALUE"""),45457.66666666667)</f>
        <v>45457.66667</v>
      </c>
      <c r="O1157" s="20"/>
      <c r="P1157" s="29" t="str">
        <f>IFERROR(__xludf.DUMMYFUNCTION("""COMPUTED_VALUE"""),"可")</f>
        <v>可</v>
      </c>
      <c r="Q1157" s="30"/>
      <c r="R1157" s="22"/>
      <c r="S1157" s="43" t="str">
        <f>IFERROR(__xludf.DUMMYFUNCTION("""COMPUTED_VALUE"""),"20240213_ソルマーレ編集部_結婚相談所のヤバい女たち【タテヨミ】")</f>
        <v>20240213_ソルマーレ編集部_結婚相談所のヤバい女たち【タテヨミ】</v>
      </c>
      <c r="T1157" s="22"/>
      <c r="U1157" s="15" t="str">
        <f>IFERROR(__xludf.DUMMYFUNCTION("""COMPUTED_VALUE"""),"Ⓒ overlab/TOPCO/シーモアコミックス")</f>
        <v>Ⓒ overlab/TOPCO/シーモアコミックス</v>
      </c>
      <c r="V1157" s="8" t="str">
        <f>IFERROR(__xludf.DUMMYFUNCTION("""COMPUTED_VALUE"""),"8年付き合った彼女に、突然の別れを告げられた吉田圭太。新しい出会いを求めて結婚相談所の門を叩いたものの、求められる条件があまりにも高く、絶望に打ちひしがれていた。そんな時、結婚相談所「運命の赤い糸」のマネージャー・工藤真由美が現れて魅力的な提案を持ちかけてきたのだが！？【ズズズキュン！】")</f>
        <v>8年付き合った彼女に、突然の別れを告げられた吉田圭太。新しい出会いを求めて結婚相談所の門を叩いたものの、求められる条件があまりにも高く、絶望に打ちひしがれていた。そんな時、結婚相談所「運命の赤い糸」のマネージャー・工藤真由美が現れて魅力的な提案を持ちかけてきたのだが！？【ズズズキュン！】</v>
      </c>
      <c r="W1157" s="14"/>
      <c r="X1157" s="14" t="str">
        <f>IFERROR(__xludf.DUMMYFUNCTION("""COMPUTED_VALUE"""),"有")</f>
        <v>有</v>
      </c>
      <c r="Y1157" s="8" t="str">
        <f>IFERROR(__xludf.DUMMYFUNCTION("""COMPUTED_VALUE"""),"1巻無料")</f>
        <v>1巻無料</v>
      </c>
      <c r="Z1157" s="7"/>
      <c r="AA1157" s="7"/>
      <c r="AB1157" s="7"/>
    </row>
    <row r="1158" ht="15.75" customHeight="1">
      <c r="A1158" s="26">
        <f>IFERROR(__xludf.DUMMYFUNCTION("""COMPUTED_VALUE"""),2956.0)</f>
        <v>2956</v>
      </c>
      <c r="B1158" s="22" t="str">
        <f>IFERROR(__xludf.DUMMYFUNCTION("""COMPUTED_VALUE"""),"確定")</f>
        <v>確定</v>
      </c>
      <c r="C1158" s="28">
        <f>IFERROR(__xludf.DUMMYFUNCTION("""COMPUTED_VALUE"""),45335.0)</f>
        <v>45335</v>
      </c>
      <c r="D1158" s="28">
        <f>IFERROR(__xludf.DUMMYFUNCTION("""COMPUTED_VALUE"""),45336.0)</f>
        <v>45336</v>
      </c>
      <c r="E1158" s="31">
        <f>IFERROR(__xludf.DUMMYFUNCTION("""COMPUTED_VALUE"""),289186.0)</f>
        <v>289186</v>
      </c>
      <c r="F1158" s="22" t="str">
        <f>IFERROR(__xludf.DUMMYFUNCTION("""COMPUTED_VALUE"""),"オルトナの月")</f>
        <v>オルトナの月</v>
      </c>
      <c r="G1158" s="20" t="str">
        <f>IFERROR(__xludf.DUMMYFUNCTION("""COMPUTED_VALUE"""),"1~5")</f>
        <v>1~5</v>
      </c>
      <c r="H1158" s="22" t="str">
        <f>IFERROR(__xludf.DUMMYFUNCTION("""COMPUTED_VALUE"""),"浜園わもめ")</f>
        <v>浜園わもめ</v>
      </c>
      <c r="I1158" s="22" t="str">
        <f>IFERROR(__xludf.DUMMYFUNCTION("""COMPUTED_VALUE"""),"女性")</f>
        <v>女性</v>
      </c>
      <c r="J1158" s="22"/>
      <c r="K1158" s="22"/>
      <c r="L1158" s="22" t="str">
        <f>IFERROR(__xludf.DUMMYFUNCTION("""COMPUTED_VALUE"""),"KADOKAWA")</f>
        <v>KADOKAWA</v>
      </c>
      <c r="M1158" s="23">
        <f>IFERROR(__xludf.DUMMYFUNCTION("""COMPUTED_VALUE"""),45377.0)</f>
        <v>45377</v>
      </c>
      <c r="N1158" s="23">
        <f>IFERROR(__xludf.DUMMYFUNCTION("""COMPUTED_VALUE"""),45408.0)</f>
        <v>45408</v>
      </c>
      <c r="O1158" s="20"/>
      <c r="P1158" s="32" t="str">
        <f>IFERROR(__xludf.DUMMYFUNCTION("""COMPUTED_VALUE"""),"否")</f>
        <v>否</v>
      </c>
      <c r="Q1158" s="22"/>
      <c r="R1158" s="22" t="str">
        <f>IFERROR(__xludf.DUMMYFUNCTION("""COMPUTED_VALUE"""),"格納済")</f>
        <v>格納済</v>
      </c>
      <c r="S1158" s="22" t="str">
        <f>IFERROR(__xludf.DUMMYFUNCTION("""COMPUTED_VALUE"""),"20240213_KADOKAWA_オルトナの月")</f>
        <v>20240213_KADOKAWA_オルトナの月</v>
      </c>
      <c r="T1158" s="22" t="str">
        <f>IFERROR(__xludf.DUMMYFUNCTION("""COMPUTED_VALUE"""),"格納済み")</f>
        <v>格納済み</v>
      </c>
      <c r="U1158" s="15" t="str">
        <f>IFERROR(__xludf.DUMMYFUNCTION("""COMPUTED_VALUE"""),"(C)Wamome Hamazono")</f>
        <v>(C)Wamome Hamazono</v>
      </c>
      <c r="V1158" s="8" t="str">
        <f>IFERROR(__xludf.DUMMYFUNCTION("""COMPUTED_VALUE"""),"月の国の王女・トリウィアは、その身分ゆえ、過保護な女王に城に閉じ込められ、鬱屈とした日々を送っていた。ある日、隙を見て城を抜け出した先で、見た事もない異国の品々と、不思議な男の子・リヒトに出会い、外の世界への憧れを募らせるトリウィア。リヒトと「大人になったら、一緒に外の世界を旅する」と約束した彼女は、その約束を胸に成人の日を迎えるも、ある悲劇に襲われることに――!?全てを奪われた王女のロマンスファンタジー、開幕！")</f>
        <v>月の国の王女・トリウィアは、その身分ゆえ、過保護な女王に城に閉じ込められ、鬱屈とした日々を送っていた。ある日、隙を見て城を抜け出した先で、見た事もない異国の品々と、不思議な男の子・リヒトに出会い、外の世界への憧れを募らせるトリウィア。リヒトと「大人になったら、一緒に外の世界を旅する」と約束した彼女は、その約束を胸に成人の日を迎えるも、ある悲劇に襲われることに――!?全てを奪われた王女のロマンスファンタジー、開幕！</v>
      </c>
      <c r="W1158" s="14"/>
      <c r="X1158" s="14" t="str">
        <f>IFERROR(__xludf.DUMMYFUNCTION("""COMPUTED_VALUE"""),"有")</f>
        <v>有</v>
      </c>
      <c r="Y1158" s="8" t="str">
        <f>IFERROR(__xludf.DUMMYFUNCTION("""COMPUTED_VALUE"""),"2024/4/9まで1巻無料")</f>
        <v>2024/4/9まで1巻無料</v>
      </c>
      <c r="Z1158" s="7"/>
      <c r="AA1158" s="7"/>
      <c r="AB1158" s="7"/>
    </row>
    <row r="1159" ht="114.0" customHeight="1">
      <c r="A1159" s="26">
        <f>IFERROR(__xludf.DUMMYFUNCTION("""COMPUTED_VALUE"""),2957.0)</f>
        <v>2957</v>
      </c>
      <c r="B1159" s="22" t="str">
        <f>IFERROR(__xludf.DUMMYFUNCTION("""COMPUTED_VALUE"""),"確定")</f>
        <v>確定</v>
      </c>
      <c r="C1159" s="28">
        <f>IFERROR(__xludf.DUMMYFUNCTION("""COMPUTED_VALUE"""),45335.0)</f>
        <v>45335</v>
      </c>
      <c r="D1159" s="28">
        <f>IFERROR(__xludf.DUMMYFUNCTION("""COMPUTED_VALUE"""),45336.0)</f>
        <v>45336</v>
      </c>
      <c r="E1159" s="26">
        <f>IFERROR(__xludf.DUMMYFUNCTION("""COMPUTED_VALUE"""),281986.0)</f>
        <v>281986</v>
      </c>
      <c r="F1159" s="22" t="str">
        <f>IFERROR(__xludf.DUMMYFUNCTION("""COMPUTED_VALUE"""),"リベンジゲーム～復讐の塔～")</f>
        <v>リベンジゲーム～復讐の塔～</v>
      </c>
      <c r="G1159" s="20" t="str">
        <f>IFERROR(__xludf.DUMMYFUNCTION("""COMPUTED_VALUE"""),"1～3")</f>
        <v>1～3</v>
      </c>
      <c r="H1159" s="22" t="str">
        <f>IFERROR(__xludf.DUMMYFUNCTION("""COMPUTED_VALUE"""),"上野ハチ,Di Long")</f>
        <v>上野ハチ,Di Long</v>
      </c>
      <c r="I1159" s="22" t="str">
        <f>IFERROR(__xludf.DUMMYFUNCTION("""COMPUTED_VALUE"""),"青年")</f>
        <v>青年</v>
      </c>
      <c r="J1159" s="22"/>
      <c r="K1159" s="22"/>
      <c r="L1159" s="22" t="str">
        <f>IFERROR(__xludf.DUMMYFUNCTION("""COMPUTED_VALUE"""),"シーモアコミックス")</f>
        <v>シーモアコミックス</v>
      </c>
      <c r="M1159" s="23">
        <f>IFERROR(__xludf.DUMMYFUNCTION("""COMPUTED_VALUE"""),45380.0)</f>
        <v>45380</v>
      </c>
      <c r="N1159" s="23">
        <f>IFERROR(__xludf.DUMMYFUNCTION("""COMPUTED_VALUE"""),45533.0)</f>
        <v>45533</v>
      </c>
      <c r="O1159" s="20"/>
      <c r="P1159" s="29" t="str">
        <f>IFERROR(__xludf.DUMMYFUNCTION("""COMPUTED_VALUE"""),"可")</f>
        <v>可</v>
      </c>
      <c r="Q1159" s="30"/>
      <c r="R1159" s="22"/>
      <c r="S1159" s="22" t="str">
        <f>IFERROR(__xludf.DUMMYFUNCTION("""COMPUTED_VALUE"""),"20240213_シーモアコミックス_リベンジゲーム～復讐の塔～")</f>
        <v>20240213_シーモアコミックス_リベンジゲーム～復讐の塔～</v>
      </c>
      <c r="T1159" s="22" t="str">
        <f>IFERROR(__xludf.DUMMYFUNCTION("""COMPUTED_VALUE"""),"格納済み")</f>
        <v>格納済み</v>
      </c>
      <c r="U1159" s="15" t="str">
        <f>IFERROR(__xludf.DUMMYFUNCTION("""COMPUTED_VALUE"""),"© 上野ハチ/Di Long/シーモアコミックス")</f>
        <v>© 上野ハチ/Di Long/シーモアコミックス</v>
      </c>
      <c r="V1159" s="8" t="str">
        <f>IFERROR(__xludf.DUMMYFUNCTION("""COMPUTED_VALUE"""),"親友のマナミちゃんはどんな人でも困った人を笑顔で助ける皆の憧れ…だった。学校の帰り道、助けた男に惨殺されるマナミちゃんを私は救うことができなかった。そんな煮えたぎる怒りを抱える私の前に、動物の仮面を被った人物が殺人鬼の男と共に現れる――。「ようこそ、復讐ゲームへ」")</f>
        <v>親友のマナミちゃんはどんな人でも困った人を笑顔で助ける皆の憧れ…だった。学校の帰り道、助けた男に惨殺されるマナミちゃんを私は救うことができなかった。そんな煮えたぎる怒りを抱える私の前に、動物の仮面を被った人物が殺人鬼の男と共に現れる――。「ようこそ、復讐ゲームへ」</v>
      </c>
      <c r="W1159" s="14"/>
      <c r="X1159" s="14" t="str">
        <f>IFERROR(__xludf.DUMMYFUNCTION("""COMPUTED_VALUE"""),"有")</f>
        <v>有</v>
      </c>
      <c r="Y1159" s="8" t="str">
        <f>IFERROR(__xludf.DUMMYFUNCTION("""COMPUTED_VALUE"""),"P16まで")</f>
        <v>P16まで</v>
      </c>
      <c r="Z1159" s="7"/>
      <c r="AA1159" s="7"/>
      <c r="AB1159" s="7"/>
    </row>
    <row r="1160" ht="15.75" customHeight="1">
      <c r="A1160" s="26">
        <f>IFERROR(__xludf.DUMMYFUNCTION("""COMPUTED_VALUE"""),2958.0)</f>
        <v>2958</v>
      </c>
      <c r="B1160" s="22" t="str">
        <f>IFERROR(__xludf.DUMMYFUNCTION("""COMPUTED_VALUE"""),"確定")</f>
        <v>確定</v>
      </c>
      <c r="C1160" s="28">
        <f>IFERROR(__xludf.DUMMYFUNCTION("""COMPUTED_VALUE"""),45335.0)</f>
        <v>45335</v>
      </c>
      <c r="D1160" s="28">
        <f>IFERROR(__xludf.DUMMYFUNCTION("""COMPUTED_VALUE"""),45336.0)</f>
        <v>45336</v>
      </c>
      <c r="E1160" s="26">
        <f>IFERROR(__xludf.DUMMYFUNCTION("""COMPUTED_VALUE"""),271104.0)</f>
        <v>271104</v>
      </c>
      <c r="F1160" s="22" t="str">
        <f>IFERROR(__xludf.DUMMYFUNCTION("""COMPUTED_VALUE"""),"リベンジコール")</f>
        <v>リベンジコール</v>
      </c>
      <c r="G1160" s="20" t="str">
        <f>IFERROR(__xludf.DUMMYFUNCTION("""COMPUTED_VALUE"""),"1～3")</f>
        <v>1～3</v>
      </c>
      <c r="H1160" s="22" t="str">
        <f>IFERROR(__xludf.DUMMYFUNCTION("""COMPUTED_VALUE"""),"SR,飴茶屋")</f>
        <v>SR,飴茶屋</v>
      </c>
      <c r="I1160" s="22" t="str">
        <f>IFERROR(__xludf.DUMMYFUNCTION("""COMPUTED_VALUE"""),"青年")</f>
        <v>青年</v>
      </c>
      <c r="J1160" s="22"/>
      <c r="K1160" s="22"/>
      <c r="L1160" s="22" t="str">
        <f>IFERROR(__xludf.DUMMYFUNCTION("""COMPUTED_VALUE"""),"シーモアコミックス")</f>
        <v>シーモアコミックス</v>
      </c>
      <c r="M1160" s="23">
        <f>IFERROR(__xludf.DUMMYFUNCTION("""COMPUTED_VALUE"""),45380.0)</f>
        <v>45380</v>
      </c>
      <c r="N1160" s="23">
        <f>IFERROR(__xludf.DUMMYFUNCTION("""COMPUTED_VALUE"""),45533.0)</f>
        <v>45533</v>
      </c>
      <c r="O1160" s="20"/>
      <c r="P1160" s="29" t="str">
        <f>IFERROR(__xludf.DUMMYFUNCTION("""COMPUTED_VALUE"""),"可")</f>
        <v>可</v>
      </c>
      <c r="Q1160" s="30"/>
      <c r="R1160" s="22"/>
      <c r="S1160" s="22" t="str">
        <f>IFERROR(__xludf.DUMMYFUNCTION("""COMPUTED_VALUE"""),"20240213_シーモアコミックス_リベンジコール")</f>
        <v>20240213_シーモアコミックス_リベンジコール</v>
      </c>
      <c r="T1160" s="22" t="str">
        <f>IFERROR(__xludf.DUMMYFUNCTION("""COMPUTED_VALUE"""),"格納済み")</f>
        <v>格納済み</v>
      </c>
      <c r="U1160" s="15" t="str">
        <f>IFERROR(__xludf.DUMMYFUNCTION("""COMPUTED_VALUE"""),"© 飴茶屋/シーモアコミックス")</f>
        <v>© 飴茶屋/シーモアコミックス</v>
      </c>
      <c r="V1160" s="8" t="str">
        <f>IFERROR(__xludf.DUMMYFUNCTION("""COMPUTED_VALUE"""),"女子高校生・白木あずさには、裏の顔があった。「加害者でありながら、そのことを忘れたり、自覚すらしていない人間」に、自らの犯した罪を思い出させる＜復讐人＞としての顔。忘れることは決して許さない。加害者に忘れられてしまった被害者の依頼を受け、「わるいひと」を懲らしめる、それはあずさにとって最高の快楽であった。そしてそんな彼女自身にも「自分を思い出させなければいけない」復讐のターゲットがいた……。")</f>
        <v>女子高校生・白木あずさには、裏の顔があった。「加害者でありながら、そのことを忘れたり、自覚すらしていない人間」に、自らの犯した罪を思い出させる＜復讐人＞としての顔。忘れることは決して許さない。加害者に忘れられてしまった被害者の依頼を受け、「わるいひと」を懲らしめる、それはあずさにとって最高の快楽であった。そしてそんな彼女自身にも「自分を思い出させなければいけない」復讐のターゲットがいた……。</v>
      </c>
      <c r="W1160" s="14"/>
      <c r="X1160" s="14" t="str">
        <f>IFERROR(__xludf.DUMMYFUNCTION("""COMPUTED_VALUE"""),"有")</f>
        <v>有</v>
      </c>
      <c r="Y1160" s="8" t="str">
        <f>IFERROR(__xludf.DUMMYFUNCTION("""COMPUTED_VALUE"""),"P7まで")</f>
        <v>P7まで</v>
      </c>
      <c r="Z1160" s="7"/>
      <c r="AA1160" s="7"/>
      <c r="AB1160" s="7"/>
    </row>
    <row r="1161" ht="112.5" customHeight="1">
      <c r="A1161" s="26">
        <f>IFERROR(__xludf.DUMMYFUNCTION("""COMPUTED_VALUE"""),2959.0)</f>
        <v>2959</v>
      </c>
      <c r="B1161" s="22" t="str">
        <f>IFERROR(__xludf.DUMMYFUNCTION("""COMPUTED_VALUE"""),"確定")</f>
        <v>確定</v>
      </c>
      <c r="C1161" s="28">
        <f>IFERROR(__xludf.DUMMYFUNCTION("""COMPUTED_VALUE"""),45335.0)</f>
        <v>45335</v>
      </c>
      <c r="D1161" s="28">
        <f>IFERROR(__xludf.DUMMYFUNCTION("""COMPUTED_VALUE"""),45336.0)</f>
        <v>45336</v>
      </c>
      <c r="E1161" s="26">
        <f>IFERROR(__xludf.DUMMYFUNCTION("""COMPUTED_VALUE"""),281987.0)</f>
        <v>281987</v>
      </c>
      <c r="F1161" s="22" t="str">
        <f>IFERROR(__xludf.DUMMYFUNCTION("""COMPUTED_VALUE"""),"となりの漫画家くんは恋を知りたい")</f>
        <v>となりの漫画家くんは恋を知りたい</v>
      </c>
      <c r="G1161" s="20" t="str">
        <f>IFERROR(__xludf.DUMMYFUNCTION("""COMPUTED_VALUE"""),"1～3")</f>
        <v>1～3</v>
      </c>
      <c r="H1161" s="22" t="str">
        <f>IFERROR(__xludf.DUMMYFUNCTION("""COMPUTED_VALUE"""),"あさい,お耳")</f>
        <v>あさい,お耳</v>
      </c>
      <c r="I1161" s="22" t="str">
        <f>IFERROR(__xludf.DUMMYFUNCTION("""COMPUTED_VALUE"""),"女性")</f>
        <v>女性</v>
      </c>
      <c r="J1161" s="22"/>
      <c r="K1161" s="22"/>
      <c r="L1161" s="22" t="str">
        <f>IFERROR(__xludf.DUMMYFUNCTION("""COMPUTED_VALUE"""),"シーモアコミックス")</f>
        <v>シーモアコミックス</v>
      </c>
      <c r="M1161" s="23">
        <f>IFERROR(__xludf.DUMMYFUNCTION("""COMPUTED_VALUE"""),45387.0)</f>
        <v>45387</v>
      </c>
      <c r="N1161" s="23">
        <f>IFERROR(__xludf.DUMMYFUNCTION("""COMPUTED_VALUE"""),45540.0)</f>
        <v>45540</v>
      </c>
      <c r="O1161" s="20"/>
      <c r="P1161" s="29" t="str">
        <f>IFERROR(__xludf.DUMMYFUNCTION("""COMPUTED_VALUE"""),"可")</f>
        <v>可</v>
      </c>
      <c r="Q1161" s="30"/>
      <c r="R1161" s="22"/>
      <c r="S1161" s="22" t="str">
        <f>IFERROR(__xludf.DUMMYFUNCTION("""COMPUTED_VALUE"""),"20240213_シーモアコミックス_となりの漫画家くんは恋を知りたい")</f>
        <v>20240213_シーモアコミックス_となりの漫画家くんは恋を知りたい</v>
      </c>
      <c r="T1161" s="22" t="str">
        <f>IFERROR(__xludf.DUMMYFUNCTION("""COMPUTED_VALUE"""),"格納済み")</f>
        <v>格納済み</v>
      </c>
      <c r="U1161" s="15" t="str">
        <f>IFERROR(__xludf.DUMMYFUNCTION("""COMPUTED_VALUE"""),"© あさい/お耳/シーモアコミックス")</f>
        <v>© あさい/お耳/シーモアコミックス</v>
      </c>
      <c r="V1161" s="8" t="str">
        <f>IFERROR(__xludf.DUMMYFUNCTION("""COMPUTED_VALUE"""),"独身。恋人なし。本宮桜（31）は上司のセクハラまがいの小言を我慢しながら印刷会社の営業としてがんばる毎日を送っていた。ある日、上司のセクハラから守ってもらったことをきっかけにお隣さんが人気漫画家だったことが判明。しかもなんと「疑似彼女になってくれませんか」と提案される。")</f>
        <v>独身。恋人なし。本宮桜（31）は上司のセクハラまがいの小言を我慢しながら印刷会社の営業としてがんばる毎日を送っていた。ある日、上司のセクハラから守ってもらったことをきっかけにお隣さんが人気漫画家だったことが判明。しかもなんと「疑似彼女になってくれませんか」と提案される。</v>
      </c>
      <c r="W1161" s="14"/>
      <c r="X1161" s="14" t="str">
        <f>IFERROR(__xludf.DUMMYFUNCTION("""COMPUTED_VALUE"""),"有")</f>
        <v>有</v>
      </c>
      <c r="Y1161" s="8" t="str">
        <f>IFERROR(__xludf.DUMMYFUNCTION("""COMPUTED_VALUE"""),"P9まで")</f>
        <v>P9まで</v>
      </c>
      <c r="Z1161" s="7"/>
      <c r="AA1161" s="7"/>
      <c r="AB1161" s="7"/>
    </row>
    <row r="1162" ht="108.75" customHeight="1">
      <c r="A1162" s="26">
        <f>IFERROR(__xludf.DUMMYFUNCTION("""COMPUTED_VALUE"""),2960.0)</f>
        <v>2960</v>
      </c>
      <c r="B1162" s="22" t="str">
        <f>IFERROR(__xludf.DUMMYFUNCTION("""COMPUTED_VALUE"""),"確定")</f>
        <v>確定</v>
      </c>
      <c r="C1162" s="28">
        <f>IFERROR(__xludf.DUMMYFUNCTION("""COMPUTED_VALUE"""),45335.0)</f>
        <v>45335</v>
      </c>
      <c r="D1162" s="28">
        <f>IFERROR(__xludf.DUMMYFUNCTION("""COMPUTED_VALUE"""),45336.0)</f>
        <v>45336</v>
      </c>
      <c r="E1162" s="26">
        <f>IFERROR(__xludf.DUMMYFUNCTION("""COMPUTED_VALUE"""),282560.0)</f>
        <v>282560</v>
      </c>
      <c r="F1162" s="22" t="str">
        <f>IFERROR(__xludf.DUMMYFUNCTION("""COMPUTED_VALUE"""),"後宮の鳴かない鳥は皇帝に愛でられる")</f>
        <v>後宮の鳴かない鳥は皇帝に愛でられる</v>
      </c>
      <c r="G1162" s="20" t="str">
        <f>IFERROR(__xludf.DUMMYFUNCTION("""COMPUTED_VALUE"""),"1～3")</f>
        <v>1～3</v>
      </c>
      <c r="H1162" s="22" t="str">
        <f>IFERROR(__xludf.DUMMYFUNCTION("""COMPUTED_VALUE"""),"壱紀しろ,森飛鳥,誠樹ナオ,チーム鳳凰")</f>
        <v>壱紀しろ,森飛鳥,誠樹ナオ,チーム鳳凰</v>
      </c>
      <c r="I1162" s="22" t="str">
        <f>IFERROR(__xludf.DUMMYFUNCTION("""COMPUTED_VALUE"""),"少女")</f>
        <v>少女</v>
      </c>
      <c r="J1162" s="22"/>
      <c r="K1162" s="22"/>
      <c r="L1162" s="22" t="str">
        <f>IFERROR(__xludf.DUMMYFUNCTION("""COMPUTED_VALUE"""),"シーモアコミックス")</f>
        <v>シーモアコミックス</v>
      </c>
      <c r="M1162" s="23">
        <f>IFERROR(__xludf.DUMMYFUNCTION("""COMPUTED_VALUE"""),45387.0)</f>
        <v>45387</v>
      </c>
      <c r="N1162" s="23">
        <f>IFERROR(__xludf.DUMMYFUNCTION("""COMPUTED_VALUE"""),45540.0)</f>
        <v>45540</v>
      </c>
      <c r="O1162" s="20"/>
      <c r="P1162" s="29" t="str">
        <f>IFERROR(__xludf.DUMMYFUNCTION("""COMPUTED_VALUE"""),"可")</f>
        <v>可</v>
      </c>
      <c r="Q1162" s="30"/>
      <c r="R1162" s="22"/>
      <c r="S1162" s="22" t="str">
        <f>IFERROR(__xludf.DUMMYFUNCTION("""COMPUTED_VALUE"""),"20240213_シーモアコミックス_後宮の鳴かない鳥は皇帝に愛でられる")</f>
        <v>20240213_シーモアコミックス_後宮の鳴かない鳥は皇帝に愛でられる</v>
      </c>
      <c r="T1162" s="22" t="str">
        <f>IFERROR(__xludf.DUMMYFUNCTION("""COMPUTED_VALUE"""),"格納済み")</f>
        <v>格納済み</v>
      </c>
      <c r="U1162" s="15" t="str">
        <f>IFERROR(__xludf.DUMMYFUNCTION("""COMPUTED_VALUE"""),"© 壱紀しろ/森飛鳥/誠樹ナオ/チーム鳳凰/シーモアコミックス")</f>
        <v>© 壱紀しろ/森飛鳥/誠樹ナオ/チーム鳳凰/シーモアコミックス</v>
      </c>
      <c r="V1162" s="8" t="str">
        <f>IFERROR(__xludf.DUMMYFUNCTION("""COMPUTED_VALUE"""),"救国の英雄たる若き皇帝から寵愛を得ようと、妃嬪が火花を散らす祥国後宮。声を失った薄幸の妃・月花（ユイファ）は、対立する妃嬪から虐げられながらもその片隅でひっそりと暮らしていた。しかし皇帝の前世の恋人に似ていたことから、突然見初められて！？　運命の出会いから始まる中華後宮シンデレラストーリー、開幕――。")</f>
        <v>救国の英雄たる若き皇帝から寵愛を得ようと、妃嬪が火花を散らす祥国後宮。声を失った薄幸の妃・月花（ユイファ）は、対立する妃嬪から虐げられながらもその片隅でひっそりと暮らしていた。しかし皇帝の前世の恋人に似ていたことから、突然見初められて！？　運命の出会いから始まる中華後宮シンデレラストーリー、開幕――。</v>
      </c>
      <c r="W1162" s="14"/>
      <c r="X1162" s="14" t="str">
        <f>IFERROR(__xludf.DUMMYFUNCTION("""COMPUTED_VALUE"""),"有")</f>
        <v>有</v>
      </c>
      <c r="Y1162" s="8" t="str">
        <f>IFERROR(__xludf.DUMMYFUNCTION("""COMPUTED_VALUE"""),"P18まで")</f>
        <v>P18まで</v>
      </c>
      <c r="Z1162" s="7"/>
      <c r="AA1162" s="7"/>
      <c r="AB1162" s="7"/>
    </row>
    <row r="1163" ht="126.0" customHeight="1">
      <c r="A1163" s="26">
        <f>IFERROR(__xludf.DUMMYFUNCTION("""COMPUTED_VALUE"""),2961.0)</f>
        <v>2961</v>
      </c>
      <c r="B1163" s="22" t="str">
        <f>IFERROR(__xludf.DUMMYFUNCTION("""COMPUTED_VALUE"""),"確定")</f>
        <v>確定</v>
      </c>
      <c r="C1163" s="28">
        <f>IFERROR(__xludf.DUMMYFUNCTION("""COMPUTED_VALUE"""),45335.0)</f>
        <v>45335</v>
      </c>
      <c r="D1163" s="28">
        <f>IFERROR(__xludf.DUMMYFUNCTION("""COMPUTED_VALUE"""),45336.0)</f>
        <v>45336</v>
      </c>
      <c r="E1163" s="26">
        <f>IFERROR(__xludf.DUMMYFUNCTION("""COMPUTED_VALUE"""),277492.0)</f>
        <v>277492</v>
      </c>
      <c r="F1163" s="22" t="str">
        <f>IFERROR(__xludf.DUMMYFUNCTION("""COMPUTED_VALUE"""),"うちの夫、やばくないですか？")</f>
        <v>うちの夫、やばくないですか？</v>
      </c>
      <c r="G1163" s="20" t="str">
        <f>IFERROR(__xludf.DUMMYFUNCTION("""COMPUTED_VALUE"""),"1～3")</f>
        <v>1～3</v>
      </c>
      <c r="H1163" s="22" t="str">
        <f>IFERROR(__xludf.DUMMYFUNCTION("""COMPUTED_VALUE"""),"大口みなと,愛栖来鈴")</f>
        <v>大口みなと,愛栖来鈴</v>
      </c>
      <c r="I1163" s="22" t="str">
        <f>IFERROR(__xludf.DUMMYFUNCTION("""COMPUTED_VALUE"""),"女性")</f>
        <v>女性</v>
      </c>
      <c r="J1163" s="22"/>
      <c r="K1163" s="22"/>
      <c r="L1163" s="22" t="str">
        <f>IFERROR(__xludf.DUMMYFUNCTION("""COMPUTED_VALUE"""),"シーモアコミックス")</f>
        <v>シーモアコミックス</v>
      </c>
      <c r="M1163" s="23">
        <f>IFERROR(__xludf.DUMMYFUNCTION("""COMPUTED_VALUE"""),45387.0)</f>
        <v>45387</v>
      </c>
      <c r="N1163" s="23">
        <f>IFERROR(__xludf.DUMMYFUNCTION("""COMPUTED_VALUE"""),45785.66666666667)</f>
        <v>45785.66667</v>
      </c>
      <c r="O1163" s="20"/>
      <c r="P1163" s="29" t="str">
        <f>IFERROR(__xludf.DUMMYFUNCTION("""COMPUTED_VALUE"""),"可")</f>
        <v>可</v>
      </c>
      <c r="Q1163" s="30"/>
      <c r="R1163" s="22"/>
      <c r="S1163" s="22" t="str">
        <f>IFERROR(__xludf.DUMMYFUNCTION("""COMPUTED_VALUE"""),"20240213_シーモアコミックス_うちの夫、やばくないですか？")</f>
        <v>20240213_シーモアコミックス_うちの夫、やばくないですか？</v>
      </c>
      <c r="T1163" s="22" t="str">
        <f>IFERROR(__xludf.DUMMYFUNCTION("""COMPUTED_VALUE"""),"格納済み")</f>
        <v>格納済み</v>
      </c>
      <c r="U1163" s="15" t="str">
        <f>IFERROR(__xludf.DUMMYFUNCTION("""COMPUTED_VALUE"""),"© 大口みなと/愛栖来鈴/シーモアコミックス")</f>
        <v>© 大口みなと/愛栖来鈴/シーモアコミックス</v>
      </c>
      <c r="V1163" s="8" t="str">
        <f>IFERROR(__xludf.DUMMYFUNCTION("""COMPUTED_VALUE"""),"結婚したらハッピーエンド！ と思っていたのに――。自他ともに認めるダメ男とばかり付き合ってきた同級生女性3人。奇跡的に全員結婚できたものの、結婚はゴールではなかった。束縛夫、意識高い系夫、マザコン夫…それぞれが抱える夫婦問題の行方は…!?")</f>
        <v>結婚したらハッピーエンド！ と思っていたのに――。自他ともに認めるダメ男とばかり付き合ってきた同級生女性3人。奇跡的に全員結婚できたものの、結婚はゴールではなかった。束縛夫、意識高い系夫、マザコン夫…それぞれが抱える夫婦問題の行方は…!?</v>
      </c>
      <c r="W1163" s="14"/>
      <c r="X1163" s="14" t="str">
        <f>IFERROR(__xludf.DUMMYFUNCTION("""COMPUTED_VALUE"""),"有")</f>
        <v>有</v>
      </c>
      <c r="Y1163" s="8" t="str">
        <f>IFERROR(__xludf.DUMMYFUNCTION("""COMPUTED_VALUE"""),"P15まで")</f>
        <v>P15まで</v>
      </c>
      <c r="Z1163" s="7"/>
      <c r="AA1163" s="7"/>
      <c r="AB1163" s="7"/>
    </row>
    <row r="1164" ht="15.75" customHeight="1">
      <c r="A1164" s="26">
        <f>IFERROR(__xludf.DUMMYFUNCTION("""COMPUTED_VALUE"""),2964.0)</f>
        <v>2964</v>
      </c>
      <c r="B1164" s="22" t="str">
        <f>IFERROR(__xludf.DUMMYFUNCTION("""COMPUTED_VALUE"""),"確定")</f>
        <v>確定</v>
      </c>
      <c r="C1164" s="28">
        <f>IFERROR(__xludf.DUMMYFUNCTION("""COMPUTED_VALUE"""),45335.0)</f>
        <v>45335</v>
      </c>
      <c r="D1164" s="28">
        <f>IFERROR(__xludf.DUMMYFUNCTION("""COMPUTED_VALUE"""),45336.0)</f>
        <v>45336</v>
      </c>
      <c r="E1164" s="31">
        <f>IFERROR(__xludf.DUMMYFUNCTION("""COMPUTED_VALUE"""),288239.0)</f>
        <v>288239</v>
      </c>
      <c r="F1164" s="22" t="str">
        <f>IFERROR(__xludf.DUMMYFUNCTION("""COMPUTED_VALUE"""),"捨てられた地味王女は白狼殿下に溺愛される")</f>
        <v>捨てられた地味王女は白狼殿下に溺愛される</v>
      </c>
      <c r="G1164" s="20" t="str">
        <f>IFERROR(__xludf.DUMMYFUNCTION("""COMPUTED_VALUE"""),"1～3")</f>
        <v>1～3</v>
      </c>
      <c r="H1164" s="22" t="str">
        <f>IFERROR(__xludf.DUMMYFUNCTION("""COMPUTED_VALUE"""),"晴瀬リン/上田成")</f>
        <v>晴瀬リン/上田成</v>
      </c>
      <c r="I1164" s="22" t="str">
        <f>IFERROR(__xludf.DUMMYFUNCTION("""COMPUTED_VALUE"""),"少女")</f>
        <v>少女</v>
      </c>
      <c r="J1164" s="22"/>
      <c r="K1164" s="22"/>
      <c r="L1164" s="22" t="str">
        <f>IFERROR(__xludf.DUMMYFUNCTION("""COMPUTED_VALUE"""),"ファンギルド")</f>
        <v>ファンギルド</v>
      </c>
      <c r="M1164" s="23">
        <f>IFERROR(__xludf.DUMMYFUNCTION("""COMPUTED_VALUE"""),45362.0)</f>
        <v>45362</v>
      </c>
      <c r="N1164" s="23">
        <f>IFERROR(__xludf.DUMMYFUNCTION("""COMPUTED_VALUE"""),45422.0)</f>
        <v>45422</v>
      </c>
      <c r="O1164" s="20"/>
      <c r="P1164" s="32" t="str">
        <f>IFERROR(__xludf.DUMMYFUNCTION("""COMPUTED_VALUE"""),"可")</f>
        <v>可</v>
      </c>
      <c r="Q1164" s="30"/>
      <c r="R1164" s="22"/>
      <c r="S1164" s="22" t="str">
        <f>IFERROR(__xludf.DUMMYFUNCTION("""COMPUTED_VALUE"""),"20240213_ファンギルド_捨てられた地味王女は白狼殿下に溺愛される")</f>
        <v>20240213_ファンギルド_捨てられた地味王女は白狼殿下に溺愛される</v>
      </c>
      <c r="T1164" s="22" t="str">
        <f>IFERROR(__xludf.DUMMYFUNCTION("""COMPUTED_VALUE"""),"格納済み")</f>
        <v>格納済み</v>
      </c>
      <c r="U1164" s="15" t="str">
        <f>IFERROR(__xludf.DUMMYFUNCTION("""COMPUTED_VALUE"""),"©晴瀬リン/上田成/ファンギルド")</f>
        <v>©晴瀬リン/上田成/ファンギルド</v>
      </c>
      <c r="V1164" s="8" t="str">
        <f>IFERROR(__xludf.DUMMYFUNCTION("""COMPUTED_VALUE"""),"「キャロライン王女 貴女は私の運命の番（つがい）です――…」 王族は金髪・銀髪・碧眼など誰しも容姿端麗で華やかに生まれてくるアカシア王国。そんな見目麗しい国で栗色の髪・墨色の瞳を持って生まれた第三王女・キャロラインは、家族から”地味王女”だと忌み嫌われ離宮に追いやられて生きてきた。妹からはストレスのはけ口にされ、家族からは仕事を押し付けられる毎日――。そんなある日、父親からの呼び出しを受け、急いで謁見の間に向かうと、そこには獣人が住まうトスカーナ王国の王太子・リーンハルトの姿が。さらに、雪のような白銀色の"&amp;"耳と尻尾を持つ彼から、”運命の番（つがい）”だと突然求婚されてしまい……？ 家族から愛されずに見離されたひとりぼっちの王女が隣国の獣人王太子に甘く蕩けるように溺愛される、ファンタジックシンデレラストーリー開幕！")</f>
        <v>「キャロライン王女 貴女は私の運命の番（つがい）です――…」 王族は金髪・銀髪・碧眼など誰しも容姿端麗で華やかに生まれてくるアカシア王国。そんな見目麗しい国で栗色の髪・墨色の瞳を持って生まれた第三王女・キャロラインは、家族から”地味王女”だと忌み嫌われ離宮に追いやられて生きてきた。妹からはストレスのはけ口にされ、家族からは仕事を押し付けられる毎日――。そんなある日、父親からの呼び出しを受け、急いで謁見の間に向かうと、そこには獣人が住まうトスカーナ王国の王太子・リーンハルトの姿が。さらに、雪のような白銀色の耳と尻尾を持つ彼から、”運命の番（つがい）”だと突然求婚されてしまい……？ 家族から愛されずに見離されたひとりぼっちの王女が隣国の獣人王太子に甘く蕩けるように溺愛される、ファンタジックシンデレラストーリー開幕！</v>
      </c>
      <c r="W1164" s="14"/>
      <c r="X1164" s="14" t="str">
        <f>IFERROR(__xludf.DUMMYFUNCTION("""COMPUTED_VALUE"""),"有")</f>
        <v>有</v>
      </c>
      <c r="Y1164" s="8" t="str">
        <f>IFERROR(__xludf.DUMMYFUNCTION("""COMPUTED_VALUE"""),"2024/3/24まで1巻無料")</f>
        <v>2024/3/24まで1巻無料</v>
      </c>
      <c r="Z1164" s="7"/>
      <c r="AA1164" s="7"/>
      <c r="AB1164" s="7"/>
    </row>
    <row r="1165" ht="15.75" customHeight="1">
      <c r="A1165" s="26">
        <f>IFERROR(__xludf.DUMMYFUNCTION("""COMPUTED_VALUE"""),2965.0)</f>
        <v>2965</v>
      </c>
      <c r="B1165" s="22" t="str">
        <f>IFERROR(__xludf.DUMMYFUNCTION("""COMPUTED_VALUE"""),"確定")</f>
        <v>確定</v>
      </c>
      <c r="C1165" s="28">
        <f>IFERROR(__xludf.DUMMYFUNCTION("""COMPUTED_VALUE"""),45335.0)</f>
        <v>45335</v>
      </c>
      <c r="D1165" s="28">
        <f>IFERROR(__xludf.DUMMYFUNCTION("""COMPUTED_VALUE"""),45336.0)</f>
        <v>45336</v>
      </c>
      <c r="E1165" s="31">
        <f>IFERROR(__xludf.DUMMYFUNCTION("""COMPUTED_VALUE"""),288240.0)</f>
        <v>288240</v>
      </c>
      <c r="F1165" s="22" t="str">
        <f>IFERROR(__xludf.DUMMYFUNCTION("""COMPUTED_VALUE"""),"ゴミスキル【捨てる】が【取捨選択】に覚醒したので、最高難度の大迷宮を完全攻略する ～無能だとパーティーを追放された少年が最強に至るまで～")</f>
        <v>ゴミスキル【捨てる】が【取捨選択】に覚醒したので、最高難度の大迷宮を完全攻略する ～無能だとパーティーを追放された少年が最強に至るまで～</v>
      </c>
      <c r="G1165" s="20" t="str">
        <f>IFERROR(__xludf.DUMMYFUNCTION("""COMPUTED_VALUE"""),"1～3")</f>
        <v>1～3</v>
      </c>
      <c r="H1165" s="22" t="str">
        <f>IFERROR(__xludf.DUMMYFUNCTION("""COMPUTED_VALUE"""),"航島カズト/EAT")</f>
        <v>航島カズト/EAT</v>
      </c>
      <c r="I1165" s="22" t="str">
        <f>IFERROR(__xludf.DUMMYFUNCTION("""COMPUTED_VALUE"""),"少年")</f>
        <v>少年</v>
      </c>
      <c r="J1165" s="22"/>
      <c r="K1165" s="22"/>
      <c r="L1165" s="22" t="str">
        <f>IFERROR(__xludf.DUMMYFUNCTION("""COMPUTED_VALUE"""),"ファンギルド")</f>
        <v>ファンギルド</v>
      </c>
      <c r="M1165" s="23">
        <f>IFERROR(__xludf.DUMMYFUNCTION("""COMPUTED_VALUE"""),45362.0)</f>
        <v>45362</v>
      </c>
      <c r="N1165" s="23">
        <f>IFERROR(__xludf.DUMMYFUNCTION("""COMPUTED_VALUE"""),45433.0)</f>
        <v>45433</v>
      </c>
      <c r="O1165" s="20"/>
      <c r="P1165" s="32" t="str">
        <f>IFERROR(__xludf.DUMMYFUNCTION("""COMPUTED_VALUE"""),"可")</f>
        <v>可</v>
      </c>
      <c r="Q1165" s="30"/>
      <c r="R1165" s="22"/>
      <c r="S1165" s="22" t="str">
        <f>IFERROR(__xludf.DUMMYFUNCTION("""COMPUTED_VALUE"""),"20240213_ファンギルド_ゴミスキル【捨てる】が【取捨選択】に覚醒したので、最高難度の大迷宮を完全攻略する")</f>
        <v>20240213_ファンギルド_ゴミスキル【捨てる】が【取捨選択】に覚醒したので、最高難度の大迷宮を完全攻略する</v>
      </c>
      <c r="T1165" s="22" t="str">
        <f>IFERROR(__xludf.DUMMYFUNCTION("""COMPUTED_VALUE"""),"格納済み")</f>
        <v>格納済み</v>
      </c>
      <c r="U1165" s="15" t="str">
        <f>IFERROR(__xludf.DUMMYFUNCTION("""COMPUTED_VALUE"""),"©Kazuto Kohjima/EAT/FUNGUILD")</f>
        <v>©Kazuto Kohjima/EAT/FUNGUILD</v>
      </c>
      <c r="V1165" s="8" t="str">
        <f>IFERROR(__xludf.DUMMYFUNCTION("""COMPUTED_VALUE"""),"「いつか絶対、大迷宮を二人で攻略しましょうね――。」かつて幼馴染の少女と約束し、大迷宮に挑む探索者になったテイク。しかしテイクは探索者の才能に恵まれず、発現したスキルも手のひら大のものを消去する【捨てる】というゴミスキル。パーティー内では役立たずの烙印を押され、希望の見えない地獄の日々を送っていた。ある日、大迷宮の探索中に理不尽に追放されたテイクは死を覚悟する中で【取捨選択】のスキルに覚醒する。それは倒した敵のステータスやスキルを自身に加算できる規格外のスキルで…!?少年はかつて誓った約束を果たすため、自"&amp;"分の運命すら取捨選択していく…！捨てられなかった夢をその手に掴む、成り上がり冒険譚！")</f>
        <v>「いつか絶対、大迷宮を二人で攻略しましょうね――。」かつて幼馴染の少女と約束し、大迷宮に挑む探索者になったテイク。しかしテイクは探索者の才能に恵まれず、発現したスキルも手のひら大のものを消去する【捨てる】というゴミスキル。パーティー内では役立たずの烙印を押され、希望の見えない地獄の日々を送っていた。ある日、大迷宮の探索中に理不尽に追放されたテイクは死を覚悟する中で【取捨選択】のスキルに覚醒する。それは倒した敵のステータスやスキルを自身に加算できる規格外のスキルで…!?少年はかつて誓った約束を果たすため、自分の運命すら取捨選択していく…！捨てられなかった夢をその手に掴む、成り上がり冒険譚！</v>
      </c>
      <c r="W1165" s="14"/>
      <c r="X1165" s="14" t="str">
        <f>IFERROR(__xludf.DUMMYFUNCTION("""COMPUTED_VALUE"""),"有")</f>
        <v>有</v>
      </c>
      <c r="Y1165" s="8" t="str">
        <f>IFERROR(__xludf.DUMMYFUNCTION("""COMPUTED_VALUE"""),"P7まで")</f>
        <v>P7まで</v>
      </c>
      <c r="Z1165" s="7"/>
      <c r="AA1165" s="7"/>
      <c r="AB1165" s="7"/>
    </row>
    <row r="1166" ht="15.75" customHeight="1">
      <c r="A1166" s="26">
        <f>IFERROR(__xludf.DUMMYFUNCTION("""COMPUTED_VALUE"""),2966.0)</f>
        <v>2966</v>
      </c>
      <c r="B1166" s="22" t="str">
        <f>IFERROR(__xludf.DUMMYFUNCTION("""COMPUTED_VALUE"""),"確定")</f>
        <v>確定</v>
      </c>
      <c r="C1166" s="28">
        <f>IFERROR(__xludf.DUMMYFUNCTION("""COMPUTED_VALUE"""),45335.0)</f>
        <v>45335</v>
      </c>
      <c r="D1166" s="28">
        <f>IFERROR(__xludf.DUMMYFUNCTION("""COMPUTED_VALUE"""),45336.0)</f>
        <v>45336</v>
      </c>
      <c r="E1166" s="31">
        <f>IFERROR(__xludf.DUMMYFUNCTION("""COMPUTED_VALUE"""),288241.0)</f>
        <v>288241</v>
      </c>
      <c r="F1166" s="22" t="str">
        <f>IFERROR(__xludf.DUMMYFUNCTION("""COMPUTED_VALUE"""),"生贄の村")</f>
        <v>生贄の村</v>
      </c>
      <c r="G1166" s="20" t="str">
        <f>IFERROR(__xludf.DUMMYFUNCTION("""COMPUTED_VALUE"""),"1～3")</f>
        <v>1～3</v>
      </c>
      <c r="H1166" s="22" t="str">
        <f>IFERROR(__xludf.DUMMYFUNCTION("""COMPUTED_VALUE"""),"金成陽三郎/きたがわ翔/AMP")</f>
        <v>金成陽三郎/きたがわ翔/AMP</v>
      </c>
      <c r="I1166" s="22" t="str">
        <f>IFERROR(__xludf.DUMMYFUNCTION("""COMPUTED_VALUE"""),"青年")</f>
        <v>青年</v>
      </c>
      <c r="J1166" s="22"/>
      <c r="K1166" s="22"/>
      <c r="L1166" s="22" t="str">
        <f>IFERROR(__xludf.DUMMYFUNCTION("""COMPUTED_VALUE"""),"ファンギルド")</f>
        <v>ファンギルド</v>
      </c>
      <c r="M1166" s="23">
        <f>IFERROR(__xludf.DUMMYFUNCTION("""COMPUTED_VALUE"""),45360.0)</f>
        <v>45360</v>
      </c>
      <c r="N1166" s="23">
        <f>IFERROR(__xludf.DUMMYFUNCTION("""COMPUTED_VALUE"""),45394.0)</f>
        <v>45394</v>
      </c>
      <c r="O1166" s="20"/>
      <c r="P1166" s="32" t="str">
        <f>IFERROR(__xludf.DUMMYFUNCTION("""COMPUTED_VALUE"""),"可")</f>
        <v>可</v>
      </c>
      <c r="Q1166" s="30"/>
      <c r="R1166" s="22"/>
      <c r="S1166" s="22" t="str">
        <f>IFERROR(__xludf.DUMMYFUNCTION("""COMPUTED_VALUE"""),"20240213_ファンギルド_生贄の村")</f>
        <v>20240213_ファンギルド_生贄の村</v>
      </c>
      <c r="T1166" s="22" t="str">
        <f>IFERROR(__xludf.DUMMYFUNCTION("""COMPUTED_VALUE"""),"格納済み")</f>
        <v>格納済み</v>
      </c>
      <c r="U1166" s="15" t="str">
        <f>IFERROR(__xludf.DUMMYFUNCTION("""COMPUTED_VALUE"""),"©金成陽三郎/きたがわ翔/AMP/ファンギルド")</f>
        <v>©金成陽三郎/きたがわ翔/AMP/ファンギルド</v>
      </c>
      <c r="V1166" s="8" t="str">
        <f>IFERROR(__xludf.DUMMYFUNCTION("""COMPUTED_VALUE"""),"「神社に近づいてはいけません！ 無事にこの村から出たければ…！」――守矢灯（もりや・とう）は幸せの絶頂だった。恋人のかすみがプロポーズを受け入れてくれたのだ。しかしその日を境に、かすみは姿を消した…「実家の叔母と姉に承諾をもらってくる」と言い残して。かすみの行方を追い、灯は乙裁村（おとたちむら）を訪れる。そこは、古くから領主一族が支配する閉鎖的な村だった。灯に不審な目を向ける村人たち、物憂げな表情を浮かべるかすみの姉・椿、得体のしれないモノを祀る神社。この村は何かを隠している…？ 25年に一度の祭りを間近"&amp;"に控えた朝、ある村人の変死体が発見されて――！")</f>
        <v>「神社に近づいてはいけません！ 無事にこの村から出たければ…！」――守矢灯（もりや・とう）は幸せの絶頂だった。恋人のかすみがプロポーズを受け入れてくれたのだ。しかしその日を境に、かすみは姿を消した…「実家の叔母と姉に承諾をもらってくる」と言い残して。かすみの行方を追い、灯は乙裁村（おとたちむら）を訪れる。そこは、古くから領主一族が支配する閉鎖的な村だった。灯に不審な目を向ける村人たち、物憂げな表情を浮かべるかすみの姉・椿、得体のしれないモノを祀る神社。この村は何かを隠している…？ 25年に一度の祭りを間近に控えた朝、ある村人の変死体が発見されて――！</v>
      </c>
      <c r="W1166" s="14"/>
      <c r="X1166" s="14" t="str">
        <f>IFERROR(__xludf.DUMMYFUNCTION("""COMPUTED_VALUE"""),"有")</f>
        <v>有</v>
      </c>
      <c r="Y1166" s="8" t="str">
        <f>IFERROR(__xludf.DUMMYFUNCTION("""COMPUTED_VALUE"""),"P7まで")</f>
        <v>P7まで</v>
      </c>
      <c r="Z1166" s="7"/>
      <c r="AA1166" s="7"/>
      <c r="AB1166" s="7"/>
    </row>
    <row r="1167" ht="15.75" customHeight="1">
      <c r="A1167" s="26">
        <f>IFERROR(__xludf.DUMMYFUNCTION("""COMPUTED_VALUE"""),2967.0)</f>
        <v>2967</v>
      </c>
      <c r="B1167" s="22" t="str">
        <f>IFERROR(__xludf.DUMMYFUNCTION("""COMPUTED_VALUE"""),"確定")</f>
        <v>確定</v>
      </c>
      <c r="C1167" s="28">
        <f>IFERROR(__xludf.DUMMYFUNCTION("""COMPUTED_VALUE"""),45335.0)</f>
        <v>45335</v>
      </c>
      <c r="D1167" s="28">
        <f>IFERROR(__xludf.DUMMYFUNCTION("""COMPUTED_VALUE"""),45336.0)</f>
        <v>45336</v>
      </c>
      <c r="E1167" s="31">
        <f>IFERROR(__xludf.DUMMYFUNCTION("""COMPUTED_VALUE"""),288242.0)</f>
        <v>288242</v>
      </c>
      <c r="F1167" s="22" t="str">
        <f>IFERROR(__xludf.DUMMYFUNCTION("""COMPUTED_VALUE"""),"ヒステリック・ハーレム～搾られる男と堕ちる女 ～")</f>
        <v>ヒステリック・ハーレム～搾られる男と堕ちる女 ～</v>
      </c>
      <c r="G1167" s="20" t="str">
        <f>IFERROR(__xludf.DUMMYFUNCTION("""COMPUTED_VALUE"""),"1～3")</f>
        <v>1～3</v>
      </c>
      <c r="H1167" s="22" t="str">
        <f>IFERROR(__xludf.DUMMYFUNCTION("""COMPUTED_VALUE"""),"綾乃るみ")</f>
        <v>綾乃るみ</v>
      </c>
      <c r="I1167" s="22" t="str">
        <f>IFERROR(__xludf.DUMMYFUNCTION("""COMPUTED_VALUE"""),"青年")</f>
        <v>青年</v>
      </c>
      <c r="J1167" s="22"/>
      <c r="K1167" s="22"/>
      <c r="L1167" s="22" t="str">
        <f>IFERROR(__xludf.DUMMYFUNCTION("""COMPUTED_VALUE"""),"Rush!")</f>
        <v>Rush!</v>
      </c>
      <c r="M1167" s="23">
        <f>IFERROR(__xludf.DUMMYFUNCTION("""COMPUTED_VALUE"""),45360.0)</f>
        <v>45360</v>
      </c>
      <c r="N1167" s="23">
        <f>IFERROR(__xludf.DUMMYFUNCTION("""COMPUTED_VALUE"""),45436.0)</f>
        <v>45436</v>
      </c>
      <c r="O1167" s="20"/>
      <c r="P1167" s="29" t="str">
        <f>IFERROR(__xludf.DUMMYFUNCTION("""COMPUTED_VALUE"""),"可")</f>
        <v>可</v>
      </c>
      <c r="Q1167" s="30" t="str">
        <f>IFERROR(__xludf.DUMMYFUNCTION("""COMPUTED_VALUE"""),"素材は3巻目まで使用OK")</f>
        <v>素材は3巻目まで使用OK</v>
      </c>
      <c r="R1167" s="22"/>
      <c r="S1167" s="22" t="str">
        <f>IFERROR(__xludf.DUMMYFUNCTION("""COMPUTED_VALUE"""),"20240213_ファンギルド_ヒステリック・ハーレム")</f>
        <v>20240213_ファンギルド_ヒステリック・ハーレム</v>
      </c>
      <c r="T1167" s="22" t="str">
        <f>IFERROR(__xludf.DUMMYFUNCTION("""COMPUTED_VALUE"""),"格納済み")</f>
        <v>格納済み</v>
      </c>
      <c r="U1167" s="15" t="str">
        <f>IFERROR(__xludf.DUMMYFUNCTION("""COMPUTED_VALUE"""),"©綾乃るみ/ファンギルド")</f>
        <v>©綾乃るみ/ファンギルド</v>
      </c>
      <c r="V1167" s="8" t="str">
        <f>IFERROR(__xludf.DUMMYFUNCTION("""COMPUTED_VALUE"""),"整体院を営む昴（すばる）と妻の藍華（あいか）。二人は結婚生活も仕事もうまくいっていた――不妊治療を始めるまでは。かさむ治療費、追い詰められて心を病んでしまった藍華。更に追い打ちをかけるように、昴の整体院も廃業寸前。そんな時、マッサージ店を経営している先輩・吾郎（ごろう）から“性感マッサージ店”のアルバイトの話を持ち掛けられる。最初は断るつもりの昴だったが…莫大な報酬に抗えず引き受けてしまう。「妻との幸せな家庭を築くため――」しかし、昴が足を踏み入れた世界は、女たちの欲が蠢くとんでもない所だった…")</f>
        <v>整体院を営む昴（すばる）と妻の藍華（あいか）。二人は結婚生活も仕事もうまくいっていた――不妊治療を始めるまでは。かさむ治療費、追い詰められて心を病んでしまった藍華。更に追い打ちをかけるように、昴の整体院も廃業寸前。そんな時、マッサージ店を経営している先輩・吾郎（ごろう）から“性感マッサージ店”のアルバイトの話を持ち掛けられる。最初は断るつもりの昴だったが…莫大な報酬に抗えず引き受けてしまう。「妻との幸せな家庭を築くため――」しかし、昴が足を踏み入れた世界は、女たちの欲が蠢くとんでもない所だった…</v>
      </c>
      <c r="W1167" s="14"/>
      <c r="X1167" s="14" t="str">
        <f>IFERROR(__xludf.DUMMYFUNCTION("""COMPUTED_VALUE"""),"有")</f>
        <v>有</v>
      </c>
      <c r="Y1167" s="8" t="str">
        <f>IFERROR(__xludf.DUMMYFUNCTION("""COMPUTED_VALUE"""),"P7まで")</f>
        <v>P7まで</v>
      </c>
      <c r="Z1167" s="7"/>
      <c r="AA1167" s="7"/>
      <c r="AB1167" s="7"/>
    </row>
    <row r="1168" ht="15.75" customHeight="1">
      <c r="A1168" s="26">
        <f>IFERROR(__xludf.DUMMYFUNCTION("""COMPUTED_VALUE"""),2968.0)</f>
        <v>2968</v>
      </c>
      <c r="B1168" s="22" t="str">
        <f>IFERROR(__xludf.DUMMYFUNCTION("""COMPUTED_VALUE"""),"確定")</f>
        <v>確定</v>
      </c>
      <c r="C1168" s="28">
        <f>IFERROR(__xludf.DUMMYFUNCTION("""COMPUTED_VALUE"""),45335.0)</f>
        <v>45335</v>
      </c>
      <c r="D1168" s="28">
        <f>IFERROR(__xludf.DUMMYFUNCTION("""COMPUTED_VALUE"""),45336.0)</f>
        <v>45336</v>
      </c>
      <c r="E1168" s="31">
        <f>IFERROR(__xludf.DUMMYFUNCTION("""COMPUTED_VALUE"""),288237.0)</f>
        <v>288237</v>
      </c>
      <c r="F1168" s="22" t="str">
        <f>IFERROR(__xludf.DUMMYFUNCTION("""COMPUTED_VALUE"""),"理想のカラダで美女を抱けたなら")</f>
        <v>理想のカラダで美女を抱けたなら</v>
      </c>
      <c r="G1168" s="11" t="str">
        <f>IFERROR(__xludf.DUMMYFUNCTION("""COMPUTED_VALUE"""),"1～4")</f>
        <v>1～4</v>
      </c>
      <c r="H1168" s="22" t="str">
        <f>IFERROR(__xludf.DUMMYFUNCTION("""COMPUTED_VALUE"""),"araba/ひばしら")</f>
        <v>araba/ひばしら</v>
      </c>
      <c r="I1168" s="22" t="str">
        <f>IFERROR(__xludf.DUMMYFUNCTION("""COMPUTED_VALUE"""),"青年")</f>
        <v>青年</v>
      </c>
      <c r="J1168" s="22"/>
      <c r="K1168" s="22"/>
      <c r="L1168" s="22" t="str">
        <f>IFERROR(__xludf.DUMMYFUNCTION("""COMPUTED_VALUE"""),"Rush!")</f>
        <v>Rush!</v>
      </c>
      <c r="M1168" s="23">
        <f>IFERROR(__xludf.DUMMYFUNCTION("""COMPUTED_VALUE"""),45364.0)</f>
        <v>45364</v>
      </c>
      <c r="N1168" s="23">
        <f>IFERROR(__xludf.DUMMYFUNCTION("""COMPUTED_VALUE"""),45398.0)</f>
        <v>45398</v>
      </c>
      <c r="O1168" s="20"/>
      <c r="P1168" s="32" t="str">
        <f>IFERROR(__xludf.DUMMYFUNCTION("""COMPUTED_VALUE"""),"可")</f>
        <v>可</v>
      </c>
      <c r="Q1168" s="30"/>
      <c r="R1168" s="22"/>
      <c r="S1168" s="22" t="str">
        <f>IFERROR(__xludf.DUMMYFUNCTION("""COMPUTED_VALUE"""),"20240213_ファンギルド_理想のカラダで美女を抱けたなら")</f>
        <v>20240213_ファンギルド_理想のカラダで美女を抱けたなら</v>
      </c>
      <c r="T1168" s="22" t="str">
        <f>IFERROR(__xludf.DUMMYFUNCTION("""COMPUTED_VALUE"""),"格納済み")</f>
        <v>格納済み</v>
      </c>
      <c r="U1168" s="15" t="str">
        <f>IFERROR(__xludf.DUMMYFUNCTION("""COMPUTED_VALUE"""),"©araba/ひばしら/TOPTOON")</f>
        <v>©araba/ひばしら/TOPTOON</v>
      </c>
      <c r="V1168" s="8" t="str">
        <f>IFERROR(__xludf.DUMMYFUNCTION("""COMPUTED_VALUE"""),"名門大学を卒業して美しい妻を娶り常にエリートコースを歩んできた二階堂情治には、とあるコンプレックスがあった。それは…股間が小指サイズなこと！それが原因で妻を寝取られ、浮気相手に逆上された上に殺されてしまった情治。――目を覚ますとそこは死後の世界。そこで情治は神様から特別に知能・身長・アソコのサイズを好きに割り振れるチャンスを与えられ、第二の人生を始める事に。「Welcomeご主人様！」神から与えられたプログラムとともに、女性攻略ミッションに挑む――理想の身体を手に入れた情治の、欲望に身を任せた第二の人生！")</f>
        <v>名門大学を卒業して美しい妻を娶り常にエリートコースを歩んできた二階堂情治には、とあるコンプレックスがあった。それは…股間が小指サイズなこと！それが原因で妻を寝取られ、浮気相手に逆上された上に殺されてしまった情治。――目を覚ますとそこは死後の世界。そこで情治は神様から特別に知能・身長・アソコのサイズを好きに割り振れるチャンスを与えられ、第二の人生を始める事に。「Welcomeご主人様！」神から与えられたプログラムとともに、女性攻略ミッションに挑む――理想の身体を手に入れた情治の、欲望に身を任せた第二の人生！</v>
      </c>
      <c r="W1168" s="14"/>
      <c r="X1168" s="14" t="str">
        <f>IFERROR(__xludf.DUMMYFUNCTION("""COMPUTED_VALUE"""),"有")</f>
        <v>有</v>
      </c>
      <c r="Y1168" s="8" t="str">
        <f>IFERROR(__xludf.DUMMYFUNCTION("""COMPUTED_VALUE"""),"2024/3/31まで1巻無料")</f>
        <v>2024/3/31まで1巻無料</v>
      </c>
      <c r="Z1168" s="7"/>
      <c r="AA1168" s="7"/>
      <c r="AB1168" s="7"/>
    </row>
    <row r="1169" ht="15.75" customHeight="1">
      <c r="A1169" s="26">
        <f>IFERROR(__xludf.DUMMYFUNCTION("""COMPUTED_VALUE"""),2969.0)</f>
        <v>2969</v>
      </c>
      <c r="B1169" s="22" t="str">
        <f>IFERROR(__xludf.DUMMYFUNCTION("""COMPUTED_VALUE"""),"確定")</f>
        <v>確定</v>
      </c>
      <c r="C1169" s="28">
        <f>IFERROR(__xludf.DUMMYFUNCTION("""COMPUTED_VALUE"""),45335.0)</f>
        <v>45335</v>
      </c>
      <c r="D1169" s="28">
        <f>IFERROR(__xludf.DUMMYFUNCTION("""COMPUTED_VALUE"""),45336.0)</f>
        <v>45336</v>
      </c>
      <c r="E1169" s="31">
        <f>IFERROR(__xludf.DUMMYFUNCTION("""COMPUTED_VALUE"""),288238.0)</f>
        <v>288238</v>
      </c>
      <c r="F1169" s="22" t="str">
        <f>IFERROR(__xludf.DUMMYFUNCTION("""COMPUTED_VALUE"""),"マルセル～溶け込む鎖～")</f>
        <v>マルセル～溶け込む鎖～</v>
      </c>
      <c r="G1169" s="11" t="str">
        <f>IFERROR(__xludf.DUMMYFUNCTION("""COMPUTED_VALUE"""),"1～4")</f>
        <v>1～4</v>
      </c>
      <c r="H1169" s="22" t="str">
        <f>IFERROR(__xludf.DUMMYFUNCTION("""COMPUTED_VALUE"""),"Ginsung/chmun")</f>
        <v>Ginsung/chmun</v>
      </c>
      <c r="I1169" s="22" t="str">
        <f>IFERROR(__xludf.DUMMYFUNCTION("""COMPUTED_VALUE"""),"BL")</f>
        <v>BL</v>
      </c>
      <c r="J1169" s="22"/>
      <c r="K1169" s="22"/>
      <c r="L1169" s="22" t="str">
        <f>IFERROR(__xludf.DUMMYFUNCTION("""COMPUTED_VALUE"""),"Rush!")</f>
        <v>Rush!</v>
      </c>
      <c r="M1169" s="23">
        <f>IFERROR(__xludf.DUMMYFUNCTION("""COMPUTED_VALUE"""),45364.0)</f>
        <v>45364</v>
      </c>
      <c r="N1169" s="23">
        <f>IFERROR(__xludf.DUMMYFUNCTION("""COMPUTED_VALUE"""),45391.0)</f>
        <v>45391</v>
      </c>
      <c r="O1169" s="20"/>
      <c r="P1169" s="32" t="str">
        <f>IFERROR(__xludf.DUMMYFUNCTION("""COMPUTED_VALUE"""),"可")</f>
        <v>可</v>
      </c>
      <c r="Q1169" s="30"/>
      <c r="R1169" s="22"/>
      <c r="S1169" s="22" t="str">
        <f>IFERROR(__xludf.DUMMYFUNCTION("""COMPUTED_VALUE"""),"20240213_ファンギルド_マルセル～溶け込む鎖～")</f>
        <v>20240213_ファンギルド_マルセル～溶け込む鎖～</v>
      </c>
      <c r="T1169" s="22" t="str">
        <f>IFERROR(__xludf.DUMMYFUNCTION("""COMPUTED_VALUE"""),"格納済み")</f>
        <v>格納済み</v>
      </c>
      <c r="U1169" s="15" t="str">
        <f>IFERROR(__xludf.DUMMYFUNCTION("""COMPUTED_VALUE"""),"©Ginsung/chmun")</f>
        <v>©Ginsung/chmun</v>
      </c>
      <c r="V1169" s="8" t="str">
        <f>IFERROR(__xludf.DUMMYFUNCTION("""COMPUTED_VALUE"""),"失踪した姉のことを心配していたローは、姉を捜索している刑事のマークと遭遇する。マークは彼女の居場所を探すため、ローにマザー・アース (ME)いう製薬会社に潜入し、「マルセル」という麻薬の情報を探ってほしいと頼む。保安チームの一員としてMEで働き始めたローは、会長・Aと出会い、彼が危険な男だと知りながらも惹かれてしまい…。二人の関係が深まれば深まるほど、Aが失踪事件と関わっていることに気付くが、それでもAから離れられないロー。果たして二人の結末は!?【本コミックは、いわゆる成人向けコミックではありませんが、"&amp;"一部暴力的または性的な描写が含まれておりますので、ご購入はご自身の判断と責任において行なって下さい。】")</f>
        <v>失踪した姉のことを心配していたローは、姉を捜索している刑事のマークと遭遇する。マークは彼女の居場所を探すため、ローにマザー・アース (ME)いう製薬会社に潜入し、「マルセル」という麻薬の情報を探ってほしいと頼む。保安チームの一員としてMEで働き始めたローは、会長・Aと出会い、彼が危険な男だと知りながらも惹かれてしまい…。二人の関係が深まれば深まるほど、Aが失踪事件と関わっていることに気付くが、それでもAから離れられないロー。果たして二人の結末は!?【本コミックは、いわゆる成人向けコミックではありませんが、一部暴力的または性的な描写が含まれておりますので、ご購入はご自身の判断と責任において行なって下さい。】</v>
      </c>
      <c r="W1169" s="14"/>
      <c r="X1169" s="14" t="str">
        <f>IFERROR(__xludf.DUMMYFUNCTION("""COMPUTED_VALUE"""),"有")</f>
        <v>有</v>
      </c>
      <c r="Y1169" s="8" t="str">
        <f>IFERROR(__xludf.DUMMYFUNCTION("""COMPUTED_VALUE"""),"P18まで")</f>
        <v>P18まで</v>
      </c>
      <c r="Z1169" s="7"/>
      <c r="AA1169" s="7"/>
      <c r="AB1169" s="7"/>
    </row>
    <row r="1170" ht="15.75" customHeight="1">
      <c r="A1170" s="26">
        <f>IFERROR(__xludf.DUMMYFUNCTION("""COMPUTED_VALUE"""),2971.0)</f>
        <v>2971</v>
      </c>
      <c r="B1170" s="22" t="str">
        <f>IFERROR(__xludf.DUMMYFUNCTION("""COMPUTED_VALUE"""),"確定")</f>
        <v>確定</v>
      </c>
      <c r="C1170" s="28">
        <f>IFERROR(__xludf.DUMMYFUNCTION("""COMPUTED_VALUE"""),45335.0)</f>
        <v>45335</v>
      </c>
      <c r="D1170" s="28">
        <f>IFERROR(__xludf.DUMMYFUNCTION("""COMPUTED_VALUE"""),45336.0)</f>
        <v>45336</v>
      </c>
      <c r="E1170" s="31">
        <f>IFERROR(__xludf.DUMMYFUNCTION("""COMPUTED_VALUE"""),289181.0)</f>
        <v>289181</v>
      </c>
      <c r="F1170" s="22" t="str">
        <f>IFERROR(__xludf.DUMMYFUNCTION("""COMPUTED_VALUE"""),"【単話版】オネエ上司と後天オメガ")</f>
        <v>【単話版】オネエ上司と後天オメガ</v>
      </c>
      <c r="G1170" s="16" t="str">
        <f>IFERROR(__xludf.DUMMYFUNCTION("""COMPUTED_VALUE"""),"1～4")</f>
        <v>1～4</v>
      </c>
      <c r="H1170" s="22" t="str">
        <f>IFERROR(__xludf.DUMMYFUNCTION("""COMPUTED_VALUE"""),"楓かのは")</f>
        <v>楓かのは</v>
      </c>
      <c r="I1170" s="22" t="str">
        <f>IFERROR(__xludf.DUMMYFUNCTION("""COMPUTED_VALUE"""),"女性")</f>
        <v>女性</v>
      </c>
      <c r="J1170" s="22"/>
      <c r="K1170" s="22"/>
      <c r="L1170" s="22" t="str">
        <f>IFERROR(__xludf.DUMMYFUNCTION("""COMPUTED_VALUE"""),"新潮社")</f>
        <v>新潮社</v>
      </c>
      <c r="M1170" s="23">
        <f>IFERROR(__xludf.DUMMYFUNCTION("""COMPUTED_VALUE"""),45376.0)</f>
        <v>45376</v>
      </c>
      <c r="N1170" s="33">
        <f>IFERROR(__xludf.DUMMYFUNCTION("""COMPUTED_VALUE"""),45656.0)</f>
        <v>45656</v>
      </c>
      <c r="O1170" s="20"/>
      <c r="P1170" s="29" t="str">
        <f>IFERROR(__xludf.DUMMYFUNCTION("""COMPUTED_VALUE"""),"否")</f>
        <v>否</v>
      </c>
      <c r="Q1170" s="30" t="str">
        <f>IFERROR(__xludf.DUMMYFUNCTION("""COMPUTED_VALUE"""),"協業作品（KANATA）&lt;BR&gt;")</f>
        <v>協業作品（KANATA）&lt;BR&gt;</v>
      </c>
      <c r="R1170" s="22"/>
      <c r="S1170" s="22" t="str">
        <f>IFERROR(__xludf.DUMMYFUNCTION("""COMPUTED_VALUE"""),"20240213_新潮社_オネエ上司と後天オメガ")</f>
        <v>20240213_新潮社_オネエ上司と後天オメガ</v>
      </c>
      <c r="T1170" s="22" t="str">
        <f>IFERROR(__xludf.DUMMYFUNCTION("""COMPUTED_VALUE"""),"格納済み")</f>
        <v>格納済み</v>
      </c>
      <c r="U1170" s="15" t="str">
        <f>IFERROR(__xludf.DUMMYFUNCTION("""COMPUTED_VALUE"""),"©楓かのは／新潮社")</f>
        <v>©楓かのは／新潮社</v>
      </c>
      <c r="V1170" s="8" t="str">
        <f>IFERROR(__xludf.DUMMYFUNCTION("""COMPUTED_VALUE"""),"後天性オメガである夏目祥子は、人目を避け、ベータに擬態して暮らしていた。そんな彼女の前に現れたのは、オネエなイケメン上司、一之瀬紫。偏見なく、周囲の人と接する一之瀬の姿に心を開き始めた夏目は、偶然が重なり、一之瀬の前で発情してしまう――。「大丈夫よ。すぐに楽にしてあげるから」男性恐怖症の地味オメガとオメガに襲われた過去をもつイケメンオネエアルファ。痛みを抱える二人の恋の行方は――？")</f>
        <v>後天性オメガである夏目祥子は、人目を避け、ベータに擬態して暮らしていた。そんな彼女の前に現れたのは、オネエなイケメン上司、一之瀬紫。偏見なく、周囲の人と接する一之瀬の姿に心を開き始めた夏目は、偶然が重なり、一之瀬の前で発情してしまう――。「大丈夫よ。すぐに楽にしてあげるから」男性恐怖症の地味オメガとオメガに襲われた過去をもつイケメンオネエアルファ。痛みを抱える二人の恋の行方は――？</v>
      </c>
      <c r="W1170" s="14"/>
      <c r="X1170" s="14" t="str">
        <f>IFERROR(__xludf.DUMMYFUNCTION("""COMPUTED_VALUE"""),"有")</f>
        <v>有</v>
      </c>
      <c r="Y1170" s="8" t="str">
        <f>IFERROR(__xludf.DUMMYFUNCTION("""COMPUTED_VALUE"""),"2024/4/7まで1巻無料")</f>
        <v>2024/4/7まで1巻無料</v>
      </c>
      <c r="Z1170" s="7"/>
      <c r="AA1170" s="7"/>
      <c r="AB1170" s="7"/>
    </row>
    <row r="1171" ht="15.75" customHeight="1">
      <c r="A1171" s="26">
        <f>IFERROR(__xludf.DUMMYFUNCTION("""COMPUTED_VALUE"""),2700.0)</f>
        <v>2700</v>
      </c>
      <c r="B1171" s="22" t="str">
        <f>IFERROR(__xludf.DUMMYFUNCTION("""COMPUTED_VALUE"""),"確定")</f>
        <v>確定</v>
      </c>
      <c r="C1171" s="28">
        <f>IFERROR(__xludf.DUMMYFUNCTION("""COMPUTED_VALUE"""),45260.0)</f>
        <v>45260</v>
      </c>
      <c r="D1171" s="28">
        <f>IFERROR(__xludf.DUMMYFUNCTION("""COMPUTED_VALUE"""),45344.0)</f>
        <v>45344</v>
      </c>
      <c r="E1171" s="26">
        <f>IFERROR(__xludf.DUMMYFUNCTION("""COMPUTED_VALUE"""),287475.0)</f>
        <v>287475</v>
      </c>
      <c r="F1171" s="22" t="str">
        <f>IFERROR(__xludf.DUMMYFUNCTION("""COMPUTED_VALUE"""),"先生なのに、ハジメテを元教え子におそわるなんて!")</f>
        <v>先生なのに、ハジメテを元教え子におそわるなんて!</v>
      </c>
      <c r="G1171" s="20" t="str">
        <f>IFERROR(__xludf.DUMMYFUNCTION("""COMPUTED_VALUE"""),"1～3")</f>
        <v>1～3</v>
      </c>
      <c r="H1171" s="22" t="str">
        <f>IFERROR(__xludf.DUMMYFUNCTION("""COMPUTED_VALUE"""),"中条亮")</f>
        <v>中条亮</v>
      </c>
      <c r="I1171" s="22" t="str">
        <f>IFERROR(__xludf.DUMMYFUNCTION("""COMPUTED_VALUE"""),"TL（R18）")</f>
        <v>TL（R18）</v>
      </c>
      <c r="J1171" s="22"/>
      <c r="K1171" s="22"/>
      <c r="L1171" s="22" t="str">
        <f>IFERROR(__xludf.DUMMYFUNCTION("""COMPUTED_VALUE"""),"ナンバーナイン")</f>
        <v>ナンバーナイン</v>
      </c>
      <c r="M1171" s="23">
        <f>IFERROR(__xludf.DUMMYFUNCTION("""COMPUTED_VALUE"""),45352.0)</f>
        <v>45352</v>
      </c>
      <c r="N1171" s="23">
        <f>IFERROR(__xludf.DUMMYFUNCTION("""COMPUTED_VALUE"""),45412.0)</f>
        <v>45412</v>
      </c>
      <c r="O1171" s="20"/>
      <c r="P1171" s="34" t="str">
        <f>IFERROR(__xludf.DUMMYFUNCTION("""COMPUTED_VALUE"""),"可")</f>
        <v>可</v>
      </c>
      <c r="Q1171" s="30" t="str">
        <f>IFERROR(__xludf.DUMMYFUNCTION("""COMPUTED_VALUE"""),"広告コミットOK(12/8)
0000287475_jp_0001~003
レーベル：無し")</f>
        <v>広告コミットOK(12/8)
0000287475_jp_0001~003
レーベル：無し</v>
      </c>
      <c r="R1171" s="22"/>
      <c r="S1171" s="22" t="str">
        <f>IFERROR(__xludf.DUMMYFUNCTION("""COMPUTED_VALUE"""),"20240222_ナンバーナイン_3月新作")</f>
        <v>20240222_ナンバーナイン_3月新作</v>
      </c>
      <c r="T1171" s="22"/>
      <c r="U1171" s="15" t="str">
        <f>IFERROR(__xludf.DUMMYFUNCTION("""COMPUTED_VALUE"""),"(C)中条亮/ナンバーナイン")</f>
        <v>(C)中条亮/ナンバーナイン</v>
      </c>
      <c r="V1171" s="8" t="str">
        <f>IFERROR(__xludf.DUMMYFUNCTION("""COMPUTED_VALUE"""),"30歳目前にして婚活中のOLである主人公は、過去に家庭教師のアルバイトをしていた。
元教え子・凌太とは今も交流があり、就職活動中だった彼の内定が決まったお祝いをすることに。
お酒に酔った主人公から「30歳になるまえに処女を捨てたい」と聞いた凌太は、主人公をホテルへ連れ込みー…!?
「オレに任せて　死ぬほど気持ちイイセックス教えてあげる」
初めてのセックスを元教え子と致してしまった主人公はー…!?")</f>
        <v>30歳目前にして婚活中のOLである主人公は、過去に家庭教師のアルバイトをしていた。
元教え子・凌太とは今も交流があり、就職活動中だった彼の内定が決まったお祝いをすることに。
お酒に酔った主人公から「30歳になるまえに処女を捨てたい」と聞いた凌太は、主人公をホテルへ連れ込みー…!?
「オレに任せて　死ぬほど気持ちイイセックス教えてあげる」
初めてのセックスを元教え子と致してしまった主人公はー…!?</v>
      </c>
      <c r="W1171" s="14"/>
      <c r="X1171" s="14" t="str">
        <f>IFERROR(__xludf.DUMMYFUNCTION("""COMPUTED_VALUE"""),"有")</f>
        <v>有</v>
      </c>
      <c r="Y1171" s="8" t="str">
        <f>IFERROR(__xludf.DUMMYFUNCTION("""COMPUTED_VALUE"""),"2024/3/17まで1巻無料")</f>
        <v>2024/3/17まで1巻無料</v>
      </c>
      <c r="Z1171" s="7"/>
      <c r="AA1171" s="7"/>
      <c r="AB1171" s="7"/>
    </row>
    <row r="1172" ht="15.75" customHeight="1">
      <c r="A1172" s="26">
        <f>IFERROR(__xludf.DUMMYFUNCTION("""COMPUTED_VALUE"""),2701.0)</f>
        <v>2701</v>
      </c>
      <c r="B1172" s="22" t="str">
        <f>IFERROR(__xludf.DUMMYFUNCTION("""COMPUTED_VALUE"""),"確定")</f>
        <v>確定</v>
      </c>
      <c r="C1172" s="28">
        <f>IFERROR(__xludf.DUMMYFUNCTION("""COMPUTED_VALUE"""),45260.0)</f>
        <v>45260</v>
      </c>
      <c r="D1172" s="28">
        <f>IFERROR(__xludf.DUMMYFUNCTION("""COMPUTED_VALUE"""),45344.0)</f>
        <v>45344</v>
      </c>
      <c r="E1172" s="26">
        <f>IFERROR(__xludf.DUMMYFUNCTION("""COMPUTED_VALUE"""),287477.0)</f>
        <v>287477</v>
      </c>
      <c r="F1172" s="22" t="str">
        <f>IFERROR(__xludf.DUMMYFUNCTION("""COMPUTED_VALUE"""),"転生先でメタ発言をしたら攻略対象の王子が豹変しました")</f>
        <v>転生先でメタ発言をしたら攻略対象の王子が豹変しました</v>
      </c>
      <c r="G1172" s="20" t="str">
        <f>IFERROR(__xludf.DUMMYFUNCTION("""COMPUTED_VALUE"""),"1～3")</f>
        <v>1～3</v>
      </c>
      <c r="H1172" s="22" t="str">
        <f>IFERROR(__xludf.DUMMYFUNCTION("""COMPUTED_VALUE"""),"びた")</f>
        <v>びた</v>
      </c>
      <c r="I1172" s="22" t="str">
        <f>IFERROR(__xludf.DUMMYFUNCTION("""COMPUTED_VALUE"""),"TL（R18）")</f>
        <v>TL（R18）</v>
      </c>
      <c r="J1172" s="22"/>
      <c r="K1172" s="22"/>
      <c r="L1172" s="22" t="str">
        <f>IFERROR(__xludf.DUMMYFUNCTION("""COMPUTED_VALUE"""),"ナンバーナイン")</f>
        <v>ナンバーナイン</v>
      </c>
      <c r="M1172" s="23">
        <f>IFERROR(__xludf.DUMMYFUNCTION("""COMPUTED_VALUE"""),45352.0)</f>
        <v>45352</v>
      </c>
      <c r="N1172" s="23">
        <f>IFERROR(__xludf.DUMMYFUNCTION("""COMPUTED_VALUE"""),45504.66666666667)</f>
        <v>45504.66667</v>
      </c>
      <c r="O1172" s="20"/>
      <c r="P1172" s="34" t="str">
        <f>IFERROR(__xludf.DUMMYFUNCTION("""COMPUTED_VALUE"""),"可")</f>
        <v>可</v>
      </c>
      <c r="Q1172" s="30" t="str">
        <f>IFERROR(__xludf.DUMMYFUNCTION("""COMPUTED_VALUE"""),"広告コミットOK(12/8)
0000287477_jp_0001~003
レーベル：無し")</f>
        <v>広告コミットOK(12/8)
0000287477_jp_0001~003
レーベル：無し</v>
      </c>
      <c r="R1172" s="22"/>
      <c r="S1172" s="22" t="str">
        <f>IFERROR(__xludf.DUMMYFUNCTION("""COMPUTED_VALUE"""),"20240222_ナンバーナイン_3月新作")</f>
        <v>20240222_ナンバーナイン_3月新作</v>
      </c>
      <c r="T1172" s="22"/>
      <c r="U1172" s="15" t="str">
        <f>IFERROR(__xludf.DUMMYFUNCTION("""COMPUTED_VALUE"""),"(C)びた/ナンバーナイン")</f>
        <v>(C)びた/ナンバーナイン</v>
      </c>
      <c r="V1172" s="8" t="str">
        <f>IFERROR(__xludf.DUMMYFUNCTION("""COMPUTED_VALUE"""),"あなたを手に入れるために完璧な王子として振る舞ってきた男の　醜い本当の姿をお見せしましょう――。
乙女ゲームの世界へ転生してしまった主人公・マイ。
転生先のヒロイン・ソフィア（ソフィ）として、
王子・アルベール（アル）の告白イベントまでなんとかたどり着く。
これまで画面越しでしか見たことのなかったアル。
そんな彼からの直接の告白に胸が高鳴るものの、
アルが好きなのはソフィであって自分ではないという罪悪感から、
マイは告白を断り、自分がソフィではないことを説明する。
笑顔になったアルの様子に"&amp;"、理解してくれたと胸を撫で下ろした次の瞬間、
マイは壁に押し付けられてしまった。
「あなたが何も分かっていないということが、大変よく分かりました。」
豹変したアルに無理矢理キスされたと思うと、
猛った局部を押し付けながら自慰をされて、そのまま…。
品行方正な王子・アルのこれまで見たことのなかった激しい欲望を身体に直接ぶつけられて、
マイは快楽に翻弄されながらも、必死に気持ちを伝えようとするが…。
【全26ページ】")</f>
        <v>あなたを手に入れるために完璧な王子として振る舞ってきた男の　醜い本当の姿をお見せしましょう――。
乙女ゲームの世界へ転生してしまった主人公・マイ。
転生先のヒロイン・ソフィア（ソフィ）として、
王子・アルベール（アル）の告白イベントまでなんとかたどり着く。
これまで画面越しでしか見たことのなかったアル。
そんな彼からの直接の告白に胸が高鳴るものの、
アルが好きなのはソフィであって自分ではないという罪悪感から、
マイは告白を断り、自分がソフィではないことを説明する。
笑顔になったアルの様子に、理解してくれたと胸を撫で下ろした次の瞬間、
マイは壁に押し付けられてしまった。
「あなたが何も分かっていないということが、大変よく分かりました。」
豹変したアルに無理矢理キスされたと思うと、
猛った局部を押し付けながら自慰をされて、そのまま…。
品行方正な王子・アルのこれまで見たことのなかった激しい欲望を身体に直接ぶつけられて、
マイは快楽に翻弄されながらも、必死に気持ちを伝えようとするが…。
【全26ページ】</v>
      </c>
      <c r="W1172" s="14"/>
      <c r="X1172" s="14" t="str">
        <f>IFERROR(__xludf.DUMMYFUNCTION("""COMPUTED_VALUE"""),"有")</f>
        <v>有</v>
      </c>
      <c r="Y1172" s="8" t="str">
        <f>IFERROR(__xludf.DUMMYFUNCTION("""COMPUTED_VALUE"""),"1巻無料")</f>
        <v>1巻無料</v>
      </c>
      <c r="Z1172" s="7"/>
      <c r="AA1172" s="7"/>
      <c r="AB1172" s="7"/>
    </row>
    <row r="1173" ht="15.75" customHeight="1">
      <c r="A1173" s="26">
        <f>IFERROR(__xludf.DUMMYFUNCTION("""COMPUTED_VALUE"""),2707.0)</f>
        <v>2707</v>
      </c>
      <c r="B1173" s="22" t="str">
        <f>IFERROR(__xludf.DUMMYFUNCTION("""COMPUTED_VALUE"""),"確定")</f>
        <v>確定</v>
      </c>
      <c r="C1173" s="28">
        <f>IFERROR(__xludf.DUMMYFUNCTION("""COMPUTED_VALUE"""),45260.0)</f>
        <v>45260</v>
      </c>
      <c r="D1173" s="28">
        <f>IFERROR(__xludf.DUMMYFUNCTION("""COMPUTED_VALUE"""),45338.0)</f>
        <v>45338</v>
      </c>
      <c r="E1173" s="26">
        <f>IFERROR(__xludf.DUMMYFUNCTION("""COMPUTED_VALUE"""),290669.0)</f>
        <v>290669</v>
      </c>
      <c r="F1173" s="22" t="str">
        <f>IFERROR(__xludf.DUMMYFUNCTION("""COMPUTED_VALUE"""),"クールな御曹司は甘い恋をご所望です【分冊版】")</f>
        <v>クールな御曹司は甘い恋をご所望です【分冊版】</v>
      </c>
      <c r="G1173" s="20" t="str">
        <f>IFERROR(__xludf.DUMMYFUNCTION("""COMPUTED_VALUE"""),"1~3")</f>
        <v>1~3</v>
      </c>
      <c r="H1173" s="46" t="str">
        <f>IFERROR(__xludf.DUMMYFUNCTION("""COMPUTED_VALUE"""),"一之瀬絢 河野美姫")</f>
        <v>一之瀬絢 河野美姫</v>
      </c>
      <c r="I1173" s="22" t="str">
        <f>IFERROR(__xludf.DUMMYFUNCTION("""COMPUTED_VALUE"""),"女性")</f>
        <v>女性</v>
      </c>
      <c r="J1173" s="22"/>
      <c r="K1173" s="22"/>
      <c r="L1173" s="22" t="str">
        <f>IFERROR(__xludf.DUMMYFUNCTION("""COMPUTED_VALUE"""),"ハーパーコリンズ・ジャパン")</f>
        <v>ハーパーコリンズ・ジャパン</v>
      </c>
      <c r="M1173" s="23">
        <f>IFERROR(__xludf.DUMMYFUNCTION("""COMPUTED_VALUE"""),45400.0)</f>
        <v>45400</v>
      </c>
      <c r="N1173" s="23">
        <f>IFERROR(__xludf.DUMMYFUNCTION("""COMPUTED_VALUE"""),45460.0)</f>
        <v>45460</v>
      </c>
      <c r="O1173" s="20"/>
      <c r="P1173" s="34" t="str">
        <f>IFERROR(__xludf.DUMMYFUNCTION("""COMPUTED_VALUE"""),"否")</f>
        <v>否</v>
      </c>
      <c r="Q1173" s="31" t="str">
        <f>IFERROR(__xludf.DUMMYFUNCTION("""COMPUTED_VALUE"""),"広告コミットOK(12/7)")</f>
        <v>広告コミットOK(12/7)</v>
      </c>
      <c r="R1173" s="22" t="str">
        <f>IFERROR(__xludf.DUMMYFUNCTION("""COMPUTED_VALUE"""),"格納済")</f>
        <v>格納済</v>
      </c>
      <c r="S1173" s="22" t="str">
        <f>IFERROR(__xludf.DUMMYFUNCTION("""COMPUTED_VALUE"""),"20240215_ハーパーコリンズ・ジャパン_クールな御曹司は甘い恋をご所望です")</f>
        <v>20240215_ハーパーコリンズ・ジャパン_クールな御曹司は甘い恋をご所望です</v>
      </c>
      <c r="T1173" s="22" t="str">
        <f>IFERROR(__xludf.DUMMYFUNCTION("""COMPUTED_VALUE"""),"格納済み")</f>
        <v>格納済み</v>
      </c>
      <c r="U1173" s="15" t="str">
        <f>IFERROR(__xludf.DUMMYFUNCTION("""COMPUTED_VALUE"""),"(C)一之瀬 絢・河野美姫／ハーパーコリンズ・ジャパン")</f>
        <v>(C)一之瀬 絢・河野美姫／ハーパーコリンズ・ジャパン</v>
      </c>
      <c r="V1173" s="8" t="str">
        <f>IFERROR(__xludf.DUMMYFUNCTION("""COMPUTED_VALUE"""),"お菓子づくりが趣味のOL・水野莉子は、姉の開く料理教室を手伝っている。ある週末、ジュニアレッスンのサポートをする莉子の前に現れたのは、なんと上司である各務貴成だった！　会社では常にクールな彼は、実は大の甘党男子で…!?　素顔を知ったことをきっかけに二人の距離は縮まっていく。自分だけに見せてくれる甘い態度に、ときめく莉子は――。")</f>
        <v>お菓子づくりが趣味のOL・水野莉子は、姉の開く料理教室を手伝っている。ある週末、ジュニアレッスンのサポートをする莉子の前に現れたのは、なんと上司である各務貴成だった！　会社では常にクールな彼は、実は大の甘党男子で…!?　素顔を知ったことをきっかけに二人の距離は縮まっていく。自分だけに見せてくれる甘い態度に、ときめく莉子は――。</v>
      </c>
      <c r="W1173" s="14"/>
      <c r="X1173" s="14" t="str">
        <f>IFERROR(__xludf.DUMMYFUNCTION("""COMPUTED_VALUE"""),"有")</f>
        <v>有</v>
      </c>
      <c r="Y1173" s="8" t="str">
        <f>IFERROR(__xludf.DUMMYFUNCTION("""COMPUTED_VALUE"""),"P7まで")</f>
        <v>P7まで</v>
      </c>
      <c r="Z1173" s="7"/>
      <c r="AA1173" s="7"/>
      <c r="AB1173" s="7"/>
    </row>
    <row r="1174" ht="15.75" customHeight="1">
      <c r="A1174" s="26">
        <f>IFERROR(__xludf.DUMMYFUNCTION("""COMPUTED_VALUE"""),2729.0)</f>
        <v>2729</v>
      </c>
      <c r="B1174" s="22" t="str">
        <f>IFERROR(__xludf.DUMMYFUNCTION("""COMPUTED_VALUE"""),"確定")</f>
        <v>確定</v>
      </c>
      <c r="C1174" s="28">
        <f>IFERROR(__xludf.DUMMYFUNCTION("""COMPUTED_VALUE"""),45268.0)</f>
        <v>45268</v>
      </c>
      <c r="D1174" s="28">
        <f>IFERROR(__xludf.DUMMYFUNCTION("""COMPUTED_VALUE"""),45342.0)</f>
        <v>45342</v>
      </c>
      <c r="E1174" s="26">
        <f>IFERROR(__xludf.DUMMYFUNCTION("""COMPUTED_VALUE"""),288736.0)</f>
        <v>288736</v>
      </c>
      <c r="F1174" s="22" t="str">
        <f>IFERROR(__xludf.DUMMYFUNCTION("""COMPUTED_VALUE"""),"復讐のラ・モール～お前たちには、地獄すら生ぬるい～【フルカラー】")</f>
        <v>復讐のラ・モール～お前たちには、地獄すら生ぬるい～【フルカラー】</v>
      </c>
      <c r="G1174" s="20" t="str">
        <f>IFERROR(__xludf.DUMMYFUNCTION("""COMPUTED_VALUE"""),"1~3")</f>
        <v>1~3</v>
      </c>
      <c r="H1174" s="22" t="str">
        <f>IFERROR(__xludf.DUMMYFUNCTION("""COMPUTED_VALUE"""),"岩田和久")</f>
        <v>岩田和久</v>
      </c>
      <c r="I1174" s="22" t="str">
        <f>IFERROR(__xludf.DUMMYFUNCTION("""COMPUTED_VALUE"""),"青年")</f>
        <v>青年</v>
      </c>
      <c r="J1174" s="22"/>
      <c r="K1174" s="22"/>
      <c r="L1174" s="22" t="str">
        <f>IFERROR(__xludf.DUMMYFUNCTION("""COMPUTED_VALUE"""),"CLLENN")</f>
        <v>CLLENN</v>
      </c>
      <c r="M1174" s="23">
        <f>IFERROR(__xludf.DUMMYFUNCTION("""COMPUTED_VALUE"""),45368.0)</f>
        <v>45368</v>
      </c>
      <c r="N1174" s="23">
        <f>IFERROR(__xludf.DUMMYFUNCTION("""COMPUTED_VALUE"""),45430.0)</f>
        <v>45430</v>
      </c>
      <c r="O1174" s="20"/>
      <c r="P1174" s="32" t="str">
        <f>IFERROR(__xludf.DUMMYFUNCTION("""COMPUTED_VALUE"""),"可")</f>
        <v>可</v>
      </c>
      <c r="Q1174" s="31"/>
      <c r="R1174" s="22" t="str">
        <f>IFERROR(__xludf.DUMMYFUNCTION("""COMPUTED_VALUE"""),"格納済")</f>
        <v>格納済</v>
      </c>
      <c r="S1174" s="22" t="str">
        <f>IFERROR(__xludf.DUMMYFUNCTION("""COMPUTED_VALUE"""),"20240214_CLLENN_岩田和久_復讐のロンド（仮）")</f>
        <v>20240214_CLLENN_岩田和久_復讐のロンド（仮）</v>
      </c>
      <c r="T1174" s="22" t="str">
        <f>IFERROR(__xludf.DUMMYFUNCTION("""COMPUTED_VALUE"""),"格納済み")</f>
        <v>格納済み</v>
      </c>
      <c r="U1174" s="15" t="str">
        <f>IFERROR(__xludf.DUMMYFUNCTION("""COMPUTED_VALUE"""),"ⓒ岩田和久/CLLENN")</f>
        <v>ⓒ岩田和久/CLLENN</v>
      </c>
      <c r="V1174" s="8" t="str">
        <f>IFERROR(__xludf.DUMMYFUNCTION("""COMPUTED_VALUE"""),"「お前たちを忘れたことなど　ただの一刻すらない――」。生まれながらに顔に青あざを持つ少女・九都百は、高校時代、4人の同級生から壮絶ないじめを受けていた。愛猫ムギの命を奪われ、ついには殺人の濡れ衣まで着せられ、長い監獄送りに。人生を徹底的に破壊された百だが、16年後、美人投資家・岬静葉としてかつてのいじめっ子の前にあらわれる。その心には猛烈な復讐の炎を燃やして…！　数々の名作を生みだしたベテラン作家が送る、新時代のエンタメ［極振り］復讐劇が開幕！")</f>
        <v>「お前たちを忘れたことなど　ただの一刻すらない――」。生まれながらに顔に青あざを持つ少女・九都百は、高校時代、4人の同級生から壮絶ないじめを受けていた。愛猫ムギの命を奪われ、ついには殺人の濡れ衣まで着せられ、長い監獄送りに。人生を徹底的に破壊された百だが、16年後、美人投資家・岬静葉としてかつてのいじめっ子の前にあらわれる。その心には猛烈な復讐の炎を燃やして…！　数々の名作を生みだしたベテラン作家が送る、新時代のエンタメ［極振り］復讐劇が開幕！</v>
      </c>
      <c r="W1174" s="14"/>
      <c r="X1174" s="14" t="str">
        <f>IFERROR(__xludf.DUMMYFUNCTION("""COMPUTED_VALUE"""),"有")</f>
        <v>有</v>
      </c>
      <c r="Y1174" s="8" t="str">
        <f>IFERROR(__xludf.DUMMYFUNCTION("""COMPUTED_VALUE"""),"2024/3/30まで1巻無料")</f>
        <v>2024/3/30まで1巻無料</v>
      </c>
      <c r="Z1174" s="7"/>
      <c r="AA1174" s="7"/>
      <c r="AB1174" s="7"/>
    </row>
    <row r="1175" ht="105.0" customHeight="1">
      <c r="A1175" s="26">
        <f>IFERROR(__xludf.DUMMYFUNCTION("""COMPUTED_VALUE"""),2781.0)</f>
        <v>2781</v>
      </c>
      <c r="B1175" s="22" t="str">
        <f>IFERROR(__xludf.DUMMYFUNCTION("""COMPUTED_VALUE"""),"確定")</f>
        <v>確定</v>
      </c>
      <c r="C1175" s="28">
        <f>IFERROR(__xludf.DUMMYFUNCTION("""COMPUTED_VALUE"""),45285.0)</f>
        <v>45285</v>
      </c>
      <c r="D1175" s="28">
        <f>IFERROR(__xludf.DUMMYFUNCTION("""COMPUTED_VALUE"""),45338.0)</f>
        <v>45338</v>
      </c>
      <c r="E1175" s="26">
        <f>IFERROR(__xludf.DUMMYFUNCTION("""COMPUTED_VALUE"""),287845.0)</f>
        <v>287845</v>
      </c>
      <c r="F1175" s="22" t="str">
        <f>IFERROR(__xludf.DUMMYFUNCTION("""COMPUTED_VALUE"""),"花は二度咲き乱れる【マイクロ】")</f>
        <v>花は二度咲き乱れる【マイクロ】</v>
      </c>
      <c r="G1175" s="20" t="str">
        <f>IFERROR(__xludf.DUMMYFUNCTION("""COMPUTED_VALUE"""),"1～3")</f>
        <v>1～3</v>
      </c>
      <c r="H1175" s="22" t="str">
        <f>IFERROR(__xludf.DUMMYFUNCTION("""COMPUTED_VALUE"""),"甘宮ちか")</f>
        <v>甘宮ちか</v>
      </c>
      <c r="I1175" s="22" t="str">
        <f>IFERROR(__xludf.DUMMYFUNCTION("""COMPUTED_VALUE"""),"女性")</f>
        <v>女性</v>
      </c>
      <c r="J1175" s="22"/>
      <c r="K1175" s="22"/>
      <c r="L1175" s="22" t="str">
        <f>IFERROR(__xludf.DUMMYFUNCTION("""COMPUTED_VALUE"""),"小学館")</f>
        <v>小学館</v>
      </c>
      <c r="M1175" s="23">
        <f>IFERROR(__xludf.DUMMYFUNCTION("""COMPUTED_VALUE"""),45356.0)</f>
        <v>45356</v>
      </c>
      <c r="N1175" s="47">
        <f>IFERROR(__xludf.DUMMYFUNCTION("""COMPUTED_VALUE"""),45477.0)</f>
        <v>45477</v>
      </c>
      <c r="O1175" s="20"/>
      <c r="P1175" s="34" t="str">
        <f>IFERROR(__xludf.DUMMYFUNCTION("""COMPUTED_VALUE"""),"可")</f>
        <v>可</v>
      </c>
      <c r="Q1175" s="30" t="str">
        <f>IFERROR(__xludf.DUMMYFUNCTION("""COMPUTED_VALUE"""),"広告コミットOK(1/9)")</f>
        <v>広告コミットOK(1/9)</v>
      </c>
      <c r="R1175" s="22"/>
      <c r="S1175" s="22" t="str">
        <f>IFERROR(__xludf.DUMMYFUNCTION("""COMPUTED_VALUE"""),"20240216_小学館_花は二度咲き乱れる【マイクロ】")</f>
        <v>20240216_小学館_花は二度咲き乱れる【マイクロ】</v>
      </c>
      <c r="T1175" s="22" t="str">
        <f>IFERROR(__xludf.DUMMYFUNCTION("""COMPUTED_VALUE"""),"格納済み")</f>
        <v>格納済み</v>
      </c>
      <c r="U1175" s="15" t="str">
        <f>IFERROR(__xludf.DUMMYFUNCTION("""COMPUTED_VALUE"""),"(C)甘宮ちか / 小学館")</f>
        <v>(C)甘宮ちか / 小学館</v>
      </c>
      <c r="V1175" s="8" t="str">
        <f>IFERROR(__xludf.DUMMYFUNCTION("""COMPUTED_VALUE"""),"「30歳になって お互い独身だったら結婚する？」
極上の溺愛と執着にまみれた、大人の三角関係ラブ開幕！！
幼なじみで社長の慧に長年恋をしていた穂花。
しかし慧が結婚することを聞かされて・・・！？")</f>
        <v>「30歳になって お互い独身だったら結婚する？」
極上の溺愛と執着にまみれた、大人の三角関係ラブ開幕！！
幼なじみで社長の慧に長年恋をしていた穂花。
しかし慧が結婚することを聞かされて・・・！？</v>
      </c>
      <c r="W1175" s="14"/>
      <c r="X1175" s="14" t="str">
        <f>IFERROR(__xludf.DUMMYFUNCTION("""COMPUTED_VALUE"""),"有")</f>
        <v>有</v>
      </c>
      <c r="Y1175" s="8" t="str">
        <f>IFERROR(__xludf.DUMMYFUNCTION("""COMPUTED_VALUE"""),"2024/5/4まで1巻無料")</f>
        <v>2024/5/4まで1巻無料</v>
      </c>
      <c r="Z1175" s="7"/>
      <c r="AA1175" s="7"/>
      <c r="AB1175" s="7"/>
    </row>
    <row r="1176" ht="15.75" customHeight="1">
      <c r="A1176" s="26">
        <f>IFERROR(__xludf.DUMMYFUNCTION("""COMPUTED_VALUE"""),2797.0)</f>
        <v>2797</v>
      </c>
      <c r="B1176" s="22" t="str">
        <f>IFERROR(__xludf.DUMMYFUNCTION("""COMPUTED_VALUE"""),"確定")</f>
        <v>確定</v>
      </c>
      <c r="C1176" s="28">
        <f>IFERROR(__xludf.DUMMYFUNCTION("""COMPUTED_VALUE"""),45288.0)</f>
        <v>45288</v>
      </c>
      <c r="D1176" s="28">
        <f>IFERROR(__xludf.DUMMYFUNCTION("""COMPUTED_VALUE"""),45338.0)</f>
        <v>45338</v>
      </c>
      <c r="E1176" s="26">
        <f>IFERROR(__xludf.DUMMYFUNCTION("""COMPUTED_VALUE"""),288470.0)</f>
        <v>288470</v>
      </c>
      <c r="F1176" s="22" t="str">
        <f>IFERROR(__xludf.DUMMYFUNCTION("""COMPUTED_VALUE"""),"夫と会話になりません【単話】")</f>
        <v>夫と会話になりません【単話】</v>
      </c>
      <c r="G1176" s="20" t="str">
        <f>IFERROR(__xludf.DUMMYFUNCTION("""COMPUTED_VALUE"""),"1～3")</f>
        <v>1～3</v>
      </c>
      <c r="H1176" s="22" t="str">
        <f>IFERROR(__xludf.DUMMYFUNCTION("""COMPUTED_VALUE"""),"上野りゅうじん")</f>
        <v>上野りゅうじん</v>
      </c>
      <c r="I1176" s="22" t="str">
        <f>IFERROR(__xludf.DUMMYFUNCTION("""COMPUTED_VALUE"""),"女性")</f>
        <v>女性</v>
      </c>
      <c r="J1176" s="22"/>
      <c r="K1176" s="22"/>
      <c r="L1176" s="22" t="str">
        <f>IFERROR(__xludf.DUMMYFUNCTION("""COMPUTED_VALUE"""),"祥伝社")</f>
        <v>祥伝社</v>
      </c>
      <c r="M1176" s="23">
        <f>IFERROR(__xludf.DUMMYFUNCTION("""COMPUTED_VALUE"""),45365.0)</f>
        <v>45365</v>
      </c>
      <c r="N1176" s="23">
        <f>IFERROR(__xludf.DUMMYFUNCTION("""COMPUTED_VALUE"""),45428.0)</f>
        <v>45428</v>
      </c>
      <c r="O1176" s="20"/>
      <c r="P1176" s="34" t="str">
        <f>IFERROR(__xludf.DUMMYFUNCTION("""COMPUTED_VALUE"""),"可")</f>
        <v>可</v>
      </c>
      <c r="Q1176" s="30" t="str">
        <f>IFERROR(__xludf.DUMMYFUNCTION("""COMPUTED_VALUE"""),"広告コミットOK(1/9)
")</f>
        <v>広告コミットOK(1/9)
</v>
      </c>
      <c r="R1176" s="22"/>
      <c r="S1176" s="22" t="str">
        <f>IFERROR(__xludf.DUMMYFUNCTION("""COMPUTED_VALUE"""),"20240215_祥伝社_夫と会話になりません")</f>
        <v>20240215_祥伝社_夫と会話になりません</v>
      </c>
      <c r="T1176" s="22" t="str">
        <f>IFERROR(__xludf.DUMMYFUNCTION("""COMPUTED_VALUE"""),"格納済み")</f>
        <v>格納済み</v>
      </c>
      <c r="U1176" s="15" t="str">
        <f>IFERROR(__xludf.DUMMYFUNCTION("""COMPUTED_VALUE"""),"（C）上野りゅうじん/祥伝社")</f>
        <v>（C）上野りゅうじん/祥伝社</v>
      </c>
      <c r="V1176" s="8" t="str">
        <f>IFERROR(__xludf.DUMMYFUNCTION("""COMPUTED_VALUE"""),"専業主婦の彩子は、デザイン事務所で働く夫・祐介と、4歳の息子と幸せに暮らしている。結婚して6年、仕事をこなしつつ家事と育児にも積極的な夫に不満はない。けれど…、最近うっすらと気になっているのは＜夫と会話が広がらないこと＞。息子が生まれたばかりの頃は夫婦でたくさん話をしていた。私たちはいつの間にこんな関係になってしまったの？理由を知りたいのに、今日も夫と話せそうにないーー。")</f>
        <v>専業主婦の彩子は、デザイン事務所で働く夫・祐介と、4歳の息子と幸せに暮らしている。結婚して6年、仕事をこなしつつ家事と育児にも積極的な夫に不満はない。けれど…、最近うっすらと気になっているのは＜夫と会話が広がらないこと＞。息子が生まれたばかりの頃は夫婦でたくさん話をしていた。私たちはいつの間にこんな関係になってしまったの？理由を知りたいのに、今日も夫と話せそうにないーー。</v>
      </c>
      <c r="W1176" s="14"/>
      <c r="X1176" s="14" t="str">
        <f>IFERROR(__xludf.DUMMYFUNCTION("""COMPUTED_VALUE"""),"有")</f>
        <v>有</v>
      </c>
      <c r="Y1176" s="8" t="str">
        <f>IFERROR(__xludf.DUMMYFUNCTION("""COMPUTED_VALUE"""),"P8まで")</f>
        <v>P8まで</v>
      </c>
      <c r="Z1176" s="7"/>
      <c r="AA1176" s="7"/>
      <c r="AB1176" s="7"/>
    </row>
    <row r="1177" ht="15.75" customHeight="1">
      <c r="A1177" s="26">
        <f>IFERROR(__xludf.DUMMYFUNCTION("""COMPUTED_VALUE"""),2832.0)</f>
        <v>2832</v>
      </c>
      <c r="B1177" s="22" t="str">
        <f>IFERROR(__xludf.DUMMYFUNCTION("""COMPUTED_VALUE"""),"確定")</f>
        <v>確定</v>
      </c>
      <c r="C1177" s="28">
        <f>IFERROR(__xludf.DUMMYFUNCTION("""COMPUTED_VALUE"""),45306.0)</f>
        <v>45306</v>
      </c>
      <c r="D1177" s="28">
        <f>IFERROR(__xludf.DUMMYFUNCTION("""COMPUTED_VALUE"""),45342.0)</f>
        <v>45342</v>
      </c>
      <c r="E1177" s="26">
        <f>IFERROR(__xludf.DUMMYFUNCTION("""COMPUTED_VALUE"""),289201.0)</f>
        <v>289201</v>
      </c>
      <c r="F1177" s="22" t="str">
        <f>IFERROR(__xludf.DUMMYFUNCTION("""COMPUTED_VALUE"""),"おっきな三上さん（先輩）とちっちゃな角谷さん（後輩）～身長差42センチ、埋もれるほどに愛されて～【分冊版】")</f>
        <v>おっきな三上さん（先輩）とちっちゃな角谷さん（後輩）～身長差42センチ、埋もれるほどに愛されて～【分冊版】</v>
      </c>
      <c r="G1177" s="11" t="str">
        <f>IFERROR(__xludf.DUMMYFUNCTION("""COMPUTED_VALUE"""),"1～2")</f>
        <v>1～2</v>
      </c>
      <c r="H1177" s="22" t="str">
        <f>IFERROR(__xludf.DUMMYFUNCTION("""COMPUTED_VALUE"""),"作画：ぷぷ田どん/原作：さくら蒼")</f>
        <v>作画：ぷぷ田どん/原作：さくら蒼</v>
      </c>
      <c r="I1177" s="22" t="str">
        <f>IFERROR(__xludf.DUMMYFUNCTION("""COMPUTED_VALUE"""),"TL")</f>
        <v>TL</v>
      </c>
      <c r="J1177" s="22"/>
      <c r="K1177" s="22"/>
      <c r="L1177" s="22" t="str">
        <f>IFERROR(__xludf.DUMMYFUNCTION("""COMPUTED_VALUE"""),"笠倉出版社")</f>
        <v>笠倉出版社</v>
      </c>
      <c r="M1177" s="23">
        <f>IFERROR(__xludf.DUMMYFUNCTION("""COMPUTED_VALUE"""),45379.0)</f>
        <v>45379</v>
      </c>
      <c r="N1177" s="23">
        <f>IFERROR(__xludf.DUMMYFUNCTION("""COMPUTED_VALUE"""),45406.0)</f>
        <v>45406</v>
      </c>
      <c r="O1177" s="20"/>
      <c r="P1177" s="34" t="str">
        <f>IFERROR(__xludf.DUMMYFUNCTION("""COMPUTED_VALUE"""),"可")</f>
        <v>可</v>
      </c>
      <c r="Q1177" s="30" t="str">
        <f>IFERROR(__xludf.DUMMYFUNCTION("""COMPUTED_VALUE"""),"TLレーベル名：絶対恋愛Sweet
・トンボ付きデータのためクリエイティブ作成時ご注意ください
・広告コミット作品ではないですが、先行＆広告用素材をいただいたためCMS確定しました")</f>
        <v>TLレーベル名：絶対恋愛Sweet
・トンボ付きデータのためクリエイティブ作成時ご注意ください
・広告コミット作品ではないですが、先行＆広告用素材をいただいたためCMS確定しました</v>
      </c>
      <c r="R1177" s="22"/>
      <c r="S1177" s="22" t="str">
        <f>IFERROR(__xludf.DUMMYFUNCTION("""COMPUTED_VALUE"""),"20240219_笠倉出版社_おっきな三上さん（先輩）とちっちゃな角谷さん（後輩）～身長差42センチ、埋もれるほどに愛されて～【分冊版】")</f>
        <v>20240219_笠倉出版社_おっきな三上さん（先輩）とちっちゃな角谷さん（後輩）～身長差42センチ、埋もれるほどに愛されて～【分冊版】</v>
      </c>
      <c r="T1177" s="22" t="str">
        <f>IFERROR(__xludf.DUMMYFUNCTION("""COMPUTED_VALUE"""),"格納済み")</f>
        <v>格納済み</v>
      </c>
      <c r="U1177" s="15" t="str">
        <f>IFERROR(__xludf.DUMMYFUNCTION("""COMPUTED_VALUE"""),"©ぷぷ田どん・さくら蒼/笠倉出版社")</f>
        <v>©ぷぷ田どん・さくら蒼/笠倉出版社</v>
      </c>
      <c r="V1177" s="8" t="str">
        <f>IFERROR(__xludf.DUMMYFUNCTION("""COMPUTED_VALUE"""),"「あおった責任は取ってもらうぞ」大きくて逞しい彼に、おなかの奥をいっぱい突かれ何度も絶頂し――このままじゃ抱きつぶされちゃうよぉ…っ！私、角谷芽衣は会社の先輩・三上さんのことが好き。小柄なことを馬鹿にせず、優しく平等に接してくれるから。仕事でも助けてもらうばかりでお礼がしたい…と思っていたら「体で（働いて）返してくれよ」とのこと！勘違いしちゃった私は「返します！体で!!」と宣言、三上さんをホテルに連れこむことに。慌てる彼に乗っかりキスを仕掛けると…形勢逆転!？押し倒され熱い舌がくちゅくちゅと入ってきて、無"&amp;"骨な手に赤く染まったあそこを愛撫されて…。まるで閉じ込められるように大きな腕に抱かれると、もう何も考えられない…っ！身長差42センチ、凸凹なふたりの甘きゅんラブストーリー！")</f>
        <v>「あおった責任は取ってもらうぞ」大きくて逞しい彼に、おなかの奥をいっぱい突かれ何度も絶頂し――このままじゃ抱きつぶされちゃうよぉ…っ！私、角谷芽衣は会社の先輩・三上さんのことが好き。小柄なことを馬鹿にせず、優しく平等に接してくれるから。仕事でも助けてもらうばかりでお礼がしたい…と思っていたら「体で（働いて）返してくれよ」とのこと！勘違いしちゃった私は「返します！体で!!」と宣言、三上さんをホテルに連れこむことに。慌てる彼に乗っかりキスを仕掛けると…形勢逆転!？押し倒され熱い舌がくちゅくちゅと入ってきて、無骨な手に赤く染まったあそこを愛撫されて…。まるで閉じ込められるように大きな腕に抱かれると、もう何も考えられない…っ！身長差42センチ、凸凹なふたりの甘きゅんラブストーリー！</v>
      </c>
      <c r="W1177" s="14"/>
      <c r="X1177" s="14" t="str">
        <f>IFERROR(__xludf.DUMMYFUNCTION("""COMPUTED_VALUE"""),"有")</f>
        <v>有</v>
      </c>
      <c r="Y1177" s="8" t="str">
        <f>IFERROR(__xludf.DUMMYFUNCTION("""COMPUTED_VALUE"""),"2024/4/10まで立ち読み増量P12まで")</f>
        <v>2024/4/10まで立ち読み増量P12まで</v>
      </c>
      <c r="Z1177" s="7"/>
      <c r="AA1177" s="7"/>
      <c r="AB1177" s="7"/>
    </row>
    <row r="1178" ht="111.0" customHeight="1">
      <c r="A1178" s="26">
        <f>IFERROR(__xludf.DUMMYFUNCTION("""COMPUTED_VALUE"""),2837.0)</f>
        <v>2837</v>
      </c>
      <c r="B1178" s="22" t="str">
        <f>IFERROR(__xludf.DUMMYFUNCTION("""COMPUTED_VALUE"""),"確定")</f>
        <v>確定</v>
      </c>
      <c r="C1178" s="28">
        <f>IFERROR(__xludf.DUMMYFUNCTION("""COMPUTED_VALUE"""),45307.0)</f>
        <v>45307</v>
      </c>
      <c r="D1178" s="28">
        <f>IFERROR(__xludf.DUMMYFUNCTION("""COMPUTED_VALUE"""),45343.0)</f>
        <v>45343</v>
      </c>
      <c r="E1178" s="26">
        <f>IFERROR(__xludf.DUMMYFUNCTION("""COMPUTED_VALUE"""),288865.0)</f>
        <v>288865</v>
      </c>
      <c r="F1178" s="22" t="str">
        <f>IFERROR(__xludf.DUMMYFUNCTION("""COMPUTED_VALUE"""),"デミルカ様はごりつよ悪役令嬢 メンタル最強お嬢様は王子からの婚約破棄をぶっ潰します！ 分冊版")</f>
        <v>デミルカ様はごりつよ悪役令嬢 メンタル最強お嬢様は王子からの婚約破棄をぶっ潰します！ 分冊版</v>
      </c>
      <c r="G1178" s="11" t="str">
        <f>IFERROR(__xludf.DUMMYFUNCTION("""COMPUTED_VALUE"""),"1～4")</f>
        <v>1～4</v>
      </c>
      <c r="H1178" s="22" t="str">
        <f>IFERROR(__xludf.DUMMYFUNCTION("""COMPUTED_VALUE"""),"原作：天野アンジェラ（エブリスタ）　漫画：鳩井文")</f>
        <v>原作：天野アンジェラ（エブリスタ）　漫画：鳩井文</v>
      </c>
      <c r="I1178" s="22" t="str">
        <f>IFERROR(__xludf.DUMMYFUNCTION("""COMPUTED_VALUE"""),"少女")</f>
        <v>少女</v>
      </c>
      <c r="J1178" s="22"/>
      <c r="K1178" s="22"/>
      <c r="L1178" s="22" t="str">
        <f>IFERROR(__xludf.DUMMYFUNCTION("""COMPUTED_VALUE"""),"コアミックス")</f>
        <v>コアミックス</v>
      </c>
      <c r="M1178" s="23">
        <f>IFERROR(__xludf.DUMMYFUNCTION("""COMPUTED_VALUE"""),45366.0)</f>
        <v>45366</v>
      </c>
      <c r="N1178" s="23">
        <f>IFERROR(__xludf.DUMMYFUNCTION("""COMPUTED_VALUE"""),45449.0)</f>
        <v>45449</v>
      </c>
      <c r="O1178" s="20"/>
      <c r="P1178" s="34" t="str">
        <f>IFERROR(__xludf.DUMMYFUNCTION("""COMPUTED_VALUE"""),"否")</f>
        <v>否</v>
      </c>
      <c r="Q1178" s="30"/>
      <c r="R1178" s="22"/>
      <c r="S1178" s="22" t="str">
        <f>IFERROR(__xludf.DUMMYFUNCTION("""COMPUTED_VALUE"""),"20240221_コアミックス_デミルカ様はごりつよ悪役令嬢 メンタル最強お嬢様は王子からの婚約破棄をぶっ潰します！ 分冊版")</f>
        <v>20240221_コアミックス_デミルカ様はごりつよ悪役令嬢 メンタル最強お嬢様は王子からの婚約破棄をぶっ潰します！ 分冊版</v>
      </c>
      <c r="T1178" s="22"/>
      <c r="U1178" s="15" t="str">
        <f>IFERROR(__xludf.DUMMYFUNCTION("""COMPUTED_VALUE"""),"©︎鳩井文／コアミックス ©︎天野アンジェラ／エブリスタ")</f>
        <v>©︎鳩井文／コアミックス ©︎天野アンジェラ／エブリスタ</v>
      </c>
      <c r="V1178" s="8" t="str">
        <f>IFERROR(__xludf.DUMMYFUNCTION("""COMPUTED_VALUE"""),"グランシェド公爵家の令嬢デミルカは、容姿端麗にして聡明、そしてゴリゴリに強い精神力を併せ持つ最強お嬢様。
幼い頃から王太子妃候補として英才教育を受け、このまま王室に嫁ぐと信じて疑わなかったが、気弱な王子からのまさかの拒絶に、ショックを受ける。……はずもなく、悠々と破談潰しに動き出す！")</f>
        <v>グランシェド公爵家の令嬢デミルカは、容姿端麗にして聡明、そしてゴリゴリに強い精神力を併せ持つ最強お嬢様。
幼い頃から王太子妃候補として英才教育を受け、このまま王室に嫁ぐと信じて疑わなかったが、気弱な王子からのまさかの拒絶に、ショックを受ける。……はずもなく、悠々と破談潰しに動き出す！</v>
      </c>
      <c r="W1178" s="14"/>
      <c r="X1178" s="14" t="str">
        <f>IFERROR(__xludf.DUMMYFUNCTION("""COMPUTED_VALUE"""),"有")</f>
        <v>有</v>
      </c>
      <c r="Y1178" s="8" t="str">
        <f>IFERROR(__xludf.DUMMYFUNCTION("""COMPUTED_VALUE"""),"P5まで")</f>
        <v>P5まで</v>
      </c>
      <c r="Z1178" s="7"/>
      <c r="AA1178" s="7"/>
      <c r="AB1178" s="7"/>
    </row>
    <row r="1179" ht="15.75" customHeight="1">
      <c r="A1179" s="26">
        <f>IFERROR(__xludf.DUMMYFUNCTION("""COMPUTED_VALUE"""),2839.0)</f>
        <v>2839</v>
      </c>
      <c r="B1179" s="22" t="str">
        <f>IFERROR(__xludf.DUMMYFUNCTION("""COMPUTED_VALUE"""),"確定")</f>
        <v>確定</v>
      </c>
      <c r="C1179" s="28">
        <f>IFERROR(__xludf.DUMMYFUNCTION("""COMPUTED_VALUE"""),45307.0)</f>
        <v>45307</v>
      </c>
      <c r="D1179" s="28">
        <f>IFERROR(__xludf.DUMMYFUNCTION("""COMPUTED_VALUE"""),45338.0)</f>
        <v>45338</v>
      </c>
      <c r="E1179" s="26">
        <f>IFERROR(__xludf.DUMMYFUNCTION("""COMPUTED_VALUE"""),287689.0)</f>
        <v>287689</v>
      </c>
      <c r="F1179" s="22" t="str">
        <f>IFERROR(__xludf.DUMMYFUNCTION("""COMPUTED_VALUE"""),"輝く僕は君のあまいドロップ")</f>
        <v>輝く僕は君のあまいドロップ</v>
      </c>
      <c r="G1179" s="20">
        <f>IFERROR(__xludf.DUMMYFUNCTION("""COMPUTED_VALUE"""),1.0)</f>
        <v>1</v>
      </c>
      <c r="H1179" s="22" t="str">
        <f>IFERROR(__xludf.DUMMYFUNCTION("""COMPUTED_VALUE"""),"たけはらひなこ")</f>
        <v>たけはらひなこ</v>
      </c>
      <c r="I1179" s="22" t="str">
        <f>IFERROR(__xludf.DUMMYFUNCTION("""COMPUTED_VALUE"""),"BL")</f>
        <v>BL</v>
      </c>
      <c r="J1179" s="22"/>
      <c r="K1179" s="22"/>
      <c r="L1179" s="22" t="str">
        <f>IFERROR(__xludf.DUMMYFUNCTION("""COMPUTED_VALUE"""),"アメイロ")</f>
        <v>アメイロ</v>
      </c>
      <c r="M1179" s="23">
        <f>IFERROR(__xludf.DUMMYFUNCTION("""COMPUTED_VALUE"""),45366.0)</f>
        <v>45366</v>
      </c>
      <c r="N1179" s="23">
        <f>IFERROR(__xludf.DUMMYFUNCTION("""COMPUTED_VALUE"""),45400.0)</f>
        <v>45400</v>
      </c>
      <c r="O1179" s="20"/>
      <c r="P1179" s="32" t="str">
        <f>IFERROR(__xludf.DUMMYFUNCTION("""COMPUTED_VALUE"""),"可")</f>
        <v>可</v>
      </c>
      <c r="Q1179" s="30"/>
      <c r="R1179" s="22"/>
      <c r="S1179" s="22" t="str">
        <f>IFERROR(__xludf.DUMMYFUNCTION("""COMPUTED_VALUE"""),"20240214_アメイロ_輝く僕は君のあまいドロップ")</f>
        <v>20240214_アメイロ_輝く僕は君のあまいドロップ</v>
      </c>
      <c r="T1179" s="22" t="str">
        <f>IFERROR(__xludf.DUMMYFUNCTION("""COMPUTED_VALUE"""),"格納済み")</f>
        <v>格納済み</v>
      </c>
      <c r="U1179" s="15" t="str">
        <f>IFERROR(__xludf.DUMMYFUNCTION("""COMPUTED_VALUE"""),"（C）たけはらひなこ/アメイロ")</f>
        <v>（C）たけはらひなこ/アメイロ</v>
      </c>
      <c r="V1179" s="8" t="str">
        <f>IFERROR(__xludf.DUMMYFUNCTION("""COMPUTED_VALUE"""),"【クールな隠れスパダリ×愛されたがりの完璧アイドル】
本能に揺さぶられる、溺愛ドラマティックケーキバース！！
可愛すぎるビジュアルに、完全無欠のパフォーマンス――
“完璧”なアイドルとして、大人気を博している日向岬（ひなた みさき）には、
誰にも打ち明けられない、ある悩みがあった。
ある日、岬が出演するCMの撮影現場で欠員が発生し、
偶然居合わせた謎のクールな美青年・圭人（けいと）と共演することに。
明るく振る舞う岬に対して、なぜかつれない態度をとる圭人だったが…
「近くにいると、欲しくな"&amp;"る――…」
アクシデントで唇が触れ合った途端、
圭人の視線に欲望が滲み、キスされそうになって――！？")</f>
        <v>【クールな隠れスパダリ×愛されたがりの完璧アイドル】
本能に揺さぶられる、溺愛ドラマティックケーキバース！！
可愛すぎるビジュアルに、完全無欠のパフォーマンス――
“完璧”なアイドルとして、大人気を博している日向岬（ひなた みさき）には、
誰にも打ち明けられない、ある悩みがあった。
ある日、岬が出演するCMの撮影現場で欠員が発生し、
偶然居合わせた謎のクールな美青年・圭人（けいと）と共演することに。
明るく振る舞う岬に対して、なぜかつれない態度をとる圭人だったが…
「近くにいると、欲しくなる――…」
アクシデントで唇が触れ合った途端、
圭人の視線に欲望が滲み、キスされそうになって――！？</v>
      </c>
      <c r="W1179" s="14"/>
      <c r="X1179" s="14" t="str">
        <f>IFERROR(__xludf.DUMMYFUNCTION("""COMPUTED_VALUE"""),"有")</f>
        <v>有</v>
      </c>
      <c r="Y1179" s="8" t="str">
        <f>IFERROR(__xludf.DUMMYFUNCTION("""COMPUTED_VALUE"""),"P17まで")</f>
        <v>P17まで</v>
      </c>
      <c r="Z1179" s="7"/>
      <c r="AA1179" s="7"/>
      <c r="AB1179" s="7"/>
    </row>
    <row r="1180" ht="108.0" customHeight="1">
      <c r="A1180" s="26">
        <f>IFERROR(__xludf.DUMMYFUNCTION("""COMPUTED_VALUE"""),2840.0)</f>
        <v>2840</v>
      </c>
      <c r="B1180" s="22" t="str">
        <f>IFERROR(__xludf.DUMMYFUNCTION("""COMPUTED_VALUE"""),"確定")</f>
        <v>確定</v>
      </c>
      <c r="C1180" s="28">
        <f>IFERROR(__xludf.DUMMYFUNCTION("""COMPUTED_VALUE"""),45307.0)</f>
        <v>45307</v>
      </c>
      <c r="D1180" s="28">
        <f>IFERROR(__xludf.DUMMYFUNCTION("""COMPUTED_VALUE"""),45338.0)</f>
        <v>45338</v>
      </c>
      <c r="E1180" s="26">
        <f>IFERROR(__xludf.DUMMYFUNCTION("""COMPUTED_VALUE"""),287952.0)</f>
        <v>287952</v>
      </c>
      <c r="F1180" s="22" t="str">
        <f>IFERROR(__xludf.DUMMYFUNCTION("""COMPUTED_VALUE"""),"榎本先輩は天使なんかじゃない")</f>
        <v>榎本先輩は天使なんかじゃない</v>
      </c>
      <c r="G1180" s="20">
        <f>IFERROR(__xludf.DUMMYFUNCTION("""COMPUTED_VALUE"""),1.0)</f>
        <v>1</v>
      </c>
      <c r="H1180" s="22" t="str">
        <f>IFERROR(__xludf.DUMMYFUNCTION("""COMPUTED_VALUE"""),"せつこうじ")</f>
        <v>せつこうじ</v>
      </c>
      <c r="I1180" s="22" t="str">
        <f>IFERROR(__xludf.DUMMYFUNCTION("""COMPUTED_VALUE"""),"BL")</f>
        <v>BL</v>
      </c>
      <c r="J1180" s="22"/>
      <c r="K1180" s="22"/>
      <c r="L1180" s="22" t="str">
        <f>IFERROR(__xludf.DUMMYFUNCTION("""COMPUTED_VALUE"""),"シュークリーム")</f>
        <v>シュークリーム</v>
      </c>
      <c r="M1180" s="23">
        <f>IFERROR(__xludf.DUMMYFUNCTION("""COMPUTED_VALUE"""),45359.0)</f>
        <v>45359</v>
      </c>
      <c r="N1180" s="23">
        <f>IFERROR(__xludf.DUMMYFUNCTION("""COMPUTED_VALUE"""),45393.0)</f>
        <v>45393</v>
      </c>
      <c r="O1180" s="20"/>
      <c r="P1180" s="32" t="str">
        <f>IFERROR(__xludf.DUMMYFUNCTION("""COMPUTED_VALUE"""),"可")</f>
        <v>可</v>
      </c>
      <c r="Q1180" s="30"/>
      <c r="R1180" s="22"/>
      <c r="S1180" s="22" t="str">
        <f>IFERROR(__xludf.DUMMYFUNCTION("""COMPUTED_VALUE"""),"20240214_シュークリーム_榎本先輩は天使なんかじゃない")</f>
        <v>20240214_シュークリーム_榎本先輩は天使なんかじゃない</v>
      </c>
      <c r="T1180" s="22" t="str">
        <f>IFERROR(__xludf.DUMMYFUNCTION("""COMPUTED_VALUE"""),"格納済み")</f>
        <v>格納済み</v>
      </c>
      <c r="U1180" s="15" t="str">
        <f>IFERROR(__xludf.DUMMYFUNCTION("""COMPUTED_VALUE"""),"（C）せつこうじ/from RED")</f>
        <v>（C）せつこうじ/from RED</v>
      </c>
      <c r="V1180" s="8" t="str">
        <f>IFERROR(__xludf.DUMMYFUNCTION("""COMPUTED_VALUE"""),"大学生の萩野の部屋には、事故で死んだはずの男の幽霊（？）・榎本がいる。榎本は、萩野が片想いしている先輩の親友で、目つきが悪いふてぶてしい男だ。そんな榎本は、死神のように「49日までに親友の命を奪えれば、俺はその代わりに生き返れる」と言い出し――？ 俺様な居候×ワンコな家主が繰り広げる、秘密の天敵BL！")</f>
        <v>大学生の萩野の部屋には、事故で死んだはずの男の幽霊（？）・榎本がいる。榎本は、萩野が片想いしている先輩の親友で、目つきが悪いふてぶてしい男だ。そんな榎本は、死神のように「49日までに親友の命を奪えれば、俺はその代わりに生き返れる」と言い出し――？ 俺様な居候×ワンコな家主が繰り広げる、秘密の天敵BL！</v>
      </c>
      <c r="W1180" s="14"/>
      <c r="X1180" s="14" t="str">
        <f>IFERROR(__xludf.DUMMYFUNCTION("""COMPUTED_VALUE"""),"有")</f>
        <v>有</v>
      </c>
      <c r="Y1180" s="8" t="str">
        <f>IFERROR(__xludf.DUMMYFUNCTION("""COMPUTED_VALUE"""),"P10まで")</f>
        <v>P10まで</v>
      </c>
      <c r="Z1180" s="7"/>
      <c r="AA1180" s="7"/>
      <c r="AB1180" s="7"/>
    </row>
    <row r="1181" ht="15.75" customHeight="1">
      <c r="A1181" s="26">
        <f>IFERROR(__xludf.DUMMYFUNCTION("""COMPUTED_VALUE"""),2841.0)</f>
        <v>2841</v>
      </c>
      <c r="B1181" s="22" t="str">
        <f>IFERROR(__xludf.DUMMYFUNCTION("""COMPUTED_VALUE"""),"確定")</f>
        <v>確定</v>
      </c>
      <c r="C1181" s="28">
        <f>IFERROR(__xludf.DUMMYFUNCTION("""COMPUTED_VALUE"""),45307.0)</f>
        <v>45307</v>
      </c>
      <c r="D1181" s="28">
        <f>IFERROR(__xludf.DUMMYFUNCTION("""COMPUTED_VALUE"""),45338.0)</f>
        <v>45338</v>
      </c>
      <c r="E1181" s="26">
        <f>IFERROR(__xludf.DUMMYFUNCTION("""COMPUTED_VALUE"""),287951.0)</f>
        <v>287951</v>
      </c>
      <c r="F1181" s="22" t="str">
        <f>IFERROR(__xludf.DUMMYFUNCTION("""COMPUTED_VALUE"""),"忘れた恋の修復法")</f>
        <v>忘れた恋の修復法</v>
      </c>
      <c r="G1181" s="20">
        <f>IFERROR(__xludf.DUMMYFUNCTION("""COMPUTED_VALUE"""),1.0)</f>
        <v>1</v>
      </c>
      <c r="H1181" s="22" t="str">
        <f>IFERROR(__xludf.DUMMYFUNCTION("""COMPUTED_VALUE"""),"芥河和真")</f>
        <v>芥河和真</v>
      </c>
      <c r="I1181" s="22" t="str">
        <f>IFERROR(__xludf.DUMMYFUNCTION("""COMPUTED_VALUE"""),"BL")</f>
        <v>BL</v>
      </c>
      <c r="J1181" s="22"/>
      <c r="K1181" s="22"/>
      <c r="L1181" s="22" t="str">
        <f>IFERROR(__xludf.DUMMYFUNCTION("""COMPUTED_VALUE"""),"シュークリーム")</f>
        <v>シュークリーム</v>
      </c>
      <c r="M1181" s="23">
        <f>IFERROR(__xludf.DUMMYFUNCTION("""COMPUTED_VALUE"""),45359.0)</f>
        <v>45359</v>
      </c>
      <c r="N1181" s="23">
        <f>IFERROR(__xludf.DUMMYFUNCTION("""COMPUTED_VALUE"""),45393.0)</f>
        <v>45393</v>
      </c>
      <c r="O1181" s="20"/>
      <c r="P1181" s="32" t="str">
        <f>IFERROR(__xludf.DUMMYFUNCTION("""COMPUTED_VALUE"""),"可")</f>
        <v>可</v>
      </c>
      <c r="Q1181" s="30"/>
      <c r="R1181" s="22"/>
      <c r="S1181" s="22" t="str">
        <f>IFERROR(__xludf.DUMMYFUNCTION("""COMPUTED_VALUE"""),"20240214_シュークリーム_忘れた恋の修復法")</f>
        <v>20240214_シュークリーム_忘れた恋の修復法</v>
      </c>
      <c r="T1181" s="22" t="str">
        <f>IFERROR(__xludf.DUMMYFUNCTION("""COMPUTED_VALUE"""),"格納済み")</f>
        <v>格納済み</v>
      </c>
      <c r="U1181" s="15" t="str">
        <f>IFERROR(__xludf.DUMMYFUNCTION("""COMPUTED_VALUE"""),"（C）芥河和真/from RED")</f>
        <v>（C）芥河和真/from RED</v>
      </c>
      <c r="V1181" s="8" t="str">
        <f>IFERROR(__xludf.DUMMYFUNCTION("""COMPUTED_VALUE"""),"ある日目覚めると、親友が恋人になっていた――。
八木翔馬、18歳。
幼馴染で親友の瑞生に片想い中――のはずだったのに、
目を覚ますとそこには「恋人」を自称する、大人になった瑞生がいた。
俺自身も大人になってるし、どうやら俺の方が7年分の記憶を失っているらしい…！？
俺の知らない大人の瑞生は、なんかエロくて落ち着かないし
初恋を自覚したばかりの俺には刺激が強すぎて……
クール溺愛攻×ツンデレピュア受
記憶喪失系エモきゅん青春BL")</f>
        <v>ある日目覚めると、親友が恋人になっていた――。
八木翔馬、18歳。
幼馴染で親友の瑞生に片想い中――のはずだったのに、
目を覚ますとそこには「恋人」を自称する、大人になった瑞生がいた。
俺自身も大人になってるし、どうやら俺の方が7年分の記憶を失っているらしい…！？
俺の知らない大人の瑞生は、なんかエロくて落ち着かないし
初恋を自覚したばかりの俺には刺激が強すぎて……
クール溺愛攻×ツンデレピュア受
記憶喪失系エモきゅん青春BL</v>
      </c>
      <c r="W1181" s="14"/>
      <c r="X1181" s="14" t="str">
        <f>IFERROR(__xludf.DUMMYFUNCTION("""COMPUTED_VALUE"""),"有")</f>
        <v>有</v>
      </c>
      <c r="Y1181" s="8" t="str">
        <f>IFERROR(__xludf.DUMMYFUNCTION("""COMPUTED_VALUE"""),"P11まで")</f>
        <v>P11まで</v>
      </c>
      <c r="Z1181" s="7"/>
      <c r="AA1181" s="7"/>
      <c r="AB1181" s="7"/>
    </row>
    <row r="1182" ht="15.75" customHeight="1">
      <c r="A1182" s="26">
        <f>IFERROR(__xludf.DUMMYFUNCTION("""COMPUTED_VALUE"""),2853.0)</f>
        <v>2853</v>
      </c>
      <c r="B1182" s="22" t="str">
        <f>IFERROR(__xludf.DUMMYFUNCTION("""COMPUTED_VALUE"""),"確定")</f>
        <v>確定</v>
      </c>
      <c r="C1182" s="28">
        <f>IFERROR(__xludf.DUMMYFUNCTION("""COMPUTED_VALUE"""),45309.0)</f>
        <v>45309</v>
      </c>
      <c r="D1182" s="28">
        <f>IFERROR(__xludf.DUMMYFUNCTION("""COMPUTED_VALUE"""),45341.0)</f>
        <v>45341</v>
      </c>
      <c r="E1182" s="26">
        <f>IFERROR(__xludf.DUMMYFUNCTION("""COMPUTED_VALUE"""),288718.0)</f>
        <v>288718</v>
      </c>
      <c r="F1182" s="22" t="str">
        <f>IFERROR(__xludf.DUMMYFUNCTION("""COMPUTED_VALUE"""),"せっかく令嬢に憑依したのにすでにやらかした後でした！")</f>
        <v>せっかく令嬢に憑依したのにすでにやらかした後でした！</v>
      </c>
      <c r="G1182" s="20" t="str">
        <f>IFERROR(__xludf.DUMMYFUNCTION("""COMPUTED_VALUE"""),"1～5")</f>
        <v>1～5</v>
      </c>
      <c r="H1182" s="22" t="str">
        <f>IFERROR(__xludf.DUMMYFUNCTION("""COMPUTED_VALUE"""),"沢野いずみ/BAON/夜田あかり")</f>
        <v>沢野いずみ/BAON/夜田あかり</v>
      </c>
      <c r="I1182" s="22" t="str">
        <f>IFERROR(__xludf.DUMMYFUNCTION("""COMPUTED_VALUE"""),"少女")</f>
        <v>少女</v>
      </c>
      <c r="J1182" s="22"/>
      <c r="K1182" s="22"/>
      <c r="L1182" s="22" t="str">
        <f>IFERROR(__xludf.DUMMYFUNCTION("""COMPUTED_VALUE"""),"booklistaSTUDIO/SBCr")</f>
        <v>booklistaSTUDIO/SBCr</v>
      </c>
      <c r="M1182" s="23">
        <f>IFERROR(__xludf.DUMMYFUNCTION("""COMPUTED_VALUE"""),45367.0)</f>
        <v>45367</v>
      </c>
      <c r="N1182" s="23">
        <f>IFERROR(__xludf.DUMMYFUNCTION("""COMPUTED_VALUE"""),45457.0)</f>
        <v>45457</v>
      </c>
      <c r="O1182" s="20"/>
      <c r="P1182" s="34" t="str">
        <f>IFERROR(__xludf.DUMMYFUNCTION("""COMPUTED_VALUE"""),"可")</f>
        <v>可</v>
      </c>
      <c r="Q1182" s="30" t="str">
        <f>IFERROR(__xludf.DUMMYFUNCTION("""COMPUTED_VALUE"""),"・出版社：booklistaSTUDIOから配信中の「せっかく令嬢に憑依したのにすでにやらかした後でした！【タテヨミ】」の版面化（横読み）がSBクリエイティブから配信され、シーモア独占先行となります
・大体ですが、タテヨミ2話分＝版面分冊版1話分になります
・初回配信5巻（＝タテヨミ10巻分）となります
・1巻目は0円予定です")</f>
        <v>・出版社：booklistaSTUDIOから配信中の「せっかく令嬢に憑依したのにすでにやらかした後でした！【タテヨミ】」の版面化（横読み）がSBクリエイティブから配信され、シーモア独占先行となります
・大体ですが、タテヨミ2話分＝版面分冊版1話分になります
・初回配信5巻（＝タテヨミ10巻分）となります
・1巻目は0円予定です</v>
      </c>
      <c r="R1182" s="22"/>
      <c r="S1182" s="22" t="str">
        <f>IFERROR(__xludf.DUMMYFUNCTION("""COMPUTED_VALUE"""),"20240219_booklistaSTUDIOSBCr_せっかく令嬢に憑依したのにすでにやらかした後でした！")</f>
        <v>20240219_booklistaSTUDIOSBCr_せっかく令嬢に憑依したのにすでにやらかした後でした！</v>
      </c>
      <c r="T1182" s="22" t="str">
        <f>IFERROR(__xludf.DUMMYFUNCTION("""COMPUTED_VALUE"""),"格納済")</f>
        <v>格納済</v>
      </c>
      <c r="U1182" s="15" t="str">
        <f>IFERROR(__xludf.DUMMYFUNCTION("""COMPUTED_VALUE"""),"©booklistaSTUDIO")</f>
        <v>©booklistaSTUDIO</v>
      </c>
      <c r="V1182" s="8" t="str">
        <f>IFERROR(__xludf.DUMMYFUNCTION("""COMPUTED_VALUE"""),"社畜のように日々働いていた主人公は、ある日、目が覚めると異世界の令嬢クリスティナに憑依していた。望んでいたような人生のやり直し、ではない。
記憶によればこの身体の持ち主はとんでもない悪女で、すでに色々『やらかしたあと』だった！
王太子からは「次はない」と脅され、抑制の手段という理由で監視役の公爵令息からは「一緒に住む」と言われ…！？
本気で抹殺の理由を得ようとしていると震えるクリスティナは、好感度を下げないために労働することを思いつく。一方、公爵は監視の他にも思惑があるようで……。")</f>
        <v>社畜のように日々働いていた主人公は、ある日、目が覚めると異世界の令嬢クリスティナに憑依していた。望んでいたような人生のやり直し、ではない。
記憶によればこの身体の持ち主はとんでもない悪女で、すでに色々『やらかしたあと』だった！
王太子からは「次はない」と脅され、抑制の手段という理由で監視役の公爵令息からは「一緒に住む」と言われ…！？
本気で抹殺の理由を得ようとしていると震えるクリスティナは、好感度を下げないために労働することを思いつく。一方、公爵は監視の他にも思惑があるようで……。</v>
      </c>
      <c r="W1182" s="14"/>
      <c r="X1182" s="14" t="str">
        <f>IFERROR(__xludf.DUMMYFUNCTION("""COMPUTED_VALUE"""),"有")</f>
        <v>有</v>
      </c>
      <c r="Y1182" s="8" t="str">
        <f>IFERROR(__xludf.DUMMYFUNCTION("""COMPUTED_VALUE"""),"1巻無料")</f>
        <v>1巻無料</v>
      </c>
      <c r="Z1182" s="7"/>
      <c r="AA1182" s="7"/>
      <c r="AB1182" s="7"/>
    </row>
    <row r="1183" ht="15.75" customHeight="1">
      <c r="A1183" s="26">
        <f>IFERROR(__xludf.DUMMYFUNCTION("""COMPUTED_VALUE"""),2857.0)</f>
        <v>2857</v>
      </c>
      <c r="B1183" s="22" t="str">
        <f>IFERROR(__xludf.DUMMYFUNCTION("""COMPUTED_VALUE"""),"確定")</f>
        <v>確定</v>
      </c>
      <c r="C1183" s="28">
        <f>IFERROR(__xludf.DUMMYFUNCTION("""COMPUTED_VALUE"""),45309.0)</f>
        <v>45309</v>
      </c>
      <c r="D1183" s="28">
        <f>IFERROR(__xludf.DUMMYFUNCTION("""COMPUTED_VALUE"""),45344.0)</f>
        <v>45344</v>
      </c>
      <c r="E1183" s="26">
        <f>IFERROR(__xludf.DUMMYFUNCTION("""COMPUTED_VALUE"""),287840.0)</f>
        <v>287840</v>
      </c>
      <c r="F1183" s="22" t="str">
        <f>IFERROR(__xludf.DUMMYFUNCTION("""COMPUTED_VALUE"""),"群青のカルテ【マイクロ】")</f>
        <v>群青のカルテ【マイクロ】</v>
      </c>
      <c r="G1183" s="20" t="str">
        <f>IFERROR(__xludf.DUMMYFUNCTION("""COMPUTED_VALUE"""),"1～5")</f>
        <v>1～5</v>
      </c>
      <c r="H1183" s="22" t="str">
        <f>IFERROR(__xludf.DUMMYFUNCTION("""COMPUTED_VALUE"""),"椎名チカ")</f>
        <v>椎名チカ</v>
      </c>
      <c r="I1183" s="22" t="str">
        <f>IFERROR(__xludf.DUMMYFUNCTION("""COMPUTED_VALUE"""),"少女")</f>
        <v>少女</v>
      </c>
      <c r="J1183" s="22"/>
      <c r="K1183" s="22"/>
      <c r="L1183" s="22" t="str">
        <f>IFERROR(__xludf.DUMMYFUNCTION("""COMPUTED_VALUE"""),"小学館")</f>
        <v>小学館</v>
      </c>
      <c r="M1183" s="23">
        <f>IFERROR(__xludf.DUMMYFUNCTION("""COMPUTED_VALUE"""),45356.0)</f>
        <v>45356</v>
      </c>
      <c r="N1183" s="23">
        <f>IFERROR(__xludf.DUMMYFUNCTION("""COMPUTED_VALUE"""),45416.0)</f>
        <v>45416</v>
      </c>
      <c r="O1183" s="20"/>
      <c r="P1183" s="34" t="str">
        <f>IFERROR(__xludf.DUMMYFUNCTION("""COMPUTED_VALUE"""),"否")</f>
        <v>否</v>
      </c>
      <c r="Q1183" s="30" t="str">
        <f>IFERROR(__xludf.DUMMYFUNCTION("""COMPUTED_VALUE"""),"広告コミットOK(1/22)
・巻数：1-4（予定）→1-5に変更（2/5）
・先行配信開始日：未定→3/5に変更（2/5）")</f>
        <v>広告コミットOK(1/22)
・巻数：1-4（予定）→1-5に変更（2/5）
・先行配信開始日：未定→3/5に変更（2/5）</v>
      </c>
      <c r="R1183" s="22"/>
      <c r="S1183" s="22" t="str">
        <f>IFERROR(__xludf.DUMMYFUNCTION("""COMPUTED_VALUE"""),"20240221_小学館_群青のカルテ【マイクロ】")</f>
        <v>20240221_小学館_群青のカルテ【マイクロ】</v>
      </c>
      <c r="T1183" s="22"/>
      <c r="U1183" s="15" t="str">
        <f>IFERROR(__xludf.DUMMYFUNCTION("""COMPUTED_VALUE"""),"(C)椎名チカ / 小学館")</f>
        <v>(C)椎名チカ / 小学館</v>
      </c>
      <c r="V1183" s="8" t="str">
        <f>IFERROR(__xludf.DUMMYFUNCTION("""COMPUTED_VALUE"""),"飛び降り自殺をしようとしていた娘の悠里と一緒に転落した精神科医の凛子。
目が覚めると凛子の意識は悠里の身体に！！娘を自殺に追い込んだ“犯人”は何なのか！！
悠里が目を覚ました時に、自殺を選ばなくていい世界にするため、悠里の学校ヘ。
生徒、先生、その家族・・・メンタルヘルスを取り巻く問題と向き合っていくことになってーー")</f>
        <v>飛び降り自殺をしようとしていた娘の悠里と一緒に転落した精神科医の凛子。
目が覚めると凛子の意識は悠里の身体に！！娘を自殺に追い込んだ“犯人”は何なのか！！
悠里が目を覚ました時に、自殺を選ばなくていい世界にするため、悠里の学校ヘ。
生徒、先生、その家族・・・メンタルヘルスを取り巻く問題と向き合っていくことになってーー</v>
      </c>
      <c r="W1183" s="14"/>
      <c r="X1183" s="14" t="str">
        <f>IFERROR(__xludf.DUMMYFUNCTION("""COMPUTED_VALUE"""),"有")</f>
        <v>有</v>
      </c>
      <c r="Y1183" s="8" t="str">
        <f>IFERROR(__xludf.DUMMYFUNCTION("""COMPUTED_VALUE"""),"2024/5/4まで1巻無料")</f>
        <v>2024/5/4まで1巻無料</v>
      </c>
      <c r="Z1183" s="7"/>
      <c r="AA1183" s="7"/>
      <c r="AB1183" s="7"/>
    </row>
    <row r="1184" ht="15.75" customHeight="1">
      <c r="A1184" s="26">
        <f>IFERROR(__xludf.DUMMYFUNCTION("""COMPUTED_VALUE"""),2858.0)</f>
        <v>2858</v>
      </c>
      <c r="B1184" s="22" t="str">
        <f>IFERROR(__xludf.DUMMYFUNCTION("""COMPUTED_VALUE"""),"確定")</f>
        <v>確定</v>
      </c>
      <c r="C1184" s="28">
        <f>IFERROR(__xludf.DUMMYFUNCTION("""COMPUTED_VALUE"""),45310.0)</f>
        <v>45310</v>
      </c>
      <c r="D1184" s="28">
        <f>IFERROR(__xludf.DUMMYFUNCTION("""COMPUTED_VALUE"""),45343.0)</f>
        <v>45343</v>
      </c>
      <c r="E1184" s="26">
        <f>IFERROR(__xludf.DUMMYFUNCTION("""COMPUTED_VALUE"""),288866.0)</f>
        <v>288866</v>
      </c>
      <c r="F1184" s="22" t="str">
        <f>IFERROR(__xludf.DUMMYFUNCTION("""COMPUTED_VALUE"""),"嫌われ者の悪役令嬢アリーシャ・リブラはまげられない 分冊版")</f>
        <v>嫌われ者の悪役令嬢アリーシャ・リブラはまげられない 分冊版</v>
      </c>
      <c r="G1184" s="20" t="str">
        <f>IFERROR(__xludf.DUMMYFUNCTION("""COMPUTED_VALUE"""),"1～4")</f>
        <v>1～4</v>
      </c>
      <c r="H1184" s="22" t="str">
        <f>IFERROR(__xludf.DUMMYFUNCTION("""COMPUTED_VALUE"""),"仁茂田あい/古寺音")</f>
        <v>仁茂田あい/古寺音</v>
      </c>
      <c r="I1184" s="22" t="str">
        <f>IFERROR(__xludf.DUMMYFUNCTION("""COMPUTED_VALUE"""),"女性")</f>
        <v>女性</v>
      </c>
      <c r="J1184" s="22"/>
      <c r="K1184" s="22"/>
      <c r="L1184" s="22" t="str">
        <f>IFERROR(__xludf.DUMMYFUNCTION("""COMPUTED_VALUE"""),"コアミックス")</f>
        <v>コアミックス</v>
      </c>
      <c r="M1184" s="23">
        <f>IFERROR(__xludf.DUMMYFUNCTION("""COMPUTED_VALUE"""),45366.0)</f>
        <v>45366</v>
      </c>
      <c r="N1184" s="23">
        <f>IFERROR(__xludf.DUMMYFUNCTION("""COMPUTED_VALUE"""),45477.0)</f>
        <v>45477</v>
      </c>
      <c r="O1184" s="20"/>
      <c r="P1184" s="34" t="str">
        <f>IFERROR(__xludf.DUMMYFUNCTION("""COMPUTED_VALUE"""),"否")</f>
        <v>否</v>
      </c>
      <c r="Q1184" s="30" t="str">
        <f>IFERROR(__xludf.DUMMYFUNCTION("""COMPUTED_VALUE"""),"広告コミットOK(1/24)")</f>
        <v>広告コミットOK(1/24)</v>
      </c>
      <c r="R1184" s="22"/>
      <c r="S1184" s="22" t="str">
        <f>IFERROR(__xludf.DUMMYFUNCTION("""COMPUTED_VALUE"""),"20240221_コアミックス_嫌われ者の悪役令嬢アリーシャ・リブラはまげられない 分冊版")</f>
        <v>20240221_コアミックス_嫌われ者の悪役令嬢アリーシャ・リブラはまげられない 分冊版</v>
      </c>
      <c r="T1184" s="22"/>
      <c r="U1184" s="15" t="str">
        <f>IFERROR(__xludf.DUMMYFUNCTION("""COMPUTED_VALUE"""),"©仁茂田あい・古寺音／コアミックス")</f>
        <v>©仁茂田あい・古寺音／コアミックス</v>
      </c>
      <c r="V1184" s="8" t="str">
        <f>IFERROR(__xludf.DUMMYFUNCTION("""COMPUTED_VALUE"""),"名門貴族の令嬢・アリーシャは学園の嫌われ者。
不慮の事故で死んでしまうが、女神の力によって別世界に転生。
彼女はそこで自分が「乙女ゲーム世界の悪役キャラ」だったことを知る。
持ち前の気の強さで周囲を圧倒してしまうけれど、
現実世界では嫌われるどころかみんなに好かれてしまい!?")</f>
        <v>名門貴族の令嬢・アリーシャは学園の嫌われ者。
不慮の事故で死んでしまうが、女神の力によって別世界に転生。
彼女はそこで自分が「乙女ゲーム世界の悪役キャラ」だったことを知る。
持ち前の気の強さで周囲を圧倒してしまうけれど、
現実世界では嫌われるどころかみんなに好かれてしまい!?</v>
      </c>
      <c r="W1184" s="14"/>
      <c r="X1184" s="14" t="str">
        <f>IFERROR(__xludf.DUMMYFUNCTION("""COMPUTED_VALUE"""),"有")</f>
        <v>有</v>
      </c>
      <c r="Y1184" s="8" t="str">
        <f>IFERROR(__xludf.DUMMYFUNCTION("""COMPUTED_VALUE"""),"2024/3/14まで1巻無料")</f>
        <v>2024/3/14まで1巻無料</v>
      </c>
      <c r="Z1184" s="7"/>
      <c r="AA1184" s="7"/>
      <c r="AB1184" s="7"/>
    </row>
    <row r="1185" ht="15.75" customHeight="1">
      <c r="A1185" s="26">
        <f>IFERROR(__xludf.DUMMYFUNCTION("""COMPUTED_VALUE"""),2859.0)</f>
        <v>2859</v>
      </c>
      <c r="B1185" s="22" t="str">
        <f>IFERROR(__xludf.DUMMYFUNCTION("""COMPUTED_VALUE"""),"確定")</f>
        <v>確定</v>
      </c>
      <c r="C1185" s="28">
        <f>IFERROR(__xludf.DUMMYFUNCTION("""COMPUTED_VALUE"""),45310.0)</f>
        <v>45310</v>
      </c>
      <c r="D1185" s="28">
        <f>IFERROR(__xludf.DUMMYFUNCTION("""COMPUTED_VALUE"""),45338.0)</f>
        <v>45338</v>
      </c>
      <c r="E1185" s="26">
        <f>IFERROR(__xludf.DUMMYFUNCTION("""COMPUTED_VALUE"""),288411.0)</f>
        <v>288411</v>
      </c>
      <c r="F1185" s="22" t="str">
        <f>IFERROR(__xludf.DUMMYFUNCTION("""COMPUTED_VALUE"""),"好きなヤツほどいじめたい。XLなライバル同期の不器用な溺愛")</f>
        <v>好きなヤツほどいじめたい。XLなライバル同期の不器用な溺愛</v>
      </c>
      <c r="G1185" s="11" t="str">
        <f>IFERROR(__xludf.DUMMYFUNCTION("""COMPUTED_VALUE"""),"1～2")</f>
        <v>1～2</v>
      </c>
      <c r="H1185" s="22" t="str">
        <f>IFERROR(__xludf.DUMMYFUNCTION("""COMPUTED_VALUE"""),"ako")</f>
        <v>ako</v>
      </c>
      <c r="I1185" s="22" t="str">
        <f>IFERROR(__xludf.DUMMYFUNCTION("""COMPUTED_VALUE"""),"TL")</f>
        <v>TL</v>
      </c>
      <c r="J1185" s="22"/>
      <c r="K1185" s="22"/>
      <c r="L1185" s="22" t="str">
        <f>IFERROR(__xludf.DUMMYFUNCTION("""COMPUTED_VALUE"""),"CLLENN")</f>
        <v>CLLENN</v>
      </c>
      <c r="M1185" s="23">
        <f>IFERROR(__xludf.DUMMYFUNCTION("""COMPUTED_VALUE"""),45364.0)</f>
        <v>45364</v>
      </c>
      <c r="N1185" s="23">
        <f>IFERROR(__xludf.DUMMYFUNCTION("""COMPUTED_VALUE"""),45453.66666666667)</f>
        <v>45453.66667</v>
      </c>
      <c r="O1185" s="20"/>
      <c r="P1185" s="34" t="str">
        <f>IFERROR(__xludf.DUMMYFUNCTION("""COMPUTED_VALUE"""),"可")</f>
        <v>可</v>
      </c>
      <c r="Q1185" s="31" t="str">
        <f>IFERROR(__xludf.DUMMYFUNCTION("""COMPUTED_VALUE"""),"広告コミットOK(1/24) レーベル：TLオトメチカ")</f>
        <v>広告コミットOK(1/24) レーベル：TLオトメチカ</v>
      </c>
      <c r="R1185" s="22" t="str">
        <f>IFERROR(__xludf.DUMMYFUNCTION("""COMPUTED_VALUE"""),"格納済")</f>
        <v>格納済</v>
      </c>
      <c r="S1185" s="22" t="str">
        <f>IFERROR(__xludf.DUMMYFUNCTION("""COMPUTED_VALUE"""),"20240214_CLLENN_好きなヤツほどいじめたい。XLなライバル同期の不器用な溺愛")</f>
        <v>20240214_CLLENN_好きなヤツほどいじめたい。XLなライバル同期の不器用な溺愛</v>
      </c>
      <c r="T1185" s="22" t="str">
        <f>IFERROR(__xludf.DUMMYFUNCTION("""COMPUTED_VALUE"""),"格納済み")</f>
        <v>格納済み</v>
      </c>
      <c r="U1185" s="15" t="str">
        <f>IFERROR(__xludf.DUMMYFUNCTION("""COMPUTED_VALUE"""),"ⓒako/CLLENN")</f>
        <v>ⓒako/CLLENN</v>
      </c>
      <c r="V1185" s="8" t="str">
        <f>IFERROR(__xludf.DUMMYFUNCTION("""COMPUTED_VALUE"""),"「せっかく我慢してあげてたのに」長い指と執拗な舌使いで、何度イッても逃してくれない。いきり勃った彼のアレは想像以上に大きくて…こんな大きいのが私のナカに…！？ーー負けず嫌いのOL・油井美弦には秘密の趣味がある・・・それはドＳ巨◯モノのエロ漫画を読むこと！ある日、漫画のキャラが営業成績1位のライバル同期・有泉斗真に似ていることに気づき、オカズにしてしまう。ところが、ひょんなことから秘密の趣味がバレてしまい…！？耳をくちゅくちゅ舐められ、硬くておっきいアレをグリグリ押し付けられて…。「そういう気分になってきた"&amp;"？」初めてなのに、ムカつくヤツなのに、どうしてこんなに身体が疼くのーー?")</f>
        <v>「せっかく我慢してあげてたのに」長い指と執拗な舌使いで、何度イッても逃してくれない。いきり勃った彼のアレは想像以上に大きくて…こんな大きいのが私のナカに…！？ーー負けず嫌いのOL・油井美弦には秘密の趣味がある・・・それはドＳ巨◯モノのエロ漫画を読むこと！ある日、漫画のキャラが営業成績1位のライバル同期・有泉斗真に似ていることに気づき、オカズにしてしまう。ところが、ひょんなことから秘密の趣味がバレてしまい…！？耳をくちゅくちゅ舐められ、硬くておっきいアレをグリグリ押し付けられて…。「そういう気分になってきた？」初めてなのに、ムカつくヤツなのに、どうしてこんなに身体が疼くのーー?</v>
      </c>
      <c r="W1185" s="14"/>
      <c r="X1185" s="14" t="str">
        <f>IFERROR(__xludf.DUMMYFUNCTION("""COMPUTED_VALUE"""),"有")</f>
        <v>有</v>
      </c>
      <c r="Y1185" s="8" t="str">
        <f>IFERROR(__xludf.DUMMYFUNCTION("""COMPUTED_VALUE"""),"P11まで")</f>
        <v>P11まで</v>
      </c>
      <c r="Z1185" s="7"/>
      <c r="AA1185" s="7"/>
      <c r="AB1185" s="7"/>
    </row>
    <row r="1186" ht="121.5" customHeight="1">
      <c r="A1186" s="26">
        <f>IFERROR(__xludf.DUMMYFUNCTION("""COMPUTED_VALUE"""),2884.0)</f>
        <v>2884</v>
      </c>
      <c r="B1186" s="22" t="str">
        <f>IFERROR(__xludf.DUMMYFUNCTION("""COMPUTED_VALUE"""),"確定")</f>
        <v>確定</v>
      </c>
      <c r="C1186" s="28">
        <f>IFERROR(__xludf.DUMMYFUNCTION("""COMPUTED_VALUE"""),45317.0)</f>
        <v>45317</v>
      </c>
      <c r="D1186" s="28">
        <f>IFERROR(__xludf.DUMMYFUNCTION("""COMPUTED_VALUE"""),45338.0)</f>
        <v>45338</v>
      </c>
      <c r="E1186" s="26">
        <f>IFERROR(__xludf.DUMMYFUNCTION("""COMPUTED_VALUE"""),288935.0)</f>
        <v>288935</v>
      </c>
      <c r="F1186" s="22" t="str">
        <f>IFERROR(__xludf.DUMMYFUNCTION("""COMPUTED_VALUE"""),"異世界ポメラニアンと虹のもふもふ旅【単話】")</f>
        <v>異世界ポメラニアンと虹のもふもふ旅【単話】</v>
      </c>
      <c r="G1186" s="20" t="str">
        <f>IFERROR(__xludf.DUMMYFUNCTION("""COMPUTED_VALUE"""),"1～6")</f>
        <v>1～6</v>
      </c>
      <c r="H1186" s="22" t="str">
        <f>IFERROR(__xludf.DUMMYFUNCTION("""COMPUTED_VALUE"""),"春日有")</f>
        <v>春日有</v>
      </c>
      <c r="I1186" s="22" t="str">
        <f>IFERROR(__xludf.DUMMYFUNCTION("""COMPUTED_VALUE"""),"少女")</f>
        <v>少女</v>
      </c>
      <c r="J1186" s="22"/>
      <c r="K1186" s="22"/>
      <c r="L1186" s="22" t="str">
        <f>IFERROR(__xludf.DUMMYFUNCTION("""COMPUTED_VALUE"""),"小学館")</f>
        <v>小学館</v>
      </c>
      <c r="M1186" s="23">
        <f>IFERROR(__xludf.DUMMYFUNCTION("""COMPUTED_VALUE"""),45370.0)</f>
        <v>45370</v>
      </c>
      <c r="N1186" s="23">
        <f>IFERROR(__xludf.DUMMYFUNCTION("""COMPUTED_VALUE"""),45428.0)</f>
        <v>45428</v>
      </c>
      <c r="O1186" s="20"/>
      <c r="P1186" s="34" t="str">
        <f>IFERROR(__xludf.DUMMYFUNCTION("""COMPUTED_VALUE"""),"否")</f>
        <v>否</v>
      </c>
      <c r="Q1186" s="30" t="str">
        <f>IFERROR(__xludf.DUMMYFUNCTION("""COMPUTED_VALUE"""),"3/19～4/2の15日間2話無料予定です。")</f>
        <v>3/19～4/2の15日間2話無料予定です。</v>
      </c>
      <c r="R1186" s="22"/>
      <c r="S1186" s="22" t="str">
        <f>IFERROR(__xludf.DUMMYFUNCTION("""COMPUTED_VALUE"""),"20240215_小学館_異世界ポメラニアンと虹のもふもふ旅【単話】")</f>
        <v>20240215_小学館_異世界ポメラニアンと虹のもふもふ旅【単話】</v>
      </c>
      <c r="T1186" s="22" t="str">
        <f>IFERROR(__xludf.DUMMYFUNCTION("""COMPUTED_VALUE"""),"格納済み")</f>
        <v>格納済み</v>
      </c>
      <c r="U1186" s="15" t="str">
        <f>IFERROR(__xludf.DUMMYFUNCTION("""COMPUTED_VALUE"""),"(C)春日有 / 小学館")</f>
        <v>(C)春日有 / 小学館</v>
      </c>
      <c r="V1186" s="8" t="str">
        <f>IFERROR(__xludf.DUMMYFUNCTION("""COMPUTED_VALUE"""),"キリコが転生したのは、空に常に虹が出ている異世界。そこでの彼女は９歳の姿。
助けてくれた神獣は、なんだかとっても、亡くなったペットのポメラニアン・ポテチに似ている…!?
獣魔導士の力を使ったもふもふ癒やし旅、スタート！")</f>
        <v>キリコが転生したのは、空に常に虹が出ている異世界。そこでの彼女は９歳の姿。
助けてくれた神獣は、なんだかとっても、亡くなったペットのポメラニアン・ポテチに似ている…!?
獣魔導士の力を使ったもふもふ癒やし旅、スタート！</v>
      </c>
      <c r="W1186" s="14"/>
      <c r="X1186" s="14" t="str">
        <f>IFERROR(__xludf.DUMMYFUNCTION("""COMPUTED_VALUE"""),"有")</f>
        <v>有</v>
      </c>
      <c r="Y1186" s="8" t="str">
        <f>IFERROR(__xludf.DUMMYFUNCTION("""COMPUTED_VALUE"""),"2024/4/2まで1~2巻無料")</f>
        <v>2024/4/2まで1~2巻無料</v>
      </c>
      <c r="Z1186" s="7"/>
      <c r="AA1186" s="7"/>
      <c r="AB1186" s="7"/>
    </row>
    <row r="1187" ht="15.75" customHeight="1">
      <c r="A1187" s="26">
        <f>IFERROR(__xludf.DUMMYFUNCTION("""COMPUTED_VALUE"""),2904.0)</f>
        <v>2904</v>
      </c>
      <c r="B1187" s="22" t="str">
        <f>IFERROR(__xludf.DUMMYFUNCTION("""COMPUTED_VALUE"""),"確定")</f>
        <v>確定</v>
      </c>
      <c r="C1187" s="28">
        <f>IFERROR(__xludf.DUMMYFUNCTION("""COMPUTED_VALUE"""),45321.0)</f>
        <v>45321</v>
      </c>
      <c r="D1187" s="28">
        <f>IFERROR(__xludf.DUMMYFUNCTION("""COMPUTED_VALUE"""),45343.0)</f>
        <v>45343</v>
      </c>
      <c r="E1187" s="26">
        <f>IFERROR(__xludf.DUMMYFUNCTION("""COMPUTED_VALUE"""),290400.0)</f>
        <v>290400</v>
      </c>
      <c r="F1187" s="46" t="str">
        <f>IFERROR(__xludf.DUMMYFUNCTION("""COMPUTED_VALUE"""),"あやかし茶荘のおもてなし～はらぺこ女子と美食の店主～【単話】")</f>
        <v>あやかし茶荘のおもてなし～はらぺこ女子と美食の店主～【単話】</v>
      </c>
      <c r="G1187" s="20" t="str">
        <f>IFERROR(__xludf.DUMMYFUNCTION("""COMPUTED_VALUE"""),"1～3")</f>
        <v>1～3</v>
      </c>
      <c r="H1187" s="22" t="str">
        <f>IFERROR(__xludf.DUMMYFUNCTION("""COMPUTED_VALUE"""),"平屋花直")</f>
        <v>平屋花直</v>
      </c>
      <c r="I1187" s="22" t="str">
        <f>IFERROR(__xludf.DUMMYFUNCTION("""COMPUTED_VALUE"""),"女性")</f>
        <v>女性</v>
      </c>
      <c r="J1187" s="22"/>
      <c r="K1187" s="22"/>
      <c r="L1187" s="22" t="str">
        <f>IFERROR(__xludf.DUMMYFUNCTION("""COMPUTED_VALUE"""),"祥伝社")</f>
        <v>祥伝社</v>
      </c>
      <c r="M1187" s="23">
        <f>IFERROR(__xludf.DUMMYFUNCTION("""COMPUTED_VALUE"""),45394.0)</f>
        <v>45394</v>
      </c>
      <c r="N1187" s="47">
        <f>IFERROR(__xludf.DUMMYFUNCTION("""COMPUTED_VALUE"""),45463.0)</f>
        <v>45463</v>
      </c>
      <c r="O1187" s="20"/>
      <c r="P1187" s="34" t="str">
        <f>IFERROR(__xludf.DUMMYFUNCTION("""COMPUTED_VALUE"""),"可")</f>
        <v>可</v>
      </c>
      <c r="Q1187" s="30" t="str">
        <f>IFERROR(__xludf.DUMMYFUNCTION("""COMPUTED_VALUE"""),"広告コミットOK(2/1)")</f>
        <v>広告コミットOK(2/1)</v>
      </c>
      <c r="R1187" s="22"/>
      <c r="S1187" s="22" t="str">
        <f>IFERROR(__xludf.DUMMYFUNCTION("""COMPUTED_VALUE"""),"20240220_祥伝社_あやかし茶荘のおもてなし")</f>
        <v>20240220_祥伝社_あやかし茶荘のおもてなし</v>
      </c>
      <c r="T1187" s="22"/>
      <c r="U1187" s="15" t="str">
        <f>IFERROR(__xludf.DUMMYFUNCTION("""COMPUTED_VALUE"""),"（C）平屋花直/祥伝社")</f>
        <v>（C）平屋花直/祥伝社</v>
      </c>
      <c r="V1187" s="8" t="str">
        <f>IFERROR(__xludf.DUMMYFUNCTION("""COMPUTED_VALUE"""),"彼氏の転勤に付いて、日本有数のチャイナタウン「南京街」近くに引っ越してきた凛子。
モラハラ気味の彼氏に疲れながらも就活をがんばっていたが、途中で体調を崩してしまう。
助けてくれたのは南京街の中国茶専門店「華羊茶荘」のオーナー。
ストレスから食の楽しみを忘れていた凛子だが、特製の八宝茶と肉まんでもてなされ、その美味しさと癒しの時間に感動する。さらに華羊茶荘で働かないかと誘われ喜ぶも、この茶荘には大きな秘密があるようで…!?
美食の街で繰り広げられる中華グルメファンタジー、開幕！")</f>
        <v>彼氏の転勤に付いて、日本有数のチャイナタウン「南京街」近くに引っ越してきた凛子。
モラハラ気味の彼氏に疲れながらも就活をがんばっていたが、途中で体調を崩してしまう。
助けてくれたのは南京街の中国茶専門店「華羊茶荘」のオーナー。
ストレスから食の楽しみを忘れていた凛子だが、特製の八宝茶と肉まんでもてなされ、その美味しさと癒しの時間に感動する。さらに華羊茶荘で働かないかと誘われ喜ぶも、この茶荘には大きな秘密があるようで…!?
美食の街で繰り広げられる中華グルメファンタジー、開幕！</v>
      </c>
      <c r="W1187" s="14"/>
      <c r="X1187" s="14" t="str">
        <f>IFERROR(__xludf.DUMMYFUNCTION("""COMPUTED_VALUE"""),"有")</f>
        <v>有</v>
      </c>
      <c r="Y1187" s="8" t="str">
        <f>IFERROR(__xludf.DUMMYFUNCTION("""COMPUTED_VALUE"""),"2024/6/20まで1巻無料")</f>
        <v>2024/6/20まで1巻無料</v>
      </c>
      <c r="Z1187" s="7"/>
      <c r="AA1187" s="7"/>
      <c r="AB1187" s="7"/>
    </row>
    <row r="1188" ht="15.75" customHeight="1">
      <c r="A1188" s="26">
        <f>IFERROR(__xludf.DUMMYFUNCTION("""COMPUTED_VALUE"""),2940.0)</f>
        <v>2940</v>
      </c>
      <c r="B1188" s="22" t="str">
        <f>IFERROR(__xludf.DUMMYFUNCTION("""COMPUTED_VALUE"""),"確定")</f>
        <v>確定</v>
      </c>
      <c r="C1188" s="28">
        <f>IFERROR(__xludf.DUMMYFUNCTION("""COMPUTED_VALUE"""),45329.0)</f>
        <v>45329</v>
      </c>
      <c r="D1188" s="28">
        <f>IFERROR(__xludf.DUMMYFUNCTION("""COMPUTED_VALUE"""),45344.0)</f>
        <v>45344</v>
      </c>
      <c r="E1188" s="26">
        <f>IFERROR(__xludf.DUMMYFUNCTION("""COMPUTED_VALUE"""),288934.0)</f>
        <v>288934</v>
      </c>
      <c r="F1188" s="22" t="str">
        <f>IFERROR(__xludf.DUMMYFUNCTION("""COMPUTED_VALUE"""),"セカンドバージン・セカンドライフ～バツのち、セフ活～【単話】")</f>
        <v>セカンドバージン・セカンドライフ～バツのち、セフ活～【単話】</v>
      </c>
      <c r="G1188" s="20" t="str">
        <f>IFERROR(__xludf.DUMMYFUNCTION("""COMPUTED_VALUE"""),"1～5")</f>
        <v>1～5</v>
      </c>
      <c r="H1188" s="22" t="str">
        <f>IFERROR(__xludf.DUMMYFUNCTION("""COMPUTED_VALUE"""),"鯖井ばる")</f>
        <v>鯖井ばる</v>
      </c>
      <c r="I1188" s="22" t="str">
        <f>IFERROR(__xludf.DUMMYFUNCTION("""COMPUTED_VALUE"""),"少女")</f>
        <v>少女</v>
      </c>
      <c r="J1188" s="22"/>
      <c r="K1188" s="22"/>
      <c r="L1188" s="22" t="str">
        <f>IFERROR(__xludf.DUMMYFUNCTION("""COMPUTED_VALUE"""),"小学館")</f>
        <v>小学館</v>
      </c>
      <c r="M1188" s="23">
        <f>IFERROR(__xludf.DUMMYFUNCTION("""COMPUTED_VALUE"""),45370.0)</f>
        <v>45370</v>
      </c>
      <c r="N1188" s="23">
        <f>IFERROR(__xludf.DUMMYFUNCTION("""COMPUTED_VALUE"""),45428.0)</f>
        <v>45428</v>
      </c>
      <c r="O1188" s="20"/>
      <c r="P1188" s="34" t="str">
        <f>IFERROR(__xludf.DUMMYFUNCTION("""COMPUTED_VALUE"""),"可")</f>
        <v>可</v>
      </c>
      <c r="Q1188" s="30" t="str">
        <f>IFERROR(__xludf.DUMMYFUNCTION("""COMPUTED_VALUE"""),"・広告コミットOK（2/7）※河上さん別途相談済
・巻数1-3→1-5に変更（2/22）")</f>
        <v>・広告コミットOK（2/7）※河上さん別途相談済
・巻数1-3→1-5に変更（2/22）</v>
      </c>
      <c r="R1188" s="22"/>
      <c r="S1188" s="22" t="str">
        <f>IFERROR(__xludf.DUMMYFUNCTION("""COMPUTED_VALUE"""),"20240222_小学館_セカンドバージン・セカンドライフ～バツのち、セフ活～【単話】")</f>
        <v>20240222_小学館_セカンドバージン・セカンドライフ～バツのち、セフ活～【単話】</v>
      </c>
      <c r="T1188" s="22"/>
      <c r="U1188" s="15" t="str">
        <f>IFERROR(__xludf.DUMMYFUNCTION("""COMPUTED_VALUE"""),"(C)鯖井ばる / 小学館")</f>
        <v>(C)鯖井ばる / 小学館</v>
      </c>
      <c r="V1188" s="8" t="str">
        <f>IFERROR(__xludf.DUMMYFUNCTION("""COMPUTED_VALUE"""),"「人生にSEXを取り戻す！」オトナ女子向けラブコメ♪
夫に拒否られ3年レス、その上夫は社内不倫…
離婚し、職場も家もリセットしたアラサー・一夏。
なんでも笑って我慢してきた自分自身もリセットしようと、決意して向かった先は…ハプニングバー！？
そこで出会った謎のイケメン・理津と、セフレよりも甘くって、恋人よりも気楽な関係が始まる――！")</f>
        <v>「人生にSEXを取り戻す！」オトナ女子向けラブコメ♪
夫に拒否られ3年レス、その上夫は社内不倫…
離婚し、職場も家もリセットしたアラサー・一夏。
なんでも笑って我慢してきた自分自身もリセットしようと、決意して向かった先は…ハプニングバー！？
そこで出会った謎のイケメン・理津と、セフレよりも甘くって、恋人よりも気楽な関係が始まる――！</v>
      </c>
      <c r="W1188" s="14"/>
      <c r="X1188" s="14" t="str">
        <f>IFERROR(__xludf.DUMMYFUNCTION("""COMPUTED_VALUE"""),"有")</f>
        <v>有</v>
      </c>
      <c r="Y1188" s="8" t="str">
        <f>IFERROR(__xludf.DUMMYFUNCTION("""COMPUTED_VALUE"""),"2024/5/16まで1巻無料")</f>
        <v>2024/5/16まで1巻無料</v>
      </c>
      <c r="Z1188" s="7"/>
      <c r="AA1188" s="7"/>
      <c r="AB1188" s="7"/>
    </row>
    <row r="1189" ht="15.75" customHeight="1">
      <c r="A1189" s="26">
        <f>IFERROR(__xludf.DUMMYFUNCTION("""COMPUTED_VALUE"""),2973.0)</f>
        <v>2973</v>
      </c>
      <c r="B1189" s="22" t="str">
        <f>IFERROR(__xludf.DUMMYFUNCTION("""COMPUTED_VALUE"""),"確定")</f>
        <v>確定</v>
      </c>
      <c r="C1189" s="28">
        <f>IFERROR(__xludf.DUMMYFUNCTION("""COMPUTED_VALUE"""),45336.0)</f>
        <v>45336</v>
      </c>
      <c r="D1189" s="28">
        <f>IFERROR(__xludf.DUMMYFUNCTION("""COMPUTED_VALUE"""),45338.0)</f>
        <v>45338</v>
      </c>
      <c r="E1189" s="26">
        <f>IFERROR(__xludf.DUMMYFUNCTION("""COMPUTED_VALUE"""),289671.0)</f>
        <v>289671</v>
      </c>
      <c r="F1189" s="22" t="str">
        <f>IFERROR(__xludf.DUMMYFUNCTION("""COMPUTED_VALUE"""),"結婚すると死んでしまうので、カンスト聖女(Lv.99)は飯テロします!【分冊版】")</f>
        <v>結婚すると死んでしまうので、カンスト聖女(Lv.99)は飯テロします!【分冊版】</v>
      </c>
      <c r="G1189" s="20" t="str">
        <f>IFERROR(__xludf.DUMMYFUNCTION("""COMPUTED_VALUE"""),"1～5")</f>
        <v>1～5</v>
      </c>
      <c r="H1189" s="22" t="str">
        <f>IFERROR(__xludf.DUMMYFUNCTION("""COMPUTED_VALUE"""),"仲倉千景")</f>
        <v>仲倉千景</v>
      </c>
      <c r="I1189" s="22" t="str">
        <f>IFERROR(__xludf.DUMMYFUNCTION("""COMPUTED_VALUE"""),"少女")</f>
        <v>少女</v>
      </c>
      <c r="J1189" s="22"/>
      <c r="K1189" s="22"/>
      <c r="L1189" s="22" t="str">
        <f>IFERROR(__xludf.DUMMYFUNCTION("""COMPUTED_VALUE"""),"スクウェア・エニックス")</f>
        <v>スクウェア・エニックス</v>
      </c>
      <c r="M1189" s="23">
        <f>IFERROR(__xludf.DUMMYFUNCTION("""COMPUTED_VALUE"""),45383.0)</f>
        <v>45383</v>
      </c>
      <c r="N1189" s="23">
        <f>IFERROR(__xludf.DUMMYFUNCTION("""COMPUTED_VALUE"""),45473.0)</f>
        <v>45473</v>
      </c>
      <c r="O1189" s="20"/>
      <c r="P1189" s="34" t="str">
        <f>IFERROR(__xludf.DUMMYFUNCTION("""COMPUTED_VALUE"""),"否")</f>
        <v>否</v>
      </c>
      <c r="Q1189" s="30" t="str">
        <f>IFERROR(__xludf.DUMMYFUNCTION("""COMPUTED_VALUE"""),"事前に小林さんと個別調整済みの作品です（男性強化の取組で露出コミットいただいています）")</f>
        <v>事前に小林さんと個別調整済みの作品です（男性強化の取組で露出コミットいただいています）</v>
      </c>
      <c r="R1189" s="22"/>
      <c r="S1189" s="22" t="str">
        <f>IFERROR(__xludf.DUMMYFUNCTION("""COMPUTED_VALUE"""),"20240214_スクウェア・エニックス_結婚するとしんでしまうのでカンスト聖女は飯テロします")</f>
        <v>20240214_スクウェア・エニックス_結婚するとしんでしまうのでカンスト聖女は飯テロします</v>
      </c>
      <c r="T1189" s="22" t="str">
        <f>IFERROR(__xludf.DUMMYFUNCTION("""COMPUTED_VALUE"""),"格納済み")</f>
        <v>格納済み</v>
      </c>
      <c r="U1189" s="15" t="str">
        <f>IFERROR(__xludf.DUMMYFUNCTION("""COMPUTED_VALUE"""),"(C)Chikage Nakakura/SQUARE ENIX")</f>
        <v>(C)Chikage Nakakura/SQUARE ENIX</v>
      </c>
      <c r="V1189" s="8" t="str">
        <f>IFERROR(__xludf.DUMMYFUNCTION("""COMPUTED_VALUE"""),"【婚約回避の秘訣は…庶民派グルメ!?】
結婚式当日に私、藤宮凛々は旦那の熱狂的なファンに刺されて死亡した。望まれた結婚ではなかったのはわかっていたけど、これで人生終了―――と思いきや、目覚めると時を遡り、若かりし学生時代に戻ってた!?何が起きてるかはわからないけれど、このままでは再び死亡ルート一直線なのは間違いなし…。そこで私が取った手段は……。庶民派グルメで婚約を回避すること!?真夜中に読むのは危険な、最強聖女×冷徹騎士×飯テロ＝すれ違い異世界グルメLOVE開幕♪
※この商品は「結婚すると死んでしま"&amp;"うので、カンスト聖女（Lv.99）は飯テロします！」を1話ごとに分冊したものです。
(C)2024 Chikage Nakakura")</f>
        <v>【婚約回避の秘訣は…庶民派グルメ!?】
結婚式当日に私、藤宮凛々は旦那の熱狂的なファンに刺されて死亡した。望まれた結婚ではなかったのはわかっていたけど、これで人生終了―――と思いきや、目覚めると時を遡り、若かりし学生時代に戻ってた!?何が起きてるかはわからないけれど、このままでは再び死亡ルート一直線なのは間違いなし…。そこで私が取った手段は……。庶民派グルメで婚約を回避すること!?真夜中に読むのは危険な、最強聖女×冷徹騎士×飯テロ＝すれ違い異世界グルメLOVE開幕♪
※この商品は「結婚すると死んでしまうので、カンスト聖女（Lv.99）は飯テロします！」を1話ごとに分冊したものです。
(C)2024 Chikage Nakakura</v>
      </c>
      <c r="W1189" s="14"/>
      <c r="X1189" s="14" t="str">
        <f>IFERROR(__xludf.DUMMYFUNCTION("""COMPUTED_VALUE"""),"有")</f>
        <v>有</v>
      </c>
      <c r="Y1189" s="8" t="str">
        <f>IFERROR(__xludf.DUMMYFUNCTION("""COMPUTED_VALUE"""),"P6まで")</f>
        <v>P6まで</v>
      </c>
      <c r="Z1189" s="7"/>
      <c r="AA1189" s="7"/>
      <c r="AB1189" s="7"/>
    </row>
    <row r="1190" ht="15.75" customHeight="1">
      <c r="A1190" s="26">
        <f>IFERROR(__xludf.DUMMYFUNCTION("""COMPUTED_VALUE"""),2954.0)</f>
        <v>2954</v>
      </c>
      <c r="B1190" s="22" t="str">
        <f>IFERROR(__xludf.DUMMYFUNCTION("""COMPUTED_VALUE"""),"確定")</f>
        <v>確定</v>
      </c>
      <c r="C1190" s="28">
        <f>IFERROR(__xludf.DUMMYFUNCTION("""COMPUTED_VALUE"""),45335.0)</f>
        <v>45335</v>
      </c>
      <c r="D1190" s="28">
        <f>IFERROR(__xludf.DUMMYFUNCTION("""COMPUTED_VALUE"""),45338.0)</f>
        <v>45338</v>
      </c>
      <c r="E1190" s="26">
        <f>IFERROR(__xludf.DUMMYFUNCTION("""COMPUTED_VALUE"""),289306.0)</f>
        <v>289306</v>
      </c>
      <c r="F1190" s="22" t="str">
        <f>IFERROR(__xludf.DUMMYFUNCTION("""COMPUTED_VALUE"""),"マツケンクエスト～異世界召喚されたマツケン、サンバで魔王を成敗致す～(話売り)")</f>
        <v>マツケンクエスト～異世界召喚されたマツケン、サンバで魔王を成敗致す～(話売り)</v>
      </c>
      <c r="G1190" s="20" t="str">
        <f>IFERROR(__xludf.DUMMYFUNCTION("""COMPUTED_VALUE"""),"1～5")</f>
        <v>1～5</v>
      </c>
      <c r="H1190" s="22" t="str">
        <f>IFERROR(__xludf.DUMMYFUNCTION("""COMPUTED_VALUE"""),"SANKIPROMOTION・林たかあき・遠田マリモ")</f>
        <v>SANKIPROMOTION・林たかあき・遠田マリモ</v>
      </c>
      <c r="I1190" s="14" t="str">
        <f>IFERROR(__xludf.DUMMYFUNCTION("""COMPUTED_VALUE"""),"少年")</f>
        <v>少年</v>
      </c>
      <c r="J1190" s="22"/>
      <c r="K1190" s="22"/>
      <c r="L1190" s="22" t="str">
        <f>IFERROR(__xludf.DUMMYFUNCTION("""COMPUTED_VALUE"""),"秋田書店")</f>
        <v>秋田書店</v>
      </c>
      <c r="M1190" s="23">
        <f>IFERROR(__xludf.DUMMYFUNCTION("""COMPUTED_VALUE"""),45361.0)</f>
        <v>45361</v>
      </c>
      <c r="N1190" s="23">
        <f>IFERROR(__xludf.DUMMYFUNCTION("""COMPUTED_VALUE"""),45391.0)</f>
        <v>45391</v>
      </c>
      <c r="O1190" s="20"/>
      <c r="P1190" s="34" t="str">
        <f>IFERROR(__xludf.DUMMYFUNCTION("""COMPUTED_VALUE"""),"否")</f>
        <v>否</v>
      </c>
      <c r="Q1190" s="30" t="str">
        <f>IFERROR(__xludf.DUMMYFUNCTION("""COMPUTED_VALUE"""),"4話分で製作をお願い致します。
広告コミット")</f>
        <v>4話分で製作をお願い致します。
広告コミット</v>
      </c>
      <c r="R1190" s="22"/>
      <c r="S1190" s="22" t="str">
        <f>IFERROR(__xludf.DUMMYFUNCTION("""COMPUTED_VALUE"""),"20240213_秋田書店_マツケン、小林幸子")</f>
        <v>20240213_秋田書店_マツケン、小林幸子</v>
      </c>
      <c r="T1190" s="22" t="str">
        <f>IFERROR(__xludf.DUMMYFUNCTION("""COMPUTED_VALUE"""),"格納済み")</f>
        <v>格納済み</v>
      </c>
      <c r="U1190" s="15" t="str">
        <f>IFERROR(__xludf.DUMMYFUNCTION("""COMPUTED_VALUE"""),"©SANKIPROMOTION　©林たかあき・遠田マリモ（秋田書店）")</f>
        <v>©SANKIPROMOTION　©林たかあき・遠田マリモ（秋田書店）</v>
      </c>
      <c r="V1190" s="8" t="str">
        <f>IFERROR(__xludf.DUMMYFUNCTION("""COMPUTED_VALUE"""),"ステージパフォーマンス中に突如光に包まれたマツケンこと松平健。気づくとそこは…邪悪な魔王に支配された異世界だった！　そこで虐げられている人々を目撃してしまったマツケンは、もちろん黙ってはいられない、いられるわけがない!! 異世界で仲間を集めて、魔王を成敗すべく、マツケンが征く!!　これは流行りの異世界の世界に有名人を当て込んだ企画漫画ではない。超王道ファンタジー漫画である!!!")</f>
        <v>ステージパフォーマンス中に突如光に包まれたマツケンこと松平健。気づくとそこは…邪悪な魔王に支配された異世界だった！　そこで虐げられている人々を目撃してしまったマツケンは、もちろん黙ってはいられない、いられるわけがない!! 異世界で仲間を集めて、魔王を成敗すべく、マツケンが征く!!　これは流行りの異世界の世界に有名人を当て込んだ企画漫画ではない。超王道ファンタジー漫画である!!!</v>
      </c>
      <c r="W1190" s="14"/>
      <c r="X1190" s="14" t="str">
        <f>IFERROR(__xludf.DUMMYFUNCTION("""COMPUTED_VALUE"""),"有")</f>
        <v>有</v>
      </c>
      <c r="Y1190" s="8" t="str">
        <f>IFERROR(__xludf.DUMMYFUNCTION("""COMPUTED_VALUE"""),"P6まで")</f>
        <v>P6まで</v>
      </c>
      <c r="Z1190" s="7"/>
      <c r="AA1190" s="7"/>
      <c r="AB1190" s="7"/>
    </row>
    <row r="1191" ht="81.0" customHeight="1">
      <c r="A1191" s="26">
        <f>IFERROR(__xludf.DUMMYFUNCTION("""COMPUTED_VALUE"""),2955.0)</f>
        <v>2955</v>
      </c>
      <c r="B1191" s="22" t="str">
        <f>IFERROR(__xludf.DUMMYFUNCTION("""COMPUTED_VALUE"""),"確定")</f>
        <v>確定</v>
      </c>
      <c r="C1191" s="28">
        <f>IFERROR(__xludf.DUMMYFUNCTION("""COMPUTED_VALUE"""),45335.0)</f>
        <v>45335</v>
      </c>
      <c r="D1191" s="28">
        <f>IFERROR(__xludf.DUMMYFUNCTION("""COMPUTED_VALUE"""),45338.0)</f>
        <v>45338</v>
      </c>
      <c r="E1191" s="26">
        <f>IFERROR(__xludf.DUMMYFUNCTION("""COMPUTED_VALUE"""),288459.0)</f>
        <v>288459</v>
      </c>
      <c r="F1191" s="22" t="str">
        <f>IFERROR(__xludf.DUMMYFUNCTION("""COMPUTED_VALUE"""),"異世界小林幸子～ラスボス降臨！～(話売り)")</f>
        <v>異世界小林幸子～ラスボス降臨！～(話売り)</v>
      </c>
      <c r="G1191" s="20" t="str">
        <f>IFERROR(__xludf.DUMMYFUNCTION("""COMPUTED_VALUE"""),"1～11")</f>
        <v>1～11</v>
      </c>
      <c r="H1191" s="22" t="str">
        <f>IFERROR(__xludf.DUMMYFUNCTION("""COMPUTED_VALUE"""),"猪原賽・國立アルバ")</f>
        <v>猪原賽・國立アルバ</v>
      </c>
      <c r="I1191" s="22" t="str">
        <f>IFERROR(__xludf.DUMMYFUNCTION("""COMPUTED_VALUE"""),"少女")</f>
        <v>少女</v>
      </c>
      <c r="J1191" s="22"/>
      <c r="K1191" s="22"/>
      <c r="L1191" s="22" t="str">
        <f>IFERROR(__xludf.DUMMYFUNCTION("""COMPUTED_VALUE"""),"秋田書店")</f>
        <v>秋田書店</v>
      </c>
      <c r="M1191" s="23">
        <f>IFERROR(__xludf.DUMMYFUNCTION("""COMPUTED_VALUE"""),45361.0)</f>
        <v>45361</v>
      </c>
      <c r="N1191" s="23">
        <f>IFERROR(__xludf.DUMMYFUNCTION("""COMPUTED_VALUE"""),45391.0)</f>
        <v>45391</v>
      </c>
      <c r="O1191" s="20"/>
      <c r="P1191" s="34" t="str">
        <f>IFERROR(__xludf.DUMMYFUNCTION("""COMPUTED_VALUE"""),"否")</f>
        <v>否</v>
      </c>
      <c r="Q1191" s="30" t="str">
        <f>IFERROR(__xludf.DUMMYFUNCTION("""COMPUTED_VALUE"""),"9話で制作をお願い致します。
広告コミット")</f>
        <v>9話で制作をお願い致します。
広告コミット</v>
      </c>
      <c r="R1191" s="22"/>
      <c r="S1191" s="22" t="str">
        <f>IFERROR(__xludf.DUMMYFUNCTION("""COMPUTED_VALUE"""),"20240213_秋田書店_マツケン、小林幸子")</f>
        <v>20240213_秋田書店_マツケン、小林幸子</v>
      </c>
      <c r="T1191" s="22" t="str">
        <f>IFERROR(__xludf.DUMMYFUNCTION("""COMPUTED_VALUE"""),"格納済み")</f>
        <v>格納済み</v>
      </c>
      <c r="U1191" s="15" t="str">
        <f>IFERROR(__xludf.DUMMYFUNCTION("""COMPUTED_VALUE"""),"©SACHIKO PROMOTION,INC. ©猪原賽・國立アルバ（秋田書店）")</f>
        <v>©SACHIKO PROMOTION,INC. ©猪原賽・國立アルバ（秋田書店）</v>
      </c>
      <c r="V1191" s="8" t="str">
        <f>IFERROR(__xludf.DUMMYFUNCTION("""COMPUTED_VALUE"""),"勇者に攻め入られる魔王城。魔族全滅も免れないと思ったその瞬間、魔王が封印されていた石像に異変が。魔界を救うため、魔王(ラスボス)としてその場に降臨したのは、小林幸子で……!?　 超国民的ウルトラレジェンド人気歌手・小林幸子が豪華衣装と歌で無双する魔界再建エンターテインメント!!")</f>
        <v>勇者に攻め入られる魔王城。魔族全滅も免れないと思ったその瞬間、魔王が封印されていた石像に異変が。魔界を救うため、魔王(ラスボス)としてその場に降臨したのは、小林幸子で……!?　 超国民的ウルトラレジェンド人気歌手・小林幸子が豪華衣装と歌で無双する魔界再建エンターテインメント!!</v>
      </c>
      <c r="W1191" s="14"/>
      <c r="X1191" s="14" t="str">
        <f>IFERROR(__xludf.DUMMYFUNCTION("""COMPUTED_VALUE"""),"有")</f>
        <v>有</v>
      </c>
      <c r="Y1191" s="8" t="str">
        <f>IFERROR(__xludf.DUMMYFUNCTION("""COMPUTED_VALUE"""),"2024/3/31まで1～3巻無料")</f>
        <v>2024/3/31まで1～3巻無料</v>
      </c>
      <c r="Z1191" s="7"/>
      <c r="AA1191" s="7"/>
      <c r="AB1191" s="7"/>
    </row>
    <row r="1192">
      <c r="A1192" s="26">
        <f>IFERROR(__xludf.DUMMYFUNCTION("""COMPUTED_VALUE"""),2952.0)</f>
        <v>2952</v>
      </c>
      <c r="B1192" s="31" t="str">
        <f>IFERROR(__xludf.DUMMYFUNCTION("""COMPUTED_VALUE"""),"確定")</f>
        <v>確定</v>
      </c>
      <c r="C1192" s="28">
        <f>IFERROR(__xludf.DUMMYFUNCTION("""COMPUTED_VALUE"""),45335.0)</f>
        <v>45335</v>
      </c>
      <c r="D1192" s="28">
        <f>IFERROR(__xludf.DUMMYFUNCTION("""COMPUTED_VALUE"""),45342.0)</f>
        <v>45342</v>
      </c>
      <c r="E1192" s="26">
        <f>IFERROR(__xludf.DUMMYFUNCTION("""COMPUTED_VALUE"""),282462.0)</f>
        <v>282462</v>
      </c>
      <c r="F1192" s="31" t="str">
        <f>IFERROR(__xludf.DUMMYFUNCTION("""COMPUTED_VALUE"""),"結婚相談所のヤバい女たち(フルカラー)")</f>
        <v>結婚相談所のヤバい女たち(フルカラー)</v>
      </c>
      <c r="G1192" s="20" t="str">
        <f>IFERROR(__xludf.DUMMYFUNCTION("""COMPUTED_VALUE"""),"1～3")</f>
        <v>1～3</v>
      </c>
      <c r="H1192" s="31" t="str">
        <f>IFERROR(__xludf.DUMMYFUNCTION("""COMPUTED_VALUE"""),"overlab")</f>
        <v>overlab</v>
      </c>
      <c r="I1192" s="14" t="str">
        <f>IFERROR(__xludf.DUMMYFUNCTION("""COMPUTED_VALUE"""),"青年")</f>
        <v>青年</v>
      </c>
      <c r="J1192" s="31"/>
      <c r="K1192" s="31"/>
      <c r="L1192" s="31" t="str">
        <f>IFERROR(__xludf.DUMMYFUNCTION("""COMPUTED_VALUE"""),"ソルマーレ編集部")</f>
        <v>ソルマーレ編集部</v>
      </c>
      <c r="M1192" s="23">
        <f>IFERROR(__xludf.DUMMYFUNCTION("""COMPUTED_VALUE"""),45367.0)</f>
        <v>45367</v>
      </c>
      <c r="N1192" s="23">
        <f>IFERROR(__xludf.DUMMYFUNCTION("""COMPUTED_VALUE"""),45457.66666666667)</f>
        <v>45457.66667</v>
      </c>
      <c r="O1192" s="20"/>
      <c r="P1192" s="48" t="str">
        <f>IFERROR(__xludf.DUMMYFUNCTION("""COMPUTED_VALUE"""),"可")</f>
        <v>可</v>
      </c>
      <c r="Q1192" s="49"/>
      <c r="R1192" s="31"/>
      <c r="S1192" s="31" t="str">
        <f>IFERROR(__xludf.DUMMYFUNCTION("""COMPUTED_VALUE"""),"20240219_ソルマーレ編集部_結婚相談所のヤバい女たち（フルカラー）")</f>
        <v>20240219_ソルマーレ編集部_結婚相談所のヤバい女たち（フルカラー）</v>
      </c>
      <c r="T1192" s="31" t="str">
        <f>IFERROR(__xludf.DUMMYFUNCTION("""COMPUTED_VALUE"""),"格納済み")</f>
        <v>格納済み</v>
      </c>
      <c r="U1192" s="15" t="str">
        <f>IFERROR(__xludf.DUMMYFUNCTION("""COMPUTED_VALUE"""),"Ⓒ overlab/TOPCO/シーモアコミックス")</f>
        <v>Ⓒ overlab/TOPCO/シーモアコミックス</v>
      </c>
      <c r="V1192" s="50" t="str">
        <f>IFERROR(__xludf.DUMMYFUNCTION("""COMPUTED_VALUE"""),"8年付き合った彼女に、突然の別れを告げられた吉田圭太。新しい出会いを求めて結婚相談所の門を叩いたものの、求められる条件があまりにも高く、絶望に打ちひしがれていた。そんな時、結婚相談所「運命の赤い糸」のマネージャー・工藤真由美が現れて魅力的な提案を持ちかけてきたのだが！？【ズズズキュン！】")</f>
        <v>8年付き合った彼女に、突然の別れを告げられた吉田圭太。新しい出会いを求めて結婚相談所の門を叩いたものの、求められる条件があまりにも高く、絶望に打ちひしがれていた。そんな時、結婚相談所「運命の赤い糸」のマネージャー・工藤真由美が現れて魅力的な提案を持ちかけてきたのだが！？【ズズズキュン！】</v>
      </c>
      <c r="W1192" s="14"/>
      <c r="X1192" s="14" t="str">
        <f>IFERROR(__xludf.DUMMYFUNCTION("""COMPUTED_VALUE"""),"有")</f>
        <v>有</v>
      </c>
      <c r="Y1192" s="50" t="str">
        <f>IFERROR(__xludf.DUMMYFUNCTION("""COMPUTED_VALUE"""),"2024/4/19まで1巻無料")</f>
        <v>2024/4/19まで1巻無料</v>
      </c>
      <c r="Z1192" s="51"/>
      <c r="AA1192" s="51"/>
      <c r="AB1192" s="51"/>
    </row>
    <row r="1193" ht="15.75" customHeight="1">
      <c r="A1193" s="26">
        <f>IFERROR(__xludf.DUMMYFUNCTION("""COMPUTED_VALUE"""),2980.0)</f>
        <v>2980</v>
      </c>
      <c r="B1193" s="22" t="str">
        <f>IFERROR(__xludf.DUMMYFUNCTION("""COMPUTED_VALUE"""),"確定")</f>
        <v>確定</v>
      </c>
      <c r="C1193" s="28">
        <f>IFERROR(__xludf.DUMMYFUNCTION("""COMPUTED_VALUE"""),45337.0)</f>
        <v>45337</v>
      </c>
      <c r="D1193" s="28">
        <f>IFERROR(__xludf.DUMMYFUNCTION("""COMPUTED_VALUE"""),45337.0)</f>
        <v>45337</v>
      </c>
      <c r="E1193" s="26">
        <f>IFERROR(__xludf.DUMMYFUNCTION("""COMPUTED_VALUE"""),292337.0)</f>
        <v>292337</v>
      </c>
      <c r="F1193" s="46" t="str">
        <f>IFERROR(__xludf.DUMMYFUNCTION("""COMPUTED_VALUE"""),"ご怪妊おめでとう～妻が××を孕んだ日～")</f>
        <v>ご怪妊おめでとう～妻が××を孕んだ日～</v>
      </c>
      <c r="G1193" s="20" t="str">
        <f>IFERROR(__xludf.DUMMYFUNCTION("""COMPUTED_VALUE"""),"1～3")</f>
        <v>1～3</v>
      </c>
      <c r="H1193" s="22" t="str">
        <f>IFERROR(__xludf.DUMMYFUNCTION("""COMPUTED_VALUE"""),"帯刀ヨコ")</f>
        <v>帯刀ヨコ</v>
      </c>
      <c r="I1193" s="22" t="str">
        <f>IFERROR(__xludf.DUMMYFUNCTION("""COMPUTED_VALUE"""),"青年")</f>
        <v>青年</v>
      </c>
      <c r="J1193" s="22"/>
      <c r="K1193" s="22"/>
      <c r="L1193" s="22" t="str">
        <f>IFERROR(__xludf.DUMMYFUNCTION("""COMPUTED_VALUE"""),"ウェイブ")</f>
        <v>ウェイブ</v>
      </c>
      <c r="M1193" s="47">
        <f>IFERROR(__xludf.DUMMYFUNCTION("""COMPUTED_VALUE"""),45429.0)</f>
        <v>45429</v>
      </c>
      <c r="N1193" s="47">
        <f>IFERROR(__xludf.DUMMYFUNCTION("""COMPUTED_VALUE"""),45457.0)</f>
        <v>45457</v>
      </c>
      <c r="O1193" s="20"/>
      <c r="P1193" s="34" t="str">
        <f>IFERROR(__xludf.DUMMYFUNCTION("""COMPUTED_VALUE"""),"可")</f>
        <v>可</v>
      </c>
      <c r="Q1193" s="30" t="str">
        <f>IFERROR(__xludf.DUMMYFUNCTION("""COMPUTED_VALUE"""),"素材は微修正前のものを1話分だけもらえてます。2~3話は頂き次第更新します。
「ディストピア～移住先は不貞の島でした～」や「スマイリー」のような、不気味なナニカに日常を侵されていく、ゾワゾワ系のサスペンス漫画で広告ヒットを狙える描写も多いです。")</f>
        <v>素材は微修正前のものを1話分だけもらえてます。2~3話は頂き次第更新します。
「ディストピア～移住先は不貞の島でした～」や「スマイリー」のような、不気味なナニカに日常を侵されていく、ゾワゾワ系のサスペンス漫画で広告ヒットを狙える描写も多いです。</v>
      </c>
      <c r="R1193" s="22"/>
      <c r="S1193" s="22" t="str">
        <f>IFERROR(__xludf.DUMMYFUNCTION("""COMPUTED_VALUE"""),"20240507_ウェイブ_ご怪妊おめでとう～妻が××を孕んだ日～	")</f>
        <v>20240507_ウェイブ_ご怪妊おめでとう～妻が××を孕んだ日～	</v>
      </c>
      <c r="T1193" s="22"/>
      <c r="U1193" s="15" t="str">
        <f>IFERROR(__xludf.DUMMYFUNCTION("""COMPUTED_VALUE"""),"©帯刀ヨコ／wwwave comics")</f>
        <v>©帯刀ヨコ／wwwave comics</v>
      </c>
      <c r="V1193" s="8" t="str">
        <f>IFERROR(__xludf.DUMMYFUNCTION("""COMPUTED_VALUE"""),"『みらいなかよしタウン』には、幸せな家族だけが暮らしている。単身赴任中だった一也は、妻の二人目妊娠の知らせを受け、このタウンに帰ってきた。だが、久しぶりの我が家に胸を躍らせながら、ドアを開けると…そこには、毛むくじゃらの怪物がいた――。鋭い爪と牙を見せつけ目を剥く怪物。娘の恋衣は、この怪物を『友達』だと言う。怪物と仲良く食卓で「いただきます」する妻と娘…。この家でおかしいのは、俺だけなのか…？しかも妻は、怪物から『贈り物』を貰ったらしい。膨らんだお腹をさする妻。つまり、俺の妻の腹にいるのは――…")</f>
        <v>『みらいなかよしタウン』には、幸せな家族だけが暮らしている。単身赴任中だった一也は、妻の二人目妊娠の知らせを受け、このタウンに帰ってきた。だが、久しぶりの我が家に胸を躍らせながら、ドアを開けると…そこには、毛むくじゃらの怪物がいた――。鋭い爪と牙を見せつけ目を剥く怪物。娘の恋衣は、この怪物を『友達』だと言う。怪物と仲良く食卓で「いただきます」する妻と娘…。この家でおかしいのは、俺だけなのか…？しかも妻は、怪物から『贈り物』を貰ったらしい。膨らんだお腹をさする妻。つまり、俺の妻の腹にいるのは――…</v>
      </c>
      <c r="W1193" s="14"/>
      <c r="X1193" s="14" t="str">
        <f>IFERROR(__xludf.DUMMYFUNCTION("""COMPUTED_VALUE"""),"有")</f>
        <v>有</v>
      </c>
      <c r="Y1193" s="8" t="str">
        <f>IFERROR(__xludf.DUMMYFUNCTION("""COMPUTED_VALUE"""),"2024/5/24まで1巻無料")</f>
        <v>2024/5/24まで1巻無料</v>
      </c>
      <c r="Z1193" s="7"/>
      <c r="AA1193" s="7"/>
      <c r="AB1193" s="7"/>
    </row>
    <row r="1194" ht="15.75" customHeight="1">
      <c r="A1194" s="26">
        <f>IFERROR(__xludf.DUMMYFUNCTION("""COMPUTED_VALUE"""),2981.0)</f>
        <v>2981</v>
      </c>
      <c r="B1194" s="22" t="str">
        <f>IFERROR(__xludf.DUMMYFUNCTION("""COMPUTED_VALUE"""),"確定")</f>
        <v>確定</v>
      </c>
      <c r="C1194" s="28">
        <f>IFERROR(__xludf.DUMMYFUNCTION("""COMPUTED_VALUE"""),45338.0)</f>
        <v>45338</v>
      </c>
      <c r="D1194" s="28">
        <f>IFERROR(__xludf.DUMMYFUNCTION("""COMPUTED_VALUE"""),45338.0)</f>
        <v>45338</v>
      </c>
      <c r="E1194" s="26">
        <f>IFERROR(__xludf.DUMMYFUNCTION("""COMPUTED_VALUE"""),290302.0)</f>
        <v>290302</v>
      </c>
      <c r="F1194" s="22" t="str">
        <f>IFERROR(__xludf.DUMMYFUNCTION("""COMPUTED_VALUE"""),"夢の随に")</f>
        <v>夢の随に</v>
      </c>
      <c r="G1194" s="11" t="str">
        <f>IFERROR(__xludf.DUMMYFUNCTION("""COMPUTED_VALUE"""),"1～4")</f>
        <v>1～4</v>
      </c>
      <c r="H1194" s="22" t="str">
        <f>IFERROR(__xludf.DUMMYFUNCTION("""COMPUTED_VALUE"""),"キサラ")</f>
        <v>キサラ</v>
      </c>
      <c r="I1194" s="22" t="str">
        <f>IFERROR(__xludf.DUMMYFUNCTION("""COMPUTED_VALUE"""),"BL")</f>
        <v>BL</v>
      </c>
      <c r="J1194" s="22"/>
      <c r="K1194" s="22"/>
      <c r="L1194" s="22" t="str">
        <f>IFERROR(__xludf.DUMMYFUNCTION("""COMPUTED_VALUE"""),"FILL-IN")</f>
        <v>FILL-IN</v>
      </c>
      <c r="M1194" s="23">
        <f>IFERROR(__xludf.DUMMYFUNCTION("""COMPUTED_VALUE"""),45394.0)</f>
        <v>45394</v>
      </c>
      <c r="N1194" s="47">
        <f>IFERROR(__xludf.DUMMYFUNCTION("""COMPUTED_VALUE"""),45421.0)</f>
        <v>45421</v>
      </c>
      <c r="O1194" s="20"/>
      <c r="P1194" s="32" t="str">
        <f>IFERROR(__xludf.DUMMYFUNCTION("""COMPUTED_VALUE"""),"可")</f>
        <v>可</v>
      </c>
      <c r="Q1194" s="30"/>
      <c r="R1194" s="22"/>
      <c r="S1194" s="22" t="str">
        <f>IFERROR(__xludf.DUMMYFUNCTION("""COMPUTED_VALUE"""),"20240216_ライドオン_夢の随に")</f>
        <v>20240216_ライドオン_夢の随に</v>
      </c>
      <c r="T1194" s="22" t="str">
        <f>IFERROR(__xludf.DUMMYFUNCTION("""COMPUTED_VALUE"""),"格納済み")</f>
        <v>格納済み</v>
      </c>
      <c r="U1194" s="15" t="str">
        <f>IFERROR(__xludf.DUMMYFUNCTION("""COMPUTED_VALUE"""),"©キサラ/FILL-IN")</f>
        <v>©キサラ/FILL-IN</v>
      </c>
      <c r="V1194" s="8" t="str">
        <f>IFERROR(__xludf.DUMMYFUNCTION("""COMPUTED_VALUE"""),"学生時代に寝こみを襲われ、その夢を見たときだけ勃つようになってしまったトラウマ持ちの誠。
そんな自分の性癖を知っても優しく接してくれる千里さんに絶賛片思い中。
今日も千里さんの家でお酒もいただいて…。
楽しく話していたのになんだか眠くなってきた…。
「おやすみ」という千里さんの優しい声に目をつぶればいつもの夢。
千里さんが一緒ならこの夢も怖くなくていっそこの手が千里さんだったらいいのになんて思いながらなすがままに快感を拾っていたけれど…。
ハッキリと聞こえた自分を呼ぶ千里さんの声。
…あれ？"&amp;"これって本当に夢？")</f>
        <v>学生時代に寝こみを襲われ、その夢を見たときだけ勃つようになってしまったトラウマ持ちの誠。
そんな自分の性癖を知っても優しく接してくれる千里さんに絶賛片思い中。
今日も千里さんの家でお酒もいただいて…。
楽しく話していたのになんだか眠くなってきた…。
「おやすみ」という千里さんの優しい声に目をつぶればいつもの夢。
千里さんが一緒ならこの夢も怖くなくていっそこの手が千里さんだったらいいのになんて思いながらなすがままに快感を拾っていたけれど…。
ハッキリと聞こえた自分を呼ぶ千里さんの声。
…あれ？これって本当に夢？</v>
      </c>
      <c r="W1194" s="14"/>
      <c r="X1194" s="14" t="str">
        <f>IFERROR(__xludf.DUMMYFUNCTION("""COMPUTED_VALUE"""),"有")</f>
        <v>有</v>
      </c>
      <c r="Y1194" s="8" t="str">
        <f>IFERROR(__xludf.DUMMYFUNCTION("""COMPUTED_VALUE"""),"P11まで")</f>
        <v>P11まで</v>
      </c>
      <c r="Z1194" s="7"/>
      <c r="AA1194" s="7"/>
      <c r="AB1194" s="7"/>
    </row>
    <row r="1195" ht="15.75" customHeight="1">
      <c r="A1195" s="26">
        <f>IFERROR(__xludf.DUMMYFUNCTION("""COMPUTED_VALUE"""),2982.0)</f>
        <v>2982</v>
      </c>
      <c r="B1195" s="22" t="str">
        <f>IFERROR(__xludf.DUMMYFUNCTION("""COMPUTED_VALUE"""),"確定")</f>
        <v>確定</v>
      </c>
      <c r="C1195" s="28">
        <f>IFERROR(__xludf.DUMMYFUNCTION("""COMPUTED_VALUE"""),45338.0)</f>
        <v>45338</v>
      </c>
      <c r="D1195" s="28">
        <f>IFERROR(__xludf.DUMMYFUNCTION("""COMPUTED_VALUE"""),45338.0)</f>
        <v>45338</v>
      </c>
      <c r="E1195" s="26">
        <f>IFERROR(__xludf.DUMMYFUNCTION("""COMPUTED_VALUE"""),289473.0)</f>
        <v>289473</v>
      </c>
      <c r="F1195" s="22" t="str">
        <f>IFERROR(__xludf.DUMMYFUNCTION("""COMPUTED_VALUE"""),"とりかえ花嫁の冥婚 分冊版")</f>
        <v>とりかえ花嫁の冥婚 分冊版</v>
      </c>
      <c r="G1195" s="11" t="str">
        <f>IFERROR(__xludf.DUMMYFUNCTION("""COMPUTED_VALUE"""),"1～4")</f>
        <v>1～4</v>
      </c>
      <c r="H1195" s="22" t="str">
        <f>IFERROR(__xludf.DUMMYFUNCTION("""COMPUTED_VALUE"""),"望月桜・貴嶋啓")</f>
        <v>望月桜・貴嶋啓</v>
      </c>
      <c r="I1195" s="22" t="str">
        <f>IFERROR(__xludf.DUMMYFUNCTION("""COMPUTED_VALUE"""),"女性")</f>
        <v>女性</v>
      </c>
      <c r="J1195" s="22"/>
      <c r="K1195" s="22"/>
      <c r="L1195" s="22" t="str">
        <f>IFERROR(__xludf.DUMMYFUNCTION("""COMPUTED_VALUE"""),"講談社")</f>
        <v>講談社</v>
      </c>
      <c r="M1195" s="23">
        <f>IFERROR(__xludf.DUMMYFUNCTION("""COMPUTED_VALUE"""),45375.0)</f>
        <v>45375</v>
      </c>
      <c r="N1195" s="23">
        <f>IFERROR(__xludf.DUMMYFUNCTION("""COMPUTED_VALUE"""),45441.0)</f>
        <v>45441</v>
      </c>
      <c r="O1195" s="20"/>
      <c r="P1195" s="34" t="str">
        <f>IFERROR(__xludf.DUMMYFUNCTION("""COMPUTED_VALUE"""),"否")</f>
        <v>否</v>
      </c>
      <c r="Q1195" s="30" t="str">
        <f>IFERROR(__xludf.DUMMYFUNCTION("""COMPUTED_VALUE"""),"個別に河上さんから出稿コミットいただいている案件です")</f>
        <v>個別に河上さんから出稿コミットいただいている案件です</v>
      </c>
      <c r="R1195" s="22"/>
      <c r="S1195" s="22" t="str">
        <f>IFERROR(__xludf.DUMMYFUNCTION("""COMPUTED_VALUE"""),"20240216_講談社_とりかえ花嫁の冥婚 分冊版")</f>
        <v>20240216_講談社_とりかえ花嫁の冥婚 分冊版</v>
      </c>
      <c r="T1195" s="22" t="str">
        <f>IFERROR(__xludf.DUMMYFUNCTION("""COMPUTED_VALUE"""),"格納済み")</f>
        <v>格納済み</v>
      </c>
      <c r="U1195" s="15" t="str">
        <f>IFERROR(__xludf.DUMMYFUNCTION("""COMPUTED_VALUE"""),"©望月桜・貴嶋啓／講談社")</f>
        <v>©望月桜・貴嶋啓／講談社</v>
      </c>
      <c r="V1195" s="8" t="str">
        <f>IFERROR(__xludf.DUMMYFUNCTION("""COMPUTED_VALUE"""),"両親が亡くなり、一人で明茶商会を切り盛りしている商家の娘、汪黎禾（おう れいか）。
死んだ父親が残した二千両の借金を返すため、悪名高い藩王・成州王（せいしゅうおう）の息子のもとへ嫁ぐことを決める。
が、嫁ぐ先の花婿はすでに故人。この縁組はいわゆる死者との結婚ーー「冥婚（めいこん）」だった。
覚悟の上で輿入れを決めた黎禾だったが、嫁入り先に向かう花嫁道中のさなか、突然意識を失ってしまいーー！？
講談社Ｘ文庫ホワイトハートの大人気作品、待望のコミカライズ☆
陰謀渦巻く皇城で起こる、溺愛皇太子×偽り公"&amp;"主のとりかえ中華ファンタジー！
【第一話「冥婚」を収録】")</f>
        <v>両親が亡くなり、一人で明茶商会を切り盛りしている商家の娘、汪黎禾（おう れいか）。
死んだ父親が残した二千両の借金を返すため、悪名高い藩王・成州王（せいしゅうおう）の息子のもとへ嫁ぐことを決める。
が、嫁ぐ先の花婿はすでに故人。この縁組はいわゆる死者との結婚ーー「冥婚（めいこん）」だった。
覚悟の上で輿入れを決めた黎禾だったが、嫁入り先に向かう花嫁道中のさなか、突然意識を失ってしまいーー！？
講談社Ｘ文庫ホワイトハートの大人気作品、待望のコミカライズ☆
陰謀渦巻く皇城で起こる、溺愛皇太子×偽り公主のとりかえ中華ファンタジー！
【第一話「冥婚」を収録】</v>
      </c>
      <c r="W1195" s="14"/>
      <c r="X1195" s="14" t="str">
        <f>IFERROR(__xludf.DUMMYFUNCTION("""COMPUTED_VALUE"""),"有")</f>
        <v>有</v>
      </c>
      <c r="Y1195" s="8" t="str">
        <f>IFERROR(__xludf.DUMMYFUNCTION("""COMPUTED_VALUE"""),"2024/4/11まで1巻無料")</f>
        <v>2024/4/11まで1巻無料</v>
      </c>
      <c r="Z1195" s="7"/>
      <c r="AA1195" s="7"/>
      <c r="AB1195" s="7"/>
    </row>
    <row r="1196" ht="15.75" customHeight="1">
      <c r="A1196" s="26">
        <f>IFERROR(__xludf.DUMMYFUNCTION("""COMPUTED_VALUE"""),2985.0)</f>
        <v>2985</v>
      </c>
      <c r="B1196" s="22" t="str">
        <f>IFERROR(__xludf.DUMMYFUNCTION("""COMPUTED_VALUE"""),"確定")</f>
        <v>確定</v>
      </c>
      <c r="C1196" s="28">
        <f>IFERROR(__xludf.DUMMYFUNCTION("""COMPUTED_VALUE"""),45341.0)</f>
        <v>45341</v>
      </c>
      <c r="D1196" s="28">
        <f>IFERROR(__xludf.DUMMYFUNCTION("""COMPUTED_VALUE"""),45342.0)</f>
        <v>45342</v>
      </c>
      <c r="E1196" s="26">
        <f>IFERROR(__xludf.DUMMYFUNCTION("""COMPUTED_VALUE"""),288534.0)</f>
        <v>288534</v>
      </c>
      <c r="F1196" s="22" t="str">
        <f>IFERROR(__xludf.DUMMYFUNCTION("""COMPUTED_VALUE"""),"変な絵（コミック） 分冊版")</f>
        <v>変な絵（コミック） 分冊版</v>
      </c>
      <c r="G1196" s="11" t="str">
        <f>IFERROR(__xludf.DUMMYFUNCTION("""COMPUTED_VALUE"""),"1～2")</f>
        <v>1～2</v>
      </c>
      <c r="H1196" s="22" t="str">
        <f>IFERROR(__xludf.DUMMYFUNCTION("""COMPUTED_VALUE"""),"画：相羽紀行　原作：雨穴")</f>
        <v>画：相羽紀行　原作：雨穴</v>
      </c>
      <c r="I1196" s="22" t="str">
        <f>IFERROR(__xludf.DUMMYFUNCTION("""COMPUTED_VALUE"""),"青年")</f>
        <v>青年</v>
      </c>
      <c r="J1196" s="22"/>
      <c r="K1196" s="22"/>
      <c r="L1196" s="22" t="str">
        <f>IFERROR(__xludf.DUMMYFUNCTION("""COMPUTED_VALUE"""),"双葉社")</f>
        <v>双葉社</v>
      </c>
      <c r="M1196" s="23">
        <f>IFERROR(__xludf.DUMMYFUNCTION("""COMPUTED_VALUE"""),45366.0)</f>
        <v>45366</v>
      </c>
      <c r="N1196" s="23">
        <f>IFERROR(__xludf.DUMMYFUNCTION("""COMPUTED_VALUE"""),45671.70833333333)</f>
        <v>45671.70833</v>
      </c>
      <c r="O1196" s="20"/>
      <c r="P1196" s="34" t="str">
        <f>IFERROR(__xludf.DUMMYFUNCTION("""COMPUTED_VALUE"""),"可")</f>
        <v>可</v>
      </c>
      <c r="Q1196" s="31" t="str">
        <f>IFERROR(__xludf.DUMMYFUNCTION("""COMPUTED_VALUE"""),"河上さんより広告コミットOK事前確認済み。
1話データで広告作成をお願いいたします。
3/1～3/4を目途に校了済み2話データを納品予定です。広告に使えるコマがございましたらクリエイティブ作成の程お願いいたします。")</f>
        <v>河上さんより広告コミットOK事前確認済み。
1話データで広告作成をお願いいたします。
3/1～3/4を目途に校了済み2話データを納品予定です。広告に使えるコマがございましたらクリエイティブ作成の程お願いいたします。</v>
      </c>
      <c r="R1196" s="22" t="str">
        <f>IFERROR(__xludf.DUMMYFUNCTION("""COMPUTED_VALUE"""),"1話格納済み　2話格納前")</f>
        <v>1話格納済み　2話格納前</v>
      </c>
      <c r="S1196" s="22" t="str">
        <f>IFERROR(__xludf.DUMMYFUNCTION("""COMPUTED_VALUE"""),"20240219_双葉社_変な絵")</f>
        <v>20240219_双葉社_変な絵</v>
      </c>
      <c r="T1196" s="22" t="str">
        <f>IFERROR(__xludf.DUMMYFUNCTION("""COMPUTED_VALUE"""),"1話校了済　2話格納前")</f>
        <v>1話校了済　2話格納前</v>
      </c>
      <c r="U1196" s="15" t="str">
        <f>IFERROR(__xludf.DUMMYFUNCTION("""COMPUTED_VALUE"""),"©雨穴・相羽紀行／双葉社")</f>
        <v>©雨穴・相羽紀行／双葉社</v>
      </c>
      <c r="V1196" s="8" t="str">
        <f>IFERROR(__xludf.DUMMYFUNCTION("""COMPUTED_VALUE"""),"【『変な家』の雨穴が紡ぐ戦慄の国民的スケッチ・ミステリー、待望のコミカライズ！】あなたも、何かがおかしい９枚の絵の「謎」が解けますか？ とあるブログに投稿された『風に立つ女の絵』、消えた男児が描いた『灰色に塗りつぶされたマンションの絵』、山奥で見つかった遺体が残した『震えた線で描かれた山並みの絵』……。９枚の奇妙な絵に秘められた衝撃の真実とは!?　その謎が解けたとき、すべての事件が一つに繋がる！")</f>
        <v>【『変な家』の雨穴が紡ぐ戦慄の国民的スケッチ・ミステリー、待望のコミカライズ！】あなたも、何かがおかしい９枚の絵の「謎」が解けますか？ とあるブログに投稿された『風に立つ女の絵』、消えた男児が描いた『灰色に塗りつぶされたマンションの絵』、山奥で見つかった遺体が残した『震えた線で描かれた山並みの絵』……。９枚の奇妙な絵に秘められた衝撃の真実とは!?　その謎が解けたとき、すべての事件が一つに繋がる！</v>
      </c>
      <c r="W1196" s="14"/>
      <c r="X1196" s="14" t="str">
        <f>IFERROR(__xludf.DUMMYFUNCTION("""COMPUTED_VALUE"""),"有")</f>
        <v>有</v>
      </c>
      <c r="Y1196" s="8" t="str">
        <f>IFERROR(__xludf.DUMMYFUNCTION("""COMPUTED_VALUE"""),"2024/4/14まで1巻無料")</f>
        <v>2024/4/14まで1巻無料</v>
      </c>
      <c r="Z1196" s="7"/>
      <c r="AA1196" s="7"/>
      <c r="AB1196" s="7"/>
    </row>
    <row r="1197" ht="15.75" customHeight="1">
      <c r="A1197" s="26">
        <f>IFERROR(__xludf.DUMMYFUNCTION("""COMPUTED_VALUE"""),2987.0)</f>
        <v>2987</v>
      </c>
      <c r="B1197" s="22" t="str">
        <f>IFERROR(__xludf.DUMMYFUNCTION("""COMPUTED_VALUE"""),"確定")</f>
        <v>確定</v>
      </c>
      <c r="C1197" s="28">
        <f>IFERROR(__xludf.DUMMYFUNCTION("""COMPUTED_VALUE"""),45341.0)</f>
        <v>45341</v>
      </c>
      <c r="D1197" s="28">
        <f>IFERROR(__xludf.DUMMYFUNCTION("""COMPUTED_VALUE"""),45342.0)</f>
        <v>45342</v>
      </c>
      <c r="E1197" s="26">
        <f>IFERROR(__xludf.DUMMYFUNCTION("""COMPUTED_VALUE"""),291239.0)</f>
        <v>291239</v>
      </c>
      <c r="F1197" s="22" t="str">
        <f>IFERROR(__xludf.DUMMYFUNCTION("""COMPUTED_VALUE"""),"花秘める君のメテオール")</f>
        <v>花秘める君のメテオール</v>
      </c>
      <c r="G1197" s="11" t="str">
        <f>IFERROR(__xludf.DUMMYFUNCTION("""COMPUTED_VALUE"""),"1～10")</f>
        <v>1～10</v>
      </c>
      <c r="H1197" s="22" t="str">
        <f>IFERROR(__xludf.DUMMYFUNCTION("""COMPUTED_VALUE"""),"珠森ベティ")</f>
        <v>珠森ベティ</v>
      </c>
      <c r="I1197" s="22" t="str">
        <f>IFERROR(__xludf.DUMMYFUNCTION("""COMPUTED_VALUE"""),"女性")</f>
        <v>女性</v>
      </c>
      <c r="J1197" s="22"/>
      <c r="K1197" s="22"/>
      <c r="L1197" s="22" t="str">
        <f>IFERROR(__xludf.DUMMYFUNCTION("""COMPUTED_VALUE"""),"ライブコミックス")</f>
        <v>ライブコミックス</v>
      </c>
      <c r="M1197" s="23">
        <f>IFERROR(__xludf.DUMMYFUNCTION("""COMPUTED_VALUE"""),45408.0)</f>
        <v>45408</v>
      </c>
      <c r="N1197" s="47">
        <f>IFERROR(__xludf.DUMMYFUNCTION("""COMPUTED_VALUE"""),45498.0)</f>
        <v>45498</v>
      </c>
      <c r="O1197" s="20"/>
      <c r="P1197" s="34" t="str">
        <f>IFERROR(__xludf.DUMMYFUNCTION("""COMPUTED_VALUE"""),"可")</f>
        <v>可</v>
      </c>
      <c r="Q1197" s="30" t="str">
        <f>IFERROR(__xludf.DUMMYFUNCTION("""COMPUTED_VALUE"""),"河上さんへ個別に事前確認で出稿OK頂いているものです。
7巻までの素材を格納しておりますが、8~10巻の素材もらい次第更新します。
先行配信日は調整中です。")</f>
        <v>河上さんへ個別に事前確認で出稿OK頂いているものです。
7巻までの素材を格納しておりますが、8~10巻の素材もらい次第更新します。
先行配信日は調整中です。</v>
      </c>
      <c r="R1197" s="22"/>
      <c r="S1197" s="22" t="str">
        <f>IFERROR(__xludf.DUMMYFUNCTION("""COMPUTED_VALUE"""),"20240219_BookLive_花秘める君のメテオール")</f>
        <v>20240219_BookLive_花秘める君のメテオール</v>
      </c>
      <c r="T1197" s="22"/>
      <c r="U1197" s="15" t="str">
        <f>IFERROR(__xludf.DUMMYFUNCTION("""COMPUTED_VALUE"""),"Ⓒ珠森ベティ/ライブコミックス")</f>
        <v>Ⓒ珠森ベティ/ライブコミックス</v>
      </c>
      <c r="V1197" s="8" t="str">
        <f>IFERROR(__xludf.DUMMYFUNCTION("""COMPUTED_VALUE"""),"「私はあの夜、呪われた怪物の花嫁になった――」クインウィッチ子爵家の長女・ステラは養女だが、心優しい家族と共に幸せに暮らしていた。しかしある日、ステラの妹・リリネットが「怪物の花嫁」に選ばれてしまう。百年に一度、生贄を必要とする呪われた怪物が幽閉されている城へ、リリネットの身代わりとして出向くことを決意するステラ。そこで出会った怪物は、血塗られた吸血鬼・ラビだった――。ひたむきな少女とすべてを諦めた吸血鬼、二人が織りなす切なくも美しい愛と呪いの物語。")</f>
        <v>「私はあの夜、呪われた怪物の花嫁になった――」クインウィッチ子爵家の長女・ステラは養女だが、心優しい家族と共に幸せに暮らしていた。しかしある日、ステラの妹・リリネットが「怪物の花嫁」に選ばれてしまう。百年に一度、生贄を必要とする呪われた怪物が幽閉されている城へ、リリネットの身代わりとして出向くことを決意するステラ。そこで出会った怪物は、血塗られた吸血鬼・ラビだった――。ひたむきな少女とすべてを諦めた吸血鬼、二人が織りなす切なくも美しい愛と呪いの物語。</v>
      </c>
      <c r="W1197" s="14"/>
      <c r="X1197" s="14" t="str">
        <f>IFERROR(__xludf.DUMMYFUNCTION("""COMPUTED_VALUE"""),"有")</f>
        <v>有</v>
      </c>
      <c r="Y1197" s="8" t="str">
        <f>IFERROR(__xludf.DUMMYFUNCTION("""COMPUTED_VALUE"""),"2024/7/25まで1~3巻無料")</f>
        <v>2024/7/25まで1~3巻無料</v>
      </c>
      <c r="Z1197" s="7"/>
      <c r="AA1197" s="7"/>
      <c r="AB1197" s="7"/>
    </row>
    <row r="1198" ht="15.75" customHeight="1">
      <c r="A1198" s="26">
        <f>IFERROR(__xludf.DUMMYFUNCTION("""COMPUTED_VALUE"""),2988.0)</f>
        <v>2988</v>
      </c>
      <c r="B1198" s="22" t="str">
        <f>IFERROR(__xludf.DUMMYFUNCTION("""COMPUTED_VALUE"""),"確定")</f>
        <v>確定</v>
      </c>
      <c r="C1198" s="28">
        <f>IFERROR(__xludf.DUMMYFUNCTION("""COMPUTED_VALUE"""),45342.0)</f>
        <v>45342</v>
      </c>
      <c r="D1198" s="28">
        <f>IFERROR(__xludf.DUMMYFUNCTION("""COMPUTED_VALUE"""),45342.0)</f>
        <v>45342</v>
      </c>
      <c r="E1198" s="26">
        <f>IFERROR(__xludf.DUMMYFUNCTION("""COMPUTED_VALUE"""),254635.0)</f>
        <v>254635</v>
      </c>
      <c r="F1198" s="22" t="str">
        <f>IFERROR(__xludf.DUMMYFUNCTION("""COMPUTED_VALUE"""),"恋をするには100年早い")</f>
        <v>恋をするには100年早い</v>
      </c>
      <c r="G1198" s="20" t="str">
        <f>IFERROR(__xludf.DUMMYFUNCTION("""COMPUTED_VALUE"""),"1～3")</f>
        <v>1～3</v>
      </c>
      <c r="H1198" s="22" t="str">
        <f>IFERROR(__xludf.DUMMYFUNCTION("""COMPUTED_VALUE"""),"楠もこ")</f>
        <v>楠もこ</v>
      </c>
      <c r="I1198" s="22" t="str">
        <f>IFERROR(__xludf.DUMMYFUNCTION("""COMPUTED_VALUE"""),"女性")</f>
        <v>女性</v>
      </c>
      <c r="J1198" s="22"/>
      <c r="K1198" s="22"/>
      <c r="L1198" s="22" t="str">
        <f>IFERROR(__xludf.DUMMYFUNCTION("""COMPUTED_VALUE"""),"ソルマーレ編集部")</f>
        <v>ソルマーレ編集部</v>
      </c>
      <c r="M1198" s="23">
        <f>IFERROR(__xludf.DUMMYFUNCTION("""COMPUTED_VALUE"""),45374.0)</f>
        <v>45374</v>
      </c>
      <c r="N1198" s="23">
        <f>IFERROR(__xludf.DUMMYFUNCTION("""COMPUTED_VALUE"""),45457.66666666667)</f>
        <v>45457.66667</v>
      </c>
      <c r="O1198" s="20"/>
      <c r="P1198" s="34" t="str">
        <f>IFERROR(__xludf.DUMMYFUNCTION("""COMPUTED_VALUE"""),"可")</f>
        <v>可</v>
      </c>
      <c r="Q1198" s="30"/>
      <c r="R1198" s="22"/>
      <c r="S1198" s="22" t="str">
        <f>IFERROR(__xludf.DUMMYFUNCTION("""COMPUTED_VALUE"""),"20240220_ソルマーレ編集部_恋をするには100年早い")</f>
        <v>20240220_ソルマーレ編集部_恋をするには100年早い</v>
      </c>
      <c r="T1198" s="22" t="str">
        <f>IFERROR(__xludf.DUMMYFUNCTION("""COMPUTED_VALUE"""),"格納済み")</f>
        <v>格納済み</v>
      </c>
      <c r="U1198" s="15" t="str">
        <f>IFERROR(__xludf.DUMMYFUNCTION("""COMPUTED_VALUE"""),"Ⓒ 楠もこ/シーモアコミックス")</f>
        <v>Ⓒ 楠もこ/シーモアコミックス</v>
      </c>
      <c r="V1198" s="8" t="str">
        <f>IFERROR(__xludf.DUMMYFUNCTION("""COMPUTED_VALUE"""),"チャラい言動で翻弄してくるクセ強上司は、ロマンチストな吸血鬼!? 憧れのカリスマデザイナー・霧崎玲央（きりさき れお）がいるデザイン事務所に転職した春香（はるか）。彼のアシスタントになれてうれしかったけど――性格に難アリな霧崎の無茶ぶりで、初日から残業するはめに。
「意外と積極的なんだね。社内で男誘うなんて…」二人きりで居残り中、ケガをした春香の血を目にした霧崎が豹変!? デスクに押し倒され、首筋に噛みつかれてしまって…!?!?
ワケアリ天才デザイナー×アシスタント女子のシークレット・ラブ！【恋するソ"&amp;"ワレ】")</f>
        <v>チャラい言動で翻弄してくるクセ強上司は、ロマンチストな吸血鬼!? 憧れのカリスマデザイナー・霧崎玲央（きりさき れお）がいるデザイン事務所に転職した春香（はるか）。彼のアシスタントになれてうれしかったけど――性格に難アリな霧崎の無茶ぶりで、初日から残業するはめに。
「意外と積極的なんだね。社内で男誘うなんて…」二人きりで居残り中、ケガをした春香の血を目にした霧崎が豹変!? デスクに押し倒され、首筋に噛みつかれてしまって…!?!?
ワケアリ天才デザイナー×アシスタント女子のシークレット・ラブ！【恋するソワレ】</v>
      </c>
      <c r="W1198" s="14"/>
      <c r="X1198" s="14" t="str">
        <f>IFERROR(__xludf.DUMMYFUNCTION("""COMPUTED_VALUE"""),"有")</f>
        <v>有</v>
      </c>
      <c r="Y1198" s="8" t="str">
        <f>IFERROR(__xludf.DUMMYFUNCTION("""COMPUTED_VALUE"""),"P13まで")</f>
        <v>P13まで</v>
      </c>
      <c r="Z1198" s="7"/>
      <c r="AA1198" s="7"/>
      <c r="AB1198" s="7"/>
    </row>
    <row r="1199" ht="15.75" customHeight="1">
      <c r="A1199" s="26">
        <f>IFERROR(__xludf.DUMMYFUNCTION("""COMPUTED_VALUE"""),2989.0)</f>
        <v>2989</v>
      </c>
      <c r="B1199" s="22" t="str">
        <f>IFERROR(__xludf.DUMMYFUNCTION("""COMPUTED_VALUE"""),"確定")</f>
        <v>確定</v>
      </c>
      <c r="C1199" s="28">
        <f>IFERROR(__xludf.DUMMYFUNCTION("""COMPUTED_VALUE"""),45342.0)</f>
        <v>45342</v>
      </c>
      <c r="D1199" s="28">
        <f>IFERROR(__xludf.DUMMYFUNCTION("""COMPUTED_VALUE"""),45342.0)</f>
        <v>45342</v>
      </c>
      <c r="E1199" s="26">
        <f>IFERROR(__xludf.DUMMYFUNCTION("""COMPUTED_VALUE"""),269397.0)</f>
        <v>269397</v>
      </c>
      <c r="F1199" s="22" t="str">
        <f>IFERROR(__xludf.DUMMYFUNCTION("""COMPUTED_VALUE"""),"完熟チェリーの育て方")</f>
        <v>完熟チェリーの育て方</v>
      </c>
      <c r="G1199" s="20" t="str">
        <f>IFERROR(__xludf.DUMMYFUNCTION("""COMPUTED_VALUE"""),"1～3")</f>
        <v>1～3</v>
      </c>
      <c r="H1199" s="22" t="str">
        <f>IFERROR(__xludf.DUMMYFUNCTION("""COMPUTED_VALUE"""),"にたこ")</f>
        <v>にたこ</v>
      </c>
      <c r="I1199" s="22" t="str">
        <f>IFERROR(__xludf.DUMMYFUNCTION("""COMPUTED_VALUE"""),"BL")</f>
        <v>BL</v>
      </c>
      <c r="J1199" s="22"/>
      <c r="K1199" s="22"/>
      <c r="L1199" s="22" t="str">
        <f>IFERROR(__xludf.DUMMYFUNCTION("""COMPUTED_VALUE"""),"ソルマーレ編集部")</f>
        <v>ソルマーレ編集部</v>
      </c>
      <c r="M1199" s="23">
        <f>IFERROR(__xludf.DUMMYFUNCTION("""COMPUTED_VALUE"""),45374.0)</f>
        <v>45374</v>
      </c>
      <c r="N1199" s="23">
        <f>IFERROR(__xludf.DUMMYFUNCTION("""COMPUTED_VALUE"""),45435.0)</f>
        <v>45435</v>
      </c>
      <c r="O1199" s="20"/>
      <c r="P1199" s="34" t="str">
        <f>IFERROR(__xludf.DUMMYFUNCTION("""COMPUTED_VALUE"""),"可")</f>
        <v>可</v>
      </c>
      <c r="Q1199" s="30"/>
      <c r="R1199" s="22"/>
      <c r="S1199" s="22" t="str">
        <f>IFERROR(__xludf.DUMMYFUNCTION("""COMPUTED_VALUE"""),"20240220_ソルマーレ編集部_完熟チェリーの育て方")</f>
        <v>20240220_ソルマーレ編集部_完熟チェリーの育て方</v>
      </c>
      <c r="T1199" s="22" t="str">
        <f>IFERROR(__xludf.DUMMYFUNCTION("""COMPUTED_VALUE"""),"格納済み")</f>
        <v>格納済み</v>
      </c>
      <c r="U1199" s="15" t="str">
        <f>IFERROR(__xludf.DUMMYFUNCTION("""COMPUTED_VALUE"""),"Ⓒ にたこ/シーモアコミックス")</f>
        <v>Ⓒ にたこ/シーモアコミックス</v>
      </c>
      <c r="V1199" s="8" t="str">
        <f>IFERROR(__xludf.DUMMYFUNCTION("""COMPUTED_VALUE"""),"「…よかったらボクに、こっそりエッチなこと教えてくれない？」実家暮らしの大学生・大和(やまと)は、ある日ホストファミリーとして留学生のスミスを受け入れることに。一目見たときからドタイプで内心ドキドキな大和は、風呂場で偶然スミスの裸を見てしまう。我慢できずに自慰していたら、あろうことか本人にバレてしまい…！？ところが、焦る大和とは裏腹にスミスは興味津々！どうやらスミスの国は性の規制が厳しくて、こんな“気持ちいい”やり方を知らないらしい。母国ではタブーなアレコレを教えてほしいとせがまれて！？体温を感じるハグも"&amp;"、キスも、触り合いも、その先も―…。一つ屋根の下、二人っきりでイケナイ文化を初体験！【フィカス】")</f>
        <v>「…よかったらボクに、こっそりエッチなこと教えてくれない？」実家暮らしの大学生・大和(やまと)は、ある日ホストファミリーとして留学生のスミスを受け入れることに。一目見たときからドタイプで内心ドキドキな大和は、風呂場で偶然スミスの裸を見てしまう。我慢できずに自慰していたら、あろうことか本人にバレてしまい…！？ところが、焦る大和とは裏腹にスミスは興味津々！どうやらスミスの国は性の規制が厳しくて、こんな“気持ちいい”やり方を知らないらしい。母国ではタブーなアレコレを教えてほしいとせがまれて！？体温を感じるハグも、キスも、触り合いも、その先も―…。一つ屋根の下、二人っきりでイケナイ文化を初体験！【フィカス】</v>
      </c>
      <c r="W1199" s="14"/>
      <c r="X1199" s="14" t="str">
        <f>IFERROR(__xludf.DUMMYFUNCTION("""COMPUTED_VALUE"""),"有")</f>
        <v>有</v>
      </c>
      <c r="Y1199" s="8" t="str">
        <f>IFERROR(__xludf.DUMMYFUNCTION("""COMPUTED_VALUE"""),"2024/4/26まで1巻無料")</f>
        <v>2024/4/26まで1巻無料</v>
      </c>
      <c r="Z1199" s="7"/>
      <c r="AA1199" s="7"/>
      <c r="AB1199" s="7"/>
    </row>
    <row r="1200" ht="15.75" customHeight="1">
      <c r="A1200" s="26">
        <f>IFERROR(__xludf.DUMMYFUNCTION("""COMPUTED_VALUE"""),2990.0)</f>
        <v>2990</v>
      </c>
      <c r="B1200" s="22" t="str">
        <f>IFERROR(__xludf.DUMMYFUNCTION("""COMPUTED_VALUE"""),"確定")</f>
        <v>確定</v>
      </c>
      <c r="C1200" s="28">
        <f>IFERROR(__xludf.DUMMYFUNCTION("""COMPUTED_VALUE"""),45342.0)</f>
        <v>45342</v>
      </c>
      <c r="D1200" s="28">
        <f>IFERROR(__xludf.DUMMYFUNCTION("""COMPUTED_VALUE"""),45344.0)</f>
        <v>45344</v>
      </c>
      <c r="E1200" s="26">
        <f>IFERROR(__xludf.DUMMYFUNCTION("""COMPUTED_VALUE"""),282464.0)</f>
        <v>282464</v>
      </c>
      <c r="F1200" s="22" t="str">
        <f>IFERROR(__xludf.DUMMYFUNCTION("""COMPUTED_VALUE"""),"サキュバスシステム(フルカラー)")</f>
        <v>サキュバスシステム(フルカラー)</v>
      </c>
      <c r="G1200" s="20" t="str">
        <f>IFERROR(__xludf.DUMMYFUNCTION("""COMPUTED_VALUE"""),"1～3")</f>
        <v>1～3</v>
      </c>
      <c r="H1200" s="22" t="str">
        <f>IFERROR(__xludf.DUMMYFUNCTION("""COMPUTED_VALUE"""),"amanna,MJA,豆")</f>
        <v>amanna,MJA,豆</v>
      </c>
      <c r="I1200" s="22" t="str">
        <f>IFERROR(__xludf.DUMMYFUNCTION("""COMPUTED_VALUE"""),"青年")</f>
        <v>青年</v>
      </c>
      <c r="J1200" s="22"/>
      <c r="K1200" s="22"/>
      <c r="L1200" s="22" t="str">
        <f>IFERROR(__xludf.DUMMYFUNCTION("""COMPUTED_VALUE"""),"ソルマーレ編集部")</f>
        <v>ソルマーレ編集部</v>
      </c>
      <c r="M1200" s="23">
        <f>IFERROR(__xludf.DUMMYFUNCTION("""COMPUTED_VALUE"""),45374.0)</f>
        <v>45374</v>
      </c>
      <c r="N1200" s="23">
        <f>IFERROR(__xludf.DUMMYFUNCTION("""COMPUTED_VALUE"""),45435.0)</f>
        <v>45435</v>
      </c>
      <c r="O1200" s="20"/>
      <c r="P1200" s="34" t="str">
        <f>IFERROR(__xludf.DUMMYFUNCTION("""COMPUTED_VALUE"""),"可")</f>
        <v>可</v>
      </c>
      <c r="Q1200" s="30"/>
      <c r="R1200" s="22"/>
      <c r="S1200" s="22" t="str">
        <f>IFERROR(__xludf.DUMMYFUNCTION("""COMPUTED_VALUE"""),"20240222_ソルマーレ編集部_サキュバスシステム（フルカラー）")</f>
        <v>20240222_ソルマーレ編集部_サキュバスシステム（フルカラー）</v>
      </c>
      <c r="T1200" s="22"/>
      <c r="U1200" s="15" t="str">
        <f>IFERROR(__xludf.DUMMYFUNCTION("""COMPUTED_VALUE"""),"Ⓒ amanna/MJA/豆/TOPCO/シーモアコミックス")</f>
        <v>Ⓒ amanna/MJA/豆/TOPCO/シーモアコミックス</v>
      </c>
      <c r="V1200" s="8" t="str">
        <f>IFERROR(__xludf.DUMMYFUNCTION("""COMPUTED_VALUE"""),"西条明人（さいじょうあきと）、21歳。外見は平凡、職歴ゼロ。
にも関わらずそれなりの条件の会社に入社できたのには訳があった。
採用の真の目的は、女性課長による執拗ないじめの標的としての役割。
理不尽な仕事のオンパレードでストレスで満ちる日々が続く。
そんな毎日に疲れ果て自宅で休んでいる中、彼のスマホに突如現れた謎のアプリ。
そのアプリはポイントを消費することで、女性の意志を操る不思議な力を秘めているという。
半信半疑ながらも、彼は試しに気になっていたマンションの管理人をターゲットにその力を実行"&amp;"してみることに。すると部屋をノックする音が聞こえ――！？【桃色エンジェル】")</f>
        <v>西条明人（さいじょうあきと）、21歳。外見は平凡、職歴ゼロ。
にも関わらずそれなりの条件の会社に入社できたのには訳があった。
採用の真の目的は、女性課長による執拗ないじめの標的としての役割。
理不尽な仕事のオンパレードでストレスで満ちる日々が続く。
そんな毎日に疲れ果て自宅で休んでいる中、彼のスマホに突如現れた謎のアプリ。
そのアプリはポイントを消費することで、女性の意志を操る不思議な力を秘めているという。
半信半疑ながらも、彼は試しに気になっていたマンションの管理人をターゲットにその力を実行してみることに。すると部屋をノックする音が聞こえ――！？【桃色エンジェル】</v>
      </c>
      <c r="W1200" s="14"/>
      <c r="X1200" s="14" t="str">
        <f>IFERROR(__xludf.DUMMYFUNCTION("""COMPUTED_VALUE"""),"有")</f>
        <v>有</v>
      </c>
      <c r="Y1200" s="8" t="str">
        <f>IFERROR(__xludf.DUMMYFUNCTION("""COMPUTED_VALUE"""),"P10まで")</f>
        <v>P10まで</v>
      </c>
      <c r="Z1200" s="7"/>
      <c r="AA1200" s="7"/>
      <c r="AB1200" s="7"/>
    </row>
    <row r="1201" ht="15.75" customHeight="1">
      <c r="A1201" s="26">
        <f>IFERROR(__xludf.DUMMYFUNCTION("""COMPUTED_VALUE"""),2991.0)</f>
        <v>2991</v>
      </c>
      <c r="B1201" s="22" t="str">
        <f>IFERROR(__xludf.DUMMYFUNCTION("""COMPUTED_VALUE"""),"確定")</f>
        <v>確定</v>
      </c>
      <c r="C1201" s="28">
        <f>IFERROR(__xludf.DUMMYFUNCTION("""COMPUTED_VALUE"""),45342.0)</f>
        <v>45342</v>
      </c>
      <c r="D1201" s="28">
        <f>IFERROR(__xludf.DUMMYFUNCTION("""COMPUTED_VALUE"""),45342.0)</f>
        <v>45342</v>
      </c>
      <c r="E1201" s="26">
        <f>IFERROR(__xludf.DUMMYFUNCTION("""COMPUTED_VALUE"""),282465.0)</f>
        <v>282465</v>
      </c>
      <c r="F1201" s="22" t="str">
        <f>IFERROR(__xludf.DUMMYFUNCTION("""COMPUTED_VALUE"""),"サキュバスシステム【タテヨミ】")</f>
        <v>サキュバスシステム【タテヨミ】</v>
      </c>
      <c r="G1201" s="20" t="str">
        <f>IFERROR(__xludf.DUMMYFUNCTION("""COMPUTED_VALUE"""),"1～6")</f>
        <v>1～6</v>
      </c>
      <c r="H1201" s="22" t="str">
        <f>IFERROR(__xludf.DUMMYFUNCTION("""COMPUTED_VALUE"""),"amanna,MJA,豆")</f>
        <v>amanna,MJA,豆</v>
      </c>
      <c r="I1201" s="22" t="str">
        <f>IFERROR(__xludf.DUMMYFUNCTION("""COMPUTED_VALUE"""),"青年")</f>
        <v>青年</v>
      </c>
      <c r="J1201" s="22"/>
      <c r="K1201" s="22"/>
      <c r="L1201" s="22" t="str">
        <f>IFERROR(__xludf.DUMMYFUNCTION("""COMPUTED_VALUE"""),"ソルマーレ編集部")</f>
        <v>ソルマーレ編集部</v>
      </c>
      <c r="M1201" s="23">
        <f>IFERROR(__xludf.DUMMYFUNCTION("""COMPUTED_VALUE"""),45374.0)</f>
        <v>45374</v>
      </c>
      <c r="N1201" s="23">
        <f>IFERROR(__xludf.DUMMYFUNCTION("""COMPUTED_VALUE"""),45435.0)</f>
        <v>45435</v>
      </c>
      <c r="O1201" s="20"/>
      <c r="P1201" s="34" t="str">
        <f>IFERROR(__xludf.DUMMYFUNCTION("""COMPUTED_VALUE"""),"可")</f>
        <v>可</v>
      </c>
      <c r="Q1201" s="30" t="str">
        <f>IFERROR(__xludf.DUMMYFUNCTION("""COMPUTED_VALUE"""),"※コマサム等素材は「282464　サキュバスシステム（フルカラー）」のほうをお使いください。
バナー制作はフルカラー版の素材を利用して問題ございません。")</f>
        <v>※コマサム等素材は「282464　サキュバスシステム（フルカラー）」のほうをお使いください。
バナー制作はフルカラー版の素材を利用して問題ございません。</v>
      </c>
      <c r="R1201" s="22"/>
      <c r="S1201" s="22" t="str">
        <f>IFERROR(__xludf.DUMMYFUNCTION("""COMPUTED_VALUE"""),"20240220_ソルマーレ編集部_サキュバスシステム【タテヨミ】")</f>
        <v>20240220_ソルマーレ編集部_サキュバスシステム【タテヨミ】</v>
      </c>
      <c r="T1201" s="22"/>
      <c r="U1201" s="15" t="str">
        <f>IFERROR(__xludf.DUMMYFUNCTION("""COMPUTED_VALUE"""),"Ⓒ amanna/MJA/豆/TOPCO/シーモアコミックス")</f>
        <v>Ⓒ amanna/MJA/豆/TOPCO/シーモアコミックス</v>
      </c>
      <c r="V1201" s="8" t="str">
        <f>IFERROR(__xludf.DUMMYFUNCTION("""COMPUTED_VALUE"""),"西条明人（さいじょうあきと）、21歳。外見は平凡、職歴ゼロ。
にも関わらずそれなりの条件の会社に入社できたのには訳があった。
採用の真の目的は、女性課長による執拗ないじめの標的としての役割。
理不尽な仕事のオンパレードでストレスで満ちる日々が続く。
そんな毎日に疲れ果て自宅で休んでいる中、彼のスマホに突如現れた謎のアプリ。
そのアプリはポイントを消費することで、女性の意志を操る不思議な力を秘めているという。
半信半疑ながらも、彼は試しに気になっていたマンションの管理人をターゲットにその力を実行"&amp;"してみることに。すると部屋をノックする音が聞こえ――！？【桃色エンジェル】")</f>
        <v>西条明人（さいじょうあきと）、21歳。外見は平凡、職歴ゼロ。
にも関わらずそれなりの条件の会社に入社できたのには訳があった。
採用の真の目的は、女性課長による執拗ないじめの標的としての役割。
理不尽な仕事のオンパレードでストレスで満ちる日々が続く。
そんな毎日に疲れ果て自宅で休んでいる中、彼のスマホに突如現れた謎のアプリ。
そのアプリはポイントを消費することで、女性の意志を操る不思議な力を秘めているという。
半信半疑ながらも、彼は試しに気になっていたマンションの管理人をターゲットにその力を実行してみることに。すると部屋をノックする音が聞こえ――！？【桃色エンジェル】</v>
      </c>
      <c r="W1201" s="14"/>
      <c r="X1201" s="14" t="str">
        <f>IFERROR(__xludf.DUMMYFUNCTION("""COMPUTED_VALUE"""),"有")</f>
        <v>有</v>
      </c>
      <c r="Y1201" s="8" t="str">
        <f>IFERROR(__xludf.DUMMYFUNCTION("""COMPUTED_VALUE"""),"1巻無料")</f>
        <v>1巻無料</v>
      </c>
      <c r="Z1201" s="7"/>
      <c r="AA1201" s="7"/>
      <c r="AB1201" s="7"/>
    </row>
    <row r="1202" ht="15.75" customHeight="1">
      <c r="A1202" s="26">
        <f>IFERROR(__xludf.DUMMYFUNCTION("""COMPUTED_VALUE"""),2992.0)</f>
        <v>2992</v>
      </c>
      <c r="B1202" s="22" t="str">
        <f>IFERROR(__xludf.DUMMYFUNCTION("""COMPUTED_VALUE"""),"確定")</f>
        <v>確定</v>
      </c>
      <c r="C1202" s="28">
        <f>IFERROR(__xludf.DUMMYFUNCTION("""COMPUTED_VALUE"""),45342.0)</f>
        <v>45342</v>
      </c>
      <c r="D1202" s="28">
        <f>IFERROR(__xludf.DUMMYFUNCTION("""COMPUTED_VALUE"""),45344.0)</f>
        <v>45344</v>
      </c>
      <c r="E1202" s="26">
        <f>IFERROR(__xludf.DUMMYFUNCTION("""COMPUTED_VALUE"""),283193.0)</f>
        <v>283193</v>
      </c>
      <c r="F1202" s="22" t="str">
        <f>IFERROR(__xludf.DUMMYFUNCTION("""COMPUTED_VALUE"""),"溺愛亭主にさせてやる")</f>
        <v>溺愛亭主にさせてやる</v>
      </c>
      <c r="G1202" s="20">
        <f>IFERROR(__xludf.DUMMYFUNCTION("""COMPUTED_VALUE"""),1.0)</f>
        <v>1</v>
      </c>
      <c r="H1202" s="22" t="str">
        <f>IFERROR(__xludf.DUMMYFUNCTION("""COMPUTED_VALUE"""),"大塚あきら")</f>
        <v>大塚あきら</v>
      </c>
      <c r="I1202" s="22" t="str">
        <f>IFERROR(__xludf.DUMMYFUNCTION("""COMPUTED_VALUE"""),"女性")</f>
        <v>女性</v>
      </c>
      <c r="J1202" s="22"/>
      <c r="K1202" s="22"/>
      <c r="L1202" s="22" t="str">
        <f>IFERROR(__xludf.DUMMYFUNCTION("""COMPUTED_VALUE"""),"ソルマーレ編集部")</f>
        <v>ソルマーレ編集部</v>
      </c>
      <c r="M1202" s="23">
        <f>IFERROR(__xludf.DUMMYFUNCTION("""COMPUTED_VALUE"""),45374.0)</f>
        <v>45374</v>
      </c>
      <c r="N1202" s="23">
        <f>IFERROR(__xludf.DUMMYFUNCTION("""COMPUTED_VALUE"""),45457.66666666667)</f>
        <v>45457.66667</v>
      </c>
      <c r="O1202" s="20"/>
      <c r="P1202" s="34" t="str">
        <f>IFERROR(__xludf.DUMMYFUNCTION("""COMPUTED_VALUE"""),"可")</f>
        <v>可</v>
      </c>
      <c r="Q1202" s="30"/>
      <c r="R1202" s="22"/>
      <c r="S1202" s="22" t="str">
        <f>IFERROR(__xludf.DUMMYFUNCTION("""COMPUTED_VALUE"""),"20240222_ソルマーレ編集部_溺愛亭主にさせてやる")</f>
        <v>20240222_ソルマーレ編集部_溺愛亭主にさせてやる</v>
      </c>
      <c r="T1202" s="22"/>
      <c r="U1202" s="15" t="str">
        <f>IFERROR(__xludf.DUMMYFUNCTION("""COMPUTED_VALUE"""),"Ⓒ 大塚あきら/シーモアコミックス")</f>
        <v>Ⓒ 大塚あきら/シーモアコミックス</v>
      </c>
      <c r="V1202" s="8" t="str">
        <f>IFERROR(__xludf.DUMMYFUNCTION("""COMPUTED_VALUE"""),"交際ゼロ日の結婚相手はケンカばかりのイケメン同期…!?
前途多難な新婚ラブコメ☆
出版社につとめる宮古ゆかりは同期の広川紫輝（しき）と中学からの腐れ縁。ゆかりのちょっとおおらかな性格が、神経質な紫輝とはどうにも合わないみたいで、毎日のようにケンカの日々…。それなのに、ある日見た夢をきっかけに、まさかの入籍＆挙式、からの、夫婦として共同生活がスタートすることに！　結婚前に「妻にメロメロの溺愛亭主にしてやる！」って宣言したけど、ゆかりには紫輝に言いそびれていることがあって…!?【桃色日記】")</f>
        <v>交際ゼロ日の結婚相手はケンカばかりのイケメン同期…!?
前途多難な新婚ラブコメ☆
出版社につとめる宮古ゆかりは同期の広川紫輝（しき）と中学からの腐れ縁。ゆかりのちょっとおおらかな性格が、神経質な紫輝とはどうにも合わないみたいで、毎日のようにケンカの日々…。それなのに、ある日見た夢をきっかけに、まさかの入籍＆挙式、からの、夫婦として共同生活がスタートすることに！　結婚前に「妻にメロメロの溺愛亭主にしてやる！」って宣言したけど、ゆかりには紫輝に言いそびれていることがあって…!?【桃色日記】</v>
      </c>
      <c r="W1202" s="14"/>
      <c r="X1202" s="14" t="str">
        <f>IFERROR(__xludf.DUMMYFUNCTION("""COMPUTED_VALUE"""),"有")</f>
        <v>有</v>
      </c>
      <c r="Y1202" s="8" t="str">
        <f>IFERROR(__xludf.DUMMYFUNCTION("""COMPUTED_VALUE"""),"P7まで")</f>
        <v>P7まで</v>
      </c>
      <c r="Z1202" s="7"/>
      <c r="AA1202" s="7"/>
      <c r="AB1202" s="7"/>
    </row>
    <row r="1203" ht="15.75" customHeight="1">
      <c r="A1203" s="26">
        <f>IFERROR(__xludf.DUMMYFUNCTION("""COMPUTED_VALUE"""),2816.0)</f>
        <v>2816</v>
      </c>
      <c r="B1203" s="22" t="str">
        <f>IFERROR(__xludf.DUMMYFUNCTION("""COMPUTED_VALUE"""),"確定")</f>
        <v>確定</v>
      </c>
      <c r="C1203" s="28">
        <f>IFERROR(__xludf.DUMMYFUNCTION("""COMPUTED_VALUE"""),45300.0)</f>
        <v>45300</v>
      </c>
      <c r="D1203" s="28">
        <f>IFERROR(__xludf.DUMMYFUNCTION("""COMPUTED_VALUE"""),45349.0)</f>
        <v>45349</v>
      </c>
      <c r="E1203" s="26">
        <f>IFERROR(__xludf.DUMMYFUNCTION("""COMPUTED_VALUE"""),289182.0)</f>
        <v>289182</v>
      </c>
      <c r="F1203" s="22" t="str">
        <f>IFERROR(__xludf.DUMMYFUNCTION("""COMPUTED_VALUE"""),"【単話版】学級裁判デスゲーム")</f>
        <v>【単話版】学級裁判デスゲーム</v>
      </c>
      <c r="G1203" s="20" t="str">
        <f>IFERROR(__xludf.DUMMYFUNCTION("""COMPUTED_VALUE"""),"1~3")</f>
        <v>1~3</v>
      </c>
      <c r="H1203" s="22" t="str">
        <f>IFERROR(__xludf.DUMMYFUNCTION("""COMPUTED_VALUE"""),"原作：雨宮黄英　漫画：野口夜行")</f>
        <v>原作：雨宮黄英　漫画：野口夜行</v>
      </c>
      <c r="I1203" s="22" t="str">
        <f>IFERROR(__xludf.DUMMYFUNCTION("""COMPUTED_VALUE"""),"青年")</f>
        <v>青年</v>
      </c>
      <c r="J1203" s="22"/>
      <c r="K1203" s="22"/>
      <c r="L1203" s="22" t="str">
        <f>IFERROR(__xludf.DUMMYFUNCTION("""COMPUTED_VALUE"""),"新潮社")</f>
        <v>新潮社</v>
      </c>
      <c r="M1203" s="23">
        <f>IFERROR(__xludf.DUMMYFUNCTION("""COMPUTED_VALUE"""),45376.0)</f>
        <v>45376</v>
      </c>
      <c r="N1203" s="23">
        <f>IFERROR(__xludf.DUMMYFUNCTION("""COMPUTED_VALUE"""),45656.0)</f>
        <v>45656</v>
      </c>
      <c r="O1203" s="20"/>
      <c r="P1203" s="34" t="str">
        <f>IFERROR(__xludf.DUMMYFUNCTION("""COMPUTED_VALUE"""),"可")</f>
        <v>可</v>
      </c>
      <c r="Q1203" s="30" t="str">
        <f>IFERROR(__xludf.DUMMYFUNCTION("""COMPUTED_VALUE"""),"広告コミットOK（1/10）")</f>
        <v>広告コミットOK（1/10）</v>
      </c>
      <c r="R1203" s="22"/>
      <c r="S1203" s="22" t="str">
        <f>IFERROR(__xludf.DUMMYFUNCTION("""COMPUTED_VALUE"""),"20240226_新潮社_学級裁判デスゲーム")</f>
        <v>20240226_新潮社_学級裁判デスゲーム</v>
      </c>
      <c r="T1203" s="22" t="str">
        <f>IFERROR(__xludf.DUMMYFUNCTION("""COMPUTED_VALUE"""),"格納済み")</f>
        <v>格納済み</v>
      </c>
      <c r="U1203" s="15" t="str">
        <f>IFERROR(__xludf.DUMMYFUNCTION("""COMPUTED_VALUE"""),"©野口夜行/新潮社 ©雨宮黄英/テラーノベル")</f>
        <v>©野口夜行/新潮社 ©雨宮黄英/テラーノベル</v>
      </c>
      <c r="V1203" s="8" t="str">
        <f>IFERROR(__xludf.DUMMYFUNCTION("""COMPUTED_VALUE"""),"テラーノベルの大人気作をコミカライズ！　この“罪”から逃れる方法は“死”のみ。「ユマ、うちの学校は狂ってるの――」正義感の強い少女・マナカが転校してきたクラスには、ある狂ったルールがあった。それは、クラス全員をトークルームに強制的に加入させ、何かあるたびにそこで『学級裁判』を開き、裁判で負けた生徒は次の日から壮絶なイジメの対象にされてしまい――。愛と憎しみの復讐ジュブナイル、開廷。")</f>
        <v>テラーノベルの大人気作をコミカライズ！　この“罪”から逃れる方法は“死”のみ。「ユマ、うちの学校は狂ってるの――」正義感の強い少女・マナカが転校してきたクラスには、ある狂ったルールがあった。それは、クラス全員をトークルームに強制的に加入させ、何かあるたびにそこで『学級裁判』を開き、裁判で負けた生徒は次の日から壮絶なイジメの対象にされてしまい――。愛と憎しみの復讐ジュブナイル、開廷。</v>
      </c>
      <c r="W1203" s="14"/>
      <c r="X1203" s="14" t="str">
        <f>IFERROR(__xludf.DUMMYFUNCTION("""COMPUTED_VALUE"""),"有")</f>
        <v>有</v>
      </c>
      <c r="Y1203" s="8" t="str">
        <f>IFERROR(__xludf.DUMMYFUNCTION("""COMPUTED_VALUE"""),"2024/4/7まで1巻無料")</f>
        <v>2024/4/7まで1巻無料</v>
      </c>
      <c r="Z1203" s="7"/>
      <c r="AA1203" s="7"/>
      <c r="AB1203" s="7"/>
    </row>
    <row r="1204" ht="15.75" customHeight="1">
      <c r="A1204" s="26">
        <f>IFERROR(__xludf.DUMMYFUNCTION("""COMPUTED_VALUE"""),2861.0)</f>
        <v>2861</v>
      </c>
      <c r="B1204" s="22" t="str">
        <f>IFERROR(__xludf.DUMMYFUNCTION("""COMPUTED_VALUE"""),"確定")</f>
        <v>確定</v>
      </c>
      <c r="C1204" s="28">
        <f>IFERROR(__xludf.DUMMYFUNCTION("""COMPUTED_VALUE"""),45313.0)</f>
        <v>45313</v>
      </c>
      <c r="D1204" s="28">
        <f>IFERROR(__xludf.DUMMYFUNCTION("""COMPUTED_VALUE"""),45348.0)</f>
        <v>45348</v>
      </c>
      <c r="E1204" s="26">
        <f>IFERROR(__xludf.DUMMYFUNCTION("""COMPUTED_VALUE"""),289195.0)</f>
        <v>289195</v>
      </c>
      <c r="F1204" s="22" t="str">
        <f>IFERROR(__xludf.DUMMYFUNCTION("""COMPUTED_VALUE"""),"溺愛神主は手放せない～カミサマからの略奪婚～")</f>
        <v>溺愛神主は手放せない～カミサマからの略奪婚～</v>
      </c>
      <c r="G1204" s="20" t="str">
        <f>IFERROR(__xludf.DUMMYFUNCTION("""COMPUTED_VALUE"""),"1~3")</f>
        <v>1~3</v>
      </c>
      <c r="H1204" s="22" t="str">
        <f>IFERROR(__xludf.DUMMYFUNCTION("""COMPUTED_VALUE"""),"桃山みなも")</f>
        <v>桃山みなも</v>
      </c>
      <c r="I1204" s="22" t="str">
        <f>IFERROR(__xludf.DUMMYFUNCTION("""COMPUTED_VALUE"""),"女性")</f>
        <v>女性</v>
      </c>
      <c r="J1204" s="22"/>
      <c r="K1204" s="22"/>
      <c r="L1204" s="22" t="str">
        <f>IFERROR(__xludf.DUMMYFUNCTION("""COMPUTED_VALUE"""),"CLLENN")</f>
        <v>CLLENN</v>
      </c>
      <c r="M1204" s="23">
        <f>IFERROR(__xludf.DUMMYFUNCTION("""COMPUTED_VALUE"""),45373.0)</f>
        <v>45373</v>
      </c>
      <c r="N1204" s="23">
        <f>IFERROR(__xludf.DUMMYFUNCTION("""COMPUTED_VALUE"""),45435.0)</f>
        <v>45435</v>
      </c>
      <c r="O1204" s="20"/>
      <c r="P1204" s="34" t="str">
        <f>IFERROR(__xludf.DUMMYFUNCTION("""COMPUTED_VALUE"""),"可")</f>
        <v>可</v>
      </c>
      <c r="Q1204" s="31" t="str">
        <f>IFERROR(__xludf.DUMMYFUNCTION("""COMPUTED_VALUE"""),"広告コミットOK(1/24)")</f>
        <v>広告コミットOK(1/24)</v>
      </c>
      <c r="R1204" s="22" t="str">
        <f>IFERROR(__xludf.DUMMYFUNCTION("""COMPUTED_VALUE"""),"格納済")</f>
        <v>格納済</v>
      </c>
      <c r="S1204" s="22" t="str">
        <f>IFERROR(__xludf.DUMMYFUNCTION("""COMPUTED_VALUE"""),"20240226_CLLENN_溺愛神主は手放せない～カミサマからの略奪婚～")</f>
        <v>20240226_CLLENN_溺愛神主は手放せない～カミサマからの略奪婚～</v>
      </c>
      <c r="T1204" s="22" t="str">
        <f>IFERROR(__xludf.DUMMYFUNCTION("""COMPUTED_VALUE"""),"校了済素材")</f>
        <v>校了済素材</v>
      </c>
      <c r="U1204" s="15" t="str">
        <f>IFERROR(__xludf.DUMMYFUNCTION("""COMPUTED_VALUE"""),"ⓒ桃山みなも/CLLENN")</f>
        <v>ⓒ桃山みなも/CLLENN</v>
      </c>
      <c r="V1204" s="8" t="str">
        <f>IFERROR(__xludf.DUMMYFUNCTION("""COMPUTED_VALUE"""),"「きみを守ると約束する」どうしてこの人に触れているとこんなに安心するの――幼いころにした神様との約束…そのせいで母を亡くし、ハルの周りの人間には事故や怪我などの不幸が起こる。これは、呪いだ。それ以来人を遠ざけて生きてきたのに、この体質を継母に利用されて、また私のせいで人が傷ついてしまう…！そんな時に助けてくれたのは美貌の神主で――!?なぜ私をこんなに助けてくれるの…？会ったばかりなのに、優しい視線は甘くて…")</f>
        <v>「きみを守ると約束する」どうしてこの人に触れているとこんなに安心するの――幼いころにした神様との約束…そのせいで母を亡くし、ハルの周りの人間には事故や怪我などの不幸が起こる。これは、呪いだ。それ以来人を遠ざけて生きてきたのに、この体質を継母に利用されて、また私のせいで人が傷ついてしまう…！そんな時に助けてくれたのは美貌の神主で――!?なぜ私をこんなに助けてくれるの…？会ったばかりなのに、優しい視線は甘くて…</v>
      </c>
      <c r="W1204" s="14"/>
      <c r="X1204" s="14" t="str">
        <f>IFERROR(__xludf.DUMMYFUNCTION("""COMPUTED_VALUE"""),"有")</f>
        <v>有</v>
      </c>
      <c r="Y1204" s="8" t="str">
        <f>IFERROR(__xludf.DUMMYFUNCTION("""COMPUTED_VALUE"""),"P10まで")</f>
        <v>P10まで</v>
      </c>
      <c r="Z1204" s="7"/>
      <c r="AA1204" s="7"/>
      <c r="AB1204" s="7"/>
    </row>
    <row r="1205" ht="15.75" customHeight="1">
      <c r="A1205" s="26">
        <f>IFERROR(__xludf.DUMMYFUNCTION("""COMPUTED_VALUE"""),2894.0)</f>
        <v>2894</v>
      </c>
      <c r="B1205" s="22" t="str">
        <f>IFERROR(__xludf.DUMMYFUNCTION("""COMPUTED_VALUE"""),"確定")</f>
        <v>確定</v>
      </c>
      <c r="C1205" s="28">
        <f>IFERROR(__xludf.DUMMYFUNCTION("""COMPUTED_VALUE"""),45320.0)</f>
        <v>45320</v>
      </c>
      <c r="D1205" s="28">
        <f>IFERROR(__xludf.DUMMYFUNCTION("""COMPUTED_VALUE"""),45348.0)</f>
        <v>45348</v>
      </c>
      <c r="E1205" s="26">
        <f>IFERROR(__xludf.DUMMYFUNCTION("""COMPUTED_VALUE"""),289422.0)</f>
        <v>289422</v>
      </c>
      <c r="F1205" s="22" t="str">
        <f>IFERROR(__xludf.DUMMYFUNCTION("""COMPUTED_VALUE"""),"【ラブパルフェ】奥まで濡れちゃう絶倫同期と快感H～エロい声で鳴かせてやるよ")</f>
        <v>【ラブパルフェ】奥まで濡れちゃう絶倫同期と快感H～エロい声で鳴かせてやるよ</v>
      </c>
      <c r="G1205" s="11" t="str">
        <f>IFERROR(__xludf.DUMMYFUNCTION("""COMPUTED_VALUE"""),"1～2")</f>
        <v>1～2</v>
      </c>
      <c r="H1205" s="22" t="str">
        <f>IFERROR(__xludf.DUMMYFUNCTION("""COMPUTED_VALUE"""),"おけいど")</f>
        <v>おけいど</v>
      </c>
      <c r="I1205" s="22" t="str">
        <f>IFERROR(__xludf.DUMMYFUNCTION("""COMPUTED_VALUE"""),"TL")</f>
        <v>TL</v>
      </c>
      <c r="J1205" s="22"/>
      <c r="K1205" s="22"/>
      <c r="L1205" s="22" t="str">
        <f>IFERROR(__xludf.DUMMYFUNCTION("""COMPUTED_VALUE"""),"オーバーラップ")</f>
        <v>オーバーラップ</v>
      </c>
      <c r="M1205" s="23">
        <f>IFERROR(__xludf.DUMMYFUNCTION("""COMPUTED_VALUE"""),45383.0)</f>
        <v>45383</v>
      </c>
      <c r="N1205" s="23">
        <f>IFERROR(__xludf.DUMMYFUNCTION("""COMPUTED_VALUE"""),45396.0)</f>
        <v>45396</v>
      </c>
      <c r="O1205" s="20"/>
      <c r="P1205" s="34" t="str">
        <f>IFERROR(__xludf.DUMMYFUNCTION("""COMPUTED_VALUE"""),"可")</f>
        <v>可</v>
      </c>
      <c r="Q1205" s="30"/>
      <c r="R1205" s="22"/>
      <c r="S1205" s="22" t="str">
        <f>IFERROR(__xludf.DUMMYFUNCTION("""COMPUTED_VALUE"""),"20240226_オーバーラップ_奥まで濡れちゃう絶倫同期と快感H～エロい声で鳴かせてやるよ")</f>
        <v>20240226_オーバーラップ_奥まで濡れちゃう絶倫同期と快感H～エロい声で鳴かせてやるよ</v>
      </c>
      <c r="T1205" s="22"/>
      <c r="U1205" s="15" t="str">
        <f>IFERROR(__xludf.DUMMYFUNCTION("""COMPUTED_VALUE"""),"(c)おけいど／オーバーラップ")</f>
        <v>(c)おけいど／オーバーラップ</v>
      </c>
      <c r="V1205" s="8" t="str">
        <f>IFERROR(__xludf.DUMMYFUNCTION("""COMPUTED_VALUE"""),"「確かに欲情させる声だな」
雨男と晴女の、同期のふたりは何かと普段からバチバチのライバル関係。
でも本当はお互いに密かに好き同士…でも素直になれず…!!
そんなある時、終電を逃し、彼の部屋で雨宿りすることに――。
下着まで洗濯してしまい、無防備なシャツ姿に、互いに煽り煽られムラムラして…
「エロ声、出させた俺の勝ちな」絶倫な同期に食べられちゃう…!?
※本書は「ラブパルフェVOL.71」に収録されています。重複購入にご注意ください。")</f>
        <v>「確かに欲情させる声だな」
雨男と晴女の、同期のふたりは何かと普段からバチバチのライバル関係。
でも本当はお互いに密かに好き同士…でも素直になれず…!!
そんなある時、終電を逃し、彼の部屋で雨宿りすることに――。
下着まで洗濯してしまい、無防備なシャツ姿に、互いに煽り煽られムラムラして…
「エロ声、出させた俺の勝ちな」絶倫な同期に食べられちゃう…!?
※本書は「ラブパルフェVOL.71」に収録されています。重複購入にご注意ください。</v>
      </c>
      <c r="W1205" s="14"/>
      <c r="X1205" s="14" t="str">
        <f>IFERROR(__xludf.DUMMYFUNCTION("""COMPUTED_VALUE"""),"有")</f>
        <v>有</v>
      </c>
      <c r="Y1205" s="8" t="str">
        <f>IFERROR(__xludf.DUMMYFUNCTION("""COMPUTED_VALUE"""),"P8まで")</f>
        <v>P8まで</v>
      </c>
      <c r="Z1205" s="7"/>
      <c r="AA1205" s="7"/>
      <c r="AB1205" s="7"/>
    </row>
    <row r="1206" ht="15.75" customHeight="1">
      <c r="A1206" s="26">
        <f>IFERROR(__xludf.DUMMYFUNCTION("""COMPUTED_VALUE"""),2995.0)</f>
        <v>2995</v>
      </c>
      <c r="B1206" s="22" t="str">
        <f>IFERROR(__xludf.DUMMYFUNCTION("""COMPUTED_VALUE"""),"確定")</f>
        <v>確定</v>
      </c>
      <c r="C1206" s="28">
        <f>IFERROR(__xludf.DUMMYFUNCTION("""COMPUTED_VALUE"""),45343.0)</f>
        <v>45343</v>
      </c>
      <c r="D1206" s="28">
        <f>IFERROR(__xludf.DUMMYFUNCTION("""COMPUTED_VALUE"""),45349.0)</f>
        <v>45349</v>
      </c>
      <c r="E1206" s="26">
        <f>IFERROR(__xludf.DUMMYFUNCTION("""COMPUTED_VALUE"""),289895.0)</f>
        <v>289895</v>
      </c>
      <c r="F1206" s="22" t="str">
        <f>IFERROR(__xludf.DUMMYFUNCTION("""COMPUTED_VALUE"""),"高飛車OLメス堕ちエステ～イジめた陰キャにイかされ支配されて…～")</f>
        <v>高飛車OLメス堕ちエステ～イジめた陰キャにイかされ支配されて…～</v>
      </c>
      <c r="G1206" s="20" t="str">
        <f>IFERROR(__xludf.DUMMYFUNCTION("""COMPUTED_VALUE"""),"1~5")</f>
        <v>1~5</v>
      </c>
      <c r="H1206" s="22" t="str">
        <f>IFERROR(__xludf.DUMMYFUNCTION("""COMPUTED_VALUE"""),"岡田正尚")</f>
        <v>岡田正尚</v>
      </c>
      <c r="I1206" s="22" t="str">
        <f>IFERROR(__xludf.DUMMYFUNCTION("""COMPUTED_VALUE"""),"オトナ")</f>
        <v>オトナ</v>
      </c>
      <c r="J1206" s="22"/>
      <c r="K1206" s="22"/>
      <c r="L1206" s="22" t="str">
        <f>IFERROR(__xludf.DUMMYFUNCTION("""COMPUTED_VALUE"""),"FILL-IN")</f>
        <v>FILL-IN</v>
      </c>
      <c r="M1206" s="23">
        <f>IFERROR(__xludf.DUMMYFUNCTION("""COMPUTED_VALUE"""),45380.0)</f>
        <v>45380</v>
      </c>
      <c r="N1206" s="23">
        <f>IFERROR(__xludf.DUMMYFUNCTION("""COMPUTED_VALUE"""),45407.0)</f>
        <v>45407</v>
      </c>
      <c r="O1206" s="20"/>
      <c r="P1206" s="32" t="str">
        <f>IFERROR(__xludf.DUMMYFUNCTION("""COMPUTED_VALUE"""),"可")</f>
        <v>可</v>
      </c>
      <c r="Q1206" s="30"/>
      <c r="R1206" s="22"/>
      <c r="S1206" s="22" t="str">
        <f>IFERROR(__xludf.DUMMYFUNCTION("""COMPUTED_VALUE"""),"20240221_高飛車OLメス堕ちエステ～イジめた陰キャにイかされ支配されて…～")</f>
        <v>20240221_高飛車OLメス堕ちエステ～イジめた陰キャにイかされ支配されて…～</v>
      </c>
      <c r="T1206" s="22" t="str">
        <f>IFERROR(__xludf.DUMMYFUNCTION("""COMPUTED_VALUE"""),"格納済み")</f>
        <v>格納済み</v>
      </c>
      <c r="U1206" s="15" t="str">
        <f>IFERROR(__xludf.DUMMYFUNCTION("""COMPUTED_VALUE"""),"©岡田正尚/FILL-IN")</f>
        <v>©岡田正尚/FILL-IN</v>
      </c>
      <c r="V1206" s="8" t="str">
        <f>IFERROR(__xludf.DUMMYFUNCTION("""COMPUTED_VALUE"""),"「や…頭がシビれる…こんなスゴイの知らないぃ!!」
整体師は胸を包み込むように撫で揺らし、秘部をつまみ弾く。
その指先を前に普段鬼のパワハラ部長と恐れられている彼女の姿は微塵もなく、ただ快感に溺れてイキ喘ぐ牝になっていた…
――急成長中のある美容ベンチャー社内に、福祉の一環でマッサージ室が出来た。
早速営業部長の加賀美百合子が受けてみると、整体師は男前の風貌でマッサージも気持ちよくご機嫌になり、口が軽くなる。
学生時代に社長達と陰キャをイジメてたのが最高に楽しい思い出と口走った瞬間、整体師の様子"&amp;"が急変。
なんと彼は、彼女達がイジメていた男だった！
整形と肉体改造をした男はすっかり別人になっていたのだ。
男の正体を知り加賀美は恐れおののくが逃げられず、局部を掻き回され肉棒を挿入られる。
とめどなく快感が押し寄せ、加賀美は抗うことが出来ず果ててしまう。
「俺のマッサージはこんなモンじゃない。まだまだこれからだ…！」
次々に快楽堕ちされていく当時の加害者達！
男の復讐劇がはじまった…")</f>
        <v>「や…頭がシビれる…こんなスゴイの知らないぃ!!」
整体師は胸を包み込むように撫で揺らし、秘部をつまみ弾く。
その指先を前に普段鬼のパワハラ部長と恐れられている彼女の姿は微塵もなく、ただ快感に溺れてイキ喘ぐ牝になっていた…
――急成長中のある美容ベンチャー社内に、福祉の一環でマッサージ室が出来た。
早速営業部長の加賀美百合子が受けてみると、整体師は男前の風貌でマッサージも気持ちよくご機嫌になり、口が軽くなる。
学生時代に社長達と陰キャをイジメてたのが最高に楽しい思い出と口走った瞬間、整体師の様子が急変。
なんと彼は、彼女達がイジメていた男だった！
整形と肉体改造をした男はすっかり別人になっていたのだ。
男の正体を知り加賀美は恐れおののくが逃げられず、局部を掻き回され肉棒を挿入られる。
とめどなく快感が押し寄せ、加賀美は抗うことが出来ず果ててしまう。
「俺のマッサージはこんなモンじゃない。まだまだこれからだ…！」
次々に快楽堕ちされていく当時の加害者達！
男の復讐劇がはじまった…</v>
      </c>
      <c r="W1206" s="14"/>
      <c r="X1206" s="14" t="str">
        <f>IFERROR(__xludf.DUMMYFUNCTION("""COMPUTED_VALUE"""),"有")</f>
        <v>有</v>
      </c>
      <c r="Y1206" s="8" t="str">
        <f>IFERROR(__xludf.DUMMYFUNCTION("""COMPUTED_VALUE"""),"P13まで")</f>
        <v>P13まで</v>
      </c>
      <c r="Z1206" s="7"/>
      <c r="AA1206" s="7"/>
      <c r="AB1206" s="7"/>
    </row>
    <row r="1207" ht="15.75" customHeight="1">
      <c r="A1207" s="26">
        <f>IFERROR(__xludf.DUMMYFUNCTION("""COMPUTED_VALUE"""),2999.0)</f>
        <v>2999</v>
      </c>
      <c r="B1207" s="22" t="str">
        <f>IFERROR(__xludf.DUMMYFUNCTION("""COMPUTED_VALUE"""),"確定")</f>
        <v>確定</v>
      </c>
      <c r="C1207" s="28">
        <f>IFERROR(__xludf.DUMMYFUNCTION("""COMPUTED_VALUE"""),45344.0)</f>
        <v>45344</v>
      </c>
      <c r="D1207" s="28">
        <f>IFERROR(__xludf.DUMMYFUNCTION("""COMPUTED_VALUE"""),45349.0)</f>
        <v>45349</v>
      </c>
      <c r="E1207" s="26">
        <f>IFERROR(__xludf.DUMMYFUNCTION("""COMPUTED_VALUE"""),288752.0)</f>
        <v>288752</v>
      </c>
      <c r="F1207" s="22" t="str">
        <f>IFERROR(__xludf.DUMMYFUNCTION("""COMPUTED_VALUE"""),"わたしと噓つきホストくん～家無し男子を拾ったら…ワケあり同居スタート!?～【フルカラー】")</f>
        <v>わたしと噓つきホストくん～家無し男子を拾ったら…ワケあり同居スタート!?～【フルカラー】</v>
      </c>
      <c r="G1207" s="20" t="str">
        <f>IFERROR(__xludf.DUMMYFUNCTION("""COMPUTED_VALUE"""),"1~3")</f>
        <v>1~3</v>
      </c>
      <c r="H1207" s="22" t="str">
        <f>IFERROR(__xludf.DUMMYFUNCTION("""COMPUTED_VALUE"""),"みたびえいち")</f>
        <v>みたびえいち</v>
      </c>
      <c r="I1207" s="22" t="str">
        <f>IFERROR(__xludf.DUMMYFUNCTION("""COMPUTED_VALUE"""),"女性")</f>
        <v>女性</v>
      </c>
      <c r="J1207" s="22"/>
      <c r="K1207" s="22"/>
      <c r="L1207" s="22" t="str">
        <f>IFERROR(__xludf.DUMMYFUNCTION("""COMPUTED_VALUE"""),"CLLENN")</f>
        <v>CLLENN</v>
      </c>
      <c r="M1207" s="23">
        <f>IFERROR(__xludf.DUMMYFUNCTION("""COMPUTED_VALUE"""),45368.0)</f>
        <v>45368</v>
      </c>
      <c r="N1207" s="23">
        <f>IFERROR(__xludf.DUMMYFUNCTION("""COMPUTED_VALUE"""),45465.0)</f>
        <v>45465</v>
      </c>
      <c r="O1207" s="20"/>
      <c r="P1207" s="34" t="str">
        <f>IFERROR(__xludf.DUMMYFUNCTION("""COMPUTED_VALUE"""),"可")</f>
        <v>可</v>
      </c>
      <c r="Q1207" s="31" t="str">
        <f>IFERROR(__xludf.DUMMYFUNCTION("""COMPUTED_VALUE"""),"協業：シーモア×DEDEDE")</f>
        <v>協業：シーモア×DEDEDE</v>
      </c>
      <c r="R1207" s="22" t="str">
        <f>IFERROR(__xludf.DUMMYFUNCTION("""COMPUTED_VALUE"""),"格納済")</f>
        <v>格納済</v>
      </c>
      <c r="S1207" s="22" t="str">
        <f>IFERROR(__xludf.DUMMYFUNCTION("""COMPUTED_VALUE"""),"20240222_CLLENN_わたしと噓つきホストくん～家無し男子を拾ったら_ワケあり同居スタート!～【フルカラー】")</f>
        <v>20240222_CLLENN_わたしと噓つきホストくん～家無し男子を拾ったら_ワケあり同居スタート!～【フルカラー】</v>
      </c>
      <c r="T1207" s="22" t="str">
        <f>IFERROR(__xludf.DUMMYFUNCTION("""COMPUTED_VALUE"""),"格納済み")</f>
        <v>格納済み</v>
      </c>
      <c r="U1207" s="15" t="str">
        <f>IFERROR(__xludf.DUMMYFUNCTION("""COMPUTED_VALUE"""),"ⓒみたびえいち/CLLENN")</f>
        <v>ⓒみたびえいち/CLLENN</v>
      </c>
      <c r="V1207" s="8" t="str">
        <f>IFERROR(__xludf.DUMMYFUNCTION("""COMPUTED_VALUE"""),"年下のイケメンに、9000万も借金しちゃった…！――祖母の遺言でシェアハウスの管理人になったOL・静子。ある日、彼女は夜道で血まみれの美青年・仁と出会う。トラブルで家をなくしたと言う彼を見捨てられず、静子は仁をシェアハウスに住まわせることに。そんな時、静子の元へ相続税の督促状が届く。その額…なんと9000万円!? 絶体絶命の静子に手を差し伸べたのは、出会ったばかりの仁だった…。――自己肯定感の低い静子と彼女を助けるキラキライケメンの仁。静子の心を揺らす、彼の正体とは…!?")</f>
        <v>年下のイケメンに、9000万も借金しちゃった…！――祖母の遺言でシェアハウスの管理人になったOL・静子。ある日、彼女は夜道で血まみれの美青年・仁と出会う。トラブルで家をなくしたと言う彼を見捨てられず、静子は仁をシェアハウスに住まわせることに。そんな時、静子の元へ相続税の督促状が届く。その額…なんと9000万円!? 絶体絶命の静子に手を差し伸べたのは、出会ったばかりの仁だった…。――自己肯定感の低い静子と彼女を助けるキラキライケメンの仁。静子の心を揺らす、彼の正体とは…!?</v>
      </c>
      <c r="W1207" s="14"/>
      <c r="X1207" s="14" t="str">
        <f>IFERROR(__xludf.DUMMYFUNCTION("""COMPUTED_VALUE"""),"有")</f>
        <v>有</v>
      </c>
      <c r="Y1207" s="8" t="str">
        <f>IFERROR(__xludf.DUMMYFUNCTION("""COMPUTED_VALUE"""),"2024/3/30まで1巻無料")</f>
        <v>2024/3/30まで1巻無料</v>
      </c>
      <c r="Z1207" s="7"/>
      <c r="AA1207" s="7"/>
      <c r="AB1207" s="7"/>
    </row>
    <row r="1208" ht="15.75" customHeight="1">
      <c r="A1208" s="26">
        <f>IFERROR(__xludf.DUMMYFUNCTION("""COMPUTED_VALUE"""),3003.0)</f>
        <v>3003</v>
      </c>
      <c r="B1208" s="22" t="str">
        <f>IFERROR(__xludf.DUMMYFUNCTION("""COMPUTED_VALUE"""),"確定")</f>
        <v>確定</v>
      </c>
      <c r="C1208" s="28">
        <f>IFERROR(__xludf.DUMMYFUNCTION("""COMPUTED_VALUE"""),45344.0)</f>
        <v>45344</v>
      </c>
      <c r="D1208" s="28">
        <f>IFERROR(__xludf.DUMMYFUNCTION("""COMPUTED_VALUE"""),45349.0)</f>
        <v>45349</v>
      </c>
      <c r="E1208" s="26">
        <f>IFERROR(__xludf.DUMMYFUNCTION("""COMPUTED_VALUE"""),289096.0)</f>
        <v>289096</v>
      </c>
      <c r="F1208" s="22" t="str">
        <f>IFERROR(__xludf.DUMMYFUNCTION("""COMPUTED_VALUE"""),"ラブフレグランス")</f>
        <v>ラブフレグランス</v>
      </c>
      <c r="G1208" s="20" t="str">
        <f>IFERROR(__xludf.DUMMYFUNCTION("""COMPUTED_VALUE"""),"1～3")</f>
        <v>1～3</v>
      </c>
      <c r="H1208" s="22" t="str">
        <f>IFERROR(__xludf.DUMMYFUNCTION("""COMPUTED_VALUE"""),"h-j／nawame")</f>
        <v>h-j／nawame</v>
      </c>
      <c r="I1208" s="14" t="str">
        <f>IFERROR(__xludf.DUMMYFUNCTION("""COMPUTED_VALUE"""),"青年")</f>
        <v>青年</v>
      </c>
      <c r="J1208" s="22"/>
      <c r="K1208" s="22"/>
      <c r="L1208" s="22" t="str">
        <f>IFERROR(__xludf.DUMMYFUNCTION("""COMPUTED_VALUE"""),"DPNブックス")</f>
        <v>DPNブックス</v>
      </c>
      <c r="M1208" s="23">
        <f>IFERROR(__xludf.DUMMYFUNCTION("""COMPUTED_VALUE"""),45373.0)</f>
        <v>45373</v>
      </c>
      <c r="N1208" s="23">
        <f>IFERROR(__xludf.DUMMYFUNCTION("""COMPUTED_VALUE"""),45403.0)</f>
        <v>45403</v>
      </c>
      <c r="O1208" s="20"/>
      <c r="P1208" s="32" t="str">
        <f>IFERROR(__xludf.DUMMYFUNCTION("""COMPUTED_VALUE"""),"可")</f>
        <v>可</v>
      </c>
      <c r="Q1208" s="30"/>
      <c r="R1208" s="22"/>
      <c r="S1208" s="22" t="str">
        <f>IFERROR(__xludf.DUMMYFUNCTION("""COMPUTED_VALUE"""),"20240222_DPNブックス_ラブフレグランス")</f>
        <v>20240222_DPNブックス_ラブフレグランス</v>
      </c>
      <c r="T1208" s="22" t="str">
        <f>IFERROR(__xludf.DUMMYFUNCTION("""COMPUTED_VALUE"""),"格納済み")</f>
        <v>格納済み</v>
      </c>
      <c r="U1208" s="15" t="str">
        <f>IFERROR(__xludf.DUMMYFUNCTION("""COMPUTED_VALUE"""),"(C)h-j・nawame／DPNブックス")</f>
        <v>(C)h-j・nawame／DPNブックス</v>
      </c>
      <c r="V1208" s="8" t="str">
        <f>IFERROR(__xludf.DUMMYFUNCTION("""COMPUTED_VALUE"""),"みんなが俺に発情してくる―！？
人見知り童貞の桂悠真は、ある日突然、美人三姉妹の家に居候することに。そこには昔から憧れている北白川里奈も住んでいるが、冴えない自分に自信が持てないでいた。
一つ屋根の下、エッチなハプニングも発生する中、発情は突然起こった！風呂場で鉢合わせた美人の叔母が、急に興奮して迫ってきたのだ！これには、悠真が持っている「ある物」が関係していて―！？
冴えない男子が迫られまくり！？エッチな新性活がスタート！")</f>
        <v>みんなが俺に発情してくる―！？
人見知り童貞の桂悠真は、ある日突然、美人三姉妹の家に居候することに。そこには昔から憧れている北白川里奈も住んでいるが、冴えない自分に自信が持てないでいた。
一つ屋根の下、エッチなハプニングも発生する中、発情は突然起こった！風呂場で鉢合わせた美人の叔母が、急に興奮して迫ってきたのだ！これには、悠真が持っている「ある物」が関係していて―！？
冴えない男子が迫られまくり！？エッチな新性活がスタート！</v>
      </c>
      <c r="W1208" s="14"/>
      <c r="X1208" s="14" t="str">
        <f>IFERROR(__xludf.DUMMYFUNCTION("""COMPUTED_VALUE"""),"有")</f>
        <v>有</v>
      </c>
      <c r="Y1208" s="8" t="str">
        <f>IFERROR(__xludf.DUMMYFUNCTION("""COMPUTED_VALUE"""),"2024/4/21まで1巻無料")</f>
        <v>2024/4/21まで1巻無料</v>
      </c>
      <c r="Z1208" s="7"/>
      <c r="AA1208" s="7"/>
      <c r="AB1208" s="7"/>
    </row>
    <row r="1209" ht="15.75" customHeight="1">
      <c r="A1209" s="26">
        <f>IFERROR(__xludf.DUMMYFUNCTION("""COMPUTED_VALUE"""),3004.0)</f>
        <v>3004</v>
      </c>
      <c r="B1209" s="22" t="str">
        <f>IFERROR(__xludf.DUMMYFUNCTION("""COMPUTED_VALUE"""),"確定")</f>
        <v>確定</v>
      </c>
      <c r="C1209" s="28">
        <f>IFERROR(__xludf.DUMMYFUNCTION("""COMPUTED_VALUE"""),45344.0)</f>
        <v>45344</v>
      </c>
      <c r="D1209" s="28">
        <f>IFERROR(__xludf.DUMMYFUNCTION("""COMPUTED_VALUE"""),45349.0)</f>
        <v>45349</v>
      </c>
      <c r="E1209" s="26">
        <f>IFERROR(__xludf.DUMMYFUNCTION("""COMPUTED_VALUE"""),287953.0)</f>
        <v>287953</v>
      </c>
      <c r="F1209" s="22" t="str">
        <f>IFERROR(__xludf.DUMMYFUNCTION("""COMPUTED_VALUE"""),"わたしのママは真野くんです。【分冊版】")</f>
        <v>わたしのママは真野くんです。【分冊版】</v>
      </c>
      <c r="G1209" s="20" t="str">
        <f>IFERROR(__xludf.DUMMYFUNCTION("""COMPUTED_VALUE"""),"1～4")</f>
        <v>1～4</v>
      </c>
      <c r="H1209" s="22" t="str">
        <f>IFERROR(__xludf.DUMMYFUNCTION("""COMPUTED_VALUE"""),"三津キヨ")</f>
        <v>三津キヨ</v>
      </c>
      <c r="I1209" s="22" t="str">
        <f>IFERROR(__xludf.DUMMYFUNCTION("""COMPUTED_VALUE"""),"女性")</f>
        <v>女性</v>
      </c>
      <c r="J1209" s="22"/>
      <c r="K1209" s="22"/>
      <c r="L1209" s="22" t="str">
        <f>IFERROR(__xludf.DUMMYFUNCTION("""COMPUTED_VALUE"""),"秋田書店")</f>
        <v>秋田書店</v>
      </c>
      <c r="M1209" s="23">
        <f>IFERROR(__xludf.DUMMYFUNCTION("""COMPUTED_VALUE"""),45351.0)</f>
        <v>45351</v>
      </c>
      <c r="N1209" s="23">
        <f>IFERROR(__xludf.DUMMYFUNCTION("""COMPUTED_VALUE"""),45381.0)</f>
        <v>45381</v>
      </c>
      <c r="O1209" s="20"/>
      <c r="P1209" s="34" t="str">
        <f>IFERROR(__xludf.DUMMYFUNCTION("""COMPUTED_VALUE"""),"否")</f>
        <v>否</v>
      </c>
      <c r="Q1209" s="30" t="str">
        <f>IFERROR(__xludf.DUMMYFUNCTION("""COMPUTED_VALUE"""),"0000120513_jp_0086⇒P279～308&lt;BR&gt;0000120513_jp_0088⇒P285～314&lt;BR&gt;0000120513_jp_0091⇒P257～276")</f>
        <v>0000120513_jp_0086⇒P279～308&lt;BR&gt;0000120513_jp_0088⇒P285～314&lt;BR&gt;0000120513_jp_0091⇒P257～276</v>
      </c>
      <c r="R1209" s="22"/>
      <c r="S1209" s="22" t="str">
        <f>IFERROR(__xludf.DUMMYFUNCTION("""COMPUTED_VALUE"""),"20240222_秋田書店_2～3月新作")</f>
        <v>20240222_秋田書店_2～3月新作</v>
      </c>
      <c r="T1209" s="22" t="str">
        <f>IFERROR(__xludf.DUMMYFUNCTION("""COMPUTED_VALUE"""),"4巻素材確認(2/27)")</f>
        <v>4巻素材確認(2/27)</v>
      </c>
      <c r="U1209" s="15" t="str">
        <f>IFERROR(__xludf.DUMMYFUNCTION("""COMPUTED_VALUE"""),"(C)三津キヨ（秋田書店）")</f>
        <v>(C)三津キヨ（秋田書店）</v>
      </c>
      <c r="V1209" s="8" t="str">
        <f>IFERROR(__xludf.DUMMYFUNCTION("""COMPUTED_VALUE"""),"ママ系イケメン×長女気質ガール 甘やかしラブコメ！ キミの“ママみ”に、バブみ爆発――！！ 周りに頼られがちな瑞希は、本当は誰かに甘えたい。そんな瑞希の前に現れた母性溢れるスパダリ同僚・真野さん。しごできイケメンなのに、かいがいしくて包容力溢れる真野さんに、ついつい「私のママになってください！」と口走っちゃって…！？ 慈愛と溺愛に包まれたい！ほっこり＆きゅんラブコメ開幕です！")</f>
        <v>ママ系イケメン×長女気質ガール 甘やかしラブコメ！ キミの“ママみ”に、バブみ爆発――！！ 周りに頼られがちな瑞希は、本当は誰かに甘えたい。そんな瑞希の前に現れた母性溢れるスパダリ同僚・真野さん。しごできイケメンなのに、かいがいしくて包容力溢れる真野さんに、ついつい「私のママになってください！」と口走っちゃって…！？ 慈愛と溺愛に包まれたい！ほっこり＆きゅんラブコメ開幕です！</v>
      </c>
      <c r="W1209" s="14"/>
      <c r="X1209" s="14" t="str">
        <f>IFERROR(__xludf.DUMMYFUNCTION("""COMPUTED_VALUE"""),"有")</f>
        <v>有</v>
      </c>
      <c r="Y1209" s="8" t="str">
        <f>IFERROR(__xludf.DUMMYFUNCTION("""COMPUTED_VALUE"""),"2024/3/30まで1巻無料")</f>
        <v>2024/3/30まで1巻無料</v>
      </c>
      <c r="Z1209" s="7"/>
      <c r="AA1209" s="7"/>
      <c r="AB1209" s="7"/>
    </row>
    <row r="1210" ht="15.75" customHeight="1">
      <c r="A1210" s="26">
        <f>IFERROR(__xludf.DUMMYFUNCTION("""COMPUTED_VALUE"""),3005.0)</f>
        <v>3005</v>
      </c>
      <c r="B1210" s="22" t="str">
        <f>IFERROR(__xludf.DUMMYFUNCTION("""COMPUTED_VALUE"""),"確定")</f>
        <v>確定</v>
      </c>
      <c r="C1210" s="28">
        <f>IFERROR(__xludf.DUMMYFUNCTION("""COMPUTED_VALUE"""),45344.0)</f>
        <v>45344</v>
      </c>
      <c r="D1210" s="28">
        <f>IFERROR(__xludf.DUMMYFUNCTION("""COMPUTED_VALUE"""),45349.0)</f>
        <v>45349</v>
      </c>
      <c r="E1210" s="26">
        <f>IFERROR(__xludf.DUMMYFUNCTION("""COMPUTED_VALUE"""),288466.0)</f>
        <v>288466</v>
      </c>
      <c r="F1210" s="22" t="str">
        <f>IFERROR(__xludf.DUMMYFUNCTION("""COMPUTED_VALUE"""),"推しが猛獣～肉食男子は「待て」ができない～")</f>
        <v>推しが猛獣～肉食男子は「待て」ができない～</v>
      </c>
      <c r="G1210" s="11" t="str">
        <f>IFERROR(__xludf.DUMMYFUNCTION("""COMPUTED_VALUE"""),"1～2")</f>
        <v>1～2</v>
      </c>
      <c r="H1210" s="22" t="str">
        <f>IFERROR(__xludf.DUMMYFUNCTION("""COMPUTED_VALUE"""),"市川るき")</f>
        <v>市川るき</v>
      </c>
      <c r="I1210" s="22" t="str">
        <f>IFERROR(__xludf.DUMMYFUNCTION("""COMPUTED_VALUE"""),"女性")</f>
        <v>女性</v>
      </c>
      <c r="J1210" s="22"/>
      <c r="K1210" s="22"/>
      <c r="L1210" s="22" t="str">
        <f>IFERROR(__xludf.DUMMYFUNCTION("""COMPUTED_VALUE"""),"秋田書店")</f>
        <v>秋田書店</v>
      </c>
      <c r="M1210" s="23">
        <f>IFERROR(__xludf.DUMMYFUNCTION("""COMPUTED_VALUE"""),45365.0)</f>
        <v>45365</v>
      </c>
      <c r="N1210" s="23">
        <f>IFERROR(__xludf.DUMMYFUNCTION("""COMPUTED_VALUE"""),45427.0)</f>
        <v>45427</v>
      </c>
      <c r="O1210" s="20"/>
      <c r="P1210" s="34" t="str">
        <f>IFERROR(__xludf.DUMMYFUNCTION("""COMPUTED_VALUE"""),"可")</f>
        <v>可</v>
      </c>
      <c r="Q1210" s="30" t="str">
        <f>IFERROR(__xludf.DUMMYFUNCTION("""COMPUTED_VALUE"""),"0000136806_jp_0043⇒P65～110")</f>
        <v>0000136806_jp_0043⇒P65～110</v>
      </c>
      <c r="R1210" s="22"/>
      <c r="S1210" s="22" t="str">
        <f>IFERROR(__xludf.DUMMYFUNCTION("""COMPUTED_VALUE"""),"20240222_秋田書店_2～3月新作")</f>
        <v>20240222_秋田書店_2～3月新作</v>
      </c>
      <c r="T1210" s="22" t="str">
        <f>IFERROR(__xludf.DUMMYFUNCTION("""COMPUTED_VALUE"""),"格納済み")</f>
        <v>格納済み</v>
      </c>
      <c r="U1210" s="15" t="str">
        <f>IFERROR(__xludf.DUMMYFUNCTION("""COMPUTED_VALUE"""),"（C）市川るき（秋田書店）")</f>
        <v>（C）市川るき（秋田書店）</v>
      </c>
      <c r="V1210" s="8" t="str">
        <f>IFERROR(__xludf.DUMMYFUNCTION("""COMPUTED_VALUE"""),"犬系男子の発情が止まらない…猛獣TLスタート!!「エロい耳だな…どんどん溢れてくる」彼の声を聞くだけで、体の奥が熱く蕩けるのはどうしてなの…!?元カレに「不感症」と言われたトラウマから、リアルの恋愛よりもゲームのキャラクターに夢中なOL・玲。元カレとのHで感じたことのない自分は不感症だと思い込んでいたのに…。出会ったばかりのワイルドな年下男・太狼に耳元で囁かれた瞬間、甘い吐息が漏れてしまった!?敏感な反応に興奮し「発情モード」に突入した太狼の欲望は、誰にも止められない――!!")</f>
        <v>犬系男子の発情が止まらない…猛獣TLスタート!!「エロい耳だな…どんどん溢れてくる」彼の声を聞くだけで、体の奥が熱く蕩けるのはどうしてなの…!?元カレに「不感症」と言われたトラウマから、リアルの恋愛よりもゲームのキャラクターに夢中なOL・玲。元カレとのHで感じたことのない自分は不感症だと思い込んでいたのに…。出会ったばかりのワイルドな年下男・太狼に耳元で囁かれた瞬間、甘い吐息が漏れてしまった!?敏感な反応に興奮し「発情モード」に突入した太狼の欲望は、誰にも止められない――!!</v>
      </c>
      <c r="W1210" s="14"/>
      <c r="X1210" s="14" t="str">
        <f>IFERROR(__xludf.DUMMYFUNCTION("""COMPUTED_VALUE"""),"有")</f>
        <v>有</v>
      </c>
      <c r="Y1210" s="8" t="str">
        <f>IFERROR(__xludf.DUMMYFUNCTION("""COMPUTED_VALUE"""),"2024/5/15まで1巻無料")</f>
        <v>2024/5/15まで1巻無料</v>
      </c>
      <c r="Z1210" s="7"/>
      <c r="AA1210" s="7"/>
      <c r="AB1210" s="7"/>
    </row>
    <row r="1211" ht="15.75" customHeight="1">
      <c r="A1211" s="26">
        <f>IFERROR(__xludf.DUMMYFUNCTION("""COMPUTED_VALUE"""),3006.0)</f>
        <v>3006</v>
      </c>
      <c r="B1211" s="22" t="str">
        <f>IFERROR(__xludf.DUMMYFUNCTION("""COMPUTED_VALUE"""),"確定")</f>
        <v>確定</v>
      </c>
      <c r="C1211" s="28">
        <f>IFERROR(__xludf.DUMMYFUNCTION("""COMPUTED_VALUE"""),45348.0)</f>
        <v>45348</v>
      </c>
      <c r="D1211" s="28">
        <f>IFERROR(__xludf.DUMMYFUNCTION("""COMPUTED_VALUE"""),45349.0)</f>
        <v>45349</v>
      </c>
      <c r="E1211" s="26">
        <f>IFERROR(__xludf.DUMMYFUNCTION("""COMPUTED_VALUE"""),288571.0)</f>
        <v>288571</v>
      </c>
      <c r="F1211" s="22" t="str">
        <f>IFERROR(__xludf.DUMMYFUNCTION("""COMPUTED_VALUE"""),"完璧すぎるが故三度も婚約破棄された令嬢は隣国の王太子と結ばれる！？")</f>
        <v>完璧すぎるが故三度も婚約破棄された令嬢は隣国の王太子と結ばれる！？</v>
      </c>
      <c r="G1211" s="11" t="str">
        <f>IFERROR(__xludf.DUMMYFUNCTION("""COMPUTED_VALUE"""),"1～2")</f>
        <v>1～2</v>
      </c>
      <c r="H1211" s="22" t="str">
        <f>IFERROR(__xludf.DUMMYFUNCTION("""COMPUTED_VALUE"""),"白瀬るい／COMIC ROOM")</f>
        <v>白瀬るい／COMIC ROOM</v>
      </c>
      <c r="I1211" s="22" t="str">
        <f>IFERROR(__xludf.DUMMYFUNCTION("""COMPUTED_VALUE"""),"女性")</f>
        <v>女性</v>
      </c>
      <c r="J1211" s="22"/>
      <c r="K1211" s="22"/>
      <c r="L1211" s="22" t="str">
        <f>IFERROR(__xludf.DUMMYFUNCTION("""COMPUTED_VALUE"""),"コミックルーム")</f>
        <v>コミックルーム</v>
      </c>
      <c r="M1211" s="23">
        <f>IFERROR(__xludf.DUMMYFUNCTION("""COMPUTED_VALUE"""),45366.0)</f>
        <v>45366</v>
      </c>
      <c r="N1211" s="23">
        <f>IFERROR(__xludf.DUMMYFUNCTION("""COMPUTED_VALUE"""),45456.0)</f>
        <v>45456</v>
      </c>
      <c r="O1211" s="20"/>
      <c r="P1211" s="34" t="str">
        <f>IFERROR(__xludf.DUMMYFUNCTION("""COMPUTED_VALUE"""),"可")</f>
        <v>可</v>
      </c>
      <c r="Q1211" s="30" t="str">
        <f>IFERROR(__xludf.DUMMYFUNCTION("""COMPUTED_VALUE"""),"読み切り")</f>
        <v>読み切り</v>
      </c>
      <c r="R1211" s="22"/>
      <c r="S1211" s="22" t="str">
        <f>IFERROR(__xludf.DUMMYFUNCTION("""COMPUTED_VALUE"""),"20240226_コミックルーム_3月令嬢系")</f>
        <v>20240226_コミックルーム_3月令嬢系</v>
      </c>
      <c r="T1211" s="22" t="str">
        <f>IFERROR(__xludf.DUMMYFUNCTION("""COMPUTED_VALUE"""),"格納済み")</f>
        <v>格納済み</v>
      </c>
      <c r="U1211" s="15" t="str">
        <f>IFERROR(__xludf.DUMMYFUNCTION("""COMPUTED_VALUE"""),"©白瀬るい／COMIC ROOM")</f>
        <v>©白瀬るい／COMIC ROOM</v>
      </c>
      <c r="V1211" s="8" t="str">
        <f>IFERROR(__xludf.DUMMYFUNCTION("""COMPUTED_VALUE"""),"魔法学校でトップの成績を誇る優等生・ソフィア。
彼女はその優秀さから妹・ミアに激しく嫉妬され、なんと三度も婚約者を略奪されてしまう。
度重なるミアの嫌がらせに、酷く心を痛めるソフィア
。そんな彼女に声をかけてきたのは、留学生である隣国の王太子ルーク。
魔法の話題で意気投合した二人は、徐々に距離を縮めていく。
しかし、そんなルークにもミアの魔の手が迫ろうとしていた…。")</f>
        <v>魔法学校でトップの成績を誇る優等生・ソフィア。
彼女はその優秀さから妹・ミアに激しく嫉妬され、なんと三度も婚約者を略奪されてしまう。
度重なるミアの嫌がらせに、酷く心を痛めるソフィア
。そんな彼女に声をかけてきたのは、留学生である隣国の王太子ルーク。
魔法の話題で意気投合した二人は、徐々に距離を縮めていく。
しかし、そんなルークにもミアの魔の手が迫ろうとしていた…。</v>
      </c>
      <c r="W1211" s="14"/>
      <c r="X1211" s="14" t="str">
        <f>IFERROR(__xludf.DUMMYFUNCTION("""COMPUTED_VALUE"""),"有")</f>
        <v>有</v>
      </c>
      <c r="Y1211" s="8" t="str">
        <f>IFERROR(__xludf.DUMMYFUNCTION("""COMPUTED_VALUE"""),"P9まで")</f>
        <v>P9まで</v>
      </c>
      <c r="Z1211" s="7"/>
      <c r="AA1211" s="7"/>
      <c r="AB1211" s="7"/>
    </row>
    <row r="1212" ht="15.75" customHeight="1">
      <c r="A1212" s="26">
        <f>IFERROR(__xludf.DUMMYFUNCTION("""COMPUTED_VALUE"""),3007.0)</f>
        <v>3007</v>
      </c>
      <c r="B1212" s="22" t="str">
        <f>IFERROR(__xludf.DUMMYFUNCTION("""COMPUTED_VALUE"""),"確定")</f>
        <v>確定</v>
      </c>
      <c r="C1212" s="28">
        <f>IFERROR(__xludf.DUMMYFUNCTION("""COMPUTED_VALUE"""),45348.0)</f>
        <v>45348</v>
      </c>
      <c r="D1212" s="28">
        <f>IFERROR(__xludf.DUMMYFUNCTION("""COMPUTED_VALUE"""),45349.0)</f>
        <v>45349</v>
      </c>
      <c r="E1212" s="26">
        <f>IFERROR(__xludf.DUMMYFUNCTION("""COMPUTED_VALUE"""),288572.0)</f>
        <v>288572</v>
      </c>
      <c r="F1212" s="22" t="str">
        <f>IFERROR(__xludf.DUMMYFUNCTION("""COMPUTED_VALUE"""),"私、煌びやかではございませんが侯爵様は溺愛して下さいます。")</f>
        <v>私、煌びやかではございませんが侯爵様は溺愛して下さいます。</v>
      </c>
      <c r="G1212" s="11" t="str">
        <f>IFERROR(__xludf.DUMMYFUNCTION("""COMPUTED_VALUE"""),"1～2")</f>
        <v>1～2</v>
      </c>
      <c r="H1212" s="22" t="str">
        <f>IFERROR(__xludf.DUMMYFUNCTION("""COMPUTED_VALUE"""),"三角おあげ／COMIC ROOM")</f>
        <v>三角おあげ／COMIC ROOM</v>
      </c>
      <c r="I1212" s="22" t="str">
        <f>IFERROR(__xludf.DUMMYFUNCTION("""COMPUTED_VALUE"""),"女性")</f>
        <v>女性</v>
      </c>
      <c r="J1212" s="22"/>
      <c r="K1212" s="22"/>
      <c r="L1212" s="22" t="str">
        <f>IFERROR(__xludf.DUMMYFUNCTION("""COMPUTED_VALUE"""),"コミックルーム")</f>
        <v>コミックルーム</v>
      </c>
      <c r="M1212" s="23">
        <f>IFERROR(__xludf.DUMMYFUNCTION("""COMPUTED_VALUE"""),45366.0)</f>
        <v>45366</v>
      </c>
      <c r="N1212" s="23">
        <f>IFERROR(__xludf.DUMMYFUNCTION("""COMPUTED_VALUE"""),45456.0)</f>
        <v>45456</v>
      </c>
      <c r="O1212" s="20"/>
      <c r="P1212" s="34" t="str">
        <f>IFERROR(__xludf.DUMMYFUNCTION("""COMPUTED_VALUE"""),"可")</f>
        <v>可</v>
      </c>
      <c r="Q1212" s="30" t="str">
        <f>IFERROR(__xludf.DUMMYFUNCTION("""COMPUTED_VALUE"""),"読み切り")</f>
        <v>読み切り</v>
      </c>
      <c r="R1212" s="22"/>
      <c r="S1212" s="22" t="str">
        <f>IFERROR(__xludf.DUMMYFUNCTION("""COMPUTED_VALUE"""),"20240226_コミックルーム_3月令嬢系")</f>
        <v>20240226_コミックルーム_3月令嬢系</v>
      </c>
      <c r="T1212" s="22" t="str">
        <f>IFERROR(__xludf.DUMMYFUNCTION("""COMPUTED_VALUE"""),"格納済み")</f>
        <v>格納済み</v>
      </c>
      <c r="U1212" s="15" t="str">
        <f>IFERROR(__xludf.DUMMYFUNCTION("""COMPUTED_VALUE"""),"©三角おあげ／COMIC ROOM")</f>
        <v>©三角おあげ／COMIC ROOM</v>
      </c>
      <c r="V1212" s="8" t="str">
        <f>IFERROR(__xludf.DUMMYFUNCTION("""COMPUTED_VALUE"""),"顔にそばかすを持つ令嬢・ノエル。
彼女はコンプレックスから、いつも帽子で顔を隠し過ごしていた。
その様子から、陰気臭いと婚約者のジャックに婚約破棄されてしまう。
失意のどん底にいる彼女の心を救ったのは、メイドの持ってきたある露店商の帽子。
その帽子のあまりの美しさに感動したノエルは、製作者に是非会いたいと露店に赴く。
そこで出会ったのは、帽子職人のフレン。一見ただの青年にみえる彼だが、実は大きな秘密があり…？")</f>
        <v>顔にそばかすを持つ令嬢・ノエル。
彼女はコンプレックスから、いつも帽子で顔を隠し過ごしていた。
その様子から、陰気臭いと婚約者のジャックに婚約破棄されてしまう。
失意のどん底にいる彼女の心を救ったのは、メイドの持ってきたある露店商の帽子。
その帽子のあまりの美しさに感動したノエルは、製作者に是非会いたいと露店に赴く。
そこで出会ったのは、帽子職人のフレン。一見ただの青年にみえる彼だが、実は大きな秘密があり…？</v>
      </c>
      <c r="W1212" s="14"/>
      <c r="X1212" s="14" t="str">
        <f>IFERROR(__xludf.DUMMYFUNCTION("""COMPUTED_VALUE"""),"有")</f>
        <v>有</v>
      </c>
      <c r="Y1212" s="8" t="str">
        <f>IFERROR(__xludf.DUMMYFUNCTION("""COMPUTED_VALUE"""),"P9まで")</f>
        <v>P9まで</v>
      </c>
      <c r="Z1212" s="7"/>
      <c r="AA1212" s="7"/>
      <c r="AB1212" s="7"/>
    </row>
    <row r="1213" ht="15.75" customHeight="1">
      <c r="A1213" s="26">
        <f>IFERROR(__xludf.DUMMYFUNCTION("""COMPUTED_VALUE"""),3008.0)</f>
        <v>3008</v>
      </c>
      <c r="B1213" s="22" t="str">
        <f>IFERROR(__xludf.DUMMYFUNCTION("""COMPUTED_VALUE"""),"確定")</f>
        <v>確定</v>
      </c>
      <c r="C1213" s="28">
        <f>IFERROR(__xludf.DUMMYFUNCTION("""COMPUTED_VALUE"""),45348.0)</f>
        <v>45348</v>
      </c>
      <c r="D1213" s="28">
        <f>IFERROR(__xludf.DUMMYFUNCTION("""COMPUTED_VALUE"""),45349.0)</f>
        <v>45349</v>
      </c>
      <c r="E1213" s="26">
        <f>IFERROR(__xludf.DUMMYFUNCTION("""COMPUTED_VALUE"""),288573.0)</f>
        <v>288573</v>
      </c>
      <c r="F1213" s="22" t="str">
        <f>IFERROR(__xludf.DUMMYFUNCTION("""COMPUTED_VALUE"""),"婚約破棄からの追放でどん底に落ちましたが嫁いだ先で一発逆転しちゃいました！")</f>
        <v>婚約破棄からの追放でどん底に落ちましたが嫁いだ先で一発逆転しちゃいました！</v>
      </c>
      <c r="G1213" s="11" t="str">
        <f>IFERROR(__xludf.DUMMYFUNCTION("""COMPUTED_VALUE"""),"1～2")</f>
        <v>1～2</v>
      </c>
      <c r="H1213" s="22" t="str">
        <f>IFERROR(__xludf.DUMMYFUNCTION("""COMPUTED_VALUE"""),"小山やこ／COMIC ROOM")</f>
        <v>小山やこ／COMIC ROOM</v>
      </c>
      <c r="I1213" s="22" t="str">
        <f>IFERROR(__xludf.DUMMYFUNCTION("""COMPUTED_VALUE"""),"女性")</f>
        <v>女性</v>
      </c>
      <c r="J1213" s="22"/>
      <c r="K1213" s="22"/>
      <c r="L1213" s="22" t="str">
        <f>IFERROR(__xludf.DUMMYFUNCTION("""COMPUTED_VALUE"""),"コミックルーム")</f>
        <v>コミックルーム</v>
      </c>
      <c r="M1213" s="23">
        <f>IFERROR(__xludf.DUMMYFUNCTION("""COMPUTED_VALUE"""),45366.0)</f>
        <v>45366</v>
      </c>
      <c r="N1213" s="23">
        <f>IFERROR(__xludf.DUMMYFUNCTION("""COMPUTED_VALUE"""),45456.0)</f>
        <v>45456</v>
      </c>
      <c r="O1213" s="20"/>
      <c r="P1213" s="34" t="str">
        <f>IFERROR(__xludf.DUMMYFUNCTION("""COMPUTED_VALUE"""),"可")</f>
        <v>可</v>
      </c>
      <c r="Q1213" s="30" t="str">
        <f>IFERROR(__xludf.DUMMYFUNCTION("""COMPUTED_VALUE"""),"読み切り")</f>
        <v>読み切り</v>
      </c>
      <c r="R1213" s="22"/>
      <c r="S1213" s="22" t="str">
        <f>IFERROR(__xludf.DUMMYFUNCTION("""COMPUTED_VALUE"""),"20240226_コミックルーム_3月令嬢系")</f>
        <v>20240226_コミックルーム_3月令嬢系</v>
      </c>
      <c r="T1213" s="22" t="str">
        <f>IFERROR(__xludf.DUMMYFUNCTION("""COMPUTED_VALUE"""),"格納済み")</f>
        <v>格納済み</v>
      </c>
      <c r="U1213" s="15" t="str">
        <f>IFERROR(__xludf.DUMMYFUNCTION("""COMPUTED_VALUE"""),"©小山やこ／COMIC ROOM")</f>
        <v>©小山やこ／COMIC ROOM</v>
      </c>
      <c r="V1213" s="8" t="str">
        <f>IFERROR(__xludf.DUMMYFUNCTION("""COMPUTED_VALUE"""),"婚約者の浮気現場を目撃し、侯爵令嬢・ベアトリスは思わず歓喜した。
彼女は素行の悪い婚約者・ルカ王子との婚約破棄をずっと望んでいたからだ。
しかし、醜聞を隠そうとする卑劣な王家によって、彼女は不貞の罪をなすりつけられてしまう。
汚名を被り、結婚相手が見つからず絶望するベアトリス。
そんな彼女を貧乏男爵・リカルドが、なんと嫁に迎え入れると名乗り出る。
実は、彼とベアトリスには意外な関係があって…？")</f>
        <v>婚約者の浮気現場を目撃し、侯爵令嬢・ベアトリスは思わず歓喜した。
彼女は素行の悪い婚約者・ルカ王子との婚約破棄をずっと望んでいたからだ。
しかし、醜聞を隠そうとする卑劣な王家によって、彼女は不貞の罪をなすりつけられてしまう。
汚名を被り、結婚相手が見つからず絶望するベアトリス。
そんな彼女を貧乏男爵・リカルドが、なんと嫁に迎え入れると名乗り出る。
実は、彼とベアトリスには意外な関係があって…？</v>
      </c>
      <c r="W1213" s="14"/>
      <c r="X1213" s="14" t="str">
        <f>IFERROR(__xludf.DUMMYFUNCTION("""COMPUTED_VALUE"""),"有")</f>
        <v>有</v>
      </c>
      <c r="Y1213" s="8" t="str">
        <f>IFERROR(__xludf.DUMMYFUNCTION("""COMPUTED_VALUE"""),"P9まで")</f>
        <v>P9まで</v>
      </c>
      <c r="Z1213" s="7"/>
      <c r="AA1213" s="7"/>
      <c r="AB1213" s="7"/>
    </row>
    <row r="1214" ht="15.75" customHeight="1">
      <c r="A1214" s="26">
        <f>IFERROR(__xludf.DUMMYFUNCTION("""COMPUTED_VALUE"""),3009.0)</f>
        <v>3009</v>
      </c>
      <c r="B1214" s="22" t="str">
        <f>IFERROR(__xludf.DUMMYFUNCTION("""COMPUTED_VALUE"""),"確定")</f>
        <v>確定</v>
      </c>
      <c r="C1214" s="28">
        <f>IFERROR(__xludf.DUMMYFUNCTION("""COMPUTED_VALUE"""),45348.0)</f>
        <v>45348</v>
      </c>
      <c r="D1214" s="28">
        <f>IFERROR(__xludf.DUMMYFUNCTION("""COMPUTED_VALUE"""),45349.0)</f>
        <v>45349</v>
      </c>
      <c r="E1214" s="26">
        <f>IFERROR(__xludf.DUMMYFUNCTION("""COMPUTED_VALUE"""),288574.0)</f>
        <v>288574</v>
      </c>
      <c r="F1214" s="22" t="str">
        <f>IFERROR(__xludf.DUMMYFUNCTION("""COMPUTED_VALUE"""),"私処刑されたいんです！悪役令嬢の歪んだ欲望")</f>
        <v>私処刑されたいんです！悪役令嬢の歪んだ欲望</v>
      </c>
      <c r="G1214" s="11" t="str">
        <f>IFERROR(__xludf.DUMMYFUNCTION("""COMPUTED_VALUE"""),"1～2")</f>
        <v>1～2</v>
      </c>
      <c r="H1214" s="22" t="str">
        <f>IFERROR(__xludf.DUMMYFUNCTION("""COMPUTED_VALUE"""),"鯨井陸／COMIC ROOM")</f>
        <v>鯨井陸／COMIC ROOM</v>
      </c>
      <c r="I1214" s="22" t="str">
        <f>IFERROR(__xludf.DUMMYFUNCTION("""COMPUTED_VALUE"""),"女性")</f>
        <v>女性</v>
      </c>
      <c r="J1214" s="22"/>
      <c r="K1214" s="22"/>
      <c r="L1214" s="22" t="str">
        <f>IFERROR(__xludf.DUMMYFUNCTION("""COMPUTED_VALUE"""),"コミックルーム")</f>
        <v>コミックルーム</v>
      </c>
      <c r="M1214" s="23">
        <f>IFERROR(__xludf.DUMMYFUNCTION("""COMPUTED_VALUE"""),45366.0)</f>
        <v>45366</v>
      </c>
      <c r="N1214" s="23">
        <f>IFERROR(__xludf.DUMMYFUNCTION("""COMPUTED_VALUE"""),45456.0)</f>
        <v>45456</v>
      </c>
      <c r="O1214" s="20"/>
      <c r="P1214" s="34" t="str">
        <f>IFERROR(__xludf.DUMMYFUNCTION("""COMPUTED_VALUE"""),"可")</f>
        <v>可</v>
      </c>
      <c r="Q1214" s="30" t="str">
        <f>IFERROR(__xludf.DUMMYFUNCTION("""COMPUTED_VALUE"""),"読み切り")</f>
        <v>読み切り</v>
      </c>
      <c r="R1214" s="22"/>
      <c r="S1214" s="22" t="str">
        <f>IFERROR(__xludf.DUMMYFUNCTION("""COMPUTED_VALUE"""),"20240226_コミックルーム_3月令嬢系")</f>
        <v>20240226_コミックルーム_3月令嬢系</v>
      </c>
      <c r="T1214" s="22" t="str">
        <f>IFERROR(__xludf.DUMMYFUNCTION("""COMPUTED_VALUE"""),"格納済み")</f>
        <v>格納済み</v>
      </c>
      <c r="U1214" s="15" t="str">
        <f>IFERROR(__xludf.DUMMYFUNCTION("""COMPUTED_VALUE"""),"©鯨井陸／COMIC ROOM")</f>
        <v>©鯨井陸／COMIC ROOM</v>
      </c>
      <c r="V1214" s="8" t="str">
        <f>IFERROR(__xludf.DUMMYFUNCTION("""COMPUTED_VALUE"""),"平凡な女オタクは、ある日目を覚ますと、
大好きなロマンス小説の悪役令嬢・ヒルデガルトに転生していた。
前世でヒルデガルトの生き様に憧れていた彼女は、悪役令嬢として生きることを決意。
さらには、自らの処刑を求めるという破滅的な願望まで抱くのだった！
しかし、ただのオタクに貴族の振る舞いは難しく、失敗ばかりの毎日。
果たして、彼女は完璧な悪役令嬢として、見事処刑されることができるのか…！？")</f>
        <v>平凡な女オタクは、ある日目を覚ますと、
大好きなロマンス小説の悪役令嬢・ヒルデガルトに転生していた。
前世でヒルデガルトの生き様に憧れていた彼女は、悪役令嬢として生きることを決意。
さらには、自らの処刑を求めるという破滅的な願望まで抱くのだった！
しかし、ただのオタクに貴族の振る舞いは難しく、失敗ばかりの毎日。
果たして、彼女は完璧な悪役令嬢として、見事処刑されることができるのか…！？</v>
      </c>
      <c r="W1214" s="14"/>
      <c r="X1214" s="14" t="str">
        <f>IFERROR(__xludf.DUMMYFUNCTION("""COMPUTED_VALUE"""),"有")</f>
        <v>有</v>
      </c>
      <c r="Y1214" s="8" t="str">
        <f>IFERROR(__xludf.DUMMYFUNCTION("""COMPUTED_VALUE"""),"P6まで")</f>
        <v>P6まで</v>
      </c>
      <c r="Z1214" s="7"/>
      <c r="AA1214" s="7"/>
      <c r="AB1214" s="7"/>
    </row>
    <row r="1215" ht="15.75" customHeight="1">
      <c r="A1215" s="26">
        <f>IFERROR(__xludf.DUMMYFUNCTION("""COMPUTED_VALUE"""),3018.0)</f>
        <v>3018</v>
      </c>
      <c r="B1215" s="22" t="str">
        <f>IFERROR(__xludf.DUMMYFUNCTION("""COMPUTED_VALUE"""),"確定")</f>
        <v>確定</v>
      </c>
      <c r="C1215" s="28">
        <f>IFERROR(__xludf.DUMMYFUNCTION("""COMPUTED_VALUE"""),45349.0)</f>
        <v>45349</v>
      </c>
      <c r="D1215" s="28">
        <f>IFERROR(__xludf.DUMMYFUNCTION("""COMPUTED_VALUE"""),45349.0)</f>
        <v>45349</v>
      </c>
      <c r="E1215" s="26">
        <f>IFERROR(__xludf.DUMMYFUNCTION("""COMPUTED_VALUE"""),281628.0)</f>
        <v>281628</v>
      </c>
      <c r="F1215" s="22" t="str">
        <f>IFERROR(__xludf.DUMMYFUNCTION("""COMPUTED_VALUE"""),"使用人令嬢の受難 ～記憶喪失の婚約者と二度目の恋～")</f>
        <v>使用人令嬢の受難 ～記憶喪失の婚約者と二度目の恋～</v>
      </c>
      <c r="G1215" s="20" t="str">
        <f>IFERROR(__xludf.DUMMYFUNCTION("""COMPUTED_VALUE"""),"1～3")</f>
        <v>1～3</v>
      </c>
      <c r="H1215" s="22" t="str">
        <f>IFERROR(__xludf.DUMMYFUNCTION("""COMPUTED_VALUE"""),"としなが朋佳")</f>
        <v>としなが朋佳</v>
      </c>
      <c r="I1215" s="22" t="str">
        <f>IFERROR(__xludf.DUMMYFUNCTION("""COMPUTED_VALUE"""),"女性")</f>
        <v>女性</v>
      </c>
      <c r="J1215" s="22"/>
      <c r="K1215" s="22"/>
      <c r="L1215" s="22" t="str">
        <f>IFERROR(__xludf.DUMMYFUNCTION("""COMPUTED_VALUE"""),"ソルマーレ編集部")</f>
        <v>ソルマーレ編集部</v>
      </c>
      <c r="M1215" s="23">
        <f>IFERROR(__xludf.DUMMYFUNCTION("""COMPUTED_VALUE"""),45402.0)</f>
        <v>45402</v>
      </c>
      <c r="N1215" s="47">
        <f>IFERROR(__xludf.DUMMYFUNCTION("""COMPUTED_VALUE"""),45554.0)</f>
        <v>45554</v>
      </c>
      <c r="O1215" s="20"/>
      <c r="P1215" s="34" t="str">
        <f>IFERROR(__xludf.DUMMYFUNCTION("""COMPUTED_VALUE"""),"可")</f>
        <v>可</v>
      </c>
      <c r="Q1215" s="30"/>
      <c r="R1215" s="22"/>
      <c r="S1215" s="31" t="str">
        <f>IFERROR(__xludf.DUMMYFUNCTION("""COMPUTED_VALUE"""),"20240227_ソルマーレ編集部_使用人令嬢の受難 ～記憶喪失の婚約者と二度目の恋～")</f>
        <v>20240227_ソルマーレ編集部_使用人令嬢の受難 ～記憶喪失の婚約者と二度目の恋～</v>
      </c>
      <c r="T1215" s="22" t="str">
        <f>IFERROR(__xludf.DUMMYFUNCTION("""COMPUTED_VALUE"""),"格納済み")</f>
        <v>格納済み</v>
      </c>
      <c r="U1215" s="15" t="str">
        <f>IFERROR(__xludf.DUMMYFUNCTION("""COMPUTED_VALUE"""),"Ⓒ としなが朋佳/シーモアコミックス")</f>
        <v>Ⓒ としなが朋佳/シーモアコミックス</v>
      </c>
      <c r="V1215" s="8" t="str">
        <f>IFERROR(__xludf.DUMMYFUNCTION("""COMPUTED_VALUE"""),"オライオン侯爵家で使用人として働くリサリーは、その家の一人息子・ヒューゴと恋に落ちる。
身分違いの恋で周りからの反対の声が多かったが、二人の気持ちは強く、
リサリーが良家の子女が通う寄宿学校で花嫁修業をすることを条件に、婚約が認められた。
二人はしばしの別れを惜しみながら、彼女は旅立った――。
半年後、寄宿学校から戻ったリサリーは真っ先にヒューゴのもとへ。
久しぶりに会えると浮足立っていたが、再会したヒューゴの様子がおかしい…。
彼はリサリーに「君は……誰だ…？」と尋ねてきて――!?
記憶喪失の侯爵×庶"&amp;"民育ちの元伯爵家令嬢、二度目の恋を巡るラブファンタジー、開幕！【恋するソワレ】")</f>
        <v>オライオン侯爵家で使用人として働くリサリーは、その家の一人息子・ヒューゴと恋に落ちる。
身分違いの恋で周りからの反対の声が多かったが、二人の気持ちは強く、
リサリーが良家の子女が通う寄宿学校で花嫁修業をすることを条件に、婚約が認められた。
二人はしばしの別れを惜しみながら、彼女は旅立った――。
半年後、寄宿学校から戻ったリサリーは真っ先にヒューゴのもとへ。
久しぶりに会えると浮足立っていたが、再会したヒューゴの様子がおかしい…。
彼はリサリーに「君は……誰だ…？」と尋ねてきて――!?
記憶喪失の侯爵×庶民育ちの元伯爵家令嬢、二度目の恋を巡るラブファンタジー、開幕！【恋するソワレ】</v>
      </c>
      <c r="W1215" s="14"/>
      <c r="X1215" s="14" t="str">
        <f>IFERROR(__xludf.DUMMYFUNCTION("""COMPUTED_VALUE"""),"有")</f>
        <v>有</v>
      </c>
      <c r="Y1215" s="8" t="str">
        <f>IFERROR(__xludf.DUMMYFUNCTION("""COMPUTED_VALUE"""),"P12まで")</f>
        <v>P12まで</v>
      </c>
      <c r="Z1215" s="7"/>
      <c r="AA1215" s="7"/>
      <c r="AB1215" s="7"/>
    </row>
    <row r="1216" ht="15.75" customHeight="1">
      <c r="A1216" s="26">
        <f>IFERROR(__xludf.DUMMYFUNCTION("""COMPUTED_VALUE"""),2553.0)</f>
        <v>2553</v>
      </c>
      <c r="B1216" s="22" t="str">
        <f>IFERROR(__xludf.DUMMYFUNCTION("""COMPUTED_VALUE"""),"確定")</f>
        <v>確定</v>
      </c>
      <c r="C1216" s="28">
        <f>IFERROR(__xludf.DUMMYFUNCTION("""COMPUTED_VALUE"""),45223.0)</f>
        <v>45223</v>
      </c>
      <c r="D1216" s="28">
        <f>IFERROR(__xludf.DUMMYFUNCTION("""COMPUTED_VALUE"""),45355.0)</f>
        <v>45355</v>
      </c>
      <c r="E1216" s="26">
        <f>IFERROR(__xludf.DUMMYFUNCTION("""COMPUTED_VALUE"""),289183.0)</f>
        <v>289183</v>
      </c>
      <c r="F1216" s="22" t="str">
        <f>IFERROR(__xludf.DUMMYFUNCTION("""COMPUTED_VALUE"""),"鬼妃～「愛してる」は、怖いこと～")</f>
        <v>鬼妃～「愛してる」は、怖いこと～</v>
      </c>
      <c r="G1216" s="11" t="str">
        <f>IFERROR(__xludf.DUMMYFUNCTION("""COMPUTED_VALUE"""),"1～4")</f>
        <v>1～4</v>
      </c>
      <c r="H1216" s="22" t="str">
        <f>IFERROR(__xludf.DUMMYFUNCTION("""COMPUTED_VALUE"""),"原作：鉈手璃彩子（メディアワークス文庫／KADOKAWA刊）／漫画：町田とし子")</f>
        <v>原作：鉈手璃彩子（メディアワークス文庫／KADOKAWA刊）／漫画：町田とし子</v>
      </c>
      <c r="I1216" s="22" t="str">
        <f>IFERROR(__xludf.DUMMYFUNCTION("""COMPUTED_VALUE"""),"青年")</f>
        <v>青年</v>
      </c>
      <c r="J1216" s="22"/>
      <c r="K1216" s="22"/>
      <c r="L1216" s="22" t="str">
        <f>IFERROR(__xludf.DUMMYFUNCTION("""COMPUTED_VALUE"""),"新潮社")</f>
        <v>新潮社</v>
      </c>
      <c r="M1216" s="23">
        <f>IFERROR(__xludf.DUMMYFUNCTION("""COMPUTED_VALUE"""),45376.0)</f>
        <v>45376</v>
      </c>
      <c r="N1216" s="23">
        <f>IFERROR(__xludf.DUMMYFUNCTION("""COMPUTED_VALUE"""),45656.0)</f>
        <v>45656</v>
      </c>
      <c r="O1216" s="20"/>
      <c r="P1216" s="34" t="str">
        <f>IFERROR(__xludf.DUMMYFUNCTION("""COMPUTED_VALUE"""),"否")</f>
        <v>否</v>
      </c>
      <c r="Q1216" s="30" t="str">
        <f>IFERROR(__xludf.DUMMYFUNCTION("""COMPUTED_VALUE"""),"広告コミットOK(10/30)")</f>
        <v>広告コミットOK(10/30)</v>
      </c>
      <c r="R1216" s="22"/>
      <c r="S1216" s="22" t="str">
        <f>IFERROR(__xludf.DUMMYFUNCTION("""COMPUTED_VALUE"""),"20240301_新潮社_鬼妃～「愛してる」は、怖いこと～")</f>
        <v>20240301_新潮社_鬼妃～「愛してる」は、怖いこと～</v>
      </c>
      <c r="T1216" s="22" t="str">
        <f>IFERROR(__xludf.DUMMYFUNCTION("""COMPUTED_VALUE"""),"格納済み")</f>
        <v>格納済み</v>
      </c>
      <c r="U1216" s="15" t="str">
        <f>IFERROR(__xludf.DUMMYFUNCTION("""COMPUTED_VALUE"""),"©鉈手璃彩子 町田とし子／新潮社")</f>
        <v>©鉈手璃彩子 町田とし子／新潮社</v>
      </c>
      <c r="V1216" s="8" t="str">
        <f>IFERROR(__xludf.DUMMYFUNCTION("""COMPUTED_VALUE"""),"「あんたのせいで、知景は死んだ」動画サイトに怪談朗読を投稿している大学生の亜瑚が、幼馴染の葬儀で告げられたのは信じられない一言だった。鬼に纏わる村の言い伝えは、それを話すと祟られる「忌話」なのだという。次々と起こる惨劇に、亜瑚は心身ともに追い詰められていく。やがて彼女は、「鬼妃」と呼ばれる存在にたどり着き……。衝撃必至の純愛ホラーミステリー。")</f>
        <v>「あんたのせいで、知景は死んだ」動画サイトに怪談朗読を投稿している大学生の亜瑚が、幼馴染の葬儀で告げられたのは信じられない一言だった。鬼に纏わる村の言い伝えは、それを話すと祟られる「忌話」なのだという。次々と起こる惨劇に、亜瑚は心身ともに追い詰められていく。やがて彼女は、「鬼妃」と呼ばれる存在にたどり着き……。衝撃必至の純愛ホラーミステリー。</v>
      </c>
      <c r="W1216" s="14"/>
      <c r="X1216" s="14" t="str">
        <f>IFERROR(__xludf.DUMMYFUNCTION("""COMPUTED_VALUE"""),"有")</f>
        <v>有</v>
      </c>
      <c r="Y1216" s="8" t="str">
        <f>IFERROR(__xludf.DUMMYFUNCTION("""COMPUTED_VALUE"""),"2024/4/7まで1巻無料")</f>
        <v>2024/4/7まで1巻無料</v>
      </c>
      <c r="Z1216" s="7"/>
      <c r="AA1216" s="7"/>
      <c r="AB1216" s="7"/>
    </row>
    <row r="1217" ht="15.75" customHeight="1">
      <c r="A1217" s="26">
        <f>IFERROR(__xludf.DUMMYFUNCTION("""COMPUTED_VALUE"""),2805.0)</f>
        <v>2805</v>
      </c>
      <c r="B1217" s="22" t="str">
        <f>IFERROR(__xludf.DUMMYFUNCTION("""COMPUTED_VALUE"""),"確定")</f>
        <v>確定</v>
      </c>
      <c r="C1217" s="28">
        <f>IFERROR(__xludf.DUMMYFUNCTION("""COMPUTED_VALUE"""),45295.0)</f>
        <v>45295</v>
      </c>
      <c r="D1217" s="28">
        <f>IFERROR(__xludf.DUMMYFUNCTION("""COMPUTED_VALUE"""),45352.0)</f>
        <v>45352</v>
      </c>
      <c r="E1217" s="26">
        <f>IFERROR(__xludf.DUMMYFUNCTION("""COMPUTED_VALUE"""),289337.0)</f>
        <v>289337</v>
      </c>
      <c r="F1217" s="22" t="str">
        <f>IFERROR(__xludf.DUMMYFUNCTION("""COMPUTED_VALUE"""),"千宙さんは一番に愛されたい")</f>
        <v>千宙さんは一番に愛されたい</v>
      </c>
      <c r="G1217" s="11" t="str">
        <f>IFERROR(__xludf.DUMMYFUNCTION("""COMPUTED_VALUE"""),"1～2")</f>
        <v>1～2</v>
      </c>
      <c r="H1217" s="22" t="str">
        <f>IFERROR(__xludf.DUMMYFUNCTION("""COMPUTED_VALUE"""),"かむ")</f>
        <v>かむ</v>
      </c>
      <c r="I1217" s="22" t="str">
        <f>IFERROR(__xludf.DUMMYFUNCTION("""COMPUTED_VALUE"""),"BL")</f>
        <v>BL</v>
      </c>
      <c r="J1217" s="22"/>
      <c r="K1217" s="22"/>
      <c r="L1217" s="22" t="str">
        <f>IFERROR(__xludf.DUMMYFUNCTION("""COMPUTED_VALUE"""),"ガールスカウトコミックス")</f>
        <v>ガールスカウトコミックス</v>
      </c>
      <c r="M1217" s="23">
        <f>IFERROR(__xludf.DUMMYFUNCTION("""COMPUTED_VALUE"""),45382.0)</f>
        <v>45382</v>
      </c>
      <c r="N1217" s="23">
        <f>IFERROR(__xludf.DUMMYFUNCTION("""COMPUTED_VALUE"""),45473.0)</f>
        <v>45473</v>
      </c>
      <c r="O1217" s="20"/>
      <c r="P1217" s="34" t="str">
        <f>IFERROR(__xludf.DUMMYFUNCTION("""COMPUTED_VALUE"""),"可")</f>
        <v>可</v>
      </c>
      <c r="Q1217" s="31" t="str">
        <f>IFERROR(__xludf.DUMMYFUNCTION("""COMPUTED_VALUE"""),"広告コミットOK(1/12)&lt;BR&gt;")</f>
        <v>広告コミットOK(1/12)&lt;BR&gt;</v>
      </c>
      <c r="R1217" s="22" t="str">
        <f>IFERROR(__xludf.DUMMYFUNCTION("""COMPUTED_VALUE"""),"格納済み")</f>
        <v>格納済み</v>
      </c>
      <c r="S1217" s="22" t="str">
        <f>IFERROR(__xludf.DUMMYFUNCTION("""COMPUTED_VALUE"""),"20240229_ガールスカウトコミックス_千宙さんは一番に愛されたい")</f>
        <v>20240229_ガールスカウトコミックス_千宙さんは一番に愛されたい</v>
      </c>
      <c r="T1217" s="22" t="str">
        <f>IFERROR(__xludf.DUMMYFUNCTION("""COMPUTED_VALUE"""),"格納済み")</f>
        <v>格納済み</v>
      </c>
      <c r="U1217" s="15" t="str">
        <f>IFERROR(__xludf.DUMMYFUNCTION("""COMPUTED_VALUE"""),"©かむ／ガールスカウトコミックス")</f>
        <v>©かむ／ガールスカウトコミックス</v>
      </c>
      <c r="V1217" s="8" t="str">
        <f>IFERROR(__xludf.DUMMYFUNCTION("""COMPUTED_VALUE"""),"「俺　童貞なんだよなあ…」
イケメンモデル・巽 涼馬(たつみ りょうま)はおおいに悩んでいた！
今後はセクシー路線で売り出す、と事務所に告げられたのである。
オファーを受けた映画も内容の大半は濡れ場と知り、何をどうしたらいいかがさっぱりわからない。
手っ取り早く脱・童貞しようと歓楽街へ向かう途中、
立ち寄った居酒屋で栗原 千宙(くりはら ちひろ)と出会う。
自分のことを知らない千宙にすぐに心を開き、
”悩み事があるなら聞く”という彼の言葉に促されて今までの経緯を打ち明ける。
役作りに悩む姿を千宙は笑い飛ば"&amp;"し、
「おれが教えてあげよっか」とセックスの話を持ちかけてきて──
【純情で天然な年下モデル×本当の愛が欲しい年上ゲイ】の純愛物語。")</f>
        <v>「俺　童貞なんだよなあ…」
イケメンモデル・巽 涼馬(たつみ りょうま)はおおいに悩んでいた！
今後はセクシー路線で売り出す、と事務所に告げられたのである。
オファーを受けた映画も内容の大半は濡れ場と知り、何をどうしたらいいかがさっぱりわからない。
手っ取り早く脱・童貞しようと歓楽街へ向かう途中、
立ち寄った居酒屋で栗原 千宙(くりはら ちひろ)と出会う。
自分のことを知らない千宙にすぐに心を開き、
”悩み事があるなら聞く”という彼の言葉に促されて今までの経緯を打ち明ける。
役作りに悩む姿を千宙は笑い飛ばし、
「おれが教えてあげよっか」とセックスの話を持ちかけてきて──
【純情で天然な年下モデル×本当の愛が欲しい年上ゲイ】の純愛物語。</v>
      </c>
      <c r="W1217" s="14"/>
      <c r="X1217" s="14" t="str">
        <f>IFERROR(__xludf.DUMMYFUNCTION("""COMPUTED_VALUE"""),"有")</f>
        <v>有</v>
      </c>
      <c r="Y1217" s="8" t="str">
        <f>IFERROR(__xludf.DUMMYFUNCTION("""COMPUTED_VALUE"""),"2024/4/29まで立ち読み増量P18まで")</f>
        <v>2024/4/29まで立ち読み増量P18まで</v>
      </c>
      <c r="Z1217" s="7"/>
      <c r="AA1217" s="7"/>
      <c r="AB1217" s="7"/>
    </row>
    <row r="1218" ht="15.75" customHeight="1">
      <c r="A1218" s="26">
        <f>IFERROR(__xludf.DUMMYFUNCTION("""COMPUTED_VALUE"""),2808.0)</f>
        <v>2808</v>
      </c>
      <c r="B1218" s="22" t="str">
        <f>IFERROR(__xludf.DUMMYFUNCTION("""COMPUTED_VALUE"""),"確定")</f>
        <v>確定</v>
      </c>
      <c r="C1218" s="28">
        <f>IFERROR(__xludf.DUMMYFUNCTION("""COMPUTED_VALUE"""),45300.0)</f>
        <v>45300</v>
      </c>
      <c r="D1218" s="28">
        <f>IFERROR(__xludf.DUMMYFUNCTION("""COMPUTED_VALUE"""),45352.0)</f>
        <v>45352</v>
      </c>
      <c r="E1218" s="26">
        <f>IFERROR(__xludf.DUMMYFUNCTION("""COMPUTED_VALUE"""),289149.0)</f>
        <v>289149</v>
      </c>
      <c r="F1218" s="22" t="str">
        <f>IFERROR(__xludf.DUMMYFUNCTION("""COMPUTED_VALUE"""),"三好さんは俺のいいなり。")</f>
        <v>三好さんは俺のいいなり。</v>
      </c>
      <c r="G1218" s="11" t="str">
        <f>IFERROR(__xludf.DUMMYFUNCTION("""COMPUTED_VALUE"""),"1～2")</f>
        <v>1～2</v>
      </c>
      <c r="H1218" s="22" t="str">
        <f>IFERROR(__xludf.DUMMYFUNCTION("""COMPUTED_VALUE"""),"中村およよ")</f>
        <v>中村およよ</v>
      </c>
      <c r="I1218" s="22" t="str">
        <f>IFERROR(__xludf.DUMMYFUNCTION("""COMPUTED_VALUE"""),"BL")</f>
        <v>BL</v>
      </c>
      <c r="J1218" s="22"/>
      <c r="K1218" s="22"/>
      <c r="L1218" s="22" t="str">
        <f>IFERROR(__xludf.DUMMYFUNCTION("""COMPUTED_VALUE"""),"CLLENN")</f>
        <v>CLLENN</v>
      </c>
      <c r="M1218" s="23">
        <f>IFERROR(__xludf.DUMMYFUNCTION("""COMPUTED_VALUE"""),45374.0)</f>
        <v>45374</v>
      </c>
      <c r="N1218" s="23">
        <f>IFERROR(__xludf.DUMMYFUNCTION("""COMPUTED_VALUE"""),45436.0)</f>
        <v>45436</v>
      </c>
      <c r="O1218" s="20"/>
      <c r="P1218" s="34" t="str">
        <f>IFERROR(__xludf.DUMMYFUNCTION("""COMPUTED_VALUE"""),"可")</f>
        <v>可</v>
      </c>
      <c r="Q1218" s="31" t="str">
        <f>IFERROR(__xludf.DUMMYFUNCTION("""COMPUTED_VALUE"""),"広告コミットOK(1/12)&lt;BR&gt;")</f>
        <v>広告コミットOK(1/12)&lt;BR&gt;</v>
      </c>
      <c r="R1218" s="22" t="str">
        <f>IFERROR(__xludf.DUMMYFUNCTION("""COMPUTED_VALUE"""),"格納済")</f>
        <v>格納済</v>
      </c>
      <c r="S1218" s="22" t="str">
        <f>IFERROR(__xludf.DUMMYFUNCTION("""COMPUTED_VALUE"""),"20240301_CLLENN_三好さんは俺のいいなり。")</f>
        <v>20240301_CLLENN_三好さんは俺のいいなり。</v>
      </c>
      <c r="T1218" s="22" t="str">
        <f>IFERROR(__xludf.DUMMYFUNCTION("""COMPUTED_VALUE"""),"格納済み")</f>
        <v>格納済み</v>
      </c>
      <c r="U1218" s="15" t="str">
        <f>IFERROR(__xludf.DUMMYFUNCTION("""COMPUTED_VALUE"""),"ⓒ中村およよ/CLLENN")</f>
        <v>ⓒ中村およよ/CLLENN</v>
      </c>
      <c r="V1218" s="8" t="str">
        <f>IFERROR(__xludf.DUMMYFUNCTION("""COMPUTED_VALUE"""),"「俺の手で、思うがままにできる…？」局の看板アナウンサー・三好（みよし）に想いを寄せるAD・塚田（つかだ）。冴えない自分には手が届かない――はずが、怪しいアプリをゲット！使ってみると、耳を舐めたり乳首をつねったり、好きなように三好の体に悪戯できる！ 「生放送中に、皆の前でイく！そんなの恥ずかしくて死ぬ」正体不明の快感に振り回されながらも、必死で耐える三好。いつも完璧な彼が初めて見せる表情に、塚田の欲望はどんどんエスカレートしてゆき――。　うだつが上がらないAD×完璧超人の人気アナウンサー。決して交わるはず"&amp;"のない、一方通行の関係だったけど…！？")</f>
        <v>「俺の手で、思うがままにできる…？」局の看板アナウンサー・三好（みよし）に想いを寄せるAD・塚田（つかだ）。冴えない自分には手が届かない――はずが、怪しいアプリをゲット！使ってみると、耳を舐めたり乳首をつねったり、好きなように三好の体に悪戯できる！ 「生放送中に、皆の前でイく！そんなの恥ずかしくて死ぬ」正体不明の快感に振り回されながらも、必死で耐える三好。いつも完璧な彼が初めて見せる表情に、塚田の欲望はどんどんエスカレートしてゆき――。　うだつが上がらないAD×完璧超人の人気アナウンサー。決して交わるはずのない、一方通行の関係だったけど…！？</v>
      </c>
      <c r="W1218" s="14"/>
      <c r="X1218" s="14" t="str">
        <f>IFERROR(__xludf.DUMMYFUNCTION("""COMPUTED_VALUE"""),"有")</f>
        <v>有</v>
      </c>
      <c r="Y1218" s="8" t="str">
        <f>IFERROR(__xludf.DUMMYFUNCTION("""COMPUTED_VALUE"""),"P8まで")</f>
        <v>P8まで</v>
      </c>
      <c r="Z1218" s="7"/>
      <c r="AA1218" s="7"/>
      <c r="AB1218" s="7"/>
    </row>
    <row r="1219" ht="15.75" customHeight="1">
      <c r="A1219" s="26">
        <f>IFERROR(__xludf.DUMMYFUNCTION("""COMPUTED_VALUE"""),2882.0)</f>
        <v>2882</v>
      </c>
      <c r="B1219" s="22" t="str">
        <f>IFERROR(__xludf.DUMMYFUNCTION("""COMPUTED_VALUE"""),"確定")</f>
        <v>確定</v>
      </c>
      <c r="C1219" s="28">
        <f>IFERROR(__xludf.DUMMYFUNCTION("""COMPUTED_VALUE"""),45317.0)</f>
        <v>45317</v>
      </c>
      <c r="D1219" s="28">
        <f>IFERROR(__xludf.DUMMYFUNCTION("""COMPUTED_VALUE"""),45352.0)</f>
        <v>45352</v>
      </c>
      <c r="E1219" s="26">
        <f>IFERROR(__xludf.DUMMYFUNCTION("""COMPUTED_VALUE"""),289082.0)</f>
        <v>289082</v>
      </c>
      <c r="F1219" s="22" t="str">
        <f>IFERROR(__xludf.DUMMYFUNCTION("""COMPUTED_VALUE"""),"化け猫憑きの嫁入り")</f>
        <v>化け猫憑きの嫁入り</v>
      </c>
      <c r="G1219" s="20" t="str">
        <f>IFERROR(__xludf.DUMMYFUNCTION("""COMPUTED_VALUE"""),"1~5")</f>
        <v>1~5</v>
      </c>
      <c r="H1219" s="22" t="str">
        <f>IFERROR(__xludf.DUMMYFUNCTION("""COMPUTED_VALUE"""),"冬森雪湖/えぬ")</f>
        <v>冬森雪湖/えぬ</v>
      </c>
      <c r="I1219" s="22" t="str">
        <f>IFERROR(__xludf.DUMMYFUNCTION("""COMPUTED_VALUE"""),"女性")</f>
        <v>女性</v>
      </c>
      <c r="J1219" s="22"/>
      <c r="K1219" s="22"/>
      <c r="L1219" s="22" t="str">
        <f>IFERROR(__xludf.DUMMYFUNCTION("""COMPUTED_VALUE"""),"ライブコミックス")</f>
        <v>ライブコミックス</v>
      </c>
      <c r="M1219" s="23">
        <f>IFERROR(__xludf.DUMMYFUNCTION("""COMPUTED_VALUE"""),45373.0)</f>
        <v>45373</v>
      </c>
      <c r="N1219" s="23">
        <f>IFERROR(__xludf.DUMMYFUNCTION("""COMPUTED_VALUE"""),45435.0)</f>
        <v>45435</v>
      </c>
      <c r="O1219" s="20"/>
      <c r="P1219" s="34" t="str">
        <f>IFERROR(__xludf.DUMMYFUNCTION("""COMPUTED_VALUE"""),"可")</f>
        <v>可</v>
      </c>
      <c r="Q1219" s="30" t="str">
        <f>IFERROR(__xludf.DUMMYFUNCTION("""COMPUTED_VALUE"""),"広告コミットOK(1/30)")</f>
        <v>広告コミットOK(1/30)</v>
      </c>
      <c r="R1219" s="22"/>
      <c r="S1219" s="22" t="str">
        <f>IFERROR(__xludf.DUMMYFUNCTION("""COMPUTED_VALUE"""),"20240126_BookLive_化け猫憑きの嫁入り")</f>
        <v>20240126_BookLive_化け猫憑きの嫁入り</v>
      </c>
      <c r="T1219" s="22" t="str">
        <f>IFERROR(__xludf.DUMMYFUNCTION("""COMPUTED_VALUE"""),"格納済み")</f>
        <v>格納済み</v>
      </c>
      <c r="U1219" s="15" t="str">
        <f>IFERROR(__xludf.DUMMYFUNCTION("""COMPUTED_VALUE"""),"Ⓒ冬森雪湖・えぬ/ライブコミックス")</f>
        <v>Ⓒ冬森雪湖・えぬ/ライブコミックス</v>
      </c>
      <c r="V1219" s="8" t="str">
        <f>IFERROR(__xludf.DUMMYFUNCTION("""COMPUTED_VALUE"""),"「私にはもう、この縁談しか残されていない」異能を持たない家に生まれたのに、”化け猫”が憑いている環（たまき）。幼い頃に化け猫が妹を傷つけてしまったため、小屋に閉じ込められ、家族から虐げられる日々を送っている。ある日、大人になった環のもとへ冴えない中年との縁談が舞い込む。生家から抜け出すべく、藁にもすがる思いで縁談を受ける環だが、初夜、旦那となった男に夜伽を迫られ、化け猫を発動させてしまう。恐る恐る目を開くと男の姿はなく、なぜか絶世の美少年が目の前にいて……？家族から虐げられた娘と名家を背負う若き当主が紡ぐ"&amp;"、大正純愛歌。")</f>
        <v>「私にはもう、この縁談しか残されていない」異能を持たない家に生まれたのに、”化け猫”が憑いている環（たまき）。幼い頃に化け猫が妹を傷つけてしまったため、小屋に閉じ込められ、家族から虐げられる日々を送っている。ある日、大人になった環のもとへ冴えない中年との縁談が舞い込む。生家から抜け出すべく、藁にもすがる思いで縁談を受ける環だが、初夜、旦那となった男に夜伽を迫られ、化け猫を発動させてしまう。恐る恐る目を開くと男の姿はなく、なぜか絶世の美少年が目の前にいて……？家族から虐げられた娘と名家を背負う若き当主が紡ぐ、大正純愛歌。</v>
      </c>
      <c r="W1219" s="14"/>
      <c r="X1219" s="14" t="str">
        <f>IFERROR(__xludf.DUMMYFUNCTION("""COMPUTED_VALUE"""),"有")</f>
        <v>有</v>
      </c>
      <c r="Y1219" s="8" t="str">
        <f>IFERROR(__xludf.DUMMYFUNCTION("""COMPUTED_VALUE"""),"2024/4/25まで1巻無料")</f>
        <v>2024/4/25まで1巻無料</v>
      </c>
      <c r="Z1219" s="7"/>
      <c r="AA1219" s="7"/>
      <c r="AB1219" s="7"/>
    </row>
    <row r="1220" ht="15.75" customHeight="1">
      <c r="A1220" s="26">
        <f>IFERROR(__xludf.DUMMYFUNCTION("""COMPUTED_VALUE"""),2913.0)</f>
        <v>2913</v>
      </c>
      <c r="B1220" s="22" t="str">
        <f>IFERROR(__xludf.DUMMYFUNCTION("""COMPUTED_VALUE"""),"確定")</f>
        <v>確定</v>
      </c>
      <c r="C1220" s="28">
        <f>IFERROR(__xludf.DUMMYFUNCTION("""COMPUTED_VALUE"""),45322.0)</f>
        <v>45322</v>
      </c>
      <c r="D1220" s="28">
        <f>IFERROR(__xludf.DUMMYFUNCTION("""COMPUTED_VALUE"""),45355.0)</f>
        <v>45355</v>
      </c>
      <c r="E1220" s="26">
        <f>IFERROR(__xludf.DUMMYFUNCTION("""COMPUTED_VALUE"""),289327.0)</f>
        <v>289327</v>
      </c>
      <c r="F1220" s="22" t="str">
        <f>IFERROR(__xludf.DUMMYFUNCTION("""COMPUTED_VALUE"""),"もっと奥で、喘がせていいかな？～絶倫肉食部長の本気エッチでとろかされて、イカされて～")</f>
        <v>もっと奥で、喘がせていいかな？～絶倫肉食部長の本気エッチでとろかされて、イカされて～</v>
      </c>
      <c r="G1220" s="20" t="str">
        <f>IFERROR(__xludf.DUMMYFUNCTION("""COMPUTED_VALUE"""),"1～3")</f>
        <v>1～3</v>
      </c>
      <c r="H1220" s="22" t="str">
        <f>IFERROR(__xludf.DUMMYFUNCTION("""COMPUTED_VALUE"""),"西園寺みちる")</f>
        <v>西園寺みちる</v>
      </c>
      <c r="I1220" s="22" t="str">
        <f>IFERROR(__xludf.DUMMYFUNCTION("""COMPUTED_VALUE"""),"TL")</f>
        <v>TL</v>
      </c>
      <c r="J1220" s="22"/>
      <c r="K1220" s="22"/>
      <c r="L1220" s="22" t="str">
        <f>IFERROR(__xludf.DUMMYFUNCTION("""COMPUTED_VALUE"""),"小学館")</f>
        <v>小学館</v>
      </c>
      <c r="M1220" s="23">
        <f>IFERROR(__xludf.DUMMYFUNCTION("""COMPUTED_VALUE"""),45380.0)</f>
        <v>45380</v>
      </c>
      <c r="N1220" s="23">
        <f>IFERROR(__xludf.DUMMYFUNCTION("""COMPUTED_VALUE"""),45413.0)</f>
        <v>45413</v>
      </c>
      <c r="O1220" s="20"/>
      <c r="P1220" s="34" t="str">
        <f>IFERROR(__xludf.DUMMYFUNCTION("""COMPUTED_VALUE"""),"可")</f>
        <v>可</v>
      </c>
      <c r="Q1220" s="30" t="str">
        <f>IFERROR(__xludf.DUMMYFUNCTION("""COMPUTED_VALUE"""),"・TLレーベル名：メルト&lt;BR&gt;広告コミットOK(2/5)")</f>
        <v>・TLレーベル名：メルト&lt;BR&gt;広告コミットOK(2/5)</v>
      </c>
      <c r="R1220" s="22"/>
      <c r="S1220" s="22" t="str">
        <f>IFERROR(__xludf.DUMMYFUNCTION("""COMPUTED_VALUE"""),"20240304_小学館_もっと奥で、喘がせていいかな？～絶倫肉食部長の本気エッチでとろかされて、イカされて～")</f>
        <v>20240304_小学館_もっと奥で、喘がせていいかな？～絶倫肉食部長の本気エッチでとろかされて、イカされて～</v>
      </c>
      <c r="T1220" s="22" t="str">
        <f>IFERROR(__xludf.DUMMYFUNCTION("""COMPUTED_VALUE"""),"格納済み")</f>
        <v>格納済み</v>
      </c>
      <c r="U1220" s="15" t="str">
        <f>IFERROR(__xludf.DUMMYFUNCTION("""COMPUTED_VALUE"""),"(C)西園寺みちる / 小学館")</f>
        <v>(C)西園寺みちる / 小学館</v>
      </c>
      <c r="V1220" s="8" t="str">
        <f>IFERROR(__xludf.DUMMYFUNCTION("""COMPUTED_VALUE"""),"「僕で試してみる？」理想の上司からの甘い提案■「かわいくてもっと愛したくなる」長内美月は美人だがクールすぎるあまり、会社で「鉄仮面アイアン」と呼ばれている。そんな彼女には人付き合いを避ける理由があった。それは…緊張やストレスを感じると「アソコが濡れやすい」ことだった。ある日社内で人気ナンバーワンの相田部長と2人きりでご飯に行くことに…。緊張のあまり彼女のアソコは濡れすぎMAX！さらにはこの体質が部長にバレてしまった!!部長が親身に相談に乗ってくれたので「濡れすぎて感じたことがない」と悩みを打ち明けると――"&amp;"「僕で試してみる？セックス…」と突然提案されて――!?
スーツを脱いだら肉体美！理想上司×鉄仮面の下はウブなクール美人の溺愛オフィスラブ！")</f>
        <v>「僕で試してみる？」理想の上司からの甘い提案■「かわいくてもっと愛したくなる」長内美月は美人だがクールすぎるあまり、会社で「鉄仮面アイアン」と呼ばれている。そんな彼女には人付き合いを避ける理由があった。それは…緊張やストレスを感じると「アソコが濡れやすい」ことだった。ある日社内で人気ナンバーワンの相田部長と2人きりでご飯に行くことに…。緊張のあまり彼女のアソコは濡れすぎMAX！さらにはこの体質が部長にバレてしまった!!部長が親身に相談に乗ってくれたので「濡れすぎて感じたことがない」と悩みを打ち明けると――「僕で試してみる？セックス…」と突然提案されて――!?
スーツを脱いだら肉体美！理想上司×鉄仮面の下はウブなクール美人の溺愛オフィスラブ！</v>
      </c>
      <c r="W1220" s="14"/>
      <c r="X1220" s="14" t="str">
        <f>IFERROR(__xludf.DUMMYFUNCTION("""COMPUTED_VALUE"""),"有")</f>
        <v>有</v>
      </c>
      <c r="Y1220" s="8" t="str">
        <f>IFERROR(__xludf.DUMMYFUNCTION("""COMPUTED_VALUE"""),"2024/5/1まで1巻無料")</f>
        <v>2024/5/1まで1巻無料</v>
      </c>
      <c r="Z1220" s="7"/>
      <c r="AA1220" s="7"/>
      <c r="AB1220" s="7"/>
    </row>
    <row r="1221" ht="124.5" customHeight="1">
      <c r="A1221" s="26">
        <f>IFERROR(__xludf.DUMMYFUNCTION("""COMPUTED_VALUE"""),2976.0)</f>
        <v>2976</v>
      </c>
      <c r="B1221" s="22" t="str">
        <f>IFERROR(__xludf.DUMMYFUNCTION("""COMPUTED_VALUE"""),"確定")</f>
        <v>確定</v>
      </c>
      <c r="C1221" s="28">
        <f>IFERROR(__xludf.DUMMYFUNCTION("""COMPUTED_VALUE"""),45337.0)</f>
        <v>45337</v>
      </c>
      <c r="D1221" s="28">
        <f>IFERROR(__xludf.DUMMYFUNCTION("""COMPUTED_VALUE"""),45350.0)</f>
        <v>45350</v>
      </c>
      <c r="E1221" s="26">
        <f>IFERROR(__xludf.DUMMYFUNCTION("""COMPUTED_VALUE"""),291479.0)</f>
        <v>291479</v>
      </c>
      <c r="F1221" s="46" t="str">
        <f>IFERROR(__xludf.DUMMYFUNCTION("""COMPUTED_VALUE"""),"僕の家庭教師は欲求不満の人妻ハーレム【フルカラー】【タテヨミ】")</f>
        <v>僕の家庭教師は欲求不満の人妻ハーレム【フルカラー】【タテヨミ】</v>
      </c>
      <c r="G1221" s="20" t="str">
        <f>IFERROR(__xludf.DUMMYFUNCTION("""COMPUTED_VALUE"""),"1~6")</f>
        <v>1~6</v>
      </c>
      <c r="H1221" s="22" t="str">
        <f>IFERROR(__xludf.DUMMYFUNCTION("""COMPUTED_VALUE"""),"DEEPER-ZERO")</f>
        <v>DEEPER-ZERO</v>
      </c>
      <c r="I1221" s="22" t="str">
        <f>IFERROR(__xludf.DUMMYFUNCTION("""COMPUTED_VALUE"""),"オトナ")</f>
        <v>オトナ</v>
      </c>
      <c r="J1221" s="22"/>
      <c r="K1221" s="22"/>
      <c r="L1221" s="22" t="str">
        <f>IFERROR(__xludf.DUMMYFUNCTION("""COMPUTED_VALUE"""),"DEEPER-ZERO")</f>
        <v>DEEPER-ZERO</v>
      </c>
      <c r="M1221" s="23">
        <f>IFERROR(__xludf.DUMMYFUNCTION("""COMPUTED_VALUE"""),45409.0)</f>
        <v>45409</v>
      </c>
      <c r="N1221" s="47">
        <f>IFERROR(__xludf.DUMMYFUNCTION("""COMPUTED_VALUE"""),45470.0)</f>
        <v>45470</v>
      </c>
      <c r="O1221" s="20"/>
      <c r="P1221" s="34" t="str">
        <f>IFERROR(__xludf.DUMMYFUNCTION("""COMPUTED_VALUE"""),"可")</f>
        <v>可</v>
      </c>
      <c r="Q1221" s="31" t="str">
        <f>IFERROR(__xludf.DUMMYFUNCTION("""COMPUTED_VALUE"""),"広告コミットOK(2/27)")</f>
        <v>広告コミットOK(2/27)</v>
      </c>
      <c r="R1221" s="22" t="str">
        <f>IFERROR(__xludf.DUMMYFUNCTION("""COMPUTED_VALUE"""),"格納済")</f>
        <v>格納済</v>
      </c>
      <c r="S1221" s="22" t="str">
        <f>IFERROR(__xludf.DUMMYFUNCTION("""COMPUTED_VALUE"""),"20240228_DEEPER-ZERO_僕の家庭教師は欲求不満の人妻ハーレム")</f>
        <v>20240228_DEEPER-ZERO_僕の家庭教師は欲求不満の人妻ハーレム</v>
      </c>
      <c r="T1221" s="22" t="str">
        <f>IFERROR(__xludf.DUMMYFUNCTION("""COMPUTED_VALUE"""),"校了済素材")</f>
        <v>校了済素材</v>
      </c>
      <c r="U1221" s="15" t="str">
        <f>IFERROR(__xludf.DUMMYFUNCTION("""COMPUTED_VALUE"""),"ⓒDEEPER-ZERO")</f>
        <v>ⓒDEEPER-ZERO</v>
      </c>
      <c r="V1221" s="8" t="str">
        <f>IFERROR(__xludf.DUMMYFUNCTION("""COMPUTED_VALUE"""),"医者になる事を夢見て浪人中の主人公・勉学は、独学で勉強を続けるが全く学力が向上しない…そんな勉学を見かねたT大卒の姉は、同じT大出身で学業優秀な知り合いの人妻たちに家庭教師を依頼する。最初は渋っていた人妻たちだったが、勉学の巨根の写真を見せられた家庭教師に興味を示すのであった…！欲求不満でHな人妻家庭教師と巨根浪人生がおりなす家庭教師×人妻×ハーレムEROTOON！")</f>
        <v>医者になる事を夢見て浪人中の主人公・勉学は、独学で勉強を続けるが全く学力が向上しない…そんな勉学を見かねたT大卒の姉は、同じT大出身で学業優秀な知り合いの人妻たちに家庭教師を依頼する。最初は渋っていた人妻たちだったが、勉学の巨根の写真を見せられた家庭教師に興味を示すのであった…！欲求不満でHな人妻家庭教師と巨根浪人生がおりなす家庭教師×人妻×ハーレムEROTOON！</v>
      </c>
      <c r="W1221" s="14"/>
      <c r="X1221" s="14" t="str">
        <f>IFERROR(__xludf.DUMMYFUNCTION("""COMPUTED_VALUE"""),"有")</f>
        <v>有</v>
      </c>
      <c r="Y1221" s="8" t="str">
        <f>IFERROR(__xludf.DUMMYFUNCTION("""COMPUTED_VALUE"""),"2024/5/12まで1～2巻無料")</f>
        <v>2024/5/12まで1～2巻無料</v>
      </c>
      <c r="Z1221" s="7"/>
      <c r="AA1221" s="7"/>
      <c r="AB1221" s="7"/>
    </row>
    <row r="1222" ht="15.75" customHeight="1">
      <c r="A1222" s="26">
        <f>IFERROR(__xludf.DUMMYFUNCTION("""COMPUTED_VALUE"""),2977.0)</f>
        <v>2977</v>
      </c>
      <c r="B1222" s="22" t="str">
        <f>IFERROR(__xludf.DUMMYFUNCTION("""COMPUTED_VALUE"""),"確定")</f>
        <v>確定</v>
      </c>
      <c r="C1222" s="28">
        <f>IFERROR(__xludf.DUMMYFUNCTION("""COMPUTED_VALUE"""),45337.0)</f>
        <v>45337</v>
      </c>
      <c r="D1222" s="28">
        <f>IFERROR(__xludf.DUMMYFUNCTION("""COMPUTED_VALUE"""),45350.0)</f>
        <v>45350</v>
      </c>
      <c r="E1222" s="26">
        <f>IFERROR(__xludf.DUMMYFUNCTION("""COMPUTED_VALUE"""),290244.0)</f>
        <v>290244</v>
      </c>
      <c r="F1222" s="22" t="str">
        <f>IFERROR(__xludf.DUMMYFUNCTION("""COMPUTED_VALUE"""),"スベテネトラレ【フルカラー】【タテヨミ】")</f>
        <v>スベテネトラレ【フルカラー】【タテヨミ】</v>
      </c>
      <c r="G1222" s="20" t="str">
        <f>IFERROR(__xludf.DUMMYFUNCTION("""COMPUTED_VALUE"""),"1~6")</f>
        <v>1~6</v>
      </c>
      <c r="H1222" s="22" t="str">
        <f>IFERROR(__xludf.DUMMYFUNCTION("""COMPUTED_VALUE"""),"テクロスホールディングス")</f>
        <v>テクロスホールディングス</v>
      </c>
      <c r="I1222" s="22" t="str">
        <f>IFERROR(__xludf.DUMMYFUNCTION("""COMPUTED_VALUE"""),"オトナ")</f>
        <v>オトナ</v>
      </c>
      <c r="J1222" s="22"/>
      <c r="K1222" s="22"/>
      <c r="L1222" s="22" t="str">
        <f>IFERROR(__xludf.DUMMYFUNCTION("""COMPUTED_VALUE"""),"DEEPER-ZERO")</f>
        <v>DEEPER-ZERO</v>
      </c>
      <c r="M1222" s="23">
        <f>IFERROR(__xludf.DUMMYFUNCTION("""COMPUTED_VALUE"""),45394.0)</f>
        <v>45394</v>
      </c>
      <c r="N1222" s="47">
        <f>IFERROR(__xludf.DUMMYFUNCTION("""COMPUTED_VALUE"""),45455.0)</f>
        <v>45455</v>
      </c>
      <c r="O1222" s="20"/>
      <c r="P1222" s="34" t="str">
        <f>IFERROR(__xludf.DUMMYFUNCTION("""COMPUTED_VALUE"""),"可")</f>
        <v>可</v>
      </c>
      <c r="Q1222" s="31" t="str">
        <f>IFERROR(__xludf.DUMMYFUNCTION("""COMPUTED_VALUE"""),"広告コミットOK(2/27)")</f>
        <v>広告コミットOK(2/27)</v>
      </c>
      <c r="R1222" s="22" t="str">
        <f>IFERROR(__xludf.DUMMYFUNCTION("""COMPUTED_VALUE"""),"格納済")</f>
        <v>格納済</v>
      </c>
      <c r="S1222" s="22" t="str">
        <f>IFERROR(__xludf.DUMMYFUNCTION("""COMPUTED_VALUE"""),"20240228_DEEPER-ZERO_スベテネトラレ")</f>
        <v>20240228_DEEPER-ZERO_スベテネトラレ</v>
      </c>
      <c r="T1222" s="22" t="str">
        <f>IFERROR(__xludf.DUMMYFUNCTION("""COMPUTED_VALUE"""),"校了済素材")</f>
        <v>校了済素材</v>
      </c>
      <c r="U1222" s="15" t="str">
        <f>IFERROR(__xludf.DUMMYFUNCTION("""COMPUTED_VALUE"""),"ⓒテクロスホールディングス/DEEPER-ZERO")</f>
        <v>ⓒテクロスホールディングス/DEEPER-ZERO</v>
      </c>
      <c r="V1222" s="8" t="str">
        <f>IFERROR(__xludf.DUMMYFUNCTION("""COMPUTED_VALUE"""),"智と亜矢佳は結婚3年目になる互いが互いを愛し合う夫婦。 そろそろ子どもを作りたいところだが、智の仕事が忙しく、 最近は夜の営みすら満足に出来ていなかった。 そんなある日、智の妹・美心から連絡がくる。 「お兄ちゃん、私結婚したい人がいるから会ってもらえる？」 幼い頃からブラコンだった妹からの報告に 一抹の寂しさを感じながらも祝福しようとする智だが、 美心カップルを自宅に招いて歓迎する事に。 亜矢佳も手料理をふるまおうと張り切っている。 そして当日。 仕事で少し遅れた智が家に帰ると美心と彼氏は既に訪れていた。"&amp;" そこに居たのは、智よりも一回り以上年上に見える汚らしい中年男性と、 人目もはばからずその男といちゃ付いている美心であった。 とまどう智と亜矢佳に対し、 「汚田と申します。これからよろしくお願いします、お義姉さん」 汚田は亜矢佳をいやらしく嘗め回すように見ながら自己紹介した。 これが… この男・汚田に全てを奪われる俺の物語のはじまりだった――。")</f>
        <v>智と亜矢佳は結婚3年目になる互いが互いを愛し合う夫婦。 そろそろ子どもを作りたいところだが、智の仕事が忙しく、 最近は夜の営みすら満足に出来ていなかった。 そんなある日、智の妹・美心から連絡がくる。 「お兄ちゃん、私結婚したい人がいるから会ってもらえる？」 幼い頃からブラコンだった妹からの報告に 一抹の寂しさを感じながらも祝福しようとする智だが、 美心カップルを自宅に招いて歓迎する事に。 亜矢佳も手料理をふるまおうと張り切っている。 そして当日。 仕事で少し遅れた智が家に帰ると美心と彼氏は既に訪れていた。 そこに居たのは、智よりも一回り以上年上に見える汚らしい中年男性と、 人目もはばからずその男といちゃ付いている美心であった。 とまどう智と亜矢佳に対し、 「汚田と申します。これからよろしくお願いします、お義姉さん」 汚田は亜矢佳をいやらしく嘗め回すように見ながら自己紹介した。 これが… この男・汚田に全てを奪われる俺の物語のはじまりだった――。</v>
      </c>
      <c r="W1222" s="14"/>
      <c r="X1222" s="14" t="str">
        <f>IFERROR(__xludf.DUMMYFUNCTION("""COMPUTED_VALUE"""),"有")</f>
        <v>有</v>
      </c>
      <c r="Y1222" s="8" t="str">
        <f>IFERROR(__xludf.DUMMYFUNCTION("""COMPUTED_VALUE"""),"2024/4/21まで1～2巻無料")</f>
        <v>2024/4/21まで1～2巻無料</v>
      </c>
      <c r="Z1222" s="7"/>
      <c r="AA1222" s="7"/>
      <c r="AB1222" s="7"/>
    </row>
    <row r="1223" ht="15.75" customHeight="1">
      <c r="A1223" s="26">
        <f>IFERROR(__xludf.DUMMYFUNCTION("""COMPUTED_VALUE"""),2978.0)</f>
        <v>2978</v>
      </c>
      <c r="B1223" s="22" t="str">
        <f>IFERROR(__xludf.DUMMYFUNCTION("""COMPUTED_VALUE"""),"確定")</f>
        <v>確定</v>
      </c>
      <c r="C1223" s="28">
        <f>IFERROR(__xludf.DUMMYFUNCTION("""COMPUTED_VALUE"""),45337.0)</f>
        <v>45337</v>
      </c>
      <c r="D1223" s="28">
        <f>IFERROR(__xludf.DUMMYFUNCTION("""COMPUTED_VALUE"""),45350.0)</f>
        <v>45350</v>
      </c>
      <c r="E1223" s="26">
        <f>IFERROR(__xludf.DUMMYFUNCTION("""COMPUTED_VALUE"""),291478.0)</f>
        <v>291478</v>
      </c>
      <c r="F1223" s="46" t="str">
        <f>IFERROR(__xludf.DUMMYFUNCTION("""COMPUTED_VALUE"""),"図書室の配信者【フルカラー】【タテヨミ】")</f>
        <v>図書室の配信者【フルカラー】【タテヨミ】</v>
      </c>
      <c r="G1223" s="20" t="str">
        <f>IFERROR(__xludf.DUMMYFUNCTION("""COMPUTED_VALUE"""),"1~6")</f>
        <v>1~6</v>
      </c>
      <c r="H1223" s="22" t="str">
        <f>IFERROR(__xludf.DUMMYFUNCTION("""COMPUTED_VALUE"""),"テクロスホールディングス")</f>
        <v>テクロスホールディングス</v>
      </c>
      <c r="I1223" s="22" t="str">
        <f>IFERROR(__xludf.DUMMYFUNCTION("""COMPUTED_VALUE"""),"オトナ")</f>
        <v>オトナ</v>
      </c>
      <c r="J1223" s="22"/>
      <c r="K1223" s="22"/>
      <c r="L1223" s="22" t="str">
        <f>IFERROR(__xludf.DUMMYFUNCTION("""COMPUTED_VALUE"""),"DEEPER-ZERO")</f>
        <v>DEEPER-ZERO</v>
      </c>
      <c r="M1223" s="23">
        <f>IFERROR(__xludf.DUMMYFUNCTION("""COMPUTED_VALUE"""),45410.0)</f>
        <v>45410</v>
      </c>
      <c r="N1223" s="47">
        <f>IFERROR(__xludf.DUMMYFUNCTION("""COMPUTED_VALUE"""),45471.0)</f>
        <v>45471</v>
      </c>
      <c r="O1223" s="20"/>
      <c r="P1223" s="34" t="str">
        <f>IFERROR(__xludf.DUMMYFUNCTION("""COMPUTED_VALUE"""),"可")</f>
        <v>可</v>
      </c>
      <c r="Q1223" s="31" t="str">
        <f>IFERROR(__xludf.DUMMYFUNCTION("""COMPUTED_VALUE"""),"広告コミットOK(2/27)")</f>
        <v>広告コミットOK(2/27)</v>
      </c>
      <c r="R1223" s="22" t="str">
        <f>IFERROR(__xludf.DUMMYFUNCTION("""COMPUTED_VALUE"""),"格納済")</f>
        <v>格納済</v>
      </c>
      <c r="S1223" s="22" t="str">
        <f>IFERROR(__xludf.DUMMYFUNCTION("""COMPUTED_VALUE"""),"20240228_DEEPER-ZERO_図書室の配信者")</f>
        <v>20240228_DEEPER-ZERO_図書室の配信者</v>
      </c>
      <c r="T1223" s="22" t="str">
        <f>IFERROR(__xludf.DUMMYFUNCTION("""COMPUTED_VALUE"""),"校了済")</f>
        <v>校了済</v>
      </c>
      <c r="U1223" s="15" t="str">
        <f>IFERROR(__xludf.DUMMYFUNCTION("""COMPUTED_VALUE"""),"ⓒテクロスホールディングス/DEEPER-ZERO")</f>
        <v>ⓒテクロスホールディングス/DEEPER-ZERO</v>
      </c>
      <c r="V1223" s="8" t="str">
        <f>IFERROR(__xludf.DUMMYFUNCTION("""COMPUTED_VALUE"""),"主人公・神谷タケルは同じ図書委員の三条まりかに片思いをしている。無口で物静かなまりかはクラスでもあまり目立つタイプではないが、時々好きな本について話をすると意外にも趣味が合う事がわかる。クールであまり喋らないまりかだが本の話をする際に少し饒舌になる。タケルは自分にしか見せないまりかの表情に惹かれていたのだ。ある日、図書委員の仕事が終わり先に帰路につくタケル。スマートフォンを忘れた事に気付き図書室へ戻ると、そこではマスクをして顔を半分隠しながらも下着姿で、スマートフォンに向けて自分のオナニーする姿を配信をし"&amp;"ているまりかを目撃してしまう。衝撃のあまり固まるタケル。実は、強い承認欲求と露出願望を抱いていたまりか。タケルは見てしまった事を謝ってその場を去ろうとするが、まりかから思わぬ提案をされるのであった……『………神谷さん、私の配信手伝ってくれない…？』クーデレ女子のHな生配信お手伝いエロコメディー！")</f>
        <v>主人公・神谷タケルは同じ図書委員の三条まりかに片思いをしている。無口で物静かなまりかはクラスでもあまり目立つタイプではないが、時々好きな本について話をすると意外にも趣味が合う事がわかる。クールであまり喋らないまりかだが本の話をする際に少し饒舌になる。タケルは自分にしか見せないまりかの表情に惹かれていたのだ。ある日、図書委員の仕事が終わり先に帰路につくタケル。スマートフォンを忘れた事に気付き図書室へ戻ると、そこではマスクをして顔を半分隠しながらも下着姿で、スマートフォンに向けて自分のオナニーする姿を配信をしているまりかを目撃してしまう。衝撃のあまり固まるタケル。実は、強い承認欲求と露出願望を抱いていたまりか。タケルは見てしまった事を謝ってその場を去ろうとするが、まりかから思わぬ提案をされるのであった……『………神谷さん、私の配信手伝ってくれない…？』クーデレ女子のHな生配信お手伝いエロコメディー！</v>
      </c>
      <c r="W1223" s="14"/>
      <c r="X1223" s="14" t="str">
        <f>IFERROR(__xludf.DUMMYFUNCTION("""COMPUTED_VALUE"""),"有")</f>
        <v>有</v>
      </c>
      <c r="Y1223" s="8" t="str">
        <f>IFERROR(__xludf.DUMMYFUNCTION("""COMPUTED_VALUE"""),"2024/5/12まで1～2巻無料")</f>
        <v>2024/5/12まで1～2巻無料</v>
      </c>
      <c r="Z1223" s="7"/>
      <c r="AA1223" s="7"/>
      <c r="AB1223" s="7"/>
    </row>
    <row r="1224" ht="15.75" customHeight="1">
      <c r="A1224" s="26">
        <f>IFERROR(__xludf.DUMMYFUNCTION("""COMPUTED_VALUE"""),2986.0)</f>
        <v>2986</v>
      </c>
      <c r="B1224" s="22" t="str">
        <f>IFERROR(__xludf.DUMMYFUNCTION("""COMPUTED_VALUE"""),"確定")</f>
        <v>確定</v>
      </c>
      <c r="C1224" s="28">
        <f>IFERROR(__xludf.DUMMYFUNCTION("""COMPUTED_VALUE"""),45341.0)</f>
        <v>45341</v>
      </c>
      <c r="D1224" s="28">
        <f>IFERROR(__xludf.DUMMYFUNCTION("""COMPUTED_VALUE"""),45350.0)</f>
        <v>45350</v>
      </c>
      <c r="E1224" s="26">
        <f>IFERROR(__xludf.DUMMYFUNCTION("""COMPUTED_VALUE"""),289780.0)</f>
        <v>289780</v>
      </c>
      <c r="F1224" s="22" t="str">
        <f>IFERROR(__xludf.DUMMYFUNCTION("""COMPUTED_VALUE"""),"【分冊版】土曜日の三重奏")</f>
        <v>【分冊版】土曜日の三重奏</v>
      </c>
      <c r="G1224" s="20" t="str">
        <f>IFERROR(__xludf.DUMMYFUNCTION("""COMPUTED_VALUE"""),"1~6")</f>
        <v>1~6</v>
      </c>
      <c r="H1224" s="22" t="str">
        <f>IFERROR(__xludf.DUMMYFUNCTION("""COMPUTED_VALUE"""),"冬虫カイコ")</f>
        <v>冬虫カイコ</v>
      </c>
      <c r="I1224" s="22" t="str">
        <f>IFERROR(__xludf.DUMMYFUNCTION("""COMPUTED_VALUE"""),"青年")</f>
        <v>青年</v>
      </c>
      <c r="J1224" s="22"/>
      <c r="K1224" s="22"/>
      <c r="L1224" s="22" t="str">
        <f>IFERROR(__xludf.DUMMYFUNCTION("""COMPUTED_VALUE"""),"GOT")</f>
        <v>GOT</v>
      </c>
      <c r="M1224" s="23">
        <f>IFERROR(__xludf.DUMMYFUNCTION("""COMPUTED_VALUE"""),45380.0)</f>
        <v>45380</v>
      </c>
      <c r="N1224" s="23">
        <f>IFERROR(__xludf.DUMMYFUNCTION("""COMPUTED_VALUE"""),45441.0)</f>
        <v>45441</v>
      </c>
      <c r="O1224" s="20"/>
      <c r="P1224" s="34" t="str">
        <f>IFERROR(__xludf.DUMMYFUNCTION("""COMPUTED_VALUE"""),"可")</f>
        <v>可</v>
      </c>
      <c r="Q1224" s="31"/>
      <c r="R1224" s="22" t="str">
        <f>IFERROR(__xludf.DUMMYFUNCTION("""COMPUTED_VALUE"""),"格納済")</f>
        <v>格納済</v>
      </c>
      <c r="S1224" s="22" t="str">
        <f>IFERROR(__xludf.DUMMYFUNCTION("""COMPUTED_VALUE"""),"20240228_GOT_土曜日の三重奏")</f>
        <v>20240228_GOT_土曜日の三重奏</v>
      </c>
      <c r="T1224" s="22" t="str">
        <f>IFERROR(__xludf.DUMMYFUNCTION("""COMPUTED_VALUE"""),"校了済素材")</f>
        <v>校了済素材</v>
      </c>
      <c r="U1224" s="15" t="str">
        <f>IFERROR(__xludf.DUMMYFUNCTION("""COMPUTED_VALUE"""),"©冬虫カイコ／ジーオーティー")</f>
        <v>©冬虫カイコ／ジーオーティー</v>
      </c>
      <c r="V1224" s="8" t="str">
        <f>IFERROR(__xludf.DUMMYFUNCTION("""COMPUTED_VALUE"""),"とある総合病院の職員用住宅に住む真琴は、医者の父とそれを支える母に囲まれ温かく過ごしていた。自分もいずれ父のような立派な医者になるのだと、誰に言われずともそう考えていた。
習いごとのピアノもやめ、中学受験に備え勉強に励む日々のなか
ある日、同じマンションに住む研修医・弦木と出会うことで、真琴の価値観は大きく変わっていくことになるーー。
※この作品は『COMIC MeDu』掲載時のものです。単行本版と内容が異なる場合がございます。")</f>
        <v>とある総合病院の職員用住宅に住む真琴は、医者の父とそれを支える母に囲まれ温かく過ごしていた。自分もいずれ父のような立派な医者になるのだと、誰に言われずともそう考えていた。
習いごとのピアノもやめ、中学受験に備え勉強に励む日々のなか
ある日、同じマンションに住む研修医・弦木と出会うことで、真琴の価値観は大きく変わっていくことになるーー。
※この作品は『COMIC MeDu』掲載時のものです。単行本版と内容が異なる場合がございます。</v>
      </c>
      <c r="W1224" s="14"/>
      <c r="X1224" s="14" t="str">
        <f>IFERROR(__xludf.DUMMYFUNCTION("""COMPUTED_VALUE"""),"有")</f>
        <v>有</v>
      </c>
      <c r="Y1224" s="8" t="str">
        <f>IFERROR(__xludf.DUMMYFUNCTION("""COMPUTED_VALUE"""),"2024/4/11まで1～3巻無料")</f>
        <v>2024/4/11まで1～3巻無料</v>
      </c>
      <c r="Z1224" s="7"/>
      <c r="AA1224" s="7"/>
      <c r="AB1224" s="7"/>
    </row>
    <row r="1225" ht="15.75" customHeight="1">
      <c r="A1225" s="26">
        <f>IFERROR(__xludf.DUMMYFUNCTION("""COMPUTED_VALUE"""),3019.0)</f>
        <v>3019</v>
      </c>
      <c r="B1225" s="22" t="str">
        <f>IFERROR(__xludf.DUMMYFUNCTION("""COMPUTED_VALUE"""),"確定")</f>
        <v>確定</v>
      </c>
      <c r="C1225" s="28">
        <f>IFERROR(__xludf.DUMMYFUNCTION("""COMPUTED_VALUE"""),45350.0)</f>
        <v>45350</v>
      </c>
      <c r="D1225" s="28">
        <f>IFERROR(__xludf.DUMMYFUNCTION("""COMPUTED_VALUE"""),45356.0)</f>
        <v>45356</v>
      </c>
      <c r="E1225" s="26">
        <f>IFERROR(__xludf.DUMMYFUNCTION("""COMPUTED_VALUE"""),289328.0)</f>
        <v>289328</v>
      </c>
      <c r="F1225" s="22" t="str">
        <f>IFERROR(__xludf.DUMMYFUNCTION("""COMPUTED_VALUE"""),"ヘル・ハーレム")</f>
        <v>ヘル・ハーレム</v>
      </c>
      <c r="G1225" s="11" t="str">
        <f>IFERROR(__xludf.DUMMYFUNCTION("""COMPUTED_VALUE"""),"1～8")</f>
        <v>1～8</v>
      </c>
      <c r="H1225" s="22" t="str">
        <f>IFERROR(__xludf.DUMMYFUNCTION("""COMPUTED_VALUE"""),"スター")</f>
        <v>スター</v>
      </c>
      <c r="I1225" s="22" t="str">
        <f>IFERROR(__xludf.DUMMYFUNCTION("""COMPUTED_VALUE"""),"青年")</f>
        <v>青年</v>
      </c>
      <c r="J1225" s="22"/>
      <c r="K1225" s="22"/>
      <c r="L1225" s="22" t="str">
        <f>IFERROR(__xludf.DUMMYFUNCTION("""COMPUTED_VALUE"""),"Rush!")</f>
        <v>Rush!</v>
      </c>
      <c r="M1225" s="23">
        <f>IFERROR(__xludf.DUMMYFUNCTION("""COMPUTED_VALUE"""),45380.0)</f>
        <v>45380</v>
      </c>
      <c r="N1225" s="23">
        <f>IFERROR(__xludf.DUMMYFUNCTION("""COMPUTED_VALUE"""),45470.0)</f>
        <v>45470</v>
      </c>
      <c r="O1225" s="20"/>
      <c r="P1225" s="34" t="str">
        <f>IFERROR(__xludf.DUMMYFUNCTION("""COMPUTED_VALUE"""),"可")</f>
        <v>可</v>
      </c>
      <c r="Q1225" s="30" t="str">
        <f>IFERROR(__xludf.DUMMYFUNCTION("""COMPUTED_VALUE"""),"協業レーベル『シーモア×Rush!』作品です。")</f>
        <v>協業レーベル『シーモア×Rush!』作品です。</v>
      </c>
      <c r="R1225" s="22"/>
      <c r="S1225" s="22" t="str">
        <f>IFERROR(__xludf.DUMMYFUNCTION("""COMPUTED_VALUE"""),"20240228_ファンギルド_ヘル・ハーレム")</f>
        <v>20240228_ファンギルド_ヘル・ハーレム</v>
      </c>
      <c r="T1225" s="22" t="str">
        <f>IFERROR(__xludf.DUMMYFUNCTION("""COMPUTED_VALUE"""),"格納済み")</f>
        <v>格納済み</v>
      </c>
      <c r="U1225" s="15" t="str">
        <f>IFERROR(__xludf.DUMMYFUNCTION("""COMPUTED_VALUE"""),"©Star/SUN/TOPTOON")</f>
        <v>©Star/SUN/TOPTOON</v>
      </c>
      <c r="V1225" s="8" t="str">
        <f>IFERROR(__xludf.DUMMYFUNCTION("""COMPUTED_VALUE"""),"「さあそれでは…ゲームを始めようか？」妻の容姿と嘘に騙され、結婚わずか三ヵ月で離婚し、職場でもいいように扱われ、女に見下されて生きてきた宗島康太。どんな手を使ってでも自分を変えてやると胸に誓った直後、目の前に車が迫ってきて――見知らぬ空間で正体不明の存在・悪魔と出会った。三つの条件を守れば人を思いのままに出来る【肉体拘束】の能力を突然授けられ、夢のような出来事に半信半疑だった宗島だったが……？「俺に…服従しろ！」虐げられた男の復讐劇が始まる。")</f>
        <v>「さあそれでは…ゲームを始めようか？」妻の容姿と嘘に騙され、結婚わずか三ヵ月で離婚し、職場でもいいように扱われ、女に見下されて生きてきた宗島康太。どんな手を使ってでも自分を変えてやると胸に誓った直後、目の前に車が迫ってきて――見知らぬ空間で正体不明の存在・悪魔と出会った。三つの条件を守れば人を思いのままに出来る【肉体拘束】の能力を突然授けられ、夢のような出来事に半信半疑だった宗島だったが……？「俺に…服従しろ！」虐げられた男の復讐劇が始まる。</v>
      </c>
      <c r="W1225" s="14"/>
      <c r="X1225" s="14" t="str">
        <f>IFERROR(__xludf.DUMMYFUNCTION("""COMPUTED_VALUE"""),"有")</f>
        <v>有</v>
      </c>
      <c r="Y1225" s="8" t="str">
        <f>IFERROR(__xludf.DUMMYFUNCTION("""COMPUTED_VALUE"""),"P21まで")</f>
        <v>P21まで</v>
      </c>
      <c r="Z1225" s="7"/>
      <c r="AA1225" s="7"/>
      <c r="AB1225" s="7"/>
    </row>
    <row r="1226" ht="15.75" customHeight="1">
      <c r="A1226" s="26">
        <f>IFERROR(__xludf.DUMMYFUNCTION("""COMPUTED_VALUE"""),3020.0)</f>
        <v>3020</v>
      </c>
      <c r="B1226" s="22" t="str">
        <f>IFERROR(__xludf.DUMMYFUNCTION("""COMPUTED_VALUE"""),"確定")</f>
        <v>確定</v>
      </c>
      <c r="C1226" s="28">
        <f>IFERROR(__xludf.DUMMYFUNCTION("""COMPUTED_VALUE"""),45350.0)</f>
        <v>45350</v>
      </c>
      <c r="D1226" s="28">
        <f>IFERROR(__xludf.DUMMYFUNCTION("""COMPUTED_VALUE"""),45356.0)</f>
        <v>45356</v>
      </c>
      <c r="E1226" s="26">
        <f>IFERROR(__xludf.DUMMYFUNCTION("""COMPUTED_VALUE"""),289083.0)</f>
        <v>289083</v>
      </c>
      <c r="F1226" s="22" t="str">
        <f>IFERROR(__xludf.DUMMYFUNCTION("""COMPUTED_VALUE"""),"制裁クラス")</f>
        <v>制裁クラス</v>
      </c>
      <c r="G1226" s="11" t="str">
        <f>IFERROR(__xludf.DUMMYFUNCTION("""COMPUTED_VALUE"""),"1～4")</f>
        <v>1～4</v>
      </c>
      <c r="H1226" s="22" t="str">
        <f>IFERROR(__xludf.DUMMYFUNCTION("""COMPUTED_VALUE"""),"香穂")</f>
        <v>香穂</v>
      </c>
      <c r="I1226" s="22" t="str">
        <f>IFERROR(__xludf.DUMMYFUNCTION("""COMPUTED_VALUE"""),"青年")</f>
        <v>青年</v>
      </c>
      <c r="J1226" s="22"/>
      <c r="K1226" s="22"/>
      <c r="L1226" s="22" t="str">
        <f>IFERROR(__xludf.DUMMYFUNCTION("""COMPUTED_VALUE"""),"ファンギルド")</f>
        <v>ファンギルド</v>
      </c>
      <c r="M1226" s="23">
        <f>IFERROR(__xludf.DUMMYFUNCTION("""COMPUTED_VALUE"""),45373.0)</f>
        <v>45373</v>
      </c>
      <c r="N1226" s="23">
        <f>IFERROR(__xludf.DUMMYFUNCTION("""COMPUTED_VALUE"""),45408.0)</f>
        <v>45408</v>
      </c>
      <c r="O1226" s="20"/>
      <c r="P1226" s="32" t="str">
        <f>IFERROR(__xludf.DUMMYFUNCTION("""COMPUTED_VALUE"""),"可")</f>
        <v>可</v>
      </c>
      <c r="Q1226" s="30"/>
      <c r="R1226" s="22"/>
      <c r="S1226" s="22" t="str">
        <f>IFERROR(__xludf.DUMMYFUNCTION("""COMPUTED_VALUE"""),"20240228_ファンギルド_制裁クラス")</f>
        <v>20240228_ファンギルド_制裁クラス</v>
      </c>
      <c r="T1226" s="22" t="str">
        <f>IFERROR(__xludf.DUMMYFUNCTION("""COMPUTED_VALUE"""),"格納済み")</f>
        <v>格納済み</v>
      </c>
      <c r="U1226" s="15" t="str">
        <f>IFERROR(__xludf.DUMMYFUNCTION("""COMPUTED_VALUE"""),"©香穂/ファンギルド")</f>
        <v>©香穂/ファンギルド</v>
      </c>
      <c r="V1226" s="8" t="str">
        <f>IFERROR(__xludf.DUMMYFUNCTION("""COMPUTED_VALUE"""),"「クズ生徒による虐め」「被害者の自殺」「教員の退職」現代日本の教育制度はまさに崩壊寸前…！！ そんな学校教育を立て直す為、日本政府は『特別なライセンス』を発行。クズどもへの制裁行為が許される特別な教員を誕生させた。 物語の舞台は、問題児が通う私立高校。教員・朝賀伊吹（あさかいぶき）は、赴任した初日からクズ生徒から手厚い洗礼を受ける。好き勝手に暴れるクズたちに、朝賀は ”制裁” という名の正義の鉄槌を振り下ろす―――！！")</f>
        <v>「クズ生徒による虐め」「被害者の自殺」「教員の退職」現代日本の教育制度はまさに崩壊寸前…！！ そんな学校教育を立て直す為、日本政府は『特別なライセンス』を発行。クズどもへの制裁行為が許される特別な教員を誕生させた。 物語の舞台は、問題児が通う私立高校。教員・朝賀伊吹（あさかいぶき）は、赴任した初日からクズ生徒から手厚い洗礼を受ける。好き勝手に暴れるクズたちに、朝賀は ”制裁” という名の正義の鉄槌を振り下ろす―――！！</v>
      </c>
      <c r="W1226" s="14"/>
      <c r="X1226" s="14" t="str">
        <f>IFERROR(__xludf.DUMMYFUNCTION("""COMPUTED_VALUE"""),"有")</f>
        <v>有</v>
      </c>
      <c r="Y1226" s="8" t="str">
        <f>IFERROR(__xludf.DUMMYFUNCTION("""COMPUTED_VALUE"""),"P7まで")</f>
        <v>P7まで</v>
      </c>
      <c r="Z1226" s="7"/>
      <c r="AA1226" s="7"/>
      <c r="AB1226" s="7"/>
    </row>
    <row r="1227" ht="15.75" customHeight="1">
      <c r="A1227" s="26">
        <f>IFERROR(__xludf.DUMMYFUNCTION("""COMPUTED_VALUE"""),3021.0)</f>
        <v>3021</v>
      </c>
      <c r="B1227" s="22" t="str">
        <f>IFERROR(__xludf.DUMMYFUNCTION("""COMPUTED_VALUE"""),"確定")</f>
        <v>確定</v>
      </c>
      <c r="C1227" s="28">
        <f>IFERROR(__xludf.DUMMYFUNCTION("""COMPUTED_VALUE"""),45350.0)</f>
        <v>45350</v>
      </c>
      <c r="D1227" s="28">
        <f>IFERROR(__xludf.DUMMYFUNCTION("""COMPUTED_VALUE"""),45356.0)</f>
        <v>45356</v>
      </c>
      <c r="E1227" s="26">
        <f>IFERROR(__xludf.DUMMYFUNCTION("""COMPUTED_VALUE"""),289088.0)</f>
        <v>289088</v>
      </c>
      <c r="F1227" s="22" t="str">
        <f>IFERROR(__xludf.DUMMYFUNCTION("""COMPUTED_VALUE"""),"少女⇔傭兵の成り代わり~元騎士団長のおっさんは元に戻るため今日も令嬢のフリをする~")</f>
        <v>少女⇔傭兵の成り代わり~元騎士団長のおっさんは元に戻るため今日も令嬢のフリをする~</v>
      </c>
      <c r="G1227" s="20" t="str">
        <f>IFERROR(__xludf.DUMMYFUNCTION("""COMPUTED_VALUE"""),"1~5")</f>
        <v>1~5</v>
      </c>
      <c r="H1227" s="22" t="str">
        <f>IFERROR(__xludf.DUMMYFUNCTION("""COMPUTED_VALUE"""),"桝多またたび")</f>
        <v>桝多またたび</v>
      </c>
      <c r="I1227" s="22" t="str">
        <f>IFERROR(__xludf.DUMMYFUNCTION("""COMPUTED_VALUE"""),"青年")</f>
        <v>青年</v>
      </c>
      <c r="J1227" s="22"/>
      <c r="K1227" s="22"/>
      <c r="L1227" s="22" t="str">
        <f>IFERROR(__xludf.DUMMYFUNCTION("""COMPUTED_VALUE"""),"ファンギルド")</f>
        <v>ファンギルド</v>
      </c>
      <c r="M1227" s="23">
        <f>IFERROR(__xludf.DUMMYFUNCTION("""COMPUTED_VALUE"""),45373.0)</f>
        <v>45373</v>
      </c>
      <c r="N1227" s="23">
        <f>IFERROR(__xludf.DUMMYFUNCTION("""COMPUTED_VALUE"""),45433.0)</f>
        <v>45433</v>
      </c>
      <c r="O1227" s="20"/>
      <c r="P1227" s="32" t="str">
        <f>IFERROR(__xludf.DUMMYFUNCTION("""COMPUTED_VALUE"""),"可")</f>
        <v>可</v>
      </c>
      <c r="Q1227" s="30"/>
      <c r="R1227" s="22"/>
      <c r="S1227" s="22" t="str">
        <f>IFERROR(__xludf.DUMMYFUNCTION("""COMPUTED_VALUE"""),"20240228_ファンギルド_少女⇔傭兵の成り代わり")</f>
        <v>20240228_ファンギルド_少女⇔傭兵の成り代わり</v>
      </c>
      <c r="T1227" s="22" t="str">
        <f>IFERROR(__xludf.DUMMYFUNCTION("""COMPUTED_VALUE"""),"格納済み")</f>
        <v>格納済み</v>
      </c>
      <c r="U1227" s="15" t="str">
        <f>IFERROR(__xludf.DUMMYFUNCTION("""COMPUTED_VALUE"""),"©桝多またたび/久芳流/ファンギルド")</f>
        <v>©桝多またたび/久芳流/ファンギルド</v>
      </c>
      <c r="V1227" s="8" t="str">
        <f>IFERROR(__xludf.DUMMYFUNCTION("""COMPUTED_VALUE"""),"幼い令嬢とおっさんの傭兵が入れ替わる!?元騎士団長のギバ・フェルゼンは、退団するきっかけとなった事件を未だに忘れられないまま傭兵として生計を立てていた。ある日、騎士団の部下から「誘拐された令嬢リラ・ブラウンの身柄保護」の依頼が舞い込む。過去の事件と類似点の多い内容にギバは葛藤の末リラの救出に向かうが――敵の策略により二人の中身が入れ替わってしまう!!元に戻るまでの間お互いを演じながら手がかりを探していくが…それは前代未聞の事件の始まりだった――!!")</f>
        <v>幼い令嬢とおっさんの傭兵が入れ替わる!?元騎士団長のギバ・フェルゼンは、退団するきっかけとなった事件を未だに忘れられないまま傭兵として生計を立てていた。ある日、騎士団の部下から「誘拐された令嬢リラ・ブラウンの身柄保護」の依頼が舞い込む。過去の事件と類似点の多い内容にギバは葛藤の末リラの救出に向かうが――敵の策略により二人の中身が入れ替わってしまう!!元に戻るまでの間お互いを演じながら手がかりを探していくが…それは前代未聞の事件の始まりだった――!!</v>
      </c>
      <c r="W1227" s="14"/>
      <c r="X1227" s="14" t="str">
        <f>IFERROR(__xludf.DUMMYFUNCTION("""COMPUTED_VALUE"""),"有")</f>
        <v>有</v>
      </c>
      <c r="Y1227" s="8" t="str">
        <f>IFERROR(__xludf.DUMMYFUNCTION("""COMPUTED_VALUE"""),"P7まで")</f>
        <v>P7まで</v>
      </c>
      <c r="Z1227" s="7"/>
      <c r="AA1227" s="7"/>
      <c r="AB1227" s="7"/>
    </row>
    <row r="1228" ht="15.75" customHeight="1">
      <c r="A1228" s="26">
        <f>IFERROR(__xludf.DUMMYFUNCTION("""COMPUTED_VALUE"""),3022.0)</f>
        <v>3022</v>
      </c>
      <c r="B1228" s="22" t="str">
        <f>IFERROR(__xludf.DUMMYFUNCTION("""COMPUTED_VALUE"""),"確定")</f>
        <v>確定</v>
      </c>
      <c r="C1228" s="28">
        <f>IFERROR(__xludf.DUMMYFUNCTION("""COMPUTED_VALUE"""),45350.0)</f>
        <v>45350</v>
      </c>
      <c r="D1228" s="28">
        <f>IFERROR(__xludf.DUMMYFUNCTION("""COMPUTED_VALUE"""),45356.0)</f>
        <v>45356</v>
      </c>
      <c r="E1228" s="26">
        <f>IFERROR(__xludf.DUMMYFUNCTION("""COMPUTED_VALUE"""),289101.0)</f>
        <v>289101</v>
      </c>
      <c r="F1228" s="22" t="str">
        <f>IFERROR(__xludf.DUMMYFUNCTION("""COMPUTED_VALUE"""),"訳あり転生者の私、最愛の黒騎士様を護ります")</f>
        <v>訳あり転生者の私、最愛の黒騎士様を護ります</v>
      </c>
      <c r="G1228" s="11" t="str">
        <f>IFERROR(__xludf.DUMMYFUNCTION("""COMPUTED_VALUE"""),"1～4")</f>
        <v>1～4</v>
      </c>
      <c r="H1228" s="22" t="str">
        <f>IFERROR(__xludf.DUMMYFUNCTION("""COMPUTED_VALUE"""),"poni")</f>
        <v>poni</v>
      </c>
      <c r="I1228" s="22" t="str">
        <f>IFERROR(__xludf.DUMMYFUNCTION("""COMPUTED_VALUE"""),"少女")</f>
        <v>少女</v>
      </c>
      <c r="J1228" s="22"/>
      <c r="K1228" s="22"/>
      <c r="L1228" s="22" t="str">
        <f>IFERROR(__xludf.DUMMYFUNCTION("""COMPUTED_VALUE"""),"ファンギルド")</f>
        <v>ファンギルド</v>
      </c>
      <c r="M1228" s="23">
        <f>IFERROR(__xludf.DUMMYFUNCTION("""COMPUTED_VALUE"""),45378.0)</f>
        <v>45378</v>
      </c>
      <c r="N1228" s="23">
        <f>IFERROR(__xludf.DUMMYFUNCTION("""COMPUTED_VALUE"""),45405.0)</f>
        <v>45405</v>
      </c>
      <c r="O1228" s="20"/>
      <c r="P1228" s="32" t="str">
        <f>IFERROR(__xludf.DUMMYFUNCTION("""COMPUTED_VALUE"""),"可")</f>
        <v>可</v>
      </c>
      <c r="Q1228" s="30"/>
      <c r="R1228" s="22"/>
      <c r="S1228" s="22" t="str">
        <f>IFERROR(__xludf.DUMMYFUNCTION("""COMPUTED_VALUE"""),"20240228_ファンギルド_訳あり転生者の私、最愛の騎士団長様を護ります")</f>
        <v>20240228_ファンギルド_訳あり転生者の私、最愛の騎士団長様を護ります</v>
      </c>
      <c r="T1228" s="22" t="str">
        <f>IFERROR(__xludf.DUMMYFUNCTION("""COMPUTED_VALUE"""),"格納済み")</f>
        <v>格納済み</v>
      </c>
      <c r="U1228" s="15" t="str">
        <f>IFERROR(__xludf.DUMMYFUNCTION("""COMPUTED_VALUE"""),"©poni/Ikuka Saibara/FUNGUILD")</f>
        <v>©poni/Ikuka Saibara/FUNGUILD</v>
      </c>
      <c r="V1228" s="8" t="str">
        <f>IFERROR(__xludf.DUMMYFUNCTION("""COMPUTED_VALUE"""),"ある日突然、推しがいる世界に酒場娘として転生してしまった普通のOL・松永百合。転生前に、推しのバッドエンドを先読みしてしまった百合は「ユリウス」と改名し、推しを守るため情報を探り始めることに――そこでは「不浄の黒騎士・テオバルト」と呼ばれて、町中からの悪口が飛び交っていた。そんな中、テオバルト本人が酒場に現れ、質の悪い客とトラブルに…！その様を見たユリウスは急に力が発揮し、店の一部を破壊してしまう！「この力をうまく利用すれば推しのテオバルトを守れるのでは…？」と、ユリウスは男騎士となり、王国騎士団へ目指す"&amp;"ことに…！")</f>
        <v>ある日突然、推しがいる世界に酒場娘として転生してしまった普通のOL・松永百合。転生前に、推しのバッドエンドを先読みしてしまった百合は「ユリウス」と改名し、推しを守るため情報を探り始めることに――そこでは「不浄の黒騎士・テオバルト」と呼ばれて、町中からの悪口が飛び交っていた。そんな中、テオバルト本人が酒場に現れ、質の悪い客とトラブルに…！その様を見たユリウスは急に力が発揮し、店の一部を破壊してしまう！「この力をうまく利用すれば推しのテオバルトを守れるのでは…？」と、ユリウスは男騎士となり、王国騎士団へ目指すことに…！</v>
      </c>
      <c r="W1228" s="14"/>
      <c r="X1228" s="14" t="str">
        <f>IFERROR(__xludf.DUMMYFUNCTION("""COMPUTED_VALUE"""),"有")</f>
        <v>有</v>
      </c>
      <c r="Y1228" s="8" t="str">
        <f>IFERROR(__xludf.DUMMYFUNCTION("""COMPUTED_VALUE"""),"2024/4/9まで1巻無料")</f>
        <v>2024/4/9まで1巻無料</v>
      </c>
      <c r="Z1228" s="7"/>
      <c r="AA1228" s="7"/>
      <c r="AB1228" s="7"/>
    </row>
    <row r="1229" ht="15.75" customHeight="1">
      <c r="A1229" s="26">
        <f>IFERROR(__xludf.DUMMYFUNCTION("""COMPUTED_VALUE"""),3023.0)</f>
        <v>3023</v>
      </c>
      <c r="B1229" s="22" t="str">
        <f>IFERROR(__xludf.DUMMYFUNCTION("""COMPUTED_VALUE"""),"確定")</f>
        <v>確定</v>
      </c>
      <c r="C1229" s="28">
        <f>IFERROR(__xludf.DUMMYFUNCTION("""COMPUTED_VALUE"""),45350.0)</f>
        <v>45350</v>
      </c>
      <c r="D1229" s="28">
        <f>IFERROR(__xludf.DUMMYFUNCTION("""COMPUTED_VALUE"""),45356.0)</f>
        <v>45356</v>
      </c>
      <c r="E1229" s="26">
        <f>IFERROR(__xludf.DUMMYFUNCTION("""COMPUTED_VALUE"""),289102.0)</f>
        <v>289102</v>
      </c>
      <c r="F1229" s="22" t="str">
        <f>IFERROR(__xludf.DUMMYFUNCTION("""COMPUTED_VALUE"""),"黒沢恭也は逃がさない")</f>
        <v>黒沢恭也は逃がさない</v>
      </c>
      <c r="G1229" s="11" t="str">
        <f>IFERROR(__xludf.DUMMYFUNCTION("""COMPUTED_VALUE"""),"1～4")</f>
        <v>1～4</v>
      </c>
      <c r="H1229" s="22" t="str">
        <f>IFERROR(__xludf.DUMMYFUNCTION("""COMPUTED_VALUE"""),"月木キヌ")</f>
        <v>月木キヌ</v>
      </c>
      <c r="I1229" s="22" t="str">
        <f>IFERROR(__xludf.DUMMYFUNCTION("""COMPUTED_VALUE"""),"女性")</f>
        <v>女性</v>
      </c>
      <c r="J1229" s="22"/>
      <c r="K1229" s="22"/>
      <c r="L1229" s="22" t="str">
        <f>IFERROR(__xludf.DUMMYFUNCTION("""COMPUTED_VALUE"""),"ファンギルド")</f>
        <v>ファンギルド</v>
      </c>
      <c r="M1229" s="23">
        <f>IFERROR(__xludf.DUMMYFUNCTION("""COMPUTED_VALUE"""),45378.0)</f>
        <v>45378</v>
      </c>
      <c r="N1229" s="23">
        <f>IFERROR(__xludf.DUMMYFUNCTION("""COMPUTED_VALUE"""),45405.0)</f>
        <v>45405</v>
      </c>
      <c r="O1229" s="20"/>
      <c r="P1229" s="32" t="str">
        <f>IFERROR(__xludf.DUMMYFUNCTION("""COMPUTED_VALUE"""),"可")</f>
        <v>可</v>
      </c>
      <c r="Q1229" s="30"/>
      <c r="R1229" s="22"/>
      <c r="S1229" s="22" t="str">
        <f>IFERROR(__xludf.DUMMYFUNCTION("""COMPUTED_VALUE"""),"20240228_ファンギルド_黒沢恭也は逃がさない")</f>
        <v>20240228_ファンギルド_黒沢恭也は逃がさない</v>
      </c>
      <c r="T1229" s="22" t="str">
        <f>IFERROR(__xludf.DUMMYFUNCTION("""COMPUTED_VALUE"""),"格納済み")</f>
        <v>格納済み</v>
      </c>
      <c r="U1229" s="15" t="str">
        <f>IFERROR(__xludf.DUMMYFUNCTION("""COMPUTED_VALUE"""),"©月木キヌ/ファンギルド")</f>
        <v>©月木キヌ/ファンギルド</v>
      </c>
      <c r="V1229" s="8" t="str">
        <f>IFERROR(__xludf.DUMMYFUNCTION("""COMPUTED_VALUE"""),"「アンタは何日もつか楽しみだな」花屋で住み込みで働く如月紗花。実は彼女の家族は、全員芸能人の芸能一家。紗花自身も芸能活動をしていた経歴があるが、それを周囲には隠すよう日々を送っていた。ある日、花屋の主人に店をたたむと言われ、いきなり無職となった紗花は仕方なく実家へ戻ることに。自分の事務所でマネージャーとして働くことになった紗花は、稼ぎ頭の若手俳優・黒沢恭也の担当につくが…まず彼の第一印象がサイアク！この先、身が持つのだろうか…!?")</f>
        <v>「アンタは何日もつか楽しみだな」花屋で住み込みで働く如月紗花。実は彼女の家族は、全員芸能人の芸能一家。紗花自身も芸能活動をしていた経歴があるが、それを周囲には隠すよう日々を送っていた。ある日、花屋の主人に店をたたむと言われ、いきなり無職となった紗花は仕方なく実家へ戻ることに。自分の事務所でマネージャーとして働くことになった紗花は、稼ぎ頭の若手俳優・黒沢恭也の担当につくが…まず彼の第一印象がサイアク！この先、身が持つのだろうか…!?</v>
      </c>
      <c r="W1229" s="14"/>
      <c r="X1229" s="14" t="str">
        <f>IFERROR(__xludf.DUMMYFUNCTION("""COMPUTED_VALUE"""),"有")</f>
        <v>有</v>
      </c>
      <c r="Y1229" s="8" t="str">
        <f>IFERROR(__xludf.DUMMYFUNCTION("""COMPUTED_VALUE"""),"2024/4/9まで1巻無料")</f>
        <v>2024/4/9まで1巻無料</v>
      </c>
      <c r="Z1229" s="7"/>
      <c r="AA1229" s="7"/>
      <c r="AB1229" s="7"/>
    </row>
    <row r="1230" ht="15.75" customHeight="1">
      <c r="A1230" s="26">
        <f>IFERROR(__xludf.DUMMYFUNCTION("""COMPUTED_VALUE"""),3024.0)</f>
        <v>3024</v>
      </c>
      <c r="B1230" s="22" t="str">
        <f>IFERROR(__xludf.DUMMYFUNCTION("""COMPUTED_VALUE"""),"確定")</f>
        <v>確定</v>
      </c>
      <c r="C1230" s="28">
        <f>IFERROR(__xludf.DUMMYFUNCTION("""COMPUTED_VALUE"""),45350.0)</f>
        <v>45350</v>
      </c>
      <c r="D1230" s="28">
        <f>IFERROR(__xludf.DUMMYFUNCTION("""COMPUTED_VALUE"""),45356.0)</f>
        <v>45356</v>
      </c>
      <c r="E1230" s="26">
        <f>IFERROR(__xludf.DUMMYFUNCTION("""COMPUTED_VALUE"""),289103.0)</f>
        <v>289103</v>
      </c>
      <c r="F1230" s="22" t="str">
        <f>IFERROR(__xludf.DUMMYFUNCTION("""COMPUTED_VALUE"""),"問題がある出会い")</f>
        <v>問題がある出会い</v>
      </c>
      <c r="G1230" s="11" t="str">
        <f>IFERROR(__xludf.DUMMYFUNCTION("""COMPUTED_VALUE"""),"1～4")</f>
        <v>1～4</v>
      </c>
      <c r="H1230" s="22" t="str">
        <f>IFERROR(__xludf.DUMMYFUNCTION("""COMPUTED_VALUE"""),"弘瀬とろ")</f>
        <v>弘瀬とろ</v>
      </c>
      <c r="I1230" s="22" t="str">
        <f>IFERROR(__xludf.DUMMYFUNCTION("""COMPUTED_VALUE"""),"女性")</f>
        <v>女性</v>
      </c>
      <c r="J1230" s="22"/>
      <c r="K1230" s="22"/>
      <c r="L1230" s="22" t="str">
        <f>IFERROR(__xludf.DUMMYFUNCTION("""COMPUTED_VALUE"""),"ファンギルド")</f>
        <v>ファンギルド</v>
      </c>
      <c r="M1230" s="23">
        <f>IFERROR(__xludf.DUMMYFUNCTION("""COMPUTED_VALUE"""),45378.0)</f>
        <v>45378</v>
      </c>
      <c r="N1230" s="23">
        <f>IFERROR(__xludf.DUMMYFUNCTION("""COMPUTED_VALUE"""),45405.0)</f>
        <v>45405</v>
      </c>
      <c r="O1230" s="20"/>
      <c r="P1230" s="32" t="str">
        <f>IFERROR(__xludf.DUMMYFUNCTION("""COMPUTED_VALUE"""),"可")</f>
        <v>可</v>
      </c>
      <c r="Q1230" s="30"/>
      <c r="R1230" s="22"/>
      <c r="S1230" s="22" t="str">
        <f>IFERROR(__xludf.DUMMYFUNCTION("""COMPUTED_VALUE"""),"20240228_ファンギルド_問題がある出会い")</f>
        <v>20240228_ファンギルド_問題がある出会い</v>
      </c>
      <c r="T1230" s="22" t="str">
        <f>IFERROR(__xludf.DUMMYFUNCTION("""COMPUTED_VALUE"""),"格納済み")</f>
        <v>格納済み</v>
      </c>
      <c r="U1230" s="15" t="str">
        <f>IFERROR(__xludf.DUMMYFUNCTION("""COMPUTED_VALUE"""),"©弘瀬とろ/ファンギルド")</f>
        <v>©弘瀬とろ/ファンギルド</v>
      </c>
      <c r="V1230" s="8" t="str">
        <f>IFERROR(__xludf.DUMMYFUNCTION("""COMPUTED_VALUE"""),"物心がつく頃から、小説家志望だった明里。しかし、学生時代に小説仲間から酷い仕打ちを受けてから、筆を折り、小説から遠ざけてしまった。それでも、諦めた夢を再び思い出させることがあって荒れていた明里の前に、ひとりのカメラマンの青年に許可もなく撮られてしまった…!?それから彼は、明里の職場に現れて「俺と付き合ってほしい」とまで言い出してきて…っ「謎の彼」との出会いによって、明里の人生が大きく一変──!?")</f>
        <v>物心がつく頃から、小説家志望だった明里。しかし、学生時代に小説仲間から酷い仕打ちを受けてから、筆を折り、小説から遠ざけてしまった。それでも、諦めた夢を再び思い出させることがあって荒れていた明里の前に、ひとりのカメラマンの青年に許可もなく撮られてしまった…!?それから彼は、明里の職場に現れて「俺と付き合ってほしい」とまで言い出してきて…っ「謎の彼」との出会いによって、明里の人生が大きく一変──!?</v>
      </c>
      <c r="W1230" s="14"/>
      <c r="X1230" s="14" t="str">
        <f>IFERROR(__xludf.DUMMYFUNCTION("""COMPUTED_VALUE"""),"有")</f>
        <v>有</v>
      </c>
      <c r="Y1230" s="8" t="str">
        <f>IFERROR(__xludf.DUMMYFUNCTION("""COMPUTED_VALUE"""),"2024/4/9まで1巻無料")</f>
        <v>2024/4/9まで1巻無料</v>
      </c>
      <c r="Z1230" s="7"/>
      <c r="AA1230" s="7"/>
      <c r="AB1230" s="7"/>
    </row>
    <row r="1231" ht="15.75" customHeight="1">
      <c r="A1231" s="26">
        <f>IFERROR(__xludf.DUMMYFUNCTION("""COMPUTED_VALUE"""),3033.0)</f>
        <v>3033</v>
      </c>
      <c r="B1231" s="22" t="str">
        <f>IFERROR(__xludf.DUMMYFUNCTION("""COMPUTED_VALUE"""),"確定")</f>
        <v>確定</v>
      </c>
      <c r="C1231" s="28">
        <f>IFERROR(__xludf.DUMMYFUNCTION("""COMPUTED_VALUE"""),45351.0)</f>
        <v>45351</v>
      </c>
      <c r="D1231" s="28">
        <f>IFERROR(__xludf.DUMMYFUNCTION("""COMPUTED_VALUE"""),45356.0)</f>
        <v>45356</v>
      </c>
      <c r="E1231" s="26">
        <f>IFERROR(__xludf.DUMMYFUNCTION("""COMPUTED_VALUE"""),288566.0)</f>
        <v>288566</v>
      </c>
      <c r="F1231" s="22" t="str">
        <f>IFERROR(__xludf.DUMMYFUNCTION("""COMPUTED_VALUE"""),"黒猫と召し使いのアリス")</f>
        <v>黒猫と召し使いのアリス</v>
      </c>
      <c r="G1231" s="11" t="str">
        <f>IFERROR(__xludf.DUMMYFUNCTION("""COMPUTED_VALUE"""),"1～2")</f>
        <v>1～2</v>
      </c>
      <c r="H1231" s="22" t="str">
        <f>IFERROR(__xludf.DUMMYFUNCTION("""COMPUTED_VALUE"""),"橘歩空")</f>
        <v>橘歩空</v>
      </c>
      <c r="I1231" s="22" t="str">
        <f>IFERROR(__xludf.DUMMYFUNCTION("""COMPUTED_VALUE"""),"女性")</f>
        <v>女性</v>
      </c>
      <c r="J1231" s="22"/>
      <c r="K1231" s="22"/>
      <c r="L1231" s="22" t="str">
        <f>IFERROR(__xludf.DUMMYFUNCTION("""COMPUTED_VALUE"""),"コミックルーム")</f>
        <v>コミックルーム</v>
      </c>
      <c r="M1231" s="23">
        <f>IFERROR(__xludf.DUMMYFUNCTION("""COMPUTED_VALUE"""),45366.0)</f>
        <v>45366</v>
      </c>
      <c r="N1231" s="23">
        <f>IFERROR(__xludf.DUMMYFUNCTION("""COMPUTED_VALUE"""),45456.0)</f>
        <v>45456</v>
      </c>
      <c r="O1231" s="20"/>
      <c r="P1231" s="32" t="str">
        <f>IFERROR(__xludf.DUMMYFUNCTION("""COMPUTED_VALUE"""),"可")</f>
        <v>可</v>
      </c>
      <c r="Q1231" s="30"/>
      <c r="R1231" s="22"/>
      <c r="S1231" s="22" t="str">
        <f>IFERROR(__xludf.DUMMYFUNCTION("""COMPUTED_VALUE"""),"20240229_コミックルーム_3月新作")</f>
        <v>20240229_コミックルーム_3月新作</v>
      </c>
      <c r="T1231" s="22" t="str">
        <f>IFERROR(__xludf.DUMMYFUNCTION("""COMPUTED_VALUE"""),"2巻目素材確認中(3/5)")</f>
        <v>2巻目素材確認中(3/5)</v>
      </c>
      <c r="U1231" s="15" t="str">
        <f>IFERROR(__xludf.DUMMYFUNCTION("""COMPUTED_VALUE"""),"©橘歩空")</f>
        <v>©橘歩空</v>
      </c>
      <c r="V1231" s="8" t="str">
        <f>IFERROR(__xludf.DUMMYFUNCTION("""COMPUTED_VALUE"""),"事故で両親を失い、叔母の家に引き取られた少女アリス。そこで彼女は、過酷な労働を強いられ、叔母の気分次第で殴られる奴隷同然の日々を送っていた。
そんなある日、アリスは庭で一匹の傷付いた黒猫を拾う。黒猫との生活で、苦境の中にも小さな幸せを感じるアリスだったが、ついに過度な労働がたたり、高熱で倒れてしまう。叔母は弱ったアリスを働かせようと暴力を振るうが、その瞬間、なんと黒猫が人へと姿を変えて…？")</f>
        <v>事故で両親を失い、叔母の家に引き取られた少女アリス。そこで彼女は、過酷な労働を強いられ、叔母の気分次第で殴られる奴隷同然の日々を送っていた。
そんなある日、アリスは庭で一匹の傷付いた黒猫を拾う。黒猫との生活で、苦境の中にも小さな幸せを感じるアリスだったが、ついに過度な労働がたたり、高熱で倒れてしまう。叔母は弱ったアリスを働かせようと暴力を振るうが、その瞬間、なんと黒猫が人へと姿を変えて…？</v>
      </c>
      <c r="W1231" s="14"/>
      <c r="X1231" s="14" t="str">
        <f>IFERROR(__xludf.DUMMYFUNCTION("""COMPUTED_VALUE"""),"有")</f>
        <v>有</v>
      </c>
      <c r="Y1231" s="8" t="str">
        <f>IFERROR(__xludf.DUMMYFUNCTION("""COMPUTED_VALUE"""),"P9まで")</f>
        <v>P9まで</v>
      </c>
      <c r="Z1231" s="7"/>
      <c r="AA1231" s="7"/>
      <c r="AB1231" s="7"/>
    </row>
    <row r="1232" ht="15.75" customHeight="1">
      <c r="A1232" s="26">
        <f>IFERROR(__xludf.DUMMYFUNCTION("""COMPUTED_VALUE"""),3034.0)</f>
        <v>3034</v>
      </c>
      <c r="B1232" s="22" t="str">
        <f>IFERROR(__xludf.DUMMYFUNCTION("""COMPUTED_VALUE"""),"確定")</f>
        <v>確定</v>
      </c>
      <c r="C1232" s="28">
        <f>IFERROR(__xludf.DUMMYFUNCTION("""COMPUTED_VALUE"""),45351.0)</f>
        <v>45351</v>
      </c>
      <c r="D1232" s="28">
        <f>IFERROR(__xludf.DUMMYFUNCTION("""COMPUTED_VALUE"""),45356.0)</f>
        <v>45356</v>
      </c>
      <c r="E1232" s="26">
        <f>IFERROR(__xludf.DUMMYFUNCTION("""COMPUTED_VALUE"""),288567.0)</f>
        <v>288567</v>
      </c>
      <c r="F1232" s="22" t="str">
        <f>IFERROR(__xludf.DUMMYFUNCTION("""COMPUTED_VALUE"""),"推し顔に転生した悪役令嬢は世界の全てを愛しています")</f>
        <v>推し顔に転生した悪役令嬢は世界の全てを愛しています</v>
      </c>
      <c r="G1232" s="11" t="str">
        <f>IFERROR(__xludf.DUMMYFUNCTION("""COMPUTED_VALUE"""),"1～4")</f>
        <v>1～4</v>
      </c>
      <c r="H1232" s="22" t="str">
        <f>IFERROR(__xludf.DUMMYFUNCTION("""COMPUTED_VALUE"""),"木ノ竹のこ／COMIC ROOM")</f>
        <v>木ノ竹のこ／COMIC ROOM</v>
      </c>
      <c r="I1232" s="22" t="str">
        <f>IFERROR(__xludf.DUMMYFUNCTION("""COMPUTED_VALUE"""),"女性")</f>
        <v>女性</v>
      </c>
      <c r="J1232" s="22"/>
      <c r="K1232" s="22"/>
      <c r="L1232" s="22" t="str">
        <f>IFERROR(__xludf.DUMMYFUNCTION("""COMPUTED_VALUE"""),"コミックルーム")</f>
        <v>コミックルーム</v>
      </c>
      <c r="M1232" s="23">
        <f>IFERROR(__xludf.DUMMYFUNCTION("""COMPUTED_VALUE"""),45366.0)</f>
        <v>45366</v>
      </c>
      <c r="N1232" s="23">
        <f>IFERROR(__xludf.DUMMYFUNCTION("""COMPUTED_VALUE"""),45456.0)</f>
        <v>45456</v>
      </c>
      <c r="O1232" s="20"/>
      <c r="P1232" s="32" t="str">
        <f>IFERROR(__xludf.DUMMYFUNCTION("""COMPUTED_VALUE"""),"可")</f>
        <v>可</v>
      </c>
      <c r="Q1232" s="30"/>
      <c r="R1232" s="22"/>
      <c r="S1232" s="22" t="str">
        <f>IFERROR(__xludf.DUMMYFUNCTION("""COMPUTED_VALUE"""),"20240229_コミックルーム_3月新作")</f>
        <v>20240229_コミックルーム_3月新作</v>
      </c>
      <c r="T1232" s="22" t="str">
        <f>IFERROR(__xludf.DUMMYFUNCTION("""COMPUTED_VALUE"""),"格納済み")</f>
        <v>格納済み</v>
      </c>
      <c r="U1232" s="15" t="str">
        <f>IFERROR(__xludf.DUMMYFUNCTION("""COMPUTED_VALUE"""),"©木ノ竹のこ／COMIC ROOM")</f>
        <v>©木ノ竹のこ／COMIC ROOM</v>
      </c>
      <c r="V1232" s="8" t="str">
        <f>IFERROR(__xludf.DUMMYFUNCTION("""COMPUTED_VALUE"""),"「私の顔…めっちゃ良くない！？」
事故死したOLは、大好きな乙女ゲームの悪役令嬢・マリァに転生していた。
推し作家が描く美男美女だらけの世界に入り込んだ彼女は大興奮！
しかも、この世界でも最強のルックスを誇る婚約者までいて、
幸せのボルテージは最高潮！
だが、至福のセカンドライフを満喫しているマリァの前に、
正ヒロイン・モエが突如現れる。
一見清楚にみえる彼女だが、その裏は狡猾な極悪女で…？")</f>
        <v>「私の顔…めっちゃ良くない！？」
事故死したOLは、大好きな乙女ゲームの悪役令嬢・マリァに転生していた。
推し作家が描く美男美女だらけの世界に入り込んだ彼女は大興奮！
しかも、この世界でも最強のルックスを誇る婚約者までいて、
幸せのボルテージは最高潮！
だが、至福のセカンドライフを満喫しているマリァの前に、
正ヒロイン・モエが突如現れる。
一見清楚にみえる彼女だが、その裏は狡猾な極悪女で…？</v>
      </c>
      <c r="W1232" s="14"/>
      <c r="X1232" s="14" t="str">
        <f>IFERROR(__xludf.DUMMYFUNCTION("""COMPUTED_VALUE"""),"有")</f>
        <v>有</v>
      </c>
      <c r="Y1232" s="8" t="str">
        <f>IFERROR(__xludf.DUMMYFUNCTION("""COMPUTED_VALUE"""),"P9まで")</f>
        <v>P9まで</v>
      </c>
      <c r="Z1232" s="7"/>
      <c r="AA1232" s="7"/>
      <c r="AB1232" s="7"/>
    </row>
    <row r="1233" ht="15.75" customHeight="1">
      <c r="A1233" s="26">
        <f>IFERROR(__xludf.DUMMYFUNCTION("""COMPUTED_VALUE"""),3035.0)</f>
        <v>3035</v>
      </c>
      <c r="B1233" s="22" t="str">
        <f>IFERROR(__xludf.DUMMYFUNCTION("""COMPUTED_VALUE"""),"確定")</f>
        <v>確定</v>
      </c>
      <c r="C1233" s="28">
        <f>IFERROR(__xludf.DUMMYFUNCTION("""COMPUTED_VALUE"""),45351.0)</f>
        <v>45351</v>
      </c>
      <c r="D1233" s="28">
        <f>IFERROR(__xludf.DUMMYFUNCTION("""COMPUTED_VALUE"""),45356.0)</f>
        <v>45356</v>
      </c>
      <c r="E1233" s="26">
        <f>IFERROR(__xludf.DUMMYFUNCTION("""COMPUTED_VALUE"""),288568.0)</f>
        <v>288568</v>
      </c>
      <c r="F1233" s="22" t="str">
        <f>IFERROR(__xludf.DUMMYFUNCTION("""COMPUTED_VALUE"""),"伯爵令嬢ですが結婚直前に生贄に選ばれてしまったので、邪竜と結婚しようと思います！")</f>
        <v>伯爵令嬢ですが結婚直前に生贄に選ばれてしまったので、邪竜と結婚しようと思います！</v>
      </c>
      <c r="G1233" s="11" t="str">
        <f>IFERROR(__xludf.DUMMYFUNCTION("""COMPUTED_VALUE"""),"1～4")</f>
        <v>1～4</v>
      </c>
      <c r="H1233" s="22" t="str">
        <f>IFERROR(__xludf.DUMMYFUNCTION("""COMPUTED_VALUE"""),"米田マリコ／COMIC ROOM")</f>
        <v>米田マリコ／COMIC ROOM</v>
      </c>
      <c r="I1233" s="22" t="str">
        <f>IFERROR(__xludf.DUMMYFUNCTION("""COMPUTED_VALUE"""),"女性")</f>
        <v>女性</v>
      </c>
      <c r="J1233" s="22"/>
      <c r="K1233" s="22"/>
      <c r="L1233" s="22" t="str">
        <f>IFERROR(__xludf.DUMMYFUNCTION("""COMPUTED_VALUE"""),"コミックルーム")</f>
        <v>コミックルーム</v>
      </c>
      <c r="M1233" s="23">
        <f>IFERROR(__xludf.DUMMYFUNCTION("""COMPUTED_VALUE"""),45366.0)</f>
        <v>45366</v>
      </c>
      <c r="N1233" s="23">
        <f>IFERROR(__xludf.DUMMYFUNCTION("""COMPUTED_VALUE"""),45456.0)</f>
        <v>45456</v>
      </c>
      <c r="O1233" s="20"/>
      <c r="P1233" s="32" t="str">
        <f>IFERROR(__xludf.DUMMYFUNCTION("""COMPUTED_VALUE"""),"可")</f>
        <v>可</v>
      </c>
      <c r="Q1233" s="30"/>
      <c r="R1233" s="22"/>
      <c r="S1233" s="22" t="str">
        <f>IFERROR(__xludf.DUMMYFUNCTION("""COMPUTED_VALUE"""),"20240229_コミックルーム_3月新作")</f>
        <v>20240229_コミックルーム_3月新作</v>
      </c>
      <c r="T1233" s="22" t="str">
        <f>IFERROR(__xludf.DUMMYFUNCTION("""COMPUTED_VALUE"""),"格納済み")</f>
        <v>格納済み</v>
      </c>
      <c r="U1233" s="15" t="str">
        <f>IFERROR(__xludf.DUMMYFUNCTION("""COMPUTED_VALUE"""),"©米田マリコ／COMIC ROOM")</f>
        <v>©米田マリコ／COMIC ROOM</v>
      </c>
      <c r="V1233" s="8" t="str">
        <f>IFERROR(__xludf.DUMMYFUNCTION("""COMPUTED_VALUE"""),"結婚ができるなら、死んでも構わない。
常々そう考えて生きてきた伯爵令嬢のエミリアは、
結婚式を目前にして婚約を破棄されてしまう。
理由は、彼女が邪竜の生贄に選ばれてしまったこと。
逆らうこともできず邪竜の棲家へ送られたエミリアだが、
そこで運命の相手と出会い――!?
結婚したすぎる令嬢と、人間に興味のない邪竜が織りなす、
異種恋愛令嬢ファンタジー!!")</f>
        <v>結婚ができるなら、死んでも構わない。
常々そう考えて生きてきた伯爵令嬢のエミリアは、
結婚式を目前にして婚約を破棄されてしまう。
理由は、彼女が邪竜の生贄に選ばれてしまったこと。
逆らうこともできず邪竜の棲家へ送られたエミリアだが、
そこで運命の相手と出会い――!?
結婚したすぎる令嬢と、人間に興味のない邪竜が織りなす、
異種恋愛令嬢ファンタジー!!</v>
      </c>
      <c r="W1233" s="14"/>
      <c r="X1233" s="14" t="str">
        <f>IFERROR(__xludf.DUMMYFUNCTION("""COMPUTED_VALUE"""),"有")</f>
        <v>有</v>
      </c>
      <c r="Y1233" s="8" t="str">
        <f>IFERROR(__xludf.DUMMYFUNCTION("""COMPUTED_VALUE"""),"P9まで")</f>
        <v>P9まで</v>
      </c>
      <c r="Z1233" s="7"/>
      <c r="AA1233" s="7"/>
      <c r="AB1233" s="7"/>
    </row>
    <row r="1234" ht="15.75" customHeight="1">
      <c r="A1234" s="26">
        <f>IFERROR(__xludf.DUMMYFUNCTION("""COMPUTED_VALUE"""),3046.0)</f>
        <v>3046</v>
      </c>
      <c r="B1234" s="22" t="str">
        <f>IFERROR(__xludf.DUMMYFUNCTION("""COMPUTED_VALUE"""),"確定")</f>
        <v>確定</v>
      </c>
      <c r="C1234" s="28">
        <f>IFERROR(__xludf.DUMMYFUNCTION("""COMPUTED_VALUE"""),45355.0)</f>
        <v>45355</v>
      </c>
      <c r="D1234" s="28">
        <f>IFERROR(__xludf.DUMMYFUNCTION("""COMPUTED_VALUE"""),45356.0)</f>
        <v>45356</v>
      </c>
      <c r="E1234" s="26">
        <f>IFERROR(__xludf.DUMMYFUNCTION("""COMPUTED_VALUE"""),289316.0)</f>
        <v>289316</v>
      </c>
      <c r="F1234" s="22" t="str">
        <f>IFERROR(__xludf.DUMMYFUNCTION("""COMPUTED_VALUE"""),"可愛い上司を奥までいじめていいですか？")</f>
        <v>可愛い上司を奥までいじめていいですか？</v>
      </c>
      <c r="G1234" s="11" t="str">
        <f>IFERROR(__xludf.DUMMYFUNCTION("""COMPUTED_VALUE"""),"1～2")</f>
        <v>1～2</v>
      </c>
      <c r="H1234" s="22" t="str">
        <f>IFERROR(__xludf.DUMMYFUNCTION("""COMPUTED_VALUE"""),"由元千子")</f>
        <v>由元千子</v>
      </c>
      <c r="I1234" s="22" t="str">
        <f>IFERROR(__xludf.DUMMYFUNCTION("""COMPUTED_VALUE"""),"BL")</f>
        <v>BL</v>
      </c>
      <c r="J1234" s="22"/>
      <c r="K1234" s="22"/>
      <c r="L1234" s="22" t="str">
        <f>IFERROR(__xludf.DUMMYFUNCTION("""COMPUTED_VALUE"""),"モバイルメディアリサーチ")</f>
        <v>モバイルメディアリサーチ</v>
      </c>
      <c r="M1234" s="23">
        <f>IFERROR(__xludf.DUMMYFUNCTION("""COMPUTED_VALUE"""),45380.0)</f>
        <v>45380</v>
      </c>
      <c r="N1234" s="23">
        <f>IFERROR(__xludf.DUMMYFUNCTION("""COMPUTED_VALUE"""),45407.0)</f>
        <v>45407</v>
      </c>
      <c r="O1234" s="20"/>
      <c r="P1234" s="34" t="str">
        <f>IFERROR(__xludf.DUMMYFUNCTION("""COMPUTED_VALUE"""),"可")</f>
        <v>可</v>
      </c>
      <c r="Q1234" s="30" t="str">
        <f>IFERROR(__xludf.DUMMYFUNCTION("""COMPUTED_VALUE"""),"レンタとの2社先行です")</f>
        <v>レンタとの2社先行です</v>
      </c>
      <c r="R1234" s="22"/>
      <c r="S1234" s="22" t="str">
        <f>IFERROR(__xludf.DUMMYFUNCTION("""COMPUTED_VALUE"""),"20240304_ファンギルド_可愛い上司を奥までいじめていいですか？")</f>
        <v>20240304_ファンギルド_可愛い上司を奥までいじめていいですか？</v>
      </c>
      <c r="T1234" s="22" t="str">
        <f>IFERROR(__xludf.DUMMYFUNCTION("""COMPUTED_VALUE"""),"格納済み")</f>
        <v>格納済み</v>
      </c>
      <c r="U1234" s="15" t="str">
        <f>IFERROR(__xludf.DUMMYFUNCTION("""COMPUTED_VALUE"""),"©由元千子/MMR")</f>
        <v>©由元千子/MMR</v>
      </c>
      <c r="V1234" s="8" t="str">
        <f>IFERROR(__xludf.DUMMYFUNCTION("""COMPUTED_VALUE"""),"コワモテで周囲から恐れられている経理部課長の茂住にはヒミツがある。それは可愛いものや甘いものが大・大・大好きなこと！こんなおじさんの少女趣味なんて誰にも言えない…とひっそり楽しんでいた。そのはずなのに、ひょんなことから営業部エースの井瀬にバレてしまい…!?慌てていると「僕…可愛いものっていじめたくなっちゃうんですよね」あっという間に舌を絡める深いキスで、ご無沙汰なアソコが勃ってしまって――!?したたか部下リーマン×実はウブな強面上司の拗らせアダルトラブ！")</f>
        <v>コワモテで周囲から恐れられている経理部課長の茂住にはヒミツがある。それは可愛いものや甘いものが大・大・大好きなこと！こんなおじさんの少女趣味なんて誰にも言えない…とひっそり楽しんでいた。そのはずなのに、ひょんなことから営業部エースの井瀬にバレてしまい…!?慌てていると「僕…可愛いものっていじめたくなっちゃうんですよね」あっという間に舌を絡める深いキスで、ご無沙汰なアソコが勃ってしまって――!?したたか部下リーマン×実はウブな強面上司の拗らせアダルトラブ！</v>
      </c>
      <c r="W1234" s="14"/>
      <c r="X1234" s="14" t="str">
        <f>IFERROR(__xludf.DUMMYFUNCTION("""COMPUTED_VALUE"""),"有")</f>
        <v>有</v>
      </c>
      <c r="Y1234" s="8" t="str">
        <f>IFERROR(__xludf.DUMMYFUNCTION("""COMPUTED_VALUE"""),"P7まで")</f>
        <v>P7まで</v>
      </c>
      <c r="Z1234" s="7"/>
      <c r="AA1234" s="7"/>
      <c r="AB1234" s="7"/>
    </row>
    <row r="1235" ht="15.75" customHeight="1">
      <c r="A1235" s="26">
        <f>IFERROR(__xludf.DUMMYFUNCTION("""COMPUTED_VALUE"""),3047.0)</f>
        <v>3047</v>
      </c>
      <c r="B1235" s="22" t="str">
        <f>IFERROR(__xludf.DUMMYFUNCTION("""COMPUTED_VALUE"""),"確定")</f>
        <v>確定</v>
      </c>
      <c r="C1235" s="28">
        <f>IFERROR(__xludf.DUMMYFUNCTION("""COMPUTED_VALUE"""),45355.0)</f>
        <v>45355</v>
      </c>
      <c r="D1235" s="28">
        <f>IFERROR(__xludf.DUMMYFUNCTION("""COMPUTED_VALUE"""),45356.0)</f>
        <v>45356</v>
      </c>
      <c r="E1235" s="26">
        <f>IFERROR(__xludf.DUMMYFUNCTION("""COMPUTED_VALUE"""),289725.0)</f>
        <v>289725</v>
      </c>
      <c r="F1235" s="22" t="str">
        <f>IFERROR(__xludf.DUMMYFUNCTION("""COMPUTED_VALUE"""),"死人タクシーは最後に行き先を聞く【ページ版】")</f>
        <v>死人タクシーは最後に行き先を聞く【ページ版】</v>
      </c>
      <c r="G1235" s="20" t="str">
        <f>IFERROR(__xludf.DUMMYFUNCTION("""COMPUTED_VALUE"""),"1~5")</f>
        <v>1~5</v>
      </c>
      <c r="H1235" s="22" t="str">
        <f>IFERROR(__xludf.DUMMYFUNCTION("""COMPUTED_VALUE"""),"荒井チェイサー（peep)")</f>
        <v>荒井チェイサー（peep)</v>
      </c>
      <c r="I1235" s="22" t="str">
        <f>IFERROR(__xludf.DUMMYFUNCTION("""COMPUTED_VALUE"""),"女性")</f>
        <v>女性</v>
      </c>
      <c r="J1235" s="22"/>
      <c r="K1235" s="22"/>
      <c r="L1235" s="22" t="str">
        <f>IFERROR(__xludf.DUMMYFUNCTION("""COMPUTED_VALUE"""),"ファンギルド")</f>
        <v>ファンギルド</v>
      </c>
      <c r="M1235" s="23">
        <f>IFERROR(__xludf.DUMMYFUNCTION("""COMPUTED_VALUE"""),45384.0)</f>
        <v>45384</v>
      </c>
      <c r="N1235" s="23">
        <f>IFERROR(__xludf.DUMMYFUNCTION("""COMPUTED_VALUE"""),45418.0)</f>
        <v>45418</v>
      </c>
      <c r="O1235" s="20"/>
      <c r="P1235" s="32" t="str">
        <f>IFERROR(__xludf.DUMMYFUNCTION("""COMPUTED_VALUE"""),"可")</f>
        <v>可</v>
      </c>
      <c r="Q1235" s="30"/>
      <c r="R1235" s="22"/>
      <c r="S1235" s="22" t="str">
        <f>IFERROR(__xludf.DUMMYFUNCTION("""COMPUTED_VALUE"""),"20240304_ファンギルド_死人タクシーは最後に行き先を聞く【ページ版】")</f>
        <v>20240304_ファンギルド_死人タクシーは最後に行き先を聞く【ページ版】</v>
      </c>
      <c r="T1235" s="22" t="str">
        <f>IFERROR(__xludf.DUMMYFUNCTION("""COMPUTED_VALUE"""),"格納済み")</f>
        <v>格納済み</v>
      </c>
      <c r="U1235" s="15" t="str">
        <f>IFERROR(__xludf.DUMMYFUNCTION("""COMPUTED_VALUE"""),"©Chaser Arai peep/taskey/Kawazu Kohari/TECHNO ART/C&amp;R Creative Studios/JAMTOON/FUNGUILD")</f>
        <v>©Chaser Arai peep/taskey/Kawazu Kohari/TECHNO ART/C&amp;R Creative Studios/JAMTOON/FUNGUILD</v>
      </c>
      <c r="V1235" s="8" t="str">
        <f>IFERROR(__xludf.DUMMYFUNCTION("""COMPUTED_VALUE"""),"「ねぇ知ってる？死人タクシーってアプリのこと…」巷で囁かれる怪しい噂。知らない間にダウンロードされているそのアプリは、『もう会えなくなった人』に会えるのだという―――同級生を自殺に追い込んだグラビアアイドル・高倉由紀。世間からバッシングを受けて引退寸前の中、謝罪会見を開くことに。嘘の涙を流しながら謝る由紀の前に、1台のタクシーが停車する。中から現れたのは、自殺したかつての同級生だった…。【「死人タクシーは最後に行き先を聞く」の再編集版です。重複購入にご注意ください。】")</f>
        <v>「ねぇ知ってる？死人タクシーってアプリのこと…」巷で囁かれる怪しい噂。知らない間にダウンロードされているそのアプリは、『もう会えなくなった人』に会えるのだという―――同級生を自殺に追い込んだグラビアアイドル・高倉由紀。世間からバッシングを受けて引退寸前の中、謝罪会見を開くことに。嘘の涙を流しながら謝る由紀の前に、1台のタクシーが停車する。中から現れたのは、自殺したかつての同級生だった…。【「死人タクシーは最後に行き先を聞く」の再編集版です。重複購入にご注意ください。】</v>
      </c>
      <c r="W1235" s="14"/>
      <c r="X1235" s="14" t="str">
        <f>IFERROR(__xludf.DUMMYFUNCTION("""COMPUTED_VALUE"""),"有")</f>
        <v>有</v>
      </c>
      <c r="Y1235" s="8" t="str">
        <f>IFERROR(__xludf.DUMMYFUNCTION("""COMPUTED_VALUE"""),"2024/4/15まで1巻無料")</f>
        <v>2024/4/15まで1巻無料</v>
      </c>
      <c r="Z1235" s="7"/>
      <c r="AA1235" s="7"/>
      <c r="AB1235" s="7"/>
    </row>
    <row r="1236" ht="15.75" customHeight="1">
      <c r="A1236" s="26">
        <f>IFERROR(__xludf.DUMMYFUNCTION("""COMPUTED_VALUE"""),3048.0)</f>
        <v>3048</v>
      </c>
      <c r="B1236" s="22" t="str">
        <f>IFERROR(__xludf.DUMMYFUNCTION("""COMPUTED_VALUE"""),"確定")</f>
        <v>確定</v>
      </c>
      <c r="C1236" s="28">
        <f>IFERROR(__xludf.DUMMYFUNCTION("""COMPUTED_VALUE"""),45355.0)</f>
        <v>45355</v>
      </c>
      <c r="D1236" s="28">
        <f>IFERROR(__xludf.DUMMYFUNCTION("""COMPUTED_VALUE"""),45356.0)</f>
        <v>45356</v>
      </c>
      <c r="E1236" s="26">
        <f>IFERROR(__xludf.DUMMYFUNCTION("""COMPUTED_VALUE"""),289726.0)</f>
        <v>289726</v>
      </c>
      <c r="F1236" s="22" t="str">
        <f>IFERROR(__xludf.DUMMYFUNCTION("""COMPUTED_VALUE"""),"ドキドキ×メーター")</f>
        <v>ドキドキ×メーター</v>
      </c>
      <c r="G1236" s="11" t="str">
        <f>IFERROR(__xludf.DUMMYFUNCTION("""COMPUTED_VALUE"""),"1～4")</f>
        <v>1～4</v>
      </c>
      <c r="H1236" s="22" t="str">
        <f>IFERROR(__xludf.DUMMYFUNCTION("""COMPUTED_VALUE"""),"Erosfeel_bug/limpala")</f>
        <v>Erosfeel_bug/limpala</v>
      </c>
      <c r="I1236" s="22" t="str">
        <f>IFERROR(__xludf.DUMMYFUNCTION("""COMPUTED_VALUE"""),"青年")</f>
        <v>青年</v>
      </c>
      <c r="J1236" s="22"/>
      <c r="K1236" s="22"/>
      <c r="L1236" s="22" t="str">
        <f>IFERROR(__xludf.DUMMYFUNCTION("""COMPUTED_VALUE"""),"Rush!")</f>
        <v>Rush!</v>
      </c>
      <c r="M1236" s="23">
        <f>IFERROR(__xludf.DUMMYFUNCTION("""COMPUTED_VALUE"""),45387.0)</f>
        <v>45387</v>
      </c>
      <c r="N1236" s="23">
        <f>IFERROR(__xludf.DUMMYFUNCTION("""COMPUTED_VALUE"""),45414.0)</f>
        <v>45414</v>
      </c>
      <c r="O1236" s="20"/>
      <c r="P1236" s="32" t="str">
        <f>IFERROR(__xludf.DUMMYFUNCTION("""COMPUTED_VALUE"""),"可")</f>
        <v>可</v>
      </c>
      <c r="Q1236" s="30"/>
      <c r="R1236" s="22"/>
      <c r="S1236" s="22" t="str">
        <f>IFERROR(__xludf.DUMMYFUNCTION("""COMPUTED_VALUE"""),"20240304_ファンギルド_ドキドキ×メーター")</f>
        <v>20240304_ファンギルド_ドキドキ×メーター</v>
      </c>
      <c r="T1236" s="22" t="str">
        <f>IFERROR(__xludf.DUMMYFUNCTION("""COMPUTED_VALUE"""),"格納済み")</f>
        <v>格納済み</v>
      </c>
      <c r="U1236" s="15" t="str">
        <f>IFERROR(__xludf.DUMMYFUNCTION("""COMPUTED_VALUE"""),"©Erosfeel_bug/limpala/TOPTOON")</f>
        <v>©Erosfeel_bug/limpala/TOPTOON</v>
      </c>
      <c r="V1236" s="8" t="str">
        <f>IFERROR(__xludf.DUMMYFUNCTION("""COMPUTED_VALUE"""),"生まれつき心臓に爆弾を抱えている成澄純也（なるすみじゅんや）。スマートウォッチに表示される心拍数に常に気を配らなければならず、それは女性と一夜を共にする時でも変わらない。そのせいで、純也はいつも女性を満足させることが出来なかった。そんなある日、生命線であるスマートウォッチを紛失し焦った純也は、怪しげな男から代替品を購入する。パチモンを掴まされたかと思いきや、それには女性を攻略するための様々な機能が隠されていて――！？オスとしてのプライドを取り戻した一人の男の、ハーレム大逆転劇が始まる！")</f>
        <v>生まれつき心臓に爆弾を抱えている成澄純也（なるすみじゅんや）。スマートウォッチに表示される心拍数に常に気を配らなければならず、それは女性と一夜を共にする時でも変わらない。そのせいで、純也はいつも女性を満足させることが出来なかった。そんなある日、生命線であるスマートウォッチを紛失し焦った純也は、怪しげな男から代替品を購入する。パチモンを掴まされたかと思いきや、それには女性を攻略するための様々な機能が隠されていて――！？オスとしてのプライドを取り戻した一人の男の、ハーレム大逆転劇が始まる！</v>
      </c>
      <c r="W1236" s="14"/>
      <c r="X1236" s="14" t="str">
        <f>IFERROR(__xludf.DUMMYFUNCTION("""COMPUTED_VALUE"""),"有")</f>
        <v>有</v>
      </c>
      <c r="Y1236" s="8" t="str">
        <f>IFERROR(__xludf.DUMMYFUNCTION("""COMPUTED_VALUE"""),"2024/4/18まで1巻無料")</f>
        <v>2024/4/18まで1巻無料</v>
      </c>
      <c r="Z1236" s="7"/>
      <c r="AA1236" s="7"/>
      <c r="AB1236" s="7"/>
    </row>
    <row r="1237" ht="15.75" customHeight="1">
      <c r="A1237" s="26">
        <f>IFERROR(__xludf.DUMMYFUNCTION("""COMPUTED_VALUE"""),3049.0)</f>
        <v>3049</v>
      </c>
      <c r="B1237" s="22" t="str">
        <f>IFERROR(__xludf.DUMMYFUNCTION("""COMPUTED_VALUE"""),"確定")</f>
        <v>確定</v>
      </c>
      <c r="C1237" s="28">
        <f>IFERROR(__xludf.DUMMYFUNCTION("""COMPUTED_VALUE"""),45355.0)</f>
        <v>45355</v>
      </c>
      <c r="D1237" s="28">
        <f>IFERROR(__xludf.DUMMYFUNCTION("""COMPUTED_VALUE"""),45356.0)</f>
        <v>45356</v>
      </c>
      <c r="E1237" s="26">
        <f>IFERROR(__xludf.DUMMYFUNCTION("""COMPUTED_VALUE"""),289727.0)</f>
        <v>289727</v>
      </c>
      <c r="F1237" s="22" t="str">
        <f>IFERROR(__xludf.DUMMYFUNCTION("""COMPUTED_VALUE"""),"デッド・オア・セックス～女の園で生きヌキます～")</f>
        <v>デッド・オア・セックス～女の園で生きヌキます～</v>
      </c>
      <c r="G1237" s="20" t="str">
        <f>IFERROR(__xludf.DUMMYFUNCTION("""COMPUTED_VALUE"""),"1～3")</f>
        <v>1～3</v>
      </c>
      <c r="H1237" s="22" t="str">
        <f>IFERROR(__xludf.DUMMYFUNCTION("""COMPUTED_VALUE"""),"越智源斗")</f>
        <v>越智源斗</v>
      </c>
      <c r="I1237" s="22" t="str">
        <f>IFERROR(__xludf.DUMMYFUNCTION("""COMPUTED_VALUE"""),"青年")</f>
        <v>青年</v>
      </c>
      <c r="J1237" s="22"/>
      <c r="K1237" s="22"/>
      <c r="L1237" s="22" t="str">
        <f>IFERROR(__xludf.DUMMYFUNCTION("""COMPUTED_VALUE"""),"Rush!")</f>
        <v>Rush!</v>
      </c>
      <c r="M1237" s="23">
        <f>IFERROR(__xludf.DUMMYFUNCTION("""COMPUTED_VALUE"""),45394.0)</f>
        <v>45394</v>
      </c>
      <c r="N1237" s="47">
        <f>IFERROR(__xludf.DUMMYFUNCTION("""COMPUTED_VALUE"""),45469.0)</f>
        <v>45469</v>
      </c>
      <c r="O1237" s="20"/>
      <c r="P1237" s="32" t="str">
        <f>IFERROR(__xludf.DUMMYFUNCTION("""COMPUTED_VALUE"""),"可")</f>
        <v>可</v>
      </c>
      <c r="Q1237" s="30"/>
      <c r="R1237" s="22"/>
      <c r="S1237" s="22" t="str">
        <f>IFERROR(__xludf.DUMMYFUNCTION("""COMPUTED_VALUE"""),"20240304_ファンギルド_デッド・オア・セックス～女の園で生きヌキます～")</f>
        <v>20240304_ファンギルド_デッド・オア・セックス～女の園で生きヌキます～</v>
      </c>
      <c r="T1237" s="22" t="str">
        <f>IFERROR(__xludf.DUMMYFUNCTION("""COMPUTED_VALUE"""),"格納済み")</f>
        <v>格納済み</v>
      </c>
      <c r="U1237" s="15" t="str">
        <f>IFERROR(__xludf.DUMMYFUNCTION("""COMPUTED_VALUE"""),"©Gento Ochi")</f>
        <v>©Gento Ochi</v>
      </c>
      <c r="V1237" s="8" t="str">
        <f>IFERROR(__xludf.DUMMYFUNCTION("""COMPUTED_VALUE"""),"男臭いブラック企業から女性ばかりの優良企業へ転職した黒田（くろだ）。もしかして、オフィスラブな展開とかあったりして…と鼻の下を伸ばしながら、ヤル気に燃える黒田だったが――そこは絶対に男を排除したい、超ブラック企業だった！女性社員たちは、あらゆる無理難題で黒田を退職に追いやろうとするが、スーパー社畜体質な黒田は軽々とこなしていく。ならばと密室でハニートラップを仕掛けるも、勘違いした黒田が暴走してーー！？ブラック企業魂の社畜男による、女だらけの会社でヤリ上がりハーレムが始まる！！")</f>
        <v>男臭いブラック企業から女性ばかりの優良企業へ転職した黒田（くろだ）。もしかして、オフィスラブな展開とかあったりして…と鼻の下を伸ばしながら、ヤル気に燃える黒田だったが――そこは絶対に男を排除したい、超ブラック企業だった！女性社員たちは、あらゆる無理難題で黒田を退職に追いやろうとするが、スーパー社畜体質な黒田は軽々とこなしていく。ならばと密室でハニートラップを仕掛けるも、勘違いした黒田が暴走してーー！？ブラック企業魂の社畜男による、女だらけの会社でヤリ上がりハーレムが始まる！！</v>
      </c>
      <c r="W1237" s="14"/>
      <c r="X1237" s="14" t="str">
        <f>IFERROR(__xludf.DUMMYFUNCTION("""COMPUTED_VALUE"""),"有")</f>
        <v>有</v>
      </c>
      <c r="Y1237" s="8" t="str">
        <f>IFERROR(__xludf.DUMMYFUNCTION("""COMPUTED_VALUE"""),"2024/4/25まで1巻無料")</f>
        <v>2024/4/25まで1巻無料</v>
      </c>
      <c r="Z1237" s="7"/>
      <c r="AA1237" s="7"/>
      <c r="AB1237" s="7"/>
    </row>
    <row r="1238" ht="15.75" customHeight="1">
      <c r="A1238" s="26">
        <f>IFERROR(__xludf.DUMMYFUNCTION("""COMPUTED_VALUE"""),3054.0)</f>
        <v>3054</v>
      </c>
      <c r="B1238" s="22" t="str">
        <f>IFERROR(__xludf.DUMMYFUNCTION("""COMPUTED_VALUE"""),"確定")</f>
        <v>確定</v>
      </c>
      <c r="C1238" s="28">
        <f>IFERROR(__xludf.DUMMYFUNCTION("""COMPUTED_VALUE"""),45356.0)</f>
        <v>45356</v>
      </c>
      <c r="D1238" s="28">
        <f>IFERROR(__xludf.DUMMYFUNCTION("""COMPUTED_VALUE"""),45362.0)</f>
        <v>45362</v>
      </c>
      <c r="E1238" s="26">
        <f>IFERROR(__xludf.DUMMYFUNCTION("""COMPUTED_VALUE"""),275667.0)</f>
        <v>275667</v>
      </c>
      <c r="F1238" s="22" t="str">
        <f>IFERROR(__xludf.DUMMYFUNCTION("""COMPUTED_VALUE"""),"労働したら愛されたい")</f>
        <v>労働したら愛されたい</v>
      </c>
      <c r="G1238" s="20" t="str">
        <f>IFERROR(__xludf.DUMMYFUNCTION("""COMPUTED_VALUE"""),"1～3")</f>
        <v>1～3</v>
      </c>
      <c r="H1238" s="22" t="str">
        <f>IFERROR(__xludf.DUMMYFUNCTION("""COMPUTED_VALUE"""),"瀬川葵")</f>
        <v>瀬川葵</v>
      </c>
      <c r="I1238" s="22" t="str">
        <f>IFERROR(__xludf.DUMMYFUNCTION("""COMPUTED_VALUE"""),"TL")</f>
        <v>TL</v>
      </c>
      <c r="J1238" s="22"/>
      <c r="K1238" s="22"/>
      <c r="L1238" s="22" t="str">
        <f>IFERROR(__xludf.DUMMYFUNCTION("""COMPUTED_VALUE"""),"ソルマーレ編集部")</f>
        <v>ソルマーレ編集部</v>
      </c>
      <c r="M1238" s="23">
        <f>IFERROR(__xludf.DUMMYFUNCTION("""COMPUTED_VALUE"""),45388.0)</f>
        <v>45388</v>
      </c>
      <c r="N1238" s="23">
        <f>IFERROR(__xludf.DUMMYFUNCTION("""COMPUTED_VALUE"""),45449.0)</f>
        <v>45449</v>
      </c>
      <c r="O1238" s="20"/>
      <c r="P1238" s="34" t="str">
        <f>IFERROR(__xludf.DUMMYFUNCTION("""COMPUTED_VALUE"""),"可")</f>
        <v>可</v>
      </c>
      <c r="Q1238" s="30" t="str">
        <f>IFERROR(__xludf.DUMMYFUNCTION("""COMPUTED_VALUE"""),"レーベル：スキして?桃色日記")</f>
        <v>レーベル：スキして?桃色日記</v>
      </c>
      <c r="R1238" s="22"/>
      <c r="S1238" s="22" t="str">
        <f>IFERROR(__xludf.DUMMYFUNCTION("""COMPUTED_VALUE"""),"20240306_ソルマーレ編集部_労働したら愛されたい")</f>
        <v>20240306_ソルマーレ編集部_労働したら愛されたい</v>
      </c>
      <c r="T1238" s="22" t="str">
        <f>IFERROR(__xludf.DUMMYFUNCTION("""COMPUTED_VALUE"""),"格納済み")</f>
        <v>格納済み</v>
      </c>
      <c r="U1238" s="15" t="str">
        <f>IFERROR(__xludf.DUMMYFUNCTION("""COMPUTED_VALUE"""),"Ⓒ 瀬川葵/シーモアコミックス")</f>
        <v>Ⓒ 瀬川葵/シーモアコミックス</v>
      </c>
      <c r="V1238" s="8" t="str">
        <f>IFERROR(__xludf.DUMMYFUNCTION("""COMPUTED_VALUE"""),"「俺がひとつ教えてあげるよ。キミ自身を喜ばせて、ゴキゲンになる方法」
売れっ子デザイナーが導いてくれるのは、ワタシの知らない非日常☆
大森ゆりか、会社員、最近モヤモヤしています。仕事でがんばっても、ないがしろにされている気がするんです！　やってられない気持ちで訪れたバーで出会ったのは、売れっ子デザイナーの蓮耶（れんや）さん。彼から人生が激変するリクエストをされて…!?
読めば楽しく癒やされる、刺激たっぷりアフター労働ラブコメ！【桃色日記】")</f>
        <v>「俺がひとつ教えてあげるよ。キミ自身を喜ばせて、ゴキゲンになる方法」
売れっ子デザイナーが導いてくれるのは、ワタシの知らない非日常☆
大森ゆりか、会社員、最近モヤモヤしています。仕事でがんばっても、ないがしろにされている気がするんです！　やってられない気持ちで訪れたバーで出会ったのは、売れっ子デザイナーの蓮耶（れんや）さん。彼から人生が激変するリクエストをされて…!?
読めば楽しく癒やされる、刺激たっぷりアフター労働ラブコメ！【桃色日記】</v>
      </c>
      <c r="W1238" s="14"/>
      <c r="X1238" s="14" t="str">
        <f>IFERROR(__xludf.DUMMYFUNCTION("""COMPUTED_VALUE"""),"有")</f>
        <v>有</v>
      </c>
      <c r="Y1238" s="8" t="str">
        <f>IFERROR(__xludf.DUMMYFUNCTION("""COMPUTED_VALUE"""),"2024/5/3まで1巻無料")</f>
        <v>2024/5/3まで1巻無料</v>
      </c>
      <c r="Z1238" s="7"/>
      <c r="AA1238" s="7"/>
      <c r="AB1238" s="7"/>
    </row>
    <row r="1239" ht="105.0" customHeight="1">
      <c r="A1239" s="26">
        <f>IFERROR(__xludf.DUMMYFUNCTION("""COMPUTED_VALUE"""),3058.0)</f>
        <v>3058</v>
      </c>
      <c r="B1239" s="22" t="str">
        <f>IFERROR(__xludf.DUMMYFUNCTION("""COMPUTED_VALUE"""),"確定")</f>
        <v>確定</v>
      </c>
      <c r="C1239" s="28">
        <f>IFERROR(__xludf.DUMMYFUNCTION("""COMPUTED_VALUE"""),45356.0)</f>
        <v>45356</v>
      </c>
      <c r="D1239" s="28">
        <f>IFERROR(__xludf.DUMMYFUNCTION("""COMPUTED_VALUE"""),45362.0)</f>
        <v>45362</v>
      </c>
      <c r="E1239" s="26">
        <f>IFERROR(__xludf.DUMMYFUNCTION("""COMPUTED_VALUE"""),289209.0)</f>
        <v>289209</v>
      </c>
      <c r="F1239" s="22" t="str">
        <f>IFERROR(__xludf.DUMMYFUNCTION("""COMPUTED_VALUE"""),"藤の舞袖")</f>
        <v>藤の舞袖</v>
      </c>
      <c r="G1239" s="20">
        <f>IFERROR(__xludf.DUMMYFUNCTION("""COMPUTED_VALUE"""),1.0)</f>
        <v>1</v>
      </c>
      <c r="H1239" s="22" t="str">
        <f>IFERROR(__xludf.DUMMYFUNCTION("""COMPUTED_VALUE"""),"橋岡リツキ")</f>
        <v>橋岡リツキ</v>
      </c>
      <c r="I1239" s="22" t="str">
        <f>IFERROR(__xludf.DUMMYFUNCTION("""COMPUTED_VALUE"""),"少女")</f>
        <v>少女</v>
      </c>
      <c r="J1239" s="22"/>
      <c r="K1239" s="22"/>
      <c r="L1239" s="22" t="str">
        <f>IFERROR(__xludf.DUMMYFUNCTION("""COMPUTED_VALUE"""),"集英社")</f>
        <v>集英社</v>
      </c>
      <c r="M1239" s="23">
        <f>IFERROR(__xludf.DUMMYFUNCTION("""COMPUTED_VALUE"""),45376.0)</f>
        <v>45376</v>
      </c>
      <c r="N1239" s="23">
        <f>IFERROR(__xludf.DUMMYFUNCTION("""COMPUTED_VALUE"""),45406.0)</f>
        <v>45406</v>
      </c>
      <c r="O1239" s="20"/>
      <c r="P1239" s="34" t="str">
        <f>IFERROR(__xludf.DUMMYFUNCTION("""COMPUTED_VALUE"""),"否")</f>
        <v>否</v>
      </c>
      <c r="Q1239" s="30" t="str">
        <f>IFERROR(__xludf.DUMMYFUNCTION("""COMPUTED_VALUE"""),"別冊マーガレット")</f>
        <v>別冊マーガレット</v>
      </c>
      <c r="R1239" s="22"/>
      <c r="S1239" s="22" t="str">
        <f>IFERROR(__xludf.DUMMYFUNCTION("""COMPUTED_VALUE"""),"20240305_集英社_藤の舞袖")</f>
        <v>20240305_集英社_藤の舞袖</v>
      </c>
      <c r="T1239" s="22" t="str">
        <f>IFERROR(__xludf.DUMMYFUNCTION("""COMPUTED_VALUE"""),"格納済み")</f>
        <v>格納済み</v>
      </c>
      <c r="U1239" s="15" t="str">
        <f>IFERROR(__xludf.DUMMYFUNCTION("""COMPUTED_VALUE"""),"（C）橋岡リツキ／集英社")</f>
        <v>（C）橋岡リツキ／集英社</v>
      </c>
      <c r="V1239" s="8" t="str">
        <f>IFERROR(__xludf.DUMMYFUNCTION("""COMPUTED_VALUE"""),"【日本舞踊×青春×ラブ】日本舞踊家元の御曹司・菖蒲と文化祭に出ることになった若奈。出し物は成功したものの、ふたりで日本舞踊部を立ち上げることになり……!?　『別冊マーガレット』で人気の日舞ラブコメ！　描きおろしページも収録♪")</f>
        <v>【日本舞踊×青春×ラブ】日本舞踊家元の御曹司・菖蒲と文化祭に出ることになった若奈。出し物は成功したものの、ふたりで日本舞踊部を立ち上げることになり……!?　『別冊マーガレット』で人気の日舞ラブコメ！　描きおろしページも収録♪</v>
      </c>
      <c r="W1239" s="14"/>
      <c r="X1239" s="14" t="str">
        <f>IFERROR(__xludf.DUMMYFUNCTION("""COMPUTED_VALUE"""),"有")</f>
        <v>有</v>
      </c>
      <c r="Y1239" s="8" t="str">
        <f>IFERROR(__xludf.DUMMYFUNCTION("""COMPUTED_VALUE"""),"2024/4/7まで立ち読み増量P80まで")</f>
        <v>2024/4/7まで立ち読み増量P80まで</v>
      </c>
      <c r="Z1239" s="7"/>
      <c r="AA1239" s="7"/>
      <c r="AB1239" s="7"/>
    </row>
    <row r="1240" ht="106.5" customHeight="1">
      <c r="A1240" s="26">
        <f>IFERROR(__xludf.DUMMYFUNCTION("""COMPUTED_VALUE"""),3059.0)</f>
        <v>3059</v>
      </c>
      <c r="B1240" s="22" t="str">
        <f>IFERROR(__xludf.DUMMYFUNCTION("""COMPUTED_VALUE"""),"確定")</f>
        <v>確定</v>
      </c>
      <c r="C1240" s="28">
        <f>IFERROR(__xludf.DUMMYFUNCTION("""COMPUTED_VALUE"""),45356.0)</f>
        <v>45356</v>
      </c>
      <c r="D1240" s="28">
        <f>IFERROR(__xludf.DUMMYFUNCTION("""COMPUTED_VALUE"""),45362.0)</f>
        <v>45362</v>
      </c>
      <c r="E1240" s="26">
        <f>IFERROR(__xludf.DUMMYFUNCTION("""COMPUTED_VALUE"""),290166.0)</f>
        <v>290166</v>
      </c>
      <c r="F1240" s="22" t="str">
        <f>IFERROR(__xludf.DUMMYFUNCTION("""COMPUTED_VALUE"""),"ワンショットロマンス（分冊版）")</f>
        <v>ワンショットロマンス（分冊版）</v>
      </c>
      <c r="G1240" s="20" t="str">
        <f>IFERROR(__xludf.DUMMYFUNCTION("""COMPUTED_VALUE"""),"1～6")</f>
        <v>1～6</v>
      </c>
      <c r="H1240" s="22" t="str">
        <f>IFERROR(__xludf.DUMMYFUNCTION("""COMPUTED_VALUE"""),"雨花深衣")</f>
        <v>雨花深衣</v>
      </c>
      <c r="I1240" s="22" t="str">
        <f>IFERROR(__xludf.DUMMYFUNCTION("""COMPUTED_VALUE"""),"少女")</f>
        <v>少女</v>
      </c>
      <c r="J1240" s="22"/>
      <c r="K1240" s="22"/>
      <c r="L1240" s="22" t="str">
        <f>IFERROR(__xludf.DUMMYFUNCTION("""COMPUTED_VALUE"""),"集英社")</f>
        <v>集英社</v>
      </c>
      <c r="M1240" s="23">
        <f>IFERROR(__xludf.DUMMYFUNCTION("""COMPUTED_VALUE"""),45376.0)</f>
        <v>45376</v>
      </c>
      <c r="N1240" s="33">
        <f>IFERROR(__xludf.DUMMYFUNCTION("""COMPUTED_VALUE"""),2958465.0)</f>
        <v>2958465</v>
      </c>
      <c r="O1240" s="20"/>
      <c r="P1240" s="34" t="str">
        <f>IFERROR(__xludf.DUMMYFUNCTION("""COMPUTED_VALUE"""),"否")</f>
        <v>否</v>
      </c>
      <c r="Q1240" s="30" t="str">
        <f>IFERROR(__xludf.DUMMYFUNCTION("""COMPUTED_VALUE"""),"マーガレット")</f>
        <v>マーガレット</v>
      </c>
      <c r="R1240" s="22"/>
      <c r="S1240" s="22" t="str">
        <f>IFERROR(__xludf.DUMMYFUNCTION("""COMPUTED_VALUE"""),"20240304_集英社_ワンショットロマンス")</f>
        <v>20240304_集英社_ワンショットロマンス</v>
      </c>
      <c r="T1240" s="22" t="str">
        <f>IFERROR(__xludf.DUMMYFUNCTION("""COMPUTED_VALUE"""),"格納済み")</f>
        <v>格納済み</v>
      </c>
      <c r="U1240" s="15" t="str">
        <f>IFERROR(__xludf.DUMMYFUNCTION("""COMPUTED_VALUE"""),"（C）雨花深衣／集英社")</f>
        <v>（C）雨花深衣／集英社</v>
      </c>
      <c r="V1240" s="8" t="str">
        <f>IFERROR(__xludf.DUMMYFUNCTION("""COMPUTED_VALUE"""),"負けず嫌いの詩穂はある日写真部の先輩に煽られたことをきっかけに、そのまま写真部に入部。しかし、自由人な先輩への思いはいつしか淡い憧れに変わっていき――。色気光る春の恋物語。（恋愛短編集『ワンショットロマンス』の【＃1.瞳のシャッターを押して】収録）")</f>
        <v>負けず嫌いの詩穂はある日写真部の先輩に煽られたことをきっかけに、そのまま写真部に入部。しかし、自由人な先輩への思いはいつしか淡い憧れに変わっていき――。色気光る春の恋物語。（恋愛短編集『ワンショットロマンス』の【＃1.瞳のシャッターを押して】収録）</v>
      </c>
      <c r="W1240" s="14"/>
      <c r="X1240" s="14" t="str">
        <f>IFERROR(__xludf.DUMMYFUNCTION("""COMPUTED_VALUE"""),"有")</f>
        <v>有</v>
      </c>
      <c r="Y1240" s="8" t="str">
        <f>IFERROR(__xludf.DUMMYFUNCTION("""COMPUTED_VALUE"""),"P12まで")</f>
        <v>P12まで</v>
      </c>
      <c r="Z1240" s="7"/>
      <c r="AA1240" s="7"/>
      <c r="AB1240" s="7"/>
    </row>
    <row r="1241" ht="15.75" customHeight="1">
      <c r="A1241" s="26">
        <f>IFERROR(__xludf.DUMMYFUNCTION("""COMPUTED_VALUE"""),3060.0)</f>
        <v>3060</v>
      </c>
      <c r="B1241" s="22" t="str">
        <f>IFERROR(__xludf.DUMMYFUNCTION("""COMPUTED_VALUE"""),"確定")</f>
        <v>確定</v>
      </c>
      <c r="C1241" s="28">
        <f>IFERROR(__xludf.DUMMYFUNCTION("""COMPUTED_VALUE"""),45356.0)</f>
        <v>45356</v>
      </c>
      <c r="D1241" s="28">
        <f>IFERROR(__xludf.DUMMYFUNCTION("""COMPUTED_VALUE"""),45362.0)</f>
        <v>45362</v>
      </c>
      <c r="E1241" s="26">
        <f>IFERROR(__xludf.DUMMYFUNCTION("""COMPUTED_VALUE"""),289218.0)</f>
        <v>289218</v>
      </c>
      <c r="F1241" s="22" t="str">
        <f>IFERROR(__xludf.DUMMYFUNCTION("""COMPUTED_VALUE"""),"小悪魔JKサイコ")</f>
        <v>小悪魔JKサイコ</v>
      </c>
      <c r="G1241" s="20" t="str">
        <f>IFERROR(__xludf.DUMMYFUNCTION("""COMPUTED_VALUE"""),"1～3")</f>
        <v>1～3</v>
      </c>
      <c r="H1241" s="22" t="str">
        <f>IFERROR(__xludf.DUMMYFUNCTION("""COMPUTED_VALUE"""),"原案・監修／三石メガネ　漫画／古場みすみ　脚本協力／月桜しおり")</f>
        <v>原案・監修／三石メガネ　漫画／古場みすみ　脚本協力／月桜しおり</v>
      </c>
      <c r="I1241" s="14" t="str">
        <f>IFERROR(__xludf.DUMMYFUNCTION("""COMPUTED_VALUE"""),"青年")</f>
        <v>青年</v>
      </c>
      <c r="J1241" s="22"/>
      <c r="K1241" s="22"/>
      <c r="L1241" s="22" t="str">
        <f>IFERROR(__xludf.DUMMYFUNCTION("""COMPUTED_VALUE"""),"taskey")</f>
        <v>taskey</v>
      </c>
      <c r="M1241" s="23">
        <f>IFERROR(__xludf.DUMMYFUNCTION("""COMPUTED_VALUE"""),45366.0)</f>
        <v>45366</v>
      </c>
      <c r="N1241" s="23">
        <f>IFERROR(__xludf.DUMMYFUNCTION("""COMPUTED_VALUE"""),45427.0)</f>
        <v>45427</v>
      </c>
      <c r="O1241" s="20"/>
      <c r="P1241" s="32" t="str">
        <f>IFERROR(__xludf.DUMMYFUNCTION("""COMPUTED_VALUE"""),"可")</f>
        <v>可</v>
      </c>
      <c r="Q1241" s="30"/>
      <c r="R1241" s="22"/>
      <c r="S1241" s="22" t="str">
        <f>IFERROR(__xludf.DUMMYFUNCTION("""COMPUTED_VALUE"""),"20240306_taskey_新作2作品")</f>
        <v>20240306_taskey_新作2作品</v>
      </c>
      <c r="T1241" s="22" t="str">
        <f>IFERROR(__xludf.DUMMYFUNCTION("""COMPUTED_VALUE"""),"格納済み")</f>
        <v>格納済み</v>
      </c>
      <c r="U1241" s="15" t="str">
        <f>IFERROR(__xludf.DUMMYFUNCTION("""COMPUTED_VALUE"""),"©︎taskey　原案・監修／三石メガネ　漫画／古場みすみ　脚本協力／月桜しおり")</f>
        <v>©︎taskey　原案・監修／三石メガネ　漫画／古場みすみ　脚本協力／月桜しおり</v>
      </c>
      <c r="V1241" s="8" t="str">
        <f>IFERROR(__xludf.DUMMYFUNCTION("""COMPUTED_VALUE"""),"ゴールデンウィーク明けに霜月高校に転校してきた高校二年生の葛西心春。彼女は美人でスタイル抜群。そのうえ天然で、きわどいトークにもニコニコ応じてくれる。この学校の生徒会長を目指しているという彼女に、悪い生徒たちの魔の手が忍び寄る。しかし生徒たちは知らなかった――葛西心春は、サイコパスなのだ。")</f>
        <v>ゴールデンウィーク明けに霜月高校に転校してきた高校二年生の葛西心春。彼女は美人でスタイル抜群。そのうえ天然で、きわどいトークにもニコニコ応じてくれる。この学校の生徒会長を目指しているという彼女に、悪い生徒たちの魔の手が忍び寄る。しかし生徒たちは知らなかった――葛西心春は、サイコパスなのだ。</v>
      </c>
      <c r="W1241" s="14"/>
      <c r="X1241" s="14" t="str">
        <f>IFERROR(__xludf.DUMMYFUNCTION("""COMPUTED_VALUE"""),"有")</f>
        <v>有</v>
      </c>
      <c r="Y1241" s="8" t="str">
        <f>IFERROR(__xludf.DUMMYFUNCTION("""COMPUTED_VALUE"""),"2024/5/15まで1巻無料")</f>
        <v>2024/5/15まで1巻無料</v>
      </c>
      <c r="Z1241" s="7"/>
      <c r="AA1241" s="7"/>
      <c r="AB1241" s="7"/>
    </row>
    <row r="1242" ht="15.75" customHeight="1">
      <c r="A1242" s="26">
        <f>IFERROR(__xludf.DUMMYFUNCTION("""COMPUTED_VALUE"""),2726.0)</f>
        <v>2726</v>
      </c>
      <c r="B1242" s="31" t="str">
        <f>IFERROR(__xludf.DUMMYFUNCTION("""COMPUTED_VALUE"""),"確定")</f>
        <v>確定</v>
      </c>
      <c r="C1242" s="28">
        <f>IFERROR(__xludf.DUMMYFUNCTION("""COMPUTED_VALUE"""),45266.0)</f>
        <v>45266</v>
      </c>
      <c r="D1242" s="28">
        <f>IFERROR(__xludf.DUMMYFUNCTION("""COMPUTED_VALUE"""),45364.0)</f>
        <v>45364</v>
      </c>
      <c r="E1242" s="31">
        <f>IFERROR(__xludf.DUMMYFUNCTION("""COMPUTED_VALUE"""),286934.0)</f>
        <v>286934</v>
      </c>
      <c r="F1242" s="31" t="str">
        <f>IFERROR(__xludf.DUMMYFUNCTION("""COMPUTED_VALUE"""),"フィクサーキラー ~僕が広告代理店に復讐する理由~")</f>
        <v>フィクサーキラー ~僕が広告代理店に復讐する理由~</v>
      </c>
      <c r="G1242" s="20" t="str">
        <f>IFERROR(__xludf.DUMMYFUNCTION("""COMPUTED_VALUE"""),"1~3")</f>
        <v>1~3</v>
      </c>
      <c r="H1242" s="31" t="str">
        <f>IFERROR(__xludf.DUMMYFUNCTION("""COMPUTED_VALUE"""),"原作：河澄アユ 作画：花実柑")</f>
        <v>原作：河澄アユ 作画：花実柑</v>
      </c>
      <c r="I1242" s="31" t="str">
        <f>IFERROR(__xludf.DUMMYFUNCTION("""COMPUTED_VALUE"""),"青年")</f>
        <v>青年</v>
      </c>
      <c r="J1242" s="31"/>
      <c r="K1242" s="31"/>
      <c r="L1242" s="31" t="str">
        <f>IFERROR(__xludf.DUMMYFUNCTION("""COMPUTED_VALUE"""),"CLLENN")</f>
        <v>CLLENN</v>
      </c>
      <c r="M1242" s="23">
        <f>IFERROR(__xludf.DUMMYFUNCTION("""COMPUTED_VALUE"""),45407.0)</f>
        <v>45407</v>
      </c>
      <c r="N1242" s="47">
        <f>IFERROR(__xludf.DUMMYFUNCTION("""COMPUTED_VALUE"""),45498.0)</f>
        <v>45498</v>
      </c>
      <c r="O1242" s="20"/>
      <c r="P1242" s="34" t="str">
        <f>IFERROR(__xludf.DUMMYFUNCTION("""COMPUTED_VALUE"""),"可")</f>
        <v>可</v>
      </c>
      <c r="Q1242" s="31" t="str">
        <f>IFERROR(__xludf.DUMMYFUNCTION("""COMPUTED_VALUE"""),"広告コミットOK(12/13)&lt;BR&gt;")</f>
        <v>広告コミットOK(12/13)&lt;BR&gt;</v>
      </c>
      <c r="R1242" s="31" t="str">
        <f>IFERROR(__xludf.DUMMYFUNCTION("""COMPUTED_VALUE"""),"格納済")</f>
        <v>格納済</v>
      </c>
      <c r="S1242" s="31" t="str">
        <f>IFERROR(__xludf.DUMMYFUNCTION("""COMPUTED_VALUE"""),"20240312_CLLENN_フィクサーキラー")</f>
        <v>20240312_CLLENN_フィクサーキラー</v>
      </c>
      <c r="T1242" s="31" t="str">
        <f>IFERROR(__xludf.DUMMYFUNCTION("""COMPUTED_VALUE"""),"格納済み")</f>
        <v>格納済み</v>
      </c>
      <c r="U1242" s="15" t="str">
        <f>IFERROR(__xludf.DUMMYFUNCTION("""COMPUTED_VALUE"""),"©河澄アユ・花実柑／CLLENN")</f>
        <v>©河澄アユ・花実柑／CLLENN</v>
      </c>
      <c r="V1242" s="8" t="str">
        <f>IFERROR(__xludf.DUMMYFUNCTION("""COMPUTED_VALUE"""),"「オレが必ず…この広告代理店をぶっ壊す」国内最大の広告代理店 ”日帝広告” には華やかなイメージの一方でドス黒い裏の顔があったーーー。その過酷な労働環境によって大切な人を失った主人公の静下初（しずかはじめ）は、日帝広告で影の薄い平社員として働きながら、広告代理店への復讐を誓う。常軌を逸したパワハラ、異常な接待、汚い金にまみれたイベント…。全てをぶっ潰すため、静下の復讐が今はじまる。")</f>
        <v>「オレが必ず…この広告代理店をぶっ壊す」国内最大の広告代理店 ”日帝広告” には華やかなイメージの一方でドス黒い裏の顔があったーーー。その過酷な労働環境によって大切な人を失った主人公の静下初（しずかはじめ）は、日帝広告で影の薄い平社員として働きながら、広告代理店への復讐を誓う。常軌を逸したパワハラ、異常な接待、汚い金にまみれたイベント…。全てをぶっ潰すため、静下の復讐が今はじまる。</v>
      </c>
      <c r="W1242" s="14"/>
      <c r="X1242" s="14" t="str">
        <f>IFERROR(__xludf.DUMMYFUNCTION("""COMPUTED_VALUE"""),"有")</f>
        <v>有</v>
      </c>
      <c r="Y1242" s="8" t="str">
        <f>IFERROR(__xludf.DUMMYFUNCTION("""COMPUTED_VALUE"""),"2024/5/8まで1巻無料")</f>
        <v>2024/5/8まで1巻無料</v>
      </c>
      <c r="Z1242" s="7"/>
      <c r="AA1242" s="7"/>
      <c r="AB1242" s="7"/>
    </row>
    <row r="1243" ht="15.75" customHeight="1">
      <c r="A1243" s="26">
        <f>IFERROR(__xludf.DUMMYFUNCTION("""COMPUTED_VALUE"""),2831.0)</f>
        <v>2831</v>
      </c>
      <c r="B1243" s="31" t="str">
        <f>IFERROR(__xludf.DUMMYFUNCTION("""COMPUTED_VALUE"""),"確定")</f>
        <v>確定</v>
      </c>
      <c r="C1243" s="28">
        <f>IFERROR(__xludf.DUMMYFUNCTION("""COMPUTED_VALUE"""),45306.0)</f>
        <v>45306</v>
      </c>
      <c r="D1243" s="28">
        <f>IFERROR(__xludf.DUMMYFUNCTION("""COMPUTED_VALUE"""),45364.0)</f>
        <v>45364</v>
      </c>
      <c r="E1243" s="31">
        <f>IFERROR(__xludf.DUMMYFUNCTION("""COMPUTED_VALUE"""),289976.0)</f>
        <v>289976</v>
      </c>
      <c r="F1243" s="31" t="str">
        <f>IFERROR(__xludf.DUMMYFUNCTION("""COMPUTED_VALUE"""),"「本番はNGなのに…」フラれた勢いで女性風俗に行ったら絶倫巨●な推しキャストに溺愛されました。")</f>
        <v>「本番はNGなのに…」フラれた勢いで女性風俗に行ったら絶倫巨●な推しキャストに溺愛されました。</v>
      </c>
      <c r="G1243" s="20" t="str">
        <f>IFERROR(__xludf.DUMMYFUNCTION("""COMPUTED_VALUE"""),"1~3")</f>
        <v>1~3</v>
      </c>
      <c r="H1243" s="31" t="str">
        <f>IFERROR(__xludf.DUMMYFUNCTION("""COMPUTED_VALUE"""),"カズヲ")</f>
        <v>カズヲ</v>
      </c>
      <c r="I1243" s="31" t="str">
        <f>IFERROR(__xludf.DUMMYFUNCTION("""COMPUTED_VALUE"""),"オトナ")</f>
        <v>オトナ</v>
      </c>
      <c r="J1243" s="31"/>
      <c r="K1243" s="31"/>
      <c r="L1243" s="31" t="str">
        <f>IFERROR(__xludf.DUMMYFUNCTION("""COMPUTED_VALUE"""),"DEEPER-ZERO")</f>
        <v>DEEPER-ZERO</v>
      </c>
      <c r="M1243" s="23">
        <f>IFERROR(__xludf.DUMMYFUNCTION("""COMPUTED_VALUE"""),45387.0)</f>
        <v>45387</v>
      </c>
      <c r="N1243" s="23">
        <f>IFERROR(__xludf.DUMMYFUNCTION("""COMPUTED_VALUE"""),45449.0)</f>
        <v>45449</v>
      </c>
      <c r="O1243" s="20"/>
      <c r="P1243" s="34" t="str">
        <f>IFERROR(__xludf.DUMMYFUNCTION("""COMPUTED_VALUE"""),"可")</f>
        <v>可</v>
      </c>
      <c r="Q1243" s="31" t="str">
        <f>IFERROR(__xludf.DUMMYFUNCTION("""COMPUTED_VALUE"""),"広告コミットOK(1/22)")</f>
        <v>広告コミットOK(1/22)</v>
      </c>
      <c r="R1243" s="31" t="str">
        <f>IFERROR(__xludf.DUMMYFUNCTION("""COMPUTED_VALUE"""),"格納済")</f>
        <v>格納済</v>
      </c>
      <c r="S1243" s="31" t="str">
        <f>IFERROR(__xludf.DUMMYFUNCTION("""COMPUTED_VALUE"""),"20240308_DEEPER-ZERO_「本番はNGなのに…」フラれた勢いで女性風俗に行ったら絶倫巨根な推しキャストに溺愛されました。")</f>
        <v>20240308_DEEPER-ZERO_「本番はNGなのに…」フラれた勢いで女性風俗に行ったら絶倫巨根な推しキャストに溺愛されました。</v>
      </c>
      <c r="T1243" s="31" t="str">
        <f>IFERROR(__xludf.DUMMYFUNCTION("""COMPUTED_VALUE"""),"格納済み")</f>
        <v>格納済み</v>
      </c>
      <c r="U1243" s="15" t="str">
        <f>IFERROR(__xludf.DUMMYFUNCTION("""COMPUTED_VALUE"""),"ⓒカズヲ/DEEPER-ZERO")</f>
        <v>ⓒカズヲ/DEEPER-ZERO</v>
      </c>
      <c r="V1243" s="8" t="str">
        <f>IFERROR(__xludf.DUMMYFUNCTION("""COMPUTED_VALUE"""),"「声、我慢しないで。全部聞かせてほしいな」これは”性感マッサージ”。胸やお尻はもちろん体中をねっとりと触れられると…抑えきれない声が少し漏れて…「ここ、すごく濡れてる。感じてくれて嬉しいよ」。彼はもっと私を喜ばせようと湿ったアソコに手を伸ばしてきて…だめっ…！ 恥ずかしさに足を閉じて抵抗するも強引に開かれて…指、ナカに入っちゃった…。ごつごつした硬い指で、じっくり丁寧にナカかき回されたらもうっ――。安栖美咲、もうすぐ三十路。大事な話があると彼氏に言われ、聞いてみるとまさかの別れ話!?　腹いせにパーッとお金"&amp;"でも使ってエステでも頼もうかと探していると、女性用風俗のサイトを発見して……。")</f>
        <v>「声、我慢しないで。全部聞かせてほしいな」これは”性感マッサージ”。胸やお尻はもちろん体中をねっとりと触れられると…抑えきれない声が少し漏れて…「ここ、すごく濡れてる。感じてくれて嬉しいよ」。彼はもっと私を喜ばせようと湿ったアソコに手を伸ばしてきて…だめっ…！ 恥ずかしさに足を閉じて抵抗するも強引に開かれて…指、ナカに入っちゃった…。ごつごつした硬い指で、じっくり丁寧にナカかき回されたらもうっ――。安栖美咲、もうすぐ三十路。大事な話があると彼氏に言われ、聞いてみるとまさかの別れ話!?　腹いせにパーッとお金でも使ってエステでも頼もうかと探していると、女性用風俗のサイトを発見して……。</v>
      </c>
      <c r="W1243" s="14"/>
      <c r="X1243" s="14" t="str">
        <f>IFERROR(__xludf.DUMMYFUNCTION("""COMPUTED_VALUE"""),"有")</f>
        <v>有</v>
      </c>
      <c r="Y1243" s="8" t="str">
        <f>IFERROR(__xludf.DUMMYFUNCTION("""COMPUTED_VALUE"""),"2024/4/18まで1巻無料")</f>
        <v>2024/4/18まで1巻無料</v>
      </c>
      <c r="Z1243" s="7"/>
      <c r="AA1243" s="7"/>
      <c r="AB1243" s="7"/>
    </row>
    <row r="1244" ht="15.75" customHeight="1">
      <c r="A1244" s="26">
        <f>IFERROR(__xludf.DUMMYFUNCTION("""COMPUTED_VALUE"""),2842.0)</f>
        <v>2842</v>
      </c>
      <c r="B1244" s="31" t="str">
        <f>IFERROR(__xludf.DUMMYFUNCTION("""COMPUTED_VALUE"""),"確定")</f>
        <v>確定</v>
      </c>
      <c r="C1244" s="28">
        <f>IFERROR(__xludf.DUMMYFUNCTION("""COMPUTED_VALUE"""),45307.0)</f>
        <v>45307</v>
      </c>
      <c r="D1244" s="28">
        <f>IFERROR(__xludf.DUMMYFUNCTION("""COMPUTED_VALUE"""),45364.0)</f>
        <v>45364</v>
      </c>
      <c r="E1244" s="31">
        <f>IFERROR(__xludf.DUMMYFUNCTION("""COMPUTED_VALUE"""),289331.0)</f>
        <v>289331</v>
      </c>
      <c r="F1244" s="31" t="str">
        <f>IFERROR(__xludf.DUMMYFUNCTION("""COMPUTED_VALUE"""),"傷だらけの夜にキスして。")</f>
        <v>傷だらけの夜にキスして。</v>
      </c>
      <c r="G1244" s="20">
        <f>IFERROR(__xludf.DUMMYFUNCTION("""COMPUTED_VALUE"""),1.0)</f>
        <v>1</v>
      </c>
      <c r="H1244" s="31" t="str">
        <f>IFERROR(__xludf.DUMMYFUNCTION("""COMPUTED_VALUE"""),"楔ケリ")</f>
        <v>楔ケリ</v>
      </c>
      <c r="I1244" s="31" t="str">
        <f>IFERROR(__xludf.DUMMYFUNCTION("""COMPUTED_VALUE"""),"BL")</f>
        <v>BL</v>
      </c>
      <c r="J1244" s="31"/>
      <c r="K1244" s="31"/>
      <c r="L1244" s="31" t="str">
        <f>IFERROR(__xludf.DUMMYFUNCTION("""COMPUTED_VALUE"""),"アメイロ")</f>
        <v>アメイロ</v>
      </c>
      <c r="M1244" s="23">
        <f>IFERROR(__xludf.DUMMYFUNCTION("""COMPUTED_VALUE"""),45387.0)</f>
        <v>45387</v>
      </c>
      <c r="N1244" s="23">
        <f>IFERROR(__xludf.DUMMYFUNCTION("""COMPUTED_VALUE"""),45421.0)</f>
        <v>45421</v>
      </c>
      <c r="O1244" s="20"/>
      <c r="P1244" s="32" t="str">
        <f>IFERROR(__xludf.DUMMYFUNCTION("""COMPUTED_VALUE"""),"可")</f>
        <v>可</v>
      </c>
      <c r="Q1244" s="30"/>
      <c r="R1244" s="31"/>
      <c r="S1244" s="31" t="str">
        <f>IFERROR(__xludf.DUMMYFUNCTION("""COMPUTED_VALUE"""),"20240312_アメイロ_傷だらけの夜にキスして。")</f>
        <v>20240312_アメイロ_傷だらけの夜にキスして。</v>
      </c>
      <c r="T1244" s="31" t="str">
        <f>IFERROR(__xludf.DUMMYFUNCTION("""COMPUTED_VALUE"""),"格納済み")</f>
        <v>格納済み</v>
      </c>
      <c r="U1244" s="15" t="str">
        <f>IFERROR(__xludf.DUMMYFUNCTION("""COMPUTED_VALUE"""),"（C）楔ケリ/アメイロ")</f>
        <v>（C）楔ケリ/アメイロ</v>
      </c>
      <c r="V1244" s="8" t="str">
        <f>IFERROR(__xludf.DUMMYFUNCTION("""COMPUTED_VALUE"""),"◆粘着ビッチの標的は裏アカエリートリーマン！◆
大手不動産会社に勤務する若手ナンバーワン
明津那央（あくつなお）には2つの秘密がある。
1.死んだ父親の借金返済で毎月ジリ貧。
2.かつてウリをしていた裏アカ名義で、女をひっかけては憂さを晴らす日々。
ある夜、秘密をエサに女と偽り近づいてきたのは
高校の同級生・影原黎久（かげはらりく）。
ノンケの那央だったが
「とけちゃうよ？僕の舌技」と挑発され
興味本位で誘いに乗ると、黎久のテクに溺れる寸前…
だがその瞬間、黎久がある事実を暴露して――"&amp;"！？
【性悪裏アカリーマン×ガチ執着ヤンデレ闇金】
狂気的な愛の駆け引き、偽りだらけの夜が始まる――。")</f>
        <v>◆粘着ビッチの標的は裏アカエリートリーマン！◆
大手不動産会社に勤務する若手ナンバーワン
明津那央（あくつなお）には2つの秘密がある。
1.死んだ父親の借金返済で毎月ジリ貧。
2.かつてウリをしていた裏アカ名義で、女をひっかけては憂さを晴らす日々。
ある夜、秘密をエサに女と偽り近づいてきたのは
高校の同級生・影原黎久（かげはらりく）。
ノンケの那央だったが
「とけちゃうよ？僕の舌技」と挑発され
興味本位で誘いに乗ると、黎久のテクに溺れる寸前…
だがその瞬間、黎久がある事実を暴露して――！？
【性悪裏アカリーマン×ガチ執着ヤンデレ闇金】
狂気的な愛の駆け引き、偽りだらけの夜が始まる――。</v>
      </c>
      <c r="W1244" s="14"/>
      <c r="X1244" s="14" t="str">
        <f>IFERROR(__xludf.DUMMYFUNCTION("""COMPUTED_VALUE"""),"有")</f>
        <v>有</v>
      </c>
      <c r="Y1244" s="8" t="str">
        <f>IFERROR(__xludf.DUMMYFUNCTION("""COMPUTED_VALUE"""),"P15まで")</f>
        <v>P15まで</v>
      </c>
      <c r="Z1244" s="7"/>
      <c r="AA1244" s="7"/>
      <c r="AB1244" s="7"/>
    </row>
    <row r="1245" ht="15.75" customHeight="1">
      <c r="A1245" s="26">
        <f>IFERROR(__xludf.DUMMYFUNCTION("""COMPUTED_VALUE"""),2856.0)</f>
        <v>2856</v>
      </c>
      <c r="B1245" s="31" t="str">
        <f>IFERROR(__xludf.DUMMYFUNCTION("""COMPUTED_VALUE"""),"確定")</f>
        <v>確定</v>
      </c>
      <c r="C1245" s="28">
        <f>IFERROR(__xludf.DUMMYFUNCTION("""COMPUTED_VALUE"""),45309.0)</f>
        <v>45309</v>
      </c>
      <c r="D1245" s="28">
        <f>IFERROR(__xludf.DUMMYFUNCTION("""COMPUTED_VALUE"""),45364.0)</f>
        <v>45364</v>
      </c>
      <c r="E1245" s="31">
        <f>IFERROR(__xludf.DUMMYFUNCTION("""COMPUTED_VALUE"""),290031.0)</f>
        <v>290031</v>
      </c>
      <c r="F1245" s="31" t="str">
        <f>IFERROR(__xludf.DUMMYFUNCTION("""COMPUTED_VALUE"""),"ヒロインなのに、イケメンアイドル♂になりました!?【マイクロ】")</f>
        <v>ヒロインなのに、イケメンアイドル♂になりました!?【マイクロ】</v>
      </c>
      <c r="G1245" s="16" t="str">
        <f>IFERROR(__xludf.DUMMYFUNCTION("""COMPUTED_VALUE"""),"1～3")</f>
        <v>1～3</v>
      </c>
      <c r="H1245" s="31" t="str">
        <f>IFERROR(__xludf.DUMMYFUNCTION("""COMPUTED_VALUE"""),"愛染マナ")</f>
        <v>愛染マナ</v>
      </c>
      <c r="I1245" s="31" t="str">
        <f>IFERROR(__xludf.DUMMYFUNCTION("""COMPUTED_VALUE"""),"少女")</f>
        <v>少女</v>
      </c>
      <c r="J1245" s="31"/>
      <c r="K1245" s="31"/>
      <c r="L1245" s="31" t="str">
        <f>IFERROR(__xludf.DUMMYFUNCTION("""COMPUTED_VALUE"""),"小学館")</f>
        <v>小学館</v>
      </c>
      <c r="M1245" s="23">
        <f>IFERROR(__xludf.DUMMYFUNCTION("""COMPUTED_VALUE"""),45387.0)</f>
        <v>45387</v>
      </c>
      <c r="N1245" s="23">
        <f>IFERROR(__xludf.DUMMYFUNCTION("""COMPUTED_VALUE"""),45447.0)</f>
        <v>45447</v>
      </c>
      <c r="O1245" s="20"/>
      <c r="P1245" s="34" t="str">
        <f>IFERROR(__xludf.DUMMYFUNCTION("""COMPUTED_VALUE"""),"否")</f>
        <v>否</v>
      </c>
      <c r="Q1245" s="30" t="str">
        <f>IFERROR(__xludf.DUMMYFUNCTION("""COMPUTED_VALUE"""),"広告コミットOK(1/22)")</f>
        <v>広告コミットOK(1/22)</v>
      </c>
      <c r="R1245" s="31"/>
      <c r="S1245" s="31" t="str">
        <f>IFERROR(__xludf.DUMMYFUNCTION("""COMPUTED_VALUE"""),"20240306_小学館_ヒロインなのに、イケメンアイドルになりました！？【マイクロ】")</f>
        <v>20240306_小学館_ヒロインなのに、イケメンアイドルになりました！？【マイクロ】</v>
      </c>
      <c r="T1245" s="31" t="str">
        <f>IFERROR(__xludf.DUMMYFUNCTION("""COMPUTED_VALUE"""),"格納済み")</f>
        <v>格納済み</v>
      </c>
      <c r="U1245" s="15" t="str">
        <f>IFERROR(__xludf.DUMMYFUNCTION("""COMPUTED_VALUE"""),"(C)愛染マナ / 小学館")</f>
        <v>(C)愛染マナ / 小学館</v>
      </c>
      <c r="V1245" s="8" t="str">
        <f>IFERROR(__xludf.DUMMYFUNCTION("""COMPUTED_VALUE"""),"内気な性格の梨音（りおん）は、推しのアイドル・奏多（かなた）との握手会で勇気をもらったことをきっかけに、自分もアイドルを目指すように。しかしオーディション当日、事故で奏多と同じグループのアイドル・咲響（さきょう）とキスしてしまい、なぜか体が男に転換しちゃって・・・！？TLランキング殿堂入り＆TVドラマ化などヒット連発作家・愛染マナ先生が贈る！！イケメンだらけのTS（男女転換）×アイドルラブストーリー☆")</f>
        <v>内気な性格の梨音（りおん）は、推しのアイドル・奏多（かなた）との握手会で勇気をもらったことをきっかけに、自分もアイドルを目指すように。しかしオーディション当日、事故で奏多と同じグループのアイドル・咲響（さきょう）とキスしてしまい、なぜか体が男に転換しちゃって・・・！？TLランキング殿堂入り＆TVドラマ化などヒット連発作家・愛染マナ先生が贈る！！イケメンだらけのTS（男女転換）×アイドルラブストーリー☆</v>
      </c>
      <c r="W1245" s="14"/>
      <c r="X1245" s="14" t="str">
        <f>IFERROR(__xludf.DUMMYFUNCTION("""COMPUTED_VALUE"""),"有")</f>
        <v>有</v>
      </c>
      <c r="Y1245" s="8" t="str">
        <f>IFERROR(__xludf.DUMMYFUNCTION("""COMPUTED_VALUE"""),"2024/6/4まで1巻無料")</f>
        <v>2024/6/4まで1巻無料</v>
      </c>
      <c r="Z1245" s="7"/>
      <c r="AA1245" s="7"/>
      <c r="AB1245" s="7"/>
    </row>
    <row r="1246" ht="15.75" customHeight="1">
      <c r="A1246" s="26">
        <f>IFERROR(__xludf.DUMMYFUNCTION("""COMPUTED_VALUE"""),2918.0)</f>
        <v>2918</v>
      </c>
      <c r="B1246" s="31" t="str">
        <f>IFERROR(__xludf.DUMMYFUNCTION("""COMPUTED_VALUE"""),"確定")</f>
        <v>確定</v>
      </c>
      <c r="C1246" s="28">
        <f>IFERROR(__xludf.DUMMYFUNCTION("""COMPUTED_VALUE"""),45323.0)</f>
        <v>45323</v>
      </c>
      <c r="D1246" s="28">
        <f>IFERROR(__xludf.DUMMYFUNCTION("""COMPUTED_VALUE"""),45364.0)</f>
        <v>45364</v>
      </c>
      <c r="E1246" s="31">
        <f>IFERROR(__xludf.DUMMYFUNCTION("""COMPUTED_VALUE"""),289997.0)</f>
        <v>289997</v>
      </c>
      <c r="F1246" s="31" t="str">
        <f>IFERROR(__xludf.DUMMYFUNCTION("""COMPUTED_VALUE"""),"逃げないで、愛されて 〜マッチングした元カレと溺愛リスタート〜")</f>
        <v>逃げないで、愛されて 〜マッチングした元カレと溺愛リスタート〜</v>
      </c>
      <c r="G1246" s="20" t="str">
        <f>IFERROR(__xludf.DUMMYFUNCTION("""COMPUTED_VALUE"""),"1~3")</f>
        <v>1~3</v>
      </c>
      <c r="H1246" s="31" t="str">
        <f>IFERROR(__xludf.DUMMYFUNCTION("""COMPUTED_VALUE"""),"小路たや")</f>
        <v>小路たや</v>
      </c>
      <c r="I1246" s="31" t="str">
        <f>IFERROR(__xludf.DUMMYFUNCTION("""COMPUTED_VALUE"""),"TL")</f>
        <v>TL</v>
      </c>
      <c r="J1246" s="31"/>
      <c r="K1246" s="31"/>
      <c r="L1246" s="31" t="str">
        <f>IFERROR(__xludf.DUMMYFUNCTION("""COMPUTED_VALUE"""),"forcs")</f>
        <v>forcs</v>
      </c>
      <c r="M1246" s="23">
        <f>IFERROR(__xludf.DUMMYFUNCTION("""COMPUTED_VALUE"""),45386.0)</f>
        <v>45386</v>
      </c>
      <c r="N1246" s="23">
        <f>IFERROR(__xludf.DUMMYFUNCTION("""COMPUTED_VALUE"""),45449.0)</f>
        <v>45449</v>
      </c>
      <c r="O1246" s="20"/>
      <c r="P1246" s="34" t="str">
        <f>IFERROR(__xludf.DUMMYFUNCTION("""COMPUTED_VALUE"""),"可")</f>
        <v>可</v>
      </c>
      <c r="Q1246" s="31" t="str">
        <f>IFERROR(__xludf.DUMMYFUNCTION("""COMPUTED_VALUE"""),"広告コミットOK(2/9)&lt;BR&gt;レーベル名：恋愛ショコラ（TL）")</f>
        <v>広告コミットOK(2/9)&lt;BR&gt;レーベル名：恋愛ショコラ（TL）</v>
      </c>
      <c r="R1246" s="31" t="str">
        <f>IFERROR(__xludf.DUMMYFUNCTION("""COMPUTED_VALUE"""),"格納済み")</f>
        <v>格納済み</v>
      </c>
      <c r="S1246" s="31" t="str">
        <f>IFERROR(__xludf.DUMMYFUNCTION("""COMPUTED_VALUE"""),"20240311_forcs_逃げないで、愛されて 〜マッチングした元カレと溺愛リスタート〜")</f>
        <v>20240311_forcs_逃げないで、愛されて 〜マッチングした元カレと溺愛リスタート〜</v>
      </c>
      <c r="T1246" s="31" t="str">
        <f>IFERROR(__xludf.DUMMYFUNCTION("""COMPUTED_VALUE"""),"格納済み")</f>
        <v>格納済み</v>
      </c>
      <c r="U1246" s="15" t="str">
        <f>IFERROR(__xludf.DUMMYFUNCTION("""COMPUTED_VALUE"""),"©小路たや/forcs")</f>
        <v>©小路たや/forcs</v>
      </c>
      <c r="V1246" s="8" t="str">
        <f>IFERROR(__xludf.DUMMYFUNCTION("""COMPUTED_VALUE"""),"学生時代に大好きだった彼氏との失恋を引きずったまま、社会人になった千夏。
そろそろ新しい恋を見つけようと、近年の少子化対策として政府公認で推奨されているAI婚活アプリに登録したら、まさかの元カレとマッチング！？
「今度こそ絶対に逃さない」
元カレから「忘れられないくらい、ずっと好きだった」と改めて真剣に告白され、忘れようと思っていた気持ちが揺らいでしまう。
すると、セックスで気持ちよくできたら付き合って欲しいと懇願される。
過去の彼と全く違う様子にドキドキしながらも、流されるままセックスすること"&amp;"になり――。")</f>
        <v>学生時代に大好きだった彼氏との失恋を引きずったまま、社会人になった千夏。
そろそろ新しい恋を見つけようと、近年の少子化対策として政府公認で推奨されているAI婚活アプリに登録したら、まさかの元カレとマッチング！？
「今度こそ絶対に逃さない」
元カレから「忘れられないくらい、ずっと好きだった」と改めて真剣に告白され、忘れようと思っていた気持ちが揺らいでしまう。
すると、セックスで気持ちよくできたら付き合って欲しいと懇願される。
過去の彼と全く違う様子にドキドキしながらも、流されるままセックスすることになり――。</v>
      </c>
      <c r="W1246" s="14"/>
      <c r="X1246" s="14" t="str">
        <f>IFERROR(__xludf.DUMMYFUNCTION("""COMPUTED_VALUE"""),"有")</f>
        <v>有</v>
      </c>
      <c r="Y1246" s="8" t="str">
        <f>IFERROR(__xludf.DUMMYFUNCTION("""COMPUTED_VALUE"""),"P15まで")</f>
        <v>P15まで</v>
      </c>
      <c r="Z1246" s="7"/>
      <c r="AA1246" s="7"/>
      <c r="AB1246" s="7"/>
    </row>
    <row r="1247" ht="15.75" customHeight="1">
      <c r="A1247" s="26">
        <f>IFERROR(__xludf.DUMMYFUNCTION("""COMPUTED_VALUE"""),2994.0)</f>
        <v>2994</v>
      </c>
      <c r="B1247" s="31" t="str">
        <f>IFERROR(__xludf.DUMMYFUNCTION("""COMPUTED_VALUE"""),"確定")</f>
        <v>確定</v>
      </c>
      <c r="C1247" s="28">
        <f>IFERROR(__xludf.DUMMYFUNCTION("""COMPUTED_VALUE"""),45343.0)</f>
        <v>45343</v>
      </c>
      <c r="D1247" s="28">
        <f>IFERROR(__xludf.DUMMYFUNCTION("""COMPUTED_VALUE"""),45364.0)</f>
        <v>45364</v>
      </c>
      <c r="E1247" s="31">
        <f>IFERROR(__xludf.DUMMYFUNCTION("""COMPUTED_VALUE"""),291135.0)</f>
        <v>291135</v>
      </c>
      <c r="F1247" s="31" t="str">
        <f>IFERROR(__xludf.DUMMYFUNCTION("""COMPUTED_VALUE"""),"巻き添えで異世界に喚び出されたので、世界観無視して和菓子作ります【単話】")</f>
        <v>巻き添えで異世界に喚び出されたので、世界観無視して和菓子作ります【単話】</v>
      </c>
      <c r="G1247" s="20" t="str">
        <f>IFERROR(__xludf.DUMMYFUNCTION("""COMPUTED_VALUE"""),"1~3")</f>
        <v>1~3</v>
      </c>
      <c r="H1247" s="31" t="str">
        <f>IFERROR(__xludf.DUMMYFUNCTION("""COMPUTED_VALUE"""),"原作:和泉杏花 漫画:天乃こと")</f>
        <v>原作:和泉杏花 漫画:天乃こと</v>
      </c>
      <c r="I1247" s="52" t="str">
        <f>IFERROR(__xludf.DUMMYFUNCTION("""COMPUTED_VALUE"""),"少女")</f>
        <v>少女</v>
      </c>
      <c r="J1247" s="31"/>
      <c r="K1247" s="31"/>
      <c r="L1247" s="31" t="str">
        <f>IFERROR(__xludf.DUMMYFUNCTION("""COMPUTED_VALUE"""),"小学館")</f>
        <v>小学館</v>
      </c>
      <c r="M1247" s="23">
        <f>IFERROR(__xludf.DUMMYFUNCTION("""COMPUTED_VALUE"""),45400.0)</f>
        <v>45400</v>
      </c>
      <c r="N1247" s="47">
        <f>IFERROR(__xludf.DUMMYFUNCTION("""COMPUTED_VALUE"""),45461.0)</f>
        <v>45461</v>
      </c>
      <c r="O1247" s="20"/>
      <c r="P1247" s="34" t="str">
        <f>IFERROR(__xludf.DUMMYFUNCTION("""COMPUTED_VALUE"""),"否")</f>
        <v>否</v>
      </c>
      <c r="Q1247" s="30" t="str">
        <f>IFERROR(__xludf.DUMMYFUNCTION("""COMPUTED_VALUE"""),"広告コミットOK(2/27)")</f>
        <v>広告コミットOK(2/27)</v>
      </c>
      <c r="R1247" s="31"/>
      <c r="S1247" s="31" t="str">
        <f>IFERROR(__xludf.DUMMYFUNCTION("""COMPUTED_VALUE"""),"20240306_小学館_巻き添えで異世界に喚び出されたので、世界観無視して和菓子作ります【単話】")</f>
        <v>20240306_小学館_巻き添えで異世界に喚び出されたので、世界観無視して和菓子作ります【単話】</v>
      </c>
      <c r="T1247" s="31" t="str">
        <f>IFERROR(__xludf.DUMMYFUNCTION("""COMPUTED_VALUE"""),"格納済み")</f>
        <v>格納済み</v>
      </c>
      <c r="U1247" s="15" t="str">
        <f>IFERROR(__xludf.DUMMYFUNCTION("""COMPUTED_VALUE"""),"(C)和泉杏花・天乃こと / 小学館")</f>
        <v>(C)和泉杏花・天乃こと / 小学館</v>
      </c>
      <c r="V1247" s="8" t="str">
        <f>IFERROR(__xludf.DUMMYFUNCTION("""COMPUTED_VALUE"""),"慣れない異世界で夢を叶え、秘めた力で異世界を救う!?　異文化交流ラブ！
和菓子カフェを開くという夢を持ち修業に励んでいた小百合は、ある日突然、異世界に召喚される。
しかし、同時に別の『聖女』が召喚されていて、小百合の存在は間違いだったと言われてしまい……
困惑し途方にくれた小百合に手を差し伸べたのは、召喚儀式の責任者で公爵家次男のセリウスだった。
無愛想な彼に促され、ひとまず公爵家に身を寄せることにした小百合は異世界で夢を叶えるために、ある行動に出るーー！")</f>
        <v>慣れない異世界で夢を叶え、秘めた力で異世界を救う!?　異文化交流ラブ！
和菓子カフェを開くという夢を持ち修業に励んでいた小百合は、ある日突然、異世界に召喚される。
しかし、同時に別の『聖女』が召喚されていて、小百合の存在は間違いだったと言われてしまい……
困惑し途方にくれた小百合に手を差し伸べたのは、召喚儀式の責任者で公爵家次男のセリウスだった。
無愛想な彼に促され、ひとまず公爵家に身を寄せることにした小百合は異世界で夢を叶えるために、ある行動に出るーー！</v>
      </c>
      <c r="W1247" s="14"/>
      <c r="X1247" s="14" t="str">
        <f>IFERROR(__xludf.DUMMYFUNCTION("""COMPUTED_VALUE"""),"有")</f>
        <v>有</v>
      </c>
      <c r="Y1247" s="8" t="str">
        <f>IFERROR(__xludf.DUMMYFUNCTION("""COMPUTED_VALUE"""),"6/18まで1巻無料")</f>
        <v>6/18まで1巻無料</v>
      </c>
      <c r="Z1247" s="7"/>
      <c r="AA1247" s="7"/>
      <c r="AB1247" s="7"/>
    </row>
    <row r="1248" ht="15.75" customHeight="1">
      <c r="A1248" s="26">
        <f>IFERROR(__xludf.DUMMYFUNCTION("""COMPUTED_VALUE"""),3036.0)</f>
        <v>3036</v>
      </c>
      <c r="B1248" s="31" t="str">
        <f>IFERROR(__xludf.DUMMYFUNCTION("""COMPUTED_VALUE"""),"確定")</f>
        <v>確定</v>
      </c>
      <c r="C1248" s="28">
        <f>IFERROR(__xludf.DUMMYFUNCTION("""COMPUTED_VALUE"""),45352.0)</f>
        <v>45352</v>
      </c>
      <c r="D1248" s="28">
        <f>IFERROR(__xludf.DUMMYFUNCTION("""COMPUTED_VALUE"""),45364.0)</f>
        <v>45364</v>
      </c>
      <c r="E1248" s="31">
        <f>IFERROR(__xludf.DUMMYFUNCTION("""COMPUTED_VALUE"""),290203.0)</f>
        <v>290203</v>
      </c>
      <c r="F1248" s="31" t="str">
        <f>IFERROR(__xludf.DUMMYFUNCTION("""COMPUTED_VALUE"""),"なやめるときも、すこやかなるときも")</f>
        <v>なやめるときも、すこやかなるときも</v>
      </c>
      <c r="G1248" s="11" t="str">
        <f>IFERROR(__xludf.DUMMYFUNCTION("""COMPUTED_VALUE"""),"1～2")</f>
        <v>1～2</v>
      </c>
      <c r="H1248" s="31" t="str">
        <f>IFERROR(__xludf.DUMMYFUNCTION("""COMPUTED_VALUE"""),"おおくまシロ")</f>
        <v>おおくまシロ</v>
      </c>
      <c r="I1248" s="31" t="str">
        <f>IFERROR(__xludf.DUMMYFUNCTION("""COMPUTED_VALUE"""),"BL")</f>
        <v>BL</v>
      </c>
      <c r="J1248" s="31"/>
      <c r="K1248" s="31"/>
      <c r="L1248" s="31" t="str">
        <f>IFERROR(__xludf.DUMMYFUNCTION("""COMPUTED_VALUE"""),"MUGENUP")</f>
        <v>MUGENUP</v>
      </c>
      <c r="M1248" s="23">
        <f>IFERROR(__xludf.DUMMYFUNCTION("""COMPUTED_VALUE"""),45388.0)</f>
        <v>45388</v>
      </c>
      <c r="N1248" s="23">
        <f>IFERROR(__xludf.DUMMYFUNCTION("""COMPUTED_VALUE"""),45478.0)</f>
        <v>45478</v>
      </c>
      <c r="O1248" s="20"/>
      <c r="P1248" s="34" t="str">
        <f>IFERROR(__xludf.DUMMYFUNCTION("""COMPUTED_VALUE"""),"可")</f>
        <v>可</v>
      </c>
      <c r="Q1248" s="31" t="str">
        <f>IFERROR(__xludf.DUMMYFUNCTION("""COMPUTED_VALUE"""),"広告コミットOK(3/11)")</f>
        <v>広告コミットOK(3/11)</v>
      </c>
      <c r="R1248" s="31" t="str">
        <f>IFERROR(__xludf.DUMMYFUNCTION("""COMPUTED_VALUE"""),"格納済み")</f>
        <v>格納済み</v>
      </c>
      <c r="S1248" s="31" t="str">
        <f>IFERROR(__xludf.DUMMYFUNCTION("""COMPUTED_VALUE"""),"20240311_MUGENUP_2作品")</f>
        <v>20240311_MUGENUP_2作品</v>
      </c>
      <c r="T1248" s="31" t="str">
        <f>IFERROR(__xludf.DUMMYFUNCTION("""COMPUTED_VALUE"""),"格納済み")</f>
        <v>格納済み</v>
      </c>
      <c r="U1248" s="15" t="str">
        <f>IFERROR(__xludf.DUMMYFUNCTION("""COMPUTED_VALUE"""),"(C) おおくまシロ／MUGENUP")</f>
        <v>(C) おおくまシロ／MUGENUP</v>
      </c>
      <c r="V1248" s="8" t="str">
        <f>IFERROR(__xludf.DUMMYFUNCTION("""COMPUTED_VALUE"""),"「けっこんはね、いちばん好きな人とするのよ」
高校生になり、昔住んでいた街に戻ってきた冴(さえ)。
幼い頃に結婚の約束をした男の子がいたが、相手は当然忘れているだろうと思っていた。
しかし、入学式で出会った人懐っこい同級生・翼(つばさ)から熱い視線を感じて──？
小さな約束から始まった、男子高校生ふたりのピュアな恋物語。")</f>
        <v>「けっこんはね、いちばん好きな人とするのよ」
高校生になり、昔住んでいた街に戻ってきた冴(さえ)。
幼い頃に結婚の約束をした男の子がいたが、相手は当然忘れているだろうと思っていた。
しかし、入学式で出会った人懐っこい同級生・翼(つばさ)から熱い視線を感じて──？
小さな約束から始まった、男子高校生ふたりのピュアな恋物語。</v>
      </c>
      <c r="W1248" s="14"/>
      <c r="X1248" s="14" t="str">
        <f>IFERROR(__xludf.DUMMYFUNCTION("""COMPUTED_VALUE"""),"有")</f>
        <v>有</v>
      </c>
      <c r="Y1248" s="8" t="str">
        <f>IFERROR(__xludf.DUMMYFUNCTION("""COMPUTED_VALUE"""),"P9まで")</f>
        <v>P9まで</v>
      </c>
      <c r="Z1248" s="7"/>
      <c r="AA1248" s="7"/>
      <c r="AB1248" s="7"/>
    </row>
    <row r="1249" ht="15.75" customHeight="1">
      <c r="A1249" s="26">
        <f>IFERROR(__xludf.DUMMYFUNCTION("""COMPUTED_VALUE"""),3037.0)</f>
        <v>3037</v>
      </c>
      <c r="B1249" s="31" t="str">
        <f>IFERROR(__xludf.DUMMYFUNCTION("""COMPUTED_VALUE"""),"確定")</f>
        <v>確定</v>
      </c>
      <c r="C1249" s="28">
        <f>IFERROR(__xludf.DUMMYFUNCTION("""COMPUTED_VALUE"""),45352.0)</f>
        <v>45352</v>
      </c>
      <c r="D1249" s="28">
        <f>IFERROR(__xludf.DUMMYFUNCTION("""COMPUTED_VALUE"""),45364.0)</f>
        <v>45364</v>
      </c>
      <c r="E1249" s="31">
        <f>IFERROR(__xludf.DUMMYFUNCTION("""COMPUTED_VALUE"""),290204.0)</f>
        <v>290204</v>
      </c>
      <c r="F1249" s="31" t="str">
        <f>IFERROR(__xludf.DUMMYFUNCTION("""COMPUTED_VALUE"""),"天才オメガ、幼なじみベータを運命の番にしてみせます")</f>
        <v>天才オメガ、幼なじみベータを運命の番にしてみせます</v>
      </c>
      <c r="G1249" s="11" t="str">
        <f>IFERROR(__xludf.DUMMYFUNCTION("""COMPUTED_VALUE"""),"1～2")</f>
        <v>1～2</v>
      </c>
      <c r="H1249" s="31" t="str">
        <f>IFERROR(__xludf.DUMMYFUNCTION("""COMPUTED_VALUE"""),"ねぎし（negishi）")</f>
        <v>ねぎし（negishi）</v>
      </c>
      <c r="I1249" s="31" t="str">
        <f>IFERROR(__xludf.DUMMYFUNCTION("""COMPUTED_VALUE"""),"BL")</f>
        <v>BL</v>
      </c>
      <c r="J1249" s="31"/>
      <c r="K1249" s="31"/>
      <c r="L1249" s="31" t="str">
        <f>IFERROR(__xludf.DUMMYFUNCTION("""COMPUTED_VALUE"""),"MUGENUP")</f>
        <v>MUGENUP</v>
      </c>
      <c r="M1249" s="23">
        <f>IFERROR(__xludf.DUMMYFUNCTION("""COMPUTED_VALUE"""),45388.0)</f>
        <v>45388</v>
      </c>
      <c r="N1249" s="23">
        <f>IFERROR(__xludf.DUMMYFUNCTION("""COMPUTED_VALUE"""),45478.0)</f>
        <v>45478</v>
      </c>
      <c r="O1249" s="20"/>
      <c r="P1249" s="34" t="str">
        <f>IFERROR(__xludf.DUMMYFUNCTION("""COMPUTED_VALUE"""),"可")</f>
        <v>可</v>
      </c>
      <c r="Q1249" s="31" t="str">
        <f>IFERROR(__xludf.DUMMYFUNCTION("""COMPUTED_VALUE"""),"広告コミットOK(3/11)")</f>
        <v>広告コミットOK(3/11)</v>
      </c>
      <c r="R1249" s="31" t="str">
        <f>IFERROR(__xludf.DUMMYFUNCTION("""COMPUTED_VALUE"""),"格納済み")</f>
        <v>格納済み</v>
      </c>
      <c r="S1249" s="31" t="str">
        <f>IFERROR(__xludf.DUMMYFUNCTION("""COMPUTED_VALUE"""),"20240311_MUGENUP_2作品")</f>
        <v>20240311_MUGENUP_2作品</v>
      </c>
      <c r="T1249" s="31" t="str">
        <f>IFERROR(__xludf.DUMMYFUNCTION("""COMPUTED_VALUE"""),"格納済み")</f>
        <v>格納済み</v>
      </c>
      <c r="U1249" s="15" t="str">
        <f>IFERROR(__xludf.DUMMYFUNCTION("""COMPUTED_VALUE"""),"(C) ねぎし（negishi）／MUGENUP")</f>
        <v>(C) ねぎし（negishi）／MUGENUP</v>
      </c>
      <c r="V1249" s="8" t="str">
        <f>IFERROR(__xludf.DUMMYFUNCTION("""COMPUTED_VALUE"""),"「僕の運命のつがい…なってくれるよね？」
新聞社に勤めるベータの孝之(たかゆき)は、突然職を失い飲み屋で荒れていた。
今後どうしようかと悩んでいると、幼い頃に仲の良かった雫(しずく)と偶然再会する。
雫はオメガでありながらバース性研究センターで研究員として働いており、優秀なアルファにも引けを取らない天才だった。
《後天的に》バース性を転換する方法を研究しており、助手を探していると話す雫に、孝之は天の助けとばかりに立候補をするが……。
前代未聞!?
お人好し凡人ベータ×どうしても番になりたい天才オメガの、運"&amp;"命を変えるオメガバース・ラブコメディ！")</f>
        <v>「僕の運命のつがい…なってくれるよね？」
新聞社に勤めるベータの孝之(たかゆき)は、突然職を失い飲み屋で荒れていた。
今後どうしようかと悩んでいると、幼い頃に仲の良かった雫(しずく)と偶然再会する。
雫はオメガでありながらバース性研究センターで研究員として働いており、優秀なアルファにも引けを取らない天才だった。
《後天的に》バース性を転換する方法を研究しており、助手を探していると話す雫に、孝之は天の助けとばかりに立候補をするが……。
前代未聞!?
お人好し凡人ベータ×どうしても番になりたい天才オメガの、運命を変えるオメガバース・ラブコメディ！</v>
      </c>
      <c r="W1249" s="14"/>
      <c r="X1249" s="14" t="str">
        <f>IFERROR(__xludf.DUMMYFUNCTION("""COMPUTED_VALUE"""),"有")</f>
        <v>有</v>
      </c>
      <c r="Y1249" s="8" t="str">
        <f>IFERROR(__xludf.DUMMYFUNCTION("""COMPUTED_VALUE"""),"P17まで")</f>
        <v>P17まで</v>
      </c>
      <c r="Z1249" s="7"/>
      <c r="AA1249" s="7"/>
      <c r="AB1249" s="7"/>
    </row>
    <row r="1250" ht="105.0" customHeight="1">
      <c r="A1250" s="26">
        <f>IFERROR(__xludf.DUMMYFUNCTION("""COMPUTED_VALUE"""),3061.0)</f>
        <v>3061</v>
      </c>
      <c r="B1250" s="31" t="str">
        <f>IFERROR(__xludf.DUMMYFUNCTION("""COMPUTED_VALUE"""),"確定")</f>
        <v>確定</v>
      </c>
      <c r="C1250" s="28">
        <f>IFERROR(__xludf.DUMMYFUNCTION("""COMPUTED_VALUE"""),45357.0)</f>
        <v>45357</v>
      </c>
      <c r="D1250" s="28">
        <f>IFERROR(__xludf.DUMMYFUNCTION("""COMPUTED_VALUE"""),45362.0)</f>
        <v>45362</v>
      </c>
      <c r="E1250" s="31">
        <f>IFERROR(__xludf.DUMMYFUNCTION("""COMPUTED_VALUE"""),289464.0)</f>
        <v>289464</v>
      </c>
      <c r="F1250" s="31" t="str">
        <f>IFERROR(__xludf.DUMMYFUNCTION("""COMPUTED_VALUE"""),"愛人転生 —サレ妻は死んだ後に復讐する—")</f>
        <v>愛人転生 —サレ妻は死んだ後に復讐する—</v>
      </c>
      <c r="G1250" s="20" t="str">
        <f>IFERROR(__xludf.DUMMYFUNCTION("""COMPUTED_VALUE"""),"1～3")</f>
        <v>1～3</v>
      </c>
      <c r="H1250" s="31" t="str">
        <f>IFERROR(__xludf.DUMMYFUNCTION("""COMPUTED_VALUE"""),"原作／池田聖子 漫画／久嘉めいら")</f>
        <v>原作／池田聖子 漫画／久嘉めいら</v>
      </c>
      <c r="I1250" s="31" t="str">
        <f>IFERROR(__xludf.DUMMYFUNCTION("""COMPUTED_VALUE"""),"女性")</f>
        <v>女性</v>
      </c>
      <c r="J1250" s="31"/>
      <c r="K1250" s="31"/>
      <c r="L1250" s="31" t="str">
        <f>IFERROR(__xludf.DUMMYFUNCTION("""COMPUTED_VALUE"""),"taskey")</f>
        <v>taskey</v>
      </c>
      <c r="M1250" s="23">
        <f>IFERROR(__xludf.DUMMYFUNCTION("""COMPUTED_VALUE"""),45372.0)</f>
        <v>45372</v>
      </c>
      <c r="N1250" s="23">
        <f>IFERROR(__xludf.DUMMYFUNCTION("""COMPUTED_VALUE"""),45433.0)</f>
        <v>45433</v>
      </c>
      <c r="O1250" s="20"/>
      <c r="P1250" s="32" t="str">
        <f>IFERROR(__xludf.DUMMYFUNCTION("""COMPUTED_VALUE"""),"可")</f>
        <v>可</v>
      </c>
      <c r="Q1250" s="30"/>
      <c r="R1250" s="31"/>
      <c r="S1250" s="31" t="str">
        <f>IFERROR(__xludf.DUMMYFUNCTION("""COMPUTED_VALUE"""),"20240306_taskey_新作2作品")</f>
        <v>20240306_taskey_新作2作品</v>
      </c>
      <c r="T1250" s="31" t="str">
        <f>IFERROR(__xludf.DUMMYFUNCTION("""COMPUTED_VALUE"""),"格納済み")</f>
        <v>格納済み</v>
      </c>
      <c r="U1250" s="15" t="str">
        <f>IFERROR(__xludf.DUMMYFUNCTION("""COMPUTED_VALUE"""),"©︎taskey 原作／池田聖子 漫画／久嘉めいら")</f>
        <v>©︎taskey 原作／池田聖子 漫画／久嘉めいら</v>
      </c>
      <c r="V1250" s="8" t="str">
        <f>IFERROR(__xludf.DUMMYFUNCTION("""COMPUTED_VALUE"""),"あなたが愛するこの身体で、人生めちゃくちゃにしてあげる")</f>
        <v>あなたが愛するこの身体で、人生めちゃくちゃにしてあげる</v>
      </c>
      <c r="W1250" s="14"/>
      <c r="X1250" s="14" t="str">
        <f>IFERROR(__xludf.DUMMYFUNCTION("""COMPUTED_VALUE"""),"有")</f>
        <v>有</v>
      </c>
      <c r="Y1250" s="8" t="str">
        <f>IFERROR(__xludf.DUMMYFUNCTION("""COMPUTED_VALUE"""),"2024/5/21まで1巻無料")</f>
        <v>2024/5/21まで1巻無料</v>
      </c>
      <c r="Z1250" s="7"/>
      <c r="AA1250" s="7"/>
      <c r="AB1250" s="7"/>
    </row>
    <row r="1251" ht="102.0" customHeight="1">
      <c r="A1251" s="26">
        <f>IFERROR(__xludf.DUMMYFUNCTION("""COMPUTED_VALUE"""),3063.0)</f>
        <v>3063</v>
      </c>
      <c r="B1251" s="31" t="str">
        <f>IFERROR(__xludf.DUMMYFUNCTION("""COMPUTED_VALUE"""),"確定")</f>
        <v>確定</v>
      </c>
      <c r="C1251" s="28">
        <f>IFERROR(__xludf.DUMMYFUNCTION("""COMPUTED_VALUE"""),45357.0)</f>
        <v>45357</v>
      </c>
      <c r="D1251" s="28">
        <f>IFERROR(__xludf.DUMMYFUNCTION("""COMPUTED_VALUE"""),45362.0)</f>
        <v>45362</v>
      </c>
      <c r="E1251" s="31">
        <f>IFERROR(__xludf.DUMMYFUNCTION("""COMPUTED_VALUE"""),289665.0)</f>
        <v>289665</v>
      </c>
      <c r="F1251" s="31" t="str">
        <f>IFERROR(__xludf.DUMMYFUNCTION("""COMPUTED_VALUE"""),"わたくし、悪役令嬢のアレクシアでございます")</f>
        <v>わたくし、悪役令嬢のアレクシアでございます</v>
      </c>
      <c r="G1251" s="20">
        <f>IFERROR(__xludf.DUMMYFUNCTION("""COMPUTED_VALUE"""),1.0)</f>
        <v>1</v>
      </c>
      <c r="H1251" s="31" t="str">
        <f>IFERROR(__xludf.DUMMYFUNCTION("""COMPUTED_VALUE"""),"漫画：新城一 原作：宮之みやこ")</f>
        <v>漫画：新城一 原作：宮之みやこ</v>
      </c>
      <c r="I1251" s="31" t="str">
        <f>IFERROR(__xludf.DUMMYFUNCTION("""COMPUTED_VALUE"""),"少女")</f>
        <v>少女</v>
      </c>
      <c r="J1251" s="31"/>
      <c r="K1251" s="31"/>
      <c r="L1251" s="31" t="str">
        <f>IFERROR(__xludf.DUMMYFUNCTION("""COMPUTED_VALUE"""),"マッグガーデン")</f>
        <v>マッグガーデン</v>
      </c>
      <c r="M1251" s="23">
        <f>IFERROR(__xludf.DUMMYFUNCTION("""COMPUTED_VALUE"""),45383.0)</f>
        <v>45383</v>
      </c>
      <c r="N1251" s="23">
        <f>IFERROR(__xludf.DUMMYFUNCTION("""COMPUTED_VALUE"""),45473.0)</f>
        <v>45473</v>
      </c>
      <c r="O1251" s="20"/>
      <c r="P1251" s="32" t="str">
        <f>IFERROR(__xludf.DUMMYFUNCTION("""COMPUTED_VALUE"""),"可")</f>
        <v>可</v>
      </c>
      <c r="Q1251" s="30"/>
      <c r="R1251" s="31"/>
      <c r="S1251" s="31" t="str">
        <f>IFERROR(__xludf.DUMMYFUNCTION("""COMPUTED_VALUE"""),"20240306_マッグガーデン_わたくし、悪役令嬢のアレクシアでございます")</f>
        <v>20240306_マッグガーデン_わたくし、悪役令嬢のアレクシアでございます</v>
      </c>
      <c r="T1251" s="31" t="str">
        <f>IFERROR(__xludf.DUMMYFUNCTION("""COMPUTED_VALUE"""),"格納済み")</f>
        <v>格納済み</v>
      </c>
      <c r="U1251" s="15" t="str">
        <f>IFERROR(__xludf.DUMMYFUNCTION("""COMPUTED_VALUE"""),"(C)宮之みやこ (C)新城一/MAG Garden")</f>
        <v>(C)宮之みやこ (C)新城一/MAG Garden</v>
      </c>
      <c r="V1251" s="8" t="str">
        <f>IFERROR(__xludf.DUMMYFUNCTION("""COMPUTED_VALUE"""),"執事と共に“悪役令嬢”になりますわ！※この作品は『訳アリ悪役令嬢たちが幸せな溺愛生活を掴むまで アンソロジーコミック』に収録されている同タイトルを、同一の内容にて分冊版として再編集したものです。")</f>
        <v>執事と共に“悪役令嬢”になりますわ！※この作品は『訳アリ悪役令嬢たちが幸せな溺愛生活を掴むまで アンソロジーコミック』に収録されている同タイトルを、同一の内容にて分冊版として再編集したものです。</v>
      </c>
      <c r="W1251" s="14"/>
      <c r="X1251" s="14" t="str">
        <f>IFERROR(__xludf.DUMMYFUNCTION("""COMPUTED_VALUE"""),"有")</f>
        <v>有</v>
      </c>
      <c r="Y1251" s="8" t="str">
        <f>IFERROR(__xludf.DUMMYFUNCTION("""COMPUTED_VALUE"""),"P13まで")</f>
        <v>P13まで</v>
      </c>
      <c r="Z1251" s="7"/>
      <c r="AA1251" s="7"/>
      <c r="AB1251" s="7"/>
    </row>
    <row r="1252" ht="97.5" customHeight="1">
      <c r="A1252" s="26">
        <f>IFERROR(__xludf.DUMMYFUNCTION("""COMPUTED_VALUE"""),3064.0)</f>
        <v>3064</v>
      </c>
      <c r="B1252" s="31" t="str">
        <f>IFERROR(__xludf.DUMMYFUNCTION("""COMPUTED_VALUE"""),"確定")</f>
        <v>確定</v>
      </c>
      <c r="C1252" s="28">
        <f>IFERROR(__xludf.DUMMYFUNCTION("""COMPUTED_VALUE"""),45357.0)</f>
        <v>45357</v>
      </c>
      <c r="D1252" s="28">
        <f>IFERROR(__xludf.DUMMYFUNCTION("""COMPUTED_VALUE"""),45362.0)</f>
        <v>45362</v>
      </c>
      <c r="E1252" s="31">
        <f>IFERROR(__xludf.DUMMYFUNCTION("""COMPUTED_VALUE"""),289664.0)</f>
        <v>289664</v>
      </c>
      <c r="F1252" s="31" t="str">
        <f>IFERROR(__xludf.DUMMYFUNCTION("""COMPUTED_VALUE"""),"悪役令嬢に転生したので、最強美少年を育て上げて生き延びようとしたら執着されました")</f>
        <v>悪役令嬢に転生したので、最強美少年を育て上げて生き延びようとしたら執着されました</v>
      </c>
      <c r="G1252" s="20">
        <f>IFERROR(__xludf.DUMMYFUNCTION("""COMPUTED_VALUE"""),1.0)</f>
        <v>1</v>
      </c>
      <c r="H1252" s="31" t="str">
        <f>IFERROR(__xludf.DUMMYFUNCTION("""COMPUTED_VALUE"""),"漫画：牧田ロン 原作：琴子")</f>
        <v>漫画：牧田ロン 原作：琴子</v>
      </c>
      <c r="I1252" s="31" t="str">
        <f>IFERROR(__xludf.DUMMYFUNCTION("""COMPUTED_VALUE"""),"少女")</f>
        <v>少女</v>
      </c>
      <c r="J1252" s="31"/>
      <c r="K1252" s="31"/>
      <c r="L1252" s="31" t="str">
        <f>IFERROR(__xludf.DUMMYFUNCTION("""COMPUTED_VALUE"""),"マッグガーデン")</f>
        <v>マッグガーデン</v>
      </c>
      <c r="M1252" s="23">
        <f>IFERROR(__xludf.DUMMYFUNCTION("""COMPUTED_VALUE"""),45383.0)</f>
        <v>45383</v>
      </c>
      <c r="N1252" s="23">
        <f>IFERROR(__xludf.DUMMYFUNCTION("""COMPUTED_VALUE"""),45473.0)</f>
        <v>45473</v>
      </c>
      <c r="O1252" s="20"/>
      <c r="P1252" s="32" t="str">
        <f>IFERROR(__xludf.DUMMYFUNCTION("""COMPUTED_VALUE"""),"可")</f>
        <v>可</v>
      </c>
      <c r="Q1252" s="30"/>
      <c r="R1252" s="31"/>
      <c r="S1252" s="31" t="str">
        <f>IFERROR(__xludf.DUMMYFUNCTION("""COMPUTED_VALUE"""),"20240306_マッグガーデン_悪役令嬢に転生したので、最強美少年を育て上げて生き延びようとしたら執着されました")</f>
        <v>20240306_マッグガーデン_悪役令嬢に転生したので、最強美少年を育て上げて生き延びようとしたら執着されました</v>
      </c>
      <c r="T1252" s="31" t="str">
        <f>IFERROR(__xludf.DUMMYFUNCTION("""COMPUTED_VALUE"""),"格納済み")</f>
        <v>格納済み</v>
      </c>
      <c r="U1252" s="15" t="str">
        <f>IFERROR(__xludf.DUMMYFUNCTION("""COMPUTED_VALUE"""),"(C)Kotoko (C)牧田ロン/MAG Garden")</f>
        <v>(C)Kotoko (C)牧田ロン/MAG Garden</v>
      </c>
      <c r="V1252" s="8" t="str">
        <f>IFERROR(__xludf.DUMMYFUNCTION("""COMPUTED_VALUE"""),"最強美少年を育てたら、執着されました。※この作品は『訳アリ悪役令嬢たちが幸せな溺愛生活を掴むまで アンソロジーコミック』に収録されている同タイトルを、同一の内容にて分冊版として再編集したものです。")</f>
        <v>最強美少年を育てたら、執着されました。※この作品は『訳アリ悪役令嬢たちが幸せな溺愛生活を掴むまで アンソロジーコミック』に収録されている同タイトルを、同一の内容にて分冊版として再編集したものです。</v>
      </c>
      <c r="W1252" s="14"/>
      <c r="X1252" s="14" t="str">
        <f>IFERROR(__xludf.DUMMYFUNCTION("""COMPUTED_VALUE"""),"有")</f>
        <v>有</v>
      </c>
      <c r="Y1252" s="8" t="str">
        <f>IFERROR(__xludf.DUMMYFUNCTION("""COMPUTED_VALUE"""),"P14まで")</f>
        <v>P14まで</v>
      </c>
      <c r="Z1252" s="7"/>
      <c r="AA1252" s="7"/>
      <c r="AB1252" s="7"/>
    </row>
    <row r="1253" ht="97.5" customHeight="1">
      <c r="A1253" s="26">
        <f>IFERROR(__xludf.DUMMYFUNCTION("""COMPUTED_VALUE"""),3065.0)</f>
        <v>3065</v>
      </c>
      <c r="B1253" s="31" t="str">
        <f>IFERROR(__xludf.DUMMYFUNCTION("""COMPUTED_VALUE"""),"確定")</f>
        <v>確定</v>
      </c>
      <c r="C1253" s="28">
        <f>IFERROR(__xludf.DUMMYFUNCTION("""COMPUTED_VALUE"""),45357.0)</f>
        <v>45357</v>
      </c>
      <c r="D1253" s="28">
        <f>IFERROR(__xludf.DUMMYFUNCTION("""COMPUTED_VALUE"""),45362.0)</f>
        <v>45362</v>
      </c>
      <c r="E1253" s="31">
        <f>IFERROR(__xludf.DUMMYFUNCTION("""COMPUTED_VALUE"""),289666.0)</f>
        <v>289666</v>
      </c>
      <c r="F1253" s="31" t="str">
        <f>IFERROR(__xludf.DUMMYFUNCTION("""COMPUTED_VALUE"""),"怪物令嬢レマニュエルの受難")</f>
        <v>怪物令嬢レマニュエルの受難</v>
      </c>
      <c r="G1253" s="20">
        <f>IFERROR(__xludf.DUMMYFUNCTION("""COMPUTED_VALUE"""),1.0)</f>
        <v>1</v>
      </c>
      <c r="H1253" s="31" t="str">
        <f>IFERROR(__xludf.DUMMYFUNCTION("""COMPUTED_VALUE"""),"漫画：十的々マト")</f>
        <v>漫画：十的々マト</v>
      </c>
      <c r="I1253" s="31" t="str">
        <f>IFERROR(__xludf.DUMMYFUNCTION("""COMPUTED_VALUE"""),"少女")</f>
        <v>少女</v>
      </c>
      <c r="J1253" s="31"/>
      <c r="K1253" s="31"/>
      <c r="L1253" s="31" t="str">
        <f>IFERROR(__xludf.DUMMYFUNCTION("""COMPUTED_VALUE"""),"マッグガーデン")</f>
        <v>マッグガーデン</v>
      </c>
      <c r="M1253" s="23">
        <f>IFERROR(__xludf.DUMMYFUNCTION("""COMPUTED_VALUE"""),45383.0)</f>
        <v>45383</v>
      </c>
      <c r="N1253" s="23">
        <f>IFERROR(__xludf.DUMMYFUNCTION("""COMPUTED_VALUE"""),45473.0)</f>
        <v>45473</v>
      </c>
      <c r="O1253" s="20"/>
      <c r="P1253" s="32" t="str">
        <f>IFERROR(__xludf.DUMMYFUNCTION("""COMPUTED_VALUE"""),"可")</f>
        <v>可</v>
      </c>
      <c r="Q1253" s="30"/>
      <c r="R1253" s="31"/>
      <c r="S1253" s="31" t="str">
        <f>IFERROR(__xludf.DUMMYFUNCTION("""COMPUTED_VALUE"""),"20240306_マッグガーデン_怪物令嬢レマニュエルの受難")</f>
        <v>20240306_マッグガーデン_怪物令嬢レマニュエルの受難</v>
      </c>
      <c r="T1253" s="31" t="str">
        <f>IFERROR(__xludf.DUMMYFUNCTION("""COMPUTED_VALUE"""),"格納済み")</f>
        <v>格納済み</v>
      </c>
      <c r="U1253" s="15" t="str">
        <f>IFERROR(__xludf.DUMMYFUNCTION("""COMPUTED_VALUE"""),"(C)十的々マト/MAG Garden")</f>
        <v>(C)十的々マト/MAG Garden</v>
      </c>
      <c r="V1253" s="8" t="str">
        <f>IFERROR(__xludf.DUMMYFUNCTION("""COMPUTED_VALUE"""),"婚約破棄の落とし前は、拳(パワー)でつけます！※この作品は『訳アリ悪役令嬢たちが幸せな溺愛生活を掴むまで アンソロジーコミック』に収録されている同タイトルを、同一の内容にて分冊版として再編集したものです。")</f>
        <v>婚約破棄の落とし前は、拳(パワー)でつけます！※この作品は『訳アリ悪役令嬢たちが幸せな溺愛生活を掴むまで アンソロジーコミック』に収録されている同タイトルを、同一の内容にて分冊版として再編集したものです。</v>
      </c>
      <c r="W1253" s="14"/>
      <c r="X1253" s="14" t="str">
        <f>IFERROR(__xludf.DUMMYFUNCTION("""COMPUTED_VALUE"""),"有")</f>
        <v>有</v>
      </c>
      <c r="Y1253" s="8" t="str">
        <f>IFERROR(__xludf.DUMMYFUNCTION("""COMPUTED_VALUE"""),"P12まで")</f>
        <v>P12まで</v>
      </c>
      <c r="Z1253" s="7"/>
      <c r="AA1253" s="7"/>
      <c r="AB1253" s="7"/>
    </row>
    <row r="1254" ht="87.0" customHeight="1">
      <c r="A1254" s="26">
        <f>IFERROR(__xludf.DUMMYFUNCTION("""COMPUTED_VALUE"""),3066.0)</f>
        <v>3066</v>
      </c>
      <c r="B1254" s="31" t="str">
        <f>IFERROR(__xludf.DUMMYFUNCTION("""COMPUTED_VALUE"""),"確定")</f>
        <v>確定</v>
      </c>
      <c r="C1254" s="28">
        <f>IFERROR(__xludf.DUMMYFUNCTION("""COMPUTED_VALUE"""),45357.0)</f>
        <v>45357</v>
      </c>
      <c r="D1254" s="28">
        <f>IFERROR(__xludf.DUMMYFUNCTION("""COMPUTED_VALUE"""),45363.0)</f>
        <v>45363</v>
      </c>
      <c r="E1254" s="31">
        <f>IFERROR(__xludf.DUMMYFUNCTION("""COMPUTED_VALUE"""),289663.0)</f>
        <v>289663</v>
      </c>
      <c r="F1254" s="31" t="str">
        <f>IFERROR(__xludf.DUMMYFUNCTION("""COMPUTED_VALUE"""),"氷の死神令嬢は、温かな溺愛に溶かされる")</f>
        <v>氷の死神令嬢は、温かな溺愛に溶かされる</v>
      </c>
      <c r="G1254" s="20">
        <f>IFERROR(__xludf.DUMMYFUNCTION("""COMPUTED_VALUE"""),1.0)</f>
        <v>1</v>
      </c>
      <c r="H1254" s="31" t="str">
        <f>IFERROR(__xludf.DUMMYFUNCTION("""COMPUTED_VALUE"""),"漫画：黒水かなた 原作：雨川透子")</f>
        <v>漫画：黒水かなた 原作：雨川透子</v>
      </c>
      <c r="I1254" s="22" t="str">
        <f>IFERROR(__xludf.DUMMYFUNCTION("""COMPUTED_VALUE"""),"少女")</f>
        <v>少女</v>
      </c>
      <c r="J1254" s="31"/>
      <c r="K1254" s="31"/>
      <c r="L1254" s="31" t="str">
        <f>IFERROR(__xludf.DUMMYFUNCTION("""COMPUTED_VALUE"""),"マッグガーデン")</f>
        <v>マッグガーデン</v>
      </c>
      <c r="M1254" s="23">
        <f>IFERROR(__xludf.DUMMYFUNCTION("""COMPUTED_VALUE"""),45383.0)</f>
        <v>45383</v>
      </c>
      <c r="N1254" s="23">
        <f>IFERROR(__xludf.DUMMYFUNCTION("""COMPUTED_VALUE"""),45473.0)</f>
        <v>45473</v>
      </c>
      <c r="O1254" s="20"/>
      <c r="P1254" s="34" t="str">
        <f>IFERROR(__xludf.DUMMYFUNCTION("""COMPUTED_VALUE"""),"可")</f>
        <v>可</v>
      </c>
      <c r="Q1254" s="30" t="str">
        <f>IFERROR(__xludf.DUMMYFUNCTION("""COMPUTED_VALUE"""),"(C)Amekawa Touko (C)黒水かなた/MAG Garden")</f>
        <v>(C)Amekawa Touko (C)黒水かなた/MAG Garden</v>
      </c>
      <c r="R1254" s="31"/>
      <c r="S1254" s="31" t="str">
        <f>IFERROR(__xludf.DUMMYFUNCTION("""COMPUTED_VALUE"""),"20240306_マッグガーデン_氷の死神令嬢は、温かな溺愛に溶かされる")</f>
        <v>20240306_マッグガーデン_氷の死神令嬢は、温かな溺愛に溶かされる</v>
      </c>
      <c r="T1254" s="31" t="str">
        <f>IFERROR(__xludf.DUMMYFUNCTION("""COMPUTED_VALUE"""),"格納済み")</f>
        <v>格納済み</v>
      </c>
      <c r="U1254" s="15" t="str">
        <f>IFERROR(__xludf.DUMMYFUNCTION("""COMPUTED_VALUE"""),"(C)Amekawa Touko (C)黒水かなた/MAG Garden")</f>
        <v>(C)Amekawa Touko (C)黒水かなた/MAG Garden</v>
      </c>
      <c r="V1254" s="8" t="str">
        <f>IFERROR(__xludf.DUMMYFUNCTION("""COMPUTED_VALUE"""),"氷の令嬢は太陽の王太子に愛される―。※この作品は『訳アリ悪役令嬢たちが幸せな溺愛生活を掴むまで アンソロジーコミック』に収録されている同タイトルを、同一の内容にて分冊版として再編集したものです。")</f>
        <v>氷の令嬢は太陽の王太子に愛される―。※この作品は『訳アリ悪役令嬢たちが幸せな溺愛生活を掴むまで アンソロジーコミック』に収録されている同タイトルを、同一の内容にて分冊版として再編集したものです。</v>
      </c>
      <c r="W1254" s="14"/>
      <c r="X1254" s="14" t="str">
        <f>IFERROR(__xludf.DUMMYFUNCTION("""COMPUTED_VALUE"""),"有")</f>
        <v>有</v>
      </c>
      <c r="Y1254" s="8" t="str">
        <f>IFERROR(__xludf.DUMMYFUNCTION("""COMPUTED_VALUE"""),"P16まで")</f>
        <v>P16まで</v>
      </c>
      <c r="Z1254" s="7"/>
      <c r="AA1254" s="7"/>
      <c r="AB1254" s="7"/>
    </row>
    <row r="1255" ht="102.0" customHeight="1">
      <c r="A1255" s="26">
        <f>IFERROR(__xludf.DUMMYFUNCTION("""COMPUTED_VALUE"""),3067.0)</f>
        <v>3067</v>
      </c>
      <c r="B1255" s="31" t="str">
        <f>IFERROR(__xludf.DUMMYFUNCTION("""COMPUTED_VALUE"""),"確定")</f>
        <v>確定</v>
      </c>
      <c r="C1255" s="28">
        <f>IFERROR(__xludf.DUMMYFUNCTION("""COMPUTED_VALUE"""),45357.0)</f>
        <v>45357</v>
      </c>
      <c r="D1255" s="28">
        <f>IFERROR(__xludf.DUMMYFUNCTION("""COMPUTED_VALUE"""),45363.0)</f>
        <v>45363</v>
      </c>
      <c r="E1255" s="31">
        <f>IFERROR(__xludf.DUMMYFUNCTION("""COMPUTED_VALUE"""),289668.0)</f>
        <v>289668</v>
      </c>
      <c r="F1255" s="31" t="str">
        <f>IFERROR(__xludf.DUMMYFUNCTION("""COMPUTED_VALUE"""),"不細工と言われ婚約破棄されたので、美人になるメイク技術を習得しました！")</f>
        <v>不細工と言われ婚約破棄されたので、美人になるメイク技術を習得しました！</v>
      </c>
      <c r="G1255" s="20">
        <f>IFERROR(__xludf.DUMMYFUNCTION("""COMPUTED_VALUE"""),1.0)</f>
        <v>1</v>
      </c>
      <c r="H1255" s="31" t="str">
        <f>IFERROR(__xludf.DUMMYFUNCTION("""COMPUTED_VALUE"""),"漫画：海人井槙")</f>
        <v>漫画：海人井槙</v>
      </c>
      <c r="I1255" s="31" t="str">
        <f>IFERROR(__xludf.DUMMYFUNCTION("""COMPUTED_VALUE"""),"少女")</f>
        <v>少女</v>
      </c>
      <c r="J1255" s="31"/>
      <c r="K1255" s="31"/>
      <c r="L1255" s="31" t="str">
        <f>IFERROR(__xludf.DUMMYFUNCTION("""COMPUTED_VALUE"""),"マッグガーデン")</f>
        <v>マッグガーデン</v>
      </c>
      <c r="M1255" s="23">
        <f>IFERROR(__xludf.DUMMYFUNCTION("""COMPUTED_VALUE"""),45383.0)</f>
        <v>45383</v>
      </c>
      <c r="N1255" s="23">
        <f>IFERROR(__xludf.DUMMYFUNCTION("""COMPUTED_VALUE"""),45473.0)</f>
        <v>45473</v>
      </c>
      <c r="O1255" s="20"/>
      <c r="P1255" s="32" t="str">
        <f>IFERROR(__xludf.DUMMYFUNCTION("""COMPUTED_VALUE"""),"可")</f>
        <v>可</v>
      </c>
      <c r="Q1255" s="30"/>
      <c r="R1255" s="31"/>
      <c r="S1255" s="31" t="str">
        <f>IFERROR(__xludf.DUMMYFUNCTION("""COMPUTED_VALUE"""),"20240306_マッグガーデン_不細工と言われ婚約破棄されたので、美人になるメイク技術を習得しました！")</f>
        <v>20240306_マッグガーデン_不細工と言われ婚約破棄されたので、美人になるメイク技術を習得しました！</v>
      </c>
      <c r="T1255" s="31" t="str">
        <f>IFERROR(__xludf.DUMMYFUNCTION("""COMPUTED_VALUE"""),"格納済み")</f>
        <v>格納済み</v>
      </c>
      <c r="U1255" s="15" t="str">
        <f>IFERROR(__xludf.DUMMYFUNCTION("""COMPUTED_VALUE"""),"(C)Maki Amai/MAG Garden")</f>
        <v>(C)Maki Amai/MAG Garden</v>
      </c>
      <c r="V1255" s="8" t="str">
        <f>IFERROR(__xludf.DUMMYFUNCTION("""COMPUTED_VALUE"""),"婚約破棄されたので、美しくなりました。※この作品は『訳アリ悪役令嬢たちが幸せな溺愛生活を掴むまで アンソロジーコミック』に収録されている同タイトルを、同一の内容にて分冊版として再編集したものです。")</f>
        <v>婚約破棄されたので、美しくなりました。※この作品は『訳アリ悪役令嬢たちが幸せな溺愛生活を掴むまで アンソロジーコミック』に収録されている同タイトルを、同一の内容にて分冊版として再編集したものです。</v>
      </c>
      <c r="W1255" s="14"/>
      <c r="X1255" s="14" t="str">
        <f>IFERROR(__xludf.DUMMYFUNCTION("""COMPUTED_VALUE"""),"有")</f>
        <v>有</v>
      </c>
      <c r="Y1255" s="8" t="str">
        <f>IFERROR(__xludf.DUMMYFUNCTION("""COMPUTED_VALUE"""),"P11まで")</f>
        <v>P11まで</v>
      </c>
      <c r="Z1255" s="7"/>
      <c r="AA1255" s="7"/>
      <c r="AB1255" s="7"/>
    </row>
    <row r="1256" ht="15.75" customHeight="1">
      <c r="A1256" s="26">
        <f>IFERROR(__xludf.DUMMYFUNCTION("""COMPUTED_VALUE"""),3068.0)</f>
        <v>3068</v>
      </c>
      <c r="B1256" s="31" t="str">
        <f>IFERROR(__xludf.DUMMYFUNCTION("""COMPUTED_VALUE"""),"確定")</f>
        <v>確定</v>
      </c>
      <c r="C1256" s="28">
        <f>IFERROR(__xludf.DUMMYFUNCTION("""COMPUTED_VALUE"""),45357.0)</f>
        <v>45357</v>
      </c>
      <c r="D1256" s="28">
        <f>IFERROR(__xludf.DUMMYFUNCTION("""COMPUTED_VALUE"""),45363.0)</f>
        <v>45363</v>
      </c>
      <c r="E1256" s="31">
        <f>IFERROR(__xludf.DUMMYFUNCTION("""COMPUTED_VALUE"""),289378.0)</f>
        <v>289378</v>
      </c>
      <c r="F1256" s="31" t="str">
        <f>IFERROR(__xludf.DUMMYFUNCTION("""COMPUTED_VALUE"""),"不倫暴露パーティ")</f>
        <v>不倫暴露パーティ</v>
      </c>
      <c r="G1256" s="20" t="str">
        <f>IFERROR(__xludf.DUMMYFUNCTION("""COMPUTED_VALUE"""),"1～5")</f>
        <v>1～5</v>
      </c>
      <c r="H1256" s="31" t="str">
        <f>IFERROR(__xludf.DUMMYFUNCTION("""COMPUTED_VALUE"""),"葵衣ころも／COMIC ROOM")</f>
        <v>葵衣ころも／COMIC ROOM</v>
      </c>
      <c r="I1256" s="31" t="str">
        <f>IFERROR(__xludf.DUMMYFUNCTION("""COMPUTED_VALUE"""),"女性")</f>
        <v>女性</v>
      </c>
      <c r="J1256" s="31"/>
      <c r="K1256" s="31"/>
      <c r="L1256" s="31" t="str">
        <f>IFERROR(__xludf.DUMMYFUNCTION("""COMPUTED_VALUE"""),"コミックルーム")</f>
        <v>コミックルーム</v>
      </c>
      <c r="M1256" s="23">
        <f>IFERROR(__xludf.DUMMYFUNCTION("""COMPUTED_VALUE"""),45380.0)</f>
        <v>45380</v>
      </c>
      <c r="N1256" s="23">
        <f>IFERROR(__xludf.DUMMYFUNCTION("""COMPUTED_VALUE"""),45565.66666666667)</f>
        <v>45565.66667</v>
      </c>
      <c r="O1256" s="20"/>
      <c r="P1256" s="32" t="str">
        <f>IFERROR(__xludf.DUMMYFUNCTION("""COMPUTED_VALUE"""),"可")</f>
        <v>可</v>
      </c>
      <c r="Q1256" s="30"/>
      <c r="R1256" s="31"/>
      <c r="S1256" s="31" t="str">
        <f>IFERROR(__xludf.DUMMYFUNCTION("""COMPUTED_VALUE"""),"20240306_コミックルーム_3月新作")</f>
        <v>20240306_コミックルーム_3月新作</v>
      </c>
      <c r="T1256" s="31" t="str">
        <f>IFERROR(__xludf.DUMMYFUNCTION("""COMPUTED_VALUE"""),"格納済み")</f>
        <v>格納済み</v>
      </c>
      <c r="U1256" s="15" t="str">
        <f>IFERROR(__xludf.DUMMYFUNCTION("""COMPUTED_VALUE"""),"©葵衣ころも／COMIC ROOM")</f>
        <v>©葵衣ころも／COMIC ROOM</v>
      </c>
      <c r="V1256" s="8" t="str">
        <f>IFERROR(__xludf.DUMMYFUNCTION("""COMPUTED_VALUE"""),"鈴木あゆみは悩んでいた。学生時代「キング」と呼ばれていた夫・拓也のモラハラぶりについていけないのだ。
夫は青春の延長の如く”いつメン”たちを家に招き、あゆみに酒や食事を用意させては飲めや歌えの大騒ぎ。
それでも辛抱強く夫に尽くすあゆみだったが、ある日いつメンの一人であるヤンキー女と夫の不倫関係が発覚！まぐわいながら、睦言の様にあゆみの悪口を垂れ流す二人に、あゆみの我慢もついに限界を迎え…？
不倫暴露パーティ、開催決定！")</f>
        <v>鈴木あゆみは悩んでいた。学生時代「キング」と呼ばれていた夫・拓也のモラハラぶりについていけないのだ。
夫は青春の延長の如く”いつメン”たちを家に招き、あゆみに酒や食事を用意させては飲めや歌えの大騒ぎ。
それでも辛抱強く夫に尽くすあゆみだったが、ある日いつメンの一人であるヤンキー女と夫の不倫関係が発覚！まぐわいながら、睦言の様にあゆみの悪口を垂れ流す二人に、あゆみの我慢もついに限界を迎え…？
不倫暴露パーティ、開催決定！</v>
      </c>
      <c r="W1256" s="14"/>
      <c r="X1256" s="14" t="str">
        <f>IFERROR(__xludf.DUMMYFUNCTION("""COMPUTED_VALUE"""),"有")</f>
        <v>有</v>
      </c>
      <c r="Y1256" s="8" t="str">
        <f>IFERROR(__xludf.DUMMYFUNCTION("""COMPUTED_VALUE"""),"2024/6/27まで1巻無料")</f>
        <v>2024/6/27まで1巻無料</v>
      </c>
      <c r="Z1256" s="7"/>
      <c r="AA1256" s="7"/>
      <c r="AB1256" s="7"/>
    </row>
    <row r="1257" ht="15.75" customHeight="1">
      <c r="A1257" s="26">
        <f>IFERROR(__xludf.DUMMYFUNCTION("""COMPUTED_VALUE"""),3069.0)</f>
        <v>3069</v>
      </c>
      <c r="B1257" s="31" t="str">
        <f>IFERROR(__xludf.DUMMYFUNCTION("""COMPUTED_VALUE"""),"確定")</f>
        <v>確定</v>
      </c>
      <c r="C1257" s="28">
        <f>IFERROR(__xludf.DUMMYFUNCTION("""COMPUTED_VALUE"""),45357.0)</f>
        <v>45357</v>
      </c>
      <c r="D1257" s="28">
        <f>IFERROR(__xludf.DUMMYFUNCTION("""COMPUTED_VALUE"""),45363.0)</f>
        <v>45363</v>
      </c>
      <c r="E1257" s="31">
        <f>IFERROR(__xludf.DUMMYFUNCTION("""COMPUTED_VALUE"""),289639.0)</f>
        <v>289639</v>
      </c>
      <c r="F1257" s="31" t="str">
        <f>IFERROR(__xludf.DUMMYFUNCTION("""COMPUTED_VALUE"""),"皇妃エリザベートのしくじり人生やりなおし")</f>
        <v>皇妃エリザベートのしくじり人生やりなおし</v>
      </c>
      <c r="G1257" s="11" t="str">
        <f>IFERROR(__xludf.DUMMYFUNCTION("""COMPUTED_VALUE"""),"1～2")</f>
        <v>1～2</v>
      </c>
      <c r="H1257" s="31" t="str">
        <f>IFERROR(__xludf.DUMMYFUNCTION("""COMPUTED_VALUE"""),"江本マシメサ┴まちだりつ┴シキユリ")</f>
        <v>江本マシメサ┴まちだりつ┴シキユリ</v>
      </c>
      <c r="I1257" s="31" t="str">
        <f>IFERROR(__xludf.DUMMYFUNCTION("""COMPUTED_VALUE"""),"女性")</f>
        <v>女性</v>
      </c>
      <c r="J1257" s="31"/>
      <c r="K1257" s="31"/>
      <c r="L1257" s="31" t="str">
        <f>IFERROR(__xludf.DUMMYFUNCTION("""COMPUTED_VALUE"""),"二見書房")</f>
        <v>二見書房</v>
      </c>
      <c r="M1257" s="23">
        <f>IFERROR(__xludf.DUMMYFUNCTION("""COMPUTED_VALUE"""),45373.0)</f>
        <v>45373</v>
      </c>
      <c r="N1257" s="23">
        <f>IFERROR(__xludf.DUMMYFUNCTION("""COMPUTED_VALUE"""),45435.0)</f>
        <v>45435</v>
      </c>
      <c r="O1257" s="20"/>
      <c r="P1257" s="32" t="str">
        <f>IFERROR(__xludf.DUMMYFUNCTION("""COMPUTED_VALUE"""),"可")</f>
        <v>可</v>
      </c>
      <c r="Q1257" s="30"/>
      <c r="R1257" s="31"/>
      <c r="S1257" s="31" t="str">
        <f>IFERROR(__xludf.DUMMYFUNCTION("""COMPUTED_VALUE"""),"20240306_二見書房_新作")</f>
        <v>20240306_二見書房_新作</v>
      </c>
      <c r="T1257" s="31" t="str">
        <f>IFERROR(__xludf.DUMMYFUNCTION("""COMPUTED_VALUE"""),"格納済み")</f>
        <v>格納済み</v>
      </c>
      <c r="U1257" s="15" t="str">
        <f>IFERROR(__xludf.DUMMYFUNCTION("""COMPUTED_VALUE"""),"(C)シキユリ・江本マシメサ・まちだりつ・宵マチ／二見書房")</f>
        <v>(C)シキユリ・江本マシメサ・まちだりつ・宵マチ／二見書房</v>
      </c>
      <c r="V1257" s="8" t="str">
        <f>IFERROR(__xludf.DUMMYFUNCTION("""COMPUTED_VALUE"""),"二回目の人生は、絶対に幸せになってみせる。
悲劇の人生を終えたエリザベート。
だが一回目の人生の記憶のまま少女時代へ逆戻り!?
皇帝との二度目の出会いと恋を描く歴史ファンタジー。
暗殺者の凶刃に倒れ六十年の生涯を閉じたオーストリア皇妃エリザベート。ところが、一回目の人生の記憶そのままに、六歳の少女時代へ逆戻り!?　二度と不幸な人生は歩みたくないと、運命の分岐点だったフランツ・ヨーゼフとの出会いを回避し、見初められることのないようガリ勉少女に変貌を遂げるのだが…。転生エリザベートと堅物皇帝フランツ・ヨーゼフ"&amp;"の二度目の出会いと恋を描く、甘く瑞々しい歴史ファンタジー。")</f>
        <v>二回目の人生は、絶対に幸せになってみせる。
悲劇の人生を終えたエリザベート。
だが一回目の人生の記憶のまま少女時代へ逆戻り!?
皇帝との二度目の出会いと恋を描く歴史ファンタジー。
暗殺者の凶刃に倒れ六十年の生涯を閉じたオーストリア皇妃エリザベート。ところが、一回目の人生の記憶そのままに、六歳の少女時代へ逆戻り!?　二度と不幸な人生は歩みたくないと、運命の分岐点だったフランツ・ヨーゼフとの出会いを回避し、見初められることのないようガリ勉少女に変貌を遂げるのだが…。転生エリザベートと堅物皇帝フランツ・ヨーゼフの二度目の出会いと恋を描く、甘く瑞々しい歴史ファンタジー。</v>
      </c>
      <c r="W1257" s="14"/>
      <c r="X1257" s="14" t="str">
        <f>IFERROR(__xludf.DUMMYFUNCTION("""COMPUTED_VALUE"""),"有")</f>
        <v>有</v>
      </c>
      <c r="Y1257" s="8" t="str">
        <f>IFERROR(__xludf.DUMMYFUNCTION("""COMPUTED_VALUE"""),"P7まで")</f>
        <v>P7まで</v>
      </c>
      <c r="Z1257" s="7"/>
      <c r="AA1257" s="7"/>
      <c r="AB1257" s="7"/>
    </row>
    <row r="1258" ht="15.75" customHeight="1">
      <c r="A1258" s="26">
        <f>IFERROR(__xludf.DUMMYFUNCTION("""COMPUTED_VALUE"""),3070.0)</f>
        <v>3070</v>
      </c>
      <c r="B1258" s="31" t="str">
        <f>IFERROR(__xludf.DUMMYFUNCTION("""COMPUTED_VALUE"""),"確定")</f>
        <v>確定</v>
      </c>
      <c r="C1258" s="28">
        <f>IFERROR(__xludf.DUMMYFUNCTION("""COMPUTED_VALUE"""),45357.0)</f>
        <v>45357</v>
      </c>
      <c r="D1258" s="28">
        <f>IFERROR(__xludf.DUMMYFUNCTION("""COMPUTED_VALUE"""),45363.0)</f>
        <v>45363</v>
      </c>
      <c r="E1258" s="31">
        <f>IFERROR(__xludf.DUMMYFUNCTION("""COMPUTED_VALUE"""),289638.0)</f>
        <v>289638</v>
      </c>
      <c r="F1258" s="31" t="str">
        <f>IFERROR(__xludf.DUMMYFUNCTION("""COMPUTED_VALUE"""),"帝都契約結婚～だんな様とわたしの幸せな秘密～")</f>
        <v>帝都契約結婚～だんな様とわたしの幸せな秘密～</v>
      </c>
      <c r="G1258" s="11" t="str">
        <f>IFERROR(__xludf.DUMMYFUNCTION("""COMPUTED_VALUE"""),"1～2")</f>
        <v>1～2</v>
      </c>
      <c r="H1258" s="31" t="str">
        <f>IFERROR(__xludf.DUMMYFUNCTION("""COMPUTED_VALUE"""),"佐々木禎子┴缶詰（かんづめ）")</f>
        <v>佐々木禎子┴缶詰（かんづめ）</v>
      </c>
      <c r="I1258" s="31" t="str">
        <f>IFERROR(__xludf.DUMMYFUNCTION("""COMPUTED_VALUE"""),"女性")</f>
        <v>女性</v>
      </c>
      <c r="J1258" s="31"/>
      <c r="K1258" s="31"/>
      <c r="L1258" s="31" t="str">
        <f>IFERROR(__xludf.DUMMYFUNCTION("""COMPUTED_VALUE"""),"二見書房")</f>
        <v>二見書房</v>
      </c>
      <c r="M1258" s="23">
        <f>IFERROR(__xludf.DUMMYFUNCTION("""COMPUTED_VALUE"""),45373.0)</f>
        <v>45373</v>
      </c>
      <c r="N1258" s="23">
        <f>IFERROR(__xludf.DUMMYFUNCTION("""COMPUTED_VALUE"""),45435.0)</f>
        <v>45435</v>
      </c>
      <c r="O1258" s="20"/>
      <c r="P1258" s="32" t="str">
        <f>IFERROR(__xludf.DUMMYFUNCTION("""COMPUTED_VALUE"""),"可")</f>
        <v>可</v>
      </c>
      <c r="Q1258" s="30"/>
      <c r="R1258" s="31"/>
      <c r="S1258" s="31" t="str">
        <f>IFERROR(__xludf.DUMMYFUNCTION("""COMPUTED_VALUE"""),"20240306_二見書房_新作")</f>
        <v>20240306_二見書房_新作</v>
      </c>
      <c r="T1258" s="31" t="str">
        <f>IFERROR(__xludf.DUMMYFUNCTION("""COMPUTED_VALUE"""),"格納済み")</f>
        <v>格納済み</v>
      </c>
      <c r="U1258" s="15" t="str">
        <f>IFERROR(__xludf.DUMMYFUNCTION("""COMPUTED_VALUE"""),"(C)缶詰・佐々木禎子・龍本みお／二見書房")</f>
        <v>(C)缶詰・佐々木禎子・龍本みお／二見書房</v>
      </c>
      <c r="V1258" s="8" t="str">
        <f>IFERROR(__xludf.DUMMYFUNCTION("""COMPUTED_VALUE"""),"たまきは桐小路馨ほど美しい男を、他に、見たことがない。
結婚時の契約に従い、侯爵夫人でありながら下働きのように家事をこなすたまきだが…。
「異能」のための結婚が紡いだひそやかな幸せの物語。
わたしの人生は幸せで満たされています――。たまきは美貌の侯爵、桐小路馨に十八歳で嫁いだ。結婚時の契約に従い、侯爵夫人でありながら家事全般をこなし、コマネズミのように働く日々。さらには、人の未来を「継ぐ」ことのできる馨のもとに持ち込まれる依頼の数々に、人の生死を「見る」たまきの力で手助けすることが求められる"&amp;"。しかしそれは、馨がずっと誰にも言えずに抱えてきた秘密に触れることだった…。")</f>
        <v>たまきは桐小路馨ほど美しい男を、他に、見たことがない。
結婚時の契約に従い、侯爵夫人でありながら下働きのように家事をこなすたまきだが…。
「異能」のための結婚が紡いだひそやかな幸せの物語。
わたしの人生は幸せで満たされています――。たまきは美貌の侯爵、桐小路馨に十八歳で嫁いだ。結婚時の契約に従い、侯爵夫人でありながら家事全般をこなし、コマネズミのように働く日々。さらには、人の未来を「継ぐ」ことのできる馨のもとに持ち込まれる依頼の数々に、人の生死を「見る」たまきの力で手助けすることが求められる。しかしそれは、馨がずっと誰にも言えずに抱えてきた秘密に触れることだった…。</v>
      </c>
      <c r="W1258" s="14"/>
      <c r="X1258" s="14" t="str">
        <f>IFERROR(__xludf.DUMMYFUNCTION("""COMPUTED_VALUE"""),"有")</f>
        <v>有</v>
      </c>
      <c r="Y1258" s="8" t="str">
        <f>IFERROR(__xludf.DUMMYFUNCTION("""COMPUTED_VALUE"""),"P7まで")</f>
        <v>P7まで</v>
      </c>
      <c r="Z1258" s="7"/>
      <c r="AA1258" s="7"/>
      <c r="AB1258" s="7"/>
    </row>
    <row r="1259" ht="15.75" customHeight="1">
      <c r="A1259" s="26">
        <f>IFERROR(__xludf.DUMMYFUNCTION("""COMPUTED_VALUE"""),3071.0)</f>
        <v>3071</v>
      </c>
      <c r="B1259" s="31" t="str">
        <f>IFERROR(__xludf.DUMMYFUNCTION("""COMPUTED_VALUE"""),"確定")</f>
        <v>確定</v>
      </c>
      <c r="C1259" s="28">
        <f>IFERROR(__xludf.DUMMYFUNCTION("""COMPUTED_VALUE"""),45357.0)</f>
        <v>45357</v>
      </c>
      <c r="D1259" s="28">
        <f>IFERROR(__xludf.DUMMYFUNCTION("""COMPUTED_VALUE"""),45363.0)</f>
        <v>45363</v>
      </c>
      <c r="E1259" s="31">
        <f>IFERROR(__xludf.DUMMYFUNCTION("""COMPUTED_VALUE"""),291350.0)</f>
        <v>291350</v>
      </c>
      <c r="F1259" s="31" t="str">
        <f>IFERROR(__xludf.DUMMYFUNCTION("""COMPUTED_VALUE"""),"成金商家物語～ツンデレおじさんは美人な年下女性をイヤイヤ娶る～")</f>
        <v>成金商家物語～ツンデレおじさんは美人な年下女性をイヤイヤ娶る～</v>
      </c>
      <c r="G1259" s="11" t="str">
        <f>IFERROR(__xludf.DUMMYFUNCTION("""COMPUTED_VALUE"""),"1～2")</f>
        <v>1～2</v>
      </c>
      <c r="H1259" s="31" t="str">
        <f>IFERROR(__xludf.DUMMYFUNCTION("""COMPUTED_VALUE"""),"江本マシメサ 奥橋睦（おくばしむつみ）")</f>
        <v>江本マシメサ 奥橋睦（おくばしむつみ）</v>
      </c>
      <c r="I1259" s="31" t="str">
        <f>IFERROR(__xludf.DUMMYFUNCTION("""COMPUTED_VALUE"""),"女性")</f>
        <v>女性</v>
      </c>
      <c r="J1259" s="31"/>
      <c r="K1259" s="31"/>
      <c r="L1259" s="31" t="str">
        <f>IFERROR(__xludf.DUMMYFUNCTION("""COMPUTED_VALUE"""),"二見書房")</f>
        <v>二見書房</v>
      </c>
      <c r="M1259" s="23">
        <f>IFERROR(__xludf.DUMMYFUNCTION("""COMPUTED_VALUE"""),45408.0)</f>
        <v>45408</v>
      </c>
      <c r="N1259" s="23">
        <f>IFERROR(__xludf.DUMMYFUNCTION("""COMPUTED_VALUE"""),45470.0)</f>
        <v>45470</v>
      </c>
      <c r="O1259" s="20"/>
      <c r="P1259" s="32" t="str">
        <f>IFERROR(__xludf.DUMMYFUNCTION("""COMPUTED_VALUE"""),"可")</f>
        <v>可</v>
      </c>
      <c r="Q1259" s="30"/>
      <c r="R1259" s="31"/>
      <c r="S1259" s="31" t="str">
        <f>IFERROR(__xludf.DUMMYFUNCTION("""COMPUTED_VALUE"""),"20240306_二見書房_新作")</f>
        <v>20240306_二見書房_新作</v>
      </c>
      <c r="T1259" s="31" t="str">
        <f>IFERROR(__xludf.DUMMYFUNCTION("""COMPUTED_VALUE"""),"格納済み")</f>
        <v>格納済み</v>
      </c>
      <c r="U1259" s="15" t="str">
        <f>IFERROR(__xludf.DUMMYFUNCTION("""COMPUTED_VALUE"""),"（C）奥橋睦・江本マシメサ・榎本／二見書房")</f>
        <v>（C）奥橋睦・江本マシメサ・榎本／二見書房</v>
      </c>
      <c r="V1259" s="8" t="str">
        <f>IFERROR(__xludf.DUMMYFUNCTION("""COMPUTED_VALUE"""),"アルフォンソ様、私だけのかわいい人
容姿凶悪、指輪ジャラジャラ、悪い噂のつきまとう中年成金に四人目の妻としてやってきたのは長身のクール美女、しかも元騎士で!?
宝石商のアルフォンソが迎えた四人目の妻メルセデスは元騎士という異色の肩書を持つ美女。しかし不幸な生い立ちに加え三度離婚した彼は女性不信で、新婚らしさは皆無。一方のメルセデスは女主人を真面目に務めていたが、わかりづらい感情の起伏の奥で夫が心を開いてくれないことに悩んでいた。どこの夫婦も試練を乗り越えた末に家族になれるのよ――啓示を受けたメ"&amp;"ルセデスは「本当の夫婦」への模索を始めるが…。
二見サラ文庫コミカライズ！")</f>
        <v>アルフォンソ様、私だけのかわいい人
容姿凶悪、指輪ジャラジャラ、悪い噂のつきまとう中年成金に四人目の妻としてやってきたのは長身のクール美女、しかも元騎士で!?
宝石商のアルフォンソが迎えた四人目の妻メルセデスは元騎士という異色の肩書を持つ美女。しかし不幸な生い立ちに加え三度離婚した彼は女性不信で、新婚らしさは皆無。一方のメルセデスは女主人を真面目に務めていたが、わかりづらい感情の起伏の奥で夫が心を開いてくれないことに悩んでいた。どこの夫婦も試練を乗り越えた末に家族になれるのよ――啓示を受けたメルセデスは「本当の夫婦」への模索を始めるが…。
二見サラ文庫コミカライズ！</v>
      </c>
      <c r="W1259" s="14"/>
      <c r="X1259" s="14" t="str">
        <f>IFERROR(__xludf.DUMMYFUNCTION("""COMPUTED_VALUE"""),"有")</f>
        <v>有</v>
      </c>
      <c r="Y1259" s="8" t="str">
        <f>IFERROR(__xludf.DUMMYFUNCTION("""COMPUTED_VALUE"""),"2巻無料")</f>
        <v>2巻無料</v>
      </c>
      <c r="Z1259" s="7"/>
      <c r="AA1259" s="7"/>
      <c r="AB1259" s="7"/>
    </row>
    <row r="1260" ht="15.75" customHeight="1">
      <c r="A1260" s="26">
        <f>IFERROR(__xludf.DUMMYFUNCTION("""COMPUTED_VALUE"""),3074.0)</f>
        <v>3074</v>
      </c>
      <c r="B1260" s="31" t="str">
        <f>IFERROR(__xludf.DUMMYFUNCTION("""COMPUTED_VALUE"""),"確定")</f>
        <v>確定</v>
      </c>
      <c r="C1260" s="28">
        <f>IFERROR(__xludf.DUMMYFUNCTION("""COMPUTED_VALUE"""),45358.0)</f>
        <v>45358</v>
      </c>
      <c r="D1260" s="28">
        <f>IFERROR(__xludf.DUMMYFUNCTION("""COMPUTED_VALUE"""),45363.0)</f>
        <v>45363</v>
      </c>
      <c r="E1260" s="31">
        <f>IFERROR(__xludf.DUMMYFUNCTION("""COMPUTED_VALUE"""),289614.0)</f>
        <v>289614</v>
      </c>
      <c r="F1260" s="31" t="str">
        <f>IFERROR(__xludf.DUMMYFUNCTION("""COMPUTED_VALUE"""),"後輩男子は陰キャOLの世話を焼きたい～二人で子育てすることになりました～")</f>
        <v>後輩男子は陰キャOLの世話を焼きたい～二人で子育てすることになりました～</v>
      </c>
      <c r="G1260" s="20" t="str">
        <f>IFERROR(__xludf.DUMMYFUNCTION("""COMPUTED_VALUE"""),"1~5")</f>
        <v>1~5</v>
      </c>
      <c r="H1260" s="31" t="str">
        <f>IFERROR(__xludf.DUMMYFUNCTION("""COMPUTED_VALUE"""),"鹿森ゴル")</f>
        <v>鹿森ゴル</v>
      </c>
      <c r="I1260" s="31" t="str">
        <f>IFERROR(__xludf.DUMMYFUNCTION("""COMPUTED_VALUE"""),"女性")</f>
        <v>女性</v>
      </c>
      <c r="J1260" s="31"/>
      <c r="K1260" s="31"/>
      <c r="L1260" s="31" t="str">
        <f>IFERROR(__xludf.DUMMYFUNCTION("""COMPUTED_VALUE"""),"FILL-IN")</f>
        <v>FILL-IN</v>
      </c>
      <c r="M1260" s="23">
        <f>IFERROR(__xludf.DUMMYFUNCTION("""COMPUTED_VALUE"""),45387.0)</f>
        <v>45387</v>
      </c>
      <c r="N1260" s="33">
        <f>IFERROR(__xludf.DUMMYFUNCTION("""COMPUTED_VALUE"""),45568.0)</f>
        <v>45568</v>
      </c>
      <c r="O1260" s="20"/>
      <c r="P1260" s="34" t="str">
        <f>IFERROR(__xludf.DUMMYFUNCTION("""COMPUTED_VALUE"""),"可")</f>
        <v>可</v>
      </c>
      <c r="Q1260" s="30" t="str">
        <f>IFERROR(__xludf.DUMMYFUNCTION("""COMPUTED_VALUE"""),"協業レーベル『シーモア×アラモード』作品です。")</f>
        <v>協業レーベル『シーモア×アラモード』作品です。</v>
      </c>
      <c r="R1260" s="31"/>
      <c r="S1260" s="31" t="str">
        <f>IFERROR(__xludf.DUMMYFUNCTION("""COMPUTED_VALUE"""),"20240307_ライドオン_後輩男子は陰キャOLの世話を焼きたい")</f>
        <v>20240307_ライドオン_後輩男子は陰キャOLの世話を焼きたい</v>
      </c>
      <c r="T1260" s="52" t="str">
        <f>IFERROR(__xludf.DUMMYFUNCTION("""COMPUTED_VALUE"""),"格納済み")</f>
        <v>格納済み</v>
      </c>
      <c r="U1260" s="15" t="str">
        <f>IFERROR(__xludf.DUMMYFUNCTION("""COMPUTED_VALUE"""),"©鹿森ゴル/ライドオン")</f>
        <v>©鹿森ゴル/ライドオン</v>
      </c>
      <c r="V1260" s="8" t="str">
        <f>IFERROR(__xludf.DUMMYFUNCTION("""COMPUTED_VALUE"""),"32歳独身、彼氏はいないが推しはいる。そんな彼女の生活にある日降って湧いたのは…後輩男子との子育てイベント!?
――営業事務として働く鈴鳴（すずな）は、アニメが好きな普通の会社員。
学生時代の友達は続々と結婚、出産…このままでいいのかな？と思いつつも、今のところはおひとりさまライフを満喫していた。
ところが、ひょんなことから3歳の姪・きらりちゃんと同居しなければならなくなり、生活は一変！
慣れない子どもとの暮らしに奮闘する鈴鳴に協力を申し出たのは、7歳下の後輩営業マン・長戸（ながと）で…？
悟り"&amp;"系？20代男子×陰キャ気味アラサー女子、「子はかすがい」なじれじれ不器用オフィスラブ！")</f>
        <v>32歳独身、彼氏はいないが推しはいる。そんな彼女の生活にある日降って湧いたのは…後輩男子との子育てイベント!?
――営業事務として働く鈴鳴（すずな）は、アニメが好きな普通の会社員。
学生時代の友達は続々と結婚、出産…このままでいいのかな？と思いつつも、今のところはおひとりさまライフを満喫していた。
ところが、ひょんなことから3歳の姪・きらりちゃんと同居しなければならなくなり、生活は一変！
慣れない子どもとの暮らしに奮闘する鈴鳴に協力を申し出たのは、7歳下の後輩営業マン・長戸（ながと）で…？
悟り系？20代男子×陰キャ気味アラサー女子、「子はかすがい」なじれじれ不器用オフィスラブ！</v>
      </c>
      <c r="W1260" s="14"/>
      <c r="X1260" s="14" t="str">
        <f>IFERROR(__xludf.DUMMYFUNCTION("""COMPUTED_VALUE"""),"有")</f>
        <v>有</v>
      </c>
      <c r="Y1260" s="8" t="str">
        <f>IFERROR(__xludf.DUMMYFUNCTION("""COMPUTED_VALUE"""),"2024/5/2まで1巻無料")</f>
        <v>2024/5/2まで1巻無料</v>
      </c>
      <c r="Z1260" s="7"/>
      <c r="AA1260" s="7"/>
      <c r="AB1260" s="7"/>
    </row>
    <row r="1261" ht="15.75" customHeight="1">
      <c r="A1261" s="26">
        <f>IFERROR(__xludf.DUMMYFUNCTION("""COMPUTED_VALUE"""),3075.0)</f>
        <v>3075</v>
      </c>
      <c r="B1261" s="31" t="str">
        <f>IFERROR(__xludf.DUMMYFUNCTION("""COMPUTED_VALUE"""),"確定")</f>
        <v>確定</v>
      </c>
      <c r="C1261" s="28">
        <f>IFERROR(__xludf.DUMMYFUNCTION("""COMPUTED_VALUE"""),45358.0)</f>
        <v>45358</v>
      </c>
      <c r="D1261" s="28">
        <f>IFERROR(__xludf.DUMMYFUNCTION("""COMPUTED_VALUE"""),45363.0)</f>
        <v>45363</v>
      </c>
      <c r="E1261" s="31">
        <f>IFERROR(__xludf.DUMMYFUNCTION("""COMPUTED_VALUE"""),289523.0)</f>
        <v>289523</v>
      </c>
      <c r="F1261" s="31" t="str">
        <f>IFERROR(__xludf.DUMMYFUNCTION("""COMPUTED_VALUE"""),"天国に落ちろ！")</f>
        <v>天国に落ちろ！</v>
      </c>
      <c r="G1261" s="20">
        <f>IFERROR(__xludf.DUMMYFUNCTION("""COMPUTED_VALUE"""),1.0)</f>
        <v>1</v>
      </c>
      <c r="H1261" s="31" t="str">
        <f>IFERROR(__xludf.DUMMYFUNCTION("""COMPUTED_VALUE"""),"ぺこひ永久")</f>
        <v>ぺこひ永久</v>
      </c>
      <c r="I1261" s="31" t="str">
        <f>IFERROR(__xludf.DUMMYFUNCTION("""COMPUTED_VALUE"""),"BL")</f>
        <v>BL</v>
      </c>
      <c r="J1261" s="31"/>
      <c r="K1261" s="31"/>
      <c r="L1261" s="31" t="str">
        <f>IFERROR(__xludf.DUMMYFUNCTION("""COMPUTED_VALUE"""),"リブレ")</f>
        <v>リブレ</v>
      </c>
      <c r="M1261" s="23">
        <f>IFERROR(__xludf.DUMMYFUNCTION("""COMPUTED_VALUE"""),45383.0)</f>
        <v>45383</v>
      </c>
      <c r="N1261" s="23">
        <f>IFERROR(__xludf.DUMMYFUNCTION("""COMPUTED_VALUE"""),45412.0)</f>
        <v>45412</v>
      </c>
      <c r="O1261" s="20"/>
      <c r="P1261" s="34" t="str">
        <f>IFERROR(__xludf.DUMMYFUNCTION("""COMPUTED_VALUE"""),"可")</f>
        <v>可</v>
      </c>
      <c r="Q1261" s="30" t="str">
        <f>IFERROR(__xludf.DUMMYFUNCTION("""COMPUTED_VALUE"""),"プロモT（藤本さん）事前コミット済みの作品となります。&lt;BR&gt;素材は6話まで格納してますが、6話まとめて1巻分となりますので全部使用可です。")</f>
        <v>プロモT（藤本さん）事前コミット済みの作品となります。&lt;BR&gt;素材は6話まで格納してますが、6話まとめて1巻分となりますので全部使用可です。</v>
      </c>
      <c r="R1261" s="31"/>
      <c r="S1261" s="31" t="str">
        <f>IFERROR(__xludf.DUMMYFUNCTION("""COMPUTED_VALUE"""),"20240307_リブレ_天国に落ちろ！")</f>
        <v>20240307_リブレ_天国に落ちろ！</v>
      </c>
      <c r="T1261" s="31" t="str">
        <f>IFERROR(__xludf.DUMMYFUNCTION("""COMPUTED_VALUE"""),"格納済み")</f>
        <v>格納済み</v>
      </c>
      <c r="U1261" s="15" t="str">
        <f>IFERROR(__xludf.DUMMYFUNCTION("""COMPUTED_VALUE"""),"Ⓒぺこひ永久/libre")</f>
        <v>Ⓒぺこひ永久/libre</v>
      </c>
      <c r="V1261" s="8" t="str">
        <f>IFERROR(__xludf.DUMMYFUNCTION("""COMPUTED_VALUE"""),"「俺レオのことが世界で一番好き」
魔界でＨ三昧のラブラブカップル・ユーリとレオ。
業を煮やしたユーリの父・大魔王は、怠惰に過ごす2人に『人間界へ行き多くの人間を闇堕ちさせよ』という修行を課す。
悪魔として一人前になる為に、そつなく修行をこなすユーリとは反対に、優しく感情表現が苦手なレオは中々修行が進まずに…？
人間界を跨ぐ大恋愛の行く末は!?
電子限定描き下ろしマンガ1Pを収録！")</f>
        <v>「俺レオのことが世界で一番好き」
魔界でＨ三昧のラブラブカップル・ユーリとレオ。
業を煮やしたユーリの父・大魔王は、怠惰に過ごす2人に『人間界へ行き多くの人間を闇堕ちさせよ』という修行を課す。
悪魔として一人前になる為に、そつなく修行をこなすユーリとは反対に、優しく感情表現が苦手なレオは中々修行が進まずに…？
人間界を跨ぐ大恋愛の行く末は!?
電子限定描き下ろしマンガ1Pを収録！</v>
      </c>
      <c r="W1261" s="14"/>
      <c r="X1261" s="14" t="str">
        <f>IFERROR(__xludf.DUMMYFUNCTION("""COMPUTED_VALUE"""),"有")</f>
        <v>有</v>
      </c>
      <c r="Y1261" s="8" t="str">
        <f>IFERROR(__xludf.DUMMYFUNCTION("""COMPUTED_VALUE"""),"P28まで")</f>
        <v>P28まで</v>
      </c>
      <c r="Z1261" s="7"/>
      <c r="AA1261" s="7"/>
      <c r="AB1261" s="7"/>
    </row>
    <row r="1262" ht="15.75" customHeight="1">
      <c r="A1262" s="26">
        <f>IFERROR(__xludf.DUMMYFUNCTION("""COMPUTED_VALUE"""),3077.0)</f>
        <v>3077</v>
      </c>
      <c r="B1262" s="31" t="str">
        <f>IFERROR(__xludf.DUMMYFUNCTION("""COMPUTED_VALUE"""),"確定")</f>
        <v>確定</v>
      </c>
      <c r="C1262" s="28">
        <f>IFERROR(__xludf.DUMMYFUNCTION("""COMPUTED_VALUE"""),45358.0)</f>
        <v>45358</v>
      </c>
      <c r="D1262" s="28">
        <f>IFERROR(__xludf.DUMMYFUNCTION("""COMPUTED_VALUE"""),45363.0)</f>
        <v>45363</v>
      </c>
      <c r="E1262" s="31">
        <f>IFERROR(__xludf.DUMMYFUNCTION("""COMPUTED_VALUE"""),289713.0)</f>
        <v>289713</v>
      </c>
      <c r="F1262" s="31" t="str">
        <f>IFERROR(__xludf.DUMMYFUNCTION("""COMPUTED_VALUE"""),"シークレットルームシェア～女の子のヒミツ知りたい？～【フルカラー】")</f>
        <v>シークレットルームシェア～女の子のヒミツ知りたい？～【フルカラー】</v>
      </c>
      <c r="G1262" s="20" t="str">
        <f>IFERROR(__xludf.DUMMYFUNCTION("""COMPUTED_VALUE"""),"1~3")</f>
        <v>1~3</v>
      </c>
      <c r="H1262" s="31" t="str">
        <f>IFERROR(__xludf.DUMMYFUNCTION("""COMPUTED_VALUE"""),"柊ぽぷら")</f>
        <v>柊ぽぷら</v>
      </c>
      <c r="I1262" s="31" t="str">
        <f>IFERROR(__xludf.DUMMYFUNCTION("""COMPUTED_VALUE"""),"青年")</f>
        <v>青年</v>
      </c>
      <c r="J1262" s="31"/>
      <c r="K1262" s="31"/>
      <c r="L1262" s="31" t="str">
        <f>IFERROR(__xludf.DUMMYFUNCTION("""COMPUTED_VALUE"""),"CLLENN")</f>
        <v>CLLENN</v>
      </c>
      <c r="M1262" s="23">
        <f>IFERROR(__xludf.DUMMYFUNCTION("""COMPUTED_VALUE"""),45382.0)</f>
        <v>45382</v>
      </c>
      <c r="N1262" s="23">
        <f>IFERROR(__xludf.DUMMYFUNCTION("""COMPUTED_VALUE"""),45479.0)</f>
        <v>45479</v>
      </c>
      <c r="O1262" s="20"/>
      <c r="P1262" s="32" t="str">
        <f>IFERROR(__xludf.DUMMYFUNCTION("""COMPUTED_VALUE"""),"可")</f>
        <v>可</v>
      </c>
      <c r="Q1262" s="31"/>
      <c r="R1262" s="31" t="str">
        <f>IFERROR(__xludf.DUMMYFUNCTION("""COMPUTED_VALUE"""),"格納済")</f>
        <v>格納済</v>
      </c>
      <c r="S1262" s="31" t="str">
        <f>IFERROR(__xludf.DUMMYFUNCTION("""COMPUTED_VALUE"""),"20240307_CLLENN_シークレットルームシェア")</f>
        <v>20240307_CLLENN_シークレットルームシェア</v>
      </c>
      <c r="T1262" s="31" t="str">
        <f>IFERROR(__xludf.DUMMYFUNCTION("""COMPUTED_VALUE"""),"格納済み")</f>
        <v>格納済み</v>
      </c>
      <c r="U1262" s="15" t="str">
        <f>IFERROR(__xludf.DUMMYFUNCTION("""COMPUTED_VALUE"""),"ⓒ柊ぽぷら/CLLENN")</f>
        <v>ⓒ柊ぽぷら/CLLENN</v>
      </c>
      <c r="V1262" s="8" t="str">
        <f>IFERROR(__xludf.DUMMYFUNCTION("""COMPUTED_VALUE"""),"「私、経験ないから…知りたいの」――ごく普通の大学生・大和は、サークルの飲み会で終電を逃してしまう。途方にくれる大和だったが、美人で憧れの先輩・涼香に誘われ、彼女のマンションに泊めてもらうことに。今夜ワンチャンあるかも！ と期待に胸躍らす大和だったが、涼香先輩のマンションにはある秘密が…。――大和に降りかかるエッチなハプニングの数々！ 個性的なヒロインたちとの前途多難なルームシェア生活が始まる!?")</f>
        <v>「私、経験ないから…知りたいの」――ごく普通の大学生・大和は、サークルの飲み会で終電を逃してしまう。途方にくれる大和だったが、美人で憧れの先輩・涼香に誘われ、彼女のマンションに泊めてもらうことに。今夜ワンチャンあるかも！ と期待に胸躍らす大和だったが、涼香先輩のマンションにはある秘密が…。――大和に降りかかるエッチなハプニングの数々！ 個性的なヒロインたちとの前途多難なルームシェア生活が始まる!?</v>
      </c>
      <c r="W1262" s="14"/>
      <c r="X1262" s="14" t="str">
        <f>IFERROR(__xludf.DUMMYFUNCTION("""COMPUTED_VALUE"""),"有")</f>
        <v>有</v>
      </c>
      <c r="Y1262" s="8" t="str">
        <f>IFERROR(__xludf.DUMMYFUNCTION("""COMPUTED_VALUE"""),"2024/4/13まで1巻無料")</f>
        <v>2024/4/13まで1巻無料</v>
      </c>
      <c r="Z1262" s="7"/>
      <c r="AA1262" s="7"/>
      <c r="AB1262" s="7"/>
    </row>
    <row r="1263" ht="99.0" customHeight="1">
      <c r="A1263" s="26">
        <f>IFERROR(__xludf.DUMMYFUNCTION("""COMPUTED_VALUE"""),3078.0)</f>
        <v>3078</v>
      </c>
      <c r="B1263" s="31" t="str">
        <f>IFERROR(__xludf.DUMMYFUNCTION("""COMPUTED_VALUE"""),"確定")</f>
        <v>確定</v>
      </c>
      <c r="C1263" s="28">
        <f>IFERROR(__xludf.DUMMYFUNCTION("""COMPUTED_VALUE"""),45358.0)</f>
        <v>45358</v>
      </c>
      <c r="D1263" s="28">
        <f>IFERROR(__xludf.DUMMYFUNCTION("""COMPUTED_VALUE"""),45363.0)</f>
        <v>45363</v>
      </c>
      <c r="E1263" s="31">
        <f>IFERROR(__xludf.DUMMYFUNCTION("""COMPUTED_VALUE"""),287305.0)</f>
        <v>287305</v>
      </c>
      <c r="F1263" s="31" t="str">
        <f>IFERROR(__xludf.DUMMYFUNCTION("""COMPUTED_VALUE"""),"まどわせないで矢守くん(話売り)")</f>
        <v>まどわせないで矢守くん(話売り)</v>
      </c>
      <c r="G1263" s="20" t="str">
        <f>IFERROR(__xludf.DUMMYFUNCTION("""COMPUTED_VALUE"""),"1～4")</f>
        <v>1～4</v>
      </c>
      <c r="H1263" s="31" t="str">
        <f>IFERROR(__xludf.DUMMYFUNCTION("""COMPUTED_VALUE"""),"いのぐちしな")</f>
        <v>いのぐちしな</v>
      </c>
      <c r="I1263" s="31" t="str">
        <f>IFERROR(__xludf.DUMMYFUNCTION("""COMPUTED_VALUE"""),"青年")</f>
        <v>青年</v>
      </c>
      <c r="J1263" s="31"/>
      <c r="K1263" s="31"/>
      <c r="L1263" s="31" t="str">
        <f>IFERROR(__xludf.DUMMYFUNCTION("""COMPUTED_VALUE"""),"秋田書店")</f>
        <v>秋田書店</v>
      </c>
      <c r="M1263" s="23">
        <f>IFERROR(__xludf.DUMMYFUNCTION("""COMPUTED_VALUE"""),45377.0)</f>
        <v>45377</v>
      </c>
      <c r="N1263" s="23">
        <f>IFERROR(__xludf.DUMMYFUNCTION("""COMPUTED_VALUE"""),45465.0)</f>
        <v>45465</v>
      </c>
      <c r="O1263" s="20"/>
      <c r="P1263" s="34" t="str">
        <f>IFERROR(__xludf.DUMMYFUNCTION("""COMPUTED_VALUE"""),"否")</f>
        <v>否</v>
      </c>
      <c r="Q1263" s="30" t="str">
        <f>IFERROR(__xludf.DUMMYFUNCTION("""COMPUTED_VALUE"""),"0000188546_jp_0051⇒P17～58&lt;BR&gt;0000188546_jp_0052⇒P305～324&lt;BR&gt;3話分で制作お願い致します。")</f>
        <v>0000188546_jp_0051⇒P17～58&lt;BR&gt;0000188546_jp_0052⇒P305～324&lt;BR&gt;3話分で制作お願い致します。</v>
      </c>
      <c r="R1263" s="31"/>
      <c r="S1263" s="31" t="str">
        <f>IFERROR(__xludf.DUMMYFUNCTION("""COMPUTED_VALUE"""),"20240304_秋田書店_まどわせないで矢守くん")</f>
        <v>20240304_秋田書店_まどわせないで矢守くん</v>
      </c>
      <c r="T1263" s="31" t="str">
        <f>IFERROR(__xludf.DUMMYFUNCTION("""COMPUTED_VALUE"""),"格納済み")</f>
        <v>格納済み</v>
      </c>
      <c r="U1263" s="15" t="str">
        <f>IFERROR(__xludf.DUMMYFUNCTION("""COMPUTED_VALUE"""),"（C）いのぐちしな（秋田書店）")</f>
        <v>（C）いのぐちしな（秋田書店）</v>
      </c>
      <c r="V1263" s="8" t="str">
        <f>IFERROR(__xludf.DUMMYFUNCTION("""COMPUTED_VALUE"""),"後ろの席の矢守と共に夏休みにイメチェンすることを決意した森。無事夏休みデビューを果たすものの、矢守はなぜか女装してくるように。そして思わせぶりな言動ばかり取ってきて…！？だれでもヤングチャンピオン受賞！イケメン♂×美少女♂の凸凹ラブ(？)コメディ！")</f>
        <v>後ろの席の矢守と共に夏休みにイメチェンすることを決意した森。無事夏休みデビューを果たすものの、矢守はなぜか女装してくるように。そして思わせぶりな言動ばかり取ってきて…！？だれでもヤングチャンピオン受賞！イケメン♂×美少女♂の凸凹ラブ(？)コメディ！</v>
      </c>
      <c r="W1263" s="14"/>
      <c r="X1263" s="14" t="str">
        <f>IFERROR(__xludf.DUMMYFUNCTION("""COMPUTED_VALUE"""),"有")</f>
        <v>有</v>
      </c>
      <c r="Y1263" s="8" t="str">
        <f>IFERROR(__xludf.DUMMYFUNCTION("""COMPUTED_VALUE"""),"2024/6/22まで1巻無料")</f>
        <v>2024/6/22まで1巻無料</v>
      </c>
      <c r="Z1263" s="7"/>
      <c r="AA1263" s="7"/>
      <c r="AB1263" s="7"/>
    </row>
    <row r="1264" ht="15.75" customHeight="1">
      <c r="A1264" s="26">
        <f>IFERROR(__xludf.DUMMYFUNCTION("""COMPUTED_VALUE"""),3079.0)</f>
        <v>3079</v>
      </c>
      <c r="B1264" s="31" t="str">
        <f>IFERROR(__xludf.DUMMYFUNCTION("""COMPUTED_VALUE"""),"確定")</f>
        <v>確定</v>
      </c>
      <c r="C1264" s="28">
        <f>IFERROR(__xludf.DUMMYFUNCTION("""COMPUTED_VALUE"""),45359.0)</f>
        <v>45359</v>
      </c>
      <c r="D1264" s="28">
        <f>IFERROR(__xludf.DUMMYFUNCTION("""COMPUTED_VALUE"""),45363.0)</f>
        <v>45363</v>
      </c>
      <c r="E1264" s="31">
        <f>IFERROR(__xludf.DUMMYFUNCTION("""COMPUTED_VALUE"""),290213.0)</f>
        <v>290213</v>
      </c>
      <c r="F1264" s="31" t="str">
        <f>IFERROR(__xludf.DUMMYFUNCTION("""COMPUTED_VALUE"""),"星降る街のエイリアンズ ～シングルマザーの憂い恋～")</f>
        <v>星降る街のエイリアンズ ～シングルマザーの憂い恋～</v>
      </c>
      <c r="G1264" s="20" t="str">
        <f>IFERROR(__xludf.DUMMYFUNCTION("""COMPUTED_VALUE"""),"1～3")</f>
        <v>1～3</v>
      </c>
      <c r="H1264" s="31" t="str">
        <f>IFERROR(__xludf.DUMMYFUNCTION("""COMPUTED_VALUE"""),"［作画］内海痣［原作］猪子道小町［構成］煤乃団子")</f>
        <v>［作画］内海痣［原作］猪子道小町［構成］煤乃団子</v>
      </c>
      <c r="I1264" s="31" t="str">
        <f>IFERROR(__xludf.DUMMYFUNCTION("""COMPUTED_VALUE"""),"女性")</f>
        <v>女性</v>
      </c>
      <c r="J1264" s="31"/>
      <c r="K1264" s="31"/>
      <c r="L1264" s="31" t="str">
        <f>IFERROR(__xludf.DUMMYFUNCTION("""COMPUTED_VALUE"""),"ICE")</f>
        <v>ICE</v>
      </c>
      <c r="M1264" s="23">
        <f>IFERROR(__xludf.DUMMYFUNCTION("""COMPUTED_VALUE"""),45393.0)</f>
        <v>45393</v>
      </c>
      <c r="N1264" s="23">
        <f>IFERROR(__xludf.DUMMYFUNCTION("""COMPUTED_VALUE"""),45483.0)</f>
        <v>45483</v>
      </c>
      <c r="O1264" s="20"/>
      <c r="P1264" s="32" t="str">
        <f>IFERROR(__xludf.DUMMYFUNCTION("""COMPUTED_VALUE"""),"可")</f>
        <v>可</v>
      </c>
      <c r="Q1264" s="30"/>
      <c r="R1264" s="31"/>
      <c r="S1264" s="31" t="str">
        <f>IFERROR(__xludf.DUMMYFUNCTION("""COMPUTED_VALUE"""),"20240311_ICE_4月新作")</f>
        <v>20240311_ICE_4月新作</v>
      </c>
      <c r="T1264" s="31" t="str">
        <f>IFERROR(__xludf.DUMMYFUNCTION("""COMPUTED_VALUE"""),"格納済み")</f>
        <v>格納済み</v>
      </c>
      <c r="U1264" s="15" t="str">
        <f>IFERROR(__xludf.DUMMYFUNCTION("""COMPUTED_VALUE"""),"©Aza Uchimi・Komachi Shishimichi・Dango Susuno / ICE")</f>
        <v>©Aza Uchimi・Komachi Shishimichi・Dango Susuno / ICE</v>
      </c>
      <c r="V1264" s="8" t="str">
        <f>IFERROR(__xludf.DUMMYFUNCTION("""COMPUTED_VALUE"""),"フリーランスのデザイナーとして地方都市で働く小鳥遊夏（たかなし・なつ）は小学生の子供を持つシングルマザー。地方ならではの独特の人間関係の中で仕事に子育てに追われていた。ある日、いつもの喫茶店の喫煙所で見慣れない若い男性に声をかけられる。後日、彼は夏も参加しているプロジェクトに東京の代理店から派遣されたディレクター・甲斐裕太だったことが発覚する。なにかと空気を読まずに夏に絡む甲斐に、夏は戸惑いを覚えるが――。")</f>
        <v>フリーランスのデザイナーとして地方都市で働く小鳥遊夏（たかなし・なつ）は小学生の子供を持つシングルマザー。地方ならではの独特の人間関係の中で仕事に子育てに追われていた。ある日、いつもの喫茶店の喫煙所で見慣れない若い男性に声をかけられる。後日、彼は夏も参加しているプロジェクトに東京の代理店から派遣されたディレクター・甲斐裕太だったことが発覚する。なにかと空気を読まずに夏に絡む甲斐に、夏は戸惑いを覚えるが――。</v>
      </c>
      <c r="W1264" s="14"/>
      <c r="X1264" s="14" t="str">
        <f>IFERROR(__xludf.DUMMYFUNCTION("""COMPUTED_VALUE"""),"有")</f>
        <v>有</v>
      </c>
      <c r="Y1264" s="8" t="str">
        <f>IFERROR(__xludf.DUMMYFUNCTION("""COMPUTED_VALUE"""),"P3まで")</f>
        <v>P3まで</v>
      </c>
      <c r="Z1264" s="7"/>
      <c r="AA1264" s="7"/>
      <c r="AB1264" s="7"/>
    </row>
    <row r="1265" ht="15.75" customHeight="1">
      <c r="A1265" s="26">
        <f>IFERROR(__xludf.DUMMYFUNCTION("""COMPUTED_VALUE"""),3088.0)</f>
        <v>3088</v>
      </c>
      <c r="B1265" s="31" t="str">
        <f>IFERROR(__xludf.DUMMYFUNCTION("""COMPUTED_VALUE"""),"確定")</f>
        <v>確定</v>
      </c>
      <c r="C1265" s="28">
        <f>IFERROR(__xludf.DUMMYFUNCTION("""COMPUTED_VALUE"""),45362.0)</f>
        <v>45362</v>
      </c>
      <c r="D1265" s="28">
        <f>IFERROR(__xludf.DUMMYFUNCTION("""COMPUTED_VALUE"""),45363.0)</f>
        <v>45363</v>
      </c>
      <c r="E1265" s="31">
        <f>IFERROR(__xludf.DUMMYFUNCTION("""COMPUTED_VALUE"""),291205.0)</f>
        <v>291205</v>
      </c>
      <c r="F1265" s="31" t="str">
        <f>IFERROR(__xludf.DUMMYFUNCTION("""COMPUTED_VALUE"""),"［話売］パーフェクト上司と秘密の社内恋愛事情")</f>
        <v>［話売］パーフェクト上司と秘密の社内恋愛事情</v>
      </c>
      <c r="G1265" s="20" t="str">
        <f>IFERROR(__xludf.DUMMYFUNCTION("""COMPUTED_VALUE"""),"1～3")</f>
        <v>1～3</v>
      </c>
      <c r="H1265" s="31" t="str">
        <f>IFERROR(__xludf.DUMMYFUNCTION("""COMPUTED_VALUE"""),"［原作・漫画］花南虎じろう［原案］ネコ葦")</f>
        <v>［原作・漫画］花南虎じろう［原案］ネコ葦</v>
      </c>
      <c r="I1265" s="31" t="str">
        <f>IFERROR(__xludf.DUMMYFUNCTION("""COMPUTED_VALUE"""),"女性")</f>
        <v>女性</v>
      </c>
      <c r="J1265" s="31"/>
      <c r="K1265" s="31"/>
      <c r="L1265" s="31" t="str">
        <f>IFERROR(__xludf.DUMMYFUNCTION("""COMPUTED_VALUE"""),"ICE")</f>
        <v>ICE</v>
      </c>
      <c r="M1265" s="23">
        <f>IFERROR(__xludf.DUMMYFUNCTION("""COMPUTED_VALUE"""),45393.0)</f>
        <v>45393</v>
      </c>
      <c r="N1265" s="23">
        <f>IFERROR(__xludf.DUMMYFUNCTION("""COMPUTED_VALUE"""),45483.0)</f>
        <v>45483</v>
      </c>
      <c r="O1265" s="20"/>
      <c r="P1265" s="32" t="str">
        <f>IFERROR(__xludf.DUMMYFUNCTION("""COMPUTED_VALUE"""),"可")</f>
        <v>可</v>
      </c>
      <c r="Q1265" s="30"/>
      <c r="R1265" s="31"/>
      <c r="S1265" s="31" t="str">
        <f>IFERROR(__xludf.DUMMYFUNCTION("""COMPUTED_VALUE"""),"20240311_ICE_4月新作")</f>
        <v>20240311_ICE_4月新作</v>
      </c>
      <c r="T1265" s="31" t="str">
        <f>IFERROR(__xludf.DUMMYFUNCTION("""COMPUTED_VALUE"""),"格納済み")</f>
        <v>格納済み</v>
      </c>
      <c r="U1265" s="15" t="str">
        <f>IFERROR(__xludf.DUMMYFUNCTION("""COMPUTED_VALUE"""),"(C)Kojiro Hana・Nekoashi / ICE")</f>
        <v>(C)Kojiro Hana・Nekoashi / ICE</v>
      </c>
      <c r="V1265" s="8" t="str">
        <f>IFERROR(__xludf.DUMMYFUNCTION("""COMPUTED_VALUE"""),"”かっこいい女になりたかった　仕事をバリバリこなして　自立していて　上司にも部下にも信頼される頼もしい存在にーー” 子供の頃からの夢を実現して、総合商社で忙しい毎日を送る奥山莉央、29歳。ある日、社内のトップ案件である資源開発チームのメンバーに抜擢されるが、周囲からは「枕で仕事を取った」という陰口が…。「こちとら彼氏も作らず仕事に人生全振りしてるんだっての！ 」憂さを晴らすためにジムでキックボクシングに打ち込んでいると、勢い余って見知らぬイケメンにキックをお見舞いしてしまい…。")</f>
        <v>”かっこいい女になりたかった　仕事をバリバリこなして　自立していて　上司にも部下にも信頼される頼もしい存在にーー” 子供の頃からの夢を実現して、総合商社で忙しい毎日を送る奥山莉央、29歳。ある日、社内のトップ案件である資源開発チームのメンバーに抜擢されるが、周囲からは「枕で仕事を取った」という陰口が…。「こちとら彼氏も作らず仕事に人生全振りしてるんだっての！ 」憂さを晴らすためにジムでキックボクシングに打ち込んでいると、勢い余って見知らぬイケメンにキックをお見舞いしてしまい…。</v>
      </c>
      <c r="W1265" s="14"/>
      <c r="X1265" s="14" t="str">
        <f>IFERROR(__xludf.DUMMYFUNCTION("""COMPUTED_VALUE"""),"有")</f>
        <v>有</v>
      </c>
      <c r="Y1265" s="8" t="str">
        <f>IFERROR(__xludf.DUMMYFUNCTION("""COMPUTED_VALUE"""),"2024/5/8まで1巻無料")</f>
        <v>2024/5/8まで1巻無料</v>
      </c>
      <c r="Z1265" s="7"/>
      <c r="AA1265" s="7"/>
      <c r="AB1265" s="7"/>
    </row>
    <row r="1266" ht="111.75" customHeight="1">
      <c r="A1266" s="26">
        <f>IFERROR(__xludf.DUMMYFUNCTION("""COMPUTED_VALUE"""),3089.0)</f>
        <v>3089</v>
      </c>
      <c r="B1266" s="31" t="str">
        <f>IFERROR(__xludf.DUMMYFUNCTION("""COMPUTED_VALUE"""),"確定")</f>
        <v>確定</v>
      </c>
      <c r="C1266" s="28">
        <f>IFERROR(__xludf.DUMMYFUNCTION("""COMPUTED_VALUE"""),45363.0)</f>
        <v>45363</v>
      </c>
      <c r="D1266" s="28">
        <f>IFERROR(__xludf.DUMMYFUNCTION("""COMPUTED_VALUE"""),45364.0)</f>
        <v>45364</v>
      </c>
      <c r="E1266" s="31">
        <f>IFERROR(__xludf.DUMMYFUNCTION("""COMPUTED_VALUE"""),289217.0)</f>
        <v>289217</v>
      </c>
      <c r="F1266" s="31" t="str">
        <f>IFERROR(__xludf.DUMMYFUNCTION("""COMPUTED_VALUE"""),"ひまわりは恋の形【マイクロ】")</f>
        <v>ひまわりは恋の形【マイクロ】</v>
      </c>
      <c r="G1266" s="20" t="str">
        <f>IFERROR(__xludf.DUMMYFUNCTION("""COMPUTED_VALUE"""),"1～3")</f>
        <v>1～3</v>
      </c>
      <c r="H1266" s="31" t="str">
        <f>IFERROR(__xludf.DUMMYFUNCTION("""COMPUTED_VALUE"""),"朝井うみ┴宇山佳佑")</f>
        <v>朝井うみ┴宇山佳佑</v>
      </c>
      <c r="I1266" s="31" t="str">
        <f>IFERROR(__xludf.DUMMYFUNCTION("""COMPUTED_VALUE"""),"少女")</f>
        <v>少女</v>
      </c>
      <c r="J1266" s="31"/>
      <c r="K1266" s="31"/>
      <c r="L1266" s="31" t="str">
        <f>IFERROR(__xludf.DUMMYFUNCTION("""COMPUTED_VALUE"""),"小学館")</f>
        <v>小学館</v>
      </c>
      <c r="M1266" s="23">
        <f>IFERROR(__xludf.DUMMYFUNCTION("""COMPUTED_VALUE"""),45376.0)</f>
        <v>45376</v>
      </c>
      <c r="N1266" s="23">
        <f>IFERROR(__xludf.DUMMYFUNCTION("""COMPUTED_VALUE"""),45436.0)</f>
        <v>45436</v>
      </c>
      <c r="O1266" s="20"/>
      <c r="P1266" s="32" t="str">
        <f>IFERROR(__xludf.DUMMYFUNCTION("""COMPUTED_VALUE"""),"否")</f>
        <v>否</v>
      </c>
      <c r="Q1266" s="30"/>
      <c r="R1266" s="31"/>
      <c r="S1266" s="31" t="str">
        <f>IFERROR(__xludf.DUMMYFUNCTION("""COMPUTED_VALUE"""),"20240312_小学館_ひまわりは恋の形【マイクロ】")</f>
        <v>20240312_小学館_ひまわりは恋の形【マイクロ】</v>
      </c>
      <c r="T1266" s="31" t="str">
        <f>IFERROR(__xludf.DUMMYFUNCTION("""COMPUTED_VALUE"""),"格納済み")</f>
        <v>格納済み</v>
      </c>
      <c r="U1266" s="15" t="str">
        <f>IFERROR(__xludf.DUMMYFUNCTION("""COMPUTED_VALUE"""),"(C)朝井うみ・宇山佳佑 / 小学館")</f>
        <v>(C)朝井うみ・宇山佳佑 / 小学館</v>
      </c>
      <c r="V1266" s="8" t="str">
        <f>IFERROR(__xludf.DUMMYFUNCTION("""COMPUTED_VALUE"""),"『桜の花びら集めてみませんか？』友人から紹介された怪しいバイトを受けた日向は、待ち合わせ場所に現れた依頼主・雫に心を奪われる。再会を願う日向だが、雫には他人に打ち明けられない“秘密”があって――？
『桜のような僕の恋人』著者が描く大人気小説をコミカライズ！ 感涙必至のラブストーリー、第1話。")</f>
        <v>『桜の花びら集めてみませんか？』友人から紹介された怪しいバイトを受けた日向は、待ち合わせ場所に現れた依頼主・雫に心を奪われる。再会を願う日向だが、雫には他人に打ち明けられない“秘密”があって――？
『桜のような僕の恋人』著者が描く大人気小説をコミカライズ！ 感涙必至のラブストーリー、第1話。</v>
      </c>
      <c r="W1266" s="14"/>
      <c r="X1266" s="14" t="str">
        <f>IFERROR(__xludf.DUMMYFUNCTION("""COMPUTED_VALUE"""),"有")</f>
        <v>有</v>
      </c>
      <c r="Y1266" s="8" t="str">
        <f>IFERROR(__xludf.DUMMYFUNCTION("""COMPUTED_VALUE"""),"2024/4/7まで1巻無料")</f>
        <v>2024/4/7まで1巻無料</v>
      </c>
      <c r="Z1266" s="7"/>
      <c r="AA1266" s="7"/>
      <c r="AB1266" s="7"/>
    </row>
    <row r="1267" ht="93.0" customHeight="1">
      <c r="A1267" s="26">
        <f>IFERROR(__xludf.DUMMYFUNCTION("""COMPUTED_VALUE"""),3092.0)</f>
        <v>3092</v>
      </c>
      <c r="B1267" s="31" t="str">
        <f>IFERROR(__xludf.DUMMYFUNCTION("""COMPUTED_VALUE"""),"確定")</f>
        <v>確定</v>
      </c>
      <c r="C1267" s="28">
        <f>IFERROR(__xludf.DUMMYFUNCTION("""COMPUTED_VALUE"""),45363.0)</f>
        <v>45363</v>
      </c>
      <c r="D1267" s="28">
        <f>IFERROR(__xludf.DUMMYFUNCTION("""COMPUTED_VALUE"""),45364.0)</f>
        <v>45364</v>
      </c>
      <c r="E1267" s="31">
        <f>IFERROR(__xludf.DUMMYFUNCTION("""COMPUTED_VALUE"""),290362.0)</f>
        <v>290362</v>
      </c>
      <c r="F1267" s="31" t="str">
        <f>IFERROR(__xludf.DUMMYFUNCTION("""COMPUTED_VALUE"""),"その舌使いはエロすぎる！～エゴイスティックな友情")</f>
        <v>その舌使いはエロすぎる！～エゴイスティックな友情</v>
      </c>
      <c r="G1267" s="20" t="str">
        <f>IFERROR(__xludf.DUMMYFUNCTION("""COMPUTED_VALUE"""),"1～3")</f>
        <v>1～3</v>
      </c>
      <c r="H1267" s="31" t="str">
        <f>IFERROR(__xludf.DUMMYFUNCTION("""COMPUTED_VALUE"""),"ゼ之助")</f>
        <v>ゼ之助</v>
      </c>
      <c r="I1267" s="31" t="str">
        <f>IFERROR(__xludf.DUMMYFUNCTION("""COMPUTED_VALUE"""),"BL")</f>
        <v>BL</v>
      </c>
      <c r="J1267" s="31"/>
      <c r="K1267" s="31"/>
      <c r="L1267" s="31" t="str">
        <f>IFERROR(__xludf.DUMMYFUNCTION("""COMPUTED_VALUE"""),"集英社")</f>
        <v>集英社</v>
      </c>
      <c r="M1267" s="23">
        <f>IFERROR(__xludf.DUMMYFUNCTION("""COMPUTED_VALUE"""),45383.0)</f>
        <v>45383</v>
      </c>
      <c r="N1267" s="23">
        <f>IFERROR(__xludf.DUMMYFUNCTION("""COMPUTED_VALUE"""),45412.0)</f>
        <v>45412</v>
      </c>
      <c r="O1267" s="20"/>
      <c r="P1267" s="34" t="str">
        <f>IFERROR(__xludf.DUMMYFUNCTION("""COMPUTED_VALUE"""),"否")</f>
        <v>否</v>
      </c>
      <c r="Q1267" s="30" t="str">
        <f>IFERROR(__xludf.DUMMYFUNCTION("""COMPUTED_VALUE"""),"デジタルマーガレット")</f>
        <v>デジタルマーガレット</v>
      </c>
      <c r="R1267" s="31"/>
      <c r="S1267" s="31" t="str">
        <f>IFERROR(__xludf.DUMMYFUNCTION("""COMPUTED_VALUE"""),"20240312_集英社_4月新作")</f>
        <v>20240312_集英社_4月新作</v>
      </c>
      <c r="T1267" s="31" t="str">
        <f>IFERROR(__xludf.DUMMYFUNCTION("""COMPUTED_VALUE"""),"格納済み")</f>
        <v>格納済み</v>
      </c>
      <c r="U1267" s="15" t="str">
        <f>IFERROR(__xludf.DUMMYFUNCTION("""COMPUTED_VALUE"""),"(C)ゼ之助／集英社")</f>
        <v>(C)ゼ之助／集英社</v>
      </c>
      <c r="V1267" s="8" t="str">
        <f>IFERROR(__xludf.DUMMYFUNCTION("""COMPUTED_VALUE"""),"ちょっとした出来心だった――。同じ居酒屋で働く友人の遥日、こいつが笑って流してくれさえすればこんな感情には陥らなかったんだ。そうこいつが俺の指についたクリームを躊躇いもせず舐めたりしなけりゃ…。舌の熱から始まるほろ苦いラブストーリー！")</f>
        <v>ちょっとした出来心だった――。同じ居酒屋で働く友人の遥日、こいつが笑って流してくれさえすればこんな感情には陥らなかったんだ。そうこいつが俺の指についたクリームを躊躇いもせず舐めたりしなけりゃ…。舌の熱から始まるほろ苦いラブストーリー！</v>
      </c>
      <c r="W1267" s="14"/>
      <c r="X1267" s="14" t="str">
        <f>IFERROR(__xludf.DUMMYFUNCTION("""COMPUTED_VALUE"""),"有")</f>
        <v>有</v>
      </c>
      <c r="Y1267" s="8" t="str">
        <f>IFERROR(__xludf.DUMMYFUNCTION("""COMPUTED_VALUE"""),"2024/4/30まで1巻無料")</f>
        <v>2024/4/30まで1巻無料</v>
      </c>
      <c r="Z1267" s="7"/>
      <c r="AA1267" s="7"/>
      <c r="AB1267" s="7"/>
    </row>
    <row r="1268" ht="93.0" customHeight="1">
      <c r="A1268" s="26">
        <f>IFERROR(__xludf.DUMMYFUNCTION("""COMPUTED_VALUE"""),3093.0)</f>
        <v>3093</v>
      </c>
      <c r="B1268" s="31" t="str">
        <f>IFERROR(__xludf.DUMMYFUNCTION("""COMPUTED_VALUE"""),"確定")</f>
        <v>確定</v>
      </c>
      <c r="C1268" s="28">
        <f>IFERROR(__xludf.DUMMYFUNCTION("""COMPUTED_VALUE"""),45363.0)</f>
        <v>45363</v>
      </c>
      <c r="D1268" s="28">
        <f>IFERROR(__xludf.DUMMYFUNCTION("""COMPUTED_VALUE"""),45364.0)</f>
        <v>45364</v>
      </c>
      <c r="E1268" s="31">
        <f>IFERROR(__xludf.DUMMYFUNCTION("""COMPUTED_VALUE"""),290365.0)</f>
        <v>290365</v>
      </c>
      <c r="F1268" s="31" t="str">
        <f>IFERROR(__xludf.DUMMYFUNCTION("""COMPUTED_VALUE"""),"快感マジカルチェンジ ～魔法庁の幼なじみが新婚初夜に入れ替わっちゃったお話～")</f>
        <v>快感マジカルチェンジ ～魔法庁の幼なじみが新婚初夜に入れ替わっちゃったお話～</v>
      </c>
      <c r="G1268" s="20" t="str">
        <f>IFERROR(__xludf.DUMMYFUNCTION("""COMPUTED_VALUE"""),"1～3")</f>
        <v>1～3</v>
      </c>
      <c r="H1268" s="31" t="str">
        <f>IFERROR(__xludf.DUMMYFUNCTION("""COMPUTED_VALUE"""),"漫画：海老ながれ／原作：葉月エリカ")</f>
        <v>漫画：海老ながれ／原作：葉月エリカ</v>
      </c>
      <c r="I1268" s="31" t="str">
        <f>IFERROR(__xludf.DUMMYFUNCTION("""COMPUTED_VALUE"""),"女性")</f>
        <v>女性</v>
      </c>
      <c r="J1268" s="31"/>
      <c r="K1268" s="31"/>
      <c r="L1268" s="31" t="str">
        <f>IFERROR(__xludf.DUMMYFUNCTION("""COMPUTED_VALUE"""),"集英社")</f>
        <v>集英社</v>
      </c>
      <c r="M1268" s="23">
        <f>IFERROR(__xludf.DUMMYFUNCTION("""COMPUTED_VALUE"""),45383.0)</f>
        <v>45383</v>
      </c>
      <c r="N1268" s="23">
        <f>IFERROR(__xludf.DUMMYFUNCTION("""COMPUTED_VALUE"""),45412.0)</f>
        <v>45412</v>
      </c>
      <c r="O1268" s="20"/>
      <c r="P1268" s="34" t="str">
        <f>IFERROR(__xludf.DUMMYFUNCTION("""COMPUTED_VALUE"""),"否")</f>
        <v>否</v>
      </c>
      <c r="Q1268" s="30" t="str">
        <f>IFERROR(__xludf.DUMMYFUNCTION("""COMPUTED_VALUE"""),"異世界マーガレット")</f>
        <v>異世界マーガレット</v>
      </c>
      <c r="R1268" s="31"/>
      <c r="S1268" s="31" t="str">
        <f>IFERROR(__xludf.DUMMYFUNCTION("""COMPUTED_VALUE"""),"20240312_集英社_4月新作")</f>
        <v>20240312_集英社_4月新作</v>
      </c>
      <c r="T1268" s="31" t="str">
        <f>IFERROR(__xludf.DUMMYFUNCTION("""COMPUTED_VALUE"""),"格納済み")</f>
        <v>格納済み</v>
      </c>
      <c r="U1268" s="15" t="str">
        <f>IFERROR(__xludf.DUMMYFUNCTION("""COMPUTED_VALUE"""),"(C)海老ながれ・葉月エリカ／集英社")</f>
        <v>(C)海老ながれ・葉月エリカ／集英社</v>
      </c>
      <c r="V1268" s="8" t="str">
        <f>IFERROR(__xludf.DUMMYFUNCTION("""COMPUTED_VALUE"""),"【恋愛ベタなバリキャリ妻×主夫力高めの優しい夫】魔法あふれるファンタジーの世界。ステラとエリオットは結婚式を終え、その晩ついに初夜を迎えることに！　ステラの恩師からもらったお祝いのワインを飲み、キスをすると……なんと二人の体が入れ替わってしまって!?")</f>
        <v>【恋愛ベタなバリキャリ妻×主夫力高めの優しい夫】魔法あふれるファンタジーの世界。ステラとエリオットは結婚式を終え、その晩ついに初夜を迎えることに！　ステラの恩師からもらったお祝いのワインを飲み、キスをすると……なんと二人の体が入れ替わってしまって!?</v>
      </c>
      <c r="W1268" s="14"/>
      <c r="X1268" s="14" t="str">
        <f>IFERROR(__xludf.DUMMYFUNCTION("""COMPUTED_VALUE"""),"有")</f>
        <v>有</v>
      </c>
      <c r="Y1268" s="8" t="str">
        <f>IFERROR(__xludf.DUMMYFUNCTION("""COMPUTED_VALUE"""),"2024/4/30まで1巻無料")</f>
        <v>2024/4/30まで1巻無料</v>
      </c>
      <c r="Z1268" s="7"/>
      <c r="AA1268" s="7"/>
      <c r="AB1268" s="7"/>
    </row>
    <row r="1269" ht="15.75" customHeight="1">
      <c r="A1269" s="26">
        <f>IFERROR(__xludf.DUMMYFUNCTION("""COMPUTED_VALUE"""),3094.0)</f>
        <v>3094</v>
      </c>
      <c r="B1269" s="31" t="str">
        <f>IFERROR(__xludf.DUMMYFUNCTION("""COMPUTED_VALUE"""),"確定")</f>
        <v>確定</v>
      </c>
      <c r="C1269" s="28">
        <f>IFERROR(__xludf.DUMMYFUNCTION("""COMPUTED_VALUE"""),45363.0)</f>
        <v>45363</v>
      </c>
      <c r="D1269" s="28">
        <f>IFERROR(__xludf.DUMMYFUNCTION("""COMPUTED_VALUE"""),45364.0)</f>
        <v>45364</v>
      </c>
      <c r="E1269" s="31">
        <f>IFERROR(__xludf.DUMMYFUNCTION("""COMPUTED_VALUE"""),290364.0)</f>
        <v>290364</v>
      </c>
      <c r="F1269" s="31" t="str">
        <f>IFERROR(__xludf.DUMMYFUNCTION("""COMPUTED_VALUE"""),"婚約破棄された女侯爵は、救国の英雄に溺愛されました!?")</f>
        <v>婚約破棄された女侯爵は、救国の英雄に溺愛されました!?</v>
      </c>
      <c r="G1269" s="20" t="str">
        <f>IFERROR(__xludf.DUMMYFUNCTION("""COMPUTED_VALUE"""),"1～3")</f>
        <v>1～3</v>
      </c>
      <c r="H1269" s="31" t="str">
        <f>IFERROR(__xludf.DUMMYFUNCTION("""COMPUTED_VALUE"""),"漫画：玉城るか／原作：束原ミヤコ")</f>
        <v>漫画：玉城るか／原作：束原ミヤコ</v>
      </c>
      <c r="I1269" s="31" t="str">
        <f>IFERROR(__xludf.DUMMYFUNCTION("""COMPUTED_VALUE"""),"女性")</f>
        <v>女性</v>
      </c>
      <c r="J1269" s="31"/>
      <c r="K1269" s="31"/>
      <c r="L1269" s="31" t="str">
        <f>IFERROR(__xludf.DUMMYFUNCTION("""COMPUTED_VALUE"""),"集英社")</f>
        <v>集英社</v>
      </c>
      <c r="M1269" s="23">
        <f>IFERROR(__xludf.DUMMYFUNCTION("""COMPUTED_VALUE"""),45383.0)</f>
        <v>45383</v>
      </c>
      <c r="N1269" s="23">
        <f>IFERROR(__xludf.DUMMYFUNCTION("""COMPUTED_VALUE"""),45412.0)</f>
        <v>45412</v>
      </c>
      <c r="O1269" s="20"/>
      <c r="P1269" s="34" t="str">
        <f>IFERROR(__xludf.DUMMYFUNCTION("""COMPUTED_VALUE"""),"否")</f>
        <v>否</v>
      </c>
      <c r="Q1269" s="30" t="str">
        <f>IFERROR(__xludf.DUMMYFUNCTION("""COMPUTED_VALUE"""),"異世界マーガレット")</f>
        <v>異世界マーガレット</v>
      </c>
      <c r="R1269" s="31"/>
      <c r="S1269" s="31" t="str">
        <f>IFERROR(__xludf.DUMMYFUNCTION("""COMPUTED_VALUE"""),"20240312_集英社_4月新作")</f>
        <v>20240312_集英社_4月新作</v>
      </c>
      <c r="T1269" s="31" t="str">
        <f>IFERROR(__xludf.DUMMYFUNCTION("""COMPUTED_VALUE"""),"格納済み")</f>
        <v>格納済み</v>
      </c>
      <c r="U1269" s="15" t="str">
        <f>IFERROR(__xludf.DUMMYFUNCTION("""COMPUTED_VALUE"""),"(C)玉城るか・束原ミヤコ／集英社")</f>
        <v>(C)玉城るか・束原ミヤコ／集英社</v>
      </c>
      <c r="V1269" s="8" t="str">
        <f>IFERROR(__xludf.DUMMYFUNCTION("""COMPUTED_VALUE"""),"エルフィは幼い頃に骸竜（むくろりゅう）の襲撃により両親を亡くし、それ以来、執事たちの手を借りながら、侯爵としてロングラード領を治めていた。両親の仇である骸竜が討伐された後も領民を守るために聖銃の練習をし、気も強く男まさりなエルフィは、婚約者である第二王子アレクに愛想を尽かされ、学園の卒業式の日に婚約破棄されてしまう。その一年後、エルフィの元に、アレクからの手紙が届けられる。それは結婚式の招待状だった…。エルフィは元婚約者の結婚式に出るべく、王都に行くための護衛を雇うことにする。傭兵ギルドから紹介されたのは"&amp;"、両親の仇である骸竜を討伐してくれた救国の英雄ヴァールハイトで…？")</f>
        <v>エルフィは幼い頃に骸竜（むくろりゅう）の襲撃により両親を亡くし、それ以来、執事たちの手を借りながら、侯爵としてロングラード領を治めていた。両親の仇である骸竜が討伐された後も領民を守るために聖銃の練習をし、気も強く男まさりなエルフィは、婚約者である第二王子アレクに愛想を尽かされ、学園の卒業式の日に婚約破棄されてしまう。その一年後、エルフィの元に、アレクからの手紙が届けられる。それは結婚式の招待状だった…。エルフィは元婚約者の結婚式に出るべく、王都に行くための護衛を雇うことにする。傭兵ギルドから紹介されたのは、両親の仇である骸竜を討伐してくれた救国の英雄ヴァールハイトで…？</v>
      </c>
      <c r="W1269" s="14"/>
      <c r="X1269" s="14" t="str">
        <f>IFERROR(__xludf.DUMMYFUNCTION("""COMPUTED_VALUE"""),"有")</f>
        <v>有</v>
      </c>
      <c r="Y1269" s="8" t="str">
        <f>IFERROR(__xludf.DUMMYFUNCTION("""COMPUTED_VALUE"""),"2024/4/30まで1巻無料")</f>
        <v>2024/4/30まで1巻無料</v>
      </c>
      <c r="Z1269" s="7"/>
      <c r="AA1269" s="7"/>
      <c r="AB1269" s="7"/>
    </row>
    <row r="1270" ht="15.75" customHeight="1">
      <c r="A1270" s="26">
        <f>IFERROR(__xludf.DUMMYFUNCTION("""COMPUTED_VALUE"""),3095.0)</f>
        <v>3095</v>
      </c>
      <c r="B1270" s="31" t="str">
        <f>IFERROR(__xludf.DUMMYFUNCTION("""COMPUTED_VALUE"""),"確定")</f>
        <v>確定</v>
      </c>
      <c r="C1270" s="28">
        <f>IFERROR(__xludf.DUMMYFUNCTION("""COMPUTED_VALUE"""),45363.0)</f>
        <v>45363</v>
      </c>
      <c r="D1270" s="28">
        <f>IFERROR(__xludf.DUMMYFUNCTION("""COMPUTED_VALUE"""),45364.0)</f>
        <v>45364</v>
      </c>
      <c r="E1270" s="31">
        <f>IFERROR(__xludf.DUMMYFUNCTION("""COMPUTED_VALUE"""),290363.0)</f>
        <v>290363</v>
      </c>
      <c r="F1270" s="31" t="str">
        <f>IFERROR(__xludf.DUMMYFUNCTION("""COMPUTED_VALUE"""),"上司と偽恋ウェディング")</f>
        <v>上司と偽恋ウェディング</v>
      </c>
      <c r="G1270" s="20" t="str">
        <f>IFERROR(__xludf.DUMMYFUNCTION("""COMPUTED_VALUE"""),"1～3")</f>
        <v>1～3</v>
      </c>
      <c r="H1270" s="31" t="str">
        <f>IFERROR(__xludf.DUMMYFUNCTION("""COMPUTED_VALUE"""),"漫画：香前宇里／原作：ボルテージ")</f>
        <v>漫画：香前宇里／原作：ボルテージ</v>
      </c>
      <c r="I1270" s="31" t="str">
        <f>IFERROR(__xludf.DUMMYFUNCTION("""COMPUTED_VALUE"""),"少女")</f>
        <v>少女</v>
      </c>
      <c r="J1270" s="31"/>
      <c r="K1270" s="31"/>
      <c r="L1270" s="31" t="str">
        <f>IFERROR(__xludf.DUMMYFUNCTION("""COMPUTED_VALUE"""),"集英社")</f>
        <v>集英社</v>
      </c>
      <c r="M1270" s="23">
        <f>IFERROR(__xludf.DUMMYFUNCTION("""COMPUTED_VALUE"""),45383.0)</f>
        <v>45383</v>
      </c>
      <c r="N1270" s="23">
        <f>IFERROR(__xludf.DUMMYFUNCTION("""COMPUTED_VALUE"""),45412.0)</f>
        <v>45412</v>
      </c>
      <c r="O1270" s="20"/>
      <c r="P1270" s="34" t="str">
        <f>IFERROR(__xludf.DUMMYFUNCTION("""COMPUTED_VALUE"""),"否")</f>
        <v>否</v>
      </c>
      <c r="Q1270" s="30" t="str">
        <f>IFERROR(__xludf.DUMMYFUNCTION("""COMPUTED_VALUE"""),"デジタルマーガレット")</f>
        <v>デジタルマーガレット</v>
      </c>
      <c r="R1270" s="31"/>
      <c r="S1270" s="31" t="str">
        <f>IFERROR(__xludf.DUMMYFUNCTION("""COMPUTED_VALUE"""),"20240312_集英社_4月新作")</f>
        <v>20240312_集英社_4月新作</v>
      </c>
      <c r="T1270" s="31" t="str">
        <f>IFERROR(__xludf.DUMMYFUNCTION("""COMPUTED_VALUE"""),"格納済み")</f>
        <v>格納済み</v>
      </c>
      <c r="U1270" s="15" t="str">
        <f>IFERROR(__xludf.DUMMYFUNCTION("""COMPUTED_VALUE"""),"(C)香前宇里・ボルテージ／集英社")</f>
        <v>(C)香前宇里・ボルテージ／集英社</v>
      </c>
      <c r="V1270" s="8" t="str">
        <f>IFERROR(__xludf.DUMMYFUNCTION("""COMPUTED_VALUE"""),"【ハイスペイケメン上司と交際0日で契約結婚――!?】「今すぐ結婚しないと、無理やり田舎に戻されちゃう！」　憧れの企業で働くために上京した、25歳OLの結。田舎に戻りたくないと焦る最中、「なら俺と結婚しよう」と突然声をかけられる。声の先にいたのは、なんと企画営業部の部長・騎野だった！　35歳で最年少取締役に就任、性格もよく、見た目もイケメンの彼と、交際0日で“契約結婚”を決めた結。急遽、両親への挨拶やウェディングフォトをすませ、ホテルのスイートルームにつくと、会社では見せないまさに“野獣”の顔をした騎野にベ"&amp;"ッドへ押し倒されて…!?　「結婚というからには、当然セックスしないとな？」　そんなことを言われても、私処女なんですけど――！")</f>
        <v>【ハイスペイケメン上司と交際0日で契約結婚――!?】「今すぐ結婚しないと、無理やり田舎に戻されちゃう！」　憧れの企業で働くために上京した、25歳OLの結。田舎に戻りたくないと焦る最中、「なら俺と結婚しよう」と突然声をかけられる。声の先にいたのは、なんと企画営業部の部長・騎野だった！　35歳で最年少取締役に就任、性格もよく、見た目もイケメンの彼と、交際0日で“契約結婚”を決めた結。急遽、両親への挨拶やウェディングフォトをすませ、ホテルのスイートルームにつくと、会社では見せないまさに“野獣”の顔をした騎野にベッドへ押し倒されて…!?　「結婚というからには、当然セックスしないとな？」　そんなことを言われても、私処女なんですけど――！</v>
      </c>
      <c r="W1270" s="14"/>
      <c r="X1270" s="14" t="str">
        <f>IFERROR(__xludf.DUMMYFUNCTION("""COMPUTED_VALUE"""),"有")</f>
        <v>有</v>
      </c>
      <c r="Y1270" s="8" t="str">
        <f>IFERROR(__xludf.DUMMYFUNCTION("""COMPUTED_VALUE"""),"2024/4/30まで1巻無料")</f>
        <v>2024/4/30まで1巻無料</v>
      </c>
      <c r="Z1270" s="7"/>
      <c r="AA1270" s="7"/>
      <c r="AB1270" s="7"/>
    </row>
    <row r="1271" ht="105.0" customHeight="1">
      <c r="A1271" s="26">
        <f>IFERROR(__xludf.DUMMYFUNCTION("""COMPUTED_VALUE"""),3096.0)</f>
        <v>3096</v>
      </c>
      <c r="B1271" s="31" t="str">
        <f>IFERROR(__xludf.DUMMYFUNCTION("""COMPUTED_VALUE"""),"確定")</f>
        <v>確定</v>
      </c>
      <c r="C1271" s="28">
        <f>IFERROR(__xludf.DUMMYFUNCTION("""COMPUTED_VALUE"""),45363.0)</f>
        <v>45363</v>
      </c>
      <c r="D1271" s="28">
        <f>IFERROR(__xludf.DUMMYFUNCTION("""COMPUTED_VALUE"""),45364.0)</f>
        <v>45364</v>
      </c>
      <c r="E1271" s="31">
        <f>IFERROR(__xludf.DUMMYFUNCTION("""COMPUTED_VALUE"""),290366.0)</f>
        <v>290366</v>
      </c>
      <c r="F1271" s="31" t="str">
        <f>IFERROR(__xludf.DUMMYFUNCTION("""COMPUTED_VALUE"""),"氷菓に咲く")</f>
        <v>氷菓に咲く</v>
      </c>
      <c r="G1271" s="20" t="str">
        <f>IFERROR(__xludf.DUMMYFUNCTION("""COMPUTED_VALUE"""),"1～3")</f>
        <v>1～3</v>
      </c>
      <c r="H1271" s="31" t="str">
        <f>IFERROR(__xludf.DUMMYFUNCTION("""COMPUTED_VALUE"""),"カノユキ")</f>
        <v>カノユキ</v>
      </c>
      <c r="I1271" s="31" t="str">
        <f>IFERROR(__xludf.DUMMYFUNCTION("""COMPUTED_VALUE"""),"BL")</f>
        <v>BL</v>
      </c>
      <c r="J1271" s="31"/>
      <c r="K1271" s="31"/>
      <c r="L1271" s="31" t="str">
        <f>IFERROR(__xludf.DUMMYFUNCTION("""COMPUTED_VALUE"""),"集英社")</f>
        <v>集英社</v>
      </c>
      <c r="M1271" s="23">
        <f>IFERROR(__xludf.DUMMYFUNCTION("""COMPUTED_VALUE"""),45383.0)</f>
        <v>45383</v>
      </c>
      <c r="N1271" s="23">
        <f>IFERROR(__xludf.DUMMYFUNCTION("""COMPUTED_VALUE"""),45412.0)</f>
        <v>45412</v>
      </c>
      <c r="O1271" s="20"/>
      <c r="P1271" s="34" t="str">
        <f>IFERROR(__xludf.DUMMYFUNCTION("""COMPUTED_VALUE"""),"否")</f>
        <v>否</v>
      </c>
      <c r="Q1271" s="30" t="str">
        <f>IFERROR(__xludf.DUMMYFUNCTION("""COMPUTED_VALUE"""),"デジタルマーガレット")</f>
        <v>デジタルマーガレット</v>
      </c>
      <c r="R1271" s="31"/>
      <c r="S1271" s="31" t="str">
        <f>IFERROR(__xludf.DUMMYFUNCTION("""COMPUTED_VALUE"""),"20240312_集英社_4月新作")</f>
        <v>20240312_集英社_4月新作</v>
      </c>
      <c r="T1271" s="31" t="str">
        <f>IFERROR(__xludf.DUMMYFUNCTION("""COMPUTED_VALUE"""),"格納済み")</f>
        <v>格納済み</v>
      </c>
      <c r="U1271" s="15" t="str">
        <f>IFERROR(__xludf.DUMMYFUNCTION("""COMPUTED_VALUE"""),"(C)カノユキ／集英社")</f>
        <v>(C)カノユキ／集英社</v>
      </c>
      <c r="V1271" s="8" t="str">
        <f>IFERROR(__xludf.DUMMYFUNCTION("""COMPUTED_VALUE"""),"『俺の抱き枕になって』　そんな言葉からはじまる二人の関係。交換条件で承諾した春陽だったが、これは相手の為じゃなく自分の罪滅ぼしなのではないかと悩み始める。だが後悔したくない気持ちが勝り――。……切なくも甘酸っぱいラブストーリー。")</f>
        <v>『俺の抱き枕になって』　そんな言葉からはじまる二人の関係。交換条件で承諾した春陽だったが、これは相手の為じゃなく自分の罪滅ぼしなのではないかと悩み始める。だが後悔したくない気持ちが勝り――。……切なくも甘酸っぱいラブストーリー。</v>
      </c>
      <c r="W1271" s="14"/>
      <c r="X1271" s="14" t="str">
        <f>IFERROR(__xludf.DUMMYFUNCTION("""COMPUTED_VALUE"""),"有")</f>
        <v>有</v>
      </c>
      <c r="Y1271" s="8" t="str">
        <f>IFERROR(__xludf.DUMMYFUNCTION("""COMPUTED_VALUE"""),"2024/4/30まで1巻無料")</f>
        <v>2024/4/30まで1巻無料</v>
      </c>
      <c r="Z1271" s="7"/>
      <c r="AA1271" s="7"/>
      <c r="AB1271" s="7"/>
    </row>
    <row r="1272" ht="15.75" customHeight="1">
      <c r="A1272" s="26">
        <f>IFERROR(__xludf.DUMMYFUNCTION("""COMPUTED_VALUE"""),3097.0)</f>
        <v>3097</v>
      </c>
      <c r="B1272" s="31" t="str">
        <f>IFERROR(__xludf.DUMMYFUNCTION("""COMPUTED_VALUE"""),"確定")</f>
        <v>確定</v>
      </c>
      <c r="C1272" s="28">
        <f>IFERROR(__xludf.DUMMYFUNCTION("""COMPUTED_VALUE"""),45363.0)</f>
        <v>45363</v>
      </c>
      <c r="D1272" s="28">
        <f>IFERROR(__xludf.DUMMYFUNCTION("""COMPUTED_VALUE"""),45364.0)</f>
        <v>45364</v>
      </c>
      <c r="E1272" s="31">
        <f>IFERROR(__xludf.DUMMYFUNCTION("""COMPUTED_VALUE"""),290367.0)</f>
        <v>290367</v>
      </c>
      <c r="F1272" s="31" t="str">
        <f>IFERROR(__xludf.DUMMYFUNCTION("""COMPUTED_VALUE"""),"蜜恋絵巻～快感たいむすりっぷ～")</f>
        <v>蜜恋絵巻～快感たいむすりっぷ～</v>
      </c>
      <c r="G1272" s="20" t="str">
        <f>IFERROR(__xludf.DUMMYFUNCTION("""COMPUTED_VALUE"""),"1～6")</f>
        <v>1～6</v>
      </c>
      <c r="H1272" s="31" t="str">
        <f>IFERROR(__xludf.DUMMYFUNCTION("""COMPUTED_VALUE"""),"漫画：とぬむ／原作：むつみ花藍／キャラクター原案：ゆえこ")</f>
        <v>漫画：とぬむ／原作：むつみ花藍／キャラクター原案：ゆえこ</v>
      </c>
      <c r="I1272" s="31" t="str">
        <f>IFERROR(__xludf.DUMMYFUNCTION("""COMPUTED_VALUE"""),"少女")</f>
        <v>少女</v>
      </c>
      <c r="J1272" s="31"/>
      <c r="K1272" s="31"/>
      <c r="L1272" s="31" t="str">
        <f>IFERROR(__xludf.DUMMYFUNCTION("""COMPUTED_VALUE"""),"集英社")</f>
        <v>集英社</v>
      </c>
      <c r="M1272" s="23">
        <f>IFERROR(__xludf.DUMMYFUNCTION("""COMPUTED_VALUE"""),45383.0)</f>
        <v>45383</v>
      </c>
      <c r="N1272" s="23">
        <f>IFERROR(__xludf.DUMMYFUNCTION("""COMPUTED_VALUE"""),45412.0)</f>
        <v>45412</v>
      </c>
      <c r="O1272" s="20"/>
      <c r="P1272" s="34" t="str">
        <f>IFERROR(__xludf.DUMMYFUNCTION("""COMPUTED_VALUE"""),"否")</f>
        <v>否</v>
      </c>
      <c r="Q1272" s="30" t="str">
        <f>IFERROR(__xludf.DUMMYFUNCTION("""COMPUTED_VALUE"""),"デジタルマーガレット")</f>
        <v>デジタルマーガレット</v>
      </c>
      <c r="R1272" s="31"/>
      <c r="S1272" s="31" t="str">
        <f>IFERROR(__xludf.DUMMYFUNCTION("""COMPUTED_VALUE"""),"20240312_集英社_4月新作")</f>
        <v>20240312_集英社_4月新作</v>
      </c>
      <c r="T1272" s="31" t="str">
        <f>IFERROR(__xludf.DUMMYFUNCTION("""COMPUTED_VALUE"""),"格納済み")</f>
        <v>格納済み</v>
      </c>
      <c r="U1272" s="15" t="str">
        <f>IFERROR(__xludf.DUMMYFUNCTION("""COMPUTED_VALUE"""),"(C)とぬむ・むつみ花藍／集英社")</f>
        <v>(C)とぬむ・むつみ花藍／集英社</v>
      </c>
      <c r="V1272" s="8" t="str">
        <f>IFERROR(__xludf.DUMMYFUNCTION("""COMPUTED_VALUE"""),"【千年の時を越えたのは、あなたに出会うため――】名前もなく忌み嫌われていた姫はある日、不思議な光に包まれる。気がつくと、目の前には金髪碧眼の青年・朝陽がいた。朝陽曰く、ここは千年後の世界。姫のいた世界とは何もかもが違い戸惑いが隠せずにいると、優しく世話を焼いてくれ…。ひとりぼっちの姫は朝陽から「千歳」という名前をもらう。そして、とろけるような愛を与えてくれて――!?")</f>
        <v>【千年の時を越えたのは、あなたに出会うため――】名前もなく忌み嫌われていた姫はある日、不思議な光に包まれる。気がつくと、目の前には金髪碧眼の青年・朝陽がいた。朝陽曰く、ここは千年後の世界。姫のいた世界とは何もかもが違い戸惑いが隠せずにいると、優しく世話を焼いてくれ…。ひとりぼっちの姫は朝陽から「千歳」という名前をもらう。そして、とろけるような愛を与えてくれて――!?</v>
      </c>
      <c r="W1272" s="14"/>
      <c r="X1272" s="14" t="str">
        <f>IFERROR(__xludf.DUMMYFUNCTION("""COMPUTED_VALUE"""),"有")</f>
        <v>有</v>
      </c>
      <c r="Y1272" s="8" t="str">
        <f>IFERROR(__xludf.DUMMYFUNCTION("""COMPUTED_VALUE"""),"2024/4/30まで1巻無料")</f>
        <v>2024/4/30まで1巻無料</v>
      </c>
      <c r="Z1272" s="7"/>
      <c r="AA1272" s="7"/>
      <c r="AB1272" s="7"/>
    </row>
    <row r="1273" ht="153.0" customHeight="1">
      <c r="A1273" s="26">
        <f>IFERROR(__xludf.DUMMYFUNCTION("""COMPUTED_VALUE"""),2733.0)</f>
        <v>2733</v>
      </c>
      <c r="B1273" s="31" t="str">
        <f>IFERROR(__xludf.DUMMYFUNCTION("""COMPUTED_VALUE"""),"確定")</f>
        <v>確定</v>
      </c>
      <c r="C1273" s="28">
        <f>IFERROR(__xludf.DUMMYFUNCTION("""COMPUTED_VALUE"""),45271.0)</f>
        <v>45271</v>
      </c>
      <c r="D1273" s="28">
        <f>IFERROR(__xludf.DUMMYFUNCTION("""COMPUTED_VALUE"""),45372.0)</f>
        <v>45372</v>
      </c>
      <c r="E1273" s="31">
        <f>IFERROR(__xludf.DUMMYFUNCTION("""COMPUTED_VALUE"""),290766.0)</f>
        <v>290766</v>
      </c>
      <c r="F1273" s="31" t="str">
        <f>IFERROR(__xludf.DUMMYFUNCTION("""COMPUTED_VALUE"""),"その王妃は異邦人 ～東方妃婚姻譚～【分冊版】（コミック）")</f>
        <v>その王妃は異邦人 ～東方妃婚姻譚～【分冊版】（コミック）</v>
      </c>
      <c r="G1273" s="16" t="str">
        <f>IFERROR(__xludf.DUMMYFUNCTION("""COMPUTED_VALUE"""),"1～3")</f>
        <v>1～3</v>
      </c>
      <c r="H1273" s="31" t="str">
        <f>IFERROR(__xludf.DUMMYFUNCTION("""COMPUTED_VALUE"""),"漫画家：りおずみ")</f>
        <v>漫画家：りおずみ</v>
      </c>
      <c r="I1273" s="52" t="str">
        <f>IFERROR(__xludf.DUMMYFUNCTION("""COMPUTED_VALUE"""),"少女")</f>
        <v>少女</v>
      </c>
      <c r="J1273" s="31"/>
      <c r="K1273" s="31"/>
      <c r="L1273" s="31" t="str">
        <f>IFERROR(__xludf.DUMMYFUNCTION("""COMPUTED_VALUE"""),"SBクリエイティブ")</f>
        <v>SBクリエイティブ</v>
      </c>
      <c r="M1273" s="23">
        <f>IFERROR(__xludf.DUMMYFUNCTION("""COMPUTED_VALUE"""),45401.0)</f>
        <v>45401</v>
      </c>
      <c r="N1273" s="47">
        <f>IFERROR(__xludf.DUMMYFUNCTION("""COMPUTED_VALUE"""),45490.0)</f>
        <v>45490</v>
      </c>
      <c r="O1273" s="20"/>
      <c r="P1273" s="34" t="str">
        <f>IFERROR(__xludf.DUMMYFUNCTION("""COMPUTED_VALUE"""),"可")</f>
        <v>可</v>
      </c>
      <c r="Q1273" s="30" t="str">
        <f>IFERROR(__xludf.DUMMYFUNCTION("""COMPUTED_VALUE"""),"広告コミットOK(12/13)&lt;BR&gt;・先行開始日：2023年3月中旬→4/19に変更、初回配信話数1-3巻で確定（12/15）&lt;BR&gt;・タイトル名確定（3/21）")</f>
        <v>広告コミットOK(12/13)&lt;BR&gt;・先行開始日：2023年3月中旬→4/19に変更、初回配信話数1-3巻で確定（12/15）&lt;BR&gt;・タイトル名確定（3/21）</v>
      </c>
      <c r="R1273" s="31"/>
      <c r="S1273" s="31" t="str">
        <f>IFERROR(__xludf.DUMMYFUNCTION("""COMPUTED_VALUE"""),"20240321_SBクリエイティブ_その王妃は異邦人 ～東方妃婚姻譚～ 【分冊版】（コミック）")</f>
        <v>20240321_SBクリエイティブ_その王妃は異邦人 ～東方妃婚姻譚～ 【分冊版】（コミック）</v>
      </c>
      <c r="T1273" s="31" t="str">
        <f>IFERROR(__xludf.DUMMYFUNCTION("""COMPUTED_VALUE"""),"格納済")</f>
        <v>格納済</v>
      </c>
      <c r="U1273" s="15" t="str">
        <f>IFERROR(__xludf.DUMMYFUNCTION("""COMPUTED_VALUE"""),"Ⓒりおずみ・sasasa/SBクリエイティブ")</f>
        <v>Ⓒりおずみ・sasasa/SBクリエイティブ</v>
      </c>
      <c r="V1273" s="8" t="str">
        <f>IFERROR(__xludf.DUMMYFUNCTION("""COMPUTED_VALUE"""),"若き国王レイモンド二世は、政敵の策略で遥か東方の大国から王妃として雪麗（シュリ―）を迎え入れる。見た目や文化の違いで周囲から侮蔑の眼を向けられてしまう雪麗。しかし、万事に優れる彼女の圧倒的才能と東洋から持ち込まれた技術は次第に王国に革新をもたらしていき――。
西洋×中華が織り成す異文化婚姻譚、開幕！")</f>
        <v>若き国王レイモンド二世は、政敵の策略で遥か東方の大国から王妃として雪麗（シュリ―）を迎え入れる。見た目や文化の違いで周囲から侮蔑の眼を向けられてしまう雪麗。しかし、万事に優れる彼女の圧倒的才能と東洋から持ち込まれた技術は次第に王国に革新をもたらしていき――。
西洋×中華が織り成す異文化婚姻譚、開幕！</v>
      </c>
      <c r="W1273" s="14"/>
      <c r="X1273" s="14" t="str">
        <f>IFERROR(__xludf.DUMMYFUNCTION("""COMPUTED_VALUE"""),"有")</f>
        <v>有</v>
      </c>
      <c r="Y1273" s="8" t="str">
        <f>IFERROR(__xludf.DUMMYFUNCTION("""COMPUTED_VALUE"""),"5/6まで1巻無料")</f>
        <v>5/6まで1巻無料</v>
      </c>
      <c r="Z1273" s="7"/>
      <c r="AA1273" s="7"/>
      <c r="AB1273" s="7"/>
    </row>
    <row r="1274" ht="15.75" customHeight="1">
      <c r="A1274" s="26">
        <f>IFERROR(__xludf.DUMMYFUNCTION("""COMPUTED_VALUE"""),2734.0)</f>
        <v>2734</v>
      </c>
      <c r="B1274" s="31" t="str">
        <f>IFERROR(__xludf.DUMMYFUNCTION("""COMPUTED_VALUE"""),"確定")</f>
        <v>確定</v>
      </c>
      <c r="C1274" s="28">
        <f>IFERROR(__xludf.DUMMYFUNCTION("""COMPUTED_VALUE"""),45271.0)</f>
        <v>45271</v>
      </c>
      <c r="D1274" s="28">
        <f>IFERROR(__xludf.DUMMYFUNCTION("""COMPUTED_VALUE"""),45369.0)</f>
        <v>45369</v>
      </c>
      <c r="E1274" s="31">
        <f>IFERROR(__xludf.DUMMYFUNCTION("""COMPUTED_VALUE"""),295459.0)</f>
        <v>295459</v>
      </c>
      <c r="F1274" s="31" t="str">
        <f>IFERROR(__xludf.DUMMYFUNCTION("""COMPUTED_VALUE"""),"異世界魔王の奴隷譚〜転生したら奴隷だったので、仕方なしに瞬時に成り上がろうと思います〜")</f>
        <v>異世界魔王の奴隷譚〜転生したら奴隷だったので、仕方なしに瞬時に成り上がろうと思います〜</v>
      </c>
      <c r="G1274" s="20" t="str">
        <f>IFERROR(__xludf.DUMMYFUNCTION("""COMPUTED_VALUE"""),"1～7")</f>
        <v>1～7</v>
      </c>
      <c r="H1274" s="31" t="str">
        <f>IFERROR(__xludf.DUMMYFUNCTION("""COMPUTED_VALUE"""),"原作：白石新、作画：長瀬宙夢")</f>
        <v>原作：白石新、作画：長瀬宙夢</v>
      </c>
      <c r="I1274" s="52" t="str">
        <f>IFERROR(__xludf.DUMMYFUNCTION("""COMPUTED_VALUE"""),"少年")</f>
        <v>少年</v>
      </c>
      <c r="J1274" s="31"/>
      <c r="K1274" s="31"/>
      <c r="L1274" s="31" t="str">
        <f>IFERROR(__xludf.DUMMYFUNCTION("""COMPUTED_VALUE"""),"booklistaSTUDIO")</f>
        <v>booklistaSTUDIO</v>
      </c>
      <c r="M1274" s="47">
        <f>IFERROR(__xludf.DUMMYFUNCTION("""COMPUTED_VALUE"""),45458.0)</f>
        <v>45458</v>
      </c>
      <c r="N1274" s="47">
        <f>IFERROR(__xludf.DUMMYFUNCTION("""COMPUTED_VALUE"""),45549.0)</f>
        <v>45549</v>
      </c>
      <c r="O1274" s="20"/>
      <c r="P1274" s="34" t="str">
        <f>IFERROR(__xludf.DUMMYFUNCTION("""COMPUTED_VALUE"""),"可")</f>
        <v>可</v>
      </c>
      <c r="Q1274" s="31" t="str">
        <f>IFERROR(__xludf.DUMMYFUNCTION("""COMPUTED_VALUE"""),"広告コミットOK(12/19)")</f>
        <v>広告コミットOK(12/19)</v>
      </c>
      <c r="R1274" s="31" t="str">
        <f>IFERROR(__xludf.DUMMYFUNCTION("""COMPUTED_VALUE"""),"格納済み")</f>
        <v>格納済み</v>
      </c>
      <c r="S1274" s="31" t="str">
        <f>IFERROR(__xludf.DUMMYFUNCTION("""COMPUTED_VALUE"""),"20240318_booklistaSTUDIO_異世界魔王の奴隷譚")</f>
        <v>20240318_booklistaSTUDIO_異世界魔王の奴隷譚</v>
      </c>
      <c r="T1274" s="31" t="str">
        <f>IFERROR(__xludf.DUMMYFUNCTION("""COMPUTED_VALUE"""),"格納済み")</f>
        <v>格納済み</v>
      </c>
      <c r="U1274" s="15" t="str">
        <f>IFERROR(__xludf.DUMMYFUNCTION("""COMPUTED_VALUE"""),"（C）白石新、長瀬宙夢／booklistaSTUDIO")</f>
        <v>（C）白石新、長瀬宙夢／booklistaSTUDIO</v>
      </c>
      <c r="V1274" s="8" t="str">
        <f>IFERROR(__xludf.DUMMYFUNCTION("""COMPUTED_VALUE"""),"外宇宙から襲来した魔物《アウトサイダー》対抗するため、世界最強の勇者と魔王が手を組んだ。
しかし、魔王と勇者率いる世界連合は敗北してしまう。
そうして、勇者の秘術により魔王は時をさかのぼり、歴史を変えるために逆行転生を行うことになる。
魔王の転生先は、貴族社会で壮絶なイジメにあい、奴隷落ちした少年だった。
「ど、どうして奴隷がこんなに強いんだ！？」
「強いなんてもんじゃねえ！！　化け物だ！！！」
転生前の圧倒的強さをそのままに、今度こそは勝つために自らを鍛えて、魔王は再び成り上がる！")</f>
        <v>外宇宙から襲来した魔物《アウトサイダー》対抗するため、世界最強の勇者と魔王が手を組んだ。
しかし、魔王と勇者率いる世界連合は敗北してしまう。
そうして、勇者の秘術により魔王は時をさかのぼり、歴史を変えるために逆行転生を行うことになる。
魔王の転生先は、貴族社会で壮絶なイジメにあい、奴隷落ちした少年だった。
「ど、どうして奴隷がこんなに強いんだ！？」
「強いなんてもんじゃねえ！！　化け物だ！！！」
転生前の圧倒的強さをそのままに、今度こそは勝つために自らを鍛えて、魔王は再び成り上がる！</v>
      </c>
      <c r="W1274" s="14"/>
      <c r="X1274" s="14" t="str">
        <f>IFERROR(__xludf.DUMMYFUNCTION("""COMPUTED_VALUE"""),"有")</f>
        <v>有</v>
      </c>
      <c r="Y1274" s="8" t="str">
        <f>IFERROR(__xludf.DUMMYFUNCTION("""COMPUTED_VALUE"""),"1巻無料")</f>
        <v>1巻無料</v>
      </c>
      <c r="Z1274" s="7"/>
      <c r="AA1274" s="7"/>
      <c r="AB1274" s="7"/>
    </row>
    <row r="1275" ht="15.75" customHeight="1">
      <c r="A1275" s="26">
        <f>IFERROR(__xludf.DUMMYFUNCTION("""COMPUTED_VALUE"""),2984.0)</f>
        <v>2984</v>
      </c>
      <c r="B1275" s="31" t="str">
        <f>IFERROR(__xludf.DUMMYFUNCTION("""COMPUTED_VALUE"""),"確定")</f>
        <v>確定</v>
      </c>
      <c r="C1275" s="28">
        <f>IFERROR(__xludf.DUMMYFUNCTION("""COMPUTED_VALUE"""),45341.0)</f>
        <v>45341</v>
      </c>
      <c r="D1275" s="28">
        <f>IFERROR(__xludf.DUMMYFUNCTION("""COMPUTED_VALUE"""),45369.0)</f>
        <v>45369</v>
      </c>
      <c r="E1275" s="31">
        <f>IFERROR(__xludf.DUMMYFUNCTION("""COMPUTED_VALUE"""),290107.0)</f>
        <v>290107</v>
      </c>
      <c r="F1275" s="31" t="str">
        <f>IFERROR(__xludf.DUMMYFUNCTION("""COMPUTED_VALUE"""),"断罪ループ五回目の悪役令嬢はやさぐれる～もう勝手にしてとは言ったけど、溺愛して良いとまでは言っていない～【分冊版】")</f>
        <v>断罪ループ五回目の悪役令嬢はやさぐれる～もう勝手にしてとは言ったけど、溺愛して良いとまでは言っていない～【分冊版】</v>
      </c>
      <c r="G1275" s="16" t="str">
        <f>IFERROR(__xludf.DUMMYFUNCTION("""COMPUTED_VALUE"""),"1～3")</f>
        <v>1～3</v>
      </c>
      <c r="H1275" s="31" t="str">
        <f>IFERROR(__xludf.DUMMYFUNCTION("""COMPUTED_VALUE"""),"作画：えんがわあぶり/原作：長月おと/キャラクター原案：コユコ")</f>
        <v>作画：えんがわあぶり/原作：長月おと/キャラクター原案：コユコ</v>
      </c>
      <c r="I1275" s="52" t="str">
        <f>IFERROR(__xludf.DUMMYFUNCTION("""COMPUTED_VALUE"""),"少女")</f>
        <v>少女</v>
      </c>
      <c r="J1275" s="31"/>
      <c r="K1275" s="31"/>
      <c r="L1275" s="31" t="str">
        <f>IFERROR(__xludf.DUMMYFUNCTION("""COMPUTED_VALUE"""),"笠倉出版社")</f>
        <v>笠倉出版社</v>
      </c>
      <c r="M1275" s="23">
        <f>IFERROR(__xludf.DUMMYFUNCTION("""COMPUTED_VALUE"""),45392.0)</f>
        <v>45392</v>
      </c>
      <c r="N1275" s="47">
        <f>IFERROR(__xludf.DUMMYFUNCTION("""COMPUTED_VALUE"""),45482.66666666667)</f>
        <v>45482.66667</v>
      </c>
      <c r="O1275" s="20"/>
      <c r="P1275" s="34" t="str">
        <f>IFERROR(__xludf.DUMMYFUNCTION("""COMPUTED_VALUE"""),"可")</f>
        <v>可</v>
      </c>
      <c r="Q1275" s="30" t="str">
        <f>IFERROR(__xludf.DUMMYFUNCTION("""COMPUTED_VALUE"""),"広告コミットOK(2/27)")</f>
        <v>広告コミットOK(2/27)</v>
      </c>
      <c r="R1275" s="31"/>
      <c r="S1275" s="31" t="str">
        <f>IFERROR(__xludf.DUMMYFUNCTION("""COMPUTED_VALUE"""),"20240315_笠倉出版社_断罪ループ五回目の悪役令嬢はやさぐれる～もう勝手にしてとは言ったけど、溺愛して良いとまでは言っていない～【分冊版】")</f>
        <v>20240315_笠倉出版社_断罪ループ五回目の悪役令嬢はやさぐれる～もう勝手にしてとは言ったけど、溺愛して良いとまでは言っていない～【分冊版】</v>
      </c>
      <c r="T1275" s="31" t="str">
        <f>IFERROR(__xludf.DUMMYFUNCTION("""COMPUTED_VALUE"""),"格納済み")</f>
        <v>格納済み</v>
      </c>
      <c r="U1275" s="15" t="str">
        <f>IFERROR(__xludf.DUMMYFUNCTION("""COMPUTED_VALUE"""),"©えんがわあぶり/長月おと/コユコム/笠倉出版社")</f>
        <v>©えんがわあぶり/長月おと/コユコム/笠倉出版社</v>
      </c>
      <c r="V1275" s="8" t="str">
        <f>IFERROR(__xludf.DUMMYFUNCTION("""COMPUTED_VALUE"""),"『やっぱりまた――私は死ぬのね』身に覚えのない罪を被せられ、婚約破棄の後…即投獄。最後は食事に毒を盛られて死ぬ。それを繰り返すこと五回。そんな破滅しかない人生の繰り返しに疲れてしまったシャルロッテを救ったのは大陸一の魔法使いヴィムで――！？しかも、助けたお礼として「口説く権利」がほしいと言われてしまい…。※本商品はpixivコミック内の「Niμ」レーベルにて掲載していたものの単話コンテンツとなります。")</f>
        <v>『やっぱりまた――私は死ぬのね』身に覚えのない罪を被せられ、婚約破棄の後…即投獄。最後は食事に毒を盛られて死ぬ。それを繰り返すこと五回。そんな破滅しかない人生の繰り返しに疲れてしまったシャルロッテを救ったのは大陸一の魔法使いヴィムで――！？しかも、助けたお礼として「口説く権利」がほしいと言われてしまい…。※本商品はpixivコミック内の「Niμ」レーベルにて掲載していたものの単話コンテンツとなります。</v>
      </c>
      <c r="W1275" s="14"/>
      <c r="X1275" s="14" t="str">
        <f>IFERROR(__xludf.DUMMYFUNCTION("""COMPUTED_VALUE"""),"有")</f>
        <v>有</v>
      </c>
      <c r="Y1275" s="8" t="str">
        <f>IFERROR(__xludf.DUMMYFUNCTION("""COMPUTED_VALUE"""),"2024/4/23まで1巻無料")</f>
        <v>2024/4/23まで1巻無料</v>
      </c>
      <c r="Z1275" s="7"/>
      <c r="AA1275" s="7"/>
      <c r="AB1275" s="7"/>
    </row>
    <row r="1276" ht="15.75" customHeight="1">
      <c r="A1276" s="26">
        <f>IFERROR(__xludf.DUMMYFUNCTION("""COMPUTED_VALUE"""),3000.0)</f>
        <v>3000</v>
      </c>
      <c r="B1276" s="31" t="str">
        <f>IFERROR(__xludf.DUMMYFUNCTION("""COMPUTED_VALUE"""),"確定")</f>
        <v>確定</v>
      </c>
      <c r="C1276" s="28">
        <f>IFERROR(__xludf.DUMMYFUNCTION("""COMPUTED_VALUE"""),45344.0)</f>
        <v>45344</v>
      </c>
      <c r="D1276" s="28">
        <f>IFERROR(__xludf.DUMMYFUNCTION("""COMPUTED_VALUE"""),45366.0)</f>
        <v>45366</v>
      </c>
      <c r="E1276" s="31">
        <f>IFERROR(__xludf.DUMMYFUNCTION("""COMPUTED_VALUE"""),290620.0)</f>
        <v>290620</v>
      </c>
      <c r="F1276" s="31" t="str">
        <f>IFERROR(__xludf.DUMMYFUNCTION("""COMPUTED_VALUE"""),"冷徹王の最愛妻～身代わり姫の偽り政略結婚～【分冊版】")</f>
        <v>冷徹王の最愛妻～身代わり姫の偽り政略結婚～【分冊版】</v>
      </c>
      <c r="G1276" s="20" t="str">
        <f>IFERROR(__xludf.DUMMYFUNCTION("""COMPUTED_VALUE"""),"1~3")</f>
        <v>1~3</v>
      </c>
      <c r="H1276" s="31" t="str">
        <f>IFERROR(__xludf.DUMMYFUNCTION("""COMPUTED_VALUE"""),"米谷たかね・ナツ")</f>
        <v>米谷たかね・ナツ</v>
      </c>
      <c r="I1276" s="31" t="str">
        <f>IFERROR(__xludf.DUMMYFUNCTION("""COMPUTED_VALUE"""),"TL")</f>
        <v>TL</v>
      </c>
      <c r="J1276" s="31"/>
      <c r="K1276" s="31"/>
      <c r="L1276" s="31" t="str">
        <f>IFERROR(__xludf.DUMMYFUNCTION("""COMPUTED_VALUE"""),"乙女ドルチェ・コミックス")</f>
        <v>乙女ドルチェ・コミックス</v>
      </c>
      <c r="M1276" s="23">
        <f>IFERROR(__xludf.DUMMYFUNCTION("""COMPUTED_VALUE"""),45400.0)</f>
        <v>45400</v>
      </c>
      <c r="N1276" s="47">
        <f>IFERROR(__xludf.DUMMYFUNCTION("""COMPUTED_VALUE"""),45460.0)</f>
        <v>45460</v>
      </c>
      <c r="O1276" s="20"/>
      <c r="P1276" s="34" t="str">
        <f>IFERROR(__xludf.DUMMYFUNCTION("""COMPUTED_VALUE"""),"可")</f>
        <v>可</v>
      </c>
      <c r="Q1276" s="31" t="str">
        <f>IFERROR(__xludf.DUMMYFUNCTION("""COMPUTED_VALUE"""),"※※初回配信1～3巻目のみ使用可能※※&lt;BR&gt;4話配信→5/17・5話配信→6/18&lt;BR&gt;参考に入れておりますので、初回配信時には使用されないようにご注意ください&lt;BR&gt;")</f>
        <v>※※初回配信1～3巻目のみ使用可能※※&lt;BR&gt;4話配信→5/17・5話配信→6/18&lt;BR&gt;参考に入れておりますので、初回配信時には使用されないようにご注意ください&lt;BR&gt;</v>
      </c>
      <c r="R1276" s="31" t="str">
        <f>IFERROR(__xludf.DUMMYFUNCTION("""COMPUTED_VALUE"""),"格納済")</f>
        <v>格納済</v>
      </c>
      <c r="S1276" s="31" t="str">
        <f>IFERROR(__xludf.DUMMYFUNCTION("""COMPUTED_VALUE"""),"20240315_ハーパーコリンズ_冷徹王の最愛妻")</f>
        <v>20240315_ハーパーコリンズ_冷徹王の最愛妻</v>
      </c>
      <c r="T1276" s="31" t="str">
        <f>IFERROR(__xludf.DUMMYFUNCTION("""COMPUTED_VALUE"""),"格納済み")</f>
        <v>格納済み</v>
      </c>
      <c r="U1276" s="15" t="str">
        <f>IFERROR(__xludf.DUMMYFUNCTION("""COMPUTED_VALUE"""),"（C)米谷たかね・ナツ／ハーパーコリンズ・ジャパン")</f>
        <v>（C)米谷たかね・ナツ／ハーパーコリンズ・ジャパン</v>
      </c>
      <c r="V1276" s="8" t="str">
        <f>IFERROR(__xludf.DUMMYFUNCTION("""COMPUTED_VALUE"""),"【血塗られの王】×【身代わりの姫】
身悶えるほど幸せな初夜の後、拒絶された愛
高級娼館の主を母にもつアメリアは、国王の訪れで自分が前王の娘と知り、従姉妹の身代わりとして隣国の王シグリッドの元へ嫁ぐことに。シグリッドが初恋の人と知り想いを馳せるが、真実を明かせないまま初夜を迎えるアメリア。彼の優しい指が熱を帯び、体を熱く甘く蕩けさせ――。だがその翌日から、彼はアメリアに冷たい態度を取り続け…!?")</f>
        <v>【血塗られの王】×【身代わりの姫】
身悶えるほど幸せな初夜の後、拒絶された愛
高級娼館の主を母にもつアメリアは、国王の訪れで自分が前王の娘と知り、従姉妹の身代わりとして隣国の王シグリッドの元へ嫁ぐことに。シグリッドが初恋の人と知り想いを馳せるが、真実を明かせないまま初夜を迎えるアメリア。彼の優しい指が熱を帯び、体を熱く甘く蕩けさせ――。だがその翌日から、彼はアメリアに冷たい態度を取り続け…!?</v>
      </c>
      <c r="W1276" s="14"/>
      <c r="X1276" s="14" t="str">
        <f>IFERROR(__xludf.DUMMYFUNCTION("""COMPUTED_VALUE"""),"有")</f>
        <v>有</v>
      </c>
      <c r="Y1276" s="8" t="str">
        <f>IFERROR(__xludf.DUMMYFUNCTION("""COMPUTED_VALUE"""),"P9まで")</f>
        <v>P9まで</v>
      </c>
      <c r="Z1276" s="7"/>
      <c r="AA1276" s="7"/>
      <c r="AB1276" s="7"/>
    </row>
    <row r="1277" ht="15.75" customHeight="1">
      <c r="A1277" s="26">
        <f>IFERROR(__xludf.DUMMYFUNCTION("""COMPUTED_VALUE"""),3002.0)</f>
        <v>3002</v>
      </c>
      <c r="B1277" s="31" t="str">
        <f>IFERROR(__xludf.DUMMYFUNCTION("""COMPUTED_VALUE"""),"確定")</f>
        <v>確定</v>
      </c>
      <c r="C1277" s="28">
        <f>IFERROR(__xludf.DUMMYFUNCTION("""COMPUTED_VALUE"""),45344.0)</f>
        <v>45344</v>
      </c>
      <c r="D1277" s="28">
        <f>IFERROR(__xludf.DUMMYFUNCTION("""COMPUTED_VALUE"""),45366.0)</f>
        <v>45366</v>
      </c>
      <c r="E1277" s="31">
        <f>IFERROR(__xludf.DUMMYFUNCTION("""COMPUTED_VALUE"""),290618.0)</f>
        <v>290618</v>
      </c>
      <c r="F1277" s="31" t="str">
        <f>IFERROR(__xludf.DUMMYFUNCTION("""COMPUTED_VALUE"""),"不埒な侯爵の強引求愛")</f>
        <v>不埒な侯爵の強引求愛</v>
      </c>
      <c r="G1277" s="20">
        <f>IFERROR(__xludf.DUMMYFUNCTION("""COMPUTED_VALUE"""),1.0)</f>
        <v>1</v>
      </c>
      <c r="H1277" s="31" t="str">
        <f>IFERROR(__xludf.DUMMYFUNCTION("""COMPUTED_VALUE"""),"瑞色あき・藍井 恵")</f>
        <v>瑞色あき・藍井 恵</v>
      </c>
      <c r="I1277" s="31" t="str">
        <f>IFERROR(__xludf.DUMMYFUNCTION("""COMPUTED_VALUE"""),"TL")</f>
        <v>TL</v>
      </c>
      <c r="J1277" s="31"/>
      <c r="K1277" s="31"/>
      <c r="L1277" s="31" t="str">
        <f>IFERROR(__xludf.DUMMYFUNCTION("""COMPUTED_VALUE"""),"乙女ドルチェ・コミックス")</f>
        <v>乙女ドルチェ・コミックス</v>
      </c>
      <c r="M1277" s="23">
        <f>IFERROR(__xludf.DUMMYFUNCTION("""COMPUTED_VALUE"""),45400.0)</f>
        <v>45400</v>
      </c>
      <c r="N1277" s="47">
        <f>IFERROR(__xludf.DUMMYFUNCTION("""COMPUTED_VALUE"""),45460.0)</f>
        <v>45460</v>
      </c>
      <c r="O1277" s="20"/>
      <c r="P1277" s="34" t="str">
        <f>IFERROR(__xludf.DUMMYFUNCTION("""COMPUTED_VALUE"""),"可")</f>
        <v>可</v>
      </c>
      <c r="Q1277" s="31" t="str">
        <f>IFERROR(__xludf.DUMMYFUNCTION("""COMPUTED_VALUE"""),"広告コミットOK(3/4)")</f>
        <v>広告コミットOK(3/4)</v>
      </c>
      <c r="R1277" s="31" t="str">
        <f>IFERROR(__xludf.DUMMYFUNCTION("""COMPUTED_VALUE"""),"格納済")</f>
        <v>格納済</v>
      </c>
      <c r="S1277" s="31" t="str">
        <f>IFERROR(__xludf.DUMMYFUNCTION("""COMPUTED_VALUE"""),"20240315_乙女ドルチェ_不埒な侯爵の強引求愛")</f>
        <v>20240315_乙女ドルチェ_不埒な侯爵の強引求愛</v>
      </c>
      <c r="T1277" s="31" t="str">
        <f>IFERROR(__xludf.DUMMYFUNCTION("""COMPUTED_VALUE"""),"格納済み")</f>
        <v>格納済み</v>
      </c>
      <c r="U1277" s="15" t="str">
        <f>IFERROR(__xludf.DUMMYFUNCTION("""COMPUTED_VALUE"""),"（C)瑞色あき・藍井 恵／ハーパーコリンズ・ジャパン")</f>
        <v>（C)瑞色あき・藍井 恵／ハーパーコリンズ・ジャパン</v>
      </c>
      <c r="V1277" s="8" t="str">
        <f>IFERROR(__xludf.DUMMYFUNCTION("""COMPUTED_VALUE"""),"「わたしが好きだからそんな表情をするんだろ？」
女たらし侯爵×男装王女さま
「わた…僕は男ですよ！」首筋に舌を這わされ体の疼きを必死に堪え――。トリニア王国第六王女マリーは、植物や鉱物に夢中で、社交界デビューも結婚も興味なし。ある日彼女は、身分を隠し少年の変装をして参加したサロンで、華やかで美しい若き侯爵フランツに熱烈に迫られる。初めて受ける、舌で優しくなぞられるキスに、マリーの胸が高鳴る。”女たらしの遊び人”と噂されるフランツは、本当は男が好きだったの？「もっと試してもいいかい？この気持ちが"&amp;"本物かどうか」熱い眼差しと香りに痺れる中、胸のボタンを外されて…女だってバレたらどうなるの――?")</f>
        <v>「わたしが好きだからそんな表情をするんだろ？」
女たらし侯爵×男装王女さま
「わた…僕は男ですよ！」首筋に舌を這わされ体の疼きを必死に堪え――。トリニア王国第六王女マリーは、植物や鉱物に夢中で、社交界デビューも結婚も興味なし。ある日彼女は、身分を隠し少年の変装をして参加したサロンで、華やかで美しい若き侯爵フランツに熱烈に迫られる。初めて受ける、舌で優しくなぞられるキスに、マリーの胸が高鳴る。”女たらしの遊び人”と噂されるフランツは、本当は男が好きだったの？「もっと試してもいいかい？この気持ちが本物かどうか」熱い眼差しと香りに痺れる中、胸のボタンを外されて…女だってバレたらどうなるの――?</v>
      </c>
      <c r="W1277" s="14"/>
      <c r="X1277" s="14" t="str">
        <f>IFERROR(__xludf.DUMMYFUNCTION("""COMPUTED_VALUE"""),"有")</f>
        <v>有</v>
      </c>
      <c r="Y1277" s="8" t="str">
        <f>IFERROR(__xludf.DUMMYFUNCTION("""COMPUTED_VALUE"""),"P30まで")</f>
        <v>P30まで</v>
      </c>
      <c r="Z1277" s="7"/>
      <c r="AA1277" s="7"/>
      <c r="AB1277" s="7"/>
    </row>
    <row r="1278" ht="15.75" customHeight="1">
      <c r="A1278" s="26">
        <f>IFERROR(__xludf.DUMMYFUNCTION("""COMPUTED_VALUE"""),3016.0)</f>
        <v>3016</v>
      </c>
      <c r="B1278" s="31" t="str">
        <f>IFERROR(__xludf.DUMMYFUNCTION("""COMPUTED_VALUE"""),"確定")</f>
        <v>確定</v>
      </c>
      <c r="C1278" s="28">
        <f>IFERROR(__xludf.DUMMYFUNCTION("""COMPUTED_VALUE"""),45348.0)</f>
        <v>45348</v>
      </c>
      <c r="D1278" s="28">
        <f>IFERROR(__xludf.DUMMYFUNCTION("""COMPUTED_VALUE"""),45366.0)</f>
        <v>45366</v>
      </c>
      <c r="E1278" s="31">
        <f>IFERROR(__xludf.DUMMYFUNCTION("""COMPUTED_VALUE"""),290097.0)</f>
        <v>290097</v>
      </c>
      <c r="F1278" s="52" t="str">
        <f>IFERROR(__xludf.DUMMYFUNCTION("""COMPUTED_VALUE"""),"【単話版】縛って見つめて")</f>
        <v>【単話版】縛って見つめて</v>
      </c>
      <c r="G1278" s="16" t="str">
        <f>IFERROR(__xludf.DUMMYFUNCTION("""COMPUTED_VALUE"""),"1～3")</f>
        <v>1～3</v>
      </c>
      <c r="H1278" s="31" t="str">
        <f>IFERROR(__xludf.DUMMYFUNCTION("""COMPUTED_VALUE"""),"多喜ざわゆき")</f>
        <v>多喜ざわゆき</v>
      </c>
      <c r="I1278" s="52" t="str">
        <f>IFERROR(__xludf.DUMMYFUNCTION("""COMPUTED_VALUE"""),"青年	")</f>
        <v>青年	</v>
      </c>
      <c r="J1278" s="31"/>
      <c r="K1278" s="31"/>
      <c r="L1278" s="31" t="str">
        <f>IFERROR(__xludf.DUMMYFUNCTION("""COMPUTED_VALUE"""),"新潮社")</f>
        <v>新潮社</v>
      </c>
      <c r="M1278" s="23">
        <f>IFERROR(__xludf.DUMMYFUNCTION("""COMPUTED_VALUE"""),45391.0)</f>
        <v>45391</v>
      </c>
      <c r="N1278" s="47">
        <f>IFERROR(__xludf.DUMMYFUNCTION("""COMPUTED_VALUE"""),45497.0)</f>
        <v>45497</v>
      </c>
      <c r="O1278" s="20"/>
      <c r="P1278" s="34" t="str">
        <f>IFERROR(__xludf.DUMMYFUNCTION("""COMPUTED_VALUE"""),"可")</f>
        <v>可</v>
      </c>
      <c r="Q1278" s="30" t="str">
        <f>IFERROR(__xludf.DUMMYFUNCTION("""COMPUTED_VALUE"""),"広告コミットOK(3/1)&lt;BR&gt;初回配信巻数が4巻から進行の都合で3話に変更となりました。4話は4月25日配信予定です。")</f>
        <v>広告コミットOK(3/1)&lt;BR&gt;初回配信巻数が4巻から進行の都合で3話に変更となりました。4話は4月25日配信予定です。</v>
      </c>
      <c r="R1278" s="31"/>
      <c r="S1278" s="31" t="str">
        <f>IFERROR(__xludf.DUMMYFUNCTION("""COMPUTED_VALUE"""),"20240314_新潮社_縛って見つめて")</f>
        <v>20240314_新潮社_縛って見つめて</v>
      </c>
      <c r="T1278" s="31" t="str">
        <f>IFERROR(__xludf.DUMMYFUNCTION("""COMPUTED_VALUE"""),"格納済み")</f>
        <v>格納済み</v>
      </c>
      <c r="U1278" s="15" t="str">
        <f>IFERROR(__xludf.DUMMYFUNCTION("""COMPUTED_VALUE"""),"©多喜ざわゆき")</f>
        <v>©多喜ざわゆき</v>
      </c>
      <c r="V1278" s="8" t="str">
        <f>IFERROR(__xludf.DUMMYFUNCTION("""COMPUTED_VALUE"""),"食品スーパー本社の販促課で課長を務める沢田。上と下との板挟みになり、苦労が絶えない。残業後のある日、一杯飲もうと店を探していると「フェティッシュバー」と書かれた看板が目に入る。扉を開けると彼を迎えたのは、網タイツにボンデージ姿の女性たち!?　人気ナンバーワンの女王様・ナナによる緊縛を体験した沢田は、今まで感じたことのない快楽と解放感を味わい……。")</f>
        <v>食品スーパー本社の販促課で課長を務める沢田。上と下との板挟みになり、苦労が絶えない。残業後のある日、一杯飲もうと店を探していると「フェティッシュバー」と書かれた看板が目に入る。扉を開けると彼を迎えたのは、網タイツにボンデージ姿の女性たち!?　人気ナンバーワンの女王様・ナナによる緊縛を体験した沢田は、今まで感じたことのない快楽と解放感を味わい……。</v>
      </c>
      <c r="W1278" s="14"/>
      <c r="X1278" s="14" t="str">
        <f>IFERROR(__xludf.DUMMYFUNCTION("""COMPUTED_VALUE"""),"有")</f>
        <v>有</v>
      </c>
      <c r="Y1278" s="8" t="str">
        <f>IFERROR(__xludf.DUMMYFUNCTION("""COMPUTED_VALUE"""),"P5まで")</f>
        <v>P5まで</v>
      </c>
      <c r="Z1278" s="7"/>
      <c r="AA1278" s="7"/>
      <c r="AB1278" s="7"/>
    </row>
    <row r="1279" ht="15.75" customHeight="1">
      <c r="A1279" s="26">
        <f>IFERROR(__xludf.DUMMYFUNCTION("""COMPUTED_VALUE"""),3098.0)</f>
        <v>3098</v>
      </c>
      <c r="B1279" s="31" t="str">
        <f>IFERROR(__xludf.DUMMYFUNCTION("""COMPUTED_VALUE"""),"確定")</f>
        <v>確定</v>
      </c>
      <c r="C1279" s="28">
        <f>IFERROR(__xludf.DUMMYFUNCTION("""COMPUTED_VALUE"""),45364.0)</f>
        <v>45364</v>
      </c>
      <c r="D1279" s="28">
        <f>IFERROR(__xludf.DUMMYFUNCTION("""COMPUTED_VALUE"""),45366.0)</f>
        <v>45366</v>
      </c>
      <c r="E1279" s="26">
        <f>IFERROR(__xludf.DUMMYFUNCTION("""COMPUTED_VALUE"""),277975.0)</f>
        <v>277975</v>
      </c>
      <c r="F1279" s="31" t="str">
        <f>IFERROR(__xludf.DUMMYFUNCTION("""COMPUTED_VALUE"""),"復讐のバトルクライ")</f>
        <v>復讐のバトルクライ</v>
      </c>
      <c r="G1279" s="20" t="str">
        <f>IFERROR(__xludf.DUMMYFUNCTION("""COMPUTED_VALUE"""),"1～3")</f>
        <v>1～3</v>
      </c>
      <c r="H1279" s="31" t="str">
        <f>IFERROR(__xludf.DUMMYFUNCTION("""COMPUTED_VALUE"""),"天月みご,若井優介")</f>
        <v>天月みご,若井優介</v>
      </c>
      <c r="I1279" s="31" t="str">
        <f>IFERROR(__xludf.DUMMYFUNCTION("""COMPUTED_VALUE"""),"青年")</f>
        <v>青年</v>
      </c>
      <c r="J1279" s="31"/>
      <c r="K1279" s="31"/>
      <c r="L1279" s="31" t="str">
        <f>IFERROR(__xludf.DUMMYFUNCTION("""COMPUTED_VALUE"""),"シーモアコミックス")</f>
        <v>シーモアコミックス</v>
      </c>
      <c r="M1279" s="23">
        <f>IFERROR(__xludf.DUMMYFUNCTION("""COMPUTED_VALUE"""),45408.0)</f>
        <v>45408</v>
      </c>
      <c r="N1279" s="23">
        <f>IFERROR(__xludf.DUMMYFUNCTION("""COMPUTED_VALUE"""),45561.0)</f>
        <v>45561</v>
      </c>
      <c r="O1279" s="20"/>
      <c r="P1279" s="32" t="str">
        <f>IFERROR(__xludf.DUMMYFUNCTION("""COMPUTED_VALUE"""),"可")</f>
        <v>可</v>
      </c>
      <c r="Q1279" s="30"/>
      <c r="R1279" s="31"/>
      <c r="S1279" s="31" t="str">
        <f>IFERROR(__xludf.DUMMYFUNCTION("""COMPUTED_VALUE"""),"20240313_シーモアコミックス_復讐のバトルクライ")</f>
        <v>20240313_シーモアコミックス_復讐のバトルクライ</v>
      </c>
      <c r="T1279" s="31" t="str">
        <f>IFERROR(__xludf.DUMMYFUNCTION("""COMPUTED_VALUE"""),"格納済み")</f>
        <v>格納済み</v>
      </c>
      <c r="U1279" s="15" t="str">
        <f>IFERROR(__xludf.DUMMYFUNCTION("""COMPUTED_VALUE"""),"© 天月みご/若井優介/シーモアコミックス")</f>
        <v>© 天月みご/若井優介/シーモアコミックス</v>
      </c>
      <c r="V1279" s="8" t="str">
        <f>IFERROR(__xludf.DUMMYFUNCTION("""COMPUTED_VALUE"""),"本能寺の変において織田信長は討たれた。しかしその首は見つかっていないーー。そして舞台は現代へ。一条蒼斗（あおと）は毎日凄惨ないじめを受けていた。蒼斗の通う群雄高校には［大名］［武士］［平民］［奴隷］という身分階級が存在し、蒼斗は学校の支配者・神崎によって最下層の［奴隷］にされたのだ。ある日、蒼斗は神崎らに愛犬を無惨に殺され、自身は背中を彫刻刀で切り刻まれ、心も体もズタズタにされる。蒼斗が悔しさと憎しみに打ち震えた時、あの男の魂が乗り移る！「余は第六天魔王・織田信長である」信長流の逆襲が始まった！")</f>
        <v>本能寺の変において織田信長は討たれた。しかしその首は見つかっていないーー。そして舞台は現代へ。一条蒼斗（あおと）は毎日凄惨ないじめを受けていた。蒼斗の通う群雄高校には［大名］［武士］［平民］［奴隷］という身分階級が存在し、蒼斗は学校の支配者・神崎によって最下層の［奴隷］にされたのだ。ある日、蒼斗は神崎らに愛犬を無惨に殺され、自身は背中を彫刻刀で切り刻まれ、心も体もズタズタにされる。蒼斗が悔しさと憎しみに打ち震えた時、あの男の魂が乗り移る！「余は第六天魔王・織田信長である」信長流の逆襲が始まった！</v>
      </c>
      <c r="W1279" s="14"/>
      <c r="X1279" s="14" t="str">
        <f>IFERROR(__xludf.DUMMYFUNCTION("""COMPUTED_VALUE"""),"有")</f>
        <v>有</v>
      </c>
      <c r="Y1279" s="8" t="str">
        <f>IFERROR(__xludf.DUMMYFUNCTION("""COMPUTED_VALUE"""),"2024/5/30まで1巻無料")</f>
        <v>2024/5/30まで1巻無料</v>
      </c>
      <c r="Z1279" s="7"/>
      <c r="AA1279" s="7"/>
      <c r="AB1279" s="7"/>
    </row>
    <row r="1280" ht="15.75" customHeight="1">
      <c r="A1280" s="26">
        <f>IFERROR(__xludf.DUMMYFUNCTION("""COMPUTED_VALUE"""),3099.0)</f>
        <v>3099</v>
      </c>
      <c r="B1280" s="31" t="str">
        <f>IFERROR(__xludf.DUMMYFUNCTION("""COMPUTED_VALUE"""),"確定")</f>
        <v>確定</v>
      </c>
      <c r="C1280" s="28">
        <f>IFERROR(__xludf.DUMMYFUNCTION("""COMPUTED_VALUE"""),45364.0)</f>
        <v>45364</v>
      </c>
      <c r="D1280" s="28">
        <f>IFERROR(__xludf.DUMMYFUNCTION("""COMPUTED_VALUE"""),45366.0)</f>
        <v>45366</v>
      </c>
      <c r="E1280" s="26">
        <f>IFERROR(__xludf.DUMMYFUNCTION("""COMPUTED_VALUE"""),271103.0)</f>
        <v>271103</v>
      </c>
      <c r="F1280" s="52" t="str">
        <f>IFERROR(__xludf.DUMMYFUNCTION("""COMPUTED_VALUE"""),"君は知らないかもだけど。")</f>
        <v>君は知らないかもだけど。</v>
      </c>
      <c r="G1280" s="20" t="str">
        <f>IFERROR(__xludf.DUMMYFUNCTION("""COMPUTED_VALUE"""),"1～3")</f>
        <v>1～3</v>
      </c>
      <c r="H1280" s="31" t="str">
        <f>IFERROR(__xludf.DUMMYFUNCTION("""COMPUTED_VALUE"""),"深なずな")</f>
        <v>深なずな</v>
      </c>
      <c r="I1280" s="31" t="str">
        <f>IFERROR(__xludf.DUMMYFUNCTION("""COMPUTED_VALUE"""),"女性")</f>
        <v>女性</v>
      </c>
      <c r="J1280" s="31"/>
      <c r="K1280" s="31"/>
      <c r="L1280" s="31" t="str">
        <f>IFERROR(__xludf.DUMMYFUNCTION("""COMPUTED_VALUE"""),"シーモアコミックス")</f>
        <v>シーモアコミックス</v>
      </c>
      <c r="M1280" s="23">
        <f>IFERROR(__xludf.DUMMYFUNCTION("""COMPUTED_VALUE"""),45415.0)</f>
        <v>45415</v>
      </c>
      <c r="N1280" s="33">
        <f>IFERROR(__xludf.DUMMYFUNCTION("""COMPUTED_VALUE"""),45568.0)</f>
        <v>45568</v>
      </c>
      <c r="O1280" s="20"/>
      <c r="P1280" s="34" t="str">
        <f>IFERROR(__xludf.DUMMYFUNCTION("""COMPUTED_VALUE"""),"可")</f>
        <v>可</v>
      </c>
      <c r="Q1280" s="30"/>
      <c r="R1280" s="31"/>
      <c r="S1280" s="31" t="str">
        <f>IFERROR(__xludf.DUMMYFUNCTION("""COMPUTED_VALUE"""),"20240313_シーモアコミックス_君は知らないかもだけど。")</f>
        <v>20240313_シーモアコミックス_君は知らないかもだけど。</v>
      </c>
      <c r="T1280" s="31" t="str">
        <f>IFERROR(__xludf.DUMMYFUNCTION("""COMPUTED_VALUE"""),"格納済み")</f>
        <v>格納済み</v>
      </c>
      <c r="U1280" s="15" t="str">
        <f>IFERROR(__xludf.DUMMYFUNCTION("""COMPUTED_VALUE"""),"© 深なずな/シーモアコミックス")</f>
        <v>© 深なずな/シーモアコミックス</v>
      </c>
      <c r="V1280" s="8" t="str">
        <f>IFERROR(__xludf.DUMMYFUNCTION("""COMPUTED_VALUE"""),"多田湊は崎コーポレーションで働く28歳。幼い頃から大好きな家族のために母親代わりをしてきたが、独り立ちをした弟妹から「これからは自分の人生を生きてほしい」と告げられる。家族一筋だった湊にとって、やりたいことが思いつかないまま日々は過ぎ…ある日、インターン生としてやって来た年下の御曹司・崎康太の教育係を任せられる。「貴女だといいなって思ってたんですよね」そんな康太の一言から、湊の人生が大きく変わっていき…！？")</f>
        <v>多田湊は崎コーポレーションで働く28歳。幼い頃から大好きな家族のために母親代わりをしてきたが、独り立ちをした弟妹から「これからは自分の人生を生きてほしい」と告げられる。家族一筋だった湊にとって、やりたいことが思いつかないまま日々は過ぎ…ある日、インターン生としてやって来た年下の御曹司・崎康太の教育係を任せられる。「貴女だといいなって思ってたんですよね」そんな康太の一言から、湊の人生が大きく変わっていき…！？</v>
      </c>
      <c r="W1280" s="14"/>
      <c r="X1280" s="14" t="str">
        <f>IFERROR(__xludf.DUMMYFUNCTION("""COMPUTED_VALUE"""),"有")</f>
        <v>有</v>
      </c>
      <c r="Y1280" s="8" t="str">
        <f>IFERROR(__xludf.DUMMYFUNCTION("""COMPUTED_VALUE"""),"P9まで")</f>
        <v>P9まで</v>
      </c>
      <c r="Z1280" s="7"/>
      <c r="AA1280" s="7"/>
      <c r="AB1280" s="7"/>
    </row>
    <row r="1281" ht="15.75" customHeight="1">
      <c r="A1281" s="26">
        <f>IFERROR(__xludf.DUMMYFUNCTION("""COMPUTED_VALUE"""),3104.0)</f>
        <v>3104</v>
      </c>
      <c r="B1281" s="31" t="str">
        <f>IFERROR(__xludf.DUMMYFUNCTION("""COMPUTED_VALUE"""),"確定")</f>
        <v>確定</v>
      </c>
      <c r="C1281" s="28">
        <f>IFERROR(__xludf.DUMMYFUNCTION("""COMPUTED_VALUE"""),45365.0)</f>
        <v>45365</v>
      </c>
      <c r="D1281" s="28">
        <f>IFERROR(__xludf.DUMMYFUNCTION("""COMPUTED_VALUE"""),45369.0)</f>
        <v>45369</v>
      </c>
      <c r="E1281" s="31">
        <f>IFERROR(__xludf.DUMMYFUNCTION("""COMPUTED_VALUE"""),291848.0)</f>
        <v>291848</v>
      </c>
      <c r="F1281" s="31" t="str">
        <f>IFERROR(__xludf.DUMMYFUNCTION("""COMPUTED_VALUE"""),"白い結婚、最高です。〜虐げられた令嬢、新妻とメイドを兼任中〜")</f>
        <v>白い結婚、最高です。〜虐げられた令嬢、新妻とメイドを兼任中〜</v>
      </c>
      <c r="G1281" s="20" t="str">
        <f>IFERROR(__xludf.DUMMYFUNCTION("""COMPUTED_VALUE"""),"1～3")</f>
        <v>1～3</v>
      </c>
      <c r="H1281" s="31" t="str">
        <f>IFERROR(__xludf.DUMMYFUNCTION("""COMPUTED_VALUE"""),"漫画：石蕗こはな（つわぶきこはな） 原作：火野村志紀（ひのむらしき）")</f>
        <v>漫画：石蕗こはな（つわぶきこはな） 原作：火野村志紀（ひのむらしき）</v>
      </c>
      <c r="I1281" s="31" t="str">
        <f>IFERROR(__xludf.DUMMYFUNCTION("""COMPUTED_VALUE"""),"女性")</f>
        <v>女性</v>
      </c>
      <c r="J1281" s="31"/>
      <c r="K1281" s="31"/>
      <c r="L1281" s="31" t="str">
        <f>IFERROR(__xludf.DUMMYFUNCTION("""COMPUTED_VALUE"""),"マンガボックス")</f>
        <v>マンガボックス</v>
      </c>
      <c r="M1281" s="23">
        <f>IFERROR(__xludf.DUMMYFUNCTION("""COMPUTED_VALUE"""),45398.0)</f>
        <v>45398</v>
      </c>
      <c r="N1281" s="33">
        <f>IFERROR(__xludf.DUMMYFUNCTION("""COMPUTED_VALUE"""),45580.0)</f>
        <v>45580</v>
      </c>
      <c r="O1281" s="20"/>
      <c r="P1281" s="34" t="str">
        <f>IFERROR(__xludf.DUMMYFUNCTION("""COMPUTED_VALUE"""),"可")</f>
        <v>可</v>
      </c>
      <c r="Q1281" s="30" t="str">
        <f>IFERROR(__xludf.DUMMYFUNCTION("""COMPUTED_VALUE"""),"広告コミットOK(9/12)")</f>
        <v>広告コミットOK(9/12)</v>
      </c>
      <c r="R1281" s="31"/>
      <c r="S1281" s="31" t="str">
        <f>IFERROR(__xludf.DUMMYFUNCTION("""COMPUTED_VALUE"""),"20240314_マンガボックス_白い結婚")</f>
        <v>20240314_マンガボックス_白い結婚</v>
      </c>
      <c r="T1281" s="31" t="str">
        <f>IFERROR(__xludf.DUMMYFUNCTION("""COMPUTED_VALUE"""),"格納済み")</f>
        <v>格納済み</v>
      </c>
      <c r="U1281" s="15" t="str">
        <f>IFERROR(__xludf.DUMMYFUNCTION("""COMPUTED_VALUE"""),"©︎石蕗こはな・火野村志紀（ツギクル）・キャラクター原案：深山キリ/マンガボックス")</f>
        <v>©︎石蕗こはな・火野村志紀（ツギクル）・キャラクター原案：深山キリ/マンガボックス</v>
      </c>
      <c r="V1281" s="8" t="str">
        <f>IFERROR(__xludf.DUMMYFUNCTION("""COMPUTED_VALUE"""),"没落寸前の男爵家を支えるため、令嬢でありながら仕事漬けの日々を送るアニス。「家族のために死ぬまで働き続けるのが私の人生…」そう思っていた矢先、公爵家の美青年・ユリウスから突然結婚を申し込まれる。急な展開に戸惑うアニスだが、すぐにユリウスの目的が愛のない結婚——『白い結婚』であることに気付く。異性に興味のないユリウスは自分に執着せず束縛もしない妻を望み、そうして選ばれたのがアニスだったのだ。そんなユリウスに対して、アニスは結婚するための“ある条件”を提示して……？")</f>
        <v>没落寸前の男爵家を支えるため、令嬢でありながら仕事漬けの日々を送るアニス。「家族のために死ぬまで働き続けるのが私の人生…」そう思っていた矢先、公爵家の美青年・ユリウスから突然結婚を申し込まれる。急な展開に戸惑うアニスだが、すぐにユリウスの目的が愛のない結婚——『白い結婚』であることに気付く。異性に興味のないユリウスは自分に執着せず束縛もしない妻を望み、そうして選ばれたのがアニスだったのだ。そんなユリウスに対して、アニスは結婚するための“ある条件”を提示して……？</v>
      </c>
      <c r="W1281" s="14"/>
      <c r="X1281" s="14" t="str">
        <f>IFERROR(__xludf.DUMMYFUNCTION("""COMPUTED_VALUE"""),"有")</f>
        <v>有</v>
      </c>
      <c r="Y1281" s="8" t="str">
        <f>IFERROR(__xludf.DUMMYFUNCTION("""COMPUTED_VALUE"""),"P16まで")</f>
        <v>P16まで</v>
      </c>
      <c r="Z1281" s="7"/>
      <c r="AA1281" s="7"/>
      <c r="AB1281" s="7"/>
    </row>
    <row r="1282" ht="15.75" customHeight="1">
      <c r="A1282" s="26">
        <f>IFERROR(__xludf.DUMMYFUNCTION("""COMPUTED_VALUE"""),3112.0)</f>
        <v>3112</v>
      </c>
      <c r="B1282" s="31" t="str">
        <f>IFERROR(__xludf.DUMMYFUNCTION("""COMPUTED_VALUE"""),"確定")</f>
        <v>確定</v>
      </c>
      <c r="C1282" s="28">
        <f>IFERROR(__xludf.DUMMYFUNCTION("""COMPUTED_VALUE"""),45366.0)</f>
        <v>45366</v>
      </c>
      <c r="D1282" s="28">
        <f>IFERROR(__xludf.DUMMYFUNCTION("""COMPUTED_VALUE"""),45372.0)</f>
        <v>45372</v>
      </c>
      <c r="E1282" s="26">
        <f>IFERROR(__xludf.DUMMYFUNCTION("""COMPUTED_VALUE"""),275040.0)</f>
        <v>275040</v>
      </c>
      <c r="F1282" s="52" t="str">
        <f>IFERROR(__xludf.DUMMYFUNCTION("""COMPUTED_VALUE"""),"世界で二番目に可愛くしてあげる")</f>
        <v>世界で二番目に可愛くしてあげる</v>
      </c>
      <c r="G1282" s="20" t="str">
        <f>IFERROR(__xludf.DUMMYFUNCTION("""COMPUTED_VALUE"""),"1～3")</f>
        <v>1～3</v>
      </c>
      <c r="H1282" s="31" t="str">
        <f>IFERROR(__xludf.DUMMYFUNCTION("""COMPUTED_VALUE"""),"うめお")</f>
        <v>うめお</v>
      </c>
      <c r="I1282" s="31" t="str">
        <f>IFERROR(__xludf.DUMMYFUNCTION("""COMPUTED_VALUE"""),"女性")</f>
        <v>女性</v>
      </c>
      <c r="J1282" s="31"/>
      <c r="K1282" s="31"/>
      <c r="L1282" s="31" t="str">
        <f>IFERROR(__xludf.DUMMYFUNCTION("""COMPUTED_VALUE"""),"シーモアコミックス")</f>
        <v>シーモアコミックス</v>
      </c>
      <c r="M1282" s="23">
        <f>IFERROR(__xludf.DUMMYFUNCTION("""COMPUTED_VALUE"""),45415.0)</f>
        <v>45415</v>
      </c>
      <c r="N1282" s="33">
        <f>IFERROR(__xludf.DUMMYFUNCTION("""COMPUTED_VALUE"""),45568.0)</f>
        <v>45568</v>
      </c>
      <c r="O1282" s="20"/>
      <c r="P1282" s="34" t="str">
        <f>IFERROR(__xludf.DUMMYFUNCTION("""COMPUTED_VALUE"""),"可")</f>
        <v>可</v>
      </c>
      <c r="Q1282" s="30"/>
      <c r="R1282" s="31"/>
      <c r="S1282" s="31" t="str">
        <f>IFERROR(__xludf.DUMMYFUNCTION("""COMPUTED_VALUE"""),"20240315_シーモアコミックス_世界で二番目に可愛くしてあげる")</f>
        <v>20240315_シーモアコミックス_世界で二番目に可愛くしてあげる</v>
      </c>
      <c r="T1282" s="31" t="str">
        <f>IFERROR(__xludf.DUMMYFUNCTION("""COMPUTED_VALUE"""),"格納済み")</f>
        <v>格納済み</v>
      </c>
      <c r="U1282" s="15" t="str">
        <f>IFERROR(__xludf.DUMMYFUNCTION("""COMPUTED_VALUE"""),"© うめお/シーモアコミックス")</f>
        <v>© うめお/シーモアコミックス</v>
      </c>
      <c r="V1282" s="8" t="str">
        <f>IFERROR(__xludf.DUMMYFUNCTION("""COMPUTED_VALUE"""),"『心暖ちゃんに好きな人ができるまで オレが彼氏ってことでいいよね？』タレント事務所で働く地味なアラサーOLの心暖は落ち込んでいた。小さな頃のある出来事がきっかけで、タレントやモデルを輝かせる仕事に就きたいという夢ができた心暖と、モデルになることを決意した年下の幼馴染みの桜太郎は一緒に夢に向かって頑張ろうと約束をする。だが、心暖と同じ事務所に所属し人気モデルへと成長した桜太郎とは違い、嫌味な先輩にイビられ、仕事もうまくいかない心暖。そんな自分が情けなくなりここ数年桜太郎を避けてきた。しかしある日、心暖は事務"&amp;"所内で桜太郎と仕事の打ち合わせで久しぶりに会うことになり、落ち込んでいる心暖に気づいた桜太郎がした提案……それは偽装恋人兼心暖のプロデュース！？")</f>
        <v>『心暖ちゃんに好きな人ができるまで オレが彼氏ってことでいいよね？』タレント事務所で働く地味なアラサーOLの心暖は落ち込んでいた。小さな頃のある出来事がきっかけで、タレントやモデルを輝かせる仕事に就きたいという夢ができた心暖と、モデルになることを決意した年下の幼馴染みの桜太郎は一緒に夢に向かって頑張ろうと約束をする。だが、心暖と同じ事務所に所属し人気モデルへと成長した桜太郎とは違い、嫌味な先輩にイビられ、仕事もうまくいかない心暖。そんな自分が情けなくなりここ数年桜太郎を避けてきた。しかしある日、心暖は事務所内で桜太郎と仕事の打ち合わせで久しぶりに会うことになり、落ち込んでいる心暖に気づいた桜太郎がした提案……それは偽装恋人兼心暖のプロデュース！？</v>
      </c>
      <c r="W1282" s="14"/>
      <c r="X1282" s="14" t="str">
        <f>IFERROR(__xludf.DUMMYFUNCTION("""COMPUTED_VALUE"""),"有")</f>
        <v>有</v>
      </c>
      <c r="Y1282" s="8" t="str">
        <f>IFERROR(__xludf.DUMMYFUNCTION("""COMPUTED_VALUE"""),"P20まで")</f>
        <v>P20まで</v>
      </c>
      <c r="Z1282" s="7"/>
      <c r="AA1282" s="7"/>
      <c r="AB1282" s="7"/>
    </row>
    <row r="1283" ht="15.75" customHeight="1">
      <c r="A1283" s="26">
        <f>IFERROR(__xludf.DUMMYFUNCTION("""COMPUTED_VALUE"""),3113.0)</f>
        <v>3113</v>
      </c>
      <c r="B1283" s="31" t="str">
        <f>IFERROR(__xludf.DUMMYFUNCTION("""COMPUTED_VALUE"""),"確定")</f>
        <v>確定</v>
      </c>
      <c r="C1283" s="28">
        <f>IFERROR(__xludf.DUMMYFUNCTION("""COMPUTED_VALUE"""),45366.0)</f>
        <v>45366</v>
      </c>
      <c r="D1283" s="28">
        <f>IFERROR(__xludf.DUMMYFUNCTION("""COMPUTED_VALUE"""),45366.0)</f>
        <v>45366</v>
      </c>
      <c r="E1283" s="31">
        <f>IFERROR(__xludf.DUMMYFUNCTION("""COMPUTED_VALUE"""),289380.0)</f>
        <v>289380</v>
      </c>
      <c r="F1283" s="31" t="str">
        <f>IFERROR(__xludf.DUMMYFUNCTION("""COMPUTED_VALUE"""),"もうパパなんていらないよね")</f>
        <v>もうパパなんていらないよね</v>
      </c>
      <c r="G1283" s="20" t="str">
        <f>IFERROR(__xludf.DUMMYFUNCTION("""COMPUTED_VALUE"""),"1～3")</f>
        <v>1～3</v>
      </c>
      <c r="H1283" s="31" t="str">
        <f>IFERROR(__xludf.DUMMYFUNCTION("""COMPUTED_VALUE"""),"のら／COMIC ROOM")</f>
        <v>のら／COMIC ROOM</v>
      </c>
      <c r="I1283" s="31" t="str">
        <f>IFERROR(__xludf.DUMMYFUNCTION("""COMPUTED_VALUE"""),"女性")</f>
        <v>女性</v>
      </c>
      <c r="J1283" s="31"/>
      <c r="K1283" s="31"/>
      <c r="L1283" s="31" t="str">
        <f>IFERROR(__xludf.DUMMYFUNCTION("""COMPUTED_VALUE"""),"コミックルーム")</f>
        <v>コミックルーム</v>
      </c>
      <c r="M1283" s="23">
        <f>IFERROR(__xludf.DUMMYFUNCTION("""COMPUTED_VALUE"""),45380.0)</f>
        <v>45380</v>
      </c>
      <c r="N1283" s="23">
        <f>IFERROR(__xludf.DUMMYFUNCTION("""COMPUTED_VALUE"""),45470.0)</f>
        <v>45470</v>
      </c>
      <c r="O1283" s="20"/>
      <c r="P1283" s="32" t="str">
        <f>IFERROR(__xludf.DUMMYFUNCTION("""COMPUTED_VALUE"""),"可")</f>
        <v>可</v>
      </c>
      <c r="Q1283" s="30"/>
      <c r="R1283" s="31"/>
      <c r="S1283" s="31" t="str">
        <f>IFERROR(__xludf.DUMMYFUNCTION("""COMPUTED_VALUE"""),"20240315_コミックルーム_もうパパなんていらないよね")</f>
        <v>20240315_コミックルーム_もうパパなんていらないよね</v>
      </c>
      <c r="T1283" s="31" t="str">
        <f>IFERROR(__xludf.DUMMYFUNCTION("""COMPUTED_VALUE"""),"格納済み")</f>
        <v>格納済み</v>
      </c>
      <c r="U1283" s="15" t="str">
        <f>IFERROR(__xludf.DUMMYFUNCTION("""COMPUTED_VALUE"""),"©のら／COMIC ROOM")</f>
        <v>©のら／COMIC ROOM</v>
      </c>
      <c r="V1283" s="8" t="str">
        <f>IFERROR(__xludf.DUMMYFUNCTION("""COMPUTED_VALUE"""),"小林美樹は、夫の和也と職場結婚し、二人の子宝にも恵まれた専業主婦。
側から見ると順風満帆に見える美樹だったが、彼女にはある悩みがあった。
それは夫のモラハラ。
専業主婦を見下し、家事、育児はノータッチ。
美樹のことも半ば奴隷のように扱う日々にストレスは溜まる一方だった。
そんなある日、子どもとデパートへ行くと、
今も夫が勤めている、かつての職場の上司と再会する。
話に花が咲いたついでに夫の様子を聞いてみると、上司の表情は一変。
そして、語られる夫の裏切りの真実。
美樹は決断した。
家族"&amp;"も会社も騙すようなパパなんて、もういらない──。")</f>
        <v>小林美樹は、夫の和也と職場結婚し、二人の子宝にも恵まれた専業主婦。
側から見ると順風満帆に見える美樹だったが、彼女にはある悩みがあった。
それは夫のモラハラ。
専業主婦を見下し、家事、育児はノータッチ。
美樹のことも半ば奴隷のように扱う日々にストレスは溜まる一方だった。
そんなある日、子どもとデパートへ行くと、
今も夫が勤めている、かつての職場の上司と再会する。
話に花が咲いたついでに夫の様子を聞いてみると、上司の表情は一変。
そして、語られる夫の裏切りの真実。
美樹は決断した。
家族も会社も騙すようなパパなんて、もういらない──。</v>
      </c>
      <c r="W1283" s="14"/>
      <c r="X1283" s="14" t="str">
        <f>IFERROR(__xludf.DUMMYFUNCTION("""COMPUTED_VALUE"""),"有")</f>
        <v>有</v>
      </c>
      <c r="Y1283" s="8" t="str">
        <f>IFERROR(__xludf.DUMMYFUNCTION("""COMPUTED_VALUE"""),"2024/6/27まで1巻無料")</f>
        <v>2024/6/27まで1巻無料</v>
      </c>
      <c r="Z1283" s="7"/>
      <c r="AA1283" s="7"/>
      <c r="AB1283" s="7"/>
    </row>
    <row r="1284" ht="15.75" customHeight="1">
      <c r="A1284" s="26">
        <f>IFERROR(__xludf.DUMMYFUNCTION("""COMPUTED_VALUE"""),3114.0)</f>
        <v>3114</v>
      </c>
      <c r="B1284" s="31" t="str">
        <f>IFERROR(__xludf.DUMMYFUNCTION("""COMPUTED_VALUE"""),"確定")</f>
        <v>確定</v>
      </c>
      <c r="C1284" s="28">
        <f>IFERROR(__xludf.DUMMYFUNCTION("""COMPUTED_VALUE"""),45366.0)</f>
        <v>45366</v>
      </c>
      <c r="D1284" s="28">
        <f>IFERROR(__xludf.DUMMYFUNCTION("""COMPUTED_VALUE"""),45370.0)</f>
        <v>45370</v>
      </c>
      <c r="E1284" s="31">
        <f>IFERROR(__xludf.DUMMYFUNCTION("""COMPUTED_VALUE"""),290131.0)</f>
        <v>290131</v>
      </c>
      <c r="F1284" s="31" t="str">
        <f>IFERROR(__xludf.DUMMYFUNCTION("""COMPUTED_VALUE"""),"ヒグマグマ")</f>
        <v>ヒグマグマ</v>
      </c>
      <c r="G1284" s="20" t="str">
        <f>IFERROR(__xludf.DUMMYFUNCTION("""COMPUTED_VALUE"""),"1～5")</f>
        <v>1～5</v>
      </c>
      <c r="H1284" s="31" t="str">
        <f>IFERROR(__xludf.DUMMYFUNCTION("""COMPUTED_VALUE"""),"奥谷通教")</f>
        <v>奥谷通教</v>
      </c>
      <c r="I1284" s="31" t="str">
        <f>IFERROR(__xludf.DUMMYFUNCTION("""COMPUTED_VALUE"""),"青年")</f>
        <v>青年</v>
      </c>
      <c r="J1284" s="31"/>
      <c r="K1284" s="31"/>
      <c r="L1284" s="31" t="str">
        <f>IFERROR(__xludf.DUMMYFUNCTION("""COMPUTED_VALUE"""),"日本文芸社")</f>
        <v>日本文芸社</v>
      </c>
      <c r="M1284" s="23">
        <f>IFERROR(__xludf.DUMMYFUNCTION("""COMPUTED_VALUE"""),45394.0)</f>
        <v>45394</v>
      </c>
      <c r="N1284" s="23">
        <f>IFERROR(__xludf.DUMMYFUNCTION("""COMPUTED_VALUE"""),45484.0)</f>
        <v>45484</v>
      </c>
      <c r="O1284" s="20"/>
      <c r="P1284" s="34" t="str">
        <f>IFERROR(__xludf.DUMMYFUNCTION("""COMPUTED_VALUE"""),"可")</f>
        <v>可</v>
      </c>
      <c r="Q1284" s="30" t="str">
        <f>IFERROR(__xludf.DUMMYFUNCTION("""COMPUTED_VALUE"""),"4話分で制作をお願いいたします。（1巻が上下に分かれ2巻分となります）")</f>
        <v>4話分で制作をお願いいたします。（1巻が上下に分かれ2巻分となります）</v>
      </c>
      <c r="R1284" s="31"/>
      <c r="S1284" s="31" t="str">
        <f>IFERROR(__xludf.DUMMYFUNCTION("""COMPUTED_VALUE"""),"20240305_日本文芸社_ヒグマグマ")</f>
        <v>20240305_日本文芸社_ヒグマグマ</v>
      </c>
      <c r="T1284" s="31" t="str">
        <f>IFERROR(__xludf.DUMMYFUNCTION("""COMPUTED_VALUE"""),"格納済み")</f>
        <v>格納済み</v>
      </c>
      <c r="U1284" s="15" t="str">
        <f>IFERROR(__xludf.DUMMYFUNCTION("""COMPUTED_VALUE"""),"©奥谷通教/日本文芸社")</f>
        <v>©奥谷通教/日本文芸社</v>
      </c>
      <c r="V1284" s="8" t="str">
        <f>IFERROR(__xludf.DUMMYFUNCTION("""COMPUTED_VALUE"""),"人と獣の世界が混じるとき
ヒグマの恐怖が迫り来る——!!
令和史上最悪の獣害事件、発生。
北海道でとらえられた、あまりにも巨大なヒグマの影。
その真実を探るべく、テレビクルーと大学教授は目撃地帯の山に足を踏み入れ…!?
始まる、凶暴な野性の圧倒的蹂躙——!!")</f>
        <v>人と獣の世界が混じるとき
ヒグマの恐怖が迫り来る——!!
令和史上最悪の獣害事件、発生。
北海道でとらえられた、あまりにも巨大なヒグマの影。
その真実を探るべく、テレビクルーと大学教授は目撃地帯の山に足を踏み入れ…!?
始まる、凶暴な野性の圧倒的蹂躙——!!</v>
      </c>
      <c r="W1284" s="14"/>
      <c r="X1284" s="14" t="str">
        <f>IFERROR(__xludf.DUMMYFUNCTION("""COMPUTED_VALUE"""),"有")</f>
        <v>有</v>
      </c>
      <c r="Y1284" s="8" t="str">
        <f>IFERROR(__xludf.DUMMYFUNCTION("""COMPUTED_VALUE"""),"1巻無料")</f>
        <v>1巻無料</v>
      </c>
      <c r="Z1284" s="7"/>
      <c r="AA1284" s="7"/>
      <c r="AB1284" s="7"/>
    </row>
    <row r="1285" ht="15.75" customHeight="1">
      <c r="A1285" s="26">
        <f>IFERROR(__xludf.DUMMYFUNCTION("""COMPUTED_VALUE"""),3121.0)</f>
        <v>3121</v>
      </c>
      <c r="B1285" s="31" t="str">
        <f>IFERROR(__xludf.DUMMYFUNCTION("""COMPUTED_VALUE"""),"確定")</f>
        <v>確定</v>
      </c>
      <c r="C1285" s="28">
        <f>IFERROR(__xludf.DUMMYFUNCTION("""COMPUTED_VALUE"""),45369.0)</f>
        <v>45369</v>
      </c>
      <c r="D1285" s="28">
        <f>IFERROR(__xludf.DUMMYFUNCTION("""COMPUTED_VALUE"""),45370.0)</f>
        <v>45370</v>
      </c>
      <c r="E1285" s="31">
        <f>IFERROR(__xludf.DUMMYFUNCTION("""COMPUTED_VALUE"""),290750.0)</f>
        <v>290750</v>
      </c>
      <c r="F1285" s="31" t="str">
        <f>IFERROR(__xludf.DUMMYFUNCTION("""COMPUTED_VALUE"""),"私を好きにならないと言った夫は今夜も甘々に愛をささやく")</f>
        <v>私を好きにならないと言った夫は今夜も甘々に愛をささやく</v>
      </c>
      <c r="G1285" s="11" t="str">
        <f>IFERROR(__xludf.DUMMYFUNCTION("""COMPUTED_VALUE"""),"1～4")</f>
        <v>1～4</v>
      </c>
      <c r="H1285" s="31" t="str">
        <f>IFERROR(__xludf.DUMMYFUNCTION("""COMPUTED_VALUE"""),"椎葉きのこ")</f>
        <v>椎葉きのこ</v>
      </c>
      <c r="I1285" s="31" t="str">
        <f>IFERROR(__xludf.DUMMYFUNCTION("""COMPUTED_VALUE"""),"女性")</f>
        <v>女性</v>
      </c>
      <c r="J1285" s="31"/>
      <c r="K1285" s="31"/>
      <c r="L1285" s="31" t="str">
        <f>IFERROR(__xludf.DUMMYFUNCTION("""COMPUTED_VALUE"""),"ファンギルド")</f>
        <v>ファンギルド</v>
      </c>
      <c r="M1285" s="23">
        <f>IFERROR(__xludf.DUMMYFUNCTION("""COMPUTED_VALUE"""),45406.0)</f>
        <v>45406</v>
      </c>
      <c r="N1285" s="23">
        <f>IFERROR(__xludf.DUMMYFUNCTION("""COMPUTED_VALUE"""),45496.0)</f>
        <v>45496</v>
      </c>
      <c r="O1285" s="20"/>
      <c r="P1285" s="34" t="str">
        <f>IFERROR(__xludf.DUMMYFUNCTION("""COMPUTED_VALUE"""),"可")</f>
        <v>可</v>
      </c>
      <c r="Q1285" s="30" t="str">
        <f>IFERROR(__xludf.DUMMYFUNCTION("""COMPUTED_VALUE"""),"協業レーベル『シーモア×チェリッシュ』作品です。")</f>
        <v>協業レーベル『シーモア×チェリッシュ』作品です。</v>
      </c>
      <c r="R1285" s="31"/>
      <c r="S1285" s="31" t="str">
        <f>IFERROR(__xludf.DUMMYFUNCTION("""COMPUTED_VALUE"""),"20240318_ファンギルド_私を好きにならないと言った夫は今夜も甘々に愛をささやく")</f>
        <v>20240318_ファンギルド_私を好きにならないと言った夫は今夜も甘々に愛をささやく</v>
      </c>
      <c r="T1285" s="31" t="str">
        <f>IFERROR(__xludf.DUMMYFUNCTION("""COMPUTED_VALUE"""),"格納済み")</f>
        <v>格納済み</v>
      </c>
      <c r="U1285" s="15" t="str">
        <f>IFERROR(__xludf.DUMMYFUNCTION("""COMPUTED_VALUE"""),"©椎葉きのこ／ファンギルド")</f>
        <v>©椎葉きのこ／ファンギルド</v>
      </c>
      <c r="V1285" s="8" t="str">
        <f>IFERROR(__xludf.DUMMYFUNCTION("""COMPUTED_VALUE"""),"過去のトラウマにより、なかなか恋愛や結婚に踏み出せない麻衣。そんな彼女は、ある呟きを御曹司・御園将暉に聞かれたことにから、なんと「契約結婚」を提案される。その結婚のルールはただひとつ【お互いを好きにならない】ことで――!?優しい声も、甘い仕草も、熱い体温も――勘違いしちゃいけない。だってこれは、ただの契約なんだから。")</f>
        <v>過去のトラウマにより、なかなか恋愛や結婚に踏み出せない麻衣。そんな彼女は、ある呟きを御曹司・御園将暉に聞かれたことにから、なんと「契約結婚」を提案される。その結婚のルールはただひとつ【お互いを好きにならない】ことで――!?優しい声も、甘い仕草も、熱い体温も――勘違いしちゃいけない。だってこれは、ただの契約なんだから。</v>
      </c>
      <c r="W1285" s="14"/>
      <c r="X1285" s="14" t="str">
        <f>IFERROR(__xludf.DUMMYFUNCTION("""COMPUTED_VALUE"""),"有")</f>
        <v>有</v>
      </c>
      <c r="Y1285" s="8" t="str">
        <f>IFERROR(__xludf.DUMMYFUNCTION("""COMPUTED_VALUE"""),"5/7まで1巻無料")</f>
        <v>5/7まで1巻無料</v>
      </c>
      <c r="Z1285" s="7"/>
      <c r="AA1285" s="7"/>
      <c r="AB1285" s="7"/>
    </row>
    <row r="1286" ht="15.75" customHeight="1">
      <c r="A1286" s="26">
        <f>IFERROR(__xludf.DUMMYFUNCTION("""COMPUTED_VALUE"""),3122.0)</f>
        <v>3122</v>
      </c>
      <c r="B1286" s="31" t="str">
        <f>IFERROR(__xludf.DUMMYFUNCTION("""COMPUTED_VALUE"""),"確定")</f>
        <v>確定</v>
      </c>
      <c r="C1286" s="28">
        <f>IFERROR(__xludf.DUMMYFUNCTION("""COMPUTED_VALUE"""),45369.0)</f>
        <v>45369</v>
      </c>
      <c r="D1286" s="28">
        <f>IFERROR(__xludf.DUMMYFUNCTION("""COMPUTED_VALUE"""),45370.0)</f>
        <v>45370</v>
      </c>
      <c r="E1286" s="31">
        <f>IFERROR(__xludf.DUMMYFUNCTION("""COMPUTED_VALUE"""),290686.0)</f>
        <v>290686</v>
      </c>
      <c r="F1286" s="31" t="str">
        <f>IFERROR(__xludf.DUMMYFUNCTION("""COMPUTED_VALUE"""),"ハーレム・オンエア")</f>
        <v>ハーレム・オンエア</v>
      </c>
      <c r="G1286" s="11" t="str">
        <f>IFERROR(__xludf.DUMMYFUNCTION("""COMPUTED_VALUE"""),"1～4")</f>
        <v>1～4</v>
      </c>
      <c r="H1286" s="31" t="str">
        <f>IFERROR(__xludf.DUMMYFUNCTION("""COMPUTED_VALUE"""),"Dong-A/YoJiGyeong")</f>
        <v>Dong-A/YoJiGyeong</v>
      </c>
      <c r="I1286" s="31" t="str">
        <f>IFERROR(__xludf.DUMMYFUNCTION("""COMPUTED_VALUE"""),"青年")</f>
        <v>青年</v>
      </c>
      <c r="J1286" s="31"/>
      <c r="K1286" s="31"/>
      <c r="L1286" s="31" t="str">
        <f>IFERROR(__xludf.DUMMYFUNCTION("""COMPUTED_VALUE"""),"Rush!")</f>
        <v>Rush!</v>
      </c>
      <c r="M1286" s="23">
        <f>IFERROR(__xludf.DUMMYFUNCTION("""COMPUTED_VALUE"""),45401.0)</f>
        <v>45401</v>
      </c>
      <c r="N1286" s="23">
        <f>IFERROR(__xludf.DUMMYFUNCTION("""COMPUTED_VALUE"""),45428.0)</f>
        <v>45428</v>
      </c>
      <c r="O1286" s="20"/>
      <c r="P1286" s="32" t="str">
        <f>IFERROR(__xludf.DUMMYFUNCTION("""COMPUTED_VALUE"""),"可")</f>
        <v>可</v>
      </c>
      <c r="Q1286" s="30"/>
      <c r="R1286" s="31"/>
      <c r="S1286" s="31" t="str">
        <f>IFERROR(__xludf.DUMMYFUNCTION("""COMPUTED_VALUE"""),"20240318_ファンギルド_ハーレム・オンエア")</f>
        <v>20240318_ファンギルド_ハーレム・オンエア</v>
      </c>
      <c r="T1286" s="31" t="str">
        <f>IFERROR(__xludf.DUMMYFUNCTION("""COMPUTED_VALUE"""),"格納済み")</f>
        <v>格納済み</v>
      </c>
      <c r="U1286" s="15" t="str">
        <f>IFERROR(__xludf.DUMMYFUNCTION("""COMPUTED_VALUE"""),"©Dong-A/YoJiGyeong/TOPTOON")</f>
        <v>©Dong-A/YoJiGyeong/TOPTOON</v>
      </c>
      <c r="V1286" s="8" t="str">
        <f>IFERROR(__xludf.DUMMYFUNCTION("""COMPUTED_VALUE"""),"先輩の甘い言葉に誘われ大学を休学し、動画編集の仕事を手伝う事となった大学生・杉本洋介。人気配信者・竹之内妃花を担当するが、もちろんリアルでの出会いはなくモニター越しに眺める日々を過ごしていた。そんなある日、突然会社がもぬけの殻になっていて…！？事態に気付いた妃花とともに足取りを追う洋介だったが成果は得られず、ヤケ酒に走る二人。飲み潰れてしまった妃花を抱えてホテルへ向かうと――「私が慰めてあげますね？」ただの冴えない大学生の元に、高嶺の花の美女達が舞い降りる――！")</f>
        <v>先輩の甘い言葉に誘われ大学を休学し、動画編集の仕事を手伝う事となった大学生・杉本洋介。人気配信者・竹之内妃花を担当するが、もちろんリアルでの出会いはなくモニター越しに眺める日々を過ごしていた。そんなある日、突然会社がもぬけの殻になっていて…！？事態に気付いた妃花とともに足取りを追う洋介だったが成果は得られず、ヤケ酒に走る二人。飲み潰れてしまった妃花を抱えてホテルへ向かうと――「私が慰めてあげますね？」ただの冴えない大学生の元に、高嶺の花の美女達が舞い降りる――！</v>
      </c>
      <c r="W1286" s="14"/>
      <c r="X1286" s="14" t="str">
        <f>IFERROR(__xludf.DUMMYFUNCTION("""COMPUTED_VALUE"""),"有")</f>
        <v>有</v>
      </c>
      <c r="Y1286" s="8" t="str">
        <f>IFERROR(__xludf.DUMMYFUNCTION("""COMPUTED_VALUE"""),"5/2まで1巻無料")</f>
        <v>5/2まで1巻無料</v>
      </c>
      <c r="Z1286" s="7"/>
      <c r="AA1286" s="7"/>
      <c r="AB1286" s="7"/>
    </row>
    <row r="1287" ht="15.75" customHeight="1">
      <c r="A1287" s="26">
        <f>IFERROR(__xludf.DUMMYFUNCTION("""COMPUTED_VALUE"""),3123.0)</f>
        <v>3123</v>
      </c>
      <c r="B1287" s="31" t="str">
        <f>IFERROR(__xludf.DUMMYFUNCTION("""COMPUTED_VALUE"""),"確定")</f>
        <v>確定</v>
      </c>
      <c r="C1287" s="28">
        <f>IFERROR(__xludf.DUMMYFUNCTION("""COMPUTED_VALUE"""),45369.0)</f>
        <v>45369</v>
      </c>
      <c r="D1287" s="28">
        <f>IFERROR(__xludf.DUMMYFUNCTION("""COMPUTED_VALUE"""),45370.0)</f>
        <v>45370</v>
      </c>
      <c r="E1287" s="31">
        <f>IFERROR(__xludf.DUMMYFUNCTION("""COMPUTED_VALUE"""),290743.0)</f>
        <v>290743</v>
      </c>
      <c r="F1287" s="31" t="str">
        <f>IFERROR(__xludf.DUMMYFUNCTION("""COMPUTED_VALUE"""),"クズ旦那と離婚したら、最高の愛を注がれています")</f>
        <v>クズ旦那と離婚したら、最高の愛を注がれています</v>
      </c>
      <c r="G1287" s="11" t="str">
        <f>IFERROR(__xludf.DUMMYFUNCTION("""COMPUTED_VALUE"""),"1～4")</f>
        <v>1～4</v>
      </c>
      <c r="H1287" s="31" t="str">
        <f>IFERROR(__xludf.DUMMYFUNCTION("""COMPUTED_VALUE"""),"宇賀ミユキ")</f>
        <v>宇賀ミユキ</v>
      </c>
      <c r="I1287" s="31" t="str">
        <f>IFERROR(__xludf.DUMMYFUNCTION("""COMPUTED_VALUE"""),"女性")</f>
        <v>女性</v>
      </c>
      <c r="J1287" s="31"/>
      <c r="K1287" s="31"/>
      <c r="L1287" s="31" t="str">
        <f>IFERROR(__xludf.DUMMYFUNCTION("""COMPUTED_VALUE"""),"ファンギルド")</f>
        <v>ファンギルド</v>
      </c>
      <c r="M1287" s="23">
        <f>IFERROR(__xludf.DUMMYFUNCTION("""COMPUTED_VALUE"""),45406.0)</f>
        <v>45406</v>
      </c>
      <c r="N1287" s="23">
        <f>IFERROR(__xludf.DUMMYFUNCTION("""COMPUTED_VALUE"""),45433.0)</f>
        <v>45433</v>
      </c>
      <c r="O1287" s="20"/>
      <c r="P1287" s="32" t="str">
        <f>IFERROR(__xludf.DUMMYFUNCTION("""COMPUTED_VALUE"""),"可")</f>
        <v>可</v>
      </c>
      <c r="Q1287" s="30"/>
      <c r="R1287" s="31"/>
      <c r="S1287" s="31" t="str">
        <f>IFERROR(__xludf.DUMMYFUNCTION("""COMPUTED_VALUE"""),"20240318_ファンギルド_クズ旦那と離婚したら、最高の愛を注がれています")</f>
        <v>20240318_ファンギルド_クズ旦那と離婚したら、最高の愛を注がれています</v>
      </c>
      <c r="T1287" s="31" t="str">
        <f>IFERROR(__xludf.DUMMYFUNCTION("""COMPUTED_VALUE"""),"格納済み")</f>
        <v>格納済み</v>
      </c>
      <c r="U1287" s="15" t="str">
        <f>IFERROR(__xludf.DUMMYFUNCTION("""COMPUTED_VALUE"""),"©宇賀ミユキ／ファンギルド")</f>
        <v>©宇賀ミユキ／ファンギルド</v>
      </c>
      <c r="V1287" s="8" t="str">
        <f>IFERROR(__xludf.DUMMYFUNCTION("""COMPUTED_VALUE"""),"「ママ気取りの女に欲情するわけねーだろ」浮気ののち、そんなひどい言葉を残され離婚した飯田未緒。傷つき悩みながらも笑顔を作る未緒を、憧れの上司・山名暁仁だけは優しく包んでくれて…。私にだけ向けられる甘い声音と視線に、もう心臓がもちません――。ハイスペ上司の積年の愛が止まらない、ドラマチックラブストーリー！")</f>
        <v>「ママ気取りの女に欲情するわけねーだろ」浮気ののち、そんなひどい言葉を残され離婚した飯田未緒。傷つき悩みながらも笑顔を作る未緒を、憧れの上司・山名暁仁だけは優しく包んでくれて…。私にだけ向けられる甘い声音と視線に、もう心臓がもちません――。ハイスペ上司の積年の愛が止まらない、ドラマチックラブストーリー！</v>
      </c>
      <c r="W1287" s="14"/>
      <c r="X1287" s="14" t="str">
        <f>IFERROR(__xludf.DUMMYFUNCTION("""COMPUTED_VALUE"""),"有")</f>
        <v>有</v>
      </c>
      <c r="Y1287" s="8" t="str">
        <f>IFERROR(__xludf.DUMMYFUNCTION("""COMPUTED_VALUE"""),"5/7まで1巻無料")</f>
        <v>5/7まで1巻無料</v>
      </c>
      <c r="Z1287" s="7"/>
      <c r="AA1287" s="7"/>
      <c r="AB1287" s="7"/>
    </row>
    <row r="1288" ht="15.75" customHeight="1">
      <c r="A1288" s="26">
        <f>IFERROR(__xludf.DUMMYFUNCTION("""COMPUTED_VALUE"""),3124.0)</f>
        <v>3124</v>
      </c>
      <c r="B1288" s="31" t="str">
        <f>IFERROR(__xludf.DUMMYFUNCTION("""COMPUTED_VALUE"""),"確定")</f>
        <v>確定</v>
      </c>
      <c r="C1288" s="28">
        <f>IFERROR(__xludf.DUMMYFUNCTION("""COMPUTED_VALUE"""),45369.0)</f>
        <v>45369</v>
      </c>
      <c r="D1288" s="28">
        <f>IFERROR(__xludf.DUMMYFUNCTION("""COMPUTED_VALUE"""),45370.0)</f>
        <v>45370</v>
      </c>
      <c r="E1288" s="31">
        <f>IFERROR(__xludf.DUMMYFUNCTION("""COMPUTED_VALUE"""),290740.0)</f>
        <v>290740</v>
      </c>
      <c r="F1288" s="31" t="str">
        <f>IFERROR(__xludf.DUMMYFUNCTION("""COMPUTED_VALUE"""),"監獄の徒花")</f>
        <v>監獄の徒花</v>
      </c>
      <c r="G1288" s="11" t="str">
        <f>IFERROR(__xludf.DUMMYFUNCTION("""COMPUTED_VALUE"""),"1～4")</f>
        <v>1～4</v>
      </c>
      <c r="H1288" s="31" t="str">
        <f>IFERROR(__xludf.DUMMYFUNCTION("""COMPUTED_VALUE"""),"gyno/SUNGMIN")</f>
        <v>gyno/SUNGMIN</v>
      </c>
      <c r="I1288" s="31" t="str">
        <f>IFERROR(__xludf.DUMMYFUNCTION("""COMPUTED_VALUE"""),"青年")</f>
        <v>青年</v>
      </c>
      <c r="J1288" s="31"/>
      <c r="K1288" s="31"/>
      <c r="L1288" s="31" t="str">
        <f>IFERROR(__xludf.DUMMYFUNCTION("""COMPUTED_VALUE"""),"Rush!")</f>
        <v>Rush!</v>
      </c>
      <c r="M1288" s="23">
        <f>IFERROR(__xludf.DUMMYFUNCTION("""COMPUTED_VALUE"""),45408.0)</f>
        <v>45408</v>
      </c>
      <c r="N1288" s="23">
        <f>IFERROR(__xludf.DUMMYFUNCTION("""COMPUTED_VALUE"""),45435.0)</f>
        <v>45435</v>
      </c>
      <c r="O1288" s="20"/>
      <c r="P1288" s="32" t="str">
        <f>IFERROR(__xludf.DUMMYFUNCTION("""COMPUTED_VALUE"""),"可")</f>
        <v>可</v>
      </c>
      <c r="Q1288" s="30"/>
      <c r="R1288" s="31"/>
      <c r="S1288" s="31" t="str">
        <f>IFERROR(__xludf.DUMMYFUNCTION("""COMPUTED_VALUE"""),"20240318_ファンギルド_監獄の徒花")</f>
        <v>20240318_ファンギルド_監獄の徒花</v>
      </c>
      <c r="T1288" s="31" t="str">
        <f>IFERROR(__xludf.DUMMYFUNCTION("""COMPUTED_VALUE"""),"格納済み")</f>
        <v>格納済み</v>
      </c>
      <c r="U1288" s="15" t="str">
        <f>IFERROR(__xludf.DUMMYFUNCTION("""COMPUTED_VALUE"""),"©gyno/SUNGMIN/TOPTOON")</f>
        <v>©gyno/SUNGMIN/TOPTOON</v>
      </c>
      <c r="V1288" s="8" t="str">
        <f>IFERROR(__xludf.DUMMYFUNCTION("""COMPUTED_VALUE"""),"女性刑務所で刑務官として働く加治田は、体格はいいものの言動が穏やかで囚人達から舐められていた。看守長からも日々厳しく叱咤され辟易としていたある日、美しい囚人・蓮と出会う。蓮は有名な記者で正義感が強く、多くの罪を暴いた為に罪を着せられ収容されたのだが、その性格から他の囚人達と対立し苛烈ないじめを受ける事に…。命の危機に瀕した蓮から救いを求められ、彼女を助ける事を誓うが――")</f>
        <v>女性刑務所で刑務官として働く加治田は、体格はいいものの言動が穏やかで囚人達から舐められていた。看守長からも日々厳しく叱咤され辟易としていたある日、美しい囚人・蓮と出会う。蓮は有名な記者で正義感が強く、多くの罪を暴いた為に罪を着せられ収容されたのだが、その性格から他の囚人達と対立し苛烈ないじめを受ける事に…。命の危機に瀕した蓮から救いを求められ、彼女を助ける事を誓うが――</v>
      </c>
      <c r="W1288" s="14"/>
      <c r="X1288" s="14" t="str">
        <f>IFERROR(__xludf.DUMMYFUNCTION("""COMPUTED_VALUE"""),"有")</f>
        <v>有</v>
      </c>
      <c r="Y1288" s="8" t="str">
        <f>IFERROR(__xludf.DUMMYFUNCTION("""COMPUTED_VALUE"""),"P22まで")</f>
        <v>P22まで</v>
      </c>
      <c r="Z1288" s="7"/>
      <c r="AA1288" s="7"/>
      <c r="AB1288" s="7"/>
    </row>
    <row r="1289" ht="15.75" customHeight="1">
      <c r="A1289" s="26">
        <f>IFERROR(__xludf.DUMMYFUNCTION("""COMPUTED_VALUE"""),3126.0)</f>
        <v>3126</v>
      </c>
      <c r="B1289" s="31" t="str">
        <f>IFERROR(__xludf.DUMMYFUNCTION("""COMPUTED_VALUE"""),"確定")</f>
        <v>確定</v>
      </c>
      <c r="C1289" s="28">
        <f>IFERROR(__xludf.DUMMYFUNCTION("""COMPUTED_VALUE"""),45369.0)</f>
        <v>45369</v>
      </c>
      <c r="D1289" s="28">
        <f>IFERROR(__xludf.DUMMYFUNCTION("""COMPUTED_VALUE"""),45369.0)</f>
        <v>45369</v>
      </c>
      <c r="E1289" s="31">
        <f>IFERROR(__xludf.DUMMYFUNCTION("""COMPUTED_VALUE"""),292348.0)</f>
        <v>292348</v>
      </c>
      <c r="F1289" s="31" t="str">
        <f>IFERROR(__xludf.DUMMYFUNCTION("""COMPUTED_VALUE"""),"大嫌いな同期を娶ったら、")</f>
        <v>大嫌いな同期を娶ったら、</v>
      </c>
      <c r="G1289" s="20" t="str">
        <f>IFERROR(__xludf.DUMMYFUNCTION("""COMPUTED_VALUE"""),"1～3")</f>
        <v>1～3</v>
      </c>
      <c r="H1289" s="31" t="str">
        <f>IFERROR(__xludf.DUMMYFUNCTION("""COMPUTED_VALUE"""),"くにしげ")</f>
        <v>くにしげ</v>
      </c>
      <c r="I1289" s="31" t="str">
        <f>IFERROR(__xludf.DUMMYFUNCTION("""COMPUTED_VALUE"""),"BL")</f>
        <v>BL</v>
      </c>
      <c r="J1289" s="31"/>
      <c r="K1289" s="31"/>
      <c r="L1289" s="31" t="str">
        <f>IFERROR(__xludf.DUMMYFUNCTION("""COMPUTED_VALUE"""),"パチカ")</f>
        <v>パチカ</v>
      </c>
      <c r="M1289" s="47">
        <f>IFERROR(__xludf.DUMMYFUNCTION("""COMPUTED_VALUE"""),45429.0)</f>
        <v>45429</v>
      </c>
      <c r="N1289" s="47">
        <f>IFERROR(__xludf.DUMMYFUNCTION("""COMPUTED_VALUE"""),45457.0)</f>
        <v>45457</v>
      </c>
      <c r="O1289" s="20"/>
      <c r="P1289" s="34" t="str">
        <f>IFERROR(__xludf.DUMMYFUNCTION("""COMPUTED_VALUE"""),"可")</f>
        <v>可</v>
      </c>
      <c r="Q1289" s="30" t="str">
        <f>IFERROR(__xludf.DUMMYFUNCTION("""COMPUTED_VALUE"""),"コミックフェスタとの2社先行です")</f>
        <v>コミックフェスタとの2社先行です</v>
      </c>
      <c r="R1289" s="31"/>
      <c r="S1289" s="31" t="str">
        <f>IFERROR(__xludf.DUMMYFUNCTION("""COMPUTED_VALUE"""),"20240425_ウェイブ_大嫌いな同期を娶ったら、")</f>
        <v>20240425_ウェイブ_大嫌いな同期を娶ったら、</v>
      </c>
      <c r="T1289" s="31" t="str">
        <f>IFERROR(__xludf.DUMMYFUNCTION("""COMPUTED_VALUE"""),"格納済み")</f>
        <v>格納済み</v>
      </c>
      <c r="U1289" s="15" t="str">
        <f>IFERROR(__xludf.DUMMYFUNCTION("""COMPUTED_VALUE"""),"Ⓒくにしげ／パチカ")</f>
        <v>Ⓒくにしげ／パチカ</v>
      </c>
      <c r="V1289" s="8" t="str">
        <f>IFERROR(__xludf.DUMMYFUNCTION("""COMPUTED_VALUE"""),"「なんでコイツに興奮してんだ…!?」大嫌いな同期（♂）との結婚初夜は、えげつないほど熱かった――営業部の鹿目は、SEである篠目のことが大の苦手！仕事じゃなきゃ絶対に関わらないと思っていたのに、利害の一致で1年限定の契約婚をすることに。2人の間に愛が生まれることなんてない、そう確信していた。しかし、とあるケンカの延長戦で、売り言葉に買い言葉でキスをしてみると――初めてでもないのにめちゃくちゃ興奮して…。会社名物の不仲コンビ、結婚1日目にして一線越える!?")</f>
        <v>「なんでコイツに興奮してんだ…!?」大嫌いな同期（♂）との結婚初夜は、えげつないほど熱かった――営業部の鹿目は、SEである篠目のことが大の苦手！仕事じゃなきゃ絶対に関わらないと思っていたのに、利害の一致で1年限定の契約婚をすることに。2人の間に愛が生まれることなんてない、そう確信していた。しかし、とあるケンカの延長戦で、売り言葉に買い言葉でキスをしてみると――初めてでもないのにめちゃくちゃ興奮して…。会社名物の不仲コンビ、結婚1日目にして一線越える!?</v>
      </c>
      <c r="W1289" s="14"/>
      <c r="X1289" s="14" t="str">
        <f>IFERROR(__xludf.DUMMYFUNCTION("""COMPUTED_VALUE"""),"有")</f>
        <v>有</v>
      </c>
      <c r="Y1289" s="8" t="str">
        <f>IFERROR(__xludf.DUMMYFUNCTION("""COMPUTED_VALUE"""),"2024/5/24まで1巻無料")</f>
        <v>2024/5/24まで1巻無料</v>
      </c>
      <c r="Z1289" s="7"/>
      <c r="AA1289" s="7"/>
      <c r="AB1289" s="7"/>
    </row>
    <row r="1290" ht="15.75" customHeight="1">
      <c r="A1290" s="26">
        <f>IFERROR(__xludf.DUMMYFUNCTION("""COMPUTED_VALUE"""),3127.0)</f>
        <v>3127</v>
      </c>
      <c r="B1290" s="31" t="str">
        <f>IFERROR(__xludf.DUMMYFUNCTION("""COMPUTED_VALUE"""),"確定")</f>
        <v>確定</v>
      </c>
      <c r="C1290" s="28">
        <f>IFERROR(__xludf.DUMMYFUNCTION("""COMPUTED_VALUE"""),45370.0)</f>
        <v>45370</v>
      </c>
      <c r="D1290" s="28">
        <f>IFERROR(__xludf.DUMMYFUNCTION("""COMPUTED_VALUE"""),45370.0)</f>
        <v>45370</v>
      </c>
      <c r="E1290" s="26">
        <f>IFERROR(__xludf.DUMMYFUNCTION("""COMPUTED_VALUE"""),271565.0)</f>
        <v>271565</v>
      </c>
      <c r="F1290" s="31" t="str">
        <f>IFERROR(__xludf.DUMMYFUNCTION("""COMPUTED_VALUE"""),"幼なじみヤクザから極上の溺愛を")</f>
        <v>幼なじみヤクザから極上の溺愛を</v>
      </c>
      <c r="G1290" s="20" t="str">
        <f>IFERROR(__xludf.DUMMYFUNCTION("""COMPUTED_VALUE"""),"1～3")</f>
        <v>1～3</v>
      </c>
      <c r="H1290" s="31" t="str">
        <f>IFERROR(__xludf.DUMMYFUNCTION("""COMPUTED_VALUE"""),"鷹咲いつき")</f>
        <v>鷹咲いつき</v>
      </c>
      <c r="I1290" s="31" t="str">
        <f>IFERROR(__xludf.DUMMYFUNCTION("""COMPUTED_VALUE"""),"TL")</f>
        <v>TL</v>
      </c>
      <c r="J1290" s="31"/>
      <c r="K1290" s="31"/>
      <c r="L1290" s="31" t="str">
        <f>IFERROR(__xludf.DUMMYFUNCTION("""COMPUTED_VALUE"""),"ソルマーレ編集部")</f>
        <v>ソルマーレ編集部</v>
      </c>
      <c r="M1290" s="23">
        <f>IFERROR(__xludf.DUMMYFUNCTION("""COMPUTED_VALUE"""),45402.0)</f>
        <v>45402</v>
      </c>
      <c r="N1290" s="23">
        <f>IFERROR(__xludf.DUMMYFUNCTION("""COMPUTED_VALUE"""),45463.0)</f>
        <v>45463</v>
      </c>
      <c r="O1290" s="20"/>
      <c r="P1290" s="34" t="str">
        <f>IFERROR(__xludf.DUMMYFUNCTION("""COMPUTED_VALUE"""),"可")</f>
        <v>可</v>
      </c>
      <c r="Q1290" s="30" t="str">
        <f>IFERROR(__xludf.DUMMYFUNCTION("""COMPUTED_VALUE"""),"レーベル：スキして桃色日記")</f>
        <v>レーベル：スキして桃色日記</v>
      </c>
      <c r="R1290" s="31"/>
      <c r="S1290" s="31" t="str">
        <f>IFERROR(__xludf.DUMMYFUNCTION("""COMPUTED_VALUE"""),"20240319_ソルマーレ編集部_幼なじみヤクザから極上の溺愛を")</f>
        <v>20240319_ソルマーレ編集部_幼なじみヤクザから極上の溺愛を</v>
      </c>
      <c r="T1290" s="31" t="str">
        <f>IFERROR(__xludf.DUMMYFUNCTION("""COMPUTED_VALUE"""),"格納済み")</f>
        <v>格納済み</v>
      </c>
      <c r="U1290" s="15" t="str">
        <f>IFERROR(__xludf.DUMMYFUNCTION("""COMPUTED_VALUE"""),"Ⓒ 鷹咲いつき/シーモアコミックス")</f>
        <v>Ⓒ 鷹咲いつき/シーモアコミックス</v>
      </c>
      <c r="V1290" s="8" t="str">
        <f>IFERROR(__xludf.DUMMYFUNCTION("""COMPUTED_VALUE"""),"「うわっ…私の幼なじみってこんなにカッコよかったっけ？」社畜の篠宮瑠花(しのみやるか)は年末に鍵を無くしてしまい絶賛ピンチ中。今日は愛猫に人肌の恋しさを慰めてもらおうと思ったのに！そんな中、隣人であり幼なじみでもある東郷一茶(とうごういっさ)が通りかかる。普段とは様子の違う一茶を助けようとして瑠花のとった行動とは？感じちゃうのは媚薬のせい!? そして一茶が瑠花を守るために出した提案とは？2人の危険で甘い溺愛ラブロマンス。極道の彼から与えられる極上の溺愛の行方は、甘いだけじゃ終われない!?【桃色日記】")</f>
        <v>「うわっ…私の幼なじみってこんなにカッコよかったっけ？」社畜の篠宮瑠花(しのみやるか)は年末に鍵を無くしてしまい絶賛ピンチ中。今日は愛猫に人肌の恋しさを慰めてもらおうと思ったのに！そんな中、隣人であり幼なじみでもある東郷一茶(とうごういっさ)が通りかかる。普段とは様子の違う一茶を助けようとして瑠花のとった行動とは？感じちゃうのは媚薬のせい!? そして一茶が瑠花を守るために出した提案とは？2人の危険で甘い溺愛ラブロマンス。極道の彼から与えられる極上の溺愛の行方は、甘いだけじゃ終われない!?【桃色日記】</v>
      </c>
      <c r="W1290" s="14"/>
      <c r="X1290" s="14" t="str">
        <f>IFERROR(__xludf.DUMMYFUNCTION("""COMPUTED_VALUE"""),"有")</f>
        <v>有</v>
      </c>
      <c r="Y1290" s="8" t="str">
        <f>IFERROR(__xludf.DUMMYFUNCTION("""COMPUTED_VALUE"""),"5/17まで1巻無料")</f>
        <v>5/17まで1巻無料</v>
      </c>
      <c r="Z1290" s="7"/>
      <c r="AA1290" s="7"/>
      <c r="AB1290" s="7"/>
    </row>
    <row r="1291" ht="126.75" customHeight="1">
      <c r="A1291" s="26">
        <f>IFERROR(__xludf.DUMMYFUNCTION("""COMPUTED_VALUE"""),3129.0)</f>
        <v>3129</v>
      </c>
      <c r="B1291" s="31" t="str">
        <f>IFERROR(__xludf.DUMMYFUNCTION("""COMPUTED_VALUE"""),"確定")</f>
        <v>確定</v>
      </c>
      <c r="C1291" s="28">
        <f>IFERROR(__xludf.DUMMYFUNCTION("""COMPUTED_VALUE"""),45370.0)</f>
        <v>45370</v>
      </c>
      <c r="D1291" s="28">
        <f>IFERROR(__xludf.DUMMYFUNCTION("""COMPUTED_VALUE"""),45370.0)</f>
        <v>45370</v>
      </c>
      <c r="E1291" s="31">
        <f>IFERROR(__xludf.DUMMYFUNCTION("""COMPUTED_VALUE"""),291723.0)</f>
        <v>291723</v>
      </c>
      <c r="F1291" s="31" t="str">
        <f>IFERROR(__xludf.DUMMYFUNCTION("""COMPUTED_VALUE"""),"ハンドレッドノートー高校生探偵 天命大地ー 連載版")</f>
        <v>ハンドレッドノートー高校生探偵 天命大地ー 連載版</v>
      </c>
      <c r="G1291" s="11" t="str">
        <f>IFERROR(__xludf.DUMMYFUNCTION("""COMPUTED_VALUE"""),"1～10")</f>
        <v>1～10</v>
      </c>
      <c r="H1291" s="31" t="str">
        <f>IFERROR(__xludf.DUMMYFUNCTION("""COMPUTED_VALUE"""),"雪一")</f>
        <v>雪一</v>
      </c>
      <c r="I1291" s="31" t="str">
        <f>IFERROR(__xludf.DUMMYFUNCTION("""COMPUTED_VALUE"""),"少年")</f>
        <v>少年</v>
      </c>
      <c r="J1291" s="31"/>
      <c r="K1291" s="31"/>
      <c r="L1291" s="31" t="str">
        <f>IFERROR(__xludf.DUMMYFUNCTION("""COMPUTED_VALUE"""),"講談社")</f>
        <v>講談社</v>
      </c>
      <c r="M1291" s="23">
        <f>IFERROR(__xludf.DUMMYFUNCTION("""COMPUTED_VALUE"""),45402.0)</f>
        <v>45402</v>
      </c>
      <c r="N1291" s="47">
        <f>IFERROR(__xludf.DUMMYFUNCTION("""COMPUTED_VALUE"""),45463.0)</f>
        <v>45463</v>
      </c>
      <c r="O1291" s="20"/>
      <c r="P1291" s="34" t="str">
        <f>IFERROR(__xludf.DUMMYFUNCTION("""COMPUTED_VALUE"""),"否")</f>
        <v>否</v>
      </c>
      <c r="Q1291" s="30" t="str">
        <f>IFERROR(__xludf.DUMMYFUNCTION("""COMPUTED_VALUE"""),"男性作品獲得強化施策で事前に露出コミットいただいている作品です。4月9日に先に単行本が全社一斉配信となります。単行本1巻収録話は連載版の7話までとなります。")</f>
        <v>男性作品獲得強化施策で事前に露出コミットいただいている作品です。4月9日に先に単行本が全社一斉配信となります。単行本1巻収録話は連載版の7話までとなります。</v>
      </c>
      <c r="R1291" s="31"/>
      <c r="S1291" s="31" t="str">
        <f>IFERROR(__xludf.DUMMYFUNCTION("""COMPUTED_VALUE"""),"20240319_講談社_ハンドレッドノートー高校生探偵 天命大地ー 連載版")</f>
        <v>20240319_講談社_ハンドレッドノートー高校生探偵 天命大地ー 連載版</v>
      </c>
      <c r="T1291" s="31" t="str">
        <f>IFERROR(__xludf.DUMMYFUNCTION("""COMPUTED_VALUE"""),"格納済み")</f>
        <v>格納済み</v>
      </c>
      <c r="U1291" s="15" t="str">
        <f>IFERROR(__xludf.DUMMYFUNCTION("""COMPUTED_VALUE"""),"©Yukiichi/講談社")</f>
        <v>©Yukiichi/講談社</v>
      </c>
      <c r="V1291" s="8" t="str">
        <f>IFERROR(__xludf.DUMMYFUNCTION("""COMPUTED_VALUE"""),"今最も新しい“名探偵”、誕生！！ 「ハンドレッドノート」初の公式コミカライズ！！
エルキュール・ポワロ、明智小五郎、シャーロック・ホームズ。事件が起これば、そこには必ず“名探偵”がいた。これは新たな“名探偵”が生まれる物語――。")</f>
        <v>今最も新しい“名探偵”、誕生！！ 「ハンドレッドノート」初の公式コミカライズ！！
エルキュール・ポワロ、明智小五郎、シャーロック・ホームズ。事件が起これば、そこには必ず“名探偵”がいた。これは新たな“名探偵”が生まれる物語――。</v>
      </c>
      <c r="W1291" s="14"/>
      <c r="X1291" s="14" t="str">
        <f>IFERROR(__xludf.DUMMYFUNCTION("""COMPUTED_VALUE"""),"有")</f>
        <v>有</v>
      </c>
      <c r="Y1291" s="8" t="str">
        <f>IFERROR(__xludf.DUMMYFUNCTION("""COMPUTED_VALUE"""),"2024/6/20まで1~3巻無料")</f>
        <v>2024/6/20まで1~3巻無料</v>
      </c>
      <c r="Z1291" s="7"/>
      <c r="AA1291" s="7"/>
      <c r="AB1291" s="7"/>
    </row>
    <row r="1292" ht="15.75" customHeight="1">
      <c r="A1292" s="26">
        <f>IFERROR(__xludf.DUMMYFUNCTION("""COMPUTED_VALUE"""),3130.0)</f>
        <v>3130</v>
      </c>
      <c r="B1292" s="31" t="str">
        <f>IFERROR(__xludf.DUMMYFUNCTION("""COMPUTED_VALUE"""),"確定")</f>
        <v>確定</v>
      </c>
      <c r="C1292" s="28">
        <f>IFERROR(__xludf.DUMMYFUNCTION("""COMPUTED_VALUE"""),45370.0)</f>
        <v>45370</v>
      </c>
      <c r="D1292" s="28">
        <f>IFERROR(__xludf.DUMMYFUNCTION("""COMPUTED_VALUE"""),45372.0)</f>
        <v>45372</v>
      </c>
      <c r="E1292" s="31">
        <f>IFERROR(__xludf.DUMMYFUNCTION("""COMPUTED_VALUE"""),289371.0)</f>
        <v>289371</v>
      </c>
      <c r="F1292" s="31" t="str">
        <f>IFERROR(__xludf.DUMMYFUNCTION("""COMPUTED_VALUE"""),"皇帝陛下の専属司書姫 【連載版】")</f>
        <v>皇帝陛下の専属司書姫 【連載版】</v>
      </c>
      <c r="G1292" s="20" t="str">
        <f>IFERROR(__xludf.DUMMYFUNCTION("""COMPUTED_VALUE"""),"1～3")</f>
        <v>1～3</v>
      </c>
      <c r="H1292" s="31" t="str">
        <f>IFERROR(__xludf.DUMMYFUNCTION("""COMPUTED_VALUE"""),"綾瀬きょうな・やしろ慧・なま")</f>
        <v>綾瀬きょうな・やしろ慧・なま</v>
      </c>
      <c r="I1292" s="31" t="str">
        <f>IFERROR(__xludf.DUMMYFUNCTION("""COMPUTED_VALUE"""),"少女")</f>
        <v>少女</v>
      </c>
      <c r="J1292" s="31"/>
      <c r="K1292" s="31"/>
      <c r="L1292" s="31" t="str">
        <f>IFERROR(__xludf.DUMMYFUNCTION("""COMPUTED_VALUE"""),"一迅社")</f>
        <v>一迅社</v>
      </c>
      <c r="M1292" s="23">
        <f>IFERROR(__xludf.DUMMYFUNCTION("""COMPUTED_VALUE"""),45383.0)</f>
        <v>45383</v>
      </c>
      <c r="N1292" s="23">
        <f>IFERROR(__xludf.DUMMYFUNCTION("""COMPUTED_VALUE"""),45412.0)</f>
        <v>45412</v>
      </c>
      <c r="O1292" s="20"/>
      <c r="P1292" s="32" t="str">
        <f>IFERROR(__xludf.DUMMYFUNCTION("""COMPUTED_VALUE"""),"可")</f>
        <v>可</v>
      </c>
      <c r="Q1292" s="30"/>
      <c r="R1292" s="31"/>
      <c r="S1292" s="31" t="str">
        <f>IFERROR(__xludf.DUMMYFUNCTION("""COMPUTED_VALUE"""),"20240319_一迅社_4月新作")</f>
        <v>20240319_一迅社_4月新作</v>
      </c>
      <c r="T1292" s="31" t="str">
        <f>IFERROR(__xludf.DUMMYFUNCTION("""COMPUTED_VALUE"""),"格納済み")</f>
        <v>格納済み</v>
      </c>
      <c r="U1292" s="15" t="str">
        <f>IFERROR(__xludf.DUMMYFUNCTION("""COMPUTED_VALUE"""),"(C)綾瀬きょうな・やしろ慧・なま／一迅社")</f>
        <v>(C)綾瀬きょうな・やしろ慧・なま／一迅社</v>
      </c>
      <c r="V1292" s="8" t="str">
        <f>IFERROR(__xludf.DUMMYFUNCTION("""COMPUTED_VALUE"""),"ゲームの悪役に生まれ変わっていたことに気づいた伯爵令嬢カノン。18歳の誕生日、異母妹を選んだ婚約者から婚約破棄されたカノンは、素直に受け入れ皇都に向かうことに。目的は最悪な結末を逃れ、図書館司書として平穏な人生を送ること――だったのだけれど、ゲームの攻略対象である皇帝と恋人契約をすることになってしまい……!?　婚約者も義弟も上司も攻略対象で、私はヒロインの踏み台!?　ご都合主義なゲームの悪役なんて冗談じゃない！　悪役令嬢のお仕事×契約ラブファンタジー♡【本商品は単話コンテンツとなります。単行本版と収録内容"&amp;"が異なる場合がございます。漫画内の告知等は過去のものとなりますので、ご注意ください。】")</f>
        <v>ゲームの悪役に生まれ変わっていたことに気づいた伯爵令嬢カノン。18歳の誕生日、異母妹を選んだ婚約者から婚約破棄されたカノンは、素直に受け入れ皇都に向かうことに。目的は最悪な結末を逃れ、図書館司書として平穏な人生を送ること――だったのだけれど、ゲームの攻略対象である皇帝と恋人契約をすることになってしまい……!?　婚約者も義弟も上司も攻略対象で、私はヒロインの踏み台!?　ご都合主義なゲームの悪役なんて冗談じゃない！　悪役令嬢のお仕事×契約ラブファンタジー♡【本商品は単話コンテンツとなります。単行本版と収録内容が異なる場合がございます。漫画内の告知等は過去のものとなりますので、ご注意ください。】</v>
      </c>
      <c r="W1292" s="14"/>
      <c r="X1292" s="14" t="str">
        <f>IFERROR(__xludf.DUMMYFUNCTION("""COMPUTED_VALUE"""),"有")</f>
        <v>有</v>
      </c>
      <c r="Y1292" s="8" t="str">
        <f>IFERROR(__xludf.DUMMYFUNCTION("""COMPUTED_VALUE"""),"2024/4/30まで1巻無料")</f>
        <v>2024/4/30まで1巻無料</v>
      </c>
      <c r="Z1292" s="7"/>
      <c r="AA1292" s="7"/>
      <c r="AB1292" s="7"/>
    </row>
    <row r="1293" ht="15.75" customHeight="1">
      <c r="A1293" s="26">
        <f>IFERROR(__xludf.DUMMYFUNCTION("""COMPUTED_VALUE"""),3131.0)</f>
        <v>3131</v>
      </c>
      <c r="B1293" s="31" t="str">
        <f>IFERROR(__xludf.DUMMYFUNCTION("""COMPUTED_VALUE"""),"確定")</f>
        <v>確定</v>
      </c>
      <c r="C1293" s="28">
        <f>IFERROR(__xludf.DUMMYFUNCTION("""COMPUTED_VALUE"""),45370.0)</f>
        <v>45370</v>
      </c>
      <c r="D1293" s="28">
        <f>IFERROR(__xludf.DUMMYFUNCTION("""COMPUTED_VALUE"""),45372.0)</f>
        <v>45372</v>
      </c>
      <c r="E1293" s="31">
        <f>IFERROR(__xludf.DUMMYFUNCTION("""COMPUTED_VALUE"""),289651.0)</f>
        <v>289651</v>
      </c>
      <c r="F1293" s="31" t="str">
        <f>IFERROR(__xludf.DUMMYFUNCTION("""COMPUTED_VALUE"""),"しがらみだらけのこの世界で、秘密の夜を過ごそうか")</f>
        <v>しがらみだらけのこの世界で、秘密の夜を過ごそうか</v>
      </c>
      <c r="G1293" s="20" t="str">
        <f>IFERROR(__xludf.DUMMYFUNCTION("""COMPUTED_VALUE"""),"1～3")</f>
        <v>1～3</v>
      </c>
      <c r="H1293" s="31" t="str">
        <f>IFERROR(__xludf.DUMMYFUNCTION("""COMPUTED_VALUE"""),"真坂")</f>
        <v>真坂</v>
      </c>
      <c r="I1293" s="31" t="str">
        <f>IFERROR(__xludf.DUMMYFUNCTION("""COMPUTED_VALUE"""),"TL")</f>
        <v>TL</v>
      </c>
      <c r="J1293" s="31"/>
      <c r="K1293" s="31"/>
      <c r="L1293" s="31" t="str">
        <f>IFERROR(__xludf.DUMMYFUNCTION("""COMPUTED_VALUE"""),"一迅社")</f>
        <v>一迅社</v>
      </c>
      <c r="M1293" s="23">
        <f>IFERROR(__xludf.DUMMYFUNCTION("""COMPUTED_VALUE"""),45387.0)</f>
        <v>45387</v>
      </c>
      <c r="N1293" s="23">
        <f>IFERROR(__xludf.DUMMYFUNCTION("""COMPUTED_VALUE"""),45414.0)</f>
        <v>45414</v>
      </c>
      <c r="O1293" s="20"/>
      <c r="P1293" s="34" t="str">
        <f>IFERROR(__xludf.DUMMYFUNCTION("""COMPUTED_VALUE"""),"可")</f>
        <v>可</v>
      </c>
      <c r="Q1293" s="30" t="str">
        <f>IFERROR(__xludf.DUMMYFUNCTION("""COMPUTED_VALUE"""),"レーベル：LOVEBITES")</f>
        <v>レーベル：LOVEBITES</v>
      </c>
      <c r="R1293" s="31"/>
      <c r="S1293" s="31" t="str">
        <f>IFERROR(__xludf.DUMMYFUNCTION("""COMPUTED_VALUE"""),"20240319_一迅社_4月新作")</f>
        <v>20240319_一迅社_4月新作</v>
      </c>
      <c r="T1293" s="31" t="str">
        <f>IFERROR(__xludf.DUMMYFUNCTION("""COMPUTED_VALUE"""),"格納済み")</f>
        <v>格納済み</v>
      </c>
      <c r="U1293" s="15" t="str">
        <f>IFERROR(__xludf.DUMMYFUNCTION("""COMPUTED_VALUE"""),"(C)真坂／一迅社")</f>
        <v>(C)真坂／一迅社</v>
      </c>
      <c r="V1293" s="8" t="str">
        <f>IFERROR(__xludf.DUMMYFUNCTION("""COMPUTED_VALUE"""),"「これが恋ってやつかしら」──そんな想いを抱きながら、尊敬する社長のもとで仕事ひと筋に生きる花音。そんな彼女が唯一「素」を出せる空間は、仕事終わりに立ち寄る行きつけのバーだった。そこでいつも居合わせる「タクミ」。仕事も素性も、本名すら知らない。けれど、その声を聞くだけで体の奥が疼いてしまう……。コイツと一線を越えるのは、お酒の勢い？　それとも……。")</f>
        <v>「これが恋ってやつかしら」──そんな想いを抱きながら、尊敬する社長のもとで仕事ひと筋に生きる花音。そんな彼女が唯一「素」を出せる空間は、仕事終わりに立ち寄る行きつけのバーだった。そこでいつも居合わせる「タクミ」。仕事も素性も、本名すら知らない。けれど、その声を聞くだけで体の奥が疼いてしまう……。コイツと一線を越えるのは、お酒の勢い？　それとも……。</v>
      </c>
      <c r="W1293" s="14"/>
      <c r="X1293" s="14" t="str">
        <f>IFERROR(__xludf.DUMMYFUNCTION("""COMPUTED_VALUE"""),"有")</f>
        <v>有</v>
      </c>
      <c r="Y1293" s="8" t="str">
        <f>IFERROR(__xludf.DUMMYFUNCTION("""COMPUTED_VALUE"""),"P7まで")</f>
        <v>P7まで</v>
      </c>
      <c r="Z1293" s="7"/>
      <c r="AA1293" s="7"/>
      <c r="AB1293" s="7"/>
    </row>
    <row r="1294" ht="15.75" customHeight="1">
      <c r="A1294" s="26">
        <f>IFERROR(__xludf.DUMMYFUNCTION("""COMPUTED_VALUE"""),2975.0)</f>
        <v>2975</v>
      </c>
      <c r="B1294" s="31" t="str">
        <f>IFERROR(__xludf.DUMMYFUNCTION("""COMPUTED_VALUE"""),"確定")</f>
        <v>確定</v>
      </c>
      <c r="C1294" s="28">
        <f>IFERROR(__xludf.DUMMYFUNCTION("""COMPUTED_VALUE"""),45337.0)</f>
        <v>45337</v>
      </c>
      <c r="D1294" s="28">
        <f>IFERROR(__xludf.DUMMYFUNCTION("""COMPUTED_VALUE"""),45377.0)</f>
        <v>45377</v>
      </c>
      <c r="E1294" s="31">
        <f>IFERROR(__xludf.DUMMYFUNCTION("""COMPUTED_VALUE"""),290558.0)</f>
        <v>290558</v>
      </c>
      <c r="F1294" s="31" t="str">
        <f>IFERROR(__xludf.DUMMYFUNCTION("""COMPUTED_VALUE"""),"星の聖人 ～追放された男の聖女～")</f>
        <v>星の聖人 ～追放された男の聖女～</v>
      </c>
      <c r="G1294" s="11" t="str">
        <f>IFERROR(__xludf.DUMMYFUNCTION("""COMPUTED_VALUE"""),"1～2")</f>
        <v>1～2</v>
      </c>
      <c r="H1294" s="31" t="str">
        <f>IFERROR(__xludf.DUMMYFUNCTION("""COMPUTED_VALUE"""),"小夏うみれ")</f>
        <v>小夏うみれ</v>
      </c>
      <c r="I1294" s="31" t="str">
        <f>IFERROR(__xludf.DUMMYFUNCTION("""COMPUTED_VALUE"""),"BL")</f>
        <v>BL</v>
      </c>
      <c r="J1294" s="31"/>
      <c r="K1294" s="31"/>
      <c r="L1294" s="31" t="str">
        <f>IFERROR(__xludf.DUMMYFUNCTION("""COMPUTED_VALUE"""),"CLLENN")</f>
        <v>CLLENN</v>
      </c>
      <c r="M1294" s="23">
        <f>IFERROR(__xludf.DUMMYFUNCTION("""COMPUTED_VALUE"""),45398.0)</f>
        <v>45398</v>
      </c>
      <c r="N1294" s="47">
        <f>IFERROR(__xludf.DUMMYFUNCTION("""COMPUTED_VALUE"""),45489.66666666667)</f>
        <v>45489.66667</v>
      </c>
      <c r="O1294" s="20"/>
      <c r="P1294" s="34" t="str">
        <f>IFERROR(__xludf.DUMMYFUNCTION("""COMPUTED_VALUE"""),"可")</f>
        <v>可</v>
      </c>
      <c r="Q1294" s="31" t="str">
        <f>IFERROR(__xludf.DUMMYFUNCTION("""COMPUTED_VALUE"""),"広告コミットOK(2/22)")</f>
        <v>広告コミットOK(2/22)</v>
      </c>
      <c r="R1294" s="31" t="str">
        <f>IFERROR(__xludf.DUMMYFUNCTION("""COMPUTED_VALUE"""),"格納済")</f>
        <v>格納済</v>
      </c>
      <c r="S1294" s="31" t="str">
        <f>IFERROR(__xludf.DUMMYFUNCTION("""COMPUTED_VALUE"""),"20240325_CLLENN_星の聖人 ～追放された男の聖女～")</f>
        <v>20240325_CLLENN_星の聖人 ～追放された男の聖女～</v>
      </c>
      <c r="T1294" s="31" t="str">
        <f>IFERROR(__xludf.DUMMYFUNCTION("""COMPUTED_VALUE"""),"格納済み")</f>
        <v>格納済み</v>
      </c>
      <c r="U1294" s="15" t="str">
        <f>IFERROR(__xludf.DUMMYFUNCTION("""COMPUTED_VALUE"""),"ⓒ小夏うみれ/CLLENN")</f>
        <v>ⓒ小夏うみれ/CLLENN</v>
      </c>
      <c r="V1294" s="8" t="str">
        <f>IFERROR(__xludf.DUMMYFUNCTION("""COMPUTED_VALUE"""),"――いつか認めてもらえる日が来るかもしれないなどと、そんなありもしない幻想を抱いて……。「お前をこの国から追放する！」聖女を代々輩出してきたランドネイ家。長い歴史の中でも初めて男の聖女《聖人》として力を授かったリルーシュは歴代聖女たちとは違い漆黒の髪と黄金の瞳を宿していた。外見や性別の違いから気味悪がられ、国中から後ろ指を刺される日々を送るリルーシュ。それでも亡き母の言葉「皆のためになることをなさい」を胸に献身的に仕事をこなしてきたが、濡れ罪を着せられ国外追放されてしまう。追放された先で、怪我をして倒れて"&amp;"いた美青年を助けたらなんとその人物は隣国の王子・ウォージン殿下で――！？")</f>
        <v>――いつか認めてもらえる日が来るかもしれないなどと、そんなありもしない幻想を抱いて……。「お前をこの国から追放する！」聖女を代々輩出してきたランドネイ家。長い歴史の中でも初めて男の聖女《聖人》として力を授かったリルーシュは歴代聖女たちとは違い漆黒の髪と黄金の瞳を宿していた。外見や性別の違いから気味悪がられ、国中から後ろ指を刺される日々を送るリルーシュ。それでも亡き母の言葉「皆のためになることをなさい」を胸に献身的に仕事をこなしてきたが、濡れ罪を着せられ国外追放されてしまう。追放された先で、怪我をして倒れていた美青年を助けたらなんとその人物は隣国の王子・ウォージン殿下で――！？</v>
      </c>
      <c r="W1294" s="14"/>
      <c r="X1294" s="14" t="str">
        <f>IFERROR(__xludf.DUMMYFUNCTION("""COMPUTED_VALUE"""),"有")</f>
        <v>有</v>
      </c>
      <c r="Y1294" s="8" t="str">
        <f>IFERROR(__xludf.DUMMYFUNCTION("""COMPUTED_VALUE"""),"2024/4/29まで立ち読み増量P25まで")</f>
        <v>2024/4/29まで立ち読み増量P25まで</v>
      </c>
      <c r="Z1294" s="7"/>
      <c r="AA1294" s="7"/>
      <c r="AB1294" s="7"/>
    </row>
    <row r="1295" ht="15.75" customHeight="1">
      <c r="A1295" s="26">
        <f>IFERROR(__xludf.DUMMYFUNCTION("""COMPUTED_VALUE"""),2983.0)</f>
        <v>2983</v>
      </c>
      <c r="B1295" s="31" t="str">
        <f>IFERROR(__xludf.DUMMYFUNCTION("""COMPUTED_VALUE"""),"確定")</f>
        <v>確定</v>
      </c>
      <c r="C1295" s="28">
        <f>IFERROR(__xludf.DUMMYFUNCTION("""COMPUTED_VALUE"""),45341.0)</f>
        <v>45341</v>
      </c>
      <c r="D1295" s="28">
        <f>IFERROR(__xludf.DUMMYFUNCTION("""COMPUTED_VALUE"""),45377.0)</f>
        <v>45377</v>
      </c>
      <c r="E1295" s="31">
        <f>IFERROR(__xludf.DUMMYFUNCTION("""COMPUTED_VALUE"""),290275.0)</f>
        <v>290275</v>
      </c>
      <c r="F1295" s="31" t="str">
        <f>IFERROR(__xludf.DUMMYFUNCTION("""COMPUTED_VALUE"""),"ふたりぼっちナイトパレード【分冊版】")</f>
        <v>ふたりぼっちナイトパレード【分冊版】</v>
      </c>
      <c r="G1295" s="20">
        <f>IFERROR(__xludf.DUMMYFUNCTION("""COMPUTED_VALUE"""),1.0)</f>
        <v>1</v>
      </c>
      <c r="H1295" s="31" t="str">
        <f>IFERROR(__xludf.DUMMYFUNCTION("""COMPUTED_VALUE"""),"蔦池メヰジ（ヨミ：つたいけ めいじ）")</f>
        <v>蔦池メヰジ（ヨミ：つたいけ めいじ）</v>
      </c>
      <c r="I1295" s="31" t="str">
        <f>IFERROR(__xludf.DUMMYFUNCTION("""COMPUTED_VALUE"""),"BL")</f>
        <v>BL</v>
      </c>
      <c r="J1295" s="31"/>
      <c r="K1295" s="31"/>
      <c r="L1295" s="31" t="str">
        <f>IFERROR(__xludf.DUMMYFUNCTION("""COMPUTED_VALUE"""),"笠倉出版社")</f>
        <v>笠倉出版社</v>
      </c>
      <c r="M1295" s="23">
        <f>IFERROR(__xludf.DUMMYFUNCTION("""COMPUTED_VALUE"""),45394.0)</f>
        <v>45394</v>
      </c>
      <c r="N1295" s="47">
        <f>IFERROR(__xludf.DUMMYFUNCTION("""COMPUTED_VALUE"""),45421.0)</f>
        <v>45421</v>
      </c>
      <c r="O1295" s="20"/>
      <c r="P1295" s="32" t="str">
        <f>IFERROR(__xludf.DUMMYFUNCTION("""COMPUTED_VALUE"""),"可")</f>
        <v>可</v>
      </c>
      <c r="Q1295" s="30"/>
      <c r="R1295" s="31"/>
      <c r="S1295" s="31" t="str">
        <f>IFERROR(__xludf.DUMMYFUNCTION("""COMPUTED_VALUE"""),"20240326_笠倉出版社_ふたりぼっちナイトパレード【分冊版】")</f>
        <v>20240326_笠倉出版社_ふたりぼっちナイトパレード【分冊版】</v>
      </c>
      <c r="T1295" s="31" t="str">
        <f>IFERROR(__xludf.DUMMYFUNCTION("""COMPUTED_VALUE"""),"格納済み")</f>
        <v>格納済み</v>
      </c>
      <c r="U1295" s="15" t="str">
        <f>IFERROR(__xludf.DUMMYFUNCTION("""COMPUTED_VALUE"""),"©蔦池メヰジ/笠倉出版社")</f>
        <v>©蔦池メヰジ/笠倉出版社</v>
      </c>
      <c r="V1295" s="8" t="str">
        <f>IFERROR(__xludf.DUMMYFUNCTION("""COMPUTED_VALUE"""),"天海太一は友達とホラー映画を見て一人だけ気絶してしまう超怖がり。それなのに、女子達と一緒に地元でも有名な怖い「お化け屋敷」のある遊園地へ行くことに。太一だって女子との少しでもお近づきになれるなら行きたい…でも怖いのは嫌っ！！そして怖がり克服のため、学校のオカ研に入ることにしたのだが…。まさか部長が、太一の怖がりを鼻で笑ったクラスメイト・月野はじめで――！？学校や地元の心霊スポットを調査し、度胸をつけるはずがドキドキなハプニング連続！ 新星・蔦池メヰジが描くＤＫ×オカルト×ドタバタラブコメ開幕☆※本作品はW"&amp;"EB雑誌「equal」に収録されています。重複購入にご注意ください。")</f>
        <v>天海太一は友達とホラー映画を見て一人だけ気絶してしまう超怖がり。それなのに、女子達と一緒に地元でも有名な怖い「お化け屋敷」のある遊園地へ行くことに。太一だって女子との少しでもお近づきになれるなら行きたい…でも怖いのは嫌っ！！そして怖がり克服のため、学校のオカ研に入ることにしたのだが…。まさか部長が、太一の怖がりを鼻で笑ったクラスメイト・月野はじめで――！？学校や地元の心霊スポットを調査し、度胸をつけるはずがドキドキなハプニング連続！ 新星・蔦池メヰジが描くＤＫ×オカルト×ドタバタラブコメ開幕☆※本作品はWEB雑誌「equal」に収録されています。重複購入にご注意ください。</v>
      </c>
      <c r="W1295" s="14"/>
      <c r="X1295" s="14" t="str">
        <f>IFERROR(__xludf.DUMMYFUNCTION("""COMPUTED_VALUE"""),"有")</f>
        <v>有</v>
      </c>
      <c r="Y1295" s="8" t="str">
        <f>IFERROR(__xludf.DUMMYFUNCTION("""COMPUTED_VALUE"""),"P6まで")</f>
        <v>P6まで</v>
      </c>
      <c r="Z1295" s="7"/>
      <c r="AA1295" s="7"/>
      <c r="AB1295" s="7"/>
    </row>
    <row r="1296" ht="15.75" customHeight="1">
      <c r="A1296" s="26">
        <f>IFERROR(__xludf.DUMMYFUNCTION("""COMPUTED_VALUE"""),3087.0)</f>
        <v>3087</v>
      </c>
      <c r="B1296" s="31" t="str">
        <f>IFERROR(__xludf.DUMMYFUNCTION("""COMPUTED_VALUE"""),"確定")</f>
        <v>確定</v>
      </c>
      <c r="C1296" s="28">
        <f>IFERROR(__xludf.DUMMYFUNCTION("""COMPUTED_VALUE"""),45362.0)</f>
        <v>45362</v>
      </c>
      <c r="D1296" s="28">
        <f>IFERROR(__xludf.DUMMYFUNCTION("""COMPUTED_VALUE"""),45377.0)</f>
        <v>45377</v>
      </c>
      <c r="E1296" s="31">
        <f>IFERROR(__xludf.DUMMYFUNCTION("""COMPUTED_VALUE"""),290736.0)</f>
        <v>290736</v>
      </c>
      <c r="F1296" s="31" t="str">
        <f>IFERROR(__xludf.DUMMYFUNCTION("""COMPUTED_VALUE"""),"【分冊版】だって私は空っぽだから")</f>
        <v>【分冊版】だって私は空っぽだから</v>
      </c>
      <c r="G1296" s="20" t="str">
        <f>IFERROR(__xludf.DUMMYFUNCTION("""COMPUTED_VALUE"""),"1～5")</f>
        <v>1～5</v>
      </c>
      <c r="H1296" s="31" t="str">
        <f>IFERROR(__xludf.DUMMYFUNCTION("""COMPUTED_VALUE"""),"原作：タナカトモ┴漫画：らんこくみ")</f>
        <v>原作：タナカトモ┴漫画：らんこくみ</v>
      </c>
      <c r="I1296" s="31" t="str">
        <f>IFERROR(__xludf.DUMMYFUNCTION("""COMPUTED_VALUE"""),"女性")</f>
        <v>女性</v>
      </c>
      <c r="J1296" s="31"/>
      <c r="K1296" s="31"/>
      <c r="L1296" s="31" t="str">
        <f>IFERROR(__xludf.DUMMYFUNCTION("""COMPUTED_VALUE"""),"Seasons")</f>
        <v>Seasons</v>
      </c>
      <c r="M1296" s="23">
        <f>IFERROR(__xludf.DUMMYFUNCTION("""COMPUTED_VALUE"""),45401.0)</f>
        <v>45401</v>
      </c>
      <c r="N1296" s="23">
        <f>IFERROR(__xludf.DUMMYFUNCTION("""COMPUTED_VALUE"""),45491.0)</f>
        <v>45491</v>
      </c>
      <c r="O1296" s="20"/>
      <c r="P1296" s="34" t="str">
        <f>IFERROR(__xludf.DUMMYFUNCTION("""COMPUTED_VALUE"""),"可")</f>
        <v>可</v>
      </c>
      <c r="Q1296" s="30" t="str">
        <f>IFERROR(__xludf.DUMMYFUNCTION("""COMPUTED_VALUE"""),"格納してる分が初回5巻分となります。&lt;BR&gt;&lt;BR&gt;分冊版1巻：1話前半&lt;BR&gt;分冊版2巻：1話後半&lt;BR&gt;分冊版3巻：2話&lt;BR&gt;分冊版4巻：3話&lt;BR&gt;分冊版5巻：4話")</f>
        <v>格納してる分が初回5巻分となります。&lt;BR&gt;&lt;BR&gt;分冊版1巻：1話前半&lt;BR&gt;分冊版2巻：1話後半&lt;BR&gt;分冊版3巻：2話&lt;BR&gt;分冊版4巻：3話&lt;BR&gt;分冊版5巻：4話</v>
      </c>
      <c r="R1296" s="31"/>
      <c r="S1296" s="31" t="str">
        <f>IFERROR(__xludf.DUMMYFUNCTION("""COMPUTED_VALUE"""),"20240325_Seasons_【分冊版】だって私は空っぽだから")</f>
        <v>20240325_Seasons_【分冊版】だって私は空っぽだから</v>
      </c>
      <c r="T1296" s="31" t="str">
        <f>IFERROR(__xludf.DUMMYFUNCTION("""COMPUTED_VALUE"""),"格納済み")</f>
        <v>格納済み</v>
      </c>
      <c r="U1296" s="15" t="str">
        <f>IFERROR(__xludf.DUMMYFUNCTION("""COMPUTED_VALUE"""),"(C)タナカトモ・らんこくみ／文藝春秋")</f>
        <v>(C)タナカトモ・らんこくみ／文藝春秋</v>
      </c>
      <c r="V1296" s="8" t="str">
        <f>IFERROR(__xludf.DUMMYFUNCTION("""COMPUTED_VALUE"""),"「私には何もない――だから何かで埋めなくちゃ」
SNSに溢れる東京のキラキラな生活に憧れ、上京してきた大学生・清川さちこ。
けれど現実に待っていたのは、カツカツな暮らし、馴染めない大学生活、パッとしない日々。
挙句の果てに、詐欺DMに騙されそうなところを同級生の要リオナに助けてもらう。
そしてその先には、「ラウンジ嬢」としての空っぽな日々があった――
“港区女子”に憧れる普通の女のコが「ラウンジ嬢」になった先にあるものとは。
ラウンジ嬢、パパ活、看板のないお店。港区の夜に溢れる輝きの向こう側を"&amp;"描く、ビターな現代寓話。
【第1話前編収録】")</f>
        <v>「私には何もない――だから何かで埋めなくちゃ」
SNSに溢れる東京のキラキラな生活に憧れ、上京してきた大学生・清川さちこ。
けれど現実に待っていたのは、カツカツな暮らし、馴染めない大学生活、パッとしない日々。
挙句の果てに、詐欺DMに騙されそうなところを同級生の要リオナに助けてもらう。
そしてその先には、「ラウンジ嬢」としての空っぽな日々があった――
“港区女子”に憧れる普通の女のコが「ラウンジ嬢」になった先にあるものとは。
ラウンジ嬢、パパ活、看板のないお店。港区の夜に溢れる輝きの向こう側を描く、ビターな現代寓話。
【第1話前編収録】</v>
      </c>
      <c r="W1296" s="14"/>
      <c r="X1296" s="14" t="str">
        <f>IFERROR(__xludf.DUMMYFUNCTION("""COMPUTED_VALUE"""),"有")</f>
        <v>有</v>
      </c>
      <c r="Y1296" s="8" t="str">
        <f>IFERROR(__xludf.DUMMYFUNCTION("""COMPUTED_VALUE"""),"P5まで")</f>
        <v>P5まで</v>
      </c>
      <c r="Z1296" s="7"/>
      <c r="AA1296" s="7"/>
      <c r="AB1296" s="7"/>
    </row>
    <row r="1297" ht="15.75" customHeight="1">
      <c r="A1297" s="26">
        <f>IFERROR(__xludf.DUMMYFUNCTION("""COMPUTED_VALUE"""),3091.0)</f>
        <v>3091</v>
      </c>
      <c r="B1297" s="31" t="str">
        <f>IFERROR(__xludf.DUMMYFUNCTION("""COMPUTED_VALUE"""),"確定")</f>
        <v>確定</v>
      </c>
      <c r="C1297" s="28">
        <f>IFERROR(__xludf.DUMMYFUNCTION("""COMPUTED_VALUE"""),45363.0)</f>
        <v>45363</v>
      </c>
      <c r="D1297" s="28">
        <f>IFERROR(__xludf.DUMMYFUNCTION("""COMPUTED_VALUE"""),45378.0)</f>
        <v>45378</v>
      </c>
      <c r="E1297" s="31">
        <f>IFERROR(__xludf.DUMMYFUNCTION("""COMPUTED_VALUE"""),294034.0)</f>
        <v>294034</v>
      </c>
      <c r="F1297" s="31" t="str">
        <f>IFERROR(__xludf.DUMMYFUNCTION("""COMPUTED_VALUE"""),"シャーロット～とある侍女の城仕え物語～【分冊版】")</f>
        <v>シャーロット～とある侍女の城仕え物語～【分冊版】</v>
      </c>
      <c r="G1297" s="16" t="str">
        <f>IFERROR(__xludf.DUMMYFUNCTION("""COMPUTED_VALUE"""),"1～5")</f>
        <v>1～5</v>
      </c>
      <c r="H1297" s="31" t="str">
        <f>IFERROR(__xludf.DUMMYFUNCTION("""COMPUTED_VALUE"""),"原作／守雨(HJノベルス／ホビージャパン刊) 漫画／十槻みか キャラクター原案／月戸")</f>
        <v>原作／守雨(HJノベルス／ホビージャパン刊) 漫画／十槻みか キャラクター原案／月戸</v>
      </c>
      <c r="I1297" s="31" t="str">
        <f>IFERROR(__xludf.DUMMYFUNCTION("""COMPUTED_VALUE"""),"少女")</f>
        <v>少女</v>
      </c>
      <c r="J1297" s="31"/>
      <c r="K1297" s="31"/>
      <c r="L1297" s="31" t="str">
        <f>IFERROR(__xludf.DUMMYFUNCTION("""COMPUTED_VALUE"""),"スクウェア・エニックス")</f>
        <v>スクウェア・エニックス</v>
      </c>
      <c r="M1297" s="23">
        <f>IFERROR(__xludf.DUMMYFUNCTION("""COMPUTED_VALUE"""),45444.0)</f>
        <v>45444</v>
      </c>
      <c r="N1297" s="47">
        <f>IFERROR(__xludf.DUMMYFUNCTION("""COMPUTED_VALUE"""),45473.0)</f>
        <v>45473</v>
      </c>
      <c r="O1297" s="20"/>
      <c r="P1297" s="34" t="str">
        <f>IFERROR(__xludf.DUMMYFUNCTION("""COMPUTED_VALUE"""),"否")</f>
        <v>否</v>
      </c>
      <c r="Q1297" s="30" t="str">
        <f>IFERROR(__xludf.DUMMYFUNCTION("""COMPUTED_VALUE"""),"広告コミットOK(3/14)")</f>
        <v>広告コミットOK(3/14)</v>
      </c>
      <c r="R1297" s="31"/>
      <c r="S1297" s="31" t="str">
        <f>IFERROR(__xludf.DUMMYFUNCTION("""COMPUTED_VALUE"""),"20240322_スクウェア・エニックス_シャーロット～とある侍女の城仕え物語～")</f>
        <v>20240322_スクウェア・エニックス_シャーロット～とある侍女の城仕え物語～</v>
      </c>
      <c r="T1297" s="31" t="str">
        <f>IFERROR(__xludf.DUMMYFUNCTION("""COMPUTED_VALUE"""),"格納済み")</f>
        <v>格納済み</v>
      </c>
      <c r="U1297" s="15" t="str">
        <f>IFERROR(__xludf.DUMMYFUNCTION("""COMPUTED_VALUE"""),"(C)Syuu (C)Mika Totsuki/SQUARE ENIX")</f>
        <v>(C)Syuu (C)Mika Totsuki/SQUARE ENIX</v>
      </c>
      <c r="V1297" s="8" t="str">
        <f>IFERROR(__xludf.DUMMYFUNCTION("""COMPUTED_VALUE"""),"【人が人を想う優しさと絆の物語】
一年前に両親が失踪。一人残された少女は城で働く日々を送る。休みは実家へ戻り、両親がいつ帰ってきても良いように家を整えていた。ある日、家に帰ると見知らぬ男が！シャーロットは震える手で木剣を握りしめた…！
※この商品は「シャーロット～とある侍女の城仕え物語～」を1話ごとに分冊したものです。
(C)Syuu (C)2024 Mika Totsuki")</f>
        <v>【人が人を想う優しさと絆の物語】
一年前に両親が失踪。一人残された少女は城で働く日々を送る。休みは実家へ戻り、両親がいつ帰ってきても良いように家を整えていた。ある日、家に帰ると見知らぬ男が！シャーロットは震える手で木剣を握りしめた…！
※この商品は「シャーロット～とある侍女の城仕え物語～」を1話ごとに分冊したものです。
(C)Syuu (C)2024 Mika Totsuki</v>
      </c>
      <c r="W1297" s="14"/>
      <c r="X1297" s="14" t="str">
        <f>IFERROR(__xludf.DUMMYFUNCTION("""COMPUTED_VALUE"""),"有")</f>
        <v>有</v>
      </c>
      <c r="Y1297" s="8" t="str">
        <f>IFERROR(__xludf.DUMMYFUNCTION("""COMPUTED_VALUE"""),"2024/6/30まで1巻無料")</f>
        <v>2024/6/30まで1巻無料</v>
      </c>
      <c r="Z1297" s="7"/>
      <c r="AA1297" s="7"/>
      <c r="AB1297" s="7"/>
    </row>
    <row r="1298" ht="15.75" customHeight="1">
      <c r="A1298" s="26">
        <f>IFERROR(__xludf.DUMMYFUNCTION("""COMPUTED_VALUE"""),3116.0)</f>
        <v>3116</v>
      </c>
      <c r="B1298" s="31" t="str">
        <f>IFERROR(__xludf.DUMMYFUNCTION("""COMPUTED_VALUE"""),"確定")</f>
        <v>確定</v>
      </c>
      <c r="C1298" s="28">
        <f>IFERROR(__xludf.DUMMYFUNCTION("""COMPUTED_VALUE"""),45369.0)</f>
        <v>45369</v>
      </c>
      <c r="D1298" s="28">
        <f>IFERROR(__xludf.DUMMYFUNCTION("""COMPUTED_VALUE"""),45378.0)</f>
        <v>45378</v>
      </c>
      <c r="E1298" s="31">
        <f>IFERROR(__xludf.DUMMYFUNCTION("""COMPUTED_VALUE"""),291477.0)</f>
        <v>291477</v>
      </c>
      <c r="F1298" s="31" t="str">
        <f>IFERROR(__xludf.DUMMYFUNCTION("""COMPUTED_VALUE"""),"蜜桃の秘め事～鬼退治に行ったら溺愛されました～")</f>
        <v>蜜桃の秘め事～鬼退治に行ったら溺愛されました～</v>
      </c>
      <c r="G1298" s="20" t="str">
        <f>IFERROR(__xludf.DUMMYFUNCTION("""COMPUTED_VALUE"""),"1~3")</f>
        <v>1~3</v>
      </c>
      <c r="H1298" s="31" t="str">
        <f>IFERROR(__xludf.DUMMYFUNCTION("""COMPUTED_VALUE"""),"雨画スミ")</f>
        <v>雨画スミ</v>
      </c>
      <c r="I1298" s="31" t="str">
        <f>IFERROR(__xludf.DUMMYFUNCTION("""COMPUTED_VALUE"""),"TL")</f>
        <v>TL</v>
      </c>
      <c r="J1298" s="31"/>
      <c r="K1298" s="31"/>
      <c r="L1298" s="31" t="str">
        <f>IFERROR(__xludf.DUMMYFUNCTION("""COMPUTED_VALUE"""),"MUGENUP")</f>
        <v>MUGENUP</v>
      </c>
      <c r="M1298" s="23">
        <f>IFERROR(__xludf.DUMMYFUNCTION("""COMPUTED_VALUE"""),45409.0)</f>
        <v>45409</v>
      </c>
      <c r="N1298" s="47">
        <f>IFERROR(__xludf.DUMMYFUNCTION("""COMPUTED_VALUE"""),45530.66666666667)</f>
        <v>45530.66667</v>
      </c>
      <c r="O1298" s="20"/>
      <c r="P1298" s="34" t="str">
        <f>IFERROR(__xludf.DUMMYFUNCTION("""COMPUTED_VALUE"""),"可")</f>
        <v>可</v>
      </c>
      <c r="Q1298" s="31" t="str">
        <f>IFERROR(__xludf.DUMMYFUNCTION("""COMPUTED_VALUE"""),"広告コミットOK(3/25) ・レーベル名 Puffsmore")</f>
        <v>広告コミットOK(3/25) ・レーベル名 Puffsmore</v>
      </c>
      <c r="R1298" s="31" t="str">
        <f>IFERROR(__xludf.DUMMYFUNCTION("""COMPUTED_VALUE"""),"格納済み")</f>
        <v>格納済み</v>
      </c>
      <c r="S1298" s="31" t="str">
        <f>IFERROR(__xludf.DUMMYFUNCTION("""COMPUTED_VALUE"""),"20240326_MUGENUP_蜜桃の秘め事～鬼退治に行ったら溺愛されました～")</f>
        <v>20240326_MUGENUP_蜜桃の秘め事～鬼退治に行ったら溺愛されました～</v>
      </c>
      <c r="T1298" s="31" t="str">
        <f>IFERROR(__xludf.DUMMYFUNCTION("""COMPUTED_VALUE"""),"格納済み")</f>
        <v>格納済み</v>
      </c>
      <c r="U1298" s="15" t="str">
        <f>IFERROR(__xludf.DUMMYFUNCTION("""COMPUTED_VALUE"""),"(C) 雨画スミ／MUGENUP")</f>
        <v>(C) 雨画スミ／MUGENUP</v>
      </c>
      <c r="V1298" s="8" t="str">
        <f>IFERROR(__xludf.DUMMYFUNCTION("""COMPUTED_VALUE"""),"「ゾクゾクしたろ？」
舐めて触られて拒めない──初めての快感をくれた鬼の××は…大きすぎませんか！？
人間と鬼が敵対している時代。
ヒロインの桃麻は鬼を倒すために鬼ヶ島に乗り込むも、あっけなく敗れ鬼ヶ島の城に囚われてしまう。
目を覚ました桃麻が、怪我をしつつも綺麗な着物を着せられている状況に驚いていると、そこに鬼ヶ島の領主・焔刃丸が現れた。
彼の迫力に震えながらも桃麻が目を合わせると、焔刃丸の顔が真っ赤になっている！
「お前の怪我、俺が責任をもって治す！」
そんな焔刃丸に恐る恐る傷を見せると"&amp;"、突然舌で舐められて──
こんなのおかしいのに、気持ちよくて拒めない…
敵対する種族同士の禁断溺愛ラブストーリー！")</f>
        <v>「ゾクゾクしたろ？」
舐めて触られて拒めない──初めての快感をくれた鬼の××は…大きすぎませんか！？
人間と鬼が敵対している時代。
ヒロインの桃麻は鬼を倒すために鬼ヶ島に乗り込むも、あっけなく敗れ鬼ヶ島の城に囚われてしまう。
目を覚ました桃麻が、怪我をしつつも綺麗な着物を着せられている状況に驚いていると、そこに鬼ヶ島の領主・焔刃丸が現れた。
彼の迫力に震えながらも桃麻が目を合わせると、焔刃丸の顔が真っ赤になっている！
「お前の怪我、俺が責任をもって治す！」
そんな焔刃丸に恐る恐る傷を見せると、突然舌で舐められて──
こんなのおかしいのに、気持ちよくて拒めない…
敵対する種族同士の禁断溺愛ラブストーリー！</v>
      </c>
      <c r="W1298" s="14"/>
      <c r="X1298" s="14" t="str">
        <f>IFERROR(__xludf.DUMMYFUNCTION("""COMPUTED_VALUE"""),"有")</f>
        <v>有</v>
      </c>
      <c r="Y1298" s="8" t="str">
        <f>IFERROR(__xludf.DUMMYFUNCTION("""COMPUTED_VALUE"""),"2024/5/12まで1巻無料")</f>
        <v>2024/5/12まで1巻無料</v>
      </c>
      <c r="Z1298" s="7"/>
      <c r="AA1298" s="7"/>
      <c r="AB1298" s="7"/>
    </row>
    <row r="1299" ht="15.75" customHeight="1">
      <c r="A1299" s="26">
        <f>IFERROR(__xludf.DUMMYFUNCTION("""COMPUTED_VALUE"""),3128.0)</f>
        <v>3128</v>
      </c>
      <c r="B1299" s="31" t="str">
        <f>IFERROR(__xludf.DUMMYFUNCTION("""COMPUTED_VALUE"""),"確定")</f>
        <v>確定</v>
      </c>
      <c r="C1299" s="28">
        <f>IFERROR(__xludf.DUMMYFUNCTION("""COMPUTED_VALUE"""),45370.0)</f>
        <v>45370</v>
      </c>
      <c r="D1299" s="28">
        <f>IFERROR(__xludf.DUMMYFUNCTION("""COMPUTED_VALUE"""),45373.0)</f>
        <v>45373</v>
      </c>
      <c r="E1299" s="26">
        <f>IFERROR(__xludf.DUMMYFUNCTION("""COMPUTED_VALUE"""),277493.0)</f>
        <v>277493</v>
      </c>
      <c r="F1299" s="31" t="str">
        <f>IFERROR(__xludf.DUMMYFUNCTION("""COMPUTED_VALUE"""),"てんまろ！～放課後異世界キャンプ～")</f>
        <v>てんまろ！～放課後異世界キャンプ～</v>
      </c>
      <c r="G1299" s="20" t="str">
        <f>IFERROR(__xludf.DUMMYFUNCTION("""COMPUTED_VALUE"""),"1～3")</f>
        <v>1～3</v>
      </c>
      <c r="H1299" s="31" t="str">
        <f>IFERROR(__xludf.DUMMYFUNCTION("""COMPUTED_VALUE"""),"黒羽沙乃,優姫夢")</f>
        <v>黒羽沙乃,優姫夢</v>
      </c>
      <c r="I1299" s="31" t="str">
        <f>IFERROR(__xludf.DUMMYFUNCTION("""COMPUTED_VALUE"""),"青年")</f>
        <v>青年</v>
      </c>
      <c r="J1299" s="31"/>
      <c r="K1299" s="31"/>
      <c r="L1299" s="31" t="str">
        <f>IFERROR(__xludf.DUMMYFUNCTION("""COMPUTED_VALUE"""),"ソルマーレ編集部")</f>
        <v>ソルマーレ編集部</v>
      </c>
      <c r="M1299" s="23">
        <f>IFERROR(__xludf.DUMMYFUNCTION("""COMPUTED_VALUE"""),45402.0)</f>
        <v>45402</v>
      </c>
      <c r="N1299" s="23">
        <f>IFERROR(__xludf.DUMMYFUNCTION("""COMPUTED_VALUE"""),45463.0)</f>
        <v>45463</v>
      </c>
      <c r="O1299" s="20"/>
      <c r="P1299" s="34" t="str">
        <f>IFERROR(__xludf.DUMMYFUNCTION("""COMPUTED_VALUE"""),"可")</f>
        <v>可</v>
      </c>
      <c r="Q1299" s="30"/>
      <c r="R1299" s="31"/>
      <c r="S1299" s="31" t="str">
        <f>IFERROR(__xludf.DUMMYFUNCTION("""COMPUTED_VALUE"""),"20240322_ソルマーレ編集部_てんまろ！～放課後異世界キャンプ～")</f>
        <v>20240322_ソルマーレ編集部_てんまろ！～放課後異世界キャンプ～</v>
      </c>
      <c r="T1299" s="31" t="str">
        <f>IFERROR(__xludf.DUMMYFUNCTION("""COMPUTED_VALUE"""),"格納済み")</f>
        <v>格納済み</v>
      </c>
      <c r="U1299" s="15" t="str">
        <f>IFERROR(__xludf.DUMMYFUNCTION("""COMPUTED_VALUE"""),"Ⓒ 黒羽沙乃/優姫夢/シーモアコミックス")</f>
        <v>Ⓒ 黒羽沙乃/優姫夢/シーモアコミックス</v>
      </c>
      <c r="V1299" s="8" t="str">
        <f>IFERROR(__xludf.DUMMYFUNCTION("""COMPUTED_VALUE"""),"人生初のキャンプがまさかこんなことになるなんて!?ーー登坂みのり(とさかみのり)はキャンプ部に所属している高校一年生の女の子。今日も部室で部長の矢野レイラ(やのれいら)、副部長の高峰乃蒼(たかみねのあ)、先輩の神月真(こうづきまこと)、の三人でいつものようにだべっています。そんな梅雨のある日。4人は雨でキャンプができないことにウズウズしていると…突然、大自然の中に移動してしまう！やっとキャンプができるとはしゃぎ出すキャンプバカの3人をしり目に、ここは異世界なのではないかと考えだすみのり。ここは異世界なので"&amp;"は？異世界でキャンプするんですか？？異世界の中でもキャンプする、個性豊かな女子高生たちのゆるい放課後をお楽しみください！【ズズズキュン！】")</f>
        <v>人生初のキャンプがまさかこんなことになるなんて!?ーー登坂みのり(とさかみのり)はキャンプ部に所属している高校一年生の女の子。今日も部室で部長の矢野レイラ(やのれいら)、副部長の高峰乃蒼(たかみねのあ)、先輩の神月真(こうづきまこと)、の三人でいつものようにだべっています。そんな梅雨のある日。4人は雨でキャンプができないことにウズウズしていると…突然、大自然の中に移動してしまう！やっとキャンプができるとはしゃぎ出すキャンプバカの3人をしり目に、ここは異世界なのではないかと考えだすみのり。ここは異世界なのでは？異世界でキャンプするんですか？？異世界の中でもキャンプする、個性豊かな女子高生たちのゆるい放課後をお楽しみください！【ズズズキュン！】</v>
      </c>
      <c r="W1299" s="14"/>
      <c r="X1299" s="14" t="str">
        <f>IFERROR(__xludf.DUMMYFUNCTION("""COMPUTED_VALUE"""),"有")</f>
        <v>有</v>
      </c>
      <c r="Y1299" s="8" t="str">
        <f>IFERROR(__xludf.DUMMYFUNCTION("""COMPUTED_VALUE"""),"P6まで")</f>
        <v>P6まで</v>
      </c>
      <c r="Z1299" s="7"/>
      <c r="AA1299" s="7"/>
      <c r="AB1299" s="7"/>
    </row>
    <row r="1300" ht="15.75" customHeight="1">
      <c r="A1300" s="26">
        <f>IFERROR(__xludf.DUMMYFUNCTION("""COMPUTED_VALUE"""),3134.0)</f>
        <v>3134</v>
      </c>
      <c r="B1300" s="31" t="str">
        <f>IFERROR(__xludf.DUMMYFUNCTION("""COMPUTED_VALUE"""),"確定")</f>
        <v>確定</v>
      </c>
      <c r="C1300" s="28">
        <f>IFERROR(__xludf.DUMMYFUNCTION("""COMPUTED_VALUE"""),45372.0)</f>
        <v>45372</v>
      </c>
      <c r="D1300" s="28">
        <f>IFERROR(__xludf.DUMMYFUNCTION("""COMPUTED_VALUE"""),45376.0)</f>
        <v>45376</v>
      </c>
      <c r="E1300" s="31">
        <f>IFERROR(__xludf.DUMMYFUNCTION("""COMPUTED_VALUE"""),290085.0)</f>
        <v>290085</v>
      </c>
      <c r="F1300" s="31" t="str">
        <f>IFERROR(__xludf.DUMMYFUNCTION("""COMPUTED_VALUE"""),"美しすぎる友人の母に欲情してしまいました【タテヨミ】")</f>
        <v>美しすぎる友人の母に欲情してしまいました【タテヨミ】</v>
      </c>
      <c r="G1300" s="20" t="str">
        <f>IFERROR(__xludf.DUMMYFUNCTION("""COMPUTED_VALUE"""),"1~50")</f>
        <v>1~50</v>
      </c>
      <c r="H1300" s="31" t="str">
        <f>IFERROR(__xludf.DUMMYFUNCTION("""COMPUTED_VALUE"""),"yeoprokso・kelly_o")</f>
        <v>yeoprokso・kelly_o</v>
      </c>
      <c r="I1300" s="31" t="str">
        <f>IFERROR(__xludf.DUMMYFUNCTION("""COMPUTED_VALUE"""),"青年")</f>
        <v>青年</v>
      </c>
      <c r="J1300" s="31"/>
      <c r="K1300" s="31"/>
      <c r="L1300" s="31" t="str">
        <f>IFERROR(__xludf.DUMMYFUNCTION("""COMPUTED_VALUE"""),"レジンエンターテインメント")</f>
        <v>レジンエンターテインメント</v>
      </c>
      <c r="M1300" s="23">
        <f>IFERROR(__xludf.DUMMYFUNCTION("""COMPUTED_VALUE"""),45394.0)</f>
        <v>45394</v>
      </c>
      <c r="N1300" s="23">
        <f>IFERROR(__xludf.DUMMYFUNCTION("""COMPUTED_VALUE"""),45547.66666666667)</f>
        <v>45547.66667</v>
      </c>
      <c r="O1300" s="20"/>
      <c r="P1300" s="34" t="str">
        <f>IFERROR(__xludf.DUMMYFUNCTION("""COMPUTED_VALUE"""),"可")</f>
        <v>可</v>
      </c>
      <c r="Q1300" s="30" t="str">
        <f>IFERROR(__xludf.DUMMYFUNCTION("""COMPUTED_VALUE"""),"出稿コミット作品です。&lt;BR&gt;1～20巻目で制作お願い致します")</f>
        <v>出稿コミット作品です。&lt;BR&gt;1～20巻目で制作お願い致します</v>
      </c>
      <c r="R1300" s="31"/>
      <c r="S1300" s="31" t="str">
        <f>IFERROR(__xludf.DUMMYFUNCTION("""COMPUTED_VALUE"""),"20240322_レジンエンターテインメント_美しすぎる友人の母に欲情してしまいました")</f>
        <v>20240322_レジンエンターテインメント_美しすぎる友人の母に欲情してしまいました</v>
      </c>
      <c r="T1300" s="31" t="str">
        <f>IFERROR(__xludf.DUMMYFUNCTION("""COMPUTED_VALUE"""),"格納済み")</f>
        <v>格納済み</v>
      </c>
      <c r="U1300" s="15" t="str">
        <f>IFERROR(__xludf.DUMMYFUNCTION("""COMPUTED_VALUE"""),"ⓒyeoprokso・kelly_o / レジンコミックス")</f>
        <v>ⓒyeoprokso・kelly_o / レジンコミックス</v>
      </c>
      <c r="V1300" s="8" t="str">
        <f>IFERROR(__xludf.DUMMYFUNCTION("""COMPUTED_VALUE"""),"そこそこそこ人気のある大学生の平沢勇也は、夏休みの間、友だちの安藤太志の家に泊まることになる。しかし、スタイル抜群の美しすぎる友人の母、静香を見て妙な感情が芽生え…。思わぬ出会いに戸惑いながら、結局はトイレに掛かってあった静香さんの下着を盗んでしまう勇也。そして、そんな息子の友だちに心を揺さぶられ、女としての感情を抱いてしまう静香。膨らむ想いを抑えきれず、ついに禁断の快楽に身を委ねてしまう二人だが…。")</f>
        <v>そこそこそこ人気のある大学生の平沢勇也は、夏休みの間、友だちの安藤太志の家に泊まることになる。しかし、スタイル抜群の美しすぎる友人の母、静香を見て妙な感情が芽生え…。思わぬ出会いに戸惑いながら、結局はトイレに掛かってあった静香さんの下着を盗んでしまう勇也。そして、そんな息子の友だちに心を揺さぶられ、女としての感情を抱いてしまう静香。膨らむ想いを抑えきれず、ついに禁断の快楽に身を委ねてしまう二人だが…。</v>
      </c>
      <c r="W1300" s="14"/>
      <c r="X1300" s="14" t="str">
        <f>IFERROR(__xludf.DUMMYFUNCTION("""COMPUTED_VALUE"""),"有")</f>
        <v>有</v>
      </c>
      <c r="Y1300" s="8" t="str">
        <f>IFERROR(__xludf.DUMMYFUNCTION("""COMPUTED_VALUE"""),"1巻無料")</f>
        <v>1巻無料</v>
      </c>
      <c r="Z1300" s="7"/>
      <c r="AA1300" s="7"/>
      <c r="AB1300" s="7"/>
    </row>
    <row r="1301" ht="102.75" customHeight="1">
      <c r="A1301" s="26">
        <f>IFERROR(__xludf.DUMMYFUNCTION("""COMPUTED_VALUE"""),3135.0)</f>
        <v>3135</v>
      </c>
      <c r="B1301" s="31" t="str">
        <f>IFERROR(__xludf.DUMMYFUNCTION("""COMPUTED_VALUE"""),"確定")</f>
        <v>確定</v>
      </c>
      <c r="C1301" s="28">
        <f>IFERROR(__xludf.DUMMYFUNCTION("""COMPUTED_VALUE"""),45372.0)</f>
        <v>45372</v>
      </c>
      <c r="D1301" s="28">
        <f>IFERROR(__xludf.DUMMYFUNCTION("""COMPUTED_VALUE"""),45376.0)</f>
        <v>45376</v>
      </c>
      <c r="E1301" s="31">
        <f>IFERROR(__xludf.DUMMYFUNCTION("""COMPUTED_VALUE"""),291354.0)</f>
        <v>291354</v>
      </c>
      <c r="F1301" s="31" t="str">
        <f>IFERROR(__xludf.DUMMYFUNCTION("""COMPUTED_VALUE"""),"田舎で幼馴染とシェアハウスはじめました【タテヨミ】")</f>
        <v>田舎で幼馴染とシェアハウスはじめました【タテヨミ】</v>
      </c>
      <c r="G1301" s="20" t="str">
        <f>IFERROR(__xludf.DUMMYFUNCTION("""COMPUTED_VALUE"""),"1～25")</f>
        <v>1～25</v>
      </c>
      <c r="H1301" s="31" t="str">
        <f>IFERROR(__xludf.DUMMYFUNCTION("""COMPUTED_VALUE"""),"Lon Watanuki &amp; simejirow・gunge")</f>
        <v>Lon Watanuki &amp; simejirow・gunge</v>
      </c>
      <c r="I1301" s="31" t="str">
        <f>IFERROR(__xludf.DUMMYFUNCTION("""COMPUTED_VALUE"""),"青年")</f>
        <v>青年</v>
      </c>
      <c r="J1301" s="31"/>
      <c r="K1301" s="31"/>
      <c r="L1301" s="31" t="str">
        <f>IFERROR(__xludf.DUMMYFUNCTION("""COMPUTED_VALUE"""),"レジンエンターテインメント")</f>
        <v>レジンエンターテインメント</v>
      </c>
      <c r="M1301" s="23">
        <f>IFERROR(__xludf.DUMMYFUNCTION("""COMPUTED_VALUE"""),45408.0)</f>
        <v>45408</v>
      </c>
      <c r="N1301" s="23">
        <f>IFERROR(__xludf.DUMMYFUNCTION("""COMPUTED_VALUE"""),45591.66666666667)</f>
        <v>45591.66667</v>
      </c>
      <c r="O1301" s="20"/>
      <c r="P1301" s="34" t="str">
        <f>IFERROR(__xludf.DUMMYFUNCTION("""COMPUTED_VALUE"""),"可")</f>
        <v>可</v>
      </c>
      <c r="Q1301" s="30" t="str">
        <f>IFERROR(__xludf.DUMMYFUNCTION("""COMPUTED_VALUE"""),"出稿コミット作品です。&lt;BR&gt;1～20巻目で制作お願い致します")</f>
        <v>出稿コミット作品です。&lt;BR&gt;1～20巻目で制作お願い致します</v>
      </c>
      <c r="R1301" s="31"/>
      <c r="S1301" s="31" t="str">
        <f>IFERROR(__xludf.DUMMYFUNCTION("""COMPUTED_VALUE"""),"20240322_レジンエンターテインメント_田舎で幼馴染とシェアハウスはじめました")</f>
        <v>20240322_レジンエンターテインメント_田舎で幼馴染とシェアハウスはじめました</v>
      </c>
      <c r="T1301" s="31" t="str">
        <f>IFERROR(__xludf.DUMMYFUNCTION("""COMPUTED_VALUE"""),"格納済み")</f>
        <v>格納済み</v>
      </c>
      <c r="U1301" s="15" t="str">
        <f>IFERROR(__xludf.DUMMYFUNCTION("""COMPUTED_VALUE"""),"ⓒLon Watanuki &amp; simejirow・gunge / レジンコミックス")</f>
        <v>ⓒLon Watanuki &amp; simejirow・gunge / レジンコミックス</v>
      </c>
      <c r="V1301" s="8" t="str">
        <f>IFERROR(__xludf.DUMMYFUNCTION("""COMPUTED_VALUE"""),"いろいろあり実家に戻ることを決めた打木亮牙は、とあるシェアハウスの管理人として働くことになる。しかし、そこは幼い頃、自分をいじめてた幼馴染たちが集まっているシェアハウスだった…？")</f>
        <v>いろいろあり実家に戻ることを決めた打木亮牙は、とあるシェアハウスの管理人として働くことになる。しかし、そこは幼い頃、自分をいじめてた幼馴染たちが集まっているシェアハウスだった…？</v>
      </c>
      <c r="W1301" s="14"/>
      <c r="X1301" s="14" t="str">
        <f>IFERROR(__xludf.DUMMYFUNCTION("""COMPUTED_VALUE"""),"有")</f>
        <v>有</v>
      </c>
      <c r="Y1301" s="8" t="str">
        <f>IFERROR(__xludf.DUMMYFUNCTION("""COMPUTED_VALUE"""),"1巻無料")</f>
        <v>1巻無料</v>
      </c>
      <c r="Z1301" s="7"/>
      <c r="AA1301" s="7"/>
      <c r="AB1301" s="7"/>
    </row>
    <row r="1302" ht="15.75" customHeight="1">
      <c r="A1302" s="26">
        <f>IFERROR(__xludf.DUMMYFUNCTION("""COMPUTED_VALUE"""),3136.0)</f>
        <v>3136</v>
      </c>
      <c r="B1302" s="31" t="str">
        <f>IFERROR(__xludf.DUMMYFUNCTION("""COMPUTED_VALUE"""),"確定")</f>
        <v>確定</v>
      </c>
      <c r="C1302" s="28">
        <f>IFERROR(__xludf.DUMMYFUNCTION("""COMPUTED_VALUE"""),45372.0)</f>
        <v>45372</v>
      </c>
      <c r="D1302" s="28">
        <f>IFERROR(__xludf.DUMMYFUNCTION("""COMPUTED_VALUE"""),45376.0)</f>
        <v>45376</v>
      </c>
      <c r="E1302" s="31">
        <f>IFERROR(__xludf.DUMMYFUNCTION("""COMPUTED_VALUE"""),291356.0)</f>
        <v>291356</v>
      </c>
      <c r="F1302" s="52" t="str">
        <f>IFERROR(__xludf.DUMMYFUNCTION("""COMPUTED_VALUE"""),"学校ではダメよ〜教え子の母親は元カノだった～【タテヨミ】")</f>
        <v>学校ではダメよ〜教え子の母親は元カノだった～【タテヨミ】</v>
      </c>
      <c r="G1302" s="20" t="str">
        <f>IFERROR(__xludf.DUMMYFUNCTION("""COMPUTED_VALUE"""),"1~40")</f>
        <v>1~40</v>
      </c>
      <c r="H1302" s="31" t="str">
        <f>IFERROR(__xludf.DUMMYFUNCTION("""COMPUTED_VALUE"""),"chuhuni・samosa")</f>
        <v>chuhuni・samosa</v>
      </c>
      <c r="I1302" s="31" t="str">
        <f>IFERROR(__xludf.DUMMYFUNCTION("""COMPUTED_VALUE"""),"青年")</f>
        <v>青年</v>
      </c>
      <c r="J1302" s="31"/>
      <c r="K1302" s="31"/>
      <c r="L1302" s="31" t="str">
        <f>IFERROR(__xludf.DUMMYFUNCTION("""COMPUTED_VALUE"""),"レジンエンターテインメント")</f>
        <v>レジンエンターテインメント</v>
      </c>
      <c r="M1302" s="23">
        <f>IFERROR(__xludf.DUMMYFUNCTION("""COMPUTED_VALUE"""),45408.0)</f>
        <v>45408</v>
      </c>
      <c r="N1302" s="23">
        <f>IFERROR(__xludf.DUMMYFUNCTION("""COMPUTED_VALUE"""),45499.0)</f>
        <v>45499</v>
      </c>
      <c r="O1302" s="20"/>
      <c r="P1302" s="34" t="str">
        <f>IFERROR(__xludf.DUMMYFUNCTION("""COMPUTED_VALUE"""),"可")</f>
        <v>可</v>
      </c>
      <c r="Q1302" s="30" t="str">
        <f>IFERROR(__xludf.DUMMYFUNCTION("""COMPUTED_VALUE"""),"出稿コミット作品です。&lt;BR&gt;1～20巻目で制作お願い致します")</f>
        <v>出稿コミット作品です。&lt;BR&gt;1～20巻目で制作お願い致します</v>
      </c>
      <c r="R1302" s="31"/>
      <c r="S1302" s="31" t="str">
        <f>IFERROR(__xludf.DUMMYFUNCTION("""COMPUTED_VALUE"""),"20240322_レジンエンターテインメント_学校ではダメよ_教え子の母親は元カノだった")</f>
        <v>20240322_レジンエンターテインメント_学校ではダメよ_教え子の母親は元カノだった</v>
      </c>
      <c r="T1302" s="31" t="str">
        <f>IFERROR(__xludf.DUMMYFUNCTION("""COMPUTED_VALUE"""),"格納済み")</f>
        <v>格納済み</v>
      </c>
      <c r="U1302" s="15" t="str">
        <f>IFERROR(__xludf.DUMMYFUNCTION("""COMPUTED_VALUE"""),"ⓒchuhuni・samosa / レジンコミックス")</f>
        <v>ⓒchuhuni・samosa / レジンコミックス</v>
      </c>
      <c r="V1302" s="8" t="str">
        <f>IFERROR(__xludf.DUMMYFUNCTION("""COMPUTED_VALUE"""),"平凡だった3年間の教員生活に、波乱が訪れた!?同僚の肉食系女子であるヨヌ先生に誘われ、一夜を過ごすことになったギジュン。ただのハプニングで終わると思いきや、今度は保護者として来た元カノと、先生になった昔の教え子まで、ギジュンに積極的に迫ってきて…。｢こんなこと、学校ではイケません！｣")</f>
        <v>平凡だった3年間の教員生活に、波乱が訪れた!?同僚の肉食系女子であるヨヌ先生に誘われ、一夜を過ごすことになったギジュン。ただのハプニングで終わると思いきや、今度は保護者として来た元カノと、先生になった昔の教え子まで、ギジュンに積極的に迫ってきて…。｢こんなこと、学校ではイケません！｣</v>
      </c>
      <c r="W1302" s="14"/>
      <c r="X1302" s="14" t="str">
        <f>IFERROR(__xludf.DUMMYFUNCTION("""COMPUTED_VALUE"""),"有")</f>
        <v>有</v>
      </c>
      <c r="Y1302" s="8" t="str">
        <f>IFERROR(__xludf.DUMMYFUNCTION("""COMPUTED_VALUE"""),"1巻無料")</f>
        <v>1巻無料</v>
      </c>
      <c r="Z1302" s="7"/>
      <c r="AA1302" s="7"/>
      <c r="AB1302" s="7"/>
    </row>
    <row r="1303" ht="108.75" customHeight="1">
      <c r="A1303" s="26">
        <f>IFERROR(__xludf.DUMMYFUNCTION("""COMPUTED_VALUE"""),3137.0)</f>
        <v>3137</v>
      </c>
      <c r="B1303" s="31" t="str">
        <f>IFERROR(__xludf.DUMMYFUNCTION("""COMPUTED_VALUE"""),"確定")</f>
        <v>確定</v>
      </c>
      <c r="C1303" s="28">
        <f>IFERROR(__xludf.DUMMYFUNCTION("""COMPUTED_VALUE"""),45372.0)</f>
        <v>45372</v>
      </c>
      <c r="D1303" s="28">
        <f>IFERROR(__xludf.DUMMYFUNCTION("""COMPUTED_VALUE"""),45376.0)</f>
        <v>45376</v>
      </c>
      <c r="E1303" s="31">
        <f>IFERROR(__xludf.DUMMYFUNCTION("""COMPUTED_VALUE"""),291358.0)</f>
        <v>291358</v>
      </c>
      <c r="F1303" s="31" t="str">
        <f>IFERROR(__xludf.DUMMYFUNCTION("""COMPUTED_VALUE"""),"大阪～ワンナイトした彼女と再会してXXした俺～【タテヨミ】")</f>
        <v>大阪～ワンナイトした彼女と再会してXXした俺～【タテヨミ】</v>
      </c>
      <c r="G1303" s="53" t="str">
        <f>IFERROR(__xludf.DUMMYFUNCTION("""COMPUTED_VALUE"""),"1~40")</f>
        <v>1~40</v>
      </c>
      <c r="H1303" s="31" t="str">
        <f>IFERROR(__xludf.DUMMYFUNCTION("""COMPUTED_VALUE"""),"IO・right thinking")</f>
        <v>IO・right thinking</v>
      </c>
      <c r="I1303" s="31" t="str">
        <f>IFERROR(__xludf.DUMMYFUNCTION("""COMPUTED_VALUE"""),"青年")</f>
        <v>青年</v>
      </c>
      <c r="J1303" s="31"/>
      <c r="K1303" s="31"/>
      <c r="L1303" s="31" t="str">
        <f>IFERROR(__xludf.DUMMYFUNCTION("""COMPUTED_VALUE"""),"レジンエンターテインメント")</f>
        <v>レジンエンターテインメント</v>
      </c>
      <c r="M1303" s="23">
        <f>IFERROR(__xludf.DUMMYFUNCTION("""COMPUTED_VALUE"""),45415.0)</f>
        <v>45415</v>
      </c>
      <c r="N1303" s="23">
        <f>IFERROR(__xludf.DUMMYFUNCTION("""COMPUTED_VALUE"""),45568.66666666667)</f>
        <v>45568.66667</v>
      </c>
      <c r="O1303" s="20"/>
      <c r="P1303" s="34" t="str">
        <f>IFERROR(__xludf.DUMMYFUNCTION("""COMPUTED_VALUE"""),"可")</f>
        <v>可</v>
      </c>
      <c r="Q1303" s="30" t="str">
        <f>IFERROR(__xludf.DUMMYFUNCTION("""COMPUTED_VALUE"""),"出稿コミット作品です。&lt;BR&gt;1～20巻目で制作お願い致します")</f>
        <v>出稿コミット作品です。&lt;BR&gt;1～20巻目で制作お願い致します</v>
      </c>
      <c r="R1303" s="31"/>
      <c r="S1303" s="31" t="str">
        <f>IFERROR(__xludf.DUMMYFUNCTION("""COMPUTED_VALUE"""),"20240322_レジンエンターテインメント大阪_ワンナイトした彼女と再会してXXした俺")</f>
        <v>20240322_レジンエンターテインメント大阪_ワンナイトした彼女と再会してXXした俺</v>
      </c>
      <c r="T1303" s="31" t="str">
        <f>IFERROR(__xludf.DUMMYFUNCTION("""COMPUTED_VALUE"""),"格納済み")</f>
        <v>格納済み</v>
      </c>
      <c r="U1303" s="15" t="str">
        <f>IFERROR(__xludf.DUMMYFUNCTION("""COMPUTED_VALUE"""),"ⓒIO・right thinking / レジンコミックス")</f>
        <v>ⓒIO・right thinking / レジンコミックス</v>
      </c>
      <c r="V1303" s="8" t="str">
        <f>IFERROR(__xludf.DUMMYFUNCTION("""COMPUTED_VALUE"""),"パク・セジンは、高校時代の彼女と別れ、漠然と旅立った大阪で、同じく彼氏と別れたばかりの日本人、中島春と出会い、意気投合した二人はそのままワンナイトしてしまう…。今後もう会うことはないだろうと帰国し、大学の新入生コンパに参加したセジンは、どこかで見覚えのある顔を見つけて…!?")</f>
        <v>パク・セジンは、高校時代の彼女と別れ、漠然と旅立った大阪で、同じく彼氏と別れたばかりの日本人、中島春と出会い、意気投合した二人はそのままワンナイトしてしまう…。今後もう会うことはないだろうと帰国し、大学の新入生コンパに参加したセジンは、どこかで見覚えのある顔を見つけて…!?</v>
      </c>
      <c r="W1303" s="14"/>
      <c r="X1303" s="14" t="str">
        <f>IFERROR(__xludf.DUMMYFUNCTION("""COMPUTED_VALUE"""),"有")</f>
        <v>有</v>
      </c>
      <c r="Y1303" s="8" t="str">
        <f>IFERROR(__xludf.DUMMYFUNCTION("""COMPUTED_VALUE"""),"1巻無料")</f>
        <v>1巻無料</v>
      </c>
      <c r="Z1303" s="7"/>
      <c r="AA1303" s="7"/>
      <c r="AB1303" s="7"/>
    </row>
    <row r="1304" ht="15.75" customHeight="1">
      <c r="A1304" s="26">
        <f>IFERROR(__xludf.DUMMYFUNCTION("""COMPUTED_VALUE"""),3138.0)</f>
        <v>3138</v>
      </c>
      <c r="B1304" s="31" t="str">
        <f>IFERROR(__xludf.DUMMYFUNCTION("""COMPUTED_VALUE"""),"確定")</f>
        <v>確定</v>
      </c>
      <c r="C1304" s="28">
        <f>IFERROR(__xludf.DUMMYFUNCTION("""COMPUTED_VALUE"""),45372.0)</f>
        <v>45372</v>
      </c>
      <c r="D1304" s="28">
        <f>IFERROR(__xludf.DUMMYFUNCTION("""COMPUTED_VALUE"""),45376.0)</f>
        <v>45376</v>
      </c>
      <c r="E1304" s="31">
        <f>IFERROR(__xludf.DUMMYFUNCTION("""COMPUTED_VALUE"""),290083.0)</f>
        <v>290083</v>
      </c>
      <c r="F1304" s="31" t="str">
        <f>IFERROR(__xludf.DUMMYFUNCTION("""COMPUTED_VALUE"""),"人妻狩り〜欲求不満の若奥さんはドロ沼不倫中〜【タテヨミ】")</f>
        <v>人妻狩り〜欲求不満の若奥さんはドロ沼不倫中〜【タテヨミ】</v>
      </c>
      <c r="G1304" s="20" t="str">
        <f>IFERROR(__xludf.DUMMYFUNCTION("""COMPUTED_VALUE"""),"1~30")</f>
        <v>1~30</v>
      </c>
      <c r="H1304" s="31" t="str">
        <f>IFERROR(__xludf.DUMMYFUNCTION("""COMPUTED_VALUE"""),"happygra・jenny")</f>
        <v>happygra・jenny</v>
      </c>
      <c r="I1304" s="31" t="str">
        <f>IFERROR(__xludf.DUMMYFUNCTION("""COMPUTED_VALUE"""),"青年")</f>
        <v>青年</v>
      </c>
      <c r="J1304" s="31"/>
      <c r="K1304" s="31"/>
      <c r="L1304" s="31" t="str">
        <f>IFERROR(__xludf.DUMMYFUNCTION("""COMPUTED_VALUE"""),"レジンエンターテインメント")</f>
        <v>レジンエンターテインメント</v>
      </c>
      <c r="M1304" s="23">
        <f>IFERROR(__xludf.DUMMYFUNCTION("""COMPUTED_VALUE"""),45394.0)</f>
        <v>45394</v>
      </c>
      <c r="N1304" s="23">
        <f>IFERROR(__xludf.DUMMYFUNCTION("""COMPUTED_VALUE"""),45485.0)</f>
        <v>45485</v>
      </c>
      <c r="O1304" s="20"/>
      <c r="P1304" s="34" t="str">
        <f>IFERROR(__xludf.DUMMYFUNCTION("""COMPUTED_VALUE"""),"可")</f>
        <v>可</v>
      </c>
      <c r="Q1304" s="30" t="str">
        <f>IFERROR(__xludf.DUMMYFUNCTION("""COMPUTED_VALUE"""),"出稿コミット作品です。&lt;BR&gt;1～20巻目で制作お願い致します")</f>
        <v>出稿コミット作品です。&lt;BR&gt;1～20巻目で制作お願い致します</v>
      </c>
      <c r="R1304" s="31"/>
      <c r="S1304" s="31" t="str">
        <f>IFERROR(__xludf.DUMMYFUNCTION("""COMPUTED_VALUE"""),"20240322_レジンエンターテインメント_人妻狩り_欲求不満の若奥さんはドロ沼不倫中")</f>
        <v>20240322_レジンエンターテインメント_人妻狩り_欲求不満の若奥さんはドロ沼不倫中</v>
      </c>
      <c r="T1304" s="31" t="str">
        <f>IFERROR(__xludf.DUMMYFUNCTION("""COMPUTED_VALUE"""),"格納済み")</f>
        <v>格納済み</v>
      </c>
      <c r="U1304" s="15" t="str">
        <f>IFERROR(__xludf.DUMMYFUNCTION("""COMPUTED_VALUE"""),"ⓒhappygra・jenny / レジンコミックス")</f>
        <v>ⓒhappygra・jenny / レジンコミックス</v>
      </c>
      <c r="V1304" s="8" t="str">
        <f>IFERROR(__xludf.DUMMYFUNCTION("""COMPUTED_VALUE"""),"キッズカフェでアルバイトをすることになった萩原昴はある日、店を訪ねてきた若くて美しい女性・中林優梨に気を取られてしまう。しかし、彼女は子持ちの人妻であり、母親としての人生が退屈に感じていた。まだ女性でありたいと思う優梨と、そんな人妻に段々と引かれていく昴。許されざる関係だからこそ、より刺激的な禁断の恋。その行方は果たして、どうなっていくのだろうか!?")</f>
        <v>キッズカフェでアルバイトをすることになった萩原昴はある日、店を訪ねてきた若くて美しい女性・中林優梨に気を取られてしまう。しかし、彼女は子持ちの人妻であり、母親としての人生が退屈に感じていた。まだ女性でありたいと思う優梨と、そんな人妻に段々と引かれていく昴。許されざる関係だからこそ、より刺激的な禁断の恋。その行方は果たして、どうなっていくのだろうか!?</v>
      </c>
      <c r="W1304" s="14"/>
      <c r="X1304" s="14" t="str">
        <f>IFERROR(__xludf.DUMMYFUNCTION("""COMPUTED_VALUE"""),"有")</f>
        <v>有</v>
      </c>
      <c r="Y1304" s="8" t="str">
        <f>IFERROR(__xludf.DUMMYFUNCTION("""COMPUTED_VALUE"""),"1巻無料")</f>
        <v>1巻無料</v>
      </c>
      <c r="Z1304" s="7"/>
      <c r="AA1304" s="7"/>
      <c r="AB1304" s="7"/>
    </row>
    <row r="1305" ht="97.5" customHeight="1">
      <c r="A1305" s="26">
        <f>IFERROR(__xludf.DUMMYFUNCTION("""COMPUTED_VALUE"""),3139.0)</f>
        <v>3139</v>
      </c>
      <c r="B1305" s="31" t="str">
        <f>IFERROR(__xludf.DUMMYFUNCTION("""COMPUTED_VALUE"""),"確定")</f>
        <v>確定</v>
      </c>
      <c r="C1305" s="28">
        <f>IFERROR(__xludf.DUMMYFUNCTION("""COMPUTED_VALUE"""),45372.0)</f>
        <v>45372</v>
      </c>
      <c r="D1305" s="28">
        <f>IFERROR(__xludf.DUMMYFUNCTION("""COMPUTED_VALUE"""),45376.0)</f>
        <v>45376</v>
      </c>
      <c r="E1305" s="31">
        <f>IFERROR(__xludf.DUMMYFUNCTION("""COMPUTED_VALUE"""),291353.0)</f>
        <v>291353</v>
      </c>
      <c r="F1305" s="31" t="str">
        <f>IFERROR(__xludf.DUMMYFUNCTION("""COMPUTED_VALUE"""),"リベンジ〜復讐のためにヤるしかない!!〜【タテヨミ】")</f>
        <v>リベンジ〜復讐のためにヤるしかない!!〜【タテヨミ】</v>
      </c>
      <c r="G1305" s="20" t="str">
        <f>IFERROR(__xludf.DUMMYFUNCTION("""COMPUTED_VALUE"""),"1~30")</f>
        <v>1~30</v>
      </c>
      <c r="H1305" s="31" t="str">
        <f>IFERROR(__xludf.DUMMYFUNCTION("""COMPUTED_VALUE"""),"Dokta・gomsensei")</f>
        <v>Dokta・gomsensei</v>
      </c>
      <c r="I1305" s="31" t="str">
        <f>IFERROR(__xludf.DUMMYFUNCTION("""COMPUTED_VALUE"""),"青年")</f>
        <v>青年</v>
      </c>
      <c r="J1305" s="31"/>
      <c r="K1305" s="31"/>
      <c r="L1305" s="31" t="str">
        <f>IFERROR(__xludf.DUMMYFUNCTION("""COMPUTED_VALUE"""),"レジンエンターテインメント")</f>
        <v>レジンエンターテインメント</v>
      </c>
      <c r="M1305" s="23">
        <f>IFERROR(__xludf.DUMMYFUNCTION("""COMPUTED_VALUE"""),45408.0)</f>
        <v>45408</v>
      </c>
      <c r="N1305" s="23">
        <f>IFERROR(__xludf.DUMMYFUNCTION("""COMPUTED_VALUE"""),45499.0)</f>
        <v>45499</v>
      </c>
      <c r="O1305" s="20"/>
      <c r="P1305" s="34" t="str">
        <f>IFERROR(__xludf.DUMMYFUNCTION("""COMPUTED_VALUE"""),"可")</f>
        <v>可</v>
      </c>
      <c r="Q1305" s="30" t="str">
        <f>IFERROR(__xludf.DUMMYFUNCTION("""COMPUTED_VALUE"""),"出稿コミット作品です。&lt;BR&gt;1～20巻目で制作お願い致します")</f>
        <v>出稿コミット作品です。&lt;BR&gt;1～20巻目で制作お願い致します</v>
      </c>
      <c r="R1305" s="31"/>
      <c r="S1305" s="31" t="str">
        <f>IFERROR(__xludf.DUMMYFUNCTION("""COMPUTED_VALUE"""),"20240322_レジンエンターテインメント_リベンジ_復讐のためにヤるしかない")</f>
        <v>20240322_レジンエンターテインメント_リベンジ_復讐のためにヤるしかない</v>
      </c>
      <c r="T1305" s="31" t="str">
        <f>IFERROR(__xludf.DUMMYFUNCTION("""COMPUTED_VALUE"""),"格納済み")</f>
        <v>格納済み</v>
      </c>
      <c r="U1305" s="15" t="str">
        <f>IFERROR(__xludf.DUMMYFUNCTION("""COMPUTED_VALUE"""),"ⓒDokta・gomsensei / レジンコミックス")</f>
        <v>ⓒDokta・gomsensei / レジンコミックス</v>
      </c>
      <c r="V1305" s="8" t="str">
        <f>IFERROR(__xludf.DUMMYFUNCTION("""COMPUTED_VALUE"""),"富豪、大金持ち、勝ち組…その全てに該当していた父。そして、その父の息子である兄。そんな家族の養子になった僕は、兄が僕への興味を失ってもいつも感謝の気持ちを忘れないでいた。しかし、全てが変わったのは父が死んだその日。愛してた妻まで兄に取られた僕は、兄への復讐を誓う…。")</f>
        <v>富豪、大金持ち、勝ち組…その全てに該当していた父。そして、その父の息子である兄。そんな家族の養子になった僕は、兄が僕への興味を失ってもいつも感謝の気持ちを忘れないでいた。しかし、全てが変わったのは父が死んだその日。愛してた妻まで兄に取られた僕は、兄への復讐を誓う…。</v>
      </c>
      <c r="W1305" s="14"/>
      <c r="X1305" s="14" t="str">
        <f>IFERROR(__xludf.DUMMYFUNCTION("""COMPUTED_VALUE"""),"有")</f>
        <v>有</v>
      </c>
      <c r="Y1305" s="8" t="str">
        <f>IFERROR(__xludf.DUMMYFUNCTION("""COMPUTED_VALUE"""),"1巻無料")</f>
        <v>1巻無料</v>
      </c>
      <c r="Z1305" s="7"/>
      <c r="AA1305" s="7"/>
      <c r="AB1305" s="7"/>
    </row>
    <row r="1306" ht="114.75" customHeight="1">
      <c r="A1306" s="26">
        <f>IFERROR(__xludf.DUMMYFUNCTION("""COMPUTED_VALUE"""),3140.0)</f>
        <v>3140</v>
      </c>
      <c r="B1306" s="31" t="str">
        <f>IFERROR(__xludf.DUMMYFUNCTION("""COMPUTED_VALUE"""),"確定")</f>
        <v>確定</v>
      </c>
      <c r="C1306" s="28">
        <f>IFERROR(__xludf.DUMMYFUNCTION("""COMPUTED_VALUE"""),45372.0)</f>
        <v>45372</v>
      </c>
      <c r="D1306" s="28">
        <f>IFERROR(__xludf.DUMMYFUNCTION("""COMPUTED_VALUE"""),45376.0)</f>
        <v>45376</v>
      </c>
      <c r="E1306" s="31">
        <f>IFERROR(__xludf.DUMMYFUNCTION("""COMPUTED_VALUE"""),291357.0)</f>
        <v>291357</v>
      </c>
      <c r="F1306" s="31" t="str">
        <f>IFERROR(__xludf.DUMMYFUNCTION("""COMPUTED_VALUE"""),"My Sweet Family〜人には言えない淫らな家庭事情〜【タテヨミ】")</f>
        <v>My Sweet Family〜人には言えない淫らな家庭事情〜【タテヨミ】</v>
      </c>
      <c r="G1306" s="20" t="str">
        <f>IFERROR(__xludf.DUMMYFUNCTION("""COMPUTED_VALUE"""),"1～14")</f>
        <v>1～14</v>
      </c>
      <c r="H1306" s="31" t="str">
        <f>IFERROR(__xludf.DUMMYFUNCTION("""COMPUTED_VALUE"""),"parkkoon・boohyun")</f>
        <v>parkkoon・boohyun</v>
      </c>
      <c r="I1306" s="31" t="str">
        <f>IFERROR(__xludf.DUMMYFUNCTION("""COMPUTED_VALUE"""),"青年")</f>
        <v>青年</v>
      </c>
      <c r="J1306" s="31"/>
      <c r="K1306" s="31"/>
      <c r="L1306" s="31" t="str">
        <f>IFERROR(__xludf.DUMMYFUNCTION("""COMPUTED_VALUE"""),"レジンエンターテインメント")</f>
        <v>レジンエンターテインメント</v>
      </c>
      <c r="M1306" s="23">
        <f>IFERROR(__xludf.DUMMYFUNCTION("""COMPUTED_VALUE"""),45409.0)</f>
        <v>45409</v>
      </c>
      <c r="N1306" s="23">
        <f>IFERROR(__xludf.DUMMYFUNCTION("""COMPUTED_VALUE"""),45500.0)</f>
        <v>45500</v>
      </c>
      <c r="O1306" s="20"/>
      <c r="P1306" s="34" t="str">
        <f>IFERROR(__xludf.DUMMYFUNCTION("""COMPUTED_VALUE"""),"可")</f>
        <v>可</v>
      </c>
      <c r="Q1306" s="30" t="str">
        <f>IFERROR(__xludf.DUMMYFUNCTION("""COMPUTED_VALUE"""),"出稿コミット作品です。")</f>
        <v>出稿コミット作品です。</v>
      </c>
      <c r="R1306" s="31"/>
      <c r="S1306" s="31" t="str">
        <f>IFERROR(__xludf.DUMMYFUNCTION("""COMPUTED_VALUE"""),"20240322_レジンエンターテインメント_My Sweet Family_人には言えない淫らな家庭事情")</f>
        <v>20240322_レジンエンターテインメント_My Sweet Family_人には言えない淫らな家庭事情</v>
      </c>
      <c r="T1306" s="31" t="str">
        <f>IFERROR(__xludf.DUMMYFUNCTION("""COMPUTED_VALUE"""),"格納済み")</f>
        <v>格納済み</v>
      </c>
      <c r="U1306" s="15" t="str">
        <f>IFERROR(__xludf.DUMMYFUNCTION("""COMPUTED_VALUE"""),"ⓒparkkoon・boohyun / レジンコミックス")</f>
        <v>ⓒparkkoon・boohyun / レジンコミックス</v>
      </c>
      <c r="V1306" s="8" t="str">
        <f>IFERROR(__xludf.DUMMYFUNCTION("""COMPUTED_VALUE"""),"定職にも就かず、彼女のヒモになって2年目の須藤拓哉。ある日、彼女の出張中にこっそり遊びに行ったクラブで、義姉である宮根綾香の秘密を知ってしまうことになる。義姉からの密かな提案に、クラブでのことは2人だけの秘密にしようとしていた拓哉だったが、偶然彼女にバレてしまい…。次第にこじれていく家族たちの運命やいかに…!?")</f>
        <v>定職にも就かず、彼女のヒモになって2年目の須藤拓哉。ある日、彼女の出張中にこっそり遊びに行ったクラブで、義姉である宮根綾香の秘密を知ってしまうことになる。義姉からの密かな提案に、クラブでのことは2人だけの秘密にしようとしていた拓哉だったが、偶然彼女にバレてしまい…。次第にこじれていく家族たちの運命やいかに…!?</v>
      </c>
      <c r="W1306" s="14"/>
      <c r="X1306" s="14" t="str">
        <f>IFERROR(__xludf.DUMMYFUNCTION("""COMPUTED_VALUE"""),"有")</f>
        <v>有</v>
      </c>
      <c r="Y1306" s="8" t="str">
        <f>IFERROR(__xludf.DUMMYFUNCTION("""COMPUTED_VALUE"""),"1巻無料")</f>
        <v>1巻無料</v>
      </c>
      <c r="Z1306" s="7"/>
      <c r="AA1306" s="7"/>
      <c r="AB1306" s="7"/>
    </row>
    <row r="1307" ht="15.75" customHeight="1">
      <c r="A1307" s="26">
        <f>IFERROR(__xludf.DUMMYFUNCTION("""COMPUTED_VALUE"""),3141.0)</f>
        <v>3141</v>
      </c>
      <c r="B1307" s="31" t="str">
        <f>IFERROR(__xludf.DUMMYFUNCTION("""COMPUTED_VALUE"""),"確定")</f>
        <v>確定</v>
      </c>
      <c r="C1307" s="28">
        <f>IFERROR(__xludf.DUMMYFUNCTION("""COMPUTED_VALUE"""),45372.0)</f>
        <v>45372</v>
      </c>
      <c r="D1307" s="28">
        <f>IFERROR(__xludf.DUMMYFUNCTION("""COMPUTED_VALUE"""),45376.0)</f>
        <v>45376</v>
      </c>
      <c r="E1307" s="31">
        <f>IFERROR(__xludf.DUMMYFUNCTION("""COMPUTED_VALUE"""),289095.0)</f>
        <v>289095</v>
      </c>
      <c r="F1307" s="31" t="str">
        <f>IFERROR(__xludf.DUMMYFUNCTION("""COMPUTED_VALUE"""),"魔王がもう倒されてた世界に転生した俺～勇者を称える世界で俺だけが真実を知っている～【タテヨミ】")</f>
        <v>魔王がもう倒されてた世界に転生した俺～勇者を称える世界で俺だけが真実を知っている～【タテヨミ】</v>
      </c>
      <c r="G1307" s="11" t="str">
        <f>IFERROR(__xludf.DUMMYFUNCTION("""COMPUTED_VALUE"""),"1～8")</f>
        <v>1～8</v>
      </c>
      <c r="H1307" s="31" t="str">
        <f>IFERROR(__xludf.DUMMYFUNCTION("""COMPUTED_VALUE"""),"原作：伊勢ともか 作画：青海（TOKIFUDE） 着彩：MCW")</f>
        <v>原作：伊勢ともか 作画：青海（TOKIFUDE） 着彩：MCW</v>
      </c>
      <c r="I1307" s="31" t="str">
        <f>IFERROR(__xludf.DUMMYFUNCTION("""COMPUTED_VALUE"""),"青年")</f>
        <v>青年</v>
      </c>
      <c r="J1307" s="31"/>
      <c r="K1307" s="31"/>
      <c r="L1307" s="31" t="str">
        <f>IFERROR(__xludf.DUMMYFUNCTION("""COMPUTED_VALUE"""),"白泉社")</f>
        <v>白泉社</v>
      </c>
      <c r="M1307" s="23">
        <f>IFERROR(__xludf.DUMMYFUNCTION("""COMPUTED_VALUE"""),45383.0)</f>
        <v>45383</v>
      </c>
      <c r="N1307" s="23">
        <f>IFERROR(__xludf.DUMMYFUNCTION("""COMPUTED_VALUE"""),45564.0)</f>
        <v>45564</v>
      </c>
      <c r="O1307" s="20"/>
      <c r="P1307" s="34" t="str">
        <f>IFERROR(__xludf.DUMMYFUNCTION("""COMPUTED_VALUE"""),"否")</f>
        <v>否</v>
      </c>
      <c r="Q1307" s="30" t="str">
        <f>IFERROR(__xludf.DUMMYFUNCTION("""COMPUTED_VALUE"""),"協業作品です（協業ですがタワマン同様『ヤングアニマル』レーベルです）")</f>
        <v>協業作品です（協業ですがタワマン同様『ヤングアニマル』レーベルです）</v>
      </c>
      <c r="R1307" s="31"/>
      <c r="S1307" s="31" t="str">
        <f>IFERROR(__xludf.DUMMYFUNCTION("""COMPUTED_VALUE"""),"20240321_白泉社_魔王がもう倒されてた世界に転生した俺")</f>
        <v>20240321_白泉社_魔王がもう倒されてた世界に転生した俺</v>
      </c>
      <c r="T1307" s="31" t="str">
        <f>IFERROR(__xludf.DUMMYFUNCTION("""COMPUTED_VALUE"""),"格納済み")</f>
        <v>格納済み</v>
      </c>
      <c r="U1307" s="15" t="str">
        <f>IFERROR(__xludf.DUMMYFUNCTION("""COMPUTED_VALUE"""),"(c)伊勢ともか・青海・MCW／白泉社")</f>
        <v>(c)伊勢ともか・青海・MCW／白泉社</v>
      </c>
      <c r="V1307" s="8" t="str">
        <f>IFERROR(__xludf.DUMMYFUNCTION("""COMPUTED_VALUE"""),"(第1話)ブラック企業勤務の会社員から、勇者として異世界に転生した浦 伊吹。前世では上手くいかないことだらけだったから今度こそ…と使命感に燃えるイブキだが、イブキの召喚と入れ違いで別の勇者が既に魔王を倒したという事実を告げられ、途方に暮れることに…。そんな中、転生者として身についた「対象のステータスを見ることができる」というスキルによって、英雄と称えられている勇者の恐るべき秘密を知ってしまい――!?")</f>
        <v>(第1話)ブラック企業勤務の会社員から、勇者として異世界に転生した浦 伊吹。前世では上手くいかないことだらけだったから今度こそ…と使命感に燃えるイブキだが、イブキの召喚と入れ違いで別の勇者が既に魔王を倒したという事実を告げられ、途方に暮れることに…。そんな中、転生者として身についた「対象のステータスを見ることができる」というスキルによって、英雄と称えられている勇者の恐るべき秘密を知ってしまい――!?</v>
      </c>
      <c r="W1307" s="14"/>
      <c r="X1307" s="14" t="str">
        <f>IFERROR(__xludf.DUMMYFUNCTION("""COMPUTED_VALUE"""),"有")</f>
        <v>有</v>
      </c>
      <c r="Y1307" s="8" t="str">
        <f>IFERROR(__xludf.DUMMYFUNCTION("""COMPUTED_VALUE"""),"3巻無料")</f>
        <v>3巻無料</v>
      </c>
      <c r="Z1307" s="7"/>
      <c r="AA1307" s="7"/>
      <c r="AB1307" s="7"/>
    </row>
    <row r="1308" ht="15.75" customHeight="1">
      <c r="A1308" s="26">
        <f>IFERROR(__xludf.DUMMYFUNCTION("""COMPUTED_VALUE"""),3142.0)</f>
        <v>3142</v>
      </c>
      <c r="B1308" s="31" t="str">
        <f>IFERROR(__xludf.DUMMYFUNCTION("""COMPUTED_VALUE"""),"確定")</f>
        <v>確定</v>
      </c>
      <c r="C1308" s="28">
        <f>IFERROR(__xludf.DUMMYFUNCTION("""COMPUTED_VALUE"""),45372.0)</f>
        <v>45372</v>
      </c>
      <c r="D1308" s="28">
        <f>IFERROR(__xludf.DUMMYFUNCTION("""COMPUTED_VALUE"""),45377.0)</f>
        <v>45377</v>
      </c>
      <c r="E1308" s="31">
        <f>IFERROR(__xludf.DUMMYFUNCTION("""COMPUTED_VALUE"""),291067.0)</f>
        <v>291067</v>
      </c>
      <c r="F1308" s="31" t="str">
        <f>IFERROR(__xludf.DUMMYFUNCTION("""COMPUTED_VALUE"""),"ロマンスは柳の木から【タテヨミ】")</f>
        <v>ロマンスは柳の木から【タテヨミ】</v>
      </c>
      <c r="G1308" s="16" t="str">
        <f>IFERROR(__xludf.DUMMYFUNCTION("""COMPUTED_VALUE"""),"1～20")</f>
        <v>1～20</v>
      </c>
      <c r="H1308" s="31" t="str">
        <f>IFERROR(__xludf.DUMMYFUNCTION("""COMPUTED_VALUE"""),"sue┴MOSCARETO")</f>
        <v>sue┴MOSCARETO</v>
      </c>
      <c r="I1308" s="31" t="str">
        <f>IFERROR(__xludf.DUMMYFUNCTION("""COMPUTED_VALUE"""),"BL")</f>
        <v>BL</v>
      </c>
      <c r="J1308" s="31"/>
      <c r="K1308" s="31"/>
      <c r="L1308" s="31" t="str">
        <f>IFERROR(__xludf.DUMMYFUNCTION("""COMPUTED_VALUE"""),"Manta Comics")</f>
        <v>Manta Comics</v>
      </c>
      <c r="M1308" s="23">
        <f>IFERROR(__xludf.DUMMYFUNCTION("""COMPUTED_VALUE"""),45394.0)</f>
        <v>45394</v>
      </c>
      <c r="N1308" s="23">
        <f>IFERROR(__xludf.DUMMYFUNCTION("""COMPUTED_VALUE"""),45484.0)</f>
        <v>45484</v>
      </c>
      <c r="O1308" s="20"/>
      <c r="P1308" s="34" t="str">
        <f>IFERROR(__xludf.DUMMYFUNCTION("""COMPUTED_VALUE"""),"可")</f>
        <v>可</v>
      </c>
      <c r="Q1308" s="30" t="str">
        <f>IFERROR(__xludf.DUMMYFUNCTION("""COMPUTED_VALUE"""),"1～20巻まで使用OK")</f>
        <v>1～20巻まで使用OK</v>
      </c>
      <c r="R1308" s="31"/>
      <c r="S1308" s="31" t="str">
        <f>IFERROR(__xludf.DUMMYFUNCTION("""COMPUTED_VALUE"""),"20240321_RIDI_4月新作")</f>
        <v>20240321_RIDI_4月新作</v>
      </c>
      <c r="T1308" s="31" t="str">
        <f>IFERROR(__xludf.DUMMYFUNCTION("""COMPUTED_VALUE"""),"格納済み")</f>
        <v>格納済み</v>
      </c>
      <c r="U1308" s="15" t="str">
        <f>IFERROR(__xludf.DUMMYFUNCTION("""COMPUTED_VALUE"""),"©sue&amp;MOSCARETO / Manta Comics")</f>
        <v>©sue&amp;MOSCARETO / Manta Comics</v>
      </c>
      <c r="V1308" s="8" t="str">
        <f>IFERROR(__xludf.DUMMYFUNCTION("""COMPUTED_VALUE"""),"生物学的な男女の区別とは別に、オメガとアルファという特異体質のある世界。しかし、その出現は特にアジアでは稀なものだった。その中で「アルファ」として生まれた第二皇子イ・ロク。その婚約者として選ばれたのは条東製薬の病弱な末息子で「オメガ」とされるハン・サンユルだった。しかしサンユルの正体は、幼少期にとあるオメガから買い取られ、一般体質の彼を薬物でオメガのように変質させるためのモルモットとして実験室で育てられた条東製薬が目論む計略の駒だった。そんな中、初めて人として優しく扱ってくれるイ・ロクと出会い、「普通の人"&amp;"の暮らし」に興味を持つようになる。徐々に皇子との関係も深まっていくにつれて、自らの正体を明かすことを許されないサンユルは罪悪感に苛まれることになるが…。")</f>
        <v>生物学的な男女の区別とは別に、オメガとアルファという特異体質のある世界。しかし、その出現は特にアジアでは稀なものだった。その中で「アルファ」として生まれた第二皇子イ・ロク。その婚約者として選ばれたのは条東製薬の病弱な末息子で「オメガ」とされるハン・サンユルだった。しかしサンユルの正体は、幼少期にとあるオメガから買い取られ、一般体質の彼を薬物でオメガのように変質させるためのモルモットとして実験室で育てられた条東製薬が目論む計略の駒だった。そんな中、初めて人として優しく扱ってくれるイ・ロクと出会い、「普通の人の暮らし」に興味を持つようになる。徐々に皇子との関係も深まっていくにつれて、自らの正体を明かすことを許されないサンユルは罪悪感に苛まれることになるが…。</v>
      </c>
      <c r="W1308" s="14"/>
      <c r="X1308" s="8" t="str">
        <f>IFERROR(__xludf.DUMMYFUNCTION("""COMPUTED_VALUE"""),"無")</f>
        <v>無</v>
      </c>
      <c r="Y1308" s="8"/>
      <c r="Z1308" s="7"/>
      <c r="AA1308" s="7"/>
      <c r="AB1308" s="7"/>
    </row>
    <row r="1309" ht="15.75" customHeight="1">
      <c r="A1309" s="26">
        <f>IFERROR(__xludf.DUMMYFUNCTION("""COMPUTED_VALUE"""),3143.0)</f>
        <v>3143</v>
      </c>
      <c r="B1309" s="31" t="str">
        <f>IFERROR(__xludf.DUMMYFUNCTION("""COMPUTED_VALUE"""),"確定")</f>
        <v>確定</v>
      </c>
      <c r="C1309" s="28">
        <f>IFERROR(__xludf.DUMMYFUNCTION("""COMPUTED_VALUE"""),45372.0)</f>
        <v>45372</v>
      </c>
      <c r="D1309" s="28">
        <f>IFERROR(__xludf.DUMMYFUNCTION("""COMPUTED_VALUE"""),45377.0)</f>
        <v>45377</v>
      </c>
      <c r="E1309" s="31">
        <f>IFERROR(__xludf.DUMMYFUNCTION("""COMPUTED_VALUE"""),291305.0)</f>
        <v>291305</v>
      </c>
      <c r="F1309" s="31" t="str">
        <f>IFERROR(__xludf.DUMMYFUNCTION("""COMPUTED_VALUE"""),"記憶の片隅【タテコミ】")</f>
        <v>記憶の片隅【タテコミ】</v>
      </c>
      <c r="G1309" s="20" t="str">
        <f>IFERROR(__xludf.DUMMYFUNCTION("""COMPUTED_VALUE"""),"1～21")</f>
        <v>1～21</v>
      </c>
      <c r="H1309" s="31" t="str">
        <f>IFERROR(__xludf.DUMMYFUNCTION("""COMPUTED_VALUE"""),"Deulsum┴2coin")</f>
        <v>Deulsum┴2coin</v>
      </c>
      <c r="I1309" s="31" t="str">
        <f>IFERROR(__xludf.DUMMYFUNCTION("""COMPUTED_VALUE"""),"BL")</f>
        <v>BL</v>
      </c>
      <c r="J1309" s="31"/>
      <c r="K1309" s="31"/>
      <c r="L1309" s="31" t="str">
        <f>IFERROR(__xludf.DUMMYFUNCTION("""COMPUTED_VALUE"""),"Manta Comics")</f>
        <v>Manta Comics</v>
      </c>
      <c r="M1309" s="23">
        <f>IFERROR(__xludf.DUMMYFUNCTION("""COMPUTED_VALUE"""),45394.0)</f>
        <v>45394</v>
      </c>
      <c r="N1309" s="23">
        <f>IFERROR(__xludf.DUMMYFUNCTION("""COMPUTED_VALUE"""),45484.0)</f>
        <v>45484</v>
      </c>
      <c r="O1309" s="20"/>
      <c r="P1309" s="34" t="str">
        <f>IFERROR(__xludf.DUMMYFUNCTION("""COMPUTED_VALUE"""),"可")</f>
        <v>可</v>
      </c>
      <c r="Q1309" s="30" t="str">
        <f>IFERROR(__xludf.DUMMYFUNCTION("""COMPUTED_VALUE"""),"1～21巻まで使用OK")</f>
        <v>1～21巻まで使用OK</v>
      </c>
      <c r="R1309" s="31"/>
      <c r="S1309" s="31" t="str">
        <f>IFERROR(__xludf.DUMMYFUNCTION("""COMPUTED_VALUE"""),"20240321_RIDI_4月新作")</f>
        <v>20240321_RIDI_4月新作</v>
      </c>
      <c r="T1309" s="31" t="str">
        <f>IFERROR(__xludf.DUMMYFUNCTION("""COMPUTED_VALUE"""),"格納済み")</f>
        <v>格納済み</v>
      </c>
      <c r="U1309" s="15" t="str">
        <f>IFERROR(__xludf.DUMMYFUNCTION("""COMPUTED_VALUE"""),"©️Deulsum&amp;2coin / Manta Comics")</f>
        <v>©️Deulsum&amp;2coin / Manta Comics</v>
      </c>
      <c r="V1309" s="8" t="str">
        <f>IFERROR(__xludf.DUMMYFUNCTION("""COMPUTED_VALUE"""),"母親の治療費を稼ぐために苦労してきたイ・ハギョンのもとにある男が訪ねて来て、奇妙な提案を受ける。自分の生い先短い父親のために女装をして恩人の孫娘のふりをしてくれというのだ。もしその父親を数ヶ月の間騙すことができれば、高額な母親の治療費も入院先も手配するという提案にハギョンは戸惑いながらも了承する。その恩人の隣人として幼少期を過ごしたハギョンは、男の父親に孫娘だと信じ込ませることに成功。このまま順調に恩人の孫娘として数ヶ月を過ごし、無事報酬を得られると思っていた。真実を知る男の息子・ユンソンが登場するまでは"&amp;"。７年後、バーで働くハギョンは聞き慣れたユンソンという名前を聞くが、ありふれた名前だと聞き流そうとする。しかしある日、その男に出会ってしまった。ハギョンが騙さなければならなかった、そして捨てるしかなかった…ユンソンに。過去と現在が交錯する、初夏の薫風が流れ込んでくるような純愛物語。")</f>
        <v>母親の治療費を稼ぐために苦労してきたイ・ハギョンのもとにある男が訪ねて来て、奇妙な提案を受ける。自分の生い先短い父親のために女装をして恩人の孫娘のふりをしてくれというのだ。もしその父親を数ヶ月の間騙すことができれば、高額な母親の治療費も入院先も手配するという提案にハギョンは戸惑いながらも了承する。その恩人の隣人として幼少期を過ごしたハギョンは、男の父親に孫娘だと信じ込ませることに成功。このまま順調に恩人の孫娘として数ヶ月を過ごし、無事報酬を得られると思っていた。真実を知る男の息子・ユンソンが登場するまでは。７年後、バーで働くハギョンは聞き慣れたユンソンという名前を聞くが、ありふれた名前だと聞き流そうとする。しかしある日、その男に出会ってしまった。ハギョンが騙さなければならなかった、そして捨てるしかなかった…ユンソンに。過去と現在が交錯する、初夏の薫風が流れ込んでくるような純愛物語。</v>
      </c>
      <c r="W1309" s="14"/>
      <c r="X1309" s="8" t="str">
        <f>IFERROR(__xludf.DUMMYFUNCTION("""COMPUTED_VALUE"""),"無")</f>
        <v>無</v>
      </c>
      <c r="Y1309" s="8"/>
      <c r="Z1309" s="7"/>
      <c r="AA1309" s="7"/>
      <c r="AB1309" s="7"/>
    </row>
    <row r="1310" ht="15.75" customHeight="1">
      <c r="A1310" s="26">
        <f>IFERROR(__xludf.DUMMYFUNCTION("""COMPUTED_VALUE"""),3144.0)</f>
        <v>3144</v>
      </c>
      <c r="B1310" s="31" t="str">
        <f>IFERROR(__xludf.DUMMYFUNCTION("""COMPUTED_VALUE"""),"確定")</f>
        <v>確定</v>
      </c>
      <c r="C1310" s="28">
        <f>IFERROR(__xludf.DUMMYFUNCTION("""COMPUTED_VALUE"""),45372.0)</f>
        <v>45372</v>
      </c>
      <c r="D1310" s="28">
        <f>IFERROR(__xludf.DUMMYFUNCTION("""COMPUTED_VALUE"""),45377.0)</f>
        <v>45377</v>
      </c>
      <c r="E1310" s="31">
        <f>IFERROR(__xludf.DUMMYFUNCTION("""COMPUTED_VALUE"""),291307.0)</f>
        <v>291307</v>
      </c>
      <c r="F1310" s="31" t="str">
        <f>IFERROR(__xludf.DUMMYFUNCTION("""COMPUTED_VALUE"""),"坊ちゃまと私～男性秘書の秘め事～【タテコミ】")</f>
        <v>坊ちゃまと私～男性秘書の秘め事～【タテコミ】</v>
      </c>
      <c r="G1310" s="20" t="str">
        <f>IFERROR(__xludf.DUMMYFUNCTION("""COMPUTED_VALUE"""),"1～4")</f>
        <v>1～4</v>
      </c>
      <c r="H1310" s="31" t="str">
        <f>IFERROR(__xludf.DUMMYFUNCTION("""COMPUTED_VALUE"""),"INGZIG")</f>
        <v>INGZIG</v>
      </c>
      <c r="I1310" s="31" t="str">
        <f>IFERROR(__xludf.DUMMYFUNCTION("""COMPUTED_VALUE"""),"BL")</f>
        <v>BL</v>
      </c>
      <c r="J1310" s="31"/>
      <c r="K1310" s="31"/>
      <c r="L1310" s="31" t="str">
        <f>IFERROR(__xludf.DUMMYFUNCTION("""COMPUTED_VALUE"""),"Manta Comics")</f>
        <v>Manta Comics</v>
      </c>
      <c r="M1310" s="23">
        <f>IFERROR(__xludf.DUMMYFUNCTION("""COMPUTED_VALUE"""),45394.0)</f>
        <v>45394</v>
      </c>
      <c r="N1310" s="23">
        <f>IFERROR(__xludf.DUMMYFUNCTION("""COMPUTED_VALUE"""),45484.0)</f>
        <v>45484</v>
      </c>
      <c r="O1310" s="20"/>
      <c r="P1310" s="32" t="str">
        <f>IFERROR(__xludf.DUMMYFUNCTION("""COMPUTED_VALUE"""),"可")</f>
        <v>可</v>
      </c>
      <c r="Q1310" s="30"/>
      <c r="R1310" s="31"/>
      <c r="S1310" s="31" t="str">
        <f>IFERROR(__xludf.DUMMYFUNCTION("""COMPUTED_VALUE"""),"20240321_RIDI_4月新作")</f>
        <v>20240321_RIDI_4月新作</v>
      </c>
      <c r="T1310" s="31" t="str">
        <f>IFERROR(__xludf.DUMMYFUNCTION("""COMPUTED_VALUE"""),"格納済み")</f>
        <v>格納済み</v>
      </c>
      <c r="U1310" s="15" t="str">
        <f>IFERROR(__xludf.DUMMYFUNCTION("""COMPUTED_VALUE"""),"©️INGZIG / Manta Comics")</f>
        <v>©️INGZIG / Manta Comics</v>
      </c>
      <c r="V1310" s="8" t="str">
        <f>IFERROR(__xludf.DUMMYFUNCTION("""COMPUTED_VALUE"""),"「ぼ、坊ちゃま！！ 取引先のビルの前ですよ…！」「濃いですね。ずっと我慢してたんですか？」容姿端麗で品位に溢れた坊ちゃまと幼い頃から彼に仕えてきた男性秘書のハン。それが表向きの二人の関係…。しかし、彼らには誰にも言えない秘密があった。坊ちゃまの行動が次第にエスカレートする中、夜ホテルに来るよう告げられたハン秘書は、別れ際にあるものをプレゼントされる。「絶対に付けてきてくださいね^^」渡された“ソレ”と同じくらい顔を赤らめるハン秘書。戸惑いを隠せないまま、約束の場所へと向かう。やがて降りしきる雨のなか、つい"&amp;"に二人だけの特別な夜が始まるのだが…。")</f>
        <v>「ぼ、坊ちゃま！！ 取引先のビルの前ですよ…！」「濃いですね。ずっと我慢してたんですか？」容姿端麗で品位に溢れた坊ちゃまと幼い頃から彼に仕えてきた男性秘書のハン。それが表向きの二人の関係…。しかし、彼らには誰にも言えない秘密があった。坊ちゃまの行動が次第にエスカレートする中、夜ホテルに来るよう告げられたハン秘書は、別れ際にあるものをプレゼントされる。「絶対に付けてきてくださいね^^」渡された“ソレ”と同じくらい顔を赤らめるハン秘書。戸惑いを隠せないまま、約束の場所へと向かう。やがて降りしきる雨のなか、ついに二人だけの特別な夜が始まるのだが…。</v>
      </c>
      <c r="W1310" s="14"/>
      <c r="X1310" s="8" t="str">
        <f>IFERROR(__xludf.DUMMYFUNCTION("""COMPUTED_VALUE"""),"無")</f>
        <v>無</v>
      </c>
      <c r="Y1310" s="8"/>
      <c r="Z1310" s="7"/>
      <c r="AA1310" s="7"/>
      <c r="AB1310" s="7"/>
    </row>
    <row r="1311" ht="15.75" customHeight="1">
      <c r="A1311" s="26">
        <f>IFERROR(__xludf.DUMMYFUNCTION("""COMPUTED_VALUE"""),3145.0)</f>
        <v>3145</v>
      </c>
      <c r="B1311" s="31" t="str">
        <f>IFERROR(__xludf.DUMMYFUNCTION("""COMPUTED_VALUE"""),"確定")</f>
        <v>確定</v>
      </c>
      <c r="C1311" s="28">
        <f>IFERROR(__xludf.DUMMYFUNCTION("""COMPUTED_VALUE"""),45372.0)</f>
        <v>45372</v>
      </c>
      <c r="D1311" s="28">
        <f>IFERROR(__xludf.DUMMYFUNCTION("""COMPUTED_VALUE"""),45377.0)</f>
        <v>45377</v>
      </c>
      <c r="E1311" s="31">
        <f>IFERROR(__xludf.DUMMYFUNCTION("""COMPUTED_VALUE"""),291308.0)</f>
        <v>291308</v>
      </c>
      <c r="F1311" s="31" t="str">
        <f>IFERROR(__xludf.DUMMYFUNCTION("""COMPUTED_VALUE"""),"異形な彼【タテコミ】")</f>
        <v>異形な彼【タテコミ】</v>
      </c>
      <c r="G1311" s="16" t="str">
        <f>IFERROR(__xludf.DUMMYFUNCTION("""COMPUTED_VALUE"""),"1～20")</f>
        <v>1～20</v>
      </c>
      <c r="H1311" s="31" t="str">
        <f>IFERROR(__xludf.DUMMYFUNCTION("""COMPUTED_VALUE"""),"10min")</f>
        <v>10min</v>
      </c>
      <c r="I1311" s="31" t="str">
        <f>IFERROR(__xludf.DUMMYFUNCTION("""COMPUTED_VALUE"""),"BL")</f>
        <v>BL</v>
      </c>
      <c r="J1311" s="31"/>
      <c r="K1311" s="31"/>
      <c r="L1311" s="31" t="str">
        <f>IFERROR(__xludf.DUMMYFUNCTION("""COMPUTED_VALUE"""),"Manta Comics")</f>
        <v>Manta Comics</v>
      </c>
      <c r="M1311" s="23">
        <f>IFERROR(__xludf.DUMMYFUNCTION("""COMPUTED_VALUE"""),45394.0)</f>
        <v>45394</v>
      </c>
      <c r="N1311" s="23">
        <f>IFERROR(__xludf.DUMMYFUNCTION("""COMPUTED_VALUE"""),45484.0)</f>
        <v>45484</v>
      </c>
      <c r="O1311" s="20"/>
      <c r="P1311" s="34" t="str">
        <f>IFERROR(__xludf.DUMMYFUNCTION("""COMPUTED_VALUE"""),"可")</f>
        <v>可</v>
      </c>
      <c r="Q1311" s="30" t="str">
        <f>IFERROR(__xludf.DUMMYFUNCTION("""COMPUTED_VALUE"""),"1～20巻まで使用OK")</f>
        <v>1～20巻まで使用OK</v>
      </c>
      <c r="R1311" s="31"/>
      <c r="S1311" s="31" t="str">
        <f>IFERROR(__xludf.DUMMYFUNCTION("""COMPUTED_VALUE"""),"20240321_RIDI_4月新作")</f>
        <v>20240321_RIDI_4月新作</v>
      </c>
      <c r="T1311" s="31" t="str">
        <f>IFERROR(__xludf.DUMMYFUNCTION("""COMPUTED_VALUE"""),"格納済み")</f>
        <v>格納済み</v>
      </c>
      <c r="U1311" s="15" t="str">
        <f>IFERROR(__xludf.DUMMYFUNCTION("""COMPUTED_VALUE"""),"©️10min / Manta Comics")</f>
        <v>©️10min / Manta Comics</v>
      </c>
      <c r="V1311" s="8" t="str">
        <f>IFERROR(__xludf.DUMMYFUNCTION("""COMPUTED_VALUE"""),"幼少期に両親から捨てられたが、養母のもとで心優しく育ったユ・チェウルは、職場の上司クォン・チェホンに密やかに片想いをしていたが、ある日その上司が突然亡くなったと聞く。同僚の前では何事もなかったかのように必死で振る舞っていたチェウルは、耐えきれずに道端で泣き崩れてしまう。泣き疲れてふと顔をあげると、目の前には死んだはずのチェホンが立っていた。チェホンはその場で気を失うと黒々と美しい「蛇」に変身する。驚きつつも彼を慕うチェウルは、自らの家に「蛇」である彼を運んで献身的にケアをするが、時折人間に戻る彼は記憶も目"&amp;"つきもそれまでとは何もかもが違っていて…。人外恋人との壮大な輪廻転生ラブストーリー。")</f>
        <v>幼少期に両親から捨てられたが、養母のもとで心優しく育ったユ・チェウルは、職場の上司クォン・チェホンに密やかに片想いをしていたが、ある日その上司が突然亡くなったと聞く。同僚の前では何事もなかったかのように必死で振る舞っていたチェウルは、耐えきれずに道端で泣き崩れてしまう。泣き疲れてふと顔をあげると、目の前には死んだはずのチェホンが立っていた。チェホンはその場で気を失うと黒々と美しい「蛇」に変身する。驚きつつも彼を慕うチェウルは、自らの家に「蛇」である彼を運んで献身的にケアをするが、時折人間に戻る彼は記憶も目つきもそれまでとは何もかもが違っていて…。人外恋人との壮大な輪廻転生ラブストーリー。</v>
      </c>
      <c r="W1311" s="14"/>
      <c r="X1311" s="8" t="str">
        <f>IFERROR(__xludf.DUMMYFUNCTION("""COMPUTED_VALUE"""),"無")</f>
        <v>無</v>
      </c>
      <c r="Y1311" s="8"/>
      <c r="Z1311" s="7"/>
      <c r="AA1311" s="7"/>
      <c r="AB1311" s="7"/>
    </row>
    <row r="1312" ht="15.75" customHeight="1">
      <c r="A1312" s="26">
        <f>IFERROR(__xludf.DUMMYFUNCTION("""COMPUTED_VALUE"""),3146.0)</f>
        <v>3146</v>
      </c>
      <c r="B1312" s="31" t="str">
        <f>IFERROR(__xludf.DUMMYFUNCTION("""COMPUTED_VALUE"""),"確定")</f>
        <v>確定</v>
      </c>
      <c r="C1312" s="28">
        <f>IFERROR(__xludf.DUMMYFUNCTION("""COMPUTED_VALUE"""),45372.0)</f>
        <v>45372</v>
      </c>
      <c r="D1312" s="28">
        <f>IFERROR(__xludf.DUMMYFUNCTION("""COMPUTED_VALUE"""),45377.0)</f>
        <v>45377</v>
      </c>
      <c r="E1312" s="31">
        <f>IFERROR(__xludf.DUMMYFUNCTION("""COMPUTED_VALUE"""),291309.0)</f>
        <v>291309</v>
      </c>
      <c r="F1312" s="31" t="str">
        <f>IFERROR(__xludf.DUMMYFUNCTION("""COMPUTED_VALUE"""),"渚のアルペジオ【タテコミ】")</f>
        <v>渚のアルペジオ【タテコミ】</v>
      </c>
      <c r="G1312" s="16" t="str">
        <f>IFERROR(__xludf.DUMMYFUNCTION("""COMPUTED_VALUE"""),"1～20")</f>
        <v>1～20</v>
      </c>
      <c r="H1312" s="31" t="str">
        <f>IFERROR(__xludf.DUMMYFUNCTION("""COMPUTED_VALUE"""),"Wabec")</f>
        <v>Wabec</v>
      </c>
      <c r="I1312" s="31" t="str">
        <f>IFERROR(__xludf.DUMMYFUNCTION("""COMPUTED_VALUE"""),"BL")</f>
        <v>BL</v>
      </c>
      <c r="J1312" s="31"/>
      <c r="K1312" s="31"/>
      <c r="L1312" s="31" t="str">
        <f>IFERROR(__xludf.DUMMYFUNCTION("""COMPUTED_VALUE"""),"Manta Comics")</f>
        <v>Manta Comics</v>
      </c>
      <c r="M1312" s="23">
        <f>IFERROR(__xludf.DUMMYFUNCTION("""COMPUTED_VALUE"""),45394.0)</f>
        <v>45394</v>
      </c>
      <c r="N1312" s="23">
        <f>IFERROR(__xludf.DUMMYFUNCTION("""COMPUTED_VALUE"""),45484.0)</f>
        <v>45484</v>
      </c>
      <c r="O1312" s="20"/>
      <c r="P1312" s="34" t="str">
        <f>IFERROR(__xludf.DUMMYFUNCTION("""COMPUTED_VALUE"""),"可")</f>
        <v>可</v>
      </c>
      <c r="Q1312" s="30" t="str">
        <f>IFERROR(__xludf.DUMMYFUNCTION("""COMPUTED_VALUE"""),"1～20巻まで使用OK")</f>
        <v>1～20巻まで使用OK</v>
      </c>
      <c r="R1312" s="31"/>
      <c r="S1312" s="31" t="str">
        <f>IFERROR(__xludf.DUMMYFUNCTION("""COMPUTED_VALUE"""),"20240321_RIDI_4月新作")</f>
        <v>20240321_RIDI_4月新作</v>
      </c>
      <c r="T1312" s="31" t="str">
        <f>IFERROR(__xludf.DUMMYFUNCTION("""COMPUTED_VALUE"""),"格納済み")</f>
        <v>格納済み</v>
      </c>
      <c r="U1312" s="15" t="str">
        <f>IFERROR(__xludf.DUMMYFUNCTION("""COMPUTED_VALUE"""),"©️Wabec / Manta Comics")</f>
        <v>©️Wabec / Manta Comics</v>
      </c>
      <c r="V1312" s="8" t="str">
        <f>IFERROR(__xludf.DUMMYFUNCTION("""COMPUTED_VALUE"""),"大学生のチャ・スヨンは若き天才ピアニストとうたわれていたが、あることをきっかけに極度の緊張と恐怖で舞台に立てなくなってしまう。そんなトラウマからスヨンは、他人と体を重ねることで心の虚しさを満たしていた。ある日、大学の教養科目で出会った後輩、シン・ヘスとプレゼン課題でペアを組むことになったスヨン。当初は、競泳選手であるヘスの陽気さや体育会系のノリに困惑したものの、彼の優しさや温もりに触れ、特別な存在として強く意識しはじめる。心の傷を引きずるスヨンを何とか幸せにしたいと一途な愛情を注ぐヘス。しかし、スヨンは愛"&amp;"した人を皆不幸にしてしまったという過去の負い目から、ヘスを突き放そうとする。しかし、その一方でヘスの優しさや温もりは全部自分のものであってほしい願うのだった。押し寄せては引いていく…渚できらめく波のような恋の駆け引きの行方は…？")</f>
        <v>大学生のチャ・スヨンは若き天才ピアニストとうたわれていたが、あることをきっかけに極度の緊張と恐怖で舞台に立てなくなってしまう。そんなトラウマからスヨンは、他人と体を重ねることで心の虚しさを満たしていた。ある日、大学の教養科目で出会った後輩、シン・ヘスとプレゼン課題でペアを組むことになったスヨン。当初は、競泳選手であるヘスの陽気さや体育会系のノリに困惑したものの、彼の優しさや温もりに触れ、特別な存在として強く意識しはじめる。心の傷を引きずるスヨンを何とか幸せにしたいと一途な愛情を注ぐヘス。しかし、スヨンは愛した人を皆不幸にしてしまったという過去の負い目から、ヘスを突き放そうとする。しかし、その一方でヘスの優しさや温もりは全部自分のものであってほしい願うのだった。押し寄せては引いていく…渚できらめく波のような恋の駆け引きの行方は…？</v>
      </c>
      <c r="W1312" s="14"/>
      <c r="X1312" s="8" t="str">
        <f>IFERROR(__xludf.DUMMYFUNCTION("""COMPUTED_VALUE"""),"無")</f>
        <v>無</v>
      </c>
      <c r="Y1312" s="8"/>
      <c r="Z1312" s="7"/>
      <c r="AA1312" s="7"/>
      <c r="AB1312" s="7"/>
    </row>
    <row r="1313" ht="15.75" customHeight="1">
      <c r="A1313" s="26">
        <f>IFERROR(__xludf.DUMMYFUNCTION("""COMPUTED_VALUE"""),3152.0)</f>
        <v>3152</v>
      </c>
      <c r="B1313" s="31" t="str">
        <f>IFERROR(__xludf.DUMMYFUNCTION("""COMPUTED_VALUE"""),"確定")</f>
        <v>確定</v>
      </c>
      <c r="C1313" s="28">
        <f>IFERROR(__xludf.DUMMYFUNCTION("""COMPUTED_VALUE"""),45373.0)</f>
        <v>45373</v>
      </c>
      <c r="D1313" s="28">
        <f>IFERROR(__xludf.DUMMYFUNCTION("""COMPUTED_VALUE"""),45376.0)</f>
        <v>45376</v>
      </c>
      <c r="E1313" s="31">
        <f>IFERROR(__xludf.DUMMYFUNCTION("""COMPUTED_VALUE"""),291842.0)</f>
        <v>291842</v>
      </c>
      <c r="F1313" s="31" t="str">
        <f>IFERROR(__xludf.DUMMYFUNCTION("""COMPUTED_VALUE"""),"誤解された『身代わりの魔女』は、国王から最初の恋と最後の恋を捧げられる（コミック）")</f>
        <v>誤解された『身代わりの魔女』は、国王から最初の恋と最後の恋を捧げられる（コミック）</v>
      </c>
      <c r="G1313" s="16" t="str">
        <f>IFERROR(__xludf.DUMMYFUNCTION("""COMPUTED_VALUE"""),"1～3")</f>
        <v>1～3</v>
      </c>
      <c r="H1313" s="31" t="str">
        <f>IFERROR(__xludf.DUMMYFUNCTION("""COMPUTED_VALUE"""),"原作：十夜 原作：喜久田ゆい 作画：日芽野メノ")</f>
        <v>原作：十夜 原作：喜久田ゆい 作画：日芽野メノ</v>
      </c>
      <c r="I1313" s="52" t="str">
        <f>IFERROR(__xludf.DUMMYFUNCTION("""COMPUTED_VALUE"""),"女性")</f>
        <v>女性</v>
      </c>
      <c r="J1313" s="31"/>
      <c r="K1313" s="31"/>
      <c r="L1313" s="31" t="str">
        <f>IFERROR(__xludf.DUMMYFUNCTION("""COMPUTED_VALUE"""),"スクウェア・エニックス")</f>
        <v>スクウェア・エニックス</v>
      </c>
      <c r="M1313" s="23">
        <f>IFERROR(__xludf.DUMMYFUNCTION("""COMPUTED_VALUE"""),45413.0)</f>
        <v>45413</v>
      </c>
      <c r="N1313" s="47">
        <f>IFERROR(__xludf.DUMMYFUNCTION("""COMPUTED_VALUE"""),45443.0)</f>
        <v>45443</v>
      </c>
      <c r="O1313" s="20"/>
      <c r="P1313" s="34" t="str">
        <f>IFERROR(__xludf.DUMMYFUNCTION("""COMPUTED_VALUE"""),"否")</f>
        <v>否</v>
      </c>
      <c r="Q1313" s="30" t="str">
        <f>IFERROR(__xludf.DUMMYFUNCTION("""COMPUTED_VALUE"""),"出稿確約不要で先行いただけました。可能であれば出稿お願いします。")</f>
        <v>出稿確約不要で先行いただけました。可能であれば出稿お願いします。</v>
      </c>
      <c r="R1313" s="31"/>
      <c r="S1313" s="31" t="str">
        <f>IFERROR(__xludf.DUMMYFUNCTION("""COMPUTED_VALUE"""),"20240321_スクウェア・エニックス_誤解された『身代わりの魔女』は、国王から最初の恋と最後の恋を捧げられる（コミック）")</f>
        <v>20240321_スクウェア・エニックス_誤解された『身代わりの魔女』は、国王から最初の恋と最後の恋を捧げられる（コミック）</v>
      </c>
      <c r="T1313" s="31" t="str">
        <f>IFERROR(__xludf.DUMMYFUNCTION("""COMPUTED_VALUE"""),"格納済み")</f>
        <v>格納済み</v>
      </c>
      <c r="U1313" s="15" t="str">
        <f>IFERROR(__xludf.DUMMYFUNCTION("""COMPUTED_VALUE"""),"(C)Touya/SQUARE ENIX (C)Yui Kikuta/SQUARE ENIX (C)Meno Himeno/SQUARE ENIX")</f>
        <v>(C)Touya/SQUARE ENIX (C)Yui Kikuta/SQUARE ENIX (C)Meno Himeno/SQUARE ENIX</v>
      </c>
      <c r="V1313" s="8" t="str">
        <f>IFERROR(__xludf.DUMMYFUNCTION("""COMPUTED_VALUE"""),"【誤解のち激重溺愛】
『相手の怪我や病気をその身に引き受ける』魔法が使える、世界でたった一人の魔女――ルピア。でも、そのことは秘密。念願叶って初恋相手であるフェリクス王と結婚することになったルピアは、彼のことを一途に想い、フェリクスもまた彼女に魅かれていく。しかし、ある誤解からフェリクスは彼女が裏切ったと思い、冷たくあたってしまう。ルピアはそんな彼の命を救い、身代わりとなって深い眠りについた――。その日から始まる長い長い片想いで、息も絶え絶えになった夫が、これでもかと妻を溺愛する物語。「……君が私への思"&amp;"いを忘れても、私はずっと君を愛するし、必ず君を取り戻すから」
※この商品は「誤解された『身代わりの魔女』は、国王から最初の恋と最後の恋を捧げられる（コミック）」を1話ごとに分冊したものです。
(C)2024 Touya (C)2024 Yui Kikuta (C)2024 Meno Himeno")</f>
        <v>【誤解のち激重溺愛】
『相手の怪我や病気をその身に引き受ける』魔法が使える、世界でたった一人の魔女――ルピア。でも、そのことは秘密。念願叶って初恋相手であるフェリクス王と結婚することになったルピアは、彼のことを一途に想い、フェリクスもまた彼女に魅かれていく。しかし、ある誤解からフェリクスは彼女が裏切ったと思い、冷たくあたってしまう。ルピアはそんな彼の命を救い、身代わりとなって深い眠りについた――。その日から始まる長い長い片想いで、息も絶え絶えになった夫が、これでもかと妻を溺愛する物語。「……君が私への思いを忘れても、私はずっと君を愛するし、必ず君を取り戻すから」
※この商品は「誤解された『身代わりの魔女』は、国王から最初の恋と最後の恋を捧げられる（コミック）」を1話ごとに分冊したものです。
(C)2024 Touya (C)2024 Yui Kikuta (C)2024 Meno Himeno</v>
      </c>
      <c r="W1313" s="14"/>
      <c r="X1313" s="14" t="str">
        <f>IFERROR(__xludf.DUMMYFUNCTION("""COMPUTED_VALUE"""),"有")</f>
        <v>有</v>
      </c>
      <c r="Y1313" s="8" t="str">
        <f>IFERROR(__xludf.DUMMYFUNCTION("""COMPUTED_VALUE"""),"P7まで")</f>
        <v>P7まで</v>
      </c>
      <c r="Z1313" s="7"/>
      <c r="AA1313" s="7"/>
      <c r="AB1313" s="7"/>
    </row>
    <row r="1314" ht="15.75" customHeight="1">
      <c r="A1314" s="26">
        <f>IFERROR(__xludf.DUMMYFUNCTION("""COMPUTED_VALUE"""),3155.0)</f>
        <v>3155</v>
      </c>
      <c r="B1314" s="31" t="str">
        <f>IFERROR(__xludf.DUMMYFUNCTION("""COMPUTED_VALUE"""),"確定")</f>
        <v>確定</v>
      </c>
      <c r="C1314" s="28">
        <f>IFERROR(__xludf.DUMMYFUNCTION("""COMPUTED_VALUE"""),45376.0)</f>
        <v>45376</v>
      </c>
      <c r="D1314" s="28">
        <f>IFERROR(__xludf.DUMMYFUNCTION("""COMPUTED_VALUE"""),45377.0)</f>
        <v>45377</v>
      </c>
      <c r="E1314" s="26">
        <f>IFERROR(__xludf.DUMMYFUNCTION("""COMPUTED_VALUE"""),276806.0)</f>
        <v>276806</v>
      </c>
      <c r="F1314" s="31" t="str">
        <f>IFERROR(__xludf.DUMMYFUNCTION("""COMPUTED_VALUE"""),"マイ・ワンナイト・ルール")</f>
        <v>マイ・ワンナイト・ルール</v>
      </c>
      <c r="G1314" s="20" t="str">
        <f>IFERROR(__xludf.DUMMYFUNCTION("""COMPUTED_VALUE"""),"1～3")</f>
        <v>1～3</v>
      </c>
      <c r="H1314" s="31" t="str">
        <f>IFERROR(__xludf.DUMMYFUNCTION("""COMPUTED_VALUE"""),"なかおもとこ")</f>
        <v>なかおもとこ</v>
      </c>
      <c r="I1314" s="31" t="str">
        <f>IFERROR(__xludf.DUMMYFUNCTION("""COMPUTED_VALUE"""),"女性")</f>
        <v>女性</v>
      </c>
      <c r="J1314" s="31"/>
      <c r="K1314" s="31"/>
      <c r="L1314" s="31" t="str">
        <f>IFERROR(__xludf.DUMMYFUNCTION("""COMPUTED_VALUE"""),"ソルマーレ編集部")</f>
        <v>ソルマーレ編集部</v>
      </c>
      <c r="M1314" s="23">
        <f>IFERROR(__xludf.DUMMYFUNCTION("""COMPUTED_VALUE"""),45409.0)</f>
        <v>45409</v>
      </c>
      <c r="N1314" s="47">
        <f>IFERROR(__xludf.DUMMYFUNCTION("""COMPUTED_VALUE"""),45561.0)</f>
        <v>45561</v>
      </c>
      <c r="O1314" s="20"/>
      <c r="P1314" s="32" t="str">
        <f>IFERROR(__xludf.DUMMYFUNCTION("""COMPUTED_VALUE"""),"可")</f>
        <v>可</v>
      </c>
      <c r="Q1314" s="30"/>
      <c r="R1314" s="31"/>
      <c r="S1314" s="31" t="str">
        <f>IFERROR(__xludf.DUMMYFUNCTION("""COMPUTED_VALUE"""),"20240325_ソルマーレ編集部_マイ・ワンナイト・ルール")</f>
        <v>20240325_ソルマーレ編集部_マイ・ワンナイト・ルール</v>
      </c>
      <c r="T1314" s="31" t="str">
        <f>IFERROR(__xludf.DUMMYFUNCTION("""COMPUTED_VALUE"""),"格納済み")</f>
        <v>格納済み</v>
      </c>
      <c r="U1314" s="15" t="str">
        <f>IFERROR(__xludf.DUMMYFUNCTION("""COMPUTED_VALUE"""),"Ⓒ なかおもとこ/シーモアコミックス")</f>
        <v>Ⓒ なかおもとこ/シーモアコミックス</v>
      </c>
      <c r="V1314" s="8" t="str">
        <f>IFERROR(__xludf.DUMMYFUNCTION("""COMPUTED_VALUE"""),"あぁ…も～セックスしたいっ…！！
33歳の会社員・綾（あや）は、自分の性衝動に悩んでいた。
男の人に触れたい、抱かれたい、だけど恋人は8年もいないし女性が性欲をあらわにしようものなら世間から”そういう目”で見られてしまう――
そんなある日、チャラ男上司の堂島（どうじま）に誘われ飲みに行くことに。
バツイチで今は恋愛でなくワンナイトを楽しんでいるという堂島の話を聞いた綾は、流され後悔しないための【マイルール】を作った上でワンナイトをしてみようと思いつき――
クローズドな世界でもがく大人女子の性サバ"&amp;"イバル！【恋するソワレ＋】")</f>
        <v>あぁ…も～セックスしたいっ…！！
33歳の会社員・綾（あや）は、自分の性衝動に悩んでいた。
男の人に触れたい、抱かれたい、だけど恋人は8年もいないし女性が性欲をあらわにしようものなら世間から”そういう目”で見られてしまう――
そんなある日、チャラ男上司の堂島（どうじま）に誘われ飲みに行くことに。
バツイチで今は恋愛でなくワンナイトを楽しんでいるという堂島の話を聞いた綾は、流され後悔しないための【マイルール】を作った上でワンナイトをしてみようと思いつき――
クローズドな世界でもがく大人女子の性サバイバル！【恋するソワレ＋】</v>
      </c>
      <c r="W1314" s="14"/>
      <c r="X1314" s="14" t="str">
        <f>IFERROR(__xludf.DUMMYFUNCTION("""COMPUTED_VALUE"""),"有")</f>
        <v>有</v>
      </c>
      <c r="Y1314" s="8" t="str">
        <f>IFERROR(__xludf.DUMMYFUNCTION("""COMPUTED_VALUE"""),"P22まで")</f>
        <v>P22まで</v>
      </c>
      <c r="Z1314" s="7"/>
      <c r="AA1314" s="7"/>
      <c r="AB1314" s="7"/>
    </row>
    <row r="1315" ht="15.75" customHeight="1">
      <c r="A1315" s="26">
        <f>IFERROR(__xludf.DUMMYFUNCTION("""COMPUTED_VALUE"""),3157.0)</f>
        <v>3157</v>
      </c>
      <c r="B1315" s="31" t="str">
        <f>IFERROR(__xludf.DUMMYFUNCTION("""COMPUTED_VALUE"""),"確定")</f>
        <v>確定</v>
      </c>
      <c r="C1315" s="28">
        <f>IFERROR(__xludf.DUMMYFUNCTION("""COMPUTED_VALUE"""),45376.0)</f>
        <v>45376</v>
      </c>
      <c r="D1315" s="28">
        <f>IFERROR(__xludf.DUMMYFUNCTION("""COMPUTED_VALUE"""),45376.0)</f>
        <v>45376</v>
      </c>
      <c r="E1315" s="26">
        <f>IFERROR(__xludf.DUMMYFUNCTION("""COMPUTED_VALUE"""),282461.0)</f>
        <v>282461</v>
      </c>
      <c r="F1315" s="52" t="str">
        <f>IFERROR(__xludf.DUMMYFUNCTION("""COMPUTED_VALUE"""),"ワンナイト・キャンパス【タテヨミ】")</f>
        <v>ワンナイト・キャンパス【タテヨミ】</v>
      </c>
      <c r="G1315" s="20" t="str">
        <f>IFERROR(__xludf.DUMMYFUNCTION("""COMPUTED_VALUE"""),"1～9")</f>
        <v>1～9</v>
      </c>
      <c r="H1315" s="31" t="str">
        <f>IFERROR(__xludf.DUMMYFUNCTION("""COMPUTED_VALUE"""),"TAIRA,Bambi")</f>
        <v>TAIRA,Bambi</v>
      </c>
      <c r="I1315" s="31" t="str">
        <f>IFERROR(__xludf.DUMMYFUNCTION("""COMPUTED_VALUE"""),"青年")</f>
        <v>青年</v>
      </c>
      <c r="J1315" s="31"/>
      <c r="K1315" s="31"/>
      <c r="L1315" s="31" t="str">
        <f>IFERROR(__xludf.DUMMYFUNCTION("""COMPUTED_VALUE"""),"ソルマーレ編集部")</f>
        <v>ソルマーレ編集部</v>
      </c>
      <c r="M1315" s="23">
        <f>IFERROR(__xludf.DUMMYFUNCTION("""COMPUTED_VALUE"""),45409.0)</f>
        <v>45409</v>
      </c>
      <c r="N1315" s="23">
        <f>IFERROR(__xludf.DUMMYFUNCTION("""COMPUTED_VALUE"""),45470.0)</f>
        <v>45470</v>
      </c>
      <c r="O1315" s="20"/>
      <c r="P1315" s="34" t="str">
        <f>IFERROR(__xludf.DUMMYFUNCTION("""COMPUTED_VALUE"""),"可")</f>
        <v>可</v>
      </c>
      <c r="Q1315" s="30" t="str">
        <f>IFERROR(__xludf.DUMMYFUNCTION("""COMPUTED_VALUE"""),"※コマサム等素材は「282460　ワンナイト・キャンパス（フルカラー）」のほうをお使いください。
バナー制作はフルカラー版の素材を利用して問題ございません。")</f>
        <v>※コマサム等素材は「282460　ワンナイト・キャンパス（フルカラー）」のほうをお使いください。
バナー制作はフルカラー版の素材を利用して問題ございません。</v>
      </c>
      <c r="R1315" s="31"/>
      <c r="S1315" s="43" t="str">
        <f>IFERROR(__xludf.DUMMYFUNCTION("""COMPUTED_VALUE"""),"20240325_ソルマーレ編集部_ワンナイト・キャンパス【タテヨミ】")</f>
        <v>20240325_ソルマーレ編集部_ワンナイト・キャンパス【タテヨミ】</v>
      </c>
      <c r="T1315" s="31"/>
      <c r="U1315" s="15" t="str">
        <f>IFERROR(__xludf.DUMMYFUNCTION("""COMPUTED_VALUE"""),"Ⓒ TAIRA/Bambi/TOPCO/シーモアコミックス")</f>
        <v>Ⓒ TAIRA/Bambi/TOPCO/シーモアコミックス</v>
      </c>
      <c r="V1315" s="8" t="str">
        <f>IFERROR(__xludf.DUMMYFUNCTION("""COMPUTED_VALUE"""),"冴えない男子学生・太一は、大学入学早々、数々の女性に出会う。
下宿先のおばさんから、友達の彼女まで…彼女たちの悩みを聞いて慰めているうちに、いつのまにか、そういう関係に!?
刺激的なワンナイトの誘惑には抗えない――｢俺のキャンパスライフ、こんなに幸せでいいのか！？｣【ズズズキュン！】")</f>
        <v>冴えない男子学生・太一は、大学入学早々、数々の女性に出会う。
下宿先のおばさんから、友達の彼女まで…彼女たちの悩みを聞いて慰めているうちに、いつのまにか、そういう関係に!?
刺激的なワンナイトの誘惑には抗えない――｢俺のキャンパスライフ、こんなに幸せでいいのか！？｣【ズズズキュン！】</v>
      </c>
      <c r="W1315" s="14"/>
      <c r="X1315" s="14" t="str">
        <f>IFERROR(__xludf.DUMMYFUNCTION("""COMPUTED_VALUE"""),"有")</f>
        <v>有</v>
      </c>
      <c r="Y1315" s="8" t="str">
        <f>IFERROR(__xludf.DUMMYFUNCTION("""COMPUTED_VALUE"""),"1巻無料")</f>
        <v>1巻無料</v>
      </c>
      <c r="Z1315" s="7"/>
      <c r="AA1315" s="7"/>
      <c r="AB1315" s="7"/>
    </row>
    <row r="1316" ht="103.5" customHeight="1">
      <c r="A1316" s="26">
        <f>IFERROR(__xludf.DUMMYFUNCTION("""COMPUTED_VALUE"""),3158.0)</f>
        <v>3158</v>
      </c>
      <c r="B1316" s="31" t="str">
        <f>IFERROR(__xludf.DUMMYFUNCTION("""COMPUTED_VALUE"""),"確定")</f>
        <v>確定</v>
      </c>
      <c r="C1316" s="28">
        <f>IFERROR(__xludf.DUMMYFUNCTION("""COMPUTED_VALUE"""),45376.0)</f>
        <v>45376</v>
      </c>
      <c r="D1316" s="28">
        <f>IFERROR(__xludf.DUMMYFUNCTION("""COMPUTED_VALUE"""),45377.0)</f>
        <v>45377</v>
      </c>
      <c r="E1316" s="31">
        <f>IFERROR(__xludf.DUMMYFUNCTION("""COMPUTED_VALUE"""),289652.0)</f>
        <v>289652</v>
      </c>
      <c r="F1316" s="31" t="str">
        <f>IFERROR(__xludf.DUMMYFUNCTION("""COMPUTED_VALUE"""),"冷淡公爵と初夜の契り")</f>
        <v>冷淡公爵と初夜の契り</v>
      </c>
      <c r="G1316" s="20">
        <f>IFERROR(__xludf.DUMMYFUNCTION("""COMPUTED_VALUE"""),1.0)</f>
        <v>1</v>
      </c>
      <c r="H1316" s="31" t="str">
        <f>IFERROR(__xludf.DUMMYFUNCTION("""COMPUTED_VALUE"""),"あさのりら")</f>
        <v>あさのりら</v>
      </c>
      <c r="I1316" s="31" t="str">
        <f>IFERROR(__xludf.DUMMYFUNCTION("""COMPUTED_VALUE"""),"TL")</f>
        <v>TL</v>
      </c>
      <c r="J1316" s="31"/>
      <c r="K1316" s="31"/>
      <c r="L1316" s="31" t="str">
        <f>IFERROR(__xludf.DUMMYFUNCTION("""COMPUTED_VALUE"""),"一迅社")</f>
        <v>一迅社</v>
      </c>
      <c r="M1316" s="23">
        <f>IFERROR(__xludf.DUMMYFUNCTION("""COMPUTED_VALUE"""),45407.0)</f>
        <v>45407</v>
      </c>
      <c r="N1316" s="23">
        <f>IFERROR(__xludf.DUMMYFUNCTION("""COMPUTED_VALUE"""),45436.0)</f>
        <v>45436</v>
      </c>
      <c r="O1316" s="20"/>
      <c r="P1316" s="34" t="str">
        <f>IFERROR(__xludf.DUMMYFUNCTION("""COMPUTED_VALUE"""),"可")</f>
        <v>可</v>
      </c>
      <c r="Q1316" s="30" t="str">
        <f>IFERROR(__xludf.DUMMYFUNCTION("""COMPUTED_VALUE"""),"comicLAKE&lt;BR&gt;P6～24")</f>
        <v>comicLAKE&lt;BR&gt;P6～24</v>
      </c>
      <c r="R1316" s="31"/>
      <c r="S1316" s="31" t="str">
        <f>IFERROR(__xludf.DUMMYFUNCTION("""COMPUTED_VALUE"""),"20240325_一迅社_comicLAKEアンソロジー")</f>
        <v>20240325_一迅社_comicLAKEアンソロジー</v>
      </c>
      <c r="T1316" s="31" t="str">
        <f>IFERROR(__xludf.DUMMYFUNCTION("""COMPUTED_VALUE"""),"格納済み")</f>
        <v>格納済み</v>
      </c>
      <c r="U1316" s="15" t="str">
        <f>IFERROR(__xludf.DUMMYFUNCTION("""COMPUTED_VALUE"""),"(C)あさのりら／一迅社")</f>
        <v>(C)あさのりら／一迅社</v>
      </c>
      <c r="V1316" s="8" t="str">
        <f>IFERROR(__xludf.DUMMYFUNCTION("""COMPUTED_VALUE"""),"伯爵家長女のミレーヌは家の存続のために伯爵家に嫁いだけれど、初夜の空気は重苦しくて……　※この作品は『不遇だった私は愛が重い旦那様から甘く淫らに溺愛される　コミックアンソロジー』収録作品と同一の内容を単話版として再編集したものとなります。")</f>
        <v>伯爵家長女のミレーヌは家の存続のために伯爵家に嫁いだけれど、初夜の空気は重苦しくて……　※この作品は『不遇だった私は愛が重い旦那様から甘く淫らに溺愛される　コミックアンソロジー』収録作品と同一の内容を単話版として再編集したものとなります。</v>
      </c>
      <c r="W1316" s="14"/>
      <c r="X1316" s="14" t="str">
        <f>IFERROR(__xludf.DUMMYFUNCTION("""COMPUTED_VALUE"""),"有")</f>
        <v>有</v>
      </c>
      <c r="Y1316" s="8" t="str">
        <f>IFERROR(__xludf.DUMMYFUNCTION("""COMPUTED_VALUE"""),"P5まで")</f>
        <v>P5まで</v>
      </c>
      <c r="Z1316" s="7"/>
      <c r="AA1316" s="7"/>
      <c r="AB1316" s="7"/>
    </row>
    <row r="1317" ht="102.75" customHeight="1">
      <c r="A1317" s="26">
        <f>IFERROR(__xludf.DUMMYFUNCTION("""COMPUTED_VALUE"""),3159.0)</f>
        <v>3159</v>
      </c>
      <c r="B1317" s="31" t="str">
        <f>IFERROR(__xludf.DUMMYFUNCTION("""COMPUTED_VALUE"""),"確定")</f>
        <v>確定</v>
      </c>
      <c r="C1317" s="28">
        <f>IFERROR(__xludf.DUMMYFUNCTION("""COMPUTED_VALUE"""),45376.0)</f>
        <v>45376</v>
      </c>
      <c r="D1317" s="28">
        <f>IFERROR(__xludf.DUMMYFUNCTION("""COMPUTED_VALUE"""),45377.0)</f>
        <v>45377</v>
      </c>
      <c r="E1317" s="31">
        <f>IFERROR(__xludf.DUMMYFUNCTION("""COMPUTED_VALUE"""),289653.0)</f>
        <v>289653</v>
      </c>
      <c r="F1317" s="31" t="str">
        <f>IFERROR(__xludf.DUMMYFUNCTION("""COMPUTED_VALUE"""),"最強黒騎士様はひめさまを愛し過ぎて、毎日睡姦してることがバレてお嫁さんにしてしまう。")</f>
        <v>最強黒騎士様はひめさまを愛し過ぎて、毎日睡姦してることがバレてお嫁さんにしてしまう。</v>
      </c>
      <c r="G1317" s="20">
        <f>IFERROR(__xludf.DUMMYFUNCTION("""COMPUTED_VALUE"""),1.0)</f>
        <v>1</v>
      </c>
      <c r="H1317" s="31" t="str">
        <f>IFERROR(__xludf.DUMMYFUNCTION("""COMPUTED_VALUE"""),"黛こえだ・つばぁゐ。")</f>
        <v>黛こえだ・つばぁゐ。</v>
      </c>
      <c r="I1317" s="31" t="str">
        <f>IFERROR(__xludf.DUMMYFUNCTION("""COMPUTED_VALUE"""),"TL")</f>
        <v>TL</v>
      </c>
      <c r="J1317" s="31"/>
      <c r="K1317" s="31"/>
      <c r="L1317" s="31" t="str">
        <f>IFERROR(__xludf.DUMMYFUNCTION("""COMPUTED_VALUE"""),"一迅社")</f>
        <v>一迅社</v>
      </c>
      <c r="M1317" s="23">
        <f>IFERROR(__xludf.DUMMYFUNCTION("""COMPUTED_VALUE"""),45407.0)</f>
        <v>45407</v>
      </c>
      <c r="N1317" s="23">
        <f>IFERROR(__xludf.DUMMYFUNCTION("""COMPUTED_VALUE"""),45436.0)</f>
        <v>45436</v>
      </c>
      <c r="O1317" s="20"/>
      <c r="P1317" s="34" t="str">
        <f>IFERROR(__xludf.DUMMYFUNCTION("""COMPUTED_VALUE"""),"可")</f>
        <v>可</v>
      </c>
      <c r="Q1317" s="30" t="str">
        <f>IFERROR(__xludf.DUMMYFUNCTION("""COMPUTED_VALUE"""),"comicLAKE&lt;BR&gt;P26～63")</f>
        <v>comicLAKE&lt;BR&gt;P26～63</v>
      </c>
      <c r="R1317" s="31"/>
      <c r="S1317" s="31" t="str">
        <f>IFERROR(__xludf.DUMMYFUNCTION("""COMPUTED_VALUE"""),"20240325_一迅社_comicLAKEアンソロジー")</f>
        <v>20240325_一迅社_comicLAKEアンソロジー</v>
      </c>
      <c r="T1317" s="31" t="str">
        <f>IFERROR(__xludf.DUMMYFUNCTION("""COMPUTED_VALUE"""),"格納済み")</f>
        <v>格納済み</v>
      </c>
      <c r="U1317" s="15" t="str">
        <f>IFERROR(__xludf.DUMMYFUNCTION("""COMPUTED_VALUE"""),"(C)黛こえだ・つばぁゐ。／一迅社")</f>
        <v>(C)黛こえだ・つばぁゐ。／一迅社</v>
      </c>
      <c r="V1317" s="8" t="str">
        <f>IFERROR(__xludf.DUMMYFUNCTION("""COMPUTED_VALUE"""),"幸せな結婚を諦めた姫さまは、黒騎士マチルスとの関係をただの幼なじみだと思っていた。毎晩感じている熱い吐息も、きっと自分の夢に過ぎない……　※この作品は『不遇だった私は愛が重い旦那様から甘く淫らに溺愛される　コミックアンソロジー』収録作品と同一の内容を単話版として再編集したものとなります。")</f>
        <v>幸せな結婚を諦めた姫さまは、黒騎士マチルスとの関係をただの幼なじみだと思っていた。毎晩感じている熱い吐息も、きっと自分の夢に過ぎない……　※この作品は『不遇だった私は愛が重い旦那様から甘く淫らに溺愛される　コミックアンソロジー』収録作品と同一の内容を単話版として再編集したものとなります。</v>
      </c>
      <c r="W1317" s="14"/>
      <c r="X1317" s="14" t="str">
        <f>IFERROR(__xludf.DUMMYFUNCTION("""COMPUTED_VALUE"""),"有")</f>
        <v>有</v>
      </c>
      <c r="Y1317" s="8" t="str">
        <f>IFERROR(__xludf.DUMMYFUNCTION("""COMPUTED_VALUE"""),"P8まで")</f>
        <v>P8まで</v>
      </c>
      <c r="Z1317" s="7"/>
      <c r="AA1317" s="7"/>
      <c r="AB1317" s="7"/>
    </row>
    <row r="1318" ht="96.0" customHeight="1">
      <c r="A1318" s="26">
        <f>IFERROR(__xludf.DUMMYFUNCTION("""COMPUTED_VALUE"""),3160.0)</f>
        <v>3160</v>
      </c>
      <c r="B1318" s="31" t="str">
        <f>IFERROR(__xludf.DUMMYFUNCTION("""COMPUTED_VALUE"""),"確定")</f>
        <v>確定</v>
      </c>
      <c r="C1318" s="28">
        <f>IFERROR(__xludf.DUMMYFUNCTION("""COMPUTED_VALUE"""),45376.0)</f>
        <v>45376</v>
      </c>
      <c r="D1318" s="28">
        <f>IFERROR(__xludf.DUMMYFUNCTION("""COMPUTED_VALUE"""),45377.0)</f>
        <v>45377</v>
      </c>
      <c r="E1318" s="31">
        <f>IFERROR(__xludf.DUMMYFUNCTION("""COMPUTED_VALUE"""),289654.0)</f>
        <v>289654</v>
      </c>
      <c r="F1318" s="31" t="str">
        <f>IFERROR(__xludf.DUMMYFUNCTION("""COMPUTED_VALUE"""),"魔王様を甘やかし過ぎました")</f>
        <v>魔王様を甘やかし過ぎました</v>
      </c>
      <c r="G1318" s="20">
        <f>IFERROR(__xludf.DUMMYFUNCTION("""COMPUTED_VALUE"""),1.0)</f>
        <v>1</v>
      </c>
      <c r="H1318" s="31" t="str">
        <f>IFERROR(__xludf.DUMMYFUNCTION("""COMPUTED_VALUE"""),"むいこ・銀鹿")</f>
        <v>むいこ・銀鹿</v>
      </c>
      <c r="I1318" s="31" t="str">
        <f>IFERROR(__xludf.DUMMYFUNCTION("""COMPUTED_VALUE"""),"TL")</f>
        <v>TL</v>
      </c>
      <c r="J1318" s="31"/>
      <c r="K1318" s="31"/>
      <c r="L1318" s="31" t="str">
        <f>IFERROR(__xludf.DUMMYFUNCTION("""COMPUTED_VALUE"""),"一迅社")</f>
        <v>一迅社</v>
      </c>
      <c r="M1318" s="23">
        <f>IFERROR(__xludf.DUMMYFUNCTION("""COMPUTED_VALUE"""),45407.0)</f>
        <v>45407</v>
      </c>
      <c r="N1318" s="23">
        <f>IFERROR(__xludf.DUMMYFUNCTION("""COMPUTED_VALUE"""),45436.0)</f>
        <v>45436</v>
      </c>
      <c r="O1318" s="20"/>
      <c r="P1318" s="34" t="str">
        <f>IFERROR(__xludf.DUMMYFUNCTION("""COMPUTED_VALUE"""),"可")</f>
        <v>可</v>
      </c>
      <c r="Q1318" s="30" t="str">
        <f>IFERROR(__xludf.DUMMYFUNCTION("""COMPUTED_VALUE"""),"comicLAKE&lt;BR&gt;P65～98")</f>
        <v>comicLAKE&lt;BR&gt;P65～98</v>
      </c>
      <c r="R1318" s="31"/>
      <c r="S1318" s="31" t="str">
        <f>IFERROR(__xludf.DUMMYFUNCTION("""COMPUTED_VALUE"""),"20240325_一迅社_comicLAKEアンソロジー")</f>
        <v>20240325_一迅社_comicLAKEアンソロジー</v>
      </c>
      <c r="T1318" s="31" t="str">
        <f>IFERROR(__xludf.DUMMYFUNCTION("""COMPUTED_VALUE"""),"格納済み")</f>
        <v>格納済み</v>
      </c>
      <c r="U1318" s="15" t="str">
        <f>IFERROR(__xludf.DUMMYFUNCTION("""COMPUTED_VALUE"""),"(C)むいこ・銀鹿／一迅社")</f>
        <v>(C)むいこ・銀鹿／一迅社</v>
      </c>
      <c r="V1318" s="8" t="str">
        <f>IFERROR(__xludf.DUMMYFUNCTION("""COMPUTED_VALUE"""),"王太子との婚約を破棄されたイザベラは追放された先で残虐非道と名高い魔王に出会い……　※この作品は『不遇だった私は愛が重い旦那様から甘く淫らに溺愛される　コミックアンソロジー』収録作品と同一の内容を単話版として再編集したものとなります。")</f>
        <v>王太子との婚約を破棄されたイザベラは追放された先で残虐非道と名高い魔王に出会い……　※この作品は『不遇だった私は愛が重い旦那様から甘く淫らに溺愛される　コミックアンソロジー』収録作品と同一の内容を単話版として再編集したものとなります。</v>
      </c>
      <c r="W1318" s="14"/>
      <c r="X1318" s="14" t="str">
        <f>IFERROR(__xludf.DUMMYFUNCTION("""COMPUTED_VALUE"""),"有")</f>
        <v>有</v>
      </c>
      <c r="Y1318" s="8" t="str">
        <f>IFERROR(__xludf.DUMMYFUNCTION("""COMPUTED_VALUE"""),"P7まで")</f>
        <v>P7まで</v>
      </c>
      <c r="Z1318" s="7"/>
      <c r="AA1318" s="7"/>
      <c r="AB1318" s="7"/>
    </row>
    <row r="1319" ht="88.5" customHeight="1">
      <c r="A1319" s="26">
        <f>IFERROR(__xludf.DUMMYFUNCTION("""COMPUTED_VALUE"""),3161.0)</f>
        <v>3161</v>
      </c>
      <c r="B1319" s="31" t="str">
        <f>IFERROR(__xludf.DUMMYFUNCTION("""COMPUTED_VALUE"""),"確定")</f>
        <v>確定</v>
      </c>
      <c r="C1319" s="28">
        <f>IFERROR(__xludf.DUMMYFUNCTION("""COMPUTED_VALUE"""),45376.0)</f>
        <v>45376</v>
      </c>
      <c r="D1319" s="28">
        <f>IFERROR(__xludf.DUMMYFUNCTION("""COMPUTED_VALUE"""),45377.0)</f>
        <v>45377</v>
      </c>
      <c r="E1319" s="31">
        <f>IFERROR(__xludf.DUMMYFUNCTION("""COMPUTED_VALUE"""),289655.0)</f>
        <v>289655</v>
      </c>
      <c r="F1319" s="31" t="str">
        <f>IFERROR(__xludf.DUMMYFUNCTION("""COMPUTED_VALUE"""),"婚約者につまらない女と言われたのでヤケを起こして泥棒に迫ったらぐちゃぐちゃになるまで中出しセックスで溺愛されました")</f>
        <v>婚約者につまらない女と言われたのでヤケを起こして泥棒に迫ったらぐちゃぐちゃになるまで中出しセックスで溺愛されました</v>
      </c>
      <c r="G1319" s="20">
        <f>IFERROR(__xludf.DUMMYFUNCTION("""COMPUTED_VALUE"""),1.0)</f>
        <v>1</v>
      </c>
      <c r="H1319" s="31" t="str">
        <f>IFERROR(__xludf.DUMMYFUNCTION("""COMPUTED_VALUE"""),"宮宗咲・大和ソウ")</f>
        <v>宮宗咲・大和ソウ</v>
      </c>
      <c r="I1319" s="31" t="str">
        <f>IFERROR(__xludf.DUMMYFUNCTION("""COMPUTED_VALUE"""),"TL")</f>
        <v>TL</v>
      </c>
      <c r="J1319" s="31"/>
      <c r="K1319" s="31"/>
      <c r="L1319" s="31" t="str">
        <f>IFERROR(__xludf.DUMMYFUNCTION("""COMPUTED_VALUE"""),"一迅社")</f>
        <v>一迅社</v>
      </c>
      <c r="M1319" s="23">
        <f>IFERROR(__xludf.DUMMYFUNCTION("""COMPUTED_VALUE"""),45407.0)</f>
        <v>45407</v>
      </c>
      <c r="N1319" s="23">
        <f>IFERROR(__xludf.DUMMYFUNCTION("""COMPUTED_VALUE"""),45436.0)</f>
        <v>45436</v>
      </c>
      <c r="O1319" s="20"/>
      <c r="P1319" s="34" t="str">
        <f>IFERROR(__xludf.DUMMYFUNCTION("""COMPUTED_VALUE"""),"可")</f>
        <v>可</v>
      </c>
      <c r="Q1319" s="30" t="str">
        <f>IFERROR(__xludf.DUMMYFUNCTION("""COMPUTED_VALUE"""),"comicLAKE&lt;BR&gt;P99～118")</f>
        <v>comicLAKE&lt;BR&gt;P99～118</v>
      </c>
      <c r="R1319" s="31"/>
      <c r="S1319" s="31" t="str">
        <f>IFERROR(__xludf.DUMMYFUNCTION("""COMPUTED_VALUE"""),"20240325_一迅社_comicLAKEアンソロジー")</f>
        <v>20240325_一迅社_comicLAKEアンソロジー</v>
      </c>
      <c r="T1319" s="31" t="str">
        <f>IFERROR(__xludf.DUMMYFUNCTION("""COMPUTED_VALUE"""),"格納済み")</f>
        <v>格納済み</v>
      </c>
      <c r="U1319" s="15" t="str">
        <f>IFERROR(__xludf.DUMMYFUNCTION("""COMPUTED_VALUE"""),"(C)宮宗咲・大和ソウ／一迅社")</f>
        <v>(C)宮宗咲・大和ソウ／一迅社</v>
      </c>
      <c r="V1319" s="8" t="str">
        <f>IFERROR(__xludf.DUMMYFUNCTION("""COMPUTED_VALUE"""),"真面目なレティーシュカは婚約者のユスリー王子に嫌われている。はじめて酔い乱れた夜、正体不明な若者が自分の部屋に現れて――　※この作品は『不遇だった私は愛が重い旦那様から甘く淫らに溺愛される　コミックアンソロジー』収録作品と同一の内容を単話版として再編集したものとなります。")</f>
        <v>真面目なレティーシュカは婚約者のユスリー王子に嫌われている。はじめて酔い乱れた夜、正体不明な若者が自分の部屋に現れて――　※この作品は『不遇だった私は愛が重い旦那様から甘く淫らに溺愛される　コミックアンソロジー』収録作品と同一の内容を単話版として再編集したものとなります。</v>
      </c>
      <c r="W1319" s="14"/>
      <c r="X1319" s="14" t="str">
        <f>IFERROR(__xludf.DUMMYFUNCTION("""COMPUTED_VALUE"""),"有")</f>
        <v>有</v>
      </c>
      <c r="Y1319" s="8" t="str">
        <f>IFERROR(__xludf.DUMMYFUNCTION("""COMPUTED_VALUE"""),"P5まで")</f>
        <v>P5まで</v>
      </c>
      <c r="Z1319" s="7"/>
      <c r="AA1319" s="7"/>
      <c r="AB1319" s="7"/>
    </row>
    <row r="1320" ht="108.0" customHeight="1">
      <c r="A1320" s="26">
        <f>IFERROR(__xludf.DUMMYFUNCTION("""COMPUTED_VALUE"""),3162.0)</f>
        <v>3162</v>
      </c>
      <c r="B1320" s="31" t="str">
        <f>IFERROR(__xludf.DUMMYFUNCTION("""COMPUTED_VALUE"""),"確定")</f>
        <v>確定</v>
      </c>
      <c r="C1320" s="28">
        <f>IFERROR(__xludf.DUMMYFUNCTION("""COMPUTED_VALUE"""),45376.0)</f>
        <v>45376</v>
      </c>
      <c r="D1320" s="28">
        <f>IFERROR(__xludf.DUMMYFUNCTION("""COMPUTED_VALUE"""),45377.0)</f>
        <v>45377</v>
      </c>
      <c r="E1320" s="31">
        <f>IFERROR(__xludf.DUMMYFUNCTION("""COMPUTED_VALUE"""),289656.0)</f>
        <v>289656</v>
      </c>
      <c r="F1320" s="31" t="str">
        <f>IFERROR(__xludf.DUMMYFUNCTION("""COMPUTED_VALUE"""),"愛ってなんですか？ ～貧乏娘は体を使って衣食住をゲットします！～")</f>
        <v>愛ってなんですか？ ～貧乏娘は体を使って衣食住をゲットします！～</v>
      </c>
      <c r="G1320" s="20">
        <f>IFERROR(__xludf.DUMMYFUNCTION("""COMPUTED_VALUE"""),1.0)</f>
        <v>1</v>
      </c>
      <c r="H1320" s="31" t="str">
        <f>IFERROR(__xludf.DUMMYFUNCTION("""COMPUTED_VALUE"""),"江田まり・桜木桃子")</f>
        <v>江田まり・桜木桃子</v>
      </c>
      <c r="I1320" s="31" t="str">
        <f>IFERROR(__xludf.DUMMYFUNCTION("""COMPUTED_VALUE"""),"TL")</f>
        <v>TL</v>
      </c>
      <c r="J1320" s="31"/>
      <c r="K1320" s="31"/>
      <c r="L1320" s="31" t="str">
        <f>IFERROR(__xludf.DUMMYFUNCTION("""COMPUTED_VALUE"""),"一迅社")</f>
        <v>一迅社</v>
      </c>
      <c r="M1320" s="23">
        <f>IFERROR(__xludf.DUMMYFUNCTION("""COMPUTED_VALUE"""),45407.0)</f>
        <v>45407</v>
      </c>
      <c r="N1320" s="23">
        <f>IFERROR(__xludf.DUMMYFUNCTION("""COMPUTED_VALUE"""),45436.0)</f>
        <v>45436</v>
      </c>
      <c r="O1320" s="20"/>
      <c r="P1320" s="34" t="str">
        <f>IFERROR(__xludf.DUMMYFUNCTION("""COMPUTED_VALUE"""),"可")</f>
        <v>可</v>
      </c>
      <c r="Q1320" s="30" t="str">
        <f>IFERROR(__xludf.DUMMYFUNCTION("""COMPUTED_VALUE"""),"comicLAKE&lt;BR&gt;P119～160")</f>
        <v>comicLAKE&lt;BR&gt;P119～160</v>
      </c>
      <c r="R1320" s="31"/>
      <c r="S1320" s="31" t="str">
        <f>IFERROR(__xludf.DUMMYFUNCTION("""COMPUTED_VALUE"""),"20240325_一迅社_comicLAKEアンソロジー")</f>
        <v>20240325_一迅社_comicLAKEアンソロジー</v>
      </c>
      <c r="T1320" s="31" t="str">
        <f>IFERROR(__xludf.DUMMYFUNCTION("""COMPUTED_VALUE"""),"格納済み")</f>
        <v>格納済み</v>
      </c>
      <c r="U1320" s="15" t="str">
        <f>IFERROR(__xludf.DUMMYFUNCTION("""COMPUTED_VALUE"""),"(C)江田まり・桜木桃子／一迅社")</f>
        <v>(C)江田まり・桜木桃子／一迅社</v>
      </c>
      <c r="V1320" s="8" t="str">
        <f>IFERROR(__xludf.DUMMYFUNCTION("""COMPUTED_VALUE"""),"貧しい暮らしに疲弊していたところをトラックに撥ねられ異世界転生！？しかも4人の夫を持たなければいけなくなり……！？　※この作品は『不遇だった私は愛が重い旦那様から甘く淫らに溺愛される　コミックアンソロジー』収録作品と同一の内容を単話版として再編集したものとなります。")</f>
        <v>貧しい暮らしに疲弊していたところをトラックに撥ねられ異世界転生！？しかも4人の夫を持たなければいけなくなり……！？　※この作品は『不遇だった私は愛が重い旦那様から甘く淫らに溺愛される　コミックアンソロジー』収録作品と同一の内容を単話版として再編集したものとなります。</v>
      </c>
      <c r="W1320" s="14"/>
      <c r="X1320" s="14" t="str">
        <f>IFERROR(__xludf.DUMMYFUNCTION("""COMPUTED_VALUE"""),"有")</f>
        <v>有</v>
      </c>
      <c r="Y1320" s="8" t="str">
        <f>IFERROR(__xludf.DUMMYFUNCTION("""COMPUTED_VALUE"""),"P9まで")</f>
        <v>P9まで</v>
      </c>
      <c r="Z1320" s="7"/>
      <c r="AA1320" s="7"/>
      <c r="AB1320" s="7"/>
    </row>
    <row r="1321" ht="15.75" customHeight="1">
      <c r="A1321" s="26">
        <f>IFERROR(__xludf.DUMMYFUNCTION("""COMPUTED_VALUE"""),3163.0)</f>
        <v>3163</v>
      </c>
      <c r="B1321" s="31" t="str">
        <f>IFERROR(__xludf.DUMMYFUNCTION("""COMPUTED_VALUE"""),"確定")</f>
        <v>確定</v>
      </c>
      <c r="C1321" s="28">
        <f>IFERROR(__xludf.DUMMYFUNCTION("""COMPUTED_VALUE"""),45376.0)</f>
        <v>45376</v>
      </c>
      <c r="D1321" s="28">
        <f>IFERROR(__xludf.DUMMYFUNCTION("""COMPUTED_VALUE"""),45377.0)</f>
        <v>45377</v>
      </c>
      <c r="E1321" s="31">
        <f>IFERROR(__xludf.DUMMYFUNCTION("""COMPUTED_VALUE"""),291489.0)</f>
        <v>291489</v>
      </c>
      <c r="F1321" s="31" t="str">
        <f>IFERROR(__xludf.DUMMYFUNCTION("""COMPUTED_VALUE"""),"恋は忍耐")</f>
        <v>恋は忍耐</v>
      </c>
      <c r="G1321" s="20" t="str">
        <f>IFERROR(__xludf.DUMMYFUNCTION("""COMPUTED_VALUE"""),"1～7")</f>
        <v>1～7</v>
      </c>
      <c r="H1321" s="31" t="str">
        <f>IFERROR(__xludf.DUMMYFUNCTION("""COMPUTED_VALUE"""),"川西ノブヒロ")</f>
        <v>川西ノブヒロ</v>
      </c>
      <c r="I1321" s="31" t="str">
        <f>IFERROR(__xludf.DUMMYFUNCTION("""COMPUTED_VALUE"""),"青年")</f>
        <v>青年</v>
      </c>
      <c r="J1321" s="31"/>
      <c r="K1321" s="31"/>
      <c r="L1321" s="31" t="str">
        <f>IFERROR(__xludf.DUMMYFUNCTION("""COMPUTED_VALUE"""),"集英社")</f>
        <v>集英社</v>
      </c>
      <c r="M1321" s="23">
        <f>IFERROR(__xludf.DUMMYFUNCTION("""COMPUTED_VALUE"""),45401.0)</f>
        <v>45401</v>
      </c>
      <c r="N1321" s="47">
        <f>IFERROR(__xludf.DUMMYFUNCTION("""COMPUTED_VALUE"""),45428.0)</f>
        <v>45428</v>
      </c>
      <c r="O1321" s="20"/>
      <c r="P1321" s="34" t="str">
        <f>IFERROR(__xludf.DUMMYFUNCTION("""COMPUTED_VALUE"""),"否")</f>
        <v>否</v>
      </c>
      <c r="Q1321" s="30" t="str">
        <f>IFERROR(__xludf.DUMMYFUNCTION("""COMPUTED_VALUE"""),"ウルトラジャンプ")</f>
        <v>ウルトラジャンプ</v>
      </c>
      <c r="R1321" s="31"/>
      <c r="S1321" s="31" t="str">
        <f>IFERROR(__xludf.DUMMYFUNCTION("""COMPUTED_VALUE"""),"20240325_集英社_4月新作")</f>
        <v>20240325_集英社_4月新作</v>
      </c>
      <c r="T1321" s="31" t="str">
        <f>IFERROR(__xludf.DUMMYFUNCTION("""COMPUTED_VALUE"""),"格納済み")</f>
        <v>格納済み</v>
      </c>
      <c r="U1321" s="15" t="str">
        <f>IFERROR(__xludf.DUMMYFUNCTION("""COMPUTED_VALUE"""),"(C)川西ノブヒロ／集英社")</f>
        <v>(C)川西ノブヒロ／集英社</v>
      </c>
      <c r="V1321" s="8" t="str">
        <f>IFERROR(__xludf.DUMMYFUNCTION("""COMPUTED_VALUE"""),"少子化時代の全人類、刮目!!　愚かな男の人格矯正ラブコメディ!!　東京の北の端。都内屈指の男子校、英凛（えいりん）高校が共学化した。　記念すべき初年度の女子入学数は“5名”だけ…。　女子や恋愛をワカった気でいる男子たちの掃き溜めに　突如現れた女子入学者・一渡瀬七日（ひととせ なのか）。　彼女にくぎ付けの男子たちはあの手この手でお近づきになろうとするが…。　「失礼じゃないですか？」　「ウルトラジャンプ」連載『恋は忍耐』分冊版第1巻！")</f>
        <v>少子化時代の全人類、刮目!!　愚かな男の人格矯正ラブコメディ!!　東京の北の端。都内屈指の男子校、英凛（えいりん）高校が共学化した。　記念すべき初年度の女子入学数は“5名”だけ…。　女子や恋愛をワカった気でいる男子たちの掃き溜めに　突如現れた女子入学者・一渡瀬七日（ひととせ なのか）。　彼女にくぎ付けの男子たちはあの手この手でお近づきになろうとするが…。　「失礼じゃないですか？」　「ウルトラジャンプ」連載『恋は忍耐』分冊版第1巻！</v>
      </c>
      <c r="W1321" s="14"/>
      <c r="X1321" s="14" t="str">
        <f>IFERROR(__xludf.DUMMYFUNCTION("""COMPUTED_VALUE"""),"有")</f>
        <v>有</v>
      </c>
      <c r="Y1321" s="8" t="str">
        <f>IFERROR(__xludf.DUMMYFUNCTION("""COMPUTED_VALUE"""),"P20まで")</f>
        <v>P20まで</v>
      </c>
      <c r="Z1321" s="7"/>
      <c r="AA1321" s="7"/>
      <c r="AB1321" s="7"/>
    </row>
    <row r="1322" ht="96.75" customHeight="1">
      <c r="A1322" s="26">
        <f>IFERROR(__xludf.DUMMYFUNCTION("""COMPUTED_VALUE"""),3164.0)</f>
        <v>3164</v>
      </c>
      <c r="B1322" s="31" t="str">
        <f>IFERROR(__xludf.DUMMYFUNCTION("""COMPUTED_VALUE"""),"確定")</f>
        <v>確定</v>
      </c>
      <c r="C1322" s="28">
        <f>IFERROR(__xludf.DUMMYFUNCTION("""COMPUTED_VALUE"""),45376.0)</f>
        <v>45376</v>
      </c>
      <c r="D1322" s="28">
        <f>IFERROR(__xludf.DUMMYFUNCTION("""COMPUTED_VALUE"""),45377.0)</f>
        <v>45377</v>
      </c>
      <c r="E1322" s="31">
        <f>IFERROR(__xludf.DUMMYFUNCTION("""COMPUTED_VALUE"""),290590.0)</f>
        <v>290590</v>
      </c>
      <c r="F1322" s="31" t="str">
        <f>IFERROR(__xludf.DUMMYFUNCTION("""COMPUTED_VALUE"""),"恋の行方は気にしなくていい～消防士さんと危険な火遊び!?～")</f>
        <v>恋の行方は気にしなくていい～消防士さんと危険な火遊び!?～</v>
      </c>
      <c r="G1322" s="11" t="str">
        <f>IFERROR(__xludf.DUMMYFUNCTION("""COMPUTED_VALUE"""),"1～4")</f>
        <v>1～4</v>
      </c>
      <c r="H1322" s="31" t="str">
        <f>IFERROR(__xludf.DUMMYFUNCTION("""COMPUTED_VALUE"""),"漫画：綺咲スズ／原作：市來茉莉（エブリスタ）")</f>
        <v>漫画：綺咲スズ／原作：市來茉莉（エブリスタ）</v>
      </c>
      <c r="I1322" s="31" t="str">
        <f>IFERROR(__xludf.DUMMYFUNCTION("""COMPUTED_VALUE"""),"女性")</f>
        <v>女性</v>
      </c>
      <c r="J1322" s="31"/>
      <c r="K1322" s="31"/>
      <c r="L1322" s="31" t="str">
        <f>IFERROR(__xludf.DUMMYFUNCTION("""COMPUTED_VALUE"""),"集英社")</f>
        <v>集英社</v>
      </c>
      <c r="M1322" s="23">
        <f>IFERROR(__xludf.DUMMYFUNCTION("""COMPUTED_VALUE"""),45397.0)</f>
        <v>45397</v>
      </c>
      <c r="N1322" s="23">
        <f>IFERROR(__xludf.DUMMYFUNCTION("""COMPUTED_VALUE"""),45426.0)</f>
        <v>45426</v>
      </c>
      <c r="O1322" s="20"/>
      <c r="P1322" s="34" t="str">
        <f>IFERROR(__xludf.DUMMYFUNCTION("""COMPUTED_VALUE"""),"否")</f>
        <v>否</v>
      </c>
      <c r="Q1322" s="30" t="str">
        <f>IFERROR(__xludf.DUMMYFUNCTION("""COMPUTED_VALUE"""),"ココハナ")</f>
        <v>ココハナ</v>
      </c>
      <c r="R1322" s="31"/>
      <c r="S1322" s="31" t="str">
        <f>IFERROR(__xludf.DUMMYFUNCTION("""COMPUTED_VALUE"""),"20240325_集英社_4月新作")</f>
        <v>20240325_集英社_4月新作</v>
      </c>
      <c r="T1322" s="31" t="str">
        <f>IFERROR(__xludf.DUMMYFUNCTION("""COMPUTED_VALUE"""),"格納済み")</f>
        <v>格納済み</v>
      </c>
      <c r="U1322" s="15" t="str">
        <f>IFERROR(__xludf.DUMMYFUNCTION("""COMPUTED_VALUE"""),"(C)綺咲スズ・市來茉莉（エブリスタ）／集英社")</f>
        <v>(C)綺咲スズ・市來茉莉（エブリスタ）／集英社</v>
      </c>
      <c r="V1322" s="8" t="str">
        <f>IFERROR(__xludf.DUMMYFUNCTION("""COMPUTED_VALUE"""),"札幌の百貨店で外商として働く小山真広（29）は、欲求不満を趣味の青年漫画を購読することで紛らわせる日々…。ある日、自身の住むマンションで火災が発生！　煙にまかれて意識を失いかけたところ、イケメン消防官に助けられ…!?　「まさか、あの消防官とこんなことになるなんて…」")</f>
        <v>札幌の百貨店で外商として働く小山真広（29）は、欲求不満を趣味の青年漫画を購読することで紛らわせる日々…。ある日、自身の住むマンションで火災が発生！　煙にまかれて意識を失いかけたところ、イケメン消防官に助けられ…!?　「まさか、あの消防官とこんなことになるなんて…」</v>
      </c>
      <c r="W1322" s="14"/>
      <c r="X1322" s="14" t="str">
        <f>IFERROR(__xludf.DUMMYFUNCTION("""COMPUTED_VALUE"""),"有")</f>
        <v>有</v>
      </c>
      <c r="Y1322" s="8" t="str">
        <f>IFERROR(__xludf.DUMMYFUNCTION("""COMPUTED_VALUE"""),"P16まで")</f>
        <v>P16まで</v>
      </c>
      <c r="Z1322" s="7"/>
      <c r="AA1322" s="7"/>
      <c r="AB1322" s="7"/>
    </row>
    <row r="1323" ht="15.75" customHeight="1">
      <c r="A1323" s="26">
        <f>IFERROR(__xludf.DUMMYFUNCTION("""COMPUTED_VALUE"""),3165.0)</f>
        <v>3165</v>
      </c>
      <c r="B1323" s="31" t="str">
        <f>IFERROR(__xludf.DUMMYFUNCTION("""COMPUTED_VALUE"""),"確定")</f>
        <v>確定</v>
      </c>
      <c r="C1323" s="28">
        <f>IFERROR(__xludf.DUMMYFUNCTION("""COMPUTED_VALUE"""),45376.0)</f>
        <v>45376</v>
      </c>
      <c r="D1323" s="28">
        <f>IFERROR(__xludf.DUMMYFUNCTION("""COMPUTED_VALUE"""),45377.0)</f>
        <v>45377</v>
      </c>
      <c r="E1323" s="31">
        <f>IFERROR(__xludf.DUMMYFUNCTION("""COMPUTED_VALUE"""),290303.0)</f>
        <v>290303</v>
      </c>
      <c r="F1323" s="31" t="str">
        <f>IFERROR(__xludf.DUMMYFUNCTION("""COMPUTED_VALUE"""),"ヴァンパイアの後妻")</f>
        <v>ヴァンパイアの後妻</v>
      </c>
      <c r="G1323" s="11" t="str">
        <f>IFERROR(__xludf.DUMMYFUNCTION("""COMPUTED_VALUE"""),"1～4")</f>
        <v>1～4</v>
      </c>
      <c r="H1323" s="31" t="str">
        <f>IFERROR(__xludf.DUMMYFUNCTION("""COMPUTED_VALUE"""),"上田倫子")</f>
        <v>上田倫子</v>
      </c>
      <c r="I1323" s="52" t="str">
        <f>IFERROR(__xludf.DUMMYFUNCTION("""COMPUTED_VALUE"""),"女性")</f>
        <v>女性</v>
      </c>
      <c r="J1323" s="31"/>
      <c r="K1323" s="31"/>
      <c r="L1323" s="31" t="str">
        <f>IFERROR(__xludf.DUMMYFUNCTION("""COMPUTED_VALUE"""),"集英社")</f>
        <v>集英社</v>
      </c>
      <c r="M1323" s="23">
        <f>IFERROR(__xludf.DUMMYFUNCTION("""COMPUTED_VALUE"""),45407.0)</f>
        <v>45407</v>
      </c>
      <c r="N1323" s="23">
        <f>IFERROR(__xludf.DUMMYFUNCTION("""COMPUTED_VALUE"""),45436.0)</f>
        <v>45436</v>
      </c>
      <c r="O1323" s="20"/>
      <c r="P1323" s="34" t="str">
        <f>IFERROR(__xludf.DUMMYFUNCTION("""COMPUTED_VALUE"""),"否")</f>
        <v>否</v>
      </c>
      <c r="Q1323" s="30" t="str">
        <f>IFERROR(__xludf.DUMMYFUNCTION("""COMPUTED_VALUE"""),"マンガmee")</f>
        <v>マンガmee</v>
      </c>
      <c r="R1323" s="31"/>
      <c r="S1323" s="31" t="str">
        <f>IFERROR(__xludf.DUMMYFUNCTION("""COMPUTED_VALUE"""),"20240325_集英社_4月新作")</f>
        <v>20240325_集英社_4月新作</v>
      </c>
      <c r="T1323" s="31" t="str">
        <f>IFERROR(__xludf.DUMMYFUNCTION("""COMPUTED_VALUE"""),"格納済み")</f>
        <v>格納済み</v>
      </c>
      <c r="U1323" s="15" t="str">
        <f>IFERROR(__xludf.DUMMYFUNCTION("""COMPUTED_VALUE"""),"(C)上田倫子／集英社")</f>
        <v>(C)上田倫子／集英社</v>
      </c>
      <c r="V1323" s="8" t="str">
        <f>IFERROR(__xludf.DUMMYFUNCTION("""COMPUTED_VALUE"""),"時は大正、教師になるという夢を抱く姫奈は、冷酷な華族の軍人・皇成と無理矢理祝言をあげさせられそうに…。絶望の淵にいた姫奈を救ってくれたのは、人の血を糧に何百年も生きてきたヴァンパイア・白鳥だった。心に深い傷を負った優しきヴァンパイアと偽装結婚をすることになった姫奈。しかし、元婚約者の皇成も姫奈を取り戻そうと動き出し!?　身も心も奪われる大正浪漫ファンタジー。")</f>
        <v>時は大正、教師になるという夢を抱く姫奈は、冷酷な華族の軍人・皇成と無理矢理祝言をあげさせられそうに…。絶望の淵にいた姫奈を救ってくれたのは、人の血を糧に何百年も生きてきたヴァンパイア・白鳥だった。心に深い傷を負った優しきヴァンパイアと偽装結婚をすることになった姫奈。しかし、元婚約者の皇成も姫奈を取り戻そうと動き出し!?　身も心も奪われる大正浪漫ファンタジー。</v>
      </c>
      <c r="W1323" s="14"/>
      <c r="X1323" s="14" t="str">
        <f>IFERROR(__xludf.DUMMYFUNCTION("""COMPUTED_VALUE"""),"有")</f>
        <v>有</v>
      </c>
      <c r="Y1323" s="8" t="str">
        <f>IFERROR(__xludf.DUMMYFUNCTION("""COMPUTED_VALUE"""),"1巻無料")</f>
        <v>1巻無料</v>
      </c>
      <c r="Z1323" s="7"/>
      <c r="AA1323" s="7"/>
      <c r="AB1323" s="7"/>
    </row>
    <row r="1324" ht="124.5" customHeight="1">
      <c r="A1324" s="26">
        <f>IFERROR(__xludf.DUMMYFUNCTION("""COMPUTED_VALUE"""),3166.0)</f>
        <v>3166</v>
      </c>
      <c r="B1324" s="31" t="str">
        <f>IFERROR(__xludf.DUMMYFUNCTION("""COMPUTED_VALUE"""),"確定")</f>
        <v>確定</v>
      </c>
      <c r="C1324" s="28">
        <f>IFERROR(__xludf.DUMMYFUNCTION("""COMPUTED_VALUE"""),45376.0)</f>
        <v>45376</v>
      </c>
      <c r="D1324" s="28">
        <f>IFERROR(__xludf.DUMMYFUNCTION("""COMPUTED_VALUE"""),45377.0)</f>
        <v>45377</v>
      </c>
      <c r="E1324" s="31">
        <f>IFERROR(__xludf.DUMMYFUNCTION("""COMPUTED_VALUE"""),290454.0)</f>
        <v>290454</v>
      </c>
      <c r="F1324" s="31" t="str">
        <f>IFERROR(__xludf.DUMMYFUNCTION("""COMPUTED_VALUE"""),"女性用風俗（他）取材してきました。")</f>
        <v>女性用風俗（他）取材してきました。</v>
      </c>
      <c r="G1324" s="20" t="str">
        <f>IFERROR(__xludf.DUMMYFUNCTION("""COMPUTED_VALUE"""),"1～3")</f>
        <v>1～3</v>
      </c>
      <c r="H1324" s="31" t="str">
        <f>IFERROR(__xludf.DUMMYFUNCTION("""COMPUTED_VALUE"""),"小沢カオル")</f>
        <v>小沢カオル</v>
      </c>
      <c r="I1324" s="31" t="str">
        <f>IFERROR(__xludf.DUMMYFUNCTION("""COMPUTED_VALUE"""),"女性")</f>
        <v>女性</v>
      </c>
      <c r="J1324" s="31"/>
      <c r="K1324" s="31"/>
      <c r="L1324" s="31" t="str">
        <f>IFERROR(__xludf.DUMMYFUNCTION("""COMPUTED_VALUE"""),"秋田書店")</f>
        <v>秋田書店</v>
      </c>
      <c r="M1324" s="23">
        <f>IFERROR(__xludf.DUMMYFUNCTION("""COMPUTED_VALUE"""),45398.0)</f>
        <v>45398</v>
      </c>
      <c r="N1324" s="23">
        <f>IFERROR(__xludf.DUMMYFUNCTION("""COMPUTED_VALUE"""),45456.0)</f>
        <v>45456</v>
      </c>
      <c r="O1324" s="20"/>
      <c r="P1324" s="32" t="str">
        <f>IFERROR(__xludf.DUMMYFUNCTION("""COMPUTED_VALUE"""),"可")</f>
        <v>可</v>
      </c>
      <c r="Q1324" s="30"/>
      <c r="R1324" s="31"/>
      <c r="S1324" s="31" t="str">
        <f>IFERROR(__xludf.DUMMYFUNCTION("""COMPUTED_VALUE"""),"20240325_秋田書店_4月Lovemax")</f>
        <v>20240325_秋田書店_4月Lovemax</v>
      </c>
      <c r="T1324" s="31" t="str">
        <f>IFERROR(__xludf.DUMMYFUNCTION("""COMPUTED_VALUE"""),"格納済み")</f>
        <v>格納済み</v>
      </c>
      <c r="U1324" s="15" t="str">
        <f>IFERROR(__xludf.DUMMYFUNCTION("""COMPUTED_VALUE"""),"（C）小沢カオル（秋田書店）")</f>
        <v>（C）小沢カオル（秋田書店）</v>
      </c>
      <c r="V1324" s="8" t="str">
        <f>IFERROR(__xludf.DUMMYFUNCTION("""COMPUTED_VALUE"""),"女性用風俗ってどんなことしてくれるの…!?第1話ヒーラーセラピスト雅斗さん、第2話AV男優セラピスト宮本明さんに突撃取材。雅斗さんはヒーリングや脳イキについて、宮本さんはスリルを快感に変える奇想天外なプレイを教えてくれました…!!現役セラピストさんによるライブ感あふれる掲載ギリギリなホントの話!!")</f>
        <v>女性用風俗ってどんなことしてくれるの…!?第1話ヒーラーセラピスト雅斗さん、第2話AV男優セラピスト宮本明さんに突撃取材。雅斗さんはヒーリングや脳イキについて、宮本さんはスリルを快感に変える奇想天外なプレイを教えてくれました…!!現役セラピストさんによるライブ感あふれる掲載ギリギリなホントの話!!</v>
      </c>
      <c r="W1324" s="14"/>
      <c r="X1324" s="14" t="str">
        <f>IFERROR(__xludf.DUMMYFUNCTION("""COMPUTED_VALUE"""),"有")</f>
        <v>有</v>
      </c>
      <c r="Y1324" s="8" t="str">
        <f>IFERROR(__xludf.DUMMYFUNCTION("""COMPUTED_VALUE"""),"2024/6/13まで1巻無料")</f>
        <v>2024/6/13まで1巻無料</v>
      </c>
      <c r="Z1324" s="7"/>
      <c r="AA1324" s="7"/>
      <c r="AB1324" s="7"/>
    </row>
    <row r="1325" ht="15.75" customHeight="1">
      <c r="A1325" s="26">
        <f>IFERROR(__xludf.DUMMYFUNCTION("""COMPUTED_VALUE"""),2887.0)</f>
        <v>2887</v>
      </c>
      <c r="B1325" s="22" t="str">
        <f>IFERROR(__xludf.DUMMYFUNCTION("""COMPUTED_VALUE"""),"確定")</f>
        <v>確定</v>
      </c>
      <c r="C1325" s="28">
        <f>IFERROR(__xludf.DUMMYFUNCTION("""COMPUTED_VALUE"""),45320.0)</f>
        <v>45320</v>
      </c>
      <c r="D1325" s="28">
        <f>IFERROR(__xludf.DUMMYFUNCTION("""COMPUTED_VALUE"""),45384.0)</f>
        <v>45384</v>
      </c>
      <c r="E1325" s="31">
        <f>IFERROR(__xludf.DUMMYFUNCTION("""COMPUTED_VALUE"""),292780.0)</f>
        <v>292780</v>
      </c>
      <c r="F1325" s="22" t="str">
        <f>IFERROR(__xludf.DUMMYFUNCTION("""COMPUTED_VALUE"""),"冷酷参謀の夫婦円満計画※なお、遂行まで十年【単話売】")</f>
        <v>冷酷参謀の夫婦円満計画※なお、遂行まで十年【単話売】</v>
      </c>
      <c r="G1325" s="16" t="str">
        <f>IFERROR(__xludf.DUMMYFUNCTION("""COMPUTED_VALUE"""),"1～3")</f>
        <v>1～3</v>
      </c>
      <c r="H1325" s="22" t="str">
        <f>IFERROR(__xludf.DUMMYFUNCTION("""COMPUTED_VALUE"""),"寿千花/戸瀬つぐみ/yuiNa")</f>
        <v>寿千花/戸瀬つぐみ/yuiNa</v>
      </c>
      <c r="I1325" s="22" t="str">
        <f>IFERROR(__xludf.DUMMYFUNCTION("""COMPUTED_VALUE"""),"少女")</f>
        <v>少女</v>
      </c>
      <c r="J1325" s="22"/>
      <c r="K1325" s="22"/>
      <c r="L1325" s="22" t="str">
        <f>IFERROR(__xludf.DUMMYFUNCTION("""COMPUTED_VALUE"""),"ジュリアンパブリッシング")</f>
        <v>ジュリアンパブリッシング</v>
      </c>
      <c r="M1325" s="23">
        <f>IFERROR(__xludf.DUMMYFUNCTION("""COMPUTED_VALUE"""),45429.0)</f>
        <v>45429</v>
      </c>
      <c r="N1325" s="47">
        <f>IFERROR(__xludf.DUMMYFUNCTION("""COMPUTED_VALUE"""),45491.0)</f>
        <v>45491</v>
      </c>
      <c r="O1325" s="20"/>
      <c r="P1325" s="29" t="str">
        <f>IFERROR(__xludf.DUMMYFUNCTION("""COMPUTED_VALUE"""),"否")</f>
        <v>否</v>
      </c>
      <c r="Q1325" s="30" t="str">
        <f>IFERROR(__xludf.DUMMYFUNCTION("""COMPUTED_VALUE"""),"広告コミットOK(1/30)")</f>
        <v>広告コミットOK(1/30)</v>
      </c>
      <c r="R1325" s="22"/>
      <c r="S1325" s="22" t="str">
        <f>IFERROR(__xludf.DUMMYFUNCTION("""COMPUTED_VALUE"""),"20240401_Jパブリッシング_冷酷参謀の夫婦円満計画※なお、遂行まで十年【単話売】")</f>
        <v>20240401_Jパブリッシング_冷酷参謀の夫婦円満計画※なお、遂行まで十年【単話売】</v>
      </c>
      <c r="T1325" s="22" t="str">
        <f>IFERROR(__xludf.DUMMYFUNCTION("""COMPUTED_VALUE"""),"格納済み")</f>
        <v>格納済み</v>
      </c>
      <c r="U1325" s="15" t="str">
        <f>IFERROR(__xludf.DUMMYFUNCTION("""COMPUTED_VALUE"""),"(C)寿千花/戸瀬つぐみ/yuiNa/ジュリアンパブリッシング")</f>
        <v>(C)寿千花/戸瀬つぐみ/yuiNa/ジュリアンパブリッシング</v>
      </c>
      <c r="V1325" s="8" t="str">
        <f>IFERROR(__xludf.DUMMYFUNCTION("""COMPUTED_VALUE"""),"「君が一番まともそうだから」という理由で、“鉄の参謀”と恐れられるラウノの妻に任命されたベアトリス。イメージアップのために愛妻家を目指すラウノだが、彼の作戦は夫婦円満には程遠くて!?　「悪いが待ってやれない。誰がなんと言おうと、もう君は私の妻だ」あくまで妻役だと思っていたのに、熱く抱きしめられ……。冷酷参謀のわかりにくいけれど確かな深い愛に包まれて、夫婦円満を目指します！")</f>
        <v>「君が一番まともそうだから」という理由で、“鉄の参謀”と恐れられるラウノの妻に任命されたベアトリス。イメージアップのために愛妻家を目指すラウノだが、彼の作戦は夫婦円満には程遠くて!?　「悪いが待ってやれない。誰がなんと言おうと、もう君は私の妻だ」あくまで妻役だと思っていたのに、熱く抱きしめられ……。冷酷参謀のわかりにくいけれど確かな深い愛に包まれて、夫婦円満を目指します！</v>
      </c>
      <c r="W1325" s="14"/>
      <c r="X1325" s="14" t="str">
        <f>IFERROR(__xludf.DUMMYFUNCTION("""COMPUTED_VALUE"""),"有")</f>
        <v>有</v>
      </c>
      <c r="Y1325" s="8" t="str">
        <f>IFERROR(__xludf.DUMMYFUNCTION("""COMPUTED_VALUE"""),"P8まで")</f>
        <v>P8まで</v>
      </c>
      <c r="Z1325" s="7"/>
      <c r="AA1325" s="7"/>
      <c r="AB1325" s="7"/>
    </row>
    <row r="1326" ht="15.75" customHeight="1">
      <c r="A1326" s="26">
        <f>IFERROR(__xludf.DUMMYFUNCTION("""COMPUTED_VALUE"""),2920.0)</f>
        <v>2920</v>
      </c>
      <c r="B1326" s="22" t="str">
        <f>IFERROR(__xludf.DUMMYFUNCTION("""COMPUTED_VALUE"""),"確定")</f>
        <v>確定</v>
      </c>
      <c r="C1326" s="28">
        <f>IFERROR(__xludf.DUMMYFUNCTION("""COMPUTED_VALUE"""),45324.0)</f>
        <v>45324</v>
      </c>
      <c r="D1326" s="28">
        <f>IFERROR(__xludf.DUMMYFUNCTION("""COMPUTED_VALUE"""),45384.0)</f>
        <v>45384</v>
      </c>
      <c r="E1326" s="31">
        <f>IFERROR(__xludf.DUMMYFUNCTION("""COMPUTED_VALUE"""),291632.0)</f>
        <v>291632</v>
      </c>
      <c r="F1326" s="22" t="str">
        <f>IFERROR(__xludf.DUMMYFUNCTION("""COMPUTED_VALUE"""),"上司の家に転がり込みまして。")</f>
        <v>上司の家に転がり込みまして。</v>
      </c>
      <c r="G1326" s="16" t="str">
        <f>IFERROR(__xludf.DUMMYFUNCTION("""COMPUTED_VALUE"""),"1～3")</f>
        <v>1～3</v>
      </c>
      <c r="H1326" s="22" t="str">
        <f>IFERROR(__xludf.DUMMYFUNCTION("""COMPUTED_VALUE"""),"むしろ")</f>
        <v>むしろ</v>
      </c>
      <c r="I1326" s="22" t="str">
        <f>IFERROR(__xludf.DUMMYFUNCTION("""COMPUTED_VALUE"""),"女性")</f>
        <v>女性</v>
      </c>
      <c r="J1326" s="22"/>
      <c r="K1326" s="22"/>
      <c r="L1326" s="22" t="str">
        <f>IFERROR(__xludf.DUMMYFUNCTION("""COMPUTED_VALUE"""),"オーバーラップ")</f>
        <v>オーバーラップ</v>
      </c>
      <c r="M1326" s="23">
        <f>IFERROR(__xludf.DUMMYFUNCTION("""COMPUTED_VALUE"""),45406.0)</f>
        <v>45406</v>
      </c>
      <c r="N1326" s="47">
        <f>IFERROR(__xludf.DUMMYFUNCTION("""COMPUTED_VALUE"""),73050.0)</f>
        <v>73050</v>
      </c>
      <c r="O1326" s="20"/>
      <c r="P1326" s="29" t="str">
        <f>IFERROR(__xludf.DUMMYFUNCTION("""COMPUTED_VALUE"""),"否")</f>
        <v>否</v>
      </c>
      <c r="Q1326" s="30" t="str">
        <f>IFERROR(__xludf.DUMMYFUNCTION("""COMPUTED_VALUE"""),"広告コミットOK(2/8)")</f>
        <v>広告コミットOK(2/8)</v>
      </c>
      <c r="R1326" s="22"/>
      <c r="S1326" s="22" t="str">
        <f>IFERROR(__xludf.DUMMYFUNCTION("""COMPUTED_VALUE"""),"20240401_オーバーラップ_上司の家に転がり込みまして")</f>
        <v>20240401_オーバーラップ_上司の家に転がり込みまして</v>
      </c>
      <c r="T1326" s="22" t="str">
        <f>IFERROR(__xludf.DUMMYFUNCTION("""COMPUTED_VALUE"""),"格納済み")</f>
        <v>格納済み</v>
      </c>
      <c r="U1326" s="15" t="str">
        <f>IFERROR(__xludf.DUMMYFUNCTION("""COMPUTED_VALUE"""),"(c)むしろ／オーバーラップ")</f>
        <v>(c)むしろ／オーバーラップ</v>
      </c>
      <c r="V1326" s="8" t="str">
        <f>IFERROR(__xludf.DUMMYFUNCTION("""COMPUTED_VALUE"""),"アラサーOL・立花 雪（たちばなゆき）は仕事も恋も順調で、同棲中の婚約者とゴールインもすぐそこ！だったはずなのに…。
ある日突然、彼は既婚者で自分は浮気相手という事実を突きつけられてしまう。 一夜にして住むところも貯金も全て失い、たどり着いたのはボロボロの一軒家。格安家賃に惹かれ入居を決めるが、そこには大嫌いな上司と謎の子どもが住んでいて!?")</f>
        <v>アラサーOL・立花 雪（たちばなゆき）は仕事も恋も順調で、同棲中の婚約者とゴールインもすぐそこ！だったはずなのに…。
ある日突然、彼は既婚者で自分は浮気相手という事実を突きつけられてしまう。 一夜にして住むところも貯金も全て失い、たどり着いたのはボロボロの一軒家。格安家賃に惹かれ入居を決めるが、そこには大嫌いな上司と謎の子どもが住んでいて!?</v>
      </c>
      <c r="W1326" s="14"/>
      <c r="X1326" s="14" t="str">
        <f>IFERROR(__xludf.DUMMYFUNCTION("""COMPUTED_VALUE"""),"有")</f>
        <v>有</v>
      </c>
      <c r="Y1326" s="8" t="str">
        <f>IFERROR(__xludf.DUMMYFUNCTION("""COMPUTED_VALUE"""),"2024/7/23まで1巻無料")</f>
        <v>2024/7/23まで1巻無料</v>
      </c>
      <c r="Z1326" s="7"/>
      <c r="AA1326" s="7"/>
      <c r="AB1326" s="7"/>
    </row>
    <row r="1327" ht="15.75" customHeight="1">
      <c r="A1327" s="26">
        <f>IFERROR(__xludf.DUMMYFUNCTION("""COMPUTED_VALUE"""),2938.0)</f>
        <v>2938</v>
      </c>
      <c r="B1327" s="22" t="str">
        <f>IFERROR(__xludf.DUMMYFUNCTION("""COMPUTED_VALUE"""),"確定")</f>
        <v>確定</v>
      </c>
      <c r="C1327" s="28">
        <f>IFERROR(__xludf.DUMMYFUNCTION("""COMPUTED_VALUE"""),45329.0)</f>
        <v>45329</v>
      </c>
      <c r="D1327" s="28">
        <f>IFERROR(__xludf.DUMMYFUNCTION("""COMPUTED_VALUE"""),45385.0)</f>
        <v>45385</v>
      </c>
      <c r="E1327" s="31">
        <f>IFERROR(__xludf.DUMMYFUNCTION("""COMPUTED_VALUE"""),292352.0)</f>
        <v>292352</v>
      </c>
      <c r="F1327" s="22" t="str">
        <f>IFERROR(__xludf.DUMMYFUNCTION("""COMPUTED_VALUE"""),"虐げられた令嬢はシークの花嫁として幸せになります！")</f>
        <v>虐げられた令嬢はシークの花嫁として幸せになります！</v>
      </c>
      <c r="G1327" s="20" t="str">
        <f>IFERROR(__xludf.DUMMYFUNCTION("""COMPUTED_VALUE"""),"1~3")</f>
        <v>1~3</v>
      </c>
      <c r="H1327" s="22" t="str">
        <f>IFERROR(__xludf.DUMMYFUNCTION("""COMPUTED_VALUE"""),"夏生恒")</f>
        <v>夏生恒</v>
      </c>
      <c r="I1327" s="22" t="str">
        <f>IFERROR(__xludf.DUMMYFUNCTION("""COMPUTED_VALUE"""),"女性")</f>
        <v>女性</v>
      </c>
      <c r="J1327" s="22"/>
      <c r="K1327" s="22"/>
      <c r="L1327" s="22" t="str">
        <f>IFERROR(__xludf.DUMMYFUNCTION("""COMPUTED_VALUE"""),"CLLENN")</f>
        <v>CLLENN</v>
      </c>
      <c r="M1327" s="23">
        <f>IFERROR(__xludf.DUMMYFUNCTION("""COMPUTED_VALUE"""),45422.0)</f>
        <v>45422</v>
      </c>
      <c r="N1327" s="23">
        <f>IFERROR(__xludf.DUMMYFUNCTION("""COMPUTED_VALUE"""),45484.0)</f>
        <v>45484</v>
      </c>
      <c r="O1327" s="20"/>
      <c r="P1327" s="32" t="str">
        <f>IFERROR(__xludf.DUMMYFUNCTION("""COMPUTED_VALUE"""),"可")</f>
        <v>可</v>
      </c>
      <c r="Q1327" s="22"/>
      <c r="R1327" s="22" t="str">
        <f>IFERROR(__xludf.DUMMYFUNCTION("""COMPUTED_VALUE"""),"格納済")</f>
        <v>格納済</v>
      </c>
      <c r="S1327" s="22" t="str">
        <f>IFERROR(__xludf.DUMMYFUNCTION("""COMPUTED_VALUE"""),"20240403_CLLENN_虐げられた令嬢はシークの花嫁として幸せになります！")</f>
        <v>20240403_CLLENN_虐げられた令嬢はシークの花嫁として幸せになります！</v>
      </c>
      <c r="T1327" s="22" t="str">
        <f>IFERROR(__xludf.DUMMYFUNCTION("""COMPUTED_VALUE"""),"校了済素材")</f>
        <v>校了済素材</v>
      </c>
      <c r="U1327" s="15" t="str">
        <f>IFERROR(__xludf.DUMMYFUNCTION("""COMPUTED_VALUE"""),"ⓒ夏生恒/CLLENN")</f>
        <v>ⓒ夏生恒/CLLENN</v>
      </c>
      <c r="V1327" s="8" t="str">
        <f>IFERROR(__xludf.DUMMYFUNCTION("""COMPUTED_VALUE"""),"幼いころ両親を亡くし、意地悪な叔母の家に引き取られた雨音。使用人のような扱いを受けてきたある日、突然パーティに連れて行ってもらえることに。胸躍らせながら参加したパーティは思っていた以上に煌びやかできれいだった。しかし、雨音がパーティに連れてこられた本当の理由は祖父ほどに歳の離れた男に金で売り飛ばすためで……。当たり前のように男に雨音を紹介する叔父に茫然とする雨音。そんな彼女の手を引いて助けてくれたのはーー！幸せなんかもうずっと諦めてきたのに――幼いころの約束が繋ぐ溺愛ロマンス！")</f>
        <v>幼いころ両親を亡くし、意地悪な叔母の家に引き取られた雨音。使用人のような扱いを受けてきたある日、突然パーティに連れて行ってもらえることに。胸躍らせながら参加したパーティは思っていた以上に煌びやかできれいだった。しかし、雨音がパーティに連れてこられた本当の理由は祖父ほどに歳の離れた男に金で売り飛ばすためで……。当たり前のように男に雨音を紹介する叔父に茫然とする雨音。そんな彼女の手を引いて助けてくれたのはーー！幸せなんかもうずっと諦めてきたのに――幼いころの約束が繋ぐ溺愛ロマンス！</v>
      </c>
      <c r="W1327" s="14"/>
      <c r="X1327" s="14" t="str">
        <f>IFERROR(__xludf.DUMMYFUNCTION("""COMPUTED_VALUE"""),"有")</f>
        <v>有</v>
      </c>
      <c r="Y1327" s="8" t="str">
        <f>IFERROR(__xludf.DUMMYFUNCTION("""COMPUTED_VALUE"""),"2024/5/23まで1巻無料")</f>
        <v>2024/5/23まで1巻無料</v>
      </c>
      <c r="Z1327" s="7"/>
      <c r="AA1327" s="7"/>
      <c r="AB1327" s="7"/>
    </row>
    <row r="1328" ht="15.75" customHeight="1">
      <c r="A1328" s="26">
        <f>IFERROR(__xludf.DUMMYFUNCTION("""COMPUTED_VALUE"""),2948.0)</f>
        <v>2948</v>
      </c>
      <c r="B1328" s="22" t="str">
        <f>IFERROR(__xludf.DUMMYFUNCTION("""COMPUTED_VALUE"""),"確定")</f>
        <v>確定</v>
      </c>
      <c r="C1328" s="28">
        <f>IFERROR(__xludf.DUMMYFUNCTION("""COMPUTED_VALUE"""),45331.0)</f>
        <v>45331</v>
      </c>
      <c r="D1328" s="28">
        <f>IFERROR(__xludf.DUMMYFUNCTION("""COMPUTED_VALUE"""),45384.0)</f>
        <v>45384</v>
      </c>
      <c r="E1328" s="31">
        <f>IFERROR(__xludf.DUMMYFUNCTION("""COMPUTED_VALUE"""),291487.0)</f>
        <v>291487</v>
      </c>
      <c r="F1328" s="22" t="str">
        <f>IFERROR(__xludf.DUMMYFUNCTION("""COMPUTED_VALUE"""),"今世で最後の恋をしよう")</f>
        <v>今世で最後の恋をしよう</v>
      </c>
      <c r="G1328" s="20">
        <f>IFERROR(__xludf.DUMMYFUNCTION("""COMPUTED_VALUE"""),1.0)</f>
        <v>1</v>
      </c>
      <c r="H1328" s="22" t="str">
        <f>IFERROR(__xludf.DUMMYFUNCTION("""COMPUTED_VALUE"""),"野々島凧")</f>
        <v>野々島凧</v>
      </c>
      <c r="I1328" s="22" t="str">
        <f>IFERROR(__xludf.DUMMYFUNCTION("""COMPUTED_VALUE"""),"BL")</f>
        <v>BL</v>
      </c>
      <c r="J1328" s="22"/>
      <c r="K1328" s="22"/>
      <c r="L1328" s="22" t="str">
        <f>IFERROR(__xludf.DUMMYFUNCTION("""COMPUTED_VALUE"""),"シュークリーム")</f>
        <v>シュークリーム</v>
      </c>
      <c r="M1328" s="23">
        <f>IFERROR(__xludf.DUMMYFUNCTION("""COMPUTED_VALUE"""),45408.0)</f>
        <v>45408</v>
      </c>
      <c r="N1328" s="23">
        <f>IFERROR(__xludf.DUMMYFUNCTION("""COMPUTED_VALUE"""),45435.0)</f>
        <v>45435</v>
      </c>
      <c r="O1328" s="20"/>
      <c r="P1328" s="32" t="str">
        <f>IFERROR(__xludf.DUMMYFUNCTION("""COMPUTED_VALUE"""),"可")</f>
        <v>可</v>
      </c>
      <c r="Q1328" s="30"/>
      <c r="R1328" s="22"/>
      <c r="S1328" s="22" t="str">
        <f>IFERROR(__xludf.DUMMYFUNCTION("""COMPUTED_VALUE"""),"20240401_シュークリーム_今世で最後の恋をしよう")</f>
        <v>20240401_シュークリーム_今世で最後の恋をしよう</v>
      </c>
      <c r="T1328" s="22" t="str">
        <f>IFERROR(__xludf.DUMMYFUNCTION("""COMPUTED_VALUE"""),"格納済み")</f>
        <v>格納済み</v>
      </c>
      <c r="U1328" s="15" t="str">
        <f>IFERROR(__xludf.DUMMYFUNCTION("""COMPUTED_VALUE"""),"（C）野々島凧/シュークリーム")</f>
        <v>（C）野々島凧/シュークリーム</v>
      </c>
      <c r="V1328" s="8" t="str">
        <f>IFERROR(__xludf.DUMMYFUNCTION("""COMPUTED_VALUE"""),"「ねえ、今世は置いていかないで」
“前世”の悪夢にうなされる不眠症の大学生・臣は
寝不足がたたって駅のホームで倒れそうになったところを
謎の男・千尋に助けられる。
何かと自分を気にかけてくれる彼に惹かれていく臣だったが
ある夜、豹変した千尋に「200年前からずっと好きだった」と告げられた挙句
彼が“人ではない何か”だと気づいてしまい――！？
200年の執着を抱く人外×前世の記憶を持つ青年
運命に抗う転生BL！")</f>
        <v>「ねえ、今世は置いていかないで」
“前世”の悪夢にうなされる不眠症の大学生・臣は
寝不足がたたって駅のホームで倒れそうになったところを
謎の男・千尋に助けられる。
何かと自分を気にかけてくれる彼に惹かれていく臣だったが
ある夜、豹変した千尋に「200年前からずっと好きだった」と告げられた挙句
彼が“人ではない何か”だと気づいてしまい――！？
200年の執着を抱く人外×前世の記憶を持つ青年
運命に抗う転生BL！</v>
      </c>
      <c r="W1328" s="14"/>
      <c r="X1328" s="14" t="str">
        <f>IFERROR(__xludf.DUMMYFUNCTION("""COMPUTED_VALUE"""),"有")</f>
        <v>有</v>
      </c>
      <c r="Y1328" s="8" t="str">
        <f>IFERROR(__xludf.DUMMYFUNCTION("""COMPUTED_VALUE"""),"P9まで")</f>
        <v>P9まで</v>
      </c>
      <c r="Z1328" s="7"/>
      <c r="AA1328" s="7"/>
      <c r="AB1328" s="7"/>
    </row>
    <row r="1329" ht="15.75" customHeight="1">
      <c r="A1329" s="26">
        <f>IFERROR(__xludf.DUMMYFUNCTION("""COMPUTED_VALUE"""),2949.0)</f>
        <v>2949</v>
      </c>
      <c r="B1329" s="22" t="str">
        <f>IFERROR(__xludf.DUMMYFUNCTION("""COMPUTED_VALUE"""),"確定")</f>
        <v>確定</v>
      </c>
      <c r="C1329" s="28">
        <f>IFERROR(__xludf.DUMMYFUNCTION("""COMPUTED_VALUE"""),45331.0)</f>
        <v>45331</v>
      </c>
      <c r="D1329" s="28">
        <f>IFERROR(__xludf.DUMMYFUNCTION("""COMPUTED_VALUE"""),45384.0)</f>
        <v>45384</v>
      </c>
      <c r="E1329" s="31">
        <f>IFERROR(__xludf.DUMMYFUNCTION("""COMPUTED_VALUE"""),291488.0)</f>
        <v>291488</v>
      </c>
      <c r="F1329" s="22" t="str">
        <f>IFERROR(__xludf.DUMMYFUNCTION("""COMPUTED_VALUE"""),"春に凪ぐ青")</f>
        <v>春に凪ぐ青</v>
      </c>
      <c r="G1329" s="20">
        <f>IFERROR(__xludf.DUMMYFUNCTION("""COMPUTED_VALUE"""),1.0)</f>
        <v>1</v>
      </c>
      <c r="H1329" s="22" t="str">
        <f>IFERROR(__xludf.DUMMYFUNCTION("""COMPUTED_VALUE"""),"依波きさ")</f>
        <v>依波きさ</v>
      </c>
      <c r="I1329" s="22" t="str">
        <f>IFERROR(__xludf.DUMMYFUNCTION("""COMPUTED_VALUE"""),"BL")</f>
        <v>BL</v>
      </c>
      <c r="J1329" s="22"/>
      <c r="K1329" s="22"/>
      <c r="L1329" s="22" t="str">
        <f>IFERROR(__xludf.DUMMYFUNCTION("""COMPUTED_VALUE"""),"シュークリーム")</f>
        <v>シュークリーム</v>
      </c>
      <c r="M1329" s="23">
        <f>IFERROR(__xludf.DUMMYFUNCTION("""COMPUTED_VALUE"""),45408.0)</f>
        <v>45408</v>
      </c>
      <c r="N1329" s="23">
        <f>IFERROR(__xludf.DUMMYFUNCTION("""COMPUTED_VALUE"""),45435.0)</f>
        <v>45435</v>
      </c>
      <c r="O1329" s="20"/>
      <c r="P1329" s="32" t="str">
        <f>IFERROR(__xludf.DUMMYFUNCTION("""COMPUTED_VALUE"""),"可")</f>
        <v>可</v>
      </c>
      <c r="Q1329" s="30"/>
      <c r="R1329" s="22"/>
      <c r="S1329" s="22" t="str">
        <f>IFERROR(__xludf.DUMMYFUNCTION("""COMPUTED_VALUE"""),"20240401_シュークリーム_春に凪ぐ青")</f>
        <v>20240401_シュークリーム_春に凪ぐ青</v>
      </c>
      <c r="T1329" s="22" t="str">
        <f>IFERROR(__xludf.DUMMYFUNCTION("""COMPUTED_VALUE"""),"格納済み")</f>
        <v>格納済み</v>
      </c>
      <c r="U1329" s="15" t="str">
        <f>IFERROR(__xludf.DUMMYFUNCTION("""COMPUTED_VALUE"""),"（C）依波きさ/シュークリーム")</f>
        <v>（C）依波きさ/シュークリーム</v>
      </c>
      <c r="V1329" s="8" t="str">
        <f>IFERROR(__xludf.DUMMYFUNCTION("""COMPUTED_VALUE"""),"「青く澄んでて、キラキラしてる」
…ずっと醜いと思っていた俺の目を、
そいつはまっすぐ見つめてそう言った。
颯和（そうわ）には、友達がいない。
目つきの悪さから不良に絡まれ、喧嘩ばかりの彼は
同じ学校の先輩・匡士郎（きょうしろう）に声をかけられる。
人気者でお人好し――自分と何もかも違う匡士郎にかまわれ
はじめはつっけんどんな態度をとっていた颯和だったが…？
世話焼き男前な先輩×クーデレ一匹狼な後輩
ピュアきゅん青春BL！")</f>
        <v>「青く澄んでて、キラキラしてる」
…ずっと醜いと思っていた俺の目を、
そいつはまっすぐ見つめてそう言った。
颯和（そうわ）には、友達がいない。
目つきの悪さから不良に絡まれ、喧嘩ばかりの彼は
同じ学校の先輩・匡士郎（きょうしろう）に声をかけられる。
人気者でお人好し――自分と何もかも違う匡士郎にかまわれ
はじめはつっけんどんな態度をとっていた颯和だったが…？
世話焼き男前な先輩×クーデレ一匹狼な後輩
ピュアきゅん青春BL！</v>
      </c>
      <c r="W1329" s="14"/>
      <c r="X1329" s="14" t="str">
        <f>IFERROR(__xludf.DUMMYFUNCTION("""COMPUTED_VALUE"""),"有")</f>
        <v>有</v>
      </c>
      <c r="Y1329" s="8" t="str">
        <f>IFERROR(__xludf.DUMMYFUNCTION("""COMPUTED_VALUE"""),"P11まで")</f>
        <v>P11まで</v>
      </c>
      <c r="Z1329" s="7"/>
      <c r="AA1329" s="7"/>
      <c r="AB1329" s="7"/>
    </row>
    <row r="1330" ht="120.0" customHeight="1">
      <c r="A1330" s="26">
        <f>IFERROR(__xludf.DUMMYFUNCTION("""COMPUTED_VALUE"""),2970.0)</f>
        <v>2970</v>
      </c>
      <c r="B1330" s="22" t="str">
        <f>IFERROR(__xludf.DUMMYFUNCTION("""COMPUTED_VALUE"""),"確定")</f>
        <v>確定</v>
      </c>
      <c r="C1330" s="28">
        <f>IFERROR(__xludf.DUMMYFUNCTION("""COMPUTED_VALUE"""),45335.0)</f>
        <v>45335</v>
      </c>
      <c r="D1330" s="28">
        <f>IFERROR(__xludf.DUMMYFUNCTION("""COMPUTED_VALUE"""),45384.0)</f>
        <v>45384</v>
      </c>
      <c r="E1330" s="31">
        <f>IFERROR(__xludf.DUMMYFUNCTION("""COMPUTED_VALUE"""),294583.0)</f>
        <v>294583</v>
      </c>
      <c r="F1330" s="46" t="str">
        <f>IFERROR(__xludf.DUMMYFUNCTION("""COMPUTED_VALUE"""),"生贄少女はお山の悪神に愛でられる 【分冊版】")</f>
        <v>生贄少女はお山の悪神に愛でられる 【分冊版】</v>
      </c>
      <c r="G1330" s="20" t="str">
        <f>IFERROR(__xludf.DUMMYFUNCTION("""COMPUTED_VALUE"""),"1～4")</f>
        <v>1～4</v>
      </c>
      <c r="H1330" s="22" t="str">
        <f>IFERROR(__xludf.DUMMYFUNCTION("""COMPUTED_VALUE"""),"神谷ユウ")</f>
        <v>神谷ユウ</v>
      </c>
      <c r="I1330" s="22" t="str">
        <f>IFERROR(__xludf.DUMMYFUNCTION("""COMPUTED_VALUE"""),"女性")</f>
        <v>女性</v>
      </c>
      <c r="J1330" s="22"/>
      <c r="K1330" s="22"/>
      <c r="L1330" s="22" t="str">
        <f>IFERROR(__xludf.DUMMYFUNCTION("""COMPUTED_VALUE"""),"U-NEXT")</f>
        <v>U-NEXT</v>
      </c>
      <c r="M1330" s="23">
        <f>IFERROR(__xludf.DUMMYFUNCTION("""COMPUTED_VALUE"""),45486.0)</f>
        <v>45486</v>
      </c>
      <c r="N1330" s="23">
        <f>IFERROR(__xludf.DUMMYFUNCTION("""COMPUTED_VALUE"""),45604.0)</f>
        <v>45604</v>
      </c>
      <c r="O1330" s="20"/>
      <c r="P1330" s="29" t="str">
        <f>IFERROR(__xludf.DUMMYFUNCTION("""COMPUTED_VALUE"""),"可")</f>
        <v>可</v>
      </c>
      <c r="Q1330" s="30" t="str">
        <f>IFERROR(__xludf.DUMMYFUNCTION("""COMPUTED_VALUE"""),"広告コミットOK(2/16)")</f>
        <v>広告コミットOK(2/16)</v>
      </c>
      <c r="R1330" s="22"/>
      <c r="S1330" s="22" t="str">
        <f>IFERROR(__xludf.DUMMYFUNCTION("""COMPUTED_VALUE"""),"20240213_U-NEXT_生贄少女はお山の悪神に愛でられる")</f>
        <v>20240213_U-NEXT_生贄少女はお山の悪神に愛でられる</v>
      </c>
      <c r="T1330" s="22" t="str">
        <f>IFERROR(__xludf.DUMMYFUNCTION("""COMPUTED_VALUE"""),"格納済み")</f>
        <v>格納済み</v>
      </c>
      <c r="U1330" s="15" t="str">
        <f>IFERROR(__xludf.DUMMYFUNCTION("""COMPUTED_VALUE"""),"©神谷ユウ／U-NEXT")</f>
        <v>©神谷ユウ／U-NEXT</v>
      </c>
      <c r="V1330" s="8" t="str">
        <f>IFERROR(__xludf.DUMMYFUNCTION("""COMPUTED_VALUE"""),"悪神を信仰する村である日、日食が起きる。赤い髪のせいで忌み嫌われていた少女“赤毛”が、生贄として悪神に差し出されることに。儀式当日、少女が滝に身を投げたところを悪神・朧が助ける。朧は神使となった少女を溺愛しはじめ…。")</f>
        <v>悪神を信仰する村である日、日食が起きる。赤い髪のせいで忌み嫌われていた少女“赤毛”が、生贄として悪神に差し出されることに。儀式当日、少女が滝に身を投げたところを悪神・朧が助ける。朧は神使となった少女を溺愛しはじめ…。</v>
      </c>
      <c r="W1330" s="14"/>
      <c r="X1330" s="14" t="str">
        <f>IFERROR(__xludf.DUMMYFUNCTION("""COMPUTED_VALUE"""),"有")</f>
        <v>有</v>
      </c>
      <c r="Y1330" s="8" t="str">
        <f>IFERROR(__xludf.DUMMYFUNCTION("""COMPUTED_VALUE"""),"2024/7/26まで1巻無料")</f>
        <v>2024/7/26まで1巻無料</v>
      </c>
      <c r="Z1330" s="7"/>
      <c r="AA1330" s="7"/>
      <c r="AB1330" s="7"/>
    </row>
    <row r="1331" ht="15.75" customHeight="1">
      <c r="A1331" s="26">
        <f>IFERROR(__xludf.DUMMYFUNCTION("""COMPUTED_VALUE"""),2996.0)</f>
        <v>2996</v>
      </c>
      <c r="B1331" s="22" t="str">
        <f>IFERROR(__xludf.DUMMYFUNCTION("""COMPUTED_VALUE"""),"確定")</f>
        <v>確定</v>
      </c>
      <c r="C1331" s="28">
        <f>IFERROR(__xludf.DUMMYFUNCTION("""COMPUTED_VALUE"""),45343.0)</f>
        <v>45343</v>
      </c>
      <c r="D1331" s="28">
        <f>IFERROR(__xludf.DUMMYFUNCTION("""COMPUTED_VALUE"""),45384.0)</f>
        <v>45384</v>
      </c>
      <c r="E1331" s="31">
        <f>IFERROR(__xludf.DUMMYFUNCTION("""COMPUTED_VALUE"""),291349.0)</f>
        <v>291349</v>
      </c>
      <c r="F1331" s="22" t="str">
        <f>IFERROR(__xludf.DUMMYFUNCTION("""COMPUTED_VALUE"""),"大正もらい婚～10月の花嫁は姉を愛する義兄に嫁ぐ～")</f>
        <v>大正もらい婚～10月の花嫁は姉を愛する義兄に嫁ぐ～</v>
      </c>
      <c r="G1331" s="11" t="str">
        <f>IFERROR(__xludf.DUMMYFUNCTION("""COMPUTED_VALUE"""),"1～9")</f>
        <v>1～9</v>
      </c>
      <c r="H1331" s="22" t="str">
        <f>IFERROR(__xludf.DUMMYFUNCTION("""COMPUTED_VALUE"""),"彩綺いろは")</f>
        <v>彩綺いろは</v>
      </c>
      <c r="I1331" s="22" t="str">
        <f>IFERROR(__xludf.DUMMYFUNCTION("""COMPUTED_VALUE"""),"女性")</f>
        <v>女性</v>
      </c>
      <c r="J1331" s="22"/>
      <c r="K1331" s="22"/>
      <c r="L1331" s="22" t="str">
        <f>IFERROR(__xludf.DUMMYFUNCTION("""COMPUTED_VALUE"""),"ライブコミックス")</f>
        <v>ライブコミックス</v>
      </c>
      <c r="M1331" s="23">
        <f>IFERROR(__xludf.DUMMYFUNCTION("""COMPUTED_VALUE"""),45408.0)</f>
        <v>45408</v>
      </c>
      <c r="N1331" s="23">
        <f>IFERROR(__xludf.DUMMYFUNCTION("""COMPUTED_VALUE"""),45470.0)</f>
        <v>45470</v>
      </c>
      <c r="O1331" s="20"/>
      <c r="P1331" s="29" t="str">
        <f>IFERROR(__xludf.DUMMYFUNCTION("""COMPUTED_VALUE"""),"可")</f>
        <v>可</v>
      </c>
      <c r="Q1331" s="30" t="str">
        <f>IFERROR(__xludf.DUMMYFUNCTION("""COMPUTED_VALUE"""),"広告コミットOK(3/1)")</f>
        <v>広告コミットOK(3/1)</v>
      </c>
      <c r="R1331" s="22"/>
      <c r="S1331" s="22" t="str">
        <f>IFERROR(__xludf.DUMMYFUNCTION("""COMPUTED_VALUE"""),"20240221_BookLive_大正もらい婚～10月の花嫁は姉を愛する義兄に嫁ぐ～")</f>
        <v>20240221_BookLive_大正もらい婚～10月の花嫁は姉を愛する義兄に嫁ぐ～</v>
      </c>
      <c r="T1331" s="22" t="str">
        <f>IFERROR(__xludf.DUMMYFUNCTION("""COMPUTED_VALUE"""),"格納済み")</f>
        <v>格納済み</v>
      </c>
      <c r="U1331" s="15" t="str">
        <f>IFERROR(__xludf.DUMMYFUNCTION("""COMPUTED_VALUE"""),"Ⓒ彩綺いろは/ライブコミックス")</f>
        <v>Ⓒ彩綺いろは/ライブコミックス</v>
      </c>
      <c r="V1331" s="8" t="str">
        <f>IFERROR(__xludf.DUMMYFUNCTION("""COMPUTED_VALUE"""),"今日、私は“姉の旦那様”に嫁ぎます。呉服屋の妾の子として生まれた蒼（あおい）は、継母に虐げられる日々を過ごしていた。ある日、腹違いの姉・瑠璃（るり）が結婚することに。夫の紅哉（こうや）は「氷雨の商人」と呼ばれるほど冷徹な男だが、瑠璃の献身的な支えもあり、二人は温かな家庭を築いていた。しかし、突然の事故で瑠璃は他界。妻を亡くすと、その姉妹を新しい妻として嫁がせる大正の慣習通り、蒼は紅哉と婚姻を結ぶことになるが……。亡き姉が結んだ愛のない情縁の夫婦を描く大正婚姻譚。")</f>
        <v>今日、私は“姉の旦那様”に嫁ぎます。呉服屋の妾の子として生まれた蒼（あおい）は、継母に虐げられる日々を過ごしていた。ある日、腹違いの姉・瑠璃（るり）が結婚することに。夫の紅哉（こうや）は「氷雨の商人」と呼ばれるほど冷徹な男だが、瑠璃の献身的な支えもあり、二人は温かな家庭を築いていた。しかし、突然の事故で瑠璃は他界。妻を亡くすと、その姉妹を新しい妻として嫁がせる大正の慣習通り、蒼は紅哉と婚姻を結ぶことになるが……。亡き姉が結んだ愛のない情縁の夫婦を描く大正婚姻譚。</v>
      </c>
      <c r="W1331" s="14"/>
      <c r="X1331" s="14" t="str">
        <f>IFERROR(__xludf.DUMMYFUNCTION("""COMPUTED_VALUE"""),"有")</f>
        <v>有</v>
      </c>
      <c r="Y1331" s="8" t="str">
        <f>IFERROR(__xludf.DUMMYFUNCTION("""COMPUTED_VALUE"""),"2024/6/27まで1~2巻無料")</f>
        <v>2024/6/27まで1~2巻無料</v>
      </c>
      <c r="Z1331" s="7"/>
      <c r="AA1331" s="7"/>
      <c r="AB1331" s="7"/>
    </row>
    <row r="1332" ht="15.75" customHeight="1">
      <c r="A1332" s="26">
        <f>IFERROR(__xludf.DUMMYFUNCTION("""COMPUTED_VALUE"""),3080.0)</f>
        <v>3080</v>
      </c>
      <c r="B1332" s="22" t="str">
        <f>IFERROR(__xludf.DUMMYFUNCTION("""COMPUTED_VALUE"""),"確定")</f>
        <v>確定</v>
      </c>
      <c r="C1332" s="28">
        <f>IFERROR(__xludf.DUMMYFUNCTION("""COMPUTED_VALUE"""),45362.0)</f>
        <v>45362</v>
      </c>
      <c r="D1332" s="28">
        <f>IFERROR(__xludf.DUMMYFUNCTION("""COMPUTED_VALUE"""),45385.0)</f>
        <v>45385</v>
      </c>
      <c r="E1332" s="31">
        <f>IFERROR(__xludf.DUMMYFUNCTION("""COMPUTED_VALUE"""),290781.0)</f>
        <v>290781</v>
      </c>
      <c r="F1332" s="22" t="str">
        <f>IFERROR(__xludf.DUMMYFUNCTION("""COMPUTED_VALUE"""),"純潔の男装令嬢騎士は偉才の主君に奪われる【分冊版】")</f>
        <v>純潔の男装令嬢騎士は偉才の主君に奪われる【分冊版】</v>
      </c>
      <c r="G1332" s="11" t="str">
        <f>IFERROR(__xludf.DUMMYFUNCTION("""COMPUTED_VALUE"""),"1～2")</f>
        <v>1～2</v>
      </c>
      <c r="H1332" s="22" t="str">
        <f>IFERROR(__xludf.DUMMYFUNCTION("""COMPUTED_VALUE"""),"黒沢明世・砂川雨路")</f>
        <v>黒沢明世・砂川雨路</v>
      </c>
      <c r="I1332" s="22" t="str">
        <f>IFERROR(__xludf.DUMMYFUNCTION("""COMPUTED_VALUE"""),"女性")</f>
        <v>女性</v>
      </c>
      <c r="J1332" s="22"/>
      <c r="K1332" s="22"/>
      <c r="L1332" s="22" t="str">
        <f>IFERROR(__xludf.DUMMYFUNCTION("""COMPUTED_VALUE"""),"ハーパーコリンズ・ジャパン")</f>
        <v>ハーパーコリンズ・ジャパン</v>
      </c>
      <c r="M1332" s="23">
        <f>IFERROR(__xludf.DUMMYFUNCTION("""COMPUTED_VALUE"""),45400.0)</f>
        <v>45400</v>
      </c>
      <c r="N1332" s="23">
        <f>IFERROR(__xludf.DUMMYFUNCTION("""COMPUTED_VALUE"""),45458.0)</f>
        <v>45458</v>
      </c>
      <c r="O1332" s="20"/>
      <c r="P1332" s="32" t="str">
        <f>IFERROR(__xludf.DUMMYFUNCTION("""COMPUTED_VALUE"""),"否")</f>
        <v>否</v>
      </c>
      <c r="Q1332" s="22"/>
      <c r="R1332" s="22" t="str">
        <f>IFERROR(__xludf.DUMMYFUNCTION("""COMPUTED_VALUE"""),"格納済")</f>
        <v>格納済</v>
      </c>
      <c r="S1332" s="22" t="str">
        <f>IFERROR(__xludf.DUMMYFUNCTION("""COMPUTED_VALUE"""),"20240403_ハーパーコリンズ・ジャパン_純潔の男装令嬢騎士は偉才の主君に奪われる")</f>
        <v>20240403_ハーパーコリンズ・ジャパン_純潔の男装令嬢騎士は偉才の主君に奪われる</v>
      </c>
      <c r="T1332" s="22" t="str">
        <f>IFERROR(__xludf.DUMMYFUNCTION("""COMPUTED_VALUE"""),"格納済み")</f>
        <v>格納済み</v>
      </c>
      <c r="U1332" s="15" t="str">
        <f>IFERROR(__xludf.DUMMYFUNCTION("""COMPUTED_VALUE"""),"(C)黒沢明世・砂川雨路／ハーパーコリンズ・ジャパン")</f>
        <v>(C)黒沢明世・砂川雨路／ハーパーコリンズ・ジャパン</v>
      </c>
      <c r="V1332" s="8" t="str">
        <f>IFERROR(__xludf.DUMMYFUNCTION("""COMPUTED_VALUE"""),"男装騎士が護衛するのは、美しく知略に富んだ王子――
エストス家の後継者として、生まれた時から「男」育てられたノア。しかし弟の誕生がきっかけで家を離れ、軍に入る。
大将軍になるため、軍で功績をあげ続けるノアは、ある日ヨハン王子の護衛班に抜擢される。精鋭ぞろいで個性豊かな５人のメンバーとともに
王子の護衛をするが、当のヨハンは軽薄で人たらしな主君だった…！
しかし仕えるにつれ、ノアは本当のヨハンの想いを知り――？")</f>
        <v>男装騎士が護衛するのは、美しく知略に富んだ王子――
エストス家の後継者として、生まれた時から「男」育てられたノア。しかし弟の誕生がきっかけで家を離れ、軍に入る。
大将軍になるため、軍で功績をあげ続けるノアは、ある日ヨハン王子の護衛班に抜擢される。精鋭ぞろいで個性豊かな５人のメンバーとともに
王子の護衛をするが、当のヨハンは軽薄で人たらしな主君だった…！
しかし仕えるにつれ、ノアは本当のヨハンの想いを知り――？</v>
      </c>
      <c r="W1332" s="14"/>
      <c r="X1332" s="14" t="str">
        <f>IFERROR(__xludf.DUMMYFUNCTION("""COMPUTED_VALUE"""),"有")</f>
        <v>有</v>
      </c>
      <c r="Y1332" s="8" t="str">
        <f>IFERROR(__xludf.DUMMYFUNCTION("""COMPUTED_VALUE"""),"2024/5/1まで立ち読み増量P33まで")</f>
        <v>2024/5/1まで立ち読み増量P33まで</v>
      </c>
      <c r="Z1332" s="7"/>
      <c r="AA1332" s="7"/>
      <c r="AB1332" s="7"/>
    </row>
    <row r="1333" ht="15.75" customHeight="1">
      <c r="A1333" s="26">
        <f>IFERROR(__xludf.DUMMYFUNCTION("""COMPUTED_VALUE"""),3086.0)</f>
        <v>3086</v>
      </c>
      <c r="B1333" s="22" t="str">
        <f>IFERROR(__xludf.DUMMYFUNCTION("""COMPUTED_VALUE"""),"確定")</f>
        <v>確定</v>
      </c>
      <c r="C1333" s="28">
        <f>IFERROR(__xludf.DUMMYFUNCTION("""COMPUTED_VALUE"""),45362.0)</f>
        <v>45362</v>
      </c>
      <c r="D1333" s="28">
        <f>IFERROR(__xludf.DUMMYFUNCTION("""COMPUTED_VALUE"""),45384.0)</f>
        <v>45384</v>
      </c>
      <c r="E1333" s="31">
        <f>IFERROR(__xludf.DUMMYFUNCTION("""COMPUTED_VALUE"""),291629.0)</f>
        <v>291629</v>
      </c>
      <c r="F1333" s="22" t="str">
        <f>IFERROR(__xludf.DUMMYFUNCTION("""COMPUTED_VALUE"""),"理想でオトナの恋人")</f>
        <v>理想でオトナの恋人</v>
      </c>
      <c r="G1333" s="20" t="str">
        <f>IFERROR(__xludf.DUMMYFUNCTION("""COMPUTED_VALUE"""),"1~3")</f>
        <v>1~3</v>
      </c>
      <c r="H1333" s="22" t="str">
        <f>IFERROR(__xludf.DUMMYFUNCTION("""COMPUTED_VALUE"""),"夕希実久")</f>
        <v>夕希実久</v>
      </c>
      <c r="I1333" s="46" t="str">
        <f>IFERROR(__xludf.DUMMYFUNCTION("""COMPUTED_VALUE"""),"少女")</f>
        <v>少女</v>
      </c>
      <c r="J1333" s="22"/>
      <c r="K1333" s="22"/>
      <c r="L1333" s="22" t="str">
        <f>IFERROR(__xludf.DUMMYFUNCTION("""COMPUTED_VALUE"""),"アイエムエー")</f>
        <v>アイエムエー</v>
      </c>
      <c r="M1333" s="23">
        <f>IFERROR(__xludf.DUMMYFUNCTION("""COMPUTED_VALUE"""),45413.0)</f>
        <v>45413</v>
      </c>
      <c r="N1333" s="23">
        <f>IFERROR(__xludf.DUMMYFUNCTION("""COMPUTED_VALUE"""),45473.0)</f>
        <v>45473</v>
      </c>
      <c r="O1333" s="20"/>
      <c r="P1333" s="29" t="str">
        <f>IFERROR(__xludf.DUMMYFUNCTION("""COMPUTED_VALUE"""),"否")</f>
        <v>否</v>
      </c>
      <c r="Q1333" s="22" t="str">
        <f>IFERROR(__xludf.DUMMYFUNCTION("""COMPUTED_VALUE"""),"広告コミットOK(3/14)")</f>
        <v>広告コミットOK(3/14)</v>
      </c>
      <c r="R1333" s="22" t="str">
        <f>IFERROR(__xludf.DUMMYFUNCTION("""COMPUTED_VALUE"""),"格納済")</f>
        <v>格納済</v>
      </c>
      <c r="S1333" s="22" t="str">
        <f>IFERROR(__xludf.DUMMYFUNCTION("""COMPUTED_VALUE"""),"20240401_アイエムエー_理想で大人の恋人")</f>
        <v>20240401_アイエムエー_理想で大人の恋人</v>
      </c>
      <c r="T1333" s="22" t="str">
        <f>IFERROR(__xludf.DUMMYFUNCTION("""COMPUTED_VALUE"""),"格納済み")</f>
        <v>格納済み</v>
      </c>
      <c r="U1333" s="15" t="str">
        <f>IFERROR(__xludf.DUMMYFUNCTION("""COMPUTED_VALUE"""),"（C)夕希実久/IMA")</f>
        <v>（C)夕希実久/IMA</v>
      </c>
      <c r="V1333" s="8" t="str">
        <f>IFERROR(__xludf.DUMMYFUNCTION("""COMPUTED_VALUE"""),"「年上なのに…年上って…こんなかわいいものなの？」毎日を何となく生きる大学生・尚人（20）は、ある日同じマンションで一目惚れするほどの美人に出会う。しかしそれから一向に会えず残念…と思っていたら、目の前に現れたずたぼろ眼鏡女がその女性だった。いつもの日常が一つの出会により変わっていく――。無気力男子大学生×自己否定MAXな漫画家のハートフルピュアラブストーリー！『マリーミー！』『僕のソルシエール』の夕希実久が贈る最新作！")</f>
        <v>「年上なのに…年上って…こんなかわいいものなの？」毎日を何となく生きる大学生・尚人（20）は、ある日同じマンションで一目惚れするほどの美人に出会う。しかしそれから一向に会えず残念…と思っていたら、目の前に現れたずたぼろ眼鏡女がその女性だった。いつもの日常が一つの出会により変わっていく――。無気力男子大学生×自己否定MAXな漫画家のハートフルピュアラブストーリー！『マリーミー！』『僕のソルシエール』の夕希実久が贈る最新作！</v>
      </c>
      <c r="W1333" s="14"/>
      <c r="X1333" s="14" t="str">
        <f>IFERROR(__xludf.DUMMYFUNCTION("""COMPUTED_VALUE"""),"有")</f>
        <v>有</v>
      </c>
      <c r="Y1333" s="8" t="str">
        <f>IFERROR(__xludf.DUMMYFUNCTION("""COMPUTED_VALUE"""),"2024/5/31まで1巻無料")</f>
        <v>2024/5/31まで1巻無料</v>
      </c>
      <c r="Z1333" s="7"/>
      <c r="AA1333" s="7"/>
      <c r="AB1333" s="7"/>
    </row>
    <row r="1334" ht="15.75" customHeight="1">
      <c r="A1334" s="26">
        <f>IFERROR(__xludf.DUMMYFUNCTION("""COMPUTED_VALUE"""),3106.0)</f>
        <v>3106</v>
      </c>
      <c r="B1334" s="22" t="str">
        <f>IFERROR(__xludf.DUMMYFUNCTION("""COMPUTED_VALUE"""),"確定")</f>
        <v>確定</v>
      </c>
      <c r="C1334" s="28">
        <f>IFERROR(__xludf.DUMMYFUNCTION("""COMPUTED_VALUE"""),45366.0)</f>
        <v>45366</v>
      </c>
      <c r="D1334" s="28">
        <f>IFERROR(__xludf.DUMMYFUNCTION("""COMPUTED_VALUE"""),45385.0)</f>
        <v>45385</v>
      </c>
      <c r="E1334" s="31">
        <f>IFERROR(__xludf.DUMMYFUNCTION("""COMPUTED_VALUE"""),292100.0)</f>
        <v>292100</v>
      </c>
      <c r="F1334" s="22" t="str">
        <f>IFERROR(__xludf.DUMMYFUNCTION("""COMPUTED_VALUE"""),"番犬幼馴染からは逃げられない!?")</f>
        <v>番犬幼馴染からは逃げられない!?</v>
      </c>
      <c r="G1334" s="11" t="str">
        <f>IFERROR(__xludf.DUMMYFUNCTION("""COMPUTED_VALUE"""),"1～4")</f>
        <v>1～4</v>
      </c>
      <c r="H1334" s="22" t="str">
        <f>IFERROR(__xludf.DUMMYFUNCTION("""COMPUTED_VALUE"""),"綾枷ちよこ┴綾枷家の犬")</f>
        <v>綾枷ちよこ┴綾枷家の犬</v>
      </c>
      <c r="I1334" s="46" t="str">
        <f>IFERROR(__xludf.DUMMYFUNCTION("""COMPUTED_VALUE"""),"TL")</f>
        <v>TL</v>
      </c>
      <c r="J1334" s="22"/>
      <c r="K1334" s="22"/>
      <c r="L1334" s="22" t="str">
        <f>IFERROR(__xludf.DUMMYFUNCTION("""COMPUTED_VALUE"""),"ブリック出版")</f>
        <v>ブリック出版</v>
      </c>
      <c r="M1334" s="23">
        <f>IFERROR(__xludf.DUMMYFUNCTION("""COMPUTED_VALUE"""),45422.0)</f>
        <v>45422</v>
      </c>
      <c r="N1334" s="23">
        <f>IFERROR(__xludf.DUMMYFUNCTION("""COMPUTED_VALUE"""),45484.0)</f>
        <v>45484</v>
      </c>
      <c r="O1334" s="20"/>
      <c r="P1334" s="29" t="str">
        <f>IFERROR(__xludf.DUMMYFUNCTION("""COMPUTED_VALUE"""),"可")</f>
        <v>可</v>
      </c>
      <c r="Q1334" s="30" t="str">
        <f>IFERROR(__xludf.DUMMYFUNCTION("""COMPUTED_VALUE"""),"広告コミットOK(3/26)")</f>
        <v>広告コミットOK(3/26)</v>
      </c>
      <c r="R1334" s="22"/>
      <c r="S1334" s="22" t="str">
        <f>IFERROR(__xludf.DUMMYFUNCTION("""COMPUTED_VALUE"""),"20240402_BookLive_番犬幼馴染からは逃げられない！？")</f>
        <v>20240402_BookLive_番犬幼馴染からは逃げられない！？</v>
      </c>
      <c r="T1334" s="22" t="str">
        <f>IFERROR(__xludf.DUMMYFUNCTION("""COMPUTED_VALUE"""),"格納済み")</f>
        <v>格納済み</v>
      </c>
      <c r="U1334" s="15" t="str">
        <f>IFERROR(__xludf.DUMMYFUNCTION("""COMPUTED_VALUE"""),"(C)ブリック出版")</f>
        <v>(C)ブリック出版</v>
      </c>
      <c r="V1334" s="8" t="str">
        <f>IFERROR(__xludf.DUMMYFUNCTION("""COMPUTED_VALUE"""),"少し内向的な性格の【天塚亜紀】
そんな亜紀の幼馴染【佐々木祐樹】と【能登栄太】は子供の時からの付き合いで何をするにも3人一緒だったけれど、
いつの頃からか何をするにも要領の良い祐樹と栄太の二人に守られてばかりだった。
二人にはこれ以上迷惑をかけられないと思い、
内緒で進学のために塾に通い新しい友人を作るのだが…
そんな亜紀とは裏腹に祐樹と栄太は亜紀の行動に疑問を抱くのだった。
「俺たちの知らない所で知らない事をされるのは…悲しいよ」
「やっぱりさ…俺たちが必要って分からな"&amp;"いとダメみたいだね」
幼馴染二人の愛情に戸惑いながらも深みにはまっていく――。※本作は綾枷ちよこの個人誌作品の電子書籍版となります。【22ページ】")</f>
        <v>少し内向的な性格の【天塚亜紀】
そんな亜紀の幼馴染【佐々木祐樹】と【能登栄太】は子供の時からの付き合いで何をするにも3人一緒だったけれど、
いつの頃からか何をするにも要領の良い祐樹と栄太の二人に守られてばかりだった。
二人にはこれ以上迷惑をかけられないと思い、
内緒で進学のために塾に通い新しい友人を作るのだが…
そんな亜紀とは裏腹に祐樹と栄太は亜紀の行動に疑問を抱くのだった。
「俺たちの知らない所で知らない事をされるのは…悲しいよ」
「やっぱりさ…俺たちが必要って分からないとダメみたいだね」
幼馴染二人の愛情に戸惑いながらも深みにはまっていく――。※本作は綾枷ちよこの個人誌作品の電子書籍版となります。【22ページ】</v>
      </c>
      <c r="W1334" s="14"/>
      <c r="X1334" s="14" t="str">
        <f>IFERROR(__xludf.DUMMYFUNCTION("""COMPUTED_VALUE"""),"有")</f>
        <v>有</v>
      </c>
      <c r="Y1334" s="8" t="str">
        <f>IFERROR(__xludf.DUMMYFUNCTION("""COMPUTED_VALUE"""),"P9まで")</f>
        <v>P9まで</v>
      </c>
      <c r="Z1334" s="7"/>
      <c r="AA1334" s="7"/>
      <c r="AB1334" s="7"/>
    </row>
    <row r="1335" ht="15.75" customHeight="1">
      <c r="A1335" s="26">
        <f>IFERROR(__xludf.DUMMYFUNCTION("""COMPUTED_VALUE"""),3132.0)</f>
        <v>3132</v>
      </c>
      <c r="B1335" s="22" t="str">
        <f>IFERROR(__xludf.DUMMYFUNCTION("""COMPUTED_VALUE"""),"確定")</f>
        <v>確定</v>
      </c>
      <c r="C1335" s="28">
        <f>IFERROR(__xludf.DUMMYFUNCTION("""COMPUTED_VALUE"""),45372.0)</f>
        <v>45372</v>
      </c>
      <c r="D1335" s="28">
        <f>IFERROR(__xludf.DUMMYFUNCTION("""COMPUTED_VALUE"""),45385.0)</f>
        <v>45385</v>
      </c>
      <c r="E1335" s="31">
        <f>IFERROR(__xludf.DUMMYFUNCTION("""COMPUTED_VALUE"""),291789.0)</f>
        <v>291789</v>
      </c>
      <c r="F1335" s="46" t="str">
        <f>IFERROR(__xludf.DUMMYFUNCTION("""COMPUTED_VALUE"""),"NOT BAD～絶対拒否なお前でも～【タテヨミ】")</f>
        <v>NOT BAD～絶対拒否なお前でも～【タテヨミ】</v>
      </c>
      <c r="G1335" s="20" t="str">
        <f>IFERROR(__xludf.DUMMYFUNCTION("""COMPUTED_VALUE"""),"1~30")</f>
        <v>1~30</v>
      </c>
      <c r="H1335" s="22" t="str">
        <f>IFERROR(__xludf.DUMMYFUNCTION("""COMPUTED_VALUE"""),"ウノ / キムキン")</f>
        <v>ウノ / キムキン</v>
      </c>
      <c r="I1335" s="22" t="str">
        <f>IFERROR(__xludf.DUMMYFUNCTION("""COMPUTED_VALUE"""),"BL")</f>
        <v>BL</v>
      </c>
      <c r="J1335" s="22"/>
      <c r="K1335" s="22"/>
      <c r="L1335" s="22" t="str">
        <f>IFERROR(__xludf.DUMMYFUNCTION("""COMPUTED_VALUE"""),"PEANUTOON")</f>
        <v>PEANUTOON</v>
      </c>
      <c r="M1335" s="23">
        <f>IFERROR(__xludf.DUMMYFUNCTION("""COMPUTED_VALUE"""),45410.0)</f>
        <v>45410</v>
      </c>
      <c r="N1335" s="47">
        <f>IFERROR(__xludf.DUMMYFUNCTION("""COMPUTED_VALUE"""),45500.0)</f>
        <v>45500</v>
      </c>
      <c r="O1335" s="20"/>
      <c r="P1335" s="29" t="str">
        <f>IFERROR(__xludf.DUMMYFUNCTION("""COMPUTED_VALUE"""),"可")</f>
        <v>可</v>
      </c>
      <c r="Q1335" s="30" t="str">
        <f>IFERROR(__xludf.DUMMYFUNCTION("""COMPUTED_VALUE"""),"広告コミットOK(3/27)&lt;BR&gt;20話分で制作お願いします")</f>
        <v>広告コミットOK(3/27)&lt;BR&gt;20話分で制作お願いします</v>
      </c>
      <c r="R1335" s="22"/>
      <c r="S1335" s="22" t="str">
        <f>IFERROR(__xludf.DUMMYFUNCTION("""COMPUTED_VALUE"""),"20240402_PEANUTOON_NOT BAD～絶対拒否なお前でも～")</f>
        <v>20240402_PEANUTOON_NOT BAD～絶対拒否なお前でも～</v>
      </c>
      <c r="T1335" s="22" t="str">
        <f>IFERROR(__xludf.DUMMYFUNCTION("""COMPUTED_VALUE"""),"格納済み")</f>
        <v>格納済み</v>
      </c>
      <c r="U1335" s="15" t="str">
        <f>IFERROR(__xludf.DUMMYFUNCTION("""COMPUTED_VALUE"""),"Ⓒウノ / キムキン/peanutoon")</f>
        <v>Ⓒウノ / キムキン/peanutoon</v>
      </c>
      <c r="V1335" s="8" t="str">
        <f>IFERROR(__xludf.DUMMYFUNCTION("""COMPUTED_VALUE"""),"「金のためなら、ペットから畜生までマルチに対応します」
カラスのようにキラキラしたものを求め、体を売るホストとして生きるク・ソヌ。ある日、ソヌはホストクラブで売れっ子アイドルのモユンに出会うが、モユンの高級外車に惹かれ、初めて男と肉体関係を持つという壁に突き当たる羽目になる。
「俺の人生は、花火が舞い上がる瞬間とその後の静けさの繰り返しのようだ」
一方、優しくて可愛らしい人気アイドルというイメージとは裏腹に、普段から密かにホストクラブに出入りする荒くれ者のモユン。ホストクラブで出会ったソヌを弄ぶが、"&amp;"ソヌに持ち逃げされた車のキーをきっかけに、二人の関係はこじれていく。")</f>
        <v>「金のためなら、ペットから畜生までマルチに対応します」
カラスのようにキラキラしたものを求め、体を売るホストとして生きるク・ソヌ。ある日、ソヌはホストクラブで売れっ子アイドルのモユンに出会うが、モユンの高級外車に惹かれ、初めて男と肉体関係を持つという壁に突き当たる羽目になる。
「俺の人生は、花火が舞い上がる瞬間とその後の静けさの繰り返しのようだ」
一方、優しくて可愛らしい人気アイドルというイメージとは裏腹に、普段から密かにホストクラブに出入りする荒くれ者のモユン。ホストクラブで出会ったソヌを弄ぶが、ソヌに持ち逃げされた車のキーをきっかけに、二人の関係はこじれていく。</v>
      </c>
      <c r="W1335" s="14"/>
      <c r="X1335" s="14" t="str">
        <f>IFERROR(__xludf.DUMMYFUNCTION("""COMPUTED_VALUE"""),"有")</f>
        <v>有</v>
      </c>
      <c r="Y1335" s="8" t="str">
        <f>IFERROR(__xludf.DUMMYFUNCTION("""COMPUTED_VALUE"""),"2024/5/12まで1～8巻無料")</f>
        <v>2024/5/12まで1～8巻無料</v>
      </c>
      <c r="Z1335" s="7"/>
      <c r="AA1335" s="7"/>
      <c r="AB1335" s="7"/>
    </row>
    <row r="1336" ht="15.75" customHeight="1">
      <c r="A1336" s="26">
        <f>IFERROR(__xludf.DUMMYFUNCTION("""COMPUTED_VALUE"""),3133.0)</f>
        <v>3133</v>
      </c>
      <c r="B1336" s="22" t="str">
        <f>IFERROR(__xludf.DUMMYFUNCTION("""COMPUTED_VALUE"""),"確定")</f>
        <v>確定</v>
      </c>
      <c r="C1336" s="28">
        <f>IFERROR(__xludf.DUMMYFUNCTION("""COMPUTED_VALUE"""),45372.0)</f>
        <v>45372</v>
      </c>
      <c r="D1336" s="28">
        <f>IFERROR(__xludf.DUMMYFUNCTION("""COMPUTED_VALUE"""),45384.0)</f>
        <v>45384</v>
      </c>
      <c r="E1336" s="31">
        <f>IFERROR(__xludf.DUMMYFUNCTION("""COMPUTED_VALUE"""),291955.0)</f>
        <v>291955</v>
      </c>
      <c r="F1336" s="22" t="str">
        <f>IFERROR(__xludf.DUMMYFUNCTION("""COMPUTED_VALUE"""),"リミテッドボーイフレンド")</f>
        <v>リミテッドボーイフレンド</v>
      </c>
      <c r="G1336" s="11" t="str">
        <f>IFERROR(__xludf.DUMMYFUNCTION("""COMPUTED_VALUE"""),"1～2")</f>
        <v>1～2</v>
      </c>
      <c r="H1336" s="22" t="str">
        <f>IFERROR(__xludf.DUMMYFUNCTION("""COMPUTED_VALUE"""),"春臣")</f>
        <v>春臣</v>
      </c>
      <c r="I1336" s="22" t="str">
        <f>IFERROR(__xludf.DUMMYFUNCTION("""COMPUTED_VALUE"""),"BL")</f>
        <v>BL</v>
      </c>
      <c r="J1336" s="22"/>
      <c r="K1336" s="22"/>
      <c r="L1336" s="22" t="str">
        <f>IFERROR(__xludf.DUMMYFUNCTION("""COMPUTED_VALUE"""),"MUGENUP")</f>
        <v>MUGENUP</v>
      </c>
      <c r="M1336" s="23">
        <f>IFERROR(__xludf.DUMMYFUNCTION("""COMPUTED_VALUE"""),45416.0)</f>
        <v>45416</v>
      </c>
      <c r="N1336" s="47">
        <f>IFERROR(__xludf.DUMMYFUNCTION("""COMPUTED_VALUE"""),45507.0)</f>
        <v>45507</v>
      </c>
      <c r="O1336" s="20"/>
      <c r="P1336" s="29" t="str">
        <f>IFERROR(__xludf.DUMMYFUNCTION("""COMPUTED_VALUE"""),"可")</f>
        <v>可</v>
      </c>
      <c r="Q1336" s="22" t="str">
        <f>IFERROR(__xludf.DUMMYFUNCTION("""COMPUTED_VALUE"""),"広告コミットOK(3/29)")</f>
        <v>広告コミットOK(3/29)</v>
      </c>
      <c r="R1336" s="54" t="str">
        <f>IFERROR(__xludf.DUMMYFUNCTION("""COMPUTED_VALUE"""),"格納済み")</f>
        <v>格納済み</v>
      </c>
      <c r="S1336" s="22" t="str">
        <f>IFERROR(__xludf.DUMMYFUNCTION("""COMPUTED_VALUE"""),"20240401_MUGENUP_リミテッドボーイフレンド")</f>
        <v>20240401_MUGENUP_リミテッドボーイフレンド</v>
      </c>
      <c r="T1336" s="22" t="str">
        <f>IFERROR(__xludf.DUMMYFUNCTION("""COMPUTED_VALUE"""),"格納済み")</f>
        <v>格納済み</v>
      </c>
      <c r="U1336" s="15" t="str">
        <f>IFERROR(__xludf.DUMMYFUNCTION("""COMPUTED_VALUE"""),"(C) 春臣／MUGENUP")</f>
        <v>(C) 春臣／MUGENUP</v>
      </c>
      <c r="V1336" s="8" t="str">
        <f>IFERROR(__xludf.DUMMYFUNCTION("""COMPUTED_VALUE"""),"大学生の鷹塚柊也（たかつかしゅうや）は、過去のトラウマから自分がゲイだということを誰にも言えずに過ごしていた。
打ち明けられないストレスを発散する為に、日々きわどい写真をSNSに投稿する日々…。
やめられないのは、いいねが増える度本当の自分を肯定してもらえたと錯覚できるから。
そんなある日、高校時代に告白されたことのある・若穂芽（わかほめぐむ）からSNSアカウントの存在がバレてしまう。
「もしバラされたくなければ…　
っぼ、僕と付き合って！くだ…さい…」
突然2回目の告白(?)を受けた鷹塚"&amp;"だが、自分がゲイであることをバラされたくない一心で渋々若穂と付き合うことに…。
隠れゲイの一軍イケメン×純粋で真っ直ぐなおどおど男子の
「１ヶ月限定」の恋人生活が始まる──！！")</f>
        <v>大学生の鷹塚柊也（たかつかしゅうや）は、過去のトラウマから自分がゲイだということを誰にも言えずに過ごしていた。
打ち明けられないストレスを発散する為に、日々きわどい写真をSNSに投稿する日々…。
やめられないのは、いいねが増える度本当の自分を肯定してもらえたと錯覚できるから。
そんなある日、高校時代に告白されたことのある・若穂芽（わかほめぐむ）からSNSアカウントの存在がバレてしまう。
「もしバラされたくなければ…　
っぼ、僕と付き合って！くだ…さい…」
突然2回目の告白(?)を受けた鷹塚だが、自分がゲイであることをバラされたくない一心で渋々若穂と付き合うことに…。
隠れゲイの一軍イケメン×純粋で真っ直ぐなおどおど男子の
「１ヶ月限定」の恋人生活が始まる──！！</v>
      </c>
      <c r="W1336" s="14"/>
      <c r="X1336" s="14" t="str">
        <f>IFERROR(__xludf.DUMMYFUNCTION("""COMPUTED_VALUE"""),"有")</f>
        <v>有</v>
      </c>
      <c r="Y1336" s="8" t="str">
        <f>IFERROR(__xludf.DUMMYFUNCTION("""COMPUTED_VALUE"""),"P16まで")</f>
        <v>P16まで</v>
      </c>
      <c r="Z1336" s="7"/>
      <c r="AA1336" s="7"/>
      <c r="AB1336" s="7"/>
    </row>
    <row r="1337" ht="133.5" customHeight="1">
      <c r="A1337" s="26">
        <f>IFERROR(__xludf.DUMMYFUNCTION("""COMPUTED_VALUE"""),3156.0)</f>
        <v>3156</v>
      </c>
      <c r="B1337" s="22" t="str">
        <f>IFERROR(__xludf.DUMMYFUNCTION("""COMPUTED_VALUE"""),"確定")</f>
        <v>確定</v>
      </c>
      <c r="C1337" s="28">
        <f>IFERROR(__xludf.DUMMYFUNCTION("""COMPUTED_VALUE"""),45376.0)</f>
        <v>45376</v>
      </c>
      <c r="D1337" s="28">
        <f>IFERROR(__xludf.DUMMYFUNCTION("""COMPUTED_VALUE"""),45384.0)</f>
        <v>45384</v>
      </c>
      <c r="E1337" s="26">
        <f>IFERROR(__xludf.DUMMYFUNCTION("""COMPUTED_VALUE"""),282460.0)</f>
        <v>282460</v>
      </c>
      <c r="F1337" s="22" t="str">
        <f>IFERROR(__xludf.DUMMYFUNCTION("""COMPUTED_VALUE"""),"ワンナイト・キャンパス(フルカラー)")</f>
        <v>ワンナイト・キャンパス(フルカラー)</v>
      </c>
      <c r="G1337" s="20" t="str">
        <f>IFERROR(__xludf.DUMMYFUNCTION("""COMPUTED_VALUE"""),"1～3")</f>
        <v>1～3</v>
      </c>
      <c r="H1337" s="22" t="str">
        <f>IFERROR(__xludf.DUMMYFUNCTION("""COMPUTED_VALUE"""),"TAIRA,Bambi")</f>
        <v>TAIRA,Bambi</v>
      </c>
      <c r="I1337" s="22" t="str">
        <f>IFERROR(__xludf.DUMMYFUNCTION("""COMPUTED_VALUE"""),"青年")</f>
        <v>青年</v>
      </c>
      <c r="J1337" s="22"/>
      <c r="K1337" s="22"/>
      <c r="L1337" s="22" t="str">
        <f>IFERROR(__xludf.DUMMYFUNCTION("""COMPUTED_VALUE"""),"ソルマーレ編集部")</f>
        <v>ソルマーレ編集部</v>
      </c>
      <c r="M1337" s="23">
        <f>IFERROR(__xludf.DUMMYFUNCTION("""COMPUTED_VALUE"""),45409.0)</f>
        <v>45409</v>
      </c>
      <c r="N1337" s="23">
        <f>IFERROR(__xludf.DUMMYFUNCTION("""COMPUTED_VALUE"""),45470.0)</f>
        <v>45470</v>
      </c>
      <c r="O1337" s="20"/>
      <c r="P1337" s="32" t="str">
        <f>IFERROR(__xludf.DUMMYFUNCTION("""COMPUTED_VALUE"""),"可")</f>
        <v>可</v>
      </c>
      <c r="Q1337" s="30"/>
      <c r="R1337" s="22"/>
      <c r="S1337" s="22" t="str">
        <f>IFERROR(__xludf.DUMMYFUNCTION("""COMPUTED_VALUE"""),"20240401_ソルマーレ編集部_ワンナイト・キャンパス（フルカラー）")</f>
        <v>20240401_ソルマーレ編集部_ワンナイト・キャンパス（フルカラー）</v>
      </c>
      <c r="T1337" s="22" t="str">
        <f>IFERROR(__xludf.DUMMYFUNCTION("""COMPUTED_VALUE"""),"格納済み")</f>
        <v>格納済み</v>
      </c>
      <c r="U1337" s="15" t="str">
        <f>IFERROR(__xludf.DUMMYFUNCTION("""COMPUTED_VALUE"""),"Ⓒ TAIRA/Bambi/TOPCO/シーモアコミックス")</f>
        <v>Ⓒ TAIRA/Bambi/TOPCO/シーモアコミックス</v>
      </c>
      <c r="V1337" s="8" t="str">
        <f>IFERROR(__xludf.DUMMYFUNCTION("""COMPUTED_VALUE"""),"冴えない男子学生・太一は、大学入学早々、数々の女性に出会う。
下宿先のおばさんから、友達の彼女まで…彼女たちの悩みを聞いて慰めているうちに、いつのまにか、そういう関係に!?
刺激的なワンナイトの誘惑には抗えない――｢俺のキャンパスライフ、こんなに幸せでいいのか！？｣【ズズズキュン！】")</f>
        <v>冴えない男子学生・太一は、大学入学早々、数々の女性に出会う。
下宿先のおばさんから、友達の彼女まで…彼女たちの悩みを聞いて慰めているうちに、いつのまにか、そういう関係に!?
刺激的なワンナイトの誘惑には抗えない――｢俺のキャンパスライフ、こんなに幸せでいいのか！？｣【ズズズキュン！】</v>
      </c>
      <c r="W1337" s="14"/>
      <c r="X1337" s="14" t="str">
        <f>IFERROR(__xludf.DUMMYFUNCTION("""COMPUTED_VALUE"""),"有")</f>
        <v>有</v>
      </c>
      <c r="Y1337" s="8" t="str">
        <f>IFERROR(__xludf.DUMMYFUNCTION("""COMPUTED_VALUE"""),"P15まで")</f>
        <v>P15まで</v>
      </c>
      <c r="Z1337" s="7"/>
      <c r="AA1337" s="7"/>
      <c r="AB1337" s="7"/>
    </row>
    <row r="1338" ht="15.75" customHeight="1">
      <c r="A1338" s="26">
        <f>IFERROR(__xludf.DUMMYFUNCTION("""COMPUTED_VALUE"""),3167.0)</f>
        <v>3167</v>
      </c>
      <c r="B1338" s="22" t="str">
        <f>IFERROR(__xludf.DUMMYFUNCTION("""COMPUTED_VALUE"""),"確定")</f>
        <v>確定</v>
      </c>
      <c r="C1338" s="28">
        <f>IFERROR(__xludf.DUMMYFUNCTION("""COMPUTED_VALUE"""),45377.0)</f>
        <v>45377</v>
      </c>
      <c r="D1338" s="28">
        <f>IFERROR(__xludf.DUMMYFUNCTION("""COMPUTED_VALUE"""),45384.0)</f>
        <v>45384</v>
      </c>
      <c r="E1338" s="31">
        <f>IFERROR(__xludf.DUMMYFUNCTION("""COMPUTED_VALUE"""),291352.0)</f>
        <v>291352</v>
      </c>
      <c r="F1338" s="46" t="str">
        <f>IFERROR(__xludf.DUMMYFUNCTION("""COMPUTED_VALUE"""),"その指先で、染め上げて～女装社長の甘とろ溺愛～【単話版】")</f>
        <v>その指先で、染め上げて～女装社長の甘とろ溺愛～【単話版】</v>
      </c>
      <c r="G1338" s="53" t="str">
        <f>IFERROR(__xludf.DUMMYFUNCTION("""COMPUTED_VALUE"""),"1～4")</f>
        <v>1～4</v>
      </c>
      <c r="H1338" s="22" t="str">
        <f>IFERROR(__xludf.DUMMYFUNCTION("""COMPUTED_VALUE"""),"結城つぶら")</f>
        <v>結城つぶら</v>
      </c>
      <c r="I1338" s="22" t="str">
        <f>IFERROR(__xludf.DUMMYFUNCTION("""COMPUTED_VALUE"""),"TL")</f>
        <v>TL</v>
      </c>
      <c r="J1338" s="22"/>
      <c r="K1338" s="22"/>
      <c r="L1338" s="22" t="str">
        <f>IFERROR(__xludf.DUMMYFUNCTION("""COMPUTED_VALUE"""),"デジタルカタパルト（デジカタ編集部）")</f>
        <v>デジタルカタパルト（デジカタ編集部）</v>
      </c>
      <c r="M1338" s="23">
        <f>IFERROR(__xludf.DUMMYFUNCTION("""COMPUTED_VALUE"""),45408.0)</f>
        <v>45408</v>
      </c>
      <c r="N1338" s="47">
        <f>IFERROR(__xludf.DUMMYFUNCTION("""COMPUTED_VALUE"""),45468.0)</f>
        <v>45468</v>
      </c>
      <c r="O1338" s="20"/>
      <c r="P1338" s="29" t="str">
        <f>IFERROR(__xludf.DUMMYFUNCTION("""COMPUTED_VALUE"""),"可")</f>
        <v>可</v>
      </c>
      <c r="Q1338" s="22" t="str">
        <f>IFERROR(__xludf.DUMMYFUNCTION("""COMPUTED_VALUE"""),"3話分で制作お願いします")</f>
        <v>3話分で制作お願いします</v>
      </c>
      <c r="R1338" s="22" t="str">
        <f>IFERROR(__xludf.DUMMYFUNCTION("""COMPUTED_VALUE"""),"格納済み")</f>
        <v>格納済み</v>
      </c>
      <c r="S1338" s="22" t="str">
        <f>IFERROR(__xludf.DUMMYFUNCTION("""COMPUTED_VALUE"""),"20240401_デジタルカタパルト_その指先で、染め上げて～女装社長の甘とろ溺愛～")</f>
        <v>20240401_デジタルカタパルト_その指先で、染め上げて～女装社長の甘とろ溺愛～</v>
      </c>
      <c r="T1338" s="22" t="str">
        <f>IFERROR(__xludf.DUMMYFUNCTION("""COMPUTED_VALUE"""),"格納済み")</f>
        <v>格納済み</v>
      </c>
      <c r="U1338" s="15" t="str">
        <f>IFERROR(__xludf.DUMMYFUNCTION("""COMPUTED_VALUE"""),"©結城つぶら/デジカタ編集部")</f>
        <v>©結城つぶら/デジカタ編集部</v>
      </c>
      <c r="V1338" s="8" t="str">
        <f>IFERROR(__xludf.DUMMYFUNCTION("""COMPUTED_VALUE"""),"「ダメなんて言わせない――貴女が悪いのよ」憧れの【女社長】に強引に唇を奪われ、身も心もトロトロにされて…！？（社長は女性のはずなのに、ガッチリしたこの身体はまるで――…） 化粧品会社・アネーロの敏腕【女社長】と謳われている桐生楓には秘密があった。そんな彼女に憧れてアネーロに入社した逢沢りこ。桐生のことを知れば知るほど彼女に惹かれてしてまい悶々とする日々。そんな中、アクシデントが起きて…！？")</f>
        <v>「ダメなんて言わせない――貴女が悪いのよ」憧れの【女社長】に強引に唇を奪われ、身も心もトロトロにされて…！？（社長は女性のはずなのに、ガッチリしたこの身体はまるで――…） 化粧品会社・アネーロの敏腕【女社長】と謳われている桐生楓には秘密があった。そんな彼女に憧れてアネーロに入社した逢沢りこ。桐生のことを知れば知るほど彼女に惹かれてしてまい悶々とする日々。そんな中、アクシデントが起きて…！？</v>
      </c>
      <c r="W1338" s="14"/>
      <c r="X1338" s="14" t="str">
        <f>IFERROR(__xludf.DUMMYFUNCTION("""COMPUTED_VALUE"""),"有")</f>
        <v>有</v>
      </c>
      <c r="Y1338" s="8" t="str">
        <f>IFERROR(__xludf.DUMMYFUNCTION("""COMPUTED_VALUE"""),"2024/6/25まで1巻無料")</f>
        <v>2024/6/25まで1巻無料</v>
      </c>
      <c r="Z1338" s="7"/>
      <c r="AA1338" s="7"/>
      <c r="AB1338" s="7"/>
    </row>
    <row r="1339" ht="15.75" customHeight="1">
      <c r="A1339" s="26">
        <f>IFERROR(__xludf.DUMMYFUNCTION("""COMPUTED_VALUE"""),3177.0)</f>
        <v>3177</v>
      </c>
      <c r="B1339" s="22" t="str">
        <f>IFERROR(__xludf.DUMMYFUNCTION("""COMPUTED_VALUE"""),"確定")</f>
        <v>確定</v>
      </c>
      <c r="C1339" s="28">
        <f>IFERROR(__xludf.DUMMYFUNCTION("""COMPUTED_VALUE"""),45378.0)</f>
        <v>45378</v>
      </c>
      <c r="D1339" s="28">
        <f>IFERROR(__xludf.DUMMYFUNCTION("""COMPUTED_VALUE"""),45384.0)</f>
        <v>45384</v>
      </c>
      <c r="E1339" s="31">
        <f>IFERROR(__xludf.DUMMYFUNCTION("""COMPUTED_VALUE"""),291624.0)</f>
        <v>291624</v>
      </c>
      <c r="F1339" s="22" t="str">
        <f>IFERROR(__xludf.DUMMYFUNCTION("""COMPUTED_VALUE"""),"嫌いな同僚の抱き枕になりまして")</f>
        <v>嫌いな同僚の抱き枕になりまして</v>
      </c>
      <c r="G1339" s="20" t="str">
        <f>IFERROR(__xludf.DUMMYFUNCTION("""COMPUTED_VALUE"""),"1~3")</f>
        <v>1~3</v>
      </c>
      <c r="H1339" s="22" t="str">
        <f>IFERROR(__xludf.DUMMYFUNCTION("""COMPUTED_VALUE"""),"北乃どらりぬ")</f>
        <v>北乃どらりぬ</v>
      </c>
      <c r="I1339" s="22" t="str">
        <f>IFERROR(__xludf.DUMMYFUNCTION("""COMPUTED_VALUE"""),"女性")</f>
        <v>女性</v>
      </c>
      <c r="J1339" s="22"/>
      <c r="K1339" s="22"/>
      <c r="L1339" s="22" t="str">
        <f>IFERROR(__xludf.DUMMYFUNCTION("""COMPUTED_VALUE"""),"CLLENN")</f>
        <v>CLLENN</v>
      </c>
      <c r="M1339" s="23">
        <f>IFERROR(__xludf.DUMMYFUNCTION("""COMPUTED_VALUE"""),45413.0)</f>
        <v>45413</v>
      </c>
      <c r="N1339" s="23">
        <f>IFERROR(__xludf.DUMMYFUNCTION("""COMPUTED_VALUE"""),45510.0)</f>
        <v>45510</v>
      </c>
      <c r="O1339" s="20"/>
      <c r="P1339" s="32" t="str">
        <f>IFERROR(__xludf.DUMMYFUNCTION("""COMPUTED_VALUE"""),"可")</f>
        <v>可</v>
      </c>
      <c r="Q1339" s="22"/>
      <c r="R1339" s="22" t="str">
        <f>IFERROR(__xludf.DUMMYFUNCTION("""COMPUTED_VALUE"""),"格納済")</f>
        <v>格納済</v>
      </c>
      <c r="S1339" s="22" t="str">
        <f>IFERROR(__xludf.DUMMYFUNCTION("""COMPUTED_VALUE"""),"20240327_CLLENN_嫌いな同僚の抱き枕になりまして")</f>
        <v>20240327_CLLENN_嫌いな同僚の抱き枕になりまして</v>
      </c>
      <c r="T1339" s="22" t="str">
        <f>IFERROR(__xludf.DUMMYFUNCTION("""COMPUTED_VALUE"""),"格納済み")</f>
        <v>格納済み</v>
      </c>
      <c r="U1339" s="15" t="str">
        <f>IFERROR(__xludf.DUMMYFUNCTION("""COMPUTED_VALUE"""),"ⓒ北乃どらりぬ/CLLENN")</f>
        <v>ⓒ北乃どらりぬ/CLLENN</v>
      </c>
      <c r="V1339" s="8" t="str">
        <f>IFERROR(__xludf.DUMMYFUNCTION("""COMPUTED_VALUE"""),"私の人生で一番必要なものはお金。愛や恋なんて必要ない、そう思っていたはずなのに――倹約家の芽衣は、日々仕事に追われ恋愛とは無縁の生活を送っていた。そんなある日、自宅アパートがなんと全焼してしまう。 途方に暮れていた芽衣に声をかけてきたのは、日頃から何かとぶつかってくる苦手な同僚・紗川だった！ 「うちに来れば？」ぶっきらぼうだけど、優しい彼の言葉に気付いたら身体をあずけていて…嫌いだったはずなのに、どこか居心地のいい紗川から離れられなくなっていく芽衣。犬猿の仲のふたりが紡ぐ同居ラブストーリー。")</f>
        <v>私の人生で一番必要なものはお金。愛や恋なんて必要ない、そう思っていたはずなのに――倹約家の芽衣は、日々仕事に追われ恋愛とは無縁の生活を送っていた。そんなある日、自宅アパートがなんと全焼してしまう。 途方に暮れていた芽衣に声をかけてきたのは、日頃から何かとぶつかってくる苦手な同僚・紗川だった！ 「うちに来れば？」ぶっきらぼうだけど、優しい彼の言葉に気付いたら身体をあずけていて…嫌いだったはずなのに、どこか居心地のいい紗川から離れられなくなっていく芽衣。犬猿の仲のふたりが紡ぐ同居ラブストーリー。</v>
      </c>
      <c r="W1339" s="14"/>
      <c r="X1339" s="14" t="str">
        <f>IFERROR(__xludf.DUMMYFUNCTION("""COMPUTED_VALUE"""),"有")</f>
        <v>有</v>
      </c>
      <c r="Y1339" s="8" t="str">
        <f>IFERROR(__xludf.DUMMYFUNCTION("""COMPUTED_VALUE"""),"P10まで")</f>
        <v>P10まで</v>
      </c>
      <c r="Z1339" s="7"/>
      <c r="AA1339" s="7"/>
      <c r="AB1339" s="7"/>
    </row>
    <row r="1340" ht="15.75" customHeight="1">
      <c r="A1340" s="26">
        <f>IFERROR(__xludf.DUMMYFUNCTION("""COMPUTED_VALUE"""),3182.0)</f>
        <v>3182</v>
      </c>
      <c r="B1340" s="22" t="str">
        <f>IFERROR(__xludf.DUMMYFUNCTION("""COMPUTED_VALUE"""),"確定")</f>
        <v>確定</v>
      </c>
      <c r="C1340" s="28">
        <f>IFERROR(__xludf.DUMMYFUNCTION("""COMPUTED_VALUE"""),45378.0)</f>
        <v>45378</v>
      </c>
      <c r="D1340" s="28">
        <f>IFERROR(__xludf.DUMMYFUNCTION("""COMPUTED_VALUE"""),45384.0)</f>
        <v>45384</v>
      </c>
      <c r="E1340" s="31">
        <f>IFERROR(__xludf.DUMMYFUNCTION("""COMPUTED_VALUE"""),289462.0)</f>
        <v>289462</v>
      </c>
      <c r="F1340" s="22" t="str">
        <f>IFERROR(__xludf.DUMMYFUNCTION("""COMPUTED_VALUE"""),"推しとつながってしまいました")</f>
        <v>推しとつながってしまいました</v>
      </c>
      <c r="G1340" s="20" t="str">
        <f>IFERROR(__xludf.DUMMYFUNCTION("""COMPUTED_VALUE"""),"1～3")</f>
        <v>1～3</v>
      </c>
      <c r="H1340" s="22" t="str">
        <f>IFERROR(__xludf.DUMMYFUNCTION("""COMPUTED_VALUE"""),"原作／夏野水分 ネーム／hyak 作画／秋元2号")</f>
        <v>原作／夏野水分 ネーム／hyak 作画／秋元2号</v>
      </c>
      <c r="I1340" s="22" t="str">
        <f>IFERROR(__xludf.DUMMYFUNCTION("""COMPUTED_VALUE"""),"女性")</f>
        <v>女性</v>
      </c>
      <c r="J1340" s="22"/>
      <c r="K1340" s="22"/>
      <c r="L1340" s="22" t="str">
        <f>IFERROR(__xludf.DUMMYFUNCTION("""COMPUTED_VALUE"""),"taskey")</f>
        <v>taskey</v>
      </c>
      <c r="M1340" s="23">
        <f>IFERROR(__xludf.DUMMYFUNCTION("""COMPUTED_VALUE"""),45370.0)</f>
        <v>45370</v>
      </c>
      <c r="N1340" s="33">
        <f>IFERROR(__xludf.DUMMYFUNCTION("""COMPUTED_VALUE"""),45430.0)</f>
        <v>45430</v>
      </c>
      <c r="O1340" s="20"/>
      <c r="P1340" s="29" t="str">
        <f>IFERROR(__xludf.DUMMYFUNCTION("""COMPUTED_VALUE"""),"可")</f>
        <v>可</v>
      </c>
      <c r="Q1340" s="30" t="str">
        <f>IFERROR(__xludf.DUMMYFUNCTION("""COMPUTED_VALUE"""),"配信日が過ぎており申し訳ございません、、、&lt;BR&gt;先行期間内に出稿できるのであればご対応をお願いします。")</f>
        <v>配信日が過ぎており申し訳ございません、、、&lt;BR&gt;先行期間内に出稿できるのであればご対応をお願いします。</v>
      </c>
      <c r="R1340" s="22"/>
      <c r="S1340" s="22" t="str">
        <f>IFERROR(__xludf.DUMMYFUNCTION("""COMPUTED_VALUE"""),"20240327_taskey_推しとつながってしまいました")</f>
        <v>20240327_taskey_推しとつながってしまいました</v>
      </c>
      <c r="T1340" s="22" t="str">
        <f>IFERROR(__xludf.DUMMYFUNCTION("""COMPUTED_VALUE"""),"格納済み")</f>
        <v>格納済み</v>
      </c>
      <c r="U1340" s="15" t="str">
        <f>IFERROR(__xludf.DUMMYFUNCTION("""COMPUTED_VALUE"""),"©︎taskey 原作／夏野水分 ネーム／hyak 作画／秋元2号")</f>
        <v>©︎taskey 原作／夏野水分 ネーム／hyak 作画／秋元2号</v>
      </c>
      <c r="V1340" s="8" t="str">
        <f>IFERROR(__xludf.DUMMYFUNCTION("""COMPUTED_VALUE"""),"カナノは10年彼氏ナシのアラサー女子。人気CueTuber・「ハル」を推すことだけが楽しみで、将来への希望なんてない。ある夜、自己嫌悪と寂しさに耐えかねたカナノは、親友に進められた「女性用風俗」を予約する。すると、セラピストとして現れたのは、推しの「ハル」だった……！？推しに触れられ、抱きしめられる、夢のような時間。でもこれはもちろん、お金だけの関係で……揺れ動く、２人の心の行方は——。")</f>
        <v>カナノは10年彼氏ナシのアラサー女子。人気CueTuber・「ハル」を推すことだけが楽しみで、将来への希望なんてない。ある夜、自己嫌悪と寂しさに耐えかねたカナノは、親友に進められた「女性用風俗」を予約する。すると、セラピストとして現れたのは、推しの「ハル」だった……！？推しに触れられ、抱きしめられる、夢のような時間。でもこれはもちろん、お金だけの関係で……揺れ動く、２人の心の行方は——。</v>
      </c>
      <c r="W1340" s="14"/>
      <c r="X1340" s="14" t="str">
        <f>IFERROR(__xludf.DUMMYFUNCTION("""COMPUTED_VALUE"""),"有")</f>
        <v>有</v>
      </c>
      <c r="Y1340" s="8" t="str">
        <f>IFERROR(__xludf.DUMMYFUNCTION("""COMPUTED_VALUE"""),"2024/5/19まで1巻無料")</f>
        <v>2024/5/19まで1巻無料</v>
      </c>
      <c r="Z1340" s="7"/>
      <c r="AA1340" s="7"/>
      <c r="AB1340" s="7"/>
    </row>
    <row r="1341" ht="15.75" customHeight="1">
      <c r="A1341" s="26">
        <f>IFERROR(__xludf.DUMMYFUNCTION("""COMPUTED_VALUE"""),3183.0)</f>
        <v>3183</v>
      </c>
      <c r="B1341" s="22" t="str">
        <f>IFERROR(__xludf.DUMMYFUNCTION("""COMPUTED_VALUE"""),"確定")</f>
        <v>確定</v>
      </c>
      <c r="C1341" s="28">
        <f>IFERROR(__xludf.DUMMYFUNCTION("""COMPUTED_VALUE"""),45379.0)</f>
        <v>45379</v>
      </c>
      <c r="D1341" s="28">
        <f>IFERROR(__xludf.DUMMYFUNCTION("""COMPUTED_VALUE"""),45384.0)</f>
        <v>45384</v>
      </c>
      <c r="E1341" s="31">
        <f>IFERROR(__xludf.DUMMYFUNCTION("""COMPUTED_VALUE"""),291556.0)</f>
        <v>291556</v>
      </c>
      <c r="F1341" s="22" t="str">
        <f>IFERROR(__xludf.DUMMYFUNCTION("""COMPUTED_VALUE"""),"セフり、ソフられ。【タテヨミ】")</f>
        <v>セフり、ソフられ。【タテヨミ】</v>
      </c>
      <c r="G1341" s="11" t="str">
        <f>IFERROR(__xludf.DUMMYFUNCTION("""COMPUTED_VALUE"""),"1～10")</f>
        <v>1～10</v>
      </c>
      <c r="H1341" s="22" t="str">
        <f>IFERROR(__xludf.DUMMYFUNCTION("""COMPUTED_VALUE"""),"山田やな")</f>
        <v>山田やな</v>
      </c>
      <c r="I1341" s="22" t="str">
        <f>IFERROR(__xludf.DUMMYFUNCTION("""COMPUTED_VALUE"""),"青年")</f>
        <v>青年</v>
      </c>
      <c r="J1341" s="22"/>
      <c r="K1341" s="22"/>
      <c r="L1341" s="22" t="str">
        <f>IFERROR(__xludf.DUMMYFUNCTION("""COMPUTED_VALUE"""),"白泉社")</f>
        <v>白泉社</v>
      </c>
      <c r="M1341" s="23">
        <f>IFERROR(__xludf.DUMMYFUNCTION("""COMPUTED_VALUE"""),45413.0)</f>
        <v>45413</v>
      </c>
      <c r="N1341" s="47">
        <f>IFERROR(__xludf.DUMMYFUNCTION("""COMPUTED_VALUE"""),45839.66666666667)</f>
        <v>45839.66667</v>
      </c>
      <c r="O1341" s="20"/>
      <c r="P1341" s="29" t="str">
        <f>IFERROR(__xludf.DUMMYFUNCTION("""COMPUTED_VALUE"""),"可")</f>
        <v>可</v>
      </c>
      <c r="Q1341" s="30" t="str">
        <f>IFERROR(__xludf.DUMMYFUNCTION("""COMPUTED_VALUE"""),"協業作品です（協業ですがタワマン同様『ヤングアニマル』レーベルです）")</f>
        <v>協業作品です（協業ですがタワマン同様『ヤングアニマル』レーベルです）</v>
      </c>
      <c r="R1341" s="22"/>
      <c r="S1341" s="22" t="str">
        <f>IFERROR(__xludf.DUMMYFUNCTION("""COMPUTED_VALUE"""),"20240328_白泉社_セフり、ソフられ。")</f>
        <v>20240328_白泉社_セフり、ソフられ。</v>
      </c>
      <c r="T1341" s="22" t="str">
        <f>IFERROR(__xludf.DUMMYFUNCTION("""COMPUTED_VALUE"""),"格納済み")</f>
        <v>格納済み</v>
      </c>
      <c r="U1341" s="15" t="str">
        <f>IFERROR(__xludf.DUMMYFUNCTION("""COMPUTED_VALUE"""),"(c)山田やな／白泉社")</f>
        <v>(c)山田やな／白泉社</v>
      </c>
      <c r="V1341" s="8" t="str">
        <f>IFERROR(__xludf.DUMMYFUNCTION("""COMPUTED_VALUE"""),"(第1話)”添い寝フレンド”通称――”ソフレ”。幼馴染の桃園歌恋に片思いをする赤瀬望は、歌恋に一度は告白したものの相手にされず、彼女の”横で寝るだけ”の日々を送る。その一方で歌恋は望以外の男のところを渡り歩き、日々身体を重ねていた。だが、そんな望にも”セフレ”を作る転機が訪れ…？恋愛とセックスに揺れる若者を描く、濃密ラブストーリー開幕。")</f>
        <v>(第1話)”添い寝フレンド”通称――”ソフレ”。幼馴染の桃園歌恋に片思いをする赤瀬望は、歌恋に一度は告白したものの相手にされず、彼女の”横で寝るだけ”の日々を送る。その一方で歌恋は望以外の男のところを渡り歩き、日々身体を重ねていた。だが、そんな望にも”セフレ”を作る転機が訪れ…？恋愛とセックスに揺れる若者を描く、濃密ラブストーリー開幕。</v>
      </c>
      <c r="W1341" s="14"/>
      <c r="X1341" s="14" t="str">
        <f>IFERROR(__xludf.DUMMYFUNCTION("""COMPUTED_VALUE"""),"有")</f>
        <v>有</v>
      </c>
      <c r="Y1341" s="8" t="str">
        <f>IFERROR(__xludf.DUMMYFUNCTION("""COMPUTED_VALUE"""),"3巻無料")</f>
        <v>3巻無料</v>
      </c>
      <c r="Z1341" s="7"/>
      <c r="AA1341" s="7"/>
      <c r="AB1341" s="7"/>
    </row>
    <row r="1342" ht="15.75" customHeight="1">
      <c r="A1342" s="26">
        <f>IFERROR(__xludf.DUMMYFUNCTION("""COMPUTED_VALUE"""),3185.0)</f>
        <v>3185</v>
      </c>
      <c r="B1342" s="22" t="str">
        <f>IFERROR(__xludf.DUMMYFUNCTION("""COMPUTED_VALUE"""),"確定")</f>
        <v>確定</v>
      </c>
      <c r="C1342" s="28">
        <f>IFERROR(__xludf.DUMMYFUNCTION("""COMPUTED_VALUE"""),45379.0)</f>
        <v>45379</v>
      </c>
      <c r="D1342" s="28">
        <f>IFERROR(__xludf.DUMMYFUNCTION("""COMPUTED_VALUE"""),45384.0)</f>
        <v>45384</v>
      </c>
      <c r="E1342" s="31">
        <f>IFERROR(__xludf.DUMMYFUNCTION("""COMPUTED_VALUE"""),291409.0)</f>
        <v>291409</v>
      </c>
      <c r="F1342" s="22" t="str">
        <f>IFERROR(__xludf.DUMMYFUNCTION("""COMPUTED_VALUE"""),"入れ替わった契約婚の花婿は砂漠の王子【タテヨミ】")</f>
        <v>入れ替わった契約婚の花婿は砂漠の王子【タテヨミ】</v>
      </c>
      <c r="G1342" s="11" t="str">
        <f>IFERROR(__xludf.DUMMYFUNCTION("""COMPUTED_VALUE"""),"1～13")</f>
        <v>1～13</v>
      </c>
      <c r="H1342" s="22" t="str">
        <f>IFERROR(__xludf.DUMMYFUNCTION("""COMPUTED_VALUE"""),"桜屋 響/リン・グレアム")</f>
        <v>桜屋 響/リン・グレアム</v>
      </c>
      <c r="I1342" s="22" t="str">
        <f>IFERROR(__xludf.DUMMYFUNCTION("""COMPUTED_VALUE"""),"ハーレクインコミックス")</f>
        <v>ハーレクインコミックス</v>
      </c>
      <c r="J1342" s="22"/>
      <c r="K1342" s="22"/>
      <c r="L1342" s="22" t="str">
        <f>IFERROR(__xludf.DUMMYFUNCTION("""COMPUTED_VALUE"""),"ハーレクイン")</f>
        <v>ハーレクイン</v>
      </c>
      <c r="M1342" s="23">
        <f>IFERROR(__xludf.DUMMYFUNCTION("""COMPUTED_VALUE"""),45408.0)</f>
        <v>45408</v>
      </c>
      <c r="N1342" s="47">
        <f>IFERROR(__xludf.DUMMYFUNCTION("""COMPUTED_VALUE"""),45498.0)</f>
        <v>45498</v>
      </c>
      <c r="O1342" s="20"/>
      <c r="P1342" s="29" t="str">
        <f>IFERROR(__xludf.DUMMYFUNCTION("""COMPUTED_VALUE"""),"可")</f>
        <v>可</v>
      </c>
      <c r="Q1342" s="30" t="str">
        <f>IFERROR(__xludf.DUMMYFUNCTION("""COMPUTED_VALUE"""),"広告コミットOK(4/2)&lt;BR&gt;・初回13巻、以降毎週1巻ずつ配信（全20巻）&lt;BR&gt;・冒頭1～4巻無料ストリーミング予定です")</f>
        <v>広告コミットOK(4/2)&lt;BR&gt;・初回13巻、以降毎週1巻ずつ配信（全20巻）&lt;BR&gt;・冒頭1～4巻無料ストリーミング予定です</v>
      </c>
      <c r="R1342" s="22"/>
      <c r="S1342" s="22" t="str">
        <f>IFERROR(__xludf.DUMMYFUNCTION("""COMPUTED_VALUE"""),"20240402_ハーレクイン_入れ替わった契約婚の花婿は砂漠の王子（フルカラー）【タテヨミ】")</f>
        <v>20240402_ハーレクイン_入れ替わった契約婚の花婿は砂漠の王子（フルカラー）【タテヨミ】</v>
      </c>
      <c r="T1342" s="22" t="str">
        <f>IFERROR(__xludf.DUMMYFUNCTION("""COMPUTED_VALUE"""),"格納済み")</f>
        <v>格納済み</v>
      </c>
      <c r="U1342" s="15" t="str">
        <f>IFERROR(__xludf.DUMMYFUNCTION("""COMPUTED_VALUE"""),"©ハーパーコリンズ・ジャパン")</f>
        <v>©ハーパーコリンズ・ジャパン</v>
      </c>
      <c r="V1342" s="8" t="str">
        <f>IFERROR(__xludf.DUMMYFUNCTION("""COMPUTED_VALUE"""),"父親ほど年のはなれた男性との政略結婚が決まったゾーイ。求められたのは元王女だったという祖母の血統。期間限定で、形だけなら…ゾーイは家族のため了承する。ところが、宮殿に到着したとたん誘拐されてしまい、目が覚めるとそこは砂漠にたたずむテントの中。国外追放されていたラジ王子が、次期国王の地位を取り戻すためゾーイと結婚するというのだ。式直前に花婿が入れ替わるなんて！　男性恐怖症のゾーイだったが、美しい彼の率直さに惹かれて純潔を捧げる。")</f>
        <v>父親ほど年のはなれた男性との政略結婚が決まったゾーイ。求められたのは元王女だったという祖母の血統。期間限定で、形だけなら…ゾーイは家族のため了承する。ところが、宮殿に到着したとたん誘拐されてしまい、目が覚めるとそこは砂漠にたたずむテントの中。国外追放されていたラジ王子が、次期国王の地位を取り戻すためゾーイと結婚するというのだ。式直前に花婿が入れ替わるなんて！　男性恐怖症のゾーイだったが、美しい彼の率直さに惹かれて純潔を捧げる。</v>
      </c>
      <c r="W1342" s="14"/>
      <c r="X1342" s="14" t="str">
        <f>IFERROR(__xludf.DUMMYFUNCTION("""COMPUTED_VALUE"""),"有")</f>
        <v>有</v>
      </c>
      <c r="Y1342" s="8" t="str">
        <f>IFERROR(__xludf.DUMMYFUNCTION("""COMPUTED_VALUE"""),"2024/7/25まで1～4巻無料")</f>
        <v>2024/7/25まで1～4巻無料</v>
      </c>
      <c r="Z1342" s="7"/>
      <c r="AA1342" s="7"/>
      <c r="AB1342" s="7"/>
    </row>
    <row r="1343" ht="15.75" customHeight="1">
      <c r="A1343" s="26">
        <f>IFERROR(__xludf.DUMMYFUNCTION("""COMPUTED_VALUE"""),3188.0)</f>
        <v>3188</v>
      </c>
      <c r="B1343" s="22" t="str">
        <f>IFERROR(__xludf.DUMMYFUNCTION("""COMPUTED_VALUE"""),"確定")</f>
        <v>確定</v>
      </c>
      <c r="C1343" s="28">
        <f>IFERROR(__xludf.DUMMYFUNCTION("""COMPUTED_VALUE"""),45379.0)</f>
        <v>45379</v>
      </c>
      <c r="D1343" s="28">
        <f>IFERROR(__xludf.DUMMYFUNCTION("""COMPUTED_VALUE"""),45384.0)</f>
        <v>45384</v>
      </c>
      <c r="E1343" s="31">
        <f>IFERROR(__xludf.DUMMYFUNCTION("""COMPUTED_VALUE"""),291173.0)</f>
        <v>291173</v>
      </c>
      <c r="F1343" s="22" t="str">
        <f>IFERROR(__xludf.DUMMYFUNCTION("""COMPUTED_VALUE"""),"傷物だと婚約破棄された令嬢は、最強の宮廷魔道士に溺愛される。")</f>
        <v>傷物だと婚約破棄された令嬢は、最強の宮廷魔道士に溺愛される。</v>
      </c>
      <c r="G1343" s="11" t="str">
        <f>IFERROR(__xludf.DUMMYFUNCTION("""COMPUTED_VALUE"""),"1～2")</f>
        <v>1～2</v>
      </c>
      <c r="H1343" s="22" t="str">
        <f>IFERROR(__xludf.DUMMYFUNCTION("""COMPUTED_VALUE"""),"小森てん")</f>
        <v>小森てん</v>
      </c>
      <c r="I1343" s="22" t="str">
        <f>IFERROR(__xludf.DUMMYFUNCTION("""COMPUTED_VALUE"""),"女性")</f>
        <v>女性</v>
      </c>
      <c r="J1343" s="22"/>
      <c r="K1343" s="22"/>
      <c r="L1343" s="22" t="str">
        <f>IFERROR(__xludf.DUMMYFUNCTION("""COMPUTED_VALUE"""),"コミックルーム")</f>
        <v>コミックルーム</v>
      </c>
      <c r="M1343" s="23">
        <f>IFERROR(__xludf.DUMMYFUNCTION("""COMPUTED_VALUE"""),45397.0)</f>
        <v>45397</v>
      </c>
      <c r="N1343" s="23">
        <f>IFERROR(__xludf.DUMMYFUNCTION("""COMPUTED_VALUE"""),45487.0)</f>
        <v>45487</v>
      </c>
      <c r="O1343" s="20"/>
      <c r="P1343" s="32" t="str">
        <f>IFERROR(__xludf.DUMMYFUNCTION("""COMPUTED_VALUE"""),"可")</f>
        <v>可</v>
      </c>
      <c r="Q1343" s="30"/>
      <c r="R1343" s="22"/>
      <c r="S1343" s="22" t="str">
        <f>IFERROR(__xludf.DUMMYFUNCTION("""COMPUTED_VALUE"""),"20240328_コミックルーム_4月新作")</f>
        <v>20240328_コミックルーム_4月新作</v>
      </c>
      <c r="T1343" s="22" t="str">
        <f>IFERROR(__xludf.DUMMYFUNCTION("""COMPUTED_VALUE"""),"格納済み")</f>
        <v>格納済み</v>
      </c>
      <c r="U1343" s="15" t="str">
        <f>IFERROR(__xludf.DUMMYFUNCTION("""COMPUTED_VALUE"""),"©小森てん／COMIC ROOM")</f>
        <v>©小森てん／COMIC ROOM</v>
      </c>
      <c r="V1343" s="8" t="str">
        <f>IFERROR(__xludf.DUMMYFUNCTION("""COMPUTED_VALUE"""),"婚約者を庇い、その身に呪いを受けた公爵令嬢・アリア。彼女は、呪いの影響により顔に醜い痣ができてしまう。しかも、彼女は婚約者である王太子・レオに「バケモノ」と罵られ、婚約破棄された上に王都から追放されてしまうのだった。最愛の人からの心無い言葉に落ち込むアリア。
そんな彼女に救いの手を差し伸べたのは、謎の魔法使い・ルシェン。彼は、多額の金銭と引き換えにその呪いを解くとアリアに申し出る。しかし、ルシェンの思惑は別にあるようで…？")</f>
        <v>婚約者を庇い、その身に呪いを受けた公爵令嬢・アリア。彼女は、呪いの影響により顔に醜い痣ができてしまう。しかも、彼女は婚約者である王太子・レオに「バケモノ」と罵られ、婚約破棄された上に王都から追放されてしまうのだった。最愛の人からの心無い言葉に落ち込むアリア。
そんな彼女に救いの手を差し伸べたのは、謎の魔法使い・ルシェン。彼は、多額の金銭と引き換えにその呪いを解くとアリアに申し出る。しかし、ルシェンの思惑は別にあるようで…？</v>
      </c>
      <c r="W1343" s="14"/>
      <c r="X1343" s="14" t="str">
        <f>IFERROR(__xludf.DUMMYFUNCTION("""COMPUTED_VALUE"""),"有")</f>
        <v>有</v>
      </c>
      <c r="Y1343" s="8" t="str">
        <f>IFERROR(__xludf.DUMMYFUNCTION("""COMPUTED_VALUE"""),"P8まで")</f>
        <v>P8まで</v>
      </c>
      <c r="Z1343" s="7"/>
      <c r="AA1343" s="7"/>
      <c r="AB1343" s="7"/>
    </row>
    <row r="1344" ht="15.75" customHeight="1">
      <c r="A1344" s="26">
        <f>IFERROR(__xludf.DUMMYFUNCTION("""COMPUTED_VALUE"""),3189.0)</f>
        <v>3189</v>
      </c>
      <c r="B1344" s="22" t="str">
        <f>IFERROR(__xludf.DUMMYFUNCTION("""COMPUTED_VALUE"""),"確定")</f>
        <v>確定</v>
      </c>
      <c r="C1344" s="28">
        <f>IFERROR(__xludf.DUMMYFUNCTION("""COMPUTED_VALUE"""),45379.0)</f>
        <v>45379</v>
      </c>
      <c r="D1344" s="28">
        <f>IFERROR(__xludf.DUMMYFUNCTION("""COMPUTED_VALUE"""),45384.0)</f>
        <v>45384</v>
      </c>
      <c r="E1344" s="31">
        <f>IFERROR(__xludf.DUMMYFUNCTION("""COMPUTED_VALUE"""),291177.0)</f>
        <v>291177</v>
      </c>
      <c r="F1344" s="46" t="str">
        <f>IFERROR(__xludf.DUMMYFUNCTION("""COMPUTED_VALUE"""),"温泉令嬢！ほっかほっかの溺愛生活はじめます〜混浴はまだ早くてよ〜")</f>
        <v>温泉令嬢！ほっかほっかの溺愛生活はじめます〜混浴はまだ早くてよ〜</v>
      </c>
      <c r="G1344" s="11" t="str">
        <f>IFERROR(__xludf.DUMMYFUNCTION("""COMPUTED_VALUE"""),"1～2")</f>
        <v>1～2</v>
      </c>
      <c r="H1344" s="22" t="str">
        <f>IFERROR(__xludf.DUMMYFUNCTION("""COMPUTED_VALUE"""),"海月ラムネ")</f>
        <v>海月ラムネ</v>
      </c>
      <c r="I1344" s="22" t="str">
        <f>IFERROR(__xludf.DUMMYFUNCTION("""COMPUTED_VALUE"""),"女性")</f>
        <v>女性</v>
      </c>
      <c r="J1344" s="22"/>
      <c r="K1344" s="22"/>
      <c r="L1344" s="22" t="str">
        <f>IFERROR(__xludf.DUMMYFUNCTION("""COMPUTED_VALUE"""),"コミックルーム")</f>
        <v>コミックルーム</v>
      </c>
      <c r="M1344" s="23">
        <f>IFERROR(__xludf.DUMMYFUNCTION("""COMPUTED_VALUE"""),45397.0)</f>
        <v>45397</v>
      </c>
      <c r="N1344" s="23">
        <f>IFERROR(__xludf.DUMMYFUNCTION("""COMPUTED_VALUE"""),45487.0)</f>
        <v>45487</v>
      </c>
      <c r="O1344" s="20"/>
      <c r="P1344" s="32" t="str">
        <f>IFERROR(__xludf.DUMMYFUNCTION("""COMPUTED_VALUE"""),"可")</f>
        <v>可</v>
      </c>
      <c r="Q1344" s="30"/>
      <c r="R1344" s="22"/>
      <c r="S1344" s="22" t="str">
        <f>IFERROR(__xludf.DUMMYFUNCTION("""COMPUTED_VALUE"""),"20240328_コミックルーム_4月新作")</f>
        <v>20240328_コミックルーム_4月新作</v>
      </c>
      <c r="T1344" s="22" t="str">
        <f>IFERROR(__xludf.DUMMYFUNCTION("""COMPUTED_VALUE"""),"格納済み")</f>
        <v>格納済み</v>
      </c>
      <c r="U1344" s="15" t="str">
        <f>IFERROR(__xludf.DUMMYFUNCTION("""COMPUTED_VALUE"""),"©海月ラムネ／COMIC ROOM")</f>
        <v>©海月ラムネ／COMIC ROOM</v>
      </c>
      <c r="V1344" s="8" t="str">
        <f>IFERROR(__xludf.DUMMYFUNCTION("""COMPUTED_VALUE"""),"赤字続きの領地を運営している子爵令嬢・シオンは、貴族であるにも関わらず貧乏だった。そんな彼女の唯一の希望は婚約者の侯爵令息・レオとの結婚。しかし、彼女は多額の借金を理由にレオから婚約破棄されてしまう。
窮地に落とされた彼女はある日、商人から貴族に成り上がった男爵家・チャーリーと出会う。シオンは、商才のある彼にお金の稼ぎ方を教えて欲しいと頼む。二人は協力していく中で徐々に距離が縮まっていき…？")</f>
        <v>赤字続きの領地を運営している子爵令嬢・シオンは、貴族であるにも関わらず貧乏だった。そんな彼女の唯一の希望は婚約者の侯爵令息・レオとの結婚。しかし、彼女は多額の借金を理由にレオから婚約破棄されてしまう。
窮地に落とされた彼女はある日、商人から貴族に成り上がった男爵家・チャーリーと出会う。シオンは、商才のある彼にお金の稼ぎ方を教えて欲しいと頼む。二人は協力していく中で徐々に距離が縮まっていき…？</v>
      </c>
      <c r="W1344" s="14"/>
      <c r="X1344" s="14" t="str">
        <f>IFERROR(__xludf.DUMMYFUNCTION("""COMPUTED_VALUE"""),"有")</f>
        <v>有</v>
      </c>
      <c r="Y1344" s="8" t="str">
        <f>IFERROR(__xludf.DUMMYFUNCTION("""COMPUTED_VALUE"""),"P8まで")</f>
        <v>P8まで</v>
      </c>
      <c r="Z1344" s="7"/>
      <c r="AA1344" s="7"/>
      <c r="AB1344" s="7"/>
    </row>
    <row r="1345" ht="15.75" customHeight="1">
      <c r="A1345" s="26">
        <f>IFERROR(__xludf.DUMMYFUNCTION("""COMPUTED_VALUE"""),3190.0)</f>
        <v>3190</v>
      </c>
      <c r="B1345" s="22" t="str">
        <f>IFERROR(__xludf.DUMMYFUNCTION("""COMPUTED_VALUE"""),"確定")</f>
        <v>確定</v>
      </c>
      <c r="C1345" s="28">
        <f>IFERROR(__xludf.DUMMYFUNCTION("""COMPUTED_VALUE"""),45379.0)</f>
        <v>45379</v>
      </c>
      <c r="D1345" s="28">
        <f>IFERROR(__xludf.DUMMYFUNCTION("""COMPUTED_VALUE"""),45384.0)</f>
        <v>45384</v>
      </c>
      <c r="E1345" s="31">
        <f>IFERROR(__xludf.DUMMYFUNCTION("""COMPUTED_VALUE"""),291176.0)</f>
        <v>291176</v>
      </c>
      <c r="F1345" s="22" t="str">
        <f>IFERROR(__xludf.DUMMYFUNCTION("""COMPUTED_VALUE"""),"婚約破棄でヤケ酒してたら俺様男子に愛されてしまった。")</f>
        <v>婚約破棄でヤケ酒してたら俺様男子に愛されてしまった。</v>
      </c>
      <c r="G1345" s="11" t="str">
        <f>IFERROR(__xludf.DUMMYFUNCTION("""COMPUTED_VALUE"""),"1～2")</f>
        <v>1～2</v>
      </c>
      <c r="H1345" s="22" t="str">
        <f>IFERROR(__xludf.DUMMYFUNCTION("""COMPUTED_VALUE"""),"海月ラムネ")</f>
        <v>海月ラムネ</v>
      </c>
      <c r="I1345" s="22" t="str">
        <f>IFERROR(__xludf.DUMMYFUNCTION("""COMPUTED_VALUE"""),"女性")</f>
        <v>女性</v>
      </c>
      <c r="J1345" s="22"/>
      <c r="K1345" s="22"/>
      <c r="L1345" s="22" t="str">
        <f>IFERROR(__xludf.DUMMYFUNCTION("""COMPUTED_VALUE"""),"コミックルーム")</f>
        <v>コミックルーム</v>
      </c>
      <c r="M1345" s="23">
        <f>IFERROR(__xludf.DUMMYFUNCTION("""COMPUTED_VALUE"""),45397.0)</f>
        <v>45397</v>
      </c>
      <c r="N1345" s="23">
        <f>IFERROR(__xludf.DUMMYFUNCTION("""COMPUTED_VALUE"""),45487.0)</f>
        <v>45487</v>
      </c>
      <c r="O1345" s="20"/>
      <c r="P1345" s="32" t="str">
        <f>IFERROR(__xludf.DUMMYFUNCTION("""COMPUTED_VALUE"""),"可")</f>
        <v>可</v>
      </c>
      <c r="Q1345" s="30"/>
      <c r="R1345" s="22"/>
      <c r="S1345" s="22" t="str">
        <f>IFERROR(__xludf.DUMMYFUNCTION("""COMPUTED_VALUE"""),"20240328_コミックルーム_4月新作")</f>
        <v>20240328_コミックルーム_4月新作</v>
      </c>
      <c r="T1345" s="22" t="str">
        <f>IFERROR(__xludf.DUMMYFUNCTION("""COMPUTED_VALUE"""),"格納済み")</f>
        <v>格納済み</v>
      </c>
      <c r="U1345" s="15" t="str">
        <f>IFERROR(__xludf.DUMMYFUNCTION("""COMPUTED_VALUE"""),"©海月ラムネ／COMIC ROOM")</f>
        <v>©海月ラムネ／COMIC ROOM</v>
      </c>
      <c r="V1345" s="8" t="str">
        <f>IFERROR(__xludf.DUMMYFUNCTION("""COMPUTED_VALUE"""),"「酒じゃーー！！酒持ってこーーい！！」
唐突かつ理不尽に婚約破棄されてしまった男爵令嬢・メリッサ。心の傷を癒すために彼女は、貴族にも関わらず平民の酒場で飲んだくれていた。そんな彼女に声をかけてきた怪しい男・ユリア。彼は、豪快だが繊細なところもあるメリッサを気に入り、再び酒場で会う約束をする。
最初は警戒するメリッサだったが、ユリアと何度も一緒に酒を飲み交わす内に、お互いの仲が深まっていく。しかし、二人の前にユリアの元婚約者が現れて…？")</f>
        <v>「酒じゃーー！！酒持ってこーーい！！」
唐突かつ理不尽に婚約破棄されてしまった男爵令嬢・メリッサ。心の傷を癒すために彼女は、貴族にも関わらず平民の酒場で飲んだくれていた。そんな彼女に声をかけてきた怪しい男・ユリア。彼は、豪快だが繊細なところもあるメリッサを気に入り、再び酒場で会う約束をする。
最初は警戒するメリッサだったが、ユリアと何度も一緒に酒を飲み交わす内に、お互いの仲が深まっていく。しかし、二人の前にユリアの元婚約者が現れて…？</v>
      </c>
      <c r="W1345" s="14"/>
      <c r="X1345" s="14" t="str">
        <f>IFERROR(__xludf.DUMMYFUNCTION("""COMPUTED_VALUE"""),"有")</f>
        <v>有</v>
      </c>
      <c r="Y1345" s="8" t="str">
        <f>IFERROR(__xludf.DUMMYFUNCTION("""COMPUTED_VALUE"""),"P7まで")</f>
        <v>P7まで</v>
      </c>
      <c r="Z1345" s="7"/>
      <c r="AA1345" s="7"/>
      <c r="AB1345" s="7"/>
    </row>
    <row r="1346" ht="15.75" customHeight="1">
      <c r="A1346" s="26">
        <f>IFERROR(__xludf.DUMMYFUNCTION("""COMPUTED_VALUE"""),3191.0)</f>
        <v>3191</v>
      </c>
      <c r="B1346" s="22" t="str">
        <f>IFERROR(__xludf.DUMMYFUNCTION("""COMPUTED_VALUE"""),"確定")</f>
        <v>確定</v>
      </c>
      <c r="C1346" s="28">
        <f>IFERROR(__xludf.DUMMYFUNCTION("""COMPUTED_VALUE"""),45379.0)</f>
        <v>45379</v>
      </c>
      <c r="D1346" s="28">
        <f>IFERROR(__xludf.DUMMYFUNCTION("""COMPUTED_VALUE"""),45384.0)</f>
        <v>45384</v>
      </c>
      <c r="E1346" s="31">
        <f>IFERROR(__xludf.DUMMYFUNCTION("""COMPUTED_VALUE"""),291175.0)</f>
        <v>291175</v>
      </c>
      <c r="F1346" s="22" t="str">
        <f>IFERROR(__xludf.DUMMYFUNCTION("""COMPUTED_VALUE"""),"婚約破棄された令嬢は気楽な侯爵家三男とらぶらぶ♡スローライフを堪能する")</f>
        <v>婚約破棄された令嬢は気楽な侯爵家三男とらぶらぶ♡スローライフを堪能する</v>
      </c>
      <c r="G1346" s="11" t="str">
        <f>IFERROR(__xludf.DUMMYFUNCTION("""COMPUTED_VALUE"""),"1～2")</f>
        <v>1～2</v>
      </c>
      <c r="H1346" s="22" t="str">
        <f>IFERROR(__xludf.DUMMYFUNCTION("""COMPUTED_VALUE"""),"うづき")</f>
        <v>うづき</v>
      </c>
      <c r="I1346" s="22" t="str">
        <f>IFERROR(__xludf.DUMMYFUNCTION("""COMPUTED_VALUE"""),"女性")</f>
        <v>女性</v>
      </c>
      <c r="J1346" s="22"/>
      <c r="K1346" s="22"/>
      <c r="L1346" s="22" t="str">
        <f>IFERROR(__xludf.DUMMYFUNCTION("""COMPUTED_VALUE"""),"コミックルーム")</f>
        <v>コミックルーム</v>
      </c>
      <c r="M1346" s="23">
        <f>IFERROR(__xludf.DUMMYFUNCTION("""COMPUTED_VALUE"""),45397.0)</f>
        <v>45397</v>
      </c>
      <c r="N1346" s="23">
        <f>IFERROR(__xludf.DUMMYFUNCTION("""COMPUTED_VALUE"""),45487.0)</f>
        <v>45487</v>
      </c>
      <c r="O1346" s="20"/>
      <c r="P1346" s="32" t="str">
        <f>IFERROR(__xludf.DUMMYFUNCTION("""COMPUTED_VALUE"""),"可")</f>
        <v>可</v>
      </c>
      <c r="Q1346" s="30"/>
      <c r="R1346" s="22"/>
      <c r="S1346" s="22" t="str">
        <f>IFERROR(__xludf.DUMMYFUNCTION("""COMPUTED_VALUE"""),"20240328_コミックルーム_4月新作")</f>
        <v>20240328_コミックルーム_4月新作</v>
      </c>
      <c r="T1346" s="46" t="str">
        <f>IFERROR(__xludf.DUMMYFUNCTION("""COMPUTED_VALUE"""),"格納済み")</f>
        <v>格納済み</v>
      </c>
      <c r="U1346" s="15" t="str">
        <f>IFERROR(__xludf.DUMMYFUNCTION("""COMPUTED_VALUE"""),"©うつぎ/COMIC ROOM")</f>
        <v>©うつぎ/COMIC ROOM</v>
      </c>
      <c r="V1346" s="8" t="str">
        <f>IFERROR(__xludf.DUMMYFUNCTION("""COMPUTED_VALUE"""),"実家への資金援助を条件に、モラハラ男と婚約した男爵令嬢のリズ。
家のためにとモラハラ行為に耐えて三年。従順に過ごしていたにも関わらず、婚約者から突然婚約破棄を告げられてしまう。
あまりの扱いに一人嘆くリズの元に、侯爵家を出奔し、今は流浪の楽師となった幼馴染のジャンが現れる。悲しむリズを前に「僕がリズを救う」と宣言するジャン。
しかし、彼は実質無職！貴族相手に太刀打ちすることなど到底無理に思えるが──！？")</f>
        <v>実家への資金援助を条件に、モラハラ男と婚約した男爵令嬢のリズ。
家のためにとモラハラ行為に耐えて三年。従順に過ごしていたにも関わらず、婚約者から突然婚約破棄を告げられてしまう。
あまりの扱いに一人嘆くリズの元に、侯爵家を出奔し、今は流浪の楽師となった幼馴染のジャンが現れる。悲しむリズを前に「僕がリズを救う」と宣言するジャン。
しかし、彼は実質無職！貴族相手に太刀打ちすることなど到底無理に思えるが──！？</v>
      </c>
      <c r="W1346" s="14"/>
      <c r="X1346" s="14" t="str">
        <f>IFERROR(__xludf.DUMMYFUNCTION("""COMPUTED_VALUE"""),"有")</f>
        <v>有</v>
      </c>
      <c r="Y1346" s="8" t="str">
        <f>IFERROR(__xludf.DUMMYFUNCTION("""COMPUTED_VALUE"""),"P9まで")</f>
        <v>P9まで</v>
      </c>
      <c r="Z1346" s="7"/>
      <c r="AA1346" s="7"/>
      <c r="AB1346" s="7"/>
    </row>
    <row r="1347" ht="15.75" customHeight="1">
      <c r="A1347" s="26">
        <f>IFERROR(__xludf.DUMMYFUNCTION("""COMPUTED_VALUE"""),3192.0)</f>
        <v>3192</v>
      </c>
      <c r="B1347" s="22" t="str">
        <f>IFERROR(__xludf.DUMMYFUNCTION("""COMPUTED_VALUE"""),"確定")</f>
        <v>確定</v>
      </c>
      <c r="C1347" s="28">
        <f>IFERROR(__xludf.DUMMYFUNCTION("""COMPUTED_VALUE"""),45379.0)</f>
        <v>45379</v>
      </c>
      <c r="D1347" s="28">
        <f>IFERROR(__xludf.DUMMYFUNCTION("""COMPUTED_VALUE"""),45384.0)</f>
        <v>45384</v>
      </c>
      <c r="E1347" s="31">
        <f>IFERROR(__xludf.DUMMYFUNCTION("""COMPUTED_VALUE"""),291174.0)</f>
        <v>291174</v>
      </c>
      <c r="F1347" s="22" t="str">
        <f>IFERROR(__xludf.DUMMYFUNCTION("""COMPUTED_VALUE"""),"探偵令嬢エリザベスの華麗なる推理")</f>
        <v>探偵令嬢エリザベスの華麗なる推理</v>
      </c>
      <c r="G1347" s="11" t="str">
        <f>IFERROR(__xludf.DUMMYFUNCTION("""COMPUTED_VALUE"""),"1～2")</f>
        <v>1～2</v>
      </c>
      <c r="H1347" s="22" t="str">
        <f>IFERROR(__xludf.DUMMYFUNCTION("""COMPUTED_VALUE"""),"真和しま")</f>
        <v>真和しま</v>
      </c>
      <c r="I1347" s="22" t="str">
        <f>IFERROR(__xludf.DUMMYFUNCTION("""COMPUTED_VALUE"""),"女性")</f>
        <v>女性</v>
      </c>
      <c r="J1347" s="22"/>
      <c r="K1347" s="22"/>
      <c r="L1347" s="22" t="str">
        <f>IFERROR(__xludf.DUMMYFUNCTION("""COMPUTED_VALUE"""),"コミックルーム")</f>
        <v>コミックルーム</v>
      </c>
      <c r="M1347" s="23">
        <f>IFERROR(__xludf.DUMMYFUNCTION("""COMPUTED_VALUE"""),45397.0)</f>
        <v>45397</v>
      </c>
      <c r="N1347" s="23">
        <f>IFERROR(__xludf.DUMMYFUNCTION("""COMPUTED_VALUE"""),45487.0)</f>
        <v>45487</v>
      </c>
      <c r="O1347" s="20"/>
      <c r="P1347" s="29" t="str">
        <f>IFERROR(__xludf.DUMMYFUNCTION("""COMPUTED_VALUE"""),"可")</f>
        <v>可</v>
      </c>
      <c r="Q1347" s="30"/>
      <c r="R1347" s="22"/>
      <c r="S1347" s="22" t="str">
        <f>IFERROR(__xludf.DUMMYFUNCTION("""COMPUTED_VALUE"""),"20240328_コミックルーム_4月新作")</f>
        <v>20240328_コミックルーム_4月新作</v>
      </c>
      <c r="T1347" s="22" t="str">
        <f>IFERROR(__xludf.DUMMYFUNCTION("""COMPUTED_VALUE"""),"格納済み")</f>
        <v>格納済み</v>
      </c>
      <c r="U1347" s="15" t="str">
        <f>IFERROR(__xludf.DUMMYFUNCTION("""COMPUTED_VALUE"""),"©真和しま／COMIC ROOM")</f>
        <v>©真和しま／COMIC ROOM</v>
      </c>
      <c r="V1347" s="8" t="str">
        <f>IFERROR(__xludf.DUMMYFUNCTION("""COMPUTED_VALUE"""),"家長である父が失踪し没落令嬢とよばれたエリザベス。
お家復興を目指す彼女はなんと、父が運営していた探偵事務所を引き継ぐことに!
さらに父の執事だったウィルに探偵助手を命じ、自らは探偵令嬢を名乗るのであった。どんな事件も華麗に解決！
探偵令嬢エリザベスと探偵助手のウィルが王都を舞台に様々な事件を解決する！
事件の裏に潜む愛、そして欲望・・・極上の令嬢ミステリー開幕！")</f>
        <v>家長である父が失踪し没落令嬢とよばれたエリザベス。
お家復興を目指す彼女はなんと、父が運営していた探偵事務所を引き継ぐことに!
さらに父の執事だったウィルに探偵助手を命じ、自らは探偵令嬢を名乗るのであった。どんな事件も華麗に解決！
探偵令嬢エリザベスと探偵助手のウィルが王都を舞台に様々な事件を解決する！
事件の裏に潜む愛、そして欲望・・・極上の令嬢ミステリー開幕！</v>
      </c>
      <c r="W1347" s="14"/>
      <c r="X1347" s="14" t="str">
        <f>IFERROR(__xludf.DUMMYFUNCTION("""COMPUTED_VALUE"""),"有")</f>
        <v>有</v>
      </c>
      <c r="Y1347" s="8" t="str">
        <f>IFERROR(__xludf.DUMMYFUNCTION("""COMPUTED_VALUE"""),"P9まで")</f>
        <v>P9まで</v>
      </c>
      <c r="Z1347" s="7"/>
      <c r="AA1347" s="7"/>
      <c r="AB1347" s="7"/>
    </row>
    <row r="1348" ht="15.75" customHeight="1">
      <c r="A1348" s="26">
        <f>IFERROR(__xludf.DUMMYFUNCTION("""COMPUTED_VALUE"""),3193.0)</f>
        <v>3193</v>
      </c>
      <c r="B1348" s="22" t="str">
        <f>IFERROR(__xludf.DUMMYFUNCTION("""COMPUTED_VALUE"""),"確定")</f>
        <v>確定</v>
      </c>
      <c r="C1348" s="28">
        <f>IFERROR(__xludf.DUMMYFUNCTION("""COMPUTED_VALUE"""),45379.0)</f>
        <v>45379</v>
      </c>
      <c r="D1348" s="28">
        <f>IFERROR(__xludf.DUMMYFUNCTION("""COMPUTED_VALUE"""),45384.0)</f>
        <v>45384</v>
      </c>
      <c r="E1348" s="31">
        <f>IFERROR(__xludf.DUMMYFUNCTION("""COMPUTED_VALUE"""),290952.0)</f>
        <v>290952</v>
      </c>
      <c r="F1348" s="22" t="str">
        <f>IFERROR(__xludf.DUMMYFUNCTION("""COMPUTED_VALUE"""),"【単話売】推し似の同僚と嘘恋はじめます")</f>
        <v>【単話売】推し似の同僚と嘘恋はじめます</v>
      </c>
      <c r="G1348" s="20" t="str">
        <f>IFERROR(__xludf.DUMMYFUNCTION("""COMPUTED_VALUE"""),"1～3")</f>
        <v>1～3</v>
      </c>
      <c r="H1348" s="22" t="str">
        <f>IFERROR(__xludf.DUMMYFUNCTION("""COMPUTED_VALUE"""),"天ノ川子")</f>
        <v>天ノ川子</v>
      </c>
      <c r="I1348" s="22" t="str">
        <f>IFERROR(__xludf.DUMMYFUNCTION("""COMPUTED_VALUE"""),"女性")</f>
        <v>女性</v>
      </c>
      <c r="J1348" s="22"/>
      <c r="K1348" s="22"/>
      <c r="L1348" s="22" t="str">
        <f>IFERROR(__xludf.DUMMYFUNCTION("""COMPUTED_VALUE"""),"集英社")</f>
        <v>集英社</v>
      </c>
      <c r="M1348" s="23">
        <f>IFERROR(__xludf.DUMMYFUNCTION("""COMPUTED_VALUE"""),45406.0)</f>
        <v>45406</v>
      </c>
      <c r="N1348" s="47">
        <f>IFERROR(__xludf.DUMMYFUNCTION("""COMPUTED_VALUE"""),45497.0)</f>
        <v>45497</v>
      </c>
      <c r="O1348" s="20"/>
      <c r="P1348" s="34" t="str">
        <f>IFERROR(__xludf.DUMMYFUNCTION("""COMPUTED_VALUE"""),"否")</f>
        <v>否</v>
      </c>
      <c r="Q1348" s="30" t="str">
        <f>IFERROR(__xludf.DUMMYFUNCTION("""COMPUTED_VALUE"""),"マーガレットコミックスDIGITAL")</f>
        <v>マーガレットコミックスDIGITAL</v>
      </c>
      <c r="R1348" s="22"/>
      <c r="S1348" s="22" t="str">
        <f>IFERROR(__xludf.DUMMYFUNCTION("""COMPUTED_VALUE"""),"20240328_集英社_推し似の同僚と嘘恋はじめます")</f>
        <v>20240328_集英社_推し似の同僚と嘘恋はじめます</v>
      </c>
      <c r="T1348" s="22" t="str">
        <f>IFERROR(__xludf.DUMMYFUNCTION("""COMPUTED_VALUE"""),"格納済み")</f>
        <v>格納済み</v>
      </c>
      <c r="U1348" s="15" t="str">
        <f>IFERROR(__xludf.DUMMYFUNCTION("""COMPUTED_VALUE"""),"(C)天ノ川子／集英社")</f>
        <v>(C)天ノ川子／集英社</v>
      </c>
      <c r="V1348" s="8" t="str">
        <f>IFERROR(__xludf.DUMMYFUNCTION("""COMPUTED_VALUE"""),"会社ではクールでそっけない態度の紫月優乃（しづきゆの）。アラサーになるも彼氏なし。そもそも恋愛に苦手意識を持っているため作る気配も全くない。そんな彼女が密かにハマっているのは、乙女系ソシャゲ！　最推しキャラはイケメン騎士のパルレス様。同僚が来ない穴場の居酒屋で、終業後に一人呑みながらプレイするのが至福のひとときだった。ところがある日、そこへ社内の女性人気ナンバーワンを誇る敏腕営業マン・碧珠希（あおいたまき）がやって来て!?　苦手な同僚の笑顔が最推しと瓜二つ!?　リアルの男性に初めてドキドキしちゃったかも!"&amp;"!")</f>
        <v>会社ではクールでそっけない態度の紫月優乃（しづきゆの）。アラサーになるも彼氏なし。そもそも恋愛に苦手意識を持っているため作る気配も全くない。そんな彼女が密かにハマっているのは、乙女系ソシャゲ！　最推しキャラはイケメン騎士のパルレス様。同僚が来ない穴場の居酒屋で、終業後に一人呑みながらプレイするのが至福のひとときだった。ところがある日、そこへ社内の女性人気ナンバーワンを誇る敏腕営業マン・碧珠希（あおいたまき）がやって来て!?　苦手な同僚の笑顔が最推しと瓜二つ!?　リアルの男性に初めてドキドキしちゃったかも!!</v>
      </c>
      <c r="W1348" s="14"/>
      <c r="X1348" s="14" t="str">
        <f>IFERROR(__xludf.DUMMYFUNCTION("""COMPUTED_VALUE"""),"有")</f>
        <v>有</v>
      </c>
      <c r="Y1348" s="8" t="str">
        <f>IFERROR(__xludf.DUMMYFUNCTION("""COMPUTED_VALUE"""),"2024/7/24まで1巻無料")</f>
        <v>2024/7/24まで1巻無料</v>
      </c>
      <c r="Z1348" s="7"/>
      <c r="AA1348" s="7"/>
      <c r="AB1348" s="7"/>
    </row>
    <row r="1349" ht="127.5" customHeight="1">
      <c r="A1349" s="26">
        <f>IFERROR(__xludf.DUMMYFUNCTION("""COMPUTED_VALUE"""),3194.0)</f>
        <v>3194</v>
      </c>
      <c r="B1349" s="22" t="str">
        <f>IFERROR(__xludf.DUMMYFUNCTION("""COMPUTED_VALUE"""),"確定")</f>
        <v>確定</v>
      </c>
      <c r="C1349" s="28">
        <f>IFERROR(__xludf.DUMMYFUNCTION("""COMPUTED_VALUE"""),45379.0)</f>
        <v>45379</v>
      </c>
      <c r="D1349" s="28">
        <f>IFERROR(__xludf.DUMMYFUNCTION("""COMPUTED_VALUE"""),45384.0)</f>
        <v>45384</v>
      </c>
      <c r="E1349" s="31">
        <f>IFERROR(__xludf.DUMMYFUNCTION("""COMPUTED_VALUE"""),289657.0)</f>
        <v>289657</v>
      </c>
      <c r="F1349" s="22" t="str">
        <f>IFERROR(__xludf.DUMMYFUNCTION("""COMPUTED_VALUE"""),"もしもチート小説の主人公がうっかり人を殺したら【連載版】")</f>
        <v>もしもチート小説の主人公がうっかり人を殺したら【連載版】</v>
      </c>
      <c r="G1349" s="20" t="str">
        <f>IFERROR(__xludf.DUMMYFUNCTION("""COMPUTED_VALUE"""),"1～5")</f>
        <v>1～5</v>
      </c>
      <c r="H1349" s="22" t="str">
        <f>IFERROR(__xludf.DUMMYFUNCTION("""COMPUTED_VALUE"""),"ガッkoya・ガブリエルしょう")</f>
        <v>ガッkoya・ガブリエルしょう</v>
      </c>
      <c r="I1349" s="22" t="str">
        <f>IFERROR(__xludf.DUMMYFUNCTION("""COMPUTED_VALUE"""),"青年")</f>
        <v>青年</v>
      </c>
      <c r="J1349" s="22"/>
      <c r="K1349" s="22"/>
      <c r="L1349" s="22" t="str">
        <f>IFERROR(__xludf.DUMMYFUNCTION("""COMPUTED_VALUE"""),"一迅社")</f>
        <v>一迅社</v>
      </c>
      <c r="M1349" s="23">
        <f>IFERROR(__xludf.DUMMYFUNCTION("""COMPUTED_VALUE"""),45408.0)</f>
        <v>45408</v>
      </c>
      <c r="N1349" s="23">
        <f>IFERROR(__xludf.DUMMYFUNCTION("""COMPUTED_VALUE"""),45438.0)</f>
        <v>45438</v>
      </c>
      <c r="O1349" s="20"/>
      <c r="P1349" s="29" t="str">
        <f>IFERROR(__xludf.DUMMYFUNCTION("""COMPUTED_VALUE"""),"可")</f>
        <v>可</v>
      </c>
      <c r="Q1349" s="30" t="str">
        <f>IFERROR(__xludf.DUMMYFUNCTION("""COMPUTED_VALUE"""),"4話分で制作をお願いいたします&lt;BR&gt;0000106327_jp_0098⇒P205～P250&lt;BR&gt;0000106327_jp_0099⇒P119～P146&lt;BR&gt;0000106327_jp_0100⇒P57～P82&lt;BR&gt;0000106327_jp_0101⇒P331～P358")</f>
        <v>4話分で制作をお願いいたします&lt;BR&gt;0000106327_jp_0098⇒P205～P250&lt;BR&gt;0000106327_jp_0099⇒P119～P146&lt;BR&gt;0000106327_jp_0100⇒P57～P82&lt;BR&gt;0000106327_jp_0101⇒P331～P358</v>
      </c>
      <c r="R1349" s="22"/>
      <c r="S1349" s="22" t="str">
        <f>IFERROR(__xludf.DUMMYFUNCTION("""COMPUTED_VALUE"""),"20240328_一迅社_もしもチート小説")</f>
        <v>20240328_一迅社_もしもチート小説</v>
      </c>
      <c r="T1349" s="22" t="str">
        <f>IFERROR(__xludf.DUMMYFUNCTION("""COMPUTED_VALUE"""),"格納済み")</f>
        <v>格納済み</v>
      </c>
      <c r="U1349" s="15" t="str">
        <f>IFERROR(__xludf.DUMMYFUNCTION("""COMPUTED_VALUE"""),"(C)ガッkoya・ガブリエルしょう／一迅社")</f>
        <v>(C)ガッkoya・ガブリエルしょう／一迅社</v>
      </c>
      <c r="V1349" s="8" t="str">
        <f>IFERROR(__xludf.DUMMYFUNCTION("""COMPUTED_VALUE"""),"チート能力を手にした凡庸な冒険者の末路とは―――。主人公最強ファンタジーに一石を投じた問題作が、ついにコミカライズ!!ユニークスキルに選ばれたお調子者の冒険者・ライト。ある日、理不尽にも追放された彼はひょんなことから最強の力を手に入れる。しかし、それは果てしなく続く罪業の道への第一歩であった―――　漫画内の告知等は過去のものとなりますので、ご注意ください。")</f>
        <v>チート能力を手にした凡庸な冒険者の末路とは―――。主人公最強ファンタジーに一石を投じた問題作が、ついにコミカライズ!!ユニークスキルに選ばれたお調子者の冒険者・ライト。ある日、理不尽にも追放された彼はひょんなことから最強の力を手に入れる。しかし、それは果てしなく続く罪業の道への第一歩であった―――　漫画内の告知等は過去のものとなりますので、ご注意ください。</v>
      </c>
      <c r="W1349" s="14"/>
      <c r="X1349" s="14" t="str">
        <f>IFERROR(__xludf.DUMMYFUNCTION("""COMPUTED_VALUE"""),"有")</f>
        <v>有</v>
      </c>
      <c r="Y1349" s="8" t="str">
        <f>IFERROR(__xludf.DUMMYFUNCTION("""COMPUTED_VALUE"""),"2024/5/26まで1巻無料")</f>
        <v>2024/5/26まで1巻無料</v>
      </c>
      <c r="Z1349" s="7"/>
      <c r="AA1349" s="7"/>
      <c r="AB1349" s="7"/>
    </row>
    <row r="1350" ht="15.75" customHeight="1">
      <c r="A1350" s="26">
        <f>IFERROR(__xludf.DUMMYFUNCTION("""COMPUTED_VALUE"""),3195.0)</f>
        <v>3195</v>
      </c>
      <c r="B1350" s="22" t="str">
        <f>IFERROR(__xludf.DUMMYFUNCTION("""COMPUTED_VALUE"""),"確定")</f>
        <v>確定</v>
      </c>
      <c r="C1350" s="28">
        <f>IFERROR(__xludf.DUMMYFUNCTION("""COMPUTED_VALUE"""),45380.0)</f>
        <v>45380</v>
      </c>
      <c r="D1350" s="28">
        <f>IFERROR(__xludf.DUMMYFUNCTION("""COMPUTED_VALUE"""),45384.0)</f>
        <v>45384</v>
      </c>
      <c r="E1350" s="31">
        <f>IFERROR(__xludf.DUMMYFUNCTION("""COMPUTED_VALUE"""),291278.0)</f>
        <v>291278</v>
      </c>
      <c r="F1350" s="22" t="str">
        <f>IFERROR(__xludf.DUMMYFUNCTION("""COMPUTED_VALUE"""),"生意気で無愛想な後輩・恩田が絶倫甘えん坊になりまして？？？")</f>
        <v>生意気で無愛想な後輩・恩田が絶倫甘えん坊になりまして？？？</v>
      </c>
      <c r="G1350" s="20" t="str">
        <f>IFERROR(__xludf.DUMMYFUNCTION("""COMPUTED_VALUE"""),"1～3")</f>
        <v>1～3</v>
      </c>
      <c r="H1350" s="22" t="str">
        <f>IFERROR(__xludf.DUMMYFUNCTION("""COMPUTED_VALUE"""),"武器┴THE猥談")</f>
        <v>武器┴THE猥談</v>
      </c>
      <c r="I1350" s="22" t="str">
        <f>IFERROR(__xludf.DUMMYFUNCTION("""COMPUTED_VALUE"""),"TL")</f>
        <v>TL</v>
      </c>
      <c r="J1350" s="22"/>
      <c r="K1350" s="22"/>
      <c r="L1350" s="22" t="str">
        <f>IFERROR(__xludf.DUMMYFUNCTION("""COMPUTED_VALUE"""),"ブリック出版")</f>
        <v>ブリック出版</v>
      </c>
      <c r="M1350" s="23">
        <f>IFERROR(__xludf.DUMMYFUNCTION("""COMPUTED_VALUE"""),45408.0)</f>
        <v>45408</v>
      </c>
      <c r="N1350" s="23">
        <f>IFERROR(__xludf.DUMMYFUNCTION("""COMPUTED_VALUE"""),45470.0)</f>
        <v>45470</v>
      </c>
      <c r="O1350" s="20"/>
      <c r="P1350" s="29" t="str">
        <f>IFERROR(__xludf.DUMMYFUNCTION("""COMPUTED_VALUE"""),"可")</f>
        <v>可</v>
      </c>
      <c r="Q1350" s="30" t="str">
        <f>IFERROR(__xludf.DUMMYFUNCTION("""COMPUTED_VALUE"""),"河上さんへ事前コミット済みの作品です。")</f>
        <v>河上さんへ事前コミット済みの作品です。</v>
      </c>
      <c r="R1350" s="22"/>
      <c r="S1350" s="22" t="str">
        <f>IFERROR(__xludf.DUMMYFUNCTION("""COMPUTED_VALUE"""),"20240329_BookLive_生意気で無愛想な後輩・恩田が絶倫甘えん坊になりまして？？？")</f>
        <v>20240329_BookLive_生意気で無愛想な後輩・恩田が絶倫甘えん坊になりまして？？？</v>
      </c>
      <c r="T1350" s="22" t="str">
        <f>IFERROR(__xludf.DUMMYFUNCTION("""COMPUTED_VALUE"""),"格納済み")</f>
        <v>格納済み</v>
      </c>
      <c r="U1350" s="15" t="str">
        <f>IFERROR(__xludf.DUMMYFUNCTION("""COMPUTED_VALUE"""),"Ⓒ武器/THE猥談/ブリック出版")</f>
        <v>Ⓒ武器/THE猥談/ブリック出版</v>
      </c>
      <c r="V1350" s="8" t="str">
        <f>IFERROR(__xludf.DUMMYFUNCTION("""COMPUTED_VALUE"""),"あの恩田が失恋したらしい。
優秀だけど、生意気で全然可愛くない男の後輩。
その恩田がーー
目の前で、酒に酔って、「消えたい…」って言いながら泣いてる。
「飲み足りない」って言って、家に誘われてる…。
これは、まずい……。
深夜、宅飲み、独り身同士。
恩田は後輩だし、終電で帰らなきゃ…
「帰るの?」
「……もう　酔ってない」
「いかないで　塚田さん」
……もう知らない。どうなっても、知らない。
※本作は武器、THE猥談の個人誌作品の電子書籍版となります。【27ページ】")</f>
        <v>あの恩田が失恋したらしい。
優秀だけど、生意気で全然可愛くない男の後輩。
その恩田がーー
目の前で、酒に酔って、「消えたい…」って言いながら泣いてる。
「飲み足りない」って言って、家に誘われてる…。
これは、まずい……。
深夜、宅飲み、独り身同士。
恩田は後輩だし、終電で帰らなきゃ…
「帰るの?」
「……もう　酔ってない」
「いかないで　塚田さん」
……もう知らない。どうなっても、知らない。
※本作は武器、THE猥談の個人誌作品の電子書籍版となります。【27ページ】</v>
      </c>
      <c r="W1350" s="14"/>
      <c r="X1350" s="14" t="str">
        <f>IFERROR(__xludf.DUMMYFUNCTION("""COMPUTED_VALUE"""),"有")</f>
        <v>有</v>
      </c>
      <c r="Y1350" s="8" t="str">
        <f>IFERROR(__xludf.DUMMYFUNCTION("""COMPUTED_VALUE"""),"P13まで")</f>
        <v>P13まで</v>
      </c>
      <c r="Z1350" s="7"/>
      <c r="AA1350" s="7"/>
      <c r="AB1350" s="7"/>
    </row>
    <row r="1351" ht="15.75" customHeight="1">
      <c r="A1351" s="26">
        <f>IFERROR(__xludf.DUMMYFUNCTION("""COMPUTED_VALUE"""),3196.0)</f>
        <v>3196</v>
      </c>
      <c r="B1351" s="22" t="str">
        <f>IFERROR(__xludf.DUMMYFUNCTION("""COMPUTED_VALUE"""),"確定")</f>
        <v>確定</v>
      </c>
      <c r="C1351" s="28">
        <f>IFERROR(__xludf.DUMMYFUNCTION("""COMPUTED_VALUE"""),45380.0)</f>
        <v>45380</v>
      </c>
      <c r="D1351" s="28">
        <f>IFERROR(__xludf.DUMMYFUNCTION("""COMPUTED_VALUE"""),45384.0)</f>
        <v>45384</v>
      </c>
      <c r="E1351" s="31">
        <f>IFERROR(__xludf.DUMMYFUNCTION("""COMPUTED_VALUE"""),291267.0)</f>
        <v>291267</v>
      </c>
      <c r="F1351" s="22" t="str">
        <f>IFERROR(__xludf.DUMMYFUNCTION("""COMPUTED_VALUE"""),"生意気で無愛想な後輩・恩田が絶倫甘えん坊になりまして？？？【R版】")</f>
        <v>生意気で無愛想な後輩・恩田が絶倫甘えん坊になりまして？？？【R版】</v>
      </c>
      <c r="G1351" s="20" t="str">
        <f>IFERROR(__xludf.DUMMYFUNCTION("""COMPUTED_VALUE"""),"1～3")</f>
        <v>1～3</v>
      </c>
      <c r="H1351" s="22" t="str">
        <f>IFERROR(__xludf.DUMMYFUNCTION("""COMPUTED_VALUE"""),"武器┴THE猥談")</f>
        <v>武器┴THE猥談</v>
      </c>
      <c r="I1351" s="22" t="str">
        <f>IFERROR(__xludf.DUMMYFUNCTION("""COMPUTED_VALUE"""),"オトナ")</f>
        <v>オトナ</v>
      </c>
      <c r="J1351" s="22"/>
      <c r="K1351" s="22"/>
      <c r="L1351" s="22" t="str">
        <f>IFERROR(__xludf.DUMMYFUNCTION("""COMPUTED_VALUE"""),"ブリック出版")</f>
        <v>ブリック出版</v>
      </c>
      <c r="M1351" s="23">
        <f>IFERROR(__xludf.DUMMYFUNCTION("""COMPUTED_VALUE"""),45408.0)</f>
        <v>45408</v>
      </c>
      <c r="N1351" s="23">
        <f>IFERROR(__xludf.DUMMYFUNCTION("""COMPUTED_VALUE"""),45470.0)</f>
        <v>45470</v>
      </c>
      <c r="O1351" s="20"/>
      <c r="P1351" s="29" t="str">
        <f>IFERROR(__xludf.DUMMYFUNCTION("""COMPUTED_VALUE"""),"可")</f>
        <v>可</v>
      </c>
      <c r="Q1351" s="30" t="str">
        <f>IFERROR(__xludf.DUMMYFUNCTION("""COMPUTED_VALUE"""),"河上さんへ事前コミット済みの作品です。")</f>
        <v>河上さんへ事前コミット済みの作品です。</v>
      </c>
      <c r="R1351" s="22"/>
      <c r="S1351" s="22" t="str">
        <f>IFERROR(__xludf.DUMMYFUNCTION("""COMPUTED_VALUE"""),"20240329_BookLive_生意気で無愛想な後輩・恩田が絶倫甘えん坊になりまして？？？【R版】")</f>
        <v>20240329_BookLive_生意気で無愛想な後輩・恩田が絶倫甘えん坊になりまして？？？【R版】</v>
      </c>
      <c r="T1351" s="22" t="str">
        <f>IFERROR(__xludf.DUMMYFUNCTION("""COMPUTED_VALUE"""),"格納済み")</f>
        <v>格納済み</v>
      </c>
      <c r="U1351" s="15" t="str">
        <f>IFERROR(__xludf.DUMMYFUNCTION("""COMPUTED_VALUE"""),"Ⓒ武器/THE猥談/ブリック出版")</f>
        <v>Ⓒ武器/THE猥談/ブリック出版</v>
      </c>
      <c r="V1351" s="8" t="str">
        <f>IFERROR(__xludf.DUMMYFUNCTION("""COMPUTED_VALUE"""),"あの恩田が失恋したらしい。
優秀だけど、生意気で全然可愛くない男の後輩。
その恩田がーー
目の前で、酒に酔って、「消えたい…」って言いながら泣いてる。
「飲み足りない」って言って、家に誘われてる…。
これは、まずい……。
深夜、宅飲み、独り身同士。
恩田は後輩だし、終電で帰らなきゃ…
「帰るの?」
「……もう　酔ってない」
「いかないで　塚田さん」
……もう知らない。どうなっても、知らない。
本作は『生意気で無愛想な後輩・恩田が絶倫甘えん坊になりまして？？？』の修正をやや弱めたもの"&amp;"です。内容に差異はありません。
※本作は武器、THE猥談の個人誌作品の電子書籍版となります。【27ページ】")</f>
        <v>あの恩田が失恋したらしい。
優秀だけど、生意気で全然可愛くない男の後輩。
その恩田がーー
目の前で、酒に酔って、「消えたい…」って言いながら泣いてる。
「飲み足りない」って言って、家に誘われてる…。
これは、まずい……。
深夜、宅飲み、独り身同士。
恩田は後輩だし、終電で帰らなきゃ…
「帰るの?」
「……もう　酔ってない」
「いかないで　塚田さん」
……もう知らない。どうなっても、知らない。
本作は『生意気で無愛想な後輩・恩田が絶倫甘えん坊になりまして？？？』の修正をやや弱めたものです。内容に差異はありません。
※本作は武器、THE猥談の個人誌作品の電子書籍版となります。【27ページ】</v>
      </c>
      <c r="W1351" s="14"/>
      <c r="X1351" s="14" t="str">
        <f>IFERROR(__xludf.DUMMYFUNCTION("""COMPUTED_VALUE"""),"有")</f>
        <v>有</v>
      </c>
      <c r="Y1351" s="8" t="str">
        <f>IFERROR(__xludf.DUMMYFUNCTION("""COMPUTED_VALUE"""),"P13まで")</f>
        <v>P13まで</v>
      </c>
      <c r="Z1351" s="7"/>
      <c r="AA1351" s="7"/>
      <c r="AB1351" s="7"/>
    </row>
    <row r="1352" ht="15.75" customHeight="1">
      <c r="A1352" s="26">
        <f>IFERROR(__xludf.DUMMYFUNCTION("""COMPUTED_VALUE"""),3197.0)</f>
        <v>3197</v>
      </c>
      <c r="B1352" s="22" t="str">
        <f>IFERROR(__xludf.DUMMYFUNCTION("""COMPUTED_VALUE"""),"確定")</f>
        <v>確定</v>
      </c>
      <c r="C1352" s="28">
        <f>IFERROR(__xludf.DUMMYFUNCTION("""COMPUTED_VALUE"""),45380.0)</f>
        <v>45380</v>
      </c>
      <c r="D1352" s="28">
        <f>IFERROR(__xludf.DUMMYFUNCTION("""COMPUTED_VALUE"""),45384.0)</f>
        <v>45384</v>
      </c>
      <c r="E1352" s="31">
        <f>IFERROR(__xludf.DUMMYFUNCTION("""COMPUTED_VALUE"""),291279.0)</f>
        <v>291279</v>
      </c>
      <c r="F1352" s="22" t="str">
        <f>IFERROR(__xludf.DUMMYFUNCTION("""COMPUTED_VALUE"""),"態度も身体も全部デカい瀬川さんのガチ恋対象になりました")</f>
        <v>態度も身体も全部デカい瀬川さんのガチ恋対象になりました</v>
      </c>
      <c r="G1352" s="20" t="str">
        <f>IFERROR(__xludf.DUMMYFUNCTION("""COMPUTED_VALUE"""),"1~5")</f>
        <v>1~5</v>
      </c>
      <c r="H1352" s="22" t="str">
        <f>IFERROR(__xludf.DUMMYFUNCTION("""COMPUTED_VALUE"""),"晴山晴緒┴THE猥談")</f>
        <v>晴山晴緒┴THE猥談</v>
      </c>
      <c r="I1352" s="22" t="str">
        <f>IFERROR(__xludf.DUMMYFUNCTION("""COMPUTED_VALUE"""),"TL")</f>
        <v>TL</v>
      </c>
      <c r="J1352" s="22"/>
      <c r="K1352" s="22"/>
      <c r="L1352" s="22" t="str">
        <f>IFERROR(__xludf.DUMMYFUNCTION("""COMPUTED_VALUE"""),"ブリック出版")</f>
        <v>ブリック出版</v>
      </c>
      <c r="M1352" s="23">
        <f>IFERROR(__xludf.DUMMYFUNCTION("""COMPUTED_VALUE"""),45408.0)</f>
        <v>45408</v>
      </c>
      <c r="N1352" s="23">
        <f>IFERROR(__xludf.DUMMYFUNCTION("""COMPUTED_VALUE"""),45652.70833333333)</f>
        <v>45652.70833</v>
      </c>
      <c r="O1352" s="20"/>
      <c r="P1352" s="29" t="str">
        <f>IFERROR(__xludf.DUMMYFUNCTION("""COMPUTED_VALUE"""),"可")</f>
        <v>可</v>
      </c>
      <c r="Q1352" s="30" t="str">
        <f>IFERROR(__xludf.DUMMYFUNCTION("""COMPUTED_VALUE"""),"河上さんへ事前コミット済みの作品です。")</f>
        <v>河上さんへ事前コミット済みの作品です。</v>
      </c>
      <c r="R1352" s="22"/>
      <c r="S1352" s="22" t="str">
        <f>IFERROR(__xludf.DUMMYFUNCTION("""COMPUTED_VALUE"""),"20240329_BookLive_態度も身体も全部デカい瀬川さんのガチ恋対象になりました")</f>
        <v>20240329_BookLive_態度も身体も全部デカい瀬川さんのガチ恋対象になりました</v>
      </c>
      <c r="T1352" s="22" t="str">
        <f>IFERROR(__xludf.DUMMYFUNCTION("""COMPUTED_VALUE"""),"格納済み")</f>
        <v>格納済み</v>
      </c>
      <c r="U1352" s="15" t="str">
        <f>IFERROR(__xludf.DUMMYFUNCTION("""COMPUTED_VALUE"""),"Ⓒ晴山晴緒/THE猥談/ブリック出版")</f>
        <v>Ⓒ晴山晴緒/THE猥談/ブリック出版</v>
      </c>
      <c r="V1352" s="8" t="str">
        <f>IFERROR(__xludf.DUMMYFUNCTION("""COMPUTED_VALUE"""),"配属された地方支社で、一番仕事ができて、人望もある瀬川さん。
人として尊敬はしてるけど、なぜか私にだけあたりが強い。
東京の本社勤務を狙う私にとって、最大の壁である上司………
だった、はず。
ある日の会食帰り。
取引先の瀬川さんに対するセクハラに喝を入れただけなのに……
「お前が可愛く見える呪いにかかった」
「今　急速に惹かれてるけど不快?」
……そこまで言われる、なんて。
不快、とかじゃない…ですけど……。
もしかして私、瀬川さんにガチ恋対象にされてます??
※本作は晴山晴緒、TH"&amp;"E猥談の個人誌作品の電子書籍版となります。【25ページ】")</f>
        <v>配属された地方支社で、一番仕事ができて、人望もある瀬川さん。
人として尊敬はしてるけど、なぜか私にだけあたりが強い。
東京の本社勤務を狙う私にとって、最大の壁である上司………
だった、はず。
ある日の会食帰り。
取引先の瀬川さんに対するセクハラに喝を入れただけなのに……
「お前が可愛く見える呪いにかかった」
「今　急速に惹かれてるけど不快?」
……そこまで言われる、なんて。
不快、とかじゃない…ですけど……。
もしかして私、瀬川さんにガチ恋対象にされてます??
※本作は晴山晴緒、THE猥談の個人誌作品の電子書籍版となります。【25ページ】</v>
      </c>
      <c r="W1352" s="14"/>
      <c r="X1352" s="14" t="str">
        <f>IFERROR(__xludf.DUMMYFUNCTION("""COMPUTED_VALUE"""),"有")</f>
        <v>有</v>
      </c>
      <c r="Y1352" s="8" t="str">
        <f>IFERROR(__xludf.DUMMYFUNCTION("""COMPUTED_VALUE"""),"2024/5/23まで1巻無料")</f>
        <v>2024/5/23まで1巻無料</v>
      </c>
      <c r="Z1352" s="7"/>
      <c r="AA1352" s="7"/>
      <c r="AB1352" s="7"/>
    </row>
    <row r="1353" ht="15.75" customHeight="1">
      <c r="A1353" s="26">
        <f>IFERROR(__xludf.DUMMYFUNCTION("""COMPUTED_VALUE"""),3198.0)</f>
        <v>3198</v>
      </c>
      <c r="B1353" s="22" t="str">
        <f>IFERROR(__xludf.DUMMYFUNCTION("""COMPUTED_VALUE"""),"確定")</f>
        <v>確定</v>
      </c>
      <c r="C1353" s="28">
        <f>IFERROR(__xludf.DUMMYFUNCTION("""COMPUTED_VALUE"""),45380.0)</f>
        <v>45380</v>
      </c>
      <c r="D1353" s="28">
        <f>IFERROR(__xludf.DUMMYFUNCTION("""COMPUTED_VALUE"""),45384.0)</f>
        <v>45384</v>
      </c>
      <c r="E1353" s="31">
        <f>IFERROR(__xludf.DUMMYFUNCTION("""COMPUTED_VALUE"""),291268.0)</f>
        <v>291268</v>
      </c>
      <c r="F1353" s="22" t="str">
        <f>IFERROR(__xludf.DUMMYFUNCTION("""COMPUTED_VALUE"""),"態度も身体も全部デカい瀬川さんのガチ恋対象になりました【R版】")</f>
        <v>態度も身体も全部デカい瀬川さんのガチ恋対象になりました【R版】</v>
      </c>
      <c r="G1353" s="20" t="str">
        <f>IFERROR(__xludf.DUMMYFUNCTION("""COMPUTED_VALUE"""),"1~5")</f>
        <v>1~5</v>
      </c>
      <c r="H1353" s="22" t="str">
        <f>IFERROR(__xludf.DUMMYFUNCTION("""COMPUTED_VALUE"""),"晴山晴緒┴THE猥談")</f>
        <v>晴山晴緒┴THE猥談</v>
      </c>
      <c r="I1353" s="22" t="str">
        <f>IFERROR(__xludf.DUMMYFUNCTION("""COMPUTED_VALUE"""),"オトナ")</f>
        <v>オトナ</v>
      </c>
      <c r="J1353" s="22"/>
      <c r="K1353" s="22"/>
      <c r="L1353" s="22" t="str">
        <f>IFERROR(__xludf.DUMMYFUNCTION("""COMPUTED_VALUE"""),"ブリック出版")</f>
        <v>ブリック出版</v>
      </c>
      <c r="M1353" s="23">
        <f>IFERROR(__xludf.DUMMYFUNCTION("""COMPUTED_VALUE"""),45408.0)</f>
        <v>45408</v>
      </c>
      <c r="N1353" s="23">
        <f>IFERROR(__xludf.DUMMYFUNCTION("""COMPUTED_VALUE"""),45652.70833333333)</f>
        <v>45652.70833</v>
      </c>
      <c r="O1353" s="20"/>
      <c r="P1353" s="29" t="str">
        <f>IFERROR(__xludf.DUMMYFUNCTION("""COMPUTED_VALUE"""),"可")</f>
        <v>可</v>
      </c>
      <c r="Q1353" s="30" t="str">
        <f>IFERROR(__xludf.DUMMYFUNCTION("""COMPUTED_VALUE"""),"河上さんへ事前コミット済みの作品です。")</f>
        <v>河上さんへ事前コミット済みの作品です。</v>
      </c>
      <c r="R1353" s="22"/>
      <c r="S1353" s="22" t="str">
        <f>IFERROR(__xludf.DUMMYFUNCTION("""COMPUTED_VALUE"""),"20240329_BookLive_態度も身体も全部デカい瀬川さんのガチ恋対象になりました【R版】")</f>
        <v>20240329_BookLive_態度も身体も全部デカい瀬川さんのガチ恋対象になりました【R版】</v>
      </c>
      <c r="T1353" s="22" t="str">
        <f>IFERROR(__xludf.DUMMYFUNCTION("""COMPUTED_VALUE"""),"格納済み")</f>
        <v>格納済み</v>
      </c>
      <c r="U1353" s="15" t="str">
        <f>IFERROR(__xludf.DUMMYFUNCTION("""COMPUTED_VALUE"""),"Ⓒ晴山晴緒/THE猥談/ブリック出版")</f>
        <v>Ⓒ晴山晴緒/THE猥談/ブリック出版</v>
      </c>
      <c r="V1353" s="8" t="str">
        <f>IFERROR(__xludf.DUMMYFUNCTION("""COMPUTED_VALUE"""),"配属された地方支社で、一番仕事ができて、人望もある瀬川さん。
人として尊敬はしてるけど、なぜか私にだけあたりが強い。
東京の本社勤務を狙う私にとって、最大の壁である上司………
だった、はず。
ある日の会食帰り。
取引先の瀬川さんに対するセクハラに喝を入れただけなのに……
「お前が可愛く見える呪いにかかった」
「今　急速に惹かれてるけど不快?」
……そこまで言われる、なんて。
不快、とかじゃない…ですけど……。
もしかして私、瀬川さんにガチ恋対象にされてます??
本作は『態度も身体も全"&amp;"部デカい瀬川さんのガチ恋対象になりました』の修正をやや弱めたものです。内容に差異はありません。
※本作は晴山晴緒、THE猥談の個人誌作品の電子書籍版となります。【25ページ】")</f>
        <v>配属された地方支社で、一番仕事ができて、人望もある瀬川さん。
人として尊敬はしてるけど、なぜか私にだけあたりが強い。
東京の本社勤務を狙う私にとって、最大の壁である上司………
だった、はず。
ある日の会食帰り。
取引先の瀬川さんに対するセクハラに喝を入れただけなのに……
「お前が可愛く見える呪いにかかった」
「今　急速に惹かれてるけど不快?」
……そこまで言われる、なんて。
不快、とかじゃない…ですけど……。
もしかして私、瀬川さんにガチ恋対象にされてます??
本作は『態度も身体も全部デカい瀬川さんのガチ恋対象になりました』の修正をやや弱めたものです。内容に差異はありません。
※本作は晴山晴緒、THE猥談の個人誌作品の電子書籍版となります。【25ページ】</v>
      </c>
      <c r="W1353" s="14"/>
      <c r="X1353" s="14" t="str">
        <f>IFERROR(__xludf.DUMMYFUNCTION("""COMPUTED_VALUE"""),"有")</f>
        <v>有</v>
      </c>
      <c r="Y1353" s="8" t="str">
        <f>IFERROR(__xludf.DUMMYFUNCTION("""COMPUTED_VALUE"""),"2024/5/23まで1巻無料")</f>
        <v>2024/5/23まで1巻無料</v>
      </c>
      <c r="Z1353" s="7"/>
      <c r="AA1353" s="7"/>
      <c r="AB1353" s="7"/>
    </row>
    <row r="1354" ht="15.75" customHeight="1">
      <c r="A1354" s="26">
        <f>IFERROR(__xludf.DUMMYFUNCTION("""COMPUTED_VALUE"""),3199.0)</f>
        <v>3199</v>
      </c>
      <c r="B1354" s="22" t="str">
        <f>IFERROR(__xludf.DUMMYFUNCTION("""COMPUTED_VALUE"""),"確定")</f>
        <v>確定</v>
      </c>
      <c r="C1354" s="28">
        <f>IFERROR(__xludf.DUMMYFUNCTION("""COMPUTED_VALUE"""),45380.0)</f>
        <v>45380</v>
      </c>
      <c r="D1354" s="28">
        <f>IFERROR(__xludf.DUMMYFUNCTION("""COMPUTED_VALUE"""),45384.0)</f>
        <v>45384</v>
      </c>
      <c r="E1354" s="31">
        <f>IFERROR(__xludf.DUMMYFUNCTION("""COMPUTED_VALUE"""),291280.0)</f>
        <v>291280</v>
      </c>
      <c r="F1354" s="22" t="str">
        <f>IFERROR(__xludf.DUMMYFUNCTION("""COMPUTED_VALUE"""),"このままじゃ私たち、親友らしくいられない")</f>
        <v>このままじゃ私たち、親友らしくいられない</v>
      </c>
      <c r="G1354" s="20" t="str">
        <f>IFERROR(__xludf.DUMMYFUNCTION("""COMPUTED_VALUE"""),"1～3")</f>
        <v>1～3</v>
      </c>
      <c r="H1354" s="22" t="str">
        <f>IFERROR(__xludf.DUMMYFUNCTION("""COMPUTED_VALUE"""),"ネコピ・ザ・キャット┴THE猥談")</f>
        <v>ネコピ・ザ・キャット┴THE猥談</v>
      </c>
      <c r="I1354" s="22" t="str">
        <f>IFERROR(__xludf.DUMMYFUNCTION("""COMPUTED_VALUE"""),"TL")</f>
        <v>TL</v>
      </c>
      <c r="J1354" s="22"/>
      <c r="K1354" s="22"/>
      <c r="L1354" s="22" t="str">
        <f>IFERROR(__xludf.DUMMYFUNCTION("""COMPUTED_VALUE"""),"ブリック出版")</f>
        <v>ブリック出版</v>
      </c>
      <c r="M1354" s="23">
        <f>IFERROR(__xludf.DUMMYFUNCTION("""COMPUTED_VALUE"""),45408.0)</f>
        <v>45408</v>
      </c>
      <c r="N1354" s="23">
        <f>IFERROR(__xludf.DUMMYFUNCTION("""COMPUTED_VALUE"""),45652.70833333333)</f>
        <v>45652.70833</v>
      </c>
      <c r="O1354" s="20"/>
      <c r="P1354" s="29" t="str">
        <f>IFERROR(__xludf.DUMMYFUNCTION("""COMPUTED_VALUE"""),"可")</f>
        <v>可</v>
      </c>
      <c r="Q1354" s="30" t="str">
        <f>IFERROR(__xludf.DUMMYFUNCTION("""COMPUTED_VALUE"""),"河上さんへ事前コミット済みの作品です。")</f>
        <v>河上さんへ事前コミット済みの作品です。</v>
      </c>
      <c r="R1354" s="22"/>
      <c r="S1354" s="22" t="str">
        <f>IFERROR(__xludf.DUMMYFUNCTION("""COMPUTED_VALUE"""),"20240329_BookLive_このままじゃ私たち、親友らしくいられない")</f>
        <v>20240329_BookLive_このままじゃ私たち、親友らしくいられない</v>
      </c>
      <c r="T1354" s="22" t="str">
        <f>IFERROR(__xludf.DUMMYFUNCTION("""COMPUTED_VALUE"""),"格納済み")</f>
        <v>格納済み</v>
      </c>
      <c r="U1354" s="15" t="str">
        <f>IFERROR(__xludf.DUMMYFUNCTION("""COMPUTED_VALUE"""),"Ⓒネコピ・ザ・キャット/THE猥談/ブリック出版")</f>
        <v>Ⓒネコピ・ザ・キャット/THE猥談/ブリック出版</v>
      </c>
      <c r="V1354" s="8" t="str">
        <f>IFERROR(__xludf.DUMMYFUNCTION("""COMPUTED_VALUE"""),"「俺、一緒に住めるけど」
女友達とルームシェアをするはずだったのに
突然キャンセルされて、途方に暮れていた時だった。
「友達なんだから、困ったときはお互い様じゃない?」
「落ち着くまでの期間限定でさ」
北沢は、顔はいいけど万事テキトーな男。
出会った時から意気投合して、
卒業しても付かず離れずの”親友”でいたことが、私にとって特別で心地よかった。
そんな北沢と、同棲じゃなくて、同居。
とは言っても、個部屋もあるし。
今までと一緒、ほどよい距離感を保って、友達の二人でいれば、大丈夫…
"&amp;"……。
大丈夫、じゃない。
私は、ずっと北沢のことが好きだった。
今までコントロールできていたはずだったのに。
この気持ちも、言うべきじゃないことも。
でも、このままじゃ、この先も一緒に暮らすことはできない。
「………俺で良くない?」
この”同居生活”の終わりを切り出した瞬間、突然北沢にキスされて…。
※本作はネコピ・ザ・キャットの個人誌作品の電子書籍版となります。【28ページ】")</f>
        <v>「俺、一緒に住めるけど」
女友達とルームシェアをするはずだったのに
突然キャンセルされて、途方に暮れていた時だった。
「友達なんだから、困ったときはお互い様じゃない?」
「落ち着くまでの期間限定でさ」
北沢は、顔はいいけど万事テキトーな男。
出会った時から意気投合して、
卒業しても付かず離れずの”親友”でいたことが、私にとって特別で心地よかった。
そんな北沢と、同棲じゃなくて、同居。
とは言っても、個部屋もあるし。
今までと一緒、ほどよい距離感を保って、友達の二人でいれば、大丈夫…
……。
大丈夫、じゃない。
私は、ずっと北沢のことが好きだった。
今までコントロールできていたはずだったのに。
この気持ちも、言うべきじゃないことも。
でも、このままじゃ、この先も一緒に暮らすことはできない。
「………俺で良くない?」
この”同居生活”の終わりを切り出した瞬間、突然北沢にキスされて…。
※本作はネコピ・ザ・キャットの個人誌作品の電子書籍版となります。【28ページ】</v>
      </c>
      <c r="W1354" s="14"/>
      <c r="X1354" s="14" t="str">
        <f>IFERROR(__xludf.DUMMYFUNCTION("""COMPUTED_VALUE"""),"有")</f>
        <v>有</v>
      </c>
      <c r="Y1354" s="8" t="str">
        <f>IFERROR(__xludf.DUMMYFUNCTION("""COMPUTED_VALUE"""),"2024/5/23まで1巻無料")</f>
        <v>2024/5/23まで1巻無料</v>
      </c>
      <c r="Z1354" s="7"/>
      <c r="AA1354" s="7"/>
      <c r="AB1354" s="7"/>
    </row>
    <row r="1355" ht="15.75" customHeight="1">
      <c r="A1355" s="26">
        <f>IFERROR(__xludf.DUMMYFUNCTION("""COMPUTED_VALUE"""),3200.0)</f>
        <v>3200</v>
      </c>
      <c r="B1355" s="22" t="str">
        <f>IFERROR(__xludf.DUMMYFUNCTION("""COMPUTED_VALUE"""),"確定")</f>
        <v>確定</v>
      </c>
      <c r="C1355" s="28">
        <f>IFERROR(__xludf.DUMMYFUNCTION("""COMPUTED_VALUE"""),45380.0)</f>
        <v>45380</v>
      </c>
      <c r="D1355" s="28">
        <f>IFERROR(__xludf.DUMMYFUNCTION("""COMPUTED_VALUE"""),45384.0)</f>
        <v>45384</v>
      </c>
      <c r="E1355" s="31">
        <f>IFERROR(__xludf.DUMMYFUNCTION("""COMPUTED_VALUE"""),291270.0)</f>
        <v>291270</v>
      </c>
      <c r="F1355" s="22" t="str">
        <f>IFERROR(__xludf.DUMMYFUNCTION("""COMPUTED_VALUE"""),"このままじゃ私たち、親友らしくいられない【R版】")</f>
        <v>このままじゃ私たち、親友らしくいられない【R版】</v>
      </c>
      <c r="G1355" s="20" t="str">
        <f>IFERROR(__xludf.DUMMYFUNCTION("""COMPUTED_VALUE"""),"1～3")</f>
        <v>1～3</v>
      </c>
      <c r="H1355" s="22" t="str">
        <f>IFERROR(__xludf.DUMMYFUNCTION("""COMPUTED_VALUE"""),"ネコピ・ザ・キャット┴THE猥談")</f>
        <v>ネコピ・ザ・キャット┴THE猥談</v>
      </c>
      <c r="I1355" s="22" t="str">
        <f>IFERROR(__xludf.DUMMYFUNCTION("""COMPUTED_VALUE"""),"オトナ")</f>
        <v>オトナ</v>
      </c>
      <c r="J1355" s="22"/>
      <c r="K1355" s="22"/>
      <c r="L1355" s="22" t="str">
        <f>IFERROR(__xludf.DUMMYFUNCTION("""COMPUTED_VALUE"""),"ブリック出版")</f>
        <v>ブリック出版</v>
      </c>
      <c r="M1355" s="23">
        <f>IFERROR(__xludf.DUMMYFUNCTION("""COMPUTED_VALUE"""),45408.0)</f>
        <v>45408</v>
      </c>
      <c r="N1355" s="23">
        <f>IFERROR(__xludf.DUMMYFUNCTION("""COMPUTED_VALUE"""),45652.70833333333)</f>
        <v>45652.70833</v>
      </c>
      <c r="O1355" s="20"/>
      <c r="P1355" s="29" t="str">
        <f>IFERROR(__xludf.DUMMYFUNCTION("""COMPUTED_VALUE"""),"可")</f>
        <v>可</v>
      </c>
      <c r="Q1355" s="30" t="str">
        <f>IFERROR(__xludf.DUMMYFUNCTION("""COMPUTED_VALUE"""),"河上さんへ事前コミット済みの作品です。")</f>
        <v>河上さんへ事前コミット済みの作品です。</v>
      </c>
      <c r="R1355" s="22"/>
      <c r="S1355" s="22" t="str">
        <f>IFERROR(__xludf.DUMMYFUNCTION("""COMPUTED_VALUE"""),"20240329_BookLive_このままじゃ私たち、親友らしくいられない【R版】")</f>
        <v>20240329_BookLive_このままじゃ私たち、親友らしくいられない【R版】</v>
      </c>
      <c r="T1355" s="22" t="str">
        <f>IFERROR(__xludf.DUMMYFUNCTION("""COMPUTED_VALUE"""),"格納済み")</f>
        <v>格納済み</v>
      </c>
      <c r="U1355" s="15" t="str">
        <f>IFERROR(__xludf.DUMMYFUNCTION("""COMPUTED_VALUE"""),"Ⓒネコピ・ザ・キャット/THE猥談/ブリック出版")</f>
        <v>Ⓒネコピ・ザ・キャット/THE猥談/ブリック出版</v>
      </c>
      <c r="V1355" s="8" t="str">
        <f>IFERROR(__xludf.DUMMYFUNCTION("""COMPUTED_VALUE"""),"「俺、一緒に住めるけど」
女友達とルームシェアをするはずだったのに
突然キャンセルされて、途方に暮れていた時だった。
「友達なんだから、困ったときはお互い様じゃない?」
「落ち着くまでの期間限定でさ」
北沢は、顔はいいけど万事テキトーな男。
出会った時から意気投合して、
卒業しても付かず離れずの”親友”でいたことが、私にとって特別で心地よかった。
そんな北沢と、同棲じゃなくて、同居。
とは言っても、個部屋もあるし。
今までと一緒、ほどよい距離感を保って、友達の二人でいれ"&amp;"ば、大丈夫…
……。
大丈夫、じゃない。
私は、ずっと北沢のことが好きだった。
今までコントロールできていたはずだったのに。
この気持ちも、言うべきじゃないことも。
でも、このままじゃ、この先も一緒に暮らすことはできない。
「………俺で良くない?」
この”同居生活”の終わりを切り出した瞬間、突然北沢にキスされて…。
本作は『このままじゃ私たち、親友らしくいられない』の修正をやや弱めたものです。内容に差異はありません。
※本作はネコピ・ザ・キャット、THE"&amp;"猥談の個人誌作品の電子書籍版となります。【28ページ】")</f>
        <v>「俺、一緒に住めるけど」
女友達とルームシェアをするはずだったのに
突然キャンセルされて、途方に暮れていた時だった。
「友達なんだから、困ったときはお互い様じゃない?」
「落ち着くまでの期間限定でさ」
北沢は、顔はいいけど万事テキトーな男。
出会った時から意気投合して、
卒業しても付かず離れずの”親友”でいたことが、私にとって特別で心地よかった。
そんな北沢と、同棲じゃなくて、同居。
とは言っても、個部屋もあるし。
今までと一緒、ほどよい距離感を保って、友達の二人でいれば、大丈夫…
……。
大丈夫、じゃない。
私は、ずっと北沢のことが好きだった。
今までコントロールできていたはずだったのに。
この気持ちも、言うべきじゃないことも。
でも、このままじゃ、この先も一緒に暮らすことはできない。
「………俺で良くない?」
この”同居生活”の終わりを切り出した瞬間、突然北沢にキスされて…。
本作は『このままじゃ私たち、親友らしくいられない』の修正をやや弱めたものです。内容に差異はありません。
※本作はネコピ・ザ・キャット、THE猥談の個人誌作品の電子書籍版となります。【28ページ】</v>
      </c>
      <c r="W1355" s="14"/>
      <c r="X1355" s="14" t="str">
        <f>IFERROR(__xludf.DUMMYFUNCTION("""COMPUTED_VALUE"""),"有")</f>
        <v>有</v>
      </c>
      <c r="Y1355" s="8" t="str">
        <f>IFERROR(__xludf.DUMMYFUNCTION("""COMPUTED_VALUE"""),"2024/5/23まで1巻無料")</f>
        <v>2024/5/23まで1巻無料</v>
      </c>
      <c r="Z1355" s="7"/>
      <c r="AA1355" s="7"/>
      <c r="AB1355" s="7"/>
    </row>
    <row r="1356" ht="15.75" customHeight="1">
      <c r="A1356" s="26">
        <f>IFERROR(__xludf.DUMMYFUNCTION("""COMPUTED_VALUE"""),3201.0)</f>
        <v>3201</v>
      </c>
      <c r="B1356" s="22" t="str">
        <f>IFERROR(__xludf.DUMMYFUNCTION("""COMPUTED_VALUE"""),"確定")</f>
        <v>確定</v>
      </c>
      <c r="C1356" s="28">
        <f>IFERROR(__xludf.DUMMYFUNCTION("""COMPUTED_VALUE"""),45380.0)</f>
        <v>45380</v>
      </c>
      <c r="D1356" s="28">
        <f>IFERROR(__xludf.DUMMYFUNCTION("""COMPUTED_VALUE"""),45384.0)</f>
        <v>45384</v>
      </c>
      <c r="E1356" s="31">
        <f>IFERROR(__xludf.DUMMYFUNCTION("""COMPUTED_VALUE"""),291281.0)</f>
        <v>291281</v>
      </c>
      <c r="F1356" s="22" t="str">
        <f>IFERROR(__xludf.DUMMYFUNCTION("""COMPUTED_VALUE"""),"あざと可愛い×くんの執着サド交尾は本物です")</f>
        <v>あざと可愛い×くんの執着サド交尾は本物です</v>
      </c>
      <c r="G1356" s="11" t="str">
        <f>IFERROR(__xludf.DUMMYFUNCTION("""COMPUTED_VALUE"""),"1～2")</f>
        <v>1～2</v>
      </c>
      <c r="H1356" s="22" t="str">
        <f>IFERROR(__xludf.DUMMYFUNCTION("""COMPUTED_VALUE"""),"愛沢アンジ┴THE猥談")</f>
        <v>愛沢アンジ┴THE猥談</v>
      </c>
      <c r="I1356" s="22" t="str">
        <f>IFERROR(__xludf.DUMMYFUNCTION("""COMPUTED_VALUE"""),"TL")</f>
        <v>TL</v>
      </c>
      <c r="J1356" s="22"/>
      <c r="K1356" s="22"/>
      <c r="L1356" s="22" t="str">
        <f>IFERROR(__xludf.DUMMYFUNCTION("""COMPUTED_VALUE"""),"ブリック出版")</f>
        <v>ブリック出版</v>
      </c>
      <c r="M1356" s="23">
        <f>IFERROR(__xludf.DUMMYFUNCTION("""COMPUTED_VALUE"""),45408.0)</f>
        <v>45408</v>
      </c>
      <c r="N1356" s="23">
        <f>IFERROR(__xludf.DUMMYFUNCTION("""COMPUTED_VALUE"""),45652.70833333333)</f>
        <v>45652.70833</v>
      </c>
      <c r="O1356" s="20"/>
      <c r="P1356" s="29" t="str">
        <f>IFERROR(__xludf.DUMMYFUNCTION("""COMPUTED_VALUE"""),"可")</f>
        <v>可</v>
      </c>
      <c r="Q1356" s="30" t="str">
        <f>IFERROR(__xludf.DUMMYFUNCTION("""COMPUTED_VALUE"""),"河上さんへ事前コミット済みの作品です。")</f>
        <v>河上さんへ事前コミット済みの作品です。</v>
      </c>
      <c r="R1356" s="22"/>
      <c r="S1356" s="22" t="str">
        <f>IFERROR(__xludf.DUMMYFUNCTION("""COMPUTED_VALUE"""),"20240329_BookLive_あざと可愛い×くんの執着サド交尾は本物です")</f>
        <v>20240329_BookLive_あざと可愛い×くんの執着サド交尾は本物です</v>
      </c>
      <c r="T1356" s="22" t="str">
        <f>IFERROR(__xludf.DUMMYFUNCTION("""COMPUTED_VALUE"""),"格納済み")</f>
        <v>格納済み</v>
      </c>
      <c r="U1356" s="15" t="str">
        <f>IFERROR(__xludf.DUMMYFUNCTION("""COMPUTED_VALUE"""),"Ⓒ愛沢アンジ/THE猥談/クロスフォリオ出版")</f>
        <v>Ⓒ愛沢アンジ/THE猥談/クロスフォリオ出版</v>
      </c>
      <c r="V1356" s="8" t="str">
        <f>IFERROR(__xludf.DUMMYFUNCTION("""COMPUTED_VALUE"""),"「ばつ君」と出会ったのはSNS。
被虐性癖がある私の裏アカをフォローしてきたのが加虐性癖を持つばつ君だった。
何度かDMでやりとりをして実際に会ってみたけど…
思ってたより大人しくて可愛い感じ。
いじめるのが好きな感じには、全然見えない。
結局、ただカフェで長話をしただけ。
タイプじゃなかったんだろうな。しょうがない。
そう思って帰ろうとしたら……
「あ、あの今日…セックス…って…」
困ったような表情に、上目遣いでばつ君が聞いてくる。
か、かわいい。反則でしょ。
性癖も噛み合ってるし"&amp;"、今更断る理由もない。
けれど、ばつ君が豹変したのはホテルに入ってすぐのこと。
「…その、プレイ…ってさ、
跡がつかなければ何しても大丈夫なんだよね…?」
「僕、首絞めるの好きなんだけど、いいかなあ?」
突然首を絞められて、苦しいって言っても手加減なしに攻めてくる。
さっきまであんなに大人しくて可愛かったばつ君の執着交尾は、私が壊れるまで続いていってーー……
※本作は愛沢アンジ、THE猥談の個人誌作品の電子書籍版となります。【25ページ】")</f>
        <v>「ばつ君」と出会ったのはSNS。
被虐性癖がある私の裏アカをフォローしてきたのが加虐性癖を持つばつ君だった。
何度かDMでやりとりをして実際に会ってみたけど…
思ってたより大人しくて可愛い感じ。
いじめるのが好きな感じには、全然見えない。
結局、ただカフェで長話をしただけ。
タイプじゃなかったんだろうな。しょうがない。
そう思って帰ろうとしたら……
「あ、あの今日…セックス…って…」
困ったような表情に、上目遣いでばつ君が聞いてくる。
か、かわいい。反則でしょ。
性癖も噛み合ってるし、今更断る理由もない。
けれど、ばつ君が豹変したのはホテルに入ってすぐのこと。
「…その、プレイ…ってさ、
跡がつかなければ何しても大丈夫なんだよね…?」
「僕、首絞めるの好きなんだけど、いいかなあ?」
突然首を絞められて、苦しいって言っても手加減なしに攻めてくる。
さっきまであんなに大人しくて可愛かったばつ君の執着交尾は、私が壊れるまで続いていってーー……
※本作は愛沢アンジ、THE猥談の個人誌作品の電子書籍版となります。【25ページ】</v>
      </c>
      <c r="W1356" s="14"/>
      <c r="X1356" s="14" t="str">
        <f>IFERROR(__xludf.DUMMYFUNCTION("""COMPUTED_VALUE"""),"有")</f>
        <v>有</v>
      </c>
      <c r="Y1356" s="8" t="str">
        <f>IFERROR(__xludf.DUMMYFUNCTION("""COMPUTED_VALUE"""),"P11まで")</f>
        <v>P11まで</v>
      </c>
      <c r="Z1356" s="7"/>
      <c r="AA1356" s="7"/>
      <c r="AB1356" s="7"/>
    </row>
    <row r="1357" ht="15.75" customHeight="1">
      <c r="A1357" s="26">
        <f>IFERROR(__xludf.DUMMYFUNCTION("""COMPUTED_VALUE"""),3202.0)</f>
        <v>3202</v>
      </c>
      <c r="B1357" s="22" t="str">
        <f>IFERROR(__xludf.DUMMYFUNCTION("""COMPUTED_VALUE"""),"確定")</f>
        <v>確定</v>
      </c>
      <c r="C1357" s="28">
        <f>IFERROR(__xludf.DUMMYFUNCTION("""COMPUTED_VALUE"""),45380.0)</f>
        <v>45380</v>
      </c>
      <c r="D1357" s="28">
        <f>IFERROR(__xludf.DUMMYFUNCTION("""COMPUTED_VALUE"""),45384.0)</f>
        <v>45384</v>
      </c>
      <c r="E1357" s="31">
        <f>IFERROR(__xludf.DUMMYFUNCTION("""COMPUTED_VALUE"""),291271.0)</f>
        <v>291271</v>
      </c>
      <c r="F1357" s="22" t="str">
        <f>IFERROR(__xludf.DUMMYFUNCTION("""COMPUTED_VALUE"""),"あざと可愛い×くんの執着サド交尾は本物です【R版】")</f>
        <v>あざと可愛い×くんの執着サド交尾は本物です【R版】</v>
      </c>
      <c r="G1357" s="11" t="str">
        <f>IFERROR(__xludf.DUMMYFUNCTION("""COMPUTED_VALUE"""),"1～2")</f>
        <v>1～2</v>
      </c>
      <c r="H1357" s="22" t="str">
        <f>IFERROR(__xludf.DUMMYFUNCTION("""COMPUTED_VALUE"""),"愛沢アンジ┴THE猥談")</f>
        <v>愛沢アンジ┴THE猥談</v>
      </c>
      <c r="I1357" s="22" t="str">
        <f>IFERROR(__xludf.DUMMYFUNCTION("""COMPUTED_VALUE"""),"オトナ")</f>
        <v>オトナ</v>
      </c>
      <c r="J1357" s="22"/>
      <c r="K1357" s="22"/>
      <c r="L1357" s="22" t="str">
        <f>IFERROR(__xludf.DUMMYFUNCTION("""COMPUTED_VALUE"""),"ブリック出版")</f>
        <v>ブリック出版</v>
      </c>
      <c r="M1357" s="23">
        <f>IFERROR(__xludf.DUMMYFUNCTION("""COMPUTED_VALUE"""),45408.0)</f>
        <v>45408</v>
      </c>
      <c r="N1357" s="23">
        <f>IFERROR(__xludf.DUMMYFUNCTION("""COMPUTED_VALUE"""),45652.70833333333)</f>
        <v>45652.70833</v>
      </c>
      <c r="O1357" s="20"/>
      <c r="P1357" s="29" t="str">
        <f>IFERROR(__xludf.DUMMYFUNCTION("""COMPUTED_VALUE"""),"可")</f>
        <v>可</v>
      </c>
      <c r="Q1357" s="30" t="str">
        <f>IFERROR(__xludf.DUMMYFUNCTION("""COMPUTED_VALUE"""),"河上さんへ事前コミット済みの作品です。")</f>
        <v>河上さんへ事前コミット済みの作品です。</v>
      </c>
      <c r="R1357" s="22"/>
      <c r="S1357" s="22" t="str">
        <f>IFERROR(__xludf.DUMMYFUNCTION("""COMPUTED_VALUE"""),"20240329_BookLive_あざと可愛い×くんの執着サド交尾は本物です【R版】")</f>
        <v>20240329_BookLive_あざと可愛い×くんの執着サド交尾は本物です【R版】</v>
      </c>
      <c r="T1357" s="22" t="str">
        <f>IFERROR(__xludf.DUMMYFUNCTION("""COMPUTED_VALUE"""),"格納済み")</f>
        <v>格納済み</v>
      </c>
      <c r="U1357" s="15" t="str">
        <f>IFERROR(__xludf.DUMMYFUNCTION("""COMPUTED_VALUE"""),"Ⓒ愛沢アンジ/THE猥談/クロスフォリオ出版")</f>
        <v>Ⓒ愛沢アンジ/THE猥談/クロスフォリオ出版</v>
      </c>
      <c r="V1357" s="8" t="str">
        <f>IFERROR(__xludf.DUMMYFUNCTION("""COMPUTED_VALUE"""),"「ばつ君」と出会ったのはSNS。
被虐性癖がある私の裏アカをフォローしてきたのが
加虐性癖を持つばつ君だった。
何度かDMでやりとりをして実際に会ってみたけど…
思ってたより大人しくて可愛い感じ。
いじめるのが好きな感じには、全然見えない。
結局、ただカフェで長話をしただけ。
タイプじゃなかったんだろうな。しょうがない。
そう思って帰ろうとしたら……
「あ、あの今日…セックス…って…」
困ったような表情に、上目遣いでばつ君が聞いてくる。
か、かわいい。反則でしょ。
性癖も噛み合って"&amp;"るし、今更断る理由もない。
けれど、ばつ君が豹変したのはホテルに入ってすぐのこと。
「…その、プレイ…ってさ、
跡がつかなければ何しても大丈夫なんだよね…?」
「僕、首絞めるの好きなんだけど、いいかなあ?」
突然首を絞められて、苦しいって言っても手加減なしに攻めてくる。
さっきまであんなに大人しくて可愛かったばつ君の執着交尾は、私が壊れるまで続いていってーー……
本作は『あざと可愛い×くんの執着サド交尾は本物です』の修正をやや弱めたものです。内容に差異はありません。
※本作は愛沢アンジ、T"&amp;"HE猥談の個人誌作品の電子書籍版となります。【25ページ】")</f>
        <v>「ばつ君」と出会ったのはSNS。
被虐性癖がある私の裏アカをフォローしてきたのが
加虐性癖を持つばつ君だった。
何度かDMでやりとりをして実際に会ってみたけど…
思ってたより大人しくて可愛い感じ。
いじめるのが好きな感じには、全然見えない。
結局、ただカフェで長話をしただけ。
タイプじゃなかったんだろうな。しょうがない。
そう思って帰ろうとしたら……
「あ、あの今日…セックス…って…」
困ったような表情に、上目遣いでばつ君が聞いてくる。
か、かわいい。反則でしょ。
性癖も噛み合ってるし、今更断る理由もない。
けれど、ばつ君が豹変したのはホテルに入ってすぐのこと。
「…その、プレイ…ってさ、
跡がつかなければ何しても大丈夫なんだよね…?」
「僕、首絞めるの好きなんだけど、いいかなあ?」
突然首を絞められて、苦しいって言っても手加減なしに攻めてくる。
さっきまであんなに大人しくて可愛かったばつ君の執着交尾は、私が壊れるまで続いていってーー……
本作は『あざと可愛い×くんの執着サド交尾は本物です』の修正をやや弱めたものです。内容に差異はありません。
※本作は愛沢アンジ、THE猥談の個人誌作品の電子書籍版となります。【25ページ】</v>
      </c>
      <c r="W1357" s="14"/>
      <c r="X1357" s="14" t="str">
        <f>IFERROR(__xludf.DUMMYFUNCTION("""COMPUTED_VALUE"""),"有")</f>
        <v>有</v>
      </c>
      <c r="Y1357" s="8" t="str">
        <f>IFERROR(__xludf.DUMMYFUNCTION("""COMPUTED_VALUE"""),"P11まで")</f>
        <v>P11まで</v>
      </c>
      <c r="Z1357" s="7"/>
      <c r="AA1357" s="7"/>
      <c r="AB1357" s="7"/>
    </row>
    <row r="1358" ht="15.75" customHeight="1">
      <c r="A1358" s="26">
        <f>IFERROR(__xludf.DUMMYFUNCTION("""COMPUTED_VALUE"""),3203.0)</f>
        <v>3203</v>
      </c>
      <c r="B1358" s="22" t="str">
        <f>IFERROR(__xludf.DUMMYFUNCTION("""COMPUTED_VALUE"""),"確定")</f>
        <v>確定</v>
      </c>
      <c r="C1358" s="28">
        <f>IFERROR(__xludf.DUMMYFUNCTION("""COMPUTED_VALUE"""),45380.0)</f>
        <v>45380</v>
      </c>
      <c r="D1358" s="28">
        <f>IFERROR(__xludf.DUMMYFUNCTION("""COMPUTED_VALUE"""),45384.0)</f>
        <v>45384</v>
      </c>
      <c r="E1358" s="31">
        <f>IFERROR(__xludf.DUMMYFUNCTION("""COMPUTED_VALUE"""),291287.0)</f>
        <v>291287</v>
      </c>
      <c r="F1358" s="22" t="str">
        <f>IFERROR(__xludf.DUMMYFUNCTION("""COMPUTED_VALUE"""),"藤谷さんの寵愛お世話に溺れるまで")</f>
        <v>藤谷さんの寵愛お世話に溺れるまで</v>
      </c>
      <c r="G1358" s="20" t="str">
        <f>IFERROR(__xludf.DUMMYFUNCTION("""COMPUTED_VALUE"""),"1～3")</f>
        <v>1～3</v>
      </c>
      <c r="H1358" s="22" t="str">
        <f>IFERROR(__xludf.DUMMYFUNCTION("""COMPUTED_VALUE"""),"道外コノメ┴THE猥談")</f>
        <v>道外コノメ┴THE猥談</v>
      </c>
      <c r="I1358" s="22" t="str">
        <f>IFERROR(__xludf.DUMMYFUNCTION("""COMPUTED_VALUE"""),"TL")</f>
        <v>TL</v>
      </c>
      <c r="J1358" s="22"/>
      <c r="K1358" s="22"/>
      <c r="L1358" s="22" t="str">
        <f>IFERROR(__xludf.DUMMYFUNCTION("""COMPUTED_VALUE"""),"ブリック出版")</f>
        <v>ブリック出版</v>
      </c>
      <c r="M1358" s="23">
        <f>IFERROR(__xludf.DUMMYFUNCTION("""COMPUTED_VALUE"""),45408.0)</f>
        <v>45408</v>
      </c>
      <c r="N1358" s="23">
        <f>IFERROR(__xludf.DUMMYFUNCTION("""COMPUTED_VALUE"""),45533.66666666667)</f>
        <v>45533.66667</v>
      </c>
      <c r="O1358" s="20"/>
      <c r="P1358" s="29" t="str">
        <f>IFERROR(__xludf.DUMMYFUNCTION("""COMPUTED_VALUE"""),"可")</f>
        <v>可</v>
      </c>
      <c r="Q1358" s="30" t="str">
        <f>IFERROR(__xludf.DUMMYFUNCTION("""COMPUTED_VALUE"""),"河上さんへ事前コミット済みの作品です。")</f>
        <v>河上さんへ事前コミット済みの作品です。</v>
      </c>
      <c r="R1358" s="22"/>
      <c r="S1358" s="22" t="str">
        <f>IFERROR(__xludf.DUMMYFUNCTION("""COMPUTED_VALUE"""),"20240329_BookLive_藤谷さんの寵愛お世話に溺れるまで")</f>
        <v>20240329_BookLive_藤谷さんの寵愛お世話に溺れるまで</v>
      </c>
      <c r="T1358" s="22" t="str">
        <f>IFERROR(__xludf.DUMMYFUNCTION("""COMPUTED_VALUE"""),"格納済み")</f>
        <v>格納済み</v>
      </c>
      <c r="U1358" s="15" t="str">
        <f>IFERROR(__xludf.DUMMYFUNCTION("""COMPUTED_VALUE"""),"Ⓒ道外コノメ/THE猥談/ブリック出版")</f>
        <v>Ⓒ道外コノメ/THE猥談/ブリック出版</v>
      </c>
      <c r="V1358" s="8" t="str">
        <f>IFERROR(__xludf.DUMMYFUNCTION("""COMPUTED_VALUE"""),"藤谷さんは、上司で、私が初めて付き合った人だった。
社内でも人気者の彼に気後れして、すぐ別れてしまったけど…。
地方へ逃げるように転勤した私の元に、また彼が現れる。
偶然？それともー…。
「もう一回　全部教えないとね」
「千穂は全部、俺のだって」
※本作は道外コノメ、THE猥談の個人誌作品の電子書籍版となります。【23ページ】")</f>
        <v>藤谷さんは、上司で、私が初めて付き合った人だった。
社内でも人気者の彼に気後れして、すぐ別れてしまったけど…。
地方へ逃げるように転勤した私の元に、また彼が現れる。
偶然？それともー…。
「もう一回　全部教えないとね」
「千穂は全部、俺のだって」
※本作は道外コノメ、THE猥談の個人誌作品の電子書籍版となります。【23ページ】</v>
      </c>
      <c r="W1358" s="14"/>
      <c r="X1358" s="14" t="str">
        <f>IFERROR(__xludf.DUMMYFUNCTION("""COMPUTED_VALUE"""),"有")</f>
        <v>有</v>
      </c>
      <c r="Y1358" s="8" t="str">
        <f>IFERROR(__xludf.DUMMYFUNCTION("""COMPUTED_VALUE"""),"P13まで")</f>
        <v>P13まで</v>
      </c>
      <c r="Z1358" s="7"/>
      <c r="AA1358" s="7"/>
      <c r="AB1358" s="7"/>
    </row>
    <row r="1359" ht="15.75" customHeight="1">
      <c r="A1359" s="26">
        <f>IFERROR(__xludf.DUMMYFUNCTION("""COMPUTED_VALUE"""),3204.0)</f>
        <v>3204</v>
      </c>
      <c r="B1359" s="22" t="str">
        <f>IFERROR(__xludf.DUMMYFUNCTION("""COMPUTED_VALUE"""),"確定")</f>
        <v>確定</v>
      </c>
      <c r="C1359" s="28">
        <f>IFERROR(__xludf.DUMMYFUNCTION("""COMPUTED_VALUE"""),45380.0)</f>
        <v>45380</v>
      </c>
      <c r="D1359" s="28">
        <f>IFERROR(__xludf.DUMMYFUNCTION("""COMPUTED_VALUE"""),45384.0)</f>
        <v>45384</v>
      </c>
      <c r="E1359" s="31">
        <f>IFERROR(__xludf.DUMMYFUNCTION("""COMPUTED_VALUE"""),291272.0)</f>
        <v>291272</v>
      </c>
      <c r="F1359" s="22" t="str">
        <f>IFERROR(__xludf.DUMMYFUNCTION("""COMPUTED_VALUE"""),"藤谷さんの寵愛お世話に溺れるまで【R版】")</f>
        <v>藤谷さんの寵愛お世話に溺れるまで【R版】</v>
      </c>
      <c r="G1359" s="20" t="str">
        <f>IFERROR(__xludf.DUMMYFUNCTION("""COMPUTED_VALUE"""),"1～3")</f>
        <v>1～3</v>
      </c>
      <c r="H1359" s="22" t="str">
        <f>IFERROR(__xludf.DUMMYFUNCTION("""COMPUTED_VALUE"""),"道外コノメ┴THE猥談")</f>
        <v>道外コノメ┴THE猥談</v>
      </c>
      <c r="I1359" s="22" t="str">
        <f>IFERROR(__xludf.DUMMYFUNCTION("""COMPUTED_VALUE"""),"オトナ")</f>
        <v>オトナ</v>
      </c>
      <c r="J1359" s="22"/>
      <c r="K1359" s="22"/>
      <c r="L1359" s="22" t="str">
        <f>IFERROR(__xludf.DUMMYFUNCTION("""COMPUTED_VALUE"""),"ブリック出版")</f>
        <v>ブリック出版</v>
      </c>
      <c r="M1359" s="23">
        <f>IFERROR(__xludf.DUMMYFUNCTION("""COMPUTED_VALUE"""),45408.0)</f>
        <v>45408</v>
      </c>
      <c r="N1359" s="23">
        <f>IFERROR(__xludf.DUMMYFUNCTION("""COMPUTED_VALUE"""),45533.66666666667)</f>
        <v>45533.66667</v>
      </c>
      <c r="O1359" s="20"/>
      <c r="P1359" s="29" t="str">
        <f>IFERROR(__xludf.DUMMYFUNCTION("""COMPUTED_VALUE"""),"可")</f>
        <v>可</v>
      </c>
      <c r="Q1359" s="30" t="str">
        <f>IFERROR(__xludf.DUMMYFUNCTION("""COMPUTED_VALUE"""),"河上さんへ事前コミット済みの作品です。")</f>
        <v>河上さんへ事前コミット済みの作品です。</v>
      </c>
      <c r="R1359" s="22"/>
      <c r="S1359" s="22" t="str">
        <f>IFERROR(__xludf.DUMMYFUNCTION("""COMPUTED_VALUE"""),"20240329_BookLive_藤谷さんの寵愛お世話に溺れるまで【R版】")</f>
        <v>20240329_BookLive_藤谷さんの寵愛お世話に溺れるまで【R版】</v>
      </c>
      <c r="T1359" s="22" t="str">
        <f>IFERROR(__xludf.DUMMYFUNCTION("""COMPUTED_VALUE"""),"格納済み")</f>
        <v>格納済み</v>
      </c>
      <c r="U1359" s="15" t="str">
        <f>IFERROR(__xludf.DUMMYFUNCTION("""COMPUTED_VALUE"""),"Ⓒ道外コノメ/THE猥談/ブリック出版")</f>
        <v>Ⓒ道外コノメ/THE猥談/ブリック出版</v>
      </c>
      <c r="V1359" s="8" t="str">
        <f>IFERROR(__xludf.DUMMYFUNCTION("""COMPUTED_VALUE"""),"藤谷さんは、上司で、私が初めて付き合った人だった。
社内でも人気者の彼に気後れして、すぐ別れてしまったけど…。
地方へ逃げるように転勤した私の元に、また彼が現れる。
偶然？それともー…。
「もう一回　全部教えないとね」
「千穂は全部、俺のだって」
本作は『藤谷さんの寵愛お世話に溺れるまで』の修正をやや弱めたものです。内容に差異はありません。")</f>
        <v>藤谷さんは、上司で、私が初めて付き合った人だった。
社内でも人気者の彼に気後れして、すぐ別れてしまったけど…。
地方へ逃げるように転勤した私の元に、また彼が現れる。
偶然？それともー…。
「もう一回　全部教えないとね」
「千穂は全部、俺のだって」
本作は『藤谷さんの寵愛お世話に溺れるまで』の修正をやや弱めたものです。内容に差異はありません。</v>
      </c>
      <c r="W1359" s="14"/>
      <c r="X1359" s="14" t="str">
        <f>IFERROR(__xludf.DUMMYFUNCTION("""COMPUTED_VALUE"""),"有")</f>
        <v>有</v>
      </c>
      <c r="Y1359" s="8" t="str">
        <f>IFERROR(__xludf.DUMMYFUNCTION("""COMPUTED_VALUE"""),"P13まで")</f>
        <v>P13まで</v>
      </c>
      <c r="Z1359" s="7"/>
      <c r="AA1359" s="7"/>
      <c r="AB1359" s="7"/>
    </row>
    <row r="1360" ht="15.75" customHeight="1">
      <c r="A1360" s="26">
        <f>IFERROR(__xludf.DUMMYFUNCTION("""COMPUTED_VALUE"""),3205.0)</f>
        <v>3205</v>
      </c>
      <c r="B1360" s="22" t="str">
        <f>IFERROR(__xludf.DUMMYFUNCTION("""COMPUTED_VALUE"""),"確定")</f>
        <v>確定</v>
      </c>
      <c r="C1360" s="28">
        <f>IFERROR(__xludf.DUMMYFUNCTION("""COMPUTED_VALUE"""),45380.0)</f>
        <v>45380</v>
      </c>
      <c r="D1360" s="28">
        <f>IFERROR(__xludf.DUMMYFUNCTION("""COMPUTED_VALUE"""),45384.0)</f>
        <v>45384</v>
      </c>
      <c r="E1360" s="31">
        <f>IFERROR(__xludf.DUMMYFUNCTION("""COMPUTED_VALUE"""),291288.0)</f>
        <v>291288</v>
      </c>
      <c r="F1360" s="22" t="str">
        <f>IFERROR(__xludf.DUMMYFUNCTION("""COMPUTED_VALUE"""),"かわいい童貞友也くんがこんなデカいなんて聞いてない")</f>
        <v>かわいい童貞友也くんがこんなデカいなんて聞いてない</v>
      </c>
      <c r="G1360" s="11" t="str">
        <f>IFERROR(__xludf.DUMMYFUNCTION("""COMPUTED_VALUE"""),"1～2")</f>
        <v>1～2</v>
      </c>
      <c r="H1360" s="22" t="str">
        <f>IFERROR(__xludf.DUMMYFUNCTION("""COMPUTED_VALUE"""),"トウ┴THE猥談")</f>
        <v>トウ┴THE猥談</v>
      </c>
      <c r="I1360" s="22" t="str">
        <f>IFERROR(__xludf.DUMMYFUNCTION("""COMPUTED_VALUE"""),"TL")</f>
        <v>TL</v>
      </c>
      <c r="J1360" s="22"/>
      <c r="K1360" s="22"/>
      <c r="L1360" s="22" t="str">
        <f>IFERROR(__xludf.DUMMYFUNCTION("""COMPUTED_VALUE"""),"ブリック出版")</f>
        <v>ブリック出版</v>
      </c>
      <c r="M1360" s="23">
        <f>IFERROR(__xludf.DUMMYFUNCTION("""COMPUTED_VALUE"""),45408.0)</f>
        <v>45408</v>
      </c>
      <c r="N1360" s="23">
        <f>IFERROR(__xludf.DUMMYFUNCTION("""COMPUTED_VALUE"""),45589.66666666667)</f>
        <v>45589.66667</v>
      </c>
      <c r="O1360" s="20"/>
      <c r="P1360" s="29" t="str">
        <f>IFERROR(__xludf.DUMMYFUNCTION("""COMPUTED_VALUE"""),"可")</f>
        <v>可</v>
      </c>
      <c r="Q1360" s="30" t="str">
        <f>IFERROR(__xludf.DUMMYFUNCTION("""COMPUTED_VALUE"""),"河上さんへ事前コミット済みの作品です。")</f>
        <v>河上さんへ事前コミット済みの作品です。</v>
      </c>
      <c r="R1360" s="22"/>
      <c r="S1360" s="22" t="str">
        <f>IFERROR(__xludf.DUMMYFUNCTION("""COMPUTED_VALUE"""),"20240329_BookLive_かわいい童貞友也くんがこんなデカいなんて聞いてない")</f>
        <v>20240329_BookLive_かわいい童貞友也くんがこんなデカいなんて聞いてない</v>
      </c>
      <c r="T1360" s="22" t="str">
        <f>IFERROR(__xludf.DUMMYFUNCTION("""COMPUTED_VALUE"""),"格納済み")</f>
        <v>格納済み</v>
      </c>
      <c r="U1360" s="15" t="str">
        <f>IFERROR(__xludf.DUMMYFUNCTION("""COMPUTED_VALUE"""),"Ⓒトウ/THE猥談/ブリック出版")</f>
        <v>Ⓒトウ/THE猥談/ブリック出版</v>
      </c>
      <c r="V1360" s="8" t="str">
        <f>IFERROR(__xludf.DUMMYFUNCTION("""COMPUTED_VALUE"""),"私は童貞が大好きだ。
昔の女に嫉妬しなくていいし、好みに育成できるし何より「初めての女」が未来永劫私になる。
童貞、最高。
マッチングアプリで知り合った友也君は、童顔で真面目で女慣れしてなくて、
ホテルに着いても胸の触り方も、キスの仕方も、すっごい下手で...
そうこれは、食べ甲斐のある、本物の童貞。
それでは私がいただきます、とパンツを下ろすとーー…
…デカくね??
想像以上の大きさの彼の「それ」に、さっきまで余裕が奪われる。
えと、あれ、
もしかして、私が食われる側…!?
童貞だ"&amp;"からって油断した...こんなの本当に挿入るの…?
初めての快感を知っていく巨根童貞友也くんは止まるわけがなくてーー…。
※本作はトウ、THE猥談の個人誌作品の電子書籍版となります。【21ページ】")</f>
        <v>私は童貞が大好きだ。
昔の女に嫉妬しなくていいし、好みに育成できるし何より「初めての女」が未来永劫私になる。
童貞、最高。
マッチングアプリで知り合った友也君は、童顔で真面目で女慣れしてなくて、
ホテルに着いても胸の触り方も、キスの仕方も、すっごい下手で...
そうこれは、食べ甲斐のある、本物の童貞。
それでは私がいただきます、とパンツを下ろすとーー…
…デカくね??
想像以上の大きさの彼の「それ」に、さっきまで余裕が奪われる。
えと、あれ、
もしかして、私が食われる側…!?
童貞だからって油断した...こんなの本当に挿入るの…?
初めての快感を知っていく巨根童貞友也くんは止まるわけがなくてーー…。
※本作はトウ、THE猥談の個人誌作品の電子書籍版となります。【21ページ】</v>
      </c>
      <c r="W1360" s="14"/>
      <c r="X1360" s="14" t="str">
        <f>IFERROR(__xludf.DUMMYFUNCTION("""COMPUTED_VALUE"""),"有")</f>
        <v>有</v>
      </c>
      <c r="Y1360" s="8" t="str">
        <f>IFERROR(__xludf.DUMMYFUNCTION("""COMPUTED_VALUE"""),"P12まで")</f>
        <v>P12まで</v>
      </c>
      <c r="Z1360" s="7"/>
      <c r="AA1360" s="7"/>
      <c r="AB1360" s="7"/>
    </row>
    <row r="1361" ht="15.75" customHeight="1">
      <c r="A1361" s="26">
        <f>IFERROR(__xludf.DUMMYFUNCTION("""COMPUTED_VALUE"""),3206.0)</f>
        <v>3206</v>
      </c>
      <c r="B1361" s="22" t="str">
        <f>IFERROR(__xludf.DUMMYFUNCTION("""COMPUTED_VALUE"""),"確定")</f>
        <v>確定</v>
      </c>
      <c r="C1361" s="28">
        <f>IFERROR(__xludf.DUMMYFUNCTION("""COMPUTED_VALUE"""),45380.0)</f>
        <v>45380</v>
      </c>
      <c r="D1361" s="28">
        <f>IFERROR(__xludf.DUMMYFUNCTION("""COMPUTED_VALUE"""),45384.0)</f>
        <v>45384</v>
      </c>
      <c r="E1361" s="31">
        <f>IFERROR(__xludf.DUMMYFUNCTION("""COMPUTED_VALUE"""),291273.0)</f>
        <v>291273</v>
      </c>
      <c r="F1361" s="22" t="str">
        <f>IFERROR(__xludf.DUMMYFUNCTION("""COMPUTED_VALUE"""),"かわいい童貞友也くんがこんなデカいなんて聞いてない【R版】")</f>
        <v>かわいい童貞友也くんがこんなデカいなんて聞いてない【R版】</v>
      </c>
      <c r="G1361" s="11" t="str">
        <f>IFERROR(__xludf.DUMMYFUNCTION("""COMPUTED_VALUE"""),"1～2")</f>
        <v>1～2</v>
      </c>
      <c r="H1361" s="22" t="str">
        <f>IFERROR(__xludf.DUMMYFUNCTION("""COMPUTED_VALUE"""),"トウ┴THE猥談")</f>
        <v>トウ┴THE猥談</v>
      </c>
      <c r="I1361" s="22" t="str">
        <f>IFERROR(__xludf.DUMMYFUNCTION("""COMPUTED_VALUE"""),"オトナ")</f>
        <v>オトナ</v>
      </c>
      <c r="J1361" s="22"/>
      <c r="K1361" s="22"/>
      <c r="L1361" s="22" t="str">
        <f>IFERROR(__xludf.DUMMYFUNCTION("""COMPUTED_VALUE"""),"ブリック出版")</f>
        <v>ブリック出版</v>
      </c>
      <c r="M1361" s="23">
        <f>IFERROR(__xludf.DUMMYFUNCTION("""COMPUTED_VALUE"""),45408.0)</f>
        <v>45408</v>
      </c>
      <c r="N1361" s="23">
        <f>IFERROR(__xludf.DUMMYFUNCTION("""COMPUTED_VALUE"""),45589.66666666667)</f>
        <v>45589.66667</v>
      </c>
      <c r="O1361" s="20"/>
      <c r="P1361" s="29" t="str">
        <f>IFERROR(__xludf.DUMMYFUNCTION("""COMPUTED_VALUE"""),"可")</f>
        <v>可</v>
      </c>
      <c r="Q1361" s="30" t="str">
        <f>IFERROR(__xludf.DUMMYFUNCTION("""COMPUTED_VALUE"""),"河上さんへ事前コミット済みの作品です。")</f>
        <v>河上さんへ事前コミット済みの作品です。</v>
      </c>
      <c r="R1361" s="22"/>
      <c r="S1361" s="22" t="str">
        <f>IFERROR(__xludf.DUMMYFUNCTION("""COMPUTED_VALUE"""),"20240329_BookLive_かわいい童貞友也くんがこんなデカいなんて聞いてない【R版】")</f>
        <v>20240329_BookLive_かわいい童貞友也くんがこんなデカいなんて聞いてない【R版】</v>
      </c>
      <c r="T1361" s="22" t="str">
        <f>IFERROR(__xludf.DUMMYFUNCTION("""COMPUTED_VALUE"""),"格納済み")</f>
        <v>格納済み</v>
      </c>
      <c r="U1361" s="15" t="str">
        <f>IFERROR(__xludf.DUMMYFUNCTION("""COMPUTED_VALUE"""),"Ⓒトウ/THE猥談/ブリック出版")</f>
        <v>Ⓒトウ/THE猥談/ブリック出版</v>
      </c>
      <c r="V1361" s="8" t="str">
        <f>IFERROR(__xludf.DUMMYFUNCTION("""COMPUTED_VALUE"""),"私は童貞が大好きだ。
昔の女に嫉妬しなくていいし、好みに育成できるし
何より「初めての女」が未来永劫私になる。
童貞、最高。
マッチングアプリで知り合った友也君は、童顔で真面目で女慣れしてなくて、
ホテルに着いても胸の触り方も、キスの仕方も、すっごい下手で...
そうこれは、食べ甲斐のある、本物の童貞。
それでは私がいただきます、とパンツを下ろすとーー…
…デカくね??
想像以上の大きさの彼の「それ」に、さっきまで余裕が奪われる。
えと、あれ、
もしかして、私が食われる側…!?
童"&amp;"貞だからって油断した...こんなの本当に挿入るの…?
初めての快感を知っていく巨根童貞友也くんは止まるわけがなくてーー…。
本作は『かわいい童貞友也くんがこんなデカいなんて聞いてない』の修正をやや弱めたものです。内容に差異はありません。
※本作はトウ、THE猥談の個人誌作品の電子書籍版となります。【21ページ】")</f>
        <v>私は童貞が大好きだ。
昔の女に嫉妬しなくていいし、好みに育成できるし
何より「初めての女」が未来永劫私になる。
童貞、最高。
マッチングアプリで知り合った友也君は、童顔で真面目で女慣れしてなくて、
ホテルに着いても胸の触り方も、キスの仕方も、すっごい下手で...
そうこれは、食べ甲斐のある、本物の童貞。
それでは私がいただきます、とパンツを下ろすとーー…
…デカくね??
想像以上の大きさの彼の「それ」に、さっきまで余裕が奪われる。
えと、あれ、
もしかして、私が食われる側…!?
童貞だからって油断した...こんなの本当に挿入るの…?
初めての快感を知っていく巨根童貞友也くんは止まるわけがなくてーー…。
本作は『かわいい童貞友也くんがこんなデカいなんて聞いてない』の修正をやや弱めたものです。内容に差異はありません。
※本作はトウ、THE猥談の個人誌作品の電子書籍版となります。【21ページ】</v>
      </c>
      <c r="W1361" s="14"/>
      <c r="X1361" s="14" t="str">
        <f>IFERROR(__xludf.DUMMYFUNCTION("""COMPUTED_VALUE"""),"有")</f>
        <v>有</v>
      </c>
      <c r="Y1361" s="8" t="str">
        <f>IFERROR(__xludf.DUMMYFUNCTION("""COMPUTED_VALUE"""),"P12まで")</f>
        <v>P12まで</v>
      </c>
      <c r="Z1361" s="7"/>
      <c r="AA1361" s="7"/>
      <c r="AB1361" s="7"/>
    </row>
    <row r="1362" ht="15.75" customHeight="1">
      <c r="A1362" s="26">
        <f>IFERROR(__xludf.DUMMYFUNCTION("""COMPUTED_VALUE"""),3207.0)</f>
        <v>3207</v>
      </c>
      <c r="B1362" s="22" t="str">
        <f>IFERROR(__xludf.DUMMYFUNCTION("""COMPUTED_VALUE"""),"確定")</f>
        <v>確定</v>
      </c>
      <c r="C1362" s="28">
        <f>IFERROR(__xludf.DUMMYFUNCTION("""COMPUTED_VALUE"""),45380.0)</f>
        <v>45380</v>
      </c>
      <c r="D1362" s="28">
        <f>IFERROR(__xludf.DUMMYFUNCTION("""COMPUTED_VALUE"""),45384.0)</f>
        <v>45384</v>
      </c>
      <c r="E1362" s="31">
        <f>IFERROR(__xludf.DUMMYFUNCTION("""COMPUTED_VALUE"""),291289.0)</f>
        <v>291289</v>
      </c>
      <c r="F1362" s="22" t="str">
        <f>IFERROR(__xludf.DUMMYFUNCTION("""COMPUTED_VALUE"""),"限界社畜OLは芦立先輩に沼ってます")</f>
        <v>限界社畜OLは芦立先輩に沼ってます</v>
      </c>
      <c r="G1362" s="20" t="str">
        <f>IFERROR(__xludf.DUMMYFUNCTION("""COMPUTED_VALUE"""),"1～3")</f>
        <v>1～3</v>
      </c>
      <c r="H1362" s="22" t="str">
        <f>IFERROR(__xludf.DUMMYFUNCTION("""COMPUTED_VALUE"""),"ぐりだそうむ┴THE猥談")</f>
        <v>ぐりだそうむ┴THE猥談</v>
      </c>
      <c r="I1362" s="22" t="str">
        <f>IFERROR(__xludf.DUMMYFUNCTION("""COMPUTED_VALUE"""),"TL")</f>
        <v>TL</v>
      </c>
      <c r="J1362" s="22"/>
      <c r="K1362" s="22"/>
      <c r="L1362" s="22" t="str">
        <f>IFERROR(__xludf.DUMMYFUNCTION("""COMPUTED_VALUE"""),"ブリック出版")</f>
        <v>ブリック出版</v>
      </c>
      <c r="M1362" s="23">
        <f>IFERROR(__xludf.DUMMYFUNCTION("""COMPUTED_VALUE"""),45408.0)</f>
        <v>45408</v>
      </c>
      <c r="N1362" s="23">
        <f>IFERROR(__xludf.DUMMYFUNCTION("""COMPUTED_VALUE"""),45533.66666666667)</f>
        <v>45533.66667</v>
      </c>
      <c r="O1362" s="20"/>
      <c r="P1362" s="29" t="str">
        <f>IFERROR(__xludf.DUMMYFUNCTION("""COMPUTED_VALUE"""),"可")</f>
        <v>可</v>
      </c>
      <c r="Q1362" s="30" t="str">
        <f>IFERROR(__xludf.DUMMYFUNCTION("""COMPUTED_VALUE"""),"河上さんへ事前コミット済みの作品です。")</f>
        <v>河上さんへ事前コミット済みの作品です。</v>
      </c>
      <c r="R1362" s="22"/>
      <c r="S1362" s="22" t="str">
        <f>IFERROR(__xludf.DUMMYFUNCTION("""COMPUTED_VALUE"""),"20240329_BookLive_限界社畜OLは芦立先輩に沼ってます")</f>
        <v>20240329_BookLive_限界社畜OLは芦立先輩に沼ってます</v>
      </c>
      <c r="T1362" s="22" t="str">
        <f>IFERROR(__xludf.DUMMYFUNCTION("""COMPUTED_VALUE"""),"格納済み")</f>
        <v>格納済み</v>
      </c>
      <c r="U1362" s="15" t="str">
        <f>IFERROR(__xludf.DUMMYFUNCTION("""COMPUTED_VALUE"""),"Ⓒぐりだそうむ/THE猥談/ブリック出版")</f>
        <v>Ⓒぐりだそうむ/THE猥談/ブリック出版</v>
      </c>
      <c r="V1362" s="8" t="str">
        <f>IFERROR(__xludf.DUMMYFUNCTION("""COMPUTED_VALUE"""),"新卒で入社した会社は、ゴリゴリの営業会社だった。
月の残業時間は労基法ギリギリ、22歳にして限界社畜OL。
それでも辞めなかったのは芦立先輩がいたから。
大人しそうな見た目に反して、無茶苦茶な営業スタイルでクレームも多い5つ年上の問題児。
「辞める時ちゃんと教えてね」
「今井さんと一緒に飛ぼうかな　俺も」
休憩中に、そんなことを冗談混じりに言う芦立先輩のことが、好きだった。
私にもチャンスがあったり、なんて考えてた矢先…
先輩に、処女ってバレた。
商談後の社用車で、映画を観ながらサボって"&amp;"た時
キスシーンに赤面していたらあっさりバレてしまった。
「今井さんってさ　俺のこと好きでしょ」
慣れた手つきで助手席のリクライニングを倒す先輩。
さっきの映画みたいなキスして、耳を舐められて、それでーー
いつもは意地悪な顔で笑って冗談を言ってる芦立先輩が
今は、社用車で、私のクリを一生懸命しゃぶってる。
そして…
「家、来る?」
その言葉に頷いた時から、芦立先輩という沼に浸かっていたーー…。
※本作はぐりだそうむ、THE猥談の個人誌作品の電子書籍版となります。【22ページ】")</f>
        <v>新卒で入社した会社は、ゴリゴリの営業会社だった。
月の残業時間は労基法ギリギリ、22歳にして限界社畜OL。
それでも辞めなかったのは芦立先輩がいたから。
大人しそうな見た目に反して、無茶苦茶な営業スタイルでクレームも多い5つ年上の問題児。
「辞める時ちゃんと教えてね」
「今井さんと一緒に飛ぼうかな　俺も」
休憩中に、そんなことを冗談混じりに言う芦立先輩のことが、好きだった。
私にもチャンスがあったり、なんて考えてた矢先…
先輩に、処女ってバレた。
商談後の社用車で、映画を観ながらサボってた時
キスシーンに赤面していたらあっさりバレてしまった。
「今井さんってさ　俺のこと好きでしょ」
慣れた手つきで助手席のリクライニングを倒す先輩。
さっきの映画みたいなキスして、耳を舐められて、それでーー
いつもは意地悪な顔で笑って冗談を言ってる芦立先輩が
今は、社用車で、私のクリを一生懸命しゃぶってる。
そして…
「家、来る?」
その言葉に頷いた時から、芦立先輩という沼に浸かっていたーー…。
※本作はぐりだそうむ、THE猥談の個人誌作品の電子書籍版となります。【22ページ】</v>
      </c>
      <c r="W1362" s="14"/>
      <c r="X1362" s="14" t="str">
        <f>IFERROR(__xludf.DUMMYFUNCTION("""COMPUTED_VALUE"""),"有")</f>
        <v>有</v>
      </c>
      <c r="Y1362" s="8" t="str">
        <f>IFERROR(__xludf.DUMMYFUNCTION("""COMPUTED_VALUE"""),"P12まで")</f>
        <v>P12まで</v>
      </c>
      <c r="Z1362" s="7"/>
      <c r="AA1362" s="7"/>
      <c r="AB1362" s="7"/>
    </row>
    <row r="1363" ht="15.75" customHeight="1">
      <c r="A1363" s="26">
        <f>IFERROR(__xludf.DUMMYFUNCTION("""COMPUTED_VALUE"""),3208.0)</f>
        <v>3208</v>
      </c>
      <c r="B1363" s="22" t="str">
        <f>IFERROR(__xludf.DUMMYFUNCTION("""COMPUTED_VALUE"""),"確定")</f>
        <v>確定</v>
      </c>
      <c r="C1363" s="28">
        <f>IFERROR(__xludf.DUMMYFUNCTION("""COMPUTED_VALUE"""),45380.0)</f>
        <v>45380</v>
      </c>
      <c r="D1363" s="28">
        <f>IFERROR(__xludf.DUMMYFUNCTION("""COMPUTED_VALUE"""),45384.0)</f>
        <v>45384</v>
      </c>
      <c r="E1363" s="31">
        <f>IFERROR(__xludf.DUMMYFUNCTION("""COMPUTED_VALUE"""),291274.0)</f>
        <v>291274</v>
      </c>
      <c r="F1363" s="22" t="str">
        <f>IFERROR(__xludf.DUMMYFUNCTION("""COMPUTED_VALUE"""),"限界社畜OLは芦立先輩に沼ってます【R版】")</f>
        <v>限界社畜OLは芦立先輩に沼ってます【R版】</v>
      </c>
      <c r="G1363" s="20" t="str">
        <f>IFERROR(__xludf.DUMMYFUNCTION("""COMPUTED_VALUE"""),"1～3")</f>
        <v>1～3</v>
      </c>
      <c r="H1363" s="22" t="str">
        <f>IFERROR(__xludf.DUMMYFUNCTION("""COMPUTED_VALUE"""),"ぐりだそうむ┴THE猥談")</f>
        <v>ぐりだそうむ┴THE猥談</v>
      </c>
      <c r="I1363" s="22" t="str">
        <f>IFERROR(__xludf.DUMMYFUNCTION("""COMPUTED_VALUE"""),"オトナ")</f>
        <v>オトナ</v>
      </c>
      <c r="J1363" s="22"/>
      <c r="K1363" s="22"/>
      <c r="L1363" s="22" t="str">
        <f>IFERROR(__xludf.DUMMYFUNCTION("""COMPUTED_VALUE"""),"ブリック出版")</f>
        <v>ブリック出版</v>
      </c>
      <c r="M1363" s="23">
        <f>IFERROR(__xludf.DUMMYFUNCTION("""COMPUTED_VALUE"""),45408.0)</f>
        <v>45408</v>
      </c>
      <c r="N1363" s="23">
        <f>IFERROR(__xludf.DUMMYFUNCTION("""COMPUTED_VALUE"""),45533.66666666667)</f>
        <v>45533.66667</v>
      </c>
      <c r="O1363" s="20"/>
      <c r="P1363" s="29" t="str">
        <f>IFERROR(__xludf.DUMMYFUNCTION("""COMPUTED_VALUE"""),"可")</f>
        <v>可</v>
      </c>
      <c r="Q1363" s="30" t="str">
        <f>IFERROR(__xludf.DUMMYFUNCTION("""COMPUTED_VALUE"""),"河上さんへ事前コミット済みの作品です。")</f>
        <v>河上さんへ事前コミット済みの作品です。</v>
      </c>
      <c r="R1363" s="22"/>
      <c r="S1363" s="22" t="str">
        <f>IFERROR(__xludf.DUMMYFUNCTION("""COMPUTED_VALUE"""),"20240329_BookLive_限界社畜OLは芦立先輩に沼ってます【R版】")</f>
        <v>20240329_BookLive_限界社畜OLは芦立先輩に沼ってます【R版】</v>
      </c>
      <c r="T1363" s="22" t="str">
        <f>IFERROR(__xludf.DUMMYFUNCTION("""COMPUTED_VALUE"""),"格納済み")</f>
        <v>格納済み</v>
      </c>
      <c r="U1363" s="15" t="str">
        <f>IFERROR(__xludf.DUMMYFUNCTION("""COMPUTED_VALUE"""),"Ⓒぐりだそうむ/THE猥談/ブリック出版")</f>
        <v>Ⓒぐりだそうむ/THE猥談/ブリック出版</v>
      </c>
      <c r="V1363" s="8" t="str">
        <f>IFERROR(__xludf.DUMMYFUNCTION("""COMPUTED_VALUE"""),"新卒で入社した会社は、ゴリゴリの営業会社だった。
月の残業時間は労基法ギリギリ、22歳にして限界社畜OL。
それでも辞めなかったのは芦立先輩がいたから。
大人しそうな見た目に反して、無茶苦茶な営業スタイルでクレームも多い5つ年上の問題児。
「辞める時ちゃんと教えてね」
「今井さんと一緒に飛ぼうかな　俺も」
休憩中に、そんなことを冗談混じりに言う芦立先輩のことが、好きだった。
私にもチャンスがあったり、なんて考えてた矢先…
先輩に、処女ってバレた。
商談後の社用車で、映画を観ながらサボって"&amp;"た時
キスシーンに赤面していたらあっさりバレてしまった。
「今井さんってさ　俺のこと好きでしょ」
慣れた手つきで助手席のリクライニングを倒す先輩。
さっきの映画みたいなキスして、耳を舐められて、それでーー
いつもは意地悪な顔で笑って冗談を言ってる芦立先輩が
今は、社用車で、私のクリを一生懸命しゃぶってる。
そして…
「家、来る?」
その言葉に頷いた時から、芦立先輩という沼に浸かっていたーー…。
本作は『限界社畜OLは芦立先輩に沼ってます』の修正をやや弱めたものです。内容に差異はありませ"&amp;"ん。
※本作はぐりだそうむ、THE猥談の個人誌作品の電子書籍版となります。【22ページ】")</f>
        <v>新卒で入社した会社は、ゴリゴリの営業会社だった。
月の残業時間は労基法ギリギリ、22歳にして限界社畜OL。
それでも辞めなかったのは芦立先輩がいたから。
大人しそうな見た目に反して、無茶苦茶な営業スタイルでクレームも多い5つ年上の問題児。
「辞める時ちゃんと教えてね」
「今井さんと一緒に飛ぼうかな　俺も」
休憩中に、そんなことを冗談混じりに言う芦立先輩のことが、好きだった。
私にもチャンスがあったり、なんて考えてた矢先…
先輩に、処女ってバレた。
商談後の社用車で、映画を観ながらサボってた時
キスシーンに赤面していたらあっさりバレてしまった。
「今井さんってさ　俺のこと好きでしょ」
慣れた手つきで助手席のリクライニングを倒す先輩。
さっきの映画みたいなキスして、耳を舐められて、それでーー
いつもは意地悪な顔で笑って冗談を言ってる芦立先輩が
今は、社用車で、私のクリを一生懸命しゃぶってる。
そして…
「家、来る?」
その言葉に頷いた時から、芦立先輩という沼に浸かっていたーー…。
本作は『限界社畜OLは芦立先輩に沼ってます』の修正をやや弱めたものです。内容に差異はありません。
※本作はぐりだそうむ、THE猥談の個人誌作品の電子書籍版となります。【22ページ】</v>
      </c>
      <c r="W1363" s="14"/>
      <c r="X1363" s="14" t="str">
        <f>IFERROR(__xludf.DUMMYFUNCTION("""COMPUTED_VALUE"""),"有")</f>
        <v>有</v>
      </c>
      <c r="Y1363" s="8" t="str">
        <f>IFERROR(__xludf.DUMMYFUNCTION("""COMPUTED_VALUE"""),"P12まで")</f>
        <v>P12まで</v>
      </c>
      <c r="Z1363" s="7"/>
      <c r="AA1363" s="7"/>
      <c r="AB1363" s="7"/>
    </row>
    <row r="1364" ht="15.75" customHeight="1">
      <c r="A1364" s="26">
        <f>IFERROR(__xludf.DUMMYFUNCTION("""COMPUTED_VALUE"""),3209.0)</f>
        <v>3209</v>
      </c>
      <c r="B1364" s="22" t="str">
        <f>IFERROR(__xludf.DUMMYFUNCTION("""COMPUTED_VALUE"""),"確定")</f>
        <v>確定</v>
      </c>
      <c r="C1364" s="28">
        <f>IFERROR(__xludf.DUMMYFUNCTION("""COMPUTED_VALUE"""),45380.0)</f>
        <v>45380</v>
      </c>
      <c r="D1364" s="28">
        <f>IFERROR(__xludf.DUMMYFUNCTION("""COMPUTED_VALUE"""),45384.0)</f>
        <v>45384</v>
      </c>
      <c r="E1364" s="31">
        <f>IFERROR(__xludf.DUMMYFUNCTION("""COMPUTED_VALUE"""),291290.0)</f>
        <v>291290</v>
      </c>
      <c r="F1364" s="22" t="str">
        <f>IFERROR(__xludf.DUMMYFUNCTION("""COMPUTED_VALUE"""),"やさしいやさしい優くんは今夜は全然やさしくない")</f>
        <v>やさしいやさしい優くんは今夜は全然やさしくない</v>
      </c>
      <c r="G1364" s="11" t="str">
        <f>IFERROR(__xludf.DUMMYFUNCTION("""COMPUTED_VALUE"""),"1～2")</f>
        <v>1～2</v>
      </c>
      <c r="H1364" s="22" t="str">
        <f>IFERROR(__xludf.DUMMYFUNCTION("""COMPUTED_VALUE"""),"たまの父┴THE猥談")</f>
        <v>たまの父┴THE猥談</v>
      </c>
      <c r="I1364" s="22" t="str">
        <f>IFERROR(__xludf.DUMMYFUNCTION("""COMPUTED_VALUE"""),"TL")</f>
        <v>TL</v>
      </c>
      <c r="J1364" s="22"/>
      <c r="K1364" s="22"/>
      <c r="L1364" s="22" t="str">
        <f>IFERROR(__xludf.DUMMYFUNCTION("""COMPUTED_VALUE"""),"ブリック出版")</f>
        <v>ブリック出版</v>
      </c>
      <c r="M1364" s="23">
        <f>IFERROR(__xludf.DUMMYFUNCTION("""COMPUTED_VALUE"""),45408.0)</f>
        <v>45408</v>
      </c>
      <c r="N1364" s="23">
        <f>IFERROR(__xludf.DUMMYFUNCTION("""COMPUTED_VALUE"""),45533.66666666667)</f>
        <v>45533.66667</v>
      </c>
      <c r="O1364" s="20"/>
      <c r="P1364" s="29" t="str">
        <f>IFERROR(__xludf.DUMMYFUNCTION("""COMPUTED_VALUE"""),"可")</f>
        <v>可</v>
      </c>
      <c r="Q1364" s="30" t="str">
        <f>IFERROR(__xludf.DUMMYFUNCTION("""COMPUTED_VALUE"""),"河上さんへ事前コミット済みの作品です。")</f>
        <v>河上さんへ事前コミット済みの作品です。</v>
      </c>
      <c r="R1364" s="22"/>
      <c r="S1364" s="22" t="str">
        <f>IFERROR(__xludf.DUMMYFUNCTION("""COMPUTED_VALUE"""),"20240329_BookLive_やさしいやさしい優くんは今夜は全然やさしくない")</f>
        <v>20240329_BookLive_やさしいやさしい優くんは今夜は全然やさしくない</v>
      </c>
      <c r="T1364" s="22" t="str">
        <f>IFERROR(__xludf.DUMMYFUNCTION("""COMPUTED_VALUE"""),"格納済み")</f>
        <v>格納済み</v>
      </c>
      <c r="U1364" s="15" t="str">
        <f>IFERROR(__xludf.DUMMYFUNCTION("""COMPUTED_VALUE"""),"Ⓒたまの父/THE猥談/ブリック出版")</f>
        <v>Ⓒたまの父/THE猥談/ブリック出版</v>
      </c>
      <c r="V1364" s="8" t="str">
        <f>IFERROR(__xludf.DUMMYFUNCTION("""COMPUTED_VALUE"""),"「可愛い」と言われても、「可愛くないよ」と言ってしまう育ち方をしてしまった。
自分を下げて、他人に譲る生き方しかできない。そんな自分が大嫌いだった。
彼氏の優くんは私とは正反対。
素直で、優しくて、なんでもできて、
こんな私に、いつも「可愛い」と言ってくれる。
本当は彼の「可愛い」を受け止められるようになりたいのに…。
素直になれずに、今日もつい言ってしまう。
「私なんか全然釣り合ってない。
なんで優くんが私のこと好きなのか全然分かんないの…!」
「一回黙って。分かんないなら分からせるか"&amp;"ら」
いつもは優しい優くんの、強引で意地悪なセックスが始まったーー
※本作はたまの父、THE猥談の個人誌作品の電子書籍版となります。【25ページ】")</f>
        <v>「可愛い」と言われても、「可愛くないよ」と言ってしまう育ち方をしてしまった。
自分を下げて、他人に譲る生き方しかできない。そんな自分が大嫌いだった。
彼氏の優くんは私とは正反対。
素直で、優しくて、なんでもできて、
こんな私に、いつも「可愛い」と言ってくれる。
本当は彼の「可愛い」を受け止められるようになりたいのに…。
素直になれずに、今日もつい言ってしまう。
「私なんか全然釣り合ってない。
なんで優くんが私のこと好きなのか全然分かんないの…!」
「一回黙って。分かんないなら分からせるから」
いつもは優しい優くんの、強引で意地悪なセックスが始まったーー
※本作はたまの父、THE猥談の個人誌作品の電子書籍版となります。【25ページ】</v>
      </c>
      <c r="W1364" s="14"/>
      <c r="X1364" s="14" t="str">
        <f>IFERROR(__xludf.DUMMYFUNCTION("""COMPUTED_VALUE"""),"有")</f>
        <v>有</v>
      </c>
      <c r="Y1364" s="8" t="str">
        <f>IFERROR(__xludf.DUMMYFUNCTION("""COMPUTED_VALUE"""),"P13まで")</f>
        <v>P13まで</v>
      </c>
      <c r="Z1364" s="7"/>
      <c r="AA1364" s="7"/>
      <c r="AB1364" s="7"/>
    </row>
    <row r="1365" ht="15.75" customHeight="1">
      <c r="A1365" s="26">
        <f>IFERROR(__xludf.DUMMYFUNCTION("""COMPUTED_VALUE"""),3210.0)</f>
        <v>3210</v>
      </c>
      <c r="B1365" s="22" t="str">
        <f>IFERROR(__xludf.DUMMYFUNCTION("""COMPUTED_VALUE"""),"確定")</f>
        <v>確定</v>
      </c>
      <c r="C1365" s="28">
        <f>IFERROR(__xludf.DUMMYFUNCTION("""COMPUTED_VALUE"""),45380.0)</f>
        <v>45380</v>
      </c>
      <c r="D1365" s="28">
        <f>IFERROR(__xludf.DUMMYFUNCTION("""COMPUTED_VALUE"""),45384.0)</f>
        <v>45384</v>
      </c>
      <c r="E1365" s="31">
        <f>IFERROR(__xludf.DUMMYFUNCTION("""COMPUTED_VALUE"""),291275.0)</f>
        <v>291275</v>
      </c>
      <c r="F1365" s="22" t="str">
        <f>IFERROR(__xludf.DUMMYFUNCTION("""COMPUTED_VALUE"""),"やさしいやさしい優くんは今夜は全然やさしくない【R版】")</f>
        <v>やさしいやさしい優くんは今夜は全然やさしくない【R版】</v>
      </c>
      <c r="G1365" s="11" t="str">
        <f>IFERROR(__xludf.DUMMYFUNCTION("""COMPUTED_VALUE"""),"1～2")</f>
        <v>1～2</v>
      </c>
      <c r="H1365" s="22" t="str">
        <f>IFERROR(__xludf.DUMMYFUNCTION("""COMPUTED_VALUE"""),"たまの父┴THE猥談")</f>
        <v>たまの父┴THE猥談</v>
      </c>
      <c r="I1365" s="22" t="str">
        <f>IFERROR(__xludf.DUMMYFUNCTION("""COMPUTED_VALUE"""),"オトナ")</f>
        <v>オトナ</v>
      </c>
      <c r="J1365" s="22"/>
      <c r="K1365" s="22"/>
      <c r="L1365" s="22" t="str">
        <f>IFERROR(__xludf.DUMMYFUNCTION("""COMPUTED_VALUE"""),"ブリック出版")</f>
        <v>ブリック出版</v>
      </c>
      <c r="M1365" s="23">
        <f>IFERROR(__xludf.DUMMYFUNCTION("""COMPUTED_VALUE"""),45408.0)</f>
        <v>45408</v>
      </c>
      <c r="N1365" s="23">
        <f>IFERROR(__xludf.DUMMYFUNCTION("""COMPUTED_VALUE"""),45533.66666666667)</f>
        <v>45533.66667</v>
      </c>
      <c r="O1365" s="20"/>
      <c r="P1365" s="29" t="str">
        <f>IFERROR(__xludf.DUMMYFUNCTION("""COMPUTED_VALUE"""),"可")</f>
        <v>可</v>
      </c>
      <c r="Q1365" s="30" t="str">
        <f>IFERROR(__xludf.DUMMYFUNCTION("""COMPUTED_VALUE"""),"河上さんへ事前コミット済みの作品です。")</f>
        <v>河上さんへ事前コミット済みの作品です。</v>
      </c>
      <c r="R1365" s="22"/>
      <c r="S1365" s="22" t="str">
        <f>IFERROR(__xludf.DUMMYFUNCTION("""COMPUTED_VALUE"""),"20240329_BookLive_やさしいやさしい優くんは今夜は全然やさしくない【R版】")</f>
        <v>20240329_BookLive_やさしいやさしい優くんは今夜は全然やさしくない【R版】</v>
      </c>
      <c r="T1365" s="22" t="str">
        <f>IFERROR(__xludf.DUMMYFUNCTION("""COMPUTED_VALUE"""),"格納済み")</f>
        <v>格納済み</v>
      </c>
      <c r="U1365" s="15" t="str">
        <f>IFERROR(__xludf.DUMMYFUNCTION("""COMPUTED_VALUE"""),"Ⓒたまの父/THE猥談/ブリック出版")</f>
        <v>Ⓒたまの父/THE猥談/ブリック出版</v>
      </c>
      <c r="V1365" s="8" t="str">
        <f>IFERROR(__xludf.DUMMYFUNCTION("""COMPUTED_VALUE"""),"「可愛い」と言われても、「可愛くないよ」と言ってしまう育ち方をしてしまった。
自分を下げて、他人に譲る生き方しかできない。そんな自分が大嫌いだった。
彼氏の優くんは私とは正反対。
素直で、優しくて、なんでもできて、
こんな私に、いつも「可愛い」と言ってくれる。
本当は彼の「可愛い」を受け止められるようになりたいのに…。
素直になれずに、今日もつい言ってしまう。
「私なんか全然釣り合ってない。
なんで優くんが私のこと好きなのか全然分かんないの…!」
「一回黙って。分かんないなら分からせるか"&amp;"ら」
いつもは優しい優くんの、強引で意地悪なセックスが始まったーー
本作は『やさしいやさしい優くんは今夜は全然やさしくない』の修正をやや弱めたものです。内容に差異はありません。
※本作はたまの父、THE猥談の個人誌作品の電子書籍版となります。【25ページ】")</f>
        <v>「可愛い」と言われても、「可愛くないよ」と言ってしまう育ち方をしてしまった。
自分を下げて、他人に譲る生き方しかできない。そんな自分が大嫌いだった。
彼氏の優くんは私とは正反対。
素直で、優しくて、なんでもできて、
こんな私に、いつも「可愛い」と言ってくれる。
本当は彼の「可愛い」を受け止められるようになりたいのに…。
素直になれずに、今日もつい言ってしまう。
「私なんか全然釣り合ってない。
なんで優くんが私のこと好きなのか全然分かんないの…!」
「一回黙って。分かんないなら分からせるから」
いつもは優しい優くんの、強引で意地悪なセックスが始まったーー
本作は『やさしいやさしい優くんは今夜は全然やさしくない』の修正をやや弱めたものです。内容に差異はありません。
※本作はたまの父、THE猥談の個人誌作品の電子書籍版となります。【25ページ】</v>
      </c>
      <c r="W1365" s="14"/>
      <c r="X1365" s="14" t="str">
        <f>IFERROR(__xludf.DUMMYFUNCTION("""COMPUTED_VALUE"""),"有")</f>
        <v>有</v>
      </c>
      <c r="Y1365" s="8" t="str">
        <f>IFERROR(__xludf.DUMMYFUNCTION("""COMPUTED_VALUE"""),"P13まで")</f>
        <v>P13まで</v>
      </c>
      <c r="Z1365" s="7"/>
      <c r="AA1365" s="7"/>
      <c r="AB1365" s="7"/>
    </row>
    <row r="1366" ht="15.75" customHeight="1">
      <c r="A1366" s="26">
        <f>IFERROR(__xludf.DUMMYFUNCTION("""COMPUTED_VALUE"""),3211.0)</f>
        <v>3211</v>
      </c>
      <c r="B1366" s="22" t="str">
        <f>IFERROR(__xludf.DUMMYFUNCTION("""COMPUTED_VALUE"""),"確定")</f>
        <v>確定</v>
      </c>
      <c r="C1366" s="28">
        <f>IFERROR(__xludf.DUMMYFUNCTION("""COMPUTED_VALUE"""),45380.0)</f>
        <v>45380</v>
      </c>
      <c r="D1366" s="28">
        <f>IFERROR(__xludf.DUMMYFUNCTION("""COMPUTED_VALUE"""),45384.0)</f>
        <v>45384</v>
      </c>
      <c r="E1366" s="31">
        <f>IFERROR(__xludf.DUMMYFUNCTION("""COMPUTED_VALUE"""),291291.0)</f>
        <v>291291</v>
      </c>
      <c r="F1366" s="22" t="str">
        <f>IFERROR(__xludf.DUMMYFUNCTION("""COMPUTED_VALUE"""),"倫ちゃんとはセフレで良かったはずだけど、")</f>
        <v>倫ちゃんとはセフレで良かったはずだけど、</v>
      </c>
      <c r="G1366" s="20" t="str">
        <f>IFERROR(__xludf.DUMMYFUNCTION("""COMPUTED_VALUE"""),"1～3")</f>
        <v>1～3</v>
      </c>
      <c r="H1366" s="22" t="str">
        <f>IFERROR(__xludf.DUMMYFUNCTION("""COMPUTED_VALUE"""),"出海うに┴THE猥談")</f>
        <v>出海うに┴THE猥談</v>
      </c>
      <c r="I1366" s="22" t="str">
        <f>IFERROR(__xludf.DUMMYFUNCTION("""COMPUTED_VALUE"""),"TL")</f>
        <v>TL</v>
      </c>
      <c r="J1366" s="22"/>
      <c r="K1366" s="22"/>
      <c r="L1366" s="22" t="str">
        <f>IFERROR(__xludf.DUMMYFUNCTION("""COMPUTED_VALUE"""),"ブリック出版")</f>
        <v>ブリック出版</v>
      </c>
      <c r="M1366" s="23">
        <f>IFERROR(__xludf.DUMMYFUNCTION("""COMPUTED_VALUE"""),45408.0)</f>
        <v>45408</v>
      </c>
      <c r="N1366" s="23">
        <f>IFERROR(__xludf.DUMMYFUNCTION("""COMPUTED_VALUE"""),45533.66666666667)</f>
        <v>45533.66667</v>
      </c>
      <c r="O1366" s="20"/>
      <c r="P1366" s="29" t="str">
        <f>IFERROR(__xludf.DUMMYFUNCTION("""COMPUTED_VALUE"""),"可")</f>
        <v>可</v>
      </c>
      <c r="Q1366" s="30" t="str">
        <f>IFERROR(__xludf.DUMMYFUNCTION("""COMPUTED_VALUE"""),"河上さんへ事前コミット済みの作品です。")</f>
        <v>河上さんへ事前コミット済みの作品です。</v>
      </c>
      <c r="R1366" s="22"/>
      <c r="S1366" s="22" t="str">
        <f>IFERROR(__xludf.DUMMYFUNCTION("""COMPUTED_VALUE"""),"20240329_BookLive_倫ちゃんとはセフレで良かったはずだけど、")</f>
        <v>20240329_BookLive_倫ちゃんとはセフレで良かったはずだけど、</v>
      </c>
      <c r="T1366" s="22" t="str">
        <f>IFERROR(__xludf.DUMMYFUNCTION("""COMPUTED_VALUE"""),"格納済み")</f>
        <v>格納済み</v>
      </c>
      <c r="U1366" s="15" t="str">
        <f>IFERROR(__xludf.DUMMYFUNCTION("""COMPUTED_VALUE"""),"Ⓒ出海うに/THE猥談/ブリック出版")</f>
        <v>Ⓒ出海うに/THE猥談/ブリック出版</v>
      </c>
      <c r="V1366" s="8" t="str">
        <f>IFERROR(__xludf.DUMMYFUNCTION("""COMPUTED_VALUE"""),"大好きなセフレがいる。
マッチングアプリで出会って、話も合って、身体の相性もばっちり。
でも、セフレ。
それ以上を求めてしまう前に、手を引かなければ。
だから、今夜は彼と会う最後だと決めて、家に来た。
そう思っていたはずなのに…。
※本作は出海うに、THE猥談の個人誌作品の電子書籍版となります。【22ページ】")</f>
        <v>大好きなセフレがいる。
マッチングアプリで出会って、話も合って、身体の相性もばっちり。
でも、セフレ。
それ以上を求めてしまう前に、手を引かなければ。
だから、今夜は彼と会う最後だと決めて、家に来た。
そう思っていたはずなのに…。
※本作は出海うに、THE猥談の個人誌作品の電子書籍版となります。【22ページ】</v>
      </c>
      <c r="W1366" s="14"/>
      <c r="X1366" s="14" t="str">
        <f>IFERROR(__xludf.DUMMYFUNCTION("""COMPUTED_VALUE"""),"有")</f>
        <v>有</v>
      </c>
      <c r="Y1366" s="8" t="str">
        <f>IFERROR(__xludf.DUMMYFUNCTION("""COMPUTED_VALUE"""),"P12まで")</f>
        <v>P12まで</v>
      </c>
      <c r="Z1366" s="7"/>
      <c r="AA1366" s="7"/>
      <c r="AB1366" s="7"/>
    </row>
    <row r="1367" ht="15.75" customHeight="1">
      <c r="A1367" s="26">
        <f>IFERROR(__xludf.DUMMYFUNCTION("""COMPUTED_VALUE"""),3212.0)</f>
        <v>3212</v>
      </c>
      <c r="B1367" s="22" t="str">
        <f>IFERROR(__xludf.DUMMYFUNCTION("""COMPUTED_VALUE"""),"確定")</f>
        <v>確定</v>
      </c>
      <c r="C1367" s="28">
        <f>IFERROR(__xludf.DUMMYFUNCTION("""COMPUTED_VALUE"""),45380.0)</f>
        <v>45380</v>
      </c>
      <c r="D1367" s="28">
        <f>IFERROR(__xludf.DUMMYFUNCTION("""COMPUTED_VALUE"""),45384.0)</f>
        <v>45384</v>
      </c>
      <c r="E1367" s="31">
        <f>IFERROR(__xludf.DUMMYFUNCTION("""COMPUTED_VALUE"""),291276.0)</f>
        <v>291276</v>
      </c>
      <c r="F1367" s="22" t="str">
        <f>IFERROR(__xludf.DUMMYFUNCTION("""COMPUTED_VALUE"""),"倫ちゃんとはセフレで良かったはずだけど、【R版】")</f>
        <v>倫ちゃんとはセフレで良かったはずだけど、【R版】</v>
      </c>
      <c r="G1367" s="20" t="str">
        <f>IFERROR(__xludf.DUMMYFUNCTION("""COMPUTED_VALUE"""),"1～3")</f>
        <v>1～3</v>
      </c>
      <c r="H1367" s="22" t="str">
        <f>IFERROR(__xludf.DUMMYFUNCTION("""COMPUTED_VALUE"""),"出海うに┴THE猥談")</f>
        <v>出海うに┴THE猥談</v>
      </c>
      <c r="I1367" s="22" t="str">
        <f>IFERROR(__xludf.DUMMYFUNCTION("""COMPUTED_VALUE"""),"オトナ")</f>
        <v>オトナ</v>
      </c>
      <c r="J1367" s="22"/>
      <c r="K1367" s="22"/>
      <c r="L1367" s="22" t="str">
        <f>IFERROR(__xludf.DUMMYFUNCTION("""COMPUTED_VALUE"""),"ブリック出版")</f>
        <v>ブリック出版</v>
      </c>
      <c r="M1367" s="23">
        <f>IFERROR(__xludf.DUMMYFUNCTION("""COMPUTED_VALUE"""),45408.0)</f>
        <v>45408</v>
      </c>
      <c r="N1367" s="23">
        <f>IFERROR(__xludf.DUMMYFUNCTION("""COMPUTED_VALUE"""),45533.66666666667)</f>
        <v>45533.66667</v>
      </c>
      <c r="O1367" s="20"/>
      <c r="P1367" s="29" t="str">
        <f>IFERROR(__xludf.DUMMYFUNCTION("""COMPUTED_VALUE"""),"可")</f>
        <v>可</v>
      </c>
      <c r="Q1367" s="30" t="str">
        <f>IFERROR(__xludf.DUMMYFUNCTION("""COMPUTED_VALUE"""),"河上さんへ事前コミット済みの作品です。")</f>
        <v>河上さんへ事前コミット済みの作品です。</v>
      </c>
      <c r="R1367" s="22"/>
      <c r="S1367" s="22" t="str">
        <f>IFERROR(__xludf.DUMMYFUNCTION("""COMPUTED_VALUE"""),"20240329_BookLive_倫ちゃんとはセフレで良かったはずだけど、【R版】")</f>
        <v>20240329_BookLive_倫ちゃんとはセフレで良かったはずだけど、【R版】</v>
      </c>
      <c r="T1367" s="22" t="str">
        <f>IFERROR(__xludf.DUMMYFUNCTION("""COMPUTED_VALUE"""),"格納済み")</f>
        <v>格納済み</v>
      </c>
      <c r="U1367" s="15" t="str">
        <f>IFERROR(__xludf.DUMMYFUNCTION("""COMPUTED_VALUE"""),"Ⓒ出海うに/THE猥談/ブリック出版")</f>
        <v>Ⓒ出海うに/THE猥談/ブリック出版</v>
      </c>
      <c r="V1367" s="8" t="str">
        <f>IFERROR(__xludf.DUMMYFUNCTION("""COMPUTED_VALUE"""),"大好きなセフレがいる。
マッチングアプリで出会って、話も合って、身体の相性もばっちり。
でも、セフレ。
それ以上を求めてしまう前に、手を引かなければ。
だから、今夜は彼と会う最後だと決めて、家に来た。
そう思っていたはずなのに…。
本作は『倫ちゃんとはセフレで良かったはずだけど、』の修正をやや弱めたものです。内容に差異はありません。
※本作は出海うに、THE猥談の個人誌作品の電子書籍版となります。【22ページ】")</f>
        <v>大好きなセフレがいる。
マッチングアプリで出会って、話も合って、身体の相性もばっちり。
でも、セフレ。
それ以上を求めてしまう前に、手を引かなければ。
だから、今夜は彼と会う最後だと決めて、家に来た。
そう思っていたはずなのに…。
本作は『倫ちゃんとはセフレで良かったはずだけど、』の修正をやや弱めたものです。内容に差異はありません。
※本作は出海うに、THE猥談の個人誌作品の電子書籍版となります。【22ページ】</v>
      </c>
      <c r="W1367" s="14"/>
      <c r="X1367" s="14" t="str">
        <f>IFERROR(__xludf.DUMMYFUNCTION("""COMPUTED_VALUE"""),"有")</f>
        <v>有</v>
      </c>
      <c r="Y1367" s="8" t="str">
        <f>IFERROR(__xludf.DUMMYFUNCTION("""COMPUTED_VALUE"""),"P12まで")</f>
        <v>P12まで</v>
      </c>
      <c r="Z1367" s="7"/>
      <c r="AA1367" s="7"/>
      <c r="AB1367" s="7"/>
    </row>
    <row r="1368" ht="15.75" customHeight="1">
      <c r="A1368" s="26">
        <f>IFERROR(__xludf.DUMMYFUNCTION("""COMPUTED_VALUE"""),3213.0)</f>
        <v>3213</v>
      </c>
      <c r="B1368" s="22" t="str">
        <f>IFERROR(__xludf.DUMMYFUNCTION("""COMPUTED_VALUE"""),"確定")</f>
        <v>確定</v>
      </c>
      <c r="C1368" s="28">
        <f>IFERROR(__xludf.DUMMYFUNCTION("""COMPUTED_VALUE"""),45380.0)</f>
        <v>45380</v>
      </c>
      <c r="D1368" s="28">
        <f>IFERROR(__xludf.DUMMYFUNCTION("""COMPUTED_VALUE"""),45384.0)</f>
        <v>45384</v>
      </c>
      <c r="E1368" s="31">
        <f>IFERROR(__xludf.DUMMYFUNCTION("""COMPUTED_VALUE"""),291292.0)</f>
        <v>291292</v>
      </c>
      <c r="F1368" s="22" t="str">
        <f>IFERROR(__xludf.DUMMYFUNCTION("""COMPUTED_VALUE"""),"陰キャ彼氏の良くんは私のことを悦ばせたい")</f>
        <v>陰キャ彼氏の良くんは私のことを悦ばせたい</v>
      </c>
      <c r="G1368" s="20" t="str">
        <f>IFERROR(__xludf.DUMMYFUNCTION("""COMPUTED_VALUE"""),"1～3")</f>
        <v>1～3</v>
      </c>
      <c r="H1368" s="22" t="str">
        <f>IFERROR(__xludf.DUMMYFUNCTION("""COMPUTED_VALUE"""),"ぽちたろ┴THE猥談")</f>
        <v>ぽちたろ┴THE猥談</v>
      </c>
      <c r="I1368" s="22" t="str">
        <f>IFERROR(__xludf.DUMMYFUNCTION("""COMPUTED_VALUE"""),"TL")</f>
        <v>TL</v>
      </c>
      <c r="J1368" s="22"/>
      <c r="K1368" s="22"/>
      <c r="L1368" s="22" t="str">
        <f>IFERROR(__xludf.DUMMYFUNCTION("""COMPUTED_VALUE"""),"ブリック出版")</f>
        <v>ブリック出版</v>
      </c>
      <c r="M1368" s="23">
        <f>IFERROR(__xludf.DUMMYFUNCTION("""COMPUTED_VALUE"""),45408.0)</f>
        <v>45408</v>
      </c>
      <c r="N1368" s="23">
        <f>IFERROR(__xludf.DUMMYFUNCTION("""COMPUTED_VALUE"""),45498.66666666667)</f>
        <v>45498.66667</v>
      </c>
      <c r="O1368" s="20"/>
      <c r="P1368" s="29" t="str">
        <f>IFERROR(__xludf.DUMMYFUNCTION("""COMPUTED_VALUE"""),"可")</f>
        <v>可</v>
      </c>
      <c r="Q1368" s="30" t="str">
        <f>IFERROR(__xludf.DUMMYFUNCTION("""COMPUTED_VALUE"""),"河上さんへ事前コミット済みの作品です。")</f>
        <v>河上さんへ事前コミット済みの作品です。</v>
      </c>
      <c r="R1368" s="22"/>
      <c r="S1368" s="22" t="str">
        <f>IFERROR(__xludf.DUMMYFUNCTION("""COMPUTED_VALUE"""),"20240329_BookLive_陰キャ彼氏の良くんは私のことを悦ばせたい")</f>
        <v>20240329_BookLive_陰キャ彼氏の良くんは私のことを悦ばせたい</v>
      </c>
      <c r="T1368" s="22" t="str">
        <f>IFERROR(__xludf.DUMMYFUNCTION("""COMPUTED_VALUE"""),"格納済み")</f>
        <v>格納済み</v>
      </c>
      <c r="U1368" s="15" t="str">
        <f>IFERROR(__xludf.DUMMYFUNCTION("""COMPUTED_VALUE"""),"Ⓒぽちたろ/THE猥談/ブリック出版")</f>
        <v>Ⓒぽちたろ/THE猥談/ブリック出版</v>
      </c>
      <c r="V1368" s="8" t="str">
        <f>IFERROR(__xludf.DUMMYFUNCTION("""COMPUTED_VALUE"""),"進学と共に田舎から上京した私の彼氏は見た目はかっこいいのに、「ド陰キャ」くんだった。
1人でカフェの注文もできない。
私の友達が話しかけても、うまく話せない。
それなのに私の前でだけはおしゃべりになるこの特別感がたまらない。
浮気の心配もない。陰キャ、最高。
でももう少し、セックスの時に攻めてくれたら……なんてM体質の私は思ってた。
ある日、その本音が彼にバレてしまう。
絶対引かれた、と思っていたけど……
「してみます?」
「く…咥えろよ　とかですか」
最初は、恥ずかしそうに顔を赤くし"&amp;"ながら攻めていたのに
段々と彼の目の色が変わってく。
彼の、隠れたSを開花させてしまった。
普段はあんなに大人しいのに。カフェも1人で入れないのに。
身体を重ねるたびに、さらに私好みになっていってー……。
※本作はぽちたろ、THE猥談の個人誌作品の電子書籍版となります。【24ページ】")</f>
        <v>進学と共に田舎から上京した私の彼氏は見た目はかっこいいのに、「ド陰キャ」くんだった。
1人でカフェの注文もできない。
私の友達が話しかけても、うまく話せない。
それなのに私の前でだけはおしゃべりになるこの特別感がたまらない。
浮気の心配もない。陰キャ、最高。
でももう少し、セックスの時に攻めてくれたら……なんてM体質の私は思ってた。
ある日、その本音が彼にバレてしまう。
絶対引かれた、と思っていたけど……
「してみます?」
「く…咥えろよ　とかですか」
最初は、恥ずかしそうに顔を赤くしながら攻めていたのに
段々と彼の目の色が変わってく。
彼の、隠れたSを開花させてしまった。
普段はあんなに大人しいのに。カフェも1人で入れないのに。
身体を重ねるたびに、さらに私好みになっていってー……。
※本作はぽちたろ、THE猥談の個人誌作品の電子書籍版となります。【24ページ】</v>
      </c>
      <c r="W1368" s="14"/>
      <c r="X1368" s="14" t="str">
        <f>IFERROR(__xludf.DUMMYFUNCTION("""COMPUTED_VALUE"""),"有")</f>
        <v>有</v>
      </c>
      <c r="Y1368" s="8" t="str">
        <f>IFERROR(__xludf.DUMMYFUNCTION("""COMPUTED_VALUE"""),"P12まで")</f>
        <v>P12まで</v>
      </c>
      <c r="Z1368" s="7"/>
      <c r="AA1368" s="7"/>
      <c r="AB1368" s="7"/>
    </row>
    <row r="1369" ht="15.75" customHeight="1">
      <c r="A1369" s="26">
        <f>IFERROR(__xludf.DUMMYFUNCTION("""COMPUTED_VALUE"""),3214.0)</f>
        <v>3214</v>
      </c>
      <c r="B1369" s="22" t="str">
        <f>IFERROR(__xludf.DUMMYFUNCTION("""COMPUTED_VALUE"""),"確定")</f>
        <v>確定</v>
      </c>
      <c r="C1369" s="28">
        <f>IFERROR(__xludf.DUMMYFUNCTION("""COMPUTED_VALUE"""),45380.0)</f>
        <v>45380</v>
      </c>
      <c r="D1369" s="28">
        <f>IFERROR(__xludf.DUMMYFUNCTION("""COMPUTED_VALUE"""),45384.0)</f>
        <v>45384</v>
      </c>
      <c r="E1369" s="31">
        <f>IFERROR(__xludf.DUMMYFUNCTION("""COMPUTED_VALUE"""),291277.0)</f>
        <v>291277</v>
      </c>
      <c r="F1369" s="22" t="str">
        <f>IFERROR(__xludf.DUMMYFUNCTION("""COMPUTED_VALUE"""),"陰キャ彼氏の良くんは私のことを悦ばせたい【R版】")</f>
        <v>陰キャ彼氏の良くんは私のことを悦ばせたい【R版】</v>
      </c>
      <c r="G1369" s="20" t="str">
        <f>IFERROR(__xludf.DUMMYFUNCTION("""COMPUTED_VALUE"""),"1～3")</f>
        <v>1～3</v>
      </c>
      <c r="H1369" s="22" t="str">
        <f>IFERROR(__xludf.DUMMYFUNCTION("""COMPUTED_VALUE"""),"ぽちたろ┴THE猥談")</f>
        <v>ぽちたろ┴THE猥談</v>
      </c>
      <c r="I1369" s="22" t="str">
        <f>IFERROR(__xludf.DUMMYFUNCTION("""COMPUTED_VALUE"""),"オトナ")</f>
        <v>オトナ</v>
      </c>
      <c r="J1369" s="22"/>
      <c r="K1369" s="22"/>
      <c r="L1369" s="22" t="str">
        <f>IFERROR(__xludf.DUMMYFUNCTION("""COMPUTED_VALUE"""),"ブリック出版")</f>
        <v>ブリック出版</v>
      </c>
      <c r="M1369" s="23">
        <f>IFERROR(__xludf.DUMMYFUNCTION("""COMPUTED_VALUE"""),45408.0)</f>
        <v>45408</v>
      </c>
      <c r="N1369" s="23">
        <f>IFERROR(__xludf.DUMMYFUNCTION("""COMPUTED_VALUE"""),45498.66666666667)</f>
        <v>45498.66667</v>
      </c>
      <c r="O1369" s="20"/>
      <c r="P1369" s="29" t="str">
        <f>IFERROR(__xludf.DUMMYFUNCTION("""COMPUTED_VALUE"""),"可")</f>
        <v>可</v>
      </c>
      <c r="Q1369" s="30" t="str">
        <f>IFERROR(__xludf.DUMMYFUNCTION("""COMPUTED_VALUE"""),"河上さんへ事前コミット済みの作品です。")</f>
        <v>河上さんへ事前コミット済みの作品です。</v>
      </c>
      <c r="R1369" s="22"/>
      <c r="S1369" s="22" t="str">
        <f>IFERROR(__xludf.DUMMYFUNCTION("""COMPUTED_VALUE"""),"20240329_BookLive_陰キャ彼氏の良くんは私のことを悦ばせたい【R版】")</f>
        <v>20240329_BookLive_陰キャ彼氏の良くんは私のことを悦ばせたい【R版】</v>
      </c>
      <c r="T1369" s="22" t="str">
        <f>IFERROR(__xludf.DUMMYFUNCTION("""COMPUTED_VALUE"""),"格納済み")</f>
        <v>格納済み</v>
      </c>
      <c r="U1369" s="15" t="str">
        <f>IFERROR(__xludf.DUMMYFUNCTION("""COMPUTED_VALUE"""),"Ⓒぽちたろ/THE猥談/ブリック出版")</f>
        <v>Ⓒぽちたろ/THE猥談/ブリック出版</v>
      </c>
      <c r="V1369" s="8" t="str">
        <f>IFERROR(__xludf.DUMMYFUNCTION("""COMPUTED_VALUE"""),"進学と共に田舎から上京した私の彼氏は見た目はかっこいいのに、「ド陰キャ」くんだった。
1人でカフェの注文もできない。
私の友達が話しかけても、うまく話せない。
それなのに私の前でだけはおしゃべりになるこの特別感がたまらない。
浮気の心配もない。陰キャ、最高。
でももう少し、セックスの時に攻めてくれたら……なんてM体質の私は思ってた。
ある日、その本音が彼にバレてしまう。
絶対引かれた、と思っていたけど……
「してみます?」
「く…咥えろよ　とかですか」
最初は、恥ずかしそうに顔を赤くし"&amp;"ながら攻めていたのに
段々と彼の目の色が変わってく。
彼の、隠れたSを開花させてしまった。
普段はあんなに大人しいのに。カフェも1人で入れないのに。
身体を重ねるたびに、さらに私好みになっていってー……。
本作は『陰キャ彼氏の良くんは私のことを悦ばせたい』の修正をやや弱めたものです。内容に差異はありません。
※本作はぽちたろ、THE猥談の個人誌作品の電子書籍版となります。【24ページ】")</f>
        <v>進学と共に田舎から上京した私の彼氏は見た目はかっこいいのに、「ド陰キャ」くんだった。
1人でカフェの注文もできない。
私の友達が話しかけても、うまく話せない。
それなのに私の前でだけはおしゃべりになるこの特別感がたまらない。
浮気の心配もない。陰キャ、最高。
でももう少し、セックスの時に攻めてくれたら……なんてM体質の私は思ってた。
ある日、その本音が彼にバレてしまう。
絶対引かれた、と思っていたけど……
「してみます?」
「く…咥えろよ　とかですか」
最初は、恥ずかしそうに顔を赤くしながら攻めていたのに
段々と彼の目の色が変わってく。
彼の、隠れたSを開花させてしまった。
普段はあんなに大人しいのに。カフェも1人で入れないのに。
身体を重ねるたびに、さらに私好みになっていってー……。
本作は『陰キャ彼氏の良くんは私のことを悦ばせたい』の修正をやや弱めたものです。内容に差異はありません。
※本作はぽちたろ、THE猥談の個人誌作品の電子書籍版となります。【24ページ】</v>
      </c>
      <c r="W1369" s="14"/>
      <c r="X1369" s="14" t="str">
        <f>IFERROR(__xludf.DUMMYFUNCTION("""COMPUTED_VALUE"""),"有")</f>
        <v>有</v>
      </c>
      <c r="Y1369" s="8" t="str">
        <f>IFERROR(__xludf.DUMMYFUNCTION("""COMPUTED_VALUE"""),"P12まで")</f>
        <v>P12まで</v>
      </c>
      <c r="Z1369" s="7"/>
      <c r="AA1369" s="7"/>
      <c r="AB1369" s="7"/>
    </row>
    <row r="1370" ht="15.75" customHeight="1">
      <c r="A1370" s="26">
        <f>IFERROR(__xludf.DUMMYFUNCTION("""COMPUTED_VALUE"""),3215.0)</f>
        <v>3215</v>
      </c>
      <c r="B1370" s="22" t="str">
        <f>IFERROR(__xludf.DUMMYFUNCTION("""COMPUTED_VALUE"""),"確定")</f>
        <v>確定</v>
      </c>
      <c r="C1370" s="28">
        <f>IFERROR(__xludf.DUMMYFUNCTION("""COMPUTED_VALUE"""),45380.0)</f>
        <v>45380</v>
      </c>
      <c r="D1370" s="28">
        <f>IFERROR(__xludf.DUMMYFUNCTION("""COMPUTED_VALUE"""),45384.0)</f>
        <v>45384</v>
      </c>
      <c r="E1370" s="31">
        <f>IFERROR(__xludf.DUMMYFUNCTION("""COMPUTED_VALUE"""),293242.0)</f>
        <v>293242</v>
      </c>
      <c r="F1370" s="22" t="str">
        <f>IFERROR(__xludf.DUMMYFUNCTION("""COMPUTED_VALUE"""),"愛が重すぎる小谷くんは、絶対に彼女を逃さない")</f>
        <v>愛が重すぎる小谷くんは、絶対に彼女を逃さない</v>
      </c>
      <c r="G1370" s="11" t="str">
        <f>IFERROR(__xludf.DUMMYFUNCTION("""COMPUTED_VALUE"""),"1～4")</f>
        <v>1～4</v>
      </c>
      <c r="H1370" s="22" t="str">
        <f>IFERROR(__xludf.DUMMYFUNCTION("""COMPUTED_VALUE"""),"タチバナ")</f>
        <v>タチバナ</v>
      </c>
      <c r="I1370" s="22" t="str">
        <f>IFERROR(__xludf.DUMMYFUNCTION("""COMPUTED_VALUE"""),"女性")</f>
        <v>女性</v>
      </c>
      <c r="J1370" s="22"/>
      <c r="K1370" s="22"/>
      <c r="L1370" s="22" t="str">
        <f>IFERROR(__xludf.DUMMYFUNCTION("""COMPUTED_VALUE"""),"リブレ")</f>
        <v>リブレ</v>
      </c>
      <c r="M1370" s="23">
        <f>IFERROR(__xludf.DUMMYFUNCTION("""COMPUTED_VALUE"""),45442.0)</f>
        <v>45442</v>
      </c>
      <c r="N1370" s="47">
        <f>IFERROR(__xludf.DUMMYFUNCTION("""COMPUTED_VALUE"""),45532.0)</f>
        <v>45532</v>
      </c>
      <c r="O1370" s="20"/>
      <c r="P1370" s="29" t="str">
        <f>IFERROR(__xludf.DUMMYFUNCTION("""COMPUTED_VALUE"""),"否")</f>
        <v>否</v>
      </c>
      <c r="Q1370" s="30" t="str">
        <f>IFERROR(__xludf.DUMMYFUNCTION("""COMPUTED_VALUE"""),"協業レーベル『バニラブ×シーモア』作品です。")</f>
        <v>協業レーベル『バニラブ×シーモア』作品です。</v>
      </c>
      <c r="R1370" s="22"/>
      <c r="S1370" s="22" t="str">
        <f>IFERROR(__xludf.DUMMYFUNCTION("""COMPUTED_VALUE"""),"20240329_リブレ_愛が重すぎる小谷くんは、絶対に彼女を逃さない")</f>
        <v>20240329_リブレ_愛が重すぎる小谷くんは、絶対に彼女を逃さない</v>
      </c>
      <c r="T1370" s="22" t="str">
        <f>IFERROR(__xludf.DUMMYFUNCTION("""COMPUTED_VALUE"""),"格納済み")</f>
        <v>格納済み</v>
      </c>
      <c r="U1370" s="15" t="str">
        <f>IFERROR(__xludf.DUMMYFUNCTION("""COMPUTED_VALUE"""),"(C)タチバナ/libre")</f>
        <v>(C)タチバナ/libre</v>
      </c>
      <c r="V1370" s="8" t="str">
        <f>IFERROR(__xludf.DUMMYFUNCTION("""COMPUTED_VALUE"""),"「高原に、俺を絶対に好きになってもらう」
年齢＝彼氏無し歴の高原みかこ（27）の日々の癒しは、少女漫画でときめくこと。
でも、恋愛にも憧れて…。
イケメン同期・小谷に悩みを打ち明けると「男に慣れるために、試しに俺が付き合ってやろうか？」と提案を受ける。
“お試し彼女体験ね”と思い込んでOKしたみかこだけど、実は小谷は、みかこに3年強も爆裂片思い中の身だったのだ。
みかこを好きすぎて、絶対に逃さない、と小谷はあの手この手で外堀を埋め始める。
重～い☆愛がみかこに通じるのはいつ!?　両片思いから両"&amp;"想いへ…ラブ！
※本書は「バニラブvol.50」に収録されております。")</f>
        <v>「高原に、俺を絶対に好きになってもらう」
年齢＝彼氏無し歴の高原みかこ（27）の日々の癒しは、少女漫画でときめくこと。
でも、恋愛にも憧れて…。
イケメン同期・小谷に悩みを打ち明けると「男に慣れるために、試しに俺が付き合ってやろうか？」と提案を受ける。
“お試し彼女体験ね”と思い込んでOKしたみかこだけど、実は小谷は、みかこに3年強も爆裂片思い中の身だったのだ。
みかこを好きすぎて、絶対に逃さない、と小谷はあの手この手で外堀を埋め始める。
重～い☆愛がみかこに通じるのはいつ!?　両片思いから両想いへ…ラブ！
※本書は「バニラブvol.50」に収録されております。</v>
      </c>
      <c r="W1370" s="14"/>
      <c r="X1370" s="14" t="str">
        <f>IFERROR(__xludf.DUMMYFUNCTION("""COMPUTED_VALUE"""),"有")</f>
        <v>有</v>
      </c>
      <c r="Y1370" s="8" t="str">
        <f>IFERROR(__xludf.DUMMYFUNCTION("""COMPUTED_VALUE"""),"2024/6/15まで1巻無料")</f>
        <v>2024/6/15まで1巻無料</v>
      </c>
      <c r="Z1370" s="7"/>
      <c r="AA1370" s="7"/>
      <c r="AB1370" s="7"/>
    </row>
    <row r="1371" ht="15.75" customHeight="1">
      <c r="A1371" s="26">
        <f>IFERROR(__xludf.DUMMYFUNCTION("""COMPUTED_VALUE"""),3221.0)</f>
        <v>3221</v>
      </c>
      <c r="B1371" s="22" t="str">
        <f>IFERROR(__xludf.DUMMYFUNCTION("""COMPUTED_VALUE"""),"確定")</f>
        <v>確定</v>
      </c>
      <c r="C1371" s="28">
        <f>IFERROR(__xludf.DUMMYFUNCTION("""COMPUTED_VALUE"""),45383.0)</f>
        <v>45383</v>
      </c>
      <c r="D1371" s="28">
        <f>IFERROR(__xludf.DUMMYFUNCTION("""COMPUTED_VALUE"""),45384.0)</f>
        <v>45384</v>
      </c>
      <c r="E1371" s="31">
        <f>IFERROR(__xludf.DUMMYFUNCTION("""COMPUTED_VALUE"""),292062.0)</f>
        <v>292062</v>
      </c>
      <c r="F1371" s="22" t="str">
        <f>IFERROR(__xludf.DUMMYFUNCTION("""COMPUTED_VALUE"""),"たわわな誘惑")</f>
        <v>たわわな誘惑</v>
      </c>
      <c r="G1371" s="11" t="str">
        <f>IFERROR(__xludf.DUMMYFUNCTION("""COMPUTED_VALUE"""),"1～4")</f>
        <v>1～4</v>
      </c>
      <c r="H1371" s="22" t="str">
        <f>IFERROR(__xludf.DUMMYFUNCTION("""COMPUTED_VALUE"""),"SkeletonChaku")</f>
        <v>SkeletonChaku</v>
      </c>
      <c r="I1371" s="22" t="str">
        <f>IFERROR(__xludf.DUMMYFUNCTION("""COMPUTED_VALUE"""),"青年")</f>
        <v>青年</v>
      </c>
      <c r="J1371" s="22"/>
      <c r="K1371" s="22"/>
      <c r="L1371" s="22" t="str">
        <f>IFERROR(__xludf.DUMMYFUNCTION("""COMPUTED_VALUE"""),"Rush!")</f>
        <v>Rush!</v>
      </c>
      <c r="M1371" s="23">
        <f>IFERROR(__xludf.DUMMYFUNCTION("""COMPUTED_VALUE"""),45422.0)</f>
        <v>45422</v>
      </c>
      <c r="N1371" s="23">
        <f>IFERROR(__xludf.DUMMYFUNCTION("""COMPUTED_VALUE"""),45512.0)</f>
        <v>45512</v>
      </c>
      <c r="O1371" s="20"/>
      <c r="P1371" s="29" t="str">
        <f>IFERROR(__xludf.DUMMYFUNCTION("""COMPUTED_VALUE"""),"可")</f>
        <v>可</v>
      </c>
      <c r="Q1371" s="30" t="str">
        <f>IFERROR(__xludf.DUMMYFUNCTION("""COMPUTED_VALUE"""),"協業レーベル『シーモア×Rush!』作品です")</f>
        <v>協業レーベル『シーモア×Rush!』作品です</v>
      </c>
      <c r="R1371" s="22"/>
      <c r="S1371" s="22" t="str">
        <f>IFERROR(__xludf.DUMMYFUNCTION("""COMPUTED_VALUE"""),"20240401_ファンギルド_たわわな誘惑")</f>
        <v>20240401_ファンギルド_たわわな誘惑</v>
      </c>
      <c r="T1371" s="22" t="str">
        <f>IFERROR(__xludf.DUMMYFUNCTION("""COMPUTED_VALUE"""),"格納済み")</f>
        <v>格納済み</v>
      </c>
      <c r="U1371" s="15" t="str">
        <f>IFERROR(__xludf.DUMMYFUNCTION("""COMPUTED_VALUE"""),"©SkeletonChaku/wilsson /TOPTOON")</f>
        <v>©SkeletonChaku/wilsson /TOPTOON</v>
      </c>
      <c r="V1371" s="8" t="str">
        <f>IFERROR(__xludf.DUMMYFUNCTION("""COMPUTED_VALUE"""),"安月給・鬼残業・上司からのいびりという三重苦を抱える、いたって平凡なサラリーマン・平井純也。そんな純也のもとに、父と叔父からとある一つの頼み事が。――子供を預かってほしい、と。根の優しい純也は断る事も出来ず、待ち合わせ先に行くと…待っていたのはたわわに実った果実を携えたとんでもない美女二人！？突如としてはじまる、9畳ワンルームでの美女二人とのハーレム共同生活。男の夢とロマンと妄想が詰まった生活で、日夜襲い掛かって来る危険な誘惑に純也は――。")</f>
        <v>安月給・鬼残業・上司からのいびりという三重苦を抱える、いたって平凡なサラリーマン・平井純也。そんな純也のもとに、父と叔父からとある一つの頼み事が。――子供を預かってほしい、と。根の優しい純也は断る事も出来ず、待ち合わせ先に行くと…待っていたのはたわわに実った果実を携えたとんでもない美女二人！？突如としてはじまる、9畳ワンルームでの美女二人とのハーレム共同生活。男の夢とロマンと妄想が詰まった生活で、日夜襲い掛かって来る危険な誘惑に純也は――。</v>
      </c>
      <c r="W1371" s="14"/>
      <c r="X1371" s="14" t="str">
        <f>IFERROR(__xludf.DUMMYFUNCTION("""COMPUTED_VALUE"""),"有")</f>
        <v>有</v>
      </c>
      <c r="Y1371" s="8" t="str">
        <f>IFERROR(__xludf.DUMMYFUNCTION("""COMPUTED_VALUE"""),"P17まで")</f>
        <v>P17まで</v>
      </c>
      <c r="Z1371" s="7"/>
      <c r="AA1371" s="7"/>
      <c r="AB1371" s="7"/>
    </row>
    <row r="1372" ht="15.75" customHeight="1">
      <c r="A1372" s="26">
        <f>IFERROR(__xludf.DUMMYFUNCTION("""COMPUTED_VALUE"""),3222.0)</f>
        <v>3222</v>
      </c>
      <c r="B1372" s="22" t="str">
        <f>IFERROR(__xludf.DUMMYFUNCTION("""COMPUTED_VALUE"""),"確定")</f>
        <v>確定</v>
      </c>
      <c r="C1372" s="28">
        <f>IFERROR(__xludf.DUMMYFUNCTION("""COMPUTED_VALUE"""),45383.0)</f>
        <v>45383</v>
      </c>
      <c r="D1372" s="28">
        <f>IFERROR(__xludf.DUMMYFUNCTION("""COMPUTED_VALUE"""),45384.0)</f>
        <v>45384</v>
      </c>
      <c r="E1372" s="31">
        <f>IFERROR(__xludf.DUMMYFUNCTION("""COMPUTED_VALUE"""),291467.0)</f>
        <v>291467</v>
      </c>
      <c r="F1372" s="22" t="str">
        <f>IFERROR(__xludf.DUMMYFUNCTION("""COMPUTED_VALUE"""),"偽装婚約を、苦手な君と。")</f>
        <v>偽装婚約を、苦手な君と。</v>
      </c>
      <c r="G1372" s="11" t="str">
        <f>IFERROR(__xludf.DUMMYFUNCTION("""COMPUTED_VALUE"""),"1～4")</f>
        <v>1～4</v>
      </c>
      <c r="H1372" s="22" t="str">
        <f>IFERROR(__xludf.DUMMYFUNCTION("""COMPUTED_VALUE"""),"月島ミホ")</f>
        <v>月島ミホ</v>
      </c>
      <c r="I1372" s="22" t="str">
        <f>IFERROR(__xludf.DUMMYFUNCTION("""COMPUTED_VALUE"""),"女性")</f>
        <v>女性</v>
      </c>
      <c r="J1372" s="22"/>
      <c r="K1372" s="22"/>
      <c r="L1372" s="22" t="str">
        <f>IFERROR(__xludf.DUMMYFUNCTION("""COMPUTED_VALUE"""),"ファンギルド")</f>
        <v>ファンギルド</v>
      </c>
      <c r="M1372" s="23">
        <f>IFERROR(__xludf.DUMMYFUNCTION("""COMPUTED_VALUE"""),45420.0)</f>
        <v>45420</v>
      </c>
      <c r="N1372" s="23">
        <f>IFERROR(__xludf.DUMMYFUNCTION("""COMPUTED_VALUE"""),45454.0)</f>
        <v>45454</v>
      </c>
      <c r="O1372" s="20"/>
      <c r="P1372" s="32" t="str">
        <f>IFERROR(__xludf.DUMMYFUNCTION("""COMPUTED_VALUE"""),"可")</f>
        <v>可</v>
      </c>
      <c r="Q1372" s="30"/>
      <c r="R1372" s="22"/>
      <c r="S1372" s="22" t="str">
        <f>IFERROR(__xludf.DUMMYFUNCTION("""COMPUTED_VALUE"""),"20240401_ファンギルド_偽装婚約を苦手な君と。")</f>
        <v>20240401_ファンギルド_偽装婚約を苦手な君と。</v>
      </c>
      <c r="T1372" s="22" t="str">
        <f>IFERROR(__xludf.DUMMYFUNCTION("""COMPUTED_VALUE"""),"格納済み")</f>
        <v>格納済み</v>
      </c>
      <c r="U1372" s="15" t="str">
        <f>IFERROR(__xludf.DUMMYFUNCTION("""COMPUTED_VALUE"""),"©月島ミホ／ファンギルド")</f>
        <v>©月島ミホ／ファンギルド</v>
      </c>
      <c r="V1372" s="8" t="str">
        <f>IFERROR(__xludf.DUMMYFUNCTION("""COMPUTED_VALUE"""),"家族から虐げられ、職場でも邪険に扱われたりと苦痛の日々を過ごす水野七海。そんな中、唯一会社で彼女を気に掛ける同期の営業部エース風沢寛人。彼は、彼女とは正反対の明るく太陽のような男。ある日、家族の強欲さにより中年の富豪男と政略結婚させられそうになる七海。そんな時、同期の風沢から提案で、「じゃあさ。俺が水野の結婚相手になるよ。」ふたりだけの期間限定、『偽装婚約』が始まる――")</f>
        <v>家族から虐げられ、職場でも邪険に扱われたりと苦痛の日々を過ごす水野七海。そんな中、唯一会社で彼女を気に掛ける同期の営業部エース風沢寛人。彼は、彼女とは正反対の明るく太陽のような男。ある日、家族の強欲さにより中年の富豪男と政略結婚させられそうになる七海。そんな時、同期の風沢から提案で、「じゃあさ。俺が水野の結婚相手になるよ。」ふたりだけの期間限定、『偽装婚約』が始まる――</v>
      </c>
      <c r="W1372" s="14"/>
      <c r="X1372" s="14" t="str">
        <f>IFERROR(__xludf.DUMMYFUNCTION("""COMPUTED_VALUE"""),"有")</f>
        <v>有</v>
      </c>
      <c r="Y1372" s="8" t="str">
        <f>IFERROR(__xludf.DUMMYFUNCTION("""COMPUTED_VALUE"""),"2024/5/21まで1巻無料")</f>
        <v>2024/5/21まで1巻無料</v>
      </c>
      <c r="Z1372" s="7"/>
      <c r="AA1372" s="7"/>
      <c r="AB1372" s="7"/>
    </row>
    <row r="1373" ht="15.75" customHeight="1">
      <c r="A1373" s="26">
        <f>IFERROR(__xludf.DUMMYFUNCTION("""COMPUTED_VALUE"""),3226.0)</f>
        <v>3226</v>
      </c>
      <c r="B1373" s="22" t="str">
        <f>IFERROR(__xludf.DUMMYFUNCTION("""COMPUTED_VALUE"""),"確定")</f>
        <v>確定</v>
      </c>
      <c r="C1373" s="28">
        <f>IFERROR(__xludf.DUMMYFUNCTION("""COMPUTED_VALUE"""),45383.0)</f>
        <v>45383</v>
      </c>
      <c r="D1373" s="28">
        <f>IFERROR(__xludf.DUMMYFUNCTION("""COMPUTED_VALUE"""),45384.0)</f>
        <v>45384</v>
      </c>
      <c r="E1373" s="31">
        <f>IFERROR(__xludf.DUMMYFUNCTION("""COMPUTED_VALUE"""),290946.0)</f>
        <v>290946</v>
      </c>
      <c r="F1373" s="22" t="str">
        <f>IFERROR(__xludf.DUMMYFUNCTION("""COMPUTED_VALUE"""),"使い捨て王女は死神公爵の花嫁になりました")</f>
        <v>使い捨て王女は死神公爵の花嫁になりました</v>
      </c>
      <c r="G1373" s="20" t="str">
        <f>IFERROR(__xludf.DUMMYFUNCTION("""COMPUTED_VALUE"""),"1～5")</f>
        <v>1～5</v>
      </c>
      <c r="H1373" s="22" t="str">
        <f>IFERROR(__xludf.DUMMYFUNCTION("""COMPUTED_VALUE"""),"原作／遊野煌 作画／もものもと ネーム・構成／JONA WORKS")</f>
        <v>原作／遊野煌 作画／もものもと ネーム・構成／JONA WORKS</v>
      </c>
      <c r="I1373" s="46" t="str">
        <f>IFERROR(__xludf.DUMMYFUNCTION("""COMPUTED_VALUE"""),"少女")</f>
        <v>少女</v>
      </c>
      <c r="J1373" s="22"/>
      <c r="K1373" s="22"/>
      <c r="L1373" s="22" t="str">
        <f>IFERROR(__xludf.DUMMYFUNCTION("""COMPUTED_VALUE"""),"taskey")</f>
        <v>taskey</v>
      </c>
      <c r="M1373" s="23">
        <f>IFERROR(__xludf.DUMMYFUNCTION("""COMPUTED_VALUE"""),45406.0)</f>
        <v>45406</v>
      </c>
      <c r="N1373" s="23">
        <f>IFERROR(__xludf.DUMMYFUNCTION("""COMPUTED_VALUE"""),45497.0)</f>
        <v>45497</v>
      </c>
      <c r="O1373" s="20"/>
      <c r="P1373" s="29" t="str">
        <f>IFERROR(__xludf.DUMMYFUNCTION("""COMPUTED_VALUE"""),"可")</f>
        <v>可</v>
      </c>
      <c r="Q1373" s="30" t="str">
        <f>IFERROR(__xludf.DUMMYFUNCTION("""COMPUTED_VALUE"""),"協業comicフローリア")</f>
        <v>協業comicフローリア</v>
      </c>
      <c r="R1373" s="22"/>
      <c r="S1373" s="22" t="str">
        <f>IFERROR(__xludf.DUMMYFUNCTION("""COMPUTED_VALUE"""),"20240401_taskey_協業使い捨て王女は死神公爵の花嫁になりました")</f>
        <v>20240401_taskey_協業使い捨て王女は死神公爵の花嫁になりました</v>
      </c>
      <c r="T1373" s="22" t="str">
        <f>IFERROR(__xludf.DUMMYFUNCTION("""COMPUTED_VALUE"""),"格納済み")</f>
        <v>格納済み</v>
      </c>
      <c r="U1373" s="15" t="str">
        <f>IFERROR(__xludf.DUMMYFUNCTION("""COMPUTED_VALUE"""),"©︎taskey 原作／遊野煌 作画／もものもと ネーム・構成／JONA WORKS")</f>
        <v>©︎taskey 原作／遊野煌 作画／もものもと ネーム・構成／JONA WORKS</v>
      </c>
      <c r="V1373" s="8" t="str">
        <f>IFERROR(__xludf.DUMMYFUNCTION("""COMPUTED_VALUE"""),"幼い頃、赤い涙を流したことで”穢れた子”として虐げられてきたクレア。存在すら亡きものとされ、外出を許されるのは双子の妹である王女の「影武者」を演じる時だけ。妹の代わりに表舞台に立ち、常に命を狙われる日々。そんなある日、冷酷な暗殺者が現れ、王女を演じるクレアを殺そうとするが……！？　「ようやく会えた…俺の運命の花嫁」。暗殺から始まる危険なカレとのロマンスファンタジー、待望のコミカライズ化！！")</f>
        <v>幼い頃、赤い涙を流したことで”穢れた子”として虐げられてきたクレア。存在すら亡きものとされ、外出を許されるのは双子の妹である王女の「影武者」を演じる時だけ。妹の代わりに表舞台に立ち、常に命を狙われる日々。そんなある日、冷酷な暗殺者が現れ、王女を演じるクレアを殺そうとするが……！？　「ようやく会えた…俺の運命の花嫁」。暗殺から始まる危険なカレとのロマンスファンタジー、待望のコミカライズ化！！</v>
      </c>
      <c r="W1373" s="14"/>
      <c r="X1373" s="14" t="str">
        <f>IFERROR(__xludf.DUMMYFUNCTION("""COMPUTED_VALUE"""),"有")</f>
        <v>有</v>
      </c>
      <c r="Y1373" s="8" t="str">
        <f>IFERROR(__xludf.DUMMYFUNCTION("""COMPUTED_VALUE"""),"2024/7/24まで1巻無料")</f>
        <v>2024/7/24まで1巻無料</v>
      </c>
      <c r="Z1373" s="7"/>
      <c r="AA1373" s="7"/>
      <c r="AB1373" s="7"/>
    </row>
    <row r="1374" ht="120.75" customHeight="1">
      <c r="A1374" s="26">
        <f>IFERROR(__xludf.DUMMYFUNCTION("""COMPUTED_VALUE"""),3227.0)</f>
        <v>3227</v>
      </c>
      <c r="B1374" s="22" t="str">
        <f>IFERROR(__xludf.DUMMYFUNCTION("""COMPUTED_VALUE"""),"確定")</f>
        <v>確定</v>
      </c>
      <c r="C1374" s="28">
        <f>IFERROR(__xludf.DUMMYFUNCTION("""COMPUTED_VALUE"""),45383.0)</f>
        <v>45383</v>
      </c>
      <c r="D1374" s="28">
        <f>IFERROR(__xludf.DUMMYFUNCTION("""COMPUTED_VALUE"""),45384.0)</f>
        <v>45384</v>
      </c>
      <c r="E1374" s="31">
        <f>IFERROR(__xludf.DUMMYFUNCTION("""COMPUTED_VALUE"""),290304.0)</f>
        <v>290304</v>
      </c>
      <c r="F1374" s="22" t="str">
        <f>IFERROR(__xludf.DUMMYFUNCTION("""COMPUTED_VALUE"""),"最強ヒモ男に愛されまして")</f>
        <v>最強ヒモ男に愛されまして</v>
      </c>
      <c r="G1374" s="11" t="str">
        <f>IFERROR(__xludf.DUMMYFUNCTION("""COMPUTED_VALUE"""),"1～4")</f>
        <v>1～4</v>
      </c>
      <c r="H1374" s="22" t="str">
        <f>IFERROR(__xludf.DUMMYFUNCTION("""COMPUTED_VALUE"""),"姫なっつん")</f>
        <v>姫なっつん</v>
      </c>
      <c r="I1374" s="22" t="str">
        <f>IFERROR(__xludf.DUMMYFUNCTION("""COMPUTED_VALUE"""),"女性")</f>
        <v>女性</v>
      </c>
      <c r="J1374" s="22"/>
      <c r="K1374" s="22"/>
      <c r="L1374" s="22" t="str">
        <f>IFERROR(__xludf.DUMMYFUNCTION("""COMPUTED_VALUE"""),"集英社")</f>
        <v>集英社</v>
      </c>
      <c r="M1374" s="23">
        <f>IFERROR(__xludf.DUMMYFUNCTION("""COMPUTED_VALUE"""),45407.0)</f>
        <v>45407</v>
      </c>
      <c r="N1374" s="23">
        <f>IFERROR(__xludf.DUMMYFUNCTION("""COMPUTED_VALUE"""),45437.0)</f>
        <v>45437</v>
      </c>
      <c r="O1374" s="20"/>
      <c r="P1374" s="29" t="str">
        <f>IFERROR(__xludf.DUMMYFUNCTION("""COMPUTED_VALUE"""),"否")</f>
        <v>否</v>
      </c>
      <c r="Q1374" s="30" t="str">
        <f>IFERROR(__xludf.DUMMYFUNCTION("""COMPUTED_VALUE"""),"マンガmee")</f>
        <v>マンガmee</v>
      </c>
      <c r="R1374" s="22"/>
      <c r="S1374" s="22" t="str">
        <f>IFERROR(__xludf.DUMMYFUNCTION("""COMPUTED_VALUE"""),"20240325_集英社_4月新作")</f>
        <v>20240325_集英社_4月新作</v>
      </c>
      <c r="T1374" s="22" t="str">
        <f>IFERROR(__xludf.DUMMYFUNCTION("""COMPUTED_VALUE"""),"格納済み")</f>
        <v>格納済み</v>
      </c>
      <c r="U1374" s="15" t="str">
        <f>IFERROR(__xludf.DUMMYFUNCTION("""COMPUTED_VALUE"""),"(C)姫なっつん／集英社")</f>
        <v>(C)姫なっつん／集英社</v>
      </c>
      <c r="V1374" s="8" t="str">
        <f>IFERROR(__xludf.DUMMYFUNCTION("""COMPUTED_VALUE"""),"崖っぷち婚活オンナVSニート年下ワンコの濃密ラブバトル！　長谷川理恵30歳と11か月。美貌で人生イージーモードできたはずが、気づけば仕事も恋愛もどん詰まり。いっそ綺麗なうちに死のう…と行った旅先で、陽太（ヒナタ）と一晩を過ごす。どうせ1日だけ…のはずが、陽太は長谷川さんを「運命の人」と言い出して…??　＜収録話＞第1話「顔だけで生きてきた」")</f>
        <v>崖っぷち婚活オンナVSニート年下ワンコの濃密ラブバトル！　長谷川理恵30歳と11か月。美貌で人生イージーモードできたはずが、気づけば仕事も恋愛もどん詰まり。いっそ綺麗なうちに死のう…と行った旅先で、陽太（ヒナタ）と一晩を過ごす。どうせ1日だけ…のはずが、陽太は長谷川さんを「運命の人」と言い出して…??　＜収録話＞第1話「顔だけで生きてきた」</v>
      </c>
      <c r="W1374" s="14"/>
      <c r="X1374" s="14" t="str">
        <f>IFERROR(__xludf.DUMMYFUNCTION("""COMPUTED_VALUE"""),"有")</f>
        <v>有</v>
      </c>
      <c r="Y1374" s="8" t="str">
        <f>IFERROR(__xludf.DUMMYFUNCTION("""COMPUTED_VALUE"""),"P25まで")</f>
        <v>P25まで</v>
      </c>
      <c r="Z1374" s="7"/>
      <c r="AA1374" s="7"/>
      <c r="AB1374" s="7"/>
    </row>
    <row r="1375" ht="15.75" customHeight="1">
      <c r="A1375" s="26">
        <f>IFERROR(__xludf.DUMMYFUNCTION("""COMPUTED_VALUE"""),3231.0)</f>
        <v>3231</v>
      </c>
      <c r="B1375" s="22" t="str">
        <f>IFERROR(__xludf.DUMMYFUNCTION("""COMPUTED_VALUE"""),"確定")</f>
        <v>確定</v>
      </c>
      <c r="C1375" s="28">
        <f>IFERROR(__xludf.DUMMYFUNCTION("""COMPUTED_VALUE"""),45384.0)</f>
        <v>45384</v>
      </c>
      <c r="D1375" s="28">
        <f>IFERROR(__xludf.DUMMYFUNCTION("""COMPUTED_VALUE"""),45384.0)</f>
        <v>45384</v>
      </c>
      <c r="E1375" s="26">
        <f>IFERROR(__xludf.DUMMYFUNCTION("""COMPUTED_VALUE"""),267244.0)</f>
        <v>267244</v>
      </c>
      <c r="F1375" s="22" t="str">
        <f>IFERROR(__xludf.DUMMYFUNCTION("""COMPUTED_VALUE"""),"男友達にHでイかされるって…なんのバグですか!?")</f>
        <v>男友達にHでイかされるって…なんのバグですか!?</v>
      </c>
      <c r="G1375" s="20" t="str">
        <f>IFERROR(__xludf.DUMMYFUNCTION("""COMPUTED_VALUE"""),"1～3")</f>
        <v>1～3</v>
      </c>
      <c r="H1375" s="22" t="str">
        <f>IFERROR(__xludf.DUMMYFUNCTION("""COMPUTED_VALUE"""),"益岡")</f>
        <v>益岡</v>
      </c>
      <c r="I1375" s="31" t="str">
        <f>IFERROR(__xludf.DUMMYFUNCTION("""COMPUTED_VALUE"""),"TL")</f>
        <v>TL</v>
      </c>
      <c r="J1375" s="22"/>
      <c r="K1375" s="22"/>
      <c r="L1375" s="22" t="str">
        <f>IFERROR(__xludf.DUMMYFUNCTION("""COMPUTED_VALUE"""),"ソルマーレ編集部")</f>
        <v>ソルマーレ編集部</v>
      </c>
      <c r="M1375" s="23">
        <f>IFERROR(__xludf.DUMMYFUNCTION("""COMPUTED_VALUE"""),45416.0)</f>
        <v>45416</v>
      </c>
      <c r="N1375" s="23">
        <f>IFERROR(__xludf.DUMMYFUNCTION("""COMPUTED_VALUE"""),45785.66666666667)</f>
        <v>45785.66667</v>
      </c>
      <c r="O1375" s="20"/>
      <c r="P1375" s="32" t="str">
        <f>IFERROR(__xludf.DUMMYFUNCTION("""COMPUTED_VALUE"""),"可")</f>
        <v>可</v>
      </c>
      <c r="Q1375" s="30"/>
      <c r="R1375" s="22"/>
      <c r="S1375" s="22" t="str">
        <f>IFERROR(__xludf.DUMMYFUNCTION("""COMPUTED_VALUE"""),"20240402_ソルマーレ編集部_男友達にHでイかされるって…なんのバグですか！？")</f>
        <v>20240402_ソルマーレ編集部_男友達にHでイかされるって…なんのバグですか！？</v>
      </c>
      <c r="T1375" s="22" t="str">
        <f>IFERROR(__xludf.DUMMYFUNCTION("""COMPUTED_VALUE"""),"格納済み")</f>
        <v>格納済み</v>
      </c>
      <c r="U1375" s="15" t="str">
        <f>IFERROR(__xludf.DUMMYFUNCTION("""COMPUTED_VALUE"""),"Ⓒ 益岡/シーモアコミックス")</f>
        <v>Ⓒ 益岡/シーモアコミックス</v>
      </c>
      <c r="V1375" s="8" t="str">
        <f>IFERROR(__xludf.DUMMYFUNCTION("""COMPUTED_VALUE"""),"…私たちは 普通の友達だった―――
マイとユータはゲーム友達。お互い気の置けない居心地のよさを感じていたが、ある日、ユータにお見合い話が舞いこむ。ユータの両親を安心させ、見合い話を断る口実に「恋人役」を買ってでるマイ。すると、仮の恋人同士として「いろいろと知っておいてもいいんじゃねーの？」とユータが豹変!? なんだかHな流れになっちゃって…!?【桃色日記】")</f>
        <v>…私たちは 普通の友達だった―――
マイとユータはゲーム友達。お互い気の置けない居心地のよさを感じていたが、ある日、ユータにお見合い話が舞いこむ。ユータの両親を安心させ、見合い話を断る口実に「恋人役」を買ってでるマイ。すると、仮の恋人同士として「いろいろと知っておいてもいいんじゃねーの？」とユータが豹変!? なんだかHな流れになっちゃって…!?【桃色日記】</v>
      </c>
      <c r="W1375" s="14"/>
      <c r="X1375" s="14" t="str">
        <f>IFERROR(__xludf.DUMMYFUNCTION("""COMPUTED_VALUE"""),"有")</f>
        <v>有</v>
      </c>
      <c r="Y1375" s="8" t="str">
        <f>IFERROR(__xludf.DUMMYFUNCTION("""COMPUTED_VALUE"""),"P12まで")</f>
        <v>P12まで</v>
      </c>
      <c r="Z1375" s="7"/>
      <c r="AA1375" s="7"/>
      <c r="AB1375" s="7"/>
    </row>
    <row r="1376" ht="15.75" customHeight="1">
      <c r="A1376" s="26">
        <f>IFERROR(__xludf.DUMMYFUNCTION("""COMPUTED_VALUE"""),3232.0)</f>
        <v>3232</v>
      </c>
      <c r="B1376" s="22" t="str">
        <f>IFERROR(__xludf.DUMMYFUNCTION("""COMPUTED_VALUE"""),"確定")</f>
        <v>確定</v>
      </c>
      <c r="C1376" s="28">
        <f>IFERROR(__xludf.DUMMYFUNCTION("""COMPUTED_VALUE"""),45384.0)</f>
        <v>45384</v>
      </c>
      <c r="D1376" s="28">
        <f>IFERROR(__xludf.DUMMYFUNCTION("""COMPUTED_VALUE"""),45384.0)</f>
        <v>45384</v>
      </c>
      <c r="E1376" s="26">
        <f>IFERROR(__xludf.DUMMYFUNCTION("""COMPUTED_VALUE"""),288152.0)</f>
        <v>288152</v>
      </c>
      <c r="F1376" s="22" t="str">
        <f>IFERROR(__xludf.DUMMYFUNCTION("""COMPUTED_VALUE"""),"双思慕相転移")</f>
        <v>双思慕相転移</v>
      </c>
      <c r="G1376" s="20">
        <f>IFERROR(__xludf.DUMMYFUNCTION("""COMPUTED_VALUE"""),1.0)</f>
        <v>1</v>
      </c>
      <c r="H1376" s="22" t="str">
        <f>IFERROR(__xludf.DUMMYFUNCTION("""COMPUTED_VALUE"""),"とのはち")</f>
        <v>とのはち</v>
      </c>
      <c r="I1376" s="22" t="str">
        <f>IFERROR(__xludf.DUMMYFUNCTION("""COMPUTED_VALUE"""),"少女")</f>
        <v>少女</v>
      </c>
      <c r="J1376" s="22"/>
      <c r="K1376" s="22"/>
      <c r="L1376" s="22" t="str">
        <f>IFERROR(__xludf.DUMMYFUNCTION("""COMPUTED_VALUE"""),"ソルマーレ編集部")</f>
        <v>ソルマーレ編集部</v>
      </c>
      <c r="M1376" s="23">
        <f>IFERROR(__xludf.DUMMYFUNCTION("""COMPUTED_VALUE"""),45416.0)</f>
        <v>45416</v>
      </c>
      <c r="N1376" s="23">
        <f>IFERROR(__xludf.DUMMYFUNCTION("""COMPUTED_VALUE"""),45477.0)</f>
        <v>45477</v>
      </c>
      <c r="O1376" s="20"/>
      <c r="P1376" s="29" t="str">
        <f>IFERROR(__xludf.DUMMYFUNCTION("""COMPUTED_VALUE"""),"可")</f>
        <v>可</v>
      </c>
      <c r="Q1376" s="30" t="str">
        <f>IFERROR(__xludf.DUMMYFUNCTION("""COMPUTED_VALUE"""),"※読み切り作品のため1巻のみですが出稿お願いします")</f>
        <v>※読み切り作品のため1巻のみですが出稿お願いします</v>
      </c>
      <c r="R1376" s="22"/>
      <c r="S1376" s="22" t="str">
        <f>IFERROR(__xludf.DUMMYFUNCTION("""COMPUTED_VALUE"""),"20240402_ソルマーレ編集部_双思慕相転移")</f>
        <v>20240402_ソルマーレ編集部_双思慕相転移</v>
      </c>
      <c r="T1376" s="22" t="str">
        <f>IFERROR(__xludf.DUMMYFUNCTION("""COMPUTED_VALUE"""),"格納済み")</f>
        <v>格納済み</v>
      </c>
      <c r="U1376" s="15" t="str">
        <f>IFERROR(__xludf.DUMMYFUNCTION("""COMPUTED_VALUE"""),"Ⓒ とのはち/シーモアコミックス")</f>
        <v>Ⓒ とのはち/シーモアコミックス</v>
      </c>
      <c r="V1376" s="8" t="str">
        <f>IFERROR(__xludf.DUMMYFUNCTION("""COMPUTED_VALUE"""),"終わった恋から始まる、雪降るすれちがい青春ラブ☆
女子高校生・阿東には悩みがある。それは、一度告白をしてフラれた同級生の咲崎と、発明同好会で顔を合わせるたびにモヤモヤすること！
告白をやり直したいと思ってしまう阿東とは対照的に、「過去になんか戻りたくない」とタイムマシンの開発に熱心な咲崎。恋心の終わらせ方ってどうするの…!?【恋するソワレ】")</f>
        <v>終わった恋から始まる、雪降るすれちがい青春ラブ☆
女子高校生・阿東には悩みがある。それは、一度告白をしてフラれた同級生の咲崎と、発明同好会で顔を合わせるたびにモヤモヤすること！
告白をやり直したいと思ってしまう阿東とは対照的に、「過去になんか戻りたくない」とタイムマシンの開発に熱心な咲崎。恋心の終わらせ方ってどうするの…!?【恋するソワレ】</v>
      </c>
      <c r="W1376" s="14"/>
      <c r="X1376" s="14" t="str">
        <f>IFERROR(__xludf.DUMMYFUNCTION("""COMPUTED_VALUE"""),"有")</f>
        <v>有</v>
      </c>
      <c r="Y1376" s="8" t="str">
        <f>IFERROR(__xludf.DUMMYFUNCTION("""COMPUTED_VALUE"""),"P8まで")</f>
        <v>P8まで</v>
      </c>
      <c r="Z1376" s="7"/>
      <c r="AA1376" s="7"/>
      <c r="AB1376" s="7"/>
    </row>
    <row r="1377" ht="15.75" customHeight="1">
      <c r="A1377" s="26">
        <f>IFERROR(__xludf.DUMMYFUNCTION("""COMPUTED_VALUE"""),3236.0)</f>
        <v>3236</v>
      </c>
      <c r="B1377" s="22" t="str">
        <f>IFERROR(__xludf.DUMMYFUNCTION("""COMPUTED_VALUE"""),"確定")</f>
        <v>確定</v>
      </c>
      <c r="C1377" s="28">
        <f>IFERROR(__xludf.DUMMYFUNCTION("""COMPUTED_VALUE"""),45384.0)</f>
        <v>45384</v>
      </c>
      <c r="D1377" s="28">
        <f>IFERROR(__xludf.DUMMYFUNCTION("""COMPUTED_VALUE"""),45385.0)</f>
        <v>45385</v>
      </c>
      <c r="E1377" s="31">
        <f>IFERROR(__xludf.DUMMYFUNCTION("""COMPUTED_VALUE"""),292416.0)</f>
        <v>292416</v>
      </c>
      <c r="F1377" s="22" t="str">
        <f>IFERROR(__xludf.DUMMYFUNCTION("""COMPUTED_VALUE"""),"幼なじみがアイツにだけ見せるメスの顔")</f>
        <v>幼なじみがアイツにだけ見せるメスの顔</v>
      </c>
      <c r="G1377" s="20" t="str">
        <f>IFERROR(__xludf.DUMMYFUNCTION("""COMPUTED_VALUE"""),"1~6")</f>
        <v>1~6</v>
      </c>
      <c r="H1377" s="22" t="str">
        <f>IFERROR(__xludf.DUMMYFUNCTION("""COMPUTED_VALUE"""),"フリーダムプロフェット")</f>
        <v>フリーダムプロフェット</v>
      </c>
      <c r="I1377" s="22" t="str">
        <f>IFERROR(__xludf.DUMMYFUNCTION("""COMPUTED_VALUE"""),"オトナ")</f>
        <v>オトナ</v>
      </c>
      <c r="J1377" s="22"/>
      <c r="K1377" s="22"/>
      <c r="L1377" s="22" t="str">
        <f>IFERROR(__xludf.DUMMYFUNCTION("""COMPUTED_VALUE"""),"FILL-IN")</f>
        <v>FILL-IN</v>
      </c>
      <c r="M1377" s="23">
        <f>IFERROR(__xludf.DUMMYFUNCTION("""COMPUTED_VALUE"""),45422.0)</f>
        <v>45422</v>
      </c>
      <c r="N1377" s="47">
        <f>IFERROR(__xludf.DUMMYFUNCTION("""COMPUTED_VALUE"""),45449.0)</f>
        <v>45449</v>
      </c>
      <c r="O1377" s="20"/>
      <c r="P1377" s="32" t="str">
        <f>IFERROR(__xludf.DUMMYFUNCTION("""COMPUTED_VALUE"""),"可")</f>
        <v>可</v>
      </c>
      <c r="Q1377" s="30"/>
      <c r="R1377" s="22"/>
      <c r="S1377" s="22" t="str">
        <f>IFERROR(__xludf.DUMMYFUNCTION("""COMPUTED_VALUE"""),"20240402_ライドオン_幼なじみがアイツにだけ見せるメスの顔")</f>
        <v>20240402_ライドオン_幼なじみがアイツにだけ見せるメスの顔</v>
      </c>
      <c r="T1377" s="22" t="str">
        <f>IFERROR(__xludf.DUMMYFUNCTION("""COMPUTED_VALUE"""),"格納済み")</f>
        <v>格納済み</v>
      </c>
      <c r="U1377" s="15" t="str">
        <f>IFERROR(__xludf.DUMMYFUNCTION("""COMPUTED_VALUE"""),"©フリーダムプロフェット/FILL-IN")</f>
        <v>©フリーダムプロフェット/FILL-IN</v>
      </c>
      <c r="V1377" s="8" t="str">
        <f>IFERROR(__xludf.DUMMYFUNCTION("""COMPUTED_VALUE"""),"元不良の淳一は、幼なじみのあずみに背中を押されて入部した野球部でその才能を開花させていた。
しかし不良時代には自分を煙たがっていた周囲が、野球に打ち込み始めた途端人が変わったように自分を持ち上げてくる現実に嫌気が差し、ついケンカ騒ぎを起こしてしまう。
不祥事が起きたことで全国大会の出場権を失ってしまった野球部の面々は淳一に次々とバッシングを浴びせるが、淳一を連れてきたのは自分だと、あずみが矢面に立って…
「悪いって思ってんならさ…ヤらせてよ」
部員の一人がそう切り出すと、堰を切ったように部員たちは"&amp;"あずみの身体を弄び始める…！
私の身体で償えるならと、嫌がる素振りも見せずチ〇ポを挿入れられているあずみの表情は、今までにないくらい色っぽくて…
――奇才！フリーダムプロフェットによって描かれる、両想いの幼なじみが寝取られる様をただ見ていることしかできない男たちの、愛と後悔を描いた珠玉の作品集！")</f>
        <v>元不良の淳一は、幼なじみのあずみに背中を押されて入部した野球部でその才能を開花させていた。
しかし不良時代には自分を煙たがっていた周囲が、野球に打ち込み始めた途端人が変わったように自分を持ち上げてくる現実に嫌気が差し、ついケンカ騒ぎを起こしてしまう。
不祥事が起きたことで全国大会の出場権を失ってしまった野球部の面々は淳一に次々とバッシングを浴びせるが、淳一を連れてきたのは自分だと、あずみが矢面に立って…
「悪いって思ってんならさ…ヤらせてよ」
部員の一人がそう切り出すと、堰を切ったように部員たちはあずみの身体を弄び始める…！
私の身体で償えるならと、嫌がる素振りも見せずチ〇ポを挿入れられているあずみの表情は、今までにないくらい色っぽくて…
――奇才！フリーダムプロフェットによって描かれる、両想いの幼なじみが寝取られる様をただ見ていることしかできない男たちの、愛と後悔を描いた珠玉の作品集！</v>
      </c>
      <c r="W1377" s="14"/>
      <c r="X1377" s="14" t="str">
        <f>IFERROR(__xludf.DUMMYFUNCTION("""COMPUTED_VALUE"""),"有")</f>
        <v>有</v>
      </c>
      <c r="Y1377" s="8" t="str">
        <f>IFERROR(__xludf.DUMMYFUNCTION("""COMPUTED_VALUE"""),"2024/6/6まで1巻無料")</f>
        <v>2024/6/6まで1巻無料</v>
      </c>
      <c r="Z1377" s="7"/>
      <c r="AA1377" s="7"/>
      <c r="AB1377" s="7"/>
    </row>
    <row r="1378" ht="15.75" customHeight="1">
      <c r="A1378" s="26">
        <f>IFERROR(__xludf.DUMMYFUNCTION("""COMPUTED_VALUE"""),3237.0)</f>
        <v>3237</v>
      </c>
      <c r="B1378" s="22" t="str">
        <f>IFERROR(__xludf.DUMMYFUNCTION("""COMPUTED_VALUE"""),"確定")</f>
        <v>確定</v>
      </c>
      <c r="C1378" s="28">
        <f>IFERROR(__xludf.DUMMYFUNCTION("""COMPUTED_VALUE"""),45384.0)</f>
        <v>45384</v>
      </c>
      <c r="D1378" s="28">
        <f>IFERROR(__xludf.DUMMYFUNCTION("""COMPUTED_VALUE"""),45385.0)</f>
        <v>45385</v>
      </c>
      <c r="E1378" s="31">
        <f>IFERROR(__xludf.DUMMYFUNCTION("""COMPUTED_VALUE"""),292415.0)</f>
        <v>292415</v>
      </c>
      <c r="F1378" s="22" t="str">
        <f>IFERROR(__xludf.DUMMYFUNCTION("""COMPUTED_VALUE"""),"愛する母との逃避行～父に穢された身体に上書き交尾～")</f>
        <v>愛する母との逃避行～父に穢された身体に上書き交尾～</v>
      </c>
      <c r="G1378" s="20" t="str">
        <f>IFERROR(__xludf.DUMMYFUNCTION("""COMPUTED_VALUE"""),"1~5")</f>
        <v>1~5</v>
      </c>
      <c r="H1378" s="22" t="str">
        <f>IFERROR(__xludf.DUMMYFUNCTION("""COMPUTED_VALUE"""),"みさおか/DraGoN.9")</f>
        <v>みさおか/DraGoN.9</v>
      </c>
      <c r="I1378" s="22" t="str">
        <f>IFERROR(__xludf.DUMMYFUNCTION("""COMPUTED_VALUE"""),"オトナ")</f>
        <v>オトナ</v>
      </c>
      <c r="J1378" s="22"/>
      <c r="K1378" s="22"/>
      <c r="L1378" s="22" t="str">
        <f>IFERROR(__xludf.DUMMYFUNCTION("""COMPUTED_VALUE"""),"FILL-IN")</f>
        <v>FILL-IN</v>
      </c>
      <c r="M1378" s="23">
        <f>IFERROR(__xludf.DUMMYFUNCTION("""COMPUTED_VALUE"""),45422.0)</f>
        <v>45422</v>
      </c>
      <c r="N1378" s="47">
        <f>IFERROR(__xludf.DUMMYFUNCTION("""COMPUTED_VALUE"""),45449.0)</f>
        <v>45449</v>
      </c>
      <c r="O1378" s="20"/>
      <c r="P1378" s="32" t="str">
        <f>IFERROR(__xludf.DUMMYFUNCTION("""COMPUTED_VALUE"""),"可")</f>
        <v>可</v>
      </c>
      <c r="Q1378" s="30"/>
      <c r="R1378" s="22"/>
      <c r="S1378" s="22" t="str">
        <f>IFERROR(__xludf.DUMMYFUNCTION("""COMPUTED_VALUE"""),"20240403_ライドオン_愛する母との逃避行～父に穢された身体に上書き交尾～")</f>
        <v>20240403_ライドオン_愛する母との逃避行～父に穢された身体に上書き交尾～</v>
      </c>
      <c r="T1378" s="22" t="str">
        <f>IFERROR(__xludf.DUMMYFUNCTION("""COMPUTED_VALUE"""),"格納済み")</f>
        <v>格納済み</v>
      </c>
      <c r="U1378" s="15" t="str">
        <f>IFERROR(__xludf.DUMMYFUNCTION("""COMPUTED_VALUE"""),"©みさおか/DraGoN.9/FILL-IN")</f>
        <v>©みさおか/DraGoN.9/FILL-IN</v>
      </c>
      <c r="V1378" s="8" t="str">
        <f>IFERROR(__xludf.DUMMYFUNCTION("""COMPUTED_VALUE"""),"「さっき夫に出された精子が…息子ので上書きされる…!!」
――拓郎のお母さんは美人で優しいが、夫には性のはけ口としか見られていない。
大好きな母が嬲られる様子をカメラで盗み見て、憤りを感じつつも何もできない自分に情けなさを感じていた。
ある日拓郎の失態が原因で、父は当たり散らすように妻に性欲処理をさせ他の女の所へ。
こんなの許せない…拓郎はついに父を蹴り倒し、母を連れ出して逃避行へと旅立つ！
古びたホテルに辿り着いた二人。
父から母を遠ざけた安心感とこれからの焦燥、傍にいる母の柔らかい身体と甘"&amp;"い匂いが交わり欲望が抑えきれなくなった拓郎は、想いを告げながら母を襲ってしまう…！
母も拒否しなければと思いつつ、息子の必死な姿に拒み切れない。
禁断の関係を持ってしまった二人は安住の地を求めるが…")</f>
        <v>「さっき夫に出された精子が…息子ので上書きされる…!!」
――拓郎のお母さんは美人で優しいが、夫には性のはけ口としか見られていない。
大好きな母が嬲られる様子をカメラで盗み見て、憤りを感じつつも何もできない自分に情けなさを感じていた。
ある日拓郎の失態が原因で、父は当たり散らすように妻に性欲処理をさせ他の女の所へ。
こんなの許せない…拓郎はついに父を蹴り倒し、母を連れ出して逃避行へと旅立つ！
古びたホテルに辿り着いた二人。
父から母を遠ざけた安心感とこれからの焦燥、傍にいる母の柔らかい身体と甘い匂いが交わり欲望が抑えきれなくなった拓郎は、想いを告げながら母を襲ってしまう…！
母も拒否しなければと思いつつ、息子の必死な姿に拒み切れない。
禁断の関係を持ってしまった二人は安住の地を求めるが…</v>
      </c>
      <c r="W1378" s="14"/>
      <c r="X1378" s="14" t="str">
        <f>IFERROR(__xludf.DUMMYFUNCTION("""COMPUTED_VALUE"""),"有")</f>
        <v>有</v>
      </c>
      <c r="Y1378" s="8" t="str">
        <f>IFERROR(__xludf.DUMMYFUNCTION("""COMPUTED_VALUE"""),"2024/6/6まで1巻無料")</f>
        <v>2024/6/6まで1巻無料</v>
      </c>
      <c r="Z1378" s="7"/>
      <c r="AA1378" s="7"/>
      <c r="AB1378" s="7"/>
    </row>
    <row r="1379" ht="15.75" customHeight="1">
      <c r="A1379" s="26">
        <f>IFERROR(__xludf.DUMMYFUNCTION("""COMPUTED_VALUE"""),3238.0)</f>
        <v>3238</v>
      </c>
      <c r="B1379" s="22" t="str">
        <f>IFERROR(__xludf.DUMMYFUNCTION("""COMPUTED_VALUE"""),"確定")</f>
        <v>確定</v>
      </c>
      <c r="C1379" s="28">
        <f>IFERROR(__xludf.DUMMYFUNCTION("""COMPUTED_VALUE"""),45384.0)</f>
        <v>45384</v>
      </c>
      <c r="D1379" s="28">
        <f>IFERROR(__xludf.DUMMYFUNCTION("""COMPUTED_VALUE"""),45385.0)</f>
        <v>45385</v>
      </c>
      <c r="E1379" s="31">
        <f>IFERROR(__xludf.DUMMYFUNCTION("""COMPUTED_VALUE"""),291243.0)</f>
        <v>291243</v>
      </c>
      <c r="F1379" s="22" t="str">
        <f>IFERROR(__xludf.DUMMYFUNCTION("""COMPUTED_VALUE"""),"88回断罪された令嬢は、今世は絶対に婚約しない～なのに周りの溺愛が重すぎます～")</f>
        <v>88回断罪された令嬢は、今世は絶対に婚約しない～なのに周りの溺愛が重すぎます～</v>
      </c>
      <c r="G1379" s="20" t="str">
        <f>IFERROR(__xludf.DUMMYFUNCTION("""COMPUTED_VALUE"""),"1~5")</f>
        <v>1~5</v>
      </c>
      <c r="H1379" s="22" t="str">
        <f>IFERROR(__xludf.DUMMYFUNCTION("""COMPUTED_VALUE"""),"totoQi/冬月光輝")</f>
        <v>totoQi/冬月光輝</v>
      </c>
      <c r="I1379" s="22" t="str">
        <f>IFERROR(__xludf.DUMMYFUNCTION("""COMPUTED_VALUE"""),"女性")</f>
        <v>女性</v>
      </c>
      <c r="J1379" s="22"/>
      <c r="K1379" s="22"/>
      <c r="L1379" s="22" t="str">
        <f>IFERROR(__xludf.DUMMYFUNCTION("""COMPUTED_VALUE"""),"ライドオン")</f>
        <v>ライドオン</v>
      </c>
      <c r="M1379" s="23">
        <f>IFERROR(__xludf.DUMMYFUNCTION("""COMPUTED_VALUE"""),45415.0)</f>
        <v>45415</v>
      </c>
      <c r="N1379" s="23">
        <f>IFERROR(__xludf.DUMMYFUNCTION("""COMPUTED_VALUE"""),45597.0)</f>
        <v>45597</v>
      </c>
      <c r="O1379" s="20"/>
      <c r="P1379" s="32" t="str">
        <f>IFERROR(__xludf.DUMMYFUNCTION("""COMPUTED_VALUE"""),"可")</f>
        <v>可</v>
      </c>
      <c r="Q1379" s="30"/>
      <c r="R1379" s="22"/>
      <c r="S1379" s="22" t="str">
        <f>IFERROR(__xludf.DUMMYFUNCTION("""COMPUTED_VALUE"""),"20240402_ライドオン_88回断罪された令嬢は、今世は絶対に婚約しない～なのに周りの溺愛が重すぎます～")</f>
        <v>20240402_ライドオン_88回断罪された令嬢は、今世は絶対に婚約しない～なのに周りの溺愛が重すぎます～</v>
      </c>
      <c r="T1379" s="22" t="str">
        <f>IFERROR(__xludf.DUMMYFUNCTION("""COMPUTED_VALUE"""),"格納済み")</f>
        <v>格納済み</v>
      </c>
      <c r="U1379" s="15" t="str">
        <f>IFERROR(__xludf.DUMMYFUNCTION("""COMPUTED_VALUE"""),"ⒸtotoQi/冬月光輝/ライドオン")</f>
        <v>ⒸtotoQi/冬月光輝/ライドオン</v>
      </c>
      <c r="V1379" s="8" t="str">
        <f>IFERROR(__xludf.DUMMYFUNCTION("""COMPUTED_VALUE"""),"「絶ッッ対に嫌だ！！！」
88回分の人生の記憶を持つ、公爵家の令嬢であるクリスティーナ。
すべての前世で、男に裏切られ婚約破棄されるルートを辿ったあげく投獄され、毒殺されるなど非業の死を遂げる人生を繰り返していた。
婚約を受けてしまえば死ぬ運命にあることを確信。
決して婚約しないように自分磨きを続けると、前世の経験値によってハイスペックになっていたこともあり、89回目の人生ではモテ期が到来する。
しかし、男性に関わりたくもないクリスティーナにとってはひたすら迷惑で…。
現実逃避に街に出かけると"&amp;"、ある人と運命の出会いを果たす。
絶対に婚約拒否したいクリスティーナVS全方位からの溺愛、今世で行きつく結果とは？
※本作品は小説投稿サイト「エブリスタ」で人気の「88回の前世で婚約破棄され続けて男性不信になった令嬢」のコミカライズです。")</f>
        <v>「絶ッッ対に嫌だ！！！」
88回分の人生の記憶を持つ、公爵家の令嬢であるクリスティーナ。
すべての前世で、男に裏切られ婚約破棄されるルートを辿ったあげく投獄され、毒殺されるなど非業の死を遂げる人生を繰り返していた。
婚約を受けてしまえば死ぬ運命にあることを確信。
決して婚約しないように自分磨きを続けると、前世の経験値によってハイスペックになっていたこともあり、89回目の人生ではモテ期が到来する。
しかし、男性に関わりたくもないクリスティーナにとってはひたすら迷惑で…。
現実逃避に街に出かけると、ある人と運命の出会いを果たす。
絶対に婚約拒否したいクリスティーナVS全方位からの溺愛、今世で行きつく結果とは？
※本作品は小説投稿サイト「エブリスタ」で人気の「88回の前世で婚約破棄され続けて男性不信になった令嬢」のコミカライズです。</v>
      </c>
      <c r="W1379" s="14"/>
      <c r="X1379" s="14" t="str">
        <f>IFERROR(__xludf.DUMMYFUNCTION("""COMPUTED_VALUE"""),"有")</f>
        <v>有</v>
      </c>
      <c r="Y1379" s="8" t="str">
        <f>IFERROR(__xludf.DUMMYFUNCTION("""COMPUTED_VALUE"""),"2024/5/30まで1巻無料")</f>
        <v>2024/5/30まで1巻無料</v>
      </c>
      <c r="Z1379" s="7"/>
      <c r="AA1379" s="7"/>
      <c r="AB1379" s="7"/>
    </row>
    <row r="1380" ht="15.75" customHeight="1">
      <c r="A1380" s="26">
        <f>IFERROR(__xludf.DUMMYFUNCTION("""COMPUTED_VALUE"""),2905.0)</f>
        <v>2905</v>
      </c>
      <c r="B1380" s="31" t="str">
        <f>IFERROR(__xludf.DUMMYFUNCTION("""COMPUTED_VALUE"""),"確定")</f>
        <v>確定</v>
      </c>
      <c r="C1380" s="28">
        <f>IFERROR(__xludf.DUMMYFUNCTION("""COMPUTED_VALUE"""),45322.0)</f>
        <v>45322</v>
      </c>
      <c r="D1380" s="28">
        <f>IFERROR(__xludf.DUMMYFUNCTION("""COMPUTED_VALUE"""),45391.0)</f>
        <v>45391</v>
      </c>
      <c r="E1380" s="31">
        <f>IFERROR(__xludf.DUMMYFUNCTION("""COMPUTED_VALUE"""),290457.0)</f>
        <v>290457</v>
      </c>
      <c r="F1380" s="31" t="str">
        <f>IFERROR(__xludf.DUMMYFUNCTION("""COMPUTED_VALUE"""),"イジワル王子はめちゃくちゃに愛したい。～疑似新婚で甘エロ調教生活【HQカラー】")</f>
        <v>イジワル王子はめちゃくちゃに愛したい。～疑似新婚で甘エロ調教生活【HQカラー】</v>
      </c>
      <c r="G1380" s="11" t="str">
        <f>IFERROR(__xludf.DUMMYFUNCTION("""COMPUTED_VALUE"""),"1～4")</f>
        <v>1～4</v>
      </c>
      <c r="H1380" s="31" t="str">
        <f>IFERROR(__xludf.DUMMYFUNCTION("""COMPUTED_VALUE"""),"すずくらはる")</f>
        <v>すずくらはる</v>
      </c>
      <c r="I1380" s="31" t="str">
        <f>IFERROR(__xludf.DUMMYFUNCTION("""COMPUTED_VALUE"""),"TL")</f>
        <v>TL</v>
      </c>
      <c r="J1380" s="31"/>
      <c r="K1380" s="31"/>
      <c r="L1380" s="31" t="str">
        <f>IFERROR(__xludf.DUMMYFUNCTION("""COMPUTED_VALUE"""),"CLLENN")</f>
        <v>CLLENN</v>
      </c>
      <c r="M1380" s="23">
        <f>IFERROR(__xludf.DUMMYFUNCTION("""COMPUTED_VALUE"""),45397.0)</f>
        <v>45397</v>
      </c>
      <c r="N1380" s="47">
        <f>IFERROR(__xludf.DUMMYFUNCTION("""COMPUTED_VALUE"""),45452.0)</f>
        <v>45452</v>
      </c>
      <c r="O1380" s="20"/>
      <c r="P1380" s="34" t="str">
        <f>IFERROR(__xludf.DUMMYFUNCTION("""COMPUTED_VALUE"""),"可")</f>
        <v>可</v>
      </c>
      <c r="Q1380" s="31" t="str">
        <f>IFERROR(__xludf.DUMMYFUNCTION("""COMPUTED_VALUE"""),"広告コミットOK(2/5)&lt;BR&gt;※配信日が前倒しになりました。配信日コミットは不可な事は伝えております…失礼いたしました。")</f>
        <v>広告コミットOK(2/5)&lt;BR&gt;※配信日が前倒しになりました。配信日コミットは不可な事は伝えております…失礼いたしました。</v>
      </c>
      <c r="R1380" s="31" t="str">
        <f>IFERROR(__xludf.DUMMYFUNCTION("""COMPUTED_VALUE"""),"格納済")</f>
        <v>格納済</v>
      </c>
      <c r="S1380" s="31" t="str">
        <f>IFERROR(__xludf.DUMMYFUNCTION("""COMPUTED_VALUE"""),"20240404_CLLENN_イジワル王子はめちゃくちゃに愛したい。～疑似新婚で甘エロ調教生活【HQカラー】")</f>
        <v>20240404_CLLENN_イジワル王子はめちゃくちゃに愛したい。～疑似新婚で甘エロ調教生活【HQカラー】</v>
      </c>
      <c r="T1380" s="31" t="str">
        <f>IFERROR(__xludf.DUMMYFUNCTION("""COMPUTED_VALUE"""),"格納済み")</f>
        <v>格納済み</v>
      </c>
      <c r="U1380" s="15" t="str">
        <f>IFERROR(__xludf.DUMMYFUNCTION("""COMPUTED_VALUE"""),"ⓒすずくらはる/CLLENN")</f>
        <v>ⓒすずくらはる/CLLENN</v>
      </c>
      <c r="V1380" s="8" t="str">
        <f>IFERROR(__xludf.DUMMYFUNCTION("""COMPUTED_VALUE"""),"【デジタル着色によるハイクオリティ・フルカラー版！】「今ちょっとイッただろ？　もっと気持ちいいことしてやるよ」快感がカラダを駆け巡って、怖いのにもっとシて欲しくなる――母の再婚で、初恋の広貴と再会したわかば。喜んだのも束の間、「妹なんて思ってない」と冷たい態度をとられて…。だけど、とあるハプニングで広貴の態度が一変！？「男を誘うなんて…これはお仕置きが必要だな？」イジワルな言葉とは裏腹に、とろけるような甘いキスに胸の高鳴りが止まらない…！敏感なトコロをいやらしく弄られ、トロトロになったナカを掻き回されたら"&amp;"、強烈な快楽に何も考えられなくなっちゃう――！　再会から始まる初恋溺愛ラブ☆")</f>
        <v>【デジタル着色によるハイクオリティ・フルカラー版！】「今ちょっとイッただろ？　もっと気持ちいいことしてやるよ」快感がカラダを駆け巡って、怖いのにもっとシて欲しくなる――母の再婚で、初恋の広貴と再会したわかば。喜んだのも束の間、「妹なんて思ってない」と冷たい態度をとられて…。だけど、とあるハプニングで広貴の態度が一変！？「男を誘うなんて…これはお仕置きが必要だな？」イジワルな言葉とは裏腹に、とろけるような甘いキスに胸の高鳴りが止まらない…！敏感なトコロをいやらしく弄られ、トロトロになったナカを掻き回されたら、強烈な快楽に何も考えられなくなっちゃう――！　再会から始まる初恋溺愛ラブ☆</v>
      </c>
      <c r="W1380" s="14"/>
      <c r="X1380" s="14" t="str">
        <f>IFERROR(__xludf.DUMMYFUNCTION("""COMPUTED_VALUE"""),"有")</f>
        <v>有</v>
      </c>
      <c r="Y1380" s="8" t="str">
        <f>IFERROR(__xludf.DUMMYFUNCTION("""COMPUTED_VALUE"""),"P10まで")</f>
        <v>P10まで</v>
      </c>
      <c r="Z1380" s="7"/>
      <c r="AA1380" s="7"/>
      <c r="AB1380" s="7"/>
    </row>
    <row r="1381" ht="123.0" customHeight="1">
      <c r="A1381" s="26">
        <f>IFERROR(__xludf.DUMMYFUNCTION("""COMPUTED_VALUE"""),3017.0)</f>
        <v>3017</v>
      </c>
      <c r="B1381" s="31" t="str">
        <f>IFERROR(__xludf.DUMMYFUNCTION("""COMPUTED_VALUE"""),"確定")</f>
        <v>確定</v>
      </c>
      <c r="C1381" s="28">
        <f>IFERROR(__xludf.DUMMYFUNCTION("""COMPUTED_VALUE"""),45348.0)</f>
        <v>45348</v>
      </c>
      <c r="D1381" s="28">
        <f>IFERROR(__xludf.DUMMYFUNCTION("""COMPUTED_VALUE"""),45391.0)</f>
        <v>45391</v>
      </c>
      <c r="E1381" s="31">
        <f>IFERROR(__xludf.DUMMYFUNCTION("""COMPUTED_VALUE"""),291640.0)</f>
        <v>291640</v>
      </c>
      <c r="F1381" s="31" t="str">
        <f>IFERROR(__xludf.DUMMYFUNCTION("""COMPUTED_VALUE"""),"猫公爵様はお世話係を愛玩したくてたまらない【短編】")</f>
        <v>猫公爵様はお世話係を愛玩したくてたまらない【短編】</v>
      </c>
      <c r="G1381" s="20" t="str">
        <f>IFERROR(__xludf.DUMMYFUNCTION("""COMPUTED_VALUE"""),"1~3")</f>
        <v>1~3</v>
      </c>
      <c r="H1381" s="31" t="str">
        <f>IFERROR(__xludf.DUMMYFUNCTION("""COMPUTED_VALUE"""),"漫画：雁エリカ、原作：花菱ななみ")</f>
        <v>漫画：雁エリカ、原作：花菱ななみ</v>
      </c>
      <c r="I1381" s="31" t="str">
        <f>IFERROR(__xludf.DUMMYFUNCTION("""COMPUTED_VALUE"""),"女性")</f>
        <v>女性</v>
      </c>
      <c r="J1381" s="31"/>
      <c r="K1381" s="31"/>
      <c r="L1381" s="31" t="str">
        <f>IFERROR(__xludf.DUMMYFUNCTION("""COMPUTED_VALUE"""),"竹書房")</f>
        <v>竹書房</v>
      </c>
      <c r="M1381" s="23">
        <f>IFERROR(__xludf.DUMMYFUNCTION("""COMPUTED_VALUE"""),45413.0)</f>
        <v>45413</v>
      </c>
      <c r="N1381" s="23">
        <f>IFERROR(__xludf.DUMMYFUNCTION("""COMPUTED_VALUE"""),45473.0)</f>
        <v>45473</v>
      </c>
      <c r="O1381" s="20"/>
      <c r="P1381" s="34" t="str">
        <f>IFERROR(__xludf.DUMMYFUNCTION("""COMPUTED_VALUE"""),"可")</f>
        <v>可</v>
      </c>
      <c r="Q1381" s="31" t="str">
        <f>IFERROR(__xludf.DUMMYFUNCTION("""COMPUTED_VALUE"""),"広告コミットOK(3/1)")</f>
        <v>広告コミットOK(3/1)</v>
      </c>
      <c r="R1381" s="31" t="str">
        <f>IFERROR(__xludf.DUMMYFUNCTION("""COMPUTED_VALUE"""),"格納済")</f>
        <v>格納済</v>
      </c>
      <c r="S1381" s="31" t="str">
        <f>IFERROR(__xludf.DUMMYFUNCTION("""COMPUTED_VALUE"""),"20240404_竹書房_猫公爵様はお世話係を愛玩したくてたまらない")</f>
        <v>20240404_竹書房_猫公爵様はお世話係を愛玩したくてたまらない</v>
      </c>
      <c r="T1381" s="31" t="str">
        <f>IFERROR(__xludf.DUMMYFUNCTION("""COMPUTED_VALUE"""),"格納済み")</f>
        <v>格納済み</v>
      </c>
      <c r="U1381" s="15" t="str">
        <f>IFERROR(__xludf.DUMMYFUNCTION("""COMPUTED_VALUE"""),"(C)花菱ななみ・雁エリカ／竹書房")</f>
        <v>(C)花菱ななみ・雁エリカ／竹書房</v>
      </c>
      <c r="V1381" s="8" t="str">
        <f>IFERROR(__xludf.DUMMYFUNCTION("""COMPUTED_VALUE"""),"実家が貧しいシャーロットは社交界デビューの日に、城の庭で出会ったクリストファー・カーク公爵に気に入られ猫のお世話係に任命される。")</f>
        <v>実家が貧しいシャーロットは社交界デビューの日に、城の庭で出会ったクリストファー・カーク公爵に気に入られ猫のお世話係に任命される。</v>
      </c>
      <c r="W1381" s="14"/>
      <c r="X1381" s="14" t="str">
        <f>IFERROR(__xludf.DUMMYFUNCTION("""COMPUTED_VALUE"""),"有")</f>
        <v>有</v>
      </c>
      <c r="Y1381" s="8" t="str">
        <f>IFERROR(__xludf.DUMMYFUNCTION("""COMPUTED_VALUE"""),"P6まで")</f>
        <v>P6まで</v>
      </c>
      <c r="Z1381" s="7"/>
      <c r="AA1381" s="7"/>
      <c r="AB1381" s="7"/>
    </row>
    <row r="1382" ht="15.75" customHeight="1">
      <c r="A1382" s="26">
        <f>IFERROR(__xludf.DUMMYFUNCTION("""COMPUTED_VALUE"""),3040.0)</f>
        <v>3040</v>
      </c>
      <c r="B1382" s="31" t="str">
        <f>IFERROR(__xludf.DUMMYFUNCTION("""COMPUTED_VALUE"""),"確定")</f>
        <v>確定</v>
      </c>
      <c r="C1382" s="28">
        <f>IFERROR(__xludf.DUMMYFUNCTION("""COMPUTED_VALUE"""),45355.0)</f>
        <v>45355</v>
      </c>
      <c r="D1382" s="28">
        <f>IFERROR(__xludf.DUMMYFUNCTION("""COMPUTED_VALUE"""),45391.0)</f>
        <v>45391</v>
      </c>
      <c r="E1382" s="31">
        <f>IFERROR(__xludf.DUMMYFUNCTION("""COMPUTED_VALUE"""),290695.0)</f>
        <v>290695</v>
      </c>
      <c r="F1382" s="31" t="str">
        <f>IFERROR(__xludf.DUMMYFUNCTION("""COMPUTED_VALUE"""),"お姫様になれなくて-過保護な支配人に溺愛されちゃいました-")</f>
        <v>お姫様になれなくて-過保護な支配人に溺愛されちゃいました-</v>
      </c>
      <c r="G1382" s="11" t="str">
        <f>IFERROR(__xludf.DUMMYFUNCTION("""COMPUTED_VALUE"""),"1～2")</f>
        <v>1～2</v>
      </c>
      <c r="H1382" s="31" t="str">
        <f>IFERROR(__xludf.DUMMYFUNCTION("""COMPUTED_VALUE"""),"柏木存美")</f>
        <v>柏木存美</v>
      </c>
      <c r="I1382" s="31" t="str">
        <f>IFERROR(__xludf.DUMMYFUNCTION("""COMPUTED_VALUE"""),"オトナ")</f>
        <v>オトナ</v>
      </c>
      <c r="J1382" s="31"/>
      <c r="K1382" s="31"/>
      <c r="L1382" s="31" t="str">
        <f>IFERROR(__xludf.DUMMYFUNCTION("""COMPUTED_VALUE"""),"ナイトコミック")</f>
        <v>ナイトコミック</v>
      </c>
      <c r="M1382" s="23">
        <f>IFERROR(__xludf.DUMMYFUNCTION("""COMPUTED_VALUE"""),45401.0)</f>
        <v>45401</v>
      </c>
      <c r="N1382" s="47">
        <f>IFERROR(__xludf.DUMMYFUNCTION("""COMPUTED_VALUE"""),45463.0)</f>
        <v>45463</v>
      </c>
      <c r="O1382" s="20"/>
      <c r="P1382" s="34" t="str">
        <f>IFERROR(__xludf.DUMMYFUNCTION("""COMPUTED_VALUE"""),"可")</f>
        <v>可</v>
      </c>
      <c r="Q1382" s="30" t="str">
        <f>IFERROR(__xludf.DUMMYFUNCTION("""COMPUTED_VALUE"""),"広告コミットOK(3/11)")</f>
        <v>広告コミットOK(3/11)</v>
      </c>
      <c r="R1382" s="31"/>
      <c r="S1382" s="31" t="str">
        <f>IFERROR(__xludf.DUMMYFUNCTION("""COMPUTED_VALUE"""),"20240409_ナイトコミック_お姫様になれなくて-過保護な支配人に溺愛されちゃいました-")</f>
        <v>20240409_ナイトコミック_お姫様になれなくて-過保護な支配人に溺愛されちゃいました-</v>
      </c>
      <c r="T1382" s="31" t="str">
        <f>IFERROR(__xludf.DUMMYFUNCTION("""COMPUTED_VALUE"""),"格納済み")</f>
        <v>格納済み</v>
      </c>
      <c r="U1382" s="15" t="str">
        <f>IFERROR(__xludf.DUMMYFUNCTION("""COMPUTED_VALUE"""),"©柏木存美")</f>
        <v>©柏木存美</v>
      </c>
      <c r="V1382" s="8" t="str">
        <f>IFERROR(__xludf.DUMMYFUNCTION("""COMPUTED_VALUE"""),"物語のような完璧な王子様を探し求める少し不思議な女の子「藤沢夢未」。やっと理想の男性に出会えた!と思いきやいきなりの破局、失恋の痛みを和らげようとやけくそで入ったお店はホストクラブ！？そこにはなんと昔よくお世話をしてくれていた近所のお兄ちゃん「千藤霧矢」が勤めていた。「ホストクラブに通わないように監視しなきゃね」という名目で夢未の家に上がり込んだ霧矢とその場の勢いで体を重ねてしまい……！？")</f>
        <v>物語のような完璧な王子様を探し求める少し不思議な女の子「藤沢夢未」。やっと理想の男性に出会えた!と思いきやいきなりの破局、失恋の痛みを和らげようとやけくそで入ったお店はホストクラブ！？そこにはなんと昔よくお世話をしてくれていた近所のお兄ちゃん「千藤霧矢」が勤めていた。「ホストクラブに通わないように監視しなきゃね」という名目で夢未の家に上がり込んだ霧矢とその場の勢いで体を重ねてしまい……！？</v>
      </c>
      <c r="W1382" s="14"/>
      <c r="X1382" s="14" t="str">
        <f>IFERROR(__xludf.DUMMYFUNCTION("""COMPUTED_VALUE"""),"有")</f>
        <v>有</v>
      </c>
      <c r="Y1382" s="8" t="str">
        <f>IFERROR(__xludf.DUMMYFUNCTION("""COMPUTED_VALUE"""),"2024/6/20まで立ち読み増量
１巻目P17まで
２巻目P11まで")</f>
        <v>2024/6/20まで立ち読み増量
１巻目P17まで
２巻目P11まで</v>
      </c>
      <c r="Z1382" s="7"/>
      <c r="AA1382" s="7"/>
      <c r="AB1382" s="7"/>
    </row>
    <row r="1383" ht="15.75" customHeight="1">
      <c r="A1383" s="26">
        <f>IFERROR(__xludf.DUMMYFUNCTION("""COMPUTED_VALUE"""),3042.0)</f>
        <v>3042</v>
      </c>
      <c r="B1383" s="31" t="str">
        <f>IFERROR(__xludf.DUMMYFUNCTION("""COMPUTED_VALUE"""),"確定")</f>
        <v>確定</v>
      </c>
      <c r="C1383" s="28">
        <f>IFERROR(__xludf.DUMMYFUNCTION("""COMPUTED_VALUE"""),45355.0)</f>
        <v>45355</v>
      </c>
      <c r="D1383" s="28">
        <f>IFERROR(__xludf.DUMMYFUNCTION("""COMPUTED_VALUE"""),45391.0)</f>
        <v>45391</v>
      </c>
      <c r="E1383" s="31">
        <f>IFERROR(__xludf.DUMMYFUNCTION("""COMPUTED_VALUE"""),292251.0)</f>
        <v>292251</v>
      </c>
      <c r="F1383" s="31" t="str">
        <f>IFERROR(__xludf.DUMMYFUNCTION("""COMPUTED_VALUE"""),"世界は私にやさしくない")</f>
        <v>世界は私にやさしくない</v>
      </c>
      <c r="G1383" s="20" t="str">
        <f>IFERROR(__xludf.DUMMYFUNCTION("""COMPUTED_VALUE"""),"1~3")</f>
        <v>1~3</v>
      </c>
      <c r="H1383" s="31" t="str">
        <f>IFERROR(__xludf.DUMMYFUNCTION("""COMPUTED_VALUE"""),"紗綾")</f>
        <v>紗綾</v>
      </c>
      <c r="I1383" s="31" t="str">
        <f>IFERROR(__xludf.DUMMYFUNCTION("""COMPUTED_VALUE"""),"女性")</f>
        <v>女性</v>
      </c>
      <c r="J1383" s="31"/>
      <c r="K1383" s="31"/>
      <c r="L1383" s="31" t="str">
        <f>IFERROR(__xludf.DUMMYFUNCTION("""COMPUTED_VALUE"""),"forcs")</f>
        <v>forcs</v>
      </c>
      <c r="M1383" s="23">
        <f>IFERROR(__xludf.DUMMYFUNCTION("""COMPUTED_VALUE"""),45421.0)</f>
        <v>45421</v>
      </c>
      <c r="N1383" s="47">
        <f>IFERROR(__xludf.DUMMYFUNCTION("""COMPUTED_VALUE"""),45484.0)</f>
        <v>45484</v>
      </c>
      <c r="O1383" s="20"/>
      <c r="P1383" s="34" t="str">
        <f>IFERROR(__xludf.DUMMYFUNCTION("""COMPUTED_VALUE"""),"可")</f>
        <v>可</v>
      </c>
      <c r="Q1383" s="31" t="str">
        <f>IFERROR(__xludf.DUMMYFUNCTION("""COMPUTED_VALUE"""),"広告コミットOK(3/11)&lt;BR&gt;")</f>
        <v>広告コミットOK(3/11)&lt;BR&gt;</v>
      </c>
      <c r="R1383" s="31" t="str">
        <f>IFERROR(__xludf.DUMMYFUNCTION("""COMPUTED_VALUE"""),"格納済み")</f>
        <v>格納済み</v>
      </c>
      <c r="S1383" s="31" t="str">
        <f>IFERROR(__xludf.DUMMYFUNCTION("""COMPUTED_VALUE"""),"20240408_forcs_世界は私にやさしくない")</f>
        <v>20240408_forcs_世界は私にやさしくない</v>
      </c>
      <c r="T1383" s="31" t="str">
        <f>IFERROR(__xludf.DUMMYFUNCTION("""COMPUTED_VALUE"""),"格納済み")</f>
        <v>格納済み</v>
      </c>
      <c r="U1383" s="15" t="str">
        <f>IFERROR(__xludf.DUMMYFUNCTION("""COMPUTED_VALUE"""),"©紗綾/forcs")</f>
        <v>©紗綾/forcs</v>
      </c>
      <c r="V1383" s="8" t="str">
        <f>IFERROR(__xludf.DUMMYFUNCTION("""COMPUTED_VALUE"""),"やさしくないこの世界で私たちは「自分」のフリをして生きている――
木田瑛美（33）：ブライダル雑誌編集部チーフ。結婚前の恋人がいる。仕事も恋愛も順調で、左手に光る指輪は幸せの象徴…かと思いきや、実は「自分」を演じるためのカムフラージュだった。
その指輪は心の枷となって瑛美を苦しめるが、セフレの悠だけは全てを知っていた。しかし、瑛美の真実が職場にバレてしまい…！？
――職場、セフレ、結婚、夫婦、妊活、モラハラ、ルッキズム…生き辛い世界。私が「私」でなくなった瞬間、この世界はどう変わるのか？")</f>
        <v>やさしくないこの世界で私たちは「自分」のフリをして生きている――
木田瑛美（33）：ブライダル雑誌編集部チーフ。結婚前の恋人がいる。仕事も恋愛も順調で、左手に光る指輪は幸せの象徴…かと思いきや、実は「自分」を演じるためのカムフラージュだった。
その指輪は心の枷となって瑛美を苦しめるが、セフレの悠だけは全てを知っていた。しかし、瑛美の真実が職場にバレてしまい…！？
――職場、セフレ、結婚、夫婦、妊活、モラハラ、ルッキズム…生き辛い世界。私が「私」でなくなった瞬間、この世界はどう変わるのか？</v>
      </c>
      <c r="W1383" s="14"/>
      <c r="X1383" s="14" t="str">
        <f>IFERROR(__xludf.DUMMYFUNCTION("""COMPUTED_VALUE"""),"有")</f>
        <v>有</v>
      </c>
      <c r="Y1383" s="8" t="str">
        <f>IFERROR(__xludf.DUMMYFUNCTION("""COMPUTED_VALUE"""),"2024/5/24まで1巻無料")</f>
        <v>2024/5/24まで1巻無料</v>
      </c>
      <c r="Z1383" s="7"/>
      <c r="AA1383" s="7"/>
      <c r="AB1383" s="7"/>
    </row>
    <row r="1384" ht="15.75" customHeight="1">
      <c r="A1384" s="26">
        <f>IFERROR(__xludf.DUMMYFUNCTION("""COMPUTED_VALUE"""),3057.0)</f>
        <v>3057</v>
      </c>
      <c r="B1384" s="31" t="str">
        <f>IFERROR(__xludf.DUMMYFUNCTION("""COMPUTED_VALUE"""),"確定")</f>
        <v>確定</v>
      </c>
      <c r="C1384" s="28">
        <f>IFERROR(__xludf.DUMMYFUNCTION("""COMPUTED_VALUE"""),45356.0)</f>
        <v>45356</v>
      </c>
      <c r="D1384" s="28">
        <f>IFERROR(__xludf.DUMMYFUNCTION("""COMPUTED_VALUE"""),45392.0)</f>
        <v>45392</v>
      </c>
      <c r="E1384" s="31">
        <f>IFERROR(__xludf.DUMMYFUNCTION("""COMPUTED_VALUE"""),292037.0)</f>
        <v>292037</v>
      </c>
      <c r="F1384" s="31" t="str">
        <f>IFERROR(__xludf.DUMMYFUNCTION("""COMPUTED_VALUE"""),"生涯きみにはかなわない【マイクロ】")</f>
        <v>生涯きみにはかなわない【マイクロ】</v>
      </c>
      <c r="G1384" s="20" t="str">
        <f>IFERROR(__xludf.DUMMYFUNCTION("""COMPUTED_VALUE"""),"1~3")</f>
        <v>1~3</v>
      </c>
      <c r="H1384" s="31" t="str">
        <f>IFERROR(__xludf.DUMMYFUNCTION("""COMPUTED_VALUE"""),"市原ゆうき")</f>
        <v>市原ゆうき</v>
      </c>
      <c r="I1384" s="52" t="str">
        <f>IFERROR(__xludf.DUMMYFUNCTION("""COMPUTED_VALUE"""),"女性")</f>
        <v>女性</v>
      </c>
      <c r="J1384" s="31"/>
      <c r="K1384" s="31"/>
      <c r="L1384" s="31" t="str">
        <f>IFERROR(__xludf.DUMMYFUNCTION("""COMPUTED_VALUE"""),"小学館")</f>
        <v>小学館</v>
      </c>
      <c r="M1384" s="23">
        <f>IFERROR(__xludf.DUMMYFUNCTION("""COMPUTED_VALUE"""),45420.0)</f>
        <v>45420</v>
      </c>
      <c r="N1384" s="37" t="str">
        <f>IFERROR(__xludf.DUMMYFUNCTION("""COMPUTED_VALUE"""),"初回配信だけ2か月、続話は1か月")</f>
        <v>初回配信だけ2か月、続話は1か月</v>
      </c>
      <c r="O1384" s="20"/>
      <c r="P1384" s="34" t="str">
        <f>IFERROR(__xludf.DUMMYFUNCTION("""COMPUTED_VALUE"""),"否")</f>
        <v>否</v>
      </c>
      <c r="Q1384" s="30" t="str">
        <f>IFERROR(__xludf.DUMMYFUNCTION("""COMPUTED_VALUE"""),"広告コミットOK(3/11)")</f>
        <v>広告コミットOK(3/11)</v>
      </c>
      <c r="R1384" s="31"/>
      <c r="S1384" s="31" t="str">
        <f>IFERROR(__xludf.DUMMYFUNCTION("""COMPUTED_VALUE"""),"20240409_小学館_生涯きみにはかなわない【マイクロ】")</f>
        <v>20240409_小学館_生涯きみにはかなわない【マイクロ】</v>
      </c>
      <c r="T1384" s="31" t="str">
        <f>IFERROR(__xludf.DUMMYFUNCTION("""COMPUTED_VALUE"""),"格納済み")</f>
        <v>格納済み</v>
      </c>
      <c r="U1384" s="15" t="str">
        <f>IFERROR(__xludf.DUMMYFUNCTION("""COMPUTED_VALUE"""),"(C)市原ゆうき / 小学館")</f>
        <v>(C)市原ゆうき / 小学館</v>
      </c>
      <c r="V1384" s="8" t="str">
        <f>IFERROR(__xludf.DUMMYFUNCTION("""COMPUTED_VALUE"""),"大大大反響につき連載延長決定の話題作！
実は愛が激重ハイスペ男子×愛に気付かない努力家女子のラブバトル▼
小学校時代、万年１位だった絢から１位の座を奪った男・新。
彼が絢の会社に転職してきたせいで再び地獄の２位生活がはじまったーー
下剋上するため何につけても勝負を挑む絢。呆れる新は「勝った方が言うことを聞く」という条件で引き受けるが、そこにはある思惑があって…？")</f>
        <v>大大大反響につき連載延長決定の話題作！
実は愛が激重ハイスペ男子×愛に気付かない努力家女子のラブバトル▼
小学校時代、万年１位だった絢から１位の座を奪った男・新。
彼が絢の会社に転職してきたせいで再び地獄の２位生活がはじまったーー
下剋上するため何につけても勝負を挑む絢。呆れる新は「勝った方が言うことを聞く」という条件で引き受けるが、そこにはある思惑があって…？</v>
      </c>
      <c r="W1384" s="14"/>
      <c r="X1384" s="14" t="str">
        <f>IFERROR(__xludf.DUMMYFUNCTION("""COMPUTED_VALUE"""),"有")</f>
        <v>有</v>
      </c>
      <c r="Y1384" s="8" t="str">
        <f>IFERROR(__xludf.DUMMYFUNCTION("""COMPUTED_VALUE"""),"1巻目：P18まで
2巻目：P15まで
3巻目：P13まで")</f>
        <v>1巻目：P18まで
2巻目：P15まで
3巻目：P13まで</v>
      </c>
      <c r="Z1384" s="7"/>
      <c r="AA1384" s="7"/>
      <c r="AB1384" s="7"/>
    </row>
    <row r="1385" ht="112.5" customHeight="1">
      <c r="A1385" s="26">
        <f>IFERROR(__xludf.DUMMYFUNCTION("""COMPUTED_VALUE"""),3062.0)</f>
        <v>3062</v>
      </c>
      <c r="B1385" s="31" t="str">
        <f>IFERROR(__xludf.DUMMYFUNCTION("""COMPUTED_VALUE"""),"確定")</f>
        <v>確定</v>
      </c>
      <c r="C1385" s="28">
        <f>IFERROR(__xludf.DUMMYFUNCTION("""COMPUTED_VALUE"""),45357.0)</f>
        <v>45357</v>
      </c>
      <c r="D1385" s="28">
        <f>IFERROR(__xludf.DUMMYFUNCTION("""COMPUTED_VALUE"""),45391.0)</f>
        <v>45391</v>
      </c>
      <c r="E1385" s="31">
        <f>IFERROR(__xludf.DUMMYFUNCTION("""COMPUTED_VALUE"""),293697.0)</f>
        <v>293697</v>
      </c>
      <c r="F1385" s="31" t="str">
        <f>IFERROR(__xludf.DUMMYFUNCTION("""COMPUTED_VALUE"""),"香織くんは噛まれたい")</f>
        <v>香織くんは噛まれたい</v>
      </c>
      <c r="G1385" s="20" t="str">
        <f>IFERROR(__xludf.DUMMYFUNCTION("""COMPUTED_VALUE"""),"1~3")</f>
        <v>1~3</v>
      </c>
      <c r="H1385" s="31" t="str">
        <f>IFERROR(__xludf.DUMMYFUNCTION("""COMPUTED_VALUE"""),"nmm")</f>
        <v>nmm</v>
      </c>
      <c r="I1385" s="31" t="str">
        <f>IFERROR(__xludf.DUMMYFUNCTION("""COMPUTED_VALUE"""),"BL")</f>
        <v>BL</v>
      </c>
      <c r="J1385" s="31"/>
      <c r="K1385" s="31"/>
      <c r="L1385" s="31" t="str">
        <f>IFERROR(__xludf.DUMMYFUNCTION("""COMPUTED_VALUE"""),"Bコミ")</f>
        <v>Bコミ</v>
      </c>
      <c r="M1385" s="23">
        <f>IFERROR(__xludf.DUMMYFUNCTION("""COMPUTED_VALUE"""),45452.0)</f>
        <v>45452</v>
      </c>
      <c r="N1385" s="47">
        <f>IFERROR(__xludf.DUMMYFUNCTION("""COMPUTED_VALUE"""),45542.0)</f>
        <v>45542</v>
      </c>
      <c r="O1385" s="20"/>
      <c r="P1385" s="34" t="str">
        <f>IFERROR(__xludf.DUMMYFUNCTION("""COMPUTED_VALUE"""),"可")</f>
        <v>可</v>
      </c>
      <c r="Q1385" s="31" t="str">
        <f>IFERROR(__xludf.DUMMYFUNCTION("""COMPUTED_VALUE"""),"広告コミットOK(3/12)")</f>
        <v>広告コミットOK(3/12)</v>
      </c>
      <c r="R1385" s="31" t="str">
        <f>IFERROR(__xludf.DUMMYFUNCTION("""COMPUTED_VALUE"""),"格納済")</f>
        <v>格納済</v>
      </c>
      <c r="S1385" s="31" t="str">
        <f>IFERROR(__xludf.DUMMYFUNCTION("""COMPUTED_VALUE"""),"20240404_Bコミ_香織くんは噛まれたい")</f>
        <v>20240404_Bコミ_香織くんは噛まれたい</v>
      </c>
      <c r="T1385" s="31" t="str">
        <f>IFERROR(__xludf.DUMMYFUNCTION("""COMPUTED_VALUE"""),"格納済み")</f>
        <v>格納済み</v>
      </c>
      <c r="U1385" s="15" t="str">
        <f>IFERROR(__xludf.DUMMYFUNCTION("""COMPUTED_VALUE"""),"＠nmm / Bコミ")</f>
        <v>＠nmm / Bコミ</v>
      </c>
      <c r="V1385" s="8" t="str">
        <f>IFERROR(__xludf.DUMMYFUNCTION("""COMPUTED_VALUE"""),"こだわりの強いファッションと八重歯が大好きな大学生・香織（かおり）の親友は、一見不愛想だけど自分にだけは優しい匡（たすく）。そんな匡の八重歯が最高に可愛くて「僕を噛んで」とおねだりするも拒否されっぱなしの香織だったが、ある日匡に「俺は男が好きなのか女が好きなのかわからない」と告白されて…")</f>
        <v>こだわりの強いファッションと八重歯が大好きな大学生・香織（かおり）の親友は、一見不愛想だけど自分にだけは優しい匡（たすく）。そんな匡の八重歯が最高に可愛くて「僕を噛んで」とおねだりするも拒否されっぱなしの香織だったが、ある日匡に「俺は男が好きなのか女が好きなのかわからない」と告白されて…</v>
      </c>
      <c r="W1385" s="14"/>
      <c r="X1385" s="14" t="str">
        <f>IFERROR(__xludf.DUMMYFUNCTION("""COMPUTED_VALUE"""),"有")</f>
        <v>有</v>
      </c>
      <c r="Y1385" s="8" t="str">
        <f>IFERROR(__xludf.DUMMYFUNCTION("""COMPUTED_VALUE"""),"P13まで")</f>
        <v>P13まで</v>
      </c>
      <c r="Z1385" s="7"/>
      <c r="AA1385" s="7"/>
      <c r="AB1385" s="7"/>
    </row>
    <row r="1386" ht="15.75" customHeight="1">
      <c r="A1386" s="26">
        <f>IFERROR(__xludf.DUMMYFUNCTION("""COMPUTED_VALUE"""),3105.0)</f>
        <v>3105</v>
      </c>
      <c r="B1386" s="31" t="str">
        <f>IFERROR(__xludf.DUMMYFUNCTION("""COMPUTED_VALUE"""),"確定")</f>
        <v>確定</v>
      </c>
      <c r="C1386" s="28">
        <f>IFERROR(__xludf.DUMMYFUNCTION("""COMPUTED_VALUE"""),45366.0)</f>
        <v>45366</v>
      </c>
      <c r="D1386" s="28">
        <f>IFERROR(__xludf.DUMMYFUNCTION("""COMPUTED_VALUE"""),45391.0)</f>
        <v>45391</v>
      </c>
      <c r="E1386" s="31">
        <f>IFERROR(__xludf.DUMMYFUNCTION("""COMPUTED_VALUE"""),291885.0)</f>
        <v>291885</v>
      </c>
      <c r="F1386" s="31" t="str">
        <f>IFERROR(__xludf.DUMMYFUNCTION("""COMPUTED_VALUE"""),"わたし…変えられちゃいました。")</f>
        <v>わたし…変えられちゃいました。</v>
      </c>
      <c r="G1386" s="11" t="str">
        <f>IFERROR(__xludf.DUMMYFUNCTION("""COMPUTED_VALUE"""),"1～2")</f>
        <v>1～2</v>
      </c>
      <c r="H1386" s="31" t="str">
        <f>IFERROR(__xludf.DUMMYFUNCTION("""COMPUTED_VALUE"""),"大仲いと┴さざれいと")</f>
        <v>大仲いと┴さざれいと</v>
      </c>
      <c r="I1386" s="31" t="str">
        <f>IFERROR(__xludf.DUMMYFUNCTION("""COMPUTED_VALUE"""),"オトナ")</f>
        <v>オトナ</v>
      </c>
      <c r="J1386" s="31"/>
      <c r="K1386" s="31"/>
      <c r="L1386" s="31" t="str">
        <f>IFERROR(__xludf.DUMMYFUNCTION("""COMPUTED_VALUE"""),"ブリック出版")</f>
        <v>ブリック出版</v>
      </c>
      <c r="M1386" s="23">
        <f>IFERROR(__xludf.DUMMYFUNCTION("""COMPUTED_VALUE"""),45401.0)</f>
        <v>45401</v>
      </c>
      <c r="N1386" s="23">
        <f>IFERROR(__xludf.DUMMYFUNCTION("""COMPUTED_VALUE"""),45463.0)</f>
        <v>45463</v>
      </c>
      <c r="O1386" s="20"/>
      <c r="P1386" s="34" t="str">
        <f>IFERROR(__xludf.DUMMYFUNCTION("""COMPUTED_VALUE"""),"可")</f>
        <v>可</v>
      </c>
      <c r="Q1386" s="30" t="str">
        <f>IFERROR(__xludf.DUMMYFUNCTION("""COMPUTED_VALUE"""),"広告コミットOK(3/26)")</f>
        <v>広告コミットOK(3/26)</v>
      </c>
      <c r="R1386" s="31"/>
      <c r="S1386" s="31" t="str">
        <f>IFERROR(__xludf.DUMMYFUNCTION("""COMPUTED_VALUE"""),"20240403_BookLive_わたし…変えられちゃいました。")</f>
        <v>20240403_BookLive_わたし…変えられちゃいました。</v>
      </c>
      <c r="T1386" s="31" t="str">
        <f>IFERROR(__xludf.DUMMYFUNCTION("""COMPUTED_VALUE"""),"格納済み")</f>
        <v>格納済み</v>
      </c>
      <c r="U1386" s="15" t="str">
        <f>IFERROR(__xludf.DUMMYFUNCTION("""COMPUTED_VALUE"""),"(C)ブリック出版")</f>
        <v>(C)ブリック出版</v>
      </c>
      <c r="V1386" s="8" t="str">
        <f>IFERROR(__xludf.DUMMYFUNCTION("""COMPUTED_VALUE"""),"アラサーOLの綾乃はヤリ○ン大学生達の毒牙にかかり
ホテルに連れ込まれ彼らと肉体関係を持ってしまう。
ハメ撮り動画で脅された綾乃は大学生達に出された条件を飲む。
綾乃は罪悪感を感じつつも愛する彼氏には内緒で
大学生達との肉体関係を続ける事に…!!")</f>
        <v>アラサーOLの綾乃はヤリ○ン大学生達の毒牙にかかり
ホテルに連れ込まれ彼らと肉体関係を持ってしまう。
ハメ撮り動画で脅された綾乃は大学生達に出された条件を飲む。
綾乃は罪悪感を感じつつも愛する彼氏には内緒で
大学生達との肉体関係を続ける事に…!!</v>
      </c>
      <c r="W1386" s="14"/>
      <c r="X1386" s="14" t="str">
        <f>IFERROR(__xludf.DUMMYFUNCTION("""COMPUTED_VALUE"""),"有")</f>
        <v>有</v>
      </c>
      <c r="Y1386" s="8" t="str">
        <f>IFERROR(__xludf.DUMMYFUNCTION("""COMPUTED_VALUE"""),"P8まで")</f>
        <v>P8まで</v>
      </c>
      <c r="Z1386" s="7"/>
      <c r="AA1386" s="7"/>
      <c r="AB1386" s="7"/>
    </row>
    <row r="1387" ht="15.75" customHeight="1">
      <c r="A1387" s="26">
        <f>IFERROR(__xludf.DUMMYFUNCTION("""COMPUTED_VALUE"""),3109.0)</f>
        <v>3109</v>
      </c>
      <c r="B1387" s="31" t="str">
        <f>IFERROR(__xludf.DUMMYFUNCTION("""COMPUTED_VALUE"""),"確定")</f>
        <v>確定</v>
      </c>
      <c r="C1387" s="28">
        <f>IFERROR(__xludf.DUMMYFUNCTION("""COMPUTED_VALUE"""),45366.0)</f>
        <v>45366</v>
      </c>
      <c r="D1387" s="28">
        <f>IFERROR(__xludf.DUMMYFUNCTION("""COMPUTED_VALUE"""),45391.0)</f>
        <v>45391</v>
      </c>
      <c r="E1387" s="31">
        <f>IFERROR(__xludf.DUMMYFUNCTION("""COMPUTED_VALUE"""),292228.0)</f>
        <v>292228</v>
      </c>
      <c r="F1387" s="31" t="str">
        <f>IFERROR(__xludf.DUMMYFUNCTION("""COMPUTED_VALUE"""),"君はあくまで友達です！")</f>
        <v>君はあくまで友達です！</v>
      </c>
      <c r="G1387" s="20">
        <f>IFERROR(__xludf.DUMMYFUNCTION("""COMPUTED_VALUE"""),1.0)</f>
        <v>1</v>
      </c>
      <c r="H1387" s="31" t="str">
        <f>IFERROR(__xludf.DUMMYFUNCTION("""COMPUTED_VALUE"""),"大西ジロ")</f>
        <v>大西ジロ</v>
      </c>
      <c r="I1387" s="31" t="str">
        <f>IFERROR(__xludf.DUMMYFUNCTION("""COMPUTED_VALUE"""),"BL")</f>
        <v>BL</v>
      </c>
      <c r="J1387" s="31"/>
      <c r="K1387" s="31"/>
      <c r="L1387" s="31" t="str">
        <f>IFERROR(__xludf.DUMMYFUNCTION("""COMPUTED_VALUE"""),"シュークリーム")</f>
        <v>シュークリーム</v>
      </c>
      <c r="M1387" s="23">
        <f>IFERROR(__xludf.DUMMYFUNCTION("""COMPUTED_VALUE"""),45422.0)</f>
        <v>45422</v>
      </c>
      <c r="N1387" s="23">
        <f>IFERROR(__xludf.DUMMYFUNCTION("""COMPUTED_VALUE"""),45456.0)</f>
        <v>45456</v>
      </c>
      <c r="O1387" s="20"/>
      <c r="P1387" s="32" t="str">
        <f>IFERROR(__xludf.DUMMYFUNCTION("""COMPUTED_VALUE"""),"可")</f>
        <v>可</v>
      </c>
      <c r="Q1387" s="30"/>
      <c r="R1387" s="31"/>
      <c r="S1387" s="31" t="str">
        <f>IFERROR(__xludf.DUMMYFUNCTION("""COMPUTED_VALUE"""),"20240405_シュークリーム_君はあくまで友達です！")</f>
        <v>20240405_シュークリーム_君はあくまで友達です！</v>
      </c>
      <c r="T1387" s="31" t="str">
        <f>IFERROR(__xludf.DUMMYFUNCTION("""COMPUTED_VALUE"""),"格納済み")</f>
        <v>格納済み</v>
      </c>
      <c r="U1387" s="15" t="str">
        <f>IFERROR(__xludf.DUMMYFUNCTION("""COMPUTED_VALUE"""),"（C）大西ジロ/シュークリーム")</f>
        <v>（C）大西ジロ/シュークリーム</v>
      </c>
      <c r="V1387" s="8" t="str">
        <f>IFERROR(__xludf.DUMMYFUNCTION("""COMPUTED_VALUE"""),"横暴悪魔×流され陰キャ男子のエロきゅん攻防戦！
好きなことに熱中しすぎてしまう性格のせいで友達が一人もいない魔法使い・ライネ。
友達がいなければ、作ればいい。
そう思い“友達になってもらうため”にかわいい悪魔を召喚するはずが、現れたのは超強くて横暴な悪魔・ルヒャトラだった！
彼は契約――「友達になること」を果たさなければ魔界に帰れないという。
しかもルヒャトラはどうやら「友達」の意味も知らないどころか、勝手にキスやいやらしい触れ方をしてきて……！？
「これ以上したら、友達になれなくなる！」"&amp;"
この横暴な俺様悪魔は、ライネの初めての友達になってくれるのか――…！？")</f>
        <v>横暴悪魔×流され陰キャ男子のエロきゅん攻防戦！
好きなことに熱中しすぎてしまう性格のせいで友達が一人もいない魔法使い・ライネ。
友達がいなければ、作ればいい。
そう思い“友達になってもらうため”にかわいい悪魔を召喚するはずが、現れたのは超強くて横暴な悪魔・ルヒャトラだった！
彼は契約――「友達になること」を果たさなければ魔界に帰れないという。
しかもルヒャトラはどうやら「友達」の意味も知らないどころか、勝手にキスやいやらしい触れ方をしてきて……！？
「これ以上したら、友達になれなくなる！」
この横暴な俺様悪魔は、ライネの初めての友達になってくれるのか――…！？</v>
      </c>
      <c r="W1387" s="14"/>
      <c r="X1387" s="14" t="str">
        <f>IFERROR(__xludf.DUMMYFUNCTION("""COMPUTED_VALUE"""),"有")</f>
        <v>有</v>
      </c>
      <c r="Y1387" s="8" t="str">
        <f>IFERROR(__xludf.DUMMYFUNCTION("""COMPUTED_VALUE"""),"P12まで")</f>
        <v>P12まで</v>
      </c>
      <c r="Z1387" s="7"/>
      <c r="AA1387" s="7"/>
      <c r="AB1387" s="7"/>
    </row>
    <row r="1388" ht="15.75" customHeight="1">
      <c r="A1388" s="26">
        <f>IFERROR(__xludf.DUMMYFUNCTION("""COMPUTED_VALUE"""),3110.0)</f>
        <v>3110</v>
      </c>
      <c r="B1388" s="31" t="str">
        <f>IFERROR(__xludf.DUMMYFUNCTION("""COMPUTED_VALUE"""),"確定")</f>
        <v>確定</v>
      </c>
      <c r="C1388" s="28">
        <f>IFERROR(__xludf.DUMMYFUNCTION("""COMPUTED_VALUE"""),45366.0)</f>
        <v>45366</v>
      </c>
      <c r="D1388" s="28">
        <f>IFERROR(__xludf.DUMMYFUNCTION("""COMPUTED_VALUE"""),45391.0)</f>
        <v>45391</v>
      </c>
      <c r="E1388" s="31">
        <f>IFERROR(__xludf.DUMMYFUNCTION("""COMPUTED_VALUE"""),292229.0)</f>
        <v>292229</v>
      </c>
      <c r="F1388" s="31" t="str">
        <f>IFERROR(__xludf.DUMMYFUNCTION("""COMPUTED_VALUE"""),"お憑かれさま、黒瀬くん")</f>
        <v>お憑かれさま、黒瀬くん</v>
      </c>
      <c r="G1388" s="20">
        <f>IFERROR(__xludf.DUMMYFUNCTION("""COMPUTED_VALUE"""),1.0)</f>
        <v>1</v>
      </c>
      <c r="H1388" s="31" t="str">
        <f>IFERROR(__xludf.DUMMYFUNCTION("""COMPUTED_VALUE"""),"たこまっちょ")</f>
        <v>たこまっちょ</v>
      </c>
      <c r="I1388" s="31" t="str">
        <f>IFERROR(__xludf.DUMMYFUNCTION("""COMPUTED_VALUE"""),"BL")</f>
        <v>BL</v>
      </c>
      <c r="J1388" s="31"/>
      <c r="K1388" s="31"/>
      <c r="L1388" s="31" t="str">
        <f>IFERROR(__xludf.DUMMYFUNCTION("""COMPUTED_VALUE"""),"シュークリーム")</f>
        <v>シュークリーム</v>
      </c>
      <c r="M1388" s="23">
        <f>IFERROR(__xludf.DUMMYFUNCTION("""COMPUTED_VALUE"""),45422.0)</f>
        <v>45422</v>
      </c>
      <c r="N1388" s="23">
        <f>IFERROR(__xludf.DUMMYFUNCTION("""COMPUTED_VALUE"""),45456.0)</f>
        <v>45456</v>
      </c>
      <c r="O1388" s="20"/>
      <c r="P1388" s="32" t="str">
        <f>IFERROR(__xludf.DUMMYFUNCTION("""COMPUTED_VALUE"""),"可")</f>
        <v>可</v>
      </c>
      <c r="Q1388" s="30"/>
      <c r="R1388" s="31"/>
      <c r="S1388" s="31" t="str">
        <f>IFERROR(__xludf.DUMMYFUNCTION("""COMPUTED_VALUE"""),"20240405_シュークリーム_お憑かれさま、黒瀬くん")</f>
        <v>20240405_シュークリーム_お憑かれさま、黒瀬くん</v>
      </c>
      <c r="T1388" s="31" t="str">
        <f>IFERROR(__xludf.DUMMYFUNCTION("""COMPUTED_VALUE"""),"格納済み")</f>
        <v>格納済み</v>
      </c>
      <c r="U1388" s="15" t="str">
        <f>IFERROR(__xludf.DUMMYFUNCTION("""COMPUTED_VALUE"""),"（C）たこまっちょ/シュークリーム")</f>
        <v>（C）たこまっちょ/シュークリーム</v>
      </c>
      <c r="V1388" s="8" t="str">
        <f>IFERROR(__xludf.DUMMYFUNCTION("""COMPUTED_VALUE"""),"俺は誰か大切な人を…忘れている気がする――。
幽霊が見える、ひとりぼっちの少年・黒瀬結真（くろせゆうま）は、
ある悪夢にうなされていた。
導かれるように、夢に出てくる故郷に帰ると、
そこには恐ろしい霊に囲まれた男・叶糸（かいと）の姿が。
「俺が絶対お前を守るから」と、
なぜか真剣な眼差しで追いかけてくる叶糸。
彼に触られたその瞬間、叶糸を取り巻いていた霊が
一斉に結真に取り憑いてきて――！？
クール執着攻×不幸体質平凡受
運命に翻弄されるふたりの、怪異ときどき青春譚！")</f>
        <v>俺は誰か大切な人を…忘れている気がする――。
幽霊が見える、ひとりぼっちの少年・黒瀬結真（くろせゆうま）は、
ある悪夢にうなされていた。
導かれるように、夢に出てくる故郷に帰ると、
そこには恐ろしい霊に囲まれた男・叶糸（かいと）の姿が。
「俺が絶対お前を守るから」と、
なぜか真剣な眼差しで追いかけてくる叶糸。
彼に触られたその瞬間、叶糸を取り巻いていた霊が
一斉に結真に取り憑いてきて――！？
クール執着攻×不幸体質平凡受
運命に翻弄されるふたりの、怪異ときどき青春譚！</v>
      </c>
      <c r="W1388" s="14"/>
      <c r="X1388" s="14" t="str">
        <f>IFERROR(__xludf.DUMMYFUNCTION("""COMPUTED_VALUE"""),"有")</f>
        <v>有</v>
      </c>
      <c r="Y1388" s="8" t="str">
        <f>IFERROR(__xludf.DUMMYFUNCTION("""COMPUTED_VALUE"""),"P13まで")</f>
        <v>P13まで</v>
      </c>
      <c r="Z1388" s="7"/>
      <c r="AA1388" s="7"/>
      <c r="AB1388" s="7"/>
    </row>
    <row r="1389" ht="15.75" customHeight="1">
      <c r="A1389" s="26">
        <f>IFERROR(__xludf.DUMMYFUNCTION("""COMPUTED_VALUE"""),3111.0)</f>
        <v>3111</v>
      </c>
      <c r="B1389" s="31" t="str">
        <f>IFERROR(__xludf.DUMMYFUNCTION("""COMPUTED_VALUE"""),"確定")</f>
        <v>確定</v>
      </c>
      <c r="C1389" s="28">
        <f>IFERROR(__xludf.DUMMYFUNCTION("""COMPUTED_VALUE"""),45366.0)</f>
        <v>45366</v>
      </c>
      <c r="D1389" s="28">
        <f>IFERROR(__xludf.DUMMYFUNCTION("""COMPUTED_VALUE"""),45387.0)</f>
        <v>45387</v>
      </c>
      <c r="E1389" s="31">
        <f>IFERROR(__xludf.DUMMYFUNCTION("""COMPUTED_VALUE"""),292230.0)</f>
        <v>292230</v>
      </c>
      <c r="F1389" s="31" t="str">
        <f>IFERROR(__xludf.DUMMYFUNCTION("""COMPUTED_VALUE"""),"神様作家は愛を綴る")</f>
        <v>神様作家は愛を綴る</v>
      </c>
      <c r="G1389" s="20">
        <f>IFERROR(__xludf.DUMMYFUNCTION("""COMPUTED_VALUE"""),1.0)</f>
        <v>1</v>
      </c>
      <c r="H1389" s="31" t="str">
        <f>IFERROR(__xludf.DUMMYFUNCTION("""COMPUTED_VALUE"""),"ゆぐも雛子")</f>
        <v>ゆぐも雛子</v>
      </c>
      <c r="I1389" s="31" t="str">
        <f>IFERROR(__xludf.DUMMYFUNCTION("""COMPUTED_VALUE"""),"BL")</f>
        <v>BL</v>
      </c>
      <c r="J1389" s="31"/>
      <c r="K1389" s="31"/>
      <c r="L1389" s="31" t="str">
        <f>IFERROR(__xludf.DUMMYFUNCTION("""COMPUTED_VALUE"""),"シュークリーム")</f>
        <v>シュークリーム</v>
      </c>
      <c r="M1389" s="23">
        <f>IFERROR(__xludf.DUMMYFUNCTION("""COMPUTED_VALUE"""),45422.0)</f>
        <v>45422</v>
      </c>
      <c r="N1389" s="23">
        <f>IFERROR(__xludf.DUMMYFUNCTION("""COMPUTED_VALUE"""),45456.0)</f>
        <v>45456</v>
      </c>
      <c r="O1389" s="20"/>
      <c r="P1389" s="32" t="str">
        <f>IFERROR(__xludf.DUMMYFUNCTION("""COMPUTED_VALUE"""),"可")</f>
        <v>可</v>
      </c>
      <c r="Q1389" s="30"/>
      <c r="R1389" s="31"/>
      <c r="S1389" s="31" t="str">
        <f>IFERROR(__xludf.DUMMYFUNCTION("""COMPUTED_VALUE"""),"20240405_シュークリーム_神様作家は愛を綴る")</f>
        <v>20240405_シュークリーム_神様作家は愛を綴る</v>
      </c>
      <c r="T1389" s="31" t="str">
        <f>IFERROR(__xludf.DUMMYFUNCTION("""COMPUTED_VALUE"""),"格納済み")</f>
        <v>格納済み</v>
      </c>
      <c r="U1389" s="15" t="str">
        <f>IFERROR(__xludf.DUMMYFUNCTION("""COMPUTED_VALUE"""),"（C）ゆぐも雛子/シュークリーム")</f>
        <v>（C）ゆぐも雛子/シュークリーム</v>
      </c>
      <c r="V1389" s="8" t="str">
        <f>IFERROR(__xludf.DUMMYFUNCTION("""COMPUTED_VALUE"""),"宮内庁で働く椿の“お役目”――それは当代の守り神・紫雨（しぐれ）を公私ともに支えること。
神でありながらふだんは人間の作家として暮らしている紫雨は、
その小説のファンでもある椿にとって、神としても作家としても尊い存在だった。
しかし、お役目のひとつである“信仰心の奉納”が、
快感を伴ううえに、身体から直接吸い上げられるたびに強くなっていて…！？
「あぁ やはりお前の信仰心は旨い」
快感も、比例するように大きく育っていく恋心も、隠し通さなきゃいけないのに――。
美形クール守り神（職"&amp;"業：作家）×不幸体質な美人担当編集
孤独だった人の子の心を神の愛で溶かす、もどかしくも甘い異種恋愛譚！")</f>
        <v>宮内庁で働く椿の“お役目”――それは当代の守り神・紫雨（しぐれ）を公私ともに支えること。
神でありながらふだんは人間の作家として暮らしている紫雨は、
その小説のファンでもある椿にとって、神としても作家としても尊い存在だった。
しかし、お役目のひとつである“信仰心の奉納”が、
快感を伴ううえに、身体から直接吸い上げられるたびに強くなっていて…！？
「あぁ やはりお前の信仰心は旨い」
快感も、比例するように大きく育っていく恋心も、隠し通さなきゃいけないのに――。
美形クール守り神（職業：作家）×不幸体質な美人担当編集
孤独だった人の子の心を神の愛で溶かす、もどかしくも甘い異種恋愛譚！</v>
      </c>
      <c r="W1389" s="14"/>
      <c r="X1389" s="14" t="str">
        <f>IFERROR(__xludf.DUMMYFUNCTION("""COMPUTED_VALUE"""),"有")</f>
        <v>有</v>
      </c>
      <c r="Y1389" s="8" t="str">
        <f>IFERROR(__xludf.DUMMYFUNCTION("""COMPUTED_VALUE"""),"P13まで")</f>
        <v>P13まで</v>
      </c>
      <c r="Z1389" s="7"/>
      <c r="AA1389" s="7"/>
      <c r="AB1389" s="7"/>
    </row>
    <row r="1390" ht="15.75" customHeight="1">
      <c r="A1390" s="26">
        <f>IFERROR(__xludf.DUMMYFUNCTION("""COMPUTED_VALUE"""),3118.0)</f>
        <v>3118</v>
      </c>
      <c r="B1390" s="31" t="str">
        <f>IFERROR(__xludf.DUMMYFUNCTION("""COMPUTED_VALUE"""),"確定")</f>
        <v>確定</v>
      </c>
      <c r="C1390" s="28">
        <f>IFERROR(__xludf.DUMMYFUNCTION("""COMPUTED_VALUE"""),45369.0)</f>
        <v>45369</v>
      </c>
      <c r="D1390" s="28">
        <f>IFERROR(__xludf.DUMMYFUNCTION("""COMPUTED_VALUE"""),45391.0)</f>
        <v>45391</v>
      </c>
      <c r="E1390" s="31">
        <f>IFERROR(__xludf.DUMMYFUNCTION("""COMPUTED_VALUE"""),291044.0)</f>
        <v>291044</v>
      </c>
      <c r="F1390" s="31" t="str">
        <f>IFERROR(__xludf.DUMMYFUNCTION("""COMPUTED_VALUE"""),"竜騎士様の最愛花嫁")</f>
        <v>竜騎士様の最愛花嫁</v>
      </c>
      <c r="G1390" s="11" t="str">
        <f>IFERROR(__xludf.DUMMYFUNCTION("""COMPUTED_VALUE"""),"1～2")</f>
        <v>1～2</v>
      </c>
      <c r="H1390" s="31" t="str">
        <f>IFERROR(__xludf.DUMMYFUNCTION("""COMPUTED_VALUE"""),"漫画:音埜クルミ 原作:三沢ケイ")</f>
        <v>漫画:音埜クルミ 原作:三沢ケイ</v>
      </c>
      <c r="I1390" s="31" t="str">
        <f>IFERROR(__xludf.DUMMYFUNCTION("""COMPUTED_VALUE"""),"少女")</f>
        <v>少女</v>
      </c>
      <c r="J1390" s="31"/>
      <c r="K1390" s="31"/>
      <c r="L1390" s="31" t="str">
        <f>IFERROR(__xludf.DUMMYFUNCTION("""COMPUTED_VALUE"""),"メディアソフト")</f>
        <v>メディアソフト</v>
      </c>
      <c r="M1390" s="23">
        <f>IFERROR(__xludf.DUMMYFUNCTION("""COMPUTED_VALUE"""),45389.0)</f>
        <v>45389</v>
      </c>
      <c r="N1390" s="47">
        <f>IFERROR(__xludf.DUMMYFUNCTION("""COMPUTED_VALUE"""),45479.0)</f>
        <v>45479</v>
      </c>
      <c r="O1390" s="20"/>
      <c r="P1390" s="32" t="str">
        <f>IFERROR(__xludf.DUMMYFUNCTION("""COMPUTED_VALUE"""),"可")</f>
        <v>可</v>
      </c>
      <c r="Q1390" s="31"/>
      <c r="R1390" s="31" t="str">
        <f>IFERROR(__xludf.DUMMYFUNCTION("""COMPUTED_VALUE"""),"格納済み")</f>
        <v>格納済み</v>
      </c>
      <c r="S1390" s="31" t="str">
        <f>IFERROR(__xludf.DUMMYFUNCTION("""COMPUTED_VALUE"""),"20240403_メディアソフト_竜騎士様の最愛花嫁")</f>
        <v>20240403_メディアソフト_竜騎士様の最愛花嫁</v>
      </c>
      <c r="T1390" s="31" t="str">
        <f>IFERROR(__xludf.DUMMYFUNCTION("""COMPUTED_VALUE"""),"格納済み")</f>
        <v>格納済み</v>
      </c>
      <c r="U1390" s="15" t="str">
        <f>IFERROR(__xludf.DUMMYFUNCTION("""COMPUTED_VALUE"""),"音埜クルミ・三沢ケイ/メディアソフト")</f>
        <v>音埜クルミ・三沢ケイ/メディアソフト</v>
      </c>
      <c r="V1390" s="8" t="str">
        <f>IFERROR(__xludf.DUMMYFUNCTION("""COMPUTED_VALUE"""),"「婚約破棄、してください!」
子爵令嬢ながら王立図書館司書として働くエレオノーラには、10年間連絡のつかない婚約者がいる。
世間で『英雄竜騎士・ヴァレリオ』と呼ばれる彼は、世界最高峰の魔法学校を首席で卒業し、その後は竜騎士としてめざましい活躍を見せている。
そんな彼が、竜騎士団に師団長として着任するために王都へと戻ってくるらしい。
彼からの久しぶりの連絡は、叙勲式典と祝賀会への同席の誘い。
…って、ちょっと待って!?
彼は若くして大出世中の英雄竜騎士様。対して自分は借金まみれの没落令嬢。
な"&amp;"んで昔に家同士が決めた婚約を、律儀に守ろうとしているの!?
どう考えても行き遅れの自分とヴァレリオでは釣り合わないし、そもそもこれだけ放置していたくらいだし。
きっと向こうも私のことなんて特になんとも思っていないはず。
「…俺がどんなにきみを愛しているか、しっかりわからせないとね」
……なんとも思っていない、はず…?
年下婚約者からの溺愛が止まらない!?
没落令嬢×英雄竜騎士様の初恋ピュアキュンストーリー、開幕!")</f>
        <v>「婚約破棄、してください!」
子爵令嬢ながら王立図書館司書として働くエレオノーラには、10年間連絡のつかない婚約者がいる。
世間で『英雄竜騎士・ヴァレリオ』と呼ばれる彼は、世界最高峰の魔法学校を首席で卒業し、その後は竜騎士としてめざましい活躍を見せている。
そんな彼が、竜騎士団に師団長として着任するために王都へと戻ってくるらしい。
彼からの久しぶりの連絡は、叙勲式典と祝賀会への同席の誘い。
…って、ちょっと待って!?
彼は若くして大出世中の英雄竜騎士様。対して自分は借金まみれの没落令嬢。
なんで昔に家同士が決めた婚約を、律儀に守ろうとしているの!?
どう考えても行き遅れの自分とヴァレリオでは釣り合わないし、そもそもこれだけ放置していたくらいだし。
きっと向こうも私のことなんて特になんとも思っていないはず。
「…俺がどんなにきみを愛しているか、しっかりわからせないとね」
……なんとも思っていない、はず…?
年下婚約者からの溺愛が止まらない!?
没落令嬢×英雄竜騎士様の初恋ピュアキュンストーリー、開幕!</v>
      </c>
      <c r="W1390" s="14"/>
      <c r="X1390" s="14" t="str">
        <f>IFERROR(__xludf.DUMMYFUNCTION("""COMPUTED_VALUE"""),"有")</f>
        <v>有</v>
      </c>
      <c r="Y1390" s="8" t="str">
        <f>IFERROR(__xludf.DUMMYFUNCTION("""COMPUTED_VALUE"""),"P11まで")</f>
        <v>P11まで</v>
      </c>
      <c r="Z1390" s="7"/>
      <c r="AA1390" s="7"/>
      <c r="AB1390" s="7"/>
    </row>
    <row r="1391" ht="15.75" customHeight="1">
      <c r="A1391" s="26">
        <f>IFERROR(__xludf.DUMMYFUNCTION("""COMPUTED_VALUE"""),3168.0)</f>
        <v>3168</v>
      </c>
      <c r="B1391" s="31" t="str">
        <f>IFERROR(__xludf.DUMMYFUNCTION("""COMPUTED_VALUE"""),"確定")</f>
        <v>確定</v>
      </c>
      <c r="C1391" s="28">
        <f>IFERROR(__xludf.DUMMYFUNCTION("""COMPUTED_VALUE"""),45377.0)</f>
        <v>45377</v>
      </c>
      <c r="D1391" s="28">
        <f>IFERROR(__xludf.DUMMYFUNCTION("""COMPUTED_VALUE"""),45390.0)</f>
        <v>45390</v>
      </c>
      <c r="E1391" s="31">
        <f>IFERROR(__xludf.DUMMYFUNCTION("""COMPUTED_VALUE"""),291482.0)</f>
        <v>291482</v>
      </c>
      <c r="F1391" s="31" t="str">
        <f>IFERROR(__xludf.DUMMYFUNCTION("""COMPUTED_VALUE"""),"シュガー＆キングフィッシャー")</f>
        <v>シュガー＆キングフィッシャー</v>
      </c>
      <c r="G1391" s="20" t="str">
        <f>IFERROR(__xludf.DUMMYFUNCTION("""COMPUTED_VALUE"""),"1~3")</f>
        <v>1~3</v>
      </c>
      <c r="H1391" s="31" t="str">
        <f>IFERROR(__xludf.DUMMYFUNCTION("""COMPUTED_VALUE"""),"漫画：花門初海・原作：半田畔／peep")</f>
        <v>漫画：花門初海・原作：半田畔／peep</v>
      </c>
      <c r="I1391" s="31" t="str">
        <f>IFERROR(__xludf.DUMMYFUNCTION("""COMPUTED_VALUE"""),"青年")</f>
        <v>青年</v>
      </c>
      <c r="J1391" s="31"/>
      <c r="K1391" s="31"/>
      <c r="L1391" s="31" t="str">
        <f>IFERROR(__xludf.DUMMYFUNCTION("""COMPUTED_VALUE"""),"グループ・ゼロ")</f>
        <v>グループ・ゼロ</v>
      </c>
      <c r="M1391" s="23">
        <f>IFERROR(__xludf.DUMMYFUNCTION("""COMPUTED_VALUE"""),45408.0)</f>
        <v>45408</v>
      </c>
      <c r="N1391" s="47">
        <f>IFERROR(__xludf.DUMMYFUNCTION("""COMPUTED_VALUE"""),45499.0)</f>
        <v>45499</v>
      </c>
      <c r="O1391" s="20"/>
      <c r="P1391" s="34" t="str">
        <f>IFERROR(__xludf.DUMMYFUNCTION("""COMPUTED_VALUE"""),"可")</f>
        <v>可</v>
      </c>
      <c r="Q1391" s="31" t="str">
        <f>IFERROR(__xludf.DUMMYFUNCTION("""COMPUTED_VALUE"""),"広告コミットOK(4/2)&lt;BR&gt;")</f>
        <v>広告コミットOK(4/2)&lt;BR&gt;</v>
      </c>
      <c r="R1391" s="31" t="str">
        <f>IFERROR(__xludf.DUMMYFUNCTION("""COMPUTED_VALUE"""),"格納済み")</f>
        <v>格納済み</v>
      </c>
      <c r="S1391" s="31" t="str">
        <f>IFERROR(__xludf.DUMMYFUNCTION("""COMPUTED_VALUE"""),"20240403_グループ・ゼロ_シュガー＆キングフィッシャー")</f>
        <v>20240403_グループ・ゼロ_シュガー＆キングフィッシャー</v>
      </c>
      <c r="T1391" s="31" t="str">
        <f>IFERROR(__xludf.DUMMYFUNCTION("""COMPUTED_VALUE"""),"格納済み")</f>
        <v>格納済み</v>
      </c>
      <c r="U1391" s="15" t="str">
        <f>IFERROR(__xludf.DUMMYFUNCTION("""COMPUTED_VALUE"""),"(C)花門初海／半田畔／peep／グループ・ゼロ")</f>
        <v>(C)花門初海／半田畔／peep／グループ・ゼロ</v>
      </c>
      <c r="V1391" s="8" t="str">
        <f>IFERROR(__xludf.DUMMYFUNCTION("""COMPUTED_VALUE"""),"「俺はいまから…人を殺す。相手は自分の親」殺し屋・佐東（サトウ）は育ての親であり組織のボスでもある〝バウムクーヘン〟から「私を殺せ」と依頼を受ける。ボスは死ぬ間際、「私の娘を守って欲しい」と一人の少女を佐東に託す。カワセミの羽のように蒼く綺麗な瞳を持った〝翡翠（ヒスイ）〟というその少女には、ある特別な力があった。やがて翡翠に莫大な懸賞金が懸けられたことを知った佐東は、500人を超える同業の殺し屋から彼女を守る為の逃避行を決意する──。peepのオリジナル人気小説「シュガー＆キングフィッシャー」がついにコミ"&amp;"カライズ！半田畔（原作）＆花門初海（漫画）による、甘くて苦い新感覚サスペンスアクション!!")</f>
        <v>「俺はいまから…人を殺す。相手は自分の親」殺し屋・佐東（サトウ）は育ての親であり組織のボスでもある〝バウムクーヘン〟から「私を殺せ」と依頼を受ける。ボスは死ぬ間際、「私の娘を守って欲しい」と一人の少女を佐東に託す。カワセミの羽のように蒼く綺麗な瞳を持った〝翡翠（ヒスイ）〟というその少女には、ある特別な力があった。やがて翡翠に莫大な懸賞金が懸けられたことを知った佐東は、500人を超える同業の殺し屋から彼女を守る為の逃避行を決意する──。peepのオリジナル人気小説「シュガー＆キングフィッシャー」がついにコミカライズ！半田畔（原作）＆花門初海（漫画）による、甘くて苦い新感覚サスペンスアクション!!</v>
      </c>
      <c r="W1391" s="14"/>
      <c r="X1391" s="14" t="str">
        <f>IFERROR(__xludf.DUMMYFUNCTION("""COMPUTED_VALUE"""),"有")</f>
        <v>有</v>
      </c>
      <c r="Y1391" s="8" t="str">
        <f>IFERROR(__xludf.DUMMYFUNCTION("""COMPUTED_VALUE"""),"P5まで")</f>
        <v>P5まで</v>
      </c>
      <c r="Z1391" s="7"/>
      <c r="AA1391" s="7"/>
      <c r="AB1391" s="7"/>
    </row>
    <row r="1392" ht="15.75" customHeight="1">
      <c r="A1392" s="26">
        <f>IFERROR(__xludf.DUMMYFUNCTION("""COMPUTED_VALUE"""),3175.0)</f>
        <v>3175</v>
      </c>
      <c r="B1392" s="31" t="str">
        <f>IFERROR(__xludf.DUMMYFUNCTION("""COMPUTED_VALUE"""),"確定")</f>
        <v>確定</v>
      </c>
      <c r="C1392" s="28">
        <f>IFERROR(__xludf.DUMMYFUNCTION("""COMPUTED_VALUE"""),45378.0)</f>
        <v>45378</v>
      </c>
      <c r="D1392" s="28">
        <f>IFERROR(__xludf.DUMMYFUNCTION("""COMPUTED_VALUE"""),45392.0)</f>
        <v>45392</v>
      </c>
      <c r="E1392" s="31">
        <f>IFERROR(__xludf.DUMMYFUNCTION("""COMPUTED_VALUE"""),292752.0)</f>
        <v>292752</v>
      </c>
      <c r="F1392" s="31" t="str">
        <f>IFERROR(__xludf.DUMMYFUNCTION("""COMPUTED_VALUE"""),"悪役王女は婚約破棄されたけど隣国の公爵に溺愛されました")</f>
        <v>悪役王女は婚約破棄されたけど隣国の公爵に溺愛されました</v>
      </c>
      <c r="G1392" s="20">
        <f>IFERROR(__xludf.DUMMYFUNCTION("""COMPUTED_VALUE"""),1.0)</f>
        <v>1</v>
      </c>
      <c r="H1392" s="31" t="str">
        <f>IFERROR(__xludf.DUMMYFUNCTION("""COMPUTED_VALUE"""),"ひのもとめぐる・逢矢沙希")</f>
        <v>ひのもとめぐる・逢矢沙希</v>
      </c>
      <c r="I1392" s="31" t="str">
        <f>IFERROR(__xludf.DUMMYFUNCTION("""COMPUTED_VALUE"""),"TL")</f>
        <v>TL</v>
      </c>
      <c r="J1392" s="31"/>
      <c r="K1392" s="31"/>
      <c r="L1392" s="31" t="str">
        <f>IFERROR(__xludf.DUMMYFUNCTION("""COMPUTED_VALUE"""),"乙女ドルチェ・コミックス")</f>
        <v>乙女ドルチェ・コミックス</v>
      </c>
      <c r="M1392" s="23">
        <f>IFERROR(__xludf.DUMMYFUNCTION("""COMPUTED_VALUE"""),45429.0)</f>
        <v>45429</v>
      </c>
      <c r="N1392" s="23">
        <f>IFERROR(__xludf.DUMMYFUNCTION("""COMPUTED_VALUE"""),45490.0)</f>
        <v>45490</v>
      </c>
      <c r="O1392" s="20"/>
      <c r="P1392" s="34" t="str">
        <f>IFERROR(__xludf.DUMMYFUNCTION("""COMPUTED_VALUE"""),"可")</f>
        <v>可</v>
      </c>
      <c r="Q1392" s="31" t="str">
        <f>IFERROR(__xludf.DUMMYFUNCTION("""COMPUTED_VALUE"""),"広告コミットOK(4/8)")</f>
        <v>広告コミットOK(4/8)</v>
      </c>
      <c r="R1392" s="31" t="str">
        <f>IFERROR(__xludf.DUMMYFUNCTION("""COMPUTED_VALUE"""),"格納済")</f>
        <v>格納済</v>
      </c>
      <c r="S1392" s="31" t="str">
        <f>IFERROR(__xludf.DUMMYFUNCTION("""COMPUTED_VALUE"""),"20240410_乙女ドルチェ_悪役王女は婚約破棄されたけど隣国の公爵に溺愛されました")</f>
        <v>20240410_乙女ドルチェ_悪役王女は婚約破棄されたけど隣国の公爵に溺愛されました</v>
      </c>
      <c r="T1392" s="31" t="str">
        <f>IFERROR(__xludf.DUMMYFUNCTION("""COMPUTED_VALUE"""),"校了済素材")</f>
        <v>校了済素材</v>
      </c>
      <c r="U1392" s="15" t="str">
        <f>IFERROR(__xludf.DUMMYFUNCTION("""COMPUTED_VALUE"""),"（C)ひのもとめぐる・逢矢沙希／ハーパーコリンズ・ジャパン")</f>
        <v>（C)ひのもとめぐる・逢矢沙希／ハーパーコリンズ・ジャパン</v>
      </c>
      <c r="V1392" s="8" t="str">
        <f>IFERROR(__xludf.DUMMYFUNCTION("""COMPUTED_VALUE"""),"「悪いことをしたと思っているんだろう？　足を開きなさい」
悪女ぶる元王女に、旦那様からの甘いお仕置き!?
「可愛いな…可愛くてたまらない」そう囁く熱い唇が体をなぞる…。“稀代の悪女”と噂されるルジアーナ王国・第一王女カルディナ。親が決めた婚約者に裏切られ、隣国ベルスナーの王太子に嫁ぐ筈が、再び婚約破棄された彼女は、ベルスナーの公爵ヒューゴからの求婚を受け入れる。噂と違うカルディナの一面に惹かれていた彼は、「その仮面を外してみたい」と真摯な眼差しで情熱的に彼女に迫る。あられもない姿を晒しているのに、"&amp;"こんなにも嬉しいなんて…。身も心も溶けそうな甘い日々。だけどカルディナにとって、この結婚には別の目的があって――!?")</f>
        <v>「悪いことをしたと思っているんだろう？　足を開きなさい」
悪女ぶる元王女に、旦那様からの甘いお仕置き!?
「可愛いな…可愛くてたまらない」そう囁く熱い唇が体をなぞる…。“稀代の悪女”と噂されるルジアーナ王国・第一王女カルディナ。親が決めた婚約者に裏切られ、隣国ベルスナーの王太子に嫁ぐ筈が、再び婚約破棄された彼女は、ベルスナーの公爵ヒューゴからの求婚を受け入れる。噂と違うカルディナの一面に惹かれていた彼は、「その仮面を外してみたい」と真摯な眼差しで情熱的に彼女に迫る。あられもない姿を晒しているのに、こんなにも嬉しいなんて…。身も心も溶けそうな甘い日々。だけどカルディナにとって、この結婚には別の目的があって――!?</v>
      </c>
      <c r="W1392" s="14"/>
      <c r="X1392" s="14" t="str">
        <f>IFERROR(__xludf.DUMMYFUNCTION("""COMPUTED_VALUE"""),"有")</f>
        <v>有</v>
      </c>
      <c r="Y1392" s="8" t="str">
        <f>IFERROR(__xludf.DUMMYFUNCTION("""COMPUTED_VALUE"""),"P26まで")</f>
        <v>P26まで</v>
      </c>
      <c r="Z1392" s="7"/>
      <c r="AA1392" s="7"/>
      <c r="AB1392" s="7"/>
    </row>
    <row r="1393" ht="15.75" customHeight="1">
      <c r="A1393" s="26">
        <f>IFERROR(__xludf.DUMMYFUNCTION("""COMPUTED_VALUE"""),3176.0)</f>
        <v>3176</v>
      </c>
      <c r="B1393" s="31" t="str">
        <f>IFERROR(__xludf.DUMMYFUNCTION("""COMPUTED_VALUE"""),"確定")</f>
        <v>確定</v>
      </c>
      <c r="C1393" s="28">
        <f>IFERROR(__xludf.DUMMYFUNCTION("""COMPUTED_VALUE"""),45378.0)</f>
        <v>45378</v>
      </c>
      <c r="D1393" s="28">
        <f>IFERROR(__xludf.DUMMYFUNCTION("""COMPUTED_VALUE"""),45392.0)</f>
        <v>45392</v>
      </c>
      <c r="E1393" s="31">
        <f>IFERROR(__xludf.DUMMYFUNCTION("""COMPUTED_VALUE"""),292753.0)</f>
        <v>292753</v>
      </c>
      <c r="F1393" s="31" t="str">
        <f>IFERROR(__xludf.DUMMYFUNCTION("""COMPUTED_VALUE"""),"身代わり姫は隣国の勇猛王に溺愛される【分冊版】")</f>
        <v>身代わり姫は隣国の勇猛王に溺愛される【分冊版】</v>
      </c>
      <c r="G1393" s="20" t="str">
        <f>IFERROR(__xludf.DUMMYFUNCTION("""COMPUTED_VALUE"""),"1~3")</f>
        <v>1~3</v>
      </c>
      <c r="H1393" s="31" t="str">
        <f>IFERROR(__xludf.DUMMYFUNCTION("""COMPUTED_VALUE"""),"鳴神ゆった・佐倉 紫")</f>
        <v>鳴神ゆった・佐倉 紫</v>
      </c>
      <c r="I1393" s="31" t="str">
        <f>IFERROR(__xludf.DUMMYFUNCTION("""COMPUTED_VALUE"""),"TL")</f>
        <v>TL</v>
      </c>
      <c r="J1393" s="31"/>
      <c r="K1393" s="31"/>
      <c r="L1393" s="31" t="str">
        <f>IFERROR(__xludf.DUMMYFUNCTION("""COMPUTED_VALUE"""),"乙女ドルチェ・コミックス")</f>
        <v>乙女ドルチェ・コミックス</v>
      </c>
      <c r="M1393" s="23">
        <f>IFERROR(__xludf.DUMMYFUNCTION("""COMPUTED_VALUE"""),45429.0)</f>
        <v>45429</v>
      </c>
      <c r="N1393" s="23">
        <f>IFERROR(__xludf.DUMMYFUNCTION("""COMPUTED_VALUE"""),45490.0)</f>
        <v>45490</v>
      </c>
      <c r="O1393" s="20"/>
      <c r="P1393" s="34" t="str">
        <f>IFERROR(__xludf.DUMMYFUNCTION("""COMPUTED_VALUE"""),"可")</f>
        <v>可</v>
      </c>
      <c r="Q1393" s="31" t="str">
        <f>IFERROR(__xludf.DUMMYFUNCTION("""COMPUTED_VALUE"""),"広告コミットOK(4/8)")</f>
        <v>広告コミットOK(4/8)</v>
      </c>
      <c r="R1393" s="31" t="str">
        <f>IFERROR(__xludf.DUMMYFUNCTION("""COMPUTED_VALUE"""),"格納済")</f>
        <v>格納済</v>
      </c>
      <c r="S1393" s="31" t="str">
        <f>IFERROR(__xludf.DUMMYFUNCTION("""COMPUTED_VALUE"""),"20240410_乙女ドルチェ_身代わり姫は隣国の勇猛王に溺愛される")</f>
        <v>20240410_乙女ドルチェ_身代わり姫は隣国の勇猛王に溺愛される</v>
      </c>
      <c r="T1393" s="31" t="str">
        <f>IFERROR(__xludf.DUMMYFUNCTION("""COMPUTED_VALUE"""),"校了済素材")</f>
        <v>校了済素材</v>
      </c>
      <c r="U1393" s="15" t="str">
        <f>IFERROR(__xludf.DUMMYFUNCTION("""COMPUTED_VALUE"""),"（C)鳴神ゆった・佐倉 紫／ハーパーコリンズ・ジャパン")</f>
        <v>（C)鳴神ゆった・佐倉 紫／ハーパーコリンズ・ジャパン</v>
      </c>
      <c r="V1393" s="8" t="str">
        <f>IFERROR(__xludf.DUMMYFUNCTION("""COMPUTED_VALUE"""),"【冷酷非情の王】×【王女に扮する修道女】
惹かれてはいけない相手に愛し尽くされて──…!?
『あなたを抱きたくてたまらない』王女の身代わりとして隣国の王オーガストに嫁ぐことになったティアナ｡謁見の場に現れたのは到着の夜､庭園で転びそうになったのを助けてくれた美形の騎士だった！　そして迎えた初夜。「心配はいらない｡わたしが全て教えるから」オーガストの指先が､ティアナの誰にも触れられたことのない部分を甘く愛撫する。身体は熱く蕩け、彼への愛は深まっていく。身代わりなのに愛してしまって大丈夫なの…？")</f>
        <v>【冷酷非情の王】×【王女に扮する修道女】
惹かれてはいけない相手に愛し尽くされて──…!?
『あなたを抱きたくてたまらない』王女の身代わりとして隣国の王オーガストに嫁ぐことになったティアナ｡謁見の場に現れたのは到着の夜､庭園で転びそうになったのを助けてくれた美形の騎士だった！　そして迎えた初夜。「心配はいらない｡わたしが全て教えるから」オーガストの指先が､ティアナの誰にも触れられたことのない部分を甘く愛撫する。身体は熱く蕩け、彼への愛は深まっていく。身代わりなのに愛してしまって大丈夫なの…？</v>
      </c>
      <c r="W1393" s="14"/>
      <c r="X1393" s="14" t="str">
        <f>IFERROR(__xludf.DUMMYFUNCTION("""COMPUTED_VALUE"""),"有")</f>
        <v>有</v>
      </c>
      <c r="Y1393" s="8" t="str">
        <f>IFERROR(__xludf.DUMMYFUNCTION("""COMPUTED_VALUE"""),"P9まで")</f>
        <v>P9まで</v>
      </c>
      <c r="Z1393" s="7"/>
      <c r="AA1393" s="7"/>
      <c r="AB1393" s="7"/>
    </row>
    <row r="1394" ht="15.75" customHeight="1">
      <c r="A1394" s="26">
        <f>IFERROR(__xludf.DUMMYFUNCTION("""COMPUTED_VALUE"""),3186.0)</f>
        <v>3186</v>
      </c>
      <c r="B1394" s="31" t="str">
        <f>IFERROR(__xludf.DUMMYFUNCTION("""COMPUTED_VALUE"""),"確定")</f>
        <v>確定</v>
      </c>
      <c r="C1394" s="28">
        <f>IFERROR(__xludf.DUMMYFUNCTION("""COMPUTED_VALUE"""),45379.0)</f>
        <v>45379</v>
      </c>
      <c r="D1394" s="28">
        <f>IFERROR(__xludf.DUMMYFUNCTION("""COMPUTED_VALUE"""),45390.0)</f>
        <v>45390</v>
      </c>
      <c r="E1394" s="31">
        <f>IFERROR(__xludf.DUMMYFUNCTION("""COMPUTED_VALUE"""),292036.0)</f>
        <v>292036</v>
      </c>
      <c r="F1394" s="31" t="str">
        <f>IFERROR(__xludf.DUMMYFUNCTION("""COMPUTED_VALUE"""),"Solo for Two～あなたに捧ぐヴァリエーション～")</f>
        <v>Solo for Two～あなたに捧ぐヴァリエーション～</v>
      </c>
      <c r="G1394" s="20" t="str">
        <f>IFERROR(__xludf.DUMMYFUNCTION("""COMPUTED_VALUE"""),"1～18")</f>
        <v>1～18</v>
      </c>
      <c r="H1394" s="31" t="str">
        <f>IFERROR(__xludf.DUMMYFUNCTION("""COMPUTED_VALUE"""),"原作: Caesim 脚色/ネーム: Doryeon, oddloop 作画: ilwoo")</f>
        <v>原作: Caesim 脚色/ネーム: Doryeon, oddloop 作画: ilwoo</v>
      </c>
      <c r="I1394" s="31" t="str">
        <f>IFERROR(__xludf.DUMMYFUNCTION("""COMPUTED_VALUE"""),"BL")</f>
        <v>BL</v>
      </c>
      <c r="J1394" s="31"/>
      <c r="K1394" s="31"/>
      <c r="L1394" s="31" t="str">
        <f>IFERROR(__xludf.DUMMYFUNCTION("""COMPUTED_VALUE"""),"RCC")</f>
        <v>RCC</v>
      </c>
      <c r="M1394" s="23">
        <f>IFERROR(__xludf.DUMMYFUNCTION("""COMPUTED_VALUE"""),45401.0)</f>
        <v>45401</v>
      </c>
      <c r="N1394" s="47">
        <f>IFERROR(__xludf.DUMMYFUNCTION("""COMPUTED_VALUE"""),45491.0)</f>
        <v>45491</v>
      </c>
      <c r="O1394" s="20"/>
      <c r="P1394" s="34" t="str">
        <f>IFERROR(__xludf.DUMMYFUNCTION("""COMPUTED_VALUE"""),"可")</f>
        <v>可</v>
      </c>
      <c r="Q1394" s="31" t="str">
        <f>IFERROR(__xludf.DUMMYFUNCTION("""COMPUTED_VALUE"""),"広告コミットOK(4/2)&lt;BR&gt;楽天のオリジナルコミックの二次先行です。（CPID発行は4月上旬予定）")</f>
        <v>広告コミットOK(4/2)&lt;BR&gt;楽天のオリジナルコミックの二次先行です。（CPID発行は4月上旬予定）</v>
      </c>
      <c r="R1394" s="31" t="str">
        <f>IFERROR(__xludf.DUMMYFUNCTION("""COMPUTED_VALUE"""),"格納済み")</f>
        <v>格納済み</v>
      </c>
      <c r="S1394" s="31" t="str">
        <f>IFERROR(__xludf.DUMMYFUNCTION("""COMPUTED_VALUE"""),"20240403_RCC_先行配信2作品")</f>
        <v>20240403_RCC_先行配信2作品</v>
      </c>
      <c r="T1394" s="31" t="str">
        <f>IFERROR(__xludf.DUMMYFUNCTION("""COMPUTED_VALUE"""),"格納済み")</f>
        <v>格納済み</v>
      </c>
      <c r="U1394" s="15" t="str">
        <f>IFERROR(__xludf.DUMMYFUNCTION("""COMPUTED_VALUE"""),"©Caesim, Doryeon, oddloop, ilwoo/NHN")</f>
        <v>©Caesim, Doryeon, oddloop, ilwoo/NHN</v>
      </c>
      <c r="V1394" s="8" t="str">
        <f>IFERROR(__xludf.DUMMYFUNCTION("""COMPUTED_VALUE"""),"”パリを熱狂させるスターバレリーノの
サーシャには三つの噂がある。
１. 男色家。
２. 麻薬を使用して舞台に上がっている。
３. 後援者の貴族たちに体を売っている。
この噂のどれかは真実だ。
そんなサーシャにも献身的に愛した人がいた。
成功のために捨ててしまった彼が。
ある日、サーシャの前に過去の恋人が再び現れる。
過去とは全く違う、憎悪に満ちた眼差しで――”")</f>
        <v>”パリを熱狂させるスターバレリーノの
サーシャには三つの噂がある。
１. 男色家。
２. 麻薬を使用して舞台に上がっている。
３. 後援者の貴族たちに体を売っている。
この噂のどれかは真実だ。
そんなサーシャにも献身的に愛した人がいた。
成功のために捨ててしまった彼が。
ある日、サーシャの前に過去の恋人が再び現れる。
過去とは全く違う、憎悪に満ちた眼差しで――”</v>
      </c>
      <c r="W1394" s="14"/>
      <c r="X1394" s="14" t="str">
        <f>IFERROR(__xludf.DUMMYFUNCTION("""COMPUTED_VALUE"""),"有")</f>
        <v>有</v>
      </c>
      <c r="Y1394" s="8" t="str">
        <f>IFERROR(__xludf.DUMMYFUNCTION("""COMPUTED_VALUE"""),"3巻無料")</f>
        <v>3巻無料</v>
      </c>
      <c r="Z1394" s="7"/>
      <c r="AA1394" s="7"/>
      <c r="AB1394" s="7"/>
    </row>
    <row r="1395" ht="15.75" customHeight="1">
      <c r="A1395" s="26">
        <f>IFERROR(__xludf.DUMMYFUNCTION("""COMPUTED_VALUE"""),3187.0)</f>
        <v>3187</v>
      </c>
      <c r="B1395" s="31" t="str">
        <f>IFERROR(__xludf.DUMMYFUNCTION("""COMPUTED_VALUE"""),"確定")</f>
        <v>確定</v>
      </c>
      <c r="C1395" s="28">
        <f>IFERROR(__xludf.DUMMYFUNCTION("""COMPUTED_VALUE"""),45379.0)</f>
        <v>45379</v>
      </c>
      <c r="D1395" s="28">
        <f>IFERROR(__xludf.DUMMYFUNCTION("""COMPUTED_VALUE"""),45390.0)</f>
        <v>45390</v>
      </c>
      <c r="E1395" s="31">
        <f>IFERROR(__xludf.DUMMYFUNCTION("""COMPUTED_VALUE"""),292208.0)</f>
        <v>292208</v>
      </c>
      <c r="F1395" s="31" t="str">
        <f>IFERROR(__xludf.DUMMYFUNCTION("""COMPUTED_VALUE"""),"Mr.Miss")</f>
        <v>Mr.Miss</v>
      </c>
      <c r="G1395" s="16" t="str">
        <f>IFERROR(__xludf.DUMMYFUNCTION("""COMPUTED_VALUE"""),"1～20")</f>
        <v>1～20</v>
      </c>
      <c r="H1395" s="31" t="str">
        <f>IFERROR(__xludf.DUMMYFUNCTION("""COMPUTED_VALUE"""),"aseom")</f>
        <v>aseom</v>
      </c>
      <c r="I1395" s="31" t="str">
        <f>IFERROR(__xludf.DUMMYFUNCTION("""COMPUTED_VALUE"""),"BL")</f>
        <v>BL</v>
      </c>
      <c r="J1395" s="31"/>
      <c r="K1395" s="31"/>
      <c r="L1395" s="31" t="str">
        <f>IFERROR(__xludf.DUMMYFUNCTION("""COMPUTED_VALUE"""),"RCC")</f>
        <v>RCC</v>
      </c>
      <c r="M1395" s="23">
        <f>IFERROR(__xludf.DUMMYFUNCTION("""COMPUTED_VALUE"""),45404.0)</f>
        <v>45404</v>
      </c>
      <c r="N1395" s="47">
        <f>IFERROR(__xludf.DUMMYFUNCTION("""COMPUTED_VALUE"""),45494.0)</f>
        <v>45494</v>
      </c>
      <c r="O1395" s="20"/>
      <c r="P1395" s="34" t="str">
        <f>IFERROR(__xludf.DUMMYFUNCTION("""COMPUTED_VALUE"""),"可")</f>
        <v>可</v>
      </c>
      <c r="Q1395" s="31" t="str">
        <f>IFERROR(__xludf.DUMMYFUNCTION("""COMPUTED_VALUE"""),"広告コミットOK(4/2)&lt;BR&gt;楽天のオリジナルコミックの二次先行です。（CPID発行は4月上旬予定）")</f>
        <v>広告コミットOK(4/2)&lt;BR&gt;楽天のオリジナルコミックの二次先行です。（CPID発行は4月上旬予定）</v>
      </c>
      <c r="R1395" s="31" t="str">
        <f>IFERROR(__xludf.DUMMYFUNCTION("""COMPUTED_VALUE"""),"格納済み")</f>
        <v>格納済み</v>
      </c>
      <c r="S1395" s="31" t="str">
        <f>IFERROR(__xludf.DUMMYFUNCTION("""COMPUTED_VALUE"""),"20240403_RCC_先行配信2作品")</f>
        <v>20240403_RCC_先行配信2作品</v>
      </c>
      <c r="T1395" s="31" t="str">
        <f>IFERROR(__xludf.DUMMYFUNCTION("""COMPUTED_VALUE"""),"格納済み")</f>
        <v>格納済み</v>
      </c>
      <c r="U1395" s="15" t="str">
        <f>IFERROR(__xludf.DUMMYFUNCTION("""COMPUTED_VALUE"""),"©aseom/Wisdomhouse")</f>
        <v>©aseom/Wisdomhouse</v>
      </c>
      <c r="V1395" s="8" t="str">
        <f>IFERROR(__xludf.DUMMYFUNCTION("""COMPUTED_VALUE"""),"人間関係に懐疑的な主人公ジェミンは、偶然再会した高校の同級生ジュヒョに好意を抱き始める。
しかしジュヒョには高校の頃にアウティングされたトラウマがあり…。
過去の傷を抱えたまま生きるジュヒョと、なんの変哲もない人生に嫌気が差していたジェミン。
なかなか距離を縮められない２人の恋の行方は…")</f>
        <v>人間関係に懐疑的な主人公ジェミンは、偶然再会した高校の同級生ジュヒョに好意を抱き始める。
しかしジュヒョには高校の頃にアウティングされたトラウマがあり…。
過去の傷を抱えたまま生きるジュヒョと、なんの変哲もない人生に嫌気が差していたジェミン。
なかなか距離を縮められない２人の恋の行方は…</v>
      </c>
      <c r="W1395" s="14"/>
      <c r="X1395" s="14" t="str">
        <f>IFERROR(__xludf.DUMMYFUNCTION("""COMPUTED_VALUE"""),"有")</f>
        <v>有</v>
      </c>
      <c r="Y1395" s="8" t="str">
        <f>IFERROR(__xludf.DUMMYFUNCTION("""COMPUTED_VALUE"""),"3巻無料")</f>
        <v>3巻無料</v>
      </c>
      <c r="Z1395" s="7"/>
      <c r="AA1395" s="7"/>
      <c r="AB1395" s="7"/>
    </row>
    <row r="1396" ht="15.75" customHeight="1">
      <c r="A1396" s="26">
        <f>IFERROR(__xludf.DUMMYFUNCTION("""COMPUTED_VALUE"""),3217.0)</f>
        <v>3217</v>
      </c>
      <c r="B1396" s="31" t="str">
        <f>IFERROR(__xludf.DUMMYFUNCTION("""COMPUTED_VALUE"""),"確定")</f>
        <v>確定</v>
      </c>
      <c r="C1396" s="28">
        <f>IFERROR(__xludf.DUMMYFUNCTION("""COMPUTED_VALUE"""),45380.0)</f>
        <v>45380</v>
      </c>
      <c r="D1396" s="28">
        <f>IFERROR(__xludf.DUMMYFUNCTION("""COMPUTED_VALUE"""),45392.0)</f>
        <v>45392</v>
      </c>
      <c r="E1396" s="31">
        <f>IFERROR(__xludf.DUMMYFUNCTION("""COMPUTED_VALUE"""),293120.0)</f>
        <v>293120</v>
      </c>
      <c r="F1396" s="31" t="str">
        <f>IFERROR(__xludf.DUMMYFUNCTION("""COMPUTED_VALUE"""),"俺様上司は秘書を溺愛する御曹司～スパダリ常務の偽装恋人に任命されて!?")</f>
        <v>俺様上司は秘書を溺愛する御曹司～スパダリ常務の偽装恋人に任命されて!?</v>
      </c>
      <c r="G1396" s="11" t="str">
        <f>IFERROR(__xludf.DUMMYFUNCTION("""COMPUTED_VALUE"""),"1～2")</f>
        <v>1～2</v>
      </c>
      <c r="H1396" s="31" t="str">
        <f>IFERROR(__xludf.DUMMYFUNCTION("""COMPUTED_VALUE"""),"東雲瑞稀／さくら蒼")</f>
        <v>東雲瑞稀／さくら蒼</v>
      </c>
      <c r="I1396" s="31" t="str">
        <f>IFERROR(__xludf.DUMMYFUNCTION("""COMPUTED_VALUE"""),"TL")</f>
        <v>TL</v>
      </c>
      <c r="J1396" s="31"/>
      <c r="K1396" s="31"/>
      <c r="L1396" s="31" t="str">
        <f>IFERROR(__xludf.DUMMYFUNCTION("""COMPUTED_VALUE"""),"CLLENN")</f>
        <v>CLLENN</v>
      </c>
      <c r="M1396" s="23">
        <f>IFERROR(__xludf.DUMMYFUNCTION("""COMPUTED_VALUE"""),45439.0)</f>
        <v>45439</v>
      </c>
      <c r="N1396" s="23">
        <f>IFERROR(__xludf.DUMMYFUNCTION("""COMPUTED_VALUE"""),45501.0)</f>
        <v>45501</v>
      </c>
      <c r="O1396" s="20"/>
      <c r="P1396" s="34" t="str">
        <f>IFERROR(__xludf.DUMMYFUNCTION("""COMPUTED_VALUE"""),"可")</f>
        <v>可</v>
      </c>
      <c r="Q1396" s="31" t="str">
        <f>IFERROR(__xludf.DUMMYFUNCTION("""COMPUTED_VALUE"""),"広告コミットOK(4/5) レーベル名：ウーコミ!kiss")</f>
        <v>広告コミットOK(4/5) レーベル名：ウーコミ!kiss</v>
      </c>
      <c r="R1396" s="31" t="str">
        <f>IFERROR(__xludf.DUMMYFUNCTION("""COMPUTED_VALUE"""),"格納済")</f>
        <v>格納済</v>
      </c>
      <c r="S1396" s="31" t="str">
        <f>IFERROR(__xludf.DUMMYFUNCTION("""COMPUTED_VALUE"""),"20240405_CLLENN_俺様上司は秘書を溺愛する御曹司～スパダリ常務の偽装恋人に任命されて")</f>
        <v>20240405_CLLENN_俺様上司は秘書を溺愛する御曹司～スパダリ常務の偽装恋人に任命されて</v>
      </c>
      <c r="T1396" s="31" t="str">
        <f>IFERROR(__xludf.DUMMYFUNCTION("""COMPUTED_VALUE"""),"格納済み")</f>
        <v>格納済み</v>
      </c>
      <c r="U1396" s="15" t="str">
        <f>IFERROR(__xludf.DUMMYFUNCTION("""COMPUTED_VALUE"""),"ⓒ東雲瑞稀・さくら蒼/CLLENN")</f>
        <v>ⓒ東雲瑞稀・さくら蒼/CLLENN</v>
      </c>
      <c r="V1396" s="8" t="str">
        <f>IFERROR(__xludf.DUMMYFUNCTION("""COMPUTED_VALUE"""),"「一回イったくらいで終わったと思うなよ。今夜は泣くまでかわいがってやる」私・南野花梨は、財前さんの専属秘書になって３ヶ月で正式採用が決定した。常務取締役で御曹司の彼は超俺様な性格だって聞いていたから心配だったけど、「取引先の評判がいい」「仕事も早い」って私のこと絶賛してくれた。ストレートに「お前が必要だ」なんて言われて、強引だけど嬉しくないわけない…！　誘われて行ったふたりきりの歓迎会で、酔いすぎた私は財前さんに介抱されてホテルへ。最初はそのまま休ませようとしてくれたのに、さんざん煽ったら、火のついた彼に"&amp;"キスされて、服を脱がされて…。大事なところを舐められて「もっと欲しいだろう？」なんて、仕事と変わらない俺様モードで攻められた私。すっかり酔いが冷めたあと、顔面蒼白で謝罪したら「なら、俺の偽装恋人になれ」と彼からまさかの提案をされて!?")</f>
        <v>「一回イったくらいで終わったと思うなよ。今夜は泣くまでかわいがってやる」私・南野花梨は、財前さんの専属秘書になって３ヶ月で正式採用が決定した。常務取締役で御曹司の彼は超俺様な性格だって聞いていたから心配だったけど、「取引先の評判がいい」「仕事も早い」って私のこと絶賛してくれた。ストレートに「お前が必要だ」なんて言われて、強引だけど嬉しくないわけない…！　誘われて行ったふたりきりの歓迎会で、酔いすぎた私は財前さんに介抱されてホテルへ。最初はそのまま休ませようとしてくれたのに、さんざん煽ったら、火のついた彼にキスされて、服を脱がされて…。大事なところを舐められて「もっと欲しいだろう？」なんて、仕事と変わらない俺様モードで攻められた私。すっかり酔いが冷めたあと、顔面蒼白で謝罪したら「なら、俺の偽装恋人になれ」と彼からまさかの提案をされて!?</v>
      </c>
      <c r="W1396" s="14"/>
      <c r="X1396" s="14" t="str">
        <f>IFERROR(__xludf.DUMMYFUNCTION("""COMPUTED_VALUE"""),"有")</f>
        <v>有</v>
      </c>
      <c r="Y1396" s="8" t="str">
        <f>IFERROR(__xludf.DUMMYFUNCTION("""COMPUTED_VALUE"""),"P10まで")</f>
        <v>P10まで</v>
      </c>
      <c r="Z1396" s="7"/>
      <c r="AA1396" s="7"/>
      <c r="AB1396" s="7"/>
    </row>
    <row r="1397" ht="15.75" customHeight="1">
      <c r="A1397" s="26">
        <f>IFERROR(__xludf.DUMMYFUNCTION("""COMPUTED_VALUE"""),3240.0)</f>
        <v>3240</v>
      </c>
      <c r="B1397" s="31" t="str">
        <f>IFERROR(__xludf.DUMMYFUNCTION("""COMPUTED_VALUE"""),"確定")</f>
        <v>確定</v>
      </c>
      <c r="C1397" s="28">
        <f>IFERROR(__xludf.DUMMYFUNCTION("""COMPUTED_VALUE"""),45385.0)</f>
        <v>45385</v>
      </c>
      <c r="D1397" s="28">
        <f>IFERROR(__xludf.DUMMYFUNCTION("""COMPUTED_VALUE"""),45387.0)</f>
        <v>45387</v>
      </c>
      <c r="E1397" s="31">
        <f>IFERROR(__xludf.DUMMYFUNCTION("""COMPUTED_VALUE"""),291405.0)</f>
        <v>291405</v>
      </c>
      <c r="F1397" s="31" t="str">
        <f>IFERROR(__xludf.DUMMYFUNCTION("""COMPUTED_VALUE"""),"Berry’sFantasy捨てられた妃 めでたく離縁が成立したので出ていったら、竜国の王太子からの溺愛が待っていました")</f>
        <v>Berry’sFantasy捨てられた妃 めでたく離縁が成立したので出ていったら、竜国の王太子からの溺愛が待っていました</v>
      </c>
      <c r="G1397" s="11" t="str">
        <f>IFERROR(__xludf.DUMMYFUNCTION("""COMPUTED_VALUE"""),"1～4")</f>
        <v>1～4</v>
      </c>
      <c r="H1397" s="31" t="str">
        <f>IFERROR(__xludf.DUMMYFUNCTION("""COMPUTED_VALUE"""),"紅月りと。（作画）、里海慧（原作）")</f>
        <v>紅月りと。（作画）、里海慧（原作）</v>
      </c>
      <c r="I1397" s="31" t="str">
        <f>IFERROR(__xludf.DUMMYFUNCTION("""COMPUTED_VALUE"""),"女性")</f>
        <v>女性</v>
      </c>
      <c r="J1397" s="31"/>
      <c r="K1397" s="31"/>
      <c r="L1397" s="31" t="str">
        <f>IFERROR(__xludf.DUMMYFUNCTION("""COMPUTED_VALUE"""),"スターツ出版")</f>
        <v>スターツ出版</v>
      </c>
      <c r="M1397" s="23">
        <f>IFERROR(__xludf.DUMMYFUNCTION("""COMPUTED_VALUE"""),45408.0)</f>
        <v>45408</v>
      </c>
      <c r="N1397" s="23">
        <f>IFERROR(__xludf.DUMMYFUNCTION("""COMPUTED_VALUE"""),45470.0)</f>
        <v>45470</v>
      </c>
      <c r="O1397" s="20"/>
      <c r="P1397" s="34" t="str">
        <f>IFERROR(__xludf.DUMMYFUNCTION("""COMPUTED_VALUE"""),"否")</f>
        <v>否</v>
      </c>
      <c r="Q1397" s="30" t="str">
        <f>IFERROR(__xludf.DUMMYFUNCTION("""COMPUTED_VALUE"""),"3話分での制作をお願い致します。")</f>
        <v>3話分での制作をお願い致します。</v>
      </c>
      <c r="R1397" s="31"/>
      <c r="S1397" s="31" t="str">
        <f>IFERROR(__xludf.DUMMYFUNCTION("""COMPUTED_VALUE"""),"20240403_スターツ出版_甘く抱かれる執愛婚")</f>
        <v>20240403_スターツ出版_甘く抱かれる執愛婚</v>
      </c>
      <c r="T1397" s="31" t="str">
        <f>IFERROR(__xludf.DUMMYFUNCTION("""COMPUTED_VALUE"""),"格納済み")</f>
        <v>格納済み</v>
      </c>
      <c r="U1397" s="15" t="str">
        <f>IFERROR(__xludf.DUMMYFUNCTION("""COMPUTED_VALUE"""),"（C）Rito Kouzuki・Akira Satomi/スターツ出版")</f>
        <v>（C）Rito Kouzuki・Akira Satomi/スターツ出版</v>
      </c>
      <c r="V1397" s="8" t="str">
        <f>IFERROR(__xludf.DUMMYFUNCTION("""COMPUTED_VALUE"""),"魔道具開発の才能を買われ、王命により王太子・ウィルバートの妃となったロザリア。大切な家族と民のため、陰ながら国を支えてきたけれど、愛妾に執心するウィルバートから「お前を愛するつもりはない」と宣言されてしまう。白い結婚のまま『誰にも愛されない妃』と揶揄され続けて６年――愛妾の懐妊を機に名ばかりの妃生活はあっけなく終了。無慈悲に離婚を命じられるが…ようやく自由を手にしたロザリアの心は羽のように軽かった！
長年支えてくれた執事のアレスとともに、ロザリアは国を去ることに。アレスの提案で彼の故郷へ向かうと、そこは"&amp;"文献でしか知らない竜人の国・ラクテウス王国だった。
『番』と呼ばれる唯一無二の伴侶を持ち、人知を超える存在といわれる竜人――。膨大な魔力を有する謎に包まれたアレスが竜人だったと知り納得するロザリアだけど、どうやら彼は他にも秘密があるようで…!?　
追放から始まる、自由気ままな第二の人生がスタート♪捨てられた妃の大逆転劇、ここに開幕！(この作品は電子コミック誌Berry’s Fantasy Vol.51に掲載しております。重複購入にご注意ください)")</f>
        <v>魔道具開発の才能を買われ、王命により王太子・ウィルバートの妃となったロザリア。大切な家族と民のため、陰ながら国を支えてきたけれど、愛妾に執心するウィルバートから「お前を愛するつもりはない」と宣言されてしまう。白い結婚のまま『誰にも愛されない妃』と揶揄され続けて６年――愛妾の懐妊を機に名ばかりの妃生活はあっけなく終了。無慈悲に離婚を命じられるが…ようやく自由を手にしたロザリアの心は羽のように軽かった！
長年支えてくれた執事のアレスとともに、ロザリアは国を去ることに。アレスの提案で彼の故郷へ向かうと、そこは文献でしか知らない竜人の国・ラクテウス王国だった。
『番』と呼ばれる唯一無二の伴侶を持ち、人知を超える存在といわれる竜人――。膨大な魔力を有する謎に包まれたアレスが竜人だったと知り納得するロザリアだけど、どうやら彼は他にも秘密があるようで…!?　
追放から始まる、自由気ままな第二の人生がスタート♪捨てられた妃の大逆転劇、ここに開幕！(この作品は電子コミック誌Berry’s Fantasy Vol.51に掲載しております。重複購入にご注意ください)</v>
      </c>
      <c r="W1397" s="14"/>
      <c r="X1397" s="14" t="str">
        <f>IFERROR(__xludf.DUMMYFUNCTION("""COMPUTED_VALUE"""),"有")</f>
        <v>有</v>
      </c>
      <c r="Y1397" s="8" t="str">
        <f>IFERROR(__xludf.DUMMYFUNCTION("""COMPUTED_VALUE"""),"6/27まで1巻無料")</f>
        <v>6/27まで1巻無料</v>
      </c>
      <c r="Z1397" s="7"/>
      <c r="AA1397" s="7"/>
      <c r="AB1397" s="7"/>
    </row>
    <row r="1398" ht="15.75" customHeight="1">
      <c r="A1398" s="26">
        <f>IFERROR(__xludf.DUMMYFUNCTION("""COMPUTED_VALUE"""),3248.0)</f>
        <v>3248</v>
      </c>
      <c r="B1398" s="31" t="str">
        <f>IFERROR(__xludf.DUMMYFUNCTION("""COMPUTED_VALUE"""),"確定")</f>
        <v>確定</v>
      </c>
      <c r="C1398" s="28">
        <f>IFERROR(__xludf.DUMMYFUNCTION("""COMPUTED_VALUE"""),45390.0)</f>
        <v>45390</v>
      </c>
      <c r="D1398" s="28">
        <f>IFERROR(__xludf.DUMMYFUNCTION("""COMPUTED_VALUE"""),45391.0)</f>
        <v>45391</v>
      </c>
      <c r="E1398" s="26">
        <f>IFERROR(__xludf.DUMMYFUNCTION("""COMPUTED_VALUE"""),267232.0)</f>
        <v>267232</v>
      </c>
      <c r="F1398" s="31" t="str">
        <f>IFERROR(__xludf.DUMMYFUNCTION("""COMPUTED_VALUE"""),"恋を知らない年下くんの執着エッチ")</f>
        <v>恋を知らない年下くんの執着エッチ</v>
      </c>
      <c r="G1398" s="20" t="str">
        <f>IFERROR(__xludf.DUMMYFUNCTION("""COMPUTED_VALUE"""),"1～3")</f>
        <v>1～3</v>
      </c>
      <c r="H1398" s="31" t="str">
        <f>IFERROR(__xludf.DUMMYFUNCTION("""COMPUTED_VALUE"""),"れきほねを")</f>
        <v>れきほねを</v>
      </c>
      <c r="I1398" s="31" t="str">
        <f>IFERROR(__xludf.DUMMYFUNCTION("""COMPUTED_VALUE"""),"TL")</f>
        <v>TL</v>
      </c>
      <c r="J1398" s="31"/>
      <c r="K1398" s="31"/>
      <c r="L1398" s="31" t="str">
        <f>IFERROR(__xludf.DUMMYFUNCTION("""COMPUTED_VALUE"""),"ソルマーレ編集部")</f>
        <v>ソルマーレ編集部</v>
      </c>
      <c r="M1398" s="23">
        <f>IFERROR(__xludf.DUMMYFUNCTION("""COMPUTED_VALUE"""),45423.0)</f>
        <v>45423</v>
      </c>
      <c r="N1398" s="23">
        <f>IFERROR(__xludf.DUMMYFUNCTION("""COMPUTED_VALUE"""),45484.0)</f>
        <v>45484</v>
      </c>
      <c r="O1398" s="20"/>
      <c r="P1398" s="34" t="str">
        <f>IFERROR(__xludf.DUMMYFUNCTION("""COMPUTED_VALUE"""),"可")</f>
        <v>可</v>
      </c>
      <c r="Q1398" s="30" t="str">
        <f>IFERROR(__xludf.DUMMYFUNCTION("""COMPUTED_VALUE"""),"レーベル：スキして?桃色日記")</f>
        <v>レーベル：スキして?桃色日記</v>
      </c>
      <c r="R1398" s="31"/>
      <c r="S1398" s="31" t="str">
        <f>IFERROR(__xludf.DUMMYFUNCTION("""COMPUTED_VALUE"""),"20240408_ソルマーレ編集部_恋を知らない年下くんの執着エッチ")</f>
        <v>20240408_ソルマーレ編集部_恋を知らない年下くんの執着エッチ</v>
      </c>
      <c r="T1398" s="31" t="str">
        <f>IFERROR(__xludf.DUMMYFUNCTION("""COMPUTED_VALUE"""),"格納済み")</f>
        <v>格納済み</v>
      </c>
      <c r="U1398" s="15" t="str">
        <f>IFERROR(__xludf.DUMMYFUNCTION("""COMPUTED_VALUE"""),"Ⓒ れきほねを/シーモアコミックス")</f>
        <v>Ⓒ れきほねを/シーモアコミックス</v>
      </c>
      <c r="V1398" s="8" t="str">
        <f>IFERROR(__xludf.DUMMYFUNCTION("""COMPUTED_VALUE"""),"初恋の人が忘れられず、恋よりも仕事優先に打ち込んできた優稀（ゆうき）は気が付けばアラサーに突入していた。
周りがどんどん結婚していくことに内心焦り、自分も恋愛がしたいという気持ちを抱き始めたころ、会社からの帰り道で大学時代の後輩の笙（しょう）に出くわし、今日泊めてほしいと頼まれる。断ろうと思ったが、びしょ濡れの状態で捨て犬のような笙を放っておけず…家に連れていくことにした。
母性本能で家に泊めたはずが笙にどんどん流されてしまい体の関係を持つことに…。
そんなとき、初恋の幼なじみからの誘いがあり二人の"&amp;"間で気持ちが揺れ始める――!?【桃色日記】")</f>
        <v>初恋の人が忘れられず、恋よりも仕事優先に打ち込んできた優稀（ゆうき）は気が付けばアラサーに突入していた。
周りがどんどん結婚していくことに内心焦り、自分も恋愛がしたいという気持ちを抱き始めたころ、会社からの帰り道で大学時代の後輩の笙（しょう）に出くわし、今日泊めてほしいと頼まれる。断ろうと思ったが、びしょ濡れの状態で捨て犬のような笙を放っておけず…家に連れていくことにした。
母性本能で家に泊めたはずが笙にどんどん流されてしまい体の関係を持つことに…。
そんなとき、初恋の幼なじみからの誘いがあり二人の間で気持ちが揺れ始める――!?【桃色日記】</v>
      </c>
      <c r="W1398" s="14"/>
      <c r="X1398" s="14" t="str">
        <f>IFERROR(__xludf.DUMMYFUNCTION("""COMPUTED_VALUE"""),"有")</f>
        <v>有</v>
      </c>
      <c r="Y1398" s="8" t="str">
        <f>IFERROR(__xludf.DUMMYFUNCTION("""COMPUTED_VALUE"""),"6/7まで1巻無料")</f>
        <v>6/7まで1巻無料</v>
      </c>
      <c r="Z1398" s="7"/>
      <c r="AA1398" s="7"/>
      <c r="AB1398" s="7"/>
    </row>
    <row r="1399" ht="15.75" customHeight="1">
      <c r="A1399" s="26">
        <f>IFERROR(__xludf.DUMMYFUNCTION("""COMPUTED_VALUE"""),3249.0)</f>
        <v>3249</v>
      </c>
      <c r="B1399" s="31" t="str">
        <f>IFERROR(__xludf.DUMMYFUNCTION("""COMPUTED_VALUE"""),"確定")</f>
        <v>確定</v>
      </c>
      <c r="C1399" s="28">
        <f>IFERROR(__xludf.DUMMYFUNCTION("""COMPUTED_VALUE"""),45390.0)</f>
        <v>45390</v>
      </c>
      <c r="D1399" s="28">
        <f>IFERROR(__xludf.DUMMYFUNCTION("""COMPUTED_VALUE"""),45391.0)</f>
        <v>45391</v>
      </c>
      <c r="E1399" s="26">
        <f>IFERROR(__xludf.DUMMYFUNCTION("""COMPUTED_VALUE"""),280067.0)</f>
        <v>280067</v>
      </c>
      <c r="F1399" s="31" t="str">
        <f>IFERROR(__xludf.DUMMYFUNCTION("""COMPUTED_VALUE"""),"こっち向いて矢郷さん！")</f>
        <v>こっち向いて矢郷さん！</v>
      </c>
      <c r="G1399" s="20">
        <f>IFERROR(__xludf.DUMMYFUNCTION("""COMPUTED_VALUE"""),1.0)</f>
        <v>1</v>
      </c>
      <c r="H1399" s="31" t="str">
        <f>IFERROR(__xludf.DUMMYFUNCTION("""COMPUTED_VALUE"""),"結びえるる")</f>
        <v>結びえるる</v>
      </c>
      <c r="I1399" s="31" t="str">
        <f>IFERROR(__xludf.DUMMYFUNCTION("""COMPUTED_VALUE"""),"BL")</f>
        <v>BL</v>
      </c>
      <c r="J1399" s="31"/>
      <c r="K1399" s="31"/>
      <c r="L1399" s="31" t="str">
        <f>IFERROR(__xludf.DUMMYFUNCTION("""COMPUTED_VALUE"""),"ソルマーレ編集部")</f>
        <v>ソルマーレ編集部</v>
      </c>
      <c r="M1399" s="23">
        <f>IFERROR(__xludf.DUMMYFUNCTION("""COMPUTED_VALUE"""),45423.0)</f>
        <v>45423</v>
      </c>
      <c r="N1399" s="23">
        <f>IFERROR(__xludf.DUMMYFUNCTION("""COMPUTED_VALUE"""),45484.0)</f>
        <v>45484</v>
      </c>
      <c r="O1399" s="20"/>
      <c r="P1399" s="34" t="str">
        <f>IFERROR(__xludf.DUMMYFUNCTION("""COMPUTED_VALUE"""),"可")</f>
        <v>可</v>
      </c>
      <c r="Q1399" s="30" t="str">
        <f>IFERROR(__xludf.DUMMYFUNCTION("""COMPUTED_VALUE"""),"※読み切り作品のため1巻のみですが出稿お願いします")</f>
        <v>※読み切り作品のため1巻のみですが出稿お願いします</v>
      </c>
      <c r="R1399" s="31"/>
      <c r="S1399" s="31" t="str">
        <f>IFERROR(__xludf.DUMMYFUNCTION("""COMPUTED_VALUE"""),"20240408_ソルマーレ編集部_こっち向いて矢郷さん！")</f>
        <v>20240408_ソルマーレ編集部_こっち向いて矢郷さん！</v>
      </c>
      <c r="T1399" s="31" t="str">
        <f>IFERROR(__xludf.DUMMYFUNCTION("""COMPUTED_VALUE"""),"格納済み")</f>
        <v>格納済み</v>
      </c>
      <c r="U1399" s="15" t="str">
        <f>IFERROR(__xludf.DUMMYFUNCTION("""COMPUTED_VALUE"""),"Ⓒ 結びえるる/シーモアコミックス")</f>
        <v>Ⓒ 結びえるる/シーモアコミックス</v>
      </c>
      <c r="V1399" s="8" t="str">
        <f>IFERROR(__xludf.DUMMYFUNCTION("""COMPUTED_VALUE"""),"まさかトレーニング中に、こんなことするなんて…!? イイ体の年下鬼トレーナー×ヘタレリーマンのどきどき密着ラブ！――パーソナルジムで絶賛カラダ絞り中のリーマン・河之瀬。辛くて厳しいトレーニングにもめげずにジムに通い続ける理由は一つ、トレーナー・矢郷さんのことが好きだから！ クールで無口で鬼のように厳しい矢郷さんだけど、笑った顔はそれはそれは素敵で…一目見た瞬間、河之瀬は恋に落ちてしまったのだ。どうにかアピールできないものかと頭を悩ませていたある日、矢郷さんとカラダを密着させた河之瀬は異変を感じて…？【フィ"&amp;"カス】")</f>
        <v>まさかトレーニング中に、こんなことするなんて…!? イイ体の年下鬼トレーナー×ヘタレリーマンのどきどき密着ラブ！――パーソナルジムで絶賛カラダ絞り中のリーマン・河之瀬。辛くて厳しいトレーニングにもめげずにジムに通い続ける理由は一つ、トレーナー・矢郷さんのことが好きだから！ クールで無口で鬼のように厳しい矢郷さんだけど、笑った顔はそれはそれは素敵で…一目見た瞬間、河之瀬は恋に落ちてしまったのだ。どうにかアピールできないものかと頭を悩ませていたある日、矢郷さんとカラダを密着させた河之瀬は異変を感じて…？【フィカス】</v>
      </c>
      <c r="W1399" s="14"/>
      <c r="X1399" s="14" t="str">
        <f>IFERROR(__xludf.DUMMYFUNCTION("""COMPUTED_VALUE"""),"有")</f>
        <v>有</v>
      </c>
      <c r="Y1399" s="8" t="str">
        <f>IFERROR(__xludf.DUMMYFUNCTION("""COMPUTED_VALUE"""),"P11まで")</f>
        <v>P11まで</v>
      </c>
      <c r="Z1399" s="7"/>
      <c r="AA1399" s="7"/>
      <c r="AB1399" s="7"/>
    </row>
    <row r="1400" ht="15.75" customHeight="1">
      <c r="A1400" s="26">
        <f>IFERROR(__xludf.DUMMYFUNCTION("""COMPUTED_VALUE"""),3251.0)</f>
        <v>3251</v>
      </c>
      <c r="B1400" s="31" t="str">
        <f>IFERROR(__xludf.DUMMYFUNCTION("""COMPUTED_VALUE"""),"確定")</f>
        <v>確定</v>
      </c>
      <c r="C1400" s="28">
        <f>IFERROR(__xludf.DUMMYFUNCTION("""COMPUTED_VALUE"""),45390.0)</f>
        <v>45390</v>
      </c>
      <c r="D1400" s="28">
        <f>IFERROR(__xludf.DUMMYFUNCTION("""COMPUTED_VALUE"""),45391.0)</f>
        <v>45391</v>
      </c>
      <c r="E1400" s="31">
        <f>IFERROR(__xludf.DUMMYFUNCTION("""COMPUTED_VALUE"""),290747.0)</f>
        <v>290747</v>
      </c>
      <c r="F1400" s="31" t="str">
        <f>IFERROR(__xludf.DUMMYFUNCTION("""COMPUTED_VALUE"""),"俺だけレベルMAXなビギナー【連載版】")</f>
        <v>俺だけレベルMAXなビギナー【連載版】</v>
      </c>
      <c r="G1400" s="20" t="str">
        <f>IFERROR(__xludf.DUMMYFUNCTION("""COMPUTED_VALUE"""),"1～17")</f>
        <v>1～17</v>
      </c>
      <c r="H1400" s="31" t="str">
        <f>IFERROR(__xludf.DUMMYFUNCTION("""COMPUTED_VALUE"""),"WAN.Z(redice studio)(脚色)・Maslow(原作)・swingbat(作画)")</f>
        <v>WAN.Z(redice studio)(脚色)・Maslow(原作)・swingbat(作画)</v>
      </c>
      <c r="I1400" s="31" t="str">
        <f>IFERROR(__xludf.DUMMYFUNCTION("""COMPUTED_VALUE"""),"少年")</f>
        <v>少年</v>
      </c>
      <c r="J1400" s="31"/>
      <c r="K1400" s="31"/>
      <c r="L1400" s="31" t="str">
        <f>IFERROR(__xludf.DUMMYFUNCTION("""COMPUTED_VALUE"""),"リバース")</f>
        <v>リバース</v>
      </c>
      <c r="M1400" s="23">
        <f>IFERROR(__xludf.DUMMYFUNCTION("""COMPUTED_VALUE"""),45401.0)</f>
        <v>45401</v>
      </c>
      <c r="N1400" s="47">
        <f>IFERROR(__xludf.DUMMYFUNCTION("""COMPUTED_VALUE"""),45461.0)</f>
        <v>45461</v>
      </c>
      <c r="O1400" s="20"/>
      <c r="P1400" s="34" t="str">
        <f>IFERROR(__xludf.DUMMYFUNCTION("""COMPUTED_VALUE"""),"可")</f>
        <v>可</v>
      </c>
      <c r="Q1400" s="30" t="str">
        <f>IFERROR(__xludf.DUMMYFUNCTION("""COMPUTED_VALUE"""),"格納素材多いですが、1～17話分で制作をお願いいたします。")</f>
        <v>格納素材多いですが、1～17話分で制作をお願いいたします。</v>
      </c>
      <c r="R1400" s="31"/>
      <c r="S1400" s="31" t="str">
        <f>IFERROR(__xludf.DUMMYFUNCTION("""COMPUTED_VALUE"""),"20240408_リバース_4月新作")</f>
        <v>20240408_リバース_4月新作</v>
      </c>
      <c r="T1400" s="31" t="str">
        <f>IFERROR(__xludf.DUMMYFUNCTION("""COMPUTED_VALUE"""),"格納済み")</f>
        <v>格納済み</v>
      </c>
      <c r="U1400" s="15" t="str">
        <f>IFERROR(__xludf.DUMMYFUNCTION("""COMPUTED_VALUE"""),"ⓒI'm The Max-Level Newbie")</f>
        <v>ⓒI'm The Max-Level Newbie</v>
      </c>
      <c r="V1400" s="8" t="str">
        <f>IFERROR(__xludf.DUMMYFUNCTION("""COMPUTED_VALUE"""),"ゲーム実況ストリーマーとして活動している主人公・鈴木裕人（すずきひろと）。彼は、万人があきらめたクソゲー『試練の塔』を挑戦しクリアした唯一のプレイヤーであった。念願のエンディングを見ることができたものの、もう誰も興味をもたないこのゲームはサービス終了が確実視されていた…。11年もかけクソゲーをクリアした裕人はこれを機に現実と向き合い、ゲーム実況者としての生活を終わらせることを決心した—。が次の日、現実世界に異変が起きる。街中に突如現れた不吉な塔、そして人類に課される生死をかけた試練。それはまさに裕人が11"&amp;"年の月日を費やしクリアした『試練の塔』そのものであった。塔の攻略法を把握している裕人はその経験を活かし、誰よりも強い最強のビギナーとしてあらたな試練に挑む！")</f>
        <v>ゲーム実況ストリーマーとして活動している主人公・鈴木裕人（すずきひろと）。彼は、万人があきらめたクソゲー『試練の塔』を挑戦しクリアした唯一のプレイヤーであった。念願のエンディングを見ることができたものの、もう誰も興味をもたないこのゲームはサービス終了が確実視されていた…。11年もかけクソゲーをクリアした裕人はこれを機に現実と向き合い、ゲーム実況者としての生活を終わらせることを決心した—。が次の日、現実世界に異変が起きる。街中に突如現れた不吉な塔、そして人類に課される生死をかけた試練。それはまさに裕人が11年の月日を費やしクリアした『試練の塔』そのものであった。塔の攻略法を把握している裕人はその経験を活かし、誰よりも強い最強のビギナーとしてあらたな試練に挑む！</v>
      </c>
      <c r="W1400" s="14"/>
      <c r="X1400" s="14" t="str">
        <f>IFERROR(__xludf.DUMMYFUNCTION("""COMPUTED_VALUE"""),"有")</f>
        <v>有</v>
      </c>
      <c r="Y1400" s="8" t="str">
        <f>IFERROR(__xludf.DUMMYFUNCTION("""COMPUTED_VALUE"""),"5/2まで1~3巻無料")</f>
        <v>5/2まで1~3巻無料</v>
      </c>
      <c r="Z1400" s="7"/>
      <c r="AA1400" s="7"/>
      <c r="AB1400" s="7"/>
    </row>
    <row r="1401" ht="15.75" customHeight="1">
      <c r="A1401" s="26">
        <f>IFERROR(__xludf.DUMMYFUNCTION("""COMPUTED_VALUE"""),3252.0)</f>
        <v>3252</v>
      </c>
      <c r="B1401" s="31" t="str">
        <f>IFERROR(__xludf.DUMMYFUNCTION("""COMPUTED_VALUE"""),"確定")</f>
        <v>確定</v>
      </c>
      <c r="C1401" s="28">
        <f>IFERROR(__xludf.DUMMYFUNCTION("""COMPUTED_VALUE"""),45390.0)</f>
        <v>45390</v>
      </c>
      <c r="D1401" s="28">
        <f>IFERROR(__xludf.DUMMYFUNCTION("""COMPUTED_VALUE"""),45391.0)</f>
        <v>45391</v>
      </c>
      <c r="E1401" s="31">
        <f>IFERROR(__xludf.DUMMYFUNCTION("""COMPUTED_VALUE"""),290914.0)</f>
        <v>290914</v>
      </c>
      <c r="F1401" s="31" t="str">
        <f>IFERROR(__xludf.DUMMYFUNCTION("""COMPUTED_VALUE"""),"肝臓を奪われた妻【連載版】")</f>
        <v>肝臓を奪われた妻【連載版】</v>
      </c>
      <c r="G1401" s="20" t="str">
        <f>IFERROR(__xludf.DUMMYFUNCTION("""COMPUTED_VALUE"""),"1～16")</f>
        <v>1～16</v>
      </c>
      <c r="H1401" s="31" t="str">
        <f>IFERROR(__xludf.DUMMYFUNCTION("""COMPUTED_VALUE"""),"絵：Mana / ストーリー： JYUN")</f>
        <v>絵：Mana / ストーリー： JYUN</v>
      </c>
      <c r="I1401" s="31" t="str">
        <f>IFERROR(__xludf.DUMMYFUNCTION("""COMPUTED_VALUE"""),"女性")</f>
        <v>女性</v>
      </c>
      <c r="J1401" s="31"/>
      <c r="K1401" s="31"/>
      <c r="L1401" s="31" t="str">
        <f>IFERROR(__xludf.DUMMYFUNCTION("""COMPUTED_VALUE"""),"リバース")</f>
        <v>リバース</v>
      </c>
      <c r="M1401" s="23">
        <f>IFERROR(__xludf.DUMMYFUNCTION("""COMPUTED_VALUE"""),45405.0)</f>
        <v>45405</v>
      </c>
      <c r="N1401" s="47">
        <f>IFERROR(__xludf.DUMMYFUNCTION("""COMPUTED_VALUE"""),45465.0)</f>
        <v>45465</v>
      </c>
      <c r="O1401" s="20"/>
      <c r="P1401" s="34" t="str">
        <f>IFERROR(__xludf.DUMMYFUNCTION("""COMPUTED_VALUE"""),"可")</f>
        <v>可</v>
      </c>
      <c r="Q1401" s="30" t="str">
        <f>IFERROR(__xludf.DUMMYFUNCTION("""COMPUTED_VALUE"""),"格納素材多いですが、1～17話分で制作をお願いいたします。")</f>
        <v>格納素材多いですが、1～17話分で制作をお願いいたします。</v>
      </c>
      <c r="R1401" s="31"/>
      <c r="S1401" s="31" t="str">
        <f>IFERROR(__xludf.DUMMYFUNCTION("""COMPUTED_VALUE"""),"20240408_リバース_4月新作")</f>
        <v>20240408_リバース_4月新作</v>
      </c>
      <c r="T1401" s="31" t="str">
        <f>IFERROR(__xludf.DUMMYFUNCTION("""COMPUTED_VALUE"""),"格納済み")</f>
        <v>格納済み</v>
      </c>
      <c r="U1401" s="15" t="str">
        <f>IFERROR(__xludf.DUMMYFUNCTION("""COMPUTED_VALUE"""),"ⓒA wife whose liver was stolen")</f>
        <v>ⓒA wife whose liver was stolen</v>
      </c>
      <c r="V1401" s="8" t="str">
        <f>IFERROR(__xludf.DUMMYFUNCTION("""COMPUTED_VALUE"""),"２１歳の大学生・北山優香。学費を稼ぐため、アルバイトに明け暮れているそんな中、失意で号泣している中村光星と出会う…。光星の健気な猛アプローチにより付き合ってなんと３ヶ月で結婚。 夢に見ていた幸せな家族と結婚生活。しかし、すべては義母への臓器移植のための偽りだった…。 愛する家族のために自分を犠牲にした優香の壮絶な復讐が始まる！ 「幸せになっていいよ。私が、すべて壊すから。」")</f>
        <v>２１歳の大学生・北山優香。学費を稼ぐため、アルバイトに明け暮れているそんな中、失意で号泣している中村光星と出会う…。光星の健気な猛アプローチにより付き合ってなんと３ヶ月で結婚。 夢に見ていた幸せな家族と結婚生活。しかし、すべては義母への臓器移植のための偽りだった…。 愛する家族のために自分を犠牲にした優香の壮絶な復讐が始まる！ 「幸せになっていいよ。私が、すべて壊すから。」</v>
      </c>
      <c r="W1401" s="14"/>
      <c r="X1401" s="14" t="str">
        <f>IFERROR(__xludf.DUMMYFUNCTION("""COMPUTED_VALUE"""),"有")</f>
        <v>有</v>
      </c>
      <c r="Y1401" s="8" t="str">
        <f>IFERROR(__xludf.DUMMYFUNCTION("""COMPUTED_VALUE"""),"5/6まで1~3巻無料")</f>
        <v>5/6まで1~3巻無料</v>
      </c>
      <c r="Z1401" s="7"/>
      <c r="AA1401" s="7"/>
      <c r="AB1401" s="7"/>
    </row>
    <row r="1402" ht="144.75" customHeight="1">
      <c r="A1402" s="26">
        <f>IFERROR(__xludf.DUMMYFUNCTION("""COMPUTED_VALUE"""),3254.0)</f>
        <v>3254</v>
      </c>
      <c r="B1402" s="31" t="str">
        <f>IFERROR(__xludf.DUMMYFUNCTION("""COMPUTED_VALUE"""),"確定")</f>
        <v>確定</v>
      </c>
      <c r="C1402" s="28">
        <f>IFERROR(__xludf.DUMMYFUNCTION("""COMPUTED_VALUE"""),45391.0)</f>
        <v>45391</v>
      </c>
      <c r="D1402" s="28">
        <f>IFERROR(__xludf.DUMMYFUNCTION("""COMPUTED_VALUE"""),45391.0)</f>
        <v>45391</v>
      </c>
      <c r="E1402" s="31">
        <f>IFERROR(__xludf.DUMMYFUNCTION("""COMPUTED_VALUE"""),296363.0)</f>
        <v>296363</v>
      </c>
      <c r="F1402" s="52" t="str">
        <f>IFERROR(__xludf.DUMMYFUNCTION("""COMPUTED_VALUE"""),"comic Berry's生憎だが、君を手放すつもりはない～冷徹御曹司の激愛が溢れたら～")</f>
        <v>comic Berry's生憎だが、君を手放すつもりはない～冷徹御曹司の激愛が溢れたら～</v>
      </c>
      <c r="G1402" s="20" t="str">
        <f>IFERROR(__xludf.DUMMYFUNCTION("""COMPUTED_VALUE"""),"1～5")</f>
        <v>1～5</v>
      </c>
      <c r="H1402" s="31" t="str">
        <f>IFERROR(__xludf.DUMMYFUNCTION("""COMPUTED_VALUE"""),"孝野とりこ（作画）、伊月ジュイ（原作）")</f>
        <v>孝野とりこ（作画）、伊月ジュイ（原作）</v>
      </c>
      <c r="I1402" s="31" t="str">
        <f>IFERROR(__xludf.DUMMYFUNCTION("""COMPUTED_VALUE"""),"女性")</f>
        <v>女性</v>
      </c>
      <c r="J1402" s="31"/>
      <c r="K1402" s="31"/>
      <c r="L1402" s="31" t="str">
        <f>IFERROR(__xludf.DUMMYFUNCTION("""COMPUTED_VALUE"""),"スターツ出版")</f>
        <v>スターツ出版</v>
      </c>
      <c r="M1402" s="23">
        <f>IFERROR(__xludf.DUMMYFUNCTION("""COMPUTED_VALUE"""),45464.0)</f>
        <v>45464</v>
      </c>
      <c r="N1402" s="33">
        <f>IFERROR(__xludf.DUMMYFUNCTION("""COMPUTED_VALUE"""),45491.0)</f>
        <v>45491</v>
      </c>
      <c r="O1402" s="20"/>
      <c r="P1402" s="34" t="str">
        <f>IFERROR(__xludf.DUMMYFUNCTION("""COMPUTED_VALUE"""),"可")</f>
        <v>可</v>
      </c>
      <c r="Q1402" s="30" t="str">
        <f>IFERROR(__xludf.DUMMYFUNCTION("""COMPUTED_VALUE"""),"1～4巻で制作をお願いいたします")</f>
        <v>1～4巻で制作をお願いいたします</v>
      </c>
      <c r="R1402" s="31"/>
      <c r="S1402" s="31" t="str">
        <f>IFERROR(__xludf.DUMMYFUNCTION("""COMPUTED_VALUE"""),"20240409_スターツ出版_生憎だが、君を手放すつもりはない")</f>
        <v>20240409_スターツ出版_生憎だが、君を手放すつもりはない</v>
      </c>
      <c r="T1402" s="31" t="str">
        <f>IFERROR(__xludf.DUMMYFUNCTION("""COMPUTED_VALUE"""),"格納済み")</f>
        <v>格納済み</v>
      </c>
      <c r="U1402" s="15" t="str">
        <f>IFERROR(__xludf.DUMMYFUNCTION("""COMPUTED_VALUE"""),"（C）Toriko Kouno・Jui Izuki/スターツ出版")</f>
        <v>（C）Toriko Kouno・Jui Izuki/スターツ出版</v>
      </c>
      <c r="V1402" s="8" t="str">
        <f>IFERROR(__xludf.DUMMYFUNCTION("""COMPUTED_VALUE"""),"父の勧めで結婚をすることになった美夕。夫となった慶は、財閥の御曹司で美夕が小さい頃から憧れていた初恋の人だった。結婚生活に夢を抱いていた美夕だったが、慶は美夕に一切手を出さず、それどころか一緒に住むことも許さなくて…。それから6年の月日が経ち、思い続けるだけの孤独な日々に終止符を打つため、美夕はついに離婚を決意。しかし離婚を告げた途端、「もう我慢の限界だ」と慶の激愛が溢れ出して…!?
なぜ距離を置かれ続けたのか、なぜ今になって愛を伝えてくるのか――。御曹司の不器用すぎる深い愛に胸キュンが止まらない…！
"&amp;"
「お気の毒さま、今日から君は僕の妻」「最愛婚」の孝野とりこ先生が描く、不器用で愛おしい大人のドラマティックラブストーリー！
(この作品は電子コミック誌comic Berry's Vol.186に収録しております。重複購入にご注意ください)")</f>
        <v>父の勧めで結婚をすることになった美夕。夫となった慶は、財閥の御曹司で美夕が小さい頃から憧れていた初恋の人だった。結婚生活に夢を抱いていた美夕だったが、慶は美夕に一切手を出さず、それどころか一緒に住むことも許さなくて…。それから6年の月日が経ち、思い続けるだけの孤独な日々に終止符を打つため、美夕はついに離婚を決意。しかし離婚を告げた途端、「もう我慢の限界だ」と慶の激愛が溢れ出して…!?
なぜ距離を置かれ続けたのか、なぜ今になって愛を伝えてくるのか――。御曹司の不器用すぎる深い愛に胸キュンが止まらない…！
「お気の毒さま、今日から君は僕の妻」「最愛婚」の孝野とりこ先生が描く、不器用で愛おしい大人のドラマティックラブストーリー！
(この作品は電子コミック誌comic Berry's Vol.186に収録しております。重複購入にご注意ください)</v>
      </c>
      <c r="W1402" s="14"/>
      <c r="X1402" s="14" t="str">
        <f>IFERROR(__xludf.DUMMYFUNCTION("""COMPUTED_VALUE"""),"有")</f>
        <v>有</v>
      </c>
      <c r="Y1402" s="8" t="str">
        <f>IFERROR(__xludf.DUMMYFUNCTION("""COMPUTED_VALUE"""),"2024/7/18まで1巻目無料")</f>
        <v>2024/7/18まで1巻目無料</v>
      </c>
      <c r="Z1402" s="7"/>
      <c r="AA1402" s="7"/>
      <c r="AB1402" s="7"/>
    </row>
    <row r="1403" ht="111.75" customHeight="1">
      <c r="A1403" s="26">
        <f>IFERROR(__xludf.DUMMYFUNCTION("""COMPUTED_VALUE"""),3259.0)</f>
        <v>3259</v>
      </c>
      <c r="B1403" s="31" t="str">
        <f>IFERROR(__xludf.DUMMYFUNCTION("""COMPUTED_VALUE"""),"確定")</f>
        <v>確定</v>
      </c>
      <c r="C1403" s="28">
        <f>IFERROR(__xludf.DUMMYFUNCTION("""COMPUTED_VALUE"""),45391.0)</f>
        <v>45391</v>
      </c>
      <c r="D1403" s="28">
        <f>IFERROR(__xludf.DUMMYFUNCTION("""COMPUTED_VALUE"""),45392.0)</f>
        <v>45392</v>
      </c>
      <c r="E1403" s="31">
        <f>IFERROR(__xludf.DUMMYFUNCTION("""COMPUTED_VALUE"""),292427.0)</f>
        <v>292427</v>
      </c>
      <c r="F1403" s="31" t="str">
        <f>IFERROR(__xludf.DUMMYFUNCTION("""COMPUTED_VALUE"""),"異世界召喚されたVチューバーですが、皆様コメントで助けてください！")</f>
        <v>異世界召喚されたVチューバーですが、皆様コメントで助けてください！</v>
      </c>
      <c r="G1403" s="20" t="str">
        <f>IFERROR(__xludf.DUMMYFUNCTION("""COMPUTED_VALUE"""),"1～3")</f>
        <v>1～3</v>
      </c>
      <c r="H1403" s="31" t="str">
        <f>IFERROR(__xludf.DUMMYFUNCTION("""COMPUTED_VALUE"""),"漫画：ここかなた／原作：せひらあやみ")</f>
        <v>漫画：ここかなた／原作：せひらあやみ</v>
      </c>
      <c r="I1403" s="31" t="str">
        <f>IFERROR(__xludf.DUMMYFUNCTION("""COMPUTED_VALUE"""),"女性")</f>
        <v>女性</v>
      </c>
      <c r="J1403" s="31"/>
      <c r="K1403" s="31"/>
      <c r="L1403" s="31" t="str">
        <f>IFERROR(__xludf.DUMMYFUNCTION("""COMPUTED_VALUE"""),"集英社")</f>
        <v>集英社</v>
      </c>
      <c r="M1403" s="23">
        <f>IFERROR(__xludf.DUMMYFUNCTION("""COMPUTED_VALUE"""),45413.0)</f>
        <v>45413</v>
      </c>
      <c r="N1403" s="23">
        <f>IFERROR(__xludf.DUMMYFUNCTION("""COMPUTED_VALUE"""),45443.0)</f>
        <v>45443</v>
      </c>
      <c r="O1403" s="20"/>
      <c r="P1403" s="34" t="str">
        <f>IFERROR(__xludf.DUMMYFUNCTION("""COMPUTED_VALUE"""),"否")</f>
        <v>否</v>
      </c>
      <c r="Q1403" s="30" t="str">
        <f>IFERROR(__xludf.DUMMYFUNCTION("""COMPUTED_VALUE"""),"デジタルマーガレット")</f>
        <v>デジタルマーガレット</v>
      </c>
      <c r="R1403" s="31"/>
      <c r="S1403" s="31" t="str">
        <f>IFERROR(__xludf.DUMMYFUNCTION("""COMPUTED_VALUE"""),"20240409_集英社_異世界召喚されたＶチューバーですが、皆様コメントで助けてください！")</f>
        <v>20240409_集英社_異世界召喚されたＶチューバーですが、皆様コメントで助けてください！</v>
      </c>
      <c r="T1403" s="31" t="str">
        <f>IFERROR(__xludf.DUMMYFUNCTION("""COMPUTED_VALUE"""),"格納済み")</f>
        <v>格納済み</v>
      </c>
      <c r="U1403" s="15" t="str">
        <f>IFERROR(__xludf.DUMMYFUNCTION("""COMPUTED_VALUE"""),"(C)ここかなた・せひらあやみ／集英社")</f>
        <v>(C)ここかなた・せひらあやみ／集英社</v>
      </c>
      <c r="V1403" s="8" t="str">
        <f>IFERROR(__xludf.DUMMYFUNCTION("""COMPUTED_VALUE"""),"【コメントを力に!?　聖乙女と不遇イケメン騎士の新感覚・異世界ロマンス】Vチューバー“絶対正義☆聖乙女”の姿で異世界・神聖イルシオン王国に召喚されたオト。王子でありながらも“忌み色”の瞳を持つ騎士・ヴァーミリオンと共に、燃え上がるコメントを力にして異世界を救えるか――!?")</f>
        <v>【コメントを力に!?　聖乙女と不遇イケメン騎士の新感覚・異世界ロマンス】Vチューバー“絶対正義☆聖乙女”の姿で異世界・神聖イルシオン王国に召喚されたオト。王子でありながらも“忌み色”の瞳を持つ騎士・ヴァーミリオンと共に、燃え上がるコメントを力にして異世界を救えるか――!?</v>
      </c>
      <c r="W1403" s="14"/>
      <c r="X1403" s="14" t="str">
        <f>IFERROR(__xludf.DUMMYFUNCTION("""COMPUTED_VALUE"""),"有")</f>
        <v>有</v>
      </c>
      <c r="Y1403" s="8" t="str">
        <f>IFERROR(__xludf.DUMMYFUNCTION("""COMPUTED_VALUE"""),"P17まで")</f>
        <v>P17まで</v>
      </c>
      <c r="Z1403" s="7"/>
      <c r="AA1403" s="7"/>
      <c r="AB1403" s="7"/>
    </row>
    <row r="1404" ht="15.75" customHeight="1">
      <c r="A1404" s="26">
        <f>IFERROR(__xludf.DUMMYFUNCTION("""COMPUTED_VALUE"""),2974.0)</f>
        <v>2974</v>
      </c>
      <c r="B1404" s="22" t="str">
        <f>IFERROR(__xludf.DUMMYFUNCTION("""COMPUTED_VALUE"""),"確定")</f>
        <v>確定</v>
      </c>
      <c r="C1404" s="28">
        <f>IFERROR(__xludf.DUMMYFUNCTION("""COMPUTED_VALUE"""),45336.0)</f>
        <v>45336</v>
      </c>
      <c r="D1404" s="28">
        <f>IFERROR(__xludf.DUMMYFUNCTION("""COMPUTED_VALUE"""),45397.0)</f>
        <v>45397</v>
      </c>
      <c r="E1404" s="26">
        <f>IFERROR(__xludf.DUMMYFUNCTION("""COMPUTED_VALUE"""),292347.0)</f>
        <v>292347</v>
      </c>
      <c r="F1404" s="22" t="str">
        <f>IFERROR(__xludf.DUMMYFUNCTION("""COMPUTED_VALUE"""),"レス妻、裏垢男子にハメられる。")</f>
        <v>レス妻、裏垢男子にハメられる。</v>
      </c>
      <c r="G1404" s="53" t="str">
        <f>IFERROR(__xludf.DUMMYFUNCTION("""COMPUTED_VALUE"""),"1～3")</f>
        <v>1～3</v>
      </c>
      <c r="H1404" s="22" t="str">
        <f>IFERROR(__xludf.DUMMYFUNCTION("""COMPUTED_VALUE"""),"おぢい")</f>
        <v>おぢい</v>
      </c>
      <c r="I1404" s="22" t="str">
        <f>IFERROR(__xludf.DUMMYFUNCTION("""COMPUTED_VALUE"""),"オトナ")</f>
        <v>オトナ</v>
      </c>
      <c r="J1404" s="22"/>
      <c r="K1404" s="22"/>
      <c r="L1404" s="22" t="str">
        <f>IFERROR(__xludf.DUMMYFUNCTION("""COMPUTED_VALUE"""),"DEEPER-ZERO")</f>
        <v>DEEPER-ZERO</v>
      </c>
      <c r="M1404" s="23">
        <f>IFERROR(__xludf.DUMMYFUNCTION("""COMPUTED_VALUE"""),45422.0)</f>
        <v>45422</v>
      </c>
      <c r="N1404" s="23">
        <f>IFERROR(__xludf.DUMMYFUNCTION("""COMPUTED_VALUE"""),45484.0)</f>
        <v>45484</v>
      </c>
      <c r="O1404" s="20"/>
      <c r="P1404" s="34" t="str">
        <f>IFERROR(__xludf.DUMMYFUNCTION("""COMPUTED_VALUE"""),"可")</f>
        <v>可</v>
      </c>
      <c r="Q1404" s="31" t="str">
        <f>IFERROR(__xludf.DUMMYFUNCTION("""COMPUTED_VALUE"""),"広告コミットOK(2/22)")</f>
        <v>広告コミットOK(2/22)</v>
      </c>
      <c r="R1404" s="22" t="str">
        <f>IFERROR(__xludf.DUMMYFUNCTION("""COMPUTED_VALUE"""),"格納済")</f>
        <v>格納済</v>
      </c>
      <c r="S1404" s="22" t="str">
        <f>IFERROR(__xludf.DUMMYFUNCTION("""COMPUTED_VALUE"""),"20240411_DEEPER-ZERO_レス妻、裏垢男子にハメられる。")</f>
        <v>20240411_DEEPER-ZERO_レス妻、裏垢男子にハメられる。</v>
      </c>
      <c r="T1404" s="22" t="str">
        <f>IFERROR(__xludf.DUMMYFUNCTION("""COMPUTED_VALUE"""),"格納済み")</f>
        <v>格納済み</v>
      </c>
      <c r="U1404" s="15" t="str">
        <f>IFERROR(__xludf.DUMMYFUNCTION("""COMPUTED_VALUE"""),"ⓒおぢい/DEEPER-ZERO")</f>
        <v>ⓒおぢい/DEEPER-ZERO</v>
      </c>
      <c r="V1404" s="8" t="str">
        <f>IFERROR(__xludf.DUMMYFUNCTION("""COMPUTED_VALUE"""),"「気持ちよくなっちゃダメなのに…」──旦那とはもう1年以上もシていない。その上ジャケットからは知らない女物の香水の香り…裏垢男子の動画を見て自分を慰める毎日を送る美奈子。そんなある日、偶然知り合ったのは毎日動画をチェックしていたあの裏垢男子だった！？「お姉さん俺のこと知ってたんだ…それなら話早いじゃん？」彼の勢いに流されてしまい─。イケないとわかっているのに身体は正直で、触ってもいないのにアソコはトロトロ…期待しちゃってるナカに旦那以外のおっきいおち●ちんが挿入ってきて──！ダメだとわかっていても、旦那じ"&amp;"ゃ届かない奥まで突かれて…イッちゃう！！")</f>
        <v>「気持ちよくなっちゃダメなのに…」──旦那とはもう1年以上もシていない。その上ジャケットからは知らない女物の香水の香り…裏垢男子の動画を見て自分を慰める毎日を送る美奈子。そんなある日、偶然知り合ったのは毎日動画をチェックしていたあの裏垢男子だった！？「お姉さん俺のこと知ってたんだ…それなら話早いじゃん？」彼の勢いに流されてしまい─。イケないとわかっているのに身体は正直で、触ってもいないのにアソコはトロトロ…期待しちゃってるナカに旦那以外のおっきいおち●ちんが挿入ってきて──！ダメだとわかっていても、旦那じゃ届かない奥まで突かれて…イッちゃう！！</v>
      </c>
      <c r="W1404" s="14"/>
      <c r="X1404" s="14" t="str">
        <f>IFERROR(__xludf.DUMMYFUNCTION("""COMPUTED_VALUE"""),"有")</f>
        <v>有</v>
      </c>
      <c r="Y1404" s="8" t="str">
        <f>IFERROR(__xludf.DUMMYFUNCTION("""COMPUTED_VALUE"""),"5/23まで1巻無料")</f>
        <v>5/23まで1巻無料</v>
      </c>
      <c r="Z1404" s="7"/>
      <c r="AA1404" s="7"/>
      <c r="AB1404" s="7"/>
    </row>
    <row r="1405" ht="15.75" customHeight="1">
      <c r="A1405" s="26">
        <f>IFERROR(__xludf.DUMMYFUNCTION("""COMPUTED_VALUE"""),3052.0)</f>
        <v>3052</v>
      </c>
      <c r="B1405" s="22" t="str">
        <f>IFERROR(__xludf.DUMMYFUNCTION("""COMPUTED_VALUE"""),"確定")</f>
        <v>確定</v>
      </c>
      <c r="C1405" s="28">
        <f>IFERROR(__xludf.DUMMYFUNCTION("""COMPUTED_VALUE"""),45356.0)</f>
        <v>45356</v>
      </c>
      <c r="D1405" s="28">
        <f>IFERROR(__xludf.DUMMYFUNCTION("""COMPUTED_VALUE"""),45398.0)</f>
        <v>45398</v>
      </c>
      <c r="E1405" s="26">
        <f>IFERROR(__xludf.DUMMYFUNCTION("""COMPUTED_VALUE"""),292840.0)</f>
        <v>292840</v>
      </c>
      <c r="F1405" s="22" t="str">
        <f>IFERROR(__xludf.DUMMYFUNCTION("""COMPUTED_VALUE"""),"同居したら、秒で食べられました。～執着系幼なじみの激しめエッチ～【HQカラー】")</f>
        <v>同居したら、秒で食べられました。～執着系幼なじみの激しめエッチ～【HQカラー】</v>
      </c>
      <c r="G1405" s="11" t="str">
        <f>IFERROR(__xludf.DUMMYFUNCTION("""COMPUTED_VALUE"""),"1～4")</f>
        <v>1～4</v>
      </c>
      <c r="H1405" s="22" t="str">
        <f>IFERROR(__xludf.DUMMYFUNCTION("""COMPUTED_VALUE"""),"明日乃らか")</f>
        <v>明日乃らか</v>
      </c>
      <c r="I1405" s="22" t="str">
        <f>IFERROR(__xludf.DUMMYFUNCTION("""COMPUTED_VALUE"""),"TL")</f>
        <v>TL</v>
      </c>
      <c r="J1405" s="22"/>
      <c r="K1405" s="22"/>
      <c r="L1405" s="22" t="str">
        <f>IFERROR(__xludf.DUMMYFUNCTION("""COMPUTED_VALUE"""),"CLLENN")</f>
        <v>CLLENN</v>
      </c>
      <c r="M1405" s="23">
        <f>IFERROR(__xludf.DUMMYFUNCTION("""COMPUTED_VALUE"""),45432.0)</f>
        <v>45432</v>
      </c>
      <c r="N1405" s="23">
        <f>IFERROR(__xludf.DUMMYFUNCTION("""COMPUTED_VALUE"""),45487.0)</f>
        <v>45487</v>
      </c>
      <c r="O1405" s="20"/>
      <c r="P1405" s="34" t="str">
        <f>IFERROR(__xludf.DUMMYFUNCTION("""COMPUTED_VALUE"""),"可")</f>
        <v>可</v>
      </c>
      <c r="Q1405" s="31" t="str">
        <f>IFERROR(__xludf.DUMMYFUNCTION("""COMPUTED_VALUE"""),"広告コミットOK(3/15)&lt;BR&gt;レーベル名：乙女チック")</f>
        <v>広告コミットOK(3/15)&lt;BR&gt;レーベル名：乙女チック</v>
      </c>
      <c r="R1405" s="22" t="str">
        <f>IFERROR(__xludf.DUMMYFUNCTION("""COMPUTED_VALUE"""),"格納済")</f>
        <v>格納済</v>
      </c>
      <c r="S1405" s="22" t="str">
        <f>IFERROR(__xludf.DUMMYFUNCTION("""COMPUTED_VALUE"""),"20240415_CLLENN_同居したら、秒で食べられました。～執着系幼なじみの激しめエッチ～【HQカラー】")</f>
        <v>20240415_CLLENN_同居したら、秒で食べられました。～執着系幼なじみの激しめエッチ～【HQカラー】</v>
      </c>
      <c r="T1405" s="22" t="str">
        <f>IFERROR(__xludf.DUMMYFUNCTION("""COMPUTED_VALUE"""),"格納済み")</f>
        <v>格納済み</v>
      </c>
      <c r="U1405" s="15" t="str">
        <f>IFERROR(__xludf.DUMMYFUNCTION("""COMPUTED_VALUE"""),"ⓒ明日乃らか/CLLENN")</f>
        <v>ⓒ明日乃らか/CLLENN</v>
      </c>
      <c r="V1405" s="8" t="str">
        <f>IFERROR(__xludf.DUMMYFUNCTION("""COMPUTED_VALUE"""),"【デジタル着色によるハイクオリティ・フルカラー版！】「僕のこと、ちゃんと男として見てよ」大きな彼の手に愛撫されると、気持ちよくて何も考えられなくなる――お習字教室の先生をしている雪子は、ある日アパートの退去をきっかけに、真面目で面倒見のいい幼なじみの恵と一緒に住むことに！　いつものように二人でご飯を食べて、昔のように同じベッドで寝ようとしたら、突然彼が豹変して！？「僕だって好きな子に触りたいって欲求くらいあるんだよ」今まで見たことのない”男”の顔をした恵が、荒々しいキスをしてきて…。激情をぶつけるようなセ"&amp;"ックスに、怖いくらい乱されちゃう――っ！")</f>
        <v>【デジタル着色によるハイクオリティ・フルカラー版！】「僕のこと、ちゃんと男として見てよ」大きな彼の手に愛撫されると、気持ちよくて何も考えられなくなる――お習字教室の先生をしている雪子は、ある日アパートの退去をきっかけに、真面目で面倒見のいい幼なじみの恵と一緒に住むことに！　いつものように二人でご飯を食べて、昔のように同じベッドで寝ようとしたら、突然彼が豹変して！？「僕だって好きな子に触りたいって欲求くらいあるんだよ」今まで見たことのない”男”の顔をした恵が、荒々しいキスをしてきて…。激情をぶつけるようなセックスに、怖いくらい乱されちゃう――っ！</v>
      </c>
      <c r="W1405" s="14"/>
      <c r="X1405" s="14" t="str">
        <f>IFERROR(__xludf.DUMMYFUNCTION("""COMPUTED_VALUE"""),"有")</f>
        <v>有</v>
      </c>
      <c r="Y1405" s="8" t="str">
        <f>IFERROR(__xludf.DUMMYFUNCTION("""COMPUTED_VALUE"""),"2024/6/2まで1巻無料")</f>
        <v>2024/6/2まで1巻無料</v>
      </c>
      <c r="Z1405" s="7"/>
      <c r="AA1405" s="7"/>
      <c r="AB1405" s="7"/>
    </row>
    <row r="1406" ht="99.0" customHeight="1">
      <c r="A1406" s="26">
        <f>IFERROR(__xludf.DUMMYFUNCTION("""COMPUTED_VALUE"""),3055.0)</f>
        <v>3055</v>
      </c>
      <c r="B1406" s="22" t="str">
        <f>IFERROR(__xludf.DUMMYFUNCTION("""COMPUTED_VALUE"""),"確定")</f>
        <v>確定</v>
      </c>
      <c r="C1406" s="28">
        <f>IFERROR(__xludf.DUMMYFUNCTION("""COMPUTED_VALUE"""),45356.0)</f>
        <v>45356</v>
      </c>
      <c r="D1406" s="28">
        <f>IFERROR(__xludf.DUMMYFUNCTION("""COMPUTED_VALUE"""),45397.0)</f>
        <v>45397</v>
      </c>
      <c r="E1406" s="26">
        <f>IFERROR(__xludf.DUMMYFUNCTION("""COMPUTED_VALUE"""),294553.0)</f>
        <v>294553</v>
      </c>
      <c r="F1406" s="22" t="str">
        <f>IFERROR(__xludf.DUMMYFUNCTION("""COMPUTED_VALUE"""),"僕たちが恋する理由【単話】")</f>
        <v>僕たちが恋する理由【単話】</v>
      </c>
      <c r="G1406" s="20">
        <f>IFERROR(__xludf.DUMMYFUNCTION("""COMPUTED_VALUE"""),1.0)</f>
        <v>1</v>
      </c>
      <c r="H1406" s="22" t="str">
        <f>IFERROR(__xludf.DUMMYFUNCTION("""COMPUTED_VALUE"""),"ma2")</f>
        <v>ma2</v>
      </c>
      <c r="I1406" s="22" t="str">
        <f>IFERROR(__xludf.DUMMYFUNCTION("""COMPUTED_VALUE"""),"女性（内容はライトBL）")</f>
        <v>女性（内容はライトBL）</v>
      </c>
      <c r="J1406" s="22"/>
      <c r="K1406" s="22"/>
      <c r="L1406" s="22" t="str">
        <f>IFERROR(__xludf.DUMMYFUNCTION("""COMPUTED_VALUE"""),"シュークリーム")</f>
        <v>シュークリーム</v>
      </c>
      <c r="M1406" s="23">
        <f>IFERROR(__xludf.DUMMYFUNCTION("""COMPUTED_VALUE"""),45477.0)</f>
        <v>45477</v>
      </c>
      <c r="N1406" s="23">
        <f>IFERROR(__xludf.DUMMYFUNCTION("""COMPUTED_VALUE"""),45535.0)</f>
        <v>45535</v>
      </c>
      <c r="O1406" s="20"/>
      <c r="P1406" s="34" t="str">
        <f>IFERROR(__xludf.DUMMYFUNCTION("""COMPUTED_VALUE"""),"可")</f>
        <v>可</v>
      </c>
      <c r="Q1406" s="30" t="str">
        <f>IFERROR(__xludf.DUMMYFUNCTION("""COMPUTED_VALUE"""),"広告コミットOK(3/8)")</f>
        <v>広告コミットOK(3/8)</v>
      </c>
      <c r="R1406" s="22"/>
      <c r="S1406" s="22" t="str">
        <f>IFERROR(__xludf.DUMMYFUNCTION("""COMPUTED_VALUE"""),"20240412_シュークリーム_僕たちが恋する理由【単話】")</f>
        <v>20240412_シュークリーム_僕たちが恋する理由【単話】</v>
      </c>
      <c r="T1406" s="22" t="str">
        <f>IFERROR(__xludf.DUMMYFUNCTION("""COMPUTED_VALUE"""),"格納済み")</f>
        <v>格納済み</v>
      </c>
      <c r="U1406" s="15" t="str">
        <f>IFERROR(__xludf.DUMMYFUNCTION("""COMPUTED_VALUE"""),"(C)ma2/シュークリーム")</f>
        <v>(C)ma2/シュークリーム</v>
      </c>
      <c r="V1406" s="8" t="str">
        <f>IFERROR(__xludf.DUMMYFUNCTION("""COMPUTED_VALUE"""),"『私たちが恋する理由』より、待望のスピンオフが始動！
上司の黒澤にこっそり恋をして、ひっそり失恋した伊丹と、そんな彼を近くで見ていた幼馴染で同期の今村を中心に、新たな恋が動き出す…!?
ma2男子の恋物語、開幕！")</f>
        <v>『私たちが恋する理由』より、待望のスピンオフが始動！
上司の黒澤にこっそり恋をして、ひっそり失恋した伊丹と、そんな彼を近くで見ていた幼馴染で同期の今村を中心に、新たな恋が動き出す…!?
ma2男子の恋物語、開幕！</v>
      </c>
      <c r="W1406" s="14"/>
      <c r="X1406" s="14" t="str">
        <f>IFERROR(__xludf.DUMMYFUNCTION("""COMPUTED_VALUE"""),"有")</f>
        <v>有</v>
      </c>
      <c r="Y1406" s="8" t="str">
        <f>IFERROR(__xludf.DUMMYFUNCTION("""COMPUTED_VALUE"""),"P12まで")</f>
        <v>P12まで</v>
      </c>
      <c r="Z1406" s="7"/>
      <c r="AA1406" s="7"/>
      <c r="AB1406" s="7"/>
    </row>
    <row r="1407" ht="15.75" customHeight="1">
      <c r="A1407" s="26">
        <f>IFERROR(__xludf.DUMMYFUNCTION("""COMPUTED_VALUE"""),3072.0)</f>
        <v>3072</v>
      </c>
      <c r="B1407" s="22" t="str">
        <f>IFERROR(__xludf.DUMMYFUNCTION("""COMPUTED_VALUE"""),"確定")</f>
        <v>確定</v>
      </c>
      <c r="C1407" s="28">
        <f>IFERROR(__xludf.DUMMYFUNCTION("""COMPUTED_VALUE"""),45357.0)</f>
        <v>45357</v>
      </c>
      <c r="D1407" s="28">
        <f>IFERROR(__xludf.DUMMYFUNCTION("""COMPUTED_VALUE"""),45399.0)</f>
        <v>45399</v>
      </c>
      <c r="E1407" s="26">
        <f>IFERROR(__xludf.DUMMYFUNCTION("""COMPUTED_VALUE"""),292068.0)</f>
        <v>292068</v>
      </c>
      <c r="F1407" s="46" t="str">
        <f>IFERROR(__xludf.DUMMYFUNCTION("""COMPUTED_VALUE"""),"生贄のすゝめ［1話売り］")</f>
        <v>生贄のすゝめ［1話売り］</v>
      </c>
      <c r="G1407" s="11" t="str">
        <f>IFERROR(__xludf.DUMMYFUNCTION("""COMPUTED_VALUE"""),"1～4")</f>
        <v>1～4</v>
      </c>
      <c r="H1407" s="22" t="str">
        <f>IFERROR(__xludf.DUMMYFUNCTION("""COMPUTED_VALUE"""),"夢木みつる")</f>
        <v>夢木みつる</v>
      </c>
      <c r="I1407" s="22" t="str">
        <f>IFERROR(__xludf.DUMMYFUNCTION("""COMPUTED_VALUE"""),"少女")</f>
        <v>少女</v>
      </c>
      <c r="J1407" s="22"/>
      <c r="K1407" s="22"/>
      <c r="L1407" s="22" t="str">
        <f>IFERROR(__xludf.DUMMYFUNCTION("""COMPUTED_VALUE"""),"白泉社")</f>
        <v>白泉社</v>
      </c>
      <c r="M1407" s="23">
        <f>IFERROR(__xludf.DUMMYFUNCTION("""COMPUTED_VALUE"""),45422.0)</f>
        <v>45422</v>
      </c>
      <c r="N1407" s="23">
        <f>IFERROR(__xludf.DUMMYFUNCTION("""COMPUTED_VALUE"""),45484.0)</f>
        <v>45484</v>
      </c>
      <c r="O1407" s="20"/>
      <c r="P1407" s="34" t="str">
        <f>IFERROR(__xludf.DUMMYFUNCTION("""COMPUTED_VALUE"""),"否")</f>
        <v>否</v>
      </c>
      <c r="Q1407" s="30" t="str">
        <f>IFERROR(__xludf.DUMMYFUNCTION("""COMPUTED_VALUE"""),"河上さんへ事前コミットOKもらってます。")</f>
        <v>河上さんへ事前コミットOKもらってます。</v>
      </c>
      <c r="R1407" s="22"/>
      <c r="S1407" s="22" t="str">
        <f>IFERROR(__xludf.DUMMYFUNCTION("""COMPUTED_VALUE"""),"20240416_白泉社_生贄のすゝめ")</f>
        <v>20240416_白泉社_生贄のすゝめ</v>
      </c>
      <c r="T1407" s="22" t="str">
        <f>IFERROR(__xludf.DUMMYFUNCTION("""COMPUTED_VALUE"""),"格納済み")</f>
        <v>格納済み</v>
      </c>
      <c r="U1407" s="15" t="str">
        <f>IFERROR(__xludf.DUMMYFUNCTION("""COMPUTED_VALUE"""),"Ⓒ夢木みつる/白泉社")</f>
        <v>Ⓒ夢木みつる/白泉社</v>
      </c>
      <c r="V1407" s="8" t="str">
        <f>IFERROR(__xludf.DUMMYFUNCTION("""COMPUTED_VALUE"""),"生贄として鬼の頭領に献上された少女・ふみ。喰われるまでの10日間、無口で無表情な管理役・鬼一に付きっきりでお世話されることに！　何度も脱走を阻止されて苛立つふみだが、唯一自分を「食い物」として見ない鬼一にすこしずつ惹かれていき…？「食べられるなら あなたがいいわ」鬼×生贄　刺激的ロマンス、開幕！(この話は、【電子版】LaLa 3月号（2024年）に収録されています。)")</f>
        <v>生贄として鬼の頭領に献上された少女・ふみ。喰われるまでの10日間、無口で無表情な管理役・鬼一に付きっきりでお世話されることに！　何度も脱走を阻止されて苛立つふみだが、唯一自分を「食い物」として見ない鬼一にすこしずつ惹かれていき…？「食べられるなら あなたがいいわ」鬼×生贄　刺激的ロマンス、開幕！(この話は、【電子版】LaLa 3月号（2024年）に収録されています。)</v>
      </c>
      <c r="W1407" s="14"/>
      <c r="X1407" s="14" t="str">
        <f>IFERROR(__xludf.DUMMYFUNCTION("""COMPUTED_VALUE"""),"有")</f>
        <v>有</v>
      </c>
      <c r="Y1407" s="8" t="str">
        <f>IFERROR(__xludf.DUMMYFUNCTION("""COMPUTED_VALUE"""),"5/23まで1巻無料")</f>
        <v>5/23まで1巻無料</v>
      </c>
      <c r="Z1407" s="7"/>
      <c r="AA1407" s="7"/>
      <c r="AB1407" s="7"/>
    </row>
    <row r="1408" ht="93.75" customHeight="1">
      <c r="A1408" s="26">
        <f>IFERROR(__xludf.DUMMYFUNCTION("""COMPUTED_VALUE"""),3073.0)</f>
        <v>3073</v>
      </c>
      <c r="B1408" s="22" t="str">
        <f>IFERROR(__xludf.DUMMYFUNCTION("""COMPUTED_VALUE"""),"確定")</f>
        <v>確定</v>
      </c>
      <c r="C1408" s="28">
        <f>IFERROR(__xludf.DUMMYFUNCTION("""COMPUTED_VALUE"""),45357.0)</f>
        <v>45357</v>
      </c>
      <c r="D1408" s="28">
        <f>IFERROR(__xludf.DUMMYFUNCTION("""COMPUTED_VALUE"""),45399.0)</f>
        <v>45399</v>
      </c>
      <c r="E1408" s="26">
        <f>IFERROR(__xludf.DUMMYFUNCTION("""COMPUTED_VALUE"""),292063.0)</f>
        <v>292063</v>
      </c>
      <c r="F1408" s="46" t="str">
        <f>IFERROR(__xludf.DUMMYFUNCTION("""COMPUTED_VALUE"""),"ウチの万李がお世話になります［1話売り］")</f>
        <v>ウチの万李がお世話になります［1話売り］</v>
      </c>
      <c r="G1408" s="11" t="str">
        <f>IFERROR(__xludf.DUMMYFUNCTION("""COMPUTED_VALUE"""),"1～4")</f>
        <v>1～4</v>
      </c>
      <c r="H1408" s="22" t="str">
        <f>IFERROR(__xludf.DUMMYFUNCTION("""COMPUTED_VALUE"""),"海道ちとせ")</f>
        <v>海道ちとせ</v>
      </c>
      <c r="I1408" s="22" t="str">
        <f>IFERROR(__xludf.DUMMYFUNCTION("""COMPUTED_VALUE"""),"少女")</f>
        <v>少女</v>
      </c>
      <c r="J1408" s="22"/>
      <c r="K1408" s="22"/>
      <c r="L1408" s="22" t="str">
        <f>IFERROR(__xludf.DUMMYFUNCTION("""COMPUTED_VALUE"""),"白泉社")</f>
        <v>白泉社</v>
      </c>
      <c r="M1408" s="23">
        <f>IFERROR(__xludf.DUMMYFUNCTION("""COMPUTED_VALUE"""),45422.0)</f>
        <v>45422</v>
      </c>
      <c r="N1408" s="23">
        <f>IFERROR(__xludf.DUMMYFUNCTION("""COMPUTED_VALUE"""),45484.0)</f>
        <v>45484</v>
      </c>
      <c r="O1408" s="20"/>
      <c r="P1408" s="34" t="str">
        <f>IFERROR(__xludf.DUMMYFUNCTION("""COMPUTED_VALUE"""),"否")</f>
        <v>否</v>
      </c>
      <c r="Q1408" s="30" t="str">
        <f>IFERROR(__xludf.DUMMYFUNCTION("""COMPUTED_VALUE"""),"河上さんへ事前コミットもらってます。&lt;BR&gt;素材3巻分もらいましたが4巻目がまだなのでもらい次第更新します（4/16）")</f>
        <v>河上さんへ事前コミットもらってます。&lt;BR&gt;素材3巻分もらいましたが4巻目がまだなのでもらい次第更新します（4/16）</v>
      </c>
      <c r="R1408" s="22"/>
      <c r="S1408" s="22" t="str">
        <f>IFERROR(__xludf.DUMMYFUNCTION("""COMPUTED_VALUE"""),"20240416_白泉社_ウチの万李がお世話になります")</f>
        <v>20240416_白泉社_ウチの万李がお世話になります</v>
      </c>
      <c r="T1408" s="22" t="str">
        <f>IFERROR(__xludf.DUMMYFUNCTION("""COMPUTED_VALUE"""),"格納済み")</f>
        <v>格納済み</v>
      </c>
      <c r="U1408" s="15" t="str">
        <f>IFERROR(__xludf.DUMMYFUNCTION("""COMPUTED_VALUE"""),"Ⓒ海道ちとせ/白泉社")</f>
        <v>Ⓒ海道ちとせ/白泉社</v>
      </c>
      <c r="V1408" s="8" t="str">
        <f>IFERROR(__xludf.DUMMYFUNCTION("""COMPUTED_VALUE"""),"推しのイケメン俳優・成田万李のマネージャーになった七星。ところが万李の本性は最低最悪の暴君だった…！振り回されまくりの七星だけど、仕事には常に本気な万李の熱意に惹かれていき…？(この話は、【電子版】LaLa 11月号（2023年）に収録されています。)")</f>
        <v>推しのイケメン俳優・成田万李のマネージャーになった七星。ところが万李の本性は最低最悪の暴君だった…！振り回されまくりの七星だけど、仕事には常に本気な万李の熱意に惹かれていき…？(この話は、【電子版】LaLa 11月号（2023年）に収録されています。)</v>
      </c>
      <c r="W1408" s="14"/>
      <c r="X1408" s="14" t="str">
        <f>IFERROR(__xludf.DUMMYFUNCTION("""COMPUTED_VALUE"""),"有")</f>
        <v>有</v>
      </c>
      <c r="Y1408" s="8" t="str">
        <f>IFERROR(__xludf.DUMMYFUNCTION("""COMPUTED_VALUE"""),"5/23まで1巻無料")</f>
        <v>5/23まで1巻無料</v>
      </c>
      <c r="Z1408" s="7"/>
      <c r="AA1408" s="7"/>
      <c r="AB1408" s="7"/>
    </row>
    <row r="1409" ht="15.75" customHeight="1">
      <c r="A1409" s="26">
        <f>IFERROR(__xludf.DUMMYFUNCTION("""COMPUTED_VALUE"""),3103.0)</f>
        <v>3103</v>
      </c>
      <c r="B1409" s="22" t="str">
        <f>IFERROR(__xludf.DUMMYFUNCTION("""COMPUTED_VALUE"""),"確定")</f>
        <v>確定</v>
      </c>
      <c r="C1409" s="28">
        <f>IFERROR(__xludf.DUMMYFUNCTION("""COMPUTED_VALUE"""),45365.0)</f>
        <v>45365</v>
      </c>
      <c r="D1409" s="28">
        <f>IFERROR(__xludf.DUMMYFUNCTION("""COMPUTED_VALUE"""),45397.0)</f>
        <v>45397</v>
      </c>
      <c r="E1409" s="26">
        <f>IFERROR(__xludf.DUMMYFUNCTION("""COMPUTED_VALUE"""),292737.0)</f>
        <v>292737</v>
      </c>
      <c r="F1409" s="22" t="str">
        <f>IFERROR(__xludf.DUMMYFUNCTION("""COMPUTED_VALUE"""),"カラミざかりアンソロジー")</f>
        <v>カラミざかりアンソロジー</v>
      </c>
      <c r="G1409" s="20">
        <f>IFERROR(__xludf.DUMMYFUNCTION("""COMPUTED_VALUE"""),1.0)</f>
        <v>1</v>
      </c>
      <c r="H1409" s="22" t="str">
        <f>IFERROR(__xludf.DUMMYFUNCTION("""COMPUTED_VALUE"""),"桂あいり┴HGTラボ┴jの覚醒┴トイレ籠┴師走の翁┴さめまんま┴えだ┴ロシナンテ┴おさとう┴田スケ┴終焉")</f>
        <v>桂あいり┴HGTラボ┴jの覚醒┴トイレ籠┴師走の翁┴さめまんま┴えだ┴ロシナンテ┴おさとう┴田スケ┴終焉</v>
      </c>
      <c r="I1409" s="22" t="str">
        <f>IFERROR(__xludf.DUMMYFUNCTION("""COMPUTED_VALUE"""),"オトナ")</f>
        <v>オトナ</v>
      </c>
      <c r="J1409" s="22"/>
      <c r="K1409" s="22"/>
      <c r="L1409" s="22" t="str">
        <f>IFERROR(__xludf.DUMMYFUNCTION("""COMPUTED_VALUE"""),"KATTS")</f>
        <v>KATTS</v>
      </c>
      <c r="M1409" s="23">
        <f>IFERROR(__xludf.DUMMYFUNCTION("""COMPUTED_VALUE"""),45429.0)</f>
        <v>45429</v>
      </c>
      <c r="N1409" s="23">
        <f>IFERROR(__xludf.DUMMYFUNCTION("""COMPUTED_VALUE"""),45512.0)</f>
        <v>45512</v>
      </c>
      <c r="O1409" s="20"/>
      <c r="P1409" s="34" t="str">
        <f>IFERROR(__xludf.DUMMYFUNCTION("""COMPUTED_VALUE"""),"可")</f>
        <v>可</v>
      </c>
      <c r="Q1409" s="30" t="str">
        <f>IFERROR(__xludf.DUMMYFUNCTION("""COMPUTED_VALUE"""),"広告コミットOK(3/19)")</f>
        <v>広告コミットOK(3/19)</v>
      </c>
      <c r="R1409" s="22"/>
      <c r="S1409" s="22" t="str">
        <f>IFERROR(__xludf.DUMMYFUNCTION("""COMPUTED_VALUE"""),"20240411_BookLive_カラミざかりアンソロジー")</f>
        <v>20240411_BookLive_カラミざかりアンソロジー</v>
      </c>
      <c r="T1409" s="22" t="str">
        <f>IFERROR(__xludf.DUMMYFUNCTION("""COMPUTED_VALUE"""),"格納済み")</f>
        <v>格納済み</v>
      </c>
      <c r="U1409" s="15" t="str">
        <f>IFERROR(__xludf.DUMMYFUNCTION("""COMPUTED_VALUE"""),"ⒸKATTS")</f>
        <v>ⒸKATTS</v>
      </c>
      <c r="V1409" s="8" t="str">
        <f>IFERROR(__xludf.DUMMYFUNCTION("""COMPUTED_VALUE"""),"桂あいり先生公認！大人気NTR成人向け漫画『カラミざかり』の公式コミックアンソロジーが登場！飯田、新山、竹内先輩にあの人まで…!?『カラミざかり』の世界を、10名の豪華執筆陣が描くオトナ向けアンソロジー。原作者・桂あいり先生の描き下ろしショート漫画も収録！【カバーイラスト】桂あいり【コミック】桂あいり『アンナと和紀』、田スケ『ミズギざかり』、さめまんま『胡蝶の夢』、トイレ籠『順番』、HGTラボ『貴史の母もやっぱりスケベでした。』、おさとう『拘束』、ロシナンテ『竹内先輩と部室と加藤先輩』、終焉『アヤマチ』、"&amp;"師走の翁『三連デリ』、Jの覚醒『立ち合い希望』、えだ『かわいいふたり』")</f>
        <v>桂あいり先生公認！大人気NTR成人向け漫画『カラミざかり』の公式コミックアンソロジーが登場！飯田、新山、竹内先輩にあの人まで…!?『カラミざかり』の世界を、10名の豪華執筆陣が描くオトナ向けアンソロジー。原作者・桂あいり先生の描き下ろしショート漫画も収録！【カバーイラスト】桂あいり【コミック】桂あいり『アンナと和紀』、田スケ『ミズギざかり』、さめまんま『胡蝶の夢』、トイレ籠『順番』、HGTラボ『貴史の母もやっぱりスケベでした。』、おさとう『拘束』、ロシナンテ『竹内先輩と部室と加藤先輩』、終焉『アヤマチ』、師走の翁『三連デリ』、Jの覚醒『立ち合い希望』、えだ『かわいいふたり』</v>
      </c>
      <c r="W1409" s="14"/>
      <c r="X1409" s="14" t="str">
        <f>IFERROR(__xludf.DUMMYFUNCTION("""COMPUTED_VALUE"""),"有")</f>
        <v>有</v>
      </c>
      <c r="Y1409" s="8" t="str">
        <f>IFERROR(__xludf.DUMMYFUNCTION("""COMPUTED_VALUE"""),"P25まで")</f>
        <v>P25まで</v>
      </c>
      <c r="Z1409" s="7"/>
      <c r="AA1409" s="7"/>
      <c r="AB1409" s="7"/>
    </row>
    <row r="1410" ht="15.75" customHeight="1">
      <c r="A1410" s="26">
        <f>IFERROR(__xludf.DUMMYFUNCTION("""COMPUTED_VALUE"""),3246.0)</f>
        <v>3246</v>
      </c>
      <c r="B1410" s="22" t="str">
        <f>IFERROR(__xludf.DUMMYFUNCTION("""COMPUTED_VALUE"""),"確定")</f>
        <v>確定</v>
      </c>
      <c r="C1410" s="28">
        <f>IFERROR(__xludf.DUMMYFUNCTION("""COMPUTED_VALUE"""),45387.0)</f>
        <v>45387</v>
      </c>
      <c r="D1410" s="28">
        <f>IFERROR(__xludf.DUMMYFUNCTION("""COMPUTED_VALUE"""),45397.0)</f>
        <v>45397</v>
      </c>
      <c r="E1410" s="26">
        <f>IFERROR(__xludf.DUMMYFUNCTION("""COMPUTED_VALUE"""),292774.0)</f>
        <v>292774</v>
      </c>
      <c r="F1410" s="22" t="str">
        <f>IFERROR(__xludf.DUMMYFUNCTION("""COMPUTED_VALUE"""),"偽物令嬢の復讐～仇討ちのため、5人の侯爵令息の婚約者になります～【単話】")</f>
        <v>偽物令嬢の復讐～仇討ちのため、5人の侯爵令息の婚約者になります～【単話】</v>
      </c>
      <c r="G1410" s="16" t="str">
        <f>IFERROR(__xludf.DUMMYFUNCTION("""COMPUTED_VALUE"""),"1～3")</f>
        <v>1～3</v>
      </c>
      <c r="H1410" s="22" t="str">
        <f>IFERROR(__xludf.DUMMYFUNCTION("""COMPUTED_VALUE"""),"原作: 小林央　漫画: 南々瀬なつ")</f>
        <v>原作: 小林央　漫画: 南々瀬なつ</v>
      </c>
      <c r="I1410" s="46" t="str">
        <f>IFERROR(__xludf.DUMMYFUNCTION("""COMPUTED_VALUE"""),"少女")</f>
        <v>少女</v>
      </c>
      <c r="J1410" s="22"/>
      <c r="K1410" s="22"/>
      <c r="L1410" s="22" t="str">
        <f>IFERROR(__xludf.DUMMYFUNCTION("""COMPUTED_VALUE"""),"小学館")</f>
        <v>小学館</v>
      </c>
      <c r="M1410" s="23">
        <f>IFERROR(__xludf.DUMMYFUNCTION("""COMPUTED_VALUE"""),45429.0)</f>
        <v>45429</v>
      </c>
      <c r="N1410" s="47">
        <f>IFERROR(__xludf.DUMMYFUNCTION("""COMPUTED_VALUE"""),45490.0)</f>
        <v>45490</v>
      </c>
      <c r="O1410" s="20"/>
      <c r="P1410" s="34" t="str">
        <f>IFERROR(__xludf.DUMMYFUNCTION("""COMPUTED_VALUE"""),"否")</f>
        <v>否</v>
      </c>
      <c r="Q1410" s="30" t="str">
        <f>IFERROR(__xludf.DUMMYFUNCTION("""COMPUTED_VALUE"""),"広告コミットOK(4/8)")</f>
        <v>広告コミットOK(4/8)</v>
      </c>
      <c r="R1410" s="22"/>
      <c r="S1410" s="22" t="str">
        <f>IFERROR(__xludf.DUMMYFUNCTION("""COMPUTED_VALUE"""),"20240412_小学館_偽物令嬢の復讐～仇討ちのため、5人の侯爵令息の婚約者になります～【単話】")</f>
        <v>20240412_小学館_偽物令嬢の復讐～仇討ちのため、5人の侯爵令息の婚約者になります～【単話】</v>
      </c>
      <c r="T1410" s="22" t="str">
        <f>IFERROR(__xludf.DUMMYFUNCTION("""COMPUTED_VALUE"""),"格納済み")</f>
        <v>格納済み</v>
      </c>
      <c r="U1410" s="15" t="str">
        <f>IFERROR(__xludf.DUMMYFUNCTION("""COMPUTED_VALUE"""),"(C)小林央・南々瀬なつ / 小学館")</f>
        <v>(C)小林央・南々瀬なつ / 小学館</v>
      </c>
      <c r="V1410" s="8" t="str">
        <f>IFERROR(__xludf.DUMMYFUNCTION("""COMPUTED_VALUE"""),"あなたは黒幕？ それとも――
ロレーヌ伯爵家に仕える有能メイド・ソフィアは、伯爵令嬢のアンジュにそっくり。
アンジュに成り替わる特技も生かしつつ、恩ある伯爵家のために日々働いていた。
しかし、とある事件をきっかけにアンジュは命を絶ってしまう。その原因を作った犯人に報いを受けさせると決意したソフィアは、仇がいると確信するオーヴェル侯爵家に、アンジュに成り替わって嫁ぐことを決意する――！
５人の侯爵令息との駆け引きの行方は…？ 絢爛ラブサスペンス！")</f>
        <v>あなたは黒幕？ それとも――
ロレーヌ伯爵家に仕える有能メイド・ソフィアは、伯爵令嬢のアンジュにそっくり。
アンジュに成り替わる特技も生かしつつ、恩ある伯爵家のために日々働いていた。
しかし、とある事件をきっかけにアンジュは命を絶ってしまう。その原因を作った犯人に報いを受けさせると決意したソフィアは、仇がいると確信するオーヴェル侯爵家に、アンジュに成り替わって嫁ぐことを決意する――！
５人の侯爵令息との駆け引きの行方は…？ 絢爛ラブサスペンス！</v>
      </c>
      <c r="W1410" s="14"/>
      <c r="X1410" s="14" t="str">
        <f>IFERROR(__xludf.DUMMYFUNCTION("""COMPUTED_VALUE"""),"有")</f>
        <v>有</v>
      </c>
      <c r="Y1410" s="8" t="str">
        <f>IFERROR(__xludf.DUMMYFUNCTION("""COMPUTED_VALUE"""),"2024/7/17まで1巻無料")</f>
        <v>2024/7/17まで1巻無料</v>
      </c>
      <c r="Z1410" s="7"/>
      <c r="AA1410" s="7"/>
      <c r="AB1410" s="7"/>
    </row>
    <row r="1411" ht="15.75" customHeight="1">
      <c r="A1411" s="26">
        <f>IFERROR(__xludf.DUMMYFUNCTION("""COMPUTED_VALUE"""),3260.0)</f>
        <v>3260</v>
      </c>
      <c r="B1411" s="22" t="str">
        <f>IFERROR(__xludf.DUMMYFUNCTION("""COMPUTED_VALUE"""),"確定")</f>
        <v>確定</v>
      </c>
      <c r="C1411" s="28">
        <f>IFERROR(__xludf.DUMMYFUNCTION("""COMPUTED_VALUE"""),45391.0)</f>
        <v>45391</v>
      </c>
      <c r="D1411" s="28">
        <f>IFERROR(__xludf.DUMMYFUNCTION("""COMPUTED_VALUE"""),45394.0)</f>
        <v>45394</v>
      </c>
      <c r="E1411" s="26">
        <f>IFERROR(__xludf.DUMMYFUNCTION("""COMPUTED_VALUE"""),292428.0)</f>
        <v>292428</v>
      </c>
      <c r="F1411" s="22" t="str">
        <f>IFERROR(__xludf.DUMMYFUNCTION("""COMPUTED_VALUE"""),"視線が絡んで、熱になる")</f>
        <v>視線が絡んで、熱になる</v>
      </c>
      <c r="G1411" s="20" t="str">
        <f>IFERROR(__xludf.DUMMYFUNCTION("""COMPUTED_VALUE"""),"1～3")</f>
        <v>1～3</v>
      </c>
      <c r="H1411" s="22" t="str">
        <f>IFERROR(__xludf.DUMMYFUNCTION("""COMPUTED_VALUE"""),"漫画：兎月メイ／原作：夜桜 ゆーり（エブリスタ）")</f>
        <v>漫画：兎月メイ／原作：夜桜 ゆーり（エブリスタ）</v>
      </c>
      <c r="I1411" s="22" t="str">
        <f>IFERROR(__xludf.DUMMYFUNCTION("""COMPUTED_VALUE"""),"少女")</f>
        <v>少女</v>
      </c>
      <c r="J1411" s="22"/>
      <c r="K1411" s="22"/>
      <c r="L1411" s="22" t="str">
        <f>IFERROR(__xludf.DUMMYFUNCTION("""COMPUTED_VALUE"""),"集英社")</f>
        <v>集英社</v>
      </c>
      <c r="M1411" s="23">
        <f>IFERROR(__xludf.DUMMYFUNCTION("""COMPUTED_VALUE"""),45413.0)</f>
        <v>45413</v>
      </c>
      <c r="N1411" s="23">
        <f>IFERROR(__xludf.DUMMYFUNCTION("""COMPUTED_VALUE"""),45443.0)</f>
        <v>45443</v>
      </c>
      <c r="O1411" s="20"/>
      <c r="P1411" s="34" t="str">
        <f>IFERROR(__xludf.DUMMYFUNCTION("""COMPUTED_VALUE"""),"否")</f>
        <v>否</v>
      </c>
      <c r="Q1411" s="30" t="str">
        <f>IFERROR(__xludf.DUMMYFUNCTION("""COMPUTED_VALUE"""),"デジタルマーガレット")</f>
        <v>デジタルマーガレット</v>
      </c>
      <c r="R1411" s="22"/>
      <c r="S1411" s="22" t="str">
        <f>IFERROR(__xludf.DUMMYFUNCTION("""COMPUTED_VALUE"""),"20240411_集英社_視線が絡んで、熱になる")</f>
        <v>20240411_集英社_視線が絡んで、熱になる</v>
      </c>
      <c r="T1411" s="22" t="str">
        <f>IFERROR(__xludf.DUMMYFUNCTION("""COMPUTED_VALUE"""),"格納済み")</f>
        <v>格納済み</v>
      </c>
      <c r="U1411" s="15" t="str">
        <f>IFERROR(__xludf.DUMMYFUNCTION("""COMPUTED_VALUE"""),"(C)兎月メイ・夜桜ゆーり（エブリスタ）／集英社")</f>
        <v>(C)兎月メイ・夜桜ゆーり（エブリスタ）／集英社</v>
      </c>
      <c r="V1411" s="8" t="str">
        <f>IFERROR(__xludf.DUMMYFUNCTION("""COMPUTED_VALUE"""),"【二度と恋なんてしない…そう決めたのに……!!】大手広告代理店に勤める藍沢 琴葉は、コミュ力なし、色気なし、男なしの25歳。大学時代のあるトラウマで恋愛はしないと決めているため、ひっそりと目立たず生きていた。しかし、社会人3年目のある日、人事部から本社営業部へ異動することに。しかも、そこは営業部の中でも最若手マネージャー・不破 柊ひきいる、美男美女ばかりの営業一部…!!　緊張しながら仕事に挑む中、琴葉の歓迎会が行われ、琴葉は泥酔してしまった。そして目が覚めると、なんとベッドの横には不破マネージャーがいて…"&amp;"!?")</f>
        <v>【二度と恋なんてしない…そう決めたのに……!!】大手広告代理店に勤める藍沢 琴葉は、コミュ力なし、色気なし、男なしの25歳。大学時代のあるトラウマで恋愛はしないと決めているため、ひっそりと目立たず生きていた。しかし、社会人3年目のある日、人事部から本社営業部へ異動することに。しかも、そこは営業部の中でも最若手マネージャー・不破 柊ひきいる、美男美女ばかりの営業一部…!!　緊張しながら仕事に挑む中、琴葉の歓迎会が行われ、琴葉は泥酔してしまった。そして目が覚めると、なんとベッドの横には不破マネージャーがいて…!?</v>
      </c>
      <c r="W1411" s="14"/>
      <c r="X1411" s="14" t="str">
        <f>IFERROR(__xludf.DUMMYFUNCTION("""COMPUTED_VALUE"""),"有")</f>
        <v>有</v>
      </c>
      <c r="Y1411" s="8" t="str">
        <f>IFERROR(__xludf.DUMMYFUNCTION("""COMPUTED_VALUE"""),"P20まで")</f>
        <v>P20まで</v>
      </c>
      <c r="Z1411" s="7"/>
      <c r="AA1411" s="7"/>
      <c r="AB1411" s="7"/>
    </row>
    <row r="1412" ht="15.75" customHeight="1">
      <c r="A1412" s="26">
        <f>IFERROR(__xludf.DUMMYFUNCTION("""COMPUTED_VALUE"""),3267.0)</f>
        <v>3267</v>
      </c>
      <c r="B1412" s="22" t="str">
        <f>IFERROR(__xludf.DUMMYFUNCTION("""COMPUTED_VALUE"""),"確定")</f>
        <v>確定</v>
      </c>
      <c r="C1412" s="28">
        <f>IFERROR(__xludf.DUMMYFUNCTION("""COMPUTED_VALUE"""),45392.0)</f>
        <v>45392</v>
      </c>
      <c r="D1412" s="28">
        <f>IFERROR(__xludf.DUMMYFUNCTION("""COMPUTED_VALUE"""),45394.0)</f>
        <v>45394</v>
      </c>
      <c r="E1412" s="26">
        <f>IFERROR(__xludf.DUMMYFUNCTION("""COMPUTED_VALUE"""),291854.0)</f>
        <v>291854</v>
      </c>
      <c r="F1412" s="22" t="str">
        <f>IFERROR(__xludf.DUMMYFUNCTION("""COMPUTED_VALUE"""),"獣神様の淫らな寵愛～エッチな神様に救われました～")</f>
        <v>獣神様の淫らな寵愛～エッチな神様に救われました～</v>
      </c>
      <c r="G1412" s="20" t="str">
        <f>IFERROR(__xludf.DUMMYFUNCTION("""COMPUTED_VALUE"""),"1～3")</f>
        <v>1～3</v>
      </c>
      <c r="H1412" s="22" t="str">
        <f>IFERROR(__xludf.DUMMYFUNCTION("""COMPUTED_VALUE"""),"秋丸とらお")</f>
        <v>秋丸とらお</v>
      </c>
      <c r="I1412" s="22" t="str">
        <f>IFERROR(__xludf.DUMMYFUNCTION("""COMPUTED_VALUE"""),"TL")</f>
        <v>TL</v>
      </c>
      <c r="J1412" s="22"/>
      <c r="K1412" s="22"/>
      <c r="L1412" s="22" t="str">
        <f>IFERROR(__xludf.DUMMYFUNCTION("""COMPUTED_VALUE"""),"一迅社")</f>
        <v>一迅社</v>
      </c>
      <c r="M1412" s="23">
        <f>IFERROR(__xludf.DUMMYFUNCTION("""COMPUTED_VALUE"""),45415.0)</f>
        <v>45415</v>
      </c>
      <c r="N1412" s="33">
        <f>IFERROR(__xludf.DUMMYFUNCTION("""COMPUTED_VALUE"""),45449.0)</f>
        <v>45449</v>
      </c>
      <c r="O1412" s="20"/>
      <c r="P1412" s="32" t="str">
        <f>IFERROR(__xludf.DUMMYFUNCTION("""COMPUTED_VALUE"""),"可")</f>
        <v>可</v>
      </c>
      <c r="Q1412" s="30"/>
      <c r="R1412" s="22"/>
      <c r="S1412" s="22" t="str">
        <f>IFERROR(__xludf.DUMMYFUNCTION("""COMPUTED_VALUE"""),"20240410_一迅社_獣神様の淫らな寵愛～エッチな神様に救われました～")</f>
        <v>20240410_一迅社_獣神様の淫らな寵愛～エッチな神様に救われました～</v>
      </c>
      <c r="T1412" s="22" t="str">
        <f>IFERROR(__xludf.DUMMYFUNCTION("""COMPUTED_VALUE"""),"格納済み")</f>
        <v>格納済み</v>
      </c>
      <c r="U1412" s="15" t="str">
        <f>IFERROR(__xludf.DUMMYFUNCTION("""COMPUTED_VALUE"""),"(C)秋丸とらお／一迅社")</f>
        <v>(C)秋丸とらお／一迅社</v>
      </c>
      <c r="V1412" s="8" t="str">
        <f>IFERROR(__xludf.DUMMYFUNCTION("""COMPUTED_VALUE"""),"「人の子…その命俺がもらおう」ブラック企業の社畜OL・衣緒は、全てに疲れ神社で首を吊ろうとしたところを大きな黒い狐に救われる。自分を神様だと言う狐は、邪気を払うから身を任せろと優しく衣緒を抱き寄せて…。「俺の花嫁となれ、その邪気喰らってやろう…」人間のとは比べ物にならない大きさの手で、舌で、愛撫されるたび、疼く身体をどうしたら…！？一途な狐神さまに甘くエッチに溺愛される日々が始まる…！")</f>
        <v>「人の子…その命俺がもらおう」ブラック企業の社畜OL・衣緒は、全てに疲れ神社で首を吊ろうとしたところを大きな黒い狐に救われる。自分を神様だと言う狐は、邪気を払うから身を任せろと優しく衣緒を抱き寄せて…。「俺の花嫁となれ、その邪気喰らってやろう…」人間のとは比べ物にならない大きさの手で、舌で、愛撫されるたび、疼く身体をどうしたら…！？一途な狐神さまに甘くエッチに溺愛される日々が始まる…！</v>
      </c>
      <c r="W1412" s="14"/>
      <c r="X1412" s="14" t="str">
        <f>IFERROR(__xludf.DUMMYFUNCTION("""COMPUTED_VALUE"""),"有")</f>
        <v>有</v>
      </c>
      <c r="Y1412" s="8" t="str">
        <f>IFERROR(__xludf.DUMMYFUNCTION("""COMPUTED_VALUE"""),"2024/6/6まで１巻無料
２巻：試し読みP７まで
３巻：試し読みP７まで")</f>
        <v>2024/6/6まで１巻無料
２巻：試し読みP７まで
３巻：試し読みP７まで</v>
      </c>
      <c r="Z1412" s="7"/>
      <c r="AA1412" s="7"/>
      <c r="AB1412" s="7"/>
    </row>
    <row r="1413" ht="15.75" customHeight="1">
      <c r="A1413" s="26">
        <f>IFERROR(__xludf.DUMMYFUNCTION("""COMPUTED_VALUE"""),3268.0)</f>
        <v>3268</v>
      </c>
      <c r="B1413" s="22" t="str">
        <f>IFERROR(__xludf.DUMMYFUNCTION("""COMPUTED_VALUE"""),"確定")</f>
        <v>確定</v>
      </c>
      <c r="C1413" s="28">
        <f>IFERROR(__xludf.DUMMYFUNCTION("""COMPUTED_VALUE"""),45392.0)</f>
        <v>45392</v>
      </c>
      <c r="D1413" s="28">
        <f>IFERROR(__xludf.DUMMYFUNCTION("""COMPUTED_VALUE"""),45394.0)</f>
        <v>45394</v>
      </c>
      <c r="E1413" s="26">
        <f>IFERROR(__xludf.DUMMYFUNCTION("""COMPUTED_VALUE"""),291855.0)</f>
        <v>291855</v>
      </c>
      <c r="F1413" s="22" t="str">
        <f>IFERROR(__xludf.DUMMYFUNCTION("""COMPUTED_VALUE"""),"本番、禁止。いじわるセラピストのとろとろ溺愛療法")</f>
        <v>本番、禁止。いじわるセラピストのとろとろ溺愛療法</v>
      </c>
      <c r="G1413" s="20" t="str">
        <f>IFERROR(__xludf.DUMMYFUNCTION("""COMPUTED_VALUE"""),"1～3")</f>
        <v>1～3</v>
      </c>
      <c r="H1413" s="22" t="str">
        <f>IFERROR(__xludf.DUMMYFUNCTION("""COMPUTED_VALUE"""),"明治みちる")</f>
        <v>明治みちる</v>
      </c>
      <c r="I1413" s="22" t="str">
        <f>IFERROR(__xludf.DUMMYFUNCTION("""COMPUTED_VALUE"""),"TL")</f>
        <v>TL</v>
      </c>
      <c r="J1413" s="22"/>
      <c r="K1413" s="22"/>
      <c r="L1413" s="22" t="str">
        <f>IFERROR(__xludf.DUMMYFUNCTION("""COMPUTED_VALUE"""),"一迅社")</f>
        <v>一迅社</v>
      </c>
      <c r="M1413" s="23">
        <f>IFERROR(__xludf.DUMMYFUNCTION("""COMPUTED_VALUE"""),45415.0)</f>
        <v>45415</v>
      </c>
      <c r="N1413" s="33">
        <f>IFERROR(__xludf.DUMMYFUNCTION("""COMPUTED_VALUE"""),45477.66666666667)</f>
        <v>45477.66667</v>
      </c>
      <c r="O1413" s="20"/>
      <c r="P1413" s="32" t="str">
        <f>IFERROR(__xludf.DUMMYFUNCTION("""COMPUTED_VALUE"""),"可")</f>
        <v>可</v>
      </c>
      <c r="Q1413" s="30"/>
      <c r="R1413" s="22"/>
      <c r="S1413" s="22" t="str">
        <f>IFERROR(__xludf.DUMMYFUNCTION("""COMPUTED_VALUE"""),"20240410_一迅社_本番、禁止。いじわるセラピストのとろとろ溺愛療法")</f>
        <v>20240410_一迅社_本番、禁止。いじわるセラピストのとろとろ溺愛療法</v>
      </c>
      <c r="T1413" s="22" t="str">
        <f>IFERROR(__xludf.DUMMYFUNCTION("""COMPUTED_VALUE"""),"格納済み")</f>
        <v>格納済み</v>
      </c>
      <c r="U1413" s="15" t="str">
        <f>IFERROR(__xludf.DUMMYFUNCTION("""COMPUTED_VALUE"""),"(C)明治みちる／一迅社")</f>
        <v>(C)明治みちる／一迅社</v>
      </c>
      <c r="V1413" s="8" t="str">
        <f>IFERROR(__xludf.DUMMYFUNCTION("""COMPUTED_VALUE"""),"「誰より可愛くて幸せな女の子にしてあげますから、俺に任せてください」熱くて大きい手のひらが私の胸や背中を優しく撫でて…。敏感なアソコはすぐにぐちょぐちょに…。自分の身体のはずなのに、自分の知らないエッチな姿に変えられちゃう…！？夏八木柚子26歳OL。一見悩みなんてなさそうな男前女子である彼女の悩みは…処女だということ。26歳で処女だなんて拗らせてるって思われたくない…。けれど仕事は充実しているし一人が寂しくて仕方がないという訳でもなく、どうしたらいいかわからない…。そんなとき、友人から見せてもらった「女性"&amp;"用風俗」の広告を見かけて…！？")</f>
        <v>「誰より可愛くて幸せな女の子にしてあげますから、俺に任せてください」熱くて大きい手のひらが私の胸や背中を優しく撫でて…。敏感なアソコはすぐにぐちょぐちょに…。自分の身体のはずなのに、自分の知らないエッチな姿に変えられちゃう…！？夏八木柚子26歳OL。一見悩みなんてなさそうな男前女子である彼女の悩みは…処女だということ。26歳で処女だなんて拗らせてるって思われたくない…。けれど仕事は充実しているし一人が寂しくて仕方がないという訳でもなく、どうしたらいいかわからない…。そんなとき、友人から見せてもらった「女性用風俗」の広告を見かけて…！？</v>
      </c>
      <c r="W1413" s="14"/>
      <c r="X1413" s="14" t="str">
        <f>IFERROR(__xludf.DUMMYFUNCTION("""COMPUTED_VALUE"""),"有")</f>
        <v>有</v>
      </c>
      <c r="Y1413" s="8" t="str">
        <f>IFERROR(__xludf.DUMMYFUNCTION("""COMPUTED_VALUE"""),"2024/6/6まで１巻無料
２巻：試し読みP７まで
３巻：試し読みP７まで")</f>
        <v>2024/6/6まで１巻無料
２巻：試し読みP７まで
３巻：試し読みP７まで</v>
      </c>
      <c r="Z1413" s="7"/>
      <c r="AA1413" s="7"/>
      <c r="AB1413" s="7"/>
    </row>
    <row r="1414" ht="15.75" customHeight="1">
      <c r="A1414" s="26">
        <f>IFERROR(__xludf.DUMMYFUNCTION("""COMPUTED_VALUE"""),3269.0)</f>
        <v>3269</v>
      </c>
      <c r="B1414" s="22" t="str">
        <f>IFERROR(__xludf.DUMMYFUNCTION("""COMPUTED_VALUE"""),"確定")</f>
        <v>確定</v>
      </c>
      <c r="C1414" s="28">
        <f>IFERROR(__xludf.DUMMYFUNCTION("""COMPUTED_VALUE"""),45392.0)</f>
        <v>45392</v>
      </c>
      <c r="D1414" s="28">
        <f>IFERROR(__xludf.DUMMYFUNCTION("""COMPUTED_VALUE"""),45394.0)</f>
        <v>45394</v>
      </c>
      <c r="E1414" s="26">
        <f>IFERROR(__xludf.DUMMYFUNCTION("""COMPUTED_VALUE"""),290753.0)</f>
        <v>290753</v>
      </c>
      <c r="F1414" s="22" t="str">
        <f>IFERROR(__xludf.DUMMYFUNCTION("""COMPUTED_VALUE"""),"復讐の王子様")</f>
        <v>復讐の王子様</v>
      </c>
      <c r="G1414" s="11" t="str">
        <f>IFERROR(__xludf.DUMMYFUNCTION("""COMPUTED_VALUE"""),"1～4")</f>
        <v>1～4</v>
      </c>
      <c r="H1414" s="22" t="str">
        <f>IFERROR(__xludf.DUMMYFUNCTION("""COMPUTED_VALUE"""),"原作／狸谷ぽん　ネーム／黒乙女　作画／鳥梅 丸")</f>
        <v>原作／狸谷ぽん　ネーム／黒乙女　作画／鳥梅 丸</v>
      </c>
      <c r="I1414" s="52" t="str">
        <f>IFERROR(__xludf.DUMMYFUNCTION("""COMPUTED_VALUE"""),"女性")</f>
        <v>女性</v>
      </c>
      <c r="J1414" s="22"/>
      <c r="K1414" s="22"/>
      <c r="L1414" s="22" t="str">
        <f>IFERROR(__xludf.DUMMYFUNCTION("""COMPUTED_VALUE"""),"taskey")</f>
        <v>taskey</v>
      </c>
      <c r="M1414" s="23">
        <f>IFERROR(__xludf.DUMMYFUNCTION("""COMPUTED_VALUE"""),45401.0)</f>
        <v>45401</v>
      </c>
      <c r="N1414" s="47">
        <f>IFERROR(__xludf.DUMMYFUNCTION("""COMPUTED_VALUE"""),45504.66666666667)</f>
        <v>45504.66667</v>
      </c>
      <c r="O1414" s="20"/>
      <c r="P1414" s="32" t="str">
        <f>IFERROR(__xludf.DUMMYFUNCTION("""COMPUTED_VALUE"""),"可")</f>
        <v>可</v>
      </c>
      <c r="Q1414" s="30"/>
      <c r="R1414" s="22"/>
      <c r="S1414" s="22" t="str">
        <f>IFERROR(__xludf.DUMMYFUNCTION("""COMPUTED_VALUE"""),"20240410_taskey_復讐の王子様")</f>
        <v>20240410_taskey_復讐の王子様</v>
      </c>
      <c r="T1414" s="22" t="str">
        <f>IFERROR(__xludf.DUMMYFUNCTION("""COMPUTED_VALUE"""),"格納済み")</f>
        <v>格納済み</v>
      </c>
      <c r="U1414" s="15" t="str">
        <f>IFERROR(__xludf.DUMMYFUNCTION("""COMPUTED_VALUE"""),"©︎taskey　原作／狸谷ぽん　ネーム／黒乙女　作画／鳥梅 丸")</f>
        <v>©︎taskey　原作／狸谷ぽん　ネーム／黒乙女　作画／鳥梅 丸</v>
      </c>
      <c r="V1414" s="8" t="str">
        <f>IFERROR(__xludf.DUMMYFUNCTION("""COMPUTED_VALUE"""),"醜い容姿のせいで響子は同級生から凄惨なイジメを受けていた。そんな絶望の日々の中、ただ一人の味方だった母が事故に遭い、意識不明に。自暴自棄になった響子は自殺を図るが……。目を覚ますと、見覚えのない美しい男になっていた──！絶望の淵で生まれ変わった響子がとった行動は……自分をイジメていた同級生への復讐だった")</f>
        <v>醜い容姿のせいで響子は同級生から凄惨なイジメを受けていた。そんな絶望の日々の中、ただ一人の味方だった母が事故に遭い、意識不明に。自暴自棄になった響子は自殺を図るが……。目を覚ますと、見覚えのない美しい男になっていた──！絶望の淵で生まれ変わった響子がとった行動は……自分をイジメていた同級生への復讐だった</v>
      </c>
      <c r="W1414" s="14"/>
      <c r="X1414" s="14" t="str">
        <f>IFERROR(__xludf.DUMMYFUNCTION("""COMPUTED_VALUE"""),"有")</f>
        <v>有</v>
      </c>
      <c r="Y1414" s="8" t="str">
        <f>IFERROR(__xludf.DUMMYFUNCTION("""COMPUTED_VALUE"""),"2024/6/19まで1~2巻無料")</f>
        <v>2024/6/19まで1~2巻無料</v>
      </c>
      <c r="Z1414" s="7"/>
      <c r="AA1414" s="7"/>
      <c r="AB1414" s="7"/>
    </row>
    <row r="1415" ht="118.5" customHeight="1">
      <c r="A1415" s="26">
        <f>IFERROR(__xludf.DUMMYFUNCTION("""COMPUTED_VALUE"""),3271.0)</f>
        <v>3271</v>
      </c>
      <c r="B1415" s="22" t="str">
        <f>IFERROR(__xludf.DUMMYFUNCTION("""COMPUTED_VALUE"""),"確定")</f>
        <v>確定</v>
      </c>
      <c r="C1415" s="28">
        <f>IFERROR(__xludf.DUMMYFUNCTION("""COMPUTED_VALUE"""),45393.0)</f>
        <v>45393</v>
      </c>
      <c r="D1415" s="28">
        <f>IFERROR(__xludf.DUMMYFUNCTION("""COMPUTED_VALUE"""),45398.0)</f>
        <v>45398</v>
      </c>
      <c r="E1415" s="26">
        <f>IFERROR(__xludf.DUMMYFUNCTION("""COMPUTED_VALUE"""),292350.0)</f>
        <v>292350</v>
      </c>
      <c r="F1415" s="22" t="str">
        <f>IFERROR(__xludf.DUMMYFUNCTION("""COMPUTED_VALUE"""),"こどものくに")</f>
        <v>こどものくに</v>
      </c>
      <c r="G1415" s="20" t="str">
        <f>IFERROR(__xludf.DUMMYFUNCTION("""COMPUTED_VALUE"""),"1～5")</f>
        <v>1～5</v>
      </c>
      <c r="H1415" s="22" t="str">
        <f>IFERROR(__xludf.DUMMYFUNCTION("""COMPUTED_VALUE"""),"カシミハル")</f>
        <v>カシミハル</v>
      </c>
      <c r="I1415" s="22" t="str">
        <f>IFERROR(__xludf.DUMMYFUNCTION("""COMPUTED_VALUE"""),"少年")</f>
        <v>少年</v>
      </c>
      <c r="J1415" s="22"/>
      <c r="K1415" s="22"/>
      <c r="L1415" s="22" t="str">
        <f>IFERROR(__xludf.DUMMYFUNCTION("""COMPUTED_VALUE"""),"集英社")</f>
        <v>集英社</v>
      </c>
      <c r="M1415" s="23">
        <f>IFERROR(__xludf.DUMMYFUNCTION("""COMPUTED_VALUE"""),45414.0)</f>
        <v>45414</v>
      </c>
      <c r="N1415" s="47">
        <f>IFERROR(__xludf.DUMMYFUNCTION("""COMPUTED_VALUE"""),45447.0)</f>
        <v>45447</v>
      </c>
      <c r="O1415" s="20"/>
      <c r="P1415" s="34" t="str">
        <f>IFERROR(__xludf.DUMMYFUNCTION("""COMPUTED_VALUE"""),"否")</f>
        <v>否</v>
      </c>
      <c r="Q1415" s="30" t="str">
        <f>IFERROR(__xludf.DUMMYFUNCTION("""COMPUTED_VALUE"""),"ジャンプSQ&lt;BR&gt;epubでお渡ししたファイルが1～3巻の内容となっており、目次で示されている1話ごとに1コンテンツとして配信されます。&lt;BR&gt;1～3巻目まででクリエイティブ制作お願いいたします。")</f>
        <v>ジャンプSQ&lt;BR&gt;epubでお渡ししたファイルが1～3巻の内容となっており、目次で示されている1話ごとに1コンテンツとして配信されます。&lt;BR&gt;1～3巻目まででクリエイティブ制作お願いいたします。</v>
      </c>
      <c r="R1415" s="22"/>
      <c r="S1415" s="22" t="str">
        <f>IFERROR(__xludf.DUMMYFUNCTION("""COMPUTED_VALUE"""),"20240411_集英社_こどものくに")</f>
        <v>20240411_集英社_こどものくに</v>
      </c>
      <c r="T1415" s="22" t="str">
        <f>IFERROR(__xludf.DUMMYFUNCTION("""COMPUTED_VALUE"""),"格納済み")</f>
        <v>格納済み</v>
      </c>
      <c r="U1415" s="15" t="str">
        <f>IFERROR(__xludf.DUMMYFUNCTION("""COMPUTED_VALUE"""),"©表記：カシミハル／集英社")</f>
        <v>©表記：カシミハル／集英社</v>
      </c>
      <c r="V1415" s="8" t="str">
        <f>IFERROR(__xludf.DUMMYFUNCTION("""COMPUTED_VALUE"""),"コドモだけが暮らす街に現れる脅威。それは彼らを攫う“オトナ”の存在だった。その怪物と戦う軍隊長・ハルを兄に持つサンは、兄の背中を追い軍への入隊を目指すも不合格に…。悲嘆に暮れる中、突如ハルの容体が急変し!?　ジャンプSQ.期待の新鋭が描く「チルドレンズ・ディストピア」分冊版第1巻！")</f>
        <v>コドモだけが暮らす街に現れる脅威。それは彼らを攫う“オトナ”の存在だった。その怪物と戦う軍隊長・ハルを兄に持つサンは、兄の背中を追い軍への入隊を目指すも不合格に…。悲嘆に暮れる中、突如ハルの容体が急変し!?　ジャンプSQ.期待の新鋭が描く「チルドレンズ・ディストピア」分冊版第1巻！</v>
      </c>
      <c r="W1415" s="14"/>
      <c r="X1415" s="14" t="str">
        <f>IFERROR(__xludf.DUMMYFUNCTION("""COMPUTED_VALUE"""),"有")</f>
        <v>有</v>
      </c>
      <c r="Y1415" s="8" t="str">
        <f>IFERROR(__xludf.DUMMYFUNCTION("""COMPUTED_VALUE"""),"1巻無料")</f>
        <v>1巻無料</v>
      </c>
      <c r="Z1415" s="7"/>
      <c r="AA1415" s="7"/>
      <c r="AB1415" s="7"/>
    </row>
    <row r="1416" ht="15.75" customHeight="1">
      <c r="A1416" s="26">
        <f>IFERROR(__xludf.DUMMYFUNCTION("""COMPUTED_VALUE"""),3276.0)</f>
        <v>3276</v>
      </c>
      <c r="B1416" s="22" t="str">
        <f>IFERROR(__xludf.DUMMYFUNCTION("""COMPUTED_VALUE"""),"確定")</f>
        <v>確定</v>
      </c>
      <c r="C1416" s="28">
        <f>IFERROR(__xludf.DUMMYFUNCTION("""COMPUTED_VALUE"""),45394.0)</f>
        <v>45394</v>
      </c>
      <c r="D1416" s="28">
        <f>IFERROR(__xludf.DUMMYFUNCTION("""COMPUTED_VALUE"""),45398.0)</f>
        <v>45398</v>
      </c>
      <c r="E1416" s="26">
        <f>IFERROR(__xludf.DUMMYFUNCTION("""COMPUTED_VALUE"""),291261.0)</f>
        <v>291261</v>
      </c>
      <c r="F1416" s="22" t="str">
        <f>IFERROR(__xludf.DUMMYFUNCTION("""COMPUTED_VALUE"""),"最強ヒモクズ祓い屋蓮くんに抱き潰されるまで【デジタル修正版】")</f>
        <v>最強ヒモクズ祓い屋蓮くんに抱き潰されるまで【デジタル修正版】</v>
      </c>
      <c r="G1416" s="16" t="str">
        <f>IFERROR(__xludf.DUMMYFUNCTION("""COMPUTED_VALUE"""),"1～3")</f>
        <v>1～3</v>
      </c>
      <c r="H1416" s="22" t="str">
        <f>IFERROR(__xludf.DUMMYFUNCTION("""COMPUTED_VALUE"""),"うめのこっぺ")</f>
        <v>うめのこっぺ</v>
      </c>
      <c r="I1416" s="22" t="str">
        <f>IFERROR(__xludf.DUMMYFUNCTION("""COMPUTED_VALUE"""),"TL")</f>
        <v>TL</v>
      </c>
      <c r="J1416" s="22"/>
      <c r="K1416" s="22"/>
      <c r="L1416" s="22" t="str">
        <f>IFERROR(__xludf.DUMMYFUNCTION("""COMPUTED_VALUE"""),"DLcomics")</f>
        <v>DLcomics</v>
      </c>
      <c r="M1416" s="23">
        <f>IFERROR(__xludf.DUMMYFUNCTION("""COMPUTED_VALUE"""),45410.0)</f>
        <v>45410</v>
      </c>
      <c r="N1416" s="23">
        <f>IFERROR(__xludf.DUMMYFUNCTION("""COMPUTED_VALUE"""),45505.0)</f>
        <v>45505</v>
      </c>
      <c r="O1416" s="20"/>
      <c r="P1416" s="34" t="str">
        <f>IFERROR(__xludf.DUMMYFUNCTION("""COMPUTED_VALUE"""),"可")</f>
        <v>可</v>
      </c>
      <c r="Q1416" s="30" t="str">
        <f>IFERROR(__xludf.DUMMYFUNCTION("""COMPUTED_VALUE"""),"※河上さんコミット済み&lt;BR&gt;4-6巻が2024/05/03～配信となるので、同フォルダに6巻までの&lt;BR&gt;素材格納しました")</f>
        <v>※河上さんコミット済み&lt;BR&gt;4-6巻が2024/05/03～配信となるので、同フォルダに6巻までの&lt;BR&gt;素材格納しました</v>
      </c>
      <c r="R1416" s="22"/>
      <c r="S1416" s="22" t="str">
        <f>IFERROR(__xludf.DUMMYFUNCTION("""COMPUTED_VALUE"""),"20240412_DLcomics_最強ヒモクズ祓い屋蓮くんに抱き潰されるまで【デジタル修正版】")</f>
        <v>20240412_DLcomics_最強ヒモクズ祓い屋蓮くんに抱き潰されるまで【デジタル修正版】</v>
      </c>
      <c r="T1416" s="22" t="str">
        <f>IFERROR(__xludf.DUMMYFUNCTION("""COMPUTED_VALUE"""),"格納済み")</f>
        <v>格納済み</v>
      </c>
      <c r="U1416" s="15" t="str">
        <f>IFERROR(__xludf.DUMMYFUNCTION("""COMPUTED_VALUE"""),"(c)うめのこっぺ/梅ねぎ大明神/GirlsCREATIVE")</f>
        <v>(c)うめのこっぺ/梅ねぎ大明神/GirlsCREATIVE</v>
      </c>
      <c r="V1416" s="8" t="str">
        <f>IFERROR(__xludf.DUMMYFUNCTION("""COMPUTED_VALUE"""),"【本作品は同人誌となります】
母性の塊の主人公が、道端で拾ったヒモクズ男に抱き潰される漫画です。
▽あらすじ
昔から捨てられている動物を拾っては面倒を見るを繰り返してきた主人公。
ある日の仕事帰り、ボロボロの状態で座り込んでいる男を見つけてしまう。
放っておけなくて介抱した後、なんやかんやでそういう関係になった二人。
普段の言動に似合わず優しく抱いてくる男に、
もしかして自分じゃ満足出来てないんだろうか?と不安に思う主人公。
そんな中主人公を訪ねてきた女によって、
男が由緒ある祓い屋一族"&amp;"の跡取りであることを知る。
全く自分のことを語らない男が、主人公と一緒にいる理由とはなんなのか。
「そんなに壊されたいならお望み通り」
「おかしくなるまで抱き潰してやるよ」
お人よしで色んなものを拾ってしまう主人公が、
ヒモでクズでなにを考えているかわからない男からの
ドロドロした重い執着を身をもって知るまでの話。
※最後だけ無理矢理気味です(同意あり)
※濁音喘ぎ
Twitter→@umekoppe
■総ページ数:33ページ")</f>
        <v>【本作品は同人誌となります】
母性の塊の主人公が、道端で拾ったヒモクズ男に抱き潰される漫画です。
▽あらすじ
昔から捨てられている動物を拾っては面倒を見るを繰り返してきた主人公。
ある日の仕事帰り、ボロボロの状態で座り込んでいる男を見つけてしまう。
放っておけなくて介抱した後、なんやかんやでそういう関係になった二人。
普段の言動に似合わず優しく抱いてくる男に、
もしかして自分じゃ満足出来てないんだろうか?と不安に思う主人公。
そんな中主人公を訪ねてきた女によって、
男が由緒ある祓い屋一族の跡取りであることを知る。
全く自分のことを語らない男が、主人公と一緒にいる理由とはなんなのか。
「そんなに壊されたいならお望み通り」
「おかしくなるまで抱き潰してやるよ」
お人よしで色んなものを拾ってしまう主人公が、
ヒモでクズでなにを考えているかわからない男からの
ドロドロした重い執着を身をもって知るまでの話。
※最後だけ無理矢理気味です(同意あり)
※濁音喘ぎ
Twitter→@umekoppe
■総ページ数:33ページ</v>
      </c>
      <c r="W1416" s="14"/>
      <c r="X1416" s="14" t="str">
        <f>IFERROR(__xludf.DUMMYFUNCTION("""COMPUTED_VALUE"""),"有")</f>
        <v>有</v>
      </c>
      <c r="Y1416" s="8" t="str">
        <f>IFERROR(__xludf.DUMMYFUNCTION("""COMPUTED_VALUE"""),"P8まで")</f>
        <v>P8まで</v>
      </c>
      <c r="Z1416" s="7"/>
      <c r="AA1416" s="7"/>
      <c r="AB1416" s="7"/>
    </row>
    <row r="1417" ht="15.75" customHeight="1">
      <c r="A1417" s="26">
        <f>IFERROR(__xludf.DUMMYFUNCTION("""COMPUTED_VALUE"""),3277.0)</f>
        <v>3277</v>
      </c>
      <c r="B1417" s="22" t="str">
        <f>IFERROR(__xludf.DUMMYFUNCTION("""COMPUTED_VALUE"""),"確定")</f>
        <v>確定</v>
      </c>
      <c r="C1417" s="28">
        <f>IFERROR(__xludf.DUMMYFUNCTION("""COMPUTED_VALUE"""),45394.0)</f>
        <v>45394</v>
      </c>
      <c r="D1417" s="28">
        <f>IFERROR(__xludf.DUMMYFUNCTION("""COMPUTED_VALUE"""),45398.0)</f>
        <v>45398</v>
      </c>
      <c r="E1417" s="26">
        <f>IFERROR(__xludf.DUMMYFUNCTION("""COMPUTED_VALUE"""),291246.0)</f>
        <v>291246</v>
      </c>
      <c r="F1417" s="22" t="str">
        <f>IFERROR(__xludf.DUMMYFUNCTION("""COMPUTED_VALUE"""),"最強ヒモクズ祓い屋蓮くんに抱き潰されるまで【R-18版】")</f>
        <v>最強ヒモクズ祓い屋蓮くんに抱き潰されるまで【R-18版】</v>
      </c>
      <c r="G1417" s="20">
        <f>IFERROR(__xludf.DUMMYFUNCTION("""COMPUTED_VALUE"""),1.0)</f>
        <v>1</v>
      </c>
      <c r="H1417" s="22" t="str">
        <f>IFERROR(__xludf.DUMMYFUNCTION("""COMPUTED_VALUE"""),"うめのこっぺ")</f>
        <v>うめのこっぺ</v>
      </c>
      <c r="I1417" s="22" t="str">
        <f>IFERROR(__xludf.DUMMYFUNCTION("""COMPUTED_VALUE"""),"オトナ")</f>
        <v>オトナ</v>
      </c>
      <c r="J1417" s="22"/>
      <c r="K1417" s="22"/>
      <c r="L1417" s="22" t="str">
        <f>IFERROR(__xludf.DUMMYFUNCTION("""COMPUTED_VALUE"""),"DLcomics")</f>
        <v>DLcomics</v>
      </c>
      <c r="M1417" s="23">
        <f>IFERROR(__xludf.DUMMYFUNCTION("""COMPUTED_VALUE"""),45410.0)</f>
        <v>45410</v>
      </c>
      <c r="N1417" s="23">
        <f>IFERROR(__xludf.DUMMYFUNCTION("""COMPUTED_VALUE"""),45505.0)</f>
        <v>45505</v>
      </c>
      <c r="O1417" s="20"/>
      <c r="P1417" s="34" t="str">
        <f>IFERROR(__xludf.DUMMYFUNCTION("""COMPUTED_VALUE"""),"可")</f>
        <v>可</v>
      </c>
      <c r="Q1417" s="30" t="str">
        <f>IFERROR(__xludf.DUMMYFUNCTION("""COMPUTED_VALUE"""),"※河上さんコミット済み&lt;BR&gt;2巻が2024/05/03～配信となるので、同フォルダに2巻までの&lt;BR&gt;素材格納しました")</f>
        <v>※河上さんコミット済み&lt;BR&gt;2巻が2024/05/03～配信となるので、同フォルダに2巻までの&lt;BR&gt;素材格納しました</v>
      </c>
      <c r="R1417" s="22"/>
      <c r="S1417" s="22" t="str">
        <f>IFERROR(__xludf.DUMMYFUNCTION("""COMPUTED_VALUE"""),"20240412_DLcomics_最強ヒモクズ祓い屋蓮くんに抱き潰されるまで【R-18版】")</f>
        <v>20240412_DLcomics_最強ヒモクズ祓い屋蓮くんに抱き潰されるまで【R-18版】</v>
      </c>
      <c r="T1417" s="22" t="str">
        <f>IFERROR(__xludf.DUMMYFUNCTION("""COMPUTED_VALUE"""),"格納済み")</f>
        <v>格納済み</v>
      </c>
      <c r="U1417" s="15" t="str">
        <f>IFERROR(__xludf.DUMMYFUNCTION("""COMPUTED_VALUE"""),"(c)うめのこっぺ/梅ねぎ大明神/GirlsCREATIVE")</f>
        <v>(c)うめのこっぺ/梅ねぎ大明神/GirlsCREATIVE</v>
      </c>
      <c r="V1417" s="8" t="str">
        <f>IFERROR(__xludf.DUMMYFUNCTION("""COMPUTED_VALUE"""),"【本作品は同人誌となります】
母性の塊の主人公が、道端で拾ったヒモクズ男に抱き潰されるエロ漫画です。
▽あらすじ
昔から捨てられている動物を拾っては面倒を見るを繰り返してきた主人公。
ある日の仕事帰り、ボロボロの状態で座り込んでいる男を見つけてしまう。
放っておけなくて介抱した後、なんやかんやでそういう関係になった二人。
普段の言動に似合わず優しく抱いてくる男に、
もしかして自分じゃ満足出来てないんだろうか?と不安に思う主人公。
そんな中主人公を訪ねてきた女によって、
男が由緒ある祓い屋"&amp;"一族の跡取りであることを知る。
全く自分のことを語らない男が、主人公と一緒にいる理由とはなんなのか。
「そんなに壊されたいならお望み通り」
「おかしくなるまで抱き潰してやるよ」
お人よしで色んなものを拾ってしまう主人公が、
ヒモでクズでなにを考えているかわからない男からの
ドロドロした重い執着を身をもって知るまでの話。
※最後だけ無理矢理気味です(同意あり)
※濁音喘ぎ、断面図あり
Twitter→@umekoppe
■総ページ数:92ページ")</f>
        <v>【本作品は同人誌となります】
母性の塊の主人公が、道端で拾ったヒモクズ男に抱き潰されるエロ漫画です。
▽あらすじ
昔から捨てられている動物を拾っては面倒を見るを繰り返してきた主人公。
ある日の仕事帰り、ボロボロの状態で座り込んでいる男を見つけてしまう。
放っておけなくて介抱した後、なんやかんやでそういう関係になった二人。
普段の言動に似合わず優しく抱いてくる男に、
もしかして自分じゃ満足出来てないんだろうか?と不安に思う主人公。
そんな中主人公を訪ねてきた女によって、
男が由緒ある祓い屋一族の跡取りであることを知る。
全く自分のことを語らない男が、主人公と一緒にいる理由とはなんなのか。
「そんなに壊されたいならお望み通り」
「おかしくなるまで抱き潰してやるよ」
お人よしで色んなものを拾ってしまう主人公が、
ヒモでクズでなにを考えているかわからない男からの
ドロドロした重い執着を身をもって知るまでの話。
※最後だけ無理矢理気味です(同意あり)
※濁音喘ぎ、断面図あり
Twitter→@umekoppe
■総ページ数:92ページ</v>
      </c>
      <c r="W1417" s="14"/>
      <c r="X1417" s="14" t="str">
        <f>IFERROR(__xludf.DUMMYFUNCTION("""COMPUTED_VALUE"""),"有")</f>
        <v>有</v>
      </c>
      <c r="Y1417" s="8" t="str">
        <f>IFERROR(__xludf.DUMMYFUNCTION("""COMPUTED_VALUE"""),"P18まで")</f>
        <v>P18まで</v>
      </c>
      <c r="Z1417" s="7"/>
      <c r="AA1417" s="7"/>
      <c r="AB1417" s="7"/>
    </row>
    <row r="1418" ht="15.75" customHeight="1">
      <c r="A1418" s="26">
        <f>IFERROR(__xludf.DUMMYFUNCTION("""COMPUTED_VALUE"""),3278.0)</f>
        <v>3278</v>
      </c>
      <c r="B1418" s="22" t="str">
        <f>IFERROR(__xludf.DUMMYFUNCTION("""COMPUTED_VALUE"""),"確定")</f>
        <v>確定</v>
      </c>
      <c r="C1418" s="28">
        <f>IFERROR(__xludf.DUMMYFUNCTION("""COMPUTED_VALUE"""),45394.0)</f>
        <v>45394</v>
      </c>
      <c r="D1418" s="28">
        <f>IFERROR(__xludf.DUMMYFUNCTION("""COMPUTED_VALUE"""),45398.0)</f>
        <v>45398</v>
      </c>
      <c r="E1418" s="26">
        <f>IFERROR(__xludf.DUMMYFUNCTION("""COMPUTED_VALUE"""),291262.0)</f>
        <v>291262</v>
      </c>
      <c r="F1418" s="22" t="str">
        <f>IFERROR(__xludf.DUMMYFUNCTION("""COMPUTED_VALUE"""),"生贄女は孤独な鬼神様に番交尾で堕とされる【デジタル修正版】")</f>
        <v>生贄女は孤独な鬼神様に番交尾で堕とされる【デジタル修正版】</v>
      </c>
      <c r="G1418" s="16" t="str">
        <f>IFERROR(__xludf.DUMMYFUNCTION("""COMPUTED_VALUE"""),"1～4")</f>
        <v>1～4</v>
      </c>
      <c r="H1418" s="22" t="str">
        <f>IFERROR(__xludf.DUMMYFUNCTION("""COMPUTED_VALUE"""),"うめのこっぺ")</f>
        <v>うめのこっぺ</v>
      </c>
      <c r="I1418" s="22" t="str">
        <f>IFERROR(__xludf.DUMMYFUNCTION("""COMPUTED_VALUE"""),"TL")</f>
        <v>TL</v>
      </c>
      <c r="J1418" s="22"/>
      <c r="K1418" s="22"/>
      <c r="L1418" s="22" t="str">
        <f>IFERROR(__xludf.DUMMYFUNCTION("""COMPUTED_VALUE"""),"DLcomics")</f>
        <v>DLcomics</v>
      </c>
      <c r="M1418" s="23">
        <f>IFERROR(__xludf.DUMMYFUNCTION("""COMPUTED_VALUE"""),45410.0)</f>
        <v>45410</v>
      </c>
      <c r="N1418" s="23">
        <f>IFERROR(__xludf.DUMMYFUNCTION("""COMPUTED_VALUE"""),45505.0)</f>
        <v>45505</v>
      </c>
      <c r="O1418" s="20"/>
      <c r="P1418" s="34" t="str">
        <f>IFERROR(__xludf.DUMMYFUNCTION("""COMPUTED_VALUE"""),"可")</f>
        <v>可</v>
      </c>
      <c r="Q1418" s="30" t="str">
        <f>IFERROR(__xludf.DUMMYFUNCTION("""COMPUTED_VALUE"""),"※河上さんコミット済み")</f>
        <v>※河上さんコミット済み</v>
      </c>
      <c r="R1418" s="22"/>
      <c r="S1418" s="22" t="str">
        <f>IFERROR(__xludf.DUMMYFUNCTION("""COMPUTED_VALUE"""),"20240412_DLcomics_生贄女は孤独な鬼神様に番交尾で堕とされる【デジタル修正版】")</f>
        <v>20240412_DLcomics_生贄女は孤独な鬼神様に番交尾で堕とされる【デジタル修正版】</v>
      </c>
      <c r="T1418" s="22" t="str">
        <f>IFERROR(__xludf.DUMMYFUNCTION("""COMPUTED_VALUE"""),"格納済み")</f>
        <v>格納済み</v>
      </c>
      <c r="U1418" s="15" t="str">
        <f>IFERROR(__xludf.DUMMYFUNCTION("""COMPUTED_VALUE"""),"(c)うめのこっぺ/梅ねぎ大明神/GirlsCREATIVE")</f>
        <v>(c)うめのこっぺ/梅ねぎ大明神/GirlsCREATIVE</v>
      </c>
      <c r="V1418" s="8" t="str">
        <f>IFERROR(__xludf.DUMMYFUNCTION("""COMPUTED_VALUE"""),"【本作品は同人誌となります】
村のために生贄になった女が、孤独な鬼神様に執着されて番になる漫画です。
▽あらすじ
村を救うために生贄になることを承知した主人公。
捧げられた先には、美しい鬼神がいた。
食べられることを覚悟していた主人公といくつかの約束を交わし、
気まぐれに屋敷へ受け入れた鬼神。
10年の月日が流れ、二人は家族として平和に過ごしていた。
自分を見守り、育ててくれた鬼神を心から信用している主人公。
ある日二人が暮らす山の中に旅人という男が現れる。
その男のとある言葉で、約束"&amp;"の一つである
「山の外に出ないこと」を破りかけてしまう。
「約束を守れないような悪い子に育てたつもりは無かったんだけど」
「俺の言うことだけを聞くいい子でいたなら」
「ずっと優しいぬるま湯に浸かっていられたのに」
優しい兄のように思っていた男が主人公に見せた表情は、
恐ろしい鬼の顔そのものだった。
誰かを疑うことを知らない主人公が、
家族と信じていた男から向けられていた執着に絡めとられ、
番として一緒に堕ちる話。
※最初若干無理矢理気味です
※濁音喘ぎ、淫紋要素あり
Twitter"&amp;"→@umekoppe
■総ページ数:30ページ")</f>
        <v>【本作品は同人誌となります】
村のために生贄になった女が、孤独な鬼神様に執着されて番になる漫画です。
▽あらすじ
村を救うために生贄になることを承知した主人公。
捧げられた先には、美しい鬼神がいた。
食べられることを覚悟していた主人公といくつかの約束を交わし、
気まぐれに屋敷へ受け入れた鬼神。
10年の月日が流れ、二人は家族として平和に過ごしていた。
自分を見守り、育ててくれた鬼神を心から信用している主人公。
ある日二人が暮らす山の中に旅人という男が現れる。
その男のとある言葉で、約束の一つである
「山の外に出ないこと」を破りかけてしまう。
「約束を守れないような悪い子に育てたつもりは無かったんだけど」
「俺の言うことだけを聞くいい子でいたなら」
「ずっと優しいぬるま湯に浸かっていられたのに」
優しい兄のように思っていた男が主人公に見せた表情は、
恐ろしい鬼の顔そのものだった。
誰かを疑うことを知らない主人公が、
家族と信じていた男から向けられていた執着に絡めとられ、
番として一緒に堕ちる話。
※最初若干無理矢理気味です
※濁音喘ぎ、淫紋要素あり
Twitter→@umekoppe
■総ページ数:30ページ</v>
      </c>
      <c r="W1418" s="14"/>
      <c r="X1418" s="14" t="str">
        <f>IFERROR(__xludf.DUMMYFUNCTION("""COMPUTED_VALUE"""),"有")</f>
        <v>有</v>
      </c>
      <c r="Y1418" s="8" t="str">
        <f>IFERROR(__xludf.DUMMYFUNCTION("""COMPUTED_VALUE"""),"P7まで")</f>
        <v>P7まで</v>
      </c>
      <c r="Z1418" s="7"/>
      <c r="AA1418" s="7"/>
      <c r="AB1418" s="7"/>
    </row>
    <row r="1419" ht="15.75" customHeight="1">
      <c r="A1419" s="26">
        <f>IFERROR(__xludf.DUMMYFUNCTION("""COMPUTED_VALUE"""),3279.0)</f>
        <v>3279</v>
      </c>
      <c r="B1419" s="22" t="str">
        <f>IFERROR(__xludf.DUMMYFUNCTION("""COMPUTED_VALUE"""),"確定")</f>
        <v>確定</v>
      </c>
      <c r="C1419" s="28">
        <f>IFERROR(__xludf.DUMMYFUNCTION("""COMPUTED_VALUE"""),45394.0)</f>
        <v>45394</v>
      </c>
      <c r="D1419" s="28">
        <f>IFERROR(__xludf.DUMMYFUNCTION("""COMPUTED_VALUE"""),45398.0)</f>
        <v>45398</v>
      </c>
      <c r="E1419" s="26">
        <f>IFERROR(__xludf.DUMMYFUNCTION("""COMPUTED_VALUE"""),291247.0)</f>
        <v>291247</v>
      </c>
      <c r="F1419" s="22" t="str">
        <f>IFERROR(__xludf.DUMMYFUNCTION("""COMPUTED_VALUE"""),"生贄女は孤独な鬼神様に番交尾で堕とされる【R-18版】")</f>
        <v>生贄女は孤独な鬼神様に番交尾で堕とされる【R-18版】</v>
      </c>
      <c r="G1419" s="20">
        <f>IFERROR(__xludf.DUMMYFUNCTION("""COMPUTED_VALUE"""),1.0)</f>
        <v>1</v>
      </c>
      <c r="H1419" s="22" t="str">
        <f>IFERROR(__xludf.DUMMYFUNCTION("""COMPUTED_VALUE"""),"うめのこっぺ")</f>
        <v>うめのこっぺ</v>
      </c>
      <c r="I1419" s="22" t="str">
        <f>IFERROR(__xludf.DUMMYFUNCTION("""COMPUTED_VALUE"""),"オトナ")</f>
        <v>オトナ</v>
      </c>
      <c r="J1419" s="22"/>
      <c r="K1419" s="22"/>
      <c r="L1419" s="22" t="str">
        <f>IFERROR(__xludf.DUMMYFUNCTION("""COMPUTED_VALUE"""),"DLcomics")</f>
        <v>DLcomics</v>
      </c>
      <c r="M1419" s="23">
        <f>IFERROR(__xludf.DUMMYFUNCTION("""COMPUTED_VALUE"""),45410.0)</f>
        <v>45410</v>
      </c>
      <c r="N1419" s="23">
        <f>IFERROR(__xludf.DUMMYFUNCTION("""COMPUTED_VALUE"""),45505.0)</f>
        <v>45505</v>
      </c>
      <c r="O1419" s="20"/>
      <c r="P1419" s="34" t="str">
        <f>IFERROR(__xludf.DUMMYFUNCTION("""COMPUTED_VALUE"""),"可")</f>
        <v>可</v>
      </c>
      <c r="Q1419" s="30" t="str">
        <f>IFERROR(__xludf.DUMMYFUNCTION("""COMPUTED_VALUE"""),"※河上さんコミット済み")</f>
        <v>※河上さんコミット済み</v>
      </c>
      <c r="R1419" s="22"/>
      <c r="S1419" s="22" t="str">
        <f>IFERROR(__xludf.DUMMYFUNCTION("""COMPUTED_VALUE"""),"20240412_DLcomics_生贄女は孤独な鬼神様に番交尾で堕とされる【R-18版】")</f>
        <v>20240412_DLcomics_生贄女は孤独な鬼神様に番交尾で堕とされる【R-18版】</v>
      </c>
      <c r="T1419" s="22" t="str">
        <f>IFERROR(__xludf.DUMMYFUNCTION("""COMPUTED_VALUE"""),"格納済み")</f>
        <v>格納済み</v>
      </c>
      <c r="U1419" s="15" t="str">
        <f>IFERROR(__xludf.DUMMYFUNCTION("""COMPUTED_VALUE"""),"(c)うめのこっぺ/梅ねぎ大明神/GirlsCREATIVE")</f>
        <v>(c)うめのこっぺ/梅ねぎ大明神/GirlsCREATIVE</v>
      </c>
      <c r="V1419" s="8" t="str">
        <f>IFERROR(__xludf.DUMMYFUNCTION("""COMPUTED_VALUE"""),"【本作品は同人誌となります】
村のために生贄になった女が、孤独な鬼神様に執着されて番になるエロ漫画です。
▽あらすじ
村を救うために生贄になることを承知した主人公。
捧げられた先には、美しい鬼神がいた。
食べられることを覚悟していた主人公といくつかの約束を交わし、
気まぐれに屋敷へ受け入れた鬼神。
10年の月日が流れ、二人は家族として平和に過ごしていた。
自分を見守り、育ててくれた鬼神を心から信用している主人公。
ある日二人が暮らす山の中に旅人という男が現れる。
その男のとある言葉で、"&amp;"約束の一つである
「山の外に出ないこと」を破りかけてしまう。
「約束を守れないような悪い子に育てたつもりは無かったんだけど」
「俺の言うことだけを聞くいい子でいたなら」
「ずっと優しいぬるま湯に浸かっていられたのに」
優しい兄のように思っていた男が主人公に見せた表情は、
恐ろしい鬼の顔そのものだった。
「こんなに大切に思っているのに」
「全部ぐちゃぐちゃに喰ってしまいたい」
「あーあ、淫紋交尾癖になっちゃうね?」
誰かを疑うことを知らない主人公が、
家族と信じていた男から向けられてい"&amp;"た執着に絡めとられ、
番として一緒に堕ちる話。
※最初若干無理矢理気味です
※濁音喘ぎ、断面図、淫紋要素あり
Twitter→@umekoppe
■総ページ数:96ページ")</f>
        <v>【本作品は同人誌となります】
村のために生贄になった女が、孤独な鬼神様に執着されて番になるエロ漫画です。
▽あらすじ
村を救うために生贄になることを承知した主人公。
捧げられた先には、美しい鬼神がいた。
食べられることを覚悟していた主人公といくつかの約束を交わし、
気まぐれに屋敷へ受け入れた鬼神。
10年の月日が流れ、二人は家族として平和に過ごしていた。
自分を見守り、育ててくれた鬼神を心から信用している主人公。
ある日二人が暮らす山の中に旅人という男が現れる。
その男のとある言葉で、約束の一つである
「山の外に出ないこと」を破りかけてしまう。
「約束を守れないような悪い子に育てたつもりは無かったんだけど」
「俺の言うことだけを聞くいい子でいたなら」
「ずっと優しいぬるま湯に浸かっていられたのに」
優しい兄のように思っていた男が主人公に見せた表情は、
恐ろしい鬼の顔そのものだった。
「こんなに大切に思っているのに」
「全部ぐちゃぐちゃに喰ってしまいたい」
「あーあ、淫紋交尾癖になっちゃうね?」
誰かを疑うことを知らない主人公が、
家族と信じていた男から向けられていた執着に絡めとられ、
番として一緒に堕ちる話。
※最初若干無理矢理気味です
※濁音喘ぎ、断面図、淫紋要素あり
Twitter→@umekoppe
■総ページ数:96ページ</v>
      </c>
      <c r="W1419" s="14"/>
      <c r="X1419" s="14" t="str">
        <f>IFERROR(__xludf.DUMMYFUNCTION("""COMPUTED_VALUE"""),"有")</f>
        <v>有</v>
      </c>
      <c r="Y1419" s="8" t="str">
        <f>IFERROR(__xludf.DUMMYFUNCTION("""COMPUTED_VALUE"""),"P18まで")</f>
        <v>P18まで</v>
      </c>
      <c r="Z1419" s="7"/>
      <c r="AA1419" s="7"/>
      <c r="AB1419" s="7"/>
    </row>
    <row r="1420" ht="15.75" customHeight="1">
      <c r="A1420" s="26">
        <f>IFERROR(__xludf.DUMMYFUNCTION("""COMPUTED_VALUE"""),3282.0)</f>
        <v>3282</v>
      </c>
      <c r="B1420" s="22" t="str">
        <f>IFERROR(__xludf.DUMMYFUNCTION("""COMPUTED_VALUE"""),"確定")</f>
        <v>確定</v>
      </c>
      <c r="C1420" s="28">
        <f>IFERROR(__xludf.DUMMYFUNCTION("""COMPUTED_VALUE"""),45394.0)</f>
        <v>45394</v>
      </c>
      <c r="D1420" s="28">
        <f>IFERROR(__xludf.DUMMYFUNCTION("""COMPUTED_VALUE"""),45398.0)</f>
        <v>45398</v>
      </c>
      <c r="E1420" s="26">
        <f>IFERROR(__xludf.DUMMYFUNCTION("""COMPUTED_VALUE"""),291249.0)</f>
        <v>291249</v>
      </c>
      <c r="F1420" s="22" t="str">
        <f>IFERROR(__xludf.DUMMYFUNCTION("""COMPUTED_VALUE"""),"死にゲーに転生したマフィア嬢は偏愛スパイに手籠めにされる【R-18版】")</f>
        <v>死にゲーに転生したマフィア嬢は偏愛スパイに手籠めにされる【R-18版】</v>
      </c>
      <c r="G1420" s="20">
        <f>IFERROR(__xludf.DUMMYFUNCTION("""COMPUTED_VALUE"""),1.0)</f>
        <v>1</v>
      </c>
      <c r="H1420" s="22" t="str">
        <f>IFERROR(__xludf.DUMMYFUNCTION("""COMPUTED_VALUE"""),"うめのこっぺ")</f>
        <v>うめのこっぺ</v>
      </c>
      <c r="I1420" s="22" t="str">
        <f>IFERROR(__xludf.DUMMYFUNCTION("""COMPUTED_VALUE"""),"オトナ")</f>
        <v>オトナ</v>
      </c>
      <c r="J1420" s="22"/>
      <c r="K1420" s="22"/>
      <c r="L1420" s="22" t="str">
        <f>IFERROR(__xludf.DUMMYFUNCTION("""COMPUTED_VALUE"""),"DLcomics")</f>
        <v>DLcomics</v>
      </c>
      <c r="M1420" s="23">
        <f>IFERROR(__xludf.DUMMYFUNCTION("""COMPUTED_VALUE"""),45417.0)</f>
        <v>45417</v>
      </c>
      <c r="N1420" s="23">
        <f>IFERROR(__xludf.DUMMYFUNCTION("""COMPUTED_VALUE"""),45512.0)</f>
        <v>45512</v>
      </c>
      <c r="O1420" s="20"/>
      <c r="P1420" s="34" t="str">
        <f>IFERROR(__xludf.DUMMYFUNCTION("""COMPUTED_VALUE"""),"可")</f>
        <v>可</v>
      </c>
      <c r="Q1420" s="30" t="str">
        <f>IFERROR(__xludf.DUMMYFUNCTION("""COMPUTED_VALUE"""),"※河上さんコミット済み")</f>
        <v>※河上さんコミット済み</v>
      </c>
      <c r="R1420" s="22"/>
      <c r="S1420" s="22" t="str">
        <f>IFERROR(__xludf.DUMMYFUNCTION("""COMPUTED_VALUE"""),"20240412_DLcomics_死にゲーに転生したマフィア嬢は偏愛スパイに手籠めにされる【R-18版】")</f>
        <v>20240412_DLcomics_死にゲーに転生したマフィア嬢は偏愛スパイに手籠めにされる【R-18版】</v>
      </c>
      <c r="T1420" s="22" t="str">
        <f>IFERROR(__xludf.DUMMYFUNCTION("""COMPUTED_VALUE"""),"格納済み")</f>
        <v>格納済み</v>
      </c>
      <c r="U1420" s="15" t="str">
        <f>IFERROR(__xludf.DUMMYFUNCTION("""COMPUTED_VALUE"""),"(c)うめのこっぺ/梅ねぎ大明神/GirlsCREATIVE")</f>
        <v>(c)うめのこっぺ/梅ねぎ大明神/GirlsCREATIVE</v>
      </c>
      <c r="V1420" s="8" t="str">
        <f>IFERROR(__xludf.DUMMYFUNCTION("""COMPUTED_VALUE"""),"【本作品は同人誌となります】
拷問死亡BADENDを回避するために奔走する主人公が、
主人公(とその家族)に復讐を誓うヒーローに歪んだ愛情を向けられてTRUEENDになるエロ漫画です。
▼あらすじ
痛みで終わった前世の記憶、次に目を覚ましたら、【死亡率98％越え】のゲームに転生していた――。
極悪非道のマフィアの一人娘となった主人公は
ひとつでも選択肢をミスると拷問＆死亡ルートに突入してしまう世界で、
たった2つの生存ルートを目指して奔走する毎日だった。
そんな生活の中での最大の障壁は実家ともいえるマフィ"&amp;"ア組織に身を寄せる従者の男だった。
幼いころより一緒に育ってきたが、この男こそが
このゲーム内での大体の死亡要因であり、ヒロインを裏切るスパイであることを知っている主人公は、
良い関係を築けるように努力を欠かさない。
その甲斐もあり、うまくやれていると思っていた主人公だが……
そんな順風満帆な日々も、ひとつの裏切りで崩れていく。
「もうこの世界のどこにもお前の居場所なんてねーんだよ」
自分を殺したいのだろうと思っていた男の、
本当の狂気に触れ、深い執着と拷問ともいえる快楽に絡めとられていく主人公。
「死に"&amp;"たいなら…俺がもう一度お前のことを殺して俺も死ぬけどさ」
「生きたいんだったら俺の手を取るしかねーよな?」
生に執着する主人公が、命すらも捨てられるほどの重い執着に囚われ、狂わされる話。
※無理矢理気味です
※濁音喘ぎ、断面図、薬、玩具による二穴責め要素あり
Twitter→@umekoppe
■総ページ数:123ページ")</f>
        <v>【本作品は同人誌となります】
拷問死亡BADENDを回避するために奔走する主人公が、
主人公(とその家族)に復讐を誓うヒーローに歪んだ愛情を向けられてTRUEENDになるエロ漫画です。
▼あらすじ
痛みで終わった前世の記憶、次に目を覚ましたら、【死亡率98％越え】のゲームに転生していた――。
極悪非道のマフィアの一人娘となった主人公は
ひとつでも選択肢をミスると拷問＆死亡ルートに突入してしまう世界で、
たった2つの生存ルートを目指して奔走する毎日だった。
そんな生活の中での最大の障壁は実家ともいえるマフィア組織に身を寄せる従者の男だった。
幼いころより一緒に育ってきたが、この男こそが
このゲーム内での大体の死亡要因であり、ヒロインを裏切るスパイであることを知っている主人公は、
良い関係を築けるように努力を欠かさない。
その甲斐もあり、うまくやれていると思っていた主人公だが……
そんな順風満帆な日々も、ひとつの裏切りで崩れていく。
「もうこの世界のどこにもお前の居場所なんてねーんだよ」
自分を殺したいのだろうと思っていた男の、
本当の狂気に触れ、深い執着と拷問ともいえる快楽に絡めとられていく主人公。
「死にたいなら…俺がもう一度お前のことを殺して俺も死ぬけどさ」
「生きたいんだったら俺の手を取るしかねーよな?」
生に執着する主人公が、命すらも捨てられるほどの重い執着に囚われ、狂わされる話。
※無理矢理気味です
※濁音喘ぎ、断面図、薬、玩具による二穴責め要素あり
Twitter→@umekoppe
■総ページ数:123ページ</v>
      </c>
      <c r="W1420" s="14"/>
      <c r="X1420" s="14" t="str">
        <f>IFERROR(__xludf.DUMMYFUNCTION("""COMPUTED_VALUE"""),"有")</f>
        <v>有</v>
      </c>
      <c r="Y1420" s="8" t="str">
        <f>IFERROR(__xludf.DUMMYFUNCTION("""COMPUTED_VALUE"""),"P21まで")</f>
        <v>P21まで</v>
      </c>
      <c r="Z1420" s="7"/>
      <c r="AA1420" s="7"/>
      <c r="AB1420" s="7"/>
    </row>
    <row r="1421" ht="15.75" customHeight="1">
      <c r="A1421" s="26">
        <f>IFERROR(__xludf.DUMMYFUNCTION("""COMPUTED_VALUE"""),3283.0)</f>
        <v>3283</v>
      </c>
      <c r="B1421" s="22" t="str">
        <f>IFERROR(__xludf.DUMMYFUNCTION("""COMPUTED_VALUE"""),"確定")</f>
        <v>確定</v>
      </c>
      <c r="C1421" s="28">
        <f>IFERROR(__xludf.DUMMYFUNCTION("""COMPUTED_VALUE"""),45394.0)</f>
        <v>45394</v>
      </c>
      <c r="D1421" s="28">
        <f>IFERROR(__xludf.DUMMYFUNCTION("""COMPUTED_VALUE"""),45398.0)</f>
        <v>45398</v>
      </c>
      <c r="E1421" s="26">
        <f>IFERROR(__xludf.DUMMYFUNCTION("""COMPUTED_VALUE"""),291264.0)</f>
        <v>291264</v>
      </c>
      <c r="F1421" s="22" t="str">
        <f>IFERROR(__xludf.DUMMYFUNCTION("""COMPUTED_VALUE"""),"死にゲーに転生したマフィア嬢は偏愛スパイに手籠めにされる【デジタル修正版】")</f>
        <v>死にゲーに転生したマフィア嬢は偏愛スパイに手籠めにされる【デジタル修正版】</v>
      </c>
      <c r="G1421" s="16" t="str">
        <f>IFERROR(__xludf.DUMMYFUNCTION("""COMPUTED_VALUE"""),"1～4")</f>
        <v>1～4</v>
      </c>
      <c r="H1421" s="22" t="str">
        <f>IFERROR(__xludf.DUMMYFUNCTION("""COMPUTED_VALUE"""),"うめのこっぺ")</f>
        <v>うめのこっぺ</v>
      </c>
      <c r="I1421" s="22" t="str">
        <f>IFERROR(__xludf.DUMMYFUNCTION("""COMPUTED_VALUE"""),"TL")</f>
        <v>TL</v>
      </c>
      <c r="J1421" s="22"/>
      <c r="K1421" s="22"/>
      <c r="L1421" s="22" t="str">
        <f>IFERROR(__xludf.DUMMYFUNCTION("""COMPUTED_VALUE"""),"DLcomics")</f>
        <v>DLcomics</v>
      </c>
      <c r="M1421" s="23">
        <f>IFERROR(__xludf.DUMMYFUNCTION("""COMPUTED_VALUE"""),45417.0)</f>
        <v>45417</v>
      </c>
      <c r="N1421" s="23">
        <f>IFERROR(__xludf.DUMMYFUNCTION("""COMPUTED_VALUE"""),45512.0)</f>
        <v>45512</v>
      </c>
      <c r="O1421" s="20"/>
      <c r="P1421" s="34" t="str">
        <f>IFERROR(__xludf.DUMMYFUNCTION("""COMPUTED_VALUE"""),"可")</f>
        <v>可</v>
      </c>
      <c r="Q1421" s="30" t="str">
        <f>IFERROR(__xludf.DUMMYFUNCTION("""COMPUTED_VALUE"""),"※河上さんコミット済み")</f>
        <v>※河上さんコミット済み</v>
      </c>
      <c r="R1421" s="22"/>
      <c r="S1421" s="22" t="str">
        <f>IFERROR(__xludf.DUMMYFUNCTION("""COMPUTED_VALUE"""),"20240412_DLcomics_死にゲーに転生したマフィア嬢は偏愛スパイに手籠めにされる【デジタル修正版】")</f>
        <v>20240412_DLcomics_死にゲーに転生したマフィア嬢は偏愛スパイに手籠めにされる【デジタル修正版】</v>
      </c>
      <c r="T1421" s="22" t="str">
        <f>IFERROR(__xludf.DUMMYFUNCTION("""COMPUTED_VALUE"""),"格納済み")</f>
        <v>格納済み</v>
      </c>
      <c r="U1421" s="15" t="str">
        <f>IFERROR(__xludf.DUMMYFUNCTION("""COMPUTED_VALUE"""),"(c)うめのこっぺ/梅ねぎ大明神/GirlsCREATIVE")</f>
        <v>(c)うめのこっぺ/梅ねぎ大明神/GirlsCREATIVE</v>
      </c>
      <c r="V1421" s="8" t="str">
        <f>IFERROR(__xludf.DUMMYFUNCTION("""COMPUTED_VALUE"""),"【本作品は同人誌となります】
拷問死亡BADENDを回避するために奔走する主人公が、
主人公(とその家族)に復讐を誓うヒーローに歪んだ愛情を向けられてTRUEENDになる漫画です。
▼あらすじ
痛みで終わった前世の記憶、次に目を覚ましたら、【死亡率98％越え】のゲームに転生していた――。
極悪非道のマフィアの一人娘となった主人公は
ひとつでも選択肢をミスると拷問＆死亡ルートに突入してしまう世界で、
たった2つの生存ルートを目指して奔走する毎日だった。
そんな生活の中での最大の障壁は実家ともいえるマフィア組"&amp;"織に身を寄せる従者の男だった。
幼いころより一緒に育ってきたが、この男こそが
このゲーム内での大体の死亡要因であり、ヒロインを裏切るスパイであることを知っている主人公は、
良い関係を築けるように努力を欠かさない。
その甲斐もあり、うまくやれていると思っていた主人公だが……
そんな順風満帆な日々も、ひとつの裏切りで崩れていく。
「もうこの世界のどこにもお前の居場所なんてねーんだよ」
自分を殺したいのだろうと思っていた男の、
本当の狂気に触れ、深い執着と拷問ともいえる快楽に絡めとられていく主人公。
「死にたい"&amp;"なら…俺がもう一度お前のことを殺して俺も死ぬけどさ」
「生きたいんだったら俺の手を取るしかねーよな?」
生に執着する主人公が、命すらも捨てられるほどの重い執着に囚われ、狂わされる話。
※無理矢理気味です
※濁音喘ぎ、薬、玩具要素あり
Twitter→@umekoppe
■総ページ数:35ページ")</f>
        <v>【本作品は同人誌となります】
拷問死亡BADENDを回避するために奔走する主人公が、
主人公(とその家族)に復讐を誓うヒーローに歪んだ愛情を向けられてTRUEENDになる漫画です。
▼あらすじ
痛みで終わった前世の記憶、次に目を覚ましたら、【死亡率98％越え】のゲームに転生していた――。
極悪非道のマフィアの一人娘となった主人公は
ひとつでも選択肢をミスると拷問＆死亡ルートに突入してしまう世界で、
たった2つの生存ルートを目指して奔走する毎日だった。
そんな生活の中での最大の障壁は実家ともいえるマフィア組織に身を寄せる従者の男だった。
幼いころより一緒に育ってきたが、この男こそが
このゲーム内での大体の死亡要因であり、ヒロインを裏切るスパイであることを知っている主人公は、
良い関係を築けるように努力を欠かさない。
その甲斐もあり、うまくやれていると思っていた主人公だが……
そんな順風満帆な日々も、ひとつの裏切りで崩れていく。
「もうこの世界のどこにもお前の居場所なんてねーんだよ」
自分を殺したいのだろうと思っていた男の、
本当の狂気に触れ、深い執着と拷問ともいえる快楽に絡めとられていく主人公。
「死にたいなら…俺がもう一度お前のことを殺して俺も死ぬけどさ」
「生きたいんだったら俺の手を取るしかねーよな?」
生に執着する主人公が、命すらも捨てられるほどの重い執着に囚われ、狂わされる話。
※無理矢理気味です
※濁音喘ぎ、薬、玩具要素あり
Twitter→@umekoppe
■総ページ数:35ページ</v>
      </c>
      <c r="W1421" s="14"/>
      <c r="X1421" s="14" t="str">
        <f>IFERROR(__xludf.DUMMYFUNCTION("""COMPUTED_VALUE"""),"有")</f>
        <v>有</v>
      </c>
      <c r="Y1421" s="8" t="str">
        <f>IFERROR(__xludf.DUMMYFUNCTION("""COMPUTED_VALUE"""),"P8まで")</f>
        <v>P8まで</v>
      </c>
      <c r="Z1421" s="7"/>
      <c r="AA1421" s="7"/>
      <c r="AB1421" s="7"/>
    </row>
    <row r="1422" ht="15.75" customHeight="1">
      <c r="A1422" s="26">
        <f>IFERROR(__xludf.DUMMYFUNCTION("""COMPUTED_VALUE"""),3284.0)</f>
        <v>3284</v>
      </c>
      <c r="B1422" s="22" t="str">
        <f>IFERROR(__xludf.DUMMYFUNCTION("""COMPUTED_VALUE"""),"確定")</f>
        <v>確定</v>
      </c>
      <c r="C1422" s="28">
        <f>IFERROR(__xludf.DUMMYFUNCTION("""COMPUTED_VALUE"""),45394.0)</f>
        <v>45394</v>
      </c>
      <c r="D1422" s="28">
        <f>IFERROR(__xludf.DUMMYFUNCTION("""COMPUTED_VALUE"""),45398.0)</f>
        <v>45398</v>
      </c>
      <c r="E1422" s="26">
        <f>IFERROR(__xludf.DUMMYFUNCTION("""COMPUTED_VALUE"""),291248.0)</f>
        <v>291248</v>
      </c>
      <c r="F1422" s="22" t="str">
        <f>IFERROR(__xludf.DUMMYFUNCTION("""COMPUTED_VALUE"""),"世話焼き女は蛇憑き男の狂った愛憎に×される【R-18版】")</f>
        <v>世話焼き女は蛇憑き男の狂った愛憎に×される【R-18版】</v>
      </c>
      <c r="G1422" s="20">
        <f>IFERROR(__xludf.DUMMYFUNCTION("""COMPUTED_VALUE"""),1.0)</f>
        <v>1</v>
      </c>
      <c r="H1422" s="22" t="str">
        <f>IFERROR(__xludf.DUMMYFUNCTION("""COMPUTED_VALUE"""),"うめのこっぺ")</f>
        <v>うめのこっぺ</v>
      </c>
      <c r="I1422" s="22" t="str">
        <f>IFERROR(__xludf.DUMMYFUNCTION("""COMPUTED_VALUE"""),"オトナ")</f>
        <v>オトナ</v>
      </c>
      <c r="J1422" s="22"/>
      <c r="K1422" s="22"/>
      <c r="L1422" s="22" t="str">
        <f>IFERROR(__xludf.DUMMYFUNCTION("""COMPUTED_VALUE"""),"DLcomics")</f>
        <v>DLcomics</v>
      </c>
      <c r="M1422" s="23">
        <f>IFERROR(__xludf.DUMMYFUNCTION("""COMPUTED_VALUE"""),45416.0)</f>
        <v>45416</v>
      </c>
      <c r="N1422" s="23">
        <f>IFERROR(__xludf.DUMMYFUNCTION("""COMPUTED_VALUE"""),45512.0)</f>
        <v>45512</v>
      </c>
      <c r="O1422" s="20"/>
      <c r="P1422" s="34" t="str">
        <f>IFERROR(__xludf.DUMMYFUNCTION("""COMPUTED_VALUE"""),"可")</f>
        <v>可</v>
      </c>
      <c r="Q1422" s="30" t="str">
        <f>IFERROR(__xludf.DUMMYFUNCTION("""COMPUTED_VALUE"""),"※河上さんコミット済み")</f>
        <v>※河上さんコミット済み</v>
      </c>
      <c r="R1422" s="22"/>
      <c r="S1422" s="22" t="str">
        <f>IFERROR(__xludf.DUMMYFUNCTION("""COMPUTED_VALUE"""),"20240412_DLcomics_世話焼き女は蛇憑き男の狂った愛憎に×される【R-18版】")</f>
        <v>20240412_DLcomics_世話焼き女は蛇憑き男の狂った愛憎に×される【R-18版】</v>
      </c>
      <c r="T1422" s="22" t="str">
        <f>IFERROR(__xludf.DUMMYFUNCTION("""COMPUTED_VALUE"""),"格納済み")</f>
        <v>格納済み</v>
      </c>
      <c r="U1422" s="15" t="str">
        <f>IFERROR(__xludf.DUMMYFUNCTION("""COMPUTED_VALUE"""),"(c)うめのこっぺ/梅ねぎ大明神/GirlsCREATIVE")</f>
        <v>(c)うめのこっぺ/梅ねぎ大明神/GirlsCREATIVE</v>
      </c>
      <c r="V1422" s="8" t="str">
        <f>IFERROR(__xludf.DUMMYFUNCTION("""COMPUTED_VALUE"""),"【本作品は同人誌となります】
世話焼き気質の主人公が、蛇憑きの男の愛憎に×されるエロ漫画です。
▽あらすじ
飲み会で助けてくれた男の世話を焼くのが日課になっている主人公。
同じ学校の先輩である男は、蛇の血が混ざっている蛇憑きという存在だった。
特に普通の人間とそこまで変わらないと思いながら
何気なく主人公を助けてくれる男の優しさに惹かれていく。
「先輩と一緒なら幸せになれなくたっていい」
そんな気持ちを伝えると男の様子が豹変する。
「この時のために俺は生きてきたんだからさあ」
「七葉が"&amp;"俺にしたみたいに」
「お前の人生を奪ってぐちゃぐちゃにしてやる」
蛇の化け物に姿を変えた男に毒を打ち込まれて逃げることが出来ず、
前後両方の穴を犯されておかしくなる主人公。
壊れた人形のように男への情を口にする様子を見て蛇の化け物は嘲笑する。
「ほんっと無様でかわいいな」
「一緒に地獄に堕ちてよ」
男が主人公に向ける歪んだ執着と愛憎の理由を知り、一緒に堕ちていく話。
※無理矢理です
※濁音喘ぎ、断面図、ヘミペニスによる二穴責め要素あり
※メリバです
Twitter→@umekoppe")</f>
        <v>【本作品は同人誌となります】
世話焼き気質の主人公が、蛇憑きの男の愛憎に×されるエロ漫画です。
▽あらすじ
飲み会で助けてくれた男の世話を焼くのが日課になっている主人公。
同じ学校の先輩である男は、蛇の血が混ざっている蛇憑きという存在だった。
特に普通の人間とそこまで変わらないと思いながら
何気なく主人公を助けてくれる男の優しさに惹かれていく。
「先輩と一緒なら幸せになれなくたっていい」
そんな気持ちを伝えると男の様子が豹変する。
「この時のために俺は生きてきたんだからさあ」
「七葉が俺にしたみたいに」
「お前の人生を奪ってぐちゃぐちゃにしてやる」
蛇の化け物に姿を変えた男に毒を打ち込まれて逃げることが出来ず、
前後両方の穴を犯されておかしくなる主人公。
壊れた人形のように男への情を口にする様子を見て蛇の化け物は嘲笑する。
「ほんっと無様でかわいいな」
「一緒に地獄に堕ちてよ」
男が主人公に向ける歪んだ執着と愛憎の理由を知り、一緒に堕ちていく話。
※無理矢理です
※濁音喘ぎ、断面図、ヘミペニスによる二穴責め要素あり
※メリバです
Twitter→@umekoppe</v>
      </c>
      <c r="W1422" s="14"/>
      <c r="X1422" s="14" t="str">
        <f>IFERROR(__xludf.DUMMYFUNCTION("""COMPUTED_VALUE"""),"有")</f>
        <v>有</v>
      </c>
      <c r="Y1422" s="8" t="str">
        <f>IFERROR(__xludf.DUMMYFUNCTION("""COMPUTED_VALUE"""),"P19まで")</f>
        <v>P19まで</v>
      </c>
      <c r="Z1422" s="7"/>
      <c r="AA1422" s="7"/>
      <c r="AB1422" s="7"/>
    </row>
    <row r="1423" ht="15.75" customHeight="1">
      <c r="A1423" s="26">
        <f>IFERROR(__xludf.DUMMYFUNCTION("""COMPUTED_VALUE"""),3285.0)</f>
        <v>3285</v>
      </c>
      <c r="B1423" s="22" t="str">
        <f>IFERROR(__xludf.DUMMYFUNCTION("""COMPUTED_VALUE"""),"確定")</f>
        <v>確定</v>
      </c>
      <c r="C1423" s="28">
        <f>IFERROR(__xludf.DUMMYFUNCTION("""COMPUTED_VALUE"""),45394.0)</f>
        <v>45394</v>
      </c>
      <c r="D1423" s="28">
        <f>IFERROR(__xludf.DUMMYFUNCTION("""COMPUTED_VALUE"""),45398.0)</f>
        <v>45398</v>
      </c>
      <c r="E1423" s="26">
        <f>IFERROR(__xludf.DUMMYFUNCTION("""COMPUTED_VALUE"""),291263.0)</f>
        <v>291263</v>
      </c>
      <c r="F1423" s="22" t="str">
        <f>IFERROR(__xludf.DUMMYFUNCTION("""COMPUTED_VALUE"""),"世話焼き女は蛇憑き男の狂った愛憎に×される【デジタル修正版】")</f>
        <v>世話焼き女は蛇憑き男の狂った愛憎に×される【デジタル修正版】</v>
      </c>
      <c r="G1423" s="16" t="str">
        <f>IFERROR(__xludf.DUMMYFUNCTION("""COMPUTED_VALUE"""),"1～3")</f>
        <v>1～3</v>
      </c>
      <c r="H1423" s="22" t="str">
        <f>IFERROR(__xludf.DUMMYFUNCTION("""COMPUTED_VALUE"""),"うめのこっぺ")</f>
        <v>うめのこっぺ</v>
      </c>
      <c r="I1423" s="22" t="str">
        <f>IFERROR(__xludf.DUMMYFUNCTION("""COMPUTED_VALUE"""),"TL")</f>
        <v>TL</v>
      </c>
      <c r="J1423" s="22"/>
      <c r="K1423" s="22"/>
      <c r="L1423" s="22" t="str">
        <f>IFERROR(__xludf.DUMMYFUNCTION("""COMPUTED_VALUE"""),"DLcomics")</f>
        <v>DLcomics</v>
      </c>
      <c r="M1423" s="23">
        <f>IFERROR(__xludf.DUMMYFUNCTION("""COMPUTED_VALUE"""),45416.0)</f>
        <v>45416</v>
      </c>
      <c r="N1423" s="23">
        <f>IFERROR(__xludf.DUMMYFUNCTION("""COMPUTED_VALUE"""),45512.0)</f>
        <v>45512</v>
      </c>
      <c r="O1423" s="20"/>
      <c r="P1423" s="34" t="str">
        <f>IFERROR(__xludf.DUMMYFUNCTION("""COMPUTED_VALUE"""),"可")</f>
        <v>可</v>
      </c>
      <c r="Q1423" s="30" t="str">
        <f>IFERROR(__xludf.DUMMYFUNCTION("""COMPUTED_VALUE"""),"※河上さんコミット済み")</f>
        <v>※河上さんコミット済み</v>
      </c>
      <c r="R1423" s="22"/>
      <c r="S1423" s="22" t="str">
        <f>IFERROR(__xludf.DUMMYFUNCTION("""COMPUTED_VALUE"""),"20240412_DLcomics_世話焼き女は蛇憑き男の狂った愛憎に×される【デジタル修正版】")</f>
        <v>20240412_DLcomics_世話焼き女は蛇憑き男の狂った愛憎に×される【デジタル修正版】</v>
      </c>
      <c r="T1423" s="22" t="str">
        <f>IFERROR(__xludf.DUMMYFUNCTION("""COMPUTED_VALUE"""),"格納済み")</f>
        <v>格納済み</v>
      </c>
      <c r="U1423" s="15" t="str">
        <f>IFERROR(__xludf.DUMMYFUNCTION("""COMPUTED_VALUE"""),"(c)うめのこっぺ/梅ねぎ大明神/GirlsCREATIVE")</f>
        <v>(c)うめのこっぺ/梅ねぎ大明神/GirlsCREATIVE</v>
      </c>
      <c r="V1423" s="8" t="str">
        <f>IFERROR(__xludf.DUMMYFUNCTION("""COMPUTED_VALUE"""),"【本作品は同人誌となります】
世話焼き気質の主人公が、蛇憑きの男の愛憎に×される漫画です。
▽あらすじ
飲み会で助けてくれた男の世話を焼くのが日課になっている主人公。
同じ学校の先輩である男は、蛇の血が混ざっている蛇憑きという存在だった。
特に普通の人間とそこまで変わらないと思いながら
何気なく主人公を助けてくれる男の優しさに惹かれていく。
「先輩と一緒なら幸せになれなくたっていい」
そんな気持ちを伝えると男の様子が豹変する。
「この時のために俺は生きてきたんだからさあ」
「七葉が俺にしたみたいに」
「お"&amp;"前の人生を奪ってぐちゃぐちゃにしてやる」
蛇の化け物に姿を変えた男に毒を打ち込まれて逃げることが出来ず、
前後両方の穴を犯されておかしくなる主人公。
壊れた人形のように男への情を口にする様子を見て蛇の化け物は嘲笑する。
「ほんっと無様でかわいいな」
「一緒に地獄に堕ちてよ」
男が主人公に向ける歪んだ執着と愛憎の理由を知り、一緒に堕ちていく話。
※無理矢理です
※メリバです
Twitter→@umekoppe
■総ページ数:34ページ")</f>
        <v>【本作品は同人誌となります】
世話焼き気質の主人公が、蛇憑きの男の愛憎に×される漫画です。
▽あらすじ
飲み会で助けてくれた男の世話を焼くのが日課になっている主人公。
同じ学校の先輩である男は、蛇の血が混ざっている蛇憑きという存在だった。
特に普通の人間とそこまで変わらないと思いながら
何気なく主人公を助けてくれる男の優しさに惹かれていく。
「先輩と一緒なら幸せになれなくたっていい」
そんな気持ちを伝えると男の様子が豹変する。
「この時のために俺は生きてきたんだからさあ」
「七葉が俺にしたみたいに」
「お前の人生を奪ってぐちゃぐちゃにしてやる」
蛇の化け物に姿を変えた男に毒を打ち込まれて逃げることが出来ず、
前後両方の穴を犯されておかしくなる主人公。
壊れた人形のように男への情を口にする様子を見て蛇の化け物は嘲笑する。
「ほんっと無様でかわいいな」
「一緒に地獄に堕ちてよ」
男が主人公に向ける歪んだ執着と愛憎の理由を知り、一緒に堕ちていく話。
※無理矢理です
※メリバです
Twitter→@umekoppe
■総ページ数:34ページ</v>
      </c>
      <c r="W1423" s="14"/>
      <c r="X1423" s="14" t="str">
        <f>IFERROR(__xludf.DUMMYFUNCTION("""COMPUTED_VALUE"""),"有")</f>
        <v>有</v>
      </c>
      <c r="Y1423" s="8" t="str">
        <f>IFERROR(__xludf.DUMMYFUNCTION("""COMPUTED_VALUE"""),"P7まで")</f>
        <v>P7まで</v>
      </c>
      <c r="Z1423" s="7"/>
      <c r="AA1423" s="7"/>
      <c r="AB1423" s="7"/>
    </row>
    <row r="1424" ht="15.75" customHeight="1">
      <c r="A1424" s="26">
        <f>IFERROR(__xludf.DUMMYFUNCTION("""COMPUTED_VALUE"""),3288.0)</f>
        <v>3288</v>
      </c>
      <c r="B1424" s="22" t="str">
        <f>IFERROR(__xludf.DUMMYFUNCTION("""COMPUTED_VALUE"""),"確定")</f>
        <v>確定</v>
      </c>
      <c r="C1424" s="28">
        <f>IFERROR(__xludf.DUMMYFUNCTION("""COMPUTED_VALUE"""),45397.0)</f>
        <v>45397</v>
      </c>
      <c r="D1424" s="28">
        <f>IFERROR(__xludf.DUMMYFUNCTION("""COMPUTED_VALUE"""),45397.0)</f>
        <v>45397</v>
      </c>
      <c r="E1424" s="26">
        <f>IFERROR(__xludf.DUMMYFUNCTION("""COMPUTED_VALUE"""),292543.0)</f>
        <v>292543</v>
      </c>
      <c r="F1424" s="22" t="str">
        <f>IFERROR(__xludf.DUMMYFUNCTION("""COMPUTED_VALUE"""),"人妻が種を求むまで")</f>
        <v>人妻が種を求むまで</v>
      </c>
      <c r="G1424" s="20" t="str">
        <f>IFERROR(__xludf.DUMMYFUNCTION("""COMPUTED_VALUE"""),"1～3")</f>
        <v>1～3</v>
      </c>
      <c r="H1424" s="22" t="str">
        <f>IFERROR(__xludf.DUMMYFUNCTION("""COMPUTED_VALUE"""),"ぐすたふ")</f>
        <v>ぐすたふ</v>
      </c>
      <c r="I1424" s="22" t="str">
        <f>IFERROR(__xludf.DUMMYFUNCTION("""COMPUTED_VALUE"""),"オトナ")</f>
        <v>オトナ</v>
      </c>
      <c r="J1424" s="22"/>
      <c r="K1424" s="22"/>
      <c r="L1424" s="22" t="str">
        <f>IFERROR(__xludf.DUMMYFUNCTION("""COMPUTED_VALUE"""),"モバイルメディアリサーチ")</f>
        <v>モバイルメディアリサーチ</v>
      </c>
      <c r="M1424" s="23">
        <f>IFERROR(__xludf.DUMMYFUNCTION("""COMPUTED_VALUE"""),45429.0)</f>
        <v>45429</v>
      </c>
      <c r="N1424" s="47">
        <f>IFERROR(__xludf.DUMMYFUNCTION("""COMPUTED_VALUE"""),2958465.0)</f>
        <v>2958465</v>
      </c>
      <c r="O1424" s="20"/>
      <c r="P1424" s="32" t="str">
        <f>IFERROR(__xludf.DUMMYFUNCTION("""COMPUTED_VALUE"""),"可")</f>
        <v>可</v>
      </c>
      <c r="Q1424" s="30"/>
      <c r="R1424" s="22"/>
      <c r="S1424" s="22" t="str">
        <f>IFERROR(__xludf.DUMMYFUNCTION("""COMPUTED_VALUE"""),"20240415_ファンギルド_人妻が種を求むまで")</f>
        <v>20240415_ファンギルド_人妻が種を求むまで</v>
      </c>
      <c r="T1424" s="22" t="str">
        <f>IFERROR(__xludf.DUMMYFUNCTION("""COMPUTED_VALUE"""),"格納済み")</f>
        <v>格納済み</v>
      </c>
      <c r="U1424" s="15" t="str">
        <f>IFERROR(__xludf.DUMMYFUNCTION("""COMPUTED_VALUE"""),"©ぐすたふ/モバイルメディアリサーチ")</f>
        <v>©ぐすたふ/モバイルメディアリサーチ</v>
      </c>
      <c r="V1424" s="8" t="str">
        <f>IFERROR(__xludf.DUMMYFUNCTION("""COMPUTED_VALUE"""),"結婚して早一年、人妻の優愛は夫とすれ違う日々のせいで、セックスレスとなり、身も心も欲求不満に支配されていた。そんなある日、気分転換にと後輩でセラピストの智史の「スペシャル」なエステ施術を受けることに。「これはただのエステ…癒してもらうための施術だから…」ーー太ももからお尻へと、オイルでグチョグチョの男らしい手が優愛の股に迫っていく。股間ぎりぎりの敏感な部分を触られ、久しぶりの男による刺激に体が快楽を感じ始めてしまう。優愛は施術に感じている姿を隠そうとするが、感じている姿に気がついた智史は…!※本作は同人作"&amp;"品の電子書籍版となります。")</f>
        <v>結婚して早一年、人妻の優愛は夫とすれ違う日々のせいで、セックスレスとなり、身も心も欲求不満に支配されていた。そんなある日、気分転換にと後輩でセラピストの智史の「スペシャル」なエステ施術を受けることに。「これはただのエステ…癒してもらうための施術だから…」ーー太ももからお尻へと、オイルでグチョグチョの男らしい手が優愛の股に迫っていく。股間ぎりぎりの敏感な部分を触られ、久しぶりの男による刺激に体が快楽を感じ始めてしまう。優愛は施術に感じている姿を隠そうとするが、感じている姿に気がついた智史は…!※本作は同人作品の電子書籍版となります。</v>
      </c>
      <c r="W1424" s="14"/>
      <c r="X1424" s="14" t="str">
        <f>IFERROR(__xludf.DUMMYFUNCTION("""COMPUTED_VALUE"""),"有")</f>
        <v>有</v>
      </c>
      <c r="Y1424" s="8" t="str">
        <f>IFERROR(__xludf.DUMMYFUNCTION("""COMPUTED_VALUE"""),"2024/5/30まで1巻無料")</f>
        <v>2024/5/30まで1巻無料</v>
      </c>
      <c r="Z1424" s="7"/>
      <c r="AA1424" s="7"/>
      <c r="AB1424" s="7"/>
    </row>
    <row r="1425" ht="15.75" customHeight="1">
      <c r="A1425" s="26">
        <f>IFERROR(__xludf.DUMMYFUNCTION("""COMPUTED_VALUE"""),3289.0)</f>
        <v>3289</v>
      </c>
      <c r="B1425" s="22" t="str">
        <f>IFERROR(__xludf.DUMMYFUNCTION("""COMPUTED_VALUE"""),"確定")</f>
        <v>確定</v>
      </c>
      <c r="C1425" s="28">
        <f>IFERROR(__xludf.DUMMYFUNCTION("""COMPUTED_VALUE"""),45397.0)</f>
        <v>45397</v>
      </c>
      <c r="D1425" s="28">
        <f>IFERROR(__xludf.DUMMYFUNCTION("""COMPUTED_VALUE"""),45397.0)</f>
        <v>45397</v>
      </c>
      <c r="E1425" s="26">
        <f>IFERROR(__xludf.DUMMYFUNCTION("""COMPUTED_VALUE"""),292740.0)</f>
        <v>292740</v>
      </c>
      <c r="F1425" s="22" t="str">
        <f>IFERROR(__xludf.DUMMYFUNCTION("""COMPUTED_VALUE"""),"思い立ったが、推し活")</f>
        <v>思い立ったが、推し活</v>
      </c>
      <c r="G1425" s="20" t="str">
        <f>IFERROR(__xludf.DUMMYFUNCTION("""COMPUTED_VALUE"""),"1～3")</f>
        <v>1～3</v>
      </c>
      <c r="H1425" s="22" t="str">
        <f>IFERROR(__xludf.DUMMYFUNCTION("""COMPUTED_VALUE"""),"坂本一水")</f>
        <v>坂本一水</v>
      </c>
      <c r="I1425" s="22" t="str">
        <f>IFERROR(__xludf.DUMMYFUNCTION("""COMPUTED_VALUE"""),"青年")</f>
        <v>青年</v>
      </c>
      <c r="J1425" s="22"/>
      <c r="K1425" s="22"/>
      <c r="L1425" s="22" t="str">
        <f>IFERROR(__xludf.DUMMYFUNCTION("""COMPUTED_VALUE"""),"ファンギルド")</f>
        <v>ファンギルド</v>
      </c>
      <c r="M1425" s="23">
        <f>IFERROR(__xludf.DUMMYFUNCTION("""COMPUTED_VALUE"""),45434.0)</f>
        <v>45434</v>
      </c>
      <c r="N1425" s="23">
        <f>IFERROR(__xludf.DUMMYFUNCTION("""COMPUTED_VALUE"""),45499.0)</f>
        <v>45499</v>
      </c>
      <c r="O1425" s="20"/>
      <c r="P1425" s="32" t="str">
        <f>IFERROR(__xludf.DUMMYFUNCTION("""COMPUTED_VALUE"""),"可")</f>
        <v>可</v>
      </c>
      <c r="Q1425" s="30"/>
      <c r="R1425" s="22"/>
      <c r="S1425" s="22" t="str">
        <f>IFERROR(__xludf.DUMMYFUNCTION("""COMPUTED_VALUE"""),"20240415_ファンギルド_思い立ったが、推し活")</f>
        <v>20240415_ファンギルド_思い立ったが、推し活</v>
      </c>
      <c r="T1425" s="22" t="str">
        <f>IFERROR(__xludf.DUMMYFUNCTION("""COMPUTED_VALUE"""),"格納済み")</f>
        <v>格納済み</v>
      </c>
      <c r="U1425" s="15" t="str">
        <f>IFERROR(__xludf.DUMMYFUNCTION("""COMPUTED_VALUE"""),"©坂本一水/ファンギルド")</f>
        <v>©坂本一水/ファンギルド</v>
      </c>
      <c r="V1425" s="8" t="str">
        <f>IFERROR(__xludf.DUMMYFUNCTION("""COMPUTED_VALUE"""),"滝本秀実（たきもとひでみ）70歳。去年妻に先立たれ、長年勤めた仕事も先月退職。これからは何にも縛られず、独り自由に暮らしていこうと思っていたのだが――「何もやりたいことがない…？」そんな時、孫だと名乗る謎の男・凛音（りお）がやってきて…突然始まった孫との二人暮らし。しかも、その正体は…メンズ地下アイドル！？自分の常識とは違う生き方をする凛音に戸惑うばかりの秀実。孤独な老人と、夢に向かうアイドルの卵の共同生活はいかに…！70歳、奇想天外なセカンドライフが始まる――！")</f>
        <v>滝本秀実（たきもとひでみ）70歳。去年妻に先立たれ、長年勤めた仕事も先月退職。これからは何にも縛られず、独り自由に暮らしていこうと思っていたのだが――「何もやりたいことがない…？」そんな時、孫だと名乗る謎の男・凛音（りお）がやってきて…突然始まった孫との二人暮らし。しかも、その正体は…メンズ地下アイドル！？自分の常識とは違う生き方をする凛音に戸惑うばかりの秀実。孤独な老人と、夢に向かうアイドルの卵の共同生活はいかに…！70歳、奇想天外なセカンドライフが始まる――！</v>
      </c>
      <c r="W1425" s="14"/>
      <c r="X1425" s="14" t="str">
        <f>IFERROR(__xludf.DUMMYFUNCTION("""COMPUTED_VALUE"""),"有")</f>
        <v>有</v>
      </c>
      <c r="Y1425" s="8" t="str">
        <f>IFERROR(__xludf.DUMMYFUNCTION("""COMPUTED_VALUE"""),"2024/6/4まで1巻無料")</f>
        <v>2024/6/4まで1巻無料</v>
      </c>
      <c r="Z1425" s="7"/>
      <c r="AA1425" s="7"/>
      <c r="AB1425" s="7"/>
    </row>
    <row r="1426" ht="15.75" customHeight="1">
      <c r="A1426" s="26">
        <f>IFERROR(__xludf.DUMMYFUNCTION("""COMPUTED_VALUE"""),3290.0)</f>
        <v>3290</v>
      </c>
      <c r="B1426" s="22" t="str">
        <f>IFERROR(__xludf.DUMMYFUNCTION("""COMPUTED_VALUE"""),"確定")</f>
        <v>確定</v>
      </c>
      <c r="C1426" s="28">
        <f>IFERROR(__xludf.DUMMYFUNCTION("""COMPUTED_VALUE"""),45397.0)</f>
        <v>45397</v>
      </c>
      <c r="D1426" s="28">
        <f>IFERROR(__xludf.DUMMYFUNCTION("""COMPUTED_VALUE"""),45397.0)</f>
        <v>45397</v>
      </c>
      <c r="E1426" s="26">
        <f>IFERROR(__xludf.DUMMYFUNCTION("""COMPUTED_VALUE"""),292741.0)</f>
        <v>292741</v>
      </c>
      <c r="F1426" s="22" t="str">
        <f>IFERROR(__xludf.DUMMYFUNCTION("""COMPUTED_VALUE"""),"推しとラブホ～抱いてはいけない秘密の性授業～")</f>
        <v>推しとラブホ～抱いてはいけない秘密の性授業～</v>
      </c>
      <c r="G1426" s="20" t="str">
        <f>IFERROR(__xludf.DUMMYFUNCTION("""COMPUTED_VALUE"""),"1～3")</f>
        <v>1～3</v>
      </c>
      <c r="H1426" s="22" t="str">
        <f>IFERROR(__xludf.DUMMYFUNCTION("""COMPUTED_VALUE"""),"十色")</f>
        <v>十色</v>
      </c>
      <c r="I1426" s="22" t="str">
        <f>IFERROR(__xludf.DUMMYFUNCTION("""COMPUTED_VALUE"""),"青年")</f>
        <v>青年</v>
      </c>
      <c r="J1426" s="22"/>
      <c r="K1426" s="22"/>
      <c r="L1426" s="22" t="str">
        <f>IFERROR(__xludf.DUMMYFUNCTION("""COMPUTED_VALUE"""),"Rush!")</f>
        <v>Rush!</v>
      </c>
      <c r="M1426" s="23">
        <f>IFERROR(__xludf.DUMMYFUNCTION("""COMPUTED_VALUE"""),45429.0)</f>
        <v>45429</v>
      </c>
      <c r="N1426" s="23">
        <f>IFERROR(__xludf.DUMMYFUNCTION("""COMPUTED_VALUE"""),45456.0)</f>
        <v>45456</v>
      </c>
      <c r="O1426" s="20"/>
      <c r="P1426" s="32" t="str">
        <f>IFERROR(__xludf.DUMMYFUNCTION("""COMPUTED_VALUE"""),"可")</f>
        <v>可</v>
      </c>
      <c r="Q1426" s="30"/>
      <c r="R1426" s="22"/>
      <c r="S1426" s="22" t="str">
        <f>IFERROR(__xludf.DUMMYFUNCTION("""COMPUTED_VALUE"""),"20240415_ファンギルド_推しとラブホ〜抱いてはいけない秘密の性授業〜")</f>
        <v>20240415_ファンギルド_推しとラブホ〜抱いてはいけない秘密の性授業〜</v>
      </c>
      <c r="T1426" s="22" t="str">
        <f>IFERROR(__xludf.DUMMYFUNCTION("""COMPUTED_VALUE"""),"格納済み")</f>
        <v>格納済み</v>
      </c>
      <c r="U1426" s="15" t="str">
        <f>IFERROR(__xludf.DUMMYFUNCTION("""COMPUTED_VALUE"""),"©toiro")</f>
        <v>©toiro</v>
      </c>
      <c r="V1426" s="8" t="str">
        <f>IFERROR(__xludf.DUMMYFUNCTION("""COMPUTED_VALUE"""),"【推しのアイドルとラブホテルで…!?】会社員の根森は人付き合いが悪く、仕事が終わるとまっすぐ帰宅をする日々を送っていた。その理由は彼が推しているアイドルグループ『さらもる』の定期配信を見るため。特に最推しである「もっち」が根森の生きがいであった。――そんなある日の配信中、根森は推しのもっちが「やることやっている」と発言をしたことにより自暴自棄になり、自身も童貞を捨ててやるとマッチングアプリを利用することに。童貞丸出しに見えないように繕った姿で女性と待ち合わせをしてホテルへ。本当は童貞なのにどうすれば…と焦"&amp;"りを感じたその時、一緒にホテルに入った女性がなんと根森が最推ししているアイドル「もっち」で…!?。推しのアイドルと一緒にラブホテルにいることになってしまった、根森の運命は――!?")</f>
        <v>【推しのアイドルとラブホテルで…!?】会社員の根森は人付き合いが悪く、仕事が終わるとまっすぐ帰宅をする日々を送っていた。その理由は彼が推しているアイドルグループ『さらもる』の定期配信を見るため。特に最推しである「もっち」が根森の生きがいであった。――そんなある日の配信中、根森は推しのもっちが「やることやっている」と発言をしたことにより自暴自棄になり、自身も童貞を捨ててやるとマッチングアプリを利用することに。童貞丸出しに見えないように繕った姿で女性と待ち合わせをしてホテルへ。本当は童貞なのにどうすれば…と焦りを感じたその時、一緒にホテルに入った女性がなんと根森が最推ししているアイドル「もっち」で…!?。推しのアイドルと一緒にラブホテルにいることになってしまった、根森の運命は――!?</v>
      </c>
      <c r="W1426" s="14"/>
      <c r="X1426" s="14" t="str">
        <f>IFERROR(__xludf.DUMMYFUNCTION("""COMPUTED_VALUE"""),"有")</f>
        <v>有</v>
      </c>
      <c r="Y1426" s="8" t="str">
        <f>IFERROR(__xludf.DUMMYFUNCTION("""COMPUTED_VALUE"""),"P7まで")</f>
        <v>P7まで</v>
      </c>
      <c r="Z1426" s="7"/>
      <c r="AA1426" s="7"/>
      <c r="AB1426" s="7"/>
    </row>
    <row r="1427" ht="15.75" customHeight="1">
      <c r="A1427" s="26">
        <f>IFERROR(__xludf.DUMMYFUNCTION("""COMPUTED_VALUE"""),3291.0)</f>
        <v>3291</v>
      </c>
      <c r="B1427" s="22" t="str">
        <f>IFERROR(__xludf.DUMMYFUNCTION("""COMPUTED_VALUE"""),"確定")</f>
        <v>確定</v>
      </c>
      <c r="C1427" s="28">
        <f>IFERROR(__xludf.DUMMYFUNCTION("""COMPUTED_VALUE"""),45397.0)</f>
        <v>45397</v>
      </c>
      <c r="D1427" s="28">
        <f>IFERROR(__xludf.DUMMYFUNCTION("""COMPUTED_VALUE"""),45397.0)</f>
        <v>45397</v>
      </c>
      <c r="E1427" s="26">
        <f>IFERROR(__xludf.DUMMYFUNCTION("""COMPUTED_VALUE"""),292742.0)</f>
        <v>292742</v>
      </c>
      <c r="F1427" s="22" t="str">
        <f>IFERROR(__xludf.DUMMYFUNCTION("""COMPUTED_VALUE"""),"侯爵令嬢リディアの美しき決断～裏切られたのでこちらから婚約破棄させていただきます～")</f>
        <v>侯爵令嬢リディアの美しき決断～裏切られたのでこちらから婚約破棄させていただきます～</v>
      </c>
      <c r="G1427" s="20" t="str">
        <f>IFERROR(__xludf.DUMMYFUNCTION("""COMPUTED_VALUE"""),"1～3")</f>
        <v>1～3</v>
      </c>
      <c r="H1427" s="22" t="str">
        <f>IFERROR(__xludf.DUMMYFUNCTION("""COMPUTED_VALUE"""),"きよせ")</f>
        <v>きよせ</v>
      </c>
      <c r="I1427" s="46" t="str">
        <f>IFERROR(__xludf.DUMMYFUNCTION("""COMPUTED_VALUE"""),"女性")</f>
        <v>女性</v>
      </c>
      <c r="J1427" s="22"/>
      <c r="K1427" s="22"/>
      <c r="L1427" s="22" t="str">
        <f>IFERROR(__xludf.DUMMYFUNCTION("""COMPUTED_VALUE"""),"ファンギルド")</f>
        <v>ファンギルド</v>
      </c>
      <c r="M1427" s="23">
        <f>IFERROR(__xludf.DUMMYFUNCTION("""COMPUTED_VALUE"""),45434.0)</f>
        <v>45434</v>
      </c>
      <c r="N1427" s="23">
        <f>IFERROR(__xludf.DUMMYFUNCTION("""COMPUTED_VALUE"""),45616.70833333333)</f>
        <v>45616.70833</v>
      </c>
      <c r="O1427" s="20"/>
      <c r="P1427" s="32" t="str">
        <f>IFERROR(__xludf.DUMMYFUNCTION("""COMPUTED_VALUE"""),"可")</f>
        <v>可</v>
      </c>
      <c r="Q1427" s="30"/>
      <c r="R1427" s="22"/>
      <c r="S1427" s="22" t="str">
        <f>IFERROR(__xludf.DUMMYFUNCTION("""COMPUTED_VALUE"""),"20240415_ファンギルド_侯爵令嬢リディアの美しき決断～裏切られたのでこちらから婚約破棄させていただきます～")</f>
        <v>20240415_ファンギルド_侯爵令嬢リディアの美しき決断～裏切られたのでこちらから婚約破棄させていただきます～</v>
      </c>
      <c r="T1427" s="22" t="str">
        <f>IFERROR(__xludf.DUMMYFUNCTION("""COMPUTED_VALUE"""),"格納済み")</f>
        <v>格納済み</v>
      </c>
      <c r="U1427" s="15" t="str">
        <f>IFERROR(__xludf.DUMMYFUNCTION("""COMPUTED_VALUE"""),"©きよせ/綺咲潔/ファンギルド")</f>
        <v>©きよせ/綺咲潔/ファンギルド</v>
      </c>
      <c r="V1427" s="8" t="str">
        <f>IFERROR(__xludf.DUMMYFUNCTION("""COMPUTED_VALUE"""),"リディアは幼少期より侯爵令嬢として王家と家のために自身の使命を全うしてきた。結婚を目前に控えていた矢先、婚約者のロジェととある侍女が恋仲だという噂が舞い込んでくる。仕事を放棄して彼らはまるで恋人のように振る舞い、一方で悪者扱いを受けてしまうリディア。裏切られ、尊厳もこれまでの思いも踏みにじられた失意の底で、思いもよらぬ人物が手を差し伸べるーーー「彼らには相応の報いを受けてもらおう」美しい令嬢の華麗なる決断でスカッとざまぁしてみせます！！")</f>
        <v>リディアは幼少期より侯爵令嬢として王家と家のために自身の使命を全うしてきた。結婚を目前に控えていた矢先、婚約者のロジェととある侍女が恋仲だという噂が舞い込んでくる。仕事を放棄して彼らはまるで恋人のように振る舞い、一方で悪者扱いを受けてしまうリディア。裏切られ、尊厳もこれまでの思いも踏みにじられた失意の底で、思いもよらぬ人物が手を差し伸べるーーー「彼らには相応の報いを受けてもらおう」美しい令嬢の華麗なる決断でスカッとざまぁしてみせます！！</v>
      </c>
      <c r="W1427" s="14"/>
      <c r="X1427" s="14" t="str">
        <f>IFERROR(__xludf.DUMMYFUNCTION("""COMPUTED_VALUE"""),"有")</f>
        <v>有</v>
      </c>
      <c r="Y1427" s="8" t="str">
        <f>IFERROR(__xludf.DUMMYFUNCTION("""COMPUTED_VALUE"""),"P7まで")</f>
        <v>P7まで</v>
      </c>
      <c r="Z1427" s="7"/>
      <c r="AA1427" s="7"/>
      <c r="AB1427" s="7"/>
    </row>
    <row r="1428" ht="15.75" customHeight="1">
      <c r="A1428" s="26">
        <f>IFERROR(__xludf.DUMMYFUNCTION("""COMPUTED_VALUE"""),3292.0)</f>
        <v>3292</v>
      </c>
      <c r="B1428" s="22" t="str">
        <f>IFERROR(__xludf.DUMMYFUNCTION("""COMPUTED_VALUE"""),"確定")</f>
        <v>確定</v>
      </c>
      <c r="C1428" s="28">
        <f>IFERROR(__xludf.DUMMYFUNCTION("""COMPUTED_VALUE"""),45397.0)</f>
        <v>45397</v>
      </c>
      <c r="D1428" s="28">
        <f>IFERROR(__xludf.DUMMYFUNCTION("""COMPUTED_VALUE"""),45397.0)</f>
        <v>45397</v>
      </c>
      <c r="E1428" s="26">
        <f>IFERROR(__xludf.DUMMYFUNCTION("""COMPUTED_VALUE"""),292743.0)</f>
        <v>292743</v>
      </c>
      <c r="F1428" s="22" t="str">
        <f>IFERROR(__xludf.DUMMYFUNCTION("""COMPUTED_VALUE"""),"Show me your bust")</f>
        <v>Show me your bust</v>
      </c>
      <c r="G1428" s="11" t="str">
        <f>IFERROR(__xludf.DUMMYFUNCTION("""COMPUTED_VALUE"""),"1～4")</f>
        <v>1～4</v>
      </c>
      <c r="H1428" s="22" t="str">
        <f>IFERROR(__xludf.DUMMYFUNCTION("""COMPUTED_VALUE"""),"Team Gaji")</f>
        <v>Team Gaji</v>
      </c>
      <c r="I1428" s="22" t="str">
        <f>IFERROR(__xludf.DUMMYFUNCTION("""COMPUTED_VALUE"""),"女性")</f>
        <v>女性</v>
      </c>
      <c r="J1428" s="22"/>
      <c r="K1428" s="22"/>
      <c r="L1428" s="22" t="str">
        <f>IFERROR(__xludf.DUMMYFUNCTION("""COMPUTED_VALUE"""),"Rush!")</f>
        <v>Rush!</v>
      </c>
      <c r="M1428" s="23">
        <f>IFERROR(__xludf.DUMMYFUNCTION("""COMPUTED_VALUE"""),45450.0)</f>
        <v>45450</v>
      </c>
      <c r="N1428" s="23">
        <f>IFERROR(__xludf.DUMMYFUNCTION("""COMPUTED_VALUE"""),45477.0)</f>
        <v>45477</v>
      </c>
      <c r="O1428" s="20"/>
      <c r="P1428" s="32" t="str">
        <f>IFERROR(__xludf.DUMMYFUNCTION("""COMPUTED_VALUE"""),"可")</f>
        <v>可</v>
      </c>
      <c r="Q1428" s="30"/>
      <c r="R1428" s="22"/>
      <c r="S1428" s="22" t="str">
        <f>IFERROR(__xludf.DUMMYFUNCTION("""COMPUTED_VALUE"""),"20240415_ファンギルド_Show me your bust")</f>
        <v>20240415_ファンギルド_Show me your bust</v>
      </c>
      <c r="T1428" s="22" t="str">
        <f>IFERROR(__xludf.DUMMYFUNCTION("""COMPUTED_VALUE"""),"格納済み")</f>
        <v>格納済み</v>
      </c>
      <c r="U1428" s="15" t="str">
        <f>IFERROR(__xludf.DUMMYFUNCTION("""COMPUTED_VALUE"""),"©Team Gaji")</f>
        <v>©Team Gaji</v>
      </c>
      <c r="V1428" s="8" t="str">
        <f>IFERROR(__xludf.DUMMYFUNCTION("""COMPUTED_VALUE"""),"「見せてあげようか？私の胸」――女子大生・ジホは酒の席で偶然、親友であるウフィの胸を見てしまう。その美しさに一瞬で魅了されたジホはある欲求にかられてしまい、次第に彼女の事を避け始めた。態度が急変した友人の姿に苛立ちを募らせたウフィが問い詰めると、観念したジホは白状する…”あの胸を触りたい”、と。一瞬戸惑いを見せるウフィだったが、親友の切実な願いに応えて――。この想いは友愛なのか、それとも――青くて眩しい女子大生たちの赤裸々なキャンパスライフ。")</f>
        <v>「見せてあげようか？私の胸」――女子大生・ジホは酒の席で偶然、親友であるウフィの胸を見てしまう。その美しさに一瞬で魅了されたジホはある欲求にかられてしまい、次第に彼女の事を避け始めた。態度が急変した友人の姿に苛立ちを募らせたウフィが問い詰めると、観念したジホは白状する…”あの胸を触りたい”、と。一瞬戸惑いを見せるウフィだったが、親友の切実な願いに応えて――。この想いは友愛なのか、それとも――青くて眩しい女子大生たちの赤裸々なキャンパスライフ。</v>
      </c>
      <c r="W1428" s="14"/>
      <c r="X1428" s="14" t="str">
        <f>IFERROR(__xludf.DUMMYFUNCTION("""COMPUTED_VALUE"""),"有")</f>
        <v>有</v>
      </c>
      <c r="Y1428" s="8" t="str">
        <f>IFERROR(__xludf.DUMMYFUNCTION("""COMPUTED_VALUE"""),"2024/6/20まで1巻無料")</f>
        <v>2024/6/20まで1巻無料</v>
      </c>
      <c r="Z1428" s="7"/>
      <c r="AA1428" s="7"/>
      <c r="AB1428" s="7"/>
    </row>
    <row r="1429" ht="15.75" customHeight="1">
      <c r="A1429" s="26">
        <f>IFERROR(__xludf.DUMMYFUNCTION("""COMPUTED_VALUE"""),3293.0)</f>
        <v>3293</v>
      </c>
      <c r="B1429" s="22" t="str">
        <f>IFERROR(__xludf.DUMMYFUNCTION("""COMPUTED_VALUE"""),"確定")</f>
        <v>確定</v>
      </c>
      <c r="C1429" s="28">
        <f>IFERROR(__xludf.DUMMYFUNCTION("""COMPUTED_VALUE"""),45397.0)</f>
        <v>45397</v>
      </c>
      <c r="D1429" s="28">
        <f>IFERROR(__xludf.DUMMYFUNCTION("""COMPUTED_VALUE"""),45397.0)</f>
        <v>45397</v>
      </c>
      <c r="E1429" s="26">
        <f>IFERROR(__xludf.DUMMYFUNCTION("""COMPUTED_VALUE"""),293536.0)</f>
        <v>293536</v>
      </c>
      <c r="F1429" s="22" t="str">
        <f>IFERROR(__xludf.DUMMYFUNCTION("""COMPUTED_VALUE"""),"おかえり初恋【分冊版】")</f>
        <v>おかえり初恋【分冊版】</v>
      </c>
      <c r="G1429" s="20">
        <f>IFERROR(__xludf.DUMMYFUNCTION("""COMPUTED_VALUE"""),1.0)</f>
        <v>1</v>
      </c>
      <c r="H1429" s="22" t="str">
        <f>IFERROR(__xludf.DUMMYFUNCTION("""COMPUTED_VALUE"""),"あさ稲")</f>
        <v>あさ稲</v>
      </c>
      <c r="I1429" s="22" t="str">
        <f>IFERROR(__xludf.DUMMYFUNCTION("""COMPUTED_VALUE"""),"BL")</f>
        <v>BL</v>
      </c>
      <c r="J1429" s="22"/>
      <c r="K1429" s="22"/>
      <c r="L1429" s="22" t="str">
        <f>IFERROR(__xludf.DUMMYFUNCTION("""COMPUTED_VALUE"""),"笠倉出版社")</f>
        <v>笠倉出版社</v>
      </c>
      <c r="M1429" s="23">
        <f>IFERROR(__xludf.DUMMYFUNCTION("""COMPUTED_VALUE"""),45457.0)</f>
        <v>45457</v>
      </c>
      <c r="N1429" s="23">
        <f>IFERROR(__xludf.DUMMYFUNCTION("""COMPUTED_VALUE"""),45484.0)</f>
        <v>45484</v>
      </c>
      <c r="O1429" s="20"/>
      <c r="P1429" s="32" t="str">
        <f>IFERROR(__xludf.DUMMYFUNCTION("""COMPUTED_VALUE"""),"可")</f>
        <v>可</v>
      </c>
      <c r="Q1429" s="30"/>
      <c r="R1429" s="46"/>
      <c r="S1429" s="22" t="str">
        <f>IFERROR(__xludf.DUMMYFUNCTION("""COMPUTED_VALUE"""),"20240528_笠倉出版社_おかえり初恋")</f>
        <v>20240528_笠倉出版社_おかえり初恋</v>
      </c>
      <c r="T1429" s="22"/>
      <c r="U1429" s="15" t="str">
        <f>IFERROR(__xludf.DUMMYFUNCTION("""COMPUTED_VALUE"""),"©あさ稲/笠倉出版社")</f>
        <v>©あさ稲/笠倉出版社</v>
      </c>
      <c r="V1429" s="8" t="str">
        <f>IFERROR(__xludf.DUMMYFUNCTION("""COMPUTED_VALUE"""),"『…そうだよ、オレの初恋は洋平くんだよ』高校三年、まだ寒さ残る春。将眞は幼馴染の洋平と11年ぶりに再会した。一人暮らしのために借りた部屋でトラブルがあり余っている部屋がある将眞の家で一緒に住むことになったのだ。ひとつ屋根の下、どうしたって意識してしまう日々。なぜなら、将眞にとって洋平は初恋の人だったから…。変わらない笑顔にドキドキして、付き合っている人がいないことにほっとする。ひたむきでまっすぐな想いにキュンとする再会ラブ！※本作品はweb雑誌「equal」に収録されています。重複購入にご注意ください。")</f>
        <v>『…そうだよ、オレの初恋は洋平くんだよ』高校三年、まだ寒さ残る春。将眞は幼馴染の洋平と11年ぶりに再会した。一人暮らしのために借りた部屋でトラブルがあり余っている部屋がある将眞の家で一緒に住むことになったのだ。ひとつ屋根の下、どうしたって意識してしまう日々。なぜなら、将眞にとって洋平は初恋の人だったから…。変わらない笑顔にドキドキして、付き合っている人がいないことにほっとする。ひたむきでまっすぐな想いにキュンとする再会ラブ！※本作品はweb雑誌「equal」に収録されています。重複購入にご注意ください。</v>
      </c>
      <c r="W1429" s="14"/>
      <c r="X1429" s="14" t="str">
        <f>IFERROR(__xludf.DUMMYFUNCTION("""COMPUTED_VALUE"""),"有")</f>
        <v>有</v>
      </c>
      <c r="Y1429" s="8" t="str">
        <f>IFERROR(__xludf.DUMMYFUNCTION("""COMPUTED_VALUE"""),"P6まで")</f>
        <v>P6まで</v>
      </c>
      <c r="Z1429" s="7"/>
      <c r="AA1429" s="7"/>
      <c r="AB1429" s="7"/>
    </row>
    <row r="1430" ht="15.75" customHeight="1">
      <c r="A1430" s="26">
        <f>IFERROR(__xludf.DUMMYFUNCTION("""COMPUTED_VALUE"""),3295.0)</f>
        <v>3295</v>
      </c>
      <c r="B1430" s="22" t="str">
        <f>IFERROR(__xludf.DUMMYFUNCTION("""COMPUTED_VALUE"""),"確定")</f>
        <v>確定</v>
      </c>
      <c r="C1430" s="28">
        <f>IFERROR(__xludf.DUMMYFUNCTION("""COMPUTED_VALUE"""),45397.0)</f>
        <v>45397</v>
      </c>
      <c r="D1430" s="28">
        <f>IFERROR(__xludf.DUMMYFUNCTION("""COMPUTED_VALUE"""),45398.0)</f>
        <v>45398</v>
      </c>
      <c r="E1430" s="26">
        <f>IFERROR(__xludf.DUMMYFUNCTION("""COMPUTED_VALUE"""),292547.0)</f>
        <v>292547</v>
      </c>
      <c r="F1430" s="22" t="str">
        <f>IFERROR(__xludf.DUMMYFUNCTION("""COMPUTED_VALUE"""),"秘密がいいなら、抱かせてください。したたか後輩と猫かぶり社長に奪い合われえっち")</f>
        <v>秘密がいいなら、抱かせてください。したたか後輩と猫かぶり社長に奪い合われえっち</v>
      </c>
      <c r="G1430" s="20" t="str">
        <f>IFERROR(__xludf.DUMMYFUNCTION("""COMPUTED_VALUE"""),"1～3")</f>
        <v>1～3</v>
      </c>
      <c r="H1430" s="22" t="str">
        <f>IFERROR(__xludf.DUMMYFUNCTION("""COMPUTED_VALUE"""),"森石さなしろ")</f>
        <v>森石さなしろ</v>
      </c>
      <c r="I1430" s="22" t="str">
        <f>IFERROR(__xludf.DUMMYFUNCTION("""COMPUTED_VALUE"""),"女性")</f>
        <v>女性</v>
      </c>
      <c r="J1430" s="22"/>
      <c r="K1430" s="22"/>
      <c r="L1430" s="22" t="str">
        <f>IFERROR(__xludf.DUMMYFUNCTION("""COMPUTED_VALUE"""),"秋田書店")</f>
        <v>秋田書店</v>
      </c>
      <c r="M1430" s="23">
        <f>IFERROR(__xludf.DUMMYFUNCTION("""COMPUTED_VALUE"""),45428.0)</f>
        <v>45428</v>
      </c>
      <c r="N1430" s="23">
        <f>IFERROR(__xludf.DUMMYFUNCTION("""COMPUTED_VALUE"""),45488.0)</f>
        <v>45488</v>
      </c>
      <c r="O1430" s="20"/>
      <c r="P1430" s="34" t="str">
        <f>IFERROR(__xludf.DUMMYFUNCTION("""COMPUTED_VALUE"""),"可")</f>
        <v>可</v>
      </c>
      <c r="Q1430" s="30" t="str">
        <f>IFERROR(__xludf.DUMMYFUNCTION("""COMPUTED_VALUE"""),"1話分を3分割して配信")</f>
        <v>1話分を3分割して配信</v>
      </c>
      <c r="R1430" s="22"/>
      <c r="S1430" s="22" t="str">
        <f>IFERROR(__xludf.DUMMYFUNCTION("""COMPUTED_VALUE"""),"20240415_秋田書店_5月新作")</f>
        <v>20240415_秋田書店_5月新作</v>
      </c>
      <c r="T1430" s="22" t="str">
        <f>IFERROR(__xludf.DUMMYFUNCTION("""COMPUTED_VALUE"""),"格納済み")</f>
        <v>格納済み</v>
      </c>
      <c r="U1430" s="15" t="str">
        <f>IFERROR(__xludf.DUMMYFUNCTION("""COMPUTED_VALUE"""),"（C）森石さなしろ（秋田書店）")</f>
        <v>（C）森石さなしろ（秋田書店）</v>
      </c>
      <c r="V1430" s="8" t="str">
        <f>IFERROR(__xludf.DUMMYFUNCTION("""COMPUTED_VALUE"""),"片思いから始まる秘密のトライアングルラブ スタート！鹿島史子は会社で「鬼上司キャラ」を演じている。全ては長年の片思いの相手である上妻社長のため――だったが、嫌われ役をやることに疲れた史子は、ある夜酔った勢いでワンナイトしてしまう。相手はまさかの職場の後輩・犬飼君!?酔っている間に「鬼上司キャラ」のことも全て打ち明けてしまった史子が、秘密にしてほしいと頼むと、犬飼君は取り引きを持ちかけてくる。「秘密がいいなら――…抱かせてください」")</f>
        <v>片思いから始まる秘密のトライアングルラブ スタート！鹿島史子は会社で「鬼上司キャラ」を演じている。全ては長年の片思いの相手である上妻社長のため――だったが、嫌われ役をやることに疲れた史子は、ある夜酔った勢いでワンナイトしてしまう。相手はまさかの職場の後輩・犬飼君!?酔っている間に「鬼上司キャラ」のことも全て打ち明けてしまった史子が、秘密にしてほしいと頼むと、犬飼君は取り引きを持ちかけてくる。「秘密がいいなら――…抱かせてください」</v>
      </c>
      <c r="W1430" s="14"/>
      <c r="X1430" s="14" t="str">
        <f>IFERROR(__xludf.DUMMYFUNCTION("""COMPUTED_VALUE"""),"有")</f>
        <v>有</v>
      </c>
      <c r="Y1430" s="8" t="str">
        <f>IFERROR(__xludf.DUMMYFUNCTION("""COMPUTED_VALUE"""),"P10まで")</f>
        <v>P10まで</v>
      </c>
      <c r="Z1430" s="7"/>
      <c r="AA1430" s="7"/>
      <c r="AB1430" s="7"/>
    </row>
    <row r="1431" ht="15.75" customHeight="1">
      <c r="A1431" s="26">
        <f>IFERROR(__xludf.DUMMYFUNCTION("""COMPUTED_VALUE"""),3296.0)</f>
        <v>3296</v>
      </c>
      <c r="B1431" s="22" t="str">
        <f>IFERROR(__xludf.DUMMYFUNCTION("""COMPUTED_VALUE"""),"確定")</f>
        <v>確定</v>
      </c>
      <c r="C1431" s="28">
        <f>IFERROR(__xludf.DUMMYFUNCTION("""COMPUTED_VALUE"""),45397.0)</f>
        <v>45397</v>
      </c>
      <c r="D1431" s="28">
        <f>IFERROR(__xludf.DUMMYFUNCTION("""COMPUTED_VALUE"""),45398.0)</f>
        <v>45398</v>
      </c>
      <c r="E1431" s="26">
        <f>IFERROR(__xludf.DUMMYFUNCTION("""COMPUTED_VALUE"""),292545.0)</f>
        <v>292545</v>
      </c>
      <c r="F1431" s="22" t="str">
        <f>IFERROR(__xludf.DUMMYFUNCTION("""COMPUTED_VALUE"""),"幼なじみは愛が重めの絶倫若社長")</f>
        <v>幼なじみは愛が重めの絶倫若社長</v>
      </c>
      <c r="G1431" s="20" t="str">
        <f>IFERROR(__xludf.DUMMYFUNCTION("""COMPUTED_VALUE"""),"1～3")</f>
        <v>1～3</v>
      </c>
      <c r="H1431" s="22" t="str">
        <f>IFERROR(__xludf.DUMMYFUNCTION("""COMPUTED_VALUE"""),"鐘田めろん")</f>
        <v>鐘田めろん</v>
      </c>
      <c r="I1431" s="22" t="str">
        <f>IFERROR(__xludf.DUMMYFUNCTION("""COMPUTED_VALUE"""),"女性")</f>
        <v>女性</v>
      </c>
      <c r="J1431" s="22"/>
      <c r="K1431" s="22"/>
      <c r="L1431" s="22" t="str">
        <f>IFERROR(__xludf.DUMMYFUNCTION("""COMPUTED_VALUE"""),"秋田書店")</f>
        <v>秋田書店</v>
      </c>
      <c r="M1431" s="23">
        <f>IFERROR(__xludf.DUMMYFUNCTION("""COMPUTED_VALUE"""),45428.0)</f>
        <v>45428</v>
      </c>
      <c r="N1431" s="23">
        <f>IFERROR(__xludf.DUMMYFUNCTION("""COMPUTED_VALUE"""),45488.0)</f>
        <v>45488</v>
      </c>
      <c r="O1431" s="20"/>
      <c r="P1431" s="32" t="str">
        <f>IFERROR(__xludf.DUMMYFUNCTION("""COMPUTED_VALUE"""),"可")</f>
        <v>可</v>
      </c>
      <c r="Q1431" s="30"/>
      <c r="R1431" s="22"/>
      <c r="S1431" s="22" t="str">
        <f>IFERROR(__xludf.DUMMYFUNCTION("""COMPUTED_VALUE"""),"20240415_秋田書店_5月新作")</f>
        <v>20240415_秋田書店_5月新作</v>
      </c>
      <c r="T1431" s="22" t="str">
        <f>IFERROR(__xludf.DUMMYFUNCTION("""COMPUTED_VALUE"""),"格納済み")</f>
        <v>格納済み</v>
      </c>
      <c r="U1431" s="15" t="str">
        <f>IFERROR(__xludf.DUMMYFUNCTION("""COMPUTED_VALUE"""),"（C）鐘田めろん（秋田書店）")</f>
        <v>（C）鐘田めろん（秋田書店）</v>
      </c>
      <c r="V1431" s="8" t="str">
        <f>IFERROR(__xludf.DUMMYFUNCTION("""COMPUTED_VALUE"""),"愛が重めで一途な若社長に壊れるくらいに愛される幼なじみラブ!!「もう、これ以上はおかしくなっちゃう！」まさか彼とこんなことになるなんて…!!相田しおり29歳。7年勤めた会社をクビになったしおりが、派遣で働くことになったのは、幼なじみの篠崎たかゆきが二代目社長を務める会社だった。「ずっと会いたかった」としおりに伝えるたかゆきだが、しおりは複雑な気持ちで!?")</f>
        <v>愛が重めで一途な若社長に壊れるくらいに愛される幼なじみラブ!!「もう、これ以上はおかしくなっちゃう！」まさか彼とこんなことになるなんて…!!相田しおり29歳。7年勤めた会社をクビになったしおりが、派遣で働くことになったのは、幼なじみの篠崎たかゆきが二代目社長を務める会社だった。「ずっと会いたかった」としおりに伝えるたかゆきだが、しおりは複雑な気持ちで!?</v>
      </c>
      <c r="W1431" s="14"/>
      <c r="X1431" s="14" t="str">
        <f>IFERROR(__xludf.DUMMYFUNCTION("""COMPUTED_VALUE"""),"有")</f>
        <v>有</v>
      </c>
      <c r="Y1431" s="8" t="str">
        <f>IFERROR(__xludf.DUMMYFUNCTION("""COMPUTED_VALUE"""),"P10まで")</f>
        <v>P10まで</v>
      </c>
      <c r="Z1431" s="7"/>
      <c r="AA1431" s="7"/>
      <c r="AB1431" s="7"/>
    </row>
    <row r="1432" ht="99.75" customHeight="1">
      <c r="A1432" s="26">
        <f>IFERROR(__xludf.DUMMYFUNCTION("""COMPUTED_VALUE"""),3297.0)</f>
        <v>3297</v>
      </c>
      <c r="B1432" s="22" t="str">
        <f>IFERROR(__xludf.DUMMYFUNCTION("""COMPUTED_VALUE"""),"確定")</f>
        <v>確定</v>
      </c>
      <c r="C1432" s="28">
        <f>IFERROR(__xludf.DUMMYFUNCTION("""COMPUTED_VALUE"""),45397.0)</f>
        <v>45397</v>
      </c>
      <c r="D1432" s="28">
        <f>IFERROR(__xludf.DUMMYFUNCTION("""COMPUTED_VALUE"""),45398.0)</f>
        <v>45398</v>
      </c>
      <c r="E1432" s="26">
        <f>IFERROR(__xludf.DUMMYFUNCTION("""COMPUTED_VALUE"""),292546.0)</f>
        <v>292546</v>
      </c>
      <c r="F1432" s="22" t="str">
        <f>IFERROR(__xludf.DUMMYFUNCTION("""COMPUTED_VALUE"""),"獣人トワイライトムーン～発情エッチでつがいになりました～")</f>
        <v>獣人トワイライトムーン～発情エッチでつがいになりました～</v>
      </c>
      <c r="G1432" s="20" t="str">
        <f>IFERROR(__xludf.DUMMYFUNCTION("""COMPUTED_VALUE"""),"1～3")</f>
        <v>1～3</v>
      </c>
      <c r="H1432" s="22" t="str">
        <f>IFERROR(__xludf.DUMMYFUNCTION("""COMPUTED_VALUE"""),"稲美杉")</f>
        <v>稲美杉</v>
      </c>
      <c r="I1432" s="22" t="str">
        <f>IFERROR(__xludf.DUMMYFUNCTION("""COMPUTED_VALUE"""),"女性")</f>
        <v>女性</v>
      </c>
      <c r="J1432" s="22"/>
      <c r="K1432" s="22"/>
      <c r="L1432" s="22" t="str">
        <f>IFERROR(__xludf.DUMMYFUNCTION("""COMPUTED_VALUE"""),"秋田書店")</f>
        <v>秋田書店</v>
      </c>
      <c r="M1432" s="23">
        <f>IFERROR(__xludf.DUMMYFUNCTION("""COMPUTED_VALUE"""),45428.0)</f>
        <v>45428</v>
      </c>
      <c r="N1432" s="23">
        <f>IFERROR(__xludf.DUMMYFUNCTION("""COMPUTED_VALUE"""),45488.0)</f>
        <v>45488</v>
      </c>
      <c r="O1432" s="20"/>
      <c r="P1432" s="34" t="str">
        <f>IFERROR(__xludf.DUMMYFUNCTION("""COMPUTED_VALUE"""),"可")</f>
        <v>可</v>
      </c>
      <c r="Q1432" s="30" t="str">
        <f>IFERROR(__xludf.DUMMYFUNCTION("""COMPUTED_VALUE"""),"1話分を3分割して配信")</f>
        <v>1話分を3分割して配信</v>
      </c>
      <c r="R1432" s="22"/>
      <c r="S1432" s="22" t="str">
        <f>IFERROR(__xludf.DUMMYFUNCTION("""COMPUTED_VALUE"""),"20240415_秋田書店_5月新作")</f>
        <v>20240415_秋田書店_5月新作</v>
      </c>
      <c r="T1432" s="22" t="str">
        <f>IFERROR(__xludf.DUMMYFUNCTION("""COMPUTED_VALUE"""),"格納済み")</f>
        <v>格納済み</v>
      </c>
      <c r="U1432" s="15" t="str">
        <f>IFERROR(__xludf.DUMMYFUNCTION("""COMPUTED_VALUE"""),"（C）稲美杉（秋田書店）")</f>
        <v>（C）稲美杉（秋田書店）</v>
      </c>
      <c r="V1432" s="8" t="str">
        <f>IFERROR(__xludf.DUMMYFUNCTION("""COMPUTED_VALUE"""),"狼獣人×人間の危険な恋!!大学職員として働く星奈。ある日崖から足を踏み外し大怪我をしたはずなのになぜか治ってる…？そんな中、大学の教授を自称する妖しい男、敦美に出会うが彼は私のことを知ってるみたいで…？")</f>
        <v>狼獣人×人間の危険な恋!!大学職員として働く星奈。ある日崖から足を踏み外し大怪我をしたはずなのになぜか治ってる…？そんな中、大学の教授を自称する妖しい男、敦美に出会うが彼は私のことを知ってるみたいで…？</v>
      </c>
      <c r="W1432" s="14"/>
      <c r="X1432" s="14" t="str">
        <f>IFERROR(__xludf.DUMMYFUNCTION("""COMPUTED_VALUE"""),"有")</f>
        <v>有</v>
      </c>
      <c r="Y1432" s="8" t="str">
        <f>IFERROR(__xludf.DUMMYFUNCTION("""COMPUTED_VALUE"""),"P10まで")</f>
        <v>P10まで</v>
      </c>
      <c r="Z1432" s="7"/>
      <c r="AA1432" s="7"/>
      <c r="AB1432" s="7"/>
    </row>
    <row r="1433" ht="15.75" customHeight="1">
      <c r="A1433" s="26">
        <f>IFERROR(__xludf.DUMMYFUNCTION("""COMPUTED_VALUE"""),3304.0)</f>
        <v>3304</v>
      </c>
      <c r="B1433" s="22" t="str">
        <f>IFERROR(__xludf.DUMMYFUNCTION("""COMPUTED_VALUE"""),"確定")</f>
        <v>確定</v>
      </c>
      <c r="C1433" s="28">
        <f>IFERROR(__xludf.DUMMYFUNCTION("""COMPUTED_VALUE"""),45398.0)</f>
        <v>45398</v>
      </c>
      <c r="D1433" s="28">
        <f>IFERROR(__xludf.DUMMYFUNCTION("""COMPUTED_VALUE"""),45399.0)</f>
        <v>45399</v>
      </c>
      <c r="E1433" s="26">
        <f>IFERROR(__xludf.DUMMYFUNCTION("""COMPUTED_VALUE"""),291892.0)</f>
        <v>291892</v>
      </c>
      <c r="F1433" s="22" t="str">
        <f>IFERROR(__xludf.DUMMYFUNCTION("""COMPUTED_VALUE"""),"【新装版】強気な軍人を亀頭責めで性拷問する【白抜き修正版】")</f>
        <v>【新装版】強気な軍人を亀頭責めで性拷問する【白抜き修正版】</v>
      </c>
      <c r="G1433" s="20">
        <f>IFERROR(__xludf.DUMMYFUNCTION("""COMPUTED_VALUE"""),1.0)</f>
        <v>1</v>
      </c>
      <c r="H1433" s="22" t="str">
        <f>IFERROR(__xludf.DUMMYFUNCTION("""COMPUTED_VALUE"""),"星谷京")</f>
        <v>星谷京</v>
      </c>
      <c r="I1433" s="22" t="str">
        <f>IFERROR(__xludf.DUMMYFUNCTION("""COMPUTED_VALUE"""),"BL")</f>
        <v>BL</v>
      </c>
      <c r="J1433" s="22"/>
      <c r="K1433" s="22"/>
      <c r="L1433" s="22" t="str">
        <f>IFERROR(__xludf.DUMMYFUNCTION("""COMPUTED_VALUE"""),"ナンバーナイン")</f>
        <v>ナンバーナイン</v>
      </c>
      <c r="M1433" s="23">
        <f>IFERROR(__xludf.DUMMYFUNCTION("""COMPUTED_VALUE"""),45415.0)</f>
        <v>45415</v>
      </c>
      <c r="N1433" s="23">
        <f>IFERROR(__xludf.DUMMYFUNCTION("""COMPUTED_VALUE"""),45476.0)</f>
        <v>45476</v>
      </c>
      <c r="O1433" s="20"/>
      <c r="P1433" s="32" t="str">
        <f>IFERROR(__xludf.DUMMYFUNCTION("""COMPUTED_VALUE"""),"可")</f>
        <v>可</v>
      </c>
      <c r="Q1433" s="30"/>
      <c r="R1433" s="22"/>
      <c r="S1433" s="22" t="str">
        <f>IFERROR(__xludf.DUMMYFUNCTION("""COMPUTED_VALUE"""),"20240416_ナンバーナイン_強気な軍人")</f>
        <v>20240416_ナンバーナイン_強気な軍人</v>
      </c>
      <c r="T1433" s="22" t="str">
        <f>IFERROR(__xludf.DUMMYFUNCTION("""COMPUTED_VALUE"""),"格納済み")</f>
        <v>格納済み</v>
      </c>
      <c r="U1433" s="15" t="str">
        <f>IFERROR(__xludf.DUMMYFUNCTION("""COMPUTED_VALUE"""),"(C)星谷京/ナンバーナイン")</f>
        <v>(C)星谷京/ナンバーナイン</v>
      </c>
      <c r="V1433" s="8" t="str">
        <f>IFERROR(__xludf.DUMMYFUNCTION("""COMPUTED_VALUE"""),"第1話 22p
第2話 13p
第3話 36p
第4話 19p
第5話 25p
本編総ページ数：115p
※第1話は、既刊「強気な軍人を亀頭責めで性拷問する」「星谷京 総集編 Vol.1」に収録されています。
表紙デザイン：葉音きぃこ様")</f>
        <v>第1話 22p
第2話 13p
第3話 36p
第4話 19p
第5話 25p
本編総ページ数：115p
※第1話は、既刊「強気な軍人を亀頭責めで性拷問する」「星谷京 総集編 Vol.1」に収録されています。
表紙デザイン：葉音きぃこ様</v>
      </c>
      <c r="W1433" s="14"/>
      <c r="X1433" s="14" t="str">
        <f>IFERROR(__xludf.DUMMYFUNCTION("""COMPUTED_VALUE"""),"有")</f>
        <v>有</v>
      </c>
      <c r="Y1433" s="8" t="str">
        <f>IFERROR(__xludf.DUMMYFUNCTION("""COMPUTED_VALUE"""),"2024/5/12までP23立ち読み増量")</f>
        <v>2024/5/12までP23立ち読み増量</v>
      </c>
      <c r="Z1433" s="7"/>
      <c r="AA1433" s="7"/>
      <c r="AB1433" s="7"/>
    </row>
    <row r="1434" ht="15.75" customHeight="1">
      <c r="A1434" s="26">
        <f>IFERROR(__xludf.DUMMYFUNCTION("""COMPUTED_VALUE"""),3262.0)</f>
        <v>3262</v>
      </c>
      <c r="B1434" s="22" t="str">
        <f>IFERROR(__xludf.DUMMYFUNCTION("""COMPUTED_VALUE"""),"確定")</f>
        <v>確定</v>
      </c>
      <c r="C1434" s="28">
        <f>IFERROR(__xludf.DUMMYFUNCTION("""COMPUTED_VALUE"""),45391.0)</f>
        <v>45391</v>
      </c>
      <c r="D1434" s="28">
        <f>IFERROR(__xludf.DUMMYFUNCTION("""COMPUTED_VALUE"""),45397.0)</f>
        <v>45397</v>
      </c>
      <c r="E1434" s="26">
        <f>IFERROR(__xludf.DUMMYFUNCTION("""COMPUTED_VALUE"""),291627.0)</f>
        <v>291627</v>
      </c>
      <c r="F1434" s="22" t="str">
        <f>IFERROR(__xludf.DUMMYFUNCTION("""COMPUTED_VALUE"""),"やり直し精霊姫は加護なし皇子の寵妃を目指す　死にたくないので結婚します！　【連載版】")</f>
        <v>やり直し精霊姫は加護なし皇子の寵妃を目指す　死にたくないので結婚します！　【連載版】</v>
      </c>
      <c r="G1434" s="11" t="str">
        <f>IFERROR(__xludf.DUMMYFUNCTION("""COMPUTED_VALUE"""),"1～4")</f>
        <v>1～4</v>
      </c>
      <c r="H1434" s="22" t="str">
        <f>IFERROR(__xludf.DUMMYFUNCTION("""COMPUTED_VALUE"""),"麦崎旬・柊一葉・マトリ")</f>
        <v>麦崎旬・柊一葉・マトリ</v>
      </c>
      <c r="I1434" s="22" t="str">
        <f>IFERROR(__xludf.DUMMYFUNCTION("""COMPUTED_VALUE"""),"少女")</f>
        <v>少女</v>
      </c>
      <c r="J1434" s="22"/>
      <c r="K1434" s="22"/>
      <c r="L1434" s="22" t="str">
        <f>IFERROR(__xludf.DUMMYFUNCTION("""COMPUTED_VALUE"""),"一迅社")</f>
        <v>一迅社</v>
      </c>
      <c r="M1434" s="23">
        <f>IFERROR(__xludf.DUMMYFUNCTION("""COMPUTED_VALUE"""),45413.0)</f>
        <v>45413</v>
      </c>
      <c r="N1434" s="23">
        <f>IFERROR(__xludf.DUMMYFUNCTION("""COMPUTED_VALUE"""),45443.0)</f>
        <v>45443</v>
      </c>
      <c r="O1434" s="20"/>
      <c r="P1434" s="32" t="str">
        <f>IFERROR(__xludf.DUMMYFUNCTION("""COMPUTED_VALUE"""),"可")</f>
        <v>可</v>
      </c>
      <c r="Q1434" s="30"/>
      <c r="R1434" s="22"/>
      <c r="S1434" s="22" t="str">
        <f>IFERROR(__xludf.DUMMYFUNCTION("""COMPUTED_VALUE"""),"20240409_一迅社_やり直し精霊姫は加護なし皇子の寵妃を目指す　死にたくないので結婚します！")</f>
        <v>20240409_一迅社_やり直し精霊姫は加護なし皇子の寵妃を目指す　死にたくないので結婚します！</v>
      </c>
      <c r="T1434" s="22" t="str">
        <f>IFERROR(__xludf.DUMMYFUNCTION("""COMPUTED_VALUE"""),"格納済み")</f>
        <v>格納済み</v>
      </c>
      <c r="U1434" s="15" t="str">
        <f>IFERROR(__xludf.DUMMYFUNCTION("""COMPUTED_VALUE"""),"(C)麦崎旬・柊一葉・マトリ／一迅社")</f>
        <v>(C)麦崎旬・柊一葉・マトリ／一迅社</v>
      </c>
      <c r="V1434" s="8" t="str">
        <f>IFERROR(__xludf.DUMMYFUNCTION("""COMPUTED_VALUE"""),"一族を滅亡させる謎の病で死んでは十八歳の誕生日に戻り、人生三周目の精霊族の姫・心如（シンルー）。一族を救いたいのに、国には薬を研究するお金がない！ 資金繰りに悩んでいると、大国の第五皇子・聖（シャン）の婿入り先が探されているとの話を耳にする。彼は反逆罪の濡れ衣を着せられ処刑される運命なのだが……。心如は「皇子様を婿に迎えれば持参金が入る！」と聖と結婚することを決め――!?「アイリスNEO」の話題作をコミカライズ！死に戻り姫と訳あり皇子の中華風ラブファンタジー！【本商品は単話コンテンツとなります。単行本版と"&amp;"収録内容が異なる場合がございます。漫画内の告知等は過去のものとなりますので、ご注意ください。】")</f>
        <v>一族を滅亡させる謎の病で死んでは十八歳の誕生日に戻り、人生三周目の精霊族の姫・心如（シンルー）。一族を救いたいのに、国には薬を研究するお金がない！ 資金繰りに悩んでいると、大国の第五皇子・聖（シャン）の婿入り先が探されているとの話を耳にする。彼は反逆罪の濡れ衣を着せられ処刑される運命なのだが……。心如は「皇子様を婿に迎えれば持参金が入る！」と聖と結婚することを決め――!?「アイリスNEO」の話題作をコミカライズ！死に戻り姫と訳あり皇子の中華風ラブファンタジー！【本商品は単話コンテンツとなります。単行本版と収録内容が異なる場合がございます。漫画内の告知等は過去のものとなりますので、ご注意ください。】</v>
      </c>
      <c r="W1434" s="14"/>
      <c r="X1434" s="14" t="str">
        <f>IFERROR(__xludf.DUMMYFUNCTION("""COMPUTED_VALUE"""),"有")</f>
        <v>有</v>
      </c>
      <c r="Y1434" s="8" t="str">
        <f>IFERROR(__xludf.DUMMYFUNCTION("""COMPUTED_VALUE"""),"2024/5/31まで1巻無料")</f>
        <v>2024/5/31まで1巻無料</v>
      </c>
      <c r="Z1434" s="7"/>
      <c r="AA1434" s="7"/>
      <c r="AB1434" s="7"/>
    </row>
    <row r="1435" ht="15.75" customHeight="1">
      <c r="A1435" s="26">
        <f>IFERROR(__xludf.DUMMYFUNCTION("""COMPUTED_VALUE"""),2709.0)</f>
        <v>2709</v>
      </c>
      <c r="B1435" s="22" t="str">
        <f>IFERROR(__xludf.DUMMYFUNCTION("""COMPUTED_VALUE"""),"確定")</f>
        <v>確定</v>
      </c>
      <c r="C1435" s="28">
        <f>IFERROR(__xludf.DUMMYFUNCTION("""COMPUTED_VALUE"""),45260.0)</f>
        <v>45260</v>
      </c>
      <c r="D1435" s="28">
        <f>IFERROR(__xludf.DUMMYFUNCTION("""COMPUTED_VALUE"""),45404.0)</f>
        <v>45404</v>
      </c>
      <c r="E1435" s="26">
        <f>IFERROR(__xludf.DUMMYFUNCTION("""COMPUTED_VALUE"""),292781.0)</f>
        <v>292781</v>
      </c>
      <c r="F1435" s="22" t="str">
        <f>IFERROR(__xludf.DUMMYFUNCTION("""COMPUTED_VALUE"""),"エリート弁護士に蜜月同棲で愛し尽くされています【分冊版】")</f>
        <v>エリート弁護士に蜜月同棲で愛し尽くされています【分冊版】</v>
      </c>
      <c r="G1435" s="20" t="str">
        <f>IFERROR(__xludf.DUMMYFUNCTION("""COMPUTED_VALUE"""),"1~3")</f>
        <v>1~3</v>
      </c>
      <c r="H1435" s="22" t="str">
        <f>IFERROR(__xludf.DUMMYFUNCTION("""COMPUTED_VALUE"""),"おかざき瞳・吉澤紗矢")</f>
        <v>おかざき瞳・吉澤紗矢</v>
      </c>
      <c r="I1435" s="22" t="str">
        <f>IFERROR(__xludf.DUMMYFUNCTION("""COMPUTED_VALUE"""),"女性")</f>
        <v>女性</v>
      </c>
      <c r="J1435" s="22"/>
      <c r="K1435" s="22"/>
      <c r="L1435" s="22" t="str">
        <f>IFERROR(__xludf.DUMMYFUNCTION("""COMPUTED_VALUE"""),"ハーパーコリンズ・ジャパン")</f>
        <v>ハーパーコリンズ・ジャパン</v>
      </c>
      <c r="M1435" s="23">
        <f>IFERROR(__xludf.DUMMYFUNCTION("""COMPUTED_VALUE"""),45429.0)</f>
        <v>45429</v>
      </c>
      <c r="N1435" s="23">
        <f>IFERROR(__xludf.DUMMYFUNCTION("""COMPUTED_VALUE"""),45491.0)</f>
        <v>45491</v>
      </c>
      <c r="O1435" s="20"/>
      <c r="P1435" s="34" t="str">
        <f>IFERROR(__xludf.DUMMYFUNCTION("""COMPUTED_VALUE"""),"否")</f>
        <v>否</v>
      </c>
      <c r="Q1435" s="31" t="str">
        <f>IFERROR(__xludf.DUMMYFUNCTION("""COMPUTED_VALUE"""),"広告コミットOK(12/7)")</f>
        <v>広告コミットOK(12/7)</v>
      </c>
      <c r="R1435" s="22" t="str">
        <f>IFERROR(__xludf.DUMMYFUNCTION("""COMPUTED_VALUE"""),"格納済")</f>
        <v>格納済</v>
      </c>
      <c r="S1435" s="22" t="str">
        <f>IFERROR(__xludf.DUMMYFUNCTION("""COMPUTED_VALUE"""),"20240422_ハーパーコリンズ_エリート弁護士に蜜月同棲で愛し尽くされています【分冊版】")</f>
        <v>20240422_ハーパーコリンズ_エリート弁護士に蜜月同棲で愛し尽くされています【分冊版】</v>
      </c>
      <c r="T1435" s="22" t="str">
        <f>IFERROR(__xludf.DUMMYFUNCTION("""COMPUTED_VALUE"""),"格納済み")</f>
        <v>格納済み</v>
      </c>
      <c r="U1435" s="15" t="str">
        <f>IFERROR(__xludf.DUMMYFUNCTION("""COMPUTED_VALUE"""),"©おかざき瞳・吉澤紗矢／ハーパーコリンズ・ジャパン")</f>
        <v>©おかざき瞳・吉澤紗矢／ハーパーコリンズ・ジャパン</v>
      </c>
      <c r="V1435" s="8" t="str">
        <f>IFERROR(__xludf.DUMMYFUNCTION("""COMPUTED_VALUE"""),"偶然の再会から始まる、初恋の彼との焦れ甘な同居生活は…?
退職トラブルを解決してもらうため、弁護士事務所を訪れた茉友。問題を解決してくれたのは兄の親友でエリート弁護士の高坂慶介だった。まさか初恋の人とこんな形で再会をするなんて…。無事に退職した茉友だけど、早々に社宅を出ないといけなくなってしまった！そんな茉友に慶介は｢俺のマンションで同居しないか？｣と提案する。親友の妹としか見ていない私に手を出すはずはないとわかっていても、胸のドキドキは止まらなくて──。")</f>
        <v>偶然の再会から始まる、初恋の彼との焦れ甘な同居生活は…?
退職トラブルを解決してもらうため、弁護士事務所を訪れた茉友。問題を解決してくれたのは兄の親友でエリート弁護士の高坂慶介だった。まさか初恋の人とこんな形で再会をするなんて…。無事に退職した茉友だけど、早々に社宅を出ないといけなくなってしまった！そんな茉友に慶介は｢俺のマンションで同居しないか？｣と提案する。親友の妹としか見ていない私に手を出すはずはないとわかっていても、胸のドキドキは止まらなくて──。</v>
      </c>
      <c r="W1435" s="14"/>
      <c r="X1435" s="14" t="str">
        <f>IFERROR(__xludf.DUMMYFUNCTION("""COMPUTED_VALUE"""),"有")</f>
        <v>有</v>
      </c>
      <c r="Y1435" s="8" t="str">
        <f>IFERROR(__xludf.DUMMYFUNCTION("""COMPUTED_VALUE"""),"P7まで")</f>
        <v>P7まで</v>
      </c>
      <c r="Z1435" s="7"/>
      <c r="AA1435" s="7"/>
      <c r="AB1435" s="7"/>
    </row>
    <row r="1436" ht="15.75" customHeight="1">
      <c r="A1436" s="26">
        <f>IFERROR(__xludf.DUMMYFUNCTION("""COMPUTED_VALUE"""),2855.0)</f>
        <v>2855</v>
      </c>
      <c r="B1436" s="22" t="str">
        <f>IFERROR(__xludf.DUMMYFUNCTION("""COMPUTED_VALUE"""),"確定")</f>
        <v>確定</v>
      </c>
      <c r="C1436" s="28">
        <f>IFERROR(__xludf.DUMMYFUNCTION("""COMPUTED_VALUE"""),45309.0)</f>
        <v>45309</v>
      </c>
      <c r="D1436" s="28">
        <f>IFERROR(__xludf.DUMMYFUNCTION("""COMPUTED_VALUE"""),45404.0)</f>
        <v>45404</v>
      </c>
      <c r="E1436" s="26">
        <f>IFERROR(__xludf.DUMMYFUNCTION("""COMPUTED_VALUE"""),291469.0)</f>
        <v>291469</v>
      </c>
      <c r="F1436" s="22" t="str">
        <f>IFERROR(__xludf.DUMMYFUNCTION("""COMPUTED_VALUE"""),"真実の愛を手とり足とり教えなさい")</f>
        <v>真実の愛を手とり足とり教えなさい</v>
      </c>
      <c r="G1436" s="11" t="str">
        <f>IFERROR(__xludf.DUMMYFUNCTION("""COMPUTED_VALUE"""),"1～10")</f>
        <v>1～10</v>
      </c>
      <c r="H1436" s="22" t="str">
        <f>IFERROR(__xludf.DUMMYFUNCTION("""COMPUTED_VALUE"""),"西根羽南,BAON,ありめ蛍")</f>
        <v>西根羽南,BAON,ありめ蛍</v>
      </c>
      <c r="I1436" s="22" t="str">
        <f>IFERROR(__xludf.DUMMYFUNCTION("""COMPUTED_VALUE"""),"少女")</f>
        <v>少女</v>
      </c>
      <c r="J1436" s="22"/>
      <c r="K1436" s="22"/>
      <c r="L1436" s="22" t="str">
        <f>IFERROR(__xludf.DUMMYFUNCTION("""COMPUTED_VALUE"""),"booklistaSTUDIO/SBCr")</f>
        <v>booklistaSTUDIO/SBCr</v>
      </c>
      <c r="M1436" s="23">
        <f>IFERROR(__xludf.DUMMYFUNCTION("""COMPUTED_VALUE"""),45409.0)</f>
        <v>45409</v>
      </c>
      <c r="N1436" s="23">
        <f>IFERROR(__xludf.DUMMYFUNCTION("""COMPUTED_VALUE"""),45499.0)</f>
        <v>45499</v>
      </c>
      <c r="O1436" s="20"/>
      <c r="P1436" s="34" t="str">
        <f>IFERROR(__xludf.DUMMYFUNCTION("""COMPUTED_VALUE"""),"可")</f>
        <v>可</v>
      </c>
      <c r="Q1436" s="35" t="str">
        <f>IFERROR(__xludf.DUMMYFUNCTION("""COMPUTED_VALUE"""),"・出版社：booklistaSTUDIOから配信中の「真実の愛を手とり足とり教えなさい【タテヨミ】」を、SBクリエイティブが版面化し、版面をシーモア独占先行予定です&lt;BR&gt;・大体ですが、タテヨミ2話分＝版面分冊版1話分になります&lt;BR&gt;・冒頭１~3巻無料ストリーミング予定です")</f>
        <v>・出版社：booklistaSTUDIOから配信中の「真実の愛を手とり足とり教えなさい【タテヨミ】」を、SBクリエイティブが版面化し、版面をシーモア独占先行予定です&lt;BR&gt;・大体ですが、タテヨミ2話分＝版面分冊版1話分になります&lt;BR&gt;・冒頭１~3巻無料ストリーミング予定です</v>
      </c>
      <c r="R1436" s="40">
        <f>IFERROR(__xludf.DUMMYFUNCTION("""COMPUTED_VALUE"""),45400.0)</f>
        <v>45400</v>
      </c>
      <c r="S1436" s="22" t="str">
        <f>IFERROR(__xludf.DUMMYFUNCTION("""COMPUTED_VALUE"""),"20240422_booklistaSTUDIOSBCr_真実の愛を手とり足とり教えなさい")</f>
        <v>20240422_booklistaSTUDIOSBCr_真実の愛を手とり足とり教えなさい</v>
      </c>
      <c r="T1436" s="22" t="str">
        <f>IFERROR(__xludf.DUMMYFUNCTION("""COMPUTED_VALUE"""),"格納済み")</f>
        <v>格納済み</v>
      </c>
      <c r="U1436" s="15" t="str">
        <f>IFERROR(__xludf.DUMMYFUNCTION("""COMPUTED_VALUE"""),"©booklistaSTUDIO")</f>
        <v>©booklistaSTUDIO</v>
      </c>
      <c r="V1436" s="8" t="str">
        <f>IFERROR(__xludf.DUMMYFUNCTION("""COMPUTED_VALUE"""),"“幼少期に親が決めた婚約“を否定した女性たちが、婚約破棄ブームを巻き起こしている――そんな国の一大事に終止符を打つためには、武勇の女王フィリスの結婚が必須!?恋愛初心者のフィリスは、幼馴染である近衛騎士に思わず命令してしまう。「真実の愛を知りたいので、手取り足取り教えなさい」破壊神の異名を持つ鈍感女王と積年の想いを隠す騎士の、溺愛ラブコメストーリー。")</f>
        <v>“幼少期に親が決めた婚約“を否定した女性たちが、婚約破棄ブームを巻き起こしている――そんな国の一大事に終止符を打つためには、武勇の女王フィリスの結婚が必須!?恋愛初心者のフィリスは、幼馴染である近衛騎士に思わず命令してしまう。「真実の愛を知りたいので、手取り足取り教えなさい」破壊神の異名を持つ鈍感女王と積年の想いを隠す騎士の、溺愛ラブコメストーリー。</v>
      </c>
      <c r="W1436" s="14"/>
      <c r="X1436" s="14" t="str">
        <f>IFERROR(__xludf.DUMMYFUNCTION("""COMPUTED_VALUE"""),"有")</f>
        <v>有</v>
      </c>
      <c r="Y1436" s="8" t="str">
        <f>IFERROR(__xludf.DUMMYFUNCTION("""COMPUTED_VALUE"""),"2024/5/24まで1～3巻無料")</f>
        <v>2024/5/24まで1～3巻無料</v>
      </c>
      <c r="Z1436" s="7"/>
      <c r="AA1436" s="7"/>
      <c r="AB1436" s="7"/>
    </row>
    <row r="1437" ht="107.25" customHeight="1">
      <c r="A1437" s="26">
        <f>IFERROR(__xludf.DUMMYFUNCTION("""COMPUTED_VALUE"""),2906.0)</f>
        <v>2906</v>
      </c>
      <c r="B1437" s="22" t="str">
        <f>IFERROR(__xludf.DUMMYFUNCTION("""COMPUTED_VALUE"""),"確定")</f>
        <v>確定</v>
      </c>
      <c r="C1437" s="28">
        <f>IFERROR(__xludf.DUMMYFUNCTION("""COMPUTED_VALUE"""),45322.0)</f>
        <v>45322</v>
      </c>
      <c r="D1437" s="28">
        <f>IFERROR(__xludf.DUMMYFUNCTION("""COMPUTED_VALUE"""),45406.0)</f>
        <v>45406</v>
      </c>
      <c r="E1437" s="26">
        <f>IFERROR(__xludf.DUMMYFUNCTION("""COMPUTED_VALUE"""),292380.0)</f>
        <v>292380</v>
      </c>
      <c r="F1437" s="46" t="str">
        <f>IFERROR(__xludf.DUMMYFUNCTION("""COMPUTED_VALUE"""),"最強勇者はコンビニ店長【単話版】")</f>
        <v>最強勇者はコンビニ店長【単話版】</v>
      </c>
      <c r="G1437" s="11" t="str">
        <f>IFERROR(__xludf.DUMMYFUNCTION("""COMPUTED_VALUE"""),"1～4")</f>
        <v>1～4</v>
      </c>
      <c r="H1437" s="22" t="str">
        <f>IFERROR(__xludf.DUMMYFUNCTION("""COMPUTED_VALUE"""),"平田トウエイ")</f>
        <v>平田トウエイ</v>
      </c>
      <c r="I1437" s="46" t="str">
        <f>IFERROR(__xludf.DUMMYFUNCTION("""COMPUTED_VALUE"""),"青年")</f>
        <v>青年</v>
      </c>
      <c r="J1437" s="22"/>
      <c r="K1437" s="22"/>
      <c r="L1437" s="22" t="str">
        <f>IFERROR(__xludf.DUMMYFUNCTION("""COMPUTED_VALUE"""),"GANMA!")</f>
        <v>GANMA!</v>
      </c>
      <c r="M1437" s="23">
        <f>IFERROR(__xludf.DUMMYFUNCTION("""COMPUTED_VALUE"""),45413.0)</f>
        <v>45413</v>
      </c>
      <c r="N1437" s="37" t="str">
        <f>IFERROR(__xludf.DUMMYFUNCTION("""COMPUTED_VALUE"""),"初回2か月先行予定")</f>
        <v>初回2か月先行予定</v>
      </c>
      <c r="O1437" s="20"/>
      <c r="P1437" s="34" t="str">
        <f>IFERROR(__xludf.DUMMYFUNCTION("""COMPUTED_VALUE"""),"否")</f>
        <v>否</v>
      </c>
      <c r="Q1437" s="30" t="str">
        <f>IFERROR(__xludf.DUMMYFUNCTION("""COMPUTED_VALUE"""),"広告コミットOK(2/2)")</f>
        <v>広告コミットOK(2/2)</v>
      </c>
      <c r="R1437" s="22"/>
      <c r="S1437" s="22" t="str">
        <f>IFERROR(__xludf.DUMMYFUNCTION("""COMPUTED_VALUE"""),"20240423_GANMA!_最強勇者はコンビニ店長")</f>
        <v>20240423_GANMA!_最強勇者はコンビニ店長</v>
      </c>
      <c r="T1437" s="22" t="str">
        <f>IFERROR(__xludf.DUMMYFUNCTION("""COMPUTED_VALUE"""),"格納済み")</f>
        <v>格納済み</v>
      </c>
      <c r="U1437" s="15" t="str">
        <f>IFERROR(__xludf.DUMMYFUNCTION("""COMPUTED_VALUE"""),"©平田トウエイ／COMICSMART INC.")</f>
        <v>©平田トウエイ／COMICSMART INC.</v>
      </c>
      <c r="V1437" s="8" t="str">
        <f>IFERROR(__xludf.DUMMYFUNCTION("""COMPUTED_VALUE"""),"アンシンマート中央東通り店店長、田中寿。日々の仕事に疲れ、「どっか…遠～～～～くに行きてぇええ…」と考えると、そこはまさかの異世界！？勇者田中はコンビニスキルで世界を救うことができるのか！？平田トウエイ先生の新作、異世界ギャグ漫画開幕！！（著者名： 平田トウエイ /初出：GANMA!1話掲載分）")</f>
        <v>アンシンマート中央東通り店店長、田中寿。日々の仕事に疲れ、「どっか…遠～～～～くに行きてぇええ…」と考えると、そこはまさかの異世界！？勇者田中はコンビニスキルで世界を救うことができるのか！？平田トウエイ先生の新作、異世界ギャグ漫画開幕！！（著者名： 平田トウエイ /初出：GANMA!1話掲載分）</v>
      </c>
      <c r="W1437" s="14"/>
      <c r="X1437" s="14" t="str">
        <f>IFERROR(__xludf.DUMMYFUNCTION("""COMPUTED_VALUE"""),"有")</f>
        <v>有</v>
      </c>
      <c r="Y1437" s="8" t="str">
        <f>IFERROR(__xludf.DUMMYFUNCTION("""COMPUTED_VALUE"""),"１～4巻：P5まで")</f>
        <v>１～4巻：P5まで</v>
      </c>
      <c r="Z1437" s="7"/>
      <c r="AA1437" s="7"/>
      <c r="AB1437" s="7"/>
    </row>
    <row r="1438" ht="105.0" customHeight="1">
      <c r="A1438" s="26">
        <f>IFERROR(__xludf.DUMMYFUNCTION("""COMPUTED_VALUE"""),2907.0)</f>
        <v>2907</v>
      </c>
      <c r="B1438" s="22" t="str">
        <f>IFERROR(__xludf.DUMMYFUNCTION("""COMPUTED_VALUE"""),"確定")</f>
        <v>確定</v>
      </c>
      <c r="C1438" s="28">
        <f>IFERROR(__xludf.DUMMYFUNCTION("""COMPUTED_VALUE"""),45322.0)</f>
        <v>45322</v>
      </c>
      <c r="D1438" s="28">
        <f>IFERROR(__xludf.DUMMYFUNCTION("""COMPUTED_VALUE"""),45406.0)</f>
        <v>45406</v>
      </c>
      <c r="E1438" s="26">
        <f>IFERROR(__xludf.DUMMYFUNCTION("""COMPUTED_VALUE"""),292381.0)</f>
        <v>292381</v>
      </c>
      <c r="F1438" s="46" t="str">
        <f>IFERROR(__xludf.DUMMYFUNCTION("""COMPUTED_VALUE"""),"キミの前でキミ以外を抱く【単話版】")</f>
        <v>キミの前でキミ以外を抱く【単話版】</v>
      </c>
      <c r="G1438" s="16" t="str">
        <f>IFERROR(__xludf.DUMMYFUNCTION("""COMPUTED_VALUE"""),"1～5")</f>
        <v>1～5</v>
      </c>
      <c r="H1438" s="22" t="str">
        <f>IFERROR(__xludf.DUMMYFUNCTION("""COMPUTED_VALUE"""),"なかお")</f>
        <v>なかお</v>
      </c>
      <c r="I1438" s="22" t="str">
        <f>IFERROR(__xludf.DUMMYFUNCTION("""COMPUTED_VALUE"""),"青年")</f>
        <v>青年</v>
      </c>
      <c r="J1438" s="22"/>
      <c r="K1438" s="22"/>
      <c r="L1438" s="22" t="str">
        <f>IFERROR(__xludf.DUMMYFUNCTION("""COMPUTED_VALUE"""),"GANMA!")</f>
        <v>GANMA!</v>
      </c>
      <c r="M1438" s="23">
        <f>IFERROR(__xludf.DUMMYFUNCTION("""COMPUTED_VALUE"""),45413.0)</f>
        <v>45413</v>
      </c>
      <c r="N1438" s="37" t="str">
        <f>IFERROR(__xludf.DUMMYFUNCTION("""COMPUTED_VALUE"""),"初回2か月先行予定")</f>
        <v>初回2か月先行予定</v>
      </c>
      <c r="O1438" s="20"/>
      <c r="P1438" s="34" t="str">
        <f>IFERROR(__xludf.DUMMYFUNCTION("""COMPUTED_VALUE"""),"可")</f>
        <v>可</v>
      </c>
      <c r="Q1438" s="30" t="str">
        <f>IFERROR(__xludf.DUMMYFUNCTION("""COMPUTED_VALUE"""),"広告コミットOK(2/2)")</f>
        <v>広告コミットOK(2/2)</v>
      </c>
      <c r="R1438" s="22"/>
      <c r="S1438" s="22" t="str">
        <f>IFERROR(__xludf.DUMMYFUNCTION("""COMPUTED_VALUE"""),"20240423_GANMA!_キミの前でキミ以外を抱く")</f>
        <v>20240423_GANMA!_キミの前でキミ以外を抱く</v>
      </c>
      <c r="T1438" s="22" t="str">
        <f>IFERROR(__xludf.DUMMYFUNCTION("""COMPUTED_VALUE"""),"格納済み")</f>
        <v>格納済み</v>
      </c>
      <c r="U1438" s="15" t="str">
        <f>IFERROR(__xludf.DUMMYFUNCTION("""COMPUTED_VALUE"""),"©なかお／COMICSMART INC.")</f>
        <v>©なかお／COMICSMART INC.</v>
      </c>
      <c r="V1438" s="8" t="str">
        <f>IFERROR(__xludf.DUMMYFUNCTION("""COMPUTED_VALUE"""),"「幸治くんと他の女の子とのセックスを見たいの」精神と肉体を追い詰められていくのに、彼女に好かれたい気持ちが抑えられない…（著者名： なかお /初出：GANMA!1話掲載分）")</f>
        <v>「幸治くんと他の女の子とのセックスを見たいの」精神と肉体を追い詰められていくのに、彼女に好かれたい気持ちが抑えられない…（著者名： なかお /初出：GANMA!1話掲載分）</v>
      </c>
      <c r="W1438" s="14"/>
      <c r="X1438" s="14" t="str">
        <f>IFERROR(__xludf.DUMMYFUNCTION("""COMPUTED_VALUE"""),"有")</f>
        <v>有</v>
      </c>
      <c r="Y1438" s="8" t="str">
        <f>IFERROR(__xludf.DUMMYFUNCTION("""COMPUTED_VALUE"""),"１～５巻：P5まで")</f>
        <v>１～５巻：P5まで</v>
      </c>
      <c r="Z1438" s="7"/>
      <c r="AA1438" s="7"/>
      <c r="AB1438" s="7"/>
    </row>
    <row r="1439" ht="15.75" customHeight="1">
      <c r="A1439" s="26">
        <f>IFERROR(__xludf.DUMMYFUNCTION("""COMPUTED_VALUE"""),3081.0)</f>
        <v>3081</v>
      </c>
      <c r="B1439" s="22" t="str">
        <f>IFERROR(__xludf.DUMMYFUNCTION("""COMPUTED_VALUE"""),"確定")</f>
        <v>確定</v>
      </c>
      <c r="C1439" s="28">
        <f>IFERROR(__xludf.DUMMYFUNCTION("""COMPUTED_VALUE"""),45362.0)</f>
        <v>45362</v>
      </c>
      <c r="D1439" s="28">
        <f>IFERROR(__xludf.DUMMYFUNCTION("""COMPUTED_VALUE"""),45405.0)</f>
        <v>45405</v>
      </c>
      <c r="E1439" s="26">
        <f>IFERROR(__xludf.DUMMYFUNCTION("""COMPUTED_VALUE"""),292998.0)</f>
        <v>292998</v>
      </c>
      <c r="F1439" s="22" t="str">
        <f>IFERROR(__xludf.DUMMYFUNCTION("""COMPUTED_VALUE"""),"恋愛遺伝子欠乏症 特効薬は御曹司!?")</f>
        <v>恋愛遺伝子欠乏症 特効薬は御曹司!?</v>
      </c>
      <c r="G1439" s="20" t="str">
        <f>IFERROR(__xludf.DUMMYFUNCTION("""COMPUTED_VALUE"""),"1~3")</f>
        <v>1~3</v>
      </c>
      <c r="H1439" s="22" t="str">
        <f>IFERROR(__xludf.DUMMYFUNCTION("""COMPUTED_VALUE"""),"漫画：流花／原作：ひらび 久美")</f>
        <v>漫画：流花／原作：ひらび 久美</v>
      </c>
      <c r="I1439" s="22" t="str">
        <f>IFERROR(__xludf.DUMMYFUNCTION("""COMPUTED_VALUE"""),"女性")</f>
        <v>女性</v>
      </c>
      <c r="J1439" s="22"/>
      <c r="K1439" s="22"/>
      <c r="L1439" s="22" t="str">
        <f>IFERROR(__xludf.DUMMYFUNCTION("""COMPUTED_VALUE"""),"竹書房")</f>
        <v>竹書房</v>
      </c>
      <c r="M1439" s="23">
        <f>IFERROR(__xludf.DUMMYFUNCTION("""COMPUTED_VALUE"""),45427.0)</f>
        <v>45427</v>
      </c>
      <c r="N1439" s="23">
        <f>IFERROR(__xludf.DUMMYFUNCTION("""COMPUTED_VALUE"""),45487.0)</f>
        <v>45487</v>
      </c>
      <c r="O1439" s="20"/>
      <c r="P1439" s="34" t="str">
        <f>IFERROR(__xludf.DUMMYFUNCTION("""COMPUTED_VALUE"""),"可")</f>
        <v>可</v>
      </c>
      <c r="Q1439" s="31" t="str">
        <f>IFERROR(__xludf.DUMMYFUNCTION("""COMPUTED_VALUE"""),"初回配信話数は3話となりますので、3話分の素材使用お願いします")</f>
        <v>初回配信話数は3話となりますので、3話分の素材使用お願いします</v>
      </c>
      <c r="R1439" s="22" t="str">
        <f>IFERROR(__xludf.DUMMYFUNCTION("""COMPUTED_VALUE"""),"格納済")</f>
        <v>格納済</v>
      </c>
      <c r="S1439" s="22" t="str">
        <f>IFERROR(__xludf.DUMMYFUNCTION("""COMPUTED_VALUE"""),"20240423_竹書房_恋愛遺伝子欠乏症")</f>
        <v>20240423_竹書房_恋愛遺伝子欠乏症</v>
      </c>
      <c r="T1439" s="22" t="str">
        <f>IFERROR(__xludf.DUMMYFUNCTION("""COMPUTED_VALUE"""),"格納済み")</f>
        <v>格納済み</v>
      </c>
      <c r="U1439" s="15" t="str">
        <f>IFERROR(__xludf.DUMMYFUNCTION("""COMPUTED_VALUE"""),"(C)ひらび久美・流花／竹書房")</f>
        <v>(C)ひらび久美・流花／竹書房</v>
      </c>
      <c r="V1439" s="8" t="str">
        <f>IFERROR(__xludf.DUMMYFUNCTION("""COMPUTED_VALUE"""),"地味で真面目なOL坪井亜莉沙のあだ名は「局さん」。男性恐怖症の彼女は、男性が近づくのを避けるため、周囲には遠距離恋愛中の彼がいると嘘をついている。ある日、残業をしている亜莉沙の前に、不躾で強引な男が現れた。初対面なのに、彼女が「局」と呼ばれていることを知っていたその男は、転勤で東京にやってきた企画営業部長で、副社長の息子。彼は亜莉沙を「恋愛遺伝子欠乏症」と決めつけ、お互いのメリットのために自分の恋人のふりをしろと迫る…。【同名の蜜夢文庫「恋愛遺伝子欠乏症 特効薬は御曹司!?」をコミカライズ！】")</f>
        <v>地味で真面目なOL坪井亜莉沙のあだ名は「局さん」。男性恐怖症の彼女は、男性が近づくのを避けるため、周囲には遠距離恋愛中の彼がいると嘘をついている。ある日、残業をしている亜莉沙の前に、不躾で強引な男が現れた。初対面なのに、彼女が「局」と呼ばれていることを知っていたその男は、転勤で東京にやってきた企画営業部長で、副社長の息子。彼は亜莉沙を「恋愛遺伝子欠乏症」と決めつけ、お互いのメリットのために自分の恋人のふりをしろと迫る…。【同名の蜜夢文庫「恋愛遺伝子欠乏症 特効薬は御曹司!?」をコミカライズ！】</v>
      </c>
      <c r="W1439" s="14"/>
      <c r="X1439" s="14" t="str">
        <f>IFERROR(__xludf.DUMMYFUNCTION("""COMPUTED_VALUE"""),"有")</f>
        <v>有</v>
      </c>
      <c r="Y1439" s="8" t="str">
        <f>IFERROR(__xludf.DUMMYFUNCTION("""COMPUTED_VALUE"""),"2024/5/28まで1巻無料")</f>
        <v>2024/5/28まで1巻無料</v>
      </c>
      <c r="Z1439" s="7"/>
      <c r="AA1439" s="7"/>
      <c r="AB1439" s="7"/>
    </row>
    <row r="1440" ht="15.75" customHeight="1">
      <c r="A1440" s="26">
        <f>IFERROR(__xludf.DUMMYFUNCTION("""COMPUTED_VALUE"""),3082.0)</f>
        <v>3082</v>
      </c>
      <c r="B1440" s="22" t="str">
        <f>IFERROR(__xludf.DUMMYFUNCTION("""COMPUTED_VALUE"""),"確定")</f>
        <v>確定</v>
      </c>
      <c r="C1440" s="28">
        <f>IFERROR(__xludf.DUMMYFUNCTION("""COMPUTED_VALUE"""),45362.0)</f>
        <v>45362</v>
      </c>
      <c r="D1440" s="28">
        <f>IFERROR(__xludf.DUMMYFUNCTION("""COMPUTED_VALUE"""),45405.0)</f>
        <v>45405</v>
      </c>
      <c r="E1440" s="26">
        <f>IFERROR(__xludf.DUMMYFUNCTION("""COMPUTED_VALUE"""),293852.0)</f>
        <v>293852</v>
      </c>
      <c r="F1440" s="46" t="str">
        <f>IFERROR(__xludf.DUMMYFUNCTION("""COMPUTED_VALUE"""),"堅物な聖騎士ですが、前世で一目惚れされた魔王にしつこく愛されています【短編】")</f>
        <v>堅物な聖騎士ですが、前世で一目惚れされた魔王にしつこく愛されています【短編】</v>
      </c>
      <c r="G1440" s="20" t="str">
        <f>IFERROR(__xludf.DUMMYFUNCTION("""COMPUTED_VALUE"""),"1~3")</f>
        <v>1~3</v>
      </c>
      <c r="H1440" s="22" t="str">
        <f>IFERROR(__xludf.DUMMYFUNCTION("""COMPUTED_VALUE"""),"漫画：小豆夜桃のん／原作：臣桜")</f>
        <v>漫画：小豆夜桃のん／原作：臣桜</v>
      </c>
      <c r="I1440" s="22" t="str">
        <f>IFERROR(__xludf.DUMMYFUNCTION("""COMPUTED_VALUE"""),"女性")</f>
        <v>女性</v>
      </c>
      <c r="J1440" s="22"/>
      <c r="K1440" s="22"/>
      <c r="L1440" s="22" t="str">
        <f>IFERROR(__xludf.DUMMYFUNCTION("""COMPUTED_VALUE"""),"竹書房")</f>
        <v>竹書房</v>
      </c>
      <c r="M1440" s="23">
        <f>IFERROR(__xludf.DUMMYFUNCTION("""COMPUTED_VALUE"""),45427.0)</f>
        <v>45427</v>
      </c>
      <c r="N1440" s="23">
        <f>IFERROR(__xludf.DUMMYFUNCTION("""COMPUTED_VALUE"""),45487.0)</f>
        <v>45487</v>
      </c>
      <c r="O1440" s="20"/>
      <c r="P1440" s="34" t="str">
        <f>IFERROR(__xludf.DUMMYFUNCTION("""COMPUTED_VALUE"""),"可")</f>
        <v>可</v>
      </c>
      <c r="Q1440" s="31" t="str">
        <f>IFERROR(__xludf.DUMMYFUNCTION("""COMPUTED_VALUE"""),"広告コミットOK(3/18)&lt;BR&gt;素材格納は6話分ありますが、初回配信は3話となります。")</f>
        <v>広告コミットOK(3/18)&lt;BR&gt;素材格納は6話分ありますが、初回配信は3話となります。</v>
      </c>
      <c r="R1440" s="22" t="str">
        <f>IFERROR(__xludf.DUMMYFUNCTION("""COMPUTED_VALUE"""),"格納済")</f>
        <v>格納済</v>
      </c>
      <c r="S1440" s="22" t="str">
        <f>IFERROR(__xludf.DUMMYFUNCTION("""COMPUTED_VALUE"""),"20240423_竹書房_堅物な聖騎士")</f>
        <v>20240423_竹書房_堅物な聖騎士</v>
      </c>
      <c r="T1440" s="22" t="str">
        <f>IFERROR(__xludf.DUMMYFUNCTION("""COMPUTED_VALUE"""),"格納済み")</f>
        <v>格納済み</v>
      </c>
      <c r="U1440" s="15" t="str">
        <f>IFERROR(__xludf.DUMMYFUNCTION("""COMPUTED_VALUE"""),"(C)臣桜・小豆夜桃のん／竹書房")</f>
        <v>(C)臣桜・小豆夜桃のん／竹書房</v>
      </c>
      <c r="V1440" s="8" t="str">
        <f>IFERROR(__xludf.DUMMYFUNCTION("""COMPUTED_VALUE"""),"聖騎士ベアトリクスは、聖王女の巡礼に同行していたが、道中魔物の群れに襲われ辿り着いた先は魔王城だった…【人間界を守るため魔王と契約結婚!?触手にも甘い愛撫にも負けません！三百年間ある女性を待ち続けたイケメン魔王×前世で魔王を封じたらしい女聖騎士。同名のムーンドロップス「堅物な聖騎士ですが、前世で一目惚れされた魔王にしつこく愛されています」をコミカライズ！】")</f>
        <v>聖騎士ベアトリクスは、聖王女の巡礼に同行していたが、道中魔物の群れに襲われ辿り着いた先は魔王城だった…【人間界を守るため魔王と契約結婚!?触手にも甘い愛撫にも負けません！三百年間ある女性を待ち続けたイケメン魔王×前世で魔王を封じたらしい女聖騎士。同名のムーンドロップス「堅物な聖騎士ですが、前世で一目惚れされた魔王にしつこく愛されています」をコミカライズ！】</v>
      </c>
      <c r="W1440" s="14"/>
      <c r="X1440" s="14" t="str">
        <f>IFERROR(__xludf.DUMMYFUNCTION("""COMPUTED_VALUE"""),"有")</f>
        <v>有</v>
      </c>
      <c r="Y1440" s="8" t="str">
        <f>IFERROR(__xludf.DUMMYFUNCTION("""COMPUTED_VALUE"""),"2024/5/28まで1巻無料")</f>
        <v>2024/5/28まで1巻無料</v>
      </c>
      <c r="Z1440" s="7"/>
      <c r="AA1440" s="7"/>
      <c r="AB1440" s="7"/>
    </row>
    <row r="1441" ht="15.75" customHeight="1">
      <c r="A1441" s="26">
        <f>IFERROR(__xludf.DUMMYFUNCTION("""COMPUTED_VALUE"""),3090.0)</f>
        <v>3090</v>
      </c>
      <c r="B1441" s="22" t="str">
        <f>IFERROR(__xludf.DUMMYFUNCTION("""COMPUTED_VALUE"""),"確定")</f>
        <v>確定</v>
      </c>
      <c r="C1441" s="28">
        <f>IFERROR(__xludf.DUMMYFUNCTION("""COMPUTED_VALUE"""),45363.0)</f>
        <v>45363</v>
      </c>
      <c r="D1441" s="28">
        <f>IFERROR(__xludf.DUMMYFUNCTION("""COMPUTED_VALUE"""),45406.0)</f>
        <v>45406</v>
      </c>
      <c r="E1441" s="26">
        <f>IFERROR(__xludf.DUMMYFUNCTION("""COMPUTED_VALUE"""),293238.0)</f>
        <v>293238</v>
      </c>
      <c r="F1441" s="22" t="str">
        <f>IFERROR(__xludf.DUMMYFUNCTION("""COMPUTED_VALUE"""),"キスと、それから")</f>
        <v>キスと、それから</v>
      </c>
      <c r="G1441" s="11" t="str">
        <f>IFERROR(__xludf.DUMMYFUNCTION("""COMPUTED_VALUE"""),"1～2")</f>
        <v>1～2</v>
      </c>
      <c r="H1441" s="22" t="str">
        <f>IFERROR(__xludf.DUMMYFUNCTION("""COMPUTED_VALUE"""),"ハノタノハ")</f>
        <v>ハノタノハ</v>
      </c>
      <c r="I1441" s="22" t="str">
        <f>IFERROR(__xludf.DUMMYFUNCTION("""COMPUTED_VALUE"""),"BL")</f>
        <v>BL</v>
      </c>
      <c r="J1441" s="22"/>
      <c r="K1441" s="22"/>
      <c r="L1441" s="22" t="str">
        <f>IFERROR(__xludf.DUMMYFUNCTION("""COMPUTED_VALUE"""),"CLLENN")</f>
        <v>CLLENN</v>
      </c>
      <c r="M1441" s="23">
        <f>IFERROR(__xludf.DUMMYFUNCTION("""COMPUTED_VALUE"""),45442.0)</f>
        <v>45442</v>
      </c>
      <c r="N1441" s="47">
        <f>IFERROR(__xludf.DUMMYFUNCTION("""COMPUTED_VALUE"""),45504.0)</f>
        <v>45504</v>
      </c>
      <c r="O1441" s="20"/>
      <c r="P1441" s="34" t="str">
        <f>IFERROR(__xludf.DUMMYFUNCTION("""COMPUTED_VALUE"""),"可")</f>
        <v>可</v>
      </c>
      <c r="Q1441" s="31" t="str">
        <f>IFERROR(__xludf.DUMMYFUNCTION("""COMPUTED_VALUE"""),"広告コミットOK(3/14)")</f>
        <v>広告コミットOK(3/14)</v>
      </c>
      <c r="R1441" s="22" t="str">
        <f>IFERROR(__xludf.DUMMYFUNCTION("""COMPUTED_VALUE"""),"格納済")</f>
        <v>格納済</v>
      </c>
      <c r="S1441" s="22" t="str">
        <f>IFERROR(__xludf.DUMMYFUNCTION("""COMPUTED_VALUE"""),"20240424_CLLENN_キスと、それから")</f>
        <v>20240424_CLLENN_キスと、それから</v>
      </c>
      <c r="T1441" s="22" t="str">
        <f>IFERROR(__xludf.DUMMYFUNCTION("""COMPUTED_VALUE"""),"格納済み")</f>
        <v>格納済み</v>
      </c>
      <c r="U1441" s="15" t="str">
        <f>IFERROR(__xludf.DUMMYFUNCTION("""COMPUTED_VALUE"""),"ⓒハノタノハ/CLLENN")</f>
        <v>ⓒハノタノハ/CLLENN</v>
      </c>
      <c r="V1441" s="8" t="str">
        <f>IFERROR(__xludf.DUMMYFUNCTION("""COMPUTED_VALUE"""),"「童貞を捨てたい」――そう思っていたはずなのに、なぜか幼馴染の男とトロトロになるくらいのキスしてた…！？彼女を作っていろいろ経験してみたい、THE平凡な学生・優(ゆう)。友人たちにその悩みを相談していたところ、幼馴染であり初恋相手でもある、千遥(ちはる)を薦められる。けれど、千遥の性別は男！友人に揶揄われたと不貞腐れる優に、千遥は「面白そうじゃん恋人ごっこ、やってみない？」と言い…。優が“恋人としたいこと”――デート、手をつなぐ、抱きしめる、それからキス。最初はやさしく触れていただけなのに、千遥のキスはじ"&amp;"ょじょに激しく執拗になっていき、いつの間にか身体も甘く蕩けさせられて――。長髪美形クォーター男子×平凡男子の、キスから始まるむずキュンらぶ！！")</f>
        <v>「童貞を捨てたい」――そう思っていたはずなのに、なぜか幼馴染の男とトロトロになるくらいのキスしてた…！？彼女を作っていろいろ経験してみたい、THE平凡な学生・優(ゆう)。友人たちにその悩みを相談していたところ、幼馴染であり初恋相手でもある、千遥(ちはる)を薦められる。けれど、千遥の性別は男！友人に揶揄われたと不貞腐れる優に、千遥は「面白そうじゃん恋人ごっこ、やってみない？」と言い…。優が“恋人としたいこと”――デート、手をつなぐ、抱きしめる、それからキス。最初はやさしく触れていただけなのに、千遥のキスはじょじょに激しく執拗になっていき、いつの間にか身体も甘く蕩けさせられて――。長髪美形クォーター男子×平凡男子の、キスから始まるむずキュンらぶ！！</v>
      </c>
      <c r="W1441" s="8"/>
      <c r="X1441" s="14" t="str">
        <f>IFERROR(__xludf.DUMMYFUNCTION("""COMPUTED_VALUE"""),"有")</f>
        <v>有</v>
      </c>
      <c r="Y1441" s="8" t="str">
        <f>IFERROR(__xludf.DUMMYFUNCTION("""COMPUTED_VALUE"""),"2024/6/12まで立ち読み増量P16まで")</f>
        <v>2024/6/12まで立ち読み増量P16まで</v>
      </c>
      <c r="Z1441" s="7"/>
      <c r="AA1441" s="7"/>
      <c r="AB1441" s="7"/>
    </row>
    <row r="1442" ht="15.75" customHeight="1">
      <c r="A1442" s="26">
        <f>IFERROR(__xludf.DUMMYFUNCTION("""COMPUTED_VALUE"""),3107.0)</f>
        <v>3107</v>
      </c>
      <c r="B1442" s="22" t="str">
        <f>IFERROR(__xludf.DUMMYFUNCTION("""COMPUTED_VALUE"""),"確定")</f>
        <v>確定</v>
      </c>
      <c r="C1442" s="28">
        <f>IFERROR(__xludf.DUMMYFUNCTION("""COMPUTED_VALUE"""),45366.0)</f>
        <v>45366</v>
      </c>
      <c r="D1442" s="28">
        <f>IFERROR(__xludf.DUMMYFUNCTION("""COMPUTED_VALUE"""),45404.0)</f>
        <v>45404</v>
      </c>
      <c r="E1442" s="26">
        <f>IFERROR(__xludf.DUMMYFUNCTION("""COMPUTED_VALUE"""),292930.0)</f>
        <v>292930</v>
      </c>
      <c r="F1442" s="22" t="str">
        <f>IFERROR(__xludf.DUMMYFUNCTION("""COMPUTED_VALUE"""),"鬼神村～神の末裔×贄の少女～")</f>
        <v>鬼神村～神の末裔×贄の少女～</v>
      </c>
      <c r="G1442" s="20" t="str">
        <f>IFERROR(__xludf.DUMMYFUNCTION("""COMPUTED_VALUE"""),"1~5")</f>
        <v>1~5</v>
      </c>
      <c r="H1442" s="22" t="str">
        <f>IFERROR(__xludf.DUMMYFUNCTION("""COMPUTED_VALUE"""),"堀田阿伴┴さきっちょだけ!")</f>
        <v>堀田阿伴┴さきっちょだけ!</v>
      </c>
      <c r="I1442" s="22" t="str">
        <f>IFERROR(__xludf.DUMMYFUNCTION("""COMPUTED_VALUE"""),"オトナ")</f>
        <v>オトナ</v>
      </c>
      <c r="J1442" s="22"/>
      <c r="K1442" s="22"/>
      <c r="L1442" s="22" t="str">
        <f>IFERROR(__xludf.DUMMYFUNCTION("""COMPUTED_VALUE"""),"ブリック出版")</f>
        <v>ブリック出版</v>
      </c>
      <c r="M1442" s="23">
        <f>IFERROR(__xludf.DUMMYFUNCTION("""COMPUTED_VALUE"""),45436.0)</f>
        <v>45436</v>
      </c>
      <c r="N1442" s="23">
        <f>IFERROR(__xludf.DUMMYFUNCTION("""COMPUTED_VALUE"""),45498.0)</f>
        <v>45498</v>
      </c>
      <c r="O1442" s="20"/>
      <c r="P1442" s="34" t="str">
        <f>IFERROR(__xludf.DUMMYFUNCTION("""COMPUTED_VALUE"""),"可")</f>
        <v>可</v>
      </c>
      <c r="Q1442" s="30" t="str">
        <f>IFERROR(__xludf.DUMMYFUNCTION("""COMPUTED_VALUE"""),"広告コミットOK(3/26)")</f>
        <v>広告コミットOK(3/26)</v>
      </c>
      <c r="R1442" s="22"/>
      <c r="S1442" s="22" t="str">
        <f>IFERROR(__xludf.DUMMYFUNCTION("""COMPUTED_VALUE"""),"20240422_BookLive_鬼神村～神の末裔×贄の少女～")</f>
        <v>20240422_BookLive_鬼神村～神の末裔×贄の少女～</v>
      </c>
      <c r="T1442" s="22" t="str">
        <f>IFERROR(__xludf.DUMMYFUNCTION("""COMPUTED_VALUE"""),"格納済み")</f>
        <v>格納済み</v>
      </c>
      <c r="U1442" s="15" t="str">
        <f>IFERROR(__xludf.DUMMYFUNCTION("""COMPUTED_VALUE"""),"(C)ブリック出版")</f>
        <v>(C)ブリック出版</v>
      </c>
      <c r="V1442" s="8" t="str">
        <f>IFERROR(__xludf.DUMMYFUNCTION("""COMPUTED_VALUE"""),"鬼神の一族を救えるのは、贄の一族だけ。
これは、鬼神と呼ばれる神がいた村で行われる、
現代へと続く因習と信仰の物語。
──199×年。
交通事故で両親を亡くし、天涯孤独となった主人公。
養子として引き取られていた彼女の受け皿になりたい者はいない。
しかし、そんな中ある中年男が名乗りをあげる。
怪しい中年男に手を引かれる最中、それを止めたのは布袍(ふほう)を着た長身の男だった。
「…こんにちは」
人口1000人程度の山村で住職をしている百鬼京丞(なきり　きょうすけ)は、
傷ついた主人公の"&amp;"心に寄り添い、村に温かく迎え入れてくれた。
──だが、夜毎　百鬼は主人公の部屋に訪れる。
人間には到底あるはずもない、「鬼」のような角を宿して─。
彼は主人公に何をするわけでもなく、ただ一人精を発していくだけ。
目を開けるかどうか、どうしてこんなことをするのか。
何故、そんな姿をしているのか。
けれど、言葉を発する前に寝たふりをしていることがバレてしまい──
そして、百鬼は言った。
「……起きていますね、──さん」
■鬼神村
遠い昔、鬼神と呼ばれる者たちが作った村。
今でも鬼神信仰は"&amp;"続いており、
鬼神の子孫とされる者たちは村人から尊ばれ、
村を守るための存在だと思われている。
いつのまにか贄を捧げる生贄信仰は消えていたようだが…?
※本作は堀田阿伴の個人誌作品の電子書籍版となります。【27ページ】")</f>
        <v>鬼神の一族を救えるのは、贄の一族だけ。
これは、鬼神と呼ばれる神がいた村で行われる、
現代へと続く因習と信仰の物語。
──199×年。
交通事故で両親を亡くし、天涯孤独となった主人公。
養子として引き取られていた彼女の受け皿になりたい者はいない。
しかし、そんな中ある中年男が名乗りをあげる。
怪しい中年男に手を引かれる最中、それを止めたのは布袍(ふほう)を着た長身の男だった。
「…こんにちは」
人口1000人程度の山村で住職をしている百鬼京丞(なきり　きょうすけ)は、
傷ついた主人公の心に寄り添い、村に温かく迎え入れてくれた。
──だが、夜毎　百鬼は主人公の部屋に訪れる。
人間には到底あるはずもない、「鬼」のような角を宿して─。
彼は主人公に何をするわけでもなく、ただ一人精を発していくだけ。
目を開けるかどうか、どうしてこんなことをするのか。
何故、そんな姿をしているのか。
けれど、言葉を発する前に寝たふりをしていることがバレてしまい──
そして、百鬼は言った。
「……起きていますね、──さん」
■鬼神村
遠い昔、鬼神と呼ばれる者たちが作った村。
今でも鬼神信仰は続いており、
鬼神の子孫とされる者たちは村人から尊ばれ、
村を守るための存在だと思われている。
いつのまにか贄を捧げる生贄信仰は消えていたようだが…?
※本作は堀田阿伴の個人誌作品の電子書籍版となります。【27ページ】</v>
      </c>
      <c r="W1442" s="14"/>
      <c r="X1442" s="14" t="str">
        <f>IFERROR(__xludf.DUMMYFUNCTION("""COMPUTED_VALUE"""),"有")</f>
        <v>有</v>
      </c>
      <c r="Y1442" s="8" t="str">
        <f>IFERROR(__xludf.DUMMYFUNCTION("""COMPUTED_VALUE"""),"P5まで")</f>
        <v>P5まで</v>
      </c>
      <c r="Z1442" s="7"/>
      <c r="AA1442" s="7"/>
      <c r="AB1442" s="7"/>
    </row>
    <row r="1443" ht="15.75" customHeight="1">
      <c r="A1443" s="26">
        <f>IFERROR(__xludf.DUMMYFUNCTION("""COMPUTED_VALUE"""),3147.0)</f>
        <v>3147</v>
      </c>
      <c r="B1443" s="22" t="str">
        <f>IFERROR(__xludf.DUMMYFUNCTION("""COMPUTED_VALUE"""),"確定")</f>
        <v>確定</v>
      </c>
      <c r="C1443" s="28">
        <f>IFERROR(__xludf.DUMMYFUNCTION("""COMPUTED_VALUE"""),45373.0)</f>
        <v>45373</v>
      </c>
      <c r="D1443" s="28">
        <f>IFERROR(__xludf.DUMMYFUNCTION("""COMPUTED_VALUE"""),45404.0)</f>
        <v>45404</v>
      </c>
      <c r="E1443" s="26">
        <f>IFERROR(__xludf.DUMMYFUNCTION("""COMPUTED_VALUE"""),292844.0)</f>
        <v>292844</v>
      </c>
      <c r="F1443" s="22" t="str">
        <f>IFERROR(__xludf.DUMMYFUNCTION("""COMPUTED_VALUE"""),"マイミーンアイドル")</f>
        <v>マイミーンアイドル</v>
      </c>
      <c r="G1443" s="11" t="str">
        <f>IFERROR(__xludf.DUMMYFUNCTION("""COMPUTED_VALUE"""),"1～2")</f>
        <v>1～2</v>
      </c>
      <c r="H1443" s="22" t="str">
        <f>IFERROR(__xludf.DUMMYFUNCTION("""COMPUTED_VALUE"""),"会田小路ちょこぷでぃんぐ")</f>
        <v>会田小路ちょこぷでぃんぐ</v>
      </c>
      <c r="I1443" s="22" t="str">
        <f>IFERROR(__xludf.DUMMYFUNCTION("""COMPUTED_VALUE"""),"BL")</f>
        <v>BL</v>
      </c>
      <c r="J1443" s="22"/>
      <c r="K1443" s="22"/>
      <c r="L1443" s="22" t="str">
        <f>IFERROR(__xludf.DUMMYFUNCTION("""COMPUTED_VALUE"""),"CLLENN")</f>
        <v>CLLENN</v>
      </c>
      <c r="M1443" s="23">
        <f>IFERROR(__xludf.DUMMYFUNCTION("""COMPUTED_VALUE"""),45433.0)</f>
        <v>45433</v>
      </c>
      <c r="N1443" s="47">
        <f>IFERROR(__xludf.DUMMYFUNCTION("""COMPUTED_VALUE"""),45488.0)</f>
        <v>45488</v>
      </c>
      <c r="O1443" s="20"/>
      <c r="P1443" s="34" t="str">
        <f>IFERROR(__xludf.DUMMYFUNCTION("""COMPUTED_VALUE"""),"可")</f>
        <v>可</v>
      </c>
      <c r="Q1443" s="31" t="str">
        <f>IFERROR(__xludf.DUMMYFUNCTION("""COMPUTED_VALUE"""),"広告コミットOK(3/27)")</f>
        <v>広告コミットOK(3/27)</v>
      </c>
      <c r="R1443" s="22" t="str">
        <f>IFERROR(__xludf.DUMMYFUNCTION("""COMPUTED_VALUE"""),"格納済")</f>
        <v>格納済</v>
      </c>
      <c r="S1443" s="22" t="str">
        <f>IFERROR(__xludf.DUMMYFUNCTION("""COMPUTED_VALUE"""),"20240422_CLLENN_マイミーンアイドル")</f>
        <v>20240422_CLLENN_マイミーンアイドル</v>
      </c>
      <c r="T1443" s="22" t="str">
        <f>IFERROR(__xludf.DUMMYFUNCTION("""COMPUTED_VALUE"""),"格納済み")</f>
        <v>格納済み</v>
      </c>
      <c r="U1443" s="15" t="str">
        <f>IFERROR(__xludf.DUMMYFUNCTION("""COMPUTED_VALUE"""),"ⓒ会田小路ちょこぷでぃんぐ/CLLENN")</f>
        <v>ⓒ会田小路ちょこぷでぃんぐ/CLLENN</v>
      </c>
      <c r="V1443" s="8" t="str">
        <f>IFERROR(__xludf.DUMMYFUNCTION("""COMPUTED_VALUE"""),"「みんなの前でちゃんとしたアイドルでいるために、千紘（ちひろ）の前では■■■■■■でごめんね？」お人好しで流されやすい真面目な大学生・千紘は、高校の時から同級生の人気アイドル・白亜（はくあ）の活躍をつい目で追ってしまう日々を過ごしていた。品行方正、仕事も学業も完璧にこなす白亜なのに、とある授業中…え、勃起してる…！？――「俺の性欲処理に付き合ってくれない？」白亜からの提案に、流されやすい僕は――！この気持ちは恋？それとも流されている？？キラキラアイドルからの甘く拗れた執着が止まらない！！ハッピーあまえろラ"&amp;"ブコメディ！！")</f>
        <v>「みんなの前でちゃんとしたアイドルでいるために、千紘（ちひろ）の前では■■■■■■でごめんね？」お人好しで流されやすい真面目な大学生・千紘は、高校の時から同級生の人気アイドル・白亜（はくあ）の活躍をつい目で追ってしまう日々を過ごしていた。品行方正、仕事も学業も完璧にこなす白亜なのに、とある授業中…え、勃起してる…！？――「俺の性欲処理に付き合ってくれない？」白亜からの提案に、流されやすい僕は――！この気持ちは恋？それとも流されている？？キラキラアイドルからの甘く拗れた執着が止まらない！！ハッピーあまえろラブコメディ！！</v>
      </c>
      <c r="W1443" s="14"/>
      <c r="X1443" s="14" t="str">
        <f>IFERROR(__xludf.DUMMYFUNCTION("""COMPUTED_VALUE"""),"有")</f>
        <v>有</v>
      </c>
      <c r="Y1443" s="8" t="str">
        <f>IFERROR(__xludf.DUMMYFUNCTION("""COMPUTED_VALUE"""),"P10まで")</f>
        <v>P10まで</v>
      </c>
      <c r="Z1443" s="7"/>
      <c r="AA1443" s="7"/>
      <c r="AB1443" s="7"/>
    </row>
    <row r="1444" ht="15.75" customHeight="1">
      <c r="A1444" s="26">
        <f>IFERROR(__xludf.DUMMYFUNCTION("""COMPUTED_VALUE"""),3153.0)</f>
        <v>3153</v>
      </c>
      <c r="B1444" s="22" t="str">
        <f>IFERROR(__xludf.DUMMYFUNCTION("""COMPUTED_VALUE"""),"確定")</f>
        <v>確定</v>
      </c>
      <c r="C1444" s="28">
        <f>IFERROR(__xludf.DUMMYFUNCTION("""COMPUTED_VALUE"""),45373.0)</f>
        <v>45373</v>
      </c>
      <c r="D1444" s="28">
        <f>IFERROR(__xludf.DUMMYFUNCTION("""COMPUTED_VALUE"""),45401.0)</f>
        <v>45401</v>
      </c>
      <c r="E1444" s="26">
        <f>IFERROR(__xludf.DUMMYFUNCTION("""COMPUTED_VALUE"""),292234.0)</f>
        <v>292234</v>
      </c>
      <c r="F1444" s="22" t="str">
        <f>IFERROR(__xludf.DUMMYFUNCTION("""COMPUTED_VALUE"""),"一匹狼の花嫁～結婚当日に「貴女を愛せない」と言っていた旦那さまの様子がおかしいのですが～【分冊版】")</f>
        <v>一匹狼の花嫁～結婚当日に「貴女を愛せない」と言っていた旦那さまの様子がおかしいのですが～【分冊版】</v>
      </c>
      <c r="G1444" s="16" t="str">
        <f>IFERROR(__xludf.DUMMYFUNCTION("""COMPUTED_VALUE"""),"1～3")</f>
        <v>1～3</v>
      </c>
      <c r="H1444" s="22" t="str">
        <f>IFERROR(__xludf.DUMMYFUNCTION("""COMPUTED_VALUE"""),"作画：百迦にごう/原作：Mikura /キャラクター原案：さばるどろ")</f>
        <v>作画：百迦にごう/原作：Mikura /キャラクター原案：さばるどろ</v>
      </c>
      <c r="I1444" s="46" t="str">
        <f>IFERROR(__xludf.DUMMYFUNCTION("""COMPUTED_VALUE"""),"少女")</f>
        <v>少女</v>
      </c>
      <c r="J1444" s="22"/>
      <c r="K1444" s="22"/>
      <c r="L1444" s="22" t="str">
        <f>IFERROR(__xludf.DUMMYFUNCTION("""COMPUTED_VALUE"""),"笠倉出版社")</f>
        <v>笠倉出版社</v>
      </c>
      <c r="M1444" s="23">
        <f>IFERROR(__xludf.DUMMYFUNCTION("""COMPUTED_VALUE"""),45422.0)</f>
        <v>45422</v>
      </c>
      <c r="N1444" s="47">
        <f>IFERROR(__xludf.DUMMYFUNCTION("""COMPUTED_VALUE"""),45513.0)</f>
        <v>45513</v>
      </c>
      <c r="O1444" s="20"/>
      <c r="P1444" s="34" t="str">
        <f>IFERROR(__xludf.DUMMYFUNCTION("""COMPUTED_VALUE"""),"可")</f>
        <v>可</v>
      </c>
      <c r="Q1444" s="35" t="str">
        <f>IFERROR(__xludf.DUMMYFUNCTION("""COMPUTED_VALUE"""),"広告コミットOK(3/28)&lt;BR&gt;・原作（NiμNOVELS）https://www.cmoa.jp/title/1101398338/")</f>
        <v>広告コミットOK(3/28)&lt;BR&gt;・原作（NiμNOVELS）https://www.cmoa.jp/title/1101398338/</v>
      </c>
      <c r="R1444" s="40">
        <f>IFERROR(__xludf.DUMMYFUNCTION("""COMPUTED_VALUE"""),45404.0)</f>
        <v>45404</v>
      </c>
      <c r="S1444" s="22" t="str">
        <f>IFERROR(__xludf.DUMMYFUNCTION("""COMPUTED_VALUE"""),"20240418_笠倉出版社_一匹狼の花嫁")</f>
        <v>20240418_笠倉出版社_一匹狼の花嫁</v>
      </c>
      <c r="T1444" s="22" t="str">
        <f>IFERROR(__xludf.DUMMYFUNCTION("""COMPUTED_VALUE"""),"格納済み")</f>
        <v>格納済み</v>
      </c>
      <c r="U1444" s="15" t="str">
        <f>IFERROR(__xludf.DUMMYFUNCTION("""COMPUTED_VALUE"""),"©百迦にごう/Mikura/さばるどろ/笠倉出版社")</f>
        <v>©百迦にごう/Mikura/さばるどろ/笠倉出版社</v>
      </c>
      <c r="V1444" s="8" t="str">
        <f>IFERROR(__xludf.DUMMYFUNCTION("""COMPUTED_VALUE"""),"「――俺は貴女を愛せない」魔法を使いこなす魔法使いと、獣の力を肉体に宿す獣人。二つの種族は長い間争っていた。ようやく平和条約が結ばれたが、互いを毛嫌いし交流もない。二国の平和のためフェリシアは狼の獣人・アルノシュトのもとへ嫁ぐことに。しかも魔法使いの力の象徴である魔力をその首の枷に封じた状態で――。どんなに距離が縮まってもお互いを愛し合うことは政略結婚。それなのに、フェリシアの心はアルノシュトを知れば知るほど惹かれていき…！")</f>
        <v>「――俺は貴女を愛せない」魔法を使いこなす魔法使いと、獣の力を肉体に宿す獣人。二つの種族は長い間争っていた。ようやく平和条約が結ばれたが、互いを毛嫌いし交流もない。二国の平和のためフェリシアは狼の獣人・アルノシュトのもとへ嫁ぐことに。しかも魔法使いの力の象徴である魔力をその首の枷に封じた状態で――。どんなに距離が縮まってもお互いを愛し合うことは政略結婚。それなのに、フェリシアの心はアルノシュトを知れば知るほど惹かれていき…！</v>
      </c>
      <c r="W1444" s="14"/>
      <c r="X1444" s="14" t="str">
        <f>IFERROR(__xludf.DUMMYFUNCTION("""COMPUTED_VALUE"""),"有")</f>
        <v>有</v>
      </c>
      <c r="Y1444" s="8" t="str">
        <f>IFERROR(__xludf.DUMMYFUNCTION("""COMPUTED_VALUE"""),"2024/5/23まで1巻無料")</f>
        <v>2024/5/23まで1巻無料</v>
      </c>
      <c r="Z1444" s="7"/>
      <c r="AA1444" s="7"/>
      <c r="AB1444" s="7"/>
    </row>
    <row r="1445" ht="115.5" customHeight="1">
      <c r="A1445" s="26">
        <f>IFERROR(__xludf.DUMMYFUNCTION("""COMPUTED_VALUE"""),3178.0)</f>
        <v>3178</v>
      </c>
      <c r="B1445" s="22" t="str">
        <f>IFERROR(__xludf.DUMMYFUNCTION("""COMPUTED_VALUE"""),"確定")</f>
        <v>確定</v>
      </c>
      <c r="C1445" s="28">
        <f>IFERROR(__xludf.DUMMYFUNCTION("""COMPUTED_VALUE"""),45378.0)</f>
        <v>45378</v>
      </c>
      <c r="D1445" s="28">
        <f>IFERROR(__xludf.DUMMYFUNCTION("""COMPUTED_VALUE"""),45405.0)</f>
        <v>45405</v>
      </c>
      <c r="E1445" s="26">
        <f>IFERROR(__xludf.DUMMYFUNCTION("""COMPUTED_VALUE"""),292102.0)</f>
        <v>292102</v>
      </c>
      <c r="F1445" s="22" t="str">
        <f>IFERROR(__xludf.DUMMYFUNCTION("""COMPUTED_VALUE"""),"モグランド 分冊版")</f>
        <v>モグランド 分冊版</v>
      </c>
      <c r="G1445" s="16" t="str">
        <f>IFERROR(__xludf.DUMMYFUNCTION("""COMPUTED_VALUE"""),"1～4")</f>
        <v>1～4</v>
      </c>
      <c r="H1445" s="22" t="str">
        <f>IFERROR(__xludf.DUMMYFUNCTION("""COMPUTED_VALUE"""),"水ポテト")</f>
        <v>水ポテト</v>
      </c>
      <c r="I1445" s="22" t="str">
        <f>IFERROR(__xludf.DUMMYFUNCTION("""COMPUTED_VALUE"""),"青年")</f>
        <v>青年</v>
      </c>
      <c r="J1445" s="22"/>
      <c r="K1445" s="22"/>
      <c r="L1445" s="22" t="str">
        <f>IFERROR(__xludf.DUMMYFUNCTION("""COMPUTED_VALUE"""),"コアミックス")</f>
        <v>コアミックス</v>
      </c>
      <c r="M1445" s="23">
        <f>IFERROR(__xludf.DUMMYFUNCTION("""COMPUTED_VALUE"""),45422.0)</f>
        <v>45422</v>
      </c>
      <c r="N1445" s="23">
        <f>IFERROR(__xludf.DUMMYFUNCTION("""COMPUTED_VALUE"""),45492.0)</f>
        <v>45492</v>
      </c>
      <c r="O1445" s="20"/>
      <c r="P1445" s="34" t="str">
        <f>IFERROR(__xludf.DUMMYFUNCTION("""COMPUTED_VALUE"""),"否")</f>
        <v>否</v>
      </c>
      <c r="Q1445" s="30" t="str">
        <f>IFERROR(__xludf.DUMMYFUNCTION("""COMPUTED_VALUE"""),"広告コミットOK(3/29)")</f>
        <v>広告コミットOK(3/29)</v>
      </c>
      <c r="R1445" s="22"/>
      <c r="S1445" s="22" t="str">
        <f>IFERROR(__xludf.DUMMYFUNCTION("""COMPUTED_VALUE"""),"20240423_コアミックス_モグランド")</f>
        <v>20240423_コアミックス_モグランド</v>
      </c>
      <c r="T1445" s="22" t="str">
        <f>IFERROR(__xludf.DUMMYFUNCTION("""COMPUTED_VALUE"""),"格納済み")</f>
        <v>格納済み</v>
      </c>
      <c r="U1445" s="15" t="str">
        <f>IFERROR(__xludf.DUMMYFUNCTION("""COMPUTED_VALUE"""),"©︎水ポテト／コアミックス")</f>
        <v>©︎水ポテト／コアミックス</v>
      </c>
      <c r="V1445" s="8" t="str">
        <f>IFERROR(__xludf.DUMMYFUNCTION("""COMPUTED_VALUE"""),"門蔵島でのリゾートバイトに、幼馴染と参加することになった模具。他の参加者の横暴な態度に嫌気が差しつつも、それ以上に気になるのは、島中にある謎の肉食モグラの穴、怪しい彼岸花、薄ら笑いを浮かべる島民。1mm先も見渡せない土中から、参加者たちに突如襲いかかる恐怖の正体とは…。恐怖は“下”からやってくる。モグラサバイバルホラー！")</f>
        <v>門蔵島でのリゾートバイトに、幼馴染と参加することになった模具。他の参加者の横暴な態度に嫌気が差しつつも、それ以上に気になるのは、島中にある謎の肉食モグラの穴、怪しい彼岸花、薄ら笑いを浮かべる島民。1mm先も見渡せない土中から、参加者たちに突如襲いかかる恐怖の正体とは…。恐怖は“下”からやってくる。モグラサバイバルホラー！</v>
      </c>
      <c r="W1445" s="14"/>
      <c r="X1445" s="14" t="str">
        <f>IFERROR(__xludf.DUMMYFUNCTION("""COMPUTED_VALUE"""),"有")</f>
        <v>有</v>
      </c>
      <c r="Y1445" s="8" t="str">
        <f>IFERROR(__xludf.DUMMYFUNCTION("""COMPUTED_VALUE"""),"2025/5/9まで1巻無料")</f>
        <v>2025/5/9まで1巻無料</v>
      </c>
      <c r="Z1445" s="7"/>
      <c r="AA1445" s="7"/>
      <c r="AB1445" s="7"/>
    </row>
    <row r="1446" ht="15.75" customHeight="1">
      <c r="A1446" s="26">
        <f>IFERROR(__xludf.DUMMYFUNCTION("""COMPUTED_VALUE"""),3184.0)</f>
        <v>3184</v>
      </c>
      <c r="B1446" s="22" t="str">
        <f>IFERROR(__xludf.DUMMYFUNCTION("""COMPUTED_VALUE"""),"確定")</f>
        <v>確定</v>
      </c>
      <c r="C1446" s="28">
        <f>IFERROR(__xludf.DUMMYFUNCTION("""COMPUTED_VALUE"""),45379.0)</f>
        <v>45379</v>
      </c>
      <c r="D1446" s="28">
        <f>IFERROR(__xludf.DUMMYFUNCTION("""COMPUTED_VALUE"""),45406.0)</f>
        <v>45406</v>
      </c>
      <c r="E1446" s="26">
        <f>IFERROR(__xludf.DUMMYFUNCTION("""COMPUTED_VALUE"""),293958.0)</f>
        <v>293958</v>
      </c>
      <c r="F1446" s="22" t="str">
        <f>IFERROR(__xludf.DUMMYFUNCTION("""COMPUTED_VALUE"""),"好きにするなら夏にして")</f>
        <v>好きにするなら夏にして</v>
      </c>
      <c r="G1446" s="11" t="str">
        <f>IFERROR(__xludf.DUMMYFUNCTION("""COMPUTED_VALUE"""),"1～2")</f>
        <v>1～2</v>
      </c>
      <c r="H1446" s="22" t="str">
        <f>IFERROR(__xludf.DUMMYFUNCTION("""COMPUTED_VALUE"""),"山谷しき")</f>
        <v>山谷しき</v>
      </c>
      <c r="I1446" s="22" t="str">
        <f>IFERROR(__xludf.DUMMYFUNCTION("""COMPUTED_VALUE"""),"BL")</f>
        <v>BL</v>
      </c>
      <c r="J1446" s="22"/>
      <c r="K1446" s="22"/>
      <c r="L1446" s="22" t="str">
        <f>IFERROR(__xludf.DUMMYFUNCTION("""COMPUTED_VALUE"""),"CLLENN")</f>
        <v>CLLENN</v>
      </c>
      <c r="M1446" s="23">
        <f>IFERROR(__xludf.DUMMYFUNCTION("""COMPUTED_VALUE"""),45442.0)</f>
        <v>45442</v>
      </c>
      <c r="N1446" s="47">
        <f>IFERROR(__xludf.DUMMYFUNCTION("""COMPUTED_VALUE"""),45504.0)</f>
        <v>45504</v>
      </c>
      <c r="O1446" s="20"/>
      <c r="P1446" s="34" t="str">
        <f>IFERROR(__xludf.DUMMYFUNCTION("""COMPUTED_VALUE"""),"可")</f>
        <v>可</v>
      </c>
      <c r="Q1446" s="31" t="str">
        <f>IFERROR(__xludf.DUMMYFUNCTION("""COMPUTED_VALUE"""),"広告コミットOK(4/3)")</f>
        <v>広告コミットOK(4/3)</v>
      </c>
      <c r="R1446" s="22" t="str">
        <f>IFERROR(__xludf.DUMMYFUNCTION("""COMPUTED_VALUE"""),"格納済")</f>
        <v>格納済</v>
      </c>
      <c r="S1446" s="22" t="str">
        <f>IFERROR(__xludf.DUMMYFUNCTION("""COMPUTED_VALUE"""),"20240424_CLLENN_好きにするなら夏にして")</f>
        <v>20240424_CLLENN_好きにするなら夏にして</v>
      </c>
      <c r="T1446" s="22" t="str">
        <f>IFERROR(__xludf.DUMMYFUNCTION("""COMPUTED_VALUE"""),"格納済み")</f>
        <v>格納済み</v>
      </c>
      <c r="U1446" s="15" t="str">
        <f>IFERROR(__xludf.DUMMYFUNCTION("""COMPUTED_VALUE"""),"ⓒ山谷しき/CLLENN")</f>
        <v>ⓒ山谷しき/CLLENN</v>
      </c>
      <c r="V1446" s="8" t="str">
        <f>IFERROR(__xludf.DUMMYFUNCTION("""COMPUTED_VALUE"""),"【この夏、俺にくれませんか!?】恋愛ウブな年下男子×マイペースBOYの焦れったすぎる夏恋、はじまる――。海の家でリゾートバイトを始めた沖津海星（おきつかいせい）。その動機は、一年前に一目惚れした潮崎大洋（しおざきたいよう）に近づくため！　だがヘタレな海星は大洋の笑顔やボディタッチに翻弄されっぱなしで、想いを伝えられずにいた。ある夜、海星は悪酔いして我を失い、大洋を押し倒してしまう!!　ずっと夢見ていた大洋の唇に口づけ、汗ばむ身体を撫でると、大洋から熱を帯びた声が漏れて…。「待ってたら触れていいんですか。俺"&amp;"、ずっと…」真夏の夜の熱に浮かされ、ひと夏じゃ終われない恋が走り出す――!?")</f>
        <v>【この夏、俺にくれませんか!?】恋愛ウブな年下男子×マイペースBOYの焦れったすぎる夏恋、はじまる――。海の家でリゾートバイトを始めた沖津海星（おきつかいせい）。その動機は、一年前に一目惚れした潮崎大洋（しおざきたいよう）に近づくため！　だがヘタレな海星は大洋の笑顔やボディタッチに翻弄されっぱなしで、想いを伝えられずにいた。ある夜、海星は悪酔いして我を失い、大洋を押し倒してしまう!!　ずっと夢見ていた大洋の唇に口づけ、汗ばむ身体を撫でると、大洋から熱を帯びた声が漏れて…。「待ってたら触れていいんですか。俺、ずっと…」真夏の夜の熱に浮かされ、ひと夏じゃ終われない恋が走り出す――!?</v>
      </c>
      <c r="W1446" s="8"/>
      <c r="X1446" s="14" t="str">
        <f>IFERROR(__xludf.DUMMYFUNCTION("""COMPUTED_VALUE"""),"有")</f>
        <v>有</v>
      </c>
      <c r="Y1446" s="8" t="str">
        <f>IFERROR(__xludf.DUMMYFUNCTION("""COMPUTED_VALUE"""),"2024/6/12まで立ち読み増量P18まで")</f>
        <v>2024/6/12まで立ち読み増量P18まで</v>
      </c>
      <c r="Z1446" s="7"/>
      <c r="AA1446" s="7"/>
      <c r="AB1446" s="7"/>
    </row>
    <row r="1447" ht="15.75" customHeight="1">
      <c r="A1447" s="26">
        <f>IFERROR(__xludf.DUMMYFUNCTION("""COMPUTED_VALUE"""),3255.0)</f>
        <v>3255</v>
      </c>
      <c r="B1447" s="22" t="str">
        <f>IFERROR(__xludf.DUMMYFUNCTION("""COMPUTED_VALUE"""),"確定")</f>
        <v>確定</v>
      </c>
      <c r="C1447" s="28">
        <f>IFERROR(__xludf.DUMMYFUNCTION("""COMPUTED_VALUE"""),45391.0)</f>
        <v>45391</v>
      </c>
      <c r="D1447" s="28">
        <f>IFERROR(__xludf.DUMMYFUNCTION("""COMPUTED_VALUE"""),45404.0)</f>
        <v>45404</v>
      </c>
      <c r="E1447" s="26">
        <f>IFERROR(__xludf.DUMMYFUNCTION("""COMPUTED_VALUE"""),293345.0)</f>
        <v>293345</v>
      </c>
      <c r="F1447" s="22" t="str">
        <f>IFERROR(__xludf.DUMMYFUNCTION("""COMPUTED_VALUE"""),"死にたがり吸血鬼と偽り婚～令嬢の執事は相思相愛じゃないと殺せない～")</f>
        <v>死にたがり吸血鬼と偽り婚～令嬢の執事は相思相愛じゃないと殺せない～</v>
      </c>
      <c r="G1447" s="16" t="str">
        <f>IFERROR(__xludf.DUMMYFUNCTION("""COMPUTED_VALUE"""),"1～3")</f>
        <v>1～3</v>
      </c>
      <c r="H1447" s="22" t="str">
        <f>IFERROR(__xludf.DUMMYFUNCTION("""COMPUTED_VALUE"""),"hiromyan")</f>
        <v>hiromyan</v>
      </c>
      <c r="I1447" s="14" t="str">
        <f>IFERROR(__xludf.DUMMYFUNCTION("""COMPUTED_VALUE"""),"女性")</f>
        <v>女性</v>
      </c>
      <c r="J1447" s="22"/>
      <c r="K1447" s="22"/>
      <c r="L1447" s="22" t="str">
        <f>IFERROR(__xludf.DUMMYFUNCTION("""COMPUTED_VALUE"""),"アイプロダクション")</f>
        <v>アイプロダクション</v>
      </c>
      <c r="M1447" s="23">
        <f>IFERROR(__xludf.DUMMYFUNCTION("""COMPUTED_VALUE"""),45444.0)</f>
        <v>45444</v>
      </c>
      <c r="N1447" s="23">
        <f>IFERROR(__xludf.DUMMYFUNCTION("""COMPUTED_VALUE"""),45535.0)</f>
        <v>45535</v>
      </c>
      <c r="O1447" s="20"/>
      <c r="P1447" s="34" t="str">
        <f>IFERROR(__xludf.DUMMYFUNCTION("""COMPUTED_VALUE"""),"可")</f>
        <v>可</v>
      </c>
      <c r="Q1447" s="31" t="str">
        <f>IFERROR(__xludf.DUMMYFUNCTION("""COMPUTED_VALUE"""),"広告コミットOK（4/15）")</f>
        <v>広告コミットOK（4/15）</v>
      </c>
      <c r="R1447" s="22"/>
      <c r="S1447" s="22" t="str">
        <f>IFERROR(__xludf.DUMMYFUNCTION("""COMPUTED_VALUE"""),"20240422_アイプロダクション_死にたがり吸血鬼と偽り婚")</f>
        <v>20240422_アイプロダクション_死にたがり吸血鬼と偽り婚</v>
      </c>
      <c r="T1447" s="22" t="str">
        <f>IFERROR(__xludf.DUMMYFUNCTION("""COMPUTED_VALUE"""),"格納済み")</f>
        <v>格納済み</v>
      </c>
      <c r="U1447" s="15" t="str">
        <f>IFERROR(__xludf.DUMMYFUNCTION("""COMPUTED_VALUE"""),"hiromyan/アイプロダクション")</f>
        <v>hiromyan/アイプロダクション</v>
      </c>
      <c r="V1447" s="8" t="str">
        <f>IFERROR(__xludf.DUMMYFUNCTION("""COMPUTED_VALUE"""),"資産家で旧華族・西園寺家の一人娘・美織は、ある日大企業の御曹司とのお見合いを破断。
その代わりに婚約者に指名したのは、西園寺家執事の正宗だった!?
正宗は不老不死の吸血鬼であり代々、西園寺家に仕えてきた従順な執事。
だが、西園寺家の使用人で美織の母だった香純は、正宗が血を吸ったせいで死んだのだった。
西園寺家の養子となり、正宗への復讐を虎視眈々と狙っていた美織は、
正宗と結婚し、初夜を迎えたその日、正宗の心臓に銀の杭を打ち付ける…が、
「吸血鬼は『相思相愛』となった人間に刺してもらわなければ死"&amp;"ねない」
この男を殺すには、愛し愛さなければならないの!?
そんな正宗が私に言った言葉――――
「私を殺せるようにたっぶり教育してさしあげますよ、お嬢様。」
私が殺したい吸血鬼は、なぜかとてつもなく死にたがっています!?")</f>
        <v>資産家で旧華族・西園寺家の一人娘・美織は、ある日大企業の御曹司とのお見合いを破断。
その代わりに婚約者に指名したのは、西園寺家執事の正宗だった!?
正宗は不老不死の吸血鬼であり代々、西園寺家に仕えてきた従順な執事。
だが、西園寺家の使用人で美織の母だった香純は、正宗が血を吸ったせいで死んだのだった。
西園寺家の養子となり、正宗への復讐を虎視眈々と狙っていた美織は、
正宗と結婚し、初夜を迎えたその日、正宗の心臓に銀の杭を打ち付ける…が、
「吸血鬼は『相思相愛』となった人間に刺してもらわなければ死ねない」
この男を殺すには、愛し愛さなければならないの!?
そんな正宗が私に言った言葉――――
「私を殺せるようにたっぶり教育してさしあげますよ、お嬢様。」
私が殺したい吸血鬼は、なぜかとてつもなく死にたがっています!?</v>
      </c>
      <c r="W1447" s="14"/>
      <c r="X1447" s="14" t="str">
        <f>IFERROR(__xludf.DUMMYFUNCTION("""COMPUTED_VALUE"""),"有")</f>
        <v>有</v>
      </c>
      <c r="Y1447" s="8" t="str">
        <f>IFERROR(__xludf.DUMMYFUNCTION("""COMPUTED_VALUE"""),"P8まで")</f>
        <v>P8まで</v>
      </c>
      <c r="Z1447" s="7"/>
      <c r="AA1447" s="7"/>
      <c r="AB1447" s="7"/>
    </row>
    <row r="1448" ht="15.75" customHeight="1">
      <c r="A1448" s="26">
        <f>IFERROR(__xludf.DUMMYFUNCTION("""COMPUTED_VALUE"""),3298.0)</f>
        <v>3298</v>
      </c>
      <c r="B1448" s="22" t="str">
        <f>IFERROR(__xludf.DUMMYFUNCTION("""COMPUTED_VALUE"""),"確定")</f>
        <v>確定</v>
      </c>
      <c r="C1448" s="28">
        <f>IFERROR(__xludf.DUMMYFUNCTION("""COMPUTED_VALUE"""),45398.0)</f>
        <v>45398</v>
      </c>
      <c r="D1448" s="28">
        <f>IFERROR(__xludf.DUMMYFUNCTION("""COMPUTED_VALUE"""),45404.0)</f>
        <v>45404</v>
      </c>
      <c r="E1448" s="26">
        <f>IFERROR(__xludf.DUMMYFUNCTION("""COMPUTED_VALUE"""),293557.0)</f>
        <v>293557</v>
      </c>
      <c r="F1448" s="22" t="str">
        <f>IFERROR(__xludf.DUMMYFUNCTION("""COMPUTED_VALUE"""),"イプシロン【タテヨミ】")</f>
        <v>イプシロン【タテヨミ】</v>
      </c>
      <c r="G1448" s="16" t="str">
        <f>IFERROR(__xludf.DUMMYFUNCTION("""COMPUTED_VALUE"""),"1～20")</f>
        <v>1～20</v>
      </c>
      <c r="H1448" s="22" t="str">
        <f>IFERROR(__xludf.DUMMYFUNCTION("""COMPUTED_VALUE"""),"パド┴Kyunse┴Gbagen")</f>
        <v>パド┴Kyunse┴Gbagen</v>
      </c>
      <c r="I1448" s="22" t="str">
        <f>IFERROR(__xludf.DUMMYFUNCTION("""COMPUTED_VALUE"""),"BL")</f>
        <v>BL</v>
      </c>
      <c r="J1448" s="22"/>
      <c r="K1448" s="22"/>
      <c r="L1448" s="22" t="str">
        <f>IFERROR(__xludf.DUMMYFUNCTION("""COMPUTED_VALUE"""),"Studio Moon6")</f>
        <v>Studio Moon6</v>
      </c>
      <c r="M1448" s="23">
        <f>IFERROR(__xludf.DUMMYFUNCTION("""COMPUTED_VALUE"""),45430.0)</f>
        <v>45430</v>
      </c>
      <c r="N1448" s="47">
        <f>IFERROR(__xludf.DUMMYFUNCTION("""COMPUTED_VALUE"""),45521.0)</f>
        <v>45521</v>
      </c>
      <c r="O1448" s="20"/>
      <c r="P1448" s="34" t="str">
        <f>IFERROR(__xludf.DUMMYFUNCTION("""COMPUTED_VALUE"""),"可")</f>
        <v>可</v>
      </c>
      <c r="Q1448" s="30" t="str">
        <f>IFERROR(__xludf.DUMMYFUNCTION("""COMPUTED_VALUE"""),"河上さんへ事前コミット済みの作品です。&lt;BR&gt;素材はもらい次第格納します。&lt;BR&gt;1～15話分の素材をもらいましたので格納してます（4/18）&lt;BR&gt;16～20話分の素材ももらいましたので格納しました（4/22）")</f>
        <v>河上さんへ事前コミット済みの作品です。&lt;BR&gt;素材はもらい次第格納します。&lt;BR&gt;1～15話分の素材をもらいましたので格納してます（4/18）&lt;BR&gt;16～20話分の素材ももらいましたので格納しました（4/22）</v>
      </c>
      <c r="R1448" s="22"/>
      <c r="S1448" s="22" t="str">
        <f>IFERROR(__xludf.DUMMYFUNCTION("""COMPUTED_VALUE"""),"20240418_StudioMoon6_イプシロン")</f>
        <v>20240418_StudioMoon6_イプシロン</v>
      </c>
      <c r="T1448" s="22"/>
      <c r="U1448" s="15" t="str">
        <f>IFERROR(__xludf.DUMMYFUNCTION("""COMPUTED_VALUE"""),"© パド, Gbagen / Studio Moon6")</f>
        <v>© パド, Gbagen / Studio Moon6</v>
      </c>
      <c r="V1448" s="8" t="str">
        <f>IFERROR(__xludf.DUMMYFUNCTION("""COMPUTED_VALUE"""),"突然、行方不明になった母親のせいで借金に苦しむ大学生・神田流星。彼は生活の為、高収入アルバイトの現場で獣のように危険な男・虎太郎と肉体的に絡まってしまう。必死に逃げ道を探していたその時、ある少女が現れた。超能力者団体「ユイサ」への合流を勧められ、数千万円台の年俸と安全性に目がくらんだ流星は、その提案を受け入れる。順調に新しい人生を始められると思っていたが、それは錯覚。ユイサの敵対組織「ピエロ」が登場し、能力値上位1％の特殊系能力者・神田流星を虎視眈々と狙う。続くピエロの襲撃を避けて逃げていたある日、あれほ"&amp;"ど避けたかった虎太郎と再び出会うことになるが …")</f>
        <v>突然、行方不明になった母親のせいで借金に苦しむ大学生・神田流星。彼は生活の為、高収入アルバイトの現場で獣のように危険な男・虎太郎と肉体的に絡まってしまう。必死に逃げ道を探していたその時、ある少女が現れた。超能力者団体「ユイサ」への合流を勧められ、数千万円台の年俸と安全性に目がくらんだ流星は、その提案を受け入れる。順調に新しい人生を始められると思っていたが、それは錯覚。ユイサの敵対組織「ピエロ」が登場し、能力値上位1％の特殊系能力者・神田流星を虎視眈々と狙う。続くピエロの襲撃を避けて逃げていたある日、あれほど避けたかった虎太郎と再び出会うことになるが …</v>
      </c>
      <c r="W1448" s="14"/>
      <c r="X1448" s="14" t="str">
        <f>IFERROR(__xludf.DUMMYFUNCTION("""COMPUTED_VALUE"""),"有")</f>
        <v>有</v>
      </c>
      <c r="Y1448" s="8" t="str">
        <f>IFERROR(__xludf.DUMMYFUNCTION("""COMPUTED_VALUE"""),"3巻無料")</f>
        <v>3巻無料</v>
      </c>
      <c r="Z1448" s="7"/>
      <c r="AA1448" s="7"/>
      <c r="AB1448" s="7"/>
    </row>
    <row r="1449" ht="15.75" customHeight="1">
      <c r="A1449" s="26">
        <f>IFERROR(__xludf.DUMMYFUNCTION("""COMPUTED_VALUE"""),3307.0)</f>
        <v>3307</v>
      </c>
      <c r="B1449" s="22" t="str">
        <f>IFERROR(__xludf.DUMMYFUNCTION("""COMPUTED_VALUE"""),"確定")</f>
        <v>確定</v>
      </c>
      <c r="C1449" s="28">
        <f>IFERROR(__xludf.DUMMYFUNCTION("""COMPUTED_VALUE"""),45399.0)</f>
        <v>45399</v>
      </c>
      <c r="D1449" s="28">
        <f>IFERROR(__xludf.DUMMYFUNCTION("""COMPUTED_VALUE"""),45401.0)</f>
        <v>45401</v>
      </c>
      <c r="E1449" s="26">
        <f>IFERROR(__xludf.DUMMYFUNCTION("""COMPUTED_VALUE"""),293850.0)</f>
        <v>293850</v>
      </c>
      <c r="F1449" s="55" t="str">
        <f>IFERROR(__xludf.DUMMYFUNCTION("""COMPUTED_VALUE"""),"したたか令嬢は溺愛される ～論破しますが、こんな私でも良いですか？～ 分冊版")</f>
        <v>したたか令嬢は溺愛される ～論破しますが、こんな私でも良いですか？～ 分冊版</v>
      </c>
      <c r="G1449" s="20" t="str">
        <f>IFERROR(__xludf.DUMMYFUNCTION("""COMPUTED_VALUE"""),"1~5")</f>
        <v>1~5</v>
      </c>
      <c r="H1449" s="22" t="str">
        <f>IFERROR(__xludf.DUMMYFUNCTION("""COMPUTED_VALUE"""),"原作：沢野いずみ　漫画：中丸みつ　　キャラクター原案：TCB")</f>
        <v>原作：沢野いずみ　漫画：中丸みつ　　キャラクター原案：TCB</v>
      </c>
      <c r="I1449" s="22" t="str">
        <f>IFERROR(__xludf.DUMMYFUNCTION("""COMPUTED_VALUE"""),"女性")</f>
        <v>女性</v>
      </c>
      <c r="J1449" s="22"/>
      <c r="K1449" s="22"/>
      <c r="L1449" s="22" t="str">
        <f>IFERROR(__xludf.DUMMYFUNCTION("""COMPUTED_VALUE"""),"集英社")</f>
        <v>集英社</v>
      </c>
      <c r="M1449" s="47">
        <f>IFERROR(__xludf.DUMMYFUNCTION("""COMPUTED_VALUE"""),45426.0)</f>
        <v>45426</v>
      </c>
      <c r="N1449" s="47">
        <f>IFERROR(__xludf.DUMMYFUNCTION("""COMPUTED_VALUE"""),45466.0)</f>
        <v>45466</v>
      </c>
      <c r="O1449" s="20"/>
      <c r="P1449" s="56" t="str">
        <f>IFERROR(__xludf.DUMMYFUNCTION("""COMPUTED_VALUE"""),"否")</f>
        <v>否</v>
      </c>
      <c r="Q1449" s="30" t="str">
        <f>IFERROR(__xludf.DUMMYFUNCTION("""COMPUTED_VALUE"""),"・掲載誌：マーガレットコミックス
・5/10-5/23で1巻無料キャンペーン実施
×6/10からもう1つ他書店で配信が始まり、6/10～7/9は数社先行となります。
　⇒5/8　配信日変更に伴い、もう1書店の配信が6/24からの開始となります。その他のストアについては分冊版の配信は予定しておりません。（単行本の配信日は未定）
　⇒5/9　単行本は1～5話が収録され、9月以降に配信とのこと
・令嬢系、1話がスカッと系で良いです！
5/7　ファイル制作の不備で配信日遅延の連絡あり。現在配信日調整中のため、確定"&amp;"次第更新します。大きくずれることはないかと思います。")</f>
        <v>・掲載誌：マーガレットコミックス
・5/10-5/23で1巻無料キャンペーン実施
×6/10からもう1つ他書店で配信が始まり、6/10～7/9は数社先行となります。
　⇒5/8　配信日変更に伴い、もう1書店の配信が6/24からの開始となります。その他のストアについては分冊版の配信は予定しておりません。（単行本の配信日は未定）
　⇒5/9　単行本は1～5話が収録され、9月以降に配信とのこと
・令嬢系、1話がスカッと系で良いです！
5/7　ファイル制作の不備で配信日遅延の連絡あり。現在配信日調整中のため、確定次第更新します。大きくずれることはないかと思います。</v>
      </c>
      <c r="R1449" s="22"/>
      <c r="S1449" s="22" t="str">
        <f>IFERROR(__xludf.DUMMYFUNCTION("""COMPUTED_VALUE"""),"20240417_集英社_したたか令嬢は溺愛される")</f>
        <v>20240417_集英社_したたか令嬢は溺愛される</v>
      </c>
      <c r="T1449" s="22" t="str">
        <f>IFERROR(__xludf.DUMMYFUNCTION("""COMPUTED_VALUE"""),"格納済み")</f>
        <v>格納済み</v>
      </c>
      <c r="U1449" s="15" t="str">
        <f>IFERROR(__xludf.DUMMYFUNCTION("""COMPUTED_VALUE"""),"©表記：沢野いずみ・中丸みつ・藍谷巡（フラッグノーツ）・TCB／集英社")</f>
        <v>©表記：沢野いずみ・中丸みつ・藍谷巡（フラッグノーツ）・TCB／集英社</v>
      </c>
      <c r="V1449" s="8" t="str">
        <f>IFERROR(__xludf.DUMMYFUNCTION("""COMPUTED_VALUE"""),"婚約者である王太子から一方的に婚約破棄を告げられた公爵令嬢のアンジェリカ。しかし、その直後に隣国のイケメン公子からプロポーズされる。バカな王太子はもうまっぴら。カッコいい王子と新しい人生をリスタートしたいのに、生来の弁達者な性質と、6歳から受けた妃教育の賜物である負けん気の強い性格が、彼に「好き」と言わせてくれなくて…。どこまでも意地を張り続けるヒロインと、そんな彼女を溺愛する彼氏のじれ甘キュンキュン・ラブストーリー!!")</f>
        <v>婚約者である王太子から一方的に婚約破棄を告げられた公爵令嬢のアンジェリカ。しかし、その直後に隣国のイケメン公子からプロポーズされる。バカな王太子はもうまっぴら。カッコいい王子と新しい人生をリスタートしたいのに、生来の弁達者な性質と、6歳から受けた妃教育の賜物である負けん気の強い性格が、彼に「好き」と言わせてくれなくて…。どこまでも意地を張り続けるヒロインと、そんな彼女を溺愛する彼氏のじれ甘キュンキュン・ラブストーリー!!</v>
      </c>
      <c r="W1449" s="14"/>
      <c r="X1449" s="14" t="str">
        <f>IFERROR(__xludf.DUMMYFUNCTION("""COMPUTED_VALUE"""),"有")</f>
        <v>有</v>
      </c>
      <c r="Y1449" s="8" t="str">
        <f>IFERROR(__xludf.DUMMYFUNCTION("""COMPUTED_VALUE"""),"P5まで")</f>
        <v>P5まで</v>
      </c>
      <c r="Z1449" s="7"/>
      <c r="AA1449" s="7"/>
      <c r="AB1449" s="7"/>
    </row>
    <row r="1450" ht="15.75" customHeight="1">
      <c r="A1450" s="26">
        <f>IFERROR(__xludf.DUMMYFUNCTION("""COMPUTED_VALUE"""),3309.0)</f>
        <v>3309</v>
      </c>
      <c r="B1450" s="22" t="str">
        <f>IFERROR(__xludf.DUMMYFUNCTION("""COMPUTED_VALUE"""),"確定")</f>
        <v>確定</v>
      </c>
      <c r="C1450" s="28">
        <f>IFERROR(__xludf.DUMMYFUNCTION("""COMPUTED_VALUE"""),45399.0)</f>
        <v>45399</v>
      </c>
      <c r="D1450" s="28">
        <f>IFERROR(__xludf.DUMMYFUNCTION("""COMPUTED_VALUE"""),45401.0)</f>
        <v>45401</v>
      </c>
      <c r="E1450" s="26">
        <f>IFERROR(__xludf.DUMMYFUNCTION("""COMPUTED_VALUE"""),292622.0)</f>
        <v>292622</v>
      </c>
      <c r="F1450" s="22" t="str">
        <f>IFERROR(__xludf.DUMMYFUNCTION("""COMPUTED_VALUE"""),"復讐は蜜の味でした〜王子の手助けで粛清完了ですわ〜")</f>
        <v>復讐は蜜の味でした〜王子の手助けで粛清完了ですわ〜</v>
      </c>
      <c r="G1450" s="11" t="str">
        <f>IFERROR(__xludf.DUMMYFUNCTION("""COMPUTED_VALUE"""),"1～2")</f>
        <v>1～2</v>
      </c>
      <c r="H1450" s="22" t="str">
        <f>IFERROR(__xludf.DUMMYFUNCTION("""COMPUTED_VALUE"""),"白瀬るい／COMIC ROOM")</f>
        <v>白瀬るい／COMIC ROOM</v>
      </c>
      <c r="I1450" s="22" t="str">
        <f>IFERROR(__xludf.DUMMYFUNCTION("""COMPUTED_VALUE"""),"女性")</f>
        <v>女性</v>
      </c>
      <c r="J1450" s="22"/>
      <c r="K1450" s="22"/>
      <c r="L1450" s="22" t="str">
        <f>IFERROR(__xludf.DUMMYFUNCTION("""COMPUTED_VALUE"""),"コミックルーム")</f>
        <v>コミックルーム</v>
      </c>
      <c r="M1450" s="23">
        <f>IFERROR(__xludf.DUMMYFUNCTION("""COMPUTED_VALUE"""),45427.0)</f>
        <v>45427</v>
      </c>
      <c r="N1450" s="23">
        <f>IFERROR(__xludf.DUMMYFUNCTION("""COMPUTED_VALUE"""),45518.0)</f>
        <v>45518</v>
      </c>
      <c r="O1450" s="20"/>
      <c r="P1450" s="32" t="str">
        <f>IFERROR(__xludf.DUMMYFUNCTION("""COMPUTED_VALUE"""),"可")</f>
        <v>可</v>
      </c>
      <c r="Q1450" s="30"/>
      <c r="R1450" s="22"/>
      <c r="S1450" s="22" t="str">
        <f>IFERROR(__xludf.DUMMYFUNCTION("""COMPUTED_VALUE"""),"20240417_コミックルーム_復讐は蜜の味でした〜王子の手助けで粛清完了ですわ〜")</f>
        <v>20240417_コミックルーム_復讐は蜜の味でした〜王子の手助けで粛清完了ですわ〜</v>
      </c>
      <c r="T1450" s="22" t="str">
        <f>IFERROR(__xludf.DUMMYFUNCTION("""COMPUTED_VALUE"""),"格納済み")</f>
        <v>格納済み</v>
      </c>
      <c r="U1450" s="15" t="str">
        <f>IFERROR(__xludf.DUMMYFUNCTION("""COMPUTED_VALUE"""),"©白瀬るい／COMIC ROOM")</f>
        <v>©白瀬るい／COMIC ROOM</v>
      </c>
      <c r="V1450" s="8" t="str">
        <f>IFERROR(__xludf.DUMMYFUNCTION("""COMPUTED_VALUE"""),"父を亡くし継母達から家事奴隷として育てられたエリー。
そんな彼女にはそれに相応しくない力があった。それは貴族のみが使えるという魔法の力である。だが、継母達はエリーの力を認めず、彼女の抑圧された日々は続くのであった。しかしエリーに転機が訪れる。彼女と同じく魔法を使えるという青年、アレックスとの出会いである。魔法を通じて絆を深めていく二人。それはやがてそれ以上の存在に変わっていき…！？
愛と魔法と解放のラブロマンス──！
※本作品の１・２巻は『溺れるほど愛されて、幸せになってみせますわ！アンソロジー"&amp;"コミック3巻』の収録作品です。")</f>
        <v>父を亡くし継母達から家事奴隷として育てられたエリー。
そんな彼女にはそれに相応しくない力があった。それは貴族のみが使えるという魔法の力である。だが、継母達はエリーの力を認めず、彼女の抑圧された日々は続くのであった。しかしエリーに転機が訪れる。彼女と同じく魔法を使えるという青年、アレックスとの出会いである。魔法を通じて絆を深めていく二人。それはやがてそれ以上の存在に変わっていき…！？
愛と魔法と解放のラブロマンス──！
※本作品の１・２巻は『溺れるほど愛されて、幸せになってみせますわ！アンソロジーコミック3巻』の収録作品です。</v>
      </c>
      <c r="W1450" s="14"/>
      <c r="X1450" s="14" t="str">
        <f>IFERROR(__xludf.DUMMYFUNCTION("""COMPUTED_VALUE"""),"有")</f>
        <v>有</v>
      </c>
      <c r="Y1450" s="8" t="str">
        <f>IFERROR(__xludf.DUMMYFUNCTION("""COMPUTED_VALUE"""),"P9まで")</f>
        <v>P9まで</v>
      </c>
      <c r="Z1450" s="7"/>
      <c r="AA1450" s="7"/>
      <c r="AB1450" s="7"/>
    </row>
    <row r="1451" ht="15.75" customHeight="1">
      <c r="A1451" s="26">
        <f>IFERROR(__xludf.DUMMYFUNCTION("""COMPUTED_VALUE"""),3310.0)</f>
        <v>3310</v>
      </c>
      <c r="B1451" s="22" t="str">
        <f>IFERROR(__xludf.DUMMYFUNCTION("""COMPUTED_VALUE"""),"確定")</f>
        <v>確定</v>
      </c>
      <c r="C1451" s="28">
        <f>IFERROR(__xludf.DUMMYFUNCTION("""COMPUTED_VALUE"""),45399.0)</f>
        <v>45399</v>
      </c>
      <c r="D1451" s="28">
        <f>IFERROR(__xludf.DUMMYFUNCTION("""COMPUTED_VALUE"""),45401.0)</f>
        <v>45401</v>
      </c>
      <c r="E1451" s="26">
        <f>IFERROR(__xludf.DUMMYFUNCTION("""COMPUTED_VALUE"""),292623.0)</f>
        <v>292623</v>
      </c>
      <c r="F1451" s="22" t="str">
        <f>IFERROR(__xludf.DUMMYFUNCTION("""COMPUTED_VALUE"""),"愛の力と言われればそれまでですわ！〜聖女の力を覚醒させます〜")</f>
        <v>愛の力と言われればそれまでですわ！〜聖女の力を覚醒させます〜</v>
      </c>
      <c r="G1451" s="11" t="str">
        <f>IFERROR(__xludf.DUMMYFUNCTION("""COMPUTED_VALUE"""),"1～2")</f>
        <v>1～2</v>
      </c>
      <c r="H1451" s="22" t="str">
        <f>IFERROR(__xludf.DUMMYFUNCTION("""COMPUTED_VALUE"""),"湯浅みき／COMIC ROOM")</f>
        <v>湯浅みき／COMIC ROOM</v>
      </c>
      <c r="I1451" s="22" t="str">
        <f>IFERROR(__xludf.DUMMYFUNCTION("""COMPUTED_VALUE"""),"女性")</f>
        <v>女性</v>
      </c>
      <c r="J1451" s="22"/>
      <c r="K1451" s="22"/>
      <c r="L1451" s="22" t="str">
        <f>IFERROR(__xludf.DUMMYFUNCTION("""COMPUTED_VALUE"""),"コミックルーム")</f>
        <v>コミックルーム</v>
      </c>
      <c r="M1451" s="23">
        <f>IFERROR(__xludf.DUMMYFUNCTION("""COMPUTED_VALUE"""),45427.0)</f>
        <v>45427</v>
      </c>
      <c r="N1451" s="23">
        <f>IFERROR(__xludf.DUMMYFUNCTION("""COMPUTED_VALUE"""),45518.0)</f>
        <v>45518</v>
      </c>
      <c r="O1451" s="20"/>
      <c r="P1451" s="32" t="str">
        <f>IFERROR(__xludf.DUMMYFUNCTION("""COMPUTED_VALUE"""),"可")</f>
        <v>可</v>
      </c>
      <c r="Q1451" s="30"/>
      <c r="R1451" s="22"/>
      <c r="S1451" s="22" t="str">
        <f>IFERROR(__xludf.DUMMYFUNCTION("""COMPUTED_VALUE"""),"20240417_コミックルーム_愛の力と言われればそれまでですわ！〜聖女の力を覚醒させます〜")</f>
        <v>20240417_コミックルーム_愛の力と言われればそれまでですわ！〜聖女の力を覚醒させます〜</v>
      </c>
      <c r="T1451" s="22" t="str">
        <f>IFERROR(__xludf.DUMMYFUNCTION("""COMPUTED_VALUE"""),"格納済み")</f>
        <v>格納済み</v>
      </c>
      <c r="U1451" s="15" t="str">
        <f>IFERROR(__xludf.DUMMYFUNCTION("""COMPUTED_VALUE"""),"©湯浅みき／COMIC ROOM")</f>
        <v>©湯浅みき／COMIC ROOM</v>
      </c>
      <c r="V1451" s="8" t="str">
        <f>IFERROR(__xludf.DUMMYFUNCTION("""COMPUTED_VALUE"""),"歴代聖女と王の結婚が義務付けられている国エルトリア。
だが王太子エドリックは、現在の聖女エレナの力は弱く、結婚に値しないと一方的に婚約破棄を告げる。さらにエドリックは彼女の見受けを申し出てきた魔法一家の嫡男アベルの前で、エレナを「実験動物」と侮辱するのであった。アベルの前で悲嘆にくれるエレナ。だがエレナは知らなかった。アベルとの出会いが彼女の才能を開花させることを──。そして自分こそがアベルを救い出せる存在であることを──。
※本作品の１・２巻は『溺れるほど愛されて、幸せになってみせますわ！アンソ"&amp;"ロジーコミック3巻』の収録作品です。")</f>
        <v>歴代聖女と王の結婚が義務付けられている国エルトリア。
だが王太子エドリックは、現在の聖女エレナの力は弱く、結婚に値しないと一方的に婚約破棄を告げる。さらにエドリックは彼女の見受けを申し出てきた魔法一家の嫡男アベルの前で、エレナを「実験動物」と侮辱するのであった。アベルの前で悲嘆にくれるエレナ。だがエレナは知らなかった。アベルとの出会いが彼女の才能を開花させることを──。そして自分こそがアベルを救い出せる存在であることを──。
※本作品の１・２巻は『溺れるほど愛されて、幸せになってみせますわ！アンソロジーコミック3巻』の収録作品です。</v>
      </c>
      <c r="W1451" s="14"/>
      <c r="X1451" s="14" t="str">
        <f>IFERROR(__xludf.DUMMYFUNCTION("""COMPUTED_VALUE"""),"有")</f>
        <v>有</v>
      </c>
      <c r="Y1451" s="8" t="str">
        <f>IFERROR(__xludf.DUMMYFUNCTION("""COMPUTED_VALUE"""),"P10まで")</f>
        <v>P10まで</v>
      </c>
      <c r="Z1451" s="7"/>
      <c r="AA1451" s="7"/>
      <c r="AB1451" s="7"/>
    </row>
    <row r="1452" ht="15.75" customHeight="1">
      <c r="A1452" s="26">
        <f>IFERROR(__xludf.DUMMYFUNCTION("""COMPUTED_VALUE"""),3311.0)</f>
        <v>3311</v>
      </c>
      <c r="B1452" s="22" t="str">
        <f>IFERROR(__xludf.DUMMYFUNCTION("""COMPUTED_VALUE"""),"確定")</f>
        <v>確定</v>
      </c>
      <c r="C1452" s="28">
        <f>IFERROR(__xludf.DUMMYFUNCTION("""COMPUTED_VALUE"""),45399.0)</f>
        <v>45399</v>
      </c>
      <c r="D1452" s="28">
        <f>IFERROR(__xludf.DUMMYFUNCTION("""COMPUTED_VALUE"""),45401.0)</f>
        <v>45401</v>
      </c>
      <c r="E1452" s="26">
        <f>IFERROR(__xludf.DUMMYFUNCTION("""COMPUTED_VALUE"""),292624.0)</f>
        <v>292624</v>
      </c>
      <c r="F1452" s="22" t="str">
        <f>IFERROR(__xludf.DUMMYFUNCTION("""COMPUTED_VALUE"""),"最大限こちらに有利な条件で婚約破棄させていただきますわ！そして、愛しの王太子様に嫁ぎます！")</f>
        <v>最大限こちらに有利な条件で婚約破棄させていただきますわ！そして、愛しの王太子様に嫁ぎます！</v>
      </c>
      <c r="G1452" s="11" t="str">
        <f>IFERROR(__xludf.DUMMYFUNCTION("""COMPUTED_VALUE"""),"1～2")</f>
        <v>1～2</v>
      </c>
      <c r="H1452" s="22" t="str">
        <f>IFERROR(__xludf.DUMMYFUNCTION("""COMPUTED_VALUE"""),"緑茶粒／COMIC ROOM")</f>
        <v>緑茶粒／COMIC ROOM</v>
      </c>
      <c r="I1452" s="22" t="str">
        <f>IFERROR(__xludf.DUMMYFUNCTION("""COMPUTED_VALUE"""),"女性")</f>
        <v>女性</v>
      </c>
      <c r="J1452" s="22"/>
      <c r="K1452" s="22"/>
      <c r="L1452" s="22" t="str">
        <f>IFERROR(__xludf.DUMMYFUNCTION("""COMPUTED_VALUE"""),"コミックルーム")</f>
        <v>コミックルーム</v>
      </c>
      <c r="M1452" s="23">
        <f>IFERROR(__xludf.DUMMYFUNCTION("""COMPUTED_VALUE"""),45427.0)</f>
        <v>45427</v>
      </c>
      <c r="N1452" s="23">
        <f>IFERROR(__xludf.DUMMYFUNCTION("""COMPUTED_VALUE"""),45518.0)</f>
        <v>45518</v>
      </c>
      <c r="O1452" s="20"/>
      <c r="P1452" s="32" t="str">
        <f>IFERROR(__xludf.DUMMYFUNCTION("""COMPUTED_VALUE"""),"可")</f>
        <v>可</v>
      </c>
      <c r="Q1452" s="30"/>
      <c r="R1452" s="22"/>
      <c r="S1452" s="22" t="str">
        <f>IFERROR(__xludf.DUMMYFUNCTION("""COMPUTED_VALUE"""),"20240417_コミックルーム_最大限こちらに有利な条件で婚約破棄させていただきますわ！そして、愛しの王太子様に嫁ぎます！")</f>
        <v>20240417_コミックルーム_最大限こちらに有利な条件で婚約破棄させていただきますわ！そして、愛しの王太子様に嫁ぎます！</v>
      </c>
      <c r="T1452" s="22" t="str">
        <f>IFERROR(__xludf.DUMMYFUNCTION("""COMPUTED_VALUE"""),"格納済み")</f>
        <v>格納済み</v>
      </c>
      <c r="U1452" s="15" t="str">
        <f>IFERROR(__xludf.DUMMYFUNCTION("""COMPUTED_VALUE"""),"©緑茶粒／COMIC ROOM")</f>
        <v>©緑茶粒／COMIC ROOM</v>
      </c>
      <c r="V1452" s="8" t="str">
        <f>IFERROR(__xludf.DUMMYFUNCTION("""COMPUTED_VALUE"""),"公爵令嬢アシュリーは、ある日突然、第二王子のモリーから婚約破棄をされる。
だが、それはアシュリーにとって千載一遇のチャンスであった。
以前からアシュリーはモリーの素行の悪さと人間性に辟易しており、破局を望んでいたからである。ただし、相手は腐っても王子。破局の責任は全て王子の方にあらねばならない。そのためにアシュリーは事前に、モリーの様々な悪行の証拠を調査し集めていた。婚約破棄の場でそれを一気に暴露するアシュリー。
しかし、その手際に感心した第一王子のユージーンが意外な申し出をしてきて──！？　
悪"&amp;"・即・斬！　最速のざまぁが炸裂する王宮ラブコメディ！！
※本作品の１・２巻は『溺れるほど愛されて、幸せになってみせますわ！アンソロジーコミック3巻』の収録作品です。")</f>
        <v>公爵令嬢アシュリーは、ある日突然、第二王子のモリーから婚約破棄をされる。
だが、それはアシュリーにとって千載一遇のチャンスであった。
以前からアシュリーはモリーの素行の悪さと人間性に辟易しており、破局を望んでいたからである。ただし、相手は腐っても王子。破局の責任は全て王子の方にあらねばならない。そのためにアシュリーは事前に、モリーの様々な悪行の証拠を調査し集めていた。婚約破棄の場でそれを一気に暴露するアシュリー。
しかし、その手際に感心した第一王子のユージーンが意外な申し出をしてきて──！？　
悪・即・斬！　最速のざまぁが炸裂する王宮ラブコメディ！！
※本作品の１・２巻は『溺れるほど愛されて、幸せになってみせますわ！アンソロジーコミック3巻』の収録作品です。</v>
      </c>
      <c r="W1452" s="14"/>
      <c r="X1452" s="14" t="str">
        <f>IFERROR(__xludf.DUMMYFUNCTION("""COMPUTED_VALUE"""),"有")</f>
        <v>有</v>
      </c>
      <c r="Y1452" s="8" t="str">
        <f>IFERROR(__xludf.DUMMYFUNCTION("""COMPUTED_VALUE"""),"P9まで")</f>
        <v>P9まで</v>
      </c>
      <c r="Z1452" s="7"/>
      <c r="AA1452" s="7"/>
      <c r="AB1452" s="7"/>
    </row>
    <row r="1453" ht="15.75" customHeight="1">
      <c r="A1453" s="26">
        <f>IFERROR(__xludf.DUMMYFUNCTION("""COMPUTED_VALUE"""),3312.0)</f>
        <v>3312</v>
      </c>
      <c r="B1453" s="22" t="str">
        <f>IFERROR(__xludf.DUMMYFUNCTION("""COMPUTED_VALUE"""),"確定")</f>
        <v>確定</v>
      </c>
      <c r="C1453" s="28">
        <f>IFERROR(__xludf.DUMMYFUNCTION("""COMPUTED_VALUE"""),45399.0)</f>
        <v>45399</v>
      </c>
      <c r="D1453" s="28">
        <f>IFERROR(__xludf.DUMMYFUNCTION("""COMPUTED_VALUE"""),45401.0)</f>
        <v>45401</v>
      </c>
      <c r="E1453" s="26">
        <f>IFERROR(__xludf.DUMMYFUNCTION("""COMPUTED_VALUE"""),292625.0)</f>
        <v>292625</v>
      </c>
      <c r="F1453" s="22" t="str">
        <f>IFERROR(__xludf.DUMMYFUNCTION("""COMPUTED_VALUE"""),"時間遡行した公爵令嬢は狡猾な義妹を断罪いたしますわ！")</f>
        <v>時間遡行した公爵令嬢は狡猾な義妹を断罪いたしますわ！</v>
      </c>
      <c r="G1453" s="11" t="str">
        <f>IFERROR(__xludf.DUMMYFUNCTION("""COMPUTED_VALUE"""),"1～2")</f>
        <v>1～2</v>
      </c>
      <c r="H1453" s="22" t="str">
        <f>IFERROR(__xludf.DUMMYFUNCTION("""COMPUTED_VALUE"""),"若本雪水／COMIC ROOM")</f>
        <v>若本雪水／COMIC ROOM</v>
      </c>
      <c r="I1453" s="22" t="str">
        <f>IFERROR(__xludf.DUMMYFUNCTION("""COMPUTED_VALUE"""),"女性")</f>
        <v>女性</v>
      </c>
      <c r="J1453" s="22"/>
      <c r="K1453" s="22"/>
      <c r="L1453" s="22" t="str">
        <f>IFERROR(__xludf.DUMMYFUNCTION("""COMPUTED_VALUE"""),"コミックルーム")</f>
        <v>コミックルーム</v>
      </c>
      <c r="M1453" s="23">
        <f>IFERROR(__xludf.DUMMYFUNCTION("""COMPUTED_VALUE"""),45427.0)</f>
        <v>45427</v>
      </c>
      <c r="N1453" s="23">
        <f>IFERROR(__xludf.DUMMYFUNCTION("""COMPUTED_VALUE"""),45518.0)</f>
        <v>45518</v>
      </c>
      <c r="O1453" s="20"/>
      <c r="P1453" s="32" t="str">
        <f>IFERROR(__xludf.DUMMYFUNCTION("""COMPUTED_VALUE"""),"可")</f>
        <v>可</v>
      </c>
      <c r="Q1453" s="30"/>
      <c r="R1453" s="22"/>
      <c r="S1453" s="22" t="str">
        <f>IFERROR(__xludf.DUMMYFUNCTION("""COMPUTED_VALUE"""),"20240417_コミックルーム_時間遡行した公爵令嬢は狡猾な義妹を断罪いたしますわ！")</f>
        <v>20240417_コミックルーム_時間遡行した公爵令嬢は狡猾な義妹を断罪いたしますわ！</v>
      </c>
      <c r="T1453" s="22" t="str">
        <f>IFERROR(__xludf.DUMMYFUNCTION("""COMPUTED_VALUE"""),"格納済み")</f>
        <v>格納済み</v>
      </c>
      <c r="U1453" s="15" t="str">
        <f>IFERROR(__xludf.DUMMYFUNCTION("""COMPUTED_VALUE"""),"©若本雪水／COMIC ROOM")</f>
        <v>©若本雪水／COMIC ROOM</v>
      </c>
      <c r="V1453" s="8" t="str">
        <f>IFERROR(__xludf.DUMMYFUNCTION("""COMPUTED_VALUE"""),"無実の罪を着せられ断頭台に立つ公爵令嬢のリリー。全ての原因は、公爵家に養子としてやってきた義妹キャシーの策略によるものであった。
家族や婚約者からの信頼を奪われた上に、稀代の悪女とされてしまったリリーはそのまま生涯を終えた…はずだった。
次に目を覚ました彼女が鏡に見たのはキャシーが来る数日前の自分の姿。そう、彼女は自分が死ぬ数年前に遡っていたのだ。
2度目の人生は真の悪女になろう！　目には目を悪女には悪女を！
憎きキャシーを容赦なく地獄に叩き落とすため覚醒したリリーの復讐が始まる──！
※本"&amp;"作品の１・２巻は『溺れるほど愛されて、幸せになってみせますわ！アンソロジーコミック3巻』の収録作品です。")</f>
        <v>無実の罪を着せられ断頭台に立つ公爵令嬢のリリー。全ての原因は、公爵家に養子としてやってきた義妹キャシーの策略によるものであった。
家族や婚約者からの信頼を奪われた上に、稀代の悪女とされてしまったリリーはそのまま生涯を終えた…はずだった。
次に目を覚ました彼女が鏡に見たのはキャシーが来る数日前の自分の姿。そう、彼女は自分が死ぬ数年前に遡っていたのだ。
2度目の人生は真の悪女になろう！　目には目を悪女には悪女を！
憎きキャシーを容赦なく地獄に叩き落とすため覚醒したリリーの復讐が始まる──！
※本作品の１・２巻は『溺れるほど愛されて、幸せになってみせますわ！アンソロジーコミック3巻』の収録作品です。</v>
      </c>
      <c r="W1453" s="14"/>
      <c r="X1453" s="14" t="str">
        <f>IFERROR(__xludf.DUMMYFUNCTION("""COMPUTED_VALUE"""),"有")</f>
        <v>有</v>
      </c>
      <c r="Y1453" s="8" t="str">
        <f>IFERROR(__xludf.DUMMYFUNCTION("""COMPUTED_VALUE"""),"P9まで")</f>
        <v>P9まで</v>
      </c>
      <c r="Z1453" s="7"/>
      <c r="AA1453" s="7"/>
      <c r="AB1453" s="7"/>
    </row>
    <row r="1454" ht="102.75" customHeight="1">
      <c r="A1454" s="26">
        <f>IFERROR(__xludf.DUMMYFUNCTION("""COMPUTED_VALUE"""),3316.0)</f>
        <v>3316</v>
      </c>
      <c r="B1454" s="22" t="str">
        <f>IFERROR(__xludf.DUMMYFUNCTION("""COMPUTED_VALUE"""),"確定")</f>
        <v>確定</v>
      </c>
      <c r="C1454" s="28">
        <f>IFERROR(__xludf.DUMMYFUNCTION("""COMPUTED_VALUE"""),45404.0)</f>
        <v>45404</v>
      </c>
      <c r="D1454" s="28">
        <f>IFERROR(__xludf.DUMMYFUNCTION("""COMPUTED_VALUE"""),45405.0)</f>
        <v>45405</v>
      </c>
      <c r="E1454" s="26">
        <f>IFERROR(__xludf.DUMMYFUNCTION("""COMPUTED_VALUE"""),279200.0)</f>
        <v>279200</v>
      </c>
      <c r="F1454" s="22" t="str">
        <f>IFERROR(__xludf.DUMMYFUNCTION("""COMPUTED_VALUE"""),"カオスが来る時に")</f>
        <v>カオスが来る時に</v>
      </c>
      <c r="G1454" s="20" t="str">
        <f>IFERROR(__xludf.DUMMYFUNCTION("""COMPUTED_VALUE"""),"1～3")</f>
        <v>1～3</v>
      </c>
      <c r="H1454" s="22" t="str">
        <f>IFERROR(__xludf.DUMMYFUNCTION("""COMPUTED_VALUE"""),"水上あきら,荒井チェイサー")</f>
        <v>水上あきら,荒井チェイサー</v>
      </c>
      <c r="I1454" s="22" t="str">
        <f>IFERROR(__xludf.DUMMYFUNCTION("""COMPUTED_VALUE"""),"青年")</f>
        <v>青年</v>
      </c>
      <c r="J1454" s="22"/>
      <c r="K1454" s="22"/>
      <c r="L1454" s="22" t="str">
        <f>IFERROR(__xludf.DUMMYFUNCTION("""COMPUTED_VALUE"""),"シーモアコミックス")</f>
        <v>シーモアコミックス</v>
      </c>
      <c r="M1454" s="23">
        <f>IFERROR(__xludf.DUMMYFUNCTION("""COMPUTED_VALUE"""),45443.0)</f>
        <v>45443</v>
      </c>
      <c r="N1454" s="23">
        <f>IFERROR(__xludf.DUMMYFUNCTION("""COMPUTED_VALUE"""),45596.0)</f>
        <v>45596</v>
      </c>
      <c r="O1454" s="20"/>
      <c r="P1454" s="34" t="str">
        <f>IFERROR(__xludf.DUMMYFUNCTION("""COMPUTED_VALUE"""),"可")</f>
        <v>可</v>
      </c>
      <c r="Q1454" s="30"/>
      <c r="R1454" s="22"/>
      <c r="S1454" s="22" t="str">
        <f>IFERROR(__xludf.DUMMYFUNCTION("""COMPUTED_VALUE"""),"20240422_シーモアコミックス_カオスが来る時に")</f>
        <v>20240422_シーモアコミックス_カオスが来る時に</v>
      </c>
      <c r="T1454" s="22" t="str">
        <f>IFERROR(__xludf.DUMMYFUNCTION("""COMPUTED_VALUE"""),"格納済み")</f>
        <v>格納済み</v>
      </c>
      <c r="U1454" s="15" t="str">
        <f>IFERROR(__xludf.DUMMYFUNCTION("""COMPUTED_VALUE"""),"© 水上あきら/荒井チェイサー/シーモアコミックス")</f>
        <v>© 水上あきら/荒井チェイサー/シーモアコミックス</v>
      </c>
      <c r="V1454" s="8" t="str">
        <f>IFERROR(__xludf.DUMMYFUNCTION("""COMPUTED_VALUE"""),"クラスメイトからいじめを受ける少年、神代慶介。エスカレートしたいじめは彼の命をも奪おうとしていた。燃え盛る火の中、神代は己の内に秘めた怨みの塊『カオス』と出会い、能力を授かる。―さあ お前の復讐を果たせ―")</f>
        <v>クラスメイトからいじめを受ける少年、神代慶介。エスカレートしたいじめは彼の命をも奪おうとしていた。燃え盛る火の中、神代は己の内に秘めた怨みの塊『カオス』と出会い、能力を授かる。―さあ お前の復讐を果たせ―</v>
      </c>
      <c r="W1454" s="14"/>
      <c r="X1454" s="14" t="str">
        <f>IFERROR(__xludf.DUMMYFUNCTION("""COMPUTED_VALUE"""),"有")</f>
        <v>有</v>
      </c>
      <c r="Y1454" s="8" t="str">
        <f>IFERROR(__xludf.DUMMYFUNCTION("""COMPUTED_VALUE"""),"2024/6/17まで1巻無料")</f>
        <v>2024/6/17まで1巻無料</v>
      </c>
      <c r="Z1454" s="7"/>
      <c r="AA1454" s="7"/>
      <c r="AB1454" s="7"/>
    </row>
    <row r="1455" ht="15.75" customHeight="1">
      <c r="A1455" s="26">
        <f>IFERROR(__xludf.DUMMYFUNCTION("""COMPUTED_VALUE"""),3317.0)</f>
        <v>3317</v>
      </c>
      <c r="B1455" s="22" t="str">
        <f>IFERROR(__xludf.DUMMYFUNCTION("""COMPUTED_VALUE"""),"確定")</f>
        <v>確定</v>
      </c>
      <c r="C1455" s="28">
        <f>IFERROR(__xludf.DUMMYFUNCTION("""COMPUTED_VALUE"""),45404.0)</f>
        <v>45404</v>
      </c>
      <c r="D1455" s="28">
        <f>IFERROR(__xludf.DUMMYFUNCTION("""COMPUTED_VALUE"""),45405.0)</f>
        <v>45405</v>
      </c>
      <c r="E1455" s="26">
        <f>IFERROR(__xludf.DUMMYFUNCTION("""COMPUTED_VALUE"""),286065.0)</f>
        <v>286065</v>
      </c>
      <c r="F1455" s="46" t="str">
        <f>IFERROR(__xludf.DUMMYFUNCTION("""COMPUTED_VALUE"""),"夫の地元は居場所がない")</f>
        <v>夫の地元は居場所がない</v>
      </c>
      <c r="G1455" s="20" t="str">
        <f>IFERROR(__xludf.DUMMYFUNCTION("""COMPUTED_VALUE"""),"1～3")</f>
        <v>1～3</v>
      </c>
      <c r="H1455" s="22" t="str">
        <f>IFERROR(__xludf.DUMMYFUNCTION("""COMPUTED_VALUE"""),"百田ちなこ,イガラシムウ")</f>
        <v>百田ちなこ,イガラシムウ</v>
      </c>
      <c r="I1455" s="22" t="str">
        <f>IFERROR(__xludf.DUMMYFUNCTION("""COMPUTED_VALUE"""),"女性")</f>
        <v>女性</v>
      </c>
      <c r="J1455" s="22"/>
      <c r="K1455" s="22"/>
      <c r="L1455" s="22" t="str">
        <f>IFERROR(__xludf.DUMMYFUNCTION("""COMPUTED_VALUE"""),"シーモアコミックス")</f>
        <v>シーモアコミックス</v>
      </c>
      <c r="M1455" s="23">
        <f>IFERROR(__xludf.DUMMYFUNCTION("""COMPUTED_VALUE"""),45450.0)</f>
        <v>45450</v>
      </c>
      <c r="N1455" s="23">
        <f>IFERROR(__xludf.DUMMYFUNCTION("""COMPUTED_VALUE"""),45603.0)</f>
        <v>45603</v>
      </c>
      <c r="O1455" s="20"/>
      <c r="P1455" s="34" t="str">
        <f>IFERROR(__xludf.DUMMYFUNCTION("""COMPUTED_VALUE"""),"可")</f>
        <v>可</v>
      </c>
      <c r="Q1455" s="30"/>
      <c r="R1455" s="22"/>
      <c r="S1455" s="22" t="str">
        <f>IFERROR(__xludf.DUMMYFUNCTION("""COMPUTED_VALUE"""),"20240422_シーモアコミックス_夫の地元は居場所がない")</f>
        <v>20240422_シーモアコミックス_夫の地元は居場所がない</v>
      </c>
      <c r="T1455" s="22" t="str">
        <f>IFERROR(__xludf.DUMMYFUNCTION("""COMPUTED_VALUE"""),"格納済み")</f>
        <v>格納済み</v>
      </c>
      <c r="U1455" s="15" t="str">
        <f>IFERROR(__xludf.DUMMYFUNCTION("""COMPUTED_VALUE"""),"© 百田ちなこ/イガラシムウ/シーモアコミックス")</f>
        <v>© 百田ちなこ/イガラシムウ/シーモアコミックス</v>
      </c>
      <c r="V1455" s="8" t="str">
        <f>IFERROR(__xludf.DUMMYFUNCTION("""COMPUTED_VALUE"""),"夫の地元へ引っ越してきた千春。義父母もフレンドリーで、ここで幸せを掴み取ろうと思っていた――…。しかし実際に生活をはじめると、優しかったはずの義母が、毎日のようにアポなし訪問しては嫌味を言い、夫はそれに注意すらしない。近所の人はいつも噂話を流しているし、夫の地元の友人たちはデリカシーもなく毎週のように集っている。夫の地元で居場所のなさを感じている千春は、夫との距離も感じるようになってきて…。")</f>
        <v>夫の地元へ引っ越してきた千春。義父母もフレンドリーで、ここで幸せを掴み取ろうと思っていた――…。しかし実際に生活をはじめると、優しかったはずの義母が、毎日のようにアポなし訪問しては嫌味を言い、夫はそれに注意すらしない。近所の人はいつも噂話を流しているし、夫の地元の友人たちはデリカシーもなく毎週のように集っている。夫の地元で居場所のなさを感じている千春は、夫との距離も感じるようになってきて…。</v>
      </c>
      <c r="W1455" s="14"/>
      <c r="X1455" s="14" t="str">
        <f>IFERROR(__xludf.DUMMYFUNCTION("""COMPUTED_VALUE"""),"有")</f>
        <v>有</v>
      </c>
      <c r="Y1455" s="8" t="str">
        <f>IFERROR(__xludf.DUMMYFUNCTION("""COMPUTED_VALUE"""),"P17まで")</f>
        <v>P17まで</v>
      </c>
      <c r="Z1455" s="7"/>
      <c r="AA1455" s="7"/>
      <c r="AB1455" s="7"/>
    </row>
    <row r="1456" ht="15.75" customHeight="1">
      <c r="A1456" s="26">
        <f>IFERROR(__xludf.DUMMYFUNCTION("""COMPUTED_VALUE"""),3318.0)</f>
        <v>3318</v>
      </c>
      <c r="B1456" s="22" t="str">
        <f>IFERROR(__xludf.DUMMYFUNCTION("""COMPUTED_VALUE"""),"確定")</f>
        <v>確定</v>
      </c>
      <c r="C1456" s="28">
        <f>IFERROR(__xludf.DUMMYFUNCTION("""COMPUTED_VALUE"""),45404.0)</f>
        <v>45404</v>
      </c>
      <c r="D1456" s="28">
        <f>IFERROR(__xludf.DUMMYFUNCTION("""COMPUTED_VALUE"""),45405.0)</f>
        <v>45405</v>
      </c>
      <c r="E1456" s="26">
        <f>IFERROR(__xludf.DUMMYFUNCTION("""COMPUTED_VALUE"""),265955.0)</f>
        <v>265955</v>
      </c>
      <c r="F1456" s="46" t="str">
        <f>IFERROR(__xludf.DUMMYFUNCTION("""COMPUTED_VALUE"""),"私のお面が取れるまで")</f>
        <v>私のお面が取れるまで</v>
      </c>
      <c r="G1456" s="20" t="str">
        <f>IFERROR(__xludf.DUMMYFUNCTION("""COMPUTED_VALUE"""),"1～3")</f>
        <v>1～3</v>
      </c>
      <c r="H1456" s="22" t="str">
        <f>IFERROR(__xludf.DUMMYFUNCTION("""COMPUTED_VALUE"""),"コンドウタク,沢とも乃")</f>
        <v>コンドウタク,沢とも乃</v>
      </c>
      <c r="I1456" s="22" t="str">
        <f>IFERROR(__xludf.DUMMYFUNCTION("""COMPUTED_VALUE"""),"女性")</f>
        <v>女性</v>
      </c>
      <c r="J1456" s="22"/>
      <c r="K1456" s="22"/>
      <c r="L1456" s="22" t="str">
        <f>IFERROR(__xludf.DUMMYFUNCTION("""COMPUTED_VALUE"""),"シーモアコミックス")</f>
        <v>シーモアコミックス</v>
      </c>
      <c r="M1456" s="23">
        <f>IFERROR(__xludf.DUMMYFUNCTION("""COMPUTED_VALUE"""),45450.0)</f>
        <v>45450</v>
      </c>
      <c r="N1456" s="23">
        <f>IFERROR(__xludf.DUMMYFUNCTION("""COMPUTED_VALUE"""),45603.0)</f>
        <v>45603</v>
      </c>
      <c r="O1456" s="20"/>
      <c r="P1456" s="34" t="str">
        <f>IFERROR(__xludf.DUMMYFUNCTION("""COMPUTED_VALUE"""),"可")</f>
        <v>可</v>
      </c>
      <c r="Q1456" s="30"/>
      <c r="R1456" s="22"/>
      <c r="S1456" s="22" t="str">
        <f>IFERROR(__xludf.DUMMYFUNCTION("""COMPUTED_VALUE"""),"20240422_シーモアコミックス_私のお面が取れるまで")</f>
        <v>20240422_シーモアコミックス_私のお面が取れるまで</v>
      </c>
      <c r="T1456" s="22" t="str">
        <f>IFERROR(__xludf.DUMMYFUNCTION("""COMPUTED_VALUE"""),"格納済み")</f>
        <v>格納済み</v>
      </c>
      <c r="U1456" s="15" t="str">
        <f>IFERROR(__xludf.DUMMYFUNCTION("""COMPUTED_VALUE"""),"© コンドウタク/沢とも乃/シーモアコミックス")</f>
        <v>© コンドウタク/沢とも乃/シーモアコミックス</v>
      </c>
      <c r="V1456" s="8" t="str">
        <f>IFERROR(__xludf.DUMMYFUNCTION("""COMPUTED_VALUE"""),"「ずっと、可愛いと思っていたんです」感情を表に出すことが苦手な篠塚玲は周囲から遠巻きにされ「能面さん」というあだ名まで付けられていた。誰にでも明るく挨拶をしてくれる佐々林南翔を除けば、滅多に人と話をしない日々。ある日上司から食事に誘われ、自分を変えるチャンスだと出かけるも会話が続けられず、ひどい言葉を投げかけられてしまう。そんな時、救い出してくれたのは声をかけてくれていた南翔で＿＿。")</f>
        <v>「ずっと、可愛いと思っていたんです」感情を表に出すことが苦手な篠塚玲は周囲から遠巻きにされ「能面さん」というあだ名まで付けられていた。誰にでも明るく挨拶をしてくれる佐々林南翔を除けば、滅多に人と話をしない日々。ある日上司から食事に誘われ、自分を変えるチャンスだと出かけるも会話が続けられず、ひどい言葉を投げかけられてしまう。そんな時、救い出してくれたのは声をかけてくれていた南翔で＿＿。</v>
      </c>
      <c r="W1456" s="14"/>
      <c r="X1456" s="14" t="str">
        <f>IFERROR(__xludf.DUMMYFUNCTION("""COMPUTED_VALUE"""),"有")</f>
        <v>有</v>
      </c>
      <c r="Y1456" s="8" t="str">
        <f>IFERROR(__xludf.DUMMYFUNCTION("""COMPUTED_VALUE"""),"P17まで")</f>
        <v>P17まで</v>
      </c>
      <c r="Z1456" s="7"/>
      <c r="AA1456" s="7"/>
      <c r="AB1456" s="7"/>
    </row>
    <row r="1457" ht="114.0" customHeight="1">
      <c r="A1457" s="26">
        <f>IFERROR(__xludf.DUMMYFUNCTION("""COMPUTED_VALUE"""),3319.0)</f>
        <v>3319</v>
      </c>
      <c r="B1457" s="22" t="str">
        <f>IFERROR(__xludf.DUMMYFUNCTION("""COMPUTED_VALUE"""),"確定")</f>
        <v>確定</v>
      </c>
      <c r="C1457" s="28">
        <f>IFERROR(__xludf.DUMMYFUNCTION("""COMPUTED_VALUE"""),45404.0)</f>
        <v>45404</v>
      </c>
      <c r="D1457" s="28">
        <f>IFERROR(__xludf.DUMMYFUNCTION("""COMPUTED_VALUE"""),45405.0)</f>
        <v>45405</v>
      </c>
      <c r="E1457" s="26">
        <f>IFERROR(__xludf.DUMMYFUNCTION("""COMPUTED_VALUE"""),281988.0)</f>
        <v>281988</v>
      </c>
      <c r="F1457" s="46" t="str">
        <f>IFERROR(__xludf.DUMMYFUNCTION("""COMPUTED_VALUE"""),"家庭も仕事もワンオペです")</f>
        <v>家庭も仕事もワンオペです</v>
      </c>
      <c r="G1457" s="20" t="str">
        <f>IFERROR(__xludf.DUMMYFUNCTION("""COMPUTED_VALUE"""),"1～3")</f>
        <v>1～3</v>
      </c>
      <c r="H1457" s="22" t="str">
        <f>IFERROR(__xludf.DUMMYFUNCTION("""COMPUTED_VALUE"""),"蒼田山")</f>
        <v>蒼田山</v>
      </c>
      <c r="I1457" s="22" t="str">
        <f>IFERROR(__xludf.DUMMYFUNCTION("""COMPUTED_VALUE"""),"女性")</f>
        <v>女性</v>
      </c>
      <c r="J1457" s="22"/>
      <c r="K1457" s="22"/>
      <c r="L1457" s="22" t="str">
        <f>IFERROR(__xludf.DUMMYFUNCTION("""COMPUTED_VALUE"""),"シーモアコミックス")</f>
        <v>シーモアコミックス</v>
      </c>
      <c r="M1457" s="23">
        <f>IFERROR(__xludf.DUMMYFUNCTION("""COMPUTED_VALUE"""),45450.0)</f>
        <v>45450</v>
      </c>
      <c r="N1457" s="23">
        <f>IFERROR(__xludf.DUMMYFUNCTION("""COMPUTED_VALUE"""),45603.0)</f>
        <v>45603</v>
      </c>
      <c r="O1457" s="20"/>
      <c r="P1457" s="34" t="str">
        <f>IFERROR(__xludf.DUMMYFUNCTION("""COMPUTED_VALUE"""),"可")</f>
        <v>可</v>
      </c>
      <c r="Q1457" s="30"/>
      <c r="R1457" s="22"/>
      <c r="S1457" s="22" t="str">
        <f>IFERROR(__xludf.DUMMYFUNCTION("""COMPUTED_VALUE"""),"20240422_シーモアコミックス_家庭も仕事もワンオペです")</f>
        <v>20240422_シーモアコミックス_家庭も仕事もワンオペです</v>
      </c>
      <c r="T1457" s="22" t="str">
        <f>IFERROR(__xludf.DUMMYFUNCTION("""COMPUTED_VALUE"""),"格納済み")</f>
        <v>格納済み</v>
      </c>
      <c r="U1457" s="15" t="str">
        <f>IFERROR(__xludf.DUMMYFUNCTION("""COMPUTED_VALUE"""),"© 蒼田山/シーモアコミックス")</f>
        <v>© 蒼田山/シーモアコミックス</v>
      </c>
      <c r="V1457" s="8" t="str">
        <f>IFERROR(__xludf.DUMMYFUNCTION("""COMPUTED_VALUE"""),"愛する夫と結婚して、子宝にも恵まれ、幸せいっぱいなはずの恵梨香。しかしその幸せは、育休を終え職場復帰を果たすと崩れていく――…。イレギュラーな子どもの世話も、主になる家事も、すべて恵梨香の仕事。ひとりぼっちでワンオペに耐える恵梨香は、今まで通り仕事だけしていればいい夫に対して、不満を感じるようになって…。")</f>
        <v>愛する夫と結婚して、子宝にも恵まれ、幸せいっぱいなはずの恵梨香。しかしその幸せは、育休を終え職場復帰を果たすと崩れていく――…。イレギュラーな子どもの世話も、主になる家事も、すべて恵梨香の仕事。ひとりぼっちでワンオペに耐える恵梨香は、今まで通り仕事だけしていればいい夫に対して、不満を感じるようになって…。</v>
      </c>
      <c r="W1457" s="14"/>
      <c r="X1457" s="14" t="str">
        <f>IFERROR(__xludf.DUMMYFUNCTION("""COMPUTED_VALUE"""),"有")</f>
        <v>有</v>
      </c>
      <c r="Y1457" s="8" t="str">
        <f>IFERROR(__xludf.DUMMYFUNCTION("""COMPUTED_VALUE"""),"P10まで")</f>
        <v>P10まで</v>
      </c>
      <c r="Z1457" s="7"/>
      <c r="AA1457" s="7"/>
      <c r="AB1457" s="7"/>
    </row>
    <row r="1458" ht="15.75" customHeight="1">
      <c r="A1458" s="26">
        <f>IFERROR(__xludf.DUMMYFUNCTION("""COMPUTED_VALUE"""),3323.0)</f>
        <v>3323</v>
      </c>
      <c r="B1458" s="22" t="str">
        <f>IFERROR(__xludf.DUMMYFUNCTION("""COMPUTED_VALUE"""),"確定")</f>
        <v>確定</v>
      </c>
      <c r="C1458" s="28">
        <f>IFERROR(__xludf.DUMMYFUNCTION("""COMPUTED_VALUE"""),45405.0)</f>
        <v>45405</v>
      </c>
      <c r="D1458" s="28">
        <f>IFERROR(__xludf.DUMMYFUNCTION("""COMPUTED_VALUE"""),45405.0)</f>
        <v>45405</v>
      </c>
      <c r="E1458" s="26">
        <f>IFERROR(__xludf.DUMMYFUNCTION("""COMPUTED_VALUE"""),271566.0)</f>
        <v>271566</v>
      </c>
      <c r="F1458" s="22" t="str">
        <f>IFERROR(__xludf.DUMMYFUNCTION("""COMPUTED_VALUE"""),"余命1年、鬼畜専務と甘く濡れる恋をする(フルカラー)")</f>
        <v>余命1年、鬼畜専務と甘く濡れる恋をする(フルカラー)</v>
      </c>
      <c r="G1458" s="20" t="str">
        <f>IFERROR(__xludf.DUMMYFUNCTION("""COMPUTED_VALUE"""),"1～5")</f>
        <v>1～5</v>
      </c>
      <c r="H1458" s="22" t="str">
        <f>IFERROR(__xludf.DUMMYFUNCTION("""COMPUTED_VALUE"""),"YJ,J.PLUM,EJ")</f>
        <v>YJ,J.PLUM,EJ</v>
      </c>
      <c r="I1458" s="22" t="str">
        <f>IFERROR(__xludf.DUMMYFUNCTION("""COMPUTED_VALUE"""),"女性")</f>
        <v>女性</v>
      </c>
      <c r="J1458" s="22"/>
      <c r="K1458" s="22"/>
      <c r="L1458" s="22" t="str">
        <f>IFERROR(__xludf.DUMMYFUNCTION("""COMPUTED_VALUE"""),"ソルマーレ編集部")</f>
        <v>ソルマーレ編集部</v>
      </c>
      <c r="M1458" s="23">
        <f>IFERROR(__xludf.DUMMYFUNCTION("""COMPUTED_VALUE"""),45437.0)</f>
        <v>45437</v>
      </c>
      <c r="N1458" s="23">
        <f>IFERROR(__xludf.DUMMYFUNCTION("""COMPUTED_VALUE"""),45526.66666666667)</f>
        <v>45526.66667</v>
      </c>
      <c r="O1458" s="20"/>
      <c r="P1458" s="34" t="str">
        <f>IFERROR(__xludf.DUMMYFUNCTION("""COMPUTED_VALUE"""),"可")</f>
        <v>可</v>
      </c>
      <c r="Q1458" s="30" t="str">
        <f>IFERROR(__xludf.DUMMYFUNCTION("""COMPUTED_VALUE"""),"レーベル：スキして?桃色日記")</f>
        <v>レーベル：スキして?桃色日記</v>
      </c>
      <c r="R1458" s="22"/>
      <c r="S1458" s="22" t="str">
        <f>IFERROR(__xludf.DUMMYFUNCTION("""COMPUTED_VALUE"""),"20240423_ソルマーレ編集部_余命1年、鬼畜専務と甘く濡れる恋をする（フルカラー）")</f>
        <v>20240423_ソルマーレ編集部_余命1年、鬼畜専務と甘く濡れる恋をする（フルカラー）</v>
      </c>
      <c r="T1458" s="22" t="str">
        <f>IFERROR(__xludf.DUMMYFUNCTION("""COMPUTED_VALUE"""),"格納済み")</f>
        <v>格納済み</v>
      </c>
      <c r="U1458" s="15" t="str">
        <f>IFERROR(__xludf.DUMMYFUNCTION("""COMPUTED_VALUE"""),"Ⓒ YJ/J.PLUM/EJ/GTENT/シーモアコミックス")</f>
        <v>Ⓒ YJ/J.PLUM/EJ/GTENT/シーモアコミックス</v>
      </c>
      <c r="V1458" s="8" t="str">
        <f>IFERROR(__xludf.DUMMYFUNCTION("""COMPUTED_VALUE"""),"がんで余命1年だと宣告された専務秘書の彩乃。
残りの時間を悔いなく過ごすため、バケットリストを作成することにした。
贅沢な海外旅行、五つ星ホテル、そして1番の願いは“素敵な恋愛をすること”！
そのことを上司である専務の一馬に伝えると「俺と付き合えばいい」と言い出して、彼と1年の期間限定の恋愛を始めることに！
仕事では無茶ぶりばかりでプライベートの時間がとれないほど働かされていたのに、
恋人になった途端「彩乃とキスしたかった」「もうこれ以上は我慢できない」って――!?
仕事人間の専務がこんなに甘"&amp;"くなるなんて聞いてない…！
【桃色日記】")</f>
        <v>がんで余命1年だと宣告された専務秘書の彩乃。
残りの時間を悔いなく過ごすため、バケットリストを作成することにした。
贅沢な海外旅行、五つ星ホテル、そして1番の願いは“素敵な恋愛をすること”！
そのことを上司である専務の一馬に伝えると「俺と付き合えばいい」と言い出して、彼と1年の期間限定の恋愛を始めることに！
仕事では無茶ぶりばかりでプライベートの時間がとれないほど働かされていたのに、
恋人になった途端「彩乃とキスしたかった」「もうこれ以上は我慢できない」って――!?
仕事人間の専務がこんなに甘くなるなんて聞いてない…！
【桃色日記】</v>
      </c>
      <c r="W1458" s="14"/>
      <c r="X1458" s="14" t="str">
        <f>IFERROR(__xludf.DUMMYFUNCTION("""COMPUTED_VALUE"""),"有")</f>
        <v>有</v>
      </c>
      <c r="Y1458" s="8" t="str">
        <f>IFERROR(__xludf.DUMMYFUNCTION("""COMPUTED_VALUE"""),"P16まで")</f>
        <v>P16まで</v>
      </c>
      <c r="Z1458" s="7"/>
      <c r="AA1458" s="7"/>
      <c r="AB1458" s="7"/>
    </row>
    <row r="1459" ht="15.75" customHeight="1">
      <c r="A1459" s="26">
        <f>IFERROR(__xludf.DUMMYFUNCTION("""COMPUTED_VALUE"""),3324.0)</f>
        <v>3324</v>
      </c>
      <c r="B1459" s="22" t="str">
        <f>IFERROR(__xludf.DUMMYFUNCTION("""COMPUTED_VALUE"""),"確定")</f>
        <v>確定</v>
      </c>
      <c r="C1459" s="28">
        <f>IFERROR(__xludf.DUMMYFUNCTION("""COMPUTED_VALUE"""),45405.0)</f>
        <v>45405</v>
      </c>
      <c r="D1459" s="28">
        <f>IFERROR(__xludf.DUMMYFUNCTION("""COMPUTED_VALUE"""),45405.0)</f>
        <v>45405</v>
      </c>
      <c r="E1459" s="26">
        <f>IFERROR(__xludf.DUMMYFUNCTION("""COMPUTED_VALUE"""),271567.0)</f>
        <v>271567</v>
      </c>
      <c r="F1459" s="22" t="str">
        <f>IFERROR(__xludf.DUMMYFUNCTION("""COMPUTED_VALUE"""),"余命1年、鬼畜専務と甘く濡れる恋をする【タテヨミ】")</f>
        <v>余命1年、鬼畜専務と甘く濡れる恋をする【タテヨミ】</v>
      </c>
      <c r="G1459" s="11" t="str">
        <f>IFERROR(__xludf.DUMMYFUNCTION("""COMPUTED_VALUE"""),"1～15")</f>
        <v>1～15</v>
      </c>
      <c r="H1459" s="22" t="str">
        <f>IFERROR(__xludf.DUMMYFUNCTION("""COMPUTED_VALUE"""),"YJ,J.PLUM,EJ")</f>
        <v>YJ,J.PLUM,EJ</v>
      </c>
      <c r="I1459" s="22" t="str">
        <f>IFERROR(__xludf.DUMMYFUNCTION("""COMPUTED_VALUE"""),"女性")</f>
        <v>女性</v>
      </c>
      <c r="J1459" s="22"/>
      <c r="K1459" s="22"/>
      <c r="L1459" s="22" t="str">
        <f>IFERROR(__xludf.DUMMYFUNCTION("""COMPUTED_VALUE"""),"ソルマーレ編集部")</f>
        <v>ソルマーレ編集部</v>
      </c>
      <c r="M1459" s="23">
        <f>IFERROR(__xludf.DUMMYFUNCTION("""COMPUTED_VALUE"""),45437.0)</f>
        <v>45437</v>
      </c>
      <c r="N1459" s="23">
        <f>IFERROR(__xludf.DUMMYFUNCTION("""COMPUTED_VALUE"""),45526.66666666667)</f>
        <v>45526.66667</v>
      </c>
      <c r="O1459" s="20"/>
      <c r="P1459" s="34" t="str">
        <f>IFERROR(__xludf.DUMMYFUNCTION("""COMPUTED_VALUE"""),"可")</f>
        <v>可</v>
      </c>
      <c r="Q1459" s="30" t="str">
        <f>IFERROR(__xludf.DUMMYFUNCTION("""COMPUTED_VALUE"""),"レーベル：スキして?桃色日記&lt;BR&gt;※コマサム等素材は「271566　余命1年、鬼畜専務と甘く濡れる恋をする（フルカラー）」のほうをお使いください。&lt;BR&gt;バナー制作はフルカラー版の素材を利用して問題ございません。（4/23）")</f>
        <v>レーベル：スキして?桃色日記&lt;BR&gt;※コマサム等素材は「271566　余命1年、鬼畜専務と甘く濡れる恋をする（フルカラー）」のほうをお使いください。&lt;BR&gt;バナー制作はフルカラー版の素材を利用して問題ございません。（4/23）</v>
      </c>
      <c r="R1459" s="22"/>
      <c r="S1459" s="22" t="str">
        <f>IFERROR(__xludf.DUMMYFUNCTION("""COMPUTED_VALUE"""),"20240423_ソルマーレ編集部_余命1年、鬼畜専務と甘く濡れる恋をする【タテヨミ】")</f>
        <v>20240423_ソルマーレ編集部_余命1年、鬼畜専務と甘く濡れる恋をする【タテヨミ】</v>
      </c>
      <c r="T1459" s="22" t="str">
        <f>IFERROR(__xludf.DUMMYFUNCTION("""COMPUTED_VALUE"""),"格納済み")</f>
        <v>格納済み</v>
      </c>
      <c r="U1459" s="15" t="str">
        <f>IFERROR(__xludf.DUMMYFUNCTION("""COMPUTED_VALUE"""),"Ⓒ YJ/J.PLUM/EJ/GTENT/シーモアコミックス")</f>
        <v>Ⓒ YJ/J.PLUM/EJ/GTENT/シーモアコミックス</v>
      </c>
      <c r="V1459" s="8" t="str">
        <f>IFERROR(__xludf.DUMMYFUNCTION("""COMPUTED_VALUE"""),"がんで余命1年だと宣告された専務秘書の彩乃。
残りの時間を悔いなく過ごすため、バケットリストを作成することにした。
贅沢な海外旅行、五つ星ホテル、そして1番の願いは“素敵な恋愛をすること”！
そのことを上司である専務の一馬に伝えると「俺と付き合えばいい」と言い出して、彼と1年の期間限定の恋愛を始めることに！
仕事では無茶ぶりばかりでプライベートの時間がとれないほど働かされていたのに、
恋人になった途端「彩乃とキスしたかった」「もうこれ以上は我慢できない」って――!?
仕事人間の専務がこんなに甘"&amp;"くなるなんて聞いてない…！
【桃色日記】")</f>
        <v>がんで余命1年だと宣告された専務秘書の彩乃。
残りの時間を悔いなく過ごすため、バケットリストを作成することにした。
贅沢な海外旅行、五つ星ホテル、そして1番の願いは“素敵な恋愛をすること”！
そのことを上司である専務の一馬に伝えると「俺と付き合えばいい」と言い出して、彼と1年の期間限定の恋愛を始めることに！
仕事では無茶ぶりばかりでプライベートの時間がとれないほど働かされていたのに、
恋人になった途端「彩乃とキスしたかった」「もうこれ以上は我慢できない」って――!?
仕事人間の専務がこんなに甘くなるなんて聞いてない…！
【桃色日記】</v>
      </c>
      <c r="W1459" s="14"/>
      <c r="X1459" s="14" t="str">
        <f>IFERROR(__xludf.DUMMYFUNCTION("""COMPUTED_VALUE"""),"有")</f>
        <v>有</v>
      </c>
      <c r="Y1459" s="8" t="str">
        <f>IFERROR(__xludf.DUMMYFUNCTION("""COMPUTED_VALUE"""),"1巻無料")</f>
        <v>1巻無料</v>
      </c>
      <c r="Z1459" s="7"/>
      <c r="AA1459" s="7"/>
      <c r="AB1459" s="7"/>
    </row>
    <row r="1460" ht="15.75" customHeight="1">
      <c r="A1460" s="26">
        <f>IFERROR(__xludf.DUMMYFUNCTION("""COMPUTED_VALUE"""),3325.0)</f>
        <v>3325</v>
      </c>
      <c r="B1460" s="22" t="str">
        <f>IFERROR(__xludf.DUMMYFUNCTION("""COMPUTED_VALUE"""),"確定")</f>
        <v>確定</v>
      </c>
      <c r="C1460" s="28">
        <f>IFERROR(__xludf.DUMMYFUNCTION("""COMPUTED_VALUE"""),45405.0)</f>
        <v>45405</v>
      </c>
      <c r="D1460" s="28">
        <f>IFERROR(__xludf.DUMMYFUNCTION("""COMPUTED_VALUE"""),45405.0)</f>
        <v>45405</v>
      </c>
      <c r="E1460" s="26">
        <f>IFERROR(__xludf.DUMMYFUNCTION("""COMPUTED_VALUE"""),288768.0)</f>
        <v>288768</v>
      </c>
      <c r="F1460" s="22" t="str">
        <f>IFERROR(__xludf.DUMMYFUNCTION("""COMPUTED_VALUE"""),"チャラいフリーターは一途なハイスぺ男子でした！？")</f>
        <v>チャラいフリーターは一途なハイスぺ男子でした！？</v>
      </c>
      <c r="G1460" s="20" t="str">
        <f>IFERROR(__xludf.DUMMYFUNCTION("""COMPUTED_VALUE"""),"1～3")</f>
        <v>1～3</v>
      </c>
      <c r="H1460" s="22" t="str">
        <f>IFERROR(__xludf.DUMMYFUNCTION("""COMPUTED_VALUE"""),"こゆきはら星")</f>
        <v>こゆきはら星</v>
      </c>
      <c r="I1460" s="22" t="str">
        <f>IFERROR(__xludf.DUMMYFUNCTION("""COMPUTED_VALUE"""),"女性")</f>
        <v>女性</v>
      </c>
      <c r="J1460" s="22"/>
      <c r="K1460" s="22"/>
      <c r="L1460" s="22" t="str">
        <f>IFERROR(__xludf.DUMMYFUNCTION("""COMPUTED_VALUE"""),"DPNブックス")</f>
        <v>DPNブックス</v>
      </c>
      <c r="M1460" s="23">
        <f>IFERROR(__xludf.DUMMYFUNCTION("""COMPUTED_VALUE"""),45371.0)</f>
        <v>45371</v>
      </c>
      <c r="N1460" s="33">
        <f>IFERROR(__xludf.DUMMYFUNCTION("""COMPUTED_VALUE"""),45401.0)</f>
        <v>45401</v>
      </c>
      <c r="O1460" s="20"/>
      <c r="P1460" s="34" t="str">
        <f>IFERROR(__xludf.DUMMYFUNCTION("""COMPUTED_VALUE"""),"可")</f>
        <v>可</v>
      </c>
      <c r="Q1460" s="30" t="str">
        <f>IFERROR(__xludf.DUMMYFUNCTION("""COMPUTED_VALUE"""),"申し訳ございませんCMS登録漏れで初回配信分の先行期間はきれてしまっております、、、")</f>
        <v>申し訳ございませんCMS登録漏れで初回配信分の先行期間はきれてしまっております、、、</v>
      </c>
      <c r="R1460" s="22"/>
      <c r="S1460" s="22" t="str">
        <f>IFERROR(__xludf.DUMMYFUNCTION("""COMPUTED_VALUE"""),"20240423_DPNブックス_チャラいフリーター")</f>
        <v>20240423_DPNブックス_チャラいフリーター</v>
      </c>
      <c r="T1460" s="22"/>
      <c r="U1460" s="15" t="str">
        <f>IFERROR(__xludf.DUMMYFUNCTION("""COMPUTED_VALUE"""),"(C)こゆきはら星／DPNブックス")</f>
        <v>(C)こゆきはら星／DPNブックス</v>
      </c>
      <c r="V1460" s="8" t="str">
        <f>IFERROR(__xludf.DUMMYFUNCTION("""COMPUTED_VALUE"""),"親代わりに育ててくれた祖父母を安心させたい一心で、婚活しているすず。若い社員からは行き遅れと陰でバカにされる毎日だったが、祖父母の営む洋品店によく来る謎のフリーター、律希に職場での難題をひょんなことから助けてもらうことに。
律希はイケメンで若いがチャラく、真面目なすずは少し苦手に思っていたが…ちょっと強引だけど、辛い時大変な時に優しく手を差し伸べてくれ、気遣ってくれる律希に心は少しずつ変化していく。しかし、すずは律希がフリーターということ以外何も知らないが、実は律希にはもう一つの顔があって――！？")</f>
        <v>親代わりに育ててくれた祖父母を安心させたい一心で、婚活しているすず。若い社員からは行き遅れと陰でバカにされる毎日だったが、祖父母の営む洋品店によく来る謎のフリーター、律希に職場での難題をひょんなことから助けてもらうことに。
律希はイケメンで若いがチャラく、真面目なすずは少し苦手に思っていたが…ちょっと強引だけど、辛い時大変な時に優しく手を差し伸べてくれ、気遣ってくれる律希に心は少しずつ変化していく。しかし、すずは律希がフリーターということ以外何も知らないが、実は律希にはもう一つの顔があって――！？</v>
      </c>
      <c r="W1460" s="14"/>
      <c r="X1460" s="14" t="str">
        <f>IFERROR(__xludf.DUMMYFUNCTION("""COMPUTED_VALUE"""),"有")</f>
        <v>有</v>
      </c>
      <c r="Y1460" s="8" t="str">
        <f>IFERROR(__xludf.DUMMYFUNCTION("""COMPUTED_VALUE"""),"5/29まで1巻無料")</f>
        <v>5/29まで1巻無料</v>
      </c>
      <c r="Z1460" s="7"/>
      <c r="AA1460" s="7"/>
      <c r="AB1460" s="7"/>
    </row>
    <row r="1461" ht="15.75" customHeight="1">
      <c r="A1461" s="26">
        <f>IFERROR(__xludf.DUMMYFUNCTION("""COMPUTED_VALUE"""),3264.0)</f>
        <v>3264</v>
      </c>
      <c r="B1461" s="22" t="str">
        <f>IFERROR(__xludf.DUMMYFUNCTION("""COMPUTED_VALUE"""),"編集")</f>
        <v>編集</v>
      </c>
      <c r="C1461" s="28">
        <f>IFERROR(__xludf.DUMMYFUNCTION("""COMPUTED_VALUE"""),45391.0)</f>
        <v>45391</v>
      </c>
      <c r="D1461" s="28">
        <f>IFERROR(__xludf.DUMMYFUNCTION("""COMPUTED_VALUE"""),45391.0)</f>
        <v>45391</v>
      </c>
      <c r="E1461" s="26">
        <f>IFERROR(__xludf.DUMMYFUNCTION("""COMPUTED_VALUE"""),291853.0)</f>
        <v>291853</v>
      </c>
      <c r="F1461" s="22" t="str">
        <f>IFERROR(__xludf.DUMMYFUNCTION("""COMPUTED_VALUE"""),"もっと欲しいって言ったから　一緒に夜ふかし…してあげる。")</f>
        <v>もっと欲しいって言ったから　一緒に夜ふかし…してあげる。</v>
      </c>
      <c r="G1461" s="11" t="str">
        <f>IFERROR(__xludf.DUMMYFUNCTION("""COMPUTED_VALUE"""),"1～2")</f>
        <v>1～2</v>
      </c>
      <c r="H1461" s="22" t="str">
        <f>IFERROR(__xludf.DUMMYFUNCTION("""COMPUTED_VALUE"""),"パノプティコン後藤")</f>
        <v>パノプティコン後藤</v>
      </c>
      <c r="I1461" s="22" t="str">
        <f>IFERROR(__xludf.DUMMYFUNCTION("""COMPUTED_VALUE"""),"TL")</f>
        <v>TL</v>
      </c>
      <c r="J1461" s="22"/>
      <c r="K1461" s="22"/>
      <c r="L1461" s="22" t="str">
        <f>IFERROR(__xludf.DUMMYFUNCTION("""COMPUTED_VALUE"""),"一迅社")</f>
        <v>一迅社</v>
      </c>
      <c r="M1461" s="23">
        <f>IFERROR(__xludf.DUMMYFUNCTION("""COMPUTED_VALUE"""),45415.0)</f>
        <v>45415</v>
      </c>
      <c r="N1461" s="23">
        <f>IFERROR(__xludf.DUMMYFUNCTION("""COMPUTED_VALUE"""),45449.0)</f>
        <v>45449</v>
      </c>
      <c r="O1461" s="20"/>
      <c r="P1461" s="32" t="str">
        <f>IFERROR(__xludf.DUMMYFUNCTION("""COMPUTED_VALUE"""),"可")</f>
        <v>可</v>
      </c>
      <c r="Q1461" s="30"/>
      <c r="R1461" s="22"/>
      <c r="S1461" s="22" t="str">
        <f>IFERROR(__xludf.DUMMYFUNCTION("""COMPUTED_VALUE"""),"20240409_一迅社_もっと欲しいって言ったから　一緒に夜ふかし…してあげる。")</f>
        <v>20240409_一迅社_もっと欲しいって言ったから　一緒に夜ふかし…してあげる。</v>
      </c>
      <c r="T1461" s="22"/>
      <c r="U1461" s="15" t="str">
        <f>IFERROR(__xludf.DUMMYFUNCTION("""COMPUTED_VALUE"""),"(C)パノプティコン後藤／一迅社")</f>
        <v>(C)パノプティコン後藤／一迅社</v>
      </c>
      <c r="V1461" s="8" t="str">
        <f>IFERROR(__xludf.DUMMYFUNCTION("""COMPUTED_VALUE"""),"「『もっと』って…どうしてほしい？」優しく触れて、擦って。触れるたびに漏れ出る声が、かわいくて。どうしよう。ダメだってわかってるのに、やめられない…。愛犬が入院した寂しさを紛らわせるために、会社の飲み会で飲みすぎてしまった結衣。営業部のエースで後輩の駿一に家まで送り届けてもらったけれど、寂しくて呼び止めてしまう。夜中にふと目が覚めると、駿一が結衣をガン見していて！？「先輩、わかってますか？俺は…」あれ、今なんか足に硬いモノが…！？あの駿一くんが、私で興奮してる…？「手伝って…あげようか…？」――不器用な二"&amp;"人の【夜ふかし】第一夜。")</f>
        <v>「『もっと』って…どうしてほしい？」優しく触れて、擦って。触れるたびに漏れ出る声が、かわいくて。どうしよう。ダメだってわかってるのに、やめられない…。愛犬が入院した寂しさを紛らわせるために、会社の飲み会で飲みすぎてしまった結衣。営業部のエースで後輩の駿一に家まで送り届けてもらったけれど、寂しくて呼び止めてしまう。夜中にふと目が覚めると、駿一が結衣をガン見していて！？「先輩、わかってますか？俺は…」あれ、今なんか足に硬いモノが…！？あの駿一くんが、私で興奮してる…？「手伝って…あげようか…？」――不器用な二人の【夜ふかし】第一夜。</v>
      </c>
      <c r="W1461" s="14"/>
      <c r="X1461" s="14" t="str">
        <f>IFERROR(__xludf.DUMMYFUNCTION("""COMPUTED_VALUE"""),"有")</f>
        <v>有</v>
      </c>
      <c r="Y1461" s="8" t="str">
        <f>IFERROR(__xludf.DUMMYFUNCTION("""COMPUTED_VALUE"""),"2024/6/6まで１巻無料
２巻：試し読みP6まで")</f>
        <v>2024/6/6まで１巻無料
２巻：試し読みP6まで</v>
      </c>
      <c r="Z1461" s="7"/>
      <c r="AA1461" s="7"/>
      <c r="AB1461" s="7"/>
    </row>
    <row r="1462" ht="15.75" customHeight="1">
      <c r="A1462" s="26">
        <f>IFERROR(__xludf.DUMMYFUNCTION("""COMPUTED_VALUE"""),3043.0)</f>
        <v>3043</v>
      </c>
      <c r="B1462" s="22" t="str">
        <f>IFERROR(__xludf.DUMMYFUNCTION("""COMPUTED_VALUE"""),"確定")</f>
        <v>確定</v>
      </c>
      <c r="C1462" s="28">
        <f>IFERROR(__xludf.DUMMYFUNCTION("""COMPUTED_VALUE"""),45355.0)</f>
        <v>45355</v>
      </c>
      <c r="D1462" s="28">
        <f>IFERROR(__xludf.DUMMYFUNCTION("""COMPUTED_VALUE"""),45408.0)</f>
        <v>45408</v>
      </c>
      <c r="E1462" s="26">
        <f>IFERROR(__xludf.DUMMYFUNCTION("""COMPUTED_VALUE"""),293755.0)</f>
        <v>293755</v>
      </c>
      <c r="F1462" s="46" t="str">
        <f>IFERROR(__xludf.DUMMYFUNCTION("""COMPUTED_VALUE"""),"スライム聖女 ～最弱魔物が極悪聖女を乗っ取り、愛され最強聖女を目指す～")</f>
        <v>スライム聖女 ～最弱魔物が極悪聖女を乗っ取り、愛され最強聖女を目指す～</v>
      </c>
      <c r="G1462" s="11" t="str">
        <f>IFERROR(__xludf.DUMMYFUNCTION("""COMPUTED_VALUE"""),"1～10")</f>
        <v>1～10</v>
      </c>
      <c r="H1462" s="22" t="str">
        <f>IFERROR(__xludf.DUMMYFUNCTION("""COMPUTED_VALUE"""),"原作：八緒あいら　漫画：午子")</f>
        <v>原作：八緒あいら　漫画：午子</v>
      </c>
      <c r="I1462" s="14" t="str">
        <f>IFERROR(__xludf.DUMMYFUNCTION("""COMPUTED_VALUE"""),"青年")</f>
        <v>青年</v>
      </c>
      <c r="J1462" s="22"/>
      <c r="K1462" s="22"/>
      <c r="L1462" s="22" t="str">
        <f>IFERROR(__xludf.DUMMYFUNCTION("""COMPUTED_VALUE"""),"集英社")</f>
        <v>集英社</v>
      </c>
      <c r="M1462" s="23">
        <f>IFERROR(__xludf.DUMMYFUNCTION("""COMPUTED_VALUE"""),45429.0)</f>
        <v>45429</v>
      </c>
      <c r="N1462" s="23">
        <f>IFERROR(__xludf.DUMMYFUNCTION("""COMPUTED_VALUE"""),45461.0)</f>
        <v>45461</v>
      </c>
      <c r="O1462" s="20"/>
      <c r="P1462" s="34" t="str">
        <f>IFERROR(__xludf.DUMMYFUNCTION("""COMPUTED_VALUE"""),"否")</f>
        <v>否</v>
      </c>
      <c r="Q1462" s="30" t="str">
        <f>IFERROR(__xludf.DUMMYFUNCTION("""COMPUTED_VALUE"""),"広告コミットOK(3/8)&lt;BR&gt;となりのヤングジャンプ")</f>
        <v>広告コミットOK(3/8)&lt;BR&gt;となりのヤングジャンプ</v>
      </c>
      <c r="R1462" s="22"/>
      <c r="S1462" s="22" t="str">
        <f>IFERROR(__xludf.DUMMYFUNCTION("""COMPUTED_VALUE"""),"20240426_集英社_スライム聖女")</f>
        <v>20240426_集英社_スライム聖女</v>
      </c>
      <c r="T1462" s="22" t="str">
        <f>IFERROR(__xludf.DUMMYFUNCTION("""COMPUTED_VALUE"""),"格納済み")</f>
        <v>格納済み</v>
      </c>
      <c r="U1462" s="15" t="str">
        <f>IFERROR(__xludf.DUMMYFUNCTION("""COMPUTED_VALUE"""),"（C）八緒あいら・午子/集英社	")</f>
        <v>（C）八緒あいら・午子/集英社	</v>
      </c>
      <c r="V1462" s="8" t="str">
        <f>IFERROR(__xludf.DUMMYFUNCTION("""COMPUTED_VALUE"""),"人間に憧れた最弱魔物（スライム）が乗っ取った体は、聖女だけど性格最悪な極悪令嬢・ジェリィの体だった！　折角人間に成ることが出来たのに、恨まれ嫌われている最底辺ステータスに、周りの人間たちに魔物（スライム）とバレたら即終了のバッドエンド真っしぐら…!?　殺されないため、安心安全に暮らすために、皆に愛される《スライム聖女》を目指します！")</f>
        <v>人間に憧れた最弱魔物（スライム）が乗っ取った体は、聖女だけど性格最悪な極悪令嬢・ジェリィの体だった！　折角人間に成ることが出来たのに、恨まれ嫌われている最底辺ステータスに、周りの人間たちに魔物（スライム）とバレたら即終了のバッドエンド真っしぐら…!?　殺されないため、安心安全に暮らすために、皆に愛される《スライム聖女》を目指します！</v>
      </c>
      <c r="W1462" s="14"/>
      <c r="X1462" s="14" t="str">
        <f>IFERROR(__xludf.DUMMYFUNCTION("""COMPUTED_VALUE"""),"有")</f>
        <v>有</v>
      </c>
      <c r="Y1462" s="8" t="str">
        <f>IFERROR(__xludf.DUMMYFUNCTION("""COMPUTED_VALUE"""),"P5まで")</f>
        <v>P5まで</v>
      </c>
      <c r="Z1462" s="7"/>
      <c r="AA1462" s="7"/>
      <c r="AB1462" s="7"/>
    </row>
    <row r="1463" ht="15.75" customHeight="1">
      <c r="A1463" s="26">
        <f>IFERROR(__xludf.DUMMYFUNCTION("""COMPUTED_VALUE"""),3244.0)</f>
        <v>3244</v>
      </c>
      <c r="B1463" s="22" t="str">
        <f>IFERROR(__xludf.DUMMYFUNCTION("""COMPUTED_VALUE"""),"確定")</f>
        <v>確定</v>
      </c>
      <c r="C1463" s="28">
        <f>IFERROR(__xludf.DUMMYFUNCTION("""COMPUTED_VALUE"""),45387.0)</f>
        <v>45387</v>
      </c>
      <c r="D1463" s="28">
        <f>IFERROR(__xludf.DUMMYFUNCTION("""COMPUTED_VALUE"""),45419.0)</f>
        <v>45419</v>
      </c>
      <c r="E1463" s="26">
        <f>IFERROR(__xludf.DUMMYFUNCTION("""COMPUTED_VALUE"""),297047.0)</f>
        <v>297047</v>
      </c>
      <c r="F1463" s="22" t="str">
        <f>IFERROR(__xludf.DUMMYFUNCTION("""COMPUTED_VALUE"""),"ちかげくんの好きな")</f>
        <v>ちかげくんの好きな</v>
      </c>
      <c r="G1463" s="20" t="str">
        <f>IFERROR(__xludf.DUMMYFUNCTION("""COMPUTED_VALUE"""),"1～3")</f>
        <v>1～3</v>
      </c>
      <c r="H1463" s="22" t="str">
        <f>IFERROR(__xludf.DUMMYFUNCTION("""COMPUTED_VALUE"""),"やのやぎ")</f>
        <v>やのやぎ</v>
      </c>
      <c r="I1463" s="22" t="str">
        <f>IFERROR(__xludf.DUMMYFUNCTION("""COMPUTED_VALUE"""),"BL")</f>
        <v>BL</v>
      </c>
      <c r="J1463" s="22"/>
      <c r="K1463" s="22"/>
      <c r="L1463" s="22" t="str">
        <f>IFERROR(__xludf.DUMMYFUNCTION("""COMPUTED_VALUE"""),"マイクロマガジン社")</f>
        <v>マイクロマガジン社</v>
      </c>
      <c r="M1463" s="23">
        <f>IFERROR(__xludf.DUMMYFUNCTION("""COMPUTED_VALUE"""),45474.0)</f>
        <v>45474</v>
      </c>
      <c r="N1463" s="47">
        <f>IFERROR(__xludf.DUMMYFUNCTION("""COMPUTED_VALUE"""),45535.0)</f>
        <v>45535</v>
      </c>
      <c r="O1463" s="20"/>
      <c r="P1463" s="34" t="str">
        <f>IFERROR(__xludf.DUMMYFUNCTION("""COMPUTED_VALUE"""),"可")</f>
        <v>可</v>
      </c>
      <c r="Q1463" s="31" t="str">
        <f>IFERROR(__xludf.DUMMYFUNCTION("""COMPUTED_VALUE"""),"広告コミットOK(4/16)")</f>
        <v>広告コミットOK(4/16)</v>
      </c>
      <c r="R1463" s="22" t="str">
        <f>IFERROR(__xludf.DUMMYFUNCTION("""COMPUTED_VALUE"""),"格納済み")</f>
        <v>格納済み</v>
      </c>
      <c r="S1463" s="22" t="str">
        <f>IFERROR(__xludf.DUMMYFUNCTION("""COMPUTED_VALUE"""),"20240502_マイクロマガジン_ちかげくんの好きな")</f>
        <v>20240502_マイクロマガジン_ちかげくんの好きな</v>
      </c>
      <c r="T1463" s="22" t="str">
        <f>IFERROR(__xludf.DUMMYFUNCTION("""COMPUTED_VALUE"""),"格納済み")</f>
        <v>格納済み</v>
      </c>
      <c r="U1463" s="15" t="str">
        <f>IFERROR(__xludf.DUMMYFUNCTION("""COMPUTED_VALUE"""),"（C）やのやぎ （C）マイクロマガジン社")</f>
        <v>（C）やのやぎ （C）マイクロマガジン社</v>
      </c>
      <c r="V1463" s="8" t="str">
        <f>IFERROR(__xludf.DUMMYFUNCTION("""COMPUTED_VALUE"""),"「俺は今日の須山くん、見れてよかった」
女児向けアニメのオタクである大学生の須山智景はクラスメイトたちに自分の趣味がバレないようにひっそりと推し活を楽しんでいた。
そんなある日、推しキャラクターのぬいぐるみを取るためにクレーンゲームをしている現場を同じクラスの陽キャ、永尾侑人に見つかってしまう。
チャラ男にオタバレして大学生活終わったと智景が怯えていると、
「好きなものを楽しむのはいいことじゃん」と永尾は智景がオタクであることを受け入れてくれる。
その日から永尾は智景に話しかけてくるようにな"&amp;"り――？
イケメン陽キャ×捻くれオタクの「好き」を巡る
もだキュンラブコメディ――！")</f>
        <v>「俺は今日の須山くん、見れてよかった」
女児向けアニメのオタクである大学生の須山智景はクラスメイトたちに自分の趣味がバレないようにひっそりと推し活を楽しんでいた。
そんなある日、推しキャラクターのぬいぐるみを取るためにクレーンゲームをしている現場を同じクラスの陽キャ、永尾侑人に見つかってしまう。
チャラ男にオタバレして大学生活終わったと智景が怯えていると、
「好きなものを楽しむのはいいことじゃん」と永尾は智景がオタクであることを受け入れてくれる。
その日から永尾は智景に話しかけてくるようになり――？
イケメン陽キャ×捻くれオタクの「好き」を巡る
もだキュンラブコメディ――！</v>
      </c>
      <c r="W1463" s="14"/>
      <c r="X1463" s="14" t="str">
        <f>IFERROR(__xludf.DUMMYFUNCTION("""COMPUTED_VALUE"""),"有")</f>
        <v>有</v>
      </c>
      <c r="Y1463" s="8" t="str">
        <f>IFERROR(__xludf.DUMMYFUNCTION("""COMPUTED_VALUE"""),"P18まで")</f>
        <v>P18まで</v>
      </c>
      <c r="Z1463" s="7"/>
      <c r="AA1463" s="7"/>
      <c r="AB1463" s="7"/>
    </row>
    <row r="1464" ht="15.75" customHeight="1">
      <c r="A1464" s="26">
        <f>IFERROR(__xludf.DUMMYFUNCTION("""COMPUTED_VALUE"""),3280.0)</f>
        <v>3280</v>
      </c>
      <c r="B1464" s="22" t="str">
        <f>IFERROR(__xludf.DUMMYFUNCTION("""COMPUTED_VALUE"""),"確定")</f>
        <v>確定</v>
      </c>
      <c r="C1464" s="28">
        <f>IFERROR(__xludf.DUMMYFUNCTION("""COMPUTED_VALUE"""),45394.0)</f>
        <v>45394</v>
      </c>
      <c r="D1464" s="28">
        <f>IFERROR(__xludf.DUMMYFUNCTION("""COMPUTED_VALUE"""),45408.0)</f>
        <v>45408</v>
      </c>
      <c r="E1464" s="26">
        <f>IFERROR(__xludf.DUMMYFUNCTION("""COMPUTED_VALUE"""),293454.0)</f>
        <v>293454</v>
      </c>
      <c r="F1464" s="22" t="str">
        <f>IFERROR(__xludf.DUMMYFUNCTION("""COMPUTED_VALUE"""),"大嫌いだった幼馴染に、契約結婚を持ちかけられました")</f>
        <v>大嫌いだった幼馴染に、契約結婚を持ちかけられました</v>
      </c>
      <c r="G1464" s="20" t="str">
        <f>IFERROR(__xludf.DUMMYFUNCTION("""COMPUTED_VALUE"""),"1～3")</f>
        <v>1～3</v>
      </c>
      <c r="H1464" s="22" t="str">
        <f>IFERROR(__xludf.DUMMYFUNCTION("""COMPUTED_VALUE"""),"原明日美")</f>
        <v>原明日美</v>
      </c>
      <c r="I1464" s="22" t="str">
        <f>IFERROR(__xludf.DUMMYFUNCTION("""COMPUTED_VALUE"""),"女性")</f>
        <v>女性</v>
      </c>
      <c r="J1464" s="22"/>
      <c r="K1464" s="22"/>
      <c r="L1464" s="22" t="str">
        <f>IFERROR(__xludf.DUMMYFUNCTION("""COMPUTED_VALUE"""),"パルプライド")</f>
        <v>パルプライド</v>
      </c>
      <c r="M1464" s="23">
        <f>IFERROR(__xludf.DUMMYFUNCTION("""COMPUTED_VALUE"""),45440.0)</f>
        <v>45440</v>
      </c>
      <c r="N1464" s="23">
        <f>IFERROR(__xludf.DUMMYFUNCTION("""COMPUTED_VALUE"""),45531.0)</f>
        <v>45531</v>
      </c>
      <c r="O1464" s="20"/>
      <c r="P1464" s="34" t="str">
        <f>IFERROR(__xludf.DUMMYFUNCTION("""COMPUTED_VALUE"""),"可")</f>
        <v>可</v>
      </c>
      <c r="Q1464" s="30" t="str">
        <f>IFERROR(__xludf.DUMMYFUNCTION("""COMPUTED_VALUE"""),"広告コミットOK(4/19)")</f>
        <v>広告コミットOK(4/19)</v>
      </c>
      <c r="R1464" s="22"/>
      <c r="S1464" s="22" t="str">
        <f>IFERROR(__xludf.DUMMYFUNCTION("""COMPUTED_VALUE"""),"20240425_パルプライド_大嫌いだった幼馴染に、契約結婚を持ちかけられました")</f>
        <v>20240425_パルプライド_大嫌いだった幼馴染に、契約結婚を持ちかけられました</v>
      </c>
      <c r="T1464" s="22" t="str">
        <f>IFERROR(__xludf.DUMMYFUNCTION("""COMPUTED_VALUE"""),"格納済み")</f>
        <v>格納済み</v>
      </c>
      <c r="U1464" s="15" t="str">
        <f>IFERROR(__xludf.DUMMYFUNCTION("""COMPUTED_VALUE"""),"©原明日美/瑪々子/双葉はづき/パルプライド")</f>
        <v>©原明日美/瑪々子/双葉はづき/パルプライド</v>
      </c>
      <c r="V1464" s="8" t="str">
        <f>IFERROR(__xludf.DUMMYFUNCTION("""COMPUTED_VALUE"""),"エトランド伯爵家の令嬢リディアは、家の事情により苦手な幼馴染みのクラレンスと契約結婚をすることになる。
しかし実際に契約結婚をしたあとのクラレンスは、これまでとは別人のように優しく、リディアは今までとの違いに戸惑っていく。
するとリディアたちが通う学園で、クラレンスとの結婚に嫉妬した生徒たちからリディアに対するいじめが発生し…。
なんとか対処しようとしている一方で、クラレンスの隠していた秘密を知ってしまうリディア。
徐々にリディアのクラレンスへの思いは変わり……。
大嫌いだったはずの幼馴染みとの"&amp;"契約結婚によってリディアの人生がまるっと変わるラブストーリーのはじまり！
【毎月　第四火曜日配信予定】")</f>
        <v>エトランド伯爵家の令嬢リディアは、家の事情により苦手な幼馴染みのクラレンスと契約結婚をすることになる。
しかし実際に契約結婚をしたあとのクラレンスは、これまでとは別人のように優しく、リディアは今までとの違いに戸惑っていく。
するとリディアたちが通う学園で、クラレンスとの結婚に嫉妬した生徒たちからリディアに対するいじめが発生し…。
なんとか対処しようとしている一方で、クラレンスの隠していた秘密を知ってしまうリディア。
徐々にリディアのクラレンスへの思いは変わり……。
大嫌いだったはずの幼馴染みとの契約結婚によってリディアの人生がまるっと変わるラブストーリーのはじまり！
【毎月　第四火曜日配信予定】</v>
      </c>
      <c r="W1464" s="14"/>
      <c r="X1464" s="14" t="str">
        <f>IFERROR(__xludf.DUMMYFUNCTION("""COMPUTED_VALUE"""),"有")</f>
        <v>有</v>
      </c>
      <c r="Y1464" s="8" t="str">
        <f>IFERROR(__xludf.DUMMYFUNCTION("""COMPUTED_VALUE"""),"2024/8/27まで1巻無料")</f>
        <v>2024/8/27まで1巻無料</v>
      </c>
      <c r="Z1464" s="7"/>
      <c r="AA1464" s="7"/>
      <c r="AB1464" s="7"/>
    </row>
    <row r="1465" ht="15.75" customHeight="1">
      <c r="A1465" s="26">
        <f>IFERROR(__xludf.DUMMYFUNCTION("""COMPUTED_VALUE"""),3281.0)</f>
        <v>3281</v>
      </c>
      <c r="B1465" s="22" t="str">
        <f>IFERROR(__xludf.DUMMYFUNCTION("""COMPUTED_VALUE"""),"確定")</f>
        <v>確定</v>
      </c>
      <c r="C1465" s="28">
        <f>IFERROR(__xludf.DUMMYFUNCTION("""COMPUTED_VALUE"""),45394.0)</f>
        <v>45394</v>
      </c>
      <c r="D1465" s="28">
        <f>IFERROR(__xludf.DUMMYFUNCTION("""COMPUTED_VALUE"""),45408.0)</f>
        <v>45408</v>
      </c>
      <c r="E1465" s="26">
        <f>IFERROR(__xludf.DUMMYFUNCTION("""COMPUTED_VALUE"""),293455.0)</f>
        <v>293455</v>
      </c>
      <c r="F1465" s="22" t="str">
        <f>IFERROR(__xludf.DUMMYFUNCTION("""COMPUTED_VALUE"""),"王立学園で唯一魔法が使えない庶民仲間のはずですよね～実は王子様で私を溺愛しているなんて告白はやめてください～")</f>
        <v>王立学園で唯一魔法が使えない庶民仲間のはずですよね～実は王子様で私を溺愛しているなんて告白はやめてください～</v>
      </c>
      <c r="G1465" s="20" t="str">
        <f>IFERROR(__xludf.DUMMYFUNCTION("""COMPUTED_VALUE"""),"1～3")</f>
        <v>1～3</v>
      </c>
      <c r="H1465" s="22" t="str">
        <f>IFERROR(__xludf.DUMMYFUNCTION("""COMPUTED_VALUE"""),"舞星凛")</f>
        <v>舞星凛</v>
      </c>
      <c r="I1465" s="22" t="str">
        <f>IFERROR(__xludf.DUMMYFUNCTION("""COMPUTED_VALUE"""),"女性")</f>
        <v>女性</v>
      </c>
      <c r="J1465" s="22"/>
      <c r="K1465" s="22"/>
      <c r="L1465" s="22" t="str">
        <f>IFERROR(__xludf.DUMMYFUNCTION("""COMPUTED_VALUE"""),"パルプライド")</f>
        <v>パルプライド</v>
      </c>
      <c r="M1465" s="23">
        <f>IFERROR(__xludf.DUMMYFUNCTION("""COMPUTED_VALUE"""),45440.0)</f>
        <v>45440</v>
      </c>
      <c r="N1465" s="23">
        <f>IFERROR(__xludf.DUMMYFUNCTION("""COMPUTED_VALUE"""),45531.0)</f>
        <v>45531</v>
      </c>
      <c r="O1465" s="20"/>
      <c r="P1465" s="32" t="str">
        <f>IFERROR(__xludf.DUMMYFUNCTION("""COMPUTED_VALUE"""),"可")</f>
        <v>可</v>
      </c>
      <c r="Q1465" s="30"/>
      <c r="R1465" s="22"/>
      <c r="S1465" s="22" t="str">
        <f>IFERROR(__xludf.DUMMYFUNCTION("""COMPUTED_VALUE"""),"20240425_パルプライド_王立学園で唯一魔法が使えない庶民仲間のはずですよね～実は王子様で私を溺愛しているなんて告白はやめてください～")</f>
        <v>20240425_パルプライド_王立学園で唯一魔法が使えない庶民仲間のはずですよね～実は王子様で私を溺愛しているなんて告白はやめてください～</v>
      </c>
      <c r="T1465" s="22" t="str">
        <f>IFERROR(__xludf.DUMMYFUNCTION("""COMPUTED_VALUE"""),"格納済み")</f>
        <v>格納済み</v>
      </c>
      <c r="U1465" s="15" t="str">
        <f>IFERROR(__xludf.DUMMYFUNCTION("""COMPUTED_VALUE"""),"©舞星凛/氷雨ソラ/浅島ヨシユキ/パルプライド")</f>
        <v>©舞星凛/氷雨ソラ/浅島ヨシユキ/パルプライド</v>
      </c>
      <c r="V1465" s="8" t="str">
        <f>IFERROR(__xludf.DUMMYFUNCTION("""COMPUTED_VALUE"""),"庶民でありながら、貴族が多く通う王立学園で学ぶことになったリディア。
そんなリディアにとって、同じく庶民で王立学園へと通う庶民仲間であるアレンは心強い味方だった。
そして、一緒に学んでいくうちに、容姿端麗で優秀なアレンに惹かれていき…。
共に学ぶ中で徐々に親密になっていく二人。
学園の仲間と、リディアとアレンの恋物語のその先は!?
【毎月　第三火曜日配信予定】")</f>
        <v>庶民でありながら、貴族が多く通う王立学園で学ぶことになったリディア。
そんなリディアにとって、同じく庶民で王立学園へと通う庶民仲間であるアレンは心強い味方だった。
そして、一緒に学んでいくうちに、容姿端麗で優秀なアレンに惹かれていき…。
共に学ぶ中で徐々に親密になっていく二人。
学園の仲間と、リディアとアレンの恋物語のその先は!?
【毎月　第三火曜日配信予定】</v>
      </c>
      <c r="W1465" s="14"/>
      <c r="X1465" s="14" t="str">
        <f>IFERROR(__xludf.DUMMYFUNCTION("""COMPUTED_VALUE"""),"有")</f>
        <v>有</v>
      </c>
      <c r="Y1465" s="8" t="str">
        <f>IFERROR(__xludf.DUMMYFUNCTION("""COMPUTED_VALUE"""),"2024/8/27まで1巻無料")</f>
        <v>2024/8/27まで1巻無料</v>
      </c>
      <c r="Z1465" s="7"/>
      <c r="AA1465" s="7"/>
      <c r="AB1465" s="7"/>
    </row>
    <row r="1466" ht="15.75" customHeight="1">
      <c r="A1466" s="26">
        <f>IFERROR(__xludf.DUMMYFUNCTION("""COMPUTED_VALUE"""),3301.0)</f>
        <v>3301</v>
      </c>
      <c r="B1466" s="22" t="str">
        <f>IFERROR(__xludf.DUMMYFUNCTION("""COMPUTED_VALUE"""),"確定")</f>
        <v>確定</v>
      </c>
      <c r="C1466" s="28">
        <f>IFERROR(__xludf.DUMMYFUNCTION("""COMPUTED_VALUE"""),45398.0)</f>
        <v>45398</v>
      </c>
      <c r="D1466" s="28">
        <f>IFERROR(__xludf.DUMMYFUNCTION("""COMPUTED_VALUE"""),45408.0)</f>
        <v>45408</v>
      </c>
      <c r="E1466" s="26">
        <f>IFERROR(__xludf.DUMMYFUNCTION("""COMPUTED_VALUE"""),293676.0)</f>
        <v>293676</v>
      </c>
      <c r="F1466" s="46" t="str">
        <f>IFERROR(__xludf.DUMMYFUNCTION("""COMPUTED_VALUE"""),"おひとり様には慣れましたので。　婚約者放置中！【連載版】")</f>
        <v>おひとり様には慣れましたので。　婚約者放置中！【連載版】</v>
      </c>
      <c r="G1466" s="20" t="str">
        <f>IFERROR(__xludf.DUMMYFUNCTION("""COMPUTED_VALUE"""),"1～3")</f>
        <v>1～3</v>
      </c>
      <c r="H1466" s="22" t="str">
        <f>IFERROR(__xludf.DUMMYFUNCTION("""COMPUTED_VALUE"""),"原作：荒瀬ヤヒロ　漫画：晴田　巡")</f>
        <v>原作：荒瀬ヤヒロ　漫画：晴田　巡</v>
      </c>
      <c r="I1466" s="22" t="str">
        <f>IFERROR(__xludf.DUMMYFUNCTION("""COMPUTED_VALUE"""),"少女")</f>
        <v>少女</v>
      </c>
      <c r="J1466" s="22"/>
      <c r="K1466" s="22"/>
      <c r="L1466" s="22" t="str">
        <f>IFERROR(__xludf.DUMMYFUNCTION("""COMPUTED_VALUE"""),"一迅社")</f>
        <v>一迅社</v>
      </c>
      <c r="M1466" s="23">
        <f>IFERROR(__xludf.DUMMYFUNCTION("""COMPUTED_VALUE"""),45457.0)</f>
        <v>45457</v>
      </c>
      <c r="N1466" s="23">
        <f>IFERROR(__xludf.DUMMYFUNCTION("""COMPUTED_VALUE"""),45548.66666666667)</f>
        <v>45548.66667</v>
      </c>
      <c r="O1466" s="20"/>
      <c r="P1466" s="34" t="str">
        <f>IFERROR(__xludf.DUMMYFUNCTION("""COMPUTED_VALUE"""),"可")</f>
        <v>可</v>
      </c>
      <c r="Q1466" s="30" t="str">
        <f>IFERROR(__xludf.DUMMYFUNCTION("""COMPUTED_VALUE"""),"広告コミットOK(4/19)
・comic LAKEで3/29から連載スタート、1話配信時点で総合1位、いいね1万以上の好調なタイトルとのことです。
・格納素材でクリエイティブ制作のほどお願い致します。")</f>
        <v>広告コミットOK(4/19)
・comic LAKEで3/29から連載スタート、1話配信時点で総合1位、いいね1万以上の好調なタイトルとのことです。
・格納素材でクリエイティブ制作のほどお願い致します。</v>
      </c>
      <c r="R1466" s="46"/>
      <c r="S1466" s="22" t="str">
        <f>IFERROR(__xludf.DUMMYFUNCTION("""COMPUTED_VALUE"""),"20240531②_一迅社_おひとり様には慣れましたので。 婚約者放置中！")</f>
        <v>20240531②_一迅社_おひとり様には慣れましたので。 婚約者放置中！</v>
      </c>
      <c r="T1466" s="22" t="str">
        <f>IFERROR(__xludf.DUMMYFUNCTION("""COMPUTED_VALUE"""),"格納済み")</f>
        <v>格納済み</v>
      </c>
      <c r="U1466" s="15" t="str">
        <f>IFERROR(__xludf.DUMMYFUNCTION("""COMPUTED_VALUE"""),"(C)晴田巡・荒瀬ヤヒロ／一迅社")</f>
        <v>(C)晴田巡・荒瀬ヤヒロ／一迅社</v>
      </c>
      <c r="V1466" s="8" t="str">
        <f>IFERROR(__xludf.DUMMYFUNCTION("""COMPUTED_VALUE"""),"伯爵令嬢・ニコルの婚約者・ケイオスは、いつでも幼馴染のキャロライン王女のそばにいる。常日頃からケイオスから放置されてきた結果、ニコルは「向こうが好きにしているのだから、こちらも好きにすればいいんだわ！」と“おひとり様”に目覚めてしまい――…!?おひとり様の気楽さを知ってしまったニコルに対し、一方ケイオスはまだ事態の深刻さを理解していないようで…？両片想いをこじらせてしまったケイオスとニコルのドタバタすれ違いラブコメディ、待望のコミカライズ！　【本商品は単話コンテンツとなります。単行本版と収録内容が異なる場"&amp;"合がございます。漫画内の告知等は過去のものとなりますので、ご注意ください。】")</f>
        <v>伯爵令嬢・ニコルの婚約者・ケイオスは、いつでも幼馴染のキャロライン王女のそばにいる。常日頃からケイオスから放置されてきた結果、ニコルは「向こうが好きにしているのだから、こちらも好きにすればいいんだわ！」と“おひとり様”に目覚めてしまい――…!?おひとり様の気楽さを知ってしまったニコルに対し、一方ケイオスはまだ事態の深刻さを理解していないようで…？両片想いをこじらせてしまったケイオスとニコルのドタバタすれ違いラブコメディ、待望のコミカライズ！　【本商品は単話コンテンツとなります。単行本版と収録内容が異なる場合がございます。漫画内の告知等は過去のものとなりますので、ご注意ください。】</v>
      </c>
      <c r="W1466" s="14"/>
      <c r="X1466" s="14" t="str">
        <f>IFERROR(__xludf.DUMMYFUNCTION("""COMPUTED_VALUE"""),"有")</f>
        <v>有</v>
      </c>
      <c r="Y1466" s="8" t="str">
        <f>IFERROR(__xludf.DUMMYFUNCTION("""COMPUTED_VALUE"""),"P7まで")</f>
        <v>P7まで</v>
      </c>
      <c r="Z1466" s="7"/>
      <c r="AA1466" s="7"/>
      <c r="AB1466" s="7"/>
    </row>
    <row r="1467" ht="15.75" customHeight="1">
      <c r="A1467" s="26">
        <f>IFERROR(__xludf.DUMMYFUNCTION("""COMPUTED_VALUE"""),3302.0)</f>
        <v>3302</v>
      </c>
      <c r="B1467" s="22" t="str">
        <f>IFERROR(__xludf.DUMMYFUNCTION("""COMPUTED_VALUE"""),"確定")</f>
        <v>確定</v>
      </c>
      <c r="C1467" s="28">
        <f>IFERROR(__xludf.DUMMYFUNCTION("""COMPUTED_VALUE"""),45398.0)</f>
        <v>45398</v>
      </c>
      <c r="D1467" s="28">
        <f>IFERROR(__xludf.DUMMYFUNCTION("""COMPUTED_VALUE"""),45408.0)</f>
        <v>45408</v>
      </c>
      <c r="E1467" s="26">
        <f>IFERROR(__xludf.DUMMYFUNCTION("""COMPUTED_VALUE"""),293675.0)</f>
        <v>293675</v>
      </c>
      <c r="F1467" s="22" t="str">
        <f>IFERROR(__xludf.DUMMYFUNCTION("""COMPUTED_VALUE"""),"青藍に推しが散るのは許さない！～転生官女のやり直し後宮奇譚～ 【連載版】")</f>
        <v>青藍に推しが散るのは許さない！～転生官女のやり直し後宮奇譚～ 【連載版】</v>
      </c>
      <c r="G1467" s="20" t="str">
        <f>IFERROR(__xludf.DUMMYFUNCTION("""COMPUTED_VALUE"""),"1～3")</f>
        <v>1～3</v>
      </c>
      <c r="H1467" s="22" t="str">
        <f>IFERROR(__xludf.DUMMYFUNCTION("""COMPUTED_VALUE"""),"原作：乙嶋かさね　漫画：斉木マキコ")</f>
        <v>原作：乙嶋かさね　漫画：斉木マキコ</v>
      </c>
      <c r="I1467" s="22" t="str">
        <f>IFERROR(__xludf.DUMMYFUNCTION("""COMPUTED_VALUE"""),"少女")</f>
        <v>少女</v>
      </c>
      <c r="J1467" s="22"/>
      <c r="K1467" s="22"/>
      <c r="L1467" s="22" t="str">
        <f>IFERROR(__xludf.DUMMYFUNCTION("""COMPUTED_VALUE"""),"一迅社")</f>
        <v>一迅社</v>
      </c>
      <c r="M1467" s="23">
        <f>IFERROR(__xludf.DUMMYFUNCTION("""COMPUTED_VALUE"""),45457.0)</f>
        <v>45457</v>
      </c>
      <c r="N1467" s="23">
        <f>IFERROR(__xludf.DUMMYFUNCTION("""COMPUTED_VALUE"""),45486.0)</f>
        <v>45486</v>
      </c>
      <c r="O1467" s="20"/>
      <c r="P1467" s="34" t="str">
        <f>IFERROR(__xludf.DUMMYFUNCTION("""COMPUTED_VALUE"""),"可")</f>
        <v>可</v>
      </c>
      <c r="Q1467" s="30" t="str">
        <f>IFERROR(__xludf.DUMMYFUNCTION("""COMPUTED_VALUE"""),"広告コミットOK(4/19)&lt;BR&gt;格納素材でクリエイティブ制作のほどよろしくお願いいたします")</f>
        <v>広告コミットOK(4/19)&lt;BR&gt;格納素材でクリエイティブ制作のほどよろしくお願いいたします</v>
      </c>
      <c r="R1467" s="46"/>
      <c r="S1467" s="22" t="str">
        <f>IFERROR(__xludf.DUMMYFUNCTION("""COMPUTED_VALUE"""),"20240531_一迅社_青藍に推しが散るのは許さない！～転生官女のやり直し後宮奇譚～")</f>
        <v>20240531_一迅社_青藍に推しが散るのは許さない！～転生官女のやり直し後宮奇譚～</v>
      </c>
      <c r="T1467" s="22" t="str">
        <f>IFERROR(__xludf.DUMMYFUNCTION("""COMPUTED_VALUE"""),"格納済み")</f>
        <v>格納済み</v>
      </c>
      <c r="U1467" s="15" t="str">
        <f>IFERROR(__xludf.DUMMYFUNCTION("""COMPUTED_VALUE"""),"(C)乙嶋かさね・斉木マキコ／一迅社")</f>
        <v>(C)乙嶋かさね・斉木マキコ／一迅社</v>
      </c>
      <c r="V1467" s="8" t="str">
        <f>IFERROR(__xludf.DUMMYFUNCTION("""COMPUTED_VALUE"""),"「異世界ファンタジーマンガ原作コンテスト」中華部門 優秀賞受賞作のコミカライズが始動!!大好きなドラマ『青藍に花神散る』の最推しキャラ・皇后鶯淑の死で昼夜涙にくれていた「私」が、推しが生きている世界に転生――。しかし、転生したのは推しを失脚させた憎き官女「玲寧」で……!?命を狙われる鶯淑を守るため、皇后付きの官壬・小秋子と共に前世と今世の知識をフル活用して鶯淑の生存ルートを確保するため奔走することを決意した玲寧。中華後宮を舞台に、妃嬪たちが織り成す陰謀・策略から最推しを守る「正妃傍付き官女・玲寧」の“やり"&amp;"直し”人生が幕を開ける――！　【本商品は単話コンテンツとなります。単行本版と収録内容が異なる場合がございます。漫画内の告知等は過去のものとなりますので、ご注意ください。】")</f>
        <v>「異世界ファンタジーマンガ原作コンテスト」中華部門 優秀賞受賞作のコミカライズが始動!!大好きなドラマ『青藍に花神散る』の最推しキャラ・皇后鶯淑の死で昼夜涙にくれていた「私」が、推しが生きている世界に転生――。しかし、転生したのは推しを失脚させた憎き官女「玲寧」で……!?命を狙われる鶯淑を守るため、皇后付きの官壬・小秋子と共に前世と今世の知識をフル活用して鶯淑の生存ルートを確保するため奔走することを決意した玲寧。中華後宮を舞台に、妃嬪たちが織り成す陰謀・策略から最推しを守る「正妃傍付き官女・玲寧」の“やり直し”人生が幕を開ける――！　【本商品は単話コンテンツとなります。単行本版と収録内容が異なる場合がございます。漫画内の告知等は過去のものとなりますので、ご注意ください。】</v>
      </c>
      <c r="W1467" s="14"/>
      <c r="X1467" s="14" t="str">
        <f>IFERROR(__xludf.DUMMYFUNCTION("""COMPUTED_VALUE"""),"有")</f>
        <v>有</v>
      </c>
      <c r="Y1467" s="8" t="str">
        <f>IFERROR(__xludf.DUMMYFUNCTION("""COMPUTED_VALUE"""),"P7まで")</f>
        <v>P7まで</v>
      </c>
      <c r="Z1467" s="7"/>
      <c r="AA1467" s="7"/>
      <c r="AB1467" s="7"/>
    </row>
    <row r="1468" ht="15.75" customHeight="1">
      <c r="A1468" s="26">
        <f>IFERROR(__xludf.DUMMYFUNCTION("""COMPUTED_VALUE"""),3313.0)</f>
        <v>3313</v>
      </c>
      <c r="B1468" s="22" t="str">
        <f>IFERROR(__xludf.DUMMYFUNCTION("""COMPUTED_VALUE"""),"確定")</f>
        <v>確定</v>
      </c>
      <c r="C1468" s="28">
        <f>IFERROR(__xludf.DUMMYFUNCTION("""COMPUTED_VALUE"""),45400.0)</f>
        <v>45400</v>
      </c>
      <c r="D1468" s="28">
        <f>IFERROR(__xludf.DUMMYFUNCTION("""COMPUTED_VALUE"""),45420.0)</f>
        <v>45420</v>
      </c>
      <c r="E1468" s="26">
        <f>IFERROR(__xludf.DUMMYFUNCTION("""COMPUTED_VALUE"""),295138.0)</f>
        <v>295138</v>
      </c>
      <c r="F1468" s="22" t="str">
        <f>IFERROR(__xludf.DUMMYFUNCTION("""COMPUTED_VALUE"""),"未プレイの乙女ゲームに転生した平凡令嬢は聖なる刺繡の糸を刺す")</f>
        <v>未プレイの乙女ゲームに転生した平凡令嬢は聖なる刺繡の糸を刺す</v>
      </c>
      <c r="G1468" s="20" t="str">
        <f>IFERROR(__xludf.DUMMYFUNCTION("""COMPUTED_VALUE"""),"1～3")</f>
        <v>1～3</v>
      </c>
      <c r="H1468" s="22" t="str">
        <f>IFERROR(__xludf.DUMMYFUNCTION("""COMPUTED_VALUE"""),"西根羽南・天領寺セナ・Ai・差異等たかひ子・小田すずか")</f>
        <v>西根羽南・天領寺セナ・Ai・差異等たかひ子・小田すずか</v>
      </c>
      <c r="I1468" s="22" t="str">
        <f>IFERROR(__xludf.DUMMYFUNCTION("""COMPUTED_VALUE"""),"女性")</f>
        <v>女性</v>
      </c>
      <c r="J1468" s="22"/>
      <c r="K1468" s="22"/>
      <c r="L1468" s="22" t="str">
        <f>IFERROR(__xludf.DUMMYFUNCTION("""COMPUTED_VALUE"""),"集英社")</f>
        <v>集英社</v>
      </c>
      <c r="M1468" s="23">
        <f>IFERROR(__xludf.DUMMYFUNCTION("""COMPUTED_VALUE"""),45453.0)</f>
        <v>45453</v>
      </c>
      <c r="N1468" s="23">
        <f>IFERROR(__xludf.DUMMYFUNCTION("""COMPUTED_VALUE"""),45482.0)</f>
        <v>45482</v>
      </c>
      <c r="O1468" s="20"/>
      <c r="P1468" s="34" t="str">
        <f>IFERROR(__xludf.DUMMYFUNCTION("""COMPUTED_VALUE"""),"否")</f>
        <v>否</v>
      </c>
      <c r="Q1468" s="30" t="str">
        <f>IFERROR(__xludf.DUMMYFUNCTION("""COMPUTED_VALUE"""),"広告コミットOK(4/23)&lt;BR&gt;掲載誌：ダッシュエックス")</f>
        <v>広告コミットOK(4/23)&lt;BR&gt;掲載誌：ダッシュエックス</v>
      </c>
      <c r="R1468" s="22"/>
      <c r="S1468" s="22" t="str">
        <f>IFERROR(__xludf.DUMMYFUNCTION("""COMPUTED_VALUE"""),"20240430_集英社_未プレイの乙女ゲームに転生した平凡令嬢は聖なる刺繡の糸を刺す")</f>
        <v>20240430_集英社_未プレイの乙女ゲームに転生した平凡令嬢は聖なる刺繡の糸を刺す</v>
      </c>
      <c r="T1468" s="22" t="str">
        <f>IFERROR(__xludf.DUMMYFUNCTION("""COMPUTED_VALUE"""),"格納済み")</f>
        <v>格納済み</v>
      </c>
      <c r="U1468" s="15" t="str">
        <f>IFERROR(__xludf.DUMMYFUNCTION("""COMPUTED_VALUE"""),"©️西根羽南・天領寺セナ・Ai・差異等たかひ子・小田すずか／集英社")</f>
        <v>©️西根羽南・天領寺セナ・Ai・差異等たかひ子・小田すずか／集英社</v>
      </c>
      <c r="V1468" s="8" t="str">
        <f>IFERROR(__xludf.DUMMYFUNCTION("""COMPUTED_VALUE"""),"転生先は――未プレイの乙女ゲーム!?　平凡な子爵令嬢エルナは、学園の入学式で乙女ゲーム「虹色パラダイス」の世界に転生したと気付く。だが「虹パラ」をプレイしたことがないエルナの持つ情報は、パッケージイラストと友人の感想のみ。目立たず平穏に暮らすと決めた矢先、ヒロインの美少女と親友になり、メインキャラの美貌の王子に「名前を呼んでほしい」と追いかけられてしまう。エルナは平穏な学園生活を送ることが出来るのか――？　刺繍好きの平凡令嬢×美しすぎる鈍感王子の焦れラブファンタジー開幕!!")</f>
        <v>転生先は――未プレイの乙女ゲーム!?　平凡な子爵令嬢エルナは、学園の入学式で乙女ゲーム「虹色パラダイス」の世界に転生したと気付く。だが「虹パラ」をプレイしたことがないエルナの持つ情報は、パッケージイラストと友人の感想のみ。目立たず平穏に暮らすと決めた矢先、ヒロインの美少女と親友になり、メインキャラの美貌の王子に「名前を呼んでほしい」と追いかけられてしまう。エルナは平穏な学園生活を送ることが出来るのか――？　刺繍好きの平凡令嬢×美しすぎる鈍感王子の焦れラブファンタジー開幕!!</v>
      </c>
      <c r="W1468" s="14"/>
      <c r="X1468" s="14" t="str">
        <f>IFERROR(__xludf.DUMMYFUNCTION("""COMPUTED_VALUE"""),"有")</f>
        <v>有</v>
      </c>
      <c r="Y1468" s="8" t="str">
        <f>IFERROR(__xludf.DUMMYFUNCTION("""COMPUTED_VALUE"""),"P5まで")</f>
        <v>P5まで</v>
      </c>
      <c r="Z1468" s="7"/>
      <c r="AA1468" s="7"/>
      <c r="AB1468" s="7"/>
    </row>
    <row r="1469" ht="15.75" customHeight="1">
      <c r="A1469" s="26">
        <f>IFERROR(__xludf.DUMMYFUNCTION("""COMPUTED_VALUE"""),3341.0)</f>
        <v>3341</v>
      </c>
      <c r="B1469" s="22" t="str">
        <f>IFERROR(__xludf.DUMMYFUNCTION("""COMPUTED_VALUE"""),"確定")</f>
        <v>確定</v>
      </c>
      <c r="C1469" s="28">
        <f>IFERROR(__xludf.DUMMYFUNCTION("""COMPUTED_VALUE"""),45406.0)</f>
        <v>45406</v>
      </c>
      <c r="D1469" s="28">
        <f>IFERROR(__xludf.DUMMYFUNCTION("""COMPUTED_VALUE"""),45408.0)</f>
        <v>45408</v>
      </c>
      <c r="E1469" s="26">
        <f>IFERROR(__xludf.DUMMYFUNCTION("""COMPUTED_VALUE"""),294270.0)</f>
        <v>294270</v>
      </c>
      <c r="F1469" s="22" t="str">
        <f>IFERROR(__xludf.DUMMYFUNCTION("""COMPUTED_VALUE"""),"牝になった母～眠る息子の傍で若者に堕とされた快楽キャンプ～（フルカラー）")</f>
        <v>牝になった母～眠る息子の傍で若者に堕とされた快楽キャンプ～（フルカラー）</v>
      </c>
      <c r="G1469" s="20" t="str">
        <f>IFERROR(__xludf.DUMMYFUNCTION("""COMPUTED_VALUE"""),"1～3")</f>
        <v>1～3</v>
      </c>
      <c r="H1469" s="22" t="str">
        <f>IFERROR(__xludf.DUMMYFUNCTION("""COMPUTED_VALUE"""),"三木大路")</f>
        <v>三木大路</v>
      </c>
      <c r="I1469" s="22" t="str">
        <f>IFERROR(__xludf.DUMMYFUNCTION("""COMPUTED_VALUE"""),"オトナ")</f>
        <v>オトナ</v>
      </c>
      <c r="J1469" s="22"/>
      <c r="K1469" s="22"/>
      <c r="L1469" s="22" t="str">
        <f>IFERROR(__xludf.DUMMYFUNCTION("""COMPUTED_VALUE"""),"FILL-IN")</f>
        <v>FILL-IN</v>
      </c>
      <c r="M1469" s="23">
        <f>IFERROR(__xludf.DUMMYFUNCTION("""COMPUTED_VALUE"""),45443.0)</f>
        <v>45443</v>
      </c>
      <c r="N1469" s="47">
        <f>IFERROR(__xludf.DUMMYFUNCTION("""COMPUTED_VALUE"""),45456.0)</f>
        <v>45456</v>
      </c>
      <c r="O1469" s="20"/>
      <c r="P1469" s="32" t="str">
        <f>IFERROR(__xludf.DUMMYFUNCTION("""COMPUTED_VALUE"""),"可")</f>
        <v>可</v>
      </c>
      <c r="Q1469" s="30"/>
      <c r="R1469" s="22"/>
      <c r="S1469" s="22" t="str">
        <f>IFERROR(__xludf.DUMMYFUNCTION("""COMPUTED_VALUE"""),"20240424_ライドオン_牝になった母～眠る息子の傍で若者に堕とされた快楽キャンプ～（フルカラー）")</f>
        <v>20240424_ライドオン_牝になった母～眠る息子の傍で若者に堕とされた快楽キャンプ～（フルカラー）</v>
      </c>
      <c r="T1469" s="22" t="str">
        <f>IFERROR(__xludf.DUMMYFUNCTION("""COMPUTED_VALUE"""),"格納済み")</f>
        <v>格納済み</v>
      </c>
      <c r="U1469" s="15" t="str">
        <f>IFERROR(__xludf.DUMMYFUNCTION("""COMPUTED_VALUE"""),"©三木大路/FILL-IN")</f>
        <v>©三木大路/FILL-IN</v>
      </c>
      <c r="V1469" s="8" t="str">
        <f>IFERROR(__xludf.DUMMYFUNCTION("""COMPUTED_VALUE"""),"「そんなっダメ…息子に見られたら…アッ!!」
サカった男に押し倒され、ジットリ汗ばむ身体は言葉に反して火照り濡れ…
――旦那に急な仕事が入り、息子と二人でキャンプ場に行くことになった主婦の美菜。
バーベキューでうまく火が起こせず困っていると、若い男二人が手伝ってくれた。
少し不安に思っていたが、すっかり安心しその後は息子と4人で楽しむことに。
その晩息子が寝た後、若者から酒盛りに誘われた美菜。
途中からパーティーゲームで遊び始め、酔ってバランスを崩し若者と抱き合ってしまう。
するとその瞬間を"&amp;"写真に撮られ、息子に見せると脅される。
男達は、はじめから美菜の身体を狙っていたのだ！
写真を消すよう懇願すると、「だったら思い出作らせてよ」とアレを出してきて…！
美菜は抗えず、次第に男達に代わる代わるズコズコと突かれ嬌声をあげてしまう。
今夜だけ…と思うが、これは牝へと堕ちる初夜にすぎなかった――")</f>
        <v>「そんなっダメ…息子に見られたら…アッ!!」
サカった男に押し倒され、ジットリ汗ばむ身体は言葉に反して火照り濡れ…
――旦那に急な仕事が入り、息子と二人でキャンプ場に行くことになった主婦の美菜。
バーベキューでうまく火が起こせず困っていると、若い男二人が手伝ってくれた。
少し不安に思っていたが、すっかり安心しその後は息子と4人で楽しむことに。
その晩息子が寝た後、若者から酒盛りに誘われた美菜。
途中からパーティーゲームで遊び始め、酔ってバランスを崩し若者と抱き合ってしまう。
するとその瞬間を写真に撮られ、息子に見せると脅される。
男達は、はじめから美菜の身体を狙っていたのだ！
写真を消すよう懇願すると、「だったら思い出作らせてよ」とアレを出してきて…！
美菜は抗えず、次第に男達に代わる代わるズコズコと突かれ嬌声をあげてしまう。
今夜だけ…と思うが、これは牝へと堕ちる初夜にすぎなかった――</v>
      </c>
      <c r="W1469" s="14"/>
      <c r="X1469" s="14" t="str">
        <f>IFERROR(__xludf.DUMMYFUNCTION("""COMPUTED_VALUE"""),"有")</f>
        <v>有</v>
      </c>
      <c r="Y1469" s="8" t="str">
        <f>IFERROR(__xludf.DUMMYFUNCTION("""COMPUTED_VALUE"""),"2024/6/13まで1巻無料")</f>
        <v>2024/6/13まで1巻無料</v>
      </c>
      <c r="Z1469" s="7"/>
      <c r="AA1469" s="7"/>
      <c r="AB1469" s="7"/>
    </row>
    <row r="1470" ht="15.75" customHeight="1">
      <c r="A1470" s="26">
        <f>IFERROR(__xludf.DUMMYFUNCTION("""COMPUTED_VALUE"""),3342.0)</f>
        <v>3342</v>
      </c>
      <c r="B1470" s="22" t="str">
        <f>IFERROR(__xludf.DUMMYFUNCTION("""COMPUTED_VALUE"""),"確定")</f>
        <v>確定</v>
      </c>
      <c r="C1470" s="28">
        <f>IFERROR(__xludf.DUMMYFUNCTION("""COMPUTED_VALUE"""),45406.0)</f>
        <v>45406</v>
      </c>
      <c r="D1470" s="28">
        <f>IFERROR(__xludf.DUMMYFUNCTION("""COMPUTED_VALUE"""),45420.0)</f>
        <v>45420</v>
      </c>
      <c r="E1470" s="26">
        <f>IFERROR(__xludf.DUMMYFUNCTION("""COMPUTED_VALUE"""),291056.0)</f>
        <v>291056</v>
      </c>
      <c r="F1470" s="22" t="str">
        <f>IFERROR(__xludf.DUMMYFUNCTION("""COMPUTED_VALUE"""),"じゃない方の伯爵令嬢 人違いで求婚されたので破談にして差し上げます")</f>
        <v>じゃない方の伯爵令嬢 人違いで求婚されたので破談にして差し上げます</v>
      </c>
      <c r="G1470" s="16" t="str">
        <f>IFERROR(__xludf.DUMMYFUNCTION("""COMPUTED_VALUE"""),"1～3")</f>
        <v>1～3</v>
      </c>
      <c r="H1470" s="22" t="str">
        <f>IFERROR(__xludf.DUMMYFUNCTION("""COMPUTED_VALUE"""),"まちの九々,春時雨よわ")</f>
        <v>まちの九々,春時雨よわ</v>
      </c>
      <c r="I1470" s="22" t="str">
        <f>IFERROR(__xludf.DUMMYFUNCTION("""COMPUTED_VALUE"""),"女性")</f>
        <v>女性</v>
      </c>
      <c r="J1470" s="22"/>
      <c r="K1470" s="22"/>
      <c r="L1470" s="22" t="str">
        <f>IFERROR(__xludf.DUMMYFUNCTION("""COMPUTED_VALUE"""),"秋水社ORIGINAL")</f>
        <v>秋水社ORIGINAL</v>
      </c>
      <c r="M1470" s="23">
        <f>IFERROR(__xludf.DUMMYFUNCTION("""COMPUTED_VALUE"""),45429.0)</f>
        <v>45429</v>
      </c>
      <c r="N1470" s="23">
        <f>IFERROR(__xludf.DUMMYFUNCTION("""COMPUTED_VALUE"""),45520.0)</f>
        <v>45520</v>
      </c>
      <c r="O1470" s="20"/>
      <c r="P1470" s="34" t="str">
        <f>IFERROR(__xludf.DUMMYFUNCTION("""COMPUTED_VALUE"""),"可")</f>
        <v>可</v>
      </c>
      <c r="Q1470" s="30" t="str">
        <f>IFERROR(__xludf.DUMMYFUNCTION("""COMPUTED_VALUE"""),"5月配信の4巻目素材です")</f>
        <v>5月配信の4巻目素材です</v>
      </c>
      <c r="R1470" s="22"/>
      <c r="S1470" s="22" t="str">
        <f>IFERROR(__xludf.DUMMYFUNCTION("""COMPUTED_VALUE"""),"20240426_秋水社_じゃない方の伯爵令嬢 人違いで求婚されたので破談にして差し上げます")</f>
        <v>20240426_秋水社_じゃない方の伯爵令嬢 人違いで求婚されたので破談にして差し上げます</v>
      </c>
      <c r="T1470" s="22" t="str">
        <f>IFERROR(__xludf.DUMMYFUNCTION("""COMPUTED_VALUE"""),"格納済み")</f>
        <v>格納済み</v>
      </c>
      <c r="U1470" s="15" t="str">
        <f>IFERROR(__xludf.DUMMYFUNCTION("""COMPUTED_VALUE"""),"(C)まちの九々/春時雨よわ/秋水社ORIGINAL")</f>
        <v>(C)まちの九々/春時雨よわ/秋水社ORIGINAL</v>
      </c>
      <c r="V1470" s="8" t="str">
        <f>IFERROR(__xludf.DUMMYFUNCTION("""COMPUTED_VALUE"""),"6度目の破談を迎えた伯爵家一人娘のリュゼット・マダル。その原因は人気令嬢“ルゼット・ダダル”に名前が似ているせいだった!?未婚女性は基本顔出しが出来ないことと求婚は手紙からが常なせいで、人違いによる求婚者が絶えないリュゼット。自分に出来ることといえば、相手が勘違いに気づいた時にプライドと世間体を傷つけないようこちらから破談を提案してあげること。既に破談慣れしてきたリュゼットの元に、今度はエリート公爵と名高いローレス・ヴィザントから求婚の便りが届く。どうせまた人違いなのだからさっさと気づかせ破談にしてあげよ"&amp;"うと思うリュゼットだったけど、“ルゼット”に本気なローレスから熱烈に迫られて――？")</f>
        <v>6度目の破談を迎えた伯爵家一人娘のリュゼット・マダル。その原因は人気令嬢“ルゼット・ダダル”に名前が似ているせいだった!?未婚女性は基本顔出しが出来ないことと求婚は手紙からが常なせいで、人違いによる求婚者が絶えないリュゼット。自分に出来ることといえば、相手が勘違いに気づいた時にプライドと世間体を傷つけないようこちらから破談を提案してあげること。既に破談慣れしてきたリュゼットの元に、今度はエリート公爵と名高いローレス・ヴィザントから求婚の便りが届く。どうせまた人違いなのだからさっさと気づかせ破談にしてあげようと思うリュゼットだったけど、“ルゼット”に本気なローレスから熱烈に迫られて――？</v>
      </c>
      <c r="W1470" s="14"/>
      <c r="X1470" s="14" t="str">
        <f>IFERROR(__xludf.DUMMYFUNCTION("""COMPUTED_VALUE"""),"有")</f>
        <v>有</v>
      </c>
      <c r="Y1470" s="8" t="str">
        <f>IFERROR(__xludf.DUMMYFUNCTION("""COMPUTED_VALUE"""),"5/30まで1巻無料")</f>
        <v>5/30まで1巻無料</v>
      </c>
      <c r="Z1470" s="7"/>
      <c r="AA1470" s="7"/>
      <c r="AB1470" s="7"/>
    </row>
    <row r="1471" ht="15.75" customHeight="1">
      <c r="A1471" s="26">
        <f>IFERROR(__xludf.DUMMYFUNCTION("""COMPUTED_VALUE"""),3343.0)</f>
        <v>3343</v>
      </c>
      <c r="B1471" s="22" t="str">
        <f>IFERROR(__xludf.DUMMYFUNCTION("""COMPUTED_VALUE"""),"確定")</f>
        <v>確定</v>
      </c>
      <c r="C1471" s="28">
        <f>IFERROR(__xludf.DUMMYFUNCTION("""COMPUTED_VALUE"""),45407.0)</f>
        <v>45407</v>
      </c>
      <c r="D1471" s="28">
        <f>IFERROR(__xludf.DUMMYFUNCTION("""COMPUTED_VALUE"""),45420.0)</f>
        <v>45420</v>
      </c>
      <c r="E1471" s="26">
        <f>IFERROR(__xludf.DUMMYFUNCTION("""COMPUTED_VALUE"""),294128.0)</f>
        <v>294128</v>
      </c>
      <c r="F1471" s="22" t="str">
        <f>IFERROR(__xludf.DUMMYFUNCTION("""COMPUTED_VALUE"""),"さよならまたね、僕の王【タテヨミ】")</f>
        <v>さよならまたね、僕の王【タテヨミ】</v>
      </c>
      <c r="G1471" s="20" t="str">
        <f>IFERROR(__xludf.DUMMYFUNCTION("""COMPUTED_VALUE"""),"1~30")</f>
        <v>1~30</v>
      </c>
      <c r="H1471" s="22" t="str">
        <f>IFERROR(__xludf.DUMMYFUNCTION("""COMPUTED_VALUE"""),"ウェン・ユアン")</f>
        <v>ウェン・ユアン</v>
      </c>
      <c r="I1471" s="22" t="str">
        <f>IFERROR(__xludf.DUMMYFUNCTION("""COMPUTED_VALUE"""),"BL")</f>
        <v>BL</v>
      </c>
      <c r="J1471" s="22"/>
      <c r="K1471" s="22"/>
      <c r="L1471" s="22" t="str">
        <f>IFERROR(__xludf.DUMMYFUNCTION("""COMPUTED_VALUE"""),"リブレ")</f>
        <v>リブレ</v>
      </c>
      <c r="M1471" s="23">
        <f>IFERROR(__xludf.DUMMYFUNCTION("""COMPUTED_VALUE"""),45450.0)</f>
        <v>45450</v>
      </c>
      <c r="N1471" s="47">
        <f>IFERROR(__xludf.DUMMYFUNCTION("""COMPUTED_VALUE"""),45519.0)</f>
        <v>45519</v>
      </c>
      <c r="O1471" s="20"/>
      <c r="P1471" s="34" t="str">
        <f>IFERROR(__xludf.DUMMYFUNCTION("""COMPUTED_VALUE"""),"可")</f>
        <v>可</v>
      </c>
      <c r="Q1471" s="30" t="str">
        <f>IFERROR(__xludf.DUMMYFUNCTION("""COMPUTED_VALUE"""),"1～10話までの素材にて出稿用バナーのご制作をお願いします。")</f>
        <v>1～10話までの素材にて出稿用バナーのご制作をお願いします。</v>
      </c>
      <c r="R1471" s="22"/>
      <c r="S1471" s="22" t="str">
        <f>IFERROR(__xludf.DUMMYFUNCTION("""COMPUTED_VALUE"""),"20240502_リブレ_さよならまたね、僕の王【タテヨミ】")</f>
        <v>20240502_リブレ_さよならまたね、僕の王【タテヨミ】</v>
      </c>
      <c r="T1471" s="22" t="str">
        <f>IFERROR(__xludf.DUMMYFUNCTION("""COMPUTED_VALUE"""),"格納済み")</f>
        <v>格納済み</v>
      </c>
      <c r="U1471" s="15" t="str">
        <f>IFERROR(__xludf.DUMMYFUNCTION("""COMPUTED_VALUE"""),"(C)W.Y/KuaiKan/libre")</f>
        <v>(C)W.Y/KuaiKan/libre</v>
      </c>
      <c r="V1471" s="8" t="str">
        <f>IFERROR(__xludf.DUMMYFUNCTION("""COMPUTED_VALUE"""),"もう二度と彼を失いたくない――
医学生の張黎（ちょうれい）は、遺跡調査で謎の「石像」に助けられる。
心優しい石像くんに次第に惹かれていく張黎だったが、彼は突然姿を消してしまった。
もう一度彼に会いたい、そう願った張黎の前に現れたのは、石像くんそっくりの暴君・メハミスで…!?
石像くんとは違い横暴で冷酷なメハミス。彼と石像くんの関係とは？
壮大な古代文明が舞台の異世界転移BL！")</f>
        <v>もう二度と彼を失いたくない――
医学生の張黎（ちょうれい）は、遺跡調査で謎の「石像」に助けられる。
心優しい石像くんに次第に惹かれていく張黎だったが、彼は突然姿を消してしまった。
もう一度彼に会いたい、そう願った張黎の前に現れたのは、石像くんそっくりの暴君・メハミスで…!?
石像くんとは違い横暴で冷酷なメハミス。彼と石像くんの関係とは？
壮大な古代文明が舞台の異世界転移BL！</v>
      </c>
      <c r="W1471" s="14"/>
      <c r="X1471" s="14" t="str">
        <f>IFERROR(__xludf.DUMMYFUNCTION("""COMPUTED_VALUE"""),"有")</f>
        <v>有</v>
      </c>
      <c r="Y1471" s="8" t="str">
        <f>IFERROR(__xludf.DUMMYFUNCTION("""COMPUTED_VALUE"""),"3巻無料
7/4まで10巻無料")</f>
        <v>3巻無料
7/4まで10巻無料</v>
      </c>
      <c r="Z1471" s="7"/>
      <c r="AA1471" s="7"/>
      <c r="AB1471" s="7"/>
    </row>
    <row r="1472" ht="15.75" customHeight="1">
      <c r="A1472" s="26">
        <f>IFERROR(__xludf.DUMMYFUNCTION("""COMPUTED_VALUE"""),3347.0)</f>
        <v>3347</v>
      </c>
      <c r="B1472" s="22" t="str">
        <f>IFERROR(__xludf.DUMMYFUNCTION("""COMPUTED_VALUE"""),"確定")</f>
        <v>確定</v>
      </c>
      <c r="C1472" s="28">
        <f>IFERROR(__xludf.DUMMYFUNCTION("""COMPUTED_VALUE"""),45412.0)</f>
        <v>45412</v>
      </c>
      <c r="D1472" s="28">
        <f>IFERROR(__xludf.DUMMYFUNCTION("""COMPUTED_VALUE"""),45419.0)</f>
        <v>45419</v>
      </c>
      <c r="E1472" s="26">
        <f>IFERROR(__xludf.DUMMYFUNCTION("""COMPUTED_VALUE"""),295298.0)</f>
        <v>295298</v>
      </c>
      <c r="F1472" s="22" t="str">
        <f>IFERROR(__xludf.DUMMYFUNCTION("""COMPUTED_VALUE"""),"金髪長乳ギャルに逆デリヘル扱いされている俺の話")</f>
        <v>金髪長乳ギャルに逆デリヘル扱いされている俺の話</v>
      </c>
      <c r="G1472" s="20">
        <f>IFERROR(__xludf.DUMMYFUNCTION("""COMPUTED_VALUE"""),1.0)</f>
        <v>1</v>
      </c>
      <c r="H1472" s="22" t="str">
        <f>IFERROR(__xludf.DUMMYFUNCTION("""COMPUTED_VALUE"""),"ウニトシキ")</f>
        <v>ウニトシキ</v>
      </c>
      <c r="I1472" s="22" t="str">
        <f>IFERROR(__xludf.DUMMYFUNCTION("""COMPUTED_VALUE"""),"オトナ")</f>
        <v>オトナ</v>
      </c>
      <c r="J1472" s="22"/>
      <c r="K1472" s="22"/>
      <c r="L1472" s="22" t="str">
        <f>IFERROR(__xludf.DUMMYFUNCTION("""COMPUTED_VALUE"""),"ナイトコミック")</f>
        <v>ナイトコミック</v>
      </c>
      <c r="M1472" s="23">
        <f>IFERROR(__xludf.DUMMYFUNCTION("""COMPUTED_VALUE"""),45457.0)</f>
        <v>45457</v>
      </c>
      <c r="N1472" s="23">
        <f>IFERROR(__xludf.DUMMYFUNCTION("""COMPUTED_VALUE"""),45512.0)</f>
        <v>45512</v>
      </c>
      <c r="O1472" s="20"/>
      <c r="P1472" s="32" t="str">
        <f>IFERROR(__xludf.DUMMYFUNCTION("""COMPUTED_VALUE"""),"可")</f>
        <v>可</v>
      </c>
      <c r="Q1472" s="30"/>
      <c r="R1472" s="22"/>
      <c r="S1472" s="22" t="str">
        <f>IFERROR(__xludf.DUMMYFUNCTION("""COMPUTED_VALUE"""),"20240430_ナイトコミック_金髪長乳ギャルに逆デリヘル扱いされている俺の話")</f>
        <v>20240430_ナイトコミック_金髪長乳ギャルに逆デリヘル扱いされている俺の話</v>
      </c>
      <c r="T1472" s="22" t="str">
        <f>IFERROR(__xludf.DUMMYFUNCTION("""COMPUTED_VALUE"""),"格納済み")</f>
        <v>格納済み</v>
      </c>
      <c r="U1472" s="15" t="str">
        <f>IFERROR(__xludf.DUMMYFUNCTION("""COMPUTED_VALUE"""),"©ウニトシキ")</f>
        <v>©ウニトシキ</v>
      </c>
      <c r="V1472" s="8" t="str">
        <f>IFERROR(__xludf.DUMMYFUNCTION("""COMPUTED_VALUE"""),"巨乳ギャルのクラスメイト、神宮寺アンは一人暮らしをいいことに、俺を自宅に呼び出しまくる。最初は料理を教える約束だった…のだが、いまではすっかり性処理要員扱いにされて…。主人公の顔面に跨ってク〇ニをさせるアン。食事の前に一度満足した彼女だったが、ゴム付きのち〇ぽでは満足できなくなった彼女はゴム無しエッチを要求してきて…")</f>
        <v>巨乳ギャルのクラスメイト、神宮寺アンは一人暮らしをいいことに、俺を自宅に呼び出しまくる。最初は料理を教える約束だった…のだが、いまではすっかり性処理要員扱いにされて…。主人公の顔面に跨ってク〇ニをさせるアン。食事の前に一度満足した彼女だったが、ゴム付きのち〇ぽでは満足できなくなった彼女はゴム無しエッチを要求してきて…</v>
      </c>
      <c r="W1472" s="14"/>
      <c r="X1472" s="14" t="str">
        <f>IFERROR(__xludf.DUMMYFUNCTION("""COMPUTED_VALUE"""),"有")</f>
        <v>有</v>
      </c>
      <c r="Y1472" s="8" t="str">
        <f>IFERROR(__xludf.DUMMYFUNCTION("""COMPUTED_VALUE"""),"P13まで")</f>
        <v>P13まで</v>
      </c>
      <c r="Z1472" s="7"/>
      <c r="AA1472" s="7"/>
      <c r="AB1472" s="7"/>
    </row>
    <row r="1473" ht="85.5" customHeight="1">
      <c r="A1473" s="26">
        <f>IFERROR(__xludf.DUMMYFUNCTION("""COMPUTED_VALUE"""),3350.0)</f>
        <v>3350</v>
      </c>
      <c r="B1473" s="22" t="str">
        <f>IFERROR(__xludf.DUMMYFUNCTION("""COMPUTED_VALUE"""),"確定")</f>
        <v>確定</v>
      </c>
      <c r="C1473" s="28">
        <f>IFERROR(__xludf.DUMMYFUNCTION("""COMPUTED_VALUE"""),45412.0)</f>
        <v>45412</v>
      </c>
      <c r="D1473" s="28">
        <f>IFERROR(__xludf.DUMMYFUNCTION("""COMPUTED_VALUE"""),45419.0)</f>
        <v>45419</v>
      </c>
      <c r="E1473" s="26">
        <f>IFERROR(__xludf.DUMMYFUNCTION("""COMPUTED_VALUE"""),292631.0)</f>
        <v>292631</v>
      </c>
      <c r="F1473" s="22" t="str">
        <f>IFERROR(__xludf.DUMMYFUNCTION("""COMPUTED_VALUE"""),"あなたに嫌われたいんです")</f>
        <v>あなたに嫌われたいんです</v>
      </c>
      <c r="G1473" s="20" t="str">
        <f>IFERROR(__xludf.DUMMYFUNCTION("""COMPUTED_VALUE"""),"1~5")</f>
        <v>1~5</v>
      </c>
      <c r="H1473" s="22" t="str">
        <f>IFERROR(__xludf.DUMMYFUNCTION("""COMPUTED_VALUE"""),"漫画：花葉田しい 原作：橘しづき（エブリスタ）")</f>
        <v>漫画：花葉田しい 原作：橘しづき（エブリスタ）</v>
      </c>
      <c r="I1473" s="22" t="str">
        <f>IFERROR(__xludf.DUMMYFUNCTION("""COMPUTED_VALUE"""),"女性")</f>
        <v>女性</v>
      </c>
      <c r="J1473" s="22"/>
      <c r="K1473" s="22"/>
      <c r="L1473" s="22" t="str">
        <f>IFERROR(__xludf.DUMMYFUNCTION("""COMPUTED_VALUE"""),"集英社")</f>
        <v>集英社</v>
      </c>
      <c r="M1473" s="23">
        <f>IFERROR(__xludf.DUMMYFUNCTION("""COMPUTED_VALUE"""),45437.0)</f>
        <v>45437</v>
      </c>
      <c r="N1473" s="23">
        <f>IFERROR(__xludf.DUMMYFUNCTION("""COMPUTED_VALUE"""),45467.0)</f>
        <v>45467</v>
      </c>
      <c r="O1473" s="20"/>
      <c r="P1473" s="34" t="str">
        <f>IFERROR(__xludf.DUMMYFUNCTION("""COMPUTED_VALUE"""),"否")</f>
        <v>否</v>
      </c>
      <c r="Q1473" s="30" t="str">
        <f>IFERROR(__xludf.DUMMYFUNCTION("""COMPUTED_VALUE"""),"・雑誌名：マンガMee&lt;BR&gt;・1話目が良い感じです。&lt;BR&gt;・1話単位の配信となります。初回配信は「2巻」フォルダの「231209_あなたに嫌われたいんです_005[第5話]」までとなります。")</f>
        <v>・雑誌名：マンガMee&lt;BR&gt;・1話目が良い感じです。&lt;BR&gt;・1話単位の配信となります。初回配信は「2巻」フォルダの「231209_あなたに嫌われたいんです_005[第5話]」までとなります。</v>
      </c>
      <c r="R1473" s="22"/>
      <c r="S1473" s="22" t="str">
        <f>IFERROR(__xludf.DUMMYFUNCTION("""COMPUTED_VALUE"""),"20240430_集英社_あなたに嫌われたいんです")</f>
        <v>20240430_集英社_あなたに嫌われたいんです</v>
      </c>
      <c r="T1473" s="22" t="str">
        <f>IFERROR(__xludf.DUMMYFUNCTION("""COMPUTED_VALUE"""),"格納済み")</f>
        <v>格納済み</v>
      </c>
      <c r="U1473" s="15" t="str">
        <f>IFERROR(__xludf.DUMMYFUNCTION("""COMPUTED_VALUE"""),"©️花葉田しい・橘しづき（エブリスタ）／集英社")</f>
        <v>©️花葉田しい・橘しづき（エブリスタ）／集英社</v>
      </c>
      <c r="V1473" s="8" t="str">
        <f>IFERROR(__xludf.DUMMYFUNCTION("""COMPUTED_VALUE"""),"大好きな工場を守るため、御曹司に嫌われたい！　でも…御曹司は猛烈に溺愛してきて…【溺愛イケメン御曹司VS嫌われたい女子】騙し・騙され心理戦＆駆け引きスタート！")</f>
        <v>大好きな工場を守るため、御曹司に嫌われたい！　でも…御曹司は猛烈に溺愛してきて…【溺愛イケメン御曹司VS嫌われたい女子】騙し・騙され心理戦＆駆け引きスタート！</v>
      </c>
      <c r="W1473" s="14"/>
      <c r="X1473" s="14" t="str">
        <f>IFERROR(__xludf.DUMMYFUNCTION("""COMPUTED_VALUE"""),"有")</f>
        <v>有</v>
      </c>
      <c r="Y1473" s="8" t="str">
        <f>IFERROR(__xludf.DUMMYFUNCTION("""COMPUTED_VALUE"""),"2024/6/24まで1巻無料")</f>
        <v>2024/6/24まで1巻無料</v>
      </c>
      <c r="Z1473" s="7"/>
      <c r="AA1473" s="7"/>
      <c r="AB1473" s="7"/>
    </row>
    <row r="1474" ht="15.75" customHeight="1">
      <c r="A1474" s="26">
        <f>IFERROR(__xludf.DUMMYFUNCTION("""COMPUTED_VALUE"""),3351.0)</f>
        <v>3351</v>
      </c>
      <c r="B1474" s="22" t="str">
        <f>IFERROR(__xludf.DUMMYFUNCTION("""COMPUTED_VALUE"""),"確定")</f>
        <v>確定</v>
      </c>
      <c r="C1474" s="28">
        <f>IFERROR(__xludf.DUMMYFUNCTION("""COMPUTED_VALUE"""),45412.0)</f>
        <v>45412</v>
      </c>
      <c r="D1474" s="28">
        <f>IFERROR(__xludf.DUMMYFUNCTION("""COMPUTED_VALUE"""),45419.0)</f>
        <v>45419</v>
      </c>
      <c r="E1474" s="26">
        <f>IFERROR(__xludf.DUMMYFUNCTION("""COMPUTED_VALUE"""),293096.0)</f>
        <v>293096</v>
      </c>
      <c r="F1474" s="22" t="str">
        <f>IFERROR(__xludf.DUMMYFUNCTION("""COMPUTED_VALUE"""),"若葉のこもれび")</f>
        <v>若葉のこもれび</v>
      </c>
      <c r="G1474" s="11" t="str">
        <f>IFERROR(__xludf.DUMMYFUNCTION("""COMPUTED_VALUE"""),"1～2")</f>
        <v>1～2</v>
      </c>
      <c r="H1474" s="22" t="str">
        <f>IFERROR(__xludf.DUMMYFUNCTION("""COMPUTED_VALUE"""),"ともすえ葵")</f>
        <v>ともすえ葵</v>
      </c>
      <c r="I1474" s="22" t="str">
        <f>IFERROR(__xludf.DUMMYFUNCTION("""COMPUTED_VALUE"""),"少女")</f>
        <v>少女</v>
      </c>
      <c r="J1474" s="22"/>
      <c r="K1474" s="22"/>
      <c r="L1474" s="22" t="str">
        <f>IFERROR(__xludf.DUMMYFUNCTION("""COMPUTED_VALUE"""),"集英社")</f>
        <v>集英社</v>
      </c>
      <c r="M1474" s="23">
        <f>IFERROR(__xludf.DUMMYFUNCTION("""COMPUTED_VALUE"""),45438.0)</f>
        <v>45438</v>
      </c>
      <c r="N1474" s="23">
        <f>IFERROR(__xludf.DUMMYFUNCTION("""COMPUTED_VALUE"""),45467.0)</f>
        <v>45467</v>
      </c>
      <c r="O1474" s="20"/>
      <c r="P1474" s="34" t="str">
        <f>IFERROR(__xludf.DUMMYFUNCTION("""COMPUTED_VALUE"""),"否")</f>
        <v>否</v>
      </c>
      <c r="Q1474" s="30" t="str">
        <f>IFERROR(__xludf.DUMMYFUNCTION("""COMPUTED_VALUE"""),"・雑誌名：別冊マーガレット&lt;BR&gt;・2巻完結（格納した14話を2冊に分けて配信します）&lt;BR&gt;・フォルダ内、各話本編のフォルダとは別に格納されているPDFはタイトルなどの文字なしバージョンとなりますので、クリエイティブ作成にあたって適宜使い分けてください。")</f>
        <v>・雑誌名：別冊マーガレット&lt;BR&gt;・2巻完結（格納した14話を2冊に分けて配信します）&lt;BR&gt;・フォルダ内、各話本編のフォルダとは別に格納されているPDFはタイトルなどの文字なしバージョンとなりますので、クリエイティブ作成にあたって適宜使い分けてください。</v>
      </c>
      <c r="R1474" s="22"/>
      <c r="S1474" s="22" t="str">
        <f>IFERROR(__xludf.DUMMYFUNCTION("""COMPUTED_VALUE"""),"20240430_集英社_若葉のこもれび")</f>
        <v>20240430_集英社_若葉のこもれび</v>
      </c>
      <c r="T1474" s="22" t="str">
        <f>IFERROR(__xludf.DUMMYFUNCTION("""COMPUTED_VALUE"""),"格納済み")</f>
        <v>格納済み</v>
      </c>
      <c r="U1474" s="15" t="str">
        <f>IFERROR(__xludf.DUMMYFUNCTION("""COMPUTED_VALUE"""),"©️ともすえ葵／集英社")</f>
        <v>©️ともすえ葵／集英社</v>
      </c>
      <c r="V1474" s="8" t="str">
        <f>IFERROR(__xludf.DUMMYFUNCTION("""COMPUTED_VALUE"""),"【教室に広がる初恋模様】内気な奈子は、隣の席の七村くんの威圧感におびえ気味。そんな奈子を守る正義感の強い理々は、七村の友人・日高と言い合いになるけれど……？　同じ教室のあちこちで広がっていく、小さな恋の物語。『別冊マーガレット』で大好評だったオムニバス・ラブストーリー！　読みきり作品「ノースリーブでおでかけを」も収録♪")</f>
        <v>【教室に広がる初恋模様】内気な奈子は、隣の席の七村くんの威圧感におびえ気味。そんな奈子を守る正義感の強い理々は、七村の友人・日高と言い合いになるけれど……？　同じ教室のあちこちで広がっていく、小さな恋の物語。『別冊マーガレット』で大好評だったオムニバス・ラブストーリー！　読みきり作品「ノースリーブでおでかけを」も収録♪</v>
      </c>
      <c r="W1474" s="8"/>
      <c r="X1474" s="14" t="str">
        <f>IFERROR(__xludf.DUMMYFUNCTION("""COMPUTED_VALUE"""),"有")</f>
        <v>有</v>
      </c>
      <c r="Y1474" s="8" t="str">
        <f>IFERROR(__xludf.DUMMYFUNCTION("""COMPUTED_VALUE"""),"2024/6/24まで立ち読み増量P80まで")</f>
        <v>2024/6/24まで立ち読み増量P80まで</v>
      </c>
      <c r="Z1474" s="7"/>
      <c r="AA1474" s="7"/>
      <c r="AB1474" s="7"/>
    </row>
    <row r="1475" ht="15.75" customHeight="1">
      <c r="A1475" s="26">
        <f>IFERROR(__xludf.DUMMYFUNCTION("""COMPUTED_VALUE"""),3352.0)</f>
        <v>3352</v>
      </c>
      <c r="B1475" s="22" t="str">
        <f>IFERROR(__xludf.DUMMYFUNCTION("""COMPUTED_VALUE"""),"確定")</f>
        <v>確定</v>
      </c>
      <c r="C1475" s="28">
        <f>IFERROR(__xludf.DUMMYFUNCTION("""COMPUTED_VALUE"""),45412.0)</f>
        <v>45412</v>
      </c>
      <c r="D1475" s="28">
        <f>IFERROR(__xludf.DUMMYFUNCTION("""COMPUTED_VALUE"""),45419.0)</f>
        <v>45419</v>
      </c>
      <c r="E1475" s="26">
        <f>IFERROR(__xludf.DUMMYFUNCTION("""COMPUTED_VALUE"""),293095.0)</f>
        <v>293095</v>
      </c>
      <c r="F1475" s="22" t="str">
        <f>IFERROR(__xludf.DUMMYFUNCTION("""COMPUTED_VALUE"""),"あなたとぎゅうっと。")</f>
        <v>あなたとぎゅうっと。</v>
      </c>
      <c r="G1475" s="20">
        <f>IFERROR(__xludf.DUMMYFUNCTION("""COMPUTED_VALUE"""),1.0)</f>
        <v>1</v>
      </c>
      <c r="H1475" s="22" t="str">
        <f>IFERROR(__xludf.DUMMYFUNCTION("""COMPUTED_VALUE"""),"海乃虹")</f>
        <v>海乃虹</v>
      </c>
      <c r="I1475" s="22" t="str">
        <f>IFERROR(__xludf.DUMMYFUNCTION("""COMPUTED_VALUE"""),"少女")</f>
        <v>少女</v>
      </c>
      <c r="J1475" s="22"/>
      <c r="K1475" s="22"/>
      <c r="L1475" s="22" t="str">
        <f>IFERROR(__xludf.DUMMYFUNCTION("""COMPUTED_VALUE"""),"集英社")</f>
        <v>集英社</v>
      </c>
      <c r="M1475" s="23">
        <f>IFERROR(__xludf.DUMMYFUNCTION("""COMPUTED_VALUE"""),45438.0)</f>
        <v>45438</v>
      </c>
      <c r="N1475" s="23">
        <f>IFERROR(__xludf.DUMMYFUNCTION("""COMPUTED_VALUE"""),45467.0)</f>
        <v>45467</v>
      </c>
      <c r="O1475" s="20"/>
      <c r="P1475" s="34" t="str">
        <f>IFERROR(__xludf.DUMMYFUNCTION("""COMPUTED_VALUE"""),"否")</f>
        <v>否</v>
      </c>
      <c r="Q1475" s="30" t="str">
        <f>IFERROR(__xludf.DUMMYFUNCTION("""COMPUTED_VALUE"""),"・掲載誌：別冊マーガレット&lt;BR&gt;・1巻完結（格納の1話～最終話・描きおろしまでを1冊で配信します）&lt;BR&gt;・各話フォルダ内の本編フォルダとは別に格納しているPDFはタイトルなどの文字なしバージョンですので、クリエイティブ作成にあたって適宜使い分けてください。")</f>
        <v>・掲載誌：別冊マーガレット&lt;BR&gt;・1巻完結（格納の1話～最終話・描きおろしまでを1冊で配信します）&lt;BR&gt;・各話フォルダ内の本編フォルダとは別に格納しているPDFはタイトルなどの文字なしバージョンですので、クリエイティブ作成にあたって適宜使い分けてください。</v>
      </c>
      <c r="R1475" s="22"/>
      <c r="S1475" s="22" t="str">
        <f>IFERROR(__xludf.DUMMYFUNCTION("""COMPUTED_VALUE"""),"20240430_集英社_あなたとぎゅうっと。")</f>
        <v>20240430_集英社_あなたとぎゅうっと。</v>
      </c>
      <c r="T1475" s="22" t="str">
        <f>IFERROR(__xludf.DUMMYFUNCTION("""COMPUTED_VALUE"""),"格納済み")</f>
        <v>格納済み</v>
      </c>
      <c r="U1475" s="15" t="str">
        <f>IFERROR(__xludf.DUMMYFUNCTION("""COMPUTED_VALUE"""),"©海乃虹／集英社")</f>
        <v>©海乃虹／集英社</v>
      </c>
      <c r="V1475" s="8" t="str">
        <f>IFERROR(__xludf.DUMMYFUNCTION("""COMPUTED_VALUE"""),"【農業高校×都会JK×セイシュン??】東京でキラキラJKライフを送っていた茉白（ましろ）。ところが親の転勤で田舎の農業高校に転校することに！　イケメンと隣の席で一瞬テンションが上がるも、なぜか超塩対応だし、牛の世話は大変だし、映え要素ゼロの毎日で……？　『別冊マーガレット』で大好評だった農高青春ラブストーリー！　描きおろしページも収録。")</f>
        <v>【農業高校×都会JK×セイシュン??】東京でキラキラJKライフを送っていた茉白（ましろ）。ところが親の転勤で田舎の農業高校に転校することに！　イケメンと隣の席で一瞬テンションが上がるも、なぜか超塩対応だし、牛の世話は大変だし、映え要素ゼロの毎日で……？　『別冊マーガレット』で大好評だった農高青春ラブストーリー！　描きおろしページも収録。</v>
      </c>
      <c r="W1475" s="8"/>
      <c r="X1475" s="14" t="str">
        <f>IFERROR(__xludf.DUMMYFUNCTION("""COMPUTED_VALUE"""),"有")</f>
        <v>有</v>
      </c>
      <c r="Y1475" s="8" t="str">
        <f>IFERROR(__xludf.DUMMYFUNCTION("""COMPUTED_VALUE"""),"2024/6/24まで立ち読み増量P80まで")</f>
        <v>2024/6/24まで立ち読み増量P80まで</v>
      </c>
      <c r="Z1475" s="7"/>
      <c r="AA1475" s="7"/>
      <c r="AB1475" s="7"/>
    </row>
    <row r="1476" ht="15.75" customHeight="1">
      <c r="A1476" s="26">
        <f>IFERROR(__xludf.DUMMYFUNCTION("""COMPUTED_VALUE"""),3353.0)</f>
        <v>3353</v>
      </c>
      <c r="B1476" s="22" t="str">
        <f>IFERROR(__xludf.DUMMYFUNCTION("""COMPUTED_VALUE"""),"確定")</f>
        <v>確定</v>
      </c>
      <c r="C1476" s="28">
        <f>IFERROR(__xludf.DUMMYFUNCTION("""COMPUTED_VALUE"""),45412.0)</f>
        <v>45412</v>
      </c>
      <c r="D1476" s="28">
        <f>IFERROR(__xludf.DUMMYFUNCTION("""COMPUTED_VALUE"""),45419.0)</f>
        <v>45419</v>
      </c>
      <c r="E1476" s="26">
        <f>IFERROR(__xludf.DUMMYFUNCTION("""COMPUTED_VALUE"""),293097.0)</f>
        <v>293097</v>
      </c>
      <c r="F1476" s="22" t="str">
        <f>IFERROR(__xludf.DUMMYFUNCTION("""COMPUTED_VALUE"""),"惑う羊は手のひらの上")</f>
        <v>惑う羊は手のひらの上</v>
      </c>
      <c r="G1476" s="20">
        <f>IFERROR(__xludf.DUMMYFUNCTION("""COMPUTED_VALUE"""),1.0)</f>
        <v>1</v>
      </c>
      <c r="H1476" s="22" t="str">
        <f>IFERROR(__xludf.DUMMYFUNCTION("""COMPUTED_VALUE"""),"柴")</f>
        <v>柴</v>
      </c>
      <c r="I1476" s="22" t="str">
        <f>IFERROR(__xludf.DUMMYFUNCTION("""COMPUTED_VALUE"""),"BL")</f>
        <v>BL</v>
      </c>
      <c r="J1476" s="22"/>
      <c r="K1476" s="22"/>
      <c r="L1476" s="22" t="str">
        <f>IFERROR(__xludf.DUMMYFUNCTION("""COMPUTED_VALUE"""),"集英社")</f>
        <v>集英社</v>
      </c>
      <c r="M1476" s="23">
        <f>IFERROR(__xludf.DUMMYFUNCTION("""COMPUTED_VALUE"""),45438.0)</f>
        <v>45438</v>
      </c>
      <c r="N1476" s="23">
        <f>IFERROR(__xludf.DUMMYFUNCTION("""COMPUTED_VALUE"""),45467.0)</f>
        <v>45467</v>
      </c>
      <c r="O1476" s="20"/>
      <c r="P1476" s="34" t="str">
        <f>IFERROR(__xludf.DUMMYFUNCTION("""COMPUTED_VALUE"""),"否")</f>
        <v>否</v>
      </c>
      <c r="Q1476" s="30" t="str">
        <f>IFERROR(__xludf.DUMMYFUNCTION("""COMPUTED_VALUE"""),"・掲載誌：君恋（電子版）&lt;BR&gt;・1巻完結です。&lt;BR&gt;・ジャンル確認中です。わかり次第、更新します。")</f>
        <v>・掲載誌：君恋（電子版）&lt;BR&gt;・1巻完結です。&lt;BR&gt;・ジャンル確認中です。わかり次第、更新します。</v>
      </c>
      <c r="R1476" s="22"/>
      <c r="S1476" s="22" t="str">
        <f>IFERROR(__xludf.DUMMYFUNCTION("""COMPUTED_VALUE"""),"20240430_集英社_惑う羊は手のひらの上")</f>
        <v>20240430_集英社_惑う羊は手のひらの上</v>
      </c>
      <c r="T1476" s="22" t="str">
        <f>IFERROR(__xludf.DUMMYFUNCTION("""COMPUTED_VALUE"""),"格納済み")</f>
        <v>格納済み</v>
      </c>
      <c r="U1476" s="15" t="str">
        <f>IFERROR(__xludf.DUMMYFUNCTION("""COMPUTED_VALUE"""),"©柴／集英社")</f>
        <v>©柴／集英社</v>
      </c>
      <c r="V1476" s="8" t="str">
        <f>IFERROR(__xludf.DUMMYFUNCTION("""COMPUTED_VALUE"""),"集英社“君恋”が贈るボーイズ・ラブ！　幼い頃から人間でないものが視える雪也。大学生となり、友人のつきあいで入ったオカ研の面々が間違えて召喚した悪魔・フレッドと出会い、サークルの仲間を守るべく、彼と契約してしまうが…!?　雪也の先輩・遥とフレッドと旧知の仲である悪魔・レオの恋を描いた「恋する羊は迷わない」も収録。")</f>
        <v>集英社“君恋”が贈るボーイズ・ラブ！　幼い頃から人間でないものが視える雪也。大学生となり、友人のつきあいで入ったオカ研の面々が間違えて召喚した悪魔・フレッドと出会い、サークルの仲間を守るべく、彼と契約してしまうが…!?　雪也の先輩・遥とフレッドと旧知の仲である悪魔・レオの恋を描いた「恋する羊は迷わない」も収録。</v>
      </c>
      <c r="W1476" s="14"/>
      <c r="X1476" s="14" t="str">
        <f>IFERROR(__xludf.DUMMYFUNCTION("""COMPUTED_VALUE"""),"有")</f>
        <v>有</v>
      </c>
      <c r="Y1476" s="8" t="str">
        <f>IFERROR(__xludf.DUMMYFUNCTION("""COMPUTED_VALUE"""),"P26まで")</f>
        <v>P26まで</v>
      </c>
      <c r="Z1476" s="7"/>
      <c r="AA1476" s="7"/>
      <c r="AB1476" s="7"/>
    </row>
    <row r="1477" ht="15.75" customHeight="1">
      <c r="A1477" s="26">
        <f>IFERROR(__xludf.DUMMYFUNCTION("""COMPUTED_VALUE"""),3363.0)</f>
        <v>3363</v>
      </c>
      <c r="B1477" s="22" t="str">
        <f>IFERROR(__xludf.DUMMYFUNCTION("""COMPUTED_VALUE"""),"確定")</f>
        <v>確定</v>
      </c>
      <c r="C1477" s="28">
        <f>IFERROR(__xludf.DUMMYFUNCTION("""COMPUTED_VALUE"""),45413.0)</f>
        <v>45413</v>
      </c>
      <c r="D1477" s="28">
        <f>IFERROR(__xludf.DUMMYFUNCTION("""COMPUTED_VALUE"""),45419.0)</f>
        <v>45419</v>
      </c>
      <c r="E1477" s="26">
        <f>IFERROR(__xludf.DUMMYFUNCTION("""COMPUTED_VALUE"""),292474.0)</f>
        <v>292474</v>
      </c>
      <c r="F1477" s="46" t="str">
        <f>IFERROR(__xludf.DUMMYFUNCTION("""COMPUTED_VALUE"""),"不倫ダイアリー【単話版】")</f>
        <v>不倫ダイアリー【単話版】</v>
      </c>
      <c r="G1477" s="20" t="str">
        <f>IFERROR(__xludf.DUMMYFUNCTION("""COMPUTED_VALUE"""),"1～4")</f>
        <v>1～4</v>
      </c>
      <c r="H1477" s="22" t="str">
        <f>IFERROR(__xludf.DUMMYFUNCTION("""COMPUTED_VALUE"""),"秋重学")</f>
        <v>秋重学</v>
      </c>
      <c r="I1477" s="22" t="str">
        <f>IFERROR(__xludf.DUMMYFUNCTION("""COMPUTED_VALUE"""),"女性")</f>
        <v>女性</v>
      </c>
      <c r="J1477" s="22"/>
      <c r="K1477" s="22"/>
      <c r="L1477" s="22" t="str">
        <f>IFERROR(__xludf.DUMMYFUNCTION("""COMPUTED_VALUE"""),"日本文芸社")</f>
        <v>日本文芸社</v>
      </c>
      <c r="M1477" s="23">
        <f>IFERROR(__xludf.DUMMYFUNCTION("""COMPUTED_VALUE"""),45471.0)</f>
        <v>45471</v>
      </c>
      <c r="N1477" s="23">
        <f>IFERROR(__xludf.DUMMYFUNCTION("""COMPUTED_VALUE"""),45563.0)</f>
        <v>45563</v>
      </c>
      <c r="O1477" s="20"/>
      <c r="P1477" s="34" t="str">
        <f>IFERROR(__xludf.DUMMYFUNCTION("""COMPUTED_VALUE"""),"可")</f>
        <v>可</v>
      </c>
      <c r="Q1477" s="30"/>
      <c r="R1477" s="46"/>
      <c r="S1477" s="22" t="str">
        <f>IFERROR(__xludf.DUMMYFUNCTION("""COMPUTED_VALUE"""),"20240614_日本文芸社_不倫ダイアリー")</f>
        <v>20240614_日本文芸社_不倫ダイアリー</v>
      </c>
      <c r="T1477" s="22" t="str">
        <f>IFERROR(__xludf.DUMMYFUNCTION("""COMPUTED_VALUE"""),"格納済み")</f>
        <v>格納済み</v>
      </c>
      <c r="U1477" s="15" t="str">
        <f>IFERROR(__xludf.DUMMYFUNCTION("""COMPUTED_VALUE"""),"©秋重学/日本文芸社")</f>
        <v>©秋重学/日本文芸社</v>
      </c>
      <c r="V1477" s="8" t="str">
        <f>IFERROR(__xludf.DUMMYFUNCTION("""COMPUTED_VALUE"""),"「木曜日だけは、この人は、私のもの」
独身OL桐谷結衣は、毎週木曜日だけポニーテールにする。
それは、既婚者である恋人との逢瀬のための着飾り。
彼が結婚する前に長く付き合っていた恋人がよくポニーテールに
していたことを知り、そうするようになった。
こんな関係を長く続けるつもりはなかった結衣であったが、
いつしか本気で好きになってしまい今に至る。
「私は多くは望まない」
「奥さんと別れてとか、私と結婚してとか、子供が欲しいとか」
結衣は、そう自分に言い聞かせ、この関係を続けたいと思っている"&amp;"が
それと同時に徐々に彼に飽きられているとも感じている。
そんな中、結衣の誕生日に二人で有休を取り昼間からデートをする
ことに。そして――…。
人それぞれにある特別な曜日の“ヒメゴト”を映し出す
珠玉のオムニバス連載！！")</f>
        <v>「木曜日だけは、この人は、私のもの」
独身OL桐谷結衣は、毎週木曜日だけポニーテールにする。
それは、既婚者である恋人との逢瀬のための着飾り。
彼が結婚する前に長く付き合っていた恋人がよくポニーテールに
していたことを知り、そうするようになった。
こんな関係を長く続けるつもりはなかった結衣であったが、
いつしか本気で好きになってしまい今に至る。
「私は多くは望まない」
「奥さんと別れてとか、私と結婚してとか、子供が欲しいとか」
結衣は、そう自分に言い聞かせ、この関係を続けたいと思っているが
それと同時に徐々に彼に飽きられているとも感じている。
そんな中、結衣の誕生日に二人で有休を取り昼間からデートをする
ことに。そして――…。
人それぞれにある特別な曜日の“ヒメゴト”を映し出す
珠玉のオムニバス連載！！</v>
      </c>
      <c r="W1477" s="14"/>
      <c r="X1477" s="14" t="str">
        <f>IFERROR(__xludf.DUMMYFUNCTION("""COMPUTED_VALUE"""),"有")</f>
        <v>有</v>
      </c>
      <c r="Y1477" s="8" t="str">
        <f>IFERROR(__xludf.DUMMYFUNCTION("""COMPUTED_VALUE"""),"1巻無料")</f>
        <v>1巻無料</v>
      </c>
      <c r="Z1477" s="7"/>
      <c r="AA1477" s="7"/>
      <c r="AB1477" s="7"/>
    </row>
    <row r="1478" ht="15.75" customHeight="1">
      <c r="A1478" s="26">
        <f>IFERROR(__xludf.DUMMYFUNCTION("""COMPUTED_VALUE"""),3370.0)</f>
        <v>3370</v>
      </c>
      <c r="B1478" s="22" t="str">
        <f>IFERROR(__xludf.DUMMYFUNCTION("""COMPUTED_VALUE"""),"確定")</f>
        <v>確定</v>
      </c>
      <c r="C1478" s="28">
        <f>IFERROR(__xludf.DUMMYFUNCTION("""COMPUTED_VALUE"""),45414.0)</f>
        <v>45414</v>
      </c>
      <c r="D1478" s="28">
        <f>IFERROR(__xludf.DUMMYFUNCTION("""COMPUTED_VALUE"""),45419.0)</f>
        <v>45419</v>
      </c>
      <c r="E1478" s="26">
        <f>IFERROR(__xludf.DUMMYFUNCTION("""COMPUTED_VALUE"""),294281.0)</f>
        <v>294281</v>
      </c>
      <c r="F1478" s="22" t="str">
        <f>IFERROR(__xludf.DUMMYFUNCTION("""COMPUTED_VALUE"""),"幼なじみとの距離が物理的に近すぎる【商業配信版】")</f>
        <v>幼なじみとの距離が物理的に近すぎる【商業配信版】</v>
      </c>
      <c r="G1478" s="53" t="str">
        <f>IFERROR(__xludf.DUMMYFUNCTION("""COMPUTED_VALUE"""),"1~7")</f>
        <v>1~7</v>
      </c>
      <c r="H1478" s="22" t="str">
        <f>IFERROR(__xludf.DUMMYFUNCTION("""COMPUTED_VALUE"""),"きよせ")</f>
        <v>きよせ</v>
      </c>
      <c r="I1478" s="22" t="str">
        <f>IFERROR(__xludf.DUMMYFUNCTION("""COMPUTED_VALUE"""),"女性")</f>
        <v>女性</v>
      </c>
      <c r="J1478" s="22"/>
      <c r="K1478" s="22"/>
      <c r="L1478" s="22" t="str">
        <f>IFERROR(__xludf.DUMMYFUNCTION("""COMPUTED_VALUE"""),"ライドオン")</f>
        <v>ライドオン</v>
      </c>
      <c r="M1478" s="23">
        <f>IFERROR(__xludf.DUMMYFUNCTION("""COMPUTED_VALUE"""),45450.0)</f>
        <v>45450</v>
      </c>
      <c r="N1478" s="47">
        <f>IFERROR(__xludf.DUMMYFUNCTION("""COMPUTED_VALUE"""),45463.0)</f>
        <v>45463</v>
      </c>
      <c r="O1478" s="20"/>
      <c r="P1478" s="32" t="str">
        <f>IFERROR(__xludf.DUMMYFUNCTION("""COMPUTED_VALUE"""),"可")</f>
        <v>可</v>
      </c>
      <c r="Q1478" s="30"/>
      <c r="R1478" s="22"/>
      <c r="S1478" s="22" t="str">
        <f>IFERROR(__xludf.DUMMYFUNCTION("""COMPUTED_VALUE"""),"20240502_ライドオン_幼なじみとの距離が物理的に近すぎる")</f>
        <v>20240502_ライドオン_幼なじみとの距離が物理的に近すぎる</v>
      </c>
      <c r="T1478" s="22"/>
      <c r="U1478" s="15" t="str">
        <f>IFERROR(__xludf.DUMMYFUNCTION("""COMPUTED_VALUE"""),"©きよせ/ライドオン")</f>
        <v>©きよせ/ライドオン</v>
      </c>
      <c r="V1478" s="8" t="str">
        <f>IFERROR(__xludf.DUMMYFUNCTION("""COMPUTED_VALUE"""),"女子高校生の秋山朱音には、小さい頃からいつも一緒の困った幼なじみがいる。
その彼の名前は春日皐月。
視力0.01の持ち主でありながら、メガネもコンタクトも全然使おうとしない。
最近は視力が悪いのを理由にしょっちゅう急接近して話しかけてきてなんだかドキドキしてしまうし、振り回され気味な高校生活を送っている。
そんなマイペースな皐月も同級生の女子からは高い人気があって、幼なじみとしてはちょっと複雑な気持ちに。
ずっと変わらない関係だと思っていたけれど、ふたりを取り巻く環境も変わり始め、心の距離も少し"&amp;"ずつ近づいていき…。
いろんな意味で危なっかしい、ちょっと不思議系？で一途な幼なじみとの0距離ときめきラブコメディ！")</f>
        <v>女子高校生の秋山朱音には、小さい頃からいつも一緒の困った幼なじみがいる。
その彼の名前は春日皐月。
視力0.01の持ち主でありながら、メガネもコンタクトも全然使おうとしない。
最近は視力が悪いのを理由にしょっちゅう急接近して話しかけてきてなんだかドキドキしてしまうし、振り回され気味な高校生活を送っている。
そんなマイペースな皐月も同級生の女子からは高い人気があって、幼なじみとしてはちょっと複雑な気持ちに。
ずっと変わらない関係だと思っていたけれど、ふたりを取り巻く環境も変わり始め、心の距離も少しずつ近づいていき…。
いろんな意味で危なっかしい、ちょっと不思議系？で一途な幼なじみとの0距離ときめきラブコメディ！</v>
      </c>
      <c r="W1478" s="14"/>
      <c r="X1478" s="14" t="str">
        <f>IFERROR(__xludf.DUMMYFUNCTION("""COMPUTED_VALUE"""),"有")</f>
        <v>有</v>
      </c>
      <c r="Y1478" s="8" t="str">
        <f>IFERROR(__xludf.DUMMYFUNCTION("""COMPUTED_VALUE"""),"P13まで")</f>
        <v>P13まで</v>
      </c>
      <c r="Z1478" s="7"/>
      <c r="AA1478" s="7"/>
      <c r="AB1478" s="7"/>
    </row>
    <row r="1479" ht="15.75" customHeight="1">
      <c r="A1479" s="26">
        <f>IFERROR(__xludf.DUMMYFUNCTION("""COMPUTED_VALUE"""),3374.0)</f>
        <v>3374</v>
      </c>
      <c r="B1479" s="22" t="str">
        <f>IFERROR(__xludf.DUMMYFUNCTION("""COMPUTED_VALUE"""),"確定")</f>
        <v>確定</v>
      </c>
      <c r="C1479" s="28">
        <f>IFERROR(__xludf.DUMMYFUNCTION("""COMPUTED_VALUE"""),45419.0)</f>
        <v>45419</v>
      </c>
      <c r="D1479" s="28">
        <f>IFERROR(__xludf.DUMMYFUNCTION("""COMPUTED_VALUE"""),45419.0)</f>
        <v>45419</v>
      </c>
      <c r="E1479" s="26">
        <f>IFERROR(__xludf.DUMMYFUNCTION("""COMPUTED_VALUE"""),282466.0)</f>
        <v>282466</v>
      </c>
      <c r="F1479" s="46" t="str">
        <f>IFERROR(__xludf.DUMMYFUNCTION("""COMPUTED_VALUE"""),"母娘丼(フルカラー)")</f>
        <v>母娘丼(フルカラー)</v>
      </c>
      <c r="G1479" s="20" t="str">
        <f>IFERROR(__xludf.DUMMYFUNCTION("""COMPUTED_VALUE"""),"1～3")</f>
        <v>1～3</v>
      </c>
      <c r="H1479" s="22" t="str">
        <f>IFERROR(__xludf.DUMMYFUNCTION("""COMPUTED_VALUE"""),"YuJa.C,Bean Sister")</f>
        <v>YuJa.C,Bean Sister</v>
      </c>
      <c r="I1479" s="22" t="str">
        <f>IFERROR(__xludf.DUMMYFUNCTION("""COMPUTED_VALUE"""),"青年")</f>
        <v>青年</v>
      </c>
      <c r="J1479" s="22"/>
      <c r="K1479" s="22"/>
      <c r="L1479" s="22" t="str">
        <f>IFERROR(__xludf.DUMMYFUNCTION("""COMPUTED_VALUE"""),"ソルマーレ編集部")</f>
        <v>ソルマーレ編集部</v>
      </c>
      <c r="M1479" s="23">
        <f>IFERROR(__xludf.DUMMYFUNCTION("""COMPUTED_VALUE"""),45451.0)</f>
        <v>45451</v>
      </c>
      <c r="N1479" s="23">
        <f>IFERROR(__xludf.DUMMYFUNCTION("""COMPUTED_VALUE"""),45512.0)</f>
        <v>45512</v>
      </c>
      <c r="O1479" s="20"/>
      <c r="P1479" s="34" t="str">
        <f>IFERROR(__xludf.DUMMYFUNCTION("""COMPUTED_VALUE"""),"可")</f>
        <v>可</v>
      </c>
      <c r="Q1479" s="30"/>
      <c r="R1479" s="22"/>
      <c r="S1479" s="22" t="str">
        <f>IFERROR(__xludf.DUMMYFUNCTION("""COMPUTED_VALUE"""),"20240507_ソルマーレ編集部_母娘丼（フルカラー）")</f>
        <v>20240507_ソルマーレ編集部_母娘丼（フルカラー）</v>
      </c>
      <c r="T1479" s="22" t="str">
        <f>IFERROR(__xludf.DUMMYFUNCTION("""COMPUTED_VALUE"""),"格納済み")</f>
        <v>格納済み</v>
      </c>
      <c r="U1479" s="15" t="str">
        <f>IFERROR(__xludf.DUMMYFUNCTION("""COMPUTED_VALUE"""),"Ⓒ YuJa.C/Bean Sister/TOPCO/シーモアコミックス")</f>
        <v>Ⓒ YuJa.C/Bean Sister/TOPCO/シーモアコミックス</v>
      </c>
      <c r="V1479" s="8" t="str">
        <f>IFERROR(__xludf.DUMMYFUNCTION("""COMPUTED_VALUE"""),"貧乏な大学生・智人は、夏休みの間、住み込み家庭教師をすることに!?
家庭教師先の家には美しい母娘と可愛いお手伝いさんがいた。
特に母親は智人と同じ年の娘がいるとは思えないほど若く美しすぎて…。
「私のお母さんとシたいでしょ。ヤレると思いますよ？」いきなり生徒の花に挑発される智人。この母娘の関係は何かおかしい…と疑問に思いながら、
「俺は絶対に変な気を起こさない！」と言ったものの、可憐な3人の女に24時間、誘惑され、すぐに我慢できなくなって!?
気が付けば…ひとつ屋根の下で女達と次々にヤリまくって"&amp;"しまいーー
【桃色エンジェル】")</f>
        <v>貧乏な大学生・智人は、夏休みの間、住み込み家庭教師をすることに!?
家庭教師先の家には美しい母娘と可愛いお手伝いさんがいた。
特に母親は智人と同じ年の娘がいるとは思えないほど若く美しすぎて…。
「私のお母さんとシたいでしょ。ヤレると思いますよ？」いきなり生徒の花に挑発される智人。この母娘の関係は何かおかしい…と疑問に思いながら、
「俺は絶対に変な気を起こさない！」と言ったものの、可憐な3人の女に24時間、誘惑され、すぐに我慢できなくなって!?
気が付けば…ひとつ屋根の下で女達と次々にヤリまくってしまいーー
【桃色エンジェル】</v>
      </c>
      <c r="W1479" s="8"/>
      <c r="X1479" s="14" t="str">
        <f>IFERROR(__xludf.DUMMYFUNCTION("""COMPUTED_VALUE"""),"有")</f>
        <v>有</v>
      </c>
      <c r="Y1479" s="8" t="str">
        <f>IFERROR(__xludf.DUMMYFUNCTION("""COMPUTED_VALUE"""),"2024/7/12まで1巻無料")</f>
        <v>2024/7/12まで1巻無料</v>
      </c>
      <c r="Z1479" s="7"/>
      <c r="AA1479" s="7"/>
      <c r="AB1479" s="7"/>
    </row>
    <row r="1480" ht="15.75" customHeight="1">
      <c r="A1480" s="26">
        <f>IFERROR(__xludf.DUMMYFUNCTION("""COMPUTED_VALUE"""),3375.0)</f>
        <v>3375</v>
      </c>
      <c r="B1480" s="22" t="str">
        <f>IFERROR(__xludf.DUMMYFUNCTION("""COMPUTED_VALUE"""),"確定")</f>
        <v>確定</v>
      </c>
      <c r="C1480" s="28">
        <f>IFERROR(__xludf.DUMMYFUNCTION("""COMPUTED_VALUE"""),45419.0)</f>
        <v>45419</v>
      </c>
      <c r="D1480" s="28">
        <f>IFERROR(__xludf.DUMMYFUNCTION("""COMPUTED_VALUE"""),45419.0)</f>
        <v>45419</v>
      </c>
      <c r="E1480" s="26">
        <f>IFERROR(__xludf.DUMMYFUNCTION("""COMPUTED_VALUE"""),282467.0)</f>
        <v>282467</v>
      </c>
      <c r="F1480" s="46" t="str">
        <f>IFERROR(__xludf.DUMMYFUNCTION("""COMPUTED_VALUE"""),"母娘丼【タテヨミ】")</f>
        <v>母娘丼【タテヨミ】</v>
      </c>
      <c r="G1480" s="20" t="str">
        <f>IFERROR(__xludf.DUMMYFUNCTION("""COMPUTED_VALUE"""),"1～6")</f>
        <v>1～6</v>
      </c>
      <c r="H1480" s="22" t="str">
        <f>IFERROR(__xludf.DUMMYFUNCTION("""COMPUTED_VALUE"""),"YuJa.C,Bean Sister")</f>
        <v>YuJa.C,Bean Sister</v>
      </c>
      <c r="I1480" s="22" t="str">
        <f>IFERROR(__xludf.DUMMYFUNCTION("""COMPUTED_VALUE"""),"青年")</f>
        <v>青年</v>
      </c>
      <c r="J1480" s="22"/>
      <c r="K1480" s="22"/>
      <c r="L1480" s="22" t="str">
        <f>IFERROR(__xludf.DUMMYFUNCTION("""COMPUTED_VALUE"""),"ソルマーレ編集部")</f>
        <v>ソルマーレ編集部</v>
      </c>
      <c r="M1480" s="23">
        <f>IFERROR(__xludf.DUMMYFUNCTION("""COMPUTED_VALUE"""),45451.0)</f>
        <v>45451</v>
      </c>
      <c r="N1480" s="23">
        <f>IFERROR(__xludf.DUMMYFUNCTION("""COMPUTED_VALUE"""),45512.0)</f>
        <v>45512</v>
      </c>
      <c r="O1480" s="20"/>
      <c r="P1480" s="34" t="str">
        <f>IFERROR(__xludf.DUMMYFUNCTION("""COMPUTED_VALUE"""),"可")</f>
        <v>可</v>
      </c>
      <c r="Q1480" s="30" t="str">
        <f>IFERROR(__xludf.DUMMYFUNCTION("""COMPUTED_VALUE"""),"※コマサム等素材は「282466　母娘丼（フルカラー）」のほうをお使いください。&lt;BR&gt;バナー制作はフルカラー版の素材を利用して問題ございません。")</f>
        <v>※コマサム等素材は「282466　母娘丼（フルカラー）」のほうをお使いください。&lt;BR&gt;バナー制作はフルカラー版の素材を利用して問題ございません。</v>
      </c>
      <c r="R1480" s="22"/>
      <c r="S1480" s="22" t="str">
        <f>IFERROR(__xludf.DUMMYFUNCTION("""COMPUTED_VALUE"""),"20240507_ソルマーレ編集部_母娘丼【タテヨミ】")</f>
        <v>20240507_ソルマーレ編集部_母娘丼【タテヨミ】</v>
      </c>
      <c r="T1480" s="22" t="str">
        <f>IFERROR(__xludf.DUMMYFUNCTION("""COMPUTED_VALUE"""),"格納済み")</f>
        <v>格納済み</v>
      </c>
      <c r="U1480" s="15" t="str">
        <f>IFERROR(__xludf.DUMMYFUNCTION("""COMPUTED_VALUE"""),"Ⓒ YuJa.C/Bean Sister/TOPCO/シーモアコミックス")</f>
        <v>Ⓒ YuJa.C/Bean Sister/TOPCO/シーモアコミックス</v>
      </c>
      <c r="V1480" s="8" t="str">
        <f>IFERROR(__xludf.DUMMYFUNCTION("""COMPUTED_VALUE"""),"貧乏な大学生・智人は、夏休みの間、住み込み家庭教師をすることに!?
家庭教師先の家には美しい母娘と可愛いお手伝いさんがいた。
特に母親は智人と同じ年の娘がいるとは思えないほど若く美しすぎて…。
「私のお母さんとシたいでしょ。ヤレると思いますよ？」いきなり生徒の花に挑発される智人。この母娘の関係は何かおかしい…と疑問に思いながら、
「俺は絶対に変な気を起こさない！」と言ったものの、可憐な3人の女に24時間、誘惑され、すぐに我慢できなくなって!?
気が付けば…ひとつ屋根の下で女達と次々にヤリまくって"&amp;"しまいーー
【桃色エンジェル】")</f>
        <v>貧乏な大学生・智人は、夏休みの間、住み込み家庭教師をすることに!?
家庭教師先の家には美しい母娘と可愛いお手伝いさんがいた。
特に母親は智人と同じ年の娘がいるとは思えないほど若く美しすぎて…。
「私のお母さんとシたいでしょ。ヤレると思いますよ？」いきなり生徒の花に挑発される智人。この母娘の関係は何かおかしい…と疑問に思いながら、
「俺は絶対に変な気を起こさない！」と言ったものの、可憐な3人の女に24時間、誘惑され、すぐに我慢できなくなって!?
気が付けば…ひとつ屋根の下で女達と次々にヤリまくってしまいーー
【桃色エンジェル】</v>
      </c>
      <c r="W1480" s="8"/>
      <c r="X1480" s="14" t="str">
        <f>IFERROR(__xludf.DUMMYFUNCTION("""COMPUTED_VALUE"""),"有")</f>
        <v>有</v>
      </c>
      <c r="Y1480" s="8" t="str">
        <f>IFERROR(__xludf.DUMMYFUNCTION("""COMPUTED_VALUE"""),"2024/7/12まで1～2巻無料")</f>
        <v>2024/7/12まで1～2巻無料</v>
      </c>
      <c r="Z1480" s="7"/>
      <c r="AA1480" s="7"/>
      <c r="AB1480" s="7"/>
    </row>
    <row r="1481" ht="15.75" customHeight="1">
      <c r="A1481" s="26">
        <f>IFERROR(__xludf.DUMMYFUNCTION("""COMPUTED_VALUE"""),3377.0)</f>
        <v>3377</v>
      </c>
      <c r="B1481" s="22" t="str">
        <f>IFERROR(__xludf.DUMMYFUNCTION("""COMPUTED_VALUE"""),"確定")</f>
        <v>確定</v>
      </c>
      <c r="C1481" s="28">
        <f>IFERROR(__xludf.DUMMYFUNCTION("""COMPUTED_VALUE"""),45419.0)</f>
        <v>45419</v>
      </c>
      <c r="D1481" s="28">
        <f>IFERROR(__xludf.DUMMYFUNCTION("""COMPUTED_VALUE"""),45419.0)</f>
        <v>45419</v>
      </c>
      <c r="E1481" s="26">
        <f>IFERROR(__xludf.DUMMYFUNCTION("""COMPUTED_VALUE"""),287314.0)</f>
        <v>287314</v>
      </c>
      <c r="F1481" s="46" t="str">
        <f>IFERROR(__xludf.DUMMYFUNCTION("""COMPUTED_VALUE"""),"恋する妖狐のラストリゾート")</f>
        <v>恋する妖狐のラストリゾート</v>
      </c>
      <c r="G1481" s="11" t="str">
        <f>IFERROR(__xludf.DUMMYFUNCTION("""COMPUTED_VALUE"""),"1～2")</f>
        <v>1～2</v>
      </c>
      <c r="H1481" s="22" t="str">
        <f>IFERROR(__xludf.DUMMYFUNCTION("""COMPUTED_VALUE"""),"おつぼくのみ")</f>
        <v>おつぼくのみ</v>
      </c>
      <c r="I1481" s="22" t="str">
        <f>IFERROR(__xludf.DUMMYFUNCTION("""COMPUTED_VALUE"""),"BL")</f>
        <v>BL</v>
      </c>
      <c r="J1481" s="22"/>
      <c r="K1481" s="22"/>
      <c r="L1481" s="22" t="str">
        <f>IFERROR(__xludf.DUMMYFUNCTION("""COMPUTED_VALUE"""),"ソルマーレ編集部")</f>
        <v>ソルマーレ編集部</v>
      </c>
      <c r="M1481" s="23">
        <f>IFERROR(__xludf.DUMMYFUNCTION("""COMPUTED_VALUE"""),45451.0)</f>
        <v>45451</v>
      </c>
      <c r="N1481" s="23">
        <f>IFERROR(__xludf.DUMMYFUNCTION("""COMPUTED_VALUE"""),45512.0)</f>
        <v>45512</v>
      </c>
      <c r="O1481" s="20"/>
      <c r="P1481" s="34" t="str">
        <f>IFERROR(__xludf.DUMMYFUNCTION("""COMPUTED_VALUE"""),"可")</f>
        <v>可</v>
      </c>
      <c r="Q1481" s="30"/>
      <c r="R1481" s="22"/>
      <c r="S1481" s="22" t="str">
        <f>IFERROR(__xludf.DUMMYFUNCTION("""COMPUTED_VALUE"""),"20240508_ソルマーレ編集部_恋する妖狐のラストリゾート")</f>
        <v>20240508_ソルマーレ編集部_恋する妖狐のラストリゾート</v>
      </c>
      <c r="T1481" s="22" t="str">
        <f>IFERROR(__xludf.DUMMYFUNCTION("""COMPUTED_VALUE"""),"格納済み")</f>
        <v>格納済み</v>
      </c>
      <c r="U1481" s="15" t="str">
        <f>IFERROR(__xludf.DUMMYFUNCTION("""COMPUTED_VALUE"""),"Ⓒ おつぼくのみ/シーモアコミックス")</f>
        <v>Ⓒ おつぼくのみ/シーモアコミックス</v>
      </c>
      <c r="V1481" s="8" t="str">
        <f>IFERROR(__xludf.DUMMYFUNCTION("""COMPUTED_VALUE"""),"時は現代。今も妖が生きる世界――。
最強の妖狐である琴は、今日も今日とて陰陽師の空弦に決闘を申し込む。同等の力を持つ二人はいつも決着がつかないまま、ほぼ日常化されたこの決闘も今回で千回目。しかし、今回ばかりは自信ありと琴が繰り広げた技はなんと「どちらかが戦いに勝たなければ出られない空間」!? 琴がここまでして空弦に勝ちたいにはワケがあった。それは彼を好きだから。はるか昔に「弱いものには俺は釣り合わん」と告白を拒否されてから、空弦を振り向かすために修行と勝負を繰り返してきたのだった。そうして始まった二"&amp;"人きりの暮らし。戦いは戦闘だけではないと、琴は強気に夜這いを仕掛けるも何故か乗り気の空弦に反撃されてしまい――…!? 【フィカス】")</f>
        <v>時は現代。今も妖が生きる世界――。
最強の妖狐である琴は、今日も今日とて陰陽師の空弦に決闘を申し込む。同等の力を持つ二人はいつも決着がつかないまま、ほぼ日常化されたこの決闘も今回で千回目。しかし、今回ばかりは自信ありと琴が繰り広げた技はなんと「どちらかが戦いに勝たなければ出られない空間」!? 琴がここまでして空弦に勝ちたいにはワケがあった。それは彼を好きだから。はるか昔に「弱いものには俺は釣り合わん」と告白を拒否されてから、空弦を振り向かすために修行と勝負を繰り返してきたのだった。そうして始まった二人きりの暮らし。戦いは戦闘だけではないと、琴は強気に夜這いを仕掛けるも何故か乗り気の空弦に反撃されてしまい――…!? 【フィカス】</v>
      </c>
      <c r="W1481" s="14"/>
      <c r="X1481" s="14" t="str">
        <f>IFERROR(__xludf.DUMMYFUNCTION("""COMPUTED_VALUE"""),"有")</f>
        <v>有</v>
      </c>
      <c r="Y1481" s="8" t="str">
        <f>IFERROR(__xludf.DUMMYFUNCTION("""COMPUTED_VALUE"""),"P11まで")</f>
        <v>P11まで</v>
      </c>
      <c r="Z1481" s="7"/>
      <c r="AA1481" s="7"/>
      <c r="AB1481" s="7"/>
    </row>
    <row r="1482" ht="15.75" customHeight="1">
      <c r="A1482" s="26">
        <f>IFERROR(__xludf.DUMMYFUNCTION("""COMPUTED_VALUE"""),3303.0)</f>
        <v>3303</v>
      </c>
      <c r="B1482" s="22" t="str">
        <f>IFERROR(__xludf.DUMMYFUNCTION("""COMPUTED_VALUE"""),"確定")</f>
        <v>確定</v>
      </c>
      <c r="C1482" s="28">
        <f>IFERROR(__xludf.DUMMYFUNCTION("""COMPUTED_VALUE"""),45398.0)</f>
        <v>45398</v>
      </c>
      <c r="D1482" s="28">
        <f>IFERROR(__xludf.DUMMYFUNCTION("""COMPUTED_VALUE"""),45419.0)</f>
        <v>45419</v>
      </c>
      <c r="E1482" s="26">
        <f>IFERROR(__xludf.DUMMYFUNCTION("""COMPUTED_VALUE"""),294294.0)</f>
        <v>294294</v>
      </c>
      <c r="F1482" s="22" t="str">
        <f>IFERROR(__xludf.DUMMYFUNCTION("""COMPUTED_VALUE"""),"次期侯爵様が暇乞いを許さない")</f>
        <v>次期侯爵様が暇乞いを許さない</v>
      </c>
      <c r="G1482" s="20" t="str">
        <f>IFERROR(__xludf.DUMMYFUNCTION("""COMPUTED_VALUE"""),"1～3")</f>
        <v>1～3</v>
      </c>
      <c r="H1482" s="22" t="str">
        <f>IFERROR(__xludf.DUMMYFUNCTION("""COMPUTED_VALUE"""),"喪みつ")</f>
        <v>喪みつ</v>
      </c>
      <c r="I1482" s="22" t="str">
        <f>IFERROR(__xludf.DUMMYFUNCTION("""COMPUTED_VALUE"""),"TL")</f>
        <v>TL</v>
      </c>
      <c r="J1482" s="22"/>
      <c r="K1482" s="22"/>
      <c r="L1482" s="22" t="str">
        <f>IFERROR(__xludf.DUMMYFUNCTION("""COMPUTED_VALUE"""),"ナンバーナイン")</f>
        <v>ナンバーナイン</v>
      </c>
      <c r="M1482" s="23">
        <f>IFERROR(__xludf.DUMMYFUNCTION("""COMPUTED_VALUE"""),45450.0)</f>
        <v>45450</v>
      </c>
      <c r="N1482" s="23">
        <f>IFERROR(__xludf.DUMMYFUNCTION("""COMPUTED_VALUE"""),45510.0)</f>
        <v>45510</v>
      </c>
      <c r="O1482" s="20"/>
      <c r="P1482" s="34" t="str">
        <f>IFERROR(__xludf.DUMMYFUNCTION("""COMPUTED_VALUE"""),"可")</f>
        <v>可</v>
      </c>
      <c r="Q1482" s="30" t="str">
        <f>IFERROR(__xludf.DUMMYFUNCTION("""COMPUTED_VALUE"""),"広告コミットOK（4/22）&lt;BR&gt;レーベル無し")</f>
        <v>広告コミットOK（4/22）&lt;BR&gt;レーベル無し</v>
      </c>
      <c r="R1482" s="22"/>
      <c r="S1482" s="22" t="str">
        <f>IFERROR(__xludf.DUMMYFUNCTION("""COMPUTED_VALUE"""),"20240416_ナンバーナイン_次期侯爵様が暇乞いを許さない")</f>
        <v>20240416_ナンバーナイン_次期侯爵様が暇乞いを許さない</v>
      </c>
      <c r="T1482" s="22" t="str">
        <f>IFERROR(__xludf.DUMMYFUNCTION("""COMPUTED_VALUE"""),"格納済み")</f>
        <v>格納済み</v>
      </c>
      <c r="U1482" s="15" t="str">
        <f>IFERROR(__xludf.DUMMYFUNCTION("""COMPUTED_VALUE"""),"(C)喪みつ/ナンバーナイン")</f>
        <v>(C)喪みつ/ナンバーナイン</v>
      </c>
      <c r="V1482" s="8" t="str">
        <f>IFERROR(__xludf.DUMMYFUNCTION("""COMPUTED_VALUE"""),"とある貴族の娘は侯爵家の使用人になり、そこで侯爵の嫡男である少年ミケルと出会った。
時が経ち、ある日夜会から帰ってきたミケルに好意を告げられるも、それを拒絶した使用人。
するとミケルから相談を持ち掛けられた。
「…実は僕は女性が苦手なんだ。だから女性に慣れるために協力してくれないか?」
それならば…と二つ返事で了承するも次に告げられた言葉は…
「じゃあ服を脱いで」「全部」
口実を作りミケルは使用人に卑猥な要求をするようになる。
本文22ページ")</f>
        <v>とある貴族の娘は侯爵家の使用人になり、そこで侯爵の嫡男である少年ミケルと出会った。
時が経ち、ある日夜会から帰ってきたミケルに好意を告げられるも、それを拒絶した使用人。
するとミケルから相談を持ち掛けられた。
「…実は僕は女性が苦手なんだ。だから女性に慣れるために協力してくれないか?」
それならば…と二つ返事で了承するも次に告げられた言葉は…
「じゃあ服を脱いで」「全部」
口実を作りミケルは使用人に卑猥な要求をするようになる。
本文22ページ</v>
      </c>
      <c r="W1482" s="14"/>
      <c r="X1482" s="14" t="str">
        <f>IFERROR(__xludf.DUMMYFUNCTION("""COMPUTED_VALUE"""),"有")</f>
        <v>有</v>
      </c>
      <c r="Y1482" s="8" t="str">
        <f>IFERROR(__xludf.DUMMYFUNCTION("""COMPUTED_VALUE"""),"P12まで")</f>
        <v>P12まで</v>
      </c>
      <c r="Z1482" s="7"/>
      <c r="AA1482" s="7"/>
      <c r="AB1482" s="7"/>
    </row>
    <row r="1483" ht="15.75" customHeight="1">
      <c r="A1483" s="26">
        <f>IFERROR(__xludf.DUMMYFUNCTION("""COMPUTED_VALUE"""),2854.0)</f>
        <v>2854</v>
      </c>
      <c r="B1483" s="22" t="str">
        <f>IFERROR(__xludf.DUMMYFUNCTION("""COMPUTED_VALUE"""),"確定")</f>
        <v>確定</v>
      </c>
      <c r="C1483" s="28">
        <f>IFERROR(__xludf.DUMMYFUNCTION("""COMPUTED_VALUE"""),45309.0)</f>
        <v>45309</v>
      </c>
      <c r="D1483" s="28">
        <f>IFERROR(__xludf.DUMMYFUNCTION("""COMPUTED_VALUE"""),45426.0)</f>
        <v>45426</v>
      </c>
      <c r="E1483" s="26">
        <f>IFERROR(__xludf.DUMMYFUNCTION("""COMPUTED_VALUE"""),293213.0)</f>
        <v>293213</v>
      </c>
      <c r="F1483" s="22" t="str">
        <f>IFERROR(__xludf.DUMMYFUNCTION("""COMPUTED_VALUE"""),"まどろみの聖女")</f>
        <v>まどろみの聖女</v>
      </c>
      <c r="G1483" s="20" t="str">
        <f>IFERROR(__xludf.DUMMYFUNCTION("""COMPUTED_VALUE"""),"1～11")</f>
        <v>1～11</v>
      </c>
      <c r="H1483" s="22" t="str">
        <f>IFERROR(__xludf.DUMMYFUNCTION("""COMPUTED_VALUE"""),"林万里/EMI/黒井いさ/3rd Ie/C太/Studio No.9")</f>
        <v>林万里/EMI/黒井いさ/3rd Ie/C太/Studio No.9</v>
      </c>
      <c r="I1483" s="22" t="str">
        <f>IFERROR(__xludf.DUMMYFUNCTION("""COMPUTED_VALUE"""),"少女")</f>
        <v>少女</v>
      </c>
      <c r="J1483" s="22"/>
      <c r="K1483" s="22"/>
      <c r="L1483" s="22" t="str">
        <f>IFERROR(__xludf.DUMMYFUNCTION("""COMPUTED_VALUE"""),"booklistaSTUDIO/SBCr")</f>
        <v>booklistaSTUDIO/SBCr</v>
      </c>
      <c r="M1483" s="23">
        <f>IFERROR(__xludf.DUMMYFUNCTION("""COMPUTED_VALUE"""),45437.0)</f>
        <v>45437</v>
      </c>
      <c r="N1483" s="23">
        <f>IFERROR(__xludf.DUMMYFUNCTION("""COMPUTED_VALUE"""),45499.0)</f>
        <v>45499</v>
      </c>
      <c r="O1483" s="20"/>
      <c r="P1483" s="34" t="str">
        <f>IFERROR(__xludf.DUMMYFUNCTION("""COMPUTED_VALUE"""),"可")</f>
        <v>可</v>
      </c>
      <c r="Q1483" s="35" t="str">
        <f>IFERROR(__xludf.DUMMYFUNCTION("""COMPUTED_VALUE"""),"・出版社：booklistaSTUDIOから配信中の「まどろみの聖女【タテヨミ】」を、SBクリエイティブが版面化し、版面をシーモア独占先行予定です&lt;BR&gt;・大体ですが、タテヨミ2話分＝版面分冊版1話分になります&lt;BR&gt;・初回配信5巻程度（＝タテヨミ10巻分）を予定してます&lt;BR&gt;・1巻目は0円予定です&lt;BR&gt;")</f>
        <v>・出版社：booklistaSTUDIOから配信中の「まどろみの聖女【タテヨミ】」を、SBクリエイティブが版面化し、版面をシーモア独占先行予定です&lt;BR&gt;・大体ですが、タテヨミ2話分＝版面分冊版1話分になります&lt;BR&gt;・初回配信5巻程度（＝タテヨミ10巻分）を予定してます&lt;BR&gt;・1巻目は0円予定です&lt;BR&gt;</v>
      </c>
      <c r="R1483" s="40">
        <f>IFERROR(__xludf.DUMMYFUNCTION("""COMPUTED_VALUE"""),45422.0)</f>
        <v>45422</v>
      </c>
      <c r="S1483" s="22" t="str">
        <f>IFERROR(__xludf.DUMMYFUNCTION("""COMPUTED_VALUE"""),"20240513_SBクリエイティブ_まどろみの聖女")</f>
        <v>20240513_SBクリエイティブ_まどろみの聖女</v>
      </c>
      <c r="T1483" s="22" t="str">
        <f>IFERROR(__xludf.DUMMYFUNCTION("""COMPUTED_VALUE"""),"格納済み")</f>
        <v>格納済み</v>
      </c>
      <c r="U1483" s="15" t="str">
        <f>IFERROR(__xludf.DUMMYFUNCTION("""COMPUTED_VALUE"""),"©booklistaSTUDIO")</f>
        <v>©booklistaSTUDIO</v>
      </c>
      <c r="V1483" s="8" t="str">
        <f>IFERROR(__xludf.DUMMYFUNCTION("""COMPUTED_VALUE"""),"私生児として公爵家で迫害されていた主人公カミツレ。家族に愛されている妹カトレアとの扱いの差に悩むも、いつかは自分も家族に愛してもらえると信じていた…。しかし彼女は無惨にも父の手によって殺されてしまう。安らかな眠りを望むカミツレだったが、とある王国の王女アネモネに転生してしまった。アネモネとして今世では幸せを掴むことができるのかー。")</f>
        <v>私生児として公爵家で迫害されていた主人公カミツレ。家族に愛されている妹カトレアとの扱いの差に悩むも、いつかは自分も家族に愛してもらえると信じていた…。しかし彼女は無惨にも父の手によって殺されてしまう。安らかな眠りを望むカミツレだったが、とある王国の王女アネモネに転生してしまった。アネモネとして今世では幸せを掴むことができるのかー。</v>
      </c>
      <c r="W1483" s="14"/>
      <c r="X1483" s="14" t="str">
        <f>IFERROR(__xludf.DUMMYFUNCTION("""COMPUTED_VALUE"""),"有")</f>
        <v>有</v>
      </c>
      <c r="Y1483" s="8" t="str">
        <f>IFERROR(__xludf.DUMMYFUNCTION("""COMPUTED_VALUE"""),"2024/6/7まで1～2巻無料")</f>
        <v>2024/6/7まで1～2巻無料</v>
      </c>
      <c r="Z1483" s="7"/>
      <c r="AA1483" s="7"/>
      <c r="AB1483" s="7"/>
    </row>
    <row r="1484" ht="15.75" customHeight="1">
      <c r="A1484" s="26">
        <f>IFERROR(__xludf.DUMMYFUNCTION("""COMPUTED_VALUE"""),3053.0)</f>
        <v>3053</v>
      </c>
      <c r="B1484" s="22" t="str">
        <f>IFERROR(__xludf.DUMMYFUNCTION("""COMPUTED_VALUE"""),"確定")</f>
        <v>確定</v>
      </c>
      <c r="C1484" s="28">
        <f>IFERROR(__xludf.DUMMYFUNCTION("""COMPUTED_VALUE"""),45356.0)</f>
        <v>45356</v>
      </c>
      <c r="D1484" s="28">
        <f>IFERROR(__xludf.DUMMYFUNCTION("""COMPUTED_VALUE"""),45427.0)</f>
        <v>45427</v>
      </c>
      <c r="E1484" s="26">
        <f>IFERROR(__xludf.DUMMYFUNCTION("""COMPUTED_VALUE"""),294354.0)</f>
        <v>294354</v>
      </c>
      <c r="F1484" s="22" t="str">
        <f>IFERROR(__xludf.DUMMYFUNCTION("""COMPUTED_VALUE"""),"じみじょ！な妄想癖（巨乳）ちゃんはサトリ上司にたべられたい")</f>
        <v>じみじょ！な妄想癖（巨乳）ちゃんはサトリ上司にたべられたい</v>
      </c>
      <c r="G1484" s="11" t="str">
        <f>IFERROR(__xludf.DUMMYFUNCTION("""COMPUTED_VALUE"""),"1～2")</f>
        <v>1～2</v>
      </c>
      <c r="H1484" s="22" t="str">
        <f>IFERROR(__xludf.DUMMYFUNCTION("""COMPUTED_VALUE"""),"卯崎ひとみ")</f>
        <v>卯崎ひとみ</v>
      </c>
      <c r="I1484" s="22" t="str">
        <f>IFERROR(__xludf.DUMMYFUNCTION("""COMPUTED_VALUE"""),"TL")</f>
        <v>TL</v>
      </c>
      <c r="J1484" s="22"/>
      <c r="K1484" s="22"/>
      <c r="L1484" s="22" t="str">
        <f>IFERROR(__xludf.DUMMYFUNCTION("""COMPUTED_VALUE"""),"CLLENN")</f>
        <v>CLLENN</v>
      </c>
      <c r="M1484" s="23">
        <f>IFERROR(__xludf.DUMMYFUNCTION("""COMPUTED_VALUE"""),45445.0)</f>
        <v>45445</v>
      </c>
      <c r="N1484" s="23">
        <f>IFERROR(__xludf.DUMMYFUNCTION("""COMPUTED_VALUE"""),45535.0)</f>
        <v>45535</v>
      </c>
      <c r="O1484" s="20"/>
      <c r="P1484" s="34" t="str">
        <f>IFERROR(__xludf.DUMMYFUNCTION("""COMPUTED_VALUE"""),"可")</f>
        <v>可</v>
      </c>
      <c r="Q1484" s="31" t="str">
        <f>IFERROR(__xludf.DUMMYFUNCTION("""COMPUTED_VALUE"""),"広告コミットOK(3/15)
レーベル名：TLオトメチカ")</f>
        <v>広告コミットOK(3/15)
レーベル名：TLオトメチカ</v>
      </c>
      <c r="R1484" s="22" t="str">
        <f>IFERROR(__xludf.DUMMYFUNCTION("""COMPUTED_VALUE"""),"格納済")</f>
        <v>格納済</v>
      </c>
      <c r="S1484" s="22" t="str">
        <f>IFERROR(__xludf.DUMMYFUNCTION("""COMPUTED_VALUE"""),"20240513_CLLENN_じみじょ！な妄想癖（巨乳）ちゃんはサトリ上司にたべられたい")</f>
        <v>20240513_CLLENN_じみじょ！な妄想癖（巨乳）ちゃんはサトリ上司にたべられたい</v>
      </c>
      <c r="T1484" s="22" t="str">
        <f>IFERROR(__xludf.DUMMYFUNCTION("""COMPUTED_VALUE"""),"格納済み")</f>
        <v>格納済み</v>
      </c>
      <c r="U1484" s="15" t="str">
        <f>IFERROR(__xludf.DUMMYFUNCTION("""COMPUTED_VALUE"""),"ⓒ卯崎ひとみ/CLLENN")</f>
        <v>ⓒ卯崎ひとみ/CLLENN</v>
      </c>
      <c r="V1484" s="8" t="str">
        <f>IFERROR(__xludf.DUMMYFUNCTION("""COMPUTED_VALUE"""),"「もうこんな勃って。ビンカンなんだな」ずっとコンプレックスだった大きすぎる胸を揉みしだかれ、執着してるみたいに乳首を舐め転がされたら…初めてなのに胸だけでイッちゃう…!!引っ込み思案の優奈は一見ただの地味OL。が、理想のスパダリ上司・佐伯を想うたび一瞬で妄想スイッチON！　佐伯の顔が近づけば舌を絡め（※妄想）、大きく勃起したアレを頬張り（※妄想）、残業すれば誰もいない会議室で激しく×××（※超妄想）。しかしその妄想すべて、サトリ能力を持つ佐伯には丸見えだった!!「俺とじゃ嫌か？」指を奥まで挿れてこねくり回"&amp;"され…――うそ、もしかしてこれ妄想じゃ…ナイ!?")</f>
        <v>「もうこんな勃って。ビンカンなんだな」ずっとコンプレックスだった大きすぎる胸を揉みしだかれ、執着してるみたいに乳首を舐め転がされたら…初めてなのに胸だけでイッちゃう…!!引っ込み思案の優奈は一見ただの地味OL。が、理想のスパダリ上司・佐伯を想うたび一瞬で妄想スイッチON！　佐伯の顔が近づけば舌を絡め（※妄想）、大きく勃起したアレを頬張り（※妄想）、残業すれば誰もいない会議室で激しく×××（※超妄想）。しかしその妄想すべて、サトリ能力を持つ佐伯には丸見えだった!!「俺とじゃ嫌か？」指を奥まで挿れてこねくり回され…――うそ、もしかしてこれ妄想じゃ…ナイ!?</v>
      </c>
      <c r="W1484" s="14"/>
      <c r="X1484" s="14" t="str">
        <f>IFERROR(__xludf.DUMMYFUNCTION("""COMPUTED_VALUE"""),"有")</f>
        <v>有</v>
      </c>
      <c r="Y1484" s="8" t="str">
        <f>IFERROR(__xludf.DUMMYFUNCTION("""COMPUTED_VALUE"""),"P10まで")</f>
        <v>P10まで</v>
      </c>
      <c r="Z1484" s="7"/>
      <c r="AA1484" s="7"/>
      <c r="AB1484" s="7"/>
    </row>
    <row r="1485" ht="15.75" customHeight="1">
      <c r="A1485" s="26">
        <f>IFERROR(__xludf.DUMMYFUNCTION("""COMPUTED_VALUE"""),3179.0)</f>
        <v>3179</v>
      </c>
      <c r="B1485" s="22" t="str">
        <f>IFERROR(__xludf.DUMMYFUNCTION("""COMPUTED_VALUE"""),"確定")</f>
        <v>確定</v>
      </c>
      <c r="C1485" s="28">
        <f>IFERROR(__xludf.DUMMYFUNCTION("""COMPUTED_VALUE"""),45378.0)</f>
        <v>45378</v>
      </c>
      <c r="D1485" s="28">
        <f>IFERROR(__xludf.DUMMYFUNCTION("""COMPUTED_VALUE"""),45427.0)</f>
        <v>45427</v>
      </c>
      <c r="E1485" s="26">
        <f>IFERROR(__xludf.DUMMYFUNCTION("""COMPUTED_VALUE"""),294875.0)</f>
        <v>294875</v>
      </c>
      <c r="F1485" s="22" t="str">
        <f>IFERROR(__xludf.DUMMYFUNCTION("""COMPUTED_VALUE"""),"ドロップアウトからの再就職先は、異世界の最強騎士団でした")</f>
        <v>ドロップアウトからの再就職先は、異世界の最強騎士団でした</v>
      </c>
      <c r="G1485" s="16" t="str">
        <f>IFERROR(__xludf.DUMMYFUNCTION("""COMPUTED_VALUE"""),"1～3")</f>
        <v>1～3</v>
      </c>
      <c r="H1485" s="22" t="str">
        <f>IFERROR(__xludf.DUMMYFUNCTION("""COMPUTED_VALUE"""),"(c)目玉焼き　(c)東吉乃")</f>
        <v>(c)目玉焼き　(c)東吉乃</v>
      </c>
      <c r="I1485" s="46" t="str">
        <f>IFERROR(__xludf.DUMMYFUNCTION("""COMPUTED_VALUE"""),"女性")</f>
        <v>女性</v>
      </c>
      <c r="J1485" s="22"/>
      <c r="K1485" s="22"/>
      <c r="L1485" s="22" t="str">
        <f>IFERROR(__xludf.DUMMYFUNCTION("""COMPUTED_VALUE"""),"オーバーラップ")</f>
        <v>オーバーラップ</v>
      </c>
      <c r="M1485" s="23">
        <f>IFERROR(__xludf.DUMMYFUNCTION("""COMPUTED_VALUE"""),45455.0)</f>
        <v>45455</v>
      </c>
      <c r="N1485" s="47">
        <f>IFERROR(__xludf.DUMMYFUNCTION("""COMPUTED_VALUE"""),73050.0)</f>
        <v>73050</v>
      </c>
      <c r="O1485" s="20"/>
      <c r="P1485" s="34" t="str">
        <f>IFERROR(__xludf.DUMMYFUNCTION("""COMPUTED_VALUE"""),"否")</f>
        <v>否</v>
      </c>
      <c r="Q1485" s="30" t="str">
        <f>IFERROR(__xludf.DUMMYFUNCTION("""COMPUTED_VALUE"""),"広告コミットOK(3/29)")</f>
        <v>広告コミットOK(3/29)</v>
      </c>
      <c r="R1485" s="22"/>
      <c r="S1485" s="22" t="str">
        <f>IFERROR(__xludf.DUMMYFUNCTION("""COMPUTED_VALUE"""),"20240513_オーバーラップ_ドロップアウトからの再就職先は、異世界の最強騎士団でした")</f>
        <v>20240513_オーバーラップ_ドロップアウトからの再就職先は、異世界の最強騎士団でした</v>
      </c>
      <c r="T1485" s="22" t="str">
        <f>IFERROR(__xludf.DUMMYFUNCTION("""COMPUTED_VALUE"""),"格納済み")</f>
        <v>格納済み</v>
      </c>
      <c r="U1485" s="15" t="str">
        <f>IFERROR(__xludf.DUMMYFUNCTION("""COMPUTED_VALUE"""),"(c)目玉焼き　(c)東吉乃／オーバーラップ")</f>
        <v>(c)目玉焼き　(c)東吉乃／オーバーラップ</v>
      </c>
      <c r="V1485" s="8" t="str">
        <f>IFERROR(__xludf.DUMMYFUNCTION("""COMPUTED_VALUE"""),"国際コンクールでの失敗によりプロを諦めたヴァイオリニスト藤堂真澄。失意の中でもヴァイオリンを捨てきれずにいた彼女だったが、ある日突然階段から転落すると異世界に迷い込んでしまう。混乱の最中、スパイ容疑を掛けられ連行された先で騎士団長アークに弁明を迫られる。絶対絶命の状況下で、真澄の運命に光明を授けたのは共に異世界へとやってきた“ヴァイオリン”だった――。")</f>
        <v>国際コンクールでの失敗によりプロを諦めたヴァイオリニスト藤堂真澄。失意の中でもヴァイオリンを捨てきれずにいた彼女だったが、ある日突然階段から転落すると異世界に迷い込んでしまう。混乱の最中、スパイ容疑を掛けられ連行された先で騎士団長アークに弁明を迫られる。絶対絶命の状況下で、真澄の運命に光明を授けたのは共に異世界へとやってきた“ヴァイオリン”だった――。</v>
      </c>
      <c r="W1485" s="14"/>
      <c r="X1485" s="14" t="str">
        <f>IFERROR(__xludf.DUMMYFUNCTION("""COMPUTED_VALUE"""),"有")</f>
        <v>有</v>
      </c>
      <c r="Y1485" s="8" t="str">
        <f>IFERROR(__xludf.DUMMYFUNCTION("""COMPUTED_VALUE"""),"P15まで")</f>
        <v>P15まで</v>
      </c>
      <c r="Z1485" s="7"/>
      <c r="AA1485" s="7"/>
      <c r="AB1485" s="7"/>
    </row>
    <row r="1486" ht="15.75" customHeight="1">
      <c r="A1486" s="26">
        <f>IFERROR(__xludf.DUMMYFUNCTION("""COMPUTED_VALUE"""),3180.0)</f>
        <v>3180</v>
      </c>
      <c r="B1486" s="22" t="str">
        <f>IFERROR(__xludf.DUMMYFUNCTION("""COMPUTED_VALUE"""),"確定")</f>
        <v>確定</v>
      </c>
      <c r="C1486" s="28">
        <f>IFERROR(__xludf.DUMMYFUNCTION("""COMPUTED_VALUE"""),45378.0)</f>
        <v>45378</v>
      </c>
      <c r="D1486" s="28">
        <f>IFERROR(__xludf.DUMMYFUNCTION("""COMPUTED_VALUE"""),45427.0)</f>
        <v>45427</v>
      </c>
      <c r="E1486" s="26">
        <f>IFERROR(__xludf.DUMMYFUNCTION("""COMPUTED_VALUE"""),294257.0)</f>
        <v>294257</v>
      </c>
      <c r="F1486" s="22" t="str">
        <f>IFERROR(__xludf.DUMMYFUNCTION("""COMPUTED_VALUE"""),"ラストダンスをあなたと～アラフォー元子爵夫人ですが、13歳年下の騎士様から溺愛されています!?～")</f>
        <v>ラストダンスをあなたと～アラフォー元子爵夫人ですが、13歳年下の騎士様から溺愛されています!?～</v>
      </c>
      <c r="G1486" s="16" t="str">
        <f>IFERROR(__xludf.DUMMYFUNCTION("""COMPUTED_VALUE"""),"1～3")</f>
        <v>1～3</v>
      </c>
      <c r="H1486" s="22" t="str">
        <f>IFERROR(__xludf.DUMMYFUNCTION("""COMPUTED_VALUE"""),"中村茉莉子")</f>
        <v>中村茉莉子</v>
      </c>
      <c r="I1486" s="22" t="str">
        <f>IFERROR(__xludf.DUMMYFUNCTION("""COMPUTED_VALUE"""),"女性")</f>
        <v>女性</v>
      </c>
      <c r="J1486" s="22"/>
      <c r="K1486" s="22"/>
      <c r="L1486" s="22" t="str">
        <f>IFERROR(__xludf.DUMMYFUNCTION("""COMPUTED_VALUE"""),"祥伝社")</f>
        <v>祥伝社</v>
      </c>
      <c r="M1486" s="23">
        <f>IFERROR(__xludf.DUMMYFUNCTION("""COMPUTED_VALUE"""),45457.0)</f>
        <v>45457</v>
      </c>
      <c r="N1486" s="47">
        <f>IFERROR(__xludf.DUMMYFUNCTION("""COMPUTED_VALUE"""),45519.0)</f>
        <v>45519</v>
      </c>
      <c r="O1486" s="20"/>
      <c r="P1486" s="34" t="str">
        <f>IFERROR(__xludf.DUMMYFUNCTION("""COMPUTED_VALUE"""),"可")</f>
        <v>可</v>
      </c>
      <c r="Q1486" s="30" t="str">
        <f>IFERROR(__xludf.DUMMYFUNCTION("""COMPUTED_VALUE"""),"広告コミットOK(4/2)&lt;BR&gt;※先行延長希望は、７月５日（金）までにご連絡お願い致します。")</f>
        <v>広告コミットOK(4/2)&lt;BR&gt;※先行延長希望は、７月５日（金）までにご連絡お願い致します。</v>
      </c>
      <c r="R1486" s="22"/>
      <c r="S1486" s="22" t="str">
        <f>IFERROR(__xludf.DUMMYFUNCTION("""COMPUTED_VALUE"""),"20240513_祥伝社_ラストダンスをあなたと")</f>
        <v>20240513_祥伝社_ラストダンスをあなたと</v>
      </c>
      <c r="T1486" s="22" t="str">
        <f>IFERROR(__xludf.DUMMYFUNCTION("""COMPUTED_VALUE"""),"格納済み")</f>
        <v>格納済み</v>
      </c>
      <c r="U1486" s="15" t="str">
        <f>IFERROR(__xludf.DUMMYFUNCTION("""COMPUTED_VALUE"""),"（C）中村茉莉子/祥伝社")</f>
        <v>（C）中村茉莉子/祥伝社</v>
      </c>
      <c r="V1486" s="8" t="str">
        <f>IFERROR(__xludf.DUMMYFUNCTION("""COMPUTED_VALUE"""),"ダンスが大好きなマリエは夫の子爵とともに舞踏会の主と呼ばれていた。
しかし、夫が亡くなり社交界から離れてもう10年…。
ある日、絶対出席の凱旋記念パーティで戦争の英雄・エスピナス(23)からダンスを申し込まれる。なぜか彼のダンスは夫のダンスとそっくりで…。
驚くマリエにエスピナスは「私と結婚してください」と突然求婚してきて!?
23歳騎士×アラフォー未亡人！社交界を舞台に舞い踊る、年の差溺愛ロマンス♪")</f>
        <v>ダンスが大好きなマリエは夫の子爵とともに舞踏会の主と呼ばれていた。
しかし、夫が亡くなり社交界から離れてもう10年…。
ある日、絶対出席の凱旋記念パーティで戦争の英雄・エスピナス(23)からダンスを申し込まれる。なぜか彼のダンスは夫のダンスとそっくりで…。
驚くマリエにエスピナスは「私と結婚してください」と突然求婚してきて!?
23歳騎士×アラフォー未亡人！社交界を舞台に舞い踊る、年の差溺愛ロマンス♪</v>
      </c>
      <c r="W1486" s="14"/>
      <c r="X1486" s="14" t="str">
        <f>IFERROR(__xludf.DUMMYFUNCTION("""COMPUTED_VALUE"""),"有")</f>
        <v>有</v>
      </c>
      <c r="Y1486" s="8" t="str">
        <f>IFERROR(__xludf.DUMMYFUNCTION("""COMPUTED_VALUE"""),"2024/8/15まで1巻無料")</f>
        <v>2024/8/15まで1巻無料</v>
      </c>
      <c r="Z1486" s="7"/>
      <c r="AA1486" s="7"/>
      <c r="AB1486" s="7"/>
    </row>
    <row r="1487" ht="15.75" customHeight="1">
      <c r="A1487" s="26">
        <f>IFERROR(__xludf.DUMMYFUNCTION("""COMPUTED_VALUE"""),3224.0)</f>
        <v>3224</v>
      </c>
      <c r="B1487" s="22" t="str">
        <f>IFERROR(__xludf.DUMMYFUNCTION("""COMPUTED_VALUE"""),"確定")</f>
        <v>確定</v>
      </c>
      <c r="C1487" s="28">
        <f>IFERROR(__xludf.DUMMYFUNCTION("""COMPUTED_VALUE"""),45383.0)</f>
        <v>45383</v>
      </c>
      <c r="D1487" s="28">
        <f>IFERROR(__xludf.DUMMYFUNCTION("""COMPUTED_VALUE"""),45427.0)</f>
        <v>45427</v>
      </c>
      <c r="E1487" s="26">
        <f>IFERROR(__xludf.DUMMYFUNCTION("""COMPUTED_VALUE"""),294810.0)</f>
        <v>294810</v>
      </c>
      <c r="F1487" s="22" t="str">
        <f>IFERROR(__xludf.DUMMYFUNCTION("""COMPUTED_VALUE"""),"トコトコとわとわ")</f>
        <v>トコトコとわとわ</v>
      </c>
      <c r="G1487" s="11" t="str">
        <f>IFERROR(__xludf.DUMMYFUNCTION("""COMPUTED_VALUE"""),"1～2")</f>
        <v>1～2</v>
      </c>
      <c r="H1487" s="22" t="str">
        <f>IFERROR(__xludf.DUMMYFUNCTION("""COMPUTED_VALUE"""),"コミネメンメ")</f>
        <v>コミネメンメ</v>
      </c>
      <c r="I1487" s="22" t="str">
        <f>IFERROR(__xludf.DUMMYFUNCTION("""COMPUTED_VALUE"""),"BL")</f>
        <v>BL</v>
      </c>
      <c r="J1487" s="22"/>
      <c r="K1487" s="22"/>
      <c r="L1487" s="22" t="str">
        <f>IFERROR(__xludf.DUMMYFUNCTION("""COMPUTED_VALUE"""),"CLLENN")</f>
        <v>CLLENN</v>
      </c>
      <c r="M1487" s="23">
        <f>IFERROR(__xludf.DUMMYFUNCTION("""COMPUTED_VALUE"""),45456.0)</f>
        <v>45456</v>
      </c>
      <c r="N1487" s="47">
        <f>IFERROR(__xludf.DUMMYFUNCTION("""COMPUTED_VALUE"""),45518.0)</f>
        <v>45518</v>
      </c>
      <c r="O1487" s="20"/>
      <c r="P1487" s="34" t="str">
        <f>IFERROR(__xludf.DUMMYFUNCTION("""COMPUTED_VALUE"""),"可")</f>
        <v>可</v>
      </c>
      <c r="Q1487" s="31" t="str">
        <f>IFERROR(__xludf.DUMMYFUNCTION("""COMPUTED_VALUE"""),"広告コミットOK(4/9)")</f>
        <v>広告コミットOK(4/9)</v>
      </c>
      <c r="R1487" s="22" t="str">
        <f>IFERROR(__xludf.DUMMYFUNCTION("""COMPUTED_VALUE"""),"格納済")</f>
        <v>格納済</v>
      </c>
      <c r="S1487" s="22" t="str">
        <f>IFERROR(__xludf.DUMMYFUNCTION("""COMPUTED_VALUE"""),"20240515_CLLENN_トコトコとわとわ")</f>
        <v>20240515_CLLENN_トコトコとわとわ</v>
      </c>
      <c r="T1487" s="22" t="str">
        <f>IFERROR(__xludf.DUMMYFUNCTION("""COMPUTED_VALUE"""),"格納済み")</f>
        <v>格納済み</v>
      </c>
      <c r="U1487" s="15" t="str">
        <f>IFERROR(__xludf.DUMMYFUNCTION("""COMPUTED_VALUE"""),"ⓒコミネメンメ/CLLENN")</f>
        <v>ⓒコミネメンメ/CLLENN</v>
      </c>
      <c r="V1487" s="8" t="str">
        <f>IFERROR(__xludf.DUMMYFUNCTION("""COMPUTED_VALUE"""),"「なんで俺、こんな知らない奴に触られて気持ちよくなるの…っ」――実家が和菓子屋の朝彦（あさひこ）は、修行していた就職先が倒産してしまい、家業を手伝うため地元に戻ってきた。本人はツイていないだけだと思っているが、実は妖を寄せやすい厄介な体質の朝彦。しかも地元ではいつも以上に妖を引き寄せてしまうらしく、ついには一人でいるところを襲われてしまう！ 突然窓から現れた美しい妖狐・雛芥子（ひなげし）に助けられるも、妖によって発情させられたままの身体を触られてしまい…挙句に「お前を俺の嫁にする」宣言！？ 美しい妖狐・雛"&amp;"芥子と、妖を寄せやすい体質の朝彦の、エッチでドタバタな同居生活が始まる――！")</f>
        <v>「なんで俺、こんな知らない奴に触られて気持ちよくなるの…っ」――実家が和菓子屋の朝彦（あさひこ）は、修行していた就職先が倒産してしまい、家業を手伝うため地元に戻ってきた。本人はツイていないだけだと思っているが、実は妖を寄せやすい厄介な体質の朝彦。しかも地元ではいつも以上に妖を引き寄せてしまうらしく、ついには一人でいるところを襲われてしまう！ 突然窓から現れた美しい妖狐・雛芥子（ひなげし）に助けられるも、妖によって発情させられたままの身体を触られてしまい…挙句に「お前を俺の嫁にする」宣言！？ 美しい妖狐・雛芥子と、妖を寄せやすい体質の朝彦の、エッチでドタバタな同居生活が始まる――！</v>
      </c>
      <c r="W1487" s="14"/>
      <c r="X1487" s="14" t="str">
        <f>IFERROR(__xludf.DUMMYFUNCTION("""COMPUTED_VALUE"""),"有")</f>
        <v>有</v>
      </c>
      <c r="Y1487" s="8" t="str">
        <f>IFERROR(__xludf.DUMMYFUNCTION("""COMPUTED_VALUE"""),"2024/6/26まで立ち読み増量P18まで")</f>
        <v>2024/6/26まで立ち読み増量P18まで</v>
      </c>
      <c r="Z1487" s="7"/>
      <c r="AA1487" s="7"/>
      <c r="AB1487" s="7"/>
    </row>
    <row r="1488" ht="15.75" customHeight="1">
      <c r="A1488" s="26">
        <f>IFERROR(__xludf.DUMMYFUNCTION("""COMPUTED_VALUE"""),3230.0)</f>
        <v>3230</v>
      </c>
      <c r="B1488" s="22" t="str">
        <f>IFERROR(__xludf.DUMMYFUNCTION("""COMPUTED_VALUE"""),"確定")</f>
        <v>確定</v>
      </c>
      <c r="C1488" s="28">
        <f>IFERROR(__xludf.DUMMYFUNCTION("""COMPUTED_VALUE"""),45384.0)</f>
        <v>45384</v>
      </c>
      <c r="D1488" s="28">
        <f>IFERROR(__xludf.DUMMYFUNCTION("""COMPUTED_VALUE"""),45420.0)</f>
        <v>45420</v>
      </c>
      <c r="E1488" s="26">
        <f>IFERROR(__xludf.DUMMYFUNCTION("""COMPUTED_VALUE"""),293076.0)</f>
        <v>293076</v>
      </c>
      <c r="F1488" s="22" t="str">
        <f>IFERROR(__xludf.DUMMYFUNCTION("""COMPUTED_VALUE"""),"ブルーフライト～グラハン女子物語～【マイクロ】")</f>
        <v>ブルーフライト～グラハン女子物語～【マイクロ】</v>
      </c>
      <c r="G1488" s="16" t="str">
        <f>IFERROR(__xludf.DUMMYFUNCTION("""COMPUTED_VALUE"""),"1～3")</f>
        <v>1～3</v>
      </c>
      <c r="H1488" s="22" t="str">
        <f>IFERROR(__xludf.DUMMYFUNCTION("""COMPUTED_VALUE"""),"のの子")</f>
        <v>のの子</v>
      </c>
      <c r="I1488" s="46" t="str">
        <f>IFERROR(__xludf.DUMMYFUNCTION("""COMPUTED_VALUE"""),"少女")</f>
        <v>少女</v>
      </c>
      <c r="J1488" s="22"/>
      <c r="K1488" s="22"/>
      <c r="L1488" s="22" t="str">
        <f>IFERROR(__xludf.DUMMYFUNCTION("""COMPUTED_VALUE"""),"小学館")</f>
        <v>小学館</v>
      </c>
      <c r="M1488" s="23">
        <f>IFERROR(__xludf.DUMMYFUNCTION("""COMPUTED_VALUE"""),45437.0)</f>
        <v>45437</v>
      </c>
      <c r="N1488" s="47">
        <f>IFERROR(__xludf.DUMMYFUNCTION("""COMPUTED_VALUE"""),45497.0)</f>
        <v>45497</v>
      </c>
      <c r="O1488" s="20"/>
      <c r="P1488" s="34" t="str">
        <f>IFERROR(__xludf.DUMMYFUNCTION("""COMPUTED_VALUE"""),"否")</f>
        <v>否</v>
      </c>
      <c r="Q1488" s="30" t="str">
        <f>IFERROR(__xludf.DUMMYFUNCTION("""COMPUTED_VALUE"""),"広告コミットOK(4/4)")</f>
        <v>広告コミットOK(4/4)</v>
      </c>
      <c r="R1488" s="22"/>
      <c r="S1488" s="22" t="str">
        <f>IFERROR(__xludf.DUMMYFUNCTION("""COMPUTED_VALUE"""),"20240508_小学館_ブルーフライト～グラハン女子物語～【マイクロ】")</f>
        <v>20240508_小学館_ブルーフライト～グラハン女子物語～【マイクロ】</v>
      </c>
      <c r="T1488" s="22" t="str">
        <f>IFERROR(__xludf.DUMMYFUNCTION("""COMPUTED_VALUE"""),"格納済み")</f>
        <v>格納済み</v>
      </c>
      <c r="U1488" s="15" t="str">
        <f>IFERROR(__xludf.DUMMYFUNCTION("""COMPUTED_VALUE"""),"(C)のの子 / 小学館")</f>
        <v>(C)のの子 / 小学館</v>
      </c>
      <c r="V1488" s="8" t="str">
        <f>IFERROR(__xludf.DUMMYFUNCTION("""COMPUTED_VALUE"""),"ANA全面協力！！恋にも仕事にも全力なグラハン女子をリアルに描く、スペシャルコラボ漫画始動！
ここねの楽しみは、飛行機が大好きな少年・ひーくんと一緒に、島の小さな飛行場で飛行機を見ること。ここねはグラハンに、ひーくんは整備士になるという夢を語り合ったけど、彼は突然姿を消して……。そして10年後、羽田空港のグラハンになったここねの物語が動き出す――！")</f>
        <v>ANA全面協力！！恋にも仕事にも全力なグラハン女子をリアルに描く、スペシャルコラボ漫画始動！
ここねの楽しみは、飛行機が大好きな少年・ひーくんと一緒に、島の小さな飛行場で飛行機を見ること。ここねはグラハンに、ひーくんは整備士になるという夢を語り合ったけど、彼は突然姿を消して……。そして10年後、羽田空港のグラハンになったここねの物語が動き出す――！</v>
      </c>
      <c r="W1488" s="14"/>
      <c r="X1488" s="14" t="str">
        <f>IFERROR(__xludf.DUMMYFUNCTION("""COMPUTED_VALUE"""),"有")</f>
        <v>有</v>
      </c>
      <c r="Y1488" s="8" t="str">
        <f>IFERROR(__xludf.DUMMYFUNCTION("""COMPUTED_VALUE"""),"2024/7/24まで1巻無料")</f>
        <v>2024/7/24まで1巻無料</v>
      </c>
      <c r="Z1488" s="7"/>
      <c r="AA1488" s="7"/>
      <c r="AB1488" s="7"/>
    </row>
    <row r="1489" ht="15.75" customHeight="1">
      <c r="A1489" s="26">
        <f>IFERROR(__xludf.DUMMYFUNCTION("""COMPUTED_VALUE"""),3265.0)</f>
        <v>3265</v>
      </c>
      <c r="B1489" s="22" t="str">
        <f>IFERROR(__xludf.DUMMYFUNCTION("""COMPUTED_VALUE"""),"確定")</f>
        <v>確定</v>
      </c>
      <c r="C1489" s="28">
        <f>IFERROR(__xludf.DUMMYFUNCTION("""COMPUTED_VALUE"""),45392.0)</f>
        <v>45392</v>
      </c>
      <c r="D1489" s="28">
        <f>IFERROR(__xludf.DUMMYFUNCTION("""COMPUTED_VALUE"""),45427.0)</f>
        <v>45427</v>
      </c>
      <c r="E1489" s="26">
        <f>IFERROR(__xludf.DUMMYFUNCTION("""COMPUTED_VALUE"""),293343.0)</f>
        <v>293343</v>
      </c>
      <c r="F1489" s="46" t="str">
        <f>IFERROR(__xludf.DUMMYFUNCTION("""COMPUTED_VALUE"""),"君を救うたったひとつの方法")</f>
        <v>君を救うたったひとつの方法</v>
      </c>
      <c r="G1489" s="20" t="str">
        <f>IFERROR(__xludf.DUMMYFUNCTION("""COMPUTED_VALUE"""),"1~3")</f>
        <v>1~3</v>
      </c>
      <c r="H1489" s="22" t="str">
        <f>IFERROR(__xludf.DUMMYFUNCTION("""COMPUTED_VALUE"""),"和泉みお")</f>
        <v>和泉みお</v>
      </c>
      <c r="I1489" s="22" t="str">
        <f>IFERROR(__xludf.DUMMYFUNCTION("""COMPUTED_VALUE"""),"少女")</f>
        <v>少女</v>
      </c>
      <c r="J1489" s="22"/>
      <c r="K1489" s="22"/>
      <c r="L1489" s="22" t="str">
        <f>IFERROR(__xludf.DUMMYFUNCTION("""COMPUTED_VALUE"""),"アイエムエー")</f>
        <v>アイエムエー</v>
      </c>
      <c r="M1489" s="23">
        <f>IFERROR(__xludf.DUMMYFUNCTION("""COMPUTED_VALUE"""),45444.0)</f>
        <v>45444</v>
      </c>
      <c r="N1489" s="47">
        <f>IFERROR(__xludf.DUMMYFUNCTION("""COMPUTED_VALUE"""),45504.0)</f>
        <v>45504</v>
      </c>
      <c r="O1489" s="20"/>
      <c r="P1489" s="34" t="str">
        <f>IFERROR(__xludf.DUMMYFUNCTION("""COMPUTED_VALUE"""),"否")</f>
        <v>否</v>
      </c>
      <c r="Q1489" s="31" t="str">
        <f>IFERROR(__xludf.DUMMYFUNCTION("""COMPUTED_VALUE"""),"広告コミットOK(4/15)")</f>
        <v>広告コミットOK(4/15)</v>
      </c>
      <c r="R1489" s="22" t="str">
        <f>IFERROR(__xludf.DUMMYFUNCTION("""COMPUTED_VALUE"""),"格納済")</f>
        <v>格納済</v>
      </c>
      <c r="S1489" s="22" t="str">
        <f>IFERROR(__xludf.DUMMYFUNCTION("""COMPUTED_VALUE"""),"20240513_アイエムエー_君を救うたった一つの方法")</f>
        <v>20240513_アイエムエー_君を救うたった一つの方法</v>
      </c>
      <c r="T1489" s="22" t="str">
        <f>IFERROR(__xludf.DUMMYFUNCTION("""COMPUTED_VALUE"""),"格納済み")</f>
        <v>格納済み</v>
      </c>
      <c r="U1489" s="15" t="str">
        <f>IFERROR(__xludf.DUMMYFUNCTION("""COMPUTED_VALUE"""),"(C)和泉みお/IMA	")</f>
        <v>(C)和泉みお/IMA	</v>
      </c>
      <c r="V1489" s="8" t="str">
        <f>IFERROR(__xludf.DUMMYFUNCTION("""COMPUTED_VALUE"""),"最愛の推しが目の前で刺されたあの日、私の人生をかけたタイムリープが始まった─。元同級生のアイドル・暁（アッキー）の推し活に励む乃々花。ある日路地裏で男女の修羅場に遭遇――と思ったらあの男の人、アッキー！？刺されて血だらけになったアッキーに何かを手渡された次の瞬間……気付いたら、高校生の頃に戻っていた！過去を変えれば、アッキーが刺される未来も変えられる？だとしたら――「絶対 あなたを救うから」タイムリープの末に、二人が辿り着く未来とは……？")</f>
        <v>最愛の推しが目の前で刺されたあの日、私の人生をかけたタイムリープが始まった─。元同級生のアイドル・暁（アッキー）の推し活に励む乃々花。ある日路地裏で男女の修羅場に遭遇――と思ったらあの男の人、アッキー！？刺されて血だらけになったアッキーに何かを手渡された次の瞬間……気付いたら、高校生の頃に戻っていた！過去を変えれば、アッキーが刺される未来も変えられる？だとしたら――「絶対 あなたを救うから」タイムリープの末に、二人が辿り着く未来とは……？</v>
      </c>
      <c r="W1489" s="14"/>
      <c r="X1489" s="14" t="str">
        <f>IFERROR(__xludf.DUMMYFUNCTION("""COMPUTED_VALUE"""),"有")</f>
        <v>有</v>
      </c>
      <c r="Y1489" s="8" t="str">
        <f>IFERROR(__xludf.DUMMYFUNCTION("""COMPUTED_VALUE"""),"2024/6/30まで1巻無料")</f>
        <v>2024/6/30まで1巻無料</v>
      </c>
      <c r="Z1489" s="7"/>
      <c r="AA1489" s="7"/>
      <c r="AB1489" s="7"/>
    </row>
    <row r="1490" ht="15.75" customHeight="1">
      <c r="A1490" s="26">
        <f>IFERROR(__xludf.DUMMYFUNCTION("""COMPUTED_VALUE"""),3270.0)</f>
        <v>3270</v>
      </c>
      <c r="B1490" s="22" t="str">
        <f>IFERROR(__xludf.DUMMYFUNCTION("""COMPUTED_VALUE"""),"確定")</f>
        <v>確定</v>
      </c>
      <c r="C1490" s="28">
        <f>IFERROR(__xludf.DUMMYFUNCTION("""COMPUTED_VALUE"""),45393.0)</f>
        <v>45393</v>
      </c>
      <c r="D1490" s="28">
        <f>IFERROR(__xludf.DUMMYFUNCTION("""COMPUTED_VALUE"""),45427.0)</f>
        <v>45427</v>
      </c>
      <c r="E1490" s="26">
        <f>IFERROR(__xludf.DUMMYFUNCTION("""COMPUTED_VALUE"""),294752.0)</f>
        <v>294752</v>
      </c>
      <c r="F1490" s="22" t="str">
        <f>IFERROR(__xludf.DUMMYFUNCTION("""COMPUTED_VALUE"""),"雷鳴りて春来たる【分冊版】")</f>
        <v>雷鳴りて春来たる【分冊版】</v>
      </c>
      <c r="G1490" s="16" t="str">
        <f>IFERROR(__xludf.DUMMYFUNCTION("""COMPUTED_VALUE"""),"1～5")</f>
        <v>1～5</v>
      </c>
      <c r="H1490" s="22" t="str">
        <f>IFERROR(__xludf.DUMMYFUNCTION("""COMPUTED_VALUE"""),"烏目松")</f>
        <v>烏目松</v>
      </c>
      <c r="I1490" s="46" t="str">
        <f>IFERROR(__xludf.DUMMYFUNCTION("""COMPUTED_VALUE"""),"少女")</f>
        <v>少女</v>
      </c>
      <c r="J1490" s="22"/>
      <c r="K1490" s="22"/>
      <c r="L1490" s="22" t="str">
        <f>IFERROR(__xludf.DUMMYFUNCTION("""COMPUTED_VALUE"""),"トゥーヴァージンズ")</f>
        <v>トゥーヴァージンズ</v>
      </c>
      <c r="M1490" s="23">
        <f>IFERROR(__xludf.DUMMYFUNCTION("""COMPUTED_VALUE"""),45448.0)</f>
        <v>45448</v>
      </c>
      <c r="N1490" s="47">
        <f>IFERROR(__xludf.DUMMYFUNCTION("""COMPUTED_VALUE"""),45539.0)</f>
        <v>45539</v>
      </c>
      <c r="O1490" s="20"/>
      <c r="P1490" s="34" t="str">
        <f>IFERROR(__xludf.DUMMYFUNCTION("""COMPUTED_VALUE"""),"否")</f>
        <v>否</v>
      </c>
      <c r="Q1490" s="30" t="str">
        <f>IFERROR(__xludf.DUMMYFUNCTION("""COMPUTED_VALUE"""),"広告コミットOK(4/16)")</f>
        <v>広告コミットOK(4/16)</v>
      </c>
      <c r="R1490" s="22"/>
      <c r="S1490" s="22" t="str">
        <f>IFERROR(__xludf.DUMMYFUNCTION("""COMPUTED_VALUE"""),"20240508_トゥーヴァージンズ_雷鳴りて春来たる【分冊版】")</f>
        <v>20240508_トゥーヴァージンズ_雷鳴りて春来たる【分冊版】</v>
      </c>
      <c r="T1490" s="22" t="str">
        <f>IFERROR(__xludf.DUMMYFUNCTION("""COMPUTED_VALUE"""),"格納済み")</f>
        <v>格納済み</v>
      </c>
      <c r="U1490" s="15" t="str">
        <f>IFERROR(__xludf.DUMMYFUNCTION("""COMPUTED_VALUE"""),"(C)Umematsu/TWO VIRGINS")</f>
        <v>(C)Umematsu/TWO VIRGINS</v>
      </c>
      <c r="V1490" s="8" t="str">
        <f>IFERROR(__xludf.DUMMYFUNCTION("""COMPUTED_VALUE"""),"大正十二年、春。父親と喧嘩し家を飛び出した島津ハルは、橋の上で雷に打たれてしまう。気がつけばそこは…百年後、令和五年の東京だった。気を失い倒れていたハルを保護したのは、彼女と同い年の高校生・星谷青太。自宅で姉の朱里とともに、、にわかには信じがたいハルの事情を聞いた青太は…？
時代を超えて「私の生きるべき道」を模索する、大正乙女の物語！")</f>
        <v>大正十二年、春。父親と喧嘩し家を飛び出した島津ハルは、橋の上で雷に打たれてしまう。気がつけばそこは…百年後、令和五年の東京だった。気を失い倒れていたハルを保護したのは、彼女と同い年の高校生・星谷青太。自宅で姉の朱里とともに、、にわかには信じがたいハルの事情を聞いた青太は…？
時代を超えて「私の生きるべき道」を模索する、大正乙女の物語！</v>
      </c>
      <c r="W1490" s="14"/>
      <c r="X1490" s="14" t="str">
        <f>IFERROR(__xludf.DUMMYFUNCTION("""COMPUTED_VALUE"""),"有")</f>
        <v>有</v>
      </c>
      <c r="Y1490" s="8" t="str">
        <f>IFERROR(__xludf.DUMMYFUNCTION("""COMPUTED_VALUE"""),"12/31まで1巻無料")</f>
        <v>12/31まで1巻無料</v>
      </c>
      <c r="Z1490" s="7"/>
      <c r="AA1490" s="7"/>
      <c r="AB1490" s="7"/>
    </row>
    <row r="1491" ht="15.75" customHeight="1">
      <c r="A1491" s="26">
        <f>IFERROR(__xludf.DUMMYFUNCTION("""COMPUTED_VALUE"""),3300.0)</f>
        <v>3300</v>
      </c>
      <c r="B1491" s="22" t="str">
        <f>IFERROR(__xludf.DUMMYFUNCTION("""COMPUTED_VALUE"""),"確定")</f>
        <v>確定</v>
      </c>
      <c r="C1491" s="28">
        <f>IFERROR(__xludf.DUMMYFUNCTION("""COMPUTED_VALUE"""),45398.0)</f>
        <v>45398</v>
      </c>
      <c r="D1491" s="28">
        <f>IFERROR(__xludf.DUMMYFUNCTION("""COMPUTED_VALUE"""),45425.0)</f>
        <v>45425</v>
      </c>
      <c r="E1491" s="26">
        <f>IFERROR(__xludf.DUMMYFUNCTION("""COMPUTED_VALUE"""),293344.0)</f>
        <v>293344</v>
      </c>
      <c r="F1491" s="22" t="str">
        <f>IFERROR(__xludf.DUMMYFUNCTION("""COMPUTED_VALUE"""),"甘い罠、秘密にキス")</f>
        <v>甘い罠、秘密にキス</v>
      </c>
      <c r="G1491" s="11" t="str">
        <f>IFERROR(__xludf.DUMMYFUNCTION("""COMPUTED_VALUE"""),"1～4")</f>
        <v>1～4</v>
      </c>
      <c r="H1491" s="22" t="str">
        <f>IFERROR(__xludf.DUMMYFUNCTION("""COMPUTED_VALUE"""),"作画：志水しゅな　原作：mio")</f>
        <v>作画：志水しゅな　原作：mio</v>
      </c>
      <c r="I1491" s="46" t="str">
        <f>IFERROR(__xludf.DUMMYFUNCTION("""COMPUTED_VALUE"""),"女性")</f>
        <v>女性</v>
      </c>
      <c r="J1491" s="22"/>
      <c r="K1491" s="22"/>
      <c r="L1491" s="22" t="str">
        <f>IFERROR(__xludf.DUMMYFUNCTION("""COMPUTED_VALUE"""),"アイエムエー")</f>
        <v>アイエムエー</v>
      </c>
      <c r="M1491" s="23">
        <f>IFERROR(__xludf.DUMMYFUNCTION("""COMPUTED_VALUE"""),45444.0)</f>
        <v>45444</v>
      </c>
      <c r="N1491" s="47">
        <f>IFERROR(__xludf.DUMMYFUNCTION("""COMPUTED_VALUE"""),45504.0)</f>
        <v>45504</v>
      </c>
      <c r="O1491" s="20"/>
      <c r="P1491" s="34" t="str">
        <f>IFERROR(__xludf.DUMMYFUNCTION("""COMPUTED_VALUE"""),"否")</f>
        <v>否</v>
      </c>
      <c r="Q1491" s="31" t="str">
        <f>IFERROR(__xludf.DUMMYFUNCTION("""COMPUTED_VALUE"""),"広告コミットOK（4/25)")</f>
        <v>広告コミットOK（4/25)</v>
      </c>
      <c r="R1491" s="22" t="str">
        <f>IFERROR(__xludf.DUMMYFUNCTION("""COMPUTED_VALUE"""),"格納済")</f>
        <v>格納済</v>
      </c>
      <c r="S1491" s="22" t="str">
        <f>IFERROR(__xludf.DUMMYFUNCTION("""COMPUTED_VALUE"""),"20240513_アイエムエー_甘い罠、秘密にキス")</f>
        <v>20240513_アイエムエー_甘い罠、秘密にキス</v>
      </c>
      <c r="T1491" s="22" t="str">
        <f>IFERROR(__xludf.DUMMYFUNCTION("""COMPUTED_VALUE"""),"格納済み")</f>
        <v>格納済み</v>
      </c>
      <c r="U1491" s="15" t="str">
        <f>IFERROR(__xludf.DUMMYFUNCTION("""COMPUTED_VALUE"""),"（C)志水しゅな／mio／IMA")</f>
        <v>（C)志水しゅな／mio／IMA</v>
      </c>
      <c r="V1491" s="8" t="str">
        <f>IFERROR(__xludf.DUMMYFUNCTION("""COMPUTED_VALUE"""),"「もう逃がさねぇぞ」――三十路イケメン女が溺愛されて、いきなり婚約？！佐倉伊織（29）は、誰からも女に見られないどころか、昔から女にモテまくる。過去に異性とお付き合いした経験もたった1回のみ。そんな中、その原因を作ったひとりでもある“あの男”が社内異動してきた。幼い頃から意地の悪い男で掴みどころがなく、目が合えば喧嘩していた。だから当然この男にも女として見られていない、はずだったのに。「俺は胸より尻派」「俺はお前が好きだけど」トラウマを抱えたイケメン女×自称一途の意地悪男の社内溺愛ラブストーリー。")</f>
        <v>「もう逃がさねぇぞ」――三十路イケメン女が溺愛されて、いきなり婚約？！佐倉伊織（29）は、誰からも女に見られないどころか、昔から女にモテまくる。過去に異性とお付き合いした経験もたった1回のみ。そんな中、その原因を作ったひとりでもある“あの男”が社内異動してきた。幼い頃から意地の悪い男で掴みどころがなく、目が合えば喧嘩していた。だから当然この男にも女として見られていない、はずだったのに。「俺は胸より尻派」「俺はお前が好きだけど」トラウマを抱えたイケメン女×自称一途の意地悪男の社内溺愛ラブストーリー。</v>
      </c>
      <c r="W1491" s="14"/>
      <c r="X1491" s="14" t="str">
        <f>IFERROR(__xludf.DUMMYFUNCTION("""COMPUTED_VALUE"""),"有")</f>
        <v>有</v>
      </c>
      <c r="Y1491" s="8" t="str">
        <f>IFERROR(__xludf.DUMMYFUNCTION("""COMPUTED_VALUE"""),"P10まで")</f>
        <v>P10まで</v>
      </c>
      <c r="Z1491" s="7"/>
      <c r="AA1491" s="7"/>
      <c r="AB1491" s="7"/>
    </row>
    <row r="1492" ht="15.75" customHeight="1">
      <c r="A1492" s="26">
        <f>IFERROR(__xludf.DUMMYFUNCTION("""COMPUTED_VALUE"""),3373.0)</f>
        <v>3373</v>
      </c>
      <c r="B1492" s="22" t="str">
        <f>IFERROR(__xludf.DUMMYFUNCTION("""COMPUTED_VALUE"""),"確定")</f>
        <v>確定</v>
      </c>
      <c r="C1492" s="28">
        <f>IFERROR(__xludf.DUMMYFUNCTION("""COMPUTED_VALUE"""),45419.0)</f>
        <v>45419</v>
      </c>
      <c r="D1492" s="28">
        <f>IFERROR(__xludf.DUMMYFUNCTION("""COMPUTED_VALUE"""),45425.0)</f>
        <v>45425</v>
      </c>
      <c r="E1492" s="26">
        <f>IFERROR(__xludf.DUMMYFUNCTION("""COMPUTED_VALUE"""),280110.0)</f>
        <v>280110</v>
      </c>
      <c r="F1492" s="22" t="str">
        <f>IFERROR(__xludf.DUMMYFUNCTION("""COMPUTED_VALUE"""),"サレ妻の華麗なるざまぁ～完璧な夫のヤバい性癖～")</f>
        <v>サレ妻の華麗なるざまぁ～完璧な夫のヤバい性癖～</v>
      </c>
      <c r="G1492" s="20" t="str">
        <f>IFERROR(__xludf.DUMMYFUNCTION("""COMPUTED_VALUE"""),"1～3")</f>
        <v>1～3</v>
      </c>
      <c r="H1492" s="22" t="str">
        <f>IFERROR(__xludf.DUMMYFUNCTION("""COMPUTED_VALUE"""),"菜丿花おから,DANKE")</f>
        <v>菜丿花おから,DANKE</v>
      </c>
      <c r="I1492" s="22" t="str">
        <f>IFERROR(__xludf.DUMMYFUNCTION("""COMPUTED_VALUE"""),"女性")</f>
        <v>女性</v>
      </c>
      <c r="J1492" s="22"/>
      <c r="K1492" s="22"/>
      <c r="L1492" s="22" t="str">
        <f>IFERROR(__xludf.DUMMYFUNCTION("""COMPUTED_VALUE"""),"ソルマーレ編集部")</f>
        <v>ソルマーレ編集部</v>
      </c>
      <c r="M1492" s="23">
        <f>IFERROR(__xludf.DUMMYFUNCTION("""COMPUTED_VALUE"""),45451.0)</f>
        <v>45451</v>
      </c>
      <c r="N1492" s="23">
        <f>IFERROR(__xludf.DUMMYFUNCTION("""COMPUTED_VALUE"""),45512.0)</f>
        <v>45512</v>
      </c>
      <c r="O1492" s="20"/>
      <c r="P1492" s="32" t="str">
        <f>IFERROR(__xludf.DUMMYFUNCTION("""COMPUTED_VALUE"""),"可")</f>
        <v>可</v>
      </c>
      <c r="Q1492" s="30"/>
      <c r="R1492" s="22"/>
      <c r="S1492" s="22" t="str">
        <f>IFERROR(__xludf.DUMMYFUNCTION("""COMPUTED_VALUE"""),"20240513_ソルマーレ編集部_サレ妻の華麗なるざまぁ～完璧な夫のヤバい性癖～")</f>
        <v>20240513_ソルマーレ編集部_サレ妻の華麗なるざまぁ～完璧な夫のヤバい性癖～</v>
      </c>
      <c r="T1492" s="22" t="str">
        <f>IFERROR(__xludf.DUMMYFUNCTION("""COMPUTED_VALUE"""),"格納済み")</f>
        <v>格納済み</v>
      </c>
      <c r="U1492" s="15" t="str">
        <f>IFERROR(__xludf.DUMMYFUNCTION("""COMPUTED_VALUE"""),"Ⓒ 菜丿花おから/DANKE/シーモアコミックス")</f>
        <v>Ⓒ 菜丿花おから/DANKE/シーモアコミックス</v>
      </c>
      <c r="V1492" s="8" t="str">
        <f>IFERROR(__xludf.DUMMYFUNCTION("""COMPUTED_VALUE"""),"綾香は半年前にエリートで容姿端麗な慎一と社内結婚し、何不自由無い生活を過ごしていた。そんなある日、慎一の腕に不審な痣を見つけたことから二人の結婚生活は一変する。そんな中、慎一のスマホに浮かんだ信じられないメッセージ。綾香が辿り着いた驚愕の真実。完璧な夫のヤバい性癖…
サレ妻の華麗なる復讐劇のシナリオとは？ 読めばスカッと！ サレ妻の復讐劇のはじまりです！【恋するソワレ＋】")</f>
        <v>綾香は半年前にエリートで容姿端麗な慎一と社内結婚し、何不自由無い生活を過ごしていた。そんなある日、慎一の腕に不審な痣を見つけたことから二人の結婚生活は一変する。そんな中、慎一のスマホに浮かんだ信じられないメッセージ。綾香が辿り着いた驚愕の真実。完璧な夫のヤバい性癖…
サレ妻の華麗なる復讐劇のシナリオとは？ 読めばスカッと！ サレ妻の復讐劇のはじまりです！【恋するソワレ＋】</v>
      </c>
      <c r="W1492" s="14"/>
      <c r="X1492" s="14" t="str">
        <f>IFERROR(__xludf.DUMMYFUNCTION("""COMPUTED_VALUE"""),"有")</f>
        <v>有</v>
      </c>
      <c r="Y1492" s="8" t="str">
        <f>IFERROR(__xludf.DUMMYFUNCTION("""COMPUTED_VALUE"""),"P5まで")</f>
        <v>P5まで</v>
      </c>
      <c r="Z1492" s="7"/>
      <c r="AA1492" s="7"/>
      <c r="AB1492" s="7"/>
    </row>
    <row r="1493" ht="15.75" customHeight="1">
      <c r="A1493" s="26">
        <f>IFERROR(__xludf.DUMMYFUNCTION("""COMPUTED_VALUE"""),3376.0)</f>
        <v>3376</v>
      </c>
      <c r="B1493" s="22" t="str">
        <f>IFERROR(__xludf.DUMMYFUNCTION("""COMPUTED_VALUE"""),"確定")</f>
        <v>確定</v>
      </c>
      <c r="C1493" s="28">
        <f>IFERROR(__xludf.DUMMYFUNCTION("""COMPUTED_VALUE"""),45419.0)</f>
        <v>45419</v>
      </c>
      <c r="D1493" s="28">
        <f>IFERROR(__xludf.DUMMYFUNCTION("""COMPUTED_VALUE"""),45425.0)</f>
        <v>45425</v>
      </c>
      <c r="E1493" s="26">
        <f>IFERROR(__xludf.DUMMYFUNCTION("""COMPUTED_VALUE"""),287063.0)</f>
        <v>287063</v>
      </c>
      <c r="F1493" s="22" t="str">
        <f>IFERROR(__xludf.DUMMYFUNCTION("""COMPUTED_VALUE"""),"恋のカタチは四角形")</f>
        <v>恋のカタチは四角形</v>
      </c>
      <c r="G1493" s="11" t="str">
        <f>IFERROR(__xludf.DUMMYFUNCTION("""COMPUTED_VALUE"""),"1～2")</f>
        <v>1～2</v>
      </c>
      <c r="H1493" s="22" t="str">
        <f>IFERROR(__xludf.DUMMYFUNCTION("""COMPUTED_VALUE"""),"塩田キョウカ")</f>
        <v>塩田キョウカ</v>
      </c>
      <c r="I1493" s="22" t="str">
        <f>IFERROR(__xludf.DUMMYFUNCTION("""COMPUTED_VALUE"""),"BL")</f>
        <v>BL</v>
      </c>
      <c r="J1493" s="22"/>
      <c r="K1493" s="22"/>
      <c r="L1493" s="22" t="str">
        <f>IFERROR(__xludf.DUMMYFUNCTION("""COMPUTED_VALUE"""),"ソルマーレ編集部")</f>
        <v>ソルマーレ編集部</v>
      </c>
      <c r="M1493" s="23">
        <f>IFERROR(__xludf.DUMMYFUNCTION("""COMPUTED_VALUE"""),45451.0)</f>
        <v>45451</v>
      </c>
      <c r="N1493" s="23">
        <f>IFERROR(__xludf.DUMMYFUNCTION("""COMPUTED_VALUE"""),45512.0)</f>
        <v>45512</v>
      </c>
      <c r="O1493" s="20"/>
      <c r="P1493" s="32" t="str">
        <f>IFERROR(__xludf.DUMMYFUNCTION("""COMPUTED_VALUE"""),"可")</f>
        <v>可</v>
      </c>
      <c r="Q1493" s="30"/>
      <c r="R1493" s="22"/>
      <c r="S1493" s="22" t="str">
        <f>IFERROR(__xludf.DUMMYFUNCTION("""COMPUTED_VALUE"""),"20240513_ソルマーレ編集部_恋のカタチは四角形")</f>
        <v>20240513_ソルマーレ編集部_恋のカタチは四角形</v>
      </c>
      <c r="T1493" s="22" t="str">
        <f>IFERROR(__xludf.DUMMYFUNCTION("""COMPUTED_VALUE"""),"格納済み")</f>
        <v>格納済み</v>
      </c>
      <c r="U1493" s="15" t="str">
        <f>IFERROR(__xludf.DUMMYFUNCTION("""COMPUTED_VALUE"""),"Ⓒ 塩田キョウカ/シーモアコミックス")</f>
        <v>Ⓒ 塩田キョウカ/シーモアコミックス</v>
      </c>
      <c r="V1493" s="8" t="str">
        <f>IFERROR(__xludf.DUMMYFUNCTION("""COMPUTED_VALUE"""),"恋がしたいと願いながらも、ゲイであることからずっと恋を諦めてきた大学生の充也。ある日 クラブで泥酔していたところを、一人の男に助けられた。イケメンで優しくて辛辣で、でも話せばちゃんと聞いてくれる――そんな彼に、思わず自分の『夢』を打ち明けてしまう。「好きって言われたい、手繋いで、なんでもない話をしたい…」すると彼は、充也にある提案をしてきて…？
「恥ずかしいので目…瞑っててください…」「焦らなくていいから、大丈夫」初めて感じるぬくもりに、充也の中である感情が芽生えていく―――。
本音不詳のクール保育士"&amp;"×恋愛初心者大学生の、もどかしくも愛おしいハートフル・ストーリー。【フィカス】")</f>
        <v>恋がしたいと願いながらも、ゲイであることからずっと恋を諦めてきた大学生の充也。ある日 クラブで泥酔していたところを、一人の男に助けられた。イケメンで優しくて辛辣で、でも話せばちゃんと聞いてくれる――そんな彼に、思わず自分の『夢』を打ち明けてしまう。「好きって言われたい、手繋いで、なんでもない話をしたい…」すると彼は、充也にある提案をしてきて…？
「恥ずかしいので目…瞑っててください…」「焦らなくていいから、大丈夫」初めて感じるぬくもりに、充也の中である感情が芽生えていく―――。
本音不詳のクール保育士×恋愛初心者大学生の、もどかしくも愛おしいハートフル・ストーリー。【フィカス】</v>
      </c>
      <c r="W1493" s="14"/>
      <c r="X1493" s="14" t="str">
        <f>IFERROR(__xludf.DUMMYFUNCTION("""COMPUTED_VALUE"""),"有")</f>
        <v>有</v>
      </c>
      <c r="Y1493" s="8" t="str">
        <f>IFERROR(__xludf.DUMMYFUNCTION("""COMPUTED_VALUE"""),"P14まで")</f>
        <v>P14まで</v>
      </c>
      <c r="Z1493" s="7"/>
      <c r="AA1493" s="7"/>
      <c r="AB1493" s="7"/>
    </row>
    <row r="1494" ht="15.75" customHeight="1">
      <c r="A1494" s="26">
        <f>IFERROR(__xludf.DUMMYFUNCTION("""COMPUTED_VALUE"""),3385.0)</f>
        <v>3385</v>
      </c>
      <c r="B1494" s="22" t="str">
        <f>IFERROR(__xludf.DUMMYFUNCTION("""COMPUTED_VALUE"""),"確定")</f>
        <v>確定</v>
      </c>
      <c r="C1494" s="28">
        <f>IFERROR(__xludf.DUMMYFUNCTION("""COMPUTED_VALUE"""),45420.0)</f>
        <v>45420</v>
      </c>
      <c r="D1494" s="28">
        <f>IFERROR(__xludf.DUMMYFUNCTION("""COMPUTED_VALUE"""),45421.0)</f>
        <v>45421</v>
      </c>
      <c r="E1494" s="26">
        <f>IFERROR(__xludf.DUMMYFUNCTION("""COMPUTED_VALUE"""),293339.0)</f>
        <v>293339</v>
      </c>
      <c r="F1494" s="22" t="str">
        <f>IFERROR(__xludf.DUMMYFUNCTION("""COMPUTED_VALUE"""),"転生してショタ王子になった剣聖は、かつての弟子には絶対にバレたくないっ　【連載版】")</f>
        <v>転生してショタ王子になった剣聖は、かつての弟子には絶対にバレたくないっ　【連載版】</v>
      </c>
      <c r="G1494" s="20" t="str">
        <f>IFERROR(__xludf.DUMMYFUNCTION("""COMPUTED_VALUE"""),"1～3")</f>
        <v>1～3</v>
      </c>
      <c r="H1494" s="22" t="str">
        <f>IFERROR(__xludf.DUMMYFUNCTION("""COMPUTED_VALUE"""),"おだやか・ぽんこつ少尉・しあびす")</f>
        <v>おだやか・ぽんこつ少尉・しあびす</v>
      </c>
      <c r="I1494" s="22" t="str">
        <f>IFERROR(__xludf.DUMMYFUNCTION("""COMPUTED_VALUE"""),"少女")</f>
        <v>少女</v>
      </c>
      <c r="J1494" s="22"/>
      <c r="K1494" s="22"/>
      <c r="L1494" s="22" t="str">
        <f>IFERROR(__xludf.DUMMYFUNCTION("""COMPUTED_VALUE"""),"一迅社")</f>
        <v>一迅社</v>
      </c>
      <c r="M1494" s="23">
        <f>IFERROR(__xludf.DUMMYFUNCTION("""COMPUTED_VALUE"""),45444.0)</f>
        <v>45444</v>
      </c>
      <c r="N1494" s="23">
        <f>IFERROR(__xludf.DUMMYFUNCTION("""COMPUTED_VALUE"""),45473.0)</f>
        <v>45473</v>
      </c>
      <c r="O1494" s="20"/>
      <c r="P1494" s="32" t="str">
        <f>IFERROR(__xludf.DUMMYFUNCTION("""COMPUTED_VALUE"""),"可")</f>
        <v>可</v>
      </c>
      <c r="Q1494" s="30"/>
      <c r="R1494" s="22"/>
      <c r="S1494" s="22" t="str">
        <f>IFERROR(__xludf.DUMMYFUNCTION("""COMPUTED_VALUE"""),"20240508_一迅社_転生してショタ王子になった剣聖は、かつての弟子には絶対にバレたくないっ 剣人帰還")</f>
        <v>20240508_一迅社_転生してショタ王子になった剣聖は、かつての弟子には絶対にバレたくないっ 剣人帰還</v>
      </c>
      <c r="T1494" s="22" t="str">
        <f>IFERROR(__xludf.DUMMYFUNCTION("""COMPUTED_VALUE"""),"格納済み")</f>
        <v>格納済み</v>
      </c>
      <c r="U1494" s="15" t="str">
        <f>IFERROR(__xludf.DUMMYFUNCTION("""COMPUTED_VALUE"""),"(C)おだやか・ぽんこつ少尉・しあびす／一迅社")</f>
        <v>(C)おだやか・ぽんこつ少尉・しあびす／一迅社</v>
      </c>
      <c r="V1494" s="8" t="str">
        <f>IFERROR(__xludf.DUMMYFUNCTION("""COMPUTED_VALUE"""),"「一迅社ノベルス」で話題の波瀾万丈の学園ファンタジーを公式コミカライズ!!独自の剣術で、国を救った剣聖ブライズ。壮大な人生の果て、記憶を持ったまま国の末王子として転生する。再びの自由を求め、騎士学校初等部への入学を志すが無敵の剣聖なのに、まさかの不合格――！「あなたを迎えに来たわ」見た目は子供、中身は無敵の元剣聖――転生先で、かつての弟子に拾われる!?【本商品は単話コンテンツとなります。単行本版と収録内容が異なる場合がございます。漫画内の告知等は過去のものとなりますので、ご注意ください。】")</f>
        <v>「一迅社ノベルス」で話題の波瀾万丈の学園ファンタジーを公式コミカライズ!!独自の剣術で、国を救った剣聖ブライズ。壮大な人生の果て、記憶を持ったまま国の末王子として転生する。再びの自由を求め、騎士学校初等部への入学を志すが無敵の剣聖なのに、まさかの不合格――！「あなたを迎えに来たわ」見た目は子供、中身は無敵の元剣聖――転生先で、かつての弟子に拾われる!?【本商品は単話コンテンツとなります。単行本版と収録内容が異なる場合がございます。漫画内の告知等は過去のものとなりますので、ご注意ください。】</v>
      </c>
      <c r="W1494" s="14"/>
      <c r="X1494" s="14" t="str">
        <f>IFERROR(__xludf.DUMMYFUNCTION("""COMPUTED_VALUE"""),"有")</f>
        <v>有</v>
      </c>
      <c r="Y1494" s="8" t="str">
        <f>IFERROR(__xludf.DUMMYFUNCTION("""COMPUTED_VALUE"""),"2024/6/30まで1巻無料")</f>
        <v>2024/6/30まで1巻無料</v>
      </c>
      <c r="Z1494" s="7"/>
      <c r="AA1494" s="7"/>
      <c r="AB1494" s="7"/>
    </row>
    <row r="1495" ht="15.75" customHeight="1">
      <c r="A1495" s="26">
        <f>IFERROR(__xludf.DUMMYFUNCTION("""COMPUTED_VALUE"""),3386.0)</f>
        <v>3386</v>
      </c>
      <c r="B1495" s="22" t="str">
        <f>IFERROR(__xludf.DUMMYFUNCTION("""COMPUTED_VALUE"""),"確定")</f>
        <v>確定</v>
      </c>
      <c r="C1495" s="28">
        <f>IFERROR(__xludf.DUMMYFUNCTION("""COMPUTED_VALUE"""),45420.0)</f>
        <v>45420</v>
      </c>
      <c r="D1495" s="28">
        <f>IFERROR(__xludf.DUMMYFUNCTION("""COMPUTED_VALUE"""),45421.0)</f>
        <v>45421</v>
      </c>
      <c r="E1495" s="26">
        <f>IFERROR(__xludf.DUMMYFUNCTION("""COMPUTED_VALUE"""),293340.0)</f>
        <v>293340</v>
      </c>
      <c r="F1495" s="22" t="str">
        <f>IFERROR(__xludf.DUMMYFUNCTION("""COMPUTED_VALUE"""),"今日から悪女になります! 使い捨ての身代わり聖女なんてごめんです　【連載版】")</f>
        <v>今日から悪女になります! 使い捨ての身代わり聖女なんてごめんです　【連載版】</v>
      </c>
      <c r="G1495" s="11" t="str">
        <f>IFERROR(__xludf.DUMMYFUNCTION("""COMPUTED_VALUE"""),"1～4")</f>
        <v>1～4</v>
      </c>
      <c r="H1495" s="22" t="str">
        <f>IFERROR(__xludf.DUMMYFUNCTION("""COMPUTED_VALUE"""),"瓜田ノヒト・小野上明夜・深山キリ")</f>
        <v>瓜田ノヒト・小野上明夜・深山キリ</v>
      </c>
      <c r="I1495" s="22" t="str">
        <f>IFERROR(__xludf.DUMMYFUNCTION("""COMPUTED_VALUE"""),"少女")</f>
        <v>少女</v>
      </c>
      <c r="J1495" s="22"/>
      <c r="K1495" s="22"/>
      <c r="L1495" s="22" t="str">
        <f>IFERROR(__xludf.DUMMYFUNCTION("""COMPUTED_VALUE"""),"一迅社")</f>
        <v>一迅社</v>
      </c>
      <c r="M1495" s="23">
        <f>IFERROR(__xludf.DUMMYFUNCTION("""COMPUTED_VALUE"""),45444.0)</f>
        <v>45444</v>
      </c>
      <c r="N1495" s="23">
        <f>IFERROR(__xludf.DUMMYFUNCTION("""COMPUTED_VALUE"""),45473.0)</f>
        <v>45473</v>
      </c>
      <c r="O1495" s="20"/>
      <c r="P1495" s="32" t="str">
        <f>IFERROR(__xludf.DUMMYFUNCTION("""COMPUTED_VALUE"""),"可")</f>
        <v>可</v>
      </c>
      <c r="Q1495" s="30"/>
      <c r="R1495" s="22"/>
      <c r="S1495" s="22" t="str">
        <f>IFERROR(__xludf.DUMMYFUNCTION("""COMPUTED_VALUE"""),"20240508_一迅社_今日から悪女になります! 使い捨ての身代わり聖女なんてごめんです")</f>
        <v>20240508_一迅社_今日から悪女になります! 使い捨ての身代わり聖女なんてごめんです</v>
      </c>
      <c r="T1495" s="22" t="str">
        <f>IFERROR(__xludf.DUMMYFUNCTION("""COMPUTED_VALUE"""),"格納済み")</f>
        <v>格納済み</v>
      </c>
      <c r="U1495" s="15" t="str">
        <f>IFERROR(__xludf.DUMMYFUNCTION("""COMPUTED_VALUE"""),"(C)瓜田ノヒト・小野上明夜・深山キリ／一迅社")</f>
        <v>(C)瓜田ノヒト・小野上明夜・深山キリ／一迅社</v>
      </c>
      <c r="V1495" s="8" t="str">
        <f>IFERROR(__xludf.DUMMYFUNCTION("""COMPUTED_VALUE"""),"レオノーラ姫は唯一無二の癒やしの聖女――そう見せるため、ひそかに奇跡の力で人々を癒やしていた侍女エーダは、力の使いすぎでボロボロに。さらに、姉のように慕っていたレオノーラに切り捨てられ、水の中に投げ入れられてしまった!? もう死んだと思っていたけれど……。大国の傭兵グロウ達に助けられ、本物の聖女として見返してやろうと誘われて!? 聖女も侍女もごめんです! 「悪女」になってこんな国、滅ぼしてやる!! 「一迅社文庫アイリス」の話題作をコミカライズ！ 悪女になりたい本物聖女の巻き返しラブファンタジー!!【本商品"&amp;"は単話コンテンツとなります。単行本版と収録内容が異なる場合がございます。漫画内の告知等は過去のものとなりますので、ご注意ください。】")</f>
        <v>レオノーラ姫は唯一無二の癒やしの聖女――そう見せるため、ひそかに奇跡の力で人々を癒やしていた侍女エーダは、力の使いすぎでボロボロに。さらに、姉のように慕っていたレオノーラに切り捨てられ、水の中に投げ入れられてしまった!? もう死んだと思っていたけれど……。大国の傭兵グロウ達に助けられ、本物の聖女として見返してやろうと誘われて!? 聖女も侍女もごめんです! 「悪女」になってこんな国、滅ぼしてやる!! 「一迅社文庫アイリス」の話題作をコミカライズ！ 悪女になりたい本物聖女の巻き返しラブファンタジー!!【本商品は単話コンテンツとなります。単行本版と収録内容が異なる場合がございます。漫画内の告知等は過去のものとなりますので、ご注意ください。】</v>
      </c>
      <c r="W1495" s="14"/>
      <c r="X1495" s="14" t="str">
        <f>IFERROR(__xludf.DUMMYFUNCTION("""COMPUTED_VALUE"""),"有")</f>
        <v>有</v>
      </c>
      <c r="Y1495" s="8" t="str">
        <f>IFERROR(__xludf.DUMMYFUNCTION("""COMPUTED_VALUE"""),"2024/6/30まで1巻無料")</f>
        <v>2024/6/30まで1巻無料</v>
      </c>
      <c r="Z1495" s="7"/>
      <c r="AA1495" s="7"/>
      <c r="AB1495" s="7"/>
    </row>
    <row r="1496" ht="15.75" customHeight="1">
      <c r="A1496" s="26">
        <f>IFERROR(__xludf.DUMMYFUNCTION("""COMPUTED_VALUE"""),3387.0)</f>
        <v>3387</v>
      </c>
      <c r="B1496" s="22" t="str">
        <f>IFERROR(__xludf.DUMMYFUNCTION("""COMPUTED_VALUE"""),"確定")</f>
        <v>確定</v>
      </c>
      <c r="C1496" s="28">
        <f>IFERROR(__xludf.DUMMYFUNCTION("""COMPUTED_VALUE"""),45420.0)</f>
        <v>45420</v>
      </c>
      <c r="D1496" s="28">
        <f>IFERROR(__xludf.DUMMYFUNCTION("""COMPUTED_VALUE"""),45421.0)</f>
        <v>45421</v>
      </c>
      <c r="E1496" s="26">
        <f>IFERROR(__xludf.DUMMYFUNCTION("""COMPUTED_VALUE"""),293341.0)</f>
        <v>293341</v>
      </c>
      <c r="F1496" s="22" t="str">
        <f>IFERROR(__xludf.DUMMYFUNCTION("""COMPUTED_VALUE"""),"転生公女は今さら傷つかない 姉の婚約者に嫌われていると思ったのに、溺愛されているようです？　【連載版】")</f>
        <v>転生公女は今さら傷つかない 姉の婚約者に嫌われていると思ったのに、溺愛されているようです？　【連載版】</v>
      </c>
      <c r="G1496" s="20" t="str">
        <f>IFERROR(__xludf.DUMMYFUNCTION("""COMPUTED_VALUE"""),"1～3")</f>
        <v>1～3</v>
      </c>
      <c r="H1496" s="22" t="str">
        <f>IFERROR(__xludf.DUMMYFUNCTION("""COMPUTED_VALUE"""),"葉月・そらほし・m/g")</f>
        <v>葉月・そらほし・m/g</v>
      </c>
      <c r="I1496" s="22" t="str">
        <f>IFERROR(__xludf.DUMMYFUNCTION("""COMPUTED_VALUE"""),"少女")</f>
        <v>少女</v>
      </c>
      <c r="J1496" s="22"/>
      <c r="K1496" s="22"/>
      <c r="L1496" s="22" t="str">
        <f>IFERROR(__xludf.DUMMYFUNCTION("""COMPUTED_VALUE"""),"一迅社")</f>
        <v>一迅社</v>
      </c>
      <c r="M1496" s="23">
        <f>IFERROR(__xludf.DUMMYFUNCTION("""COMPUTED_VALUE"""),45444.0)</f>
        <v>45444</v>
      </c>
      <c r="N1496" s="23">
        <f>IFERROR(__xludf.DUMMYFUNCTION("""COMPUTED_VALUE"""),45473.0)</f>
        <v>45473</v>
      </c>
      <c r="O1496" s="20"/>
      <c r="P1496" s="32" t="str">
        <f>IFERROR(__xludf.DUMMYFUNCTION("""COMPUTED_VALUE"""),"可")</f>
        <v>可</v>
      </c>
      <c r="Q1496" s="30"/>
      <c r="R1496" s="22"/>
      <c r="S1496" s="22" t="str">
        <f>IFERROR(__xludf.DUMMYFUNCTION("""COMPUTED_VALUE"""),"20240508_一迅社_転生公女は今さら傷つかない 姉の婚約者に嫌われていると思ったのに、溺愛されているようです？")</f>
        <v>20240508_一迅社_転生公女は今さら傷つかない 姉の婚約者に嫌われていると思ったのに、溺愛されているようです？</v>
      </c>
      <c r="T1496" s="22" t="str">
        <f>IFERROR(__xludf.DUMMYFUNCTION("""COMPUTED_VALUE"""),"格納済み")</f>
        <v>格納済み</v>
      </c>
      <c r="U1496" s="15" t="str">
        <f>IFERROR(__xludf.DUMMYFUNCTION("""COMPUTED_VALUE"""),"(C)葉月・そらほし・m/g／一迅社")</f>
        <v>(C)葉月・そらほし・m/g／一迅社</v>
      </c>
      <c r="V1496" s="8" t="str">
        <f>IFERROR(__xludf.DUMMYFUNCTION("""COMPUTED_VALUE"""),"正体を隠して悪公女として嫁いだのに、どうして溺愛されてるの!?　目が覚めたらモンシラ公国の公女リリコットに転生していた百合香。双子の姉の身代わりとして、姉の婚約者であるアクィラ王太子殿下に嫁いできたものの、住む部屋はお化け屋敷状態！　どうやら悪公女と知れ渡る姉のせいで冷遇され、アクィラ殿下にも興味を持たれていない様子……？　だったら彼に期待なんかせず居心地のよい場所を作って、絶対に幸せになってやる!!　そう決意したのに――。なぜか突然アクィラ殿下が優しく接してくるようになって!?　幸せになりたい公女の身代"&amp;"わり×転生ラブファンタジー！【本商品は単話コンテンツとなります。単行本版と収録内容が異なる場合がございます。漫画内の告知等は過去のものとなりますので、ご注意ください。】")</f>
        <v>正体を隠して悪公女として嫁いだのに、どうして溺愛されてるの!?　目が覚めたらモンシラ公国の公女リリコットに転生していた百合香。双子の姉の身代わりとして、姉の婚約者であるアクィラ王太子殿下に嫁いできたものの、住む部屋はお化け屋敷状態！　どうやら悪公女と知れ渡る姉のせいで冷遇され、アクィラ殿下にも興味を持たれていない様子……？　だったら彼に期待なんかせず居心地のよい場所を作って、絶対に幸せになってやる!!　そう決意したのに――。なぜか突然アクィラ殿下が優しく接してくるようになって!?　幸せになりたい公女の身代わり×転生ラブファンタジー！【本商品は単話コンテンツとなります。単行本版と収録内容が異なる場合がございます。漫画内の告知等は過去のものとなりますので、ご注意ください。】</v>
      </c>
      <c r="W1496" s="14"/>
      <c r="X1496" s="14" t="str">
        <f>IFERROR(__xludf.DUMMYFUNCTION("""COMPUTED_VALUE"""),"有")</f>
        <v>有</v>
      </c>
      <c r="Y1496" s="8" t="str">
        <f>IFERROR(__xludf.DUMMYFUNCTION("""COMPUTED_VALUE"""),"2024/6/30まで1巻無料")</f>
        <v>2024/6/30まで1巻無料</v>
      </c>
      <c r="Z1496" s="7"/>
      <c r="AA1496" s="7"/>
      <c r="AB1496" s="7"/>
    </row>
    <row r="1497" ht="15.75" customHeight="1">
      <c r="A1497" s="26">
        <f>IFERROR(__xludf.DUMMYFUNCTION("""COMPUTED_VALUE"""),3388.0)</f>
        <v>3388</v>
      </c>
      <c r="B1497" s="22" t="str">
        <f>IFERROR(__xludf.DUMMYFUNCTION("""COMPUTED_VALUE"""),"確定")</f>
        <v>確定</v>
      </c>
      <c r="C1497" s="28">
        <f>IFERROR(__xludf.DUMMYFUNCTION("""COMPUTED_VALUE"""),45420.0)</f>
        <v>45420</v>
      </c>
      <c r="D1497" s="28">
        <f>IFERROR(__xludf.DUMMYFUNCTION("""COMPUTED_VALUE"""),45421.0)</f>
        <v>45421</v>
      </c>
      <c r="E1497" s="26">
        <f>IFERROR(__xludf.DUMMYFUNCTION("""COMPUTED_VALUE"""),293671.0)</f>
        <v>293671</v>
      </c>
      <c r="F1497" s="22" t="str">
        <f>IFERROR(__xludf.DUMMYFUNCTION("""COMPUTED_VALUE"""),"ウザ絡みしたら強制発情！？　腹黒エリート同期・三輪くんも我慢の限界です")</f>
        <v>ウザ絡みしたら強制発情！？　腹黒エリート同期・三輪くんも我慢の限界です</v>
      </c>
      <c r="G1497" s="11" t="str">
        <f>IFERROR(__xludf.DUMMYFUNCTION("""COMPUTED_VALUE"""),"1～2")</f>
        <v>1～2</v>
      </c>
      <c r="H1497" s="22" t="str">
        <f>IFERROR(__xludf.DUMMYFUNCTION("""COMPUTED_VALUE"""),"野崎てんか")</f>
        <v>野崎てんか</v>
      </c>
      <c r="I1497" s="22" t="str">
        <f>IFERROR(__xludf.DUMMYFUNCTION("""COMPUTED_VALUE"""),"TL")</f>
        <v>TL</v>
      </c>
      <c r="J1497" s="22"/>
      <c r="K1497" s="22"/>
      <c r="L1497" s="22" t="str">
        <f>IFERROR(__xludf.DUMMYFUNCTION("""COMPUTED_VALUE"""),"一迅社")</f>
        <v>一迅社</v>
      </c>
      <c r="M1497" s="23">
        <f>IFERROR(__xludf.DUMMYFUNCTION("""COMPUTED_VALUE"""),45450.0)</f>
        <v>45450</v>
      </c>
      <c r="N1497" s="23">
        <f>IFERROR(__xludf.DUMMYFUNCTION("""COMPUTED_VALUE"""),45477.0)</f>
        <v>45477</v>
      </c>
      <c r="O1497" s="20"/>
      <c r="P1497" s="32" t="str">
        <f>IFERROR(__xludf.DUMMYFUNCTION("""COMPUTED_VALUE"""),"可")</f>
        <v>可</v>
      </c>
      <c r="Q1497" s="30"/>
      <c r="R1497" s="22"/>
      <c r="S1497" s="22" t="str">
        <f>IFERROR(__xludf.DUMMYFUNCTION("""COMPUTED_VALUE"""),"20240508_一迅社_ウザ絡みしたら強制発情！？　腹黒エリート同期・三輪くんも我慢の限界です")</f>
        <v>20240508_一迅社_ウザ絡みしたら強制発情！？　腹黒エリート同期・三輪くんも我慢の限界です</v>
      </c>
      <c r="T1497" s="22" t="str">
        <f>IFERROR(__xludf.DUMMYFUNCTION("""COMPUTED_VALUE"""),"格納済み")</f>
        <v>格納済み</v>
      </c>
      <c r="U1497" s="15" t="str">
        <f>IFERROR(__xludf.DUMMYFUNCTION("""COMPUTED_VALUE"""),"(C)野崎てんか／一迅社")</f>
        <v>(C)野崎てんか／一迅社</v>
      </c>
      <c r="V1497" s="8" t="str">
        <f>IFERROR(__xludf.DUMMYFUNCTION("""COMPUTED_VALUE"""),"「先に散々煽ったのはそっちだろ」ダメ、口を塞がれて、舌使いがよすぎて、言い返したいのに言い返せない…。気にくわないのに、どうしても蕩けちゃう…。――向井みすずは、仕事もできて顔良し・性格良し・家柄良しのエリート同期・三輪くんに一方的にライバル意識を抱いている。そんなある日、みすずと三輪くんがなんとエレベーターに閉じ込められて…！？　パニックになるみすずを落ち着かせようと抱きしめる三輪くん。恥ずかしくなったみすずはここぞとばかりに三輪くんにウザ絡みし始めて…。我に返ると、三輪くんが見たこともないような怖い表"&amp;"情をしていて…！？　「それは、あんなじゃ物足りないって意味？」舌をめちゃくちゃ絡ませられて、遂にはそんなところまで！？　ウザ絡みOL×腹黒エリートのすれ違いドタバタオフィスラブ、スタート！")</f>
        <v>「先に散々煽ったのはそっちだろ」ダメ、口を塞がれて、舌使いがよすぎて、言い返したいのに言い返せない…。気にくわないのに、どうしても蕩けちゃう…。――向井みすずは、仕事もできて顔良し・性格良し・家柄良しのエリート同期・三輪くんに一方的にライバル意識を抱いている。そんなある日、みすずと三輪くんがなんとエレベーターに閉じ込められて…！？　パニックになるみすずを落ち着かせようと抱きしめる三輪くん。恥ずかしくなったみすずはここぞとばかりに三輪くんにウザ絡みし始めて…。我に返ると、三輪くんが見たこともないような怖い表情をしていて…！？　「それは、あんなじゃ物足りないって意味？」舌をめちゃくちゃ絡ませられて、遂にはそんなところまで！？　ウザ絡みOL×腹黒エリートのすれ違いドタバタオフィスラブ、スタート！</v>
      </c>
      <c r="W1497" s="14"/>
      <c r="X1497" s="14" t="str">
        <f>IFERROR(__xludf.DUMMYFUNCTION("""COMPUTED_VALUE"""),"有")</f>
        <v>有</v>
      </c>
      <c r="Y1497" s="8" t="str">
        <f>IFERROR(__xludf.DUMMYFUNCTION("""COMPUTED_VALUE"""),"2024/7/4まで1巻無料")</f>
        <v>2024/7/4まで1巻無料</v>
      </c>
      <c r="Z1497" s="7"/>
      <c r="AA1497" s="7"/>
      <c r="AB1497" s="7"/>
    </row>
    <row r="1498" ht="15.75" customHeight="1">
      <c r="A1498" s="26">
        <f>IFERROR(__xludf.DUMMYFUNCTION("""COMPUTED_VALUE"""),3389.0)</f>
        <v>3389</v>
      </c>
      <c r="B1498" s="22" t="str">
        <f>IFERROR(__xludf.DUMMYFUNCTION("""COMPUTED_VALUE"""),"確定")</f>
        <v>確定</v>
      </c>
      <c r="C1498" s="28">
        <f>IFERROR(__xludf.DUMMYFUNCTION("""COMPUTED_VALUE"""),45420.0)</f>
        <v>45420</v>
      </c>
      <c r="D1498" s="28">
        <f>IFERROR(__xludf.DUMMYFUNCTION("""COMPUTED_VALUE"""),45421.0)</f>
        <v>45421</v>
      </c>
      <c r="E1498" s="26">
        <f>IFERROR(__xludf.DUMMYFUNCTION("""COMPUTED_VALUE"""),296124.0)</f>
        <v>296124</v>
      </c>
      <c r="F1498" s="22" t="str">
        <f>IFERROR(__xludf.DUMMYFUNCTION("""COMPUTED_VALUE"""),"【単話】だって望まれない番ですから")</f>
        <v>【単話】だって望まれない番ですから</v>
      </c>
      <c r="G1498" s="20" t="str">
        <f>IFERROR(__xludf.DUMMYFUNCTION("""COMPUTED_VALUE"""),"1～6")</f>
        <v>1～6</v>
      </c>
      <c r="H1498" s="22" t="str">
        <f>IFERROR(__xludf.DUMMYFUNCTION("""COMPUTED_VALUE"""),"燦々さんご　原作：一ノ瀬七喜　原案：杉町のこ")</f>
        <v>燦々さんご　原作：一ノ瀬七喜　原案：杉町のこ</v>
      </c>
      <c r="I1498" s="22" t="str">
        <f>IFERROR(__xludf.DUMMYFUNCTION("""COMPUTED_VALUE"""),"少女")</f>
        <v>少女</v>
      </c>
      <c r="J1498" s="22"/>
      <c r="K1498" s="22"/>
      <c r="L1498" s="22" t="str">
        <f>IFERROR(__xludf.DUMMYFUNCTION("""COMPUTED_VALUE"""),"KADOKAWA")</f>
        <v>KADOKAWA</v>
      </c>
      <c r="M1498" s="23">
        <f>IFERROR(__xludf.DUMMYFUNCTION("""COMPUTED_VALUE"""),45478.0)</f>
        <v>45478</v>
      </c>
      <c r="N1498" s="23">
        <f>IFERROR(__xludf.DUMMYFUNCTION("""COMPUTED_VALUE"""),45643.70833333333)</f>
        <v>45643.70833</v>
      </c>
      <c r="O1498" s="20"/>
      <c r="P1498" s="34" t="str">
        <f>IFERROR(__xludf.DUMMYFUNCTION("""COMPUTED_VALUE"""),"否")</f>
        <v>否</v>
      </c>
      <c r="Q1498" s="31" t="str">
        <f>IFERROR(__xludf.DUMMYFUNCTION("""COMPUTED_VALUE"""),"協業第3弾！")</f>
        <v>協業第3弾！</v>
      </c>
      <c r="R1498" s="22" t="str">
        <f>IFERROR(__xludf.DUMMYFUNCTION("""COMPUTED_VALUE"""),"格納済")</f>
        <v>格納済</v>
      </c>
      <c r="S1498" s="22" t="str">
        <f>IFERROR(__xludf.DUMMYFUNCTION("""COMPUTED_VALUE"""),"20240508_KADOKAWA_だって望まれない番ですから")</f>
        <v>20240508_KADOKAWA_だって望まれない番ですから</v>
      </c>
      <c r="T1498" s="22" t="str">
        <f>IFERROR(__xludf.DUMMYFUNCTION("""COMPUTED_VALUE"""),"格納済み")</f>
        <v>格納済み</v>
      </c>
      <c r="U1498" s="15" t="str">
        <f>IFERROR(__xludf.DUMMYFUNCTION("""COMPUTED_VALUE"""),"(C)Sansan Sango　(C)Nanaki Ichinose　(C)Noco Sugimachi")</f>
        <v>(C)Sansan Sango　(C)Nanaki Ichinose　(C)Noco Sugimachi</v>
      </c>
      <c r="V1498" s="8" t="str">
        <f>IFERROR(__xludf.DUMMYFUNCTION("""COMPUTED_VALUE"""),"17歳の誕生日直前、世界の支配者たる竜族の第三王子から婚姻の申し出を受けた伯爵令嬢アデリエーヌ。しかし、「待ち続けた番が卑小で脆弱な人間だとは王子が可哀想だ」と竜族の天空の城では周囲から厳しい悪意に晒され、番である第三王子にも顧みられず、ついぞ毒殺されて悲運な人生の最期を迎えた。250年の時を超え輪廻転生し、再び人間に生まれ変わったアデリエーヌは竜族から届いた番探しのための舞踏会の招待状を手にした時、前世の記憶を思い出す。「よりによって同じ世界で人間に生まれ変わるなんて。見つかったら、また殺される……っ！"&amp;"」番なんて御免だとアデリエーヌは逃げ道を探すことにしたが、この招待状の裏に隠された前世の真相は――？")</f>
        <v>17歳の誕生日直前、世界の支配者たる竜族の第三王子から婚姻の申し出を受けた伯爵令嬢アデリエーヌ。しかし、「待ち続けた番が卑小で脆弱な人間だとは王子が可哀想だ」と竜族の天空の城では周囲から厳しい悪意に晒され、番である第三王子にも顧みられず、ついぞ毒殺されて悲運な人生の最期を迎えた。250年の時を超え輪廻転生し、再び人間に生まれ変わったアデリエーヌは竜族から届いた番探しのための舞踏会の招待状を手にした時、前世の記憶を思い出す。「よりによって同じ世界で人間に生まれ変わるなんて。見つかったら、また殺される……っ！」番なんて御免だとアデリエーヌは逃げ道を探すことにしたが、この招待状の裏に隠された前世の真相は――？</v>
      </c>
      <c r="W1498" s="14"/>
      <c r="X1498" s="14" t="str">
        <f>IFERROR(__xludf.DUMMYFUNCTION("""COMPUTED_VALUE"""),"有")</f>
        <v>有</v>
      </c>
      <c r="Y1498" s="8" t="str">
        <f>IFERROR(__xludf.DUMMYFUNCTION("""COMPUTED_VALUE"""),"2024/7/18まで1巻無料")</f>
        <v>2024/7/18まで1巻無料</v>
      </c>
      <c r="Z1498" s="7"/>
      <c r="AA1498" s="7"/>
      <c r="AB1498" s="7"/>
    </row>
    <row r="1499" ht="15.75" customHeight="1">
      <c r="A1499" s="26">
        <f>IFERROR(__xludf.DUMMYFUNCTION("""COMPUTED_VALUE"""),3400.0)</f>
        <v>3400</v>
      </c>
      <c r="B1499" s="22" t="str">
        <f>IFERROR(__xludf.DUMMYFUNCTION("""COMPUTED_VALUE"""),"確定")</f>
        <v>確定</v>
      </c>
      <c r="C1499" s="28">
        <f>IFERROR(__xludf.DUMMYFUNCTION("""COMPUTED_VALUE"""),45421.0)</f>
        <v>45421</v>
      </c>
      <c r="D1499" s="28">
        <f>IFERROR(__xludf.DUMMYFUNCTION("""COMPUTED_VALUE"""),45425.0)</f>
        <v>45425</v>
      </c>
      <c r="E1499" s="26">
        <f>IFERROR(__xludf.DUMMYFUNCTION("""COMPUTED_VALUE"""),195300.0)</f>
        <v>195300</v>
      </c>
      <c r="F1499" s="22" t="str">
        <f>IFERROR(__xludf.DUMMYFUNCTION("""COMPUTED_VALUE"""),"秘め恋【シーモア限定おまけ付き】")</f>
        <v>秘め恋【シーモア限定おまけ付き】</v>
      </c>
      <c r="G1499" s="20">
        <f>IFERROR(__xludf.DUMMYFUNCTION("""COMPUTED_VALUE"""),2.0)</f>
        <v>2</v>
      </c>
      <c r="H1499" s="22" t="str">
        <f>IFERROR(__xludf.DUMMYFUNCTION("""COMPUTED_VALUE"""),"三ツ矢凡人")</f>
        <v>三ツ矢凡人</v>
      </c>
      <c r="I1499" s="22" t="str">
        <f>IFERROR(__xludf.DUMMYFUNCTION("""COMPUTED_VALUE"""),"BL")</f>
        <v>BL</v>
      </c>
      <c r="J1499" s="22"/>
      <c r="K1499" s="22"/>
      <c r="L1499" s="22" t="str">
        <f>IFERROR(__xludf.DUMMYFUNCTION("""COMPUTED_VALUE"""),"白泉社")</f>
        <v>白泉社</v>
      </c>
      <c r="M1499" s="23">
        <f>IFERROR(__xludf.DUMMYFUNCTION("""COMPUTED_VALUE"""),45458.0)</f>
        <v>45458</v>
      </c>
      <c r="N1499" s="33">
        <f>IFERROR(__xludf.DUMMYFUNCTION("""COMPUTED_VALUE"""),2958465.0)</f>
        <v>2958465</v>
      </c>
      <c r="O1499" s="20"/>
      <c r="P1499" s="34" t="str">
        <f>IFERROR(__xludf.DUMMYFUNCTION("""COMPUTED_VALUE"""),"可")</f>
        <v>可</v>
      </c>
      <c r="Q1499" s="30" t="str">
        <f>IFERROR(__xludf.DUMMYFUNCTION("""COMPUTED_VALUE"""),"シーモア限定BOOKです")</f>
        <v>シーモア限定BOOKです</v>
      </c>
      <c r="R1499" s="22"/>
      <c r="S1499" s="22" t="str">
        <f>IFERROR(__xludf.DUMMYFUNCTION("""COMPUTED_VALUE"""),"20240509_白泉社_秘め恋【シーモア限定おまけ付き】")</f>
        <v>20240509_白泉社_秘め恋【シーモア限定おまけ付き】</v>
      </c>
      <c r="T1499" s="22" t="str">
        <f>IFERROR(__xludf.DUMMYFUNCTION("""COMPUTED_VALUE"""),"格納済み")</f>
        <v>格納済み</v>
      </c>
      <c r="U1499" s="15" t="str">
        <f>IFERROR(__xludf.DUMMYFUNCTION("""COMPUTED_VALUE"""),"Ⓒ三ツ矢凡人/白泉社")</f>
        <v>Ⓒ三ツ矢凡人/白泉社</v>
      </c>
      <c r="V1499" s="8" t="str">
        <f>IFERROR(__xludf.DUMMYFUNCTION("""COMPUTED_VALUE"""),"「このままどっかに、二人で逃げねぇ？」高校生の彼方と九朗が住む三日月村では、昔飢餓から村を救ったという狐一族の末裔と狐の嫁の末裔が、毎年夏祭りで婚姻の儀式を行い、まぐわうことで、災いから村を守るとされていた。そしてお互いその一族の末裔である彼方と九朗は、この夏役割を引き継ぐことになっている。けれど村の風習を信じている彼方と違い、九朗はまったくやる気がない様子。九朗になら……と思っていた彼方はその様子に傷つくが――。男同士の婚姻――村の因習に苦しむ、幼馴染みの恋の行方は!?　コミックス描き下ろし短編「ふゆが"&amp;"とけたら」に加え、電子限定描き下ろし付き！　シーモア限定おまけ付き！（このコミックスには花丸漫画 Vol.26，27，28，30，33に掲載された前編，後編，第3話～第5話を加筆修正して収録しています。）")</f>
        <v>「このままどっかに、二人で逃げねぇ？」高校生の彼方と九朗が住む三日月村では、昔飢餓から村を救ったという狐一族の末裔と狐の嫁の末裔が、毎年夏祭りで婚姻の儀式を行い、まぐわうことで、災いから村を守るとされていた。そしてお互いその一族の末裔である彼方と九朗は、この夏役割を引き継ぐことになっている。けれど村の風習を信じている彼方と違い、九朗はまったくやる気がない様子。九朗になら……と思っていた彼方はその様子に傷つくが――。男同士の婚姻――村の因習に苦しむ、幼馴染みの恋の行方は!?　コミックス描き下ろし短編「ふゆがとけたら」に加え、電子限定描き下ろし付き！　シーモア限定おまけ付き！（このコミックスには花丸漫画 Vol.26，27，28，30，33に掲載された前編，後編，第3話～第5話を加筆修正して収録しています。）</v>
      </c>
      <c r="W1499" s="14"/>
      <c r="X1499" s="14" t="str">
        <f>IFERROR(__xludf.DUMMYFUNCTION("""COMPUTED_VALUE"""),"有")</f>
        <v>有</v>
      </c>
      <c r="Y1499" s="8" t="str">
        <f>IFERROR(__xludf.DUMMYFUNCTION("""COMPUTED_VALUE"""),"2024/7/14まで立ち読み増量P72まで")</f>
        <v>2024/7/14まで立ち読み増量P72まで</v>
      </c>
      <c r="Z1499" s="7"/>
      <c r="AA1499" s="7"/>
      <c r="AB1499" s="7"/>
    </row>
    <row r="1500" ht="15.75" customHeight="1">
      <c r="A1500" s="26">
        <f>IFERROR(__xludf.DUMMYFUNCTION("""COMPUTED_VALUE"""),3401.0)</f>
        <v>3401</v>
      </c>
      <c r="B1500" s="22" t="str">
        <f>IFERROR(__xludf.DUMMYFUNCTION("""COMPUTED_VALUE"""),"確定")</f>
        <v>確定</v>
      </c>
      <c r="C1500" s="28">
        <f>IFERROR(__xludf.DUMMYFUNCTION("""COMPUTED_VALUE"""),45421.0)</f>
        <v>45421</v>
      </c>
      <c r="D1500" s="28">
        <f>IFERROR(__xludf.DUMMYFUNCTION("""COMPUTED_VALUE"""),45425.0)</f>
        <v>45425</v>
      </c>
      <c r="E1500" s="26">
        <f>IFERROR(__xludf.DUMMYFUNCTION("""COMPUTED_VALUE"""),294279.0)</f>
        <v>294279</v>
      </c>
      <c r="F1500" s="22" t="str">
        <f>IFERROR(__xludf.DUMMYFUNCTION("""COMPUTED_VALUE"""),"自己肯定感低めのゴスロリ女子が男からいいように使われちゃう話")</f>
        <v>自己肯定感低めのゴスロリ女子が男からいいように使われちゃう話</v>
      </c>
      <c r="G1500" s="20" t="str">
        <f>IFERROR(__xludf.DUMMYFUNCTION("""COMPUTED_VALUE"""),"1～3")</f>
        <v>1～3</v>
      </c>
      <c r="H1500" s="22" t="str">
        <f>IFERROR(__xludf.DUMMYFUNCTION("""COMPUTED_VALUE"""),"七原みつる")</f>
        <v>七原みつる</v>
      </c>
      <c r="I1500" s="22" t="str">
        <f>IFERROR(__xludf.DUMMYFUNCTION("""COMPUTED_VALUE"""),"オトナ")</f>
        <v>オトナ</v>
      </c>
      <c r="J1500" s="22"/>
      <c r="K1500" s="22"/>
      <c r="L1500" s="22" t="str">
        <f>IFERROR(__xludf.DUMMYFUNCTION("""COMPUTED_VALUE"""),"FILL-IN")</f>
        <v>FILL-IN</v>
      </c>
      <c r="M1500" s="23">
        <f>IFERROR(__xludf.DUMMYFUNCTION("""COMPUTED_VALUE"""),45450.0)</f>
        <v>45450</v>
      </c>
      <c r="N1500" s="47">
        <f>IFERROR(__xludf.DUMMYFUNCTION("""COMPUTED_VALUE"""),45463.0)</f>
        <v>45463</v>
      </c>
      <c r="O1500" s="20"/>
      <c r="P1500" s="32" t="str">
        <f>IFERROR(__xludf.DUMMYFUNCTION("""COMPUTED_VALUE"""),"可")</f>
        <v>可</v>
      </c>
      <c r="Q1500" s="30"/>
      <c r="R1500" s="22"/>
      <c r="S1500" s="22" t="str">
        <f>IFERROR(__xludf.DUMMYFUNCTION("""COMPUTED_VALUE"""),"20240509_ライドオン_自己肯定感低めのゴスロリ女子が男からいいように使われちゃう話")</f>
        <v>20240509_ライドオン_自己肯定感低めのゴスロリ女子が男からいいように使われちゃう話</v>
      </c>
      <c r="T1500" s="22" t="str">
        <f>IFERROR(__xludf.DUMMYFUNCTION("""COMPUTED_VALUE"""),"格納済み")</f>
        <v>格納済み</v>
      </c>
      <c r="U1500" s="15" t="str">
        <f>IFERROR(__xludf.DUMMYFUNCTION("""COMPUTED_VALUE"""),"©七原みつる/FILL-IN")</f>
        <v>©七原みつる/FILL-IN</v>
      </c>
      <c r="V1500" s="8" t="str">
        <f>IFERROR(__xludf.DUMMYFUNCTION("""COMPUTED_VALUE"""),"「あっ…！そんな…今挿入れられたら…ッ！」
流されるまま、準備万端になってしまったおま〇こに容赦ないナマ挿入…!!
――レイナは地味で友達もおらず、趣味のゴスロリ服も田舎では目立つため、家でこっそり楽しんでいた。
都会の服飾専門学校に進学したことで外でも人目を憚らずにゴスロリ服を楽しめるとあって、期待と不安が入り混じる中サークルの新歓に参加するものの…
「俺こんな可愛い子と話せてめっちゃ嬉しいよ～？」
褒められ慣れておらず、自己肯定感が低めな彼女はサークル会長コウスケのそんな軽い言葉で舞い上がっ"&amp;"てしまい、泥酔して目が覚めると…お持ち帰りされた後だった!?
少し褒められるとすぐに身体を許してしまうチョロい彼女は、コウスケに言われるがまま、彼の友人や彼が紹介してきた怪しいおじさんとのセックスに溺れる日々に身を投じていくことになり…")</f>
        <v>「あっ…！そんな…今挿入れられたら…ッ！」
流されるまま、準備万端になってしまったおま〇こに容赦ないナマ挿入…!!
――レイナは地味で友達もおらず、趣味のゴスロリ服も田舎では目立つため、家でこっそり楽しんでいた。
都会の服飾専門学校に進学したことで外でも人目を憚らずにゴスロリ服を楽しめるとあって、期待と不安が入り混じる中サークルの新歓に参加するものの…
「俺こんな可愛い子と話せてめっちゃ嬉しいよ～？」
褒められ慣れておらず、自己肯定感が低めな彼女はサークル会長コウスケのそんな軽い言葉で舞い上がってしまい、泥酔して目が覚めると…お持ち帰りされた後だった!?
少し褒められるとすぐに身体を許してしまうチョロい彼女は、コウスケに言われるがまま、彼の友人や彼が紹介してきた怪しいおじさんとのセックスに溺れる日々に身を投じていくことになり…</v>
      </c>
      <c r="W1500" s="14"/>
      <c r="X1500" s="14" t="str">
        <f>IFERROR(__xludf.DUMMYFUNCTION("""COMPUTED_VALUE"""),"有")</f>
        <v>有</v>
      </c>
      <c r="Y1500" s="8" t="str">
        <f>IFERROR(__xludf.DUMMYFUNCTION("""COMPUTED_VALUE"""),"P10まで")</f>
        <v>P10まで</v>
      </c>
      <c r="Z1500" s="7"/>
      <c r="AA1500" s="7"/>
      <c r="AB1500" s="7"/>
    </row>
    <row r="1501" ht="15.75" customHeight="1">
      <c r="A1501" s="26">
        <f>IFERROR(__xludf.DUMMYFUNCTION("""COMPUTED_VALUE"""),3402.0)</f>
        <v>3402</v>
      </c>
      <c r="B1501" s="22" t="str">
        <f>IFERROR(__xludf.DUMMYFUNCTION("""COMPUTED_VALUE"""),"確定")</f>
        <v>確定</v>
      </c>
      <c r="C1501" s="28">
        <f>IFERROR(__xludf.DUMMYFUNCTION("""COMPUTED_VALUE"""),45421.0)</f>
        <v>45421</v>
      </c>
      <c r="D1501" s="28">
        <f>IFERROR(__xludf.DUMMYFUNCTION("""COMPUTED_VALUE"""),45425.0)</f>
        <v>45425</v>
      </c>
      <c r="E1501" s="26">
        <f>IFERROR(__xludf.DUMMYFUNCTION("""COMPUTED_VALUE"""),293730.0)</f>
        <v>293730</v>
      </c>
      <c r="F1501" s="22" t="str">
        <f>IFERROR(__xludf.DUMMYFUNCTION("""COMPUTED_VALUE"""),"ワケあり妻と淫らなお告げ")</f>
        <v>ワケあり妻と淫らなお告げ</v>
      </c>
      <c r="G1501" s="11" t="str">
        <f>IFERROR(__xludf.DUMMYFUNCTION("""COMPUTED_VALUE"""),"1～4")</f>
        <v>1～4</v>
      </c>
      <c r="H1501" s="22" t="str">
        <f>IFERROR(__xludf.DUMMYFUNCTION("""COMPUTED_VALUE"""),"BoomBa")</f>
        <v>BoomBa</v>
      </c>
      <c r="I1501" s="22" t="str">
        <f>IFERROR(__xludf.DUMMYFUNCTION("""COMPUTED_VALUE"""),"青年")</f>
        <v>青年</v>
      </c>
      <c r="J1501" s="22"/>
      <c r="K1501" s="22"/>
      <c r="L1501" s="22" t="str">
        <f>IFERROR(__xludf.DUMMYFUNCTION("""COMPUTED_VALUE"""),"Rush!")</f>
        <v>Rush!</v>
      </c>
      <c r="M1501" s="23">
        <f>IFERROR(__xludf.DUMMYFUNCTION("""COMPUTED_VALUE"""),45450.0)</f>
        <v>45450</v>
      </c>
      <c r="N1501" s="23">
        <f>IFERROR(__xludf.DUMMYFUNCTION("""COMPUTED_VALUE"""),45477.0)</f>
        <v>45477</v>
      </c>
      <c r="O1501" s="20"/>
      <c r="P1501" s="32" t="str">
        <f>IFERROR(__xludf.DUMMYFUNCTION("""COMPUTED_VALUE"""),"可")</f>
        <v>可</v>
      </c>
      <c r="Q1501" s="30"/>
      <c r="R1501" s="22"/>
      <c r="S1501" s="22" t="str">
        <f>IFERROR(__xludf.DUMMYFUNCTION("""COMPUTED_VALUE"""),"20240509_ファンギルド_ワケあり妻と淫らなお告げ")</f>
        <v>20240509_ファンギルド_ワケあり妻と淫らなお告げ</v>
      </c>
      <c r="T1501" s="22" t="str">
        <f>IFERROR(__xludf.DUMMYFUNCTION("""COMPUTED_VALUE"""),"素材確認中(5/13)")</f>
        <v>素材確認中(5/13)</v>
      </c>
      <c r="U1501" s="15" t="str">
        <f>IFERROR(__xludf.DUMMYFUNCTION("""COMPUTED_VALUE"""),"©BoomBa/SeokSuya/TOPTOON")</f>
        <v>©BoomBa/SeokSuya/TOPTOON</v>
      </c>
      <c r="V1501" s="8" t="str">
        <f>IFERROR(__xludf.DUMMYFUNCTION("""COMPUTED_VALUE"""),"「あなた…もうすぐ死にます」古風な衣装を身にまとった見知らぬ女性から突如、死の未来を告げられた大学生のセチャン。何かの宗教勧誘だろうとその場では聞き流したものの、ある日その女性と再会してしまう。実は彼女は神に仕える仙女とやらで、どうやらこのままだと自分は内なる陽気に焼かれて死んでしまうらしい…。それを回避するには――弟のように自分を可愛がってくれた隣人の新妻・ジスと肉体関係を持たなければならず――！？")</f>
        <v>「あなた…もうすぐ死にます」古風な衣装を身にまとった見知らぬ女性から突如、死の未来を告げられた大学生のセチャン。何かの宗教勧誘だろうとその場では聞き流したものの、ある日その女性と再会してしまう。実は彼女は神に仕える仙女とやらで、どうやらこのままだと自分は内なる陽気に焼かれて死んでしまうらしい…。それを回避するには――弟のように自分を可愛がってくれた隣人の新妻・ジスと肉体関係を持たなければならず――！？</v>
      </c>
      <c r="W1501" s="14"/>
      <c r="X1501" s="14" t="str">
        <f>IFERROR(__xludf.DUMMYFUNCTION("""COMPUTED_VALUE"""),"有")</f>
        <v>有</v>
      </c>
      <c r="Y1501" s="8" t="str">
        <f>IFERROR(__xludf.DUMMYFUNCTION("""COMPUTED_VALUE"""),"P14まで")</f>
        <v>P14まで</v>
      </c>
      <c r="Z1501" s="7"/>
      <c r="AA1501" s="7"/>
      <c r="AB1501" s="7"/>
    </row>
    <row r="1502" ht="15.75" customHeight="1">
      <c r="A1502" s="26">
        <f>IFERROR(__xludf.DUMMYFUNCTION("""COMPUTED_VALUE"""),3403.0)</f>
        <v>3403</v>
      </c>
      <c r="B1502" s="22" t="str">
        <f>IFERROR(__xludf.DUMMYFUNCTION("""COMPUTED_VALUE"""),"確定")</f>
        <v>確定</v>
      </c>
      <c r="C1502" s="28">
        <f>IFERROR(__xludf.DUMMYFUNCTION("""COMPUTED_VALUE"""),45421.0)</f>
        <v>45421</v>
      </c>
      <c r="D1502" s="28">
        <f>IFERROR(__xludf.DUMMYFUNCTION("""COMPUTED_VALUE"""),45425.0)</f>
        <v>45425</v>
      </c>
      <c r="E1502" s="26">
        <f>IFERROR(__xludf.DUMMYFUNCTION("""COMPUTED_VALUE"""),293325.0)</f>
        <v>293325</v>
      </c>
      <c r="F1502" s="22" t="str">
        <f>IFERROR(__xludf.DUMMYFUNCTION("""COMPUTED_VALUE"""),"生意気カノジョの堕とし方")</f>
        <v>生意気カノジョの堕とし方</v>
      </c>
      <c r="G1502" s="11" t="str">
        <f>IFERROR(__xludf.DUMMYFUNCTION("""COMPUTED_VALUE"""),"1～4")</f>
        <v>1～4</v>
      </c>
      <c r="H1502" s="22" t="str">
        <f>IFERROR(__xludf.DUMMYFUNCTION("""COMPUTED_VALUE"""),"log")</f>
        <v>log</v>
      </c>
      <c r="I1502" s="22" t="str">
        <f>IFERROR(__xludf.DUMMYFUNCTION("""COMPUTED_VALUE"""),"青年")</f>
        <v>青年</v>
      </c>
      <c r="J1502" s="22"/>
      <c r="K1502" s="22"/>
      <c r="L1502" s="22" t="str">
        <f>IFERROR(__xludf.DUMMYFUNCTION("""COMPUTED_VALUE"""),"Rush!")</f>
        <v>Rush!</v>
      </c>
      <c r="M1502" s="23">
        <f>IFERROR(__xludf.DUMMYFUNCTION("""COMPUTED_VALUE"""),45443.0)</f>
        <v>45443</v>
      </c>
      <c r="N1502" s="23">
        <f>IFERROR(__xludf.DUMMYFUNCTION("""COMPUTED_VALUE"""),45533.0)</f>
        <v>45533</v>
      </c>
      <c r="O1502" s="20"/>
      <c r="P1502" s="34" t="str">
        <f>IFERROR(__xludf.DUMMYFUNCTION("""COMPUTED_VALUE"""),"可")</f>
        <v>可</v>
      </c>
      <c r="Q1502" s="30" t="str">
        <f>IFERROR(__xludf.DUMMYFUNCTION("""COMPUTED_VALUE"""),"協業レーベル『シーモア×Rush!』作品です。")</f>
        <v>協業レーベル『シーモア×Rush!』作品です。</v>
      </c>
      <c r="R1502" s="22"/>
      <c r="S1502" s="22" t="str">
        <f>IFERROR(__xludf.DUMMYFUNCTION("""COMPUTED_VALUE"""),"20240509_ファンギルド_生意気カノジョの堕とし方")</f>
        <v>20240509_ファンギルド_生意気カノジョの堕とし方</v>
      </c>
      <c r="T1502" s="22" t="str">
        <f>IFERROR(__xludf.DUMMYFUNCTION("""COMPUTED_VALUE"""),"格納済み")</f>
        <v>格納済み</v>
      </c>
      <c r="U1502" s="15" t="str">
        <f>IFERROR(__xludf.DUMMYFUNCTION("""COMPUTED_VALUE"""),"©log/JH/TOPTOON")</f>
        <v>©log/JH/TOPTOON</v>
      </c>
      <c r="V1502" s="8" t="str">
        <f>IFERROR(__xludf.DUMMYFUNCTION("""COMPUTED_VALUE"""),"就活に失敗し、安易な気持ちから大学院に進学した川上隼人（かわかみはやと）。しかし、そこに待っていたのは”地獄”であった。教授には雑用を押し付けられ、院の先輩達には見下され馬鹿にされる日々。これも全て良い就職先に勤めるため…とどうにか耐えていたある日、”相手を支配する周波数”という動画を目にする。それは、支配したい相手と一緒に聴くことで力を発揮するという…。半信半疑の隼人だったが、試しに自分をいじめていた生意気な女、西山璃乃（にしやまりの）に使ってみるとまるで嘘かのように従順になり…！？")</f>
        <v>就活に失敗し、安易な気持ちから大学院に進学した川上隼人（かわかみはやと）。しかし、そこに待っていたのは”地獄”であった。教授には雑用を押し付けられ、院の先輩達には見下され馬鹿にされる日々。これも全て良い就職先に勤めるため…とどうにか耐えていたある日、”相手を支配する周波数”という動画を目にする。それは、支配したい相手と一緒に聴くことで力を発揮するという…。半信半疑の隼人だったが、試しに自分をいじめていた生意気な女、西山璃乃（にしやまりの）に使ってみるとまるで嘘かのように従順になり…！？</v>
      </c>
      <c r="W1502" s="14"/>
      <c r="X1502" s="14" t="str">
        <f>IFERROR(__xludf.DUMMYFUNCTION("""COMPUTED_VALUE"""),"有")</f>
        <v>有</v>
      </c>
      <c r="Y1502" s="8" t="str">
        <f>IFERROR(__xludf.DUMMYFUNCTION("""COMPUTED_VALUE"""),"2024/6/13まで1巻無料")</f>
        <v>2024/6/13まで1巻無料</v>
      </c>
      <c r="Z1502" s="7"/>
      <c r="AA1502" s="7"/>
      <c r="AB1502" s="7"/>
    </row>
    <row r="1503" ht="15.75" customHeight="1">
      <c r="A1503" s="26">
        <f>IFERROR(__xludf.DUMMYFUNCTION("""COMPUTED_VALUE"""),3404.0)</f>
        <v>3404</v>
      </c>
      <c r="B1503" s="22" t="str">
        <f>IFERROR(__xludf.DUMMYFUNCTION("""COMPUTED_VALUE"""),"確定")</f>
        <v>確定</v>
      </c>
      <c r="C1503" s="28">
        <f>IFERROR(__xludf.DUMMYFUNCTION("""COMPUTED_VALUE"""),45421.0)</f>
        <v>45421</v>
      </c>
      <c r="D1503" s="28">
        <f>IFERROR(__xludf.DUMMYFUNCTION("""COMPUTED_VALUE"""),45425.0)</f>
        <v>45425</v>
      </c>
      <c r="E1503" s="26">
        <f>IFERROR(__xludf.DUMMYFUNCTION("""COMPUTED_VALUE"""),293731.0)</f>
        <v>293731</v>
      </c>
      <c r="F1503" s="22" t="str">
        <f>IFERROR(__xludf.DUMMYFUNCTION("""COMPUTED_VALUE"""),"バラバラ夫婦～手足をなくした夫はまだ生きてる")</f>
        <v>バラバラ夫婦～手足をなくした夫はまだ生きてる</v>
      </c>
      <c r="G1503" s="11" t="str">
        <f>IFERROR(__xludf.DUMMYFUNCTION("""COMPUTED_VALUE"""),"1～4")</f>
        <v>1～4</v>
      </c>
      <c r="H1503" s="22" t="str">
        <f>IFERROR(__xludf.DUMMYFUNCTION("""COMPUTED_VALUE"""),"野生くずり")</f>
        <v>野生くずり</v>
      </c>
      <c r="I1503" s="22" t="str">
        <f>IFERROR(__xludf.DUMMYFUNCTION("""COMPUTED_VALUE"""),"青年")</f>
        <v>青年</v>
      </c>
      <c r="J1503" s="22"/>
      <c r="K1503" s="22"/>
      <c r="L1503" s="22" t="str">
        <f>IFERROR(__xludf.DUMMYFUNCTION("""COMPUTED_VALUE"""),"ファンギルド")</f>
        <v>ファンギルド</v>
      </c>
      <c r="M1503" s="23">
        <f>IFERROR(__xludf.DUMMYFUNCTION("""COMPUTED_VALUE"""),45451.0)</f>
        <v>45451</v>
      </c>
      <c r="N1503" s="47">
        <f>IFERROR(__xludf.DUMMYFUNCTION("""COMPUTED_VALUE"""),45541.0)</f>
        <v>45541</v>
      </c>
      <c r="O1503" s="20"/>
      <c r="P1503" s="34" t="str">
        <f>IFERROR(__xludf.DUMMYFUNCTION("""COMPUTED_VALUE"""),"可")</f>
        <v>可</v>
      </c>
      <c r="Q1503" s="30" t="str">
        <f>IFERROR(__xludf.DUMMYFUNCTION("""COMPUTED_VALUE"""),"協業レーベル『シーモア×コミックアウル』作品です。")</f>
        <v>協業レーベル『シーモア×コミックアウル』作品です。</v>
      </c>
      <c r="R1503" s="22"/>
      <c r="S1503" s="22" t="str">
        <f>IFERROR(__xludf.DUMMYFUNCTION("""COMPUTED_VALUE"""),"20240509_ファンギルド_バラバラ夫婦～手足をなくした夫はまだ生きてる")</f>
        <v>20240509_ファンギルド_バラバラ夫婦～手足をなくした夫はまだ生きてる</v>
      </c>
      <c r="T1503" s="22" t="str">
        <f>IFERROR(__xludf.DUMMYFUNCTION("""COMPUTED_VALUE"""),"格納済み")</f>
        <v>格納済み</v>
      </c>
      <c r="U1503" s="15" t="str">
        <f>IFERROR(__xludf.DUMMYFUNCTION("""COMPUTED_VALUE"""),"Ⓒ野生くずり/ファンギルド")</f>
        <v>Ⓒ野生くずり/ファンギルド</v>
      </c>
      <c r="V1503" s="8" t="str">
        <f>IFERROR(__xludf.DUMMYFUNCTION("""COMPUTED_VALUE"""),"「全部大好きだよ」ーーー矢野目真弓（やのめ・まゆみ）とその夫・一位（いちい）は、仲睦まじい夫婦。貧しくても幸せな生活を送っていた。しかしその幸せはある日突然、真弓のうっかりで崩壊する。それは「死」よりも残酷な、絶望と苦痛の日々の始まりだった。支え合うはずだった２人は、次第にバラバラになっていくーーー。夫婦の壊れた絆と冷酷な現実を描く、衝撃作。")</f>
        <v>「全部大好きだよ」ーーー矢野目真弓（やのめ・まゆみ）とその夫・一位（いちい）は、仲睦まじい夫婦。貧しくても幸せな生活を送っていた。しかしその幸せはある日突然、真弓のうっかりで崩壊する。それは「死」よりも残酷な、絶望と苦痛の日々の始まりだった。支え合うはずだった２人は、次第にバラバラになっていくーーー。夫婦の壊れた絆と冷酷な現実を描く、衝撃作。</v>
      </c>
      <c r="W1503" s="14"/>
      <c r="X1503" s="14" t="str">
        <f>IFERROR(__xludf.DUMMYFUNCTION("""COMPUTED_VALUE"""),"有")</f>
        <v>有</v>
      </c>
      <c r="Y1503" s="8" t="str">
        <f>IFERROR(__xludf.DUMMYFUNCTION("""COMPUTED_VALUE"""),"P7まで")</f>
        <v>P7まで</v>
      </c>
      <c r="Z1503" s="7"/>
      <c r="AA1503" s="7"/>
      <c r="AB1503" s="7"/>
    </row>
    <row r="1504" ht="15.75" customHeight="1">
      <c r="A1504" s="26">
        <f>IFERROR(__xludf.DUMMYFUNCTION("""COMPUTED_VALUE"""),3414.0)</f>
        <v>3414</v>
      </c>
      <c r="B1504" s="22" t="str">
        <f>IFERROR(__xludf.DUMMYFUNCTION("""COMPUTED_VALUE"""),"確定")</f>
        <v>確定</v>
      </c>
      <c r="C1504" s="28">
        <f>IFERROR(__xludf.DUMMYFUNCTION("""COMPUTED_VALUE"""),45425.0)</f>
        <v>45425</v>
      </c>
      <c r="D1504" s="28">
        <f>IFERROR(__xludf.DUMMYFUNCTION("""COMPUTED_VALUE"""),45425.0)</f>
        <v>45425</v>
      </c>
      <c r="E1504" s="26">
        <f>IFERROR(__xludf.DUMMYFUNCTION("""COMPUTED_VALUE"""),292738.0)</f>
        <v>292738</v>
      </c>
      <c r="F1504" s="22" t="str">
        <f>IFERROR(__xludf.DUMMYFUNCTION("""COMPUTED_VALUE"""),"偽装出産〜デキない夫婦は嘘をつく〜")</f>
        <v>偽装出産〜デキない夫婦は嘘をつく〜</v>
      </c>
      <c r="G1504" s="20" t="str">
        <f>IFERROR(__xludf.DUMMYFUNCTION("""COMPUTED_VALUE"""),"1～3")</f>
        <v>1～3</v>
      </c>
      <c r="H1504" s="22" t="str">
        <f>IFERROR(__xludf.DUMMYFUNCTION("""COMPUTED_VALUE"""),"原作／凉白ゆきの　漫画／つかさき有")</f>
        <v>原作／凉白ゆきの　漫画／つかさき有</v>
      </c>
      <c r="I1504" s="22" t="str">
        <f>IFERROR(__xludf.DUMMYFUNCTION("""COMPUTED_VALUE"""),"女性")</f>
        <v>女性</v>
      </c>
      <c r="J1504" s="22"/>
      <c r="K1504" s="22"/>
      <c r="L1504" s="22" t="str">
        <f>IFERROR(__xludf.DUMMYFUNCTION("""COMPUTED_VALUE"""),"taskey")</f>
        <v>taskey</v>
      </c>
      <c r="M1504" s="23">
        <f>IFERROR(__xludf.DUMMYFUNCTION("""COMPUTED_VALUE"""),45429.0)</f>
        <v>45429</v>
      </c>
      <c r="N1504" s="23">
        <f>IFERROR(__xludf.DUMMYFUNCTION("""COMPUTED_VALUE"""),45490.0)</f>
        <v>45490</v>
      </c>
      <c r="O1504" s="20"/>
      <c r="P1504" s="32" t="str">
        <f>IFERROR(__xludf.DUMMYFUNCTION("""COMPUTED_VALUE"""),"可")</f>
        <v>可</v>
      </c>
      <c r="Q1504" s="30"/>
      <c r="R1504" s="22"/>
      <c r="S1504" s="22" t="str">
        <f>IFERROR(__xludf.DUMMYFUNCTION("""COMPUTED_VALUE"""),"20240513_taskey_偽装結婚")</f>
        <v>20240513_taskey_偽装結婚</v>
      </c>
      <c r="T1504" s="22" t="str">
        <f>IFERROR(__xludf.DUMMYFUNCTION("""COMPUTED_VALUE"""),"格納済み")</f>
        <v>格納済み</v>
      </c>
      <c r="U1504" s="15" t="str">
        <f>IFERROR(__xludf.DUMMYFUNCTION("""COMPUTED_VALUE"""),"©︎taskey　原作／凉白ゆきの　漫画／つかさき有")</f>
        <v>©︎taskey　原作／凉白ゆきの　漫画／つかさき有</v>
      </c>
      <c r="V1504" s="8" t="str">
        <f>IFERROR(__xludf.DUMMYFUNCTION("""COMPUTED_VALUE"""),"「子どもがほしいのに、できない——」　かねてから賑やかな家庭を築くことを夢見ていた美紀は、同じ“子ども好き”という価値観を持つ夫と結婚した。夫は裕福で、義家族も優しい。誰もが羨む家庭のはずなのに、夫婦に離婚の危機が迫っていた……。義両親と結んだ「結婚3年以内に子どもを作る」という約束。頑張っているはずなのに、妊娠ができない美紀。迫り来る期限。そんな夫婦が取った禁断の選択とは——？")</f>
        <v>「子どもがほしいのに、できない——」　かねてから賑やかな家庭を築くことを夢見ていた美紀は、同じ“子ども好き”という価値観を持つ夫と結婚した。夫は裕福で、義家族も優しい。誰もが羨む家庭のはずなのに、夫婦に離婚の危機が迫っていた……。義両親と結んだ「結婚3年以内に子どもを作る」という約束。頑張っているはずなのに、妊娠ができない美紀。迫り来る期限。そんな夫婦が取った禁断の選択とは——？</v>
      </c>
      <c r="W1504" s="14"/>
      <c r="X1504" s="14" t="str">
        <f>IFERROR(__xludf.DUMMYFUNCTION("""COMPUTED_VALUE"""),"有")</f>
        <v>有</v>
      </c>
      <c r="Y1504" s="8" t="str">
        <f>IFERROR(__xludf.DUMMYFUNCTION("""COMPUTED_VALUE"""),"2024/7/17まで1巻無料")</f>
        <v>2024/7/17まで1巻無料</v>
      </c>
      <c r="Z1504" s="7"/>
      <c r="AA1504" s="7"/>
      <c r="AB1504" s="7"/>
    </row>
    <row r="1505" ht="15.75" customHeight="1">
      <c r="A1505" s="26">
        <f>IFERROR(__xludf.DUMMYFUNCTION("""COMPUTED_VALUE"""),3422.0)</f>
        <v>3422</v>
      </c>
      <c r="B1505" s="22" t="str">
        <f>IFERROR(__xludf.DUMMYFUNCTION("""COMPUTED_VALUE"""),"確定")</f>
        <v>確定</v>
      </c>
      <c r="C1505" s="28">
        <f>IFERROR(__xludf.DUMMYFUNCTION("""COMPUTED_VALUE"""),45426.0)</f>
        <v>45426</v>
      </c>
      <c r="D1505" s="28">
        <f>IFERROR(__xludf.DUMMYFUNCTION("""COMPUTED_VALUE"""),45426.0)</f>
        <v>45426</v>
      </c>
      <c r="E1505" s="26">
        <f>IFERROR(__xludf.DUMMYFUNCTION("""COMPUTED_VALUE"""),288635.0)</f>
        <v>288635</v>
      </c>
      <c r="F1505" s="46" t="str">
        <f>IFERROR(__xludf.DUMMYFUNCTION("""COMPUTED_VALUE"""),"幼なじみのだんな様は、なかなか私を抱いてくれない。")</f>
        <v>幼なじみのだんな様は、なかなか私を抱いてくれない。</v>
      </c>
      <c r="G1505" s="20">
        <f>IFERROR(__xludf.DUMMYFUNCTION("""COMPUTED_VALUE"""),1.0)</f>
        <v>1</v>
      </c>
      <c r="H1505" s="22" t="str">
        <f>IFERROR(__xludf.DUMMYFUNCTION("""COMPUTED_VALUE"""),"犬甘すしか")</f>
        <v>犬甘すしか</v>
      </c>
      <c r="I1505" s="14" t="str">
        <f>IFERROR(__xludf.DUMMYFUNCTION("""COMPUTED_VALUE"""),"TL")</f>
        <v>TL</v>
      </c>
      <c r="J1505" s="22"/>
      <c r="K1505" s="22"/>
      <c r="L1505" s="22" t="str">
        <f>IFERROR(__xludf.DUMMYFUNCTION("""COMPUTED_VALUE"""),"ソルマーレ編集部")</f>
        <v>ソルマーレ編集部</v>
      </c>
      <c r="M1505" s="23">
        <f>IFERROR(__xludf.DUMMYFUNCTION("""COMPUTED_VALUE"""),45458.0)</f>
        <v>45458</v>
      </c>
      <c r="N1505" s="23">
        <f>IFERROR(__xludf.DUMMYFUNCTION("""COMPUTED_VALUE"""),45519.0)</f>
        <v>45519</v>
      </c>
      <c r="O1505" s="20"/>
      <c r="P1505" s="34" t="str">
        <f>IFERROR(__xludf.DUMMYFUNCTION("""COMPUTED_VALUE"""),"可")</f>
        <v>可</v>
      </c>
      <c r="Q1505" s="30" t="str">
        <f>IFERROR(__xludf.DUMMYFUNCTION("""COMPUTED_VALUE"""),"※読み切り作品のため1巻のみですが出稿お願いします&lt;BR&gt;レーベル：スキして?桃色日記")</f>
        <v>※読み切り作品のため1巻のみですが出稿お願いします&lt;BR&gt;レーベル：スキして?桃色日記</v>
      </c>
      <c r="R1505" s="22"/>
      <c r="S1505" s="22" t="str">
        <f>IFERROR(__xludf.DUMMYFUNCTION("""COMPUTED_VALUE"""),"20240514_ソルマーレ編集部_幼なじみのだんな様は、なかなか私を抱いてくれない。")</f>
        <v>20240514_ソルマーレ編集部_幼なじみのだんな様は、なかなか私を抱いてくれない。</v>
      </c>
      <c r="T1505" s="22" t="str">
        <f>IFERROR(__xludf.DUMMYFUNCTION("""COMPUTED_VALUE"""),"格納済み")</f>
        <v>格納済み</v>
      </c>
      <c r="U1505" s="15" t="str">
        <f>IFERROR(__xludf.DUMMYFUNCTION("""COMPUTED_VALUE"""),"Ⓒ 犬甘すしか/シーモアコミックス")</f>
        <v>Ⓒ 犬甘すしか/シーモアコミックス</v>
      </c>
      <c r="V1505" s="8" t="str">
        <f>IFERROR(__xludf.DUMMYFUNCTION("""COMPUTED_VALUE"""),"新婚なのにいつまでたっても子供扱い!?
6つ年上の幼なじみと結婚した新妻・レニア、目下の悩みは夜の営み。初夜以来、なぜだかまったくそんな気配にならない。これって色気が足りないから!? やっぱり胸ペタンの幼児体形のせい!? 夫のルインは優しくて彼にまったく不満はないけれど……ほんとは大好きな彼といっぱい愛し合いたい！ 友達のアドバイスを受けて、大人の女性に変身、秘密兵器で彼を誘惑することに――!!!!?【桃色日記】")</f>
        <v>新婚なのにいつまでたっても子供扱い!?
6つ年上の幼なじみと結婚した新妻・レニア、目下の悩みは夜の営み。初夜以来、なぜだかまったくそんな気配にならない。これって色気が足りないから!? やっぱり胸ペタンの幼児体形のせい!? 夫のルインは優しくて彼にまったく不満はないけれど……ほんとは大好きな彼といっぱい愛し合いたい！ 友達のアドバイスを受けて、大人の女性に変身、秘密兵器で彼を誘惑することに――!!!!?【桃色日記】</v>
      </c>
      <c r="W1505" s="14"/>
      <c r="X1505" s="14" t="str">
        <f>IFERROR(__xludf.DUMMYFUNCTION("""COMPUTED_VALUE"""),"有")</f>
        <v>有</v>
      </c>
      <c r="Y1505" s="8" t="str">
        <f>IFERROR(__xludf.DUMMYFUNCTION("""COMPUTED_VALUE"""),"P9まで")</f>
        <v>P9まで</v>
      </c>
      <c r="Z1505" s="7"/>
      <c r="AA1505" s="7"/>
      <c r="AB1505" s="7"/>
    </row>
    <row r="1506" ht="15.75" customHeight="1">
      <c r="A1506" s="26">
        <f>IFERROR(__xludf.DUMMYFUNCTION("""COMPUTED_VALUE"""),3424.0)</f>
        <v>3424</v>
      </c>
      <c r="B1506" s="22" t="str">
        <f>IFERROR(__xludf.DUMMYFUNCTION("""COMPUTED_VALUE"""),"確定")</f>
        <v>確定</v>
      </c>
      <c r="C1506" s="28">
        <f>IFERROR(__xludf.DUMMYFUNCTION("""COMPUTED_VALUE"""),45426.0)</f>
        <v>45426</v>
      </c>
      <c r="D1506" s="28">
        <f>IFERROR(__xludf.DUMMYFUNCTION("""COMPUTED_VALUE"""),45426.0)</f>
        <v>45426</v>
      </c>
      <c r="E1506" s="26">
        <f>IFERROR(__xludf.DUMMYFUNCTION("""COMPUTED_VALUE"""),295870.0)</f>
        <v>295870</v>
      </c>
      <c r="F1506" s="22" t="str">
        <f>IFERROR(__xludf.DUMMYFUNCTION("""COMPUTED_VALUE"""),"どんなプレイがお好みですか？～ご主人様に内緒のサブスペース～")</f>
        <v>どんなプレイがお好みですか？～ご主人様に内緒のサブスペース～</v>
      </c>
      <c r="G1506" s="20" t="str">
        <f>IFERROR(__xludf.DUMMYFUNCTION("""COMPUTED_VALUE"""),"1～3")</f>
        <v>1～3</v>
      </c>
      <c r="H1506" s="22" t="str">
        <f>IFERROR(__xludf.DUMMYFUNCTION("""COMPUTED_VALUE"""),"みろた")</f>
        <v>みろた</v>
      </c>
      <c r="I1506" s="22" t="str">
        <f>IFERROR(__xludf.DUMMYFUNCTION("""COMPUTED_VALUE"""),"BL")</f>
        <v>BL</v>
      </c>
      <c r="J1506" s="22"/>
      <c r="K1506" s="22"/>
      <c r="L1506" s="22" t="str">
        <f>IFERROR(__xludf.DUMMYFUNCTION("""COMPUTED_VALUE"""),"FILL-IN")</f>
        <v>FILL-IN</v>
      </c>
      <c r="M1506" s="23">
        <f>IFERROR(__xludf.DUMMYFUNCTION("""COMPUTED_VALUE"""),45478.0)</f>
        <v>45478</v>
      </c>
      <c r="N1506" s="47">
        <f>IFERROR(__xludf.DUMMYFUNCTION("""COMPUTED_VALUE"""),45505.0)</f>
        <v>45505</v>
      </c>
      <c r="O1506" s="20"/>
      <c r="P1506" s="32" t="str">
        <f>IFERROR(__xludf.DUMMYFUNCTION("""COMPUTED_VALUE"""),"可")</f>
        <v>可</v>
      </c>
      <c r="Q1506" s="30"/>
      <c r="R1506" s="22"/>
      <c r="S1506" s="22" t="str">
        <f>IFERROR(__xludf.DUMMYFUNCTION("""COMPUTED_VALUE"""),"20240514_ライドオン_どんなプレイがお好みですか？～ご主人様に内緒のサブスペース～")</f>
        <v>20240514_ライドオン_どんなプレイがお好みですか？～ご主人様に内緒のサブスペース～</v>
      </c>
      <c r="T1506" s="22"/>
      <c r="U1506" s="15" t="str">
        <f>IFERROR(__xludf.DUMMYFUNCTION("""COMPUTED_VALUE"""),"©みろた/FILL-IN")</f>
        <v>©みろた/FILL-IN</v>
      </c>
      <c r="V1506" s="8" t="str">
        <f>IFERROR(__xludf.DUMMYFUNCTION("""COMPUTED_VALUE"""),"─Subなのに自分の好きなPlayもわからないのか
Subであることを隠し生活しているテオ。
孤独だったテオを救い、Subとわかっても執事として雇ってくれた若旦那の鳳条湊人のことを運命のDomだと思い慕っていた。
しかし湊人とのプレイはテオのことを考えず乱暴でサブドロップ寸前まで追い詰められ体調は悪くなる一方。
そんな時本家からやってきた執事、月城慶にプレイしている姿を見られてしまう。
湊人との関係、自分のダイナミクスを秘密にする代わりに慶をプレイすることになったのだが、「お互いが気持ち"&amp;"よくなる」優しいプレイに感じたことのない快感を覚え、本能的に慶を求めるようになり…。
甘くて優しいシンデレラDom/Subユニバース！")</f>
        <v>─Subなのに自分の好きなPlayもわからないのか
Subであることを隠し生活しているテオ。
孤独だったテオを救い、Subとわかっても執事として雇ってくれた若旦那の鳳条湊人のことを運命のDomだと思い慕っていた。
しかし湊人とのプレイはテオのことを考えず乱暴でサブドロップ寸前まで追い詰められ体調は悪くなる一方。
そんな時本家からやってきた執事、月城慶にプレイしている姿を見られてしまう。
湊人との関係、自分のダイナミクスを秘密にする代わりに慶をプレイすることになったのだが、「お互いが気持ちよくなる」優しいプレイに感じたことのない快感を覚え、本能的に慶を求めるようになり…。
甘くて優しいシンデレラDom/Subユニバース！</v>
      </c>
      <c r="W1506" s="14"/>
      <c r="X1506" s="14" t="str">
        <f>IFERROR(__xludf.DUMMYFUNCTION("""COMPUTED_VALUE"""),"有")</f>
        <v>有</v>
      </c>
      <c r="Y1506" s="8" t="str">
        <f>IFERROR(__xludf.DUMMYFUNCTION("""COMPUTED_VALUE"""),"P13まで")</f>
        <v>P13まで</v>
      </c>
      <c r="Z1506" s="7"/>
      <c r="AA1506" s="7"/>
      <c r="AB1506" s="7"/>
    </row>
    <row r="1507" ht="15.75" customHeight="1">
      <c r="A1507" s="26">
        <f>IFERROR(__xludf.DUMMYFUNCTION("""COMPUTED_VALUE"""),2963.0)</f>
        <v>2963</v>
      </c>
      <c r="B1507" s="22" t="str">
        <f>IFERROR(__xludf.DUMMYFUNCTION("""COMPUTED_VALUE"""),"確定")</f>
        <v>確定</v>
      </c>
      <c r="C1507" s="28">
        <f>IFERROR(__xludf.DUMMYFUNCTION("""COMPUTED_VALUE"""),45335.0)</f>
        <v>45335</v>
      </c>
      <c r="D1507" s="28">
        <f>IFERROR(__xludf.DUMMYFUNCTION("""COMPUTED_VALUE"""),45432.0)</f>
        <v>45432</v>
      </c>
      <c r="E1507" s="26">
        <f>IFERROR(__xludf.DUMMYFUNCTION("""COMPUTED_VALUE"""),294039.0)</f>
        <v>294039</v>
      </c>
      <c r="F1507" s="22" t="str">
        <f>IFERROR(__xludf.DUMMYFUNCTION("""COMPUTED_VALUE"""),"東京§神狼【マイクロ】")</f>
        <v>東京§神狼【マイクロ】</v>
      </c>
      <c r="G1507" s="20" t="str">
        <f>IFERROR(__xludf.DUMMYFUNCTION("""COMPUTED_VALUE"""),"1～6")</f>
        <v>1～6</v>
      </c>
      <c r="H1507" s="22" t="str">
        <f>IFERROR(__xludf.DUMMYFUNCTION("""COMPUTED_VALUE"""),"くまがい杏子")</f>
        <v>くまがい杏子</v>
      </c>
      <c r="I1507" s="46" t="str">
        <f>IFERROR(__xludf.DUMMYFUNCTION("""COMPUTED_VALUE"""),"少女")</f>
        <v>少女</v>
      </c>
      <c r="J1507" s="22"/>
      <c r="K1507" s="22"/>
      <c r="L1507" s="22" t="str">
        <f>IFERROR(__xludf.DUMMYFUNCTION("""COMPUTED_VALUE"""),"小学館")</f>
        <v>小学館</v>
      </c>
      <c r="M1507" s="23">
        <f>IFERROR(__xludf.DUMMYFUNCTION("""COMPUTED_VALUE"""),45448.0)</f>
        <v>45448</v>
      </c>
      <c r="N1507" s="47">
        <f>IFERROR(__xludf.DUMMYFUNCTION("""COMPUTED_VALUE"""),45508.0)</f>
        <v>45508</v>
      </c>
      <c r="O1507" s="20"/>
      <c r="P1507" s="34" t="str">
        <f>IFERROR(__xludf.DUMMYFUNCTION("""COMPUTED_VALUE"""),"否")</f>
        <v>否</v>
      </c>
      <c r="Q1507" s="30" t="str">
        <f>IFERROR(__xludf.DUMMYFUNCTION("""COMPUTED_VALUE"""),"広告コミットOK(2/16)")</f>
        <v>広告コミットOK(2/16)</v>
      </c>
      <c r="R1507" s="22"/>
      <c r="S1507" s="22" t="str">
        <f>IFERROR(__xludf.DUMMYFUNCTION("""COMPUTED_VALUE"""),"20240520_小学館_東京§神狼【マイクロ】")</f>
        <v>20240520_小学館_東京§神狼【マイクロ】</v>
      </c>
      <c r="T1507" s="22" t="str">
        <f>IFERROR(__xludf.DUMMYFUNCTION("""COMPUTED_VALUE"""),"格納済み")</f>
        <v>格納済み</v>
      </c>
      <c r="U1507" s="15" t="str">
        <f>IFERROR(__xludf.DUMMYFUNCTION("""COMPUTED_VALUE"""),"(C)くまがい杏子 / 小学館")</f>
        <v>(C)くまがい杏子 / 小学館</v>
      </c>
      <c r="V1507" s="8" t="str">
        <f>IFERROR(__xludf.DUMMYFUNCTION("""COMPUTED_VALUE"""),"「チョコレート・ヴァンパイア」「魔法陣クロノカノン」のくまがい杏子新境地！
和風×獣人ファンタジー開幕！
物ノ怪溢れる東京で守護獣の力を宿す神使として戦う玖音とその力を引き出す巫の采の2人。
しかし玖音の宿した守護獣は神狼と呼ばれる強大な力で・・・！？")</f>
        <v>「チョコレート・ヴァンパイア」「魔法陣クロノカノン」のくまがい杏子新境地！
和風×獣人ファンタジー開幕！
物ノ怪溢れる東京で守護獣の力を宿す神使として戦う玖音とその力を引き出す巫の采の2人。
しかし玖音の宿した守護獣は神狼と呼ばれる強大な力で・・・！？</v>
      </c>
      <c r="W1507" s="14"/>
      <c r="X1507" s="14" t="str">
        <f>IFERROR(__xludf.DUMMYFUNCTION("""COMPUTED_VALUE"""),"有")</f>
        <v>有</v>
      </c>
      <c r="Y1507" s="8" t="str">
        <f>IFERROR(__xludf.DUMMYFUNCTION("""COMPUTED_VALUE"""),"P22まで")</f>
        <v>P22まで</v>
      </c>
      <c r="Z1507" s="7"/>
      <c r="AA1507" s="7"/>
      <c r="AB1507" s="7"/>
    </row>
    <row r="1508" ht="15.75" customHeight="1">
      <c r="A1508" s="26">
        <f>IFERROR(__xludf.DUMMYFUNCTION("""COMPUTED_VALUE"""),3027.0)</f>
        <v>3027</v>
      </c>
      <c r="B1508" s="22" t="str">
        <f>IFERROR(__xludf.DUMMYFUNCTION("""COMPUTED_VALUE"""),"確定")</f>
        <v>確定</v>
      </c>
      <c r="C1508" s="28">
        <f>IFERROR(__xludf.DUMMYFUNCTION("""COMPUTED_VALUE"""),45350.0)</f>
        <v>45350</v>
      </c>
      <c r="D1508" s="28">
        <f>IFERROR(__xludf.DUMMYFUNCTION("""COMPUTED_VALUE"""),45429.0)</f>
        <v>45429</v>
      </c>
      <c r="E1508" s="26">
        <f>IFERROR(__xludf.DUMMYFUNCTION("""COMPUTED_VALUE"""),294893.0)</f>
        <v>294893</v>
      </c>
      <c r="F1508" s="22" t="str">
        <f>IFERROR(__xludf.DUMMYFUNCTION("""COMPUTED_VALUE"""),"溺甘パパな航空自衛官と子育て恋愛はじめました【分冊版】")</f>
        <v>溺甘パパな航空自衛官と子育て恋愛はじめました【分冊版】</v>
      </c>
      <c r="G1508" s="20" t="str">
        <f>IFERROR(__xludf.DUMMYFUNCTION("""COMPUTED_VALUE"""),"1~3")</f>
        <v>1~3</v>
      </c>
      <c r="H1508" s="22" t="str">
        <f>IFERROR(__xludf.DUMMYFUNCTION("""COMPUTED_VALUE"""),"花津美子・真彩-mahya-")</f>
        <v>花津美子・真彩-mahya-</v>
      </c>
      <c r="I1508" s="22" t="str">
        <f>IFERROR(__xludf.DUMMYFUNCTION("""COMPUTED_VALUE"""),"女性")</f>
        <v>女性</v>
      </c>
      <c r="J1508" s="22"/>
      <c r="K1508" s="22"/>
      <c r="L1508" s="22" t="str">
        <f>IFERROR(__xludf.DUMMYFUNCTION("""COMPUTED_VALUE"""),"ハーパーコリンズ・ジャパン")</f>
        <v>ハーパーコリンズ・ジャパン</v>
      </c>
      <c r="M1508" s="23">
        <f>IFERROR(__xludf.DUMMYFUNCTION("""COMPUTED_VALUE"""),45461.0)</f>
        <v>45461</v>
      </c>
      <c r="N1508" s="47">
        <f>IFERROR(__xludf.DUMMYFUNCTION("""COMPUTED_VALUE"""),45522.0)</f>
        <v>45522</v>
      </c>
      <c r="O1508" s="20"/>
      <c r="P1508" s="32" t="str">
        <f>IFERROR(__xludf.DUMMYFUNCTION("""COMPUTED_VALUE"""),"否")</f>
        <v>否</v>
      </c>
      <c r="Q1508" s="31"/>
      <c r="R1508" s="22" t="str">
        <f>IFERROR(__xludf.DUMMYFUNCTION("""COMPUTED_VALUE"""),"格納済")</f>
        <v>格納済</v>
      </c>
      <c r="S1508" s="22" t="str">
        <f>IFERROR(__xludf.DUMMYFUNCTION("""COMPUTED_VALUE"""),"20240515_ハーパーコリンズ_溺甘パパな航空自衛官と子育て恋愛はじめました")</f>
        <v>20240515_ハーパーコリンズ_溺甘パパな航空自衛官と子育て恋愛はじめました</v>
      </c>
      <c r="T1508" s="22" t="str">
        <f>IFERROR(__xludf.DUMMYFUNCTION("""COMPUTED_VALUE"""),"格納済み")</f>
        <v>格納済み</v>
      </c>
      <c r="U1508" s="15" t="str">
        <f>IFERROR(__xludf.DUMMYFUNCTION("""COMPUTED_VALUE"""),"©花津美子・真彩-mahya-／ハーパーコリンズ・ジャパン")</f>
        <v>©花津美子・真彩-mahya-／ハーパーコリンズ・ジャパン</v>
      </c>
      <c r="V1508" s="8" t="str">
        <f>IFERROR(__xludf.DUMMYFUNCTION("""COMPUTED_VALUE"""),"エリート航空自衛官の極甘な独占愛に抗えなくて…
6年前、豪雨災害に見舞われ航空自衛隊に救助された亜美は、保育士になり忙しく暮らしていた。友人に誘われた航空祭で偶然、助けてくれた自衛官の健心と再会する。突然現れた清爽な健心に胸がときめくが、彼は小さな男の子を連れていて?　戸惑う亜美だったが、親友の忘れ形見をひとりで育てているという彼の誠実な一面に惹かれてしまい──。")</f>
        <v>エリート航空自衛官の極甘な独占愛に抗えなくて…
6年前、豪雨災害に見舞われ航空自衛隊に救助された亜美は、保育士になり忙しく暮らしていた。友人に誘われた航空祭で偶然、助けてくれた自衛官の健心と再会する。突然現れた清爽な健心に胸がときめくが、彼は小さな男の子を連れていて?　戸惑う亜美だったが、親友の忘れ形見をひとりで育てているという彼の誠実な一面に惹かれてしまい──。</v>
      </c>
      <c r="W1508" s="14"/>
      <c r="X1508" s="14" t="str">
        <f>IFERROR(__xludf.DUMMYFUNCTION("""COMPUTED_VALUE"""),"有")</f>
        <v>有</v>
      </c>
      <c r="Y1508" s="8" t="str">
        <f>IFERROR(__xludf.DUMMYFUNCTION("""COMPUTED_VALUE"""),"2024/7/1まで1巻無料")</f>
        <v>2024/7/1まで1巻無料</v>
      </c>
      <c r="Z1508" s="7"/>
      <c r="AA1508" s="7"/>
      <c r="AB1508" s="7"/>
    </row>
    <row r="1509" ht="15.75" customHeight="1">
      <c r="A1509" s="26">
        <f>IFERROR(__xludf.DUMMYFUNCTION("""COMPUTED_VALUE"""),3045.0)</f>
        <v>3045</v>
      </c>
      <c r="B1509" s="22" t="str">
        <f>IFERROR(__xludf.DUMMYFUNCTION("""COMPUTED_VALUE"""),"確定")</f>
        <v>確定</v>
      </c>
      <c r="C1509" s="28">
        <f>IFERROR(__xludf.DUMMYFUNCTION("""COMPUTED_VALUE"""),45355.0)</f>
        <v>45355</v>
      </c>
      <c r="D1509" s="28">
        <f>IFERROR(__xludf.DUMMYFUNCTION("""COMPUTED_VALUE"""),45433.0)</f>
        <v>45433</v>
      </c>
      <c r="E1509" s="26">
        <f>IFERROR(__xludf.DUMMYFUNCTION("""COMPUTED_VALUE"""),293702.0)</f>
        <v>293702</v>
      </c>
      <c r="F1509" s="22" t="str">
        <f>IFERROR(__xludf.DUMMYFUNCTION("""COMPUTED_VALUE"""),"極道執事の歪んだ献身 －若頭の啼かせ方－")</f>
        <v>極道執事の歪んだ献身 －若頭の啼かせ方－</v>
      </c>
      <c r="G1509" s="16" t="str">
        <f>IFERROR(__xludf.DUMMYFUNCTION("""COMPUTED_VALUE"""),"1～3")</f>
        <v>1～3</v>
      </c>
      <c r="H1509" s="22" t="str">
        <f>IFERROR(__xludf.DUMMYFUNCTION("""COMPUTED_VALUE"""),"改ころすけ")</f>
        <v>改ころすけ</v>
      </c>
      <c r="I1509" s="22" t="str">
        <f>IFERROR(__xludf.DUMMYFUNCTION("""COMPUTED_VALUE"""),"BL")</f>
        <v>BL</v>
      </c>
      <c r="J1509" s="46"/>
      <c r="K1509" s="46"/>
      <c r="L1509" s="46" t="str">
        <f>IFERROR(__xludf.DUMMYFUNCTION("""COMPUTED_VALUE"""),"快感倶楽部")</f>
        <v>快感倶楽部</v>
      </c>
      <c r="M1509" s="23">
        <f>IFERROR(__xludf.DUMMYFUNCTION("""COMPUTED_VALUE"""),45455.0)</f>
        <v>45455</v>
      </c>
      <c r="N1509" s="23">
        <f>IFERROR(__xludf.DUMMYFUNCTION("""COMPUTED_VALUE"""),45546.0)</f>
        <v>45546</v>
      </c>
      <c r="O1509" s="20"/>
      <c r="P1509" s="34" t="str">
        <f>IFERROR(__xludf.DUMMYFUNCTION("""COMPUTED_VALUE"""),"可")</f>
        <v>可</v>
      </c>
      <c r="Q1509" s="30" t="str">
        <f>IFERROR(__xludf.DUMMYFUNCTION("""COMPUTED_VALUE"""),"広告コミットOK(3/12)")</f>
        <v>広告コミットOK(3/12)</v>
      </c>
      <c r="R1509" s="22"/>
      <c r="S1509" s="22" t="str">
        <f>IFERROR(__xludf.DUMMYFUNCTION("""COMPUTED_VALUE"""),"20240521_サード・ライン・ネクスト_極道執事の歪んだ献身 －若頭の啼かせ方－")</f>
        <v>20240521_サード・ライン・ネクスト_極道執事の歪んだ献身 －若頭の啼かせ方－</v>
      </c>
      <c r="T1509" s="22" t="str">
        <f>IFERROR(__xludf.DUMMYFUNCTION("""COMPUTED_VALUE"""),"格納済み")</f>
        <v>格納済み</v>
      </c>
      <c r="U1509" s="15" t="str">
        <f>IFERROR(__xludf.DUMMYFUNCTION("""COMPUTED_VALUE"""),"©改ころすけ/Boy'sRecipe")</f>
        <v>©改ころすけ/Boy'sRecipe</v>
      </c>
      <c r="V1509" s="8" t="str">
        <f>IFERROR(__xludf.DUMMYFUNCTION("""COMPUTED_VALUE"""),"「…またイった。弱い人」そう言いながら、笑顔を浮かべた執事は達したばかりの敏感なソレを握って…。極道の息子として生まれた悠一郎。しかし極道の世界や組長である父親を良く思わず、自分の定められた道に抗って“普通の大学生”でいることを望んでいた。そんな悠一郎につくのは執事の椿。なぜ極道の家にいるのかも、自分の世話を焼いているのかもわからない。謎に包まれた椿を悠一郎は嫌っていた。ある日父親と椿の噂を聞いた悠一郎は、苛立ちのまま椿に「舐めろ」と命令をするが、抱かれたのは自分で!?椿より立場が上だと思っていたのに、セ"&amp;"ックスでは主従関係が逆転してしまい─!?")</f>
        <v>「…またイった。弱い人」そう言いながら、笑顔を浮かべた執事は達したばかりの敏感なソレを握って…。極道の息子として生まれた悠一郎。しかし極道の世界や組長である父親を良く思わず、自分の定められた道に抗って“普通の大学生”でいることを望んでいた。そんな悠一郎につくのは執事の椿。なぜ極道の家にいるのかも、自分の世話を焼いているのかもわからない。謎に包まれた椿を悠一郎は嫌っていた。ある日父親と椿の噂を聞いた悠一郎は、苛立ちのまま椿に「舐めろ」と命令をするが、抱かれたのは自分で!?椿より立場が上だと思っていたのに、セックスでは主従関係が逆転してしまい─!?</v>
      </c>
      <c r="W1509" s="14"/>
      <c r="X1509" s="14" t="str">
        <f>IFERROR(__xludf.DUMMYFUNCTION("""COMPUTED_VALUE"""),"有")</f>
        <v>有</v>
      </c>
      <c r="Y1509" s="8" t="str">
        <f>IFERROR(__xludf.DUMMYFUNCTION("""COMPUTED_VALUE"""),"2024/6/25まで1巻無料")</f>
        <v>2024/6/25まで1巻無料</v>
      </c>
      <c r="Z1509" s="7"/>
      <c r="AA1509" s="7"/>
      <c r="AB1509" s="7"/>
    </row>
    <row r="1510" ht="15.75" customHeight="1">
      <c r="A1510" s="26">
        <f>IFERROR(__xludf.DUMMYFUNCTION("""COMPUTED_VALUE"""),3148.0)</f>
        <v>3148</v>
      </c>
      <c r="B1510" s="22" t="str">
        <f>IFERROR(__xludf.DUMMYFUNCTION("""COMPUTED_VALUE"""),"確定")</f>
        <v>確定</v>
      </c>
      <c r="C1510" s="28">
        <f>IFERROR(__xludf.DUMMYFUNCTION("""COMPUTED_VALUE"""),45373.0)</f>
        <v>45373</v>
      </c>
      <c r="D1510" s="28">
        <f>IFERROR(__xludf.DUMMYFUNCTION("""COMPUTED_VALUE"""),45434.0)</f>
        <v>45434</v>
      </c>
      <c r="E1510" s="26">
        <f>IFERROR(__xludf.DUMMYFUNCTION("""COMPUTED_VALUE"""),293856.0)</f>
        <v>293856</v>
      </c>
      <c r="F1510" s="22" t="str">
        <f>IFERROR(__xludf.DUMMYFUNCTION("""COMPUTED_VALUE"""),"執愛バーテンダーの激甘テクで今夜も絶頂〜クールな幼馴染の熱い舌先")</f>
        <v>執愛バーテンダーの激甘テクで今夜も絶頂〜クールな幼馴染の熱い舌先</v>
      </c>
      <c r="G1510" s="11" t="str">
        <f>IFERROR(__xludf.DUMMYFUNCTION("""COMPUTED_VALUE"""),"1～2")</f>
        <v>1～2</v>
      </c>
      <c r="H1510" s="22" t="str">
        <f>IFERROR(__xludf.DUMMYFUNCTION("""COMPUTED_VALUE"""),"miori")</f>
        <v>miori</v>
      </c>
      <c r="I1510" s="22" t="str">
        <f>IFERROR(__xludf.DUMMYFUNCTION("""COMPUTED_VALUE"""),"TL")</f>
        <v>TL</v>
      </c>
      <c r="J1510" s="22"/>
      <c r="K1510" s="22"/>
      <c r="L1510" s="22" t="str">
        <f>IFERROR(__xludf.DUMMYFUNCTION("""COMPUTED_VALUE"""),"オーバーラップ")</f>
        <v>オーバーラップ</v>
      </c>
      <c r="M1510" s="23">
        <f>IFERROR(__xludf.DUMMYFUNCTION("""COMPUTED_VALUE"""),45444.0)</f>
        <v>45444</v>
      </c>
      <c r="N1510" s="47">
        <f>IFERROR(__xludf.DUMMYFUNCTION("""COMPUTED_VALUE"""),45473.0)</f>
        <v>45473</v>
      </c>
      <c r="O1510" s="20"/>
      <c r="P1510" s="34" t="str">
        <f>IFERROR(__xludf.DUMMYFUNCTION("""COMPUTED_VALUE"""),"可")</f>
        <v>可</v>
      </c>
      <c r="Q1510" s="30" t="str">
        <f>IFERROR(__xludf.DUMMYFUNCTION("""COMPUTED_VALUE"""),"広告コミットOK(3/27)
レーベル：ラブパルフェ")</f>
        <v>広告コミットOK(3/27)
レーベル：ラブパルフェ</v>
      </c>
      <c r="R1510" s="22"/>
      <c r="S1510" s="22" t="str">
        <f>IFERROR(__xludf.DUMMYFUNCTION("""COMPUTED_VALUE"""),"20240521_オーバーラップ_執愛バーテンダーの激甘テクで今夜も絶頂〜クールな幼馴染の熱い舌先")</f>
        <v>20240521_オーバーラップ_執愛バーテンダーの激甘テクで今夜も絶頂〜クールな幼馴染の熱い舌先</v>
      </c>
      <c r="T1510" s="22" t="str">
        <f>IFERROR(__xludf.DUMMYFUNCTION("""COMPUTED_VALUE"""),"格納済み")</f>
        <v>格納済み</v>
      </c>
      <c r="U1510" s="15" t="str">
        <f>IFERROR(__xludf.DUMMYFUNCTION("""COMPUTED_VALUE"""),"(c)miori／オーバーラップ")</f>
        <v>(c)miori／オーバーラップ</v>
      </c>
      <c r="V1510" s="8" t="str">
        <f>IFERROR(__xludf.DUMMYFUNCTION("""COMPUTED_VALUE"""),"「こんなにナカ締めつけて、たまらないな」
舌で舐められてトロトロになったところに、脈打つ熱いオスを打ちつけられて――
一番深いところに当たって、気持ちいいのガマンできないっ
OL・のあの楽しみは、幼馴染の蓮（れん）が店長をやっているバーに通うこと。
クールでカッコいい彼にドキドキしつつも、ただの幼馴染だと思っていたのに…。
ある雨の夜、二人きりのバーで蓮の目が、ケモノのような男のそれに変わっていて――
「昔からにぶいんだよ、のあは」
ビンカンなところばかり指と舌でクリクリされ、吸い尽くさ"&amp;"れて…！
濡れたアソコを奥まで突かれて、ビクビクしながらまたイッちゃう――!!
※本書は「ラブパルフェVOL.72-2」に収録されています。重複購入にご注意ください。")</f>
        <v>「こんなにナカ締めつけて、たまらないな」
舌で舐められてトロトロになったところに、脈打つ熱いオスを打ちつけられて――
一番深いところに当たって、気持ちいいのガマンできないっ
OL・のあの楽しみは、幼馴染の蓮（れん）が店長をやっているバーに通うこと。
クールでカッコいい彼にドキドキしつつも、ただの幼馴染だと思っていたのに…。
ある雨の夜、二人きりのバーで蓮の目が、ケモノのような男のそれに変わっていて――
「昔からにぶいんだよ、のあは」
ビンカンなところばかり指と舌でクリクリされ、吸い尽くされて…！
濡れたアソコを奥まで突かれて、ビクビクしながらまたイッちゃう――!!
※本書は「ラブパルフェVOL.72-2」に収録されています。重複購入にご注意ください。</v>
      </c>
      <c r="W1510" s="14"/>
      <c r="X1510" s="14" t="str">
        <f>IFERROR(__xludf.DUMMYFUNCTION("""COMPUTED_VALUE"""),"有")</f>
        <v>有</v>
      </c>
      <c r="Y1510" s="8" t="str">
        <f>IFERROR(__xludf.DUMMYFUNCTION("""COMPUTED_VALUE"""),"P8まで")</f>
        <v>P8まで</v>
      </c>
      <c r="Z1510" s="7"/>
      <c r="AA1510" s="7"/>
      <c r="AB1510" s="7"/>
    </row>
    <row r="1511" ht="15.75" customHeight="1">
      <c r="A1511" s="26">
        <f>IFERROR(__xludf.DUMMYFUNCTION("""COMPUTED_VALUE"""),3149.0)</f>
        <v>3149</v>
      </c>
      <c r="B1511" s="22" t="str">
        <f>IFERROR(__xludf.DUMMYFUNCTION("""COMPUTED_VALUE"""),"確定")</f>
        <v>確定</v>
      </c>
      <c r="C1511" s="28">
        <f>IFERROR(__xludf.DUMMYFUNCTION("""COMPUTED_VALUE"""),45373.0)</f>
        <v>45373</v>
      </c>
      <c r="D1511" s="28">
        <f>IFERROR(__xludf.DUMMYFUNCTION("""COMPUTED_VALUE"""),45434.0)</f>
        <v>45434</v>
      </c>
      <c r="E1511" s="26">
        <f>IFERROR(__xludf.DUMMYFUNCTION("""COMPUTED_VALUE"""),293854.0)</f>
        <v>293854</v>
      </c>
      <c r="F1511" s="22" t="str">
        <f>IFERROR(__xludf.DUMMYFUNCTION("""COMPUTED_VALUE"""),"娼婦堕ち追放令嬢と冷酷騎⼠の溺愛すぎる絶倫初夜～愛重めの執愛で毎晩抱きつぶされています")</f>
        <v>娼婦堕ち追放令嬢と冷酷騎⼠の溺愛すぎる絶倫初夜～愛重めの執愛で毎晩抱きつぶされています</v>
      </c>
      <c r="G1511" s="11" t="str">
        <f>IFERROR(__xludf.DUMMYFUNCTION("""COMPUTED_VALUE"""),"1～2")</f>
        <v>1～2</v>
      </c>
      <c r="H1511" s="22" t="str">
        <f>IFERROR(__xludf.DUMMYFUNCTION("""COMPUTED_VALUE"""),"永澤るり")</f>
        <v>永澤るり</v>
      </c>
      <c r="I1511" s="22" t="str">
        <f>IFERROR(__xludf.DUMMYFUNCTION("""COMPUTED_VALUE"""),"TL")</f>
        <v>TL</v>
      </c>
      <c r="J1511" s="22"/>
      <c r="K1511" s="22"/>
      <c r="L1511" s="22" t="str">
        <f>IFERROR(__xludf.DUMMYFUNCTION("""COMPUTED_VALUE"""),"オーバーラップ")</f>
        <v>オーバーラップ</v>
      </c>
      <c r="M1511" s="23">
        <f>IFERROR(__xludf.DUMMYFUNCTION("""COMPUTED_VALUE"""),45444.0)</f>
        <v>45444</v>
      </c>
      <c r="N1511" s="47">
        <f>IFERROR(__xludf.DUMMYFUNCTION("""COMPUTED_VALUE"""),45473.0)</f>
        <v>45473</v>
      </c>
      <c r="O1511" s="20"/>
      <c r="P1511" s="34" t="str">
        <f>IFERROR(__xludf.DUMMYFUNCTION("""COMPUTED_VALUE"""),"可")</f>
        <v>可</v>
      </c>
      <c r="Q1511" s="30" t="str">
        <f>IFERROR(__xludf.DUMMYFUNCTION("""COMPUTED_VALUE"""),"広告コミットOK(3/27)
レーベル：ラブパルフェ")</f>
        <v>広告コミットOK(3/27)
レーベル：ラブパルフェ</v>
      </c>
      <c r="R1511" s="22"/>
      <c r="S1511" s="22" t="str">
        <f>IFERROR(__xludf.DUMMYFUNCTION("""COMPUTED_VALUE"""),"20240521_オーバーラップ_娼婦堕ち追放令嬢と冷酷騎⼠の溺愛すぎる絶倫初夜～愛重めの執愛で毎晩抱きつぶされています")</f>
        <v>20240521_オーバーラップ_娼婦堕ち追放令嬢と冷酷騎⼠の溺愛すぎる絶倫初夜～愛重めの執愛で毎晩抱きつぶされています</v>
      </c>
      <c r="T1511" s="22" t="str">
        <f>IFERROR(__xludf.DUMMYFUNCTION("""COMPUTED_VALUE"""),"格納済み")</f>
        <v>格納済み</v>
      </c>
      <c r="U1511" s="15" t="str">
        <f>IFERROR(__xludf.DUMMYFUNCTION("""COMPUTED_VALUE"""),"(c)永澤るり／オーバーラップ")</f>
        <v>(c)永澤るり／オーバーラップ</v>
      </c>
      <c r="V1511" s="8" t="str">
        <f>IFERROR(__xludf.DUMMYFUNCTION("""COMPUTED_VALUE"""),"「本能のままに感じて、俺に全てを委ねろ」
乱暴に抱きつぶされると思っていたのに、どうして甘く激しく溺愛されてるの…!?
無実の罪を着せられ婚約破棄の末、高級娼館に追放された令嬢リチュア。
初めてのお客が『夜遊び侯爵』と名高い冷酷騎士のギルガード卿でドキドキしていると、熱い視線を向けられ身請けされて…
妾としての生活が始まるかと思いきや、甘く淫らな愛撫でトロトロに翻弄されてしまう！
気持ち良すぎる初めての快楽に何度も絶頂し、カラダは貪欲にギルを求めて――…
クールで一途な冷酷騎士様に愛されすぎて"&amp;"、娼婦から溺愛ルート突入!?
※本書は「ラブパルフェVOL.73-1」に収録されています。重複購入にご注意ください。")</f>
        <v>「本能のままに感じて、俺に全てを委ねろ」
乱暴に抱きつぶされると思っていたのに、どうして甘く激しく溺愛されてるの…!?
無実の罪を着せられ婚約破棄の末、高級娼館に追放された令嬢リチュア。
初めてのお客が『夜遊び侯爵』と名高い冷酷騎士のギルガード卿でドキドキしていると、熱い視線を向けられ身請けされて…
妾としての生活が始まるかと思いきや、甘く淫らな愛撫でトロトロに翻弄されてしまう！
気持ち良すぎる初めての快楽に何度も絶頂し、カラダは貪欲にギルを求めて――…
クールで一途な冷酷騎士様に愛されすぎて、娼婦から溺愛ルート突入!?
※本書は「ラブパルフェVOL.73-1」に収録されています。重複購入にご注意ください。</v>
      </c>
      <c r="W1511" s="14"/>
      <c r="X1511" s="14" t="str">
        <f>IFERROR(__xludf.DUMMYFUNCTION("""COMPUTED_VALUE"""),"有")</f>
        <v>有</v>
      </c>
      <c r="Y1511" s="8" t="str">
        <f>IFERROR(__xludf.DUMMYFUNCTION("""COMPUTED_VALUE"""),"P11まで")</f>
        <v>P11まで</v>
      </c>
      <c r="Z1511" s="7"/>
      <c r="AA1511" s="7"/>
      <c r="AB1511" s="7"/>
    </row>
    <row r="1512" ht="15.75" customHeight="1">
      <c r="A1512" s="26">
        <f>IFERROR(__xludf.DUMMYFUNCTION("""COMPUTED_VALUE"""),3150.0)</f>
        <v>3150</v>
      </c>
      <c r="B1512" s="22" t="str">
        <f>IFERROR(__xludf.DUMMYFUNCTION("""COMPUTED_VALUE"""),"確定")</f>
        <v>確定</v>
      </c>
      <c r="C1512" s="28">
        <f>IFERROR(__xludf.DUMMYFUNCTION("""COMPUTED_VALUE"""),45373.0)</f>
        <v>45373</v>
      </c>
      <c r="D1512" s="28">
        <f>IFERROR(__xludf.DUMMYFUNCTION("""COMPUTED_VALUE"""),45434.0)</f>
        <v>45434</v>
      </c>
      <c r="E1512" s="26">
        <f>IFERROR(__xludf.DUMMYFUNCTION("""COMPUTED_VALUE"""),293855.0)</f>
        <v>293855</v>
      </c>
      <c r="F1512" s="22" t="str">
        <f>IFERROR(__xludf.DUMMYFUNCTION("""COMPUTED_VALUE"""),"絶倫オジサマ紳士に抱き尽くされる契約結婚～1000万の溺愛絶頂テクで甘イキ止まらない")</f>
        <v>絶倫オジサマ紳士に抱き尽くされる契約結婚～1000万の溺愛絶頂テクで甘イキ止まらない</v>
      </c>
      <c r="G1512" s="11" t="str">
        <f>IFERROR(__xludf.DUMMYFUNCTION("""COMPUTED_VALUE"""),"1～2")</f>
        <v>1～2</v>
      </c>
      <c r="H1512" s="22" t="str">
        <f>IFERROR(__xludf.DUMMYFUNCTION("""COMPUTED_VALUE"""),"にゃけひこ")</f>
        <v>にゃけひこ</v>
      </c>
      <c r="I1512" s="22" t="str">
        <f>IFERROR(__xludf.DUMMYFUNCTION("""COMPUTED_VALUE"""),"TL")</f>
        <v>TL</v>
      </c>
      <c r="J1512" s="22"/>
      <c r="K1512" s="22"/>
      <c r="L1512" s="22" t="str">
        <f>IFERROR(__xludf.DUMMYFUNCTION("""COMPUTED_VALUE"""),"オーバーラップ")</f>
        <v>オーバーラップ</v>
      </c>
      <c r="M1512" s="23">
        <f>IFERROR(__xludf.DUMMYFUNCTION("""COMPUTED_VALUE"""),45444.0)</f>
        <v>45444</v>
      </c>
      <c r="N1512" s="47">
        <f>IFERROR(__xludf.DUMMYFUNCTION("""COMPUTED_VALUE"""),45473.0)</f>
        <v>45473</v>
      </c>
      <c r="O1512" s="20"/>
      <c r="P1512" s="34" t="str">
        <f>IFERROR(__xludf.DUMMYFUNCTION("""COMPUTED_VALUE"""),"可")</f>
        <v>可</v>
      </c>
      <c r="Q1512" s="30" t="str">
        <f>IFERROR(__xludf.DUMMYFUNCTION("""COMPUTED_VALUE"""),"広告コミットOK(3/27)
レーベル：ラブパルフェ")</f>
        <v>広告コミットOK(3/27)
レーベル：ラブパルフェ</v>
      </c>
      <c r="R1512" s="22"/>
      <c r="S1512" s="22" t="str">
        <f>IFERROR(__xludf.DUMMYFUNCTION("""COMPUTED_VALUE"""),"20240521_オーバーラップ_絶倫オジサマ紳士に抱き尽くされる契約結婚～1000万の溺愛絶頂テクで甘イキ止まらない")</f>
        <v>20240521_オーバーラップ_絶倫オジサマ紳士に抱き尽くされる契約結婚～1000万の溺愛絶頂テクで甘イキ止まらない</v>
      </c>
      <c r="T1512" s="22" t="str">
        <f>IFERROR(__xludf.DUMMYFUNCTION("""COMPUTED_VALUE"""),"格納済み")</f>
        <v>格納済み</v>
      </c>
      <c r="U1512" s="15" t="str">
        <f>IFERROR(__xludf.DUMMYFUNCTION("""COMPUTED_VALUE"""),"(c)にゃけひこ／オーバーラップ")</f>
        <v>(c)にゃけひこ／オーバーラップ</v>
      </c>
      <c r="V1512" s="8" t="str">
        <f>IFERROR(__xludf.DUMMYFUNCTION("""COMPUTED_VALUE"""),"「思う存分気持ち良くなっていいよ」
初めてのカラダを外とナカからいじられて、こんなの知らない…っ
早く欲しくて、たっぷり潤ったアソコがヒクヒク疼いちゃう…
切り盛りしていた食堂を手放すことになり、借金を抱えることになってしまった日菜（ひな）。
途方に暮れていたら、ずっと好きだった小鳥遊（たかなし）さんから契約結婚を提案されて…!?
しかも契約結婚のはずなのに、トロトロに愛し尽くされる夜が待っていて…！
「触れるたびにナカが締まって、エッチな身体だ」
ダメになりそうなくらいアソコを舐められ"&amp;"て、硬いオスでゆっくり満たされて――
甘くて幸せな快感が何度も押し寄せて止まらない…!!
※本書は「ラブパルフェVOL.72-1」に収録されています。重複購入にご注意ください。")</f>
        <v>「思う存分気持ち良くなっていいよ」
初めてのカラダを外とナカからいじられて、こんなの知らない…っ
早く欲しくて、たっぷり潤ったアソコがヒクヒク疼いちゃう…
切り盛りしていた食堂を手放すことになり、借金を抱えることになってしまった日菜（ひな）。
途方に暮れていたら、ずっと好きだった小鳥遊（たかなし）さんから契約結婚を提案されて…!?
しかも契約結婚のはずなのに、トロトロに愛し尽くされる夜が待っていて…！
「触れるたびにナカが締まって、エッチな身体だ」
ダメになりそうなくらいアソコを舐められて、硬いオスでゆっくり満たされて――
甘くて幸せな快感が何度も押し寄せて止まらない…!!
※本書は「ラブパルフェVOL.72-1」に収録されています。重複購入にご注意ください。</v>
      </c>
      <c r="W1512" s="14"/>
      <c r="X1512" s="14" t="str">
        <f>IFERROR(__xludf.DUMMYFUNCTION("""COMPUTED_VALUE"""),"有")</f>
        <v>有</v>
      </c>
      <c r="Y1512" s="8" t="str">
        <f>IFERROR(__xludf.DUMMYFUNCTION("""COMPUTED_VALUE"""),"P8まで")</f>
        <v>P8まで</v>
      </c>
      <c r="Z1512" s="7"/>
      <c r="AA1512" s="7"/>
      <c r="AB1512" s="7"/>
    </row>
    <row r="1513" ht="15.75" customHeight="1">
      <c r="A1513" s="26">
        <f>IFERROR(__xludf.DUMMYFUNCTION("""COMPUTED_VALUE"""),3173.0)</f>
        <v>3173</v>
      </c>
      <c r="B1513" s="22" t="str">
        <f>IFERROR(__xludf.DUMMYFUNCTION("""COMPUTED_VALUE"""),"確定")</f>
        <v>確定</v>
      </c>
      <c r="C1513" s="28">
        <f>IFERROR(__xludf.DUMMYFUNCTION("""COMPUTED_VALUE"""),45378.0)</f>
        <v>45378</v>
      </c>
      <c r="D1513" s="28">
        <f>IFERROR(__xludf.DUMMYFUNCTION("""COMPUTED_VALUE"""),45429.0)</f>
        <v>45429</v>
      </c>
      <c r="E1513" s="26">
        <f>IFERROR(__xludf.DUMMYFUNCTION("""COMPUTED_VALUE"""),294363.0)</f>
        <v>294363</v>
      </c>
      <c r="F1513" s="22" t="str">
        <f>IFERROR(__xludf.DUMMYFUNCTION("""COMPUTED_VALUE"""),"男子寮のひつじちゃん【マイクロ】")</f>
        <v>男子寮のひつじちゃん【マイクロ】</v>
      </c>
      <c r="G1513" s="16" t="str">
        <f>IFERROR(__xludf.DUMMYFUNCTION("""COMPUTED_VALUE"""),"1～3")</f>
        <v>1～3</v>
      </c>
      <c r="H1513" s="22" t="str">
        <f>IFERROR(__xludf.DUMMYFUNCTION("""COMPUTED_VALUE"""),"三ツ星しずく")</f>
        <v>三ツ星しずく</v>
      </c>
      <c r="I1513" s="22" t="str">
        <f>IFERROR(__xludf.DUMMYFUNCTION("""COMPUTED_VALUE"""),"少女")</f>
        <v>少女</v>
      </c>
      <c r="J1513" s="22"/>
      <c r="K1513" s="22"/>
      <c r="L1513" s="22" t="str">
        <f>IFERROR(__xludf.DUMMYFUNCTION("""COMPUTED_VALUE"""),"小学館")</f>
        <v>小学館</v>
      </c>
      <c r="M1513" s="23">
        <f>IFERROR(__xludf.DUMMYFUNCTION("""COMPUTED_VALUE"""),45471.0)</f>
        <v>45471</v>
      </c>
      <c r="N1513" s="47">
        <f>IFERROR(__xludf.DUMMYFUNCTION("""COMPUTED_VALUE"""),45539.0)</f>
        <v>45539</v>
      </c>
      <c r="O1513" s="20"/>
      <c r="P1513" s="34" t="str">
        <f>IFERROR(__xludf.DUMMYFUNCTION("""COMPUTED_VALUE"""),"否")</f>
        <v>否</v>
      </c>
      <c r="Q1513" s="30" t="str">
        <f>IFERROR(__xludf.DUMMYFUNCTION("""COMPUTED_VALUE"""),"広告コミットOK(3/29)
続話は1か月")</f>
        <v>広告コミットOK(3/29)
続話は1か月</v>
      </c>
      <c r="R1513" s="22"/>
      <c r="S1513" s="22" t="str">
        <f>IFERROR(__xludf.DUMMYFUNCTION("""COMPUTED_VALUE"""),"20240517_小学館_男子寮のひつじちゃん【マイクロ】")</f>
        <v>20240517_小学館_男子寮のひつじちゃん【マイクロ】</v>
      </c>
      <c r="T1513" s="22"/>
      <c r="U1513" s="15" t="str">
        <f>IFERROR(__xludf.DUMMYFUNCTION("""COMPUTED_VALUE"""),"(C)三ツ星しずく / 小学館")</f>
        <v>(C)三ツ星しずく / 小学館</v>
      </c>
      <c r="V1513" s="8" t="str">
        <f>IFERROR(__xludf.DUMMYFUNCTION("""COMPUTED_VALUE"""),"夢は「１人で平和に暮らすこと」のめい子。
親元を離れて入学した高校はまさかの元男子寮！？
しかも、ひょんなことからチャラい、腹黒い、でも人なつっこい？大神くんから目をつけられてしまい、同じ部屋で同居することに？！？！
コミュ弱女子の逆ハーレム青春譚、見逃さないで！")</f>
        <v>夢は「１人で平和に暮らすこと」のめい子。
親元を離れて入学した高校はまさかの元男子寮！？
しかも、ひょんなことからチャラい、腹黒い、でも人なつっこい？大神くんから目をつけられてしまい、同じ部屋で同居することに？！？！
コミュ弱女子の逆ハーレム青春譚、見逃さないで！</v>
      </c>
      <c r="W1513" s="14"/>
      <c r="X1513" s="14" t="str">
        <f>IFERROR(__xludf.DUMMYFUNCTION("""COMPUTED_VALUE"""),"有")</f>
        <v>有</v>
      </c>
      <c r="Y1513" s="8" t="str">
        <f>IFERROR(__xludf.DUMMYFUNCTION("""COMPUTED_VALUE"""),"2024/9/4まで1巻無料")</f>
        <v>2024/9/4まで1巻無料</v>
      </c>
      <c r="Z1513" s="7"/>
      <c r="AA1513" s="7"/>
      <c r="AB1513" s="7"/>
    </row>
    <row r="1514" ht="15.75" customHeight="1">
      <c r="A1514" s="26">
        <f>IFERROR(__xludf.DUMMYFUNCTION("""COMPUTED_VALUE"""),3239.0)</f>
        <v>3239</v>
      </c>
      <c r="B1514" s="22" t="str">
        <f>IFERROR(__xludf.DUMMYFUNCTION("""COMPUTED_VALUE"""),"確定")</f>
        <v>確定</v>
      </c>
      <c r="C1514" s="28">
        <f>IFERROR(__xludf.DUMMYFUNCTION("""COMPUTED_VALUE"""),45384.0)</f>
        <v>45384</v>
      </c>
      <c r="D1514" s="28">
        <f>IFERROR(__xludf.DUMMYFUNCTION("""COMPUTED_VALUE"""),45434.0)</f>
        <v>45434</v>
      </c>
      <c r="E1514" s="26">
        <f>IFERROR(__xludf.DUMMYFUNCTION("""COMPUTED_VALUE"""),294478.0)</f>
        <v>294478</v>
      </c>
      <c r="F1514" s="22" t="str">
        <f>IFERROR(__xludf.DUMMYFUNCTION("""COMPUTED_VALUE"""),"ツンツンヤンキーちゃんは弱々乳首をいじれば結構なんでもヤらせてくれる")</f>
        <v>ツンツンヤンキーちゃんは弱々乳首をいじれば結構なんでもヤらせてくれる</v>
      </c>
      <c r="G1514" s="16" t="str">
        <f>IFERROR(__xludf.DUMMYFUNCTION("""COMPUTED_VALUE"""),"1～3")</f>
        <v>1～3</v>
      </c>
      <c r="H1514" s="22" t="str">
        <f>IFERROR(__xludf.DUMMYFUNCTION("""COMPUTED_VALUE"""),"ぐじら")</f>
        <v>ぐじら</v>
      </c>
      <c r="I1514" s="22" t="str">
        <f>IFERROR(__xludf.DUMMYFUNCTION("""COMPUTED_VALUE"""),"オトナ")</f>
        <v>オトナ</v>
      </c>
      <c r="J1514" s="22"/>
      <c r="K1514" s="22"/>
      <c r="L1514" s="22" t="str">
        <f>IFERROR(__xludf.DUMMYFUNCTION("""COMPUTED_VALUE"""),"ナイトコミック")</f>
        <v>ナイトコミック</v>
      </c>
      <c r="M1514" s="23">
        <f>IFERROR(__xludf.DUMMYFUNCTION("""COMPUTED_VALUE"""),45450.0)</f>
        <v>45450</v>
      </c>
      <c r="N1514" s="47">
        <f>IFERROR(__xludf.DUMMYFUNCTION("""COMPUTED_VALUE"""),45596.66666666667)</f>
        <v>45596.66667</v>
      </c>
      <c r="O1514" s="20"/>
      <c r="P1514" s="34" t="str">
        <f>IFERROR(__xludf.DUMMYFUNCTION("""COMPUTED_VALUE"""),"可")</f>
        <v>可</v>
      </c>
      <c r="Q1514" s="30" t="str">
        <f>IFERROR(__xludf.DUMMYFUNCTION("""COMPUTED_VALUE"""),"コミットOK(4/9)")</f>
        <v>コミットOK(4/9)</v>
      </c>
      <c r="R1514" s="22"/>
      <c r="S1514" s="22" t="str">
        <f>IFERROR(__xludf.DUMMYFUNCTION("""COMPUTED_VALUE"""),"20240521_ナイトコミック_ツンツンヤンキーちゃんは弱々乳首をいじれば結構なんでもヤらせてくれる")</f>
        <v>20240521_ナイトコミック_ツンツンヤンキーちゃんは弱々乳首をいじれば結構なんでもヤらせてくれる</v>
      </c>
      <c r="T1514" s="22" t="str">
        <f>IFERROR(__xludf.DUMMYFUNCTION("""COMPUTED_VALUE"""),"格納済み")</f>
        <v>格納済み</v>
      </c>
      <c r="U1514" s="15" t="str">
        <f>IFERROR(__xludf.DUMMYFUNCTION("""COMPUTED_VALUE"""),"©ぐじら")</f>
        <v>©ぐじら</v>
      </c>
      <c r="V1514" s="8" t="str">
        <f>IFERROR(__xludf.DUMMYFUNCTION("""COMPUTED_VALUE"""),"同じクラスのヤンキー女子、相良さん。ひょんなことから彼女にからまれた主人公は、さらにひょんなことから彼女の敏感乳首のお世話を手伝うことに。最初はただのチクニーグッズとして扱われていた主人公だが、ヤンキーちゃんは乳首さえいじっていれば上機嫌であり、さらに割とエッチな要求にもこたえてくれることに気づく。
あんなに怖かったヤンキーちゃんにパンチラ写真を要求したり、顔射したり、フェラしてもらったり…。あれっ？もしかしてヤンキーちゃんって可愛い一面もあるのでは？そんなある日、主人公はとうとうガチな場所（ホテル）に"&amp;"ヤンキーちゃんを連れ込むのであった…")</f>
        <v>同じクラスのヤンキー女子、相良さん。ひょんなことから彼女にからまれた主人公は、さらにひょんなことから彼女の敏感乳首のお世話を手伝うことに。最初はただのチクニーグッズとして扱われていた主人公だが、ヤンキーちゃんは乳首さえいじっていれば上機嫌であり、さらに割とエッチな要求にもこたえてくれることに気づく。
あんなに怖かったヤンキーちゃんにパンチラ写真を要求したり、顔射したり、フェラしてもらったり…。あれっ？もしかしてヤンキーちゃんって可愛い一面もあるのでは？そんなある日、主人公はとうとうガチな場所（ホテル）にヤンキーちゃんを連れ込むのであった…</v>
      </c>
      <c r="W1514" s="8"/>
      <c r="X1514" s="14" t="str">
        <f>IFERROR(__xludf.DUMMYFUNCTION("""COMPUTED_VALUE"""),"有")</f>
        <v>有</v>
      </c>
      <c r="Y1514" s="8" t="str">
        <f>IFERROR(__xludf.DUMMYFUNCTION("""COMPUTED_VALUE"""),"2024/9/5まで立ち読み増量
1巻目⇒21ページ
2巻目⇒14ページ
3巻目⇒10ページ")</f>
        <v>2024/9/5まで立ち読み増量
1巻目⇒21ページ
2巻目⇒14ページ
3巻目⇒10ページ</v>
      </c>
      <c r="Z1514" s="7"/>
      <c r="AA1514" s="7"/>
      <c r="AB1514" s="7"/>
    </row>
    <row r="1515" ht="15.75" customHeight="1">
      <c r="A1515" s="26">
        <f>IFERROR(__xludf.DUMMYFUNCTION("""COMPUTED_VALUE"""),3256.0)</f>
        <v>3256</v>
      </c>
      <c r="B1515" s="22" t="str">
        <f>IFERROR(__xludf.DUMMYFUNCTION("""COMPUTED_VALUE"""),"確定")</f>
        <v>確定</v>
      </c>
      <c r="C1515" s="28">
        <f>IFERROR(__xludf.DUMMYFUNCTION("""COMPUTED_VALUE"""),45391.0)</f>
        <v>45391</v>
      </c>
      <c r="D1515" s="28">
        <f>IFERROR(__xludf.DUMMYFUNCTION("""COMPUTED_VALUE"""),45429.0)</f>
        <v>45429</v>
      </c>
      <c r="E1515" s="26">
        <f>IFERROR(__xludf.DUMMYFUNCTION("""COMPUTED_VALUE"""),294133.0)</f>
        <v>294133</v>
      </c>
      <c r="F1515" s="22" t="str">
        <f>IFERROR(__xludf.DUMMYFUNCTION("""COMPUTED_VALUE"""),"陛下、心の声がうるさすぎます。私へのえっちな妄想はお控えください！？")</f>
        <v>陛下、心の声がうるさすぎます。私へのえっちな妄想はお控えください！？</v>
      </c>
      <c r="G1515" s="16" t="str">
        <f>IFERROR(__xludf.DUMMYFUNCTION("""COMPUTED_VALUE"""),"1～3")</f>
        <v>1～3</v>
      </c>
      <c r="H1515" s="22" t="str">
        <f>IFERROR(__xludf.DUMMYFUNCTION("""COMPUTED_VALUE"""),"東里桐子")</f>
        <v>東里桐子</v>
      </c>
      <c r="I1515" s="22" t="str">
        <f>IFERROR(__xludf.DUMMYFUNCTION("""COMPUTED_VALUE"""),"女性")</f>
        <v>女性</v>
      </c>
      <c r="J1515" s="22"/>
      <c r="K1515" s="22"/>
      <c r="L1515" s="22" t="str">
        <f>IFERROR(__xludf.DUMMYFUNCTION("""COMPUTED_VALUE"""),"プランタン出版")</f>
        <v>プランタン出版</v>
      </c>
      <c r="M1515" s="23">
        <f>IFERROR(__xludf.DUMMYFUNCTION("""COMPUTED_VALUE"""),45450.0)</f>
        <v>45450</v>
      </c>
      <c r="N1515" s="23">
        <f>IFERROR(__xludf.DUMMYFUNCTION("""COMPUTED_VALUE"""),45540.0)</f>
        <v>45540</v>
      </c>
      <c r="O1515" s="20"/>
      <c r="P1515" s="34" t="str">
        <f>IFERROR(__xludf.DUMMYFUNCTION("""COMPUTED_VALUE"""),"可")</f>
        <v>可</v>
      </c>
      <c r="Q1515" s="30" t="str">
        <f>IFERROR(__xludf.DUMMYFUNCTION("""COMPUTED_VALUE"""),"広告コミットOK")</f>
        <v>広告コミットOK</v>
      </c>
      <c r="R1515" s="22"/>
      <c r="S1515" s="22" t="str">
        <f>IFERROR(__xludf.DUMMYFUNCTION("""COMPUTED_VALUE"""),"20240516_フランス書院_陛下、心の声がうるさすぎます。")</f>
        <v>20240516_フランス書院_陛下、心の声がうるさすぎます。</v>
      </c>
      <c r="T1515" s="22" t="str">
        <f>IFERROR(__xludf.DUMMYFUNCTION("""COMPUTED_VALUE"""),"格納済み")</f>
        <v>格納済み</v>
      </c>
      <c r="U1515" s="15" t="str">
        <f>IFERROR(__xludf.DUMMYFUNCTION("""COMPUTED_VALUE"""),"(C)東里桐子／桐原のん／ちろりん／プランタン出版")</f>
        <v>(C)東里桐子／桐原のん／ちろりん／プランタン出版</v>
      </c>
      <c r="V1515" s="8" t="str">
        <f>IFERROR(__xludf.DUMMYFUNCTION("""COMPUTED_VALUE"""),"人の心の声が聞こえる不思議な力を持つエリカ。
お城の侍女として働いていたら、夜な夜な疲労に苦しむ誰かの声が聞こえてきて……。
声の持ち主は、なんと超人と謳われる無敵の皇帝ユリウスだった。
平穏な日常を取り戻すために安眠の手伝いを始めたら、
【好きだエリカ、君の中に挿入りたいっ！】
今度は淫らな欲望まみれの雄叫びが――。
いつもクールなユリウス様が本当にこんなことを……!?
暴走（気味な？）皇帝陛下と健気な侍女の、ちょっぴりエッチな恋愛奮闘記！")</f>
        <v>人の心の声が聞こえる不思議な力を持つエリカ。
お城の侍女として働いていたら、夜な夜な疲労に苦しむ誰かの声が聞こえてきて……。
声の持ち主は、なんと超人と謳われる無敵の皇帝ユリウスだった。
平穏な日常を取り戻すために安眠の手伝いを始めたら、
【好きだエリカ、君の中に挿入りたいっ！】
今度は淫らな欲望まみれの雄叫びが――。
いつもクールなユリウス様が本当にこんなことを……!?
暴走（気味な？）皇帝陛下と健気な侍女の、ちょっぴりエッチな恋愛奮闘記！</v>
      </c>
      <c r="W1515" s="14"/>
      <c r="X1515" s="14" t="str">
        <f>IFERROR(__xludf.DUMMYFUNCTION("""COMPUTED_VALUE"""),"有")</f>
        <v>有</v>
      </c>
      <c r="Y1515" s="8" t="str">
        <f>IFERROR(__xludf.DUMMYFUNCTION("""COMPUTED_VALUE"""),"P14まで")</f>
        <v>P14まで</v>
      </c>
      <c r="Z1515" s="7"/>
      <c r="AA1515" s="7"/>
      <c r="AB1515" s="7"/>
    </row>
    <row r="1516" ht="99.0" customHeight="1">
      <c r="A1516" s="26">
        <f>IFERROR(__xludf.DUMMYFUNCTION("""COMPUTED_VALUE"""),3286.0)</f>
        <v>3286</v>
      </c>
      <c r="B1516" s="22" t="str">
        <f>IFERROR(__xludf.DUMMYFUNCTION("""COMPUTED_VALUE"""),"確定")</f>
        <v>確定</v>
      </c>
      <c r="C1516" s="28">
        <f>IFERROR(__xludf.DUMMYFUNCTION("""COMPUTED_VALUE"""),45394.0)</f>
        <v>45394</v>
      </c>
      <c r="D1516" s="28">
        <f>IFERROR(__xludf.DUMMYFUNCTION("""COMPUTED_VALUE"""),45428.0)</f>
        <v>45428</v>
      </c>
      <c r="E1516" s="26">
        <f>IFERROR(__xludf.DUMMYFUNCTION("""COMPUTED_VALUE"""),294228.0)</f>
        <v>294228</v>
      </c>
      <c r="F1516" s="22" t="str">
        <f>IFERROR(__xludf.DUMMYFUNCTION("""COMPUTED_VALUE"""),"今日は何する？【マイクロ】")</f>
        <v>今日は何する？【マイクロ】</v>
      </c>
      <c r="G1516" s="16" t="str">
        <f>IFERROR(__xludf.DUMMYFUNCTION("""COMPUTED_VALUE"""),"1～3")</f>
        <v>1～3</v>
      </c>
      <c r="H1516" s="22" t="str">
        <f>IFERROR(__xludf.DUMMYFUNCTION("""COMPUTED_VALUE"""),"嶋木あこ")</f>
        <v>嶋木あこ</v>
      </c>
      <c r="I1516" s="46" t="str">
        <f>IFERROR(__xludf.DUMMYFUNCTION("""COMPUTED_VALUE"""),"少女")</f>
        <v>少女</v>
      </c>
      <c r="J1516" s="22"/>
      <c r="K1516" s="22"/>
      <c r="L1516" s="22" t="str">
        <f>IFERROR(__xludf.DUMMYFUNCTION("""COMPUTED_VALUE"""),"小学館")</f>
        <v>小学館</v>
      </c>
      <c r="M1516" s="23">
        <f>IFERROR(__xludf.DUMMYFUNCTION("""COMPUTED_VALUE"""),45448.0)</f>
        <v>45448</v>
      </c>
      <c r="N1516" s="47">
        <f>IFERROR(__xludf.DUMMYFUNCTION("""COMPUTED_VALUE"""),45508.0)</f>
        <v>45508</v>
      </c>
      <c r="O1516" s="20"/>
      <c r="P1516" s="34" t="str">
        <f>IFERROR(__xludf.DUMMYFUNCTION("""COMPUTED_VALUE"""),"否")</f>
        <v>否</v>
      </c>
      <c r="Q1516" s="30" t="str">
        <f>IFERROR(__xludf.DUMMYFUNCTION("""COMPUTED_VALUE"""),"広告コミットOK(4/18)")</f>
        <v>広告コミットOK(4/18)</v>
      </c>
      <c r="R1516" s="22"/>
      <c r="S1516" s="22" t="str">
        <f>IFERROR(__xludf.DUMMYFUNCTION("""COMPUTED_VALUE"""),"20240516_小学館_今日は何する？【マイクロ】")</f>
        <v>20240516_小学館_今日は何する？【マイクロ】</v>
      </c>
      <c r="T1516" s="22" t="str">
        <f>IFERROR(__xludf.DUMMYFUNCTION("""COMPUTED_VALUE"""),"格納済み")</f>
        <v>格納済み</v>
      </c>
      <c r="U1516" s="15" t="str">
        <f>IFERROR(__xludf.DUMMYFUNCTION("""COMPUTED_VALUE"""),"(C)嶋木あこ / 小学館")</f>
        <v>(C)嶋木あこ / 小学館</v>
      </c>
      <c r="V1516" s="8" t="str">
        <f>IFERROR(__xludf.DUMMYFUNCTION("""COMPUTED_VALUE"""),"眉目秀麗、学業優秀、スポーツ万能。将来を嘱望され、周囲からも一目を置かれる・・・そんな西脇衛は、13才年下の弟・誠を溺愛！　弟のためにすべてを捧げる衛の、超人的愛と受難の日々とはーー！？　『ぴんとこな』『殉国のアルファ』の嶋木あこの最新作！！")</f>
        <v>眉目秀麗、学業優秀、スポーツ万能。将来を嘱望され、周囲からも一目を置かれる・・・そんな西脇衛は、13才年下の弟・誠を溺愛！　弟のためにすべてを捧げる衛の、超人的愛と受難の日々とはーー！？　『ぴんとこな』『殉国のアルファ』の嶋木あこの最新作！！</v>
      </c>
      <c r="W1516" s="14"/>
      <c r="X1516" s="14" t="str">
        <f>IFERROR(__xludf.DUMMYFUNCTION("""COMPUTED_VALUE"""),"有")</f>
        <v>有</v>
      </c>
      <c r="Y1516" s="8" t="str">
        <f>IFERROR(__xludf.DUMMYFUNCTION("""COMPUTED_VALUE"""),"2024/8/4まで1巻無料")</f>
        <v>2024/8/4まで1巻無料</v>
      </c>
      <c r="Z1516" s="7"/>
      <c r="AA1516" s="7"/>
      <c r="AB1516" s="7"/>
    </row>
    <row r="1517" ht="15.75" customHeight="1">
      <c r="A1517" s="26">
        <f>IFERROR(__xludf.DUMMYFUNCTION("""COMPUTED_VALUE"""),3322.0)</f>
        <v>3322</v>
      </c>
      <c r="B1517" s="22" t="str">
        <f>IFERROR(__xludf.DUMMYFUNCTION("""COMPUTED_VALUE"""),"確定")</f>
        <v>確定</v>
      </c>
      <c r="C1517" s="28">
        <f>IFERROR(__xludf.DUMMYFUNCTION("""COMPUTED_VALUE"""),45404.0)</f>
        <v>45404</v>
      </c>
      <c r="D1517" s="28">
        <f>IFERROR(__xludf.DUMMYFUNCTION("""COMPUTED_VALUE"""),45433.0)</f>
        <v>45433</v>
      </c>
      <c r="E1517" s="26">
        <f>IFERROR(__xludf.DUMMYFUNCTION("""COMPUTED_VALUE"""),293673.0)</f>
        <v>293673</v>
      </c>
      <c r="F1517" s="22" t="str">
        <f>IFERROR(__xludf.DUMMYFUNCTION("""COMPUTED_VALUE"""),"裏切られた盗賊、怪盗魔王になって世界を掌握する")</f>
        <v>裏切られた盗賊、怪盗魔王になって世界を掌握する</v>
      </c>
      <c r="G1517" s="20" t="str">
        <f>IFERROR(__xludf.DUMMYFUNCTION("""COMPUTED_VALUE"""),"1～3")</f>
        <v>1～3</v>
      </c>
      <c r="H1517" s="22" t="str">
        <f>IFERROR(__xludf.DUMMYFUNCTION("""COMPUTED_VALUE"""),"マンガ：ちゃずー　原作マライヤ・ムー　キャラデザ：武田ほたる")</f>
        <v>マンガ：ちゃずー　原作マライヤ・ムー　キャラデザ：武田ほたる</v>
      </c>
      <c r="I1517" s="22" t="str">
        <f>IFERROR(__xludf.DUMMYFUNCTION("""COMPUTED_VALUE"""),"青年")</f>
        <v>青年</v>
      </c>
      <c r="J1517" s="22"/>
      <c r="K1517" s="22"/>
      <c r="L1517" s="22" t="str">
        <f>IFERROR(__xludf.DUMMYFUNCTION("""COMPUTED_VALUE"""),"一迅社")</f>
        <v>一迅社</v>
      </c>
      <c r="M1517" s="23">
        <f>IFERROR(__xludf.DUMMYFUNCTION("""COMPUTED_VALUE"""),45453.0)</f>
        <v>45453</v>
      </c>
      <c r="N1517" s="23">
        <f>IFERROR(__xludf.DUMMYFUNCTION("""COMPUTED_VALUE"""),45482.0)</f>
        <v>45482</v>
      </c>
      <c r="O1517" s="20"/>
      <c r="P1517" s="34" t="str">
        <f>IFERROR(__xludf.DUMMYFUNCTION("""COMPUTED_VALUE"""),"可")</f>
        <v>可</v>
      </c>
      <c r="Q1517" s="30" t="str">
        <f>IFERROR(__xludf.DUMMYFUNCTION("""COMPUTED_VALUE"""),"広告コミットOK(4/26)")</f>
        <v>広告コミットOK(4/26)</v>
      </c>
      <c r="R1517" s="22"/>
      <c r="S1517" s="22" t="str">
        <f>IFERROR(__xludf.DUMMYFUNCTION("""COMPUTED_VALUE"""),"20240520_一迅社_裏切られた盗賊、怪盗魔王になって世界を掌握する")</f>
        <v>20240520_一迅社_裏切られた盗賊、怪盗魔王になって世界を掌握する</v>
      </c>
      <c r="T1517" s="22" t="str">
        <f>IFERROR(__xludf.DUMMYFUNCTION("""COMPUTED_VALUE"""),"格納済み")</f>
        <v>格納済み</v>
      </c>
      <c r="U1517" s="15" t="str">
        <f>IFERROR(__xludf.DUMMYFUNCTION("""COMPUTED_VALUE"""),"(C)ちゃずー／マライヤ・ムー／今井三太郎／武田ほたる／一迅社")</f>
        <v>(C)ちゃずー／マライヤ・ムー／今井三太郎／武田ほたる／一迅社</v>
      </c>
      <c r="V1517" s="8" t="str">
        <f>IFERROR(__xludf.DUMMYFUNCTION("""COMPUTED_VALUE"""),"家族を囚われ、魔王討伐パーティーに入れられた盗賊キース。彼の活躍もあり無事に魔王を倒したが、キースを快く思わない国王や勇者たちに裏切られ、殺されかけてしまう。命からがら逃げのびたキースの頭には気づけば禍々しい角が生え、他者のスキルやステータスなど全てを盗める破壊と暴力の化身“怪盗魔王”に変身していた!! 前魔王の配下【四天王】と魔物を従え、裏切った人間どもに鉄槌を下す！　【本商品は単話コンテンツとなります。単行本版と収録内容が異なる場合がございます。漫画内の告知等は過去のものとなりますので、ご注意ください"&amp;"。】")</f>
        <v>家族を囚われ、魔王討伐パーティーに入れられた盗賊キース。彼の活躍もあり無事に魔王を倒したが、キースを快く思わない国王や勇者たちに裏切られ、殺されかけてしまう。命からがら逃げのびたキースの頭には気づけば禍々しい角が生え、他者のスキルやステータスなど全てを盗める破壊と暴力の化身“怪盗魔王”に変身していた!! 前魔王の配下【四天王】と魔物を従え、裏切った人間どもに鉄槌を下す！　【本商品は単話コンテンツとなります。単行本版と収録内容が異なる場合がございます。漫画内の告知等は過去のものとなりますので、ご注意ください。】</v>
      </c>
      <c r="W1517" s="14"/>
      <c r="X1517" s="14" t="str">
        <f>IFERROR(__xludf.DUMMYFUNCTION("""COMPUTED_VALUE"""),"有")</f>
        <v>有</v>
      </c>
      <c r="Y1517" s="8" t="str">
        <f>IFERROR(__xludf.DUMMYFUNCTION("""COMPUTED_VALUE"""),"2024/7/9まで1巻無料")</f>
        <v>2024/7/9まで1巻無料</v>
      </c>
      <c r="Z1517" s="7"/>
      <c r="AA1517" s="7"/>
      <c r="AB1517" s="7"/>
    </row>
    <row r="1518" ht="15.75" customHeight="1">
      <c r="A1518" s="26">
        <f>IFERROR(__xludf.DUMMYFUNCTION("""COMPUTED_VALUE"""),3329.0)</f>
        <v>3329</v>
      </c>
      <c r="B1518" s="22" t="str">
        <f>IFERROR(__xludf.DUMMYFUNCTION("""COMPUTED_VALUE"""),"確定")</f>
        <v>確定</v>
      </c>
      <c r="C1518" s="28">
        <f>IFERROR(__xludf.DUMMYFUNCTION("""COMPUTED_VALUE"""),45406.0)</f>
        <v>45406</v>
      </c>
      <c r="D1518" s="28">
        <f>IFERROR(__xludf.DUMMYFUNCTION("""COMPUTED_VALUE"""),45433.0)</f>
        <v>45433</v>
      </c>
      <c r="E1518" s="26">
        <f>IFERROR(__xludf.DUMMYFUNCTION("""COMPUTED_VALUE"""),294480.0)</f>
        <v>294480</v>
      </c>
      <c r="F1518" s="22" t="str">
        <f>IFERROR(__xludf.DUMMYFUNCTION("""COMPUTED_VALUE"""),"大好きな君に気持ちよくなってほしいから、")</f>
        <v>大好きな君に気持ちよくなってほしいから、</v>
      </c>
      <c r="G1518" s="11" t="str">
        <f>IFERROR(__xludf.DUMMYFUNCTION("""COMPUTED_VALUE"""),"1～2")</f>
        <v>1～2</v>
      </c>
      <c r="H1518" s="22" t="str">
        <f>IFERROR(__xludf.DUMMYFUNCTION("""COMPUTED_VALUE"""),"夏尾┴THE猥談")</f>
        <v>夏尾┴THE猥談</v>
      </c>
      <c r="I1518" s="22" t="str">
        <f>IFERROR(__xludf.DUMMYFUNCTION("""COMPUTED_VALUE"""),"TL")</f>
        <v>TL</v>
      </c>
      <c r="J1518" s="22"/>
      <c r="K1518" s="22"/>
      <c r="L1518" s="22" t="str">
        <f>IFERROR(__xludf.DUMMYFUNCTION("""COMPUTED_VALUE"""),"ブリック出版")</f>
        <v>ブリック出版</v>
      </c>
      <c r="M1518" s="23">
        <f>IFERROR(__xludf.DUMMYFUNCTION("""COMPUTED_VALUE"""),45443.0)</f>
        <v>45443</v>
      </c>
      <c r="N1518" s="23">
        <f>IFERROR(__xludf.DUMMYFUNCTION("""COMPUTED_VALUE"""),45533.66666666667)</f>
        <v>45533.66667</v>
      </c>
      <c r="O1518" s="20"/>
      <c r="P1518" s="34" t="str">
        <f>IFERROR(__xludf.DUMMYFUNCTION("""COMPUTED_VALUE"""),"可")</f>
        <v>可</v>
      </c>
      <c r="Q1518" s="30" t="str">
        <f>IFERROR(__xludf.DUMMYFUNCTION("""COMPUTED_VALUE"""),"河上さん事前コミット作品です。")</f>
        <v>河上さん事前コミット作品です。</v>
      </c>
      <c r="R1518" s="22"/>
      <c r="S1518" s="22" t="str">
        <f>IFERROR(__xludf.DUMMYFUNCTION("""COMPUTED_VALUE"""),"20240521_BookLive_大好きな君に気持ちよくなってほしいから")</f>
        <v>20240521_BookLive_大好きな君に気持ちよくなってほしいから</v>
      </c>
      <c r="T1518" s="22" t="str">
        <f>IFERROR(__xludf.DUMMYFUNCTION("""COMPUTED_VALUE"""),"格納済み")</f>
        <v>格納済み</v>
      </c>
      <c r="U1518" s="15" t="str">
        <f>IFERROR(__xludf.DUMMYFUNCTION("""COMPUTED_VALUE"""),"Ⓒ夏尾/THE猥談/ブリック出版")</f>
        <v>Ⓒ夏尾/THE猥談/ブリック出版</v>
      </c>
      <c r="V1518" s="8" t="str">
        <f>IFERROR(__xludf.DUMMYFUNCTION("""COMPUTED_VALUE"""),"付き合って3ヶ月、初めて彼の家に入る。
彼氏の憲太は今日初めて、彼女を家に招くらしい。
私はーー
男性の家に来たのは、初めてではない。
過去の男の人たちには、都合よく呼ばれて
やるだけの相手に少しづつ幻滅していってーー…。
男の人は自分さえ気持ち良くなればいいと思ってた。
でも、憲太はまっすぐで、やさしくて、
本当に人生で一番大好き。
だからこそ、幻滅したくないし、されたくない。
こんなに好きなのに、触れるのが怖い。
「...ごめん　慣れてなくて」
「でも、好き"&amp;"」
「千瑛ちゃんのこと、大好き」
ゆっくり、憲太は私の身体に触れていってーー…。
※本作は夏尾、THE猥談の個人誌作品の電子書籍版となります。【28ページ】")</f>
        <v>付き合って3ヶ月、初めて彼の家に入る。
彼氏の憲太は今日初めて、彼女を家に招くらしい。
私はーー
男性の家に来たのは、初めてではない。
過去の男の人たちには、都合よく呼ばれて
やるだけの相手に少しづつ幻滅していってーー…。
男の人は自分さえ気持ち良くなればいいと思ってた。
でも、憲太はまっすぐで、やさしくて、
本当に人生で一番大好き。
だからこそ、幻滅したくないし、されたくない。
こんなに好きなのに、触れるのが怖い。
「...ごめん　慣れてなくて」
「でも、好き」
「千瑛ちゃんのこと、大好き」
ゆっくり、憲太は私の身体に触れていってーー…。
※本作は夏尾、THE猥談の個人誌作品の電子書籍版となります。【28ページ】</v>
      </c>
      <c r="W1518" s="14"/>
      <c r="X1518" s="14" t="str">
        <f>IFERROR(__xludf.DUMMYFUNCTION("""COMPUTED_VALUE"""),"有")</f>
        <v>有</v>
      </c>
      <c r="Y1518" s="8" t="str">
        <f>IFERROR(__xludf.DUMMYFUNCTION("""COMPUTED_VALUE"""),"P14まで")</f>
        <v>P14まで</v>
      </c>
      <c r="Z1518" s="7"/>
      <c r="AA1518" s="7"/>
      <c r="AB1518" s="7"/>
    </row>
    <row r="1519" ht="15.75" customHeight="1">
      <c r="A1519" s="26">
        <f>IFERROR(__xludf.DUMMYFUNCTION("""COMPUTED_VALUE"""),3330.0)</f>
        <v>3330</v>
      </c>
      <c r="B1519" s="22" t="str">
        <f>IFERROR(__xludf.DUMMYFUNCTION("""COMPUTED_VALUE"""),"確定")</f>
        <v>確定</v>
      </c>
      <c r="C1519" s="28">
        <f>IFERROR(__xludf.DUMMYFUNCTION("""COMPUTED_VALUE"""),45406.0)</f>
        <v>45406</v>
      </c>
      <c r="D1519" s="28">
        <f>IFERROR(__xludf.DUMMYFUNCTION("""COMPUTED_VALUE"""),45433.0)</f>
        <v>45433</v>
      </c>
      <c r="E1519" s="26">
        <f>IFERROR(__xludf.DUMMYFUNCTION("""COMPUTED_VALUE"""),294439.0)</f>
        <v>294439</v>
      </c>
      <c r="F1519" s="22" t="str">
        <f>IFERROR(__xludf.DUMMYFUNCTION("""COMPUTED_VALUE"""),"大好きな君に気持ちよくなってほしいから、【R版】")</f>
        <v>大好きな君に気持ちよくなってほしいから、【R版】</v>
      </c>
      <c r="G1519" s="11" t="str">
        <f>IFERROR(__xludf.DUMMYFUNCTION("""COMPUTED_VALUE"""),"1～2")</f>
        <v>1～2</v>
      </c>
      <c r="H1519" s="22" t="str">
        <f>IFERROR(__xludf.DUMMYFUNCTION("""COMPUTED_VALUE"""),"夏尾┴THE猥談")</f>
        <v>夏尾┴THE猥談</v>
      </c>
      <c r="I1519" s="22" t="str">
        <f>IFERROR(__xludf.DUMMYFUNCTION("""COMPUTED_VALUE"""),"オトナ")</f>
        <v>オトナ</v>
      </c>
      <c r="J1519" s="22"/>
      <c r="K1519" s="22"/>
      <c r="L1519" s="22" t="str">
        <f>IFERROR(__xludf.DUMMYFUNCTION("""COMPUTED_VALUE"""),"ブリック出版")</f>
        <v>ブリック出版</v>
      </c>
      <c r="M1519" s="23">
        <f>IFERROR(__xludf.DUMMYFUNCTION("""COMPUTED_VALUE"""),45443.0)</f>
        <v>45443</v>
      </c>
      <c r="N1519" s="23">
        <f>IFERROR(__xludf.DUMMYFUNCTION("""COMPUTED_VALUE"""),45533.66666666667)</f>
        <v>45533.66667</v>
      </c>
      <c r="O1519" s="20"/>
      <c r="P1519" s="34" t="str">
        <f>IFERROR(__xludf.DUMMYFUNCTION("""COMPUTED_VALUE"""),"可")</f>
        <v>可</v>
      </c>
      <c r="Q1519" s="30" t="str">
        <f>IFERROR(__xludf.DUMMYFUNCTION("""COMPUTED_VALUE"""),"河上さん事前コミット作品です。")</f>
        <v>河上さん事前コミット作品です。</v>
      </c>
      <c r="R1519" s="22"/>
      <c r="S1519" s="22" t="str">
        <f>IFERROR(__xludf.DUMMYFUNCTION("""COMPUTED_VALUE"""),"20240521_BookLive_大好きな君に気持ちよくなってほしいから【R版】")</f>
        <v>20240521_BookLive_大好きな君に気持ちよくなってほしいから【R版】</v>
      </c>
      <c r="T1519" s="22" t="str">
        <f>IFERROR(__xludf.DUMMYFUNCTION("""COMPUTED_VALUE"""),"格納済み")</f>
        <v>格納済み</v>
      </c>
      <c r="U1519" s="15" t="str">
        <f>IFERROR(__xludf.DUMMYFUNCTION("""COMPUTED_VALUE"""),"Ⓒ夏尾/THE猥談/ブリック出版")</f>
        <v>Ⓒ夏尾/THE猥談/ブリック出版</v>
      </c>
      <c r="V1519" s="8" t="str">
        <f>IFERROR(__xludf.DUMMYFUNCTION("""COMPUTED_VALUE"""),"付き合って3ヶ月、初めて彼の家に入る。
彼氏の憲太は今日初めて、彼女を家に招くらしい。
私はーー
男性の家に来たのは、初めてではない。
過去の男の人たちには、都合よく呼ばれて
やるだけの相手に少しづつ幻滅していってーー…。
男の人は自分さえ気持ち良くなればいいと思ってた。
でも、憲太はまっすぐで、やさしくて、
本当に人生で一番大好き。
だからこそ、幻滅したくないし、されたくない。
こんなに好きなのに、触れるのが怖い。
「...ごめん　慣れてなくて」
「でも、好き"&amp;"」
「千瑛ちゃんのこと、大好き」
ゆっくり、憲太は私の身体に触れていってーー…。
※本作は夏尾、THE猥談の個人誌作品の電子書籍版となります。【28ページ】
※本作は『大好きな君に気持ちよくなってほしいから、』の修正をやや弱めたものです。内容に差異はありません。")</f>
        <v>付き合って3ヶ月、初めて彼の家に入る。
彼氏の憲太は今日初めて、彼女を家に招くらしい。
私はーー
男性の家に来たのは、初めてではない。
過去の男の人たちには、都合よく呼ばれて
やるだけの相手に少しづつ幻滅していってーー…。
男の人は自分さえ気持ち良くなればいいと思ってた。
でも、憲太はまっすぐで、やさしくて、
本当に人生で一番大好き。
だからこそ、幻滅したくないし、されたくない。
こんなに好きなのに、触れるのが怖い。
「...ごめん　慣れてなくて」
「でも、好き」
「千瑛ちゃんのこと、大好き」
ゆっくり、憲太は私の身体に触れていってーー…。
※本作は夏尾、THE猥談の個人誌作品の電子書籍版となります。【28ページ】
※本作は『大好きな君に気持ちよくなってほしいから、』の修正をやや弱めたものです。内容に差異はありません。</v>
      </c>
      <c r="W1519" s="14"/>
      <c r="X1519" s="14" t="str">
        <f>IFERROR(__xludf.DUMMYFUNCTION("""COMPUTED_VALUE"""),"有")</f>
        <v>有</v>
      </c>
      <c r="Y1519" s="8" t="str">
        <f>IFERROR(__xludf.DUMMYFUNCTION("""COMPUTED_VALUE"""),"P14まで")</f>
        <v>P14まで</v>
      </c>
      <c r="Z1519" s="7"/>
      <c r="AA1519" s="7"/>
      <c r="AB1519" s="7"/>
    </row>
    <row r="1520" ht="15.75" customHeight="1">
      <c r="A1520" s="26">
        <f>IFERROR(__xludf.DUMMYFUNCTION("""COMPUTED_VALUE"""),3331.0)</f>
        <v>3331</v>
      </c>
      <c r="B1520" s="22" t="str">
        <f>IFERROR(__xludf.DUMMYFUNCTION("""COMPUTED_VALUE"""),"確定")</f>
        <v>確定</v>
      </c>
      <c r="C1520" s="28">
        <f>IFERROR(__xludf.DUMMYFUNCTION("""COMPUTED_VALUE"""),45406.0)</f>
        <v>45406</v>
      </c>
      <c r="D1520" s="28">
        <f>IFERROR(__xludf.DUMMYFUNCTION("""COMPUTED_VALUE"""),45433.0)</f>
        <v>45433</v>
      </c>
      <c r="E1520" s="26">
        <f>IFERROR(__xludf.DUMMYFUNCTION("""COMPUTED_VALUE"""),294481.0)</f>
        <v>294481</v>
      </c>
      <c r="F1520" s="22" t="str">
        <f>IFERROR(__xludf.DUMMYFUNCTION("""COMPUTED_VALUE"""),"奥手な年上彼氏の理性ぜんぶ壊すランジェリー")</f>
        <v>奥手な年上彼氏の理性ぜんぶ壊すランジェリー</v>
      </c>
      <c r="G1520" s="11" t="str">
        <f>IFERROR(__xludf.DUMMYFUNCTION("""COMPUTED_VALUE"""),"1～2")</f>
        <v>1～2</v>
      </c>
      <c r="H1520" s="22" t="str">
        <f>IFERROR(__xludf.DUMMYFUNCTION("""COMPUTED_VALUE"""),"wakako┴THE猥談")</f>
        <v>wakako┴THE猥談</v>
      </c>
      <c r="I1520" s="22" t="str">
        <f>IFERROR(__xludf.DUMMYFUNCTION("""COMPUTED_VALUE"""),"TL")</f>
        <v>TL</v>
      </c>
      <c r="J1520" s="22"/>
      <c r="K1520" s="22"/>
      <c r="L1520" s="22" t="str">
        <f>IFERROR(__xludf.DUMMYFUNCTION("""COMPUTED_VALUE"""),"ブリック出版")</f>
        <v>ブリック出版</v>
      </c>
      <c r="M1520" s="23">
        <f>IFERROR(__xludf.DUMMYFUNCTION("""COMPUTED_VALUE"""),45443.0)</f>
        <v>45443</v>
      </c>
      <c r="N1520" s="23">
        <f>IFERROR(__xludf.DUMMYFUNCTION("""COMPUTED_VALUE"""),45533.66666666667)</f>
        <v>45533.66667</v>
      </c>
      <c r="O1520" s="20"/>
      <c r="P1520" s="34" t="str">
        <f>IFERROR(__xludf.DUMMYFUNCTION("""COMPUTED_VALUE"""),"可")</f>
        <v>可</v>
      </c>
      <c r="Q1520" s="30" t="str">
        <f>IFERROR(__xludf.DUMMYFUNCTION("""COMPUTED_VALUE"""),"河上さん事前コミット作品です。")</f>
        <v>河上さん事前コミット作品です。</v>
      </c>
      <c r="R1520" s="22"/>
      <c r="S1520" s="22" t="str">
        <f>IFERROR(__xludf.DUMMYFUNCTION("""COMPUTED_VALUE"""),"20240521_BookLive_奥手な年上彼氏の理性ぜんぶ壊すランジェリー")</f>
        <v>20240521_BookLive_奥手な年上彼氏の理性ぜんぶ壊すランジェリー</v>
      </c>
      <c r="T1520" s="22" t="str">
        <f>IFERROR(__xludf.DUMMYFUNCTION("""COMPUTED_VALUE"""),"格納済み")</f>
        <v>格納済み</v>
      </c>
      <c r="U1520" s="15" t="str">
        <f>IFERROR(__xludf.DUMMYFUNCTION("""COMPUTED_VALUE"""),"Ⓒwakako/THE猥談/ブリック出版")</f>
        <v>Ⓒwakako/THE猥談/ブリック出版</v>
      </c>
      <c r="V1520" s="8" t="str">
        <f>IFERROR(__xludf.DUMMYFUNCTION("""COMPUTED_VALUE"""),"10歳年上の賢太郎と付き合って10ヶ月、結ばれるまで6ヶ月。
歳の差もあって奥手な彼と、そこまで経験がなかった私。
なんとなく今も遠慮し合っているこの状況を打破するにはーーー
セクシーランジェリーしかないかもしれない…!
思い切って、賢太郎に今話題の海外の通販サイト画面を見せてみると
その反応は…
「いいね　それ」
「…買う?」
意外にも乗り気だったみたいで…。
「初めて下着とか選んだけど」
「これ着たら、を想像したりするの　結構楽しかったです」
さっそく着て"&amp;"みようと届いたものを開封したら、
そこには布面積がほぼないスッケスケのランジェリーが…!?
ーーこれ　ホントにあの賢太郎が選んだもの…!?
※本作はwakako、THE猥談の個人誌作品の電子書籍版となります。【29ページ】")</f>
        <v>10歳年上の賢太郎と付き合って10ヶ月、結ばれるまで6ヶ月。
歳の差もあって奥手な彼と、そこまで経験がなかった私。
なんとなく今も遠慮し合っているこの状況を打破するにはーーー
セクシーランジェリーしかないかもしれない…!
思い切って、賢太郎に今話題の海外の通販サイト画面を見せてみると
その反応は…
「いいね　それ」
「…買う?」
意外にも乗り気だったみたいで…。
「初めて下着とか選んだけど」
「これ着たら、を想像したりするの　結構楽しかったです」
さっそく着てみようと届いたものを開封したら、
そこには布面積がほぼないスッケスケのランジェリーが…!?
ーーこれ　ホントにあの賢太郎が選んだもの…!?
※本作はwakako、THE猥談の個人誌作品の電子書籍版となります。【29ページ】</v>
      </c>
      <c r="W1520" s="14"/>
      <c r="X1520" s="14" t="str">
        <f>IFERROR(__xludf.DUMMYFUNCTION("""COMPUTED_VALUE"""),"有")</f>
        <v>有</v>
      </c>
      <c r="Y1520" s="8" t="str">
        <f>IFERROR(__xludf.DUMMYFUNCTION("""COMPUTED_VALUE"""),"P15まで")</f>
        <v>P15まで</v>
      </c>
      <c r="Z1520" s="7"/>
      <c r="AA1520" s="7"/>
      <c r="AB1520" s="7"/>
    </row>
    <row r="1521" ht="15.75" customHeight="1">
      <c r="A1521" s="26">
        <f>IFERROR(__xludf.DUMMYFUNCTION("""COMPUTED_VALUE"""),3332.0)</f>
        <v>3332</v>
      </c>
      <c r="B1521" s="22" t="str">
        <f>IFERROR(__xludf.DUMMYFUNCTION("""COMPUTED_VALUE"""),"確定")</f>
        <v>確定</v>
      </c>
      <c r="C1521" s="28">
        <f>IFERROR(__xludf.DUMMYFUNCTION("""COMPUTED_VALUE"""),45406.0)</f>
        <v>45406</v>
      </c>
      <c r="D1521" s="28">
        <f>IFERROR(__xludf.DUMMYFUNCTION("""COMPUTED_VALUE"""),45433.0)</f>
        <v>45433</v>
      </c>
      <c r="E1521" s="26">
        <f>IFERROR(__xludf.DUMMYFUNCTION("""COMPUTED_VALUE"""),294440.0)</f>
        <v>294440</v>
      </c>
      <c r="F1521" s="22" t="str">
        <f>IFERROR(__xludf.DUMMYFUNCTION("""COMPUTED_VALUE"""),"奥手な年上彼氏の理性ぜんぶ壊すランジェリー【R版】")</f>
        <v>奥手な年上彼氏の理性ぜんぶ壊すランジェリー【R版】</v>
      </c>
      <c r="G1521" s="11" t="str">
        <f>IFERROR(__xludf.DUMMYFUNCTION("""COMPUTED_VALUE"""),"1～2")</f>
        <v>1～2</v>
      </c>
      <c r="H1521" s="22" t="str">
        <f>IFERROR(__xludf.DUMMYFUNCTION("""COMPUTED_VALUE"""),"wakako┴THE猥談")</f>
        <v>wakako┴THE猥談</v>
      </c>
      <c r="I1521" s="22" t="str">
        <f>IFERROR(__xludf.DUMMYFUNCTION("""COMPUTED_VALUE"""),"オトナ")</f>
        <v>オトナ</v>
      </c>
      <c r="J1521" s="22"/>
      <c r="K1521" s="22"/>
      <c r="L1521" s="22" t="str">
        <f>IFERROR(__xludf.DUMMYFUNCTION("""COMPUTED_VALUE"""),"ブリック出版")</f>
        <v>ブリック出版</v>
      </c>
      <c r="M1521" s="23">
        <f>IFERROR(__xludf.DUMMYFUNCTION("""COMPUTED_VALUE"""),45443.0)</f>
        <v>45443</v>
      </c>
      <c r="N1521" s="23">
        <f>IFERROR(__xludf.DUMMYFUNCTION("""COMPUTED_VALUE"""),45533.66666666667)</f>
        <v>45533.66667</v>
      </c>
      <c r="O1521" s="20"/>
      <c r="P1521" s="34" t="str">
        <f>IFERROR(__xludf.DUMMYFUNCTION("""COMPUTED_VALUE"""),"可")</f>
        <v>可</v>
      </c>
      <c r="Q1521" s="30" t="str">
        <f>IFERROR(__xludf.DUMMYFUNCTION("""COMPUTED_VALUE"""),"河上さん事前コミット作品です。")</f>
        <v>河上さん事前コミット作品です。</v>
      </c>
      <c r="R1521" s="22"/>
      <c r="S1521" s="22" t="str">
        <f>IFERROR(__xludf.DUMMYFUNCTION("""COMPUTED_VALUE"""),"20240521_BookLive_奥手な年上彼氏の理性ぜんぶ壊すランジェリー【R版】")</f>
        <v>20240521_BookLive_奥手な年上彼氏の理性ぜんぶ壊すランジェリー【R版】</v>
      </c>
      <c r="T1521" s="22" t="str">
        <f>IFERROR(__xludf.DUMMYFUNCTION("""COMPUTED_VALUE"""),"格納済み")</f>
        <v>格納済み</v>
      </c>
      <c r="U1521" s="15" t="str">
        <f>IFERROR(__xludf.DUMMYFUNCTION("""COMPUTED_VALUE"""),"Ⓒwakako/THE猥談/ブリック出版")</f>
        <v>Ⓒwakako/THE猥談/ブリック出版</v>
      </c>
      <c r="V1521" s="8" t="str">
        <f>IFERROR(__xludf.DUMMYFUNCTION("""COMPUTED_VALUE"""),"10歳年上の賢太郎と付き合って10ヶ月、結ばれるまで6ヶ月。
歳の差もあって奥手な彼と、そこまで経験がなかった私。
なんとなく今も遠慮し合っているこの状況を打破するにはーーー
セクシーランジェリーしかないかもしれない…!
思い切って、賢太郎に今話題の海外の通販サイト画面を見せてみると
その反応は…
「いいね　それ」
「…買う?」
意外にも乗り気だったみたいで…。
「初めて下着とか選んだけど」
「これ着たら、を想像したりするの　結構楽しかったです」
さっそく着て"&amp;"みようと届いたものを開封したら、
そこには布面積がほぼないスッケスケのランジェリーが…!?
ーーこれ　ホントにあの賢太郎が選んだもの…!?
※本作はwakako、THE猥談の個人誌作品の電子書籍版となります。【29ページ】
※本作は『奥手な年上彼氏の理性ぜんぶ壊すランジェリー』の修正をやや弱めたものです。内容に差異はありません。")</f>
        <v>10歳年上の賢太郎と付き合って10ヶ月、結ばれるまで6ヶ月。
歳の差もあって奥手な彼と、そこまで経験がなかった私。
なんとなく今も遠慮し合っているこの状況を打破するにはーーー
セクシーランジェリーしかないかもしれない…!
思い切って、賢太郎に今話題の海外の通販サイト画面を見せてみると
その反応は…
「いいね　それ」
「…買う?」
意外にも乗り気だったみたいで…。
「初めて下着とか選んだけど」
「これ着たら、を想像したりするの　結構楽しかったです」
さっそく着てみようと届いたものを開封したら、
そこには布面積がほぼないスッケスケのランジェリーが…!?
ーーこれ　ホントにあの賢太郎が選んだもの…!?
※本作はwakako、THE猥談の個人誌作品の電子書籍版となります。【29ページ】
※本作は『奥手な年上彼氏の理性ぜんぶ壊すランジェリー』の修正をやや弱めたものです。内容に差異はありません。</v>
      </c>
      <c r="W1521" s="14"/>
      <c r="X1521" s="14" t="str">
        <f>IFERROR(__xludf.DUMMYFUNCTION("""COMPUTED_VALUE"""),"有")</f>
        <v>有</v>
      </c>
      <c r="Y1521" s="8" t="str">
        <f>IFERROR(__xludf.DUMMYFUNCTION("""COMPUTED_VALUE"""),"P15まで")</f>
        <v>P15まで</v>
      </c>
      <c r="Z1521" s="7"/>
      <c r="AA1521" s="7"/>
      <c r="AB1521" s="7"/>
    </row>
    <row r="1522" ht="15.75" customHeight="1">
      <c r="A1522" s="26">
        <f>IFERROR(__xludf.DUMMYFUNCTION("""COMPUTED_VALUE"""),3333.0)</f>
        <v>3333</v>
      </c>
      <c r="B1522" s="22" t="str">
        <f>IFERROR(__xludf.DUMMYFUNCTION("""COMPUTED_VALUE"""),"確定")</f>
        <v>確定</v>
      </c>
      <c r="C1522" s="28">
        <f>IFERROR(__xludf.DUMMYFUNCTION("""COMPUTED_VALUE"""),45406.0)</f>
        <v>45406</v>
      </c>
      <c r="D1522" s="28">
        <f>IFERROR(__xludf.DUMMYFUNCTION("""COMPUTED_VALUE"""),45433.0)</f>
        <v>45433</v>
      </c>
      <c r="E1522" s="26">
        <f>IFERROR(__xludf.DUMMYFUNCTION("""COMPUTED_VALUE"""),294482.0)</f>
        <v>294482</v>
      </c>
      <c r="F1522" s="22" t="str">
        <f>IFERROR(__xludf.DUMMYFUNCTION("""COMPUTED_VALUE"""),"テツくんだって責められたい? 〜ドS彼氏の乳首は弄られるのを望んでる〜")</f>
        <v>テツくんだって責められたい? 〜ドS彼氏の乳首は弄られるのを望んでる〜</v>
      </c>
      <c r="G1522" s="11" t="str">
        <f>IFERROR(__xludf.DUMMYFUNCTION("""COMPUTED_VALUE"""),"1～2")</f>
        <v>1～2</v>
      </c>
      <c r="H1522" s="22" t="str">
        <f>IFERROR(__xludf.DUMMYFUNCTION("""COMPUTED_VALUE"""),"NTNTGNGN┴THE猥談")</f>
        <v>NTNTGNGN┴THE猥談</v>
      </c>
      <c r="I1522" s="22" t="str">
        <f>IFERROR(__xludf.DUMMYFUNCTION("""COMPUTED_VALUE"""),"TL")</f>
        <v>TL</v>
      </c>
      <c r="J1522" s="22"/>
      <c r="K1522" s="22"/>
      <c r="L1522" s="22" t="str">
        <f>IFERROR(__xludf.DUMMYFUNCTION("""COMPUTED_VALUE"""),"ブリック出版")</f>
        <v>ブリック出版</v>
      </c>
      <c r="M1522" s="23">
        <f>IFERROR(__xludf.DUMMYFUNCTION("""COMPUTED_VALUE"""),45443.0)</f>
        <v>45443</v>
      </c>
      <c r="N1522" s="23">
        <f>IFERROR(__xludf.DUMMYFUNCTION("""COMPUTED_VALUE"""),45498.0)</f>
        <v>45498</v>
      </c>
      <c r="O1522" s="20"/>
      <c r="P1522" s="34" t="str">
        <f>IFERROR(__xludf.DUMMYFUNCTION("""COMPUTED_VALUE"""),"可")</f>
        <v>可</v>
      </c>
      <c r="Q1522" s="30" t="str">
        <f>IFERROR(__xludf.DUMMYFUNCTION("""COMPUTED_VALUE"""),"河上さん事前コミット作品です。")</f>
        <v>河上さん事前コミット作品です。</v>
      </c>
      <c r="R1522" s="22"/>
      <c r="S1522" s="22" t="str">
        <f>IFERROR(__xludf.DUMMYFUNCTION("""COMPUTED_VALUE"""),"20240521_BookLive_テツくんだって責められたい")</f>
        <v>20240521_BookLive_テツくんだって責められたい</v>
      </c>
      <c r="T1522" s="22" t="str">
        <f>IFERROR(__xludf.DUMMYFUNCTION("""COMPUTED_VALUE"""),"格納済み")</f>
        <v>格納済み</v>
      </c>
      <c r="U1522" s="15" t="str">
        <f>IFERROR(__xludf.DUMMYFUNCTION("""COMPUTED_VALUE"""),"ⒸNTNTGNGN/THE猥談/ブリック出版")</f>
        <v>ⒸNTNTGNGN/THE猥談/ブリック出版</v>
      </c>
      <c r="V1522" s="8" t="str">
        <f>IFERROR(__xludf.DUMMYFUNCTION("""COMPUTED_VALUE"""),"私たちは凸凹カップルだ。
身長差に性格、そして
性欲のままに彼氏にもの扱いされたい私と、遠慮なくぶち犯してくれる彼氏。
ここまで性癖が会う人は初めてで、私はすっかり満足していた。
事後、いつものように無言でゲームをする彼。
放置されるのにも興奮しちゃってたけど、もしかしたら遠回しに不満を伝えられているのかもしれない…
話し合おうと声をかけると、偶然彼の乳首に手が触れてしまう。
短い喘ぎと、ばつの悪そうな表情の彼。
え…?今の声何…?
私ばっかり責められてたから考えたことなかっ"&amp;"たけど、
テツくんも、本当は責められるのが好きなんじゃ…?
ドMな彼女からドSなテツくんへの、乳首開発が始まる…
※本作はNTNTGNGN、THE猥談の個人誌作品の電子書籍版となります。【22ページ】")</f>
        <v>私たちは凸凹カップルだ。
身長差に性格、そして
性欲のままに彼氏にもの扱いされたい私と、遠慮なくぶち犯してくれる彼氏。
ここまで性癖が会う人は初めてで、私はすっかり満足していた。
事後、いつものように無言でゲームをする彼。
放置されるのにも興奮しちゃってたけど、もしかしたら遠回しに不満を伝えられているのかもしれない…
話し合おうと声をかけると、偶然彼の乳首に手が触れてしまう。
短い喘ぎと、ばつの悪そうな表情の彼。
え…?今の声何…?
私ばっかり責められてたから考えたことなかったけど、
テツくんも、本当は責められるのが好きなんじゃ…?
ドMな彼女からドSなテツくんへの、乳首開発が始まる…
※本作はNTNTGNGN、THE猥談の個人誌作品の電子書籍版となります。【22ページ】</v>
      </c>
      <c r="W1522" s="14"/>
      <c r="X1522" s="14" t="str">
        <f>IFERROR(__xludf.DUMMYFUNCTION("""COMPUTED_VALUE"""),"有")</f>
        <v>有</v>
      </c>
      <c r="Y1522" s="8" t="str">
        <f>IFERROR(__xludf.DUMMYFUNCTION("""COMPUTED_VALUE"""),"P9まで")</f>
        <v>P9まで</v>
      </c>
      <c r="Z1522" s="7"/>
      <c r="AA1522" s="7"/>
      <c r="AB1522" s="7"/>
    </row>
    <row r="1523" ht="15.75" customHeight="1">
      <c r="A1523" s="26">
        <f>IFERROR(__xludf.DUMMYFUNCTION("""COMPUTED_VALUE"""),3334.0)</f>
        <v>3334</v>
      </c>
      <c r="B1523" s="22" t="str">
        <f>IFERROR(__xludf.DUMMYFUNCTION("""COMPUTED_VALUE"""),"確定")</f>
        <v>確定</v>
      </c>
      <c r="C1523" s="28">
        <f>IFERROR(__xludf.DUMMYFUNCTION("""COMPUTED_VALUE"""),45406.0)</f>
        <v>45406</v>
      </c>
      <c r="D1523" s="28">
        <f>IFERROR(__xludf.DUMMYFUNCTION("""COMPUTED_VALUE"""),45433.0)</f>
        <v>45433</v>
      </c>
      <c r="E1523" s="26">
        <f>IFERROR(__xludf.DUMMYFUNCTION("""COMPUTED_VALUE"""),294441.0)</f>
        <v>294441</v>
      </c>
      <c r="F1523" s="22" t="str">
        <f>IFERROR(__xludf.DUMMYFUNCTION("""COMPUTED_VALUE"""),"テツくんだって責められたい? 〜ドS彼氏の乳首は弄られるのを望んでる〜【R版】")</f>
        <v>テツくんだって責められたい? 〜ドS彼氏の乳首は弄られるのを望んでる〜【R版】</v>
      </c>
      <c r="G1523" s="11" t="str">
        <f>IFERROR(__xludf.DUMMYFUNCTION("""COMPUTED_VALUE"""),"1～2")</f>
        <v>1～2</v>
      </c>
      <c r="H1523" s="22" t="str">
        <f>IFERROR(__xludf.DUMMYFUNCTION("""COMPUTED_VALUE"""),"NTNTGNGN┴THE猥談")</f>
        <v>NTNTGNGN┴THE猥談</v>
      </c>
      <c r="I1523" s="22" t="str">
        <f>IFERROR(__xludf.DUMMYFUNCTION("""COMPUTED_VALUE"""),"オトナ")</f>
        <v>オトナ</v>
      </c>
      <c r="J1523" s="22"/>
      <c r="K1523" s="22"/>
      <c r="L1523" s="22" t="str">
        <f>IFERROR(__xludf.DUMMYFUNCTION("""COMPUTED_VALUE"""),"ブリック出版")</f>
        <v>ブリック出版</v>
      </c>
      <c r="M1523" s="23">
        <f>IFERROR(__xludf.DUMMYFUNCTION("""COMPUTED_VALUE"""),45443.0)</f>
        <v>45443</v>
      </c>
      <c r="N1523" s="23">
        <f>IFERROR(__xludf.DUMMYFUNCTION("""COMPUTED_VALUE"""),45498.0)</f>
        <v>45498</v>
      </c>
      <c r="O1523" s="20"/>
      <c r="P1523" s="34" t="str">
        <f>IFERROR(__xludf.DUMMYFUNCTION("""COMPUTED_VALUE"""),"可")</f>
        <v>可</v>
      </c>
      <c r="Q1523" s="30" t="str">
        <f>IFERROR(__xludf.DUMMYFUNCTION("""COMPUTED_VALUE"""),"河上さん事前コミット作品です。")</f>
        <v>河上さん事前コミット作品です。</v>
      </c>
      <c r="R1523" s="22"/>
      <c r="S1523" s="22" t="str">
        <f>IFERROR(__xludf.DUMMYFUNCTION("""COMPUTED_VALUE"""),"20240521_BookLive_テツくんだって責められたい【R版】")</f>
        <v>20240521_BookLive_テツくんだって責められたい【R版】</v>
      </c>
      <c r="T1523" s="22" t="str">
        <f>IFERROR(__xludf.DUMMYFUNCTION("""COMPUTED_VALUE"""),"格納済み")</f>
        <v>格納済み</v>
      </c>
      <c r="U1523" s="15" t="str">
        <f>IFERROR(__xludf.DUMMYFUNCTION("""COMPUTED_VALUE"""),"ⒸNTNTGNGN/THE猥談/ブリック出版")</f>
        <v>ⒸNTNTGNGN/THE猥談/ブリック出版</v>
      </c>
      <c r="V1523" s="8" t="str">
        <f>IFERROR(__xludf.DUMMYFUNCTION("""COMPUTED_VALUE"""),"私たちは凸凹カップルだ。
身長差に性格、そして
性欲のままに彼氏にもの扱いされたい私と、遠慮なくぶち犯してくれる彼氏。
ここまで性癖が会う人は初めてで、私はすっかり満足していた。
事後、いつものように無言でゲームをする彼。
放置されるのにも興奮しちゃってたけど、もしかしたら遠回しに不満を伝えられているのかもしれない…
話し合おうと声をかけると、偶然彼の乳首に手が触れてしまう。
短い喘ぎと、ばつの悪そうな表情の彼。
え…?今の声何…?
私ばっかり責められてたから考えたことなかっ"&amp;"たけど、
テツくんも、本当は責められるのが好きなんじゃ…?
ドMな彼女からドSなテツくんへの、乳首開発が始まる…
※本作はNTNTGNGN、THE猥談の個人誌作品の電子書籍版となります。【22ページ】
※本作は『テツくんだって責められたい? ～ドS彼氏の乳首は弄られるのを望んでる～』の修正をやや弱めたものです。内容に差異はありません。")</f>
        <v>私たちは凸凹カップルだ。
身長差に性格、そして
性欲のままに彼氏にもの扱いされたい私と、遠慮なくぶち犯してくれる彼氏。
ここまで性癖が会う人は初めてで、私はすっかり満足していた。
事後、いつものように無言でゲームをする彼。
放置されるのにも興奮しちゃってたけど、もしかしたら遠回しに不満を伝えられているのかもしれない…
話し合おうと声をかけると、偶然彼の乳首に手が触れてしまう。
短い喘ぎと、ばつの悪そうな表情の彼。
え…?今の声何…?
私ばっかり責められてたから考えたことなかったけど、
テツくんも、本当は責められるのが好きなんじゃ…?
ドMな彼女からドSなテツくんへの、乳首開発が始まる…
※本作はNTNTGNGN、THE猥談の個人誌作品の電子書籍版となります。【22ページ】
※本作は『テツくんだって責められたい? ～ドS彼氏の乳首は弄られるのを望んでる～』の修正をやや弱めたものです。内容に差異はありません。</v>
      </c>
      <c r="W1523" s="14"/>
      <c r="X1523" s="14" t="str">
        <f>IFERROR(__xludf.DUMMYFUNCTION("""COMPUTED_VALUE"""),"有")</f>
        <v>有</v>
      </c>
      <c r="Y1523" s="8" t="str">
        <f>IFERROR(__xludf.DUMMYFUNCTION("""COMPUTED_VALUE"""),"P9まで")</f>
        <v>P9まで</v>
      </c>
      <c r="Z1523" s="7"/>
      <c r="AA1523" s="7"/>
      <c r="AB1523" s="7"/>
    </row>
    <row r="1524" ht="15.75" customHeight="1">
      <c r="A1524" s="26">
        <f>IFERROR(__xludf.DUMMYFUNCTION("""COMPUTED_VALUE"""),3344.0)</f>
        <v>3344</v>
      </c>
      <c r="B1524" s="22" t="str">
        <f>IFERROR(__xludf.DUMMYFUNCTION("""COMPUTED_VALUE"""),"確定")</f>
        <v>確定</v>
      </c>
      <c r="C1524" s="28">
        <f>IFERROR(__xludf.DUMMYFUNCTION("""COMPUTED_VALUE"""),45408.0)</f>
        <v>45408</v>
      </c>
      <c r="D1524" s="28">
        <f>IFERROR(__xludf.DUMMYFUNCTION("""COMPUTED_VALUE"""),45434.0)</f>
        <v>45434</v>
      </c>
      <c r="E1524" s="26">
        <f>IFERROR(__xludf.DUMMYFUNCTION("""COMPUTED_VALUE"""),296406.0)</f>
        <v>296406</v>
      </c>
      <c r="F1524" s="22" t="str">
        <f>IFERROR(__xludf.DUMMYFUNCTION("""COMPUTED_VALUE"""),"このままだと死にそうなので、悪役令嬢は歌姫になることにした")</f>
        <v>このままだと死にそうなので、悪役令嬢は歌姫になることにした</v>
      </c>
      <c r="G1524" s="11" t="str">
        <f>IFERROR(__xludf.DUMMYFUNCTION("""COMPUTED_VALUE"""),"1～9")</f>
        <v>1～9</v>
      </c>
      <c r="H1524" s="22" t="str">
        <f>IFERROR(__xludf.DUMMYFUNCTION("""COMPUTED_VALUE"""),"作画：団子煮　原作：竜仲スグル　原作協力：小野悠輝")</f>
        <v>作画：団子煮　原作：竜仲スグル　原作協力：小野悠輝</v>
      </c>
      <c r="I1524" s="22" t="str">
        <f>IFERROR(__xludf.DUMMYFUNCTION("""COMPUTED_VALUE"""),"女性")</f>
        <v>女性</v>
      </c>
      <c r="J1524" s="22"/>
      <c r="K1524" s="22"/>
      <c r="L1524" s="22" t="str">
        <f>IFERROR(__xludf.DUMMYFUNCTION("""COMPUTED_VALUE"""),"DPNブックス")</f>
        <v>DPNブックス</v>
      </c>
      <c r="M1524" s="23">
        <f>IFERROR(__xludf.DUMMYFUNCTION("""COMPUTED_VALUE"""),45483.0)</f>
        <v>45483</v>
      </c>
      <c r="N1524" s="23">
        <f>IFERROR(__xludf.DUMMYFUNCTION("""COMPUTED_VALUE"""),45513.0)</f>
        <v>45513</v>
      </c>
      <c r="O1524" s="20"/>
      <c r="P1524" s="34" t="str">
        <f>IFERROR(__xludf.DUMMYFUNCTION("""COMPUTED_VALUE"""),"可")</f>
        <v>可</v>
      </c>
      <c r="Q1524" s="30" t="str">
        <f>IFERROR(__xludf.DUMMYFUNCTION("""COMPUTED_VALUE"""),"広告コミットOK（5/9）&lt;BR&gt;9話の素材は6/17頃の共有となります。")</f>
        <v>広告コミットOK（5/9）&lt;BR&gt;9話の素材は6/17頃の共有となります。</v>
      </c>
      <c r="R1524" s="22"/>
      <c r="S1524" s="22" t="str">
        <f>IFERROR(__xludf.DUMMYFUNCTION("""COMPUTED_VALUE"""),"20240521_DPNブックス_このままだと死にそうなので、悪役令嬢は歌姫になることにした_広告使用可能原稿")</f>
        <v>20240521_DPNブックス_このままだと死にそうなので、悪役令嬢は歌姫になることにした_広告使用可能原稿</v>
      </c>
      <c r="T1524" s="22" t="str">
        <f>IFERROR(__xludf.DUMMYFUNCTION("""COMPUTED_VALUE"""),"格納済み")</f>
        <v>格納済み</v>
      </c>
      <c r="U1524" s="15" t="str">
        <f>IFERROR(__xludf.DUMMYFUNCTION("""COMPUTED_VALUE"""),"(C)団子煮・竜仲スグル・小野悠輝／DPNブックス")</f>
        <v>(C)団子煮・竜仲スグル・小野悠輝／DPNブックス</v>
      </c>
      <c r="V1524" s="8" t="str">
        <f>IFERROR(__xludf.DUMMYFUNCTION("""COMPUTED_VALUE"""),"難病を患い、聴覚を失った末に命を落とした莉緒。
意識を取り戻すと、そこは生前にプレイしていたRPGゲーム『カローラの剣』の世界だった！
悪役令嬢・クロエに転生し、婚約破棄に国外追放と散々な目に遭うが、追放先のマキナ王国で鍛冶職人のマルクと出会う。
彼との出会いをきっかけに、回復魔法が使えるようになっていることが判明したクロエは決意する。
「私が歌うことで誰かの傷が癒せるなら……今度こそ、歌って、目の前の人たちに元気になってもらいたい」
クロエは死亡フラグを回避しつつ、回復魔法と歌の力でハッピーエ"&amp;"ンドを目指す！")</f>
        <v>難病を患い、聴覚を失った末に命を落とした莉緒。
意識を取り戻すと、そこは生前にプレイしていたRPGゲーム『カローラの剣』の世界だった！
悪役令嬢・クロエに転生し、婚約破棄に国外追放と散々な目に遭うが、追放先のマキナ王国で鍛冶職人のマルクと出会う。
彼との出会いをきっかけに、回復魔法が使えるようになっていることが判明したクロエは決意する。
「私が歌うことで誰かの傷が癒せるなら……今度こそ、歌って、目の前の人たちに元気になってもらいたい」
クロエは死亡フラグを回避しつつ、回復魔法と歌の力でハッピーエンドを目指す！</v>
      </c>
      <c r="W1524" s="14"/>
      <c r="X1524" s="14" t="str">
        <f>IFERROR(__xludf.DUMMYFUNCTION("""COMPUTED_VALUE"""),"有")</f>
        <v>有</v>
      </c>
      <c r="Y1524" s="8" t="str">
        <f>IFERROR(__xludf.DUMMYFUNCTION("""COMPUTED_VALUE"""),"3巻無料")</f>
        <v>3巻無料</v>
      </c>
      <c r="Z1524" s="7"/>
      <c r="AA1524" s="7"/>
      <c r="AB1524" s="7"/>
    </row>
    <row r="1525" ht="108.0" customHeight="1">
      <c r="A1525" s="26">
        <f>IFERROR(__xludf.DUMMYFUNCTION("""COMPUTED_VALUE"""),3357.0)</f>
        <v>3357</v>
      </c>
      <c r="B1525" s="22" t="str">
        <f>IFERROR(__xludf.DUMMYFUNCTION("""COMPUTED_VALUE"""),"確定")</f>
        <v>確定</v>
      </c>
      <c r="C1525" s="28">
        <f>IFERROR(__xludf.DUMMYFUNCTION("""COMPUTED_VALUE"""),45412.0)</f>
        <v>45412</v>
      </c>
      <c r="D1525" s="28">
        <f>IFERROR(__xludf.DUMMYFUNCTION("""COMPUTED_VALUE"""),45433.0)</f>
        <v>45433</v>
      </c>
      <c r="E1525" s="26">
        <f>IFERROR(__xludf.DUMMYFUNCTION("""COMPUTED_VALUE"""),294897.0)</f>
        <v>294897</v>
      </c>
      <c r="F1525" s="22" t="str">
        <f>IFERROR(__xludf.DUMMYFUNCTION("""COMPUTED_VALUE"""),"幼馴染な声優と胸キュン制作～お声が良すぎるんです！～")</f>
        <v>幼馴染な声優と胸キュン制作～お声が良すぎるんです！～</v>
      </c>
      <c r="G1525" s="11" t="str">
        <f>IFERROR(__xludf.DUMMYFUNCTION("""COMPUTED_VALUE"""),"1～2")</f>
        <v>1～2</v>
      </c>
      <c r="H1525" s="22" t="str">
        <f>IFERROR(__xludf.DUMMYFUNCTION("""COMPUTED_VALUE"""),"漫画：晴瀬リン 原作：寧子さくら（エブリスタ）")</f>
        <v>漫画：晴瀬リン 原作：寧子さくら（エブリスタ）</v>
      </c>
      <c r="I1525" s="22" t="str">
        <f>IFERROR(__xludf.DUMMYFUNCTION("""COMPUTED_VALUE"""),"女性")</f>
        <v>女性</v>
      </c>
      <c r="J1525" s="22"/>
      <c r="K1525" s="22"/>
      <c r="L1525" s="22" t="str">
        <f>IFERROR(__xludf.DUMMYFUNCTION("""COMPUTED_VALUE"""),"集英社")</f>
        <v>集英社</v>
      </c>
      <c r="M1525" s="23">
        <f>IFERROR(__xludf.DUMMYFUNCTION("""COMPUTED_VALUE"""),45458.0)</f>
        <v>45458</v>
      </c>
      <c r="N1525" s="23">
        <f>IFERROR(__xludf.DUMMYFUNCTION("""COMPUTED_VALUE"""),45487.0)</f>
        <v>45487</v>
      </c>
      <c r="O1525" s="20"/>
      <c r="P1525" s="34" t="str">
        <f>IFERROR(__xludf.DUMMYFUNCTION("""COMPUTED_VALUE"""),"否")</f>
        <v>否</v>
      </c>
      <c r="Q1525" s="30" t="str">
        <f>IFERROR(__xludf.DUMMYFUNCTION("""COMPUTED_VALUE"""),"・掲載誌：ココロマンス")</f>
        <v>・掲載誌：ココロマンス</v>
      </c>
      <c r="R1525" s="22"/>
      <c r="S1525" s="22" t="str">
        <f>IFERROR(__xludf.DUMMYFUNCTION("""COMPUTED_VALUE"""),"20240520_集英社_幼馴染な声優と胸キュン制作")</f>
        <v>20240520_集英社_幼馴染な声優と胸キュン制作</v>
      </c>
      <c r="T1525" s="22" t="str">
        <f>IFERROR(__xludf.DUMMYFUNCTION("""COMPUTED_VALUE"""),"格納済み")</f>
        <v>格納済み</v>
      </c>
      <c r="U1525" s="15" t="str">
        <f>IFERROR(__xludf.DUMMYFUNCTION("""COMPUTED_VALUE"""),"(C)晴瀬リン・寧子さくら（エブリスタ）／集英社")</f>
        <v>(C)晴瀬リン・寧子さくら（エブリスタ）／集英社</v>
      </c>
      <c r="V1525" s="8" t="str">
        <f>IFERROR(__xludf.DUMMYFUNCTION("""COMPUTED_VALUE"""),"乙女ゲーム制作の仕事をしている由夢の推しは声優の翠くん！　趣味でも仕事でも翠くんのイケボで満たされハッピーな由夢だけど実は周囲に言えない秘密が…。それは、翠くんとトップを争う人気声優の七星セナと幼馴染だということで!?")</f>
        <v>乙女ゲーム制作の仕事をしている由夢の推しは声優の翠くん！　趣味でも仕事でも翠くんのイケボで満たされハッピーな由夢だけど実は周囲に言えない秘密が…。それは、翠くんとトップを争う人気声優の七星セナと幼馴染だということで!?</v>
      </c>
      <c r="W1525" s="14"/>
      <c r="X1525" s="14" t="str">
        <f>IFERROR(__xludf.DUMMYFUNCTION("""COMPUTED_VALUE"""),"有")</f>
        <v>有</v>
      </c>
      <c r="Y1525" s="8" t="str">
        <f>IFERROR(__xludf.DUMMYFUNCTION("""COMPUTED_VALUE"""),"2024/7/14まで1巻無料")</f>
        <v>2024/7/14まで1巻無料</v>
      </c>
      <c r="Z1525" s="7"/>
      <c r="AA1525" s="7"/>
      <c r="AB1525" s="7"/>
    </row>
    <row r="1526" ht="15.75" customHeight="1">
      <c r="A1526" s="26">
        <f>IFERROR(__xludf.DUMMYFUNCTION("""COMPUTED_VALUE"""),3359.0)</f>
        <v>3359</v>
      </c>
      <c r="B1526" s="22" t="str">
        <f>IFERROR(__xludf.DUMMYFUNCTION("""COMPUTED_VALUE"""),"確定")</f>
        <v>確定</v>
      </c>
      <c r="C1526" s="28">
        <f>IFERROR(__xludf.DUMMYFUNCTION("""COMPUTED_VALUE"""),45412.0)</f>
        <v>45412</v>
      </c>
      <c r="D1526" s="28">
        <f>IFERROR(__xludf.DUMMYFUNCTION("""COMPUTED_VALUE"""),45429.0)</f>
        <v>45429</v>
      </c>
      <c r="E1526" s="26">
        <f>IFERROR(__xludf.DUMMYFUNCTION("""COMPUTED_VALUE"""),294427.0)</f>
        <v>294427</v>
      </c>
      <c r="F1526" s="22" t="str">
        <f>IFERROR(__xludf.DUMMYFUNCTION("""COMPUTED_VALUE"""),"ひきこもり姫と腹黒王子 vsヒミツの巫女と目の上のたんこぶ")</f>
        <v>ひきこもり姫と腹黒王子 vsヒミツの巫女と目の上のたんこぶ</v>
      </c>
      <c r="G1526" s="20" t="str">
        <f>IFERROR(__xludf.DUMMYFUNCTION("""COMPUTED_VALUE"""),"1～3")</f>
        <v>1～3</v>
      </c>
      <c r="H1526" s="22" t="str">
        <f>IFERROR(__xludf.DUMMYFUNCTION("""COMPUTED_VALUE"""),"漫画：小金井コガネ／原作：秋杜フユ／キャラクター原案：サカノ景子")</f>
        <v>漫画：小金井コガネ／原作：秋杜フユ／キャラクター原案：サカノ景子</v>
      </c>
      <c r="I1526" s="22" t="str">
        <f>IFERROR(__xludf.DUMMYFUNCTION("""COMPUTED_VALUE"""),"女性")</f>
        <v>女性</v>
      </c>
      <c r="J1526" s="22"/>
      <c r="K1526" s="22"/>
      <c r="L1526" s="22" t="str">
        <f>IFERROR(__xludf.DUMMYFUNCTION("""COMPUTED_VALUE"""),"集英社")</f>
        <v>集英社</v>
      </c>
      <c r="M1526" s="23">
        <f>IFERROR(__xludf.DUMMYFUNCTION("""COMPUTED_VALUE"""),45444.0)</f>
        <v>45444</v>
      </c>
      <c r="N1526" s="23">
        <f>IFERROR(__xludf.DUMMYFUNCTION("""COMPUTED_VALUE"""),45473.0)</f>
        <v>45473</v>
      </c>
      <c r="O1526" s="20"/>
      <c r="P1526" s="34" t="str">
        <f>IFERROR(__xludf.DUMMYFUNCTION("""COMPUTED_VALUE"""),"否")</f>
        <v>否</v>
      </c>
      <c r="Q1526" s="30" t="str">
        <f>IFERROR(__xludf.DUMMYFUNCTION("""COMPUTED_VALUE"""),"・掲載誌：デジタルマーガレット")</f>
        <v>・掲載誌：デジタルマーガレット</v>
      </c>
      <c r="R1526" s="22"/>
      <c r="S1526" s="22" t="str">
        <f>IFERROR(__xludf.DUMMYFUNCTION("""COMPUTED_VALUE"""),"20240515_集英社_ひきこもり姫と腹黒王子～")</f>
        <v>20240515_集英社_ひきこもり姫と腹黒王子～</v>
      </c>
      <c r="T1526" s="22" t="str">
        <f>IFERROR(__xludf.DUMMYFUNCTION("""COMPUTED_VALUE"""),"格納済み")</f>
        <v>格納済み</v>
      </c>
      <c r="U1526" s="15" t="str">
        <f>IFERROR(__xludf.DUMMYFUNCTION("""COMPUTED_VALUE"""),"(C)小金井コガネ・秋杜フユ・サカノ景子／集英社")</f>
        <v>(C)小金井コガネ・秋杜フユ・サカノ景子／集英社</v>
      </c>
      <c r="V1526" s="8" t="str">
        <f>IFERROR(__xludf.DUMMYFUNCTION("""COMPUTED_VALUE"""),"【目指せ！　任期最短の「光の巫女」！　ザンネン姫の奮闘ラブコメディー！】コバルト文庫で大人気の「ひきこもりシリーズ」が、待望のコミカライズ!!　闇の精霊にだけ心を許し、長年引きこもりを貫いてきた魔術師の少女・ビオレッタは、ある日突然「光の巫女」に選出される。光の巫女をやりたくないビオレッタの巫女修行をサポートするのは、アレサンドリ神国の王子・エミディオ。あれ？　エミディオは笑顔で話しているのに、なんだか全く違う声が聞こえてくるような……。一見きらきらと眩しく光を放つエミディオは、実は並外れた腹黒さを秘めい"&amp;"て…!?")</f>
        <v>【目指せ！　任期最短の「光の巫女」！　ザンネン姫の奮闘ラブコメディー！】コバルト文庫で大人気の「ひきこもりシリーズ」が、待望のコミカライズ!!　闇の精霊にだけ心を許し、長年引きこもりを貫いてきた魔術師の少女・ビオレッタは、ある日突然「光の巫女」に選出される。光の巫女をやりたくないビオレッタの巫女修行をサポートするのは、アレサンドリ神国の王子・エミディオ。あれ？　エミディオは笑顔で話しているのに、なんだか全く違う声が聞こえてくるような……。一見きらきらと眩しく光を放つエミディオは、実は並外れた腹黒さを秘めいて…!?</v>
      </c>
      <c r="W1526" s="14"/>
      <c r="X1526" s="14" t="str">
        <f>IFERROR(__xludf.DUMMYFUNCTION("""COMPUTED_VALUE"""),"有")</f>
        <v>有</v>
      </c>
      <c r="Y1526" s="8" t="str">
        <f>IFERROR(__xludf.DUMMYFUNCTION("""COMPUTED_VALUE"""),"2024/6/30まで1巻無料")</f>
        <v>2024/6/30まで1巻無料</v>
      </c>
      <c r="Z1526" s="7"/>
      <c r="AA1526" s="7"/>
      <c r="AB1526" s="7"/>
    </row>
    <row r="1527" ht="15.75" customHeight="1">
      <c r="A1527" s="26">
        <f>IFERROR(__xludf.DUMMYFUNCTION("""COMPUTED_VALUE"""),3360.0)</f>
        <v>3360</v>
      </c>
      <c r="B1527" s="22" t="str">
        <f>IFERROR(__xludf.DUMMYFUNCTION("""COMPUTED_VALUE"""),"確定")</f>
        <v>確定</v>
      </c>
      <c r="C1527" s="28">
        <f>IFERROR(__xludf.DUMMYFUNCTION("""COMPUTED_VALUE"""),45412.0)</f>
        <v>45412</v>
      </c>
      <c r="D1527" s="28">
        <f>IFERROR(__xludf.DUMMYFUNCTION("""COMPUTED_VALUE"""),45429.0)</f>
        <v>45429</v>
      </c>
      <c r="E1527" s="26">
        <f>IFERROR(__xludf.DUMMYFUNCTION("""COMPUTED_VALUE"""),294428.0)</f>
        <v>294428</v>
      </c>
      <c r="F1527" s="22" t="str">
        <f>IFERROR(__xludf.DUMMYFUNCTION("""COMPUTED_VALUE"""),"俺様弁護士は激愛を貫きとおす")</f>
        <v>俺様弁護士は激愛を貫きとおす</v>
      </c>
      <c r="G1527" s="20" t="str">
        <f>IFERROR(__xludf.DUMMYFUNCTION("""COMPUTED_VALUE"""),"1～3")</f>
        <v>1～3</v>
      </c>
      <c r="H1527" s="22" t="str">
        <f>IFERROR(__xludf.DUMMYFUNCTION("""COMPUTED_VALUE"""),"漫画：藍澤みお／原作：如月そら")</f>
        <v>漫画：藍澤みお／原作：如月そら</v>
      </c>
      <c r="I1527" s="22" t="str">
        <f>IFERROR(__xludf.DUMMYFUNCTION("""COMPUTED_VALUE"""),"少女")</f>
        <v>少女</v>
      </c>
      <c r="J1527" s="22"/>
      <c r="K1527" s="22"/>
      <c r="L1527" s="22" t="str">
        <f>IFERROR(__xludf.DUMMYFUNCTION("""COMPUTED_VALUE"""),"集英社")</f>
        <v>集英社</v>
      </c>
      <c r="M1527" s="23">
        <f>IFERROR(__xludf.DUMMYFUNCTION("""COMPUTED_VALUE"""),45444.0)</f>
        <v>45444</v>
      </c>
      <c r="N1527" s="23">
        <f>IFERROR(__xludf.DUMMYFUNCTION("""COMPUTED_VALUE"""),45480.0)</f>
        <v>45480</v>
      </c>
      <c r="O1527" s="20"/>
      <c r="P1527" s="34" t="str">
        <f>IFERROR(__xludf.DUMMYFUNCTION("""COMPUTED_VALUE"""),"否")</f>
        <v>否</v>
      </c>
      <c r="Q1527" s="30" t="str">
        <f>IFERROR(__xludf.DUMMYFUNCTION("""COMPUTED_VALUE"""),"・掲載誌：デジタルマーガレット")</f>
        <v>・掲載誌：デジタルマーガレット</v>
      </c>
      <c r="R1527" s="22"/>
      <c r="S1527" s="22" t="str">
        <f>IFERROR(__xludf.DUMMYFUNCTION("""COMPUTED_VALUE"""),"20240515_集英社_俺様弁護士は激愛を貫きとおす")</f>
        <v>20240515_集英社_俺様弁護士は激愛を貫きとおす</v>
      </c>
      <c r="T1527" s="22" t="str">
        <f>IFERROR(__xludf.DUMMYFUNCTION("""COMPUTED_VALUE"""),"格納済み")</f>
        <v>格納済み</v>
      </c>
      <c r="U1527" s="15" t="str">
        <f>IFERROR(__xludf.DUMMYFUNCTION("""COMPUTED_VALUE"""),"(C)藍澤みお・如月そら／集英社")</f>
        <v>(C)藍澤みお・如月そら／集英社</v>
      </c>
      <c r="V1527" s="8" t="str">
        <f>IFERROR(__xludf.DUMMYFUNCTION("""COMPUTED_VALUE"""),"同窓会の翌日、ホテルの部屋で目覚めた優羽の隣にいたのは同級生の中でも憧れの存在だった城ヶ崎だった。「もう一回しよ？」とベッドの上で色気たっぷりに囁かれて、優羽は思わず突き飛ばして逃げてしまう。しかし、そんな優羽の目の前にまた城ヶ崎が現れ、「あれは暴行だから」と弁護士バッジを光らせつつ迫られてしまうのだった。訴えられるかもしれない状況に、おとなしく従う優羽だが、妙に優しい城ヶ崎に戸惑いを覚え…？")</f>
        <v>同窓会の翌日、ホテルの部屋で目覚めた優羽の隣にいたのは同級生の中でも憧れの存在だった城ヶ崎だった。「もう一回しよ？」とベッドの上で色気たっぷりに囁かれて、優羽は思わず突き飛ばして逃げてしまう。しかし、そんな優羽の目の前にまた城ヶ崎が現れ、「あれは暴行だから」と弁護士バッジを光らせつつ迫られてしまうのだった。訴えられるかもしれない状況に、おとなしく従う優羽だが、妙に優しい城ヶ崎に戸惑いを覚え…？</v>
      </c>
      <c r="W1527" s="14"/>
      <c r="X1527" s="14" t="str">
        <f>IFERROR(__xludf.DUMMYFUNCTION("""COMPUTED_VALUE"""),"有")</f>
        <v>有</v>
      </c>
      <c r="Y1527" s="8" t="str">
        <f>IFERROR(__xludf.DUMMYFUNCTION("""COMPUTED_VALUE"""),"2024/6/30まで1巻無料")</f>
        <v>2024/6/30まで1巻無料</v>
      </c>
      <c r="Z1527" s="7"/>
      <c r="AA1527" s="7"/>
      <c r="AB1527" s="7"/>
    </row>
    <row r="1528" ht="15.75" customHeight="1">
      <c r="A1528" s="26">
        <f>IFERROR(__xludf.DUMMYFUNCTION("""COMPUTED_VALUE"""),3361.0)</f>
        <v>3361</v>
      </c>
      <c r="B1528" s="22" t="str">
        <f>IFERROR(__xludf.DUMMYFUNCTION("""COMPUTED_VALUE"""),"確定")</f>
        <v>確定</v>
      </c>
      <c r="C1528" s="28">
        <f>IFERROR(__xludf.DUMMYFUNCTION("""COMPUTED_VALUE"""),45412.0)</f>
        <v>45412</v>
      </c>
      <c r="D1528" s="28">
        <f>IFERROR(__xludf.DUMMYFUNCTION("""COMPUTED_VALUE"""),45429.0)</f>
        <v>45429</v>
      </c>
      <c r="E1528" s="26">
        <f>IFERROR(__xludf.DUMMYFUNCTION("""COMPUTED_VALUE"""),294429.0)</f>
        <v>294429</v>
      </c>
      <c r="F1528" s="22" t="str">
        <f>IFERROR(__xludf.DUMMYFUNCTION("""COMPUTED_VALUE"""),"砂漠の国の悩殺王女～不遇な王女は寡黙な王弟殿下の本音が聞きたい～")</f>
        <v>砂漠の国の悩殺王女～不遇な王女は寡黙な王弟殿下の本音が聞きたい～</v>
      </c>
      <c r="G1528" s="20" t="str">
        <f>IFERROR(__xludf.DUMMYFUNCTION("""COMPUTED_VALUE"""),"1～3")</f>
        <v>1～3</v>
      </c>
      <c r="H1528" s="22" t="str">
        <f>IFERROR(__xludf.DUMMYFUNCTION("""COMPUTED_VALUE"""),"漫画：いやさかりさ／原作：きりしま志帆／キャラクター原案：鳴海ゆき")</f>
        <v>漫画：いやさかりさ／原作：きりしま志帆／キャラクター原案：鳴海ゆき</v>
      </c>
      <c r="I1528" s="22" t="str">
        <f>IFERROR(__xludf.DUMMYFUNCTION("""COMPUTED_VALUE"""),"女性")</f>
        <v>女性</v>
      </c>
      <c r="J1528" s="22"/>
      <c r="K1528" s="22"/>
      <c r="L1528" s="22" t="str">
        <f>IFERROR(__xludf.DUMMYFUNCTION("""COMPUTED_VALUE"""),"集英社")</f>
        <v>集英社</v>
      </c>
      <c r="M1528" s="23">
        <f>IFERROR(__xludf.DUMMYFUNCTION("""COMPUTED_VALUE"""),45444.0)</f>
        <v>45444</v>
      </c>
      <c r="N1528" s="23">
        <f>IFERROR(__xludf.DUMMYFUNCTION("""COMPUTED_VALUE"""),45473.0)</f>
        <v>45473</v>
      </c>
      <c r="O1528" s="20"/>
      <c r="P1528" s="34" t="str">
        <f>IFERROR(__xludf.DUMMYFUNCTION("""COMPUTED_VALUE"""),"否")</f>
        <v>否</v>
      </c>
      <c r="Q1528" s="30" t="str">
        <f>IFERROR(__xludf.DUMMYFUNCTION("""COMPUTED_VALUE"""),"・掲載誌：デジタルマーガレット")</f>
        <v>・掲載誌：デジタルマーガレット</v>
      </c>
      <c r="R1528" s="22"/>
      <c r="S1528" s="22" t="str">
        <f>IFERROR(__xludf.DUMMYFUNCTION("""COMPUTED_VALUE"""),"20240515_集英社_砂漠の国の悩殺王女")</f>
        <v>20240515_集英社_砂漠の国の悩殺王女</v>
      </c>
      <c r="T1528" s="22" t="str">
        <f>IFERROR(__xludf.DUMMYFUNCTION("""COMPUTED_VALUE"""),"格納済み")</f>
        <v>格納済み</v>
      </c>
      <c r="U1528" s="15" t="str">
        <f>IFERROR(__xludf.DUMMYFUNCTION("""COMPUTED_VALUE"""),"(C)いやさかりさ・きりしま志帆／集英社")</f>
        <v>(C)いやさかりさ・きりしま志帆／集英社</v>
      </c>
      <c r="V1528" s="8" t="str">
        <f>IFERROR(__xludf.DUMMYFUNCTION("""COMPUTED_VALUE"""),"砂漠の小国バジの王女ラージャは、未婚男性を悩殺してしまう体質。呪いのような体質に悩むラージャは、お伽噺に自分と同じ体質をもつ王女の話を見つけ、くわしく調べるため大国ロールーリを目指し旅立つことになった。旅の途中、ラージャはシャムスと名乗るタクタルの王弟に出会う。無愛想な王弟に魅かれるラージャだが彼には悩殺が効かないようで？　黄金に輝くアラビアン悩殺ロマンス第1話！")</f>
        <v>砂漠の小国バジの王女ラージャは、未婚男性を悩殺してしまう体質。呪いのような体質に悩むラージャは、お伽噺に自分と同じ体質をもつ王女の話を見つけ、くわしく調べるため大国ロールーリを目指し旅立つことになった。旅の途中、ラージャはシャムスと名乗るタクタルの王弟に出会う。無愛想な王弟に魅かれるラージャだが彼には悩殺が効かないようで？　黄金に輝くアラビアン悩殺ロマンス第1話！</v>
      </c>
      <c r="W1528" s="14"/>
      <c r="X1528" s="14" t="str">
        <f>IFERROR(__xludf.DUMMYFUNCTION("""COMPUTED_VALUE"""),"有")</f>
        <v>有</v>
      </c>
      <c r="Y1528" s="8" t="str">
        <f>IFERROR(__xludf.DUMMYFUNCTION("""COMPUTED_VALUE"""),"2024/6/30まで1巻無料")</f>
        <v>2024/6/30まで1巻無料</v>
      </c>
      <c r="Z1528" s="7"/>
      <c r="AA1528" s="7"/>
      <c r="AB1528" s="7"/>
    </row>
    <row r="1529" ht="15.75" customHeight="1">
      <c r="A1529" s="26">
        <f>IFERROR(__xludf.DUMMYFUNCTION("""COMPUTED_VALUE"""),3364.0)</f>
        <v>3364</v>
      </c>
      <c r="B1529" s="22" t="str">
        <f>IFERROR(__xludf.DUMMYFUNCTION("""COMPUTED_VALUE"""),"確定")</f>
        <v>確定</v>
      </c>
      <c r="C1529" s="28">
        <f>IFERROR(__xludf.DUMMYFUNCTION("""COMPUTED_VALUE"""),45414.0)</f>
        <v>45414</v>
      </c>
      <c r="D1529" s="28">
        <f>IFERROR(__xludf.DUMMYFUNCTION("""COMPUTED_VALUE"""),45434.0)</f>
        <v>45434</v>
      </c>
      <c r="E1529" s="26">
        <f>IFERROR(__xludf.DUMMYFUNCTION("""COMPUTED_VALUE"""),295460.0)</f>
        <v>295460</v>
      </c>
      <c r="F1529" s="22" t="str">
        <f>IFERROR(__xludf.DUMMYFUNCTION("""COMPUTED_VALUE"""),"三津原主任はめちゃくちゃにされたい")</f>
        <v>三津原主任はめちゃくちゃにされたい</v>
      </c>
      <c r="G1529" s="20" t="str">
        <f>IFERROR(__xludf.DUMMYFUNCTION("""COMPUTED_VALUE"""),"1～16")</f>
        <v>1～16</v>
      </c>
      <c r="H1529" s="22" t="str">
        <f>IFERROR(__xludf.DUMMYFUNCTION("""COMPUTED_VALUE"""),"たたたん")</f>
        <v>たたたん</v>
      </c>
      <c r="I1529" s="22" t="str">
        <f>IFERROR(__xludf.DUMMYFUNCTION("""COMPUTED_VALUE"""),"BL")</f>
        <v>BL</v>
      </c>
      <c r="J1529" s="22"/>
      <c r="K1529" s="22"/>
      <c r="L1529" s="22" t="str">
        <f>IFERROR(__xludf.DUMMYFUNCTION("""COMPUTED_VALUE"""),"NHNcomico")</f>
        <v>NHNcomico</v>
      </c>
      <c r="M1529" s="23">
        <f>IFERROR(__xludf.DUMMYFUNCTION("""COMPUTED_VALUE"""),45463.0)</f>
        <v>45463</v>
      </c>
      <c r="N1529" s="23">
        <f>IFERROR(__xludf.DUMMYFUNCTION("""COMPUTED_VALUE"""),45554.0)</f>
        <v>45554</v>
      </c>
      <c r="O1529" s="20"/>
      <c r="P1529" s="34" t="str">
        <f>IFERROR(__xludf.DUMMYFUNCTION("""COMPUTED_VALUE"""),"可")</f>
        <v>可</v>
      </c>
      <c r="Q1529" s="30" t="str">
        <f>IFERROR(__xludf.DUMMYFUNCTION("""COMPUTED_VALUE"""),"広告コミットOK(5/8)&lt;BR&gt;comicoとの2社先行です。&lt;BR&gt;1～15巻分の素材で制作をお願いします（5/21）&lt;BR&gt;")</f>
        <v>広告コミットOK(5/8)&lt;BR&gt;comicoとの2社先行です。&lt;BR&gt;1～15巻分の素材で制作をお願いします（5/21）&lt;BR&gt;</v>
      </c>
      <c r="R1529" s="22"/>
      <c r="S1529" s="22" t="str">
        <f>IFERROR(__xludf.DUMMYFUNCTION("""COMPUTED_VALUE"""),"20240521_comico_三津原主任はめちゃくちゃにされたい")</f>
        <v>20240521_comico_三津原主任はめちゃくちゃにされたい</v>
      </c>
      <c r="T1529" s="22" t="str">
        <f>IFERROR(__xludf.DUMMYFUNCTION("""COMPUTED_VALUE"""),"格納済み")</f>
        <v>格納済み</v>
      </c>
      <c r="U1529" s="15" t="str">
        <f>IFERROR(__xludf.DUMMYFUNCTION("""COMPUTED_VALUE"""),"(C)たたたん/comico")</f>
        <v>(C)たたたん/comico</v>
      </c>
      <c r="V1529" s="8" t="str">
        <f>IFERROR(__xludf.DUMMYFUNCTION("""COMPUTED_VALUE"""),"コワモテでまわりから恐れられている営業部の主任・三津原は、実はゲイで密かに「男に抱かれてみたい」という願望をもっていた。ある日思いきってゲイサイトにエロい自撮りを投稿するが、それが後輩の小牧にバレてしまう。「このこと、言わないでほしいですか？だったら…」なかば強引にホテルに連れ込まれ――！隠れドSで執着が強い後輩×隠れドMなコワモテ主任のエロラブコメBL！")</f>
        <v>コワモテでまわりから恐れられている営業部の主任・三津原は、実はゲイで密かに「男に抱かれてみたい」という願望をもっていた。ある日思いきってゲイサイトにエロい自撮りを投稿するが、それが後輩の小牧にバレてしまう。「このこと、言わないでほしいですか？だったら…」なかば強引にホテルに連れ込まれ――！隠れドSで執着が強い後輩×隠れドMなコワモテ主任のエロラブコメBL！</v>
      </c>
      <c r="W1529" s="14"/>
      <c r="X1529" s="14" t="str">
        <f>IFERROR(__xludf.DUMMYFUNCTION("""COMPUTED_VALUE"""),"有")</f>
        <v>有</v>
      </c>
      <c r="Y1529" s="8" t="str">
        <f>IFERROR(__xludf.DUMMYFUNCTION("""COMPUTED_VALUE"""),"2巻無料")</f>
        <v>2巻無料</v>
      </c>
      <c r="Z1529" s="7"/>
      <c r="AA1529" s="7"/>
      <c r="AB1529" s="7"/>
    </row>
    <row r="1530" ht="15.75" customHeight="1">
      <c r="A1530" s="26">
        <f>IFERROR(__xludf.DUMMYFUNCTION("""COMPUTED_VALUE"""),3371.0)</f>
        <v>3371</v>
      </c>
      <c r="B1530" s="22" t="str">
        <f>IFERROR(__xludf.DUMMYFUNCTION("""COMPUTED_VALUE"""),"確定")</f>
        <v>確定</v>
      </c>
      <c r="C1530" s="28">
        <f>IFERROR(__xludf.DUMMYFUNCTION("""COMPUTED_VALUE"""),45419.0)</f>
        <v>45419</v>
      </c>
      <c r="D1530" s="28">
        <f>IFERROR(__xludf.DUMMYFUNCTION("""COMPUTED_VALUE"""),45434.0)</f>
        <v>45434</v>
      </c>
      <c r="E1530" s="26">
        <f>IFERROR(__xludf.DUMMYFUNCTION("""COMPUTED_VALUE"""),294850.0)</f>
        <v>294850</v>
      </c>
      <c r="F1530" s="22" t="str">
        <f>IFERROR(__xludf.DUMMYFUNCTION("""COMPUTED_VALUE"""),"奥の奥の奥まで暴いて〜ポーカーフェイスな後輩によるマジイキHトレーニング〜")</f>
        <v>奥の奥の奥まで暴いて〜ポーカーフェイスな後輩によるマジイキHトレーニング〜</v>
      </c>
      <c r="G1530" s="11" t="str">
        <f>IFERROR(__xludf.DUMMYFUNCTION("""COMPUTED_VALUE"""),"1～2")</f>
        <v>1～2</v>
      </c>
      <c r="H1530" s="22" t="str">
        <f>IFERROR(__xludf.DUMMYFUNCTION("""COMPUTED_VALUE"""),"鳥生ヘリコ")</f>
        <v>鳥生ヘリコ</v>
      </c>
      <c r="I1530" s="22" t="str">
        <f>IFERROR(__xludf.DUMMYFUNCTION("""COMPUTED_VALUE"""),"TL")</f>
        <v>TL</v>
      </c>
      <c r="J1530" s="22"/>
      <c r="K1530" s="22"/>
      <c r="L1530" s="22" t="str">
        <f>IFERROR(__xludf.DUMMYFUNCTION("""COMPUTED_VALUE"""),"ジュネット株式会社")</f>
        <v>ジュネット株式会社</v>
      </c>
      <c r="M1530" s="23">
        <f>IFERROR(__xludf.DUMMYFUNCTION("""COMPUTED_VALUE"""),45458.0)</f>
        <v>45458</v>
      </c>
      <c r="N1530" s="47">
        <f>IFERROR(__xludf.DUMMYFUNCTION("""COMPUTED_VALUE"""),45555.0)</f>
        <v>45555</v>
      </c>
      <c r="O1530" s="20"/>
      <c r="P1530" s="34" t="str">
        <f>IFERROR(__xludf.DUMMYFUNCTION("""COMPUTED_VALUE"""),"可")</f>
        <v>可</v>
      </c>
      <c r="Q1530" s="31" t="str">
        <f>IFERROR(__xludf.DUMMYFUNCTION("""COMPUTED_VALUE"""),"広告コミットOK(5/13)&lt;BR&gt;レーベル名：TL JUNET")</f>
        <v>広告コミットOK(5/13)&lt;BR&gt;レーベル名：TL JUNET</v>
      </c>
      <c r="R1530" s="22" t="str">
        <f>IFERROR(__xludf.DUMMYFUNCTION("""COMPUTED_VALUE"""),"格納済み")</f>
        <v>格納済み</v>
      </c>
      <c r="S1530" s="22" t="str">
        <f>IFERROR(__xludf.DUMMYFUNCTION("""COMPUTED_VALUE"""),"20240521_ジュネット_先行2作品")</f>
        <v>20240521_ジュネット_先行2作品</v>
      </c>
      <c r="T1530" s="22" t="str">
        <f>IFERROR(__xludf.DUMMYFUNCTION("""COMPUTED_VALUE"""),"格納済み")</f>
        <v>格納済み</v>
      </c>
      <c r="U1530" s="15" t="str">
        <f>IFERROR(__xludf.DUMMYFUNCTION("""COMPUTED_VALUE"""),"（C）鳥生ヘリコ/ジュネット")</f>
        <v>（C）鳥生ヘリコ/ジュネット</v>
      </c>
      <c r="V1530" s="8" t="str">
        <f>IFERROR(__xludf.DUMMYFUNCTION("""COMPUTED_VALUE"""),"29歳のOL・芦川果南は4年間彼氏なし。元カレとのエッチのときに「演技だろ」と言われたのがトラウマでその後、一歩踏み出せないまま。欲求不満が募り、周囲の人たちのエッチを妄想する毎日。後輩の男性社員にその事を洩らすと、「演技じゃない絶頂を体感しなければ現状打破は難しい」と核心を突かれてしまう。更に「俺で試してみます？」と提案されて!?おひとり拗らせOLとポーカーフェイス後輩の絶頂特訓の行方やいかに!!?")</f>
        <v>29歳のOL・芦川果南は4年間彼氏なし。元カレとのエッチのときに「演技だろ」と言われたのがトラウマでその後、一歩踏み出せないまま。欲求不満が募り、周囲の人たちのエッチを妄想する毎日。後輩の男性社員にその事を洩らすと、「演技じゃない絶頂を体感しなければ現状打破は難しい」と核心を突かれてしまう。更に「俺で試してみます？」と提案されて!?おひとり拗らせOLとポーカーフェイス後輩の絶頂特訓の行方やいかに!!?</v>
      </c>
      <c r="W1530" s="14"/>
      <c r="X1530" s="14" t="str">
        <f>IFERROR(__xludf.DUMMYFUNCTION("""COMPUTED_VALUE"""),"有")</f>
        <v>有</v>
      </c>
      <c r="Y1530" s="8" t="str">
        <f>IFERROR(__xludf.DUMMYFUNCTION("""COMPUTED_VALUE"""),"P7まで")</f>
        <v>P7まで</v>
      </c>
      <c r="Z1530" s="7"/>
      <c r="AA1530" s="7"/>
      <c r="AB1530" s="7"/>
    </row>
    <row r="1531" ht="15.75" customHeight="1">
      <c r="A1531" s="26">
        <f>IFERROR(__xludf.DUMMYFUNCTION("""COMPUTED_VALUE"""),3418.0)</f>
        <v>3418</v>
      </c>
      <c r="B1531" s="22" t="str">
        <f>IFERROR(__xludf.DUMMYFUNCTION("""COMPUTED_VALUE"""),"確定")</f>
        <v>確定</v>
      </c>
      <c r="C1531" s="28">
        <f>IFERROR(__xludf.DUMMYFUNCTION("""COMPUTED_VALUE"""),45426.0)</f>
        <v>45426</v>
      </c>
      <c r="D1531" s="28">
        <f>IFERROR(__xludf.DUMMYFUNCTION("""COMPUTED_VALUE"""),45433.0)</f>
        <v>45433</v>
      </c>
      <c r="E1531" s="26">
        <f>IFERROR(__xludf.DUMMYFUNCTION("""COMPUTED_VALUE"""),280815.0)</f>
        <v>280815</v>
      </c>
      <c r="F1531" s="22" t="str">
        <f>IFERROR(__xludf.DUMMYFUNCTION("""COMPUTED_VALUE"""),"龍神様の花嫁")</f>
        <v>龍神様の花嫁</v>
      </c>
      <c r="G1531" s="20" t="str">
        <f>IFERROR(__xludf.DUMMYFUNCTION("""COMPUTED_VALUE"""),"1～3")</f>
        <v>1～3</v>
      </c>
      <c r="H1531" s="22" t="str">
        <f>IFERROR(__xludf.DUMMYFUNCTION("""COMPUTED_VALUE"""),"夏川アヤネ")</f>
        <v>夏川アヤネ</v>
      </c>
      <c r="I1531" s="22" t="str">
        <f>IFERROR(__xludf.DUMMYFUNCTION("""COMPUTED_VALUE"""),"少女")</f>
        <v>少女</v>
      </c>
      <c r="J1531" s="22"/>
      <c r="K1531" s="22"/>
      <c r="L1531" s="22" t="str">
        <f>IFERROR(__xludf.DUMMYFUNCTION("""COMPUTED_VALUE"""),"ソルマーレ編集部")</f>
        <v>ソルマーレ編集部</v>
      </c>
      <c r="M1531" s="23">
        <f>IFERROR(__xludf.DUMMYFUNCTION("""COMPUTED_VALUE"""),45458.0)</f>
        <v>45458</v>
      </c>
      <c r="N1531" s="23">
        <f>IFERROR(__xludf.DUMMYFUNCTION("""COMPUTED_VALUE"""),45610.70833333333)</f>
        <v>45610.70833</v>
      </c>
      <c r="O1531" s="20"/>
      <c r="P1531" s="32" t="str">
        <f>IFERROR(__xludf.DUMMYFUNCTION("""COMPUTED_VALUE"""),"可")</f>
        <v>可</v>
      </c>
      <c r="Q1531" s="30"/>
      <c r="R1531" s="22"/>
      <c r="S1531" s="22" t="str">
        <f>IFERROR(__xludf.DUMMYFUNCTION("""COMPUTED_VALUE"""),"20240517_ソルマーレ編集部_龍神様の花嫁")</f>
        <v>20240517_ソルマーレ編集部_龍神様の花嫁</v>
      </c>
      <c r="T1531" s="22" t="str">
        <f>IFERROR(__xludf.DUMMYFUNCTION("""COMPUTED_VALUE"""),"格納済み")</f>
        <v>格納済み</v>
      </c>
      <c r="U1531" s="15" t="str">
        <f>IFERROR(__xludf.DUMMYFUNCTION("""COMPUTED_VALUE"""),"Ⓒ 夏川アヤネ/シーモアコミックス")</f>
        <v>Ⓒ 夏川アヤネ/シーモアコミックス</v>
      </c>
      <c r="V1531" s="8" t="str">
        <f>IFERROR(__xludf.DUMMYFUNCTION("""COMPUTED_VALUE"""),"「今後わたしの婚約者に手出しするものは相手が誰であろうと許さない――」
天龍家の女性は癒しの巫女の血筋のため治癒の力を授かって生まれてくる
治癒の力を持たないものは忌避子として忌み嫌われ迫害されていた…
そして力の強い家系に生まれた美月は、忌避子だった。
美月が7歳のとき母親が他界し叔母の家に引き取られ、
忌避子として迫害される日々の中、生きるために耐え忍ぶ日々を送っていた。
そんなある日、新しい当主を決める成人の儀が開催される事になった――
苦難の末、待ち受ける美月の運命は如何に!? "&amp;"和風シンデレラストーリー、開幕！【恋するソワレ】")</f>
        <v>「今後わたしの婚約者に手出しするものは相手が誰であろうと許さない――」
天龍家の女性は癒しの巫女の血筋のため治癒の力を授かって生まれてくる
治癒の力を持たないものは忌避子として忌み嫌われ迫害されていた…
そして力の強い家系に生まれた美月は、忌避子だった。
美月が7歳のとき母親が他界し叔母の家に引き取られ、
忌避子として迫害される日々の中、生きるために耐え忍ぶ日々を送っていた。
そんなある日、新しい当主を決める成人の儀が開催される事になった――
苦難の末、待ち受ける美月の運命は如何に!? 和風シンデレラストーリー、開幕！【恋するソワレ】</v>
      </c>
      <c r="W1531" s="14"/>
      <c r="X1531" s="14" t="str">
        <f>IFERROR(__xludf.DUMMYFUNCTION("""COMPUTED_VALUE"""),"有")</f>
        <v>有</v>
      </c>
      <c r="Y1531" s="8" t="str">
        <f>IFERROR(__xludf.DUMMYFUNCTION("""COMPUTED_VALUE"""),"P12まで")</f>
        <v>P12まで</v>
      </c>
      <c r="Z1531" s="7"/>
      <c r="AA1531" s="7"/>
      <c r="AB1531" s="7"/>
    </row>
    <row r="1532" ht="15.75" customHeight="1">
      <c r="A1532" s="26">
        <f>IFERROR(__xludf.DUMMYFUNCTION("""COMPUTED_VALUE"""),3419.0)</f>
        <v>3419</v>
      </c>
      <c r="B1532" s="22" t="str">
        <f>IFERROR(__xludf.DUMMYFUNCTION("""COMPUTED_VALUE"""),"確定")</f>
        <v>確定</v>
      </c>
      <c r="C1532" s="28">
        <f>IFERROR(__xludf.DUMMYFUNCTION("""COMPUTED_VALUE"""),45426.0)</f>
        <v>45426</v>
      </c>
      <c r="D1532" s="28">
        <f>IFERROR(__xludf.DUMMYFUNCTION("""COMPUTED_VALUE"""),45433.0)</f>
        <v>45433</v>
      </c>
      <c r="E1532" s="26">
        <f>IFERROR(__xludf.DUMMYFUNCTION("""COMPUTED_VALUE"""),283601.0)</f>
        <v>283601</v>
      </c>
      <c r="F1532" s="22" t="str">
        <f>IFERROR(__xludf.DUMMYFUNCTION("""COMPUTED_VALUE"""),"ネタ合わせは喫煙所で")</f>
        <v>ネタ合わせは喫煙所で</v>
      </c>
      <c r="G1532" s="11" t="str">
        <f>IFERROR(__xludf.DUMMYFUNCTION("""COMPUTED_VALUE"""),"1～2")</f>
        <v>1～2</v>
      </c>
      <c r="H1532" s="22" t="str">
        <f>IFERROR(__xludf.DUMMYFUNCTION("""COMPUTED_VALUE"""),"東洋トタン")</f>
        <v>東洋トタン</v>
      </c>
      <c r="I1532" s="22" t="str">
        <f>IFERROR(__xludf.DUMMYFUNCTION("""COMPUTED_VALUE"""),"青年")</f>
        <v>青年</v>
      </c>
      <c r="J1532" s="22"/>
      <c r="K1532" s="22"/>
      <c r="L1532" s="22" t="str">
        <f>IFERROR(__xludf.DUMMYFUNCTION("""COMPUTED_VALUE"""),"ソルマーレ編集部")</f>
        <v>ソルマーレ編集部</v>
      </c>
      <c r="M1532" s="23">
        <f>IFERROR(__xludf.DUMMYFUNCTION("""COMPUTED_VALUE"""),45458.0)</f>
        <v>45458</v>
      </c>
      <c r="N1532" s="23">
        <f>IFERROR(__xludf.DUMMYFUNCTION("""COMPUTED_VALUE"""),45519.0)</f>
        <v>45519</v>
      </c>
      <c r="O1532" s="20"/>
      <c r="P1532" s="32" t="str">
        <f>IFERROR(__xludf.DUMMYFUNCTION("""COMPUTED_VALUE"""),"可")</f>
        <v>可</v>
      </c>
      <c r="Q1532" s="30"/>
      <c r="R1532" s="22"/>
      <c r="S1532" s="22" t="str">
        <f>IFERROR(__xludf.DUMMYFUNCTION("""COMPUTED_VALUE"""),"20240517_ソルマーレ編集部_ネタ合わせは喫煙所で")</f>
        <v>20240517_ソルマーレ編集部_ネタ合わせは喫煙所で</v>
      </c>
      <c r="T1532" s="22" t="str">
        <f>IFERROR(__xludf.DUMMYFUNCTION("""COMPUTED_VALUE"""),"格納済み")</f>
        <v>格納済み</v>
      </c>
      <c r="U1532" s="15" t="str">
        <f>IFERROR(__xludf.DUMMYFUNCTION("""COMPUTED_VALUE"""),"Ⓒ 東洋トタン/シーモアコミックス")</f>
        <v>Ⓒ 東洋トタン/シーモアコミックス</v>
      </c>
      <c r="V1532" s="8" t="str">
        <f>IFERROR(__xludf.DUMMYFUNCTION("""COMPUTED_VALUE"""),"ネタ合わせの息抜きとしても、コミュニケーションツールとしても、いつも寄り添ってくれる煙草──。
立花(たちばな)リッカは社畜生活に限界を感じ、幼い頃からの夢だった芸人の世界へと飛び込んだ。仕事に恋愛…すべてを地固めしていかなければならないことは分かっている。それでもアルバイトで食い繋ぎながらもジリ貧ピン芸人生活を送るリッカの目の前に、憧れの先輩芸人である猪熊(いのくま)ミドリが現れて…!?むせ返るほどにあがいて、もがいて、駆け上がる芸人群像劇の幕が上がる──。【ズズズキュン！】")</f>
        <v>ネタ合わせの息抜きとしても、コミュニケーションツールとしても、いつも寄り添ってくれる煙草──。
立花(たちばな)リッカは社畜生活に限界を感じ、幼い頃からの夢だった芸人の世界へと飛び込んだ。仕事に恋愛…すべてを地固めしていかなければならないことは分かっている。それでもアルバイトで食い繋ぎながらもジリ貧ピン芸人生活を送るリッカの目の前に、憧れの先輩芸人である猪熊(いのくま)ミドリが現れて…!?むせ返るほどにあがいて、もがいて、駆け上がる芸人群像劇の幕が上がる──。【ズズズキュン！】</v>
      </c>
      <c r="W1532" s="14"/>
      <c r="X1532" s="14" t="str">
        <f>IFERROR(__xludf.DUMMYFUNCTION("""COMPUTED_VALUE"""),"有")</f>
        <v>有</v>
      </c>
      <c r="Y1532" s="8" t="str">
        <f>IFERROR(__xludf.DUMMYFUNCTION("""COMPUTED_VALUE"""),"P7まで")</f>
        <v>P7まで</v>
      </c>
      <c r="Z1532" s="7"/>
      <c r="AA1532" s="7"/>
      <c r="AB1532" s="7"/>
    </row>
    <row r="1533" ht="15.75" customHeight="1">
      <c r="A1533" s="26">
        <f>IFERROR(__xludf.DUMMYFUNCTION("""COMPUTED_VALUE"""),3420.0)</f>
        <v>3420</v>
      </c>
      <c r="B1533" s="22" t="str">
        <f>IFERROR(__xludf.DUMMYFUNCTION("""COMPUTED_VALUE"""),"確定")</f>
        <v>確定</v>
      </c>
      <c r="C1533" s="28">
        <f>IFERROR(__xludf.DUMMYFUNCTION("""COMPUTED_VALUE"""),45426.0)</f>
        <v>45426</v>
      </c>
      <c r="D1533" s="28">
        <f>IFERROR(__xludf.DUMMYFUNCTION("""COMPUTED_VALUE"""),45433.0)</f>
        <v>45433</v>
      </c>
      <c r="E1533" s="26">
        <f>IFERROR(__xludf.DUMMYFUNCTION("""COMPUTED_VALUE"""),286202.0)</f>
        <v>286202</v>
      </c>
      <c r="F1533" s="22" t="str">
        <f>IFERROR(__xludf.DUMMYFUNCTION("""COMPUTED_VALUE"""),"面影(フルカラー)")</f>
        <v>面影(フルカラー)</v>
      </c>
      <c r="G1533" s="20" t="str">
        <f>IFERROR(__xludf.DUMMYFUNCTION("""COMPUTED_VALUE"""),"1～3")</f>
        <v>1～3</v>
      </c>
      <c r="H1533" s="22" t="str">
        <f>IFERROR(__xludf.DUMMYFUNCTION("""COMPUTED_VALUE"""),"Team Chic Novel,Haesong,jinzo")</f>
        <v>Team Chic Novel,Haesong,jinzo</v>
      </c>
      <c r="I1533" s="22" t="str">
        <f>IFERROR(__xludf.DUMMYFUNCTION("""COMPUTED_VALUE"""),"BL")</f>
        <v>BL</v>
      </c>
      <c r="J1533" s="22"/>
      <c r="K1533" s="22"/>
      <c r="L1533" s="22" t="str">
        <f>IFERROR(__xludf.DUMMYFUNCTION("""COMPUTED_VALUE"""),"ソルマーレ編集部")</f>
        <v>ソルマーレ編集部</v>
      </c>
      <c r="M1533" s="23">
        <f>IFERROR(__xludf.DUMMYFUNCTION("""COMPUTED_VALUE"""),45458.0)</f>
        <v>45458</v>
      </c>
      <c r="N1533" s="23">
        <f>IFERROR(__xludf.DUMMYFUNCTION("""COMPUTED_VALUE"""),45519.0)</f>
        <v>45519</v>
      </c>
      <c r="O1533" s="20"/>
      <c r="P1533" s="32" t="str">
        <f>IFERROR(__xludf.DUMMYFUNCTION("""COMPUTED_VALUE"""),"可")</f>
        <v>可</v>
      </c>
      <c r="Q1533" s="30"/>
      <c r="R1533" s="22"/>
      <c r="S1533" s="22" t="str">
        <f>IFERROR(__xludf.DUMMYFUNCTION("""COMPUTED_VALUE"""),"20240520_ソルマーレ編集部_面影（フルカラー）")</f>
        <v>20240520_ソルマーレ編集部_面影（フルカラー）</v>
      </c>
      <c r="T1533" s="22" t="str">
        <f>IFERROR(__xludf.DUMMYFUNCTION("""COMPUTED_VALUE"""),"格納済み")</f>
        <v>格納済み</v>
      </c>
      <c r="U1533" s="15" t="str">
        <f>IFERROR(__xludf.DUMMYFUNCTION("""COMPUTED_VALUE"""),"Ⓒ Team Chic Novel/jinzo/Haesong/デイズエンター/ミスターブルー/シーモアコミックス")</f>
        <v>Ⓒ Team Chic Novel/jinzo/Haesong/デイズエンター/ミスターブルー/シーモアコミックス</v>
      </c>
      <c r="V1533" s="8" t="str">
        <f>IFERROR(__xludf.DUMMYFUNCTION("""COMPUTED_VALUE"""),"人が、一等・二等・劣等の等級で分けられる世界―――水瓶の儀式によって二等であることが判明した皇子イリクは、乳母一人を残してすべてを奪われ皇宮から追放された。皇宮での何不自由のない生活も、皇子であった自身の過去も、一等になった暁には伴侶にしようと思っていたナルエのことも忘れつつあったある日、目の前にナルエが現れた。そして現代―――イリクの記憶を持って生まれた潤井理久の前にナルエにそっくりな顔をした少年、霧生大志が現れた。前世であった出来事から大志を警戒していた理久だが、ナルエとは違い、心優しく人懐っこい性格"&amp;"の大志に段々と絆されていく…。解き明かされていく過去の真相、そして大志の正体は！？【フィカス】")</f>
        <v>人が、一等・二等・劣等の等級で分けられる世界―――水瓶の儀式によって二等であることが判明した皇子イリクは、乳母一人を残してすべてを奪われ皇宮から追放された。皇宮での何不自由のない生活も、皇子であった自身の過去も、一等になった暁には伴侶にしようと思っていたナルエのことも忘れつつあったある日、目の前にナルエが現れた。そして現代―――イリクの記憶を持って生まれた潤井理久の前にナルエにそっくりな顔をした少年、霧生大志が現れた。前世であった出来事から大志を警戒していた理久だが、ナルエとは違い、心優しく人懐っこい性格の大志に段々と絆されていく…。解き明かされていく過去の真相、そして大志の正体は！？【フィカス】</v>
      </c>
      <c r="W1533" s="14"/>
      <c r="X1533" s="14" t="str">
        <f>IFERROR(__xludf.DUMMYFUNCTION("""COMPUTED_VALUE"""),"有")</f>
        <v>有</v>
      </c>
      <c r="Y1533" s="8" t="str">
        <f>IFERROR(__xludf.DUMMYFUNCTION("""COMPUTED_VALUE"""),"P8まで")</f>
        <v>P8まで</v>
      </c>
      <c r="Z1533" s="7"/>
      <c r="AA1533" s="7"/>
      <c r="AB1533" s="7"/>
    </row>
    <row r="1534" ht="15.75" customHeight="1">
      <c r="A1534" s="26">
        <f>IFERROR(__xludf.DUMMYFUNCTION("""COMPUTED_VALUE"""),3421.0)</f>
        <v>3421</v>
      </c>
      <c r="B1534" s="22" t="str">
        <f>IFERROR(__xludf.DUMMYFUNCTION("""COMPUTED_VALUE"""),"確定")</f>
        <v>確定</v>
      </c>
      <c r="C1534" s="28">
        <f>IFERROR(__xludf.DUMMYFUNCTION("""COMPUTED_VALUE"""),45426.0)</f>
        <v>45426</v>
      </c>
      <c r="D1534" s="28">
        <f>IFERROR(__xludf.DUMMYFUNCTION("""COMPUTED_VALUE"""),45433.0)</f>
        <v>45433</v>
      </c>
      <c r="E1534" s="26">
        <f>IFERROR(__xludf.DUMMYFUNCTION("""COMPUTED_VALUE"""),286203.0)</f>
        <v>286203</v>
      </c>
      <c r="F1534" s="22" t="str">
        <f>IFERROR(__xludf.DUMMYFUNCTION("""COMPUTED_VALUE"""),"面影【タテヨミ】")</f>
        <v>面影【タテヨミ】</v>
      </c>
      <c r="G1534" s="16" t="str">
        <f>IFERROR(__xludf.DUMMYFUNCTION("""COMPUTED_VALUE"""),"1～12")</f>
        <v>1～12</v>
      </c>
      <c r="H1534" s="22" t="str">
        <f>IFERROR(__xludf.DUMMYFUNCTION("""COMPUTED_VALUE"""),"Team Chic Novel,Haesong,jinzo")</f>
        <v>Team Chic Novel,Haesong,jinzo</v>
      </c>
      <c r="I1534" s="22" t="str">
        <f>IFERROR(__xludf.DUMMYFUNCTION("""COMPUTED_VALUE"""),"BL")</f>
        <v>BL</v>
      </c>
      <c r="J1534" s="22"/>
      <c r="K1534" s="22"/>
      <c r="L1534" s="22" t="str">
        <f>IFERROR(__xludf.DUMMYFUNCTION("""COMPUTED_VALUE"""),"ソルマーレ編集部")</f>
        <v>ソルマーレ編集部</v>
      </c>
      <c r="M1534" s="23">
        <f>IFERROR(__xludf.DUMMYFUNCTION("""COMPUTED_VALUE"""),45458.0)</f>
        <v>45458</v>
      </c>
      <c r="N1534" s="23">
        <f>IFERROR(__xludf.DUMMYFUNCTION("""COMPUTED_VALUE"""),45519.0)</f>
        <v>45519</v>
      </c>
      <c r="O1534" s="20"/>
      <c r="P1534" s="34" t="str">
        <f>IFERROR(__xludf.DUMMYFUNCTION("""COMPUTED_VALUE"""),"可")</f>
        <v>可</v>
      </c>
      <c r="Q1534" s="30" t="str">
        <f>IFERROR(__xludf.DUMMYFUNCTION("""COMPUTED_VALUE"""),"※コマサム等素材は「286202　面影（フルカラー）」のほうをお使いください。&lt;BR&gt;バナー制作はフルカラー版の素材を利用して問題ございません。")</f>
        <v>※コマサム等素材は「286202　面影（フルカラー）」のほうをお使いください。&lt;BR&gt;バナー制作はフルカラー版の素材を利用して問題ございません。</v>
      </c>
      <c r="R1534" s="22"/>
      <c r="S1534" s="22" t="str">
        <f>IFERROR(__xludf.DUMMYFUNCTION("""COMPUTED_VALUE"""),"20240517_ソルマーレ編集部_面影【タテヨミ】")</f>
        <v>20240517_ソルマーレ編集部_面影【タテヨミ】</v>
      </c>
      <c r="T1534" s="22" t="str">
        <f>IFERROR(__xludf.DUMMYFUNCTION("""COMPUTED_VALUE"""),"格納済み")</f>
        <v>格納済み</v>
      </c>
      <c r="U1534" s="15" t="str">
        <f>IFERROR(__xludf.DUMMYFUNCTION("""COMPUTED_VALUE"""),"Ⓒ Team Chic Novel/jinzo/Haesong/デイズエンター/ミスターブルー/シーモアコミックス")</f>
        <v>Ⓒ Team Chic Novel/jinzo/Haesong/デイズエンター/ミスターブルー/シーモアコミックス</v>
      </c>
      <c r="V1534" s="8" t="str">
        <f>IFERROR(__xludf.DUMMYFUNCTION("""COMPUTED_VALUE"""),"人が、一等・二等・劣等の等級で分けられる世界―――水瓶の儀式によって二等であることが判明した皇子イリクは、乳母一人を残してすべてを奪われ皇宮から追放された。皇宮での何不自由のない生活も、皇子であった自身の過去も、一等になった暁には伴侶にしようと思っていたナルエのことも忘れつつあったある日、目の前にナルエが現れた。そして現代―――イリクの記憶を持って生まれた潤井理久の前にナルエにそっくりな顔をした少年、霧生大志が現れた。前世であった出来事から大志を警戒していた理久だが、ナルエとは違い、心優しく人懐っこい性格"&amp;"の大志に段々と絆されていく…。解き明かされていく過去の真相、そして大志の正体は！？【フィカス】")</f>
        <v>人が、一等・二等・劣等の等級で分けられる世界―――水瓶の儀式によって二等であることが判明した皇子イリクは、乳母一人を残してすべてを奪われ皇宮から追放された。皇宮での何不自由のない生活も、皇子であった自身の過去も、一等になった暁には伴侶にしようと思っていたナルエのことも忘れつつあったある日、目の前にナルエが現れた。そして現代―――イリクの記憶を持って生まれた潤井理久の前にナルエにそっくりな顔をした少年、霧生大志が現れた。前世であった出来事から大志を警戒していた理久だが、ナルエとは違い、心優しく人懐っこい性格の大志に段々と絆されていく…。解き明かされていく過去の真相、そして大志の正体は！？【フィカス】</v>
      </c>
      <c r="W1534" s="14"/>
      <c r="X1534" s="14" t="str">
        <f>IFERROR(__xludf.DUMMYFUNCTION("""COMPUTED_VALUE"""),"有")</f>
        <v>有</v>
      </c>
      <c r="Y1534" s="8" t="str">
        <f>IFERROR(__xludf.DUMMYFUNCTION("""COMPUTED_VALUE"""),"1巻無料")</f>
        <v>1巻無料</v>
      </c>
      <c r="Z1534" s="7"/>
      <c r="AA1534" s="7"/>
      <c r="AB1534" s="7"/>
    </row>
    <row r="1535" ht="15.75" customHeight="1">
      <c r="A1535" s="26">
        <f>IFERROR(__xludf.DUMMYFUNCTION("""COMPUTED_VALUE"""),3426.0)</f>
        <v>3426</v>
      </c>
      <c r="B1535" s="22" t="str">
        <f>IFERROR(__xludf.DUMMYFUNCTION("""COMPUTED_VALUE"""),"確定")</f>
        <v>確定</v>
      </c>
      <c r="C1535" s="28">
        <f>IFERROR(__xludf.DUMMYFUNCTION("""COMPUTED_VALUE"""),45427.0)</f>
        <v>45427</v>
      </c>
      <c r="D1535" s="28">
        <f>IFERROR(__xludf.DUMMYFUNCTION("""COMPUTED_VALUE"""),45429.0)</f>
        <v>45429</v>
      </c>
      <c r="E1535" s="26">
        <f>IFERROR(__xludf.DUMMYFUNCTION("""COMPUTED_VALUE"""),294224.0)</f>
        <v>294224</v>
      </c>
      <c r="F1535" s="22" t="str">
        <f>IFERROR(__xludf.DUMMYFUNCTION("""COMPUTED_VALUE"""),"年下御曹司の執着婚～訳ありエリートの危険な溺愛～")</f>
        <v>年下御曹司の執着婚～訳ありエリートの危険な溺愛～</v>
      </c>
      <c r="G1535" s="20" t="str">
        <f>IFERROR(__xludf.DUMMYFUNCTION("""COMPUTED_VALUE"""),"1~5")</f>
        <v>1~5</v>
      </c>
      <c r="H1535" s="22" t="str">
        <f>IFERROR(__xludf.DUMMYFUNCTION("""COMPUTED_VALUE"""),"水之江キヨ")</f>
        <v>水之江キヨ</v>
      </c>
      <c r="I1535" s="22" t="str">
        <f>IFERROR(__xludf.DUMMYFUNCTION("""COMPUTED_VALUE"""),"女性")</f>
        <v>女性</v>
      </c>
      <c r="J1535" s="22"/>
      <c r="K1535" s="22"/>
      <c r="L1535" s="22" t="str">
        <f>IFERROR(__xludf.DUMMYFUNCTION("""COMPUTED_VALUE"""),"ライドオン")</f>
        <v>ライドオン</v>
      </c>
      <c r="M1535" s="23">
        <f>IFERROR(__xludf.DUMMYFUNCTION("""COMPUTED_VALUE"""),45450.0)</f>
        <v>45450</v>
      </c>
      <c r="N1535" s="47">
        <f>IFERROR(__xludf.DUMMYFUNCTION("""COMPUTED_VALUE"""),45477.0)</f>
        <v>45477</v>
      </c>
      <c r="O1535" s="20"/>
      <c r="P1535" s="34" t="str">
        <f>IFERROR(__xludf.DUMMYFUNCTION("""COMPUTED_VALUE"""),"可")</f>
        <v>可</v>
      </c>
      <c r="Q1535" s="30" t="str">
        <f>IFERROR(__xludf.DUMMYFUNCTION("""COMPUTED_VALUE"""),"協業レーベル『シーモア×アラモード』作品です。")</f>
        <v>協業レーベル『シーモア×アラモード』作品です。</v>
      </c>
      <c r="R1535" s="22"/>
      <c r="S1535" s="22" t="str">
        <f>IFERROR(__xludf.DUMMYFUNCTION("""COMPUTED_VALUE"""),"20240515_ライドオン_年下御曹司の執着婚～訳ありエリートの危険な溺愛～")</f>
        <v>20240515_ライドオン_年下御曹司の執着婚～訳ありエリートの危険な溺愛～</v>
      </c>
      <c r="T1535" s="22" t="str">
        <f>IFERROR(__xludf.DUMMYFUNCTION("""COMPUTED_VALUE"""),"格納済み")</f>
        <v>格納済み</v>
      </c>
      <c r="U1535" s="15" t="str">
        <f>IFERROR(__xludf.DUMMYFUNCTION("""COMPUTED_VALUE"""),"©水之江キヨ/ライドオン")</f>
        <v>©水之江キヨ/ライドオン</v>
      </c>
      <c r="V1535" s="8" t="str">
        <f>IFERROR(__xludf.DUMMYFUNCTION("""COMPUTED_VALUE"""),"ああ、なんて純粋。やっぱり僕には貴女しかいない…。
――職なし・身寄りなし・恋人なし、天涯孤独の30歳・一花（いちか）は、ある日突然、年の離れた幼馴染で国内有数の大企業・香月ホールディングスの御曹司である諒（りょう）のもとに嫁入りすることに。
久しぶりに再会した彼は、どうやら過去に少し「事情」があったらしい。
一花の健気な優しさに触れた諒は心を開いていくが、彼が一花へ向ける愛情は、徐々に常軌を逸していき…？
執着溺愛年下男子×明るく健気なアラサー女子の訳あり結婚生活！")</f>
        <v>ああ、なんて純粋。やっぱり僕には貴女しかいない…。
――職なし・身寄りなし・恋人なし、天涯孤独の30歳・一花（いちか）は、ある日突然、年の離れた幼馴染で国内有数の大企業・香月ホールディングスの御曹司である諒（りょう）のもとに嫁入りすることに。
久しぶりに再会した彼は、どうやら過去に少し「事情」があったらしい。
一花の健気な優しさに触れた諒は心を開いていくが、彼が一花へ向ける愛情は、徐々に常軌を逸していき…？
執着溺愛年下男子×明るく健気なアラサー女子の訳あり結婚生活！</v>
      </c>
      <c r="W1535" s="14"/>
      <c r="X1535" s="14" t="str">
        <f>IFERROR(__xludf.DUMMYFUNCTION("""COMPUTED_VALUE"""),"有")</f>
        <v>有</v>
      </c>
      <c r="Y1535" s="8" t="str">
        <f>IFERROR(__xludf.DUMMYFUNCTION("""COMPUTED_VALUE"""),"P13まで")</f>
        <v>P13まで</v>
      </c>
      <c r="Z1535" s="7"/>
      <c r="AA1535" s="7"/>
      <c r="AB1535" s="7"/>
    </row>
    <row r="1536" ht="15.75" customHeight="1">
      <c r="A1536" s="26">
        <f>IFERROR(__xludf.DUMMYFUNCTION("""COMPUTED_VALUE"""),3432.0)</f>
        <v>3432</v>
      </c>
      <c r="B1536" s="22" t="str">
        <f>IFERROR(__xludf.DUMMYFUNCTION("""COMPUTED_VALUE"""),"確定")</f>
        <v>確定</v>
      </c>
      <c r="C1536" s="28">
        <f>IFERROR(__xludf.DUMMYFUNCTION("""COMPUTED_VALUE"""),45428.0)</f>
        <v>45428</v>
      </c>
      <c r="D1536" s="28">
        <f>IFERROR(__xludf.DUMMYFUNCTION("""COMPUTED_VALUE"""),45429.0)</f>
        <v>45429</v>
      </c>
      <c r="E1536" s="26">
        <f>IFERROR(__xludf.DUMMYFUNCTION("""COMPUTED_VALUE"""),294053.0)</f>
        <v>294053</v>
      </c>
      <c r="F1536" s="22" t="str">
        <f>IFERROR(__xludf.DUMMYFUNCTION("""COMPUTED_VALUE"""),"蜜を塗られたS級ガイド【タテヨミ】")</f>
        <v>蜜を塗られたS級ガイド【タテヨミ】</v>
      </c>
      <c r="G1536" s="16" t="str">
        <f>IFERROR(__xludf.DUMMYFUNCTION("""COMPUTED_VALUE"""),"1～20")</f>
        <v>1～20</v>
      </c>
      <c r="H1536" s="22" t="str">
        <f>IFERROR(__xludf.DUMMYFUNCTION("""COMPUTED_VALUE"""),"Dalpi┴sua┴Canips")</f>
        <v>Dalpi┴sua┴Canips</v>
      </c>
      <c r="I1536" s="22" t="str">
        <f>IFERROR(__xludf.DUMMYFUNCTION("""COMPUTED_VALUE"""),"BL")</f>
        <v>BL</v>
      </c>
      <c r="J1536" s="22"/>
      <c r="K1536" s="22"/>
      <c r="L1536" s="22" t="str">
        <f>IFERROR(__xludf.DUMMYFUNCTION("""COMPUTED_VALUE"""),"Studio Moon6")</f>
        <v>Studio Moon6</v>
      </c>
      <c r="M1536" s="23">
        <f>IFERROR(__xludf.DUMMYFUNCTION("""COMPUTED_VALUE"""),45459.0)</f>
        <v>45459</v>
      </c>
      <c r="N1536" s="23">
        <f>IFERROR(__xludf.DUMMYFUNCTION("""COMPUTED_VALUE"""),45550.0)</f>
        <v>45550</v>
      </c>
      <c r="O1536" s="20"/>
      <c r="P1536" s="34" t="str">
        <f>IFERROR(__xludf.DUMMYFUNCTION("""COMPUTED_VALUE"""),"可")</f>
        <v>可</v>
      </c>
      <c r="Q1536" s="30" t="str">
        <f>IFERROR(__xludf.DUMMYFUNCTION("""COMPUTED_VALUE"""),"河上さんへ事前コミット済みの作品です。")</f>
        <v>河上さんへ事前コミット済みの作品です。</v>
      </c>
      <c r="R1536" s="22"/>
      <c r="S1536" s="22" t="str">
        <f>IFERROR(__xludf.DUMMYFUNCTION("""COMPUTED_VALUE"""),"20240516_StudioMoon6_蜜を塗られたS級ガイド【タテヨミ】")</f>
        <v>20240516_StudioMoon6_蜜を塗られたS級ガイド【タテヨミ】</v>
      </c>
      <c r="T1536" s="22" t="str">
        <f>IFERROR(__xludf.DUMMYFUNCTION("""COMPUTED_VALUE"""),"格納済み")</f>
        <v>格納済み</v>
      </c>
      <c r="U1536" s="15" t="str">
        <f>IFERROR(__xludf.DUMMYFUNCTION("""COMPUTED_VALUE"""),"(C) Dalpi, sua, Canibs / Studio Moon6")</f>
        <v>(C) Dalpi, sua, Canibs / Studio Moon6</v>
      </c>
      <c r="V1536" s="8" t="str">
        <f>IFERROR(__xludf.DUMMYFUNCTION("""COMPUTED_VALUE"""),"どのギルドからも歓迎される1％の人材、S級ガイド・神堂 新。接触ガイディング以上はやらないという理由で、C級の中でも怠惰そのもののギルド「ノアピ」へ入る。だが、そのC級ギルドでは、接触ガイディングだけで十分だという期待とは裏腹に、どれだけガイディングを行っても、底が抜けたように足りない……。“……一体、どういうことなんだ?”")</f>
        <v>どのギルドからも歓迎される1％の人材、S級ガイド・神堂 新。接触ガイディング以上はやらないという理由で、C級の中でも怠惰そのもののギルド「ノアピ」へ入る。だが、そのC級ギルドでは、接触ガイディングだけで十分だという期待とは裏腹に、どれだけガイディングを行っても、底が抜けたように足りない……。“……一体、どういうことなんだ?”</v>
      </c>
      <c r="W1536" s="14"/>
      <c r="X1536" s="14" t="str">
        <f>IFERROR(__xludf.DUMMYFUNCTION("""COMPUTED_VALUE"""),"有")</f>
        <v>有</v>
      </c>
      <c r="Y1536" s="8" t="str">
        <f>IFERROR(__xludf.DUMMYFUNCTION("""COMPUTED_VALUE"""),"2024/7/15まで1～8巻無料")</f>
        <v>2024/7/15まで1～8巻無料</v>
      </c>
      <c r="Z1536" s="7"/>
      <c r="AA1536" s="7"/>
      <c r="AB1536" s="7"/>
    </row>
    <row r="1537" ht="15.75" customHeight="1">
      <c r="A1537" s="26">
        <f>IFERROR(__xludf.DUMMYFUNCTION("""COMPUTED_VALUE"""),3433.0)</f>
        <v>3433</v>
      </c>
      <c r="B1537" s="22" t="str">
        <f>IFERROR(__xludf.DUMMYFUNCTION("""COMPUTED_VALUE"""),"確定")</f>
        <v>確定</v>
      </c>
      <c r="C1537" s="28">
        <f>IFERROR(__xludf.DUMMYFUNCTION("""COMPUTED_VALUE"""),45428.0)</f>
        <v>45428</v>
      </c>
      <c r="D1537" s="28">
        <f>IFERROR(__xludf.DUMMYFUNCTION("""COMPUTED_VALUE"""),45429.0)</f>
        <v>45429</v>
      </c>
      <c r="E1537" s="26">
        <f>IFERROR(__xludf.DUMMYFUNCTION("""COMPUTED_VALUE"""),291631.0)</f>
        <v>291631</v>
      </c>
      <c r="F1537" s="22" t="str">
        <f>IFERROR(__xludf.DUMMYFUNCTION("""COMPUTED_VALUE"""),"【単話版】婚約破棄した傷物令嬢は、治癒術師に弟子入りします！@COMIC")</f>
        <v>【単話版】婚約破棄した傷物令嬢は、治癒術師に弟子入りします！@COMIC</v>
      </c>
      <c r="G1537" s="20" t="str">
        <f>IFERROR(__xludf.DUMMYFUNCTION("""COMPUTED_VALUE"""),"1～3")</f>
        <v>1～3</v>
      </c>
      <c r="H1537" s="22" t="str">
        <f>IFERROR(__xludf.DUMMYFUNCTION("""COMPUTED_VALUE"""),"佳宵伊吹 三角あきせ 林マキ")</f>
        <v>佳宵伊吹 三角あきせ 林マキ</v>
      </c>
      <c r="I1537" s="22" t="str">
        <f>IFERROR(__xludf.DUMMYFUNCTION("""COMPUTED_VALUE"""),"少女")</f>
        <v>少女</v>
      </c>
      <c r="J1537" s="22"/>
      <c r="K1537" s="22"/>
      <c r="L1537" s="22" t="str">
        <f>IFERROR(__xludf.DUMMYFUNCTION("""COMPUTED_VALUE"""),"TOブックス")</f>
        <v>TOブックス</v>
      </c>
      <c r="M1537" s="23">
        <f>IFERROR(__xludf.DUMMYFUNCTION("""COMPUTED_VALUE"""),45413.0)</f>
        <v>45413</v>
      </c>
      <c r="N1537" s="23">
        <f>IFERROR(__xludf.DUMMYFUNCTION("""COMPUTED_VALUE"""),45443.0)</f>
        <v>45443</v>
      </c>
      <c r="O1537" s="20"/>
      <c r="P1537" s="32" t="str">
        <f>IFERROR(__xludf.DUMMYFUNCTION("""COMPUTED_VALUE"""),"可")</f>
        <v>可</v>
      </c>
      <c r="Q1537" s="30"/>
      <c r="R1537" s="22"/>
      <c r="S1537" s="22" t="str">
        <f>IFERROR(__xludf.DUMMYFUNCTION("""COMPUTED_VALUE"""),"20240516_TOブックス_【単話版】婚約破棄した傷物令嬢は、治癒術師に弟子入りします！")</f>
        <v>20240516_TOブックス_【単話版】婚約破棄した傷物令嬢は、治癒術師に弟子入りします！</v>
      </c>
      <c r="T1537" s="22" t="str">
        <f>IFERROR(__xludf.DUMMYFUNCTION("""COMPUTED_VALUE"""),"格納済み")</f>
        <v>格納済み</v>
      </c>
      <c r="U1537" s="15" t="str">
        <f>IFERROR(__xludf.DUMMYFUNCTION("""COMPUTED_VALUE"""),"(C) Ibuki Kasho / Akise Misumi")</f>
        <v>(C) Ibuki Kasho / Akise Misumi</v>
      </c>
      <c r="V1537" s="8" t="str">
        <f>IFERROR(__xludf.DUMMYFUNCTION("""COMPUTED_VALUE"""),"「もし婚約破棄をしたら、一番に私に知らせてほしい」
「それでも僕は、君の手を離してあげられない」
(どうして…？彼らが愛しているのは、『彼女』のはずなのに――)
乙女ゲームのモブに転生した子爵令嬢・エヴァは、幼い頃に負った傷跡のせいで何事にも消極的だった。
大好きな両親との穏やかな生活を望むエヴァだが、王太子・ジェイドの建前上の婚約者にされてしまう。
貴族たちには王太子妃に相応しくない身分を蔑まれ、ジェイド本人は幼なじみ・サラに夢中……
何度も婚約解消を申し出るもなぜか頑なに応じないジェイ"&amp;"ドに困惑している最中、出会ったのは神官セオドアだった。
神職者らしからぬ軽薄な態度の中に垣間見える優しさと、新たな居場所を与えてくれる姿に、エヴァの心は揺れ動く。
そんな矢先に起こった「とあるできごと」をきっかけに、3人をとりまく運命の歯車が狂いだし――!?
すれ違いトライアングル恋愛ファンタジー開幕！")</f>
        <v>「もし婚約破棄をしたら、一番に私に知らせてほしい」
「それでも僕は、君の手を離してあげられない」
(どうして…？彼らが愛しているのは、『彼女』のはずなのに――)
乙女ゲームのモブに転生した子爵令嬢・エヴァは、幼い頃に負った傷跡のせいで何事にも消極的だった。
大好きな両親との穏やかな生活を望むエヴァだが、王太子・ジェイドの建前上の婚約者にされてしまう。
貴族たちには王太子妃に相応しくない身分を蔑まれ、ジェイド本人は幼なじみ・サラに夢中……
何度も婚約解消を申し出るもなぜか頑なに応じないジェイドに困惑している最中、出会ったのは神官セオドアだった。
神職者らしからぬ軽薄な態度の中に垣間見える優しさと、新たな居場所を与えてくれる姿に、エヴァの心は揺れ動く。
そんな矢先に起こった「とあるできごと」をきっかけに、3人をとりまく運命の歯車が狂いだし――!?
すれ違いトライアングル恋愛ファンタジー開幕！</v>
      </c>
      <c r="W1537" s="14"/>
      <c r="X1537" s="14" t="str">
        <f>IFERROR(__xludf.DUMMYFUNCTION("""COMPUTED_VALUE"""),"有")</f>
        <v>有</v>
      </c>
      <c r="Y1537" s="8" t="str">
        <f>IFERROR(__xludf.DUMMYFUNCTION("""COMPUTED_VALUE"""),"2024/6/7まで1巻無料")</f>
        <v>2024/6/7まで1巻無料</v>
      </c>
      <c r="Z1537" s="7"/>
      <c r="AA1537" s="7"/>
      <c r="AB1537" s="7"/>
    </row>
    <row r="1538" ht="15.75" customHeight="1">
      <c r="A1538" s="26">
        <f>IFERROR(__xludf.DUMMYFUNCTION("""COMPUTED_VALUE"""),3442.0)</f>
        <v>3442</v>
      </c>
      <c r="B1538" s="22" t="str">
        <f>IFERROR(__xludf.DUMMYFUNCTION("""COMPUTED_VALUE"""),"確定")</f>
        <v>確定</v>
      </c>
      <c r="C1538" s="28">
        <f>IFERROR(__xludf.DUMMYFUNCTION("""COMPUTED_VALUE"""),45429.0)</f>
        <v>45429</v>
      </c>
      <c r="D1538" s="28">
        <f>IFERROR(__xludf.DUMMYFUNCTION("""COMPUTED_VALUE"""),45429.0)</f>
        <v>45429</v>
      </c>
      <c r="E1538" s="26">
        <f>IFERROR(__xludf.DUMMYFUNCTION("""COMPUTED_VALUE"""),294295.0)</f>
        <v>294295</v>
      </c>
      <c r="F1538" s="22" t="str">
        <f>IFERROR(__xludf.DUMMYFUNCTION("""COMPUTED_VALUE"""),"小国の侯爵令嬢は敵国にて覚醒する【単話版】")</f>
        <v>小国の侯爵令嬢は敵国にて覚醒する【単話版】</v>
      </c>
      <c r="G1538" s="16" t="str">
        <f>IFERROR(__xludf.DUMMYFUNCTION("""COMPUTED_VALUE"""),"1～5")</f>
        <v>1～5</v>
      </c>
      <c r="H1538" s="22" t="str">
        <f>IFERROR(__xludf.DUMMYFUNCTION("""COMPUTED_VALUE"""),"西野まほろ　守雨　藤ヶ咲")</f>
        <v>西野まほろ　守雨　藤ヶ咲</v>
      </c>
      <c r="I1538" s="22" t="str">
        <f>IFERROR(__xludf.DUMMYFUNCTION("""COMPUTED_VALUE"""),"少女")</f>
        <v>少女</v>
      </c>
      <c r="J1538" s="22"/>
      <c r="K1538" s="22"/>
      <c r="L1538" s="22" t="str">
        <f>IFERROR(__xludf.DUMMYFUNCTION("""COMPUTED_VALUE"""),"主婦と生活社")</f>
        <v>主婦と生活社</v>
      </c>
      <c r="M1538" s="23">
        <f>IFERROR(__xludf.DUMMYFUNCTION("""COMPUTED_VALUE"""),45443.0)</f>
        <v>45443</v>
      </c>
      <c r="N1538" s="47">
        <f>IFERROR(__xludf.DUMMYFUNCTION("""COMPUTED_VALUE"""),45535.0)</f>
        <v>45535</v>
      </c>
      <c r="O1538" s="20"/>
      <c r="P1538" s="34" t="str">
        <f>IFERROR(__xludf.DUMMYFUNCTION("""COMPUTED_VALUE"""),"否")</f>
        <v>否</v>
      </c>
      <c r="Q1538" s="30" t="str">
        <f>IFERROR(__xludf.DUMMYFUNCTION("""COMPUTED_VALUE"""),"露出コミットなしの先行作品です。配信直前での格納で申し訳ありませんが可能であれば出稿お願いします。")</f>
        <v>露出コミットなしの先行作品です。配信直前での格納で申し訳ありませんが可能であれば出稿お願いします。</v>
      </c>
      <c r="R1538" s="22"/>
      <c r="S1538" s="22" t="str">
        <f>IFERROR(__xludf.DUMMYFUNCTION("""COMPUTED_VALUE"""),"20240517_主婦と生活社_小国の侯爵令嬢は敵国にて覚醒する【単話版】")</f>
        <v>20240517_主婦と生活社_小国の侯爵令嬢は敵国にて覚醒する【単話版】</v>
      </c>
      <c r="T1538" s="22" t="str">
        <f>IFERROR(__xludf.DUMMYFUNCTION("""COMPUTED_VALUE"""),"格納済み")</f>
        <v>格納済み</v>
      </c>
      <c r="U1538" s="15" t="str">
        <f>IFERROR(__xludf.DUMMYFUNCTION("""COMPUTED_VALUE"""),"（C）Mahoro Nishino／Syuu／Fujigasaki")</f>
        <v>（C）Mahoro Nishino／Syuu／Fujigasaki</v>
      </c>
      <c r="V1538" s="8" t="str">
        <f>IFERROR(__xludf.DUMMYFUNCTION("""COMPUTED_VALUE"""),"「我々が要求したのは花嫁ではなく賠償金です」
嫁がされた敵国で待っていたのは、
夫となる将軍の拒否と冷遇だったーー！
ベルティーヌは小国の宰相の娘として育った侯爵令嬢。
しかし結婚を目前にして、戦争の賠償金の一部として
戦勝国の代表・セシリオに嫁げと王命が下る。
絶望を抱えて海を越えた彼女を迎えたのは
夫となる将軍の使用人達からの屈辱的な待遇。
「親も身分も頼れない。この国で生きて力をつけてやる」
そう覚悟した彼女は屋敷を飛び出し、
孤立無援の敵国で生きるための道を切り"&amp;"拓いていくーー。
賠償金代わりに嫁がされた令嬢と敵国将軍の
誤解と取引から始まる恋物語。")</f>
        <v>「我々が要求したのは花嫁ではなく賠償金です」
嫁がされた敵国で待っていたのは、
夫となる将軍の拒否と冷遇だったーー！
ベルティーヌは小国の宰相の娘として育った侯爵令嬢。
しかし結婚を目前にして、戦争の賠償金の一部として
戦勝国の代表・セシリオに嫁げと王命が下る。
絶望を抱えて海を越えた彼女を迎えたのは
夫となる将軍の使用人達からの屈辱的な待遇。
「親も身分も頼れない。この国で生きて力をつけてやる」
そう覚悟した彼女は屋敷を飛び出し、
孤立無援の敵国で生きるための道を切り拓いていくーー。
賠償金代わりに嫁がされた令嬢と敵国将軍の
誤解と取引から始まる恋物語。</v>
      </c>
      <c r="W1538" s="14"/>
      <c r="X1538" s="14" t="str">
        <f>IFERROR(__xludf.DUMMYFUNCTION("""COMPUTED_VALUE"""),"有")</f>
        <v>有</v>
      </c>
      <c r="Y1538" s="8" t="str">
        <f>IFERROR(__xludf.DUMMYFUNCTION("""COMPUTED_VALUE"""),"P3まで")</f>
        <v>P3まで</v>
      </c>
      <c r="Z1538" s="7"/>
      <c r="AA1538" s="7"/>
      <c r="AB1538" s="7"/>
    </row>
    <row r="1539" ht="15.75" customHeight="1">
      <c r="A1539" s="26">
        <f>IFERROR(__xludf.DUMMYFUNCTION("""COMPUTED_VALUE"""),3445.0)</f>
        <v>3445</v>
      </c>
      <c r="B1539" s="22" t="str">
        <f>IFERROR(__xludf.DUMMYFUNCTION("""COMPUTED_VALUE"""),"確定")</f>
        <v>確定</v>
      </c>
      <c r="C1539" s="28">
        <f>IFERROR(__xludf.DUMMYFUNCTION("""COMPUTED_VALUE"""),45429.0)</f>
        <v>45429</v>
      </c>
      <c r="D1539" s="28">
        <f>IFERROR(__xludf.DUMMYFUNCTION("""COMPUTED_VALUE"""),45429.0)</f>
        <v>45429</v>
      </c>
      <c r="E1539" s="26">
        <f>IFERROR(__xludf.DUMMYFUNCTION("""COMPUTED_VALUE"""),295105.0)</f>
        <v>295105</v>
      </c>
      <c r="F1539" s="22" t="str">
        <f>IFERROR(__xludf.DUMMYFUNCTION("""COMPUTED_VALUE"""),"いびつな狐のお嫁入り～鬼が焦がれた九尾の娘～")</f>
        <v>いびつな狐のお嫁入り～鬼が焦がれた九尾の娘～</v>
      </c>
      <c r="G1539" s="20" t="str">
        <f>IFERROR(__xludf.DUMMYFUNCTION("""COMPUTED_VALUE"""),"1~3")</f>
        <v>1~3</v>
      </c>
      <c r="H1539" s="22" t="str">
        <f>IFERROR(__xludf.DUMMYFUNCTION("""COMPUTED_VALUE"""),"財賀アカネ")</f>
        <v>財賀アカネ</v>
      </c>
      <c r="I1539" s="22" t="str">
        <f>IFERROR(__xludf.DUMMYFUNCTION("""COMPUTED_VALUE"""),"女性")</f>
        <v>女性</v>
      </c>
      <c r="J1539" s="22"/>
      <c r="K1539" s="22"/>
      <c r="L1539" s="22" t="str">
        <f>IFERROR(__xludf.DUMMYFUNCTION("""COMPUTED_VALUE"""),"CLLENN")</f>
        <v>CLLENN</v>
      </c>
      <c r="M1539" s="23">
        <f>IFERROR(__xludf.DUMMYFUNCTION("""COMPUTED_VALUE"""),45464.0)</f>
        <v>45464</v>
      </c>
      <c r="N1539" s="23">
        <f>IFERROR(__xludf.DUMMYFUNCTION("""COMPUTED_VALUE"""),45561.0)</f>
        <v>45561</v>
      </c>
      <c r="O1539" s="20"/>
      <c r="P1539" s="34" t="str">
        <f>IFERROR(__xludf.DUMMYFUNCTION("""COMPUTED_VALUE"""),"可")</f>
        <v>可</v>
      </c>
      <c r="Q1539" s="31" t="str">
        <f>IFERROR(__xludf.DUMMYFUNCTION("""COMPUTED_VALUE"""),"協業：シーモア×Ropopo!&lt;BR&gt;※新レーベル")</f>
        <v>協業：シーモア×Ropopo!&lt;BR&gt;※新レーベル</v>
      </c>
      <c r="R1539" s="22" t="str">
        <f>IFERROR(__xludf.DUMMYFUNCTION("""COMPUTED_VALUE"""),"格納済")</f>
        <v>格納済</v>
      </c>
      <c r="S1539" s="22" t="str">
        <f>IFERROR(__xludf.DUMMYFUNCTION("""COMPUTED_VALUE"""),"20240517_CLLENN_いびつな狐のお嫁入り～鬼が焦がれた九尾の娘")</f>
        <v>20240517_CLLENN_いびつな狐のお嫁入り～鬼が焦がれた九尾の娘</v>
      </c>
      <c r="T1539" s="22" t="str">
        <f>IFERROR(__xludf.DUMMYFUNCTION("""COMPUTED_VALUE"""),"格納済み")</f>
        <v>格納済み</v>
      </c>
      <c r="U1539" s="15" t="str">
        <f>IFERROR(__xludf.DUMMYFUNCTION("""COMPUTED_VALUE"""),"ⓒ財賀アカネ/CLLENN")</f>
        <v>ⓒ財賀アカネ/CLLENN</v>
      </c>
      <c r="V1539" s="8" t="str">
        <f>IFERROR(__xludf.DUMMYFUNCTION("""COMPUTED_VALUE"""),"“九尾家”に生まれながら尾が一つしかない出来損ないの狐娘・鈴葉。生まれながらに三つ尾を持つ双子の妹と比較され、町の狐娘たちからは尾を笑われ蔑まれていた。唯一の救いは人気商店のアイドル的存在の氷雨にそっと憧れを抱くこと。年頃になった鈴葉は父親から異種族である“鬼”と、互いの商売繁盛のための政略結婚を命じられる。ところが鬼の旦那さま・四季は以前から鈴葉に密かに思いを寄せており、この縁談は四季にとって願ってもないことだった。一見クールで寡黙ながら脳内は鈴葉が可愛くてしかたがない鬼の旦那と、心を閉ざした狐嫁。本心"&amp;"が通じ合えぬまま迎えた初夜でふたりは――？　一筋縄ではいかない異種婚姻譚！")</f>
        <v>“九尾家”に生まれながら尾が一つしかない出来損ないの狐娘・鈴葉。生まれながらに三つ尾を持つ双子の妹と比較され、町の狐娘たちからは尾を笑われ蔑まれていた。唯一の救いは人気商店のアイドル的存在の氷雨にそっと憧れを抱くこと。年頃になった鈴葉は父親から異種族である“鬼”と、互いの商売繁盛のための政略結婚を命じられる。ところが鬼の旦那さま・四季は以前から鈴葉に密かに思いを寄せており、この縁談は四季にとって願ってもないことだった。一見クールで寡黙ながら脳内は鈴葉が可愛くてしかたがない鬼の旦那と、心を閉ざした狐嫁。本心が通じ合えぬまま迎えた初夜でふたりは――？　一筋縄ではいかない異種婚姻譚！</v>
      </c>
      <c r="W1539" s="14"/>
      <c r="X1539" s="14" t="str">
        <f>IFERROR(__xludf.DUMMYFUNCTION("""COMPUTED_VALUE"""),"有")</f>
        <v>有</v>
      </c>
      <c r="Y1539" s="8" t="str">
        <f>IFERROR(__xludf.DUMMYFUNCTION("""COMPUTED_VALUE"""),"P10まで")</f>
        <v>P10まで</v>
      </c>
      <c r="Z1539" s="7"/>
      <c r="AA1539" s="7"/>
      <c r="AB1539" s="7"/>
    </row>
    <row r="1540" ht="15.75" customHeight="1">
      <c r="A1540" s="26">
        <f>IFERROR(__xludf.DUMMYFUNCTION("""COMPUTED_VALUE"""),3446.0)</f>
        <v>3446</v>
      </c>
      <c r="B1540" s="22" t="str">
        <f>IFERROR(__xludf.DUMMYFUNCTION("""COMPUTED_VALUE"""),"確定")</f>
        <v>確定</v>
      </c>
      <c r="C1540" s="28">
        <f>IFERROR(__xludf.DUMMYFUNCTION("""COMPUTED_VALUE"""),45432.0)</f>
        <v>45432</v>
      </c>
      <c r="D1540" s="28">
        <f>IFERROR(__xludf.DUMMYFUNCTION("""COMPUTED_VALUE"""),45433.0)</f>
        <v>45433</v>
      </c>
      <c r="E1540" s="26">
        <f>IFERROR(__xludf.DUMMYFUNCTION("""COMPUTED_VALUE"""),281378.0)</f>
        <v>281378</v>
      </c>
      <c r="F1540" s="46" t="str">
        <f>IFERROR(__xludf.DUMMYFUNCTION("""COMPUTED_VALUE"""),"春輝くんの甘い誘惑に勝てそうにない")</f>
        <v>春輝くんの甘い誘惑に勝てそうにない</v>
      </c>
      <c r="G1540" s="20" t="str">
        <f>IFERROR(__xludf.DUMMYFUNCTION("""COMPUTED_VALUE"""),"1～3")</f>
        <v>1～3</v>
      </c>
      <c r="H1540" s="22" t="str">
        <f>IFERROR(__xludf.DUMMYFUNCTION("""COMPUTED_VALUE"""),"天凪かの")</f>
        <v>天凪かの</v>
      </c>
      <c r="I1540" s="22" t="str">
        <f>IFERROR(__xludf.DUMMYFUNCTION("""COMPUTED_VALUE"""),"女性")</f>
        <v>女性</v>
      </c>
      <c r="J1540" s="22"/>
      <c r="K1540" s="22"/>
      <c r="L1540" s="22" t="str">
        <f>IFERROR(__xludf.DUMMYFUNCTION("""COMPUTED_VALUE"""),"シーモアコミックス")</f>
        <v>シーモアコミックス</v>
      </c>
      <c r="M1540" s="23">
        <f>IFERROR(__xludf.DUMMYFUNCTION("""COMPUTED_VALUE"""),45478.0)</f>
        <v>45478</v>
      </c>
      <c r="N1540" s="23">
        <f>IFERROR(__xludf.DUMMYFUNCTION("""COMPUTED_VALUE"""),45631.0)</f>
        <v>45631</v>
      </c>
      <c r="O1540" s="20"/>
      <c r="P1540" s="34" t="str">
        <f>IFERROR(__xludf.DUMMYFUNCTION("""COMPUTED_VALUE"""),"可")</f>
        <v>可</v>
      </c>
      <c r="Q1540" s="36"/>
      <c r="R1540" s="42">
        <f>IFERROR(__xludf.DUMMYFUNCTION("""COMPUTED_VALUE"""),45432.0)</f>
        <v>45432</v>
      </c>
      <c r="S1540" s="22" t="str">
        <f>IFERROR(__xludf.DUMMYFUNCTION("""COMPUTED_VALUE"""),"20240517_シーモアコミックス_春輝くんの甘い誘惑に勝てそうにない")</f>
        <v>20240517_シーモアコミックス_春輝くんの甘い誘惑に勝てそうにない</v>
      </c>
      <c r="T1540" s="22" t="str">
        <f>IFERROR(__xludf.DUMMYFUNCTION("""COMPUTED_VALUE"""),"格納済み")</f>
        <v>格納済み</v>
      </c>
      <c r="U1540" s="15" t="str">
        <f>IFERROR(__xludf.DUMMYFUNCTION("""COMPUTED_VALUE"""),"© 天凪かの/シーモアコミックス")</f>
        <v>© 天凪かの/シーモアコミックス</v>
      </c>
      <c r="V1540" s="8" t="str">
        <f>IFERROR(__xludf.DUMMYFUNCTION("""COMPUTED_VALUE"""),"美馬朱梨はストイックに働く27歳。3年付き合った彼氏に浮気され、しばらく恋愛はいいと仕事に打ち込む日々。そんな朱梨にとって唯一の癒しはお気に入りのお店の大好きなパンケーキをたべることだった。ある日、その店のオーナー・後藤田春輝の修羅場に巻き込まれる。思わず助けに入ってしまったところ「だったら俺と付き合いません？」と春輝に告白されて…！気まぐれ？それとも本気？春輝くんとの恋の行方は――。")</f>
        <v>美馬朱梨はストイックに働く27歳。3年付き合った彼氏に浮気され、しばらく恋愛はいいと仕事に打ち込む日々。そんな朱梨にとって唯一の癒しはお気に入りのお店の大好きなパンケーキをたべることだった。ある日、その店のオーナー・後藤田春輝の修羅場に巻き込まれる。思わず助けに入ってしまったところ「だったら俺と付き合いません？」と春輝に告白されて…！気まぐれ？それとも本気？春輝くんとの恋の行方は――。</v>
      </c>
      <c r="W1540" s="14"/>
      <c r="X1540" s="14" t="str">
        <f>IFERROR(__xludf.DUMMYFUNCTION("""COMPUTED_VALUE"""),"有")</f>
        <v>有</v>
      </c>
      <c r="Y1540" s="8" t="str">
        <f>IFERROR(__xludf.DUMMYFUNCTION("""COMPUTED_VALUE"""),"P9まで")</f>
        <v>P9まで</v>
      </c>
      <c r="Z1540" s="7"/>
      <c r="AA1540" s="7"/>
      <c r="AB1540" s="7"/>
    </row>
    <row r="1541" ht="15.75" customHeight="1">
      <c r="A1541" s="26">
        <f>IFERROR(__xludf.DUMMYFUNCTION("""COMPUTED_VALUE"""),3447.0)</f>
        <v>3447</v>
      </c>
      <c r="B1541" s="22" t="str">
        <f>IFERROR(__xludf.DUMMYFUNCTION("""COMPUTED_VALUE"""),"確定")</f>
        <v>確定</v>
      </c>
      <c r="C1541" s="28">
        <f>IFERROR(__xludf.DUMMYFUNCTION("""COMPUTED_VALUE"""),45432.0)</f>
        <v>45432</v>
      </c>
      <c r="D1541" s="28">
        <f>IFERROR(__xludf.DUMMYFUNCTION("""COMPUTED_VALUE"""),45433.0)</f>
        <v>45433</v>
      </c>
      <c r="E1541" s="26">
        <f>IFERROR(__xludf.DUMMYFUNCTION("""COMPUTED_VALUE"""),279562.0)</f>
        <v>279562</v>
      </c>
      <c r="F1541" s="46" t="str">
        <f>IFERROR(__xludf.DUMMYFUNCTION("""COMPUTED_VALUE"""),"お巡りさん、この恋はニセモノにつき！")</f>
        <v>お巡りさん、この恋はニセモノにつき！</v>
      </c>
      <c r="G1541" s="20" t="str">
        <f>IFERROR(__xludf.DUMMYFUNCTION("""COMPUTED_VALUE"""),"1～3")</f>
        <v>1～3</v>
      </c>
      <c r="H1541" s="22" t="str">
        <f>IFERROR(__xludf.DUMMYFUNCTION("""COMPUTED_VALUE"""),"筧伽藍堂")</f>
        <v>筧伽藍堂</v>
      </c>
      <c r="I1541" s="22" t="str">
        <f>IFERROR(__xludf.DUMMYFUNCTION("""COMPUTED_VALUE"""),"女性")</f>
        <v>女性</v>
      </c>
      <c r="J1541" s="22"/>
      <c r="K1541" s="22"/>
      <c r="L1541" s="22" t="str">
        <f>IFERROR(__xludf.DUMMYFUNCTION("""COMPUTED_VALUE"""),"シーモアコミックス")</f>
        <v>シーモアコミックス</v>
      </c>
      <c r="M1541" s="23">
        <f>IFERROR(__xludf.DUMMYFUNCTION("""COMPUTED_VALUE"""),45478.0)</f>
        <v>45478</v>
      </c>
      <c r="N1541" s="23">
        <f>IFERROR(__xludf.DUMMYFUNCTION("""COMPUTED_VALUE"""),45631.0)</f>
        <v>45631</v>
      </c>
      <c r="O1541" s="20"/>
      <c r="P1541" s="34" t="str">
        <f>IFERROR(__xludf.DUMMYFUNCTION("""COMPUTED_VALUE"""),"可")</f>
        <v>可</v>
      </c>
      <c r="Q1541" s="36"/>
      <c r="R1541" s="42">
        <f>IFERROR(__xludf.DUMMYFUNCTION("""COMPUTED_VALUE"""),45432.0)</f>
        <v>45432</v>
      </c>
      <c r="S1541" s="22" t="str">
        <f>IFERROR(__xludf.DUMMYFUNCTION("""COMPUTED_VALUE"""),"20240517_シーモアコミックス_お巡りさん、この恋はニセモノにつき！")</f>
        <v>20240517_シーモアコミックス_お巡りさん、この恋はニセモノにつき！</v>
      </c>
      <c r="T1541" s="22" t="str">
        <f>IFERROR(__xludf.DUMMYFUNCTION("""COMPUTED_VALUE"""),"格納済み")</f>
        <v>格納済み</v>
      </c>
      <c r="U1541" s="15" t="str">
        <f>IFERROR(__xludf.DUMMYFUNCTION("""COMPUTED_VALUE"""),"© 筧伽藍堂/シーモアコミックス")</f>
        <v>© 筧伽藍堂/シーモアコミックス</v>
      </c>
      <c r="V1541" s="8" t="str">
        <f>IFERROR(__xludf.DUMMYFUNCTION("""COMPUTED_VALUE"""),"「よろしくやっていきましょうか」頼れるお巡りさんとの”ニセモノの恋”が始まる！？理不尽な理由で突然婚約者に別れを告げられた警察の事務職員・季帆。そんな季帆の引越先の官舎のお隣さんは、署内で将来を有望視される管区機動隊のルーキー・鬼堂将だった。爽やかな好青年で職場でも癒やしの存在だった彼がお隣さんなんて、と安心していると「親しくする気はない」と見たことないような冷たさであしらわれて…！？彼の二面性に驚く季帆だったが、偶然が積み重なり、なぜか偽りの交際を始めることになってしまった！そんなニセモノの関係のはずな"&amp;"のに、冷たいと思っていた鬼堂は思いのほか季帆のことを大切にしてくれて――。")</f>
        <v>「よろしくやっていきましょうか」頼れるお巡りさんとの”ニセモノの恋”が始まる！？理不尽な理由で突然婚約者に別れを告げられた警察の事務職員・季帆。そんな季帆の引越先の官舎のお隣さんは、署内で将来を有望視される管区機動隊のルーキー・鬼堂将だった。爽やかな好青年で職場でも癒やしの存在だった彼がお隣さんなんて、と安心していると「親しくする気はない」と見たことないような冷たさであしらわれて…！？彼の二面性に驚く季帆だったが、偶然が積み重なり、なぜか偽りの交際を始めることになってしまった！そんなニセモノの関係のはずなのに、冷たいと思っていた鬼堂は思いのほか季帆のことを大切にしてくれて――。</v>
      </c>
      <c r="W1541" s="14"/>
      <c r="X1541" s="14" t="str">
        <f>IFERROR(__xludf.DUMMYFUNCTION("""COMPUTED_VALUE"""),"有")</f>
        <v>有</v>
      </c>
      <c r="Y1541" s="8" t="str">
        <f>IFERROR(__xludf.DUMMYFUNCTION("""COMPUTED_VALUE"""),"P11まで")</f>
        <v>P11まで</v>
      </c>
      <c r="Z1541" s="7"/>
      <c r="AA1541" s="7"/>
      <c r="AB1541" s="7"/>
    </row>
    <row r="1542" ht="15.75" customHeight="1">
      <c r="A1542" s="26">
        <f>IFERROR(__xludf.DUMMYFUNCTION("""COMPUTED_VALUE"""),3450.0)</f>
        <v>3450</v>
      </c>
      <c r="B1542" s="22" t="str">
        <f>IFERROR(__xludf.DUMMYFUNCTION("""COMPUTED_VALUE"""),"確定")</f>
        <v>確定</v>
      </c>
      <c r="C1542" s="28">
        <f>IFERROR(__xludf.DUMMYFUNCTION("""COMPUTED_VALUE"""),45432.0)</f>
        <v>45432</v>
      </c>
      <c r="D1542" s="28">
        <f>IFERROR(__xludf.DUMMYFUNCTION("""COMPUTED_VALUE"""),45433.0)</f>
        <v>45433</v>
      </c>
      <c r="E1542" s="26">
        <f>IFERROR(__xludf.DUMMYFUNCTION("""COMPUTED_VALUE"""),285515.0)</f>
        <v>285515</v>
      </c>
      <c r="F1542" s="57" t="str">
        <f>IFERROR(__xludf.DUMMYFUNCTION("""COMPUTED_VALUE"""),"2周目高校生の復讐日記
")</f>
        <v>2周目高校生の復讐日記
</v>
      </c>
      <c r="G1542" s="20" t="str">
        <f>IFERROR(__xludf.DUMMYFUNCTION("""COMPUTED_VALUE"""),"1～3")</f>
        <v>1～3</v>
      </c>
      <c r="H1542" s="22" t="str">
        <f>IFERROR(__xludf.DUMMYFUNCTION("""COMPUTED_VALUE"""),"みやのはる,文月いつか")</f>
        <v>みやのはる,文月いつか</v>
      </c>
      <c r="I1542" s="22" t="str">
        <f>IFERROR(__xludf.DUMMYFUNCTION("""COMPUTED_VALUE"""),"青年")</f>
        <v>青年</v>
      </c>
      <c r="J1542" s="22"/>
      <c r="K1542" s="22"/>
      <c r="L1542" s="22" t="str">
        <f>IFERROR(__xludf.DUMMYFUNCTION("""COMPUTED_VALUE"""),"シーモアコミックス")</f>
        <v>シーモアコミックス</v>
      </c>
      <c r="M1542" s="23">
        <f>IFERROR(__xludf.DUMMYFUNCTION("""COMPUTED_VALUE"""),45471.0)</f>
        <v>45471</v>
      </c>
      <c r="N1542" s="58">
        <f>IFERROR(__xludf.DUMMYFUNCTION("""COMPUTED_VALUE"""),45624.0)</f>
        <v>45624</v>
      </c>
      <c r="O1542" s="20"/>
      <c r="P1542" s="34" t="str">
        <f>IFERROR(__xludf.DUMMYFUNCTION("""COMPUTED_VALUE"""),"可")</f>
        <v>可</v>
      </c>
      <c r="Q1542" s="36"/>
      <c r="R1542" s="42">
        <f>IFERROR(__xludf.DUMMYFUNCTION("""COMPUTED_VALUE"""),45432.0)</f>
        <v>45432</v>
      </c>
      <c r="S1542" s="22" t="str">
        <f>IFERROR(__xludf.DUMMYFUNCTION("""COMPUTED_VALUE"""),"20240520_シーモアコミックス_2周目高校生の復讐日記")</f>
        <v>20240520_シーモアコミックス_2周目高校生の復讐日記</v>
      </c>
      <c r="T1542" s="22" t="str">
        <f>IFERROR(__xludf.DUMMYFUNCTION("""COMPUTED_VALUE"""),"格納済み")</f>
        <v>格納済み</v>
      </c>
      <c r="U1542" s="15" t="str">
        <f>IFERROR(__xludf.DUMMYFUNCTION("""COMPUTED_VALUE"""),"© みやのはる/文月いつか/シーモアコミックス")</f>
        <v>© みやのはる/文月いつか/シーモアコミックス</v>
      </c>
      <c r="V1542" s="8" t="str">
        <f>IFERROR(__xludf.DUMMYFUNCTION("""COMPUTED_VALUE"""),"壮絶ないじめを受けた高校時代から10年後...平穏に暮らしていた主人公・沢田は当時唯一の味方だった牧野花が命を絶ったことを知る。いじめられていたのは自分だけではなかった。10年間牧野をいじめ続けた加害者たちは華やかな暮らしを謳歌していた。報復に失敗して絶望した主人公が目を覚ますと、10年前の世界...地獄のような高校時代に時が戻っていた。いじめ加害者たちにに復讐するための、2周目の高校生活が始まる――…。")</f>
        <v>壮絶ないじめを受けた高校時代から10年後...平穏に暮らしていた主人公・沢田は当時唯一の味方だった牧野花が命を絶ったことを知る。いじめられていたのは自分だけではなかった。10年間牧野をいじめ続けた加害者たちは華やかな暮らしを謳歌していた。報復に失敗して絶望した主人公が目を覚ますと、10年前の世界...地獄のような高校時代に時が戻っていた。いじめ加害者たちにに復讐するための、2周目の高校生活が始まる――…。</v>
      </c>
      <c r="W1542" s="14"/>
      <c r="X1542" s="14" t="str">
        <f>IFERROR(__xludf.DUMMYFUNCTION("""COMPUTED_VALUE"""),"有")</f>
        <v>有</v>
      </c>
      <c r="Y1542" s="8" t="str">
        <f>IFERROR(__xludf.DUMMYFUNCTION("""COMPUTED_VALUE"""),"P13まで")</f>
        <v>P13まで</v>
      </c>
      <c r="Z1542" s="7"/>
      <c r="AA1542" s="7"/>
      <c r="AB1542" s="7"/>
    </row>
    <row r="1543" ht="15.75" customHeight="1">
      <c r="A1543" s="26">
        <f>IFERROR(__xludf.DUMMYFUNCTION("""COMPUTED_VALUE"""),3451.0)</f>
        <v>3451</v>
      </c>
      <c r="B1543" s="22" t="str">
        <f>IFERROR(__xludf.DUMMYFUNCTION("""COMPUTED_VALUE"""),"確定")</f>
        <v>確定</v>
      </c>
      <c r="C1543" s="28">
        <f>IFERROR(__xludf.DUMMYFUNCTION("""COMPUTED_VALUE"""),45432.0)</f>
        <v>45432</v>
      </c>
      <c r="D1543" s="28">
        <f>IFERROR(__xludf.DUMMYFUNCTION("""COMPUTED_VALUE"""),45433.0)</f>
        <v>45433</v>
      </c>
      <c r="E1543" s="26">
        <f>IFERROR(__xludf.DUMMYFUNCTION("""COMPUTED_VALUE"""),294435.0)</f>
        <v>294435</v>
      </c>
      <c r="F1543" s="22" t="str">
        <f>IFERROR(__xludf.DUMMYFUNCTION("""COMPUTED_VALUE"""),"W婚約破棄されたのですが。")</f>
        <v>W婚約破棄されたのですが。</v>
      </c>
      <c r="G1543" s="11" t="str">
        <f>IFERROR(__xludf.DUMMYFUNCTION("""COMPUTED_VALUE"""),"1～2")</f>
        <v>1～2</v>
      </c>
      <c r="H1543" s="22" t="str">
        <f>IFERROR(__xludf.DUMMYFUNCTION("""COMPUTED_VALUE"""),"緑茶粒／COMIC ROOM")</f>
        <v>緑茶粒／COMIC ROOM</v>
      </c>
      <c r="I1543" s="22" t="str">
        <f>IFERROR(__xludf.DUMMYFUNCTION("""COMPUTED_VALUE"""),"女性")</f>
        <v>女性</v>
      </c>
      <c r="J1543" s="22"/>
      <c r="K1543" s="22"/>
      <c r="L1543" s="22" t="str">
        <f>IFERROR(__xludf.DUMMYFUNCTION("""COMPUTED_VALUE"""),"コミックルーム")</f>
        <v>コミックルーム</v>
      </c>
      <c r="M1543" s="23">
        <f>IFERROR(__xludf.DUMMYFUNCTION("""COMPUTED_VALUE"""),45458.0)</f>
        <v>45458</v>
      </c>
      <c r="N1543" s="23">
        <f>IFERROR(__xludf.DUMMYFUNCTION("""COMPUTED_VALUE"""),45549.0)</f>
        <v>45549</v>
      </c>
      <c r="O1543" s="20"/>
      <c r="P1543" s="32" t="str">
        <f>IFERROR(__xludf.DUMMYFUNCTION("""COMPUTED_VALUE"""),"可")</f>
        <v>可</v>
      </c>
      <c r="Q1543" s="30"/>
      <c r="R1543" s="22"/>
      <c r="S1543" s="22" t="str">
        <f>IFERROR(__xludf.DUMMYFUNCTION("""COMPUTED_VALUE"""),"20240520_コミックルーム_W婚約破棄されたのですが。")</f>
        <v>20240520_コミックルーム_W婚約破棄されたのですが。</v>
      </c>
      <c r="T1543" s="22" t="str">
        <f>IFERROR(__xludf.DUMMYFUNCTION("""COMPUTED_VALUE"""),"格納済み")</f>
        <v>格納済み</v>
      </c>
      <c r="U1543" s="15" t="str">
        <f>IFERROR(__xludf.DUMMYFUNCTION("""COMPUTED_VALUE"""),"©緑茶粒／COMIC ROOM")</f>
        <v>©緑茶粒／COMIC ROOM</v>
      </c>
      <c r="V1543" s="8" t="str">
        <f>IFERROR(__xludf.DUMMYFUNCTION("""COMPUTED_VALUE"""),"シャロン伯爵令嬢とオリバー子爵令息は、互いの婚約者に裏切られ、同時に婚約破棄をされてしまった。
今まで婚約者に恥じないよう努力を重ねていたシャロンだったが、その努力も無駄となり、思わず泣き崩れてしまう。
そんな彼女に、オリバーはとある提案をする。
「俺と組んで、アイツらにひと泡吹かせてやろうぜ！」
互いの得意分野を活かし、婚約者を見返すための共同戦線が動き出す・・・！
※本作品の１・２巻は『溺れるほど愛されて、幸せになってみせますわ！アンソロジーコミック4巻』の収録作品です。")</f>
        <v>シャロン伯爵令嬢とオリバー子爵令息は、互いの婚約者に裏切られ、同時に婚約破棄をされてしまった。
今まで婚約者に恥じないよう努力を重ねていたシャロンだったが、その努力も無駄となり、思わず泣き崩れてしまう。
そんな彼女に、オリバーはとある提案をする。
「俺と組んで、アイツらにひと泡吹かせてやろうぜ！」
互いの得意分野を活かし、婚約者を見返すための共同戦線が動き出す・・・！
※本作品の１・２巻は『溺れるほど愛されて、幸せになってみせますわ！アンソロジーコミック4巻』の収録作品です。</v>
      </c>
      <c r="W1543" s="14"/>
      <c r="X1543" s="14" t="str">
        <f>IFERROR(__xludf.DUMMYFUNCTION("""COMPUTED_VALUE"""),"有")</f>
        <v>有</v>
      </c>
      <c r="Y1543" s="8" t="str">
        <f>IFERROR(__xludf.DUMMYFUNCTION("""COMPUTED_VALUE"""),"P10まで")</f>
        <v>P10まで</v>
      </c>
      <c r="Z1543" s="7"/>
      <c r="AA1543" s="7"/>
      <c r="AB1543" s="7"/>
    </row>
    <row r="1544" ht="15.75" customHeight="1">
      <c r="A1544" s="26">
        <f>IFERROR(__xludf.DUMMYFUNCTION("""COMPUTED_VALUE"""),3452.0)</f>
        <v>3452</v>
      </c>
      <c r="B1544" s="22" t="str">
        <f>IFERROR(__xludf.DUMMYFUNCTION("""COMPUTED_VALUE"""),"確定")</f>
        <v>確定</v>
      </c>
      <c r="C1544" s="28">
        <f>IFERROR(__xludf.DUMMYFUNCTION("""COMPUTED_VALUE"""),45432.0)</f>
        <v>45432</v>
      </c>
      <c r="D1544" s="28">
        <f>IFERROR(__xludf.DUMMYFUNCTION("""COMPUTED_VALUE"""),45433.0)</f>
        <v>45433</v>
      </c>
      <c r="E1544" s="26">
        <f>IFERROR(__xludf.DUMMYFUNCTION("""COMPUTED_VALUE"""),294436.0)</f>
        <v>294436</v>
      </c>
      <c r="F1544" s="22" t="str">
        <f>IFERROR(__xludf.DUMMYFUNCTION("""COMPUTED_VALUE"""),"真実の愛なんて貴族には無縁…じゃないんですか？！")</f>
        <v>真実の愛なんて貴族には無縁…じゃないんですか？！</v>
      </c>
      <c r="G1544" s="11" t="str">
        <f>IFERROR(__xludf.DUMMYFUNCTION("""COMPUTED_VALUE"""),"1～2")</f>
        <v>1～2</v>
      </c>
      <c r="H1544" s="22" t="str">
        <f>IFERROR(__xludf.DUMMYFUNCTION("""COMPUTED_VALUE"""),"キイロイホウ／COMIC ROOM")</f>
        <v>キイロイホウ／COMIC ROOM</v>
      </c>
      <c r="I1544" s="22" t="str">
        <f>IFERROR(__xludf.DUMMYFUNCTION("""COMPUTED_VALUE"""),"女性")</f>
        <v>女性</v>
      </c>
      <c r="J1544" s="22"/>
      <c r="K1544" s="22"/>
      <c r="L1544" s="22" t="str">
        <f>IFERROR(__xludf.DUMMYFUNCTION("""COMPUTED_VALUE"""),"コミックルーム")</f>
        <v>コミックルーム</v>
      </c>
      <c r="M1544" s="23">
        <f>IFERROR(__xludf.DUMMYFUNCTION("""COMPUTED_VALUE"""),45458.0)</f>
        <v>45458</v>
      </c>
      <c r="N1544" s="23">
        <f>IFERROR(__xludf.DUMMYFUNCTION("""COMPUTED_VALUE"""),45549.0)</f>
        <v>45549</v>
      </c>
      <c r="O1544" s="20"/>
      <c r="P1544" s="32" t="str">
        <f>IFERROR(__xludf.DUMMYFUNCTION("""COMPUTED_VALUE"""),"可")</f>
        <v>可</v>
      </c>
      <c r="Q1544" s="30"/>
      <c r="R1544" s="22"/>
      <c r="S1544" s="22" t="str">
        <f>IFERROR(__xludf.DUMMYFUNCTION("""COMPUTED_VALUE"""),"20240520_コミックルーム_真実の愛なんて貴族には無縁…じゃないんですか！？")</f>
        <v>20240520_コミックルーム_真実の愛なんて貴族には無縁…じゃないんですか！？</v>
      </c>
      <c r="T1544" s="22" t="str">
        <f>IFERROR(__xludf.DUMMYFUNCTION("""COMPUTED_VALUE"""),"格納済み")</f>
        <v>格納済み</v>
      </c>
      <c r="U1544" s="15" t="str">
        <f>IFERROR(__xludf.DUMMYFUNCTION("""COMPUTED_VALUE"""),"©キイロイホウ／COMIC ROOM")</f>
        <v>©キイロイホウ／COMIC ROOM</v>
      </c>
      <c r="V1544" s="8" t="str">
        <f>IFERROR(__xludf.DUMMYFUNCTION("""COMPUTED_VALUE"""),"その日、男爵令嬢のエリサは「真実の愛を見つけたから」という理由で婚約破棄をされてしまった。
ショックのあまり屋敷を飛び出したエリサは、森へと迷い込んでしまう。
帰り道がわからず途方に暮れる彼女が森の中で出会ったのは、自身の初恋相手であるアランだった。
10年ぶりの再会に彼への想いが蘇るエリサだったが、アランは彼女のことを覚えていない様子。
しかし、行くアテのないエリサは、迎えが来るまでの数日間をアランと共に過ごす事になり・・・！？
※本作品の１・２巻は『溺れるほど愛されて、幸せになってみせますわ"&amp;"！アンソロジーコミック4巻』の収録作品です。")</f>
        <v>その日、男爵令嬢のエリサは「真実の愛を見つけたから」という理由で婚約破棄をされてしまった。
ショックのあまり屋敷を飛び出したエリサは、森へと迷い込んでしまう。
帰り道がわからず途方に暮れる彼女が森の中で出会ったのは、自身の初恋相手であるアランだった。
10年ぶりの再会に彼への想いが蘇るエリサだったが、アランは彼女のことを覚えていない様子。
しかし、行くアテのないエリサは、迎えが来るまでの数日間をアランと共に過ごす事になり・・・！？
※本作品の１・２巻は『溺れるほど愛されて、幸せになってみせますわ！アンソロジーコミック4巻』の収録作品です。</v>
      </c>
      <c r="W1544" s="14"/>
      <c r="X1544" s="14" t="str">
        <f>IFERROR(__xludf.DUMMYFUNCTION("""COMPUTED_VALUE"""),"有")</f>
        <v>有</v>
      </c>
      <c r="Y1544" s="8" t="str">
        <f>IFERROR(__xludf.DUMMYFUNCTION("""COMPUTED_VALUE"""),"P10まで")</f>
        <v>P10まで</v>
      </c>
      <c r="Z1544" s="7"/>
      <c r="AA1544" s="7"/>
      <c r="AB1544" s="7"/>
    </row>
    <row r="1545" ht="15.75" customHeight="1">
      <c r="A1545" s="26">
        <f>IFERROR(__xludf.DUMMYFUNCTION("""COMPUTED_VALUE"""),3453.0)</f>
        <v>3453</v>
      </c>
      <c r="B1545" s="22" t="str">
        <f>IFERROR(__xludf.DUMMYFUNCTION("""COMPUTED_VALUE"""),"確定")</f>
        <v>確定</v>
      </c>
      <c r="C1545" s="28">
        <f>IFERROR(__xludf.DUMMYFUNCTION("""COMPUTED_VALUE"""),45432.0)</f>
        <v>45432</v>
      </c>
      <c r="D1545" s="28">
        <f>IFERROR(__xludf.DUMMYFUNCTION("""COMPUTED_VALUE"""),45433.0)</f>
        <v>45433</v>
      </c>
      <c r="E1545" s="26">
        <f>IFERROR(__xludf.DUMMYFUNCTION("""COMPUTED_VALUE"""),296012.0)</f>
        <v>296012</v>
      </c>
      <c r="F1545" s="22" t="str">
        <f>IFERROR(__xludf.DUMMYFUNCTION("""COMPUTED_VALUE"""),"伯爵令息の恩返し〜貴女に受けた恩は必ず返します〜")</f>
        <v>伯爵令息の恩返し〜貴女に受けた恩は必ず返します〜</v>
      </c>
      <c r="G1545" s="11" t="str">
        <f>IFERROR(__xludf.DUMMYFUNCTION("""COMPUTED_VALUE"""),"1～2")</f>
        <v>1～2</v>
      </c>
      <c r="H1545" s="22" t="str">
        <f>IFERROR(__xludf.DUMMYFUNCTION("""COMPUTED_VALUE"""),"さく⛤にい／COMIC ROOM")</f>
        <v>さく⛤にい／COMIC ROOM</v>
      </c>
      <c r="I1545" s="22" t="str">
        <f>IFERROR(__xludf.DUMMYFUNCTION("""COMPUTED_VALUE"""),"女性")</f>
        <v>女性</v>
      </c>
      <c r="J1545" s="22"/>
      <c r="K1545" s="22"/>
      <c r="L1545" s="22" t="str">
        <f>IFERROR(__xludf.DUMMYFUNCTION("""COMPUTED_VALUE"""),"コミックルーム")</f>
        <v>コミックルーム</v>
      </c>
      <c r="M1545" s="23">
        <f>IFERROR(__xludf.DUMMYFUNCTION("""COMPUTED_VALUE"""),45458.0)</f>
        <v>45458</v>
      </c>
      <c r="N1545" s="23">
        <f>IFERROR(__xludf.DUMMYFUNCTION("""COMPUTED_VALUE"""),45549.0)</f>
        <v>45549</v>
      </c>
      <c r="O1545" s="20"/>
      <c r="P1545" s="32" t="str">
        <f>IFERROR(__xludf.DUMMYFUNCTION("""COMPUTED_VALUE"""),"可")</f>
        <v>可</v>
      </c>
      <c r="Q1545" s="30"/>
      <c r="R1545" s="22"/>
      <c r="S1545" s="22" t="str">
        <f>IFERROR(__xludf.DUMMYFUNCTION("""COMPUTED_VALUE"""),"20240520_コミックルーム_伯爵令息の恩返し〜貴女に受けた恩は必ず返します〜")</f>
        <v>20240520_コミックルーム_伯爵令息の恩返し〜貴女に受けた恩は必ず返します〜</v>
      </c>
      <c r="T1545" s="22" t="str">
        <f>IFERROR(__xludf.DUMMYFUNCTION("""COMPUTED_VALUE"""),"格納済み")</f>
        <v>格納済み</v>
      </c>
      <c r="U1545" s="15" t="str">
        <f>IFERROR(__xludf.DUMMYFUNCTION("""COMPUTED_VALUE"""),"©吉乃にい／COMIC ROOM")</f>
        <v>©吉乃にい／COMIC ROOM</v>
      </c>
      <c r="V1545" s="8" t="str">
        <f>IFERROR(__xludf.DUMMYFUNCTION("""COMPUTED_VALUE"""),"子爵令嬢リンダの家は、度重なる他領への経済支援により困窮していた。
ついに貯金が底を尽き、リンダは自身の婚約者に援助を求めるも断られ、さらに貧乏を理由に婚約破棄をされてしまう。
金を得る方法など最早どこにもなく、困り果ててしまうリンダ。
そこに、かつてリンダに救われた恩を返したいと伯爵子息のクロードが現れ、ぜひ支援をと提案する。
しかし、リンダは笑顔でその提案を断る代わりに、“ある事”を教えて欲しいと彼に頼むのだった。
※本作品の１・２巻は『溺れるほど愛されて、幸せになってみせますわ！アンソロジ"&amp;"ーコミック4巻』の収録作品です。")</f>
        <v>子爵令嬢リンダの家は、度重なる他領への経済支援により困窮していた。
ついに貯金が底を尽き、リンダは自身の婚約者に援助を求めるも断られ、さらに貧乏を理由に婚約破棄をされてしまう。
金を得る方法など最早どこにもなく、困り果ててしまうリンダ。
そこに、かつてリンダに救われた恩を返したいと伯爵子息のクロードが現れ、ぜひ支援をと提案する。
しかし、リンダは笑顔でその提案を断る代わりに、“ある事”を教えて欲しいと彼に頼むのだった。
※本作品の１・２巻は『溺れるほど愛されて、幸せになってみせますわ！アンソロジーコミック4巻』の収録作品です。</v>
      </c>
      <c r="W1545" s="14"/>
      <c r="X1545" s="14" t="str">
        <f>IFERROR(__xludf.DUMMYFUNCTION("""COMPUTED_VALUE"""),"有")</f>
        <v>有</v>
      </c>
      <c r="Y1545" s="8" t="str">
        <f>IFERROR(__xludf.DUMMYFUNCTION("""COMPUTED_VALUE"""),"P8まで")</f>
        <v>P8まで</v>
      </c>
      <c r="Z1545" s="7"/>
      <c r="AA1545" s="7"/>
      <c r="AB1545" s="7"/>
    </row>
    <row r="1546" ht="15.75" customHeight="1">
      <c r="A1546" s="26">
        <f>IFERROR(__xludf.DUMMYFUNCTION("""COMPUTED_VALUE"""),3454.0)</f>
        <v>3454</v>
      </c>
      <c r="B1546" s="22" t="str">
        <f>IFERROR(__xludf.DUMMYFUNCTION("""COMPUTED_VALUE"""),"確定")</f>
        <v>確定</v>
      </c>
      <c r="C1546" s="28">
        <f>IFERROR(__xludf.DUMMYFUNCTION("""COMPUTED_VALUE"""),45432.0)</f>
        <v>45432</v>
      </c>
      <c r="D1546" s="28">
        <f>IFERROR(__xludf.DUMMYFUNCTION("""COMPUTED_VALUE"""),45433.0)</f>
        <v>45433</v>
      </c>
      <c r="E1546" s="26">
        <f>IFERROR(__xludf.DUMMYFUNCTION("""COMPUTED_VALUE"""),296013.0)</f>
        <v>296013</v>
      </c>
      <c r="F1546" s="46" t="str">
        <f>IFERROR(__xludf.DUMMYFUNCTION("""COMPUTED_VALUE"""),"領主様！愛しい貴方のため治世の腕を奮います")</f>
        <v>領主様！愛しい貴方のため治世の腕を奮います</v>
      </c>
      <c r="G1546" s="11" t="str">
        <f>IFERROR(__xludf.DUMMYFUNCTION("""COMPUTED_VALUE"""),"1～2")</f>
        <v>1～2</v>
      </c>
      <c r="H1546" s="22" t="str">
        <f>IFERROR(__xludf.DUMMYFUNCTION("""COMPUTED_VALUE"""),"栗原由宇樹／COMIC ROOM")</f>
        <v>栗原由宇樹／COMIC ROOM</v>
      </c>
      <c r="I1546" s="22" t="str">
        <f>IFERROR(__xludf.DUMMYFUNCTION("""COMPUTED_VALUE"""),"女性")</f>
        <v>女性</v>
      </c>
      <c r="J1546" s="22"/>
      <c r="K1546" s="22"/>
      <c r="L1546" s="22" t="str">
        <f>IFERROR(__xludf.DUMMYFUNCTION("""COMPUTED_VALUE"""),"コミックルーム")</f>
        <v>コミックルーム</v>
      </c>
      <c r="M1546" s="23">
        <f>IFERROR(__xludf.DUMMYFUNCTION("""COMPUTED_VALUE"""),45458.0)</f>
        <v>45458</v>
      </c>
      <c r="N1546" s="23">
        <f>IFERROR(__xludf.DUMMYFUNCTION("""COMPUTED_VALUE"""),45549.0)</f>
        <v>45549</v>
      </c>
      <c r="O1546" s="20"/>
      <c r="P1546" s="32" t="str">
        <f>IFERROR(__xludf.DUMMYFUNCTION("""COMPUTED_VALUE"""),"可")</f>
        <v>可</v>
      </c>
      <c r="Q1546" s="30"/>
      <c r="R1546" s="22"/>
      <c r="S1546" s="22" t="str">
        <f>IFERROR(__xludf.DUMMYFUNCTION("""COMPUTED_VALUE"""),"20240520_コミックルーム_領主様！私の力が必要ですか!")</f>
        <v>20240520_コミックルーム_領主様！私の力が必要ですか!</v>
      </c>
      <c r="T1546" s="22" t="str">
        <f>IFERROR(__xludf.DUMMYFUNCTION("""COMPUTED_VALUE"""),"格納済み")</f>
        <v>格納済み</v>
      </c>
      <c r="U1546" s="15" t="str">
        <f>IFERROR(__xludf.DUMMYFUNCTION("""COMPUTED_VALUE"""),"©栗原由宇樹／COMIC ROOM")</f>
        <v>©栗原由宇樹／COMIC ROOM</v>
      </c>
      <c r="V1546" s="8" t="str">
        <f>IFERROR(__xludf.DUMMYFUNCTION("""COMPUTED_VALUE"""),"男爵令嬢のニコは、平凡な街を王都にも負けない街へと発展させた手腕を持ち、領民に慕われる令嬢であった。
しかし、それに嫉妬した婚約者のルイゼリアから婚約破棄を言い渡され、街から追い出されてしまうことに。
別れを惜しむ人々に見送られ、涙ながらに街を出るニコ。
そして彼女は、戦地復興に取り組む青年セリオスと出会うのだった。
彼は貴族でありながら、人々が分け隔てなく笑顔で暮らせる街を作りたいという想いを持っていた。
治世の腕を奮うニコ。発展していく街。そして２人の関係もまた、輝きを増していくことに・・・"&amp;"？
※本作品の１・２巻は『溺れるほど愛されて、幸せになってみせますわ！アンソロジーコミック4巻』の収録作品です。")</f>
        <v>男爵令嬢のニコは、平凡な街を王都にも負けない街へと発展させた手腕を持ち、領民に慕われる令嬢であった。
しかし、それに嫉妬した婚約者のルイゼリアから婚約破棄を言い渡され、街から追い出されてしまうことに。
別れを惜しむ人々に見送られ、涙ながらに街を出るニコ。
そして彼女は、戦地復興に取り組む青年セリオスと出会うのだった。
彼は貴族でありながら、人々が分け隔てなく笑顔で暮らせる街を作りたいという想いを持っていた。
治世の腕を奮うニコ。発展していく街。そして２人の関係もまた、輝きを増していくことに・・・？
※本作品の１・２巻は『溺れるほど愛されて、幸せになってみせますわ！アンソロジーコミック4巻』の収録作品です。</v>
      </c>
      <c r="W1546" s="14"/>
      <c r="X1546" s="14" t="str">
        <f>IFERROR(__xludf.DUMMYFUNCTION("""COMPUTED_VALUE"""),"有")</f>
        <v>有</v>
      </c>
      <c r="Y1546" s="8" t="str">
        <f>IFERROR(__xludf.DUMMYFUNCTION("""COMPUTED_VALUE"""),"P9まで")</f>
        <v>P9まで</v>
      </c>
      <c r="Z1546" s="7"/>
      <c r="AA1546" s="7"/>
      <c r="AB1546" s="7"/>
    </row>
    <row r="1547" ht="15.75" customHeight="1">
      <c r="A1547" s="26">
        <f>IFERROR(__xludf.DUMMYFUNCTION("""COMPUTED_VALUE"""),3459.0)</f>
        <v>3459</v>
      </c>
      <c r="B1547" s="22" t="str">
        <f>IFERROR(__xludf.DUMMYFUNCTION("""COMPUTED_VALUE"""),"確定")</f>
        <v>確定</v>
      </c>
      <c r="C1547" s="28">
        <f>IFERROR(__xludf.DUMMYFUNCTION("""COMPUTED_VALUE"""),45432.0)</f>
        <v>45432</v>
      </c>
      <c r="D1547" s="28">
        <f>IFERROR(__xludf.DUMMYFUNCTION("""COMPUTED_VALUE"""),45432.0)</f>
        <v>45432</v>
      </c>
      <c r="E1547" s="26">
        <f>IFERROR(__xludf.DUMMYFUNCTION("""COMPUTED_VALUE"""),296653.0)</f>
        <v>296653</v>
      </c>
      <c r="F1547" s="22" t="str">
        <f>IFERROR(__xludf.DUMMYFUNCTION("""COMPUTED_VALUE"""),"秘め痕にキス【分冊版】")</f>
        <v>秘め痕にキス【分冊版】</v>
      </c>
      <c r="G1547" s="20">
        <f>IFERROR(__xludf.DUMMYFUNCTION("""COMPUTED_VALUE"""),1.0)</f>
        <v>1</v>
      </c>
      <c r="H1547" s="22" t="str">
        <f>IFERROR(__xludf.DUMMYFUNCTION("""COMPUTED_VALUE"""),"新矢りん")</f>
        <v>新矢りん</v>
      </c>
      <c r="I1547" s="22" t="str">
        <f>IFERROR(__xludf.DUMMYFUNCTION("""COMPUTED_VALUE"""),"BL")</f>
        <v>BL</v>
      </c>
      <c r="J1547" s="22"/>
      <c r="K1547" s="22"/>
      <c r="L1547" s="22" t="str">
        <f>IFERROR(__xludf.DUMMYFUNCTION("""COMPUTED_VALUE"""),"笠倉出版社")</f>
        <v>笠倉出版社</v>
      </c>
      <c r="M1547" s="59">
        <f>IFERROR(__xludf.DUMMYFUNCTION("""COMPUTED_VALUE"""),45485.0)</f>
        <v>45485</v>
      </c>
      <c r="N1547" s="23">
        <f>IFERROR(__xludf.DUMMYFUNCTION("""COMPUTED_VALUE"""),45512.0)</f>
        <v>45512</v>
      </c>
      <c r="O1547" s="20"/>
      <c r="P1547" s="32" t="str">
        <f>IFERROR(__xludf.DUMMYFUNCTION("""COMPUTED_VALUE"""),"可")</f>
        <v>可</v>
      </c>
      <c r="Q1547" s="30"/>
      <c r="R1547" s="46"/>
      <c r="S1547" s="22" t="str">
        <f>IFERROR(__xludf.DUMMYFUNCTION("""COMPUTED_VALUE"""),"20240628_笠倉出版社_秘め痕にキス【分冊版】 1話	")</f>
        <v>20240628_笠倉出版社_秘め痕にキス【分冊版】 1話	</v>
      </c>
      <c r="T1547" s="22"/>
      <c r="U1547" s="15" t="str">
        <f>IFERROR(__xludf.DUMMYFUNCTION("""COMPUTED_VALUE"""),"©新矢りん/笠倉出版社")</f>
        <v>©新矢りん/笠倉出版社</v>
      </c>
      <c r="V1547" s="8" t="str">
        <f>IFERROR(__xludf.DUMMYFUNCTION("""COMPUTED_VALUE"""),"「日下部って…変態だったんんだ」クラスの委員長で剣道部主将の爽やか好青年・日下部。女子にモテるせいで男子からは疎まれ、クラスで浮いている鷹松。ある日、誰からも好かれる委員長が実は隠れＭだと知ってしまう。あられもない姿を目の当たりにした鷹松は引くどころか興奮してしまった。しかも一人ではプレイに限界もあるだろうと、自慰を手伝うとまで言ってしまい…！？※本作品はWEB雑誌「equal」に収録されています。重複購入にご注意ください。")</f>
        <v>「日下部って…変態だったんんだ」クラスの委員長で剣道部主将の爽やか好青年・日下部。女子にモテるせいで男子からは疎まれ、クラスで浮いている鷹松。ある日、誰からも好かれる委員長が実は隠れＭだと知ってしまう。あられもない姿を目の当たりにした鷹松は引くどころか興奮してしまった。しかも一人ではプレイに限界もあるだろうと、自慰を手伝うとまで言ってしまい…！？※本作品はWEB雑誌「equal」に収録されています。重複購入にご注意ください。</v>
      </c>
      <c r="W1547" s="14"/>
      <c r="X1547" s="14" t="str">
        <f>IFERROR(__xludf.DUMMYFUNCTION("""COMPUTED_VALUE"""),"有")</f>
        <v>有</v>
      </c>
      <c r="Y1547" s="8" t="str">
        <f>IFERROR(__xludf.DUMMYFUNCTION("""COMPUTED_VALUE"""),"P6まで")</f>
        <v>P6まで</v>
      </c>
      <c r="Z1547" s="7"/>
      <c r="AA1547" s="7"/>
      <c r="AB1547" s="7"/>
    </row>
    <row r="1548" ht="15.75" customHeight="1">
      <c r="A1548" s="26">
        <f>IFERROR(__xludf.DUMMYFUNCTION("""COMPUTED_VALUE"""),3460.0)</f>
        <v>3460</v>
      </c>
      <c r="B1548" s="22" t="str">
        <f>IFERROR(__xludf.DUMMYFUNCTION("""COMPUTED_VALUE"""),"確定")</f>
        <v>確定</v>
      </c>
      <c r="C1548" s="28">
        <f>IFERROR(__xludf.DUMMYFUNCTION("""COMPUTED_VALUE"""),45432.0)</f>
        <v>45432</v>
      </c>
      <c r="D1548" s="28">
        <f>IFERROR(__xludf.DUMMYFUNCTION("""COMPUTED_VALUE"""),45432.0)</f>
        <v>45432</v>
      </c>
      <c r="E1548" s="26">
        <f>IFERROR(__xludf.DUMMYFUNCTION("""COMPUTED_VALUE"""),296654.0)</f>
        <v>296654</v>
      </c>
      <c r="F1548" s="22" t="str">
        <f>IFERROR(__xludf.DUMMYFUNCTION("""COMPUTED_VALUE"""),"ブルースターコンプレックス【分冊版】")</f>
        <v>ブルースターコンプレックス【分冊版】</v>
      </c>
      <c r="G1548" s="20">
        <f>IFERROR(__xludf.DUMMYFUNCTION("""COMPUTED_VALUE"""),1.0)</f>
        <v>1</v>
      </c>
      <c r="H1548" s="22" t="str">
        <f>IFERROR(__xludf.DUMMYFUNCTION("""COMPUTED_VALUE"""),"zoi")</f>
        <v>zoi</v>
      </c>
      <c r="I1548" s="22" t="str">
        <f>IFERROR(__xludf.DUMMYFUNCTION("""COMPUTED_VALUE"""),"BL")</f>
        <v>BL</v>
      </c>
      <c r="J1548" s="22"/>
      <c r="K1548" s="22"/>
      <c r="L1548" s="22" t="str">
        <f>IFERROR(__xludf.DUMMYFUNCTION("""COMPUTED_VALUE"""),"笠倉出版社")</f>
        <v>笠倉出版社</v>
      </c>
      <c r="M1548" s="59">
        <f>IFERROR(__xludf.DUMMYFUNCTION("""COMPUTED_VALUE"""),45485.0)</f>
        <v>45485</v>
      </c>
      <c r="N1548" s="23">
        <f>IFERROR(__xludf.DUMMYFUNCTION("""COMPUTED_VALUE"""),45512.0)</f>
        <v>45512</v>
      </c>
      <c r="O1548" s="20"/>
      <c r="P1548" s="32" t="str">
        <f>IFERROR(__xludf.DUMMYFUNCTION("""COMPUTED_VALUE"""),"可")</f>
        <v>可</v>
      </c>
      <c r="Q1548" s="30"/>
      <c r="R1548" s="46"/>
      <c r="S1548" s="22" t="str">
        <f>IFERROR(__xludf.DUMMYFUNCTION("""COMPUTED_VALUE"""),"20240628_笠倉出版社_ブルースターコンプレックス【分冊版】 1話	")</f>
        <v>20240628_笠倉出版社_ブルースターコンプレックス【分冊版】 1話	</v>
      </c>
      <c r="T1548" s="22"/>
      <c r="U1548" s="15" t="str">
        <f>IFERROR(__xludf.DUMMYFUNCTION("""COMPUTED_VALUE"""),"©zoi/笠倉出版社")</f>
        <v>©zoi/笠倉出版社</v>
      </c>
      <c r="V1548" s="8" t="str">
        <f>IFERROR(__xludf.DUMMYFUNCTION("""COMPUTED_VALUE"""),"『ＭＳＡＣ』特定の人への愛情、怨嗟、後悔などの感情が膨れ上がると稀に発症すると言われている奇病。様々な症状があり、決まった治療法が確立されていない――。ゲイで恋愛対象が男のみつりはある日、職場の新人バイトのイオに告白される。物覚えも良く、優秀な子ではあるもののどこか本心を掴ませない飄々とした一面を持つイオ。揶揄っているのではと疑いつつも少しずつ意識してしまう。そんなみつりのぐちゃぐちゃな感情は『ＭＳＡＣ』という病気となってあふれ出てしまい…！※本作品はWEB雑誌「equal」に収録されています。重複購入に"&amp;"ご注意ください。")</f>
        <v>『ＭＳＡＣ』特定の人への愛情、怨嗟、後悔などの感情が膨れ上がると稀に発症すると言われている奇病。様々な症状があり、決まった治療法が確立されていない――。ゲイで恋愛対象が男のみつりはある日、職場の新人バイトのイオに告白される。物覚えも良く、優秀な子ではあるもののどこか本心を掴ませない飄々とした一面を持つイオ。揶揄っているのではと疑いつつも少しずつ意識してしまう。そんなみつりのぐちゃぐちゃな感情は『ＭＳＡＣ』という病気となってあふれ出てしまい…！※本作品はWEB雑誌「equal」に収録されています。重複購入にご注意ください。</v>
      </c>
      <c r="W1548" s="14"/>
      <c r="X1548" s="14" t="str">
        <f>IFERROR(__xludf.DUMMYFUNCTION("""COMPUTED_VALUE"""),"有")</f>
        <v>有</v>
      </c>
      <c r="Y1548" s="8" t="str">
        <f>IFERROR(__xludf.DUMMYFUNCTION("""COMPUTED_VALUE"""),"P6まで")</f>
        <v>P6まで</v>
      </c>
      <c r="Z1548" s="7"/>
      <c r="AA1548" s="7"/>
      <c r="AB1548" s="7"/>
    </row>
    <row r="1549" ht="15.75" customHeight="1">
      <c r="A1549" s="26">
        <f>IFERROR(__xludf.DUMMYFUNCTION("""COMPUTED_VALUE"""),3464.0)</f>
        <v>3464</v>
      </c>
      <c r="B1549" s="22" t="str">
        <f>IFERROR(__xludf.DUMMYFUNCTION("""COMPUTED_VALUE"""),"確定")</f>
        <v>確定</v>
      </c>
      <c r="C1549" s="28">
        <f>IFERROR(__xludf.DUMMYFUNCTION("""COMPUTED_VALUE"""),45433.0)</f>
        <v>45433</v>
      </c>
      <c r="D1549" s="28">
        <f>IFERROR(__xludf.DUMMYFUNCTION("""COMPUTED_VALUE"""),45433.0)</f>
        <v>45433</v>
      </c>
      <c r="E1549" s="26">
        <f>IFERROR(__xludf.DUMMYFUNCTION("""COMPUTED_VALUE"""),286209.0)</f>
        <v>286209</v>
      </c>
      <c r="F1549" s="22" t="str">
        <f>IFERROR(__xludf.DUMMYFUNCTION("""COMPUTED_VALUE"""),"開栓日誌【タテヨミ】")</f>
        <v>開栓日誌【タテヨミ】</v>
      </c>
      <c r="G1549" s="20" t="str">
        <f>IFERROR(__xludf.DUMMYFUNCTION("""COMPUTED_VALUE"""),"1～9")</f>
        <v>1～9</v>
      </c>
      <c r="H1549" s="22" t="str">
        <f>IFERROR(__xludf.DUMMYFUNCTION("""COMPUTED_VALUE"""),"モミモミ")</f>
        <v>モミモミ</v>
      </c>
      <c r="I1549" s="22" t="str">
        <f>IFERROR(__xludf.DUMMYFUNCTION("""COMPUTED_VALUE"""),"青年")</f>
        <v>青年</v>
      </c>
      <c r="J1549" s="22"/>
      <c r="K1549" s="22"/>
      <c r="L1549" s="22" t="str">
        <f>IFERROR(__xludf.DUMMYFUNCTION("""COMPUTED_VALUE"""),"ソルマーレ編集部")</f>
        <v>ソルマーレ編集部</v>
      </c>
      <c r="M1549" s="23">
        <f>IFERROR(__xludf.DUMMYFUNCTION("""COMPUTED_VALUE"""),45465.0)</f>
        <v>45465</v>
      </c>
      <c r="N1549" s="23">
        <f>IFERROR(__xludf.DUMMYFUNCTION("""COMPUTED_VALUE"""),45771.66666666667)</f>
        <v>45771.66667</v>
      </c>
      <c r="O1549" s="20"/>
      <c r="P1549" s="34" t="str">
        <f>IFERROR(__xludf.DUMMYFUNCTION("""COMPUTED_VALUE"""),"可")</f>
        <v>可</v>
      </c>
      <c r="Q1549" s="30" t="str">
        <f>IFERROR(__xludf.DUMMYFUNCTION("""COMPUTED_VALUE"""),"※コマサム等素材は「286208開栓日誌（フルカラー）」のほうをお使いください。&lt;BR&gt;バナー制作はフルカラー版の素材を利用して問題ございません。")</f>
        <v>※コマサム等素材は「286208開栓日誌（フルカラー）」のほうをお使いください。&lt;BR&gt;バナー制作はフルカラー版の素材を利用して問題ございません。</v>
      </c>
      <c r="R1549" s="22"/>
      <c r="S1549" s="22" t="str">
        <f>IFERROR(__xludf.DUMMYFUNCTION("""COMPUTED_VALUE"""),"20240521_ソルマーレ編集部_開栓日誌【タテヨミ】")</f>
        <v>20240521_ソルマーレ編集部_開栓日誌【タテヨミ】</v>
      </c>
      <c r="T1549" s="22"/>
      <c r="U1549" s="15" t="str">
        <f>IFERROR(__xludf.DUMMYFUNCTION("""COMPUTED_VALUE"""),"Ⓒ モミモミ/TOPCO/シーモアコミックス")</f>
        <v>Ⓒ モミモミ/TOPCO/シーモアコミックス</v>
      </c>
      <c r="V1549" s="8" t="str">
        <f>IFERROR(__xludf.DUMMYFUNCTION("""COMPUTED_VALUE"""),"俺は穴詰まり解消のスペシャリスト。そう、どんな些細な詰まりも見逃さない！この仕事で一番大事なのは、詰まりの場所を的確に見抜くこと。それは物だけでなく、人にも有効で…！？例えば、女性だって内に秘めた欲望を持っているが、自分でそれを抑え込んでいることが多い。でも、この専門家である俺の手にかかれば、その詰まりを瞬時に見抜き、解き放つことができる！【桃色エンジェル】")</f>
        <v>俺は穴詰まり解消のスペシャリスト。そう、どんな些細な詰まりも見逃さない！この仕事で一番大事なのは、詰まりの場所を的確に見抜くこと。それは物だけでなく、人にも有効で…！？例えば、女性だって内に秘めた欲望を持っているが、自分でそれを抑え込んでいることが多い。でも、この専門家である俺の手にかかれば、その詰まりを瞬時に見抜き、解き放つことができる！【桃色エンジェル】</v>
      </c>
      <c r="W1549" s="14"/>
      <c r="X1549" s="14" t="str">
        <f>IFERROR(__xludf.DUMMYFUNCTION("""COMPUTED_VALUE"""),"有")</f>
        <v>有</v>
      </c>
      <c r="Y1549" s="8" t="str">
        <f>IFERROR(__xludf.DUMMYFUNCTION("""COMPUTED_VALUE"""),"1巻無料")</f>
        <v>1巻無料</v>
      </c>
      <c r="Z1549" s="7"/>
      <c r="AA1549" s="7"/>
      <c r="AB1549" s="7"/>
    </row>
    <row r="1550" ht="15.75" customHeight="1">
      <c r="A1550" s="26">
        <f>IFERROR(__xludf.DUMMYFUNCTION("""COMPUTED_VALUE"""),2939.0)</f>
        <v>2939</v>
      </c>
      <c r="B1550" s="31" t="str">
        <f>IFERROR(__xludf.DUMMYFUNCTION("""COMPUTED_VALUE"""),"確定")</f>
        <v>確定</v>
      </c>
      <c r="C1550" s="28">
        <f>IFERROR(__xludf.DUMMYFUNCTION("""COMPUTED_VALUE"""),45329.0)</f>
        <v>45329</v>
      </c>
      <c r="D1550" s="28">
        <f>IFERROR(__xludf.DUMMYFUNCTION("""COMPUTED_VALUE"""),45441.0)</f>
        <v>45441</v>
      </c>
      <c r="E1550" s="31">
        <f>IFERROR(__xludf.DUMMYFUNCTION("""COMPUTED_VALUE"""),295500.0)</f>
        <v>295500</v>
      </c>
      <c r="F1550" s="31" t="str">
        <f>IFERROR(__xludf.DUMMYFUNCTION("""COMPUTED_VALUE"""),"ご馳走はサタン様に溺愛される")</f>
        <v>ご馳走はサタン様に溺愛される</v>
      </c>
      <c r="G1550" s="11" t="str">
        <f>IFERROR(__xludf.DUMMYFUNCTION("""COMPUTED_VALUE"""),"1～2")</f>
        <v>1～2</v>
      </c>
      <c r="H1550" s="31" t="str">
        <f>IFERROR(__xludf.DUMMYFUNCTION("""COMPUTED_VALUE"""),"ygi")</f>
        <v>ygi</v>
      </c>
      <c r="I1550" s="31" t="str">
        <f>IFERROR(__xludf.DUMMYFUNCTION("""COMPUTED_VALUE"""),"BL")</f>
        <v>BL</v>
      </c>
      <c r="J1550" s="31"/>
      <c r="K1550" s="31"/>
      <c r="L1550" s="31" t="str">
        <f>IFERROR(__xludf.DUMMYFUNCTION("""COMPUTED_VALUE"""),"ガールスカウトコミックス")</f>
        <v>ガールスカウトコミックス</v>
      </c>
      <c r="M1550" s="23">
        <f>IFERROR(__xludf.DUMMYFUNCTION("""COMPUTED_VALUE"""),45473.0)</f>
        <v>45473</v>
      </c>
      <c r="N1550" s="47">
        <f>IFERROR(__xludf.DUMMYFUNCTION("""COMPUTED_VALUE"""),45564.0)</f>
        <v>45564</v>
      </c>
      <c r="O1550" s="20"/>
      <c r="P1550" s="34" t="str">
        <f>IFERROR(__xludf.DUMMYFUNCTION("""COMPUTED_VALUE"""),"可")</f>
        <v>可</v>
      </c>
      <c r="Q1550" s="31" t="str">
        <f>IFERROR(__xludf.DUMMYFUNCTION("""COMPUTED_VALUE"""),"広告コミットOK(2/14)")</f>
        <v>広告コミットOK(2/14)</v>
      </c>
      <c r="R1550" s="31" t="str">
        <f>IFERROR(__xludf.DUMMYFUNCTION("""COMPUTED_VALUE"""),"格納済み")</f>
        <v>格納済み</v>
      </c>
      <c r="S1550" s="31" t="str">
        <f>IFERROR(__xludf.DUMMYFUNCTION("""COMPUTED_VALUE"""),"20240526_ガールスカウトコミックス_ご馳走はサタン様に溺愛される")</f>
        <v>20240526_ガールスカウトコミックス_ご馳走はサタン様に溺愛される</v>
      </c>
      <c r="T1550" s="31" t="str">
        <f>IFERROR(__xludf.DUMMYFUNCTION("""COMPUTED_VALUE"""),"校了済み")</f>
        <v>校了済み</v>
      </c>
      <c r="U1550" s="15" t="str">
        <f>IFERROR(__xludf.DUMMYFUNCTION("""COMPUTED_VALUE"""),"©ygi／ガールスカウトコミックス")</f>
        <v>©ygi／ガールスカウトコミックス</v>
      </c>
      <c r="V1550" s="8" t="str">
        <f>IFERROR(__xludf.DUMMYFUNCTION("""COMPUTED_VALUE"""),"「そんな能力　いらねぇぇぇ～～～っ」(24歳・平凡サラリーマン 心の声)
交通事故に遭った平野秋生(ひらの あきお)はすんでのところで謎の男に命を救われる。
男は自らを悪魔界の王・サタンと名乗り、秋生が持つ”能力”を自分に捧げれば、これからふりかかる災難から秋生を守ることができると告げた。
死にたくない一心で契約を交わしたが、サタンが求めてきた代償は”極上味の精子”で──!?!?!?
秋生の能力とは〈この世で一番美味い精子をもつ〉ことだったのだ……！
スパダリ美食悪魔×平凡サラリーマンの"&amp;"命を懸けた共同性活が今、始まる────！")</f>
        <v>「そんな能力　いらねぇぇぇ～～～っ」(24歳・平凡サラリーマン 心の声)
交通事故に遭った平野秋生(ひらの あきお)はすんでのところで謎の男に命を救われる。
男は自らを悪魔界の王・サタンと名乗り、秋生が持つ”能力”を自分に捧げれば、これからふりかかる災難から秋生を守ることができると告げた。
死にたくない一心で契約を交わしたが、サタンが求めてきた代償は”極上味の精子”で──!?!?!?
秋生の能力とは〈この世で一番美味い精子をもつ〉ことだったのだ……！
スパダリ美食悪魔×平凡サラリーマンの命を懸けた共同性活が今、始まる────！</v>
      </c>
      <c r="W1550" s="14"/>
      <c r="X1550" s="14" t="str">
        <f>IFERROR(__xludf.DUMMYFUNCTION("""COMPUTED_VALUE"""),"有")</f>
        <v>有</v>
      </c>
      <c r="Y1550" s="8" t="str">
        <f>IFERROR(__xludf.DUMMYFUNCTION("""COMPUTED_VALUE"""),"P8まで")</f>
        <v>P8まで</v>
      </c>
      <c r="Z1550" s="7"/>
      <c r="AA1550" s="7"/>
      <c r="AB1550" s="7"/>
    </row>
    <row r="1551" ht="15.75" customHeight="1">
      <c r="A1551" s="26">
        <f>IFERROR(__xludf.DUMMYFUNCTION("""COMPUTED_VALUE"""),3115.0)</f>
        <v>3115</v>
      </c>
      <c r="B1551" s="31" t="str">
        <f>IFERROR(__xludf.DUMMYFUNCTION("""COMPUTED_VALUE"""),"確定")</f>
        <v>確定</v>
      </c>
      <c r="C1551" s="28">
        <f>IFERROR(__xludf.DUMMYFUNCTION("""COMPUTED_VALUE"""),45369.0)</f>
        <v>45369</v>
      </c>
      <c r="D1551" s="28">
        <f>IFERROR(__xludf.DUMMYFUNCTION("""COMPUTED_VALUE"""),45440.0)</f>
        <v>45440</v>
      </c>
      <c r="E1551" s="31">
        <f>IFERROR(__xludf.DUMMYFUNCTION("""COMPUTED_VALUE"""),294753.0)</f>
        <v>294753</v>
      </c>
      <c r="F1551" s="31" t="str">
        <f>IFERROR(__xludf.DUMMYFUNCTION("""COMPUTED_VALUE"""),"ゴーストリベンジ～弱者男性の僕は死んでもクソ女どもに復讐します～")</f>
        <v>ゴーストリベンジ～弱者男性の僕は死んでもクソ女どもに復讐します～</v>
      </c>
      <c r="G1551" s="20" t="str">
        <f>IFERROR(__xludf.DUMMYFUNCTION("""COMPUTED_VALUE"""),"1~3")</f>
        <v>1~3</v>
      </c>
      <c r="H1551" s="31" t="str">
        <f>IFERROR(__xludf.DUMMYFUNCTION("""COMPUTED_VALUE"""),"水城水城・海野潮")</f>
        <v>水城水城・海野潮</v>
      </c>
      <c r="I1551" s="31" t="str">
        <f>IFERROR(__xludf.DUMMYFUNCTION("""COMPUTED_VALUE"""),"青年")</f>
        <v>青年</v>
      </c>
      <c r="J1551" s="31"/>
      <c r="K1551" s="31"/>
      <c r="L1551" s="31" t="str">
        <f>IFERROR(__xludf.DUMMYFUNCTION("""COMPUTED_VALUE"""),"CLLENN")</f>
        <v>CLLENN</v>
      </c>
      <c r="M1551" s="23">
        <f>IFERROR(__xludf.DUMMYFUNCTION("""COMPUTED_VALUE"""),45458.0)</f>
        <v>45458</v>
      </c>
      <c r="N1551" s="47">
        <f>IFERROR(__xludf.DUMMYFUNCTION("""COMPUTED_VALUE"""),45550.0)</f>
        <v>45550</v>
      </c>
      <c r="O1551" s="20"/>
      <c r="P1551" s="34" t="str">
        <f>IFERROR(__xludf.DUMMYFUNCTION("""COMPUTED_VALUE"""),"可")</f>
        <v>可</v>
      </c>
      <c r="Q1551" s="31" t="str">
        <f>IFERROR(__xludf.DUMMYFUNCTION("""COMPUTED_VALUE"""),"広告コミットOK(3/27)")</f>
        <v>広告コミットOK(3/27)</v>
      </c>
      <c r="R1551" s="31" t="str">
        <f>IFERROR(__xludf.DUMMYFUNCTION("""COMPUTED_VALUE"""),"格納済")</f>
        <v>格納済</v>
      </c>
      <c r="S1551" s="31" t="str">
        <f>IFERROR(__xludf.DUMMYFUNCTION("""COMPUTED_VALUE"""),"20240528_CLLENN_ゴーストリベンジ")</f>
        <v>20240528_CLLENN_ゴーストリベンジ</v>
      </c>
      <c r="T1551" s="31" t="str">
        <f>IFERROR(__xludf.DUMMYFUNCTION("""COMPUTED_VALUE"""),"格納済み")</f>
        <v>格納済み</v>
      </c>
      <c r="U1551" s="15" t="str">
        <f>IFERROR(__xludf.DUMMYFUNCTION("""COMPUTED_VALUE"""),"ⓒ水城水城・海野潮/CLLENN")</f>
        <v>ⓒ水城水城・海野潮/CLLENN</v>
      </c>
      <c r="V1551" s="8" t="str">
        <f>IFERROR(__xludf.DUMMYFUNCTION("""COMPUTED_VALUE"""),"「どうせ死ぬなら…俺は！女に復讐したい！！」『痴漢冤罪』『美人局』『いじめ』………悪女によって人生を狂わされてきた「弱者男性」の主人公・来女木優太（くるめぎゆうた）は、 ある日痴漢の濡れ衣を着せられたあげく、謎の女に駅のホームから突き落とされて亡くなってしまう。死後、自分の人生を滅茶苦茶にした女達への復讐のため、悪霊として堕ちることを決意する優太。死神・クロエの力を借りながら、悪霊として目覚めた種々の能力によって、人生を謳歌する邪悪な「強者女性」を次々と追い詰めてゆく――。 悪霊と死神による悪女への復讐劇"&amp;"＝『ゴーストリベンジ』開幕ーーー！！！")</f>
        <v>「どうせ死ぬなら…俺は！女に復讐したい！！」『痴漢冤罪』『美人局』『いじめ』………悪女によって人生を狂わされてきた「弱者男性」の主人公・来女木優太（くるめぎゆうた）は、 ある日痴漢の濡れ衣を着せられたあげく、謎の女に駅のホームから突き落とされて亡くなってしまう。死後、自分の人生を滅茶苦茶にした女達への復讐のため、悪霊として堕ちることを決意する優太。死神・クロエの力を借りながら、悪霊として目覚めた種々の能力によって、人生を謳歌する邪悪な「強者女性」を次々と追い詰めてゆく――。 悪霊と死神による悪女への復讐劇＝『ゴーストリベンジ』開幕ーーー！！！</v>
      </c>
      <c r="W1551" s="14"/>
      <c r="X1551" s="14" t="str">
        <f>IFERROR(__xludf.DUMMYFUNCTION("""COMPUTED_VALUE"""),"有")</f>
        <v>有</v>
      </c>
      <c r="Y1551" s="8" t="str">
        <f>IFERROR(__xludf.DUMMYFUNCTION("""COMPUTED_VALUE"""),"P10まで")</f>
        <v>P10まで</v>
      </c>
      <c r="Z1551" s="7"/>
      <c r="AA1551" s="7"/>
      <c r="AB1551" s="7"/>
    </row>
    <row r="1552" ht="15.75" customHeight="1">
      <c r="A1552" s="26">
        <f>IFERROR(__xludf.DUMMYFUNCTION("""COMPUTED_VALUE"""),3172.0)</f>
        <v>3172</v>
      </c>
      <c r="B1552" s="31" t="str">
        <f>IFERROR(__xludf.DUMMYFUNCTION("""COMPUTED_VALUE"""),"確定")</f>
        <v>確定</v>
      </c>
      <c r="C1552" s="28">
        <f>IFERROR(__xludf.DUMMYFUNCTION("""COMPUTED_VALUE"""),45377.0)</f>
        <v>45377</v>
      </c>
      <c r="D1552" s="28">
        <f>IFERROR(__xludf.DUMMYFUNCTION("""COMPUTED_VALUE"""),45440.0)</f>
        <v>45440</v>
      </c>
      <c r="E1552" s="31">
        <f>IFERROR(__xludf.DUMMYFUNCTION("""COMPUTED_VALUE"""),294297.0)</f>
        <v>294297</v>
      </c>
      <c r="F1552" s="31" t="str">
        <f>IFERROR(__xludf.DUMMYFUNCTION("""COMPUTED_VALUE"""),"スカートに隠した秘密〜吸血鬼転生〜")</f>
        <v>スカートに隠した秘密〜吸血鬼転生〜</v>
      </c>
      <c r="G1552" s="20" t="str">
        <f>IFERROR(__xludf.DUMMYFUNCTION("""COMPUTED_VALUE"""),"1~3")</f>
        <v>1~3</v>
      </c>
      <c r="H1552" s="31" t="str">
        <f>IFERROR(__xludf.DUMMYFUNCTION("""COMPUTED_VALUE"""),"漫画：杉本ふぁりな・原作：金子りさ／テラーノベル")</f>
        <v>漫画：杉本ふぁりな・原作：金子りさ／テラーノベル</v>
      </c>
      <c r="I1552" s="31" t="str">
        <f>IFERROR(__xludf.DUMMYFUNCTION("""COMPUTED_VALUE"""),"女性")</f>
        <v>女性</v>
      </c>
      <c r="J1552" s="31"/>
      <c r="K1552" s="31"/>
      <c r="L1552" s="31" t="str">
        <f>IFERROR(__xludf.DUMMYFUNCTION("""COMPUTED_VALUE"""),"グループ・ゼロ")</f>
        <v>グループ・ゼロ</v>
      </c>
      <c r="M1552" s="23">
        <f>IFERROR(__xludf.DUMMYFUNCTION("""COMPUTED_VALUE"""),45451.0)</f>
        <v>45451</v>
      </c>
      <c r="N1552" s="47">
        <f>IFERROR(__xludf.DUMMYFUNCTION("""COMPUTED_VALUE"""),45543.0)</f>
        <v>45543</v>
      </c>
      <c r="O1552" s="20"/>
      <c r="P1552" s="34" t="str">
        <f>IFERROR(__xludf.DUMMYFUNCTION("""COMPUTED_VALUE"""),"可")</f>
        <v>可</v>
      </c>
      <c r="Q1552" s="31" t="str">
        <f>IFERROR(__xludf.DUMMYFUNCTION("""COMPUTED_VALUE"""),"広告コミットOK(4/2)")</f>
        <v>広告コミットOK(4/2)</v>
      </c>
      <c r="R1552" s="31" t="str">
        <f>IFERROR(__xludf.DUMMYFUNCTION("""COMPUTED_VALUE"""),"格納済み")</f>
        <v>格納済み</v>
      </c>
      <c r="S1552" s="31" t="str">
        <f>IFERROR(__xludf.DUMMYFUNCTION("""COMPUTED_VALUE"""),"20240528_グループ・ゼロ_スカートに隠した秘密")</f>
        <v>20240528_グループ・ゼロ_スカートに隠した秘密</v>
      </c>
      <c r="T1552" s="31" t="str">
        <f>IFERROR(__xludf.DUMMYFUNCTION("""COMPUTED_VALUE"""),"格納済み")</f>
        <v>格納済み</v>
      </c>
      <c r="U1552" s="15" t="str">
        <f>IFERROR(__xludf.DUMMYFUNCTION("""COMPUTED_VALUE"""),"(C)杉本ふぁりな／金子りさ／テラーノベル／グループ・ゼロ")</f>
        <v>(C)杉本ふぁりな／金子りさ／テラーノベル／グループ・ゼロ</v>
      </c>
      <c r="V1552" s="8" t="str">
        <f>IFERROR(__xludf.DUMMYFUNCTION("""COMPUTED_VALUE"""),"闇に光る紅い瞳。見つめられると動けなくなるーー。あやめ先輩に出逢ったのは二年前、まだ私が幼稚舎から大学までの一貫校『私立百合園学園』中等部の頃だった。当時あやめ先輩は高等部の一年で、我が百合園学園の圧倒的マドンナと噂される美貌の持ち主、お近付きになる事なんて無いと思っていたのに、まさか高等部の寮で同室になるなんて…！だけど同室になってから、時々不思議な事が起こる。あやめ先輩の姿が鏡に映らなかったり…。気にしないようにしていたけれど、ある夜、あやめ先輩が私のベッドにやって来て…。男にも女にも擬態できる吸血鬼"&amp;"と少女のラブストーリーを描いた【テラーノベル】の人気原作がついにコミカライズ化!!")</f>
        <v>闇に光る紅い瞳。見つめられると動けなくなるーー。あやめ先輩に出逢ったのは二年前、まだ私が幼稚舎から大学までの一貫校『私立百合園学園』中等部の頃だった。当時あやめ先輩は高等部の一年で、我が百合園学園の圧倒的マドンナと噂される美貌の持ち主、お近付きになる事なんて無いと思っていたのに、まさか高等部の寮で同室になるなんて…！だけど同室になってから、時々不思議な事が起こる。あやめ先輩の姿が鏡に映らなかったり…。気にしないようにしていたけれど、ある夜、あやめ先輩が私のベッドにやって来て…。男にも女にも擬態できる吸血鬼と少女のラブストーリーを描いた【テラーノベル】の人気原作がついにコミカライズ化!!</v>
      </c>
      <c r="W1552" s="14"/>
      <c r="X1552" s="14" t="str">
        <f>IFERROR(__xludf.DUMMYFUNCTION("""COMPUTED_VALUE"""),"有")</f>
        <v>有</v>
      </c>
      <c r="Y1552" s="8" t="str">
        <f>IFERROR(__xludf.DUMMYFUNCTION("""COMPUTED_VALUE"""),"2024/9/8まで1巻無料")</f>
        <v>2024/9/8まで1巻無料</v>
      </c>
      <c r="Z1552" s="7"/>
      <c r="AA1552" s="7"/>
      <c r="AB1552" s="7"/>
    </row>
    <row r="1553" ht="15.75" customHeight="1">
      <c r="A1553" s="26">
        <f>IFERROR(__xludf.DUMMYFUNCTION("""COMPUTED_VALUE"""),3181.0)</f>
        <v>3181</v>
      </c>
      <c r="B1553" s="31" t="str">
        <f>IFERROR(__xludf.DUMMYFUNCTION("""COMPUTED_VALUE"""),"確定")</f>
        <v>確定</v>
      </c>
      <c r="C1553" s="28">
        <f>IFERROR(__xludf.DUMMYFUNCTION("""COMPUTED_VALUE"""),45378.0)</f>
        <v>45378</v>
      </c>
      <c r="D1553" s="28">
        <f>IFERROR(__xludf.DUMMYFUNCTION("""COMPUTED_VALUE"""),45440.0)</f>
        <v>45440</v>
      </c>
      <c r="E1553" s="31">
        <f>IFERROR(__xludf.DUMMYFUNCTION("""COMPUTED_VALUE"""),294369.0)</f>
        <v>294369</v>
      </c>
      <c r="F1553" s="31" t="str">
        <f>IFERROR(__xludf.DUMMYFUNCTION("""COMPUTED_VALUE"""),"ハズレ属性「光魔法」が覚醒してレーザーが出ました")</f>
        <v>ハズレ属性「光魔法」が覚醒してレーザーが出ました</v>
      </c>
      <c r="G1553" s="11" t="str">
        <f>IFERROR(__xludf.DUMMYFUNCTION("""COMPUTED_VALUE"""),"1～8")</f>
        <v>1～8</v>
      </c>
      <c r="H1553" s="31" t="str">
        <f>IFERROR(__xludf.DUMMYFUNCTION("""COMPUTED_VALUE"""),"ＬＡ軍/兎谷シェパコ")</f>
        <v>ＬＡ軍/兎谷シェパコ</v>
      </c>
      <c r="I1553" s="52" t="str">
        <f>IFERROR(__xludf.DUMMYFUNCTION("""COMPUTED_VALUE"""),"少年")</f>
        <v>少年</v>
      </c>
      <c r="J1553" s="31"/>
      <c r="K1553" s="31"/>
      <c r="L1553" s="31" t="str">
        <f>IFERROR(__xludf.DUMMYFUNCTION("""COMPUTED_VALUE"""),"booklistaSTUDIO/SBCr")</f>
        <v>booklistaSTUDIO/SBCr</v>
      </c>
      <c r="M1553" s="23">
        <f>IFERROR(__xludf.DUMMYFUNCTION("""COMPUTED_VALUE"""),45451.0)</f>
        <v>45451</v>
      </c>
      <c r="N1553" s="23">
        <f>IFERROR(__xludf.DUMMYFUNCTION("""COMPUTED_VALUE"""),45506.0)</f>
        <v>45506</v>
      </c>
      <c r="O1553" s="20"/>
      <c r="P1553" s="34" t="str">
        <f>IFERROR(__xludf.DUMMYFUNCTION("""COMPUTED_VALUE"""),"可")</f>
        <v>可</v>
      </c>
      <c r="Q1553" s="35" t="str">
        <f>IFERROR(__xludf.DUMMYFUNCTION("""COMPUTED_VALUE"""),"・出版社：booklistaSTUDIOから配信中の「ハズレ属性「光魔法」が覚醒してレーザーが出ました【タテヨミ】」を、SBクリエイティブが版面化し、版面をシーモア独占先行予定です")</f>
        <v>・出版社：booklistaSTUDIOから配信中の「ハズレ属性「光魔法」が覚醒してレーザーが出ました【タテヨミ】」を、SBクリエイティブが版面化し、版面をシーモア独占先行予定です</v>
      </c>
      <c r="R1553" s="35">
        <f>IFERROR(__xludf.DUMMYFUNCTION("""COMPUTED_VALUE"""),45429.0)</f>
        <v>45429</v>
      </c>
      <c r="S1553" s="31" t="str">
        <f>IFERROR(__xludf.DUMMYFUNCTION("""COMPUTED_VALUE"""),"20240528_SBクリエイティブ_ハズレ属性「光魔法」が覚醒してレーザーが出ました")</f>
        <v>20240528_SBクリエイティブ_ハズレ属性「光魔法」が覚醒してレーザーが出ました</v>
      </c>
      <c r="T1553" s="31" t="str">
        <f>IFERROR(__xludf.DUMMYFUNCTION("""COMPUTED_VALUE"""),"格納済み")</f>
        <v>格納済み</v>
      </c>
      <c r="U1553" s="15" t="str">
        <f>IFERROR(__xludf.DUMMYFUNCTION("""COMPUTED_VALUE"""),"©booklistaSTUDIO")</f>
        <v>©booklistaSTUDIO</v>
      </c>
      <c r="V1553" s="8" t="str">
        <f>IFERROR(__xludf.DUMMYFUNCTION("""COMPUTED_VALUE"""),"10歳でうける『属性』診断の日。孤児院で育ち、冒険者を夢見る少年・ライトは、1000人に１人の確立で出るというレア属性【光】を授かった。しかし、レアではあるが光属性は『ハズレ属性』と呼ばれていた。冒険者を夢見るライトにとっては、致命的なレア属性【光】。それでも、夢をあきらめず、冒険者となったライトは……")</f>
        <v>10歳でうける『属性』診断の日。孤児院で育ち、冒険者を夢見る少年・ライトは、1000人に１人の確立で出るというレア属性【光】を授かった。しかし、レアではあるが光属性は『ハズレ属性』と呼ばれていた。冒険者を夢見るライトにとっては、致命的なレア属性【光】。それでも、夢をあきらめず、冒険者となったライトは……</v>
      </c>
      <c r="W1553" s="14"/>
      <c r="X1553" s="14" t="str">
        <f>IFERROR(__xludf.DUMMYFUNCTION("""COMPUTED_VALUE"""),"有")</f>
        <v>有</v>
      </c>
      <c r="Y1553" s="8" t="str">
        <f>IFERROR(__xludf.DUMMYFUNCTION("""COMPUTED_VALUE"""),"1巻無料")</f>
        <v>1巻無料</v>
      </c>
      <c r="Z1553" s="7"/>
      <c r="AA1553" s="7"/>
      <c r="AB1553" s="7"/>
    </row>
    <row r="1554" ht="106.5" customHeight="1">
      <c r="A1554" s="26">
        <f>IFERROR(__xludf.DUMMYFUNCTION("""COMPUTED_VALUE"""),3228.0)</f>
        <v>3228</v>
      </c>
      <c r="B1554" s="31" t="str">
        <f>IFERROR(__xludf.DUMMYFUNCTION("""COMPUTED_VALUE"""),"確定")</f>
        <v>確定</v>
      </c>
      <c r="C1554" s="28">
        <f>IFERROR(__xludf.DUMMYFUNCTION("""COMPUTED_VALUE"""),45384.0)</f>
        <v>45384</v>
      </c>
      <c r="D1554" s="28">
        <f>IFERROR(__xludf.DUMMYFUNCTION("""COMPUTED_VALUE"""),45434.0)</f>
        <v>45434</v>
      </c>
      <c r="E1554" s="31">
        <f>IFERROR(__xludf.DUMMYFUNCTION("""COMPUTED_VALUE"""),294807.0)</f>
        <v>294807</v>
      </c>
      <c r="F1554" s="31" t="str">
        <f>IFERROR(__xludf.DUMMYFUNCTION("""COMPUTED_VALUE"""),"僕らの愛を君に捧ぐ【マイクロ】")</f>
        <v>僕らの愛を君に捧ぐ【マイクロ】</v>
      </c>
      <c r="G1554" s="11" t="str">
        <f>IFERROR(__xludf.DUMMYFUNCTION("""COMPUTED_VALUE"""),"1～10")</f>
        <v>1～10</v>
      </c>
      <c r="H1554" s="31" t="str">
        <f>IFERROR(__xludf.DUMMYFUNCTION("""COMPUTED_VALUE"""),"さとりたえ")</f>
        <v>さとりたえ</v>
      </c>
      <c r="I1554" s="52" t="str">
        <f>IFERROR(__xludf.DUMMYFUNCTION("""COMPUTED_VALUE"""),"少女")</f>
        <v>少女</v>
      </c>
      <c r="J1554" s="31"/>
      <c r="K1554" s="31"/>
      <c r="L1554" s="31" t="str">
        <f>IFERROR(__xludf.DUMMYFUNCTION("""COMPUTED_VALUE"""),"小学館")</f>
        <v>小学館</v>
      </c>
      <c r="M1554" s="23">
        <f>IFERROR(__xludf.DUMMYFUNCTION("""COMPUTED_VALUE"""),45458.0)</f>
        <v>45458</v>
      </c>
      <c r="N1554" s="47">
        <f>IFERROR(__xludf.DUMMYFUNCTION("""COMPUTED_VALUE"""),45518.0)</f>
        <v>45518</v>
      </c>
      <c r="O1554" s="20"/>
      <c r="P1554" s="34" t="str">
        <f>IFERROR(__xludf.DUMMYFUNCTION("""COMPUTED_VALUE"""),"否")</f>
        <v>否</v>
      </c>
      <c r="Q1554" s="30" t="str">
        <f>IFERROR(__xludf.DUMMYFUNCTION("""COMPUTED_VALUE"""),"広告コミットOK(4/4)
初回先行期間に合わせ、6/15～8/14で1～3巻目の無料実施予定（5/21）
続話は1ヵ月")</f>
        <v>広告コミットOK(4/4)
初回先行期間に合わせ、6/15～8/14で1～3巻目の無料実施予定（5/21）
続話は1ヵ月</v>
      </c>
      <c r="R1554" s="31"/>
      <c r="S1554" s="31" t="str">
        <f>IFERROR(__xludf.DUMMYFUNCTION("""COMPUTED_VALUE"""),"20240522_小学館_僕らの愛を君に捧ぐ【マイクロ】")</f>
        <v>20240522_小学館_僕らの愛を君に捧ぐ【マイクロ】</v>
      </c>
      <c r="T1554" s="31" t="str">
        <f>IFERROR(__xludf.DUMMYFUNCTION("""COMPUTED_VALUE"""),"格納済み")</f>
        <v>格納済み</v>
      </c>
      <c r="U1554" s="15" t="str">
        <f>IFERROR(__xludf.DUMMYFUNCTION("""COMPUTED_VALUE"""),"(C)さとりたえ / 小学館")</f>
        <v>(C)さとりたえ / 小学館</v>
      </c>
      <c r="V1554" s="8" t="str">
        <f>IFERROR(__xludf.DUMMYFUNCTION("""COMPUTED_VALUE"""),"「君のこともっと知りたい 気になって仕方ない――」２人の美男子が、同時期に出会ったある女性。彼らが惹かれてやまない彼女は、不器用にも他人に手を差し伸べながら生きている、不思議なひとだった――。愛と再生のヒューマンラブストーリー！")</f>
        <v>「君のこともっと知りたい 気になって仕方ない――」２人の美男子が、同時期に出会ったある女性。彼らが惹かれてやまない彼女は、不器用にも他人に手を差し伸べながら生きている、不思議なひとだった――。愛と再生のヒューマンラブストーリー！</v>
      </c>
      <c r="W1554" s="14"/>
      <c r="X1554" s="14" t="str">
        <f>IFERROR(__xludf.DUMMYFUNCTION("""COMPUTED_VALUE"""),"有")</f>
        <v>有</v>
      </c>
      <c r="Y1554" s="8" t="str">
        <f>IFERROR(__xludf.DUMMYFUNCTION("""COMPUTED_VALUE"""),"2024/8/14まで1～3巻無料")</f>
        <v>2024/8/14まで1～3巻無料</v>
      </c>
      <c r="Z1554" s="7"/>
      <c r="AA1554" s="7"/>
      <c r="AB1554" s="7"/>
    </row>
    <row r="1555" ht="15.75" customHeight="1">
      <c r="A1555" s="26">
        <f>IFERROR(__xludf.DUMMYFUNCTION("""COMPUTED_VALUE"""),3241.0)</f>
        <v>3241</v>
      </c>
      <c r="B1555" s="31" t="str">
        <f>IFERROR(__xludf.DUMMYFUNCTION("""COMPUTED_VALUE"""),"確定")</f>
        <v>確定</v>
      </c>
      <c r="C1555" s="28">
        <f>IFERROR(__xludf.DUMMYFUNCTION("""COMPUTED_VALUE"""),45385.0)</f>
        <v>45385</v>
      </c>
      <c r="D1555" s="28">
        <f>IFERROR(__xludf.DUMMYFUNCTION("""COMPUTED_VALUE"""),45440.0)</f>
        <v>45440</v>
      </c>
      <c r="E1555" s="31">
        <f>IFERROR(__xludf.DUMMYFUNCTION("""COMPUTED_VALUE"""),294288.0)</f>
        <v>294288</v>
      </c>
      <c r="F1555" s="31" t="str">
        <f>IFERROR(__xludf.DUMMYFUNCTION("""COMPUTED_VALUE"""),"ループ2回目の悪役令嬢は、魔殿下との子作りから逃れられない！？")</f>
        <v>ループ2回目の悪役令嬢は、魔殿下との子作りから逃れられない！？</v>
      </c>
      <c r="G1555" s="20" t="str">
        <f>IFERROR(__xludf.DUMMYFUNCTION("""COMPUTED_VALUE"""),"1~3")</f>
        <v>1~3</v>
      </c>
      <c r="H1555" s="31" t="str">
        <f>IFERROR(__xludf.DUMMYFUNCTION("""COMPUTED_VALUE"""),"瑞色あき")</f>
        <v>瑞色あき</v>
      </c>
      <c r="I1555" s="31" t="str">
        <f>IFERROR(__xludf.DUMMYFUNCTION("""COMPUTED_VALUE"""),"TL")</f>
        <v>TL</v>
      </c>
      <c r="J1555" s="31"/>
      <c r="K1555" s="31"/>
      <c r="L1555" s="31" t="str">
        <f>IFERROR(__xludf.DUMMYFUNCTION("""COMPUTED_VALUE"""),"forcs")</f>
        <v>forcs</v>
      </c>
      <c r="M1555" s="23">
        <f>IFERROR(__xludf.DUMMYFUNCTION("""COMPUTED_VALUE"""),45449.0)</f>
        <v>45449</v>
      </c>
      <c r="N1555" s="47">
        <f>IFERROR(__xludf.DUMMYFUNCTION("""COMPUTED_VALUE"""),45505.0)</f>
        <v>45505</v>
      </c>
      <c r="O1555" s="20"/>
      <c r="P1555" s="34" t="str">
        <f>IFERROR(__xludf.DUMMYFUNCTION("""COMPUTED_VALUE"""),"可")</f>
        <v>可</v>
      </c>
      <c r="Q1555" s="31" t="str">
        <f>IFERROR(__xludf.DUMMYFUNCTION("""COMPUTED_VALUE"""),"広告コミットOK(4/9)&lt;BR&gt;DLsite comipoと2社同時先行です。&lt;BR&gt;TLレーベル名：恋愛ショコラ")</f>
        <v>広告コミットOK(4/9)&lt;BR&gt;DLsite comipoと2社同時先行です。&lt;BR&gt;TLレーベル名：恋愛ショコラ</v>
      </c>
      <c r="R1555" s="31" t="str">
        <f>IFERROR(__xludf.DUMMYFUNCTION("""COMPUTED_VALUE"""),"格納済み")</f>
        <v>格納済み</v>
      </c>
      <c r="S1555" s="31" t="str">
        <f>IFERROR(__xludf.DUMMYFUNCTION("""COMPUTED_VALUE"""),"20240528_forcs_ループ2回目の悪役令嬢")</f>
        <v>20240528_forcs_ループ2回目の悪役令嬢</v>
      </c>
      <c r="T1555" s="31" t="str">
        <f>IFERROR(__xludf.DUMMYFUNCTION("""COMPUTED_VALUE"""),"格納済み")</f>
        <v>格納済み</v>
      </c>
      <c r="U1555" s="15" t="str">
        <f>IFERROR(__xludf.DUMMYFUNCTION("""COMPUTED_VALUE"""),"©瑞色あき/forcs")</f>
        <v>©瑞色あき/forcs</v>
      </c>
      <c r="V1555" s="8" t="str">
        <f>IFERROR(__xludf.DUMMYFUNCTION("""COMPUTED_VALUE"""),"悪役令嬢として噂されている公爵令嬢・リリアは、政略結婚で隣国の王太子・ローレンスに嫁ぐことに。
しかし結婚早々、悪魔に襲われたリリアはローレンスに命を救われるが、彼の態度は冷たく、実は魔殿下と呼ばれ、悪魔からも恐れられる存在だった。
しかも冷酷無慈悲に「後継者だけ産んでくれればいい」とリリアに愛情の欠片もない。
迎えた初夜では半ば強引に抱かれ、処女を捧げる羽目に…。
しかし、翌朝リリアの目の前でローレンスが謎の死を遂げてしまい――！？
冷酷無慈悲な「魔殿下」を救うべく、悪役令嬢が死に戻って大奔走"&amp;"！！
死に戻りループ系異世界TLファンタジー！")</f>
        <v>悪役令嬢として噂されている公爵令嬢・リリアは、政略結婚で隣国の王太子・ローレンスに嫁ぐことに。
しかし結婚早々、悪魔に襲われたリリアはローレンスに命を救われるが、彼の態度は冷たく、実は魔殿下と呼ばれ、悪魔からも恐れられる存在だった。
しかも冷酷無慈悲に「後継者だけ産んでくれればいい」とリリアに愛情の欠片もない。
迎えた初夜では半ば強引に抱かれ、処女を捧げる羽目に…。
しかし、翌朝リリアの目の前でローレンスが謎の死を遂げてしまい――！？
冷酷無慈悲な「魔殿下」を救うべく、悪役令嬢が死に戻って大奔走！！
死に戻りループ系異世界TLファンタジー！</v>
      </c>
      <c r="W1555" s="14"/>
      <c r="X1555" s="14" t="str">
        <f>IFERROR(__xludf.DUMMYFUNCTION("""COMPUTED_VALUE"""),"有")</f>
        <v>有</v>
      </c>
      <c r="Y1555" s="8" t="str">
        <f>IFERROR(__xludf.DUMMYFUNCTION("""COMPUTED_VALUE"""),"2024/6/21まで1巻無料")</f>
        <v>2024/6/21まで1巻無料</v>
      </c>
      <c r="Z1555" s="7"/>
      <c r="AA1555" s="7"/>
      <c r="AB1555" s="7"/>
    </row>
    <row r="1556" ht="15.75" customHeight="1">
      <c r="A1556" s="26">
        <f>IFERROR(__xludf.DUMMYFUNCTION("""COMPUTED_VALUE"""),3245.0)</f>
        <v>3245</v>
      </c>
      <c r="B1556" s="31" t="str">
        <f>IFERROR(__xludf.DUMMYFUNCTION("""COMPUTED_VALUE"""),"確定")</f>
        <v>確定</v>
      </c>
      <c r="C1556" s="28">
        <f>IFERROR(__xludf.DUMMYFUNCTION("""COMPUTED_VALUE"""),45387.0)</f>
        <v>45387</v>
      </c>
      <c r="D1556" s="28">
        <f>IFERROR(__xludf.DUMMYFUNCTION("""COMPUTED_VALUE"""),45436.0)</f>
        <v>45436</v>
      </c>
      <c r="E1556" s="31">
        <f>IFERROR(__xludf.DUMMYFUNCTION("""COMPUTED_VALUE"""),293989.0)</f>
        <v>293989</v>
      </c>
      <c r="F1556" s="31" t="str">
        <f>IFERROR(__xludf.DUMMYFUNCTION("""COMPUTED_VALUE"""),"今宵あなたとひたむき淫ら【分冊版】")</f>
        <v>今宵あなたとひたむき淫ら【分冊版】</v>
      </c>
      <c r="G1556" s="20" t="str">
        <f>IFERROR(__xludf.DUMMYFUNCTION("""COMPUTED_VALUE"""),"1~3")</f>
        <v>1~3</v>
      </c>
      <c r="H1556" s="31" t="str">
        <f>IFERROR(__xludf.DUMMYFUNCTION("""COMPUTED_VALUE"""),"作画：九重幽（ヨミ：ここのえ かすか）/原作：青井千寿")</f>
        <v>作画：九重幽（ヨミ：ここのえ かすか）/原作：青井千寿</v>
      </c>
      <c r="I1556" s="31" t="str">
        <f>IFERROR(__xludf.DUMMYFUNCTION("""COMPUTED_VALUE"""),"女性")</f>
        <v>女性</v>
      </c>
      <c r="J1556" s="31"/>
      <c r="K1556" s="31"/>
      <c r="L1556" s="31" t="str">
        <f>IFERROR(__xludf.DUMMYFUNCTION("""COMPUTED_VALUE"""),"笠倉出版社")</f>
        <v>笠倉出版社</v>
      </c>
      <c r="M1556" s="23">
        <f>IFERROR(__xludf.DUMMYFUNCTION("""COMPUTED_VALUE"""),45463.0)</f>
        <v>45463</v>
      </c>
      <c r="N1556" s="47">
        <f>IFERROR(__xludf.DUMMYFUNCTION("""COMPUTED_VALUE"""),45553.0)</f>
        <v>45553</v>
      </c>
      <c r="O1556" s="20"/>
      <c r="P1556" s="34" t="str">
        <f>IFERROR(__xludf.DUMMYFUNCTION("""COMPUTED_VALUE"""),"可")</f>
        <v>可</v>
      </c>
      <c r="Q1556" s="35" t="str">
        <f>IFERROR(__xludf.DUMMYFUNCTION("""COMPUTED_VALUE"""),"広告コミットOK(4/15)&lt;BR&gt;※ラブチュコラレーベルですが本作はTLではなく女性ジャンルになります")</f>
        <v>広告コミットOK(4/15)&lt;BR&gt;※ラブチュコラレーベルですが本作はTLではなく女性ジャンルになります</v>
      </c>
      <c r="R1556" s="35">
        <f>IFERROR(__xludf.DUMMYFUNCTION("""COMPUTED_VALUE"""),45441.0)</f>
        <v>45441</v>
      </c>
      <c r="S1556" s="31" t="str">
        <f>IFERROR(__xludf.DUMMYFUNCTION("""COMPUTED_VALUE"""),"20240522_笠倉出版社_今宵あなたとひたむき淫ら")</f>
        <v>20240522_笠倉出版社_今宵あなたとひたむき淫ら</v>
      </c>
      <c r="T1556" s="31" t="str">
        <f>IFERROR(__xludf.DUMMYFUNCTION("""COMPUTED_VALUE"""),"格納済み")</f>
        <v>格納済み</v>
      </c>
      <c r="U1556" s="15" t="str">
        <f>IFERROR(__xludf.DUMMYFUNCTION("""COMPUTED_VALUE"""),"©九重幽/青井千寿/笠倉出版社")</f>
        <v>©九重幽/青井千寿/笠倉出版社</v>
      </c>
      <c r="V1556" s="8" t="str">
        <f>IFERROR(__xludf.DUMMYFUNCTION("""COMPUTED_VALUE"""),"「杏珠ちゃんのナカ、気持ちよすぎ」ダメだってわかってるのに、甘い声も、指の形も、触れる体温も、なんでこんなに気持ちいいの…。後輩に恋人を寝取られた八木橋杏珠は傷心中。その上、あてつけるようにふたりの結婚式に招待され――。事情を知る周囲の視線が突き刺さり、心の傷はさらにえぐられる。そんな帰り道、通りがかった店先で美形なバーテンダー・響平と出会う。いかにも女性慣れした彼に慰められて、これ以上やさしくされたら勘違いしちゃいそう…。「いっそ新しい経験で上書きする？」この男は危険。彼に溺れたら絶対ぬけだせない――。")</f>
        <v>「杏珠ちゃんのナカ、気持ちよすぎ」ダメだってわかってるのに、甘い声も、指の形も、触れる体温も、なんでこんなに気持ちいいの…。後輩に恋人を寝取られた八木橋杏珠は傷心中。その上、あてつけるようにふたりの結婚式に招待され――。事情を知る周囲の視線が突き刺さり、心の傷はさらにえぐられる。そんな帰り道、通りがかった店先で美形なバーテンダー・響平と出会う。いかにも女性慣れした彼に慰められて、これ以上やさしくされたら勘違いしちゃいそう…。「いっそ新しい経験で上書きする？」この男は危険。彼に溺れたら絶対ぬけだせない――。</v>
      </c>
      <c r="W1556" s="14"/>
      <c r="X1556" s="14" t="str">
        <f>IFERROR(__xludf.DUMMYFUNCTION("""COMPUTED_VALUE"""),"有")</f>
        <v>有</v>
      </c>
      <c r="Y1556" s="8" t="str">
        <f>IFERROR(__xludf.DUMMYFUNCTION("""COMPUTED_VALUE"""),"P6まで")</f>
        <v>P6まで</v>
      </c>
      <c r="Z1556" s="7"/>
      <c r="AA1556" s="7"/>
      <c r="AB1556" s="7"/>
    </row>
    <row r="1557" ht="15.75" customHeight="1">
      <c r="A1557" s="26">
        <f>IFERROR(__xludf.DUMMYFUNCTION("""COMPUTED_VALUE"""),3257.0)</f>
        <v>3257</v>
      </c>
      <c r="B1557" s="31" t="str">
        <f>IFERROR(__xludf.DUMMYFUNCTION("""COMPUTED_VALUE"""),"確定")</f>
        <v>確定</v>
      </c>
      <c r="C1557" s="28">
        <f>IFERROR(__xludf.DUMMYFUNCTION("""COMPUTED_VALUE"""),45391.0)</f>
        <v>45391</v>
      </c>
      <c r="D1557" s="28">
        <f>IFERROR(__xludf.DUMMYFUNCTION("""COMPUTED_VALUE"""),45440.0)</f>
        <v>45440</v>
      </c>
      <c r="E1557" s="31">
        <f>IFERROR(__xludf.DUMMYFUNCTION("""COMPUTED_VALUE"""),294420.0)</f>
        <v>294420</v>
      </c>
      <c r="F1557" s="31" t="str">
        <f>IFERROR(__xludf.DUMMYFUNCTION("""COMPUTED_VALUE"""),"壁役など不要と追放されたS級冒険者、《奴隷解放》スキルを駆使して史上最強の国造り")</f>
        <v>壁役など不要と追放されたS級冒険者、《奴隷解放》スキルを駆使して史上最強の国造り</v>
      </c>
      <c r="G1557" s="11" t="str">
        <f>IFERROR(__xludf.DUMMYFUNCTION("""COMPUTED_VALUE"""),"1～4")</f>
        <v>1～4</v>
      </c>
      <c r="H1557" s="31" t="str">
        <f>IFERROR(__xludf.DUMMYFUNCTION("""COMPUTED_VALUE"""),"原作：向原行人 漫画：日野行望 キャラクター原案：珈琲猫")</f>
        <v>原作：向原行人 漫画：日野行望 キャラクター原案：珈琲猫</v>
      </c>
      <c r="I1557" s="31" t="str">
        <f>IFERROR(__xludf.DUMMYFUNCTION("""COMPUTED_VALUE"""),"青年")</f>
        <v>青年</v>
      </c>
      <c r="J1557" s="31"/>
      <c r="K1557" s="31"/>
      <c r="L1557" s="31" t="str">
        <f>IFERROR(__xludf.DUMMYFUNCTION("""COMPUTED_VALUE"""),"一迅社")</f>
        <v>一迅社</v>
      </c>
      <c r="M1557" s="23">
        <f>IFERROR(__xludf.DUMMYFUNCTION("""COMPUTED_VALUE"""),45470.0)</f>
        <v>45470</v>
      </c>
      <c r="N1557" s="23">
        <f>IFERROR(__xludf.DUMMYFUNCTION("""COMPUTED_VALUE"""),45498.0)</f>
        <v>45498</v>
      </c>
      <c r="O1557" s="20"/>
      <c r="P1557" s="34" t="str">
        <f>IFERROR(__xludf.DUMMYFUNCTION("""COMPUTED_VALUE"""),"可")</f>
        <v>可</v>
      </c>
      <c r="Q1557" s="30" t="str">
        <f>IFERROR(__xludf.DUMMYFUNCTION("""COMPUTED_VALUE"""),"広告コミットOK(4/11)&lt;BR&gt;・素材はREX本誌から切り出しで活用ください。&lt;BR&gt; （フォルダ内に対象号のURLとページ数を記載しています）")</f>
        <v>広告コミットOK(4/11)&lt;BR&gt;・素材はREX本誌から切り出しで活用ください。&lt;BR&gt; （フォルダ内に対象号のURLとページ数を記載しています）</v>
      </c>
      <c r="R1557" s="31"/>
      <c r="S1557" s="31" t="str">
        <f>IFERROR(__xludf.DUMMYFUNCTION("""COMPUTED_VALUE"""),"20240527_一迅社_壁役など不要と追放されたS級冒険者、≪奴隷解放≫スキルを駆使して史上最強の国造り 【連載版")</f>
        <v>20240527_一迅社_壁役など不要と追放されたS級冒険者、≪奴隷解放≫スキルを駆使して史上最強の国造り 【連載版</v>
      </c>
      <c r="T1557" s="31" t="str">
        <f>IFERROR(__xludf.DUMMYFUNCTION("""COMPUTED_VALUE"""),"格納済み")</f>
        <v>格納済み</v>
      </c>
      <c r="U1557" s="15" t="str">
        <f>IFERROR(__xludf.DUMMYFUNCTION("""COMPUTED_VALUE"""),"©Ikuto Mukouhara,Cafe Cat 2022　©日野行望/一迅社2024")</f>
        <v>©Ikuto Mukouhara,Cafe Cat 2022　©日野行望/一迅社2024</v>
      </c>
      <c r="V1557" s="8" t="str">
        <f>IFERROR(__xludf.DUMMYFUNCTION("""COMPUTED_VALUE"""),"冒険者パーティーから突如追放された聖騎士・アレックス。僻地の開拓クエストを受けて、悠々自適の生活を送ろうとするが突然エクストラスキル≪奴隷解放≫を授かって――!?美少女奴隷を召喚して、魔物が跋扈する魔族領を開拓しろ!!異世界ハーレムスローライフ開幕!!　漫画内の告知等は過去のものとなりますので、ご注意ください。")</f>
        <v>冒険者パーティーから突如追放された聖騎士・アレックス。僻地の開拓クエストを受けて、悠々自適の生活を送ろうとするが突然エクストラスキル≪奴隷解放≫を授かって――!?美少女奴隷を召喚して、魔物が跋扈する魔族領を開拓しろ!!異世界ハーレムスローライフ開幕!!　漫画内の告知等は過去のものとなりますので、ご注意ください。</v>
      </c>
      <c r="W1557" s="14"/>
      <c r="X1557" s="14" t="str">
        <f>IFERROR(__xludf.DUMMYFUNCTION("""COMPUTED_VALUE"""),"有")</f>
        <v>有</v>
      </c>
      <c r="Y1557" s="8" t="str">
        <f>IFERROR(__xludf.DUMMYFUNCTION("""COMPUTED_VALUE"""),"2024/7/25まで1巻無料")</f>
        <v>2024/7/25まで1巻無料</v>
      </c>
      <c r="Z1557" s="7"/>
      <c r="AA1557" s="7"/>
      <c r="AB1557" s="7"/>
    </row>
    <row r="1558" ht="15.75" customHeight="1">
      <c r="A1558" s="26">
        <f>IFERROR(__xludf.DUMMYFUNCTION("""COMPUTED_VALUE"""),3354.0)</f>
        <v>3354</v>
      </c>
      <c r="B1558" s="31" t="str">
        <f>IFERROR(__xludf.DUMMYFUNCTION("""COMPUTED_VALUE"""),"確定")</f>
        <v>確定</v>
      </c>
      <c r="C1558" s="28">
        <f>IFERROR(__xludf.DUMMYFUNCTION("""COMPUTED_VALUE"""),45412.0)</f>
        <v>45412</v>
      </c>
      <c r="D1558" s="28">
        <f>IFERROR(__xludf.DUMMYFUNCTION("""COMPUTED_VALUE"""),45440.0)</f>
        <v>45440</v>
      </c>
      <c r="E1558" s="31">
        <f>IFERROR(__xludf.DUMMYFUNCTION("""COMPUTED_VALUE"""),295592.0)</f>
        <v>295592</v>
      </c>
      <c r="F1558" s="31" t="str">
        <f>IFERROR(__xludf.DUMMYFUNCTION("""COMPUTED_VALUE"""),"君を忘れる恋がしたい 連載版")</f>
        <v>君を忘れる恋がしたい 連載版</v>
      </c>
      <c r="G1558" s="20" t="str">
        <f>IFERROR(__xludf.DUMMYFUNCTION("""COMPUTED_VALUE"""),"1～9")</f>
        <v>1～9</v>
      </c>
      <c r="H1558" s="31" t="str">
        <f>IFERROR(__xludf.DUMMYFUNCTION("""COMPUTED_VALUE"""),"結木悠")</f>
        <v>結木悠</v>
      </c>
      <c r="I1558" s="31" t="str">
        <f>IFERROR(__xludf.DUMMYFUNCTION("""COMPUTED_VALUE"""),"少女")</f>
        <v>少女</v>
      </c>
      <c r="J1558" s="31"/>
      <c r="K1558" s="31"/>
      <c r="L1558" s="31" t="str">
        <f>IFERROR(__xludf.DUMMYFUNCTION("""COMPUTED_VALUE"""),"集英社")</f>
        <v>集英社</v>
      </c>
      <c r="M1558" s="23">
        <f>IFERROR(__xludf.DUMMYFUNCTION("""COMPUTED_VALUE"""),45456.0)</f>
        <v>45456</v>
      </c>
      <c r="N1558" s="23">
        <f>IFERROR(__xludf.DUMMYFUNCTION("""COMPUTED_VALUE"""),45485.0)</f>
        <v>45485</v>
      </c>
      <c r="O1558" s="20"/>
      <c r="P1558" s="34" t="str">
        <f>IFERROR(__xludf.DUMMYFUNCTION("""COMPUTED_VALUE"""),"否")</f>
        <v>否</v>
      </c>
      <c r="Q1558" s="30" t="str">
        <f>IFERROR(__xludf.DUMMYFUNCTION("""COMPUTED_VALUE"""),"・掲載誌：別冊マーガレット&lt;BR&gt;・単行本版がすでに配信中で、広告でヒットしている作品の分冊版の配信です。")</f>
        <v>・掲載誌：別冊マーガレット&lt;BR&gt;・単行本版がすでに配信中で、広告でヒットしている作品の分冊版の配信です。</v>
      </c>
      <c r="R1558" s="31"/>
      <c r="S1558" s="31" t="str">
        <f>IFERROR(__xludf.DUMMYFUNCTION("""COMPUTED_VALUE"""),"20240527_集英社_君を忘れる恋がしたい 連載版")</f>
        <v>20240527_集英社_君を忘れる恋がしたい 連載版</v>
      </c>
      <c r="T1558" s="31" t="str">
        <f>IFERROR(__xludf.DUMMYFUNCTION("""COMPUTED_VALUE"""),"格納済み")</f>
        <v>格納済み</v>
      </c>
      <c r="U1558" s="15" t="str">
        <f>IFERROR(__xludf.DUMMYFUNCTION("""COMPUTED_VALUE"""),"(C)結木悠／集英社")</f>
        <v>(C)結木悠／集英社</v>
      </c>
      <c r="V1558" s="8" t="str">
        <f>IFERROR(__xludf.DUMMYFUNCTION("""COMPUTED_VALUE"""),"【僕らはもう一度、片想いをする】中学時代、ギターを弾く瀬名の姿にひと目惚れした志乃。初恋は実ったものの、瀬名の引っ越しが決まり別れることに。自分磨きをしながらも、瀬名を忘れられない志乃は……!?　『別冊マーガレット』で人気上昇中の大注目ラブストーリー！　【第1話収録】　※MC『君を忘れる恋がしたい 1』第1話と同じ内容です")</f>
        <v>【僕らはもう一度、片想いをする】中学時代、ギターを弾く瀬名の姿にひと目惚れした志乃。初恋は実ったものの、瀬名の引っ越しが決まり別れることに。自分磨きをしながらも、瀬名を忘れられない志乃は……!?　『別冊マーガレット』で人気上昇中の大注目ラブストーリー！　【第1話収録】　※MC『君を忘れる恋がしたい 1』第1話と同じ内容です</v>
      </c>
      <c r="W1558" s="14"/>
      <c r="X1558" s="14" t="str">
        <f>IFERROR(__xludf.DUMMYFUNCTION("""COMPUTED_VALUE"""),"有")</f>
        <v>有</v>
      </c>
      <c r="Y1558" s="8" t="str">
        <f>IFERROR(__xludf.DUMMYFUNCTION("""COMPUTED_VALUE"""),"2024/7/12まで1巻無料")</f>
        <v>2024/7/12まで1巻無料</v>
      </c>
      <c r="Z1558" s="7"/>
      <c r="AA1558" s="7"/>
      <c r="AB1558" s="7"/>
    </row>
    <row r="1559" ht="15.75" customHeight="1">
      <c r="A1559" s="26">
        <f>IFERROR(__xludf.DUMMYFUNCTION("""COMPUTED_VALUE"""),3379.0)</f>
        <v>3379</v>
      </c>
      <c r="B1559" s="31" t="str">
        <f>IFERROR(__xludf.DUMMYFUNCTION("""COMPUTED_VALUE"""),"確定")</f>
        <v>確定</v>
      </c>
      <c r="C1559" s="28">
        <f>IFERROR(__xludf.DUMMYFUNCTION("""COMPUTED_VALUE"""),45419.0)</f>
        <v>45419</v>
      </c>
      <c r="D1559" s="28">
        <f>IFERROR(__xludf.DUMMYFUNCTION("""COMPUTED_VALUE"""),45441.0)</f>
        <v>45441</v>
      </c>
      <c r="E1559" s="31">
        <f>IFERROR(__xludf.DUMMYFUNCTION("""COMPUTED_VALUE"""),295465.0)</f>
        <v>295465</v>
      </c>
      <c r="F1559" s="31" t="str">
        <f>IFERROR(__xludf.DUMMYFUNCTION("""COMPUTED_VALUE"""),"押しに負けまくってたら女装セックスでメス堕ちさせられてました。")</f>
        <v>押しに負けまくってたら女装セックスでメス堕ちさせられてました。</v>
      </c>
      <c r="G1559" s="20" t="str">
        <f>IFERROR(__xludf.DUMMYFUNCTION("""COMPUTED_VALUE"""),"1～3")</f>
        <v>1～3</v>
      </c>
      <c r="H1559" s="31" t="str">
        <f>IFERROR(__xludf.DUMMYFUNCTION("""COMPUTED_VALUE"""),"飴宮こあめ")</f>
        <v>飴宮こあめ</v>
      </c>
      <c r="I1559" s="31" t="str">
        <f>IFERROR(__xludf.DUMMYFUNCTION("""COMPUTED_VALUE"""),"BL")</f>
        <v>BL</v>
      </c>
      <c r="J1559" s="31"/>
      <c r="K1559" s="31"/>
      <c r="L1559" s="31" t="str">
        <f>IFERROR(__xludf.DUMMYFUNCTION("""COMPUTED_VALUE"""),"ブリック出版")</f>
        <v>ブリック出版</v>
      </c>
      <c r="M1559" s="23">
        <f>IFERROR(__xludf.DUMMYFUNCTION("""COMPUTED_VALUE"""),45471.0)</f>
        <v>45471</v>
      </c>
      <c r="N1559" s="23">
        <f>IFERROR(__xludf.DUMMYFUNCTION("""COMPUTED_VALUE"""),45533.0)</f>
        <v>45533</v>
      </c>
      <c r="O1559" s="20"/>
      <c r="P1559" s="34" t="str">
        <f>IFERROR(__xludf.DUMMYFUNCTION("""COMPUTED_VALUE"""),"可")</f>
        <v>可</v>
      </c>
      <c r="Q1559" s="30" t="str">
        <f>IFERROR(__xludf.DUMMYFUNCTION("""COMPUTED_VALUE"""),"広告コミットOK(5/17)")</f>
        <v>広告コミットOK(5/17)</v>
      </c>
      <c r="R1559" s="31"/>
      <c r="S1559" s="43" t="str">
        <f>IFERROR(__xludf.DUMMYFUNCTION("""COMPUTED_VALUE"""),"20240529_BookLive_押しに負けまくってたら女装セックスでメス堕ちさせられてました。")</f>
        <v>20240529_BookLive_押しに負けまくってたら女装セックスでメス堕ちさせられてました。</v>
      </c>
      <c r="T1559" s="31"/>
      <c r="U1559" s="15" t="str">
        <f>IFERROR(__xludf.DUMMYFUNCTION("""COMPUTED_VALUE"""),"(C)ブリック出版")</f>
        <v>(C)ブリック出版</v>
      </c>
      <c r="V1559" s="8" t="str">
        <f>IFERROR(__xludf.DUMMYFUNCTION("""COMPUTED_VALUE"""),"バイト先の店長と店員。ただそれだけの関係だった。
「ねぇ、それ着てみてよ」
閉店前の二人きりの空間でみつけたメイド服。
バイト店員のハルは、バイト先の店長である凪に唐突にそうお願いされた。
尊敬する凪の押しに負け、お願いされるがままに身につけたメイド服。
似合うはずもないその姿に思わず着替えようとすれば、凪の手が徐々にメイド服の中へと入っていく。
「……うん、思った通りサイズも―――」
仕事もできて、かっこよくて、優しい凪。そんな尊敬する凪からの愛撫に翻弄されるハル。"&amp;"
その日だけで終わりかと思いきや、数日後忘れる間もなく次の衣装を渡される。
凪に頼まれたら拒絶することができないハルは、されるがままに衣装を身につけ、身体を這う凪の手に甘やかされていく。
店長と店員という関係が少しづつ変わっていくことに、ハルは気づかぬまま。
メスになっていく身体をハルは徐々に抑えられなくなってきて―――!?
執着系男子に翻弄されるノンケ男子の女装メス堕ちストーリーになっております。
※本作は飴宮こあめの個人誌作品の電子書籍版となります。【20ページ】")</f>
        <v>バイト先の店長と店員。ただそれだけの関係だった。
「ねぇ、それ着てみてよ」
閉店前の二人きりの空間でみつけたメイド服。
バイト店員のハルは、バイト先の店長である凪に唐突にそうお願いされた。
尊敬する凪の押しに負け、お願いされるがままに身につけたメイド服。
似合うはずもないその姿に思わず着替えようとすれば、凪の手が徐々にメイド服の中へと入っていく。
「……うん、思った通りサイズも―――」
仕事もできて、かっこよくて、優しい凪。そんな尊敬する凪からの愛撫に翻弄されるハル。
その日だけで終わりかと思いきや、数日後忘れる間もなく次の衣装を渡される。
凪に頼まれたら拒絶することができないハルは、されるがままに衣装を身につけ、身体を這う凪の手に甘やかされていく。
店長と店員という関係が少しづつ変わっていくことに、ハルは気づかぬまま。
メスになっていく身体をハルは徐々に抑えられなくなってきて―――!?
執着系男子に翻弄されるノンケ男子の女装メス堕ちストーリーになっております。
※本作は飴宮こあめの個人誌作品の電子書籍版となります。【20ページ】</v>
      </c>
      <c r="W1559" s="14"/>
      <c r="X1559" s="14" t="str">
        <f>IFERROR(__xludf.DUMMYFUNCTION("""COMPUTED_VALUE"""),"有")</f>
        <v>有</v>
      </c>
      <c r="Y1559" s="8" t="str">
        <f>IFERROR(__xludf.DUMMYFUNCTION("""COMPUTED_VALUE"""),"P14まで")</f>
        <v>P14まで</v>
      </c>
      <c r="Z1559" s="7"/>
      <c r="AA1559" s="7"/>
      <c r="AB1559" s="7"/>
    </row>
    <row r="1560" ht="100.5" customHeight="1">
      <c r="A1560" s="26">
        <f>IFERROR(__xludf.DUMMYFUNCTION("""COMPUTED_VALUE"""),3409.0)</f>
        <v>3409</v>
      </c>
      <c r="B1560" s="31" t="str">
        <f>IFERROR(__xludf.DUMMYFUNCTION("""COMPUTED_VALUE"""),"確定")</f>
        <v>確定</v>
      </c>
      <c r="C1560" s="28">
        <f>IFERROR(__xludf.DUMMYFUNCTION("""COMPUTED_VALUE"""),45422.0)</f>
        <v>45422</v>
      </c>
      <c r="D1560" s="28">
        <f>IFERROR(__xludf.DUMMYFUNCTION("""COMPUTED_VALUE"""),45440.0)</f>
        <v>45440</v>
      </c>
      <c r="E1560" s="31">
        <f>IFERROR(__xludf.DUMMYFUNCTION("""COMPUTED_VALUE"""),298367.0)</f>
        <v>298367</v>
      </c>
      <c r="F1560" s="31" t="str">
        <f>IFERROR(__xludf.DUMMYFUNCTION("""COMPUTED_VALUE"""),"玉の輿ゲーム")</f>
        <v>玉の輿ゲーム</v>
      </c>
      <c r="G1560" s="11" t="str">
        <f>IFERROR(__xludf.DUMMYFUNCTION("""COMPUTED_VALUE"""),"1～4")</f>
        <v>1～4</v>
      </c>
      <c r="H1560" s="31" t="str">
        <f>IFERROR(__xludf.DUMMYFUNCTION("""COMPUTED_VALUE"""),"Qlala")</f>
        <v>Qlala</v>
      </c>
      <c r="I1560" s="31" t="str">
        <f>IFERROR(__xludf.DUMMYFUNCTION("""COMPUTED_VALUE"""),"女性")</f>
        <v>女性</v>
      </c>
      <c r="J1560" s="31"/>
      <c r="K1560" s="31"/>
      <c r="L1560" s="31" t="str">
        <f>IFERROR(__xludf.DUMMYFUNCTION("""COMPUTED_VALUE"""),"U-NEXT")</f>
        <v>U-NEXT</v>
      </c>
      <c r="M1560" s="23">
        <f>IFERROR(__xludf.DUMMYFUNCTION("""COMPUTED_VALUE"""),45536.0)</f>
        <v>45536</v>
      </c>
      <c r="N1560" s="33">
        <f>IFERROR(__xludf.DUMMYFUNCTION("""COMPUTED_VALUE"""),45657.0)</f>
        <v>45657</v>
      </c>
      <c r="O1560" s="20"/>
      <c r="P1560" s="34" t="str">
        <f>IFERROR(__xludf.DUMMYFUNCTION("""COMPUTED_VALUE"""),"可")</f>
        <v>可</v>
      </c>
      <c r="Q1560" s="30" t="str">
        <f>IFERROR(__xludf.DUMMYFUNCTION("""COMPUTED_VALUE"""),"広告コミットOK(5/13)&lt;BR&gt;2024年12月よりU-NEXTとの2社先行になります。")</f>
        <v>広告コミットOK(5/13)&lt;BR&gt;2024年12月よりU-NEXTとの2社先行になります。</v>
      </c>
      <c r="R1560" s="31"/>
      <c r="S1560" s="31" t="str">
        <f>IFERROR(__xludf.DUMMYFUNCTION("""COMPUTED_VALUE"""),"20240527_U-NEXT_玉の輿ゲーム")</f>
        <v>20240527_U-NEXT_玉の輿ゲーム</v>
      </c>
      <c r="T1560" s="31" t="str">
        <f>IFERROR(__xludf.DUMMYFUNCTION("""COMPUTED_VALUE"""),"格納済み")</f>
        <v>格納済み</v>
      </c>
      <c r="U1560" s="15" t="str">
        <f>IFERROR(__xludf.DUMMYFUNCTION("""COMPUTED_VALUE"""),"©Qlala／U-NEXT")</f>
        <v>©Qlala／U-NEXT</v>
      </c>
      <c r="V1560" s="8" t="str">
        <f>IFERROR(__xludf.DUMMYFUNCTION("""COMPUTED_VALUE"""),"「息子の心を射止めた女性に、私の全財産を譲渡する!!」社長の宣言に、色めき立つ女性たち。営業部のアラサー女子・花は、玉の輿をかけた勝負に打って出るが、ターゲットの竜太郎は噂どおりのカタブツで大苦戦する――。")</f>
        <v>「息子の心を射止めた女性に、私の全財産を譲渡する!!」社長の宣言に、色めき立つ女性たち。営業部のアラサー女子・花は、玉の輿をかけた勝負に打って出るが、ターゲットの竜太郎は噂どおりのカタブツで大苦戦する――。</v>
      </c>
      <c r="W1560" s="14"/>
      <c r="X1560" s="14" t="str">
        <f>IFERROR(__xludf.DUMMYFUNCTION("""COMPUTED_VALUE"""),"有")</f>
        <v>有</v>
      </c>
      <c r="Y1560" s="8" t="str">
        <f>IFERROR(__xludf.DUMMYFUNCTION("""COMPUTED_VALUE"""),"P39まで")</f>
        <v>P39まで</v>
      </c>
      <c r="Z1560" s="7"/>
      <c r="AA1560" s="7"/>
      <c r="AB1560" s="7"/>
    </row>
    <row r="1561" ht="15.75" customHeight="1">
      <c r="A1561" s="26">
        <f>IFERROR(__xludf.DUMMYFUNCTION("""COMPUTED_VALUE"""),3413.0)</f>
        <v>3413</v>
      </c>
      <c r="B1561" s="31" t="str">
        <f>IFERROR(__xludf.DUMMYFUNCTION("""COMPUTED_VALUE"""),"確定")</f>
        <v>確定</v>
      </c>
      <c r="C1561" s="28">
        <f>IFERROR(__xludf.DUMMYFUNCTION("""COMPUTED_VALUE"""),45425.0)</f>
        <v>45425</v>
      </c>
      <c r="D1561" s="28">
        <f>IFERROR(__xludf.DUMMYFUNCTION("""COMPUTED_VALUE"""),45434.0)</f>
        <v>45434</v>
      </c>
      <c r="E1561" s="31">
        <f>IFERROR(__xludf.DUMMYFUNCTION("""COMPUTED_VALUE"""),294808.0)</f>
        <v>294808</v>
      </c>
      <c r="F1561" s="31" t="str">
        <f>IFERROR(__xludf.DUMMYFUNCTION("""COMPUTED_VALUE"""),"懐妊初夜～一途な社長は求愛の手を緩めない～【マイクロ】")</f>
        <v>懐妊初夜～一途な社長は求愛の手を緩めない～【マイクロ】</v>
      </c>
      <c r="G1561" s="11" t="str">
        <f>IFERROR(__xludf.DUMMYFUNCTION("""COMPUTED_VALUE"""),"1～4")</f>
        <v>1～4</v>
      </c>
      <c r="H1561" s="31" t="str">
        <f>IFERROR(__xludf.DUMMYFUNCTION("""COMPUTED_VALUE"""),"京町妃紗 原作:兎山もなか")</f>
        <v>京町妃紗 原作:兎山もなか</v>
      </c>
      <c r="I1561" s="52" t="str">
        <f>IFERROR(__xludf.DUMMYFUNCTION("""COMPUTED_VALUE"""),"少女")</f>
        <v>少女</v>
      </c>
      <c r="J1561" s="31"/>
      <c r="K1561" s="31"/>
      <c r="L1561" s="31" t="str">
        <f>IFERROR(__xludf.DUMMYFUNCTION("""COMPUTED_VALUE"""),"小学館")</f>
        <v>小学館</v>
      </c>
      <c r="M1561" s="23">
        <f>IFERROR(__xludf.DUMMYFUNCTION("""COMPUTED_VALUE"""),45458.0)</f>
        <v>45458</v>
      </c>
      <c r="N1561" s="47">
        <f>IFERROR(__xludf.DUMMYFUNCTION("""COMPUTED_VALUE"""),45518.0)</f>
        <v>45518</v>
      </c>
      <c r="O1561" s="20"/>
      <c r="P1561" s="34" t="str">
        <f>IFERROR(__xludf.DUMMYFUNCTION("""COMPUTED_VALUE"""),"可")</f>
        <v>可</v>
      </c>
      <c r="Q1561" s="30" t="str">
        <f>IFERROR(__xludf.DUMMYFUNCTION("""COMPUTED_VALUE"""),"広告コミットOK(5/13)
続話は1ヵ月")</f>
        <v>広告コミットOK(5/13)
続話は1ヵ月</v>
      </c>
      <c r="R1561" s="31"/>
      <c r="S1561" s="31" t="str">
        <f>IFERROR(__xludf.DUMMYFUNCTION("""COMPUTED_VALUE"""),"20240522_小学館_懐妊初夜～一途な社長は求愛の手を緩めない～【マイクロ】")</f>
        <v>20240522_小学館_懐妊初夜～一途な社長は求愛の手を緩めない～【マイクロ】</v>
      </c>
      <c r="T1561" s="31" t="str">
        <f>IFERROR(__xludf.DUMMYFUNCTION("""COMPUTED_VALUE"""),"格納済み")</f>
        <v>格納済み</v>
      </c>
      <c r="U1561" s="15" t="str">
        <f>IFERROR(__xludf.DUMMYFUNCTION("""COMPUTED_VALUE"""),"(C)京町妃紗・兎山もなか / 小学館")</f>
        <v>(C)京町妃紗・兎山もなか / 小学館</v>
      </c>
      <c r="V1561" s="8" t="str">
        <f>IFERROR(__xludf.DUMMYFUNCTION("""COMPUTED_VALUE"""),"男性と付き合って結婚して愛を育んで…そんな手順すっとばして「子どもだけ」欲しい――そんな密かな願望を持つ宮内綾乃。ある日、秘書を務める名久井ホールディングス社長の鷹哉に日頃の頑張りのご褒美としてなんでも欲しいものをあげると言われ、思わず「子どもが欲しい」と口走ってしまったら、まさかの鷹哉から「今晩空けておけ」と言われて…！？兎山もなか×京町妃沙、豪華タッグで描く“ご懐妊”から始まる胸キュンラブズトーリー！　第１巻")</f>
        <v>男性と付き合って結婚して愛を育んで…そんな手順すっとばして「子どもだけ」欲しい――そんな密かな願望を持つ宮内綾乃。ある日、秘書を務める名久井ホールディングス社長の鷹哉に日頃の頑張りのご褒美としてなんでも欲しいものをあげると言われ、思わず「子どもが欲しい」と口走ってしまったら、まさかの鷹哉から「今晩空けておけ」と言われて…！？兎山もなか×京町妃沙、豪華タッグで描く“ご懐妊”から始まる胸キュンラブズトーリー！　第１巻</v>
      </c>
      <c r="W1561" s="14"/>
      <c r="X1561" s="14" t="str">
        <f>IFERROR(__xludf.DUMMYFUNCTION("""COMPUTED_VALUE"""),"有")</f>
        <v>有</v>
      </c>
      <c r="Y1561" s="8" t="str">
        <f>IFERROR(__xludf.DUMMYFUNCTION("""COMPUTED_VALUE"""),"2024/8/14まで1巻無料")</f>
        <v>2024/8/14まで1巻無料</v>
      </c>
      <c r="Z1561" s="7"/>
      <c r="AA1561" s="7"/>
      <c r="AB1561" s="7"/>
    </row>
    <row r="1562" ht="15.75" customHeight="1">
      <c r="A1562" s="26">
        <f>IFERROR(__xludf.DUMMYFUNCTION("""COMPUTED_VALUE"""),3425.0)</f>
        <v>3425</v>
      </c>
      <c r="B1562" s="31" t="str">
        <f>IFERROR(__xludf.DUMMYFUNCTION("""COMPUTED_VALUE"""),"確定")</f>
        <v>確定</v>
      </c>
      <c r="C1562" s="28">
        <f>IFERROR(__xludf.DUMMYFUNCTION("""COMPUTED_VALUE"""),45427.0)</f>
        <v>45427</v>
      </c>
      <c r="D1562" s="28">
        <f>IFERROR(__xludf.DUMMYFUNCTION("""COMPUTED_VALUE"""),45440.0)</f>
        <v>45440</v>
      </c>
      <c r="E1562" s="31">
        <f>IFERROR(__xludf.DUMMYFUNCTION("""COMPUTED_VALUE"""),295107.0)</f>
        <v>295107</v>
      </c>
      <c r="F1562" s="52" t="str">
        <f>IFERROR(__xludf.DUMMYFUNCTION("""COMPUTED_VALUE"""),"人形姫は身代わりに氷の王子の元へ嫁ぐ【分冊版】")</f>
        <v>人形姫は身代わりに氷の王子の元へ嫁ぐ【分冊版】</v>
      </c>
      <c r="G1562" s="20" t="str">
        <f>IFERROR(__xludf.DUMMYFUNCTION("""COMPUTED_VALUE"""),"1~3")</f>
        <v>1~3</v>
      </c>
      <c r="H1562" s="31" t="str">
        <f>IFERROR(__xludf.DUMMYFUNCTION("""COMPUTED_VALUE"""),"さちみりほ")</f>
        <v>さちみりほ</v>
      </c>
      <c r="I1562" s="31" t="str">
        <f>IFERROR(__xludf.DUMMYFUNCTION("""COMPUTED_VALUE"""),"女性")</f>
        <v>女性</v>
      </c>
      <c r="J1562" s="31"/>
      <c r="K1562" s="31"/>
      <c r="L1562" s="31" t="str">
        <f>IFERROR(__xludf.DUMMYFUNCTION("""COMPUTED_VALUE"""),"ハーパーコリンズ・ジャパン")</f>
        <v>ハーパーコリンズ・ジャパン</v>
      </c>
      <c r="M1562" s="23">
        <f>IFERROR(__xludf.DUMMYFUNCTION("""COMPUTED_VALUE"""),45464.0)</f>
        <v>45464</v>
      </c>
      <c r="N1562" s="47">
        <f>IFERROR(__xludf.DUMMYFUNCTION("""COMPUTED_VALUE"""),45519.0)</f>
        <v>45519</v>
      </c>
      <c r="O1562" s="20"/>
      <c r="P1562" s="34" t="str">
        <f>IFERROR(__xludf.DUMMYFUNCTION("""COMPUTED_VALUE"""),"否")</f>
        <v>否</v>
      </c>
      <c r="Q1562" s="31" t="str">
        <f>IFERROR(__xludf.DUMMYFUNCTION("""COMPUTED_VALUE"""),"広告コミットOK(5/23)")</f>
        <v>広告コミットOK(5/23)</v>
      </c>
      <c r="R1562" s="31" t="str">
        <f>IFERROR(__xludf.DUMMYFUNCTION("""COMPUTED_VALUE"""),"格納済")</f>
        <v>格納済</v>
      </c>
      <c r="S1562" s="31" t="str">
        <f>IFERROR(__xludf.DUMMYFUNCTION("""COMPUTED_VALUE"""),"20240523_ハーパーコリンズ_人形姫は身代わりに氷の王子の元へ嫁ぐ")</f>
        <v>20240523_ハーパーコリンズ_人形姫は身代わりに氷の王子の元へ嫁ぐ</v>
      </c>
      <c r="T1562" s="31" t="str">
        <f>IFERROR(__xludf.DUMMYFUNCTION("""COMPUTED_VALUE"""),"格納済み")</f>
        <v>格納済み</v>
      </c>
      <c r="U1562" s="15" t="str">
        <f>IFERROR(__xludf.DUMMYFUNCTION("""COMPUTED_VALUE"""),"©さちみりほ／ハーパーコリンズ・ジャパン")</f>
        <v>©さちみりほ／ハーパーコリンズ・ジャパン</v>
      </c>
      <c r="V1562" s="8" t="str">
        <f>IFERROR(__xludf.DUMMYFUNCTION("""COMPUTED_VALUE"""),"和平のため敵国の“氷の王子”アルベールに嫁いだリリアンナ姫。しかし、その正体は姫が可愛がっていたお人形!?　輿入れを嘆き悲しんだ本物の姫の願いと不思議な力で人間の姿を手に入れてしまったお人形のリリィ。主のために！と躍起になったものの結婚って何をするのかしら――…。天真爛漫で妃教育ゼロな人形姫に王子も周囲も振り回され？　ドレスと恋が舞うロマンスファンタジー開幕!!")</f>
        <v>和平のため敵国の“氷の王子”アルベールに嫁いだリリアンナ姫。しかし、その正体は姫が可愛がっていたお人形!?　輿入れを嘆き悲しんだ本物の姫の願いと不思議な力で人間の姿を手に入れてしまったお人形のリリィ。主のために！と躍起になったものの結婚って何をするのかしら――…。天真爛漫で妃教育ゼロな人形姫に王子も周囲も振り回され？　ドレスと恋が舞うロマンスファンタジー開幕!!</v>
      </c>
      <c r="W1562" s="14"/>
      <c r="X1562" s="14" t="str">
        <f>IFERROR(__xludf.DUMMYFUNCTION("""COMPUTED_VALUE"""),"有")</f>
        <v>有</v>
      </c>
      <c r="Y1562" s="8" t="str">
        <f>IFERROR(__xludf.DUMMYFUNCTION("""COMPUTED_VALUE"""),"2024/7/4まで1巻無料")</f>
        <v>2024/7/4まで1巻無料</v>
      </c>
      <c r="Z1562" s="7"/>
      <c r="AA1562" s="7"/>
      <c r="AB1562" s="7"/>
    </row>
    <row r="1563" ht="15.75" customHeight="1">
      <c r="A1563" s="26">
        <f>IFERROR(__xludf.DUMMYFUNCTION("""COMPUTED_VALUE"""),3429.0)</f>
        <v>3429</v>
      </c>
      <c r="B1563" s="31" t="str">
        <f>IFERROR(__xludf.DUMMYFUNCTION("""COMPUTED_VALUE"""),"確定")</f>
        <v>確定</v>
      </c>
      <c r="C1563" s="28">
        <f>IFERROR(__xludf.DUMMYFUNCTION("""COMPUTED_VALUE"""),45427.0)</f>
        <v>45427</v>
      </c>
      <c r="D1563" s="28">
        <f>IFERROR(__xludf.DUMMYFUNCTION("""COMPUTED_VALUE"""),45440.0)</f>
        <v>45440</v>
      </c>
      <c r="E1563" s="31">
        <f>IFERROR(__xludf.DUMMYFUNCTION("""COMPUTED_VALUE"""),297001.0)</f>
        <v>297001</v>
      </c>
      <c r="F1563" s="31" t="str">
        <f>IFERROR(__xludf.DUMMYFUNCTION("""COMPUTED_VALUE"""),"水着をズラした彼のアソコは超XL～更衣室で肉食獣みたいに攻められ乱れて入ります！？～【分冊版】")</f>
        <v>水着をズラした彼のアソコは超XL～更衣室で肉食獣みたいに攻められ乱れて入ります！？～【分冊版】</v>
      </c>
      <c r="G1563" s="20" t="str">
        <f>IFERROR(__xludf.DUMMYFUNCTION("""COMPUTED_VALUE"""),"1～3")</f>
        <v>1～3</v>
      </c>
      <c r="H1563" s="31" t="str">
        <f>IFERROR(__xludf.DUMMYFUNCTION("""COMPUTED_VALUE"""),"作画：晴山晴緒 /原作：さくら蒼")</f>
        <v>作画：晴山晴緒 /原作：さくら蒼</v>
      </c>
      <c r="I1563" s="31" t="str">
        <f>IFERROR(__xludf.DUMMYFUNCTION("""COMPUTED_VALUE"""),"TL")</f>
        <v>TL</v>
      </c>
      <c r="J1563" s="31"/>
      <c r="K1563" s="31"/>
      <c r="L1563" s="31" t="str">
        <f>IFERROR(__xludf.DUMMYFUNCTION("""COMPUTED_VALUE"""),"笠倉出版社")</f>
        <v>笠倉出版社</v>
      </c>
      <c r="M1563" s="23">
        <f>IFERROR(__xludf.DUMMYFUNCTION("""COMPUTED_VALUE"""),45491.0)</f>
        <v>45491</v>
      </c>
      <c r="N1563" s="47">
        <f>IFERROR(__xludf.DUMMYFUNCTION("""COMPUTED_VALUE"""),45612.70833333333)</f>
        <v>45612.70833</v>
      </c>
      <c r="O1563" s="20"/>
      <c r="P1563" s="34" t="str">
        <f>IFERROR(__xludf.DUMMYFUNCTION("""COMPUTED_VALUE"""),"可")</f>
        <v>可</v>
      </c>
      <c r="Q1563" s="30" t="str">
        <f>IFERROR(__xludf.DUMMYFUNCTION("""COMPUTED_VALUE"""),"広告コミットOK(5/21)&lt;BR&gt;ラブチュコラ")</f>
        <v>広告コミットOK(5/21)&lt;BR&gt;ラブチュコラ</v>
      </c>
      <c r="R1563" s="31"/>
      <c r="S1563" s="31" t="str">
        <f>IFERROR(__xludf.DUMMYFUNCTION("""COMPUTED_VALUE"""),"20240528_笠倉出版社_水着をズラした彼のアソコ")</f>
        <v>20240528_笠倉出版社_水着をズラした彼のアソコ</v>
      </c>
      <c r="T1563" s="31" t="str">
        <f>IFERROR(__xludf.DUMMYFUNCTION("""COMPUTED_VALUE"""),"格納済み")</f>
        <v>格納済み</v>
      </c>
      <c r="U1563" s="15" t="str">
        <f>IFERROR(__xludf.DUMMYFUNCTION("""COMPUTED_VALUE"""),"©晴山晴緒/さくら蒼/笠倉出版社")</f>
        <v>©晴山晴緒/さくら蒼/笠倉出版社</v>
      </c>
      <c r="V1563" s="8" t="str">
        <f>IFERROR(__xludf.DUMMYFUNCTION("""COMPUTED_VALUE"""),"「私の知らない大きさをしてる!!」会社の同僚、須藤さんが水着を脱いだら見たことのない大きさのモノが現れた…。須藤さんは部署は違うけど、私の企画をほめてくれたり、傘を貸してくれたり親切にしてくれて悪い人ではないという印象。でも、なぜか、いつも私のことを睨んでくるのがちょっと怖い。ある日、会社の福利厚生のジムのプールで須藤さんと出会った。ものすごく鍛えている身体でトレーナーとかも無償でやっているみたい。今度お願いしようと思ったら、いきなりキスをされて更衣室で私の全身を舐められた。肉食獣に食べられてるみたいで今"&amp;"まで感じたことのない快感が…強引なのにどうしてと思ってたら、めちゃくちゃにしたいって、須藤さんが水着を脱いだ。そこには信じられないほど大きなものが…。無理無理…こんなの絶対入らない。私どうなっちゃうんだろう!?")</f>
        <v>「私の知らない大きさをしてる!!」会社の同僚、須藤さんが水着を脱いだら見たことのない大きさのモノが現れた…。須藤さんは部署は違うけど、私の企画をほめてくれたり、傘を貸してくれたり親切にしてくれて悪い人ではないという印象。でも、なぜか、いつも私のことを睨んでくるのがちょっと怖い。ある日、会社の福利厚生のジムのプールで須藤さんと出会った。ものすごく鍛えている身体でトレーナーとかも無償でやっているみたい。今度お願いしようと思ったら、いきなりキスをされて更衣室で私の全身を舐められた。肉食獣に食べられてるみたいで今まで感じたことのない快感が…強引なのにどうしてと思ってたら、めちゃくちゃにしたいって、須藤さんが水着を脱いだ。そこには信じられないほど大きなものが…。無理無理…こんなの絶対入らない。私どうなっちゃうんだろう!?</v>
      </c>
      <c r="W1563" s="14"/>
      <c r="X1563" s="14" t="str">
        <f>IFERROR(__xludf.DUMMYFUNCTION("""COMPUTED_VALUE"""),"有")</f>
        <v>有</v>
      </c>
      <c r="Y1563" s="8" t="str">
        <f>IFERROR(__xludf.DUMMYFUNCTION("""COMPUTED_VALUE"""),"2024/7/31まで1巻無料")</f>
        <v>2024/7/31まで1巻無料</v>
      </c>
      <c r="Z1563" s="7"/>
      <c r="AA1563" s="7"/>
      <c r="AB1563" s="7"/>
    </row>
    <row r="1564" ht="15.75" customHeight="1">
      <c r="A1564" s="26">
        <f>IFERROR(__xludf.DUMMYFUNCTION("""COMPUTED_VALUE"""),3434.0)</f>
        <v>3434</v>
      </c>
      <c r="B1564" s="31" t="str">
        <f>IFERROR(__xludf.DUMMYFUNCTION("""COMPUTED_VALUE"""),"確定")</f>
        <v>確定</v>
      </c>
      <c r="C1564" s="28">
        <f>IFERROR(__xludf.DUMMYFUNCTION("""COMPUTED_VALUE"""),45429.0)</f>
        <v>45429</v>
      </c>
      <c r="D1564" s="28">
        <f>IFERROR(__xludf.DUMMYFUNCTION("""COMPUTED_VALUE"""),45440.0)</f>
        <v>45440</v>
      </c>
      <c r="E1564" s="31">
        <f>IFERROR(__xludf.DUMMYFUNCTION("""COMPUTED_VALUE"""),295809.0)</f>
        <v>295809</v>
      </c>
      <c r="F1564" s="31" t="str">
        <f>IFERROR(__xludf.DUMMYFUNCTION("""COMPUTED_VALUE"""),"僕がヤリチンになったワケ")</f>
        <v>僕がヤリチンになったワケ</v>
      </c>
      <c r="G1564" s="11" t="str">
        <f>IFERROR(__xludf.DUMMYFUNCTION("""COMPUTED_VALUE"""),"1～2")</f>
        <v>1～2</v>
      </c>
      <c r="H1564" s="31" t="str">
        <f>IFERROR(__xludf.DUMMYFUNCTION("""COMPUTED_VALUE"""),"真夜中足穂")</f>
        <v>真夜中足穂</v>
      </c>
      <c r="I1564" s="31" t="str">
        <f>IFERROR(__xludf.DUMMYFUNCTION("""COMPUTED_VALUE"""),"オトナ")</f>
        <v>オトナ</v>
      </c>
      <c r="J1564" s="31"/>
      <c r="K1564" s="31"/>
      <c r="L1564" s="31" t="str">
        <f>IFERROR(__xludf.DUMMYFUNCTION("""COMPUTED_VALUE"""),"ナイトコミック")</f>
        <v>ナイトコミック</v>
      </c>
      <c r="M1564" s="23">
        <f>IFERROR(__xludf.DUMMYFUNCTION("""COMPUTED_VALUE"""),45478.0)</f>
        <v>45478</v>
      </c>
      <c r="N1564" s="47">
        <f>IFERROR(__xludf.DUMMYFUNCTION("""COMPUTED_VALUE"""),45547.0)</f>
        <v>45547</v>
      </c>
      <c r="O1564" s="20"/>
      <c r="P1564" s="34" t="str">
        <f>IFERROR(__xludf.DUMMYFUNCTION("""COMPUTED_VALUE"""),"可")</f>
        <v>可</v>
      </c>
      <c r="Q1564" s="30" t="str">
        <f>IFERROR(__xludf.DUMMYFUNCTION("""COMPUTED_VALUE"""),"広告コミットOK(5/24)")</f>
        <v>広告コミットOK(5/24)</v>
      </c>
      <c r="R1564" s="31"/>
      <c r="S1564" s="31" t="str">
        <f>IFERROR(__xludf.DUMMYFUNCTION("""COMPUTED_VALUE"""),"20240524_ナイトコミック_僕がヤリチンになったワケ")</f>
        <v>20240524_ナイトコミック_僕がヤリチンになったワケ</v>
      </c>
      <c r="T1564" s="31" t="str">
        <f>IFERROR(__xludf.DUMMYFUNCTION("""COMPUTED_VALUE"""),"格納済み")</f>
        <v>格納済み</v>
      </c>
      <c r="U1564" s="15" t="str">
        <f>IFERROR(__xludf.DUMMYFUNCTION("""COMPUTED_VALUE"""),"©真夜中足穂")</f>
        <v>©真夜中足穂</v>
      </c>
      <c r="V1564" s="8" t="str">
        <f>IFERROR(__xludf.DUMMYFUNCTION("""COMPUTED_VALUE"""),"進学校に入学したものの、退屈な日々を過ごしていた皓大。学校生活で唯一の良いコトはクラスに魅力的な女子が多いことぐらいだったが、それも皓大たち陰キャにとってはあまり関係のない話だった。しかし、そんな皓大にも学校では言えない秘密があった。それは、男子から人気のある水河陽依が、自分の幼馴染だということ。ある日、皓大は陽依と自分の家でテスト勉強をすることになる。誰もいない家で、幼馴染の彼女と2人きり。何もないと思いながらも、皓大は少し期待してしまう。すると陽依が「私はどうかな…？」と突然迫ってきて…。「好きにシて"&amp;"…」と言われた皓大は、そのまま彼女のハジメテをもらうことに…！")</f>
        <v>進学校に入学したものの、退屈な日々を過ごしていた皓大。学校生活で唯一の良いコトはクラスに魅力的な女子が多いことぐらいだったが、それも皓大たち陰キャにとってはあまり関係のない話だった。しかし、そんな皓大にも学校では言えない秘密があった。それは、男子から人気のある水河陽依が、自分の幼馴染だということ。ある日、皓大は陽依と自分の家でテスト勉強をすることになる。誰もいない家で、幼馴染の彼女と2人きり。何もないと思いながらも、皓大は少し期待してしまう。すると陽依が「私はどうかな…？」と突然迫ってきて…。「好きにシて…」と言われた皓大は、そのまま彼女のハジメテをもらうことに…！</v>
      </c>
      <c r="W1564" s="8"/>
      <c r="X1564" s="14" t="str">
        <f>IFERROR(__xludf.DUMMYFUNCTION("""COMPUTED_VALUE"""),"有")</f>
        <v>有</v>
      </c>
      <c r="Y1564" s="8" t="str">
        <f>IFERROR(__xludf.DUMMYFUNCTION("""COMPUTED_VALUE"""),"2024/10/3まで立ち読み増量
⇒1巻目　P14まで
⇒2巻目　P12まで")</f>
        <v>2024/10/3まで立ち読み増量
⇒1巻目　P14まで
⇒2巻目　P12まで</v>
      </c>
      <c r="Z1564" s="7"/>
      <c r="AA1564" s="7"/>
      <c r="AB1564" s="7"/>
    </row>
    <row r="1565" ht="15.75" customHeight="1">
      <c r="A1565" s="26">
        <f>IFERROR(__xludf.DUMMYFUNCTION("""COMPUTED_VALUE"""),3436.0)</f>
        <v>3436</v>
      </c>
      <c r="B1565" s="31" t="str">
        <f>IFERROR(__xludf.DUMMYFUNCTION("""COMPUTED_VALUE"""),"確定")</f>
        <v>確定</v>
      </c>
      <c r="C1565" s="28">
        <f>IFERROR(__xludf.DUMMYFUNCTION("""COMPUTED_VALUE"""),45429.0)</f>
        <v>45429</v>
      </c>
      <c r="D1565" s="28">
        <f>IFERROR(__xludf.DUMMYFUNCTION("""COMPUTED_VALUE"""),45440.0)</f>
        <v>45440</v>
      </c>
      <c r="E1565" s="31">
        <f>IFERROR(__xludf.DUMMYFUNCTION("""COMPUTED_VALUE"""),297057.0)</f>
        <v>297057</v>
      </c>
      <c r="F1565" s="31" t="str">
        <f>IFERROR(__xludf.DUMMYFUNCTION("""COMPUTED_VALUE"""),"生イキ狂イ-生意気娘をわからせ快楽狂いに-")</f>
        <v>生イキ狂イ-生意気娘をわからせ快楽狂いに-</v>
      </c>
      <c r="G1565" s="11" t="str">
        <f>IFERROR(__xludf.DUMMYFUNCTION("""COMPUTED_VALUE"""),"1～2")</f>
        <v>1～2</v>
      </c>
      <c r="H1565" s="31" t="str">
        <f>IFERROR(__xludf.DUMMYFUNCTION("""COMPUTED_VALUE"""),"ベコ太郎")</f>
        <v>ベコ太郎</v>
      </c>
      <c r="I1565" s="31" t="str">
        <f>IFERROR(__xludf.DUMMYFUNCTION("""COMPUTED_VALUE"""),"オトナ")</f>
        <v>オトナ</v>
      </c>
      <c r="J1565" s="31"/>
      <c r="K1565" s="31"/>
      <c r="L1565" s="31" t="str">
        <f>IFERROR(__xludf.DUMMYFUNCTION("""COMPUTED_VALUE"""),"ナイトコミック")</f>
        <v>ナイトコミック</v>
      </c>
      <c r="M1565" s="23">
        <f>IFERROR(__xludf.DUMMYFUNCTION("""COMPUTED_VALUE"""),45492.0)</f>
        <v>45492</v>
      </c>
      <c r="N1565" s="23">
        <f>IFERROR(__xludf.DUMMYFUNCTION("""COMPUTED_VALUE"""),45554.0)</f>
        <v>45554</v>
      </c>
      <c r="O1565" s="20"/>
      <c r="P1565" s="34" t="str">
        <f>IFERROR(__xludf.DUMMYFUNCTION("""COMPUTED_VALUE"""),"可")</f>
        <v>可</v>
      </c>
      <c r="Q1565" s="30" t="str">
        <f>IFERROR(__xludf.DUMMYFUNCTION("""COMPUTED_VALUE"""),"広告コミットOK(5/24)")</f>
        <v>広告コミットOK(5/24)</v>
      </c>
      <c r="R1565" s="31"/>
      <c r="S1565" s="31" t="str">
        <f>IFERROR(__xludf.DUMMYFUNCTION("""COMPUTED_VALUE"""),"20240524_ナイトコミック_生イキ狂イ-生意気娘をわからせ快楽狂いに")</f>
        <v>20240524_ナイトコミック_生イキ狂イ-生意気娘をわからせ快楽狂いに</v>
      </c>
      <c r="T1565" s="31" t="str">
        <f>IFERROR(__xludf.DUMMYFUNCTION("""COMPUTED_VALUE"""),"格納済み")</f>
        <v>格納済み</v>
      </c>
      <c r="U1565" s="15" t="str">
        <f>IFERROR(__xludf.DUMMYFUNCTION("""COMPUTED_VALUE"""),"©ベコ太郎")</f>
        <v>©ベコ太郎</v>
      </c>
      <c r="V1565" s="8" t="str">
        <f>IFERROR(__xludf.DUMMYFUNCTION("""COMPUTED_VALUE"""),"「男って本当単純w」同級生男子を色目で落とし馬鹿にしているJK星奈は、家庭教師の先生をも自分のモノにしたいと企んでいた。しかしちょっかいをかけてみると立場は一転。今まで年相応の生温いセックスしか経験してこなかった星奈は「大人のセックス」を教えこまされる。ねちっこいキスに喉奥イラマチオ…奥まで届き下から突かれ乳首をいじめられる。「こんなの…知らない…っ！」何度もイかされ順調に快楽の虜になっていく星奈。ついには先生の言いなりに…生意気娘はわからされ、快楽狂いに堕ちていく…！？")</f>
        <v>「男って本当単純w」同級生男子を色目で落とし馬鹿にしているJK星奈は、家庭教師の先生をも自分のモノにしたいと企んでいた。しかしちょっかいをかけてみると立場は一転。今まで年相応の生温いセックスしか経験してこなかった星奈は「大人のセックス」を教えこまされる。ねちっこいキスに喉奥イラマチオ…奥まで届き下から突かれ乳首をいじめられる。「こんなの…知らない…っ！」何度もイかされ順調に快楽の虜になっていく星奈。ついには先生の言いなりに…生意気娘はわからされ、快楽狂いに堕ちていく…！？</v>
      </c>
      <c r="W1565" s="14"/>
      <c r="X1565" s="14" t="str">
        <f>IFERROR(__xludf.DUMMYFUNCTION("""COMPUTED_VALUE"""),"有")</f>
        <v>有</v>
      </c>
      <c r="Y1565" s="8" t="str">
        <f>IFERROR(__xludf.DUMMYFUNCTION("""COMPUTED_VALUE"""),"P11まで")</f>
        <v>P11まで</v>
      </c>
      <c r="Z1565" s="7"/>
      <c r="AA1565" s="7"/>
      <c r="AB1565" s="7"/>
    </row>
    <row r="1566" ht="15.75" customHeight="1">
      <c r="A1566" s="26">
        <f>IFERROR(__xludf.DUMMYFUNCTION("""COMPUTED_VALUE"""),3461.0)</f>
        <v>3461</v>
      </c>
      <c r="B1566" s="31" t="str">
        <f>IFERROR(__xludf.DUMMYFUNCTION("""COMPUTED_VALUE"""),"確定")</f>
        <v>確定</v>
      </c>
      <c r="C1566" s="28">
        <f>IFERROR(__xludf.DUMMYFUNCTION("""COMPUTED_VALUE"""),45433.0)</f>
        <v>45433</v>
      </c>
      <c r="D1566" s="28">
        <f>IFERROR(__xludf.DUMMYFUNCTION("""COMPUTED_VALUE"""),45440.0)</f>
        <v>45440</v>
      </c>
      <c r="E1566" s="26">
        <f>IFERROR(__xludf.DUMMYFUNCTION("""COMPUTED_VALUE"""),284029.0)</f>
        <v>284029</v>
      </c>
      <c r="F1566" s="31" t="str">
        <f>IFERROR(__xludf.DUMMYFUNCTION("""COMPUTED_VALUE"""),"嘘月姫の嫁入り～捨てられた私が狼神様に寵愛されるまで～")</f>
        <v>嘘月姫の嫁入り～捨てられた私が狼神様に寵愛されるまで～</v>
      </c>
      <c r="G1566" s="11" t="str">
        <f>IFERROR(__xludf.DUMMYFUNCTION("""COMPUTED_VALUE"""),"1～2")</f>
        <v>1～2</v>
      </c>
      <c r="H1566" s="31" t="str">
        <f>IFERROR(__xludf.DUMMYFUNCTION("""COMPUTED_VALUE"""),"くりおね。")</f>
        <v>くりおね。</v>
      </c>
      <c r="I1566" s="31" t="str">
        <f>IFERROR(__xludf.DUMMYFUNCTION("""COMPUTED_VALUE"""),"女性")</f>
        <v>女性</v>
      </c>
      <c r="J1566" s="31"/>
      <c r="K1566" s="31"/>
      <c r="L1566" s="31" t="str">
        <f>IFERROR(__xludf.DUMMYFUNCTION("""COMPUTED_VALUE"""),"ソルマーレ編集部")</f>
        <v>ソルマーレ編集部</v>
      </c>
      <c r="M1566" s="23">
        <f>IFERROR(__xludf.DUMMYFUNCTION("""COMPUTED_VALUE"""),45465.0)</f>
        <v>45465</v>
      </c>
      <c r="N1566" s="23">
        <f>IFERROR(__xludf.DUMMYFUNCTION("""COMPUTED_VALUE"""),45617.70833333333)</f>
        <v>45617.70833</v>
      </c>
      <c r="O1566" s="20"/>
      <c r="P1566" s="34" t="str">
        <f>IFERROR(__xludf.DUMMYFUNCTION("""COMPUTED_VALUE"""),"可")</f>
        <v>可</v>
      </c>
      <c r="Q1566" s="30" t="str">
        <f>IFERROR(__xludf.DUMMYFUNCTION("""COMPUTED_VALUE"""),"レーベル：スキして?桃色日記")</f>
        <v>レーベル：スキして?桃色日記</v>
      </c>
      <c r="R1566" s="31"/>
      <c r="S1566" s="31" t="str">
        <f>IFERROR(__xludf.DUMMYFUNCTION("""COMPUTED_VALUE"""),"20240524_ソルマーレ編集部_嘘月姫の嫁入り～捨てられた私が狼神様に寵愛されるまで～")</f>
        <v>20240524_ソルマーレ編集部_嘘月姫の嫁入り～捨てられた私が狼神様に寵愛されるまで～</v>
      </c>
      <c r="T1566" s="31" t="str">
        <f>IFERROR(__xludf.DUMMYFUNCTION("""COMPUTED_VALUE"""),"格納済み")</f>
        <v>格納済み</v>
      </c>
      <c r="U1566" s="15" t="str">
        <f>IFERROR(__xludf.DUMMYFUNCTION("""COMPUTED_VALUE"""),"Ⓒ くりおね。/シーモアコミックス")</f>
        <v>Ⓒ くりおね。/シーモアコミックス</v>
      </c>
      <c r="V1566" s="8" t="str">
        <f>IFERROR(__xludf.DUMMYFUNCTION("""COMPUTED_VALUE"""),"それは朔宵の如く月無き夜のこと……私は初めて貴方の声を聞く――
子に恵まれず嫁いだ家から捨てられた「うめ」。生まれた村に出戻るも、育ての両親が流行り病で亡くなり、天涯孤独の身に…。村では最近不作が続き、山神に「生贄」を捧げる話になっているという。生娘ではないが、子がいないうめは「処女（おとめ）」のままだと嘘をつき生贄に立候補する。山奥の社で待っていたのは、 白銀の美しい髪 、五色に光る美しい爪をもった狼神（おおかみ）様だった――。
嫌われ神様×不幸少女、孤独な二人の出会いが織りなす切なく甘い和"&amp;"風ラブファンタジー!!【桃色日記】")</f>
        <v>それは朔宵の如く月無き夜のこと……私は初めて貴方の声を聞く――
子に恵まれず嫁いだ家から捨てられた「うめ」。生まれた村に出戻るも、育ての両親が流行り病で亡くなり、天涯孤独の身に…。村では最近不作が続き、山神に「生贄」を捧げる話になっているという。生娘ではないが、子がいないうめは「処女（おとめ）」のままだと嘘をつき生贄に立候補する。山奥の社で待っていたのは、 白銀の美しい髪 、五色に光る美しい爪をもった狼神（おおかみ）様だった――。
嫌われ神様×不幸少女、孤独な二人の出会いが織りなす切なく甘い和風ラブファンタジー!!【桃色日記】</v>
      </c>
      <c r="W1566" s="14"/>
      <c r="X1566" s="14" t="str">
        <f>IFERROR(__xludf.DUMMYFUNCTION("""COMPUTED_VALUE"""),"有")</f>
        <v>有</v>
      </c>
      <c r="Y1566" s="8" t="str">
        <f>IFERROR(__xludf.DUMMYFUNCTION("""COMPUTED_VALUE"""),"P12まで")</f>
        <v>P12まで</v>
      </c>
      <c r="Z1566" s="7"/>
      <c r="AA1566" s="7"/>
      <c r="AB1566" s="7"/>
    </row>
    <row r="1567" ht="15.75" customHeight="1">
      <c r="A1567" s="26">
        <f>IFERROR(__xludf.DUMMYFUNCTION("""COMPUTED_VALUE"""),3463.0)</f>
        <v>3463</v>
      </c>
      <c r="B1567" s="31" t="str">
        <f>IFERROR(__xludf.DUMMYFUNCTION("""COMPUTED_VALUE"""),"確定")</f>
        <v>確定</v>
      </c>
      <c r="C1567" s="28">
        <f>IFERROR(__xludf.DUMMYFUNCTION("""COMPUTED_VALUE"""),45433.0)</f>
        <v>45433</v>
      </c>
      <c r="D1567" s="28">
        <f>IFERROR(__xludf.DUMMYFUNCTION("""COMPUTED_VALUE"""),45440.0)</f>
        <v>45440</v>
      </c>
      <c r="E1567" s="26">
        <f>IFERROR(__xludf.DUMMYFUNCTION("""COMPUTED_VALUE"""),286208.0)</f>
        <v>286208</v>
      </c>
      <c r="F1567" s="31" t="str">
        <f>IFERROR(__xludf.DUMMYFUNCTION("""COMPUTED_VALUE"""),"開栓日誌(フルカラー)")</f>
        <v>開栓日誌(フルカラー)</v>
      </c>
      <c r="G1567" s="20" t="str">
        <f>IFERROR(__xludf.DUMMYFUNCTION("""COMPUTED_VALUE"""),"1～3")</f>
        <v>1～3</v>
      </c>
      <c r="H1567" s="31" t="str">
        <f>IFERROR(__xludf.DUMMYFUNCTION("""COMPUTED_VALUE"""),"モミモミ")</f>
        <v>モミモミ</v>
      </c>
      <c r="I1567" s="31" t="str">
        <f>IFERROR(__xludf.DUMMYFUNCTION("""COMPUTED_VALUE"""),"青年")</f>
        <v>青年</v>
      </c>
      <c r="J1567" s="31"/>
      <c r="K1567" s="31"/>
      <c r="L1567" s="31" t="str">
        <f>IFERROR(__xludf.DUMMYFUNCTION("""COMPUTED_VALUE"""),"ソルマーレ編集部")</f>
        <v>ソルマーレ編集部</v>
      </c>
      <c r="M1567" s="23">
        <f>IFERROR(__xludf.DUMMYFUNCTION("""COMPUTED_VALUE"""),45465.0)</f>
        <v>45465</v>
      </c>
      <c r="N1567" s="23">
        <f>IFERROR(__xludf.DUMMYFUNCTION("""COMPUTED_VALUE"""),45771.66666666667)</f>
        <v>45771.66667</v>
      </c>
      <c r="O1567" s="20"/>
      <c r="P1567" s="32" t="str">
        <f>IFERROR(__xludf.DUMMYFUNCTION("""COMPUTED_VALUE"""),"可")</f>
        <v>可</v>
      </c>
      <c r="Q1567" s="30"/>
      <c r="R1567" s="31"/>
      <c r="S1567" s="31" t="str">
        <f>IFERROR(__xludf.DUMMYFUNCTION("""COMPUTED_VALUE"""),"20240524_ソルマーレ編集部_開栓日誌（フルカラー）")</f>
        <v>20240524_ソルマーレ編集部_開栓日誌（フルカラー）</v>
      </c>
      <c r="T1567" s="31" t="str">
        <f>IFERROR(__xludf.DUMMYFUNCTION("""COMPUTED_VALUE"""),"格納済み")</f>
        <v>格納済み</v>
      </c>
      <c r="U1567" s="15" t="str">
        <f>IFERROR(__xludf.DUMMYFUNCTION("""COMPUTED_VALUE"""),"Ⓒ モミモミ/TOPCO/シーモアコミックス")</f>
        <v>Ⓒ モミモミ/TOPCO/シーモアコミックス</v>
      </c>
      <c r="V1567" s="8" t="str">
        <f>IFERROR(__xludf.DUMMYFUNCTION("""COMPUTED_VALUE"""),"俺は穴詰まり解消のスペシャリスト。そう、どんな些細な詰まりも見逃さない！この仕事で一番大事なのは、詰まりの場所を的確に見抜くこと。それは物だけでなく、人にも有効で…！？例えば、女性だって内に秘めた欲望を持っているが、自分でそれを抑え込んでいることが多い。でも、この専門家である俺の手にかかれば、その詰まりを瞬時に見抜き、解き放つことができる！【桃色エンジェル】")</f>
        <v>俺は穴詰まり解消のスペシャリスト。そう、どんな些細な詰まりも見逃さない！この仕事で一番大事なのは、詰まりの場所を的確に見抜くこと。それは物だけでなく、人にも有効で…！？例えば、女性だって内に秘めた欲望を持っているが、自分でそれを抑え込んでいることが多い。でも、この専門家である俺の手にかかれば、その詰まりを瞬時に見抜き、解き放つことができる！【桃色エンジェル】</v>
      </c>
      <c r="W1567" s="14"/>
      <c r="X1567" s="14" t="str">
        <f>IFERROR(__xludf.DUMMYFUNCTION("""COMPUTED_VALUE"""),"有")</f>
        <v>有</v>
      </c>
      <c r="Y1567" s="8" t="str">
        <f>IFERROR(__xludf.DUMMYFUNCTION("""COMPUTED_VALUE"""),"P10まで")</f>
        <v>P10まで</v>
      </c>
      <c r="Z1567" s="7"/>
      <c r="AA1567" s="7"/>
      <c r="AB1567" s="7"/>
    </row>
    <row r="1568" ht="15.75" customHeight="1">
      <c r="A1568" s="26">
        <f>IFERROR(__xludf.DUMMYFUNCTION("""COMPUTED_VALUE"""),3465.0)</f>
        <v>3465</v>
      </c>
      <c r="B1568" s="31" t="str">
        <f>IFERROR(__xludf.DUMMYFUNCTION("""COMPUTED_VALUE"""),"確定")</f>
        <v>確定</v>
      </c>
      <c r="C1568" s="28">
        <f>IFERROR(__xludf.DUMMYFUNCTION("""COMPUTED_VALUE"""),45433.0)</f>
        <v>45433</v>
      </c>
      <c r="D1568" s="28">
        <f>IFERROR(__xludf.DUMMYFUNCTION("""COMPUTED_VALUE"""),45440.0)</f>
        <v>45440</v>
      </c>
      <c r="E1568" s="26">
        <f>IFERROR(__xludf.DUMMYFUNCTION("""COMPUTED_VALUE"""),286564.0)</f>
        <v>286564</v>
      </c>
      <c r="F1568" s="31" t="str">
        <f>IFERROR(__xludf.DUMMYFUNCTION("""COMPUTED_VALUE"""),"臆病な犬は恋を恐れる")</f>
        <v>臆病な犬は恋を恐れる</v>
      </c>
      <c r="G1568" s="20">
        <f>IFERROR(__xludf.DUMMYFUNCTION("""COMPUTED_VALUE"""),1.0)</f>
        <v>1</v>
      </c>
      <c r="H1568" s="31" t="str">
        <f>IFERROR(__xludf.DUMMYFUNCTION("""COMPUTED_VALUE"""),"雄川おす")</f>
        <v>雄川おす</v>
      </c>
      <c r="I1568" s="22" t="str">
        <f>IFERROR(__xludf.DUMMYFUNCTION("""COMPUTED_VALUE"""),"BL")</f>
        <v>BL</v>
      </c>
      <c r="J1568" s="31"/>
      <c r="K1568" s="31"/>
      <c r="L1568" s="31" t="str">
        <f>IFERROR(__xludf.DUMMYFUNCTION("""COMPUTED_VALUE"""),"ソルマーレ編集部")</f>
        <v>ソルマーレ編集部</v>
      </c>
      <c r="M1568" s="23">
        <f>IFERROR(__xludf.DUMMYFUNCTION("""COMPUTED_VALUE"""),45465.0)</f>
        <v>45465</v>
      </c>
      <c r="N1568" s="23">
        <f>IFERROR(__xludf.DUMMYFUNCTION("""COMPUTED_VALUE"""),45526.0)</f>
        <v>45526</v>
      </c>
      <c r="O1568" s="20"/>
      <c r="P1568" s="34" t="str">
        <f>IFERROR(__xludf.DUMMYFUNCTION("""COMPUTED_VALUE"""),"可")</f>
        <v>可</v>
      </c>
      <c r="Q1568" s="30" t="str">
        <f>IFERROR(__xludf.DUMMYFUNCTION("""COMPUTED_VALUE"""),"※読み切り作品のため1巻のみですが出稿お願いします")</f>
        <v>※読み切り作品のため1巻のみですが出稿お願いします</v>
      </c>
      <c r="R1568" s="31"/>
      <c r="S1568" s="31" t="str">
        <f>IFERROR(__xludf.DUMMYFUNCTION("""COMPUTED_VALUE"""),"20240524_ソルマーレ編集部_臆病な犬は恋を恐れる")</f>
        <v>20240524_ソルマーレ編集部_臆病な犬は恋を恐れる</v>
      </c>
      <c r="T1568" s="31" t="str">
        <f>IFERROR(__xludf.DUMMYFUNCTION("""COMPUTED_VALUE"""),"格納済み")</f>
        <v>格納済み</v>
      </c>
      <c r="U1568" s="15" t="str">
        <f>IFERROR(__xludf.DUMMYFUNCTION("""COMPUTED_VALUE"""),"Ⓒ 雄川おす/シーモアコミックス")</f>
        <v>Ⓒ 雄川おす/シーモアコミックス</v>
      </c>
      <c r="V1568" s="8" t="str">
        <f>IFERROR(__xludf.DUMMYFUNCTION("""COMPUTED_VALUE"""),"超ネガティブ思考な俺は、人生何もかもを諦めていた。もちろん、恋愛も。だから今、自分の部屋で一目惚れした男に抱かれていて、さらには「すー太、好きだよ」なんて言われても信じないし、驚きもしない。こんな都合がいいこと、天地がひっくり返っても有り得ないのだから。なのに、俺が一目惚れしたこの男・雪(ゆき)は何度も何度も愛の告白をしてきて、その上、料理に洗濯に…至れり尽くせりな日々。一体何を考えてるんだ――…!? 愛が超重い男×超ネガティブ思考男のすれ違いラブストーリー☆ 【フィカス】")</f>
        <v>超ネガティブ思考な俺は、人生何もかもを諦めていた。もちろん、恋愛も。だから今、自分の部屋で一目惚れした男に抱かれていて、さらには「すー太、好きだよ」なんて言われても信じないし、驚きもしない。こんな都合がいいこと、天地がひっくり返っても有り得ないのだから。なのに、俺が一目惚れしたこの男・雪(ゆき)は何度も何度も愛の告白をしてきて、その上、料理に洗濯に…至れり尽くせりな日々。一体何を考えてるんだ――…!? 愛が超重い男×超ネガティブ思考男のすれ違いラブストーリー☆ 【フィカス】</v>
      </c>
      <c r="W1568" s="14"/>
      <c r="X1568" s="14" t="str">
        <f>IFERROR(__xludf.DUMMYFUNCTION("""COMPUTED_VALUE"""),"有")</f>
        <v>有</v>
      </c>
      <c r="Y1568" s="8" t="str">
        <f>IFERROR(__xludf.DUMMYFUNCTION("""COMPUTED_VALUE"""),"P10まで")</f>
        <v>P10まで</v>
      </c>
      <c r="Z1568" s="7"/>
      <c r="AA1568" s="7"/>
      <c r="AB1568" s="7"/>
    </row>
    <row r="1569" ht="15.75" customHeight="1">
      <c r="A1569" s="26">
        <f>IFERROR(__xludf.DUMMYFUNCTION("""COMPUTED_VALUE"""),3480.0)</f>
        <v>3480</v>
      </c>
      <c r="B1569" s="31" t="str">
        <f>IFERROR(__xludf.DUMMYFUNCTION("""COMPUTED_VALUE"""),"確定")</f>
        <v>確定</v>
      </c>
      <c r="C1569" s="28">
        <f>IFERROR(__xludf.DUMMYFUNCTION("""COMPUTED_VALUE"""),45433.0)</f>
        <v>45433</v>
      </c>
      <c r="D1569" s="28">
        <f>IFERROR(__xludf.DUMMYFUNCTION("""COMPUTED_VALUE"""),45440.0)</f>
        <v>45440</v>
      </c>
      <c r="E1569" s="31">
        <f>IFERROR(__xludf.DUMMYFUNCTION("""COMPUTED_VALUE"""),296404.0)</f>
        <v>296404</v>
      </c>
      <c r="F1569" s="52" t="str">
        <f>IFERROR(__xludf.DUMMYFUNCTION("""COMPUTED_VALUE"""),"結婚フラグをへし折りたい【タテヨミ】")</f>
        <v>結婚フラグをへし折りたい【タテヨミ】</v>
      </c>
      <c r="G1569" s="20" t="str">
        <f>IFERROR(__xludf.DUMMYFUNCTION("""COMPUTED_VALUE"""),"1～9")</f>
        <v>1～9</v>
      </c>
      <c r="H1569" s="31" t="str">
        <f>IFERROR(__xludf.DUMMYFUNCTION("""COMPUTED_VALUE"""),"pica/愛坂タカト")</f>
        <v>pica/愛坂タカト</v>
      </c>
      <c r="I1569" s="31" t="str">
        <f>IFERROR(__xludf.DUMMYFUNCTION("""COMPUTED_VALUE"""),"女性")</f>
        <v>女性</v>
      </c>
      <c r="J1569" s="31"/>
      <c r="K1569" s="31"/>
      <c r="L1569" s="31" t="str">
        <f>IFERROR(__xludf.DUMMYFUNCTION("""COMPUTED_VALUE"""),"DPNブックス")</f>
        <v>DPNブックス</v>
      </c>
      <c r="M1569" s="23">
        <f>IFERROR(__xludf.DUMMYFUNCTION("""COMPUTED_VALUE"""),45483.0)</f>
        <v>45483</v>
      </c>
      <c r="N1569" s="23">
        <f>IFERROR(__xludf.DUMMYFUNCTION("""COMPUTED_VALUE"""),45513.0)</f>
        <v>45513</v>
      </c>
      <c r="O1569" s="20"/>
      <c r="P1569" s="34" t="str">
        <f>IFERROR(__xludf.DUMMYFUNCTION("""COMPUTED_VALUE"""),"可")</f>
        <v>可</v>
      </c>
      <c r="Q1569" s="30" t="str">
        <f>IFERROR(__xludf.DUMMYFUNCTION("""COMPUTED_VALUE"""),"・music.jpとピッコマ、シーモアの3社先行です")</f>
        <v>・music.jpとピッコマ、シーモアの3社先行です</v>
      </c>
      <c r="R1569" s="31"/>
      <c r="S1569" s="31" t="str">
        <f>IFERROR(__xludf.DUMMYFUNCTION("""COMPUTED_VALUE"""),"20240527_DPNブックス_結婚フラグをへし折りたい")</f>
        <v>20240527_DPNブックス_結婚フラグをへし折りたい</v>
      </c>
      <c r="T1569" s="31" t="str">
        <f>IFERROR(__xludf.DUMMYFUNCTION("""COMPUTED_VALUE"""),"9巻目確認中")</f>
        <v>9巻目確認中</v>
      </c>
      <c r="U1569" s="15" t="str">
        <f>IFERROR(__xludf.DUMMYFUNCTION("""COMPUTED_VALUE"""),"©pica・愛坂タカト／DPNブックス")</f>
        <v>©pica・愛坂タカト／DPNブックス</v>
      </c>
      <c r="V1569" s="8" t="str">
        <f>IFERROR(__xludf.DUMMYFUNCTION("""COMPUTED_VALUE"""),"愛する男性と幸せな結婚をしたはずだった一人の女性、千百合。しかしその結婚生活は最悪そのもので「結婚なんてしなければよかった」と絶望するほどであった。そんな千百合の前に現れたのは謎の少年ジュン。彼は千百合に「ボクがお姉さんに、夢を叶えるチャンスをあげる」と告げる。そして気が付くと千百合は、自身が結婚式を挙げる一週間前の日にタイムワープしていた。もしもここで夫の浮気の証拠を掴めれば、自分の運命を変えられるかもしれない。千百合はジュンと協力し、自らの『結婚フラグ』をへし折るために動き出す。その先に待ち受ける彼女"&amp;"の運命とは……？　そして、様々な女の陰をチラつかせる夫の正体とは……？")</f>
        <v>愛する男性と幸せな結婚をしたはずだった一人の女性、千百合。しかしその結婚生活は最悪そのもので「結婚なんてしなければよかった」と絶望するほどであった。そんな千百合の前に現れたのは謎の少年ジュン。彼は千百合に「ボクがお姉さんに、夢を叶えるチャンスをあげる」と告げる。そして気が付くと千百合は、自身が結婚式を挙げる一週間前の日にタイムワープしていた。もしもここで夫の浮気の証拠を掴めれば、自分の運命を変えられるかもしれない。千百合はジュンと協力し、自らの『結婚フラグ』をへし折るために動き出す。その先に待ち受ける彼女の運命とは……？　そして、様々な女の陰をチラつかせる夫の正体とは……？</v>
      </c>
      <c r="W1569" s="14"/>
      <c r="X1569" s="14" t="str">
        <f>IFERROR(__xludf.DUMMYFUNCTION("""COMPUTED_VALUE"""),"有")</f>
        <v>有</v>
      </c>
      <c r="Y1569" s="8" t="str">
        <f>IFERROR(__xludf.DUMMYFUNCTION("""COMPUTED_VALUE"""),"3巻無料")</f>
        <v>3巻無料</v>
      </c>
      <c r="Z1569" s="7"/>
      <c r="AA1569" s="7"/>
      <c r="AB1569" s="7"/>
    </row>
    <row r="1570" ht="99.75" customHeight="1">
      <c r="A1570" s="26">
        <f>IFERROR(__xludf.DUMMYFUNCTION("""COMPUTED_VALUE"""),3488.0)</f>
        <v>3488</v>
      </c>
      <c r="B1570" s="31" t="str">
        <f>IFERROR(__xludf.DUMMYFUNCTION("""COMPUTED_VALUE"""),"確定")</f>
        <v>確定</v>
      </c>
      <c r="C1570" s="28">
        <f>IFERROR(__xludf.DUMMYFUNCTION("""COMPUTED_VALUE"""),45435.0)</f>
        <v>45435</v>
      </c>
      <c r="D1570" s="28">
        <f>IFERROR(__xludf.DUMMYFUNCTION("""COMPUTED_VALUE"""),45436.0)</f>
        <v>45436</v>
      </c>
      <c r="E1570" s="31">
        <f>IFERROR(__xludf.DUMMYFUNCTION("""COMPUTED_VALUE"""),294884.0)</f>
        <v>294884</v>
      </c>
      <c r="F1570" s="31" t="str">
        <f>IFERROR(__xludf.DUMMYFUNCTION("""COMPUTED_VALUE"""),"推しを愛する私たち～推し×ファン～アンソロジーコミック")</f>
        <v>推しを愛する私たち～推し×ファン～アンソロジーコミック</v>
      </c>
      <c r="G1570" s="20">
        <f>IFERROR(__xludf.DUMMYFUNCTION("""COMPUTED_VALUE"""),1.0)</f>
        <v>1</v>
      </c>
      <c r="H1570" s="31" t="str">
        <f>IFERROR(__xludf.DUMMYFUNCTION("""COMPUTED_VALUE"""),"ぬごですが。┴棉きのし┴ほし┴春野ユキト┴白井もも┴花束葬式")</f>
        <v>ぬごですが。┴棉きのし┴ほし┴春野ユキト┴白井もも┴花束葬式</v>
      </c>
      <c r="I1570" s="31" t="str">
        <f>IFERROR(__xludf.DUMMYFUNCTION("""COMPUTED_VALUE"""),"女性")</f>
        <v>女性</v>
      </c>
      <c r="J1570" s="31"/>
      <c r="K1570" s="31"/>
      <c r="L1570" s="31" t="str">
        <f>IFERROR(__xludf.DUMMYFUNCTION("""COMPUTED_VALUE"""),"ブシロードワークス")</f>
        <v>ブシロードワークス</v>
      </c>
      <c r="M1570" s="23">
        <f>IFERROR(__xludf.DUMMYFUNCTION("""COMPUTED_VALUE"""),45450.0)</f>
        <v>45450</v>
      </c>
      <c r="N1570" s="23">
        <f>IFERROR(__xludf.DUMMYFUNCTION("""COMPUTED_VALUE"""),45511.66666666667)</f>
        <v>45511.66667</v>
      </c>
      <c r="O1570" s="20"/>
      <c r="P1570" s="32" t="str">
        <f>IFERROR(__xludf.DUMMYFUNCTION("""COMPUTED_VALUE"""),"可")</f>
        <v>可</v>
      </c>
      <c r="Q1570" s="30"/>
      <c r="R1570" s="31"/>
      <c r="S1570" s="31" t="str">
        <f>IFERROR(__xludf.DUMMYFUNCTION("""COMPUTED_VALUE"""),"20240523_ブシロードワークス_推しを愛する私たち")</f>
        <v>20240523_ブシロードワークス_推しを愛する私たち</v>
      </c>
      <c r="T1570" s="31" t="str">
        <f>IFERROR(__xludf.DUMMYFUNCTION("""COMPUTED_VALUE"""),"格納済み")</f>
        <v>格納済み</v>
      </c>
      <c r="U1570" s="15" t="str">
        <f>IFERROR(__xludf.DUMMYFUNCTION("""COMPUTED_VALUE"""),"素材と一緒に格納します")</f>
        <v>素材と一緒に格納します</v>
      </c>
      <c r="V1570" s="8" t="str">
        <f>IFERROR(__xludf.DUMMYFUNCTION("""COMPUTED_VALUE"""),"「本当のファン」って何？
ガチ恋、盲目、厄介、信者に保護者面。
大好きな推しのためなら、なんでもできちゃう。楽しくて、幸せなはずなのに、いつからかぐちゃぐちゃに溢れて止まらない推しへの「愛」を描くアンソロジー。")</f>
        <v>「本当のファン」って何？
ガチ恋、盲目、厄介、信者に保護者面。
大好きな推しのためなら、なんでもできちゃう。楽しくて、幸せなはずなのに、いつからかぐちゃぐちゃに溢れて止まらない推しへの「愛」を描くアンソロジー。</v>
      </c>
      <c r="W1570" s="8"/>
      <c r="X1570" s="14" t="str">
        <f>IFERROR(__xludf.DUMMYFUNCTION("""COMPUTED_VALUE"""),"有")</f>
        <v>有</v>
      </c>
      <c r="Y1570" s="8" t="str">
        <f>IFERROR(__xludf.DUMMYFUNCTION("""COMPUTED_VALUE"""),"2024/7/7まで立ち読み増量P21まで")</f>
        <v>2024/7/7まで立ち読み増量P21まで</v>
      </c>
      <c r="Z1570" s="7"/>
      <c r="AA1570" s="7"/>
      <c r="AB1570" s="7"/>
    </row>
    <row r="1571" ht="15.75" customHeight="1">
      <c r="A1571" s="26">
        <f>IFERROR(__xludf.DUMMYFUNCTION("""COMPUTED_VALUE"""),3489.0)</f>
        <v>3489</v>
      </c>
      <c r="B1571" s="31" t="str">
        <f>IFERROR(__xludf.DUMMYFUNCTION("""COMPUTED_VALUE"""),"確定")</f>
        <v>確定</v>
      </c>
      <c r="C1571" s="28">
        <f>IFERROR(__xludf.DUMMYFUNCTION("""COMPUTED_VALUE"""),45435.0)</f>
        <v>45435</v>
      </c>
      <c r="D1571" s="28">
        <f>IFERROR(__xludf.DUMMYFUNCTION("""COMPUTED_VALUE"""),45436.0)</f>
        <v>45436</v>
      </c>
      <c r="E1571" s="31">
        <f>IFERROR(__xludf.DUMMYFUNCTION("""COMPUTED_VALUE"""),295597.0)</f>
        <v>295597</v>
      </c>
      <c r="F1571" s="31" t="str">
        <f>IFERROR(__xludf.DUMMYFUNCTION("""COMPUTED_VALUE"""),"アモン〜気付けないこと〜")</f>
        <v>アモン〜気付けないこと〜</v>
      </c>
      <c r="G1571" s="11" t="str">
        <f>IFERROR(__xludf.DUMMYFUNCTION("""COMPUTED_VALUE"""),"1～15")</f>
        <v>1～15</v>
      </c>
      <c r="H1571" s="31" t="str">
        <f>IFERROR(__xludf.DUMMYFUNCTION("""COMPUTED_VALUE"""),"Pieceake / Neukbeom / SMC")</f>
        <v>Pieceake / Neukbeom / SMC</v>
      </c>
      <c r="I1571" s="31" t="str">
        <f>IFERROR(__xludf.DUMMYFUNCTION("""COMPUTED_VALUE"""),"女性")</f>
        <v>女性</v>
      </c>
      <c r="J1571" s="31"/>
      <c r="K1571" s="31"/>
      <c r="L1571" s="31" t="str">
        <f>IFERROR(__xludf.DUMMYFUNCTION("""COMPUTED_VALUE"""),"Studio reBorn")</f>
        <v>Studio reBorn</v>
      </c>
      <c r="M1571" s="23">
        <f>IFERROR(__xludf.DUMMYFUNCTION("""COMPUTED_VALUE"""),45458.0)</f>
        <v>45458</v>
      </c>
      <c r="N1571" s="23">
        <f>IFERROR(__xludf.DUMMYFUNCTION("""COMPUTED_VALUE"""),45549.0)</f>
        <v>45549</v>
      </c>
      <c r="O1571" s="20"/>
      <c r="P1571" s="32" t="str">
        <f>IFERROR(__xludf.DUMMYFUNCTION("""COMPUTED_VALUE"""),"可")</f>
        <v>可</v>
      </c>
      <c r="Q1571" s="30"/>
      <c r="R1571" s="31"/>
      <c r="S1571" s="31" t="str">
        <f>IFERROR(__xludf.DUMMYFUNCTION("""COMPUTED_VALUE"""),"20240523_Studio reBorn_アモン〜気付けないこと〜")</f>
        <v>20240523_Studio reBorn_アモン〜気付けないこと〜</v>
      </c>
      <c r="T1571" s="31" t="str">
        <f>IFERROR(__xludf.DUMMYFUNCTION("""COMPUTED_VALUE"""),"格納済み")</f>
        <v>格納済み</v>
      </c>
      <c r="U1571" s="15" t="str">
        <f>IFERROR(__xludf.DUMMYFUNCTION("""COMPUTED_VALUE"""),"ⓒPieceake / Neukbeom / SMC ⓒStudio reBorn")</f>
        <v>ⓒPieceake / Neukbeom / SMC ⓒStudio reBorn</v>
      </c>
      <c r="V1571" s="8" t="str">
        <f>IFERROR(__xludf.DUMMYFUNCTION("""COMPUTED_VALUE"""),"世界最強の軍事会社の実権者である⼀⽅、過去に⼤きなトラウマを持つ オズワルド‧クィントン。
彼は企業の命運を掛けた鉱⽯’アモン’を⼿に⼊れるため、地主の突拍⼦もない取引に応じることに。
「私の娘の⼼を開いてくれたら、この⼟地を君に譲ろう」
⼼を閉じた⼥性と、富と美貌を兼ね備えた男が織りなす現代ロマンス!
神秘的な鉱⽯ʻアモン’を取り囲む陰謀と裏切りを乗り越え、二人は惹かれ合う──。")</f>
        <v>世界最強の軍事会社の実権者である⼀⽅、過去に⼤きなトラウマを持つ オズワルド‧クィントン。
彼は企業の命運を掛けた鉱⽯’アモン’を⼿に⼊れるため、地主の突拍⼦もない取引に応じることに。
「私の娘の⼼を開いてくれたら、この⼟地を君に譲ろう」
⼼を閉じた⼥性と、富と美貌を兼ね備えた男が織りなす現代ロマンス!
神秘的な鉱⽯ʻアモン’を取り囲む陰謀と裏切りを乗り越え、二人は惹かれ合う──。</v>
      </c>
      <c r="W1571" s="14"/>
      <c r="X1571" s="14" t="str">
        <f>IFERROR(__xludf.DUMMYFUNCTION("""COMPUTED_VALUE"""),"有")</f>
        <v>有</v>
      </c>
      <c r="Y1571" s="8" t="str">
        <f>IFERROR(__xludf.DUMMYFUNCTION("""COMPUTED_VALUE"""),"3巻無料")</f>
        <v>3巻無料</v>
      </c>
      <c r="Z1571" s="7"/>
      <c r="AA1571" s="7"/>
      <c r="AB1571" s="7"/>
    </row>
    <row r="1572" ht="75.75" customHeight="1">
      <c r="A1572" s="26">
        <f>IFERROR(__xludf.DUMMYFUNCTION("""COMPUTED_VALUE"""),3490.0)</f>
        <v>3490</v>
      </c>
      <c r="B1572" s="31" t="str">
        <f>IFERROR(__xludf.DUMMYFUNCTION("""COMPUTED_VALUE"""),"確定")</f>
        <v>確定</v>
      </c>
      <c r="C1572" s="28">
        <f>IFERROR(__xludf.DUMMYFUNCTION("""COMPUTED_VALUE"""),45435.0)</f>
        <v>45435</v>
      </c>
      <c r="D1572" s="28">
        <f>IFERROR(__xludf.DUMMYFUNCTION("""COMPUTED_VALUE"""),45436.0)</f>
        <v>45436</v>
      </c>
      <c r="E1572" s="31">
        <f>IFERROR(__xludf.DUMMYFUNCTION("""COMPUTED_VALUE"""),294421.0)</f>
        <v>294421</v>
      </c>
      <c r="F1572" s="31" t="str">
        <f>IFERROR(__xludf.DUMMYFUNCTION("""COMPUTED_VALUE"""),"萌えたいさかりの灯さん(話売り)")</f>
        <v>萌えたいさかりの灯さん(話売り)</v>
      </c>
      <c r="G1572" s="20" t="str">
        <f>IFERROR(__xludf.DUMMYFUNCTION("""COMPUTED_VALUE"""),"1～3")</f>
        <v>1～3</v>
      </c>
      <c r="H1572" s="31" t="str">
        <f>IFERROR(__xludf.DUMMYFUNCTION("""COMPUTED_VALUE"""),"武藤啓")</f>
        <v>武藤啓</v>
      </c>
      <c r="I1572" s="52" t="str">
        <f>IFERROR(__xludf.DUMMYFUNCTION("""COMPUTED_VALUE"""),"少女")</f>
        <v>少女</v>
      </c>
      <c r="J1572" s="31"/>
      <c r="K1572" s="31"/>
      <c r="L1572" s="31" t="str">
        <f>IFERROR(__xludf.DUMMYFUNCTION("""COMPUTED_VALUE"""),"秋田書店")</f>
        <v>秋田書店</v>
      </c>
      <c r="M1572" s="23">
        <f>IFERROR(__xludf.DUMMYFUNCTION("""COMPUTED_VALUE"""),45444.0)</f>
        <v>45444</v>
      </c>
      <c r="N1572" s="23">
        <f>IFERROR(__xludf.DUMMYFUNCTION("""COMPUTED_VALUE"""),45472.0)</f>
        <v>45472</v>
      </c>
      <c r="O1572" s="20"/>
      <c r="P1572" s="34" t="str">
        <f>IFERROR(__xludf.DUMMYFUNCTION("""COMPUTED_VALUE"""),"否")</f>
        <v>否</v>
      </c>
      <c r="Q1572" s="30" t="str">
        <f>IFERROR(__xludf.DUMMYFUNCTION("""COMPUTED_VALUE"""),"2話で制作をお願いいたします&lt;BR&gt;0000114877_jp_0085⇒P31～P68&lt;BR&gt;0000114877_jp_0086⇒P65～P98")</f>
        <v>2話で制作をお願いいたします&lt;BR&gt;0000114877_jp_0085⇒P31～P68&lt;BR&gt;0000114877_jp_0086⇒P65～P98</v>
      </c>
      <c r="R1572" s="31"/>
      <c r="S1572" s="31" t="str">
        <f>IFERROR(__xludf.DUMMYFUNCTION("""COMPUTED_VALUE"""),"20240523_秋田書店_6月新作")</f>
        <v>20240523_秋田書店_6月新作</v>
      </c>
      <c r="T1572" s="31" t="str">
        <f>IFERROR(__xludf.DUMMYFUNCTION("""COMPUTED_VALUE"""),"格納済み")</f>
        <v>格納済み</v>
      </c>
      <c r="U1572" s="15" t="str">
        <f>IFERROR(__xludf.DUMMYFUNCTION("""COMPUTED_VALUE"""),"（C）武藤啓（秋田書店）")</f>
        <v>（C）武藤啓（秋田書店）</v>
      </c>
      <c r="V1572" s="8" t="str">
        <f>IFERROR(__xludf.DUMMYFUNCTION("""COMPUTED_VALUE"""),"優しくて素直な美少年・夜兎くんと、ドSでイケメンの幼馴染みで同僚の火蔵。ふたりの男子に迫られ、灯のドキドキは止まらない…!? ※この作品はプチプリンセス vol.85に収録されているものと同一のものとなります。")</f>
        <v>優しくて素直な美少年・夜兎くんと、ドSでイケメンの幼馴染みで同僚の火蔵。ふたりの男子に迫られ、灯のドキドキは止まらない…!? ※この作品はプチプリンセス vol.85に収録されているものと同一のものとなります。</v>
      </c>
      <c r="W1572" s="14"/>
      <c r="X1572" s="14" t="str">
        <f>IFERROR(__xludf.DUMMYFUNCTION("""COMPUTED_VALUE"""),"有")</f>
        <v>有</v>
      </c>
      <c r="Y1572" s="8" t="str">
        <f>IFERROR(__xludf.DUMMYFUNCTION("""COMPUTED_VALUE"""),"2024/6/29まで1巻無料")</f>
        <v>2024/6/29まで1巻無料</v>
      </c>
      <c r="Z1572" s="7"/>
      <c r="AA1572" s="7"/>
      <c r="AB1572" s="7"/>
    </row>
    <row r="1573" ht="15.75" customHeight="1">
      <c r="A1573" s="26">
        <f>IFERROR(__xludf.DUMMYFUNCTION("""COMPUTED_VALUE"""),3491.0)</f>
        <v>3491</v>
      </c>
      <c r="B1573" s="31" t="str">
        <f>IFERROR(__xludf.DUMMYFUNCTION("""COMPUTED_VALUE"""),"確定")</f>
        <v>確定</v>
      </c>
      <c r="C1573" s="28">
        <f>IFERROR(__xludf.DUMMYFUNCTION("""COMPUTED_VALUE"""),45436.0)</f>
        <v>45436</v>
      </c>
      <c r="D1573" s="28">
        <f>IFERROR(__xludf.DUMMYFUNCTION("""COMPUTED_VALUE"""),45440.0)</f>
        <v>45440</v>
      </c>
      <c r="E1573" s="31">
        <f>IFERROR(__xludf.DUMMYFUNCTION("""COMPUTED_VALUE"""),294442.0)</f>
        <v>294442</v>
      </c>
      <c r="F1573" s="31" t="str">
        <f>IFERROR(__xludf.DUMMYFUNCTION("""COMPUTED_VALUE"""),"悪女に仕立て上げられた薄幸令嬢の幸せな婚約破棄")</f>
        <v>悪女に仕立て上げられた薄幸令嬢の幸せな婚約破棄</v>
      </c>
      <c r="G1573" s="20" t="str">
        <f>IFERROR(__xludf.DUMMYFUNCTION("""COMPUTED_VALUE"""),"1~4")</f>
        <v>1~4</v>
      </c>
      <c r="H1573" s="31" t="str">
        <f>IFERROR(__xludf.DUMMYFUNCTION("""COMPUTED_VALUE"""),"大月キエ")</f>
        <v>大月キエ</v>
      </c>
      <c r="I1573" s="31" t="str">
        <f>IFERROR(__xludf.DUMMYFUNCTION("""COMPUTED_VALUE"""),"少女")</f>
        <v>少女</v>
      </c>
      <c r="J1573" s="31"/>
      <c r="K1573" s="31"/>
      <c r="L1573" s="31" t="str">
        <f>IFERROR(__xludf.DUMMYFUNCTION("""COMPUTED_VALUE"""),"ファンギルド")</f>
        <v>ファンギルド</v>
      </c>
      <c r="M1573" s="23">
        <f>IFERROR(__xludf.DUMMYFUNCTION("""COMPUTED_VALUE"""),45454.0)</f>
        <v>45454</v>
      </c>
      <c r="N1573" s="23">
        <f>IFERROR(__xludf.DUMMYFUNCTION("""COMPUTED_VALUE"""),45518.0)</f>
        <v>45518</v>
      </c>
      <c r="O1573" s="20"/>
      <c r="P1573" s="34" t="str">
        <f>IFERROR(__xludf.DUMMYFUNCTION("""COMPUTED_VALUE"""),"可")</f>
        <v>可</v>
      </c>
      <c r="Q1573" s="30" t="str">
        <f>IFERROR(__xludf.DUMMYFUNCTION("""COMPUTED_VALUE"""),"数社先行です（おそらくBookLiveと）")</f>
        <v>数社先行です（おそらくBookLiveと）</v>
      </c>
      <c r="R1573" s="31"/>
      <c r="S1573" s="31" t="str">
        <f>IFERROR(__xludf.DUMMYFUNCTION("""COMPUTED_VALUE"""),"20240524_ファンギルド_悪女に仕立て上げられた薄幸令嬢の幸せな婚約破棄")</f>
        <v>20240524_ファンギルド_悪女に仕立て上げられた薄幸令嬢の幸せな婚約破棄</v>
      </c>
      <c r="T1573" s="31" t="str">
        <f>IFERROR(__xludf.DUMMYFUNCTION("""COMPUTED_VALUE"""),"格納済み")</f>
        <v>格納済み</v>
      </c>
      <c r="U1573" s="15" t="str">
        <f>IFERROR(__xludf.DUMMYFUNCTION("""COMPUTED_VALUE"""),"©大月キエ/古池マヤ/ファンギルド")</f>
        <v>©大月キエ/古池マヤ/ファンギルド</v>
      </c>
      <c r="V1573" s="8" t="str">
        <f>IFERROR(__xludf.DUMMYFUNCTION("""COMPUTED_VALUE"""),"庶子として侯爵家に引き取られたリリティアは、病気の母の治療と引き換えに父である当主に侯爵家繁栄の手駒にさせられ、自由を奪われていた。傲慢な婚約者からは浮気相手である男爵令嬢との仲を邪推されないよう”悪役令嬢を演じろ”と命じられ、学園でも居場所がない。そんな地獄のような日々を過ごしていたある日、リリティアは世間を騒がせている怪盗・ウルティオに出会う。怪我をしていた彼を助けたことで、リリティアの人生が大きく動きだし―…？「お嬢さん 俺と婚約破棄を目指さないか？」悪役にされた薄幸令嬢が正体不明の真摯な怪盗と婚約"&amp;"破棄を目指すシンデレララブストーリー！")</f>
        <v>庶子として侯爵家に引き取られたリリティアは、病気の母の治療と引き換えに父である当主に侯爵家繁栄の手駒にさせられ、自由を奪われていた。傲慢な婚約者からは浮気相手である男爵令嬢との仲を邪推されないよう”悪役令嬢を演じろ”と命じられ、学園でも居場所がない。そんな地獄のような日々を過ごしていたある日、リリティアは世間を騒がせている怪盗・ウルティオに出会う。怪我をしていた彼を助けたことで、リリティアの人生が大きく動きだし―…？「お嬢さん 俺と婚約破棄を目指さないか？」悪役にされた薄幸令嬢が正体不明の真摯な怪盗と婚約破棄を目指すシンデレララブストーリー！</v>
      </c>
      <c r="W1573" s="14"/>
      <c r="X1573" s="14" t="str">
        <f>IFERROR(__xludf.DUMMYFUNCTION("""COMPUTED_VALUE"""),"有")</f>
        <v>有</v>
      </c>
      <c r="Y1573" s="8" t="str">
        <f>IFERROR(__xludf.DUMMYFUNCTION("""COMPUTED_VALUE"""),"P7まで")</f>
        <v>P7まで</v>
      </c>
      <c r="Z1573" s="7"/>
      <c r="AA1573" s="7"/>
      <c r="AB1573" s="7"/>
    </row>
    <row r="1574" ht="15.75" customHeight="1">
      <c r="A1574" s="26">
        <f>IFERROR(__xludf.DUMMYFUNCTION("""COMPUTED_VALUE"""),3492.0)</f>
        <v>3492</v>
      </c>
      <c r="B1574" s="31" t="str">
        <f>IFERROR(__xludf.DUMMYFUNCTION("""COMPUTED_VALUE"""),"確定")</f>
        <v>確定</v>
      </c>
      <c r="C1574" s="28">
        <f>IFERROR(__xludf.DUMMYFUNCTION("""COMPUTED_VALUE"""),45436.0)</f>
        <v>45436</v>
      </c>
      <c r="D1574" s="28">
        <f>IFERROR(__xludf.DUMMYFUNCTION("""COMPUTED_VALUE"""),45440.0)</f>
        <v>45440</v>
      </c>
      <c r="E1574" s="31">
        <f>IFERROR(__xludf.DUMMYFUNCTION("""COMPUTED_VALUE"""),294200.0)</f>
        <v>294200</v>
      </c>
      <c r="F1574" s="31" t="str">
        <f>IFERROR(__xludf.DUMMYFUNCTION("""COMPUTED_VALUE"""),"催眠アプリでヤりたい放題")</f>
        <v>催眠アプリでヤりたい放題</v>
      </c>
      <c r="G1574" s="11" t="str">
        <f>IFERROR(__xludf.DUMMYFUNCTION("""COMPUTED_VALUE"""),"1～4")</f>
        <v>1～4</v>
      </c>
      <c r="H1574" s="31" t="str">
        <f>IFERROR(__xludf.DUMMYFUNCTION("""COMPUTED_VALUE"""),"SSAEM")</f>
        <v>SSAEM</v>
      </c>
      <c r="I1574" s="31" t="str">
        <f>IFERROR(__xludf.DUMMYFUNCTION("""COMPUTED_VALUE"""),"青年")</f>
        <v>青年</v>
      </c>
      <c r="J1574" s="31"/>
      <c r="K1574" s="31"/>
      <c r="L1574" s="31" t="str">
        <f>IFERROR(__xludf.DUMMYFUNCTION("""COMPUTED_VALUE"""),"Rush!")</f>
        <v>Rush!</v>
      </c>
      <c r="M1574" s="23">
        <f>IFERROR(__xludf.DUMMYFUNCTION("""COMPUTED_VALUE"""),45455.0)</f>
        <v>45455</v>
      </c>
      <c r="N1574" s="23">
        <f>IFERROR(__xludf.DUMMYFUNCTION("""COMPUTED_VALUE"""),45482.0)</f>
        <v>45482</v>
      </c>
      <c r="O1574" s="20"/>
      <c r="P1574" s="32" t="str">
        <f>IFERROR(__xludf.DUMMYFUNCTION("""COMPUTED_VALUE"""),"可")</f>
        <v>可</v>
      </c>
      <c r="Q1574" s="30"/>
      <c r="R1574" s="31"/>
      <c r="S1574" s="31" t="str">
        <f>IFERROR(__xludf.DUMMYFUNCTION("""COMPUTED_VALUE"""),"20240524_ファンギルド_催眠アプリ")</f>
        <v>20240524_ファンギルド_催眠アプリ</v>
      </c>
      <c r="T1574" s="31" t="str">
        <f>IFERROR(__xludf.DUMMYFUNCTION("""COMPUTED_VALUE"""),"格納済み")</f>
        <v>格納済み</v>
      </c>
      <c r="U1574" s="15" t="str">
        <f>IFERROR(__xludf.DUMMYFUNCTION("""COMPUTED_VALUE"""),"©SSAEM/TOPTOON")</f>
        <v>©SSAEM/TOPTOON</v>
      </c>
      <c r="V1574" s="8" t="str">
        <f>IFERROR(__xludf.DUMMYFUNCTION("""COMPUTED_VALUE"""),"アイドルとお近づきになりたい――そんな安易な下心から、ガールズアイドルグループの新米マネージャーとなった石塚 誠也。しかし現実は厳しく、膨大な業務と嫌な上司に振り回されるだけの日々が続いていた。そんなある日、自身のスマホに突如インストールされていた謎のアプリ。それは、誠也の勤める芸能事務所の関係者のみに”催眠”をかけられるという代物だった。半信半疑ではあるものの、自分自身に催眠アプリを試してみるが…。催眠が解け意識が戻った誠也の目の前には、一糸まとわぬ姿の担当アイドルがいて――！？")</f>
        <v>アイドルとお近づきになりたい――そんな安易な下心から、ガールズアイドルグループの新米マネージャーとなった石塚 誠也。しかし現実は厳しく、膨大な業務と嫌な上司に振り回されるだけの日々が続いていた。そんなある日、自身のスマホに突如インストールされていた謎のアプリ。それは、誠也の勤める芸能事務所の関係者のみに”催眠”をかけられるという代物だった。半信半疑ではあるものの、自分自身に催眠アプリを試してみるが…。催眠が解け意識が戻った誠也の目の前には、一糸まとわぬ姿の担当アイドルがいて――！？</v>
      </c>
      <c r="W1574" s="14"/>
      <c r="X1574" s="14" t="str">
        <f>IFERROR(__xludf.DUMMYFUNCTION("""COMPUTED_VALUE"""),"有")</f>
        <v>有</v>
      </c>
      <c r="Y1574" s="8" t="str">
        <f>IFERROR(__xludf.DUMMYFUNCTION("""COMPUTED_VALUE"""),"P19まで")</f>
        <v>P19まで</v>
      </c>
      <c r="Z1574" s="7"/>
      <c r="AA1574" s="7"/>
      <c r="AB1574" s="7"/>
    </row>
    <row r="1575" ht="15.75" customHeight="1">
      <c r="A1575" s="26">
        <f>IFERROR(__xludf.DUMMYFUNCTION("""COMPUTED_VALUE"""),3493.0)</f>
        <v>3493</v>
      </c>
      <c r="B1575" s="31" t="str">
        <f>IFERROR(__xludf.DUMMYFUNCTION("""COMPUTED_VALUE"""),"確定")</f>
        <v>確定</v>
      </c>
      <c r="C1575" s="28">
        <f>IFERROR(__xludf.DUMMYFUNCTION("""COMPUTED_VALUE"""),45436.0)</f>
        <v>45436</v>
      </c>
      <c r="D1575" s="28">
        <f>IFERROR(__xludf.DUMMYFUNCTION("""COMPUTED_VALUE"""),45440.0)</f>
        <v>45440</v>
      </c>
      <c r="E1575" s="31">
        <f>IFERROR(__xludf.DUMMYFUNCTION("""COMPUTED_VALUE"""),294513.0)</f>
        <v>294513</v>
      </c>
      <c r="F1575" s="31" t="str">
        <f>IFERROR(__xludf.DUMMYFUNCTION("""COMPUTED_VALUE"""),"ヤリなおしハーレム～アラサー教師が学生に戻ったら～")</f>
        <v>ヤリなおしハーレム～アラサー教師が学生に戻ったら～</v>
      </c>
      <c r="G1575" s="20" t="str">
        <f>IFERROR(__xludf.DUMMYFUNCTION("""COMPUTED_VALUE"""),"1～3")</f>
        <v>1～3</v>
      </c>
      <c r="H1575" s="31" t="str">
        <f>IFERROR(__xludf.DUMMYFUNCTION("""COMPUTED_VALUE"""),"草野紅壱")</f>
        <v>草野紅壱</v>
      </c>
      <c r="I1575" s="31" t="str">
        <f>IFERROR(__xludf.DUMMYFUNCTION("""COMPUTED_VALUE"""),"青年")</f>
        <v>青年</v>
      </c>
      <c r="J1575" s="31"/>
      <c r="K1575" s="31"/>
      <c r="L1575" s="31" t="str">
        <f>IFERROR(__xludf.DUMMYFUNCTION("""COMPUTED_VALUE"""),"Rush!")</f>
        <v>Rush!</v>
      </c>
      <c r="M1575" s="23">
        <f>IFERROR(__xludf.DUMMYFUNCTION("""COMPUTED_VALUE"""),45470.0)</f>
        <v>45470</v>
      </c>
      <c r="N1575" s="23">
        <f>IFERROR(__xludf.DUMMYFUNCTION("""COMPUTED_VALUE"""),45497.0)</f>
        <v>45497</v>
      </c>
      <c r="O1575" s="20"/>
      <c r="P1575" s="32" t="str">
        <f>IFERROR(__xludf.DUMMYFUNCTION("""COMPUTED_VALUE"""),"可")</f>
        <v>可</v>
      </c>
      <c r="Q1575" s="30"/>
      <c r="R1575" s="31"/>
      <c r="S1575" s="31" t="str">
        <f>IFERROR(__xludf.DUMMYFUNCTION("""COMPUTED_VALUE"""),"20240524_ファンギルド_ヤリなおしハーレム")</f>
        <v>20240524_ファンギルド_ヤリなおしハーレム</v>
      </c>
      <c r="T1575" s="31" t="str">
        <f>IFERROR(__xludf.DUMMYFUNCTION("""COMPUTED_VALUE"""),"格納済み")</f>
        <v>格納済み</v>
      </c>
      <c r="U1575" s="15" t="str">
        <f>IFERROR(__xludf.DUMMYFUNCTION("""COMPUTED_VALUE"""),"©Kouichi Kusano")</f>
        <v>©Kouichi Kusano</v>
      </c>
      <c r="V1575" s="8" t="str">
        <f>IFERROR(__xludf.DUMMYFUNCTION("""COMPUTED_VALUE"""),"学生時代に非モテな生活を送っていた山岸昌司は教師になった今、最高潮のモテ期を迎えていた！！しかし、教師という立場のためキスをしたい、セックスをしたいと思っている生徒からバレンタイデーのチョコやラブレターを貰っても、深い関係にはなることができないことにジレンマを抱えていた。そんな悩みを腐れ縁の中である加藤嬢に相談するも「くだらない」と一蹴され、山岸はその日、学園のマドンナであり、彼に想いを寄せる生徒の一人である稲本ひづるをおかずに一人行為を行うが…突然の頭痛に襲われ命を落としてしまう――。しかし、目が覚めた"&amp;"山岸は自身も、そして周りの人間の姿が若返っていて自身の非モテ期でもあった高校時代に戻ったことに気がつく！今となってはまともに女性と話をすることもできるようになった山岸は、学生時代に憧れていた伊藤瞳と恋仲になることを決意し……")</f>
        <v>学生時代に非モテな生活を送っていた山岸昌司は教師になった今、最高潮のモテ期を迎えていた！！しかし、教師という立場のためキスをしたい、セックスをしたいと思っている生徒からバレンタイデーのチョコやラブレターを貰っても、深い関係にはなることができないことにジレンマを抱えていた。そんな悩みを腐れ縁の中である加藤嬢に相談するも「くだらない」と一蹴され、山岸はその日、学園のマドンナであり、彼に想いを寄せる生徒の一人である稲本ひづるをおかずに一人行為を行うが…突然の頭痛に襲われ命を落としてしまう――。しかし、目が覚めた山岸は自身も、そして周りの人間の姿が若返っていて自身の非モテ期でもあった高校時代に戻ったことに気がつく！今となってはまともに女性と話をすることもできるようになった山岸は、学生時代に憧れていた伊藤瞳と恋仲になることを決意し……</v>
      </c>
      <c r="W1575" s="14"/>
      <c r="X1575" s="14" t="str">
        <f>IFERROR(__xludf.DUMMYFUNCTION("""COMPUTED_VALUE"""),"有")</f>
        <v>有</v>
      </c>
      <c r="Y1575" s="8" t="str">
        <f>IFERROR(__xludf.DUMMYFUNCTION("""COMPUTED_VALUE"""),"P7まで")</f>
        <v>P7まで</v>
      </c>
      <c r="Z1575" s="7"/>
      <c r="AA1575" s="7"/>
      <c r="AB1575" s="7"/>
    </row>
    <row r="1576" ht="15.75" customHeight="1">
      <c r="A1576" s="26">
        <f>IFERROR(__xludf.DUMMYFUNCTION("""COMPUTED_VALUE"""),3494.0)</f>
        <v>3494</v>
      </c>
      <c r="B1576" s="31" t="str">
        <f>IFERROR(__xludf.DUMMYFUNCTION("""COMPUTED_VALUE"""),"確定")</f>
        <v>確定</v>
      </c>
      <c r="C1576" s="28">
        <f>IFERROR(__xludf.DUMMYFUNCTION("""COMPUTED_VALUE"""),45436.0)</f>
        <v>45436</v>
      </c>
      <c r="D1576" s="28">
        <f>IFERROR(__xludf.DUMMYFUNCTION("""COMPUTED_VALUE"""),45440.0)</f>
        <v>45440</v>
      </c>
      <c r="E1576" s="31">
        <f>IFERROR(__xludf.DUMMYFUNCTION("""COMPUTED_VALUE"""),294509.0)</f>
        <v>294509</v>
      </c>
      <c r="F1576" s="31" t="str">
        <f>IFERROR(__xludf.DUMMYFUNCTION("""COMPUTED_VALUE"""),"アプリで人生勝ち組")</f>
        <v>アプリで人生勝ち組</v>
      </c>
      <c r="G1576" s="11" t="str">
        <f>IFERROR(__xludf.DUMMYFUNCTION("""COMPUTED_VALUE"""),"1～4")</f>
        <v>1～4</v>
      </c>
      <c r="H1576" s="31" t="str">
        <f>IFERROR(__xludf.DUMMYFUNCTION("""COMPUTED_VALUE"""),"kimrobot")</f>
        <v>kimrobot</v>
      </c>
      <c r="I1576" s="31" t="str">
        <f>IFERROR(__xludf.DUMMYFUNCTION("""COMPUTED_VALUE"""),"青年")</f>
        <v>青年</v>
      </c>
      <c r="J1576" s="31"/>
      <c r="K1576" s="31"/>
      <c r="L1576" s="31" t="str">
        <f>IFERROR(__xludf.DUMMYFUNCTION("""COMPUTED_VALUE"""),"Rush!")</f>
        <v>Rush!</v>
      </c>
      <c r="M1576" s="23">
        <f>IFERROR(__xludf.DUMMYFUNCTION("""COMPUTED_VALUE"""),45470.0)</f>
        <v>45470</v>
      </c>
      <c r="N1576" s="23">
        <f>IFERROR(__xludf.DUMMYFUNCTION("""COMPUTED_VALUE"""),45498.0)</f>
        <v>45498</v>
      </c>
      <c r="O1576" s="20"/>
      <c r="P1576" s="32" t="str">
        <f>IFERROR(__xludf.DUMMYFUNCTION("""COMPUTED_VALUE"""),"可")</f>
        <v>可</v>
      </c>
      <c r="Q1576" s="30"/>
      <c r="R1576" s="31"/>
      <c r="S1576" s="31" t="str">
        <f>IFERROR(__xludf.DUMMYFUNCTION("""COMPUTED_VALUE"""),"20240527_ファンギルド_アプリで人生勝ち組")</f>
        <v>20240527_ファンギルド_アプリで人生勝ち組</v>
      </c>
      <c r="T1576" s="31" t="str">
        <f>IFERROR(__xludf.DUMMYFUNCTION("""COMPUTED_VALUE"""),"格納済み")</f>
        <v>格納済み</v>
      </c>
      <c r="U1576" s="15" t="str">
        <f>IFERROR(__xludf.DUMMYFUNCTION("""COMPUTED_VALUE"""),"Ⓒkimrobot")</f>
        <v>Ⓒkimrobot</v>
      </c>
      <c r="V1576" s="8" t="str">
        <f>IFERROR(__xludf.DUMMYFUNCTION("""COMPUTED_VALUE"""),"浪人し3度の受験に失敗した主人公・曽田陵佑は公務員試験に向けて予備校に通う日々を過ごしていた。ある日、授業中に寝落ちして夢から覚めると、ステータスウィンドウが見えるように!!ウィンドウに表示されたミッションをクリアしていくと報酬ポイントが貯まって様々な能力がアップデートされ、ついに最高の外見まで手に入れた陵佑。過去の自分とはおさらばし、この能力を活かせば人生は思いのまま!?")</f>
        <v>浪人し3度の受験に失敗した主人公・曽田陵佑は公務員試験に向けて予備校に通う日々を過ごしていた。ある日、授業中に寝落ちして夢から覚めると、ステータスウィンドウが見えるように!!ウィンドウに表示されたミッションをクリアしていくと報酬ポイントが貯まって様々な能力がアップデートされ、ついに最高の外見まで手に入れた陵佑。過去の自分とはおさらばし、この能力を活かせば人生は思いのまま!?</v>
      </c>
      <c r="W1576" s="14"/>
      <c r="X1576" s="14" t="str">
        <f>IFERROR(__xludf.DUMMYFUNCTION("""COMPUTED_VALUE"""),"有")</f>
        <v>有</v>
      </c>
      <c r="Y1576" s="8" t="str">
        <f>IFERROR(__xludf.DUMMYFUNCTION("""COMPUTED_VALUE"""),"P27まで")</f>
        <v>P27まで</v>
      </c>
      <c r="Z1576" s="7"/>
      <c r="AA1576" s="7"/>
      <c r="AB1576" s="7"/>
    </row>
    <row r="1577" ht="15.75" customHeight="1">
      <c r="A1577" s="26">
        <f>IFERROR(__xludf.DUMMYFUNCTION("""COMPUTED_VALUE"""),3495.0)</f>
        <v>3495</v>
      </c>
      <c r="B1577" s="31" t="str">
        <f>IFERROR(__xludf.DUMMYFUNCTION("""COMPUTED_VALUE"""),"確定")</f>
        <v>確定</v>
      </c>
      <c r="C1577" s="28">
        <f>IFERROR(__xludf.DUMMYFUNCTION("""COMPUTED_VALUE"""),45436.0)</f>
        <v>45436</v>
      </c>
      <c r="D1577" s="28">
        <f>IFERROR(__xludf.DUMMYFUNCTION("""COMPUTED_VALUE"""),45440.0)</f>
        <v>45440</v>
      </c>
      <c r="E1577" s="31">
        <f>IFERROR(__xludf.DUMMYFUNCTION("""COMPUTED_VALUE"""),294510.0)</f>
        <v>294510</v>
      </c>
      <c r="F1577" s="31" t="str">
        <f>IFERROR(__xludf.DUMMYFUNCTION("""COMPUTED_VALUE"""),"サバイバルH～義母と交わる生存戦略～")</f>
        <v>サバイバルH～義母と交わる生存戦略～</v>
      </c>
      <c r="G1577" s="11" t="str">
        <f>IFERROR(__xludf.DUMMYFUNCTION("""COMPUTED_VALUE"""),"1～4")</f>
        <v>1～4</v>
      </c>
      <c r="H1577" s="31" t="str">
        <f>IFERROR(__xludf.DUMMYFUNCTION("""COMPUTED_VALUE"""),"一郎")</f>
        <v>一郎</v>
      </c>
      <c r="I1577" s="31" t="str">
        <f>IFERROR(__xludf.DUMMYFUNCTION("""COMPUTED_VALUE"""),"青年")</f>
        <v>青年</v>
      </c>
      <c r="J1577" s="31"/>
      <c r="K1577" s="31"/>
      <c r="L1577" s="31" t="str">
        <f>IFERROR(__xludf.DUMMYFUNCTION("""COMPUTED_VALUE"""),"Rush!")</f>
        <v>Rush!</v>
      </c>
      <c r="M1577" s="23">
        <f>IFERROR(__xludf.DUMMYFUNCTION("""COMPUTED_VALUE"""),45470.0)</f>
        <v>45470</v>
      </c>
      <c r="N1577" s="23">
        <f>IFERROR(__xludf.DUMMYFUNCTION("""COMPUTED_VALUE"""),45498.0)</f>
        <v>45498</v>
      </c>
      <c r="O1577" s="20"/>
      <c r="P1577" s="32" t="str">
        <f>IFERROR(__xludf.DUMMYFUNCTION("""COMPUTED_VALUE"""),"可")</f>
        <v>可</v>
      </c>
      <c r="Q1577" s="30"/>
      <c r="R1577" s="31"/>
      <c r="S1577" s="31" t="str">
        <f>IFERROR(__xludf.DUMMYFUNCTION("""COMPUTED_VALUE"""),"20240527_ファンギルド_サバイバルH～義母と交わる生存戦略～")</f>
        <v>20240527_ファンギルド_サバイバルH～義母と交わる生存戦略～</v>
      </c>
      <c r="T1577" s="31" t="str">
        <f>IFERROR(__xludf.DUMMYFUNCTION("""COMPUTED_VALUE"""),"格納済み")</f>
        <v>格納済み</v>
      </c>
      <c r="U1577" s="15" t="str">
        <f>IFERROR(__xludf.DUMMYFUNCTION("""COMPUTED_VALUE"""),"©一郎/家和萬事成/次郎/TOPTOON")</f>
        <v>©一郎/家和萬事成/次郎/TOPTOON</v>
      </c>
      <c r="V1577" s="8" t="str">
        <f>IFERROR(__xludf.DUMMYFUNCTION("""COMPUTED_VALUE"""),"”幼い頃に母親を亡くし義母に育てられたチャンジェ。成長するにつれ義母へ恋愛感情を抱くようになり、想いを断ち切るため逃げるように軍へ入隊する。そんなある日、夜間警備中に突然怪しげな光に包み込まれ…目が覚めた先には故郷で暮らしているはずの義母の姿が！？二人はスマホへの通知から、自分達が仮想世界での無人島サバイバルゲームへ強制参加させられたことを知る。生き残るために必要なのはコイン…そして、それを手に入れるためにはパートナーである義母とエッチな事をしなければならず――！？”")</f>
        <v>”幼い頃に母親を亡くし義母に育てられたチャンジェ。成長するにつれ義母へ恋愛感情を抱くようになり、想いを断ち切るため逃げるように軍へ入隊する。そんなある日、夜間警備中に突然怪しげな光に包み込まれ…目が覚めた先には故郷で暮らしているはずの義母の姿が！？二人はスマホへの通知から、自分達が仮想世界での無人島サバイバルゲームへ強制参加させられたことを知る。生き残るために必要なのはコイン…そして、それを手に入れるためにはパートナーである義母とエッチな事をしなければならず――！？”</v>
      </c>
      <c r="W1577" s="14"/>
      <c r="X1577" s="14" t="str">
        <f>IFERROR(__xludf.DUMMYFUNCTION("""COMPUTED_VALUE"""),"有")</f>
        <v>有</v>
      </c>
      <c r="Y1577" s="8" t="str">
        <f>IFERROR(__xludf.DUMMYFUNCTION("""COMPUTED_VALUE"""),"P18まで")</f>
        <v>P18まで</v>
      </c>
      <c r="Z1577" s="7"/>
      <c r="AA1577" s="7"/>
      <c r="AB1577" s="7"/>
    </row>
    <row r="1578" ht="99.75" customHeight="1">
      <c r="A1578" s="26">
        <f>IFERROR(__xludf.DUMMYFUNCTION("""COMPUTED_VALUE"""),3496.0)</f>
        <v>3496</v>
      </c>
      <c r="B1578" s="31" t="str">
        <f>IFERROR(__xludf.DUMMYFUNCTION("""COMPUTED_VALUE"""),"確定")</f>
        <v>確定</v>
      </c>
      <c r="C1578" s="28">
        <f>IFERROR(__xludf.DUMMYFUNCTION("""COMPUTED_VALUE"""),45436.0)</f>
        <v>45436</v>
      </c>
      <c r="D1578" s="28">
        <f>IFERROR(__xludf.DUMMYFUNCTION("""COMPUTED_VALUE"""),45440.0)</f>
        <v>45440</v>
      </c>
      <c r="E1578" s="31">
        <f>IFERROR(__xludf.DUMMYFUNCTION("""COMPUTED_VALUE"""),294512.0)</f>
        <v>294512</v>
      </c>
      <c r="F1578" s="31" t="str">
        <f>IFERROR(__xludf.DUMMYFUNCTION("""COMPUTED_VALUE"""),"セックススキャン ー最大多数の女を落とす攻略法ー")</f>
        <v>セックススキャン ー最大多数の女を落とす攻略法ー</v>
      </c>
      <c r="G1578" s="11" t="str">
        <f>IFERROR(__xludf.DUMMYFUNCTION("""COMPUTED_VALUE"""),"1～4")</f>
        <v>1～4</v>
      </c>
      <c r="H1578" s="31" t="str">
        <f>IFERROR(__xludf.DUMMYFUNCTION("""COMPUTED_VALUE"""),"Oj")</f>
        <v>Oj</v>
      </c>
      <c r="I1578" s="31" t="str">
        <f>IFERROR(__xludf.DUMMYFUNCTION("""COMPUTED_VALUE"""),"青年")</f>
        <v>青年</v>
      </c>
      <c r="J1578" s="31"/>
      <c r="K1578" s="31"/>
      <c r="L1578" s="31" t="str">
        <f>IFERROR(__xludf.DUMMYFUNCTION("""COMPUTED_VALUE"""),"Rush!")</f>
        <v>Rush!</v>
      </c>
      <c r="M1578" s="23">
        <f>IFERROR(__xludf.DUMMYFUNCTION("""COMPUTED_VALUE"""),45470.0)</f>
        <v>45470</v>
      </c>
      <c r="N1578" s="23">
        <f>IFERROR(__xludf.DUMMYFUNCTION("""COMPUTED_VALUE"""),45498.0)</f>
        <v>45498</v>
      </c>
      <c r="O1578" s="20"/>
      <c r="P1578" s="32" t="str">
        <f>IFERROR(__xludf.DUMMYFUNCTION("""COMPUTED_VALUE"""),"可")</f>
        <v>可</v>
      </c>
      <c r="Q1578" s="30"/>
      <c r="R1578" s="31"/>
      <c r="S1578" s="31" t="str">
        <f>IFERROR(__xludf.DUMMYFUNCTION("""COMPUTED_VALUE"""),"20240527_ファンギルド_セックススキャン ー最大多数の女を落とす攻略法ー")</f>
        <v>20240527_ファンギルド_セックススキャン ー最大多数の女を落とす攻略法ー</v>
      </c>
      <c r="T1578" s="31" t="str">
        <f>IFERROR(__xludf.DUMMYFUNCTION("""COMPUTED_VALUE"""),"格納済み")</f>
        <v>格納済み</v>
      </c>
      <c r="U1578" s="15" t="str">
        <f>IFERROR(__xludf.DUMMYFUNCTION("""COMPUTED_VALUE"""),"©Oj/burn7/TOPTOON")</f>
        <v>©Oj/burn7/TOPTOON</v>
      </c>
      <c r="V1578" s="8" t="str">
        <f>IFERROR(__xludf.DUMMYFUNCTION("""COMPUTED_VALUE"""),"成川精一はどこにでもいそうな至ってフツーな男。ある日、新しく引っ越し先を探している最中に、幽霊の感見翔と出会う。その出会いが第二の人生の幕開けとなることに。人気ホストで不動のNo.1だった翔から、女を攻略する特殊な能力を受け取り精一は夜の帝王へと生まれ変わっていくのだが…")</f>
        <v>成川精一はどこにでもいそうな至ってフツーな男。ある日、新しく引っ越し先を探している最中に、幽霊の感見翔と出会う。その出会いが第二の人生の幕開けとなることに。人気ホストで不動のNo.1だった翔から、女を攻略する特殊な能力を受け取り精一は夜の帝王へと生まれ変わっていくのだが…</v>
      </c>
      <c r="W1578" s="14"/>
      <c r="X1578" s="14" t="str">
        <f>IFERROR(__xludf.DUMMYFUNCTION("""COMPUTED_VALUE"""),"有")</f>
        <v>有</v>
      </c>
      <c r="Y1578" s="8" t="str">
        <f>IFERROR(__xludf.DUMMYFUNCTION("""COMPUTED_VALUE"""),"P31まで")</f>
        <v>P31まで</v>
      </c>
      <c r="Z1578" s="7"/>
      <c r="AA1578" s="7"/>
      <c r="AB1578" s="7"/>
    </row>
    <row r="1579" ht="117.75" customHeight="1">
      <c r="A1579" s="26">
        <f>IFERROR(__xludf.DUMMYFUNCTION("""COMPUTED_VALUE"""),3497.0)</f>
        <v>3497</v>
      </c>
      <c r="B1579" s="31" t="str">
        <f>IFERROR(__xludf.DUMMYFUNCTION("""COMPUTED_VALUE"""),"確定")</f>
        <v>確定</v>
      </c>
      <c r="C1579" s="28">
        <f>IFERROR(__xludf.DUMMYFUNCTION("""COMPUTED_VALUE"""),45436.0)</f>
        <v>45436</v>
      </c>
      <c r="D1579" s="28">
        <f>IFERROR(__xludf.DUMMYFUNCTION("""COMPUTED_VALUE"""),45440.0)</f>
        <v>45440</v>
      </c>
      <c r="E1579" s="31">
        <f>IFERROR(__xludf.DUMMYFUNCTION("""COMPUTED_VALUE"""),295300.0)</f>
        <v>295300</v>
      </c>
      <c r="F1579" s="31" t="str">
        <f>IFERROR(__xludf.DUMMYFUNCTION("""COMPUTED_VALUE"""),"モットねらいうち")</f>
        <v>モットねらいうち</v>
      </c>
      <c r="G1579" s="11" t="str">
        <f>IFERROR(__xludf.DUMMYFUNCTION("""COMPUTED_VALUE"""),"1～4")</f>
        <v>1～4</v>
      </c>
      <c r="H1579" s="31" t="str">
        <f>IFERROR(__xludf.DUMMYFUNCTION("""COMPUTED_VALUE"""),"mad&amp;yangyang")</f>
        <v>mad&amp;yangyang</v>
      </c>
      <c r="I1579" s="31" t="str">
        <f>IFERROR(__xludf.DUMMYFUNCTION("""COMPUTED_VALUE"""),"青年")</f>
        <v>青年</v>
      </c>
      <c r="J1579" s="31"/>
      <c r="K1579" s="31"/>
      <c r="L1579" s="31" t="str">
        <f>IFERROR(__xludf.DUMMYFUNCTION("""COMPUTED_VALUE"""),"Rush!")</f>
        <v>Rush!</v>
      </c>
      <c r="M1579" s="23">
        <f>IFERROR(__xludf.DUMMYFUNCTION("""COMPUTED_VALUE"""),45478.0)</f>
        <v>45478</v>
      </c>
      <c r="N1579" s="23">
        <f>IFERROR(__xludf.DUMMYFUNCTION("""COMPUTED_VALUE"""),45505.0)</f>
        <v>45505</v>
      </c>
      <c r="O1579" s="20"/>
      <c r="P1579" s="32" t="str">
        <f>IFERROR(__xludf.DUMMYFUNCTION("""COMPUTED_VALUE"""),"可")</f>
        <v>可</v>
      </c>
      <c r="Q1579" s="30"/>
      <c r="R1579" s="31"/>
      <c r="S1579" s="31" t="str">
        <f>IFERROR(__xludf.DUMMYFUNCTION("""COMPUTED_VALUE"""),"20240527_ファンギルド_モットねらいうち")</f>
        <v>20240527_ファンギルド_モットねらいうち</v>
      </c>
      <c r="T1579" s="31" t="str">
        <f>IFERROR(__xludf.DUMMYFUNCTION("""COMPUTED_VALUE"""),"格納済み")</f>
        <v>格納済み</v>
      </c>
      <c r="U1579" s="15" t="str">
        <f>IFERROR(__xludf.DUMMYFUNCTION("""COMPUTED_VALUE"""),"©mad&amp;yangyang/kimmundo/TOPTOON")</f>
        <v>©mad&amp;yangyang/kimmundo/TOPTOON</v>
      </c>
      <c r="V1579" s="8" t="str">
        <f>IFERROR(__xludf.DUMMYFUNCTION("""COMPUTED_VALUE"""),"剣道道場を運営するために10年ぶりに帰省した佐賀智石。その間ずっと男だと思い込んでいた幼馴染の千晶が実は女だった!?道場には2人だけ、汗だくの千晶が無防備な姿で待ち構えているが…「剣道ってこんなエロいスポーツだっけ…？」")</f>
        <v>剣道道場を運営するために10年ぶりに帰省した佐賀智石。その間ずっと男だと思い込んでいた幼馴染の千晶が実は女だった!?道場には2人だけ、汗だくの千晶が無防備な姿で待ち構えているが…「剣道ってこんなエロいスポーツだっけ…？」</v>
      </c>
      <c r="W1579" s="14"/>
      <c r="X1579" s="14" t="str">
        <f>IFERROR(__xludf.DUMMYFUNCTION("""COMPUTED_VALUE"""),"有")</f>
        <v>有</v>
      </c>
      <c r="Y1579" s="8" t="str">
        <f>IFERROR(__xludf.DUMMYFUNCTION("""COMPUTED_VALUE"""),"P31まで")</f>
        <v>P31まで</v>
      </c>
      <c r="Z1579" s="7"/>
      <c r="AA1579" s="7"/>
      <c r="AB1579" s="7"/>
    </row>
    <row r="1580" ht="15.75" customHeight="1">
      <c r="A1580" s="26">
        <f>IFERROR(__xludf.DUMMYFUNCTION("""COMPUTED_VALUE"""),3498.0)</f>
        <v>3498</v>
      </c>
      <c r="B1580" s="31" t="str">
        <f>IFERROR(__xludf.DUMMYFUNCTION("""COMPUTED_VALUE"""),"確定")</f>
        <v>確定</v>
      </c>
      <c r="C1580" s="28">
        <f>IFERROR(__xludf.DUMMYFUNCTION("""COMPUTED_VALUE"""),45436.0)</f>
        <v>45436</v>
      </c>
      <c r="D1580" s="28">
        <f>IFERROR(__xludf.DUMMYFUNCTION("""COMPUTED_VALUE"""),45440.0)</f>
        <v>45440</v>
      </c>
      <c r="E1580" s="31">
        <f>IFERROR(__xludf.DUMMYFUNCTION("""COMPUTED_VALUE"""),295224.0)</f>
        <v>295224</v>
      </c>
      <c r="F1580" s="31" t="str">
        <f>IFERROR(__xludf.DUMMYFUNCTION("""COMPUTED_VALUE"""),"熱い恋を求めていたら年下男子に求められました")</f>
        <v>熱い恋を求めていたら年下男子に求められました</v>
      </c>
      <c r="G1580" s="11" t="str">
        <f>IFERROR(__xludf.DUMMYFUNCTION("""COMPUTED_VALUE"""),"1～4")</f>
        <v>1～4</v>
      </c>
      <c r="H1580" s="31" t="str">
        <f>IFERROR(__xludf.DUMMYFUNCTION("""COMPUTED_VALUE"""),"小宮山ちい")</f>
        <v>小宮山ちい</v>
      </c>
      <c r="I1580" s="31" t="str">
        <f>IFERROR(__xludf.DUMMYFUNCTION("""COMPUTED_VALUE"""),"女性")</f>
        <v>女性</v>
      </c>
      <c r="J1580" s="31"/>
      <c r="K1580" s="31"/>
      <c r="L1580" s="31" t="str">
        <f>IFERROR(__xludf.DUMMYFUNCTION("""COMPUTED_VALUE"""),"ファンギルド")</f>
        <v>ファンギルド</v>
      </c>
      <c r="M1580" s="23">
        <f>IFERROR(__xludf.DUMMYFUNCTION("""COMPUTED_VALUE"""),45469.0)</f>
        <v>45469</v>
      </c>
      <c r="N1580" s="23">
        <f>IFERROR(__xludf.DUMMYFUNCTION("""COMPUTED_VALUE"""),45496.0)</f>
        <v>45496</v>
      </c>
      <c r="O1580" s="20"/>
      <c r="P1580" s="32" t="str">
        <f>IFERROR(__xludf.DUMMYFUNCTION("""COMPUTED_VALUE"""),"可")</f>
        <v>可</v>
      </c>
      <c r="Q1580" s="30"/>
      <c r="R1580" s="31"/>
      <c r="S1580" s="31" t="str">
        <f>IFERROR(__xludf.DUMMYFUNCTION("""COMPUTED_VALUE"""),"20240527_ファンギルド_熱い恋を求めていたら年下男子に求められました")</f>
        <v>20240527_ファンギルド_熱い恋を求めていたら年下男子に求められました</v>
      </c>
      <c r="T1580" s="31" t="str">
        <f>IFERROR(__xludf.DUMMYFUNCTION("""COMPUTED_VALUE"""),"格納済み")</f>
        <v>格納済み</v>
      </c>
      <c r="U1580" s="15" t="str">
        <f>IFERROR(__xludf.DUMMYFUNCTION("""COMPUTED_VALUE"""),"©小宮山ちい/ファンギルド")</f>
        <v>©小宮山ちい/ファンギルド</v>
      </c>
      <c r="V1580" s="8" t="str">
        <f>IFERROR(__xludf.DUMMYFUNCTION("""COMPUTED_VALUE"""),"「もう一度、燃えるような熱い恋がしたい。でも、勇気も希望も無くて――」。恋人に捨てられたことで、恋に対して臆病になってしまった女性（桐本真希）の前に現れたのは、年下のニヒルな男性（松岡樹生）。最初は、単なる部下として接していた真希だったが、樹生のさりげない仕草や、時に積極的な行動に、いつの間にか恋に落ちている自分に気づく。「もしかしたら、私にもまだ恋ができるかも…」そう思っていた矢先、海外赴任から帰ってきた元カレに、「僕ともう一度やり直してほしい」と情熱的な告白をされてしまい――！？突然の出来事に彼女の取"&amp;"った行動は…？")</f>
        <v>「もう一度、燃えるような熱い恋がしたい。でも、勇気も希望も無くて――」。恋人に捨てられたことで、恋に対して臆病になってしまった女性（桐本真希）の前に現れたのは、年下のニヒルな男性（松岡樹生）。最初は、単なる部下として接していた真希だったが、樹生のさりげない仕草や、時に積極的な行動に、いつの間にか恋に落ちている自分に気づく。「もしかしたら、私にもまだ恋ができるかも…」そう思っていた矢先、海外赴任から帰ってきた元カレに、「僕ともう一度やり直してほしい」と情熱的な告白をされてしまい――！？突然の出来事に彼女の取った行動は…？</v>
      </c>
      <c r="W1580" s="14"/>
      <c r="X1580" s="14" t="str">
        <f>IFERROR(__xludf.DUMMYFUNCTION("""COMPUTED_VALUE"""),"有")</f>
        <v>有</v>
      </c>
      <c r="Y1580" s="8" t="str">
        <f>IFERROR(__xludf.DUMMYFUNCTION("""COMPUTED_VALUE"""),"2024/7/9まで1巻無料")</f>
        <v>2024/7/9まで1巻無料</v>
      </c>
      <c r="Z1580" s="7"/>
      <c r="AA1580" s="7"/>
      <c r="AB1580" s="7"/>
    </row>
    <row r="1581" ht="15.75" customHeight="1">
      <c r="A1581" s="26">
        <f>IFERROR(__xludf.DUMMYFUNCTION("""COMPUTED_VALUE"""),3505.0)</f>
        <v>3505</v>
      </c>
      <c r="B1581" s="31" t="str">
        <f>IFERROR(__xludf.DUMMYFUNCTION("""COMPUTED_VALUE"""),"確定")</f>
        <v>確定</v>
      </c>
      <c r="C1581" s="28">
        <f>IFERROR(__xludf.DUMMYFUNCTION("""COMPUTED_VALUE"""),45439.0)</f>
        <v>45439</v>
      </c>
      <c r="D1581" s="28">
        <f>IFERROR(__xludf.DUMMYFUNCTION("""COMPUTED_VALUE"""),45440.0)</f>
        <v>45440</v>
      </c>
      <c r="E1581" s="31">
        <f>IFERROR(__xludf.DUMMYFUNCTION("""COMPUTED_VALUE"""),295279.0)</f>
        <v>295279</v>
      </c>
      <c r="F1581" s="31" t="str">
        <f>IFERROR(__xludf.DUMMYFUNCTION("""COMPUTED_VALUE"""),"黒翼の皇帝は塔の上の忌み聖女を溺愛する")</f>
        <v>黒翼の皇帝は塔の上の忌み聖女を溺愛する</v>
      </c>
      <c r="G1581" s="53" t="str">
        <f>IFERROR(__xludf.DUMMYFUNCTION("""COMPUTED_VALUE"""),"1～5")</f>
        <v>1～5</v>
      </c>
      <c r="H1581" s="52" t="str">
        <f>IFERROR(__xludf.DUMMYFUNCTION("""COMPUTED_VALUE"""),"原作／編乃肌　ネーム／卯月ヲボエ　作画／たなか	")</f>
        <v>原作／編乃肌　ネーム／卯月ヲボエ　作画／たなか	</v>
      </c>
      <c r="I1581" s="31" t="str">
        <f>IFERROR(__xludf.DUMMYFUNCTION("""COMPUTED_VALUE"""),"少女")</f>
        <v>少女</v>
      </c>
      <c r="J1581" s="31"/>
      <c r="K1581" s="31"/>
      <c r="L1581" s="31" t="str">
        <f>IFERROR(__xludf.DUMMYFUNCTION("""COMPUTED_VALUE"""),"taskey")</f>
        <v>taskey</v>
      </c>
      <c r="M1581" s="47">
        <f>IFERROR(__xludf.DUMMYFUNCTION("""COMPUTED_VALUE"""),45464.0)</f>
        <v>45464</v>
      </c>
      <c r="N1581" s="47">
        <f>IFERROR(__xludf.DUMMYFUNCTION("""COMPUTED_VALUE"""),2958465.0)</f>
        <v>2958465</v>
      </c>
      <c r="O1581" s="20"/>
      <c r="P1581" s="34" t="str">
        <f>IFERROR(__xludf.DUMMYFUNCTION("""COMPUTED_VALUE"""),"可")</f>
        <v>可</v>
      </c>
      <c r="Q1581" s="30" t="str">
        <f>IFERROR(__xludf.DUMMYFUNCTION("""COMPUTED_VALUE"""),"・協業作品
コミックシーモア × comic フローリア
・配信日合わせのキャンペーンを実施予定です。（そのため配信開始日調整中）")</f>
        <v>・協業作品
コミックシーモア × comic フローリア
・配信日合わせのキャンペーンを実施予定です。（そのため配信開始日調整中）</v>
      </c>
      <c r="R1581" s="31"/>
      <c r="S1581" s="31" t="str">
        <f>IFERROR(__xludf.DUMMYFUNCTION("""COMPUTED_VALUE"""),"20240527_taskey_黒翼の皇帝は塔の上の忌み聖女を溺愛する")</f>
        <v>20240527_taskey_黒翼の皇帝は塔の上の忌み聖女を溺愛する</v>
      </c>
      <c r="T1581" s="31" t="str">
        <f>IFERROR(__xludf.DUMMYFUNCTION("""COMPUTED_VALUE"""),"格納済み")</f>
        <v>格納済み</v>
      </c>
      <c r="U1581" s="15" t="str">
        <f>IFERROR(__xludf.DUMMYFUNCTION("""COMPUTED_VALUE"""),"©︎taskey　原作／編乃肌　ネーム／卯月ヲボエ　作画／たなか")</f>
        <v>©︎taskey　原作／編乃肌　ネーム／卯月ヲボエ　作画／たなか</v>
      </c>
      <c r="V1581" s="8" t="str">
        <f>IFERROR(__xludf.DUMMYFUNCTION("""COMPUTED_VALUE"""),"過去に存在した『呪いの魔女』に似た髪色と目のせいで、忌み子として扱われ、下界から切り離された高い塔の上で閉じ込められて育ってきたドロナード王国の第一王女・リーシャナ。ある晩、妹・ミリーナに貶められ、偽りの罪を着せられるとともに処刑が決まる。死を覚悟したその時。空から助けに来てくれたのは、冷酷無慈悲と噂されるディアロ帝国の皇帝・ディセルだった——。")</f>
        <v>過去に存在した『呪いの魔女』に似た髪色と目のせいで、忌み子として扱われ、下界から切り離された高い塔の上で閉じ込められて育ってきたドロナード王国の第一王女・リーシャナ。ある晩、妹・ミリーナに貶められ、偽りの罪を着せられるとともに処刑が決まる。死を覚悟したその時。空から助けに来てくれたのは、冷酷無慈悲と噂されるディアロ帝国の皇帝・ディセルだった——。</v>
      </c>
      <c r="W1581" s="14"/>
      <c r="X1581" s="14" t="str">
        <f>IFERROR(__xludf.DUMMYFUNCTION("""COMPUTED_VALUE"""),"有")</f>
        <v>有</v>
      </c>
      <c r="Y1581" s="8" t="str">
        <f>IFERROR(__xludf.DUMMYFUNCTION("""COMPUTED_VALUE"""),"1巻無料")</f>
        <v>1巻無料</v>
      </c>
      <c r="Z1581" s="7"/>
      <c r="AA1581" s="7"/>
      <c r="AB1581" s="7"/>
    </row>
    <row r="1582" ht="15.75" customHeight="1">
      <c r="A1582" s="26">
        <f>IFERROR(__xludf.DUMMYFUNCTION("""COMPUTED_VALUE"""),3537.0)</f>
        <v>3537</v>
      </c>
      <c r="B1582" s="31" t="str">
        <f>IFERROR(__xludf.DUMMYFUNCTION("""COMPUTED_VALUE"""),"確定")</f>
        <v>確定</v>
      </c>
      <c r="C1582" s="28">
        <f>IFERROR(__xludf.DUMMYFUNCTION("""COMPUTED_VALUE"""),45440.0)</f>
        <v>45440</v>
      </c>
      <c r="D1582" s="28">
        <f>IFERROR(__xludf.DUMMYFUNCTION("""COMPUTED_VALUE"""),45441.0)</f>
        <v>45441</v>
      </c>
      <c r="E1582" s="31">
        <f>IFERROR(__xludf.DUMMYFUNCTION("""COMPUTED_VALUE"""),295390.0)</f>
        <v>295390</v>
      </c>
      <c r="F1582" s="31" t="str">
        <f>IFERROR(__xludf.DUMMYFUNCTION("""COMPUTED_VALUE"""),"捨てられた令嬢は、いつの間にかに拾われる～隣国で王太子に溺愛されてます～（単話版）")</f>
        <v>捨てられた令嬢は、いつの間にかに拾われる～隣国で王太子に溺愛されてます～（単話版）</v>
      </c>
      <c r="G1582" s="20" t="str">
        <f>IFERROR(__xludf.DUMMYFUNCTION("""COMPUTED_VALUE"""),"1～6")</f>
        <v>1～6</v>
      </c>
      <c r="H1582" s="31" t="str">
        <f>IFERROR(__xludf.DUMMYFUNCTION("""COMPUTED_VALUE"""),"采池たく也・吉高花・兎原シイタ")</f>
        <v>采池たく也・吉高花・兎原シイタ</v>
      </c>
      <c r="I1582" s="31" t="str">
        <f>IFERROR(__xludf.DUMMYFUNCTION("""COMPUTED_VALUE"""),"少女")</f>
        <v>少女</v>
      </c>
      <c r="J1582" s="31"/>
      <c r="K1582" s="31"/>
      <c r="L1582" s="31" t="str">
        <f>IFERROR(__xludf.DUMMYFUNCTION("""COMPUTED_VALUE"""),"フレックスコミックス")</f>
        <v>フレックスコミックス</v>
      </c>
      <c r="M1582" s="23">
        <f>IFERROR(__xludf.DUMMYFUNCTION("""COMPUTED_VALUE"""),45462.0)</f>
        <v>45462</v>
      </c>
      <c r="N1582" s="23">
        <f>IFERROR(__xludf.DUMMYFUNCTION("""COMPUTED_VALUE"""),45484.0)</f>
        <v>45484</v>
      </c>
      <c r="O1582" s="20"/>
      <c r="P1582" s="34" t="str">
        <f>IFERROR(__xludf.DUMMYFUNCTION("""COMPUTED_VALUE"""),"否")</f>
        <v>否</v>
      </c>
      <c r="Q1582" s="30" t="str">
        <f>IFERROR(__xludf.DUMMYFUNCTION("""COMPUTED_VALUE"""),"BookLive先行配信作品の2次先行かつ、先行期間が1か月未満（単行本配信の関係）と厳しいかと思いますが可能であれば出稿お願いします（2話無料も実施します）")</f>
        <v>BookLive先行配信作品の2次先行かつ、先行期間が1か月未満（単行本配信の関係）と厳しいかと思いますが可能であれば出稿お願いします（2話無料も実施します）</v>
      </c>
      <c r="R1582" s="31"/>
      <c r="S1582" s="31" t="str">
        <f>IFERROR(__xludf.DUMMYFUNCTION("""COMPUTED_VALUE"""),"20240528_フレックスコミックス_捨てられた令嬢は、いつの間にかに拾われる～隣国で王太子に溺愛されてます～（単話版）")</f>
        <v>20240528_フレックスコミックス_捨てられた令嬢は、いつの間にかに拾われる～隣国で王太子に溺愛されてます～（単話版）</v>
      </c>
      <c r="T1582" s="31" t="str">
        <f>IFERROR(__xludf.DUMMYFUNCTION("""COMPUTED_VALUE"""),"格納済み")</f>
        <v>格納済み</v>
      </c>
      <c r="U1582" s="15" t="str">
        <f>IFERROR(__xludf.DUMMYFUNCTION("""COMPUTED_VALUE"""),"(C)采池たく也 (C)吉高花 (C)兎原シイタ／フレックスコミックス")</f>
        <v>(C)采池たく也 (C)吉高花 (C)兎原シイタ／フレックスコミックス</v>
      </c>
      <c r="V1582" s="8" t="str">
        <f>IFERROR(__xludf.DUMMYFUNCTION("""COMPUTED_VALUE"""),"不憫な令嬢×策士で一途な王太子のむずきゅん溺愛ラブロマンス！ 「君との婚約はなしだ」侯爵令嬢のアーニヤはある日、第二王子から婚約破棄を告げられる。両親からは謹慎を言い渡され、家に引きこもる日々。そこへ、美青年に成長した幼なじみ・リックが訪ねてきてーー？ 彼との再会でアーニヤの運命が大きく動き出す！ 婚約破棄された令嬢が、どん底から大国の王妃になるサクセス・ラブストーリー!! (C)采池たく也 (C)吉高花 (C)兎原シイタ／フレックスコミックス")</f>
        <v>不憫な令嬢×策士で一途な王太子のむずきゅん溺愛ラブロマンス！ 「君との婚約はなしだ」侯爵令嬢のアーニヤはある日、第二王子から婚約破棄を告げられる。両親からは謹慎を言い渡され、家に引きこもる日々。そこへ、美青年に成長した幼なじみ・リックが訪ねてきてーー？ 彼との再会でアーニヤの運命が大きく動き出す！ 婚約破棄された令嬢が、どん底から大国の王妃になるサクセス・ラブストーリー!! (C)采池たく也 (C)吉高花 (C)兎原シイタ／フレックスコミックス</v>
      </c>
      <c r="W1582" s="14"/>
      <c r="X1582" s="14" t="str">
        <f>IFERROR(__xludf.DUMMYFUNCTION("""COMPUTED_VALUE"""),"有")</f>
        <v>有</v>
      </c>
      <c r="Y1582" s="8" t="str">
        <f>IFERROR(__xludf.DUMMYFUNCTION("""COMPUTED_VALUE"""),"2024/7/11まで1～2巻無料")</f>
        <v>2024/7/11まで1～2巻無料</v>
      </c>
      <c r="Z1582" s="7"/>
      <c r="AA1582" s="7"/>
      <c r="AB1582" s="7"/>
    </row>
    <row r="1583" ht="15.75" customHeight="1">
      <c r="A1583" s="26">
        <f>IFERROR(__xludf.DUMMYFUNCTION("""COMPUTED_VALUE"""),3540.0)</f>
        <v>3540</v>
      </c>
      <c r="B1583" s="31" t="str">
        <f>IFERROR(__xludf.DUMMYFUNCTION("""COMPUTED_VALUE"""),"確定")</f>
        <v>確定</v>
      </c>
      <c r="C1583" s="28">
        <f>IFERROR(__xludf.DUMMYFUNCTION("""COMPUTED_VALUE"""),45440.0)</f>
        <v>45440</v>
      </c>
      <c r="D1583" s="28">
        <f>IFERROR(__xludf.DUMMYFUNCTION("""COMPUTED_VALUE"""),45441.0)</f>
        <v>45441</v>
      </c>
      <c r="E1583" s="31">
        <f>IFERROR(__xludf.DUMMYFUNCTION("""COMPUTED_VALUE"""),295467.0)</f>
        <v>295467</v>
      </c>
      <c r="F1583" s="52" t="str">
        <f>IFERROR(__xludf.DUMMYFUNCTION("""COMPUTED_VALUE"""),"友達 -終わらないセックス、全てはトモダチのため…-")</f>
        <v>友達 -終わらないセックス、全てはトモダチのため…-</v>
      </c>
      <c r="G1583" s="11" t="str">
        <f>IFERROR(__xludf.DUMMYFUNCTION("""COMPUTED_VALUE"""),"1～2")</f>
        <v>1～2</v>
      </c>
      <c r="H1583" s="31" t="str">
        <f>IFERROR(__xludf.DUMMYFUNCTION("""COMPUTED_VALUE"""),"「タカシ」")</f>
        <v>「タカシ」</v>
      </c>
      <c r="I1583" s="31" t="str">
        <f>IFERROR(__xludf.DUMMYFUNCTION("""COMPUTED_VALUE"""),"オトナ")</f>
        <v>オトナ</v>
      </c>
      <c r="J1583" s="31"/>
      <c r="K1583" s="31"/>
      <c r="L1583" s="31" t="str">
        <f>IFERROR(__xludf.DUMMYFUNCTION("""COMPUTED_VALUE"""),"ナイトコミック")</f>
        <v>ナイトコミック</v>
      </c>
      <c r="M1583" s="23">
        <f>IFERROR(__xludf.DUMMYFUNCTION("""COMPUTED_VALUE"""),45471.0)</f>
        <v>45471</v>
      </c>
      <c r="N1583" s="23">
        <f>IFERROR(__xludf.DUMMYFUNCTION("""COMPUTED_VALUE"""),45533.0)</f>
        <v>45533</v>
      </c>
      <c r="O1583" s="20"/>
      <c r="P1583" s="34" t="str">
        <f>IFERROR(__xludf.DUMMYFUNCTION("""COMPUTED_VALUE"""),"可")</f>
        <v>可</v>
      </c>
      <c r="Q1583" s="30" t="str">
        <f>IFERROR(__xludf.DUMMYFUNCTION("""COMPUTED_VALUE"""),"出稿確約不要で先行いただけましたので、可能であれば出稿お願いします。")</f>
        <v>出稿確約不要で先行いただけましたので、可能であれば出稿お願いします。</v>
      </c>
      <c r="R1583" s="31"/>
      <c r="S1583" s="31" t="str">
        <f>IFERROR(__xludf.DUMMYFUNCTION("""COMPUTED_VALUE"""),"20240528_ナイトコミック_友達")</f>
        <v>20240528_ナイトコミック_友達</v>
      </c>
      <c r="T1583" s="31" t="str">
        <f>IFERROR(__xludf.DUMMYFUNCTION("""COMPUTED_VALUE"""),"格納済み")</f>
        <v>格納済み</v>
      </c>
      <c r="U1583" s="15" t="str">
        <f>IFERROR(__xludf.DUMMYFUNCTION("""COMPUTED_VALUE"""),"©「タカシ」")</f>
        <v>©「タカシ」</v>
      </c>
      <c r="V1583" s="8" t="str">
        <f>IFERROR(__xludf.DUMMYFUNCTION("""COMPUTED_VALUE"""),"「自分を変えたい」そう思った佳苗は、サークルの新歓コンパに参加していた。なんとか気の合う人を見つけ楽しんでいると、突然眠気に襲われる。…佳苗は目を覚ますと男達に囲まれていた。居酒屋の片隅で秘部を露出してなぶられている自分。恥ずかしさと恐ろしさに必死に抵抗するも、意識が朦朧としたままカラダも心も蹂躙され…。だが、それから一年後、佳苗は大きく変わっていた。何よりも大切な「友達」ができその影響で以前とはまるで違う自信満々な姿をしている。今の佳苗には1年前の男達にも負けないほどの心の強さがある…はずだった。「友達"&amp;"」に近づいた男に一矢報いようとする佳苗だが、男達は一枚うわてだった。佳苗は終わりのない凌辱にさらされることになる…。")</f>
        <v>「自分を変えたい」そう思った佳苗は、サークルの新歓コンパに参加していた。なんとか気の合う人を見つけ楽しんでいると、突然眠気に襲われる。…佳苗は目を覚ますと男達に囲まれていた。居酒屋の片隅で秘部を露出してなぶられている自分。恥ずかしさと恐ろしさに必死に抵抗するも、意識が朦朧としたままカラダも心も蹂躙され…。だが、それから一年後、佳苗は大きく変わっていた。何よりも大切な「友達」ができその影響で以前とはまるで違う自信満々な姿をしている。今の佳苗には1年前の男達にも負けないほどの心の強さがある…はずだった。「友達」に近づいた男に一矢報いようとする佳苗だが、男達は一枚うわてだった。佳苗は終わりのない凌辱にさらされることになる…。</v>
      </c>
      <c r="W1583" s="14"/>
      <c r="X1583" s="14" t="str">
        <f>IFERROR(__xludf.DUMMYFUNCTION("""COMPUTED_VALUE"""),"有")</f>
        <v>有</v>
      </c>
      <c r="Y1583" s="8" t="str">
        <f>IFERROR(__xludf.DUMMYFUNCTION("""COMPUTED_VALUE"""),"P13まで")</f>
        <v>P13まで</v>
      </c>
      <c r="Z1583" s="7"/>
      <c r="AA1583" s="7"/>
      <c r="AB1583" s="7"/>
    </row>
    <row r="1584" ht="15.75" customHeight="1">
      <c r="A1584" s="26">
        <f>IFERROR(__xludf.DUMMYFUNCTION("""COMPUTED_VALUE"""),3151.0)</f>
        <v>3151</v>
      </c>
      <c r="B1584" s="31" t="str">
        <f>IFERROR(__xludf.DUMMYFUNCTION("""COMPUTED_VALUE"""),"確定")</f>
        <v>確定</v>
      </c>
      <c r="C1584" s="28">
        <f>IFERROR(__xludf.DUMMYFUNCTION("""COMPUTED_VALUE"""),45373.0)</f>
        <v>45373</v>
      </c>
      <c r="D1584" s="28">
        <f>IFERROR(__xludf.DUMMYFUNCTION("""COMPUTED_VALUE"""),45447.0)</f>
        <v>45447</v>
      </c>
      <c r="E1584" s="31">
        <f>IFERROR(__xludf.DUMMYFUNCTION("""COMPUTED_VALUE"""),293433.0)</f>
        <v>293433</v>
      </c>
      <c r="F1584" s="31" t="str">
        <f>IFERROR(__xludf.DUMMYFUNCTION("""COMPUTED_VALUE"""),"まいりましたと言わせたい[1話売り]")</f>
        <v>まいりましたと言わせたい[1話売り]</v>
      </c>
      <c r="G1584" s="11" t="str">
        <f>IFERROR(__xludf.DUMMYFUNCTION("""COMPUTED_VALUE"""),"1～4")</f>
        <v>1～4</v>
      </c>
      <c r="H1584" s="31" t="str">
        <f>IFERROR(__xludf.DUMMYFUNCTION("""COMPUTED_VALUE"""),"あきもと明希")</f>
        <v>あきもと明希</v>
      </c>
      <c r="I1584" s="31" t="str">
        <f>IFERROR(__xludf.DUMMYFUNCTION("""COMPUTED_VALUE"""),"少女")</f>
        <v>少女</v>
      </c>
      <c r="J1584" s="31"/>
      <c r="K1584" s="31"/>
      <c r="L1584" s="31" t="str">
        <f>IFERROR(__xludf.DUMMYFUNCTION("""COMPUTED_VALUE"""),"白泉社")</f>
        <v>白泉社</v>
      </c>
      <c r="M1584" s="23">
        <f>IFERROR(__xludf.DUMMYFUNCTION("""COMPUTED_VALUE"""),45451.0)</f>
        <v>45451</v>
      </c>
      <c r="N1584" s="23">
        <f>IFERROR(__xludf.DUMMYFUNCTION("""COMPUTED_VALUE"""),45512.0)</f>
        <v>45512</v>
      </c>
      <c r="O1584" s="20"/>
      <c r="P1584" s="34" t="str">
        <f>IFERROR(__xludf.DUMMYFUNCTION("""COMPUTED_VALUE"""),"否")</f>
        <v>否</v>
      </c>
      <c r="Q1584" s="30" t="str">
        <f>IFERROR(__xludf.DUMMYFUNCTION("""COMPUTED_VALUE"""),"広告コミットOK(3/27)")</f>
        <v>広告コミットOK(3/27)</v>
      </c>
      <c r="R1584" s="31"/>
      <c r="S1584" s="31" t="str">
        <f>IFERROR(__xludf.DUMMYFUNCTION("""COMPUTED_VALUE"""),"20240604_白泉社_まいりましたと言わせたい")</f>
        <v>20240604_白泉社_まいりましたと言わせたい</v>
      </c>
      <c r="T1584" s="31" t="str">
        <f>IFERROR(__xludf.DUMMYFUNCTION("""COMPUTED_VALUE"""),"格納済み")</f>
        <v>格納済み</v>
      </c>
      <c r="U1584" s="15" t="str">
        <f>IFERROR(__xludf.DUMMYFUNCTION("""COMPUTED_VALUE"""),"Ⓒあきもと明希/白泉社")</f>
        <v>Ⓒあきもと明希/白泉社</v>
      </c>
      <c r="V1584" s="8" t="str">
        <f>IFERROR(__xludf.DUMMYFUNCTION("""COMPUTED_VALUE"""),"恋愛激弱女子×片思い愛重男子、こじらせ男女のハニートラップ対決！代々争い続ける常森組と綿貫組。次世代代表として、紅緒と那由多はハニトラ対決（＆同居）することに。真面目な紅緒は、あの手この手でメロメロ作戦を決行するが、那由多にときめかされてしまう。でも実は那由多は昔から紅緒に片思い中で!?　どうなる、勝負の行方！(この話は、【電子版】LaLa 2月号（2024年）に収録されています。)")</f>
        <v>恋愛激弱女子×片思い愛重男子、こじらせ男女のハニートラップ対決！代々争い続ける常森組と綿貫組。次世代代表として、紅緒と那由多はハニトラ対決（＆同居）することに。真面目な紅緒は、あの手この手でメロメロ作戦を決行するが、那由多にときめかされてしまう。でも実は那由多は昔から紅緒に片思い中で!?　どうなる、勝負の行方！(この話は、【電子版】LaLa 2月号（2024年）に収録されています。)</v>
      </c>
      <c r="W1584" s="14"/>
      <c r="X1584" s="14" t="str">
        <f>IFERROR(__xludf.DUMMYFUNCTION("""COMPUTED_VALUE"""),"有")</f>
        <v>有</v>
      </c>
      <c r="Y1584" s="8" t="str">
        <f>IFERROR(__xludf.DUMMYFUNCTION("""COMPUTED_VALUE"""),"2024/6/21まで1巻無料")</f>
        <v>2024/6/21まで1巻無料</v>
      </c>
      <c r="Z1584" s="7"/>
      <c r="AA1584" s="7"/>
      <c r="AB1584" s="7"/>
    </row>
    <row r="1585" ht="15.75" customHeight="1">
      <c r="A1585" s="26">
        <f>IFERROR(__xludf.DUMMYFUNCTION("""COMPUTED_VALUE"""),3345.0)</f>
        <v>3345</v>
      </c>
      <c r="B1585" s="31" t="str">
        <f>IFERROR(__xludf.DUMMYFUNCTION("""COMPUTED_VALUE"""),"確定")</f>
        <v>確定</v>
      </c>
      <c r="C1585" s="28">
        <f>IFERROR(__xludf.DUMMYFUNCTION("""COMPUTED_VALUE"""),45408.0)</f>
        <v>45408</v>
      </c>
      <c r="D1585" s="28">
        <f>IFERROR(__xludf.DUMMYFUNCTION("""COMPUTED_VALUE"""),45447.0)</f>
        <v>45447</v>
      </c>
      <c r="E1585" s="31">
        <f>IFERROR(__xludf.DUMMYFUNCTION("""COMPUTED_VALUE"""),297453.0)</f>
        <v>297453</v>
      </c>
      <c r="F1585" s="31" t="str">
        <f>IFERROR(__xludf.DUMMYFUNCTION("""COMPUTED_VALUE"""),"冷酷王子の優しい溺愛～どん底の私を拾ってくれたのは有名な御曹司でした～")</f>
        <v>冷酷王子の優しい溺愛～どん底の私を拾ってくれたのは有名な御曹司でした～</v>
      </c>
      <c r="G1585" s="20" t="str">
        <f>IFERROR(__xludf.DUMMYFUNCTION("""COMPUTED_VALUE"""),"1～3")</f>
        <v>1～3</v>
      </c>
      <c r="H1585" s="31" t="str">
        <f>IFERROR(__xludf.DUMMYFUNCTION("""COMPUTED_VALUE"""),"作画：桜井ゆき 原作：岡本梨紅")</f>
        <v>作画：桜井ゆき 原作：岡本梨紅</v>
      </c>
      <c r="I1585" s="31" t="str">
        <f>IFERROR(__xludf.DUMMYFUNCTION("""COMPUTED_VALUE"""),"女性")</f>
        <v>女性</v>
      </c>
      <c r="J1585" s="31"/>
      <c r="K1585" s="31"/>
      <c r="L1585" s="31" t="str">
        <f>IFERROR(__xludf.DUMMYFUNCTION("""COMPUTED_VALUE"""),"DPNブックス")</f>
        <v>DPNブックス</v>
      </c>
      <c r="M1585" s="59">
        <f>IFERROR(__xludf.DUMMYFUNCTION("""COMPUTED_VALUE"""),45497.0)</f>
        <v>45497</v>
      </c>
      <c r="N1585" s="59">
        <f>IFERROR(__xludf.DUMMYFUNCTION("""COMPUTED_VALUE"""),45557.0)</f>
        <v>45557</v>
      </c>
      <c r="O1585" s="20"/>
      <c r="P1585" s="34" t="str">
        <f>IFERROR(__xludf.DUMMYFUNCTION("""COMPUTED_VALUE"""),"可")</f>
        <v>可</v>
      </c>
      <c r="Q1585" s="30" t="str">
        <f>IFERROR(__xludf.DUMMYFUNCTION("""COMPUTED_VALUE"""),"広告コミットOK（5/9）")</f>
        <v>広告コミットOK（5/9）</v>
      </c>
      <c r="R1585" s="52"/>
      <c r="S1585" s="31" t="str">
        <f>IFERROR(__xludf.DUMMYFUNCTION("""COMPUTED_VALUE"""),"20240703_DPNブックス_冷酷王子の優しい溺愛～どん底の私を拾ってくれたのは有名な御曹司でした～")</f>
        <v>20240703_DPNブックス_冷酷王子の優しい溺愛～どん底の私を拾ってくれたのは有名な御曹司でした～</v>
      </c>
      <c r="T1585" s="31" t="str">
        <f>IFERROR(__xludf.DUMMYFUNCTION("""COMPUTED_VALUE"""),"格納済み")</f>
        <v>格納済み</v>
      </c>
      <c r="U1585" s="15" t="str">
        <f>IFERROR(__xludf.DUMMYFUNCTION("""COMPUTED_VALUE"""),"©桜井ゆき・岡本梨紅／DPNブックス")</f>
        <v>©桜井ゆき・岡本梨紅／DPNブックス</v>
      </c>
      <c r="V1585" s="8" t="str">
        <f>IFERROR(__xludf.DUMMYFUNCTION("""COMPUTED_VALUE"""),"妹を溺愛する家族から、不遇な扱いを受けてきた姉・香織。唯一、 心の支えだった婚約者まで妹に略奪されてしまう。絶望の中、家出をした香織は「冷酷王子」で有名な御曹司・慶に救われ、住み込みで家事をすることになる。共同生活で互いの意外な一面が見えていき、気になる存在になっていく。そんな中、慶に望まぬお見合い話が舞い込み、香織が偽の婚約者になることに！？「冷酷王子」に溺愛される胸キュン シンデレラストーリー！")</f>
        <v>妹を溺愛する家族から、不遇な扱いを受けてきた姉・香織。唯一、 心の支えだった婚約者まで妹に略奪されてしまう。絶望の中、家出をした香織は「冷酷王子」で有名な御曹司・慶に救われ、住み込みで家事をすることになる。共同生活で互いの意外な一面が見えていき、気になる存在になっていく。そんな中、慶に望まぬお見合い話が舞い込み、香織が偽の婚約者になることに！？「冷酷王子」に溺愛される胸キュン シンデレラストーリー！</v>
      </c>
      <c r="W1585" s="14"/>
      <c r="X1585" s="14" t="str">
        <f>IFERROR(__xludf.DUMMYFUNCTION("""COMPUTED_VALUE"""),"有")</f>
        <v>有</v>
      </c>
      <c r="Y1585" s="8" t="str">
        <f>IFERROR(__xludf.DUMMYFUNCTION("""COMPUTED_VALUE"""),"P5まで")</f>
        <v>P5まで</v>
      </c>
      <c r="Z1585" s="7"/>
      <c r="AA1585" s="7"/>
      <c r="AB1585" s="7"/>
    </row>
    <row r="1586" ht="15.75" customHeight="1">
      <c r="A1586" s="26">
        <f>IFERROR(__xludf.DUMMYFUNCTION("""COMPUTED_VALUE"""),3355.0)</f>
        <v>3355</v>
      </c>
      <c r="B1586" s="31" t="str">
        <f>IFERROR(__xludf.DUMMYFUNCTION("""COMPUTED_VALUE"""),"確定")</f>
        <v>確定</v>
      </c>
      <c r="C1586" s="28">
        <f>IFERROR(__xludf.DUMMYFUNCTION("""COMPUTED_VALUE"""),45412.0)</f>
        <v>45412</v>
      </c>
      <c r="D1586" s="28">
        <f>IFERROR(__xludf.DUMMYFUNCTION("""COMPUTED_VALUE"""),45448.0)</f>
        <v>45448</v>
      </c>
      <c r="E1586" s="31">
        <f>IFERROR(__xludf.DUMMYFUNCTION("""COMPUTED_VALUE"""),295502.0)</f>
        <v>295502</v>
      </c>
      <c r="F1586" s="31" t="str">
        <f>IFERROR(__xludf.DUMMYFUNCTION("""COMPUTED_VALUE"""),"ピュア恋ビギンズ")</f>
        <v>ピュア恋ビギンズ</v>
      </c>
      <c r="G1586" s="20">
        <f>IFERROR(__xludf.DUMMYFUNCTION("""COMPUTED_VALUE"""),1.0)</f>
        <v>1</v>
      </c>
      <c r="H1586" s="31" t="str">
        <f>IFERROR(__xludf.DUMMYFUNCTION("""COMPUTED_VALUE"""),"藤江ひかり")</f>
        <v>藤江ひかり</v>
      </c>
      <c r="I1586" s="31" t="str">
        <f>IFERROR(__xludf.DUMMYFUNCTION("""COMPUTED_VALUE"""),"少女")</f>
        <v>少女</v>
      </c>
      <c r="J1586" s="31"/>
      <c r="K1586" s="31"/>
      <c r="L1586" s="31" t="str">
        <f>IFERROR(__xludf.DUMMYFUNCTION("""COMPUTED_VALUE"""),"集英社")</f>
        <v>集英社</v>
      </c>
      <c r="M1586" s="23">
        <f>IFERROR(__xludf.DUMMYFUNCTION("""COMPUTED_VALUE"""),45473.0)</f>
        <v>45473</v>
      </c>
      <c r="N1586" s="23">
        <f>IFERROR(__xludf.DUMMYFUNCTION("""COMPUTED_VALUE"""),45497.0)</f>
        <v>45497</v>
      </c>
      <c r="O1586" s="20"/>
      <c r="P1586" s="34" t="str">
        <f>IFERROR(__xludf.DUMMYFUNCTION("""COMPUTED_VALUE"""),"否")</f>
        <v>否</v>
      </c>
      <c r="Q1586" s="30" t="str">
        <f>IFERROR(__xludf.DUMMYFUNCTION("""COMPUTED_VALUE"""),"・掲載誌：別冊マーガレット&lt;BR&gt;・1巻完結")</f>
        <v>・掲載誌：別冊マーガレット&lt;BR&gt;・1巻完結</v>
      </c>
      <c r="R1586" s="31"/>
      <c r="S1586" s="31" t="str">
        <f>IFERROR(__xludf.DUMMYFUNCTION("""COMPUTED_VALUE"""),"20240604_集英社_ピュア恋ビギンズ")</f>
        <v>20240604_集英社_ピュア恋ビギンズ</v>
      </c>
      <c r="T1586" s="31" t="str">
        <f>IFERROR(__xludf.DUMMYFUNCTION("""COMPUTED_VALUE"""),"格納済み")</f>
        <v>格納済み</v>
      </c>
      <c r="U1586" s="15" t="str">
        <f>IFERROR(__xludf.DUMMYFUNCTION("""COMPUTED_VALUE"""),"(C)藤江ひかり／集英社	")</f>
        <v>(C)藤江ひかり／集英社	</v>
      </c>
      <c r="V1586" s="8" t="str">
        <f>IFERROR(__xludf.DUMMYFUNCTION("""COMPUTED_VALUE"""),"【恋は一途でピュアじゃないとダメ!?】はじめて付き合った彼女・夢芽（ゆめ）と初体験手前で別れることになった碧希（あき）。その後、お互いに別々の人と付き合ってきたけれど、夢芽の現在の彼は既婚者らしく……!?　『別冊マーガレット』で大好評だったやり直しラブストーリー！　描きおろしおまけページも収録。")</f>
        <v>【恋は一途でピュアじゃないとダメ!?】はじめて付き合った彼女・夢芽（ゆめ）と初体験手前で別れることになった碧希（あき）。その後、お互いに別々の人と付き合ってきたけれど、夢芽の現在の彼は既婚者らしく……!?　『別冊マーガレット』で大好評だったやり直しラブストーリー！　描きおろしおまけページも収録。</v>
      </c>
      <c r="W1586" s="14"/>
      <c r="X1586" s="14" t="str">
        <f>IFERROR(__xludf.DUMMYFUNCTION("""COMPUTED_VALUE"""),"有")</f>
        <v>有</v>
      </c>
      <c r="Y1586" s="8" t="str">
        <f>IFERROR(__xludf.DUMMYFUNCTION("""COMPUTED_VALUE"""),"P47まで")</f>
        <v>P47まで</v>
      </c>
      <c r="Z1586" s="7"/>
      <c r="AA1586" s="7"/>
      <c r="AB1586" s="7"/>
    </row>
    <row r="1587" ht="72.75" customHeight="1">
      <c r="A1587" s="26">
        <f>IFERROR(__xludf.DUMMYFUNCTION("""COMPUTED_VALUE"""),3356.0)</f>
        <v>3356</v>
      </c>
      <c r="B1587" s="31" t="str">
        <f>IFERROR(__xludf.DUMMYFUNCTION("""COMPUTED_VALUE"""),"確定")</f>
        <v>確定</v>
      </c>
      <c r="C1587" s="28">
        <f>IFERROR(__xludf.DUMMYFUNCTION("""COMPUTED_VALUE"""),45412.0)</f>
        <v>45412</v>
      </c>
      <c r="D1587" s="28">
        <f>IFERROR(__xludf.DUMMYFUNCTION("""COMPUTED_VALUE"""),45448.0)</f>
        <v>45448</v>
      </c>
      <c r="E1587" s="31">
        <f>IFERROR(__xludf.DUMMYFUNCTION("""COMPUTED_VALUE"""),295244.0)</f>
        <v>295244</v>
      </c>
      <c r="F1587" s="31" t="str">
        <f>IFERROR(__xludf.DUMMYFUNCTION("""COMPUTED_VALUE"""),"ムカつくアイツに恋を教える 分冊版")</f>
        <v>ムカつくアイツに恋を教える 分冊版</v>
      </c>
      <c r="G1587" s="20" t="str">
        <f>IFERROR(__xludf.DUMMYFUNCTION("""COMPUTED_VALUE"""),"1~6")</f>
        <v>1~6</v>
      </c>
      <c r="H1587" s="31" t="str">
        <f>IFERROR(__xludf.DUMMYFUNCTION("""COMPUTED_VALUE"""),"九野友莉")</f>
        <v>九野友莉</v>
      </c>
      <c r="I1587" s="52" t="str">
        <f>IFERROR(__xludf.DUMMYFUNCTION("""COMPUTED_VALUE"""),"BL")</f>
        <v>BL</v>
      </c>
      <c r="J1587" s="31"/>
      <c r="K1587" s="31"/>
      <c r="L1587" s="31" t="str">
        <f>IFERROR(__xludf.DUMMYFUNCTION("""COMPUTED_VALUE"""),"集英社")</f>
        <v>集英社</v>
      </c>
      <c r="M1587" s="23">
        <f>IFERROR(__xludf.DUMMYFUNCTION("""COMPUTED_VALUE"""),45468.0)</f>
        <v>45468</v>
      </c>
      <c r="N1587" s="23">
        <f>IFERROR(__xludf.DUMMYFUNCTION("""COMPUTED_VALUE"""),45497.0)</f>
        <v>45497</v>
      </c>
      <c r="O1587" s="20"/>
      <c r="P1587" s="34" t="str">
        <f>IFERROR(__xludf.DUMMYFUNCTION("""COMPUTED_VALUE"""),"否")</f>
        <v>否</v>
      </c>
      <c r="Q1587" s="30" t="str">
        <f>IFERROR(__xludf.DUMMYFUNCTION("""COMPUTED_VALUE"""),"・掲載誌：マンガMee&lt;BR&gt;・Xでの試し読みがバズりましたとのことです。")</f>
        <v>・掲載誌：マンガMee&lt;BR&gt;・Xでの試し読みがバズりましたとのことです。</v>
      </c>
      <c r="R1587" s="31"/>
      <c r="S1587" s="31" t="str">
        <f>IFERROR(__xludf.DUMMYFUNCTION("""COMPUTED_VALUE"""),"20240604_集英社_ムカつくアイツに恋を教える")</f>
        <v>20240604_集英社_ムカつくアイツに恋を教える</v>
      </c>
      <c r="T1587" s="31" t="str">
        <f>IFERROR(__xludf.DUMMYFUNCTION("""COMPUTED_VALUE"""),"格納済み")</f>
        <v>格納済み</v>
      </c>
      <c r="U1587" s="15" t="str">
        <f>IFERROR(__xludf.DUMMYFUNCTION("""COMPUTED_VALUE"""),"(C)九野友莉／集英社")</f>
        <v>(C)九野友莉／集英社</v>
      </c>
      <c r="V1587" s="8" t="str">
        <f>IFERROR(__xludf.DUMMYFUNCTION("""COMPUTED_VALUE"""),"大学2年生の陽助は、密かにBL作品を愛する男子大学生。ある日新刊を買いに行くと、いつもからかってくるイケメンの後輩・涼馬に遭遇してしまい大ピンチ!?　だけど涼馬の方にも秘密があって…？")</f>
        <v>大学2年生の陽助は、密かにBL作品を愛する男子大学生。ある日新刊を買いに行くと、いつもからかってくるイケメンの後輩・涼馬に遭遇してしまい大ピンチ!?　だけど涼馬の方にも秘密があって…？</v>
      </c>
      <c r="W1587" s="14"/>
      <c r="X1587" s="14" t="str">
        <f>IFERROR(__xludf.DUMMYFUNCTION("""COMPUTED_VALUE"""),"有")</f>
        <v>有</v>
      </c>
      <c r="Y1587" s="8" t="str">
        <f>IFERROR(__xludf.DUMMYFUNCTION("""COMPUTED_VALUE"""),"2024/7/24まで1巻無料")</f>
        <v>2024/7/24まで1巻無料</v>
      </c>
      <c r="Z1587" s="7"/>
      <c r="AA1587" s="7"/>
      <c r="AB1587" s="7"/>
    </row>
    <row r="1588" ht="117.0" customHeight="1">
      <c r="A1588" s="26">
        <f>IFERROR(__xludf.DUMMYFUNCTION("""COMPUTED_VALUE"""),3358.0)</f>
        <v>3358</v>
      </c>
      <c r="B1588" s="31" t="str">
        <f>IFERROR(__xludf.DUMMYFUNCTION("""COMPUTED_VALUE"""),"確定")</f>
        <v>確定</v>
      </c>
      <c r="C1588" s="28">
        <f>IFERROR(__xludf.DUMMYFUNCTION("""COMPUTED_VALUE"""),45412.0)</f>
        <v>45412</v>
      </c>
      <c r="D1588" s="28">
        <f>IFERROR(__xludf.DUMMYFUNCTION("""COMPUTED_VALUE"""),45448.0)</f>
        <v>45448</v>
      </c>
      <c r="E1588" s="31">
        <f>IFERROR(__xludf.DUMMYFUNCTION("""COMPUTED_VALUE"""),295501.0)</f>
        <v>295501</v>
      </c>
      <c r="F1588" s="31" t="str">
        <f>IFERROR(__xludf.DUMMYFUNCTION("""COMPUTED_VALUE"""),"となりのアウトサイダー")</f>
        <v>となりのアウトサイダー</v>
      </c>
      <c r="G1588" s="20">
        <f>IFERROR(__xludf.DUMMYFUNCTION("""COMPUTED_VALUE"""),1.0)</f>
        <v>1</v>
      </c>
      <c r="H1588" s="31" t="str">
        <f>IFERROR(__xludf.DUMMYFUNCTION("""COMPUTED_VALUE"""),"美都みと")</f>
        <v>美都みと</v>
      </c>
      <c r="I1588" s="52" t="str">
        <f>IFERROR(__xludf.DUMMYFUNCTION("""COMPUTED_VALUE"""),"BL")</f>
        <v>BL</v>
      </c>
      <c r="J1588" s="31"/>
      <c r="K1588" s="31"/>
      <c r="L1588" s="31" t="str">
        <f>IFERROR(__xludf.DUMMYFUNCTION("""COMPUTED_VALUE"""),"集英社")</f>
        <v>集英社</v>
      </c>
      <c r="M1588" s="23">
        <f>IFERROR(__xludf.DUMMYFUNCTION("""COMPUTED_VALUE"""),45473.0)</f>
        <v>45473</v>
      </c>
      <c r="N1588" s="23">
        <f>IFERROR(__xludf.DUMMYFUNCTION("""COMPUTED_VALUE"""),45497.0)</f>
        <v>45497</v>
      </c>
      <c r="O1588" s="20"/>
      <c r="P1588" s="34" t="str">
        <f>IFERROR(__xludf.DUMMYFUNCTION("""COMPUTED_VALUE"""),"否")</f>
        <v>否</v>
      </c>
      <c r="Q1588" s="30" t="str">
        <f>IFERROR(__xludf.DUMMYFUNCTION("""COMPUTED_VALUE"""),"・掲載誌：君恋")</f>
        <v>・掲載誌：君恋</v>
      </c>
      <c r="R1588" s="31"/>
      <c r="S1588" s="31" t="str">
        <f>IFERROR(__xludf.DUMMYFUNCTION("""COMPUTED_VALUE"""),"20240604_集英社_となりのアウトサイダー")</f>
        <v>20240604_集英社_となりのアウトサイダー</v>
      </c>
      <c r="T1588" s="31" t="str">
        <f>IFERROR(__xludf.DUMMYFUNCTION("""COMPUTED_VALUE"""),"格納済み")</f>
        <v>格納済み</v>
      </c>
      <c r="U1588" s="15" t="str">
        <f>IFERROR(__xludf.DUMMYFUNCTION("""COMPUTED_VALUE"""),"(C)美都みと／集英社")</f>
        <v>(C)美都みと／集英社</v>
      </c>
      <c r="V1588" s="8" t="str">
        <f>IFERROR(__xludf.DUMMYFUNCTION("""COMPUTED_VALUE"""),"平凡な高校生活を過ごしていた夏目のクラスに、顔の良い転校生、神代樒がやってきた。彼の正体は、裏稼業をしている夏目の母親から護衛として派遣された殺し屋で…。そんな二人の奇妙な同居生活が始まることに。")</f>
        <v>平凡な高校生活を過ごしていた夏目のクラスに、顔の良い転校生、神代樒がやってきた。彼の正体は、裏稼業をしている夏目の母親から護衛として派遣された殺し屋で…。そんな二人の奇妙な同居生活が始まることに。</v>
      </c>
      <c r="W1588" s="8"/>
      <c r="X1588" s="14" t="str">
        <f>IFERROR(__xludf.DUMMYFUNCTION("""COMPUTED_VALUE"""),"有")</f>
        <v>有</v>
      </c>
      <c r="Y1588" s="8" t="str">
        <f>IFERROR(__xludf.DUMMYFUNCTION("""COMPUTED_VALUE"""),"2024/7/24まで立ち読み増量P80まで")</f>
        <v>2024/7/24まで立ち読み増量P80まで</v>
      </c>
      <c r="Z1588" s="7"/>
      <c r="AA1588" s="7"/>
      <c r="AB1588" s="7"/>
    </row>
    <row r="1589" ht="15.75" customHeight="1">
      <c r="A1589" s="26">
        <f>IFERROR(__xludf.DUMMYFUNCTION("""COMPUTED_VALUE"""),3362.0)</f>
        <v>3362</v>
      </c>
      <c r="B1589" s="31" t="str">
        <f>IFERROR(__xludf.DUMMYFUNCTION("""COMPUTED_VALUE"""),"確定")</f>
        <v>確定</v>
      </c>
      <c r="C1589" s="28">
        <f>IFERROR(__xludf.DUMMYFUNCTION("""COMPUTED_VALUE"""),45412.0)</f>
        <v>45412</v>
      </c>
      <c r="D1589" s="28">
        <f>IFERROR(__xludf.DUMMYFUNCTION("""COMPUTED_VALUE"""),45448.0)</f>
        <v>45448</v>
      </c>
      <c r="E1589" s="31">
        <f>IFERROR(__xludf.DUMMYFUNCTION("""COMPUTED_VALUE"""),295245.0)</f>
        <v>295245</v>
      </c>
      <c r="F1589" s="31" t="str">
        <f>IFERROR(__xludf.DUMMYFUNCTION("""COMPUTED_VALUE"""),"恋知らずの君と")</f>
        <v>恋知らずの君と</v>
      </c>
      <c r="G1589" s="11" t="str">
        <f>IFERROR(__xludf.DUMMYFUNCTION("""COMPUTED_VALUE"""),"1～4")</f>
        <v>1～4</v>
      </c>
      <c r="H1589" s="31" t="str">
        <f>IFERROR(__xludf.DUMMYFUNCTION("""COMPUTED_VALUE"""),"茜はづき")</f>
        <v>茜はづき</v>
      </c>
      <c r="I1589" s="52" t="str">
        <f>IFERROR(__xludf.DUMMYFUNCTION("""COMPUTED_VALUE"""),"女性")</f>
        <v>女性</v>
      </c>
      <c r="J1589" s="31"/>
      <c r="K1589" s="31"/>
      <c r="L1589" s="31" t="str">
        <f>IFERROR(__xludf.DUMMYFUNCTION("""COMPUTED_VALUE"""),"集英社")</f>
        <v>集英社</v>
      </c>
      <c r="M1589" s="23">
        <f>IFERROR(__xludf.DUMMYFUNCTION("""COMPUTED_VALUE"""),45468.0)</f>
        <v>45468</v>
      </c>
      <c r="N1589" s="23">
        <f>IFERROR(__xludf.DUMMYFUNCTION("""COMPUTED_VALUE"""),45497.0)</f>
        <v>45497</v>
      </c>
      <c r="O1589" s="20"/>
      <c r="P1589" s="34" t="str">
        <f>IFERROR(__xludf.DUMMYFUNCTION("""COMPUTED_VALUE"""),"否")</f>
        <v>否</v>
      </c>
      <c r="Q1589" s="30" t="str">
        <f>IFERROR(__xludf.DUMMYFUNCTION("""COMPUTED_VALUE"""),"・掲載誌：マンガMee&lt;BR&gt;・明治時代のシンデレラストーリーで、エロス＋トリガーポイントの意地悪女性が出てきます。")</f>
        <v>・掲載誌：マンガMee&lt;BR&gt;・明治時代のシンデレラストーリーで、エロス＋トリガーポイントの意地悪女性が出てきます。</v>
      </c>
      <c r="R1589" s="31"/>
      <c r="S1589" s="31" t="str">
        <f>IFERROR(__xludf.DUMMYFUNCTION("""COMPUTED_VALUE"""),"20240604_集英社_恋知らずの君と")</f>
        <v>20240604_集英社_恋知らずの君と</v>
      </c>
      <c r="T1589" s="31" t="str">
        <f>IFERROR(__xludf.DUMMYFUNCTION("""COMPUTED_VALUE"""),"格納済み")</f>
        <v>格納済み</v>
      </c>
      <c r="U1589" s="15" t="str">
        <f>IFERROR(__xludf.DUMMYFUNCTION("""COMPUTED_VALUE"""),"(C)茜はづき／集英社")</f>
        <v>(C)茜はづき／集英社</v>
      </c>
      <c r="V1589" s="8" t="str">
        <f>IFERROR(__xludf.DUMMYFUNCTION("""COMPUTED_VALUE"""),"恋愛にも結婚にも興味が持てない居酒屋の娘・チヨ。ある日尋ねてきた男爵家の子息・蓮生が突然チヨにプロポーズ！　父親の借金を帳消しにする代わりに、蓮生の婚約者として屋敷に住むことになるが…？　契約恋愛で恋を学んでいく、エロティック・シンデレラ・ラブ！　＜収録話＞第1話「恋に落ちてください」第2話「取引と嘘」")</f>
        <v>恋愛にも結婚にも興味が持てない居酒屋の娘・チヨ。ある日尋ねてきた男爵家の子息・蓮生が突然チヨにプロポーズ！　父親の借金を帳消しにする代わりに、蓮生の婚約者として屋敷に住むことになるが…？　契約恋愛で恋を学んでいく、エロティック・シンデレラ・ラブ！　＜収録話＞第1話「恋に落ちてください」第2話「取引と嘘」</v>
      </c>
      <c r="W1589" s="14"/>
      <c r="X1589" s="14" t="str">
        <f>IFERROR(__xludf.DUMMYFUNCTION("""COMPUTED_VALUE"""),"有")</f>
        <v>有</v>
      </c>
      <c r="Y1589" s="8" t="str">
        <f>IFERROR(__xludf.DUMMYFUNCTION("""COMPUTED_VALUE"""),"2024/7/24まで1巻無料")</f>
        <v>2024/7/24まで1巻無料</v>
      </c>
      <c r="Z1589" s="7"/>
      <c r="AA1589" s="7"/>
      <c r="AB1589" s="7"/>
    </row>
    <row r="1590" ht="15.75" customHeight="1">
      <c r="A1590" s="26">
        <f>IFERROR(__xludf.DUMMYFUNCTION("""COMPUTED_VALUE"""),3365.0)</f>
        <v>3365</v>
      </c>
      <c r="B1590" s="31" t="str">
        <f>IFERROR(__xludf.DUMMYFUNCTION("""COMPUTED_VALUE"""),"確定")</f>
        <v>確定</v>
      </c>
      <c r="C1590" s="28">
        <f>IFERROR(__xludf.DUMMYFUNCTION("""COMPUTED_VALUE"""),45414.0)</f>
        <v>45414</v>
      </c>
      <c r="D1590" s="28">
        <f>IFERROR(__xludf.DUMMYFUNCTION("""COMPUTED_VALUE"""),45447.0)</f>
        <v>45447</v>
      </c>
      <c r="E1590" s="31">
        <f>IFERROR(__xludf.DUMMYFUNCTION("""COMPUTED_VALUE"""),299248.0)</f>
        <v>299248</v>
      </c>
      <c r="F1590" s="31" t="str">
        <f>IFERROR(__xludf.DUMMYFUNCTION("""COMPUTED_VALUE"""),"当主様に溺愛される悪女になります
")</f>
        <v>当主様に溺愛される悪女になります
</v>
      </c>
      <c r="G1590" s="20" t="str">
        <f>IFERROR(__xludf.DUMMYFUNCTION("""COMPUTED_VALUE"""),"1～3")</f>
        <v>1～3</v>
      </c>
      <c r="H1590" s="31" t="str">
        <f>IFERROR(__xludf.DUMMYFUNCTION("""COMPUTED_VALUE"""),"霧嶋あとり┴こんちく")</f>
        <v>霧嶋あとり┴こんちく</v>
      </c>
      <c r="I1590" s="31" t="str">
        <f>IFERROR(__xludf.DUMMYFUNCTION("""COMPUTED_VALUE"""),"女性")</f>
        <v>女性</v>
      </c>
      <c r="J1590" s="31"/>
      <c r="K1590" s="31"/>
      <c r="L1590" s="31" t="str">
        <f>IFERROR(__xludf.DUMMYFUNCTION("""COMPUTED_VALUE"""),"COMIC stella")</f>
        <v>COMIC stella</v>
      </c>
      <c r="M1590" s="59">
        <f>IFERROR(__xludf.DUMMYFUNCTION("""COMPUTED_VALUE"""),45507.0)</f>
        <v>45507</v>
      </c>
      <c r="N1590" s="59">
        <f>IFERROR(__xludf.DUMMYFUNCTION("""COMPUTED_VALUE"""),45598.0)</f>
        <v>45598</v>
      </c>
      <c r="O1590" s="20"/>
      <c r="P1590" s="34" t="str">
        <f>IFERROR(__xludf.DUMMYFUNCTION("""COMPUTED_VALUE"""),"可")</f>
        <v>可</v>
      </c>
      <c r="Q1590" s="31" t="str">
        <f>IFERROR(__xludf.DUMMYFUNCTION("""COMPUTED_VALUE"""),"広告コミットOK(5/9)&lt;BR&gt;")</f>
        <v>広告コミットOK(5/9)&lt;BR&gt;</v>
      </c>
      <c r="R1590" s="31" t="str">
        <f>IFERROR(__xludf.DUMMYFUNCTION("""COMPUTED_VALUE"""),"格納済み")</f>
        <v>格納済み</v>
      </c>
      <c r="S1590" s="31" t="str">
        <f>IFERROR(__xludf.DUMMYFUNCTION("""COMPUTED_VALUE"""),"20240603_COMIC stella_当主様に溺愛される悪女になります")</f>
        <v>20240603_COMIC stella_当主様に溺愛される悪女になります</v>
      </c>
      <c r="T1590" s="31" t="str">
        <f>IFERROR(__xludf.DUMMYFUNCTION("""COMPUTED_VALUE"""),"格納済み")</f>
        <v>格納済み</v>
      </c>
      <c r="U1590" s="15" t="str">
        <f>IFERROR(__xludf.DUMMYFUNCTION("""COMPUTED_VALUE"""),"（C）霧嶋あとり／こんちく／COMIC stella")</f>
        <v>（C）霧嶋あとり／こんちく／COMIC stella</v>
      </c>
      <c r="V1590" s="8" t="str">
        <f>IFERROR(__xludf.DUMMYFUNCTION("""COMPUTED_VALUE"""),"内気な令嬢は『悪女』、真面目な当主様は『色に落ちた愚かな当主』を演じることに！？
命からがら「あの人」から逃げ出してきた令嬢・環。
環が目を覚ますとそこは、三年前の世界だった──！？
自分を救ってくれた松刀院家当主・伊織の力になるために、恋人のふりをすることになった環だが……")</f>
        <v>内気な令嬢は『悪女』、真面目な当主様は『色に落ちた愚かな当主』を演じることに！？
命からがら「あの人」から逃げ出してきた令嬢・環。
環が目を覚ますとそこは、三年前の世界だった──！？
自分を救ってくれた松刀院家当主・伊織の力になるために、恋人のふりをすることになった環だが……</v>
      </c>
      <c r="W1590" s="14"/>
      <c r="X1590" s="14" t="str">
        <f>IFERROR(__xludf.DUMMYFUNCTION("""COMPUTED_VALUE"""),"有")</f>
        <v>有</v>
      </c>
      <c r="Y1590" s="8" t="str">
        <f>IFERROR(__xludf.DUMMYFUNCTION("""COMPUTED_VALUE"""),"2024/8/25まで1巻無料")</f>
        <v>2024/8/25まで1巻無料</v>
      </c>
      <c r="Z1590" s="7"/>
      <c r="AA1590" s="7"/>
      <c r="AB1590" s="7"/>
    </row>
    <row r="1591" ht="15.75" customHeight="1">
      <c r="A1591" s="26">
        <f>IFERROR(__xludf.DUMMYFUNCTION("""COMPUTED_VALUE"""),3369.0)</f>
        <v>3369</v>
      </c>
      <c r="B1591" s="31" t="str">
        <f>IFERROR(__xludf.DUMMYFUNCTION("""COMPUTED_VALUE"""),"確定")</f>
        <v>確定</v>
      </c>
      <c r="C1591" s="28">
        <f>IFERROR(__xludf.DUMMYFUNCTION("""COMPUTED_VALUE"""),45414.0)</f>
        <v>45414</v>
      </c>
      <c r="D1591" s="28">
        <f>IFERROR(__xludf.DUMMYFUNCTION("""COMPUTED_VALUE"""),45448.0)</f>
        <v>45448</v>
      </c>
      <c r="E1591" s="31">
        <f>IFERROR(__xludf.DUMMYFUNCTION("""COMPUTED_VALUE"""),295556.0)</f>
        <v>295556</v>
      </c>
      <c r="F1591" s="31" t="str">
        <f>IFERROR(__xludf.DUMMYFUNCTION("""COMPUTED_VALUE"""),"極悪怪人デスグリーン")</f>
        <v>極悪怪人デスグリーン</v>
      </c>
      <c r="G1591" s="20" t="str">
        <f>IFERROR(__xludf.DUMMYFUNCTION("""COMPUTED_VALUE"""),"1～3")</f>
        <v>1～3</v>
      </c>
      <c r="H1591" s="31" t="str">
        <f>IFERROR(__xludf.DUMMYFUNCTION("""COMPUTED_VALUE"""),"原作：今井三太郎 作画：確認中")</f>
        <v>原作：今井三太郎 作画：確認中</v>
      </c>
      <c r="I1591" s="31" t="str">
        <f>IFERROR(__xludf.DUMMYFUNCTION("""COMPUTED_VALUE"""),"少年")</f>
        <v>少年</v>
      </c>
      <c r="J1591" s="31"/>
      <c r="K1591" s="31"/>
      <c r="L1591" s="31" t="str">
        <f>IFERROR(__xludf.DUMMYFUNCTION("""COMPUTED_VALUE"""),"SORAJIMA")</f>
        <v>SORAJIMA</v>
      </c>
      <c r="M1591" s="23">
        <f>IFERROR(__xludf.DUMMYFUNCTION("""COMPUTED_VALUE"""),45472.0)</f>
        <v>45472</v>
      </c>
      <c r="N1591" s="47">
        <f>IFERROR(__xludf.DUMMYFUNCTION("""COMPUTED_VALUE"""),45563.0)</f>
        <v>45563</v>
      </c>
      <c r="O1591" s="20"/>
      <c r="P1591" s="34" t="str">
        <f>IFERROR(__xludf.DUMMYFUNCTION("""COMPUTED_VALUE"""),"可")</f>
        <v>可</v>
      </c>
      <c r="Q1591" s="30" t="str">
        <f>IFERROR(__xludf.DUMMYFUNCTION("""COMPUTED_VALUE"""),"広告コミットOK(5/8)&lt;BR&gt;・小説家になろう原作。ネット小説大賞でコミックシナリオ賞を受賞した作品が原作。&lt;BR&gt;・どちらかといえば男性向け作品。&lt;BR&gt;・SORAJIMAが現在タテヨミのCPIDしかないようなので、仮のCP名入れています。追って整理します。&lt;BR&gt;")</f>
        <v>広告コミットOK(5/8)&lt;BR&gt;・小説家になろう原作。ネット小説大賞でコミックシナリオ賞を受賞した作品が原作。&lt;BR&gt;・どちらかといえば男性向け作品。&lt;BR&gt;・SORAJIMAが現在タテヨミのCPIDしかないようなので、仮のCP名入れています。追って整理します。&lt;BR&gt;</v>
      </c>
      <c r="R1591" s="31"/>
      <c r="S1591" s="31" t="str">
        <f>IFERROR(__xludf.DUMMYFUNCTION("""COMPUTED_VALUE"""),"20240604_SORAJIMA_極悪怪人デスグリーン")</f>
        <v>20240604_SORAJIMA_極悪怪人デスグリーン</v>
      </c>
      <c r="T1591" s="31" t="str">
        <f>IFERROR(__xludf.DUMMYFUNCTION("""COMPUTED_VALUE"""),"格納済み")</f>
        <v>格納済み</v>
      </c>
      <c r="U1591" s="15" t="str">
        <f>IFERROR(__xludf.DUMMYFUNCTION("""COMPUTED_VALUE"""),"©今井三太郎/SORAJIMA	")</f>
        <v>©今井三太郎/SORAJIMA	</v>
      </c>
      <c r="V1591" s="8" t="str">
        <f>IFERROR(__xludf.DUMMYFUNCTION("""COMPUTED_VALUE"""),"東京所属のエリートヒーローチーム「勝利戦隊ビクトレンジャー」を追い出された、主人公グリーンこと栗山林太郎。彷徨う彼がたどり着いた先は、国内最大の怪人組織だった。ヒーロー復帰を目指す林太郎の思惑とは裏腹に、怪人達の称賛を得るばかりか、一番舎弟を宣言する怪人っ子にまで懐かれてしまう。最強で最凶の怪人、極悪怪人デスグリーンとしての新たな戦いが今始まる！")</f>
        <v>東京所属のエリートヒーローチーム「勝利戦隊ビクトレンジャー」を追い出された、主人公グリーンこと栗山林太郎。彷徨う彼がたどり着いた先は、国内最大の怪人組織だった。ヒーロー復帰を目指す林太郎の思惑とは裏腹に、怪人達の称賛を得るばかりか、一番舎弟を宣言する怪人っ子にまで懐かれてしまう。最強で最凶の怪人、極悪怪人デスグリーンとしての新たな戦いが今始まる！</v>
      </c>
      <c r="W1591" s="14"/>
      <c r="X1591" s="14" t="str">
        <f>IFERROR(__xludf.DUMMYFUNCTION("""COMPUTED_VALUE"""),"有")</f>
        <v>有</v>
      </c>
      <c r="Y1591" s="8" t="str">
        <f>IFERROR(__xludf.DUMMYFUNCTION("""COMPUTED_VALUE"""),"2024/7/12まで1巻無料")</f>
        <v>2024/7/12まで1巻無料</v>
      </c>
      <c r="Z1591" s="7"/>
      <c r="AA1591" s="7"/>
      <c r="AB1591" s="7"/>
    </row>
    <row r="1592" ht="15.75" customHeight="1">
      <c r="A1592" s="26">
        <f>IFERROR(__xludf.DUMMYFUNCTION("""COMPUTED_VALUE"""),3378.0)</f>
        <v>3378</v>
      </c>
      <c r="B1592" s="31" t="str">
        <f>IFERROR(__xludf.DUMMYFUNCTION("""COMPUTED_VALUE"""),"確定")</f>
        <v>確定</v>
      </c>
      <c r="C1592" s="28">
        <f>IFERROR(__xludf.DUMMYFUNCTION("""COMPUTED_VALUE"""),45419.0)</f>
        <v>45419</v>
      </c>
      <c r="D1592" s="28">
        <f>IFERROR(__xludf.DUMMYFUNCTION("""COMPUTED_VALUE"""),45447.0)</f>
        <v>45447</v>
      </c>
      <c r="E1592" s="31">
        <f>IFERROR(__xludf.DUMMYFUNCTION("""COMPUTED_VALUE"""),295910.0)</f>
        <v>295910</v>
      </c>
      <c r="F1592" s="52" t="str">
        <f>IFERROR(__xludf.DUMMYFUNCTION("""COMPUTED_VALUE"""),"辺界")</f>
        <v>辺界</v>
      </c>
      <c r="G1592" s="11" t="str">
        <f>IFERROR(__xludf.DUMMYFUNCTION("""COMPUTED_VALUE"""),"1～4")</f>
        <v>1～4</v>
      </c>
      <c r="H1592" s="31" t="str">
        <f>IFERROR(__xludf.DUMMYFUNCTION("""COMPUTED_VALUE"""),"堀田阿伴┴さきっちょだけ!")</f>
        <v>堀田阿伴┴さきっちょだけ!</v>
      </c>
      <c r="I1592" s="31" t="str">
        <f>IFERROR(__xludf.DUMMYFUNCTION("""COMPUTED_VALUE"""),"オトナ")</f>
        <v>オトナ</v>
      </c>
      <c r="J1592" s="31"/>
      <c r="K1592" s="31"/>
      <c r="L1592" s="31" t="str">
        <f>IFERROR(__xludf.DUMMYFUNCTION("""COMPUTED_VALUE"""),"ブリック出版")</f>
        <v>ブリック出版</v>
      </c>
      <c r="M1592" s="23">
        <f>IFERROR(__xludf.DUMMYFUNCTION("""COMPUTED_VALUE"""),45464.0)</f>
        <v>45464</v>
      </c>
      <c r="N1592" s="23">
        <f>IFERROR(__xludf.DUMMYFUNCTION("""COMPUTED_VALUE"""),45512.0)</f>
        <v>45512</v>
      </c>
      <c r="O1592" s="20"/>
      <c r="P1592" s="34" t="str">
        <f>IFERROR(__xludf.DUMMYFUNCTION("""COMPUTED_VALUE"""),"可")</f>
        <v>可</v>
      </c>
      <c r="Q1592" s="30" t="str">
        <f>IFERROR(__xludf.DUMMYFUNCTION("""COMPUTED_VALUE"""),"広告コミットOK(5/13)
※リスト出力時に環境依存文字でエラーになるため「境界」で先行リストを出力しておりますが、正式タイトルは「边界」です")</f>
        <v>広告コミットOK(5/13)
※リスト出力時に環境依存文字でエラーになるため「境界」で先行リストを出力しておりますが、正式タイトルは「边界」です</v>
      </c>
      <c r="R1592" s="31"/>
      <c r="S1592" s="31" t="str">
        <f>IFERROR(__xludf.DUMMYFUNCTION("""COMPUTED_VALUE"""),"20240603_BookLive_境界        ")</f>
        <v>20240603_BookLive_境界        </v>
      </c>
      <c r="T1592" s="31" t="str">
        <f>IFERROR(__xludf.DUMMYFUNCTION("""COMPUTED_VALUE"""),"格納済み")</f>
        <v>格納済み</v>
      </c>
      <c r="U1592" s="15" t="str">
        <f>IFERROR(__xludf.DUMMYFUNCTION("""COMPUTED_VALUE"""),"(C)ブリック出版")</f>
        <v>(C)ブリック出版</v>
      </c>
      <c r="V1592" s="8" t="str">
        <f>IFERROR(__xludf.DUMMYFUNCTION("""COMPUTED_VALUE"""),"いじめは悪いことだと正義感に溢れる主人公、山下かほ。
そんな主人公の同級生である王偉(ワンウェイ)は
学校の教師からもクラスメイトからも人望が厚く、学校一の人気者。
高校に進学する前からの付き合いの彼は誰にも分け隔てなく接し、
絶対周りにはマイナスの感情を見せなかった。
「ワンくんってずっとあんな感じなのかな…
困ってる時とかないのかな─…」
…主人公は王のことを誤解していた。
ある日の放課後、主人公は予想だにしない場面に遭遇する─…
「小山くん!?どうしたの"&amp;"?こんな怪我…!!」
主人公が見たのは、今まで「いいひと」だと思っていた
王のクラスメイトに対する「いじめ」。
正義感に溢れる主人公は、王に「こんなの許されるわけがない!」と食ってかかるも、
王は主人公の追及を躱していき─……
「そもそもオレといいんちょの言ってること
どっちを皆信じると思う?
ぶっちゃけいいんちょがコイツのこと
助けたらもっとひどくなるかもよ?
だっていいんちょ
想像以上に皆から嫌われてるよ」
主人公は王の言葉に翻弄される。
そして、王"&amp;"に「いじめを肩代わりする」ことを
提案された主人公は
その提案を受け入れてしまい──……
そこから、地獄の日々が始まった。
※尿道プレイ/無理矢理表現/断面図/若干のいじめ描写があります。
お気を付けください。
※本作は堀田阿伴の個人誌作品の電子書籍版となります。【26ページ】")</f>
        <v>いじめは悪いことだと正義感に溢れる主人公、山下かほ。
そんな主人公の同級生である王偉(ワンウェイ)は
学校の教師からもクラスメイトからも人望が厚く、学校一の人気者。
高校に進学する前からの付き合いの彼は誰にも分け隔てなく接し、
絶対周りにはマイナスの感情を見せなかった。
「ワンくんってずっとあんな感じなのかな…
困ってる時とかないのかな─…」
…主人公は王のことを誤解していた。
ある日の放課後、主人公は予想だにしない場面に遭遇する─…
「小山くん!?どうしたの?こんな怪我…!!」
主人公が見たのは、今まで「いいひと」だと思っていた
王のクラスメイトに対する「いじめ」。
正義感に溢れる主人公は、王に「こんなの許されるわけがない!」と食ってかかるも、
王は主人公の追及を躱していき─……
「そもそもオレといいんちょの言ってること
どっちを皆信じると思う?
ぶっちゃけいいんちょがコイツのこと
助けたらもっとひどくなるかもよ?
だっていいんちょ
想像以上に皆から嫌われてるよ」
主人公は王の言葉に翻弄される。
そして、王に「いじめを肩代わりする」ことを
提案された主人公は
その提案を受け入れてしまい──……
そこから、地獄の日々が始まった。
※尿道プレイ/無理矢理表現/断面図/若干のいじめ描写があります。
お気を付けください。
※本作は堀田阿伴の個人誌作品の電子書籍版となります。【26ページ】</v>
      </c>
      <c r="W1592" s="14"/>
      <c r="X1592" s="14" t="str">
        <f>IFERROR(__xludf.DUMMYFUNCTION("""COMPUTED_VALUE"""),"有")</f>
        <v>有</v>
      </c>
      <c r="Y1592" s="8" t="str">
        <f>IFERROR(__xludf.DUMMYFUNCTION("""COMPUTED_VALUE"""),"P16まで")</f>
        <v>P16まで</v>
      </c>
      <c r="Z1592" s="7"/>
      <c r="AA1592" s="7"/>
      <c r="AB1592" s="7"/>
    </row>
    <row r="1593" ht="15.75" customHeight="1">
      <c r="A1593" s="26">
        <f>IFERROR(__xludf.DUMMYFUNCTION("""COMPUTED_VALUE"""),3394.0)</f>
        <v>3394</v>
      </c>
      <c r="B1593" s="31" t="str">
        <f>IFERROR(__xludf.DUMMYFUNCTION("""COMPUTED_VALUE"""),"確定")</f>
        <v>確定</v>
      </c>
      <c r="C1593" s="28">
        <f>IFERROR(__xludf.DUMMYFUNCTION("""COMPUTED_VALUE"""),45421.0)</f>
        <v>45421</v>
      </c>
      <c r="D1593" s="28">
        <f>IFERROR(__xludf.DUMMYFUNCTION("""COMPUTED_VALUE"""),45448.0)</f>
        <v>45448</v>
      </c>
      <c r="E1593" s="31">
        <f>IFERROR(__xludf.DUMMYFUNCTION("""COMPUTED_VALUE"""),293677.0)</f>
        <v>293677</v>
      </c>
      <c r="F1593" s="31" t="str">
        <f>IFERROR(__xludf.DUMMYFUNCTION("""COMPUTED_VALUE"""),"極上エリート男子は私だけに激甘です!?～逆転恋愛アンソロジーコミック～")</f>
        <v>極上エリート男子は私だけに激甘です!?～逆転恋愛アンソロジーコミック～</v>
      </c>
      <c r="G1593" s="20">
        <f>IFERROR(__xludf.DUMMYFUNCTION("""COMPUTED_VALUE"""),1.0)</f>
        <v>1</v>
      </c>
      <c r="H1593" s="31" t="str">
        <f>IFERROR(__xludf.DUMMYFUNCTION("""COMPUTED_VALUE"""),"アンソロジー")</f>
        <v>アンソロジー</v>
      </c>
      <c r="I1593" s="31" t="str">
        <f>IFERROR(__xludf.DUMMYFUNCTION("""COMPUTED_VALUE"""),"少女")</f>
        <v>少女</v>
      </c>
      <c r="J1593" s="31"/>
      <c r="K1593" s="31"/>
      <c r="L1593" s="31" t="str">
        <f>IFERROR(__xludf.DUMMYFUNCTION("""COMPUTED_VALUE"""),"一迅社")</f>
        <v>一迅社</v>
      </c>
      <c r="M1593" s="23">
        <f>IFERROR(__xludf.DUMMYFUNCTION("""COMPUTED_VALUE"""),45471.0)</f>
        <v>45471</v>
      </c>
      <c r="N1593" s="23">
        <f>IFERROR(__xludf.DUMMYFUNCTION("""COMPUTED_VALUE"""),45503.0)</f>
        <v>45503</v>
      </c>
      <c r="O1593" s="20"/>
      <c r="P1593" s="34" t="str">
        <f>IFERROR(__xludf.DUMMYFUNCTION("""COMPUTED_VALUE"""),"可")</f>
        <v>可</v>
      </c>
      <c r="Q1593" s="30" t="str">
        <f>IFERROR(__xludf.DUMMYFUNCTION("""COMPUTED_VALUE"""),"・下記4作品のアンソロジーです。&lt;BR&gt;■先輩とマネージャー、のち弁護士と秘書 〜先生の愛にほだされて〜&lt;BR&gt;■妹に恋人を取られた私、鬼上司とお試し恋愛をはじめます&lt;BR&gt;■春には程遠く&lt;BR&gt;■わたしの隣に立てるのは？&lt;BR&gt;・素材は各ばら売りの作品のフォルダに格納している本文データをお使いください。&lt;BR&gt;・コピーライトについても、使用した作品のコピーライトを記載してください")</f>
        <v>・下記4作品のアンソロジーです。&lt;BR&gt;■先輩とマネージャー、のち弁護士と秘書 〜先生の愛にほだされて〜&lt;BR&gt;■妹に恋人を取られた私、鬼上司とお試し恋愛をはじめます&lt;BR&gt;■春には程遠く&lt;BR&gt;■わたしの隣に立てるのは？&lt;BR&gt;・素材は各ばら売りの作品のフォルダに格納している本文データをお使いください。&lt;BR&gt;・コピーライトについても、使用した作品のコピーライトを記載してください</v>
      </c>
      <c r="R1593" s="31"/>
      <c r="S1593" s="31" t="str">
        <f>IFERROR(__xludf.DUMMYFUNCTION("""COMPUTED_VALUE"""),"20240604_一迅社_極上エリート男子は私だけに激甘です!～逆転恋愛アンソロジーコミック～")</f>
        <v>20240604_一迅社_極上エリート男子は私だけに激甘です!～逆転恋愛アンソロジーコミック～</v>
      </c>
      <c r="T1593" s="31" t="str">
        <f>IFERROR(__xludf.DUMMYFUNCTION("""COMPUTED_VALUE"""),"格納済み")</f>
        <v>格納済み</v>
      </c>
      <c r="U1593" s="15" t="str">
        <f>IFERROR(__xludf.DUMMYFUNCTION("""COMPUTED_VALUE"""),"作品ごとにご確認ください。")</f>
        <v>作品ごとにご確認ください。</v>
      </c>
      <c r="V1593" s="8" t="str">
        <f>IFERROR(__xludf.DUMMYFUNCTION("""COMPUTED_VALUE"""),"現代社会で頑張るヒロインたちが幸せを掴む！豪華執筆陣が贈る極上アンソロジー♡自業自得の爽快ざまぁ＆スパダリからの甘い溺愛が詰まった読み切りを収録!!　【収録作品】カバーイラスト：セレン　01.先輩とマネージャー、のち弁護士と秘書　～先生の愛にほだされて～　漫画：黒木捺　原作：しきみ彰　嵌められて会社を追われた私をスカウトしてくれたのは、エリート弁護士になった憧れの先輩!?　02.妹に恋人を取られた私、鬼上司とお試し恋愛をはじめます　漫画：栗山こがね　原作：イシクロ　妹に彼氏を奪われ落ち込んでいたら、鬼上司"&amp;"からずっと好きだったと告白されて――!?　03.春には程遠く　漫画：桜庭ゆい　原作：真冬日　身勝手な後輩に騙されていたので助けてあげた男、実は大金持ちの隠れイケメンでした!?　04.わたしの隣に立てるのは？　漫画：松浦ぶんこ　原作：別府マコト　有能すぎて妬まれ、婚約破棄された私。新しい職場で出会ったイケメンの正体は…？")</f>
        <v>現代社会で頑張るヒロインたちが幸せを掴む！豪華執筆陣が贈る極上アンソロジー♡自業自得の爽快ざまぁ＆スパダリからの甘い溺愛が詰まった読み切りを収録!!　【収録作品】カバーイラスト：セレン　01.先輩とマネージャー、のち弁護士と秘書　～先生の愛にほだされて～　漫画：黒木捺　原作：しきみ彰　嵌められて会社を追われた私をスカウトしてくれたのは、エリート弁護士になった憧れの先輩!?　02.妹に恋人を取られた私、鬼上司とお試し恋愛をはじめます　漫画：栗山こがね　原作：イシクロ　妹に彼氏を奪われ落ち込んでいたら、鬼上司からずっと好きだったと告白されて――!?　03.春には程遠く　漫画：桜庭ゆい　原作：真冬日　身勝手な後輩に騙されていたので助けてあげた男、実は大金持ちの隠れイケメンでした!?　04.わたしの隣に立てるのは？　漫画：松浦ぶんこ　原作：別府マコト　有能すぎて妬まれ、婚約破棄された私。新しい職場で出会ったイケメンの正体は…？</v>
      </c>
      <c r="W1593" s="14"/>
      <c r="X1593" s="14" t="str">
        <f>IFERROR(__xludf.DUMMYFUNCTION("""COMPUTED_VALUE"""),"有")</f>
        <v>有</v>
      </c>
      <c r="Y1593" s="8" t="str">
        <f>IFERROR(__xludf.DUMMYFUNCTION("""COMPUTED_VALUE"""),"P37まで")</f>
        <v>P37まで</v>
      </c>
      <c r="Z1593" s="7"/>
      <c r="AA1593" s="7"/>
      <c r="AB1593" s="7"/>
    </row>
    <row r="1594" ht="15.75" customHeight="1">
      <c r="A1594" s="26">
        <f>IFERROR(__xludf.DUMMYFUNCTION("""COMPUTED_VALUE"""),3395.0)</f>
        <v>3395</v>
      </c>
      <c r="B1594" s="31" t="str">
        <f>IFERROR(__xludf.DUMMYFUNCTION("""COMPUTED_VALUE"""),"確定")</f>
        <v>確定</v>
      </c>
      <c r="C1594" s="28">
        <f>IFERROR(__xludf.DUMMYFUNCTION("""COMPUTED_VALUE"""),45421.0)</f>
        <v>45421</v>
      </c>
      <c r="D1594" s="28">
        <f>IFERROR(__xludf.DUMMYFUNCTION("""COMPUTED_VALUE"""),45447.0)</f>
        <v>45447</v>
      </c>
      <c r="E1594" s="31">
        <f>IFERROR(__xludf.DUMMYFUNCTION("""COMPUTED_VALUE"""),293678.0)</f>
        <v>293678</v>
      </c>
      <c r="F1594" s="31" t="str">
        <f>IFERROR(__xludf.DUMMYFUNCTION("""COMPUTED_VALUE"""),"先輩とマネージャー、のち弁護士と秘書 ～先生の愛にほだされて～")</f>
        <v>先輩とマネージャー、のち弁護士と秘書 ～先生の愛にほだされて～</v>
      </c>
      <c r="G1594" s="20">
        <f>IFERROR(__xludf.DUMMYFUNCTION("""COMPUTED_VALUE"""),1.0)</f>
        <v>1</v>
      </c>
      <c r="H1594" s="31" t="str">
        <f>IFERROR(__xludf.DUMMYFUNCTION("""COMPUTED_VALUE"""),"黒木捺・しきみ彰")</f>
        <v>黒木捺・しきみ彰</v>
      </c>
      <c r="I1594" s="31" t="str">
        <f>IFERROR(__xludf.DUMMYFUNCTION("""COMPUTED_VALUE"""),"少女")</f>
        <v>少女</v>
      </c>
      <c r="J1594" s="31"/>
      <c r="K1594" s="31"/>
      <c r="L1594" s="31" t="str">
        <f>IFERROR(__xludf.DUMMYFUNCTION("""COMPUTED_VALUE"""),"一迅社")</f>
        <v>一迅社</v>
      </c>
      <c r="M1594" s="23">
        <f>IFERROR(__xludf.DUMMYFUNCTION("""COMPUTED_VALUE"""),45471.0)</f>
        <v>45471</v>
      </c>
      <c r="N1594" s="23">
        <f>IFERROR(__xludf.DUMMYFUNCTION("""COMPUTED_VALUE"""),45503.0)</f>
        <v>45503</v>
      </c>
      <c r="O1594" s="20"/>
      <c r="P1594" s="32" t="str">
        <f>IFERROR(__xludf.DUMMYFUNCTION("""COMPUTED_VALUE"""),"可")</f>
        <v>可</v>
      </c>
      <c r="Q1594" s="30"/>
      <c r="R1594" s="31"/>
      <c r="S1594" s="31" t="str">
        <f>IFERROR(__xludf.DUMMYFUNCTION("""COMPUTED_VALUE"""),"20240531_一迅社_先輩とマネージャー、のち弁護士と秘書 ～先生の愛にほだされて～")</f>
        <v>20240531_一迅社_先輩とマネージャー、のち弁護士と秘書 ～先生の愛にほだされて～</v>
      </c>
      <c r="T1594" s="31" t="str">
        <f>IFERROR(__xludf.DUMMYFUNCTION("""COMPUTED_VALUE"""),"格納済み")</f>
        <v>格納済み</v>
      </c>
      <c r="U1594" s="15" t="str">
        <f>IFERROR(__xludf.DUMMYFUNCTION("""COMPUTED_VALUE"""),"(C)黒木捺・しきみ彰／一迅社")</f>
        <v>(C)黒木捺・しきみ彰／一迅社</v>
      </c>
      <c r="V1594" s="8" t="str">
        <f>IFERROR(__xludf.DUMMYFUNCTION("""COMPUTED_VALUE"""),"嵌められて会社を追われた私をスカウトしてくれたのは、エリート弁護士になった憧れの先輩!?　※この作品は『極上エリート男子は私だけに激甘です!?～逆転恋愛アンソロジーコミック～』収録作品と同一の内容を単話版として再編集したものとなります。")</f>
        <v>嵌められて会社を追われた私をスカウトしてくれたのは、エリート弁護士になった憧れの先輩!?　※この作品は『極上エリート男子は私だけに激甘です!?～逆転恋愛アンソロジーコミック～』収録作品と同一の内容を単話版として再編集したものとなります。</v>
      </c>
      <c r="W1594" s="14"/>
      <c r="X1594" s="14" t="str">
        <f>IFERROR(__xludf.DUMMYFUNCTION("""COMPUTED_VALUE"""),"有")</f>
        <v>有</v>
      </c>
      <c r="Y1594" s="8" t="str">
        <f>IFERROR(__xludf.DUMMYFUNCTION("""COMPUTED_VALUE"""),"P8まで")</f>
        <v>P8まで</v>
      </c>
      <c r="Z1594" s="7"/>
      <c r="AA1594" s="7"/>
      <c r="AB1594" s="7"/>
    </row>
    <row r="1595" ht="81.75" customHeight="1">
      <c r="A1595" s="26">
        <f>IFERROR(__xludf.DUMMYFUNCTION("""COMPUTED_VALUE"""),3396.0)</f>
        <v>3396</v>
      </c>
      <c r="B1595" s="31" t="str">
        <f>IFERROR(__xludf.DUMMYFUNCTION("""COMPUTED_VALUE"""),"確定")</f>
        <v>確定</v>
      </c>
      <c r="C1595" s="28">
        <f>IFERROR(__xludf.DUMMYFUNCTION("""COMPUTED_VALUE"""),45421.0)</f>
        <v>45421</v>
      </c>
      <c r="D1595" s="28">
        <f>IFERROR(__xludf.DUMMYFUNCTION("""COMPUTED_VALUE"""),45447.0)</f>
        <v>45447</v>
      </c>
      <c r="E1595" s="31">
        <f>IFERROR(__xludf.DUMMYFUNCTION("""COMPUTED_VALUE"""),293679.0)</f>
        <v>293679</v>
      </c>
      <c r="F1595" s="31" t="str">
        <f>IFERROR(__xludf.DUMMYFUNCTION("""COMPUTED_VALUE"""),"妹に恋人を取られた私、鬼上司とお試し恋愛をはじめます")</f>
        <v>妹に恋人を取られた私、鬼上司とお試し恋愛をはじめます</v>
      </c>
      <c r="G1595" s="20">
        <f>IFERROR(__xludf.DUMMYFUNCTION("""COMPUTED_VALUE"""),1.0)</f>
        <v>1</v>
      </c>
      <c r="H1595" s="31" t="str">
        <f>IFERROR(__xludf.DUMMYFUNCTION("""COMPUTED_VALUE"""),"栗山こがね・イシクロ")</f>
        <v>栗山こがね・イシクロ</v>
      </c>
      <c r="I1595" s="31" t="str">
        <f>IFERROR(__xludf.DUMMYFUNCTION("""COMPUTED_VALUE"""),"少女")</f>
        <v>少女</v>
      </c>
      <c r="J1595" s="31"/>
      <c r="K1595" s="31"/>
      <c r="L1595" s="31" t="str">
        <f>IFERROR(__xludf.DUMMYFUNCTION("""COMPUTED_VALUE"""),"一迅社")</f>
        <v>一迅社</v>
      </c>
      <c r="M1595" s="23">
        <f>IFERROR(__xludf.DUMMYFUNCTION("""COMPUTED_VALUE"""),45471.0)</f>
        <v>45471</v>
      </c>
      <c r="N1595" s="23">
        <f>IFERROR(__xludf.DUMMYFUNCTION("""COMPUTED_VALUE"""),45503.0)</f>
        <v>45503</v>
      </c>
      <c r="O1595" s="20"/>
      <c r="P1595" s="32" t="str">
        <f>IFERROR(__xludf.DUMMYFUNCTION("""COMPUTED_VALUE"""),"否")</f>
        <v>否</v>
      </c>
      <c r="Q1595" s="30"/>
      <c r="R1595" s="31"/>
      <c r="S1595" s="31" t="str">
        <f>IFERROR(__xludf.DUMMYFUNCTION("""COMPUTED_VALUE"""),"20240531_一迅社_妹に恋人を取られた私、鬼上司とお試し恋愛をはじめます")</f>
        <v>20240531_一迅社_妹に恋人を取られた私、鬼上司とお試し恋愛をはじめます</v>
      </c>
      <c r="T1595" s="31" t="str">
        <f>IFERROR(__xludf.DUMMYFUNCTION("""COMPUTED_VALUE"""),"格納済み")</f>
        <v>格納済み</v>
      </c>
      <c r="U1595" s="15" t="str">
        <f>IFERROR(__xludf.DUMMYFUNCTION("""COMPUTED_VALUE"""),"(C)栗山こがね・イシクロ／一迅社")</f>
        <v>(C)栗山こがね・イシクロ／一迅社</v>
      </c>
      <c r="V1595" s="8" t="str">
        <f>IFERROR(__xludf.DUMMYFUNCTION("""COMPUTED_VALUE"""),"妹に彼氏を奪われ落ち込んでいたら、鬼上司からずっと好きだったと告白されて――!?　※この作品は『極上エリート男子は私だけに激甘です!?～逆転恋愛アンソロジーコミック～』収録作品と同一の内容を単話版として再編集したものとなります。")</f>
        <v>妹に彼氏を奪われ落ち込んでいたら、鬼上司からずっと好きだったと告白されて――!?　※この作品は『極上エリート男子は私だけに激甘です!?～逆転恋愛アンソロジーコミック～』収録作品と同一の内容を単話版として再編集したものとなります。</v>
      </c>
      <c r="W1595" s="14"/>
      <c r="X1595" s="14" t="str">
        <f>IFERROR(__xludf.DUMMYFUNCTION("""COMPUTED_VALUE"""),"有")</f>
        <v>有</v>
      </c>
      <c r="Y1595" s="8" t="str">
        <f>IFERROR(__xludf.DUMMYFUNCTION("""COMPUTED_VALUE"""),"P7まで")</f>
        <v>P7まで</v>
      </c>
      <c r="Z1595" s="7"/>
      <c r="AA1595" s="7"/>
      <c r="AB1595" s="7"/>
    </row>
    <row r="1596" ht="82.5" customHeight="1">
      <c r="A1596" s="26">
        <f>IFERROR(__xludf.DUMMYFUNCTION("""COMPUTED_VALUE"""),3397.0)</f>
        <v>3397</v>
      </c>
      <c r="B1596" s="31" t="str">
        <f>IFERROR(__xludf.DUMMYFUNCTION("""COMPUTED_VALUE"""),"確定")</f>
        <v>確定</v>
      </c>
      <c r="C1596" s="28">
        <f>IFERROR(__xludf.DUMMYFUNCTION("""COMPUTED_VALUE"""),45421.0)</f>
        <v>45421</v>
      </c>
      <c r="D1596" s="28">
        <f>IFERROR(__xludf.DUMMYFUNCTION("""COMPUTED_VALUE"""),45447.0)</f>
        <v>45447</v>
      </c>
      <c r="E1596" s="31">
        <f>IFERROR(__xludf.DUMMYFUNCTION("""COMPUTED_VALUE"""),293680.0)</f>
        <v>293680</v>
      </c>
      <c r="F1596" s="31" t="str">
        <f>IFERROR(__xludf.DUMMYFUNCTION("""COMPUTED_VALUE"""),"春には程遠く")</f>
        <v>春には程遠く</v>
      </c>
      <c r="G1596" s="20">
        <f>IFERROR(__xludf.DUMMYFUNCTION("""COMPUTED_VALUE"""),1.0)</f>
        <v>1</v>
      </c>
      <c r="H1596" s="31" t="str">
        <f>IFERROR(__xludf.DUMMYFUNCTION("""COMPUTED_VALUE"""),"桜庭ゆい・真冬日")</f>
        <v>桜庭ゆい・真冬日</v>
      </c>
      <c r="I1596" s="31" t="str">
        <f>IFERROR(__xludf.DUMMYFUNCTION("""COMPUTED_VALUE"""),"少女")</f>
        <v>少女</v>
      </c>
      <c r="J1596" s="31"/>
      <c r="K1596" s="31"/>
      <c r="L1596" s="31" t="str">
        <f>IFERROR(__xludf.DUMMYFUNCTION("""COMPUTED_VALUE"""),"一迅社")</f>
        <v>一迅社</v>
      </c>
      <c r="M1596" s="23">
        <f>IFERROR(__xludf.DUMMYFUNCTION("""COMPUTED_VALUE"""),45471.0)</f>
        <v>45471</v>
      </c>
      <c r="N1596" s="23">
        <f>IFERROR(__xludf.DUMMYFUNCTION("""COMPUTED_VALUE"""),45503.0)</f>
        <v>45503</v>
      </c>
      <c r="O1596" s="20"/>
      <c r="P1596" s="32" t="str">
        <f>IFERROR(__xludf.DUMMYFUNCTION("""COMPUTED_VALUE"""),"可")</f>
        <v>可</v>
      </c>
      <c r="Q1596" s="30"/>
      <c r="R1596" s="31"/>
      <c r="S1596" s="31" t="str">
        <f>IFERROR(__xludf.DUMMYFUNCTION("""COMPUTED_VALUE"""),"20240531_一迅社_春には程遠く")</f>
        <v>20240531_一迅社_春には程遠く</v>
      </c>
      <c r="T1596" s="31" t="str">
        <f>IFERROR(__xludf.DUMMYFUNCTION("""COMPUTED_VALUE"""),"格納済み")</f>
        <v>格納済み</v>
      </c>
      <c r="U1596" s="15" t="str">
        <f>IFERROR(__xludf.DUMMYFUNCTION("""COMPUTED_VALUE"""),"(C)桜庭ゆい・真冬日／一迅社")</f>
        <v>(C)桜庭ゆい・真冬日／一迅社</v>
      </c>
      <c r="V1596" s="8" t="str">
        <f>IFERROR(__xludf.DUMMYFUNCTION("""COMPUTED_VALUE"""),"身勝手な後輩に騙されていたので助けてあげた男、実は大金持ちの隠れイケメンでした!?　※この作品は『極上エリート男子は私だけに激甘です!?～逆転恋愛アンソロジーコミック～』収録作品と同一の内容を単話版として再編集したものとなります。")</f>
        <v>身勝手な後輩に騙されていたので助けてあげた男、実は大金持ちの隠れイケメンでした!?　※この作品は『極上エリート男子は私だけに激甘です!?～逆転恋愛アンソロジーコミック～』収録作品と同一の内容を単話版として再編集したものとなります。</v>
      </c>
      <c r="W1596" s="14"/>
      <c r="X1596" s="14" t="str">
        <f>IFERROR(__xludf.DUMMYFUNCTION("""COMPUTED_VALUE"""),"有")</f>
        <v>有</v>
      </c>
      <c r="Y1596" s="8" t="str">
        <f>IFERROR(__xludf.DUMMYFUNCTION("""COMPUTED_VALUE"""),"P10まで")</f>
        <v>P10まで</v>
      </c>
      <c r="Z1596" s="7"/>
      <c r="AA1596" s="7"/>
      <c r="AB1596" s="7"/>
    </row>
    <row r="1597" ht="81.0" customHeight="1">
      <c r="A1597" s="26">
        <f>IFERROR(__xludf.DUMMYFUNCTION("""COMPUTED_VALUE"""),3398.0)</f>
        <v>3398</v>
      </c>
      <c r="B1597" s="31" t="str">
        <f>IFERROR(__xludf.DUMMYFUNCTION("""COMPUTED_VALUE"""),"確定")</f>
        <v>確定</v>
      </c>
      <c r="C1597" s="28">
        <f>IFERROR(__xludf.DUMMYFUNCTION("""COMPUTED_VALUE"""),45421.0)</f>
        <v>45421</v>
      </c>
      <c r="D1597" s="28">
        <f>IFERROR(__xludf.DUMMYFUNCTION("""COMPUTED_VALUE"""),45447.0)</f>
        <v>45447</v>
      </c>
      <c r="E1597" s="31">
        <f>IFERROR(__xludf.DUMMYFUNCTION("""COMPUTED_VALUE"""),293681.0)</f>
        <v>293681</v>
      </c>
      <c r="F1597" s="31" t="str">
        <f>IFERROR(__xludf.DUMMYFUNCTION("""COMPUTED_VALUE"""),"わたしの隣に立てるのは？")</f>
        <v>わたしの隣に立てるのは？</v>
      </c>
      <c r="G1597" s="20">
        <f>IFERROR(__xludf.DUMMYFUNCTION("""COMPUTED_VALUE"""),1.0)</f>
        <v>1</v>
      </c>
      <c r="H1597" s="31" t="str">
        <f>IFERROR(__xludf.DUMMYFUNCTION("""COMPUTED_VALUE"""),"松浦ぶんこ・別府マコト")</f>
        <v>松浦ぶんこ・別府マコト</v>
      </c>
      <c r="I1597" s="31" t="str">
        <f>IFERROR(__xludf.DUMMYFUNCTION("""COMPUTED_VALUE"""),"少女")</f>
        <v>少女</v>
      </c>
      <c r="J1597" s="31"/>
      <c r="K1597" s="31"/>
      <c r="L1597" s="31" t="str">
        <f>IFERROR(__xludf.DUMMYFUNCTION("""COMPUTED_VALUE"""),"一迅社")</f>
        <v>一迅社</v>
      </c>
      <c r="M1597" s="23">
        <f>IFERROR(__xludf.DUMMYFUNCTION("""COMPUTED_VALUE"""),45471.0)</f>
        <v>45471</v>
      </c>
      <c r="N1597" s="23">
        <f>IFERROR(__xludf.DUMMYFUNCTION("""COMPUTED_VALUE"""),45533.66666666667)</f>
        <v>45533.66667</v>
      </c>
      <c r="O1597" s="20"/>
      <c r="P1597" s="32" t="str">
        <f>IFERROR(__xludf.DUMMYFUNCTION("""COMPUTED_VALUE"""),"可")</f>
        <v>可</v>
      </c>
      <c r="Q1597" s="30"/>
      <c r="R1597" s="31"/>
      <c r="S1597" s="31" t="str">
        <f>IFERROR(__xludf.DUMMYFUNCTION("""COMPUTED_VALUE"""),"20240531_一迅社_わたしの隣に立てるのは？")</f>
        <v>20240531_一迅社_わたしの隣に立てるのは？</v>
      </c>
      <c r="T1597" s="31" t="str">
        <f>IFERROR(__xludf.DUMMYFUNCTION("""COMPUTED_VALUE"""),"格納済み")</f>
        <v>格納済み</v>
      </c>
      <c r="U1597" s="15" t="str">
        <f>IFERROR(__xludf.DUMMYFUNCTION("""COMPUTED_VALUE"""),"(C)松浦ぶんこ・別府マコト／一迅社")</f>
        <v>(C)松浦ぶんこ・別府マコト／一迅社</v>
      </c>
      <c r="V1597" s="8" t="str">
        <f>IFERROR(__xludf.DUMMYFUNCTION("""COMPUTED_VALUE"""),"有能すぎて妬まれ、婚約破棄された私。新しい職場で出会ったイケメンの正体は…？　※この作品は『極上エリート男子は私だけに激甘です!?～逆転恋愛アンソロジーコミック～』収録作品と同一の内容を単話版として再編集したものとなります。")</f>
        <v>有能すぎて妬まれ、婚約破棄された私。新しい職場で出会ったイケメンの正体は…？　※この作品は『極上エリート男子は私だけに激甘です!?～逆転恋愛アンソロジーコミック～』収録作品と同一の内容を単話版として再編集したものとなります。</v>
      </c>
      <c r="W1597" s="14"/>
      <c r="X1597" s="14" t="str">
        <f>IFERROR(__xludf.DUMMYFUNCTION("""COMPUTED_VALUE"""),"有")</f>
        <v>有</v>
      </c>
      <c r="Y1597" s="8" t="str">
        <f>IFERROR(__xludf.DUMMYFUNCTION("""COMPUTED_VALUE"""),"P9まで")</f>
        <v>P9まで</v>
      </c>
      <c r="Z1597" s="7"/>
      <c r="AA1597" s="7"/>
      <c r="AB1597" s="7"/>
    </row>
    <row r="1598" ht="15.75" customHeight="1">
      <c r="A1598" s="26">
        <f>IFERROR(__xludf.DUMMYFUNCTION("""COMPUTED_VALUE"""),3448.0)</f>
        <v>3448</v>
      </c>
      <c r="B1598" s="31" t="str">
        <f>IFERROR(__xludf.DUMMYFUNCTION("""COMPUTED_VALUE"""),"確定")</f>
        <v>確定</v>
      </c>
      <c r="C1598" s="28">
        <f>IFERROR(__xludf.DUMMYFUNCTION("""COMPUTED_VALUE"""),45432.0)</f>
        <v>45432</v>
      </c>
      <c r="D1598" s="28">
        <f>IFERROR(__xludf.DUMMYFUNCTION("""COMPUTED_VALUE"""),45447.0)</f>
        <v>45447</v>
      </c>
      <c r="E1598" s="31">
        <f>IFERROR(__xludf.DUMMYFUNCTION("""COMPUTED_VALUE"""),295772.0)</f>
        <v>295772</v>
      </c>
      <c r="F1598" s="31" t="str">
        <f>IFERROR(__xludf.DUMMYFUNCTION("""COMPUTED_VALUE"""),"年下、時々ドS～可愛い元教え子に迫られてます～")</f>
        <v>年下、時々ドS～可愛い元教え子に迫られてます～</v>
      </c>
      <c r="G1598" s="20" t="str">
        <f>IFERROR(__xludf.DUMMYFUNCTION("""COMPUTED_VALUE"""),"1～3")</f>
        <v>1～3</v>
      </c>
      <c r="H1598" s="31" t="str">
        <f>IFERROR(__xludf.DUMMYFUNCTION("""COMPUTED_VALUE"""),"ウヱ")</f>
        <v>ウヱ</v>
      </c>
      <c r="I1598" s="31" t="str">
        <f>IFERROR(__xludf.DUMMYFUNCTION("""COMPUTED_VALUE"""),"女性")</f>
        <v>女性</v>
      </c>
      <c r="J1598" s="31"/>
      <c r="K1598" s="31"/>
      <c r="L1598" s="31" t="str">
        <f>IFERROR(__xludf.DUMMYFUNCTION("""COMPUTED_VALUE"""),"MUGENUP")</f>
        <v>MUGENUP</v>
      </c>
      <c r="M1598" s="23">
        <f>IFERROR(__xludf.DUMMYFUNCTION("""COMPUTED_VALUE"""),45472.0)</f>
        <v>45472</v>
      </c>
      <c r="N1598" s="23">
        <f>IFERROR(__xludf.DUMMYFUNCTION("""COMPUTED_VALUE"""),45563.0)</f>
        <v>45563</v>
      </c>
      <c r="O1598" s="20"/>
      <c r="P1598" s="34" t="str">
        <f>IFERROR(__xludf.DUMMYFUNCTION("""COMPUTED_VALUE"""),"可")</f>
        <v>可</v>
      </c>
      <c r="Q1598" s="31" t="str">
        <f>IFERROR(__xludf.DUMMYFUNCTION("""COMPUTED_VALUE"""),"広告コミットOK(5/23)&lt;BR&gt;")</f>
        <v>広告コミットOK(5/23)&lt;BR&gt;</v>
      </c>
      <c r="R1598" s="31" t="str">
        <f>IFERROR(__xludf.DUMMYFUNCTION("""COMPUTED_VALUE"""),"格納済み")</f>
        <v>格納済み</v>
      </c>
      <c r="S1598" s="31" t="str">
        <f>IFERROR(__xludf.DUMMYFUNCTION("""COMPUTED_VALUE"""),"20240603_年下、時々ドS_MUGENUP")</f>
        <v>20240603_年下、時々ドS_MUGENUP</v>
      </c>
      <c r="T1598" s="31" t="str">
        <f>IFERROR(__xludf.DUMMYFUNCTION("""COMPUTED_VALUE"""),"格納済み")</f>
        <v>格納済み</v>
      </c>
      <c r="U1598" s="15" t="str">
        <f>IFERROR(__xludf.DUMMYFUNCTION("""COMPUTED_VALUE"""),"（C）ウヱ／MUGENUP")</f>
        <v>（C）ウヱ／MUGENUP</v>
      </c>
      <c r="V1598" s="8" t="str">
        <f>IFERROR(__xludf.DUMMYFUNCTION("""COMPUTED_VALUE"""),"「だってまだ好きだもん、楓先生のこと」
平凡な毎日に心地よさを感じているアラサー・楓。
通勤電車で見かけた学生に家庭教師バイト時代の教え子を重ね懐かしみつつ、のんびり平穏に過ごす日々。
ある日、楓の会社に本社からイケメン若手社員が来るとの噂が…
そんな女性社員が色めきだつ中登場したのは、まさかの元教え子・脩くんだった！
大きくなった脩の姿に心打たれながら社内を案内していると、
「先生に会えるかもってこの会社に就職したんだ！」
「やっと会えたのに逃すわけないよ…」
「顔赤くなってかわ"&amp;"いい」
あれ？なんか様子がおかしい…？
女性社員からの牽制の目が痛い…私は平穏に過ごしたいのに──！
シゴデキで優しくてイケメンで…可愛かった元教え子が完璧男子になって迫ってくる！")</f>
        <v>「だってまだ好きだもん、楓先生のこと」
平凡な毎日に心地よさを感じているアラサー・楓。
通勤電車で見かけた学生に家庭教師バイト時代の教え子を重ね懐かしみつつ、のんびり平穏に過ごす日々。
ある日、楓の会社に本社からイケメン若手社員が来るとの噂が…
そんな女性社員が色めきだつ中登場したのは、まさかの元教え子・脩くんだった！
大きくなった脩の姿に心打たれながら社内を案内していると、
「先生に会えるかもってこの会社に就職したんだ！」
「やっと会えたのに逃すわけないよ…」
「顔赤くなってかわいい」
あれ？なんか様子がおかしい…？
女性社員からの牽制の目が痛い…私は平穏に過ごしたいのに──！
シゴデキで優しくてイケメンで…可愛かった元教え子が完璧男子になって迫ってくる！</v>
      </c>
      <c r="W1598" s="14"/>
      <c r="X1598" s="14" t="str">
        <f>IFERROR(__xludf.DUMMYFUNCTION("""COMPUTED_VALUE"""),"有")</f>
        <v>有</v>
      </c>
      <c r="Y1598" s="8" t="str">
        <f>IFERROR(__xludf.DUMMYFUNCTION("""COMPUTED_VALUE"""),"P11まで")</f>
        <v>P11まで</v>
      </c>
      <c r="Z1598" s="7"/>
      <c r="AA1598" s="7"/>
      <c r="AB1598" s="7"/>
    </row>
    <row r="1599" ht="15.75" customHeight="1">
      <c r="A1599" s="26">
        <f>IFERROR(__xludf.DUMMYFUNCTION("""COMPUTED_VALUE"""),3449.0)</f>
        <v>3449</v>
      </c>
      <c r="B1599" s="31" t="str">
        <f>IFERROR(__xludf.DUMMYFUNCTION("""COMPUTED_VALUE"""),"確定")</f>
        <v>確定</v>
      </c>
      <c r="C1599" s="28">
        <f>IFERROR(__xludf.DUMMYFUNCTION("""COMPUTED_VALUE"""),45432.0)</f>
        <v>45432</v>
      </c>
      <c r="D1599" s="28">
        <f>IFERROR(__xludf.DUMMYFUNCTION("""COMPUTED_VALUE"""),45447.0)</f>
        <v>45447</v>
      </c>
      <c r="E1599" s="31">
        <f>IFERROR(__xludf.DUMMYFUNCTION("""COMPUTED_VALUE"""),295765.0)</f>
        <v>295765</v>
      </c>
      <c r="F1599" s="31" t="str">
        <f>IFERROR(__xludf.DUMMYFUNCTION("""COMPUTED_VALUE"""),"君への愛撫は念入りに～真面目な同期と克服エッチします～")</f>
        <v>君への愛撫は念入りに～真面目な同期と克服エッチします～</v>
      </c>
      <c r="G1599" s="20" t="str">
        <f>IFERROR(__xludf.DUMMYFUNCTION("""COMPUTED_VALUE"""),"1～3")</f>
        <v>1～3</v>
      </c>
      <c r="H1599" s="31" t="str">
        <f>IFERROR(__xludf.DUMMYFUNCTION("""COMPUTED_VALUE"""),"翠屋るり")</f>
        <v>翠屋るり</v>
      </c>
      <c r="I1599" s="31" t="str">
        <f>IFERROR(__xludf.DUMMYFUNCTION("""COMPUTED_VALUE"""),"TL")</f>
        <v>TL</v>
      </c>
      <c r="J1599" s="31"/>
      <c r="K1599" s="31"/>
      <c r="L1599" s="31" t="str">
        <f>IFERROR(__xludf.DUMMYFUNCTION("""COMPUTED_VALUE"""),"MUGENUP")</f>
        <v>MUGENUP</v>
      </c>
      <c r="M1599" s="23">
        <f>IFERROR(__xludf.DUMMYFUNCTION("""COMPUTED_VALUE"""),45472.0)</f>
        <v>45472</v>
      </c>
      <c r="N1599" s="23">
        <f>IFERROR(__xludf.DUMMYFUNCTION("""COMPUTED_VALUE"""),45563.0)</f>
        <v>45563</v>
      </c>
      <c r="O1599" s="20"/>
      <c r="P1599" s="34" t="str">
        <f>IFERROR(__xludf.DUMMYFUNCTION("""COMPUTED_VALUE"""),"可")</f>
        <v>可</v>
      </c>
      <c r="Q1599" s="31" t="str">
        <f>IFERROR(__xludf.DUMMYFUNCTION("""COMPUTED_VALUE"""),"広告コミットOK(5/23)&lt;BR&gt;TLレーベル名：Puffsmore")</f>
        <v>広告コミットOK(5/23)&lt;BR&gt;TLレーベル名：Puffsmore</v>
      </c>
      <c r="R1599" s="31" t="str">
        <f>IFERROR(__xludf.DUMMYFUNCTION("""COMPUTED_VALUE"""),"格納済み")</f>
        <v>格納済み</v>
      </c>
      <c r="S1599" s="31" t="str">
        <f>IFERROR(__xludf.DUMMYFUNCTION("""COMPUTED_VALUE"""),"20240603_君への愛撫は念入りに_MUGENUP")</f>
        <v>20240603_君への愛撫は念入りに_MUGENUP</v>
      </c>
      <c r="T1599" s="31" t="str">
        <f>IFERROR(__xludf.DUMMYFUNCTION("""COMPUTED_VALUE"""),"格納済み")</f>
        <v>格納済み</v>
      </c>
      <c r="U1599" s="15" t="str">
        <f>IFERROR(__xludf.DUMMYFUNCTION("""COMPUTED_VALUE"""),"（C）翠屋るり／MUGENUP")</f>
        <v>（C）翠屋るり／MUGENUP</v>
      </c>
      <c r="V1599" s="8" t="str">
        <f>IFERROR(__xludf.DUMMYFUNCTION("""COMPUTED_VALUE"""),"「絶対にナカでイかせてみせます」
元カレとのHが気持ちよくないと、レスになり浮気をされた末に振られた小森志保。
虚しさに耐え切れなくなった志保は「優しくて良い人」な同期・大村直史にすべて打ち明けることに。
次の日、その同期からサシ飲みに誘われ向かうと「俺、遅漏なんです」「ずっと前から小森さんが好きなんです」と突然2つの重大告白をされてしまう。
後悔の残る過去を抱えた者同士、Hのやり直しをすることになったのだけど…
焦らして触って舐められて…まだ胸だけなのに気持ちよくておかしくなる…
"&amp;"
そんなに丁寧にされたらもうイきそう──
真面目男子の丁寧な愛撫に溶かされまくる！
お互い「2人目」の男女が織りなすHな純粋ラブストーリー！")</f>
        <v>「絶対にナカでイかせてみせます」
元カレとのHが気持ちよくないと、レスになり浮気をされた末に振られた小森志保。
虚しさに耐え切れなくなった志保は「優しくて良い人」な同期・大村直史にすべて打ち明けることに。
次の日、その同期からサシ飲みに誘われ向かうと「俺、遅漏なんです」「ずっと前から小森さんが好きなんです」と突然2つの重大告白をされてしまう。
後悔の残る過去を抱えた者同士、Hのやり直しをすることになったのだけど…
焦らして触って舐められて…まだ胸だけなのに気持ちよくておかしくなる…
そんなに丁寧にされたらもうイきそう──
真面目男子の丁寧な愛撫に溶かされまくる！
お互い「2人目」の男女が織りなすHな純粋ラブストーリー！</v>
      </c>
      <c r="W1599" s="14"/>
      <c r="X1599" s="14" t="str">
        <f>IFERROR(__xludf.DUMMYFUNCTION("""COMPUTED_VALUE"""),"有")</f>
        <v>有</v>
      </c>
      <c r="Y1599" s="8" t="str">
        <f>IFERROR(__xludf.DUMMYFUNCTION("""COMPUTED_VALUE"""),"P9まで")</f>
        <v>P9まで</v>
      </c>
      <c r="Z1599" s="7"/>
      <c r="AA1599" s="7"/>
      <c r="AB1599" s="7"/>
    </row>
    <row r="1600" ht="15.75" customHeight="1">
      <c r="A1600" s="26">
        <f>IFERROR(__xludf.DUMMYFUNCTION("""COMPUTED_VALUE"""),3462.0)</f>
        <v>3462</v>
      </c>
      <c r="B1600" s="31" t="str">
        <f>IFERROR(__xludf.DUMMYFUNCTION("""COMPUTED_VALUE"""),"確定")</f>
        <v>確定</v>
      </c>
      <c r="C1600" s="28">
        <f>IFERROR(__xludf.DUMMYFUNCTION("""COMPUTED_VALUE"""),45433.0)</f>
        <v>45433</v>
      </c>
      <c r="D1600" s="28">
        <f>IFERROR(__xludf.DUMMYFUNCTION("""COMPUTED_VALUE"""),45447.0)</f>
        <v>45447</v>
      </c>
      <c r="E1600" s="26">
        <f>IFERROR(__xludf.DUMMYFUNCTION("""COMPUTED_VALUE"""),284482.0)</f>
        <v>284482</v>
      </c>
      <c r="F1600" s="31" t="str">
        <f>IFERROR(__xludf.DUMMYFUNCTION("""COMPUTED_VALUE"""),"きみに焦がれて恋わすれ")</f>
        <v>きみに焦がれて恋わすれ</v>
      </c>
      <c r="G1600" s="20" t="str">
        <f>IFERROR(__xludf.DUMMYFUNCTION("""COMPUTED_VALUE"""),"1～3")</f>
        <v>1～3</v>
      </c>
      <c r="H1600" s="31" t="str">
        <f>IFERROR(__xludf.DUMMYFUNCTION("""COMPUTED_VALUE"""),"鈴代")</f>
        <v>鈴代</v>
      </c>
      <c r="I1600" s="31" t="str">
        <f>IFERROR(__xludf.DUMMYFUNCTION("""COMPUTED_VALUE"""),"BL")</f>
        <v>BL</v>
      </c>
      <c r="J1600" s="31"/>
      <c r="K1600" s="31"/>
      <c r="L1600" s="31" t="str">
        <f>IFERROR(__xludf.DUMMYFUNCTION("""COMPUTED_VALUE"""),"ソルマーレ編集部")</f>
        <v>ソルマーレ編集部</v>
      </c>
      <c r="M1600" s="23">
        <f>IFERROR(__xludf.DUMMYFUNCTION("""COMPUTED_VALUE"""),45465.0)</f>
        <v>45465</v>
      </c>
      <c r="N1600" s="23">
        <f>IFERROR(__xludf.DUMMYFUNCTION("""COMPUTED_VALUE"""),45617.70833333333)</f>
        <v>45617.70833</v>
      </c>
      <c r="O1600" s="20"/>
      <c r="P1600" s="32" t="str">
        <f>IFERROR(__xludf.DUMMYFUNCTION("""COMPUTED_VALUE"""),"可")</f>
        <v>可</v>
      </c>
      <c r="Q1600" s="30"/>
      <c r="R1600" s="31"/>
      <c r="S1600" s="31" t="str">
        <f>IFERROR(__xludf.DUMMYFUNCTION("""COMPUTED_VALUE"""),"20240531_ソルマーレ編集部_きみに焦がれて恋わすれ")</f>
        <v>20240531_ソルマーレ編集部_きみに焦がれて恋わすれ</v>
      </c>
      <c r="T1600" s="31" t="str">
        <f>IFERROR(__xludf.DUMMYFUNCTION("""COMPUTED_VALUE"""),"格納済み")</f>
        <v>格納済み</v>
      </c>
      <c r="U1600" s="15" t="str">
        <f>IFERROR(__xludf.DUMMYFUNCTION("""COMPUTED_VALUE"""),"Ⓒ 鈴代/シーモアコミックス")</f>
        <v>Ⓒ 鈴代/シーモアコミックス</v>
      </c>
      <c r="V1600" s="8" t="str">
        <f>IFERROR(__xludf.DUMMYFUNCTION("""COMPUTED_VALUE"""),"就職を控えた大学生の燈（あかり）は、中学まで住んでいたかつての故郷である山里の村を訪れる。そこには年上の幼なじみ・一鷹（いちたか）がおり、彼の家への訪問は毎年恒例になっていた。ところが、なぜか村人からは「よそ者は災いを運ぶ」と嫌われ、心ないことを言われてしまう。そんな村人達を、地主の息子でもある一鷹は毎回いさめてくれるのだがーー。
そしてその夜、いつも通り一鷹の家族と楽しく食事をし、彼が住んでいる離れで二人きりになると、去年の夏の訪問を覚えているかと聞かれる。覚えていると答えると、一鷹から更に「キスをし"&amp;"たことは？」と問われーー…？
自分が知らない記憶があるーー!? 鈴代が贈るミステリアス・ラブ始動!!【フィカス】")</f>
        <v>就職を控えた大学生の燈（あかり）は、中学まで住んでいたかつての故郷である山里の村を訪れる。そこには年上の幼なじみ・一鷹（いちたか）がおり、彼の家への訪問は毎年恒例になっていた。ところが、なぜか村人からは「よそ者は災いを運ぶ」と嫌われ、心ないことを言われてしまう。そんな村人達を、地主の息子でもある一鷹は毎回いさめてくれるのだがーー。
そしてその夜、いつも通り一鷹の家族と楽しく食事をし、彼が住んでいる離れで二人きりになると、去年の夏の訪問を覚えているかと聞かれる。覚えていると答えると、一鷹から更に「キスをしたことは？」と問われーー…？
自分が知らない記憶があるーー!? 鈴代が贈るミステリアス・ラブ始動!!【フィカス】</v>
      </c>
      <c r="W1600" s="14"/>
      <c r="X1600" s="14" t="str">
        <f>IFERROR(__xludf.DUMMYFUNCTION("""COMPUTED_VALUE"""),"有")</f>
        <v>有</v>
      </c>
      <c r="Y1600" s="8" t="str">
        <f>IFERROR(__xludf.DUMMYFUNCTION("""COMPUTED_VALUE"""),"P8まで")</f>
        <v>P8まで</v>
      </c>
      <c r="Z1600" s="7"/>
      <c r="AA1600" s="7"/>
      <c r="AB1600" s="7"/>
    </row>
    <row r="1601" ht="15.75" customHeight="1">
      <c r="A1601" s="26">
        <f>IFERROR(__xludf.DUMMYFUNCTION("""COMPUTED_VALUE"""),3504.0)</f>
        <v>3504</v>
      </c>
      <c r="B1601" s="31" t="str">
        <f>IFERROR(__xludf.DUMMYFUNCTION("""COMPUTED_VALUE"""),"確定")</f>
        <v>確定</v>
      </c>
      <c r="C1601" s="28">
        <f>IFERROR(__xludf.DUMMYFUNCTION("""COMPUTED_VALUE"""),45439.0)</f>
        <v>45439</v>
      </c>
      <c r="D1601" s="28">
        <f>IFERROR(__xludf.DUMMYFUNCTION("""COMPUTED_VALUE"""),45447.0)</f>
        <v>45447</v>
      </c>
      <c r="E1601" s="31">
        <f>IFERROR(__xludf.DUMMYFUNCTION("""COMPUTED_VALUE"""),297034.0)</f>
        <v>297034</v>
      </c>
      <c r="F1601" s="31" t="str">
        <f>IFERROR(__xludf.DUMMYFUNCTION("""COMPUTED_VALUE"""),"推し活がしたい転生令嬢ですが最推しの公爵様に囲い込まれました！")</f>
        <v>推し活がしたい転生令嬢ですが最推しの公爵様に囲い込まれました！</v>
      </c>
      <c r="G1601" s="20">
        <f>IFERROR(__xludf.DUMMYFUNCTION("""COMPUTED_VALUE"""),1.0)</f>
        <v>1</v>
      </c>
      <c r="H1601" s="31" t="str">
        <f>IFERROR(__xludf.DUMMYFUNCTION("""COMPUTED_VALUE"""),"漣ライカ・猫屋ちゃき")</f>
        <v>漣ライカ・猫屋ちゃき</v>
      </c>
      <c r="I1601" s="31" t="str">
        <f>IFERROR(__xludf.DUMMYFUNCTION("""COMPUTED_VALUE"""),"TL")</f>
        <v>TL</v>
      </c>
      <c r="J1601" s="31"/>
      <c r="K1601" s="31"/>
      <c r="L1601" s="31" t="str">
        <f>IFERROR(__xludf.DUMMYFUNCTION("""COMPUTED_VALUE"""),"乙女ドルチェ・コミックス")</f>
        <v>乙女ドルチェ・コミックス</v>
      </c>
      <c r="M1601" s="23">
        <f>IFERROR(__xludf.DUMMYFUNCTION("""COMPUTED_VALUE"""),45491.0)</f>
        <v>45491</v>
      </c>
      <c r="N1601" s="23">
        <f>IFERROR(__xludf.DUMMYFUNCTION("""COMPUTED_VALUE"""),45552.0)</f>
        <v>45552</v>
      </c>
      <c r="O1601" s="20"/>
      <c r="P1601" s="34" t="str">
        <f>IFERROR(__xludf.DUMMYFUNCTION("""COMPUTED_VALUE"""),"可")</f>
        <v>可</v>
      </c>
      <c r="Q1601" s="31" t="str">
        <f>IFERROR(__xludf.DUMMYFUNCTION("""COMPUTED_VALUE"""),"広告コミットOK(6/4)")</f>
        <v>広告コミットOK(6/4)</v>
      </c>
      <c r="R1601" s="31" t="str">
        <f>IFERROR(__xludf.DUMMYFUNCTION("""COMPUTED_VALUE"""),"格納済")</f>
        <v>格納済</v>
      </c>
      <c r="S1601" s="31" t="str">
        <f>IFERROR(__xludf.DUMMYFUNCTION("""COMPUTED_VALUE"""),"20240604_乙女ドルチェ_推し活がしたい転生令嬢ですが最推しの公爵様に囲い込まれました")</f>
        <v>20240604_乙女ドルチェ_推し活がしたい転生令嬢ですが最推しの公爵様に囲い込まれました</v>
      </c>
      <c r="T1601" s="31" t="str">
        <f>IFERROR(__xludf.DUMMYFUNCTION("""COMPUTED_VALUE"""),"格納済み")</f>
        <v>格納済み</v>
      </c>
      <c r="U1601" s="15" t="str">
        <f>IFERROR(__xludf.DUMMYFUNCTION("""COMPUTED_VALUE"""),"（C)漣ライカ・猫屋ちゃき／ハーパーコリンズ・ジャパン")</f>
        <v>（C)漣ライカ・猫屋ちゃき／ハーパーコリンズ・ジャパン</v>
      </c>
      <c r="V1601" s="8" t="str">
        <f>IFERROR(__xludf.DUMMYFUNCTION("""COMPUTED_VALUE"""),"際どい創作してても男性経験ゼロだったのに、
推し本人に抱かれています…。
「口づけと愛撫だけでこんなになって…」
前世の推しにそっくりな公爵への妄想を、同人活動で作品にしていた転生令嬢のナディア。そんな彼女のもとに、最推しのライナルト公爵本人が現れた！　推し活で培った観察眼と画力を面白がられ、諜報活動への協力を命じられた上に、求婚までされてしまう。まさか推しからキスされて「たっぷり可愛がってやる」と溶かされる夜が来るなんて…！　創作だけでは知りようのない、本物の快楽と熱にナディアはおかしくなりそ"&amp;"うで…。")</f>
        <v>際どい創作してても男性経験ゼロだったのに、
推し本人に抱かれています…。
「口づけと愛撫だけでこんなになって…」
前世の推しにそっくりな公爵への妄想を、同人活動で作品にしていた転生令嬢のナディア。そんな彼女のもとに、最推しのライナルト公爵本人が現れた！　推し活で培った観察眼と画力を面白がられ、諜報活動への協力を命じられた上に、求婚までされてしまう。まさか推しからキスされて「たっぷり可愛がってやる」と溶かされる夜が来るなんて…！　創作だけでは知りようのない、本物の快楽と熱にナディアはおかしくなりそうで…。</v>
      </c>
      <c r="W1601" s="14"/>
      <c r="X1601" s="14" t="str">
        <f>IFERROR(__xludf.DUMMYFUNCTION("""COMPUTED_VALUE"""),"有")</f>
        <v>有</v>
      </c>
      <c r="Y1601" s="8" t="str">
        <f>IFERROR(__xludf.DUMMYFUNCTION("""COMPUTED_VALUE"""),"P28まで")</f>
        <v>P28まで</v>
      </c>
      <c r="Z1601" s="7"/>
      <c r="AA1601" s="7"/>
      <c r="AB1601" s="7"/>
    </row>
    <row r="1602" ht="15.75" customHeight="1">
      <c r="A1602" s="26">
        <f>IFERROR(__xludf.DUMMYFUNCTION("""COMPUTED_VALUE"""),3542.0)</f>
        <v>3542</v>
      </c>
      <c r="B1602" s="31" t="str">
        <f>IFERROR(__xludf.DUMMYFUNCTION("""COMPUTED_VALUE"""),"確定")</f>
        <v>確定</v>
      </c>
      <c r="C1602" s="28">
        <f>IFERROR(__xludf.DUMMYFUNCTION("""COMPUTED_VALUE"""),45441.0)</f>
        <v>45441</v>
      </c>
      <c r="D1602" s="28">
        <f>IFERROR(__xludf.DUMMYFUNCTION("""COMPUTED_VALUE"""),45442.0)</f>
        <v>45442</v>
      </c>
      <c r="E1602" s="26">
        <f>IFERROR(__xludf.DUMMYFUNCTION("""COMPUTED_VALUE"""),162253.0)</f>
        <v>162253</v>
      </c>
      <c r="F1602" s="31" t="str">
        <f>IFERROR(__xludf.DUMMYFUNCTION("""COMPUTED_VALUE"""),"25時、赤坂で")</f>
        <v>25時、赤坂で</v>
      </c>
      <c r="G1602" s="20" t="str">
        <f>IFERROR(__xludf.DUMMYFUNCTION("""COMPUTED_VALUE"""),"1~5")</f>
        <v>1~5</v>
      </c>
      <c r="H1602" s="31" t="str">
        <f>IFERROR(__xludf.DUMMYFUNCTION("""COMPUTED_VALUE"""),"夏野寛子")</f>
        <v>夏野寛子</v>
      </c>
      <c r="I1602" s="31" t="str">
        <f>IFERROR(__xludf.DUMMYFUNCTION("""COMPUTED_VALUE"""),"BL")</f>
        <v>BL</v>
      </c>
      <c r="J1602" s="31"/>
      <c r="K1602" s="31"/>
      <c r="L1602" s="31" t="str">
        <f>IFERROR(__xludf.DUMMYFUNCTION("""COMPUTED_VALUE"""),"祥伝社")</f>
        <v>祥伝社</v>
      </c>
      <c r="M1602" s="23">
        <f>IFERROR(__xludf.DUMMYFUNCTION("""COMPUTED_VALUE"""),45454.0)</f>
        <v>45454</v>
      </c>
      <c r="N1602" s="47">
        <f>IFERROR(__xludf.DUMMYFUNCTION("""COMPUTED_VALUE"""),45489.0)</f>
        <v>45489</v>
      </c>
      <c r="O1602" s="20"/>
      <c r="P1602" s="34" t="str">
        <f>IFERROR(__xludf.DUMMYFUNCTION("""COMPUTED_VALUE"""),"可")</f>
        <v>可</v>
      </c>
      <c r="Q1602" s="30" t="str">
        <f>IFERROR(__xludf.DUMMYFUNCTION("""COMPUTED_VALUE"""),"事前に河上さんからOKいただいてる件です")</f>
        <v>事前に河上さんからOKいただいてる件です</v>
      </c>
      <c r="R1602" s="31"/>
      <c r="S1602" s="31" t="str">
        <f>IFERROR(__xludf.DUMMYFUNCTION("""COMPUTED_VALUE"""),"20240529_祥伝社_25時、赤坂で")</f>
        <v>20240529_祥伝社_25時、赤坂で</v>
      </c>
      <c r="T1602" s="31" t="str">
        <f>IFERROR(__xludf.DUMMYFUNCTION("""COMPUTED_VALUE"""),"格納済み")</f>
        <v>格納済み</v>
      </c>
      <c r="U1602" s="15" t="str">
        <f>IFERROR(__xludf.DUMMYFUNCTION("""COMPUTED_VALUE"""),"（C）夏野寛子/祥伝社 on BLUE COMICS")</f>
        <v>（C）夏野寛子/祥伝社 on BLUE COMICS</v>
      </c>
      <c r="V1602" s="8" t="str">
        <f>IFERROR(__xludf.DUMMYFUNCTION("""COMPUTED_VALUE"""),"超人気俳優×新人俳優、同性愛ドラマ撮影中の恋。
新人俳優の白崎由岐（26）は、大学の先輩で超人気俳優の羽山麻水（28）と同性愛ドラマで共演することになった。ゲイ役の芝居感が掴めない白崎は、男に抱かれてみようとハッテン場へ。そこでなぜか羽山に捕まり、相手を買って出られる。“芝居のためのセフレ協力”。即物的に始まった関係だったが、精緻な美貌と圧倒的なオーラの羽山に甘く心ごと抱き込まれ、白崎は恋心を自覚した。しかしドラマ撮影は終わりに近づき―――。")</f>
        <v>超人気俳優×新人俳優、同性愛ドラマ撮影中の恋。
新人俳優の白崎由岐（26）は、大学の先輩で超人気俳優の羽山麻水（28）と同性愛ドラマで共演することになった。ゲイ役の芝居感が掴めない白崎は、男に抱かれてみようとハッテン場へ。そこでなぜか羽山に捕まり、相手を買って出られる。“芝居のためのセフレ協力”。即物的に始まった関係だったが、精緻な美貌と圧倒的なオーラの羽山に甘く心ごと抱き込まれ、白崎は恋心を自覚した。しかしドラマ撮影は終わりに近づき―――。</v>
      </c>
      <c r="W1602" s="14"/>
      <c r="X1602" s="14" t="str">
        <f>IFERROR(__xludf.DUMMYFUNCTION("""COMPUTED_VALUE"""),"有")</f>
        <v>有</v>
      </c>
      <c r="Y1602" s="8" t="str">
        <f>IFERROR(__xludf.DUMMYFUNCTION("""COMPUTED_VALUE"""),"2024/7/16まで1巻無料")</f>
        <v>2024/7/16まで1巻無料</v>
      </c>
      <c r="Z1602" s="7"/>
      <c r="AA1602" s="7"/>
      <c r="AB1602" s="7"/>
    </row>
    <row r="1603" ht="105.75" customHeight="1">
      <c r="A1603" s="26">
        <f>IFERROR(__xludf.DUMMYFUNCTION("""COMPUTED_VALUE"""),3543.0)</f>
        <v>3543</v>
      </c>
      <c r="B1603" s="31" t="str">
        <f>IFERROR(__xludf.DUMMYFUNCTION("""COMPUTED_VALUE"""),"確定")</f>
        <v>確定</v>
      </c>
      <c r="C1603" s="28">
        <f>IFERROR(__xludf.DUMMYFUNCTION("""COMPUTED_VALUE"""),45441.0)</f>
        <v>45441</v>
      </c>
      <c r="D1603" s="28">
        <f>IFERROR(__xludf.DUMMYFUNCTION("""COMPUTED_VALUE"""),45446.0)</f>
        <v>45446</v>
      </c>
      <c r="E1603" s="31">
        <f>IFERROR(__xludf.DUMMYFUNCTION("""COMPUTED_VALUE"""),295875.0)</f>
        <v>295875</v>
      </c>
      <c r="F1603" s="31" t="str">
        <f>IFERROR(__xludf.DUMMYFUNCTION("""COMPUTED_VALUE"""),"復讐コンサル ～社会のゴミをお掃除します～")</f>
        <v>復讐コンサル ～社会のゴミをお掃除します～</v>
      </c>
      <c r="G1603" s="20" t="str">
        <f>IFERROR(__xludf.DUMMYFUNCTION("""COMPUTED_VALUE"""),"1～7")</f>
        <v>1～7</v>
      </c>
      <c r="H1603" s="31" t="str">
        <f>IFERROR(__xludf.DUMMYFUNCTION("""COMPUTED_VALUE"""),"おどろ,小野,紗織,キャスパー")</f>
        <v>おどろ,小野,紗織,キャスパー</v>
      </c>
      <c r="I1603" s="31" t="str">
        <f>IFERROR(__xludf.DUMMYFUNCTION("""COMPUTED_VALUE"""),"女性")</f>
        <v>女性</v>
      </c>
      <c r="J1603" s="31"/>
      <c r="K1603" s="31"/>
      <c r="L1603" s="31" t="str">
        <f>IFERROR(__xludf.DUMMYFUNCTION("""COMPUTED_VALUE"""),"SBCr")</f>
        <v>SBCr</v>
      </c>
      <c r="M1603" s="23">
        <f>IFERROR(__xludf.DUMMYFUNCTION("""COMPUTED_VALUE"""),45465.0)</f>
        <v>45465</v>
      </c>
      <c r="N1603" s="47">
        <f>IFERROR(__xludf.DUMMYFUNCTION("""COMPUTED_VALUE"""),45526.0)</f>
        <v>45526</v>
      </c>
      <c r="O1603" s="20"/>
      <c r="P1603" s="34" t="str">
        <f>IFERROR(__xludf.DUMMYFUNCTION("""COMPUTED_VALUE"""),"可")</f>
        <v>可</v>
      </c>
      <c r="Q1603" s="30" t="str">
        <f>IFERROR(__xludf.DUMMYFUNCTION("""COMPUTED_VALUE"""),"2巻無料予定&lt;BR&gt;格納素材を初回7話分として全て使用して問題ございません")</f>
        <v>2巻無料予定&lt;BR&gt;格納素材を初回7話分として全て使用して問題ございません</v>
      </c>
      <c r="R1603" s="31"/>
      <c r="S1603" s="31" t="str">
        <f>IFERROR(__xludf.DUMMYFUNCTION("""COMPUTED_VALUE"""),"20240529_SBCr_復讐コンサル")</f>
        <v>20240529_SBCr_復讐コンサル</v>
      </c>
      <c r="T1603" s="31" t="str">
        <f>IFERROR(__xludf.DUMMYFUNCTION("""COMPUTED_VALUE"""),"格納済み")</f>
        <v>格納済み</v>
      </c>
      <c r="U1603" s="15" t="str">
        <f>IFERROR(__xludf.DUMMYFUNCTION("""COMPUTED_VALUE"""),"© tegy.inc")</f>
        <v>© tegy.inc</v>
      </c>
      <c r="V1603" s="8" t="str">
        <f>IFERROR(__xludf.DUMMYFUNCTION("""COMPUTED_VALUE"""),"ハウスクリーニング業者として様々な”お掃除”をしているミキ。掃除と言ってもホコリやゴミやカビに限らず、腐ったゴミのような人間の掃除など様々な依頼が届く。復讐コンサルという別の顔をもつミキによる爽快復讐劇を描く短編ストーリーシリーズ。")</f>
        <v>ハウスクリーニング業者として様々な”お掃除”をしているミキ。掃除と言ってもホコリやゴミやカビに限らず、腐ったゴミのような人間の掃除など様々な依頼が届く。復讐コンサルという別の顔をもつミキによる爽快復讐劇を描く短編ストーリーシリーズ。</v>
      </c>
      <c r="W1603" s="14"/>
      <c r="X1603" s="14" t="str">
        <f>IFERROR(__xludf.DUMMYFUNCTION("""COMPUTED_VALUE"""),"有")</f>
        <v>有</v>
      </c>
      <c r="Y1603" s="8" t="str">
        <f>IFERROR(__xludf.DUMMYFUNCTION("""COMPUTED_VALUE"""),"2巻無料")</f>
        <v>2巻無料</v>
      </c>
      <c r="Z1603" s="7"/>
      <c r="AA1603" s="7"/>
      <c r="AB1603" s="7"/>
    </row>
    <row r="1604" ht="15.75" customHeight="1">
      <c r="A1604" s="26">
        <f>IFERROR(__xludf.DUMMYFUNCTION("""COMPUTED_VALUE"""),3544.0)</f>
        <v>3544</v>
      </c>
      <c r="B1604" s="31" t="str">
        <f>IFERROR(__xludf.DUMMYFUNCTION("""COMPUTED_VALUE"""),"確定")</f>
        <v>確定</v>
      </c>
      <c r="C1604" s="28">
        <f>IFERROR(__xludf.DUMMYFUNCTION("""COMPUTED_VALUE"""),45441.0)</f>
        <v>45441</v>
      </c>
      <c r="D1604" s="28">
        <f>IFERROR(__xludf.DUMMYFUNCTION("""COMPUTED_VALUE"""),45446.0)</f>
        <v>45446</v>
      </c>
      <c r="E1604" s="31">
        <f>IFERROR(__xludf.DUMMYFUNCTION("""COMPUTED_VALUE"""),294658.0)</f>
        <v>294658</v>
      </c>
      <c r="F1604" s="31" t="str">
        <f>IFERROR(__xludf.DUMMYFUNCTION("""COMPUTED_VALUE"""),"お隣の後輩くんは塩なのに激甘")</f>
        <v>お隣の後輩くんは塩なのに激甘</v>
      </c>
      <c r="G1604" s="11" t="str">
        <f>IFERROR(__xludf.DUMMYFUNCTION("""COMPUTED_VALUE"""),"1～4")</f>
        <v>1～4</v>
      </c>
      <c r="H1604" s="31" t="str">
        <f>IFERROR(__xludf.DUMMYFUNCTION("""COMPUTED_VALUE"""),"ミヤケ円")</f>
        <v>ミヤケ円</v>
      </c>
      <c r="I1604" s="31" t="str">
        <f>IFERROR(__xludf.DUMMYFUNCTION("""COMPUTED_VALUE"""),"女性")</f>
        <v>女性</v>
      </c>
      <c r="J1604" s="31"/>
      <c r="K1604" s="31"/>
      <c r="L1604" s="31" t="str">
        <f>IFERROR(__xludf.DUMMYFUNCTION("""COMPUTED_VALUE"""),"秋田書店")</f>
        <v>秋田書店</v>
      </c>
      <c r="M1604" s="23">
        <f>IFERROR(__xludf.DUMMYFUNCTION("""COMPUTED_VALUE"""),45457.0)</f>
        <v>45457</v>
      </c>
      <c r="N1604" s="23">
        <f>IFERROR(__xludf.DUMMYFUNCTION("""COMPUTED_VALUE"""),45519.0)</f>
        <v>45519</v>
      </c>
      <c r="O1604" s="20"/>
      <c r="P1604" s="34" t="str">
        <f>IFERROR(__xludf.DUMMYFUNCTION("""COMPUTED_VALUE"""),"可")</f>
        <v>可</v>
      </c>
      <c r="Q1604" s="30" t="str">
        <f>IFERROR(__xludf.DUMMYFUNCTION("""COMPUTED_VALUE"""),"恋愛LoveMAX&lt;BR&gt;0000136239_jp_0040⇒P105～150&lt;BR&gt;0000136239_jp_0045⇒P221～266&lt;BR&gt;格納素材にて制作のほどよろしくお願いします")</f>
        <v>恋愛LoveMAX&lt;BR&gt;0000136239_jp_0040⇒P105～150&lt;BR&gt;0000136239_jp_0045⇒P221～266&lt;BR&gt;格納素材にて制作のほどよろしくお願いします</v>
      </c>
      <c r="R1604" s="31"/>
      <c r="S1604" s="31" t="str">
        <f>IFERROR(__xludf.DUMMYFUNCTION("""COMPUTED_VALUE"""),"20240529_秋田書店_お隣の後輩くんは塩なのに激甘")</f>
        <v>20240529_秋田書店_お隣の後輩くんは塩なのに激甘</v>
      </c>
      <c r="T1604" s="31" t="str">
        <f>IFERROR(__xludf.DUMMYFUNCTION("""COMPUTED_VALUE"""),"格納済み")</f>
        <v>格納済み</v>
      </c>
      <c r="U1604" s="15" t="str">
        <f>IFERROR(__xludf.DUMMYFUNCTION("""COMPUTED_VALUE"""),"（C）ミヤケ円（秋田書店）")</f>
        <v>（C）ミヤケ円（秋田書店）</v>
      </c>
      <c r="V1604" s="8" t="str">
        <f>IFERROR(__xludf.DUMMYFUNCTION("""COMPUTED_VALUE"""),"「俺のこと誘ってます？」可愛がっていたクール塩顔男子は実は、情熱的な男(オス)だった――!?アラサーのサバサバ女子・杏奈の住むマンションの隣に、会社の後輩男子・日南が引っ越してきた。お風呂を1週間貸してあげることになったけど、日南のカラダは思ったよりも筋肉質でかっこよくて、見とれちゃう…!!大事な後輩だからダメなのに、勢いでHする関係になってしまい…!?")</f>
        <v>「俺のこと誘ってます？」可愛がっていたクール塩顔男子は実は、情熱的な男(オス)だった――!?アラサーのサバサバ女子・杏奈の住むマンションの隣に、会社の後輩男子・日南が引っ越してきた。お風呂を1週間貸してあげることになったけど、日南のカラダは思ったよりも筋肉質でかっこよくて、見とれちゃう…!!大事な後輩だからダメなのに、勢いでHする関係になってしまい…!?</v>
      </c>
      <c r="W1604" s="14"/>
      <c r="X1604" s="14" t="str">
        <f>IFERROR(__xludf.DUMMYFUNCTION("""COMPUTED_VALUE"""),"有")</f>
        <v>有</v>
      </c>
      <c r="Y1604" s="8" t="str">
        <f>IFERROR(__xludf.DUMMYFUNCTION("""COMPUTED_VALUE"""),"2024/8/15まで1巻無料")</f>
        <v>2024/8/15まで1巻無料</v>
      </c>
      <c r="Z1604" s="7"/>
      <c r="AA1604" s="7"/>
      <c r="AB1604" s="7"/>
    </row>
    <row r="1605" ht="15.75" customHeight="1">
      <c r="A1605" s="26">
        <f>IFERROR(__xludf.DUMMYFUNCTION("""COMPUTED_VALUE"""),3556.0)</f>
        <v>3556</v>
      </c>
      <c r="B1605" s="31" t="str">
        <f>IFERROR(__xludf.DUMMYFUNCTION("""COMPUTED_VALUE"""),"確定")</f>
        <v>確定</v>
      </c>
      <c r="C1605" s="28">
        <f>IFERROR(__xludf.DUMMYFUNCTION("""COMPUTED_VALUE"""),45442.0)</f>
        <v>45442</v>
      </c>
      <c r="D1605" s="28">
        <f>IFERROR(__xludf.DUMMYFUNCTION("""COMPUTED_VALUE"""),45446.0)</f>
        <v>45446</v>
      </c>
      <c r="E1605" s="31">
        <f>IFERROR(__xludf.DUMMYFUNCTION("""COMPUTED_VALUE"""),295155.0)</f>
        <v>295155</v>
      </c>
      <c r="F1605" s="31" t="str">
        <f>IFERROR(__xludf.DUMMYFUNCTION("""COMPUTED_VALUE"""),"無能と追放された最弱魔法剣士、呪いが解けたので最強へ成り上がる")</f>
        <v>無能と追放された最弱魔法剣士、呪いが解けたので最強へ成り上がる</v>
      </c>
      <c r="G1605" s="20" t="str">
        <f>IFERROR(__xludf.DUMMYFUNCTION("""COMPUTED_VALUE"""),"1~5(初回配信数確認中)")</f>
        <v>1~5(初回配信数確認中)</v>
      </c>
      <c r="H1605" s="31" t="str">
        <f>IFERROR(__xludf.DUMMYFUNCTION("""COMPUTED_VALUE"""),"戸木瀬シュウ/青空あかな")</f>
        <v>戸木瀬シュウ/青空あかな</v>
      </c>
      <c r="I1605" s="31" t="str">
        <f>IFERROR(__xludf.DUMMYFUNCTION("""COMPUTED_VALUE"""),"少年")</f>
        <v>少年</v>
      </c>
      <c r="J1605" s="31"/>
      <c r="K1605" s="31"/>
      <c r="L1605" s="31" t="str">
        <f>IFERROR(__xludf.DUMMYFUNCTION("""COMPUTED_VALUE"""),"ファンギルド")</f>
        <v>ファンギルド</v>
      </c>
      <c r="M1605" s="23">
        <f>IFERROR(__xludf.DUMMYFUNCTION("""COMPUTED_VALUE"""),45465.0)</f>
        <v>45465</v>
      </c>
      <c r="N1605" s="33">
        <f>IFERROR(__xludf.DUMMYFUNCTION("""COMPUTED_VALUE"""),45525.0)</f>
        <v>45525</v>
      </c>
      <c r="O1605" s="20"/>
      <c r="P1605" s="32" t="str">
        <f>IFERROR(__xludf.DUMMYFUNCTION("""COMPUTED_VALUE"""),"可")</f>
        <v>可</v>
      </c>
      <c r="Q1605" s="30"/>
      <c r="R1605" s="31"/>
      <c r="S1605" s="31" t="str">
        <f>IFERROR(__xludf.DUMMYFUNCTION("""COMPUTED_VALUE"""),"20240530_ファンギルド_無能と追放された最弱魔法剣士、呪いが解けたので最強へ成り上がる")</f>
        <v>20240530_ファンギルド_無能と追放された最弱魔法剣士、呪いが解けたので最強へ成り上がる</v>
      </c>
      <c r="T1605" s="31" t="str">
        <f>IFERROR(__xludf.DUMMYFUNCTION("""COMPUTED_VALUE"""),"格納済み")</f>
        <v>格納済み</v>
      </c>
      <c r="U1605" s="15" t="str">
        <f>IFERROR(__xludf.DUMMYFUNCTION("""COMPUTED_VALUE"""),"Ⓒ戸木瀬シュウ/青空あかな/ファンギルド")</f>
        <v>Ⓒ戸木瀬シュウ/青空あかな/ファンギルド</v>
      </c>
      <c r="V1605" s="8" t="str">
        <f>IFERROR(__xludf.DUMMYFUNCTION("""COMPUTED_VALUE"""),"「ああ、これで……やっと呪いが解ける―――！」剣聖の父、賢者の母の元で鍛錬を積み重ねて最強の力を持っていたアスカ。しかし、彼は魔王の部下にかけられた呪いのせいで本当の実力を発揮できず、仲間のサポーター役に徹していた。冒険の中でやっと呪いが解けた彼だが、パーティーメンバーから無能だとみなされ追放されてしまう。アスカは一人だけでも冒険者として活動をしようと思うが、猫人族の少女ナディア、ウンディーネのティルー、心を支えあえる仲間たちと出会って再び世界を救うための冒険に旅立つ！呪いが解けて真の実力を発揮できるよう"&amp;"になった魔法剣士！史上最強の力で世界の英雄へ成り上がる！【※この作品は話売り「無能と追放された最弱魔法剣士、呪いが解けたので最強へ成り上がる」の電子単行本版です】【収録内容】「無能と追放された最弱魔法剣士、呪いが解けたので最強へ成り上がる」第1話～第5話")</f>
        <v>「ああ、これで……やっと呪いが解ける―――！」剣聖の父、賢者の母の元で鍛錬を積み重ねて最強の力を持っていたアスカ。しかし、彼は魔王の部下にかけられた呪いのせいで本当の実力を発揮できず、仲間のサポーター役に徹していた。冒険の中でやっと呪いが解けた彼だが、パーティーメンバーから無能だとみなされ追放されてしまう。アスカは一人だけでも冒険者として活動をしようと思うが、猫人族の少女ナディア、ウンディーネのティルー、心を支えあえる仲間たちと出会って再び世界を救うための冒険に旅立つ！呪いが解けて真の実力を発揮できるようになった魔法剣士！史上最強の力で世界の英雄へ成り上がる！【※この作品は話売り「無能と追放された最弱魔法剣士、呪いが解けたので最強へ成り上がる」の電子単行本版です】【収録内容】「無能と追放された最弱魔法剣士、呪いが解けたので最強へ成り上がる」第1話～第5話</v>
      </c>
      <c r="W1605" s="14"/>
      <c r="X1605" s="14" t="str">
        <f>IFERROR(__xludf.DUMMYFUNCTION("""COMPUTED_VALUE"""),"有")</f>
        <v>有</v>
      </c>
      <c r="Y1605" s="8" t="str">
        <f>IFERROR(__xludf.DUMMYFUNCTION("""COMPUTED_VALUE"""),"P20まで")</f>
        <v>P20まで</v>
      </c>
      <c r="Z1605" s="7"/>
      <c r="AA1605" s="7"/>
      <c r="AB1605" s="7"/>
    </row>
    <row r="1606" ht="15.75" customHeight="1">
      <c r="A1606" s="26">
        <f>IFERROR(__xludf.DUMMYFUNCTION("""COMPUTED_VALUE"""),3557.0)</f>
        <v>3557</v>
      </c>
      <c r="B1606" s="31" t="str">
        <f>IFERROR(__xludf.DUMMYFUNCTION("""COMPUTED_VALUE"""),"確定")</f>
        <v>確定</v>
      </c>
      <c r="C1606" s="28">
        <f>IFERROR(__xludf.DUMMYFUNCTION("""COMPUTED_VALUE"""),45442.0)</f>
        <v>45442</v>
      </c>
      <c r="D1606" s="28">
        <f>IFERROR(__xludf.DUMMYFUNCTION("""COMPUTED_VALUE"""),45446.0)</f>
        <v>45446</v>
      </c>
      <c r="E1606" s="31">
        <f>IFERROR(__xludf.DUMMYFUNCTION("""COMPUTED_VALUE"""),294201.0)</f>
        <v>294201</v>
      </c>
      <c r="F1606" s="31" t="str">
        <f>IFERROR(__xludf.DUMMYFUNCTION("""COMPUTED_VALUE"""),"彼女のカラダを支配して")</f>
        <v>彼女のカラダを支配して</v>
      </c>
      <c r="G1606" s="11" t="str">
        <f>IFERROR(__xludf.DUMMYFUNCTION("""COMPUTED_VALUE"""),"1～4")</f>
        <v>1～4</v>
      </c>
      <c r="H1606" s="31" t="str">
        <f>IFERROR(__xludf.DUMMYFUNCTION("""COMPUTED_VALUE"""),"Redkeyboard/rainbowpastel")</f>
        <v>Redkeyboard/rainbowpastel</v>
      </c>
      <c r="I1606" s="31" t="str">
        <f>IFERROR(__xludf.DUMMYFUNCTION("""COMPUTED_VALUE"""),"青年")</f>
        <v>青年</v>
      </c>
      <c r="J1606" s="31"/>
      <c r="K1606" s="31"/>
      <c r="L1606" s="31" t="str">
        <f>IFERROR(__xludf.DUMMYFUNCTION("""COMPUTED_VALUE"""),"Rush!")</f>
        <v>Rush!</v>
      </c>
      <c r="M1606" s="23">
        <f>IFERROR(__xludf.DUMMYFUNCTION("""COMPUTED_VALUE"""),45455.0)</f>
        <v>45455</v>
      </c>
      <c r="N1606" s="23">
        <f>IFERROR(__xludf.DUMMYFUNCTION("""COMPUTED_VALUE"""),45482.0)</f>
        <v>45482</v>
      </c>
      <c r="O1606" s="20"/>
      <c r="P1606" s="32" t="str">
        <f>IFERROR(__xludf.DUMMYFUNCTION("""COMPUTED_VALUE"""),"可")</f>
        <v>可</v>
      </c>
      <c r="Q1606" s="30"/>
      <c r="R1606" s="31"/>
      <c r="S1606" s="31" t="str">
        <f>IFERROR(__xludf.DUMMYFUNCTION("""COMPUTED_VALUE"""),"20240530_ファンギルド_彼女のカラダを支配して")</f>
        <v>20240530_ファンギルド_彼女のカラダを支配して</v>
      </c>
      <c r="T1606" s="31" t="str">
        <f>IFERROR(__xludf.DUMMYFUNCTION("""COMPUTED_VALUE"""),"格納済み")</f>
        <v>格納済み</v>
      </c>
      <c r="U1606" s="15" t="str">
        <f>IFERROR(__xludf.DUMMYFUNCTION("""COMPUTED_VALUE"""),"©Redkeyboard/rainbowpastel/TOPTOON")</f>
        <v>©Redkeyboard/rainbowpastel/TOPTOON</v>
      </c>
      <c r="V1606" s="8" t="str">
        <f>IFERROR(__xludf.DUMMYFUNCTION("""COMPUTED_VALUE"""),"幼い頃から内気で周囲と馴染めなかった肖後 透輝（しょうご とうき）。そんな彼を救ってくれたのはとある遊園地、ディスティニー・ランドだった。憧れだった夢の舞台に就職を果たした透輝。しかしそこには小学生当時、自分に嫌がらせをしていた高飛車な女・永崎 レイラ（ながさき レイラ）も勤めていて…。またあの頃と変わらない――そう落ち込んでいた矢先、園内でタロット占い屋を運営する女性と出会い、一枚のカードを手にする。そのカードは、カラダを支配する特別な力を持っていて――！？")</f>
        <v>幼い頃から内気で周囲と馴染めなかった肖後 透輝（しょうご とうき）。そんな彼を救ってくれたのはとある遊園地、ディスティニー・ランドだった。憧れだった夢の舞台に就職を果たした透輝。しかしそこには小学生当時、自分に嫌がらせをしていた高飛車な女・永崎 レイラ（ながさき レイラ）も勤めていて…。またあの頃と変わらない――そう落ち込んでいた矢先、園内でタロット占い屋を運営する女性と出会い、一枚のカードを手にする。そのカードは、カラダを支配する特別な力を持っていて――！？</v>
      </c>
      <c r="W1606" s="14"/>
      <c r="X1606" s="14" t="str">
        <f>IFERROR(__xludf.DUMMYFUNCTION("""COMPUTED_VALUE"""),"有")</f>
        <v>有</v>
      </c>
      <c r="Y1606" s="8" t="str">
        <f>IFERROR(__xludf.DUMMYFUNCTION("""COMPUTED_VALUE"""),"P17まで")</f>
        <v>P17まで</v>
      </c>
      <c r="Z1606" s="7"/>
      <c r="AA1606" s="7"/>
      <c r="AB1606" s="7"/>
    </row>
    <row r="1607" ht="15.75" customHeight="1">
      <c r="A1607" s="26">
        <f>IFERROR(__xludf.DUMMYFUNCTION("""COMPUTED_VALUE"""),3558.0)</f>
        <v>3558</v>
      </c>
      <c r="B1607" s="31" t="str">
        <f>IFERROR(__xludf.DUMMYFUNCTION("""COMPUTED_VALUE"""),"確定")</f>
        <v>確定</v>
      </c>
      <c r="C1607" s="28">
        <f>IFERROR(__xludf.DUMMYFUNCTION("""COMPUTED_VALUE"""),45442.0)</f>
        <v>45442</v>
      </c>
      <c r="D1607" s="28">
        <f>IFERROR(__xludf.DUMMYFUNCTION("""COMPUTED_VALUE"""),45446.0)</f>
        <v>45446</v>
      </c>
      <c r="E1607" s="31">
        <f>IFERROR(__xludf.DUMMYFUNCTION("""COMPUTED_VALUE"""),294489.0)</f>
        <v>294489</v>
      </c>
      <c r="F1607" s="31" t="str">
        <f>IFERROR(__xludf.DUMMYFUNCTION("""COMPUTED_VALUE"""),"身代わり令嬢を救ったのは冷酷無慈悲な氷の王子の愛でした")</f>
        <v>身代わり令嬢を救ったのは冷酷無慈悲な氷の王子の愛でした</v>
      </c>
      <c r="G1607" s="20" t="str">
        <f>IFERROR(__xludf.DUMMYFUNCTION("""COMPUTED_VALUE"""),"1～3")</f>
        <v>1～3</v>
      </c>
      <c r="H1607" s="31" t="str">
        <f>IFERROR(__xludf.DUMMYFUNCTION("""COMPUTED_VALUE"""),"黒川くさび/やきいもほくほく")</f>
        <v>黒川くさび/やきいもほくほく</v>
      </c>
      <c r="I1607" s="31" t="str">
        <f>IFERROR(__xludf.DUMMYFUNCTION("""COMPUTED_VALUE"""),"少女")</f>
        <v>少女</v>
      </c>
      <c r="J1607" s="31"/>
      <c r="K1607" s="31"/>
      <c r="L1607" s="31" t="str">
        <f>IFERROR(__xludf.DUMMYFUNCTION("""COMPUTED_VALUE"""),"ファンギルド")</f>
        <v>ファンギルド</v>
      </c>
      <c r="M1607" s="23">
        <f>IFERROR(__xludf.DUMMYFUNCTION("""COMPUTED_VALUE"""),45465.0)</f>
        <v>45465</v>
      </c>
      <c r="N1607" s="23">
        <f>IFERROR(__xludf.DUMMYFUNCTION("""COMPUTED_VALUE"""),45539.0)</f>
        <v>45539</v>
      </c>
      <c r="O1607" s="20"/>
      <c r="P1607" s="32" t="str">
        <f>IFERROR(__xludf.DUMMYFUNCTION("""COMPUTED_VALUE"""),"可")</f>
        <v>可</v>
      </c>
      <c r="Q1607" s="30"/>
      <c r="R1607" s="31"/>
      <c r="S1607" s="31" t="str">
        <f>IFERROR(__xludf.DUMMYFUNCTION("""COMPUTED_VALUE"""),"20240530_ファンギルド_身代わり令嬢を救ったのは冷酷無慈悲な氷の王子の愛でした")</f>
        <v>20240530_ファンギルド_身代わり令嬢を救ったのは冷酷無慈悲な氷の王子の愛でした</v>
      </c>
      <c r="T1607" s="31" t="str">
        <f>IFERROR(__xludf.DUMMYFUNCTION("""COMPUTED_VALUE"""),"格納済み")</f>
        <v>格納済み</v>
      </c>
      <c r="U1607" s="15" t="str">
        <f>IFERROR(__xludf.DUMMYFUNCTION("""COMPUTED_VALUE"""),"Ⓒ黒川くさび/やきいもほくほく/")</f>
        <v>Ⓒ黒川くさび/やきいもほくほく/</v>
      </c>
      <c r="V1607" s="8" t="str">
        <f>IFERROR(__xludf.DUMMYFUNCTION("""COMPUTED_VALUE"""),"私は身代わりでここに来たとバレてはいけないーー…母を亡くしたカトリーナは、伯爵家で義妹と義母に虐げられ使用人扱いを受けていた。ある日、夜会でトラブルを起こした義妹は、罰として北の辺境領での行儀見習いを命じられてしまう。我が子可愛さから伯爵家は身代わりにカトリーナを差し出し、理不尽にも辺境領を治める呪われた王子のもとへ向かうことに…震えながら辺境領に辿り着いたカトリーナだったが、冷酷無慈悲だと聞いていた王子から思いも寄らぬ好待遇を受けてーー？純粋無垢な身代わりの令嬢が、氷の王子と愛を育むラブファンタジー！")</f>
        <v>私は身代わりでここに来たとバレてはいけないーー…母を亡くしたカトリーナは、伯爵家で義妹と義母に虐げられ使用人扱いを受けていた。ある日、夜会でトラブルを起こした義妹は、罰として北の辺境領での行儀見習いを命じられてしまう。我が子可愛さから伯爵家は身代わりにカトリーナを差し出し、理不尽にも辺境領を治める呪われた王子のもとへ向かうことに…震えながら辺境領に辿り着いたカトリーナだったが、冷酷無慈悲だと聞いていた王子から思いも寄らぬ好待遇を受けてーー？純粋無垢な身代わりの令嬢が、氷の王子と愛を育むラブファンタジー！</v>
      </c>
      <c r="W1607" s="14"/>
      <c r="X1607" s="14" t="str">
        <f>IFERROR(__xludf.DUMMYFUNCTION("""COMPUTED_VALUE"""),"有")</f>
        <v>有</v>
      </c>
      <c r="Y1607" s="8" t="str">
        <f>IFERROR(__xludf.DUMMYFUNCTION("""COMPUTED_VALUE"""),"P11まで")</f>
        <v>P11まで</v>
      </c>
      <c r="Z1607" s="7"/>
      <c r="AA1607" s="7"/>
      <c r="AB1607" s="7"/>
    </row>
    <row r="1608" ht="121.5" customHeight="1">
      <c r="A1608" s="26">
        <f>IFERROR(__xludf.DUMMYFUNCTION("""COMPUTED_VALUE"""),3559.0)</f>
        <v>3559</v>
      </c>
      <c r="B1608" s="31" t="str">
        <f>IFERROR(__xludf.DUMMYFUNCTION("""COMPUTED_VALUE"""),"確定")</f>
        <v>確定</v>
      </c>
      <c r="C1608" s="28">
        <f>IFERROR(__xludf.DUMMYFUNCTION("""COMPUTED_VALUE"""),45442.0)</f>
        <v>45442</v>
      </c>
      <c r="D1608" s="28">
        <f>IFERROR(__xludf.DUMMYFUNCTION("""COMPUTED_VALUE"""),45446.0)</f>
        <v>45446</v>
      </c>
      <c r="E1608" s="31">
        <f>IFERROR(__xludf.DUMMYFUNCTION("""COMPUTED_VALUE"""),295215.0)</f>
        <v>295215</v>
      </c>
      <c r="F1608" s="31" t="str">
        <f>IFERROR(__xludf.DUMMYFUNCTION("""COMPUTED_VALUE"""),"年中無休")</f>
        <v>年中無休</v>
      </c>
      <c r="G1608" s="11" t="str">
        <f>IFERROR(__xludf.DUMMYFUNCTION("""COMPUTED_VALUE"""),"1～4")</f>
        <v>1～4</v>
      </c>
      <c r="H1608" s="31" t="str">
        <f>IFERROR(__xludf.DUMMYFUNCTION("""COMPUTED_VALUE"""),"JUWON/首枕")</f>
        <v>JUWON/首枕</v>
      </c>
      <c r="I1608" s="31" t="str">
        <f>IFERROR(__xludf.DUMMYFUNCTION("""COMPUTED_VALUE"""),"青年")</f>
        <v>青年</v>
      </c>
      <c r="J1608" s="31"/>
      <c r="K1608" s="31"/>
      <c r="L1608" s="31" t="str">
        <f>IFERROR(__xludf.DUMMYFUNCTION("""COMPUTED_VALUE"""),"Rush!")</f>
        <v>Rush!</v>
      </c>
      <c r="M1608" s="23">
        <f>IFERROR(__xludf.DUMMYFUNCTION("""COMPUTED_VALUE"""),45478.0)</f>
        <v>45478</v>
      </c>
      <c r="N1608" s="23">
        <f>IFERROR(__xludf.DUMMYFUNCTION("""COMPUTED_VALUE"""),45505.0)</f>
        <v>45505</v>
      </c>
      <c r="O1608" s="20"/>
      <c r="P1608" s="32" t="str">
        <f>IFERROR(__xludf.DUMMYFUNCTION("""COMPUTED_VALUE"""),"可")</f>
        <v>可</v>
      </c>
      <c r="Q1608" s="30"/>
      <c r="R1608" s="31"/>
      <c r="S1608" s="31" t="str">
        <f>IFERROR(__xludf.DUMMYFUNCTION("""COMPUTED_VALUE"""),"20240530_ファンギルド_年中無休")</f>
        <v>20240530_ファンギルド_年中無休</v>
      </c>
      <c r="T1608" s="31" t="str">
        <f>IFERROR(__xludf.DUMMYFUNCTION("""COMPUTED_VALUE"""),"格納済み")</f>
        <v>格納済み</v>
      </c>
      <c r="U1608" s="15" t="str">
        <f>IFERROR(__xludf.DUMMYFUNCTION("""COMPUTED_VALUE"""),"©JUWON/Kubimakura/TOPTOON")</f>
        <v>©JUWON/Kubimakura/TOPTOON</v>
      </c>
      <c r="V1608" s="8" t="str">
        <f>IFERROR(__xludf.DUMMYFUNCTION("""COMPUTED_VALUE"""),"日当5000円にもならないコンビニのアルバイト。もっと稼げそうな仕事は山ほどあるけど、辞めない理由はただ一つ。ルリさんがいるからだ！平凡な人生を送る周平に訪れる数々のハプニング。勉強にバイトに恋愛する暇なんて無いと思ってたのに…！女性経験ゼロの周平は無事に大学デビューできるのか！？")</f>
        <v>日当5000円にもならないコンビニのアルバイト。もっと稼げそうな仕事は山ほどあるけど、辞めない理由はただ一つ。ルリさんがいるからだ！平凡な人生を送る周平に訪れる数々のハプニング。勉強にバイトに恋愛する暇なんて無いと思ってたのに…！女性経験ゼロの周平は無事に大学デビューできるのか！？</v>
      </c>
      <c r="W1608" s="14"/>
      <c r="X1608" s="14" t="str">
        <f>IFERROR(__xludf.DUMMYFUNCTION("""COMPUTED_VALUE"""),"有")</f>
        <v>有</v>
      </c>
      <c r="Y1608" s="8" t="str">
        <f>IFERROR(__xludf.DUMMYFUNCTION("""COMPUTED_VALUE"""),"P18まで")</f>
        <v>P18まで</v>
      </c>
      <c r="Z1608" s="7"/>
      <c r="AA1608" s="7"/>
      <c r="AB1608" s="7"/>
    </row>
    <row r="1609" ht="15.75" customHeight="1">
      <c r="A1609" s="26">
        <f>IFERROR(__xludf.DUMMYFUNCTION("""COMPUTED_VALUE"""),3560.0)</f>
        <v>3560</v>
      </c>
      <c r="B1609" s="31" t="str">
        <f>IFERROR(__xludf.DUMMYFUNCTION("""COMPUTED_VALUE"""),"確定")</f>
        <v>確定</v>
      </c>
      <c r="C1609" s="28">
        <f>IFERROR(__xludf.DUMMYFUNCTION("""COMPUTED_VALUE"""),45442.0)</f>
        <v>45442</v>
      </c>
      <c r="D1609" s="28">
        <f>IFERROR(__xludf.DUMMYFUNCTION("""COMPUTED_VALUE"""),45446.0)</f>
        <v>45446</v>
      </c>
      <c r="E1609" s="31">
        <f>IFERROR(__xludf.DUMMYFUNCTION("""COMPUTED_VALUE"""),295214.0)</f>
        <v>295214</v>
      </c>
      <c r="F1609" s="31" t="str">
        <f>IFERROR(__xludf.DUMMYFUNCTION("""COMPUTED_VALUE"""),"「俺の方が先に好きだった」死んだ彼の弟は、その執着で私を濡らす")</f>
        <v>「俺の方が先に好きだった」死んだ彼の弟は、その執着で私を濡らす</v>
      </c>
      <c r="G1609" s="11" t="str">
        <f>IFERROR(__xludf.DUMMYFUNCTION("""COMPUTED_VALUE"""),"1～2")</f>
        <v>1～2</v>
      </c>
      <c r="H1609" s="31" t="str">
        <f>IFERROR(__xludf.DUMMYFUNCTION("""COMPUTED_VALUE"""),"岡江りん子")</f>
        <v>岡江りん子</v>
      </c>
      <c r="I1609" s="31" t="str">
        <f>IFERROR(__xludf.DUMMYFUNCTION("""COMPUTED_VALUE"""),"TL")</f>
        <v>TL</v>
      </c>
      <c r="J1609" s="31"/>
      <c r="K1609" s="31"/>
      <c r="L1609" s="31" t="str">
        <f>IFERROR(__xludf.DUMMYFUNCTION("""COMPUTED_VALUE"""),"モバイルメディアリサーチ")</f>
        <v>モバイルメディアリサーチ</v>
      </c>
      <c r="M1609" s="23">
        <f>IFERROR(__xludf.DUMMYFUNCTION("""COMPUTED_VALUE"""),45478.0)</f>
        <v>45478</v>
      </c>
      <c r="N1609" s="47">
        <f>IFERROR(__xludf.DUMMYFUNCTION("""COMPUTED_VALUE"""),45567.0)</f>
        <v>45567</v>
      </c>
      <c r="O1609" s="20"/>
      <c r="P1609" s="34" t="str">
        <f>IFERROR(__xludf.DUMMYFUNCTION("""COMPUTED_VALUE"""),"可")</f>
        <v>可</v>
      </c>
      <c r="Q1609" s="30" t="str">
        <f>IFERROR(__xludf.DUMMYFUNCTION("""COMPUTED_VALUE"""),"レーベル：ラブきゅんコミック")</f>
        <v>レーベル：ラブきゅんコミック</v>
      </c>
      <c r="R1609" s="31"/>
      <c r="S1609" s="31" t="str">
        <f>IFERROR(__xludf.DUMMYFUNCTION("""COMPUTED_VALUE"""),"20240530_ファンギルド_「俺の方が先に好きだった」死んだ彼の弟は、その執着で私を濡らす")</f>
        <v>20240530_ファンギルド_「俺の方が先に好きだった」死んだ彼の弟は、その執着で私を濡らす</v>
      </c>
      <c r="T1609" s="31" t="str">
        <f>IFERROR(__xludf.DUMMYFUNCTION("""COMPUTED_VALUE"""),"格納済み")</f>
        <v>格納済み</v>
      </c>
      <c r="U1609" s="15" t="str">
        <f>IFERROR(__xludf.DUMMYFUNCTION("""COMPUTED_VALUE"""),"Ⓒ岡江りん子/モバイルメディアリサーチ")</f>
        <v>Ⓒ岡江りん子/モバイルメディアリサーチ</v>
      </c>
      <c r="V1609" s="8" t="str">
        <f>IFERROR(__xludf.DUMMYFUNCTION("""COMPUTED_VALUE"""),"モラハラ彼氏・洋一が亡くなり、喪失感を感じながらも自由を得た優香。そんな彼女の前に現れたのは、洋一と瓜二つの双子の弟・雄二だった。奥底に感じていた寂しさと酩酊から、雄二に心を許す優香だったが、酔いが醒めると激しく雄二に抱かれており…。洋一とは違う、深く求められるようなセックスに、寂しさも癒え満たされていく優香。「なぁ、俺とアイツのセックスどっちが好き？言わないともう抱いてあげないよ」内側に眠っていた淫らな被虐性とともに、グズグズに煮え立った膣内をその肉杭で暴かれて――。優香に対して異常なほど重い愛情と執着"&amp;"を注ぐ雄二の目的とは…？")</f>
        <v>モラハラ彼氏・洋一が亡くなり、喪失感を感じながらも自由を得た優香。そんな彼女の前に現れたのは、洋一と瓜二つの双子の弟・雄二だった。奥底に感じていた寂しさと酩酊から、雄二に心を許す優香だったが、酔いが醒めると激しく雄二に抱かれており…。洋一とは違う、深く求められるようなセックスに、寂しさも癒え満たされていく優香。「なぁ、俺とアイツのセックスどっちが好き？言わないともう抱いてあげないよ」内側に眠っていた淫らな被虐性とともに、グズグズに煮え立った膣内をその肉杭で暴かれて――。優香に対して異常なほど重い愛情と執着を注ぐ雄二の目的とは…？</v>
      </c>
      <c r="W1609" s="14"/>
      <c r="X1609" s="14" t="str">
        <f>IFERROR(__xludf.DUMMYFUNCTION("""COMPUTED_VALUE"""),"有")</f>
        <v>有</v>
      </c>
      <c r="Y1609" s="8" t="str">
        <f>IFERROR(__xludf.DUMMYFUNCTION("""COMPUTED_VALUE"""),"P7まで")</f>
        <v>P7まで</v>
      </c>
      <c r="Z1609" s="7"/>
      <c r="AA1609" s="7"/>
      <c r="AB1609" s="7"/>
    </row>
    <row r="1610" ht="15.75" customHeight="1">
      <c r="A1610" s="26">
        <f>IFERROR(__xludf.DUMMYFUNCTION("""COMPUTED_VALUE"""),3577.0)</f>
        <v>3577</v>
      </c>
      <c r="B1610" s="31" t="str">
        <f>IFERROR(__xludf.DUMMYFUNCTION("""COMPUTED_VALUE"""),"確定")</f>
        <v>確定</v>
      </c>
      <c r="C1610" s="28">
        <f>IFERROR(__xludf.DUMMYFUNCTION("""COMPUTED_VALUE"""),45447.0)</f>
        <v>45447</v>
      </c>
      <c r="D1610" s="28">
        <f>IFERROR(__xludf.DUMMYFUNCTION("""COMPUTED_VALUE"""),45448.0)</f>
        <v>45448</v>
      </c>
      <c r="E1610" s="31">
        <f>IFERROR(__xludf.DUMMYFUNCTION("""COMPUTED_VALUE"""),296523.0)</f>
        <v>296523</v>
      </c>
      <c r="F1610" s="31" t="str">
        <f>IFERROR(__xludf.DUMMYFUNCTION("""COMPUTED_VALUE"""),"快楽シスター～魔女の道具で責められ続け背徳イキ～")</f>
        <v>快楽シスター～魔女の道具で責められ続け背徳イキ～</v>
      </c>
      <c r="G1610" s="11" t="str">
        <f>IFERROR(__xludf.DUMMYFUNCTION("""COMPUTED_VALUE"""),"1～2")</f>
        <v>1～2</v>
      </c>
      <c r="H1610" s="31" t="str">
        <f>IFERROR(__xludf.DUMMYFUNCTION("""COMPUTED_VALUE"""),"めぎつねワークス")</f>
        <v>めぎつねワークス</v>
      </c>
      <c r="I1610" s="31" t="str">
        <f>IFERROR(__xludf.DUMMYFUNCTION("""COMPUTED_VALUE"""),"オトナ")</f>
        <v>オトナ</v>
      </c>
      <c r="J1610" s="31"/>
      <c r="K1610" s="31"/>
      <c r="L1610" s="31" t="str">
        <f>IFERROR(__xludf.DUMMYFUNCTION("""COMPUTED_VALUE"""),"FILL-IN")</f>
        <v>FILL-IN</v>
      </c>
      <c r="M1610" s="23">
        <f>IFERROR(__xludf.DUMMYFUNCTION("""COMPUTED_VALUE"""),45478.0)</f>
        <v>45478</v>
      </c>
      <c r="N1610" s="47">
        <f>IFERROR(__xludf.DUMMYFUNCTION("""COMPUTED_VALUE"""),45491.0)</f>
        <v>45491</v>
      </c>
      <c r="O1610" s="20"/>
      <c r="P1610" s="32" t="str">
        <f>IFERROR(__xludf.DUMMYFUNCTION("""COMPUTED_VALUE"""),"可")</f>
        <v>可</v>
      </c>
      <c r="Q1610" s="30"/>
      <c r="R1610" s="31"/>
      <c r="S1610" s="31" t="str">
        <f>IFERROR(__xludf.DUMMYFUNCTION("""COMPUTED_VALUE"""),"20240604_ライドオン_快楽シスター～魔女の道具で責められ続け背徳イキ～")</f>
        <v>20240604_ライドオン_快楽シスター～魔女の道具で責められ続け背徳イキ～</v>
      </c>
      <c r="T1610" s="31" t="str">
        <f>IFERROR(__xludf.DUMMYFUNCTION("""COMPUTED_VALUE"""),"格納済み")</f>
        <v>格納済み</v>
      </c>
      <c r="U1610" s="15" t="str">
        <f>IFERROR(__xludf.DUMMYFUNCTION("""COMPUTED_VALUE"""),"©めぎつねワークス/FILL-IN")</f>
        <v>©めぎつねワークス/FILL-IN</v>
      </c>
      <c r="V1610" s="8" t="str">
        <f>IFERROR(__xludf.DUMMYFUNCTION("""COMPUTED_VALUE"""),"う、うそ…私シスターですのよ…なのにこんなにアソコが疼くなんて！
誰も寄り付かない森の奥底で、聖職者である彼女の下半身は火照り濡れていく…
――神に忠誠を誓う貞節な見習いシスター・ポプリは、森に迷い込みケガをしてしまう。
そこで彼女を助けてくれたのは魔女・デボラ！
デボラは治療のためと言い様々な魔道具を使ってポプリの体に快楽を植え付けていく。
下腹部に淫紋をつけられ、ア〇ルビーズをねじ込められ、スライムに膣内をこじあけられる…。
誰にも触らせたことのないところをグリグリされ、快楽が電流のように"&amp;"体を走り甘い声が漏れてしまう。
逃げ場のない快楽は、天国か、地獄か…")</f>
        <v>う、うそ…私シスターですのよ…なのにこんなにアソコが疼くなんて！
誰も寄り付かない森の奥底で、聖職者である彼女の下半身は火照り濡れていく…
――神に忠誠を誓う貞節な見習いシスター・ポプリは、森に迷い込みケガをしてしまう。
そこで彼女を助けてくれたのは魔女・デボラ！
デボラは治療のためと言い様々な魔道具を使ってポプリの体に快楽を植え付けていく。
下腹部に淫紋をつけられ、ア〇ルビーズをねじ込められ、スライムに膣内をこじあけられる…。
誰にも触らせたことのないところをグリグリされ、快楽が電流のように体を走り甘い声が漏れてしまう。
逃げ場のない快楽は、天国か、地獄か…</v>
      </c>
      <c r="W1610" s="14"/>
      <c r="X1610" s="14" t="str">
        <f>IFERROR(__xludf.DUMMYFUNCTION("""COMPUTED_VALUE"""),"有")</f>
        <v>有</v>
      </c>
      <c r="Y1610" s="8" t="str">
        <f>IFERROR(__xludf.DUMMYFUNCTION("""COMPUTED_VALUE"""),"2024/7/18まで1巻無料")</f>
        <v>2024/7/18まで1巻無料</v>
      </c>
      <c r="Z1610" s="7"/>
      <c r="AA1610" s="7"/>
      <c r="AB1610" s="7"/>
    </row>
    <row r="1611" ht="15.75" customHeight="1">
      <c r="A1611" s="26">
        <f>IFERROR(__xludf.DUMMYFUNCTION("""COMPUTED_VALUE"""),3593.0)</f>
        <v>3593</v>
      </c>
      <c r="B1611" s="31" t="str">
        <f>IFERROR(__xludf.DUMMYFUNCTION("""COMPUTED_VALUE"""),"確定")</f>
        <v>確定</v>
      </c>
      <c r="C1611" s="28">
        <f>IFERROR(__xludf.DUMMYFUNCTION("""COMPUTED_VALUE"""),45447.0)</f>
        <v>45447</v>
      </c>
      <c r="D1611" s="28">
        <f>IFERROR(__xludf.DUMMYFUNCTION("""COMPUTED_VALUE"""),45448.0)</f>
        <v>45448</v>
      </c>
      <c r="E1611" s="31">
        <f>IFERROR(__xludf.DUMMYFUNCTION("""COMPUTED_VALUE"""),296443.0)</f>
        <v>296443</v>
      </c>
      <c r="F1611" s="31" t="str">
        <f>IFERROR(__xludf.DUMMYFUNCTION("""COMPUTED_VALUE"""),"旦那様は妻の私より幼馴染の方が大切なようです")</f>
        <v>旦那様は妻の私より幼馴染の方が大切なようです</v>
      </c>
      <c r="G1611" s="20" t="str">
        <f>IFERROR(__xludf.DUMMYFUNCTION("""COMPUTED_VALUE"""),"1～3")</f>
        <v>1～3</v>
      </c>
      <c r="H1611" s="31" t="str">
        <f>IFERROR(__xludf.DUMMYFUNCTION("""COMPUTED_VALUE"""),"原作：雨野六月 マンガ：染屋シノ")</f>
        <v>原作：雨野六月 マンガ：染屋シノ</v>
      </c>
      <c r="I1611" s="31" t="str">
        <f>IFERROR(__xludf.DUMMYFUNCTION("""COMPUTED_VALUE"""),"女性")</f>
        <v>女性</v>
      </c>
      <c r="J1611" s="31"/>
      <c r="K1611" s="31"/>
      <c r="L1611" s="31" t="str">
        <f>IFERROR(__xludf.DUMMYFUNCTION("""COMPUTED_VALUE"""),"アルファポリス")</f>
        <v>アルファポリス</v>
      </c>
      <c r="M1611" s="23">
        <f>IFERROR(__xludf.DUMMYFUNCTION("""COMPUTED_VALUE"""),45499.0)</f>
        <v>45499</v>
      </c>
      <c r="N1611" s="47">
        <f>IFERROR(__xludf.DUMMYFUNCTION("""COMPUTED_VALUE"""),45687.0)</f>
        <v>45687</v>
      </c>
      <c r="O1611" s="20"/>
      <c r="P1611" s="34" t="str">
        <f>IFERROR(__xludf.DUMMYFUNCTION("""COMPUTED_VALUE"""),"否")</f>
        <v>否</v>
      </c>
      <c r="Q1611" s="30" t="str">
        <f>IFERROR(__xludf.DUMMYFUNCTION("""COMPUTED_VALUE"""),"事前に河上さんと調整済みのタイトルとなります&lt;BR&gt;&lt;BR&gt;先生のアカウント&lt;BR&gt;染屋シノ (@5omeya5hino)")</f>
        <v>事前に河上さんと調整済みのタイトルとなります&lt;BR&gt;&lt;BR&gt;先生のアカウント&lt;BR&gt;染屋シノ (@5omeya5hino)</v>
      </c>
      <c r="R1611" s="31"/>
      <c r="S1611" s="31" t="str">
        <f>IFERROR(__xludf.DUMMYFUNCTION("""COMPUTED_VALUE"""),"20240604_アルファポリス_旦那様は妻の私より幼馴染の方が大切なようです")</f>
        <v>20240604_アルファポリス_旦那様は妻の私より幼馴染の方が大切なようです</v>
      </c>
      <c r="T1611" s="31" t="str">
        <f>IFERROR(__xludf.DUMMYFUNCTION("""COMPUTED_VALUE"""),"格納済み")</f>
        <v>格納済み</v>
      </c>
      <c r="U1611" s="15" t="str">
        <f>IFERROR(__xludf.DUMMYFUNCTION("""COMPUTED_VALUE"""),"(C)雨野六月・染屋シノ／アルファポリス")</f>
        <v>(C)雨野六月・染屋シノ／アルファポリス</v>
      </c>
      <c r="V1611" s="8" t="str">
        <f>IFERROR(__xludf.DUMMYFUNCTION("""COMPUTED_VALUE"""),"憧れの人ラルフと結婚し侯爵家に嫁ぐことになった伯爵令嬢のセシリア。だが、夢見ていた結婚式の当日に、ラルフから彼の幼馴染であるアンジェラとの同居生活を告げられる。一度は受け入れたセシリアだが、わがまま放題のアンジェラと、彼女ばかりを優先するラルフや使用人に不信感を抱くように……。新婚生活がつらくなり、ついにセシリアはラルフのもとから脱出することを決意するけれど――!?")</f>
        <v>憧れの人ラルフと結婚し侯爵家に嫁ぐことになった伯爵令嬢のセシリア。だが、夢見ていた結婚式の当日に、ラルフから彼の幼馴染であるアンジェラとの同居生活を告げられる。一度は受け入れたセシリアだが、わがまま放題のアンジェラと、彼女ばかりを優先するラルフや使用人に不信感を抱くように……。新婚生活がつらくなり、ついにセシリアはラルフのもとから脱出することを決意するけれど――!?</v>
      </c>
      <c r="W1611" s="14"/>
      <c r="X1611" s="14" t="str">
        <f>IFERROR(__xludf.DUMMYFUNCTION("""COMPUTED_VALUE"""),"有")</f>
        <v>有</v>
      </c>
      <c r="Y1611" s="8" t="str">
        <f>IFERROR(__xludf.DUMMYFUNCTION("""COMPUTED_VALUE"""),"1巻無料")</f>
        <v>1巻無料</v>
      </c>
      <c r="Z1611" s="7"/>
      <c r="AA1611" s="7"/>
      <c r="AB1611" s="7"/>
    </row>
    <row r="1612" ht="15.75" customHeight="1">
      <c r="A1612" s="26">
        <f>IFERROR(__xludf.DUMMYFUNCTION("""COMPUTED_VALUE"""),2845.0)</f>
        <v>2845</v>
      </c>
      <c r="B1612" s="22" t="str">
        <f>IFERROR(__xludf.DUMMYFUNCTION("""COMPUTED_VALUE"""),"確定")</f>
        <v>確定</v>
      </c>
      <c r="C1612" s="28">
        <f>IFERROR(__xludf.DUMMYFUNCTION("""COMPUTED_VALUE"""),45308.0)</f>
        <v>45308</v>
      </c>
      <c r="D1612" s="28">
        <f>IFERROR(__xludf.DUMMYFUNCTION("""COMPUTED_VALUE"""),45454.0)</f>
        <v>45454</v>
      </c>
      <c r="E1612" s="31">
        <f>IFERROR(__xludf.DUMMYFUNCTION("""COMPUTED_VALUE"""),296997.0)</f>
        <v>296997</v>
      </c>
      <c r="F1612" s="22" t="str">
        <f>IFERROR(__xludf.DUMMYFUNCTION("""COMPUTED_VALUE"""),"ダウト～嘘つき婚活オトコは誰？～")</f>
        <v>ダウト～嘘つき婚活オトコは誰？～</v>
      </c>
      <c r="G1612" s="20" t="str">
        <f>IFERROR(__xludf.DUMMYFUNCTION("""COMPUTED_VALUE"""),"1～3")</f>
        <v>1～3</v>
      </c>
      <c r="H1612" s="22" t="str">
        <f>IFERROR(__xludf.DUMMYFUNCTION("""COMPUTED_VALUE"""),"千里みこ")</f>
        <v>千里みこ</v>
      </c>
      <c r="I1612" s="22" t="str">
        <f>IFERROR(__xludf.DUMMYFUNCTION("""COMPUTED_VALUE"""),"女性")</f>
        <v>女性</v>
      </c>
      <c r="J1612" s="22"/>
      <c r="K1612" s="22"/>
      <c r="L1612" s="22" t="str">
        <f>IFERROR(__xludf.DUMMYFUNCTION("""COMPUTED_VALUE"""),"ボルテージ")</f>
        <v>ボルテージ</v>
      </c>
      <c r="M1612" s="23">
        <f>IFERROR(__xludf.DUMMYFUNCTION("""COMPUTED_VALUE"""),45491.0)</f>
        <v>45491</v>
      </c>
      <c r="N1612" s="23">
        <f>IFERROR(__xludf.DUMMYFUNCTION("""COMPUTED_VALUE"""),45554.0)</f>
        <v>45554</v>
      </c>
      <c r="O1612" s="20"/>
      <c r="P1612" s="29" t="str">
        <f>IFERROR(__xludf.DUMMYFUNCTION("""COMPUTED_VALUE"""),"可")</f>
        <v>可</v>
      </c>
      <c r="Q1612" s="22" t="str">
        <f>IFERROR(__xludf.DUMMYFUNCTION("""COMPUTED_VALUE"""),"広告コミットOK(9/22)")</f>
        <v>広告コミットOK(9/22)</v>
      </c>
      <c r="R1612" s="22" t="str">
        <f>IFERROR(__xludf.DUMMYFUNCTION("""COMPUTED_VALUE"""),"2024年4月中旬頃")</f>
        <v>2024年4月中旬頃</v>
      </c>
      <c r="S1612" s="22" t="str">
        <f>IFERROR(__xludf.DUMMYFUNCTION("""COMPUTED_VALUE"""),"20240610_ボルテージ_ダウト～嘘つき婚活オトコは誰？～")</f>
        <v>20240610_ボルテージ_ダウト～嘘つき婚活オトコは誰？～</v>
      </c>
      <c r="T1612" s="22" t="str">
        <f>IFERROR(__xludf.DUMMYFUNCTION("""COMPUTED_VALUE"""),"格納済み")</f>
        <v>格納済み</v>
      </c>
      <c r="U1612" s="15" t="str">
        <f>IFERROR(__xludf.DUMMYFUNCTION("""COMPUTED_VALUE"""),"©ボルテージ・千里みこ/ボルテージ")</f>
        <v>©ボルテージ・千里みこ/ボルテージ</v>
      </c>
      <c r="V1612" s="8" t="str">
        <f>IFERROR(__xludf.DUMMYFUNCTION("""COMPUTED_VALUE"""),"「１人だけ運命の相手。あとは全員、嘘つきオトコよ」敏腕ウェディングプランナーの明日香（30）。そろそろ結婚…と思っていたら、彼氏が浮気!?新しい恋を探して婚活パーティーに参加したら、なぜか素敵なオトコたちから次々と声をかけられるけど…実は＜嘘をついているオトコ＞ばかりみたいで…!?誰を疑い、誰を信じるか。嘘つきオトコをダウトして『最高のスパダリ』と結婚します!!４００万DL突破の新感覚！謎解き×恋愛シミュレーションの「ダウト」シリーズ、「ダウト～嘘つきオトコは誰？～」をマンガ化！「ダウト」はオトナ女子のた"&amp;"めの胸キュン充電アプリ「100シーンの恋+」にて配信中。")</f>
        <v>「１人だけ運命の相手。あとは全員、嘘つきオトコよ」敏腕ウェディングプランナーの明日香（30）。そろそろ結婚…と思っていたら、彼氏が浮気!?新しい恋を探して婚活パーティーに参加したら、なぜか素敵なオトコたちから次々と声をかけられるけど…実は＜嘘をついているオトコ＞ばかりみたいで…!?誰を疑い、誰を信じるか。嘘つきオトコをダウトして『最高のスパダリ』と結婚します!!４００万DL突破の新感覚！謎解き×恋愛シミュレーションの「ダウト」シリーズ、「ダウト～嘘つきオトコは誰？～」をマンガ化！「ダウト」はオトナ女子のための胸キュン充電アプリ「100シーンの恋+」にて配信中。</v>
      </c>
      <c r="W1612" s="14"/>
      <c r="X1612" s="14" t="str">
        <f>IFERROR(__xludf.DUMMYFUNCTION("""COMPUTED_VALUE"""),"有")</f>
        <v>有</v>
      </c>
      <c r="Y1612" s="8" t="str">
        <f>IFERROR(__xludf.DUMMYFUNCTION("""COMPUTED_VALUE"""),"2024/7/31まで1巻無料")</f>
        <v>2024/7/31まで1巻無料</v>
      </c>
      <c r="Z1612" s="7"/>
      <c r="AA1612" s="7"/>
      <c r="AB1612" s="7"/>
    </row>
    <row r="1613" ht="15.75" customHeight="1">
      <c r="A1613" s="26">
        <f>IFERROR(__xludf.DUMMYFUNCTION("""COMPUTED_VALUE"""),3229.0)</f>
        <v>3229</v>
      </c>
      <c r="B1613" s="22" t="str">
        <f>IFERROR(__xludf.DUMMYFUNCTION("""COMPUTED_VALUE"""),"確定")</f>
        <v>確定</v>
      </c>
      <c r="C1613" s="28">
        <f>IFERROR(__xludf.DUMMYFUNCTION("""COMPUTED_VALUE"""),45384.0)</f>
        <v>45384</v>
      </c>
      <c r="D1613" s="28">
        <f>IFERROR(__xludf.DUMMYFUNCTION("""COMPUTED_VALUE"""),45453.0)</f>
        <v>45453</v>
      </c>
      <c r="E1613" s="31">
        <f>IFERROR(__xludf.DUMMYFUNCTION("""COMPUTED_VALUE"""),295296.0)</f>
        <v>295296</v>
      </c>
      <c r="F1613" s="22" t="str">
        <f>IFERROR(__xludf.DUMMYFUNCTION("""COMPUTED_VALUE"""),"うたたね男子は飼われたい【マイクロ】")</f>
        <v>うたたね男子は飼われたい【マイクロ】</v>
      </c>
      <c r="G1613" s="11" t="str">
        <f>IFERROR(__xludf.DUMMYFUNCTION("""COMPUTED_VALUE"""),"1～4")</f>
        <v>1～4</v>
      </c>
      <c r="H1613" s="22" t="str">
        <f>IFERROR(__xludf.DUMMYFUNCTION("""COMPUTED_VALUE"""),"あわい輝咲")</f>
        <v>あわい輝咲</v>
      </c>
      <c r="I1613" s="46" t="str">
        <f>IFERROR(__xludf.DUMMYFUNCTION("""COMPUTED_VALUE"""),"少女")</f>
        <v>少女</v>
      </c>
      <c r="J1613" s="22"/>
      <c r="K1613" s="22"/>
      <c r="L1613" s="22" t="str">
        <f>IFERROR(__xludf.DUMMYFUNCTION("""COMPUTED_VALUE"""),"小学館")</f>
        <v>小学館</v>
      </c>
      <c r="M1613" s="23">
        <f>IFERROR(__xludf.DUMMYFUNCTION("""COMPUTED_VALUE"""),45468.0)</f>
        <v>45468</v>
      </c>
      <c r="N1613" s="23">
        <f>IFERROR(__xludf.DUMMYFUNCTION("""COMPUTED_VALUE"""),45528.0)</f>
        <v>45528</v>
      </c>
      <c r="O1613" s="20"/>
      <c r="P1613" s="29" t="str">
        <f>IFERROR(__xludf.DUMMYFUNCTION("""COMPUTED_VALUE"""),"否")</f>
        <v>否</v>
      </c>
      <c r="Q1613" s="30" t="str">
        <f>IFERROR(__xludf.DUMMYFUNCTION("""COMPUTED_VALUE"""),"広告コミットOK(4/4)※4話完結です")</f>
        <v>広告コミットOK(4/4)※4話完結です</v>
      </c>
      <c r="R1613" s="22"/>
      <c r="S1613" s="22" t="str">
        <f>IFERROR(__xludf.DUMMYFUNCTION("""COMPUTED_VALUE"""),"20240607_小学館_うたたね男子は飼われたい【マイクロ】")</f>
        <v>20240607_小学館_うたたね男子は飼われたい【マイクロ】</v>
      </c>
      <c r="T1613" s="22" t="str">
        <f>IFERROR(__xludf.DUMMYFUNCTION("""COMPUTED_VALUE"""),"格納済み")</f>
        <v>格納済み</v>
      </c>
      <c r="U1613" s="15" t="str">
        <f>IFERROR(__xludf.DUMMYFUNCTION("""COMPUTED_VALUE"""),"(C)あわい輝咲 / 小学館")</f>
        <v>(C)あわい輝咲 / 小学館</v>
      </c>
      <c r="V1613" s="8" t="str">
        <f>IFERROR(__xludf.DUMMYFUNCTION("""COMPUTED_VALUE"""),"ゆるゆる年下男子と癒やしの甘々ラブ▽
新しいバイト先のカフェで、超省エネ男子・迅に懐かれた梓。
最初はだらしなさすぎる迅の姿に驚いていたけど、甘え上手な彼に母性本能をくすぐられまくりで…!?さらに普段は寝てばかりいる迅が、すごいギャップを隠し持っていて…!?")</f>
        <v>ゆるゆる年下男子と癒やしの甘々ラブ▽
新しいバイト先のカフェで、超省エネ男子・迅に懐かれた梓。
最初はだらしなさすぎる迅の姿に驚いていたけど、甘え上手な彼に母性本能をくすぐられまくりで…!?さらに普段は寝てばかりいる迅が、すごいギャップを隠し持っていて…!?</v>
      </c>
      <c r="W1613" s="14"/>
      <c r="X1613" s="14" t="str">
        <f>IFERROR(__xludf.DUMMYFUNCTION("""COMPUTED_VALUE"""),"有")</f>
        <v>有</v>
      </c>
      <c r="Y1613" s="8" t="str">
        <f>IFERROR(__xludf.DUMMYFUNCTION("""COMPUTED_VALUE"""),"2024/8/24まで1巻無料")</f>
        <v>2024/8/24まで1巻無料</v>
      </c>
      <c r="Z1613" s="7"/>
      <c r="AA1613" s="7"/>
      <c r="AB1613" s="7"/>
    </row>
    <row r="1614" ht="15.75" customHeight="1">
      <c r="A1614" s="26">
        <f>IFERROR(__xludf.DUMMYFUNCTION("""COMPUTED_VALUE"""),3335.0)</f>
        <v>3335</v>
      </c>
      <c r="B1614" s="22" t="str">
        <f>IFERROR(__xludf.DUMMYFUNCTION("""COMPUTED_VALUE"""),"確定")</f>
        <v>確定</v>
      </c>
      <c r="C1614" s="28">
        <f>IFERROR(__xludf.DUMMYFUNCTION("""COMPUTED_VALUE"""),45406.0)</f>
        <v>45406</v>
      </c>
      <c r="D1614" s="28">
        <f>IFERROR(__xludf.DUMMYFUNCTION("""COMPUTED_VALUE"""),45450.0)</f>
        <v>45450</v>
      </c>
      <c r="E1614" s="31">
        <f>IFERROR(__xludf.DUMMYFUNCTION("""COMPUTED_VALUE"""),295436.0)</f>
        <v>295436</v>
      </c>
      <c r="F1614" s="22" t="str">
        <f>IFERROR(__xludf.DUMMYFUNCTION("""COMPUTED_VALUE"""),"先輩、そんなの知らないです 〜伴奏していた彼の指は今、私の膣内を乱してる〜")</f>
        <v>先輩、そんなの知らないです 〜伴奏していた彼の指は今、私の膣内を乱してる〜</v>
      </c>
      <c r="G1614" s="11" t="str">
        <f>IFERROR(__xludf.DUMMYFUNCTION("""COMPUTED_VALUE"""),"1～2")</f>
        <v>1～2</v>
      </c>
      <c r="H1614" s="22" t="str">
        <f>IFERROR(__xludf.DUMMYFUNCTION("""COMPUTED_VALUE"""),"閏あくあ┴THE猥談")</f>
        <v>閏あくあ┴THE猥談</v>
      </c>
      <c r="I1614" s="22" t="str">
        <f>IFERROR(__xludf.DUMMYFUNCTION("""COMPUTED_VALUE"""),"TL")</f>
        <v>TL</v>
      </c>
      <c r="J1614" s="22"/>
      <c r="K1614" s="22"/>
      <c r="L1614" s="22" t="str">
        <f>IFERROR(__xludf.DUMMYFUNCTION("""COMPUTED_VALUE"""),"ブリック出版")</f>
        <v>ブリック出版</v>
      </c>
      <c r="M1614" s="23">
        <f>IFERROR(__xludf.DUMMYFUNCTION("""COMPUTED_VALUE"""),45471.0)</f>
        <v>45471</v>
      </c>
      <c r="N1614" s="23">
        <f>IFERROR(__xludf.DUMMYFUNCTION("""COMPUTED_VALUE"""),45533.0)</f>
        <v>45533</v>
      </c>
      <c r="O1614" s="20"/>
      <c r="P1614" s="29" t="str">
        <f>IFERROR(__xludf.DUMMYFUNCTION("""COMPUTED_VALUE"""),"可")</f>
        <v>可</v>
      </c>
      <c r="Q1614" s="30" t="str">
        <f>IFERROR(__xludf.DUMMYFUNCTION("""COMPUTED_VALUE"""),"河上さん事前コミット作品です。")</f>
        <v>河上さん事前コミット作品です。</v>
      </c>
      <c r="R1614" s="22"/>
      <c r="S1614" s="22" t="str">
        <f>IFERROR(__xludf.DUMMYFUNCTION("""COMPUTED_VALUE"""),"20240606_BookLive_先輩、そんなの知らないです ～伴奏していた彼の指は今、私の膣内を乱してる～")</f>
        <v>20240606_BookLive_先輩、そんなの知らないです ～伴奏していた彼の指は今、私の膣内を乱してる～</v>
      </c>
      <c r="T1614" s="22" t="str">
        <f>IFERROR(__xludf.DUMMYFUNCTION("""COMPUTED_VALUE"""),"格納済み")</f>
        <v>格納済み</v>
      </c>
      <c r="U1614" s="15" t="str">
        <f>IFERROR(__xludf.DUMMYFUNCTION("""COMPUTED_VALUE"""),"Ⓒ閏あくあ/THE猥談/ブリック出版")</f>
        <v>Ⓒ閏あくあ/THE猥談/ブリック出版</v>
      </c>
      <c r="V1614" s="8" t="str">
        <f>IFERROR(__xludf.DUMMYFUNCTION("""COMPUTED_VALUE"""),"中学生時代、一つ上の先輩に告白された。
ピアノを弾く、細くて長い指先が綺麗な人。
それでいて顔立ちも成績も、田舎の学校の中では群を抜いて良かったから
とても目立つ人だった。
付き合った後もフラれて傷つくのが怖くて
結局自分からお別れを告げて、すぐに別れてしまった。
本当は、めちゃくちゃ好きだったのに。
その気持ちはやがて執着のようになっていってー…
大人になった今でも、こっそり先輩のSNSを覗き見るのがやめられないでいる。
ある日、自分がSNSにあげた投稿に先輩が見た跡を見つ"&amp;"けた。
勇気を出して送ったDMから、先輩と5年ぶりに会うことに。
あの頃と変わらないまま、かっこいい先輩。
けれども私とて、あの頃のピュアな少女ではない。
「先輩のこと本当に好きだったんですよ。別れたのも、好きすぎたからで…」
「ふーん。じゃあもう、好きにならない?」
先輩に唇を奪われて、見つめられる。
「…これ以上しても、好きにならないでいられるの?」
あの時憧れていた先輩の、ピアノを弾く綺麗で長い指は今夜、
ベッドで私の身体をなぞっていてーー…。
※本作"&amp;"は閏あくあ、THE猥談の個人誌作品の電子書籍版となります。【26ページ】")</f>
        <v>中学生時代、一つ上の先輩に告白された。
ピアノを弾く、細くて長い指先が綺麗な人。
それでいて顔立ちも成績も、田舎の学校の中では群を抜いて良かったから
とても目立つ人だった。
付き合った後もフラれて傷つくのが怖くて
結局自分からお別れを告げて、すぐに別れてしまった。
本当は、めちゃくちゃ好きだったのに。
その気持ちはやがて執着のようになっていってー…
大人になった今でも、こっそり先輩のSNSを覗き見るのがやめられないでいる。
ある日、自分がSNSにあげた投稿に先輩が見た跡を見つけた。
勇気を出して送ったDMから、先輩と5年ぶりに会うことに。
あの頃と変わらないまま、かっこいい先輩。
けれども私とて、あの頃のピュアな少女ではない。
「先輩のこと本当に好きだったんですよ。別れたのも、好きすぎたからで…」
「ふーん。じゃあもう、好きにならない?」
先輩に唇を奪われて、見つめられる。
「…これ以上しても、好きにならないでいられるの?」
あの時憧れていた先輩の、ピアノを弾く綺麗で長い指は今夜、
ベッドで私の身体をなぞっていてーー…。
※本作は閏あくあ、THE猥談の個人誌作品の電子書籍版となります。【26ページ】</v>
      </c>
      <c r="W1614" s="14"/>
      <c r="X1614" s="14" t="str">
        <f>IFERROR(__xludf.DUMMYFUNCTION("""COMPUTED_VALUE"""),"有")</f>
        <v>有</v>
      </c>
      <c r="Y1614" s="8" t="str">
        <f>IFERROR(__xludf.DUMMYFUNCTION("""COMPUTED_VALUE"""),"P12まで")</f>
        <v>P12まで</v>
      </c>
      <c r="Z1614" s="7"/>
      <c r="AA1614" s="7"/>
      <c r="AB1614" s="7"/>
    </row>
    <row r="1615" ht="15.75" customHeight="1">
      <c r="A1615" s="26">
        <f>IFERROR(__xludf.DUMMYFUNCTION("""COMPUTED_VALUE"""),3336.0)</f>
        <v>3336</v>
      </c>
      <c r="B1615" s="22" t="str">
        <f>IFERROR(__xludf.DUMMYFUNCTION("""COMPUTED_VALUE"""),"確定")</f>
        <v>確定</v>
      </c>
      <c r="C1615" s="28">
        <f>IFERROR(__xludf.DUMMYFUNCTION("""COMPUTED_VALUE"""),45406.0)</f>
        <v>45406</v>
      </c>
      <c r="D1615" s="28">
        <f>IFERROR(__xludf.DUMMYFUNCTION("""COMPUTED_VALUE"""),45450.0)</f>
        <v>45450</v>
      </c>
      <c r="E1615" s="31">
        <f>IFERROR(__xludf.DUMMYFUNCTION("""COMPUTED_VALUE"""),295439.0)</f>
        <v>295439</v>
      </c>
      <c r="F1615" s="22" t="str">
        <f>IFERROR(__xludf.DUMMYFUNCTION("""COMPUTED_VALUE"""),"先輩、そんなの知らないです 〜伴奏していた彼の指は今、私の膣内を乱してる〜【R版】")</f>
        <v>先輩、そんなの知らないです 〜伴奏していた彼の指は今、私の膣内を乱してる〜【R版】</v>
      </c>
      <c r="G1615" s="11" t="str">
        <f>IFERROR(__xludf.DUMMYFUNCTION("""COMPUTED_VALUE"""),"1～2")</f>
        <v>1～2</v>
      </c>
      <c r="H1615" s="22" t="str">
        <f>IFERROR(__xludf.DUMMYFUNCTION("""COMPUTED_VALUE"""),"閏あくあ┴THE猥談")</f>
        <v>閏あくあ┴THE猥談</v>
      </c>
      <c r="I1615" s="22" t="str">
        <f>IFERROR(__xludf.DUMMYFUNCTION("""COMPUTED_VALUE"""),"オトナ")</f>
        <v>オトナ</v>
      </c>
      <c r="J1615" s="22"/>
      <c r="K1615" s="22"/>
      <c r="L1615" s="22" t="str">
        <f>IFERROR(__xludf.DUMMYFUNCTION("""COMPUTED_VALUE"""),"ブリック出版")</f>
        <v>ブリック出版</v>
      </c>
      <c r="M1615" s="23">
        <f>IFERROR(__xludf.DUMMYFUNCTION("""COMPUTED_VALUE"""),45471.0)</f>
        <v>45471</v>
      </c>
      <c r="N1615" s="23">
        <f>IFERROR(__xludf.DUMMYFUNCTION("""COMPUTED_VALUE"""),45533.0)</f>
        <v>45533</v>
      </c>
      <c r="O1615" s="20"/>
      <c r="P1615" s="29" t="str">
        <f>IFERROR(__xludf.DUMMYFUNCTION("""COMPUTED_VALUE"""),"可")</f>
        <v>可</v>
      </c>
      <c r="Q1615" s="30" t="str">
        <f>IFERROR(__xludf.DUMMYFUNCTION("""COMPUTED_VALUE"""),"河上さん事前コミット作品です。")</f>
        <v>河上さん事前コミット作品です。</v>
      </c>
      <c r="R1615" s="22"/>
      <c r="S1615" s="22" t="str">
        <f>IFERROR(__xludf.DUMMYFUNCTION("""COMPUTED_VALUE"""),"先輩、そんなの知らないです ～伴奏していた彼の指は今、私の膣内を乱してる～【R版】")</f>
        <v>先輩、そんなの知らないです ～伴奏していた彼の指は今、私の膣内を乱してる～【R版】</v>
      </c>
      <c r="T1615" s="22" t="str">
        <f>IFERROR(__xludf.DUMMYFUNCTION("""COMPUTED_VALUE"""),"格納済み")</f>
        <v>格納済み</v>
      </c>
      <c r="U1615" s="15" t="str">
        <f>IFERROR(__xludf.DUMMYFUNCTION("""COMPUTED_VALUE"""),"Ⓒ閏あくあ/THE猥談/ブリック出版")</f>
        <v>Ⓒ閏あくあ/THE猥談/ブリック出版</v>
      </c>
      <c r="V1615" s="8" t="str">
        <f>IFERROR(__xludf.DUMMYFUNCTION("""COMPUTED_VALUE"""),"中学生時代、一つ上の先輩に告白された。
ピアノを弾く、細くて長い指先が綺麗な人。
それでいて顔立ちも成績も、田舎の学校の中では群を抜いて良かったから
とても目立つ人だった。
付き合った後もフラれて傷つくのが怖くて
結局自分からお別れを告げて、すぐに別れてしまった。
本当は、めちゃくちゃ好きだったのに。
その気持ちはやがて執着のようになっていってー…
大人になった今でも、こっそり先輩のSNSを覗き見るのがやめられないでいる。
ある日、自分がSNSにあげた投稿に先輩が見た跡を見つ"&amp;"けた。
勇気を出して送ったDMから、先輩と5年ぶりに会うことに。
あの頃と変わらないまま、かっこいい先輩。
けれども私とて、あの頃のピュアな少女ではない。
「先輩のこと本当に好きだったんですよ。別れたのも、好きすぎたからで…」
「ふーん。じゃあもう、好きにならない?」
先輩に唇を奪われて、見つめられる。
「…これ以上しても、好きにならないでいられるの?」
あの時憧れていた先輩の、ピアノを弾く綺麗で長い指は今夜、
ベッドで私の身体をなぞっていてーー…。
※本作は閏"&amp;"あくあ、THE猥談の個人誌作品の電子書籍版となります。【26ページ】
※本作は『先輩、そんなの知らないです ～伴奏していた彼の指は今、私の膣内を乱してる～』の修正をやや弱めたものです。内容に差異はありません。")</f>
        <v>中学生時代、一つ上の先輩に告白された。
ピアノを弾く、細くて長い指先が綺麗な人。
それでいて顔立ちも成績も、田舎の学校の中では群を抜いて良かったから
とても目立つ人だった。
付き合った後もフラれて傷つくのが怖くて
結局自分からお別れを告げて、すぐに別れてしまった。
本当は、めちゃくちゃ好きだったのに。
その気持ちはやがて執着のようになっていってー…
大人になった今でも、こっそり先輩のSNSを覗き見るのがやめられないでいる。
ある日、自分がSNSにあげた投稿に先輩が見た跡を見つけた。
勇気を出して送ったDMから、先輩と5年ぶりに会うことに。
あの頃と変わらないまま、かっこいい先輩。
けれども私とて、あの頃のピュアな少女ではない。
「先輩のこと本当に好きだったんですよ。別れたのも、好きすぎたからで…」
「ふーん。じゃあもう、好きにならない?」
先輩に唇を奪われて、見つめられる。
「…これ以上しても、好きにならないでいられるの?」
あの時憧れていた先輩の、ピアノを弾く綺麗で長い指は今夜、
ベッドで私の身体をなぞっていてーー…。
※本作は閏あくあ、THE猥談の個人誌作品の電子書籍版となります。【26ページ】
※本作は『先輩、そんなの知らないです ～伴奏していた彼の指は今、私の膣内を乱してる～』の修正をやや弱めたものです。内容に差異はありません。</v>
      </c>
      <c r="W1615" s="14"/>
      <c r="X1615" s="14" t="str">
        <f>IFERROR(__xludf.DUMMYFUNCTION("""COMPUTED_VALUE"""),"有")</f>
        <v>有</v>
      </c>
      <c r="Y1615" s="8" t="str">
        <f>IFERROR(__xludf.DUMMYFUNCTION("""COMPUTED_VALUE"""),"P12まで")</f>
        <v>P12まで</v>
      </c>
      <c r="Z1615" s="7"/>
      <c r="AA1615" s="7"/>
      <c r="AB1615" s="7"/>
    </row>
    <row r="1616" ht="15.75" customHeight="1">
      <c r="A1616" s="26">
        <f>IFERROR(__xludf.DUMMYFUNCTION("""COMPUTED_VALUE"""),3337.0)</f>
        <v>3337</v>
      </c>
      <c r="B1616" s="22" t="str">
        <f>IFERROR(__xludf.DUMMYFUNCTION("""COMPUTED_VALUE"""),"確定")</f>
        <v>確定</v>
      </c>
      <c r="C1616" s="28">
        <f>IFERROR(__xludf.DUMMYFUNCTION("""COMPUTED_VALUE"""),45406.0)</f>
        <v>45406</v>
      </c>
      <c r="D1616" s="28">
        <f>IFERROR(__xludf.DUMMYFUNCTION("""COMPUTED_VALUE"""),45450.0)</f>
        <v>45450</v>
      </c>
      <c r="E1616" s="31">
        <f>IFERROR(__xludf.DUMMYFUNCTION("""COMPUTED_VALUE"""),295435.0)</f>
        <v>295435</v>
      </c>
      <c r="F1616" s="22" t="str">
        <f>IFERROR(__xludf.DUMMYFUNCTION("""COMPUTED_VALUE"""),"今日はセックスせえへん約束やん!?")</f>
        <v>今日はセックスせえへん約束やん!?</v>
      </c>
      <c r="G1616" s="20" t="str">
        <f>IFERROR(__xludf.DUMMYFUNCTION("""COMPUTED_VALUE"""),"1～3")</f>
        <v>1～3</v>
      </c>
      <c r="H1616" s="22" t="str">
        <f>IFERROR(__xludf.DUMMYFUNCTION("""COMPUTED_VALUE"""),"でえ┴THE猥談")</f>
        <v>でえ┴THE猥談</v>
      </c>
      <c r="I1616" s="22" t="str">
        <f>IFERROR(__xludf.DUMMYFUNCTION("""COMPUTED_VALUE"""),"TL")</f>
        <v>TL</v>
      </c>
      <c r="J1616" s="22"/>
      <c r="K1616" s="22"/>
      <c r="L1616" s="22" t="str">
        <f>IFERROR(__xludf.DUMMYFUNCTION("""COMPUTED_VALUE"""),"ブリック出版")</f>
        <v>ブリック出版</v>
      </c>
      <c r="M1616" s="23">
        <f>IFERROR(__xludf.DUMMYFUNCTION("""COMPUTED_VALUE"""),45471.0)</f>
        <v>45471</v>
      </c>
      <c r="N1616" s="23">
        <f>IFERROR(__xludf.DUMMYFUNCTION("""COMPUTED_VALUE"""),45533.0)</f>
        <v>45533</v>
      </c>
      <c r="O1616" s="20"/>
      <c r="P1616" s="29" t="str">
        <f>IFERROR(__xludf.DUMMYFUNCTION("""COMPUTED_VALUE"""),"可")</f>
        <v>可</v>
      </c>
      <c r="Q1616" s="30" t="str">
        <f>IFERROR(__xludf.DUMMYFUNCTION("""COMPUTED_VALUE"""),"河上さん事前コミット作品です。")</f>
        <v>河上さん事前コミット作品です。</v>
      </c>
      <c r="R1616" s="22"/>
      <c r="S1616" s="22" t="str">
        <f>IFERROR(__xludf.DUMMYFUNCTION("""COMPUTED_VALUE"""),"20240606_BookLive_今日はセックスせえへん約束やん")</f>
        <v>20240606_BookLive_今日はセックスせえへん約束やん</v>
      </c>
      <c r="T1616" s="22" t="str">
        <f>IFERROR(__xludf.DUMMYFUNCTION("""COMPUTED_VALUE"""),"格納済み")</f>
        <v>格納済み</v>
      </c>
      <c r="U1616" s="15" t="str">
        <f>IFERROR(__xludf.DUMMYFUNCTION("""COMPUTED_VALUE"""),"Ⓒでえ/THE猥談/ブリック出版")</f>
        <v>Ⓒでえ/THE猥談/ブリック出版</v>
      </c>
      <c r="V1616" s="8" t="str">
        <f>IFERROR(__xludf.DUMMYFUNCTION("""COMPUTED_VALUE"""),"『セックスするのは金曜日』
それは、同棲を始める時にふたりで決めたルール。
生活とセックスのバランスが崩れないようにするために。
今日は、木曜日。
セックスするのは明日。
でもムラムラするのが止められない。したい、どうしても、今。
でも謙太郎はこれからのためにルールは守るべき、って譲らない。
……こんなに、彼女が濡れてるのに?
「絶対にセックスしたい彼女」VS「絶対にルールを守りたい彼氏」
今夜勝つのはーーー……
※本作はでえ、THE猥談の個人誌作品の電"&amp;"子書籍版となります。【22ページ】")</f>
        <v>『セックスするのは金曜日』
それは、同棲を始める時にふたりで決めたルール。
生活とセックスのバランスが崩れないようにするために。
今日は、木曜日。
セックスするのは明日。
でもムラムラするのが止められない。したい、どうしても、今。
でも謙太郎はこれからのためにルールは守るべき、って譲らない。
……こんなに、彼女が濡れてるのに?
「絶対にセックスしたい彼女」VS「絶対にルールを守りたい彼氏」
今夜勝つのはーーー……
※本作はでえ、THE猥談の個人誌作品の電子書籍版となります。【22ページ】</v>
      </c>
      <c r="W1616" s="14"/>
      <c r="X1616" s="14" t="str">
        <f>IFERROR(__xludf.DUMMYFUNCTION("""COMPUTED_VALUE"""),"有")</f>
        <v>有</v>
      </c>
      <c r="Y1616" s="8" t="str">
        <f>IFERROR(__xludf.DUMMYFUNCTION("""COMPUTED_VALUE"""),"P13まで")</f>
        <v>P13まで</v>
      </c>
      <c r="Z1616" s="7"/>
      <c r="AA1616" s="7"/>
      <c r="AB1616" s="7"/>
    </row>
    <row r="1617" ht="15.75" customHeight="1">
      <c r="A1617" s="26">
        <f>IFERROR(__xludf.DUMMYFUNCTION("""COMPUTED_VALUE"""),3338.0)</f>
        <v>3338</v>
      </c>
      <c r="B1617" s="22" t="str">
        <f>IFERROR(__xludf.DUMMYFUNCTION("""COMPUTED_VALUE"""),"確定")</f>
        <v>確定</v>
      </c>
      <c r="C1617" s="28">
        <f>IFERROR(__xludf.DUMMYFUNCTION("""COMPUTED_VALUE"""),45406.0)</f>
        <v>45406</v>
      </c>
      <c r="D1617" s="28">
        <f>IFERROR(__xludf.DUMMYFUNCTION("""COMPUTED_VALUE"""),45450.0)</f>
        <v>45450</v>
      </c>
      <c r="E1617" s="31">
        <f>IFERROR(__xludf.DUMMYFUNCTION("""COMPUTED_VALUE"""),295438.0)</f>
        <v>295438</v>
      </c>
      <c r="F1617" s="22" t="str">
        <f>IFERROR(__xludf.DUMMYFUNCTION("""COMPUTED_VALUE"""),"今日はセックスせえへん約束やん!?【R版】")</f>
        <v>今日はセックスせえへん約束やん!?【R版】</v>
      </c>
      <c r="G1617" s="20" t="str">
        <f>IFERROR(__xludf.DUMMYFUNCTION("""COMPUTED_VALUE"""),"1～3")</f>
        <v>1～3</v>
      </c>
      <c r="H1617" s="22" t="str">
        <f>IFERROR(__xludf.DUMMYFUNCTION("""COMPUTED_VALUE"""),"でえ┴THE猥談")</f>
        <v>でえ┴THE猥談</v>
      </c>
      <c r="I1617" s="22" t="str">
        <f>IFERROR(__xludf.DUMMYFUNCTION("""COMPUTED_VALUE"""),"オトナ")</f>
        <v>オトナ</v>
      </c>
      <c r="J1617" s="22"/>
      <c r="K1617" s="22"/>
      <c r="L1617" s="22" t="str">
        <f>IFERROR(__xludf.DUMMYFUNCTION("""COMPUTED_VALUE"""),"ブリック出版")</f>
        <v>ブリック出版</v>
      </c>
      <c r="M1617" s="23">
        <f>IFERROR(__xludf.DUMMYFUNCTION("""COMPUTED_VALUE"""),45471.0)</f>
        <v>45471</v>
      </c>
      <c r="N1617" s="23">
        <f>IFERROR(__xludf.DUMMYFUNCTION("""COMPUTED_VALUE"""),45533.0)</f>
        <v>45533</v>
      </c>
      <c r="O1617" s="20"/>
      <c r="P1617" s="29" t="str">
        <f>IFERROR(__xludf.DUMMYFUNCTION("""COMPUTED_VALUE"""),"可")</f>
        <v>可</v>
      </c>
      <c r="Q1617" s="30" t="str">
        <f>IFERROR(__xludf.DUMMYFUNCTION("""COMPUTED_VALUE"""),"河上さん事前コミット作品です。")</f>
        <v>河上さん事前コミット作品です。</v>
      </c>
      <c r="R1617" s="22"/>
      <c r="S1617" s="22" t="str">
        <f>IFERROR(__xludf.DUMMYFUNCTION("""COMPUTED_VALUE"""),"20240606_BookLive_今日はセックスせえへん約束やん【R版】")</f>
        <v>20240606_BookLive_今日はセックスせえへん約束やん【R版】</v>
      </c>
      <c r="T1617" s="22" t="str">
        <f>IFERROR(__xludf.DUMMYFUNCTION("""COMPUTED_VALUE"""),"格納済み")</f>
        <v>格納済み</v>
      </c>
      <c r="U1617" s="15" t="str">
        <f>IFERROR(__xludf.DUMMYFUNCTION("""COMPUTED_VALUE"""),"Ⓒでえ/THE猥談/ブリック出版")</f>
        <v>Ⓒでえ/THE猥談/ブリック出版</v>
      </c>
      <c r="V1617" s="8" t="str">
        <f>IFERROR(__xludf.DUMMYFUNCTION("""COMPUTED_VALUE"""),"『セックスするのは金曜日』
それは、同棲を始める時にふたりで決めたルール。
生活とセックスのバランスが崩れないようにするために。
今日は、木曜日。
セックスするのは明日。
でもムラムラするのが止められない。したい、どうしても、今。
でも謙太郎はこれからのためにルールは守るべき、って譲らない。
……こんなに、彼女が濡れてるのに?
「絶対にセックスしたい彼女」VS「絶対にルールを守りたい彼氏」
今夜勝つのはーーー……
※本作はでえ、THE猥談の個人誌作品の電子書籍版"&amp;"となります。【22ページ】
※本作は『今日はセックスせえへん約束やん!?』の修正をやや弱めたものです。内容に差異はありません。")</f>
        <v>『セックスするのは金曜日』
それは、同棲を始める時にふたりで決めたルール。
生活とセックスのバランスが崩れないようにするために。
今日は、木曜日。
セックスするのは明日。
でもムラムラするのが止められない。したい、どうしても、今。
でも謙太郎はこれからのためにルールは守るべき、って譲らない。
……こんなに、彼女が濡れてるのに?
「絶対にセックスしたい彼女」VS「絶対にルールを守りたい彼氏」
今夜勝つのはーーー……
※本作はでえ、THE猥談の個人誌作品の電子書籍版となります。【22ページ】
※本作は『今日はセックスせえへん約束やん!?』の修正をやや弱めたものです。内容に差異はありません。</v>
      </c>
      <c r="W1617" s="14"/>
      <c r="X1617" s="14" t="str">
        <f>IFERROR(__xludf.DUMMYFUNCTION("""COMPUTED_VALUE"""),"有")</f>
        <v>有</v>
      </c>
      <c r="Y1617" s="8" t="str">
        <f>IFERROR(__xludf.DUMMYFUNCTION("""COMPUTED_VALUE"""),"P13まで")</f>
        <v>P13まで</v>
      </c>
      <c r="Z1617" s="7"/>
      <c r="AA1617" s="7"/>
      <c r="AB1617" s="7"/>
    </row>
    <row r="1618" ht="15.75" customHeight="1">
      <c r="A1618" s="26">
        <f>IFERROR(__xludf.DUMMYFUNCTION("""COMPUTED_VALUE"""),3339.0)</f>
        <v>3339</v>
      </c>
      <c r="B1618" s="22" t="str">
        <f>IFERROR(__xludf.DUMMYFUNCTION("""COMPUTED_VALUE"""),"確定")</f>
        <v>確定</v>
      </c>
      <c r="C1618" s="28">
        <f>IFERROR(__xludf.DUMMYFUNCTION("""COMPUTED_VALUE"""),45406.0)</f>
        <v>45406</v>
      </c>
      <c r="D1618" s="28">
        <f>IFERROR(__xludf.DUMMYFUNCTION("""COMPUTED_VALUE"""),45450.0)</f>
        <v>45450</v>
      </c>
      <c r="E1618" s="31">
        <f>IFERROR(__xludf.DUMMYFUNCTION("""COMPUTED_VALUE"""),295437.0)</f>
        <v>295437</v>
      </c>
      <c r="F1618" s="22" t="str">
        <f>IFERROR(__xludf.DUMMYFUNCTION("""COMPUTED_VALUE"""),"酔わせた石田はデレる・焦らす・イかせてくれない")</f>
        <v>酔わせた石田はデレる・焦らす・イかせてくれない</v>
      </c>
      <c r="G1618" s="11" t="str">
        <f>IFERROR(__xludf.DUMMYFUNCTION("""COMPUTED_VALUE"""),"1～2")</f>
        <v>1～2</v>
      </c>
      <c r="H1618" s="22" t="str">
        <f>IFERROR(__xludf.DUMMYFUNCTION("""COMPUTED_VALUE"""),"成瀬真琴┴THE猥談")</f>
        <v>成瀬真琴┴THE猥談</v>
      </c>
      <c r="I1618" s="22" t="str">
        <f>IFERROR(__xludf.DUMMYFUNCTION("""COMPUTED_VALUE"""),"TL")</f>
        <v>TL</v>
      </c>
      <c r="J1618" s="22"/>
      <c r="K1618" s="22"/>
      <c r="L1618" s="22" t="str">
        <f>IFERROR(__xludf.DUMMYFUNCTION("""COMPUTED_VALUE"""),"ブリック出版")</f>
        <v>ブリック出版</v>
      </c>
      <c r="M1618" s="23">
        <f>IFERROR(__xludf.DUMMYFUNCTION("""COMPUTED_VALUE"""),45471.0)</f>
        <v>45471</v>
      </c>
      <c r="N1618" s="23">
        <f>IFERROR(__xludf.DUMMYFUNCTION("""COMPUTED_VALUE"""),45624.70833333333)</f>
        <v>45624.70833</v>
      </c>
      <c r="O1618" s="20"/>
      <c r="P1618" s="29" t="str">
        <f>IFERROR(__xludf.DUMMYFUNCTION("""COMPUTED_VALUE"""),"可")</f>
        <v>可</v>
      </c>
      <c r="Q1618" s="30" t="str">
        <f>IFERROR(__xludf.DUMMYFUNCTION("""COMPUTED_VALUE"""),"河上さん事前コミット作品です。")</f>
        <v>河上さん事前コミット作品です。</v>
      </c>
      <c r="R1618" s="22"/>
      <c r="S1618" s="22" t="str">
        <f>IFERROR(__xludf.DUMMYFUNCTION("""COMPUTED_VALUE"""),"20240606_BookLive_酔わせた石田はデレる・焦らす・イかせてくれない")</f>
        <v>20240606_BookLive_酔わせた石田はデレる・焦らす・イかせてくれない</v>
      </c>
      <c r="T1618" s="22" t="str">
        <f>IFERROR(__xludf.DUMMYFUNCTION("""COMPUTED_VALUE"""),"格納済み")</f>
        <v>格納済み</v>
      </c>
      <c r="U1618" s="15" t="str">
        <f>IFERROR(__xludf.DUMMYFUNCTION("""COMPUTED_VALUE"""),"Ⓒ成瀬真琴/THE猥談/ブリック出版")</f>
        <v>Ⓒ成瀬真琴/THE猥談/ブリック出版</v>
      </c>
      <c r="V1618" s="8" t="str">
        <f>IFERROR(__xludf.DUMMYFUNCTION("""COMPUTED_VALUE"""),"バイトの後輩の石田。
無愛想で生意気で、私のこと舐め腐っていたはず...なのに。
「つぐみさんが来てくれたの」
「まじで嬉しくてえ...」
酔わせた石田がこんなにデレデレになるなんて。
「好き」ってストレートに言って
「もっと見たい」って押し倒されて
散々焦らされて、全然イかせてくれないーー...
※本作は成瀬真琴、THE猥談の個人誌作品の電子書籍版となります。【26ページ】")</f>
        <v>バイトの後輩の石田。
無愛想で生意気で、私のこと舐め腐っていたはず...なのに。
「つぐみさんが来てくれたの」
「まじで嬉しくてえ...」
酔わせた石田がこんなにデレデレになるなんて。
「好き」ってストレートに言って
「もっと見たい」って押し倒されて
散々焦らされて、全然イかせてくれないーー...
※本作は成瀬真琴、THE猥談の個人誌作品の電子書籍版となります。【26ページ】</v>
      </c>
      <c r="W1618" s="14"/>
      <c r="X1618" s="14" t="str">
        <f>IFERROR(__xludf.DUMMYFUNCTION("""COMPUTED_VALUE"""),"有")</f>
        <v>有</v>
      </c>
      <c r="Y1618" s="8" t="str">
        <f>IFERROR(__xludf.DUMMYFUNCTION("""COMPUTED_VALUE"""),"P12まで")</f>
        <v>P12まで</v>
      </c>
      <c r="Z1618" s="7"/>
      <c r="AA1618" s="7"/>
      <c r="AB1618" s="7"/>
    </row>
    <row r="1619" ht="15.75" customHeight="1">
      <c r="A1619" s="26">
        <f>IFERROR(__xludf.DUMMYFUNCTION("""COMPUTED_VALUE"""),3340.0)</f>
        <v>3340</v>
      </c>
      <c r="B1619" s="22" t="str">
        <f>IFERROR(__xludf.DUMMYFUNCTION("""COMPUTED_VALUE"""),"確定")</f>
        <v>確定</v>
      </c>
      <c r="C1619" s="28">
        <f>IFERROR(__xludf.DUMMYFUNCTION("""COMPUTED_VALUE"""),45406.0)</f>
        <v>45406</v>
      </c>
      <c r="D1619" s="28">
        <f>IFERROR(__xludf.DUMMYFUNCTION("""COMPUTED_VALUE"""),45450.0)</f>
        <v>45450</v>
      </c>
      <c r="E1619" s="31">
        <f>IFERROR(__xludf.DUMMYFUNCTION("""COMPUTED_VALUE"""),295440.0)</f>
        <v>295440</v>
      </c>
      <c r="F1619" s="22" t="str">
        <f>IFERROR(__xludf.DUMMYFUNCTION("""COMPUTED_VALUE"""),"酔わせた石田はデレる・焦らす・イかせてくれない【R版】")</f>
        <v>酔わせた石田はデレる・焦らす・イかせてくれない【R版】</v>
      </c>
      <c r="G1619" s="11" t="str">
        <f>IFERROR(__xludf.DUMMYFUNCTION("""COMPUTED_VALUE"""),"1～2")</f>
        <v>1～2</v>
      </c>
      <c r="H1619" s="22" t="str">
        <f>IFERROR(__xludf.DUMMYFUNCTION("""COMPUTED_VALUE"""),"成瀬真琴┴THE猥談")</f>
        <v>成瀬真琴┴THE猥談</v>
      </c>
      <c r="I1619" s="22" t="str">
        <f>IFERROR(__xludf.DUMMYFUNCTION("""COMPUTED_VALUE"""),"オトナ")</f>
        <v>オトナ</v>
      </c>
      <c r="J1619" s="22"/>
      <c r="K1619" s="22"/>
      <c r="L1619" s="22" t="str">
        <f>IFERROR(__xludf.DUMMYFUNCTION("""COMPUTED_VALUE"""),"ブリック出版")</f>
        <v>ブリック出版</v>
      </c>
      <c r="M1619" s="23">
        <f>IFERROR(__xludf.DUMMYFUNCTION("""COMPUTED_VALUE"""),45471.0)</f>
        <v>45471</v>
      </c>
      <c r="N1619" s="23">
        <f>IFERROR(__xludf.DUMMYFUNCTION("""COMPUTED_VALUE"""),45533.0)</f>
        <v>45533</v>
      </c>
      <c r="O1619" s="20"/>
      <c r="P1619" s="29" t="str">
        <f>IFERROR(__xludf.DUMMYFUNCTION("""COMPUTED_VALUE"""),"可")</f>
        <v>可</v>
      </c>
      <c r="Q1619" s="30" t="str">
        <f>IFERROR(__xludf.DUMMYFUNCTION("""COMPUTED_VALUE"""),"河上さん事前コミット作品です。")</f>
        <v>河上さん事前コミット作品です。</v>
      </c>
      <c r="R1619" s="22"/>
      <c r="S1619" s="22" t="str">
        <f>IFERROR(__xludf.DUMMYFUNCTION("""COMPUTED_VALUE"""),"20240606_BookLive_酔わせた石田はデレる・焦らす・イかせてくれない【R版】")</f>
        <v>20240606_BookLive_酔わせた石田はデレる・焦らす・イかせてくれない【R版】</v>
      </c>
      <c r="T1619" s="22" t="str">
        <f>IFERROR(__xludf.DUMMYFUNCTION("""COMPUTED_VALUE"""),"格納済み")</f>
        <v>格納済み</v>
      </c>
      <c r="U1619" s="15" t="str">
        <f>IFERROR(__xludf.DUMMYFUNCTION("""COMPUTED_VALUE"""),"Ⓒ成瀬真琴/THE猥談/ブリック出版")</f>
        <v>Ⓒ成瀬真琴/THE猥談/ブリック出版</v>
      </c>
      <c r="V1619" s="8" t="str">
        <f>IFERROR(__xludf.DUMMYFUNCTION("""COMPUTED_VALUE"""),"バイトの後輩の石田。
無愛想で生意気で、私のこと舐め腐っていたはず...なのに。
「つぐみさんが来てくれたの」
「まじで嬉しくてえ...」
酔わせた石田がこんなにデレデレになるなんて。
「好き」ってストレートに言って
「もっと見たい」って押し倒されて
散々焦らされて、全然イかせてくれないーー...
※本作は成瀬真琴、THE猥談の個人誌作品の電子書籍版となります。【26ページ】
※本作は『酔わせた石田はデレる・焦らす・イかせてくれない』の修正をやや弱めたものです。内容に"&amp;"差異はありません。")</f>
        <v>バイトの後輩の石田。
無愛想で生意気で、私のこと舐め腐っていたはず...なのに。
「つぐみさんが来てくれたの」
「まじで嬉しくてえ...」
酔わせた石田がこんなにデレデレになるなんて。
「好き」ってストレートに言って
「もっと見たい」って押し倒されて
散々焦らされて、全然イかせてくれないーー...
※本作は成瀬真琴、THE猥談の個人誌作品の電子書籍版となります。【26ページ】
※本作は『酔わせた石田はデレる・焦らす・イかせてくれない』の修正をやや弱めたものです。内容に差異はありません。</v>
      </c>
      <c r="W1619" s="14"/>
      <c r="X1619" s="14" t="str">
        <f>IFERROR(__xludf.DUMMYFUNCTION("""COMPUTED_VALUE"""),"有")</f>
        <v>有</v>
      </c>
      <c r="Y1619" s="8" t="str">
        <f>IFERROR(__xludf.DUMMYFUNCTION("""COMPUTED_VALUE"""),"P12まで")</f>
        <v>P12まで</v>
      </c>
      <c r="Z1619" s="7"/>
      <c r="AA1619" s="7"/>
      <c r="AB1619" s="7"/>
    </row>
    <row r="1620" ht="15.75" customHeight="1">
      <c r="A1620" s="26">
        <f>IFERROR(__xludf.DUMMYFUNCTION("""COMPUTED_VALUE"""),3384.0)</f>
        <v>3384</v>
      </c>
      <c r="B1620" s="22" t="str">
        <f>IFERROR(__xludf.DUMMYFUNCTION("""COMPUTED_VALUE"""),"確定")</f>
        <v>確定</v>
      </c>
      <c r="C1620" s="28">
        <f>IFERROR(__xludf.DUMMYFUNCTION("""COMPUTED_VALUE"""),45419.0)</f>
        <v>45419</v>
      </c>
      <c r="D1620" s="28">
        <f>IFERROR(__xludf.DUMMYFUNCTION("""COMPUTED_VALUE"""),45454.0)</f>
        <v>45454</v>
      </c>
      <c r="E1620" s="31">
        <f>IFERROR(__xludf.DUMMYFUNCTION("""COMPUTED_VALUE"""),295466.0)</f>
        <v>295466</v>
      </c>
      <c r="F1620" s="22" t="str">
        <f>IFERROR(__xludf.DUMMYFUNCTION("""COMPUTED_VALUE"""),"わたくしが破滅エンドの悪役令嬢って本当ですの？")</f>
        <v>わたくしが破滅エンドの悪役令嬢って本当ですの？</v>
      </c>
      <c r="G1620" s="20" t="str">
        <f>IFERROR(__xludf.DUMMYFUNCTION("""COMPUTED_VALUE"""),"1～11")</f>
        <v>1～11</v>
      </c>
      <c r="H1620" s="22" t="str">
        <f>IFERROR(__xludf.DUMMYFUNCTION("""COMPUTED_VALUE"""),"白ムナコ┴丸井キノコ")</f>
        <v>白ムナコ┴丸井キノコ</v>
      </c>
      <c r="I1620" s="22" t="str">
        <f>IFERROR(__xludf.DUMMYFUNCTION("""COMPUTED_VALUE"""),"女性")</f>
        <v>女性</v>
      </c>
      <c r="J1620" s="22"/>
      <c r="K1620" s="22"/>
      <c r="L1620" s="22" t="str">
        <f>IFERROR(__xludf.DUMMYFUNCTION("""COMPUTED_VALUE"""),"ライブコミックス")</f>
        <v>ライブコミックス</v>
      </c>
      <c r="M1620" s="23">
        <f>IFERROR(__xludf.DUMMYFUNCTION("""COMPUTED_VALUE"""),45471.0)</f>
        <v>45471</v>
      </c>
      <c r="N1620" s="23">
        <f>IFERROR(__xludf.DUMMYFUNCTION("""COMPUTED_VALUE"""),45561.0)</f>
        <v>45561</v>
      </c>
      <c r="O1620" s="20"/>
      <c r="P1620" s="29" t="str">
        <f>IFERROR(__xludf.DUMMYFUNCTION("""COMPUTED_VALUE"""),"可")</f>
        <v>可</v>
      </c>
      <c r="Q1620" s="30" t="str">
        <f>IFERROR(__xludf.DUMMYFUNCTION("""COMPUTED_VALUE"""),"広告コミットOK(5/15)")</f>
        <v>広告コミットOK(5/15)</v>
      </c>
      <c r="R1620" s="22"/>
      <c r="S1620" s="22" t="str">
        <f>IFERROR(__xludf.DUMMYFUNCTION("""COMPUTED_VALUE"""),"20240611_BookLive_わたくしが破滅エンドの悪役令嬢って本当ですの？")</f>
        <v>20240611_BookLive_わたくしが破滅エンドの悪役令嬢って本当ですの？</v>
      </c>
      <c r="T1620" s="22" t="str">
        <f>IFERROR(__xludf.DUMMYFUNCTION("""COMPUTED_VALUE"""),"格納済み")</f>
        <v>格納済み</v>
      </c>
      <c r="U1620" s="15" t="str">
        <f>IFERROR(__xludf.DUMMYFUNCTION("""COMPUTED_VALUE"""),"Ⓒ白ムナコ/丸井キノコ/ライブコミックス")</f>
        <v>Ⓒ白ムナコ/丸井キノコ/ライブコミックス</v>
      </c>
      <c r="V1620" s="8" t="str">
        <f>IFERROR(__xludf.DUMMYFUNCTION("""COMPUTED_VALUE"""),"王妃になるべく厳しく躾けられてきた侯爵令嬢・リュシエーヌ。しかし、その隙のない振舞いゆえに周囲に敬遠され、ついにはパーティーで王太子から婚約破棄を言い渡されてしまう。――そのタイミングで前世の記憶が戻ったのは、リュシエーヌ…ではなく、第二王子・レオンドゥールだった！　「悪役だのモブだのって、いったいなんのことですの！？」　”異世界転生していない悪役令嬢”は断罪回避できるのか？　破滅エンドから救済したい転生王子×《無自覚》悪役令嬢の、じれ恋ラブストーリー！")</f>
        <v>王妃になるべく厳しく躾けられてきた侯爵令嬢・リュシエーヌ。しかし、その隙のない振舞いゆえに周囲に敬遠され、ついにはパーティーで王太子から婚約破棄を言い渡されてしまう。――そのタイミングで前世の記憶が戻ったのは、リュシエーヌ…ではなく、第二王子・レオンドゥールだった！　「悪役だのモブだのって、いったいなんのことですの！？」　”異世界転生していない悪役令嬢”は断罪回避できるのか？　破滅エンドから救済したい転生王子×《無自覚》悪役令嬢の、じれ恋ラブストーリー！</v>
      </c>
      <c r="W1620" s="14"/>
      <c r="X1620" s="14" t="str">
        <f>IFERROR(__xludf.DUMMYFUNCTION("""COMPUTED_VALUE"""),"有")</f>
        <v>有</v>
      </c>
      <c r="Y1620" s="8" t="str">
        <f>IFERROR(__xludf.DUMMYFUNCTION("""COMPUTED_VALUE"""),"2024/9/26まで1～4巻無料")</f>
        <v>2024/9/26まで1～4巻無料</v>
      </c>
      <c r="Z1620" s="7"/>
      <c r="AA1620" s="7"/>
      <c r="AB1620" s="7"/>
    </row>
    <row r="1621" ht="106.5" customHeight="1">
      <c r="A1621" s="26">
        <f>IFERROR(__xludf.DUMMYFUNCTION("""COMPUTED_VALUE"""),3391.0)</f>
        <v>3391</v>
      </c>
      <c r="B1621" s="22" t="str">
        <f>IFERROR(__xludf.DUMMYFUNCTION("""COMPUTED_VALUE"""),"確定")</f>
        <v>確定</v>
      </c>
      <c r="C1621" s="28">
        <f>IFERROR(__xludf.DUMMYFUNCTION("""COMPUTED_VALUE"""),45420.0)</f>
        <v>45420</v>
      </c>
      <c r="D1621" s="28">
        <f>IFERROR(__xludf.DUMMYFUNCTION("""COMPUTED_VALUE"""),45454.0)</f>
        <v>45454</v>
      </c>
      <c r="E1621" s="31">
        <f>IFERROR(__xludf.DUMMYFUNCTION("""COMPUTED_VALUE"""),296328.0)</f>
        <v>296328</v>
      </c>
      <c r="F1621" s="46" t="str">
        <f>IFERROR(__xludf.DUMMYFUNCTION("""COMPUTED_VALUE"""),"後宮の忘却妃 ―輪廻の華は官女となりて返り咲く― THE COMIC【分冊版】")</f>
        <v>後宮の忘却妃 ―輪廻の華は官女となりて返り咲く― THE COMIC【分冊版】</v>
      </c>
      <c r="G1621" s="20" t="str">
        <f>IFERROR(__xludf.DUMMYFUNCTION("""COMPUTED_VALUE"""),"1～6")</f>
        <v>1～6</v>
      </c>
      <c r="H1621" s="22" t="str">
        <f>IFERROR(__xludf.DUMMYFUNCTION("""COMPUTED_VALUE"""),"原作：あかこ 漫画：池谷茉優 キャラクター原案：憂")</f>
        <v>原作：あかこ 漫画：池谷茉優 キャラクター原案：憂</v>
      </c>
      <c r="I1621" s="22" t="str">
        <f>IFERROR(__xludf.DUMMYFUNCTION("""COMPUTED_VALUE"""),"少女")</f>
        <v>少女</v>
      </c>
      <c r="J1621" s="22"/>
      <c r="K1621" s="22"/>
      <c r="L1621" s="22" t="str">
        <f>IFERROR(__xludf.DUMMYFUNCTION("""COMPUTED_VALUE"""),"マッグガーデン")</f>
        <v>マッグガーデン</v>
      </c>
      <c r="M1621" s="59">
        <f>IFERROR(__xludf.DUMMYFUNCTION("""COMPUTED_VALUE"""),45485.0)</f>
        <v>45485</v>
      </c>
      <c r="N1621" s="23">
        <f>IFERROR(__xludf.DUMMYFUNCTION("""COMPUTED_VALUE"""),45547.0)</f>
        <v>45547</v>
      </c>
      <c r="O1621" s="20"/>
      <c r="P1621" s="29" t="str">
        <f>IFERROR(__xludf.DUMMYFUNCTION("""COMPUTED_VALUE"""),"否")</f>
        <v>否</v>
      </c>
      <c r="Q1621" s="30" t="str">
        <f>IFERROR(__xludf.DUMMYFUNCTION("""COMPUTED_VALUE"""),"広告コミットOK(5/15)")</f>
        <v>広告コミットOK(5/15)</v>
      </c>
      <c r="R1621" s="22"/>
      <c r="S1621" s="22" t="str">
        <f>IFERROR(__xludf.DUMMYFUNCTION("""COMPUTED_VALUE"""),"20240610_マッグガーデン_後宮の忘却妃")</f>
        <v>20240610_マッグガーデン_後宮の忘却妃</v>
      </c>
      <c r="T1621" s="22" t="str">
        <f>IFERROR(__xludf.DUMMYFUNCTION("""COMPUTED_VALUE"""),"格納済み")</f>
        <v>格納済み</v>
      </c>
      <c r="U1621" s="15" t="str">
        <f>IFERROR(__xludf.DUMMYFUNCTION("""COMPUTED_VALUE"""),"(C)Mayu Iketani/MAG Garden (C)Akako 2023/KADOKAWA")</f>
        <v>(C)Mayu Iketani/MAG Garden (C)Akako 2023/KADOKAWA</v>
      </c>
      <c r="V1621" s="8" t="str">
        <f>IFERROR(__xludf.DUMMYFUNCTION("""COMPUTED_VALUE"""),"古代中国・汪の国、第三皇子・紫釉と紹将軍が主導した皇帝徐欣討伐の反乱の最中、非業の死を遂げた末端の皇帝妃・玲秋と、幼き公主・珠玉。だが何故か過去の世界で目覚めた玲秋は、運命を変え珠玉の命を救うべく奔走するが…？陰謀と愛憎が渦巻く中華後宮輪廻恋物語！【第1話前編収録】")</f>
        <v>古代中国・汪の国、第三皇子・紫釉と紹将軍が主導した皇帝徐欣討伐の反乱の最中、非業の死を遂げた末端の皇帝妃・玲秋と、幼き公主・珠玉。だが何故か過去の世界で目覚めた玲秋は、運命を変え珠玉の命を救うべく奔走するが…？陰謀と愛憎が渦巻く中華後宮輪廻恋物語！【第1話前編収録】</v>
      </c>
      <c r="W1621" s="14"/>
      <c r="X1621" s="14" t="str">
        <f>IFERROR(__xludf.DUMMYFUNCTION("""COMPUTED_VALUE"""),"有")</f>
        <v>有</v>
      </c>
      <c r="Y1621" s="8" t="str">
        <f>IFERROR(__xludf.DUMMYFUNCTION("""COMPUTED_VALUE"""),"2024/9/12まで1巻無料")</f>
        <v>2024/9/12まで1巻無料</v>
      </c>
      <c r="Z1621" s="7"/>
      <c r="AA1621" s="7"/>
      <c r="AB1621" s="7"/>
    </row>
    <row r="1622" ht="15.75" customHeight="1">
      <c r="A1622" s="26">
        <f>IFERROR(__xludf.DUMMYFUNCTION("""COMPUTED_VALUE"""),3405.0)</f>
        <v>3405</v>
      </c>
      <c r="B1622" s="22" t="str">
        <f>IFERROR(__xludf.DUMMYFUNCTION("""COMPUTED_VALUE"""),"確定")</f>
        <v>確定</v>
      </c>
      <c r="C1622" s="28">
        <f>IFERROR(__xludf.DUMMYFUNCTION("""COMPUTED_VALUE"""),45421.0)</f>
        <v>45421</v>
      </c>
      <c r="D1622" s="28">
        <f>IFERROR(__xludf.DUMMYFUNCTION("""COMPUTED_VALUE"""),45454.0)</f>
        <v>45454</v>
      </c>
      <c r="E1622" s="31">
        <f>IFERROR(__xludf.DUMMYFUNCTION("""COMPUTED_VALUE"""),296695.0)</f>
        <v>296695</v>
      </c>
      <c r="F1622" s="22" t="str">
        <f>IFERROR(__xludf.DUMMYFUNCTION("""COMPUTED_VALUE"""),"南條専務の愛が重すぎる！～上司は執着系溺愛ストーカー～")</f>
        <v>南條専務の愛が重すぎる！～上司は執着系溺愛ストーカー～</v>
      </c>
      <c r="G1622" s="11" t="str">
        <f>IFERROR(__xludf.DUMMYFUNCTION("""COMPUTED_VALUE"""),"1～2")</f>
        <v>1～2</v>
      </c>
      <c r="H1622" s="22" t="str">
        <f>IFERROR(__xludf.DUMMYFUNCTION("""COMPUTED_VALUE"""),"あるちょむ")</f>
        <v>あるちょむ</v>
      </c>
      <c r="I1622" s="22" t="str">
        <f>IFERROR(__xludf.DUMMYFUNCTION("""COMPUTED_VALUE"""),"TL")</f>
        <v>TL</v>
      </c>
      <c r="J1622" s="22"/>
      <c r="K1622" s="22"/>
      <c r="L1622" s="22" t="str">
        <f>IFERROR(__xludf.DUMMYFUNCTION("""COMPUTED_VALUE"""),"大洋図書")</f>
        <v>大洋図書</v>
      </c>
      <c r="M1622" s="59">
        <f>IFERROR(__xludf.DUMMYFUNCTION("""COMPUTED_VALUE"""),45485.0)</f>
        <v>45485</v>
      </c>
      <c r="N1622" s="33">
        <f>IFERROR(__xludf.DUMMYFUNCTION("""COMPUTED_VALUE"""),45575.0)</f>
        <v>45575</v>
      </c>
      <c r="O1622" s="20"/>
      <c r="P1622" s="29" t="str">
        <f>IFERROR(__xludf.DUMMYFUNCTION("""COMPUTED_VALUE"""),"可")</f>
        <v>可</v>
      </c>
      <c r="Q1622" s="30" t="str">
        <f>IFERROR(__xludf.DUMMYFUNCTION("""COMPUTED_VALUE"""),"広告コミットOK(5/14)
著者実績としましてはDlsiteがるまにで「優しい先輩の正体は狂愛のヤンデレ男子」（同人サークル：つよぃ女の子）シリーズ２がランキング上位をキープの注目の若手作家。エッチシーン必見！初の商業デビュー作品となります。
DLsiteがるまに様 著者作品: https://x.gd/r60sU　
レーベル名は「恋＊COMACHI」となります（新規レーベル）")</f>
        <v>広告コミットOK(5/14)
著者実績としましてはDlsiteがるまにで「優しい先輩の正体は狂愛のヤンデレ男子」（同人サークル：つよぃ女の子）シリーズ２がランキング上位をキープの注目の若手作家。エッチシーン必見！初の商業デビュー作品となります。
DLsiteがるまに様 著者作品: https://x.gd/r60sU　
レーベル名は「恋＊COMACHI」となります（新規レーベル）</v>
      </c>
      <c r="R1622" s="22"/>
      <c r="S1622" s="22" t="str">
        <f>IFERROR(__xludf.DUMMYFUNCTION("""COMPUTED_VALUE"""),"20240611_大洋図書_南條専務の愛が重すぎる！～上司は執着系溺愛ストーカー～")</f>
        <v>20240611_大洋図書_南條専務の愛が重すぎる！～上司は執着系溺愛ストーカー～</v>
      </c>
      <c r="T1622" s="22" t="str">
        <f>IFERROR(__xludf.DUMMYFUNCTION("""COMPUTED_VALUE"""),"格納済み")</f>
        <v>格納済み</v>
      </c>
      <c r="U1622" s="15" t="str">
        <f>IFERROR(__xludf.DUMMYFUNCTION("""COMPUTED_VALUE"""),"©あるちょむ/大洋図書")</f>
        <v>©あるちょむ/大洋図書</v>
      </c>
      <c r="V1622" s="8" t="str">
        <f>IFERROR(__xludf.DUMMYFUNCTION("""COMPUTED_VALUE"""),"「かなちゃん俺のここ…すごいことになってる…っ」股間をアソコにグリグリ擦り付けられて耳元で囁かられて…まさか、初体験がこんな変態となんて…！？――マーケティング会社で働く社会人２年目のかなみは初めての現場で、まさに少女時代に夢見た王子様とそっくりの上司・南條と運命的な出会いをする。賢くクールで完璧な彼。だが、その正体は……かなみに執着する溺愛ストーカー！？　一途な執着エッチが愛を育む？？エロティカルラブコメディ！")</f>
        <v>「かなちゃん俺のここ…すごいことになってる…っ」股間をアソコにグリグリ擦り付けられて耳元で囁かられて…まさか、初体験がこんな変態となんて…！？――マーケティング会社で働く社会人２年目のかなみは初めての現場で、まさに少女時代に夢見た王子様とそっくりの上司・南條と運命的な出会いをする。賢くクールで完璧な彼。だが、その正体は……かなみに執着する溺愛ストーカー！？　一途な執着エッチが愛を育む？？エロティカルラブコメディ！</v>
      </c>
      <c r="W1622" s="14"/>
      <c r="X1622" s="14" t="str">
        <f>IFERROR(__xludf.DUMMYFUNCTION("""COMPUTED_VALUE"""),"有")</f>
        <v>有</v>
      </c>
      <c r="Y1622" s="8" t="str">
        <f>IFERROR(__xludf.DUMMYFUNCTION("""COMPUTED_VALUE"""),"P6まで")</f>
        <v>P6まで</v>
      </c>
      <c r="Z1622" s="7"/>
      <c r="AA1622" s="7"/>
      <c r="AB1622" s="7"/>
    </row>
    <row r="1623" ht="15.75" customHeight="1">
      <c r="A1623" s="26">
        <f>IFERROR(__xludf.DUMMYFUNCTION("""COMPUTED_VALUE"""),3474.0)</f>
        <v>3474</v>
      </c>
      <c r="B1623" s="22" t="str">
        <f>IFERROR(__xludf.DUMMYFUNCTION("""COMPUTED_VALUE"""),"確定")</f>
        <v>確定</v>
      </c>
      <c r="C1623" s="28">
        <f>IFERROR(__xludf.DUMMYFUNCTION("""COMPUTED_VALUE"""),45433.0)</f>
        <v>45433</v>
      </c>
      <c r="D1623" s="28">
        <f>IFERROR(__xludf.DUMMYFUNCTION("""COMPUTED_VALUE"""),45454.0)</f>
        <v>45454</v>
      </c>
      <c r="E1623" s="31">
        <f>IFERROR(__xludf.DUMMYFUNCTION("""COMPUTED_VALUE"""),295557.0)</f>
        <v>295557</v>
      </c>
      <c r="F1623" s="22" t="str">
        <f>IFERROR(__xludf.DUMMYFUNCTION("""COMPUTED_VALUE"""),"愛妻弁当は不倫に含まれますか？【タテヨミ】")</f>
        <v>愛妻弁当は不倫に含まれますか？【タテヨミ】</v>
      </c>
      <c r="G1623" s="20" t="str">
        <f>IFERROR(__xludf.DUMMYFUNCTION("""COMPUTED_VALUE"""),"1～14")</f>
        <v>1～14</v>
      </c>
      <c r="H1623" s="22" t="str">
        <f>IFERROR(__xludf.DUMMYFUNCTION("""COMPUTED_VALUE"""),"MUGEN FACTORY・猫野ゆきち┴白水汰一┴堀越有紗")</f>
        <v>MUGEN FACTORY・猫野ゆきち┴白水汰一┴堀越有紗</v>
      </c>
      <c r="I1623" s="22" t="str">
        <f>IFERROR(__xludf.DUMMYFUNCTION("""COMPUTED_VALUE"""),"女性")</f>
        <v>女性</v>
      </c>
      <c r="J1623" s="22"/>
      <c r="K1623" s="22"/>
      <c r="L1623" s="22" t="str">
        <f>IFERROR(__xludf.DUMMYFUNCTION("""COMPUTED_VALUE"""),"weavin")</f>
        <v>weavin</v>
      </c>
      <c r="M1623" s="23">
        <f>IFERROR(__xludf.DUMMYFUNCTION("""COMPUTED_VALUE"""),45457.0)</f>
        <v>45457</v>
      </c>
      <c r="N1623" s="23">
        <f>IFERROR(__xludf.DUMMYFUNCTION("""COMPUTED_VALUE"""),45555.0)</f>
        <v>45555</v>
      </c>
      <c r="O1623" s="20"/>
      <c r="P1623" s="32" t="str">
        <f>IFERROR(__xludf.DUMMYFUNCTION("""COMPUTED_VALUE"""),"否")</f>
        <v>否</v>
      </c>
      <c r="Q1623" s="30"/>
      <c r="R1623" s="22"/>
      <c r="S1623" s="22" t="str">
        <f>IFERROR(__xludf.DUMMYFUNCTION("""COMPUTED_VALUE"""),"20240607_weavin_愛妻弁当は不倫に含まれますか？【タテヨミ】")</f>
        <v>20240607_weavin_愛妻弁当は不倫に含まれますか？【タテヨミ】</v>
      </c>
      <c r="T1623" s="22" t="str">
        <f>IFERROR(__xludf.DUMMYFUNCTION("""COMPUTED_VALUE"""),"格納済み")</f>
        <v>格納済み</v>
      </c>
      <c r="U1623" s="15" t="str">
        <f>IFERROR(__xludf.DUMMYFUNCTION("""COMPUTED_VALUE"""),"(C)MUGEN FACTORY／MUGENUP／weavin")</f>
        <v>(C)MUGEN FACTORY／MUGENUP／weavin</v>
      </c>
      <c r="V1623" s="8" t="str">
        <f>IFERROR(__xludf.DUMMYFUNCTION("""COMPUTED_VALUE"""),"「このお弁当を食べているのは誰･･･？」 幼い頃、料理番組を見て「大切な人のために料理を作る」ことに強い憧れを抱いてきた主人公・鈴音は、友人の誘いで渋々参加した飲み会で現在の旦那である数馬と出会い、20歳で憧れの結婚を果たす。専業主婦として夢の生活をスタートしたが――5年後。彼女は、＜愛妻弁当＞を作りながら、大きなため息を吐いていた。夫は順調に昇進し、休日も買い物のために車を出してくれる優しい人。しかし、ここ数年はどこか上の空で、残業や接待も多く、夜の営みもめっきりない。自分の幸せを確かめるように、愛妻弁"&amp;"当に愛情たっぷりのメモを添える。『今日も、お仕事頑張ってね』と、にっこり可愛い笑顔のマークを添えて。 数日後――帰宅した夫から「今日もうまかったよ」と弁当箱を受け取り、箱の裏に一枚の付箋が貼り付いていることに気がつく。そこには、丁寧な文字でこう記されていた。『卵焼きの味付け、変えましたか？』それからというもの、連日弁当箱には、謎の付箋が――。 おそるおそる夫の文字と比較してみると、明らかに別人の文字であることが判明。 突如、平穏な日常に割って入って来た付箋の存在が、夫婦の信頼、はたまた鈴音の女性としての生"&amp;"き方に大きく切り込んでいく。 数馬の浮気疑惑も重なって、混乱する鈴音を救ったのは、姿の見えない男の子の優しく丁寧な文字。鈴音の心には、いつしか淡い恋心が芽生えはじめ…。 【クレジット】猫野ゆきち（シナリオ）白水汰一（ネーム）堀越有紗（キャラクターデザイン）MUGEN FACTORY（制作・プロデュース）")</f>
        <v>「このお弁当を食べているのは誰･･･？」 幼い頃、料理番組を見て「大切な人のために料理を作る」ことに強い憧れを抱いてきた主人公・鈴音は、友人の誘いで渋々参加した飲み会で現在の旦那である数馬と出会い、20歳で憧れの結婚を果たす。専業主婦として夢の生活をスタートしたが――5年後。彼女は、＜愛妻弁当＞を作りながら、大きなため息を吐いていた。夫は順調に昇進し、休日も買い物のために車を出してくれる優しい人。しかし、ここ数年はどこか上の空で、残業や接待も多く、夜の営みもめっきりない。自分の幸せを確かめるように、愛妻弁当に愛情たっぷりのメモを添える。『今日も、お仕事頑張ってね』と、にっこり可愛い笑顔のマークを添えて。 数日後――帰宅した夫から「今日もうまかったよ」と弁当箱を受け取り、箱の裏に一枚の付箋が貼り付いていることに気がつく。そこには、丁寧な文字でこう記されていた。『卵焼きの味付け、変えましたか？』それからというもの、連日弁当箱には、謎の付箋が――。 おそるおそる夫の文字と比較してみると、明らかに別人の文字であることが判明。 突如、平穏な日常に割って入って来た付箋の存在が、夫婦の信頼、はたまた鈴音の女性としての生き方に大きく切り込んでいく。 数馬の浮気疑惑も重なって、混乱する鈴音を救ったのは、姿の見えない男の子の優しく丁寧な文字。鈴音の心には、いつしか淡い恋心が芽生えはじめ…。 【クレジット】猫野ゆきち（シナリオ）白水汰一（ネーム）堀越有紗（キャラクターデザイン）MUGEN FACTORY（制作・プロデュース）</v>
      </c>
      <c r="W1623" s="14"/>
      <c r="X1623" s="14" t="str">
        <f>IFERROR(__xludf.DUMMYFUNCTION("""COMPUTED_VALUE"""),"有")</f>
        <v>有</v>
      </c>
      <c r="Y1623" s="8" t="str">
        <f>IFERROR(__xludf.DUMMYFUNCTION("""COMPUTED_VALUE"""),"1～4巻無料
2024/6/28まで5～10巻無料")</f>
        <v>1～4巻無料
2024/6/28まで5～10巻無料</v>
      </c>
      <c r="Z1623" s="7"/>
      <c r="AA1623" s="7"/>
      <c r="AB1623" s="7"/>
    </row>
    <row r="1624" ht="114.0" customHeight="1">
      <c r="A1624" s="26">
        <f>IFERROR(__xludf.DUMMYFUNCTION("""COMPUTED_VALUE"""),3475.0)</f>
        <v>3475</v>
      </c>
      <c r="B1624" s="22" t="str">
        <f>IFERROR(__xludf.DUMMYFUNCTION("""COMPUTED_VALUE"""),"確定")</f>
        <v>確定</v>
      </c>
      <c r="C1624" s="28">
        <f>IFERROR(__xludf.DUMMYFUNCTION("""COMPUTED_VALUE"""),45433.0)</f>
        <v>45433</v>
      </c>
      <c r="D1624" s="28">
        <f>IFERROR(__xludf.DUMMYFUNCTION("""COMPUTED_VALUE"""),45454.0)</f>
        <v>45454</v>
      </c>
      <c r="E1624" s="31">
        <f>IFERROR(__xludf.DUMMYFUNCTION("""COMPUTED_VALUE"""),295518.0)</f>
        <v>295518</v>
      </c>
      <c r="F1624" s="22" t="str">
        <f>IFERROR(__xludf.DUMMYFUNCTION("""COMPUTED_VALUE"""),"スパイハウス【タテヨミ】")</f>
        <v>スパイハウス【タテヨミ】</v>
      </c>
      <c r="G1624" s="20" t="str">
        <f>IFERROR(__xludf.DUMMYFUNCTION("""COMPUTED_VALUE"""),"1～27")</f>
        <v>1～27</v>
      </c>
      <c r="H1624" s="22" t="str">
        <f>IFERROR(__xludf.DUMMYFUNCTION("""COMPUTED_VALUE"""),"SOON┴AGUR┴Beck ho an┴Kim sunhee┴SEOLTANG┴KENAZ")</f>
        <v>SOON┴AGUR┴Beck ho an┴Kim sunhee┴SEOLTANG┴KENAZ</v>
      </c>
      <c r="I1624" s="22" t="str">
        <f>IFERROR(__xludf.DUMMYFUNCTION("""COMPUTED_VALUE"""),"女性")</f>
        <v>女性</v>
      </c>
      <c r="J1624" s="22"/>
      <c r="K1624" s="22"/>
      <c r="L1624" s="22" t="str">
        <f>IFERROR(__xludf.DUMMYFUNCTION("""COMPUTED_VALUE"""),"weavin")</f>
        <v>weavin</v>
      </c>
      <c r="M1624" s="23">
        <f>IFERROR(__xludf.DUMMYFUNCTION("""COMPUTED_VALUE"""),45457.0)</f>
        <v>45457</v>
      </c>
      <c r="N1624" s="23">
        <f>IFERROR(__xludf.DUMMYFUNCTION("""COMPUTED_VALUE"""),45555.0)</f>
        <v>45555</v>
      </c>
      <c r="O1624" s="20"/>
      <c r="P1624" s="32" t="str">
        <f>IFERROR(__xludf.DUMMYFUNCTION("""COMPUTED_VALUE"""),"否")</f>
        <v>否</v>
      </c>
      <c r="Q1624" s="30"/>
      <c r="R1624" s="22"/>
      <c r="S1624" s="22" t="str">
        <f>IFERROR(__xludf.DUMMYFUNCTION("""COMPUTED_VALUE"""),"20240607_weavin_スパイハウス【タテヨミ】")</f>
        <v>20240607_weavin_スパイハウス【タテヨミ】</v>
      </c>
      <c r="T1624" s="22" t="str">
        <f>IFERROR(__xludf.DUMMYFUNCTION("""COMPUTED_VALUE"""),"格納済み")</f>
        <v>格納済み</v>
      </c>
      <c r="U1624" s="15" t="str">
        <f>IFERROR(__xludf.DUMMYFUNCTION("""COMPUTED_VALUE"""),"(C)SOON,AGUR,Beck ho an,Kim sunhee by SEOLTANG／KENAZ／weavin")</f>
        <v>(C)SOON,AGUR,Beck ho an,Kim sunhee by SEOLTANG／KENAZ／weavin</v>
      </c>
      <c r="V1624" s="8" t="str">
        <f>IFERROR(__xludf.DUMMYFUNCTION("""COMPUTED_VALUE"""),"婚家であるロジモンド公爵家から虐待を受けて財産をすべて奪われ、毒殺されて無念に死んだヒロインが婚約者を決定する前である9歳の時へ回帰する。前世での生が繰り返されるのを避けるために主人公は帝国の狂犬と呼ばれるキャラハン・バルムート公爵の嫁になることを決心する。")</f>
        <v>婚家であるロジモンド公爵家から虐待を受けて財産をすべて奪われ、毒殺されて無念に死んだヒロインが婚約者を決定する前である9歳の時へ回帰する。前世での生が繰り返されるのを避けるために主人公は帝国の狂犬と呼ばれるキャラハン・バルムート公爵の嫁になることを決心する。</v>
      </c>
      <c r="W1624" s="14"/>
      <c r="X1624" s="14" t="str">
        <f>IFERROR(__xludf.DUMMYFUNCTION("""COMPUTED_VALUE"""),"有")</f>
        <v>有</v>
      </c>
      <c r="Y1624" s="8" t="str">
        <f>IFERROR(__xludf.DUMMYFUNCTION("""COMPUTED_VALUE"""),"1～4巻無料
2024/6/28まで5～10巻無料")</f>
        <v>1～4巻無料
2024/6/28まで5～10巻無料</v>
      </c>
      <c r="Z1624" s="7"/>
      <c r="AA1624" s="7"/>
      <c r="AB1624" s="7"/>
    </row>
    <row r="1625" ht="15.75" customHeight="1">
      <c r="A1625" s="26">
        <f>IFERROR(__xludf.DUMMYFUNCTION("""COMPUTED_VALUE"""),3476.0)</f>
        <v>3476</v>
      </c>
      <c r="B1625" s="22" t="str">
        <f>IFERROR(__xludf.DUMMYFUNCTION("""COMPUTED_VALUE"""),"確定")</f>
        <v>確定</v>
      </c>
      <c r="C1625" s="28">
        <f>IFERROR(__xludf.DUMMYFUNCTION("""COMPUTED_VALUE"""),45433.0)</f>
        <v>45433</v>
      </c>
      <c r="D1625" s="28">
        <f>IFERROR(__xludf.DUMMYFUNCTION("""COMPUTED_VALUE"""),45454.0)</f>
        <v>45454</v>
      </c>
      <c r="E1625" s="31">
        <f>IFERROR(__xludf.DUMMYFUNCTION("""COMPUTED_VALUE"""),295558.0)</f>
        <v>295558</v>
      </c>
      <c r="F1625" s="22" t="str">
        <f>IFERROR(__xludf.DUMMYFUNCTION("""COMPUTED_VALUE"""),"百谷さんの愛が重たい！【タテヨミ】")</f>
        <v>百谷さんの愛が重たい！【タテヨミ】</v>
      </c>
      <c r="G1625" s="11" t="str">
        <f>IFERROR(__xludf.DUMMYFUNCTION("""COMPUTED_VALUE"""),"1～15")</f>
        <v>1～15</v>
      </c>
      <c r="H1625" s="22" t="str">
        <f>IFERROR(__xludf.DUMMYFUNCTION("""COMPUTED_VALUE"""),"MUGEN FACTORY・猫野ゆきち┴C-Route")</f>
        <v>MUGEN FACTORY・猫野ゆきち┴C-Route</v>
      </c>
      <c r="I1625" s="22" t="str">
        <f>IFERROR(__xludf.DUMMYFUNCTION("""COMPUTED_VALUE"""),"女性")</f>
        <v>女性</v>
      </c>
      <c r="J1625" s="22"/>
      <c r="K1625" s="22"/>
      <c r="L1625" s="22" t="str">
        <f>IFERROR(__xludf.DUMMYFUNCTION("""COMPUTED_VALUE"""),"weavin")</f>
        <v>weavin</v>
      </c>
      <c r="M1625" s="23">
        <f>IFERROR(__xludf.DUMMYFUNCTION("""COMPUTED_VALUE"""),45457.0)</f>
        <v>45457</v>
      </c>
      <c r="N1625" s="23">
        <f>IFERROR(__xludf.DUMMYFUNCTION("""COMPUTED_VALUE"""),45555.0)</f>
        <v>45555</v>
      </c>
      <c r="O1625" s="20"/>
      <c r="P1625" s="32" t="str">
        <f>IFERROR(__xludf.DUMMYFUNCTION("""COMPUTED_VALUE"""),"否")</f>
        <v>否</v>
      </c>
      <c r="Q1625" s="30"/>
      <c r="R1625" s="22"/>
      <c r="S1625" s="22" t="str">
        <f>IFERROR(__xludf.DUMMYFUNCTION("""COMPUTED_VALUE"""),"20240607_weavin_百谷さんの愛が重たい！【タテヨミ】")</f>
        <v>20240607_weavin_百谷さんの愛が重たい！【タテヨミ】</v>
      </c>
      <c r="T1625" s="22" t="str">
        <f>IFERROR(__xludf.DUMMYFUNCTION("""COMPUTED_VALUE"""),"格納済み")</f>
        <v>格納済み</v>
      </c>
      <c r="U1625" s="15" t="str">
        <f>IFERROR(__xludf.DUMMYFUNCTION("""COMPUTED_VALUE"""),"(C)MUGEN FACTORY／MUGENUP／weavin")</f>
        <v>(C)MUGEN FACTORY／MUGENUP／weavin</v>
      </c>
      <c r="V1625" s="8" t="str">
        <f>IFERROR(__xludf.DUMMYFUNCTION("""COMPUTED_VALUE"""),"誰もが羨むバリキャリな主人公・百谷リツ。彼女には人に言えない大きな秘密があった。それは、彼女が恋愛にヘビー級に依存する“激重女子”だということ。長く交際した恋人にフラれて以来、元カレのネットストーキングをパワーの源として生きているのだ。「このままではいけない」頭ではわかっていても、指先が勝手にSNSを検索してしまう。そんなリツの前にある日、同じく”重い”恋をする＜謎の男＞が現れて…。思わず共感してしまう恋愛の本音が詰まったちょっぴり強火なラブコメディー。")</f>
        <v>誰もが羨むバリキャリな主人公・百谷リツ。彼女には人に言えない大きな秘密があった。それは、彼女が恋愛にヘビー級に依存する“激重女子”だということ。長く交際した恋人にフラれて以来、元カレのネットストーキングをパワーの源として生きているのだ。「このままではいけない」頭ではわかっていても、指先が勝手にSNSを検索してしまう。そんなリツの前にある日、同じく”重い”恋をする＜謎の男＞が現れて…。思わず共感してしまう恋愛の本音が詰まったちょっぴり強火なラブコメディー。</v>
      </c>
      <c r="W1625" s="14"/>
      <c r="X1625" s="14" t="str">
        <f>IFERROR(__xludf.DUMMYFUNCTION("""COMPUTED_VALUE"""),"有")</f>
        <v>有</v>
      </c>
      <c r="Y1625" s="8" t="str">
        <f>IFERROR(__xludf.DUMMYFUNCTION("""COMPUTED_VALUE"""),"1～4巻無料
2024/6/28まで5～10巻無料")</f>
        <v>1～4巻無料
2024/6/28まで5～10巻無料</v>
      </c>
      <c r="Z1625" s="7"/>
      <c r="AA1625" s="7"/>
      <c r="AB1625" s="7"/>
    </row>
    <row r="1626" ht="15.75" customHeight="1">
      <c r="A1626" s="26">
        <f>IFERROR(__xludf.DUMMYFUNCTION("""COMPUTED_VALUE"""),3539.0)</f>
        <v>3539</v>
      </c>
      <c r="B1626" s="22" t="str">
        <f>IFERROR(__xludf.DUMMYFUNCTION("""COMPUTED_VALUE"""),"確定")</f>
        <v>確定</v>
      </c>
      <c r="C1626" s="28">
        <f>IFERROR(__xludf.DUMMYFUNCTION("""COMPUTED_VALUE"""),45440.0)</f>
        <v>45440</v>
      </c>
      <c r="D1626" s="28">
        <f>IFERROR(__xludf.DUMMYFUNCTION("""COMPUTED_VALUE"""),45454.0)</f>
        <v>45454</v>
      </c>
      <c r="E1626" s="31">
        <f>IFERROR(__xludf.DUMMYFUNCTION("""COMPUTED_VALUE"""),296327.0)</f>
        <v>296327</v>
      </c>
      <c r="F1626" s="22" t="str">
        <f>IFERROR(__xludf.DUMMYFUNCTION("""COMPUTED_VALUE"""),"推しの実況者に、なぜか溺愛されています。【分冊版】")</f>
        <v>推しの実況者に、なぜか溺愛されています。【分冊版】</v>
      </c>
      <c r="G1626" s="53" t="str">
        <f>IFERROR(__xludf.DUMMYFUNCTION("""COMPUTED_VALUE"""),"1～3")</f>
        <v>1～3</v>
      </c>
      <c r="H1626" s="22" t="str">
        <f>IFERROR(__xludf.DUMMYFUNCTION("""COMPUTED_VALUE"""),"タクヘイ")</f>
        <v>タクヘイ</v>
      </c>
      <c r="I1626" s="22" t="str">
        <f>IFERROR(__xludf.DUMMYFUNCTION("""COMPUTED_VALUE"""),"少女")</f>
        <v>少女</v>
      </c>
      <c r="J1626" s="22"/>
      <c r="K1626" s="22"/>
      <c r="L1626" s="22" t="str">
        <f>IFERROR(__xludf.DUMMYFUNCTION("""COMPUTED_VALUE"""),"マッグガーデン")</f>
        <v>マッグガーデン</v>
      </c>
      <c r="M1626" s="23">
        <f>IFERROR(__xludf.DUMMYFUNCTION("""COMPUTED_VALUE"""),45483.0)</f>
        <v>45483</v>
      </c>
      <c r="N1626" s="23">
        <f>IFERROR(__xludf.DUMMYFUNCTION("""COMPUTED_VALUE"""),45544.0)</f>
        <v>45544</v>
      </c>
      <c r="O1626" s="20"/>
      <c r="P1626" s="29" t="str">
        <f>IFERROR(__xludf.DUMMYFUNCTION("""COMPUTED_VALUE"""),"可")</f>
        <v>可</v>
      </c>
      <c r="Q1626" s="30" t="str">
        <f>IFERROR(__xludf.DUMMYFUNCTION("""COMPUTED_VALUE"""),"広告コミットOK(6/6)")</f>
        <v>広告コミットOK(6/6)</v>
      </c>
      <c r="R1626" s="22"/>
      <c r="S1626" s="22" t="str">
        <f>IFERROR(__xludf.DUMMYFUNCTION("""COMPUTED_VALUE"""),"202406010_マッグガーデン_推しの実況者に、なぜか溺愛されています")</f>
        <v>202406010_マッグガーデン_推しの実況者に、なぜか溺愛されています</v>
      </c>
      <c r="T1626" s="22" t="str">
        <f>IFERROR(__xludf.DUMMYFUNCTION("""COMPUTED_VALUE"""),"格納済み")</f>
        <v>格納済み</v>
      </c>
      <c r="U1626" s="15" t="str">
        <f>IFERROR(__xludf.DUMMYFUNCTION("""COMPUTED_VALUE"""),"(C)TAKUHEI/MAG Garden")</f>
        <v>(C)TAKUHEI/MAG Garden</v>
      </c>
      <c r="V1626" s="8" t="str">
        <f>IFERROR(__xludf.DUMMYFUNCTION("""COMPUTED_VALUE"""),"職場でのハラスメントにより、メンタルを病み退職した元OLの朱里。お金もなく限界生活を送る彼女は、兄からの紹介で家事代行の仕事をすることに。ところが、仕事先にいたのは推しの実況者の〝わんろ〟だった！しかも、なぜか気に入られて同棲＆契約結婚することになり──!? 限界元OLと大人気ゲーム実況者による、契約結婚ラブストーリー開幕【第1話収録】")</f>
        <v>職場でのハラスメントにより、メンタルを病み退職した元OLの朱里。お金もなく限界生活を送る彼女は、兄からの紹介で家事代行の仕事をすることに。ところが、仕事先にいたのは推しの実況者の〝わんろ〟だった！しかも、なぜか気に入られて同棲＆契約結婚することになり──!? 限界元OLと大人気ゲーム実況者による、契約結婚ラブストーリー開幕【第1話収録】</v>
      </c>
      <c r="W1626" s="14"/>
      <c r="X1626" s="14" t="str">
        <f>IFERROR(__xludf.DUMMYFUNCTION("""COMPUTED_VALUE"""),"有")</f>
        <v>有</v>
      </c>
      <c r="Y1626" s="8" t="str">
        <f>IFERROR(__xludf.DUMMYFUNCTION("""COMPUTED_VALUE"""),"2024/9/9まで1巻無料")</f>
        <v>2024/9/9まで1巻無料</v>
      </c>
      <c r="Z1626" s="7"/>
      <c r="AA1626" s="7"/>
      <c r="AB1626" s="7"/>
    </row>
    <row r="1627" ht="15.75" customHeight="1">
      <c r="A1627" s="26">
        <f>IFERROR(__xludf.DUMMYFUNCTION("""COMPUTED_VALUE"""),3541.0)</f>
        <v>3541</v>
      </c>
      <c r="B1627" s="22" t="str">
        <f>IFERROR(__xludf.DUMMYFUNCTION("""COMPUTED_VALUE"""),"確定")</f>
        <v>確定</v>
      </c>
      <c r="C1627" s="28">
        <f>IFERROR(__xludf.DUMMYFUNCTION("""COMPUTED_VALUE"""),45440.0)</f>
        <v>45440</v>
      </c>
      <c r="D1627" s="28">
        <f>IFERROR(__xludf.DUMMYFUNCTION("""COMPUTED_VALUE"""),45454.0)</f>
        <v>45454</v>
      </c>
      <c r="E1627" s="31">
        <f>IFERROR(__xludf.DUMMYFUNCTION("""COMPUTED_VALUE"""),298942.0)</f>
        <v>298942</v>
      </c>
      <c r="F1627" s="22" t="str">
        <f>IFERROR(__xludf.DUMMYFUNCTION("""COMPUTED_VALUE"""),"高嶺の藤くん")</f>
        <v>高嶺の藤くん</v>
      </c>
      <c r="G1627" s="20" t="str">
        <f>IFERROR(__xludf.DUMMYFUNCTION("""COMPUTED_VALUE"""),"1～3")</f>
        <v>1～3</v>
      </c>
      <c r="H1627" s="22" t="str">
        <f>IFERROR(__xludf.DUMMYFUNCTION("""COMPUTED_VALUE"""),"いのえ門")</f>
        <v>いのえ門</v>
      </c>
      <c r="I1627" s="22" t="str">
        <f>IFERROR(__xludf.DUMMYFUNCTION("""COMPUTED_VALUE"""),"BL")</f>
        <v>BL</v>
      </c>
      <c r="J1627" s="22"/>
      <c r="K1627" s="22"/>
      <c r="L1627" s="22" t="str">
        <f>IFERROR(__xludf.DUMMYFUNCTION("""COMPUTED_VALUE"""),"アイプロダクション")</f>
        <v>アイプロダクション</v>
      </c>
      <c r="M1627" s="59">
        <f>IFERROR(__xludf.DUMMYFUNCTION("""COMPUTED_VALUE"""),45508.0)</f>
        <v>45508</v>
      </c>
      <c r="N1627" s="23">
        <f>IFERROR(__xludf.DUMMYFUNCTION("""COMPUTED_VALUE"""),45568.0)</f>
        <v>45568</v>
      </c>
      <c r="O1627" s="20"/>
      <c r="P1627" s="29" t="str">
        <f>IFERROR(__xludf.DUMMYFUNCTION("""COMPUTED_VALUE"""),"可")</f>
        <v>可</v>
      </c>
      <c r="Q1627" s="30" t="str">
        <f>IFERROR(__xludf.DUMMYFUNCTION("""COMPUTED_VALUE"""),"広告コミットOK(6/10)")</f>
        <v>広告コミットOK(6/10)</v>
      </c>
      <c r="R1627" s="22"/>
      <c r="S1627" s="22" t="str">
        <f>IFERROR(__xludf.DUMMYFUNCTION("""COMPUTED_VALUE"""),"20240610_アイプロダクション_高嶺の藤くん")</f>
        <v>20240610_アイプロダクション_高嶺の藤くん</v>
      </c>
      <c r="T1627" s="22" t="str">
        <f>IFERROR(__xludf.DUMMYFUNCTION("""COMPUTED_VALUE"""),"格納済み")</f>
        <v>格納済み</v>
      </c>
      <c r="U1627" s="15" t="str">
        <f>IFERROR(__xludf.DUMMYFUNCTION("""COMPUTED_VALUE"""),"いのえ門/アイプロダクション")</f>
        <v>いのえ門/アイプロダクション</v>
      </c>
      <c r="V1627" s="8" t="str">
        <f>IFERROR(__xludf.DUMMYFUNCTION("""COMPUTED_VALUE"""),"大学生の村上貴雪と藤アキラは、ある雨の日に初めて言葉を交わす。
学内一チャラいと噂の男と首席入学の堅物男――――
と、思っていたお互いの印象がまるで違っていた二人は急速に接近する。
自分にとって「高嶺の花」のアキラの行動を追いかけてしまう貴雪、
貴雪の噂（女絡み）が気にかかってしまうアキラ。
お互いの気持ちを探り合う二人。
アキラの文学的解釈の果てに
添い寝→キスという選択がなされた…
「僕を君の恋人にしてよ」「面白い、付き合おう」
そしてアキラは初めての恋に夢中になる―――"&amp;"――")</f>
        <v>大学生の村上貴雪と藤アキラは、ある雨の日に初めて言葉を交わす。
学内一チャラいと噂の男と首席入学の堅物男――――
と、思っていたお互いの印象がまるで違っていた二人は急速に接近する。
自分にとって「高嶺の花」のアキラの行動を追いかけてしまう貴雪、
貴雪の噂（女絡み）が気にかかってしまうアキラ。
お互いの気持ちを探り合う二人。
アキラの文学的解釈の果てに
添い寝→キスという選択がなされた…
「僕を君の恋人にしてよ」「面白い、付き合おう」
そしてアキラは初めての恋に夢中になる―――――</v>
      </c>
      <c r="W1627" s="14"/>
      <c r="X1627" s="14" t="str">
        <f>IFERROR(__xludf.DUMMYFUNCTION("""COMPUTED_VALUE"""),"有")</f>
        <v>有</v>
      </c>
      <c r="Y1627" s="8" t="str">
        <f>IFERROR(__xludf.DUMMYFUNCTION("""COMPUTED_VALUE"""),"2024/9/7まで1巻無料")</f>
        <v>2024/9/7まで1巻無料</v>
      </c>
      <c r="Z1627" s="7"/>
      <c r="AA1627" s="7"/>
      <c r="AB1627" s="7"/>
    </row>
    <row r="1628" ht="15.75" customHeight="1">
      <c r="A1628" s="26">
        <f>IFERROR(__xludf.DUMMYFUNCTION("""COMPUTED_VALUE"""),3545.0)</f>
        <v>3545</v>
      </c>
      <c r="B1628" s="22" t="str">
        <f>IFERROR(__xludf.DUMMYFUNCTION("""COMPUTED_VALUE"""),"確定")</f>
        <v>確定</v>
      </c>
      <c r="C1628" s="28">
        <f>IFERROR(__xludf.DUMMYFUNCTION("""COMPUTED_VALUE"""),45442.0)</f>
        <v>45442</v>
      </c>
      <c r="D1628" s="28">
        <f>IFERROR(__xludf.DUMMYFUNCTION("""COMPUTED_VALUE"""),45454.0)</f>
        <v>45454</v>
      </c>
      <c r="E1628" s="31">
        <f>IFERROR(__xludf.DUMMYFUNCTION("""COMPUTED_VALUE"""),296866.0)</f>
        <v>296866</v>
      </c>
      <c r="F1628" s="22" t="str">
        <f>IFERROR(__xludf.DUMMYFUNCTION("""COMPUTED_VALUE"""),"舐めて癒して、恋の傷～フラれた夜に熱情エッチ～ 【HQカラー】")</f>
        <v>舐めて癒して、恋の傷～フラれた夜に熱情エッチ～ 【HQカラー】</v>
      </c>
      <c r="G1628" s="11" t="str">
        <f>IFERROR(__xludf.DUMMYFUNCTION("""COMPUTED_VALUE"""),"1～2")</f>
        <v>1～2</v>
      </c>
      <c r="H1628" s="22" t="str">
        <f>IFERROR(__xludf.DUMMYFUNCTION("""COMPUTED_VALUE"""),"結衣まどか")</f>
        <v>結衣まどか</v>
      </c>
      <c r="I1628" s="22" t="str">
        <f>IFERROR(__xludf.DUMMYFUNCTION("""COMPUTED_VALUE"""),"TL")</f>
        <v>TL</v>
      </c>
      <c r="J1628" s="22"/>
      <c r="K1628" s="22"/>
      <c r="L1628" s="22" t="str">
        <f>IFERROR(__xludf.DUMMYFUNCTION("""COMPUTED_VALUE"""),"CLLENN")</f>
        <v>CLLENN</v>
      </c>
      <c r="M1628" s="23">
        <f>IFERROR(__xludf.DUMMYFUNCTION("""COMPUTED_VALUE"""),45488.0)</f>
        <v>45488</v>
      </c>
      <c r="N1628" s="23">
        <f>IFERROR(__xludf.DUMMYFUNCTION("""COMPUTED_VALUE"""),45550.0)</f>
        <v>45550</v>
      </c>
      <c r="O1628" s="20"/>
      <c r="P1628" s="29" t="str">
        <f>IFERROR(__xludf.DUMMYFUNCTION("""COMPUTED_VALUE"""),"可")</f>
        <v>可</v>
      </c>
      <c r="Q1628" s="22" t="str">
        <f>IFERROR(__xludf.DUMMYFUNCTION("""COMPUTED_VALUE"""),"広告コミットOK(6/6) レーベル名：乙女チック	")</f>
        <v>広告コミットOK(6/6) レーベル名：乙女チック	</v>
      </c>
      <c r="R1628" s="22" t="str">
        <f>IFERROR(__xludf.DUMMYFUNCTION("""COMPUTED_VALUE"""),"格納済")</f>
        <v>格納済</v>
      </c>
      <c r="S1628" s="22" t="str">
        <f>IFERROR(__xludf.DUMMYFUNCTION("""COMPUTED_VALUE"""),"20240607_CLLENN_舐めて癒して、恋の傷～フラれた夜に熱情エッチ～ 【HQカラー】")</f>
        <v>20240607_CLLENN_舐めて癒して、恋の傷～フラれた夜に熱情エッチ～ 【HQカラー】</v>
      </c>
      <c r="T1628" s="22" t="str">
        <f>IFERROR(__xludf.DUMMYFUNCTION("""COMPUTED_VALUE"""),"格納済み")</f>
        <v>格納済み</v>
      </c>
      <c r="U1628" s="15" t="str">
        <f>IFERROR(__xludf.DUMMYFUNCTION("""COMPUTED_VALUE"""),"ⓒ結衣まどか/CLLENN")</f>
        <v>ⓒ結衣まどか/CLLENN</v>
      </c>
      <c r="V1628" s="8" t="str">
        <f>IFERROR(__xludf.DUMMYFUNCTION("""COMPUTED_VALUE"""),"【デジタル着色によるハイクオリティ・フルカラー版！】「僕、ご奉仕大好きなんですよね…もっとイかせてもいいですか？」どこもかしこも熱くて…凹む出来事があったばっかりなのに、なんでこんなに感じちゃうの―――出版社に勤め忙しい日々を送る佐々木蘭子。恋人とは結婚間近…のはずだったのに、ある日突然フラれてしまう。頭が混乱する中、蘭子の横で同じく戸惑う同僚の優希晶と飲みに行くことに！？意気投合した二人はそのまま傷を舐めあうように体を重ね…普段はミステリアスでクールな晶とは真逆の熱い指と舌使いにゾクゾクするくらい感じて"&amp;"しまい――？")</f>
        <v>【デジタル着色によるハイクオリティ・フルカラー版！】「僕、ご奉仕大好きなんですよね…もっとイかせてもいいですか？」どこもかしこも熱くて…凹む出来事があったばっかりなのに、なんでこんなに感じちゃうの―――出版社に勤め忙しい日々を送る佐々木蘭子。恋人とは結婚間近…のはずだったのに、ある日突然フラれてしまう。頭が混乱する中、蘭子の横で同じく戸惑う同僚の優希晶と飲みに行くことに！？意気投合した二人はそのまま傷を舐めあうように体を重ね…普段はミステリアスでクールな晶とは真逆の熱い指と舌使いにゾクゾクするくらい感じてしまい――？</v>
      </c>
      <c r="W1628" s="14"/>
      <c r="X1628" s="14" t="str">
        <f>IFERROR(__xludf.DUMMYFUNCTION("""COMPUTED_VALUE"""),"有")</f>
        <v>有</v>
      </c>
      <c r="Y1628" s="8" t="str">
        <f>IFERROR(__xludf.DUMMYFUNCTION("""COMPUTED_VALUE"""),"P10まで")</f>
        <v>P10まで</v>
      </c>
      <c r="Z1628" s="7"/>
      <c r="AA1628" s="7"/>
      <c r="AB1628" s="7"/>
    </row>
    <row r="1629" ht="15.75" customHeight="1">
      <c r="A1629" s="26">
        <f>IFERROR(__xludf.DUMMYFUNCTION("""COMPUTED_VALUE"""),3547.0)</f>
        <v>3547</v>
      </c>
      <c r="B1629" s="22" t="str">
        <f>IFERROR(__xludf.DUMMYFUNCTION("""COMPUTED_VALUE"""),"確定")</f>
        <v>確定</v>
      </c>
      <c r="C1629" s="28">
        <f>IFERROR(__xludf.DUMMYFUNCTION("""COMPUTED_VALUE"""),45442.0)</f>
        <v>45442</v>
      </c>
      <c r="D1629" s="28">
        <f>IFERROR(__xludf.DUMMYFUNCTION("""COMPUTED_VALUE"""),45455.0)</f>
        <v>45455</v>
      </c>
      <c r="E1629" s="31">
        <f>IFERROR(__xludf.DUMMYFUNCTION("""COMPUTED_VALUE"""),296267.0)</f>
        <v>296267</v>
      </c>
      <c r="F1629" s="22" t="str">
        <f>IFERROR(__xludf.DUMMYFUNCTION("""COMPUTED_VALUE"""),"記憶をなくした取り巻き令嬢は、一途な冷酷鬼畜剣士にせまられる")</f>
        <v>記憶をなくした取り巻き令嬢は、一途な冷酷鬼畜剣士にせまられる</v>
      </c>
      <c r="G1629" s="20" t="str">
        <f>IFERROR(__xludf.DUMMYFUNCTION("""COMPUTED_VALUE"""),"1～3")</f>
        <v>1～3</v>
      </c>
      <c r="H1629" s="22" t="str">
        <f>IFERROR(__xludf.DUMMYFUNCTION("""COMPUTED_VALUE"""),"漫画：いなだ洋海／原作：百奈山エンナ（エブリスタ）")</f>
        <v>漫画：いなだ洋海／原作：百奈山エンナ（エブリスタ）</v>
      </c>
      <c r="I1629" s="22" t="str">
        <f>IFERROR(__xludf.DUMMYFUNCTION("""COMPUTED_VALUE"""),"女性")</f>
        <v>女性</v>
      </c>
      <c r="J1629" s="22"/>
      <c r="K1629" s="22"/>
      <c r="L1629" s="22" t="str">
        <f>IFERROR(__xludf.DUMMYFUNCTION("""COMPUTED_VALUE"""),"集英社")</f>
        <v>集英社</v>
      </c>
      <c r="M1629" s="23">
        <f>IFERROR(__xludf.DUMMYFUNCTION("""COMPUTED_VALUE"""),45474.0)</f>
        <v>45474</v>
      </c>
      <c r="N1629" s="23">
        <f>IFERROR(__xludf.DUMMYFUNCTION("""COMPUTED_VALUE"""),45504.0)</f>
        <v>45504</v>
      </c>
      <c r="O1629" s="20"/>
      <c r="P1629" s="29" t="str">
        <f>IFERROR(__xludf.DUMMYFUNCTION("""COMPUTED_VALUE"""),"否")</f>
        <v>否</v>
      </c>
      <c r="Q1629" s="30" t="str">
        <f>IFERROR(__xludf.DUMMYFUNCTION("""COMPUTED_VALUE"""),"・レーベルロゴ：異世界マーガレット")</f>
        <v>・レーベルロゴ：異世界マーガレット</v>
      </c>
      <c r="R1629" s="22"/>
      <c r="S1629" s="22" t="str">
        <f>IFERROR(__xludf.DUMMYFUNCTION("""COMPUTED_VALUE"""),"20240611_集英社_記憶をなくした取り巻き令嬢")</f>
        <v>20240611_集英社_記憶をなくした取り巻き令嬢</v>
      </c>
      <c r="T1629" s="22" t="str">
        <f>IFERROR(__xludf.DUMMYFUNCTION("""COMPUTED_VALUE"""),"格納済み")</f>
        <v>格納済み</v>
      </c>
      <c r="U1629" s="15" t="str">
        <f>IFERROR(__xludf.DUMMYFUNCTION("""COMPUTED_VALUE"""),"(C)いなだ洋海・百奈山エンナ（エブリスタ）／集英社")</f>
        <v>(C)いなだ洋海・百奈山エンナ（エブリスタ）／集英社</v>
      </c>
      <c r="V1629" s="8" t="str">
        <f>IFERROR(__xludf.DUMMYFUNCTION("""COMPUTED_VALUE"""),"【王女の取り巻きをクビに…!?　捨てられた先は、私に一途な剣士様でした】王女の素晴らしさを演出するために、アルニタク国の王女・フォセカの取り巻き“役”をやらされていた記憶喪失の令嬢・ロベリアは、ある日突然フォセカから取り巻き令嬢のクビと学園からの追放を言い渡される。王家から支援を受けていたロベリアの養父母は、クビになったことでロベリアを家から追い出そうとするが、そこへ“冷酷鬼畜剣士”と悪名高いキファレス領の領主・ゼラがやってきた。すると「お前を婚約者としてもらい受けにきた」とロベリアはゼラから求婚され――"&amp;"!?　ちょっと強気なご令嬢と不器用な剣士様のラブロマンス、ここに開幕！")</f>
        <v>【王女の取り巻きをクビに…!?　捨てられた先は、私に一途な剣士様でした】王女の素晴らしさを演出するために、アルニタク国の王女・フォセカの取り巻き“役”をやらされていた記憶喪失の令嬢・ロベリアは、ある日突然フォセカから取り巻き令嬢のクビと学園からの追放を言い渡される。王家から支援を受けていたロベリアの養父母は、クビになったことでロベリアを家から追い出そうとするが、そこへ“冷酷鬼畜剣士”と悪名高いキファレス領の領主・ゼラがやってきた。すると「お前を婚約者としてもらい受けにきた」とロベリアはゼラから求婚され――!?　ちょっと強気なご令嬢と不器用な剣士様のラブロマンス、ここに開幕！</v>
      </c>
      <c r="W1629" s="14"/>
      <c r="X1629" s="14" t="str">
        <f>IFERROR(__xludf.DUMMYFUNCTION("""COMPUTED_VALUE"""),"有")</f>
        <v>有</v>
      </c>
      <c r="Y1629" s="8" t="str">
        <f>IFERROR(__xludf.DUMMYFUNCTION("""COMPUTED_VALUE"""),"2024/7/31まで1巻無料")</f>
        <v>2024/7/31まで1巻無料</v>
      </c>
      <c r="Z1629" s="7"/>
      <c r="AA1629" s="7"/>
      <c r="AB1629" s="7"/>
    </row>
    <row r="1630" ht="15.75" customHeight="1">
      <c r="A1630" s="26">
        <f>IFERROR(__xludf.DUMMYFUNCTION("""COMPUTED_VALUE"""),3548.0)</f>
        <v>3548</v>
      </c>
      <c r="B1630" s="22" t="str">
        <f>IFERROR(__xludf.DUMMYFUNCTION("""COMPUTED_VALUE"""),"確定")</f>
        <v>確定</v>
      </c>
      <c r="C1630" s="28">
        <f>IFERROR(__xludf.DUMMYFUNCTION("""COMPUTED_VALUE"""),45442.0)</f>
        <v>45442</v>
      </c>
      <c r="D1630" s="28">
        <f>IFERROR(__xludf.DUMMYFUNCTION("""COMPUTED_VALUE"""),45455.0)</f>
        <v>45455</v>
      </c>
      <c r="E1630" s="31">
        <f>IFERROR(__xludf.DUMMYFUNCTION("""COMPUTED_VALUE"""),296266.0)</f>
        <v>296266</v>
      </c>
      <c r="F1630" s="22" t="str">
        <f>IFERROR(__xludf.DUMMYFUNCTION("""COMPUTED_VALUE"""),"冷遇婿ライフを満喫しようとしたら、溺愛ルートに入りました!?")</f>
        <v>冷遇婿ライフを満喫しようとしたら、溺愛ルートに入りました!?</v>
      </c>
      <c r="G1630" s="20" t="str">
        <f>IFERROR(__xludf.DUMMYFUNCTION("""COMPUTED_VALUE"""),"1～3")</f>
        <v>1～3</v>
      </c>
      <c r="H1630" s="22" t="str">
        <f>IFERROR(__xludf.DUMMYFUNCTION("""COMPUTED_VALUE"""),"作画：宝生悠亜／ネーム構成：子羊ノニク／原作：深凪雪花")</f>
        <v>作画：宝生悠亜／ネーム構成：子羊ノニク／原作：深凪雪花</v>
      </c>
      <c r="I1630" s="46" t="str">
        <f>IFERROR(__xludf.DUMMYFUNCTION("""COMPUTED_VALUE"""),"BL")</f>
        <v>BL</v>
      </c>
      <c r="J1630" s="22"/>
      <c r="K1630" s="22"/>
      <c r="L1630" s="22" t="str">
        <f>IFERROR(__xludf.DUMMYFUNCTION("""COMPUTED_VALUE"""),"集英社")</f>
        <v>集英社</v>
      </c>
      <c r="M1630" s="23">
        <f>IFERROR(__xludf.DUMMYFUNCTION("""COMPUTED_VALUE"""),45474.0)</f>
        <v>45474</v>
      </c>
      <c r="N1630" s="23">
        <f>IFERROR(__xludf.DUMMYFUNCTION("""COMPUTED_VALUE"""),45504.0)</f>
        <v>45504</v>
      </c>
      <c r="O1630" s="53"/>
      <c r="P1630" s="29" t="str">
        <f>IFERROR(__xludf.DUMMYFUNCTION("""COMPUTED_VALUE"""),"可")</f>
        <v>可</v>
      </c>
      <c r="Q1630" s="30" t="str">
        <f>IFERROR(__xludf.DUMMYFUNCTION("""COMPUTED_VALUE"""),"・レーベルロゴ：異世界マーガレット")</f>
        <v>・レーベルロゴ：異世界マーガレット</v>
      </c>
      <c r="R1630" s="22"/>
      <c r="S1630" s="22" t="str">
        <f>IFERROR(__xludf.DUMMYFUNCTION("""COMPUTED_VALUE"""),"20240611_集英社_冷遇婿ライフを満喫しようとしたら")</f>
        <v>20240611_集英社_冷遇婿ライフを満喫しようとしたら</v>
      </c>
      <c r="T1630" s="22" t="str">
        <f>IFERROR(__xludf.DUMMYFUNCTION("""COMPUTED_VALUE"""),"格納済み")</f>
        <v>格納済み</v>
      </c>
      <c r="U1630" s="15" t="str">
        <f>IFERROR(__xludf.DUMMYFUNCTION("""COMPUTED_VALUE"""),"(C)宝生悠亜・子羊ノニク・梨莉子・深凪雪花／集英社")</f>
        <v>(C)宝生悠亜・子羊ノニク・梨莉子・深凪雪花／集英社</v>
      </c>
      <c r="V1630" s="8" t="str">
        <f>IFERROR(__xludf.DUMMYFUNCTION("""COMPUTED_VALUE"""),"平凡なサラリーマン・日下部薫（28）は、ある日、事故死により、BLオメガバース小説の世界に転生してしまう。α（アルファ）国王・アレンの側婿で、Ω（オメガ）の「クリス」として転生した薫。しかし、小説の展開では、クリスはアレンとの間に子を授かるも、正婿に子供ができたからもう用済みだと、息子ともども暗殺される運命にある…。死亡ルートを回避するため、子を産めない欠陥Ωに偽装し、冷遇婿ライフを送ろうと計画するが、人格の変わったクリスをアレンは溺愛するようになって…？")</f>
        <v>平凡なサラリーマン・日下部薫（28）は、ある日、事故死により、BLオメガバース小説の世界に転生してしまう。α（アルファ）国王・アレンの側婿で、Ω（オメガ）の「クリス」として転生した薫。しかし、小説の展開では、クリスはアレンとの間に子を授かるも、正婿に子供ができたからもう用済みだと、息子ともども暗殺される運命にある…。死亡ルートを回避するため、子を産めない欠陥Ωに偽装し、冷遇婿ライフを送ろうと計画するが、人格の変わったクリスをアレンは溺愛するようになって…？</v>
      </c>
      <c r="W1630" s="14"/>
      <c r="X1630" s="14" t="str">
        <f>IFERROR(__xludf.DUMMYFUNCTION("""COMPUTED_VALUE"""),"有")</f>
        <v>有</v>
      </c>
      <c r="Y1630" s="8" t="str">
        <f>IFERROR(__xludf.DUMMYFUNCTION("""COMPUTED_VALUE"""),"2024/7/31まで1巻無料")</f>
        <v>2024/7/31まで1巻無料</v>
      </c>
      <c r="Z1630" s="7"/>
      <c r="AA1630" s="7"/>
      <c r="AB1630" s="7"/>
    </row>
    <row r="1631" ht="15.75" customHeight="1">
      <c r="A1631" s="26">
        <f>IFERROR(__xludf.DUMMYFUNCTION("""COMPUTED_VALUE"""),3549.0)</f>
        <v>3549</v>
      </c>
      <c r="B1631" s="22" t="str">
        <f>IFERROR(__xludf.DUMMYFUNCTION("""COMPUTED_VALUE"""),"確定")</f>
        <v>確定</v>
      </c>
      <c r="C1631" s="28">
        <f>IFERROR(__xludf.DUMMYFUNCTION("""COMPUTED_VALUE"""),45442.0)</f>
        <v>45442</v>
      </c>
      <c r="D1631" s="28">
        <f>IFERROR(__xludf.DUMMYFUNCTION("""COMPUTED_VALUE"""),45455.0)</f>
        <v>45455</v>
      </c>
      <c r="E1631" s="31">
        <f>IFERROR(__xludf.DUMMYFUNCTION("""COMPUTED_VALUE"""),296827.0)</f>
        <v>296827</v>
      </c>
      <c r="F1631" s="22" t="str">
        <f>IFERROR(__xludf.DUMMYFUNCTION("""COMPUTED_VALUE"""),"気持ちイイ恋 教えて下さい〜下手なあなたと私と彼〜")</f>
        <v>気持ちイイ恋 教えて下さい〜下手なあなたと私と彼〜</v>
      </c>
      <c r="G1631" s="53" t="str">
        <f>IFERROR(__xludf.DUMMYFUNCTION("""COMPUTED_VALUE"""),"1～18")</f>
        <v>1～18</v>
      </c>
      <c r="H1631" s="22" t="str">
        <f>IFERROR(__xludf.DUMMYFUNCTION("""COMPUTED_VALUE"""),"瀬文まり")</f>
        <v>瀬文まり</v>
      </c>
      <c r="I1631" s="22" t="str">
        <f>IFERROR(__xludf.DUMMYFUNCTION("""COMPUTED_VALUE"""),"女性")</f>
        <v>女性</v>
      </c>
      <c r="J1631" s="22"/>
      <c r="K1631" s="22"/>
      <c r="L1631" s="22" t="str">
        <f>IFERROR(__xludf.DUMMYFUNCTION("""COMPUTED_VALUE"""),"集英社")</f>
        <v>集英社</v>
      </c>
      <c r="M1631" s="23">
        <f>IFERROR(__xludf.DUMMYFUNCTION("""COMPUTED_VALUE"""),45483.0)</f>
        <v>45483</v>
      </c>
      <c r="N1631" s="23">
        <f>IFERROR(__xludf.DUMMYFUNCTION("""COMPUTED_VALUE"""),45513.0)</f>
        <v>45513</v>
      </c>
      <c r="O1631" s="20"/>
      <c r="P1631" s="29" t="str">
        <f>IFERROR(__xludf.DUMMYFUNCTION("""COMPUTED_VALUE"""),"否")</f>
        <v>否</v>
      </c>
      <c r="Q1631" s="30" t="str">
        <f>IFERROR(__xludf.DUMMYFUNCTION("""COMPUTED_VALUE"""),"・レーベルロゴ：確認中&lt;BR&gt;・19巻は8/24まで先行")</f>
        <v>・レーベルロゴ：確認中&lt;BR&gt;・19巻は8/24まで先行</v>
      </c>
      <c r="R1631" s="22"/>
      <c r="S1631" s="22" t="str">
        <f>IFERROR(__xludf.DUMMYFUNCTION("""COMPUTED_VALUE"""),"20240611_集英社_気持ちイイ恋 教えて下さい")</f>
        <v>20240611_集英社_気持ちイイ恋 教えて下さい</v>
      </c>
      <c r="T1631" s="22" t="str">
        <f>IFERROR(__xludf.DUMMYFUNCTION("""COMPUTED_VALUE"""),"格納済み")</f>
        <v>格納済み</v>
      </c>
      <c r="U1631" s="15" t="str">
        <f>IFERROR(__xludf.DUMMYFUNCTION("""COMPUTED_VALUE"""),"(C)瀬文まり／集英社")</f>
        <v>(C)瀬文まり／集英社</v>
      </c>
      <c r="V1631" s="8" t="str">
        <f>IFERROR(__xludf.DUMMYFUNCTION("""COMPUTED_VALUE"""),"元カレと性の不一致で別れた華は「本当に気持ちのいいセックス」とはどういうものなのか、夢に見るほど気になっていた。次こそはセックスのことで悩まない彼氏を作ろう、と心に決める。そんな時、華に二人の彼がアプローチしてきて…!?　しかもその二人は超正反対なタイプで!?　セックスに悩む女×愛してくれるけどセックスが下手な彼×セックスは上手いけど愛が軽い彼、究極の三角関係ラブコメが始まる!!")</f>
        <v>元カレと性の不一致で別れた華は「本当に気持ちのいいセックス」とはどういうものなのか、夢に見るほど気になっていた。次こそはセックスのことで悩まない彼氏を作ろう、と心に決める。そんな時、華に二人の彼がアプローチしてきて…!?　しかもその二人は超正反対なタイプで!?　セックスに悩む女×愛してくれるけどセックスが下手な彼×セックスは上手いけど愛が軽い彼、究極の三角関係ラブコメが始まる!!</v>
      </c>
      <c r="W1631" s="14"/>
      <c r="X1631" s="14" t="str">
        <f>IFERROR(__xludf.DUMMYFUNCTION("""COMPUTED_VALUE"""),"有")</f>
        <v>有</v>
      </c>
      <c r="Y1631" s="8" t="str">
        <f>IFERROR(__xludf.DUMMYFUNCTION("""COMPUTED_VALUE"""),"2024/8/9まで1～4巻無料")</f>
        <v>2024/8/9まで1～4巻無料</v>
      </c>
      <c r="Z1631" s="7"/>
      <c r="AA1631" s="7"/>
      <c r="AB1631" s="7"/>
    </row>
    <row r="1632" ht="75.75" customHeight="1">
      <c r="A1632" s="26">
        <f>IFERROR(__xludf.DUMMYFUNCTION("""COMPUTED_VALUE"""),3562.0)</f>
        <v>3562</v>
      </c>
      <c r="B1632" s="22" t="str">
        <f>IFERROR(__xludf.DUMMYFUNCTION("""COMPUTED_VALUE"""),"確定")</f>
        <v>確定</v>
      </c>
      <c r="C1632" s="28">
        <f>IFERROR(__xludf.DUMMYFUNCTION("""COMPUTED_VALUE"""),45443.0)</f>
        <v>45443</v>
      </c>
      <c r="D1632" s="28">
        <f>IFERROR(__xludf.DUMMYFUNCTION("""COMPUTED_VALUE"""),45454.0)</f>
        <v>45454</v>
      </c>
      <c r="E1632" s="31">
        <f>IFERROR(__xludf.DUMMYFUNCTION("""COMPUTED_VALUE"""),297474.0)</f>
        <v>297474</v>
      </c>
      <c r="F1632" s="22" t="str">
        <f>IFERROR(__xludf.DUMMYFUNCTION("""COMPUTED_VALUE"""),"君だけ")</f>
        <v>君だけ</v>
      </c>
      <c r="G1632" s="53" t="str">
        <f>IFERROR(__xludf.DUMMYFUNCTION("""COMPUTED_VALUE"""),"1～25")</f>
        <v>1～25</v>
      </c>
      <c r="H1632" s="22" t="str">
        <f>IFERROR(__xludf.DUMMYFUNCTION("""COMPUTED_VALUE"""),"原作: Chantal 作家: Junseng")</f>
        <v>原作: Chantal 作家: Junseng</v>
      </c>
      <c r="I1632" s="22" t="str">
        <f>IFERROR(__xludf.DUMMYFUNCTION("""COMPUTED_VALUE"""),"女性")</f>
        <v>女性</v>
      </c>
      <c r="J1632" s="22"/>
      <c r="K1632" s="22"/>
      <c r="L1632" s="22" t="str">
        <f>IFERROR(__xludf.DUMMYFUNCTION("""COMPUTED_VALUE"""),"Rakuten Content Central")</f>
        <v>Rakuten Content Central</v>
      </c>
      <c r="M1632" s="23">
        <f>IFERROR(__xludf.DUMMYFUNCTION("""COMPUTED_VALUE"""),45486.0)</f>
        <v>45486</v>
      </c>
      <c r="N1632" s="47">
        <f>IFERROR(__xludf.DUMMYFUNCTION("""COMPUTED_VALUE"""),45577.0)</f>
        <v>45577</v>
      </c>
      <c r="O1632" s="20"/>
      <c r="P1632" s="29" t="str">
        <f>IFERROR(__xludf.DUMMYFUNCTION("""COMPUTED_VALUE"""),"可")</f>
        <v>可</v>
      </c>
      <c r="Q1632" s="22" t="str">
        <f>IFERROR(__xludf.DUMMYFUNCTION("""COMPUTED_VALUE"""),"広告コミットOK(6/7)")</f>
        <v>広告コミットOK(6/7)</v>
      </c>
      <c r="R1632" s="22" t="str">
        <f>IFERROR(__xludf.DUMMYFUNCTION("""COMPUTED_VALUE"""),"格納済み")</f>
        <v>格納済み</v>
      </c>
      <c r="S1632" s="22" t="str">
        <f>IFERROR(__xludf.DUMMYFUNCTION("""COMPUTED_VALUE"""),"20240613_Rakuten Content Central_先行2作品")</f>
        <v>20240613_Rakuten Content Central_先行2作品</v>
      </c>
      <c r="T1632" s="22" t="str">
        <f>IFERROR(__xludf.DUMMYFUNCTION("""COMPUTED_VALUE"""),"格納済み")</f>
        <v>格納済み</v>
      </c>
      <c r="U1632" s="15" t="str">
        <f>IFERROR(__xludf.DUMMYFUNCTION("""COMPUTED_VALUE"""),"©Junseng,Chantal/Wisdomhouse")</f>
        <v>©Junseng,Chantal/Wisdomhouse</v>
      </c>
      <c r="V1632" s="8" t="str">
        <f>IFERROR(__xludf.DUMMYFUNCTION("""COMPUTED_VALUE"""),"仕事終わりに深酒をして、千鳥足で帰路についたアリムの前に、自分が「狼人間」だと主張するイケメンが現れる。「私とうちで３次会しませんか？」それよりこの人……本当に狼人間だったの!?")</f>
        <v>仕事終わりに深酒をして、千鳥足で帰路についたアリムの前に、自分が「狼人間」だと主張するイケメンが現れる。「私とうちで３次会しませんか？」それよりこの人……本当に狼人間だったの!?</v>
      </c>
      <c r="W1632" s="14"/>
      <c r="X1632" s="14" t="str">
        <f>IFERROR(__xludf.DUMMYFUNCTION("""COMPUTED_VALUE"""),"有")</f>
        <v>有</v>
      </c>
      <c r="Y1632" s="8" t="str">
        <f>IFERROR(__xludf.DUMMYFUNCTION("""COMPUTED_VALUE"""),"2024/12/31まで1～5巻無料")</f>
        <v>2024/12/31まで1～5巻無料</v>
      </c>
      <c r="Z1632" s="7"/>
      <c r="AA1632" s="7"/>
      <c r="AB1632" s="7"/>
    </row>
    <row r="1633" ht="15.75" customHeight="1">
      <c r="A1633" s="26">
        <f>IFERROR(__xludf.DUMMYFUNCTION("""COMPUTED_VALUE"""),3563.0)</f>
        <v>3563</v>
      </c>
      <c r="B1633" s="22" t="str">
        <f>IFERROR(__xludf.DUMMYFUNCTION("""COMPUTED_VALUE"""),"確定")</f>
        <v>確定</v>
      </c>
      <c r="C1633" s="28">
        <f>IFERROR(__xludf.DUMMYFUNCTION("""COMPUTED_VALUE"""),45443.0)</f>
        <v>45443</v>
      </c>
      <c r="D1633" s="28">
        <f>IFERROR(__xludf.DUMMYFUNCTION("""COMPUTED_VALUE"""),45454.0)</f>
        <v>45454</v>
      </c>
      <c r="E1633" s="31">
        <f>IFERROR(__xludf.DUMMYFUNCTION("""COMPUTED_VALUE"""),297875.0)</f>
        <v>297875</v>
      </c>
      <c r="F1633" s="22" t="str">
        <f>IFERROR(__xludf.DUMMYFUNCTION("""COMPUTED_VALUE"""),"美男ですね")</f>
        <v>美男ですね</v>
      </c>
      <c r="G1633" s="53" t="str">
        <f>IFERROR(__xludf.DUMMYFUNCTION("""COMPUTED_VALUE"""),"1～25")</f>
        <v>1～25</v>
      </c>
      <c r="H1633" s="22" t="str">
        <f>IFERROR(__xludf.DUMMYFUNCTION("""COMPUTED_VALUE"""),"原作:Hong Jeong-eun&amp;Hong Mi-ran ストーリー: CHOI 作画: haemi, Jinsun")</f>
        <v>原作:Hong Jeong-eun&amp;Hong Mi-ran ストーリー: CHOI 作画: haemi, Jinsun</v>
      </c>
      <c r="I1633" s="22" t="str">
        <f>IFERROR(__xludf.DUMMYFUNCTION("""COMPUTED_VALUE"""),"女性")</f>
        <v>女性</v>
      </c>
      <c r="J1633" s="22"/>
      <c r="K1633" s="22"/>
      <c r="L1633" s="22" t="str">
        <f>IFERROR(__xludf.DUMMYFUNCTION("""COMPUTED_VALUE"""),"Rakuten Content Central")</f>
        <v>Rakuten Content Central</v>
      </c>
      <c r="M1633" s="47">
        <f>IFERROR(__xludf.DUMMYFUNCTION("""COMPUTED_VALUE"""),45490.0)</f>
        <v>45490</v>
      </c>
      <c r="N1633" s="47">
        <f>IFERROR(__xludf.DUMMYFUNCTION("""COMPUTED_VALUE"""),45581.0)</f>
        <v>45581</v>
      </c>
      <c r="O1633" s="20"/>
      <c r="P1633" s="29" t="str">
        <f>IFERROR(__xludf.DUMMYFUNCTION("""COMPUTED_VALUE"""),"可")</f>
        <v>可</v>
      </c>
      <c r="Q1633" s="22" t="str">
        <f>IFERROR(__xludf.DUMMYFUNCTION("""COMPUTED_VALUE"""),"広告コミットOK(6/7)")</f>
        <v>広告コミットOK(6/7)</v>
      </c>
      <c r="R1633" s="22" t="str">
        <f>IFERROR(__xludf.DUMMYFUNCTION("""COMPUTED_VALUE"""),"格納済み")</f>
        <v>格納済み</v>
      </c>
      <c r="S1633" s="22" t="str">
        <f>IFERROR(__xludf.DUMMYFUNCTION("""COMPUTED_VALUE"""),"20240613_Rakuten Content Central_先行2作品")</f>
        <v>20240613_Rakuten Content Central_先行2作品</v>
      </c>
      <c r="T1633" s="22" t="str">
        <f>IFERROR(__xludf.DUMMYFUNCTION("""COMPUTED_VALUE"""),"格納済み")</f>
        <v>格納済み</v>
      </c>
      <c r="U1633" s="15" t="str">
        <f>IFERROR(__xludf.DUMMYFUNCTION("""COMPUTED_VALUE"""),"©Hong Jeong-eun&amp;Hong Mi-ran, STUDIO CHOI, haemi, Jinsun / NHN")</f>
        <v>©Hong Jeong-eun&amp;Hong Mi-ran, STUDIO CHOI, haemi, Jinsun / NHN</v>
      </c>
      <c r="V1633" s="8" t="str">
        <f>IFERROR(__xludf.DUMMYFUNCTION("""COMPUTED_VALUE"""),"「えぇ!?お兄ちゃんの代わりにA.N.JELLのメンバーになれってこと？」　俗世と断絶された環境で見習いシスターをしていたミニョ　　ある日、ミニョの元に双子の兄であるミナムが訪れる　　なんと！韓国で絶大な人気を誇るアイドル「A.N.JELL」の新メンバーとして兄の代わりに活動してほしいと言う　　結局、ミニョは兄の頼みを断り切れず、男装してA.N.JELLに加入することに…")</f>
        <v>「えぇ!?お兄ちゃんの代わりにA.N.JELLのメンバーになれってこと？」　俗世と断絶された環境で見習いシスターをしていたミニョ　　ある日、ミニョの元に双子の兄であるミナムが訪れる　　なんと！韓国で絶大な人気を誇るアイドル「A.N.JELL」の新メンバーとして兄の代わりに活動してほしいと言う　　結局、ミニョは兄の頼みを断り切れず、男装してA.N.JELLに加入することに…</v>
      </c>
      <c r="W1633" s="14"/>
      <c r="X1633" s="14" t="str">
        <f>IFERROR(__xludf.DUMMYFUNCTION("""COMPUTED_VALUE"""),"有")</f>
        <v>有</v>
      </c>
      <c r="Y1633" s="8" t="str">
        <f>IFERROR(__xludf.DUMMYFUNCTION("""COMPUTED_VALUE"""),"2024/12/31まで1～2巻無料")</f>
        <v>2024/12/31まで1～2巻無料</v>
      </c>
      <c r="Z1633" s="7"/>
      <c r="AA1633" s="7"/>
      <c r="AB1633" s="7"/>
    </row>
    <row r="1634" ht="15.75" customHeight="1">
      <c r="A1634" s="26">
        <f>IFERROR(__xludf.DUMMYFUNCTION("""COMPUTED_VALUE"""),3572.0)</f>
        <v>3572</v>
      </c>
      <c r="B1634" s="22" t="str">
        <f>IFERROR(__xludf.DUMMYFUNCTION("""COMPUTED_VALUE"""),"確定")</f>
        <v>確定</v>
      </c>
      <c r="C1634" s="28">
        <f>IFERROR(__xludf.DUMMYFUNCTION("""COMPUTED_VALUE"""),45447.0)</f>
        <v>45447</v>
      </c>
      <c r="D1634" s="28">
        <f>IFERROR(__xludf.DUMMYFUNCTION("""COMPUTED_VALUE"""),45454.0)</f>
        <v>45454</v>
      </c>
      <c r="E1634" s="26">
        <f>IFERROR(__xludf.DUMMYFUNCTION("""COMPUTED_VALUE"""),286206.0)</f>
        <v>286206</v>
      </c>
      <c r="F1634" s="22" t="str">
        <f>IFERROR(__xludf.DUMMYFUNCTION("""COMPUTED_VALUE"""),"INTO THE ROSE GARDEN ‐運命に選ばれなくても‐(フルカラー)")</f>
        <v>INTO THE ROSE GARDEN ‐運命に選ばれなくても‐(フルカラー)</v>
      </c>
      <c r="G1634" s="20" t="str">
        <f>IFERROR(__xludf.DUMMYFUNCTION("""COMPUTED_VALUE"""),"1～3")</f>
        <v>1～3</v>
      </c>
      <c r="H1634" s="22" t="str">
        <f>IFERROR(__xludf.DUMMYFUNCTION("""COMPUTED_VALUE"""),"GAZEL,Winterbaum,MEG")</f>
        <v>GAZEL,Winterbaum,MEG</v>
      </c>
      <c r="I1634" s="22" t="str">
        <f>IFERROR(__xludf.DUMMYFUNCTION("""COMPUTED_VALUE"""),"BL")</f>
        <v>BL</v>
      </c>
      <c r="J1634" s="22"/>
      <c r="K1634" s="22"/>
      <c r="L1634" s="22" t="str">
        <f>IFERROR(__xludf.DUMMYFUNCTION("""COMPUTED_VALUE"""),"ソルマーレ編集部")</f>
        <v>ソルマーレ編集部</v>
      </c>
      <c r="M1634" s="23">
        <f>IFERROR(__xludf.DUMMYFUNCTION("""COMPUTED_VALUE"""),45479.0)</f>
        <v>45479</v>
      </c>
      <c r="N1634" s="23">
        <f>IFERROR(__xludf.DUMMYFUNCTION("""COMPUTED_VALUE"""),45540.0)</f>
        <v>45540</v>
      </c>
      <c r="O1634" s="20"/>
      <c r="P1634" s="32" t="str">
        <f>IFERROR(__xludf.DUMMYFUNCTION("""COMPUTED_VALUE"""),"可")</f>
        <v>可</v>
      </c>
      <c r="Q1634" s="30"/>
      <c r="R1634" s="22"/>
      <c r="S1634" s="22" t="str">
        <f>IFERROR(__xludf.DUMMYFUNCTION("""COMPUTED_VALUE"""),"20240607_ソルマーレ編集部_INTO THE ROSE GARDEN ‐運命に選ばれなくても‐（フルカラー）")</f>
        <v>20240607_ソルマーレ編集部_INTO THE ROSE GARDEN ‐運命に選ばれなくても‐（フルカラー）</v>
      </c>
      <c r="T1634" s="22" t="str">
        <f>IFERROR(__xludf.DUMMYFUNCTION("""COMPUTED_VALUE"""),"格納済み")</f>
        <v>格納済み</v>
      </c>
      <c r="U1634" s="15" t="str">
        <f>IFERROR(__xludf.DUMMYFUNCTION("""COMPUTED_VALUE"""),"Ⓒ GAZEL/Winterbaum/MEG/鶴山文化社/シーモアコミックス")</f>
        <v>Ⓒ GAZEL/Winterbaum/MEG/鶴山文化社/シーモアコミックス</v>
      </c>
      <c r="V1634" s="8" t="str">
        <f>IFERROR(__xludf.DUMMYFUNCTION("""COMPUTED_VALUE"""),"名家テイウィンド伯爵家の跡取りとして厳格な父に育てられたエイロックは、名門貴族のアルファとして、誇り高く生きていた――あの日、クロップに出会うまでは
同じアルファであるにも関わらず、盲目的なまでにクロップに惹かれていくエイロックは、その思いの強さゆえに大きな罪を犯してしまう。自分の世界が一変してしまうことなど考えもせず…【フィカス】")</f>
        <v>名家テイウィンド伯爵家の跡取りとして厳格な父に育てられたエイロックは、名門貴族のアルファとして、誇り高く生きていた――あの日、クロップに出会うまでは
同じアルファであるにも関わらず、盲目的なまでにクロップに惹かれていくエイロックは、その思いの強さゆえに大きな罪を犯してしまう。自分の世界が一変してしまうことなど考えもせず…【フィカス】</v>
      </c>
      <c r="W1634" s="14"/>
      <c r="X1634" s="14" t="str">
        <f>IFERROR(__xludf.DUMMYFUNCTION("""COMPUTED_VALUE"""),"有")</f>
        <v>有</v>
      </c>
      <c r="Y1634" s="8" t="str">
        <f>IFERROR(__xludf.DUMMYFUNCTION("""COMPUTED_VALUE"""),"2024/8/2まで1巻無料")</f>
        <v>2024/8/2まで1巻無料</v>
      </c>
      <c r="Z1634" s="7"/>
      <c r="AA1634" s="7"/>
      <c r="AB1634" s="7"/>
    </row>
    <row r="1635" ht="15.75" customHeight="1">
      <c r="A1635" s="26">
        <f>IFERROR(__xludf.DUMMYFUNCTION("""COMPUTED_VALUE"""),3573.0)</f>
        <v>3573</v>
      </c>
      <c r="B1635" s="22" t="str">
        <f>IFERROR(__xludf.DUMMYFUNCTION("""COMPUTED_VALUE"""),"確定")</f>
        <v>確定</v>
      </c>
      <c r="C1635" s="28">
        <f>IFERROR(__xludf.DUMMYFUNCTION("""COMPUTED_VALUE"""),45447.0)</f>
        <v>45447</v>
      </c>
      <c r="D1635" s="28">
        <f>IFERROR(__xludf.DUMMYFUNCTION("""COMPUTED_VALUE"""),45454.0)</f>
        <v>45454</v>
      </c>
      <c r="E1635" s="26">
        <f>IFERROR(__xludf.DUMMYFUNCTION("""COMPUTED_VALUE"""),286207.0)</f>
        <v>286207</v>
      </c>
      <c r="F1635" s="22" t="str">
        <f>IFERROR(__xludf.DUMMYFUNCTION("""COMPUTED_VALUE"""),"INTO THE ROSE GARDEN ‐運命に選ばれなくても‐【タテヨミ】")</f>
        <v>INTO THE ROSE GARDEN ‐運命に選ばれなくても‐【タテヨミ】</v>
      </c>
      <c r="G1635" s="20" t="str">
        <f>IFERROR(__xludf.DUMMYFUNCTION("""COMPUTED_VALUE"""),"1～9")</f>
        <v>1～9</v>
      </c>
      <c r="H1635" s="22" t="str">
        <f>IFERROR(__xludf.DUMMYFUNCTION("""COMPUTED_VALUE"""),"GAZEL,Winterbaum,MEG")</f>
        <v>GAZEL,Winterbaum,MEG</v>
      </c>
      <c r="I1635" s="22" t="str">
        <f>IFERROR(__xludf.DUMMYFUNCTION("""COMPUTED_VALUE"""),"BL")</f>
        <v>BL</v>
      </c>
      <c r="J1635" s="22"/>
      <c r="K1635" s="22"/>
      <c r="L1635" s="22" t="str">
        <f>IFERROR(__xludf.DUMMYFUNCTION("""COMPUTED_VALUE"""),"ソルマーレ編集部")</f>
        <v>ソルマーレ編集部</v>
      </c>
      <c r="M1635" s="23">
        <f>IFERROR(__xludf.DUMMYFUNCTION("""COMPUTED_VALUE"""),45479.0)</f>
        <v>45479</v>
      </c>
      <c r="N1635" s="23">
        <f>IFERROR(__xludf.DUMMYFUNCTION("""COMPUTED_VALUE"""),45540.0)</f>
        <v>45540</v>
      </c>
      <c r="O1635" s="20"/>
      <c r="P1635" s="29" t="str">
        <f>IFERROR(__xludf.DUMMYFUNCTION("""COMPUTED_VALUE"""),"可")</f>
        <v>可</v>
      </c>
      <c r="Q1635" s="30" t="str">
        <f>IFERROR(__xludf.DUMMYFUNCTION("""COMPUTED_VALUE"""),"※コマサム等素材は「286206 INTO THE ROSE GARDEN ‐運命に選ばれなくても‐（フルカラー）」のほうをお使いください。&lt;BR&gt;バナー制作はフルカラー版の素材を利用して問題ございません。")</f>
        <v>※コマサム等素材は「286206 INTO THE ROSE GARDEN ‐運命に選ばれなくても‐（フルカラー）」のほうをお使いください。&lt;BR&gt;バナー制作はフルカラー版の素材を利用して問題ございません。</v>
      </c>
      <c r="R1635" s="22"/>
      <c r="S1635" s="22" t="str">
        <f>IFERROR(__xludf.DUMMYFUNCTION("""COMPUTED_VALUE"""),"20240607_ソルマーレ編集部_INTO THE ROSE GARDEN ‐運命に選ばれなくても‐【タテヨミ】")</f>
        <v>20240607_ソルマーレ編集部_INTO THE ROSE GARDEN ‐運命に選ばれなくても‐【タテヨミ】</v>
      </c>
      <c r="T1635" s="22" t="str">
        <f>IFERROR(__xludf.DUMMYFUNCTION("""COMPUTED_VALUE"""),"格納済み")</f>
        <v>格納済み</v>
      </c>
      <c r="U1635" s="15" t="str">
        <f>IFERROR(__xludf.DUMMYFUNCTION("""COMPUTED_VALUE"""),"Ⓒ GAZEL/Winterbaum/MEG/鶴山文化社/シーモアコミックス")</f>
        <v>Ⓒ GAZEL/Winterbaum/MEG/鶴山文化社/シーモアコミックス</v>
      </c>
      <c r="V1635" s="8" t="str">
        <f>IFERROR(__xludf.DUMMYFUNCTION("""COMPUTED_VALUE"""),"名家テイウィンド伯爵家の跡取りとして厳格な父に育てられたエイロックは、名門貴族のアルファとして、誇り高く生きていた――あの日、クロップに出会うまでは
同じアルファであるにも関わらず、盲目的なまでにクロップに惹かれていくエイロックは、その思いの強さゆえに大きな罪を犯してしまう。自分の世界が一変してしまうことなど考えもせず…【フィカス】")</f>
        <v>名家テイウィンド伯爵家の跡取りとして厳格な父に育てられたエイロックは、名門貴族のアルファとして、誇り高く生きていた――あの日、クロップに出会うまでは
同じアルファであるにも関わらず、盲目的なまでにクロップに惹かれていくエイロックは、その思いの強さゆえに大きな罪を犯してしまう。自分の世界が一変してしまうことなど考えもせず…【フィカス】</v>
      </c>
      <c r="W1635" s="14"/>
      <c r="X1635" s="14" t="str">
        <f>IFERROR(__xludf.DUMMYFUNCTION("""COMPUTED_VALUE"""),"有")</f>
        <v>有</v>
      </c>
      <c r="Y1635" s="8" t="str">
        <f>IFERROR(__xludf.DUMMYFUNCTION("""COMPUTED_VALUE"""),"2024/8/2まで1～3巻無料")</f>
        <v>2024/8/2まで1～3巻無料</v>
      </c>
      <c r="Z1635" s="7"/>
      <c r="AA1635" s="7"/>
      <c r="AB1635" s="7"/>
    </row>
    <row r="1636" ht="15.75" customHeight="1">
      <c r="A1636" s="26">
        <f>IFERROR(__xludf.DUMMYFUNCTION("""COMPUTED_VALUE"""),3616.0)</f>
        <v>3616</v>
      </c>
      <c r="B1636" s="22" t="str">
        <f>IFERROR(__xludf.DUMMYFUNCTION("""COMPUTED_VALUE"""),"確定")</f>
        <v>確定</v>
      </c>
      <c r="C1636" s="28">
        <f>IFERROR(__xludf.DUMMYFUNCTION("""COMPUTED_VALUE"""),45453.0)</f>
        <v>45453</v>
      </c>
      <c r="D1636" s="28">
        <f>IFERROR(__xludf.DUMMYFUNCTION("""COMPUTED_VALUE"""),45454.0)</f>
        <v>45454</v>
      </c>
      <c r="E1636" s="31">
        <f>IFERROR(__xludf.DUMMYFUNCTION("""COMPUTED_VALUE"""),296110.0)</f>
        <v>296110</v>
      </c>
      <c r="F1636" s="22" t="str">
        <f>IFERROR(__xludf.DUMMYFUNCTION("""COMPUTED_VALUE"""),"先輩、今日泊ってもいいよね？")</f>
        <v>先輩、今日泊ってもいいよね？</v>
      </c>
      <c r="G1636" s="11" t="str">
        <f>IFERROR(__xludf.DUMMYFUNCTION("""COMPUTED_VALUE"""),"1～2")</f>
        <v>1～2</v>
      </c>
      <c r="H1636" s="22" t="str">
        <f>IFERROR(__xludf.DUMMYFUNCTION("""COMPUTED_VALUE"""),"しえん／えびぞり団")</f>
        <v>しえん／えびぞり団</v>
      </c>
      <c r="I1636" s="22" t="str">
        <f>IFERROR(__xludf.DUMMYFUNCTION("""COMPUTED_VALUE"""),"オトナ")</f>
        <v>オトナ</v>
      </c>
      <c r="J1636" s="22"/>
      <c r="K1636" s="22"/>
      <c r="L1636" s="22" t="str">
        <f>IFERROR(__xludf.DUMMYFUNCTION("""COMPUTED_VALUE"""),"ナイトコミック")</f>
        <v>ナイトコミック</v>
      </c>
      <c r="M1636" s="23">
        <f>IFERROR(__xludf.DUMMYFUNCTION("""COMPUTED_VALUE"""),45464.0)</f>
        <v>45464</v>
      </c>
      <c r="N1636" s="23">
        <f>IFERROR(__xludf.DUMMYFUNCTION("""COMPUTED_VALUE"""),45526.0)</f>
        <v>45526</v>
      </c>
      <c r="O1636" s="20"/>
      <c r="P1636" s="29" t="str">
        <f>IFERROR(__xludf.DUMMYFUNCTION("""COMPUTED_VALUE"""),"可")</f>
        <v>可</v>
      </c>
      <c r="Q1636" s="30" t="str">
        <f>IFERROR(__xludf.DUMMYFUNCTION("""COMPUTED_VALUE"""),"事前検討不要での先行作品となります。&lt;BR&gt;こちら可能であれば出稿お願いします。")</f>
        <v>事前検討不要での先行作品となります。&lt;BR&gt;こちら可能であれば出稿お願いします。</v>
      </c>
      <c r="R1636" s="22"/>
      <c r="S1636" s="22" t="str">
        <f>IFERROR(__xludf.DUMMYFUNCTION("""COMPUTED_VALUE"""),"20240610_ナイトコミック_先輩、今日泊ってもいいよね？")</f>
        <v>20240610_ナイトコミック_先輩、今日泊ってもいいよね？</v>
      </c>
      <c r="T1636" s="22" t="str">
        <f>IFERROR(__xludf.DUMMYFUNCTION("""COMPUTED_VALUE"""),"格納済み")</f>
        <v>格納済み</v>
      </c>
      <c r="U1636" s="15" t="str">
        <f>IFERROR(__xludf.DUMMYFUNCTION("""COMPUTED_VALUE"""),"©しえん／えびぞり団")</f>
        <v>©しえん／えびぞり団</v>
      </c>
      <c r="V1636" s="8" t="str">
        <f>IFERROR(__xludf.DUMMYFUNCTION("""COMPUTED_VALUE"""),"進学で一人暮らしを始めた主人公「下川大樹」は生活費や学費を稼ぐため、バイト詰めの毎日を送っていた。そんなある日、遊び場所に困っていたバイト先の後輩のギャル2人が彼の家でお泊りにすると押しかけてきた！さらにどさくさまぎれに布団に入ってこられ、ギャルに挟まれ就寝することに…！？柔らかいカラダ、甘い匂い…体を固くしていた主人公だったが、一人のギャルに勃起していることがバレてしまう。いたずらしながら勝手に興奮していくギャルに体を貪られていく状況に…")</f>
        <v>進学で一人暮らしを始めた主人公「下川大樹」は生活費や学費を稼ぐため、バイト詰めの毎日を送っていた。そんなある日、遊び場所に困っていたバイト先の後輩のギャル2人が彼の家でお泊りにすると押しかけてきた！さらにどさくさまぎれに布団に入ってこられ、ギャルに挟まれ就寝することに…！？柔らかいカラダ、甘い匂い…体を固くしていた主人公だったが、一人のギャルに勃起していることがバレてしまう。いたずらしながら勝手に興奮していくギャルに体を貪られていく状況に…</v>
      </c>
      <c r="W1636" s="8"/>
      <c r="X1636" s="14" t="str">
        <f>IFERROR(__xludf.DUMMYFUNCTION("""COMPUTED_VALUE"""),"有")</f>
        <v>有</v>
      </c>
      <c r="Y1636" s="8" t="str">
        <f>IFERROR(__xludf.DUMMYFUNCTION("""COMPUTED_VALUE"""),"2024/8/22まで立ち読み増量
1巻目⇒P20まで
2巻目⇒P10まで")</f>
        <v>2024/8/22まで立ち読み増量
1巻目⇒P20まで
2巻目⇒P10まで</v>
      </c>
      <c r="Z1636" s="7"/>
      <c r="AA1636" s="7"/>
      <c r="AB1636" s="7"/>
    </row>
    <row r="1637" ht="15.75" customHeight="1">
      <c r="A1637" s="26">
        <f>IFERROR(__xludf.DUMMYFUNCTION("""COMPUTED_VALUE"""),3618.0)</f>
        <v>3618</v>
      </c>
      <c r="B1637" s="22" t="str">
        <f>IFERROR(__xludf.DUMMYFUNCTION("""COMPUTED_VALUE"""),"確定")</f>
        <v>確定</v>
      </c>
      <c r="C1637" s="28">
        <f>IFERROR(__xludf.DUMMYFUNCTION("""COMPUTED_VALUE"""),45454.0)</f>
        <v>45454</v>
      </c>
      <c r="D1637" s="28">
        <f>IFERROR(__xludf.DUMMYFUNCTION("""COMPUTED_VALUE"""),45455.0)</f>
        <v>45455</v>
      </c>
      <c r="E1637" s="26">
        <f>IFERROR(__xludf.DUMMYFUNCTION("""COMPUTED_VALUE"""),273041.0)</f>
        <v>273041</v>
      </c>
      <c r="F1637" s="22" t="str">
        <f>IFERROR(__xludf.DUMMYFUNCTION("""COMPUTED_VALUE"""),"俺の後輩が俺のことを好きすぎる")</f>
        <v>俺の後輩が俺のことを好きすぎる</v>
      </c>
      <c r="G1637" s="11" t="str">
        <f>IFERROR(__xludf.DUMMYFUNCTION("""COMPUTED_VALUE"""),"1～2")</f>
        <v>1～2</v>
      </c>
      <c r="H1637" s="22" t="str">
        <f>IFERROR(__xludf.DUMMYFUNCTION("""COMPUTED_VALUE"""),"ムロイケイ")</f>
        <v>ムロイケイ</v>
      </c>
      <c r="I1637" s="22" t="str">
        <f>IFERROR(__xludf.DUMMYFUNCTION("""COMPUTED_VALUE"""),"BL")</f>
        <v>BL</v>
      </c>
      <c r="J1637" s="22"/>
      <c r="K1637" s="22"/>
      <c r="L1637" s="22" t="str">
        <f>IFERROR(__xludf.DUMMYFUNCTION("""COMPUTED_VALUE"""),"ソルマーレ編集部")</f>
        <v>ソルマーレ編集部</v>
      </c>
      <c r="M1637" s="23">
        <f>IFERROR(__xludf.DUMMYFUNCTION("""COMPUTED_VALUE"""),45486.0)</f>
        <v>45486</v>
      </c>
      <c r="N1637" s="23">
        <f>IFERROR(__xludf.DUMMYFUNCTION("""COMPUTED_VALUE"""),45547.0)</f>
        <v>45547</v>
      </c>
      <c r="O1637" s="20"/>
      <c r="P1637" s="32" t="str">
        <f>IFERROR(__xludf.DUMMYFUNCTION("""COMPUTED_VALUE"""),"可")</f>
        <v>可</v>
      </c>
      <c r="Q1637" s="30"/>
      <c r="R1637" s="22"/>
      <c r="S1637" s="22" t="str">
        <f>IFERROR(__xludf.DUMMYFUNCTION("""COMPUTED_VALUE"""),"20240612_ソルマーレ編集部_俺の後輩が俺のことを好きすぎる")</f>
        <v>20240612_ソルマーレ編集部_俺の後輩が俺のことを好きすぎる</v>
      </c>
      <c r="T1637" s="22" t="str">
        <f>IFERROR(__xludf.DUMMYFUNCTION("""COMPUTED_VALUE"""),"格納済み")</f>
        <v>格納済み</v>
      </c>
      <c r="U1637" s="15" t="str">
        <f>IFERROR(__xludf.DUMMYFUNCTION("""COMPUTED_VALUE"""),"Ⓒ ムロイケイ/シーモアコミックス")</f>
        <v>Ⓒ ムロイケイ/シーモアコミックス</v>
      </c>
      <c r="V1637" s="8" t="str">
        <f>IFERROR(__xludf.DUMMYFUNCTION("""COMPUTED_VALUE"""),"「裕介って呼んでくれないんですか？」「…名前で呼ぶのはやめなさい」
これぞ青天の霹靂。学生時代の黒歴史―――元恋人の裕介と職場で再会したリーマン・洋平。洋平にとって裕介のことは忘れたい過去になっていて、正直口も聞きたくないほど嫌なのに。まさか一緒に働くことになるなんて！ 当の裕介は果敢に話しかけてくるどころか「相変わらずうっかりさんで可愛いですね」なんて口説いてきて…？
お前が俺にしたこと、忘れたとは言わせないぞ…!!!!!! トラウマを抱える先輩リーマンと年下ワンコ後輩の、純情再会ラブストーリー。【"&amp;"フィカス】")</f>
        <v>「裕介って呼んでくれないんですか？」「…名前で呼ぶのはやめなさい」
これぞ青天の霹靂。学生時代の黒歴史―――元恋人の裕介と職場で再会したリーマン・洋平。洋平にとって裕介のことは忘れたい過去になっていて、正直口も聞きたくないほど嫌なのに。まさか一緒に働くことになるなんて！ 当の裕介は果敢に話しかけてくるどころか「相変わらずうっかりさんで可愛いですね」なんて口説いてきて…？
お前が俺にしたこと、忘れたとは言わせないぞ…!!!!!! トラウマを抱える先輩リーマンと年下ワンコ後輩の、純情再会ラブストーリー。【フィカス】</v>
      </c>
      <c r="W1637" s="14"/>
      <c r="X1637" s="14" t="str">
        <f>IFERROR(__xludf.DUMMYFUNCTION("""COMPUTED_VALUE"""),"有")</f>
        <v>有</v>
      </c>
      <c r="Y1637" s="8" t="str">
        <f>IFERROR(__xludf.DUMMYFUNCTION("""COMPUTED_VALUE"""),"P13まで")</f>
        <v>P13まで</v>
      </c>
      <c r="Z1637" s="7"/>
      <c r="AA1637" s="7"/>
      <c r="AB1637" s="7"/>
    </row>
    <row r="1638" ht="15.75" customHeight="1">
      <c r="A1638" s="26">
        <f>IFERROR(__xludf.DUMMYFUNCTION("""COMPUTED_VALUE"""),3619.0)</f>
        <v>3619</v>
      </c>
      <c r="B1638" s="22" t="str">
        <f>IFERROR(__xludf.DUMMYFUNCTION("""COMPUTED_VALUE"""),"確定")</f>
        <v>確定</v>
      </c>
      <c r="C1638" s="28">
        <f>IFERROR(__xludf.DUMMYFUNCTION("""COMPUTED_VALUE"""),45454.0)</f>
        <v>45454</v>
      </c>
      <c r="D1638" s="28">
        <f>IFERROR(__xludf.DUMMYFUNCTION("""COMPUTED_VALUE"""),45454.0)</f>
        <v>45454</v>
      </c>
      <c r="E1638" s="26">
        <f>IFERROR(__xludf.DUMMYFUNCTION("""COMPUTED_VALUE"""),277979.0)</f>
        <v>277979</v>
      </c>
      <c r="F1638" s="22" t="str">
        <f>IFERROR(__xludf.DUMMYFUNCTION("""COMPUTED_VALUE"""),"地球外生命体・マル")</f>
        <v>地球外生命体・マル</v>
      </c>
      <c r="G1638" s="20" t="str">
        <f>IFERROR(__xludf.DUMMYFUNCTION("""COMPUTED_VALUE"""),"1～3")</f>
        <v>1～3</v>
      </c>
      <c r="H1638" s="22" t="str">
        <f>IFERROR(__xludf.DUMMYFUNCTION("""COMPUTED_VALUE"""),"ダムダム")</f>
        <v>ダムダム</v>
      </c>
      <c r="I1638" s="22" t="str">
        <f>IFERROR(__xludf.DUMMYFUNCTION("""COMPUTED_VALUE"""),"少女")</f>
        <v>少女</v>
      </c>
      <c r="J1638" s="22"/>
      <c r="K1638" s="22"/>
      <c r="L1638" s="22" t="str">
        <f>IFERROR(__xludf.DUMMYFUNCTION("""COMPUTED_VALUE"""),"ソルマーレ編集部")</f>
        <v>ソルマーレ編集部</v>
      </c>
      <c r="M1638" s="23">
        <f>IFERROR(__xludf.DUMMYFUNCTION("""COMPUTED_VALUE"""),45486.0)</f>
        <v>45486</v>
      </c>
      <c r="N1638" s="23">
        <f>IFERROR(__xludf.DUMMYFUNCTION("""COMPUTED_VALUE"""),45547.0)</f>
        <v>45547</v>
      </c>
      <c r="O1638" s="20"/>
      <c r="P1638" s="32" t="str">
        <f>IFERROR(__xludf.DUMMYFUNCTION("""COMPUTED_VALUE"""),"可")</f>
        <v>可</v>
      </c>
      <c r="Q1638" s="30"/>
      <c r="R1638" s="22"/>
      <c r="S1638" s="22" t="str">
        <f>IFERROR(__xludf.DUMMYFUNCTION("""COMPUTED_VALUE"""),"20240611_ソルマーレ編集部_地球外生命体・マル")</f>
        <v>20240611_ソルマーレ編集部_地球外生命体・マル</v>
      </c>
      <c r="T1638" s="22" t="str">
        <f>IFERROR(__xludf.DUMMYFUNCTION("""COMPUTED_VALUE"""),"格納済み")</f>
        <v>格納済み</v>
      </c>
      <c r="U1638" s="15" t="str">
        <f>IFERROR(__xludf.DUMMYFUNCTION("""COMPUTED_VALUE"""),"Ⓒ ダムダム/シーモアコミックス")</f>
        <v>Ⓒ ダムダム/シーモアコミックス</v>
      </c>
      <c r="V1638" s="8" t="str">
        <f>IFERROR(__xludf.DUMMYFUNCTION("""COMPUTED_VALUE"""),"冴えない大学生・太郎が拾ったのはかわいそうな迷い犬…のフリをした地球外生命体！
寝てる間はおそろしい化け物の姿に戻るけど、起きてる時はもっふもふで超絶キュート☆なマルさん（命名：太郎）に心うばわれた太郎は、時に血だらけになりながらも共に暮らすことを決意する。
かわいくて不気味な地球外生命体・マルさんとの、ほっこり笑える毎日！【恋するソワレ】")</f>
        <v>冴えない大学生・太郎が拾ったのはかわいそうな迷い犬…のフリをした地球外生命体！
寝てる間はおそろしい化け物の姿に戻るけど、起きてる時はもっふもふで超絶キュート☆なマルさん（命名：太郎）に心うばわれた太郎は、時に血だらけになりながらも共に暮らすことを決意する。
かわいくて不気味な地球外生命体・マルさんとの、ほっこり笑える毎日！【恋するソワレ】</v>
      </c>
      <c r="W1638" s="14"/>
      <c r="X1638" s="14" t="str">
        <f>IFERROR(__xludf.DUMMYFUNCTION("""COMPUTED_VALUE"""),"有")</f>
        <v>有</v>
      </c>
      <c r="Y1638" s="8" t="str">
        <f>IFERROR(__xludf.DUMMYFUNCTION("""COMPUTED_VALUE"""),"P13まで")</f>
        <v>P13まで</v>
      </c>
      <c r="Z1638" s="7"/>
      <c r="AA1638" s="7"/>
      <c r="AB1638" s="7"/>
    </row>
    <row r="1639" ht="15.75" customHeight="1">
      <c r="A1639" s="26">
        <f>IFERROR(__xludf.DUMMYFUNCTION("""COMPUTED_VALUE"""),3620.0)</f>
        <v>3620</v>
      </c>
      <c r="B1639" s="22" t="str">
        <f>IFERROR(__xludf.DUMMYFUNCTION("""COMPUTED_VALUE"""),"確定")</f>
        <v>確定</v>
      </c>
      <c r="C1639" s="28">
        <f>IFERROR(__xludf.DUMMYFUNCTION("""COMPUTED_VALUE"""),45454.0)</f>
        <v>45454</v>
      </c>
      <c r="D1639" s="28">
        <f>IFERROR(__xludf.DUMMYFUNCTION("""COMPUTED_VALUE"""),45454.0)</f>
        <v>45454</v>
      </c>
      <c r="E1639" s="60">
        <f>IFERROR(__xludf.DUMMYFUNCTION("""COMPUTED_VALUE"""),308238.0)</f>
        <v>308238</v>
      </c>
      <c r="F1639" s="61" t="str">
        <f>IFERROR(__xludf.DUMMYFUNCTION("""COMPUTED_VALUE"""),"泡沫の声を聴いて")</f>
        <v>泡沫の声を聴いて</v>
      </c>
      <c r="G1639" s="20">
        <f>IFERROR(__xludf.DUMMYFUNCTION("""COMPUTED_VALUE"""),1.0)</f>
        <v>1</v>
      </c>
      <c r="H1639" s="22" t="str">
        <f>IFERROR(__xludf.DUMMYFUNCTION("""COMPUTED_VALUE"""),"炬太郎")</f>
        <v>炬太郎</v>
      </c>
      <c r="I1639" s="22" t="str">
        <f>IFERROR(__xludf.DUMMYFUNCTION("""COMPUTED_VALUE"""),"BL")</f>
        <v>BL</v>
      </c>
      <c r="J1639" s="22"/>
      <c r="K1639" s="22"/>
      <c r="L1639" s="22" t="str">
        <f>IFERROR(__xludf.DUMMYFUNCTION("""COMPUTED_VALUE"""),"リブレ")</f>
        <v>リブレ</v>
      </c>
      <c r="M1639" s="47">
        <f>IFERROR(__xludf.DUMMYFUNCTION("""COMPUTED_VALUE"""),45637.0)</f>
        <v>45637</v>
      </c>
      <c r="N1639" s="47">
        <f>IFERROR(__xludf.DUMMYFUNCTION("""COMPUTED_VALUE"""),45667.0)</f>
        <v>45667</v>
      </c>
      <c r="O1639" s="20"/>
      <c r="P1639" s="29" t="str">
        <f>IFERROR(__xludf.DUMMYFUNCTION("""COMPUTED_VALUE"""),"可")</f>
        <v>可</v>
      </c>
      <c r="Q1639" s="30" t="str">
        <f>IFERROR(__xludf.DUMMYFUNCTION("""COMPUTED_VALUE"""),"プロモTにて出稿前提の獲得希望のあった作品です。
クリエイティブは格納している分でご制作お願いします。格納している話数＋最終話が1話が入った単行本１冊での配信となります。
（最終話はマガジンビーボーイ８月号に掲載見込みです）
⇒先行日未確定で取り下げていたタイトルになります。
配信日確定となりましたので共有致します。素材などに変更はございません。")</f>
        <v>プロモTにて出稿前提の獲得希望のあった作品です。
クリエイティブは格納している分でご制作お願いします。格納している話数＋最終話が1話が入った単行本１冊での配信となります。
（最終話はマガジンビーボーイ８月号に掲載見込みです）
⇒先行日未確定で取り下げていたタイトルになります。
配信日確定となりましたので共有致します。素材などに変更はございません。</v>
      </c>
      <c r="R1639" s="22"/>
      <c r="S1639" s="22" t="str">
        <f>IFERROR(__xludf.DUMMYFUNCTION("""COMPUTED_VALUE"""),"20240611_リブレ_泡沫の声を聴いて")</f>
        <v>20240611_リブレ_泡沫の声を聴いて</v>
      </c>
      <c r="T1639" s="22" t="str">
        <f>IFERROR(__xludf.DUMMYFUNCTION("""COMPUTED_VALUE"""),"格納済み")</f>
        <v>格納済み</v>
      </c>
      <c r="U1639" s="15" t="str">
        <f>IFERROR(__xludf.DUMMYFUNCTION("""COMPUTED_VALUE"""),"(C)炬太郎/libre")</f>
        <v>(C)炬太郎/libre</v>
      </c>
      <c r="V1639" s="8" t="str">
        <f>IFERROR(__xludf.DUMMYFUNCTION("""COMPUTED_VALUE"""),"「恋なんてしたくねえのに」
亜依人は一見普通の男子大学生だが、実は「人魚姫」としての前世の記憶がある。
さらに前世のトラウマから、好きな人を前にすると立てなくなり声も出せなくなるという呪いにかかっていた。
「非恋愛主義」を掲げ、10年恋をしていなかった亜依人だったが、同じ大学で他クラスの徹に一目惚れしてしまう。
「これは恋なんかじゃない」と言い聞かせても徹を目の前にするとときめいてしまう。
と同時に恐れていた呪いの症状も…
しかし徹との恋を諦めるのではなく、呪いを克服しようと決意した亜依人"&amp;"。
前世の呪いに打ち勝ち、徹との恋を成就させることはできるのか…!?
電子限定描き下ろしマンガ1Pも収録。")</f>
        <v>「恋なんてしたくねえのに」
亜依人は一見普通の男子大学生だが、実は「人魚姫」としての前世の記憶がある。
さらに前世のトラウマから、好きな人を前にすると立てなくなり声も出せなくなるという呪いにかかっていた。
「非恋愛主義」を掲げ、10年恋をしていなかった亜依人だったが、同じ大学で他クラスの徹に一目惚れしてしまう。
「これは恋なんかじゃない」と言い聞かせても徹を目の前にするとときめいてしまう。
と同時に恐れていた呪いの症状も…
しかし徹との恋を諦めるのではなく、呪いを克服しようと決意した亜依人。
前世の呪いに打ち勝ち、徹との恋を成就させることはできるのか…!?
電子限定描き下ろしマンガ1Pも収録。</v>
      </c>
      <c r="W1639" s="14"/>
      <c r="X1639" s="14" t="str">
        <f>IFERROR(__xludf.DUMMYFUNCTION("""COMPUTED_VALUE"""),"有")</f>
        <v>有</v>
      </c>
      <c r="Y1639" s="8" t="str">
        <f>IFERROR(__xludf.DUMMYFUNCTION("""COMPUTED_VALUE"""),"P34まで")</f>
        <v>P34まで</v>
      </c>
      <c r="Z1639" s="7"/>
      <c r="AA1639" s="7"/>
      <c r="AB1639" s="7"/>
    </row>
    <row r="1640" ht="15.75" customHeight="1">
      <c r="A1640" s="26">
        <f>IFERROR(__xludf.DUMMYFUNCTION("""COMPUTED_VALUE"""),3349.0)</f>
        <v>3349</v>
      </c>
      <c r="B1640" s="22" t="str">
        <f>IFERROR(__xludf.DUMMYFUNCTION("""COMPUTED_VALUE"""),"確定")</f>
        <v>確定</v>
      </c>
      <c r="C1640" s="62">
        <f>IFERROR(__xludf.DUMMYFUNCTION("""COMPUTED_VALUE"""),45412.0)</f>
        <v>45412</v>
      </c>
      <c r="D1640" s="59">
        <f>IFERROR(__xludf.DUMMYFUNCTION("""COMPUTED_VALUE"""),45461.0)</f>
        <v>45461</v>
      </c>
      <c r="E1640" s="26">
        <f>IFERROR(__xludf.DUMMYFUNCTION("""COMPUTED_VALUE"""),296871.0)</f>
        <v>296871</v>
      </c>
      <c r="F1640" s="63" t="str">
        <f>IFERROR(__xludf.DUMMYFUNCTION("""COMPUTED_VALUE"""),"#推しが俺様専属マネージャー")</f>
        <v>#推しが俺様専属マネージャー</v>
      </c>
      <c r="G1640" s="11" t="str">
        <f>IFERROR(__xludf.DUMMYFUNCTION("""COMPUTED_VALUE"""),"1～2")</f>
        <v>1～2</v>
      </c>
      <c r="H1640" s="64" t="str">
        <f>IFERROR(__xludf.DUMMYFUNCTION("""COMPUTED_VALUE"""),"甘味みつ")</f>
        <v>甘味みつ</v>
      </c>
      <c r="I1640" s="22" t="str">
        <f>IFERROR(__xludf.DUMMYFUNCTION("""COMPUTED_VALUE"""),"BL")</f>
        <v>BL</v>
      </c>
      <c r="J1640" s="22"/>
      <c r="K1640" s="22"/>
      <c r="L1640" s="22" t="str">
        <f>IFERROR(__xludf.DUMMYFUNCTION("""COMPUTED_VALUE"""),"CLLENN")</f>
        <v>CLLENN</v>
      </c>
      <c r="M1640" s="23">
        <f>IFERROR(__xludf.DUMMYFUNCTION("""COMPUTED_VALUE"""),45484.0)</f>
        <v>45484</v>
      </c>
      <c r="N1640" s="23">
        <f>IFERROR(__xludf.DUMMYFUNCTION("""COMPUTED_VALUE"""),45546.0)</f>
        <v>45546</v>
      </c>
      <c r="O1640" s="20"/>
      <c r="P1640" s="34" t="str">
        <f>IFERROR(__xludf.DUMMYFUNCTION("""COMPUTED_VALUE"""),"可")</f>
        <v>可</v>
      </c>
      <c r="Q1640" s="30" t="str">
        <f>IFERROR(__xludf.DUMMYFUNCTION("""COMPUTED_VALUE"""),"コミットOK（5/10）")</f>
        <v>コミットOK（5/10）</v>
      </c>
      <c r="R1640" s="22"/>
      <c r="S1640" s="22" t="str">
        <f>IFERROR(__xludf.DUMMYFUNCTION("""COMPUTED_VALUE"""),"20240612_CLLENN_推しが俺様専属マネージャー")</f>
        <v>20240612_CLLENN_推しが俺様専属マネージャー</v>
      </c>
      <c r="T1640" s="22" t="str">
        <f>IFERROR(__xludf.DUMMYFUNCTION("""COMPUTED_VALUE"""),"格納済み")</f>
        <v>格納済み</v>
      </c>
      <c r="U1640" s="15" t="str">
        <f>IFERROR(__xludf.DUMMYFUNCTION("""COMPUTED_VALUE"""),"ⓒ甘味みつ/CLLENN")</f>
        <v>ⓒ甘味みつ/CLLENN</v>
      </c>
      <c r="V1640" s="8" t="str">
        <f>IFERROR(__xludf.DUMMYFUNCTION("""COMPUTED_VALUE"""),"【心置きなく良くなってもらいますね】大好きな推しの手が、唇が、声が…隅々まで身体を刺激する。熱をもった先端を激しくいじられてしまえば、もう何も考えられなくて――!? 鷹山 赤星（たかやま あかほし）は、失踪した推し俳優「鳴海 昴（なるみ すばる）」を探すため、芸能界に入った隠れオタクの陰キャ男子。無理して作った“俺様キャラ”でヒットしたものの、それが原因で様々なトラブルを起こしてしまう…。そんな彼の新たなマネージャーとして現れたのは、事務所の庶務を務めていた男、馬渕 統（まぶち すばる）。なんと彼は、失踪"&amp;"した推しの昴に瓜二つ…イヤ本人だった!? 話の行き違いから、『性豪の赤星のための性欲処理係』として派遣されたと思い込んでる統と、ガチ恋の赤星が同じ部屋に居合わせて何も起こらないはずがなく――！お目付け役がまさかの推し!? 世話焼きマネージャー×俺様キャラを演じる陰キャ俳優の、ギャップ萌えラブコメディ！")</f>
        <v>【心置きなく良くなってもらいますね】大好きな推しの手が、唇が、声が…隅々まで身体を刺激する。熱をもった先端を激しくいじられてしまえば、もう何も考えられなくて――!? 鷹山 赤星（たかやま あかほし）は、失踪した推し俳優「鳴海 昴（なるみ すばる）」を探すため、芸能界に入った隠れオタクの陰キャ男子。無理して作った“俺様キャラ”でヒットしたものの、それが原因で様々なトラブルを起こしてしまう…。そんな彼の新たなマネージャーとして現れたのは、事務所の庶務を務めていた男、馬渕 統（まぶち すばる）。なんと彼は、失踪した推しの昴に瓜二つ…イヤ本人だった!? 話の行き違いから、『性豪の赤星のための性欲処理係』として派遣されたと思い込んでる統と、ガチ恋の赤星が同じ部屋に居合わせて何も起こらないはずがなく――！お目付け役がまさかの推し!? 世話焼きマネージャー×俺様キャラを演じる陰キャ俳優の、ギャップ萌えラブコメディ！</v>
      </c>
      <c r="W1640" s="8"/>
      <c r="X1640" s="14" t="str">
        <f>IFERROR(__xludf.DUMMYFUNCTION("""COMPUTED_VALUE"""),"有")</f>
        <v>有</v>
      </c>
      <c r="Y1640" s="8" t="str">
        <f>IFERROR(__xludf.DUMMYFUNCTION("""COMPUTED_VALUE"""),"2024/7/24まで立ち読み増量P18まで")</f>
        <v>2024/7/24まで立ち読み増量P18まで</v>
      </c>
      <c r="Z1640" s="7"/>
      <c r="AA1640" s="7"/>
      <c r="AB1640" s="7"/>
    </row>
    <row r="1641" ht="15.75" customHeight="1">
      <c r="A1641" s="26">
        <f>IFERROR(__xludf.DUMMYFUNCTION("""COMPUTED_VALUE"""),3631.0)</f>
        <v>3631</v>
      </c>
      <c r="B1641" s="22" t="str">
        <f>IFERROR(__xludf.DUMMYFUNCTION("""COMPUTED_VALUE"""),"確定")</f>
        <v>確定</v>
      </c>
      <c r="C1641" s="59">
        <f>IFERROR(__xludf.DUMMYFUNCTION("""COMPUTED_VALUE"""),45455.0)</f>
        <v>45455</v>
      </c>
      <c r="D1641" s="59">
        <f>IFERROR(__xludf.DUMMYFUNCTION("""COMPUTED_VALUE"""),45460.0)</f>
        <v>45460</v>
      </c>
      <c r="E1641" s="26">
        <f>IFERROR(__xludf.DUMMYFUNCTION("""COMPUTED_VALUE"""),295551.0)</f>
        <v>295551</v>
      </c>
      <c r="F1641" s="22" t="str">
        <f>IFERROR(__xludf.DUMMYFUNCTION("""COMPUTED_VALUE"""),"ママみ幼馴染のお世話が度を過ぎている")</f>
        <v>ママみ幼馴染のお世話が度を過ぎている</v>
      </c>
      <c r="G1641" s="20" t="str">
        <f>IFERROR(__xludf.DUMMYFUNCTION("""COMPUTED_VALUE"""),"1～3")</f>
        <v>1～3</v>
      </c>
      <c r="H1641" s="65" t="str">
        <f>IFERROR(__xludf.DUMMYFUNCTION("""COMPUTED_VALUE"""),"三木内指定")</f>
        <v>三木内指定</v>
      </c>
      <c r="I1641" s="65" t="str">
        <f>IFERROR(__xludf.DUMMYFUNCTION("""COMPUTED_VALUE"""),"青年")</f>
        <v>青年</v>
      </c>
      <c r="J1641" s="65"/>
      <c r="K1641" s="65"/>
      <c r="L1641" s="65" t="str">
        <f>IFERROR(__xludf.DUMMYFUNCTION("""COMPUTED_VALUE"""),"CLLENN")</f>
        <v>CLLENN</v>
      </c>
      <c r="M1641" s="23">
        <f>IFERROR(__xludf.DUMMYFUNCTION("""COMPUTED_VALUE"""),45473.0)</f>
        <v>45473</v>
      </c>
      <c r="N1641" s="23">
        <f>IFERROR(__xludf.DUMMYFUNCTION("""COMPUTED_VALUE"""),45570.0)</f>
        <v>45570</v>
      </c>
      <c r="O1641" s="20"/>
      <c r="P1641" s="34" t="str">
        <f>IFERROR(__xludf.DUMMYFUNCTION("""COMPUTED_VALUE"""),"可")</f>
        <v>可</v>
      </c>
      <c r="Q1641" s="30" t="str">
        <f>IFERROR(__xludf.DUMMYFUNCTION("""COMPUTED_VALUE"""),"協業：シーモア×DEDEDE")</f>
        <v>協業：シーモア×DEDEDE</v>
      </c>
      <c r="R1641" s="22"/>
      <c r="S1641" s="22" t="str">
        <f>IFERROR(__xludf.DUMMYFUNCTION("""COMPUTED_VALUE"""),"20240612_CLLENN_ママみ幼馴染のお世話が度を過ぎている")</f>
        <v>20240612_CLLENN_ママみ幼馴染のお世話が度を過ぎている</v>
      </c>
      <c r="T1641" s="22" t="str">
        <f>IFERROR(__xludf.DUMMYFUNCTION("""COMPUTED_VALUE"""),"格納済み")</f>
        <v>格納済み</v>
      </c>
      <c r="U1641" s="15" t="str">
        <f>IFERROR(__xludf.DUMMYFUNCTION("""COMPUTED_VALUE"""),"ⓒ三木内指定/CLLENN")</f>
        <v>ⓒ三木内指定/CLLENN</v>
      </c>
      <c r="V1641" s="8" t="str">
        <f>IFERROR(__xludf.DUMMYFUNCTION("""COMPUTED_VALUE"""),"「恥ずかしくないよ…？大丈夫だからね…」――小学生ぶりに再会した幼馴染の桃子は、巨乳美女に変貌していた。同じ大学に通い始めたのはいいけど…桃子がエロすぎて、なんだか調子の狂う毎日。そんなある日、俺の部屋に桃子が遊びに来て、意識しすぎてしまい…。すると、その様子を見た桃子が、俺の××を…!?「よしよし…あ、また大きくなった…」こんなの、世話好きの度を超えてるだろ…！――お世話大好き、ママみがすごすぎる幼馴染とのエロラブコメディー！")</f>
        <v>「恥ずかしくないよ…？大丈夫だからね…」――小学生ぶりに再会した幼馴染の桃子は、巨乳美女に変貌していた。同じ大学に通い始めたのはいいけど…桃子がエロすぎて、なんだか調子の狂う毎日。そんなある日、俺の部屋に桃子が遊びに来て、意識しすぎてしまい…。すると、その様子を見た桃子が、俺の××を…!?「よしよし…あ、また大きくなった…」こんなの、世話好きの度を超えてるだろ…！――お世話大好き、ママみがすごすぎる幼馴染とのエロラブコメディー！</v>
      </c>
      <c r="W1641" s="14"/>
      <c r="X1641" s="14" t="str">
        <f>IFERROR(__xludf.DUMMYFUNCTION("""COMPUTED_VALUE"""),"有")</f>
        <v>有</v>
      </c>
      <c r="Y1641" s="8" t="str">
        <f>IFERROR(__xludf.DUMMYFUNCTION("""COMPUTED_VALUE"""),"P10まで")</f>
        <v>P10まで</v>
      </c>
      <c r="Z1641" s="7"/>
      <c r="AA1641" s="7"/>
      <c r="AB1641" s="7"/>
    </row>
    <row r="1642" ht="117.75" customHeight="1">
      <c r="A1642" s="26">
        <f>IFERROR(__xludf.DUMMYFUNCTION("""COMPUTED_VALUE"""),3234.0)</f>
        <v>3234</v>
      </c>
      <c r="B1642" s="22" t="str">
        <f>IFERROR(__xludf.DUMMYFUNCTION("""COMPUTED_VALUE"""),"確定")</f>
        <v>確定</v>
      </c>
      <c r="C1642" s="28">
        <f>IFERROR(__xludf.DUMMYFUNCTION("""COMPUTED_VALUE"""),45384.0)</f>
        <v>45384</v>
      </c>
      <c r="D1642" s="28">
        <f>IFERROR(__xludf.DUMMYFUNCTION("""COMPUTED_VALUE"""),45461.0)</f>
        <v>45461</v>
      </c>
      <c r="E1642" s="26">
        <f>IFERROR(__xludf.DUMMYFUNCTION("""COMPUTED_VALUE"""),297064.0)</f>
        <v>297064</v>
      </c>
      <c r="F1642" s="46" t="str">
        <f>IFERROR(__xludf.DUMMYFUNCTION("""COMPUTED_VALUE"""),"俺を好きだと言ってくれ　不器用御曹司の求愛はわかりにくい【単話】")</f>
        <v>俺を好きだと言ってくれ　不器用御曹司の求愛はわかりにくい【単話】</v>
      </c>
      <c r="G1642" s="20" t="str">
        <f>IFERROR(__xludf.DUMMYFUNCTION("""COMPUTED_VALUE"""),"1～3")</f>
        <v>1～3</v>
      </c>
      <c r="H1642" s="22" t="str">
        <f>IFERROR(__xludf.DUMMYFUNCTION("""COMPUTED_VALUE"""),"小栗もえ/緒莉/天路ゆうつづ")</f>
        <v>小栗もえ/緒莉/天路ゆうつづ</v>
      </c>
      <c r="I1642" s="22" t="str">
        <f>IFERROR(__xludf.DUMMYFUNCTION("""COMPUTED_VALUE"""),"少女")</f>
        <v>少女</v>
      </c>
      <c r="J1642" s="22"/>
      <c r="K1642" s="22"/>
      <c r="L1642" s="22" t="str">
        <f>IFERROR(__xludf.DUMMYFUNCTION("""COMPUTED_VALUE"""),"ジュリアンパブリッシング")</f>
        <v>ジュリアンパブリッシング</v>
      </c>
      <c r="M1642" s="23">
        <f>IFERROR(__xludf.DUMMYFUNCTION("""COMPUTED_VALUE"""),45492.0)</f>
        <v>45492</v>
      </c>
      <c r="N1642" s="47">
        <f>IFERROR(__xludf.DUMMYFUNCTION("""COMPUTED_VALUE"""),45554.0)</f>
        <v>45554</v>
      </c>
      <c r="O1642" s="20"/>
      <c r="P1642" s="34" t="str">
        <f>IFERROR(__xludf.DUMMYFUNCTION("""COMPUTED_VALUE"""),"否")</f>
        <v>否</v>
      </c>
      <c r="Q1642" s="30" t="str">
        <f>IFERROR(__xludf.DUMMYFUNCTION("""COMPUTED_VALUE"""),"広告コミットOK(4/8)")</f>
        <v>広告コミットOK(4/8)</v>
      </c>
      <c r="R1642" s="22"/>
      <c r="S1642" s="22" t="str">
        <f>IFERROR(__xludf.DUMMYFUNCTION("""COMPUTED_VALUE"""),"20240613_ジュリアンパブリッシング_俺を好きだと言ってくれ【単話】")</f>
        <v>20240613_ジュリアンパブリッシング_俺を好きだと言ってくれ【単話】</v>
      </c>
      <c r="T1642" s="22" t="str">
        <f>IFERROR(__xludf.DUMMYFUNCTION("""COMPUTED_VALUE"""),"格納済み")</f>
        <v>格納済み</v>
      </c>
      <c r="U1642" s="15" t="str">
        <f>IFERROR(__xludf.DUMMYFUNCTION("""COMPUTED_VALUE"""),"(C)小栗もえ・緒莉・天路ゆうつづ/ジュリアンパブリッシング
")</f>
        <v>(C)小栗もえ・緒莉・天路ゆうつづ/ジュリアンパブリッシング
</v>
      </c>
      <c r="V1642" s="8" t="str">
        <f>IFERROR(__xludf.DUMMYFUNCTION("""COMPUTED_VALUE"""),"「俺のこと、嫌いでしょ」不動産会社で営業をしているふみは、バツイチだがイケメンだと噂の副社長・悟に淡々と対応していたはずが、なぜだか気に入られてしまい!?　「百回でも二百回でも、俺は再トライするよ。俺を受け入れてくれるまで」何かにつけ声をかけてくる悟に、初めは媚びない女が珍しいだけだろうと思っていたふみだけれど…。恋に不器用な御曹司×塩対応OL。どこか噛み合わない二人の恋の行方は――？")</f>
        <v>「俺のこと、嫌いでしょ」不動産会社で営業をしているふみは、バツイチだがイケメンだと噂の副社長・悟に淡々と対応していたはずが、なぜだか気に入られてしまい!?　「百回でも二百回でも、俺は再トライするよ。俺を受け入れてくれるまで」何かにつけ声をかけてくる悟に、初めは媚びない女が珍しいだけだろうと思っていたふみだけれど…。恋に不器用な御曹司×塩対応OL。どこか噛み合わない二人の恋の行方は――？</v>
      </c>
      <c r="W1642" s="14"/>
      <c r="X1642" s="14" t="str">
        <f>IFERROR(__xludf.DUMMYFUNCTION("""COMPUTED_VALUE"""),"有")</f>
        <v>有</v>
      </c>
      <c r="Y1642" s="8" t="str">
        <f>IFERROR(__xludf.DUMMYFUNCTION("""COMPUTED_VALUE"""),"2024/8/8まで1巻無料")</f>
        <v>2024/8/8まで1巻無料</v>
      </c>
      <c r="Z1642" s="7"/>
      <c r="AA1642" s="7"/>
      <c r="AB1642" s="7"/>
    </row>
    <row r="1643" ht="15.75" customHeight="1">
      <c r="A1643" s="26">
        <f>IFERROR(__xludf.DUMMYFUNCTION("""COMPUTED_VALUE"""),3242.0)</f>
        <v>3242</v>
      </c>
      <c r="B1643" s="22" t="str">
        <f>IFERROR(__xludf.DUMMYFUNCTION("""COMPUTED_VALUE"""),"確定")</f>
        <v>確定</v>
      </c>
      <c r="C1643" s="28">
        <f>IFERROR(__xludf.DUMMYFUNCTION("""COMPUTED_VALUE"""),45386.0)</f>
        <v>45386</v>
      </c>
      <c r="D1643" s="28">
        <f>IFERROR(__xludf.DUMMYFUNCTION("""COMPUTED_VALUE"""),45461.0)</f>
        <v>45461</v>
      </c>
      <c r="E1643" s="26">
        <f>IFERROR(__xludf.DUMMYFUNCTION("""COMPUTED_VALUE"""),296334.0)</f>
        <v>296334</v>
      </c>
      <c r="F1643" s="22" t="str">
        <f>IFERROR(__xludf.DUMMYFUNCTION("""COMPUTED_VALUE"""),"「こんなSEX…野獣みたい…！」無口な猟師は絶倫XL")</f>
        <v>「こんなSEX…野獣みたい…！」無口な猟師は絶倫XL</v>
      </c>
      <c r="G1643" s="53" t="str">
        <f>IFERROR(__xludf.DUMMYFUNCTION("""COMPUTED_VALUE"""),"1～3")</f>
        <v>1～3</v>
      </c>
      <c r="H1643" s="22" t="str">
        <f>IFERROR(__xludf.DUMMYFUNCTION("""COMPUTED_VALUE"""),"ふじのじ")</f>
        <v>ふじのじ</v>
      </c>
      <c r="I1643" s="22" t="str">
        <f>IFERROR(__xludf.DUMMYFUNCTION("""COMPUTED_VALUE"""),"オトナ")</f>
        <v>オトナ</v>
      </c>
      <c r="J1643" s="22"/>
      <c r="K1643" s="22"/>
      <c r="L1643" s="22" t="str">
        <f>IFERROR(__xludf.DUMMYFUNCTION("""COMPUTED_VALUE"""),"DEEPER-ZERO")</f>
        <v>DEEPER-ZERO</v>
      </c>
      <c r="M1643" s="23">
        <f>IFERROR(__xludf.DUMMYFUNCTION("""COMPUTED_VALUE"""),45479.0)</f>
        <v>45479</v>
      </c>
      <c r="N1643" s="23">
        <f>IFERROR(__xludf.DUMMYFUNCTION("""COMPUTED_VALUE"""),45541.0)</f>
        <v>45541</v>
      </c>
      <c r="O1643" s="20"/>
      <c r="P1643" s="34" t="str">
        <f>IFERROR(__xludf.DUMMYFUNCTION("""COMPUTED_VALUE"""),"可")</f>
        <v>可</v>
      </c>
      <c r="Q1643" s="31" t="str">
        <f>IFERROR(__xludf.DUMMYFUNCTION("""COMPUTED_VALUE"""),"広告コミットOK(4/10)")</f>
        <v>広告コミットOK(4/10)</v>
      </c>
      <c r="R1643" s="22" t="str">
        <f>IFERROR(__xludf.DUMMYFUNCTION("""COMPUTED_VALUE"""),"格納済")</f>
        <v>格納済</v>
      </c>
      <c r="S1643" s="22" t="str">
        <f>IFERROR(__xludf.DUMMYFUNCTION("""COMPUTED_VALUE"""),"20240612_DEEPER-ZERO_「こんなSEX…野獣みたい…！」無口な猟師は絶倫XL")</f>
        <v>20240612_DEEPER-ZERO_「こんなSEX…野獣みたい…！」無口な猟師は絶倫XL</v>
      </c>
      <c r="T1643" s="22" t="str">
        <f>IFERROR(__xludf.DUMMYFUNCTION("""COMPUTED_VALUE"""),"格納済み")</f>
        <v>格納済み</v>
      </c>
      <c r="U1643" s="15" t="str">
        <f>IFERROR(__xludf.DUMMYFUNCTION("""COMPUTED_VALUE"""),"ⓒふじのじ/DEEPER-ZERO")</f>
        <v>ⓒふじのじ/DEEPER-ZERO</v>
      </c>
      <c r="V1643" s="8" t="str">
        <f>IFERROR(__xludf.DUMMYFUNCTION("""COMPUTED_VALUE"""),"「大きなおち〇ちんで容赦なく突かれて…何度もイっちゃうぅぅ！」――凄腕猟師“犬飼”に密着取材することになった、新人女子アナ“西田”。初の大仕事に心を躍らせる西田だったが、犬飼に振る舞われた料理を食べ、ムラムラが止まらなくなる謎の発作に襲われてしまう。仕方なくトイレでこっそりオナニーする西田だが、その現場を犬飼に見られてしまい、欲情した二人は本能のまま“交尾”を始める…！ 犬飼の野獣のような種付けピストンに西田は…「こんなのおかしいのに…気持ち良すぎて、えっちな声が止まらないっ！」")</f>
        <v>「大きなおち〇ちんで容赦なく突かれて…何度もイっちゃうぅぅ！」――凄腕猟師“犬飼”に密着取材することになった、新人女子アナ“西田”。初の大仕事に心を躍らせる西田だったが、犬飼に振る舞われた料理を食べ、ムラムラが止まらなくなる謎の発作に襲われてしまう。仕方なくトイレでこっそりオナニーする西田だが、その現場を犬飼に見られてしまい、欲情した二人は本能のまま“交尾”を始める…！ 犬飼の野獣のような種付けピストンに西田は…「こんなのおかしいのに…気持ち良すぎて、えっちな声が止まらないっ！」</v>
      </c>
      <c r="W1643" s="14"/>
      <c r="X1643" s="14" t="str">
        <f>IFERROR(__xludf.DUMMYFUNCTION("""COMPUTED_VALUE"""),"有")</f>
        <v>有</v>
      </c>
      <c r="Y1643" s="8" t="str">
        <f>IFERROR(__xludf.DUMMYFUNCTION("""COMPUTED_VALUE"""),"P10まで")</f>
        <v>P10まで</v>
      </c>
      <c r="Z1643" s="7"/>
      <c r="AA1643" s="7"/>
      <c r="AB1643" s="7"/>
    </row>
    <row r="1644" ht="15.75" customHeight="1">
      <c r="A1644" s="26">
        <f>IFERROR(__xludf.DUMMYFUNCTION("""COMPUTED_VALUE"""),3272.0)</f>
        <v>3272</v>
      </c>
      <c r="B1644" s="22" t="str">
        <f>IFERROR(__xludf.DUMMYFUNCTION("""COMPUTED_VALUE"""),"確定")</f>
        <v>確定</v>
      </c>
      <c r="C1644" s="28">
        <f>IFERROR(__xludf.DUMMYFUNCTION("""COMPUTED_VALUE"""),45393.0)</f>
        <v>45393</v>
      </c>
      <c r="D1644" s="28">
        <f>IFERROR(__xludf.DUMMYFUNCTION("""COMPUTED_VALUE"""),45461.0)</f>
        <v>45461</v>
      </c>
      <c r="E1644" s="26">
        <f>IFERROR(__xludf.DUMMYFUNCTION("""COMPUTED_VALUE"""),297458.0)</f>
        <v>297458</v>
      </c>
      <c r="F1644" s="22" t="str">
        <f>IFERROR(__xludf.DUMMYFUNCTION("""COMPUTED_VALUE"""),"嫌われ者のヤクザですが異世界で救世主になりました～若頭からお嬢への仁義なき溺愛～【分冊版】")</f>
        <v>嫌われ者のヤクザですが異世界で救世主になりました～若頭からお嬢への仁義なき溺愛～【分冊版】</v>
      </c>
      <c r="G1644" s="20" t="str">
        <f>IFERROR(__xludf.DUMMYFUNCTION("""COMPUTED_VALUE"""),"1～3")</f>
        <v>1～3</v>
      </c>
      <c r="H1644" s="22" t="str">
        <f>IFERROR(__xludf.DUMMYFUNCTION("""COMPUTED_VALUE"""),"安堂まめ・真彩-mahya-")</f>
        <v>安堂まめ・真彩-mahya-</v>
      </c>
      <c r="I1644" s="22" t="str">
        <f>IFERROR(__xludf.DUMMYFUNCTION("""COMPUTED_VALUE"""),"女性")</f>
        <v>女性</v>
      </c>
      <c r="J1644" s="22"/>
      <c r="K1644" s="22"/>
      <c r="L1644" s="22" t="str">
        <f>IFERROR(__xludf.DUMMYFUNCTION("""COMPUTED_VALUE"""),"ハーパーコリンズ・ジャパン")</f>
        <v>ハーパーコリンズ・ジャパン</v>
      </c>
      <c r="M1644" s="59">
        <f>IFERROR(__xludf.DUMMYFUNCTION("""COMPUTED_VALUE"""),45497.0)</f>
        <v>45497</v>
      </c>
      <c r="N1644" s="23">
        <f>IFERROR(__xludf.DUMMYFUNCTION("""COMPUTED_VALUE"""),45558.0)</f>
        <v>45558</v>
      </c>
      <c r="O1644" s="20"/>
      <c r="P1644" s="32" t="str">
        <f>IFERROR(__xludf.DUMMYFUNCTION("""COMPUTED_VALUE"""),"否")</f>
        <v>否</v>
      </c>
      <c r="Q1644" s="31"/>
      <c r="R1644" s="22" t="str">
        <f>IFERROR(__xludf.DUMMYFUNCTION("""COMPUTED_VALUE"""),"格納済")</f>
        <v>格納済</v>
      </c>
      <c r="S1644" s="22" t="str">
        <f>IFERROR(__xludf.DUMMYFUNCTION("""COMPUTED_VALUE"""),"20240614_ハーパーコリンズ_嫌われ者のヤクザですが異世界で救世主になりました")</f>
        <v>20240614_ハーパーコリンズ_嫌われ者のヤクザですが異世界で救世主になりました</v>
      </c>
      <c r="T1644" s="22" t="str">
        <f>IFERROR(__xludf.DUMMYFUNCTION("""COMPUTED_VALUE"""),"格納済み")</f>
        <v>格納済み</v>
      </c>
      <c r="U1644" s="15" t="str">
        <f>IFERROR(__xludf.DUMMYFUNCTION("""COMPUTED_VALUE"""),"©安堂まめ・真彩-mahya-／ハーパーコリンズ・ジャパン")</f>
        <v>©安堂まめ・真彩-mahya-／ハーパーコリンズ・ジャパン</v>
      </c>
      <c r="V1644" s="8" t="str">
        <f>IFERROR(__xludf.DUMMYFUNCTION("""COMPUTED_VALUE"""),"ヤクザが組ごと異世界へ！ 使役する神獣は背中に彫られた「アレ」で!?
大鳳組組長の孫娘・ひばりは幼い頃からお世話係だった竜樹に片想いをしていたが
ひばりが中学生になった頃から疎遠になってしまい、想いを伝えられずにいた。
しかし祖父の急死により、ひばりは組長として、竜樹は若頭として再会。
その矢先突然の竜巻により大鳳組全員が全く知らない世界に飛ばされてしまい…!?")</f>
        <v>ヤクザが組ごと異世界へ！ 使役する神獣は背中に彫られた「アレ」で!?
大鳳組組長の孫娘・ひばりは幼い頃からお世話係だった竜樹に片想いをしていたが
ひばりが中学生になった頃から疎遠になってしまい、想いを伝えられずにいた。
しかし祖父の急死により、ひばりは組長として、竜樹は若頭として再会。
その矢先突然の竜巻により大鳳組全員が全く知らない世界に飛ばされてしまい…!?</v>
      </c>
      <c r="W1644" s="14"/>
      <c r="X1644" s="14" t="str">
        <f>IFERROR(__xludf.DUMMYFUNCTION("""COMPUTED_VALUE"""),"有")</f>
        <v>有</v>
      </c>
      <c r="Y1644" s="8" t="str">
        <f>IFERROR(__xludf.DUMMYFUNCTION("""COMPUTED_VALUE"""),"P16まで")</f>
        <v>P16まで</v>
      </c>
      <c r="Z1644" s="7"/>
      <c r="AA1644" s="7"/>
      <c r="AB1644" s="7"/>
    </row>
    <row r="1645" ht="87.0" customHeight="1">
      <c r="A1645" s="26">
        <f>IFERROR(__xludf.DUMMYFUNCTION("""COMPUTED_VALUE"""),3381.0)</f>
        <v>3381</v>
      </c>
      <c r="B1645" s="22" t="str">
        <f>IFERROR(__xludf.DUMMYFUNCTION("""COMPUTED_VALUE"""),"確定")</f>
        <v>確定</v>
      </c>
      <c r="C1645" s="28">
        <f>IFERROR(__xludf.DUMMYFUNCTION("""COMPUTED_VALUE"""),45419.0)</f>
        <v>45419</v>
      </c>
      <c r="D1645" s="28">
        <f>IFERROR(__xludf.DUMMYFUNCTION("""COMPUTED_VALUE"""),45461.0)</f>
        <v>45461</v>
      </c>
      <c r="E1645" s="26">
        <f>IFERROR(__xludf.DUMMYFUNCTION("""COMPUTED_VALUE"""),296417.0)</f>
        <v>296417</v>
      </c>
      <c r="F1645" s="22" t="str">
        <f>IFERROR(__xludf.DUMMYFUNCTION("""COMPUTED_VALUE"""),"巨婚！～森野課長とでっかい恋をする～【マイクロ】")</f>
        <v>巨婚！～森野課長とでっかい恋をする～【マイクロ】</v>
      </c>
      <c r="G1645" s="20" t="str">
        <f>IFERROR(__xludf.DUMMYFUNCTION("""COMPUTED_VALUE"""),"1～4")</f>
        <v>1～4</v>
      </c>
      <c r="H1645" s="22" t="str">
        <f>IFERROR(__xludf.DUMMYFUNCTION("""COMPUTED_VALUE"""),"平野夜子")</f>
        <v>平野夜子</v>
      </c>
      <c r="I1645" s="46" t="str">
        <f>IFERROR(__xludf.DUMMYFUNCTION("""COMPUTED_VALUE"""),"女性")</f>
        <v>女性</v>
      </c>
      <c r="J1645" s="22"/>
      <c r="K1645" s="22"/>
      <c r="L1645" s="22" t="str">
        <f>IFERROR(__xludf.DUMMYFUNCTION("""COMPUTED_VALUE"""),"小学館")</f>
        <v>小学館</v>
      </c>
      <c r="M1645" s="23">
        <f>IFERROR(__xludf.DUMMYFUNCTION("""COMPUTED_VALUE"""),45481.0)</f>
        <v>45481</v>
      </c>
      <c r="N1645" s="47">
        <f>IFERROR(__xludf.DUMMYFUNCTION("""COMPUTED_VALUE"""),45540.0)</f>
        <v>45540</v>
      </c>
      <c r="O1645" s="20"/>
      <c r="P1645" s="34" t="str">
        <f>IFERROR(__xludf.DUMMYFUNCTION("""COMPUTED_VALUE"""),"否")</f>
        <v>否</v>
      </c>
      <c r="Q1645" s="30" t="str">
        <f>IFERROR(__xludf.DUMMYFUNCTION("""COMPUTED_VALUE"""),"広告コミットOK(5/10)&lt;BR&gt;・先行期間：5巻目は1か月
※5話完結予定")</f>
        <v>広告コミットOK(5/10)&lt;BR&gt;・先行期間：5巻目は1か月
※5話完結予定</v>
      </c>
      <c r="R1645" s="22"/>
      <c r="S1645" s="22" t="str">
        <f>IFERROR(__xludf.DUMMYFUNCTION("""COMPUTED_VALUE"""),"20240617_小学館_巨婚！～森野課長とでっかい恋をする～【マイクロ】")</f>
        <v>20240617_小学館_巨婚！～森野課長とでっかい恋をする～【マイクロ】</v>
      </c>
      <c r="T1645" s="22" t="str">
        <f>IFERROR(__xludf.DUMMYFUNCTION("""COMPUTED_VALUE"""),"格納済み")</f>
        <v>格納済み</v>
      </c>
      <c r="U1645" s="15" t="str">
        <f>IFERROR(__xludf.DUMMYFUNCTION("""COMPUTED_VALUE"""),"(C)平野夜子 / 小学館")</f>
        <v>(C)平野夜子 / 小学館</v>
      </c>
      <c r="V1645" s="8" t="str">
        <f>IFERROR(__xludf.DUMMYFUNCTION("""COMPUTED_VALUE"""),"詩（うた）の新しい上司・森野課長は、心もカラダも超ビッグサイズ！　ひょんなことから壁ドンされちゃった詩だけど、至近距離で見る課長の豊満なカラダに思わず手が出てしまい…！？　規格外の超大型ヒーロー登場！")</f>
        <v>詩（うた）の新しい上司・森野課長は、心もカラダも超ビッグサイズ！　ひょんなことから壁ドンされちゃった詩だけど、至近距離で見る課長の豊満なカラダに思わず手が出てしまい…！？　規格外の超大型ヒーロー登場！</v>
      </c>
      <c r="W1645" s="14"/>
      <c r="X1645" s="14" t="str">
        <f>IFERROR(__xludf.DUMMYFUNCTION("""COMPUTED_VALUE"""),"有")</f>
        <v>有</v>
      </c>
      <c r="Y1645" s="8" t="str">
        <f>IFERROR(__xludf.DUMMYFUNCTION("""COMPUTED_VALUE"""),"P13まで")</f>
        <v>P13まで</v>
      </c>
      <c r="Z1645" s="7"/>
      <c r="AA1645" s="7"/>
      <c r="AB1645" s="7"/>
    </row>
    <row r="1646" ht="15.75" customHeight="1">
      <c r="A1646" s="26">
        <f>IFERROR(__xludf.DUMMYFUNCTION("""COMPUTED_VALUE"""),3406.0)</f>
        <v>3406</v>
      </c>
      <c r="B1646" s="22" t="str">
        <f>IFERROR(__xludf.DUMMYFUNCTION("""COMPUTED_VALUE"""),"確定")</f>
        <v>確定</v>
      </c>
      <c r="C1646" s="28">
        <f>IFERROR(__xludf.DUMMYFUNCTION("""COMPUTED_VALUE"""),45421.0)</f>
        <v>45421</v>
      </c>
      <c r="D1646" s="28">
        <f>IFERROR(__xludf.DUMMYFUNCTION("""COMPUTED_VALUE"""),45461.0)</f>
        <v>45461</v>
      </c>
      <c r="E1646" s="26">
        <f>IFERROR(__xludf.DUMMYFUNCTION("""COMPUTED_VALUE"""),296694.0)</f>
        <v>296694</v>
      </c>
      <c r="F1646" s="22" t="str">
        <f>IFERROR(__xludf.DUMMYFUNCTION("""COMPUTED_VALUE"""),"好きを言うのはそのあとで")</f>
        <v>好きを言うのはそのあとで</v>
      </c>
      <c r="G1646" s="11" t="str">
        <f>IFERROR(__xludf.DUMMYFUNCTION("""COMPUTED_VALUE"""),"1～2")</f>
        <v>1～2</v>
      </c>
      <c r="H1646" s="22" t="str">
        <f>IFERROR(__xludf.DUMMYFUNCTION("""COMPUTED_VALUE"""),"卯月しお")</f>
        <v>卯月しお</v>
      </c>
      <c r="I1646" s="22" t="str">
        <f>IFERROR(__xludf.DUMMYFUNCTION("""COMPUTED_VALUE"""),"TL")</f>
        <v>TL</v>
      </c>
      <c r="J1646" s="22"/>
      <c r="K1646" s="22"/>
      <c r="L1646" s="22" t="str">
        <f>IFERROR(__xludf.DUMMYFUNCTION("""COMPUTED_VALUE"""),"大洋図書")</f>
        <v>大洋図書</v>
      </c>
      <c r="M1646" s="59">
        <f>IFERROR(__xludf.DUMMYFUNCTION("""COMPUTED_VALUE"""),45485.0)</f>
        <v>45485</v>
      </c>
      <c r="N1646" s="33">
        <f>IFERROR(__xludf.DUMMYFUNCTION("""COMPUTED_VALUE"""),45575.0)</f>
        <v>45575</v>
      </c>
      <c r="O1646" s="20"/>
      <c r="P1646" s="34" t="str">
        <f>IFERROR(__xludf.DUMMYFUNCTION("""COMPUTED_VALUE"""),"可")</f>
        <v>可</v>
      </c>
      <c r="Q1646" s="30" t="str">
        <f>IFERROR(__xludf.DUMMYFUNCTION("""COMPUTED_VALUE"""),"広告コミットOK(5/14)&lt;BR&gt;著者実績として他社様ですが現在連載中の「春ちゃんは本当に我慢ができない」が非常に好調との事です。また完結しておりますが「イタいのイタいの飛んでいけ～黒歴史持ちOL、執着系イケメンに弱みを握られる～」といった実績を持ちます。&lt;BR&gt;コミックシーモア様 著者作品：https://www.cmoa.jp/author/164074/")</f>
        <v>広告コミットOK(5/14)&lt;BR&gt;著者実績として他社様ですが現在連載中の「春ちゃんは本当に我慢ができない」が非常に好調との事です。また完結しておりますが「イタいのイタいの飛んでいけ～黒歴史持ちOL、執着系イケメンに弱みを握られる～」といった実績を持ちます。&lt;BR&gt;コミックシーモア様 著者作品：https://www.cmoa.jp/author/164074/</v>
      </c>
      <c r="R1646" s="22"/>
      <c r="S1646" s="22" t="str">
        <f>IFERROR(__xludf.DUMMYFUNCTION("""COMPUTED_VALUE"""),"20240617_大洋図書_好きを言うのはそのあとで")</f>
        <v>20240617_大洋図書_好きを言うのはそのあとで</v>
      </c>
      <c r="T1646" s="22" t="str">
        <f>IFERROR(__xludf.DUMMYFUNCTION("""COMPUTED_VALUE"""),"格納済み")</f>
        <v>格納済み</v>
      </c>
      <c r="U1646" s="15" t="str">
        <f>IFERROR(__xludf.DUMMYFUNCTION("""COMPUTED_VALUE"""),"©卯月しお/大洋図書")</f>
        <v>©卯月しお/大洋図書</v>
      </c>
      <c r="V1646" s="8" t="str">
        <f>IFERROR(__xludf.DUMMYFUNCTION("""COMPUTED_VALUE"""),"気づけば30も一歩手前、酒造メーカーに勤めるバリキャリOLの一妃（いつき）は
仕事もプライベートも充実してるのに、なぜか恋愛だけが上手くいかない…。
中途半端に告白して、両片思いだと思っていた同期の五郎（ごろう）にも
フラレちゃったし…「私って女としての魅力がないのかな…。」と悩む日々。
ある日、自信喪失気味の一妃は、それでも五郎への気持ちを諦められず、
お酒の力を借りて大胆な行動に出ることに…！
「ねぇ…私に魅力があると思ってるなら、エッチしてくれる？」
一妃の突然の問いか"&amp;"けに、五郎は驚きと戸惑いを隠せない…。
果たして、一妃の恋の行方は…！？")</f>
        <v>気づけば30も一歩手前、酒造メーカーに勤めるバリキャリOLの一妃（いつき）は
仕事もプライベートも充実してるのに、なぜか恋愛だけが上手くいかない…。
中途半端に告白して、両片思いだと思っていた同期の五郎（ごろう）にも
フラレちゃったし…「私って女としての魅力がないのかな…。」と悩む日々。
ある日、自信喪失気味の一妃は、それでも五郎への気持ちを諦められず、
お酒の力を借りて大胆な行動に出ることに…！
「ねぇ…私に魅力があると思ってるなら、エッチしてくれる？」
一妃の突然の問いかけに、五郎は驚きと戸惑いを隠せない…。
果たして、一妃の恋の行方は…！？</v>
      </c>
      <c r="W1646" s="14"/>
      <c r="X1646" s="14" t="str">
        <f>IFERROR(__xludf.DUMMYFUNCTION("""COMPUTED_VALUE"""),"有")</f>
        <v>有</v>
      </c>
      <c r="Y1646" s="8" t="str">
        <f>IFERROR(__xludf.DUMMYFUNCTION("""COMPUTED_VALUE"""),"P6まで")</f>
        <v>P6まで</v>
      </c>
      <c r="Z1646" s="7"/>
      <c r="AA1646" s="7"/>
      <c r="AB1646" s="7"/>
    </row>
    <row r="1647" ht="15.75" customHeight="1">
      <c r="A1647" s="26">
        <f>IFERROR(__xludf.DUMMYFUNCTION("""COMPUTED_VALUE"""),3423.0)</f>
        <v>3423</v>
      </c>
      <c r="B1647" s="22" t="str">
        <f>IFERROR(__xludf.DUMMYFUNCTION("""COMPUTED_VALUE"""),"確定")</f>
        <v>確定</v>
      </c>
      <c r="C1647" s="28">
        <f>IFERROR(__xludf.DUMMYFUNCTION("""COMPUTED_VALUE"""),45426.0)</f>
        <v>45426</v>
      </c>
      <c r="D1647" s="28">
        <f>IFERROR(__xludf.DUMMYFUNCTION("""COMPUTED_VALUE"""),45461.0)</f>
        <v>45461</v>
      </c>
      <c r="E1647" s="26">
        <f>IFERROR(__xludf.DUMMYFUNCTION("""COMPUTED_VALUE"""),296958.0)</f>
        <v>296958</v>
      </c>
      <c r="F1647" s="22" t="str">
        <f>IFERROR(__xludf.DUMMYFUNCTION("""COMPUTED_VALUE"""),"フェロウ・イン・クライム")</f>
        <v>フェロウ・イン・クライム</v>
      </c>
      <c r="G1647" s="11" t="str">
        <f>IFERROR(__xludf.DUMMYFUNCTION("""COMPUTED_VALUE"""),"1～2")</f>
        <v>1～2</v>
      </c>
      <c r="H1647" s="22" t="str">
        <f>IFERROR(__xludf.DUMMYFUNCTION("""COMPUTED_VALUE"""),"桂馬びんぞこ")</f>
        <v>桂馬びんぞこ</v>
      </c>
      <c r="I1647" s="22" t="str">
        <f>IFERROR(__xludf.DUMMYFUNCTION("""COMPUTED_VALUE"""),"BL")</f>
        <v>BL</v>
      </c>
      <c r="J1647" s="22"/>
      <c r="K1647" s="22"/>
      <c r="L1647" s="22" t="str">
        <f>IFERROR(__xludf.DUMMYFUNCTION("""COMPUTED_VALUE"""),"CLLENN")</f>
        <v>CLLENN</v>
      </c>
      <c r="M1647" s="23">
        <f>IFERROR(__xludf.DUMMYFUNCTION("""COMPUTED_VALUE"""),45489.0)</f>
        <v>45489</v>
      </c>
      <c r="N1647" s="59">
        <f>IFERROR(__xludf.DUMMYFUNCTION("""COMPUTED_VALUE"""),45551.0)</f>
        <v>45551</v>
      </c>
      <c r="O1647" s="20"/>
      <c r="P1647" s="34" t="str">
        <f>IFERROR(__xludf.DUMMYFUNCTION("""COMPUTED_VALUE"""),"可")</f>
        <v>可</v>
      </c>
      <c r="Q1647" s="31" t="str">
        <f>IFERROR(__xludf.DUMMYFUNCTION("""COMPUTED_VALUE"""),"広告コミットOK(5/20)")</f>
        <v>広告コミットOK(5/20)</v>
      </c>
      <c r="R1647" s="22" t="str">
        <f>IFERROR(__xludf.DUMMYFUNCTION("""COMPUTED_VALUE"""),"格納済")</f>
        <v>格納済</v>
      </c>
      <c r="S1647" s="22" t="str">
        <f>IFERROR(__xludf.DUMMYFUNCTION("""COMPUTED_VALUE"""),"20240618_CLLENN_フェロウ・イン・クライム")</f>
        <v>20240618_CLLENN_フェロウ・イン・クライム</v>
      </c>
      <c r="T1647" s="22" t="str">
        <f>IFERROR(__xludf.DUMMYFUNCTION("""COMPUTED_VALUE"""),"格納済み")</f>
        <v>格納済み</v>
      </c>
      <c r="U1647" s="15" t="str">
        <f>IFERROR(__xludf.DUMMYFUNCTION("""COMPUTED_VALUE"""),"ⓒ桂馬びんぞこ/CLLENN")</f>
        <v>ⓒ桂馬びんぞこ/CLLENN</v>
      </c>
      <c r="V1647" s="8" t="str">
        <f>IFERROR(__xludf.DUMMYFUNCTION("""COMPUTED_VALUE"""),"【俺の言うこと聞くなら生かしてやってもいいぜ】34歳、腕っぷしの強さだけで裏社会を生き抜いてきた影虎。付き人兼愛人を務めていた会長の死去を機に、組での立場が危うくなっていた。破門を回避しようと慣れないシノギを始めるが、商売センスのなさゆえに手も足もでない日々。そんなある日、知人から痛めつけて欲しいヤツがいると頼まれる。そこには、殴られても飄々とした態度をとる大学生・ 湊馬の姿が……。「今ここで俺にボコボコにされるか、×××出すか選べ」 交わるはずのなかった2人の運命が交差し、狂い出す。この先にあるのは救済"&amp;"か破滅か、それとも―。《今時大学生×愛を知らない昔気質のヤクザ、バイオレンス裏社会ラブ》")</f>
        <v>【俺の言うこと聞くなら生かしてやってもいいぜ】34歳、腕っぷしの強さだけで裏社会を生き抜いてきた影虎。付き人兼愛人を務めていた会長の死去を機に、組での立場が危うくなっていた。破門を回避しようと慣れないシノギを始めるが、商売センスのなさゆえに手も足もでない日々。そんなある日、知人から痛めつけて欲しいヤツがいると頼まれる。そこには、殴られても飄々とした態度をとる大学生・ 湊馬の姿が……。「今ここで俺にボコボコにされるか、×××出すか選べ」 交わるはずのなかった2人の運命が交差し、狂い出す。この先にあるのは救済か破滅か、それとも―。《今時大学生×愛を知らない昔気質のヤクザ、バイオレンス裏社会ラブ》</v>
      </c>
      <c r="W1647" s="14"/>
      <c r="X1647" s="14" t="str">
        <f>IFERROR(__xludf.DUMMYFUNCTION("""COMPUTED_VALUE"""),"有")</f>
        <v>有</v>
      </c>
      <c r="Y1647" s="8" t="str">
        <f>IFERROR(__xludf.DUMMYFUNCTION("""COMPUTED_VALUE"""),"P10まで")</f>
        <v>P10まで</v>
      </c>
      <c r="Z1647" s="7"/>
      <c r="AA1647" s="7"/>
      <c r="AB1647" s="7"/>
    </row>
    <row r="1648" ht="15.75" customHeight="1">
      <c r="A1648" s="26">
        <f>IFERROR(__xludf.DUMMYFUNCTION("""COMPUTED_VALUE"""),3479.0)</f>
        <v>3479</v>
      </c>
      <c r="B1648" s="22" t="str">
        <f>IFERROR(__xludf.DUMMYFUNCTION("""COMPUTED_VALUE"""),"確定")</f>
        <v>確定</v>
      </c>
      <c r="C1648" s="28">
        <f>IFERROR(__xludf.DUMMYFUNCTION("""COMPUTED_VALUE"""),45433.0)</f>
        <v>45433</v>
      </c>
      <c r="D1648" s="28">
        <f>IFERROR(__xludf.DUMMYFUNCTION("""COMPUTED_VALUE"""),45461.0)</f>
        <v>45461</v>
      </c>
      <c r="E1648" s="26">
        <f>IFERROR(__xludf.DUMMYFUNCTION("""COMPUTED_VALUE"""),296832.0)</f>
        <v>296832</v>
      </c>
      <c r="F1648" s="22" t="str">
        <f>IFERROR(__xludf.DUMMYFUNCTION("""COMPUTED_VALUE"""),"ふたりじめアンダードッグ【HQカラー】")</f>
        <v>ふたりじめアンダードッグ【HQカラー】</v>
      </c>
      <c r="G1648" s="11" t="str">
        <f>IFERROR(__xludf.DUMMYFUNCTION("""COMPUTED_VALUE"""),"1～2")</f>
        <v>1～2</v>
      </c>
      <c r="H1648" s="22" t="str">
        <f>IFERROR(__xludf.DUMMYFUNCTION("""COMPUTED_VALUE"""),"野宮ともか")</f>
        <v>野宮ともか</v>
      </c>
      <c r="I1648" s="22" t="str">
        <f>IFERROR(__xludf.DUMMYFUNCTION("""COMPUTED_VALUE"""),"BL")</f>
        <v>BL</v>
      </c>
      <c r="J1648" s="22"/>
      <c r="K1648" s="22"/>
      <c r="L1648" s="22" t="str">
        <f>IFERROR(__xludf.DUMMYFUNCTION("""COMPUTED_VALUE"""),"CLLENN")</f>
        <v>CLLENN</v>
      </c>
      <c r="M1648" s="23">
        <f>IFERROR(__xludf.DUMMYFUNCTION("""COMPUTED_VALUE"""),45479.0)</f>
        <v>45479</v>
      </c>
      <c r="N1648" s="47">
        <f>IFERROR(__xludf.DUMMYFUNCTION("""COMPUTED_VALUE"""),45541.0)</f>
        <v>45541</v>
      </c>
      <c r="O1648" s="20"/>
      <c r="P1648" s="34" t="str">
        <f>IFERROR(__xludf.DUMMYFUNCTION("""COMPUTED_VALUE"""),"可")</f>
        <v>可</v>
      </c>
      <c r="Q1648" s="31" t="str">
        <f>IFERROR(__xludf.DUMMYFUNCTION("""COMPUTED_VALUE"""),"広告コミットOK(5/31)")</f>
        <v>広告コミットOK(5/31)</v>
      </c>
      <c r="R1648" s="22" t="str">
        <f>IFERROR(__xludf.DUMMYFUNCTION("""COMPUTED_VALUE"""),"納品済み")</f>
        <v>納品済み</v>
      </c>
      <c r="S1648" s="22" t="str">
        <f>IFERROR(__xludf.DUMMYFUNCTION("""COMPUTED_VALUE"""),"20240618_CLLENN_ふたりじめアンダードッグ【HQカラー】")</f>
        <v>20240618_CLLENN_ふたりじめアンダードッグ【HQカラー】</v>
      </c>
      <c r="T1648" s="22" t="str">
        <f>IFERROR(__xludf.DUMMYFUNCTION("""COMPUTED_VALUE"""),"格納済み")</f>
        <v>格納済み</v>
      </c>
      <c r="U1648" s="15" t="str">
        <f>IFERROR(__xludf.DUMMYFUNCTION("""COMPUTED_VALUE"""),"ⓒ野宮ともか/CLLENN")</f>
        <v>ⓒ野宮ともか/CLLENN</v>
      </c>
      <c r="V1648" s="8" t="str">
        <f>IFERROR(__xludf.DUMMYFUNCTION("""COMPUTED_VALUE"""),"【デジタル着色によるハイクオリティ・フルカラー版！】「だめ…しんじゃう…っ」イケメン双子に何度も何度もイカされて…これは俺への復讐なのか！？――父の会社が倒産し、貧乏アルバイト生活に転落した睦月（むつき）の前に突然現れたのは、大人気双子モデル。おいしいバイトの話に飛びつき、タワマンで住み込みで働くことになった睦月だったが、なんと契約内容には性処理も含まれていて…？しかもこの双子、子どものころに睦月がイジワルしてよく泣かせていた二人で――首輪をつけられ無理やり全身かわいがられて、復讐（？）と調教の日々が始ま"&amp;"る。")</f>
        <v>【デジタル着色によるハイクオリティ・フルカラー版！】「だめ…しんじゃう…っ」イケメン双子に何度も何度もイカされて…これは俺への復讐なのか！？――父の会社が倒産し、貧乏アルバイト生活に転落した睦月（むつき）の前に突然現れたのは、大人気双子モデル。おいしいバイトの話に飛びつき、タワマンで住み込みで働くことになった睦月だったが、なんと契約内容には性処理も含まれていて…？しかもこの双子、子どものころに睦月がイジワルしてよく泣かせていた二人で――首輪をつけられ無理やり全身かわいがられて、復讐（？）と調教の日々が始まる。</v>
      </c>
      <c r="W1648" s="8"/>
      <c r="X1648" s="14" t="str">
        <f>IFERROR(__xludf.DUMMYFUNCTION("""COMPUTED_VALUE"""),"有")</f>
        <v>有</v>
      </c>
      <c r="Y1648" s="8" t="str">
        <f>IFERROR(__xludf.DUMMYFUNCTION("""COMPUTED_VALUE"""),"2024/7/19まで立ち読み増量P18まで")</f>
        <v>2024/7/19まで立ち読み増量P18まで</v>
      </c>
      <c r="Z1648" s="7"/>
      <c r="AA1648" s="7"/>
      <c r="AB1648" s="7"/>
    </row>
    <row r="1649" ht="15.75" customHeight="1">
      <c r="A1649" s="26">
        <f>IFERROR(__xludf.DUMMYFUNCTION("""COMPUTED_VALUE"""),3574.0)</f>
        <v>3574</v>
      </c>
      <c r="B1649" s="22" t="str">
        <f>IFERROR(__xludf.DUMMYFUNCTION("""COMPUTED_VALUE"""),"確定")</f>
        <v>確定</v>
      </c>
      <c r="C1649" s="28">
        <f>IFERROR(__xludf.DUMMYFUNCTION("""COMPUTED_VALUE"""),45447.0)</f>
        <v>45447</v>
      </c>
      <c r="D1649" s="28">
        <f>IFERROR(__xludf.DUMMYFUNCTION("""COMPUTED_VALUE"""),45461.0)</f>
        <v>45461</v>
      </c>
      <c r="E1649" s="26">
        <f>IFERROR(__xludf.DUMMYFUNCTION("""COMPUTED_VALUE"""),296861.0)</f>
        <v>296861</v>
      </c>
      <c r="F1649" s="22" t="str">
        <f>IFERROR(__xludf.DUMMYFUNCTION("""COMPUTED_VALUE"""),"noicomi後宮の生贄妃～どうせ死ぬのなら、皇帝に愛されます～")</f>
        <v>noicomi後宮の生贄妃～どうせ死ぬのなら、皇帝に愛されます～</v>
      </c>
      <c r="G1649" s="20" t="str">
        <f>IFERROR(__xludf.DUMMYFUNCTION("""COMPUTED_VALUE"""),"1～5")</f>
        <v>1～5</v>
      </c>
      <c r="H1649" s="22" t="str">
        <f>IFERROR(__xludf.DUMMYFUNCTION("""COMPUTED_VALUE"""),"玉樹庵（作画）、望月くらげ（原作）")</f>
        <v>玉樹庵（作画）、望月くらげ（原作）</v>
      </c>
      <c r="I1649" s="22" t="str">
        <f>IFERROR(__xludf.DUMMYFUNCTION("""COMPUTED_VALUE"""),"少女")</f>
        <v>少女</v>
      </c>
      <c r="J1649" s="22"/>
      <c r="K1649" s="22"/>
      <c r="L1649" s="22" t="str">
        <f>IFERROR(__xludf.DUMMYFUNCTION("""COMPUTED_VALUE"""),"スターツ出版")</f>
        <v>スターツ出版</v>
      </c>
      <c r="M1649" s="59">
        <f>IFERROR(__xludf.DUMMYFUNCTION("""COMPUTED_VALUE"""),45485.0)</f>
        <v>45485</v>
      </c>
      <c r="N1649" s="59">
        <f>IFERROR(__xludf.DUMMYFUNCTION("""COMPUTED_VALUE"""),45547.0)</f>
        <v>45547</v>
      </c>
      <c r="O1649" s="20"/>
      <c r="P1649" s="34" t="str">
        <f>IFERROR(__xludf.DUMMYFUNCTION("""COMPUTED_VALUE"""),"可")</f>
        <v>可</v>
      </c>
      <c r="Q1649" s="30" t="str">
        <f>IFERROR(__xludf.DUMMYFUNCTION("""COMPUTED_VALUE"""),"広告コミットOK（6/6）")</f>
        <v>広告コミットOK（6/6）</v>
      </c>
      <c r="R1649" s="22"/>
      <c r="S1649" s="22" t="str">
        <f>IFERROR(__xludf.DUMMYFUNCTION("""COMPUTED_VALUE"""),"20240604_スターツ出版_後宮の生贄妃")</f>
        <v>20240604_スターツ出版_後宮の生贄妃</v>
      </c>
      <c r="T1649" s="22" t="str">
        <f>IFERROR(__xludf.DUMMYFUNCTION("""COMPUTED_VALUE"""),"格納済み")</f>
        <v>格納済み</v>
      </c>
      <c r="U1649" s="15" t="str">
        <f>IFERROR(__xludf.DUMMYFUNCTION("""COMPUTED_VALUE"""),"（C）Iori Tamaki・Kurage Mochizuki/スターツ出版")</f>
        <v>（C）Iori Tamaki・Kurage Mochizuki/スターツ出版</v>
      </c>
      <c r="V1649" s="8" t="str">
        <f>IFERROR(__xludf.DUMMYFUNCTION("""COMPUTED_VALUE"""),"「私は今日から、死の皇帝の生贄となる――」これは、呪われた少女が誰よりも幸せな人生を歩むための物語――。
◆◆◆
人の死を予知することができる春麗は、呪われた目を持つ少女として家族に虐げられてきた。そんなある日、周りのものが次々と死ぬという噂の皇帝・青藍のもとへ輿入れが決まる。「春麗なら死んでもいい」――そう考えた実の父親に『生贄』という形で後宮入りさせられることになった春麗。「いつ死んでもいい」と思う春麗だったが、春麗の死を予知できる能力を知った青藍に興味を持たれて――。
◆◆◆
陰謀渦巻く後宮"&amp;"で、呪われた少女が皇帝を愛し、愛され、幸せをつかみ取る後宮シンデレラストーリー!!(この作品は電子コミック誌noicomi vol.118に収録されています。重複購入にご注意ください)")</f>
        <v>「私は今日から、死の皇帝の生贄となる――」これは、呪われた少女が誰よりも幸せな人生を歩むための物語――。
◆◆◆
人の死を予知することができる春麗は、呪われた目を持つ少女として家族に虐げられてきた。そんなある日、周りのものが次々と死ぬという噂の皇帝・青藍のもとへ輿入れが決まる。「春麗なら死んでもいい」――そう考えた実の父親に『生贄』という形で後宮入りさせられることになった春麗。「いつ死んでもいい」と思う春麗だったが、春麗の死を予知できる能力を知った青藍に興味を持たれて――。
◆◆◆
陰謀渦巻く後宮で、呪われた少女が皇帝を愛し、愛され、幸せをつかみ取る後宮シンデレラストーリー!!(この作品は電子コミック誌noicomi vol.118に収録されています。重複購入にご注意ください)</v>
      </c>
      <c r="W1649" s="14"/>
      <c r="X1649" s="14" t="str">
        <f>IFERROR(__xludf.DUMMYFUNCTION("""COMPUTED_VALUE"""),"有")</f>
        <v>有</v>
      </c>
      <c r="Y1649" s="8" t="str">
        <f>IFERROR(__xludf.DUMMYFUNCTION("""COMPUTED_VALUE"""),"P7まで")</f>
        <v>P7まで</v>
      </c>
      <c r="Z1649" s="7"/>
      <c r="AA1649" s="7"/>
      <c r="AB1649" s="7"/>
    </row>
    <row r="1650" ht="15.75" customHeight="1">
      <c r="A1650" s="26">
        <f>IFERROR(__xludf.DUMMYFUNCTION("""COMPUTED_VALUE"""),3642.0)</f>
        <v>3642</v>
      </c>
      <c r="B1650" s="22" t="str">
        <f>IFERROR(__xludf.DUMMYFUNCTION("""COMPUTED_VALUE"""),"確定")</f>
        <v>確定</v>
      </c>
      <c r="C1650" s="28">
        <f>IFERROR(__xludf.DUMMYFUNCTION("""COMPUTED_VALUE"""),45460.0)</f>
        <v>45460</v>
      </c>
      <c r="D1650" s="28">
        <f>IFERROR(__xludf.DUMMYFUNCTION("""COMPUTED_VALUE"""),45460.0)</f>
        <v>45460</v>
      </c>
      <c r="E1650" s="26">
        <f>IFERROR(__xludf.DUMMYFUNCTION("""COMPUTED_VALUE"""),298073.0)</f>
        <v>298073</v>
      </c>
      <c r="F1650" s="22" t="str">
        <f>IFERROR(__xludf.DUMMYFUNCTION("""COMPUTED_VALUE"""),"このモフモフと王子を手懐けられるのは私だけですわ！")</f>
        <v>このモフモフと王子を手懐けられるのは私だけですわ！</v>
      </c>
      <c r="G1650" s="11" t="str">
        <f>IFERROR(__xludf.DUMMYFUNCTION("""COMPUTED_VALUE"""),"1～2")</f>
        <v>1～2</v>
      </c>
      <c r="H1650" s="22" t="str">
        <f>IFERROR(__xludf.DUMMYFUNCTION("""COMPUTED_VALUE"""),"光星影月／COMIC ROOM")</f>
        <v>光星影月／COMIC ROOM</v>
      </c>
      <c r="I1650" s="22" t="str">
        <f>IFERROR(__xludf.DUMMYFUNCTION("""COMPUTED_VALUE"""),"女性")</f>
        <v>女性</v>
      </c>
      <c r="J1650" s="22"/>
      <c r="K1650" s="22"/>
      <c r="L1650" s="22" t="str">
        <f>IFERROR(__xludf.DUMMYFUNCTION("""COMPUTED_VALUE"""),"コミックルーム")</f>
        <v>コミックルーム</v>
      </c>
      <c r="M1650" s="23">
        <f>IFERROR(__xludf.DUMMYFUNCTION("""COMPUTED_VALUE"""),45488.0)</f>
        <v>45488</v>
      </c>
      <c r="N1650" s="33">
        <f>IFERROR(__xludf.DUMMYFUNCTION("""COMPUTED_VALUE"""),45579.0)</f>
        <v>45579</v>
      </c>
      <c r="O1650" s="20"/>
      <c r="P1650" s="32" t="str">
        <f>IFERROR(__xludf.DUMMYFUNCTION("""COMPUTED_VALUE"""),"可")</f>
        <v>可</v>
      </c>
      <c r="Q1650" s="30"/>
      <c r="R1650" s="22"/>
      <c r="S1650" s="22" t="str">
        <f>IFERROR(__xludf.DUMMYFUNCTION("""COMPUTED_VALUE"""),"20240617_コミックルーム_このモフモフと王子を手懐けられるのは私だけですわ！")</f>
        <v>20240617_コミックルーム_このモフモフと王子を手懐けられるのは私だけですわ！</v>
      </c>
      <c r="T1650" s="22" t="str">
        <f>IFERROR(__xludf.DUMMYFUNCTION("""COMPUTED_VALUE"""),"格納済み")</f>
        <v>格納済み</v>
      </c>
      <c r="U1650" s="15" t="str">
        <f>IFERROR(__xludf.DUMMYFUNCTION("""COMPUTED_VALUE"""),"©光星影月／COMIC ROOM")</f>
        <v>©光星影月／COMIC ROOM</v>
      </c>
      <c r="V1650" s="8" t="str">
        <f>IFERROR(__xludf.DUMMYFUNCTION("""COMPUTED_VALUE"""),"幼い頃から巨獣と呼ばれる巨大な動物に懐かれる体質を持ち、社交界で一目置かれていた子爵令嬢のメル。
しかしある日、何故か巨獣から攻撃されたことをきっかけにメルは信用を失い、婚約破棄をされてしまう。
更にはあらぬ噂をされ、友人達も離れてしまい、彼女は人目を避けるように田舎へと引っ越した。
そんな中、メルは巨獣に追いかけられている青年ノインと出会う。
彼女と同じく巨獣好きであるノインは「君の全てを見せてほしい」と彼女に巨獣研究の協力を持ちかけ・・！？
※本作品の１・２巻は『溺れるほど愛されて、幸せにな"&amp;"ってみせますわ！アンソロジーコミック５巻』の収録作品です。")</f>
        <v>幼い頃から巨獣と呼ばれる巨大な動物に懐かれる体質を持ち、社交界で一目置かれていた子爵令嬢のメル。
しかしある日、何故か巨獣から攻撃されたことをきっかけにメルは信用を失い、婚約破棄をされてしまう。
更にはあらぬ噂をされ、友人達も離れてしまい、彼女は人目を避けるように田舎へと引っ越した。
そんな中、メルは巨獣に追いかけられている青年ノインと出会う。
彼女と同じく巨獣好きであるノインは「君の全てを見せてほしい」と彼女に巨獣研究の協力を持ちかけ・・！？
※本作品の１・２巻は『溺れるほど愛されて、幸せになってみせますわ！アンソロジーコミック５巻』の収録作品です。</v>
      </c>
      <c r="W1650" s="14"/>
      <c r="X1650" s="14" t="str">
        <f>IFERROR(__xludf.DUMMYFUNCTION("""COMPUTED_VALUE"""),"有")</f>
        <v>有</v>
      </c>
      <c r="Y1650" s="8" t="str">
        <f>IFERROR(__xludf.DUMMYFUNCTION("""COMPUTED_VALUE"""),"P9まで")</f>
        <v>P9まで</v>
      </c>
      <c r="Z1650" s="7"/>
      <c r="AA1650" s="7"/>
      <c r="AB1650" s="7"/>
    </row>
    <row r="1651" ht="15.75" customHeight="1">
      <c r="A1651" s="26">
        <f>IFERROR(__xludf.DUMMYFUNCTION("""COMPUTED_VALUE"""),3643.0)</f>
        <v>3643</v>
      </c>
      <c r="B1651" s="22" t="str">
        <f>IFERROR(__xludf.DUMMYFUNCTION("""COMPUTED_VALUE"""),"確定")</f>
        <v>確定</v>
      </c>
      <c r="C1651" s="28">
        <f>IFERROR(__xludf.DUMMYFUNCTION("""COMPUTED_VALUE"""),45460.0)</f>
        <v>45460</v>
      </c>
      <c r="D1651" s="28">
        <f>IFERROR(__xludf.DUMMYFUNCTION("""COMPUTED_VALUE"""),45460.0)</f>
        <v>45460</v>
      </c>
      <c r="E1651" s="26">
        <f>IFERROR(__xludf.DUMMYFUNCTION("""COMPUTED_VALUE"""),297562.0)</f>
        <v>297562</v>
      </c>
      <c r="F1651" s="22" t="str">
        <f>IFERROR(__xludf.DUMMYFUNCTION("""COMPUTED_VALUE"""),"人道に反すると言われましたが、一途な愛で幸せになりました！")</f>
        <v>人道に反すると言われましたが、一途な愛で幸せになりました！</v>
      </c>
      <c r="G1651" s="11" t="str">
        <f>IFERROR(__xludf.DUMMYFUNCTION("""COMPUTED_VALUE"""),"1～2")</f>
        <v>1～2</v>
      </c>
      <c r="H1651" s="22" t="str">
        <f>IFERROR(__xludf.DUMMYFUNCTION("""COMPUTED_VALUE"""),"さぶまりん／COMIC ROOM")</f>
        <v>さぶまりん／COMIC ROOM</v>
      </c>
      <c r="I1651" s="22" t="str">
        <f>IFERROR(__xludf.DUMMYFUNCTION("""COMPUTED_VALUE"""),"女性")</f>
        <v>女性</v>
      </c>
      <c r="J1651" s="22"/>
      <c r="K1651" s="22"/>
      <c r="L1651" s="22" t="str">
        <f>IFERROR(__xludf.DUMMYFUNCTION("""COMPUTED_VALUE"""),"コミックルーム")</f>
        <v>コミックルーム</v>
      </c>
      <c r="M1651" s="23">
        <f>IFERROR(__xludf.DUMMYFUNCTION("""COMPUTED_VALUE"""),45488.0)</f>
        <v>45488</v>
      </c>
      <c r="N1651" s="33">
        <f>IFERROR(__xludf.DUMMYFUNCTION("""COMPUTED_VALUE"""),45579.0)</f>
        <v>45579</v>
      </c>
      <c r="O1651" s="20"/>
      <c r="P1651" s="32" t="str">
        <f>IFERROR(__xludf.DUMMYFUNCTION("""COMPUTED_VALUE"""),"可")</f>
        <v>可</v>
      </c>
      <c r="Q1651" s="30"/>
      <c r="R1651" s="22"/>
      <c r="S1651" s="22" t="str">
        <f>IFERROR(__xludf.DUMMYFUNCTION("""COMPUTED_VALUE"""),"20240617_コミックルーム_人道に反すると言われましたが、一途な愛で幸せになりました！")</f>
        <v>20240617_コミックルーム_人道に反すると言われましたが、一途な愛で幸せになりました！</v>
      </c>
      <c r="T1651" s="22" t="str">
        <f>IFERROR(__xludf.DUMMYFUNCTION("""COMPUTED_VALUE"""),"格納済み")</f>
        <v>格納済み</v>
      </c>
      <c r="U1651" s="15" t="str">
        <f>IFERROR(__xludf.DUMMYFUNCTION("""COMPUTED_VALUE"""),"©submarine／COMIC ROOM")</f>
        <v>©submarine／COMIC ROOM</v>
      </c>
      <c r="V1651" s="8" t="str">
        <f>IFERROR(__xludf.DUMMYFUNCTION("""COMPUTED_VALUE"""),"王立学園に通うソフィアは、光魔法使いリリアによって悪女に仕立て上げられていた。
謂れのないイジメを指摘され、人道に反するとして婚約破棄をされ、彼女は王都から追放されてしまう。
最後に、唯一自身を信じてくれた青年アレンに別れを告げ、王都を去るソフィア。
やがて彼女は修道女となり、厳しい生活を送る事となる。
しかし、村人とも打ち解け、偶に訪れるアレンとの会話に、いつの日か彼女はその生活に幸せを見出していた。
そんなある日、元婚約者が再び彼女の前に現れて・・・！？
※本作品の１・２巻は『溺れるほど愛"&amp;"されて、幸せになってみせますわ！アンソロジーコミック５巻』の収録作品です。")</f>
        <v>王立学園に通うソフィアは、光魔法使いリリアによって悪女に仕立て上げられていた。
謂れのないイジメを指摘され、人道に反するとして婚約破棄をされ、彼女は王都から追放されてしまう。
最後に、唯一自身を信じてくれた青年アレンに別れを告げ、王都を去るソフィア。
やがて彼女は修道女となり、厳しい生活を送る事となる。
しかし、村人とも打ち解け、偶に訪れるアレンとの会話に、いつの日か彼女はその生活に幸せを見出していた。
そんなある日、元婚約者が再び彼女の前に現れて・・・！？
※本作品の１・２巻は『溺れるほど愛されて、幸せになってみせますわ！アンソロジーコミック５巻』の収録作品です。</v>
      </c>
      <c r="W1651" s="14"/>
      <c r="X1651" s="14" t="str">
        <f>IFERROR(__xludf.DUMMYFUNCTION("""COMPUTED_VALUE"""),"有")</f>
        <v>有</v>
      </c>
      <c r="Y1651" s="8" t="str">
        <f>IFERROR(__xludf.DUMMYFUNCTION("""COMPUTED_VALUE"""),"P10まで")</f>
        <v>P10まで</v>
      </c>
      <c r="Z1651" s="7"/>
      <c r="AA1651" s="7"/>
      <c r="AB1651" s="7"/>
    </row>
    <row r="1652" ht="15.75" customHeight="1">
      <c r="A1652" s="26">
        <f>IFERROR(__xludf.DUMMYFUNCTION("""COMPUTED_VALUE"""),3644.0)</f>
        <v>3644</v>
      </c>
      <c r="B1652" s="22" t="str">
        <f>IFERROR(__xludf.DUMMYFUNCTION("""COMPUTED_VALUE"""),"確定")</f>
        <v>確定</v>
      </c>
      <c r="C1652" s="28">
        <f>IFERROR(__xludf.DUMMYFUNCTION("""COMPUTED_VALUE"""),45460.0)</f>
        <v>45460</v>
      </c>
      <c r="D1652" s="28">
        <f>IFERROR(__xludf.DUMMYFUNCTION("""COMPUTED_VALUE"""),45460.0)</f>
        <v>45460</v>
      </c>
      <c r="E1652" s="26">
        <f>IFERROR(__xludf.DUMMYFUNCTION("""COMPUTED_VALUE"""),297563.0)</f>
        <v>297563</v>
      </c>
      <c r="F1652" s="22" t="str">
        <f>IFERROR(__xludf.DUMMYFUNCTION("""COMPUTED_VALUE"""),"婚約破棄されたいのに、あなたが理想の殿方すぎて困ります！")</f>
        <v>婚約破棄されたいのに、あなたが理想の殿方すぎて困ります！</v>
      </c>
      <c r="G1652" s="11" t="str">
        <f>IFERROR(__xludf.DUMMYFUNCTION("""COMPUTED_VALUE"""),"1～2")</f>
        <v>1～2</v>
      </c>
      <c r="H1652" s="22" t="str">
        <f>IFERROR(__xludf.DUMMYFUNCTION("""COMPUTED_VALUE"""),"宙乃勿子／COMIC ROOM")</f>
        <v>宙乃勿子／COMIC ROOM</v>
      </c>
      <c r="I1652" s="22" t="str">
        <f>IFERROR(__xludf.DUMMYFUNCTION("""COMPUTED_VALUE"""),"女性")</f>
        <v>女性</v>
      </c>
      <c r="J1652" s="22"/>
      <c r="K1652" s="22"/>
      <c r="L1652" s="22" t="str">
        <f>IFERROR(__xludf.DUMMYFUNCTION("""COMPUTED_VALUE"""),"コミックルーム")</f>
        <v>コミックルーム</v>
      </c>
      <c r="M1652" s="23">
        <f>IFERROR(__xludf.DUMMYFUNCTION("""COMPUTED_VALUE"""),45488.0)</f>
        <v>45488</v>
      </c>
      <c r="N1652" s="33">
        <f>IFERROR(__xludf.DUMMYFUNCTION("""COMPUTED_VALUE"""),45579.0)</f>
        <v>45579</v>
      </c>
      <c r="O1652" s="20"/>
      <c r="P1652" s="32" t="str">
        <f>IFERROR(__xludf.DUMMYFUNCTION("""COMPUTED_VALUE"""),"否")</f>
        <v>否</v>
      </c>
      <c r="Q1652" s="30"/>
      <c r="R1652" s="22"/>
      <c r="S1652" s="22" t="str">
        <f>IFERROR(__xludf.DUMMYFUNCTION("""COMPUTED_VALUE"""),"20240617_コミックルーム_婚約破棄されたいのに、あなたが理想の殿方すぎて困ります！")</f>
        <v>20240617_コミックルーム_婚約破棄されたいのに、あなたが理想の殿方すぎて困ります！</v>
      </c>
      <c r="T1652" s="22" t="str">
        <f>IFERROR(__xludf.DUMMYFUNCTION("""COMPUTED_VALUE"""),"格納済み")</f>
        <v>格納済み</v>
      </c>
      <c r="U1652" s="15" t="str">
        <f>IFERROR(__xludf.DUMMYFUNCTION("""COMPUTED_VALUE"""),"©宙乃勿子／COMIC ROOM")</f>
        <v>©宙乃勿子／COMIC ROOM</v>
      </c>
      <c r="V1652" s="8" t="str">
        <f>IFERROR(__xludf.DUMMYFUNCTION("""COMPUTED_VALUE"""),"婚約破棄をされ、王子様と出会って幸せになる事を夢見る子爵令嬢ローズマリー。
彼女はある日、父の紹介で青年アルベールと出会い、婚約することになった。
これで婚約破棄をされれば、自分がいつも夢見ていたヒロインのように理想の王子様に出会える。
そんな期待を抱きながらアルベールとの婚約を、ローズマリーは受け入れたのであった。
しかし、彼は品行方正で誰に対しても優しく、まるで絵に描いたような好青年であり・・・！？
※本作品の１・２巻は『溺れるほど愛されて、幸せになってみせますわ！アンソロジーコミック５巻』"&amp;"の収録作品です。")</f>
        <v>婚約破棄をされ、王子様と出会って幸せになる事を夢見る子爵令嬢ローズマリー。
彼女はある日、父の紹介で青年アルベールと出会い、婚約することになった。
これで婚約破棄をされれば、自分がいつも夢見ていたヒロインのように理想の王子様に出会える。
そんな期待を抱きながらアルベールとの婚約を、ローズマリーは受け入れたのであった。
しかし、彼は品行方正で誰に対しても優しく、まるで絵に描いたような好青年であり・・・！？
※本作品の１・２巻は『溺れるほど愛されて、幸せになってみせますわ！アンソロジーコミック５巻』の収録作品です。</v>
      </c>
      <c r="W1652" s="14"/>
      <c r="X1652" s="14" t="str">
        <f>IFERROR(__xludf.DUMMYFUNCTION("""COMPUTED_VALUE"""),"有")</f>
        <v>有</v>
      </c>
      <c r="Y1652" s="8" t="str">
        <f>IFERROR(__xludf.DUMMYFUNCTION("""COMPUTED_VALUE"""),"P9まで")</f>
        <v>P9まで</v>
      </c>
      <c r="Z1652" s="7"/>
      <c r="AA1652" s="7"/>
      <c r="AB1652" s="7"/>
    </row>
    <row r="1653" ht="15.75" customHeight="1">
      <c r="A1653" s="26">
        <f>IFERROR(__xludf.DUMMYFUNCTION("""COMPUTED_VALUE"""),3645.0)</f>
        <v>3645</v>
      </c>
      <c r="B1653" s="22" t="str">
        <f>IFERROR(__xludf.DUMMYFUNCTION("""COMPUTED_VALUE"""),"確定")</f>
        <v>確定</v>
      </c>
      <c r="C1653" s="28">
        <f>IFERROR(__xludf.DUMMYFUNCTION("""COMPUTED_VALUE"""),45460.0)</f>
        <v>45460</v>
      </c>
      <c r="D1653" s="28">
        <f>IFERROR(__xludf.DUMMYFUNCTION("""COMPUTED_VALUE"""),45460.0)</f>
        <v>45460</v>
      </c>
      <c r="E1653" s="26">
        <f>IFERROR(__xludf.DUMMYFUNCTION("""COMPUTED_VALUE"""),297564.0)</f>
        <v>297564</v>
      </c>
      <c r="F1653" s="22" t="str">
        <f>IFERROR(__xludf.DUMMYFUNCTION("""COMPUTED_VALUE"""),"侯爵様の愛が甘すぎます")</f>
        <v>侯爵様の愛が甘すぎます</v>
      </c>
      <c r="G1653" s="11" t="str">
        <f>IFERROR(__xludf.DUMMYFUNCTION("""COMPUTED_VALUE"""),"1～2")</f>
        <v>1～2</v>
      </c>
      <c r="H1653" s="22" t="str">
        <f>IFERROR(__xludf.DUMMYFUNCTION("""COMPUTED_VALUE"""),"春日たろう／COMIC ROOM")</f>
        <v>春日たろう／COMIC ROOM</v>
      </c>
      <c r="I1653" s="22" t="str">
        <f>IFERROR(__xludf.DUMMYFUNCTION("""COMPUTED_VALUE"""),"女性")</f>
        <v>女性</v>
      </c>
      <c r="J1653" s="22"/>
      <c r="K1653" s="22"/>
      <c r="L1653" s="22" t="str">
        <f>IFERROR(__xludf.DUMMYFUNCTION("""COMPUTED_VALUE"""),"コミックルーム")</f>
        <v>コミックルーム</v>
      </c>
      <c r="M1653" s="23">
        <f>IFERROR(__xludf.DUMMYFUNCTION("""COMPUTED_VALUE"""),45488.0)</f>
        <v>45488</v>
      </c>
      <c r="N1653" s="33">
        <f>IFERROR(__xludf.DUMMYFUNCTION("""COMPUTED_VALUE"""),45579.0)</f>
        <v>45579</v>
      </c>
      <c r="O1653" s="20"/>
      <c r="P1653" s="32" t="str">
        <f>IFERROR(__xludf.DUMMYFUNCTION("""COMPUTED_VALUE"""),"可")</f>
        <v>可</v>
      </c>
      <c r="Q1653" s="30"/>
      <c r="R1653" s="22"/>
      <c r="S1653" s="22" t="str">
        <f>IFERROR(__xludf.DUMMYFUNCTION("""COMPUTED_VALUE"""),"20240617_コミックルーム_侯爵様の愛が甘すぎます")</f>
        <v>20240617_コミックルーム_侯爵様の愛が甘すぎます</v>
      </c>
      <c r="T1653" s="22" t="str">
        <f>IFERROR(__xludf.DUMMYFUNCTION("""COMPUTED_VALUE"""),"格納済み")</f>
        <v>格納済み</v>
      </c>
      <c r="U1653" s="15" t="str">
        <f>IFERROR(__xludf.DUMMYFUNCTION("""COMPUTED_VALUE"""),"©春日たろう／COMIC ROOM")</f>
        <v>©春日たろう／COMIC ROOM</v>
      </c>
      <c r="V1653" s="8" t="str">
        <f>IFERROR(__xludf.DUMMYFUNCTION("""COMPUTED_VALUE"""),"貴族令嬢のセリーヌはある日、自身の食通ぶりを否定され、婚約者に婚約破棄をされてしまった。
幼い頃から様々な食文化に触れ食通となったことで、『美食令嬢』と呼ばれるようになっていたセリーヌ。
だが、自分の取り柄を否定された事にショックを受け、彼女は大好きな食事も楽しめなくなる始末。
そんな彼女の元に、隣国の料理研究家を名乗る青年ミクリオがケーキを持って現れた。
彼は「国の繁栄のためにケーキを食べてほしい」と言って彼女にケーキを差し出すが・・・！？
※本作品の１・２巻は『溺れるほど愛されて、幸せになっ"&amp;"てみせますわ！アンソロジーコミック５巻』の収録作品です。")</f>
        <v>貴族令嬢のセリーヌはある日、自身の食通ぶりを否定され、婚約者に婚約破棄をされてしまった。
幼い頃から様々な食文化に触れ食通となったことで、『美食令嬢』と呼ばれるようになっていたセリーヌ。
だが、自分の取り柄を否定された事にショックを受け、彼女は大好きな食事も楽しめなくなる始末。
そんな彼女の元に、隣国の料理研究家を名乗る青年ミクリオがケーキを持って現れた。
彼は「国の繁栄のためにケーキを食べてほしい」と言って彼女にケーキを差し出すが・・・！？
※本作品の１・２巻は『溺れるほど愛されて、幸せになってみせますわ！アンソロジーコミック５巻』の収録作品です。</v>
      </c>
      <c r="W1653" s="14"/>
      <c r="X1653" s="14" t="str">
        <f>IFERROR(__xludf.DUMMYFUNCTION("""COMPUTED_VALUE"""),"有")</f>
        <v>有</v>
      </c>
      <c r="Y1653" s="8" t="str">
        <f>IFERROR(__xludf.DUMMYFUNCTION("""COMPUTED_VALUE"""),"P9まで")</f>
        <v>P9まで</v>
      </c>
      <c r="Z1653" s="7"/>
      <c r="AA1653" s="7"/>
      <c r="AB1653" s="7"/>
    </row>
    <row r="1654" ht="15.75" customHeight="1">
      <c r="A1654" s="26">
        <f>IFERROR(__xludf.DUMMYFUNCTION("""COMPUTED_VALUE"""),3646.0)</f>
        <v>3646</v>
      </c>
      <c r="B1654" s="22" t="str">
        <f>IFERROR(__xludf.DUMMYFUNCTION("""COMPUTED_VALUE"""),"確定")</f>
        <v>確定</v>
      </c>
      <c r="C1654" s="28">
        <f>IFERROR(__xludf.DUMMYFUNCTION("""COMPUTED_VALUE"""),45460.0)</f>
        <v>45460</v>
      </c>
      <c r="D1654" s="28">
        <f>IFERROR(__xludf.DUMMYFUNCTION("""COMPUTED_VALUE"""),45460.0)</f>
        <v>45460</v>
      </c>
      <c r="E1654" s="26">
        <f>IFERROR(__xludf.DUMMYFUNCTION("""COMPUTED_VALUE"""),298074.0)</f>
        <v>298074</v>
      </c>
      <c r="F1654" s="46" t="str">
        <f>IFERROR(__xludf.DUMMYFUNCTION("""COMPUTED_VALUE"""),"天涯孤独の令嬢が、愛され令嬢になるまで")</f>
        <v>天涯孤独の令嬢が、愛され令嬢になるまで</v>
      </c>
      <c r="G1654" s="20" t="str">
        <f>IFERROR(__xludf.DUMMYFUNCTION("""COMPUTED_VALUE"""),"1～3")</f>
        <v>1～3</v>
      </c>
      <c r="H1654" s="22" t="str">
        <f>IFERROR(__xludf.DUMMYFUNCTION("""COMPUTED_VALUE"""),"ゆんける／COMIC ROOM")</f>
        <v>ゆんける／COMIC ROOM</v>
      </c>
      <c r="I1654" s="22" t="str">
        <f>IFERROR(__xludf.DUMMYFUNCTION("""COMPUTED_VALUE"""),"女性")</f>
        <v>女性</v>
      </c>
      <c r="J1654" s="22"/>
      <c r="K1654" s="22"/>
      <c r="L1654" s="22" t="str">
        <f>IFERROR(__xludf.DUMMYFUNCTION("""COMPUTED_VALUE"""),"コミックルーム")</f>
        <v>コミックルーム</v>
      </c>
      <c r="M1654" s="23">
        <f>IFERROR(__xludf.DUMMYFUNCTION("""COMPUTED_VALUE"""),45488.0)</f>
        <v>45488</v>
      </c>
      <c r="N1654" s="33">
        <f>IFERROR(__xludf.DUMMYFUNCTION("""COMPUTED_VALUE"""),45579.0)</f>
        <v>45579</v>
      </c>
      <c r="O1654" s="20"/>
      <c r="P1654" s="32" t="str">
        <f>IFERROR(__xludf.DUMMYFUNCTION("""COMPUTED_VALUE"""),"可")</f>
        <v>可</v>
      </c>
      <c r="Q1654" s="30"/>
      <c r="R1654" s="22"/>
      <c r="S1654" s="22" t="str">
        <f>IFERROR(__xludf.DUMMYFUNCTION("""COMPUTED_VALUE"""),"20240617_コミックルーム_天涯孤独の令嬢が、愛され令嬢になるまで")</f>
        <v>20240617_コミックルーム_天涯孤独の令嬢が、愛され令嬢になるまで</v>
      </c>
      <c r="T1654" s="22" t="str">
        <f>IFERROR(__xludf.DUMMYFUNCTION("""COMPUTED_VALUE"""),"格納済み")</f>
        <v>格納済み</v>
      </c>
      <c r="U1654" s="15" t="str">
        <f>IFERROR(__xludf.DUMMYFUNCTION("""COMPUTED_VALUE"""),"©ゆんける／COMIC ROOM")</f>
        <v>©ゆんける／COMIC ROOM</v>
      </c>
      <c r="V1654" s="8" t="str">
        <f>IFERROR(__xludf.DUMMYFUNCTION("""COMPUTED_VALUE"""),"動物と話せる不思議な力を持つ令嬢リリエットは、その力を気味悪がられ婚約破棄をされてしまった。
信じるどころか、妄言扱いをされた事にショックを受け、落ち込んでしまうリリエット。
そんなある日、彼女が動物たちと森で過ごしていると、調査のために森を訪れていた王子フェリックスと遭遇。
リリエットは、調査に動物たちと共に協力する形で、フェリックスと交流を深めていった。
やがて彼女は王子と会う日を待ち望むようになるが、森には少しずつ異変が起こり始めており・・・！？
※本作品の１・２・３巻は『溺れるほど愛され"&amp;"て、幸せになってみせますわ！アンソロジーコミック５巻』の収録作品です。")</f>
        <v>動物と話せる不思議な力を持つ令嬢リリエットは、その力を気味悪がられ婚約破棄をされてしまった。
信じるどころか、妄言扱いをされた事にショックを受け、落ち込んでしまうリリエット。
そんなある日、彼女が動物たちと森で過ごしていると、調査のために森を訪れていた王子フェリックスと遭遇。
リリエットは、調査に動物たちと共に協力する形で、フェリックスと交流を深めていった。
やがて彼女は王子と会う日を待ち望むようになるが、森には少しずつ異変が起こり始めており・・・！？
※本作品の１・２・３巻は『溺れるほど愛されて、幸せになってみせますわ！アンソロジーコミック５巻』の収録作品です。</v>
      </c>
      <c r="W1654" s="14"/>
      <c r="X1654" s="14" t="str">
        <f>IFERROR(__xludf.DUMMYFUNCTION("""COMPUTED_VALUE"""),"有")</f>
        <v>有</v>
      </c>
      <c r="Y1654" s="8" t="str">
        <f>IFERROR(__xludf.DUMMYFUNCTION("""COMPUTED_VALUE"""),"P7まで")</f>
        <v>P7まで</v>
      </c>
      <c r="Z1654" s="7"/>
      <c r="AA1654" s="7"/>
      <c r="AB1654" s="7"/>
    </row>
    <row r="1655" ht="87.0" customHeight="1">
      <c r="A1655" s="26">
        <f>IFERROR(__xludf.DUMMYFUNCTION("""COMPUTED_VALUE"""),3647.0)</f>
        <v>3647</v>
      </c>
      <c r="B1655" s="22" t="str">
        <f>IFERROR(__xludf.DUMMYFUNCTION("""COMPUTED_VALUE"""),"確定")</f>
        <v>確定</v>
      </c>
      <c r="C1655" s="28">
        <f>IFERROR(__xludf.DUMMYFUNCTION("""COMPUTED_VALUE"""),45460.0)</f>
        <v>45460</v>
      </c>
      <c r="D1655" s="28">
        <f>IFERROR(__xludf.DUMMYFUNCTION("""COMPUTED_VALUE"""),45461.0)</f>
        <v>45461</v>
      </c>
      <c r="E1655" s="26">
        <f>IFERROR(__xludf.DUMMYFUNCTION("""COMPUTED_VALUE"""),296331.0)</f>
        <v>296331</v>
      </c>
      <c r="F1655" s="22" t="str">
        <f>IFERROR(__xludf.DUMMYFUNCTION("""COMPUTED_VALUE"""),"冷酷王は初恋に狂う")</f>
        <v>冷酷王は初恋に狂う</v>
      </c>
      <c r="G1655" s="20" t="str">
        <f>IFERROR(__xludf.DUMMYFUNCTION("""COMPUTED_VALUE"""),"1～3")</f>
        <v>1～3</v>
      </c>
      <c r="H1655" s="22" t="str">
        <f>IFERROR(__xludf.DUMMYFUNCTION("""COMPUTED_VALUE"""),"只野もちた")</f>
        <v>只野もちた</v>
      </c>
      <c r="I1655" s="22" t="str">
        <f>IFERROR(__xludf.DUMMYFUNCTION("""COMPUTED_VALUE"""),"少女")</f>
        <v>少女</v>
      </c>
      <c r="J1655" s="22"/>
      <c r="K1655" s="22"/>
      <c r="L1655" s="22" t="str">
        <f>IFERROR(__xludf.DUMMYFUNCTION("""COMPUTED_VALUE"""),"マッグガーデン")</f>
        <v>マッグガーデン</v>
      </c>
      <c r="M1655" s="23">
        <f>IFERROR(__xludf.DUMMYFUNCTION("""COMPUTED_VALUE"""),45492.0)</f>
        <v>45492</v>
      </c>
      <c r="N1655" s="33">
        <f>IFERROR(__xludf.DUMMYFUNCTION("""COMPUTED_VALUE"""),2958465.0)</f>
        <v>2958465</v>
      </c>
      <c r="O1655" s="20"/>
      <c r="P1655" s="34" t="str">
        <f>IFERROR(__xludf.DUMMYFUNCTION("""COMPUTED_VALUE"""),"否")</f>
        <v>否</v>
      </c>
      <c r="Q1655" s="30" t="str">
        <f>IFERROR(__xludf.DUMMYFUNCTION("""COMPUTED_VALUE"""),"【協業作品】レーベル名【シーモア×MAGKAN PLUS】&lt;BR&gt;協業作品のため、いったん先行終了日「9999～」で登録となります。他書店解禁日決まったら修正します&lt;BR&gt;・素材について&lt;BR&gt;初回1～3話、8月に4話目配信となりますが&lt;BR&gt;4話目素材も格納しております。")</f>
        <v>【協業作品】レーベル名【シーモア×MAGKAN PLUS】&lt;BR&gt;協業作品のため、いったん先行終了日「9999～」で登録となります。他書店解禁日決まったら修正します&lt;BR&gt;・素材について&lt;BR&gt;初回1～3話、8月に4話目配信となりますが&lt;BR&gt;4話目素材も格納しております。</v>
      </c>
      <c r="R1655" s="22"/>
      <c r="S1655" s="22" t="str">
        <f>IFERROR(__xludf.DUMMYFUNCTION("""COMPUTED_VALUE"""),"20240617_マッグガーデン_冷酷王は初恋に狂う")</f>
        <v>20240617_マッグガーデン_冷酷王は初恋に狂う</v>
      </c>
      <c r="T1655" s="22" t="str">
        <f>IFERROR(__xludf.DUMMYFUNCTION("""COMPUTED_VALUE"""),"格納済み")</f>
        <v>格納済み</v>
      </c>
      <c r="U1655" s="15" t="str">
        <f>IFERROR(__xludf.DUMMYFUNCTION("""COMPUTED_VALUE"""),"(C)只野もちた/MAG Garden")</f>
        <v>(C)只野もちた/MAG Garden</v>
      </c>
      <c r="V1655" s="8" t="str">
        <f>IFERROR(__xludf.DUMMYFUNCTION("""COMPUTED_VALUE"""),"母親の命と引き換えに生まれた王女ソフィアは、いつか父王の命をも脅かすという「王殺し」の神託を受け、虐げられて暮らしてきた。隣国の新たな王が挨拶に訪れる日のこと、継母の口から自分の暗殺計画を聞いてしまい…。")</f>
        <v>母親の命と引き換えに生まれた王女ソフィアは、いつか父王の命をも脅かすという「王殺し」の神託を受け、虐げられて暮らしてきた。隣国の新たな王が挨拶に訪れる日のこと、継母の口から自分の暗殺計画を聞いてしまい…。</v>
      </c>
      <c r="W1655" s="14"/>
      <c r="X1655" s="14" t="str">
        <f>IFERROR(__xludf.DUMMYFUNCTION("""COMPUTED_VALUE"""),"有")</f>
        <v>有</v>
      </c>
      <c r="Y1655" s="8" t="str">
        <f>IFERROR(__xludf.DUMMYFUNCTION("""COMPUTED_VALUE"""),"P5まで")</f>
        <v>P5まで</v>
      </c>
      <c r="Z1655" s="7"/>
      <c r="AA1655" s="7"/>
      <c r="AB1655" s="7"/>
    </row>
    <row r="1656" ht="15.75" customHeight="1">
      <c r="A1656" s="26">
        <f>IFERROR(__xludf.DUMMYFUNCTION("""COMPUTED_VALUE"""),3651.0)</f>
        <v>3651</v>
      </c>
      <c r="B1656" s="22" t="str">
        <f>IFERROR(__xludf.DUMMYFUNCTION("""COMPUTED_VALUE"""),"確定")</f>
        <v>確定</v>
      </c>
      <c r="C1656" s="28">
        <f>IFERROR(__xludf.DUMMYFUNCTION("""COMPUTED_VALUE"""),45461.0)</f>
        <v>45461</v>
      </c>
      <c r="D1656" s="28">
        <f>IFERROR(__xludf.DUMMYFUNCTION("""COMPUTED_VALUE"""),45461.0)</f>
        <v>45461</v>
      </c>
      <c r="E1656" s="26">
        <f>IFERROR(__xludf.DUMMYFUNCTION("""COMPUTED_VALUE"""),281195.0)</f>
        <v>281195</v>
      </c>
      <c r="F1656" s="22" t="str">
        <f>IFERROR(__xludf.DUMMYFUNCTION("""COMPUTED_VALUE"""),"コンサルタント嬢、アマルティアの婚姻")</f>
        <v>コンサルタント嬢、アマルティアの婚姻</v>
      </c>
      <c r="G1656" s="20" t="str">
        <f>IFERROR(__xludf.DUMMYFUNCTION("""COMPUTED_VALUE"""),"1～3")</f>
        <v>1～3</v>
      </c>
      <c r="H1656" s="22" t="str">
        <f>IFERROR(__xludf.DUMMYFUNCTION("""COMPUTED_VALUE"""),"橙乃モト")</f>
        <v>橙乃モト</v>
      </c>
      <c r="I1656" s="22" t="str">
        <f>IFERROR(__xludf.DUMMYFUNCTION("""COMPUTED_VALUE"""),"女性")</f>
        <v>女性</v>
      </c>
      <c r="J1656" s="22"/>
      <c r="K1656" s="22"/>
      <c r="L1656" s="22" t="str">
        <f>IFERROR(__xludf.DUMMYFUNCTION("""COMPUTED_VALUE"""),"ソルマーレ編集部")</f>
        <v>ソルマーレ編集部</v>
      </c>
      <c r="M1656" s="59">
        <f>IFERROR(__xludf.DUMMYFUNCTION("""COMPUTED_VALUE"""),45493.0)</f>
        <v>45493</v>
      </c>
      <c r="N1656" s="59">
        <f>IFERROR(__xludf.DUMMYFUNCTION("""COMPUTED_VALUE"""),45554.0)</f>
        <v>45554</v>
      </c>
      <c r="O1656" s="20"/>
      <c r="P1656" s="32" t="str">
        <f>IFERROR(__xludf.DUMMYFUNCTION("""COMPUTED_VALUE"""),"可")</f>
        <v>可</v>
      </c>
      <c r="Q1656" s="30"/>
      <c r="R1656" s="22"/>
      <c r="S1656" s="22" t="str">
        <f>IFERROR(__xludf.DUMMYFUNCTION("""COMPUTED_VALUE"""),"20240618_ソルマーレ編集部_コンサルタント嬢、アマルティアの婚姻")</f>
        <v>20240618_ソルマーレ編集部_コンサルタント嬢、アマルティアの婚姻</v>
      </c>
      <c r="T1656" s="22" t="str">
        <f>IFERROR(__xludf.DUMMYFUNCTION("""COMPUTED_VALUE"""),"格納済み")</f>
        <v>格納済み</v>
      </c>
      <c r="U1656" s="15" t="str">
        <f>IFERROR(__xludf.DUMMYFUNCTION("""COMPUTED_VALUE"""),"Ⓒ 橙乃モト/シーモアコミックス")</f>
        <v>Ⓒ 橙乃モト/シーモアコミックス</v>
      </c>
      <c r="V1656" s="8" t="str">
        <f>IFERROR(__xludf.DUMMYFUNCTION("""COMPUTED_VALUE"""),"「アマルティア嬢、私と結婚してほしい」冷徹で女嫌いという皇太子からのありえないプロポーズ！だけどこれは契約結婚の申し込み…。そのはずなのに皇太子の優しい態度に勘違いしてしまいそうになる。――領地経営に優れた才能を持った子爵令嬢のアマルティア。その才能を見込まれ次期伯爵・トマスの婚約者にと望まれる。だがトマスは領地戦略をアマルティアに丸投げし、その手柄は自分のものとしていた。挙げ句、公爵令嬢と浮気をし、それを指摘すると「婚約破棄だ」と騒ぎ立てる始末。もうこの場からいなくなりたい、そう思った矢先、偶然視察に訪"&amp;"れていた皇太子がアマルティアにプロポーズを申し込み…!?【恋するソワレ】")</f>
        <v>「アマルティア嬢、私と結婚してほしい」冷徹で女嫌いという皇太子からのありえないプロポーズ！だけどこれは契約結婚の申し込み…。そのはずなのに皇太子の優しい態度に勘違いしてしまいそうになる。――領地経営に優れた才能を持った子爵令嬢のアマルティア。その才能を見込まれ次期伯爵・トマスの婚約者にと望まれる。だがトマスは領地戦略をアマルティアに丸投げし、その手柄は自分のものとしていた。挙げ句、公爵令嬢と浮気をし、それを指摘すると「婚約破棄だ」と騒ぎ立てる始末。もうこの場からいなくなりたい、そう思った矢先、偶然視察に訪れていた皇太子がアマルティアにプロポーズを申し込み…!?【恋するソワレ】</v>
      </c>
      <c r="W1656" s="14"/>
      <c r="X1656" s="14" t="str">
        <f>IFERROR(__xludf.DUMMYFUNCTION("""COMPUTED_VALUE"""),"有")</f>
        <v>有</v>
      </c>
      <c r="Y1656" s="8" t="str">
        <f>IFERROR(__xludf.DUMMYFUNCTION("""COMPUTED_VALUE"""),"2024/8/16まで1巻無料")</f>
        <v>2024/8/16まで1巻無料</v>
      </c>
      <c r="Z1656" s="7"/>
      <c r="AA1656" s="7"/>
      <c r="AB1656" s="7"/>
    </row>
    <row r="1657" ht="15.75" customHeight="1">
      <c r="A1657" s="26">
        <f>IFERROR(__xludf.DUMMYFUNCTION("""COMPUTED_VALUE"""),3654.0)</f>
        <v>3654</v>
      </c>
      <c r="B1657" s="22" t="str">
        <f>IFERROR(__xludf.DUMMYFUNCTION("""COMPUTED_VALUE"""),"確定")</f>
        <v>確定</v>
      </c>
      <c r="C1657" s="28">
        <f>IFERROR(__xludf.DUMMYFUNCTION("""COMPUTED_VALUE"""),45461.0)</f>
        <v>45461</v>
      </c>
      <c r="D1657" s="28">
        <f>IFERROR(__xludf.DUMMYFUNCTION("""COMPUTED_VALUE"""),45461.0)</f>
        <v>45461</v>
      </c>
      <c r="E1657" s="26">
        <f>IFERROR(__xludf.DUMMYFUNCTION("""COMPUTED_VALUE"""),282563.0)</f>
        <v>282563</v>
      </c>
      <c r="F1657" s="22" t="str">
        <f>IFERROR(__xludf.DUMMYFUNCTION("""COMPUTED_VALUE"""),"我慢の限界～ずっと黙ってきたけど今日から旦那にやり返します～")</f>
        <v>我慢の限界～ずっと黙ってきたけど今日から旦那にやり返します～</v>
      </c>
      <c r="G1657" s="20" t="str">
        <f>IFERROR(__xludf.DUMMYFUNCTION("""COMPUTED_VALUE"""),"1～3")</f>
        <v>1～3</v>
      </c>
      <c r="H1657" s="22" t="str">
        <f>IFERROR(__xludf.DUMMYFUNCTION("""COMPUTED_VALUE"""),"青梨")</f>
        <v>青梨</v>
      </c>
      <c r="I1657" s="22" t="str">
        <f>IFERROR(__xludf.DUMMYFUNCTION("""COMPUTED_VALUE"""),"女性")</f>
        <v>女性</v>
      </c>
      <c r="J1657" s="22"/>
      <c r="K1657" s="22"/>
      <c r="L1657" s="22" t="str">
        <f>IFERROR(__xludf.DUMMYFUNCTION("""COMPUTED_VALUE"""),"シーモアコミックス")</f>
        <v>シーモアコミックス</v>
      </c>
      <c r="M1657" s="59">
        <f>IFERROR(__xludf.DUMMYFUNCTION("""COMPUTED_VALUE"""),45506.0)</f>
        <v>45506</v>
      </c>
      <c r="N1657" s="59">
        <f>IFERROR(__xludf.DUMMYFUNCTION("""COMPUTED_VALUE"""),45659.0)</f>
        <v>45659</v>
      </c>
      <c r="O1657" s="20"/>
      <c r="P1657" s="32" t="str">
        <f>IFERROR(__xludf.DUMMYFUNCTION("""COMPUTED_VALUE"""),"可")</f>
        <v>可</v>
      </c>
      <c r="Q1657" s="36"/>
      <c r="R1657" s="42">
        <f>IFERROR(__xludf.DUMMYFUNCTION("""COMPUTED_VALUE"""),45461.0)</f>
        <v>45461</v>
      </c>
      <c r="S1657" s="22" t="str">
        <f>IFERROR(__xludf.DUMMYFUNCTION("""COMPUTED_VALUE"""),"20240618_シーモアコミックス_我慢の限界～ずっと黙ってきたけど今日から旦那にやり返します～")</f>
        <v>20240618_シーモアコミックス_我慢の限界～ずっと黙ってきたけど今日から旦那にやり返します～</v>
      </c>
      <c r="T1657" s="22" t="str">
        <f>IFERROR(__xludf.DUMMYFUNCTION("""COMPUTED_VALUE"""),"格納済み")</f>
        <v>格納済み</v>
      </c>
      <c r="U1657" s="15" t="str">
        <f>IFERROR(__xludf.DUMMYFUNCTION("""COMPUTED_VALUE"""),"© 青梨/シーモアコミックス")</f>
        <v>© 青梨/シーモアコミックス</v>
      </c>
      <c r="V1657" s="8" t="str">
        <f>IFERROR(__xludf.DUMMYFUNCTION("""COMPUTED_VALUE"""),"美菜保と祐一は結婚5年目の共働き家庭。夫のモラハラに耐えてきた美菜保だがある時体調を崩してしまう。祐一はそれにも関わらず美菜保をこき使い続け、倒れて救急車で運ばれたのに心配するどころか悪態をついてくる。「我慢の限界」が来た美菜保が男友達の七生に全てを話すと「美菜保は優しすぎる、やり返さないと一生こき使われて人生が終わってしまう」と言われ、【夫婦喧嘩の極意】を伝授される。美菜保は家庭内のドロ沼を抜けて幸せになれるのか…？")</f>
        <v>美菜保と祐一は結婚5年目の共働き家庭。夫のモラハラに耐えてきた美菜保だがある時体調を崩してしまう。祐一はそれにも関わらず美菜保をこき使い続け、倒れて救急車で運ばれたのに心配するどころか悪態をついてくる。「我慢の限界」が来た美菜保が男友達の七生に全てを話すと「美菜保は優しすぎる、やり返さないと一生こき使われて人生が終わってしまう」と言われ、【夫婦喧嘩の極意】を伝授される。美菜保は家庭内のドロ沼を抜けて幸せになれるのか…？</v>
      </c>
      <c r="W1657" s="14"/>
      <c r="X1657" s="14" t="str">
        <f>IFERROR(__xludf.DUMMYFUNCTION("""COMPUTED_VALUE"""),"有")</f>
        <v>有</v>
      </c>
      <c r="Y1657" s="8" t="str">
        <f>IFERROR(__xludf.DUMMYFUNCTION("""COMPUTED_VALUE"""),"P19まで")</f>
        <v>P19まで</v>
      </c>
      <c r="Z1657" s="7"/>
      <c r="AA1657" s="7"/>
      <c r="AB1657" s="7"/>
    </row>
    <row r="1658" ht="15.75" customHeight="1">
      <c r="A1658" s="26">
        <f>IFERROR(__xludf.DUMMYFUNCTION("""COMPUTED_VALUE"""),3655.0)</f>
        <v>3655</v>
      </c>
      <c r="B1658" s="22" t="str">
        <f>IFERROR(__xludf.DUMMYFUNCTION("""COMPUTED_VALUE"""),"確定")</f>
        <v>確定</v>
      </c>
      <c r="C1658" s="28">
        <f>IFERROR(__xludf.DUMMYFUNCTION("""COMPUTED_VALUE"""),45461.0)</f>
        <v>45461</v>
      </c>
      <c r="D1658" s="28">
        <f>IFERROR(__xludf.DUMMYFUNCTION("""COMPUTED_VALUE"""),45461.0)</f>
        <v>45461</v>
      </c>
      <c r="E1658" s="26">
        <f>IFERROR(__xludf.DUMMYFUNCTION("""COMPUTED_VALUE"""),280076.0)</f>
        <v>280076</v>
      </c>
      <c r="F1658" s="46" t="str">
        <f>IFERROR(__xludf.DUMMYFUNCTION("""COMPUTED_VALUE"""),"年下社長の甘い求め～彼氏の浮気が分かったら幼馴染に溺愛されました～")</f>
        <v>年下社長の甘い求め～彼氏の浮気が分かったら幼馴染に溺愛されました～</v>
      </c>
      <c r="G1658" s="20" t="str">
        <f>IFERROR(__xludf.DUMMYFUNCTION("""COMPUTED_VALUE"""),"1～3")</f>
        <v>1～3</v>
      </c>
      <c r="H1658" s="22" t="str">
        <f>IFERROR(__xludf.DUMMYFUNCTION("""COMPUTED_VALUE"""),"さくらのふみ,なみあと")</f>
        <v>さくらのふみ,なみあと</v>
      </c>
      <c r="I1658" s="22" t="str">
        <f>IFERROR(__xludf.DUMMYFUNCTION("""COMPUTED_VALUE"""),"女性")</f>
        <v>女性</v>
      </c>
      <c r="J1658" s="22"/>
      <c r="K1658" s="22"/>
      <c r="L1658" s="22" t="str">
        <f>IFERROR(__xludf.DUMMYFUNCTION("""COMPUTED_VALUE"""),"シーモアコミックス")</f>
        <v>シーモアコミックス</v>
      </c>
      <c r="M1658" s="59">
        <f>IFERROR(__xludf.DUMMYFUNCTION("""COMPUTED_VALUE"""),45506.0)</f>
        <v>45506</v>
      </c>
      <c r="N1658" s="59">
        <f>IFERROR(__xludf.DUMMYFUNCTION("""COMPUTED_VALUE"""),45659.0)</f>
        <v>45659</v>
      </c>
      <c r="O1658" s="20"/>
      <c r="P1658" s="34" t="str">
        <f>IFERROR(__xludf.DUMMYFUNCTION("""COMPUTED_VALUE"""),"可")</f>
        <v>可</v>
      </c>
      <c r="Q1658" s="36"/>
      <c r="R1658" s="42">
        <f>IFERROR(__xludf.DUMMYFUNCTION("""COMPUTED_VALUE"""),45461.0)</f>
        <v>45461</v>
      </c>
      <c r="S1658" s="22" t="str">
        <f>IFERROR(__xludf.DUMMYFUNCTION("""COMPUTED_VALUE"""),"20240618_シーモアコミックス_年下社長の甘い求め～彼氏の浮気が分かったら幼馴染に溺愛されました～")</f>
        <v>20240618_シーモアコミックス_年下社長の甘い求め～彼氏の浮気が分かったら幼馴染に溺愛されました～</v>
      </c>
      <c r="T1658" s="22" t="str">
        <f>IFERROR(__xludf.DUMMYFUNCTION("""COMPUTED_VALUE"""),"格納済み")</f>
        <v>格納済み</v>
      </c>
      <c r="U1658" s="15" t="str">
        <f>IFERROR(__xludf.DUMMYFUNCTION("""COMPUTED_VALUE"""),"© さくらのふみ/なみあと/シーモアコミックス")</f>
        <v>© さくらのふみ/なみあと/シーモアコミックス</v>
      </c>
      <c r="V1658" s="8" t="str">
        <f>IFERROR(__xludf.DUMMYFUNCTION("""COMPUTED_VALUE"""),"同じ職場の恋人・類ともうまく行かず、仕事にも打ち込めずに人知れず悩んでいた綾は、偶然学生の頃に面倒を見ていた後輩・亮一に社内で出会う。変わらない自分と時期社長の亮一との差を感じ、気持ちが沈む綾…そんな時、部長に「不正をしている」と糾弾され、動揺している中、類が後輩と浮気していることが発覚し…！？")</f>
        <v>同じ職場の恋人・類ともうまく行かず、仕事にも打ち込めずに人知れず悩んでいた綾は、偶然学生の頃に面倒を見ていた後輩・亮一に社内で出会う。変わらない自分と時期社長の亮一との差を感じ、気持ちが沈む綾…そんな時、部長に「不正をしている」と糾弾され、動揺している中、類が後輩と浮気していることが発覚し…！？</v>
      </c>
      <c r="W1658" s="14"/>
      <c r="X1658" s="14" t="str">
        <f>IFERROR(__xludf.DUMMYFUNCTION("""COMPUTED_VALUE"""),"有")</f>
        <v>有</v>
      </c>
      <c r="Y1658" s="8" t="str">
        <f>IFERROR(__xludf.DUMMYFUNCTION("""COMPUTED_VALUE"""),"P10まで")</f>
        <v>P10まで</v>
      </c>
      <c r="Z1658" s="7"/>
      <c r="AA1658" s="7"/>
      <c r="AB1658" s="7"/>
    </row>
    <row r="1659" ht="15.75" customHeight="1">
      <c r="A1659" s="26">
        <f>IFERROR(__xludf.DUMMYFUNCTION("""COMPUTED_VALUE"""),3656.0)</f>
        <v>3656</v>
      </c>
      <c r="B1659" s="22" t="str">
        <f>IFERROR(__xludf.DUMMYFUNCTION("""COMPUTED_VALUE"""),"確定")</f>
        <v>確定</v>
      </c>
      <c r="C1659" s="28">
        <f>IFERROR(__xludf.DUMMYFUNCTION("""COMPUTED_VALUE"""),45461.0)</f>
        <v>45461</v>
      </c>
      <c r="D1659" s="28">
        <f>IFERROR(__xludf.DUMMYFUNCTION("""COMPUTED_VALUE"""),45461.0)</f>
        <v>45461</v>
      </c>
      <c r="E1659" s="26">
        <f>IFERROR(__xludf.DUMMYFUNCTION("""COMPUTED_VALUE"""),254958.0)</f>
        <v>254958</v>
      </c>
      <c r="F1659" s="22" t="str">
        <f>IFERROR(__xludf.DUMMYFUNCTION("""COMPUTED_VALUE"""),"年下御曹司は甘やかしたい！")</f>
        <v>年下御曹司は甘やかしたい！</v>
      </c>
      <c r="G1659" s="20" t="str">
        <f>IFERROR(__xludf.DUMMYFUNCTION("""COMPUTED_VALUE"""),"1～3")</f>
        <v>1～3</v>
      </c>
      <c r="H1659" s="22" t="str">
        <f>IFERROR(__xludf.DUMMYFUNCTION("""COMPUTED_VALUE"""),"碧井文子,城見")</f>
        <v>碧井文子,城見</v>
      </c>
      <c r="I1659" s="22" t="str">
        <f>IFERROR(__xludf.DUMMYFUNCTION("""COMPUTED_VALUE"""),"女性")</f>
        <v>女性</v>
      </c>
      <c r="J1659" s="22"/>
      <c r="K1659" s="22"/>
      <c r="L1659" s="22" t="str">
        <f>IFERROR(__xludf.DUMMYFUNCTION("""COMPUTED_VALUE"""),"シーモアコミックス")</f>
        <v>シーモアコミックス</v>
      </c>
      <c r="M1659" s="59">
        <f>IFERROR(__xludf.DUMMYFUNCTION("""COMPUTED_VALUE"""),45506.0)</f>
        <v>45506</v>
      </c>
      <c r="N1659" s="59">
        <f>IFERROR(__xludf.DUMMYFUNCTION("""COMPUTED_VALUE"""),45659.0)</f>
        <v>45659</v>
      </c>
      <c r="O1659" s="20"/>
      <c r="P1659" s="32" t="str">
        <f>IFERROR(__xludf.DUMMYFUNCTION("""COMPUTED_VALUE"""),"可")</f>
        <v>可</v>
      </c>
      <c r="Q1659" s="36"/>
      <c r="R1659" s="42">
        <f>IFERROR(__xludf.DUMMYFUNCTION("""COMPUTED_VALUE"""),45461.0)</f>
        <v>45461</v>
      </c>
      <c r="S1659" s="22" t="str">
        <f>IFERROR(__xludf.DUMMYFUNCTION("""COMPUTED_VALUE"""),"20240618_シーモアコミックス_年下御曹司は甘やかしたい！")</f>
        <v>20240618_シーモアコミックス_年下御曹司は甘やかしたい！</v>
      </c>
      <c r="T1659" s="22" t="str">
        <f>IFERROR(__xludf.DUMMYFUNCTION("""COMPUTED_VALUE"""),"格納済み")</f>
        <v>格納済み</v>
      </c>
      <c r="U1659" s="15" t="str">
        <f>IFERROR(__xludf.DUMMYFUNCTION("""COMPUTED_VALUE"""),"© 城見/碧井文子/シーモアコミックス")</f>
        <v>© 城見/碧井文子/シーモアコミックス</v>
      </c>
      <c r="V1659" s="8" t="str">
        <f>IFERROR(__xludf.DUMMYFUNCTION("""COMPUTED_VALUE"""),"結婚間近だと思っていた年下彼氏にフラれ傷心の佐藤香奈（32）は、仕事に生きると決意し転職。香奈は転職先で、イケメンだが冷徹で周囲から恐れられている年下上司・安斎漣（25）の下で働くことになる。慣れない仕事に奮闘している中、漣から「私だけを頼ってほしい」と言われる香奈。甘いアプローチに思わずドキドキしてしまうが、元カレのトラウマから年下男性にまた弄ばれているだけだと疑い、中々素直になれずーー…ハイスペ年下上司からの溺愛オフィスラブストーリー。")</f>
        <v>結婚間近だと思っていた年下彼氏にフラれ傷心の佐藤香奈（32）は、仕事に生きると決意し転職。香奈は転職先で、イケメンだが冷徹で周囲から恐れられている年下上司・安斎漣（25）の下で働くことになる。慣れない仕事に奮闘している中、漣から「私だけを頼ってほしい」と言われる香奈。甘いアプローチに思わずドキドキしてしまうが、元カレのトラウマから年下男性にまた弄ばれているだけだと疑い、中々素直になれずーー…ハイスペ年下上司からの溺愛オフィスラブストーリー。</v>
      </c>
      <c r="W1659" s="14"/>
      <c r="X1659" s="14" t="str">
        <f>IFERROR(__xludf.DUMMYFUNCTION("""COMPUTED_VALUE"""),"有")</f>
        <v>有</v>
      </c>
      <c r="Y1659" s="8" t="str">
        <f>IFERROR(__xludf.DUMMYFUNCTION("""COMPUTED_VALUE"""),"P14まで")</f>
        <v>P14まで</v>
      </c>
      <c r="Z1659" s="7"/>
      <c r="AA1659" s="7"/>
      <c r="AB1659" s="7"/>
    </row>
    <row r="1660" ht="15.75" customHeight="1">
      <c r="A1660" s="26">
        <f>IFERROR(__xludf.DUMMYFUNCTION("""COMPUTED_VALUE"""),3657.0)</f>
        <v>3657</v>
      </c>
      <c r="B1660" s="22" t="str">
        <f>IFERROR(__xludf.DUMMYFUNCTION("""COMPUTED_VALUE"""),"確定")</f>
        <v>確定</v>
      </c>
      <c r="C1660" s="28">
        <f>IFERROR(__xludf.DUMMYFUNCTION("""COMPUTED_VALUE"""),45461.0)</f>
        <v>45461</v>
      </c>
      <c r="D1660" s="28">
        <f>IFERROR(__xludf.DUMMYFUNCTION("""COMPUTED_VALUE"""),45461.0)</f>
        <v>45461</v>
      </c>
      <c r="E1660" s="26">
        <f>IFERROR(__xludf.DUMMYFUNCTION("""COMPUTED_VALUE"""),254956.0)</f>
        <v>254956</v>
      </c>
      <c r="F1660" s="22" t="str">
        <f>IFERROR(__xludf.DUMMYFUNCTION("""COMPUTED_VALUE"""),"クールな藤くんは、実は不器用")</f>
        <v>クールな藤くんは、実は不器用</v>
      </c>
      <c r="G1660" s="20" t="str">
        <f>IFERROR(__xludf.DUMMYFUNCTION("""COMPUTED_VALUE"""),"1～3")</f>
        <v>1～3</v>
      </c>
      <c r="H1660" s="22" t="str">
        <f>IFERROR(__xludf.DUMMYFUNCTION("""COMPUTED_VALUE"""),"なかつ,橘なな花")</f>
        <v>なかつ,橘なな花</v>
      </c>
      <c r="I1660" s="22" t="str">
        <f>IFERROR(__xludf.DUMMYFUNCTION("""COMPUTED_VALUE"""),"女性")</f>
        <v>女性</v>
      </c>
      <c r="J1660" s="22"/>
      <c r="K1660" s="22"/>
      <c r="L1660" s="22" t="str">
        <f>IFERROR(__xludf.DUMMYFUNCTION("""COMPUTED_VALUE"""),"シーモアコミックス")</f>
        <v>シーモアコミックス</v>
      </c>
      <c r="M1660" s="59">
        <f>IFERROR(__xludf.DUMMYFUNCTION("""COMPUTED_VALUE"""),45506.0)</f>
        <v>45506</v>
      </c>
      <c r="N1660" s="59">
        <f>IFERROR(__xludf.DUMMYFUNCTION("""COMPUTED_VALUE"""),45659.0)</f>
        <v>45659</v>
      </c>
      <c r="O1660" s="20"/>
      <c r="P1660" s="32" t="str">
        <f>IFERROR(__xludf.DUMMYFUNCTION("""COMPUTED_VALUE"""),"可")</f>
        <v>可</v>
      </c>
      <c r="Q1660" s="36"/>
      <c r="R1660" s="42">
        <f>IFERROR(__xludf.DUMMYFUNCTION("""COMPUTED_VALUE"""),45461.0)</f>
        <v>45461</v>
      </c>
      <c r="S1660" s="22" t="str">
        <f>IFERROR(__xludf.DUMMYFUNCTION("""COMPUTED_VALUE"""),"20240618_シーモアコミックス_クールな藤くんは、実は不器用")</f>
        <v>20240618_シーモアコミックス_クールな藤くんは、実は不器用</v>
      </c>
      <c r="T1660" s="22" t="str">
        <f>IFERROR(__xludf.DUMMYFUNCTION("""COMPUTED_VALUE"""),"格納済み")</f>
        <v>格納済み</v>
      </c>
      <c r="U1660" s="15" t="str">
        <f>IFERROR(__xludf.DUMMYFUNCTION("""COMPUTED_VALUE"""),"© なかつ/橘なな花/シーモアコミックス")</f>
        <v>© なかつ/橘なな花/シーモアコミックス</v>
      </c>
      <c r="V1660" s="8" t="str">
        <f>IFERROR(__xludf.DUMMYFUNCTION("""COMPUTED_VALUE"""),"花木早奈30歳、彼氏いない歴8年。やりがいのある仕事に夢中で、いまさら恋愛なんていらないと思っていた。そんな早奈を突然デートに誘ってきたのは、近寄りづらいイケメンとして社内の有名人である藤真哉斗だった。クールな藤くんになんとなく苦手心があった早奈だったが、自分にだけ見せる笑顔に考えを改め始める。しかし7歳年下の後輩を恋愛とは結び付けられない。藤くんはそんな早奈に強引に迫ってきて――…")</f>
        <v>花木早奈30歳、彼氏いない歴8年。やりがいのある仕事に夢中で、いまさら恋愛なんていらないと思っていた。そんな早奈を突然デートに誘ってきたのは、近寄りづらいイケメンとして社内の有名人である藤真哉斗だった。クールな藤くんになんとなく苦手心があった早奈だったが、自分にだけ見せる笑顔に考えを改め始める。しかし7歳年下の後輩を恋愛とは結び付けられない。藤くんはそんな早奈に強引に迫ってきて――…</v>
      </c>
      <c r="W1660" s="14"/>
      <c r="X1660" s="14" t="str">
        <f>IFERROR(__xludf.DUMMYFUNCTION("""COMPUTED_VALUE"""),"有")</f>
        <v>有</v>
      </c>
      <c r="Y1660" s="8" t="str">
        <f>IFERROR(__xludf.DUMMYFUNCTION("""COMPUTED_VALUE"""),"P17まで")</f>
        <v>P17まで</v>
      </c>
      <c r="Z1660" s="7"/>
      <c r="AA1660" s="7"/>
      <c r="AB1660" s="7"/>
    </row>
    <row r="1661" ht="15.75" customHeight="1">
      <c r="A1661" s="26">
        <f>IFERROR(__xludf.DUMMYFUNCTION("""COMPUTED_VALUE"""),3658.0)</f>
        <v>3658</v>
      </c>
      <c r="B1661" s="22" t="str">
        <f>IFERROR(__xludf.DUMMYFUNCTION("""COMPUTED_VALUE"""),"確定")</f>
        <v>確定</v>
      </c>
      <c r="C1661" s="28">
        <f>IFERROR(__xludf.DUMMYFUNCTION("""COMPUTED_VALUE"""),45461.0)</f>
        <v>45461</v>
      </c>
      <c r="D1661" s="28">
        <f>IFERROR(__xludf.DUMMYFUNCTION("""COMPUTED_VALUE"""),45461.0)</f>
        <v>45461</v>
      </c>
      <c r="E1661" s="26">
        <f>IFERROR(__xludf.DUMMYFUNCTION("""COMPUTED_VALUE"""),297191.0)</f>
        <v>297191</v>
      </c>
      <c r="F1661" s="22" t="str">
        <f>IFERROR(__xludf.DUMMYFUNCTION("""COMPUTED_VALUE"""),"組長娘と溺愛御曹司")</f>
        <v>組長娘と溺愛御曹司</v>
      </c>
      <c r="G1661" s="20" t="str">
        <f>IFERROR(__xludf.DUMMYFUNCTION("""COMPUTED_VALUE"""),"1～5")</f>
        <v>1～5</v>
      </c>
      <c r="H1661" s="22" t="str">
        <f>IFERROR(__xludf.DUMMYFUNCTION("""COMPUTED_VALUE"""),"古田スス/柊碧織")</f>
        <v>古田スス/柊碧織</v>
      </c>
      <c r="I1661" s="46" t="str">
        <f>IFERROR(__xludf.DUMMYFUNCTION("""COMPUTED_VALUE"""),"女性")</f>
        <v>女性</v>
      </c>
      <c r="J1661" s="22"/>
      <c r="K1661" s="22"/>
      <c r="L1661" s="22" t="str">
        <f>IFERROR(__xludf.DUMMYFUNCTION("""COMPUTED_VALUE"""),"ファンギルド")</f>
        <v>ファンギルド</v>
      </c>
      <c r="M1661" s="59">
        <f>IFERROR(__xludf.DUMMYFUNCTION("""COMPUTED_VALUE"""),45496.0)</f>
        <v>45496</v>
      </c>
      <c r="N1661" s="59">
        <f>IFERROR(__xludf.DUMMYFUNCTION("""COMPUTED_VALUE"""),45530.0)</f>
        <v>45530</v>
      </c>
      <c r="O1661" s="20"/>
      <c r="P1661" s="34" t="str">
        <f>IFERROR(__xludf.DUMMYFUNCTION("""COMPUTED_VALUE"""),"可")</f>
        <v>可</v>
      </c>
      <c r="Q1661" s="30" t="str">
        <f>IFERROR(__xludf.DUMMYFUNCTION("""COMPUTED_VALUE"""),"レーベル「JAMTOON」")</f>
        <v>レーベル「JAMTOON」</v>
      </c>
      <c r="R1661" s="22"/>
      <c r="S1661" s="22" t="str">
        <f>IFERROR(__xludf.DUMMYFUNCTION("""COMPUTED_VALUE"""),"20240618_ファンギルド_組長娘と溺愛御曹司")</f>
        <v>20240618_ファンギルド_組長娘と溺愛御曹司</v>
      </c>
      <c r="T1661" s="22" t="str">
        <f>IFERROR(__xludf.DUMMYFUNCTION("""COMPUTED_VALUE"""),"格納済み")</f>
        <v>格納済み</v>
      </c>
      <c r="U1661" s="15" t="str">
        <f>IFERROR(__xludf.DUMMYFUNCTION("""COMPUTED_VALUE"""),"Ⓒ古田スス/柊碧織/ファンギルド")</f>
        <v>Ⓒ古田スス/柊碧織/ファンギルド</v>
      </c>
      <c r="V1661" s="8" t="str">
        <f>IFERROR(__xludf.DUMMYFUNCTION("""COMPUTED_VALUE"""),"大物ヤクザの一人娘として育った主人公。ヤクザが嫌いな彼女は政略結婚されそうになり、普通の幸せを求めて家出する。初めての一人暮らし、就職活動、世間知らずから多くのギャップを抱えながらもようやく仕事先が決まる。と、若手敏腕社長は彼女のことを知っていて──。やり手社長から溺愛され、ヤクザ抗争も巻き込んだ禁断ラブストーリーが幕を開ける！")</f>
        <v>大物ヤクザの一人娘として育った主人公。ヤクザが嫌いな彼女は政略結婚されそうになり、普通の幸せを求めて家出する。初めての一人暮らし、就職活動、世間知らずから多くのギャップを抱えながらもようやく仕事先が決まる。と、若手敏腕社長は彼女のことを知っていて──。やり手社長から溺愛され、ヤクザ抗争も巻き込んだ禁断ラブストーリーが幕を開ける！</v>
      </c>
      <c r="W1661" s="14"/>
      <c r="X1661" s="14" t="str">
        <f>IFERROR(__xludf.DUMMYFUNCTION("""COMPUTED_VALUE"""),"有")</f>
        <v>有</v>
      </c>
      <c r="Y1661" s="8" t="str">
        <f>IFERROR(__xludf.DUMMYFUNCTION("""COMPUTED_VALUE"""),"2024/8/5まで1巻無料")</f>
        <v>2024/8/5まで1巻無料</v>
      </c>
      <c r="Z1661" s="7"/>
      <c r="AA1661" s="7"/>
      <c r="AB1661" s="7"/>
    </row>
    <row r="1662" ht="15.75" customHeight="1">
      <c r="A1662" s="26">
        <f>IFERROR(__xludf.DUMMYFUNCTION("""COMPUTED_VALUE"""),3659.0)</f>
        <v>3659</v>
      </c>
      <c r="B1662" s="22" t="str">
        <f>IFERROR(__xludf.DUMMYFUNCTION("""COMPUTED_VALUE"""),"確定")</f>
        <v>確定</v>
      </c>
      <c r="C1662" s="28">
        <f>IFERROR(__xludf.DUMMYFUNCTION("""COMPUTED_VALUE"""),45461.0)</f>
        <v>45461</v>
      </c>
      <c r="D1662" s="28">
        <f>IFERROR(__xludf.DUMMYFUNCTION("""COMPUTED_VALUE"""),45461.0)</f>
        <v>45461</v>
      </c>
      <c r="E1662" s="26">
        <f>IFERROR(__xludf.DUMMYFUNCTION("""COMPUTED_VALUE"""),296726.0)</f>
        <v>296726</v>
      </c>
      <c r="F1662" s="46" t="str">
        <f>IFERROR(__xludf.DUMMYFUNCTION("""COMPUTED_VALUE"""),"黒妖の花嫁～忌み嫌われた私が冷酷大尉に愛されるまで～")</f>
        <v>黒妖の花嫁～忌み嫌われた私が冷酷大尉に愛されるまで～</v>
      </c>
      <c r="G1662" s="20" t="str">
        <f>IFERROR(__xludf.DUMMYFUNCTION("""COMPUTED_VALUE"""),"1～3")</f>
        <v>1～3</v>
      </c>
      <c r="H1662" s="22" t="str">
        <f>IFERROR(__xludf.DUMMYFUNCTION("""COMPUTED_VALUE"""),"音中さわき/宮之みやこ")</f>
        <v>音中さわき/宮之みやこ</v>
      </c>
      <c r="I1662" s="22" t="str">
        <f>IFERROR(__xludf.DUMMYFUNCTION("""COMPUTED_VALUE"""),"少女")</f>
        <v>少女</v>
      </c>
      <c r="J1662" s="22"/>
      <c r="K1662" s="22"/>
      <c r="L1662" s="22" t="str">
        <f>IFERROR(__xludf.DUMMYFUNCTION("""COMPUTED_VALUE"""),"ファンギルド")</f>
        <v>ファンギルド</v>
      </c>
      <c r="M1662" s="23">
        <f>IFERROR(__xludf.DUMMYFUNCTION("""COMPUTED_VALUE"""),45491.0)</f>
        <v>45491</v>
      </c>
      <c r="N1662" s="59">
        <f>IFERROR(__xludf.DUMMYFUNCTION("""COMPUTED_VALUE"""),45616.70833333333)</f>
        <v>45616.70833</v>
      </c>
      <c r="O1662" s="20"/>
      <c r="P1662" s="34" t="str">
        <f>IFERROR(__xludf.DUMMYFUNCTION("""COMPUTED_VALUE"""),"可")</f>
        <v>可</v>
      </c>
      <c r="Q1662" s="30" t="str">
        <f>IFERROR(__xludf.DUMMYFUNCTION("""COMPUTED_VALUE"""),"レーベル「comic スピラ」")</f>
        <v>レーベル「comic スピラ」</v>
      </c>
      <c r="R1662" s="22"/>
      <c r="S1662" s="22" t="str">
        <f>IFERROR(__xludf.DUMMYFUNCTION("""COMPUTED_VALUE"""),"20240618_ファンギルド_黒妖の花嫁")</f>
        <v>20240618_ファンギルド_黒妖の花嫁</v>
      </c>
      <c r="T1662" s="22" t="str">
        <f>IFERROR(__xludf.DUMMYFUNCTION("""COMPUTED_VALUE"""),"格納済み")</f>
        <v>格納済み</v>
      </c>
      <c r="U1662" s="15" t="str">
        <f>IFERROR(__xludf.DUMMYFUNCTION("""COMPUTED_VALUE"""),"Ⓒ音中さわき/宮之みやこ/ファンギルド")</f>
        <v>Ⓒ音中さわき/宮之みやこ/ファンギルド</v>
      </c>
      <c r="V1662" s="8" t="str">
        <f>IFERROR(__xludf.DUMMYFUNCTION("""COMPUTED_VALUE"""),"「お前を花嫁として迎えに来た」太古より人間と夜妖人の二種族が存在する大和場帝国ーー。髪も瞳も白雪のように淡い郁は、その奇妙な容姿のせいで家族から夜妖人のようだと虐げられていた。金で男に売られるその日まで、使用人以下の扱いを受け逃げることすら叶わない…。しかしある日、郁のとある秘密を知った名家の次期当主・昴が縁談を申し込んでくる。利害の一致から結ばれた婚姻だが、傷ついた過去を背負った2人は徐々に惹かれ合いーー？愛を知らない夫婦が心を溶かす、運命のラブストーリーが幕を開けるーー！")</f>
        <v>「お前を花嫁として迎えに来た」太古より人間と夜妖人の二種族が存在する大和場帝国ーー。髪も瞳も白雪のように淡い郁は、その奇妙な容姿のせいで家族から夜妖人のようだと虐げられていた。金で男に売られるその日まで、使用人以下の扱いを受け逃げることすら叶わない…。しかしある日、郁のとある秘密を知った名家の次期当主・昴が縁談を申し込んでくる。利害の一致から結ばれた婚姻だが、傷ついた過去を背負った2人は徐々に惹かれ合いーー？愛を知らない夫婦が心を溶かす、運命のラブストーリーが幕を開けるーー！</v>
      </c>
      <c r="W1662" s="14"/>
      <c r="X1662" s="14" t="str">
        <f>IFERROR(__xludf.DUMMYFUNCTION("""COMPUTED_VALUE"""),"有")</f>
        <v>有</v>
      </c>
      <c r="Y1662" s="8" t="str">
        <f>IFERROR(__xludf.DUMMYFUNCTION("""COMPUTED_VALUE"""),"P15まで")</f>
        <v>P15まで</v>
      </c>
      <c r="Z1662" s="7"/>
      <c r="AA1662" s="7"/>
      <c r="AB1662" s="7"/>
    </row>
    <row r="1663" ht="15.75" customHeight="1">
      <c r="A1663" s="26">
        <f>IFERROR(__xludf.DUMMYFUNCTION("""COMPUTED_VALUE"""),3660.0)</f>
        <v>3660</v>
      </c>
      <c r="B1663" s="22" t="str">
        <f>IFERROR(__xludf.DUMMYFUNCTION("""COMPUTED_VALUE"""),"確定")</f>
        <v>確定</v>
      </c>
      <c r="C1663" s="28">
        <f>IFERROR(__xludf.DUMMYFUNCTION("""COMPUTED_VALUE"""),45461.0)</f>
        <v>45461</v>
      </c>
      <c r="D1663" s="28">
        <f>IFERROR(__xludf.DUMMYFUNCTION("""COMPUTED_VALUE"""),45461.0)</f>
        <v>45461</v>
      </c>
      <c r="E1663" s="26">
        <f>IFERROR(__xludf.DUMMYFUNCTION("""COMPUTED_VALUE"""),296689.0)</f>
        <v>296689</v>
      </c>
      <c r="F1663" s="22" t="str">
        <f>IFERROR(__xludf.DUMMYFUNCTION("""COMPUTED_VALUE"""),"世界樹と交わったら婿候補になってしまった")</f>
        <v>世界樹と交わったら婿候補になってしまった</v>
      </c>
      <c r="G1663" s="11" t="str">
        <f>IFERROR(__xludf.DUMMYFUNCTION("""COMPUTED_VALUE"""),"1～8")</f>
        <v>1～8</v>
      </c>
      <c r="H1663" s="22" t="str">
        <f>IFERROR(__xludf.DUMMYFUNCTION("""COMPUTED_VALUE"""),"Gユ/MYeong/MangMoongMing")</f>
        <v>Gユ/MYeong/MangMoongMing</v>
      </c>
      <c r="I1663" s="22" t="str">
        <f>IFERROR(__xludf.DUMMYFUNCTION("""COMPUTED_VALUE"""),"青年")</f>
        <v>青年</v>
      </c>
      <c r="J1663" s="22"/>
      <c r="K1663" s="22"/>
      <c r="L1663" s="22" t="str">
        <f>IFERROR(__xludf.DUMMYFUNCTION("""COMPUTED_VALUE"""),"Rush!")</f>
        <v>Rush!</v>
      </c>
      <c r="M1663" s="59">
        <f>IFERROR(__xludf.DUMMYFUNCTION("""COMPUTED_VALUE"""),45485.0)</f>
        <v>45485</v>
      </c>
      <c r="N1663" s="59">
        <f>IFERROR(__xludf.DUMMYFUNCTION("""COMPUTED_VALUE"""),45512.0)</f>
        <v>45512</v>
      </c>
      <c r="O1663" s="20"/>
      <c r="P1663" s="32" t="str">
        <f>IFERROR(__xludf.DUMMYFUNCTION("""COMPUTED_VALUE"""),"可")</f>
        <v>可</v>
      </c>
      <c r="Q1663" s="30"/>
      <c r="R1663" s="22"/>
      <c r="S1663" s="22" t="str">
        <f>IFERROR(__xludf.DUMMYFUNCTION("""COMPUTED_VALUE"""),"20240618_ファンギルド_世界樹と交わったら婿候補になってしまった")</f>
        <v>20240618_ファンギルド_世界樹と交わったら婿候補になってしまった</v>
      </c>
      <c r="T1663" s="22" t="str">
        <f>IFERROR(__xludf.DUMMYFUNCTION("""COMPUTED_VALUE"""),"格納済み")</f>
        <v>格納済み</v>
      </c>
      <c r="U1663" s="15" t="str">
        <f>IFERROR(__xludf.DUMMYFUNCTION("""COMPUTED_VALUE"""),"©Gユ/MYeong/MangMoongMing/TOPTOON	")</f>
        <v>©Gユ/MYeong/MangMoongMing/TOPTOON	</v>
      </c>
      <c r="V1663" s="8" t="str">
        <f>IFERROR(__xludf.DUMMYFUNCTION("""COMPUTED_VALUE"""),"木をいやらしいと感じる…そんな異常性癖を持った一人の男がいた。その名を伊藤賢人。そんな賢人はネットの情報をもとに真夜中に裏山へと赴き…とある木と一つになった。賢者モードになりながら帰宅すると、そこには緑色の髪をした角を生やした見知らぬ幼女が一人。「ママの事どうしてくれるの！」その言葉を最後に突如として意識を失い…目を覚ますとそこは異世界！？しかも知らぬうちに”世界樹”とやらの婿候補にされていて――！？")</f>
        <v>木をいやらしいと感じる…そんな異常性癖を持った一人の男がいた。その名を伊藤賢人。そんな賢人はネットの情報をもとに真夜中に裏山へと赴き…とある木と一つになった。賢者モードになりながら帰宅すると、そこには緑色の髪をした角を生やした見知らぬ幼女が一人。「ママの事どうしてくれるの！」その言葉を最後に突如として意識を失い…目を覚ますとそこは異世界！？しかも知らぬうちに”世界樹”とやらの婿候補にされていて――！？</v>
      </c>
      <c r="W1663" s="14"/>
      <c r="X1663" s="14" t="str">
        <f>IFERROR(__xludf.DUMMYFUNCTION("""COMPUTED_VALUE"""),"有")</f>
        <v>有</v>
      </c>
      <c r="Y1663" s="8" t="str">
        <f>IFERROR(__xludf.DUMMYFUNCTION("""COMPUTED_VALUE"""),"2024/7/25まで1巻無料")</f>
        <v>2024/7/25まで1巻無料</v>
      </c>
      <c r="Z1663" s="7"/>
      <c r="AA1663" s="7"/>
      <c r="AB1663" s="7"/>
    </row>
    <row r="1664" ht="15.75" customHeight="1">
      <c r="A1664" s="26">
        <f>IFERROR(__xludf.DUMMYFUNCTION("""COMPUTED_VALUE"""),3661.0)</f>
        <v>3661</v>
      </c>
      <c r="B1664" s="22" t="str">
        <f>IFERROR(__xludf.DUMMYFUNCTION("""COMPUTED_VALUE"""),"確定")</f>
        <v>確定</v>
      </c>
      <c r="C1664" s="28">
        <f>IFERROR(__xludf.DUMMYFUNCTION("""COMPUTED_VALUE"""),45461.0)</f>
        <v>45461</v>
      </c>
      <c r="D1664" s="28">
        <f>IFERROR(__xludf.DUMMYFUNCTION("""COMPUTED_VALUE"""),45461.0)</f>
        <v>45461</v>
      </c>
      <c r="E1664" s="26">
        <f>IFERROR(__xludf.DUMMYFUNCTION("""COMPUTED_VALUE"""),296724.0)</f>
        <v>296724</v>
      </c>
      <c r="F1664" s="22" t="str">
        <f>IFERROR(__xludf.DUMMYFUNCTION("""COMPUTED_VALUE"""),"狂愛サイコ～地下室の歪んだ欲望")</f>
        <v>狂愛サイコ～地下室の歪んだ欲望</v>
      </c>
      <c r="G1664" s="20" t="str">
        <f>IFERROR(__xludf.DUMMYFUNCTION("""COMPUTED_VALUE"""),"1～4")</f>
        <v>1～4</v>
      </c>
      <c r="H1664" s="22" t="str">
        <f>IFERROR(__xludf.DUMMYFUNCTION("""COMPUTED_VALUE"""),"danbicomics")</f>
        <v>danbicomics</v>
      </c>
      <c r="I1664" s="22" t="str">
        <f>IFERROR(__xludf.DUMMYFUNCTION("""COMPUTED_VALUE"""),"青年")</f>
        <v>青年</v>
      </c>
      <c r="J1664" s="22"/>
      <c r="K1664" s="22"/>
      <c r="L1664" s="22" t="str">
        <f>IFERROR(__xludf.DUMMYFUNCTION("""COMPUTED_VALUE"""),"Rush!")</f>
        <v>Rush!</v>
      </c>
      <c r="M1664" s="59">
        <f>IFERROR(__xludf.DUMMYFUNCTION("""COMPUTED_VALUE"""),45497.0)</f>
        <v>45497</v>
      </c>
      <c r="N1664" s="59">
        <f>IFERROR(__xludf.DUMMYFUNCTION("""COMPUTED_VALUE"""),45524.0)</f>
        <v>45524</v>
      </c>
      <c r="O1664" s="20"/>
      <c r="P1664" s="32" t="str">
        <f>IFERROR(__xludf.DUMMYFUNCTION("""COMPUTED_VALUE"""),"可")</f>
        <v>可</v>
      </c>
      <c r="Q1664" s="30"/>
      <c r="R1664" s="22"/>
      <c r="S1664" s="22" t="str">
        <f>IFERROR(__xludf.DUMMYFUNCTION("""COMPUTED_VALUE"""),"20240618_ファンギルド_狂愛サイコ～地下室の歪んだ欲望")</f>
        <v>20240618_ファンギルド_狂愛サイコ～地下室の歪んだ欲望</v>
      </c>
      <c r="T1664" s="22" t="str">
        <f>IFERROR(__xludf.DUMMYFUNCTION("""COMPUTED_VALUE"""),"格納済み")</f>
        <v>格納済み</v>
      </c>
      <c r="U1664" s="15" t="str">
        <f>IFERROR(__xludf.DUMMYFUNCTION("""COMPUTED_VALUE"""),"©danbicomics/anytoon	")</f>
        <v>©danbicomics/anytoon	</v>
      </c>
      <c r="V1664" s="8" t="str">
        <f>IFERROR(__xludf.DUMMYFUNCTION("""COMPUTED_VALUE"""),"望まれて生まれた命ではない――性暴力によって生まれた大手企業の会長の隠し子、村満 奏多（むらみつ かなた）。成人後、不慮の事故で死去した会長の跡を継ぐことになったが、歪んだ環境で育った奏多もまた歪み――豪邸の地下室に女性を攫い、自身の歪んだ欲望を押し付けるサイコパスとなっていた。そして今日も、いつものように新たな女を地下室に連れ去るが、四倉 未亜（よつくら みあ）はいつもの女とは何かが違っていた――。")</f>
        <v>望まれて生まれた命ではない――性暴力によって生まれた大手企業の会長の隠し子、村満 奏多（むらみつ かなた）。成人後、不慮の事故で死去した会長の跡を継ぐことになったが、歪んだ環境で育った奏多もまた歪み――豪邸の地下室に女性を攫い、自身の歪んだ欲望を押し付けるサイコパスとなっていた。そして今日も、いつものように新たな女を地下室に連れ去るが、四倉 未亜（よつくら みあ）はいつもの女とは何かが違っていた――。</v>
      </c>
      <c r="W1664" s="14"/>
      <c r="X1664" s="14" t="str">
        <f>IFERROR(__xludf.DUMMYFUNCTION("""COMPUTED_VALUE"""),"有")</f>
        <v>有</v>
      </c>
      <c r="Y1664" s="8" t="str">
        <f>IFERROR(__xludf.DUMMYFUNCTION("""COMPUTED_VALUE"""),"P13まで")</f>
        <v>P13まで</v>
      </c>
      <c r="Z1664" s="7"/>
      <c r="AA1664" s="7"/>
      <c r="AB1664" s="7"/>
    </row>
    <row r="1665" ht="15.75" customHeight="1">
      <c r="A1665" s="26">
        <f>IFERROR(__xludf.DUMMYFUNCTION("""COMPUTED_VALUE"""),3662.0)</f>
        <v>3662</v>
      </c>
      <c r="B1665" s="22" t="str">
        <f>IFERROR(__xludf.DUMMYFUNCTION("""COMPUTED_VALUE"""),"確定")</f>
        <v>確定</v>
      </c>
      <c r="C1665" s="28">
        <f>IFERROR(__xludf.DUMMYFUNCTION("""COMPUTED_VALUE"""),45461.0)</f>
        <v>45461</v>
      </c>
      <c r="D1665" s="28">
        <f>IFERROR(__xludf.DUMMYFUNCTION("""COMPUTED_VALUE"""),45461.0)</f>
        <v>45461</v>
      </c>
      <c r="E1665" s="26">
        <f>IFERROR(__xludf.DUMMYFUNCTION("""COMPUTED_VALUE"""),296688.0)</f>
        <v>296688</v>
      </c>
      <c r="F1665" s="22" t="str">
        <f>IFERROR(__xludf.DUMMYFUNCTION("""COMPUTED_VALUE"""),"今日から友達シよ！")</f>
        <v>今日から友達シよ！</v>
      </c>
      <c r="G1665" s="20" t="str">
        <f>IFERROR(__xludf.DUMMYFUNCTION("""COMPUTED_VALUE"""),"1～8")</f>
        <v>1～8</v>
      </c>
      <c r="H1665" s="22" t="str">
        <f>IFERROR(__xludf.DUMMYFUNCTION("""COMPUTED_VALUE"""),"kyun ja/ゴム動力機")</f>
        <v>kyun ja/ゴム動力機</v>
      </c>
      <c r="I1665" s="22" t="str">
        <f>IFERROR(__xludf.DUMMYFUNCTION("""COMPUTED_VALUE"""),"青年")</f>
        <v>青年</v>
      </c>
      <c r="J1665" s="22"/>
      <c r="K1665" s="22"/>
      <c r="L1665" s="22" t="str">
        <f>IFERROR(__xludf.DUMMYFUNCTION("""COMPUTED_VALUE"""),"Rush!")</f>
        <v>Rush!</v>
      </c>
      <c r="M1665" s="59">
        <f>IFERROR(__xludf.DUMMYFUNCTION("""COMPUTED_VALUE"""),45485.0)</f>
        <v>45485</v>
      </c>
      <c r="N1665" s="59">
        <f>IFERROR(__xludf.DUMMYFUNCTION("""COMPUTED_VALUE"""),45575.66666666667)</f>
        <v>45575.66667</v>
      </c>
      <c r="O1665" s="20"/>
      <c r="P1665" s="32" t="str">
        <f>IFERROR(__xludf.DUMMYFUNCTION("""COMPUTED_VALUE"""),"可")</f>
        <v>可</v>
      </c>
      <c r="Q1665" s="30"/>
      <c r="R1665" s="22"/>
      <c r="S1665" s="22" t="str">
        <f>IFERROR(__xludf.DUMMYFUNCTION("""COMPUTED_VALUE"""),"20240618_ファンギルド_今日から友達シよ！")</f>
        <v>20240618_ファンギルド_今日から友達シよ！</v>
      </c>
      <c r="T1665" s="22" t="str">
        <f>IFERROR(__xludf.DUMMYFUNCTION("""COMPUTED_VALUE"""),"格納済み")</f>
        <v>格納済み</v>
      </c>
      <c r="U1665" s="15" t="str">
        <f>IFERROR(__xludf.DUMMYFUNCTION("""COMPUTED_VALUE"""),"©kyun ja/ゴム動力機/TOPTOON	")</f>
        <v>©kyun ja/ゴム動力機/TOPTOON	</v>
      </c>
      <c r="V1665" s="8" t="str">
        <f>IFERROR(__xludf.DUMMYFUNCTION("""COMPUTED_VALUE"""),"3年近くも付き合った彼女に突如として別れを告げられた翔吾。強がってはいたものの湧き出る寂しさは抑える事ができず、腐れ縁の飲み友達であった杏奈を呼び出し飲む事に。二次会の宅飲みに至るほど盛り上がりを見せるが、徐々にお互いヒートアップ。どうせ女なんて皆同じだ！――その言葉にカッときた杏奈も売り言葉に買い言葉で、とある提案をする。「じゃあ私が舐めて勃つかどうか賭ける？」")</f>
        <v>3年近くも付き合った彼女に突如として別れを告げられた翔吾。強がってはいたものの湧き出る寂しさは抑える事ができず、腐れ縁の飲み友達であった杏奈を呼び出し飲む事に。二次会の宅飲みに至るほど盛り上がりを見せるが、徐々にお互いヒートアップ。どうせ女なんて皆同じだ！――その言葉にカッときた杏奈も売り言葉に買い言葉で、とある提案をする。「じゃあ私が舐めて勃つかどうか賭ける？」</v>
      </c>
      <c r="W1665" s="14"/>
      <c r="X1665" s="14" t="str">
        <f>IFERROR(__xludf.DUMMYFUNCTION("""COMPUTED_VALUE"""),"有")</f>
        <v>有</v>
      </c>
      <c r="Y1665" s="8" t="str">
        <f>IFERROR(__xludf.DUMMYFUNCTION("""COMPUTED_VALUE"""),"2024/7/25まで1巻無料")</f>
        <v>2024/7/25まで1巻無料</v>
      </c>
      <c r="Z1665" s="7"/>
      <c r="AA1665" s="7"/>
      <c r="AB1665" s="7"/>
    </row>
    <row r="1666" ht="15.75" customHeight="1">
      <c r="A1666" s="26">
        <f>IFERROR(__xludf.DUMMYFUNCTION("""COMPUTED_VALUE"""),3663.0)</f>
        <v>3663</v>
      </c>
      <c r="B1666" s="22" t="str">
        <f>IFERROR(__xludf.DUMMYFUNCTION("""COMPUTED_VALUE"""),"確定")</f>
        <v>確定</v>
      </c>
      <c r="C1666" s="28">
        <f>IFERROR(__xludf.DUMMYFUNCTION("""COMPUTED_VALUE"""),45461.0)</f>
        <v>45461</v>
      </c>
      <c r="D1666" s="28">
        <f>IFERROR(__xludf.DUMMYFUNCTION("""COMPUTED_VALUE"""),45461.0)</f>
        <v>45461</v>
      </c>
      <c r="E1666" s="26">
        <f>IFERROR(__xludf.DUMMYFUNCTION("""COMPUTED_VALUE"""),299640.0)</f>
        <v>299640</v>
      </c>
      <c r="F1666" s="22" t="str">
        <f>IFERROR(__xludf.DUMMYFUNCTION("""COMPUTED_VALUE"""),"濡れ衣令嬢のやり直し結婚生活")</f>
        <v>濡れ衣令嬢のやり直し結婚生活</v>
      </c>
      <c r="G1666" s="20" t="str">
        <f>IFERROR(__xludf.DUMMYFUNCTION("""COMPUTED_VALUE"""),"1～8")</f>
        <v>1～8</v>
      </c>
      <c r="H1666" s="22" t="str">
        <f>IFERROR(__xludf.DUMMYFUNCTION("""COMPUTED_VALUE"""),"berry/LaChic")</f>
        <v>berry/LaChic</v>
      </c>
      <c r="I1666" s="46" t="str">
        <f>IFERROR(__xludf.DUMMYFUNCTION("""COMPUTED_VALUE"""),"女性")</f>
        <v>女性</v>
      </c>
      <c r="J1666" s="22"/>
      <c r="K1666" s="22"/>
      <c r="L1666" s="22" t="str">
        <f>IFERROR(__xludf.DUMMYFUNCTION("""COMPUTED_VALUE"""),"Rush!")</f>
        <v>Rush!</v>
      </c>
      <c r="M1666" s="59">
        <f>IFERROR(__xludf.DUMMYFUNCTION("""COMPUTED_VALUE"""),45510.0)</f>
        <v>45510</v>
      </c>
      <c r="N1666" s="59">
        <f>IFERROR(__xludf.DUMMYFUNCTION("""COMPUTED_VALUE"""),45537.0)</f>
        <v>45537</v>
      </c>
      <c r="O1666" s="20"/>
      <c r="P1666" s="32" t="str">
        <f>IFERROR(__xludf.DUMMYFUNCTION("""COMPUTED_VALUE"""),"可")</f>
        <v>可</v>
      </c>
      <c r="Q1666" s="30"/>
      <c r="R1666" s="22"/>
      <c r="S1666" s="22" t="str">
        <f>IFERROR(__xludf.DUMMYFUNCTION("""COMPUTED_VALUE"""),"20240618_ファンギルド_濡れ衣令嬢のやり直し結婚生活")</f>
        <v>20240618_ファンギルド_濡れ衣令嬢のやり直し結婚生活</v>
      </c>
      <c r="T1666" s="22" t="str">
        <f>IFERROR(__xludf.DUMMYFUNCTION("""COMPUTED_VALUE"""),"格納済み")</f>
        <v>格納済み</v>
      </c>
      <c r="U1666" s="15" t="str">
        <f>IFERROR(__xludf.DUMMYFUNCTION("""COMPUTED_VALUE"""),"©berry/LaChic	")</f>
        <v>©berry/LaChic	</v>
      </c>
      <c r="V1666" s="8" t="str">
        <f>IFERROR(__xludf.DUMMYFUNCTION("""COMPUTED_VALUE"""),"国一番の名門貴族と名高いバイエルン家の長女・アネット。皇太子との婚約者として、順風満帆な生活を送る――はずが、身に覚えのない濡れ衣を着せられ、突如その座を奪われてしまう。そうして厄介者払いされるかのように、皇帝の私生児であるラフェルと政略結婚。何事にも苛立ち暴力に訴える夫と、冷え切った夫婦仲に疲弊し病に侵されたアネットは、失意の中で神に願う。「どうか、あの時に戻る事が出来たら…すべての過ちを正します」目を覚ますとそこは5年前のあの日、結婚式の前日。回帰を果たした濡れ衣令嬢の、ほろ苦く切ない、決意のやり直し"&amp;"結婚生活。【「濡れ衣令嬢のやり直し結婚生活」の再編集版です。重複購入にご注意ください。】")</f>
        <v>国一番の名門貴族と名高いバイエルン家の長女・アネット。皇太子との婚約者として、順風満帆な生活を送る――はずが、身に覚えのない濡れ衣を着せられ、突如その座を奪われてしまう。そうして厄介者払いされるかのように、皇帝の私生児であるラフェルと政略結婚。何事にも苛立ち暴力に訴える夫と、冷え切った夫婦仲に疲弊し病に侵されたアネットは、失意の中で神に願う。「どうか、あの時に戻る事が出来たら…すべての過ちを正します」目を覚ますとそこは5年前のあの日、結婚式の前日。回帰を果たした濡れ衣令嬢の、ほろ苦く切ない、決意のやり直し結婚生活。【「濡れ衣令嬢のやり直し結婚生活」の再編集版です。重複購入にご注意ください。】</v>
      </c>
      <c r="W1666" s="14"/>
      <c r="X1666" s="14" t="str">
        <f>IFERROR(__xludf.DUMMYFUNCTION("""COMPUTED_VALUE"""),"有")</f>
        <v>有</v>
      </c>
      <c r="Y1666" s="8" t="str">
        <f>IFERROR(__xludf.DUMMYFUNCTION("""COMPUTED_VALUE"""),"P17まで")</f>
        <v>P17まで</v>
      </c>
      <c r="Z1666" s="7"/>
      <c r="AA1666" s="7"/>
      <c r="AB1666" s="7"/>
    </row>
    <row r="1667" ht="15.75" customHeight="1">
      <c r="A1667" s="26">
        <f>IFERROR(__xludf.DUMMYFUNCTION("""COMPUTED_VALUE"""),3664.0)</f>
        <v>3664</v>
      </c>
      <c r="B1667" s="22" t="str">
        <f>IFERROR(__xludf.DUMMYFUNCTION("""COMPUTED_VALUE"""),"確定")</f>
        <v>確定</v>
      </c>
      <c r="C1667" s="28">
        <f>IFERROR(__xludf.DUMMYFUNCTION("""COMPUTED_VALUE"""),45461.0)</f>
        <v>45461</v>
      </c>
      <c r="D1667" s="28">
        <f>IFERROR(__xludf.DUMMYFUNCTION("""COMPUTED_VALUE"""),45461.0)</f>
        <v>45461</v>
      </c>
      <c r="E1667" s="26">
        <f>IFERROR(__xludf.DUMMYFUNCTION("""COMPUTED_VALUE"""),296728.0)</f>
        <v>296728</v>
      </c>
      <c r="F1667" s="22" t="str">
        <f>IFERROR(__xludf.DUMMYFUNCTION("""COMPUTED_VALUE"""),"ナードプロジェクト")</f>
        <v>ナードプロジェクト</v>
      </c>
      <c r="G1667" s="20" t="str">
        <f>IFERROR(__xludf.DUMMYFUNCTION("""COMPUTED_VALUE"""),"1～4")</f>
        <v>1～4</v>
      </c>
      <c r="H1667" s="22" t="str">
        <f>IFERROR(__xludf.DUMMYFUNCTION("""COMPUTED_VALUE"""),"g_jyeo")</f>
        <v>g_jyeo</v>
      </c>
      <c r="I1667" s="22" t="str">
        <f>IFERROR(__xludf.DUMMYFUNCTION("""COMPUTED_VALUE"""),"BL")</f>
        <v>BL</v>
      </c>
      <c r="J1667" s="22"/>
      <c r="K1667" s="22"/>
      <c r="L1667" s="22" t="str">
        <f>IFERROR(__xludf.DUMMYFUNCTION("""COMPUTED_VALUE"""),"Rush!")</f>
        <v>Rush!</v>
      </c>
      <c r="M1667" s="47">
        <f>IFERROR(__xludf.DUMMYFUNCTION("""COMPUTED_VALUE"""),45520.0)</f>
        <v>45520</v>
      </c>
      <c r="N1667" s="47">
        <f>IFERROR(__xludf.DUMMYFUNCTION("""COMPUTED_VALUE"""),45547.0)</f>
        <v>45547</v>
      </c>
      <c r="O1667" s="20"/>
      <c r="P1667" s="32" t="str">
        <f>IFERROR(__xludf.DUMMYFUNCTION("""COMPUTED_VALUE"""),"可")</f>
        <v>可</v>
      </c>
      <c r="Q1667" s="30"/>
      <c r="R1667" s="22"/>
      <c r="S1667" s="22" t="str">
        <f>IFERROR(__xludf.DUMMYFUNCTION("""COMPUTED_VALUE"""),"20240618_ファンギルド_ナードプロジェクト")</f>
        <v>20240618_ファンギルド_ナードプロジェクト</v>
      </c>
      <c r="T1667" s="22" t="str">
        <f>IFERROR(__xludf.DUMMYFUNCTION("""COMPUTED_VALUE"""),"格納済み")</f>
        <v>格納済み</v>
      </c>
      <c r="U1667" s="15" t="str">
        <f>IFERROR(__xludf.DUMMYFUNCTION("""COMPUTED_VALUE"""),"©g_jyeo	")</f>
        <v>©g_jyeo	</v>
      </c>
      <c r="V1667" s="8" t="str">
        <f>IFERROR(__xludf.DUMMYFUNCTION("""COMPUTED_VALUE"""),"ある日突然彼女からナード（オタク）スタイルにしてほしいと言われ、戸惑うルーク。飽きられたのかと悩むルークの前に、分厚い眼鏡にチェックシャツという正にオタクスタイルのアンドリューが現れる。気になったルークは彼を尾行し観察するが…分かったことは背が高くてとにかく顔が良く、勉強以外に興味がない優等生ということだけ。なおも観察を続けるルークだったがそこに彼女が現れ…アンドリューと楽し気に話す姿を目の当たりにしたルークは、そのまま喧嘩別れをしてしまう。後先考えず家を飛び出したルークは友人から紹介された大学寮に住むこ"&amp;"とにするが、同室のルームメイトはなんとあのアンドリューで――！？")</f>
        <v>ある日突然彼女からナード（オタク）スタイルにしてほしいと言われ、戸惑うルーク。飽きられたのかと悩むルークの前に、分厚い眼鏡にチェックシャツという正にオタクスタイルのアンドリューが現れる。気になったルークは彼を尾行し観察するが…分かったことは背が高くてとにかく顔が良く、勉強以外に興味がない優等生ということだけ。なおも観察を続けるルークだったがそこに彼女が現れ…アンドリューと楽し気に話す姿を目の当たりにしたルークは、そのまま喧嘩別れをしてしまう。後先考えず家を飛び出したルークは友人から紹介された大学寮に住むことにするが、同室のルームメイトはなんとあのアンドリューで――！？</v>
      </c>
      <c r="W1667" s="14"/>
      <c r="X1667" s="14" t="str">
        <f>IFERROR(__xludf.DUMMYFUNCTION("""COMPUTED_VALUE"""),"有")</f>
        <v>有</v>
      </c>
      <c r="Y1667" s="8" t="str">
        <f>IFERROR(__xludf.DUMMYFUNCTION("""COMPUTED_VALUE"""),"P15まで")</f>
        <v>P15まで</v>
      </c>
      <c r="Z1667" s="7"/>
      <c r="AA1667" s="7"/>
      <c r="AB1667" s="7"/>
    </row>
    <row r="1668" ht="15.75" customHeight="1">
      <c r="A1668" s="26">
        <f>IFERROR(__xludf.DUMMYFUNCTION("""COMPUTED_VALUE"""),3665.0)</f>
        <v>3665</v>
      </c>
      <c r="B1668" s="22" t="str">
        <f>IFERROR(__xludf.DUMMYFUNCTION("""COMPUTED_VALUE"""),"確定")</f>
        <v>確定</v>
      </c>
      <c r="C1668" s="28">
        <f>IFERROR(__xludf.DUMMYFUNCTION("""COMPUTED_VALUE"""),45461.0)</f>
        <v>45461</v>
      </c>
      <c r="D1668" s="28">
        <f>IFERROR(__xludf.DUMMYFUNCTION("""COMPUTED_VALUE"""),45461.0)</f>
        <v>45461</v>
      </c>
      <c r="E1668" s="26">
        <f>IFERROR(__xludf.DUMMYFUNCTION("""COMPUTED_VALUE"""),296420.0)</f>
        <v>296420</v>
      </c>
      <c r="F1668" s="22" t="str">
        <f>IFERROR(__xludf.DUMMYFUNCTION("""COMPUTED_VALUE"""),"アノコの奥までハッキング")</f>
        <v>アノコの奥までハッキング</v>
      </c>
      <c r="G1668" s="20" t="str">
        <f>IFERROR(__xludf.DUMMYFUNCTION("""COMPUTED_VALUE"""),"1～4")</f>
        <v>1～4</v>
      </c>
      <c r="H1668" s="22" t="str">
        <f>IFERROR(__xludf.DUMMYFUNCTION("""COMPUTED_VALUE"""),"Oyabun Tanuki")</f>
        <v>Oyabun Tanuki</v>
      </c>
      <c r="I1668" s="22" t="str">
        <f>IFERROR(__xludf.DUMMYFUNCTION("""COMPUTED_VALUE"""),"青年")</f>
        <v>青年</v>
      </c>
      <c r="J1668" s="22"/>
      <c r="K1668" s="22"/>
      <c r="L1668" s="22" t="str">
        <f>IFERROR(__xludf.DUMMYFUNCTION("""COMPUTED_VALUE"""),"Rush!")</f>
        <v>Rush!</v>
      </c>
      <c r="M1668" s="23">
        <f>IFERROR(__xludf.DUMMYFUNCTION("""COMPUTED_VALUE"""),45492.0)</f>
        <v>45492</v>
      </c>
      <c r="N1668" s="33">
        <f>IFERROR(__xludf.DUMMYFUNCTION("""COMPUTED_VALUE"""),45582.0)</f>
        <v>45582</v>
      </c>
      <c r="O1668" s="20"/>
      <c r="P1668" s="34" t="str">
        <f>IFERROR(__xludf.DUMMYFUNCTION("""COMPUTED_VALUE"""),"可")</f>
        <v>可</v>
      </c>
      <c r="Q1668" s="30" t="str">
        <f>IFERROR(__xludf.DUMMYFUNCTION("""COMPUTED_VALUE"""),"協業レーベル『シーモア×Rush!』作品です。")</f>
        <v>協業レーベル『シーモア×Rush!』作品です。</v>
      </c>
      <c r="R1668" s="22"/>
      <c r="S1668" s="22" t="str">
        <f>IFERROR(__xludf.DUMMYFUNCTION("""COMPUTED_VALUE"""),"20240618_ファンギルド_アノコの奥までハッキング")</f>
        <v>20240618_ファンギルド_アノコの奥までハッキング</v>
      </c>
      <c r="T1668" s="22" t="str">
        <f>IFERROR(__xludf.DUMMYFUNCTION("""COMPUTED_VALUE"""),"格納済み")</f>
        <v>格納済み</v>
      </c>
      <c r="U1668" s="15" t="str">
        <f>IFERROR(__xludf.DUMMYFUNCTION("""COMPUTED_VALUE"""),"©Oyabun Tanuki/TOPTOON	")</f>
        <v>©Oyabun Tanuki/TOPTOON	</v>
      </c>
      <c r="V1668" s="8" t="str">
        <f>IFERROR(__xludf.DUMMYFUNCTION("""COMPUTED_VALUE"""),"健康以外取り柄のない男、川崎拓弥（かわさきたくや）はコンビニでバイトをしながら代わり映えのしない日々を送っていた。そんな拓哉のもとに、突然とあるアプリが勝手にインストールされる。そこには過激な内容のミッションと、報酬金が記載されていた。半信半疑であったものの、PCやスマホ・そのカメラ機能に至るまでハッキングができるアプリの力を使い、次々とターゲットの弱みを握り快楽の沼に堕としていく拓哉。冴えない日々から一転、金も女も好きなだけ手に入れるヤリたい放題の日々――！")</f>
        <v>健康以外取り柄のない男、川崎拓弥（かわさきたくや）はコンビニでバイトをしながら代わり映えのしない日々を送っていた。そんな拓哉のもとに、突然とあるアプリが勝手にインストールされる。そこには過激な内容のミッションと、報酬金が記載されていた。半信半疑であったものの、PCやスマホ・そのカメラ機能に至るまでハッキングができるアプリの力を使い、次々とターゲットの弱みを握り快楽の沼に堕としていく拓哉。冴えない日々から一転、金も女も好きなだけ手に入れるヤリたい放題の日々――！</v>
      </c>
      <c r="W1668" s="14"/>
      <c r="X1668" s="14" t="str">
        <f>IFERROR(__xludf.DUMMYFUNCTION("""COMPUTED_VALUE"""),"有")</f>
        <v>有</v>
      </c>
      <c r="Y1668" s="8" t="str">
        <f>IFERROR(__xludf.DUMMYFUNCTION("""COMPUTED_VALUE"""),"P16まで")</f>
        <v>P16まで</v>
      </c>
      <c r="Z1668" s="7"/>
      <c r="AA1668" s="7"/>
      <c r="AB1668" s="7"/>
    </row>
    <row r="1669" ht="15.75" customHeight="1">
      <c r="A1669" s="26">
        <f>IFERROR(__xludf.DUMMYFUNCTION("""COMPUTED_VALUE"""),3666.0)</f>
        <v>3666</v>
      </c>
      <c r="B1669" s="22" t="str">
        <f>IFERROR(__xludf.DUMMYFUNCTION("""COMPUTED_VALUE"""),"確定")</f>
        <v>確定</v>
      </c>
      <c r="C1669" s="28">
        <f>IFERROR(__xludf.DUMMYFUNCTION("""COMPUTED_VALUE"""),45461.0)</f>
        <v>45461</v>
      </c>
      <c r="D1669" s="28">
        <f>IFERROR(__xludf.DUMMYFUNCTION("""COMPUTED_VALUE"""),45461.0)</f>
        <v>45461</v>
      </c>
      <c r="E1669" s="26">
        <f>IFERROR(__xludf.DUMMYFUNCTION("""COMPUTED_VALUE"""),296416.0)</f>
        <v>296416</v>
      </c>
      <c r="F1669" s="22" t="str">
        <f>IFERROR(__xludf.DUMMYFUNCTION("""COMPUTED_VALUE"""),"いきなり結婚宣言～裏切られ絶望した私に待っていたのは溺愛でした～")</f>
        <v>いきなり結婚宣言～裏切られ絶望した私に待っていたのは溺愛でした～</v>
      </c>
      <c r="G1669" s="20" t="str">
        <f>IFERROR(__xludf.DUMMYFUNCTION("""COMPUTED_VALUE"""),"1～4")</f>
        <v>1～4</v>
      </c>
      <c r="H1669" s="22" t="str">
        <f>IFERROR(__xludf.DUMMYFUNCTION("""COMPUTED_VALUE"""),"月塚彩")</f>
        <v>月塚彩</v>
      </c>
      <c r="I1669" s="22" t="str">
        <f>IFERROR(__xludf.DUMMYFUNCTION("""COMPUTED_VALUE"""),"女性")</f>
        <v>女性</v>
      </c>
      <c r="J1669" s="22"/>
      <c r="K1669" s="22"/>
      <c r="L1669" s="22" t="str">
        <f>IFERROR(__xludf.DUMMYFUNCTION("""COMPUTED_VALUE"""),"ファンギルド")</f>
        <v>ファンギルド</v>
      </c>
      <c r="M1669" s="23">
        <f>IFERROR(__xludf.DUMMYFUNCTION("""COMPUTED_VALUE"""),45483.0)</f>
        <v>45483</v>
      </c>
      <c r="N1669" s="33">
        <f>IFERROR(__xludf.DUMMYFUNCTION("""COMPUTED_VALUE"""),45587.0)</f>
        <v>45587</v>
      </c>
      <c r="O1669" s="20"/>
      <c r="P1669" s="34" t="str">
        <f>IFERROR(__xludf.DUMMYFUNCTION("""COMPUTED_VALUE"""),"可")</f>
        <v>可</v>
      </c>
      <c r="Q1669" s="30" t="str">
        <f>IFERROR(__xludf.DUMMYFUNCTION("""COMPUTED_VALUE"""),"協業レーベル『シーモア×チェリッシュ』作品です。")</f>
        <v>協業レーベル『シーモア×チェリッシュ』作品です。</v>
      </c>
      <c r="R1669" s="22"/>
      <c r="S1669" s="22" t="str">
        <f>IFERROR(__xludf.DUMMYFUNCTION("""COMPUTED_VALUE"""),"20240618_ファンギルド_いきなり結婚宣言～裏切られ絶望した私に待っていたのは溺愛でした～")</f>
        <v>20240618_ファンギルド_いきなり結婚宣言～裏切られ絶望した私に待っていたのは溺愛でした～</v>
      </c>
      <c r="T1669" s="22" t="str">
        <f>IFERROR(__xludf.DUMMYFUNCTION("""COMPUTED_VALUE"""),"格納済み")</f>
        <v>格納済み</v>
      </c>
      <c r="U1669" s="15" t="str">
        <f>IFERROR(__xludf.DUMMYFUNCTION("""COMPUTED_VALUE"""),"©月塚彩／ファンギルド")</f>
        <v>©月塚彩／ファンギルド</v>
      </c>
      <c r="V1669" s="8" t="str">
        <f>IFERROR(__xludf.DUMMYFUNCTION("""COMPUTED_VALUE"""),"彼氏との結婚を夢見て、仕事にまい進する春陽涼。しかしある日、デートに向かった涼を待ち受けたのは、自分以外の女性に指輪を送る彼氏の姿だった――！彼氏も、結婚への夢も奪われて呆然自失の涼に優しく手を差し伸べたのは、同期の一色。さらに一色は、辛い状況に涙をこぼす涼に「だったら俺と結婚しない？」と言い出して…!?")</f>
        <v>彼氏との結婚を夢見て、仕事にまい進する春陽涼。しかしある日、デートに向かった涼を待ち受けたのは、自分以外の女性に指輪を送る彼氏の姿だった――！彼氏も、結婚への夢も奪われて呆然自失の涼に優しく手を差し伸べたのは、同期の一色。さらに一色は、辛い状況に涙をこぼす涼に「だったら俺と結婚しない？」と言い出して…!?</v>
      </c>
      <c r="W1669" s="14"/>
      <c r="X1669" s="14" t="str">
        <f>IFERROR(__xludf.DUMMYFUNCTION("""COMPUTED_VALUE"""),"有")</f>
        <v>有</v>
      </c>
      <c r="Y1669" s="8" t="str">
        <f>IFERROR(__xludf.DUMMYFUNCTION("""COMPUTED_VALUE"""),"P7まで")</f>
        <v>P7まで</v>
      </c>
      <c r="Z1669" s="7"/>
      <c r="AA1669" s="7"/>
      <c r="AB1669" s="7"/>
    </row>
    <row r="1670" ht="15.75" customHeight="1">
      <c r="A1670" s="26">
        <f>IFERROR(__xludf.DUMMYFUNCTION("""COMPUTED_VALUE"""),3667.0)</f>
        <v>3667</v>
      </c>
      <c r="B1670" s="22" t="str">
        <f>IFERROR(__xludf.DUMMYFUNCTION("""COMPUTED_VALUE"""),"確定")</f>
        <v>確定</v>
      </c>
      <c r="C1670" s="28">
        <f>IFERROR(__xludf.DUMMYFUNCTION("""COMPUTED_VALUE"""),45462.0)</f>
        <v>45462</v>
      </c>
      <c r="D1670" s="28">
        <f>IFERROR(__xludf.DUMMYFUNCTION("""COMPUTED_VALUE"""),45462.0)</f>
        <v>45462</v>
      </c>
      <c r="E1670" s="26">
        <f>IFERROR(__xludf.DUMMYFUNCTION("""COMPUTED_VALUE"""),296630.0)</f>
        <v>296630</v>
      </c>
      <c r="F1670" s="22" t="str">
        <f>IFERROR(__xludf.DUMMYFUNCTION("""COMPUTED_VALUE"""),"婚約者に「あなたは将来浮気をしてわたしを捨てるから別れてください」と言ってみた（話売り）")</f>
        <v>婚約者に「あなたは将来浮気をしてわたしを捨てるから別れてください」と言ってみた（話売り）</v>
      </c>
      <c r="G1670" s="20" t="str">
        <f>IFERROR(__xludf.DUMMYFUNCTION("""COMPUTED_VALUE"""),"1～3")</f>
        <v>1～3</v>
      </c>
      <c r="H1670" s="22" t="str">
        <f>IFERROR(__xludf.DUMMYFUNCTION("""COMPUTED_VALUE"""),"原作：狭山ひびき 漫画：花都ゆうすけ")</f>
        <v>原作：狭山ひびき 漫画：花都ゆうすけ</v>
      </c>
      <c r="I1670" s="22" t="str">
        <f>IFERROR(__xludf.DUMMYFUNCTION("""COMPUTED_VALUE"""),"女性")</f>
        <v>女性</v>
      </c>
      <c r="J1670" s="22"/>
      <c r="K1670" s="22"/>
      <c r="L1670" s="22" t="str">
        <f>IFERROR(__xludf.DUMMYFUNCTION("""COMPUTED_VALUE"""),"秋田書店")</f>
        <v>秋田書店</v>
      </c>
      <c r="M1670" s="23">
        <f>IFERROR(__xludf.DUMMYFUNCTION("""COMPUTED_VALUE"""),45468.0)</f>
        <v>45468</v>
      </c>
      <c r="N1670" s="47">
        <f>IFERROR(__xludf.DUMMYFUNCTION("""COMPUTED_VALUE"""),45495.0)</f>
        <v>45495</v>
      </c>
      <c r="O1670" s="20"/>
      <c r="P1670" s="34" t="str">
        <f>IFERROR(__xludf.DUMMYFUNCTION("""COMPUTED_VALUE"""),"否")</f>
        <v>否</v>
      </c>
      <c r="Q1670" s="30" t="str">
        <f>IFERROR(__xludf.DUMMYFUNCTION("""COMPUTED_VALUE"""),"2話分で制作をお願いいたします
0000188546_jp_0054⇒P15～P51
0000188546_jp_0055⇒P175～P205")</f>
        <v>2話分で制作をお願いいたします
0000188546_jp_0054⇒P15～P51
0000188546_jp_0055⇒P175～P205</v>
      </c>
      <c r="R1670" s="22"/>
      <c r="S1670" s="22" t="str">
        <f>IFERROR(__xludf.DUMMYFUNCTION("""COMPUTED_VALUE"""),"20240619_秋田書店_6月新作")</f>
        <v>20240619_秋田書店_6月新作</v>
      </c>
      <c r="T1670" s="22" t="str">
        <f>IFERROR(__xludf.DUMMYFUNCTION("""COMPUTED_VALUE"""),"格納済み")</f>
        <v>格納済み</v>
      </c>
      <c r="U1670" s="15" t="str">
        <f>IFERROR(__xludf.DUMMYFUNCTION("""COMPUTED_VALUE"""),"©狭山ひびき・花都ゆうすけ（秋田書店）")</f>
        <v>©狭山ひびき・花都ゆうすけ（秋田書店）</v>
      </c>
      <c r="V1670" s="8" t="str">
        <f>IFERROR(__xludf.DUMMYFUNCTION("""COMPUTED_VALUE"""),"伯爵令嬢のクラリスは、幸せな結婚生活を送っていた…はずが、突然暗殺者に命を奪われた。原因は夫・アレクシス――。その記憶を持ったまま婚約時代に戻ってしまったクラリスは、すぐさま婚約を破棄しようとする。しかしアレクシスは別れを受け入れず、なぜか以前よりもクラリスを溺愛＆執着しているようで……。最愛の相手の裏切りから始まる、やりなおし婚約物語。")</f>
        <v>伯爵令嬢のクラリスは、幸せな結婚生活を送っていた…はずが、突然暗殺者に命を奪われた。原因は夫・アレクシス――。その記憶を持ったまま婚約時代に戻ってしまったクラリスは、すぐさま婚約を破棄しようとする。しかしアレクシスは別れを受け入れず、なぜか以前よりもクラリスを溺愛＆執着しているようで……。最愛の相手の裏切りから始まる、やりなおし婚約物語。</v>
      </c>
      <c r="W1670" s="14"/>
      <c r="X1670" s="14" t="str">
        <f>IFERROR(__xludf.DUMMYFUNCTION("""COMPUTED_VALUE"""),"有")</f>
        <v>有</v>
      </c>
      <c r="Y1670" s="8" t="str">
        <f>IFERROR(__xludf.DUMMYFUNCTION("""COMPUTED_VALUE"""),"2024/7/22まで1巻無料")</f>
        <v>2024/7/22まで1巻無料</v>
      </c>
      <c r="Z1670" s="7"/>
      <c r="AA1670" s="7"/>
      <c r="AB1670" s="7"/>
    </row>
    <row r="1671" ht="15.75" customHeight="1">
      <c r="A1671" s="26">
        <f>IFERROR(__xludf.DUMMYFUNCTION("""COMPUTED_VALUE"""),3668.0)</f>
        <v>3668</v>
      </c>
      <c r="B1671" s="22" t="str">
        <f>IFERROR(__xludf.DUMMYFUNCTION("""COMPUTED_VALUE"""),"確定")</f>
        <v>確定</v>
      </c>
      <c r="C1671" s="28">
        <f>IFERROR(__xludf.DUMMYFUNCTION("""COMPUTED_VALUE"""),45462.0)</f>
        <v>45462</v>
      </c>
      <c r="D1671" s="28">
        <f>IFERROR(__xludf.DUMMYFUNCTION("""COMPUTED_VALUE"""),45462.0)</f>
        <v>45462</v>
      </c>
      <c r="E1671" s="26">
        <f>IFERROR(__xludf.DUMMYFUNCTION("""COMPUTED_VALUE"""),293224.0)</f>
        <v>293224</v>
      </c>
      <c r="F1671" s="22" t="str">
        <f>IFERROR(__xludf.DUMMYFUNCTION("""COMPUTED_VALUE"""),"無能と蔑まれた令嬢は婚約破棄され、辺境の聖女と呼ばれる～傲慢な婚約者を捨て、護衛騎士と幸せになります～（女性）")</f>
        <v>無能と蔑まれた令嬢は婚約破棄され、辺境の聖女と呼ばれる～傲慢な婚約者を捨て、護衛騎士と幸せになります～（女性）</v>
      </c>
      <c r="G1671" s="20" t="str">
        <f>IFERROR(__xludf.DUMMYFUNCTION("""COMPUTED_VALUE"""),"1～4")</f>
        <v>1～4</v>
      </c>
      <c r="H1671" s="22" t="str">
        <f>IFERROR(__xludf.DUMMYFUNCTION("""COMPUTED_VALUE"""),"原作：葵すみれ 漫画：柏木トウコ")</f>
        <v>原作：葵すみれ 漫画：柏木トウコ</v>
      </c>
      <c r="I1671" s="22" t="str">
        <f>IFERROR(__xludf.DUMMYFUNCTION("""COMPUTED_VALUE"""),"女性")</f>
        <v>女性</v>
      </c>
      <c r="J1671" s="22"/>
      <c r="K1671" s="22"/>
      <c r="L1671" s="22" t="str">
        <f>IFERROR(__xludf.DUMMYFUNCTION("""COMPUTED_VALUE"""),"秋田書店")</f>
        <v>秋田書店</v>
      </c>
      <c r="M1671" s="23">
        <f>IFERROR(__xludf.DUMMYFUNCTION("""COMPUTED_VALUE"""),45468.0)</f>
        <v>45468</v>
      </c>
      <c r="N1671" s="47">
        <f>IFERROR(__xludf.DUMMYFUNCTION("""COMPUTED_VALUE"""),45495.0)</f>
        <v>45495</v>
      </c>
      <c r="O1671" s="20"/>
      <c r="P1671" s="34" t="str">
        <f>IFERROR(__xludf.DUMMYFUNCTION("""COMPUTED_VALUE"""),"否")</f>
        <v>否</v>
      </c>
      <c r="Q1671" s="30" t="str">
        <f>IFERROR(__xludf.DUMMYFUNCTION("""COMPUTED_VALUE"""),"3話分で制作をお願いいたします
0000188546_jp_0053⇒P15～P57
0000188546_jp_0054⇒P55～P88
0000188546_jp_0055⇒P209～P240")</f>
        <v>3話分で制作をお願いいたします
0000188546_jp_0053⇒P15～P57
0000188546_jp_0054⇒P55～P88
0000188546_jp_0055⇒P209～P240</v>
      </c>
      <c r="R1671" s="22"/>
      <c r="S1671" s="22" t="str">
        <f>IFERROR(__xludf.DUMMYFUNCTION("""COMPUTED_VALUE"""),"20240619_秋田書店_6月新作")</f>
        <v>20240619_秋田書店_6月新作</v>
      </c>
      <c r="T1671" s="22" t="str">
        <f>IFERROR(__xludf.DUMMYFUNCTION("""COMPUTED_VALUE"""),"格納済み")</f>
        <v>格納済み</v>
      </c>
      <c r="U1671" s="15" t="str">
        <f>IFERROR(__xludf.DUMMYFUNCTION("""COMPUTED_VALUE"""),"©葵すみれ・柏木トウコ（秋田書店）")</f>
        <v>©葵すみれ・柏木トウコ（秋田書店）</v>
      </c>
      <c r="V1671" s="8" t="str">
        <f>IFERROR(__xludf.DUMMYFUNCTION("""COMPUTED_VALUE"""),"強力な魔力で魔物と人間の世界の境界を守るギャレット辺境伯家唯一の直系子孫であるエメライン。しかし彼女にはなぜか魔力がなかった。このため、強い魔力を持つダミアンと結婚し、子を作ることが彼女の役目だが、ダミアンはたびたび婚約破棄をちらつかせて、エメラインを貶めるような男だった。唯一の心の支えはエメライン専属の護衛騎士バートと侍女のアルマだけ。責任感から理不尽な仕打ちに耐え続けるエメラインに、密かに心を寄せるバート。たとえ想いが通じたとしても、二人は決して一緒にはなれない関係で――!?　婚約破棄ざまぁ×身分差恋"&amp;"愛ファンタジー！")</f>
        <v>強力な魔力で魔物と人間の世界の境界を守るギャレット辺境伯家唯一の直系子孫であるエメライン。しかし彼女にはなぜか魔力がなかった。このため、強い魔力を持つダミアンと結婚し、子を作ることが彼女の役目だが、ダミアンはたびたび婚約破棄をちらつかせて、エメラインを貶めるような男だった。唯一の心の支えはエメライン専属の護衛騎士バートと侍女のアルマだけ。責任感から理不尽な仕打ちに耐え続けるエメラインに、密かに心を寄せるバート。たとえ想いが通じたとしても、二人は決して一緒にはなれない関係で――!?　婚約破棄ざまぁ×身分差恋愛ファンタジー！</v>
      </c>
      <c r="W1671" s="14"/>
      <c r="X1671" s="14" t="str">
        <f>IFERROR(__xludf.DUMMYFUNCTION("""COMPUTED_VALUE"""),"有")</f>
        <v>有</v>
      </c>
      <c r="Y1671" s="8" t="str">
        <f>IFERROR(__xludf.DUMMYFUNCTION("""COMPUTED_VALUE"""),"P6まで")</f>
        <v>P6まで</v>
      </c>
      <c r="Z1671" s="7"/>
      <c r="AA1671" s="7"/>
      <c r="AB1671" s="7"/>
    </row>
    <row r="1672" ht="15.75" customHeight="1">
      <c r="A1672" s="66">
        <f>IFERROR(__xludf.DUMMYFUNCTION("""COMPUTED_VALUE"""),3308.0)</f>
        <v>3308</v>
      </c>
      <c r="B1672" s="67" t="str">
        <f>IFERROR(__xludf.DUMMYFUNCTION("""COMPUTED_VALUE"""),"確定")</f>
        <v>確定</v>
      </c>
      <c r="C1672" s="68">
        <f>IFERROR(__xludf.DUMMYFUNCTION("""COMPUTED_VALUE"""),45399.0)</f>
        <v>45399</v>
      </c>
      <c r="D1672" s="68">
        <f>IFERROR(__xludf.DUMMYFUNCTION("""COMPUTED_VALUE"""),45446.0)</f>
        <v>45446</v>
      </c>
      <c r="E1672" s="31">
        <f>IFERROR(__xludf.DUMMYFUNCTION("""COMPUTED_VALUE"""),295163.0)</f>
        <v>295163</v>
      </c>
      <c r="F1672" s="22" t="str">
        <f>IFERROR(__xludf.DUMMYFUNCTION("""COMPUTED_VALUE"""),"この声でもっと乱れて？～オフィスの王子様は私だけにいじわる～")</f>
        <v>この声でもっと乱れて？～オフィスの王子様は私だけにいじわる～</v>
      </c>
      <c r="G1672" s="11" t="str">
        <f>IFERROR(__xludf.DUMMYFUNCTION("""COMPUTED_VALUE"""),"1～2")</f>
        <v>1～2</v>
      </c>
      <c r="H1672" s="67" t="str">
        <f>IFERROR(__xludf.DUMMYFUNCTION("""COMPUTED_VALUE"""),"はやせ慶")</f>
        <v>はやせ慶</v>
      </c>
      <c r="I1672" s="67" t="str">
        <f>IFERROR(__xludf.DUMMYFUNCTION("""COMPUTED_VALUE"""),"TL")</f>
        <v>TL</v>
      </c>
      <c r="J1672" s="67"/>
      <c r="K1672" s="67"/>
      <c r="L1672" s="67" t="str">
        <f>IFERROR(__xludf.DUMMYFUNCTION("""COMPUTED_VALUE"""),"CLLENN")</f>
        <v>CLLENN</v>
      </c>
      <c r="M1672" s="23">
        <f>IFERROR(__xludf.DUMMYFUNCTION("""COMPUTED_VALUE"""),45465.0)</f>
        <v>45465</v>
      </c>
      <c r="N1672" s="23">
        <f>IFERROR(__xludf.DUMMYFUNCTION("""COMPUTED_VALUE"""),45492.0)</f>
        <v>45492</v>
      </c>
      <c r="O1672" s="69"/>
      <c r="P1672" s="70" t="str">
        <f>IFERROR(__xludf.DUMMYFUNCTION("""COMPUTED_VALUE"""),"可")</f>
        <v>可</v>
      </c>
      <c r="Q1672" s="67" t="str">
        <f>IFERROR(__xludf.DUMMYFUNCTION("""COMPUTED_VALUE"""),"レーベル名：乙女チック")</f>
        <v>レーベル名：乙女チック</v>
      </c>
      <c r="R1672" s="67" t="str">
        <f>IFERROR(__xludf.DUMMYFUNCTION("""COMPUTED_VALUE"""),"格納済")</f>
        <v>格納済</v>
      </c>
      <c r="S1672" s="22" t="str">
        <f>IFERROR(__xludf.DUMMYFUNCTION("""COMPUTED_VALUE"""),"20240529_CLLENN_この声でもっと乱れて？～オフィスの王子様は私だけにいじわる～")</f>
        <v>20240529_CLLENN_この声でもっと乱れて？～オフィスの王子様は私だけにいじわる～</v>
      </c>
      <c r="T1672" s="67" t="str">
        <f>IFERROR(__xludf.DUMMYFUNCTION("""COMPUTED_VALUE"""),"格納済み")</f>
        <v>格納済み</v>
      </c>
      <c r="U1672" s="15" t="str">
        <f>IFERROR(__xludf.DUMMYFUNCTION("""COMPUTED_VALUE"""),"ⓒはやせ慶/CLLENN")</f>
        <v>ⓒはやせ慶/CLLENN</v>
      </c>
      <c r="V1672" s="8" t="str">
        <f>IFERROR(__xludf.DUMMYFUNCTION("""COMPUTED_VALUE"""),"「興奮してんだ？職場で…こんなことされて」だめ…その声で言われると抗えない…っ！──頑張り屋な性格のOL・江浦睦月（えうらむつき）のヒミツの生きがいは、エッチなボイス配信を聴くこと。ある日の残業中、大好きなドS配信をこっそり聞いていたら、理想の”濡れるイケボ”を持つ爽やかイケメン・衛藤昴（えとうすばる）にバレてしまう。あまりの恥ずかしさに必死で誤魔化すものの、今まで優しかった彼の態度が豹変して！？「俺が直接癒やしてやるよ」くちゅくちゅえっちな音をたてながら、長い指でナカを意地悪に責めたてられ……！こんなこ"&amp;"とダメなのに、その声で囁かれたらもっとめちゃくちゃにされたくなる──")</f>
        <v>「興奮してんだ？職場で…こんなことされて」だめ…その声で言われると抗えない…っ！──頑張り屋な性格のOL・江浦睦月（えうらむつき）のヒミツの生きがいは、エッチなボイス配信を聴くこと。ある日の残業中、大好きなドS配信をこっそり聞いていたら、理想の”濡れるイケボ”を持つ爽やかイケメン・衛藤昴（えとうすばる）にバレてしまう。あまりの恥ずかしさに必死で誤魔化すものの、今まで優しかった彼の態度が豹変して！？「俺が直接癒やしてやるよ」くちゅくちゅえっちな音をたてながら、長い指でナカを意地悪に責めたてられ……！こんなことダメなのに、その声で囁かれたらもっとめちゃくちゃにされたくなる──</v>
      </c>
      <c r="W1672" s="14"/>
      <c r="X1672" s="14" t="str">
        <f>IFERROR(__xludf.DUMMYFUNCTION("""COMPUTED_VALUE"""),"有")</f>
        <v>有</v>
      </c>
      <c r="Y1672" s="8" t="str">
        <f>IFERROR(__xludf.DUMMYFUNCTION("""COMPUTED_VALUE"""),"P10まで")</f>
        <v>P10まで</v>
      </c>
      <c r="Z1672" s="7"/>
      <c r="AA1672" s="7"/>
      <c r="AB1672" s="7"/>
    </row>
    <row r="1673" ht="15.75" customHeight="1">
      <c r="A1673" s="66">
        <f>IFERROR(__xludf.DUMMYFUNCTION("""COMPUTED_VALUE"""),3306.0)</f>
        <v>3306</v>
      </c>
      <c r="B1673" s="67" t="str">
        <f>IFERROR(__xludf.DUMMYFUNCTION("""COMPUTED_VALUE"""),"確定")</f>
        <v>確定</v>
      </c>
      <c r="C1673" s="68">
        <f>IFERROR(__xludf.DUMMYFUNCTION("""COMPUTED_VALUE"""),45399.0)</f>
        <v>45399</v>
      </c>
      <c r="D1673" s="68">
        <f>IFERROR(__xludf.DUMMYFUNCTION("""COMPUTED_VALUE"""),45446.0)</f>
        <v>45446</v>
      </c>
      <c r="E1673" s="31">
        <f>IFERROR(__xludf.DUMMYFUNCTION("""COMPUTED_VALUE"""),295219.0)</f>
        <v>295219</v>
      </c>
      <c r="F1673" s="22" t="str">
        <f>IFERROR(__xludf.DUMMYFUNCTION("""COMPUTED_VALUE"""),"たっぷり注いで溺愛するね？～欲しがるカラダにぐちゃぐちゃの快楽～")</f>
        <v>たっぷり注いで溺愛するね？～欲しがるカラダにぐちゃぐちゃの快楽～</v>
      </c>
      <c r="G1673" s="11" t="str">
        <f>IFERROR(__xludf.DUMMYFUNCTION("""COMPUTED_VALUE"""),"1～2")</f>
        <v>1～2</v>
      </c>
      <c r="H1673" s="67" t="str">
        <f>IFERROR(__xludf.DUMMYFUNCTION("""COMPUTED_VALUE"""),"ぺろこ")</f>
        <v>ぺろこ</v>
      </c>
      <c r="I1673" s="67" t="str">
        <f>IFERROR(__xludf.DUMMYFUNCTION("""COMPUTED_VALUE"""),"TL")</f>
        <v>TL</v>
      </c>
      <c r="J1673" s="67"/>
      <c r="K1673" s="67"/>
      <c r="L1673" s="67" t="str">
        <f>IFERROR(__xludf.DUMMYFUNCTION("""COMPUTED_VALUE"""),"CLLENN")</f>
        <v>CLLENN</v>
      </c>
      <c r="M1673" s="23">
        <f>IFERROR(__xludf.DUMMYFUNCTION("""COMPUTED_VALUE"""),45467.0)</f>
        <v>45467</v>
      </c>
      <c r="N1673" s="23">
        <f>IFERROR(__xludf.DUMMYFUNCTION("""COMPUTED_VALUE"""),45529.0)</f>
        <v>45529</v>
      </c>
      <c r="O1673" s="69"/>
      <c r="P1673" s="70" t="str">
        <f>IFERROR(__xludf.DUMMYFUNCTION("""COMPUTED_VALUE"""),"可")</f>
        <v>可</v>
      </c>
      <c r="Q1673" s="67" t="str">
        <f>IFERROR(__xludf.DUMMYFUNCTION("""COMPUTED_VALUE"""),"広告コミットOK（4/23）&lt;BR&gt;レーベル名：ウーコミ!kiss")</f>
        <v>広告コミットOK（4/23）&lt;BR&gt;レーベル名：ウーコミ!kiss</v>
      </c>
      <c r="R1673" s="67" t="str">
        <f>IFERROR(__xludf.DUMMYFUNCTION("""COMPUTED_VALUE"""),"格納済")</f>
        <v>格納済</v>
      </c>
      <c r="S1673" s="22" t="str">
        <f>IFERROR(__xludf.DUMMYFUNCTION("""COMPUTED_VALUE"""),"20240529_CLLENN_たっぷり注いで溺愛するね？～欲しがるカラダにぐちゃぐちゃの快楽～")</f>
        <v>20240529_CLLENN_たっぷり注いで溺愛するね？～欲しがるカラダにぐちゃぐちゃの快楽～</v>
      </c>
      <c r="T1673" s="67" t="str">
        <f>IFERROR(__xludf.DUMMYFUNCTION("""COMPUTED_VALUE"""),"格納済み")</f>
        <v>格納済み</v>
      </c>
      <c r="U1673" s="15" t="str">
        <f>IFERROR(__xludf.DUMMYFUNCTION("""COMPUTED_VALUE"""),"ⓒぺろこ/CLLENN")</f>
        <v>ⓒぺろこ/CLLENN</v>
      </c>
      <c r="V1673" s="8" t="str">
        <f>IFERROR(__xludf.DUMMYFUNCTION("""COMPUTED_VALUE"""),"「ほら、こんなに濡れてる」「ゆっくり押し広げて、一番奥で出してあげるね」セックスってこんなに気持ちいいのが普通なの？――昔からなぜか変質者ばかりに狙われてしまう私・寿林檎。まともな恋愛をしたくても叶わず24歳になってしまって、当然処女のまま…。欲求不満が募ったせいか、最近はエッチな夢ばかり見てしまう。出てくるのは毎回同じ男の人なんだけど、いったい誰なんだろう？　そう思っていたら、またおかしな男に襲われてしまった私。危ないところを助けてくれたのは、夢に出てきた彼で!? 抱きすくめられてキスをすると、変な気分"&amp;"になってきて…ナカに指を入れられて、優しくほぐされてイカされて。恥ずかしさと快感の余韻にとろけていたら「リンゴは特別な人間なんだよ」って突然何を言ってるの？　天使と名乗るミカくんが、精気を吸われた私に“幸せ”を与えてくれる。「だからこれからセックスしよう」って、荒唐無稽なのに気持ちよくて抗えない…！")</f>
        <v>「ほら、こんなに濡れてる」「ゆっくり押し広げて、一番奥で出してあげるね」セックスってこんなに気持ちいいのが普通なの？――昔からなぜか変質者ばかりに狙われてしまう私・寿林檎。まともな恋愛をしたくても叶わず24歳になってしまって、当然処女のまま…。欲求不満が募ったせいか、最近はエッチな夢ばかり見てしまう。出てくるのは毎回同じ男の人なんだけど、いったい誰なんだろう？　そう思っていたら、またおかしな男に襲われてしまった私。危ないところを助けてくれたのは、夢に出てきた彼で!? 抱きすくめられてキスをすると、変な気分になってきて…ナカに指を入れられて、優しくほぐされてイカされて。恥ずかしさと快感の余韻にとろけていたら「リンゴは特別な人間なんだよ」って突然何を言ってるの？　天使と名乗るミカくんが、精気を吸われた私に“幸せ”を与えてくれる。「だからこれからセックスしよう」って、荒唐無稽なのに気持ちよくて抗えない…！</v>
      </c>
      <c r="W1673" s="14"/>
      <c r="X1673" s="14" t="str">
        <f>IFERROR(__xludf.DUMMYFUNCTION("""COMPUTED_VALUE"""),"有")</f>
        <v>有</v>
      </c>
      <c r="Y1673" s="8" t="str">
        <f>IFERROR(__xludf.DUMMYFUNCTION("""COMPUTED_VALUE"""),"P10まで")</f>
        <v>P10まで</v>
      </c>
      <c r="Z1673" s="7"/>
      <c r="AA1673" s="7"/>
      <c r="AB1673" s="7"/>
    </row>
    <row r="1674" ht="15.75" customHeight="1">
      <c r="A1674" s="66">
        <f>IFERROR(__xludf.DUMMYFUNCTION("""COMPUTED_VALUE"""),3101.0)</f>
        <v>3101</v>
      </c>
      <c r="B1674" s="67" t="str">
        <f>IFERROR(__xludf.DUMMYFUNCTION("""COMPUTED_VALUE"""),"確定")</f>
        <v>確定</v>
      </c>
      <c r="C1674" s="68">
        <f>IFERROR(__xludf.DUMMYFUNCTION("""COMPUTED_VALUE"""),45365.0)</f>
        <v>45365</v>
      </c>
      <c r="D1674" s="68">
        <f>IFERROR(__xludf.DUMMYFUNCTION("""COMPUTED_VALUE"""),45419.0)</f>
        <v>45419</v>
      </c>
      <c r="E1674" s="31">
        <f>IFERROR(__xludf.DUMMYFUNCTION("""COMPUTED_VALUE"""),292846.0)</f>
        <v>292846</v>
      </c>
      <c r="F1674" s="22" t="str">
        <f>IFERROR(__xludf.DUMMYFUNCTION("""COMPUTED_VALUE"""),"悪役令嬢はスローライフをエンジョイしたい！〜やっと婚約破棄されたのに、第二王子がめっちゃストーカーしてくるんですけど…〜")</f>
        <v>悪役令嬢はスローライフをエンジョイしたい！〜やっと婚約破棄されたのに、第二王子がめっちゃストーカーしてくるんですけど…〜</v>
      </c>
      <c r="G1674" s="11" t="str">
        <f>IFERROR(__xludf.DUMMYFUNCTION("""COMPUTED_VALUE"""),"1～2")</f>
        <v>1～2</v>
      </c>
      <c r="H1674" s="67" t="str">
        <f>IFERROR(__xludf.DUMMYFUNCTION("""COMPUTED_VALUE"""),"梅星あやめ/雨宮れん")</f>
        <v>梅星あやめ/雨宮れん</v>
      </c>
      <c r="I1674" s="22" t="str">
        <f>IFERROR(__xludf.DUMMYFUNCTION("""COMPUTED_VALUE"""),"少女")</f>
        <v>少女</v>
      </c>
      <c r="J1674" s="67"/>
      <c r="K1674" s="67"/>
      <c r="L1674" s="67" t="str">
        <f>IFERROR(__xludf.DUMMYFUNCTION("""COMPUTED_VALUE"""),"マガジンハウス")</f>
        <v>マガジンハウス</v>
      </c>
      <c r="M1674" s="23">
        <f>IFERROR(__xludf.DUMMYFUNCTION("""COMPUTED_VALUE"""),45433.0)</f>
        <v>45433</v>
      </c>
      <c r="N1674" s="23">
        <f>IFERROR(__xludf.DUMMYFUNCTION("""COMPUTED_VALUE"""),45460.0)</f>
        <v>45460</v>
      </c>
      <c r="O1674" s="69"/>
      <c r="P1674" s="70" t="str">
        <f>IFERROR(__xludf.DUMMYFUNCTION("""COMPUTED_VALUE"""),"否")</f>
        <v>否</v>
      </c>
      <c r="Q1674" s="67" t="str">
        <f>IFERROR(__xludf.DUMMYFUNCTION("""COMPUTED_VALUE"""),"広告コミットOK(3/19)&lt;BR&gt;※今回のみ先行期間1ヶ月となります…&lt;BR&gt;次回以降、2ヶ月以上をお約束していただいております")</f>
        <v>広告コミットOK(3/19)&lt;BR&gt;※今回のみ先行期間1ヶ月となります…&lt;BR&gt;次回以降、2ヶ月以上をお約束していただいております</v>
      </c>
      <c r="R1674" s="67" t="str">
        <f>IFERROR(__xludf.DUMMYFUNCTION("""COMPUTED_VALUE"""),"格納済")</f>
        <v>格納済</v>
      </c>
      <c r="S1674" s="22" t="str">
        <f>IFERROR(__xludf.DUMMYFUNCTION("""COMPUTED_VALUE"""),"20240424_マガジンハウス_悪役令嬢はスローライフをエンジョイしたい！〜やっと婚約破棄されたのに、第二王子がめっちゃストーカーしてくるんですけど…〜")</f>
        <v>20240424_マガジンハウス_悪役令嬢はスローライフをエンジョイしたい！〜やっと婚約破棄されたのに、第二王子がめっちゃストーカーしてくるんですけど…〜</v>
      </c>
      <c r="T1674" s="67" t="str">
        <f>IFERROR(__xludf.DUMMYFUNCTION("""COMPUTED_VALUE"""),"格納済み")</f>
        <v>格納済み</v>
      </c>
      <c r="U1674" s="15" t="str">
        <f>IFERROR(__xludf.DUMMYFUNCTION("""COMPUTED_VALUE"""),"(C)梅星あやめ/雨宮れん/マガジンハウス")</f>
        <v>(C)梅星あやめ/雨宮れん/マガジンハウス</v>
      </c>
      <c r="V1674" s="8" t="str">
        <f>IFERROR(__xludf.DUMMYFUNCTION("""COMPUTED_VALUE"""),"「やっと来たのね、婚約破棄（待望）の瞬間が」
「そなたとの婚約は破棄する!」
学園の卒業式で王太子からお約束の台詞を投げつけられた悪役令嬢シルヴィ。
彼女は会心の笑みで……「はい! 喜んでお受けします!」と答えた。
王太子の恋人へのいじめ疑惑をかけられるも、「ダンジョンで大根を掘っていた」という華麗なアリバイで論破。ふんだくった慰謝料とS級冒険者のライセンスを片手に、シルヴィはとある農場へ悠々と移住する。
かねてからの夢だったスローライフを始めよう! と思いきや、かつての婚約者の弟である"&amp;"第二王子が押し掛けてきた!?
どうやらシルヴィを王家に仇なす危険人物として見ているらしく、監視と称してたびたび居座るようになり……。
ままならないスローライフ系ラブストーリーの開幕！")</f>
        <v>「やっと来たのね、婚約破棄（待望）の瞬間が」
「そなたとの婚約は破棄する!」
学園の卒業式で王太子からお約束の台詞を投げつけられた悪役令嬢シルヴィ。
彼女は会心の笑みで……「はい! 喜んでお受けします!」と答えた。
王太子の恋人へのいじめ疑惑をかけられるも、「ダンジョンで大根を掘っていた」という華麗なアリバイで論破。ふんだくった慰謝料とS級冒険者のライセンスを片手に、シルヴィはとある農場へ悠々と移住する。
かねてからの夢だったスローライフを始めよう! と思いきや、かつての婚約者の弟である第二王子が押し掛けてきた!?
どうやらシルヴィを王家に仇なす危険人物として見ているらしく、監視と称してたびたび居座るようになり……。
ままならないスローライフ系ラブストーリーの開幕！</v>
      </c>
      <c r="W1674" s="14"/>
      <c r="X1674" s="14" t="str">
        <f>IFERROR(__xludf.DUMMYFUNCTION("""COMPUTED_VALUE"""),"有")</f>
        <v>有</v>
      </c>
      <c r="Y1674" s="8" t="str">
        <f>IFERROR(__xludf.DUMMYFUNCTION("""COMPUTED_VALUE"""),"2024/6/17まで1巻無料")</f>
        <v>2024/6/17まで1巻無料</v>
      </c>
      <c r="Z1674" s="7"/>
      <c r="AA1674" s="7"/>
      <c r="AB1674" s="7"/>
    </row>
    <row r="1675" ht="15.75" customHeight="1">
      <c r="A1675" s="66">
        <f>IFERROR(__xludf.DUMMYFUNCTION("""COMPUTED_VALUE"""),3102.0)</f>
        <v>3102</v>
      </c>
      <c r="B1675" s="67" t="str">
        <f>IFERROR(__xludf.DUMMYFUNCTION("""COMPUTED_VALUE"""),"確定")</f>
        <v>確定</v>
      </c>
      <c r="C1675" s="68">
        <f>IFERROR(__xludf.DUMMYFUNCTION("""COMPUTED_VALUE"""),45365.0)</f>
        <v>45365</v>
      </c>
      <c r="D1675" s="68">
        <f>IFERROR(__xludf.DUMMYFUNCTION("""COMPUTED_VALUE"""),45419.0)</f>
        <v>45419</v>
      </c>
      <c r="E1675" s="31">
        <f>IFERROR(__xludf.DUMMYFUNCTION("""COMPUTED_VALUE"""),292847.0)</f>
        <v>292847</v>
      </c>
      <c r="F1675" s="22" t="str">
        <f>IFERROR(__xludf.DUMMYFUNCTION("""COMPUTED_VALUE"""),"断罪された負け組令嬢ですが、時間を戻せるようになったので今度こそ幸せになります【単話】")</f>
        <v>断罪された負け組令嬢ですが、時間を戻せるようになったので今度こそ幸せになります【単話】</v>
      </c>
      <c r="G1675" s="11" t="str">
        <f>IFERROR(__xludf.DUMMYFUNCTION("""COMPUTED_VALUE"""),"1～2")</f>
        <v>1～2</v>
      </c>
      <c r="H1675" s="67" t="str">
        <f>IFERROR(__xludf.DUMMYFUNCTION("""COMPUTED_VALUE"""),"嶌咲ゆたか/シアノ")</f>
        <v>嶌咲ゆたか/シアノ</v>
      </c>
      <c r="I1675" s="22" t="str">
        <f>IFERROR(__xludf.DUMMYFUNCTION("""COMPUTED_VALUE"""),"少女")</f>
        <v>少女</v>
      </c>
      <c r="J1675" s="67"/>
      <c r="K1675" s="67"/>
      <c r="L1675" s="67" t="str">
        <f>IFERROR(__xludf.DUMMYFUNCTION("""COMPUTED_VALUE"""),"マガジンハウス")</f>
        <v>マガジンハウス</v>
      </c>
      <c r="M1675" s="23">
        <f>IFERROR(__xludf.DUMMYFUNCTION("""COMPUTED_VALUE"""),45433.0)</f>
        <v>45433</v>
      </c>
      <c r="N1675" s="23">
        <f>IFERROR(__xludf.DUMMYFUNCTION("""COMPUTED_VALUE"""),45460.0)</f>
        <v>45460</v>
      </c>
      <c r="O1675" s="69"/>
      <c r="P1675" s="70" t="str">
        <f>IFERROR(__xludf.DUMMYFUNCTION("""COMPUTED_VALUE"""),"否")</f>
        <v>否</v>
      </c>
      <c r="Q1675" s="67" t="str">
        <f>IFERROR(__xludf.DUMMYFUNCTION("""COMPUTED_VALUE"""),"広告コミットOK(3/19)&lt;BR&gt;※今回のみ先行期間1ヶ月となります…&lt;BR&gt;次回以降、2ヶ月以上をお約束していただいております")</f>
        <v>広告コミットOK(3/19)&lt;BR&gt;※今回のみ先行期間1ヶ月となります…&lt;BR&gt;次回以降、2ヶ月以上をお約束していただいております</v>
      </c>
      <c r="R1675" s="67" t="str">
        <f>IFERROR(__xludf.DUMMYFUNCTION("""COMPUTED_VALUE"""),"格納済")</f>
        <v>格納済</v>
      </c>
      <c r="S1675" s="22" t="str">
        <f>IFERROR(__xludf.DUMMYFUNCTION("""COMPUTED_VALUE"""),"20240424_マガジンハウス_断罪された負け組令嬢ですが、時間を戻せるようになったので今度こそ幸せになります")</f>
        <v>20240424_マガジンハウス_断罪された負け組令嬢ですが、時間を戻せるようになったので今度こそ幸せになります</v>
      </c>
      <c r="T1675" s="67" t="str">
        <f>IFERROR(__xludf.DUMMYFUNCTION("""COMPUTED_VALUE"""),"格納済み")</f>
        <v>格納済み</v>
      </c>
      <c r="U1675" s="15" t="str">
        <f>IFERROR(__xludf.DUMMYFUNCTION("""COMPUTED_VALUE"""),"(C)嶌咲ゆたか/シアノ/マガジンハウス")</f>
        <v>(C)嶌咲ゆたか/シアノ/マガジンハウス</v>
      </c>
      <c r="V1675" s="8" t="str">
        <f>IFERROR(__xludf.DUMMYFUNCTION("""COMPUTED_VALUE"""),"－－もう負け組なんて言わせない。やり直しの能力で幸せになってみせます！
幸せになれるはずの婚約披露パーティーで、最悪な形で第二王子から婚約破棄されてしまったヴァイオレット。なんの才能もなく、家柄しか誇れるものがなかったヴァイオレットは「負け組」と蔑まれ、プライドをズタズタにされてしまう。
日頃の行いが悪かったヴァイオレットは婚約破棄をきっかけに友人を失い、家族からも捨てられてしまう。誰からも信用されず、全てを失くしたヴァイオレットは幽閉された屋敷で火事に巻き込まれ、孤独に死のうとしていた…。
"&amp;"
それまでの行いを反省し、人生をやり直したいと強く願った時、ヴァイオレットに『やり直し』という加護が発現。目覚めると婚約披露パーティーの1年前に戻っていた。
ヴァイオレットは心を入れ替え、『やり直し』を使いこなしながら、今度こそ幸せになるため歩み出す。
そんなヴァイオレットが出会ったのは、王宮の筆頭魔術師でありながら『化け物魔術師』と呼ばれ周囲から忌避されているユリシーズだった。
しかしユリシーズは紳士的で優しく、かつての婚約者とは正反対。ヴァイオレットは段々とユリシーズに惹かれていく。ユリ"&amp;"シーズは触れる人を傷付けてしまう呪いのような体質だったが、なぜかヴァイオレットはユリシーズに触れることが出来るようで…
さらにヴァイオレットは『やり直し』の能力で王太子妃の暗殺を防いだことから、何者かが暗躍するキナ臭い事件に巻き込まれていくのだった。")</f>
        <v>－－もう負け組なんて言わせない。やり直しの能力で幸せになってみせます！
幸せになれるはずの婚約披露パーティーで、最悪な形で第二王子から婚約破棄されてしまったヴァイオレット。なんの才能もなく、家柄しか誇れるものがなかったヴァイオレットは「負け組」と蔑まれ、プライドをズタズタにされてしまう。
日頃の行いが悪かったヴァイオレットは婚約破棄をきっかけに友人を失い、家族からも捨てられてしまう。誰からも信用されず、全てを失くしたヴァイオレットは幽閉された屋敷で火事に巻き込まれ、孤独に死のうとしていた…。
それまでの行いを反省し、人生をやり直したいと強く願った時、ヴァイオレットに『やり直し』という加護が発現。目覚めると婚約披露パーティーの1年前に戻っていた。
ヴァイオレットは心を入れ替え、『やり直し』を使いこなしながら、今度こそ幸せになるため歩み出す。
そんなヴァイオレットが出会ったのは、王宮の筆頭魔術師でありながら『化け物魔術師』と呼ばれ周囲から忌避されているユリシーズだった。
しかしユリシーズは紳士的で優しく、かつての婚約者とは正反対。ヴァイオレットは段々とユリシーズに惹かれていく。ユリシーズは触れる人を傷付けてしまう呪いのような体質だったが、なぜかヴァイオレットはユリシーズに触れることが出来るようで…
さらにヴァイオレットは『やり直し』の能力で王太子妃の暗殺を防いだことから、何者かが暗躍するキナ臭い事件に巻き込まれていくのだった。</v>
      </c>
      <c r="W1675" s="14"/>
      <c r="X1675" s="14" t="str">
        <f>IFERROR(__xludf.DUMMYFUNCTION("""COMPUTED_VALUE"""),"有")</f>
        <v>有</v>
      </c>
      <c r="Y1675" s="8" t="str">
        <f>IFERROR(__xludf.DUMMYFUNCTION("""COMPUTED_VALUE"""),"2024/6/17まで1巻無料")</f>
        <v>2024/6/17まで1巻無料</v>
      </c>
      <c r="Z1675" s="7"/>
      <c r="AA1675" s="7"/>
      <c r="AB1675" s="7"/>
    </row>
    <row r="1676" ht="15.75" customHeight="1">
      <c r="A1676" s="66">
        <f>IFERROR(__xludf.DUMMYFUNCTION("""COMPUTED_VALUE"""),3261.0)</f>
        <v>3261</v>
      </c>
      <c r="B1676" s="67" t="str">
        <f>IFERROR(__xludf.DUMMYFUNCTION("""COMPUTED_VALUE"""),"確定")</f>
        <v>確定</v>
      </c>
      <c r="C1676" s="68">
        <f>IFERROR(__xludf.DUMMYFUNCTION("""COMPUTED_VALUE"""),45391.0)</f>
        <v>45391</v>
      </c>
      <c r="D1676" s="68">
        <f>IFERROR(__xludf.DUMMYFUNCTION("""COMPUTED_VALUE"""),45397.0)</f>
        <v>45397</v>
      </c>
      <c r="E1676" s="31">
        <f>IFERROR(__xludf.DUMMYFUNCTION("""COMPUTED_VALUE"""),291626.0)</f>
        <v>291626</v>
      </c>
      <c r="F1676" s="22" t="str">
        <f>IFERROR(__xludf.DUMMYFUNCTION("""COMPUTED_VALUE"""),"王子様のおたわむれ 【連載版】")</f>
        <v>王子様のおたわむれ 【連載版】</v>
      </c>
      <c r="G1676" s="69" t="str">
        <f>IFERROR(__xludf.DUMMYFUNCTION("""COMPUTED_VALUE"""),"1～3")</f>
        <v>1～3</v>
      </c>
      <c r="H1676" s="67" t="str">
        <f>IFERROR(__xludf.DUMMYFUNCTION("""COMPUTED_VALUE"""),"ばち")</f>
        <v>ばち</v>
      </c>
      <c r="I1676" s="67" t="str">
        <f>IFERROR(__xludf.DUMMYFUNCTION("""COMPUTED_VALUE"""),"少女")</f>
        <v>少女</v>
      </c>
      <c r="J1676" s="67"/>
      <c r="K1676" s="67"/>
      <c r="L1676" s="67" t="str">
        <f>IFERROR(__xludf.DUMMYFUNCTION("""COMPUTED_VALUE"""),"一迅社")</f>
        <v>一迅社</v>
      </c>
      <c r="M1676" s="23">
        <f>IFERROR(__xludf.DUMMYFUNCTION("""COMPUTED_VALUE"""),45413.0)</f>
        <v>45413</v>
      </c>
      <c r="N1676" s="23">
        <f>IFERROR(__xludf.DUMMYFUNCTION("""COMPUTED_VALUE"""),45443.0)</f>
        <v>45443</v>
      </c>
      <c r="O1676" s="69"/>
      <c r="P1676" s="71" t="str">
        <f>IFERROR(__xludf.DUMMYFUNCTION("""COMPUTED_VALUE"""),"可")</f>
        <v>可</v>
      </c>
      <c r="Q1676" s="72"/>
      <c r="R1676" s="67"/>
      <c r="S1676" s="22" t="str">
        <f>IFERROR(__xludf.DUMMYFUNCTION("""COMPUTED_VALUE"""),"20240409_一迅社_王子様のおたわむれ")</f>
        <v>20240409_一迅社_王子様のおたわむれ</v>
      </c>
      <c r="T1676" s="67" t="str">
        <f>IFERROR(__xludf.DUMMYFUNCTION("""COMPUTED_VALUE"""),"格納済み")</f>
        <v>格納済み</v>
      </c>
      <c r="U1676" s="15" t="str">
        <f>IFERROR(__xludf.DUMMYFUNCTION("""COMPUTED_VALUE"""),"(C)ばち／一迅社")</f>
        <v>(C)ばち／一迅社</v>
      </c>
      <c r="V1676" s="8" t="str">
        <f>IFERROR(__xludf.DUMMYFUNCTION("""COMPUTED_VALUE"""),"異世界と繋がった世界で働く”普通”を求める婚活OLの葵衣。彼女の仕事は、間違って異世界へ渡ってしまった人々の対応をする入界管理局員…だが異世界からやってきた魔族の王子様にやたらと好かれてしまい!?そのうえ、「ペットにしてやる」という王子様の問題発言（おたわむれ）についていけません…！異世界の文化に怯える婚活女子と地球の文化を知りたい王子のドタバタお仕事ラブストーリー！【本商品は単話コンテンツとなります。単行本版と収録内容が異なる場合がございます。漫画内の告知等は過去のものとなりますので、ご注意ください。】")</f>
        <v>異世界と繋がった世界で働く”普通”を求める婚活OLの葵衣。彼女の仕事は、間違って異世界へ渡ってしまった人々の対応をする入界管理局員…だが異世界からやってきた魔族の王子様にやたらと好かれてしまい!?そのうえ、「ペットにしてやる」という王子様の問題発言（おたわむれ）についていけません…！異世界の文化に怯える婚活女子と地球の文化を知りたい王子のドタバタお仕事ラブストーリー！【本商品は単話コンテンツとなります。単行本版と収録内容が異なる場合がございます。漫画内の告知等は過去のものとなりますので、ご注意ください。】</v>
      </c>
      <c r="W1676" s="14"/>
      <c r="X1676" s="14" t="str">
        <f>IFERROR(__xludf.DUMMYFUNCTION("""COMPUTED_VALUE"""),"有")</f>
        <v>有</v>
      </c>
      <c r="Y1676" s="8" t="str">
        <f>IFERROR(__xludf.DUMMYFUNCTION("""COMPUTED_VALUE"""),"2024/5/31まで1巻無料")</f>
        <v>2024/5/31まで1巻無料</v>
      </c>
      <c r="Z1676" s="7"/>
      <c r="AA1676" s="7"/>
      <c r="AB1676" s="7"/>
    </row>
    <row r="1677" ht="85.5" customHeight="1">
      <c r="A1677" s="66">
        <f>IFERROR(__xludf.DUMMYFUNCTION("""COMPUTED_VALUE"""),3263.0)</f>
        <v>3263</v>
      </c>
      <c r="B1677" s="67" t="str">
        <f>IFERROR(__xludf.DUMMYFUNCTION("""COMPUTED_VALUE"""),"確定")</f>
        <v>確定</v>
      </c>
      <c r="C1677" s="68">
        <f>IFERROR(__xludf.DUMMYFUNCTION("""COMPUTED_VALUE"""),45391.0)</f>
        <v>45391</v>
      </c>
      <c r="D1677" s="68">
        <f>IFERROR(__xludf.DUMMYFUNCTION("""COMPUTED_VALUE"""),45397.0)</f>
        <v>45397</v>
      </c>
      <c r="E1677" s="31">
        <f>IFERROR(__xludf.DUMMYFUNCTION("""COMPUTED_VALUE"""),291852.0)</f>
        <v>291852</v>
      </c>
      <c r="F1677" s="22" t="str">
        <f>IFERROR(__xludf.DUMMYFUNCTION("""COMPUTED_VALUE"""),"甘やかされて溶かされて")</f>
        <v>甘やかされて溶かされて</v>
      </c>
      <c r="G1677" s="69">
        <f>IFERROR(__xludf.DUMMYFUNCTION("""COMPUTED_VALUE"""),1.0)</f>
        <v>1</v>
      </c>
      <c r="H1677" s="67" t="str">
        <f>IFERROR(__xludf.DUMMYFUNCTION("""COMPUTED_VALUE"""),"ホームラン・拳・よしゆき")</f>
        <v>ホームラン・拳・よしゆき</v>
      </c>
      <c r="I1677" s="67" t="str">
        <f>IFERROR(__xludf.DUMMYFUNCTION("""COMPUTED_VALUE"""),"BL")</f>
        <v>BL</v>
      </c>
      <c r="J1677" s="67"/>
      <c r="K1677" s="67"/>
      <c r="L1677" s="67" t="str">
        <f>IFERROR(__xludf.DUMMYFUNCTION("""COMPUTED_VALUE"""),"一迅社")</f>
        <v>一迅社</v>
      </c>
      <c r="M1677" s="23">
        <f>IFERROR(__xludf.DUMMYFUNCTION("""COMPUTED_VALUE"""),45413.0)</f>
        <v>45413</v>
      </c>
      <c r="N1677" s="23">
        <f>IFERROR(__xludf.DUMMYFUNCTION("""COMPUTED_VALUE"""),45443.0)</f>
        <v>45443</v>
      </c>
      <c r="O1677" s="69"/>
      <c r="P1677" s="70" t="str">
        <f>IFERROR(__xludf.DUMMYFUNCTION("""COMPUTED_VALUE"""),"可")</f>
        <v>可</v>
      </c>
      <c r="Q1677" s="72" t="str">
        <f>IFERROR(__xludf.DUMMYFUNCTION("""COMPUTED_VALUE"""),"P6～38")</f>
        <v>P6～38</v>
      </c>
      <c r="R1677" s="67"/>
      <c r="S1677" s="22" t="str">
        <f>IFERROR(__xludf.DUMMYFUNCTION("""COMPUTED_VALUE"""),"20240409_一迅社_甘やかされて溶かされて")</f>
        <v>20240409_一迅社_甘やかされて溶かされて</v>
      </c>
      <c r="T1677" s="67" t="str">
        <f>IFERROR(__xludf.DUMMYFUNCTION("""COMPUTED_VALUE"""),"格納済み")</f>
        <v>格納済み</v>
      </c>
      <c r="U1677" s="15" t="str">
        <f>IFERROR(__xludf.DUMMYFUNCTION("""COMPUTED_VALUE"""),"(C)ホームラン・拳・よしゆき／一迅社")</f>
        <v>(C)ホームラン・拳・よしゆき／一迅社</v>
      </c>
      <c r="V1677" s="8" t="str">
        <f>IFERROR(__xludf.DUMMYFUNCTION("""COMPUTED_VALUE"""),"目覚めたら憧れの騎士団長が隣で眠っていて――!?不憫な見習い騎士を溺愛したのは…？　※この作品は『旦那様の一途な求愛 異世界BLアンソロジーコミック』収録作品と同一の内容を単話版として再編集したものとなります。")</f>
        <v>目覚めたら憧れの騎士団長が隣で眠っていて――!?不憫な見習い騎士を溺愛したのは…？　※この作品は『旦那様の一途な求愛 異世界BLアンソロジーコミック』収録作品と同一の内容を単話版として再編集したものとなります。</v>
      </c>
      <c r="W1677" s="14"/>
      <c r="X1677" s="14" t="str">
        <f>IFERROR(__xludf.DUMMYFUNCTION("""COMPUTED_VALUE"""),"有")</f>
        <v>有</v>
      </c>
      <c r="Y1677" s="8" t="str">
        <f>IFERROR(__xludf.DUMMYFUNCTION("""COMPUTED_VALUE"""),"P7まで")</f>
        <v>P7まで</v>
      </c>
      <c r="Z1677" s="7"/>
      <c r="AA1677" s="7"/>
      <c r="AB1677" s="7"/>
    </row>
    <row r="1678" ht="15.75" customHeight="1">
      <c r="A1678" s="26">
        <f>IFERROR(__xludf.DUMMYFUNCTION("""COMPUTED_VALUE"""),3630.0)</f>
        <v>3630</v>
      </c>
      <c r="B1678" s="67" t="str">
        <f>IFERROR(__xludf.DUMMYFUNCTION("""COMPUTED_VALUE"""),"確定")</f>
        <v>確定</v>
      </c>
      <c r="C1678" s="59">
        <f>IFERROR(__xludf.DUMMYFUNCTION("""COMPUTED_VALUE"""),45455.0)</f>
        <v>45455</v>
      </c>
      <c r="D1678" s="59">
        <f>IFERROR(__xludf.DUMMYFUNCTION("""COMPUTED_VALUE"""),45460.0)</f>
        <v>45460</v>
      </c>
      <c r="E1678" s="26">
        <f>IFERROR(__xludf.DUMMYFUNCTION("""COMPUTED_VALUE"""),297214.0)</f>
        <v>297214</v>
      </c>
      <c r="F1678" s="22" t="str">
        <f>IFERROR(__xludf.DUMMYFUNCTION("""COMPUTED_VALUE"""),"鑑識係の祈り～変死体からのラストボイス～
")</f>
        <v>鑑識係の祈り～変死体からのラストボイス～
</v>
      </c>
      <c r="G1678" s="69" t="str">
        <f>IFERROR(__xludf.DUMMYFUNCTION("""COMPUTED_VALUE"""),"1～3")</f>
        <v>1～3</v>
      </c>
      <c r="H1678" s="22" t="str">
        <f>IFERROR(__xludf.DUMMYFUNCTION("""COMPUTED_VALUE"""),"原作：笠間裕之　作画： 松田アヤト	")</f>
        <v>原作：笠間裕之　作画： 松田アヤト	</v>
      </c>
      <c r="I1678" s="67" t="str">
        <f>IFERROR(__xludf.DUMMYFUNCTION("""COMPUTED_VALUE"""),"女性")</f>
        <v>女性</v>
      </c>
      <c r="J1678" s="22"/>
      <c r="K1678" s="22"/>
      <c r="L1678" s="22" t="str">
        <f>IFERROR(__xludf.DUMMYFUNCTION("""COMPUTED_VALUE"""),"CLLENN")</f>
        <v>CLLENN</v>
      </c>
      <c r="M1678" s="59">
        <f>IFERROR(__xludf.DUMMYFUNCTION("""COMPUTED_VALUE"""),45492.0)</f>
        <v>45492</v>
      </c>
      <c r="N1678" s="62">
        <f>IFERROR(__xludf.DUMMYFUNCTION("""COMPUTED_VALUE"""),45589.0)</f>
        <v>45589</v>
      </c>
      <c r="O1678" s="69"/>
      <c r="P1678" s="32" t="str">
        <f>IFERROR(__xludf.DUMMYFUNCTION("""COMPUTED_VALUE"""),"可")</f>
        <v>可</v>
      </c>
      <c r="Q1678" s="67"/>
      <c r="R1678" s="22" t="str">
        <f>IFERROR(__xludf.DUMMYFUNCTION("""COMPUTED_VALUE"""),"格納済")</f>
        <v>格納済</v>
      </c>
      <c r="S1678" s="22" t="str">
        <f>IFERROR(__xludf.DUMMYFUNCTION("""COMPUTED_VALUE"""),"20240612_CLLENN_鑑識係の祈り	")</f>
        <v>20240612_CLLENN_鑑識係の祈り	</v>
      </c>
      <c r="T1678" s="22" t="str">
        <f>IFERROR(__xludf.DUMMYFUNCTION("""COMPUTED_VALUE"""),"格納済み")</f>
        <v>格納済み</v>
      </c>
      <c r="U1678" s="15" t="str">
        <f>IFERROR(__xludf.DUMMYFUNCTION("""COMPUTED_VALUE"""),"ⓒ笠間裕之・松田アヤト/CLLENN	")</f>
        <v>ⓒ笠間裕之・松田アヤト/CLLENN	</v>
      </c>
      <c r="V1678" s="8" t="str">
        <f>IFERROR(__xludf.DUMMYFUNCTION("""COMPUTED_VALUE"""),"被害者の「命の証」は必ず現場にある。──刑事課・鑑識係に配属された新人鑑識官の葛原（くずはら）アカネ。一人前の鑑識官を目指して意気込むアカネは同じ鑑識係で勤続12年、無類の骨フェチ・須栗史郎（すぐりしろう）と出会う。須栗とともに向かった初現場で対面したのは、海で上がった溺死体だった。損傷の激しい遺体に足がすくむアカネ。だが、須栗が見抜いた遺体の身元は意外な人物で──？溺死、自死、他殺、孤独死。変死体からの最期の声で真相を解明する、衝撃の刑事鑑識ミステリー！　原案／『鑑識係の祈り　大阪府警「変死体」事件簿』"&amp;"（村上和郎 著・若葉文庫）監修／村上和郎（元・大阪府警察 警部）")</f>
        <v>被害者の「命の証」は必ず現場にある。──刑事課・鑑識係に配属された新人鑑識官の葛原（くずはら）アカネ。一人前の鑑識官を目指して意気込むアカネは同じ鑑識係で勤続12年、無類の骨フェチ・須栗史郎（すぐりしろう）と出会う。須栗とともに向かった初現場で対面したのは、海で上がった溺死体だった。損傷の激しい遺体に足がすくむアカネ。だが、須栗が見抜いた遺体の身元は意外な人物で──？溺死、自死、他殺、孤独死。変死体からの最期の声で真相を解明する、衝撃の刑事鑑識ミステリー！　原案／『鑑識係の祈り　大阪府警「変死体」事件簿』（村上和郎 著・若葉文庫）監修／村上和郎（元・大阪府警察 警部）</v>
      </c>
      <c r="W1678" s="14"/>
      <c r="X1678" s="14" t="str">
        <f>IFERROR(__xludf.DUMMYFUNCTION("""COMPUTED_VALUE"""),"有")</f>
        <v>有</v>
      </c>
      <c r="Y1678" s="8" t="str">
        <f>IFERROR(__xludf.DUMMYFUNCTION("""COMPUTED_VALUE"""),"2024/8/1まで1巻無料")</f>
        <v>2024/8/1まで1巻無料</v>
      </c>
      <c r="Z1678" s="7"/>
      <c r="AA1678" s="7"/>
      <c r="AB1678" s="7"/>
    </row>
    <row r="1679" ht="15.75" customHeight="1">
      <c r="A1679" s="66">
        <f>IFERROR(__xludf.DUMMYFUNCTION("""COMPUTED_VALUE"""),3026.0)</f>
        <v>3026</v>
      </c>
      <c r="B1679" s="67" t="str">
        <f>IFERROR(__xludf.DUMMYFUNCTION("""COMPUTED_VALUE"""),"確定")</f>
        <v>確定</v>
      </c>
      <c r="C1679" s="68">
        <f>IFERROR(__xludf.DUMMYFUNCTION("""COMPUTED_VALUE"""),45350.0)</f>
        <v>45350</v>
      </c>
      <c r="D1679" s="68">
        <f>IFERROR(__xludf.DUMMYFUNCTION("""COMPUTED_VALUE"""),45467.0)</f>
        <v>45467</v>
      </c>
      <c r="E1679" s="31">
        <f>IFERROR(__xludf.DUMMYFUNCTION("""COMPUTED_VALUE"""),297194.0)</f>
        <v>297194</v>
      </c>
      <c r="F1679" s="22" t="str">
        <f>IFERROR(__xludf.DUMMYFUNCTION("""COMPUTED_VALUE"""),"クールな御曹司は最愛のママとシークレットベビーを溺愛したい【分冊版】")</f>
        <v>クールな御曹司は最愛のママとシークレットベビーを溺愛したい【分冊版】</v>
      </c>
      <c r="G1679" s="69" t="str">
        <f>IFERROR(__xludf.DUMMYFUNCTION("""COMPUTED_VALUE"""),"1～3")</f>
        <v>1～3</v>
      </c>
      <c r="H1679" s="67" t="str">
        <f>IFERROR(__xludf.DUMMYFUNCTION("""COMPUTED_VALUE"""),"橘テルエ・桜井響華")</f>
        <v>橘テルエ・桜井響華</v>
      </c>
      <c r="I1679" s="67" t="str">
        <f>IFERROR(__xludf.DUMMYFUNCTION("""COMPUTED_VALUE"""),"女性")</f>
        <v>女性</v>
      </c>
      <c r="J1679" s="67"/>
      <c r="K1679" s="67"/>
      <c r="L1679" s="67" t="str">
        <f>IFERROR(__xludf.DUMMYFUNCTION("""COMPUTED_VALUE"""),"ハーパーコリンズ・ジャパン")</f>
        <v>ハーパーコリンズ・ジャパン</v>
      </c>
      <c r="M1679" s="59">
        <f>IFERROR(__xludf.DUMMYFUNCTION("""COMPUTED_VALUE"""),45492.0)</f>
        <v>45492</v>
      </c>
      <c r="N1679" s="73">
        <f>IFERROR(__xludf.DUMMYFUNCTION("""COMPUTED_VALUE"""),45553.0)</f>
        <v>45553</v>
      </c>
      <c r="O1679" s="69"/>
      <c r="P1679" s="71" t="str">
        <f>IFERROR(__xludf.DUMMYFUNCTION("""COMPUTED_VALUE"""),"否")</f>
        <v>否</v>
      </c>
      <c r="Q1679" s="67"/>
      <c r="R1679" s="67" t="str">
        <f>IFERROR(__xludf.DUMMYFUNCTION("""COMPUTED_VALUE"""),"格納済")</f>
        <v>格納済</v>
      </c>
      <c r="S1679" s="67" t="str">
        <f>IFERROR(__xludf.DUMMYFUNCTION("""COMPUTED_VALUE"""),"20240620_ハーパーコリンズ_クールな御曹司は最愛のママとシークレットベビーを溺愛したい")</f>
        <v>20240620_ハーパーコリンズ_クールな御曹司は最愛のママとシークレットベビーを溺愛したい</v>
      </c>
      <c r="T1679" s="67" t="str">
        <f>IFERROR(__xludf.DUMMYFUNCTION("""COMPUTED_VALUE"""),"格納済み")</f>
        <v>格納済み</v>
      </c>
      <c r="U1679" s="15" t="str">
        <f>IFERROR(__xludf.DUMMYFUNCTION("""COMPUTED_VALUE"""),"©橘テルエ・桜井響華／ハーパーコリンズ・ジャパン")</f>
        <v>©橘テルエ・桜井響華／ハーパーコリンズ・ジャパン</v>
      </c>
      <c r="V1679" s="8" t="str">
        <f>IFERROR(__xludf.DUMMYFUNCTION("""COMPUTED_VALUE"""),"超エリートな育メンパパは結婚したら溺甘が過ぎます
カフェの客として訪れるエリート御曹司・佳と付き合うことになった理咲。ひそかに憧れていた彼が私を選んでくれるなんて!?　しかし、幸せな日々は思わぬ結末となり…理咲は失意のもと彼の前から消えた。その後、赤ちゃんを授かったことが分かり、理咲は彼との子供を育てる決心をする──無事、娘を出産し子育てに奮闘する彼女の前に佳が現れ、「一生かけて幸せにする」と溺甘な彼の一途な愛に理咲も子供もまるごと包まれて──。")</f>
        <v>超エリートな育メンパパは結婚したら溺甘が過ぎます
カフェの客として訪れるエリート御曹司・佳と付き合うことになった理咲。ひそかに憧れていた彼が私を選んでくれるなんて!?　しかし、幸せな日々は思わぬ結末となり…理咲は失意のもと彼の前から消えた。その後、赤ちゃんを授かったことが分かり、理咲は彼との子供を育てる決心をする──無事、娘を出産し子育てに奮闘する彼女の前に佳が現れ、「一生かけて幸せにする」と溺甘な彼の一途な愛に理咲も子供もまるごと包まれて──。</v>
      </c>
      <c r="W1679" s="14"/>
      <c r="X1679" s="14" t="str">
        <f>IFERROR(__xludf.DUMMYFUNCTION("""COMPUTED_VALUE"""),"有")</f>
        <v>有</v>
      </c>
      <c r="Y1679" s="8" t="str">
        <f>IFERROR(__xludf.DUMMYFUNCTION("""COMPUTED_VALUE"""),"P5まで")</f>
        <v>P5まで</v>
      </c>
      <c r="Z1679" s="7"/>
      <c r="AA1679" s="7"/>
      <c r="AB1679" s="7"/>
    </row>
    <row r="1680" ht="15.75" customHeight="1">
      <c r="A1680" s="66">
        <f>IFERROR(__xludf.DUMMYFUNCTION("""COMPUTED_VALUE"""),3266.0)</f>
        <v>3266</v>
      </c>
      <c r="B1680" s="67" t="str">
        <f>IFERROR(__xludf.DUMMYFUNCTION("""COMPUTED_VALUE"""),"確定")</f>
        <v>確定</v>
      </c>
      <c r="C1680" s="68">
        <f>IFERROR(__xludf.DUMMYFUNCTION("""COMPUTED_VALUE"""),45392.0)</f>
        <v>45392</v>
      </c>
      <c r="D1680" s="68">
        <f>IFERROR(__xludf.DUMMYFUNCTION("""COMPUTED_VALUE"""),45469.0)</f>
        <v>45469</v>
      </c>
      <c r="E1680" s="31">
        <f>IFERROR(__xludf.DUMMYFUNCTION("""COMPUTED_VALUE"""),298446.0)</f>
        <v>298446</v>
      </c>
      <c r="F1680" s="46" t="str">
        <f>IFERROR(__xludf.DUMMYFUNCTION("""COMPUTED_VALUE"""),"ツクモノコエ─神と人の交わる場所─")</f>
        <v>ツクモノコエ─神と人の交わる場所─</v>
      </c>
      <c r="G1680" s="20" t="str">
        <f>IFERROR(__xludf.DUMMYFUNCTION("""COMPUTED_VALUE"""),"1～6")</f>
        <v>1～6</v>
      </c>
      <c r="H1680" s="67" t="str">
        <f>IFERROR(__xludf.DUMMYFUNCTION("""COMPUTED_VALUE"""),"飴屋ハルユキ・真敷ひさめ")</f>
        <v>飴屋ハルユキ・真敷ひさめ</v>
      </c>
      <c r="I1680" s="67" t="str">
        <f>IFERROR(__xludf.DUMMYFUNCTION("""COMPUTED_VALUE"""),"青年")</f>
        <v>青年</v>
      </c>
      <c r="J1680" s="67"/>
      <c r="K1680" s="67"/>
      <c r="L1680" s="67" t="str">
        <f>IFERROR(__xludf.DUMMYFUNCTION("""COMPUTED_VALUE"""),"Bコミ")</f>
        <v>Bコミ</v>
      </c>
      <c r="M1680" s="59">
        <f>IFERROR(__xludf.DUMMYFUNCTION("""COMPUTED_VALUE"""),45508.0)</f>
        <v>45508</v>
      </c>
      <c r="N1680" s="74">
        <f>IFERROR(__xludf.DUMMYFUNCTION("""COMPUTED_VALUE"""),45599.0)</f>
        <v>45599</v>
      </c>
      <c r="O1680" s="69"/>
      <c r="P1680" s="70" t="str">
        <f>IFERROR(__xludf.DUMMYFUNCTION("""COMPUTED_VALUE"""),"可")</f>
        <v>可</v>
      </c>
      <c r="Q1680" s="72" t="str">
        <f>IFERROR(__xludf.DUMMYFUNCTION("""COMPUTED_VALUE"""),"広告コミットOK(4/16)")</f>
        <v>広告コミットOK(4/16)</v>
      </c>
      <c r="R1680" s="67"/>
      <c r="S1680" s="67" t="str">
        <f>IFERROR(__xludf.DUMMYFUNCTION("""COMPUTED_VALUE"""),"20240619_Bコミ_ツクモノコエ")</f>
        <v>20240619_Bコミ_ツクモノコエ</v>
      </c>
      <c r="T1680" s="75" t="str">
        <f>IFERROR(__xludf.DUMMYFUNCTION("""COMPUTED_VALUE"""),"格納済み")</f>
        <v>格納済み</v>
      </c>
      <c r="U1680" s="15" t="str">
        <f>IFERROR(__xludf.DUMMYFUNCTION("""COMPUTED_VALUE"""),"©飴屋ハルユキ・真敷ひさめ / Bコミ")</f>
        <v>©飴屋ハルユキ・真敷ひさめ / Bコミ</v>
      </c>
      <c r="V1680" s="8" t="str">
        <f>IFERROR(__xludf.DUMMYFUNCTION("""COMPUTED_VALUE"""),"黒く禍々しいものに追われた祥真がとある骨董店に命からがら逃げ込むと、そこには佑斗という青年がいた。二人の出会いが現世と幽世（かくりよ）を繋ぐきっかけとなり…幕末～大正～現在の縁を繋ぐ和風ファンタジー！
")</f>
        <v>黒く禍々しいものに追われた祥真がとある骨董店に命からがら逃げ込むと、そこには佑斗という青年がいた。二人の出会いが現世と幽世（かくりよ）を繋ぐきっかけとなり…幕末～大正～現在の縁を繋ぐ和風ファンタジー！
</v>
      </c>
      <c r="W1680" s="14"/>
      <c r="X1680" s="14" t="str">
        <f>IFERROR(__xludf.DUMMYFUNCTION("""COMPUTED_VALUE"""),"有")</f>
        <v>有</v>
      </c>
      <c r="Y1680" s="8" t="str">
        <f>IFERROR(__xludf.DUMMYFUNCTION("""COMPUTED_VALUE"""),"2024/8/19まで1巻無料")</f>
        <v>2024/8/19まで1巻無料</v>
      </c>
      <c r="Z1680" s="7"/>
      <c r="AA1680" s="7"/>
      <c r="AB1680" s="7"/>
    </row>
    <row r="1681" ht="15.75" customHeight="1">
      <c r="A1681" s="66">
        <f>IFERROR(__xludf.DUMMYFUNCTION("""COMPUTED_VALUE"""),3299.0)</f>
        <v>3299</v>
      </c>
      <c r="B1681" s="67" t="str">
        <f>IFERROR(__xludf.DUMMYFUNCTION("""COMPUTED_VALUE"""),"確定")</f>
        <v>確定</v>
      </c>
      <c r="C1681" s="68">
        <f>IFERROR(__xludf.DUMMYFUNCTION("""COMPUTED_VALUE"""),45398.0)</f>
        <v>45398</v>
      </c>
      <c r="D1681" s="68">
        <f>IFERROR(__xludf.DUMMYFUNCTION("""COMPUTED_VALUE"""),45469.0)</f>
        <v>45469</v>
      </c>
      <c r="E1681" s="31">
        <f>IFERROR(__xludf.DUMMYFUNCTION("""COMPUTED_VALUE"""),298473.0)</f>
        <v>298473</v>
      </c>
      <c r="F1681" s="22" t="str">
        <f>IFERROR(__xludf.DUMMYFUNCTION("""COMPUTED_VALUE"""),"今日も月夜に君のめし【単話】")</f>
        <v>今日も月夜に君のめし【単話】</v>
      </c>
      <c r="G1681" s="20" t="str">
        <f>IFERROR(__xludf.DUMMYFUNCTION("""COMPUTED_VALUE"""),"1～3")</f>
        <v>1～3</v>
      </c>
      <c r="H1681" s="67" t="str">
        <f>IFERROR(__xludf.DUMMYFUNCTION("""COMPUTED_VALUE"""),"須賀千夏")</f>
        <v>須賀千夏</v>
      </c>
      <c r="I1681" s="67" t="str">
        <f>IFERROR(__xludf.DUMMYFUNCTION("""COMPUTED_VALUE"""),"女性")</f>
        <v>女性</v>
      </c>
      <c r="J1681" s="67"/>
      <c r="K1681" s="67"/>
      <c r="L1681" s="67" t="str">
        <f>IFERROR(__xludf.DUMMYFUNCTION("""COMPUTED_VALUE"""),"シュークリーム")</f>
        <v>シュークリーム</v>
      </c>
      <c r="M1681" s="59">
        <f>IFERROR(__xludf.DUMMYFUNCTION("""COMPUTED_VALUE"""),45505.0)</f>
        <v>45505</v>
      </c>
      <c r="N1681" s="59">
        <f>IFERROR(__xludf.DUMMYFUNCTION("""COMPUTED_VALUE"""),45565.0)</f>
        <v>45565</v>
      </c>
      <c r="O1681" s="69"/>
      <c r="P1681" s="70" t="str">
        <f>IFERROR(__xludf.DUMMYFUNCTION("""COMPUTED_VALUE"""),"可")</f>
        <v>可</v>
      </c>
      <c r="Q1681" s="72" t="str">
        <f>IFERROR(__xludf.DUMMYFUNCTION("""COMPUTED_VALUE"""),"広告コミットOK(4/22)")</f>
        <v>広告コミットOK(4/22)</v>
      </c>
      <c r="R1681" s="67"/>
      <c r="S1681" s="67" t="str">
        <f>IFERROR(__xludf.DUMMYFUNCTION("""COMPUTED_VALUE"""),"20240624_シュークリーム_今日も月夜に君のめし【単話】")</f>
        <v>20240624_シュークリーム_今日も月夜に君のめし【単話】</v>
      </c>
      <c r="T1681" s="67" t="str">
        <f>IFERROR(__xludf.DUMMYFUNCTION("""COMPUTED_VALUE"""),"格納済み")</f>
        <v>格納済み</v>
      </c>
      <c r="U1681" s="15" t="str">
        <f>IFERROR(__xludf.DUMMYFUNCTION("""COMPUTED_VALUE"""),"©須賀千夏/シュークリーム")</f>
        <v>©須賀千夏/シュークリーム</v>
      </c>
      <c r="V1681" s="8" t="str">
        <f>IFERROR(__xludf.DUMMYFUNCTION("""COMPUTED_VALUE"""),"牛乳配達会社で働く小武奈々は、1人でご飯を食べることが苦手。なのに同棲している恋人はだんだん家に帰ってこなくなり、がらんとした部屋で出来合いのご飯を食べる日々。残業も続くそんな中、疲れが滲む小武を見かね同じく残っていたちょっぴり堅物な後輩・大賀谷が一緒にご飯を作らないかと提案してきて…!?
何を食べるか、誰と食べるか。ご飯を通じて“淋しさ”と向き合うグルメ×ラブ！")</f>
        <v>牛乳配達会社で働く小武奈々は、1人でご飯を食べることが苦手。なのに同棲している恋人はだんだん家に帰ってこなくなり、がらんとした部屋で出来合いのご飯を食べる日々。残業も続くそんな中、疲れが滲む小武を見かね同じく残っていたちょっぴり堅物な後輩・大賀谷が一緒にご飯を作らないかと提案してきて…!?
何を食べるか、誰と食べるか。ご飯を通じて“淋しさ”と向き合うグルメ×ラブ！</v>
      </c>
      <c r="W1681" s="14"/>
      <c r="X1681" s="14" t="str">
        <f>IFERROR(__xludf.DUMMYFUNCTION("""COMPUTED_VALUE"""),"有")</f>
        <v>有</v>
      </c>
      <c r="Y1681" s="8" t="str">
        <f>IFERROR(__xludf.DUMMYFUNCTION("""COMPUTED_VALUE"""),"2024/9/30まで1巻無料")</f>
        <v>2024/9/30まで1巻無料</v>
      </c>
      <c r="Z1681" s="7"/>
      <c r="AA1681" s="7"/>
      <c r="AB1681" s="7"/>
    </row>
    <row r="1682" ht="15.75" customHeight="1">
      <c r="A1682" s="66">
        <f>IFERROR(__xludf.DUMMYFUNCTION("""COMPUTED_VALUE"""),3327.0)</f>
        <v>3327</v>
      </c>
      <c r="B1682" s="67" t="str">
        <f>IFERROR(__xludf.DUMMYFUNCTION("""COMPUTED_VALUE"""),"確定")</f>
        <v>確定</v>
      </c>
      <c r="C1682" s="68">
        <f>IFERROR(__xludf.DUMMYFUNCTION("""COMPUTED_VALUE"""),45405.0)</f>
        <v>45405</v>
      </c>
      <c r="D1682" s="68">
        <f>IFERROR(__xludf.DUMMYFUNCTION("""COMPUTED_VALUE"""),45468.0)</f>
        <v>45468</v>
      </c>
      <c r="E1682" s="31">
        <f>IFERROR(__xludf.DUMMYFUNCTION("""COMPUTED_VALUE"""),297229.0)</f>
        <v>297229</v>
      </c>
      <c r="F1682" s="22" t="str">
        <f>IFERROR(__xludf.DUMMYFUNCTION("""COMPUTED_VALUE"""),"地獄に堕ちろ、クソ夫")</f>
        <v>地獄に堕ちろ、クソ夫</v>
      </c>
      <c r="G1682" s="69" t="str">
        <f>IFERROR(__xludf.DUMMYFUNCTION("""COMPUTED_VALUE"""),"1～3")</f>
        <v>1～3</v>
      </c>
      <c r="H1682" s="67" t="str">
        <f>IFERROR(__xludf.DUMMYFUNCTION("""COMPUTED_VALUE"""),"瓜渡モモ")</f>
        <v>瓜渡モモ</v>
      </c>
      <c r="I1682" s="67" t="str">
        <f>IFERROR(__xludf.DUMMYFUNCTION("""COMPUTED_VALUE"""),"女性")</f>
        <v>女性</v>
      </c>
      <c r="J1682" s="67"/>
      <c r="K1682" s="67"/>
      <c r="L1682" s="67" t="str">
        <f>IFERROR(__xludf.DUMMYFUNCTION("""COMPUTED_VALUE"""),"スタンダード")</f>
        <v>スタンダード</v>
      </c>
      <c r="M1682" s="59">
        <f>IFERROR(__xludf.DUMMYFUNCTION("""COMPUTED_VALUE"""),45478.0)</f>
        <v>45478</v>
      </c>
      <c r="N1682" s="76" t="str">
        <f>IFERROR(__xludf.DUMMYFUNCTION("""COMPUTED_VALUE"""),"2か月先行")</f>
        <v>2か月先行</v>
      </c>
      <c r="O1682" s="69"/>
      <c r="P1682" s="70" t="str">
        <f>IFERROR(__xludf.DUMMYFUNCTION("""COMPUTED_VALUE"""),"否")</f>
        <v>否</v>
      </c>
      <c r="Q1682" s="72" t="str">
        <f>IFERROR(__xludf.DUMMYFUNCTION("""COMPUTED_VALUE"""),"広告コミットOK(5/8)")</f>
        <v>広告コミットOK(5/8)</v>
      </c>
      <c r="R1682" s="67"/>
      <c r="S1682" s="67" t="str">
        <f>IFERROR(__xludf.DUMMYFUNCTION("""COMPUTED_VALUE"""),"20240624_スタンダード_地獄に堕ちろ、クソ夫")</f>
        <v>20240624_スタンダード_地獄に堕ちろ、クソ夫</v>
      </c>
      <c r="T1682" s="67" t="str">
        <f>IFERROR(__xludf.DUMMYFUNCTION("""COMPUTED_VALUE"""),"格納済み")</f>
        <v>格納済み</v>
      </c>
      <c r="U1682" s="15" t="str">
        <f>IFERROR(__xludf.DUMMYFUNCTION("""COMPUTED_VALUE"""),"©瓜渡モモ/DTSパブリッシング")</f>
        <v>©瓜渡モモ/DTSパブリッシング</v>
      </c>
      <c r="V1682" s="8" t="str">
        <f>IFERROR(__xludf.DUMMYFUNCTION("""COMPUTED_VALUE"""),"「私を裏切ったクソ夫、絶対に破滅させてやる…」厳しくも優しい先輩・駿と職場恋愛の末に結婚した麻衣。幸せな新婚生活を送っていたが、駿の昇進と共に夫婦の関係に歪みが生じ始める。「専業主婦はお気楽でいいよな。おまえ、俺と結婚できてホントに良かったな」駿の蔑むような目つきと言葉に何も言えなくなっていく麻衣。さらに駿には不倫の影がちらつき始めて…。それだけではなかった驚愕の真実を知ったサレ妻はモラハラ夫への復讐の炎を燃え上がらせる！")</f>
        <v>「私を裏切ったクソ夫、絶対に破滅させてやる…」厳しくも優しい先輩・駿と職場恋愛の末に結婚した麻衣。幸せな新婚生活を送っていたが、駿の昇進と共に夫婦の関係に歪みが生じ始める。「専業主婦はお気楽でいいよな。おまえ、俺と結婚できてホントに良かったな」駿の蔑むような目つきと言葉に何も言えなくなっていく麻衣。さらに駿には不倫の影がちらつき始めて…。それだけではなかった驚愕の真実を知ったサレ妻はモラハラ夫への復讐の炎を燃え上がらせる！</v>
      </c>
      <c r="W1682" s="14"/>
      <c r="X1682" s="14" t="str">
        <f>IFERROR(__xludf.DUMMYFUNCTION("""COMPUTED_VALUE"""),"有")</f>
        <v>有</v>
      </c>
      <c r="Y1682" s="8" t="str">
        <f>IFERROR(__xludf.DUMMYFUNCTION("""COMPUTED_VALUE"""),"P11まで")</f>
        <v>P11まで</v>
      </c>
      <c r="Z1682" s="7"/>
      <c r="AA1682" s="7"/>
      <c r="AB1682" s="7"/>
    </row>
    <row r="1683" ht="15.75" customHeight="1">
      <c r="A1683" s="66">
        <f>IFERROR(__xludf.DUMMYFUNCTION("""COMPUTED_VALUE"""),3328.0)</f>
        <v>3328</v>
      </c>
      <c r="B1683" s="67" t="str">
        <f>IFERROR(__xludf.DUMMYFUNCTION("""COMPUTED_VALUE"""),"確定")</f>
        <v>確定</v>
      </c>
      <c r="C1683" s="68">
        <f>IFERROR(__xludf.DUMMYFUNCTION("""COMPUTED_VALUE"""),45406.0)</f>
        <v>45406</v>
      </c>
      <c r="D1683" s="68">
        <f>IFERROR(__xludf.DUMMYFUNCTION("""COMPUTED_VALUE"""),45469.0)</f>
        <v>45469</v>
      </c>
      <c r="E1683" s="31">
        <f>IFERROR(__xludf.DUMMYFUNCTION("""COMPUTED_VALUE"""),297345.0)</f>
        <v>297345</v>
      </c>
      <c r="F1683" s="22" t="str">
        <f>IFERROR(__xludf.DUMMYFUNCTION("""COMPUTED_VALUE"""),"蛙化すると即終了!?な疑似恋愛〜好きといえない拗らせOLを開発する溺愛テク〜")</f>
        <v>蛙化すると即終了!?な疑似恋愛〜好きといえない拗らせOLを開発する溺愛テク〜</v>
      </c>
      <c r="G1683" s="20" t="str">
        <f>IFERROR(__xludf.DUMMYFUNCTION("""COMPUTED_VALUE"""),"1～3")</f>
        <v>1～3</v>
      </c>
      <c r="H1683" s="67" t="str">
        <f>IFERROR(__xludf.DUMMYFUNCTION("""COMPUTED_VALUE"""),"高梨藍")</f>
        <v>高梨藍</v>
      </c>
      <c r="I1683" s="67" t="str">
        <f>IFERROR(__xludf.DUMMYFUNCTION("""COMPUTED_VALUE"""),"TL")</f>
        <v>TL</v>
      </c>
      <c r="J1683" s="67"/>
      <c r="K1683" s="67"/>
      <c r="L1683" s="67" t="str">
        <f>IFERROR(__xludf.DUMMYFUNCTION("""COMPUTED_VALUE"""),"ジュネット")</f>
        <v>ジュネット</v>
      </c>
      <c r="M1683" s="59">
        <f>IFERROR(__xludf.DUMMYFUNCTION("""COMPUTED_VALUE"""),45493.0)</f>
        <v>45493</v>
      </c>
      <c r="N1683" s="73">
        <f>IFERROR(__xludf.DUMMYFUNCTION("""COMPUTED_VALUE"""),45583.0)</f>
        <v>45583</v>
      </c>
      <c r="O1683" s="69"/>
      <c r="P1683" s="70" t="str">
        <f>IFERROR(__xludf.DUMMYFUNCTION("""COMPUTED_VALUE"""),"可")</f>
        <v>可</v>
      </c>
      <c r="Q1683" s="67" t="str">
        <f>IFERROR(__xludf.DUMMYFUNCTION("""COMPUTED_VALUE"""),"広告コミットOK（5/8：再確認5/23）&lt;BR&gt;レーベル名：TL JUNET")</f>
        <v>広告コミットOK（5/8：再確認5/23）&lt;BR&gt;レーベル名：TL JUNET</v>
      </c>
      <c r="R1683" s="67" t="str">
        <f>IFERROR(__xludf.DUMMYFUNCTION("""COMPUTED_VALUE"""),"格納済み")</f>
        <v>格納済み</v>
      </c>
      <c r="S1683" s="67" t="str">
        <f>IFERROR(__xludf.DUMMYFUNCTION("""COMPUTED_VALUE"""),"20240625_ジュネット_蛙化すると即終了!な疑似恋愛～好きといえない拗らせOLを開発する溺愛テク～")</f>
        <v>20240625_ジュネット_蛙化すると即終了!な疑似恋愛～好きといえない拗らせOLを開発する溺愛テク～</v>
      </c>
      <c r="T1683" s="67" t="str">
        <f>IFERROR(__xludf.DUMMYFUNCTION("""COMPUTED_VALUE"""),"格納済み")</f>
        <v>格納済み</v>
      </c>
      <c r="U1683" s="15" t="str">
        <f>IFERROR(__xludf.DUMMYFUNCTION("""COMPUTED_VALUE"""),"（C）高梨藍/ジュネット")</f>
        <v>（C）高梨藍/ジュネット</v>
      </c>
      <c r="V1683" s="8" t="str">
        <f>IFERROR(__xludf.DUMMYFUNCTION("""COMPUTED_VALUE"""),"「俺はお前に恋愛感情を持つ事はない」OLの美織は学生時代のある事がきっかけとなり、好きな相手から好意を持たれた途端に嫌悪感を示す「蛙化現象」を起こしていた。恋愛に後ろ向きな美織は二次元の推し似＆社内の王子様的存在である二階堂を眺めて一人妄想に耽る日々を過ごしていたが、美織の学生時代からの先輩である世話焼きな紘人は「蛙化現象」を克服させてあげたいと、自分は絶対美織を好きにならないから美織の練習台にちょうどいいと言われ?!恋愛耐性をつけるための期間限定の恋人練習がはじまるが…毎月第3土曜日に続話が追加されてい"&amp;"きます！")</f>
        <v>「俺はお前に恋愛感情を持つ事はない」OLの美織は学生時代のある事がきっかけとなり、好きな相手から好意を持たれた途端に嫌悪感を示す「蛙化現象」を起こしていた。恋愛に後ろ向きな美織は二次元の推し似＆社内の王子様的存在である二階堂を眺めて一人妄想に耽る日々を過ごしていたが、美織の学生時代からの先輩である世話焼きな紘人は「蛙化現象」を克服させてあげたいと、自分は絶対美織を好きにならないから美織の練習台にちょうどいいと言われ?!恋愛耐性をつけるための期間限定の恋人練習がはじまるが…毎月第3土曜日に続話が追加されていきます！</v>
      </c>
      <c r="W1683" s="14"/>
      <c r="X1683" s="14" t="str">
        <f>IFERROR(__xludf.DUMMYFUNCTION("""COMPUTED_VALUE"""),"有")</f>
        <v>有</v>
      </c>
      <c r="Y1683" s="8" t="str">
        <f>IFERROR(__xludf.DUMMYFUNCTION("""COMPUTED_VALUE"""),"2024/8/2まで1巻無料")</f>
        <v>2024/8/2まで1巻無料</v>
      </c>
      <c r="Z1683" s="7"/>
      <c r="AA1683" s="7"/>
      <c r="AB1683" s="7"/>
    </row>
    <row r="1684" ht="15.75" customHeight="1">
      <c r="A1684" s="66">
        <f>IFERROR(__xludf.DUMMYFUNCTION("""COMPUTED_VALUE"""),3367.0)</f>
        <v>3367</v>
      </c>
      <c r="B1684" s="67" t="str">
        <f>IFERROR(__xludf.DUMMYFUNCTION("""COMPUTED_VALUE"""),"確定")</f>
        <v>確定</v>
      </c>
      <c r="C1684" s="68">
        <f>IFERROR(__xludf.DUMMYFUNCTION("""COMPUTED_VALUE"""),45414.0)</f>
        <v>45414</v>
      </c>
      <c r="D1684" s="68">
        <f>IFERROR(__xludf.DUMMYFUNCTION("""COMPUTED_VALUE"""),45468.0)</f>
        <v>45468</v>
      </c>
      <c r="E1684" s="31">
        <f>IFERROR(__xludf.DUMMYFUNCTION("""COMPUTED_VALUE"""),296831.0)</f>
        <v>296831</v>
      </c>
      <c r="F1684" s="22" t="str">
        <f>IFERROR(__xludf.DUMMYFUNCTION("""COMPUTED_VALUE"""),"「勝手にイッていいって俺、言いましたっけ？」爽やか後輩の本性はドSでした")</f>
        <v>「勝手にイッていいって俺、言いましたっけ？」爽やか後輩の本性はドSでした</v>
      </c>
      <c r="G1684" s="20" t="str">
        <f>IFERROR(__xludf.DUMMYFUNCTION("""COMPUTED_VALUE"""),"1～3")</f>
        <v>1～3</v>
      </c>
      <c r="H1684" s="67" t="str">
        <f>IFERROR(__xludf.DUMMYFUNCTION("""COMPUTED_VALUE"""),"ぢぇいそん椎名")</f>
        <v>ぢぇいそん椎名</v>
      </c>
      <c r="I1684" s="67" t="str">
        <f>IFERROR(__xludf.DUMMYFUNCTION("""COMPUTED_VALUE"""),"オトナ")</f>
        <v>オトナ</v>
      </c>
      <c r="J1684" s="67"/>
      <c r="K1684" s="67"/>
      <c r="L1684" s="67" t="str">
        <f>IFERROR(__xludf.DUMMYFUNCTION("""COMPUTED_VALUE"""),"DEEPER-ZERO")</f>
        <v>DEEPER-ZERO</v>
      </c>
      <c r="M1684" s="59">
        <f>IFERROR(__xludf.DUMMYFUNCTION("""COMPUTED_VALUE"""),45485.0)</f>
        <v>45485</v>
      </c>
      <c r="N1684" s="59">
        <f>IFERROR(__xludf.DUMMYFUNCTION("""COMPUTED_VALUE"""),45547.0)</f>
        <v>45547</v>
      </c>
      <c r="O1684" s="69"/>
      <c r="P1684" s="70" t="str">
        <f>IFERROR(__xludf.DUMMYFUNCTION("""COMPUTED_VALUE"""),"可")</f>
        <v>可</v>
      </c>
      <c r="Q1684" s="67" t="str">
        <f>IFERROR(__xludf.DUMMYFUNCTION("""COMPUTED_VALUE"""),"広告コミットOK(5/13)")</f>
        <v>広告コミットOK(5/13)</v>
      </c>
      <c r="R1684" s="67" t="str">
        <f>IFERROR(__xludf.DUMMYFUNCTION("""COMPUTED_VALUE"""),"格納済み")</f>
        <v>格納済み</v>
      </c>
      <c r="S1684" s="67" t="str">
        <f>IFERROR(__xludf.DUMMYFUNCTION("""COMPUTED_VALUE"""),"20240625_CLLENN_「勝手にイッていいって俺、言いましたっけ？」爽やか後輩の本性はドSでした")</f>
        <v>20240625_CLLENN_「勝手にイッていいって俺、言いましたっけ？」爽やか後輩の本性はドSでした</v>
      </c>
      <c r="T1684" s="75" t="str">
        <f>IFERROR(__xludf.DUMMYFUNCTION("""COMPUTED_VALUE"""),"格納済み")</f>
        <v>格納済み</v>
      </c>
      <c r="U1684" s="15" t="str">
        <f>IFERROR(__xludf.DUMMYFUNCTION("""COMPUTED_VALUE"""),"(C)ぢぇいそん椎名/DEEPER-ZERO")</f>
        <v>(C)ぢぇいそん椎名/DEEPER-ZERO</v>
      </c>
      <c r="V1684" s="8" t="str">
        <f>IFERROR(__xludf.DUMMYFUNCTION("""COMPUTED_VALUE"""),"「嫌って言っても逃がさねーけど」私は、彼のパンドラの箱を、開けてしまった。──人に触れると心の声が聞こえる能力を持つ、OLの莉菜。今まではその能力を使いながら上手く生きてきたが、唯一、後輩の一ノ瀬からは心の声が聞こえず、不思議に思っていた。ある時、二人でホテルに入ることになり、イイ雰囲気になって彼に触れたら……『無防備で泣かせたくなる顔してんな』……え!?今のって本当に彼の心の声!? 実はドSな後輩君×心が読めるOLのスレ違いラブストーリー!!")</f>
        <v>「嫌って言っても逃がさねーけど」私は、彼のパンドラの箱を、開けてしまった。──人に触れると心の声が聞こえる能力を持つ、OLの莉菜。今まではその能力を使いながら上手く生きてきたが、唯一、後輩の一ノ瀬からは心の声が聞こえず、不思議に思っていた。ある時、二人でホテルに入ることになり、イイ雰囲気になって彼に触れたら……『無防備で泣かせたくなる顔してんな』……え!?今のって本当に彼の心の声!? 実はドSな後輩君×心が読めるOLのスレ違いラブストーリー!!</v>
      </c>
      <c r="W1684" s="14"/>
      <c r="X1684" s="14" t="str">
        <f>IFERROR(__xludf.DUMMYFUNCTION("""COMPUTED_VALUE"""),"有")</f>
        <v>有</v>
      </c>
      <c r="Y1684" s="8" t="str">
        <f>IFERROR(__xludf.DUMMYFUNCTION("""COMPUTED_VALUE"""),"P8まで")</f>
        <v>P8まで</v>
      </c>
      <c r="Z1684" s="7"/>
      <c r="AA1684" s="7"/>
      <c r="AB1684" s="7"/>
    </row>
    <row r="1685" ht="15.75" customHeight="1">
      <c r="A1685" s="66">
        <f>IFERROR(__xludf.DUMMYFUNCTION("""COMPUTED_VALUE"""),3372.0)</f>
        <v>3372</v>
      </c>
      <c r="B1685" s="67" t="str">
        <f>IFERROR(__xludf.DUMMYFUNCTION("""COMPUTED_VALUE"""),"確定")</f>
        <v>確定</v>
      </c>
      <c r="C1685" s="68">
        <f>IFERROR(__xludf.DUMMYFUNCTION("""COMPUTED_VALUE"""),45419.0)</f>
        <v>45419</v>
      </c>
      <c r="D1685" s="68">
        <f>IFERROR(__xludf.DUMMYFUNCTION("""COMPUTED_VALUE"""),45469.0)</f>
        <v>45469</v>
      </c>
      <c r="E1685" s="31">
        <f>IFERROR(__xludf.DUMMYFUNCTION("""COMPUTED_VALUE"""),296378.0)</f>
        <v>296378</v>
      </c>
      <c r="F1685" s="22" t="str">
        <f>IFERROR(__xludf.DUMMYFUNCTION("""COMPUTED_VALUE"""),"不祥事アイドルの生存戦略")</f>
        <v>不祥事アイドルの生存戦略</v>
      </c>
      <c r="G1685" s="11" t="str">
        <f>IFERROR(__xludf.DUMMYFUNCTION("""COMPUTED_VALUE"""),"1～2")</f>
        <v>1～2</v>
      </c>
      <c r="H1685" s="67" t="str">
        <f>IFERROR(__xludf.DUMMYFUNCTION("""COMPUTED_VALUE"""),"南志都")</f>
        <v>南志都</v>
      </c>
      <c r="I1685" s="67" t="str">
        <f>IFERROR(__xludf.DUMMYFUNCTION("""COMPUTED_VALUE"""),"BL")</f>
        <v>BL</v>
      </c>
      <c r="J1685" s="67"/>
      <c r="K1685" s="67"/>
      <c r="L1685" s="67" t="str">
        <f>IFERROR(__xludf.DUMMYFUNCTION("""COMPUTED_VALUE"""),"ジュネット株式会社")</f>
        <v>ジュネット株式会社</v>
      </c>
      <c r="M1685" s="59">
        <f>IFERROR(__xludf.DUMMYFUNCTION("""COMPUTED_VALUE"""),45479.0)</f>
        <v>45479</v>
      </c>
      <c r="N1685" s="59">
        <f>IFERROR(__xludf.DUMMYFUNCTION("""COMPUTED_VALUE"""),45506.0)</f>
        <v>45506</v>
      </c>
      <c r="O1685" s="69"/>
      <c r="P1685" s="71" t="str">
        <f>IFERROR(__xludf.DUMMYFUNCTION("""COMPUTED_VALUE"""),"可")</f>
        <v>可</v>
      </c>
      <c r="Q1685" s="67"/>
      <c r="R1685" s="67" t="str">
        <f>IFERROR(__xludf.DUMMYFUNCTION("""COMPUTED_VALUE"""),"格納済み")</f>
        <v>格納済み</v>
      </c>
      <c r="S1685" s="67" t="str">
        <f>IFERROR(__xludf.DUMMYFUNCTION("""COMPUTED_VALUE"""),"20240625_ジュネット_不祥事アイドルの生存戦略")</f>
        <v>20240625_ジュネット_不祥事アイドルの生存戦略</v>
      </c>
      <c r="T1685" s="67" t="str">
        <f>IFERROR(__xludf.DUMMYFUNCTION("""COMPUTED_VALUE"""),"格納済み")</f>
        <v>格納済み</v>
      </c>
      <c r="U1685" s="15" t="str">
        <f>IFERROR(__xludf.DUMMYFUNCTION("""COMPUTED_VALUE"""),"（C）南志都/ジュネット")</f>
        <v>（C）南志都/ジュネット</v>
      </c>
      <c r="V1685" s="8" t="str">
        <f>IFERROR(__xludf.DUMMYFUNCTION("""COMPUTED_VALUE"""),"3人組男性アイドルグループ『REC』は単独カウントダウンコンサートを開いて上り調子…のはずだったが、年明け早々事務所社長のスキャンダルが発覚。社長失踪のため活動はストップ状態に陥る。しかもセンター格の紫音が彼女と結婚し渡仏。残された竜太はもう1人のメンバー・栄士と共に再起を誓うが栄士は「アイドル活動よりも俺はお前から離れたくないだけ」とと突然のカミングアウト!?果たして竜太はグループ崩壊を阻止できるのか?栄士の恋は実を結ぶのか??毎月第1土曜に続話が追加されていきます!")</f>
        <v>3人組男性アイドルグループ『REC』は単独カウントダウンコンサートを開いて上り調子…のはずだったが、年明け早々事務所社長のスキャンダルが発覚。社長失踪のため活動はストップ状態に陥る。しかもセンター格の紫音が彼女と結婚し渡仏。残された竜太はもう1人のメンバー・栄士と共に再起を誓うが栄士は「アイドル活動よりも俺はお前から離れたくないだけ」とと突然のカミングアウト!?果たして竜太はグループ崩壊を阻止できるのか?栄士の恋は実を結ぶのか??毎月第1土曜に続話が追加されていきます!</v>
      </c>
      <c r="W1685" s="14"/>
      <c r="X1685" s="14" t="str">
        <f>IFERROR(__xludf.DUMMYFUNCTION("""COMPUTED_VALUE"""),"有")</f>
        <v>有</v>
      </c>
      <c r="Y1685" s="8" t="str">
        <f>IFERROR(__xludf.DUMMYFUNCTION("""COMPUTED_VALUE"""),"P7まで")</f>
        <v>P7まで</v>
      </c>
      <c r="Z1685" s="7"/>
      <c r="AA1685" s="7"/>
      <c r="AB1685" s="7"/>
    </row>
    <row r="1686" ht="15.75" customHeight="1">
      <c r="A1686" s="66">
        <f>IFERROR(__xludf.DUMMYFUNCTION("""COMPUTED_VALUE"""),3380.0)</f>
        <v>3380</v>
      </c>
      <c r="B1686" s="67" t="str">
        <f>IFERROR(__xludf.DUMMYFUNCTION("""COMPUTED_VALUE"""),"確定")</f>
        <v>確定</v>
      </c>
      <c r="C1686" s="68">
        <f>IFERROR(__xludf.DUMMYFUNCTION("""COMPUTED_VALUE"""),45419.0)</f>
        <v>45419</v>
      </c>
      <c r="D1686" s="68">
        <f>IFERROR(__xludf.DUMMYFUNCTION("""COMPUTED_VALUE"""),45467.0)</f>
        <v>45467</v>
      </c>
      <c r="E1686" s="31">
        <f>IFERROR(__xludf.DUMMYFUNCTION("""COMPUTED_VALUE"""),295793.0)</f>
        <v>295793</v>
      </c>
      <c r="F1686" s="22" t="str">
        <f>IFERROR(__xludf.DUMMYFUNCTION("""COMPUTED_VALUE"""),"B-DAY 悪魔は嗤わない-死に戻り能力を得た少女は、悪魔の大公爵様に魅いられた-")</f>
        <v>B-DAY 悪魔は嗤わない-死に戻り能力を得た少女は、悪魔の大公爵様に魅いられた-</v>
      </c>
      <c r="G1686" s="69" t="str">
        <f>IFERROR(__xludf.DUMMYFUNCTION("""COMPUTED_VALUE"""),"1～3")</f>
        <v>1～3</v>
      </c>
      <c r="H1686" s="67" t="str">
        <f>IFERROR(__xludf.DUMMYFUNCTION("""COMPUTED_VALUE"""),"堀田阿伴┴さきっちょだけ!")</f>
        <v>堀田阿伴┴さきっちょだけ!</v>
      </c>
      <c r="I1686" s="67" t="str">
        <f>IFERROR(__xludf.DUMMYFUNCTION("""COMPUTED_VALUE"""),"オトナ")</f>
        <v>オトナ</v>
      </c>
      <c r="J1686" s="67"/>
      <c r="K1686" s="67"/>
      <c r="L1686" s="67" t="str">
        <f>IFERROR(__xludf.DUMMYFUNCTION("""COMPUTED_VALUE"""),"ブリック出版")</f>
        <v>ブリック出版</v>
      </c>
      <c r="M1686" s="59">
        <f>IFERROR(__xludf.DUMMYFUNCTION("""COMPUTED_VALUE"""),45478.0)</f>
        <v>45478</v>
      </c>
      <c r="N1686" s="23">
        <f>IFERROR(__xludf.DUMMYFUNCTION("""COMPUTED_VALUE"""),45540.0)</f>
        <v>45540</v>
      </c>
      <c r="O1686" s="69"/>
      <c r="P1686" s="70" t="str">
        <f>IFERROR(__xludf.DUMMYFUNCTION("""COMPUTED_VALUE"""),"可")</f>
        <v>可</v>
      </c>
      <c r="Q1686" s="72" t="str">
        <f>IFERROR(__xludf.DUMMYFUNCTION("""COMPUTED_VALUE"""),"広告コミットOK(5/13)")</f>
        <v>広告コミットOK(5/13)</v>
      </c>
      <c r="R1686" s="67"/>
      <c r="S1686" s="67" t="str">
        <f>IFERROR(__xludf.DUMMYFUNCTION("""COMPUTED_VALUE"""),"20240621_BookLive_B-DAY")</f>
        <v>20240621_BookLive_B-DAY</v>
      </c>
      <c r="T1686" s="67" t="str">
        <f>IFERROR(__xludf.DUMMYFUNCTION("""COMPUTED_VALUE"""),"格納済み")</f>
        <v>格納済み</v>
      </c>
      <c r="U1686" s="15" t="str">
        <f>IFERROR(__xludf.DUMMYFUNCTION("""COMPUTED_VALUE"""),"(C)ブリック出版")</f>
        <v>(C)ブリック出版</v>
      </c>
      <c r="V1686" s="8" t="str">
        <f>IFERROR(__xludf.DUMMYFUNCTION("""COMPUTED_VALUE"""),"大侯爵である悪魔フロウラスは、地獄での長い投獄生活にもそろそろ飽きてきた。
そんな折、悪魔を閉じ込めた張本人の悪魔大王から一通の任命書が届く。
『人間を一匹悪魔にしてこい
この命令に逆らった場合──便所に流す』
しぶしぶながらも新しい楽しみを探すため、人間界に赴いた悪魔は一人の少女に目をとめた。
その少女は生きながらにして業火に焼かれるなか、人間には視えないはずの自分に必死に語り掛けてくる。
悪魔を神と勘違いして縋る少女を嗤う悪魔だったが、彼女には驚くべき能力が秘められていた――。
死に"&amp;"戻り。
家族から忌み嫌われ、生贄とされた少女は明くる日も明くる日も、家族からの愛を求めた。
何度火に炙られ、肌を焼かれ、何度死に戻ろうとも……。
「悪魔になれば　愛される?わたし…わたしは
生きててもいい?」
愚か、愚か、愚かな人間。悪魔は少女にこの上ない愉しみを見出そうとしていた。
「お前だけにこの権利を売ってやるよ……」
悪魔はまとわりつくような丁寧さで、少女を快楽の渦に誘い込んでいく。
享楽的ともいえる肉の交わり、もはや何度迎えたかわからなくなるほどの絶頂……。
"&amp;"
「どんどんどんどんおかしくなれよ　人間…」
「まだ人間のうちに…人間の感覚で愉しいことやっとこうぜ?」
狂おしいほど愛を求める少女が、途方もない快楽の契約に侵された先にあるものとは──?
※本作は堀田阿伴の個人誌作品の電子書籍版となります。【33ページ】")</f>
        <v>大侯爵である悪魔フロウラスは、地獄での長い投獄生活にもそろそろ飽きてきた。
そんな折、悪魔を閉じ込めた張本人の悪魔大王から一通の任命書が届く。
『人間を一匹悪魔にしてこい
この命令に逆らった場合──便所に流す』
しぶしぶながらも新しい楽しみを探すため、人間界に赴いた悪魔は一人の少女に目をとめた。
その少女は生きながらにして業火に焼かれるなか、人間には視えないはずの自分に必死に語り掛けてくる。
悪魔を神と勘違いして縋る少女を嗤う悪魔だったが、彼女には驚くべき能力が秘められていた――。
死に戻り。
家族から忌み嫌われ、生贄とされた少女は明くる日も明くる日も、家族からの愛を求めた。
何度火に炙られ、肌を焼かれ、何度死に戻ろうとも……。
「悪魔になれば　愛される?わたし…わたしは
生きててもいい?」
愚か、愚か、愚かな人間。悪魔は少女にこの上ない愉しみを見出そうとしていた。
「お前だけにこの権利を売ってやるよ……」
悪魔はまとわりつくような丁寧さで、少女を快楽の渦に誘い込んでいく。
享楽的ともいえる肉の交わり、もはや何度迎えたかわからなくなるほどの絶頂……。
「どんどんどんどんおかしくなれよ　人間…」
「まだ人間のうちに…人間の感覚で愉しいことやっとこうぜ?」
狂おしいほど愛を求める少女が、途方もない快楽の契約に侵された先にあるものとは──?
※本作は堀田阿伴の個人誌作品の電子書籍版となります。【33ページ】</v>
      </c>
      <c r="W1686" s="14"/>
      <c r="X1686" s="14" t="str">
        <f>IFERROR(__xludf.DUMMYFUNCTION("""COMPUTED_VALUE"""),"有")</f>
        <v>有</v>
      </c>
      <c r="Y1686" s="8" t="str">
        <f>IFERROR(__xludf.DUMMYFUNCTION("""COMPUTED_VALUE"""),"P17まで")</f>
        <v>P17まで</v>
      </c>
      <c r="Z1686" s="7"/>
      <c r="AA1686" s="7"/>
      <c r="AB1686" s="7"/>
    </row>
    <row r="1687" ht="15.75" customHeight="1">
      <c r="A1687" s="66">
        <f>IFERROR(__xludf.DUMMYFUNCTION("""COMPUTED_VALUE"""),3382.0)</f>
        <v>3382</v>
      </c>
      <c r="B1687" s="67" t="str">
        <f>IFERROR(__xludf.DUMMYFUNCTION("""COMPUTED_VALUE"""),"確定")</f>
        <v>確定</v>
      </c>
      <c r="C1687" s="68">
        <f>IFERROR(__xludf.DUMMYFUNCTION("""COMPUTED_VALUE"""),45419.0)</f>
        <v>45419</v>
      </c>
      <c r="D1687" s="68">
        <f>IFERROR(__xludf.DUMMYFUNCTION("""COMPUTED_VALUE"""),45467.0)</f>
        <v>45467</v>
      </c>
      <c r="E1687" s="31">
        <f>IFERROR(__xludf.DUMMYFUNCTION("""COMPUTED_VALUE"""),297056.0)</f>
        <v>297056</v>
      </c>
      <c r="F1687" s="22" t="str">
        <f>IFERROR(__xludf.DUMMYFUNCTION("""COMPUTED_VALUE"""),"※閲覧注意※廃村に動画撮影に行ったらおじショタ(?)幼馴染と『ナニカ』に囚われてしまった。")</f>
        <v>※閲覧注意※廃村に動画撮影に行ったらおじショタ(?)幼馴染と『ナニカ』に囚われてしまった。</v>
      </c>
      <c r="G1687" s="69" t="str">
        <f>IFERROR(__xludf.DUMMYFUNCTION("""COMPUTED_VALUE"""),"1～3")</f>
        <v>1～3</v>
      </c>
      <c r="H1687" s="67" t="str">
        <f>IFERROR(__xludf.DUMMYFUNCTION("""COMPUTED_VALUE"""),"堀田阿伴┴さきっちょだけ!")</f>
        <v>堀田阿伴┴さきっちょだけ!</v>
      </c>
      <c r="I1687" s="67" t="str">
        <f>IFERROR(__xludf.DUMMYFUNCTION("""COMPUTED_VALUE"""),"オトナ")</f>
        <v>オトナ</v>
      </c>
      <c r="J1687" s="67"/>
      <c r="K1687" s="67"/>
      <c r="L1687" s="67" t="str">
        <f>IFERROR(__xludf.DUMMYFUNCTION("""COMPUTED_VALUE"""),"ブリック出版")</f>
        <v>ブリック出版</v>
      </c>
      <c r="M1687" s="59">
        <f>IFERROR(__xludf.DUMMYFUNCTION("""COMPUTED_VALUE"""),45492.0)</f>
        <v>45492</v>
      </c>
      <c r="N1687" s="59">
        <f>IFERROR(__xludf.DUMMYFUNCTION("""COMPUTED_VALUE"""),45554.0)</f>
        <v>45554</v>
      </c>
      <c r="O1687" s="69"/>
      <c r="P1687" s="70" t="str">
        <f>IFERROR(__xludf.DUMMYFUNCTION("""COMPUTED_VALUE"""),"可")</f>
        <v>可</v>
      </c>
      <c r="Q1687" s="72" t="str">
        <f>IFERROR(__xludf.DUMMYFUNCTION("""COMPUTED_VALUE"""),"広告コミットOK(5/13)")</f>
        <v>広告コミットOK(5/13)</v>
      </c>
      <c r="R1687" s="67"/>
      <c r="S1687" s="67" t="str">
        <f>IFERROR(__xludf.DUMMYFUNCTION("""COMPUTED_VALUE"""),"20240621_BookLive_※閲覧注意※廃村に動画撮影に行ったらおじショタ")</f>
        <v>20240621_BookLive_※閲覧注意※廃村に動画撮影に行ったらおじショタ</v>
      </c>
      <c r="T1687" s="67" t="str">
        <f>IFERROR(__xludf.DUMMYFUNCTION("""COMPUTED_VALUE"""),"格納済み")</f>
        <v>格納済み</v>
      </c>
      <c r="U1687" s="15" t="str">
        <f>IFERROR(__xludf.DUMMYFUNCTION("""COMPUTED_VALUE"""),"(C)ブリック出版")</f>
        <v>(C)ブリック出版</v>
      </c>
      <c r="V1687" s="8" t="str">
        <f>IFERROR(__xludf.DUMMYFUNCTION("""COMPUTED_VALUE"""),"山奥に存在するとある小さな村―――
この村は10年前……突如村人全員ごと消えてしまった―――。
平凡な女子大生のひかりは最近になって、
何の前触れもなく幼いころにいたかつての故郷を思い出した。
おぼろげな記憶しかない、取るに足らない小さな廃村を……。
そんなとき、同じ大学の配信者たちが
一緒に村に行こうとひかりに声をかける。
「廃村企画やろうと思って!」
断り切れない性格のひかりはカメラマンとして同行することに――。
配信者たちの強引で不遜な態度に辟易しながらも人一人"&amp;"いない村に足を踏み入れるが、
そこには恐ろしい惨劇が待っていた。
「花嫁」
「俺たちの花嫁」
「よく戻ってきた」
ひかりはわけもわからず顔の見えない男たちに次々と凌○されていくが、
男根をその身に埋められれば埋められるほど躰には快楽が刻み込まれていく。
強烈ともいえる執着と怨念からひかりは逃げられない。
……逃がさない。
やがて一人の見知った少年がひかりの前に姿を現し、その口から驚愕の真実が告げられる。
「ワシはな、ずっと待っておったのよ。
お前がこの土地に還って"&amp;"来ることを」
渦巻く怨毒と終わらない執拗な責め苦にそぐわぬ無垢な悲劇が語られる―――。
「大丈夫。ボクは耐えられるから」
「帰ってきたらっ　ボクと……
　　　　　　　　　　　　　　　　　　　結婚してね」
※ホラー、グロ要素があります。
※無理矢理要素があります。
※本作は堀田阿伴の個人誌作品の電子書籍版となります。【24ページ】")</f>
        <v>山奥に存在するとある小さな村―――
この村は10年前……突如村人全員ごと消えてしまった―――。
平凡な女子大生のひかりは最近になって、
何の前触れもなく幼いころにいたかつての故郷を思い出した。
おぼろげな記憶しかない、取るに足らない小さな廃村を……。
そんなとき、同じ大学の配信者たちが
一緒に村に行こうとひかりに声をかける。
「廃村企画やろうと思って!」
断り切れない性格のひかりはカメラマンとして同行することに――。
配信者たちの強引で不遜な態度に辟易しながらも人一人いない村に足を踏み入れるが、
そこには恐ろしい惨劇が待っていた。
「花嫁」
「俺たちの花嫁」
「よく戻ってきた」
ひかりはわけもわからず顔の見えない男たちに次々と凌○されていくが、
男根をその身に埋められれば埋められるほど躰には快楽が刻み込まれていく。
強烈ともいえる執着と怨念からひかりは逃げられない。
……逃がさない。
やがて一人の見知った少年がひかりの前に姿を現し、その口から驚愕の真実が告げられる。
「ワシはな、ずっと待っておったのよ。
お前がこの土地に還って来ることを」
渦巻く怨毒と終わらない執拗な責め苦にそぐわぬ無垢な悲劇が語られる―――。
「大丈夫。ボクは耐えられるから」
「帰ってきたらっ　ボクと……
　　　　　　　　　　　　　　　　　　　結婚してね」
※ホラー、グロ要素があります。
※無理矢理要素があります。
※本作は堀田阿伴の個人誌作品の電子書籍版となります。【24ページ】</v>
      </c>
      <c r="W1687" s="14"/>
      <c r="X1687" s="14" t="str">
        <f>IFERROR(__xludf.DUMMYFUNCTION("""COMPUTED_VALUE"""),"有")</f>
        <v>有</v>
      </c>
      <c r="Y1687" s="8" t="str">
        <f>IFERROR(__xludf.DUMMYFUNCTION("""COMPUTED_VALUE"""),"P15まで")</f>
        <v>P15まで</v>
      </c>
      <c r="Z1687" s="7"/>
      <c r="AA1687" s="7"/>
      <c r="AB1687" s="7"/>
    </row>
    <row r="1688" ht="15.75" customHeight="1">
      <c r="A1688" s="66">
        <f>IFERROR(__xludf.DUMMYFUNCTION("""COMPUTED_VALUE"""),3412.0)</f>
        <v>3412</v>
      </c>
      <c r="B1688" s="67" t="str">
        <f>IFERROR(__xludf.DUMMYFUNCTION("""COMPUTED_VALUE"""),"確定")</f>
        <v>確定</v>
      </c>
      <c r="C1688" s="68">
        <f>IFERROR(__xludf.DUMMYFUNCTION("""COMPUTED_VALUE"""),45425.0)</f>
        <v>45425</v>
      </c>
      <c r="D1688" s="68">
        <f>IFERROR(__xludf.DUMMYFUNCTION("""COMPUTED_VALUE"""),45467.0)</f>
        <v>45467</v>
      </c>
      <c r="E1688" s="31">
        <f>IFERROR(__xludf.DUMMYFUNCTION("""COMPUTED_VALUE"""),297880.0)</f>
        <v>297880</v>
      </c>
      <c r="F1688" s="22" t="str">
        <f>IFERROR(__xludf.DUMMYFUNCTION("""COMPUTED_VALUE"""),"サディスティック・メロウラバー")</f>
        <v>サディスティック・メロウラバー</v>
      </c>
      <c r="G1688" s="11" t="str">
        <f>IFERROR(__xludf.DUMMYFUNCTION("""COMPUTED_VALUE"""),"1～2")</f>
        <v>1～2</v>
      </c>
      <c r="H1688" s="67" t="str">
        <f>IFERROR(__xludf.DUMMYFUNCTION("""COMPUTED_VALUE"""),"おち")</f>
        <v>おち</v>
      </c>
      <c r="I1688" s="67" t="str">
        <f>IFERROR(__xludf.DUMMYFUNCTION("""COMPUTED_VALUE"""),"BL")</f>
        <v>BL</v>
      </c>
      <c r="J1688" s="67"/>
      <c r="K1688" s="67"/>
      <c r="L1688" s="67" t="str">
        <f>IFERROR(__xludf.DUMMYFUNCTION("""COMPUTED_VALUE"""),"CLLENN")</f>
        <v>CLLENN</v>
      </c>
      <c r="M1688" s="59">
        <f>IFERROR(__xludf.DUMMYFUNCTION("""COMPUTED_VALUE"""),45500.0)</f>
        <v>45500</v>
      </c>
      <c r="N1688" s="77">
        <f>IFERROR(__xludf.DUMMYFUNCTION("""COMPUTED_VALUE"""),45591.0)</f>
        <v>45591</v>
      </c>
      <c r="O1688" s="69"/>
      <c r="P1688" s="70" t="str">
        <f>IFERROR(__xludf.DUMMYFUNCTION("""COMPUTED_VALUE"""),"可")</f>
        <v>可</v>
      </c>
      <c r="Q1688" s="67" t="str">
        <f>IFERROR(__xludf.DUMMYFUNCTION("""COMPUTED_VALUE"""),"コミットOK（5/20）")</f>
        <v>コミットOK（5/20）</v>
      </c>
      <c r="R1688" s="67" t="str">
        <f>IFERROR(__xludf.DUMMYFUNCTION("""COMPUTED_VALUE"""),"格納済")</f>
        <v>格納済</v>
      </c>
      <c r="S1688" s="67" t="str">
        <f>IFERROR(__xludf.DUMMYFUNCTION("""COMPUTED_VALUE"""),"20240619_CLLENN_サディスティック・メロウラバー")</f>
        <v>20240619_CLLENN_サディスティック・メロウラバー</v>
      </c>
      <c r="T1688" s="67" t="str">
        <f>IFERROR(__xludf.DUMMYFUNCTION("""COMPUTED_VALUE"""),"格納済み")</f>
        <v>格納済み</v>
      </c>
      <c r="U1688" s="15" t="str">
        <f>IFERROR(__xludf.DUMMYFUNCTION("""COMPUTED_VALUE"""),"ⓒおち/CLLENN")</f>
        <v>ⓒおち/CLLENN</v>
      </c>
      <c r="V1688" s="8" t="str">
        <f>IFERROR(__xludf.DUMMYFUNCTION("""COMPUTED_VALUE"""),"「僕以外見えなくなるくらい、好きにさせてみせる」――SM風俗で人気S嬢として働く遼威（ろい）は、新規にもかかわらず高額指名してきた男の元を訪ねる。出迎えたのは、突然の活動休止で世間を騒がせている若手イケメン俳優の志臣(しおみ) だった。幼い頃にふたりは、「大人になってもずっと一緒にいる」と約束したが、彼は心無い言葉を残して姿を消していた…。志臣を拒絶する遼威だったが、その日から重すぎる求愛と執着で、身も心もぐずぐずに溶かされる日々が始まり―…！？【激重執着系俳優×拗らせツンデレS嬢】大嫌いなのに抗えない、"&amp;"刺激的なエロティックラブ！")</f>
        <v>「僕以外見えなくなるくらい、好きにさせてみせる」――SM風俗で人気S嬢として働く遼威（ろい）は、新規にもかかわらず高額指名してきた男の元を訪ねる。出迎えたのは、突然の活動休止で世間を騒がせている若手イケメン俳優の志臣(しおみ) だった。幼い頃にふたりは、「大人になってもずっと一緒にいる」と約束したが、彼は心無い言葉を残して姿を消していた…。志臣を拒絶する遼威だったが、その日から重すぎる求愛と執着で、身も心もぐずぐずに溶かされる日々が始まり―…！？【激重執着系俳優×拗らせツンデレS嬢】大嫌いなのに抗えない、刺激的なエロティックラブ！</v>
      </c>
      <c r="W1688" s="14"/>
      <c r="X1688" s="14" t="str">
        <f>IFERROR(__xludf.DUMMYFUNCTION("""COMPUTED_VALUE"""),"有")</f>
        <v>有</v>
      </c>
      <c r="Y1688" s="8" t="str">
        <f>IFERROR(__xludf.DUMMYFUNCTION("""COMPUTED_VALUE"""),"2024/8/16まで立ち読み増量P16まで")</f>
        <v>2024/8/16まで立ち読み増量P16まで</v>
      </c>
      <c r="Z1688" s="7"/>
      <c r="AA1688" s="7"/>
      <c r="AB1688" s="7"/>
    </row>
    <row r="1689" ht="15.75" customHeight="1">
      <c r="A1689" s="66">
        <f>IFERROR(__xludf.DUMMYFUNCTION("""COMPUTED_VALUE"""),3444.0)</f>
        <v>3444</v>
      </c>
      <c r="B1689" s="67" t="str">
        <f>IFERROR(__xludf.DUMMYFUNCTION("""COMPUTED_VALUE"""),"確定")</f>
        <v>確定</v>
      </c>
      <c r="C1689" s="68">
        <f>IFERROR(__xludf.DUMMYFUNCTION("""COMPUTED_VALUE"""),45429.0)</f>
        <v>45429</v>
      </c>
      <c r="D1689" s="68">
        <f>IFERROR(__xludf.DUMMYFUNCTION("""COMPUTED_VALUE"""),45468.0)</f>
        <v>45468</v>
      </c>
      <c r="E1689" s="31">
        <f>IFERROR(__xludf.DUMMYFUNCTION("""COMPUTED_VALUE"""),297193.0)</f>
        <v>297193</v>
      </c>
      <c r="F1689" s="22" t="str">
        <f>IFERROR(__xludf.DUMMYFUNCTION("""COMPUTED_VALUE"""),"野獣御曹司に甘く食べ尽くされそうです【分冊版】")</f>
        <v>野獣御曹司に甘く食べ尽くされそうです【分冊版】</v>
      </c>
      <c r="G1689" s="20" t="str">
        <f>IFERROR(__xludf.DUMMYFUNCTION("""COMPUTED_VALUE"""),"1～3")</f>
        <v>1～3</v>
      </c>
      <c r="H1689" s="67" t="str">
        <f>IFERROR(__xludf.DUMMYFUNCTION("""COMPUTED_VALUE"""),"小桜深紅・沙紋み")</f>
        <v>小桜深紅・沙紋み</v>
      </c>
      <c r="I1689" s="67" t="str">
        <f>IFERROR(__xludf.DUMMYFUNCTION("""COMPUTED_VALUE"""),"女性")</f>
        <v>女性</v>
      </c>
      <c r="J1689" s="67"/>
      <c r="K1689" s="67"/>
      <c r="L1689" s="67" t="str">
        <f>IFERROR(__xludf.DUMMYFUNCTION("""COMPUTED_VALUE"""),"ハーパーコリンズ・ジャパン")</f>
        <v>ハーパーコリンズ・ジャパン</v>
      </c>
      <c r="M1689" s="59">
        <f>IFERROR(__xludf.DUMMYFUNCTION("""COMPUTED_VALUE"""),45492.0)</f>
        <v>45492</v>
      </c>
      <c r="N1689" s="73">
        <f>IFERROR(__xludf.DUMMYFUNCTION("""COMPUTED_VALUE"""),45553.0)</f>
        <v>45553</v>
      </c>
      <c r="O1689" s="69"/>
      <c r="P1689" s="70" t="str">
        <f>IFERROR(__xludf.DUMMYFUNCTION("""COMPUTED_VALUE"""),"否")</f>
        <v>否</v>
      </c>
      <c r="Q1689" s="67" t="str">
        <f>IFERROR(__xludf.DUMMYFUNCTION("""COMPUTED_VALUE"""),"素材にはタイトル名「熱愛本能～野獣御曹司に甘く食べ尽くされそうです～」とございますが「野獣御曹司に甘く食べ尽くされそうです【分冊版】」で制作のほどよろしくお願いいたします。")</f>
        <v>素材にはタイトル名「熱愛本能～野獣御曹司に甘く食べ尽くされそうです～」とございますが「野獣御曹司に甘く食べ尽くされそうです【分冊版】」で制作のほどよろしくお願いいたします。</v>
      </c>
      <c r="R1689" s="67" t="str">
        <f>IFERROR(__xludf.DUMMYFUNCTION("""COMPUTED_VALUE"""),"格納済")</f>
        <v>格納済</v>
      </c>
      <c r="S1689" s="67" t="str">
        <f>IFERROR(__xludf.DUMMYFUNCTION("""COMPUTED_VALUE"""),"20240620_ハーパーコリンズ_野獣御曹司に甘く食べ尽くされそうです")</f>
        <v>20240620_ハーパーコリンズ_野獣御曹司に甘く食べ尽くされそうです</v>
      </c>
      <c r="T1689" s="67" t="str">
        <f>IFERROR(__xludf.DUMMYFUNCTION("""COMPUTED_VALUE"""),"格納済み")</f>
        <v>格納済み</v>
      </c>
      <c r="U1689" s="15" t="str">
        <f>IFERROR(__xludf.DUMMYFUNCTION("""COMPUTED_VALUE"""),"©小桜深紅・沙紋みら／ハーパーコリンズ・ジャパン")</f>
        <v>©小桜深紅・沙紋みら／ハーパーコリンズ・ジャパン</v>
      </c>
      <c r="V1689" s="8" t="str">
        <f>IFERROR(__xludf.DUMMYFUNCTION("""COMPUTED_VALUE"""),"再会した初恋の人に心も体も乱される―…!?
今年社会人となる芽衣は、初恋の人を9年間想い続けていた。
芽衣が高校生の時に家庭教師をしていた伊吹を好きになり、最後の授業で告白。
その際『10年後。芽衣が大人になったら…』という伊吹の言葉が忘れられずにいた。
出勤初日、芽衣は会社の上司として伊吹と再会することに…!?
しかし当時の優しい雰囲気と全く違っていて―…？")</f>
        <v>再会した初恋の人に心も体も乱される―…!?
今年社会人となる芽衣は、初恋の人を9年間想い続けていた。
芽衣が高校生の時に家庭教師をしていた伊吹を好きになり、最後の授業で告白。
その際『10年後。芽衣が大人になったら…』という伊吹の言葉が忘れられずにいた。
出勤初日、芽衣は会社の上司として伊吹と再会することに…!?
しかし当時の優しい雰囲気と全く違っていて―…？</v>
      </c>
      <c r="W1689" s="14"/>
      <c r="X1689" s="14" t="str">
        <f>IFERROR(__xludf.DUMMYFUNCTION("""COMPUTED_VALUE"""),"有")</f>
        <v>有</v>
      </c>
      <c r="Y1689" s="8" t="str">
        <f>IFERROR(__xludf.DUMMYFUNCTION("""COMPUTED_VALUE"""),"P8まで")</f>
        <v>P8まで</v>
      </c>
      <c r="Z1689" s="7"/>
      <c r="AA1689" s="7"/>
      <c r="AB1689" s="7"/>
    </row>
    <row r="1690" ht="15.75" customHeight="1">
      <c r="A1690" s="66">
        <f>IFERROR(__xludf.DUMMYFUNCTION("""COMPUTED_VALUE"""),3485.0)</f>
        <v>3485</v>
      </c>
      <c r="B1690" s="67" t="str">
        <f>IFERROR(__xludf.DUMMYFUNCTION("""COMPUTED_VALUE"""),"確定")</f>
        <v>確定</v>
      </c>
      <c r="C1690" s="68">
        <f>IFERROR(__xludf.DUMMYFUNCTION("""COMPUTED_VALUE"""),45435.0)</f>
        <v>45435</v>
      </c>
      <c r="D1690" s="68">
        <f>IFERROR(__xludf.DUMMYFUNCTION("""COMPUTED_VALUE"""),45469.0)</f>
        <v>45469</v>
      </c>
      <c r="E1690" s="31">
        <f>IFERROR(__xludf.DUMMYFUNCTION("""COMPUTED_VALUE"""),297356.0)</f>
        <v>297356</v>
      </c>
      <c r="F1690" s="22" t="str">
        <f>IFERROR(__xludf.DUMMYFUNCTION("""COMPUTED_VALUE"""),"はずれスキル念動力（ただしレベルＭＡＸ）で無双する ～手をかざすだけです。詠唱とか必殺技とかいりません。念じるだけで倒せます～")</f>
        <v>はずれスキル念動力（ただしレベルＭＡＸ）で無双する ～手をかざすだけです。詠唱とか必殺技とかいりません。念じるだけで倒せます～</v>
      </c>
      <c r="G1690" s="53" t="str">
        <f>IFERROR(__xludf.DUMMYFUNCTION("""COMPUTED_VALUE"""),"1～3")</f>
        <v>1～3</v>
      </c>
      <c r="H1690" s="67" t="str">
        <f>IFERROR(__xludf.DUMMYFUNCTION("""COMPUTED_VALUE"""),"（原作）さとう （作画）うなぽっぽ")</f>
        <v>（原作）さとう （作画）うなぽっぽ</v>
      </c>
      <c r="I1690" s="67" t="str">
        <f>IFERROR(__xludf.DUMMYFUNCTION("""COMPUTED_VALUE"""),"少年")</f>
        <v>少年</v>
      </c>
      <c r="J1690" s="67"/>
      <c r="K1690" s="67"/>
      <c r="L1690" s="67" t="str">
        <f>IFERROR(__xludf.DUMMYFUNCTION("""COMPUTED_VALUE"""),"CLLENN")</f>
        <v>CLLENN</v>
      </c>
      <c r="M1690" s="59">
        <f>IFERROR(__xludf.DUMMYFUNCTION("""COMPUTED_VALUE"""),45494.0)</f>
        <v>45494</v>
      </c>
      <c r="N1690" s="77">
        <f>IFERROR(__xludf.DUMMYFUNCTION("""COMPUTED_VALUE"""),45591.0)</f>
        <v>45591</v>
      </c>
      <c r="O1690" s="69"/>
      <c r="P1690" s="70" t="str">
        <f>IFERROR(__xludf.DUMMYFUNCTION("""COMPUTED_VALUE"""),"可")</f>
        <v>可</v>
      </c>
      <c r="Q1690" s="67" t="str">
        <f>IFERROR(__xludf.DUMMYFUNCTION("""COMPUTED_VALUE"""),"広告コミットOK(5/29)&lt;BR&gt;3巻目までで制作お願いします")</f>
        <v>広告コミットOK(5/29)&lt;BR&gt;3巻目までで制作お願いします</v>
      </c>
      <c r="R1690" s="67" t="str">
        <f>IFERROR(__xludf.DUMMYFUNCTION("""COMPUTED_VALUE"""),"格納済み")</f>
        <v>格納済み</v>
      </c>
      <c r="S1690" s="67" t="str">
        <f>IFERROR(__xludf.DUMMYFUNCTION("""COMPUTED_VALUE"""),"20240625_CLLENN_はずれスキル念動力（ただしレベルＭＡＸ）で無双する ～手をかざすだけです。詠唱とか必殺技とかいりません。念じるだけで倒せます～")</f>
        <v>20240625_CLLENN_はずれスキル念動力（ただしレベルＭＡＸ）で無双する ～手をかざすだけです。詠唱とか必殺技とかいりません。念じるだけで倒せます～</v>
      </c>
      <c r="T1690" s="75" t="str">
        <f>IFERROR(__xludf.DUMMYFUNCTION("""COMPUTED_VALUE"""),"格納済み")</f>
        <v>格納済み</v>
      </c>
      <c r="U1690" s="15" t="str">
        <f>IFERROR(__xludf.DUMMYFUNCTION("""COMPUTED_VALUE"""),"(C)さとう・うなぽっぽ/CLLENN")</f>
        <v>(C)さとう・うなぽっぽ/CLLENN</v>
      </c>
      <c r="V1690" s="8" t="str">
        <f>IFERROR(__xludf.DUMMYFUNCTION("""COMPUTED_VALUE"""),"「今の君なら誰にも負けないよ　神様が保証する」――史上最弱のスキル《念動力》を授かった主人公エルク・キネーシス。公爵家の長男として生まれながら、弱小スキルゆえに周りからは見下されていた。ある日、父とその異母兄妹におとしめられ、唯一の理解者であるメイドのエマの目の前で、エルクは無惨にも殺されてしまう。目を覚ますとそこにあらわれたのは、女神・ピピーナ。特別なスキルを求めず、《念動力》だけで強くなりたいという彼の願いに感銘を受けたピピーナは、2000年に及ぶ特訓をほどこすことに。長きに渡る修行の末、女神の計らい"&amp;"で現世に戻った彼はエマと再会し、かつて自分を虐げたキネーシス家へと復讐を誓う！")</f>
        <v>「今の君なら誰にも負けないよ　神様が保証する」――史上最弱のスキル《念動力》を授かった主人公エルク・キネーシス。公爵家の長男として生まれながら、弱小スキルゆえに周りからは見下されていた。ある日、父とその異母兄妹におとしめられ、唯一の理解者であるメイドのエマの目の前で、エルクは無惨にも殺されてしまう。目を覚ますとそこにあらわれたのは、女神・ピピーナ。特別なスキルを求めず、《念動力》だけで強くなりたいという彼の願いに感銘を受けたピピーナは、2000年に及ぶ特訓をほどこすことに。長きに渡る修行の末、女神の計らいで現世に戻った彼はエマと再会し、かつて自分を虐げたキネーシス家へと復讐を誓う！</v>
      </c>
      <c r="W1690" s="14"/>
      <c r="X1690" s="14" t="str">
        <f>IFERROR(__xludf.DUMMYFUNCTION("""COMPUTED_VALUE"""),"有")</f>
        <v>有</v>
      </c>
      <c r="Y1690" s="8" t="str">
        <f>IFERROR(__xludf.DUMMYFUNCTION("""COMPUTED_VALUE"""),"2024/8/21まで1巻無料")</f>
        <v>2024/8/21まで1巻無料</v>
      </c>
      <c r="Z1690" s="7"/>
      <c r="AA1690" s="7"/>
      <c r="AB1690" s="7"/>
    </row>
    <row r="1691" ht="15.75" customHeight="1">
      <c r="A1691" s="66">
        <f>IFERROR(__xludf.DUMMYFUNCTION("""COMPUTED_VALUE"""),3486.0)</f>
        <v>3486</v>
      </c>
      <c r="B1691" s="67" t="str">
        <f>IFERROR(__xludf.DUMMYFUNCTION("""COMPUTED_VALUE"""),"確定")</f>
        <v>確定</v>
      </c>
      <c r="C1691" s="68">
        <f>IFERROR(__xludf.DUMMYFUNCTION("""COMPUTED_VALUE"""),45435.0)</f>
        <v>45435</v>
      </c>
      <c r="D1691" s="68">
        <f>IFERROR(__xludf.DUMMYFUNCTION("""COMPUTED_VALUE"""),45469.0)</f>
        <v>45469</v>
      </c>
      <c r="E1691" s="31">
        <f>IFERROR(__xludf.DUMMYFUNCTION("""COMPUTED_VALUE"""),297355.0)</f>
        <v>297355</v>
      </c>
      <c r="F1691" s="22" t="str">
        <f>IFERROR(__xludf.DUMMYFUNCTION("""COMPUTED_VALUE"""),"異世界最強タンク、離職率99％のコールセンターに配属される")</f>
        <v>異世界最強タンク、離職率99％のコールセンターに配属される</v>
      </c>
      <c r="G1691" s="20" t="str">
        <f>IFERROR(__xludf.DUMMYFUNCTION("""COMPUTED_VALUE"""),"1～3")</f>
        <v>1～3</v>
      </c>
      <c r="H1691" s="67" t="str">
        <f>IFERROR(__xludf.DUMMYFUNCTION("""COMPUTED_VALUE"""),"（原作）石原宙（作画）灰二")</f>
        <v>（原作）石原宙（作画）灰二</v>
      </c>
      <c r="I1691" s="67" t="str">
        <f>IFERROR(__xludf.DUMMYFUNCTION("""COMPUTED_VALUE"""),"少年")</f>
        <v>少年</v>
      </c>
      <c r="J1691" s="67"/>
      <c r="K1691" s="67"/>
      <c r="L1691" s="67" t="str">
        <f>IFERROR(__xludf.DUMMYFUNCTION("""COMPUTED_VALUE"""),"CLLENN")</f>
        <v>CLLENN</v>
      </c>
      <c r="M1691" s="59">
        <f>IFERROR(__xludf.DUMMYFUNCTION("""COMPUTED_VALUE"""),45494.0)</f>
        <v>45494</v>
      </c>
      <c r="N1691" s="77">
        <f>IFERROR(__xludf.DUMMYFUNCTION("""COMPUTED_VALUE"""),45591.0)</f>
        <v>45591</v>
      </c>
      <c r="O1691" s="69"/>
      <c r="P1691" s="71" t="str">
        <f>IFERROR(__xludf.DUMMYFUNCTION("""COMPUTED_VALUE"""),"可")</f>
        <v>可</v>
      </c>
      <c r="Q1691" s="67"/>
      <c r="R1691" s="67" t="str">
        <f>IFERROR(__xludf.DUMMYFUNCTION("""COMPUTED_VALUE"""),"格納済み")</f>
        <v>格納済み</v>
      </c>
      <c r="S1691" s="67" t="str">
        <f>IFERROR(__xludf.DUMMYFUNCTION("""COMPUTED_VALUE"""),"20240625_CLLENN_異世界最強タンク、離職率99％のコールセンターに配属される")</f>
        <v>20240625_CLLENN_異世界最強タンク、離職率99％のコールセンターに配属される</v>
      </c>
      <c r="T1691" s="75" t="str">
        <f>IFERROR(__xludf.DUMMYFUNCTION("""COMPUTED_VALUE"""),"格納済み")</f>
        <v>格納済み</v>
      </c>
      <c r="U1691" s="15" t="str">
        <f>IFERROR(__xludf.DUMMYFUNCTION("""COMPUTED_VALUE"""),"(C)石原宙・灰二/CLLENN")</f>
        <v>(C)石原宙・灰二/CLLENN</v>
      </c>
      <c r="V1691" s="8" t="str">
        <f>IFERROR(__xludf.DUMMYFUNCTION("""COMPUTED_VALUE"""),"異世界でタンクスキルを駆使し、魔王を討伐した最強戦士タングス・ゴールドマン。魔王討伐の報酬として、女神がなんでも願いを叶えるという…次なる使命として、なおも人々を救うべく世界で最も悲惨な場所へ赴くことを望んでいたタングス。彼が降り立ったのは、離職率99％のブラックコールセンター！？ 理不尽なクレームをしてくる顧客『モンスターカスタマー』と対峙し、困っている同僚を救え！ 異世界最強タンクVS現世最凶のモンスターカスタマーたちの戦いが、今始まる……のか！？ クスっと笑える異世界系コメディ！")</f>
        <v>異世界でタンクスキルを駆使し、魔王を討伐した最強戦士タングス・ゴールドマン。魔王討伐の報酬として、女神がなんでも願いを叶えるという…次なる使命として、なおも人々を救うべく世界で最も悲惨な場所へ赴くことを望んでいたタングス。彼が降り立ったのは、離職率99％のブラックコールセンター！？ 理不尽なクレームをしてくる顧客『モンスターカスタマー』と対峙し、困っている同僚を救え！ 異世界最強タンクVS現世最凶のモンスターカスタマーたちの戦いが、今始まる……のか！？ クスっと笑える異世界系コメディ！</v>
      </c>
      <c r="W1691" s="14"/>
      <c r="X1691" s="14" t="str">
        <f>IFERROR(__xludf.DUMMYFUNCTION("""COMPUTED_VALUE"""),"有")</f>
        <v>有</v>
      </c>
      <c r="Y1691" s="8" t="str">
        <f>IFERROR(__xludf.DUMMYFUNCTION("""COMPUTED_VALUE"""),"2024/8/21まで1巻無料")</f>
        <v>2024/8/21まで1巻無料</v>
      </c>
      <c r="Z1691" s="7"/>
      <c r="AA1691" s="7"/>
      <c r="AB1691" s="7"/>
    </row>
    <row r="1692" ht="15.75" customHeight="1">
      <c r="A1692" s="66">
        <f>IFERROR(__xludf.DUMMYFUNCTION("""COMPUTED_VALUE"""),3487.0)</f>
        <v>3487</v>
      </c>
      <c r="B1692" s="67" t="str">
        <f>IFERROR(__xludf.DUMMYFUNCTION("""COMPUTED_VALUE"""),"確定")</f>
        <v>確定</v>
      </c>
      <c r="C1692" s="68">
        <f>IFERROR(__xludf.DUMMYFUNCTION("""COMPUTED_VALUE"""),45435.0)</f>
        <v>45435</v>
      </c>
      <c r="D1692" s="68">
        <f>IFERROR(__xludf.DUMMYFUNCTION("""COMPUTED_VALUE"""),45469.0)</f>
        <v>45469</v>
      </c>
      <c r="E1692" s="31">
        <f>IFERROR(__xludf.DUMMYFUNCTION("""COMPUTED_VALUE"""),297354.0)</f>
        <v>297354</v>
      </c>
      <c r="F1692" s="22" t="str">
        <f>IFERROR(__xludf.DUMMYFUNCTION("""COMPUTED_VALUE"""),"勇者小湊あきらは世界を救いたくない")</f>
        <v>勇者小湊あきらは世界を救いたくない</v>
      </c>
      <c r="G1692" s="20" t="str">
        <f>IFERROR(__xludf.DUMMYFUNCTION("""COMPUTED_VALUE"""),"1～3")</f>
        <v>1～3</v>
      </c>
      <c r="H1692" s="67" t="str">
        <f>IFERROR(__xludf.DUMMYFUNCTION("""COMPUTED_VALUE"""),"邪武丸")</f>
        <v>邪武丸</v>
      </c>
      <c r="I1692" s="67" t="str">
        <f>IFERROR(__xludf.DUMMYFUNCTION("""COMPUTED_VALUE"""),"少年")</f>
        <v>少年</v>
      </c>
      <c r="J1692" s="67"/>
      <c r="K1692" s="67"/>
      <c r="L1692" s="67" t="str">
        <f>IFERROR(__xludf.DUMMYFUNCTION("""COMPUTED_VALUE"""),"CLLENN")</f>
        <v>CLLENN</v>
      </c>
      <c r="M1692" s="59">
        <f>IFERROR(__xludf.DUMMYFUNCTION("""COMPUTED_VALUE"""),45494.0)</f>
        <v>45494</v>
      </c>
      <c r="N1692" s="77">
        <f>IFERROR(__xludf.DUMMYFUNCTION("""COMPUTED_VALUE"""),45591.0)</f>
        <v>45591</v>
      </c>
      <c r="O1692" s="69"/>
      <c r="P1692" s="70" t="str">
        <f>IFERROR(__xludf.DUMMYFUNCTION("""COMPUTED_VALUE"""),"可")</f>
        <v>可</v>
      </c>
      <c r="Q1692" s="67" t="str">
        <f>IFERROR(__xludf.DUMMYFUNCTION("""COMPUTED_VALUE"""),"広告コミットOK(5/29)")</f>
        <v>広告コミットOK(5/29)</v>
      </c>
      <c r="R1692" s="67" t="str">
        <f>IFERROR(__xludf.DUMMYFUNCTION("""COMPUTED_VALUE"""),"格納済み")</f>
        <v>格納済み</v>
      </c>
      <c r="S1692" s="67" t="str">
        <f>IFERROR(__xludf.DUMMYFUNCTION("""COMPUTED_VALUE"""),"20240625_CLLENN_勇者小湊あきらは世界を救いたくない")</f>
        <v>20240625_CLLENN_勇者小湊あきらは世界を救いたくない</v>
      </c>
      <c r="T1692" s="67" t="str">
        <f>IFERROR(__xludf.DUMMYFUNCTION("""COMPUTED_VALUE"""),"格納済み")</f>
        <v>格納済み</v>
      </c>
      <c r="U1692" s="15" t="str">
        <f>IFERROR(__xludf.DUMMYFUNCTION("""COMPUTED_VALUE"""),"(C)邪武丸/CLLENN")</f>
        <v>(C)邪武丸/CLLENN</v>
      </c>
      <c r="V1692" s="8" t="str">
        <f>IFERROR(__xludf.DUMMYFUNCTION("""COMPUTED_VALUE"""),"ポップでかわいい美少女勇者コメディ！主人公・小湊あきらは、高校進学のために一人暮らしをしている女の子。リア充学園生活を夢見るあきらは、ある日、新居の床に謎の美少女が突き刺さっているのを見つけてしまう！聖巫女コルネと名乗る彼女は、異世界の危機を救うため、あきらを勇者として召喚するはずが失敗し、この世界に落ちてきてしまったという。今日、見知らぬ子供をかばって、代わりに死を迎える運命にあることを告げられるあきら。「死んで…たまるかっての！！」子供の命に危機が迫った時、あきらは勇者に変身する！！「ぎゃああああっ　"&amp;"何この格好！？」セクシーなビキニ姿になるなんて、わたし聞いてないよっ！？")</f>
        <v>ポップでかわいい美少女勇者コメディ！主人公・小湊あきらは、高校進学のために一人暮らしをしている女の子。リア充学園生活を夢見るあきらは、ある日、新居の床に謎の美少女が突き刺さっているのを見つけてしまう！聖巫女コルネと名乗る彼女は、異世界の危機を救うため、あきらを勇者として召喚するはずが失敗し、この世界に落ちてきてしまったという。今日、見知らぬ子供をかばって、代わりに死を迎える運命にあることを告げられるあきら。「死んで…たまるかっての！！」子供の命に危機が迫った時、あきらは勇者に変身する！！「ぎゃああああっ　何この格好！？」セクシーなビキニ姿になるなんて、わたし聞いてないよっ！？</v>
      </c>
      <c r="W1692" s="14"/>
      <c r="X1692" s="14" t="str">
        <f>IFERROR(__xludf.DUMMYFUNCTION("""COMPUTED_VALUE"""),"有")</f>
        <v>有</v>
      </c>
      <c r="Y1692" s="8" t="str">
        <f>IFERROR(__xludf.DUMMYFUNCTION("""COMPUTED_VALUE"""),"2024/8/21まで1巻無料")</f>
        <v>2024/8/21まで1巻無料</v>
      </c>
      <c r="Z1692" s="7"/>
      <c r="AA1692" s="7"/>
      <c r="AB1692" s="7"/>
    </row>
    <row r="1693" ht="15.75" customHeight="1">
      <c r="A1693" s="66">
        <f>IFERROR(__xludf.DUMMYFUNCTION("""COMPUTED_VALUE"""),3529.0)</f>
        <v>3529</v>
      </c>
      <c r="B1693" s="67" t="str">
        <f>IFERROR(__xludf.DUMMYFUNCTION("""COMPUTED_VALUE"""),"確定")</f>
        <v>確定</v>
      </c>
      <c r="C1693" s="68">
        <f>IFERROR(__xludf.DUMMYFUNCTION("""COMPUTED_VALUE"""),45439.0)</f>
        <v>45439</v>
      </c>
      <c r="D1693" s="68">
        <f>IFERROR(__xludf.DUMMYFUNCTION("""COMPUTED_VALUE"""),45469.0)</f>
        <v>45469</v>
      </c>
      <c r="E1693" s="31">
        <f>IFERROR(__xludf.DUMMYFUNCTION("""COMPUTED_VALUE"""),296153.0)</f>
        <v>296153</v>
      </c>
      <c r="F1693" s="22" t="str">
        <f>IFERROR(__xludf.DUMMYFUNCTION("""COMPUTED_VALUE"""),"悪役令嬢、断罪前緊急３６時間")</f>
        <v>悪役令嬢、断罪前緊急３６時間</v>
      </c>
      <c r="G1693" s="11" t="str">
        <f>IFERROR(__xludf.DUMMYFUNCTION("""COMPUTED_VALUE"""),"1～2")</f>
        <v>1～2</v>
      </c>
      <c r="H1693" s="67" t="str">
        <f>IFERROR(__xludf.DUMMYFUNCTION("""COMPUTED_VALUE"""),"遊行寺 たま;三香")</f>
        <v>遊行寺 たま;三香</v>
      </c>
      <c r="I1693" s="67" t="str">
        <f>IFERROR(__xludf.DUMMYFUNCTION("""COMPUTED_VALUE"""),"少女")</f>
        <v>少女</v>
      </c>
      <c r="J1693" s="67"/>
      <c r="K1693" s="67"/>
      <c r="L1693" s="67" t="str">
        <f>IFERROR(__xludf.DUMMYFUNCTION("""COMPUTED_VALUE"""),"一迅社")</f>
        <v>一迅社</v>
      </c>
      <c r="M1693" s="59">
        <f>IFERROR(__xludf.DUMMYFUNCTION("""COMPUTED_VALUE"""),45474.0)</f>
        <v>45474</v>
      </c>
      <c r="N1693" s="23">
        <f>IFERROR(__xludf.DUMMYFUNCTION("""COMPUTED_VALUE"""),45504.0)</f>
        <v>45504</v>
      </c>
      <c r="O1693" s="69"/>
      <c r="P1693" s="70" t="str">
        <f>IFERROR(__xludf.DUMMYFUNCTION("""COMPUTED_VALUE"""),"可")</f>
        <v>可</v>
      </c>
      <c r="Q1693" s="72" t="str">
        <f>IFERROR(__xludf.DUMMYFUNCTION("""COMPUTED_VALUE"""),"広告コミットOK(6/3)")</f>
        <v>広告コミットOK(6/3)</v>
      </c>
      <c r="R1693" s="67"/>
      <c r="S1693" s="67" t="str">
        <f>IFERROR(__xludf.DUMMYFUNCTION("""COMPUTED_VALUE"""),"20240619_一迅社_悪役令嬢、断罪前緊急36時間")</f>
        <v>20240619_一迅社_悪役令嬢、断罪前緊急36時間</v>
      </c>
      <c r="T1693" s="67" t="str">
        <f>IFERROR(__xludf.DUMMYFUNCTION("""COMPUTED_VALUE"""),"格納済み")</f>
        <v>格納済み</v>
      </c>
      <c r="U1693" s="15" t="str">
        <f>IFERROR(__xludf.DUMMYFUNCTION("""COMPUTED_VALUE"""),"(C)遊行寺たま・三香／一迅社")</f>
        <v>(C)遊行寺たま・三香／一迅社</v>
      </c>
      <c r="V1693" s="8" t="str">
        <f>IFERROR(__xludf.DUMMYFUNCTION("""COMPUTED_VALUE"""),"突然前世を思い出した侯爵令嬢シェリリア。それは婚約者から冤罪で断罪される36時間前で!?　※この作品は『悪役令嬢ですが、幸せになってみせますわ！　アンソロジーコミック』12巻収録作品と同一の内容を単話版として再編集したものとなります。")</f>
        <v>突然前世を思い出した侯爵令嬢シェリリア。それは婚約者から冤罪で断罪される36時間前で!?　※この作品は『悪役令嬢ですが、幸せになってみせますわ！　アンソロジーコミック』12巻収録作品と同一の内容を単話版として再編集したものとなります。</v>
      </c>
      <c r="W1693" s="14"/>
      <c r="X1693" s="14" t="str">
        <f>IFERROR(__xludf.DUMMYFUNCTION("""COMPUTED_VALUE"""),"有")</f>
        <v>有</v>
      </c>
      <c r="Y1693" s="8" t="str">
        <f>IFERROR(__xludf.DUMMYFUNCTION("""COMPUTED_VALUE"""),"P7まで")</f>
        <v>P7まで</v>
      </c>
      <c r="Z1693" s="7"/>
      <c r="AA1693" s="7"/>
      <c r="AB1693" s="7"/>
    </row>
    <row r="1694" ht="15.75" customHeight="1">
      <c r="A1694" s="66">
        <f>IFERROR(__xludf.DUMMYFUNCTION("""COMPUTED_VALUE"""),3533.0)</f>
        <v>3533</v>
      </c>
      <c r="B1694" s="67" t="str">
        <f>IFERROR(__xludf.DUMMYFUNCTION("""COMPUTED_VALUE"""),"確定")</f>
        <v>確定</v>
      </c>
      <c r="C1694" s="68">
        <f>IFERROR(__xludf.DUMMYFUNCTION("""COMPUTED_VALUE"""),45440.0)</f>
        <v>45440</v>
      </c>
      <c r="D1694" s="68">
        <f>IFERROR(__xludf.DUMMYFUNCTION("""COMPUTED_VALUE"""),45467.0)</f>
        <v>45467</v>
      </c>
      <c r="E1694" s="31">
        <f>IFERROR(__xludf.DUMMYFUNCTION("""COMPUTED_VALUE"""),297586.0)</f>
        <v>297586</v>
      </c>
      <c r="F1694" s="22" t="str">
        <f>IFERROR(__xludf.DUMMYFUNCTION("""COMPUTED_VALUE"""),"メイク・ハニー・トラップ")</f>
        <v>メイク・ハニー・トラップ</v>
      </c>
      <c r="G1694" s="20" t="str">
        <f>IFERROR(__xludf.DUMMYFUNCTION("""COMPUTED_VALUE"""),"1～6")</f>
        <v>1～6</v>
      </c>
      <c r="H1694" s="67" t="str">
        <f>IFERROR(__xludf.DUMMYFUNCTION("""COMPUTED_VALUE"""),"薄幸（納言）┴廻")</f>
        <v>薄幸（納言）┴廻</v>
      </c>
      <c r="I1694" s="67" t="str">
        <f>IFERROR(__xludf.DUMMYFUNCTION("""COMPUTED_VALUE"""),"女性")</f>
        <v>女性</v>
      </c>
      <c r="J1694" s="67"/>
      <c r="K1694" s="67"/>
      <c r="L1694" s="67" t="str">
        <f>IFERROR(__xludf.DUMMYFUNCTION("""COMPUTED_VALUE"""),"ライブコミックス")</f>
        <v>ライブコミックス</v>
      </c>
      <c r="M1694" s="59">
        <f>IFERROR(__xludf.DUMMYFUNCTION("""COMPUTED_VALUE"""),45499.0)</f>
        <v>45499</v>
      </c>
      <c r="N1694" s="59">
        <f>IFERROR(__xludf.DUMMYFUNCTION("""COMPUTED_VALUE"""),45561.0)</f>
        <v>45561</v>
      </c>
      <c r="O1694" s="69"/>
      <c r="P1694" s="70" t="str">
        <f>IFERROR(__xludf.DUMMYFUNCTION("""COMPUTED_VALUE"""),"可")</f>
        <v>可</v>
      </c>
      <c r="Q1694" s="72" t="str">
        <f>IFERROR(__xludf.DUMMYFUNCTION("""COMPUTED_VALUE"""),"広告コミットOK(6/6)&lt;BR&gt;BookLiveからの2次先行です。&lt;BR&gt;TV朝日のバラエティ番組「バズマンTV」の企画で、&lt;BR&gt;原作：人気タレント×作画：漫画家のコラボで生まれた作品で、お笑い芸人・薄幸さん（納言）が原作、&lt;BR&gt;『虐げられ令嬢』の廻さんが作画を担当しています。&lt;BR&gt;作品内容は、ドロドロ・スカッとな展開がお好きという薄幸さんの不倫泥沼ストーリーに、このジャンルを得意とする廻さんの作画がバッチリはまっており、&lt;BR&gt;広告的にも引きになるコマが多いかなと思いますので、ぜひご検討いただ"&amp;"ければ幸いです…！&lt;BR&gt;6巻目はもらい次第格納します")</f>
        <v>広告コミットOK(6/6)&lt;BR&gt;BookLiveからの2次先行です。&lt;BR&gt;TV朝日のバラエティ番組「バズマンTV」の企画で、&lt;BR&gt;原作：人気タレント×作画：漫画家のコラボで生まれた作品で、お笑い芸人・薄幸さん（納言）が原作、&lt;BR&gt;『虐げられ令嬢』の廻さんが作画を担当しています。&lt;BR&gt;作品内容は、ドロドロ・スカッとな展開がお好きという薄幸さんの不倫泥沼ストーリーに、このジャンルを得意とする廻さんの作画がバッチリはまっており、&lt;BR&gt;広告的にも引きになるコマが多いかなと思いますので、ぜひご検討いただければ幸いです…！&lt;BR&gt;6巻目はもらい次第格納します</v>
      </c>
      <c r="R1694" s="67"/>
      <c r="S1694" s="67" t="str">
        <f>IFERROR(__xludf.DUMMYFUNCTION("""COMPUTED_VALUE"""),"20240621_BookLive_メイク・ハニー・トラップ")</f>
        <v>20240621_BookLive_メイク・ハニー・トラップ</v>
      </c>
      <c r="T1694" s="78" t="str">
        <f>IFERROR(__xludf.DUMMYFUNCTION("""COMPUTED_VALUE"""),"格納済み")</f>
        <v>格納済み</v>
      </c>
      <c r="U1694" s="15" t="str">
        <f>IFERROR(__xludf.DUMMYFUNCTION("""COMPUTED_VALUE"""),"(C)薄幸（納言）・廻/ライブコミックス")</f>
        <v>(C)薄幸（納言）・廻/ライブコミックス</v>
      </c>
      <c r="V1694" s="8" t="str">
        <f>IFERROR(__xludf.DUMMYFUNCTION("""COMPUTED_VALUE"""),"「あんな甘ったるいだけのつまんない男と、結婚なんてしなきゃよかった！！」夫・瑛太（えいた）との結婚生活に飽き飽きしているBA（美容部員）のすみれ。どうにかして瑛太と別れ、不倫相手の翔（しょう）と一緒になれないものかと考えていた矢先、職場に高校時代のバイトの後輩・芽衣（めい）が現れる。メイクを施すと、瑛太の“推し”の女優と瓜二つに化けた芽衣を見たすみれに、悪魔がそっと囁いた。「この子を使って瑛太にハニートラップをしかけたら、慰謝料ガッポリもらって離婚できるんじゃない……？」テレビ朝日の漫画バラエティ番組「バ"&amp;"ズマンTV」発！お笑い芸人・薄幸（納言）と『虐げられ令嬢とケガレ公爵～そのケガレ、払ってみせます！～』の廻がタッグを組んで贈る、つまらない夫を捨てたい自己中女の不倫捏造ドロ沼ストーリー！")</f>
        <v>「あんな甘ったるいだけのつまんない男と、結婚なんてしなきゃよかった！！」夫・瑛太（えいた）との結婚生活に飽き飽きしているBA（美容部員）のすみれ。どうにかして瑛太と別れ、不倫相手の翔（しょう）と一緒になれないものかと考えていた矢先、職場に高校時代のバイトの後輩・芽衣（めい）が現れる。メイクを施すと、瑛太の“推し”の女優と瓜二つに化けた芽衣を見たすみれに、悪魔がそっと囁いた。「この子を使って瑛太にハニートラップをしかけたら、慰謝料ガッポリもらって離婚できるんじゃない……？」テレビ朝日の漫画バラエティ番組「バズマンTV」発！お笑い芸人・薄幸（納言）と『虐げられ令嬢とケガレ公爵～そのケガレ、払ってみせます！～』の廻がタッグを組んで贈る、つまらない夫を捨てたい自己中女の不倫捏造ドロ沼ストーリー！</v>
      </c>
      <c r="W1694" s="14"/>
      <c r="X1694" s="14" t="str">
        <f>IFERROR(__xludf.DUMMYFUNCTION("""COMPUTED_VALUE"""),"有")</f>
        <v>有</v>
      </c>
      <c r="Y1694" s="8" t="str">
        <f>IFERROR(__xludf.DUMMYFUNCTION("""COMPUTED_VALUE"""),"P10まで")</f>
        <v>P10まで</v>
      </c>
      <c r="Z1694" s="7"/>
      <c r="AA1694" s="7"/>
      <c r="AB1694" s="7"/>
    </row>
    <row r="1695" ht="15.75" customHeight="1">
      <c r="A1695" s="66">
        <f>IFERROR(__xludf.DUMMYFUNCTION("""COMPUTED_VALUE"""),3535.0)</f>
        <v>3535</v>
      </c>
      <c r="B1695" s="67" t="str">
        <f>IFERROR(__xludf.DUMMYFUNCTION("""COMPUTED_VALUE"""),"確定")</f>
        <v>確定</v>
      </c>
      <c r="C1695" s="68">
        <f>IFERROR(__xludf.DUMMYFUNCTION("""COMPUTED_VALUE"""),45440.0)</f>
        <v>45440</v>
      </c>
      <c r="D1695" s="68">
        <f>IFERROR(__xludf.DUMMYFUNCTION("""COMPUTED_VALUE"""),45467.0)</f>
        <v>45467</v>
      </c>
      <c r="E1695" s="31">
        <f>IFERROR(__xludf.DUMMYFUNCTION("""COMPUTED_VALUE"""),299828.0)</f>
        <v>299828</v>
      </c>
      <c r="F1695" s="22" t="str">
        <f>IFERROR(__xludf.DUMMYFUNCTION("""COMPUTED_VALUE"""),"追放姫は大魔術師に拾われる")</f>
        <v>追放姫は大魔術師に拾われる</v>
      </c>
      <c r="G1695" s="55" t="str">
        <f>IFERROR(__xludf.DUMMYFUNCTION("""COMPUTED_VALUE"""),"1～12")</f>
        <v>1～12</v>
      </c>
      <c r="H1695" s="67" t="str">
        <f>IFERROR(__xludf.DUMMYFUNCTION("""COMPUTED_VALUE"""),"絹上愛子")</f>
        <v>絹上愛子</v>
      </c>
      <c r="I1695" s="67" t="str">
        <f>IFERROR(__xludf.DUMMYFUNCTION("""COMPUTED_VALUE"""),"女性")</f>
        <v>女性</v>
      </c>
      <c r="J1695" s="67"/>
      <c r="K1695" s="67"/>
      <c r="L1695" s="67" t="str">
        <f>IFERROR(__xludf.DUMMYFUNCTION("""COMPUTED_VALUE"""),"ライブコミックス")</f>
        <v>ライブコミックス</v>
      </c>
      <c r="M1695" s="59">
        <f>IFERROR(__xludf.DUMMYFUNCTION("""COMPUTED_VALUE"""),45527.0)</f>
        <v>45527</v>
      </c>
      <c r="N1695" s="77">
        <f>IFERROR(__xludf.DUMMYFUNCTION("""COMPUTED_VALUE"""),45617.0)</f>
        <v>45617</v>
      </c>
      <c r="O1695" s="69"/>
      <c r="P1695" s="70" t="str">
        <f>IFERROR(__xludf.DUMMYFUNCTION("""COMPUTED_VALUE"""),"可")</f>
        <v>可</v>
      </c>
      <c r="Q1695" s="72" t="str">
        <f>IFERROR(__xludf.DUMMYFUNCTION("""COMPUTED_VALUE"""),"広告コミットOK(6/6)&lt;BR&gt;BookLiveからの2次先行です。&lt;BR&gt;9巻目までの素材を格納しました。以降はもらい次第格納します")</f>
        <v>広告コミットOK(6/6)&lt;BR&gt;BookLiveからの2次先行です。&lt;BR&gt;9巻目までの素材を格納しました。以降はもらい次第格納します</v>
      </c>
      <c r="R1695" s="67"/>
      <c r="S1695" s="67" t="str">
        <f>IFERROR(__xludf.DUMMYFUNCTION("""COMPUTED_VALUE"""),"20240621_BookLive_追放姫は大魔術師に拾われる")</f>
        <v>20240621_BookLive_追放姫は大魔術師に拾われる</v>
      </c>
      <c r="T1695" s="67" t="str">
        <f>IFERROR(__xludf.DUMMYFUNCTION("""COMPUTED_VALUE"""),"格納済み")</f>
        <v>格納済み</v>
      </c>
      <c r="U1695" s="15" t="str">
        <f>IFERROR(__xludf.DUMMYFUNCTION("""COMPUTED_VALUE"""),"Ⓒ絹上愛子/ライブコミックス")</f>
        <v>Ⓒ絹上愛子/ライブコミックス</v>
      </c>
      <c r="V1695" s="8" t="str">
        <f>IFERROR(__xludf.DUMMYFUNCTION("""COMPUTED_VALUE"""),"「誰もあれに近付けるな」憎悪の対象であるドラゴンと同じ『赤い瞳』と『白い髪』をもって生まれたタダン国の王女・アイラ。城を追われ、髪と瞳を隠して薬師として生活していたアイラだったが、偶然再会した妹に『赤い瞳』を暴露されてしまう。そこへ現れたのは、当代一の大魔術師で――！？　稀代の魔術師と隠された姫の、不器用な恋愛ファンタジー。")</f>
        <v>「誰もあれに近付けるな」憎悪の対象であるドラゴンと同じ『赤い瞳』と『白い髪』をもって生まれたタダン国の王女・アイラ。城を追われ、髪と瞳を隠して薬師として生活していたアイラだったが、偶然再会した妹に『赤い瞳』を暴露されてしまう。そこへ現れたのは、当代一の大魔術師で――！？　稀代の魔術師と隠された姫の、不器用な恋愛ファンタジー。</v>
      </c>
      <c r="W1695" s="14"/>
      <c r="X1695" s="14" t="str">
        <f>IFERROR(__xludf.DUMMYFUNCTION("""COMPUTED_VALUE"""),"有")</f>
        <v>有</v>
      </c>
      <c r="Y1695" s="8" t="str">
        <f>IFERROR(__xludf.DUMMYFUNCTION("""COMPUTED_VALUE"""),"P11まで")</f>
        <v>P11まで</v>
      </c>
      <c r="Z1695" s="7"/>
      <c r="AA1695" s="7"/>
      <c r="AB1695" s="7"/>
    </row>
    <row r="1696" ht="15.75" customHeight="1">
      <c r="A1696" s="66">
        <f>IFERROR(__xludf.DUMMYFUNCTION("""COMPUTED_VALUE"""),3536.0)</f>
        <v>3536</v>
      </c>
      <c r="B1696" s="67" t="str">
        <f>IFERROR(__xludf.DUMMYFUNCTION("""COMPUTED_VALUE"""),"確定")</f>
        <v>確定</v>
      </c>
      <c r="C1696" s="68">
        <f>IFERROR(__xludf.DUMMYFUNCTION("""COMPUTED_VALUE"""),45440.0)</f>
        <v>45440</v>
      </c>
      <c r="D1696" s="68">
        <f>IFERROR(__xludf.DUMMYFUNCTION("""COMPUTED_VALUE"""),45467.0)</f>
        <v>45467</v>
      </c>
      <c r="E1696" s="31">
        <f>IFERROR(__xludf.DUMMYFUNCTION("""COMPUTED_VALUE"""),297434.0)</f>
        <v>297434</v>
      </c>
      <c r="F1696" s="22" t="str">
        <f>IFERROR(__xludf.DUMMYFUNCTION("""COMPUTED_VALUE"""),"かわいく啼きなよ、松浦くん～チャラわんことトロあま発情バトル～")</f>
        <v>かわいく啼きなよ、松浦くん～チャラわんことトロあま発情バトル～</v>
      </c>
      <c r="G1696" s="69" t="str">
        <f>IFERROR(__xludf.DUMMYFUNCTION("""COMPUTED_VALUE"""),"1～4")</f>
        <v>1～4</v>
      </c>
      <c r="H1696" s="67" t="str">
        <f>IFERROR(__xludf.DUMMYFUNCTION("""COMPUTED_VALUE"""),"ミキモトマイ")</f>
        <v>ミキモトマイ</v>
      </c>
      <c r="I1696" s="78" t="str">
        <f>IFERROR(__xludf.DUMMYFUNCTION("""COMPUTED_VALUE"""),"TL")</f>
        <v>TL</v>
      </c>
      <c r="J1696" s="67"/>
      <c r="K1696" s="67"/>
      <c r="L1696" s="67" t="str">
        <f>IFERROR(__xludf.DUMMYFUNCTION("""COMPUTED_VALUE"""),"ライブコミックス")</f>
        <v>ライブコミックス</v>
      </c>
      <c r="M1696" s="59">
        <f>IFERROR(__xludf.DUMMYFUNCTION("""COMPUTED_VALUE"""),45541.0)</f>
        <v>45541</v>
      </c>
      <c r="N1696" s="77">
        <f>IFERROR(__xludf.DUMMYFUNCTION("""COMPUTED_VALUE"""),45596.0)</f>
        <v>45596</v>
      </c>
      <c r="O1696" s="69"/>
      <c r="P1696" s="70" t="str">
        <f>IFERROR(__xludf.DUMMYFUNCTION("""COMPUTED_VALUE"""),"可")</f>
        <v>可</v>
      </c>
      <c r="Q1696" s="72" t="str">
        <f>IFERROR(__xludf.DUMMYFUNCTION("""COMPUTED_VALUE"""),"広告コミットOK(6/6)&lt;BR&gt;3巻までの素材を格納しました残りはもらい次第格納します（6/21）")</f>
        <v>広告コミットOK(6/6)&lt;BR&gt;3巻までの素材を格納しました残りはもらい次第格納します（6/21）</v>
      </c>
      <c r="R1696" s="67"/>
      <c r="S1696" s="67" t="str">
        <f>IFERROR(__xludf.DUMMYFUNCTION("""COMPUTED_VALUE"""),"20240621_BookLive_かわいく啼きなよ")</f>
        <v>20240621_BookLive_かわいく啼きなよ</v>
      </c>
      <c r="T1696" s="67" t="str">
        <f>IFERROR(__xludf.DUMMYFUNCTION("""COMPUTED_VALUE"""),"格納済み")</f>
        <v>格納済み</v>
      </c>
      <c r="U1696" s="15" t="str">
        <f>IFERROR(__xludf.DUMMYFUNCTION("""COMPUTED_VALUE"""),"Ⓒミキモトマイ/ライブコミックス")</f>
        <v>Ⓒミキモトマイ/ライブコミックス</v>
      </c>
      <c r="V1696" s="8" t="str">
        <f>IFERROR(__xludf.DUMMYFUNCTION("""COMPUTED_VALUE"""),"「硬くなってるよ、松浦くん」キスだけでトロットロ…いつもの威勢もなくなっちゃって、かわいいね？――古賀秋緒（こがあきお）は、“きっちり”が鉄則の経理OL。マジメでお堅いイメージとは裏腹に、定時退社後は自由奔放。自分を解放して恋愛もセックスも気ままに楽しんでいた…、のに！　営業部の若手エリート・松浦（まつうら）くんに懐かれて、毎日付きまとわれるように！？　「今夜はまだ、古賀さんといたい…！」勝負をかけてきた松浦くんのぬるいキスを一蹴し…熱くねっとり舌を絡めてふかーいキスで返り討ち☆　イケメンだからって、主導"&amp;"権は渡さないんだから。いつも女子たちにチヤホヤされまくりの松浦くんは、足蹴にされた経験なんてなくて…！　「やっぱ、おもしれー女…」逆に火がついてしまい！？　お調子者のイケメンチャラわんこ×一枚上手な奔放OLの、イチャあま発情バトルラブ♪")</f>
        <v>「硬くなってるよ、松浦くん」キスだけでトロットロ…いつもの威勢もなくなっちゃって、かわいいね？――古賀秋緒（こがあきお）は、“きっちり”が鉄則の経理OL。マジメでお堅いイメージとは裏腹に、定時退社後は自由奔放。自分を解放して恋愛もセックスも気ままに楽しんでいた…、のに！　営業部の若手エリート・松浦（まつうら）くんに懐かれて、毎日付きまとわれるように！？　「今夜はまだ、古賀さんといたい…！」勝負をかけてきた松浦くんのぬるいキスを一蹴し…熱くねっとり舌を絡めてふかーいキスで返り討ち☆　イケメンだからって、主導権は渡さないんだから。いつも女子たちにチヤホヤされまくりの松浦くんは、足蹴にされた経験なんてなくて…！　「やっぱ、おもしれー女…」逆に火がついてしまい！？　お調子者のイケメンチャラわんこ×一枚上手な奔放OLの、イチャあま発情バトルラブ♪</v>
      </c>
      <c r="W1696" s="14"/>
      <c r="X1696" s="14" t="str">
        <f>IFERROR(__xludf.DUMMYFUNCTION("""COMPUTED_VALUE"""),"有")</f>
        <v>有</v>
      </c>
      <c r="Y1696" s="8" t="str">
        <f>IFERROR(__xludf.DUMMYFUNCTION("""COMPUTED_VALUE"""),"2024/10/10まで1巻無料")</f>
        <v>2024/10/10まで1巻無料</v>
      </c>
      <c r="Z1696" s="7"/>
      <c r="AA1696" s="7"/>
      <c r="AB1696" s="7"/>
    </row>
    <row r="1697" ht="15.75" customHeight="1">
      <c r="A1697" s="66">
        <f>IFERROR(__xludf.DUMMYFUNCTION("""COMPUTED_VALUE"""),3595.0)</f>
        <v>3595</v>
      </c>
      <c r="B1697" s="67" t="str">
        <f>IFERROR(__xludf.DUMMYFUNCTION("""COMPUTED_VALUE"""),"確定")</f>
        <v>確定</v>
      </c>
      <c r="C1697" s="68">
        <f>IFERROR(__xludf.DUMMYFUNCTION("""COMPUTED_VALUE"""),45449.0)</f>
        <v>45449</v>
      </c>
      <c r="D1697" s="68">
        <f>IFERROR(__xludf.DUMMYFUNCTION("""COMPUTED_VALUE"""),45469.0)</f>
        <v>45469</v>
      </c>
      <c r="E1697" s="31">
        <f>IFERROR(__xludf.DUMMYFUNCTION("""COMPUTED_VALUE"""),297518.0)</f>
        <v>297518</v>
      </c>
      <c r="F1697" s="46" t="str">
        <f>IFERROR(__xludf.DUMMYFUNCTION("""COMPUTED_VALUE"""),"【タテヨミ】ウサギと蛇の相性は")</f>
        <v>【タテヨミ】ウサギと蛇の相性は</v>
      </c>
      <c r="G1697" s="79" t="str">
        <f>IFERROR(__xludf.DUMMYFUNCTION("""COMPUTED_VALUE"""),"1～4")</f>
        <v>1～4</v>
      </c>
      <c r="H1697" s="78" t="str">
        <f>IFERROR(__xludf.DUMMYFUNCTION("""COMPUTED_VALUE"""),"hwammasirae┴momen┴K-FireTinkerBL　	")</f>
        <v>hwammasirae┴momen┴K-FireTinkerBL　	</v>
      </c>
      <c r="I1697" s="67" t="str">
        <f>IFERROR(__xludf.DUMMYFUNCTION("""COMPUTED_VALUE"""),"BL")</f>
        <v>BL</v>
      </c>
      <c r="J1697" s="67"/>
      <c r="K1697" s="67"/>
      <c r="L1697" s="67" t="str">
        <f>IFERROR(__xludf.DUMMYFUNCTION("""COMPUTED_VALUE"""),"Kmstudio")</f>
        <v>Kmstudio</v>
      </c>
      <c r="M1697" s="73">
        <f>IFERROR(__xludf.DUMMYFUNCTION("""COMPUTED_VALUE"""),45492.0)</f>
        <v>45492</v>
      </c>
      <c r="N1697" s="73">
        <f>IFERROR(__xludf.DUMMYFUNCTION("""COMPUTED_VALUE"""),45581.0)</f>
        <v>45581</v>
      </c>
      <c r="O1697" s="69"/>
      <c r="P1697" s="70" t="str">
        <f>IFERROR(__xludf.DUMMYFUNCTION("""COMPUTED_VALUE"""),"可")</f>
        <v>可</v>
      </c>
      <c r="Q1697" s="72" t="str">
        <f>IFERROR(__xludf.DUMMYFUNCTION("""COMPUTED_VALUE"""),"広告コミットOK(6/12)")</f>
        <v>広告コミットOK(6/12)</v>
      </c>
      <c r="R1697" s="67"/>
      <c r="S1697" s="67" t="str">
        <f>IFERROR(__xludf.DUMMYFUNCTION("""COMPUTED_VALUE"""),"20240625_Kmstudio_ウサギと蛇の相性は")</f>
        <v>20240625_Kmstudio_ウサギと蛇の相性は</v>
      </c>
      <c r="T1697" s="67" t="str">
        <f>IFERROR(__xludf.DUMMYFUNCTION("""COMPUTED_VALUE"""),"格納済み")</f>
        <v>格納済み</v>
      </c>
      <c r="U1697" s="15" t="str">
        <f>IFERROR(__xludf.DUMMYFUNCTION("""COMPUTED_VALUE"""),"ⓒhwamma sirae,momen,K-FireTinkerBL/ ToonPlus ＆ KMstudio	")</f>
        <v>ⓒhwamma sirae,momen,K-FireTinkerBL/ ToonPlus ＆ KMstudio	</v>
      </c>
      <c r="V1697" s="8" t="str">
        <f>IFERROR(__xludf.DUMMYFUNCTION("""COMPUTED_VALUE"""),"大蛇川（おろちがわ）家の後継者、双子の兄弟の護衛を命じられた波布(はぶ)。上下関係の厳しい獣人社会。このしがらみと戸籍から抜けだすために、この仕事を引き受けたのだが・・。
後継者のこの双子、蛇獣人の突然変異で発情期を迎えると体温が上がらず動きが鈍るという。どうにかしようと波布は自らの体を使い二人の相手を買って出た。
平静を装い一仕事を終えた波布に一気に発情の波が押し寄せた。
実は波布、今まで薬で抑えてきたが万年発情のウサギ獣人だった。
｢ハァ ハァ あれが発情期を迎えたオス蛇の匂い…強烈だ」
指"&amp;"でもビンでも満たされないウサギ獣人の発情。
｢何かうごめくものでないと満たされない…」
一方の双子。波布から放たれる発情ウサギ特有の匂いを敏感に察知。興味を持つ。そんなある日、波布は双子を狙う悪党によって発情液を注入されてしまう。
｢熱い…熱い…｣　
ほてった体をよがり苦しむ波布に蛇獣人の双子は…")</f>
        <v>大蛇川（おろちがわ）家の後継者、双子の兄弟の護衛を命じられた波布(はぶ)。上下関係の厳しい獣人社会。このしがらみと戸籍から抜けだすために、この仕事を引き受けたのだが・・。
後継者のこの双子、蛇獣人の突然変異で発情期を迎えると体温が上がらず動きが鈍るという。どうにかしようと波布は自らの体を使い二人の相手を買って出た。
平静を装い一仕事を終えた波布に一気に発情の波が押し寄せた。
実は波布、今まで薬で抑えてきたが万年発情のウサギ獣人だった。
｢ハァ ハァ あれが発情期を迎えたオス蛇の匂い…強烈だ」
指でもビンでも満たされないウサギ獣人の発情。
｢何かうごめくものでないと満たされない…」
一方の双子。波布から放たれる発情ウサギ特有の匂いを敏感に察知。興味を持つ。そんなある日、波布は双子を狙う悪党によって発情液を注入されてしまう。
｢熱い…熱い…｣　
ほてった体をよがり苦しむ波布に蛇獣人の双子は…</v>
      </c>
      <c r="W1697" s="14"/>
      <c r="X1697" s="14" t="str">
        <f>IFERROR(__xludf.DUMMYFUNCTION("""COMPUTED_VALUE"""),"有")</f>
        <v>有</v>
      </c>
      <c r="Y1697" s="8" t="str">
        <f>IFERROR(__xludf.DUMMYFUNCTION("""COMPUTED_VALUE"""),"2024/10/16まで1巻無料")</f>
        <v>2024/10/16まで1巻無料</v>
      </c>
      <c r="Z1697" s="7"/>
      <c r="AA1697" s="7"/>
      <c r="AB1697" s="7"/>
    </row>
    <row r="1698" ht="15.75" customHeight="1">
      <c r="A1698" s="66">
        <f>IFERROR(__xludf.DUMMYFUNCTION("""COMPUTED_VALUE"""),3596.0)</f>
        <v>3596</v>
      </c>
      <c r="B1698" s="67" t="str">
        <f>IFERROR(__xludf.DUMMYFUNCTION("""COMPUTED_VALUE"""),"確定")</f>
        <v>確定</v>
      </c>
      <c r="C1698" s="68">
        <f>IFERROR(__xludf.DUMMYFUNCTION("""COMPUTED_VALUE"""),45449.0)</f>
        <v>45449</v>
      </c>
      <c r="D1698" s="68">
        <f>IFERROR(__xludf.DUMMYFUNCTION("""COMPUTED_VALUE"""),45469.0)</f>
        <v>45469</v>
      </c>
      <c r="E1698" s="31">
        <f>IFERROR(__xludf.DUMMYFUNCTION("""COMPUTED_VALUE"""),297522.0)</f>
        <v>297522</v>
      </c>
      <c r="F1698" s="46" t="str">
        <f>IFERROR(__xludf.DUMMYFUNCTION("""COMPUTED_VALUE"""),"【タテヨミ】うんざりするほど君が好き")</f>
        <v>【タテヨミ】うんざりするほど君が好き</v>
      </c>
      <c r="G1698" s="11" t="str">
        <f>IFERROR(__xludf.DUMMYFUNCTION("""COMPUTED_VALUE"""),"1～15")</f>
        <v>1～15</v>
      </c>
      <c r="H1698" s="78" t="str">
        <f>IFERROR(__xludf.DUMMYFUNCTION("""COMPUTED_VALUE"""),"STUDIOCREAON┴XINXIAN ZHONGWENWANG	")</f>
        <v>STUDIOCREAON┴XINXIAN ZHONGWENWANG	</v>
      </c>
      <c r="I1698" s="67" t="str">
        <f>IFERROR(__xludf.DUMMYFUNCTION("""COMPUTED_VALUE"""),"BL")</f>
        <v>BL</v>
      </c>
      <c r="J1698" s="67"/>
      <c r="K1698" s="67"/>
      <c r="L1698" s="67" t="str">
        <f>IFERROR(__xludf.DUMMYFUNCTION("""COMPUTED_VALUE"""),"Kmstudio")</f>
        <v>Kmstudio</v>
      </c>
      <c r="M1698" s="73">
        <f>IFERROR(__xludf.DUMMYFUNCTION("""COMPUTED_VALUE"""),45492.0)</f>
        <v>45492</v>
      </c>
      <c r="N1698" s="73">
        <f>IFERROR(__xludf.DUMMYFUNCTION("""COMPUTED_VALUE"""),45581.0)</f>
        <v>45581</v>
      </c>
      <c r="O1698" s="69"/>
      <c r="P1698" s="70" t="str">
        <f>IFERROR(__xludf.DUMMYFUNCTION("""COMPUTED_VALUE"""),"可")</f>
        <v>可</v>
      </c>
      <c r="Q1698" s="72" t="str">
        <f>IFERROR(__xludf.DUMMYFUNCTION("""COMPUTED_VALUE"""),"広告コミットOK(6/12)")</f>
        <v>広告コミットOK(6/12)</v>
      </c>
      <c r="R1698" s="67"/>
      <c r="S1698" s="67" t="str">
        <f>IFERROR(__xludf.DUMMYFUNCTION("""COMPUTED_VALUE"""),"20240625_Kmstudio_うんざりするほど君が好き")</f>
        <v>20240625_Kmstudio_うんざりするほど君が好き</v>
      </c>
      <c r="T1698" s="67" t="str">
        <f>IFERROR(__xludf.DUMMYFUNCTION("""COMPUTED_VALUE"""),"格納済み")</f>
        <v>格納済み</v>
      </c>
      <c r="U1698" s="15" t="str">
        <f>IFERROR(__xludf.DUMMYFUNCTION("""COMPUTED_VALUE"""),"ⓒSTUDIO CREAON ＆ KMstudio	")</f>
        <v>ⓒSTUDIO CREAON ＆ KMstudio	</v>
      </c>
      <c r="V1698" s="8" t="str">
        <f>IFERROR(__xludf.DUMMYFUNCTION("""COMPUTED_VALUE"""),"浪人中の仁(じん)と東理(とうり)は同じ塾に通う。
仁は東理のことを特別コースに通う金持ちでいけ好かないヤツだと思っていたが、いつの間にか心の中に入り込んでいた…。
タロット占いで初恋の男性とうまくいくと言われたこと、
スケート場で「誰とも付き合わない」と東理と約束したこと…
男になんか興味ないと自分に言い聞かせていた仁だったが、東理のことが気になって仕方がない。
チョコレートを食べていた時、東理がそれを口づけて食べようとした。
優しく触れ合う唇に仁は思わず
「男同士で そんなことできない」"&amp;"
と言い放ってしまった。東理の表情はみるみる陰り、
「わかった」とポツリ。
二人の微妙な関係に亀裂が生じ始める。
距離のあいた時間を過ごして数日、東理が事故に遭ったと知る。
二人で行ったタロット占い。３枚目のカードでこうも言われていた
「二人をつなぐ運命の糸はとても短い…」")</f>
        <v>浪人中の仁(じん)と東理(とうり)は同じ塾に通う。
仁は東理のことを特別コースに通う金持ちでいけ好かないヤツだと思っていたが、いつの間にか心の中に入り込んでいた…。
タロット占いで初恋の男性とうまくいくと言われたこと、
スケート場で「誰とも付き合わない」と東理と約束したこと…
男になんか興味ないと自分に言い聞かせていた仁だったが、東理のことが気になって仕方がない。
チョコレートを食べていた時、東理がそれを口づけて食べようとした。
優しく触れ合う唇に仁は思わず
「男同士で そんなことできない」
と言い放ってしまった。東理の表情はみるみる陰り、
「わかった」とポツリ。
二人の微妙な関係に亀裂が生じ始める。
距離のあいた時間を過ごして数日、東理が事故に遭ったと知る。
二人で行ったタロット占い。３枚目のカードでこうも言われていた
「二人をつなぐ運命の糸はとても短い…」</v>
      </c>
      <c r="W1698" s="14"/>
      <c r="X1698" s="14" t="str">
        <f>IFERROR(__xludf.DUMMYFUNCTION("""COMPUTED_VALUE"""),"有")</f>
        <v>有</v>
      </c>
      <c r="Y1698" s="8" t="str">
        <f>IFERROR(__xludf.DUMMYFUNCTION("""COMPUTED_VALUE"""),"2024/10/16まで1巻無料")</f>
        <v>2024/10/16まで1巻無料</v>
      </c>
      <c r="Z1698" s="7"/>
      <c r="AA1698" s="7"/>
      <c r="AB1698" s="7"/>
    </row>
    <row r="1699" ht="15.75" customHeight="1">
      <c r="A1699" s="66">
        <f>IFERROR(__xludf.DUMMYFUNCTION("""COMPUTED_VALUE"""),3626.0)</f>
        <v>3626</v>
      </c>
      <c r="B1699" s="67" t="str">
        <f>IFERROR(__xludf.DUMMYFUNCTION("""COMPUTED_VALUE"""),"確定")</f>
        <v>確定</v>
      </c>
      <c r="C1699" s="68">
        <f>IFERROR(__xludf.DUMMYFUNCTION("""COMPUTED_VALUE"""),45455.0)</f>
        <v>45455</v>
      </c>
      <c r="D1699" s="68">
        <f>IFERROR(__xludf.DUMMYFUNCTION("""COMPUTED_VALUE"""),45469.0)</f>
        <v>45469</v>
      </c>
      <c r="E1699" s="31">
        <f>IFERROR(__xludf.DUMMYFUNCTION("""COMPUTED_VALUE"""),298024.0)</f>
        <v>298024</v>
      </c>
      <c r="F1699" s="22" t="str">
        <f>IFERROR(__xludf.DUMMYFUNCTION("""COMPUTED_VALUE"""),"王太子さまは夢の乙女にご執心～お探しの恋人は別人です!!～【分冊版】")</f>
        <v>王太子さまは夢の乙女にご執心～お探しの恋人は別人です!!～【分冊版】</v>
      </c>
      <c r="G1699" s="11" t="str">
        <f>IFERROR(__xludf.DUMMYFUNCTION("""COMPUTED_VALUE"""),"1～2")</f>
        <v>1～2</v>
      </c>
      <c r="H1699" s="67" t="str">
        <f>IFERROR(__xludf.DUMMYFUNCTION("""COMPUTED_VALUE"""),"城之内寧々・月城うさぎ")</f>
        <v>城之内寧々・月城うさぎ</v>
      </c>
      <c r="I1699" s="67" t="str">
        <f>IFERROR(__xludf.DUMMYFUNCTION("""COMPUTED_VALUE"""),"TL")</f>
        <v>TL</v>
      </c>
      <c r="J1699" s="67"/>
      <c r="K1699" s="67"/>
      <c r="L1699" s="67" t="str">
        <f>IFERROR(__xludf.DUMMYFUNCTION("""COMPUTED_VALUE"""),"乙女ドルチェ・コミックス")</f>
        <v>乙女ドルチェ・コミックス</v>
      </c>
      <c r="M1699" s="59">
        <f>IFERROR(__xludf.DUMMYFUNCTION("""COMPUTED_VALUE"""),45504.0)</f>
        <v>45504</v>
      </c>
      <c r="N1699" s="59">
        <f>IFERROR(__xludf.DUMMYFUNCTION("""COMPUTED_VALUE"""),45565.0)</f>
        <v>45565</v>
      </c>
      <c r="O1699" s="69"/>
      <c r="P1699" s="70" t="str">
        <f>IFERROR(__xludf.DUMMYFUNCTION("""COMPUTED_VALUE"""),"可")</f>
        <v>可</v>
      </c>
      <c r="Q1699" s="67" t="str">
        <f>IFERROR(__xludf.DUMMYFUNCTION("""COMPUTED_VALUE"""),"広告コミットOK（6/17）&lt;BR&gt;初回配信は1~2話。以降のスケジュールは以下の通り。&lt;BR&gt;3話→2024/8/16&lt;BR&gt;4話→2024/9/18&lt;BR&gt;5話→2024/10/18")</f>
        <v>広告コミットOK（6/17）&lt;BR&gt;初回配信は1~2話。以降のスケジュールは以下の通り。&lt;BR&gt;3話→2024/8/16&lt;BR&gt;4話→2024/9/18&lt;BR&gt;5話→2024/10/18</v>
      </c>
      <c r="R1699" s="67" t="str">
        <f>IFERROR(__xludf.DUMMYFUNCTION("""COMPUTED_VALUE"""),"格納済")</f>
        <v>格納済</v>
      </c>
      <c r="S1699" s="67" t="str">
        <f>IFERROR(__xludf.DUMMYFUNCTION("""COMPUTED_VALUE"""),"20240626_乙女ドルチェ_王太子さまは夢の乙女にご執心～お探しの恋人は別人です～")</f>
        <v>20240626_乙女ドルチェ_王太子さまは夢の乙女にご執心～お探しの恋人は別人です～</v>
      </c>
      <c r="T1699" s="67" t="str">
        <f>IFERROR(__xludf.DUMMYFUNCTION("""COMPUTED_VALUE"""),"格納済み")</f>
        <v>格納済み</v>
      </c>
      <c r="U1699" s="15" t="str">
        <f>IFERROR(__xludf.DUMMYFUNCTION("""COMPUTED_VALUE"""),"（C) 城之内寧々・月城うさぎ／ハーパーコリンズ・ジャパン")</f>
        <v>（C) 城之内寧々・月城うさぎ／ハーパーコリンズ・ジャパン</v>
      </c>
      <c r="V1699" s="8" t="str">
        <f>IFERROR(__xludf.DUMMYFUNCTION("""COMPUTED_VALUE"""),"美貌の王太子の溺愛に困惑!?
クラクラするようなキスと愛撫に、とろけるように酔わされて…
「ようやく、現実でもメリルとキスができた」目も眩むような美貌の王子に熱く囁かれ、絡みつくような愛撫を受けて、身も心も蕩けていく。これは夢？それとも…。パーティー会場で妹と婚約者の逢引を目撃し、ショックを受けたメリル。普段飲まない酒に手を出して、目が覚めたら見知らぬ美男子とベッドを共にしていて!?　侯爵令嬢にあるまじき失態に青ざめる彼女に追い打ちをかけるように、彼が隣国の王太子エリアスであると判明し――。")</f>
        <v>美貌の王太子の溺愛に困惑!?
クラクラするようなキスと愛撫に、とろけるように酔わされて…
「ようやく、現実でもメリルとキスができた」目も眩むような美貌の王子に熱く囁かれ、絡みつくような愛撫を受けて、身も心も蕩けていく。これは夢？それとも…。パーティー会場で妹と婚約者の逢引を目撃し、ショックを受けたメリル。普段飲まない酒に手を出して、目が覚めたら見知らぬ美男子とベッドを共にしていて!?　侯爵令嬢にあるまじき失態に青ざめる彼女に追い打ちをかけるように、彼が隣国の王太子エリアスであると判明し――。</v>
      </c>
      <c r="W1699" s="14"/>
      <c r="X1699" s="14" t="str">
        <f>IFERROR(__xludf.DUMMYFUNCTION("""COMPUTED_VALUE"""),"有")</f>
        <v>有</v>
      </c>
      <c r="Y1699" s="8" t="str">
        <f>IFERROR(__xludf.DUMMYFUNCTION("""COMPUTED_VALUE"""),"2024/8/15まで1巻無料")</f>
        <v>2024/8/15まで1巻無料</v>
      </c>
      <c r="Z1699" s="7"/>
      <c r="AA1699" s="7"/>
      <c r="AB1699" s="7"/>
    </row>
    <row r="1700" ht="15.75" customHeight="1">
      <c r="A1700" s="66">
        <f>IFERROR(__xludf.DUMMYFUNCTION("""COMPUTED_VALUE"""),3633.0)</f>
        <v>3633</v>
      </c>
      <c r="B1700" s="67" t="str">
        <f>IFERROR(__xludf.DUMMYFUNCTION("""COMPUTED_VALUE"""),"確定")</f>
        <v>確定</v>
      </c>
      <c r="C1700" s="68">
        <f>IFERROR(__xludf.DUMMYFUNCTION("""COMPUTED_VALUE"""),45456.0)</f>
        <v>45456</v>
      </c>
      <c r="D1700" s="68">
        <f>IFERROR(__xludf.DUMMYFUNCTION("""COMPUTED_VALUE"""),45467.0)</f>
        <v>45467</v>
      </c>
      <c r="E1700" s="31">
        <f>IFERROR(__xludf.DUMMYFUNCTION("""COMPUTED_VALUE"""),298548.0)</f>
        <v>298548</v>
      </c>
      <c r="F1700" s="46" t="str">
        <f>IFERROR(__xludf.DUMMYFUNCTION("""COMPUTED_VALUE"""),"3次元お断りな私の契約結婚 分冊版")</f>
        <v>3次元お断りな私の契約結婚 分冊版</v>
      </c>
      <c r="G1700" s="69" t="str">
        <f>IFERROR(__xludf.DUMMYFUNCTION("""COMPUTED_VALUE"""),"1～3")</f>
        <v>1～3</v>
      </c>
      <c r="H1700" s="67" t="str">
        <f>IFERROR(__xludf.DUMMYFUNCTION("""COMPUTED_VALUE"""),"漫画：伊吹楓 原作：橘しづき")</f>
        <v>漫画：伊吹楓 原作：橘しづき</v>
      </c>
      <c r="I1700" s="67" t="str">
        <f>IFERROR(__xludf.DUMMYFUNCTION("""COMPUTED_VALUE"""),"女性")</f>
        <v>女性</v>
      </c>
      <c r="J1700" s="67"/>
      <c r="K1700" s="67"/>
      <c r="L1700" s="67" t="str">
        <f>IFERROR(__xludf.DUMMYFUNCTION("""COMPUTED_VALUE"""),"双葉社")</f>
        <v>双葉社</v>
      </c>
      <c r="M1700" s="59">
        <f>IFERROR(__xludf.DUMMYFUNCTION("""COMPUTED_VALUE"""),45507.0)</f>
        <v>45507</v>
      </c>
      <c r="N1700" s="59">
        <f>IFERROR(__xludf.DUMMYFUNCTION("""COMPUTED_VALUE"""),45567.0)</f>
        <v>45567</v>
      </c>
      <c r="O1700" s="69"/>
      <c r="P1700" s="70" t="str">
        <f>IFERROR(__xludf.DUMMYFUNCTION("""COMPUTED_VALUE"""),"可")</f>
        <v>可</v>
      </c>
      <c r="Q1700" s="67" t="str">
        <f>IFERROR(__xludf.DUMMYFUNCTION("""COMPUTED_VALUE"""),"広告コミットOK(6/20)&lt;BR&gt;大人気作品「MONSTERの甘い牙」の伊吹楓先生の新作です。2か月先行で広告好調の場合は先行延長も可能です。")</f>
        <v>広告コミットOK(6/20)&lt;BR&gt;大人気作品「MONSTERの甘い牙」の伊吹楓先生の新作です。2か月先行で広告好調の場合は先行延長も可能です。</v>
      </c>
      <c r="R1700" s="67" t="str">
        <f>IFERROR(__xludf.DUMMYFUNCTION("""COMPUTED_VALUE"""),"格納済み")</f>
        <v>格納済み</v>
      </c>
      <c r="S1700" s="67" t="str">
        <f>IFERROR(__xludf.DUMMYFUNCTION("""COMPUTED_VALUE"""),"20240624_双葉社_三次元お断りな私の契約結婚")</f>
        <v>20240624_双葉社_三次元お断りな私の契約結婚</v>
      </c>
      <c r="T1700" s="75" t="str">
        <f>IFERROR(__xludf.DUMMYFUNCTION("""COMPUTED_VALUE"""),"格納済み")</f>
        <v>格納済み</v>
      </c>
      <c r="U1700" s="15" t="str">
        <f>IFERROR(__xludf.DUMMYFUNCTION("""COMPUTED_VALUE"""),"©伊吹楓・橘しづき／双葉社")</f>
        <v>©伊吹楓・橘しづき／双葉社</v>
      </c>
      <c r="V1700" s="8" t="str">
        <f>IFERROR(__xludf.DUMMYFUNCTION("""COMPUTED_VALUE"""),"ゲームの王子キャラにガチ恋するあまり、現実世界の男に全く興味がない高杉杏奈。オモテの顔は敏腕美人秘書だが、プライベートでは推しにすべてを貢ぐ隠れオタクだ。ある日、取引先のイケメン副社長・藤ヶ谷巧が、「高杉さんに話がある」と来社。彼から出てきたのは「私と結婚しませんか」という爆弾発言と、「契約内容」が書かれた紙で……!?打算と利害でつながる二人の、契約結婚ラブコメディ！")</f>
        <v>ゲームの王子キャラにガチ恋するあまり、現実世界の男に全く興味がない高杉杏奈。オモテの顔は敏腕美人秘書だが、プライベートでは推しにすべてを貢ぐ隠れオタクだ。ある日、取引先のイケメン副社長・藤ヶ谷巧が、「高杉さんに話がある」と来社。彼から出てきたのは「私と結婚しませんか」という爆弾発言と、「契約内容」が書かれた紙で……!?打算と利害でつながる二人の、契約結婚ラブコメディ！</v>
      </c>
      <c r="W1700" s="14"/>
      <c r="X1700" s="14" t="str">
        <f>IFERROR(__xludf.DUMMYFUNCTION("""COMPUTED_VALUE"""),"有")</f>
        <v>有</v>
      </c>
      <c r="Y1700" s="8" t="str">
        <f>IFERROR(__xludf.DUMMYFUNCTION("""COMPUTED_VALUE"""),"2024/8/16まで1巻無料")</f>
        <v>2024/8/16まで1巻無料</v>
      </c>
      <c r="Z1700" s="7"/>
      <c r="AA1700" s="7"/>
      <c r="AB1700" s="7"/>
    </row>
    <row r="1701" ht="15.75" customHeight="1">
      <c r="A1701" s="66">
        <f>IFERROR(__xludf.DUMMYFUNCTION("""COMPUTED_VALUE"""),3652.0)</f>
        <v>3652</v>
      </c>
      <c r="B1701" s="67" t="str">
        <f>IFERROR(__xludf.DUMMYFUNCTION("""COMPUTED_VALUE"""),"確定")</f>
        <v>確定</v>
      </c>
      <c r="C1701" s="68">
        <f>IFERROR(__xludf.DUMMYFUNCTION("""COMPUTED_VALUE"""),45461.0)</f>
        <v>45461</v>
      </c>
      <c r="D1701" s="68">
        <f>IFERROR(__xludf.DUMMYFUNCTION("""COMPUTED_VALUE"""),45467.0)</f>
        <v>45467</v>
      </c>
      <c r="E1701" s="26">
        <f>IFERROR(__xludf.DUMMYFUNCTION("""COMPUTED_VALUE"""),291643.0)</f>
        <v>291643</v>
      </c>
      <c r="F1701" s="22" t="str">
        <f>IFERROR(__xludf.DUMMYFUNCTION("""COMPUTED_VALUE"""),"アプリの方ですか？(フルカラー)")</f>
        <v>アプリの方ですか？(フルカラー)</v>
      </c>
      <c r="G1701" s="11" t="str">
        <f>IFERROR(__xludf.DUMMYFUNCTION("""COMPUTED_VALUE"""),"1～2")</f>
        <v>1～2</v>
      </c>
      <c r="H1701" s="67" t="str">
        <f>IFERROR(__xludf.DUMMYFUNCTION("""COMPUTED_VALUE"""),"H2,gamgosun,TREEK")</f>
        <v>H2,gamgosun,TREEK</v>
      </c>
      <c r="I1701" s="67" t="str">
        <f>IFERROR(__xludf.DUMMYFUNCTION("""COMPUTED_VALUE"""),"BL")</f>
        <v>BL</v>
      </c>
      <c r="J1701" s="67"/>
      <c r="K1701" s="67"/>
      <c r="L1701" s="67" t="str">
        <f>IFERROR(__xludf.DUMMYFUNCTION("""COMPUTED_VALUE"""),"ソルマーレ編集部")</f>
        <v>ソルマーレ編集部</v>
      </c>
      <c r="M1701" s="59">
        <f>IFERROR(__xludf.DUMMYFUNCTION("""COMPUTED_VALUE"""),45493.0)</f>
        <v>45493</v>
      </c>
      <c r="N1701" s="59">
        <f>IFERROR(__xludf.DUMMYFUNCTION("""COMPUTED_VALUE"""),45554.0)</f>
        <v>45554</v>
      </c>
      <c r="O1701" s="69"/>
      <c r="P1701" s="71" t="str">
        <f>IFERROR(__xludf.DUMMYFUNCTION("""COMPUTED_VALUE"""),"可")</f>
        <v>可</v>
      </c>
      <c r="Q1701" s="72"/>
      <c r="R1701" s="67"/>
      <c r="S1701" s="67" t="str">
        <f>IFERROR(__xludf.DUMMYFUNCTION("""COMPUTED_VALUE"""),"20240620_ソルマーレ編集部_アプリの方ですか？（フルカラー）")</f>
        <v>20240620_ソルマーレ編集部_アプリの方ですか？（フルカラー）</v>
      </c>
      <c r="T1701" s="67" t="str">
        <f>IFERROR(__xludf.DUMMYFUNCTION("""COMPUTED_VALUE"""),"格納済み")</f>
        <v>格納済み</v>
      </c>
      <c r="U1701" s="15" t="str">
        <f>IFERROR(__xludf.DUMMYFUNCTION("""COMPUTED_VALUE"""),"Ⓒ H2/gamgosun/TREEK/Daewon C.I. Inc./シーモアコミックス")</f>
        <v>Ⓒ H2/gamgosun/TREEK/Daewon C.I. Inc./シーモアコミックス</v>
      </c>
      <c r="V1701" s="8" t="str">
        <f>IFERROR(__xludf.DUMMYFUNCTION("""COMPUTED_VALUE"""),"「顔写真もつけてもらえれば2倍の額でお支払いします」ある日、フリマアプリで出品をしたらそんなメッセージが苦学生の芳喜に届いた。その条件を怪しいと思いながらも金にめがくらみ取引を成立。商品引き渡しで待ち合わせ場所に行くとそこには有名イケメンテコンドー選手・及川光がいた…!?しかもなぜか光は芳喜にべた惚れな様子で…？貧乏でバイト掛け持ち三昧の日々だった芳喜のシンデレラストーリーが幕をあける！【フィカス】")</f>
        <v>「顔写真もつけてもらえれば2倍の額でお支払いします」ある日、フリマアプリで出品をしたらそんなメッセージが苦学生の芳喜に届いた。その条件を怪しいと思いながらも金にめがくらみ取引を成立。商品引き渡しで待ち合わせ場所に行くとそこには有名イケメンテコンドー選手・及川光がいた…!?しかもなぜか光は芳喜にべた惚れな様子で…？貧乏でバイト掛け持ち三昧の日々だった芳喜のシンデレラストーリーが幕をあける！【フィカス】</v>
      </c>
      <c r="W1701" s="14"/>
      <c r="X1701" s="14" t="str">
        <f>IFERROR(__xludf.DUMMYFUNCTION("""COMPUTED_VALUE"""),"有")</f>
        <v>有</v>
      </c>
      <c r="Y1701" s="8" t="str">
        <f>IFERROR(__xludf.DUMMYFUNCTION("""COMPUTED_VALUE"""),"P13まで")</f>
        <v>P13まで</v>
      </c>
      <c r="Z1701" s="7"/>
      <c r="AA1701" s="7"/>
      <c r="AB1701" s="7"/>
    </row>
    <row r="1702" ht="15.75" customHeight="1">
      <c r="A1702" s="66">
        <f>IFERROR(__xludf.DUMMYFUNCTION("""COMPUTED_VALUE"""),3653.0)</f>
        <v>3653</v>
      </c>
      <c r="B1702" s="67" t="str">
        <f>IFERROR(__xludf.DUMMYFUNCTION("""COMPUTED_VALUE"""),"確定")</f>
        <v>確定</v>
      </c>
      <c r="C1702" s="68">
        <f>IFERROR(__xludf.DUMMYFUNCTION("""COMPUTED_VALUE"""),45461.0)</f>
        <v>45461</v>
      </c>
      <c r="D1702" s="68">
        <f>IFERROR(__xludf.DUMMYFUNCTION("""COMPUTED_VALUE"""),45467.0)</f>
        <v>45467</v>
      </c>
      <c r="E1702" s="26">
        <f>IFERROR(__xludf.DUMMYFUNCTION("""COMPUTED_VALUE"""),291644.0)</f>
        <v>291644</v>
      </c>
      <c r="F1702" s="22" t="str">
        <f>IFERROR(__xludf.DUMMYFUNCTION("""COMPUTED_VALUE"""),"アプリの方ですか？【タテヨミ】")</f>
        <v>アプリの方ですか？【タテヨミ】</v>
      </c>
      <c r="G1702" s="69" t="str">
        <f>IFERROR(__xludf.DUMMYFUNCTION("""COMPUTED_VALUE"""),"1～6")</f>
        <v>1～6</v>
      </c>
      <c r="H1702" s="67" t="str">
        <f>IFERROR(__xludf.DUMMYFUNCTION("""COMPUTED_VALUE"""),"H2,gamgosun,TREEK")</f>
        <v>H2,gamgosun,TREEK</v>
      </c>
      <c r="I1702" s="67" t="str">
        <f>IFERROR(__xludf.DUMMYFUNCTION("""COMPUTED_VALUE"""),"BL")</f>
        <v>BL</v>
      </c>
      <c r="J1702" s="67"/>
      <c r="K1702" s="67"/>
      <c r="L1702" s="67" t="str">
        <f>IFERROR(__xludf.DUMMYFUNCTION("""COMPUTED_VALUE"""),"ソルマーレ編集部")</f>
        <v>ソルマーレ編集部</v>
      </c>
      <c r="M1702" s="59">
        <f>IFERROR(__xludf.DUMMYFUNCTION("""COMPUTED_VALUE"""),45493.0)</f>
        <v>45493</v>
      </c>
      <c r="N1702" s="59">
        <f>IFERROR(__xludf.DUMMYFUNCTION("""COMPUTED_VALUE"""),45554.0)</f>
        <v>45554</v>
      </c>
      <c r="O1702" s="69"/>
      <c r="P1702" s="70" t="str">
        <f>IFERROR(__xludf.DUMMYFUNCTION("""COMPUTED_VALUE"""),"可")</f>
        <v>可</v>
      </c>
      <c r="Q1702" s="72" t="str">
        <f>IFERROR(__xludf.DUMMYFUNCTION("""COMPUTED_VALUE"""),"※コマサム等素材は「291643 アプリの方ですか？（フルカラー）」のほうをお使いください。&lt;BR&gt;バナー制作はフルカラー版の素材を利用して問題ございません。")</f>
        <v>※コマサム等素材は「291643 アプリの方ですか？（フルカラー）」のほうをお使いください。&lt;BR&gt;バナー制作はフルカラー版の素材を利用して問題ございません。</v>
      </c>
      <c r="R1702" s="67"/>
      <c r="S1702" s="67" t="str">
        <f>IFERROR(__xludf.DUMMYFUNCTION("""COMPUTED_VALUE"""),"20240620_ソルマーレ編集部_アプリの方ですか？【タテヨミ】")</f>
        <v>20240620_ソルマーレ編集部_アプリの方ですか？【タテヨミ】</v>
      </c>
      <c r="T1702" s="67" t="str">
        <f>IFERROR(__xludf.DUMMYFUNCTION("""COMPUTED_VALUE"""),"格納済み")</f>
        <v>格納済み</v>
      </c>
      <c r="U1702" s="15" t="str">
        <f>IFERROR(__xludf.DUMMYFUNCTION("""COMPUTED_VALUE"""),"Ⓒ H2/gamgosun/TREEK/Daewon C.I. Inc./シーモアコミックス")</f>
        <v>Ⓒ H2/gamgosun/TREEK/Daewon C.I. Inc./シーモアコミックス</v>
      </c>
      <c r="V1702" s="8" t="str">
        <f>IFERROR(__xludf.DUMMYFUNCTION("""COMPUTED_VALUE"""),"「顔写真もつけてもらえれば2倍の額でお支払いします」ある日、フリマアプリで出品をしたらそんなメッセージが苦学生の芳喜に届いた。その条件を怪しいと思いながらも金にめがくらみ取引を成立。商品引き渡しで待ち合わせ場所に行くとそこには有名イケメンテコンドー選手・及川光がいた…!?しかもなぜか光は芳喜にべた惚れな様子で…？貧乏でバイト掛け持ち三昧の日々だった芳喜のシンデレラストーリーが幕をあける！【フィカス】")</f>
        <v>「顔写真もつけてもらえれば2倍の額でお支払いします」ある日、フリマアプリで出品をしたらそんなメッセージが苦学生の芳喜に届いた。その条件を怪しいと思いながらも金にめがくらみ取引を成立。商品引き渡しで待ち合わせ場所に行くとそこには有名イケメンテコンドー選手・及川光がいた…!?しかもなぜか光は芳喜にべた惚れな様子で…？貧乏でバイト掛け持ち三昧の日々だった芳喜のシンデレラストーリーが幕をあける！【フィカス】</v>
      </c>
      <c r="W1702" s="14"/>
      <c r="X1702" s="14" t="str">
        <f>IFERROR(__xludf.DUMMYFUNCTION("""COMPUTED_VALUE"""),"有")</f>
        <v>有</v>
      </c>
      <c r="Y1702" s="8" t="str">
        <f>IFERROR(__xludf.DUMMYFUNCTION("""COMPUTED_VALUE"""),"1巻無料")</f>
        <v>1巻無料</v>
      </c>
      <c r="Z1702" s="7"/>
      <c r="AA1702" s="7"/>
      <c r="AB1702" s="7"/>
    </row>
    <row r="1703" ht="15.75" customHeight="1">
      <c r="A1703" s="66">
        <f>IFERROR(__xludf.DUMMYFUNCTION("""COMPUTED_VALUE"""),3669.0)</f>
        <v>3669</v>
      </c>
      <c r="B1703" s="67" t="str">
        <f>IFERROR(__xludf.DUMMYFUNCTION("""COMPUTED_VALUE"""),"確定")</f>
        <v>確定</v>
      </c>
      <c r="C1703" s="68">
        <f>IFERROR(__xludf.DUMMYFUNCTION("""COMPUTED_VALUE"""),45462.0)</f>
        <v>45462</v>
      </c>
      <c r="D1703" s="68">
        <f>IFERROR(__xludf.DUMMYFUNCTION("""COMPUTED_VALUE"""),45467.0)</f>
        <v>45467</v>
      </c>
      <c r="E1703" s="31">
        <f>IFERROR(__xludf.DUMMYFUNCTION("""COMPUTED_VALUE"""),295791.0)</f>
        <v>295791</v>
      </c>
      <c r="F1703" s="22" t="str">
        <f>IFERROR(__xludf.DUMMYFUNCTION("""COMPUTED_VALUE"""),"ケモノはオトナになりきれない 不器用なのに激しすぎる攻めに詰みました")</f>
        <v>ケモノはオトナになりきれない 不器用なのに激しすぎる攻めに詰みました</v>
      </c>
      <c r="G1703" s="69" t="str">
        <f>IFERROR(__xludf.DUMMYFUNCTION("""COMPUTED_VALUE"""),"1～3")</f>
        <v>1～3</v>
      </c>
      <c r="H1703" s="67" t="str">
        <f>IFERROR(__xludf.DUMMYFUNCTION("""COMPUTED_VALUE"""),"あまき")</f>
        <v>あまき</v>
      </c>
      <c r="I1703" s="67" t="str">
        <f>IFERROR(__xludf.DUMMYFUNCTION("""COMPUTED_VALUE"""),"TL")</f>
        <v>TL</v>
      </c>
      <c r="J1703" s="67"/>
      <c r="K1703" s="67"/>
      <c r="L1703" s="67" t="str">
        <f>IFERROR(__xludf.DUMMYFUNCTION("""COMPUTED_VALUE"""),"一迅社")</f>
        <v>一迅社</v>
      </c>
      <c r="M1703" s="59">
        <f>IFERROR(__xludf.DUMMYFUNCTION("""COMPUTED_VALUE"""),45478.0)</f>
        <v>45478</v>
      </c>
      <c r="N1703" s="59">
        <f>IFERROR(__xludf.DUMMYFUNCTION("""COMPUTED_VALUE"""),45505.0)</f>
        <v>45505</v>
      </c>
      <c r="O1703" s="69"/>
      <c r="P1703" s="71" t="str">
        <f>IFERROR(__xludf.DUMMYFUNCTION("""COMPUTED_VALUE"""),"可")</f>
        <v>可</v>
      </c>
      <c r="Q1703" s="72"/>
      <c r="R1703" s="67"/>
      <c r="S1703" s="67" t="str">
        <f>IFERROR(__xludf.DUMMYFUNCTION("""COMPUTED_VALUE"""),"20240619_一迅社_ケモノはオトナになりきれない 不器用なのに激しすぎる攻めに詰みました")</f>
        <v>20240619_一迅社_ケモノはオトナになりきれない 不器用なのに激しすぎる攻めに詰みました</v>
      </c>
      <c r="T1703" s="67" t="str">
        <f>IFERROR(__xludf.DUMMYFUNCTION("""COMPUTED_VALUE"""),"格納済み")</f>
        <v>格納済み</v>
      </c>
      <c r="U1703" s="15" t="str">
        <f>IFERROR(__xludf.DUMMYFUNCTION("""COMPUTED_VALUE"""),"(C)あまき／一迅社")</f>
        <v>(C)あまき／一迅社</v>
      </c>
      <c r="V1703" s="8" t="str">
        <f>IFERROR(__xludf.DUMMYFUNCTION("""COMPUTED_VALUE"""),"「バタバタしないで…」将棋棋士だから真面目だと思っていたのに、待ち構えていたのは自堕落なケモノ…！？　首筋に、耳に、舌が這って、下着に手が入り込んできて…。ちょっと待って、この人さっきテレビで見たイケメンじゃ…！？――鈴本陽菜子は都内で働くハウスキーパー。今日のお宅は将棋棋士【瀬川将馬】さんのおうち。だけど瀬川さんはご不在で…しかも、お部屋は服が脱ぎ散らかされまくり！　意気揚々と仕事を始める陽菜子は、誰もいないはずのベッドルームで、突然ベッドに引きずり込まれて！？")</f>
        <v>「バタバタしないで…」将棋棋士だから真面目だと思っていたのに、待ち構えていたのは自堕落なケモノ…！？　首筋に、耳に、舌が這って、下着に手が入り込んできて…。ちょっと待って、この人さっきテレビで見たイケメンじゃ…！？――鈴本陽菜子は都内で働くハウスキーパー。今日のお宅は将棋棋士【瀬川将馬】さんのおうち。だけど瀬川さんはご不在で…しかも、お部屋は服が脱ぎ散らかされまくり！　意気揚々と仕事を始める陽菜子は、誰もいないはずのベッドルームで、突然ベッドに引きずり込まれて！？</v>
      </c>
      <c r="W1703" s="14"/>
      <c r="X1703" s="14" t="str">
        <f>IFERROR(__xludf.DUMMYFUNCTION("""COMPUTED_VALUE"""),"有")</f>
        <v>有</v>
      </c>
      <c r="Y1703" s="8" t="str">
        <f>IFERROR(__xludf.DUMMYFUNCTION("""COMPUTED_VALUE"""),"2024/7/18まで1巻無料")</f>
        <v>2024/7/18まで1巻無料</v>
      </c>
      <c r="Z1703" s="7"/>
      <c r="AA1703" s="7"/>
      <c r="AB1703" s="7"/>
    </row>
    <row r="1704" ht="15.75" customHeight="1">
      <c r="A1704" s="66">
        <f>IFERROR(__xludf.DUMMYFUNCTION("""COMPUTED_VALUE"""),3670.0)</f>
        <v>3670</v>
      </c>
      <c r="B1704" s="67" t="str">
        <f>IFERROR(__xludf.DUMMYFUNCTION("""COMPUTED_VALUE"""),"確定")</f>
        <v>確定</v>
      </c>
      <c r="C1704" s="68">
        <f>IFERROR(__xludf.DUMMYFUNCTION("""COMPUTED_VALUE"""),45462.0)</f>
        <v>45462</v>
      </c>
      <c r="D1704" s="68">
        <f>IFERROR(__xludf.DUMMYFUNCTION("""COMPUTED_VALUE"""),45467.0)</f>
        <v>45467</v>
      </c>
      <c r="E1704" s="31">
        <f>IFERROR(__xludf.DUMMYFUNCTION("""COMPUTED_VALUE"""),295792.0)</f>
        <v>295792</v>
      </c>
      <c r="F1704" s="22" t="str">
        <f>IFERROR(__xludf.DUMMYFUNCTION("""COMPUTED_VALUE"""),"極上騎士団長の溺愛調教～その巨大すぎる愛、すべて受け入れてみせます！～")</f>
        <v>極上騎士団長の溺愛調教～その巨大すぎる愛、すべて受け入れてみせます！～</v>
      </c>
      <c r="G1704" s="69" t="str">
        <f>IFERROR(__xludf.DUMMYFUNCTION("""COMPUTED_VALUE"""),"1～3")</f>
        <v>1～3</v>
      </c>
      <c r="H1704" s="67" t="str">
        <f>IFERROR(__xludf.DUMMYFUNCTION("""COMPUTED_VALUE"""),"クロサキゼロ")</f>
        <v>クロサキゼロ</v>
      </c>
      <c r="I1704" s="67" t="str">
        <f>IFERROR(__xludf.DUMMYFUNCTION("""COMPUTED_VALUE"""),"TL")</f>
        <v>TL</v>
      </c>
      <c r="J1704" s="67"/>
      <c r="K1704" s="67"/>
      <c r="L1704" s="67" t="str">
        <f>IFERROR(__xludf.DUMMYFUNCTION("""COMPUTED_VALUE"""),"一迅社")</f>
        <v>一迅社</v>
      </c>
      <c r="M1704" s="59">
        <f>IFERROR(__xludf.DUMMYFUNCTION("""COMPUTED_VALUE"""),45478.0)</f>
        <v>45478</v>
      </c>
      <c r="N1704" s="47">
        <f>IFERROR(__xludf.DUMMYFUNCTION("""COMPUTED_VALUE"""),45596.66666666667)</f>
        <v>45596.66667</v>
      </c>
      <c r="O1704" s="69"/>
      <c r="P1704" s="71" t="str">
        <f>IFERROR(__xludf.DUMMYFUNCTION("""COMPUTED_VALUE"""),"可")</f>
        <v>可</v>
      </c>
      <c r="Q1704" s="72"/>
      <c r="R1704" s="67"/>
      <c r="S1704" s="67" t="str">
        <f>IFERROR(__xludf.DUMMYFUNCTION("""COMPUTED_VALUE"""),"20240619_一迅社_極上騎士団長の溺愛調教 ～その巨大すぎる愛、すべて受け入れてみせます！～")</f>
        <v>20240619_一迅社_極上騎士団長の溺愛調教 ～その巨大すぎる愛、すべて受け入れてみせます！～</v>
      </c>
      <c r="T1704" s="67" t="str">
        <f>IFERROR(__xludf.DUMMYFUNCTION("""COMPUTED_VALUE"""),"格納済み")</f>
        <v>格納済み</v>
      </c>
      <c r="U1704" s="15" t="str">
        <f>IFERROR(__xludf.DUMMYFUNCTION("""COMPUTED_VALUE"""),"(C)クロサキゼロ／一迅社")</f>
        <v>(C)クロサキゼロ／一迅社</v>
      </c>
      <c r="V1704" s="8" t="str">
        <f>IFERROR(__xludf.DUMMYFUNCTION("""COMPUTED_VALUE"""),"「セックストレーニングですわ！！」――騎士団長・アダムと花屋のメルルは、街では品行方正でお似合いだと評判のカップル。しかし、そんな二人の夜は……超激しい！　今日もメルルはアダムの【極上】な手腕にもう…イく……っ！　……ふと目を覚ますと、アダムがメルルをガン見しながらひとりでシていて…！？　私とエッチした後に！？　それって、アダムさんは私では満足できないってことなのでは！？　アダムの恋人として、メルルが出した答えとは…！？　極上騎士団長のスパルタだけどとってもあまぁ～い溺愛調教（セックストレーニング）、スタ"&amp;"ートです！")</f>
        <v>「セックストレーニングですわ！！」――騎士団長・アダムと花屋のメルルは、街では品行方正でお似合いだと評判のカップル。しかし、そんな二人の夜は……超激しい！　今日もメルルはアダムの【極上】な手腕にもう…イく……っ！　……ふと目を覚ますと、アダムがメルルをガン見しながらひとりでシていて…！？　私とエッチした後に！？　それって、アダムさんは私では満足できないってことなのでは！？　アダムの恋人として、メルルが出した答えとは…！？　極上騎士団長のスパルタだけどとってもあまぁ～い溺愛調教（セックストレーニング）、スタートです！</v>
      </c>
      <c r="W1704" s="14"/>
      <c r="X1704" s="14" t="str">
        <f>IFERROR(__xludf.DUMMYFUNCTION("""COMPUTED_VALUE"""),"有")</f>
        <v>有</v>
      </c>
      <c r="Y1704" s="8" t="str">
        <f>IFERROR(__xludf.DUMMYFUNCTION("""COMPUTED_VALUE"""),"2024/7/18まで1巻無料")</f>
        <v>2024/7/18まで1巻無料</v>
      </c>
      <c r="Z1704" s="7"/>
      <c r="AA1704" s="7"/>
      <c r="AB1704" s="7"/>
    </row>
    <row r="1705" ht="15.75" customHeight="1">
      <c r="A1705" s="66">
        <f>IFERROR(__xludf.DUMMYFUNCTION("""COMPUTED_VALUE"""),3674.0)</f>
        <v>3674</v>
      </c>
      <c r="B1705" s="67" t="str">
        <f>IFERROR(__xludf.DUMMYFUNCTION("""COMPUTED_VALUE"""),"確定")</f>
        <v>確定</v>
      </c>
      <c r="C1705" s="68">
        <f>IFERROR(__xludf.DUMMYFUNCTION("""COMPUTED_VALUE"""),45463.0)</f>
        <v>45463</v>
      </c>
      <c r="D1705" s="68">
        <f>IFERROR(__xludf.DUMMYFUNCTION("""COMPUTED_VALUE"""),45467.0)</f>
        <v>45467</v>
      </c>
      <c r="E1705" s="31">
        <f>IFERROR(__xludf.DUMMYFUNCTION("""COMPUTED_VALUE"""),297232.0)</f>
        <v>297232</v>
      </c>
      <c r="F1705" s="22" t="str">
        <f>IFERROR(__xludf.DUMMYFUNCTION("""COMPUTED_VALUE"""),"聖女の妹の尻拭いを仰せつかった、ただの侍女でございます ～謝罪先の獣人国で何故か黒狼陛下に求愛されました！？～")</f>
        <v>聖女の妹の尻拭いを仰せつかった、ただの侍女でございます ～謝罪先の獣人国で何故か黒狼陛下に求愛されました！？～</v>
      </c>
      <c r="G1705" s="69" t="str">
        <f>IFERROR(__xludf.DUMMYFUNCTION("""COMPUTED_VALUE"""),"1～3")</f>
        <v>1～3</v>
      </c>
      <c r="H1705" s="67" t="str">
        <f>IFERROR(__xludf.DUMMYFUNCTION("""COMPUTED_VALUE"""),"日野原・櫻田りん・氷堂れん")</f>
        <v>日野原・櫻田りん・氷堂れん</v>
      </c>
      <c r="I1705" s="78" t="str">
        <f>IFERROR(__xludf.DUMMYFUNCTION("""COMPUTED_VALUE"""),"少女")</f>
        <v>少女</v>
      </c>
      <c r="J1705" s="67"/>
      <c r="K1705" s="67"/>
      <c r="L1705" s="67" t="str">
        <f>IFERROR(__xludf.DUMMYFUNCTION("""COMPUTED_VALUE"""),"アース・スター エンターテイメント")</f>
        <v>アース・スター エンターテイメント</v>
      </c>
      <c r="M1705" s="59">
        <f>IFERROR(__xludf.DUMMYFUNCTION("""COMPUTED_VALUE"""),45490.0)</f>
        <v>45490</v>
      </c>
      <c r="N1705" s="47">
        <f>IFERROR(__xludf.DUMMYFUNCTION("""COMPUTED_VALUE"""),45597.0)</f>
        <v>45597</v>
      </c>
      <c r="O1705" s="69"/>
      <c r="P1705" s="71" t="str">
        <f>IFERROR(__xludf.DUMMYFUNCTION("""COMPUTED_VALUE"""),"可")</f>
        <v>可</v>
      </c>
      <c r="Q1705" s="72"/>
      <c r="R1705" s="67"/>
      <c r="S1705" s="67" t="str">
        <f>IFERROR(__xludf.DUMMYFUNCTION("""COMPUTED_VALUE"""),"20240620_アース・スターエンターテイメント_聖女の妹の尻拭いを仰せつかった")</f>
        <v>20240620_アース・スターエンターテイメント_聖女の妹の尻拭いを仰せつかった</v>
      </c>
      <c r="T1705" s="67" t="str">
        <f>IFERROR(__xludf.DUMMYFUNCTION("""COMPUTED_VALUE"""),"格納済み")</f>
        <v>格納済み</v>
      </c>
      <c r="U1705" s="15" t="str">
        <f>IFERROR(__xludf.DUMMYFUNCTION("""COMPUTED_VALUE"""),"© 日野原 © 櫻田りん・氷堂れん/アース・スター エンターテイメント")</f>
        <v>© 日野原 © 櫻田りん・氷堂れん/アース・スター エンターテイメント</v>
      </c>
      <c r="V1705" s="8" t="str">
        <f>IFERROR(__xludf.DUMMYFUNCTION("""COMPUTED_VALUE"""),"ワガママだがその美貌から『聖女』の称号を持つ妹と比べられ、家族からも周囲からも蔑まれて生きてきた不遇の子爵令嬢・ドロテア。
ある日、妹が同盟国の王女を「獣臭い」と侮辱し、国際問題に発展。
妹に代わって単身獣人国レザナードへ謝罪に向かうが──…。
※単話版 第１話収録。")</f>
        <v>ワガママだがその美貌から『聖女』の称号を持つ妹と比べられ、家族からも周囲からも蔑まれて生きてきた不遇の子爵令嬢・ドロテア。
ある日、妹が同盟国の王女を「獣臭い」と侮辱し、国際問題に発展。
妹に代わって単身獣人国レザナードへ謝罪に向かうが──…。
※単話版 第１話収録。</v>
      </c>
      <c r="W1705" s="14"/>
      <c r="X1705" s="14" t="str">
        <f>IFERROR(__xludf.DUMMYFUNCTION("""COMPUTED_VALUE"""),"有")</f>
        <v>有</v>
      </c>
      <c r="Y1705" s="8" t="str">
        <f>IFERROR(__xludf.DUMMYFUNCTION("""COMPUTED_VALUE"""),"2024/8/16まで1巻無料")</f>
        <v>2024/8/16まで1巻無料</v>
      </c>
      <c r="Z1705" s="7"/>
      <c r="AA1705" s="7"/>
      <c r="AB1705" s="7"/>
    </row>
    <row r="1706" ht="15.75" customHeight="1">
      <c r="A1706" s="66">
        <f>IFERROR(__xludf.DUMMYFUNCTION("""COMPUTED_VALUE"""),3675.0)</f>
        <v>3675</v>
      </c>
      <c r="B1706" s="67" t="str">
        <f>IFERROR(__xludf.DUMMYFUNCTION("""COMPUTED_VALUE"""),"確定")</f>
        <v>確定</v>
      </c>
      <c r="C1706" s="68">
        <f>IFERROR(__xludf.DUMMYFUNCTION("""COMPUTED_VALUE"""),45464.0)</f>
        <v>45464</v>
      </c>
      <c r="D1706" s="68">
        <f>IFERROR(__xludf.DUMMYFUNCTION("""COMPUTED_VALUE"""),45467.0)</f>
        <v>45467</v>
      </c>
      <c r="E1706" s="31">
        <f>IFERROR(__xludf.DUMMYFUNCTION("""COMPUTED_VALUE"""),297857.0)</f>
        <v>297857</v>
      </c>
      <c r="F1706" s="22" t="str">
        <f>IFERROR(__xludf.DUMMYFUNCTION("""COMPUTED_VALUE"""),"Berry's Fantasy悪女のレッテルを貼られた追放令嬢ですが、最恐陛下の溺愛に捕まりました")</f>
        <v>Berry's Fantasy悪女のレッテルを貼られた追放令嬢ですが、最恐陛下の溺愛に捕まりました</v>
      </c>
      <c r="G1706" s="69" t="str">
        <f>IFERROR(__xludf.DUMMYFUNCTION("""COMPUTED_VALUE"""),"1～5")</f>
        <v>1～5</v>
      </c>
      <c r="H1706" s="67" t="str">
        <f>IFERROR(__xludf.DUMMYFUNCTION("""COMPUTED_VALUE"""),"ゴゴちゃん（作画）、篠宮 渚（原作）")</f>
        <v>ゴゴちゃん（作画）、篠宮 渚（原作）</v>
      </c>
      <c r="I1706" s="67" t="str">
        <f>IFERROR(__xludf.DUMMYFUNCTION("""COMPUTED_VALUE"""),"女性")</f>
        <v>女性</v>
      </c>
      <c r="J1706" s="67"/>
      <c r="K1706" s="67"/>
      <c r="L1706" s="67" t="str">
        <f>IFERROR(__xludf.DUMMYFUNCTION("""COMPUTED_VALUE"""),"スターツ出版")</f>
        <v>スターツ出版</v>
      </c>
      <c r="M1706" s="59">
        <f>IFERROR(__xludf.DUMMYFUNCTION("""COMPUTED_VALUE"""),45499.0)</f>
        <v>45499</v>
      </c>
      <c r="N1706" s="47">
        <f>IFERROR(__xludf.DUMMYFUNCTION("""COMPUTED_VALUE"""),45561.0)</f>
        <v>45561</v>
      </c>
      <c r="O1706" s="69"/>
      <c r="P1706" s="70" t="str">
        <f>IFERROR(__xludf.DUMMYFUNCTION("""COMPUTED_VALUE"""),"可")</f>
        <v>可</v>
      </c>
      <c r="Q1706" s="72" t="str">
        <f>IFERROR(__xludf.DUMMYFUNCTION("""COMPUTED_VALUE"""),"・7巻目からは1ヶ月先行になります。")</f>
        <v>・7巻目からは1ヶ月先行になります。</v>
      </c>
      <c r="R1706" s="67"/>
      <c r="S1706" s="67" t="str">
        <f>IFERROR(__xludf.DUMMYFUNCTION("""COMPUTED_VALUE"""),"20240621_スターツ出版_悪女のレッテルを貼られた追放令嬢ですが、最恐陛下の溺愛に捕まりました")</f>
        <v>20240621_スターツ出版_悪女のレッテルを貼られた追放令嬢ですが、最恐陛下の溺愛に捕まりました</v>
      </c>
      <c r="T1706" s="67" t="str">
        <f>IFERROR(__xludf.DUMMYFUNCTION("""COMPUTED_VALUE"""),"格納済み")</f>
        <v>格納済み</v>
      </c>
      <c r="U1706" s="15" t="str">
        <f>IFERROR(__xludf.DUMMYFUNCTION("""COMPUTED_VALUE"""),"（C）Gogochan・Nagisa Shinomiya/スターツ出版")</f>
        <v>（C）Gogochan・Nagisa Shinomiya/スターツ出版</v>
      </c>
      <c r="V1706" s="8" t="str">
        <f>IFERROR(__xludf.DUMMYFUNCTION("""COMPUTED_VALUE"""),"薬師として働くエスターは、地主の息子であるグレイソンに付きまとわれ辟易とした毎日を送っていた。けれど、その様子を見えていたグレイソンの婚約者・カティアの嫉妬から“悪女”と罵られ、毒殺の濡れ衣まで着せられて生まれ育った町を追放されてしまう。身一つで森を彷徨うことになったエスターは、野犬に襲われそうになったところを冷酷無慈悲と恐れられている隣国の国王・ラシルヴィストに拾われて…!? さらに、とある事情からラシルヴィストの婚約者のフリをすることになってしまい――!?
悪女のレッテルを貼られてしまった少女と冷酷"&amp;"な獣と噂される最恐陛下の、仮初めの寵愛から始まるラブファンタジー！
（この作品は電子コミック誌Berry’s Fantasy Vol. 528に収録しております。重複購入にご注意ください）")</f>
        <v>薬師として働くエスターは、地主の息子であるグレイソンに付きまとわれ辟易とした毎日を送っていた。けれど、その様子を見えていたグレイソンの婚約者・カティアの嫉妬から“悪女”と罵られ、毒殺の濡れ衣まで着せられて生まれ育った町を追放されてしまう。身一つで森を彷徨うことになったエスターは、野犬に襲われそうになったところを冷酷無慈悲と恐れられている隣国の国王・ラシルヴィストに拾われて…!? さらに、とある事情からラシルヴィストの婚約者のフリをすることになってしまい――!?
悪女のレッテルを貼られてしまった少女と冷酷な獣と噂される最恐陛下の、仮初めの寵愛から始まるラブファンタジー！
（この作品は電子コミック誌Berry’s Fantasy Vol. 528に収録しております。重複購入にご注意ください）</v>
      </c>
      <c r="W1706" s="14"/>
      <c r="X1706" s="14" t="str">
        <f>IFERROR(__xludf.DUMMYFUNCTION("""COMPUTED_VALUE"""),"有")</f>
        <v>有</v>
      </c>
      <c r="Y1706" s="8" t="str">
        <f>IFERROR(__xludf.DUMMYFUNCTION("""COMPUTED_VALUE"""),"2024/9/26まで1巻無料")</f>
        <v>2024/9/26まで1巻無料</v>
      </c>
      <c r="Z1706" s="7"/>
      <c r="AA1706" s="7"/>
      <c r="AB1706" s="7"/>
    </row>
    <row r="1707" ht="15.75" customHeight="1">
      <c r="A1707" s="66">
        <f>IFERROR(__xludf.DUMMYFUNCTION("""COMPUTED_VALUE"""),3691.0)</f>
        <v>3691</v>
      </c>
      <c r="B1707" s="67" t="str">
        <f>IFERROR(__xludf.DUMMYFUNCTION("""COMPUTED_VALUE"""),"確定")</f>
        <v>確定</v>
      </c>
      <c r="C1707" s="68">
        <f>IFERROR(__xludf.DUMMYFUNCTION("""COMPUTED_VALUE"""),45468.0)</f>
        <v>45468</v>
      </c>
      <c r="D1707" s="68">
        <f>IFERROR(__xludf.DUMMYFUNCTION("""COMPUTED_VALUE"""),45469.0)</f>
        <v>45469</v>
      </c>
      <c r="E1707" s="26">
        <f>IFERROR(__xludf.DUMMYFUNCTION("""COMPUTED_VALUE"""),295867.0)</f>
        <v>295867</v>
      </c>
      <c r="F1707" s="22" t="str">
        <f>IFERROR(__xludf.DUMMYFUNCTION("""COMPUTED_VALUE"""),"放課後水入らず")</f>
        <v>放課後水入らず</v>
      </c>
      <c r="G1707" s="69">
        <f>IFERROR(__xludf.DUMMYFUNCTION("""COMPUTED_VALUE"""),1.0)</f>
        <v>1</v>
      </c>
      <c r="H1707" s="67" t="str">
        <f>IFERROR(__xludf.DUMMYFUNCTION("""COMPUTED_VALUE"""),"あぶく")</f>
        <v>あぶく</v>
      </c>
      <c r="I1707" s="22" t="str">
        <f>IFERROR(__xludf.DUMMYFUNCTION("""COMPUTED_VALUE"""),"BL")</f>
        <v>BL</v>
      </c>
      <c r="J1707" s="67"/>
      <c r="K1707" s="67"/>
      <c r="L1707" s="67" t="str">
        <f>IFERROR(__xludf.DUMMYFUNCTION("""COMPUTED_VALUE"""),"ソルマーレ編集部")</f>
        <v>ソルマーレ編集部</v>
      </c>
      <c r="M1707" s="59">
        <f>IFERROR(__xludf.DUMMYFUNCTION("""COMPUTED_VALUE"""),45495.0)</f>
        <v>45495</v>
      </c>
      <c r="N1707" s="59">
        <f>IFERROR(__xludf.DUMMYFUNCTION("""COMPUTED_VALUE"""),45556.0)</f>
        <v>45556</v>
      </c>
      <c r="O1707" s="69"/>
      <c r="P1707" s="70" t="str">
        <f>IFERROR(__xludf.DUMMYFUNCTION("""COMPUTED_VALUE"""),"可")</f>
        <v>可</v>
      </c>
      <c r="Q1707" s="72" t="str">
        <f>IFERROR(__xludf.DUMMYFUNCTION("""COMPUTED_VALUE"""),"※読み切り作品のため1巻のみですが出稿お願いします&lt;BR&gt;")</f>
        <v>※読み切り作品のため1巻のみですが出稿お願いします&lt;BR&gt;</v>
      </c>
      <c r="R1707" s="67"/>
      <c r="S1707" s="67" t="str">
        <f>IFERROR(__xludf.DUMMYFUNCTION("""COMPUTED_VALUE"""),"20240625_ソルマーレ編集部_放課後水入らず")</f>
        <v>20240625_ソルマーレ編集部_放課後水入らず</v>
      </c>
      <c r="T1707" s="67" t="str">
        <f>IFERROR(__xludf.DUMMYFUNCTION("""COMPUTED_VALUE"""),"格納済み")</f>
        <v>格納済み</v>
      </c>
      <c r="U1707" s="15" t="str">
        <f>IFERROR(__xludf.DUMMYFUNCTION("""COMPUTED_VALUE"""),"Ⓒ あぶく")</f>
        <v>Ⓒ あぶく</v>
      </c>
      <c r="V1707" s="8" t="str">
        <f>IFERROR(__xludf.DUMMYFUNCTION("""COMPUTED_VALUE"""),"自分の泳ぎに自信をなくし、マネージャー業に専念する立山。1年生エースの笠井は、そんな立山に冷たくあたってしまうが、実は密かに憧れを抱いていた。
ある放課後の部室で「退部する」という立山の報告を聞いた笠井は、抑えていた想いが溢れてしまい―――。【フィカス】")</f>
        <v>自分の泳ぎに自信をなくし、マネージャー業に専念する立山。1年生エースの笠井は、そんな立山に冷たくあたってしまうが、実は密かに憧れを抱いていた。
ある放課後の部室で「退部する」という立山の報告を聞いた笠井は、抑えていた想いが溢れてしまい―――。【フィカス】</v>
      </c>
      <c r="W1707" s="14"/>
      <c r="X1707" s="14" t="str">
        <f>IFERROR(__xludf.DUMMYFUNCTION("""COMPUTED_VALUE"""),"有")</f>
        <v>有</v>
      </c>
      <c r="Y1707" s="8" t="str">
        <f>IFERROR(__xludf.DUMMYFUNCTION("""COMPUTED_VALUE"""),"1巻無料")</f>
        <v>1巻無料</v>
      </c>
      <c r="Z1707" s="7"/>
      <c r="AA1707" s="7"/>
      <c r="AB1707" s="7"/>
    </row>
    <row r="1708" ht="15.75" customHeight="1">
      <c r="A1708" s="66">
        <f>IFERROR(__xludf.DUMMYFUNCTION("""COMPUTED_VALUE"""),3692.0)</f>
        <v>3692</v>
      </c>
      <c r="B1708" s="67" t="str">
        <f>IFERROR(__xludf.DUMMYFUNCTION("""COMPUTED_VALUE"""),"確定")</f>
        <v>確定</v>
      </c>
      <c r="C1708" s="68">
        <f>IFERROR(__xludf.DUMMYFUNCTION("""COMPUTED_VALUE"""),45468.0)</f>
        <v>45468</v>
      </c>
      <c r="D1708" s="68">
        <f>IFERROR(__xludf.DUMMYFUNCTION("""COMPUTED_VALUE"""),45469.0)</f>
        <v>45469</v>
      </c>
      <c r="E1708" s="31">
        <f>IFERROR(__xludf.DUMMYFUNCTION("""COMPUTED_VALUE"""),297357.0)</f>
        <v>297357</v>
      </c>
      <c r="F1708" s="22" t="str">
        <f>IFERROR(__xludf.DUMMYFUNCTION("""COMPUTED_VALUE"""),"後宮メイドの災難～人使いの荒い宮廷書記官と推理する～")</f>
        <v>後宮メイドの災難～人使いの荒い宮廷書記官と推理する～</v>
      </c>
      <c r="G1708" s="69" t="str">
        <f>IFERROR(__xludf.DUMMYFUNCTION("""COMPUTED_VALUE"""),"1～3")</f>
        <v>1～3</v>
      </c>
      <c r="H1708" s="67" t="str">
        <f>IFERROR(__xludf.DUMMYFUNCTION("""COMPUTED_VALUE"""),"原作：大野ちた 作画：永井青")</f>
        <v>原作：大野ちた 作画：永井青</v>
      </c>
      <c r="I1708" s="67" t="str">
        <f>IFERROR(__xludf.DUMMYFUNCTION("""COMPUTED_VALUE"""),"少年")</f>
        <v>少年</v>
      </c>
      <c r="J1708" s="67"/>
      <c r="K1708" s="67"/>
      <c r="L1708" s="67" t="str">
        <f>IFERROR(__xludf.DUMMYFUNCTION("""COMPUTED_VALUE"""),"CLLENN")</f>
        <v>CLLENN</v>
      </c>
      <c r="M1708" s="59">
        <f>IFERROR(__xludf.DUMMYFUNCTION("""COMPUTED_VALUE"""),45494.0)</f>
        <v>45494</v>
      </c>
      <c r="N1708" s="77">
        <f>IFERROR(__xludf.DUMMYFUNCTION("""COMPUTED_VALUE"""),45591.0)</f>
        <v>45591</v>
      </c>
      <c r="O1708" s="69"/>
      <c r="P1708" s="70" t="str">
        <f>IFERROR(__xludf.DUMMYFUNCTION("""COMPUTED_VALUE"""),"可")</f>
        <v>可</v>
      </c>
      <c r="Q1708" s="67" t="str">
        <f>IFERROR(__xludf.DUMMYFUNCTION("""COMPUTED_VALUE"""),"協業：シーモア×コミックREBEL&lt;BR&gt;※新レーベルになります！")</f>
        <v>協業：シーモア×コミックREBEL&lt;BR&gt;※新レーベルになります！</v>
      </c>
      <c r="R1708" s="67" t="str">
        <f>IFERROR(__xludf.DUMMYFUNCTION("""COMPUTED_VALUE"""),"格納済")</f>
        <v>格納済</v>
      </c>
      <c r="S1708" s="67" t="str">
        <f>IFERROR(__xludf.DUMMYFUNCTION("""COMPUTED_VALUE"""),"20240625_CLLENN_後宮メイドの災難～人使いの荒い宮廷書記官と推理する～")</f>
        <v>20240625_CLLENN_後宮メイドの災難～人使いの荒い宮廷書記官と推理する～</v>
      </c>
      <c r="T1708" s="67" t="str">
        <f>IFERROR(__xludf.DUMMYFUNCTION("""COMPUTED_VALUE"""),"格納済み")</f>
        <v>格納済み</v>
      </c>
      <c r="U1708" s="15" t="str">
        <f>IFERROR(__xludf.DUMMYFUNCTION("""COMPUTED_VALUE"""),"ⓒ大野ちた・永井青/CLLENN")</f>
        <v>ⓒ大野ちた・永井青/CLLENN</v>
      </c>
      <c r="V1708" s="8" t="str">
        <f>IFERROR(__xludf.DUMMYFUNCTION("""COMPUTED_VALUE"""),"「仕方ない その証言とやらをしてみろ」ここはドラコニア王国王城。控えめな性格ながら、誠実に尽くす後宮メイドのアリス・チェルシーは、ある日、正妃グエンの宝石を盗んだ疑いで拘束されてしまう。身に覚えのない罪に、困惑するアリス。タイムリミットは数時間のみ。身の潔白が証明できなければ、すぐさま処刑されてしまう絶対絶命のピンチの中、突如、謎の記憶がよみがえる！それは彼女が転生する前の、かつて女刑事だった頃の記憶…。刑事時代の捜査力を活かし、自らに濡れ衣を着せた犯人を見つけるため、彼女は真相の糸をたぐり始める。――さ"&amp;"あ、無実の証明をはじめよう。")</f>
        <v>「仕方ない その証言とやらをしてみろ」ここはドラコニア王国王城。控えめな性格ながら、誠実に尽くす後宮メイドのアリス・チェルシーは、ある日、正妃グエンの宝石を盗んだ疑いで拘束されてしまう。身に覚えのない罪に、困惑するアリス。タイムリミットは数時間のみ。身の潔白が証明できなければ、すぐさま処刑されてしまう絶対絶命のピンチの中、突如、謎の記憶がよみがえる！それは彼女が転生する前の、かつて女刑事だった頃の記憶…。刑事時代の捜査力を活かし、自らに濡れ衣を着せた犯人を見つけるため、彼女は真相の糸をたぐり始める。――さあ、無実の証明をはじめよう。</v>
      </c>
      <c r="W1708" s="14"/>
      <c r="X1708" s="14" t="str">
        <f>IFERROR(__xludf.DUMMYFUNCTION("""COMPUTED_VALUE"""),"有")</f>
        <v>有</v>
      </c>
      <c r="Y1708" s="8" t="str">
        <f>IFERROR(__xludf.DUMMYFUNCTION("""COMPUTED_VALUE"""),"2024/8/21まで1巻無料")</f>
        <v>2024/8/21まで1巻無料</v>
      </c>
      <c r="Z1708" s="7"/>
      <c r="AA1708" s="7"/>
      <c r="AB1708" s="7"/>
    </row>
    <row r="1709" ht="111.0" customHeight="1">
      <c r="A1709" s="66">
        <f>IFERROR(__xludf.DUMMYFUNCTION("""COMPUTED_VALUE"""),3693.0)</f>
        <v>3693</v>
      </c>
      <c r="B1709" s="67" t="str">
        <f>IFERROR(__xludf.DUMMYFUNCTION("""COMPUTED_VALUE"""),"確定")</f>
        <v>確定</v>
      </c>
      <c r="C1709" s="68">
        <f>IFERROR(__xludf.DUMMYFUNCTION("""COMPUTED_VALUE"""),45468.0)</f>
        <v>45468</v>
      </c>
      <c r="D1709" s="68">
        <f>IFERROR(__xludf.DUMMYFUNCTION("""COMPUTED_VALUE"""),45469.0)</f>
        <v>45469</v>
      </c>
      <c r="E1709" s="31">
        <f>IFERROR(__xludf.DUMMYFUNCTION("""COMPUTED_VALUE"""),298305.0)</f>
        <v>298305</v>
      </c>
      <c r="F1709" s="46" t="str">
        <f>IFERROR(__xludf.DUMMYFUNCTION("""COMPUTED_VALUE"""),"【分冊版】死ぬまでバズってろ！！")</f>
        <v>【分冊版】死ぬまでバズってろ！！</v>
      </c>
      <c r="G1709" s="69" t="str">
        <f>IFERROR(__xludf.DUMMYFUNCTION("""COMPUTED_VALUE"""),"1～5")</f>
        <v>1～5</v>
      </c>
      <c r="H1709" s="67" t="str">
        <f>IFERROR(__xludf.DUMMYFUNCTION("""COMPUTED_VALUE"""),"ふせでぃ")</f>
        <v>ふせでぃ</v>
      </c>
      <c r="I1709" s="67" t="str">
        <f>IFERROR(__xludf.DUMMYFUNCTION("""COMPUTED_VALUE"""),"女性")</f>
        <v>女性</v>
      </c>
      <c r="J1709" s="67"/>
      <c r="K1709" s="67"/>
      <c r="L1709" s="67" t="str">
        <f>IFERROR(__xludf.DUMMYFUNCTION("""COMPUTED_VALUE"""),"Seasons")</f>
        <v>Seasons</v>
      </c>
      <c r="M1709" s="59">
        <f>IFERROR(__xludf.DUMMYFUNCTION("""COMPUTED_VALUE"""),45498.0)</f>
        <v>45498</v>
      </c>
      <c r="N1709" s="59">
        <f>IFERROR(__xludf.DUMMYFUNCTION("""COMPUTED_VALUE"""),45559.0)</f>
        <v>45559</v>
      </c>
      <c r="O1709" s="69"/>
      <c r="P1709" s="71" t="str">
        <f>IFERROR(__xludf.DUMMYFUNCTION("""COMPUTED_VALUE"""),"可")</f>
        <v>可</v>
      </c>
      <c r="Q1709" s="72"/>
      <c r="R1709" s="67"/>
      <c r="S1709" s="67" t="str">
        <f>IFERROR(__xludf.DUMMYFUNCTION("""COMPUTED_VALUE"""),"20240625_Seasons_死ぬまでバズってろ")</f>
        <v>20240625_Seasons_死ぬまでバズってろ</v>
      </c>
      <c r="T1709" s="67" t="str">
        <f>IFERROR(__xludf.DUMMYFUNCTION("""COMPUTED_VALUE"""),"格納済み")</f>
        <v>格納済み</v>
      </c>
      <c r="U1709" s="15" t="str">
        <f>IFERROR(__xludf.DUMMYFUNCTION("""COMPUTED_VALUE"""),"(C)ふせでぃ／文藝春秋")</f>
        <v>(C)ふせでぃ／文藝春秋</v>
      </c>
      <c r="V1709" s="8" t="str">
        <f>IFERROR(__xludf.DUMMYFUNCTION("""COMPUTED_VALUE"""),"犯罪あり・恋愛あり・イケメン警察官あり…。超令和的インターネット・サスペンス！
主人公が撮影した飲酒運転事故動画は一夜にして圧倒的バズに。偶然見つけたネット上の金脈を活かして底辺女子から這い上がれるのか？
【第１話収録】")</f>
        <v>犯罪あり・恋愛あり・イケメン警察官あり…。超令和的インターネット・サスペンス！
主人公が撮影した飲酒運転事故動画は一夜にして圧倒的バズに。偶然見つけたネット上の金脈を活かして底辺女子から這い上がれるのか？
【第１話収録】</v>
      </c>
      <c r="W1709" s="14"/>
      <c r="X1709" s="14" t="str">
        <f>IFERROR(__xludf.DUMMYFUNCTION("""COMPUTED_VALUE"""),"有")</f>
        <v>有</v>
      </c>
      <c r="Y1709" s="8" t="str">
        <f>IFERROR(__xludf.DUMMYFUNCTION("""COMPUTED_VALUE"""),"2024/8/24まで1巻無料")</f>
        <v>2024/8/24まで1巻無料</v>
      </c>
      <c r="Z1709" s="7"/>
      <c r="AA1709" s="7"/>
      <c r="AB1709" s="7"/>
    </row>
    <row r="1710" ht="15.75" customHeight="1">
      <c r="A1710" s="66">
        <f>IFERROR(__xludf.DUMMYFUNCTION("""COMPUTED_VALUE"""),3694.0)</f>
        <v>3694</v>
      </c>
      <c r="B1710" s="67" t="str">
        <f>IFERROR(__xludf.DUMMYFUNCTION("""COMPUTED_VALUE"""),"確定")</f>
        <v>確定</v>
      </c>
      <c r="C1710" s="68">
        <f>IFERROR(__xludf.DUMMYFUNCTION("""COMPUTED_VALUE"""),45468.0)</f>
        <v>45468</v>
      </c>
      <c r="D1710" s="68">
        <f>IFERROR(__xludf.DUMMYFUNCTION("""COMPUTED_VALUE"""),45469.0)</f>
        <v>45469</v>
      </c>
      <c r="E1710" s="31">
        <f>IFERROR(__xludf.DUMMYFUNCTION("""COMPUTED_VALUE"""),297018.0)</f>
        <v>297018</v>
      </c>
      <c r="F1710" s="22" t="str">
        <f>IFERROR(__xludf.DUMMYFUNCTION("""COMPUTED_VALUE"""),"限定カレシが実は溺愛くんでした しごでき伊織くんはもう一度恋がしたい")</f>
        <v>限定カレシが実は溺愛くんでした しごでき伊織くんはもう一度恋がしたい</v>
      </c>
      <c r="G1710" s="69" t="str">
        <f>IFERROR(__xludf.DUMMYFUNCTION("""COMPUTED_VALUE"""),"1～3")</f>
        <v>1～3</v>
      </c>
      <c r="H1710" s="67" t="str">
        <f>IFERROR(__xludf.DUMMYFUNCTION("""COMPUTED_VALUE"""),"高須加ちさ")</f>
        <v>高須加ちさ</v>
      </c>
      <c r="I1710" s="67" t="str">
        <f>IFERROR(__xludf.DUMMYFUNCTION("""COMPUTED_VALUE"""),"女性")</f>
        <v>女性</v>
      </c>
      <c r="J1710" s="67"/>
      <c r="K1710" s="67"/>
      <c r="L1710" s="67" t="str">
        <f>IFERROR(__xludf.DUMMYFUNCTION("""COMPUTED_VALUE"""),"秋水社ORIGINAL")</f>
        <v>秋水社ORIGINAL</v>
      </c>
      <c r="M1710" s="59">
        <f>IFERROR(__xludf.DUMMYFUNCTION("""COMPUTED_VALUE"""),45485.0)</f>
        <v>45485</v>
      </c>
      <c r="N1710" s="59">
        <f>IFERROR(__xludf.DUMMYFUNCTION("""COMPUTED_VALUE"""),45572.0)</f>
        <v>45572</v>
      </c>
      <c r="O1710" s="69"/>
      <c r="P1710" s="70" t="str">
        <f>IFERROR(__xludf.DUMMYFUNCTION("""COMPUTED_VALUE"""),"可")</f>
        <v>可</v>
      </c>
      <c r="Q1710" s="72" t="str">
        <f>IFERROR(__xludf.DUMMYFUNCTION("""COMPUTED_VALUE"""),"2ヶ月連載先行作品です。可能であれば出稿よろしくお願いいたします。")</f>
        <v>2ヶ月連載先行作品です。可能であれば出稿よろしくお願いいたします。</v>
      </c>
      <c r="R1710" s="67"/>
      <c r="S1710" s="67" t="str">
        <f>IFERROR(__xludf.DUMMYFUNCTION("""COMPUTED_VALUE"""),"20240625_秋水社_限定カレシが実は溺愛くんでした")</f>
        <v>20240625_秋水社_限定カレシが実は溺愛くんでした</v>
      </c>
      <c r="T1710" s="67" t="str">
        <f>IFERROR(__xludf.DUMMYFUNCTION("""COMPUTED_VALUE"""),"格納済み")</f>
        <v>格納済み</v>
      </c>
      <c r="U1710" s="15" t="str">
        <f>IFERROR(__xludf.DUMMYFUNCTION("""COMPUTED_VALUE"""),"(C)高須加ちさ/秋水社ORIGINAL")</f>
        <v>(C)高須加ちさ/秋水社ORIGINAL</v>
      </c>
      <c r="V1710" s="8" t="str">
        <f>IFERROR(__xludf.DUMMYFUNCTION("""COMPUTED_VALUE"""),"「…それって誘ってくれてます？」私のカレシになりたいエリート後輩・伊織くん。あらゆるギャップにドキドキさせてくる彼だけど…。なぜか一向に目が合わないのはいったい―――！！！？交際4年目の恋人に二度目の浮気をされた遠山絃(31歳)。関係を修復したいと思っていたのは自分だけだった。そのショックな事実から体調も崩してしまい最悪な夜。意識を失った絃が目を覚ますと…そこはアメリカへ出向していたはずの伊織くんの部屋で！？気まずい3年振りの再会から動きだす、年下男子の執着系ラブストーリー！！")</f>
        <v>「…それって誘ってくれてます？」私のカレシになりたいエリート後輩・伊織くん。あらゆるギャップにドキドキさせてくる彼だけど…。なぜか一向に目が合わないのはいったい―――！！！？交際4年目の恋人に二度目の浮気をされた遠山絃(31歳)。関係を修復したいと思っていたのは自分だけだった。そのショックな事実から体調も崩してしまい最悪な夜。意識を失った絃が目を覚ますと…そこはアメリカへ出向していたはずの伊織くんの部屋で！？気まずい3年振りの再会から動きだす、年下男子の執着系ラブストーリー！！</v>
      </c>
      <c r="W1710" s="14"/>
      <c r="X1710" s="14" t="str">
        <f>IFERROR(__xludf.DUMMYFUNCTION("""COMPUTED_VALUE"""),"有")</f>
        <v>有</v>
      </c>
      <c r="Y1710" s="8" t="str">
        <f>IFERROR(__xludf.DUMMYFUNCTION("""COMPUTED_VALUE"""),"P9まで")</f>
        <v>P9まで</v>
      </c>
      <c r="Z1710" s="7"/>
      <c r="AA1710" s="7"/>
      <c r="AB1710" s="7"/>
    </row>
    <row r="1711" ht="15.75" customHeight="1">
      <c r="A1711" s="66">
        <f>IFERROR(__xludf.DUMMYFUNCTION("""COMPUTED_VALUE"""),3695.0)</f>
        <v>3695</v>
      </c>
      <c r="B1711" s="75" t="str">
        <f>IFERROR(__xludf.DUMMYFUNCTION("""COMPUTED_VALUE"""),"確定")</f>
        <v>確定</v>
      </c>
      <c r="C1711" s="68">
        <f>IFERROR(__xludf.DUMMYFUNCTION("""COMPUTED_VALUE"""),45468.0)</f>
        <v>45468</v>
      </c>
      <c r="D1711" s="68">
        <f>IFERROR(__xludf.DUMMYFUNCTION("""COMPUTED_VALUE"""),45469.0)</f>
        <v>45469</v>
      </c>
      <c r="E1711" s="31">
        <f>IFERROR(__xludf.DUMMYFUNCTION("""COMPUTED_VALUE"""),297017.0)</f>
        <v>297017</v>
      </c>
      <c r="F1711" s="31" t="str">
        <f>IFERROR(__xludf.DUMMYFUNCTION("""COMPUTED_VALUE"""),"元カレに捨てられて、イケメンニートを拾いました。")</f>
        <v>元カレに捨てられて、イケメンニートを拾いました。</v>
      </c>
      <c r="G1711" s="69" t="str">
        <f>IFERROR(__xludf.DUMMYFUNCTION("""COMPUTED_VALUE"""),"1～3")</f>
        <v>1～3</v>
      </c>
      <c r="H1711" s="75" t="str">
        <f>IFERROR(__xludf.DUMMYFUNCTION("""COMPUTED_VALUE"""),"美和")</f>
        <v>美和</v>
      </c>
      <c r="I1711" s="67" t="str">
        <f>IFERROR(__xludf.DUMMYFUNCTION("""COMPUTED_VALUE"""),"女性")</f>
        <v>女性</v>
      </c>
      <c r="J1711" s="75"/>
      <c r="K1711" s="75"/>
      <c r="L1711" s="75" t="str">
        <f>IFERROR(__xludf.DUMMYFUNCTION("""COMPUTED_VALUE"""),"秋水社ORIGINAL")</f>
        <v>秋水社ORIGINAL</v>
      </c>
      <c r="M1711" s="59">
        <f>IFERROR(__xludf.DUMMYFUNCTION("""COMPUTED_VALUE"""),45485.0)</f>
        <v>45485</v>
      </c>
      <c r="N1711" s="47">
        <f>IFERROR(__xludf.DUMMYFUNCTION("""COMPUTED_VALUE"""),45572.0)</f>
        <v>45572</v>
      </c>
      <c r="O1711" s="69"/>
      <c r="P1711" s="80" t="str">
        <f>IFERROR(__xludf.DUMMYFUNCTION("""COMPUTED_VALUE"""),"可")</f>
        <v>可</v>
      </c>
      <c r="Q1711" s="72" t="str">
        <f>IFERROR(__xludf.DUMMYFUNCTION("""COMPUTED_VALUE"""),"2ヶ月連載先行作品です。可能であれば出稿よろしくお願いいたします")</f>
        <v>2ヶ月連載先行作品です。可能であれば出稿よろしくお願いいたします</v>
      </c>
      <c r="R1711" s="75"/>
      <c r="S1711" s="75" t="str">
        <f>IFERROR(__xludf.DUMMYFUNCTION("""COMPUTED_VALUE"""),"20240625_秋水社_元カレに捨てられて、イケメンニートを拾いました。")</f>
        <v>20240625_秋水社_元カレに捨てられて、イケメンニートを拾いました。</v>
      </c>
      <c r="T1711" s="75" t="str">
        <f>IFERROR(__xludf.DUMMYFUNCTION("""COMPUTED_VALUE"""),"格納済み")</f>
        <v>格納済み</v>
      </c>
      <c r="U1711" s="15" t="str">
        <f>IFERROR(__xludf.DUMMYFUNCTION("""COMPUTED_VALUE"""),"(C)美和/秋水社ORIGINAL")</f>
        <v>(C)美和/秋水社ORIGINAL</v>
      </c>
      <c r="V1711" s="8" t="str">
        <f>IFERROR(__xludf.DUMMYFUNCTION("""COMPUTED_VALUE"""),"フラれて傷心のアラサーOL、大型のペット（イケメンニート）を拾う!?――就職難の中、なんとか今の会社に滑り込んだ里緒。真面目に生きているはずなのに、仕事では失敗続き。そんなどん底の里緒に、優しく接してくれた主任の九条さん。デートを重ね、気づけば本気の恋に落ちていた。このまま彼とずっと…そう思っていた矢先、「俺、結婚するんだよね」と彼の一言。ここからまだどん底に落ちることってあるの…？ フラれて傷心の中、眠りにつきながら思い出すのは、実家で飼っていた愛犬・ポチのこと。あったかくてふわふわなポチ、また会いたい"&amp;"な…そんなことを思いながら迎えた二日酔いの朝、目が覚めたら隣には謎のイケメン…!? この人誰!? 私の人生、どうなるの!?")</f>
        <v>フラれて傷心のアラサーOL、大型のペット（イケメンニート）を拾う!?――就職難の中、なんとか今の会社に滑り込んだ里緒。真面目に生きているはずなのに、仕事では失敗続き。そんなどん底の里緒に、優しく接してくれた主任の九条さん。デートを重ね、気づけば本気の恋に落ちていた。このまま彼とずっと…そう思っていた矢先、「俺、結婚するんだよね」と彼の一言。ここからまだどん底に落ちることってあるの…？ フラれて傷心の中、眠りにつきながら思い出すのは、実家で飼っていた愛犬・ポチのこと。あったかくてふわふわなポチ、また会いたいな…そんなことを思いながら迎えた二日酔いの朝、目が覚めたら隣には謎のイケメン…!? この人誰!? 私の人生、どうなるの!?</v>
      </c>
      <c r="W1711" s="14"/>
      <c r="X1711" s="14" t="str">
        <f>IFERROR(__xludf.DUMMYFUNCTION("""COMPUTED_VALUE"""),"有")</f>
        <v>有</v>
      </c>
      <c r="Y1711" s="8" t="str">
        <f>IFERROR(__xludf.DUMMYFUNCTION("""COMPUTED_VALUE"""),"2024/7/25まで1巻無料")</f>
        <v>2024/7/25まで1巻無料</v>
      </c>
      <c r="Z1711" s="7"/>
      <c r="AA1711" s="7"/>
      <c r="AB1711" s="7"/>
    </row>
    <row r="1712" ht="15.75" customHeight="1">
      <c r="A1712" s="66">
        <f>IFERROR(__xludf.DUMMYFUNCTION("""COMPUTED_VALUE"""),2979.0)</f>
        <v>2979</v>
      </c>
      <c r="B1712" s="67" t="str">
        <f>IFERROR(__xludf.DUMMYFUNCTION("""COMPUTED_VALUE"""),"確定")</f>
        <v>確定</v>
      </c>
      <c r="C1712" s="68">
        <f>IFERROR(__xludf.DUMMYFUNCTION("""COMPUTED_VALUE"""),45337.0)</f>
        <v>45337</v>
      </c>
      <c r="D1712" s="68">
        <f>IFERROR(__xludf.DUMMYFUNCTION("""COMPUTED_VALUE"""),45475.0)</f>
        <v>45475</v>
      </c>
      <c r="E1712" s="31">
        <f>IFERROR(__xludf.DUMMYFUNCTION("""COMPUTED_VALUE"""),297862.0)</f>
        <v>297862</v>
      </c>
      <c r="F1712" s="46" t="str">
        <f>IFERROR(__xludf.DUMMYFUNCTION("""COMPUTED_VALUE"""),"【単話】リヴァージン")</f>
        <v>【単話】リヴァージン</v>
      </c>
      <c r="G1712" s="69" t="str">
        <f>IFERROR(__xludf.DUMMYFUNCTION("""COMPUTED_VALUE"""),"1～5")</f>
        <v>1～5</v>
      </c>
      <c r="H1712" s="67" t="str">
        <f>IFERROR(__xludf.DUMMYFUNCTION("""COMPUTED_VALUE"""),"画 飯田ヨネ・原作 井深みつ")</f>
        <v>画 飯田ヨネ・原作 井深みつ</v>
      </c>
      <c r="I1712" s="67" t="str">
        <f>IFERROR(__xludf.DUMMYFUNCTION("""COMPUTED_VALUE"""),"女性")</f>
        <v>女性</v>
      </c>
      <c r="J1712" s="67"/>
      <c r="K1712" s="67"/>
      <c r="L1712" s="67" t="str">
        <f>IFERROR(__xludf.DUMMYFUNCTION("""COMPUTED_VALUE"""),"KADOKAWA")</f>
        <v>KADOKAWA</v>
      </c>
      <c r="M1712" s="47">
        <f>IFERROR(__xludf.DUMMYFUNCTION("""COMPUTED_VALUE"""),45500.0)</f>
        <v>45500</v>
      </c>
      <c r="N1712" s="47">
        <f>IFERROR(__xludf.DUMMYFUNCTION("""COMPUTED_VALUE"""),45513.0)</f>
        <v>45513</v>
      </c>
      <c r="O1712" s="69"/>
      <c r="P1712" s="70" t="str">
        <f>IFERROR(__xludf.DUMMYFUNCTION("""COMPUTED_VALUE"""),"否")</f>
        <v>否</v>
      </c>
      <c r="Q1712" s="72" t="str">
        <f>IFERROR(__xludf.DUMMYFUNCTION("""COMPUTED_VALUE"""),"広告コミットOK(2/22)")</f>
        <v>広告コミットOK(2/22)</v>
      </c>
      <c r="R1712" s="67"/>
      <c r="S1712" s="67" t="str">
        <f>IFERROR(__xludf.DUMMYFUNCTION("""COMPUTED_VALUE"""),"20240702_KADOKAWA_リヴァージン")</f>
        <v>20240702_KADOKAWA_リヴァージン</v>
      </c>
      <c r="T1712" s="75" t="str">
        <f>IFERROR(__xludf.DUMMYFUNCTION("""COMPUTED_VALUE"""),"格納済み")</f>
        <v>格納済み</v>
      </c>
      <c r="U1712" s="15" t="str">
        <f>IFERROR(__xludf.DUMMYFUNCTION("""COMPUTED_VALUE"""),"©Yone Iida/Mitsu Ibuka 2024")</f>
        <v>©Yone Iida/Mitsu Ibuka 2024</v>
      </c>
      <c r="V1712" s="8" t="str">
        <f>IFERROR(__xludf.DUMMYFUNCTION("""COMPUTED_VALUE"""),"マッチングアプリでの出会いで日々の寂しさを紛らわしていた松川沙希(29)。
「この世はヤリモクの男しかいないのか？」と思いつつも、アプリでの相手探しをやめられなかった沙希は、そこで出会ったハイスペック男性に無残に殺されてしまう。
しかし殺されたはずの沙希はなぜか目を覚まし、しかも24歳に戻っていた……！
2度目の人生をやり直すなら、自堕落でビッチな人生とはおさらばしたい！
マッチングアプリからはじまる欲望と犯罪のサスペンス開幕！")</f>
        <v>マッチングアプリでの出会いで日々の寂しさを紛らわしていた松川沙希(29)。
「この世はヤリモクの男しかいないのか？」と思いつつも、アプリでの相手探しをやめられなかった沙希は、そこで出会ったハイスペック男性に無残に殺されてしまう。
しかし殺されたはずの沙希はなぜか目を覚まし、しかも24歳に戻っていた……！
2度目の人生をやり直すなら、自堕落でビッチな人生とはおさらばしたい！
マッチングアプリからはじまる欲望と犯罪のサスペンス開幕！</v>
      </c>
      <c r="W1712" s="14"/>
      <c r="X1712" s="14" t="str">
        <f>IFERROR(__xludf.DUMMYFUNCTION("""COMPUTED_VALUE"""),"有")</f>
        <v>有</v>
      </c>
      <c r="Y1712" s="8" t="str">
        <f>IFERROR(__xludf.DUMMYFUNCTION("""COMPUTED_VALUE"""),"P10まで")</f>
        <v>P10まで</v>
      </c>
      <c r="Z1712" s="7"/>
      <c r="AA1712" s="7"/>
      <c r="AB1712" s="7"/>
    </row>
    <row r="1713" ht="15.75" customHeight="1">
      <c r="A1713" s="66">
        <f>IFERROR(__xludf.DUMMYFUNCTION("""COMPUTED_VALUE"""),3305.0)</f>
        <v>3305</v>
      </c>
      <c r="B1713" s="67" t="str">
        <f>IFERROR(__xludf.DUMMYFUNCTION("""COMPUTED_VALUE"""),"確定")</f>
        <v>確定</v>
      </c>
      <c r="C1713" s="68">
        <f>IFERROR(__xludf.DUMMYFUNCTION("""COMPUTED_VALUE"""),45399.0)</f>
        <v>45399</v>
      </c>
      <c r="D1713" s="68">
        <f>IFERROR(__xludf.DUMMYFUNCTION("""COMPUTED_VALUE"""),45475.0)</f>
        <v>45475</v>
      </c>
      <c r="E1713" s="31">
        <f>IFERROR(__xludf.DUMMYFUNCTION("""COMPUTED_VALUE"""),296973.0)</f>
        <v>296973</v>
      </c>
      <c r="F1713" s="46" t="str">
        <f>IFERROR(__xludf.DUMMYFUNCTION("""COMPUTED_VALUE"""),"【ラブフリック】極道の虎～初愛ヤクザは私のナカまで愛を注いで離さない～")</f>
        <v>【ラブフリック】極道の虎～初愛ヤクザは私のナカまで愛を注いで離さない～</v>
      </c>
      <c r="G1713" s="11" t="str">
        <f>IFERROR(__xludf.DUMMYFUNCTION("""COMPUTED_VALUE"""),"1～2")</f>
        <v>1～2</v>
      </c>
      <c r="H1713" s="67" t="str">
        <f>IFERROR(__xludf.DUMMYFUNCTION("""COMPUTED_VALUE"""),"かずい流水")</f>
        <v>かずい流水</v>
      </c>
      <c r="I1713" s="67" t="str">
        <f>IFERROR(__xludf.DUMMYFUNCTION("""COMPUTED_VALUE"""),"TL")</f>
        <v>TL</v>
      </c>
      <c r="J1713" s="67"/>
      <c r="K1713" s="67"/>
      <c r="L1713" s="67" t="str">
        <f>IFERROR(__xludf.DUMMYFUNCTION("""COMPUTED_VALUE"""),"CLLENN")</f>
        <v>CLLENN</v>
      </c>
      <c r="M1713" s="59">
        <f>IFERROR(__xludf.DUMMYFUNCTION("""COMPUTED_VALUE"""),45490.0)</f>
        <v>45490</v>
      </c>
      <c r="N1713" s="59">
        <f>IFERROR(__xludf.DUMMYFUNCTION("""COMPUTED_VALUE"""),45552.0)</f>
        <v>45552</v>
      </c>
      <c r="O1713" s="69"/>
      <c r="P1713" s="70" t="str">
        <f>IFERROR(__xludf.DUMMYFUNCTION("""COMPUTED_VALUE"""),"可")</f>
        <v>可</v>
      </c>
      <c r="Q1713" s="67" t="str">
        <f>IFERROR(__xludf.DUMMYFUNCTION("""COMPUTED_VALUE"""),"広告コミットOK（4/23）&lt;BR&gt;レーベル名：LOVE FLICK")</f>
        <v>広告コミットOK（4/23）&lt;BR&gt;レーベル名：LOVE FLICK</v>
      </c>
      <c r="R1713" s="67" t="str">
        <f>IFERROR(__xludf.DUMMYFUNCTION("""COMPUTED_VALUE"""),"格納済")</f>
        <v>格納済</v>
      </c>
      <c r="S1713" s="67" t="str">
        <f>IFERROR(__xludf.DUMMYFUNCTION("""COMPUTED_VALUE"""),"20240626_CLLENN_極道の虎〜初愛ヤクザは私のナカまで愛を注いで離さない〜")</f>
        <v>20240626_CLLENN_極道の虎〜初愛ヤクザは私のナカまで愛を注いで離さない〜</v>
      </c>
      <c r="T1713" s="67" t="str">
        <f>IFERROR(__xludf.DUMMYFUNCTION("""COMPUTED_VALUE"""),"格納済み")</f>
        <v>格納済み</v>
      </c>
      <c r="U1713" s="15" t="str">
        <f>IFERROR(__xludf.DUMMYFUNCTION("""COMPUTED_VALUE"""),"ⓒかずい流水/CLLENN")</f>
        <v>ⓒかずい流水/CLLENN</v>
      </c>
      <c r="V1713" s="8" t="str">
        <f>IFERROR(__xludf.DUMMYFUNCTION("""COMPUTED_VALUE"""),"「何度でも言う、好きだ…離したくない」逞しい腕に捕らわれ、貪るような熱いキスが気持ちよくて…ダメ、こんなにも情熱的に求められたら、グズグズにとろかされちゃう…！◆剣道が趣味で元気いっぱいの菜緒子は、勤め先の社長である虎鉄と交際中。仕事も恋も順風満帆で、もうすぐプロポーズされる！？と、期待に胸を膨らませていたそのとき、謎の男たちに誘拐されてしまう。間一髪、虎鉄が助けてくれたものの彼は背中を負傷し、裂けた服の間から見えたのは――虎の刺青！？「俺、実は…ヤクザなんだ」（虎鉄さん…優しくてヒーローみたいな人なのに"&amp;"、どうして？）それでも彼の激しく絡みつく舌が、甘くも猛る指が、真剣な瞳が、逃してくれない…！一途なヤクザと《本当の愛》を確かめ合う、純愛ラブストーリー！")</f>
        <v>「何度でも言う、好きだ…離したくない」逞しい腕に捕らわれ、貪るような熱いキスが気持ちよくて…ダメ、こんなにも情熱的に求められたら、グズグズにとろかされちゃう…！◆剣道が趣味で元気いっぱいの菜緒子は、勤め先の社長である虎鉄と交際中。仕事も恋も順風満帆で、もうすぐプロポーズされる！？と、期待に胸を膨らませていたそのとき、謎の男たちに誘拐されてしまう。間一髪、虎鉄が助けてくれたものの彼は背中を負傷し、裂けた服の間から見えたのは――虎の刺青！？「俺、実は…ヤクザなんだ」（虎鉄さん…優しくてヒーローみたいな人なのに、どうして？）それでも彼の激しく絡みつく舌が、甘くも猛る指が、真剣な瞳が、逃してくれない…！一途なヤクザと《本当の愛》を確かめ合う、純愛ラブストーリー！</v>
      </c>
      <c r="W1713" s="14"/>
      <c r="X1713" s="14" t="str">
        <f>IFERROR(__xludf.DUMMYFUNCTION("""COMPUTED_VALUE"""),"有")</f>
        <v>有</v>
      </c>
      <c r="Y1713" s="8" t="str">
        <f>IFERROR(__xludf.DUMMYFUNCTION("""COMPUTED_VALUE"""),"P10まで")</f>
        <v>P10まで</v>
      </c>
      <c r="Z1713" s="7"/>
      <c r="AA1713" s="7"/>
      <c r="AB1713" s="7"/>
    </row>
    <row r="1714" ht="100.5" customHeight="1">
      <c r="A1714" s="66">
        <f>IFERROR(__xludf.DUMMYFUNCTION("""COMPUTED_VALUE"""),3326.0)</f>
        <v>3326</v>
      </c>
      <c r="B1714" s="67" t="str">
        <f>IFERROR(__xludf.DUMMYFUNCTION("""COMPUTED_VALUE"""),"確定")</f>
        <v>確定</v>
      </c>
      <c r="C1714" s="68">
        <f>IFERROR(__xludf.DUMMYFUNCTION("""COMPUTED_VALUE"""),45405.0)</f>
        <v>45405</v>
      </c>
      <c r="D1714" s="68">
        <f>IFERROR(__xludf.DUMMYFUNCTION("""COMPUTED_VALUE"""),45475.0)</f>
        <v>45475</v>
      </c>
      <c r="E1714" s="31">
        <f>IFERROR(__xludf.DUMMYFUNCTION("""COMPUTED_VALUE"""),297573.0)</f>
        <v>297573</v>
      </c>
      <c r="F1714" s="22" t="str">
        <f>IFERROR(__xludf.DUMMYFUNCTION("""COMPUTED_VALUE"""),"【単話版】ムシバミヒメ")</f>
        <v>【単話版】ムシバミヒメ</v>
      </c>
      <c r="G1714" s="69" t="str">
        <f>IFERROR(__xludf.DUMMYFUNCTION("""COMPUTED_VALUE"""),"1～6")</f>
        <v>1～6</v>
      </c>
      <c r="H1714" s="67" t="str">
        <f>IFERROR(__xludf.DUMMYFUNCTION("""COMPUTED_VALUE"""),"東元俊哉")</f>
        <v>東元俊哉</v>
      </c>
      <c r="I1714" s="78" t="str">
        <f>IFERROR(__xludf.DUMMYFUNCTION("""COMPUTED_VALUE"""),"青年")</f>
        <v>青年</v>
      </c>
      <c r="J1714" s="67"/>
      <c r="K1714" s="67"/>
      <c r="L1714" s="67" t="str">
        <f>IFERROR(__xludf.DUMMYFUNCTION("""COMPUTED_VALUE"""),"新潮社")</f>
        <v>新潮社</v>
      </c>
      <c r="M1714" s="59">
        <f>IFERROR(__xludf.DUMMYFUNCTION("""COMPUTED_VALUE"""),45498.0)</f>
        <v>45498</v>
      </c>
      <c r="N1714" s="77">
        <f>IFERROR(__xludf.DUMMYFUNCTION("""COMPUTED_VALUE"""),45656.0)</f>
        <v>45656</v>
      </c>
      <c r="O1714" s="69"/>
      <c r="P1714" s="70" t="str">
        <f>IFERROR(__xludf.DUMMYFUNCTION("""COMPUTED_VALUE"""),"可")</f>
        <v>可</v>
      </c>
      <c r="Q1714" s="72" t="str">
        <f>IFERROR(__xludf.DUMMYFUNCTION("""COMPUTED_VALUE"""),"広告コミットOK(5/8)")</f>
        <v>広告コミットOK(5/8)</v>
      </c>
      <c r="R1714" s="67"/>
      <c r="S1714" s="67" t="str">
        <f>IFERROR(__xludf.DUMMYFUNCTION("""COMPUTED_VALUE"""),"20240702_新潮社_【単話版】ムシバミヒメ")</f>
        <v>20240702_新潮社_【単話版】ムシバミヒメ</v>
      </c>
      <c r="T1714" s="67" t="str">
        <f>IFERROR(__xludf.DUMMYFUNCTION("""COMPUTED_VALUE"""),"格納済み")</f>
        <v>格納済み</v>
      </c>
      <c r="U1714" s="15" t="str">
        <f>IFERROR(__xludf.DUMMYFUNCTION("""COMPUTED_VALUE"""),"©東元俊哉／新潮社")</f>
        <v>©東元俊哉／新潮社</v>
      </c>
      <c r="V1714" s="8" t="str">
        <f>IFERROR(__xludf.DUMMYFUNCTION("""COMPUTED_VALUE"""),"【『テセウスの船』東元俊哉最新作！】小説家志望の大学生・田中愛は、募集サイトで知り合った山口美羽とルームシェアすることにしたのだが――。目が離せない、同居人サイコホラー。")</f>
        <v>【『テセウスの船』東元俊哉最新作！】小説家志望の大学生・田中愛は、募集サイトで知り合った山口美羽とルームシェアすることにしたのだが――。目が離せない、同居人サイコホラー。</v>
      </c>
      <c r="W1714" s="14"/>
      <c r="X1714" s="14" t="str">
        <f>IFERROR(__xludf.DUMMYFUNCTION("""COMPUTED_VALUE"""),"有")</f>
        <v>有</v>
      </c>
      <c r="Y1714" s="8" t="str">
        <f>IFERROR(__xludf.DUMMYFUNCTION("""COMPUTED_VALUE"""),"2024/8/7まで1巻無料")</f>
        <v>2024/8/7まで1巻無料</v>
      </c>
      <c r="Z1714" s="7"/>
      <c r="AA1714" s="7"/>
      <c r="AB1714" s="7"/>
    </row>
    <row r="1715" ht="15.75" customHeight="1">
      <c r="A1715" s="66">
        <f>IFERROR(__xludf.DUMMYFUNCTION("""COMPUTED_VALUE"""),3368.0)</f>
        <v>3368</v>
      </c>
      <c r="B1715" s="67" t="str">
        <f>IFERROR(__xludf.DUMMYFUNCTION("""COMPUTED_VALUE"""),"確定")</f>
        <v>確定</v>
      </c>
      <c r="C1715" s="68">
        <f>IFERROR(__xludf.DUMMYFUNCTION("""COMPUTED_VALUE"""),45414.0)</f>
        <v>45414</v>
      </c>
      <c r="D1715" s="68">
        <f>IFERROR(__xludf.DUMMYFUNCTION("""COMPUTED_VALUE"""),45475.0)</f>
        <v>45475</v>
      </c>
      <c r="E1715" s="31">
        <f>IFERROR(__xludf.DUMMYFUNCTION("""COMPUTED_VALUE"""),293886.0)</f>
        <v>293886</v>
      </c>
      <c r="F1715" s="22" t="str">
        <f>IFERROR(__xludf.DUMMYFUNCTION("""COMPUTED_VALUE"""),"バーバリアンエンゼル ～両性具有、褐色民族婚姻譚～")</f>
        <v>バーバリアンエンゼル ～両性具有、褐色民族婚姻譚～</v>
      </c>
      <c r="G1715" s="11" t="str">
        <f>IFERROR(__xludf.DUMMYFUNCTION("""COMPUTED_VALUE"""),"1～2")</f>
        <v>1～2</v>
      </c>
      <c r="H1715" s="67" t="str">
        <f>IFERROR(__xludf.DUMMYFUNCTION("""COMPUTED_VALUE"""),"メイドキメラ")</f>
        <v>メイドキメラ</v>
      </c>
      <c r="I1715" s="67" t="str">
        <f>IFERROR(__xludf.DUMMYFUNCTION("""COMPUTED_VALUE"""),"BL")</f>
        <v>BL</v>
      </c>
      <c r="J1715" s="67"/>
      <c r="K1715" s="67"/>
      <c r="L1715" s="67" t="str">
        <f>IFERROR(__xludf.DUMMYFUNCTION("""COMPUTED_VALUE"""),"東京漫画社")</f>
        <v>東京漫画社</v>
      </c>
      <c r="M1715" s="59">
        <f>IFERROR(__xludf.DUMMYFUNCTION("""COMPUTED_VALUE"""),45504.0)</f>
        <v>45504</v>
      </c>
      <c r="N1715" s="59">
        <f>IFERROR(__xludf.DUMMYFUNCTION("""COMPUTED_VALUE"""),45564.0)</f>
        <v>45564</v>
      </c>
      <c r="O1715" s="69"/>
      <c r="P1715" s="70" t="str">
        <f>IFERROR(__xludf.DUMMYFUNCTION("""COMPUTED_VALUE"""),"可")</f>
        <v>可</v>
      </c>
      <c r="Q1715" s="72" t="str">
        <f>IFERROR(__xludf.DUMMYFUNCTION("""COMPUTED_VALUE"""),"広告コミットOK(5/10)")</f>
        <v>広告コミットOK(5/10)</v>
      </c>
      <c r="R1715" s="67"/>
      <c r="S1715" s="67" t="str">
        <f>IFERROR(__xludf.DUMMYFUNCTION("""COMPUTED_VALUE"""),"20240701_東京漫画社_バーバリアンエンゼル")</f>
        <v>20240701_東京漫画社_バーバリアンエンゼル</v>
      </c>
      <c r="T1715" s="67" t="str">
        <f>IFERROR(__xludf.DUMMYFUNCTION("""COMPUTED_VALUE"""),"格納済み")</f>
        <v>格納済み</v>
      </c>
      <c r="U1715" s="15" t="str">
        <f>IFERROR(__xludf.DUMMYFUNCTION("""COMPUTED_VALUE"""),"（C）メイドキメラ/PLISMLINK.Inc/東京漫画社")</f>
        <v>（C）メイドキメラ/PLISMLINK.Inc/東京漫画社</v>
      </c>
      <c r="V1715" s="8" t="str">
        <f>IFERROR(__xludf.DUMMYFUNCTION("""COMPUTED_VALUE"""),"南国の秘境を訪れたジャーナリストのアルは、そこで“両性具有の子”ヒヨスと出会う。
ヒヨスは褐色の肌に碧眼を持つ美しい少年だった。あどけなさと色気が混じる彼に煽られ、ノンケのはずなのに思わず誘いに乗ってしまい…!?
制作協力：PRISMstudio
『Fig vol.67』に収録されているものと同じ内容になります。")</f>
        <v>南国の秘境を訪れたジャーナリストのアルは、そこで“両性具有の子”ヒヨスと出会う。
ヒヨスは褐色の肌に碧眼を持つ美しい少年だった。あどけなさと色気が混じる彼に煽られ、ノンケのはずなのに思わず誘いに乗ってしまい…!?
制作協力：PRISMstudio
『Fig vol.67』に収録されているものと同じ内容になります。</v>
      </c>
      <c r="W1715" s="14"/>
      <c r="X1715" s="14" t="str">
        <f>IFERROR(__xludf.DUMMYFUNCTION("""COMPUTED_VALUE"""),"有")</f>
        <v>有</v>
      </c>
      <c r="Y1715" s="8" t="str">
        <f>IFERROR(__xludf.DUMMYFUNCTION("""COMPUTED_VALUE"""),"2024/9/29まで立ち読み増量P16まで")</f>
        <v>2024/9/29まで立ち読み増量P16まで</v>
      </c>
      <c r="Z1715" s="7"/>
      <c r="AA1715" s="7"/>
      <c r="AB1715" s="7"/>
    </row>
    <row r="1716" ht="15.75" customHeight="1">
      <c r="A1716" s="66">
        <f>IFERROR(__xludf.DUMMYFUNCTION("""COMPUTED_VALUE"""),3407.0)</f>
        <v>3407</v>
      </c>
      <c r="B1716" s="67" t="str">
        <f>IFERROR(__xludf.DUMMYFUNCTION("""COMPUTED_VALUE"""),"確定")</f>
        <v>確定</v>
      </c>
      <c r="C1716" s="68">
        <f>IFERROR(__xludf.DUMMYFUNCTION("""COMPUTED_VALUE"""),45422.0)</f>
        <v>45422</v>
      </c>
      <c r="D1716" s="68">
        <f>IFERROR(__xludf.DUMMYFUNCTION("""COMPUTED_VALUE"""),45475.0)</f>
        <v>45475</v>
      </c>
      <c r="E1716" s="31">
        <f>IFERROR(__xludf.DUMMYFUNCTION("""COMPUTED_VALUE"""),296733.0)</f>
        <v>296733</v>
      </c>
      <c r="F1716" s="22" t="str">
        <f>IFERROR(__xludf.DUMMYFUNCTION("""COMPUTED_VALUE"""),"好きなのは俺の声だけ？ イジワル同期はとろあまボイスで愛を囁く")</f>
        <v>好きなのは俺の声だけ？ イジワル同期はとろあまボイスで愛を囁く</v>
      </c>
      <c r="G1716" s="11" t="str">
        <f>IFERROR(__xludf.DUMMYFUNCTION("""COMPUTED_VALUE"""),"1～2")</f>
        <v>1～2</v>
      </c>
      <c r="H1716" s="67" t="str">
        <f>IFERROR(__xludf.DUMMYFUNCTION("""COMPUTED_VALUE"""),"颯一郎")</f>
        <v>颯一郎</v>
      </c>
      <c r="I1716" s="67" t="str">
        <f>IFERROR(__xludf.DUMMYFUNCTION("""COMPUTED_VALUE"""),"TL")</f>
        <v>TL</v>
      </c>
      <c r="J1716" s="67"/>
      <c r="K1716" s="67"/>
      <c r="L1716" s="67" t="str">
        <f>IFERROR(__xludf.DUMMYFUNCTION("""COMPUTED_VALUE"""),"CLLENN")</f>
        <v>CLLENN</v>
      </c>
      <c r="M1716" s="23">
        <f>IFERROR(__xludf.DUMMYFUNCTION("""COMPUTED_VALUE"""),45486.0)</f>
        <v>45486</v>
      </c>
      <c r="N1716" s="23">
        <f>IFERROR(__xludf.DUMMYFUNCTION("""COMPUTED_VALUE"""),45548.0)</f>
        <v>45548</v>
      </c>
      <c r="O1716" s="69"/>
      <c r="P1716" s="70" t="str">
        <f>IFERROR(__xludf.DUMMYFUNCTION("""COMPUTED_VALUE"""),"可")</f>
        <v>可</v>
      </c>
      <c r="Q1716" s="67" t="str">
        <f>IFERROR(__xludf.DUMMYFUNCTION("""COMPUTED_VALUE"""),"広告コミットOK(5/16)&lt;BR&gt;レーベル名：乙女チック")</f>
        <v>広告コミットOK(5/16)&lt;BR&gt;レーベル名：乙女チック</v>
      </c>
      <c r="R1716" s="67" t="str">
        <f>IFERROR(__xludf.DUMMYFUNCTION("""COMPUTED_VALUE"""),"格納済")</f>
        <v>格納済</v>
      </c>
      <c r="S1716" s="67" t="str">
        <f>IFERROR(__xludf.DUMMYFUNCTION("""COMPUTED_VALUE"""),"20240626_CLLENN_好きなのは俺の声だけ？ イジワル同期はとろあまボイスで愛を囁く")</f>
        <v>20240626_CLLENN_好きなのは俺の声だけ？ イジワル同期はとろあまボイスで愛を囁く</v>
      </c>
      <c r="T1716" s="67" t="str">
        <f>IFERROR(__xludf.DUMMYFUNCTION("""COMPUTED_VALUE"""),"格納済み")</f>
        <v>格納済み</v>
      </c>
      <c r="U1716" s="15" t="str">
        <f>IFERROR(__xludf.DUMMYFUNCTION("""COMPUTED_VALUE"""),"ⓒ颯一郎/CLLENN")</f>
        <v>ⓒ颯一郎/CLLENN</v>
      </c>
      <c r="V1716" s="8" t="str">
        <f>IFERROR(__xludf.DUMMYFUNCTION("""COMPUTED_VALUE"""),"「藤野可愛い…もっと俺で感じてほしい」囁く声も、愛撫もキスも頭クラクラするくらい全部きもちいい――仕事に励む詩の癒しは推し・「テルさん」の配信！ある日、詩にだけ意地悪な同期の塚倉くんに不意にかけられた声が大好きな「テルさん」とリンクして…！一か八かで尋ねてみると、推しの正体はなんと塚倉くんだった！収録現場を見学させてもらえることになりテンションが上がった詩は、推しへの溢れる想いを塚倉くんに伝え…「そういうこと言われると自分が抑えられなくなる」いきなり唇を奪われ、アソコがとろとろになるまで弱いところを舐めら"&amp;"れて…推しと身体の関係なんてだめなのに…大好きなその声で囁かれたら、もう抗えない…！")</f>
        <v>「藤野可愛い…もっと俺で感じてほしい」囁く声も、愛撫もキスも頭クラクラするくらい全部きもちいい――仕事に励む詩の癒しは推し・「テルさん」の配信！ある日、詩にだけ意地悪な同期の塚倉くんに不意にかけられた声が大好きな「テルさん」とリンクして…！一か八かで尋ねてみると、推しの正体はなんと塚倉くんだった！収録現場を見学させてもらえることになりテンションが上がった詩は、推しへの溢れる想いを塚倉くんに伝え…「そういうこと言われると自分が抑えられなくなる」いきなり唇を奪われ、アソコがとろとろになるまで弱いところを舐められて…推しと身体の関係なんてだめなのに…大好きなその声で囁かれたら、もう抗えない…！</v>
      </c>
      <c r="W1716" s="14"/>
      <c r="X1716" s="14" t="str">
        <f>IFERROR(__xludf.DUMMYFUNCTION("""COMPUTED_VALUE"""),"有")</f>
        <v>有</v>
      </c>
      <c r="Y1716" s="8" t="str">
        <f>IFERROR(__xludf.DUMMYFUNCTION("""COMPUTED_VALUE"""),"P10まで")</f>
        <v>P10まで</v>
      </c>
      <c r="Z1716" s="7"/>
      <c r="AA1716" s="7"/>
      <c r="AB1716" s="7"/>
    </row>
    <row r="1717" ht="15.75" customHeight="1">
      <c r="A1717" s="66">
        <f>IFERROR(__xludf.DUMMYFUNCTION("""COMPUTED_VALUE"""),3431.0)</f>
        <v>3431</v>
      </c>
      <c r="B1717" s="67" t="str">
        <f>IFERROR(__xludf.DUMMYFUNCTION("""COMPUTED_VALUE"""),"確定")</f>
        <v>確定</v>
      </c>
      <c r="C1717" s="68">
        <f>IFERROR(__xludf.DUMMYFUNCTION("""COMPUTED_VALUE"""),45428.0)</f>
        <v>45428</v>
      </c>
      <c r="D1717" s="68">
        <f>IFERROR(__xludf.DUMMYFUNCTION("""COMPUTED_VALUE"""),45475.0)</f>
        <v>45475</v>
      </c>
      <c r="E1717" s="31">
        <f>IFERROR(__xludf.DUMMYFUNCTION("""COMPUTED_VALUE"""),296829.0)</f>
        <v>296829</v>
      </c>
      <c r="F1717" s="22" t="str">
        <f>IFERROR(__xludf.DUMMYFUNCTION("""COMPUTED_VALUE"""),"溺愛の虜～人魚の王に変えられるカラダ～")</f>
        <v>溺愛の虜～人魚の王に変えられるカラダ～</v>
      </c>
      <c r="G1717" s="69">
        <f>IFERROR(__xludf.DUMMYFUNCTION("""COMPUTED_VALUE"""),1.0)</f>
        <v>1</v>
      </c>
      <c r="H1717" s="67" t="str">
        <f>IFERROR(__xludf.DUMMYFUNCTION("""COMPUTED_VALUE"""),"エルトリア")</f>
        <v>エルトリア</v>
      </c>
      <c r="I1717" s="67" t="str">
        <f>IFERROR(__xludf.DUMMYFUNCTION("""COMPUTED_VALUE"""),"TL")</f>
        <v>TL</v>
      </c>
      <c r="J1717" s="67"/>
      <c r="K1717" s="67"/>
      <c r="L1717" s="67" t="str">
        <f>IFERROR(__xludf.DUMMYFUNCTION("""COMPUTED_VALUE"""),"CLLENN")</f>
        <v>CLLENN</v>
      </c>
      <c r="M1717" s="23">
        <f>IFERROR(__xludf.DUMMYFUNCTION("""COMPUTED_VALUE"""),45487.0)</f>
        <v>45487</v>
      </c>
      <c r="N1717" s="23">
        <f>IFERROR(__xludf.DUMMYFUNCTION("""COMPUTED_VALUE"""),45542.0)</f>
        <v>45542</v>
      </c>
      <c r="O1717" s="69"/>
      <c r="P1717" s="70" t="str">
        <f>IFERROR(__xludf.DUMMYFUNCTION("""COMPUTED_VALUE"""),"可")</f>
        <v>可</v>
      </c>
      <c r="Q1717" s="67" t="str">
        <f>IFERROR(__xludf.DUMMYFUNCTION("""COMPUTED_VALUE"""),"広告コミットOK(5/23)&lt;BR&gt;レーベル名：TLオトメチカ")</f>
        <v>広告コミットOK(5/23)&lt;BR&gt;レーベル名：TLオトメチカ</v>
      </c>
      <c r="R1717" s="67" t="str">
        <f>IFERROR(__xludf.DUMMYFUNCTION("""COMPUTED_VALUE"""),"格納済")</f>
        <v>格納済</v>
      </c>
      <c r="S1717" s="67" t="str">
        <f>IFERROR(__xludf.DUMMYFUNCTION("""COMPUTED_VALUE"""),"20240626_CLLENN_溺愛の虜～人魚の王に変えられるカラダ～")</f>
        <v>20240626_CLLENN_溺愛の虜～人魚の王に変えられるカラダ～</v>
      </c>
      <c r="T1717" s="67" t="str">
        <f>IFERROR(__xludf.DUMMYFUNCTION("""COMPUTED_VALUE"""),"格納済み")</f>
        <v>格納済み</v>
      </c>
      <c r="U1717" s="15" t="str">
        <f>IFERROR(__xludf.DUMMYFUNCTION("""COMPUTED_VALUE"""),"ⓒエルトリア/CLLENN")</f>
        <v>ⓒエルトリア/CLLENN</v>
      </c>
      <c r="V1717" s="8" t="str">
        <f>IFERROR(__xludf.DUMMYFUNCTION("""COMPUTED_VALUE"""),"「お前はもう、俺のものだ」何度もナカを押し広げられ、その瞳に見つめられると、身も心も溺れて虜になってしまう…。――政略結婚のため異国の地へ向かう船路の最中、嵐に見舞われ海に投げ出されたソフィア。彼女を助けたのは海を統べる人魚の王・シリルだった。　お礼にその身を求められたソフィアは、美しい彼に魅せられるまま自らを差し出すことに。「これからお前の身体を作り替える。」二人きりの海底で、初めて与えられる蕩けるような快感。優しい指先が触れるたび、次第に快感は増していく。深く何度も穿たれ、この甘く激しい熱を知ってしま"&amp;"ったら、もう逃れられない――。")</f>
        <v>「お前はもう、俺のものだ」何度もナカを押し広げられ、その瞳に見つめられると、身も心も溺れて虜になってしまう…。――政略結婚のため異国の地へ向かう船路の最中、嵐に見舞われ海に投げ出されたソフィア。彼女を助けたのは海を統べる人魚の王・シリルだった。　お礼にその身を求められたソフィアは、美しい彼に魅せられるまま自らを差し出すことに。「これからお前の身体を作り替える。」二人きりの海底で、初めて与えられる蕩けるような快感。優しい指先が触れるたび、次第に快感は増していく。深く何度も穿たれ、この甘く激しい熱を知ってしまったら、もう逃れられない――。</v>
      </c>
      <c r="W1717" s="14"/>
      <c r="X1717" s="14" t="str">
        <f>IFERROR(__xludf.DUMMYFUNCTION("""COMPUTED_VALUE"""),"有")</f>
        <v>有</v>
      </c>
      <c r="Y1717" s="8" t="str">
        <f>IFERROR(__xludf.DUMMYFUNCTION("""COMPUTED_VALUE"""),"P10まで")</f>
        <v>P10まで</v>
      </c>
      <c r="Z1717" s="7"/>
      <c r="AA1717" s="7"/>
      <c r="AB1717" s="7"/>
    </row>
    <row r="1718" ht="15.75" customHeight="1">
      <c r="A1718" s="66">
        <f>IFERROR(__xludf.DUMMYFUNCTION("""COMPUTED_VALUE"""),3466.0)</f>
        <v>3466</v>
      </c>
      <c r="B1718" s="67" t="str">
        <f>IFERROR(__xludf.DUMMYFUNCTION("""COMPUTED_VALUE"""),"確定")</f>
        <v>確定</v>
      </c>
      <c r="C1718" s="68">
        <f>IFERROR(__xludf.DUMMYFUNCTION("""COMPUTED_VALUE"""),45433.0)</f>
        <v>45433</v>
      </c>
      <c r="D1718" s="68">
        <f>IFERROR(__xludf.DUMMYFUNCTION("""COMPUTED_VALUE"""),45475.0)</f>
        <v>45475</v>
      </c>
      <c r="E1718" s="31">
        <f>IFERROR(__xludf.DUMMYFUNCTION("""COMPUTED_VALUE"""),297558.0)</f>
        <v>297558</v>
      </c>
      <c r="F1718" s="46" t="str">
        <f>IFERROR(__xludf.DUMMYFUNCTION("""COMPUTED_VALUE"""),"怪怪ネタミくん【単話版】")</f>
        <v>怪怪ネタミくん【単話版】</v>
      </c>
      <c r="G1718" s="69" t="str">
        <f>IFERROR(__xludf.DUMMYFUNCTION("""COMPUTED_VALUE"""),"1～5")</f>
        <v>1～5</v>
      </c>
      <c r="H1718" s="67" t="str">
        <f>IFERROR(__xludf.DUMMYFUNCTION("""COMPUTED_VALUE"""),"toshiko")</f>
        <v>toshiko</v>
      </c>
      <c r="I1718" s="67" t="str">
        <f>IFERROR(__xludf.DUMMYFUNCTION("""COMPUTED_VALUE"""),"青年")</f>
        <v>青年</v>
      </c>
      <c r="J1718" s="67"/>
      <c r="K1718" s="67"/>
      <c r="L1718" s="67" t="str">
        <f>IFERROR(__xludf.DUMMYFUNCTION("""COMPUTED_VALUE"""),"デジタルカタパルト（デジカタ編集部）")</f>
        <v>デジタルカタパルト（デジカタ編集部）</v>
      </c>
      <c r="M1718" s="23">
        <f>IFERROR(__xludf.DUMMYFUNCTION("""COMPUTED_VALUE"""),45492.0)</f>
        <v>45492</v>
      </c>
      <c r="N1718" s="77">
        <f>IFERROR(__xludf.DUMMYFUNCTION("""COMPUTED_VALUE"""),45582.0)</f>
        <v>45582</v>
      </c>
      <c r="O1718" s="69"/>
      <c r="P1718" s="70" t="str">
        <f>IFERROR(__xludf.DUMMYFUNCTION("""COMPUTED_VALUE"""),"可")</f>
        <v>可</v>
      </c>
      <c r="Q1718" s="67" t="str">
        <f>IFERROR(__xludf.DUMMYFUNCTION("""COMPUTED_VALUE"""),"広告コミットOK(5/28)")</f>
        <v>広告コミットOK(5/28)</v>
      </c>
      <c r="R1718" s="67" t="str">
        <f>IFERROR(__xludf.DUMMYFUNCTION("""COMPUTED_VALUE"""),"格納済み")</f>
        <v>格納済み</v>
      </c>
      <c r="S1718" s="67" t="str">
        <f>IFERROR(__xludf.DUMMYFUNCTION("""COMPUTED_VALUE"""),"20240701_デジタルカタパルト_怪怪ネタミくん")</f>
        <v>20240701_デジタルカタパルト_怪怪ネタミくん</v>
      </c>
      <c r="T1718" s="67" t="str">
        <f>IFERROR(__xludf.DUMMYFUNCTION("""COMPUTED_VALUE"""),"格納済み")</f>
        <v>格納済み</v>
      </c>
      <c r="U1718" s="15" t="str">
        <f>IFERROR(__xludf.DUMMYFUNCTION("""COMPUTED_VALUE"""),"©toshiko / デジカタ編集部")</f>
        <v>©toshiko / デジカタ編集部</v>
      </c>
      <c r="V1718" s="8" t="str">
        <f>IFERROR(__xludf.DUMMYFUNCTION("""COMPUTED_VALUE"""),"兎に角、人を妬まずにはいられない普通の！？高校生のネタミくん。ネタミくんの妬み心が頂点になると、摩訶不思議な事が起こるんです。それは悪魔の仕業か、妖怪の仕業か、はたまた、神のイタズラなのか？！それは誰にも解らない。それがネタミくんなのです。そんなネタミくんが巻き起こすホラーなのに、くすっと笑える作品です！")</f>
        <v>兎に角、人を妬まずにはいられない普通の！？高校生のネタミくん。ネタミくんの妬み心が頂点になると、摩訶不思議な事が起こるんです。それは悪魔の仕業か、妖怪の仕業か、はたまた、神のイタズラなのか？！それは誰にも解らない。それがネタミくんなのです。そんなネタミくんが巻き起こすホラーなのに、くすっと笑える作品です！</v>
      </c>
      <c r="W1718" s="14"/>
      <c r="X1718" s="14" t="str">
        <f>IFERROR(__xludf.DUMMYFUNCTION("""COMPUTED_VALUE"""),"有")</f>
        <v>有</v>
      </c>
      <c r="Y1718" s="8" t="str">
        <f>IFERROR(__xludf.DUMMYFUNCTION("""COMPUTED_VALUE"""),"P12まで")</f>
        <v>P12まで</v>
      </c>
      <c r="Z1718" s="7"/>
      <c r="AA1718" s="7"/>
      <c r="AB1718" s="7"/>
    </row>
    <row r="1719" ht="15.75" customHeight="1">
      <c r="A1719" s="66">
        <f>IFERROR(__xludf.DUMMYFUNCTION("""COMPUTED_VALUE"""),3575.0)</f>
        <v>3575</v>
      </c>
      <c r="B1719" s="67" t="str">
        <f>IFERROR(__xludf.DUMMYFUNCTION("""COMPUTED_VALUE"""),"確定")</f>
        <v>確定</v>
      </c>
      <c r="C1719" s="68">
        <f>IFERROR(__xludf.DUMMYFUNCTION("""COMPUTED_VALUE"""),45447.0)</f>
        <v>45447</v>
      </c>
      <c r="D1719" s="68">
        <f>IFERROR(__xludf.DUMMYFUNCTION("""COMPUTED_VALUE"""),45475.0)</f>
        <v>45475</v>
      </c>
      <c r="E1719" s="31">
        <f>IFERROR(__xludf.DUMMYFUNCTION("""COMPUTED_VALUE"""),297380.0)</f>
        <v>297380</v>
      </c>
      <c r="F1719" s="22" t="str">
        <f>IFERROR(__xludf.DUMMYFUNCTION("""COMPUTED_VALUE"""),"孕むまで抱くから覚悟しろ～転生先で処女を捧げたら溺愛Hルートに突入しました!?～")</f>
        <v>孕むまで抱くから覚悟しろ～転生先で処女を捧げたら溺愛Hルートに突入しました!?～</v>
      </c>
      <c r="G1719" s="11" t="str">
        <f>IFERROR(__xludf.DUMMYFUNCTION("""COMPUTED_VALUE"""),"1～2")</f>
        <v>1～2</v>
      </c>
      <c r="H1719" s="67" t="str">
        <f>IFERROR(__xludf.DUMMYFUNCTION("""COMPUTED_VALUE"""),"速瀬みさき")</f>
        <v>速瀬みさき</v>
      </c>
      <c r="I1719" s="67" t="str">
        <f>IFERROR(__xludf.DUMMYFUNCTION("""COMPUTED_VALUE"""),"TL")</f>
        <v>TL</v>
      </c>
      <c r="J1719" s="67"/>
      <c r="K1719" s="67"/>
      <c r="L1719" s="67" t="str">
        <f>IFERROR(__xludf.DUMMYFUNCTION("""COMPUTED_VALUE"""),"CLLENN")</f>
        <v>CLLENN</v>
      </c>
      <c r="M1719" s="59">
        <f>IFERROR(__xludf.DUMMYFUNCTION("""COMPUTED_VALUE"""),45495.0)</f>
        <v>45495</v>
      </c>
      <c r="N1719" s="23">
        <f>IFERROR(__xludf.DUMMYFUNCTION("""COMPUTED_VALUE"""),45557.0)</f>
        <v>45557</v>
      </c>
      <c r="O1719" s="69"/>
      <c r="P1719" s="70" t="str">
        <f>IFERROR(__xludf.DUMMYFUNCTION("""COMPUTED_VALUE"""),"可")</f>
        <v>可</v>
      </c>
      <c r="Q1719" s="67" t="str">
        <f>IFERROR(__xludf.DUMMYFUNCTION("""COMPUTED_VALUE"""),"広告コミットOK(6/11)&lt;BR&gt;レーベル名：ウーコミ!kiss")</f>
        <v>広告コミットOK(6/11)&lt;BR&gt;レーベル名：ウーコミ!kiss</v>
      </c>
      <c r="R1719" s="67" t="str">
        <f>IFERROR(__xludf.DUMMYFUNCTION("""COMPUTED_VALUE"""),"格納済")</f>
        <v>格納済</v>
      </c>
      <c r="S1719" s="67" t="str">
        <f>IFERROR(__xludf.DUMMYFUNCTION("""COMPUTED_VALUE"""),"20240626_CLLENN_孕むまで抱くから覚悟しろ～転生先で処女を捧げたら溺愛Hルートに突入しました！？～")</f>
        <v>20240626_CLLENN_孕むまで抱くから覚悟しろ～転生先で処女を捧げたら溺愛Hルートに突入しました！？～</v>
      </c>
      <c r="T1719" s="67" t="str">
        <f>IFERROR(__xludf.DUMMYFUNCTION("""COMPUTED_VALUE"""),"格納済み")</f>
        <v>格納済み</v>
      </c>
      <c r="U1719" s="15" t="str">
        <f>IFERROR(__xludf.DUMMYFUNCTION("""COMPUTED_VALUE"""),"ⓒ速瀬みさき/CLLENN")</f>
        <v>ⓒ速瀬みさき/CLLENN</v>
      </c>
      <c r="V1719" s="8" t="str">
        <f>IFERROR(__xludf.DUMMYFUNCTION("""COMPUTED_VALUE"""),"「お前の乱れる姿、たまらないな」胸を吸われ、感じやすい耳を舐られて…また疼いちゃう！――初恋の相手にだまされたOLの私・茉莉花。傷心のまま事故に遭い、処女のまま人生が終わってしまった…と思ったら、直前までプレイしていた乙女ゲームの世界へ転生したみたい!?　とりあえず処刑ルートを回避するためグラナダ帝国へ嫁いだものの、相手は冷酷で塩対応な俺様系キャラ・エリック王子。ビジュアルだけはいいけど、展開も盛り上がらないしハズレなのよね…とがっかりしていたら、ゲームにはなかった初夜ルートに突入して…。服を剥ぎ取られて"&amp;"愛撫され、身体がビクビク反応してしまう。エリックは私を悪役令嬢・マリカだと思ってるけど、中身の茉莉花は処女なのに…！「狭いくせに深くていい穴だな」「これならすぐに子を孕むだろう」長くて大きいアレを、蜜で溢れるあそこにゆっくり何度も抜き差し。だんだん頭の奥が痺れてきて、痛いのか気持ちいいのかもわからない…。その日から毎晩続く甘いセックス、冷酷なはずだった彼もなんだか優しくて、いったい何が起きてるの？")</f>
        <v>「お前の乱れる姿、たまらないな」胸を吸われ、感じやすい耳を舐られて…また疼いちゃう！――初恋の相手にだまされたOLの私・茉莉花。傷心のまま事故に遭い、処女のまま人生が終わってしまった…と思ったら、直前までプレイしていた乙女ゲームの世界へ転生したみたい!?　とりあえず処刑ルートを回避するためグラナダ帝国へ嫁いだものの、相手は冷酷で塩対応な俺様系キャラ・エリック王子。ビジュアルだけはいいけど、展開も盛り上がらないしハズレなのよね…とがっかりしていたら、ゲームにはなかった初夜ルートに突入して…。服を剥ぎ取られて愛撫され、身体がビクビク反応してしまう。エリックは私を悪役令嬢・マリカだと思ってるけど、中身の茉莉花は処女なのに…！「狭いくせに深くていい穴だな」「これならすぐに子を孕むだろう」長くて大きいアレを、蜜で溢れるあそこにゆっくり何度も抜き差し。だんだん頭の奥が痺れてきて、痛いのか気持ちいいのかもわからない…。その日から毎晩続く甘いセックス、冷酷なはずだった彼もなんだか優しくて、いったい何が起きてるの？</v>
      </c>
      <c r="W1719" s="14"/>
      <c r="X1719" s="14" t="str">
        <f>IFERROR(__xludf.DUMMYFUNCTION("""COMPUTED_VALUE"""),"有")</f>
        <v>有</v>
      </c>
      <c r="Y1719" s="8" t="str">
        <f>IFERROR(__xludf.DUMMYFUNCTION("""COMPUTED_VALUE"""),"P10まで")</f>
        <v>P10まで</v>
      </c>
      <c r="Z1719" s="7"/>
      <c r="AA1719" s="7"/>
      <c r="AB1719" s="7"/>
    </row>
    <row r="1720" ht="15.75" customHeight="1">
      <c r="A1720" s="66">
        <f>IFERROR(__xludf.DUMMYFUNCTION("""COMPUTED_VALUE"""),3594.0)</f>
        <v>3594</v>
      </c>
      <c r="B1720" s="67" t="str">
        <f>IFERROR(__xludf.DUMMYFUNCTION("""COMPUTED_VALUE"""),"確定")</f>
        <v>確定</v>
      </c>
      <c r="C1720" s="68">
        <f>IFERROR(__xludf.DUMMYFUNCTION("""COMPUTED_VALUE"""),45449.0)</f>
        <v>45449</v>
      </c>
      <c r="D1720" s="68">
        <f>IFERROR(__xludf.DUMMYFUNCTION("""COMPUTED_VALUE"""),45475.0)</f>
        <v>45475</v>
      </c>
      <c r="E1720" s="31">
        <f>IFERROR(__xludf.DUMMYFUNCTION("""COMPUTED_VALUE"""),297519.0)</f>
        <v>297519</v>
      </c>
      <c r="F1720" s="46" t="str">
        <f>IFERROR(__xludf.DUMMYFUNCTION("""COMPUTED_VALUE"""),"αの息子、Ωの父親【タテヨミ】")</f>
        <v>αの息子、Ωの父親【タテヨミ】</v>
      </c>
      <c r="G1720" s="79" t="str">
        <f>IFERROR(__xludf.DUMMYFUNCTION("""COMPUTED_VALUE"""),"1～4")</f>
        <v>1～4</v>
      </c>
      <c r="H1720" s="67" t="str">
        <f>IFERROR(__xludf.DUMMYFUNCTION("""COMPUTED_VALUE"""),"Nokd┴LOVE┴ K-FireTinkerBL")</f>
        <v>Nokd┴LOVE┴ K-FireTinkerBL</v>
      </c>
      <c r="I1720" s="67" t="str">
        <f>IFERROR(__xludf.DUMMYFUNCTION("""COMPUTED_VALUE"""),"BL")</f>
        <v>BL</v>
      </c>
      <c r="J1720" s="67"/>
      <c r="K1720" s="67"/>
      <c r="L1720" s="67" t="str">
        <f>IFERROR(__xludf.DUMMYFUNCTION("""COMPUTED_VALUE"""),"Kmstudio")</f>
        <v>Kmstudio</v>
      </c>
      <c r="M1720" s="23">
        <f>IFERROR(__xludf.DUMMYFUNCTION("""COMPUTED_VALUE"""),45492.0)</f>
        <v>45492</v>
      </c>
      <c r="N1720" s="77">
        <f>IFERROR(__xludf.DUMMYFUNCTION("""COMPUTED_VALUE"""),45581.0)</f>
        <v>45581</v>
      </c>
      <c r="O1720" s="69"/>
      <c r="P1720" s="70" t="str">
        <f>IFERROR(__xludf.DUMMYFUNCTION("""COMPUTED_VALUE"""),"可")</f>
        <v>可</v>
      </c>
      <c r="Q1720" s="72" t="str">
        <f>IFERROR(__xludf.DUMMYFUNCTION("""COMPUTED_VALUE"""),"広告コミットOK(6/12)&lt;BR&gt;")</f>
        <v>広告コミットOK(6/12)&lt;BR&gt;</v>
      </c>
      <c r="R1720" s="67"/>
      <c r="S1720" s="67" t="str">
        <f>IFERROR(__xludf.DUMMYFUNCTION("""COMPUTED_VALUE"""),"20240628_Kmstudio_α(アルファ)の息子、Ω(オメガ)の父親")</f>
        <v>20240628_Kmstudio_α(アルファ)の息子、Ω(オメガ)の父親</v>
      </c>
      <c r="T1720" s="67" t="str">
        <f>IFERROR(__xludf.DUMMYFUNCTION("""COMPUTED_VALUE"""),"格納済み")</f>
        <v>格納済み</v>
      </c>
      <c r="U1720" s="15" t="str">
        <f>IFERROR(__xludf.DUMMYFUNCTION("""COMPUTED_VALUE"""),"ⓒNokd,LOVE,K-FireTinkerBL / ToonPlus ＆ KMstudio")</f>
        <v>ⓒNokd,LOVE,K-FireTinkerBL / ToonPlus ＆ KMstudio</v>
      </c>
      <c r="V1720" s="8" t="str">
        <f>IFERROR(__xludf.DUMMYFUNCTION("""COMPUTED_VALUE"""),"志恩(しおん)29歳の誕生日、結婚相手の泰雅(たいが)が柊也(しゅうや)という少年を連れてきた。
結婚生活の破綻とともに志恩と柊也は離れ離れになったが、10年の時を経て柊也が現れた。
｢俺… 刻印したんだ 父さんに…」と打ち明ける柊也にとまどう志恩。
刻印されればその人だけに反応する関係に。俺たちは親子じゃないか・・。
しかしその晩、大人になった柊也を想像しながら志恩は一人・・。そしてその翌日も…。
その様子を目撃した柊也は｢挿れてほしいんでしょ？｣と志恩に迫る。
｢俺の番(つがい)に"&amp;"なってよ｣
｢父さんのαは俺だ…｣
発情した柊也は本能のまま志恩を抱くことに。")</f>
        <v>志恩(しおん)29歳の誕生日、結婚相手の泰雅(たいが)が柊也(しゅうや)という少年を連れてきた。
結婚生活の破綻とともに志恩と柊也は離れ離れになったが、10年の時を経て柊也が現れた。
｢俺… 刻印したんだ 父さんに…」と打ち明ける柊也にとまどう志恩。
刻印されればその人だけに反応する関係に。俺たちは親子じゃないか・・。
しかしその晩、大人になった柊也を想像しながら志恩は一人・・。そしてその翌日も…。
その様子を目撃した柊也は｢挿れてほしいんでしょ？｣と志恩に迫る。
｢俺の番(つがい)になってよ｣
｢父さんのαは俺だ…｣
発情した柊也は本能のまま志恩を抱くことに。</v>
      </c>
      <c r="W1720" s="14"/>
      <c r="X1720" s="14" t="str">
        <f>IFERROR(__xludf.DUMMYFUNCTION("""COMPUTED_VALUE"""),"有")</f>
        <v>有</v>
      </c>
      <c r="Y1720" s="8" t="str">
        <f>IFERROR(__xludf.DUMMYFUNCTION("""COMPUTED_VALUE"""),"2024/10/16まで1巻無料")</f>
        <v>2024/10/16まで1巻無料</v>
      </c>
      <c r="Z1720" s="7"/>
      <c r="AA1720" s="7"/>
      <c r="AB1720" s="7"/>
    </row>
    <row r="1721" ht="15.75" customHeight="1">
      <c r="A1721" s="66">
        <f>IFERROR(__xludf.DUMMYFUNCTION("""COMPUTED_VALUE"""),3597.0)</f>
        <v>3597</v>
      </c>
      <c r="B1721" s="67" t="str">
        <f>IFERROR(__xludf.DUMMYFUNCTION("""COMPUTED_VALUE"""),"確定")</f>
        <v>確定</v>
      </c>
      <c r="C1721" s="68">
        <f>IFERROR(__xludf.DUMMYFUNCTION("""COMPUTED_VALUE"""),45449.0)</f>
        <v>45449</v>
      </c>
      <c r="D1721" s="68">
        <f>IFERROR(__xludf.DUMMYFUNCTION("""COMPUTED_VALUE"""),45476.0)</f>
        <v>45476</v>
      </c>
      <c r="E1721" s="31">
        <f>IFERROR(__xludf.DUMMYFUNCTION("""COMPUTED_VALUE"""),297524.0)</f>
        <v>297524</v>
      </c>
      <c r="F1721" s="46" t="str">
        <f>IFERROR(__xludf.DUMMYFUNCTION("""COMPUTED_VALUE"""),"【タテヨミ】オーバー・ザ・パラダイス 君と僕の世界の果てに")</f>
        <v>【タテヨミ】オーバー・ザ・パラダイス 君と僕の世界の果てに</v>
      </c>
      <c r="G1721" s="11" t="str">
        <f>IFERROR(__xludf.DUMMYFUNCTION("""COMPUTED_VALUE"""),"1～15")</f>
        <v>1～15</v>
      </c>
      <c r="H1721" s="67" t="str">
        <f>IFERROR(__xludf.DUMMYFUNCTION("""COMPUTED_VALUE"""),"MutSugaｒ")</f>
        <v>MutSugaｒ</v>
      </c>
      <c r="I1721" s="67" t="str">
        <f>IFERROR(__xludf.DUMMYFUNCTION("""COMPUTED_VALUE"""),"BL")</f>
        <v>BL</v>
      </c>
      <c r="J1721" s="67"/>
      <c r="K1721" s="67"/>
      <c r="L1721" s="67" t="str">
        <f>IFERROR(__xludf.DUMMYFUNCTION("""COMPUTED_VALUE"""),"Kmstudio")</f>
        <v>Kmstudio</v>
      </c>
      <c r="M1721" s="23">
        <f>IFERROR(__xludf.DUMMYFUNCTION("""COMPUTED_VALUE"""),45492.0)</f>
        <v>45492</v>
      </c>
      <c r="N1721" s="77">
        <f>IFERROR(__xludf.DUMMYFUNCTION("""COMPUTED_VALUE"""),45581.0)</f>
        <v>45581</v>
      </c>
      <c r="O1721" s="69"/>
      <c r="P1721" s="70" t="str">
        <f>IFERROR(__xludf.DUMMYFUNCTION("""COMPUTED_VALUE"""),"可")</f>
        <v>可</v>
      </c>
      <c r="Q1721" s="72" t="str">
        <f>IFERROR(__xludf.DUMMYFUNCTION("""COMPUTED_VALUE"""),"広告コミットOK(6/12)")</f>
        <v>広告コミットOK(6/12)</v>
      </c>
      <c r="R1721" s="67"/>
      <c r="S1721" s="67" t="str">
        <f>IFERROR(__xludf.DUMMYFUNCTION("""COMPUTED_VALUE"""),"20240702_Kmstudio_オーバー・ザ・パラダイス 君と僕の世界の果てに")</f>
        <v>20240702_Kmstudio_オーバー・ザ・パラダイス 君と僕の世界の果てに</v>
      </c>
      <c r="T1721" s="67" t="str">
        <f>IFERROR(__xludf.DUMMYFUNCTION("""COMPUTED_VALUE"""),"格納済み")</f>
        <v>格納済み</v>
      </c>
      <c r="U1721" s="15" t="str">
        <f>IFERROR(__xludf.DUMMYFUNCTION("""COMPUTED_VALUE"""),"ⓒ Mat Sugar / Polarfox ＆ KMstudio")</f>
        <v>ⓒ Mat Sugar / Polarfox ＆ KMstudio</v>
      </c>
      <c r="V1721" s="8" t="str">
        <f>IFERROR(__xludf.DUMMYFUNCTION("""COMPUTED_VALUE"""),"U-20ウィルスが全世界に蔓延。
尚希(なおき)は準(じゅん)をかばって感染したゾンビにかまれてしまう。
「ゾンビになるのがこわいんだ。準、お願いだから僕を殺してくれないか？」
「そんなことできるわけない！こんなに温かいのに…」
大きな爆発音と共に準の目の前から尚希の姿が消えてしまった…
10年後
感染者前の生存者救出を任務とするエスパーの準(じゅん)はSクラスの能力者。
しかしその忙しさにかまけてガイドとの接触を怠っていた。
エスパーは定期的にガイドと接触しないと自身のコントロールがきか"&amp;"なくなり暴走する危険がある。
そんな準のもとに新人ガイドの尚希が派遣されることに。
そう…あの時感染し消えたはずの尚希は、10年前と同じ姿で準のもとに現れた。
尚希は成長した準に気づかない様子。
戸惑いを隠せない準は二人きりのキャンプ地で尚希にキスをしてしまう…")</f>
        <v>U-20ウィルスが全世界に蔓延。
尚希(なおき)は準(じゅん)をかばって感染したゾンビにかまれてしまう。
「ゾンビになるのがこわいんだ。準、お願いだから僕を殺してくれないか？」
「そんなことできるわけない！こんなに温かいのに…」
大きな爆発音と共に準の目の前から尚希の姿が消えてしまった…
10年後
感染者前の生存者救出を任務とするエスパーの準(じゅん)はSクラスの能力者。
しかしその忙しさにかまけてガイドとの接触を怠っていた。
エスパーは定期的にガイドと接触しないと自身のコントロールがきかなくなり暴走する危険がある。
そんな準のもとに新人ガイドの尚希が派遣されることに。
そう…あの時感染し消えたはずの尚希は、10年前と同じ姿で準のもとに現れた。
尚希は成長した準に気づかない様子。
戸惑いを隠せない準は二人きりのキャンプ地で尚希にキスをしてしまう…</v>
      </c>
      <c r="W1721" s="14"/>
      <c r="X1721" s="14" t="str">
        <f>IFERROR(__xludf.DUMMYFUNCTION("""COMPUTED_VALUE"""),"有")</f>
        <v>有</v>
      </c>
      <c r="Y1721" s="8" t="str">
        <f>IFERROR(__xludf.DUMMYFUNCTION("""COMPUTED_VALUE"""),"2024/10/16まで1巻無料")</f>
        <v>2024/10/16まで1巻無料</v>
      </c>
      <c r="Z1721" s="7"/>
      <c r="AA1721" s="7"/>
      <c r="AB1721" s="7"/>
    </row>
    <row r="1722" ht="15.75" customHeight="1">
      <c r="A1722" s="66">
        <f>IFERROR(__xludf.DUMMYFUNCTION("""COMPUTED_VALUE"""),3598.0)</f>
        <v>3598</v>
      </c>
      <c r="B1722" s="67" t="str">
        <f>IFERROR(__xludf.DUMMYFUNCTION("""COMPUTED_VALUE"""),"確定")</f>
        <v>確定</v>
      </c>
      <c r="C1722" s="68">
        <f>IFERROR(__xludf.DUMMYFUNCTION("""COMPUTED_VALUE"""),45449.0)</f>
        <v>45449</v>
      </c>
      <c r="D1722" s="68">
        <f>IFERROR(__xludf.DUMMYFUNCTION("""COMPUTED_VALUE"""),45476.0)</f>
        <v>45476</v>
      </c>
      <c r="E1722" s="31">
        <f>IFERROR(__xludf.DUMMYFUNCTION("""COMPUTED_VALUE"""),297335.0)</f>
        <v>297335</v>
      </c>
      <c r="F1722" s="46" t="str">
        <f>IFERROR(__xludf.DUMMYFUNCTION("""COMPUTED_VALUE"""),"【タテヨミ】おしりクリニック匿名掲示板")</f>
        <v>【タテヨミ】おしりクリニック匿名掲示板</v>
      </c>
      <c r="G1722" s="69" t="str">
        <f>IFERROR(__xludf.DUMMYFUNCTION("""COMPUTED_VALUE"""),"1～17")</f>
        <v>1～17</v>
      </c>
      <c r="H1722" s="67" t="str">
        <f>IFERROR(__xludf.DUMMYFUNCTION("""COMPUTED_VALUE"""),"songmool┴seuing┴smilecandybar")</f>
        <v>songmool┴seuing┴smilecandybar</v>
      </c>
      <c r="I1722" s="67" t="str">
        <f>IFERROR(__xludf.DUMMYFUNCTION("""COMPUTED_VALUE"""),"BL")</f>
        <v>BL</v>
      </c>
      <c r="J1722" s="67"/>
      <c r="K1722" s="67"/>
      <c r="L1722" s="67" t="str">
        <f>IFERROR(__xludf.DUMMYFUNCTION("""COMPUTED_VALUE"""),"Kmstudio")</f>
        <v>Kmstudio</v>
      </c>
      <c r="M1722" s="23">
        <f>IFERROR(__xludf.DUMMYFUNCTION("""COMPUTED_VALUE"""),45481.0)</f>
        <v>45481</v>
      </c>
      <c r="N1722" s="23">
        <f>IFERROR(__xludf.DUMMYFUNCTION("""COMPUTED_VALUE"""),45570.0)</f>
        <v>45570</v>
      </c>
      <c r="O1722" s="69"/>
      <c r="P1722" s="71" t="str">
        <f>IFERROR(__xludf.DUMMYFUNCTION("""COMPUTED_VALUE"""),"可")</f>
        <v>可</v>
      </c>
      <c r="Q1722" s="72"/>
      <c r="R1722" s="67"/>
      <c r="S1722" s="67" t="str">
        <f>IFERROR(__xludf.DUMMYFUNCTION("""COMPUTED_VALUE"""),"20240702_Kmstudio_おしりクリニック匿名掲示板")</f>
        <v>20240702_Kmstudio_おしりクリニック匿名掲示板</v>
      </c>
      <c r="T1722" s="67" t="str">
        <f>IFERROR(__xludf.DUMMYFUNCTION("""COMPUTED_VALUE"""),"格納済み")</f>
        <v>格納済み</v>
      </c>
      <c r="U1722" s="15" t="str">
        <f>IFERROR(__xludf.DUMMYFUNCTION("""COMPUTED_VALUE"""),"ⓒsongmool,seuing,smile candy bar/ ToonPlus ＆ KMstudio")</f>
        <v>ⓒsongmool,seuing,smile candy bar/ ToonPlus ＆ KMstudio</v>
      </c>
      <c r="V1722" s="8" t="str">
        <f>IFERROR(__xludf.DUMMYFUNCTION("""COMPUTED_VALUE"""),"とある肛門外科の匿名掲示版
日々、肛門の悩みを抱える人々のせきららな相談が投稿される
相談事例-１【20代 大学生】
自分…先日スポーツセラピストのバイト募集があって面接に行ったんですけど
なんか女の下着みたいなの着せられてマッサージしろって言われて…。
違約金は契約金の5倍だって脅されたから仕方なく…
客はかなり有名な神田(かんだ)っていうサッカー選手だったんですけど…
最終的にもう1人現れて３Pになっちゃうって、やばいですよね…？
「神田さん そこは俺の尻の穴です！間違えてますよ！"&amp;"」
「うるせぇな…　間違えてねぇよっ！」
こんなバイト辞めてやる…
神田さんのマッサージの後ぐったりしていると、別の男が現れて優しく体中を拭いてくれた。
「まったくあの野郎、ドバドバ出しやがって…」
「海外でプレイしてるからってキャプテンかよ！」
と荒い口調で神田さんの悪口を言い出した。どうやらこの人もサッカー選手らしい…
するとすると
「コンコン」と、アレで穴の付近を優しくノックし
「失礼しま～す！」と俺の穴に…")</f>
        <v>とある肛門外科の匿名掲示版
日々、肛門の悩みを抱える人々のせきららな相談が投稿される
相談事例-１【20代 大学生】
自分…先日スポーツセラピストのバイト募集があって面接に行ったんですけど
なんか女の下着みたいなの着せられてマッサージしろって言われて…。
違約金は契約金の5倍だって脅されたから仕方なく…
客はかなり有名な神田(かんだ)っていうサッカー選手だったんですけど…
最終的にもう1人現れて３Pになっちゃうって、やばいですよね…？
「神田さん そこは俺の尻の穴です！間違えてますよ！」
「うるせぇな…　間違えてねぇよっ！」
こんなバイト辞めてやる…
神田さんのマッサージの後ぐったりしていると、別の男が現れて優しく体中を拭いてくれた。
「まったくあの野郎、ドバドバ出しやがって…」
「海外でプレイしてるからってキャプテンかよ！」
と荒い口調で神田さんの悪口を言い出した。どうやらこの人もサッカー選手らしい…
するとすると
「コンコン」と、アレで穴の付近を優しくノックし
「失礼しま～す！」と俺の穴に…</v>
      </c>
      <c r="W1722" s="14"/>
      <c r="X1722" s="14" t="str">
        <f>IFERROR(__xludf.DUMMYFUNCTION("""COMPUTED_VALUE"""),"有")</f>
        <v>有</v>
      </c>
      <c r="Y1722" s="8" t="str">
        <f>IFERROR(__xludf.DUMMYFUNCTION("""COMPUTED_VALUE"""),"2024/10/5まで1巻無料")</f>
        <v>2024/10/5まで1巻無料</v>
      </c>
      <c r="Z1722" s="7"/>
      <c r="AA1722" s="7"/>
      <c r="AB1722" s="7"/>
    </row>
    <row r="1723" ht="15.75" customHeight="1">
      <c r="A1723" s="66">
        <f>IFERROR(__xludf.DUMMYFUNCTION("""COMPUTED_VALUE"""),3599.0)</f>
        <v>3599</v>
      </c>
      <c r="B1723" s="67" t="str">
        <f>IFERROR(__xludf.DUMMYFUNCTION("""COMPUTED_VALUE"""),"確定")</f>
        <v>確定</v>
      </c>
      <c r="C1723" s="68">
        <f>IFERROR(__xludf.DUMMYFUNCTION("""COMPUTED_VALUE"""),45449.0)</f>
        <v>45449</v>
      </c>
      <c r="D1723" s="68">
        <f>IFERROR(__xludf.DUMMYFUNCTION("""COMPUTED_VALUE"""),45476.0)</f>
        <v>45476</v>
      </c>
      <c r="E1723" s="31">
        <f>IFERROR(__xludf.DUMMYFUNCTION("""COMPUTED_VALUE"""),297520.0)</f>
        <v>297520</v>
      </c>
      <c r="F1723" s="46" t="str">
        <f>IFERROR(__xludf.DUMMYFUNCTION("""COMPUTED_VALUE"""),"クズの調教【タテヨミ】")</f>
        <v>クズの調教【タテヨミ】</v>
      </c>
      <c r="G1723" s="20" t="str">
        <f>IFERROR(__xludf.DUMMYFUNCTION("""COMPUTED_VALUE"""),"1～8")</f>
        <v>1～8</v>
      </c>
      <c r="H1723" s="67" t="str">
        <f>IFERROR(__xludf.DUMMYFUNCTION("""COMPUTED_VALUE"""),"SADOL┴Z-ZoneLeeserin┴ LOVE")</f>
        <v>SADOL┴Z-ZoneLeeserin┴ LOVE</v>
      </c>
      <c r="I1723" s="67" t="str">
        <f>IFERROR(__xludf.DUMMYFUNCTION("""COMPUTED_VALUE"""),"BL")</f>
        <v>BL</v>
      </c>
      <c r="J1723" s="67"/>
      <c r="K1723" s="67"/>
      <c r="L1723" s="67" t="str">
        <f>IFERROR(__xludf.DUMMYFUNCTION("""COMPUTED_VALUE"""),"Kmstudio")</f>
        <v>Kmstudio</v>
      </c>
      <c r="M1723" s="23">
        <f>IFERROR(__xludf.DUMMYFUNCTION("""COMPUTED_VALUE"""),45492.0)</f>
        <v>45492</v>
      </c>
      <c r="N1723" s="77">
        <f>IFERROR(__xludf.DUMMYFUNCTION("""COMPUTED_VALUE"""),45581.0)</f>
        <v>45581</v>
      </c>
      <c r="O1723" s="69"/>
      <c r="P1723" s="70" t="str">
        <f>IFERROR(__xludf.DUMMYFUNCTION("""COMPUTED_VALUE"""),"可")</f>
        <v>可</v>
      </c>
      <c r="Q1723" s="72" t="str">
        <f>IFERROR(__xludf.DUMMYFUNCTION("""COMPUTED_VALUE"""),"広告コミットOK(6/12)")</f>
        <v>広告コミットOK(6/12)</v>
      </c>
      <c r="R1723" s="67"/>
      <c r="S1723" s="67" t="str">
        <f>IFERROR(__xludf.DUMMYFUNCTION("""COMPUTED_VALUE"""),"20240702_Kmstudio_クズの調教")</f>
        <v>20240702_Kmstudio_クズの調教</v>
      </c>
      <c r="T1723" s="67" t="str">
        <f>IFERROR(__xludf.DUMMYFUNCTION("""COMPUTED_VALUE"""),"格納済み")</f>
        <v>格納済み</v>
      </c>
      <c r="U1723" s="15" t="str">
        <f>IFERROR(__xludf.DUMMYFUNCTION("""COMPUTED_VALUE"""),"ⓒSADOL,LOVE,Z-Zone Leeserin/ ToonPlus ＆ KMstudio")</f>
        <v>ⓒSADOL,LOVE,Z-Zone Leeserin/ ToonPlus ＆ KMstudio</v>
      </c>
      <c r="V1723" s="8" t="str">
        <f>IFERROR(__xludf.DUMMYFUNCTION("""COMPUTED_VALUE"""),"パワハラが原因で大学教授の職を解かれた夏木(なつき)。
ギャンブルで作った借金は3千万。
取り立てに追われ殴られて……。目を覚ました夏木は、すっ裸で拘束されていた。
拉致を命令したのはかつて家庭教師をしていた詩弦(しづる)。
「オレ 先生のこと買ったから」
多額の借金も肩代わりしてくれるという。
彼は自分のモノにした夏木のあそこを クニクニ…クチュクチュ…
「先生 いい穴ですね。なでただけで噴水状態だ」
穴という穴に快楽を与えられ、どうしようもなく崩れた落ちてしまった夏木。
軟禁状態から"&amp;"逃げ出すため、従順を装い詩弦の油断を誘うが逃亡は失敗。さらにハードな罰を受け夏木は買主の意のままになっていく…。")</f>
        <v>パワハラが原因で大学教授の職を解かれた夏木(なつき)。
ギャンブルで作った借金は3千万。
取り立てに追われ殴られて……。目を覚ました夏木は、すっ裸で拘束されていた。
拉致を命令したのはかつて家庭教師をしていた詩弦(しづる)。
「オレ 先生のこと買ったから」
多額の借金も肩代わりしてくれるという。
彼は自分のモノにした夏木のあそこを クニクニ…クチュクチュ…
「先生 いい穴ですね。なでただけで噴水状態だ」
穴という穴に快楽を与えられ、どうしようもなく崩れた落ちてしまった夏木。
軟禁状態から逃げ出すため、従順を装い詩弦の油断を誘うが逃亡は失敗。さらにハードな罰を受け夏木は買主の意のままになっていく…。</v>
      </c>
      <c r="W1723" s="14"/>
      <c r="X1723" s="14" t="str">
        <f>IFERROR(__xludf.DUMMYFUNCTION("""COMPUTED_VALUE"""),"有")</f>
        <v>有</v>
      </c>
      <c r="Y1723" s="8" t="str">
        <f>IFERROR(__xludf.DUMMYFUNCTION("""COMPUTED_VALUE"""),"2024/10/16まで1巻無料")</f>
        <v>2024/10/16まで1巻無料</v>
      </c>
      <c r="Z1723" s="7"/>
      <c r="AA1723" s="7"/>
      <c r="AB1723" s="7"/>
    </row>
    <row r="1724" ht="15.75" customHeight="1">
      <c r="A1724" s="66">
        <f>IFERROR(__xludf.DUMMYFUNCTION("""COMPUTED_VALUE"""),3600.0)</f>
        <v>3600</v>
      </c>
      <c r="B1724" s="67" t="str">
        <f>IFERROR(__xludf.DUMMYFUNCTION("""COMPUTED_VALUE"""),"確定")</f>
        <v>確定</v>
      </c>
      <c r="C1724" s="68">
        <f>IFERROR(__xludf.DUMMYFUNCTION("""COMPUTED_VALUE"""),45449.0)</f>
        <v>45449</v>
      </c>
      <c r="D1724" s="68">
        <f>IFERROR(__xludf.DUMMYFUNCTION("""COMPUTED_VALUE"""),45476.0)</f>
        <v>45476</v>
      </c>
      <c r="E1724" s="31">
        <f>IFERROR(__xludf.DUMMYFUNCTION("""COMPUTED_VALUE"""),297336.0)</f>
        <v>297336</v>
      </c>
      <c r="F1724" s="22" t="str">
        <f>IFERROR(__xludf.DUMMYFUNCTION("""COMPUTED_VALUE"""),"プライスレス・ラブ")</f>
        <v>プライスレス・ラブ</v>
      </c>
      <c r="G1724" s="11" t="str">
        <f>IFERROR(__xludf.DUMMYFUNCTION("""COMPUTED_VALUE"""),"1～15")</f>
        <v>1～15</v>
      </c>
      <c r="H1724" s="67" t="str">
        <f>IFERROR(__xludf.DUMMYFUNCTION("""COMPUTED_VALUE"""),"STUDIOCREAON┴XINXIAN ZHONGWENWANG")</f>
        <v>STUDIOCREAON┴XINXIAN ZHONGWENWANG</v>
      </c>
      <c r="I1724" s="67" t="str">
        <f>IFERROR(__xludf.DUMMYFUNCTION("""COMPUTED_VALUE"""),"BL")</f>
        <v>BL</v>
      </c>
      <c r="J1724" s="67"/>
      <c r="K1724" s="67"/>
      <c r="L1724" s="67" t="str">
        <f>IFERROR(__xludf.DUMMYFUNCTION("""COMPUTED_VALUE"""),"Kmstudio")</f>
        <v>Kmstudio</v>
      </c>
      <c r="M1724" s="23">
        <f>IFERROR(__xludf.DUMMYFUNCTION("""COMPUTED_VALUE"""),45481.0)</f>
        <v>45481</v>
      </c>
      <c r="N1724" s="23">
        <f>IFERROR(__xludf.DUMMYFUNCTION("""COMPUTED_VALUE"""),45570.0)</f>
        <v>45570</v>
      </c>
      <c r="O1724" s="69"/>
      <c r="P1724" s="70" t="str">
        <f>IFERROR(__xludf.DUMMYFUNCTION("""COMPUTED_VALUE"""),"可")</f>
        <v>可</v>
      </c>
      <c r="Q1724" s="72"/>
      <c r="R1724" s="67"/>
      <c r="S1724" s="67" t="str">
        <f>IFERROR(__xludf.DUMMYFUNCTION("""COMPUTED_VALUE"""),"20240703_Kmstudio_プライスレス・ラブ")</f>
        <v>20240703_Kmstudio_プライスレス・ラブ</v>
      </c>
      <c r="T1724" s="67" t="str">
        <f>IFERROR(__xludf.DUMMYFUNCTION("""COMPUTED_VALUE"""),"格納済み")</f>
        <v>格納済み</v>
      </c>
      <c r="U1724" s="15" t="str">
        <f>IFERROR(__xludf.DUMMYFUNCTION("""COMPUTED_VALUE"""),"ⓒSTUDIO CREAON ＆ KMstudio")</f>
        <v>ⓒSTUDIO CREAON ＆ KMstudio</v>
      </c>
      <c r="V1724" s="8" t="str">
        <f>IFERROR(__xludf.DUMMYFUNCTION("""COMPUTED_VALUE"""),"東矢(とうや)は25才の誕生日、叶わない恋の寂しさを紛らわそうとゲイバーを訪れた。
声をかけてきたのはイケメンの瑠衣(るい)。
小心者で保守的な東矢だったが、瑠衣の顔と優しさにほだされ自らホテルに誘って一夜を…。
それを知った奏(かなた)は激怒！
「俺はケーキ買って待ってたんだぞ！」
だって…奏はゲイじゃないじゃん…僕だって一度くらい好きな人に愛されたいよ。
奏が女をとっかえひっかえして遊ぶ姿を見てきた東矢は瑠衣さんだったら…と心を寄せる。
一方で奏のイライラはマックス。
「そんなにしたい"&amp;"なら俺としろ！」
壁に押し付けて唇を合わせたが、受け入れることができずに奏は家を飛び出してしまった。
「こんなに魅力的なのに…奏くんは東矢くんに興味ないんだよ」
「僕と恋愛しようよ」
優しく慰めてくれる瑠衣だったが、東矢の心は…。
切ない恋愛の行方は！")</f>
        <v>東矢(とうや)は25才の誕生日、叶わない恋の寂しさを紛らわそうとゲイバーを訪れた。
声をかけてきたのはイケメンの瑠衣(るい)。
小心者で保守的な東矢だったが、瑠衣の顔と優しさにほだされ自らホテルに誘って一夜を…。
それを知った奏(かなた)は激怒！
「俺はケーキ買って待ってたんだぞ！」
だって…奏はゲイじゃないじゃん…僕だって一度くらい好きな人に愛されたいよ。
奏が女をとっかえひっかえして遊ぶ姿を見てきた東矢は瑠衣さんだったら…と心を寄せる。
一方で奏のイライラはマックス。
「そんなにしたいなら俺としろ！」
壁に押し付けて唇を合わせたが、受け入れることができずに奏は家を飛び出してしまった。
「こんなに魅力的なのに…奏くんは東矢くんに興味ないんだよ」
「僕と恋愛しようよ」
優しく慰めてくれる瑠衣だったが、東矢の心は…。
切ない恋愛の行方は！</v>
      </c>
      <c r="W1724" s="14"/>
      <c r="X1724" s="14" t="str">
        <f>IFERROR(__xludf.DUMMYFUNCTION("""COMPUTED_VALUE"""),"有")</f>
        <v>有</v>
      </c>
      <c r="Y1724" s="8" t="str">
        <f>IFERROR(__xludf.DUMMYFUNCTION("""COMPUTED_VALUE"""),"2024/10/5まで1巻無料")</f>
        <v>2024/10/5まで1巻無料</v>
      </c>
      <c r="Z1724" s="7"/>
      <c r="AA1724" s="7"/>
      <c r="AB1724" s="7"/>
    </row>
    <row r="1725" ht="15.75" customHeight="1">
      <c r="A1725" s="66">
        <f>IFERROR(__xludf.DUMMYFUNCTION("""COMPUTED_VALUE"""),3601.0)</f>
        <v>3601</v>
      </c>
      <c r="B1725" s="67" t="str">
        <f>IFERROR(__xludf.DUMMYFUNCTION("""COMPUTED_VALUE"""),"確定")</f>
        <v>確定</v>
      </c>
      <c r="C1725" s="68">
        <f>IFERROR(__xludf.DUMMYFUNCTION("""COMPUTED_VALUE"""),45449.0)</f>
        <v>45449</v>
      </c>
      <c r="D1725" s="68">
        <f>IFERROR(__xludf.DUMMYFUNCTION("""COMPUTED_VALUE"""),45475.0)</f>
        <v>45475</v>
      </c>
      <c r="E1725" s="31">
        <f>IFERROR(__xludf.DUMMYFUNCTION("""COMPUTED_VALUE"""),297521.0)</f>
        <v>297521</v>
      </c>
      <c r="F1725" s="46" t="str">
        <f>IFERROR(__xludf.DUMMYFUNCTION("""COMPUTED_VALUE"""),"【タテヨミ】焦らしてくれるご主人さま募集中♡～ご褒美はおしおきで")</f>
        <v>【タテヨミ】焦らしてくれるご主人さま募集中♡～ご褒美はおしおきで</v>
      </c>
      <c r="G1725" s="69" t="str">
        <f>IFERROR(__xludf.DUMMYFUNCTION("""COMPUTED_VALUE"""),"1～7")</f>
        <v>1～7</v>
      </c>
      <c r="H1725" s="67" t="str">
        <f>IFERROR(__xludf.DUMMYFUNCTION("""COMPUTED_VALUE"""),"kapa┴seuing┴Z-ZoneLeeserin")</f>
        <v>kapa┴seuing┴Z-ZoneLeeserin</v>
      </c>
      <c r="I1725" s="67" t="str">
        <f>IFERROR(__xludf.DUMMYFUNCTION("""COMPUTED_VALUE"""),"BL")</f>
        <v>BL</v>
      </c>
      <c r="J1725" s="67"/>
      <c r="K1725" s="67"/>
      <c r="L1725" s="67" t="str">
        <f>IFERROR(__xludf.DUMMYFUNCTION("""COMPUTED_VALUE"""),"Kmstudio")</f>
        <v>Kmstudio</v>
      </c>
      <c r="M1725" s="23">
        <f>IFERROR(__xludf.DUMMYFUNCTION("""COMPUTED_VALUE"""),45492.0)</f>
        <v>45492</v>
      </c>
      <c r="N1725" s="77">
        <f>IFERROR(__xludf.DUMMYFUNCTION("""COMPUTED_VALUE"""),45581.0)</f>
        <v>45581</v>
      </c>
      <c r="O1725" s="69"/>
      <c r="P1725" s="70" t="str">
        <f>IFERROR(__xludf.DUMMYFUNCTION("""COMPUTED_VALUE"""),"可")</f>
        <v>可</v>
      </c>
      <c r="Q1725" s="72" t="str">
        <f>IFERROR(__xludf.DUMMYFUNCTION("""COMPUTED_VALUE"""),"広告コミットOK(6/12)")</f>
        <v>広告コミットOK(6/12)</v>
      </c>
      <c r="R1725" s="67"/>
      <c r="S1725" s="67" t="str">
        <f>IFERROR(__xludf.DUMMYFUNCTION("""COMPUTED_VALUE"""),"20240626_Kmstudio_焦らしてくれるご主人さま~ご褒美はおしおきで~")</f>
        <v>20240626_Kmstudio_焦らしてくれるご主人さま~ご褒美はおしおきで~</v>
      </c>
      <c r="T1725" s="67" t="str">
        <f>IFERROR(__xludf.DUMMYFUNCTION("""COMPUTED_VALUE"""),"格納済み")</f>
        <v>格納済み</v>
      </c>
      <c r="U1725" s="15" t="str">
        <f>IFERROR(__xludf.DUMMYFUNCTION("""COMPUTED_VALUE"""),"ⓒkapa,seuing,Z-Zone Leeserin/ ToonPlus ＆ KMstudio")</f>
        <v>ⓒkapa,seuing,Z-Zone Leeserin/ ToonPlus ＆ KMstudio</v>
      </c>
      <c r="V1725" s="8" t="str">
        <f>IFERROR(__xludf.DUMMYFUNCTION("""COMPUTED_VALUE"""),"同期の優絃(ゆうと)に片思い中の圭(けい)。
ある日、かわいい女子が優絃に告ったらしい!?
「俺が先に好きになったのにぃ…。」
もどかしさと悔しさから圭は泥酔。その夜、長らく封印していた女性用の下着とメイド服に袖をとおした。
勢いのままにSNSからDMを送信。バッキバキの肉体とペロッとめくったスカートの中身を写した写真に「ご主人さま募集中♥」のメッセージをそえて…。
翌朝、二日酔いの圭の家に優絃が訪ねてきた。
昨夜DMを送った相手はなんと片思い中の優絃。
優絃は来るなり
「早く始めようぜ」"&amp;"と積極的。
メイド服に着替えた圭の目の前には想像を超える優絃のモノが。
「デデデデカい…！全部入るかな・・」
初めてなりに頑張ったが、下手くそなフェラにしらけた優絃。さっさとしまってしまう。
「まずい、こんなチャンス二度と来ない」焦った圭は
「おっぱいでご奉仕させてください」と申し出た。
自慢の大胸筋と大きな乳首でご奉仕しすると、「うぅん」といい反応が・・。
圭はめでたくご主人さまを見つけられるのか!?")</f>
        <v>同期の優絃(ゆうと)に片思い中の圭(けい)。
ある日、かわいい女子が優絃に告ったらしい!?
「俺が先に好きになったのにぃ…。」
もどかしさと悔しさから圭は泥酔。その夜、長らく封印していた女性用の下着とメイド服に袖をとおした。
勢いのままにSNSからDMを送信。バッキバキの肉体とペロッとめくったスカートの中身を写した写真に「ご主人さま募集中♥」のメッセージをそえて…。
翌朝、二日酔いの圭の家に優絃が訪ねてきた。
昨夜DMを送った相手はなんと片思い中の優絃。
優絃は来るなり
「早く始めようぜ」と積極的。
メイド服に着替えた圭の目の前には想像を超える優絃のモノが。
「デデデデカい…！全部入るかな・・」
初めてなりに頑張ったが、下手くそなフェラにしらけた優絃。さっさとしまってしまう。
「まずい、こんなチャンス二度と来ない」焦った圭は
「おっぱいでご奉仕させてください」と申し出た。
自慢の大胸筋と大きな乳首でご奉仕しすると、「うぅん」といい反応が・・。
圭はめでたくご主人さまを見つけられるのか!?</v>
      </c>
      <c r="W1725" s="14"/>
      <c r="X1725" s="14" t="str">
        <f>IFERROR(__xludf.DUMMYFUNCTION("""COMPUTED_VALUE"""),"有")</f>
        <v>有</v>
      </c>
      <c r="Y1725" s="8" t="str">
        <f>IFERROR(__xludf.DUMMYFUNCTION("""COMPUTED_VALUE"""),"2024/10/16まで1巻無料")</f>
        <v>2024/10/16まで1巻無料</v>
      </c>
      <c r="Z1725" s="7"/>
      <c r="AA1725" s="7"/>
      <c r="AB1725" s="7"/>
    </row>
    <row r="1726" ht="15.75" customHeight="1">
      <c r="A1726" s="66">
        <f>IFERROR(__xludf.DUMMYFUNCTION("""COMPUTED_VALUE"""),3602.0)</f>
        <v>3602</v>
      </c>
      <c r="B1726" s="67" t="str">
        <f>IFERROR(__xludf.DUMMYFUNCTION("""COMPUTED_VALUE"""),"確定")</f>
        <v>確定</v>
      </c>
      <c r="C1726" s="68">
        <f>IFERROR(__xludf.DUMMYFUNCTION("""COMPUTED_VALUE"""),45449.0)</f>
        <v>45449</v>
      </c>
      <c r="D1726" s="68">
        <f>IFERROR(__xludf.DUMMYFUNCTION("""COMPUTED_VALUE"""),45475.0)</f>
        <v>45475</v>
      </c>
      <c r="E1726" s="31">
        <f>IFERROR(__xludf.DUMMYFUNCTION("""COMPUTED_VALUE"""),297523.0)</f>
        <v>297523</v>
      </c>
      <c r="F1726" s="46" t="str">
        <f>IFERROR(__xludf.DUMMYFUNCTION("""COMPUTED_VALUE"""),"【タテヨミ】性霊 幽霊の誘惑")</f>
        <v>【タテヨミ】性霊 幽霊の誘惑</v>
      </c>
      <c r="G1726" s="11" t="str">
        <f>IFERROR(__xludf.DUMMYFUNCTION("""COMPUTED_VALUE"""),"1～15")</f>
        <v>1～15</v>
      </c>
      <c r="H1726" s="67" t="str">
        <f>IFERROR(__xludf.DUMMYFUNCTION("""COMPUTED_VALUE"""),"F")</f>
        <v>F</v>
      </c>
      <c r="I1726" s="67" t="str">
        <f>IFERROR(__xludf.DUMMYFUNCTION("""COMPUTED_VALUE"""),"BL")</f>
        <v>BL</v>
      </c>
      <c r="J1726" s="67"/>
      <c r="K1726" s="67"/>
      <c r="L1726" s="67" t="str">
        <f>IFERROR(__xludf.DUMMYFUNCTION("""COMPUTED_VALUE"""),"Kmstudio")</f>
        <v>Kmstudio</v>
      </c>
      <c r="M1726" s="23">
        <f>IFERROR(__xludf.DUMMYFUNCTION("""COMPUTED_VALUE"""),45492.0)</f>
        <v>45492</v>
      </c>
      <c r="N1726" s="77">
        <f>IFERROR(__xludf.DUMMYFUNCTION("""COMPUTED_VALUE"""),45581.0)</f>
        <v>45581</v>
      </c>
      <c r="O1726" s="69"/>
      <c r="P1726" s="70" t="str">
        <f>IFERROR(__xludf.DUMMYFUNCTION("""COMPUTED_VALUE"""),"可")</f>
        <v>可</v>
      </c>
      <c r="Q1726" s="72" t="str">
        <f>IFERROR(__xludf.DUMMYFUNCTION("""COMPUTED_VALUE"""),"広告コミットOK(6/12)")</f>
        <v>広告コミットOK(6/12)</v>
      </c>
      <c r="R1726" s="67"/>
      <c r="S1726" s="67" t="str">
        <f>IFERROR(__xludf.DUMMYFUNCTION("""COMPUTED_VALUE"""),"20240626_Kmstudio_性霊 幽霊の誘惑")</f>
        <v>20240626_Kmstudio_性霊 幽霊の誘惑</v>
      </c>
      <c r="T1726" s="67" t="str">
        <f>IFERROR(__xludf.DUMMYFUNCTION("""COMPUTED_VALUE"""),"格納済み")</f>
        <v>格納済み</v>
      </c>
      <c r="U1726" s="15" t="str">
        <f>IFERROR(__xludf.DUMMYFUNCTION("""COMPUTED_VALUE"""),"ⓒ F / Polarfox ＆ KMstudio")</f>
        <v>ⓒ F / Polarfox ＆ KMstudio</v>
      </c>
      <c r="V1726" s="8" t="str">
        <f>IFERROR(__xludf.DUMMYFUNCTION("""COMPUTED_VALUE"""),"初恋の相手 蓮(れん)が死んでしまった。
変わり果てた姿の蓮と再会を果たした祐(たすく)はストレスからか3日も寝込んでしまう。
久々に大学に行くと、カフェの店員、先輩後輩、教授までもが祐に熱視線を送ってきた。不思議な現象はその晩も…。
眠りについた祐の上に死んだ蓮が現れた。
「夢でも嬉しいよ」
素直に喜ぶ祐のシャツの中に蓮の手が…そして祐のあそこをペロリとなめるのだった。
幽霊とヤる夢なんて…
自分の正気を疑う祐の前に心霊管理師と名乗る男が現れる。
「あなた性霊と交わったでしょ？」
「僕"&amp;"は最後まではやってませんよ・・！」動揺していると、症状が悪化したら自分を訪ねるようと名刺を渡された。
ただの夢だと思っていたが、蓮はその晩も現れぬぷっと指を挿れてきた。
「お前を俺のものにする…」
蓮と祐の切ない恋の結末は…")</f>
        <v>初恋の相手 蓮(れん)が死んでしまった。
変わり果てた姿の蓮と再会を果たした祐(たすく)はストレスからか3日も寝込んでしまう。
久々に大学に行くと、カフェの店員、先輩後輩、教授までもが祐に熱視線を送ってきた。不思議な現象はその晩も…。
眠りについた祐の上に死んだ蓮が現れた。
「夢でも嬉しいよ」
素直に喜ぶ祐のシャツの中に蓮の手が…そして祐のあそこをペロリとなめるのだった。
幽霊とヤる夢なんて…
自分の正気を疑う祐の前に心霊管理師と名乗る男が現れる。
「あなた性霊と交わったでしょ？」
「僕は最後まではやってませんよ・・！」動揺していると、症状が悪化したら自分を訪ねるようと名刺を渡された。
ただの夢だと思っていたが、蓮はその晩も現れぬぷっと指を挿れてきた。
「お前を俺のものにする…」
蓮と祐の切ない恋の結末は…</v>
      </c>
      <c r="W1726" s="14"/>
      <c r="X1726" s="14" t="str">
        <f>IFERROR(__xludf.DUMMYFUNCTION("""COMPUTED_VALUE"""),"有")</f>
        <v>有</v>
      </c>
      <c r="Y1726" s="8" t="str">
        <f>IFERROR(__xludf.DUMMYFUNCTION("""COMPUTED_VALUE"""),"2024/10/16まで1巻無料")</f>
        <v>2024/10/16まで1巻無料</v>
      </c>
      <c r="Z1726" s="7"/>
      <c r="AA1726" s="7"/>
      <c r="AB1726" s="7"/>
    </row>
    <row r="1727" ht="15.75" customHeight="1">
      <c r="A1727" s="66">
        <f>IFERROR(__xludf.DUMMYFUNCTION("""COMPUTED_VALUE"""),3606.0)</f>
        <v>3606</v>
      </c>
      <c r="B1727" s="67" t="str">
        <f>IFERROR(__xludf.DUMMYFUNCTION("""COMPUTED_VALUE"""),"確定")</f>
        <v>確定</v>
      </c>
      <c r="C1727" s="68">
        <f>IFERROR(__xludf.DUMMYFUNCTION("""COMPUTED_VALUE"""),45450.0)</f>
        <v>45450</v>
      </c>
      <c r="D1727" s="68">
        <f>IFERROR(__xludf.DUMMYFUNCTION("""COMPUTED_VALUE"""),45475.0)</f>
        <v>45475</v>
      </c>
      <c r="E1727" s="31">
        <f>IFERROR(__xludf.DUMMYFUNCTION("""COMPUTED_VALUE"""),299374.0)</f>
        <v>299374</v>
      </c>
      <c r="F1727" s="22" t="str">
        <f>IFERROR(__xludf.DUMMYFUNCTION("""COMPUTED_VALUE"""),"聖人君子な国王の変質的な寵愛～淫らに豹変して困ってます～")</f>
        <v>聖人君子な国王の変質的な寵愛～淫らに豹変して困ってます～</v>
      </c>
      <c r="G1727" s="69">
        <f>IFERROR(__xludf.DUMMYFUNCTION("""COMPUTED_VALUE"""),1.0)</f>
        <v>1</v>
      </c>
      <c r="H1727" s="67" t="str">
        <f>IFERROR(__xludf.DUMMYFUNCTION("""COMPUTED_VALUE"""),"石丸博子・月乃ひかり")</f>
        <v>石丸博子・月乃ひかり</v>
      </c>
      <c r="I1727" s="67" t="str">
        <f>IFERROR(__xludf.DUMMYFUNCTION("""COMPUTED_VALUE"""),"TL")</f>
        <v>TL</v>
      </c>
      <c r="J1727" s="67"/>
      <c r="K1727" s="67"/>
      <c r="L1727" s="67" t="str">
        <f>IFERROR(__xludf.DUMMYFUNCTION("""COMPUTED_VALUE"""),"乙女ドルチェ・コミックス")</f>
        <v>乙女ドルチェ・コミックス</v>
      </c>
      <c r="M1727" s="59">
        <f>IFERROR(__xludf.DUMMYFUNCTION("""COMPUTED_VALUE"""),45520.0)</f>
        <v>45520</v>
      </c>
      <c r="N1727" s="47">
        <f>IFERROR(__xludf.DUMMYFUNCTION("""COMPUTED_VALUE"""),45582.0)</f>
        <v>45582</v>
      </c>
      <c r="O1727" s="69"/>
      <c r="P1727" s="70" t="str">
        <f>IFERROR(__xludf.DUMMYFUNCTION("""COMPUTED_VALUE"""),"可")</f>
        <v>可</v>
      </c>
      <c r="Q1727" s="67" t="str">
        <f>IFERROR(__xludf.DUMMYFUNCTION("""COMPUTED_VALUE"""),"広告コミットOK(6/18)")</f>
        <v>広告コミットOK(6/18)</v>
      </c>
      <c r="R1727" s="67" t="str">
        <f>IFERROR(__xludf.DUMMYFUNCTION("""COMPUTED_VALUE"""),"格納済")</f>
        <v>格納済</v>
      </c>
      <c r="S1727" s="67" t="str">
        <f>IFERROR(__xludf.DUMMYFUNCTION("""COMPUTED_VALUE"""),"20240626_乙女ドルチェ_聖人君子な国王")</f>
        <v>20240626_乙女ドルチェ_聖人君子な国王</v>
      </c>
      <c r="T1727" s="67" t="str">
        <f>IFERROR(__xludf.DUMMYFUNCTION("""COMPUTED_VALUE"""),"格納済み")</f>
        <v>格納済み</v>
      </c>
      <c r="U1727" s="15" t="str">
        <f>IFERROR(__xludf.DUMMYFUNCTION("""COMPUTED_VALUE"""),"（C) 石丸博子・月乃ひかり／ハーパーコリンズ・ジャパン")</f>
        <v>（C) 石丸博子・月乃ひかり／ハーパーコリンズ・ジャパン</v>
      </c>
      <c r="V1727" s="8" t="str">
        <f>IFERROR(__xludf.DUMMYFUNCTION("""COMPUTED_VALUE"""),"「もっと恥ずかしいことをするよ」
欲望を隠した国王×純粋な王妃さま
小国の王女であるアンジェリカが、神聖王国に嫁いで１年。
美貌の王・クロードとの子作りは、着衣のまま子種を注ぐだけだった。
そんな中「１年以内に世継ぎができなければ国に災い」との神託がおり、
子づくりのため、2人は48章から成る秘伝の書を実践することに。そして
聖人君子だと思っていた彼が、彼女のため欲望を抑えていたと判明し…！
「なんて可愛らしい花びらなんだ。ああ……蜜がこんなにも滴って」
一変して卑猥な言葉をささやき、"&amp;"濃密な愛撫を繰り返すクロード。
エスカレートする彼の行為に、身も心も燃えていき――。")</f>
        <v>「もっと恥ずかしいことをするよ」
欲望を隠した国王×純粋な王妃さま
小国の王女であるアンジェリカが、神聖王国に嫁いで１年。
美貌の王・クロードとの子作りは、着衣のまま子種を注ぐだけだった。
そんな中「１年以内に世継ぎができなければ国に災い」との神託がおり、
子づくりのため、2人は48章から成る秘伝の書を実践することに。そして
聖人君子だと思っていた彼が、彼女のため欲望を抑えていたと判明し…！
「なんて可愛らしい花びらなんだ。ああ……蜜がこんなにも滴って」
一変して卑猥な言葉をささやき、濃密な愛撫を繰り返すクロード。
エスカレートする彼の行為に、身も心も燃えていき――。</v>
      </c>
      <c r="W1727" s="14"/>
      <c r="X1727" s="14" t="str">
        <f>IFERROR(__xludf.DUMMYFUNCTION("""COMPUTED_VALUE"""),"有")</f>
        <v>有</v>
      </c>
      <c r="Y1727" s="8" t="str">
        <f>IFERROR(__xludf.DUMMYFUNCTION("""COMPUTED_VALUE"""),"P23まで")</f>
        <v>P23まで</v>
      </c>
      <c r="Z1727" s="7"/>
      <c r="AA1727" s="7"/>
      <c r="AB1727" s="7"/>
    </row>
    <row r="1728" ht="15.75" customHeight="1">
      <c r="A1728" s="66">
        <f>IFERROR(__xludf.DUMMYFUNCTION("""COMPUTED_VALUE"""),3613.0)</f>
        <v>3613</v>
      </c>
      <c r="B1728" s="67" t="str">
        <f>IFERROR(__xludf.DUMMYFUNCTION("""COMPUTED_VALUE"""),"確定")</f>
        <v>確定</v>
      </c>
      <c r="C1728" s="68">
        <f>IFERROR(__xludf.DUMMYFUNCTION("""COMPUTED_VALUE"""),45453.0)</f>
        <v>45453</v>
      </c>
      <c r="D1728" s="68">
        <f>IFERROR(__xludf.DUMMYFUNCTION("""COMPUTED_VALUE"""),45475.0)</f>
        <v>45475</v>
      </c>
      <c r="E1728" s="31">
        <f>IFERROR(__xludf.DUMMYFUNCTION("""COMPUTED_VALUE"""),298253.0)</f>
        <v>298253</v>
      </c>
      <c r="F1728" s="22" t="str">
        <f>IFERROR(__xludf.DUMMYFUNCTION("""COMPUTED_VALUE"""),"男友達じゃいられない～築25年6畳半、元球児とぬるく湿った舌を絡めて～【分冊版】")</f>
        <v>男友達じゃいられない～築25年6畳半、元球児とぬるく湿った舌を絡めて～【分冊版】</v>
      </c>
      <c r="G1728" s="11" t="str">
        <f>IFERROR(__xludf.DUMMYFUNCTION("""COMPUTED_VALUE"""),"1～2")</f>
        <v>1～2</v>
      </c>
      <c r="H1728" s="67" t="str">
        <f>IFERROR(__xludf.DUMMYFUNCTION("""COMPUTED_VALUE"""),"作画：育場モク（イクバモク） 原作：森田りょう（モリタリョ ウ）")</f>
        <v>作画：育場モク（イクバモク） 原作：森田りょう（モリタリョ ウ）</v>
      </c>
      <c r="I1728" s="67" t="str">
        <f>IFERROR(__xludf.DUMMYFUNCTION("""COMPUTED_VALUE"""),"TL")</f>
        <v>TL</v>
      </c>
      <c r="J1728" s="67"/>
      <c r="K1728" s="67"/>
      <c r="L1728" s="67" t="str">
        <f>IFERROR(__xludf.DUMMYFUNCTION("""COMPUTED_VALUE"""),"笠倉出版社")</f>
        <v>笠倉出版社</v>
      </c>
      <c r="M1728" s="59">
        <f>IFERROR(__xludf.DUMMYFUNCTION("""COMPUTED_VALUE"""),45505.0)</f>
        <v>45505</v>
      </c>
      <c r="N1728" s="47">
        <f>IFERROR(__xludf.DUMMYFUNCTION("""COMPUTED_VALUE"""),45602.0)</f>
        <v>45602</v>
      </c>
      <c r="O1728" s="69"/>
      <c r="P1728" s="70" t="str">
        <f>IFERROR(__xludf.DUMMYFUNCTION("""COMPUTED_VALUE"""),"可")</f>
        <v>可</v>
      </c>
      <c r="Q1728" s="67" t="str">
        <f>IFERROR(__xludf.DUMMYFUNCTION("""COMPUTED_VALUE"""),"広告コミットOK(6/17)&lt;BR&gt;TL:レーベル名_ラブチュコラ")</f>
        <v>広告コミットOK(6/17)&lt;BR&gt;TL:レーベル名_ラブチュコラ</v>
      </c>
      <c r="R1728" s="67" t="str">
        <f>IFERROR(__xludf.DUMMYFUNCTION("""COMPUTED_VALUE"""),"格納済み")</f>
        <v>格納済み</v>
      </c>
      <c r="S1728" s="67" t="str">
        <f>IFERROR(__xludf.DUMMYFUNCTION("""COMPUTED_VALUE"""),"20240701_笠倉出版社_男友達じゃいられない～築25年6畳半、元球児とぬるく湿った舌を絡めて～【分冊版】")</f>
        <v>20240701_笠倉出版社_男友達じゃいられない～築25年6畳半、元球児とぬるく湿った舌を絡めて～【分冊版】</v>
      </c>
      <c r="T1728" s="67" t="str">
        <f>IFERROR(__xludf.DUMMYFUNCTION("""COMPUTED_VALUE"""),"格納済み")</f>
        <v>格納済み</v>
      </c>
      <c r="U1728" s="15" t="str">
        <f>IFERROR(__xludf.DUMMYFUNCTION("""COMPUTED_VALUE"""),"©育場モク/森田りょう/笠倉出版社")</f>
        <v>©育場モク/森田りょう/笠倉出版社</v>
      </c>
      <c r="V1728" s="8" t="str">
        <f>IFERROR(__xludf.DUMMYFUNCTION("""COMPUTED_VALUE"""),"「もう待たねーからな、限界なんだよ」切羽詰まった吐息が耳元をかすめる。ぎらつく瞳にじっと見つめられ…彼がこんな男の顔するなんて知らなかった――。私、藤崎翼は幼なじみの中村泰晴のことが好き。だけど友達みたいな関係が心地いいから、この思いは秘密。スポーツエリートで爆モテの泰晴を、これからもそばで見守るだけ…なんて思っていたら、今になって急接近!?「もっと俺のこと意識しろよ」逞しい体にかき抱かれ、むさぼるようなキスにはじめてを奪われる。肉厚な舌先でぐずぐずになるまでとろかされたら…もうワケわかんないっ！――両片"&amp;"思いの焦れキュン幼なじみラブ！")</f>
        <v>「もう待たねーからな、限界なんだよ」切羽詰まった吐息が耳元をかすめる。ぎらつく瞳にじっと見つめられ…彼がこんな男の顔するなんて知らなかった――。私、藤崎翼は幼なじみの中村泰晴のことが好き。だけど友達みたいな関係が心地いいから、この思いは秘密。スポーツエリートで爆モテの泰晴を、これからもそばで見守るだけ…なんて思っていたら、今になって急接近!?「もっと俺のこと意識しろよ」逞しい体にかき抱かれ、むさぼるようなキスにはじめてを奪われる。肉厚な舌先でぐずぐずになるまでとろかされたら…もうワケわかんないっ！――両片思いの焦れキュン幼なじみラブ！</v>
      </c>
      <c r="W1728" s="14"/>
      <c r="X1728" s="14" t="str">
        <f>IFERROR(__xludf.DUMMYFUNCTION("""COMPUTED_VALUE"""),"有")</f>
        <v>有</v>
      </c>
      <c r="Y1728" s="8" t="str">
        <f>IFERROR(__xludf.DUMMYFUNCTION("""COMPUTED_VALUE"""),"P6まで")</f>
        <v>P6まで</v>
      </c>
      <c r="Z1728" s="7"/>
      <c r="AA1728" s="7"/>
      <c r="AB1728" s="7"/>
    </row>
    <row r="1729" ht="15.75" customHeight="1">
      <c r="A1729" s="66">
        <f>IFERROR(__xludf.DUMMYFUNCTION("""COMPUTED_VALUE"""),3634.0)</f>
        <v>3634</v>
      </c>
      <c r="B1729" s="67" t="str">
        <f>IFERROR(__xludf.DUMMYFUNCTION("""COMPUTED_VALUE"""),"確定")</f>
        <v>確定</v>
      </c>
      <c r="C1729" s="68">
        <f>IFERROR(__xludf.DUMMYFUNCTION("""COMPUTED_VALUE"""),45456.0)</f>
        <v>45456</v>
      </c>
      <c r="D1729" s="68">
        <f>IFERROR(__xludf.DUMMYFUNCTION("""COMPUTED_VALUE"""),45475.0)</f>
        <v>45475</v>
      </c>
      <c r="E1729" s="31">
        <f>IFERROR(__xludf.DUMMYFUNCTION("""COMPUTED_VALUE"""),298744.0)</f>
        <v>298744</v>
      </c>
      <c r="F1729" s="22" t="str">
        <f>IFERROR(__xludf.DUMMYFUNCTION("""COMPUTED_VALUE"""),"サブキャラの私と4人のヤンデレ男子～乙女ゲーのサポートキャラに転生しました～")</f>
        <v>サブキャラの私と4人のヤンデレ男子～乙女ゲーのサポートキャラに転生しました～</v>
      </c>
      <c r="G1729" s="69" t="str">
        <f>IFERROR(__xludf.DUMMYFUNCTION("""COMPUTED_VALUE"""),"1～3")</f>
        <v>1～3</v>
      </c>
      <c r="H1729" s="67" t="str">
        <f>IFERROR(__xludf.DUMMYFUNCTION("""COMPUTED_VALUE"""),"Yaaka")</f>
        <v>Yaaka</v>
      </c>
      <c r="I1729" s="67" t="str">
        <f>IFERROR(__xludf.DUMMYFUNCTION("""COMPUTED_VALUE"""),"TL")</f>
        <v>TL</v>
      </c>
      <c r="J1729" s="67"/>
      <c r="K1729" s="67"/>
      <c r="L1729" s="67" t="str">
        <f>IFERROR(__xludf.DUMMYFUNCTION("""COMPUTED_VALUE"""),"MUGENUP")</f>
        <v>MUGENUP</v>
      </c>
      <c r="M1729" s="59">
        <f>IFERROR(__xludf.DUMMYFUNCTION("""COMPUTED_VALUE"""),45500.0)</f>
        <v>45500</v>
      </c>
      <c r="N1729" s="47">
        <f>IFERROR(__xludf.DUMMYFUNCTION("""COMPUTED_VALUE"""),45591.0)</f>
        <v>45591</v>
      </c>
      <c r="O1729" s="69"/>
      <c r="P1729" s="70" t="str">
        <f>IFERROR(__xludf.DUMMYFUNCTION("""COMPUTED_VALUE"""),"可")</f>
        <v>可</v>
      </c>
      <c r="Q1729" s="67" t="str">
        <f>IFERROR(__xludf.DUMMYFUNCTION("""COMPUTED_VALUE"""),"広告コミットOK(6/20)&lt;BR&gt;TL:レーベル名_Puffsmore")</f>
        <v>広告コミットOK(6/20)&lt;BR&gt;TL:レーベル名_Puffsmore</v>
      </c>
      <c r="R1729" s="67" t="str">
        <f>IFERROR(__xludf.DUMMYFUNCTION("""COMPUTED_VALUE"""),"格納済み")</f>
        <v>格納済み</v>
      </c>
      <c r="S1729" s="67" t="str">
        <f>IFERROR(__xludf.DUMMYFUNCTION("""COMPUTED_VALUE"""),"20240628_MUGENUP_サブキャラの私と4人のヤンデレ男子")</f>
        <v>20240628_MUGENUP_サブキャラの私と4人のヤンデレ男子</v>
      </c>
      <c r="T1729" s="67" t="str">
        <f>IFERROR(__xludf.DUMMYFUNCTION("""COMPUTED_VALUE"""),"格納済み")</f>
        <v>格納済み</v>
      </c>
      <c r="U1729" s="15" t="str">
        <f>IFERROR(__xludf.DUMMYFUNCTION("""COMPUTED_VALUE"""),"（C）Yaaka／MUGENUP")</f>
        <v>（C）Yaaka／MUGENUP</v>
      </c>
      <c r="V1729" s="8" t="str">
        <f>IFERROR(__xludf.DUMMYFUNCTION("""COMPUTED_VALUE"""),"サポートキャラとしての役目を終え一安心していたのに……元攻略対象達から求愛されてる！？
乙女ゲームのサポートキャラ・サブリナとして転生した私。
何とか物語をハッピーエンドに導き「普通の学園生活を満喫できる！」と意気込んでいた矢先…
ゲームヒロインの攻略対象達に彼らの秘密が書かれた手帳を拾われてしまった。
そして、「彼らの秘密を口外しなかった」ことで彼らから重い愛情を向けられるように…
信じられないほどの熱く重い愛に、心も身体も休まらない――")</f>
        <v>サポートキャラとしての役目を終え一安心していたのに……元攻略対象達から求愛されてる！？
乙女ゲームのサポートキャラ・サブリナとして転生した私。
何とか物語をハッピーエンドに導き「普通の学園生活を満喫できる！」と意気込んでいた矢先…
ゲームヒロインの攻略対象達に彼らの秘密が書かれた手帳を拾われてしまった。
そして、「彼らの秘密を口外しなかった」ことで彼らから重い愛情を向けられるように…
信じられないほどの熱く重い愛に、心も身体も休まらない――</v>
      </c>
      <c r="W1729" s="14"/>
      <c r="X1729" s="14" t="str">
        <f>IFERROR(__xludf.DUMMYFUNCTION("""COMPUTED_VALUE"""),"有")</f>
        <v>有</v>
      </c>
      <c r="Y1729" s="8" t="str">
        <f>IFERROR(__xludf.DUMMYFUNCTION("""COMPUTED_VALUE"""),"2024/8/12まで1巻無料")</f>
        <v>2024/8/12まで1巻無料</v>
      </c>
      <c r="Z1729" s="7"/>
      <c r="AA1729" s="7"/>
      <c r="AB1729" s="7"/>
    </row>
    <row r="1730" ht="15.75" customHeight="1">
      <c r="A1730" s="66">
        <f>IFERROR(__xludf.DUMMYFUNCTION("""COMPUTED_VALUE"""),3635.0)</f>
        <v>3635</v>
      </c>
      <c r="B1730" s="67" t="str">
        <f>IFERROR(__xludf.DUMMYFUNCTION("""COMPUTED_VALUE"""),"確定")</f>
        <v>確定</v>
      </c>
      <c r="C1730" s="68">
        <f>IFERROR(__xludf.DUMMYFUNCTION("""COMPUTED_VALUE"""),45456.0)</f>
        <v>45456</v>
      </c>
      <c r="D1730" s="68">
        <f>IFERROR(__xludf.DUMMYFUNCTION("""COMPUTED_VALUE"""),45475.0)</f>
        <v>45475</v>
      </c>
      <c r="E1730" s="31">
        <f>IFERROR(__xludf.DUMMYFUNCTION("""COMPUTED_VALUE"""),299069.0)</f>
        <v>299069</v>
      </c>
      <c r="F1730" s="22" t="str">
        <f>IFERROR(__xludf.DUMMYFUNCTION("""COMPUTED_VALUE"""),"溺愛彼氏は一人で十分⁉")</f>
        <v>溺愛彼氏は一人で十分⁉</v>
      </c>
      <c r="G1730" s="69" t="str">
        <f>IFERROR(__xludf.DUMMYFUNCTION("""COMPUTED_VALUE"""),"1～3")</f>
        <v>1～3</v>
      </c>
      <c r="H1730" s="67" t="str">
        <f>IFERROR(__xludf.DUMMYFUNCTION("""COMPUTED_VALUE"""),"タンデュ")</f>
        <v>タンデュ</v>
      </c>
      <c r="I1730" s="67" t="str">
        <f>IFERROR(__xludf.DUMMYFUNCTION("""COMPUTED_VALUE"""),"TL")</f>
        <v>TL</v>
      </c>
      <c r="J1730" s="67"/>
      <c r="K1730" s="67"/>
      <c r="L1730" s="67" t="str">
        <f>IFERROR(__xludf.DUMMYFUNCTION("""COMPUTED_VALUE"""),"MUGENUP")</f>
        <v>MUGENUP</v>
      </c>
      <c r="M1730" s="59">
        <f>IFERROR(__xludf.DUMMYFUNCTION("""COMPUTED_VALUE"""),45500.0)</f>
        <v>45500</v>
      </c>
      <c r="N1730" s="47">
        <f>IFERROR(__xludf.DUMMYFUNCTION("""COMPUTED_VALUE"""),45591.0)</f>
        <v>45591</v>
      </c>
      <c r="O1730" s="69"/>
      <c r="P1730" s="70" t="str">
        <f>IFERROR(__xludf.DUMMYFUNCTION("""COMPUTED_VALUE"""),"可")</f>
        <v>可</v>
      </c>
      <c r="Q1730" s="67" t="str">
        <f>IFERROR(__xludf.DUMMYFUNCTION("""COMPUTED_VALUE"""),"広告コミットOK(6/20)&lt;BR&gt;TL:レーベル名_Puffsmore")</f>
        <v>広告コミットOK(6/20)&lt;BR&gt;TL:レーベル名_Puffsmore</v>
      </c>
      <c r="R1730" s="67" t="str">
        <f>IFERROR(__xludf.DUMMYFUNCTION("""COMPUTED_VALUE"""),"格納済み")</f>
        <v>格納済み</v>
      </c>
      <c r="S1730" s="67" t="str">
        <f>IFERROR(__xludf.DUMMYFUNCTION("""COMPUTED_VALUE"""),"20240628_MUGENUP_溺愛彼氏は一人で十分⁉")</f>
        <v>20240628_MUGENUP_溺愛彼氏は一人で十分⁉</v>
      </c>
      <c r="T1730" s="67" t="str">
        <f>IFERROR(__xludf.DUMMYFUNCTION("""COMPUTED_VALUE"""),"格納済み")</f>
        <v>格納済み</v>
      </c>
      <c r="U1730" s="15" t="str">
        <f>IFERROR(__xludf.DUMMYFUNCTION("""COMPUTED_VALUE"""),"（C）タンデュ／MUGENUP")</f>
        <v>（C）タンデュ／MUGENUP</v>
      </c>
      <c r="V1730" s="8" t="str">
        <f>IFERROR(__xludf.DUMMYFUNCTION("""COMPUTED_VALUE"""),"「ルイーゼ様・・・俺は貴方の夢を叶えたかった・・・」
太陽の紋様がジョージの胸に刻まれ、怪しく光る
医学生ルイはイケメン金持ち彼氏の譲治と熱烈交際中。
大学でも同級生から羨ましがられているほどに譲治から溺愛されているルイ。
ある日、講義も実習も終わり譲治の家へ帰るルイだが、いつもは夕食を準備して玄関にくる彼の姿がない。
飼い猫のジョージの鳴き声の導くままに二階に上がると、仕事用のスーツ姿のままの譲治が動揺を隠せず立っている。
客間のドアを開けベットの布団をはがすと、そこにはＳＦ風プラグスーツを"&amp;"着た譲治そっくりの男が現れて――…⁉
溺愛彼氏分裂型SFラブコメ。")</f>
        <v>「ルイーゼ様・・・俺は貴方の夢を叶えたかった・・・」
太陽の紋様がジョージの胸に刻まれ、怪しく光る
医学生ルイはイケメン金持ち彼氏の譲治と熱烈交際中。
大学でも同級生から羨ましがられているほどに譲治から溺愛されているルイ。
ある日、講義も実習も終わり譲治の家へ帰るルイだが、いつもは夕食を準備して玄関にくる彼の姿がない。
飼い猫のジョージの鳴き声の導くままに二階に上がると、仕事用のスーツ姿のままの譲治が動揺を隠せず立っている。
客間のドアを開けベットの布団をはがすと、そこにはＳＦ風プラグスーツを着た譲治そっくりの男が現れて――…⁉
溺愛彼氏分裂型SFラブコメ。</v>
      </c>
      <c r="W1730" s="14"/>
      <c r="X1730" s="14" t="str">
        <f>IFERROR(__xludf.DUMMYFUNCTION("""COMPUTED_VALUE"""),"有")</f>
        <v>有</v>
      </c>
      <c r="Y1730" s="8" t="str">
        <f>IFERROR(__xludf.DUMMYFUNCTION("""COMPUTED_VALUE"""),"2024/8/12まで1巻無料")</f>
        <v>2024/8/12まで1巻無料</v>
      </c>
      <c r="Z1730" s="7"/>
      <c r="AA1730" s="7"/>
      <c r="AB1730" s="7"/>
    </row>
    <row r="1731" ht="87.75" customHeight="1">
      <c r="A1731" s="66">
        <f>IFERROR(__xludf.DUMMYFUNCTION("""COMPUTED_VALUE"""),3673.0)</f>
        <v>3673</v>
      </c>
      <c r="B1731" s="67" t="str">
        <f>IFERROR(__xludf.DUMMYFUNCTION("""COMPUTED_VALUE"""),"確定")</f>
        <v>確定</v>
      </c>
      <c r="C1731" s="68">
        <f>IFERROR(__xludf.DUMMYFUNCTION("""COMPUTED_VALUE"""),45463.0)</f>
        <v>45463</v>
      </c>
      <c r="D1731" s="68">
        <f>IFERROR(__xludf.DUMMYFUNCTION("""COMPUTED_VALUE"""),45475.0)</f>
        <v>45475</v>
      </c>
      <c r="E1731" s="31">
        <f>IFERROR(__xludf.DUMMYFUNCTION("""COMPUTED_VALUE"""),297617.0)</f>
        <v>297617</v>
      </c>
      <c r="F1731" s="22" t="str">
        <f>IFERROR(__xludf.DUMMYFUNCTION("""COMPUTED_VALUE"""),"僕のいけずな婚約者 連載版")</f>
        <v>僕のいけずな婚約者 連載版</v>
      </c>
      <c r="G1731" s="69" t="str">
        <f>IFERROR(__xludf.DUMMYFUNCTION("""COMPUTED_VALUE"""),"1～4")</f>
        <v>1～4</v>
      </c>
      <c r="H1731" s="67" t="str">
        <f>IFERROR(__xludf.DUMMYFUNCTION("""COMPUTED_VALUE"""),"冬谷リク")</f>
        <v>冬谷リク</v>
      </c>
      <c r="I1731" s="67" t="str">
        <f>IFERROR(__xludf.DUMMYFUNCTION("""COMPUTED_VALUE"""),"少年")</f>
        <v>少年</v>
      </c>
      <c r="J1731" s="67"/>
      <c r="K1731" s="67"/>
      <c r="L1731" s="67" t="str">
        <f>IFERROR(__xludf.DUMMYFUNCTION("""COMPUTED_VALUE"""),"ブシロードワークス")</f>
        <v>ブシロードワークス</v>
      </c>
      <c r="M1731" s="59">
        <f>IFERROR(__xludf.DUMMYFUNCTION("""COMPUTED_VALUE"""),45485.0)</f>
        <v>45485</v>
      </c>
      <c r="N1731" s="59">
        <f>IFERROR(__xludf.DUMMYFUNCTION("""COMPUTED_VALUE"""),45547.0)</f>
        <v>45547</v>
      </c>
      <c r="O1731" s="69"/>
      <c r="P1731" s="70" t="str">
        <f>IFERROR(__xludf.DUMMYFUNCTION("""COMPUTED_VALUE"""),"可")</f>
        <v>可</v>
      </c>
      <c r="Q1731" s="72" t="str">
        <f>IFERROR(__xludf.DUMMYFUNCTION("""COMPUTED_VALUE"""),"広告コミットOK(6/24)")</f>
        <v>広告コミットOK(6/24)</v>
      </c>
      <c r="R1731" s="67"/>
      <c r="S1731" s="67" t="str">
        <f>IFERROR(__xludf.DUMMYFUNCTION("""COMPUTED_VALUE"""),"20240628_ブシロードワークス_僕のいけずな婚約者")</f>
        <v>20240628_ブシロードワークス_僕のいけずな婚約者</v>
      </c>
      <c r="T1731" s="67" t="str">
        <f>IFERROR(__xludf.DUMMYFUNCTION("""COMPUTED_VALUE"""),"格納済み")</f>
        <v>格納済み</v>
      </c>
      <c r="U1731" s="15" t="str">
        <f>IFERROR(__xludf.DUMMYFUNCTION("""COMPUTED_VALUE"""),"©冬谷リク／BUSHIROAD WORKS")</f>
        <v>©冬谷リク／BUSHIROAD WORKS</v>
      </c>
      <c r="V1731" s="8" t="str">
        <f>IFERROR(__xludf.DUMMYFUNCTION("""COMPUTED_VALUE"""),"御幸さんは京都生まれのお嬢様。そんな彼女との関係は良好とは言い難い。
今の言葉は本音？建前？二人で綴るもどかしい恋の物語。")</f>
        <v>御幸さんは京都生まれのお嬢様。そんな彼女との関係は良好とは言い難い。
今の言葉は本音？建前？二人で綴るもどかしい恋の物語。</v>
      </c>
      <c r="W1731" s="14"/>
      <c r="X1731" s="14" t="str">
        <f>IFERROR(__xludf.DUMMYFUNCTION("""COMPUTED_VALUE"""),"有")</f>
        <v>有</v>
      </c>
      <c r="Y1731" s="8" t="str">
        <f>IFERROR(__xludf.DUMMYFUNCTION("""COMPUTED_VALUE"""),"2024/9/12まで1～2巻無料")</f>
        <v>2024/9/12まで1～2巻無料</v>
      </c>
      <c r="Z1731" s="7"/>
      <c r="AA1731" s="7"/>
      <c r="AB1731" s="7"/>
    </row>
    <row r="1732" ht="15.75" customHeight="1">
      <c r="A1732" s="66">
        <f>IFERROR(__xludf.DUMMYFUNCTION("""COMPUTED_VALUE"""),3676.0)</f>
        <v>3676</v>
      </c>
      <c r="B1732" s="67" t="str">
        <f>IFERROR(__xludf.DUMMYFUNCTION("""COMPUTED_VALUE"""),"確定")</f>
        <v>確定</v>
      </c>
      <c r="C1732" s="68">
        <f>IFERROR(__xludf.DUMMYFUNCTION("""COMPUTED_VALUE"""),45464.0)</f>
        <v>45464</v>
      </c>
      <c r="D1732" s="68">
        <f>IFERROR(__xludf.DUMMYFUNCTION("""COMPUTED_VALUE"""),45475.0)</f>
        <v>45475</v>
      </c>
      <c r="E1732" s="60">
        <f>IFERROR(__xludf.DUMMYFUNCTION("""COMPUTED_VALUE"""),303709.0)</f>
        <v>303709</v>
      </c>
      <c r="F1732" s="61" t="str">
        <f>IFERROR(__xludf.DUMMYFUNCTION("""COMPUTED_VALUE"""),"【分冊版】重なる影にビターキス")</f>
        <v>【分冊版】重なる影にビターキス</v>
      </c>
      <c r="G1732" s="69" t="str">
        <f>IFERROR(__xludf.DUMMYFUNCTION("""COMPUTED_VALUE"""),"1～3")</f>
        <v>1～3</v>
      </c>
      <c r="H1732" s="67" t="str">
        <f>IFERROR(__xludf.DUMMYFUNCTION("""COMPUTED_VALUE"""),"丸賀")</f>
        <v>丸賀</v>
      </c>
      <c r="I1732" s="67" t="str">
        <f>IFERROR(__xludf.DUMMYFUNCTION("""COMPUTED_VALUE"""),"BL")</f>
        <v>BL</v>
      </c>
      <c r="J1732" s="67"/>
      <c r="K1732" s="67"/>
      <c r="L1732" s="67" t="str">
        <f>IFERROR(__xludf.DUMMYFUNCTION("""COMPUTED_VALUE"""),"GOT")</f>
        <v>GOT</v>
      </c>
      <c r="M1732" s="59">
        <f>IFERROR(__xludf.DUMMYFUNCTION("""COMPUTED_VALUE"""),45562.0)</f>
        <v>45562</v>
      </c>
      <c r="N1732" s="77">
        <f>IFERROR(__xludf.DUMMYFUNCTION("""COMPUTED_VALUE"""),45622.0)</f>
        <v>45622</v>
      </c>
      <c r="O1732" s="69"/>
      <c r="P1732" s="70" t="str">
        <f>IFERROR(__xludf.DUMMYFUNCTION("""COMPUTED_VALUE"""),"可")</f>
        <v>可</v>
      </c>
      <c r="Q1732" s="72" t="str">
        <f>IFERROR(__xludf.DUMMYFUNCTION("""COMPUTED_VALUE"""),"広告コミットOK(6/24)")</f>
        <v>広告コミットOK(6/24)</v>
      </c>
      <c r="R1732" s="67"/>
      <c r="S1732" s="67" t="str">
        <f>IFERROR(__xludf.DUMMYFUNCTION("""COMPUTED_VALUE"""),"20240621_GOT_【分冊版】重なる影にビターキス")</f>
        <v>20240621_GOT_【分冊版】重なる影にビターキス</v>
      </c>
      <c r="T1732" s="67" t="str">
        <f>IFERROR(__xludf.DUMMYFUNCTION("""COMPUTED_VALUE"""),"格納済み")</f>
        <v>格納済み</v>
      </c>
      <c r="U1732" s="15" t="str">
        <f>IFERROR(__xludf.DUMMYFUNCTION("""COMPUTED_VALUE"""),"©丸賀／ジーオーティー")</f>
        <v>©丸賀／ジーオーティー</v>
      </c>
      <c r="V1732" s="8" t="str">
        <f>IFERROR(__xludf.DUMMYFUNCTION("""COMPUTED_VALUE"""),"小説家の相澤克彦は８年付き合った彼女に振られたショックから反社のような出立ちで帰路につこうとするも、電車の中で痴漢現場に遭遇。
撃退しようとした最中、ものすごい勢いで痴漢を取り押さえる少年、常盤鷹人が現れる。
その後、何事もなく去ろうとする鷹人を呼び止めた克彦だが
気がつくと自分の家のベットで鷹人を襲いそうになっていた。
痴漢の事情聴取の後、自身が飲みに行きそのまま克彦の家に連れ込んだと知って混乱の嵐！
鷹人は奢ってくれたお礼に「抜きますよ」と提案をしてきてーー。")</f>
        <v>小説家の相澤克彦は８年付き合った彼女に振られたショックから反社のような出立ちで帰路につこうとするも、電車の中で痴漢現場に遭遇。
撃退しようとした最中、ものすごい勢いで痴漢を取り押さえる少年、常盤鷹人が現れる。
その後、何事もなく去ろうとする鷹人を呼び止めた克彦だが
気がつくと自分の家のベットで鷹人を襲いそうになっていた。
痴漢の事情聴取の後、自身が飲みに行きそのまま克彦の家に連れ込んだと知って混乱の嵐！
鷹人は奢ってくれたお礼に「抜きますよ」と提案をしてきてーー。</v>
      </c>
      <c r="W1732" s="14"/>
      <c r="X1732" s="14" t="str">
        <f>IFERROR(__xludf.DUMMYFUNCTION("""COMPUTED_VALUE"""),"有")</f>
        <v>有</v>
      </c>
      <c r="Y1732" s="8" t="str">
        <f>IFERROR(__xludf.DUMMYFUNCTION("""COMPUTED_VALUE"""),"2024/11/26まで1巻無料")</f>
        <v>2024/11/26まで1巻無料</v>
      </c>
      <c r="Z1732" s="7"/>
      <c r="AA1732" s="7"/>
      <c r="AB1732" s="7"/>
    </row>
    <row r="1733" ht="15.75" customHeight="1">
      <c r="A1733" s="66">
        <f>IFERROR(__xludf.DUMMYFUNCTION("""COMPUTED_VALUE"""),3684.0)</f>
        <v>3684</v>
      </c>
      <c r="B1733" s="67" t="str">
        <f>IFERROR(__xludf.DUMMYFUNCTION("""COMPUTED_VALUE"""),"確定")</f>
        <v>確定</v>
      </c>
      <c r="C1733" s="68">
        <f>IFERROR(__xludf.DUMMYFUNCTION("""COMPUTED_VALUE"""),45468.0)</f>
        <v>45468</v>
      </c>
      <c r="D1733" s="68">
        <f>IFERROR(__xludf.DUMMYFUNCTION("""COMPUTED_VALUE"""),45475.0)</f>
        <v>45475</v>
      </c>
      <c r="E1733" s="26">
        <f>IFERROR(__xludf.DUMMYFUNCTION("""COMPUTED_VALUE"""),259792.0)</f>
        <v>259792</v>
      </c>
      <c r="F1733" s="22" t="str">
        <f>IFERROR(__xludf.DUMMYFUNCTION("""COMPUTED_VALUE"""),"推しの王子が離してくれない")</f>
        <v>推しの王子が離してくれない</v>
      </c>
      <c r="G1733" s="11" t="str">
        <f>IFERROR(__xludf.DUMMYFUNCTION("""COMPUTED_VALUE"""),"1～2")</f>
        <v>1～2</v>
      </c>
      <c r="H1733" s="67" t="str">
        <f>IFERROR(__xludf.DUMMYFUNCTION("""COMPUTED_VALUE"""),"奏井カナ")</f>
        <v>奏井カナ</v>
      </c>
      <c r="I1733" s="75" t="str">
        <f>IFERROR(__xludf.DUMMYFUNCTION("""COMPUTED_VALUE"""),"BL")</f>
        <v>BL</v>
      </c>
      <c r="J1733" s="67"/>
      <c r="K1733" s="67"/>
      <c r="L1733" s="67" t="str">
        <f>IFERROR(__xludf.DUMMYFUNCTION("""COMPUTED_VALUE"""),"ソルマーレ編集部")</f>
        <v>ソルマーレ編集部</v>
      </c>
      <c r="M1733" s="59">
        <f>IFERROR(__xludf.DUMMYFUNCTION("""COMPUTED_VALUE"""),45500.0)</f>
        <v>45500</v>
      </c>
      <c r="N1733" s="59">
        <f>IFERROR(__xludf.DUMMYFUNCTION("""COMPUTED_VALUE"""),45561.0)</f>
        <v>45561</v>
      </c>
      <c r="O1733" s="69"/>
      <c r="P1733" s="71" t="str">
        <f>IFERROR(__xludf.DUMMYFUNCTION("""COMPUTED_VALUE"""),"可")</f>
        <v>可</v>
      </c>
      <c r="Q1733" s="72"/>
      <c r="R1733" s="67"/>
      <c r="S1733" s="67" t="str">
        <f>IFERROR(__xludf.DUMMYFUNCTION("""COMPUTED_VALUE"""),"20240628_ソルマーレ編集部_推しの王子が離してくれない")</f>
        <v>20240628_ソルマーレ編集部_推しの王子が離してくれない</v>
      </c>
      <c r="T1733" s="67" t="str">
        <f>IFERROR(__xludf.DUMMYFUNCTION("""COMPUTED_VALUE"""),"格納済み")</f>
        <v>格納済み</v>
      </c>
      <c r="U1733" s="15" t="str">
        <f>IFERROR(__xludf.DUMMYFUNCTION("""COMPUTED_VALUE"""),"Ⓒ 奏井カナ/シーモアコミックス")</f>
        <v>Ⓒ 奏井カナ/シーモアコミックス</v>
      </c>
      <c r="V1733" s="8" t="str">
        <f>IFERROR(__xludf.DUMMYFUNCTION("""COMPUTED_VALUE"""),"トップ配信者の亜蓮(あれん)に憧れ、同事務所に所属することになった七晴(ななせ)。後輩にも優しく接する亜蓮はまるで王子様のような存在で、七晴はこの上なく心酔していた。しかしある日、七晴は亜蓮の裏の顔を知ってしまい、ショックを受ける。そして自分の弱みを握られたと勘違いした亜蓮は七晴に接近し、監視することに…。予想外の展開に戸惑いつつも、またとないチャンスに奮闘する七晴。「マジでかわいいじゃん、気に入ったよ」そして、七晴の一途な思いと努力に亜蓮の感情も変化していき―…!? 【フィカス】")</f>
        <v>トップ配信者の亜蓮(あれん)に憧れ、同事務所に所属することになった七晴(ななせ)。後輩にも優しく接する亜蓮はまるで王子様のような存在で、七晴はこの上なく心酔していた。しかしある日、七晴は亜蓮の裏の顔を知ってしまい、ショックを受ける。そして自分の弱みを握られたと勘違いした亜蓮は七晴に接近し、監視することに…。予想外の展開に戸惑いつつも、またとないチャンスに奮闘する七晴。「マジでかわいいじゃん、気に入ったよ」そして、七晴の一途な思いと努力に亜蓮の感情も変化していき―…!? 【フィカス】</v>
      </c>
      <c r="W1733" s="14"/>
      <c r="X1733" s="14" t="str">
        <f>IFERROR(__xludf.DUMMYFUNCTION("""COMPUTED_VALUE"""),"有")</f>
        <v>有</v>
      </c>
      <c r="Y1733" s="8" t="str">
        <f>IFERROR(__xludf.DUMMYFUNCTION("""COMPUTED_VALUE"""),"P11まで")</f>
        <v>P11まで</v>
      </c>
      <c r="Z1733" s="7"/>
      <c r="AA1733" s="7"/>
      <c r="AB1733" s="7"/>
    </row>
    <row r="1734" ht="15.75" customHeight="1">
      <c r="A1734" s="66">
        <f>IFERROR(__xludf.DUMMYFUNCTION("""COMPUTED_VALUE"""),3685.0)</f>
        <v>3685</v>
      </c>
      <c r="B1734" s="67" t="str">
        <f>IFERROR(__xludf.DUMMYFUNCTION("""COMPUTED_VALUE"""),"確定")</f>
        <v>確定</v>
      </c>
      <c r="C1734" s="68">
        <f>IFERROR(__xludf.DUMMYFUNCTION("""COMPUTED_VALUE"""),45468.0)</f>
        <v>45468</v>
      </c>
      <c r="D1734" s="68">
        <f>IFERROR(__xludf.DUMMYFUNCTION("""COMPUTED_VALUE"""),45476.0)</f>
        <v>45476</v>
      </c>
      <c r="E1734" s="26">
        <f>IFERROR(__xludf.DUMMYFUNCTION("""COMPUTED_VALUE"""),286204.0)</f>
        <v>286204</v>
      </c>
      <c r="F1734" s="22" t="str">
        <f>IFERROR(__xludf.DUMMYFUNCTION("""COMPUTED_VALUE"""),"超肉食系年下男子たちに溺愛されて困っています(フルカラー)")</f>
        <v>超肉食系年下男子たちに溺愛されて困っています(フルカラー)</v>
      </c>
      <c r="G1734" s="69" t="str">
        <f>IFERROR(__xludf.DUMMYFUNCTION("""COMPUTED_VALUE"""),"1～3")</f>
        <v>1～3</v>
      </c>
      <c r="H1734" s="67" t="str">
        <f>IFERROR(__xludf.DUMMYFUNCTION("""COMPUTED_VALUE"""),"黒トカゲ,J.PLUM,黒茶")</f>
        <v>黒トカゲ,J.PLUM,黒茶</v>
      </c>
      <c r="I1734" s="14" t="str">
        <f>IFERROR(__xludf.DUMMYFUNCTION("""COMPUTED_VALUE"""),"女性")</f>
        <v>女性</v>
      </c>
      <c r="J1734" s="67"/>
      <c r="K1734" s="67"/>
      <c r="L1734" s="67" t="str">
        <f>IFERROR(__xludf.DUMMYFUNCTION("""COMPUTED_VALUE"""),"ソルマーレ編集部")</f>
        <v>ソルマーレ編集部</v>
      </c>
      <c r="M1734" s="59">
        <f>IFERROR(__xludf.DUMMYFUNCTION("""COMPUTED_VALUE"""),45500.0)</f>
        <v>45500</v>
      </c>
      <c r="N1734" s="59">
        <f>IFERROR(__xludf.DUMMYFUNCTION("""COMPUTED_VALUE"""),45561.0)</f>
        <v>45561</v>
      </c>
      <c r="O1734" s="69"/>
      <c r="P1734" s="70" t="str">
        <f>IFERROR(__xludf.DUMMYFUNCTION("""COMPUTED_VALUE"""),"可")</f>
        <v>可</v>
      </c>
      <c r="Q1734" s="72" t="str">
        <f>IFERROR(__xludf.DUMMYFUNCTION("""COMPUTED_VALUE"""),"レーベル：スキして?桃色日記&lt;BR&gt;ジャンル「女性」で確認済")</f>
        <v>レーベル：スキして?桃色日記&lt;BR&gt;ジャンル「女性」で確認済</v>
      </c>
      <c r="R1734" s="67"/>
      <c r="S1734" s="67" t="str">
        <f>IFERROR(__xludf.DUMMYFUNCTION("""COMPUTED_VALUE"""),"20240701_ソルマーレ編集部_超肉食系年下男子たちに溺愛されて困っています（フルカラー）")</f>
        <v>20240701_ソルマーレ編集部_超肉食系年下男子たちに溺愛されて困っています（フルカラー）</v>
      </c>
      <c r="T1734" s="67" t="str">
        <f>IFERROR(__xludf.DUMMYFUNCTION("""COMPUTED_VALUE"""),"格納済み")</f>
        <v>格納済み</v>
      </c>
      <c r="U1734" s="15" t="str">
        <f>IFERROR(__xludf.DUMMYFUNCTION("""COMPUTED_VALUE"""),"Ⓒ 黒トカゲ/J. PLUM/黒茶/GTENT/シーモアコミックス")</f>
        <v>Ⓒ 黒トカゲ/J. PLUM/黒茶/GTENT/シーモアコミックス</v>
      </c>
      <c r="V1734" s="8" t="str">
        <f>IFERROR(__xludf.DUMMYFUNCTION("""COMPUTED_VALUE"""),"5年付き合った彼氏にフラれ、性欲を持て余すようになった菅野美鈴は、新しい出会いを求めて始めたアプリで8歳年下の現役体育大生と会うことに。当日、待ち合わせ場所に着いてみると、相手は友達連れで来ていた…落胆する美鈴に甘美な提案が持ち掛けられて！？「じゃあ、3人でっていうのは…どう？」【桃色日記】")</f>
        <v>5年付き合った彼氏にフラれ、性欲を持て余すようになった菅野美鈴は、新しい出会いを求めて始めたアプリで8歳年下の現役体育大生と会うことに。当日、待ち合わせ場所に着いてみると、相手は友達連れで来ていた…落胆する美鈴に甘美な提案が持ち掛けられて！？「じゃあ、3人でっていうのは…どう？」【桃色日記】</v>
      </c>
      <c r="W1734" s="14"/>
      <c r="X1734" s="14" t="str">
        <f>IFERROR(__xludf.DUMMYFUNCTION("""COMPUTED_VALUE"""),"有")</f>
        <v>有</v>
      </c>
      <c r="Y1734" s="8" t="str">
        <f>IFERROR(__xludf.DUMMYFUNCTION("""COMPUTED_VALUE"""),"2024/8/23まで1巻無料")</f>
        <v>2024/8/23まで1巻無料</v>
      </c>
      <c r="Z1734" s="7"/>
      <c r="AA1734" s="7"/>
      <c r="AB1734" s="7"/>
    </row>
    <row r="1735" ht="15.75" customHeight="1">
      <c r="A1735" s="66">
        <f>IFERROR(__xludf.DUMMYFUNCTION("""COMPUTED_VALUE"""),3686.0)</f>
        <v>3686</v>
      </c>
      <c r="B1735" s="67" t="str">
        <f>IFERROR(__xludf.DUMMYFUNCTION("""COMPUTED_VALUE"""),"確定")</f>
        <v>確定</v>
      </c>
      <c r="C1735" s="68">
        <f>IFERROR(__xludf.DUMMYFUNCTION("""COMPUTED_VALUE"""),45468.0)</f>
        <v>45468</v>
      </c>
      <c r="D1735" s="68">
        <f>IFERROR(__xludf.DUMMYFUNCTION("""COMPUTED_VALUE"""),45476.0)</f>
        <v>45476</v>
      </c>
      <c r="E1735" s="26">
        <f>IFERROR(__xludf.DUMMYFUNCTION("""COMPUTED_VALUE"""),286205.0)</f>
        <v>286205</v>
      </c>
      <c r="F1735" s="22" t="str">
        <f>IFERROR(__xludf.DUMMYFUNCTION("""COMPUTED_VALUE"""),"超肉食系年下男子たちに溺愛されて困っています【タテヨミ】")</f>
        <v>超肉食系年下男子たちに溺愛されて困っています【タテヨミ】</v>
      </c>
      <c r="G1735" s="16" t="str">
        <f>IFERROR(__xludf.DUMMYFUNCTION("""COMPUTED_VALUE"""),"1～12")</f>
        <v>1～12</v>
      </c>
      <c r="H1735" s="67" t="str">
        <f>IFERROR(__xludf.DUMMYFUNCTION("""COMPUTED_VALUE"""),"黒トカゲ,J.PLUM,黒茶")</f>
        <v>黒トカゲ,J.PLUM,黒茶</v>
      </c>
      <c r="I1735" s="14" t="str">
        <f>IFERROR(__xludf.DUMMYFUNCTION("""COMPUTED_VALUE"""),"女性")</f>
        <v>女性</v>
      </c>
      <c r="J1735" s="67"/>
      <c r="K1735" s="67"/>
      <c r="L1735" s="67" t="str">
        <f>IFERROR(__xludf.DUMMYFUNCTION("""COMPUTED_VALUE"""),"ソルマーレ編集部")</f>
        <v>ソルマーレ編集部</v>
      </c>
      <c r="M1735" s="59">
        <f>IFERROR(__xludf.DUMMYFUNCTION("""COMPUTED_VALUE"""),45500.0)</f>
        <v>45500</v>
      </c>
      <c r="N1735" s="59">
        <f>IFERROR(__xludf.DUMMYFUNCTION("""COMPUTED_VALUE"""),45561.0)</f>
        <v>45561</v>
      </c>
      <c r="O1735" s="69"/>
      <c r="P1735" s="70" t="str">
        <f>IFERROR(__xludf.DUMMYFUNCTION("""COMPUTED_VALUE"""),"可")</f>
        <v>可</v>
      </c>
      <c r="Q1735" s="72" t="str">
        <f>IFERROR(__xludf.DUMMYFUNCTION("""COMPUTED_VALUE"""),"※コマサム等素材は「286204 超肉食系年下男子たちに溺愛されて困っています（フルカラー）」のほうをお使いください。&lt;BR&gt;バナー制作はフルカラー版の素材を利用して問題ございません。&lt;BR&gt;ジャンル「女性」で確認済&lt;BR&gt;レーベル：スキして?桃色日記")</f>
        <v>※コマサム等素材は「286204 超肉食系年下男子たちに溺愛されて困っています（フルカラー）」のほうをお使いください。&lt;BR&gt;バナー制作はフルカラー版の素材を利用して問題ございません。&lt;BR&gt;ジャンル「女性」で確認済&lt;BR&gt;レーベル：スキして?桃色日記</v>
      </c>
      <c r="R1735" s="67"/>
      <c r="S1735" s="67" t="str">
        <f>IFERROR(__xludf.DUMMYFUNCTION("""COMPUTED_VALUE"""),"20240628_ソルマーレ編集部_超肉食系年下男子たちに溺愛されて困っています【タテヨミ】")</f>
        <v>20240628_ソルマーレ編集部_超肉食系年下男子たちに溺愛されて困っています【タテヨミ】</v>
      </c>
      <c r="T1735" s="67" t="str">
        <f>IFERROR(__xludf.DUMMYFUNCTION("""COMPUTED_VALUE"""),"格納済み")</f>
        <v>格納済み</v>
      </c>
      <c r="U1735" s="15" t="str">
        <f>IFERROR(__xludf.DUMMYFUNCTION("""COMPUTED_VALUE"""),"Ⓒ 黒トカゲ/J. PLUM/黒茶/GTENT/シーモアコミックス")</f>
        <v>Ⓒ 黒トカゲ/J. PLUM/黒茶/GTENT/シーモアコミックス</v>
      </c>
      <c r="V1735" s="8" t="str">
        <f>IFERROR(__xludf.DUMMYFUNCTION("""COMPUTED_VALUE"""),"5年付き合った彼氏にフラれ、性欲を持て余すようになった菅野美鈴は、新しい出会いを求めて始めたアプリで8歳年下の現役体育大生と会うことに。当日、待ち合わせ場所に着いてみると、相手は友達連れで来ていた…落胆する美鈴に甘美な提案が持ち掛けられて！？「じゃあ、3人でっていうのは…どう？」【桃色日記】")</f>
        <v>5年付き合った彼氏にフラれ、性欲を持て余すようになった菅野美鈴は、新しい出会いを求めて始めたアプリで8歳年下の現役体育大生と会うことに。当日、待ち合わせ場所に着いてみると、相手は友達連れで来ていた…落胆する美鈴に甘美な提案が持ち掛けられて！？「じゃあ、3人でっていうのは…どう？」【桃色日記】</v>
      </c>
      <c r="W1735" s="14"/>
      <c r="X1735" s="14" t="str">
        <f>IFERROR(__xludf.DUMMYFUNCTION("""COMPUTED_VALUE"""),"有")</f>
        <v>有</v>
      </c>
      <c r="Y1735" s="8" t="str">
        <f>IFERROR(__xludf.DUMMYFUNCTION("""COMPUTED_VALUE"""),"2024/8/23まで1～4巻無料")</f>
        <v>2024/8/23まで1～4巻無料</v>
      </c>
      <c r="Z1735" s="7"/>
      <c r="AA1735" s="7"/>
      <c r="AB1735" s="7"/>
    </row>
    <row r="1736" ht="15.75" customHeight="1">
      <c r="A1736" s="66">
        <f>IFERROR(__xludf.DUMMYFUNCTION("""COMPUTED_VALUE"""),3696.0)</f>
        <v>3696</v>
      </c>
      <c r="B1736" s="67" t="str">
        <f>IFERROR(__xludf.DUMMYFUNCTION("""COMPUTED_VALUE"""),"確定")</f>
        <v>確定</v>
      </c>
      <c r="C1736" s="68">
        <f>IFERROR(__xludf.DUMMYFUNCTION("""COMPUTED_VALUE"""),45469.0)</f>
        <v>45469</v>
      </c>
      <c r="D1736" s="68">
        <f>IFERROR(__xludf.DUMMYFUNCTION("""COMPUTED_VALUE"""),45474.0)</f>
        <v>45474</v>
      </c>
      <c r="E1736" s="31">
        <f>IFERROR(__xludf.DUMMYFUNCTION("""COMPUTED_VALUE"""),296152.0)</f>
        <v>296152</v>
      </c>
      <c r="F1736" s="22" t="str">
        <f>IFERROR(__xludf.DUMMYFUNCTION("""COMPUTED_VALUE"""),"あざと可愛い幼なじみの激重執着愛 気づいたら…堕ちる")</f>
        <v>あざと可愛い幼なじみの激重執着愛 気づいたら…堕ちる</v>
      </c>
      <c r="G1736" s="69" t="str">
        <f>IFERROR(__xludf.DUMMYFUNCTION("""COMPUTED_VALUE"""),"1～3")</f>
        <v>1～3</v>
      </c>
      <c r="H1736" s="67" t="str">
        <f>IFERROR(__xludf.DUMMYFUNCTION("""COMPUTED_VALUE"""),"夜行性")</f>
        <v>夜行性</v>
      </c>
      <c r="I1736" s="67" t="str">
        <f>IFERROR(__xludf.DUMMYFUNCTION("""COMPUTED_VALUE"""),"TL")</f>
        <v>TL</v>
      </c>
      <c r="J1736" s="67"/>
      <c r="K1736" s="67"/>
      <c r="L1736" s="67" t="str">
        <f>IFERROR(__xludf.DUMMYFUNCTION("""COMPUTED_VALUE"""),"一迅社")</f>
        <v>一迅社</v>
      </c>
      <c r="M1736" s="23">
        <f>IFERROR(__xludf.DUMMYFUNCTION("""COMPUTED_VALUE"""),45492.0)</f>
        <v>45492</v>
      </c>
      <c r="N1736" s="23">
        <f>IFERROR(__xludf.DUMMYFUNCTION("""COMPUTED_VALUE"""),45519.0)</f>
        <v>45519</v>
      </c>
      <c r="O1736" s="69"/>
      <c r="P1736" s="80" t="str">
        <f>IFERROR(__xludf.DUMMYFUNCTION("""COMPUTED_VALUE"""),"可")</f>
        <v>可</v>
      </c>
      <c r="Q1736" s="72" t="str">
        <f>IFERROR(__xludf.DUMMYFUNCTION("""COMPUTED_VALUE"""),"・レーベル名「LOVEBITES」")</f>
        <v>・レーベル名「LOVEBITES」</v>
      </c>
      <c r="R1736" s="67"/>
      <c r="S1736" s="67" t="str">
        <f>IFERROR(__xludf.DUMMYFUNCTION("""COMPUTED_VALUE"""),"20240626_一迅社_あざと可愛い幼なじみの激重執着愛 気づいたら…堕ちる")</f>
        <v>20240626_一迅社_あざと可愛い幼なじみの激重執着愛 気づいたら…堕ちる</v>
      </c>
      <c r="T1736" s="67" t="str">
        <f>IFERROR(__xludf.DUMMYFUNCTION("""COMPUTED_VALUE"""),"格納済み")</f>
        <v>格納済み</v>
      </c>
      <c r="U1736" s="15" t="str">
        <f>IFERROR(__xludf.DUMMYFUNCTION("""COMPUTED_VALUE"""),"(C)夜行性／一迅社")</f>
        <v>(C)夜行性／一迅社</v>
      </c>
      <c r="V1736" s="8" t="str">
        <f>IFERROR(__xludf.DUMMYFUNCTION("""COMPUTED_VALUE"""),"「幼馴染とこんなこと…ダメなのに…！」可愛い幼馴染…の正体は激重執着男！？赤崎さくらは大学生。ちょっと気になる憧れの先輩もいて充実した毎日を過ごしている。幼馴染の東堂翔にぽろっと「好きな人がいる」と言ったら、彼の様子が豹変して…？「これは練習だよ」っていうけど、翔の大きな手に触られてるとふわふわして気持ちよくて…。可愛かった幼馴染が、いつから「オトコ」の顔をするようになったの…！？")</f>
        <v>「幼馴染とこんなこと…ダメなのに…！」可愛い幼馴染…の正体は激重執着男！？赤崎さくらは大学生。ちょっと気になる憧れの先輩もいて充実した毎日を過ごしている。幼馴染の東堂翔にぽろっと「好きな人がいる」と言ったら、彼の様子が豹変して…？「これは練習だよ」っていうけど、翔の大きな手に触られてるとふわふわして気持ちよくて…。可愛かった幼馴染が、いつから「オトコ」の顔をするようになったの…！？</v>
      </c>
      <c r="W1736" s="14"/>
      <c r="X1736" s="14" t="str">
        <f>IFERROR(__xludf.DUMMYFUNCTION("""COMPUTED_VALUE"""),"有")</f>
        <v>有</v>
      </c>
      <c r="Y1736" s="8" t="str">
        <f>IFERROR(__xludf.DUMMYFUNCTION("""COMPUTED_VALUE"""),"2024/8/15まで1巻無料")</f>
        <v>2024/8/15まで1巻無料</v>
      </c>
      <c r="Z1736" s="7"/>
      <c r="AA1736" s="7"/>
      <c r="AB1736" s="7"/>
    </row>
    <row r="1737" ht="15.75" customHeight="1">
      <c r="A1737" s="66">
        <f>IFERROR(__xludf.DUMMYFUNCTION("""COMPUTED_VALUE"""),3697.0)</f>
        <v>3697</v>
      </c>
      <c r="B1737" s="67" t="str">
        <f>IFERROR(__xludf.DUMMYFUNCTION("""COMPUTED_VALUE"""),"確定")</f>
        <v>確定</v>
      </c>
      <c r="C1737" s="68">
        <f>IFERROR(__xludf.DUMMYFUNCTION("""COMPUTED_VALUE"""),45469.0)</f>
        <v>45469</v>
      </c>
      <c r="D1737" s="68">
        <f>IFERROR(__xludf.DUMMYFUNCTION("""COMPUTED_VALUE"""),45474.0)</f>
        <v>45474</v>
      </c>
      <c r="E1737" s="31">
        <f>IFERROR(__xludf.DUMMYFUNCTION("""COMPUTED_VALUE"""),298545.0)</f>
        <v>298545</v>
      </c>
      <c r="F1737" s="22" t="str">
        <f>IFERROR(__xludf.DUMMYFUNCTION("""COMPUTED_VALUE"""),"今日もきみとはじめての夜を 大きな熊さん先生は怖がり小鹿を甘く溶かす")</f>
        <v>今日もきみとはじめての夜を 大きな熊さん先生は怖がり小鹿を甘く溶かす</v>
      </c>
      <c r="G1737" s="69" t="str">
        <f>IFERROR(__xludf.DUMMYFUNCTION("""COMPUTED_VALUE"""),"1～3")</f>
        <v>1～3</v>
      </c>
      <c r="H1737" s="67" t="str">
        <f>IFERROR(__xludf.DUMMYFUNCTION("""COMPUTED_VALUE"""),"いぬぞの")</f>
        <v>いぬぞの</v>
      </c>
      <c r="I1737" s="67" t="str">
        <f>IFERROR(__xludf.DUMMYFUNCTION("""COMPUTED_VALUE"""),"TL")</f>
        <v>TL</v>
      </c>
      <c r="J1737" s="67"/>
      <c r="K1737" s="67"/>
      <c r="L1737" s="67" t="str">
        <f>IFERROR(__xludf.DUMMYFUNCTION("""COMPUTED_VALUE"""),"一迅社")</f>
        <v>一迅社</v>
      </c>
      <c r="M1737" s="23">
        <f>IFERROR(__xludf.DUMMYFUNCTION("""COMPUTED_VALUE"""),45492.0)</f>
        <v>45492</v>
      </c>
      <c r="N1737" s="23">
        <f>IFERROR(__xludf.DUMMYFUNCTION("""COMPUTED_VALUE"""),45519.0)</f>
        <v>45519</v>
      </c>
      <c r="O1737" s="69"/>
      <c r="P1737" s="80" t="str">
        <f>IFERROR(__xludf.DUMMYFUNCTION("""COMPUTED_VALUE"""),"可")</f>
        <v>可</v>
      </c>
      <c r="Q1737" s="72" t="str">
        <f>IFERROR(__xludf.DUMMYFUNCTION("""COMPUTED_VALUE"""),"・レーベル名「LOVEBITES」       ")</f>
        <v>・レーベル名「LOVEBITES」       </v>
      </c>
      <c r="R1737" s="67"/>
      <c r="S1737" s="67" t="str">
        <f>IFERROR(__xludf.DUMMYFUNCTION("""COMPUTED_VALUE"""),"20240626_一迅社_今日もきみとはじめての夜を。大きな熊さん先生は怖がり小鹿を甘く溶かす")</f>
        <v>20240626_一迅社_今日もきみとはじめての夜を。大きな熊さん先生は怖がり小鹿を甘く溶かす</v>
      </c>
      <c r="T1737" s="67" t="str">
        <f>IFERROR(__xludf.DUMMYFUNCTION("""COMPUTED_VALUE"""),"格納済み")</f>
        <v>格納済み</v>
      </c>
      <c r="U1737" s="15" t="str">
        <f>IFERROR(__xludf.DUMMYFUNCTION("""COMPUTED_VALUE"""),"(C)いぬぞの／一迅社")</f>
        <v>(C)いぬぞの／一迅社</v>
      </c>
      <c r="V1737" s="8" t="str">
        <f>IFERROR(__xludf.DUMMYFUNCTION("""COMPUTED_VALUE"""),"「じゃあ今日はキスだけ…」予備校教師として働く梨木りさ。生徒からは少し怖がられてしまっている。そんなある日、自分とは全く真逆の「熊さん先生」こと熊谷さんに食事に誘われて…？優しい彼に惹かれるりさだが、実は悩みがあって…。それは、「不感症」であるということ。胸も小さいし、熊谷さんにがっかりされるくらいなら…！と思い、自ら誘ってみたら熊谷さんは予想外の反応を…！？大きな掌で優しく包み込まれて…今までにない感覚、これが「イク」ってこと…！？")</f>
        <v>「じゃあ今日はキスだけ…」予備校教師として働く梨木りさ。生徒からは少し怖がられてしまっている。そんなある日、自分とは全く真逆の「熊さん先生」こと熊谷さんに食事に誘われて…？優しい彼に惹かれるりさだが、実は悩みがあって…。それは、「不感症」であるということ。胸も小さいし、熊谷さんにがっかりされるくらいなら…！と思い、自ら誘ってみたら熊谷さんは予想外の反応を…！？大きな掌で優しく包み込まれて…今までにない感覚、これが「イク」ってこと…！？</v>
      </c>
      <c r="W1737" s="14"/>
      <c r="X1737" s="14" t="str">
        <f>IFERROR(__xludf.DUMMYFUNCTION("""COMPUTED_VALUE"""),"有")</f>
        <v>有</v>
      </c>
      <c r="Y1737" s="8" t="str">
        <f>IFERROR(__xludf.DUMMYFUNCTION("""COMPUTED_VALUE"""),"2024/8/15まで1巻無料")</f>
        <v>2024/8/15まで1巻無料</v>
      </c>
      <c r="Z1737" s="7"/>
      <c r="AA1737" s="7"/>
      <c r="AB1737" s="7"/>
    </row>
    <row r="1738" ht="15.75" customHeight="1">
      <c r="A1738" s="66">
        <f>IFERROR(__xludf.DUMMYFUNCTION("""COMPUTED_VALUE"""),3699.0)</f>
        <v>3699</v>
      </c>
      <c r="B1738" s="67" t="str">
        <f>IFERROR(__xludf.DUMMYFUNCTION("""COMPUTED_VALUE"""),"確定")</f>
        <v>確定</v>
      </c>
      <c r="C1738" s="68">
        <f>IFERROR(__xludf.DUMMYFUNCTION("""COMPUTED_VALUE"""),45469.0)</f>
        <v>45469</v>
      </c>
      <c r="D1738" s="68">
        <f>IFERROR(__xludf.DUMMYFUNCTION("""COMPUTED_VALUE"""),45474.0)</f>
        <v>45474</v>
      </c>
      <c r="E1738" s="31">
        <f>IFERROR(__xludf.DUMMYFUNCTION("""COMPUTED_VALUE"""),297386.0)</f>
        <v>297386</v>
      </c>
      <c r="F1738" s="22" t="str">
        <f>IFERROR(__xludf.DUMMYFUNCTION("""COMPUTED_VALUE"""),"サウナより熱く、桃より甘い。")</f>
        <v>サウナより熱く、桃より甘い。</v>
      </c>
      <c r="G1738" s="11" t="str">
        <f>IFERROR(__xludf.DUMMYFUNCTION("""COMPUTED_VALUE"""),"1～2")</f>
        <v>1～2</v>
      </c>
      <c r="H1738" s="67" t="str">
        <f>IFERROR(__xludf.DUMMYFUNCTION("""COMPUTED_VALUE"""),"才師楚海")</f>
        <v>才師楚海</v>
      </c>
      <c r="I1738" s="67" t="str">
        <f>IFERROR(__xludf.DUMMYFUNCTION("""COMPUTED_VALUE"""),"TL")</f>
        <v>TL</v>
      </c>
      <c r="J1738" s="67"/>
      <c r="K1738" s="67"/>
      <c r="L1738" s="67" t="str">
        <f>IFERROR(__xludf.DUMMYFUNCTION("""COMPUTED_VALUE"""),"CLLENN")</f>
        <v>CLLENN</v>
      </c>
      <c r="M1738" s="59">
        <f>IFERROR(__xludf.DUMMYFUNCTION("""COMPUTED_VALUE"""),45496.0)</f>
        <v>45496</v>
      </c>
      <c r="N1738" s="23">
        <f>IFERROR(__xludf.DUMMYFUNCTION("""COMPUTED_VALUE"""),45551.0)</f>
        <v>45551</v>
      </c>
      <c r="O1738" s="69"/>
      <c r="P1738" s="70" t="str">
        <f>IFERROR(__xludf.DUMMYFUNCTION("""COMPUTED_VALUE"""),"可")</f>
        <v>可</v>
      </c>
      <c r="Q1738" s="67" t="str">
        <f>IFERROR(__xludf.DUMMYFUNCTION("""COMPUTED_VALUE"""),"CMS2142でコミット頂いてた分です。&lt;BR&gt;1年越しに配信決まりました。&lt;BR&gt;レーベル名：TLオトメチカ")</f>
        <v>CMS2142でコミット頂いてた分です。&lt;BR&gt;1年越しに配信決まりました。&lt;BR&gt;レーベル名：TLオトメチカ</v>
      </c>
      <c r="R1738" s="67" t="str">
        <f>IFERROR(__xludf.DUMMYFUNCTION("""COMPUTED_VALUE"""),"格納済")</f>
        <v>格納済</v>
      </c>
      <c r="S1738" s="67" t="str">
        <f>IFERROR(__xludf.DUMMYFUNCTION("""COMPUTED_VALUE"""),"20240626_CLLENN_サウナより熱く、桃より甘い。")</f>
        <v>20240626_CLLENN_サウナより熱く、桃より甘い。</v>
      </c>
      <c r="T1738" s="67" t="str">
        <f>IFERROR(__xludf.DUMMYFUNCTION("""COMPUTED_VALUE"""),"格納済み")</f>
        <v>格納済み</v>
      </c>
      <c r="U1738" s="15" t="str">
        <f>IFERROR(__xludf.DUMMYFUNCTION("""COMPUTED_VALUE"""),"ⓒ才師楚海/CLLENN")</f>
        <v>ⓒ才師楚海/CLLENN</v>
      </c>
      <c r="V1738" s="8" t="str">
        <f>IFERROR(__xludf.DUMMYFUNCTION("""COMPUTED_VALUE"""),"「東條くんの手がいい…」触れられたトコロがはじけそうに熱い…っ。離れていくのがさみしいなんて――温田桃乃の悩みは「処女」であること。同僚からもらった大人のオモチャを持て余してたら…無愛想イケメン後輩・東條菊生に見つかってしまう…!?仕事でドジるし、サウナでストレス発散！のはずがのぼせてしまい助けてくれたのは菊生。下心に気づかない無防備な桃乃に彼の理性がプツン！強引な手つきでいやらしくいじられ、熱のこもった息も手も、私の何かをせり上げていく…。男性経験がないことまでバレちゃって!!――「つまり先輩って男知ら"&amp;"ないんですね」そうです。アダルトグッズの遊び方もわからないアラサー処女なんですから…!!")</f>
        <v>「東條くんの手がいい…」触れられたトコロがはじけそうに熱い…っ。離れていくのがさみしいなんて――温田桃乃の悩みは「処女」であること。同僚からもらった大人のオモチャを持て余してたら…無愛想イケメン後輩・東條菊生に見つかってしまう…!?仕事でドジるし、サウナでストレス発散！のはずがのぼせてしまい助けてくれたのは菊生。下心に気づかない無防備な桃乃に彼の理性がプツン！強引な手つきでいやらしくいじられ、熱のこもった息も手も、私の何かをせり上げていく…。男性経験がないことまでバレちゃって!!――「つまり先輩って男知らないんですね」そうです。アダルトグッズの遊び方もわからないアラサー処女なんですから…!!</v>
      </c>
      <c r="W1738" s="14"/>
      <c r="X1738" s="14" t="str">
        <f>IFERROR(__xludf.DUMMYFUNCTION("""COMPUTED_VALUE"""),"有")</f>
        <v>有</v>
      </c>
      <c r="Y1738" s="8" t="str">
        <f>IFERROR(__xludf.DUMMYFUNCTION("""COMPUTED_VALUE"""),"8/22まで立ち読み増量P20まで")</f>
        <v>8/22まで立ち読み増量P20まで</v>
      </c>
      <c r="Z1738" s="7"/>
      <c r="AA1738" s="7"/>
      <c r="AB1738" s="7"/>
    </row>
    <row r="1739" ht="15.75" customHeight="1">
      <c r="A1739" s="66">
        <f>IFERROR(__xludf.DUMMYFUNCTION("""COMPUTED_VALUE"""),3700.0)</f>
        <v>3700</v>
      </c>
      <c r="B1739" s="67" t="str">
        <f>IFERROR(__xludf.DUMMYFUNCTION("""COMPUTED_VALUE"""),"確定")</f>
        <v>確定</v>
      </c>
      <c r="C1739" s="68">
        <f>IFERROR(__xludf.DUMMYFUNCTION("""COMPUTED_VALUE"""),45469.0)</f>
        <v>45469</v>
      </c>
      <c r="D1739" s="68">
        <f>IFERROR(__xludf.DUMMYFUNCTION("""COMPUTED_VALUE"""),45474.0)</f>
        <v>45474</v>
      </c>
      <c r="E1739" s="31">
        <f>IFERROR(__xludf.DUMMYFUNCTION("""COMPUTED_VALUE"""),297465.0)</f>
        <v>297465</v>
      </c>
      <c r="F1739" s="22" t="str">
        <f>IFERROR(__xludf.DUMMYFUNCTION("""COMPUTED_VALUE"""),"全部お姉さんに任せてね？～大学デビューはハメチェンで～")</f>
        <v>全部お姉さんに任せてね？～大学デビューはハメチェンで～</v>
      </c>
      <c r="G1739" s="69" t="str">
        <f>IFERROR(__xludf.DUMMYFUNCTION("""COMPUTED_VALUE"""),"1～3")</f>
        <v>1～3</v>
      </c>
      <c r="H1739" s="67" t="str">
        <f>IFERROR(__xludf.DUMMYFUNCTION("""COMPUTED_VALUE"""),"ル。席")</f>
        <v>ル。席</v>
      </c>
      <c r="I1739" s="67" t="str">
        <f>IFERROR(__xludf.DUMMYFUNCTION("""COMPUTED_VALUE"""),"青年")</f>
        <v>青年</v>
      </c>
      <c r="J1739" s="67"/>
      <c r="K1739" s="67"/>
      <c r="L1739" s="67" t="str">
        <f>IFERROR(__xludf.DUMMYFUNCTION("""COMPUTED_VALUE"""),"Rush!")</f>
        <v>Rush!</v>
      </c>
      <c r="M1739" s="59">
        <f>IFERROR(__xludf.DUMMYFUNCTION("""COMPUTED_VALUE"""),45498.0)</f>
        <v>45498</v>
      </c>
      <c r="N1739" s="59">
        <f>IFERROR(__xludf.DUMMYFUNCTION("""COMPUTED_VALUE"""),45533.0)</f>
        <v>45533</v>
      </c>
      <c r="O1739" s="69"/>
      <c r="P1739" s="71" t="str">
        <f>IFERROR(__xludf.DUMMYFUNCTION("""COMPUTED_VALUE"""),"可")</f>
        <v>可</v>
      </c>
      <c r="Q1739" s="72"/>
      <c r="R1739" s="67"/>
      <c r="S1739" s="67" t="str">
        <f>IFERROR(__xludf.DUMMYFUNCTION("""COMPUTED_VALUE"""),"20240626_ファンギルド_全部お姉さんに任せてね？～大学デビューはハメチェンで～")</f>
        <v>20240626_ファンギルド_全部お姉さんに任せてね？～大学デビューはハメチェンで～</v>
      </c>
      <c r="T1739" s="67" t="str">
        <f>IFERROR(__xludf.DUMMYFUNCTION("""COMPUTED_VALUE"""),"格納済み")</f>
        <v>格納済み</v>
      </c>
      <c r="U1739" s="15" t="str">
        <f>IFERROR(__xludf.DUMMYFUNCTION("""COMPUTED_VALUE"""),"©LU.seki")</f>
        <v>©LU.seki</v>
      </c>
      <c r="V1739" s="8" t="str">
        <f>IFERROR(__xludf.DUMMYFUNCTION("""COMPUTED_VALUE"""),"【垢ヌけたい君に捧げるちょっと遅めな青春ラブコメ☆】冴えない大学生の山月は見た目だけでも大学デビューしようと美容院に駆け込む。そこにいたのは美人でオシャレで、それでいてちょっぴりミステリアスな美容師の花谷だった。早速シャンプーをしてもらっていると、山月の顔にいい匂いで柔らかいおっぱいの感触が…!! 動揺した山月は大きくなり続ける“煩悩”を抑えるべくなんとか我慢するのだが、花谷の“サービス”はどんどんと過激になっていき…!?")</f>
        <v>【垢ヌけたい君に捧げるちょっと遅めな青春ラブコメ☆】冴えない大学生の山月は見た目だけでも大学デビューしようと美容院に駆け込む。そこにいたのは美人でオシャレで、それでいてちょっぴりミステリアスな美容師の花谷だった。早速シャンプーをしてもらっていると、山月の顔にいい匂いで柔らかいおっぱいの感触が…!! 動揺した山月は大きくなり続ける“煩悩”を抑えるべくなんとか我慢するのだが、花谷の“サービス”はどんどんと過激になっていき…!?</v>
      </c>
      <c r="W1739" s="14"/>
      <c r="X1739" s="14" t="str">
        <f>IFERROR(__xludf.DUMMYFUNCTION("""COMPUTED_VALUE"""),"有")</f>
        <v>有</v>
      </c>
      <c r="Y1739" s="8" t="str">
        <f>IFERROR(__xludf.DUMMYFUNCTION("""COMPUTED_VALUE"""),"P7まで")</f>
        <v>P7まで</v>
      </c>
      <c r="Z1739" s="7"/>
      <c r="AA1739" s="7"/>
      <c r="AB1739" s="7"/>
    </row>
    <row r="1740" ht="15.75" customHeight="1">
      <c r="A1740" s="66">
        <f>IFERROR(__xludf.DUMMYFUNCTION("""COMPUTED_VALUE"""),3701.0)</f>
        <v>3701</v>
      </c>
      <c r="B1740" s="67" t="str">
        <f>IFERROR(__xludf.DUMMYFUNCTION("""COMPUTED_VALUE"""),"確定")</f>
        <v>確定</v>
      </c>
      <c r="C1740" s="68">
        <f>IFERROR(__xludf.DUMMYFUNCTION("""COMPUTED_VALUE"""),45469.0)</f>
        <v>45469</v>
      </c>
      <c r="D1740" s="68">
        <f>IFERROR(__xludf.DUMMYFUNCTION("""COMPUTED_VALUE"""),45474.0)</f>
        <v>45474</v>
      </c>
      <c r="E1740" s="31">
        <f>IFERROR(__xludf.DUMMYFUNCTION("""COMPUTED_VALUE"""),297596.0)</f>
        <v>297596</v>
      </c>
      <c r="F1740" s="22" t="str">
        <f>IFERROR(__xludf.DUMMYFUNCTION("""COMPUTED_VALUE"""),"欲情解禁 ～元カレと、8年越しの××～（分冊版）")</f>
        <v>欲情解禁 ～元カレと、8年越しの××～（分冊版）</v>
      </c>
      <c r="G1740" s="69" t="str">
        <f>IFERROR(__xludf.DUMMYFUNCTION("""COMPUTED_VALUE"""),"1(初回配信話数確認中)")</f>
        <v>1(初回配信話数確認中)</v>
      </c>
      <c r="H1740" s="67" t="str">
        <f>IFERROR(__xludf.DUMMYFUNCTION("""COMPUTED_VALUE"""),"網野")</f>
        <v>網野</v>
      </c>
      <c r="I1740" s="14" t="str">
        <f>IFERROR(__xludf.DUMMYFUNCTION("""COMPUTED_VALUE"""),"女性")</f>
        <v>女性</v>
      </c>
      <c r="J1740" s="67"/>
      <c r="K1740" s="67"/>
      <c r="L1740" s="67" t="str">
        <f>IFERROR(__xludf.DUMMYFUNCTION("""COMPUTED_VALUE"""),"ぶんか社")</f>
        <v>ぶんか社</v>
      </c>
      <c r="M1740" s="23">
        <f>IFERROR(__xludf.DUMMYFUNCTION("""COMPUTED_VALUE"""),45499.0)</f>
        <v>45499</v>
      </c>
      <c r="N1740" s="23">
        <f>IFERROR(__xludf.DUMMYFUNCTION("""COMPUTED_VALUE"""),45526.0)</f>
        <v>45526</v>
      </c>
      <c r="O1740" s="69"/>
      <c r="P1740" s="71" t="str">
        <f>IFERROR(__xludf.DUMMYFUNCTION("""COMPUTED_VALUE"""),"可")</f>
        <v>可</v>
      </c>
      <c r="Q1740" s="72"/>
      <c r="R1740" s="67"/>
      <c r="S1740" s="67" t="str">
        <f>IFERROR(__xludf.DUMMYFUNCTION("""COMPUTED_VALUE"""),"202406026_ぶんか社_欲情解禁 ～元カレと、8年越しの××～（分冊版）")</f>
        <v>202406026_ぶんか社_欲情解禁 ～元カレと、8年越しの××～（分冊版）</v>
      </c>
      <c r="T1740" s="67" t="str">
        <f>IFERROR(__xludf.DUMMYFUNCTION("""COMPUTED_VALUE"""),"格納済み")</f>
        <v>格納済み</v>
      </c>
      <c r="U1740" s="15" t="str">
        <f>IFERROR(__xludf.DUMMYFUNCTION("""COMPUTED_VALUE"""),"©網野/ぶんか社")</f>
        <v>©網野/ぶんか社</v>
      </c>
      <c r="V1740" s="8" t="str">
        <f>IFERROR(__xludf.DUMMYFUNCTION("""COMPUTED_VALUE"""),"「セックスしたの後悔してる？　でも俺はまた会いたいと思ってるよ」
…つまりセフレ関係？　…でも気持ち良かったし、悪くないかも？
OLの雨宮は商談の席で偶然、高校時代の元カレ・早坂と再会する。
商談後に食事に誘われ、酔いも回った頃、
つい「早坂以外と付き合ったことがないこと」、「男女の経験がないこと」を打ち明けてしまう。
すると「俺で試してみる？」と誘われて――？
【カースト頂点のモテ男（※元カレ）】×【カースト外の鈍感OL（※元カノ）】
モテ男が振り回すかと思いきや…鈍感OLに振り回"&amp;"される!?
思春期の恋を拗らせて大人になったふたりの初恋やり直しラブストーリー！")</f>
        <v>「セックスしたの後悔してる？　でも俺はまた会いたいと思ってるよ」
…つまりセフレ関係？　…でも気持ち良かったし、悪くないかも？
OLの雨宮は商談の席で偶然、高校時代の元カレ・早坂と再会する。
商談後に食事に誘われ、酔いも回った頃、
つい「早坂以外と付き合ったことがないこと」、「男女の経験がないこと」を打ち明けてしまう。
すると「俺で試してみる？」と誘われて――？
【カースト頂点のモテ男（※元カレ）】×【カースト外の鈍感OL（※元カノ）】
モテ男が振り回すかと思いきや…鈍感OLに振り回される!?
思春期の恋を拗らせて大人になったふたりの初恋やり直しラブストーリー！</v>
      </c>
      <c r="W1740" s="14"/>
      <c r="X1740" s="14" t="str">
        <f>IFERROR(__xludf.DUMMYFUNCTION("""COMPUTED_VALUE"""),"有")</f>
        <v>有</v>
      </c>
      <c r="Y1740" s="8" t="str">
        <f>IFERROR(__xludf.DUMMYFUNCTION("""COMPUTED_VALUE"""),"P15まで")</f>
        <v>P15まで</v>
      </c>
      <c r="Z1740" s="7"/>
      <c r="AA1740" s="7"/>
      <c r="AB1740" s="7"/>
    </row>
    <row r="1741" ht="15.75" customHeight="1">
      <c r="A1741" s="66">
        <f>IFERROR(__xludf.DUMMYFUNCTION("""COMPUTED_VALUE"""),3702.0)</f>
        <v>3702</v>
      </c>
      <c r="B1741" s="67" t="str">
        <f>IFERROR(__xludf.DUMMYFUNCTION("""COMPUTED_VALUE"""),"確定")</f>
        <v>確定</v>
      </c>
      <c r="C1741" s="68">
        <f>IFERROR(__xludf.DUMMYFUNCTION("""COMPUTED_VALUE"""),45469.0)</f>
        <v>45469</v>
      </c>
      <c r="D1741" s="68">
        <f>IFERROR(__xludf.DUMMYFUNCTION("""COMPUTED_VALUE"""),45474.0)</f>
        <v>45474</v>
      </c>
      <c r="E1741" s="31">
        <f>IFERROR(__xludf.DUMMYFUNCTION("""COMPUTED_VALUE"""),297598.0)</f>
        <v>297598</v>
      </c>
      <c r="F1741" s="22" t="str">
        <f>IFERROR(__xludf.DUMMYFUNCTION("""COMPUTED_VALUE"""),"ムカつく後輩にヤりたいようにやられてます（分冊版）")</f>
        <v>ムカつく後輩にヤりたいようにやられてます（分冊版）</v>
      </c>
      <c r="G1741" s="69" t="str">
        <f>IFERROR(__xludf.DUMMYFUNCTION("""COMPUTED_VALUE"""),"1(初回配信話数確認中)")</f>
        <v>1(初回配信話数確認中)</v>
      </c>
      <c r="H1741" s="67" t="str">
        <f>IFERROR(__xludf.DUMMYFUNCTION("""COMPUTED_VALUE"""),"千弘ヒロイ")</f>
        <v>千弘ヒロイ</v>
      </c>
      <c r="I1741" s="14" t="str">
        <f>IFERROR(__xludf.DUMMYFUNCTION("""COMPUTED_VALUE"""),"女性")</f>
        <v>女性</v>
      </c>
      <c r="J1741" s="67"/>
      <c r="K1741" s="67"/>
      <c r="L1741" s="67" t="str">
        <f>IFERROR(__xludf.DUMMYFUNCTION("""COMPUTED_VALUE"""),"ぶんか社")</f>
        <v>ぶんか社</v>
      </c>
      <c r="M1741" s="23">
        <f>IFERROR(__xludf.DUMMYFUNCTION("""COMPUTED_VALUE"""),45499.0)</f>
        <v>45499</v>
      </c>
      <c r="N1741" s="23">
        <f>IFERROR(__xludf.DUMMYFUNCTION("""COMPUTED_VALUE"""),45526.0)</f>
        <v>45526</v>
      </c>
      <c r="O1741" s="69"/>
      <c r="P1741" s="71" t="str">
        <f>IFERROR(__xludf.DUMMYFUNCTION("""COMPUTED_VALUE"""),"可")</f>
        <v>可</v>
      </c>
      <c r="Q1741" s="72"/>
      <c r="R1741" s="67"/>
      <c r="S1741" s="67" t="str">
        <f>IFERROR(__xludf.DUMMYFUNCTION("""COMPUTED_VALUE"""),"202406026_ぶんか社_ムカつく後輩にヤりたいようにやられてます（分冊版）")</f>
        <v>202406026_ぶんか社_ムカつく後輩にヤりたいようにやられてます（分冊版）</v>
      </c>
      <c r="T1741" s="67" t="str">
        <f>IFERROR(__xludf.DUMMYFUNCTION("""COMPUTED_VALUE"""),"格納済み")</f>
        <v>格納済み</v>
      </c>
      <c r="U1741" s="15" t="str">
        <f>IFERROR(__xludf.DUMMYFUNCTION("""COMPUTED_VALUE"""),"©千弘ヒロイ/ぶんか社")</f>
        <v>©千弘ヒロイ/ぶんか社</v>
      </c>
      <c r="V1741" s="8" t="str">
        <f>IFERROR(__xludf.DUMMYFUNCTION("""COMPUTED_VALUE"""),"「いいんじゃないですか、恋に忖度は必要でしょ」
七井瀬奈、バツイチアラサー。
夫の不倫で離婚してから2年、
快活でさっぱりとした性格からそのことはもう気にしていない…
訳はなく、それ以来無意識に人を品定めしたり、
目の前の男がアリかナシか考えるようになってしまった。
「もう恋愛では絶対に失敗したくない」そう思っていたのに、
会社の飲み会で泥酔した七瀬は、帰りにタクシーと間違えて
仕事はできるしモテるが何かと“ムカつく”後輩・八条に間違えて電話をしてしまい…!?
朝起きたらムカ"&amp;"つく後輩と恋人（仮）になってました!?
見えているものだけがすべてじゃない、大人同士の不器用ラブ♪")</f>
        <v>「いいんじゃないですか、恋に忖度は必要でしょ」
七井瀬奈、バツイチアラサー。
夫の不倫で離婚してから2年、
快活でさっぱりとした性格からそのことはもう気にしていない…
訳はなく、それ以来無意識に人を品定めしたり、
目の前の男がアリかナシか考えるようになってしまった。
「もう恋愛では絶対に失敗したくない」そう思っていたのに、
会社の飲み会で泥酔した七瀬は、帰りにタクシーと間違えて
仕事はできるしモテるが何かと“ムカつく”後輩・八条に間違えて電話をしてしまい…!?
朝起きたらムカつく後輩と恋人（仮）になってました!?
見えているものだけがすべてじゃない、大人同士の不器用ラブ♪</v>
      </c>
      <c r="W1741" s="14"/>
      <c r="X1741" s="14" t="str">
        <f>IFERROR(__xludf.DUMMYFUNCTION("""COMPUTED_VALUE"""),"有")</f>
        <v>有</v>
      </c>
      <c r="Y1741" s="8" t="str">
        <f>IFERROR(__xludf.DUMMYFUNCTION("""COMPUTED_VALUE"""),"P19まで")</f>
        <v>P19まで</v>
      </c>
      <c r="Z1741" s="7"/>
      <c r="AA1741" s="7"/>
      <c r="AB1741" s="7"/>
    </row>
    <row r="1742" ht="15.75" customHeight="1">
      <c r="A1742" s="66">
        <f>IFERROR(__xludf.DUMMYFUNCTION("""COMPUTED_VALUE"""),3703.0)</f>
        <v>3703</v>
      </c>
      <c r="B1742" s="67" t="str">
        <f>IFERROR(__xludf.DUMMYFUNCTION("""COMPUTED_VALUE"""),"確定")</f>
        <v>確定</v>
      </c>
      <c r="C1742" s="68">
        <f>IFERROR(__xludf.DUMMYFUNCTION("""COMPUTED_VALUE"""),45469.0)</f>
        <v>45469</v>
      </c>
      <c r="D1742" s="68">
        <f>IFERROR(__xludf.DUMMYFUNCTION("""COMPUTED_VALUE"""),45474.0)</f>
        <v>45474</v>
      </c>
      <c r="E1742" s="31">
        <f>IFERROR(__xludf.DUMMYFUNCTION("""COMPUTED_VALUE"""),297597.0)</f>
        <v>297597</v>
      </c>
      <c r="F1742" s="22" t="str">
        <f>IFERROR(__xludf.DUMMYFUNCTION("""COMPUTED_VALUE"""),"兎崎部長、性交渉していただけませんか？ イケオジと偏愛OLのこじれた取引（分冊版）")</f>
        <v>兎崎部長、性交渉していただけませんか？ イケオジと偏愛OLのこじれた取引（分冊版）</v>
      </c>
      <c r="G1742" s="69" t="str">
        <f>IFERROR(__xludf.DUMMYFUNCTION("""COMPUTED_VALUE"""),"1(初回配信話数確認中)")</f>
        <v>1(初回配信話数確認中)</v>
      </c>
      <c r="H1742" s="67" t="str">
        <f>IFERROR(__xludf.DUMMYFUNCTION("""COMPUTED_VALUE"""),"ハルノナツミ")</f>
        <v>ハルノナツミ</v>
      </c>
      <c r="I1742" s="14" t="str">
        <f>IFERROR(__xludf.DUMMYFUNCTION("""COMPUTED_VALUE"""),"女性")</f>
        <v>女性</v>
      </c>
      <c r="J1742" s="67"/>
      <c r="K1742" s="67"/>
      <c r="L1742" s="67" t="str">
        <f>IFERROR(__xludf.DUMMYFUNCTION("""COMPUTED_VALUE"""),"ぶんか社")</f>
        <v>ぶんか社</v>
      </c>
      <c r="M1742" s="23">
        <f>IFERROR(__xludf.DUMMYFUNCTION("""COMPUTED_VALUE"""),45499.0)</f>
        <v>45499</v>
      </c>
      <c r="N1742" s="23">
        <f>IFERROR(__xludf.DUMMYFUNCTION("""COMPUTED_VALUE"""),45526.0)</f>
        <v>45526</v>
      </c>
      <c r="O1742" s="69"/>
      <c r="P1742" s="71" t="str">
        <f>IFERROR(__xludf.DUMMYFUNCTION("""COMPUTED_VALUE"""),"可")</f>
        <v>可</v>
      </c>
      <c r="Q1742" s="72"/>
      <c r="R1742" s="67"/>
      <c r="S1742" s="67" t="str">
        <f>IFERROR(__xludf.DUMMYFUNCTION("""COMPUTED_VALUE"""),"202406026_ぶんか社_兎崎部長、性交渉していただけませんか？ イケオジと偏愛OLのこじれた取引（分冊版）")</f>
        <v>202406026_ぶんか社_兎崎部長、性交渉していただけませんか？ イケオジと偏愛OLのこじれた取引（分冊版）</v>
      </c>
      <c r="T1742" s="67" t="str">
        <f>IFERROR(__xludf.DUMMYFUNCTION("""COMPUTED_VALUE"""),"格納済み")</f>
        <v>格納済み</v>
      </c>
      <c r="U1742" s="15" t="str">
        <f>IFERROR(__xludf.DUMMYFUNCTION("""COMPUTED_VALUE"""),"©ハルノナツミ/ぶんか社")</f>
        <v>©ハルノナツミ/ぶんか社</v>
      </c>
      <c r="V1742" s="8" t="str">
        <f>IFERROR(__xludf.DUMMYFUNCTION("""COMPUTED_VALUE"""),"「部長、私とセックスしてください」
～安心してください、ちゃんと同意の上なので～
天鷲リコは極度のオジサマ好き。
ついさっき“いつものお決まりのセリフ”で
彼氏にフラれ落ち込んでいたところ、挙動不審なイケオジを発見！
しかし、よく見てみると部長の兎崎だった!!
「一緒にカフェに入ってほしい」と頼まれ、当然引き受けたリコ。
兎崎が本当は可愛いものが好きなのに、
オジサンである故にそのことを引け目に感じていることを知り、
今後も兎崎の行きたい所に付き合う代わりに、とんでもない提案をし"&amp;"て…!?
【かわいいもの好きなオジサマ】×【極度のオジサマ好き】
利害関係から始まるマニアックラブ!!")</f>
        <v>「部長、私とセックスしてください」
～安心してください、ちゃんと同意の上なので～
天鷲リコは極度のオジサマ好き。
ついさっき“いつものお決まりのセリフ”で
彼氏にフラれ落ち込んでいたところ、挙動不審なイケオジを発見！
しかし、よく見てみると部長の兎崎だった!!
「一緒にカフェに入ってほしい」と頼まれ、当然引き受けたリコ。
兎崎が本当は可愛いものが好きなのに、
オジサンである故にそのことを引け目に感じていることを知り、
今後も兎崎の行きたい所に付き合う代わりに、とんでもない提案をして…!?
【かわいいもの好きなオジサマ】×【極度のオジサマ好き】
利害関係から始まるマニアックラブ!!</v>
      </c>
      <c r="W1742" s="14"/>
      <c r="X1742" s="14" t="str">
        <f>IFERROR(__xludf.DUMMYFUNCTION("""COMPUTED_VALUE"""),"有")</f>
        <v>有</v>
      </c>
      <c r="Y1742" s="8" t="str">
        <f>IFERROR(__xludf.DUMMYFUNCTION("""COMPUTED_VALUE"""),"P19まで")</f>
        <v>P19まで</v>
      </c>
      <c r="Z1742" s="7"/>
      <c r="AA1742" s="7"/>
      <c r="AB1742" s="7"/>
    </row>
    <row r="1743" ht="15.75" customHeight="1">
      <c r="A1743" s="66">
        <f>IFERROR(__xludf.DUMMYFUNCTION("""COMPUTED_VALUE"""),3704.0)</f>
        <v>3704</v>
      </c>
      <c r="B1743" s="67" t="str">
        <f>IFERROR(__xludf.DUMMYFUNCTION("""COMPUTED_VALUE"""),"確定")</f>
        <v>確定</v>
      </c>
      <c r="C1743" s="68">
        <f>IFERROR(__xludf.DUMMYFUNCTION("""COMPUTED_VALUE"""),45469.0)</f>
        <v>45469</v>
      </c>
      <c r="D1743" s="68">
        <f>IFERROR(__xludf.DUMMYFUNCTION("""COMPUTED_VALUE"""),45474.0)</f>
        <v>45474</v>
      </c>
      <c r="E1743" s="31">
        <f>IFERROR(__xludf.DUMMYFUNCTION("""COMPUTED_VALUE"""),297595.0)</f>
        <v>297595</v>
      </c>
      <c r="F1743" s="22" t="str">
        <f>IFERROR(__xludf.DUMMYFUNCTION("""COMPUTED_VALUE"""),"離婚のち初恋 再会した幼馴染と甘い一夜を過ごしたら…（分冊版）")</f>
        <v>離婚のち初恋 再会した幼馴染と甘い一夜を過ごしたら…（分冊版）</v>
      </c>
      <c r="G1743" s="69" t="str">
        <f>IFERROR(__xludf.DUMMYFUNCTION("""COMPUTED_VALUE"""),"1(初回配信話数確認中)")</f>
        <v>1(初回配信話数確認中)</v>
      </c>
      <c r="H1743" s="67" t="str">
        <f>IFERROR(__xludf.DUMMYFUNCTION("""COMPUTED_VALUE"""),"ひづきはるか")</f>
        <v>ひづきはるか</v>
      </c>
      <c r="I1743" s="14" t="str">
        <f>IFERROR(__xludf.DUMMYFUNCTION("""COMPUTED_VALUE"""),"女性")</f>
        <v>女性</v>
      </c>
      <c r="J1743" s="67"/>
      <c r="K1743" s="67"/>
      <c r="L1743" s="67" t="str">
        <f>IFERROR(__xludf.DUMMYFUNCTION("""COMPUTED_VALUE"""),"ぶんか社")</f>
        <v>ぶんか社</v>
      </c>
      <c r="M1743" s="23">
        <f>IFERROR(__xludf.DUMMYFUNCTION("""COMPUTED_VALUE"""),45499.0)</f>
        <v>45499</v>
      </c>
      <c r="N1743" s="23">
        <f>IFERROR(__xludf.DUMMYFUNCTION("""COMPUTED_VALUE"""),45526.0)</f>
        <v>45526</v>
      </c>
      <c r="O1743" s="69"/>
      <c r="P1743" s="71" t="str">
        <f>IFERROR(__xludf.DUMMYFUNCTION("""COMPUTED_VALUE"""),"可")</f>
        <v>可</v>
      </c>
      <c r="Q1743" s="72"/>
      <c r="R1743" s="67"/>
      <c r="S1743" s="67" t="str">
        <f>IFERROR(__xludf.DUMMYFUNCTION("""COMPUTED_VALUE"""),"202406026_ぶんか社_離婚のち初恋 再会した幼馴染と甘い一夜を過ごしたら…（分冊版）")</f>
        <v>202406026_ぶんか社_離婚のち初恋 再会した幼馴染と甘い一夜を過ごしたら…（分冊版）</v>
      </c>
      <c r="T1743" s="67" t="str">
        <f>IFERROR(__xludf.DUMMYFUNCTION("""COMPUTED_VALUE"""),"格納済み")</f>
        <v>格納済み</v>
      </c>
      <c r="U1743" s="15" t="str">
        <f>IFERROR(__xludf.DUMMYFUNCTION("""COMPUTED_VALUE"""),"©ひづきはるか/ぶんか社")</f>
        <v>©ひづきはるか/ぶんか社</v>
      </c>
      <c r="V1743" s="8" t="str">
        <f>IFERROR(__xludf.DUMMYFUNCTION("""COMPUTED_VALUE"""),"30代バツイチ。【初めてを感じる恋】が甘く、芽吹く――。
2年前、一回り上の男性と結婚した優だったが、
度重なる義両親からのハラスメント、そして夫の浮気発覚で離婚した。
晴れて自由の身になり、楽しく仕事に打ち込む日々。
だけど、バツイチでアラフォーで、この先ずっと一人なのかと不安もあった。
今は次の恋愛、ましてや結婚なんて考えられないのに…。
そんなある日、伺った取引先の社長が幼馴染・慎二だったことがわかる。
久々に会った彼は昔の印象とは異なり、イケメンで敏腕な男性に変わっていた"&amp;"。
その夜、たまたまスーパーで慎二と再会した優は、世間話から彼もバツイチだと知る。
それがきっかけで、一緒に夕飯を食べにいくことになるが…？
恋愛、仕事、結婚、人生…悩みが尽きない30代を生きる
バツイチ幼馴染同士のヒューマンラブストーリー！")</f>
        <v>30代バツイチ。【初めてを感じる恋】が甘く、芽吹く――。
2年前、一回り上の男性と結婚した優だったが、
度重なる義両親からのハラスメント、そして夫の浮気発覚で離婚した。
晴れて自由の身になり、楽しく仕事に打ち込む日々。
だけど、バツイチでアラフォーで、この先ずっと一人なのかと不安もあった。
今は次の恋愛、ましてや結婚なんて考えられないのに…。
そんなある日、伺った取引先の社長が幼馴染・慎二だったことがわかる。
久々に会った彼は昔の印象とは異なり、イケメンで敏腕な男性に変わっていた。
その夜、たまたまスーパーで慎二と再会した優は、世間話から彼もバツイチだと知る。
それがきっかけで、一緒に夕飯を食べにいくことになるが…？
恋愛、仕事、結婚、人生…悩みが尽きない30代を生きる
バツイチ幼馴染同士のヒューマンラブストーリー！</v>
      </c>
      <c r="W1743" s="14"/>
      <c r="X1743" s="14" t="str">
        <f>IFERROR(__xludf.DUMMYFUNCTION("""COMPUTED_VALUE"""),"有")</f>
        <v>有</v>
      </c>
      <c r="Y1743" s="8" t="str">
        <f>IFERROR(__xludf.DUMMYFUNCTION("""COMPUTED_VALUE"""),"P17まで")</f>
        <v>P17まで</v>
      </c>
      <c r="Z1743" s="7"/>
      <c r="AA1743" s="7"/>
      <c r="AB1743" s="7"/>
    </row>
    <row r="1744" ht="15.75" customHeight="1">
      <c r="A1744" s="66">
        <f>IFERROR(__xludf.DUMMYFUNCTION("""COMPUTED_VALUE"""),3705.0)</f>
        <v>3705</v>
      </c>
      <c r="B1744" s="67" t="str">
        <f>IFERROR(__xludf.DUMMYFUNCTION("""COMPUTED_VALUE"""),"確定")</f>
        <v>確定</v>
      </c>
      <c r="C1744" s="68">
        <f>IFERROR(__xludf.DUMMYFUNCTION("""COMPUTED_VALUE"""),45469.0)</f>
        <v>45469</v>
      </c>
      <c r="D1744" s="68">
        <f>IFERROR(__xludf.DUMMYFUNCTION("""COMPUTED_VALUE"""),45474.0)</f>
        <v>45474</v>
      </c>
      <c r="E1744" s="31">
        <f>IFERROR(__xludf.DUMMYFUNCTION("""COMPUTED_VALUE"""),297594.0)</f>
        <v>297594</v>
      </c>
      <c r="F1744" s="22" t="str">
        <f>IFERROR(__xludf.DUMMYFUNCTION("""COMPUTED_VALUE"""),"私が恋したきみじゃない（分冊版）")</f>
        <v>私が恋したきみじゃない（分冊版）</v>
      </c>
      <c r="G1744" s="69" t="str">
        <f>IFERROR(__xludf.DUMMYFUNCTION("""COMPUTED_VALUE"""),"1(初回配信話数確認中)")</f>
        <v>1(初回配信話数確認中)</v>
      </c>
      <c r="H1744" s="67" t="str">
        <f>IFERROR(__xludf.DUMMYFUNCTION("""COMPUTED_VALUE"""),"美波はるこ")</f>
        <v>美波はるこ</v>
      </c>
      <c r="I1744" s="14" t="str">
        <f>IFERROR(__xludf.DUMMYFUNCTION("""COMPUTED_VALUE"""),"女性")</f>
        <v>女性</v>
      </c>
      <c r="J1744" s="67"/>
      <c r="K1744" s="67"/>
      <c r="L1744" s="67" t="str">
        <f>IFERROR(__xludf.DUMMYFUNCTION("""COMPUTED_VALUE"""),"ぶんか社")</f>
        <v>ぶんか社</v>
      </c>
      <c r="M1744" s="23">
        <f>IFERROR(__xludf.DUMMYFUNCTION("""COMPUTED_VALUE"""),45499.0)</f>
        <v>45499</v>
      </c>
      <c r="N1744" s="23">
        <f>IFERROR(__xludf.DUMMYFUNCTION("""COMPUTED_VALUE"""),45526.0)</f>
        <v>45526</v>
      </c>
      <c r="O1744" s="69"/>
      <c r="P1744" s="71" t="str">
        <f>IFERROR(__xludf.DUMMYFUNCTION("""COMPUTED_VALUE"""),"可")</f>
        <v>可</v>
      </c>
      <c r="Q1744" s="72"/>
      <c r="R1744" s="67"/>
      <c r="S1744" s="67" t="str">
        <f>IFERROR(__xludf.DUMMYFUNCTION("""COMPUTED_VALUE"""),"202406026_ぶんか社_私が恋したきみじゃない（分冊版）")</f>
        <v>202406026_ぶんか社_私が恋したきみじゃない（分冊版）</v>
      </c>
      <c r="T1744" s="67" t="str">
        <f>IFERROR(__xludf.DUMMYFUNCTION("""COMPUTED_VALUE"""),"格納済み")</f>
        <v>格納済み</v>
      </c>
      <c r="U1744" s="15" t="str">
        <f>IFERROR(__xludf.DUMMYFUNCTION("""COMPUTED_VALUE"""),"©美波はるこ/ぶんか社")</f>
        <v>©美波はるこ/ぶんか社</v>
      </c>
      <c r="V1744" s="8" t="str">
        <f>IFERROR(__xludf.DUMMYFUNCTION("""COMPUTED_VALUE"""),"「カラダで払わせてほしい。今なら一晩3千円」
“私が好きだったなおくん”はこんなこと絶対言わない――!!
小学校の同窓会の幹事をすることになった千紘（30）。
ある日、初恋の男の子・なおきくんの夢で目覚めた千紘は
その勢いで約20年ぶりに彼の実家に同窓会の案内状を送ってみる。
同窓会当日、“なおきくん”が現れるが、
小学生時代からあまりにも激変した、ふてぶてしい超変わり者になっていた！
さらに無一文なことが発覚すると、とんでもない提案をしてきて――？
淡い恋の思い出と、少しの下心が"&amp;"打ち砕かれた先にあるのは……一筋縄ではいかない新たな恋!?")</f>
        <v>「カラダで払わせてほしい。今なら一晩3千円」
“私が好きだったなおくん”はこんなこと絶対言わない――!!
小学校の同窓会の幹事をすることになった千紘（30）。
ある日、初恋の男の子・なおきくんの夢で目覚めた千紘は
その勢いで約20年ぶりに彼の実家に同窓会の案内状を送ってみる。
同窓会当日、“なおきくん”が現れるが、
小学生時代からあまりにも激変した、ふてぶてしい超変わり者になっていた！
さらに無一文なことが発覚すると、とんでもない提案をしてきて――？
淡い恋の思い出と、少しの下心が打ち砕かれた先にあるのは……一筋縄ではいかない新たな恋!?</v>
      </c>
      <c r="W1744" s="14"/>
      <c r="X1744" s="14" t="str">
        <f>IFERROR(__xludf.DUMMYFUNCTION("""COMPUTED_VALUE"""),"有")</f>
        <v>有</v>
      </c>
      <c r="Y1744" s="8" t="str">
        <f>IFERROR(__xludf.DUMMYFUNCTION("""COMPUTED_VALUE"""),"P15まで")</f>
        <v>P15まで</v>
      </c>
      <c r="Z1744" s="7"/>
      <c r="AA1744" s="7"/>
      <c r="AB1744" s="7"/>
    </row>
    <row r="1745" ht="15.75" customHeight="1">
      <c r="A1745" s="66">
        <f>IFERROR(__xludf.DUMMYFUNCTION("""COMPUTED_VALUE"""),3727.0)</f>
        <v>3727</v>
      </c>
      <c r="B1745" s="67" t="str">
        <f>IFERROR(__xludf.DUMMYFUNCTION("""COMPUTED_VALUE"""),"確定")</f>
        <v>確定</v>
      </c>
      <c r="C1745" s="68">
        <f>IFERROR(__xludf.DUMMYFUNCTION("""COMPUTED_VALUE"""),45475.0)</f>
        <v>45475</v>
      </c>
      <c r="D1745" s="68">
        <f>IFERROR(__xludf.DUMMYFUNCTION("""COMPUTED_VALUE"""),45475.0)</f>
        <v>45475</v>
      </c>
      <c r="E1745" s="26">
        <f>IFERROR(__xludf.DUMMYFUNCTION("""COMPUTED_VALUE"""),279876.0)</f>
        <v>279876</v>
      </c>
      <c r="F1745" s="22" t="str">
        <f>IFERROR(__xludf.DUMMYFUNCTION("""COMPUTED_VALUE"""),"甥の手でイッてしまいました")</f>
        <v>甥の手でイッてしまいました</v>
      </c>
      <c r="G1745" s="69" t="str">
        <f>IFERROR(__xludf.DUMMYFUNCTION("""COMPUTED_VALUE"""),"1～3")</f>
        <v>1～3</v>
      </c>
      <c r="H1745" s="67" t="str">
        <f>IFERROR(__xludf.DUMMYFUNCTION("""COMPUTED_VALUE"""),"夜明穂なみ")</f>
        <v>夜明穂なみ</v>
      </c>
      <c r="I1745" s="14" t="str">
        <f>IFERROR(__xludf.DUMMYFUNCTION("""COMPUTED_VALUE"""),"女性")</f>
        <v>女性</v>
      </c>
      <c r="J1745" s="67"/>
      <c r="K1745" s="67"/>
      <c r="L1745" s="67" t="str">
        <f>IFERROR(__xludf.DUMMYFUNCTION("""COMPUTED_VALUE"""),"ソルマーレ編集部")</f>
        <v>ソルマーレ編集部</v>
      </c>
      <c r="M1745" s="59">
        <f>IFERROR(__xludf.DUMMYFUNCTION("""COMPUTED_VALUE"""),45507.0)</f>
        <v>45507</v>
      </c>
      <c r="N1745" s="59">
        <f>IFERROR(__xludf.DUMMYFUNCTION("""COMPUTED_VALUE"""),45659.70833333333)</f>
        <v>45659.70833</v>
      </c>
      <c r="O1745" s="69"/>
      <c r="P1745" s="70" t="str">
        <f>IFERROR(__xludf.DUMMYFUNCTION("""COMPUTED_VALUE"""),"可")</f>
        <v>可</v>
      </c>
      <c r="Q1745" s="72" t="str">
        <f>IFERROR(__xludf.DUMMYFUNCTION("""COMPUTED_VALUE"""),"レーベル：スキして?桃色日記")</f>
        <v>レーベル：スキして?桃色日記</v>
      </c>
      <c r="R1745" s="67"/>
      <c r="S1745" s="67" t="str">
        <f>IFERROR(__xludf.DUMMYFUNCTION("""COMPUTED_VALUE"""),"20240702_ソルマーレ編集部_甥の手でイッてしまいました")</f>
        <v>20240702_ソルマーレ編集部_甥の手でイッてしまいました</v>
      </c>
      <c r="T1745" s="67" t="str">
        <f>IFERROR(__xludf.DUMMYFUNCTION("""COMPUTED_VALUE"""),"格納済み")</f>
        <v>格納済み</v>
      </c>
      <c r="U1745" s="15" t="str">
        <f>IFERROR(__xludf.DUMMYFUNCTION("""COMPUTED_VALUE"""),"Ⓒ 夜明穂なみ/シーモアコミックス")</f>
        <v>Ⓒ 夜明穂なみ/シーモアコミックス</v>
      </c>
      <c r="V1745" s="8" t="str">
        <f>IFERROR(__xludf.DUMMYFUNCTION("""COMPUTED_VALUE"""),"「起きないと最後までしちゃうよ」ぬるぬるした熱いので先っぽを吸われて…頭がふわふわして気持ちよくて何も考えられない――血の繋がらない甥のまことと暮らし始めて10年。今や立派な大学生に育ってひと安心。周りからはいい年した男女が一緒に暮らして大丈夫なの？と聞かれるけど、そんなゴシップ誌みたいなものあるわけない。ただ強いて言えば昔から甥っ子のスキンシップが激しいぐらいで…!?【桃色日記】")</f>
        <v>「起きないと最後までしちゃうよ」ぬるぬるした熱いので先っぽを吸われて…頭がふわふわして気持ちよくて何も考えられない――血の繋がらない甥のまことと暮らし始めて10年。今や立派な大学生に育ってひと安心。周りからはいい年した男女が一緒に暮らして大丈夫なの？と聞かれるけど、そんなゴシップ誌みたいなものあるわけない。ただ強いて言えば昔から甥っ子のスキンシップが激しいぐらいで…!?【桃色日記】</v>
      </c>
      <c r="W1745" s="14"/>
      <c r="X1745" s="14" t="str">
        <f>IFERROR(__xludf.DUMMYFUNCTION("""COMPUTED_VALUE"""),"有")</f>
        <v>有</v>
      </c>
      <c r="Y1745" s="8" t="str">
        <f>IFERROR(__xludf.DUMMYFUNCTION("""COMPUTED_VALUE"""),"2024/8/16まで1巻無料")</f>
        <v>2024/8/16まで1巻無料</v>
      </c>
      <c r="Z1745" s="7"/>
      <c r="AA1745" s="7"/>
      <c r="AB1745" s="7"/>
    </row>
    <row r="1746" ht="15.75" customHeight="1">
      <c r="A1746" s="66">
        <f>IFERROR(__xludf.DUMMYFUNCTION("""COMPUTED_VALUE"""),3731.0)</f>
        <v>3731</v>
      </c>
      <c r="B1746" s="67" t="str">
        <f>IFERROR(__xludf.DUMMYFUNCTION("""COMPUTED_VALUE"""),"確定")</f>
        <v>確定</v>
      </c>
      <c r="C1746" s="68">
        <f>IFERROR(__xludf.DUMMYFUNCTION("""COMPUTED_VALUE"""),45475.0)</f>
        <v>45475</v>
      </c>
      <c r="D1746" s="68">
        <f>IFERROR(__xludf.DUMMYFUNCTION("""COMPUTED_VALUE"""),45476.0)</f>
        <v>45476</v>
      </c>
      <c r="E1746" s="31">
        <f>IFERROR(__xludf.DUMMYFUNCTION("""COMPUTED_VALUE"""),298457.0)</f>
        <v>298457</v>
      </c>
      <c r="F1746" s="22" t="str">
        <f>IFERROR(__xludf.DUMMYFUNCTION("""COMPUTED_VALUE"""),"【単話版】正式に魔女になった二度目の悪役皇女は、もう二度と大切な者を失わないと心に誓う@COMIC")</f>
        <v>【単話版】正式に魔女になった二度目の悪役皇女は、もう二度と大切な者を失わないと心に誓う@COMIC</v>
      </c>
      <c r="G1746" s="69" t="str">
        <f>IFERROR(__xludf.DUMMYFUNCTION("""COMPUTED_VALUE"""),"1～3")</f>
        <v>1～3</v>
      </c>
      <c r="H1746" s="67" t="str">
        <f>IFERROR(__xludf.DUMMYFUNCTION("""COMPUTED_VALUE"""),"確認中")</f>
        <v>確認中</v>
      </c>
      <c r="I1746" s="67" t="str">
        <f>IFERROR(__xludf.DUMMYFUNCTION("""COMPUTED_VALUE"""),"少女")</f>
        <v>少女</v>
      </c>
      <c r="J1746" s="67"/>
      <c r="K1746" s="67"/>
      <c r="L1746" s="67" t="str">
        <f>IFERROR(__xludf.DUMMYFUNCTION("""COMPUTED_VALUE"""),"TOブックス")</f>
        <v>TOブックス</v>
      </c>
      <c r="M1746" s="59">
        <f>IFERROR(__xludf.DUMMYFUNCTION("""COMPUTED_VALUE"""),45505.0)</f>
        <v>45505</v>
      </c>
      <c r="N1746" s="59">
        <f>IFERROR(__xludf.DUMMYFUNCTION("""COMPUTED_VALUE"""),45535.0)</f>
        <v>45535</v>
      </c>
      <c r="O1746" s="69"/>
      <c r="P1746" s="71" t="str">
        <f>IFERROR(__xludf.DUMMYFUNCTION("""COMPUTED_VALUE"""),"可")</f>
        <v>可</v>
      </c>
      <c r="Q1746" s="72"/>
      <c r="R1746" s="67"/>
      <c r="S1746" s="67" t="str">
        <f>IFERROR(__xludf.DUMMYFUNCTION("""COMPUTED_VALUE"""),"20240702_TOブックス_【単話版】正式に魔女になった二度目の悪役皇女は、もう二度と大切な者を失わないと心に誓う@COMIC")</f>
        <v>20240702_TOブックス_【単話版】正式に魔女になった二度目の悪役皇女は、もう二度と大切な者を失わないと心に誓う@COMIC</v>
      </c>
      <c r="T1746" s="67" t="str">
        <f>IFERROR(__xludf.DUMMYFUNCTION("""COMPUTED_VALUE"""),"格納済み")</f>
        <v>格納済み</v>
      </c>
      <c r="U1746" s="15" t="str">
        <f>IFERROR(__xludf.DUMMYFUNCTION("""COMPUTED_VALUE"""),"(C) Arata Yuishima / Aoi Futaba")</f>
        <v>(C) Arata Yuishima / Aoi Futaba</v>
      </c>
      <c r="V1746" s="8" t="str">
        <f>IFERROR(__xludf.DUMMYFUNCTION("""COMPUTED_VALUE"""),"「打算で魔女の騎士になりませんか？」「皇女とも思えねぇ、とんだ誘い文句だな？」
ようやく出会えた、ともに“紅”を持つお飾りの皇女と孤独な騎士のリライフストーリー！
死に際に“魔女の能力”で十歳に戻った皇女・アリスが出会ったのは、異端の民（ノクス）・セオドア。
騎士団一の嫌われ者で忌避される紅を持つ彼だが、紅髪ゆえに殺された少女にとっては孤独を分かち合える唯一の相手だった！
だが、噂（かつて）と違って聡明な彼女は、王位継承権を巡る争いへ巻き込まれていきーー？
「打算で魔女の騎士になりませんか？"&amp;"」「皇女とも思えねぇ、とんだ誘い文句だな？」
ようやく出会えた、ともに“紅”を持つお飾りの皇女と孤独な騎士のリライフストーリー！")</f>
        <v>「打算で魔女の騎士になりませんか？」「皇女とも思えねぇ、とんだ誘い文句だな？」
ようやく出会えた、ともに“紅”を持つお飾りの皇女と孤独な騎士のリライフストーリー！
死に際に“魔女の能力”で十歳に戻った皇女・アリスが出会ったのは、異端の民（ノクス）・セオドア。
騎士団一の嫌われ者で忌避される紅を持つ彼だが、紅髪ゆえに殺された少女にとっては孤独を分かち合える唯一の相手だった！
だが、噂（かつて）と違って聡明な彼女は、王位継承権を巡る争いへ巻き込まれていきーー？
「打算で魔女の騎士になりませんか？」「皇女とも思えねぇ、とんだ誘い文句だな？」
ようやく出会えた、ともに“紅”を持つお飾りの皇女と孤独な騎士のリライフストーリー！</v>
      </c>
      <c r="W1746" s="14"/>
      <c r="X1746" s="14" t="str">
        <f>IFERROR(__xludf.DUMMYFUNCTION("""COMPUTED_VALUE"""),"有")</f>
        <v>有</v>
      </c>
      <c r="Y1746" s="8" t="str">
        <f>IFERROR(__xludf.DUMMYFUNCTION("""COMPUTED_VALUE"""),"P6まで")</f>
        <v>P6まで</v>
      </c>
      <c r="Z1746" s="7"/>
      <c r="AA1746" s="7"/>
      <c r="AB1746" s="7"/>
    </row>
    <row r="1747" ht="15.75" customHeight="1">
      <c r="A1747" s="66">
        <f>IFERROR(__xludf.DUMMYFUNCTION("""COMPUTED_VALUE"""),3383.0)</f>
        <v>3383</v>
      </c>
      <c r="B1747" s="75" t="str">
        <f>IFERROR(__xludf.DUMMYFUNCTION("""COMPUTED_VALUE"""),"確定")</f>
        <v>確定</v>
      </c>
      <c r="C1747" s="68">
        <f>IFERROR(__xludf.DUMMYFUNCTION("""COMPUTED_VALUE"""),45419.0)</f>
        <v>45419</v>
      </c>
      <c r="D1747" s="68">
        <f>IFERROR(__xludf.DUMMYFUNCTION("""COMPUTED_VALUE"""),45482.0)</f>
        <v>45482</v>
      </c>
      <c r="E1747" s="31">
        <f>IFERROR(__xludf.DUMMYFUNCTION("""COMPUTED_VALUE"""),298752.0)</f>
        <v>298752</v>
      </c>
      <c r="F1747" s="31" t="str">
        <f>IFERROR(__xludf.DUMMYFUNCTION("""COMPUTED_VALUE"""),"催眠カラオケ-バイトの後輩にいつのまにか肉オナホにされてた件-")</f>
        <v>催眠カラオケ-バイトの後輩にいつのまにか肉オナホにされてた件-</v>
      </c>
      <c r="G1747" s="11" t="str">
        <f>IFERROR(__xludf.DUMMYFUNCTION("""COMPUTED_VALUE"""),"1～2")</f>
        <v>1～2</v>
      </c>
      <c r="H1747" s="75" t="str">
        <f>IFERROR(__xludf.DUMMYFUNCTION("""COMPUTED_VALUE"""),"堀田阿伴┴さきっちょだけ!")</f>
        <v>堀田阿伴┴さきっちょだけ!</v>
      </c>
      <c r="I1747" s="75" t="str">
        <f>IFERROR(__xludf.DUMMYFUNCTION("""COMPUTED_VALUE"""),"オトナ")</f>
        <v>オトナ</v>
      </c>
      <c r="J1747" s="75"/>
      <c r="K1747" s="75"/>
      <c r="L1747" s="75" t="str">
        <f>IFERROR(__xludf.DUMMYFUNCTION("""COMPUTED_VALUE"""),"ブリック出版")</f>
        <v>ブリック出版</v>
      </c>
      <c r="M1747" s="59">
        <f>IFERROR(__xludf.DUMMYFUNCTION("""COMPUTED_VALUE"""),45506.0)</f>
        <v>45506</v>
      </c>
      <c r="N1747" s="59">
        <f>IFERROR(__xludf.DUMMYFUNCTION("""COMPUTED_VALUE"""),45568.0)</f>
        <v>45568</v>
      </c>
      <c r="O1747" s="69"/>
      <c r="P1747" s="80" t="str">
        <f>IFERROR(__xludf.DUMMYFUNCTION("""COMPUTED_VALUE"""),"可")</f>
        <v>可</v>
      </c>
      <c r="Q1747" s="72" t="str">
        <f>IFERROR(__xludf.DUMMYFUNCTION("""COMPUTED_VALUE"""),"広告コミットOK(5/13)")</f>
        <v>広告コミットOK(5/13)</v>
      </c>
      <c r="R1747" s="75"/>
      <c r="S1747" s="75" t="str">
        <f>IFERROR(__xludf.DUMMYFUNCTION("""COMPUTED_VALUE"""),"20240709_BookLive_催眠カラオケ")</f>
        <v>20240709_BookLive_催眠カラオケ</v>
      </c>
      <c r="T1747" s="75" t="str">
        <f>IFERROR(__xludf.DUMMYFUNCTION("""COMPUTED_VALUE"""),"格納済み")</f>
        <v>格納済み</v>
      </c>
      <c r="U1747" s="15" t="str">
        <f>IFERROR(__xludf.DUMMYFUNCTION("""COMPUTED_VALUE"""),"(C)ブリック出版")</f>
        <v>(C)ブリック出版</v>
      </c>
      <c r="V1747" s="8" t="str">
        <f>IFERROR(__xludf.DUMMYFUNCTION("""COMPUTED_VALUE"""),"『聞いてっかマヌケ、しゃぶれって言ってんスけど』
『なに…してるの…?松村くん…』
東京都新宿区歌舞伎町、
ひっそりと佇むカラオケ店で働いている主人公は現在21連勤中のブラック社員。
後輩バイトの松村くんと三橋くんは年下の大学生で、
勤務態度はお世辞にもいいとは言えない。
そんなある日、松村くんが仕事中にスマホを
触っているので注意をしたところ─…?
『マジで催○アプリかよ、ウケんな』
『これも大事な業務ですよね?
サボらないでください、林さん』
二人の後輩は"&amp;"催○アプリを使って
主人公を都合のいい肉オナホとして好き勝手するが─…?
※飲尿、膣内放尿の描写があります。
※本作は堀田阿伴の個人誌作品の電子書籍版となります。【28ページ】")</f>
        <v>『聞いてっかマヌケ、しゃぶれって言ってんスけど』
『なに…してるの…?松村くん…』
東京都新宿区歌舞伎町、
ひっそりと佇むカラオケ店で働いている主人公は現在21連勤中のブラック社員。
後輩バイトの松村くんと三橋くんは年下の大学生で、
勤務態度はお世辞にもいいとは言えない。
そんなある日、松村くんが仕事中にスマホを
触っているので注意をしたところ─…?
『マジで催○アプリかよ、ウケんな』
『これも大事な業務ですよね?
サボらないでください、林さん』
二人の後輩は催○アプリを使って
主人公を都合のいい肉オナホとして好き勝手するが─…?
※飲尿、膣内放尿の描写があります。
※本作は堀田阿伴の個人誌作品の電子書籍版となります。【28ページ】</v>
      </c>
      <c r="W1747" s="14"/>
      <c r="X1747" s="14" t="str">
        <f>IFERROR(__xludf.DUMMYFUNCTION("""COMPUTED_VALUE"""),"有")</f>
        <v>有</v>
      </c>
      <c r="Y1747" s="8" t="str">
        <f>IFERROR(__xludf.DUMMYFUNCTION("""COMPUTED_VALUE"""),"P13まで")</f>
        <v>P13まで</v>
      </c>
      <c r="Z1747" s="7"/>
      <c r="AA1747" s="7"/>
      <c r="AB1747" s="7"/>
    </row>
    <row r="1748" ht="15.75" customHeight="1">
      <c r="A1748" s="66">
        <f>IFERROR(__xludf.DUMMYFUNCTION("""COMPUTED_VALUE"""),3390.0)</f>
        <v>3390</v>
      </c>
      <c r="B1748" s="75" t="str">
        <f>IFERROR(__xludf.DUMMYFUNCTION("""COMPUTED_VALUE"""),"確定")</f>
        <v>確定</v>
      </c>
      <c r="C1748" s="68">
        <f>IFERROR(__xludf.DUMMYFUNCTION("""COMPUTED_VALUE"""),45420.0)</f>
        <v>45420</v>
      </c>
      <c r="D1748" s="68">
        <f>IFERROR(__xludf.DUMMYFUNCTION("""COMPUTED_VALUE"""),45482.0)</f>
        <v>45482</v>
      </c>
      <c r="E1748" s="31">
        <f>IFERROR(__xludf.DUMMYFUNCTION("""COMPUTED_VALUE"""),298209.0)</f>
        <v>298209</v>
      </c>
      <c r="F1748" s="31" t="str">
        <f>IFERROR(__xludf.DUMMYFUNCTION("""COMPUTED_VALUE"""),"性欲強め花澤夫妻の濡れイキ事情～シたいことリストで毎晩抱かれます")</f>
        <v>性欲強め花澤夫妻の濡れイキ事情～シたいことリストで毎晩抱かれます</v>
      </c>
      <c r="G1748" s="11" t="str">
        <f>IFERROR(__xludf.DUMMYFUNCTION("""COMPUTED_VALUE"""),"1～2")</f>
        <v>1～2</v>
      </c>
      <c r="H1748" s="75" t="str">
        <f>IFERROR(__xludf.DUMMYFUNCTION("""COMPUTED_VALUE"""),"小川つぐみ")</f>
        <v>小川つぐみ</v>
      </c>
      <c r="I1748" s="75" t="str">
        <f>IFERROR(__xludf.DUMMYFUNCTION("""COMPUTED_VALUE"""),"TL")</f>
        <v>TL</v>
      </c>
      <c r="J1748" s="75"/>
      <c r="K1748" s="75"/>
      <c r="L1748" s="75" t="str">
        <f>IFERROR(__xludf.DUMMYFUNCTION("""COMPUTED_VALUE"""),"オーバーラップ")</f>
        <v>オーバーラップ</v>
      </c>
      <c r="M1748" s="59">
        <f>IFERROR(__xludf.DUMMYFUNCTION("""COMPUTED_VALUE"""),45505.0)</f>
        <v>45505</v>
      </c>
      <c r="N1748" s="59">
        <f>IFERROR(__xludf.DUMMYFUNCTION("""COMPUTED_VALUE"""),45565.0)</f>
        <v>45565</v>
      </c>
      <c r="O1748" s="69"/>
      <c r="P1748" s="80" t="str">
        <f>IFERROR(__xludf.DUMMYFUNCTION("""COMPUTED_VALUE"""),"可")</f>
        <v>可</v>
      </c>
      <c r="Q1748" s="72" t="str">
        <f>IFERROR(__xludf.DUMMYFUNCTION("""COMPUTED_VALUE"""),"コミットOK(5/10)
レーベル：ラブパルフェ（LoveParfait）")</f>
        <v>コミットOK(5/10)
レーベル：ラブパルフェ（LoveParfait）</v>
      </c>
      <c r="R1748" s="75"/>
      <c r="S1748" s="75" t="str">
        <f>IFERROR(__xludf.DUMMYFUNCTION("""COMPUTED_VALUE"""),"20240705_オーバーラップ_性欲強め花澤夫妻の濡れイキ事情～シたいことリストで毎晩抱かれます")</f>
        <v>20240705_オーバーラップ_性欲強め花澤夫妻の濡れイキ事情～シたいことリストで毎晩抱かれます</v>
      </c>
      <c r="T1748" s="75" t="str">
        <f>IFERROR(__xludf.DUMMYFUNCTION("""COMPUTED_VALUE"""),"格納済み")</f>
        <v>格納済み</v>
      </c>
      <c r="U1748" s="15" t="str">
        <f>IFERROR(__xludf.DUMMYFUNCTION("""COMPUTED_VALUE"""),"(c)小川つぐみ／オーバーラップ")</f>
        <v>(c)小川つぐみ／オーバーラップ</v>
      </c>
      <c r="V1748" s="8" t="str">
        <f>IFERROR(__xludf.DUMMYFUNCTION("""COMPUTED_VALUE"""),"「ごめん…今夜は一回じゃ終われないかも」
びしょびしょなアソコを硬くて熱いオスで擦られて、いやらしい音出ちゃってるっ
実は絶倫なエリート旦那様のセックスが激しすぎます――！
OL・奈々香（ななか）の悩みは、デキる上司で夫の和真（かずま）と
もっとたくさんエッチがしたいのに、陥没乳首がコンプレックスで積極的になれないこと。
週一のセックスでガマンしていたある日、陥没乳首が和真さんにバレてしまい…!?
「こんなに可愛いのに隠しちゃダメでしょ」
ぷくっと飛び出た乳首をコリコリいじめられ、朝まで"&amp;"激しく抱かれて、
こんなに気持ちいい夫婦生活、どうなっちゃうの――!?
※本書は「ラブパルフェVOL.74-2」に収録されています。重複購入にご注意ください。")</f>
        <v>「ごめん…今夜は一回じゃ終われないかも」
びしょびしょなアソコを硬くて熱いオスで擦られて、いやらしい音出ちゃってるっ
実は絶倫なエリート旦那様のセックスが激しすぎます――！
OL・奈々香（ななか）の悩みは、デキる上司で夫の和真（かずま）と
もっとたくさんエッチがしたいのに、陥没乳首がコンプレックスで積極的になれないこと。
週一のセックスでガマンしていたある日、陥没乳首が和真さんにバレてしまい…!?
「こんなに可愛いのに隠しちゃダメでしょ」
ぷくっと飛び出た乳首をコリコリいじめられ、朝まで激しく抱かれて、
こんなに気持ちいい夫婦生活、どうなっちゃうの――!?
※本書は「ラブパルフェVOL.74-2」に収録されています。重複購入にご注意ください。</v>
      </c>
      <c r="W1748" s="14"/>
      <c r="X1748" s="14" t="str">
        <f>IFERROR(__xludf.DUMMYFUNCTION("""COMPUTED_VALUE"""),"有")</f>
        <v>有</v>
      </c>
      <c r="Y1748" s="8" t="str">
        <f>IFERROR(__xludf.DUMMYFUNCTION("""COMPUTED_VALUE"""),"P10まで")</f>
        <v>P10まで</v>
      </c>
      <c r="Z1748" s="7"/>
      <c r="AA1748" s="7"/>
      <c r="AB1748" s="7"/>
    </row>
    <row r="1749" ht="15.75" customHeight="1">
      <c r="A1749" s="66">
        <f>IFERROR(__xludf.DUMMYFUNCTION("""COMPUTED_VALUE"""),3439.0)</f>
        <v>3439</v>
      </c>
      <c r="B1749" s="75" t="str">
        <f>IFERROR(__xludf.DUMMYFUNCTION("""COMPUTED_VALUE"""),"確定")</f>
        <v>確定</v>
      </c>
      <c r="C1749" s="68">
        <f>IFERROR(__xludf.DUMMYFUNCTION("""COMPUTED_VALUE"""),45429.0)</f>
        <v>45429</v>
      </c>
      <c r="D1749" s="68">
        <f>IFERROR(__xludf.DUMMYFUNCTION("""COMPUTED_VALUE"""),45482.0)</f>
        <v>45482</v>
      </c>
      <c r="E1749" s="31">
        <f>IFERROR(__xludf.DUMMYFUNCTION("""COMPUTED_VALUE"""),297666.0)</f>
        <v>297666</v>
      </c>
      <c r="F1749" s="31" t="str">
        <f>IFERROR(__xludf.DUMMYFUNCTION("""COMPUTED_VALUE"""),"ハートヒビカセ論 ベツフレプチ")</f>
        <v>ハートヒビカセ論 ベツフレプチ</v>
      </c>
      <c r="G1749" s="69" t="str">
        <f>IFERROR(__xludf.DUMMYFUNCTION("""COMPUTED_VALUE"""),"1～4")</f>
        <v>1～4</v>
      </c>
      <c r="H1749" s="75" t="str">
        <f>IFERROR(__xludf.DUMMYFUNCTION("""COMPUTED_VALUE"""),"翁よん")</f>
        <v>翁よん</v>
      </c>
      <c r="I1749" s="75" t="str">
        <f>IFERROR(__xludf.DUMMYFUNCTION("""COMPUTED_VALUE"""),"少女")</f>
        <v>少女</v>
      </c>
      <c r="J1749" s="75"/>
      <c r="K1749" s="75"/>
      <c r="L1749" s="75" t="str">
        <f>IFERROR(__xludf.DUMMYFUNCTION("""COMPUTED_VALUE"""),"講談社")</f>
        <v>講談社</v>
      </c>
      <c r="M1749" s="59">
        <f>IFERROR(__xludf.DUMMYFUNCTION("""COMPUTED_VALUE"""),45498.0)</f>
        <v>45498</v>
      </c>
      <c r="N1749" s="73">
        <f>IFERROR(__xludf.DUMMYFUNCTION("""COMPUTED_VALUE"""),45589.0)</f>
        <v>45589</v>
      </c>
      <c r="O1749" s="69"/>
      <c r="P1749" s="80" t="str">
        <f>IFERROR(__xludf.DUMMYFUNCTION("""COMPUTED_VALUE"""),"否")</f>
        <v>否</v>
      </c>
      <c r="Q1749" s="72" t="str">
        <f>IFERROR(__xludf.DUMMYFUNCTION("""COMPUTED_VALUE"""),"広告コミットOK(5/23)")</f>
        <v>広告コミットOK(5/23)</v>
      </c>
      <c r="R1749" s="75"/>
      <c r="S1749" s="75" t="str">
        <f>IFERROR(__xludf.DUMMYFUNCTION("""COMPUTED_VALUE"""),"20240705_講談社_ハートヒビカセ論")</f>
        <v>20240705_講談社_ハートヒビカセ論</v>
      </c>
      <c r="T1749" s="75" t="str">
        <f>IFERROR(__xludf.DUMMYFUNCTION("""COMPUTED_VALUE"""),"格納済み")</f>
        <v>格納済み</v>
      </c>
      <c r="U1749" s="15" t="str">
        <f>IFERROR(__xludf.DUMMYFUNCTION("""COMPUTED_VALUE"""),"©Yon Okina/講談社")</f>
        <v>©Yon Okina/講談社</v>
      </c>
      <c r="V1749" s="8" t="str">
        <f>IFERROR(__xludf.DUMMYFUNCTION("""COMPUTED_VALUE"""),"高校生のいずみは、友だちに誘われて初めてライブハウスへ。
ドキドキしながら入場口でチケットを渡したら、「中学生はだめだよ」と言われてしまう。早々に失礼な男にあたるし、ライブ中も全然うまく音楽に乗れないし…。凹むいずみに、失礼な男が「お詫び　させてくださいよ」と声をかけてきて…!?
【track1「初めてのライブハウス」を収録】")</f>
        <v>高校生のいずみは、友だちに誘われて初めてライブハウスへ。
ドキドキしながら入場口でチケットを渡したら、「中学生はだめだよ」と言われてしまう。早々に失礼な男にあたるし、ライブ中も全然うまく音楽に乗れないし…。凹むいずみに、失礼な男が「お詫び　させてくださいよ」と声をかけてきて…!?
【track1「初めてのライブハウス」を収録】</v>
      </c>
      <c r="W1749" s="14"/>
      <c r="X1749" s="14" t="str">
        <f>IFERROR(__xludf.DUMMYFUNCTION("""COMPUTED_VALUE"""),"有")</f>
        <v>有</v>
      </c>
      <c r="Y1749" s="8" t="str">
        <f>IFERROR(__xludf.DUMMYFUNCTION("""COMPUTED_VALUE"""),"2024/10/24まで1巻無料")</f>
        <v>2024/10/24まで1巻無料</v>
      </c>
      <c r="Z1749" s="7"/>
      <c r="AA1749" s="7"/>
      <c r="AB1749" s="7"/>
    </row>
    <row r="1750" ht="15.75" customHeight="1">
      <c r="A1750" s="66">
        <f>IFERROR(__xludf.DUMMYFUNCTION("""COMPUTED_VALUE"""),3441.0)</f>
        <v>3441</v>
      </c>
      <c r="B1750" s="75" t="str">
        <f>IFERROR(__xludf.DUMMYFUNCTION("""COMPUTED_VALUE"""),"確定")</f>
        <v>確定</v>
      </c>
      <c r="C1750" s="68">
        <f>IFERROR(__xludf.DUMMYFUNCTION("""COMPUTED_VALUE"""),45429.0)</f>
        <v>45429</v>
      </c>
      <c r="D1750" s="68">
        <f>IFERROR(__xludf.DUMMYFUNCTION("""COMPUTED_VALUE"""),45482.0)</f>
        <v>45482</v>
      </c>
      <c r="E1750" s="31">
        <f>IFERROR(__xludf.DUMMYFUNCTION("""COMPUTED_VALUE"""),297667.0)</f>
        <v>297667</v>
      </c>
      <c r="F1750" s="31" t="str">
        <f>IFERROR(__xludf.DUMMYFUNCTION("""COMPUTED_VALUE"""),"愛がなければアイドルできない ベツフレプチ")</f>
        <v>愛がなければアイドルできない ベツフレプチ</v>
      </c>
      <c r="G1750" s="69" t="str">
        <f>IFERROR(__xludf.DUMMYFUNCTION("""COMPUTED_VALUE"""),"1～4")</f>
        <v>1～4</v>
      </c>
      <c r="H1750" s="75" t="str">
        <f>IFERROR(__xludf.DUMMYFUNCTION("""COMPUTED_VALUE"""),"北川夕夏")</f>
        <v>北川夕夏</v>
      </c>
      <c r="I1750" s="75" t="str">
        <f>IFERROR(__xludf.DUMMYFUNCTION("""COMPUTED_VALUE"""),"少女")</f>
        <v>少女</v>
      </c>
      <c r="J1750" s="75"/>
      <c r="K1750" s="75"/>
      <c r="L1750" s="75" t="str">
        <f>IFERROR(__xludf.DUMMYFUNCTION("""COMPUTED_VALUE"""),"講談社")</f>
        <v>講談社</v>
      </c>
      <c r="M1750" s="59">
        <f>IFERROR(__xludf.DUMMYFUNCTION("""COMPUTED_VALUE"""),45498.0)</f>
        <v>45498</v>
      </c>
      <c r="N1750" s="73">
        <f>IFERROR(__xludf.DUMMYFUNCTION("""COMPUTED_VALUE"""),45589.0)</f>
        <v>45589</v>
      </c>
      <c r="O1750" s="69"/>
      <c r="P1750" s="80" t="str">
        <f>IFERROR(__xludf.DUMMYFUNCTION("""COMPUTED_VALUE"""),"否")</f>
        <v>否</v>
      </c>
      <c r="Q1750" s="72" t="str">
        <f>IFERROR(__xludf.DUMMYFUNCTION("""COMPUTED_VALUE"""),"広告コミットOK(5/23)")</f>
        <v>広告コミットOK(5/23)</v>
      </c>
      <c r="R1750" s="75"/>
      <c r="S1750" s="75" t="str">
        <f>IFERROR(__xludf.DUMMYFUNCTION("""COMPUTED_VALUE"""),"20240705_講談社_愛がなければアイドルできない")</f>
        <v>20240705_講談社_愛がなければアイドルできない</v>
      </c>
      <c r="T1750" s="75" t="str">
        <f>IFERROR(__xludf.DUMMYFUNCTION("""COMPUTED_VALUE"""),"格納済み")</f>
        <v>格納済み</v>
      </c>
      <c r="U1750" s="15" t="str">
        <f>IFERROR(__xludf.DUMMYFUNCTION("""COMPUTED_VALUE"""),"©Yuka Kitagawa/講談社")</f>
        <v>©Yuka Kitagawa/講談社</v>
      </c>
      <c r="V1750" s="8" t="str">
        <f>IFERROR(__xludf.DUMMYFUNCTION("""COMPUTED_VALUE"""),"超人気アイドルグループ・ILY（アイリー）のイブキを神と崇める乃愛（のあ）。ライブ後、コンビニのプリンコーナーで2人は偶然出会う。イブキがストレスを抱えていると知り、乃愛はガチファンであることを隠すけれど…!?　そして2人は一夜限りの逃避行へーー!!　【第１話「ライブの後の逃避行」を収録】")</f>
        <v>超人気アイドルグループ・ILY（アイリー）のイブキを神と崇める乃愛（のあ）。ライブ後、コンビニのプリンコーナーで2人は偶然出会う。イブキがストレスを抱えていると知り、乃愛はガチファンであることを隠すけれど…!?　そして2人は一夜限りの逃避行へーー!!　【第１話「ライブの後の逃避行」を収録】</v>
      </c>
      <c r="W1750" s="14"/>
      <c r="X1750" s="14" t="str">
        <f>IFERROR(__xludf.DUMMYFUNCTION("""COMPUTED_VALUE"""),"有")</f>
        <v>有</v>
      </c>
      <c r="Y1750" s="8" t="str">
        <f>IFERROR(__xludf.DUMMYFUNCTION("""COMPUTED_VALUE"""),"2024/10/24まで1巻無料")</f>
        <v>2024/10/24まで1巻無料</v>
      </c>
      <c r="Z1750" s="7"/>
      <c r="AA1750" s="7"/>
      <c r="AB1750" s="7"/>
    </row>
    <row r="1751" ht="15.75" customHeight="1">
      <c r="A1751" s="66">
        <f>IFERROR(__xludf.DUMMYFUNCTION("""COMPUTED_VALUE"""),3478.0)</f>
        <v>3478</v>
      </c>
      <c r="B1751" s="75" t="str">
        <f>IFERROR(__xludf.DUMMYFUNCTION("""COMPUTED_VALUE"""),"確定")</f>
        <v>確定</v>
      </c>
      <c r="C1751" s="68">
        <f>IFERROR(__xludf.DUMMYFUNCTION("""COMPUTED_VALUE"""),45433.0)</f>
        <v>45433</v>
      </c>
      <c r="D1751" s="68">
        <f>IFERROR(__xludf.DUMMYFUNCTION("""COMPUTED_VALUE"""),45478.0)</f>
        <v>45478</v>
      </c>
      <c r="E1751" s="31">
        <f>IFERROR(__xludf.DUMMYFUNCTION("""COMPUTED_VALUE"""),297910.0)</f>
        <v>297910</v>
      </c>
      <c r="F1751" s="31" t="str">
        <f>IFERROR(__xludf.DUMMYFUNCTION("""COMPUTED_VALUE"""),"ねぇなっちゃん、こっちむいて")</f>
        <v>ねぇなっちゃん、こっちむいて</v>
      </c>
      <c r="G1751" s="11" t="str">
        <f>IFERROR(__xludf.DUMMYFUNCTION("""COMPUTED_VALUE"""),"1～2")</f>
        <v>1～2</v>
      </c>
      <c r="H1751" s="75" t="str">
        <f>IFERROR(__xludf.DUMMYFUNCTION("""COMPUTED_VALUE"""),"大村あも")</f>
        <v>大村あも</v>
      </c>
      <c r="I1751" s="75" t="str">
        <f>IFERROR(__xludf.DUMMYFUNCTION("""COMPUTED_VALUE"""),"BL")</f>
        <v>BL</v>
      </c>
      <c r="J1751" s="75"/>
      <c r="K1751" s="75"/>
      <c r="L1751" s="75" t="str">
        <f>IFERROR(__xludf.DUMMYFUNCTION("""COMPUTED_VALUE"""),"CLLENN")</f>
        <v>CLLENN</v>
      </c>
      <c r="M1751" s="59">
        <f>IFERROR(__xludf.DUMMYFUNCTION("""COMPUTED_VALUE"""),45501.0)</f>
        <v>45501</v>
      </c>
      <c r="N1751" s="47">
        <f>IFERROR(__xludf.DUMMYFUNCTION("""COMPUTED_VALUE"""),45514.0)</f>
        <v>45514</v>
      </c>
      <c r="O1751" s="69"/>
      <c r="P1751" s="80" t="str">
        <f>IFERROR(__xludf.DUMMYFUNCTION("""COMPUTED_VALUE"""),"可")</f>
        <v>可</v>
      </c>
      <c r="Q1751" s="75" t="str">
        <f>IFERROR(__xludf.DUMMYFUNCTION("""COMPUTED_VALUE"""),"広告コミットOK(5/31)")</f>
        <v>広告コミットOK(5/31)</v>
      </c>
      <c r="R1751" s="75" t="str">
        <f>IFERROR(__xludf.DUMMYFUNCTION("""COMPUTED_VALUE"""),"格納済み")</f>
        <v>格納済み</v>
      </c>
      <c r="S1751" s="75" t="str">
        <f>IFERROR(__xludf.DUMMYFUNCTION("""COMPUTED_VALUE"""),"20240705_CLLENN_ねぇなっちゃん、こっちむいて")</f>
        <v>20240705_CLLENN_ねぇなっちゃん、こっちむいて</v>
      </c>
      <c r="T1751" s="75" t="str">
        <f>IFERROR(__xludf.DUMMYFUNCTION("""COMPUTED_VALUE"""),"格納済み")</f>
        <v>格納済み</v>
      </c>
      <c r="U1751" s="15" t="str">
        <f>IFERROR(__xludf.DUMMYFUNCTION("""COMPUTED_VALUE"""),"(C)大村あも/CLLENN")</f>
        <v>(C)大村あも/CLLENN</v>
      </c>
      <c r="V1751" s="8" t="str">
        <f>IFERROR(__xludf.DUMMYFUNCTION("""COMPUTED_VALUE"""),"「なっちゃんの好きなトコ教えて…？　当ててあげる」そんなデカいので激しく突かれたら、当ててなくても当たってる…！苦労して大手企業に入社した北村 渚(きたむら なぎさ)は、定年までマジメに働くぞ！と、日々穏やかに過ごしていた。ところが、告白してきた女性社員に自分がゲイであることをカムアウトした日を境に、その日々は一変してしまう。上司には絡まれ、同僚には心ないことを言われ、参加した飲み会では口にしたグラスから変な味がして…？ふらふらになりながらも家路を急ぐが、様子のおかしい渚を見かねた彫師の井田 悠馬(いだ "&amp;"ゆうま)に助けられ、介抱されることに。悠馬の優しさと申し訳なさから泣き出してしまう渚だが、気づいたら勃起してしまって――！？どうにかしようにも体がふにゃふにゃして思うように動かない…！　自分の体の変化に動揺する渚を見た悠馬は、「俺がしてもいい？」と渚の股間に手を伸ばしてきて――。見ず知らずの男にアソコの世話までされて…こんなのダメなのに、気持ちいいのがとまらない…ッ！")</f>
        <v>「なっちゃんの好きなトコ教えて…？　当ててあげる」そんなデカいので激しく突かれたら、当ててなくても当たってる…！苦労して大手企業に入社した北村 渚(きたむら なぎさ)は、定年までマジメに働くぞ！と、日々穏やかに過ごしていた。ところが、告白してきた女性社員に自分がゲイであることをカムアウトした日を境に、その日々は一変してしまう。上司には絡まれ、同僚には心ないことを言われ、参加した飲み会では口にしたグラスから変な味がして…？ふらふらになりながらも家路を急ぐが、様子のおかしい渚を見かねた彫師の井田 悠馬(いだ ゆうま)に助けられ、介抱されることに。悠馬の優しさと申し訳なさから泣き出してしまう渚だが、気づいたら勃起してしまって――！？どうにかしようにも体がふにゃふにゃして思うように動かない…！　自分の体の変化に動揺する渚を見た悠馬は、「俺がしてもいい？」と渚の股間に手を伸ばしてきて――。見ず知らずの男にアソコの世話までされて…こんなのダメなのに、気持ちいいのがとまらない…ッ！</v>
      </c>
      <c r="W1751" s="14"/>
      <c r="X1751" s="14" t="str">
        <f>IFERROR(__xludf.DUMMYFUNCTION("""COMPUTED_VALUE"""),"有")</f>
        <v>有</v>
      </c>
      <c r="Y1751" s="8" t="str">
        <f>IFERROR(__xludf.DUMMYFUNCTION("""COMPUTED_VALUE"""),"2024/8/10まで立ち読み増量P21まで")</f>
        <v>2024/8/10まで立ち読み増量P21まで</v>
      </c>
      <c r="Z1751" s="7"/>
      <c r="AA1751" s="7"/>
      <c r="AB1751" s="7"/>
    </row>
    <row r="1752" ht="15.75" customHeight="1">
      <c r="A1752" s="66">
        <f>IFERROR(__xludf.DUMMYFUNCTION("""COMPUTED_VALUE"""),3483.0)</f>
        <v>3483</v>
      </c>
      <c r="B1752" s="75" t="str">
        <f>IFERROR(__xludf.DUMMYFUNCTION("""COMPUTED_VALUE"""),"確定")</f>
        <v>確定</v>
      </c>
      <c r="C1752" s="68">
        <f>IFERROR(__xludf.DUMMYFUNCTION("""COMPUTED_VALUE"""),45434.0)</f>
        <v>45434</v>
      </c>
      <c r="D1752" s="68">
        <f>IFERROR(__xludf.DUMMYFUNCTION("""COMPUTED_VALUE"""),45482.0)</f>
        <v>45482</v>
      </c>
      <c r="E1752" s="31">
        <f>IFERROR(__xludf.DUMMYFUNCTION("""COMPUTED_VALUE"""),297577.0)</f>
        <v>297577</v>
      </c>
      <c r="F1752" s="31" t="str">
        <f>IFERROR(__xludf.DUMMYFUNCTION("""COMPUTED_VALUE"""),"隣の元カレくん")</f>
        <v>隣の元カレくん</v>
      </c>
      <c r="G1752" s="69" t="str">
        <f>IFERROR(__xludf.DUMMYFUNCTION("""COMPUTED_VALUE"""),"1～5")</f>
        <v>1～5</v>
      </c>
      <c r="H1752" s="75" t="str">
        <f>IFERROR(__xludf.DUMMYFUNCTION("""COMPUTED_VALUE"""),"ago")</f>
        <v>ago</v>
      </c>
      <c r="I1752" s="81" t="str">
        <f>IFERROR(__xludf.DUMMYFUNCTION("""COMPUTED_VALUE"""),"女性")</f>
        <v>女性</v>
      </c>
      <c r="J1752" s="75"/>
      <c r="K1752" s="75"/>
      <c r="L1752" s="75" t="str">
        <f>IFERROR(__xludf.DUMMYFUNCTION("""COMPUTED_VALUE"""),"集英社")</f>
        <v>集英社</v>
      </c>
      <c r="M1752" s="59">
        <f>IFERROR(__xludf.DUMMYFUNCTION("""COMPUTED_VALUE"""),45498.0)</f>
        <v>45498</v>
      </c>
      <c r="N1752" s="59">
        <f>IFERROR(__xludf.DUMMYFUNCTION("""COMPUTED_VALUE"""),45528.0)</f>
        <v>45528</v>
      </c>
      <c r="O1752" s="69"/>
      <c r="P1752" s="80" t="str">
        <f>IFERROR(__xludf.DUMMYFUNCTION("""COMPUTED_VALUE"""),"否")</f>
        <v>否</v>
      </c>
      <c r="Q1752" s="72" t="str">
        <f>IFERROR(__xludf.DUMMYFUNCTION("""COMPUTED_VALUE"""),"広告コミットOK(5/27)&lt;BR&gt;・Meeアプリ内で継続率・課金率ともによく、SNSでのレビューも好感触です。&lt;BR&gt;・レーベルロゴ： マーガレットコミックスDIGITAL または マンガMee")</f>
        <v>広告コミットOK(5/27)&lt;BR&gt;・Meeアプリ内で継続率・課金率ともによく、SNSでのレビューも好感触です。&lt;BR&gt;・レーベルロゴ： マーガレットコミックスDIGITAL または マンガMee</v>
      </c>
      <c r="R1752" s="75"/>
      <c r="S1752" s="75" t="str">
        <f>IFERROR(__xludf.DUMMYFUNCTION("""COMPUTED_VALUE"""),"20240708_集英社_隣の元カレくん（修正）")</f>
        <v>20240708_集英社_隣の元カレくん（修正）</v>
      </c>
      <c r="T1752" s="75" t="str">
        <f>IFERROR(__xludf.DUMMYFUNCTION("""COMPUTED_VALUE"""),"格納済み")</f>
        <v>格納済み</v>
      </c>
      <c r="U1752" s="15" t="str">
        <f>IFERROR(__xludf.DUMMYFUNCTION("""COMPUTED_VALUE"""),"©表記：ago／集英社")</f>
        <v>©表記：ago／集英社</v>
      </c>
      <c r="V1752" s="8" t="str">
        <f>IFERROR(__xludf.DUMMYFUNCTION("""COMPUTED_VALUE"""),"黒木愛理、40歳。ある日隣の部屋に高校時代の忘れられない元カレ・稲葉が引っ越してきた!?　お互い好きなまま別れた二人は、20年以上経っても相手のことが気になってしまい…。アラフォーなのに純情!?　北海道・室蘭を舞台に織りなす熟成男女のすれちがい復縁ラブ、開幕!!")</f>
        <v>黒木愛理、40歳。ある日隣の部屋に高校時代の忘れられない元カレ・稲葉が引っ越してきた!?　お互い好きなまま別れた二人は、20年以上経っても相手のことが気になってしまい…。アラフォーなのに純情!?　北海道・室蘭を舞台に織りなす熟成男女のすれちがい復縁ラブ、開幕!!</v>
      </c>
      <c r="W1752" s="14"/>
      <c r="X1752" s="14" t="str">
        <f>IFERROR(__xludf.DUMMYFUNCTION("""COMPUTED_VALUE"""),"有")</f>
        <v>有</v>
      </c>
      <c r="Y1752" s="8" t="str">
        <f>IFERROR(__xludf.DUMMYFUNCTION("""COMPUTED_VALUE"""),"2024/8/24まで1巻無料")</f>
        <v>2024/8/24まで1巻無料</v>
      </c>
      <c r="Z1752" s="7"/>
      <c r="AA1752" s="7"/>
      <c r="AB1752" s="7"/>
    </row>
    <row r="1753" ht="15.75" customHeight="1">
      <c r="A1753" s="66">
        <f>IFERROR(__xludf.DUMMYFUNCTION("""COMPUTED_VALUE"""),3484.0)</f>
        <v>3484</v>
      </c>
      <c r="B1753" s="75" t="str">
        <f>IFERROR(__xludf.DUMMYFUNCTION("""COMPUTED_VALUE"""),"確定")</f>
        <v>確定</v>
      </c>
      <c r="C1753" s="68">
        <f>IFERROR(__xludf.DUMMYFUNCTION("""COMPUTED_VALUE"""),45434.0)</f>
        <v>45434</v>
      </c>
      <c r="D1753" s="68">
        <f>IFERROR(__xludf.DUMMYFUNCTION("""COMPUTED_VALUE"""),45482.0)</f>
        <v>45482</v>
      </c>
      <c r="E1753" s="31">
        <f>IFERROR(__xludf.DUMMYFUNCTION("""COMPUTED_VALUE"""),297908.0)</f>
        <v>297908</v>
      </c>
      <c r="F1753" s="31" t="str">
        <f>IFERROR(__xludf.DUMMYFUNCTION("""COMPUTED_VALUE"""),"私に愛を叫ばせて 分冊版")</f>
        <v>私に愛を叫ばせて 分冊版</v>
      </c>
      <c r="G1753" s="69" t="str">
        <f>IFERROR(__xludf.DUMMYFUNCTION("""COMPUTED_VALUE"""),"1～5")</f>
        <v>1～5</v>
      </c>
      <c r="H1753" s="75" t="str">
        <f>IFERROR(__xludf.DUMMYFUNCTION("""COMPUTED_VALUE"""),"小坂奈津希")</f>
        <v>小坂奈津希</v>
      </c>
      <c r="I1753" s="75" t="str">
        <f>IFERROR(__xludf.DUMMYFUNCTION("""COMPUTED_VALUE"""),"少女")</f>
        <v>少女</v>
      </c>
      <c r="J1753" s="75"/>
      <c r="K1753" s="75"/>
      <c r="L1753" s="75" t="str">
        <f>IFERROR(__xludf.DUMMYFUNCTION("""COMPUTED_VALUE"""),"集英社")</f>
        <v>集英社</v>
      </c>
      <c r="M1753" s="59">
        <f>IFERROR(__xludf.DUMMYFUNCTION("""COMPUTED_VALUE"""),45501.0)</f>
        <v>45501</v>
      </c>
      <c r="N1753" s="59">
        <f>IFERROR(__xludf.DUMMYFUNCTION("""COMPUTED_VALUE"""),45563.0)</f>
        <v>45563</v>
      </c>
      <c r="O1753" s="69"/>
      <c r="P1753" s="80" t="str">
        <f>IFERROR(__xludf.DUMMYFUNCTION("""COMPUTED_VALUE"""),"否")</f>
        <v>否</v>
      </c>
      <c r="Q1753" s="72" t="str">
        <f>IFERROR(__xludf.DUMMYFUNCTION("""COMPUTED_VALUE"""),"広告コミットOK(5/27)&lt;BR&gt;・3書店先行での提案。他2書店は書店側から先行の提案があったとのこと。&lt;BR&gt;・レーベルロゴ： マーガレットコミックスDIGITAL")</f>
        <v>広告コミットOK(5/27)&lt;BR&gt;・3書店先行での提案。他2書店は書店側から先行の提案があったとのこと。&lt;BR&gt;・レーベルロゴ： マーガレットコミックスDIGITAL</v>
      </c>
      <c r="R1753" s="75"/>
      <c r="S1753" s="75" t="str">
        <f>IFERROR(__xludf.DUMMYFUNCTION("""COMPUTED_VALUE"""),"20240703_集英社_私に愛を叫ばせて")</f>
        <v>20240703_集英社_私に愛を叫ばせて</v>
      </c>
      <c r="T1753" s="75" t="str">
        <f>IFERROR(__xludf.DUMMYFUNCTION("""COMPUTED_VALUE"""),"格納済み")</f>
        <v>格納済み</v>
      </c>
      <c r="U1753" s="15" t="str">
        <f>IFERROR(__xludf.DUMMYFUNCTION("""COMPUTED_VALUE"""),"©表記：小坂奈津希／集英社")</f>
        <v>©表記：小坂奈津希／集英社</v>
      </c>
      <c r="V1753" s="8" t="str">
        <f>IFERROR(__xludf.DUMMYFUNCTION("""COMPUTED_VALUE"""),"「君に愛されたいと想い続けるのは罪なことですか――…？」　主人公・一花は、ちょいギャルでちょっと気の多い女子。同じクラスの地味目男子・槇くんに恋をするのですが、勢いで告白しようとした矢先、意外にも（失礼！）槇くんには彼女がいることが発覚！　彼女持ちに恋するなんて辛いだけ！と思うのだけど――!?　あなたは恋に賛成？　反対？　きれいごとだけじゃない本音のラブコメディ！")</f>
        <v>「君に愛されたいと想い続けるのは罪なことですか――…？」　主人公・一花は、ちょいギャルでちょっと気の多い女子。同じクラスの地味目男子・槇くんに恋をするのですが、勢いで告白しようとした矢先、意外にも（失礼！）槇くんには彼女がいることが発覚！　彼女持ちに恋するなんて辛いだけ！と思うのだけど――!?　あなたは恋に賛成？　反対？　きれいごとだけじゃない本音のラブコメディ！</v>
      </c>
      <c r="W1753" s="14"/>
      <c r="X1753" s="14" t="str">
        <f>IFERROR(__xludf.DUMMYFUNCTION("""COMPUTED_VALUE"""),"有")</f>
        <v>有</v>
      </c>
      <c r="Y1753" s="8" t="str">
        <f>IFERROR(__xludf.DUMMYFUNCTION("""COMPUTED_VALUE"""),"2024/8/27まで1巻無料")</f>
        <v>2024/8/27まで1巻無料</v>
      </c>
      <c r="Z1753" s="7"/>
      <c r="AA1753" s="7"/>
      <c r="AB1753" s="7"/>
    </row>
    <row r="1754" ht="15.75" customHeight="1">
      <c r="A1754" s="66">
        <f>IFERROR(__xludf.DUMMYFUNCTION("""COMPUTED_VALUE"""),3500.0)</f>
        <v>3500</v>
      </c>
      <c r="B1754" s="75" t="str">
        <f>IFERROR(__xludf.DUMMYFUNCTION("""COMPUTED_VALUE"""),"確定")</f>
        <v>確定</v>
      </c>
      <c r="C1754" s="68">
        <f>IFERROR(__xludf.DUMMYFUNCTION("""COMPUTED_VALUE"""),45436.0)</f>
        <v>45436</v>
      </c>
      <c r="D1754" s="68">
        <f>IFERROR(__xludf.DUMMYFUNCTION("""COMPUTED_VALUE"""),45482.0)</f>
        <v>45482</v>
      </c>
      <c r="E1754" s="31">
        <f>IFERROR(__xludf.DUMMYFUNCTION("""COMPUTED_VALUE"""),297911.0)</f>
        <v>297911</v>
      </c>
      <c r="F1754" s="31" t="str">
        <f>IFERROR(__xludf.DUMMYFUNCTION("""COMPUTED_VALUE"""),"エリート王子は年下ワンコにはなびかない")</f>
        <v>エリート王子は年下ワンコにはなびかない</v>
      </c>
      <c r="G1754" s="11" t="str">
        <f>IFERROR(__xludf.DUMMYFUNCTION("""COMPUTED_VALUE"""),"1～2")</f>
        <v>1～2</v>
      </c>
      <c r="H1754" s="75" t="str">
        <f>IFERROR(__xludf.DUMMYFUNCTION("""COMPUTED_VALUE"""),"砂川13番")</f>
        <v>砂川13番</v>
      </c>
      <c r="I1754" s="75" t="str">
        <f>IFERROR(__xludf.DUMMYFUNCTION("""COMPUTED_VALUE"""),"BL")</f>
        <v>BL</v>
      </c>
      <c r="J1754" s="75"/>
      <c r="K1754" s="75"/>
      <c r="L1754" s="75" t="str">
        <f>IFERROR(__xludf.DUMMYFUNCTION("""COMPUTED_VALUE"""),"CLLENN")</f>
        <v>CLLENN</v>
      </c>
      <c r="M1754" s="59">
        <f>IFERROR(__xludf.DUMMYFUNCTION("""COMPUTED_VALUE"""),45501.0)</f>
        <v>45501</v>
      </c>
      <c r="N1754" s="47">
        <f>IFERROR(__xludf.DUMMYFUNCTION("""COMPUTED_VALUE"""),45567.0)</f>
        <v>45567</v>
      </c>
      <c r="O1754" s="69"/>
      <c r="P1754" s="80" t="str">
        <f>IFERROR(__xludf.DUMMYFUNCTION("""COMPUTED_VALUE"""),"可")</f>
        <v>可</v>
      </c>
      <c r="Q1754" s="75" t="str">
        <f>IFERROR(__xludf.DUMMYFUNCTION("""COMPUTED_VALUE"""),"広告コミットOK(5/29)")</f>
        <v>広告コミットOK(5/29)</v>
      </c>
      <c r="R1754" s="75" t="str">
        <f>IFERROR(__xludf.DUMMYFUNCTION("""COMPUTED_VALUE"""),"格納済み")</f>
        <v>格納済み</v>
      </c>
      <c r="S1754" s="75" t="str">
        <f>IFERROR(__xludf.DUMMYFUNCTION("""COMPUTED_VALUE"""),"20240708_CLLENN_エリート王子は年下ワンコにはなびかない")</f>
        <v>20240708_CLLENN_エリート王子は年下ワンコにはなびかない</v>
      </c>
      <c r="T1754" s="75" t="str">
        <f>IFERROR(__xludf.DUMMYFUNCTION("""COMPUTED_VALUE"""),"格納済み")</f>
        <v>格納済み</v>
      </c>
      <c r="U1754" s="15" t="str">
        <f>IFERROR(__xludf.DUMMYFUNCTION("""COMPUTED_VALUE"""),"(C)砂川13番/CLLENN")</f>
        <v>(C)砂川13番/CLLENN</v>
      </c>
      <c r="V1754" s="8" t="str">
        <f>IFERROR(__xludf.DUMMYFUNCTION("""COMPUTED_VALUE"""),"【俺のこと触ったり舐めたりしたくないのか？】ずっと焦がれ続けた相手に淫らな姿で迫られたら、我慢なんてできない…!!――電気工事系の会社で働く乾 快一（いぬい かいち）の日々の癒しは、通勤中にかつての片思い相手、高峯 皇志（たかみね こうし）を遠くから眺めること。そんなある日、エアコン修理に向かった先で偶然高峯と再会する。いつもの高嶺の花のような姿とは打って変わって、恋人に振られてヤケ酒し、荒れている様子の高峯…。話の流れで乾が高峯に長年片思いしていたことを知ると、いきなり押し倒してきて!?「憧れの俺に触れ"&amp;"るんだぞ」と自分の胸を触らせてくる、高峯の扇情的な姿にドキドキが止まらない！失恋してヤケクソになっているだけだと分かっていても、興奮が抑えられず、欲望のまま高峯に覆いかぶさってしまい――!!!?")</f>
        <v>【俺のこと触ったり舐めたりしたくないのか？】ずっと焦がれ続けた相手に淫らな姿で迫られたら、我慢なんてできない…!!――電気工事系の会社で働く乾 快一（いぬい かいち）の日々の癒しは、通勤中にかつての片思い相手、高峯 皇志（たかみね こうし）を遠くから眺めること。そんなある日、エアコン修理に向かった先で偶然高峯と再会する。いつもの高嶺の花のような姿とは打って変わって、恋人に振られてヤケ酒し、荒れている様子の高峯…。話の流れで乾が高峯に長年片思いしていたことを知ると、いきなり押し倒してきて!?「憧れの俺に触れるんだぞ」と自分の胸を触らせてくる、高峯の扇情的な姿にドキドキが止まらない！失恋してヤケクソになっているだけだと分かっていても、興奮が抑えられず、欲望のまま高峯に覆いかぶさってしまい――!!!?</v>
      </c>
      <c r="W1754" s="14"/>
      <c r="X1754" s="14" t="str">
        <f>IFERROR(__xludf.DUMMYFUNCTION("""COMPUTED_VALUE"""),"有")</f>
        <v>有</v>
      </c>
      <c r="Y1754" s="8" t="str">
        <f>IFERROR(__xludf.DUMMYFUNCTION("""COMPUTED_VALUE"""),"2024/8/10まで立ち読み増量P17まで")</f>
        <v>2024/8/10まで立ち読み増量P17まで</v>
      </c>
      <c r="Z1754" s="7"/>
      <c r="AA1754" s="7"/>
      <c r="AB1754" s="7"/>
    </row>
    <row r="1755" ht="15.75" customHeight="1">
      <c r="A1755" s="66">
        <f>IFERROR(__xludf.DUMMYFUNCTION("""COMPUTED_VALUE"""),3520.0)</f>
        <v>3520</v>
      </c>
      <c r="B1755" s="75" t="str">
        <f>IFERROR(__xludf.DUMMYFUNCTION("""COMPUTED_VALUE"""),"確定")</f>
        <v>確定</v>
      </c>
      <c r="C1755" s="68">
        <f>IFERROR(__xludf.DUMMYFUNCTION("""COMPUTED_VALUE"""),45439.0)</f>
        <v>45439</v>
      </c>
      <c r="D1755" s="68">
        <f>IFERROR(__xludf.DUMMYFUNCTION("""COMPUTED_VALUE"""),45483.0)</f>
        <v>45483</v>
      </c>
      <c r="E1755" s="60">
        <f>IFERROR(__xludf.DUMMYFUNCTION("""COMPUTED_VALUE"""),298231.0)</f>
        <v>298231</v>
      </c>
      <c r="F1755" s="60" t="str">
        <f>IFERROR(__xludf.DUMMYFUNCTION("""COMPUTED_VALUE"""),"悪役令嬢とヤンデレ王子の執着愛")</f>
        <v>悪役令嬢とヤンデレ王子の執着愛</v>
      </c>
      <c r="G1755" s="69">
        <f>IFERROR(__xludf.DUMMYFUNCTION("""COMPUTED_VALUE"""),1.0)</f>
        <v>1</v>
      </c>
      <c r="H1755" s="75" t="str">
        <f>IFERROR(__xludf.DUMMYFUNCTION("""COMPUTED_VALUE"""),"漫画：喜久田ゆい、原作：琴子")</f>
        <v>漫画：喜久田ゆい、原作：琴子</v>
      </c>
      <c r="I1755" s="75" t="str">
        <f>IFERROR(__xludf.DUMMYFUNCTION("""COMPUTED_VALUE"""),"少女")</f>
        <v>少女</v>
      </c>
      <c r="J1755" s="75"/>
      <c r="K1755" s="75"/>
      <c r="L1755" s="75" t="str">
        <f>IFERROR(__xludf.DUMMYFUNCTION("""COMPUTED_VALUE"""),"一迅社")</f>
        <v>一迅社</v>
      </c>
      <c r="M1755" s="47">
        <f>IFERROR(__xludf.DUMMYFUNCTION("""COMPUTED_VALUE"""),45566.0)</f>
        <v>45566</v>
      </c>
      <c r="N1755" s="47">
        <f>IFERROR(__xludf.DUMMYFUNCTION("""COMPUTED_VALUE"""),45596.0)</f>
        <v>45596</v>
      </c>
      <c r="O1755" s="69"/>
      <c r="P1755" s="80" t="str">
        <f>IFERROR(__xludf.DUMMYFUNCTION("""COMPUTED_VALUE"""),"可")</f>
        <v>可</v>
      </c>
      <c r="Q1755" s="72" t="str">
        <f>IFERROR(__xludf.DUMMYFUNCTION("""COMPUTED_VALUE"""),"広告コミットOK（6/3）&lt;BR&gt;・アンソロジー掲載の単話の配信です。&lt;BR&gt;・作画は「虫かぶり姫」の喜久田先生で、ヒーローの一途系です。")</f>
        <v>広告コミットOK（6/3）&lt;BR&gt;・アンソロジー掲載の単話の配信です。&lt;BR&gt;・作画は「虫かぶり姫」の喜久田先生で、ヒーローの一途系です。</v>
      </c>
      <c r="R1755" s="75"/>
      <c r="S1755" s="75" t="str">
        <f>IFERROR(__xludf.DUMMYFUNCTION("""COMPUTED_VALUE"""),"20240709_一迅社_悪役令嬢とヤンデレ王子の執着愛")</f>
        <v>20240709_一迅社_悪役令嬢とヤンデレ王子の執着愛</v>
      </c>
      <c r="T1755" s="75" t="str">
        <f>IFERROR(__xludf.DUMMYFUNCTION("""COMPUTED_VALUE"""),"格納済み")</f>
        <v>格納済み</v>
      </c>
      <c r="U1755" s="15" t="str">
        <f>IFERROR(__xludf.DUMMYFUNCTION("""COMPUTED_VALUE"""),"(C)喜久田ゆい・琴子／一迅社")</f>
        <v>(C)喜久田ゆい・琴子／一迅社</v>
      </c>
      <c r="V1755" s="8" t="str">
        <f>IFERROR(__xludf.DUMMYFUNCTION("""COMPUTED_VALUE"""),"子供の時に悪役令嬢に転生したことに気づき、断罪されないために王子と婚約解消したけれど!?　※この作品は『悪役令嬢ですが、幸せになってみせますわ！　アンソロジーコミック』10巻収録作品と同一の内容を単話版として再編集したものとなります。")</f>
        <v>子供の時に悪役令嬢に転生したことに気づき、断罪されないために王子と婚約解消したけれど!?　※この作品は『悪役令嬢ですが、幸せになってみせますわ！　アンソロジーコミック』10巻収録作品と同一の内容を単話版として再編集したものとなります。</v>
      </c>
      <c r="W1755" s="14"/>
      <c r="X1755" s="14" t="str">
        <f>IFERROR(__xludf.DUMMYFUNCTION("""COMPUTED_VALUE"""),"有")</f>
        <v>有</v>
      </c>
      <c r="Y1755" s="8" t="str">
        <f>IFERROR(__xludf.DUMMYFUNCTION("""COMPUTED_VALUE"""),"P9まで")</f>
        <v>P9まで</v>
      </c>
      <c r="Z1755" s="7"/>
      <c r="AA1755" s="7"/>
      <c r="AB1755" s="7"/>
    </row>
    <row r="1756" ht="87.0" customHeight="1">
      <c r="A1756" s="66">
        <f>IFERROR(__xludf.DUMMYFUNCTION("""COMPUTED_VALUE"""),3521.0)</f>
        <v>3521</v>
      </c>
      <c r="B1756" s="75" t="str">
        <f>IFERROR(__xludf.DUMMYFUNCTION("""COMPUTED_VALUE"""),"確定")</f>
        <v>確定</v>
      </c>
      <c r="C1756" s="68">
        <f>IFERROR(__xludf.DUMMYFUNCTION("""COMPUTED_VALUE"""),45439.0)</f>
        <v>45439</v>
      </c>
      <c r="D1756" s="68">
        <f>IFERROR(__xludf.DUMMYFUNCTION("""COMPUTED_VALUE"""),45483.0)</f>
        <v>45483</v>
      </c>
      <c r="E1756" s="31">
        <f>IFERROR(__xludf.DUMMYFUNCTION("""COMPUTED_VALUE"""),298229.0)</f>
        <v>298229</v>
      </c>
      <c r="F1756" s="31" t="str">
        <f>IFERROR(__xludf.DUMMYFUNCTION("""COMPUTED_VALUE"""),"深紅の令嬢は自己肯定感低め！")</f>
        <v>深紅の令嬢は自己肯定感低め！</v>
      </c>
      <c r="G1756" s="69">
        <f>IFERROR(__xludf.DUMMYFUNCTION("""COMPUTED_VALUE"""),1.0)</f>
        <v>1</v>
      </c>
      <c r="H1756" s="75" t="str">
        <f>IFERROR(__xludf.DUMMYFUNCTION("""COMPUTED_VALUE"""),"城キイコ 原作：小山内慧夢 キャラクター原案：まろ")</f>
        <v>城キイコ 原作：小山内慧夢 キャラクター原案：まろ</v>
      </c>
      <c r="I1756" s="75" t="str">
        <f>IFERROR(__xludf.DUMMYFUNCTION("""COMPUTED_VALUE"""),"少女")</f>
        <v>少女</v>
      </c>
      <c r="J1756" s="75"/>
      <c r="K1756" s="75"/>
      <c r="L1756" s="75" t="str">
        <f>IFERROR(__xludf.DUMMYFUNCTION("""COMPUTED_VALUE"""),"一迅社")</f>
        <v>一迅社</v>
      </c>
      <c r="M1756" s="59">
        <f>IFERROR(__xludf.DUMMYFUNCTION("""COMPUTED_VALUE"""),45505.0)</f>
        <v>45505</v>
      </c>
      <c r="N1756" s="59">
        <f>IFERROR(__xludf.DUMMYFUNCTION("""COMPUTED_VALUE"""),45596.66666666667)</f>
        <v>45596.66667</v>
      </c>
      <c r="O1756" s="69"/>
      <c r="P1756" s="80" t="str">
        <f>IFERROR(__xludf.DUMMYFUNCTION("""COMPUTED_VALUE"""),"可")</f>
        <v>可</v>
      </c>
      <c r="Q1756" s="72" t="str">
        <f>IFERROR(__xludf.DUMMYFUNCTION("""COMPUTED_VALUE"""),"広告コミットOK（6/3）&lt;BR&gt;・アンソロジー掲載の単話の配信です。&lt;BR&gt;・素材はアンソロジー11巻から切り出しをお願いいたします。")</f>
        <v>広告コミットOK（6/3）&lt;BR&gt;・アンソロジー掲載の単話の配信です。&lt;BR&gt;・素材はアンソロジー11巻から切り出しをお願いいたします。</v>
      </c>
      <c r="R1756" s="75"/>
      <c r="S1756" s="75" t="str">
        <f>IFERROR(__xludf.DUMMYFUNCTION("""COMPUTED_VALUE"""),"20240709_一迅社_深紅の令嬢は自己肯定感低め！")</f>
        <v>20240709_一迅社_深紅の令嬢は自己肯定感低め！</v>
      </c>
      <c r="T1756" s="75" t="str">
        <f>IFERROR(__xludf.DUMMYFUNCTION("""COMPUTED_VALUE"""),"格納済み")</f>
        <v>格納済み</v>
      </c>
      <c r="U1756" s="15" t="str">
        <f>IFERROR(__xludf.DUMMYFUNCTION("""COMPUTED_VALUE"""),"(C)城キイコ・小山内慧夢・まろ／一迅社")</f>
        <v>(C)城キイコ・小山内慧夢・まろ／一迅社</v>
      </c>
      <c r="V1756" s="8" t="str">
        <f>IFERROR(__xludf.DUMMYFUNCTION("""COMPUTED_VALUE"""),"婚約者の王太子に嫌われていると思い、彼の幸せのために完璧な悪役令嬢になろうとして!?　※この作品は『悪役令嬢ですが、幸せになってみせますわ！　アンソロジーコミック』11巻収録作品と同一の内容を単話版として再編集したものとなります。")</f>
        <v>婚約者の王太子に嫌われていると思い、彼の幸せのために完璧な悪役令嬢になろうとして!?　※この作品は『悪役令嬢ですが、幸せになってみせますわ！　アンソロジーコミック』11巻収録作品と同一の内容を単話版として再編集したものとなります。</v>
      </c>
      <c r="W1756" s="14"/>
      <c r="X1756" s="14" t="str">
        <f>IFERROR(__xludf.DUMMYFUNCTION("""COMPUTED_VALUE"""),"有")</f>
        <v>有</v>
      </c>
      <c r="Y1756" s="8" t="str">
        <f>IFERROR(__xludf.DUMMYFUNCTION("""COMPUTED_VALUE"""),"P8まで")</f>
        <v>P8まで</v>
      </c>
      <c r="Z1756" s="7"/>
      <c r="AA1756" s="7"/>
      <c r="AB1756" s="7"/>
    </row>
    <row r="1757" ht="15.75" customHeight="1">
      <c r="A1757" s="66">
        <f>IFERROR(__xludf.DUMMYFUNCTION("""COMPUTED_VALUE"""),3525.0)</f>
        <v>3525</v>
      </c>
      <c r="B1757" s="75" t="str">
        <f>IFERROR(__xludf.DUMMYFUNCTION("""COMPUTED_VALUE"""),"確定")</f>
        <v>確定</v>
      </c>
      <c r="C1757" s="68">
        <f>IFERROR(__xludf.DUMMYFUNCTION("""COMPUTED_VALUE"""),45439.0)</f>
        <v>45439</v>
      </c>
      <c r="D1757" s="68">
        <f>IFERROR(__xludf.DUMMYFUNCTION("""COMPUTED_VALUE"""),45483.0)</f>
        <v>45483</v>
      </c>
      <c r="E1757" s="31">
        <f>IFERROR(__xludf.DUMMYFUNCTION("""COMPUTED_VALUE"""),298232.0)</f>
        <v>298232</v>
      </c>
      <c r="F1757" s="31" t="str">
        <f>IFERROR(__xludf.DUMMYFUNCTION("""COMPUTED_VALUE"""),"追放された私が、どうやら国宝のようです⁉ ～陰キャ令嬢の快適辺境ライフ～")</f>
        <v>追放された私が、どうやら国宝のようです⁉ ～陰キャ令嬢の快適辺境ライフ～</v>
      </c>
      <c r="G1757" s="69">
        <f>IFERROR(__xludf.DUMMYFUNCTION("""COMPUTED_VALUE"""),1.0)</f>
        <v>1</v>
      </c>
      <c r="H1757" s="75" t="str">
        <f>IFERROR(__xludf.DUMMYFUNCTION("""COMPUTED_VALUE"""),"八坂アキヲ・相川有")</f>
        <v>八坂アキヲ・相川有</v>
      </c>
      <c r="I1757" s="75" t="str">
        <f>IFERROR(__xludf.DUMMYFUNCTION("""COMPUTED_VALUE"""),"少女")</f>
        <v>少女</v>
      </c>
      <c r="J1757" s="75"/>
      <c r="K1757" s="75"/>
      <c r="L1757" s="75" t="str">
        <f>IFERROR(__xludf.DUMMYFUNCTION("""COMPUTED_VALUE"""),"一迅社")</f>
        <v>一迅社</v>
      </c>
      <c r="M1757" s="59">
        <f>IFERROR(__xludf.DUMMYFUNCTION("""COMPUTED_VALUE"""),45505.0)</f>
        <v>45505</v>
      </c>
      <c r="N1757" s="59">
        <f>IFERROR(__xludf.DUMMYFUNCTION("""COMPUTED_VALUE"""),45535.0)</f>
        <v>45535</v>
      </c>
      <c r="O1757" s="69"/>
      <c r="P1757" s="80" t="str">
        <f>IFERROR(__xludf.DUMMYFUNCTION("""COMPUTED_VALUE"""),"可")</f>
        <v>可</v>
      </c>
      <c r="Q1757" s="72" t="str">
        <f>IFERROR(__xludf.DUMMYFUNCTION("""COMPUTED_VALUE"""),"広告コミットOK(6/3)&lt;BR&gt;・アンソロジー掲載の単話の配信です。&lt;BR&gt;・本文データはアンソロジー11巻から切り出しをお願いいたします。")</f>
        <v>広告コミットOK(6/3)&lt;BR&gt;・アンソロジー掲載の単話の配信です。&lt;BR&gt;・本文データはアンソロジー11巻から切り出しをお願いいたします。</v>
      </c>
      <c r="R1757" s="75"/>
      <c r="S1757" s="75" t="str">
        <f>IFERROR(__xludf.DUMMYFUNCTION("""COMPUTED_VALUE"""),"20240709_一迅社_追放された私が、どうやら国宝のようです! ～陰キャ令嬢の快適辺境ライフ～")</f>
        <v>20240709_一迅社_追放された私が、どうやら国宝のようです! ～陰キャ令嬢の快適辺境ライフ～</v>
      </c>
      <c r="T1757" s="75" t="str">
        <f>IFERROR(__xludf.DUMMYFUNCTION("""COMPUTED_VALUE"""),"格納済み")</f>
        <v>格納済み</v>
      </c>
      <c r="U1757" s="15" t="str">
        <f>IFERROR(__xludf.DUMMYFUNCTION("""COMPUTED_VALUE"""),"(C)八坂アキヲ・相川有／一迅社")</f>
        <v>(C)八坂アキヲ・相川有／一迅社</v>
      </c>
      <c r="V1757" s="8" t="str">
        <f>IFERROR(__xludf.DUMMYFUNCTION("""COMPUTED_VALUE"""),"妹に嫌がらせをしたと婚約破棄された令嬢が、本当は美少女で、本当は天才で――!?　※この作品は『悪役令嬢ですが、幸せになってみせますわ！　アンソロジーコミック』11巻収録作品と同一の内容を単話版として再編集したものとなります。")</f>
        <v>妹に嫌がらせをしたと婚約破棄された令嬢が、本当は美少女で、本当は天才で――!?　※この作品は『悪役令嬢ですが、幸せになってみせますわ！　アンソロジーコミック』11巻収録作品と同一の内容を単話版として再編集したものとなります。</v>
      </c>
      <c r="W1757" s="14"/>
      <c r="X1757" s="14" t="str">
        <f>IFERROR(__xludf.DUMMYFUNCTION("""COMPUTED_VALUE"""),"有")</f>
        <v>有</v>
      </c>
      <c r="Y1757" s="8" t="str">
        <f>IFERROR(__xludf.DUMMYFUNCTION("""COMPUTED_VALUE"""),"P9まで")</f>
        <v>P9まで</v>
      </c>
      <c r="Z1757" s="7"/>
      <c r="AA1757" s="7"/>
      <c r="AB1757" s="7"/>
    </row>
    <row r="1758" ht="15.75" customHeight="1">
      <c r="A1758" s="66">
        <f>IFERROR(__xludf.DUMMYFUNCTION("""COMPUTED_VALUE"""),3528.0)</f>
        <v>3528</v>
      </c>
      <c r="B1758" s="75" t="str">
        <f>IFERROR(__xludf.DUMMYFUNCTION("""COMPUTED_VALUE"""),"確定")</f>
        <v>確定</v>
      </c>
      <c r="C1758" s="68">
        <f>IFERROR(__xludf.DUMMYFUNCTION("""COMPUTED_VALUE"""),45439.0)</f>
        <v>45439</v>
      </c>
      <c r="D1758" s="68">
        <f>IFERROR(__xludf.DUMMYFUNCTION("""COMPUTED_VALUE"""),45483.0)</f>
        <v>45483</v>
      </c>
      <c r="E1758" s="60">
        <f>IFERROR(__xludf.DUMMYFUNCTION("""COMPUTED_VALUE"""),312638.0)</f>
        <v>312638</v>
      </c>
      <c r="F1758" s="60" t="str">
        <f>IFERROR(__xludf.DUMMYFUNCTION("""COMPUTED_VALUE"""),"悪役令嬢は氷の貴公子の秘密の婚約者")</f>
        <v>悪役令嬢は氷の貴公子の秘密の婚約者</v>
      </c>
      <c r="G1758" s="69">
        <f>IFERROR(__xludf.DUMMYFUNCTION("""COMPUTED_VALUE"""),1.0)</f>
        <v>1</v>
      </c>
      <c r="H1758" s="75" t="str">
        <f>IFERROR(__xludf.DUMMYFUNCTION("""COMPUTED_VALUE"""),"大庭そと;ｸﾚﾊ")</f>
        <v>大庭そと;ｸﾚﾊ</v>
      </c>
      <c r="I1758" s="75" t="str">
        <f>IFERROR(__xludf.DUMMYFUNCTION("""COMPUTED_VALUE"""),"少女")</f>
        <v>少女</v>
      </c>
      <c r="J1758" s="75"/>
      <c r="K1758" s="75"/>
      <c r="L1758" s="75" t="str">
        <f>IFERROR(__xludf.DUMMYFUNCTION("""COMPUTED_VALUE"""),"一迅社")</f>
        <v>一迅社</v>
      </c>
      <c r="M1758" s="23">
        <f>IFERROR(__xludf.DUMMYFUNCTION("""COMPUTED_VALUE"""),45689.0)</f>
        <v>45689</v>
      </c>
      <c r="N1758" s="23">
        <f>IFERROR(__xludf.DUMMYFUNCTION("""COMPUTED_VALUE"""),45747.66666666667)</f>
        <v>45747.66667</v>
      </c>
      <c r="O1758" s="69"/>
      <c r="P1758" s="80" t="str">
        <f>IFERROR(__xludf.DUMMYFUNCTION("""COMPUTED_VALUE"""),"可")</f>
        <v>可</v>
      </c>
      <c r="Q1758" s="72" t="str">
        <f>IFERROR(__xludf.DUMMYFUNCTION("""COMPUTED_VALUE"""),"広告コミットOK(6/3)&lt;BR&gt;・アンソロジー掲載の単話の配信です。&lt;BR&gt;・本文データはアンソロジーコミックの12巻から切り出しをお願いいたします。")</f>
        <v>広告コミットOK(6/3)&lt;BR&gt;・アンソロジー掲載の単話の配信です。&lt;BR&gt;・本文データはアンソロジーコミックの12巻から切り出しをお願いいたします。</v>
      </c>
      <c r="R1758" s="75"/>
      <c r="S1758" s="75" t="str">
        <f>IFERROR(__xludf.DUMMYFUNCTION("""COMPUTED_VALUE"""),"20240709_一迅社_悪役令嬢は氷の貴公子の秘密の婚約者")</f>
        <v>20240709_一迅社_悪役令嬢は氷の貴公子の秘密の婚約者</v>
      </c>
      <c r="T1758" s="75" t="str">
        <f>IFERROR(__xludf.DUMMYFUNCTION("""COMPUTED_VALUE"""),"格納済み")</f>
        <v>格納済み</v>
      </c>
      <c r="U1758" s="15" t="str">
        <f>IFERROR(__xludf.DUMMYFUNCTION("""COMPUTED_VALUE"""),"(C)大庭そと・クレハ／一迅社")</f>
        <v>(C)大庭そと・クレハ／一迅社</v>
      </c>
      <c r="V1758" s="8" t="str">
        <f>IFERROR(__xludf.DUMMYFUNCTION("""COMPUTED_VALUE"""),"学校一の美貌を持つが誰も笑顔を見た事がない「氷の貴公子」　婚約者がいない彼を狙う女性はたくさんいるが…!?　※この作品は『悪役令嬢ですが、幸せになってみせますわ！　アンソロジーコミック』12巻収録作品と同一の内容を単話版として再編集したものとなります。")</f>
        <v>学校一の美貌を持つが誰も笑顔を見た事がない「氷の貴公子」　婚約者がいない彼を狙う女性はたくさんいるが…!?　※この作品は『悪役令嬢ですが、幸せになってみせますわ！　アンソロジーコミック』12巻収録作品と同一の内容を単話版として再編集したものとなります。</v>
      </c>
      <c r="W1758" s="14"/>
      <c r="X1758" s="14" t="str">
        <f>IFERROR(__xludf.DUMMYFUNCTION("""COMPUTED_VALUE"""),"有")</f>
        <v>有</v>
      </c>
      <c r="Y1758" s="8" t="str">
        <f>IFERROR(__xludf.DUMMYFUNCTION("""COMPUTED_VALUE"""),"P8まで")</f>
        <v>P8まで</v>
      </c>
      <c r="Z1758" s="7"/>
      <c r="AA1758" s="7"/>
      <c r="AB1758" s="7"/>
    </row>
    <row r="1759" ht="15.75" customHeight="1">
      <c r="A1759" s="66">
        <f>IFERROR(__xludf.DUMMYFUNCTION("""COMPUTED_VALUE"""),3550.0)</f>
        <v>3550</v>
      </c>
      <c r="B1759" s="75" t="str">
        <f>IFERROR(__xludf.DUMMYFUNCTION("""COMPUTED_VALUE"""),"確定")</f>
        <v>確定</v>
      </c>
      <c r="C1759" s="68">
        <f>IFERROR(__xludf.DUMMYFUNCTION("""COMPUTED_VALUE"""),45442.0)</f>
        <v>45442</v>
      </c>
      <c r="D1759" s="68">
        <f>IFERROR(__xludf.DUMMYFUNCTION("""COMPUTED_VALUE"""),45482.0)</f>
        <v>45482</v>
      </c>
      <c r="E1759" s="31">
        <f>IFERROR(__xludf.DUMMYFUNCTION("""COMPUTED_VALUE"""),297574.0)</f>
        <v>297574</v>
      </c>
      <c r="F1759" s="31" t="str">
        <f>IFERROR(__xludf.DUMMYFUNCTION("""COMPUTED_VALUE"""),"23時のシンデレラ")</f>
        <v>23時のシンデレラ</v>
      </c>
      <c r="G1759" s="69" t="str">
        <f>IFERROR(__xludf.DUMMYFUNCTION("""COMPUTED_VALUE"""),"1～5")</f>
        <v>1～5</v>
      </c>
      <c r="H1759" s="75" t="str">
        <f>IFERROR(__xludf.DUMMYFUNCTION("""COMPUTED_VALUE"""),"原作：遊野煌(エブリスタ) 作画：ナスノマユカ")</f>
        <v>原作：遊野煌(エブリスタ) 作画：ナスノマユカ</v>
      </c>
      <c r="I1759" s="14" t="str">
        <f>IFERROR(__xludf.DUMMYFUNCTION("""COMPUTED_VALUE"""),"女性")</f>
        <v>女性</v>
      </c>
      <c r="J1759" s="75"/>
      <c r="K1759" s="75"/>
      <c r="L1759" s="75" t="str">
        <f>IFERROR(__xludf.DUMMYFUNCTION("""COMPUTED_VALUE"""),"集英社")</f>
        <v>集英社</v>
      </c>
      <c r="M1759" s="59">
        <f>IFERROR(__xludf.DUMMYFUNCTION("""COMPUTED_VALUE"""),45498.0)</f>
        <v>45498</v>
      </c>
      <c r="N1759" s="59">
        <f>IFERROR(__xludf.DUMMYFUNCTION("""COMPUTED_VALUE"""),45528.0)</f>
        <v>45528</v>
      </c>
      <c r="O1759" s="69"/>
      <c r="P1759" s="80" t="str">
        <f>IFERROR(__xludf.DUMMYFUNCTION("""COMPUTED_VALUE"""),"否")</f>
        <v>否</v>
      </c>
      <c r="Q1759" s="72" t="str">
        <f>IFERROR(__xludf.DUMMYFUNCTION("""COMPUTED_VALUE"""),"・レーベルロゴ： マーガレットコミックスDIGITAL")</f>
        <v>・レーベルロゴ： マーガレットコミックスDIGITAL</v>
      </c>
      <c r="R1759" s="75"/>
      <c r="S1759" s="75" t="str">
        <f>IFERROR(__xludf.DUMMYFUNCTION("""COMPUTED_VALUE"""),"20240708_集英社_23時のシンデレラ")</f>
        <v>20240708_集英社_23時のシンデレラ</v>
      </c>
      <c r="T1759" s="75" t="str">
        <f>IFERROR(__xludf.DUMMYFUNCTION("""COMPUTED_VALUE"""),"格納済み")</f>
        <v>格納済み</v>
      </c>
      <c r="U1759" s="15" t="str">
        <f>IFERROR(__xludf.DUMMYFUNCTION("""COMPUTED_VALUE"""),"©表記：ナスノマユカ・遊野煌（エブリスタ）／集英社")</f>
        <v>©表記：ナスノマユカ・遊野煌（エブリスタ）／集英社</v>
      </c>
      <c r="V1759" s="8" t="str">
        <f>IFERROR(__xludf.DUMMYFUNCTION("""COMPUTED_VALUE"""),"5年勤めた大手キッチンメーカーの派遣契約を切られた綾乃美弥は、23時になるとコンビニを訪れるイケメンを『23時の王子様』と呼んでひそかに憧れていたけど、家族も恋人もおらずひとりぼっちな日々…。しかも、26歳の誕生日にアパート退去を命じられ大ピンチ!?　そんな美弥の前に『23時の王子様』・颯が現れ救いの手を差し伸べてくれたけど、『お試しの婚約者』になってほしいと頼まれて…!?")</f>
        <v>5年勤めた大手キッチンメーカーの派遣契約を切られた綾乃美弥は、23時になるとコンビニを訪れるイケメンを『23時の王子様』と呼んでひそかに憧れていたけど、家族も恋人もおらずひとりぼっちな日々…。しかも、26歳の誕生日にアパート退去を命じられ大ピンチ!?　そんな美弥の前に『23時の王子様』・颯が現れ救いの手を差し伸べてくれたけど、『お試しの婚約者』になってほしいと頼まれて…!?</v>
      </c>
      <c r="W1759" s="14"/>
      <c r="X1759" s="14" t="str">
        <f>IFERROR(__xludf.DUMMYFUNCTION("""COMPUTED_VALUE"""),"有")</f>
        <v>有</v>
      </c>
      <c r="Y1759" s="8" t="str">
        <f>IFERROR(__xludf.DUMMYFUNCTION("""COMPUTED_VALUE"""),"2024/8/24まで1巻無料")</f>
        <v>2024/8/24まで1巻無料</v>
      </c>
      <c r="Z1759" s="7"/>
      <c r="AA1759" s="7"/>
      <c r="AB1759" s="7"/>
    </row>
    <row r="1760" ht="99.0" customHeight="1">
      <c r="A1760" s="66">
        <f>IFERROR(__xludf.DUMMYFUNCTION("""COMPUTED_VALUE"""),3551.0)</f>
        <v>3551</v>
      </c>
      <c r="B1760" s="75" t="str">
        <f>IFERROR(__xludf.DUMMYFUNCTION("""COMPUTED_VALUE"""),"確定")</f>
        <v>確定</v>
      </c>
      <c r="C1760" s="68">
        <f>IFERROR(__xludf.DUMMYFUNCTION("""COMPUTED_VALUE"""),45442.0)</f>
        <v>45442</v>
      </c>
      <c r="D1760" s="68">
        <f>IFERROR(__xludf.DUMMYFUNCTION("""COMPUTED_VALUE"""),45482.0)</f>
        <v>45482</v>
      </c>
      <c r="E1760" s="31">
        <f>IFERROR(__xludf.DUMMYFUNCTION("""COMPUTED_VALUE"""),297576.0)</f>
        <v>297576</v>
      </c>
      <c r="F1760" s="31" t="str">
        <f>IFERROR(__xludf.DUMMYFUNCTION("""COMPUTED_VALUE"""),"メガネと首輪とわんこ君")</f>
        <v>メガネと首輪とわんこ君</v>
      </c>
      <c r="G1760" s="69" t="str">
        <f>IFERROR(__xludf.DUMMYFUNCTION("""COMPUTED_VALUE"""),"1～4")</f>
        <v>1～4</v>
      </c>
      <c r="H1760" s="75" t="str">
        <f>IFERROR(__xludf.DUMMYFUNCTION("""COMPUTED_VALUE"""),"すめうむ")</f>
        <v>すめうむ</v>
      </c>
      <c r="I1760" s="14" t="str">
        <f>IFERROR(__xludf.DUMMYFUNCTION("""COMPUTED_VALUE"""),"女性")</f>
        <v>女性</v>
      </c>
      <c r="J1760" s="75"/>
      <c r="K1760" s="75"/>
      <c r="L1760" s="75" t="str">
        <f>IFERROR(__xludf.DUMMYFUNCTION("""COMPUTED_VALUE"""),"集英社")</f>
        <v>集英社</v>
      </c>
      <c r="M1760" s="59">
        <f>IFERROR(__xludf.DUMMYFUNCTION("""COMPUTED_VALUE"""),45498.0)</f>
        <v>45498</v>
      </c>
      <c r="N1760" s="59">
        <f>IFERROR(__xludf.DUMMYFUNCTION("""COMPUTED_VALUE"""),45528.0)</f>
        <v>45528</v>
      </c>
      <c r="O1760" s="69"/>
      <c r="P1760" s="80" t="str">
        <f>IFERROR(__xludf.DUMMYFUNCTION("""COMPUTED_VALUE"""),"否")</f>
        <v>否</v>
      </c>
      <c r="Q1760" s="72" t="str">
        <f>IFERROR(__xludf.DUMMYFUNCTION("""COMPUTED_VALUE"""),"・レーベルロゴ： マーガレットコミックスDIGITAL")</f>
        <v>・レーベルロゴ： マーガレットコミックスDIGITAL</v>
      </c>
      <c r="R1760" s="75"/>
      <c r="S1760" s="75" t="str">
        <f>IFERROR(__xludf.DUMMYFUNCTION("""COMPUTED_VALUE"""),"20240708_集英社_メガネと首輪とわんこ君")</f>
        <v>20240708_集英社_メガネと首輪とわんこ君</v>
      </c>
      <c r="T1760" s="75" t="str">
        <f>IFERROR(__xludf.DUMMYFUNCTION("""COMPUTED_VALUE"""),"格納済み")</f>
        <v>格納済み</v>
      </c>
      <c r="U1760" s="15" t="str">
        <f>IFERROR(__xludf.DUMMYFUNCTION("""COMPUTED_VALUE"""),"©表記：すめうむ／集英社")</f>
        <v>©表記：すめうむ／集英社</v>
      </c>
      <c r="V1760" s="8" t="str">
        <f>IFERROR(__xludf.DUMMYFUNCTION("""COMPUTED_VALUE"""),"再会したイケメン年下幼馴染は元飼い犬!?　幼い頃は「犬と飼い主」ごっこしてた2人。昔のこと黙ってろって言うけれど昔から“かわいい”ところは変わってないようで…もう一度、君のこと飼ってあげようか？　眼鏡女子×ツンツン美男子、内緒の主従関係（？）スタート！")</f>
        <v>再会したイケメン年下幼馴染は元飼い犬!?　幼い頃は「犬と飼い主」ごっこしてた2人。昔のこと黙ってろって言うけれど昔から“かわいい”ところは変わってないようで…もう一度、君のこと飼ってあげようか？　眼鏡女子×ツンツン美男子、内緒の主従関係（？）スタート！</v>
      </c>
      <c r="W1760" s="14"/>
      <c r="X1760" s="14" t="str">
        <f>IFERROR(__xludf.DUMMYFUNCTION("""COMPUTED_VALUE"""),"有")</f>
        <v>有</v>
      </c>
      <c r="Y1760" s="8" t="str">
        <f>IFERROR(__xludf.DUMMYFUNCTION("""COMPUTED_VALUE"""),"2024/8/24まで1巻無料")</f>
        <v>2024/8/24まで1巻無料</v>
      </c>
      <c r="Z1760" s="7"/>
      <c r="AA1760" s="7"/>
      <c r="AB1760" s="7"/>
    </row>
    <row r="1761" ht="15.75" customHeight="1">
      <c r="A1761" s="66">
        <f>IFERROR(__xludf.DUMMYFUNCTION("""COMPUTED_VALUE"""),3552.0)</f>
        <v>3552</v>
      </c>
      <c r="B1761" s="75" t="str">
        <f>IFERROR(__xludf.DUMMYFUNCTION("""COMPUTED_VALUE"""),"確定")</f>
        <v>確定</v>
      </c>
      <c r="C1761" s="68">
        <f>IFERROR(__xludf.DUMMYFUNCTION("""COMPUTED_VALUE"""),45442.0)</f>
        <v>45442</v>
      </c>
      <c r="D1761" s="68">
        <f>IFERROR(__xludf.DUMMYFUNCTION("""COMPUTED_VALUE"""),45482.0)</f>
        <v>45482</v>
      </c>
      <c r="E1761" s="31">
        <f>IFERROR(__xludf.DUMMYFUNCTION("""COMPUTED_VALUE"""),297575.0)</f>
        <v>297575</v>
      </c>
      <c r="F1761" s="31" t="str">
        <f>IFERROR(__xludf.DUMMYFUNCTION("""COMPUTED_VALUE"""),"酒の肴の桃瀬くん")</f>
        <v>酒の肴の桃瀬くん</v>
      </c>
      <c r="G1761" s="69" t="str">
        <f>IFERROR(__xludf.DUMMYFUNCTION("""COMPUTED_VALUE"""),"1～4")</f>
        <v>1～4</v>
      </c>
      <c r="H1761" s="75" t="str">
        <f>IFERROR(__xludf.DUMMYFUNCTION("""COMPUTED_VALUE"""),"霧島凜")</f>
        <v>霧島凜</v>
      </c>
      <c r="I1761" s="14" t="str">
        <f>IFERROR(__xludf.DUMMYFUNCTION("""COMPUTED_VALUE"""),"女性")</f>
        <v>女性</v>
      </c>
      <c r="J1761" s="75"/>
      <c r="K1761" s="75"/>
      <c r="L1761" s="75" t="str">
        <f>IFERROR(__xludf.DUMMYFUNCTION("""COMPUTED_VALUE"""),"集英社")</f>
        <v>集英社</v>
      </c>
      <c r="M1761" s="59">
        <f>IFERROR(__xludf.DUMMYFUNCTION("""COMPUTED_VALUE"""),45498.0)</f>
        <v>45498</v>
      </c>
      <c r="N1761" s="59">
        <f>IFERROR(__xludf.DUMMYFUNCTION("""COMPUTED_VALUE"""),45528.0)</f>
        <v>45528</v>
      </c>
      <c r="O1761" s="69"/>
      <c r="P1761" s="80" t="str">
        <f>IFERROR(__xludf.DUMMYFUNCTION("""COMPUTED_VALUE"""),"否")</f>
        <v>否</v>
      </c>
      <c r="Q1761" s="72" t="str">
        <f>IFERROR(__xludf.DUMMYFUNCTION("""COMPUTED_VALUE"""),"・レーベルロゴ： マーガレットコミックスDIGITAL")</f>
        <v>・レーベルロゴ： マーガレットコミックスDIGITAL</v>
      </c>
      <c r="R1761" s="75"/>
      <c r="S1761" s="75" t="str">
        <f>IFERROR(__xludf.DUMMYFUNCTION("""COMPUTED_VALUE"""),"20240703_集英社_酒の肴の桃瀬くん")</f>
        <v>20240703_集英社_酒の肴の桃瀬くん</v>
      </c>
      <c r="T1761" s="75" t="str">
        <f>IFERROR(__xludf.DUMMYFUNCTION("""COMPUTED_VALUE"""),"格納済み")</f>
        <v>格納済み</v>
      </c>
      <c r="U1761" s="15" t="str">
        <f>IFERROR(__xludf.DUMMYFUNCTION("""COMPUTED_VALUE"""),"©表記：霧島凜／集英社")</f>
        <v>©表記：霧島凜／集英社</v>
      </c>
      <c r="V1761" s="8" t="str">
        <f>IFERROR(__xludf.DUMMYFUNCTION("""COMPUTED_VALUE"""),"「おれが店長さんのメシも作りましょうか？」　雑貨店の雇われ店長として働くアラサーの高梨。最近の癒しは職場に来る推し配達員・桃瀬がご飯を食べる姿を見ることと、桃瀬の妄想を肴に酒を飲むこと。あくまで推しとファン以上の感情はない！そう言い聞かせながら過ごしていたある日、倒れてしまった高梨を桃瀬が助けてくれたうえにご飯までつくってもらうことになってしまい…？　年下料理男子×ワーカホリックアラサー女子のピュアピュアグルメラブ！")</f>
        <v>「おれが店長さんのメシも作りましょうか？」　雑貨店の雇われ店長として働くアラサーの高梨。最近の癒しは職場に来る推し配達員・桃瀬がご飯を食べる姿を見ることと、桃瀬の妄想を肴に酒を飲むこと。あくまで推しとファン以上の感情はない！そう言い聞かせながら過ごしていたある日、倒れてしまった高梨を桃瀬が助けてくれたうえにご飯までつくってもらうことになってしまい…？　年下料理男子×ワーカホリックアラサー女子のピュアピュアグルメラブ！</v>
      </c>
      <c r="W1761" s="14"/>
      <c r="X1761" s="14" t="str">
        <f>IFERROR(__xludf.DUMMYFUNCTION("""COMPUTED_VALUE"""),"有")</f>
        <v>有</v>
      </c>
      <c r="Y1761" s="8" t="str">
        <f>IFERROR(__xludf.DUMMYFUNCTION("""COMPUTED_VALUE"""),"2024/8/24まで1巻無料")</f>
        <v>2024/8/24まで1巻無料</v>
      </c>
      <c r="Z1761" s="7"/>
      <c r="AA1761" s="7"/>
      <c r="AB1761" s="7"/>
    </row>
    <row r="1762" ht="15.75" customHeight="1">
      <c r="A1762" s="66">
        <f>IFERROR(__xludf.DUMMYFUNCTION("""COMPUTED_VALUE"""),3570.0)</f>
        <v>3570</v>
      </c>
      <c r="B1762" s="75" t="str">
        <f>IFERROR(__xludf.DUMMYFUNCTION("""COMPUTED_VALUE"""),"確定")</f>
        <v>確定</v>
      </c>
      <c r="C1762" s="68">
        <f>IFERROR(__xludf.DUMMYFUNCTION("""COMPUTED_VALUE"""),45447.0)</f>
        <v>45447</v>
      </c>
      <c r="D1762" s="68">
        <f>IFERROR(__xludf.DUMMYFUNCTION("""COMPUTED_VALUE"""),45482.0)</f>
        <v>45482</v>
      </c>
      <c r="E1762" s="31">
        <f>IFERROR(__xludf.DUMMYFUNCTION("""COMPUTED_VALUE"""),299689.0)</f>
        <v>299689</v>
      </c>
      <c r="F1762" s="31" t="str">
        <f>IFERROR(__xludf.DUMMYFUNCTION("""COMPUTED_VALUE"""),"風花ちゃんだけの一途な彼氏はちょっと重い《Lovelicot》")</f>
        <v>風花ちゃんだけの一途な彼氏はちょっと重い《Lovelicot》</v>
      </c>
      <c r="G1762" s="11" t="str">
        <f>IFERROR(__xludf.DUMMYFUNCTION("""COMPUTED_VALUE"""),"1～2")</f>
        <v>1～2</v>
      </c>
      <c r="H1762" s="75" t="str">
        <f>IFERROR(__xludf.DUMMYFUNCTION("""COMPUTED_VALUE"""),"The・炒めたマッスルフォーム")</f>
        <v>The・炒めたマッスルフォーム</v>
      </c>
      <c r="I1762" s="75" t="str">
        <f>IFERROR(__xludf.DUMMYFUNCTION("""COMPUTED_VALUE"""),"TL")</f>
        <v>TL</v>
      </c>
      <c r="J1762" s="75"/>
      <c r="K1762" s="75"/>
      <c r="L1762" s="75" t="str">
        <f>IFERROR(__xludf.DUMMYFUNCTION("""COMPUTED_VALUE"""),"ガールスカウトコミックス")</f>
        <v>ガールスカウトコミックス</v>
      </c>
      <c r="M1762" s="59">
        <f>IFERROR(__xludf.DUMMYFUNCTION("""COMPUTED_VALUE"""),45524.0)</f>
        <v>45524</v>
      </c>
      <c r="N1762" s="23">
        <f>IFERROR(__xludf.DUMMYFUNCTION("""COMPUTED_VALUE"""),45645.70833333333)</f>
        <v>45645.70833</v>
      </c>
      <c r="O1762" s="69"/>
      <c r="P1762" s="80" t="str">
        <f>IFERROR(__xludf.DUMMYFUNCTION("""COMPUTED_VALUE"""),"可")</f>
        <v>可</v>
      </c>
      <c r="Q1762" s="75" t="str">
        <f>IFERROR(__xludf.DUMMYFUNCTION("""COMPUTED_VALUE"""),"広告コミットOK(6/11)&lt;BR&gt;TLレーベル名：Lovelicot")</f>
        <v>広告コミットOK(6/11)&lt;BR&gt;TLレーベル名：Lovelicot</v>
      </c>
      <c r="R1762" s="75" t="str">
        <f>IFERROR(__xludf.DUMMYFUNCTION("""COMPUTED_VALUE"""),"格納済み")</f>
        <v>格納済み</v>
      </c>
      <c r="S1762" s="75" t="str">
        <f>IFERROR(__xludf.DUMMYFUNCTION("""COMPUTED_VALUE"""),"20240724_ガールスカウトコミックス_風花ちゃんだけの一途な彼氏はちょっと重い        ")</f>
        <v>20240724_ガールスカウトコミックス_風花ちゃんだけの一途な彼氏はちょっと重い        </v>
      </c>
      <c r="T1762" s="75" t="str">
        <f>IFERROR(__xludf.DUMMYFUNCTION("""COMPUTED_VALUE"""),"格納済み")</f>
        <v>格納済み</v>
      </c>
      <c r="U1762" s="15" t="str">
        <f>IFERROR(__xludf.DUMMYFUNCTION("""COMPUTED_VALUE"""),"(C)The・炒めたマッスルフォーム／ガールスカウトコミックス")</f>
        <v>(C)The・炒めたマッスルフォーム／ガールスカウトコミックス</v>
      </c>
      <c r="V1762" s="8" t="str">
        <f>IFERROR(__xludf.DUMMYFUNCTION("""COMPUTED_VALUE"""),"小野田 風花(おのだ ふうか)、OL。セクハラモラハラ三昧の上司や、男ウケだけで生きている後輩・早乙女 果林(さおとめ かりん)に振り回され、へとへとな日々。
それでもなんとかやっていけているのは同棲している恋人・一誠(いっせい)くんがいるおかげ…。
小説家として活躍中のミステリアスな彼、鬼塚一誠(おにづか いっせい)。甘く、重く、ときに激しい一誠の愛は、風花の心身を癒していく──。")</f>
        <v>小野田 風花(おのだ ふうか)、OL。セクハラモラハラ三昧の上司や、男ウケだけで生きている後輩・早乙女 果林(さおとめ かりん)に振り回され、へとへとな日々。
それでもなんとかやっていけているのは同棲している恋人・一誠(いっせい)くんがいるおかげ…。
小説家として活躍中のミステリアスな彼、鬼塚一誠(おにづか いっせい)。甘く、重く、ときに激しい一誠の愛は、風花の心身を癒していく──。</v>
      </c>
      <c r="W1762" s="14"/>
      <c r="X1762" s="14" t="str">
        <f>IFERROR(__xludf.DUMMYFUNCTION("""COMPUTED_VALUE"""),"有")</f>
        <v>有</v>
      </c>
      <c r="Y1762" s="8" t="str">
        <f>IFERROR(__xludf.DUMMYFUNCTION("""COMPUTED_VALUE"""),"2024/9/2まで立ち読み増量P20まで")</f>
        <v>2024/9/2まで立ち読み増量P20まで</v>
      </c>
      <c r="Z1762" s="7"/>
      <c r="AA1762" s="7"/>
      <c r="AB1762" s="7"/>
    </row>
    <row r="1763" ht="15.75" customHeight="1">
      <c r="A1763" s="66">
        <f>IFERROR(__xludf.DUMMYFUNCTION("""COMPUTED_VALUE"""),3579.0)</f>
        <v>3579</v>
      </c>
      <c r="B1763" s="75" t="str">
        <f>IFERROR(__xludf.DUMMYFUNCTION("""COMPUTED_VALUE"""),"確定")</f>
        <v>確定</v>
      </c>
      <c r="C1763" s="68">
        <f>IFERROR(__xludf.DUMMYFUNCTION("""COMPUTED_VALUE"""),45447.0)</f>
        <v>45447</v>
      </c>
      <c r="D1763" s="68">
        <f>IFERROR(__xludf.DUMMYFUNCTION("""COMPUTED_VALUE"""),45482.0)</f>
        <v>45482</v>
      </c>
      <c r="E1763" s="31">
        <f>IFERROR(__xludf.DUMMYFUNCTION("""COMPUTED_VALUE"""),297836.0)</f>
        <v>297836</v>
      </c>
      <c r="F1763" s="31" t="str">
        <f>IFERROR(__xludf.DUMMYFUNCTION("""COMPUTED_VALUE"""),"いつも余裕な陽キャ彼氏の嫉妬えっちが止まらない!!【R版】")</f>
        <v>いつも余裕な陽キャ彼氏の嫉妬えっちが止まらない!!【R版】</v>
      </c>
      <c r="G1763" s="11" t="str">
        <f>IFERROR(__xludf.DUMMYFUNCTION("""COMPUTED_VALUE"""),"1～2")</f>
        <v>1～2</v>
      </c>
      <c r="H1763" s="75" t="str">
        <f>IFERROR(__xludf.DUMMYFUNCTION("""COMPUTED_VALUE"""),"ネコピ・ザ・キャット┴THE猥談")</f>
        <v>ネコピ・ザ・キャット┴THE猥談</v>
      </c>
      <c r="I1763" s="75" t="str">
        <f>IFERROR(__xludf.DUMMYFUNCTION("""COMPUTED_VALUE"""),"オトナ")</f>
        <v>オトナ</v>
      </c>
      <c r="J1763" s="75"/>
      <c r="K1763" s="75"/>
      <c r="L1763" s="75" t="str">
        <f>IFERROR(__xludf.DUMMYFUNCTION("""COMPUTED_VALUE"""),"ブリック出版")</f>
        <v>ブリック出版</v>
      </c>
      <c r="M1763" s="23">
        <f>IFERROR(__xludf.DUMMYFUNCTION("""COMPUTED_VALUE"""),45499.0)</f>
        <v>45499</v>
      </c>
      <c r="N1763" s="47">
        <f>IFERROR(__xludf.DUMMYFUNCTION("""COMPUTED_VALUE"""),45652.70833333333)</f>
        <v>45652.70833</v>
      </c>
      <c r="O1763" s="69"/>
      <c r="P1763" s="80" t="str">
        <f>IFERROR(__xludf.DUMMYFUNCTION("""COMPUTED_VALUE"""),"可")</f>
        <v>可</v>
      </c>
      <c r="Q1763" s="72" t="str">
        <f>IFERROR(__xludf.DUMMYFUNCTION("""COMPUTED_VALUE"""),"河上さん事前コミット作品です。")</f>
        <v>河上さん事前コミット作品です。</v>
      </c>
      <c r="R1763" s="75"/>
      <c r="S1763" s="75" t="str">
        <f>IFERROR(__xludf.DUMMYFUNCTION("""COMPUTED_VALUE"""),"20240709_BookLive_いつも余裕な陽キャ彼氏の嫉妬えっちが止まらない!!R版")</f>
        <v>20240709_BookLive_いつも余裕な陽キャ彼氏の嫉妬えっちが止まらない!!R版</v>
      </c>
      <c r="T1763" s="75" t="str">
        <f>IFERROR(__xludf.DUMMYFUNCTION("""COMPUTED_VALUE"""),"格納済み")</f>
        <v>格納済み</v>
      </c>
      <c r="U1763" s="15" t="str">
        <f>IFERROR(__xludf.DUMMYFUNCTION("""COMPUTED_VALUE"""),"(C)ネコピ・ザ・キャット/THE猥談/ブリック出版")</f>
        <v>(C)ネコピ・ザ・キャット/THE猥談/ブリック出版</v>
      </c>
      <c r="V1763" s="8" t="str">
        <f>IFERROR(__xludf.DUMMYFUNCTION("""COMPUTED_VALUE"""),"彼氏のひろきは男女関係なく距離感が近い、いわゆる陽キャ。
男女グループでスノボに行ったり、宅飲みしたり...
いつもは私が嫉妬してばっかりで、喧嘩になることがよくあって。
たまには彼にも妬いてほしいと思って同級生から告白されたことを打ち明けた。
「そうなんだ」とそっけない返事。
次の日、恒例の漫画喫茶デートでもいつも通りのひろき。
え、これだけ??もう私のことなんて好きじゃない??
と思っていた私の携帯に告白相手からのLI○Eが届いたことに、いち早く気づいたのはひろきだった。"&amp;"
「随分大事なんだね、その人とのLI○Eが」
「告白されたっていうけど、しずかがそうさせたんじゃないの?」
いつもは余裕なひろきからの嫉妬セックスが始まった...
※本作はネコピ・ザ・キャット、THE猥談の個人誌作品の電子書籍版となります。【22ページ】
※本作は『いつもは余裕な陽キャ彼氏の嫉妬えっちが止まらない!!』の修正をやや弱めたものです。内容に差異はありません。")</f>
        <v>彼氏のひろきは男女関係なく距離感が近い、いわゆる陽キャ。
男女グループでスノボに行ったり、宅飲みしたり...
いつもは私が嫉妬してばっかりで、喧嘩になることがよくあって。
たまには彼にも妬いてほしいと思って同級生から告白されたことを打ち明けた。
「そうなんだ」とそっけない返事。
次の日、恒例の漫画喫茶デートでもいつも通りのひろき。
え、これだけ??もう私のことなんて好きじゃない??
と思っていた私の携帯に告白相手からのLI○Eが届いたことに、いち早く気づいたのはひろきだった。
「随分大事なんだね、その人とのLI○Eが」
「告白されたっていうけど、しずかがそうさせたんじゃないの?」
いつもは余裕なひろきからの嫉妬セックスが始まった...
※本作はネコピ・ザ・キャット、THE猥談の個人誌作品の電子書籍版となります。【22ページ】
※本作は『いつもは余裕な陽キャ彼氏の嫉妬えっちが止まらない!!』の修正をやや弱めたものです。内容に差異はありません。</v>
      </c>
      <c r="W1763" s="14"/>
      <c r="X1763" s="14" t="str">
        <f>IFERROR(__xludf.DUMMYFUNCTION("""COMPUTED_VALUE"""),"有")</f>
        <v>有</v>
      </c>
      <c r="Y1763" s="8" t="str">
        <f>IFERROR(__xludf.DUMMYFUNCTION("""COMPUTED_VALUE"""),"P12まで")</f>
        <v>P12まで</v>
      </c>
      <c r="Z1763" s="7"/>
      <c r="AA1763" s="7"/>
      <c r="AB1763" s="7"/>
    </row>
    <row r="1764" ht="15.75" customHeight="1">
      <c r="A1764" s="66">
        <f>IFERROR(__xludf.DUMMYFUNCTION("""COMPUTED_VALUE"""),3580.0)</f>
        <v>3580</v>
      </c>
      <c r="B1764" s="75" t="str">
        <f>IFERROR(__xludf.DUMMYFUNCTION("""COMPUTED_VALUE"""),"確定")</f>
        <v>確定</v>
      </c>
      <c r="C1764" s="68">
        <f>IFERROR(__xludf.DUMMYFUNCTION("""COMPUTED_VALUE"""),45447.0)</f>
        <v>45447</v>
      </c>
      <c r="D1764" s="68">
        <f>IFERROR(__xludf.DUMMYFUNCTION("""COMPUTED_VALUE"""),45482.0)</f>
        <v>45482</v>
      </c>
      <c r="E1764" s="31">
        <f>IFERROR(__xludf.DUMMYFUNCTION("""COMPUTED_VALUE"""),297830.0)</f>
        <v>297830</v>
      </c>
      <c r="F1764" s="31" t="str">
        <f>IFERROR(__xludf.DUMMYFUNCTION("""COMPUTED_VALUE"""),"いつも余裕な陽キャ彼氏の嫉妬えっちが止まらない!!")</f>
        <v>いつも余裕な陽キャ彼氏の嫉妬えっちが止まらない!!</v>
      </c>
      <c r="G1764" s="11" t="str">
        <f>IFERROR(__xludf.DUMMYFUNCTION("""COMPUTED_VALUE"""),"1～2")</f>
        <v>1～2</v>
      </c>
      <c r="H1764" s="75" t="str">
        <f>IFERROR(__xludf.DUMMYFUNCTION("""COMPUTED_VALUE"""),"ネコピ・ザ・キャット┴THE猥談")</f>
        <v>ネコピ・ザ・キャット┴THE猥談</v>
      </c>
      <c r="I1764" s="75" t="str">
        <f>IFERROR(__xludf.DUMMYFUNCTION("""COMPUTED_VALUE"""),"TL")</f>
        <v>TL</v>
      </c>
      <c r="J1764" s="75"/>
      <c r="K1764" s="75"/>
      <c r="L1764" s="75" t="str">
        <f>IFERROR(__xludf.DUMMYFUNCTION("""COMPUTED_VALUE"""),"ブリック出版")</f>
        <v>ブリック出版</v>
      </c>
      <c r="M1764" s="23">
        <f>IFERROR(__xludf.DUMMYFUNCTION("""COMPUTED_VALUE"""),45499.0)</f>
        <v>45499</v>
      </c>
      <c r="N1764" s="47">
        <f>IFERROR(__xludf.DUMMYFUNCTION("""COMPUTED_VALUE"""),45652.70833333333)</f>
        <v>45652.70833</v>
      </c>
      <c r="O1764" s="69"/>
      <c r="P1764" s="80" t="str">
        <f>IFERROR(__xludf.DUMMYFUNCTION("""COMPUTED_VALUE"""),"可")</f>
        <v>可</v>
      </c>
      <c r="Q1764" s="72" t="str">
        <f>IFERROR(__xludf.DUMMYFUNCTION("""COMPUTED_VALUE"""),"河上さん事前コミット作品です。")</f>
        <v>河上さん事前コミット作品です。</v>
      </c>
      <c r="R1764" s="75"/>
      <c r="S1764" s="75" t="str">
        <f>IFERROR(__xludf.DUMMYFUNCTION("""COMPUTED_VALUE"""),"20240709_BookLive_いつも余裕な陽キャ彼氏の嫉妬えっちが止まらない!!R版")</f>
        <v>20240709_BookLive_いつも余裕な陽キャ彼氏の嫉妬えっちが止まらない!!R版</v>
      </c>
      <c r="T1764" s="75" t="str">
        <f>IFERROR(__xludf.DUMMYFUNCTION("""COMPUTED_VALUE"""),"格納済み")</f>
        <v>格納済み</v>
      </c>
      <c r="U1764" s="15" t="str">
        <f>IFERROR(__xludf.DUMMYFUNCTION("""COMPUTED_VALUE"""),"(C)ネコピ・ザ・キャット/THE猥談/ブリック出版")</f>
        <v>(C)ネコピ・ザ・キャット/THE猥談/ブリック出版</v>
      </c>
      <c r="V1764" s="8" t="str">
        <f>IFERROR(__xludf.DUMMYFUNCTION("""COMPUTED_VALUE"""),"彼氏のひろきは男女関係なく距離感が近い、いわゆる陽キャ。
男女グループでスノボに行ったり、宅飲みしたり...
いつもは私が嫉妬してばっかりで、喧嘩になることがよくあって。
たまには彼にも妬いてほしいと思って同級生から告白されたことを打ち明けた。
「そうなんだ」とそっけない返事。
次の日、恒例の漫画喫茶デートでもいつも通りのひろき。
え、これだけ??もう私のことなんて好きじゃない??
と思っていた私の携帯に告白相手からのLI○Eが届いたことに、いち早く気づいたのはひろきだった。"&amp;"
「随分大事なんだね、その人とのLI○Eが」
「告白されたっていうけど、しずかがそうさせたんじゃないの?」
いつもは余裕なひろきからの嫉妬セックスが始まった...
※本作はネコピ・ザ・キャット、THE猥談の個人誌作品の電子書籍版となります。【22ページ】")</f>
        <v>彼氏のひろきは男女関係なく距離感が近い、いわゆる陽キャ。
男女グループでスノボに行ったり、宅飲みしたり...
いつもは私が嫉妬してばっかりで、喧嘩になることがよくあって。
たまには彼にも妬いてほしいと思って同級生から告白されたことを打ち明けた。
「そうなんだ」とそっけない返事。
次の日、恒例の漫画喫茶デートでもいつも通りのひろき。
え、これだけ??もう私のことなんて好きじゃない??
と思っていた私の携帯に告白相手からのLI○Eが届いたことに、いち早く気づいたのはひろきだった。
「随分大事なんだね、その人とのLI○Eが」
「告白されたっていうけど、しずかがそうさせたんじゃないの?」
いつもは余裕なひろきからの嫉妬セックスが始まった...
※本作はネコピ・ザ・キャット、THE猥談の個人誌作品の電子書籍版となります。【22ページ】</v>
      </c>
      <c r="W1764" s="14"/>
      <c r="X1764" s="14" t="str">
        <f>IFERROR(__xludf.DUMMYFUNCTION("""COMPUTED_VALUE"""),"有")</f>
        <v>有</v>
      </c>
      <c r="Y1764" s="8" t="str">
        <f>IFERROR(__xludf.DUMMYFUNCTION("""COMPUTED_VALUE"""),"P12まで")</f>
        <v>P12まで</v>
      </c>
      <c r="Z1764" s="7"/>
      <c r="AA1764" s="7"/>
      <c r="AB1764" s="7"/>
    </row>
    <row r="1765" ht="15.75" customHeight="1">
      <c r="A1765" s="66">
        <f>IFERROR(__xludf.DUMMYFUNCTION("""COMPUTED_VALUE"""),3581.0)</f>
        <v>3581</v>
      </c>
      <c r="B1765" s="75" t="str">
        <f>IFERROR(__xludf.DUMMYFUNCTION("""COMPUTED_VALUE"""),"確定")</f>
        <v>確定</v>
      </c>
      <c r="C1765" s="68">
        <f>IFERROR(__xludf.DUMMYFUNCTION("""COMPUTED_VALUE"""),45447.0)</f>
        <v>45447</v>
      </c>
      <c r="D1765" s="68">
        <f>IFERROR(__xludf.DUMMYFUNCTION("""COMPUTED_VALUE"""),45483.0)</f>
        <v>45483</v>
      </c>
      <c r="E1765" s="31">
        <f>IFERROR(__xludf.DUMMYFUNCTION("""COMPUTED_VALUE"""),297846.0)</f>
        <v>297846</v>
      </c>
      <c r="F1765" s="31" t="str">
        <f>IFERROR(__xludf.DUMMYFUNCTION("""COMPUTED_VALUE"""),"タワマンハイスペ雅人くんは私の身体で弄んでる【R版】")</f>
        <v>タワマンハイスペ雅人くんは私の身体で弄んでる【R版】</v>
      </c>
      <c r="G1765" s="69" t="str">
        <f>IFERROR(__xludf.DUMMYFUNCTION("""COMPUTED_VALUE"""),"1～3")</f>
        <v>1～3</v>
      </c>
      <c r="H1765" s="75" t="str">
        <f>IFERROR(__xludf.DUMMYFUNCTION("""COMPUTED_VALUE"""),"さいおがうま┴THE猥談")</f>
        <v>さいおがうま┴THE猥談</v>
      </c>
      <c r="I1765" s="75" t="str">
        <f>IFERROR(__xludf.DUMMYFUNCTION("""COMPUTED_VALUE"""),"オトナ")</f>
        <v>オトナ</v>
      </c>
      <c r="J1765" s="75"/>
      <c r="K1765" s="75"/>
      <c r="L1765" s="75" t="str">
        <f>IFERROR(__xludf.DUMMYFUNCTION("""COMPUTED_VALUE"""),"ブリック出版")</f>
        <v>ブリック出版</v>
      </c>
      <c r="M1765" s="23">
        <f>IFERROR(__xludf.DUMMYFUNCTION("""COMPUTED_VALUE"""),45499.0)</f>
        <v>45499</v>
      </c>
      <c r="N1765" s="47">
        <f>IFERROR(__xludf.DUMMYFUNCTION("""COMPUTED_VALUE"""),45589.0)</f>
        <v>45589</v>
      </c>
      <c r="O1765" s="69"/>
      <c r="P1765" s="80" t="str">
        <f>IFERROR(__xludf.DUMMYFUNCTION("""COMPUTED_VALUE"""),"可")</f>
        <v>可</v>
      </c>
      <c r="Q1765" s="72" t="str">
        <f>IFERROR(__xludf.DUMMYFUNCTION("""COMPUTED_VALUE"""),"河上さん事前コミット作品です。")</f>
        <v>河上さん事前コミット作品です。</v>
      </c>
      <c r="R1765" s="75"/>
      <c r="S1765" s="75" t="str">
        <f>IFERROR(__xludf.DUMMYFUNCTION("""COMPUTED_VALUE"""),"20240709_BookLive_タワマンハイスペ雅人くんは私の身体で弄んでるR版")</f>
        <v>20240709_BookLive_タワマンハイスペ雅人くんは私の身体で弄んでるR版</v>
      </c>
      <c r="T1765" s="75" t="str">
        <f>IFERROR(__xludf.DUMMYFUNCTION("""COMPUTED_VALUE"""),"格納済み")</f>
        <v>格納済み</v>
      </c>
      <c r="U1765" s="15" t="str">
        <f>IFERROR(__xludf.DUMMYFUNCTION("""COMPUTED_VALUE"""),"(C)さいおがうま/THE猥談/ブリック出版")</f>
        <v>(C)さいおがうま/THE猥談/ブリック出版</v>
      </c>
      <c r="V1765" s="8" t="str">
        <f>IFERROR(__xludf.DUMMYFUNCTION("""COMPUTED_VALUE"""),"同い年の彼氏と別れて早3ヶ月。
通ってる女子大には、もちろん出会いはないわけで
アプリを始めてみたけれど、あまり長く続かず…。
唯一やりとりを続けているのは、年下の「マサト」くんだけ。
「今度家で飲もうよ」
彼からのお誘い。
初めてアプリの人に会うのに、家に行くって…
きっと、&lt;そういうこと&gt;だよね…。
でも…
はじめての【ワンナイト】に好奇心をおさえられなくてーー…。
※本作はさいおがうま、THE猥談の個人誌作品の電子書籍版となります。【23ページ】
※本作は『"&amp;"タワマンハイスペ雅人くんは私の身体で弄んでる』の修正をやや弱めたものです。内容に差異はありません。")</f>
        <v>同い年の彼氏と別れて早3ヶ月。
通ってる女子大には、もちろん出会いはないわけで
アプリを始めてみたけれど、あまり長く続かず…。
唯一やりとりを続けているのは、年下の「マサト」くんだけ。
「今度家で飲もうよ」
彼からのお誘い。
初めてアプリの人に会うのに、家に行くって…
きっと、&lt;そういうこと&gt;だよね…。
でも…
はじめての【ワンナイト】に好奇心をおさえられなくてーー…。
※本作はさいおがうま、THE猥談の個人誌作品の電子書籍版となります。【23ページ】
※本作は『タワマンハイスペ雅人くんは私の身体で弄んでる』の修正をやや弱めたものです。内容に差異はありません。</v>
      </c>
      <c r="W1765" s="14"/>
      <c r="X1765" s="14" t="str">
        <f>IFERROR(__xludf.DUMMYFUNCTION("""COMPUTED_VALUE"""),"有")</f>
        <v>有</v>
      </c>
      <c r="Y1765" s="8" t="str">
        <f>IFERROR(__xludf.DUMMYFUNCTION("""COMPUTED_VALUE"""),"P11まで")</f>
        <v>P11まで</v>
      </c>
      <c r="Z1765" s="7"/>
      <c r="AA1765" s="7"/>
      <c r="AB1765" s="7"/>
    </row>
    <row r="1766" ht="15.75" customHeight="1">
      <c r="A1766" s="66">
        <f>IFERROR(__xludf.DUMMYFUNCTION("""COMPUTED_VALUE"""),3582.0)</f>
        <v>3582</v>
      </c>
      <c r="B1766" s="75" t="str">
        <f>IFERROR(__xludf.DUMMYFUNCTION("""COMPUTED_VALUE"""),"確定")</f>
        <v>確定</v>
      </c>
      <c r="C1766" s="68">
        <f>IFERROR(__xludf.DUMMYFUNCTION("""COMPUTED_VALUE"""),45447.0)</f>
        <v>45447</v>
      </c>
      <c r="D1766" s="68">
        <f>IFERROR(__xludf.DUMMYFUNCTION("""COMPUTED_VALUE"""),45483.0)</f>
        <v>45483</v>
      </c>
      <c r="E1766" s="31">
        <f>IFERROR(__xludf.DUMMYFUNCTION("""COMPUTED_VALUE"""),297831.0)</f>
        <v>297831</v>
      </c>
      <c r="F1766" s="31" t="str">
        <f>IFERROR(__xludf.DUMMYFUNCTION("""COMPUTED_VALUE"""),"タワマンハイスペ雅人くんは私の身体で弄んでる")</f>
        <v>タワマンハイスペ雅人くんは私の身体で弄んでる</v>
      </c>
      <c r="G1766" s="69" t="str">
        <f>IFERROR(__xludf.DUMMYFUNCTION("""COMPUTED_VALUE"""),"1～3")</f>
        <v>1～3</v>
      </c>
      <c r="H1766" s="75" t="str">
        <f>IFERROR(__xludf.DUMMYFUNCTION("""COMPUTED_VALUE"""),"さいおがうま┴THE猥談")</f>
        <v>さいおがうま┴THE猥談</v>
      </c>
      <c r="I1766" s="75" t="str">
        <f>IFERROR(__xludf.DUMMYFUNCTION("""COMPUTED_VALUE"""),"TL")</f>
        <v>TL</v>
      </c>
      <c r="J1766" s="75"/>
      <c r="K1766" s="75"/>
      <c r="L1766" s="75" t="str">
        <f>IFERROR(__xludf.DUMMYFUNCTION("""COMPUTED_VALUE"""),"ブリック出版")</f>
        <v>ブリック出版</v>
      </c>
      <c r="M1766" s="23">
        <f>IFERROR(__xludf.DUMMYFUNCTION("""COMPUTED_VALUE"""),45499.0)</f>
        <v>45499</v>
      </c>
      <c r="N1766" s="47">
        <f>IFERROR(__xludf.DUMMYFUNCTION("""COMPUTED_VALUE"""),45589.0)</f>
        <v>45589</v>
      </c>
      <c r="O1766" s="69"/>
      <c r="P1766" s="80" t="str">
        <f>IFERROR(__xludf.DUMMYFUNCTION("""COMPUTED_VALUE"""),"可")</f>
        <v>可</v>
      </c>
      <c r="Q1766" s="72" t="str">
        <f>IFERROR(__xludf.DUMMYFUNCTION("""COMPUTED_VALUE"""),"河上さん事前コミット作品です。")</f>
        <v>河上さん事前コミット作品です。</v>
      </c>
      <c r="R1766" s="75"/>
      <c r="S1766" s="75" t="str">
        <f>IFERROR(__xludf.DUMMYFUNCTION("""COMPUTED_VALUE"""),"20240709_BookLive_タワマンハイスペ雅人くんは私の身体で弄んでる")</f>
        <v>20240709_BookLive_タワマンハイスペ雅人くんは私の身体で弄んでる</v>
      </c>
      <c r="T1766" s="75" t="str">
        <f>IFERROR(__xludf.DUMMYFUNCTION("""COMPUTED_VALUE"""),"格納済み")</f>
        <v>格納済み</v>
      </c>
      <c r="U1766" s="15" t="str">
        <f>IFERROR(__xludf.DUMMYFUNCTION("""COMPUTED_VALUE"""),"(C)さいおがうま/THE猥談/ブリック出版")</f>
        <v>(C)さいおがうま/THE猥談/ブリック出版</v>
      </c>
      <c r="V1766" s="8" t="str">
        <f>IFERROR(__xludf.DUMMYFUNCTION("""COMPUTED_VALUE"""),"同い年の彼氏と別れて早3ヶ月。
通ってる女子大には、もちろん出会いはないわけで
アプリを始めてみたけれど、あまり長く続かず…。
唯一やりとりを続けているのは、年下の「マサト」くんだけ。
「今度家で飲もうよ」
彼からのお誘い。
初めてアプリの人に会うのに、家に行くって…
きっと、&lt;そういうこと&gt;だよね…。
でも…
はじめての【ワンナイト】に好奇心をおさえられなくてーー…。
※本作はさいおがうま、THE猥談の個人誌作品の電子書籍版となります。【23ページ】")</f>
        <v>同い年の彼氏と別れて早3ヶ月。
通ってる女子大には、もちろん出会いはないわけで
アプリを始めてみたけれど、あまり長く続かず…。
唯一やりとりを続けているのは、年下の「マサト」くんだけ。
「今度家で飲もうよ」
彼からのお誘い。
初めてアプリの人に会うのに、家に行くって…
きっと、&lt;そういうこと&gt;だよね…。
でも…
はじめての【ワンナイト】に好奇心をおさえられなくてーー…。
※本作はさいおがうま、THE猥談の個人誌作品の電子書籍版となります。【23ページ】</v>
      </c>
      <c r="W1766" s="14"/>
      <c r="X1766" s="14" t="str">
        <f>IFERROR(__xludf.DUMMYFUNCTION("""COMPUTED_VALUE"""),"有")</f>
        <v>有</v>
      </c>
      <c r="Y1766" s="8" t="str">
        <f>IFERROR(__xludf.DUMMYFUNCTION("""COMPUTED_VALUE"""),"P11まで")</f>
        <v>P11まで</v>
      </c>
      <c r="Z1766" s="7"/>
      <c r="AA1766" s="7"/>
      <c r="AB1766" s="7"/>
    </row>
    <row r="1767" ht="15.75" customHeight="1">
      <c r="A1767" s="66">
        <f>IFERROR(__xludf.DUMMYFUNCTION("""COMPUTED_VALUE"""),3583.0)</f>
        <v>3583</v>
      </c>
      <c r="B1767" s="75" t="str">
        <f>IFERROR(__xludf.DUMMYFUNCTION("""COMPUTED_VALUE"""),"確定")</f>
        <v>確定</v>
      </c>
      <c r="C1767" s="68">
        <f>IFERROR(__xludf.DUMMYFUNCTION("""COMPUTED_VALUE"""),45447.0)</f>
        <v>45447</v>
      </c>
      <c r="D1767" s="68">
        <f>IFERROR(__xludf.DUMMYFUNCTION("""COMPUTED_VALUE"""),45483.0)</f>
        <v>45483</v>
      </c>
      <c r="E1767" s="31">
        <f>IFERROR(__xludf.DUMMYFUNCTION("""COMPUTED_VALUE"""),297847.0)</f>
        <v>297847</v>
      </c>
      <c r="F1767" s="31" t="str">
        <f>IFERROR(__xludf.DUMMYFUNCTION("""COMPUTED_VALUE"""),"爽やか後輩泉くんは溺愛執着系でした【R版】")</f>
        <v>爽やか後輩泉くんは溺愛執着系でした【R版】</v>
      </c>
      <c r="G1767" s="11" t="str">
        <f>IFERROR(__xludf.DUMMYFUNCTION("""COMPUTED_VALUE"""),"1～2")</f>
        <v>1～2</v>
      </c>
      <c r="H1767" s="75" t="str">
        <f>IFERROR(__xludf.DUMMYFUNCTION("""COMPUTED_VALUE"""),"うり┴THE猥談")</f>
        <v>うり┴THE猥談</v>
      </c>
      <c r="I1767" s="75" t="str">
        <f>IFERROR(__xludf.DUMMYFUNCTION("""COMPUTED_VALUE"""),"オトナ")</f>
        <v>オトナ</v>
      </c>
      <c r="J1767" s="75"/>
      <c r="K1767" s="75"/>
      <c r="L1767" s="75" t="str">
        <f>IFERROR(__xludf.DUMMYFUNCTION("""COMPUTED_VALUE"""),"ブリック出版")</f>
        <v>ブリック出版</v>
      </c>
      <c r="M1767" s="23">
        <f>IFERROR(__xludf.DUMMYFUNCTION("""COMPUTED_VALUE"""),45499.0)</f>
        <v>45499</v>
      </c>
      <c r="N1767" s="47">
        <f>IFERROR(__xludf.DUMMYFUNCTION("""COMPUTED_VALUE"""),45589.0)</f>
        <v>45589</v>
      </c>
      <c r="O1767" s="69"/>
      <c r="P1767" s="80" t="str">
        <f>IFERROR(__xludf.DUMMYFUNCTION("""COMPUTED_VALUE"""),"可")</f>
        <v>可</v>
      </c>
      <c r="Q1767" s="72" t="str">
        <f>IFERROR(__xludf.DUMMYFUNCTION("""COMPUTED_VALUE"""),"河上さん事前コミット作品です。")</f>
        <v>河上さん事前コミット作品です。</v>
      </c>
      <c r="R1767" s="75"/>
      <c r="S1767" s="75" t="str">
        <f>IFERROR(__xludf.DUMMYFUNCTION("""COMPUTED_VALUE"""),"20240709_BookLive_爽やか後輩泉くんは溺愛執着系でしたR版")</f>
        <v>20240709_BookLive_爽やか後輩泉くんは溺愛執着系でしたR版</v>
      </c>
      <c r="T1767" s="75" t="str">
        <f>IFERROR(__xludf.DUMMYFUNCTION("""COMPUTED_VALUE"""),"格納済み")</f>
        <v>格納済み</v>
      </c>
      <c r="U1767" s="15" t="str">
        <f>IFERROR(__xludf.DUMMYFUNCTION("""COMPUTED_VALUE"""),"(C)うり/THE猥談/ブリック出版")</f>
        <v>(C)うり/THE猥談/ブリック出版</v>
      </c>
      <c r="V1767" s="8" t="str">
        <f>IFERROR(__xludf.DUMMYFUNCTION("""COMPUTED_VALUE"""),"元彼と別れた直後、一人でカラオケにいる私に合流してくれた後輩の泉。
泉はいつも礼儀正しくて優等生って感じの可愛い男の子。
お酒も進んできた頃、褒められて素直に照れる泉を見て、つい言ってしまう。
「ほっぺにチューしていい?」
テンパる様子を見てかわいいなーとなるはずだった。
しかし彼が放った一言は…
「ほっぺでいいの?」
突然のタメ口と、口角を上げて挑発しているような目で見下ろされた瞬間、
後輩だったはずの相手が男に変わる。
「奈々さんのこと　いっぱい気持ちよくしてあげ"&amp;"て
　大事にできるの　俺だけだよ」
爽やかな後輩だった泉の、溺愛執着セックスが始まる───…
※本作はうり、THE猥談の個人誌作品の電子書籍版となります。【24ページ】
※本作は『爽やか後輩泉くんは溺愛執着系でした』の修正をやや弱めたものです。内容に差異はありません。
")</f>
        <v>元彼と別れた直後、一人でカラオケにいる私に合流してくれた後輩の泉。
泉はいつも礼儀正しくて優等生って感じの可愛い男の子。
お酒も進んできた頃、褒められて素直に照れる泉を見て、つい言ってしまう。
「ほっぺにチューしていい?」
テンパる様子を見てかわいいなーとなるはずだった。
しかし彼が放った一言は…
「ほっぺでいいの?」
突然のタメ口と、口角を上げて挑発しているような目で見下ろされた瞬間、
後輩だったはずの相手が男に変わる。
「奈々さんのこと　いっぱい気持ちよくしてあげて
　大事にできるの　俺だけだよ」
爽やかな後輩だった泉の、溺愛執着セックスが始まる───…
※本作はうり、THE猥談の個人誌作品の電子書籍版となります。【24ページ】
※本作は『爽やか後輩泉くんは溺愛執着系でした』の修正をやや弱めたものです。内容に差異はありません。
</v>
      </c>
      <c r="W1767" s="14"/>
      <c r="X1767" s="14" t="str">
        <f>IFERROR(__xludf.DUMMYFUNCTION("""COMPUTED_VALUE"""),"有")</f>
        <v>有</v>
      </c>
      <c r="Y1767" s="8" t="str">
        <f>IFERROR(__xludf.DUMMYFUNCTION("""COMPUTED_VALUE"""),"P15まで")</f>
        <v>P15まで</v>
      </c>
      <c r="Z1767" s="7"/>
      <c r="AA1767" s="7"/>
      <c r="AB1767" s="7"/>
    </row>
    <row r="1768" ht="15.75" customHeight="1">
      <c r="A1768" s="66">
        <f>IFERROR(__xludf.DUMMYFUNCTION("""COMPUTED_VALUE"""),3584.0)</f>
        <v>3584</v>
      </c>
      <c r="B1768" s="75" t="str">
        <f>IFERROR(__xludf.DUMMYFUNCTION("""COMPUTED_VALUE"""),"確定")</f>
        <v>確定</v>
      </c>
      <c r="C1768" s="68">
        <f>IFERROR(__xludf.DUMMYFUNCTION("""COMPUTED_VALUE"""),45447.0)</f>
        <v>45447</v>
      </c>
      <c r="D1768" s="68">
        <f>IFERROR(__xludf.DUMMYFUNCTION("""COMPUTED_VALUE"""),45483.0)</f>
        <v>45483</v>
      </c>
      <c r="E1768" s="31">
        <f>IFERROR(__xludf.DUMMYFUNCTION("""COMPUTED_VALUE"""),297832.0)</f>
        <v>297832</v>
      </c>
      <c r="F1768" s="31" t="str">
        <f>IFERROR(__xludf.DUMMYFUNCTION("""COMPUTED_VALUE"""),"爽やか後輩泉くんは溺愛執着系でした")</f>
        <v>爽やか後輩泉くんは溺愛執着系でした</v>
      </c>
      <c r="G1768" s="11" t="str">
        <f>IFERROR(__xludf.DUMMYFUNCTION("""COMPUTED_VALUE"""),"1～2")</f>
        <v>1～2</v>
      </c>
      <c r="H1768" s="75" t="str">
        <f>IFERROR(__xludf.DUMMYFUNCTION("""COMPUTED_VALUE"""),"うり┴THE猥談")</f>
        <v>うり┴THE猥談</v>
      </c>
      <c r="I1768" s="75" t="str">
        <f>IFERROR(__xludf.DUMMYFUNCTION("""COMPUTED_VALUE"""),"TL")</f>
        <v>TL</v>
      </c>
      <c r="J1768" s="75"/>
      <c r="K1768" s="75"/>
      <c r="L1768" s="75" t="str">
        <f>IFERROR(__xludf.DUMMYFUNCTION("""COMPUTED_VALUE"""),"ブリック出版")</f>
        <v>ブリック出版</v>
      </c>
      <c r="M1768" s="23">
        <f>IFERROR(__xludf.DUMMYFUNCTION("""COMPUTED_VALUE"""),45499.0)</f>
        <v>45499</v>
      </c>
      <c r="N1768" s="47">
        <f>IFERROR(__xludf.DUMMYFUNCTION("""COMPUTED_VALUE"""),45589.0)</f>
        <v>45589</v>
      </c>
      <c r="O1768" s="69"/>
      <c r="P1768" s="80" t="str">
        <f>IFERROR(__xludf.DUMMYFUNCTION("""COMPUTED_VALUE"""),"可")</f>
        <v>可</v>
      </c>
      <c r="Q1768" s="72" t="str">
        <f>IFERROR(__xludf.DUMMYFUNCTION("""COMPUTED_VALUE"""),"河上さん事前コミット作品です。")</f>
        <v>河上さん事前コミット作品です。</v>
      </c>
      <c r="R1768" s="75"/>
      <c r="S1768" s="75" t="str">
        <f>IFERROR(__xludf.DUMMYFUNCTION("""COMPUTED_VALUE"""),"20240709_BookLive_爽やか後輩泉くんは溺愛執着系でした")</f>
        <v>20240709_BookLive_爽やか後輩泉くんは溺愛執着系でした</v>
      </c>
      <c r="T1768" s="75" t="str">
        <f>IFERROR(__xludf.DUMMYFUNCTION("""COMPUTED_VALUE"""),"格納済み")</f>
        <v>格納済み</v>
      </c>
      <c r="U1768" s="15" t="str">
        <f>IFERROR(__xludf.DUMMYFUNCTION("""COMPUTED_VALUE"""),"(C)うり/THE猥談/ブリック出版")</f>
        <v>(C)うり/THE猥談/ブリック出版</v>
      </c>
      <c r="V1768" s="8" t="str">
        <f>IFERROR(__xludf.DUMMYFUNCTION("""COMPUTED_VALUE"""),"元彼と別れた直後、一人でカラオケにいる私に合流してくれた後輩の泉。
泉はいつも礼儀正しくて優等生って感じの可愛い男の子。
お酒も進んできた頃、褒められて素直に照れる泉を見て、つい言ってしまう。
「ほっぺにチューしていい?」
テンパる様子を見てかわいいなーとなるはずだった。
しかし彼が放った一言は…
「ほっぺでいいの?」
突然のタメ口と、口角を上げて挑発しているような目で見下ろされた瞬間、
後輩だったはずの相手が男に変わる。
「奈々さんのこと　いっぱい気持ちよくしてあげ"&amp;"て
　大事にできるの　俺だけだよ」
爽やかな後輩だった泉の、溺愛執着セックスが始まる───…
※本作はうり、THE猥談の個人誌作品の電子書籍版となります。【24ページ】")</f>
        <v>元彼と別れた直後、一人でカラオケにいる私に合流してくれた後輩の泉。
泉はいつも礼儀正しくて優等生って感じの可愛い男の子。
お酒も進んできた頃、褒められて素直に照れる泉を見て、つい言ってしまう。
「ほっぺにチューしていい?」
テンパる様子を見てかわいいなーとなるはずだった。
しかし彼が放った一言は…
「ほっぺでいいの?」
突然のタメ口と、口角を上げて挑発しているような目で見下ろされた瞬間、
後輩だったはずの相手が男に変わる。
「奈々さんのこと　いっぱい気持ちよくしてあげて
　大事にできるの　俺だけだよ」
爽やかな後輩だった泉の、溺愛執着セックスが始まる───…
※本作はうり、THE猥談の個人誌作品の電子書籍版となります。【24ページ】</v>
      </c>
      <c r="W1768" s="14"/>
      <c r="X1768" s="14" t="str">
        <f>IFERROR(__xludf.DUMMYFUNCTION("""COMPUTED_VALUE"""),"有")</f>
        <v>有</v>
      </c>
      <c r="Y1768" s="8" t="str">
        <f>IFERROR(__xludf.DUMMYFUNCTION("""COMPUTED_VALUE"""),"P15まで")</f>
        <v>P15まで</v>
      </c>
      <c r="Z1768" s="7"/>
      <c r="AA1768" s="7"/>
      <c r="AB1768" s="7"/>
    </row>
    <row r="1769" ht="15.75" customHeight="1">
      <c r="A1769" s="66">
        <f>IFERROR(__xludf.DUMMYFUNCTION("""COMPUTED_VALUE"""),3585.0)</f>
        <v>3585</v>
      </c>
      <c r="B1769" s="75" t="str">
        <f>IFERROR(__xludf.DUMMYFUNCTION("""COMPUTED_VALUE"""),"確定")</f>
        <v>確定</v>
      </c>
      <c r="C1769" s="68">
        <f>IFERROR(__xludf.DUMMYFUNCTION("""COMPUTED_VALUE"""),45447.0)</f>
        <v>45447</v>
      </c>
      <c r="D1769" s="68">
        <f>IFERROR(__xludf.DUMMYFUNCTION("""COMPUTED_VALUE"""),45483.0)</f>
        <v>45483</v>
      </c>
      <c r="E1769" s="31">
        <f>IFERROR(__xludf.DUMMYFUNCTION("""COMPUTED_VALUE"""),297848.0)</f>
        <v>297848</v>
      </c>
      <c r="F1769" s="31" t="str">
        <f>IFERROR(__xludf.DUMMYFUNCTION("""COMPUTED_VALUE"""),"肉食男子ユキくんを今夜は私がいただきます【R版】")</f>
        <v>肉食男子ユキくんを今夜は私がいただきます【R版】</v>
      </c>
      <c r="G1769" s="79" t="str">
        <f>IFERROR(__xludf.DUMMYFUNCTION("""COMPUTED_VALUE"""),"1～3")</f>
        <v>1～3</v>
      </c>
      <c r="H1769" s="75" t="str">
        <f>IFERROR(__xludf.DUMMYFUNCTION("""COMPUTED_VALUE"""),"輪子湖わこ┴THE猥談")</f>
        <v>輪子湖わこ┴THE猥談</v>
      </c>
      <c r="I1769" s="75" t="str">
        <f>IFERROR(__xludf.DUMMYFUNCTION("""COMPUTED_VALUE"""),"オトナ")</f>
        <v>オトナ</v>
      </c>
      <c r="J1769" s="75"/>
      <c r="K1769" s="75"/>
      <c r="L1769" s="75" t="str">
        <f>IFERROR(__xludf.DUMMYFUNCTION("""COMPUTED_VALUE"""),"ブリック出版")</f>
        <v>ブリック出版</v>
      </c>
      <c r="M1769" s="23">
        <f>IFERROR(__xludf.DUMMYFUNCTION("""COMPUTED_VALUE"""),45499.0)</f>
        <v>45499</v>
      </c>
      <c r="N1769" s="47">
        <f>IFERROR(__xludf.DUMMYFUNCTION("""COMPUTED_VALUE"""),45589.0)</f>
        <v>45589</v>
      </c>
      <c r="O1769" s="69"/>
      <c r="P1769" s="80" t="str">
        <f>IFERROR(__xludf.DUMMYFUNCTION("""COMPUTED_VALUE"""),"可")</f>
        <v>可</v>
      </c>
      <c r="Q1769" s="72" t="str">
        <f>IFERROR(__xludf.DUMMYFUNCTION("""COMPUTED_VALUE"""),"河上さん事前コミット作品です。 ")</f>
        <v>河上さん事前コミット作品です。 </v>
      </c>
      <c r="R1769" s="75"/>
      <c r="S1769" s="75" t="str">
        <f>IFERROR(__xludf.DUMMYFUNCTION("""COMPUTED_VALUE"""),"20240709_BookLive_肉食男子ユキくんを今夜は私がいただきますR版")</f>
        <v>20240709_BookLive_肉食男子ユキくんを今夜は私がいただきますR版</v>
      </c>
      <c r="T1769" s="75" t="str">
        <f>IFERROR(__xludf.DUMMYFUNCTION("""COMPUTED_VALUE"""),"格納済み")</f>
        <v>格納済み</v>
      </c>
      <c r="U1769" s="15" t="str">
        <f>IFERROR(__xludf.DUMMYFUNCTION("""COMPUTED_VALUE"""),"(C)輪子湖わこ/THE猥談/ブリック出版")</f>
        <v>(C)輪子湖わこ/THE猥談/ブリック出版</v>
      </c>
      <c r="V1769" s="8" t="str">
        <f>IFERROR(__xludf.DUMMYFUNCTION("""COMPUTED_VALUE"""),"アプリで好みの女の子を探して、惚れさせて遊んでいたユキ。
相手が言われたい言葉を吐いて、してほしいことをしたら、女の子はすぐに落ちる。
「私、今日はもうちょっと、ユキくんと一緒にいたい…」
今回の子だって簡単。
デート帰りに、お酒を買い込んでホテルへ。
良い雰囲気になってそのままキスして……
の、はずだったのに。
「ユキくんってさぁ
いっつも私みたいな弱そ?な女の子狙って、自分勝手なセックスしてるんでしょ?」
「…私もそうなの」
「君みたいな空っぽの男、無茶苦茶にしたく"&amp;"て仕方ないの」
気づいたら手には手錠、身体の自由も奪われる。
出会ったばかりの、大人しそうな女の子みいちゃんに襲われてー……。
※本作は輪子湖わこ、THE猥談の個人誌作品の電子書籍版となります。【21ページ】
※本作は『肉食男子ユキくんを今夜は私がいただきます』の修正をやや弱めたものです。内容に差異はありません。")</f>
        <v>アプリで好みの女の子を探して、惚れさせて遊んでいたユキ。
相手が言われたい言葉を吐いて、してほしいことをしたら、女の子はすぐに落ちる。
「私、今日はもうちょっと、ユキくんと一緒にいたい…」
今回の子だって簡単。
デート帰りに、お酒を買い込んでホテルへ。
良い雰囲気になってそのままキスして……
の、はずだったのに。
「ユキくんってさぁ
いっつも私みたいな弱そ?な女の子狙って、自分勝手なセックスしてるんでしょ?」
「…私もそうなの」
「君みたいな空っぽの男、無茶苦茶にしたくて仕方ないの」
気づいたら手には手錠、身体の自由も奪われる。
出会ったばかりの、大人しそうな女の子みいちゃんに襲われてー……。
※本作は輪子湖わこ、THE猥談の個人誌作品の電子書籍版となります。【21ページ】
※本作は『肉食男子ユキくんを今夜は私がいただきます』の修正をやや弱めたものです。内容に差異はありません。</v>
      </c>
      <c r="W1769" s="14"/>
      <c r="X1769" s="14" t="str">
        <f>IFERROR(__xludf.DUMMYFUNCTION("""COMPUTED_VALUE"""),"有")</f>
        <v>有</v>
      </c>
      <c r="Y1769" s="8" t="str">
        <f>IFERROR(__xludf.DUMMYFUNCTION("""COMPUTED_VALUE"""),"P8まで")</f>
        <v>P8まで</v>
      </c>
      <c r="Z1769" s="7"/>
      <c r="AA1769" s="7"/>
      <c r="AB1769" s="7"/>
    </row>
    <row r="1770" ht="15.75" customHeight="1">
      <c r="A1770" s="66">
        <f>IFERROR(__xludf.DUMMYFUNCTION("""COMPUTED_VALUE"""),3587.0)</f>
        <v>3587</v>
      </c>
      <c r="B1770" s="75" t="str">
        <f>IFERROR(__xludf.DUMMYFUNCTION("""COMPUTED_VALUE"""),"確定")</f>
        <v>確定</v>
      </c>
      <c r="C1770" s="68">
        <f>IFERROR(__xludf.DUMMYFUNCTION("""COMPUTED_VALUE"""),45447.0)</f>
        <v>45447</v>
      </c>
      <c r="D1770" s="68">
        <f>IFERROR(__xludf.DUMMYFUNCTION("""COMPUTED_VALUE"""),45483.0)</f>
        <v>45483</v>
      </c>
      <c r="E1770" s="31">
        <f>IFERROR(__xludf.DUMMYFUNCTION("""COMPUTED_VALUE"""),297833.0)</f>
        <v>297833</v>
      </c>
      <c r="F1770" s="31" t="str">
        <f>IFERROR(__xludf.DUMMYFUNCTION("""COMPUTED_VALUE"""),"肉食男子ユキくんを今夜は私がいただきます")</f>
        <v>肉食男子ユキくんを今夜は私がいただきます</v>
      </c>
      <c r="G1770" s="79" t="str">
        <f>IFERROR(__xludf.DUMMYFUNCTION("""COMPUTED_VALUE"""),"1～3")</f>
        <v>1～3</v>
      </c>
      <c r="H1770" s="75" t="str">
        <f>IFERROR(__xludf.DUMMYFUNCTION("""COMPUTED_VALUE"""),"輪子湖わこ┴THE猥談")</f>
        <v>輪子湖わこ┴THE猥談</v>
      </c>
      <c r="I1770" s="75" t="str">
        <f>IFERROR(__xludf.DUMMYFUNCTION("""COMPUTED_VALUE"""),"TL")</f>
        <v>TL</v>
      </c>
      <c r="J1770" s="75"/>
      <c r="K1770" s="75"/>
      <c r="L1770" s="75" t="str">
        <f>IFERROR(__xludf.DUMMYFUNCTION("""COMPUTED_VALUE"""),"ブリック出版")</f>
        <v>ブリック出版</v>
      </c>
      <c r="M1770" s="23">
        <f>IFERROR(__xludf.DUMMYFUNCTION("""COMPUTED_VALUE"""),45499.0)</f>
        <v>45499</v>
      </c>
      <c r="N1770" s="47">
        <f>IFERROR(__xludf.DUMMYFUNCTION("""COMPUTED_VALUE"""),45589.0)</f>
        <v>45589</v>
      </c>
      <c r="O1770" s="69"/>
      <c r="P1770" s="80" t="str">
        <f>IFERROR(__xludf.DUMMYFUNCTION("""COMPUTED_VALUE"""),"可")</f>
        <v>可</v>
      </c>
      <c r="Q1770" s="72" t="str">
        <f>IFERROR(__xludf.DUMMYFUNCTION("""COMPUTED_VALUE"""),"河上さん事前コミット作品です。 ")</f>
        <v>河上さん事前コミット作品です。 </v>
      </c>
      <c r="R1770" s="75"/>
      <c r="S1770" s="75" t="str">
        <f>IFERROR(__xludf.DUMMYFUNCTION("""COMPUTED_VALUE"""),"20240709_BookLive_肉食男子ユキくんを今夜は私がいただきます")</f>
        <v>20240709_BookLive_肉食男子ユキくんを今夜は私がいただきます</v>
      </c>
      <c r="T1770" s="75" t="str">
        <f>IFERROR(__xludf.DUMMYFUNCTION("""COMPUTED_VALUE"""),"格納済み")</f>
        <v>格納済み</v>
      </c>
      <c r="U1770" s="15" t="str">
        <f>IFERROR(__xludf.DUMMYFUNCTION("""COMPUTED_VALUE"""),"(C)輪子湖わこ/THE猥談/ブリック出版")</f>
        <v>(C)輪子湖わこ/THE猥談/ブリック出版</v>
      </c>
      <c r="V1770" s="8" t="str">
        <f>IFERROR(__xludf.DUMMYFUNCTION("""COMPUTED_VALUE"""),"アプリで好みの女の子を探して、惚れさせて遊んでいたユキ。
相手が言われたい言葉を吐いて、してほしいことをしたら、女の子はすぐに落ちる。
「私、今日はもうちょっと、ユキくんと一緒にいたい…」
今回の子だって簡単。
デート帰りに、お酒を買い込んでホテルへ。
良い雰囲気になってそのままキスして……
の、はずだったのに。
「ユキくんってさぁ
いっつも私みたいな弱そ?な女の子狙って、自分勝手なセックスしてるんでしょ?」
「…私もそうなの」
「君みたいな空っぽの男、無茶苦茶にしたく"&amp;"て仕方ないの」
気づいたら手には手錠、身体の自由も奪われる。
出会ったばかりの、大人しそうな女の子みいちゃんに襲われてー……。
※本作は輪子湖わこ、THE猥談の個人誌作品の電子書籍版となります。【21ページ】")</f>
        <v>アプリで好みの女の子を探して、惚れさせて遊んでいたユキ。
相手が言われたい言葉を吐いて、してほしいことをしたら、女の子はすぐに落ちる。
「私、今日はもうちょっと、ユキくんと一緒にいたい…」
今回の子だって簡単。
デート帰りに、お酒を買い込んでホテルへ。
良い雰囲気になってそのままキスして……
の、はずだったのに。
「ユキくんってさぁ
いっつも私みたいな弱そ?な女の子狙って、自分勝手なセックスしてるんでしょ?」
「…私もそうなの」
「君みたいな空っぽの男、無茶苦茶にしたくて仕方ないの」
気づいたら手には手錠、身体の自由も奪われる。
出会ったばかりの、大人しそうな女の子みいちゃんに襲われてー……。
※本作は輪子湖わこ、THE猥談の個人誌作品の電子書籍版となります。【21ページ】</v>
      </c>
      <c r="W1770" s="14"/>
      <c r="X1770" s="14" t="str">
        <f>IFERROR(__xludf.DUMMYFUNCTION("""COMPUTED_VALUE"""),"有")</f>
        <v>有</v>
      </c>
      <c r="Y1770" s="8" t="str">
        <f>IFERROR(__xludf.DUMMYFUNCTION("""COMPUTED_VALUE"""),"P8まで")</f>
        <v>P8まで</v>
      </c>
      <c r="Z1770" s="7"/>
      <c r="AA1770" s="7"/>
      <c r="AB1770" s="7"/>
    </row>
    <row r="1771" ht="15.75" customHeight="1">
      <c r="A1771" s="66">
        <f>IFERROR(__xludf.DUMMYFUNCTION("""COMPUTED_VALUE"""),3589.0)</f>
        <v>3589</v>
      </c>
      <c r="B1771" s="75" t="str">
        <f>IFERROR(__xludf.DUMMYFUNCTION("""COMPUTED_VALUE"""),"確定")</f>
        <v>確定</v>
      </c>
      <c r="C1771" s="68">
        <f>IFERROR(__xludf.DUMMYFUNCTION("""COMPUTED_VALUE"""),45447.0)</f>
        <v>45447</v>
      </c>
      <c r="D1771" s="68">
        <f>IFERROR(__xludf.DUMMYFUNCTION("""COMPUTED_VALUE"""),45483.0)</f>
        <v>45483</v>
      </c>
      <c r="E1771" s="31">
        <f>IFERROR(__xludf.DUMMYFUNCTION("""COMPUTED_VALUE"""),297851.0)</f>
        <v>297851</v>
      </c>
      <c r="F1771" s="31" t="str">
        <f>IFERROR(__xludf.DUMMYFUNCTION("""COMPUTED_VALUE"""),"強面カメラマン八坂さんが私を好きってマジですか!?【R版】")</f>
        <v>強面カメラマン八坂さんが私を好きってマジですか!?【R版】</v>
      </c>
      <c r="G1771" s="69" t="str">
        <f>IFERROR(__xludf.DUMMYFUNCTION("""COMPUTED_VALUE"""),"1～3")</f>
        <v>1～3</v>
      </c>
      <c r="H1771" s="75" t="str">
        <f>IFERROR(__xludf.DUMMYFUNCTION("""COMPUTED_VALUE"""),"炉端┴THE猥談")</f>
        <v>炉端┴THE猥談</v>
      </c>
      <c r="I1771" s="75" t="str">
        <f>IFERROR(__xludf.DUMMYFUNCTION("""COMPUTED_VALUE"""),"オトナ")</f>
        <v>オトナ</v>
      </c>
      <c r="J1771" s="75"/>
      <c r="K1771" s="75"/>
      <c r="L1771" s="75" t="str">
        <f>IFERROR(__xludf.DUMMYFUNCTION("""COMPUTED_VALUE"""),"ブリック出版")</f>
        <v>ブリック出版</v>
      </c>
      <c r="M1771" s="23">
        <f>IFERROR(__xludf.DUMMYFUNCTION("""COMPUTED_VALUE"""),45499.0)</f>
        <v>45499</v>
      </c>
      <c r="N1771" s="47">
        <f>IFERROR(__xludf.DUMMYFUNCTION("""COMPUTED_VALUE"""),45589.0)</f>
        <v>45589</v>
      </c>
      <c r="O1771" s="69"/>
      <c r="P1771" s="80" t="str">
        <f>IFERROR(__xludf.DUMMYFUNCTION("""COMPUTED_VALUE"""),"可")</f>
        <v>可</v>
      </c>
      <c r="Q1771" s="72" t="str">
        <f>IFERROR(__xludf.DUMMYFUNCTION("""COMPUTED_VALUE"""),"河上さん事前コミット作品です。")</f>
        <v>河上さん事前コミット作品です。</v>
      </c>
      <c r="R1771" s="75"/>
      <c r="S1771" s="75" t="str">
        <f>IFERROR(__xludf.DUMMYFUNCTION("""COMPUTED_VALUE"""),"20240709_BookLive_強面カメラマン八坂さんが私を好きってマジですか!R版")</f>
        <v>20240709_BookLive_強面カメラマン八坂さんが私を好きってマジですか!R版</v>
      </c>
      <c r="T1771" s="75" t="str">
        <f>IFERROR(__xludf.DUMMYFUNCTION("""COMPUTED_VALUE"""),"格納済み")</f>
        <v>格納済み</v>
      </c>
      <c r="U1771" s="15" t="str">
        <f>IFERROR(__xludf.DUMMYFUNCTION("""COMPUTED_VALUE"""),"(C)炉端/THE猥談/ブリック出版")</f>
        <v>(C)炉端/THE猥談/ブリック出版</v>
      </c>
      <c r="V1771" s="8" t="str">
        <f>IFERROR(__xludf.DUMMYFUNCTION("""COMPUTED_VALUE"""),"大学に通いながら、地方局でアシスタントをしていた。
報道カメラマンの八坂さんは、すぐ怒るしこだわり強いしおっかないけど、
カメラを扱う手だけは凄く丁寧で。
あの手に触れられたい───…
気づいたらそればっかり。
就職が決まり、バイトを辞めることになった日、
告白できずにいる私に八坂さんがくれた一冊の小説。
その本をパラパラとめくると、そこには私の写真が挟まれていた。
「ずっと、好きでした!
…お返事は大丈夫です、ただ伝えたかっただけなので…。」
「それでいい"&amp;"の?
…今から、そっち行ってもいい?」
片想いだと思っていた強面カメラマンとの甘々セックスが始まる───…
※本作は炉端、THE猥談の個人誌作品の電子書籍版となります。【24ページ】
※本作は『強面カメラマン八坂さんが私を好きってマジですか!?』の修正をやや弱めたものです。内容に差異はありません。")</f>
        <v>大学に通いながら、地方局でアシスタントをしていた。
報道カメラマンの八坂さんは、すぐ怒るしこだわり強いしおっかないけど、
カメラを扱う手だけは凄く丁寧で。
あの手に触れられたい───…
気づいたらそればっかり。
就職が決まり、バイトを辞めることになった日、
告白できずにいる私に八坂さんがくれた一冊の小説。
その本をパラパラとめくると、そこには私の写真が挟まれていた。
「ずっと、好きでした!
…お返事は大丈夫です、ただ伝えたかっただけなので…。」
「それでいいの?
…今から、そっち行ってもいい?」
片想いだと思っていた強面カメラマンとの甘々セックスが始まる───…
※本作は炉端、THE猥談の個人誌作品の電子書籍版となります。【24ページ】
※本作は『強面カメラマン八坂さんが私を好きってマジですか!?』の修正をやや弱めたものです。内容に差異はありません。</v>
      </c>
      <c r="W1771" s="14"/>
      <c r="X1771" s="14" t="str">
        <f>IFERROR(__xludf.DUMMYFUNCTION("""COMPUTED_VALUE"""),"有")</f>
        <v>有</v>
      </c>
      <c r="Y1771" s="8" t="str">
        <f>IFERROR(__xludf.DUMMYFUNCTION("""COMPUTED_VALUE"""),"P13まで")</f>
        <v>P13まで</v>
      </c>
      <c r="Z1771" s="7"/>
      <c r="AA1771" s="7"/>
      <c r="AB1771" s="7"/>
    </row>
    <row r="1772" ht="15.75" customHeight="1">
      <c r="A1772" s="66">
        <f>IFERROR(__xludf.DUMMYFUNCTION("""COMPUTED_VALUE"""),3590.0)</f>
        <v>3590</v>
      </c>
      <c r="B1772" s="75" t="str">
        <f>IFERROR(__xludf.DUMMYFUNCTION("""COMPUTED_VALUE"""),"確定")</f>
        <v>確定</v>
      </c>
      <c r="C1772" s="68">
        <f>IFERROR(__xludf.DUMMYFUNCTION("""COMPUTED_VALUE"""),45447.0)</f>
        <v>45447</v>
      </c>
      <c r="D1772" s="68">
        <f>IFERROR(__xludf.DUMMYFUNCTION("""COMPUTED_VALUE"""),45483.0)</f>
        <v>45483</v>
      </c>
      <c r="E1772" s="31">
        <f>IFERROR(__xludf.DUMMYFUNCTION("""COMPUTED_VALUE"""),297834.0)</f>
        <v>297834</v>
      </c>
      <c r="F1772" s="31" t="str">
        <f>IFERROR(__xludf.DUMMYFUNCTION("""COMPUTED_VALUE"""),"強面カメラマン八坂さんが私を好きってマジですか!?")</f>
        <v>強面カメラマン八坂さんが私を好きってマジですか!?</v>
      </c>
      <c r="G1772" s="69" t="str">
        <f>IFERROR(__xludf.DUMMYFUNCTION("""COMPUTED_VALUE"""),"1～3")</f>
        <v>1～3</v>
      </c>
      <c r="H1772" s="75" t="str">
        <f>IFERROR(__xludf.DUMMYFUNCTION("""COMPUTED_VALUE"""),"炉端┴THE猥談")</f>
        <v>炉端┴THE猥談</v>
      </c>
      <c r="I1772" s="75" t="str">
        <f>IFERROR(__xludf.DUMMYFUNCTION("""COMPUTED_VALUE"""),"TL")</f>
        <v>TL</v>
      </c>
      <c r="J1772" s="75"/>
      <c r="K1772" s="75"/>
      <c r="L1772" s="75" t="str">
        <f>IFERROR(__xludf.DUMMYFUNCTION("""COMPUTED_VALUE"""),"ブリック出版")</f>
        <v>ブリック出版</v>
      </c>
      <c r="M1772" s="23">
        <f>IFERROR(__xludf.DUMMYFUNCTION("""COMPUTED_VALUE"""),45499.0)</f>
        <v>45499</v>
      </c>
      <c r="N1772" s="47">
        <f>IFERROR(__xludf.DUMMYFUNCTION("""COMPUTED_VALUE"""),45589.0)</f>
        <v>45589</v>
      </c>
      <c r="O1772" s="69"/>
      <c r="P1772" s="80" t="str">
        <f>IFERROR(__xludf.DUMMYFUNCTION("""COMPUTED_VALUE"""),"可")</f>
        <v>可</v>
      </c>
      <c r="Q1772" s="72" t="str">
        <f>IFERROR(__xludf.DUMMYFUNCTION("""COMPUTED_VALUE"""),"河上さん事前コミット作品です。")</f>
        <v>河上さん事前コミット作品です。</v>
      </c>
      <c r="R1772" s="75"/>
      <c r="S1772" s="75" t="str">
        <f>IFERROR(__xludf.DUMMYFUNCTION("""COMPUTED_VALUE"""),"20240709_BookLive_強面カメラマン八坂さんが私を好きってマジですか!")</f>
        <v>20240709_BookLive_強面カメラマン八坂さんが私を好きってマジですか!</v>
      </c>
      <c r="T1772" s="75" t="str">
        <f>IFERROR(__xludf.DUMMYFUNCTION("""COMPUTED_VALUE"""),"格納済み")</f>
        <v>格納済み</v>
      </c>
      <c r="U1772" s="15" t="str">
        <f>IFERROR(__xludf.DUMMYFUNCTION("""COMPUTED_VALUE"""),"(C)炉端/THE猥談/ブリック出版")</f>
        <v>(C)炉端/THE猥談/ブリック出版</v>
      </c>
      <c r="V1772" s="8" t="str">
        <f>IFERROR(__xludf.DUMMYFUNCTION("""COMPUTED_VALUE"""),"大学に通いながら、地方局でアシスタントをしていた。
報道カメラマンの八坂さんは、すぐ怒るしこだわり強いしおっかないけど、
カメラを扱う手だけは凄く丁寧で。
あの手に触れられたい───…
気づいたらそればっかり。
就職が決まり、バイトを辞めることになった日、
告白できずにいる私に八坂さんがくれた一冊の小説。
その本をパラパラとめくると、そこには私の写真が挟まれていた。
「ずっと、好きでした!
…お返事は大丈夫です、ただ伝えたかっただけなので…。」
「それでいい"&amp;"の?
…今から、そっち行ってもいい?」
片想いだと思っていた強面カメラマンとの甘々セックスが始まる───…
※本作は炉端、THE猥談の個人誌作品の電子書籍版となります。【24ページ】")</f>
        <v>大学に通いながら、地方局でアシスタントをしていた。
報道カメラマンの八坂さんは、すぐ怒るしこだわり強いしおっかないけど、
カメラを扱う手だけは凄く丁寧で。
あの手に触れられたい───…
気づいたらそればっかり。
就職が決まり、バイトを辞めることになった日、
告白できずにいる私に八坂さんがくれた一冊の小説。
その本をパラパラとめくると、そこには私の写真が挟まれていた。
「ずっと、好きでした!
…お返事は大丈夫です、ただ伝えたかっただけなので…。」
「それでいいの?
…今から、そっち行ってもいい?」
片想いだと思っていた強面カメラマンとの甘々セックスが始まる───…
※本作は炉端、THE猥談の個人誌作品の電子書籍版となります。【24ページ】</v>
      </c>
      <c r="W1772" s="14"/>
      <c r="X1772" s="14" t="str">
        <f>IFERROR(__xludf.DUMMYFUNCTION("""COMPUTED_VALUE"""),"有")</f>
        <v>有</v>
      </c>
      <c r="Y1772" s="8" t="str">
        <f>IFERROR(__xludf.DUMMYFUNCTION("""COMPUTED_VALUE"""),"P13まで")</f>
        <v>P13まで</v>
      </c>
      <c r="Z1772" s="7"/>
      <c r="AA1772" s="7"/>
      <c r="AB1772" s="7"/>
    </row>
    <row r="1773" ht="15.75" customHeight="1">
      <c r="A1773" s="66">
        <f>IFERROR(__xludf.DUMMYFUNCTION("""COMPUTED_VALUE"""),3591.0)</f>
        <v>3591</v>
      </c>
      <c r="B1773" s="75" t="str">
        <f>IFERROR(__xludf.DUMMYFUNCTION("""COMPUTED_VALUE"""),"確定")</f>
        <v>確定</v>
      </c>
      <c r="C1773" s="68">
        <f>IFERROR(__xludf.DUMMYFUNCTION("""COMPUTED_VALUE"""),45447.0)</f>
        <v>45447</v>
      </c>
      <c r="D1773" s="68">
        <f>IFERROR(__xludf.DUMMYFUNCTION("""COMPUTED_VALUE"""),45483.0)</f>
        <v>45483</v>
      </c>
      <c r="E1773" s="31">
        <f>IFERROR(__xludf.DUMMYFUNCTION("""COMPUTED_VALUE"""),297852.0)</f>
        <v>297852</v>
      </c>
      <c r="F1773" s="31" t="str">
        <f>IFERROR(__xludf.DUMMYFUNCTION("""COMPUTED_VALUE"""),"上から目線の年下上司を私がひんひん泣かせたい【R版】")</f>
        <v>上から目線の年下上司を私がひんひん泣かせたい【R版】</v>
      </c>
      <c r="G1773" s="11" t="str">
        <f>IFERROR(__xludf.DUMMYFUNCTION("""COMPUTED_VALUE"""),"1～2")</f>
        <v>1～2</v>
      </c>
      <c r="H1773" s="75" t="str">
        <f>IFERROR(__xludf.DUMMYFUNCTION("""COMPUTED_VALUE"""),"うり┴THE猥談")</f>
        <v>うり┴THE猥談</v>
      </c>
      <c r="I1773" s="75" t="str">
        <f>IFERROR(__xludf.DUMMYFUNCTION("""COMPUTED_VALUE"""),"オトナ")</f>
        <v>オトナ</v>
      </c>
      <c r="J1773" s="75"/>
      <c r="K1773" s="75"/>
      <c r="L1773" s="75" t="str">
        <f>IFERROR(__xludf.DUMMYFUNCTION("""COMPUTED_VALUE"""),"ブリック出版")</f>
        <v>ブリック出版</v>
      </c>
      <c r="M1773" s="23">
        <f>IFERROR(__xludf.DUMMYFUNCTION("""COMPUTED_VALUE"""),45499.0)</f>
        <v>45499</v>
      </c>
      <c r="N1773" s="47">
        <f>IFERROR(__xludf.DUMMYFUNCTION("""COMPUTED_VALUE"""),45589.0)</f>
        <v>45589</v>
      </c>
      <c r="O1773" s="69"/>
      <c r="P1773" s="80" t="str">
        <f>IFERROR(__xludf.DUMMYFUNCTION("""COMPUTED_VALUE"""),"可")</f>
        <v>可</v>
      </c>
      <c r="Q1773" s="72" t="str">
        <f>IFERROR(__xludf.DUMMYFUNCTION("""COMPUTED_VALUE"""),"河上さん事前コミット作品です。")</f>
        <v>河上さん事前コミット作品です。</v>
      </c>
      <c r="R1773" s="75"/>
      <c r="S1773" s="75" t="str">
        <f>IFERROR(__xludf.DUMMYFUNCTION("""COMPUTED_VALUE"""),"20240709_BookLive_上から目線の年下上司を私がひんひん泣かせたいR版")</f>
        <v>20240709_BookLive_上から目線の年下上司を私がひんひん泣かせたいR版</v>
      </c>
      <c r="T1773" s="75" t="str">
        <f>IFERROR(__xludf.DUMMYFUNCTION("""COMPUTED_VALUE"""),"格納済み")</f>
        <v>格納済み</v>
      </c>
      <c r="U1773" s="15" t="str">
        <f>IFERROR(__xludf.DUMMYFUNCTION("""COMPUTED_VALUE"""),"(C)うり/THE猥談/ブリック出版")</f>
        <v>(C)うり/THE猥談/ブリック出版</v>
      </c>
      <c r="V1773" s="8" t="str">
        <f>IFERROR(__xludf.DUMMYFUNCTION("""COMPUTED_VALUE"""),"主導権を握りたがる男をひんひん泣かせるのが好きな主人公・福田。
彼女の狙いは職場にいる年下上司の古賀。
いつも上から目線で意地悪そうな顔を泣かせたいと
飲み会後に二次会と称して自宅へ誘うが…
気づいたら朝を迎えて肝心なセックスの記憶がない!
挑発して、もう一度セックスに持ち込むも
古賀はどこか納得しない様子で…。
「ねえなんで前戯の時だけSなの?お前」
「…へ?」
※本作はうり、THE猥談の個人誌作品の電子書籍版となります。【19ページ】
※本作は『上から目線の年下上司を私"&amp;"がひんひん泣かせたい』の修正をやや弱めたものです。内容に差異はありません。")</f>
        <v>主導権を握りたがる男をひんひん泣かせるのが好きな主人公・福田。
彼女の狙いは職場にいる年下上司の古賀。
いつも上から目線で意地悪そうな顔を泣かせたいと
飲み会後に二次会と称して自宅へ誘うが…
気づいたら朝を迎えて肝心なセックスの記憶がない!
挑発して、もう一度セックスに持ち込むも
古賀はどこか納得しない様子で…。
「ねえなんで前戯の時だけSなの?お前」
「…へ?」
※本作はうり、THE猥談の個人誌作品の電子書籍版となります。【19ページ】
※本作は『上から目線の年下上司を私がひんひん泣かせたい』の修正をやや弱めたものです。内容に差異はありません。</v>
      </c>
      <c r="W1773" s="14"/>
      <c r="X1773" s="14" t="str">
        <f>IFERROR(__xludf.DUMMYFUNCTION("""COMPUTED_VALUE"""),"有")</f>
        <v>有</v>
      </c>
      <c r="Y1773" s="8" t="str">
        <f>IFERROR(__xludf.DUMMYFUNCTION("""COMPUTED_VALUE"""),"P13まで")</f>
        <v>P13まで</v>
      </c>
      <c r="Z1773" s="7"/>
      <c r="AA1773" s="7"/>
      <c r="AB1773" s="7"/>
    </row>
    <row r="1774" ht="15.75" customHeight="1">
      <c r="A1774" s="66">
        <f>IFERROR(__xludf.DUMMYFUNCTION("""COMPUTED_VALUE"""),3592.0)</f>
        <v>3592</v>
      </c>
      <c r="B1774" s="75" t="str">
        <f>IFERROR(__xludf.DUMMYFUNCTION("""COMPUTED_VALUE"""),"確定")</f>
        <v>確定</v>
      </c>
      <c r="C1774" s="68">
        <f>IFERROR(__xludf.DUMMYFUNCTION("""COMPUTED_VALUE"""),45447.0)</f>
        <v>45447</v>
      </c>
      <c r="D1774" s="68">
        <f>IFERROR(__xludf.DUMMYFUNCTION("""COMPUTED_VALUE"""),45483.0)</f>
        <v>45483</v>
      </c>
      <c r="E1774" s="31">
        <f>IFERROR(__xludf.DUMMYFUNCTION("""COMPUTED_VALUE"""),297835.0)</f>
        <v>297835</v>
      </c>
      <c r="F1774" s="31" t="str">
        <f>IFERROR(__xludf.DUMMYFUNCTION("""COMPUTED_VALUE"""),"上から目線の年下上司を私がひんひん泣かせたい")</f>
        <v>上から目線の年下上司を私がひんひん泣かせたい</v>
      </c>
      <c r="G1774" s="11" t="str">
        <f>IFERROR(__xludf.DUMMYFUNCTION("""COMPUTED_VALUE"""),"1～2")</f>
        <v>1～2</v>
      </c>
      <c r="H1774" s="75" t="str">
        <f>IFERROR(__xludf.DUMMYFUNCTION("""COMPUTED_VALUE"""),"うり┴THE猥談")</f>
        <v>うり┴THE猥談</v>
      </c>
      <c r="I1774" s="75" t="str">
        <f>IFERROR(__xludf.DUMMYFUNCTION("""COMPUTED_VALUE"""),"TL")</f>
        <v>TL</v>
      </c>
      <c r="J1774" s="75"/>
      <c r="K1774" s="75"/>
      <c r="L1774" s="75" t="str">
        <f>IFERROR(__xludf.DUMMYFUNCTION("""COMPUTED_VALUE"""),"ブリック出版")</f>
        <v>ブリック出版</v>
      </c>
      <c r="M1774" s="23">
        <f>IFERROR(__xludf.DUMMYFUNCTION("""COMPUTED_VALUE"""),45499.0)</f>
        <v>45499</v>
      </c>
      <c r="N1774" s="47">
        <f>IFERROR(__xludf.DUMMYFUNCTION("""COMPUTED_VALUE"""),45589.0)</f>
        <v>45589</v>
      </c>
      <c r="O1774" s="69"/>
      <c r="P1774" s="80" t="str">
        <f>IFERROR(__xludf.DUMMYFUNCTION("""COMPUTED_VALUE"""),"可")</f>
        <v>可</v>
      </c>
      <c r="Q1774" s="72" t="str">
        <f>IFERROR(__xludf.DUMMYFUNCTION("""COMPUTED_VALUE"""),"河上さん事前コミット作品です。")</f>
        <v>河上さん事前コミット作品です。</v>
      </c>
      <c r="R1774" s="75"/>
      <c r="S1774" s="75" t="str">
        <f>IFERROR(__xludf.DUMMYFUNCTION("""COMPUTED_VALUE"""),"20240709_BookLive_上から目線の年下上司を私がひんひん泣かせたい")</f>
        <v>20240709_BookLive_上から目線の年下上司を私がひんひん泣かせたい</v>
      </c>
      <c r="T1774" s="75" t="str">
        <f>IFERROR(__xludf.DUMMYFUNCTION("""COMPUTED_VALUE"""),"格納済み")</f>
        <v>格納済み</v>
      </c>
      <c r="U1774" s="15" t="str">
        <f>IFERROR(__xludf.DUMMYFUNCTION("""COMPUTED_VALUE"""),"(C)うり/THE猥談/ブリック出版")</f>
        <v>(C)うり/THE猥談/ブリック出版</v>
      </c>
      <c r="V1774" s="8" t="str">
        <f>IFERROR(__xludf.DUMMYFUNCTION("""COMPUTED_VALUE"""),"主導権を握りたがる男をひんひん泣かせるのが好きな主人公・福田。
彼女の狙いは職場にいる年下上司の古賀。
いつも上から目線で意地悪そうな顔を泣かせたいと
飲み会後に二次会と称して自宅へ誘うが…
気づいたら朝を迎えて肝心なセックスの記憶がない!
挑発して、もう一度セックスに持ち込むも
古賀はどこか納得しない様子で…。
「ねえなんで前戯の時だけSなの?お前」
「…へ?」
※本作はうり、THE猥談の個人誌作品の電子書籍版となります。【19ページ】")</f>
        <v>主導権を握りたがる男をひんひん泣かせるのが好きな主人公・福田。
彼女の狙いは職場にいる年下上司の古賀。
いつも上から目線で意地悪そうな顔を泣かせたいと
飲み会後に二次会と称して自宅へ誘うが…
気づいたら朝を迎えて肝心なセックスの記憶がない!
挑発して、もう一度セックスに持ち込むも
古賀はどこか納得しない様子で…。
「ねえなんで前戯の時だけSなの?お前」
「…へ?」
※本作はうり、THE猥談の個人誌作品の電子書籍版となります。【19ページ】</v>
      </c>
      <c r="W1774" s="14"/>
      <c r="X1774" s="14" t="str">
        <f>IFERROR(__xludf.DUMMYFUNCTION("""COMPUTED_VALUE"""),"有")</f>
        <v>有</v>
      </c>
      <c r="Y1774" s="8" t="str">
        <f>IFERROR(__xludf.DUMMYFUNCTION("""COMPUTED_VALUE"""),"P13まで")</f>
        <v>P13まで</v>
      </c>
      <c r="Z1774" s="7"/>
      <c r="AA1774" s="7"/>
      <c r="AB1774" s="7"/>
    </row>
    <row r="1775" ht="15.75" customHeight="1">
      <c r="A1775" s="66">
        <f>IFERROR(__xludf.DUMMYFUNCTION("""COMPUTED_VALUE"""),3610.0)</f>
        <v>3610</v>
      </c>
      <c r="B1775" s="75" t="str">
        <f>IFERROR(__xludf.DUMMYFUNCTION("""COMPUTED_VALUE"""),"確定")</f>
        <v>確定</v>
      </c>
      <c r="C1775" s="68">
        <f>IFERROR(__xludf.DUMMYFUNCTION("""COMPUTED_VALUE"""),45453.0)</f>
        <v>45453</v>
      </c>
      <c r="D1775" s="68">
        <f>IFERROR(__xludf.DUMMYFUNCTION("""COMPUTED_VALUE"""),45483.0)</f>
        <v>45483</v>
      </c>
      <c r="E1775" s="31">
        <f>IFERROR(__xludf.DUMMYFUNCTION("""COMPUTED_VALUE"""),299909.0)</f>
        <v>299909</v>
      </c>
      <c r="F1775" s="31" t="str">
        <f>IFERROR(__xludf.DUMMYFUNCTION("""COMPUTED_VALUE"""),"【分冊版】身代わりの生贄だったはずの私、凶犬王子の愛に困惑中")</f>
        <v>【分冊版】身代わりの生贄だったはずの私、凶犬王子の愛に困惑中</v>
      </c>
      <c r="G1775" s="69" t="str">
        <f>IFERROR(__xludf.DUMMYFUNCTION("""COMPUTED_VALUE"""),"1～4")</f>
        <v>1～4</v>
      </c>
      <c r="H1775" s="75" t="str">
        <f>IFERROR(__xludf.DUMMYFUNCTION("""COMPUTED_VALUE"""),"漫画家：こまる 原作：長月おと キャラクター原案：鳥飼やすゆき")</f>
        <v>漫画家：こまる 原作：長月おと キャラクター原案：鳥飼やすゆき</v>
      </c>
      <c r="I1775" s="75" t="str">
        <f>IFERROR(__xludf.DUMMYFUNCTION("""COMPUTED_VALUE"""),"少女")</f>
        <v>少女</v>
      </c>
      <c r="J1775" s="75"/>
      <c r="K1775" s="75"/>
      <c r="L1775" s="75" t="str">
        <f>IFERROR(__xludf.DUMMYFUNCTION("""COMPUTED_VALUE"""),"フロンティアワークス")</f>
        <v>フロンティアワークス</v>
      </c>
      <c r="M1775" s="59">
        <f>IFERROR(__xludf.DUMMYFUNCTION("""COMPUTED_VALUE"""),45534.0)</f>
        <v>45534</v>
      </c>
      <c r="N1775" s="77">
        <f>IFERROR(__xludf.DUMMYFUNCTION("""COMPUTED_VALUE"""),45624.0)</f>
        <v>45624</v>
      </c>
      <c r="O1775" s="69"/>
      <c r="P1775" s="80" t="str">
        <f>IFERROR(__xludf.DUMMYFUNCTION("""COMPUTED_VALUE"""),"可")</f>
        <v>可</v>
      </c>
      <c r="Q1775" s="72" t="str">
        <f>IFERROR(__xludf.DUMMYFUNCTION("""COMPUTED_VALUE"""),"広告コミットOK(6/17)")</f>
        <v>広告コミットOK(6/17)</v>
      </c>
      <c r="R1775" s="75"/>
      <c r="S1775" s="75" t="str">
        <f>IFERROR(__xludf.DUMMYFUNCTION("""COMPUTED_VALUE"""),"20240709_フロンティアワークス_身代わりの生贄だったはずの私、凶犬王子の愛に困惑中")</f>
        <v>20240709_フロンティアワークス_身代わりの生贄だったはずの私、凶犬王子の愛に困惑中</v>
      </c>
      <c r="T1775" s="75" t="str">
        <f>IFERROR(__xludf.DUMMYFUNCTION("""COMPUTED_VALUE"""),"格納済み")</f>
        <v>格納済み</v>
      </c>
      <c r="U1775" s="15" t="str">
        <f>IFERROR(__xludf.DUMMYFUNCTION("""COMPUTED_VALUE"""),"©COMARU・NAGATSUKI OTO/Frontier Works Inc.")</f>
        <v>©COMARU・NAGATSUKI OTO/Frontier Works Inc.</v>
      </c>
      <c r="V1775" s="8" t="str">
        <f>IFERROR(__xludf.DUMMYFUNCTION("""COMPUTED_VALUE"""),"「こんなにも誰かを愛おしいと感じる日がくるなんて思わなかった」
義母や異母妹から虐げられ、惨めな毎日を送る伯爵令嬢のナディアは妹の代替品として“凶犬”と恐れられる第二王子クロヴィスの側付きになることを命じられる。
傲慢で冷徹と噂のクロヴィスのもとで働くことになり、初めは不安を抱くナディアだったが徐々に彼の態度の裏に見え隠れするあたたかいものに触れ――。
家族から愛されなかった令嬢が、自分の力でピンチをチャンスに変える?
溶けてしまうぐらいに溺愛される、異世界シンデレラストーリー！")</f>
        <v>「こんなにも誰かを愛おしいと感じる日がくるなんて思わなかった」
義母や異母妹から虐げられ、惨めな毎日を送る伯爵令嬢のナディアは妹の代替品として“凶犬”と恐れられる第二王子クロヴィスの側付きになることを命じられる。
傲慢で冷徹と噂のクロヴィスのもとで働くことになり、初めは不安を抱くナディアだったが徐々に彼の態度の裏に見え隠れするあたたかいものに触れ――。
家族から愛されなかった令嬢が、自分の力でピンチをチャンスに変える?
溶けてしまうぐらいに溺愛される、異世界シンデレラストーリー！</v>
      </c>
      <c r="W1775" s="14"/>
      <c r="X1775" s="14" t="str">
        <f>IFERROR(__xludf.DUMMYFUNCTION("""COMPUTED_VALUE"""),"有")</f>
        <v>有</v>
      </c>
      <c r="Y1775" s="8" t="str">
        <f>IFERROR(__xludf.DUMMYFUNCTION("""COMPUTED_VALUE"""),"1巻無料")</f>
        <v>1巻無料</v>
      </c>
      <c r="Z1775" s="7"/>
      <c r="AA1775" s="7"/>
      <c r="AB1775" s="7"/>
    </row>
    <row r="1776" ht="15.75" customHeight="1">
      <c r="A1776" s="66">
        <f>IFERROR(__xludf.DUMMYFUNCTION("""COMPUTED_VALUE"""),3637.0)</f>
        <v>3637</v>
      </c>
      <c r="B1776" s="75" t="str">
        <f>IFERROR(__xludf.DUMMYFUNCTION("""COMPUTED_VALUE"""),"確定")</f>
        <v>確定</v>
      </c>
      <c r="C1776" s="68">
        <f>IFERROR(__xludf.DUMMYFUNCTION("""COMPUTED_VALUE"""),45457.0)</f>
        <v>45457</v>
      </c>
      <c r="D1776" s="68">
        <f>IFERROR(__xludf.DUMMYFUNCTION("""COMPUTED_VALUE"""),45482.0)</f>
        <v>45482</v>
      </c>
      <c r="E1776" s="31">
        <f>IFERROR(__xludf.DUMMYFUNCTION("""COMPUTED_VALUE"""),298280.0)</f>
        <v>298280</v>
      </c>
      <c r="F1776" s="31" t="str">
        <f>IFERROR(__xludf.DUMMYFUNCTION("""COMPUTED_VALUE"""),"大人はイジメをやめられない〜弱者の生存戦略〜")</f>
        <v>大人はイジメをやめられない〜弱者の生存戦略〜</v>
      </c>
      <c r="G1776" s="69" t="str">
        <f>IFERROR(__xludf.DUMMYFUNCTION("""COMPUTED_VALUE"""),"1～4")</f>
        <v>1～4</v>
      </c>
      <c r="H1776" s="75" t="str">
        <f>IFERROR(__xludf.DUMMYFUNCTION("""COMPUTED_VALUE"""),"りほぴよ（漫画）、 屍死郎（原作）")</f>
        <v>りほぴよ（漫画）、 屍死郎（原作）</v>
      </c>
      <c r="I1776" s="75" t="str">
        <f>IFERROR(__xludf.DUMMYFUNCTION("""COMPUTED_VALUE"""),"青年")</f>
        <v>青年</v>
      </c>
      <c r="J1776" s="75"/>
      <c r="K1776" s="75"/>
      <c r="L1776" s="75" t="str">
        <f>IFERROR(__xludf.DUMMYFUNCTION("""COMPUTED_VALUE"""),"秋田書店")</f>
        <v>秋田書店</v>
      </c>
      <c r="M1776" s="59">
        <f>IFERROR(__xludf.DUMMYFUNCTION("""COMPUTED_VALUE"""),45496.0)</f>
        <v>45496</v>
      </c>
      <c r="N1776" s="59">
        <f>IFERROR(__xludf.DUMMYFUNCTION("""COMPUTED_VALUE"""),45558.0)</f>
        <v>45558</v>
      </c>
      <c r="O1776" s="69"/>
      <c r="P1776" s="80" t="str">
        <f>IFERROR(__xludf.DUMMYFUNCTION("""COMPUTED_VALUE"""),"可")</f>
        <v>可</v>
      </c>
      <c r="Q1776" s="72" t="str">
        <f>IFERROR(__xludf.DUMMYFUNCTION("""COMPUTED_VALUE"""),"広告コミットOK（6/24）")</f>
        <v>広告コミットOK（6/24）</v>
      </c>
      <c r="R1776" s="75"/>
      <c r="S1776" s="75" t="str">
        <f>IFERROR(__xludf.DUMMYFUNCTION("""COMPUTED_VALUE"""),"20240704_秋田書店_大人はイジメをやめられない")</f>
        <v>20240704_秋田書店_大人はイジメをやめられない</v>
      </c>
      <c r="T1776" s="75" t="str">
        <f>IFERROR(__xludf.DUMMYFUNCTION("""COMPUTED_VALUE"""),"格納済み")</f>
        <v>格納済み</v>
      </c>
      <c r="U1776" s="15" t="str">
        <f>IFERROR(__xludf.DUMMYFUNCTION("""COMPUTED_VALUE"""),"C)屍死郎・りほぴよ（秋田書店）")</f>
        <v>C)屍死郎・りほぴよ（秋田書店）</v>
      </c>
      <c r="V1776" s="8" t="str">
        <f>IFERROR(__xludf.DUMMYFUNCTION("""COMPUTED_VALUE"""),"大人は子供に”いじめ”はいけないことだと説く。しかし、その大人たちもまた、”いじめ”からは逃れることができない……日本社会の構造問題である”いじめ”。それは大人の世界においてより深刻な状況を生んでいる。長時間労働、重い仕事の負担、過度な圧力にさらされた職場で起こる、目を覆う惨状。大人ゆえに逃げ場がなくなる現実。虐げられる弱者は、泣き寝入りするしかないのか？労働組合グリーンの黒崎が、弱者の戦略を駆使して理不尽な現実に立ち向かう！")</f>
        <v>大人は子供に”いじめ”はいけないことだと説く。しかし、その大人たちもまた、”いじめ”からは逃れることができない……日本社会の構造問題である”いじめ”。それは大人の世界においてより深刻な状況を生んでいる。長時間労働、重い仕事の負担、過度な圧力にさらされた職場で起こる、目を覆う惨状。大人ゆえに逃げ場がなくなる現実。虐げられる弱者は、泣き寝入りするしかないのか？労働組合グリーンの黒崎が、弱者の戦略を駆使して理不尽な現実に立ち向かう！</v>
      </c>
      <c r="W1776" s="14"/>
      <c r="X1776" s="14" t="str">
        <f>IFERROR(__xludf.DUMMYFUNCTION("""COMPUTED_VALUE"""),"有")</f>
        <v>有</v>
      </c>
      <c r="Y1776" s="8" t="str">
        <f>IFERROR(__xludf.DUMMYFUNCTION("""COMPUTED_VALUE"""),"2024/9/23まで1巻無料")</f>
        <v>2024/9/23まで1巻無料</v>
      </c>
      <c r="Z1776" s="7"/>
      <c r="AA1776" s="7"/>
      <c r="AB1776" s="7"/>
    </row>
    <row r="1777" ht="15.75" customHeight="1">
      <c r="A1777" s="66">
        <f>IFERROR(__xludf.DUMMYFUNCTION("""COMPUTED_VALUE"""),3672.0)</f>
        <v>3672</v>
      </c>
      <c r="B1777" s="75" t="str">
        <f>IFERROR(__xludf.DUMMYFUNCTION("""COMPUTED_VALUE"""),"確定")</f>
        <v>確定</v>
      </c>
      <c r="C1777" s="68">
        <f>IFERROR(__xludf.DUMMYFUNCTION("""COMPUTED_VALUE"""),45463.0)</f>
        <v>45463</v>
      </c>
      <c r="D1777" s="68">
        <f>IFERROR(__xludf.DUMMYFUNCTION("""COMPUTED_VALUE"""),45482.0)</f>
        <v>45482</v>
      </c>
      <c r="E1777" s="31">
        <f>IFERROR(__xludf.DUMMYFUNCTION("""COMPUTED_VALUE"""),298279.0)</f>
        <v>298279</v>
      </c>
      <c r="F1777" s="31" t="str">
        <f>IFERROR(__xludf.DUMMYFUNCTION("""COMPUTED_VALUE"""),"アプリで出会った君と水槽に沈む")</f>
        <v>アプリで出会った君と水槽に沈む</v>
      </c>
      <c r="G1777" s="69" t="str">
        <f>IFERROR(__xludf.DUMMYFUNCTION("""COMPUTED_VALUE"""),"1～4")</f>
        <v>1～4</v>
      </c>
      <c r="H1777" s="75" t="str">
        <f>IFERROR(__xludf.DUMMYFUNCTION("""COMPUTED_VALUE"""),"時千広 （作画） 蔵人幸明 （原作）")</f>
        <v>時千広 （作画） 蔵人幸明 （原作）</v>
      </c>
      <c r="I1777" s="75" t="str">
        <f>IFERROR(__xludf.DUMMYFUNCTION("""COMPUTED_VALUE"""),"青年")</f>
        <v>青年</v>
      </c>
      <c r="J1777" s="75"/>
      <c r="K1777" s="75"/>
      <c r="L1777" s="75" t="str">
        <f>IFERROR(__xludf.DUMMYFUNCTION("""COMPUTED_VALUE"""),"秋田書店")</f>
        <v>秋田書店</v>
      </c>
      <c r="M1777" s="59">
        <f>IFERROR(__xludf.DUMMYFUNCTION("""COMPUTED_VALUE"""),45496.0)</f>
        <v>45496</v>
      </c>
      <c r="N1777" s="59">
        <f>IFERROR(__xludf.DUMMYFUNCTION("""COMPUTED_VALUE"""),45558.0)</f>
        <v>45558</v>
      </c>
      <c r="O1777" s="69"/>
      <c r="P1777" s="80" t="str">
        <f>IFERROR(__xludf.DUMMYFUNCTION("""COMPUTED_VALUE"""),"否")</f>
        <v>否</v>
      </c>
      <c r="Q1777" s="72" t="str">
        <f>IFERROR(__xludf.DUMMYFUNCTION("""COMPUTED_VALUE"""),"広告コミットOK（6/24）")</f>
        <v>広告コミットOK（6/24）</v>
      </c>
      <c r="R1777" s="75"/>
      <c r="S1777" s="75" t="str">
        <f>IFERROR(__xludf.DUMMYFUNCTION("""COMPUTED_VALUE"""),"20240703_秋田書店_アプリで出会った君と水槽に沈む")</f>
        <v>20240703_秋田書店_アプリで出会った君と水槽に沈む</v>
      </c>
      <c r="T1777" s="75" t="str">
        <f>IFERROR(__xludf.DUMMYFUNCTION("""COMPUTED_VALUE"""),"格納済み")</f>
        <v>格納済み</v>
      </c>
      <c r="U1777" s="15" t="str">
        <f>IFERROR(__xludf.DUMMYFUNCTION("""COMPUTED_VALUE"""),"C)蔵人幸明・時千広（秋田書店）")</f>
        <v>C)蔵人幸明・時千広（秋田書店）</v>
      </c>
      <c r="V1777" s="8" t="str">
        <f>IFERROR(__xludf.DUMMYFUNCTION("""COMPUTED_VALUE"""),"時々、この世界は水底のように息苦しくなる。灯がついていても闇の中にいるような気分になる。照らしてほしい。繋がりたい。現実ではたくさんの異性と出会うけど、誰も自分を見つけてはくれない。でも、マッチングアプリなら誰かと運命の糸で繋がれているかもしれない。それがたとえ真っ当じゃなくとも。歪みきった欲望であっても。自分や他人を傷つけて快楽を得る人間がいたとしても。マッチングアプリの数だけ幸せが生まれ。地獄が生まれ。そして、君と二人で水槽に沈んでいく。このお話は「マッチングアプリ」で出会った様々な人間の物語である。"&amp;"「じゃあ、君の代わりに殺そうか？」蔵人幸明、最新作！歪んだ愛情に沈む“マッチングアプリ”物語、解禁！")</f>
        <v>時々、この世界は水底のように息苦しくなる。灯がついていても闇の中にいるような気分になる。照らしてほしい。繋がりたい。現実ではたくさんの異性と出会うけど、誰も自分を見つけてはくれない。でも、マッチングアプリなら誰かと運命の糸で繋がれているかもしれない。それがたとえ真っ当じゃなくとも。歪みきった欲望であっても。自分や他人を傷つけて快楽を得る人間がいたとしても。マッチングアプリの数だけ幸せが生まれ。地獄が生まれ。そして、君と二人で水槽に沈んでいく。このお話は「マッチングアプリ」で出会った様々な人間の物語である。「じゃあ、君の代わりに殺そうか？」蔵人幸明、最新作！歪んだ愛情に沈む“マッチングアプリ”物語、解禁！</v>
      </c>
      <c r="W1777" s="14"/>
      <c r="X1777" s="14" t="str">
        <f>IFERROR(__xludf.DUMMYFUNCTION("""COMPUTED_VALUE"""),"有")</f>
        <v>有</v>
      </c>
      <c r="Y1777" s="8" t="str">
        <f>IFERROR(__xludf.DUMMYFUNCTION("""COMPUTED_VALUE"""),"2024/9/23まで1巻無料")</f>
        <v>2024/9/23まで1巻無料</v>
      </c>
      <c r="Z1777" s="7"/>
      <c r="AA1777" s="7"/>
      <c r="AB1777" s="7"/>
    </row>
    <row r="1778" ht="15.75" customHeight="1">
      <c r="A1778" s="66">
        <f>IFERROR(__xludf.DUMMYFUNCTION("""COMPUTED_VALUE"""),3680.0)</f>
        <v>3680</v>
      </c>
      <c r="B1778" s="75" t="str">
        <f>IFERROR(__xludf.DUMMYFUNCTION("""COMPUTED_VALUE"""),"確定")</f>
        <v>確定</v>
      </c>
      <c r="C1778" s="68">
        <f>IFERROR(__xludf.DUMMYFUNCTION("""COMPUTED_VALUE"""),45467.0)</f>
        <v>45467</v>
      </c>
      <c r="D1778" s="68">
        <f>IFERROR(__xludf.DUMMYFUNCTION("""COMPUTED_VALUE"""),45482.0)</f>
        <v>45482</v>
      </c>
      <c r="E1778" s="31">
        <f>IFERROR(__xludf.DUMMYFUNCTION("""COMPUTED_VALUE"""),298702.0)</f>
        <v>298702</v>
      </c>
      <c r="F1778" s="31" t="str">
        <f>IFERROR(__xludf.DUMMYFUNCTION("""COMPUTED_VALUE"""),"私の推しは王子じゃない！～転生した悪役令嬢は変態側近たちと戯れる～")</f>
        <v>私の推しは王子じゃない！～転生した悪役令嬢は変態側近たちと戯れる～</v>
      </c>
      <c r="G1778" s="11" t="str">
        <f>IFERROR(__xludf.DUMMYFUNCTION("""COMPUTED_VALUE"""),"1～2")</f>
        <v>1～2</v>
      </c>
      <c r="H1778" s="75" t="str">
        <f>IFERROR(__xludf.DUMMYFUNCTION("""COMPUTED_VALUE"""),"歌貌")</f>
        <v>歌貌</v>
      </c>
      <c r="I1778" s="75" t="str">
        <f>IFERROR(__xludf.DUMMYFUNCTION("""COMPUTED_VALUE"""),"TL")</f>
        <v>TL</v>
      </c>
      <c r="J1778" s="75"/>
      <c r="K1778" s="75"/>
      <c r="L1778" s="75" t="str">
        <f>IFERROR(__xludf.DUMMYFUNCTION("""COMPUTED_VALUE"""),"大洋図書")</f>
        <v>大洋図書</v>
      </c>
      <c r="M1778" s="59">
        <f>IFERROR(__xludf.DUMMYFUNCTION("""COMPUTED_VALUE"""),45513.0)</f>
        <v>45513</v>
      </c>
      <c r="N1778" s="59">
        <f>IFERROR(__xludf.DUMMYFUNCTION("""COMPUTED_VALUE"""),45603.0)</f>
        <v>45603</v>
      </c>
      <c r="O1778" s="69"/>
      <c r="P1778" s="80" t="str">
        <f>IFERROR(__xludf.DUMMYFUNCTION("""COMPUTED_VALUE"""),"可")</f>
        <v>可</v>
      </c>
      <c r="Q1778" s="72" t="str">
        <f>IFERROR(__xludf.DUMMYFUNCTION("""COMPUTED_VALUE"""),"広告コミットOK(6/27)
レーベル名は「恋＊COMACHI」となります（新規レーベル）（7/16）")</f>
        <v>広告コミットOK(6/27)
レーベル名は「恋＊COMACHI」となります（新規レーベル）（7/16）</v>
      </c>
      <c r="R1778" s="75"/>
      <c r="S1778" s="75" t="str">
        <f>IFERROR(__xludf.DUMMYFUNCTION("""COMPUTED_VALUE"""),"20240704_大洋図書_私の推しは王子じゃない")</f>
        <v>20240704_大洋図書_私の推しは王子じゃない</v>
      </c>
      <c r="T1778" s="75" t="str">
        <f>IFERROR(__xludf.DUMMYFUNCTION("""COMPUTED_VALUE"""),"格納済み")</f>
        <v>格納済み</v>
      </c>
      <c r="U1778" s="15" t="str">
        <f>IFERROR(__xludf.DUMMYFUNCTION("""COMPUTED_VALUE"""),"(C)歌貌／大洋図書")</f>
        <v>(C)歌貌／大洋図書</v>
      </c>
      <c r="V1778" s="8" t="str">
        <f>IFERROR(__xludf.DUMMYFUNCTION("""COMPUTED_VALUE"""),"「初めてなのに、恥ずかしいのに…気持ちいい」
――乙女ゲームの世界に悪役令嬢として転生したニーナは、
バッドエンドを回避すべくひっそりと田舎で暮らしていた。
そんなある日、ヒロイン失踪の疑いをかけられ事態が一変！
宮殿へと連行されてしまう…。
だが、そこで待ち構えていたのは、
王子をはじめ変態的な性癖をもつ側近たちで…
かわるがわる現れる側近たちに弄ばれ、
ニーナの身体は快楽と恥辱まみれ……果たしてニーナの運命は！？
【悪役令嬢×尋問プレイ×ラブミステリー】")</f>
        <v>「初めてなのに、恥ずかしいのに…気持ちいい」
――乙女ゲームの世界に悪役令嬢として転生したニーナは、
バッドエンドを回避すべくひっそりと田舎で暮らしていた。
そんなある日、ヒロイン失踪の疑いをかけられ事態が一変！
宮殿へと連行されてしまう…。
だが、そこで待ち構えていたのは、
王子をはじめ変態的な性癖をもつ側近たちで…
かわるがわる現れる側近たちに弄ばれ、
ニーナの身体は快楽と恥辱まみれ……果たしてニーナの運命は！？
【悪役令嬢×尋問プレイ×ラブミステリー】</v>
      </c>
      <c r="W1778" s="14"/>
      <c r="X1778" s="14" t="str">
        <f>IFERROR(__xludf.DUMMYFUNCTION("""COMPUTED_VALUE"""),"有")</f>
        <v>有</v>
      </c>
      <c r="Y1778" s="8" t="str">
        <f>IFERROR(__xludf.DUMMYFUNCTION("""COMPUTED_VALUE"""),"P6まで")</f>
        <v>P6まで</v>
      </c>
      <c r="Z1778" s="7"/>
      <c r="AA1778" s="7"/>
      <c r="AB1778" s="7"/>
    </row>
    <row r="1779" ht="15.75" customHeight="1">
      <c r="A1779" s="66">
        <f>IFERROR(__xludf.DUMMYFUNCTION("""COMPUTED_VALUE"""),3682.0)</f>
        <v>3682</v>
      </c>
      <c r="B1779" s="75" t="str">
        <f>IFERROR(__xludf.DUMMYFUNCTION("""COMPUTED_VALUE"""),"確定")</f>
        <v>確定</v>
      </c>
      <c r="C1779" s="68">
        <f>IFERROR(__xludf.DUMMYFUNCTION("""COMPUTED_VALUE"""),45467.0)</f>
        <v>45467</v>
      </c>
      <c r="D1779" s="68">
        <f>IFERROR(__xludf.DUMMYFUNCTION("""COMPUTED_VALUE"""),45482.0)</f>
        <v>45482</v>
      </c>
      <c r="E1779" s="31">
        <f>IFERROR(__xludf.DUMMYFUNCTION("""COMPUTED_VALUE"""),298698.0)</f>
        <v>298698</v>
      </c>
      <c r="F1779" s="31" t="str">
        <f>IFERROR(__xludf.DUMMYFUNCTION("""COMPUTED_VALUE"""),"霊バイして、イカせて！～全身全霊☆お祓いエッチ～")</f>
        <v>霊バイして、イカせて！～全身全霊☆お祓いエッチ～</v>
      </c>
      <c r="G1779" s="11" t="str">
        <f>IFERROR(__xludf.DUMMYFUNCTION("""COMPUTED_VALUE"""),"1～2")</f>
        <v>1～2</v>
      </c>
      <c r="H1779" s="75" t="str">
        <f>IFERROR(__xludf.DUMMYFUNCTION("""COMPUTED_VALUE"""),"うたやま牡丹")</f>
        <v>うたやま牡丹</v>
      </c>
      <c r="I1779" s="75" t="str">
        <f>IFERROR(__xludf.DUMMYFUNCTION("""COMPUTED_VALUE"""),"TL")</f>
        <v>TL</v>
      </c>
      <c r="J1779" s="75"/>
      <c r="K1779" s="75"/>
      <c r="L1779" s="75" t="str">
        <f>IFERROR(__xludf.DUMMYFUNCTION("""COMPUTED_VALUE"""),"大洋図書")</f>
        <v>大洋図書</v>
      </c>
      <c r="M1779" s="59">
        <f>IFERROR(__xludf.DUMMYFUNCTION("""COMPUTED_VALUE"""),45513.0)</f>
        <v>45513</v>
      </c>
      <c r="N1779" s="59">
        <f>IFERROR(__xludf.DUMMYFUNCTION("""COMPUTED_VALUE"""),45603.0)</f>
        <v>45603</v>
      </c>
      <c r="O1779" s="69"/>
      <c r="P1779" s="80" t="str">
        <f>IFERROR(__xludf.DUMMYFUNCTION("""COMPUTED_VALUE"""),"可")</f>
        <v>可</v>
      </c>
      <c r="Q1779" s="72" t="str">
        <f>IFERROR(__xludf.DUMMYFUNCTION("""COMPUTED_VALUE"""),"広告コミットOK(6/27)
レーベル名は「恋＊COMACHI」となります（新規レーベル）（7/16）")</f>
        <v>広告コミットOK(6/27)
レーベル名は「恋＊COMACHI」となります（新規レーベル）（7/16）</v>
      </c>
      <c r="R1779" s="75"/>
      <c r="S1779" s="75" t="str">
        <f>IFERROR(__xludf.DUMMYFUNCTION("""COMPUTED_VALUE"""),"20240704_大洋図書_霊媒して、イカせて！")</f>
        <v>20240704_大洋図書_霊媒して、イカせて！</v>
      </c>
      <c r="T1779" s="75" t="str">
        <f>IFERROR(__xludf.DUMMYFUNCTION("""COMPUTED_VALUE"""),"格納済み")</f>
        <v>格納済み</v>
      </c>
      <c r="U1779" s="15" t="str">
        <f>IFERROR(__xludf.DUMMYFUNCTION("""COMPUTED_VALUE"""),"(C)うたやま牡丹／大洋図書")</f>
        <v>(C)うたやま牡丹／大洋図書</v>
      </c>
      <c r="V1779" s="8" t="str">
        <f>IFERROR(__xludf.DUMMYFUNCTION("""COMPUTED_VALUE"""),"「あなた、つかれてますよ？」
失恋に失業、失敗続きの桃真（とうま）は
公園で一人、悩んでいると
突然ミステリアスな女性に声を掛けられる。
霊視鑑定士と名乗る女性、紫羽子（しうこ）は
失敗が続いている原因は「霊が憑いてるからだ」と言い
疑いつつも浄霊をお願いすることに…
でもなぜか浄霊する為にはエッ◯をしなといけなくて…!?
果たして桃真は取り憑いている霊を上手く、イカせてあげることはできるのか!?")</f>
        <v>「あなた、つかれてますよ？」
失恋に失業、失敗続きの桃真（とうま）は
公園で一人、悩んでいると
突然ミステリアスな女性に声を掛けられる。
霊視鑑定士と名乗る女性、紫羽子（しうこ）は
失敗が続いている原因は「霊が憑いてるからだ」と言い
疑いつつも浄霊をお願いすることに…
でもなぜか浄霊する為にはエッ◯をしなといけなくて…!?
果たして桃真は取り憑いている霊を上手く、イカせてあげることはできるのか!?</v>
      </c>
      <c r="W1779" s="14"/>
      <c r="X1779" s="14" t="str">
        <f>IFERROR(__xludf.DUMMYFUNCTION("""COMPUTED_VALUE"""),"有")</f>
        <v>有</v>
      </c>
      <c r="Y1779" s="8" t="str">
        <f>IFERROR(__xludf.DUMMYFUNCTION("""COMPUTED_VALUE"""),"P6まで")</f>
        <v>P6まで</v>
      </c>
      <c r="Z1779" s="7"/>
      <c r="AA1779" s="7"/>
      <c r="AB1779" s="7"/>
    </row>
    <row r="1780" ht="15.75" customHeight="1">
      <c r="A1780" s="66">
        <f>IFERROR(__xludf.DUMMYFUNCTION("""COMPUTED_VALUE"""),3719.0)</f>
        <v>3719</v>
      </c>
      <c r="B1780" s="75" t="str">
        <f>IFERROR(__xludf.DUMMYFUNCTION("""COMPUTED_VALUE"""),"確定")</f>
        <v>確定</v>
      </c>
      <c r="C1780" s="68">
        <f>IFERROR(__xludf.DUMMYFUNCTION("""COMPUTED_VALUE"""),45470.0)</f>
        <v>45470</v>
      </c>
      <c r="D1780" s="68">
        <f>IFERROR(__xludf.DUMMYFUNCTION("""COMPUTED_VALUE"""),45482.0)</f>
        <v>45482</v>
      </c>
      <c r="E1780" s="31">
        <f>IFERROR(__xludf.DUMMYFUNCTION("""COMPUTED_VALUE"""),298743.0)</f>
        <v>298743</v>
      </c>
      <c r="F1780" s="31" t="str">
        <f>IFERROR(__xludf.DUMMYFUNCTION("""COMPUTED_VALUE"""),"夢見る妄想女子は腹黒王子と恋をする")</f>
        <v>夢見る妄想女子は腹黒王子と恋をする</v>
      </c>
      <c r="G1780" s="69" t="str">
        <f>IFERROR(__xludf.DUMMYFUNCTION("""COMPUTED_VALUE"""),"1～3")</f>
        <v>1～3</v>
      </c>
      <c r="H1780" s="75" t="str">
        <f>IFERROR(__xludf.DUMMYFUNCTION("""COMPUTED_VALUE"""),"子葉")</f>
        <v>子葉</v>
      </c>
      <c r="I1780" s="75" t="str">
        <f>IFERROR(__xludf.DUMMYFUNCTION("""COMPUTED_VALUE"""),"女性")</f>
        <v>女性</v>
      </c>
      <c r="J1780" s="75"/>
      <c r="K1780" s="75"/>
      <c r="L1780" s="75" t="str">
        <f>IFERROR(__xludf.DUMMYFUNCTION("""COMPUTED_VALUE"""),"MUGENUP")</f>
        <v>MUGENUP</v>
      </c>
      <c r="M1780" s="59">
        <f>IFERROR(__xludf.DUMMYFUNCTION("""COMPUTED_VALUE"""),45500.0)</f>
        <v>45500</v>
      </c>
      <c r="N1780" s="77">
        <f>IFERROR(__xludf.DUMMYFUNCTION("""COMPUTED_VALUE"""),45591.0)</f>
        <v>45591</v>
      </c>
      <c r="O1780" s="69"/>
      <c r="P1780" s="80" t="str">
        <f>IFERROR(__xludf.DUMMYFUNCTION("""COMPUTED_VALUE"""),"可")</f>
        <v>可</v>
      </c>
      <c r="Q1780" s="75" t="str">
        <f>IFERROR(__xludf.DUMMYFUNCTION("""COMPUTED_VALUE"""),"広告コミットOK(7/4)")</f>
        <v>広告コミットOK(7/4)</v>
      </c>
      <c r="R1780" s="75" t="str">
        <f>IFERROR(__xludf.DUMMYFUNCTION("""COMPUTED_VALUE"""),"格納済み")</f>
        <v>格納済み</v>
      </c>
      <c r="S1780" s="75" t="str">
        <f>IFERROR(__xludf.DUMMYFUNCTION("""COMPUTED_VALUE"""),"20240709_MUGENUP_夢見る妄想女子は腹黒王子と恋をする")</f>
        <v>20240709_MUGENUP_夢見る妄想女子は腹黒王子と恋をする</v>
      </c>
      <c r="T1780" s="75" t="str">
        <f>IFERROR(__xludf.DUMMYFUNCTION("""COMPUTED_VALUE"""),"格納済み")</f>
        <v>格納済み</v>
      </c>
      <c r="U1780" s="15" t="str">
        <f>IFERROR(__xludf.DUMMYFUNCTION("""COMPUTED_VALUE"""),"（C）子葉／MUGENUP")</f>
        <v>（C）子葉／MUGENUP</v>
      </c>
      <c r="V1780" s="8" t="str">
        <f>IFERROR(__xludf.DUMMYFUNCTION("""COMPUTED_VALUE"""),"美人で仕事もできて恋愛経験も豊富。男女問わず社内で人気の会社員・長沢咲茉の正体は、理想の“王子様”とのラブラブで甘い日々を夢見るだけの、恋愛経験ゼロ、脳内メルヘン妄想女だった！
仕事中でも思いついた妄想はすぐノートにメモするほど、“王子様”との恋を夢見る咲茉。「素の自分を受け入れてくれる王子様と出会うことはあるの…？」と思っていたある日、咲茉の勤め先に社長の息子・皇幹が異動してくる。彼は高身長・イケメン・御曹司と、まさしく“王子様”という言葉がぴったりで、可愛い照れ顔と素直な様子に咲茉のトキめきは止"&amp;"まらない。
ところが、歓迎会中に一人抜け出した皇幹は、どこかこれまでと違う雰囲気で――
“王子様”との甘い日々を夢見る妄想こじらせ女子×腹黒イケメン御曹司のはちゃめちゃオフィスラブコメディー！")</f>
        <v>美人で仕事もできて恋愛経験も豊富。男女問わず社内で人気の会社員・長沢咲茉の正体は、理想の“王子様”とのラブラブで甘い日々を夢見るだけの、恋愛経験ゼロ、脳内メルヘン妄想女だった！
仕事中でも思いついた妄想はすぐノートにメモするほど、“王子様”との恋を夢見る咲茉。「素の自分を受け入れてくれる王子様と出会うことはあるの…？」と思っていたある日、咲茉の勤め先に社長の息子・皇幹が異動してくる。彼は高身長・イケメン・御曹司と、まさしく“王子様”という言葉がぴったりで、可愛い照れ顔と素直な様子に咲茉のトキめきは止まらない。
ところが、歓迎会中に一人抜け出した皇幹は、どこかこれまでと違う雰囲気で――
“王子様”との甘い日々を夢見る妄想こじらせ女子×腹黒イケメン御曹司のはちゃめちゃオフィスラブコメディー！</v>
      </c>
      <c r="W1780" s="14"/>
      <c r="X1780" s="14" t="str">
        <f>IFERROR(__xludf.DUMMYFUNCTION("""COMPUTED_VALUE"""),"有")</f>
        <v>有</v>
      </c>
      <c r="Y1780" s="8" t="str">
        <f>IFERROR(__xludf.DUMMYFUNCTION("""COMPUTED_VALUE"""),"2024/8/12まで1巻無料")</f>
        <v>2024/8/12まで1巻無料</v>
      </c>
      <c r="Z1780" s="7"/>
      <c r="AA1780" s="7"/>
      <c r="AB1780" s="7"/>
    </row>
    <row r="1781" ht="15.75" customHeight="1">
      <c r="A1781" s="66">
        <f>IFERROR(__xludf.DUMMYFUNCTION("""COMPUTED_VALUE"""),3728.0)</f>
        <v>3728</v>
      </c>
      <c r="B1781" s="75" t="str">
        <f>IFERROR(__xludf.DUMMYFUNCTION("""COMPUTED_VALUE"""),"確定")</f>
        <v>確定</v>
      </c>
      <c r="C1781" s="68">
        <f>IFERROR(__xludf.DUMMYFUNCTION("""COMPUTED_VALUE"""),45475.0)</f>
        <v>45475</v>
      </c>
      <c r="D1781" s="68">
        <f>IFERROR(__xludf.DUMMYFUNCTION("""COMPUTED_VALUE"""),45482.0)</f>
        <v>45482</v>
      </c>
      <c r="E1781" s="26">
        <f>IFERROR(__xludf.DUMMYFUNCTION("""COMPUTED_VALUE"""),288714.0)</f>
        <v>288714</v>
      </c>
      <c r="F1781" s="31" t="str">
        <f>IFERROR(__xludf.DUMMYFUNCTION("""COMPUTED_VALUE"""),"だから私たちは恋ができない")</f>
        <v>だから私たちは恋ができない</v>
      </c>
      <c r="G1781" s="11" t="str">
        <f>IFERROR(__xludf.DUMMYFUNCTION("""COMPUTED_VALUE"""),"1～2")</f>
        <v>1～2</v>
      </c>
      <c r="H1781" s="75" t="str">
        <f>IFERROR(__xludf.DUMMYFUNCTION("""COMPUTED_VALUE"""),"ますだ悠")</f>
        <v>ますだ悠</v>
      </c>
      <c r="I1781" s="75" t="str">
        <f>IFERROR(__xludf.DUMMYFUNCTION("""COMPUTED_VALUE"""),"少女")</f>
        <v>少女</v>
      </c>
      <c r="J1781" s="75"/>
      <c r="K1781" s="75"/>
      <c r="L1781" s="75" t="str">
        <f>IFERROR(__xludf.DUMMYFUNCTION("""COMPUTED_VALUE"""),"ソルマーレ編集部")</f>
        <v>ソルマーレ編集部</v>
      </c>
      <c r="M1781" s="59">
        <f>IFERROR(__xludf.DUMMYFUNCTION("""COMPUTED_VALUE"""),45507.0)</f>
        <v>45507</v>
      </c>
      <c r="N1781" s="59">
        <f>IFERROR(__xludf.DUMMYFUNCTION("""COMPUTED_VALUE"""),45568.0)</f>
        <v>45568</v>
      </c>
      <c r="O1781" s="69"/>
      <c r="P1781" s="71" t="str">
        <f>IFERROR(__xludf.DUMMYFUNCTION("""COMPUTED_VALUE"""),"可")</f>
        <v>可</v>
      </c>
      <c r="Q1781" s="72"/>
      <c r="R1781" s="75"/>
      <c r="S1781" s="75" t="str">
        <f>IFERROR(__xludf.DUMMYFUNCTION("""COMPUTED_VALUE"""),"20240704_ソルマーレ編集部_だから私たちは恋ができない")</f>
        <v>20240704_ソルマーレ編集部_だから私たちは恋ができない</v>
      </c>
      <c r="T1781" s="75" t="str">
        <f>IFERROR(__xludf.DUMMYFUNCTION("""COMPUTED_VALUE"""),"格納済み")</f>
        <v>格納済み</v>
      </c>
      <c r="U1781" s="15" t="str">
        <f>IFERROR(__xludf.DUMMYFUNCTION("""COMPUTED_VALUE"""),"Ⓒ ますだ悠/シーモアコミックス")</f>
        <v>Ⓒ ますだ悠/シーモアコミックス</v>
      </c>
      <c r="V1781" s="8" t="str">
        <f>IFERROR(__xludf.DUMMYFUNCTION("""COMPUTED_VALUE"""),"ゲーム好きで仕事＜趣味を大事にしてきたヒロインのユキは、仕事はできるのに仕事に対しての熱量はなくもちろん彼氏もなし。元カレに言われたことにトラウマを抱え、周りは仕事や結婚、恋愛の環境で変わっていって自分だけいつまでもゲームをしていたいと置いていかれているような気持ちに戸惑っている。それなのに同期の仕事人間、影山（かげやま）はいちいち突っかかってきて、元カレのような仕事人間とは二度と付き合いたくないと思いつつも、一緒に仕事をするうちに彼の違う面も見えてきて…まさかの急接近！【恋するソワレ】")</f>
        <v>ゲーム好きで仕事＜趣味を大事にしてきたヒロインのユキは、仕事はできるのに仕事に対しての熱量はなくもちろん彼氏もなし。元カレに言われたことにトラウマを抱え、周りは仕事や結婚、恋愛の環境で変わっていって自分だけいつまでもゲームをしていたいと置いていかれているような気持ちに戸惑っている。それなのに同期の仕事人間、影山（かげやま）はいちいち突っかかってきて、元カレのような仕事人間とは二度と付き合いたくないと思いつつも、一緒に仕事をするうちに彼の違う面も見えてきて…まさかの急接近！【恋するソワレ】</v>
      </c>
      <c r="W1781" s="14"/>
      <c r="X1781" s="14" t="str">
        <f>IFERROR(__xludf.DUMMYFUNCTION("""COMPUTED_VALUE"""),"有")</f>
        <v>有</v>
      </c>
      <c r="Y1781" s="8" t="str">
        <f>IFERROR(__xludf.DUMMYFUNCTION("""COMPUTED_VALUE"""),"P7まで")</f>
        <v>P7まで</v>
      </c>
      <c r="Z1781" s="7"/>
      <c r="AA1781" s="7"/>
      <c r="AB1781" s="7"/>
    </row>
    <row r="1782" ht="15.75" customHeight="1">
      <c r="A1782" s="66">
        <f>IFERROR(__xludf.DUMMYFUNCTION("""COMPUTED_VALUE"""),3732.0)</f>
        <v>3732</v>
      </c>
      <c r="B1782" s="75" t="str">
        <f>IFERROR(__xludf.DUMMYFUNCTION("""COMPUTED_VALUE"""),"確定")</f>
        <v>確定</v>
      </c>
      <c r="C1782" s="68">
        <f>IFERROR(__xludf.DUMMYFUNCTION("""COMPUTED_VALUE"""),45476.0)</f>
        <v>45476</v>
      </c>
      <c r="D1782" s="68">
        <f>IFERROR(__xludf.DUMMYFUNCTION("""COMPUTED_VALUE"""),45478.0)</f>
        <v>45478</v>
      </c>
      <c r="E1782" s="31">
        <f>IFERROR(__xludf.DUMMYFUNCTION("""COMPUTED_VALUE"""),297701.0)</f>
        <v>297701</v>
      </c>
      <c r="F1782" s="52" t="str">
        <f>IFERROR(__xludf.DUMMYFUNCTION("""COMPUTED_VALUE"""),"幽霊城の旦那様［1話売り］")</f>
        <v>幽霊城の旦那様［1話売り］</v>
      </c>
      <c r="G1782" s="69" t="str">
        <f>IFERROR(__xludf.DUMMYFUNCTION("""COMPUTED_VALUE"""),"1～4")</f>
        <v>1～4</v>
      </c>
      <c r="H1782" s="75" t="str">
        <f>IFERROR(__xludf.DUMMYFUNCTION("""COMPUTED_VALUE"""),"柴宮幸")</f>
        <v>柴宮幸</v>
      </c>
      <c r="I1782" s="75" t="str">
        <f>IFERROR(__xludf.DUMMYFUNCTION("""COMPUTED_VALUE"""),"少女")</f>
        <v>少女</v>
      </c>
      <c r="J1782" s="75"/>
      <c r="K1782" s="75"/>
      <c r="L1782" s="75" t="str">
        <f>IFERROR(__xludf.DUMMYFUNCTION("""COMPUTED_VALUE"""),"白泉社")</f>
        <v>白泉社</v>
      </c>
      <c r="M1782" s="23">
        <f>IFERROR(__xludf.DUMMYFUNCTION("""COMPUTED_VALUE"""),45492.0)</f>
        <v>45492</v>
      </c>
      <c r="N1782" s="23">
        <f>IFERROR(__xludf.DUMMYFUNCTION("""COMPUTED_VALUE"""),45554.0)</f>
        <v>45554</v>
      </c>
      <c r="O1782" s="69"/>
      <c r="P1782" s="80" t="str">
        <f>IFERROR(__xludf.DUMMYFUNCTION("""COMPUTED_VALUE"""),"否")</f>
        <v>否</v>
      </c>
      <c r="Q1782" s="72" t="str">
        <f>IFERROR(__xludf.DUMMYFUNCTION("""COMPUTED_VALUE"""),"広告コミットOK(7/4)")</f>
        <v>広告コミットOK(7/4)</v>
      </c>
      <c r="R1782" s="75"/>
      <c r="S1782" s="75" t="str">
        <f>IFERROR(__xludf.DUMMYFUNCTION("""COMPUTED_VALUE"""),"20240704_白泉社_幽霊城の旦那様")</f>
        <v>20240704_白泉社_幽霊城の旦那様</v>
      </c>
      <c r="T1782" s="75" t="str">
        <f>IFERROR(__xludf.DUMMYFUNCTION("""COMPUTED_VALUE"""),"格納済み")</f>
        <v>格納済み</v>
      </c>
      <c r="U1782" s="15" t="str">
        <f>IFERROR(__xludf.DUMMYFUNCTION("""COMPUTED_VALUE"""),"Ⓒ柴宮幸/白泉社")</f>
        <v>Ⓒ柴宮幸/白泉社</v>
      </c>
      <c r="V1782" s="8" t="str">
        <f>IFERROR(__xludf.DUMMYFUNCTION("""COMPUTED_VALUE"""),"「君にはある役目を果たして頂きたい　死んでも出る事は出来ませんよ　城主の私が居る限り」――恐ろしい噂渦巻く“幽霊城”に嫁ぐことになってしまった我儘ご令嬢・ミラ。世間では自身の我儘がたたり不敬罪で死んだことになっていて逃げ場もない…！　まるで幽霊のような城主・リハルト様の世継ぎを設けることがミラの「役目」だというけれど…！？　最恐夫婦のマリッジコメディ、開幕！(この話は、【電子版】花とゆめ 2号（2024年）に収録されています。)")</f>
        <v>「君にはある役目を果たして頂きたい　死んでも出る事は出来ませんよ　城主の私が居る限り」――恐ろしい噂渦巻く“幽霊城”に嫁ぐことになってしまった我儘ご令嬢・ミラ。世間では自身の我儘がたたり不敬罪で死んだことになっていて逃げ場もない…！　まるで幽霊のような城主・リハルト様の世継ぎを設けることがミラの「役目」だというけれど…！？　最恐夫婦のマリッジコメディ、開幕！(この話は、【電子版】花とゆめ 2号（2024年）に収録されています。)</v>
      </c>
      <c r="W1782" s="14"/>
      <c r="X1782" s="14" t="str">
        <f>IFERROR(__xludf.DUMMYFUNCTION("""COMPUTED_VALUE"""),"有")</f>
        <v>有</v>
      </c>
      <c r="Y1782" s="8" t="str">
        <f>IFERROR(__xludf.DUMMYFUNCTION("""COMPUTED_VALUE"""),"P10まで")</f>
        <v>P10まで</v>
      </c>
      <c r="Z1782" s="7"/>
      <c r="AA1782" s="7"/>
      <c r="AB1782" s="7"/>
    </row>
    <row r="1783" ht="112.5" customHeight="1">
      <c r="A1783" s="66">
        <f>IFERROR(__xludf.DUMMYFUNCTION("""COMPUTED_VALUE"""),3736.0)</f>
        <v>3736</v>
      </c>
      <c r="B1783" s="75" t="str">
        <f>IFERROR(__xludf.DUMMYFUNCTION("""COMPUTED_VALUE"""),"確定")</f>
        <v>確定</v>
      </c>
      <c r="C1783" s="68">
        <f>IFERROR(__xludf.DUMMYFUNCTION("""COMPUTED_VALUE"""),45476.0)</f>
        <v>45476</v>
      </c>
      <c r="D1783" s="68">
        <f>IFERROR(__xludf.DUMMYFUNCTION("""COMPUTED_VALUE"""),45478.0)</f>
        <v>45478</v>
      </c>
      <c r="E1783" s="31">
        <f>IFERROR(__xludf.DUMMYFUNCTION("""COMPUTED_VALUE"""),297903.0)</f>
        <v>297903</v>
      </c>
      <c r="F1783" s="31" t="str">
        <f>IFERROR(__xludf.DUMMYFUNCTION("""COMPUTED_VALUE"""),"王室皇女は性的に見られたい")</f>
        <v>王室皇女は性的に見られたい</v>
      </c>
      <c r="G1783" s="69" t="str">
        <f>IFERROR(__xludf.DUMMYFUNCTION("""COMPUTED_VALUE"""),"1～5")</f>
        <v>1～5</v>
      </c>
      <c r="H1783" s="75" t="str">
        <f>IFERROR(__xludf.DUMMYFUNCTION("""COMPUTED_VALUE"""),"青星早苗/山口しずか/booklistaSTUDIO")</f>
        <v>青星早苗/山口しずか/booklistaSTUDIO</v>
      </c>
      <c r="I1783" s="75" t="str">
        <f>IFERROR(__xludf.DUMMYFUNCTION("""COMPUTED_VALUE"""),"少女")</f>
        <v>少女</v>
      </c>
      <c r="J1783" s="75"/>
      <c r="K1783" s="75"/>
      <c r="L1783" s="75" t="str">
        <f>IFERROR(__xludf.DUMMYFUNCTION("""COMPUTED_VALUE"""),"SBクリエイティブ")</f>
        <v>SBクリエイティブ</v>
      </c>
      <c r="M1783" s="59">
        <f>IFERROR(__xludf.DUMMYFUNCTION("""COMPUTED_VALUE"""),45500.0)</f>
        <v>45500</v>
      </c>
      <c r="N1783" s="47">
        <f>IFERROR(__xludf.DUMMYFUNCTION("""COMPUTED_VALUE"""),45562.0)</f>
        <v>45562</v>
      </c>
      <c r="O1783" s="69"/>
      <c r="P1783" s="80" t="str">
        <f>IFERROR(__xludf.DUMMYFUNCTION("""COMPUTED_VALUE"""),"可")</f>
        <v>可</v>
      </c>
      <c r="Q1783" s="72" t="str">
        <f>IFERROR(__xludf.DUMMYFUNCTION("""COMPUTED_VALUE"""),"・タテヨミはLINEマンガで配信されています。版面はシーモア独占先行です。")</f>
        <v>・タテヨミはLINEマンガで配信されています。版面はシーモア独占先行です。</v>
      </c>
      <c r="R1783" s="75"/>
      <c r="S1783" s="75" t="str">
        <f>IFERROR(__xludf.DUMMYFUNCTION("""COMPUTED_VALUE"""),"20240703_SBクリエイティブ_王室皇女は性的に見られたい")</f>
        <v>20240703_SBクリエイティブ_王室皇女は性的に見られたい</v>
      </c>
      <c r="T1783" s="75" t="str">
        <f>IFERROR(__xludf.DUMMYFUNCTION("""COMPUTED_VALUE"""),"格納済み")</f>
        <v>格納済み</v>
      </c>
      <c r="U1783" s="15" t="str">
        <f>IFERROR(__xludf.DUMMYFUNCTION("""COMPUTED_VALUE"""),"©booklistaSTUDIO")</f>
        <v>©booklistaSTUDIO</v>
      </c>
      <c r="V1783" s="8" t="str">
        <f>IFERROR(__xludf.DUMMYFUNCTION("""COMPUTED_VALUE"""),"婚約者の浮気が発覚ししたことで、コンプレックスを大いに拗らせてしまった皇女ベアトリス。自分のことを〝性的に見てくれる〟男性を求めて訪れた舞踏会で、隣国の王子・フランツとの運命の出会いを果たし・・・性的に見て欲しい皇女と、性的な誤解を解きたい王子の、学園ロマンスコメディ")</f>
        <v>婚約者の浮気が発覚ししたことで、コンプレックスを大いに拗らせてしまった皇女ベアトリス。自分のことを〝性的に見てくれる〟男性を求めて訪れた舞踏会で、隣国の王子・フランツとの運命の出会いを果たし・・・性的に見て欲しい皇女と、性的な誤解を解きたい王子の、学園ロマンスコメディ</v>
      </c>
      <c r="W1783" s="14"/>
      <c r="X1783" s="14" t="str">
        <f>IFERROR(__xludf.DUMMYFUNCTION("""COMPUTED_VALUE"""),"有")</f>
        <v>有</v>
      </c>
      <c r="Y1783" s="8" t="str">
        <f>IFERROR(__xludf.DUMMYFUNCTION("""COMPUTED_VALUE"""),"2024/8/12まで1巻無料")</f>
        <v>2024/8/12まで1巻無料</v>
      </c>
      <c r="Z1783" s="7"/>
      <c r="AA1783" s="7"/>
      <c r="AB1783" s="7"/>
    </row>
    <row r="1784" ht="15.75" customHeight="1">
      <c r="A1784" s="66">
        <f>IFERROR(__xludf.DUMMYFUNCTION("""COMPUTED_VALUE"""),3743.0)</f>
        <v>3743</v>
      </c>
      <c r="B1784" s="75" t="str">
        <f>IFERROR(__xludf.DUMMYFUNCTION("""COMPUTED_VALUE"""),"確定")</f>
        <v>確定</v>
      </c>
      <c r="C1784" s="68">
        <f>IFERROR(__xludf.DUMMYFUNCTION("""COMPUTED_VALUE"""),45477.0)</f>
        <v>45477</v>
      </c>
      <c r="D1784" s="68">
        <f>IFERROR(__xludf.DUMMYFUNCTION("""COMPUTED_VALUE"""),45478.0)</f>
        <v>45478</v>
      </c>
      <c r="E1784" s="31">
        <f>IFERROR(__xludf.DUMMYFUNCTION("""COMPUTED_VALUE"""),297618.0)</f>
        <v>297618</v>
      </c>
      <c r="F1784" s="31" t="str">
        <f>IFERROR(__xludf.DUMMYFUNCTION("""COMPUTED_VALUE"""),"おひとり様には慣れましたので。 婚約者放置中！【イラスト特典付】【シーモア限定特典付き】")</f>
        <v>おひとり様には慣れましたので。 婚約者放置中！【イラスト特典付】【シーモア限定特典付き】</v>
      </c>
      <c r="G1784" s="69">
        <f>IFERROR(__xludf.DUMMYFUNCTION("""COMPUTED_VALUE"""),1.0)</f>
        <v>1</v>
      </c>
      <c r="H1784" s="75" t="str">
        <f>IFERROR(__xludf.DUMMYFUNCTION("""COMPUTED_VALUE"""),"晴田巡 / 荒瀬ヤヒロ")</f>
        <v>晴田巡 / 荒瀬ヤヒロ</v>
      </c>
      <c r="I1784" s="75" t="str">
        <f>IFERROR(__xludf.DUMMYFUNCTION("""COMPUTED_VALUE"""),"少女")</f>
        <v>少女</v>
      </c>
      <c r="J1784" s="75"/>
      <c r="K1784" s="75"/>
      <c r="L1784" s="75" t="str">
        <f>IFERROR(__xludf.DUMMYFUNCTION("""COMPUTED_VALUE"""),"一迅社")</f>
        <v>一迅社</v>
      </c>
      <c r="M1784" s="47">
        <f>IFERROR(__xludf.DUMMYFUNCTION("""COMPUTED_VALUE"""),45499.0)</f>
        <v>45499</v>
      </c>
      <c r="N1784" s="23">
        <f>IFERROR(__xludf.DUMMYFUNCTION("""COMPUTED_VALUE"""),45548.0)</f>
        <v>45548</v>
      </c>
      <c r="O1784" s="69"/>
      <c r="P1784" s="80" t="str">
        <f>IFERROR(__xludf.DUMMYFUNCTION("""COMPUTED_VALUE"""),"否")</f>
        <v>否</v>
      </c>
      <c r="Q1784" s="72" t="str">
        <f>IFERROR(__xludf.DUMMYFUNCTION("""COMPUTED_VALUE"""),"・単話の1～5話が収録されます。")</f>
        <v>・単話の1～5話が収録されます。</v>
      </c>
      <c r="R1784" s="75"/>
      <c r="S1784" s="75" t="str">
        <f>IFERROR(__xludf.DUMMYFUNCTION("""COMPUTED_VALUE"""),"20240704_一迅社_おひとり様には慣れましたので。 婚約者放置中！")</f>
        <v>20240704_一迅社_おひとり様には慣れましたので。 婚約者放置中！</v>
      </c>
      <c r="T1784" s="75" t="str">
        <f>IFERROR(__xludf.DUMMYFUNCTION("""COMPUTED_VALUE"""),"格納済み")</f>
        <v>格納済み</v>
      </c>
      <c r="U1784" s="15" t="str">
        <f>IFERROR(__xludf.DUMMYFUNCTION("""COMPUTED_VALUE"""),"(C)晴田巡・荒瀬ヤヒロ／一迅社")</f>
        <v>(C)晴田巡・荒瀬ヤヒロ／一迅社</v>
      </c>
      <c r="V1784" s="8" t="str">
        <f>IFERROR(__xludf.DUMMYFUNCTION("""COMPUTED_VALUE"""),"もう期待しない───。だって“おひとり様”って最高なんだもの！伯爵令嬢ニコルの婚約者ケイオスは、いつでも幼馴染のキャロライン王女のことばかり。学園のイベントなどには婚約者と一緒に参加するのが一般的だが、ケイオスはいつも王女のそばにいるため、ニコルは自身がないがしろにされることに慣れてしまっている。常日頃からケイオスから放置されてきた結果、ニコルは「向こうが好きにしているのだから、こちらも好きにすればいいんだわ！」と“おひとり様”に目覚めてしまい──？実は両片想いをこじらせているニコルとケイオス。すれ違う2"&amp;"人に未来はあるのか…！？話題沸騰中の新しい令嬢物語、約30ページの描き下ろしを収録した待望の第1巻！　※本コンテンツには、コミックシーモア限定特典が付与されています。")</f>
        <v>もう期待しない───。だって“おひとり様”って最高なんだもの！伯爵令嬢ニコルの婚約者ケイオスは、いつでも幼馴染のキャロライン王女のことばかり。学園のイベントなどには婚約者と一緒に参加するのが一般的だが、ケイオスはいつも王女のそばにいるため、ニコルは自身がないがしろにされることに慣れてしまっている。常日頃からケイオスから放置されてきた結果、ニコルは「向こうが好きにしているのだから、こちらも好きにすればいいんだわ！」と“おひとり様”に目覚めてしまい──？実は両片想いをこじらせているニコルとケイオス。すれ違う2人に未来はあるのか…！？話題沸騰中の新しい令嬢物語、約30ページの描き下ろしを収録した待望の第1巻！　※本コンテンツには、コミックシーモア限定特典が付与されています。</v>
      </c>
      <c r="W1784" s="14"/>
      <c r="X1784" s="14" t="str">
        <f>IFERROR(__xludf.DUMMYFUNCTION("""COMPUTED_VALUE"""),"有")</f>
        <v>有</v>
      </c>
      <c r="Y1784" s="8" t="str">
        <f>IFERROR(__xludf.DUMMYFUNCTION("""COMPUTED_VALUE"""),"P35まで")</f>
        <v>P35まで</v>
      </c>
      <c r="Z1784" s="7"/>
      <c r="AA1784" s="7"/>
      <c r="AB1784" s="7"/>
    </row>
    <row r="1785" ht="15.75" customHeight="1">
      <c r="A1785" s="66">
        <f>IFERROR(__xludf.DUMMYFUNCTION("""COMPUTED_VALUE"""),3744.0)</f>
        <v>3744</v>
      </c>
      <c r="B1785" s="75" t="str">
        <f>IFERROR(__xludf.DUMMYFUNCTION("""COMPUTED_VALUE"""),"確定")</f>
        <v>確定</v>
      </c>
      <c r="C1785" s="68">
        <f>IFERROR(__xludf.DUMMYFUNCTION("""COMPUTED_VALUE"""),45478.0)</f>
        <v>45478</v>
      </c>
      <c r="D1785" s="68">
        <f>IFERROR(__xludf.DUMMYFUNCTION("""COMPUTED_VALUE"""),45481.0)</f>
        <v>45481</v>
      </c>
      <c r="E1785" s="31">
        <f>IFERROR(__xludf.DUMMYFUNCTION("""COMPUTED_VALUE"""),299548.0)</f>
        <v>299548</v>
      </c>
      <c r="F1785" s="31" t="str">
        <f>IFERROR(__xludf.DUMMYFUNCTION("""COMPUTED_VALUE"""),"国王たちの結婚")</f>
        <v>国王たちの結婚</v>
      </c>
      <c r="G1785" s="69" t="str">
        <f>IFERROR(__xludf.DUMMYFUNCTION("""COMPUTED_VALUE"""),"1～3")</f>
        <v>1～3</v>
      </c>
      <c r="H1785" s="75" t="str">
        <f>IFERROR(__xludf.DUMMYFUNCTION("""COMPUTED_VALUE"""),"とお子")</f>
        <v>とお子</v>
      </c>
      <c r="I1785" s="75" t="str">
        <f>IFERROR(__xludf.DUMMYFUNCTION("""COMPUTED_VALUE"""),"BL")</f>
        <v>BL</v>
      </c>
      <c r="J1785" s="75"/>
      <c r="K1785" s="75"/>
      <c r="L1785" s="75" t="str">
        <f>IFERROR(__xludf.DUMMYFUNCTION("""COMPUTED_VALUE"""),"ガラン")</f>
        <v>ガラン</v>
      </c>
      <c r="M1785" s="59">
        <f>IFERROR(__xludf.DUMMYFUNCTION("""COMPUTED_VALUE"""),45518.0)</f>
        <v>45518</v>
      </c>
      <c r="N1785" s="73">
        <f>IFERROR(__xludf.DUMMYFUNCTION("""COMPUTED_VALUE"""),45609.0)</f>
        <v>45609</v>
      </c>
      <c r="O1785" s="69"/>
      <c r="P1785" s="80" t="str">
        <f>IFERROR(__xludf.DUMMYFUNCTION("""COMPUTED_VALUE"""),"可")</f>
        <v>可</v>
      </c>
      <c r="Q1785" s="72" t="str">
        <f>IFERROR(__xludf.DUMMYFUNCTION("""COMPUTED_VALUE"""),"こちら出稿可否に関わらず先行3か月いただけますので、可能であれば出稿をお願いします")</f>
        <v>こちら出稿可否に関わらず先行3か月いただけますので、可能であれば出稿をお願いします</v>
      </c>
      <c r="R1785" s="75"/>
      <c r="S1785" s="75" t="str">
        <f>IFERROR(__xludf.DUMMYFUNCTION("""COMPUTED_VALUE"""),"20240705_ガラン_国王たちの結婚")</f>
        <v>20240705_ガラン_国王たちの結婚</v>
      </c>
      <c r="T1785" s="82" t="str">
        <f>IFERROR(__xludf.DUMMYFUNCTION("""COMPUTED_VALUE"""),"格納済み")</f>
        <v>格納済み</v>
      </c>
      <c r="U1785" s="15" t="str">
        <f>IFERROR(__xludf.DUMMYFUNCTION("""COMPUTED_VALUE"""),"©とお子／Boys Shangri-La")</f>
        <v>©とお子／Boys Shangri-La</v>
      </c>
      <c r="V1785" s="8" t="str">
        <f>IFERROR(__xludf.DUMMYFUNCTION("""COMPUTED_VALUE"""),"国王×国王――前代未聞のハイスペックBL開幕！
疫病により力が弱まった東西の国の王、カムイとリヒド。「東西の国王が結ばれることで互いの国は栄える」という神託により、国同士は大混乱!?
幼なじみでもあるふたりは、国のためならばと覚悟を決める。しかし、初夜はどちらが「抱かれる」方なのか…そしてお互いの不器用な思いは、立場上すれ違ってしまい…!?")</f>
        <v>国王×国王――前代未聞のハイスペックBL開幕！
疫病により力が弱まった東西の国の王、カムイとリヒド。「東西の国王が結ばれることで互いの国は栄える」という神託により、国同士は大混乱!?
幼なじみでもあるふたりは、国のためならばと覚悟を決める。しかし、初夜はどちらが「抱かれる」方なのか…そしてお互いの不器用な思いは、立場上すれ違ってしまい…!?</v>
      </c>
      <c r="W1785" s="14"/>
      <c r="X1785" s="14" t="str">
        <f>IFERROR(__xludf.DUMMYFUNCTION("""COMPUTED_VALUE"""),"有")</f>
        <v>有</v>
      </c>
      <c r="Y1785" s="8" t="str">
        <f>IFERROR(__xludf.DUMMYFUNCTION("""COMPUTED_VALUE"""),"1巻無料")</f>
        <v>1巻無料</v>
      </c>
      <c r="Z1785" s="7"/>
      <c r="AA1785" s="7"/>
      <c r="AB1785" s="7"/>
    </row>
    <row r="1786" ht="15.75" customHeight="1">
      <c r="A1786" s="66">
        <f>IFERROR(__xludf.DUMMYFUNCTION("""COMPUTED_VALUE"""),3745.0)</f>
        <v>3745</v>
      </c>
      <c r="B1786" s="75" t="str">
        <f>IFERROR(__xludf.DUMMYFUNCTION("""COMPUTED_VALUE"""),"確定")</f>
        <v>確定</v>
      </c>
      <c r="C1786" s="68">
        <f>IFERROR(__xludf.DUMMYFUNCTION("""COMPUTED_VALUE"""),45478.0)</f>
        <v>45478</v>
      </c>
      <c r="D1786" s="68">
        <f>IFERROR(__xludf.DUMMYFUNCTION("""COMPUTED_VALUE"""),45481.0)</f>
        <v>45481</v>
      </c>
      <c r="E1786" s="31">
        <f>IFERROR(__xludf.DUMMYFUNCTION("""COMPUTED_VALUE"""),299549.0)</f>
        <v>299549</v>
      </c>
      <c r="F1786" s="31" t="str">
        <f>IFERROR(__xludf.DUMMYFUNCTION("""COMPUTED_VALUE"""),"ワンウィーク・ナイト・フィーバー")</f>
        <v>ワンウィーク・ナイト・フィーバー</v>
      </c>
      <c r="G1786" s="69" t="str">
        <f>IFERROR(__xludf.DUMMYFUNCTION("""COMPUTED_VALUE"""),"1～3")</f>
        <v>1～3</v>
      </c>
      <c r="H1786" s="75" t="str">
        <f>IFERROR(__xludf.DUMMYFUNCTION("""COMPUTED_VALUE"""),"乃木津ゆう")</f>
        <v>乃木津ゆう</v>
      </c>
      <c r="I1786" s="75" t="str">
        <f>IFERROR(__xludf.DUMMYFUNCTION("""COMPUTED_VALUE"""),"BL")</f>
        <v>BL</v>
      </c>
      <c r="J1786" s="75"/>
      <c r="K1786" s="75"/>
      <c r="L1786" s="75" t="str">
        <f>IFERROR(__xludf.DUMMYFUNCTION("""COMPUTED_VALUE"""),"ガラン")</f>
        <v>ガラン</v>
      </c>
      <c r="M1786" s="59">
        <f>IFERROR(__xludf.DUMMYFUNCTION("""COMPUTED_VALUE"""),45518.0)</f>
        <v>45518</v>
      </c>
      <c r="N1786" s="73">
        <f>IFERROR(__xludf.DUMMYFUNCTION("""COMPUTED_VALUE"""),45609.0)</f>
        <v>45609</v>
      </c>
      <c r="O1786" s="69"/>
      <c r="P1786" s="80" t="str">
        <f>IFERROR(__xludf.DUMMYFUNCTION("""COMPUTED_VALUE"""),"可")</f>
        <v>可</v>
      </c>
      <c r="Q1786" s="72" t="str">
        <f>IFERROR(__xludf.DUMMYFUNCTION("""COMPUTED_VALUE"""),"出稿可否に関わらず先行をいただけます。可能であれば出稿をお願いします。")</f>
        <v>出稿可否に関わらず先行をいただけます。可能であれば出稿をお願いします。</v>
      </c>
      <c r="R1786" s="75"/>
      <c r="S1786" s="75" t="str">
        <f>IFERROR(__xludf.DUMMYFUNCTION("""COMPUTED_VALUE"""),"20240705_ガラン_ワンウィーク・ナイト・フィーバー")</f>
        <v>20240705_ガラン_ワンウィーク・ナイト・フィーバー</v>
      </c>
      <c r="T1786" s="75" t="str">
        <f>IFERROR(__xludf.DUMMYFUNCTION("""COMPUTED_VALUE"""),"格納済み")</f>
        <v>格納済み</v>
      </c>
      <c r="U1786" s="15" t="str">
        <f>IFERROR(__xludf.DUMMYFUNCTION("""COMPUTED_VALUE"""),"©乃木津ゆう／Boys Shangri-La")</f>
        <v>©乃木津ゆう／Boys Shangri-La</v>
      </c>
      <c r="V1786" s="8" t="str">
        <f>IFERROR(__xludf.DUMMYFUNCTION("""COMPUTED_VALUE"""),"「君を一週間分、買い占めたから。」ウリ専風俗の超太客の正体はーー!?
ウリ専でバイトしながら自堕落に暮らす翼は、ある日新規客から高級ホテルに呼び出される。そこで待っていたのは、人気俳優として活躍する匠海だった。実は古い知り合いの２人。一度は拒んだ翼だったが、すると匠海は翼の1週間分のシフトをすべて買い取り、スイートルームに監禁するという強硬手段を決行し――!?")</f>
        <v>「君を一週間分、買い占めたから。」ウリ専風俗の超太客の正体はーー!?
ウリ専でバイトしながら自堕落に暮らす翼は、ある日新規客から高級ホテルに呼び出される。そこで待っていたのは、人気俳優として活躍する匠海だった。実は古い知り合いの２人。一度は拒んだ翼だったが、すると匠海は翼の1週間分のシフトをすべて買い取り、スイートルームに監禁するという強硬手段を決行し――!?</v>
      </c>
      <c r="W1786" s="14"/>
      <c r="X1786" s="14" t="str">
        <f>IFERROR(__xludf.DUMMYFUNCTION("""COMPUTED_VALUE"""),"有")</f>
        <v>有</v>
      </c>
      <c r="Y1786" s="8" t="str">
        <f>IFERROR(__xludf.DUMMYFUNCTION("""COMPUTED_VALUE"""),"1巻無料")</f>
        <v>1巻無料</v>
      </c>
      <c r="Z1786" s="7"/>
      <c r="AA1786" s="7"/>
      <c r="AB1786" s="7"/>
    </row>
    <row r="1787" ht="203.25" customHeight="1">
      <c r="A1787" s="66">
        <f>IFERROR(__xludf.DUMMYFUNCTION("""COMPUTED_VALUE"""),3749.0)</f>
        <v>3749</v>
      </c>
      <c r="B1787" s="75" t="str">
        <f>IFERROR(__xludf.DUMMYFUNCTION("""COMPUTED_VALUE"""),"確定")</f>
        <v>確定</v>
      </c>
      <c r="C1787" s="68">
        <f>IFERROR(__xludf.DUMMYFUNCTION("""COMPUTED_VALUE"""),45481.0)</f>
        <v>45481</v>
      </c>
      <c r="D1787" s="68">
        <f>IFERROR(__xludf.DUMMYFUNCTION("""COMPUTED_VALUE"""),45482.0)</f>
        <v>45482</v>
      </c>
      <c r="E1787" s="31">
        <f>IFERROR(__xludf.DUMMYFUNCTION("""COMPUTED_VALUE"""),299356.0)</f>
        <v>299356</v>
      </c>
      <c r="F1787" s="31" t="str">
        <f>IFERROR(__xludf.DUMMYFUNCTION("""COMPUTED_VALUE"""),"リベンジ×エッチ")</f>
        <v>リベンジ×エッチ</v>
      </c>
      <c r="G1787" s="69" t="str">
        <f>IFERROR(__xludf.DUMMYFUNCTION("""COMPUTED_VALUE"""),"1～4")</f>
        <v>1～4</v>
      </c>
      <c r="H1787" s="75" t="str">
        <f>IFERROR(__xludf.DUMMYFUNCTION("""COMPUTED_VALUE"""),"L.N.brush/Back seokju/Working Stiff")</f>
        <v>L.N.brush/Back seokju/Working Stiff</v>
      </c>
      <c r="I1787" s="75" t="str">
        <f>IFERROR(__xludf.DUMMYFUNCTION("""COMPUTED_VALUE"""),"青年")</f>
        <v>青年</v>
      </c>
      <c r="J1787" s="75"/>
      <c r="K1787" s="75"/>
      <c r="L1787" s="75" t="str">
        <f>IFERROR(__xludf.DUMMYFUNCTION("""COMPUTED_VALUE"""),"Rush!")</f>
        <v>Rush!</v>
      </c>
      <c r="M1787" s="59">
        <f>IFERROR(__xludf.DUMMYFUNCTION("""COMPUTED_VALUE"""),45520.0)</f>
        <v>45520</v>
      </c>
      <c r="N1787" s="77">
        <f>IFERROR(__xludf.DUMMYFUNCTION("""COMPUTED_VALUE"""),45610.0)</f>
        <v>45610</v>
      </c>
      <c r="O1787" s="69"/>
      <c r="P1787" s="71" t="str">
        <f>IFERROR(__xludf.DUMMYFUNCTION("""COMPUTED_VALUE"""),"可")</f>
        <v>可</v>
      </c>
      <c r="Q1787" s="72"/>
      <c r="R1787" s="75"/>
      <c r="S1787" s="75" t="str">
        <f>IFERROR(__xludf.DUMMYFUNCTION("""COMPUTED_VALUE"""),"20240708_ファンギルド_リベンジ×エッチ")</f>
        <v>20240708_ファンギルド_リベンジ×エッチ</v>
      </c>
      <c r="T1787" s="75" t="str">
        <f>IFERROR(__xludf.DUMMYFUNCTION("""COMPUTED_VALUE"""),"格納済み")</f>
        <v>格納済み</v>
      </c>
      <c r="U1787" s="15" t="str">
        <f>IFERROR(__xludf.DUMMYFUNCTION("""COMPUTED_VALUE"""),"©L.N.brush/Back seokju/Working Stiff/TOPTOON")</f>
        <v>©L.N.brush/Back seokju/Working Stiff/TOPTOON</v>
      </c>
      <c r="V1787" s="8" t="str">
        <f>IFERROR(__xludf.DUMMYFUNCTION("""COMPUTED_VALUE"""),"15年もの歳月を野球に捧げてきた宮下柊吾（みやしたしゅうご）。輝きに満ちていたはずの未来は、肩の故障とともに無慈悲に閉ざされてしまう。一気に人生のどん底へと叩き落とされた柊吾は、無気力に日々を生きていた。しかし、そんな希望一つない日々に、ある日一筋の光が差す。それは、自分の人生を踏みにじった女・園田花乃音（そのだはのん）との再会。――終わったはずの人生に再び火が灯る。復讐という名の火が…。")</f>
        <v>15年もの歳月を野球に捧げてきた宮下柊吾（みやしたしゅうご）。輝きに満ちていたはずの未来は、肩の故障とともに無慈悲に閉ざされてしまう。一気に人生のどん底へと叩き落とされた柊吾は、無気力に日々を生きていた。しかし、そんな希望一つない日々に、ある日一筋の光が差す。それは、自分の人生を踏みにじった女・園田花乃音（そのだはのん）との再会。――終わったはずの人生に再び火が灯る。復讐という名の火が…。</v>
      </c>
      <c r="W1787" s="14"/>
      <c r="X1787" s="14" t="str">
        <f>IFERROR(__xludf.DUMMYFUNCTION("""COMPUTED_VALUE"""),"有")</f>
        <v>有</v>
      </c>
      <c r="Y1787" s="8" t="str">
        <f>IFERROR(__xludf.DUMMYFUNCTION("""COMPUTED_VALUE"""),"1巻目無料（8/29まで）
1巻目半額（8/29まで）")</f>
        <v>1巻目無料（8/29まで）
1巻目半額（8/29まで）</v>
      </c>
      <c r="Z1787" s="7"/>
      <c r="AA1787" s="7"/>
      <c r="AB1787" s="7"/>
    </row>
    <row r="1788" ht="15.75" customHeight="1">
      <c r="A1788" s="66">
        <f>IFERROR(__xludf.DUMMYFUNCTION("""COMPUTED_VALUE"""),3750.0)</f>
        <v>3750</v>
      </c>
      <c r="B1788" s="75" t="str">
        <f>IFERROR(__xludf.DUMMYFUNCTION("""COMPUTED_VALUE"""),"確定")</f>
        <v>確定</v>
      </c>
      <c r="C1788" s="68">
        <f>IFERROR(__xludf.DUMMYFUNCTION("""COMPUTED_VALUE"""),45481.0)</f>
        <v>45481</v>
      </c>
      <c r="D1788" s="68">
        <f>IFERROR(__xludf.DUMMYFUNCTION("""COMPUTED_VALUE"""),45482.0)</f>
        <v>45482</v>
      </c>
      <c r="E1788" s="31">
        <f>IFERROR(__xludf.DUMMYFUNCTION("""COMPUTED_VALUE"""),299354.0)</f>
        <v>299354</v>
      </c>
      <c r="F1788" s="31" t="str">
        <f>IFERROR(__xludf.DUMMYFUNCTION("""COMPUTED_VALUE"""),"牡丹香")</f>
        <v>牡丹香</v>
      </c>
      <c r="G1788" s="69" t="str">
        <f>IFERROR(__xludf.DUMMYFUNCTION("""COMPUTED_VALUE"""),"1～4")</f>
        <v>1～4</v>
      </c>
      <c r="H1788" s="75" t="str">
        <f>IFERROR(__xludf.DUMMYFUNCTION("""COMPUTED_VALUE"""),"Shin Yuri/Winterbaum")</f>
        <v>Shin Yuri/Winterbaum</v>
      </c>
      <c r="I1788" s="75" t="str">
        <f>IFERROR(__xludf.DUMMYFUNCTION("""COMPUTED_VALUE"""),"BL")</f>
        <v>BL</v>
      </c>
      <c r="J1788" s="75"/>
      <c r="K1788" s="75"/>
      <c r="L1788" s="75" t="str">
        <f>IFERROR(__xludf.DUMMYFUNCTION("""COMPUTED_VALUE"""),"Rush!")</f>
        <v>Rush!</v>
      </c>
      <c r="M1788" s="59">
        <f>IFERROR(__xludf.DUMMYFUNCTION("""COMPUTED_VALUE"""),45520.0)</f>
        <v>45520</v>
      </c>
      <c r="N1788" s="59">
        <f>IFERROR(__xludf.DUMMYFUNCTION("""COMPUTED_VALUE"""),45547.0)</f>
        <v>45547</v>
      </c>
      <c r="O1788" s="69"/>
      <c r="P1788" s="71" t="str">
        <f>IFERROR(__xludf.DUMMYFUNCTION("""COMPUTED_VALUE"""),"可")</f>
        <v>可</v>
      </c>
      <c r="Q1788" s="72"/>
      <c r="R1788" s="83"/>
      <c r="S1788" s="75" t="str">
        <f>IFERROR(__xludf.DUMMYFUNCTION("""COMPUTED_VALUE"""),"20240725_ファンギルド_牡丹香	")</f>
        <v>20240725_ファンギルド_牡丹香	</v>
      </c>
      <c r="T1788" s="75" t="str">
        <f>IFERROR(__xludf.DUMMYFUNCTION("""COMPUTED_VALUE"""),"格納済み")</f>
        <v>格納済み</v>
      </c>
      <c r="U1788" s="15" t="str">
        <f>IFERROR(__xludf.DUMMYFUNCTION("""COMPUTED_VALUE"""),"©Shin Yuri/Winterbaum")</f>
        <v>©Shin Yuri/Winterbaum</v>
      </c>
      <c r="V1788" s="8" t="str">
        <f>IFERROR(__xludf.DUMMYFUNCTION("""COMPUTED_VALUE"""),"母親と二人、貧乏ながらも幸せに暮らしていた青年・モクタン。宰相になった父親のように官職に就くため、毎日勉強に励んでいた。そんなある日、突然現れた父親から皇帝・ギョクのもとへ嫁入りするように命じられてしまう。母親を人質に取られてしまい、しかたなく皇后の座についたモクタンだったが…。「顔も見たくない。さっさと出て行け」婿となるはずのギョクとの出会いは、最低で最悪。虐げられるかのように冷たく当たられる日々が続いていた。そんな中、ある日自分の父親がギョクへ毒を盛っていることを知ってしまい──？――皇后になった男を"&amp;"知っているだろうか。ウィ・モクタン、これはそんな彼の話だ。")</f>
        <v>母親と二人、貧乏ながらも幸せに暮らしていた青年・モクタン。宰相になった父親のように官職に就くため、毎日勉強に励んでいた。そんなある日、突然現れた父親から皇帝・ギョクのもとへ嫁入りするように命じられてしまう。母親を人質に取られてしまい、しかたなく皇后の座についたモクタンだったが…。「顔も見たくない。さっさと出て行け」婿となるはずのギョクとの出会いは、最低で最悪。虐げられるかのように冷たく当たられる日々が続いていた。そんな中、ある日自分の父親がギョクへ毒を盛っていることを知ってしまい──？――皇后になった男を知っているだろうか。ウィ・モクタン、これはそんな彼の話だ。</v>
      </c>
      <c r="W1788" s="14"/>
      <c r="X1788" s="14" t="str">
        <f>IFERROR(__xludf.DUMMYFUNCTION("""COMPUTED_VALUE"""),"有")</f>
        <v>有</v>
      </c>
      <c r="Y1788" s="8" t="str">
        <f>IFERROR(__xludf.DUMMYFUNCTION("""COMPUTED_VALUE"""),"P14まで")</f>
        <v>P14まで</v>
      </c>
      <c r="Z1788" s="7"/>
      <c r="AA1788" s="7"/>
      <c r="AB1788" s="7"/>
    </row>
    <row r="1789" ht="15.75" customHeight="1">
      <c r="A1789" s="66">
        <f>IFERROR(__xludf.DUMMYFUNCTION("""COMPUTED_VALUE"""),3754.0)</f>
        <v>3754</v>
      </c>
      <c r="B1789" s="75" t="str">
        <f>IFERROR(__xludf.DUMMYFUNCTION("""COMPUTED_VALUE"""),"確定")</f>
        <v>確定</v>
      </c>
      <c r="C1789" s="68">
        <f>IFERROR(__xludf.DUMMYFUNCTION("""COMPUTED_VALUE"""),45481.0)</f>
        <v>45481</v>
      </c>
      <c r="D1789" s="68">
        <f>IFERROR(__xludf.DUMMYFUNCTION("""COMPUTED_VALUE"""),45482.0)</f>
        <v>45482</v>
      </c>
      <c r="E1789" s="26">
        <f>IFERROR(__xludf.DUMMYFUNCTION("""COMPUTED_VALUE"""),287313.0)</f>
        <v>287313</v>
      </c>
      <c r="F1789" s="31" t="str">
        <f>IFERROR(__xludf.DUMMYFUNCTION("""COMPUTED_VALUE"""),"スキャンダラス・ダーリン")</f>
        <v>スキャンダラス・ダーリン</v>
      </c>
      <c r="G1789" s="69" t="str">
        <f>IFERROR(__xludf.DUMMYFUNCTION("""COMPUTED_VALUE"""),"1～3")</f>
        <v>1～3</v>
      </c>
      <c r="H1789" s="75" t="str">
        <f>IFERROR(__xludf.DUMMYFUNCTION("""COMPUTED_VALUE"""),"いつきまこと")</f>
        <v>いつきまこと</v>
      </c>
      <c r="I1789" s="75" t="str">
        <f>IFERROR(__xludf.DUMMYFUNCTION("""COMPUTED_VALUE"""),"BL")</f>
        <v>BL</v>
      </c>
      <c r="J1789" s="75"/>
      <c r="K1789" s="75"/>
      <c r="L1789" s="75" t="str">
        <f>IFERROR(__xludf.DUMMYFUNCTION("""COMPUTED_VALUE"""),"ソルマーレ編集部")</f>
        <v>ソルマーレ編集部</v>
      </c>
      <c r="M1789" s="59">
        <f>IFERROR(__xludf.DUMMYFUNCTION("""COMPUTED_VALUE"""),45514.0)</f>
        <v>45514</v>
      </c>
      <c r="N1789" s="77">
        <f>IFERROR(__xludf.DUMMYFUNCTION("""COMPUTED_VALUE"""),45575.0)</f>
        <v>45575</v>
      </c>
      <c r="O1789" s="69"/>
      <c r="P1789" s="71" t="str">
        <f>IFERROR(__xludf.DUMMYFUNCTION("""COMPUTED_VALUE"""),"可")</f>
        <v>可</v>
      </c>
      <c r="Q1789" s="72"/>
      <c r="R1789" s="75"/>
      <c r="S1789" s="75" t="str">
        <f>IFERROR(__xludf.DUMMYFUNCTION("""COMPUTED_VALUE"""),"20240708_ソルマーレ編集部_スキャンダラス・ダーリン")</f>
        <v>20240708_ソルマーレ編集部_スキャンダラス・ダーリン</v>
      </c>
      <c r="T1789" s="75" t="str">
        <f>IFERROR(__xludf.DUMMYFUNCTION("""COMPUTED_VALUE"""),"格納済み")</f>
        <v>格納済み</v>
      </c>
      <c r="U1789" s="15" t="str">
        <f>IFERROR(__xludf.DUMMYFUNCTION("""COMPUTED_VALUE"""),"Ⓒ いつきまこと/シーモアコミックス")</f>
        <v>Ⓒ いつきまこと/シーモアコミックス</v>
      </c>
      <c r="V1789" s="8" t="str">
        <f>IFERROR(__xludf.DUMMYFUNCTION("""COMPUTED_VALUE"""),"「とびきりの夜にしようじゃないか」
通訳の黛史斗（まゆずみふみと）は、来日したハリウッドの人気俳優ルイス・ベネットの提案で、なぜか東京案内をすることに。最初は大人しくバスで観光地を巡っていたものの、最後は自由奔放なルイスにキスを見せつけられたり、滞在先のホテルに連れ込まれたりと、とんでもない展開に――!?
映画よりドラマティックなスキャンダラス・ラブスタート!!【本作品は他社より配信されていた「スキャンダラス・ダーリン」を一部加筆修正したものです。重複購入にご注意ください】 【フィカス】")</f>
        <v>「とびきりの夜にしようじゃないか」
通訳の黛史斗（まゆずみふみと）は、来日したハリウッドの人気俳優ルイス・ベネットの提案で、なぜか東京案内をすることに。最初は大人しくバスで観光地を巡っていたものの、最後は自由奔放なルイスにキスを見せつけられたり、滞在先のホテルに連れ込まれたりと、とんでもない展開に――!?
映画よりドラマティックなスキャンダラス・ラブスタート!!【本作品は他社より配信されていた「スキャンダラス・ダーリン」を一部加筆修正したものです。重複購入にご注意ください】 【フィカス】</v>
      </c>
      <c r="W1789" s="14"/>
      <c r="X1789" s="14" t="str">
        <f>IFERROR(__xludf.DUMMYFUNCTION("""COMPUTED_VALUE"""),"有")</f>
        <v>有</v>
      </c>
      <c r="Y1789" s="8" t="str">
        <f>IFERROR(__xludf.DUMMYFUNCTION("""COMPUTED_VALUE"""),"P7まで")</f>
        <v>P7まで</v>
      </c>
      <c r="Z1789" s="7"/>
      <c r="AA1789" s="7"/>
      <c r="AB1789" s="7"/>
    </row>
    <row r="1790" ht="90.75" customHeight="1">
      <c r="A1790" s="66">
        <f>IFERROR(__xludf.DUMMYFUNCTION("""COMPUTED_VALUE"""),3756.0)</f>
        <v>3756</v>
      </c>
      <c r="B1790" s="75" t="str">
        <f>IFERROR(__xludf.DUMMYFUNCTION("""COMPUTED_VALUE"""),"確定")</f>
        <v>確定</v>
      </c>
      <c r="C1790" s="68">
        <f>IFERROR(__xludf.DUMMYFUNCTION("""COMPUTED_VALUE"""),45481.0)</f>
        <v>45481</v>
      </c>
      <c r="D1790" s="68">
        <f>IFERROR(__xludf.DUMMYFUNCTION("""COMPUTED_VALUE"""),45482.0)</f>
        <v>45482</v>
      </c>
      <c r="E1790" s="31">
        <f>IFERROR(__xludf.DUMMYFUNCTION("""COMPUTED_VALUE"""),297998.0)</f>
        <v>297998</v>
      </c>
      <c r="F1790" s="31" t="str">
        <f>IFERROR(__xludf.DUMMYFUNCTION("""COMPUTED_VALUE"""),"地味令嬢と恋の雫")</f>
        <v>地味令嬢と恋の雫</v>
      </c>
      <c r="G1790" s="69">
        <f>IFERROR(__xludf.DUMMYFUNCTION("""COMPUTED_VALUE"""),1.0)</f>
        <v>1</v>
      </c>
      <c r="H1790" s="75" t="str">
        <f>IFERROR(__xludf.DUMMYFUNCTION("""COMPUTED_VALUE"""),"漫画：蘭らむ 原作：荒瀬ヤヒロ")</f>
        <v>漫画：蘭らむ 原作：荒瀬ヤヒロ</v>
      </c>
      <c r="I1790" s="75" t="str">
        <f>IFERROR(__xludf.DUMMYFUNCTION("""COMPUTED_VALUE"""),"女性")</f>
        <v>女性</v>
      </c>
      <c r="J1790" s="75"/>
      <c r="K1790" s="75"/>
      <c r="L1790" s="75" t="str">
        <f>IFERROR(__xludf.DUMMYFUNCTION("""COMPUTED_VALUE"""),"リブリオン")</f>
        <v>リブリオン</v>
      </c>
      <c r="M1790" s="59">
        <f>IFERROR(__xludf.DUMMYFUNCTION("""COMPUTED_VALUE"""),45503.0)</f>
        <v>45503</v>
      </c>
      <c r="N1790" s="59">
        <f>IFERROR(__xludf.DUMMYFUNCTION("""COMPUTED_VALUE"""),45533.0)</f>
        <v>45533</v>
      </c>
      <c r="O1790" s="69"/>
      <c r="P1790" s="71" t="str">
        <f>IFERROR(__xludf.DUMMYFUNCTION("""COMPUTED_VALUE"""),"可")</f>
        <v>可</v>
      </c>
      <c r="Q1790" s="72"/>
      <c r="R1790" s="75"/>
      <c r="S1790" s="75" t="str">
        <f>IFERROR(__xludf.DUMMYFUNCTION("""COMPUTED_VALUE"""),"20240708_リブリオン_地味令嬢と恋の雫")</f>
        <v>20240708_リブリオン_地味令嬢と恋の雫</v>
      </c>
      <c r="T1790" s="75" t="str">
        <f>IFERROR(__xludf.DUMMYFUNCTION("""COMPUTED_VALUE"""),"格納済み")</f>
        <v>格納済み</v>
      </c>
      <c r="U1790" s="15" t="str">
        <f>IFERROR(__xludf.DUMMYFUNCTION("""COMPUTED_VALUE"""),"ⒸRam Araragi/Yahiro Arase")</f>
        <v>ⒸRam Araragi/Yahiro Arase</v>
      </c>
      <c r="V1790" s="8" t="str">
        <f>IFERROR(__xludf.DUMMYFUNCTION("""COMPUTED_VALUE"""),"婚約相手が地味な自分の望み通りに豹変して困ってます！※この作品は『ハッピーエンド確定!? 溺愛が止まりません！ 愛され令嬢アンソロジーコミック』に収録されている同タイトルを、同一の内容にて分冊版として再編集したものです。")</f>
        <v>婚約相手が地味な自分の望み通りに豹変して困ってます！※この作品は『ハッピーエンド確定!? 溺愛が止まりません！ 愛され令嬢アンソロジーコミック』に収録されている同タイトルを、同一の内容にて分冊版として再編集したものです。</v>
      </c>
      <c r="W1790" s="14"/>
      <c r="X1790" s="14" t="str">
        <f>IFERROR(__xludf.DUMMYFUNCTION("""COMPUTED_VALUE"""),"有")</f>
        <v>有</v>
      </c>
      <c r="Y1790" s="8" t="str">
        <f>IFERROR(__xludf.DUMMYFUNCTION("""COMPUTED_VALUE"""),"P5まで")</f>
        <v>P5まで</v>
      </c>
      <c r="Z1790" s="7"/>
      <c r="AA1790" s="7"/>
      <c r="AB1790" s="7"/>
    </row>
    <row r="1791" ht="96.75" customHeight="1">
      <c r="A1791" s="66">
        <f>IFERROR(__xludf.DUMMYFUNCTION("""COMPUTED_VALUE"""),3757.0)</f>
        <v>3757</v>
      </c>
      <c r="B1791" s="75" t="str">
        <f>IFERROR(__xludf.DUMMYFUNCTION("""COMPUTED_VALUE"""),"確定")</f>
        <v>確定</v>
      </c>
      <c r="C1791" s="68">
        <f>IFERROR(__xludf.DUMMYFUNCTION("""COMPUTED_VALUE"""),45481.0)</f>
        <v>45481</v>
      </c>
      <c r="D1791" s="68">
        <f>IFERROR(__xludf.DUMMYFUNCTION("""COMPUTED_VALUE"""),45482.0)</f>
        <v>45482</v>
      </c>
      <c r="E1791" s="31">
        <f>IFERROR(__xludf.DUMMYFUNCTION("""COMPUTED_VALUE"""),298000.0)</f>
        <v>298000</v>
      </c>
      <c r="F1791" s="31" t="str">
        <f>IFERROR(__xludf.DUMMYFUNCTION("""COMPUTED_VALUE"""),"婚約破棄された令嬢は、婚約者を奪った妹に現実を見せつける")</f>
        <v>婚約破棄された令嬢は、婚約者を奪った妹に現実を見せつける</v>
      </c>
      <c r="G1791" s="69">
        <f>IFERROR(__xludf.DUMMYFUNCTION("""COMPUTED_VALUE"""),1.0)</f>
        <v>1</v>
      </c>
      <c r="H1791" s="75" t="str">
        <f>IFERROR(__xludf.DUMMYFUNCTION("""COMPUTED_VALUE"""),"漫画：空路 恵 原作：歩芽川ゆい")</f>
        <v>漫画：空路 恵 原作：歩芽川ゆい</v>
      </c>
      <c r="I1791" s="75" t="str">
        <f>IFERROR(__xludf.DUMMYFUNCTION("""COMPUTED_VALUE"""),"女性")</f>
        <v>女性</v>
      </c>
      <c r="J1791" s="75"/>
      <c r="K1791" s="75"/>
      <c r="L1791" s="75" t="str">
        <f>IFERROR(__xludf.DUMMYFUNCTION("""COMPUTED_VALUE"""),"リブリオン")</f>
        <v>リブリオン</v>
      </c>
      <c r="M1791" s="59">
        <f>IFERROR(__xludf.DUMMYFUNCTION("""COMPUTED_VALUE"""),45503.0)</f>
        <v>45503</v>
      </c>
      <c r="N1791" s="59">
        <f>IFERROR(__xludf.DUMMYFUNCTION("""COMPUTED_VALUE"""),45533.0)</f>
        <v>45533</v>
      </c>
      <c r="O1791" s="69"/>
      <c r="P1791" s="71" t="str">
        <f>IFERROR(__xludf.DUMMYFUNCTION("""COMPUTED_VALUE"""),"可")</f>
        <v>可</v>
      </c>
      <c r="Q1791" s="72"/>
      <c r="R1791" s="75"/>
      <c r="S1791" s="75" t="str">
        <f>IFERROR(__xludf.DUMMYFUNCTION("""COMPUTED_VALUE"""),"20240708_リブリオン_婚約破棄された令嬢は、婚約者を奪った妹に現実を見せつける")</f>
        <v>20240708_リブリオン_婚約破棄された令嬢は、婚約者を奪った妹に現実を見せつける</v>
      </c>
      <c r="T1791" s="75" t="str">
        <f>IFERROR(__xludf.DUMMYFUNCTION("""COMPUTED_VALUE"""),"格納済み")</f>
        <v>格納済み</v>
      </c>
      <c r="U1791" s="15" t="str">
        <f>IFERROR(__xludf.DUMMYFUNCTION("""COMPUTED_VALUE"""),"ⒸMegumu Soramichi/Yui Pomekawa")</f>
        <v>ⒸMegumu Soramichi/Yui Pomekawa</v>
      </c>
      <c r="V1791" s="8" t="str">
        <f>IFERROR(__xludf.DUMMYFUNCTION("""COMPUTED_VALUE"""),"調子に乗って婚約者を奪った妹に、現実を見せつける！※この作品は『ハッピーエンド確定!? 溺愛が止まりません！ 愛され令嬢アンソロジーコミック』に収録されている同タイトルを、同一の内容にて分冊版として再編集したものです。")</f>
        <v>調子に乗って婚約者を奪った妹に、現実を見せつける！※この作品は『ハッピーエンド確定!? 溺愛が止まりません！ 愛され令嬢アンソロジーコミック』に収録されている同タイトルを、同一の内容にて分冊版として再編集したものです。</v>
      </c>
      <c r="W1791" s="14"/>
      <c r="X1791" s="14" t="str">
        <f>IFERROR(__xludf.DUMMYFUNCTION("""COMPUTED_VALUE"""),"有")</f>
        <v>有</v>
      </c>
      <c r="Y1791" s="8" t="str">
        <f>IFERROR(__xludf.DUMMYFUNCTION("""COMPUTED_VALUE"""),"P7まで")</f>
        <v>P7まで</v>
      </c>
      <c r="Z1791" s="7"/>
      <c r="AA1791" s="7"/>
      <c r="AB1791" s="7"/>
    </row>
    <row r="1792" ht="15.75" customHeight="1">
      <c r="A1792" s="66">
        <f>IFERROR(__xludf.DUMMYFUNCTION("""COMPUTED_VALUE"""),3758.0)</f>
        <v>3758</v>
      </c>
      <c r="B1792" s="75" t="str">
        <f>IFERROR(__xludf.DUMMYFUNCTION("""COMPUTED_VALUE"""),"確定")</f>
        <v>確定</v>
      </c>
      <c r="C1792" s="68">
        <f>IFERROR(__xludf.DUMMYFUNCTION("""COMPUTED_VALUE"""),45481.0)</f>
        <v>45481</v>
      </c>
      <c r="D1792" s="68">
        <f>IFERROR(__xludf.DUMMYFUNCTION("""COMPUTED_VALUE"""),45482.0)</f>
        <v>45482</v>
      </c>
      <c r="E1792" s="31">
        <f>IFERROR(__xludf.DUMMYFUNCTION("""COMPUTED_VALUE"""),297997.0)</f>
        <v>297997</v>
      </c>
      <c r="F1792" s="31" t="str">
        <f>IFERROR(__xludf.DUMMYFUNCTION("""COMPUTED_VALUE"""),"あらそう、では買い取ってさしあげてよ")</f>
        <v>あらそう、では買い取ってさしあげてよ</v>
      </c>
      <c r="G1792" s="69">
        <f>IFERROR(__xludf.DUMMYFUNCTION("""COMPUTED_VALUE"""),1.0)</f>
        <v>1</v>
      </c>
      <c r="H1792" s="75" t="str">
        <f>IFERROR(__xludf.DUMMYFUNCTION("""COMPUTED_VALUE"""),"漫画：ふじもとまめ 原作：篠瀬")</f>
        <v>漫画：ふじもとまめ 原作：篠瀬</v>
      </c>
      <c r="I1792" s="75" t="str">
        <f>IFERROR(__xludf.DUMMYFUNCTION("""COMPUTED_VALUE"""),"女性")</f>
        <v>女性</v>
      </c>
      <c r="J1792" s="75"/>
      <c r="K1792" s="75"/>
      <c r="L1792" s="75" t="str">
        <f>IFERROR(__xludf.DUMMYFUNCTION("""COMPUTED_VALUE"""),"リブリオン")</f>
        <v>リブリオン</v>
      </c>
      <c r="M1792" s="59">
        <f>IFERROR(__xludf.DUMMYFUNCTION("""COMPUTED_VALUE"""),45503.0)</f>
        <v>45503</v>
      </c>
      <c r="N1792" s="59">
        <f>IFERROR(__xludf.DUMMYFUNCTION("""COMPUTED_VALUE"""),45533.0)</f>
        <v>45533</v>
      </c>
      <c r="O1792" s="69"/>
      <c r="P1792" s="71" t="str">
        <f>IFERROR(__xludf.DUMMYFUNCTION("""COMPUTED_VALUE"""),"可")</f>
        <v>可</v>
      </c>
      <c r="Q1792" s="72"/>
      <c r="R1792" s="75"/>
      <c r="S1792" s="75" t="str">
        <f>IFERROR(__xludf.DUMMYFUNCTION("""COMPUTED_VALUE"""),"20240708_リブリオン_あらそう、では買い取ってさしあげてよ")</f>
        <v>20240708_リブリオン_あらそう、では買い取ってさしあげてよ</v>
      </c>
      <c r="T1792" s="75" t="str">
        <f>IFERROR(__xludf.DUMMYFUNCTION("""COMPUTED_VALUE"""),"格納済み")</f>
        <v>格納済み</v>
      </c>
      <c r="U1792" s="15" t="str">
        <f>IFERROR(__xludf.DUMMYFUNCTION("""COMPUTED_VALUE"""),"ⒸMame Fujimoto/Shinose")</f>
        <v>ⒸMame Fujimoto/Shinose</v>
      </c>
      <c r="V1792" s="8" t="str">
        <f>IFERROR(__xludf.DUMMYFUNCTION("""COMPUTED_VALUE"""),"転生した悪役令嬢は、すべてを買い取る！※この作品は『ハッピーエンド確定!? 溺愛が止まりません！ 愛され令嬢アンソロジーコミック』に収録されている同タイトルを、同一の内容にて分冊版として再編集したものです。")</f>
        <v>転生した悪役令嬢は、すべてを買い取る！※この作品は『ハッピーエンド確定!? 溺愛が止まりません！ 愛され令嬢アンソロジーコミック』に収録されている同タイトルを、同一の内容にて分冊版として再編集したものです。</v>
      </c>
      <c r="W1792" s="14"/>
      <c r="X1792" s="14" t="str">
        <f>IFERROR(__xludf.DUMMYFUNCTION("""COMPUTED_VALUE"""),"有")</f>
        <v>有</v>
      </c>
      <c r="Y1792" s="8" t="str">
        <f>IFERROR(__xludf.DUMMYFUNCTION("""COMPUTED_VALUE"""),"P5まで")</f>
        <v>P5まで</v>
      </c>
      <c r="Z1792" s="7"/>
      <c r="AA1792" s="7"/>
      <c r="AB1792" s="7"/>
    </row>
    <row r="1793" ht="15.75" customHeight="1">
      <c r="A1793" s="66">
        <f>IFERROR(__xludf.DUMMYFUNCTION("""COMPUTED_VALUE"""),3759.0)</f>
        <v>3759</v>
      </c>
      <c r="B1793" s="75" t="str">
        <f>IFERROR(__xludf.DUMMYFUNCTION("""COMPUTED_VALUE"""),"確定")</f>
        <v>確定</v>
      </c>
      <c r="C1793" s="68">
        <f>IFERROR(__xludf.DUMMYFUNCTION("""COMPUTED_VALUE"""),45481.0)</f>
        <v>45481</v>
      </c>
      <c r="D1793" s="68">
        <f>IFERROR(__xludf.DUMMYFUNCTION("""COMPUTED_VALUE"""),45482.0)</f>
        <v>45482</v>
      </c>
      <c r="E1793" s="31">
        <f>IFERROR(__xludf.DUMMYFUNCTION("""COMPUTED_VALUE"""),298001.0)</f>
        <v>298001</v>
      </c>
      <c r="F1793" s="31" t="str">
        <f>IFERROR(__xludf.DUMMYFUNCTION("""COMPUTED_VALUE"""),"逃した魚は大きいようですがもう遅い！何故なら婚約破棄したからです！")</f>
        <v>逃した魚は大きいようですがもう遅い！何故なら婚約破棄したからです！</v>
      </c>
      <c r="G1793" s="69">
        <f>IFERROR(__xludf.DUMMYFUNCTION("""COMPUTED_VALUE"""),1.0)</f>
        <v>1</v>
      </c>
      <c r="H1793" s="75" t="str">
        <f>IFERROR(__xludf.DUMMYFUNCTION("""COMPUTED_VALUE"""),"漫画：たまお 原作：しょうぐん")</f>
        <v>漫画：たまお 原作：しょうぐん</v>
      </c>
      <c r="I1793" s="75" t="str">
        <f>IFERROR(__xludf.DUMMYFUNCTION("""COMPUTED_VALUE"""),"女性")</f>
        <v>女性</v>
      </c>
      <c r="J1793" s="75"/>
      <c r="K1793" s="75"/>
      <c r="L1793" s="75" t="str">
        <f>IFERROR(__xludf.DUMMYFUNCTION("""COMPUTED_VALUE"""),"リブリオン")</f>
        <v>リブリオン</v>
      </c>
      <c r="M1793" s="59">
        <f>IFERROR(__xludf.DUMMYFUNCTION("""COMPUTED_VALUE"""),45503.0)</f>
        <v>45503</v>
      </c>
      <c r="N1793" s="59">
        <f>IFERROR(__xludf.DUMMYFUNCTION("""COMPUTED_VALUE"""),45533.0)</f>
        <v>45533</v>
      </c>
      <c r="O1793" s="69"/>
      <c r="P1793" s="71" t="str">
        <f>IFERROR(__xludf.DUMMYFUNCTION("""COMPUTED_VALUE"""),"可")</f>
        <v>可</v>
      </c>
      <c r="Q1793" s="72"/>
      <c r="R1793" s="75"/>
      <c r="S1793" s="75" t="str">
        <f>IFERROR(__xludf.DUMMYFUNCTION("""COMPUTED_VALUE"""),"20240708_リブリオン_逃した魚は大きいようですがもう遅い！ 何故なら婚約破棄したからです！")</f>
        <v>20240708_リブリオン_逃した魚は大きいようですがもう遅い！ 何故なら婚約破棄したからです！</v>
      </c>
      <c r="T1793" s="75" t="str">
        <f>IFERROR(__xludf.DUMMYFUNCTION("""COMPUTED_VALUE"""),"格納済み")</f>
        <v>格納済み</v>
      </c>
      <c r="U1793" s="15" t="str">
        <f>IFERROR(__xludf.DUMMYFUNCTION("""COMPUTED_VALUE"""),"ⒸTamao/Syougun")</f>
        <v>ⒸTamao/Syougun</v>
      </c>
      <c r="V1793" s="8" t="str">
        <f>IFERROR(__xludf.DUMMYFUNCTION("""COMPUTED_VALUE"""),"婚約破棄したからこそ気づけた本当の気持ち!?※この作品は『ハッピーエンド確定!? 溺愛が止まりません！ 愛され令嬢アンソロジーコミック』に収録されている同タイトルを、同一の内容にて分冊版として再編集したものです。")</f>
        <v>婚約破棄したからこそ気づけた本当の気持ち!?※この作品は『ハッピーエンド確定!? 溺愛が止まりません！ 愛され令嬢アンソロジーコミック』に収録されている同タイトルを、同一の内容にて分冊版として再編集したものです。</v>
      </c>
      <c r="W1793" s="14"/>
      <c r="X1793" s="14" t="str">
        <f>IFERROR(__xludf.DUMMYFUNCTION("""COMPUTED_VALUE"""),"有")</f>
        <v>有</v>
      </c>
      <c r="Y1793" s="8" t="str">
        <f>IFERROR(__xludf.DUMMYFUNCTION("""COMPUTED_VALUE"""),"P6まで")</f>
        <v>P6まで</v>
      </c>
      <c r="Z1793" s="7"/>
      <c r="AA1793" s="7"/>
      <c r="AB1793" s="7"/>
    </row>
    <row r="1794" ht="15.75" customHeight="1">
      <c r="A1794" s="66">
        <f>IFERROR(__xludf.DUMMYFUNCTION("""COMPUTED_VALUE"""),3761.0)</f>
        <v>3761</v>
      </c>
      <c r="B1794" s="75" t="str">
        <f>IFERROR(__xludf.DUMMYFUNCTION("""COMPUTED_VALUE"""),"確定")</f>
        <v>確定</v>
      </c>
      <c r="C1794" s="68">
        <f>IFERROR(__xludf.DUMMYFUNCTION("""COMPUTED_VALUE"""),45482.0)</f>
        <v>45482</v>
      </c>
      <c r="D1794" s="68">
        <f>IFERROR(__xludf.DUMMYFUNCTION("""COMPUTED_VALUE"""),45482.0)</f>
        <v>45482</v>
      </c>
      <c r="E1794" s="26">
        <f>IFERROR(__xludf.DUMMYFUNCTION("""COMPUTED_VALUE"""),294150.0)</f>
        <v>294150</v>
      </c>
      <c r="F1794" s="31" t="str">
        <f>IFERROR(__xludf.DUMMYFUNCTION("""COMPUTED_VALUE"""),"贖罪の花嫁はいつわりの婚姻に溺れる")</f>
        <v>贖罪の花嫁はいつわりの婚姻に溺れる</v>
      </c>
      <c r="G1794" s="69" t="str">
        <f>IFERROR(__xludf.DUMMYFUNCTION("""COMPUTED_VALUE"""),"1～4")</f>
        <v>1～4</v>
      </c>
      <c r="H1794" s="75" t="str">
        <f>IFERROR(__xludf.DUMMYFUNCTION("""COMPUTED_VALUE"""),"蜂谷ナナオ,マチバリ")</f>
        <v>蜂谷ナナオ,マチバリ</v>
      </c>
      <c r="I1794" s="75" t="str">
        <f>IFERROR(__xludf.DUMMYFUNCTION("""COMPUTED_VALUE"""),"女性")</f>
        <v>女性</v>
      </c>
      <c r="J1794" s="75"/>
      <c r="K1794" s="75"/>
      <c r="L1794" s="75" t="str">
        <f>IFERROR(__xludf.DUMMYFUNCTION("""COMPUTED_VALUE"""),"アルファポリス")</f>
        <v>アルファポリス</v>
      </c>
      <c r="M1794" s="23">
        <f>IFERROR(__xludf.DUMMYFUNCTION("""COMPUTED_VALUE"""),45450.0)</f>
        <v>45450</v>
      </c>
      <c r="N1794" s="77">
        <f>IFERROR(__xludf.DUMMYFUNCTION("""COMPUTED_VALUE"""),45596.0)</f>
        <v>45596</v>
      </c>
      <c r="O1794" s="69"/>
      <c r="P1794" s="80" t="str">
        <f>IFERROR(__xludf.DUMMYFUNCTION("""COMPUTED_VALUE"""),"否")</f>
        <v>否</v>
      </c>
      <c r="Q1794" s="72" t="str">
        <f>IFERROR(__xludf.DUMMYFUNCTION("""COMPUTED_VALUE"""),"先行配信開始の作品ですが登録が漏れておりました。次回は8月2日に5話配信予定です。こちら可能であれば出稿お願いします。")</f>
        <v>先行配信開始の作品ですが登録が漏れておりました。次回は8月2日に5話配信予定です。こちら可能であれば出稿お願いします。</v>
      </c>
      <c r="R1794" s="75"/>
      <c r="S1794" s="75" t="str">
        <f>IFERROR(__xludf.DUMMYFUNCTION("""COMPUTED_VALUE"""),"20240709_アルファポリス_贖罪の花嫁はいつわりの婚姻に溺れる")</f>
        <v>20240709_アルファポリス_贖罪の花嫁はいつわりの婚姻に溺れる</v>
      </c>
      <c r="T1794" s="75" t="str">
        <f>IFERROR(__xludf.DUMMYFUNCTION("""COMPUTED_VALUE"""),"格納済み")</f>
        <v>格納済み</v>
      </c>
      <c r="U1794" s="15" t="str">
        <f>IFERROR(__xludf.DUMMYFUNCTION("""COMPUTED_VALUE"""),"(C)マチバリ・蜂谷ナナオ／アルファポリス")</f>
        <v>(C)マチバリ・蜂谷ナナオ／アルファポリス</v>
      </c>
      <c r="V1794" s="8" t="str">
        <f>IFERROR(__xludf.DUMMYFUNCTION("""COMPUTED_VALUE"""),"「俺の子を孕みたいのだろう？」契約のはずが甘く激しく愛されて――…
幼い頃の事件をきっかけに、家族から疎まれてきた令嬢・エステル。ある日、いわれのない罪を着せられた彼女は、強い魔力を持つ魔法使い・アンデリックと結婚し、彼の子供を産むことを命じられる。かたちだけの婚姻だったが、不器用ながらも自分を気遣ってくれるアンデリックと共に穏やかな日々が続く。けれどエステルの胸に安らぎが訪れるたび、過去の記憶が彼女を苛む。「私がすべきことはアンデリック様の子を孕むことだけ」自分の役割を果たすため、彼女がとった行動は―"&amp;"―…？
疎まれた令嬢と孤独な魔法使いの切なく激しいラブロマンスが、待望のコミカライズ！")</f>
        <v>「俺の子を孕みたいのだろう？」契約のはずが甘く激しく愛されて――…
幼い頃の事件をきっかけに、家族から疎まれてきた令嬢・エステル。ある日、いわれのない罪を着せられた彼女は、強い魔力を持つ魔法使い・アンデリックと結婚し、彼の子供を産むことを命じられる。かたちだけの婚姻だったが、不器用ながらも自分を気遣ってくれるアンデリックと共に穏やかな日々が続く。けれどエステルの胸に安らぎが訪れるたび、過去の記憶が彼女を苛む。「私がすべきことはアンデリック様の子を孕むことだけ」自分の役割を果たすため、彼女がとった行動は――…？
疎まれた令嬢と孤独な魔法使いの切なく激しいラブロマンスが、待望のコミカライズ！</v>
      </c>
      <c r="W1794" s="14"/>
      <c r="X1794" s="14" t="str">
        <f>IFERROR(__xludf.DUMMYFUNCTION("""COMPUTED_VALUE"""),"有")</f>
        <v>有</v>
      </c>
      <c r="Y1794" s="8" t="str">
        <f>IFERROR(__xludf.DUMMYFUNCTION("""COMPUTED_VALUE"""),"1巻無料")</f>
        <v>1巻無料</v>
      </c>
      <c r="Z1794" s="7"/>
      <c r="AA1794" s="7"/>
      <c r="AB1794" s="7"/>
    </row>
    <row r="1795" ht="15.75" customHeight="1">
      <c r="A1795" s="66">
        <f>IFERROR(__xludf.DUMMYFUNCTION("""COMPUTED_VALUE"""),3762.0)</f>
        <v>3762</v>
      </c>
      <c r="B1795" s="75" t="str">
        <f>IFERROR(__xludf.DUMMYFUNCTION("""COMPUTED_VALUE"""),"確定")</f>
        <v>確定</v>
      </c>
      <c r="C1795" s="68">
        <f>IFERROR(__xludf.DUMMYFUNCTION("""COMPUTED_VALUE"""),45482.0)</f>
        <v>45482</v>
      </c>
      <c r="D1795" s="68">
        <f>IFERROR(__xludf.DUMMYFUNCTION("""COMPUTED_VALUE"""),45482.0)</f>
        <v>45482</v>
      </c>
      <c r="E1795" s="26">
        <f>IFERROR(__xludf.DUMMYFUNCTION("""COMPUTED_VALUE"""),296135.0)</f>
        <v>296135</v>
      </c>
      <c r="F1795" s="31" t="str">
        <f>IFERROR(__xludf.DUMMYFUNCTION("""COMPUTED_VALUE"""),"魔女と王子の契約情事")</f>
        <v>魔女と王子の契約情事</v>
      </c>
      <c r="G1795" s="69" t="str">
        <f>IFERROR(__xludf.DUMMYFUNCTION("""COMPUTED_VALUE"""),"1～3")</f>
        <v>1～3</v>
      </c>
      <c r="H1795" s="75" t="str">
        <f>IFERROR(__xludf.DUMMYFUNCTION("""COMPUTED_VALUE"""),"榎木ユウ,ハム太")</f>
        <v>榎木ユウ,ハム太</v>
      </c>
      <c r="I1795" s="75" t="str">
        <f>IFERROR(__xludf.DUMMYFUNCTION("""COMPUTED_VALUE"""),"女性")</f>
        <v>女性</v>
      </c>
      <c r="J1795" s="75"/>
      <c r="K1795" s="75"/>
      <c r="L1795" s="75" t="str">
        <f>IFERROR(__xludf.DUMMYFUNCTION("""COMPUTED_VALUE"""),"アルファポリス")</f>
        <v>アルファポリス</v>
      </c>
      <c r="M1795" s="23">
        <f>IFERROR(__xludf.DUMMYFUNCTION("""COMPUTED_VALUE"""),45478.0)</f>
        <v>45478</v>
      </c>
      <c r="N1795" s="23">
        <f>IFERROR(__xludf.DUMMYFUNCTION("""COMPUTED_VALUE"""),45631.0)</f>
        <v>45631</v>
      </c>
      <c r="O1795" s="69"/>
      <c r="P1795" s="80" t="str">
        <f>IFERROR(__xludf.DUMMYFUNCTION("""COMPUTED_VALUE"""),"否")</f>
        <v>否</v>
      </c>
      <c r="Q1795" s="72" t="str">
        <f>IFERROR(__xludf.DUMMYFUNCTION("""COMPUTED_VALUE"""),"すでに配信中の先行作品ですが、先行期間も長いので可能であれば出稿をお願いします。")</f>
        <v>すでに配信中の先行作品ですが、先行期間も長いので可能であれば出稿をお願いします。</v>
      </c>
      <c r="R1795" s="75"/>
      <c r="S1795" s="75" t="str">
        <f>IFERROR(__xludf.DUMMYFUNCTION("""COMPUTED_VALUE"""),"20240709_アルファポリス_魔女と王子の契約情事")</f>
        <v>20240709_アルファポリス_魔女と王子の契約情事</v>
      </c>
      <c r="T1795" s="75" t="str">
        <f>IFERROR(__xludf.DUMMYFUNCTION("""COMPUTED_VALUE"""),"格納済み")</f>
        <v>格納済み</v>
      </c>
      <c r="U1795" s="15" t="str">
        <f>IFERROR(__xludf.DUMMYFUNCTION("""COMPUTED_VALUE"""),"(C)榎木ユウ・ハム太／アルファポリス")</f>
        <v>(C)榎木ユウ・ハム太／アルファポリス</v>
      </c>
      <c r="V1795" s="8" t="str">
        <f>IFERROR(__xludf.DUMMYFUNCTION("""COMPUTED_VALUE"""),"「魔女エヴァリーナ、デメトリオ王子の伽をせよ――…」
殺された王子を生き返らせることに成功した稀代の魔女エヴァリーナ。しかし、甦生を完璧にさせるには、王子とエヴァリーナの性交が必要で!?　せっかく生き返らせた王子を死なせるわけにもいかず、今宵限りとエヴァリーナは王子と一夜を共にする。ところが翌日、王子が責任を取って結婚すると言い出した！　拒否するも、それ以上の激しさで迫られてしまい――。　愛に目覚めた王子とある想いを秘める魔女のラブファンタジーが、待望のコミカライズ！")</f>
        <v>「魔女エヴァリーナ、デメトリオ王子の伽をせよ――…」
殺された王子を生き返らせることに成功した稀代の魔女エヴァリーナ。しかし、甦生を完璧にさせるには、王子とエヴァリーナの性交が必要で!?　せっかく生き返らせた王子を死なせるわけにもいかず、今宵限りとエヴァリーナは王子と一夜を共にする。ところが翌日、王子が責任を取って結婚すると言い出した！　拒否するも、それ以上の激しさで迫られてしまい――。　愛に目覚めた王子とある想いを秘める魔女のラブファンタジーが、待望のコミカライズ！</v>
      </c>
      <c r="W1795" s="14"/>
      <c r="X1795" s="14" t="str">
        <f>IFERROR(__xludf.DUMMYFUNCTION("""COMPUTED_VALUE"""),"有")</f>
        <v>有</v>
      </c>
      <c r="Y1795" s="8" t="str">
        <f>IFERROR(__xludf.DUMMYFUNCTION("""COMPUTED_VALUE"""),"1巻無料")</f>
        <v>1巻無料</v>
      </c>
      <c r="Z1795" s="7"/>
      <c r="AA1795" s="7"/>
      <c r="AB1795" s="7"/>
    </row>
    <row r="1796" ht="15.75" customHeight="1">
      <c r="A1796" s="66">
        <f>IFERROR(__xludf.DUMMYFUNCTION("""COMPUTED_VALUE"""),3768.0)</f>
        <v>3768</v>
      </c>
      <c r="B1796" s="75" t="str">
        <f>IFERROR(__xludf.DUMMYFUNCTION("""COMPUTED_VALUE"""),"確定")</f>
        <v>確定</v>
      </c>
      <c r="C1796" s="68">
        <f>IFERROR(__xludf.DUMMYFUNCTION("""COMPUTED_VALUE"""),45482.0)</f>
        <v>45482</v>
      </c>
      <c r="D1796" s="68">
        <f>IFERROR(__xludf.DUMMYFUNCTION("""COMPUTED_VALUE"""),45483.0)</f>
        <v>45483</v>
      </c>
      <c r="E1796" s="31">
        <f>IFERROR(__xludf.DUMMYFUNCTION("""COMPUTED_VALUE"""),298248.0)</f>
        <v>298248</v>
      </c>
      <c r="F1796" s="31" t="str">
        <f>IFERROR(__xludf.DUMMYFUNCTION("""COMPUTED_VALUE"""),"引きこもり魔女と拾われ従者～秘密の魔力供給は静かなる古城で～")</f>
        <v>引きこもり魔女と拾われ従者～秘密の魔力供給は静かなる古城で～</v>
      </c>
      <c r="G1796" s="11" t="str">
        <f>IFERROR(__xludf.DUMMYFUNCTION("""COMPUTED_VALUE"""),"1～2")</f>
        <v>1～2</v>
      </c>
      <c r="H1796" s="75" t="str">
        <f>IFERROR(__xludf.DUMMYFUNCTION("""COMPUTED_VALUE"""),"せせりももる")</f>
        <v>せせりももる</v>
      </c>
      <c r="I1796" s="75" t="str">
        <f>IFERROR(__xludf.DUMMYFUNCTION("""COMPUTED_VALUE"""),"TL")</f>
        <v>TL</v>
      </c>
      <c r="J1796" s="75"/>
      <c r="K1796" s="75"/>
      <c r="L1796" s="75" t="str">
        <f>IFERROR(__xludf.DUMMYFUNCTION("""COMPUTED_VALUE"""),"一迅社")</f>
        <v>一迅社</v>
      </c>
      <c r="M1796" s="59">
        <f>IFERROR(__xludf.DUMMYFUNCTION("""COMPUTED_VALUE"""),45506.0)</f>
        <v>45506</v>
      </c>
      <c r="N1796" s="59">
        <f>IFERROR(__xludf.DUMMYFUNCTION("""COMPUTED_VALUE"""),45540.0)</f>
        <v>45540</v>
      </c>
      <c r="O1796" s="69"/>
      <c r="P1796" s="80" t="str">
        <f>IFERROR(__xludf.DUMMYFUNCTION("""COMPUTED_VALUE"""),"可")</f>
        <v>可</v>
      </c>
      <c r="Q1796" s="72" t="str">
        <f>IFERROR(__xludf.DUMMYFUNCTION("""COMPUTED_VALUE"""),"レーベル名：LOVEBITES")</f>
        <v>レーベル名：LOVEBITES</v>
      </c>
      <c r="R1796" s="75"/>
      <c r="S1796" s="75" t="str">
        <f>IFERROR(__xludf.DUMMYFUNCTION("""COMPUTED_VALUE"""),"20240709_一迅社_引きこもり魔女と拾われ従者～秘密の魔力供給は静かなる古城で～")</f>
        <v>20240709_一迅社_引きこもり魔女と拾われ従者～秘密の魔力供給は静かなる古城で～</v>
      </c>
      <c r="T1796" s="75" t="str">
        <f>IFERROR(__xludf.DUMMYFUNCTION("""COMPUTED_VALUE"""),"格納済み")</f>
        <v>格納済み</v>
      </c>
      <c r="U1796" s="15" t="str">
        <f>IFERROR(__xludf.DUMMYFUNCTION("""COMPUTED_VALUE"""),"(C)せせりももる／一迅社")</f>
        <v>(C)せせりももる／一迅社</v>
      </c>
      <c r="V1796" s="8" t="str">
        <f>IFERROR(__xludf.DUMMYFUNCTION("""COMPUTED_VALUE"""),"言えない…本当の魔力供給方法が××だなんて…！　氷の魔女・レティシアは20年前に拾ったノヴァを生き長らえさせるために、魔力を与えて生活をしている。その魔力の供給方法は、”体液を分け与えるほどのキス”。大きく育ちすぎたノヴァとキスをする毎日を過ごす中で、ノヴァの成長をいろんな意味で実感していたレティシアは、ある悩みを抱えていて…！？　拾った男の子がいつしか超ごつくなって全力で愛されちゃう！？　”引きこもり魔女”と”拾われ従者”ひっそりとしながらも激しい愛のやり取り、スタートです！")</f>
        <v>言えない…本当の魔力供給方法が××だなんて…！　氷の魔女・レティシアは20年前に拾ったノヴァを生き長らえさせるために、魔力を与えて生活をしている。その魔力の供給方法は、”体液を分け与えるほどのキス”。大きく育ちすぎたノヴァとキスをする毎日を過ごす中で、ノヴァの成長をいろんな意味で実感していたレティシアは、ある悩みを抱えていて…！？　拾った男の子がいつしか超ごつくなって全力で愛されちゃう！？　”引きこもり魔女”と”拾われ従者”ひっそりとしながらも激しい愛のやり取り、スタートです！</v>
      </c>
      <c r="W1796" s="14"/>
      <c r="X1796" s="14" t="str">
        <f>IFERROR(__xludf.DUMMYFUNCTION("""COMPUTED_VALUE"""),"有")</f>
        <v>有</v>
      </c>
      <c r="Y1796" s="8" t="str">
        <f>IFERROR(__xludf.DUMMYFUNCTION("""COMPUTED_VALUE"""),"2024/8/15まで1巻無料")</f>
        <v>2024/8/15まで1巻無料</v>
      </c>
      <c r="Z1796" s="7"/>
      <c r="AA1796" s="7"/>
      <c r="AB1796" s="7"/>
    </row>
    <row r="1797" ht="15.75" customHeight="1">
      <c r="A1797" s="66">
        <f>IFERROR(__xludf.DUMMYFUNCTION("""COMPUTED_VALUE"""),3632.0)</f>
        <v>3632</v>
      </c>
      <c r="B1797" s="75" t="str">
        <f>IFERROR(__xludf.DUMMYFUNCTION("""COMPUTED_VALUE"""),"編集")</f>
        <v>編集</v>
      </c>
      <c r="C1797" s="68">
        <f>IFERROR(__xludf.DUMMYFUNCTION("""COMPUTED_VALUE"""),45456.0)</f>
        <v>45456</v>
      </c>
      <c r="D1797" s="68">
        <f>IFERROR(__xludf.DUMMYFUNCTION("""COMPUTED_VALUE"""),45462.0)</f>
        <v>45462</v>
      </c>
      <c r="E1797" s="31">
        <f>IFERROR(__xludf.DUMMYFUNCTION("""COMPUTED_VALUE"""),296727.0)</f>
        <v>296727</v>
      </c>
      <c r="F1797" s="31" t="str">
        <f>IFERROR(__xludf.DUMMYFUNCTION("""COMPUTED_VALUE"""),"脈アリですかお隣さん!?【単話売】")</f>
        <v>脈アリですかお隣さん!?【単話売】</v>
      </c>
      <c r="G1797" s="11" t="str">
        <f>IFERROR(__xludf.DUMMYFUNCTION("""COMPUTED_VALUE"""),"1～2")</f>
        <v>1～2</v>
      </c>
      <c r="H1797" s="75" t="str">
        <f>IFERROR(__xludf.DUMMYFUNCTION("""COMPUTED_VALUE"""),"平飼やけい")</f>
        <v>平飼やけい</v>
      </c>
      <c r="I1797" s="75" t="str">
        <f>IFERROR(__xludf.DUMMYFUNCTION("""COMPUTED_VALUE"""),"BL")</f>
        <v>BL</v>
      </c>
      <c r="J1797" s="75"/>
      <c r="K1797" s="75"/>
      <c r="L1797" s="75" t="str">
        <f>IFERROR(__xludf.DUMMYFUNCTION("""COMPUTED_VALUE"""),"宙出版")</f>
        <v>宙出版</v>
      </c>
      <c r="M1797" s="23">
        <f>IFERROR(__xludf.DUMMYFUNCTION("""COMPUTED_VALUE"""),45485.0)</f>
        <v>45485</v>
      </c>
      <c r="N1797" s="23">
        <f>IFERROR(__xludf.DUMMYFUNCTION("""COMPUTED_VALUE"""),45547.0)</f>
        <v>45547</v>
      </c>
      <c r="O1797" s="69"/>
      <c r="P1797" s="80" t="str">
        <f>IFERROR(__xludf.DUMMYFUNCTION("""COMPUTED_VALUE"""),"可")</f>
        <v>可</v>
      </c>
      <c r="Q1797" s="72" t="str">
        <f>IFERROR(__xludf.DUMMYFUNCTION("""COMPUTED_VALUE"""),"広告コミットOK（6/19）&lt;BR&gt;SNSでバズってます！&lt;BR&gt;https://x.com/niwatama1125/status/1797862919130206515")</f>
        <v>広告コミットOK（6/19）&lt;BR&gt;SNSでバズってます！&lt;BR&gt;https://x.com/niwatama1125/status/1797862919130206515</v>
      </c>
      <c r="R1797" s="75"/>
      <c r="S1797" s="75" t="str">
        <f>IFERROR(__xludf.DUMMYFUNCTION("""COMPUTED_VALUE"""),"20240614_宙出版_脈アリですかお隣さん")</f>
        <v>20240614_宙出版_脈アリですかお隣さん</v>
      </c>
      <c r="T1797" s="75" t="str">
        <f>IFERROR(__xludf.DUMMYFUNCTION("""COMPUTED_VALUE"""),"格納済み")</f>
        <v>格納済み</v>
      </c>
      <c r="U1797" s="15" t="str">
        <f>IFERROR(__xludf.DUMMYFUNCTION("""COMPUTED_VALUE"""),"Ⓒ平飼やけい/宙出版")</f>
        <v>Ⓒ平飼やけい/宙出版</v>
      </c>
      <c r="V1797" s="8" t="str">
        <f>IFERROR(__xludf.DUMMYFUNCTION("""COMPUTED_VALUE"""),"お隣さんガテン系・ノンケタチ×バリタチラブコメディ!?
「ただのお隣さん…のはずがなんで俺達…男同士でキスしてんだーー？」
部屋の鍵を職場に忘れどうしたものか悩む榊に声をかけてきたのは、お隣の部屋の住人・近衛。
すると近衛から自分の部屋へと誘われ、さらに食事までご馳走に。
近づきがたい印象だった近衛のイメージが変わり喜々とする榊。
ところが何気ない会話から近衛がゲイとわかり、榊は貞操を危ぶむのだがーー!?")</f>
        <v>お隣さんガテン系・ノンケタチ×バリタチラブコメディ!?
「ただのお隣さん…のはずがなんで俺達…男同士でキスしてんだーー？」
部屋の鍵を職場に忘れどうしたものか悩む榊に声をかけてきたのは、お隣の部屋の住人・近衛。
すると近衛から自分の部屋へと誘われ、さらに食事までご馳走に。
近づきがたい印象だった近衛のイメージが変わり喜々とする榊。
ところが何気ない会話から近衛がゲイとわかり、榊は貞操を危ぶむのだがーー!?</v>
      </c>
      <c r="W1797" s="14"/>
      <c r="X1797" s="14" t="str">
        <f>IFERROR(__xludf.DUMMYFUNCTION("""COMPUTED_VALUE"""),"有")</f>
        <v>有</v>
      </c>
      <c r="Y1797" s="8" t="str">
        <f>IFERROR(__xludf.DUMMYFUNCTION("""COMPUTED_VALUE"""),"P8まで")</f>
        <v>P8まで</v>
      </c>
      <c r="Z1797" s="7"/>
      <c r="AA1797" s="7"/>
      <c r="AB1797" s="7"/>
    </row>
    <row r="1798" ht="15.75" customHeight="1">
      <c r="A1798" s="66">
        <f>IFERROR(__xludf.DUMMYFUNCTION("""COMPUTED_VALUE"""),3050.0)</f>
        <v>3050</v>
      </c>
      <c r="B1798" s="75" t="str">
        <f>IFERROR(__xludf.DUMMYFUNCTION("""COMPUTED_VALUE"""),"確定")</f>
        <v>確定</v>
      </c>
      <c r="C1798" s="68">
        <f>IFERROR(__xludf.DUMMYFUNCTION("""COMPUTED_VALUE"""),45356.0)</f>
        <v>45356</v>
      </c>
      <c r="D1798" s="68">
        <f>IFERROR(__xludf.DUMMYFUNCTION("""COMPUTED_VALUE"""),45489.0)</f>
        <v>45489</v>
      </c>
      <c r="E1798" s="31">
        <f>IFERROR(__xludf.DUMMYFUNCTION("""COMPUTED_VALUE"""),297881.0)</f>
        <v>297881</v>
      </c>
      <c r="F1798" s="31" t="str">
        <f>IFERROR(__xludf.DUMMYFUNCTION("""COMPUTED_VALUE"""),"ロッカーの中は挿入中!? 男子更衣室に取り残されたドジJKを襲う一軍イケメンとの密着H")</f>
        <v>ロッカーの中は挿入中!? 男子更衣室に取り残されたドジJKを襲う一軍イケメンとの密着H</v>
      </c>
      <c r="G1798" s="69" t="str">
        <f>IFERROR(__xludf.DUMMYFUNCTION("""COMPUTED_VALUE"""),"1～3")</f>
        <v>1～3</v>
      </c>
      <c r="H1798" s="75" t="str">
        <f>IFERROR(__xludf.DUMMYFUNCTION("""COMPUTED_VALUE"""),"タカス")</f>
        <v>タカス</v>
      </c>
      <c r="I1798" s="75" t="str">
        <f>IFERROR(__xludf.DUMMYFUNCTION("""COMPUTED_VALUE"""),"オトナ")</f>
        <v>オトナ</v>
      </c>
      <c r="J1798" s="75"/>
      <c r="K1798" s="75"/>
      <c r="L1798" s="75" t="str">
        <f>IFERROR(__xludf.DUMMYFUNCTION("""COMPUTED_VALUE"""),"DEEPER-ZERO")</f>
        <v>DEEPER-ZERO</v>
      </c>
      <c r="M1798" s="59">
        <f>IFERROR(__xludf.DUMMYFUNCTION("""COMPUTED_VALUE"""),45500.0)</f>
        <v>45500</v>
      </c>
      <c r="N1798" s="23">
        <f>IFERROR(__xludf.DUMMYFUNCTION("""COMPUTED_VALUE"""),45562.0)</f>
        <v>45562</v>
      </c>
      <c r="O1798" s="69"/>
      <c r="P1798" s="80" t="str">
        <f>IFERROR(__xludf.DUMMYFUNCTION("""COMPUTED_VALUE"""),"可")</f>
        <v>可</v>
      </c>
      <c r="Q1798" s="75" t="str">
        <f>IFERROR(__xludf.DUMMYFUNCTION("""COMPUTED_VALUE"""),"広告コミットOK(3/15)")</f>
        <v>広告コミットOK(3/15)</v>
      </c>
      <c r="R1798" s="75" t="str">
        <f>IFERROR(__xludf.DUMMYFUNCTION("""COMPUTED_VALUE"""),"格納済み")</f>
        <v>格納済み</v>
      </c>
      <c r="S1798" s="75" t="str">
        <f>IFERROR(__xludf.DUMMYFUNCTION("""COMPUTED_VALUE"""),"20240711_CLLENN_ロッカーの中は挿入中! 男子更衣室に取り残されたドジJKを襲う一軍イケメンとの密着H")</f>
        <v>20240711_CLLENN_ロッカーの中は挿入中! 男子更衣室に取り残されたドジJKを襲う一軍イケメンとの密着H</v>
      </c>
      <c r="T1798" s="75" t="str">
        <f>IFERROR(__xludf.DUMMYFUNCTION("""COMPUTED_VALUE"""),"格納済み")</f>
        <v>格納済み</v>
      </c>
      <c r="U1798" s="15" t="str">
        <f>IFERROR(__xludf.DUMMYFUNCTION("""COMPUTED_VALUE"""),"(C)タカス/DEEPER-ZERO")</f>
        <v>(C)タカス/DEEPER-ZERO</v>
      </c>
      <c r="V1798" s="8" t="str">
        <f>IFERROR(__xludf.DUMMYFUNCTION("""COMPUTED_VALUE"""),"一軍男子のちん…が、私のおしりに密着してる…!?――なんでこんなことに…!? ドジって誰もいない男子更衣室に入ってしまった私。しかも、学年一のイケメン斎藤くんに見られちゃった！ だけど、斎藤くんは他の男子にバレないように、私をロッカーの中にかくまってくれた。人生終わってない…と思いきや、ロッカーの中で斎藤くんが私を襲ってきた!? いつもの雰囲気とは全然違うっ！ 息がかかるほど抱き着かれて、カラダをまさぐられて、服を脱がされて、おっぱいも触られて…うぅっ…あそこまで……ぐぷぷぷ～!! んあっ!? お腹の奥に"&amp;"何か入ってきたっ!?!?!?")</f>
        <v>一軍男子のちん…が、私のおしりに密着してる…!?――なんでこんなことに…!? ドジって誰もいない男子更衣室に入ってしまった私。しかも、学年一のイケメン斎藤くんに見られちゃった！ だけど、斎藤くんは他の男子にバレないように、私をロッカーの中にかくまってくれた。人生終わってない…と思いきや、ロッカーの中で斎藤くんが私を襲ってきた!? いつもの雰囲気とは全然違うっ！ 息がかかるほど抱き着かれて、カラダをまさぐられて、服を脱がされて、おっぱいも触られて…うぅっ…あそこまで……ぐぷぷぷ～!! んあっ!? お腹の奥に何か入ってきたっ!?!?!?</v>
      </c>
      <c r="W1798" s="14"/>
      <c r="X1798" s="14" t="str">
        <f>IFERROR(__xludf.DUMMYFUNCTION("""COMPUTED_VALUE"""),"有")</f>
        <v>有</v>
      </c>
      <c r="Y1798" s="8" t="str">
        <f>IFERROR(__xludf.DUMMYFUNCTION("""COMPUTED_VALUE"""),"2024/8/9まで1巻無料")</f>
        <v>2024/8/9まで1巻無料</v>
      </c>
      <c r="Z1798" s="7"/>
      <c r="AA1798" s="7"/>
      <c r="AB1798" s="7"/>
    </row>
    <row r="1799" ht="15.75" customHeight="1">
      <c r="A1799" s="66">
        <f>IFERROR(__xludf.DUMMYFUNCTION("""COMPUTED_VALUE"""),3250.0)</f>
        <v>3250</v>
      </c>
      <c r="B1799" s="75" t="str">
        <f>IFERROR(__xludf.DUMMYFUNCTION("""COMPUTED_VALUE"""),"確定")</f>
        <v>確定</v>
      </c>
      <c r="C1799" s="68">
        <f>IFERROR(__xludf.DUMMYFUNCTION("""COMPUTED_VALUE"""),45390.0)</f>
        <v>45390</v>
      </c>
      <c r="D1799" s="68">
        <f>IFERROR(__xludf.DUMMYFUNCTION("""COMPUTED_VALUE"""),45489.0)</f>
        <v>45489</v>
      </c>
      <c r="E1799" s="31">
        <f>IFERROR(__xludf.DUMMYFUNCTION("""COMPUTED_VALUE"""),297658.0)</f>
        <v>297658</v>
      </c>
      <c r="F1799" s="31" t="str">
        <f>IFERROR(__xludf.DUMMYFUNCTION("""COMPUTED_VALUE"""),"没落令嬢は絶倫御曹司の溺愛責めに抗えない")</f>
        <v>没落令嬢は絶倫御曹司の溺愛責めに抗えない</v>
      </c>
      <c r="G1799" s="69" t="str">
        <f>IFERROR(__xludf.DUMMYFUNCTION("""COMPUTED_VALUE"""),"1～3")</f>
        <v>1～3</v>
      </c>
      <c r="H1799" s="75" t="str">
        <f>IFERROR(__xludf.DUMMYFUNCTION("""COMPUTED_VALUE"""),"亀戸夕")</f>
        <v>亀戸夕</v>
      </c>
      <c r="I1799" s="75" t="str">
        <f>IFERROR(__xludf.DUMMYFUNCTION("""COMPUTED_VALUE"""),"オトナ")</f>
        <v>オトナ</v>
      </c>
      <c r="J1799" s="75"/>
      <c r="K1799" s="75"/>
      <c r="L1799" s="75" t="str">
        <f>IFERROR(__xludf.DUMMYFUNCTION("""COMPUTED_VALUE"""),"DEEPER-ZERO")</f>
        <v>DEEPER-ZERO</v>
      </c>
      <c r="M1799" s="23">
        <f>IFERROR(__xludf.DUMMYFUNCTION("""COMPUTED_VALUE"""),45499.0)</f>
        <v>45499</v>
      </c>
      <c r="N1799" s="23">
        <f>IFERROR(__xludf.DUMMYFUNCTION("""COMPUTED_VALUE"""),45561.0)</f>
        <v>45561</v>
      </c>
      <c r="O1799" s="69"/>
      <c r="P1799" s="80" t="str">
        <f>IFERROR(__xludf.DUMMYFUNCTION("""COMPUTED_VALUE"""),"可")</f>
        <v>可</v>
      </c>
      <c r="Q1799" s="75" t="str">
        <f>IFERROR(__xludf.DUMMYFUNCTION("""COMPUTED_VALUE"""),"広告コミットOK（4/17）")</f>
        <v>広告コミットOK（4/17）</v>
      </c>
      <c r="R1799" s="75" t="str">
        <f>IFERROR(__xludf.DUMMYFUNCTION("""COMPUTED_VALUE"""),"格納済み")</f>
        <v>格納済み</v>
      </c>
      <c r="S1799" s="75" t="str">
        <f>IFERROR(__xludf.DUMMYFUNCTION("""COMPUTED_VALUE"""),"20240711_CLLENN_没落令嬢は絶倫御曹司の溺愛責めに抗えない")</f>
        <v>20240711_CLLENN_没落令嬢は絶倫御曹司の溺愛責めに抗えない</v>
      </c>
      <c r="T1799" s="75" t="str">
        <f>IFERROR(__xludf.DUMMYFUNCTION("""COMPUTED_VALUE"""),"格納済み")</f>
        <v>格納済み</v>
      </c>
      <c r="U1799" s="15" t="str">
        <f>IFERROR(__xludf.DUMMYFUNCTION("""COMPUTED_VALUE"""),"(C)亀戸夕/DEEPER-ZERO")</f>
        <v>(C)亀戸夕/DEEPER-ZERO</v>
      </c>
      <c r="V1799" s="8" t="str">
        <f>IFERROR(__xludf.DUMMYFUNCTION("""COMPUTED_VALUE"""),"「ヨリのアソコ、美味しい♪」私の恥ずかしいトコを一心不乱に舐める晴臣様。私は快感を堪えるのに必死なのに…。「最後に素●させて？」晴臣様のお願いには逆らえず私がお尻を突き出すと、硬くなったアレを押し当てられて…ぬぷんっ！ えっ、入っちゃった!?──借金返済のため、名家・豊善寺家にメイドとして雇われることになった元令嬢の頼子。そんな彼女に豊善寺家の御曹司・晴臣様は一目惚れ!? 「オッパイに触らせて！」晴臣様の無邪気なお願いに翻弄される頼子。晴臣様のエッチな要求はどんどんエスカレートしていき…。――ご主人様に見"&amp;"つめられたら逆らえない？ 絶倫御曹司×没落令嬢メイドの身分差学園ラブコメディ！")</f>
        <v>「ヨリのアソコ、美味しい♪」私の恥ずかしいトコを一心不乱に舐める晴臣様。私は快感を堪えるのに必死なのに…。「最後に素●させて？」晴臣様のお願いには逆らえず私がお尻を突き出すと、硬くなったアレを押し当てられて…ぬぷんっ！ えっ、入っちゃった!?──借金返済のため、名家・豊善寺家にメイドとして雇われることになった元令嬢の頼子。そんな彼女に豊善寺家の御曹司・晴臣様は一目惚れ!? 「オッパイに触らせて！」晴臣様の無邪気なお願いに翻弄される頼子。晴臣様のエッチな要求はどんどんエスカレートしていき…。――ご主人様に見つめられたら逆らえない？ 絶倫御曹司×没落令嬢メイドの身分差学園ラブコメディ！</v>
      </c>
      <c r="W1799" s="14"/>
      <c r="X1799" s="14" t="str">
        <f>IFERROR(__xludf.DUMMYFUNCTION("""COMPUTED_VALUE"""),"有")</f>
        <v>有</v>
      </c>
      <c r="Y1799" s="8" t="str">
        <f>IFERROR(__xludf.DUMMYFUNCTION("""COMPUTED_VALUE"""),"2024/8/8まで1巻無料")</f>
        <v>2024/8/8まで1巻無料</v>
      </c>
      <c r="Z1799" s="7"/>
      <c r="AA1799" s="7"/>
      <c r="AB1799" s="7"/>
    </row>
    <row r="1800" ht="15.75" customHeight="1">
      <c r="A1800" s="66">
        <f>IFERROR(__xludf.DUMMYFUNCTION("""COMPUTED_VALUE"""),3393.0)</f>
        <v>3393</v>
      </c>
      <c r="B1800" s="75" t="str">
        <f>IFERROR(__xludf.DUMMYFUNCTION("""COMPUTED_VALUE"""),"確定")</f>
        <v>確定</v>
      </c>
      <c r="C1800" s="68">
        <f>IFERROR(__xludf.DUMMYFUNCTION("""COMPUTED_VALUE"""),45420.0)</f>
        <v>45420</v>
      </c>
      <c r="D1800" s="68">
        <f>IFERROR(__xludf.DUMMYFUNCTION("""COMPUTED_VALUE"""),45490.0)</f>
        <v>45490</v>
      </c>
      <c r="E1800" s="31">
        <f>IFERROR(__xludf.DUMMYFUNCTION("""COMPUTED_VALUE"""),299030.0)</f>
        <v>299030</v>
      </c>
      <c r="F1800" s="31" t="str">
        <f>IFERROR(__xludf.DUMMYFUNCTION("""COMPUTED_VALUE"""),"VS残念ガール【マイクロ】")</f>
        <v>VS残念ガール【マイクロ】</v>
      </c>
      <c r="G1800" s="69" t="str">
        <f>IFERROR(__xludf.DUMMYFUNCTION("""COMPUTED_VALUE"""),"1～3")</f>
        <v>1～3</v>
      </c>
      <c r="H1800" s="75" t="str">
        <f>IFERROR(__xludf.DUMMYFUNCTION("""COMPUTED_VALUE"""),"畑亜希美")</f>
        <v>畑亜希美</v>
      </c>
      <c r="I1800" s="83" t="str">
        <f>IFERROR(__xludf.DUMMYFUNCTION("""COMPUTED_VALUE"""),"女性")</f>
        <v>女性</v>
      </c>
      <c r="J1800" s="75"/>
      <c r="K1800" s="75"/>
      <c r="L1800" s="75" t="str">
        <f>IFERROR(__xludf.DUMMYFUNCTION("""COMPUTED_VALUE"""),"小学館")</f>
        <v>小学館</v>
      </c>
      <c r="M1800" s="59">
        <f>IFERROR(__xludf.DUMMYFUNCTION("""COMPUTED_VALUE"""),45512.0)</f>
        <v>45512</v>
      </c>
      <c r="N1800" s="59">
        <f>IFERROR(__xludf.DUMMYFUNCTION("""COMPUTED_VALUE"""),45572.0)</f>
        <v>45572</v>
      </c>
      <c r="O1800" s="69"/>
      <c r="P1800" s="80" t="str">
        <f>IFERROR(__xludf.DUMMYFUNCTION("""COMPUTED_VALUE"""),"否")</f>
        <v>否</v>
      </c>
      <c r="Q1800" s="72" t="str">
        <f>IFERROR(__xludf.DUMMYFUNCTION("""COMPUTED_VALUE"""),"広告コミットOK(5/10)&lt;BR&gt;・続話先行：1ヵ月（2か月に一度追話）")</f>
        <v>広告コミットOK(5/10)&lt;BR&gt;・続話先行：1ヵ月（2か月に一度追話）</v>
      </c>
      <c r="R1800" s="75"/>
      <c r="S1800" s="75" t="str">
        <f>IFERROR(__xludf.DUMMYFUNCTION("""COMPUTED_VALUE"""),"20240710_小学館_VS残念ガール【マイクロ】")</f>
        <v>20240710_小学館_VS残念ガール【マイクロ】</v>
      </c>
      <c r="T1800" s="75" t="str">
        <f>IFERROR(__xludf.DUMMYFUNCTION("""COMPUTED_VALUE"""),"格納済み")</f>
        <v>格納済み</v>
      </c>
      <c r="U1800" s="15" t="str">
        <f>IFERROR(__xludf.DUMMYFUNCTION("""COMPUTED_VALUE"""),"(C)畑亜希美 / 小学館")</f>
        <v>(C)畑亜希美 / 小学館</v>
      </c>
      <c r="V1800" s="8" t="str">
        <f>IFERROR(__xludf.DUMMYFUNCTION("""COMPUTED_VALUE"""),"頂点ボーイVS底辺ガールの逆転ヒエラルキーラブ！　恋も仕事もゲーム。勝つのは俺。使える駒は何でも使う。周囲の人たちをゲームの駒のように自由自在に操ってきたエース社員の朝日。ある日、派遣社員としてやって来たのは、中高時代の冴えない同級生・奥山で…？")</f>
        <v>頂点ボーイVS底辺ガールの逆転ヒエラルキーラブ！　恋も仕事もゲーム。勝つのは俺。使える駒は何でも使う。周囲の人たちをゲームの駒のように自由自在に操ってきたエース社員の朝日。ある日、派遣社員としてやって来たのは、中高時代の冴えない同級生・奥山で…？</v>
      </c>
      <c r="W1800" s="14"/>
      <c r="X1800" s="14" t="str">
        <f>IFERROR(__xludf.DUMMYFUNCTION("""COMPUTED_VALUE"""),"有")</f>
        <v>有</v>
      </c>
      <c r="Y1800" s="8" t="str">
        <f>IFERROR(__xludf.DUMMYFUNCTION("""COMPUTED_VALUE"""),"2024/10/7まで1巻無料")</f>
        <v>2024/10/7まで1巻無料</v>
      </c>
      <c r="Z1800" s="7"/>
      <c r="AA1800" s="7"/>
      <c r="AB1800" s="7"/>
    </row>
    <row r="1801" ht="15.75" customHeight="1">
      <c r="A1801" s="66">
        <f>IFERROR(__xludf.DUMMYFUNCTION("""COMPUTED_VALUE"""),3509.0)</f>
        <v>3509</v>
      </c>
      <c r="B1801" s="75" t="str">
        <f>IFERROR(__xludf.DUMMYFUNCTION("""COMPUTED_VALUE"""),"確定")</f>
        <v>確定</v>
      </c>
      <c r="C1801" s="68">
        <f>IFERROR(__xludf.DUMMYFUNCTION("""COMPUTED_VALUE"""),45439.0)</f>
        <v>45439</v>
      </c>
      <c r="D1801" s="68">
        <f>IFERROR(__xludf.DUMMYFUNCTION("""COMPUTED_VALUE"""),45490.0)</f>
        <v>45490</v>
      </c>
      <c r="E1801" s="31">
        <f>IFERROR(__xludf.DUMMYFUNCTION("""COMPUTED_VALUE"""),298228.0)</f>
        <v>298228</v>
      </c>
      <c r="F1801" s="52" t="str">
        <f>IFERROR(__xludf.DUMMYFUNCTION("""COMPUTED_VALUE"""),"旦那様がちっちゃいモフモフになりました ～私を悪女だと誤解していたのに、すべて義母の嘘だと気づいたようです～ 【連載版】")</f>
        <v>旦那様がちっちゃいモフモフになりました ～私を悪女だと誤解していたのに、すべて義母の嘘だと気づいたようです～ 【連載版】</v>
      </c>
      <c r="G1801" s="69" t="str">
        <f>IFERROR(__xludf.DUMMYFUNCTION("""COMPUTED_VALUE"""),"1～4")</f>
        <v>1～4</v>
      </c>
      <c r="H1801" s="75" t="str">
        <f>IFERROR(__xludf.DUMMYFUNCTION("""COMPUTED_VALUE"""),"コミック：いなる 原作：菜々 キャラクター原案：眠介")</f>
        <v>コミック：いなる 原作：菜々 キャラクター原案：眠介</v>
      </c>
      <c r="I1801" s="75" t="str">
        <f>IFERROR(__xludf.DUMMYFUNCTION("""COMPUTED_VALUE"""),"少女")</f>
        <v>少女</v>
      </c>
      <c r="J1801" s="75"/>
      <c r="K1801" s="75"/>
      <c r="L1801" s="75" t="str">
        <f>IFERROR(__xludf.DUMMYFUNCTION("""COMPUTED_VALUE"""),"一迅社")</f>
        <v>一迅社</v>
      </c>
      <c r="M1801" s="59">
        <f>IFERROR(__xludf.DUMMYFUNCTION("""COMPUTED_VALUE"""),45505.0)</f>
        <v>45505</v>
      </c>
      <c r="N1801" s="59">
        <f>IFERROR(__xludf.DUMMYFUNCTION("""COMPUTED_VALUE"""),45535.0)</f>
        <v>45535</v>
      </c>
      <c r="O1801" s="69"/>
      <c r="P1801" s="80" t="str">
        <f>IFERROR(__xludf.DUMMYFUNCTION("""COMPUTED_VALUE"""),"可")</f>
        <v>可</v>
      </c>
      <c r="Q1801" s="72" t="str">
        <f>IFERROR(__xludf.DUMMYFUNCTION("""COMPUTED_VALUE"""),"広告コミットOK(5/31)&lt;BR&gt;・「一迅社ノベルス」原作の恋愛ファンタジー系、コミカライズタイトルです。不遇な家族環境から、ヒーローとの出会いによって幸せになっていくタイプの王道テーマのシンデレラストーリーになります。")</f>
        <v>広告コミットOK(5/31)&lt;BR&gt;・「一迅社ノベルス」原作の恋愛ファンタジー系、コミカライズタイトルです。不遇な家族環境から、ヒーローとの出会いによって幸せになっていくタイプの王道テーマのシンデレラストーリーになります。</v>
      </c>
      <c r="R1801" s="75"/>
      <c r="S1801" s="75" t="str">
        <f>IFERROR(__xludf.DUMMYFUNCTION("""COMPUTED_VALUE"""),"20240716_一迅社_旦那様がちっちゃいモフモフになりました")</f>
        <v>20240716_一迅社_旦那様がちっちゃいモフモフになりました</v>
      </c>
      <c r="T1801" s="75" t="str">
        <f>IFERROR(__xludf.DUMMYFUNCTION("""COMPUTED_VALUE"""),"格納済み")</f>
        <v>格納済み</v>
      </c>
      <c r="U1801" s="15" t="str">
        <f>IFERROR(__xludf.DUMMYFUNCTION("""COMPUTED_VALUE"""),"(C)いなる・菜々・眠介／一迅社")</f>
        <v>(C)いなる・菜々・眠介／一迅社</v>
      </c>
      <c r="V1801" s="8" t="str">
        <f>IFERROR(__xludf.DUMMYFUNCTION("""COMPUTED_VALUE"""),"英雄騎士で公爵家の当主、みんなが憧れるルイ様に求婚された男爵令嬢の私、リリー。だけど結婚してから二年――私はルイ様から嫌われ、義母と義姉から虐げられる日々を送っていた。それというのも、義母は私のことを贅沢三昧をして使用人をいびる「悪女」だとルイ様に吹き込んでいるから！そんな仮初めの夫婦生活にも慣れたある日、庭で掃除をしていると、手のひらサイズのモフモフしたとっても可愛い小動物が！ ルイ様そっくりの瞳と毛並みをもつその子に、つい声をかけてしまったのだけど……まさかの本人なの!?「一迅社ノベルス」の話題作をコ"&amp;"ミカライズ！ モフモフになった旦那様とボロボロな若奥様の、ちぐはぐで甘々なラブファンタジー！【本商品は単話コンテンツとなります。単行本版と収録内容が異なる場合がございます。漫画内の告知等は過去のものとなりますので、ご注意ください。】")</f>
        <v>英雄騎士で公爵家の当主、みんなが憧れるルイ様に求婚された男爵令嬢の私、リリー。だけど結婚してから二年――私はルイ様から嫌われ、義母と義姉から虐げられる日々を送っていた。それというのも、義母は私のことを贅沢三昧をして使用人をいびる「悪女」だとルイ様に吹き込んでいるから！そんな仮初めの夫婦生活にも慣れたある日、庭で掃除をしていると、手のひらサイズのモフモフしたとっても可愛い小動物が！ ルイ様そっくりの瞳と毛並みをもつその子に、つい声をかけてしまったのだけど……まさかの本人なの!?「一迅社ノベルス」の話題作をコミカライズ！ モフモフになった旦那様とボロボロな若奥様の、ちぐはぐで甘々なラブファンタジー！【本商品は単話コンテンツとなります。単行本版と収録内容が異なる場合がございます。漫画内の告知等は過去のものとなりますので、ご注意ください。】</v>
      </c>
      <c r="W1801" s="14"/>
      <c r="X1801" s="14" t="str">
        <f>IFERROR(__xludf.DUMMYFUNCTION("""COMPUTED_VALUE"""),"有")</f>
        <v>有</v>
      </c>
      <c r="Y1801" s="8" t="str">
        <f>IFERROR(__xludf.DUMMYFUNCTION("""COMPUTED_VALUE"""),"2024/8/31まで1巻無料")</f>
        <v>2024/8/31まで1巻無料</v>
      </c>
      <c r="Z1801" s="7"/>
      <c r="AA1801" s="7"/>
      <c r="AB1801" s="7"/>
    </row>
    <row r="1802" ht="15.75" customHeight="1">
      <c r="A1802" s="66">
        <f>IFERROR(__xludf.DUMMYFUNCTION("""COMPUTED_VALUE"""),3553.0)</f>
        <v>3553</v>
      </c>
      <c r="B1802" s="75" t="str">
        <f>IFERROR(__xludf.DUMMYFUNCTION("""COMPUTED_VALUE"""),"確定")</f>
        <v>確定</v>
      </c>
      <c r="C1802" s="68">
        <f>IFERROR(__xludf.DUMMYFUNCTION("""COMPUTED_VALUE"""),45442.0)</f>
        <v>45442</v>
      </c>
      <c r="D1802" s="68">
        <f>IFERROR(__xludf.DUMMYFUNCTION("""COMPUTED_VALUE"""),45490.0)</f>
        <v>45490</v>
      </c>
      <c r="E1802" s="31">
        <f>IFERROR(__xludf.DUMMYFUNCTION("""COMPUTED_VALUE"""),297996.0)</f>
        <v>297996</v>
      </c>
      <c r="F1802" s="31" t="str">
        <f>IFERROR(__xludf.DUMMYFUNCTION("""COMPUTED_VALUE"""),"俺のこと、好きにならないでね。")</f>
        <v>俺のこと、好きにならないでね。</v>
      </c>
      <c r="G1802" s="69" t="str">
        <f>IFERROR(__xludf.DUMMYFUNCTION("""COMPUTED_VALUE"""),"1～3")</f>
        <v>1～3</v>
      </c>
      <c r="H1802" s="75" t="str">
        <f>IFERROR(__xludf.DUMMYFUNCTION("""COMPUTED_VALUE"""),"シリ崎")</f>
        <v>シリ崎</v>
      </c>
      <c r="I1802" s="75" t="str">
        <f>IFERROR(__xludf.DUMMYFUNCTION("""COMPUTED_VALUE"""),"女性")</f>
        <v>女性</v>
      </c>
      <c r="J1802" s="75"/>
      <c r="K1802" s="75"/>
      <c r="L1802" s="75" t="str">
        <f>IFERROR(__xludf.DUMMYFUNCTION("""COMPUTED_VALUE"""),"CLLENN")</f>
        <v>CLLENN</v>
      </c>
      <c r="M1802" s="59">
        <f>IFERROR(__xludf.DUMMYFUNCTION("""COMPUTED_VALUE"""),45504.0)</f>
        <v>45504</v>
      </c>
      <c r="N1802" s="59">
        <f>IFERROR(__xludf.DUMMYFUNCTION("""COMPUTED_VALUE"""),45601.0)</f>
        <v>45601</v>
      </c>
      <c r="O1802" s="69"/>
      <c r="P1802" s="80" t="str">
        <f>IFERROR(__xludf.DUMMYFUNCTION("""COMPUTED_VALUE"""),"可")</f>
        <v>可</v>
      </c>
      <c r="Q1802" s="75" t="str">
        <f>IFERROR(__xludf.DUMMYFUNCTION("""COMPUTED_VALUE"""),"広告コミットOK(6/6)")</f>
        <v>広告コミットOK(6/6)</v>
      </c>
      <c r="R1802" s="75" t="str">
        <f>IFERROR(__xludf.DUMMYFUNCTION("""COMPUTED_VALUE"""),"格納済み")</f>
        <v>格納済み</v>
      </c>
      <c r="S1802" s="75" t="str">
        <f>IFERROR(__xludf.DUMMYFUNCTION("""COMPUTED_VALUE"""),"20240716_CLLENN_俺のこと、好きにならないでね。")</f>
        <v>20240716_CLLENN_俺のこと、好きにならないでね。</v>
      </c>
      <c r="T1802" s="75" t="str">
        <f>IFERROR(__xludf.DUMMYFUNCTION("""COMPUTED_VALUE"""),"格納済み")</f>
        <v>格納済み</v>
      </c>
      <c r="U1802" s="15" t="str">
        <f>IFERROR(__xludf.DUMMYFUNCTION("""COMPUTED_VALUE"""),"(C)シリ崎/CLLENN")</f>
        <v>(C)シリ崎/CLLENN</v>
      </c>
      <c r="V1802" s="8" t="str">
        <f>IFERROR(__xludf.DUMMYFUNCTION("""COMPUTED_VALUE"""),"数合わせで参加した合コンで愛都美が出会ったのは、イケメンで王子様みたいな獣医・柴垣 塁。同業者ということもあって、意気投合しそのままホテルへ…一緒に朝を迎えるも塁は別人レベルで感じが悪く…ヤリモクだとしても酷すぎる！ときめきを返せ！心機一転、新しい職場で仕事に生きると決めた愛都美だが、そこには塁が！「念のため言っとくけど、俺のこと好きにならないでね」動物病院ではじまる、正反対な二人の焦れキュンラブストーリー！")</f>
        <v>数合わせで参加した合コンで愛都美が出会ったのは、イケメンで王子様みたいな獣医・柴垣 塁。同業者ということもあって、意気投合しそのままホテルへ…一緒に朝を迎えるも塁は別人レベルで感じが悪く…ヤリモクだとしても酷すぎる！ときめきを返せ！心機一転、新しい職場で仕事に生きると決めた愛都美だが、そこには塁が！「念のため言っとくけど、俺のこと好きにならないでね」動物病院ではじまる、正反対な二人の焦れキュンラブストーリー！</v>
      </c>
      <c r="W1802" s="14"/>
      <c r="X1802" s="14" t="str">
        <f>IFERROR(__xludf.DUMMYFUNCTION("""COMPUTED_VALUE"""),"有")</f>
        <v>有</v>
      </c>
      <c r="Y1802" s="8" t="str">
        <f>IFERROR(__xludf.DUMMYFUNCTION("""COMPUTED_VALUE"""),"2024/8/13まで1巻無料")</f>
        <v>2024/8/13まで1巻無料</v>
      </c>
      <c r="Z1802" s="7"/>
      <c r="AA1802" s="7"/>
      <c r="AB1802" s="7"/>
    </row>
    <row r="1803" ht="15.75" customHeight="1">
      <c r="A1803" s="66">
        <f>IFERROR(__xludf.DUMMYFUNCTION("""COMPUTED_VALUE"""),3567.0)</f>
        <v>3567</v>
      </c>
      <c r="B1803" s="75" t="str">
        <f>IFERROR(__xludf.DUMMYFUNCTION("""COMPUTED_VALUE"""),"確定")</f>
        <v>確定</v>
      </c>
      <c r="C1803" s="68">
        <f>IFERROR(__xludf.DUMMYFUNCTION("""COMPUTED_VALUE"""),45446.0)</f>
        <v>45446</v>
      </c>
      <c r="D1803" s="68">
        <f>IFERROR(__xludf.DUMMYFUNCTION("""COMPUTED_VALUE"""),45490.0)</f>
        <v>45490</v>
      </c>
      <c r="E1803" s="31">
        <f>IFERROR(__xludf.DUMMYFUNCTION("""COMPUTED_VALUE"""),297582.0)</f>
        <v>297582</v>
      </c>
      <c r="F1803" s="31" t="str">
        <f>IFERROR(__xludf.DUMMYFUNCTION("""COMPUTED_VALUE"""),"捕食は婚姻のあとで")</f>
        <v>捕食は婚姻のあとで</v>
      </c>
      <c r="G1803" s="69" t="str">
        <f>IFERROR(__xludf.DUMMYFUNCTION("""COMPUTED_VALUE"""),"1～3")</f>
        <v>1～3</v>
      </c>
      <c r="H1803" s="75" t="str">
        <f>IFERROR(__xludf.DUMMYFUNCTION("""COMPUTED_VALUE"""),"樋木ゆいち")</f>
        <v>樋木ゆいち</v>
      </c>
      <c r="I1803" s="75" t="str">
        <f>IFERROR(__xludf.DUMMYFUNCTION("""COMPUTED_VALUE"""),"BL")</f>
        <v>BL</v>
      </c>
      <c r="J1803" s="75"/>
      <c r="K1803" s="75"/>
      <c r="L1803" s="75" t="str">
        <f>IFERROR(__xludf.DUMMYFUNCTION("""COMPUTED_VALUE"""),"forcs")</f>
        <v>forcs</v>
      </c>
      <c r="M1803" s="59">
        <f>IFERROR(__xludf.DUMMYFUNCTION("""COMPUTED_VALUE"""),45513.0)</f>
        <v>45513</v>
      </c>
      <c r="N1803" s="47">
        <f>IFERROR(__xludf.DUMMYFUNCTION("""COMPUTED_VALUE"""),45575.0)</f>
        <v>45575</v>
      </c>
      <c r="O1803" s="69"/>
      <c r="P1803" s="80" t="str">
        <f>IFERROR(__xludf.DUMMYFUNCTION("""COMPUTED_VALUE"""),"可")</f>
        <v>可</v>
      </c>
      <c r="Q1803" s="75" t="str">
        <f>IFERROR(__xludf.DUMMYFUNCTION("""COMPUTED_VALUE"""),"広告コミットOK(6/11)&lt;BR&gt;※独占先行です&lt;BR&gt;※先行延長交渉可能です")</f>
        <v>広告コミットOK(6/11)&lt;BR&gt;※独占先行です&lt;BR&gt;※先行延長交渉可能です</v>
      </c>
      <c r="R1803" s="75" t="str">
        <f>IFERROR(__xludf.DUMMYFUNCTION("""COMPUTED_VALUE"""),"格納済み")</f>
        <v>格納済み</v>
      </c>
      <c r="S1803" s="75" t="str">
        <f>IFERROR(__xludf.DUMMYFUNCTION("""COMPUTED_VALUE"""),"20240710_forcs_捕食は婚姻のあとで")</f>
        <v>20240710_forcs_捕食は婚姻のあとで</v>
      </c>
      <c r="T1803" s="75" t="str">
        <f>IFERROR(__xludf.DUMMYFUNCTION("""COMPUTED_VALUE"""),"格納済み")</f>
        <v>格納済み</v>
      </c>
      <c r="U1803" s="15" t="str">
        <f>IFERROR(__xludf.DUMMYFUNCTION("""COMPUTED_VALUE"""),"©樋木ゆいち/forcs")</f>
        <v>©樋木ゆいち/forcs</v>
      </c>
      <c r="V1803" s="8" t="str">
        <f>IFERROR(__xludf.DUMMYFUNCTION("""COMPUTED_VALUE"""),"王命により、淫魔族の後継・ジュリオは吸血鬼族の後継・ルイスと魔族同士での政略婚約を結ぶことになった。早速同棲が始まるも、もともとライバル関係だったことからルイスを一方的に避けるジュリオ。互いに距離を置いて過ごしていたが、怪我をしたジュリオの血の匂いを引きがねに魔族の本能が覚醒した二人は夢中で体を重ね始める。その最中、ルイスはジュリオのある『秘密』に気づき―――。
「…君　本当にインキュバス？」
王子様系吸血鬼×堅物淫魔のエロスあふれる異世界ラブストーリー♪")</f>
        <v>王命により、淫魔族の後継・ジュリオは吸血鬼族の後継・ルイスと魔族同士での政略婚約を結ぶことになった。早速同棲が始まるも、もともとライバル関係だったことからルイスを一方的に避けるジュリオ。互いに距離を置いて過ごしていたが、怪我をしたジュリオの血の匂いを引きがねに魔族の本能が覚醒した二人は夢中で体を重ね始める。その最中、ルイスはジュリオのある『秘密』に気づき―――。
「…君　本当にインキュバス？」
王子様系吸血鬼×堅物淫魔のエロスあふれる異世界ラブストーリー♪</v>
      </c>
      <c r="W1803" s="14"/>
      <c r="X1803" s="14" t="str">
        <f>IFERROR(__xludf.DUMMYFUNCTION("""COMPUTED_VALUE"""),"有")</f>
        <v>有</v>
      </c>
      <c r="Y1803" s="8" t="str">
        <f>IFERROR(__xludf.DUMMYFUNCTION("""COMPUTED_VALUE"""),"P31まで")</f>
        <v>P31まで</v>
      </c>
      <c r="Z1803" s="7"/>
      <c r="AA1803" s="7"/>
      <c r="AB1803" s="7"/>
    </row>
    <row r="1804" ht="15.75" customHeight="1">
      <c r="A1804" s="66">
        <f>IFERROR(__xludf.DUMMYFUNCTION("""COMPUTED_VALUE"""),3611.0)</f>
        <v>3611</v>
      </c>
      <c r="B1804" s="75" t="str">
        <f>IFERROR(__xludf.DUMMYFUNCTION("""COMPUTED_VALUE"""),"確定")</f>
        <v>確定</v>
      </c>
      <c r="C1804" s="68">
        <f>IFERROR(__xludf.DUMMYFUNCTION("""COMPUTED_VALUE"""),45453.0)</f>
        <v>45453</v>
      </c>
      <c r="D1804" s="68">
        <f>IFERROR(__xludf.DUMMYFUNCTION("""COMPUTED_VALUE"""),45489.0)</f>
        <v>45489</v>
      </c>
      <c r="E1804" s="31">
        <f>IFERROR(__xludf.DUMMYFUNCTION("""COMPUTED_VALUE"""),297652.0)</f>
        <v>297652</v>
      </c>
      <c r="F1804" s="31" t="str">
        <f>IFERROR(__xludf.DUMMYFUNCTION("""COMPUTED_VALUE"""),"星の愚痴などネオンライトは聞いてない")</f>
        <v>星の愚痴などネオンライトは聞いてない</v>
      </c>
      <c r="G1804" s="69" t="str">
        <f>IFERROR(__xludf.DUMMYFUNCTION("""COMPUTED_VALUE"""),"1～3")</f>
        <v>1～3</v>
      </c>
      <c r="H1804" s="75" t="str">
        <f>IFERROR(__xludf.DUMMYFUNCTION("""COMPUTED_VALUE"""),"ひびき澪")</f>
        <v>ひびき澪</v>
      </c>
      <c r="I1804" s="75" t="str">
        <f>IFERROR(__xludf.DUMMYFUNCTION("""COMPUTED_VALUE"""),"女性")</f>
        <v>女性</v>
      </c>
      <c r="J1804" s="75"/>
      <c r="K1804" s="75"/>
      <c r="L1804" s="75" t="str">
        <f>IFERROR(__xludf.DUMMYFUNCTION("""COMPUTED_VALUE"""),"CLLENN")</f>
        <v>CLLENN</v>
      </c>
      <c r="M1804" s="23">
        <f>IFERROR(__xludf.DUMMYFUNCTION("""COMPUTED_VALUE"""),45499.0)</f>
        <v>45499</v>
      </c>
      <c r="N1804" s="23">
        <f>IFERROR(__xludf.DUMMYFUNCTION("""COMPUTED_VALUE"""),45561.0)</f>
        <v>45561</v>
      </c>
      <c r="O1804" s="69"/>
      <c r="P1804" s="80" t="str">
        <f>IFERROR(__xludf.DUMMYFUNCTION("""COMPUTED_VALUE"""),"可")</f>
        <v>可</v>
      </c>
      <c r="Q1804" s="75" t="str">
        <f>IFERROR(__xludf.DUMMYFUNCTION("""COMPUTED_VALUE"""),"広告コミットOK(6/17)")</f>
        <v>広告コミットOK(6/17)</v>
      </c>
      <c r="R1804" s="75" t="str">
        <f>IFERROR(__xludf.DUMMYFUNCTION("""COMPUTED_VALUE"""),"格納済み")</f>
        <v>格納済み</v>
      </c>
      <c r="S1804" s="75" t="str">
        <f>IFERROR(__xludf.DUMMYFUNCTION("""COMPUTED_VALUE"""),"20240711_CLLENN_星の愚痴などネオンライトは聞いてない")</f>
        <v>20240711_CLLENN_星の愚痴などネオンライトは聞いてない</v>
      </c>
      <c r="T1804" s="75" t="str">
        <f>IFERROR(__xludf.DUMMYFUNCTION("""COMPUTED_VALUE"""),"格納済み")</f>
        <v>格納済み</v>
      </c>
      <c r="U1804" s="15" t="str">
        <f>IFERROR(__xludf.DUMMYFUNCTION("""COMPUTED_VALUE"""),"C)ひびき澪/CLLENN")</f>
        <v>C)ひびき澪/CLLENN</v>
      </c>
      <c r="V1804" s="8" t="str">
        <f>IFERROR(__xludf.DUMMYFUNCTION("""COMPUTED_VALUE"""),"自身の人生に閉塞感を抱いていた百川咲月（ももかわさつき）。一人カラオケで日頃の鬱憤を晴らしていたある日、高校時代の同級生・鈴鳴陽日（すずなりあさひ）と再会する。「あの頃の俺には眩しすぎて、ほとんど見てることしかできなかったけど…好きだった。本当に」当時の想いを打ち明けられ、流されるまま一夜をともにしてしまった二人。献身的で真っ直ぐに想いを伝えてくれる陽日に、次第に絆されていく咲月。しかし彼の裏の顔は、女性を沼らせ貢がせるホストで……。")</f>
        <v>自身の人生に閉塞感を抱いていた百川咲月（ももかわさつき）。一人カラオケで日頃の鬱憤を晴らしていたある日、高校時代の同級生・鈴鳴陽日（すずなりあさひ）と再会する。「あの頃の俺には眩しすぎて、ほとんど見てることしかできなかったけど…好きだった。本当に」当時の想いを打ち明けられ、流されるまま一夜をともにしてしまった二人。献身的で真っ直ぐに想いを伝えてくれる陽日に、次第に絆されていく咲月。しかし彼の裏の顔は、女性を沼らせ貢がせるホストで……。</v>
      </c>
      <c r="W1804" s="14"/>
      <c r="X1804" s="14" t="str">
        <f>IFERROR(__xludf.DUMMYFUNCTION("""COMPUTED_VALUE"""),"有")</f>
        <v>有</v>
      </c>
      <c r="Y1804" s="8" t="str">
        <f>IFERROR(__xludf.DUMMYFUNCTION("""COMPUTED_VALUE"""),"2024/8/8まで1巻無料")</f>
        <v>2024/8/8まで1巻無料</v>
      </c>
      <c r="Z1804" s="7"/>
      <c r="AA1804" s="7"/>
      <c r="AB1804" s="7"/>
    </row>
    <row r="1805" ht="15.75" customHeight="1">
      <c r="A1805" s="66">
        <f>IFERROR(__xludf.DUMMYFUNCTION("""COMPUTED_VALUE"""),3627.0)</f>
        <v>3627</v>
      </c>
      <c r="B1805" s="75" t="str">
        <f>IFERROR(__xludf.DUMMYFUNCTION("""COMPUTED_VALUE"""),"確定")</f>
        <v>確定</v>
      </c>
      <c r="C1805" s="68">
        <f>IFERROR(__xludf.DUMMYFUNCTION("""COMPUTED_VALUE"""),45455.0)</f>
        <v>45455</v>
      </c>
      <c r="D1805" s="68">
        <f>IFERROR(__xludf.DUMMYFUNCTION("""COMPUTED_VALUE"""),45490.0)</f>
        <v>45490</v>
      </c>
      <c r="E1805" s="31">
        <f>IFERROR(__xludf.DUMMYFUNCTION("""COMPUTED_VALUE"""),299225.0)</f>
        <v>299225</v>
      </c>
      <c r="F1805" s="52" t="str">
        <f>IFERROR(__xludf.DUMMYFUNCTION("""COMPUTED_VALUE"""),"1LDKのダイアローグ")</f>
        <v>1LDKのダイアローグ</v>
      </c>
      <c r="G1805" s="11" t="str">
        <f>IFERROR(__xludf.DUMMYFUNCTION("""COMPUTED_VALUE"""),"1～2")</f>
        <v>1～2</v>
      </c>
      <c r="H1805" s="75" t="str">
        <f>IFERROR(__xludf.DUMMYFUNCTION("""COMPUTED_VALUE"""),"青山ひび")</f>
        <v>青山ひび</v>
      </c>
      <c r="I1805" s="75" t="str">
        <f>IFERROR(__xludf.DUMMYFUNCTION("""COMPUTED_VALUE"""),"BL")</f>
        <v>BL</v>
      </c>
      <c r="J1805" s="75"/>
      <c r="K1805" s="75"/>
      <c r="L1805" s="75" t="str">
        <f>IFERROR(__xludf.DUMMYFUNCTION("""COMPUTED_VALUE"""),"CLLENN")</f>
        <v>CLLENN</v>
      </c>
      <c r="M1805" s="59">
        <f>IFERROR(__xludf.DUMMYFUNCTION("""COMPUTED_VALUE"""),45514.0)</f>
        <v>45514</v>
      </c>
      <c r="N1805" s="77">
        <f>IFERROR(__xludf.DUMMYFUNCTION("""COMPUTED_VALUE"""),45576.0)</f>
        <v>45576</v>
      </c>
      <c r="O1805" s="69"/>
      <c r="P1805" s="80" t="str">
        <f>IFERROR(__xludf.DUMMYFUNCTION("""COMPUTED_VALUE"""),"可")</f>
        <v>可</v>
      </c>
      <c r="Q1805" s="75" t="str">
        <f>IFERROR(__xludf.DUMMYFUNCTION("""COMPUTED_VALUE"""),"広告コミットOK(6/20)")</f>
        <v>広告コミットOK(6/20)</v>
      </c>
      <c r="R1805" s="75" t="str">
        <f>IFERROR(__xludf.DUMMYFUNCTION("""COMPUTED_VALUE"""),"格納済み")</f>
        <v>格納済み</v>
      </c>
      <c r="S1805" s="75" t="str">
        <f>IFERROR(__xludf.DUMMYFUNCTION("""COMPUTED_VALUE"""),"20240711_CLLENN_1LKDのダイアローグ")</f>
        <v>20240711_CLLENN_1LKDのダイアローグ</v>
      </c>
      <c r="T1805" s="75" t="str">
        <f>IFERROR(__xludf.DUMMYFUNCTION("""COMPUTED_VALUE"""),"格納済み")</f>
        <v>格納済み</v>
      </c>
      <c r="U1805" s="15" t="str">
        <f>IFERROR(__xludf.DUMMYFUNCTION("""COMPUTED_VALUE"""),"C)青山ひび/CLLENN")</f>
        <v>C)青山ひび/CLLENN</v>
      </c>
      <c r="V1805" s="8" t="str">
        <f>IFERROR(__xludf.DUMMYFUNCTION("""COMPUTED_VALUE"""),"「ここ触られたことない？」自分で触るのと全然違う…こんな気持ちいいこと知っちゃだめなのに――小説家の桜咲透（おうさかとおる）はコンビニ帰り、倒れていた謎の青年・リクを助け、一晩泊めることに。ひょんなことからリクは透が不眠に悩んでいることを知ると、「人肌恋しいってことか」と言って透をベッドに引き入れ、抱きしめたまま眠りにつく。翌朝、久しぶりに熟睡できた透に対し、リクは掃除、洗濯、食事、そして添い寝付きの同居生活を提案して…？［ミステリアスな青年×孤独な小説家］ふたりぼっちの同居生活からはじまるヒーリングラブ"&amp;"ストーリー")</f>
        <v>「ここ触られたことない？」自分で触るのと全然違う…こんな気持ちいいこと知っちゃだめなのに――小説家の桜咲透（おうさかとおる）はコンビニ帰り、倒れていた謎の青年・リクを助け、一晩泊めることに。ひょんなことからリクは透が不眠に悩んでいることを知ると、「人肌恋しいってことか」と言って透をベッドに引き入れ、抱きしめたまま眠りにつく。翌朝、久しぶりに熟睡できた透に対し、リクは掃除、洗濯、食事、そして添い寝付きの同居生活を提案して…？［ミステリアスな青年×孤独な小説家］ふたりぼっちの同居生活からはじまるヒーリングラブストーリー</v>
      </c>
      <c r="W1805" s="14"/>
      <c r="X1805" s="14" t="str">
        <f>IFERROR(__xludf.DUMMYFUNCTION("""COMPUTED_VALUE"""),"有")</f>
        <v>有</v>
      </c>
      <c r="Y1805" s="8" t="str">
        <f>IFERROR(__xludf.DUMMYFUNCTION("""COMPUTED_VALUE"""),"P10まで")</f>
        <v>P10まで</v>
      </c>
      <c r="Z1805" s="7"/>
      <c r="AA1805" s="7"/>
      <c r="AB1805" s="7"/>
    </row>
    <row r="1806" ht="15.75" customHeight="1">
      <c r="A1806" s="66">
        <f>IFERROR(__xludf.DUMMYFUNCTION("""COMPUTED_VALUE"""),3628.0)</f>
        <v>3628</v>
      </c>
      <c r="B1806" s="75" t="str">
        <f>IFERROR(__xludf.DUMMYFUNCTION("""COMPUTED_VALUE"""),"確定")</f>
        <v>確定</v>
      </c>
      <c r="C1806" s="68">
        <f>IFERROR(__xludf.DUMMYFUNCTION("""COMPUTED_VALUE"""),45455.0)</f>
        <v>45455</v>
      </c>
      <c r="D1806" s="68">
        <f>IFERROR(__xludf.DUMMYFUNCTION("""COMPUTED_VALUE"""),45490.0)</f>
        <v>45490</v>
      </c>
      <c r="E1806" s="31">
        <f>IFERROR(__xludf.DUMMYFUNCTION("""COMPUTED_VALUE"""),299226.0)</f>
        <v>299226</v>
      </c>
      <c r="F1806" s="31" t="str">
        <f>IFERROR(__xludf.DUMMYFUNCTION("""COMPUTED_VALUE"""),"執縛エスカレーション")</f>
        <v>執縛エスカレーション</v>
      </c>
      <c r="G1806" s="11" t="str">
        <f>IFERROR(__xludf.DUMMYFUNCTION("""COMPUTED_VALUE"""),"1～2")</f>
        <v>1～2</v>
      </c>
      <c r="H1806" s="75" t="str">
        <f>IFERROR(__xludf.DUMMYFUNCTION("""COMPUTED_VALUE"""),"刹那魁")</f>
        <v>刹那魁</v>
      </c>
      <c r="I1806" s="75" t="str">
        <f>IFERROR(__xludf.DUMMYFUNCTION("""COMPUTED_VALUE"""),"BL")</f>
        <v>BL</v>
      </c>
      <c r="J1806" s="75"/>
      <c r="K1806" s="75"/>
      <c r="L1806" s="75" t="str">
        <f>IFERROR(__xludf.DUMMYFUNCTION("""COMPUTED_VALUE"""),"CLLENN")</f>
        <v>CLLENN</v>
      </c>
      <c r="M1806" s="59">
        <f>IFERROR(__xludf.DUMMYFUNCTION("""COMPUTED_VALUE"""),45514.0)</f>
        <v>45514</v>
      </c>
      <c r="N1806" s="77">
        <f>IFERROR(__xludf.DUMMYFUNCTION("""COMPUTED_VALUE"""),45576.0)</f>
        <v>45576</v>
      </c>
      <c r="O1806" s="69"/>
      <c r="P1806" s="80" t="str">
        <f>IFERROR(__xludf.DUMMYFUNCTION("""COMPUTED_VALUE"""),"可")</f>
        <v>可</v>
      </c>
      <c r="Q1806" s="75" t="str">
        <f>IFERROR(__xludf.DUMMYFUNCTION("""COMPUTED_VALUE"""),"広告コミットOK(6/20)")</f>
        <v>広告コミットOK(6/20)</v>
      </c>
      <c r="R1806" s="75" t="str">
        <f>IFERROR(__xludf.DUMMYFUNCTION("""COMPUTED_VALUE"""),"格納済み")</f>
        <v>格納済み</v>
      </c>
      <c r="S1806" s="75" t="str">
        <f>IFERROR(__xludf.DUMMYFUNCTION("""COMPUTED_VALUE"""),"20240711_CLLENN_執縛エスカレーション")</f>
        <v>20240711_CLLENN_執縛エスカレーション</v>
      </c>
      <c r="T1806" s="75" t="str">
        <f>IFERROR(__xludf.DUMMYFUNCTION("""COMPUTED_VALUE"""),"格納済み")</f>
        <v>格納済み</v>
      </c>
      <c r="U1806" s="15" t="str">
        <f>IFERROR(__xludf.DUMMYFUNCTION("""COMPUTED_VALUE"""),"C)刹那魁/CLLENN")</f>
        <v>C)刹那魁/CLLENN</v>
      </c>
      <c r="V1806" s="8" t="str">
        <f>IFERROR(__xludf.DUMMYFUNCTION("""COMPUTED_VALUE"""),"「今、ドキっとしただろ？ひょっとして勃っちゃった？」仕事だけど縛られたまま…友人の手でイかされて…気持ちいいなんて――出版社に勤める小暮は急遽、雑誌の緊縛特集の担当を頼まれる。断り切れず悩んだ末に高校時代からの付き合いであるバーテンダーの八神に相談すると、緊縛体験のできるお店へ案内され…まさかの自分が緊縛されることに…!?取材という名目のもと、カメラを向けられ、鋭い目つきでいやらしさが徐々にエスカレートしていく八神。こんな状況恥ずかしすぎるのに、勃っちゃうなんて――!?「小暮の仕事の役に立ちたくて…」そう"&amp;"、これはあくまでも仕事…だから…仕方ないのに、俺なんでイかされて感じてんだーーーっ!?")</f>
        <v>「今、ドキっとしただろ？ひょっとして勃っちゃった？」仕事だけど縛られたまま…友人の手でイかされて…気持ちいいなんて――出版社に勤める小暮は急遽、雑誌の緊縛特集の担当を頼まれる。断り切れず悩んだ末に高校時代からの付き合いであるバーテンダーの八神に相談すると、緊縛体験のできるお店へ案内され…まさかの自分が緊縛されることに…!?取材という名目のもと、カメラを向けられ、鋭い目つきでいやらしさが徐々にエスカレートしていく八神。こんな状況恥ずかしすぎるのに、勃っちゃうなんて――!?「小暮の仕事の役に立ちたくて…」そう、これはあくまでも仕事…だから…仕方ないのに、俺なんでイかされて感じてんだーーーっ!?</v>
      </c>
      <c r="W1806" s="14"/>
      <c r="X1806" s="14" t="str">
        <f>IFERROR(__xludf.DUMMYFUNCTION("""COMPUTED_VALUE"""),"有")</f>
        <v>有</v>
      </c>
      <c r="Y1806" s="8" t="str">
        <f>IFERROR(__xludf.DUMMYFUNCTION("""COMPUTED_VALUE"""),"P5まで")</f>
        <v>P5まで</v>
      </c>
      <c r="Z1806" s="7"/>
      <c r="AA1806" s="7"/>
      <c r="AB1806" s="7"/>
    </row>
    <row r="1807" ht="15.75" customHeight="1">
      <c r="A1807" s="66">
        <f>IFERROR(__xludf.DUMMYFUNCTION("""COMPUTED_VALUE"""),3713.0)</f>
        <v>3713</v>
      </c>
      <c r="B1807" s="75" t="str">
        <f>IFERROR(__xludf.DUMMYFUNCTION("""COMPUTED_VALUE"""),"確定")</f>
        <v>確定</v>
      </c>
      <c r="C1807" s="68">
        <f>IFERROR(__xludf.DUMMYFUNCTION("""COMPUTED_VALUE"""),45470.0)</f>
        <v>45470</v>
      </c>
      <c r="D1807" s="68">
        <f>IFERROR(__xludf.DUMMYFUNCTION("""COMPUTED_VALUE"""),45490.0)</f>
        <v>45490</v>
      </c>
      <c r="E1807" s="31">
        <f>IFERROR(__xludf.DUMMYFUNCTION("""COMPUTED_VALUE"""),298713.0)</f>
        <v>298713</v>
      </c>
      <c r="F1807" s="31" t="str">
        <f>IFERROR(__xludf.DUMMYFUNCTION("""COMPUTED_VALUE"""),"優等生だった子爵令嬢は、恋を知りたい。 THE COMIC【分冊版】")</f>
        <v>優等生だった子爵令嬢は、恋を知りたい。 THE COMIC【分冊版】</v>
      </c>
      <c r="G1807" s="69" t="str">
        <f>IFERROR(__xludf.DUMMYFUNCTION("""COMPUTED_VALUE"""),"1～4")</f>
        <v>1～4</v>
      </c>
      <c r="H1807" s="75" t="str">
        <f>IFERROR(__xludf.DUMMYFUNCTION("""COMPUTED_VALUE"""),"原作：完菜/漫画：ヘイテン/キャラクター原案：いちかわはる")</f>
        <v>原作：完菜/漫画：ヘイテン/キャラクター原案：いちかわはる</v>
      </c>
      <c r="I1807" s="22" t="str">
        <f>IFERROR(__xludf.DUMMYFUNCTION("""COMPUTED_VALUE"""),"少女")</f>
        <v>少女</v>
      </c>
      <c r="J1807" s="75"/>
      <c r="K1807" s="75"/>
      <c r="L1807" s="75" t="str">
        <f>IFERROR(__xludf.DUMMYFUNCTION("""COMPUTED_VALUE"""),"マッグガーデン")</f>
        <v>マッグガーデン</v>
      </c>
      <c r="M1807" s="59">
        <f>IFERROR(__xludf.DUMMYFUNCTION("""COMPUTED_VALUE"""),45519.0)</f>
        <v>45519</v>
      </c>
      <c r="N1807" s="47">
        <f>IFERROR(__xludf.DUMMYFUNCTION("""COMPUTED_VALUE"""),45610.0)</f>
        <v>45610</v>
      </c>
      <c r="O1807" s="69"/>
      <c r="P1807" s="80" t="str">
        <f>IFERROR(__xludf.DUMMYFUNCTION("""COMPUTED_VALUE"""),"可")</f>
        <v>可</v>
      </c>
      <c r="Q1807" s="72" t="str">
        <f>IFERROR(__xludf.DUMMYFUNCTION("""COMPUTED_VALUE"""),"広告コミットOK(7/1)")</f>
        <v>広告コミットOK(7/1)</v>
      </c>
      <c r="R1807" s="75"/>
      <c r="S1807" s="75" t="str">
        <f>IFERROR(__xludf.DUMMYFUNCTION("""COMPUTED_VALUE"""),"20240716_マッグガーデン_優等生だった子爵令嬢は、恋を知りたい。 THE COMIC")</f>
        <v>20240716_マッグガーデン_優等生だった子爵令嬢は、恋を知りたい。 THE COMIC</v>
      </c>
      <c r="T1807" s="75" t="str">
        <f>IFERROR(__xludf.DUMMYFUNCTION("""COMPUTED_VALUE"""),"格納済み")</f>
        <v>格納済み</v>
      </c>
      <c r="U1807" s="15" t="str">
        <f>IFERROR(__xludf.DUMMYFUNCTION("""COMPUTED_VALUE"""),"(C)Kanna (C)Heiten/MAG Garden")</f>
        <v>(C)Kanna (C)Heiten/MAG Garden</v>
      </c>
      <c r="V1807" s="8" t="str">
        <f>IFERROR(__xludf.DUMMYFUNCTION("""COMPUTED_VALUE"""),"ある特殊な契約結婚相手と先日、離婚したセレスティーヌは、慰安旅行もかねて隣国に嫁いだ友人に会いに向かっていた。すると道中、思いがけない運命の出会いがあって――…。一度も恋を知らずに、誰かのために学生時代から尽くしてきたセレスティーヌは、二十年の時を経て、生涯で初めての恋を知る。【第1話収録】")</f>
        <v>ある特殊な契約結婚相手と先日、離婚したセレスティーヌは、慰安旅行もかねて隣国に嫁いだ友人に会いに向かっていた。すると道中、思いがけない運命の出会いがあって――…。一度も恋を知らずに、誰かのために学生時代から尽くしてきたセレスティーヌは、二十年の時を経て、生涯で初めての恋を知る。【第1話収録】</v>
      </c>
      <c r="W1807" s="14"/>
      <c r="X1807" s="14" t="str">
        <f>IFERROR(__xludf.DUMMYFUNCTION("""COMPUTED_VALUE"""),"有")</f>
        <v>有</v>
      </c>
      <c r="Y1807" s="8" t="str">
        <f>IFERROR(__xludf.DUMMYFUNCTION("""COMPUTED_VALUE"""),"2024/12/12まで1巻無料")</f>
        <v>2024/12/12まで1巻無料</v>
      </c>
      <c r="Z1807" s="7"/>
      <c r="AA1807" s="7"/>
      <c r="AB1807" s="7"/>
    </row>
    <row r="1808" ht="15.75" customHeight="1">
      <c r="A1808" s="66">
        <f>IFERROR(__xludf.DUMMYFUNCTION("""COMPUTED_VALUE"""),3725.0)</f>
        <v>3725</v>
      </c>
      <c r="B1808" s="75" t="str">
        <f>IFERROR(__xludf.DUMMYFUNCTION("""COMPUTED_VALUE"""),"確定")</f>
        <v>確定</v>
      </c>
      <c r="C1808" s="68">
        <f>IFERROR(__xludf.DUMMYFUNCTION("""COMPUTED_VALUE"""),45474.0)</f>
        <v>45474</v>
      </c>
      <c r="D1808" s="68">
        <f>IFERROR(__xludf.DUMMYFUNCTION("""COMPUTED_VALUE"""),45490.0)</f>
        <v>45490</v>
      </c>
      <c r="E1808" s="31">
        <f>IFERROR(__xludf.DUMMYFUNCTION("""COMPUTED_VALUE"""),300736.0)</f>
        <v>300736</v>
      </c>
      <c r="F1808" s="31" t="str">
        <f>IFERROR(__xludf.DUMMYFUNCTION("""COMPUTED_VALUE"""),"ももよのよすが")</f>
        <v>ももよのよすが</v>
      </c>
      <c r="G1808" s="11" t="str">
        <f>IFERROR(__xludf.DUMMYFUNCTION("""COMPUTED_VALUE"""),"1～2")</f>
        <v>1～2</v>
      </c>
      <c r="H1808" s="75" t="str">
        <f>IFERROR(__xludf.DUMMYFUNCTION("""COMPUTED_VALUE"""),"INK")</f>
        <v>INK</v>
      </c>
      <c r="I1808" s="75" t="str">
        <f>IFERROR(__xludf.DUMMYFUNCTION("""COMPUTED_VALUE"""),"BL")</f>
        <v>BL</v>
      </c>
      <c r="J1808" s="75"/>
      <c r="K1808" s="75"/>
      <c r="L1808" s="75" t="str">
        <f>IFERROR(__xludf.DUMMYFUNCTION("""COMPUTED_VALUE"""),"マイクロマガジン社")</f>
        <v>マイクロマガジン社</v>
      </c>
      <c r="M1808" s="59">
        <f>IFERROR(__xludf.DUMMYFUNCTION("""COMPUTED_VALUE"""),45534.0)</f>
        <v>45534</v>
      </c>
      <c r="N1808" s="77">
        <f>IFERROR(__xludf.DUMMYFUNCTION("""COMPUTED_VALUE"""),45625.0)</f>
        <v>45625</v>
      </c>
      <c r="O1808" s="69"/>
      <c r="P1808" s="80" t="str">
        <f>IFERROR(__xludf.DUMMYFUNCTION("""COMPUTED_VALUE"""),"可")</f>
        <v>可</v>
      </c>
      <c r="Q1808" s="75" t="str">
        <f>IFERROR(__xludf.DUMMYFUNCTION("""COMPUTED_VALUE"""),"広告コミットOK（7/11）")</f>
        <v>広告コミットOK（7/11）</v>
      </c>
      <c r="R1808" s="75" t="str">
        <f>IFERROR(__xludf.DUMMYFUNCTION("""COMPUTED_VALUE"""),"格納済み")</f>
        <v>格納済み</v>
      </c>
      <c r="S1808" s="75" t="str">
        <f>IFERROR(__xludf.DUMMYFUNCTION("""COMPUTED_VALUE"""),"20240711_マイクロマガジン_ももよのよすが")</f>
        <v>20240711_マイクロマガジン_ももよのよすが</v>
      </c>
      <c r="T1808" s="75" t="str">
        <f>IFERROR(__xludf.DUMMYFUNCTION("""COMPUTED_VALUE"""),"格納済み")</f>
        <v>格納済み</v>
      </c>
      <c r="U1808" s="15" t="str">
        <f>IFERROR(__xludf.DUMMYFUNCTION("""COMPUTED_VALUE"""),"©INK/マイクロマガジン社")</f>
        <v>©INK/マイクロマガジン社</v>
      </c>
      <c r="V1808" s="8" t="str">
        <f>IFERROR(__xludf.DUMMYFUNCTION("""COMPUTED_VALUE"""),"「さびしい…そんな思い忘れてた」
人間を攫う海獣≪クラーケン≫伝承が残る港町。
唯一の家族を喪い天涯孤独になった青年・リュカは
寂しさから逃れるように夜の海を訪れ
岸辺に横たわる青年・オクトを助ける。
リュカと同じ人の姿をし褐色の肌に銀の髪をもつオクトだったが、
忽然と露わにした腰から生える触手を巧みに操るその姿は
まるで伝承のクラーケンのようで――…。
伝承に語られるような恐ろしさを感じさせない
努力家で優しいオクトとの日々が
次第にリュカの心を埋めていくのだが…
"&amp;"
伝承の人攫いクラーケン×天涯孤独の人間。
運命が繋ぐ、時を超えた孤独を埋める物語。")</f>
        <v>「さびしい…そんな思い忘れてた」
人間を攫う海獣≪クラーケン≫伝承が残る港町。
唯一の家族を喪い天涯孤独になった青年・リュカは
寂しさから逃れるように夜の海を訪れ
岸辺に横たわる青年・オクトを助ける。
リュカと同じ人の姿をし褐色の肌に銀の髪をもつオクトだったが、
忽然と露わにした腰から生える触手を巧みに操るその姿は
まるで伝承のクラーケンのようで――…。
伝承に語られるような恐ろしさを感じさせない
努力家で優しいオクトとの日々が
次第にリュカの心を埋めていくのだが…
伝承の人攫いクラーケン×天涯孤独の人間。
運命が繋ぐ、時を超えた孤独を埋める物語。</v>
      </c>
      <c r="W1808" s="14"/>
      <c r="X1808" s="14" t="str">
        <f>IFERROR(__xludf.DUMMYFUNCTION("""COMPUTED_VALUE"""),"有")</f>
        <v>有</v>
      </c>
      <c r="Y1808" s="8" t="str">
        <f>IFERROR(__xludf.DUMMYFUNCTION("""COMPUTED_VALUE"""),"2024/9/12まで1巻無料")</f>
        <v>2024/9/12まで1巻無料</v>
      </c>
      <c r="Z1808" s="7"/>
      <c r="AA1808" s="7"/>
      <c r="AB1808" s="7"/>
    </row>
    <row r="1809" ht="15.75" customHeight="1">
      <c r="A1809" s="66">
        <f>IFERROR(__xludf.DUMMYFUNCTION("""COMPUTED_VALUE"""),3753.0)</f>
        <v>3753</v>
      </c>
      <c r="B1809" s="75" t="str">
        <f>IFERROR(__xludf.DUMMYFUNCTION("""COMPUTED_VALUE"""),"確定")</f>
        <v>確定</v>
      </c>
      <c r="C1809" s="68">
        <f>IFERROR(__xludf.DUMMYFUNCTION("""COMPUTED_VALUE"""),45481.0)</f>
        <v>45481</v>
      </c>
      <c r="D1809" s="68">
        <f>IFERROR(__xludf.DUMMYFUNCTION("""COMPUTED_VALUE"""),45489.0)</f>
        <v>45489</v>
      </c>
      <c r="E1809" s="26">
        <f>IFERROR(__xludf.DUMMYFUNCTION("""COMPUTED_VALUE"""),276095.0)</f>
        <v>276095</v>
      </c>
      <c r="F1809" s="31" t="str">
        <f>IFERROR(__xludf.DUMMYFUNCTION("""COMPUTED_VALUE"""),"さよなら、モラシタ夫。～サレ妻双子の入れ替わり復讐～")</f>
        <v>さよなら、モラシタ夫。～サレ妻双子の入れ替わり復讐～</v>
      </c>
      <c r="G1809" s="69" t="str">
        <f>IFERROR(__xludf.DUMMYFUNCTION("""COMPUTED_VALUE"""),"1～4")</f>
        <v>1～4</v>
      </c>
      <c r="H1809" s="75" t="str">
        <f>IFERROR(__xludf.DUMMYFUNCTION("""COMPUTED_VALUE"""),"波乃綾")</f>
        <v>波乃綾</v>
      </c>
      <c r="I1809" s="14" t="str">
        <f>IFERROR(__xludf.DUMMYFUNCTION("""COMPUTED_VALUE"""),"女性")</f>
        <v>女性</v>
      </c>
      <c r="J1809" s="75"/>
      <c r="K1809" s="75"/>
      <c r="L1809" s="75" t="str">
        <f>IFERROR(__xludf.DUMMYFUNCTION("""COMPUTED_VALUE"""),"ソルマーレ編集部")</f>
        <v>ソルマーレ編集部</v>
      </c>
      <c r="M1809" s="59">
        <f>IFERROR(__xludf.DUMMYFUNCTION("""COMPUTED_VALUE"""),45514.0)</f>
        <v>45514</v>
      </c>
      <c r="N1809" s="77">
        <f>IFERROR(__xludf.DUMMYFUNCTION("""COMPUTED_VALUE"""),45666.70833333333)</f>
        <v>45666.70833</v>
      </c>
      <c r="O1809" s="69"/>
      <c r="P1809" s="71" t="str">
        <f>IFERROR(__xludf.DUMMYFUNCTION("""COMPUTED_VALUE"""),"可")</f>
        <v>可</v>
      </c>
      <c r="Q1809" s="72"/>
      <c r="R1809" s="75"/>
      <c r="S1809" s="75" t="str">
        <f>IFERROR(__xludf.DUMMYFUNCTION("""COMPUTED_VALUE"""),"20240712_ソルマーレ編集部_さよなら、モラシタ夫。～サレ妻双子の入れ替わり復讐～")</f>
        <v>20240712_ソルマーレ編集部_さよなら、モラシタ夫。～サレ妻双子の入れ替わり復讐～</v>
      </c>
      <c r="T1809" s="75" t="str">
        <f>IFERROR(__xludf.DUMMYFUNCTION("""COMPUTED_VALUE"""),"格納済み")</f>
        <v>格納済み</v>
      </c>
      <c r="U1809" s="15" t="str">
        <f>IFERROR(__xludf.DUMMYFUNCTION("""COMPUTED_VALUE"""),"Ⓒ 波乃綾/シーモアコミックス")</f>
        <v>Ⓒ 波乃綾/シーモアコミックス</v>
      </c>
      <c r="V1809" s="8" t="str">
        <f>IFERROR(__xludf.DUMMYFUNCTION("""COMPUTED_VALUE"""),"妊娠中でありながら夫のモラハラと自分勝手な義家族に苦しむ雪花（せっか）は、子供が産まれたら夫も変わってくれるかもと信じ耐え忍んでいた。
しかし、夫の不倫が発覚した上に大切な家族であるインコを夫が故意に逃がしたことで気持ちがボロボロに折れてしまう…そんな雪花を見かねた双子の姉であり弁護士の六花（りっか）は「入れ替わって夫に復讐をしよう」と持ち掛ける―――【恋するソワレ＋】")</f>
        <v>妊娠中でありながら夫のモラハラと自分勝手な義家族に苦しむ雪花（せっか）は、子供が産まれたら夫も変わってくれるかもと信じ耐え忍んでいた。
しかし、夫の不倫が発覚した上に大切な家族であるインコを夫が故意に逃がしたことで気持ちがボロボロに折れてしまう…そんな雪花を見かねた双子の姉であり弁護士の六花（りっか）は「入れ替わって夫に復讐をしよう」と持ち掛ける―――【恋するソワレ＋】</v>
      </c>
      <c r="W1809" s="14"/>
      <c r="X1809" s="14" t="str">
        <f>IFERROR(__xludf.DUMMYFUNCTION("""COMPUTED_VALUE"""),"有")</f>
        <v>有</v>
      </c>
      <c r="Y1809" s="8" t="str">
        <f>IFERROR(__xludf.DUMMYFUNCTION("""COMPUTED_VALUE"""),"P12まで")</f>
        <v>P12まで</v>
      </c>
      <c r="Z1809" s="7"/>
      <c r="AA1809" s="7"/>
      <c r="AB1809" s="7"/>
    </row>
    <row r="1810" ht="15.75" customHeight="1">
      <c r="A1810" s="66">
        <f>IFERROR(__xludf.DUMMYFUNCTION("""COMPUTED_VALUE"""),3755.0)</f>
        <v>3755</v>
      </c>
      <c r="B1810" s="75" t="str">
        <f>IFERROR(__xludf.DUMMYFUNCTION("""COMPUTED_VALUE"""),"確定")</f>
        <v>確定</v>
      </c>
      <c r="C1810" s="68">
        <f>IFERROR(__xludf.DUMMYFUNCTION("""COMPUTED_VALUE"""),45481.0)</f>
        <v>45481</v>
      </c>
      <c r="D1810" s="68">
        <f>IFERROR(__xludf.DUMMYFUNCTION("""COMPUTED_VALUE"""),45489.0)</f>
        <v>45489</v>
      </c>
      <c r="E1810" s="26">
        <f>IFERROR(__xludf.DUMMYFUNCTION("""COMPUTED_VALUE"""),288059.0)</f>
        <v>288059</v>
      </c>
      <c r="F1810" s="31" t="str">
        <f>IFERROR(__xludf.DUMMYFUNCTION("""COMPUTED_VALUE"""),"迷宮で取り憑かれた俺はほどかれていく")</f>
        <v>迷宮で取り憑かれた俺はほどかれていく</v>
      </c>
      <c r="G1810" s="69" t="str">
        <f>IFERROR(__xludf.DUMMYFUNCTION("""COMPUTED_VALUE"""),"1～3")</f>
        <v>1～3</v>
      </c>
      <c r="H1810" s="75" t="str">
        <f>IFERROR(__xludf.DUMMYFUNCTION("""COMPUTED_VALUE"""),"bon")</f>
        <v>bon</v>
      </c>
      <c r="I1810" s="75" t="str">
        <f>IFERROR(__xludf.DUMMYFUNCTION("""COMPUTED_VALUE"""),"BL")</f>
        <v>BL</v>
      </c>
      <c r="J1810" s="75"/>
      <c r="K1810" s="75"/>
      <c r="L1810" s="75" t="str">
        <f>IFERROR(__xludf.DUMMYFUNCTION("""COMPUTED_VALUE"""),"ソルマーレ編集部")</f>
        <v>ソルマーレ編集部</v>
      </c>
      <c r="M1810" s="59">
        <f>IFERROR(__xludf.DUMMYFUNCTION("""COMPUTED_VALUE"""),45514.0)</f>
        <v>45514</v>
      </c>
      <c r="N1810" s="77">
        <f>IFERROR(__xludf.DUMMYFUNCTION("""COMPUTED_VALUE"""),45575.0)</f>
        <v>45575</v>
      </c>
      <c r="O1810" s="69"/>
      <c r="P1810" s="71" t="str">
        <f>IFERROR(__xludf.DUMMYFUNCTION("""COMPUTED_VALUE"""),"可")</f>
        <v>可</v>
      </c>
      <c r="Q1810" s="72"/>
      <c r="R1810" s="75"/>
      <c r="S1810" s="75" t="str">
        <f>IFERROR(__xludf.DUMMYFUNCTION("""COMPUTED_VALUE"""),"20240712_ソルマーレ編集部_迷宮で取り憑かれた俺はほどかれていく")</f>
        <v>20240712_ソルマーレ編集部_迷宮で取り憑かれた俺はほどかれていく</v>
      </c>
      <c r="T1810" s="75" t="str">
        <f>IFERROR(__xludf.DUMMYFUNCTION("""COMPUTED_VALUE"""),"格納済み")</f>
        <v>格納済み</v>
      </c>
      <c r="U1810" s="15" t="str">
        <f>IFERROR(__xludf.DUMMYFUNCTION("""COMPUTED_VALUE"""),"Ⓒ bon/シーモアコミックス")</f>
        <v>Ⓒ bon/シーモアコミックス</v>
      </c>
      <c r="V1810" s="8" t="str">
        <f>IFERROR(__xludf.DUMMYFUNCTION("""COMPUTED_VALUE"""),"「ユグル」と呼ばれる大樹の下に遥か昔より存在する迷宮、【生命樹迷宮(ユグルダンジョン)】。冒険者たちは、そこに眠る秘宝や古代の知識を求め、日々迷宮に挑戦し続けている。「探究者」であるライルもその内の一人。ある日、ライルは迷宮の上層で幽霊のアンデルに取り憑かれてしまう。初めてあったはずなのに、ライルを見るアンデルの目は何故か愛おしそうで―…。その視線にむず痒さを感じながらもライルは、アンデルの体を取り戻す方法を探しながら、迷宮の深層へと挑んでいく。ライルのトラウマやアンデルの過去…冒険を共にする中で、お互い"&amp;"のことをより知っていく二人。近づいては遠ざかる、そんな恋の物語。【フィカス】")</f>
        <v>「ユグル」と呼ばれる大樹の下に遥か昔より存在する迷宮、【生命樹迷宮(ユグルダンジョン)】。冒険者たちは、そこに眠る秘宝や古代の知識を求め、日々迷宮に挑戦し続けている。「探究者」であるライルもその内の一人。ある日、ライルは迷宮の上層で幽霊のアンデルに取り憑かれてしまう。初めてあったはずなのに、ライルを見るアンデルの目は何故か愛おしそうで―…。その視線にむず痒さを感じながらもライルは、アンデルの体を取り戻す方法を探しながら、迷宮の深層へと挑んでいく。ライルのトラウマやアンデルの過去…冒険を共にする中で、お互いのことをより知っていく二人。近づいては遠ざかる、そんな恋の物語。【フィカス】</v>
      </c>
      <c r="W1810" s="14"/>
      <c r="X1810" s="14" t="str">
        <f>IFERROR(__xludf.DUMMYFUNCTION("""COMPUTED_VALUE"""),"有")</f>
        <v>有</v>
      </c>
      <c r="Y1810" s="8" t="str">
        <f>IFERROR(__xludf.DUMMYFUNCTION("""COMPUTED_VALUE"""),"P13まで")</f>
        <v>P13まで</v>
      </c>
      <c r="Z1810" s="7"/>
      <c r="AA1810" s="7"/>
      <c r="AB1810" s="7"/>
    </row>
    <row r="1811" ht="15.75" customHeight="1">
      <c r="A1811" s="66">
        <f>IFERROR(__xludf.DUMMYFUNCTION("""COMPUTED_VALUE"""),3764.0)</f>
        <v>3764</v>
      </c>
      <c r="B1811" s="75" t="str">
        <f>IFERROR(__xludf.DUMMYFUNCTION("""COMPUTED_VALUE"""),"確定")</f>
        <v>確定</v>
      </c>
      <c r="C1811" s="68">
        <f>IFERROR(__xludf.DUMMYFUNCTION("""COMPUTED_VALUE"""),45482.0)</f>
        <v>45482</v>
      </c>
      <c r="D1811" s="68">
        <f>IFERROR(__xludf.DUMMYFUNCTION("""COMPUTED_VALUE"""),45489.0)</f>
        <v>45489</v>
      </c>
      <c r="E1811" s="31">
        <f>IFERROR(__xludf.DUMMYFUNCTION("""COMPUTED_VALUE"""),298875.0)</f>
        <v>298875</v>
      </c>
      <c r="F1811" s="31" t="str">
        <f>IFERROR(__xludf.DUMMYFUNCTION("""COMPUTED_VALUE"""),"オトナのレッスンはじめます～私は、幼馴染の着せ替え人形～")</f>
        <v>オトナのレッスンはじめます～私は、幼馴染の着せ替え人形～</v>
      </c>
      <c r="G1811" s="69" t="str">
        <f>IFERROR(__xludf.DUMMYFUNCTION("""COMPUTED_VALUE"""),"1～3")</f>
        <v>1～3</v>
      </c>
      <c r="H1811" s="75" t="str">
        <f>IFERROR(__xludf.DUMMYFUNCTION("""COMPUTED_VALUE"""),"すえつぐ")</f>
        <v>すえつぐ</v>
      </c>
      <c r="I1811" s="75" t="str">
        <f>IFERROR(__xludf.DUMMYFUNCTION("""COMPUTED_VALUE"""),"青年")</f>
        <v>青年</v>
      </c>
      <c r="J1811" s="75"/>
      <c r="K1811" s="75"/>
      <c r="L1811" s="75" t="str">
        <f>IFERROR(__xludf.DUMMYFUNCTION("""COMPUTED_VALUE"""),"CLLENN")</f>
        <v>CLLENN</v>
      </c>
      <c r="M1811" s="59">
        <f>IFERROR(__xludf.DUMMYFUNCTION("""COMPUTED_VALUE"""),45508.0)</f>
        <v>45508</v>
      </c>
      <c r="N1811" s="23">
        <f>IFERROR(__xludf.DUMMYFUNCTION("""COMPUTED_VALUE"""),45542.0)</f>
        <v>45542</v>
      </c>
      <c r="O1811" s="69"/>
      <c r="P1811" s="80" t="str">
        <f>IFERROR(__xludf.DUMMYFUNCTION("""COMPUTED_VALUE"""),"可")</f>
        <v>可</v>
      </c>
      <c r="Q1811" s="75" t="str">
        <f>IFERROR(__xludf.DUMMYFUNCTION("""COMPUTED_VALUE"""),"広告コミットOK")</f>
        <v>広告コミットOK</v>
      </c>
      <c r="R1811" s="75" t="str">
        <f>IFERROR(__xludf.DUMMYFUNCTION("""COMPUTED_VALUE"""),"格納済み")</f>
        <v>格納済み</v>
      </c>
      <c r="S1811" s="75" t="str">
        <f>IFERROR(__xludf.DUMMYFUNCTION("""COMPUTED_VALUE"""),"20240710_CLLENN_オトナのレッスンはじめます～私は、幼馴染の着せ替え人形～")</f>
        <v>20240710_CLLENN_オトナのレッスンはじめます～私は、幼馴染の着せ替え人形～</v>
      </c>
      <c r="T1811" s="75" t="str">
        <f>IFERROR(__xludf.DUMMYFUNCTION("""COMPUTED_VALUE"""),"格納済み")</f>
        <v>格納済み</v>
      </c>
      <c r="U1811" s="15" t="str">
        <f>IFERROR(__xludf.DUMMYFUNCTION("""COMPUTED_VALUE"""),"©すえつぐ／CLLENN")</f>
        <v>©すえつぐ／CLLENN</v>
      </c>
      <c r="V1811" s="8" t="str">
        <f>IFERROR(__xludf.DUMMYFUNCTION("""COMPUTED_VALUE"""),"「おまえ…今日から俺の人形な」──恋する女子校生りのとファッションデザイナーを目指す恭弥は幼馴染。ある日の放課後…りのはあやまって恭弥の作品のドレスをビリビリに破いてしまう。お詫びになんでも手伝うから…と謝罪するりの。そんな彼女に恭弥が命じたのは、生きたマネキンとなって作品づくりに協力することだった…！――全裸でバストやヒップを測られるなんて…聞いてないよ！　恋する乙女と冷血男子のエロエロラブコメディ！")</f>
        <v>「おまえ…今日から俺の人形な」──恋する女子校生りのとファッションデザイナーを目指す恭弥は幼馴染。ある日の放課後…りのはあやまって恭弥の作品のドレスをビリビリに破いてしまう。お詫びになんでも手伝うから…と謝罪するりの。そんな彼女に恭弥が命じたのは、生きたマネキンとなって作品づくりに協力することだった…！――全裸でバストやヒップを測られるなんて…聞いてないよ！　恋する乙女と冷血男子のエロエロラブコメディ！</v>
      </c>
      <c r="W1811" s="14"/>
      <c r="X1811" s="14" t="str">
        <f>IFERROR(__xludf.DUMMYFUNCTION("""COMPUTED_VALUE"""),"有")</f>
        <v>有</v>
      </c>
      <c r="Y1811" s="8" t="str">
        <f>IFERROR(__xludf.DUMMYFUNCTION("""COMPUTED_VALUE"""),"2024/8/17まで1巻無料")</f>
        <v>2024/8/17まで1巻無料</v>
      </c>
      <c r="Z1811" s="7"/>
      <c r="AA1811" s="7"/>
      <c r="AB1811" s="7"/>
    </row>
    <row r="1812" ht="15.75" customHeight="1">
      <c r="A1812" s="66">
        <f>IFERROR(__xludf.DUMMYFUNCTION("""COMPUTED_VALUE"""),3777.0)</f>
        <v>3777</v>
      </c>
      <c r="B1812" s="75" t="str">
        <f>IFERROR(__xludf.DUMMYFUNCTION("""COMPUTED_VALUE"""),"確定")</f>
        <v>確定</v>
      </c>
      <c r="C1812" s="68">
        <f>IFERROR(__xludf.DUMMYFUNCTION("""COMPUTED_VALUE"""),45484.0)</f>
        <v>45484</v>
      </c>
      <c r="D1812" s="68">
        <f>IFERROR(__xludf.DUMMYFUNCTION("""COMPUTED_VALUE"""),45485.0)</f>
        <v>45485</v>
      </c>
      <c r="E1812" s="26">
        <f>IFERROR(__xludf.DUMMYFUNCTION("""COMPUTED_VALUE"""),163332.0)</f>
        <v>163332</v>
      </c>
      <c r="F1812" s="31" t="str">
        <f>IFERROR(__xludf.DUMMYFUNCTION("""COMPUTED_VALUE"""),"嘘つきな番～その匂い、ナカまで染み込ませて【単行本版／電子限定おまけ付き】")</f>
        <v>嘘つきな番～その匂い、ナカまで染み込ませて【単行本版／電子限定おまけ付き】</v>
      </c>
      <c r="G1812" s="69">
        <f>IFERROR(__xludf.DUMMYFUNCTION("""COMPUTED_VALUE"""),4.0)</f>
        <v>4</v>
      </c>
      <c r="H1812" s="75" t="str">
        <f>IFERROR(__xludf.DUMMYFUNCTION("""COMPUTED_VALUE"""),"なつはづき")</f>
        <v>なつはづき</v>
      </c>
      <c r="I1812" s="75" t="str">
        <f>IFERROR(__xludf.DUMMYFUNCTION("""COMPUTED_VALUE"""),"BL")</f>
        <v>BL</v>
      </c>
      <c r="J1812" s="75"/>
      <c r="K1812" s="75"/>
      <c r="L1812" s="75" t="str">
        <f>IFERROR(__xludf.DUMMYFUNCTION("""COMPUTED_VALUE"""),"モバイルメディアリサーチ")</f>
        <v>モバイルメディアリサーチ</v>
      </c>
      <c r="M1812" s="59">
        <f>IFERROR(__xludf.DUMMYFUNCTION("""COMPUTED_VALUE"""),45514.0)</f>
        <v>45514</v>
      </c>
      <c r="N1812" s="77">
        <f>IFERROR(__xludf.DUMMYFUNCTION("""COMPUTED_VALUE"""),2958465.0)</f>
        <v>2958465</v>
      </c>
      <c r="O1812" s="69"/>
      <c r="P1812" s="80" t="str">
        <f>IFERROR(__xludf.DUMMYFUNCTION("""COMPUTED_VALUE"""),"可")</f>
        <v>可</v>
      </c>
      <c r="Q1812" s="72" t="str">
        <f>IFERROR(__xludf.DUMMYFUNCTION("""COMPUTED_VALUE"""),"シーモア限定BOOK作品です。")</f>
        <v>シーモア限定BOOK作品です。</v>
      </c>
      <c r="R1812" s="75"/>
      <c r="S1812" s="75" t="str">
        <f>IFERROR(__xludf.DUMMYFUNCTION("""COMPUTED_VALUE"""),"20240711_ファンギルド_嘘つきな番")</f>
        <v>20240711_ファンギルド_嘘つきな番</v>
      </c>
      <c r="T1812" s="75" t="str">
        <f>IFERROR(__xludf.DUMMYFUNCTION("""COMPUTED_VALUE"""),"格納済み")</f>
        <v>格納済み</v>
      </c>
      <c r="U1812" s="15" t="str">
        <f>IFERROR(__xludf.DUMMYFUNCTION("""COMPUTED_VALUE"""),"Ⓒなつはづき/モバイルメディアリサーチ")</f>
        <v>Ⓒなつはづき/モバイルメディアリサーチ</v>
      </c>
      <c r="V1812" s="8" t="str">
        <f>IFERROR(__xludf.DUMMYFUNCTION("""COMPUTED_VALUE"""),"「ヒートがきていなくてもお前は…淫乱なオメガだ」
大人になっても発情期が来ず、家族からも『役立たず』と蔑まれているオメガの灯里。しかしある日、そんな灯里と【番（つがい）】になりたいというアルファ・紳司が現れる。灯里を薬で強引に発情させ、ぐずぐずになったそのナカに、何度も欲望を注ぐ紳司。「やあっ…なにか…きちゃうっ…！」未成熟だったはずの灯里のカラダは、紳司によって淫らに目覚めていく――。
【※この作品は話売り「嘘つきな番～その匂い、ナカまで染み込ませて」の単行本版です】
■収録内容
「嘘つ"&amp;"きな番～その匂い、ナカまで染み込ませて」第1話～第8話
単行本描き下ろし1P
カバー下設定資料2P
電子限定おまけ漫画1P")</f>
        <v>「ヒートがきていなくてもお前は…淫乱なオメガだ」
大人になっても発情期が来ず、家族からも『役立たず』と蔑まれているオメガの灯里。しかしある日、そんな灯里と【番（つがい）】になりたいというアルファ・紳司が現れる。灯里を薬で強引に発情させ、ぐずぐずになったそのナカに、何度も欲望を注ぐ紳司。「やあっ…なにか…きちゃうっ…！」未成熟だったはずの灯里のカラダは、紳司によって淫らに目覚めていく――。
【※この作品は話売り「嘘つきな番～その匂い、ナカまで染み込ませて」の単行本版です】
■収録内容
「嘘つきな番～その匂い、ナカまで染み込ませて」第1話～第8話
単行本描き下ろし1P
カバー下設定資料2P
電子限定おまけ漫画1P</v>
      </c>
      <c r="W1812" s="14"/>
      <c r="X1812" s="14" t="str">
        <f>IFERROR(__xludf.DUMMYFUNCTION("""COMPUTED_VALUE"""),"有")</f>
        <v>有</v>
      </c>
      <c r="Y1812" s="8" t="str">
        <f>IFERROR(__xludf.DUMMYFUNCTION("""COMPUTED_VALUE"""),"2024/9/9まで1巻無料")</f>
        <v>2024/9/9まで1巻無料</v>
      </c>
      <c r="Z1812" s="7"/>
      <c r="AA1812" s="7"/>
      <c r="AB1812" s="7"/>
    </row>
    <row r="1813" ht="15.75" customHeight="1">
      <c r="A1813" s="66">
        <f>IFERROR(__xludf.DUMMYFUNCTION("""COMPUTED_VALUE"""),3780.0)</f>
        <v>3780</v>
      </c>
      <c r="B1813" s="75" t="str">
        <f>IFERROR(__xludf.DUMMYFUNCTION("""COMPUTED_VALUE"""),"確定")</f>
        <v>確定</v>
      </c>
      <c r="C1813" s="68">
        <f>IFERROR(__xludf.DUMMYFUNCTION("""COMPUTED_VALUE"""),45484.0)</f>
        <v>45484</v>
      </c>
      <c r="D1813" s="68">
        <f>IFERROR(__xludf.DUMMYFUNCTION("""COMPUTED_VALUE"""),45485.0)</f>
        <v>45485</v>
      </c>
      <c r="E1813" s="26">
        <f>IFERROR(__xludf.DUMMYFUNCTION("""COMPUTED_VALUE"""),259348.0)</f>
        <v>259348</v>
      </c>
      <c r="F1813" s="31" t="str">
        <f>IFERROR(__xludf.DUMMYFUNCTION("""COMPUTED_VALUE"""),"半分あげる【単行本版(シーモア限定描き下ろし付)】")</f>
        <v>半分あげる【単行本版(シーモア限定描き下ろし付)】</v>
      </c>
      <c r="G1813" s="69">
        <f>IFERROR(__xludf.DUMMYFUNCTION("""COMPUTED_VALUE"""),2.0)</f>
        <v>2</v>
      </c>
      <c r="H1813" s="75" t="str">
        <f>IFERROR(__xludf.DUMMYFUNCTION("""COMPUTED_VALUE"""),"有馬嵐")</f>
        <v>有馬嵐</v>
      </c>
      <c r="I1813" s="75" t="str">
        <f>IFERROR(__xludf.DUMMYFUNCTION("""COMPUTED_VALUE"""),"BL")</f>
        <v>BL</v>
      </c>
      <c r="J1813" s="75"/>
      <c r="K1813" s="75"/>
      <c r="L1813" s="75" t="str">
        <f>IFERROR(__xludf.DUMMYFUNCTION("""COMPUTED_VALUE"""),"リイド社")</f>
        <v>リイド社</v>
      </c>
      <c r="M1813" s="59">
        <f>IFERROR(__xludf.DUMMYFUNCTION("""COMPUTED_VALUE"""),45514.0)</f>
        <v>45514</v>
      </c>
      <c r="N1813" s="77">
        <f>IFERROR(__xludf.DUMMYFUNCTION("""COMPUTED_VALUE"""),2958465.0)</f>
        <v>2958465</v>
      </c>
      <c r="O1813" s="69"/>
      <c r="P1813" s="80" t="str">
        <f>IFERROR(__xludf.DUMMYFUNCTION("""COMPUTED_VALUE"""),"可")</f>
        <v>可</v>
      </c>
      <c r="Q1813" s="75" t="str">
        <f>IFERROR(__xludf.DUMMYFUNCTION("""COMPUTED_VALUE"""),"シーモア限定BOOK作品です。")</f>
        <v>シーモア限定BOOK作品です。</v>
      </c>
      <c r="R1813" s="75" t="str">
        <f>IFERROR(__xludf.DUMMYFUNCTION("""COMPUTED_VALUE"""),"格納済み")</f>
        <v>格納済み</v>
      </c>
      <c r="S1813" s="75" t="str">
        <f>IFERROR(__xludf.DUMMYFUNCTION("""COMPUTED_VALUE"""),"20240711_リイド社_半分あげる_シーモア限定BOOK")</f>
        <v>20240711_リイド社_半分あげる_シーモア限定BOOK</v>
      </c>
      <c r="T1813" s="75" t="str">
        <f>IFERROR(__xludf.DUMMYFUNCTION("""COMPUTED_VALUE"""),"格納済み")</f>
        <v>格納済み</v>
      </c>
      <c r="U1813" s="15" t="str">
        <f>IFERROR(__xludf.DUMMYFUNCTION("""COMPUTED_VALUE"""),"(C)有馬嵐/リイド社")</f>
        <v>(C)有馬嵐/リイド社</v>
      </c>
      <c r="V1813" s="8" t="str">
        <f>IFERROR(__xludf.DUMMYFUNCTION("""COMPUTED_VALUE"""),"広島に住む平凡な高校生・黒川は、いつもにこにこしているクラスメイトの白木に苦手意識をもっていた。
ある日の帰り道、黒川の目の前に血で汚れたYシャツを着た白木が現れる。
咄嗟に彼の手を引きその場から逃げ出した黒川は、白木が生活のために身体を売り、客に怪我を負わせ逃げてきたことを知る。
「本当はしたくない」という白木の本音を聞き、放っておくことができず「一緒に逃げよう」と彼を連れ出す黒川。
行き先も決めず飛び乗った電車、二人きりの逃避行は「海が見たい」という白木のため海を目指すことに。
ただのクラス"&amp;"メイトだった黒川と白木は次第に心を通わせていくが、その終わりはあっけなく訪れる。
つかの間の逃避行から数年後、横浜の中学校で教師として働く黒川は、偶然立ち寄ったワインショップで白木と再会し――。
2ページの描き下ろし漫画を収録したシーモア限定版！
※電子版はmimosa本誌掲載時のカラーページをカラーのまま収録しています。")</f>
        <v>広島に住む平凡な高校生・黒川は、いつもにこにこしているクラスメイトの白木に苦手意識をもっていた。
ある日の帰り道、黒川の目の前に血で汚れたYシャツを着た白木が現れる。
咄嗟に彼の手を引きその場から逃げ出した黒川は、白木が生活のために身体を売り、客に怪我を負わせ逃げてきたことを知る。
「本当はしたくない」という白木の本音を聞き、放っておくことができず「一緒に逃げよう」と彼を連れ出す黒川。
行き先も決めず飛び乗った電車、二人きりの逃避行は「海が見たい」という白木のため海を目指すことに。
ただのクラスメイトだった黒川と白木は次第に心を通わせていくが、その終わりはあっけなく訪れる。
つかの間の逃避行から数年後、横浜の中学校で教師として働く黒川は、偶然立ち寄ったワインショップで白木と再会し――。
2ページの描き下ろし漫画を収録したシーモア限定版！
※電子版はmimosa本誌掲載時のカラーページをカラーのまま収録しています。</v>
      </c>
      <c r="W1813" s="14"/>
      <c r="X1813" s="14" t="str">
        <f>IFERROR(__xludf.DUMMYFUNCTION("""COMPUTED_VALUE"""),"有")</f>
        <v>有</v>
      </c>
      <c r="Y1813" s="8" t="str">
        <f>IFERROR(__xludf.DUMMYFUNCTION("""COMPUTED_VALUE"""),"2024/9/9まで立ち読み増量P49まで")</f>
        <v>2024/9/9まで立ち読み増量P49まで</v>
      </c>
      <c r="Z1813" s="7"/>
      <c r="AA1813" s="7"/>
      <c r="AB1813" s="7"/>
    </row>
    <row r="1814" ht="15.75" customHeight="1">
      <c r="A1814" s="66">
        <f>IFERROR(__xludf.DUMMYFUNCTION("""COMPUTED_VALUE"""),3782.0)</f>
        <v>3782</v>
      </c>
      <c r="B1814" s="75" t="str">
        <f>IFERROR(__xludf.DUMMYFUNCTION("""COMPUTED_VALUE"""),"確定")</f>
        <v>確定</v>
      </c>
      <c r="C1814" s="68">
        <f>IFERROR(__xludf.DUMMYFUNCTION("""COMPUTED_VALUE"""),45485.0)</f>
        <v>45485</v>
      </c>
      <c r="D1814" s="68">
        <f>IFERROR(__xludf.DUMMYFUNCTION("""COMPUTED_VALUE"""),45485.0)</f>
        <v>45485</v>
      </c>
      <c r="E1814" s="31">
        <f>IFERROR(__xludf.DUMMYFUNCTION("""COMPUTED_VALUE"""),299565.0)</f>
        <v>299565</v>
      </c>
      <c r="F1814" s="31" t="str">
        <f>IFERROR(__xludf.DUMMYFUNCTION("""COMPUTED_VALUE"""),"継母の心得（分冊版）")</f>
        <v>継母の心得（分冊版）</v>
      </c>
      <c r="G1814" s="69" t="str">
        <f>IFERROR(__xludf.DUMMYFUNCTION("""COMPUTED_VALUE"""),"1～3")</f>
        <v>1～3</v>
      </c>
      <c r="H1814" s="75" t="str">
        <f>IFERROR(__xludf.DUMMYFUNCTION("""COMPUTED_VALUE"""),"漫画：ほおのきソラ 構成：藤丸豆ノ介 原作：トール")</f>
        <v>漫画：ほおのきソラ 構成：藤丸豆ノ介 原作：トール</v>
      </c>
      <c r="I1814" s="75" t="str">
        <f>IFERROR(__xludf.DUMMYFUNCTION("""COMPUTED_VALUE"""),"女性")</f>
        <v>女性</v>
      </c>
      <c r="J1814" s="75"/>
      <c r="K1814" s="75"/>
      <c r="L1814" s="75" t="str">
        <f>IFERROR(__xludf.DUMMYFUNCTION("""COMPUTED_VALUE"""),"アルファポリス")</f>
        <v>アルファポリス</v>
      </c>
      <c r="M1814" s="59">
        <f>IFERROR(__xludf.DUMMYFUNCTION("""COMPUTED_VALUE"""),45527.0)</f>
        <v>45527</v>
      </c>
      <c r="N1814" s="84">
        <f>IFERROR(__xludf.DUMMYFUNCTION("""COMPUTED_VALUE"""),45687.0)</f>
        <v>45687</v>
      </c>
      <c r="O1814" s="69"/>
      <c r="P1814" s="80" t="str">
        <f>IFERROR(__xludf.DUMMYFUNCTION("""COMPUTED_VALUE"""),"否")</f>
        <v>否</v>
      </c>
      <c r="Q1814" s="72" t="str">
        <f>IFERROR(__xludf.DUMMYFUNCTION("""COMPUTED_VALUE"""),"河上さんと事前に調整済み（コミット済み）の作品です")</f>
        <v>河上さんと事前に調整済み（コミット済み）の作品です</v>
      </c>
      <c r="R1814" s="75"/>
      <c r="S1814" s="75" t="str">
        <f>IFERROR(__xludf.DUMMYFUNCTION("""COMPUTED_VALUE"""),"20240712_アルファポリス_継母の心得")</f>
        <v>20240712_アルファポリス_継母の心得</v>
      </c>
      <c r="T1814" s="75" t="str">
        <f>IFERROR(__xludf.DUMMYFUNCTION("""COMPUTED_VALUE"""),"格納済み")</f>
        <v>格納済み</v>
      </c>
      <c r="U1814" s="15" t="str">
        <f>IFERROR(__xludf.DUMMYFUNCTION("""COMPUTED_VALUE"""),"（C）トール・ほおのきソラ・藤丸豆ノ介／アルファポリス")</f>
        <v>（C）トール・ほおのきソラ・藤丸豆ノ介／アルファポリス</v>
      </c>
      <c r="V1814" s="8" t="str">
        <f>IFERROR(__xludf.DUMMYFUNCTION("""COMPUTED_VALUE"""),"病気でこの世を去ることになった山崎美咲。ところが目を覚ますと、生前読んでいたマンガの世界に転生していた。しかも、幼少期の主人公を虐待する悪辣な継母キャラとして……。前世の記憶を取り戻したのは結婚式の前日で、もはや逃げようもない。とにかく虐待しないようにしよう、と決意して対面した継子は――めちゃくちゃ可愛いんですけどー!!!　ついつい前世の知識を駆使して子育てに奮闘しているうちに、超絶冷たかった旦那様の態度も変わってきて……!?　義息子のためならチートにもなっちゃう！　愛とオタクの力で異世界の育児事情を変え"&amp;"る、異色の子育てファンタジー、開幕！")</f>
        <v>病気でこの世を去ることになった山崎美咲。ところが目を覚ますと、生前読んでいたマンガの世界に転生していた。しかも、幼少期の主人公を虐待する悪辣な継母キャラとして……。前世の記憶を取り戻したのは結婚式の前日で、もはや逃げようもない。とにかく虐待しないようにしよう、と決意して対面した継子は――めちゃくちゃ可愛いんですけどー!!!　ついつい前世の知識を駆使して子育てに奮闘しているうちに、超絶冷たかった旦那様の態度も変わってきて……!?　義息子のためならチートにもなっちゃう！　愛とオタクの力で異世界の育児事情を変える、異色の子育てファンタジー、開幕！</v>
      </c>
      <c r="W1814" s="14"/>
      <c r="X1814" s="14" t="str">
        <f>IFERROR(__xludf.DUMMYFUNCTION("""COMPUTED_VALUE"""),"有")</f>
        <v>有</v>
      </c>
      <c r="Y1814" s="8" t="str">
        <f>IFERROR(__xludf.DUMMYFUNCTION("""COMPUTED_VALUE"""),"1巻無料")</f>
        <v>1巻無料</v>
      </c>
      <c r="Z1814" s="7"/>
      <c r="AA1814" s="7"/>
      <c r="AB1814" s="7"/>
    </row>
    <row r="1815" ht="15.75" customHeight="1">
      <c r="A1815" s="66">
        <f>IFERROR(__xludf.DUMMYFUNCTION("""COMPUTED_VALUE"""),3785.0)</f>
        <v>3785</v>
      </c>
      <c r="B1815" s="75" t="str">
        <f>IFERROR(__xludf.DUMMYFUNCTION("""COMPUTED_VALUE"""),"確定")</f>
        <v>確定</v>
      </c>
      <c r="C1815" s="68">
        <f>IFERROR(__xludf.DUMMYFUNCTION("""COMPUTED_VALUE"""),45485.0)</f>
        <v>45485</v>
      </c>
      <c r="D1815" s="68">
        <f>IFERROR(__xludf.DUMMYFUNCTION("""COMPUTED_VALUE"""),45485.0)</f>
        <v>45485</v>
      </c>
      <c r="E1815" s="31">
        <f>IFERROR(__xludf.DUMMYFUNCTION("""COMPUTED_VALUE"""),298547.0)</f>
        <v>298547</v>
      </c>
      <c r="F1815" s="31" t="str">
        <f>IFERROR(__xludf.DUMMYFUNCTION("""COMPUTED_VALUE"""),"感情が天候に反映される特殊能力持ち令嬢は婚約解消されたので不毛の大地へ嫁ぎたい（コミック） 分冊版")</f>
        <v>感情が天候に反映される特殊能力持ち令嬢は婚約解消されたので不毛の大地へ嫁ぎたい（コミック） 分冊版</v>
      </c>
      <c r="G1815" s="69" t="str">
        <f>IFERROR(__xludf.DUMMYFUNCTION("""COMPUTED_VALUE"""),"1～3")</f>
        <v>1～3</v>
      </c>
      <c r="H1815" s="75" t="str">
        <f>IFERROR(__xludf.DUMMYFUNCTION("""COMPUTED_VALUE"""),"漫画：菜乃ひる 原作：かのん（ツギクル）")</f>
        <v>漫画：菜乃ひる 原作：かのん（ツギクル）</v>
      </c>
      <c r="I1815" s="75" t="str">
        <f>IFERROR(__xludf.DUMMYFUNCTION("""COMPUTED_VALUE"""),"女性")</f>
        <v>女性</v>
      </c>
      <c r="J1815" s="75"/>
      <c r="K1815" s="75"/>
      <c r="L1815" s="75" t="str">
        <f>IFERROR(__xludf.DUMMYFUNCTION("""COMPUTED_VALUE"""),"双葉社")</f>
        <v>双葉社</v>
      </c>
      <c r="M1815" s="59">
        <f>IFERROR(__xludf.DUMMYFUNCTION("""COMPUTED_VALUE"""),45507.0)</f>
        <v>45507</v>
      </c>
      <c r="N1815" s="47">
        <f>IFERROR(__xludf.DUMMYFUNCTION("""COMPUTED_VALUE"""),45598.0)</f>
        <v>45598</v>
      </c>
      <c r="O1815" s="69"/>
      <c r="P1815" s="80" t="str">
        <f>IFERROR(__xludf.DUMMYFUNCTION("""COMPUTED_VALUE"""),"可")</f>
        <v>可</v>
      </c>
      <c r="Q1815" s="75" t="str">
        <f>IFERROR(__xludf.DUMMYFUNCTION("""COMPUTED_VALUE"""),"河上さん事前確認済み(コミットOK)&lt;BR&gt;1～3話データで広告制作お願いいたします。")</f>
        <v>河上さん事前確認済み(コミットOK)&lt;BR&gt;1～3話データで広告制作お願いいたします。</v>
      </c>
      <c r="R1815" s="75" t="str">
        <f>IFERROR(__xludf.DUMMYFUNCTION("""COMPUTED_VALUE"""),"格納済み")</f>
        <v>格納済み</v>
      </c>
      <c r="S1815" s="75" t="str">
        <f>IFERROR(__xludf.DUMMYFUNCTION("""COMPUTED_VALUE"""),"20240712_双葉社_感情が天候に反映される特殊能力持ち令嬢は婚約解消")</f>
        <v>20240712_双葉社_感情が天候に反映される特殊能力持ち令嬢は婚約解消</v>
      </c>
      <c r="T1815" s="75" t="str">
        <f>IFERROR(__xludf.DUMMYFUNCTION("""COMPUTED_VALUE"""),"格納済み")</f>
        <v>格納済み</v>
      </c>
      <c r="U1815" s="15" t="str">
        <f>IFERROR(__xludf.DUMMYFUNCTION("""COMPUTED_VALUE"""),"©菜乃ひる・かのん（ツギクル）/双葉社")</f>
        <v>©菜乃ひる・かのん（ツギクル）/双葉社</v>
      </c>
      <c r="V1815" s="8" t="str">
        <f>IFERROR(__xludf.DUMMYFUNCTION("""COMPUTED_VALUE"""),"感情が天候に反映される公爵令嬢・シャルロッテ。喜怒哀楽を抑えて生きる彼女に対し、婚約者の第一王子は婚約破棄を告げる。我慢の限界を迎えた彼女が不毛の大地にある王国へ嫁ぐと、国王アズールに愛を誓われて…!?　「これからは…俺がしっかりと貴方を愛そう」。感情を出すことができ幸せな日々を送るシャルロッテだったが、この国は魔物が出現する危険な場所であることに変わりはなく―…")</f>
        <v>感情が天候に反映される公爵令嬢・シャルロッテ。喜怒哀楽を抑えて生きる彼女に対し、婚約者の第一王子は婚約破棄を告げる。我慢の限界を迎えた彼女が不毛の大地にある王国へ嫁ぐと、国王アズールに愛を誓われて…!?　「これからは…俺がしっかりと貴方を愛そう」。感情を出すことができ幸せな日々を送るシャルロッテだったが、この国は魔物が出現する危険な場所であることに変わりはなく―…</v>
      </c>
      <c r="W1815" s="14"/>
      <c r="X1815" s="14" t="str">
        <f>IFERROR(__xludf.DUMMYFUNCTION("""COMPUTED_VALUE"""),"有")</f>
        <v>有</v>
      </c>
      <c r="Y1815" s="8" t="str">
        <f>IFERROR(__xludf.DUMMYFUNCTION("""COMPUTED_VALUE"""),"2024/8/31まで1巻無料")</f>
        <v>2024/8/31まで1巻無料</v>
      </c>
      <c r="Z1815" s="7"/>
      <c r="AA1815" s="7"/>
      <c r="AB1815" s="7"/>
    </row>
    <row r="1816" ht="15.75" customHeight="1">
      <c r="A1816" s="66">
        <f>IFERROR(__xludf.DUMMYFUNCTION("""COMPUTED_VALUE"""),3787.0)</f>
        <v>3787</v>
      </c>
      <c r="B1816" s="75" t="str">
        <f>IFERROR(__xludf.DUMMYFUNCTION("""COMPUTED_VALUE"""),"確定")</f>
        <v>確定</v>
      </c>
      <c r="C1816" s="68">
        <f>IFERROR(__xludf.DUMMYFUNCTION("""COMPUTED_VALUE"""),45489.0)</f>
        <v>45489</v>
      </c>
      <c r="D1816" s="68">
        <f>IFERROR(__xludf.DUMMYFUNCTION("""COMPUTED_VALUE"""),45489.0)</f>
        <v>45489</v>
      </c>
      <c r="E1816" s="31">
        <f>IFERROR(__xludf.DUMMYFUNCTION("""COMPUTED_VALUE"""),298249.0)</f>
        <v>298249</v>
      </c>
      <c r="F1816" s="31" t="str">
        <f>IFERROR(__xludf.DUMMYFUNCTION("""COMPUTED_VALUE"""),"鬼ケ原専務は悲劇を繰り返したくない～前世で殺した鬼に超絶溺愛されています～")</f>
        <v>鬼ケ原専務は悲劇を繰り返したくない～前世で殺した鬼に超絶溺愛されています～</v>
      </c>
      <c r="G1816" s="69" t="str">
        <f>IFERROR(__xludf.DUMMYFUNCTION("""COMPUTED_VALUE"""),"1～3")</f>
        <v>1～3</v>
      </c>
      <c r="H1816" s="75" t="str">
        <f>IFERROR(__xludf.DUMMYFUNCTION("""COMPUTED_VALUE"""),"碧野たまご")</f>
        <v>碧野たまご</v>
      </c>
      <c r="I1816" s="75" t="str">
        <f>IFERROR(__xludf.DUMMYFUNCTION("""COMPUTED_VALUE"""),"TL")</f>
        <v>TL</v>
      </c>
      <c r="J1816" s="75"/>
      <c r="K1816" s="75"/>
      <c r="L1816" s="75" t="str">
        <f>IFERROR(__xludf.DUMMYFUNCTION("""COMPUTED_VALUE"""),"一迅社")</f>
        <v>一迅社</v>
      </c>
      <c r="M1816" s="59">
        <f>IFERROR(__xludf.DUMMYFUNCTION("""COMPUTED_VALUE"""),45506.0)</f>
        <v>45506</v>
      </c>
      <c r="N1816" s="23">
        <f>IFERROR(__xludf.DUMMYFUNCTION("""COMPUTED_VALUE"""),45540.0)</f>
        <v>45540</v>
      </c>
      <c r="O1816" s="69"/>
      <c r="P1816" s="80" t="str">
        <f>IFERROR(__xludf.DUMMYFUNCTION("""COMPUTED_VALUE"""),"可")</f>
        <v>可</v>
      </c>
      <c r="Q1816" s="72" t="str">
        <f>IFERROR(__xludf.DUMMYFUNCTION("""COMPUTED_VALUE"""),"・レーベル名：LOVEBITES")</f>
        <v>・レーベル名：LOVEBITES</v>
      </c>
      <c r="R1816" s="75"/>
      <c r="S1816" s="75" t="str">
        <f>IFERROR(__xludf.DUMMYFUNCTION("""COMPUTED_VALUE"""),"20240716_一迅社_鬼ケ原専務は悲劇を繰り返したくない")</f>
        <v>20240716_一迅社_鬼ケ原専務は悲劇を繰り返したくない</v>
      </c>
      <c r="T1816" s="75" t="str">
        <f>IFERROR(__xludf.DUMMYFUNCTION("""COMPUTED_VALUE"""),"格納済み")</f>
        <v>格納済み</v>
      </c>
      <c r="U1816" s="15" t="str">
        <f>IFERROR(__xludf.DUMMYFUNCTION("""COMPUTED_VALUE"""),"(C)碧野たまご／一迅社")</f>
        <v>(C)碧野たまご／一迅社</v>
      </c>
      <c r="V1816" s="8" t="str">
        <f>IFERROR(__xludf.DUMMYFUNCTION("""COMPUTED_VALUE"""),"「絶対に離さない」こんなのダメ…。わかっていても、彼の大きな手が私のカラダを優しく撫でるたびに感じちゃって…！捉えるような瞳に吸い込まれて、身も心も抗えない…！製薬会社で働くOL・さんご（26）。彼女の悩みは「力が強すぎて女っぽくない」という理由で恋人に振られてしまうこと。そんな普通の毎日を過ごしていたある日、社長の子息「鬼ケ原さん」が会社にやってくると噂が。そんな御曹司、庶民の私には関係ないと思っていたのに、エレベーターで偶然一緒になってしまい…！？前世から続く愛なんて重すぎます！鬼ケ原さんの執着愛が止"&amp;"まらない、現代転生ラブロマンスTL")</f>
        <v>「絶対に離さない」こんなのダメ…。わかっていても、彼の大きな手が私のカラダを優しく撫でるたびに感じちゃって…！捉えるような瞳に吸い込まれて、身も心も抗えない…！製薬会社で働くOL・さんご（26）。彼女の悩みは「力が強すぎて女っぽくない」という理由で恋人に振られてしまうこと。そんな普通の毎日を過ごしていたある日、社長の子息「鬼ケ原さん」が会社にやってくると噂が。そんな御曹司、庶民の私には関係ないと思っていたのに、エレベーターで偶然一緒になってしまい…！？前世から続く愛なんて重すぎます！鬼ケ原さんの執着愛が止まらない、現代転生ラブロマンスTL</v>
      </c>
      <c r="W1816" s="14"/>
      <c r="X1816" s="14" t="str">
        <f>IFERROR(__xludf.DUMMYFUNCTION("""COMPUTED_VALUE"""),"有")</f>
        <v>有</v>
      </c>
      <c r="Y1816" s="8" t="str">
        <f>IFERROR(__xludf.DUMMYFUNCTION("""COMPUTED_VALUE"""),"2024/8/15まで1巻無料")</f>
        <v>2024/8/15まで1巻無料</v>
      </c>
      <c r="Z1816" s="7"/>
      <c r="AA1816" s="7"/>
      <c r="AB1816" s="7"/>
    </row>
    <row r="1817" ht="15.75" customHeight="1">
      <c r="A1817" s="66">
        <f>IFERROR(__xludf.DUMMYFUNCTION("""COMPUTED_VALUE"""),3788.0)</f>
        <v>3788</v>
      </c>
      <c r="B1817" s="75" t="str">
        <f>IFERROR(__xludf.DUMMYFUNCTION("""COMPUTED_VALUE"""),"確定")</f>
        <v>確定</v>
      </c>
      <c r="C1817" s="68">
        <f>IFERROR(__xludf.DUMMYFUNCTION("""COMPUTED_VALUE"""),45489.0)</f>
        <v>45489</v>
      </c>
      <c r="D1817" s="68">
        <f>IFERROR(__xludf.DUMMYFUNCTION("""COMPUTED_VALUE"""),45489.0)</f>
        <v>45489</v>
      </c>
      <c r="E1817" s="26">
        <f>IFERROR(__xludf.DUMMYFUNCTION("""COMPUTED_VALUE"""),109415.0)</f>
        <v>109415</v>
      </c>
      <c r="F1817" s="31" t="str">
        <f>IFERROR(__xludf.DUMMYFUNCTION("""COMPUTED_VALUE"""),"先生、私と××××（イロイロ）してください")</f>
        <v>先生、私と××××（イロイロ）してください</v>
      </c>
      <c r="G1817" s="11" t="str">
        <f>IFERROR(__xludf.DUMMYFUNCTION("""COMPUTED_VALUE"""),"1～2")</f>
        <v>1～2</v>
      </c>
      <c r="H1817" s="75" t="str">
        <f>IFERROR(__xludf.DUMMYFUNCTION("""COMPUTED_VALUE"""),"紫賀サヲリ")</f>
        <v>紫賀サヲリ</v>
      </c>
      <c r="I1817" s="14" t="str">
        <f>IFERROR(__xludf.DUMMYFUNCTION("""COMPUTED_VALUE"""),"TL")</f>
        <v>TL</v>
      </c>
      <c r="J1817" s="75"/>
      <c r="K1817" s="75"/>
      <c r="L1817" s="75" t="str">
        <f>IFERROR(__xludf.DUMMYFUNCTION("""COMPUTED_VALUE"""),"ソルマーレ編集部")</f>
        <v>ソルマーレ編集部</v>
      </c>
      <c r="M1817" s="59">
        <f>IFERROR(__xludf.DUMMYFUNCTION("""COMPUTED_VALUE"""),45521.0)</f>
        <v>45521</v>
      </c>
      <c r="N1817" s="77">
        <f>IFERROR(__xludf.DUMMYFUNCTION("""COMPUTED_VALUE"""),45582.0)</f>
        <v>45582</v>
      </c>
      <c r="O1817" s="69"/>
      <c r="P1817" s="80" t="str">
        <f>IFERROR(__xludf.DUMMYFUNCTION("""COMPUTED_VALUE"""),"可")</f>
        <v>可</v>
      </c>
      <c r="Q1817" s="72" t="str">
        <f>IFERROR(__xludf.DUMMYFUNCTION("""COMPUTED_VALUE"""),"レーベル：スキして?桃色日記")</f>
        <v>レーベル：スキして?桃色日記</v>
      </c>
      <c r="R1817" s="75"/>
      <c r="S1817" s="75" t="str">
        <f>IFERROR(__xludf.DUMMYFUNCTION("""COMPUTED_VALUE"""),"20240716_ソルマーレ編集部_先生、私と××××（イロイロ）してください")</f>
        <v>20240716_ソルマーレ編集部_先生、私と××××（イロイロ）してください</v>
      </c>
      <c r="T1817" s="75" t="str">
        <f>IFERROR(__xludf.DUMMYFUNCTION("""COMPUTED_VALUE"""),"格納済み")</f>
        <v>格納済み</v>
      </c>
      <c r="U1817" s="15" t="str">
        <f>IFERROR(__xludf.DUMMYFUNCTION("""COMPUTED_VALUE"""),"Ⓒ 紫賀サヲリ/シーモアコミックス")</f>
        <v>Ⓒ 紫賀サヲリ/シーモアコミックス</v>
      </c>
      <c r="V1817" s="8" t="str">
        <f>IFERROR(__xludf.DUMMYFUNCTION("""COMPUTED_VALUE"""),"若手建築士として活躍する兄の森野樹（もりのいつき）に連れられて参加した大学OB会でであった芸大デザイン科の非常勤講師の藤村遥斗（ふじむらはると）に一目ぼれした森野花音（もりのかのん）。その先生を一途に追いかけ、とうとう芸大へ入学。先生にもっと会いたい、もっと近づきたいという想いがつのり、作品のアドバイスをもらうことにかこつけて先生の自宅へいくと、そこにはデッサンのためのヌードモデルの女性が…。「芸術のためでいちいち欲情などしない」と断言する先生の言葉を聞いた花音は「私がモデルになったら他の人は断ってくれま"&amp;"すか？」と先生に思わず口走ってしまう！
そんな花音に先生は「本当にできるなら来週のこの時間に来ればいい」と悩みつつも先生に対する想いが募って…。【桃色日記】")</f>
        <v>若手建築士として活躍する兄の森野樹（もりのいつき）に連れられて参加した大学OB会でであった芸大デザイン科の非常勤講師の藤村遥斗（ふじむらはると）に一目ぼれした森野花音（もりのかのん）。その先生を一途に追いかけ、とうとう芸大へ入学。先生にもっと会いたい、もっと近づきたいという想いがつのり、作品のアドバイスをもらうことにかこつけて先生の自宅へいくと、そこにはデッサンのためのヌードモデルの女性が…。「芸術のためでいちいち欲情などしない」と断言する先生の言葉を聞いた花音は「私がモデルになったら他の人は断ってくれますか？」と先生に思わず口走ってしまう！
そんな花音に先生は「本当にできるなら来週のこの時間に来ればいい」と悩みつつも先生に対する想いが募って…。【桃色日記】</v>
      </c>
      <c r="W1817" s="14"/>
      <c r="X1817" s="14" t="str">
        <f>IFERROR(__xludf.DUMMYFUNCTION("""COMPUTED_VALUE"""),"有")</f>
        <v>有</v>
      </c>
      <c r="Y1817" s="8" t="str">
        <f>IFERROR(__xludf.DUMMYFUNCTION("""COMPUTED_VALUE"""),"P7まで")</f>
        <v>P7まで</v>
      </c>
      <c r="Z1817" s="7"/>
      <c r="AA1817" s="7"/>
      <c r="AB1817" s="7"/>
    </row>
    <row r="1818" ht="15.75" customHeight="1">
      <c r="A1818" s="66">
        <f>IFERROR(__xludf.DUMMYFUNCTION("""COMPUTED_VALUE"""),3789.0)</f>
        <v>3789</v>
      </c>
      <c r="B1818" s="75" t="str">
        <f>IFERROR(__xludf.DUMMYFUNCTION("""COMPUTED_VALUE"""),"確定")</f>
        <v>確定</v>
      </c>
      <c r="C1818" s="68">
        <f>IFERROR(__xludf.DUMMYFUNCTION("""COMPUTED_VALUE"""),45489.0)</f>
        <v>45489</v>
      </c>
      <c r="D1818" s="68">
        <f>IFERROR(__xludf.DUMMYFUNCTION("""COMPUTED_VALUE"""),45489.0)</f>
        <v>45489</v>
      </c>
      <c r="E1818" s="26">
        <f>IFERROR(__xludf.DUMMYFUNCTION("""COMPUTED_VALUE"""),271089.0)</f>
        <v>271089</v>
      </c>
      <c r="F1818" s="31" t="str">
        <f>IFERROR(__xludf.DUMMYFUNCTION("""COMPUTED_VALUE"""),"死ぬはずだったあの日、私はプリンセスになった。")</f>
        <v>死ぬはずだったあの日、私はプリンセスになった。</v>
      </c>
      <c r="G1818" s="69" t="str">
        <f>IFERROR(__xludf.DUMMYFUNCTION("""COMPUTED_VALUE"""),"1～3")</f>
        <v>1～3</v>
      </c>
      <c r="H1818" s="75" t="str">
        <f>IFERROR(__xludf.DUMMYFUNCTION("""COMPUTED_VALUE"""),"白鳥希美")</f>
        <v>白鳥希美</v>
      </c>
      <c r="I1818" s="22" t="str">
        <f>IFERROR(__xludf.DUMMYFUNCTION("""COMPUTED_VALUE"""),"少女")</f>
        <v>少女</v>
      </c>
      <c r="J1818" s="75"/>
      <c r="K1818" s="75"/>
      <c r="L1818" s="75" t="str">
        <f>IFERROR(__xludf.DUMMYFUNCTION("""COMPUTED_VALUE"""),"ソルマーレ編集部")</f>
        <v>ソルマーレ編集部</v>
      </c>
      <c r="M1818" s="59">
        <f>IFERROR(__xludf.DUMMYFUNCTION("""COMPUTED_VALUE"""),45521.0)</f>
        <v>45521</v>
      </c>
      <c r="N1818" s="77">
        <f>IFERROR(__xludf.DUMMYFUNCTION("""COMPUTED_VALUE"""),45582.0)</f>
        <v>45582</v>
      </c>
      <c r="O1818" s="69"/>
      <c r="P1818" s="71" t="str">
        <f>IFERROR(__xludf.DUMMYFUNCTION("""COMPUTED_VALUE"""),"可")</f>
        <v>可</v>
      </c>
      <c r="Q1818" s="72"/>
      <c r="R1818" s="75"/>
      <c r="S1818" s="75" t="str">
        <f>IFERROR(__xludf.DUMMYFUNCTION("""COMPUTED_VALUE"""),"20240716_ソルマーレ編集部_死ぬはずだったあの日、私はプリンセスになった。")</f>
        <v>20240716_ソルマーレ編集部_死ぬはずだったあの日、私はプリンセスになった。</v>
      </c>
      <c r="T1818" s="75" t="str">
        <f>IFERROR(__xludf.DUMMYFUNCTION("""COMPUTED_VALUE"""),"格納済み")</f>
        <v>格納済み</v>
      </c>
      <c r="U1818" s="15" t="str">
        <f>IFERROR(__xludf.DUMMYFUNCTION("""COMPUTED_VALUE"""),"Ⓒ 白鳥希美/シーモアコミックス")</f>
        <v>Ⓒ 白鳥希美/シーモアコミックス</v>
      </c>
      <c r="V1818" s="8" t="str">
        <f>IFERROR(__xludf.DUMMYFUNCTION("""COMPUTED_VALUE"""),"16年前、忌み子として貴族の家に生まれたエマとダルシー。エマは正当な後継者として大切に育てられる一方で、ダルシーはその存在を隠すように地下牢に閉じ込められ、人知れず育てられる。もちろん、ダルシーを取り巻く環境は悲惨なもので、食料も十分に与えられず、教育も受けられず、あるのは最低限の水と知識、そして少しの絵本だけ。そんな毎日を過ごしていたある日、老朽化で地下牢の扉が壊れてしまう。突如、開けた世界にダルシーは一歩ずつ踏み出していく。初めて見た世界、触れた花、出会ったマーロン王子…。ダルシーはマーロン王子の優し"&amp;"さに触れ、少しずつ彼に惹かれていく。しかしそんな彼女を待っていたのは、瓜二つの顔を持つエマ。自身が忌み子と呼ばれる「双子」であることを知ったエマは、ダルシーの存在を消そうとして――…!? 【恋するソワレ】")</f>
        <v>16年前、忌み子として貴族の家に生まれたエマとダルシー。エマは正当な後継者として大切に育てられる一方で、ダルシーはその存在を隠すように地下牢に閉じ込められ、人知れず育てられる。もちろん、ダルシーを取り巻く環境は悲惨なもので、食料も十分に与えられず、教育も受けられず、あるのは最低限の水と知識、そして少しの絵本だけ。そんな毎日を過ごしていたある日、老朽化で地下牢の扉が壊れてしまう。突如、開けた世界にダルシーは一歩ずつ踏み出していく。初めて見た世界、触れた花、出会ったマーロン王子…。ダルシーはマーロン王子の優しさに触れ、少しずつ彼に惹かれていく。しかしそんな彼女を待っていたのは、瓜二つの顔を持つエマ。自身が忌み子と呼ばれる「双子」であることを知ったエマは、ダルシーの存在を消そうとして――…!? 【恋するソワレ】</v>
      </c>
      <c r="W1818" s="14"/>
      <c r="X1818" s="14" t="str">
        <f>IFERROR(__xludf.DUMMYFUNCTION("""COMPUTED_VALUE"""),"有")</f>
        <v>有</v>
      </c>
      <c r="Y1818" s="8" t="str">
        <f>IFERROR(__xludf.DUMMYFUNCTION("""COMPUTED_VALUE"""),"P15まで")</f>
        <v>P15まで</v>
      </c>
      <c r="Z1818" s="7"/>
      <c r="AA1818" s="7"/>
      <c r="AB1818" s="7"/>
    </row>
    <row r="1819" ht="15.75" customHeight="1">
      <c r="A1819" s="66">
        <f>IFERROR(__xludf.DUMMYFUNCTION("""COMPUTED_VALUE"""),3792.0)</f>
        <v>3792</v>
      </c>
      <c r="B1819" s="75" t="str">
        <f>IFERROR(__xludf.DUMMYFUNCTION("""COMPUTED_VALUE"""),"確定")</f>
        <v>確定</v>
      </c>
      <c r="C1819" s="68">
        <f>IFERROR(__xludf.DUMMYFUNCTION("""COMPUTED_VALUE"""),45489.0)</f>
        <v>45489</v>
      </c>
      <c r="D1819" s="68">
        <f>IFERROR(__xludf.DUMMYFUNCTION("""COMPUTED_VALUE"""),45490.0)</f>
        <v>45490</v>
      </c>
      <c r="E1819" s="26">
        <f>IFERROR(__xludf.DUMMYFUNCTION("""COMPUTED_VALUE"""),216271.0)</f>
        <v>216271</v>
      </c>
      <c r="F1819" s="31" t="str">
        <f>IFERROR(__xludf.DUMMYFUNCTION("""COMPUTED_VALUE"""),"ラークスパーの檻【おまけ漫画付きコミックシーモア限定版】")</f>
        <v>ラークスパーの檻【おまけ漫画付きコミックシーモア限定版】</v>
      </c>
      <c r="G1819" s="69">
        <f>IFERROR(__xludf.DUMMYFUNCTION("""COMPUTED_VALUE"""),2.0)</f>
        <v>2</v>
      </c>
      <c r="H1819" s="75" t="str">
        <f>IFERROR(__xludf.DUMMYFUNCTION("""COMPUTED_VALUE"""),"岡本K宗澄")</f>
        <v>岡本K宗澄</v>
      </c>
      <c r="I1819" s="75" t="str">
        <f>IFERROR(__xludf.DUMMYFUNCTION("""COMPUTED_VALUE"""),"BL")</f>
        <v>BL</v>
      </c>
      <c r="J1819" s="75"/>
      <c r="K1819" s="75"/>
      <c r="L1819" s="75" t="str">
        <f>IFERROR(__xludf.DUMMYFUNCTION("""COMPUTED_VALUE"""),"フロンティアワークス")</f>
        <v>フロンティアワークス</v>
      </c>
      <c r="M1819" s="59">
        <f>IFERROR(__xludf.DUMMYFUNCTION("""COMPUTED_VALUE"""),45514.0)</f>
        <v>45514</v>
      </c>
      <c r="N1819" s="77">
        <f>IFERROR(__xludf.DUMMYFUNCTION("""COMPUTED_VALUE"""),2958465.0)</f>
        <v>2958465</v>
      </c>
      <c r="O1819" s="69"/>
      <c r="P1819" s="80" t="str">
        <f>IFERROR(__xludf.DUMMYFUNCTION("""COMPUTED_VALUE"""),"可")</f>
        <v>可</v>
      </c>
      <c r="Q1819" s="72" t="str">
        <f>IFERROR(__xludf.DUMMYFUNCTION("""COMPUTED_VALUE"""),"【シーモア限定BOOK】作品です")</f>
        <v>【シーモア限定BOOK】作品です</v>
      </c>
      <c r="R1819" s="75"/>
      <c r="S1819" s="75" t="str">
        <f>IFERROR(__xludf.DUMMYFUNCTION("""COMPUTED_VALUE"""),"20240716_フロンティアワークス_ラークスパーの檻")</f>
        <v>20240716_フロンティアワークス_ラークスパーの檻</v>
      </c>
      <c r="T1819" s="75" t="str">
        <f>IFERROR(__xludf.DUMMYFUNCTION("""COMPUTED_VALUE"""),"格納済み")</f>
        <v>格納済み</v>
      </c>
      <c r="U1819" s="15" t="str">
        <f>IFERROR(__xludf.DUMMYFUNCTION("""COMPUTED_VALUE"""),"©MUNESUMI K OKAMOTO/Frontier Works Inc.")</f>
        <v>©MUNESUMI K OKAMOTO/Frontier Works Inc.</v>
      </c>
      <c r="V1819" s="8" t="str">
        <f>IFERROR(__xludf.DUMMYFUNCTION("""COMPUTED_VALUE"""),"【オークションで買われ、溺愛される】孤児のノアは友人に騙され、オークションにかけられることに。反骨的な態度をとるノアを2億で落札したのは、冷酷な男と噂の実業家・ギルバートだった。手酷く扱われると覚悟していたが、初めてのセックスで感じたことのない快楽を教え込まれるノア。逃げ出したいと願っていたはずなのに、ギルバートの不器用な優しさや、自分を買った訳を知り次第に心を動かされ…。【コミックシーモア限定★限定配布されたペーパーの漫画付!!】")</f>
        <v>【オークションで買われ、溺愛される】孤児のノアは友人に騙され、オークションにかけられることに。反骨的な態度をとるノアを2億で落札したのは、冷酷な男と噂の実業家・ギルバートだった。手酷く扱われると覚悟していたが、初めてのセックスで感じたことのない快楽を教え込まれるノア。逃げ出したいと願っていたはずなのに、ギルバートの不器用な優しさや、自分を買った訳を知り次第に心を動かされ…。【コミックシーモア限定★限定配布されたペーパーの漫画付!!】</v>
      </c>
      <c r="W1819" s="14"/>
      <c r="X1819" s="14" t="str">
        <f>IFERROR(__xludf.DUMMYFUNCTION("""COMPUTED_VALUE"""),"有")</f>
        <v>有</v>
      </c>
      <c r="Y1819" s="8" t="str">
        <f>IFERROR(__xludf.DUMMYFUNCTION("""COMPUTED_VALUE"""),"2024/8/21まで立ち読み増量P40まで")</f>
        <v>2024/8/21まで立ち読み増量P40まで</v>
      </c>
      <c r="Z1819" s="7"/>
      <c r="AA1819" s="7"/>
      <c r="AB1819" s="7"/>
    </row>
    <row r="1820" ht="15.75" customHeight="1">
      <c r="A1820" s="66">
        <f>IFERROR(__xludf.DUMMYFUNCTION("""COMPUTED_VALUE"""),3216.0)</f>
        <v>3216</v>
      </c>
      <c r="B1820" s="67" t="str">
        <f>IFERROR(__xludf.DUMMYFUNCTION("""COMPUTED_VALUE"""),"確定")</f>
        <v>確定</v>
      </c>
      <c r="C1820" s="68">
        <f>IFERROR(__xludf.DUMMYFUNCTION("""COMPUTED_VALUE"""),45380.0)</f>
        <v>45380</v>
      </c>
      <c r="D1820" s="68">
        <f>IFERROR(__xludf.DUMMYFUNCTION("""COMPUTED_VALUE"""),45497.0)</f>
        <v>45497</v>
      </c>
      <c r="E1820" s="31">
        <f>IFERROR(__xludf.DUMMYFUNCTION("""COMPUTED_VALUE"""),299232.0)</f>
        <v>299232</v>
      </c>
      <c r="F1820" s="22" t="str">
        <f>IFERROR(__xludf.DUMMYFUNCTION("""COMPUTED_VALUE"""),"甘え上手な灰塚くんの溺愛が止まらない。純情で、健気で…絶倫！")</f>
        <v>甘え上手な灰塚くんの溺愛が止まらない。純情で、健気で…絶倫！</v>
      </c>
      <c r="G1820" s="11" t="str">
        <f>IFERROR(__xludf.DUMMYFUNCTION("""COMPUTED_VALUE"""),"1～2")</f>
        <v>1～2</v>
      </c>
      <c r="H1820" s="67" t="str">
        <f>IFERROR(__xludf.DUMMYFUNCTION("""COMPUTED_VALUE"""),"海月みほ")</f>
        <v>海月みほ</v>
      </c>
      <c r="I1820" s="67" t="str">
        <f>IFERROR(__xludf.DUMMYFUNCTION("""COMPUTED_VALUE"""),"TL")</f>
        <v>TL</v>
      </c>
      <c r="J1820" s="67"/>
      <c r="K1820" s="67"/>
      <c r="L1820" s="67" t="str">
        <f>IFERROR(__xludf.DUMMYFUNCTION("""COMPUTED_VALUE"""),"CLLENN")</f>
        <v>CLLENN</v>
      </c>
      <c r="M1820" s="59">
        <f>IFERROR(__xludf.DUMMYFUNCTION("""COMPUTED_VALUE"""),45515.0)</f>
        <v>45515</v>
      </c>
      <c r="N1820" s="59">
        <f>IFERROR(__xludf.DUMMYFUNCTION("""COMPUTED_VALUE"""),45605.0)</f>
        <v>45605</v>
      </c>
      <c r="O1820" s="67"/>
      <c r="P1820" s="70" t="str">
        <f>IFERROR(__xludf.DUMMYFUNCTION("""COMPUTED_VALUE"""),"可")</f>
        <v>可</v>
      </c>
      <c r="Q1820" s="67" t="str">
        <f>IFERROR(__xludf.DUMMYFUNCTION("""COMPUTED_VALUE"""),"広告コミットOK(4/5)&lt;BR&gt;レーベル名：TL★オトメチカ")</f>
        <v>広告コミットOK(4/5)&lt;BR&gt;レーベル名：TL★オトメチカ</v>
      </c>
      <c r="R1820" s="67" t="str">
        <f>IFERROR(__xludf.DUMMYFUNCTION("""COMPUTED_VALUE"""),"格納済み")</f>
        <v>格納済み</v>
      </c>
      <c r="S1820" s="67" t="str">
        <f>IFERROR(__xludf.DUMMYFUNCTION("""COMPUTED_VALUE"""),"20240723_CLLENN_甘え上手な灰塚くんの溺愛が止まらない。純情で、健気で…絶倫！")</f>
        <v>20240723_CLLENN_甘え上手な灰塚くんの溺愛が止まらない。純情で、健気で…絶倫！</v>
      </c>
      <c r="T1820" s="67" t="str">
        <f>IFERROR(__xludf.DUMMYFUNCTION("""COMPUTED_VALUE"""),"格納済み")</f>
        <v>格納済み</v>
      </c>
      <c r="U1820" s="15" t="str">
        <f>IFERROR(__xludf.DUMMYFUNCTION("""COMPUTED_VALUE"""),"(C)海月みほ/CLLENN")</f>
        <v>(C)海月みほ/CLLENN</v>
      </c>
      <c r="V1820" s="8" t="str">
        <f>IFERROR(__xludf.DUMMYFUNCTION("""COMPUTED_VALUE"""),"「うそ…私…初対面の男の子に裸見せてる…！！」長い指がじっくり身体中をなぞっていく。もどかしい快感と羞恥心に、もう理性が飛んじゃいそう…！ ――世話焼き気質なOL・まほが助けたのは、居酒屋で虐められていた冴えない美大生・灰塚慎太。不器用だけど、誠実で熱意もある慎太の力になりたい。実際に触らないと人物を描けないという彼のために、モデルになってみたものの…いざ触れられると、エッチな気分になっちゃって…っ！ 「気持ちよくなれるとこ、教えてください」遠慮がちなくせに、従順なくせに、丁寧すぎる甘い愛撫に溶かされて何"&amp;"度もイカされちゃう！そしてまさかの二回戦！？ 絶倫な溺愛が止まらない！！")</f>
        <v>「うそ…私…初対面の男の子に裸見せてる…！！」長い指がじっくり身体中をなぞっていく。もどかしい快感と羞恥心に、もう理性が飛んじゃいそう…！ ――世話焼き気質なOL・まほが助けたのは、居酒屋で虐められていた冴えない美大生・灰塚慎太。不器用だけど、誠実で熱意もある慎太の力になりたい。実際に触らないと人物を描けないという彼のために、モデルになってみたものの…いざ触れられると、エッチな気分になっちゃって…っ！ 「気持ちよくなれるとこ、教えてください」遠慮がちなくせに、従順なくせに、丁寧すぎる甘い愛撫に溶かされて何度もイカされちゃう！そしてまさかの二回戦！？ 絶倫な溺愛が止まらない！！</v>
      </c>
      <c r="W1820" s="14"/>
      <c r="X1820" s="14" t="str">
        <f>IFERROR(__xludf.DUMMYFUNCTION("""COMPUTED_VALUE"""),"有")</f>
        <v>有</v>
      </c>
      <c r="Y1820" s="8" t="str">
        <f>IFERROR(__xludf.DUMMYFUNCTION("""COMPUTED_VALUE"""),"P11まで")</f>
        <v>P11まで</v>
      </c>
      <c r="Z1820" s="7"/>
      <c r="AA1820" s="7"/>
      <c r="AB1820" s="7"/>
    </row>
    <row r="1821" ht="15.75" customHeight="1">
      <c r="A1821" s="66">
        <f>IFERROR(__xludf.DUMMYFUNCTION("""COMPUTED_VALUE"""),3225.0)</f>
        <v>3225</v>
      </c>
      <c r="B1821" s="67" t="str">
        <f>IFERROR(__xludf.DUMMYFUNCTION("""COMPUTED_VALUE"""),"確定")</f>
        <v>確定</v>
      </c>
      <c r="C1821" s="68">
        <f>IFERROR(__xludf.DUMMYFUNCTION("""COMPUTED_VALUE"""),45383.0)</f>
        <v>45383</v>
      </c>
      <c r="D1821" s="68">
        <f>IFERROR(__xludf.DUMMYFUNCTION("""COMPUTED_VALUE"""),45495.0)</f>
        <v>45495</v>
      </c>
      <c r="E1821" s="31">
        <f>IFERROR(__xludf.DUMMYFUNCTION("""COMPUTED_VALUE"""),299644.0)</f>
        <v>299644</v>
      </c>
      <c r="F1821" s="22" t="str">
        <f>IFERROR(__xludf.DUMMYFUNCTION("""COMPUTED_VALUE"""),"私のカミにひれ伏しな～復讐七変化～")</f>
        <v>私のカミにひれ伏しな～復讐七変化～</v>
      </c>
      <c r="G1821" s="69" t="str">
        <f>IFERROR(__xludf.DUMMYFUNCTION("""COMPUTED_VALUE"""),"1～5")</f>
        <v>1～5</v>
      </c>
      <c r="H1821" s="67" t="str">
        <f>IFERROR(__xludf.DUMMYFUNCTION("""COMPUTED_VALUE"""),"熊田龍泉")</f>
        <v>熊田龍泉</v>
      </c>
      <c r="I1821" s="67" t="str">
        <f>IFERROR(__xludf.DUMMYFUNCTION("""COMPUTED_VALUE"""),"青年")</f>
        <v>青年</v>
      </c>
      <c r="J1821" s="67"/>
      <c r="K1821" s="67"/>
      <c r="L1821" s="67" t="str">
        <f>IFERROR(__xludf.DUMMYFUNCTION("""COMPUTED_VALUE"""),"CLLENN")</f>
        <v>CLLENN</v>
      </c>
      <c r="M1821" s="59">
        <f>IFERROR(__xludf.DUMMYFUNCTION("""COMPUTED_VALUE"""),45522.0)</f>
        <v>45522</v>
      </c>
      <c r="N1821" s="85">
        <f>IFERROR(__xludf.DUMMYFUNCTION("""COMPUTED_VALUE"""),45619.0)</f>
        <v>45619</v>
      </c>
      <c r="O1821" s="67"/>
      <c r="P1821" s="70" t="str">
        <f>IFERROR(__xludf.DUMMYFUNCTION("""COMPUTED_VALUE"""),"可")</f>
        <v>可</v>
      </c>
      <c r="Q1821" s="67" t="str">
        <f>IFERROR(__xludf.DUMMYFUNCTION("""COMPUTED_VALUE"""),"広告コミットOK(4/5)")</f>
        <v>広告コミットOK(4/5)</v>
      </c>
      <c r="R1821" s="67" t="str">
        <f>IFERROR(__xludf.DUMMYFUNCTION("""COMPUTED_VALUE"""),"格納済み")</f>
        <v>格納済み</v>
      </c>
      <c r="S1821" s="67" t="str">
        <f>IFERROR(__xludf.DUMMYFUNCTION("""COMPUTED_VALUE"""),"20240718_CLLENN_私のカミにひれ伏しな～復讐七変化～")</f>
        <v>20240718_CLLENN_私のカミにひれ伏しな～復讐七変化～</v>
      </c>
      <c r="T1821" s="67" t="str">
        <f>IFERROR(__xludf.DUMMYFUNCTION("""COMPUTED_VALUE"""),"格納済み")</f>
        <v>格納済み</v>
      </c>
      <c r="U1821" s="15" t="str">
        <f>IFERROR(__xludf.DUMMYFUNCTION("""COMPUTED_VALUE"""),"(C)熊田龍泉/CLLENN")</f>
        <v>(C)熊田龍泉/CLLENN</v>
      </c>
      <c r="V1821" s="8" t="str">
        <f>IFERROR(__xludf.DUMMYFUNCTION("""COMPUTED_VALUE"""),"校内カースト上位に君臨する６名で構成された、ハイスペ学生グループ『フォロワーズ』。彼らから、突如いじめのターゲットとされた月島昴（つきしますばる）は、想像を絶する暴力に晒された。彼を救おうとした家族にまでも危害は及び、ついにすべてを失ったとき、彼の心に怪物的な何かが生まれた――。復讐を誓った昴は数年後、フォロワーズの前に現れる。髪が抜け落ちて傷だらけの身を変装で隠し、憎しみのままに彫り上げた、自作の木彫り像「カミ」をたずさえて…。空前絶後！『異形』の復讐サスペンス！　圧倒的な復讐シーンは、あなたを狂気の新"&amp;"境地へといざなう！　崇高なる「カミ」の制裁をご覧あれ")</f>
        <v>校内カースト上位に君臨する６名で構成された、ハイスペ学生グループ『フォロワーズ』。彼らから、突如いじめのターゲットとされた月島昴（つきしますばる）は、想像を絶する暴力に晒された。彼を救おうとした家族にまでも危害は及び、ついにすべてを失ったとき、彼の心に怪物的な何かが生まれた――。復讐を誓った昴は数年後、フォロワーズの前に現れる。髪が抜け落ちて傷だらけの身を変装で隠し、憎しみのままに彫り上げた、自作の木彫り像「カミ」をたずさえて…。空前絶後！『異形』の復讐サスペンス！　圧倒的な復讐シーンは、あなたを狂気の新境地へといざなう！　崇高なる「カミ」の制裁をご覧あれ</v>
      </c>
      <c r="W1821" s="14"/>
      <c r="X1821" s="14" t="str">
        <f>IFERROR(__xludf.DUMMYFUNCTION("""COMPUTED_VALUE"""),"有")</f>
        <v>有</v>
      </c>
      <c r="Y1821" s="8" t="str">
        <f>IFERROR(__xludf.DUMMYFUNCTION("""COMPUTED_VALUE"""),"P10まで")</f>
        <v>P10まで</v>
      </c>
      <c r="Z1821" s="7"/>
      <c r="AA1821" s="7"/>
      <c r="AB1821" s="7"/>
    </row>
    <row r="1822" ht="15.75" customHeight="1">
      <c r="A1822" s="66">
        <f>IFERROR(__xludf.DUMMYFUNCTION("""COMPUTED_VALUE"""),3366.0)</f>
        <v>3366</v>
      </c>
      <c r="B1822" s="67" t="str">
        <f>IFERROR(__xludf.DUMMYFUNCTION("""COMPUTED_VALUE"""),"確定")</f>
        <v>確定</v>
      </c>
      <c r="C1822" s="68">
        <f>IFERROR(__xludf.DUMMYFUNCTION("""COMPUTED_VALUE"""),45414.0)</f>
        <v>45414</v>
      </c>
      <c r="D1822" s="68">
        <f>IFERROR(__xludf.DUMMYFUNCTION("""COMPUTED_VALUE"""),45496.0)</f>
        <v>45496</v>
      </c>
      <c r="E1822" s="31">
        <f>IFERROR(__xludf.DUMMYFUNCTION("""COMPUTED_VALUE"""),297904.0)</f>
        <v>297904</v>
      </c>
      <c r="F1822" s="22" t="str">
        <f>IFERROR(__xludf.DUMMYFUNCTION("""COMPUTED_VALUE"""),"ネトラレ個人レッスン")</f>
        <v>ネトラレ個人レッスン</v>
      </c>
      <c r="G1822" s="69" t="str">
        <f>IFERROR(__xludf.DUMMYFUNCTION("""COMPUTED_VALUE"""),"1～6")</f>
        <v>1～6</v>
      </c>
      <c r="H1822" s="67" t="str">
        <f>IFERROR(__xludf.DUMMYFUNCTION("""COMPUTED_VALUE"""),"はいとく先生・水上桜・JUMONJI・pinkvisions")</f>
        <v>はいとく先生・水上桜・JUMONJI・pinkvisions</v>
      </c>
      <c r="I1822" s="67" t="str">
        <f>IFERROR(__xludf.DUMMYFUNCTION("""COMPUTED_VALUE"""),"オトナ")</f>
        <v>オトナ</v>
      </c>
      <c r="J1822" s="67"/>
      <c r="K1822" s="67"/>
      <c r="L1822" s="67" t="str">
        <f>IFERROR(__xludf.DUMMYFUNCTION("""COMPUTED_VALUE"""),"DEEPER-ZERO")</f>
        <v>DEEPER-ZERO</v>
      </c>
      <c r="M1822" s="23">
        <f>IFERROR(__xludf.DUMMYFUNCTION("""COMPUTED_VALUE"""),45493.0)</f>
        <v>45493</v>
      </c>
      <c r="N1822" s="23">
        <f>IFERROR(__xludf.DUMMYFUNCTION("""COMPUTED_VALUE"""),45506.0)</f>
        <v>45506</v>
      </c>
      <c r="O1822" s="67"/>
      <c r="P1822" s="70" t="str">
        <f>IFERROR(__xludf.DUMMYFUNCTION("""COMPUTED_VALUE"""),"可")</f>
        <v>可</v>
      </c>
      <c r="Q1822" s="67" t="str">
        <f>IFERROR(__xludf.DUMMYFUNCTION("""COMPUTED_VALUE"""),"広告コミットOK(5/13)")</f>
        <v>広告コミットOK(5/13)</v>
      </c>
      <c r="R1822" s="67" t="str">
        <f>IFERROR(__xludf.DUMMYFUNCTION("""COMPUTED_VALUE"""),"格納済み")</f>
        <v>格納済み</v>
      </c>
      <c r="S1822" s="67" t="str">
        <f>IFERROR(__xludf.DUMMYFUNCTION("""COMPUTED_VALUE"""),"20240722_CLLENN_ネトラレ個人レッスン")</f>
        <v>20240722_CLLENN_ネトラレ個人レッスン</v>
      </c>
      <c r="T1822" s="67" t="str">
        <f>IFERROR(__xludf.DUMMYFUNCTION("""COMPUTED_VALUE"""),"格納済み")</f>
        <v>格納済み</v>
      </c>
      <c r="U1822" s="15" t="str">
        <f>IFERROR(__xludf.DUMMYFUNCTION("""COMPUTED_VALUE"""),"(C)はいとく先生・水上桜・JUMONJI・pinkvisions/DEEPER-ZERO")</f>
        <v>(C)はいとく先生・水上桜・JUMONJI・pinkvisions/DEEPER-ZERO</v>
      </c>
      <c r="V1822" s="8" t="str">
        <f>IFERROR(__xludf.DUMMYFUNCTION("""COMPUTED_VALUE"""),"瞳は旦那のことが大好きすぎる新婚の奥さん。純粋無垢で愛嬌が良く、胸も大きな彼女のことを、旦那も溺愛し自慢に思っていた。ある日、旦那の大学時代の友人でありジムのトレーナーをしている男・真央人が家に遊びに来ることに。しかし、積もる思い出話にお酒も進み旦那は早々に潰れてしまう。出会った時から瞳をいやらしい目で見ていた真央人は、これはチャンスと思い「旦那を喜ばせるためにもトレーニングした方が良い」と瞳へ提案する。純粋無垢な瞳は、真央人の言葉巧みな嘘に騙され「このままの体型だと旦那に愛想を尽かされる」と思い込んでし"&amp;"まい、旦那には内緒で二人はトレーニングをすることに。トレーニングで体の際どい箇所を触られることも「旦那にもっと愛してもらうため」と我慢する瞳は、純粋無垢であるが故に真央人の行為にも疑いを持たず、トレーニングと称してついにはセックスまでしてしまう。愛する旦那のために始めたトレーニングのはずだったが、瞳は徐々に快楽に身を委ねるようになり……！？「これ、本当にトレーニングなんですか？」これは、どこにでもいるアナタの奥さんのお話。")</f>
        <v>瞳は旦那のことが大好きすぎる新婚の奥さん。純粋無垢で愛嬌が良く、胸も大きな彼女のことを、旦那も溺愛し自慢に思っていた。ある日、旦那の大学時代の友人でありジムのトレーナーをしている男・真央人が家に遊びに来ることに。しかし、積もる思い出話にお酒も進み旦那は早々に潰れてしまう。出会った時から瞳をいやらしい目で見ていた真央人は、これはチャンスと思い「旦那を喜ばせるためにもトレーニングした方が良い」と瞳へ提案する。純粋無垢な瞳は、真央人の言葉巧みな嘘に騙され「このままの体型だと旦那に愛想を尽かされる」と思い込んでしまい、旦那には内緒で二人はトレーニングをすることに。トレーニングで体の際どい箇所を触られることも「旦那にもっと愛してもらうため」と我慢する瞳は、純粋無垢であるが故に真央人の行為にも疑いを持たず、トレーニングと称してついにはセックスまでしてしまう。愛する旦那のために始めたトレーニングのはずだったが、瞳は徐々に快楽に身を委ねるようになり……！？「これ、本当にトレーニングなんですか？」これは、どこにでもいるアナタの奥さんのお話。</v>
      </c>
      <c r="W1822" s="14"/>
      <c r="X1822" s="14" t="str">
        <f>IFERROR(__xludf.DUMMYFUNCTION("""COMPUTED_VALUE"""),"有")</f>
        <v>有</v>
      </c>
      <c r="Y1822" s="8" t="str">
        <f>IFERROR(__xludf.DUMMYFUNCTION("""COMPUTED_VALUE"""),"2024/8/2まで1巻無料")</f>
        <v>2024/8/2まで1巻無料</v>
      </c>
      <c r="Z1822" s="7"/>
      <c r="AA1822" s="7"/>
      <c r="AB1822" s="7"/>
    </row>
    <row r="1823" ht="15.75" customHeight="1">
      <c r="A1823" s="66">
        <f>IFERROR(__xludf.DUMMYFUNCTION("""COMPUTED_VALUE"""),3408.0)</f>
        <v>3408</v>
      </c>
      <c r="B1823" s="67" t="str">
        <f>IFERROR(__xludf.DUMMYFUNCTION("""COMPUTED_VALUE"""),"確定")</f>
        <v>確定</v>
      </c>
      <c r="C1823" s="68">
        <f>IFERROR(__xludf.DUMMYFUNCTION("""COMPUTED_VALUE"""),45422.0)</f>
        <v>45422</v>
      </c>
      <c r="D1823" s="68">
        <f>IFERROR(__xludf.DUMMYFUNCTION("""COMPUTED_VALUE"""),45497.0)</f>
        <v>45497</v>
      </c>
      <c r="E1823" s="31">
        <f>IFERROR(__xludf.DUMMYFUNCTION("""COMPUTED_VALUE"""),298115.0)</f>
        <v>298115</v>
      </c>
      <c r="F1823" s="46" t="str">
        <f>IFERROR(__xludf.DUMMYFUNCTION("""COMPUTED_VALUE"""),"今日も、すれ違ってます。【タテヨミ】")</f>
        <v>今日も、すれ違ってます。【タテヨミ】</v>
      </c>
      <c r="G1823" s="11" t="str">
        <f>IFERROR(__xludf.DUMMYFUNCTION("""COMPUTED_VALUE"""),"1～10")</f>
        <v>1～10</v>
      </c>
      <c r="H1823" s="67" t="str">
        <f>IFERROR(__xludf.DUMMYFUNCTION("""COMPUTED_VALUE"""),"QueenB┴百餅こもち")</f>
        <v>QueenB┴百餅こもち</v>
      </c>
      <c r="I1823" s="67" t="str">
        <f>IFERROR(__xludf.DUMMYFUNCTION("""COMPUTED_VALUE"""),"女性")</f>
        <v>女性</v>
      </c>
      <c r="J1823" s="67"/>
      <c r="K1823" s="67"/>
      <c r="L1823" s="67" t="str">
        <f>IFERROR(__xludf.DUMMYFUNCTION("""COMPUTED_VALUE"""),"U-NEXT")</f>
        <v>U-NEXT</v>
      </c>
      <c r="M1823" s="59">
        <f>IFERROR(__xludf.DUMMYFUNCTION("""COMPUTED_VALUE"""),45505.0)</f>
        <v>45505</v>
      </c>
      <c r="N1823" s="23">
        <f>IFERROR(__xludf.DUMMYFUNCTION("""COMPUTED_VALUE"""),45602.0)</f>
        <v>45602</v>
      </c>
      <c r="O1823" s="67"/>
      <c r="P1823" s="70" t="str">
        <f>IFERROR(__xludf.DUMMYFUNCTION("""COMPUTED_VALUE"""),"可")</f>
        <v>可</v>
      </c>
      <c r="Q1823" s="72" t="str">
        <f>IFERROR(__xludf.DUMMYFUNCTION("""COMPUTED_VALUE"""),"広告コミットOK(5/13)")</f>
        <v>広告コミットOK(5/13)</v>
      </c>
      <c r="R1823" s="67"/>
      <c r="S1823" s="67" t="str">
        <f>IFERROR(__xludf.DUMMYFUNCTION("""COMPUTED_VALUE"""),"20240717_U-NEXT_今日も、すれ違ってます")</f>
        <v>20240717_U-NEXT_今日も、すれ違ってます</v>
      </c>
      <c r="T1823" s="67" t="str">
        <f>IFERROR(__xludf.DUMMYFUNCTION("""COMPUTED_VALUE"""),"格納済み")</f>
        <v>格納済み</v>
      </c>
      <c r="U1823" s="15" t="str">
        <f>IFERROR(__xludf.DUMMYFUNCTION("""COMPUTED_VALUE"""),"©U-NEXT")</f>
        <v>©U-NEXT</v>
      </c>
      <c r="V1823" s="8" t="str">
        <f>IFERROR(__xludf.DUMMYFUNCTION("""COMPUTED_VALUE"""),"あなたの恋愛にも当てはまること間違いなし!?「違う、そうじゃない!」とつい叫びたくなる男の行動、女の一言…。クスッと笑えてちょっとしみじみ、スカッとできて共感しちゃう恋愛オムニバスコメディ
")</f>
        <v>あなたの恋愛にも当てはまること間違いなし!?「違う、そうじゃない!」とつい叫びたくなる男の行動、女の一言…。クスッと笑えてちょっとしみじみ、スカッとできて共感しちゃう恋愛オムニバスコメディ
</v>
      </c>
      <c r="W1823" s="14"/>
      <c r="X1823" s="14" t="str">
        <f>IFERROR(__xludf.DUMMYFUNCTION("""COMPUTED_VALUE"""),"有")</f>
        <v>有</v>
      </c>
      <c r="Y1823" s="8" t="str">
        <f>IFERROR(__xludf.DUMMYFUNCTION("""COMPUTED_VALUE"""),"3巻無料
2024/8/14まで5巻無料")</f>
        <v>3巻無料
2024/8/14まで5巻無料</v>
      </c>
      <c r="Z1823" s="7"/>
      <c r="AA1823" s="7"/>
      <c r="AB1823" s="7"/>
    </row>
    <row r="1824" ht="15.75" customHeight="1">
      <c r="A1824" s="66">
        <f>IFERROR(__xludf.DUMMYFUNCTION("""COMPUTED_VALUE"""),3411.0)</f>
        <v>3411</v>
      </c>
      <c r="B1824" s="67" t="str">
        <f>IFERROR(__xludf.DUMMYFUNCTION("""COMPUTED_VALUE"""),"確定")</f>
        <v>確定</v>
      </c>
      <c r="C1824" s="68">
        <f>IFERROR(__xludf.DUMMYFUNCTION("""COMPUTED_VALUE"""),45422.0)</f>
        <v>45422</v>
      </c>
      <c r="D1824" s="68">
        <f>IFERROR(__xludf.DUMMYFUNCTION("""COMPUTED_VALUE"""),45491.0)</f>
        <v>45491</v>
      </c>
      <c r="E1824" s="31">
        <f>IFERROR(__xludf.DUMMYFUNCTION("""COMPUTED_VALUE"""),297581.0)</f>
        <v>297581</v>
      </c>
      <c r="F1824" s="22" t="str">
        <f>IFERROR(__xludf.DUMMYFUNCTION("""COMPUTED_VALUE"""),"音色が愛しむ贄娘")</f>
        <v>音色が愛しむ贄娘</v>
      </c>
      <c r="G1824" s="69" t="str">
        <f>IFERROR(__xludf.DUMMYFUNCTION("""COMPUTED_VALUE"""),"1～9")</f>
        <v>1～9</v>
      </c>
      <c r="H1824" s="67" t="str">
        <f>IFERROR(__xludf.DUMMYFUNCTION("""COMPUTED_VALUE"""),"網戸スズ")</f>
        <v>網戸スズ</v>
      </c>
      <c r="I1824" s="67" t="str">
        <f>IFERROR(__xludf.DUMMYFUNCTION("""COMPUTED_VALUE"""),"女性")</f>
        <v>女性</v>
      </c>
      <c r="J1824" s="67"/>
      <c r="K1824" s="67"/>
      <c r="L1824" s="67" t="str">
        <f>IFERROR(__xludf.DUMMYFUNCTION("""COMPUTED_VALUE"""),"ライブコミックス")</f>
        <v>ライブコミックス</v>
      </c>
      <c r="M1824" s="23">
        <f>IFERROR(__xludf.DUMMYFUNCTION("""COMPUTED_VALUE"""),45499.0)</f>
        <v>45499</v>
      </c>
      <c r="N1824" s="23">
        <f>IFERROR(__xludf.DUMMYFUNCTION("""COMPUTED_VALUE"""),45561.0)</f>
        <v>45561</v>
      </c>
      <c r="O1824" s="67"/>
      <c r="P1824" s="70" t="str">
        <f>IFERROR(__xludf.DUMMYFUNCTION("""COMPUTED_VALUE"""),"可")</f>
        <v>可</v>
      </c>
      <c r="Q1824" s="72" t="str">
        <f>IFERROR(__xludf.DUMMYFUNCTION("""COMPUTED_VALUE"""),"広告コミットOK(5/16)&lt;BR&gt;BookLiveからの２次先行です。&lt;BR&gt;７話目までの素材にてご制作いただけますと幸いです。")</f>
        <v>広告コミットOK(5/16)&lt;BR&gt;BookLiveからの２次先行です。&lt;BR&gt;７話目までの素材にてご制作いただけますと幸いです。</v>
      </c>
      <c r="R1824" s="67"/>
      <c r="S1824" s="67" t="str">
        <f>IFERROR(__xludf.DUMMYFUNCTION("""COMPUTED_VALUE"""),"20240510_BookLive_音色が愛しむ贄娘")</f>
        <v>20240510_BookLive_音色が愛しむ贄娘</v>
      </c>
      <c r="T1824" s="67" t="str">
        <f>IFERROR(__xludf.DUMMYFUNCTION("""COMPUTED_VALUE"""),"格納済み")</f>
        <v>格納済み</v>
      </c>
      <c r="U1824" s="15" t="str">
        <f>IFERROR(__xludf.DUMMYFUNCTION("""COMPUTED_VALUE"""),"Ⓒ網戸スズ/ライブコミックス")</f>
        <v>Ⓒ網戸スズ/ライブコミックス</v>
      </c>
      <c r="V1824" s="8" t="str">
        <f>IFERROR(__xludf.DUMMYFUNCTION("""COMPUTED_VALUE"""),"あるところに、目が見えない王子さまと、耳が聞こえない王子さまがいました。それぞれの父親である王さまたちは、星に願いをこめ……そして、悲しい奇跡が起こりました。森で独り暮らすエラは、「暗闇」と「無音」という試練を与えられながらもほがらかに暮らす16歳の少女。そんなエラの前に現れたのは、“ある人”を捜して森を彷徨っていた王太子・エーデルシュタイン。この国に“一人しかいない”はずの蒼玉の瞳を持つ二人が出会った時、運命の歯車が回り出す――。視覚と聴覚を「奪われた」少女と、少女の笑顔を守ると誓った二人の王子。交錯し"&amp;"てはならない運命の三人が織りなすロマンスファンタジー。【第1話】")</f>
        <v>あるところに、目が見えない王子さまと、耳が聞こえない王子さまがいました。それぞれの父親である王さまたちは、星に願いをこめ……そして、悲しい奇跡が起こりました。森で独り暮らすエラは、「暗闇」と「無音」という試練を与えられながらもほがらかに暮らす16歳の少女。そんなエラの前に現れたのは、“ある人”を捜して森を彷徨っていた王太子・エーデルシュタイン。この国に“一人しかいない”はずの蒼玉の瞳を持つ二人が出会った時、運命の歯車が回り出す――。視覚と聴覚を「奪われた」少女と、少女の笑顔を守ると誓った二人の王子。交錯してはならない運命の三人が織りなすロマンスファンタジー。【第1話】</v>
      </c>
      <c r="W1824" s="14"/>
      <c r="X1824" s="14" t="str">
        <f>IFERROR(__xludf.DUMMYFUNCTION("""COMPUTED_VALUE"""),"有")</f>
        <v>有</v>
      </c>
      <c r="Y1824" s="8" t="str">
        <f>IFERROR(__xludf.DUMMYFUNCTION("""COMPUTED_VALUE"""),"2024/9/26まで1～3巻無料")</f>
        <v>2024/9/26まで1～3巻無料</v>
      </c>
      <c r="Z1824" s="7"/>
      <c r="AA1824" s="7"/>
      <c r="AB1824" s="7"/>
    </row>
    <row r="1825" ht="15.75" customHeight="1">
      <c r="A1825" s="66">
        <f>IFERROR(__xludf.DUMMYFUNCTION("""COMPUTED_VALUE"""),3481.0)</f>
        <v>3481</v>
      </c>
      <c r="B1825" s="67" t="str">
        <f>IFERROR(__xludf.DUMMYFUNCTION("""COMPUTED_VALUE"""),"確定")</f>
        <v>確定</v>
      </c>
      <c r="C1825" s="68">
        <f>IFERROR(__xludf.DUMMYFUNCTION("""COMPUTED_VALUE"""),45434.0)</f>
        <v>45434</v>
      </c>
      <c r="D1825" s="68">
        <f>IFERROR(__xludf.DUMMYFUNCTION("""COMPUTED_VALUE"""),45496.0)</f>
        <v>45496</v>
      </c>
      <c r="E1825" s="31">
        <f>IFERROR(__xludf.DUMMYFUNCTION("""COMPUTED_VALUE"""),297989.0)</f>
        <v>297989</v>
      </c>
      <c r="F1825" s="22" t="str">
        <f>IFERROR(__xludf.DUMMYFUNCTION("""COMPUTED_VALUE"""),"宮女イファ～王弟殿下が愛した春嵐の娘～")</f>
        <v>宮女イファ～王弟殿下が愛した春嵐の娘～</v>
      </c>
      <c r="G1825" s="69" t="str">
        <f>IFERROR(__xludf.DUMMYFUNCTION("""COMPUTED_VALUE"""),"1～3")</f>
        <v>1～3</v>
      </c>
      <c r="H1825" s="67" t="str">
        <f>IFERROR(__xludf.DUMMYFUNCTION("""COMPUTED_VALUE"""),"環レン")</f>
        <v>環レン</v>
      </c>
      <c r="I1825" s="67" t="str">
        <f>IFERROR(__xludf.DUMMYFUNCTION("""COMPUTED_VALUE"""),"女性")</f>
        <v>女性</v>
      </c>
      <c r="J1825" s="67"/>
      <c r="K1825" s="67"/>
      <c r="L1825" s="67" t="str">
        <f>IFERROR(__xludf.DUMMYFUNCTION("""COMPUTED_VALUE"""),"CLLENN")</f>
        <v>CLLENN</v>
      </c>
      <c r="M1825" s="23">
        <f>IFERROR(__xludf.DUMMYFUNCTION("""COMPUTED_VALUE"""),45485.0)</f>
        <v>45485</v>
      </c>
      <c r="N1825" s="23">
        <f>IFERROR(__xludf.DUMMYFUNCTION("""COMPUTED_VALUE"""),45547.0)</f>
        <v>45547</v>
      </c>
      <c r="O1825" s="67"/>
      <c r="P1825" s="70" t="str">
        <f>IFERROR(__xludf.DUMMYFUNCTION("""COMPUTED_VALUE"""),"否")</f>
        <v>否</v>
      </c>
      <c r="Q1825" s="67" t="str">
        <f>IFERROR(__xludf.DUMMYFUNCTION("""COMPUTED_VALUE"""),"広告コミットOK(5/31)")</f>
        <v>広告コミットOK(5/31)</v>
      </c>
      <c r="R1825" s="67" t="str">
        <f>IFERROR(__xludf.DUMMYFUNCTION("""COMPUTED_VALUE"""),"格納済み")</f>
        <v>格納済み</v>
      </c>
      <c r="S1825" s="67" t="str">
        <f>IFERROR(__xludf.DUMMYFUNCTION("""COMPUTED_VALUE"""),"20240722_CLLENN_韓国宮廷")</f>
        <v>20240722_CLLENN_韓国宮廷</v>
      </c>
      <c r="T1825" s="67" t="str">
        <f>IFERROR(__xludf.DUMMYFUNCTION("""COMPUTED_VALUE"""),"格納済み")</f>
        <v>格納済み</v>
      </c>
      <c r="U1825" s="15" t="str">
        <f>IFERROR(__xludf.DUMMYFUNCTION("""COMPUTED_VALUE"""),"(C)環レン/CLLENN")</f>
        <v>(C)環レン/CLLENN</v>
      </c>
      <c r="V1825" s="8" t="str">
        <f>IFERROR(__xludf.DUMMYFUNCTION("""COMPUTED_VALUE"""),"「泣いてはいけない…私が必ず両親に会わせてやる」幼いころ貴族の屋敷から連れ去られた梨花（イファ）。成人を迎えた梨花は、義父母に妓楼へ売られそうになる。自分が名門貴族の娘だと知った梨花は、義父母のもとを逃れ、実の両親を見つけ出すことを決意する。逃げる際に助けを求めたのは、宮廷を抜け出していた王弟殿下の潤光（ユングァン）だった。彼は、必ず両親を見つけ出すと約束してくれるが……。")</f>
        <v>「泣いてはいけない…私が必ず両親に会わせてやる」幼いころ貴族の屋敷から連れ去られた梨花（イファ）。成人を迎えた梨花は、義父母に妓楼へ売られそうになる。自分が名門貴族の娘だと知った梨花は、義父母のもとを逃れ、実の両親を見つけ出すことを決意する。逃げる際に助けを求めたのは、宮廷を抜け出していた王弟殿下の潤光（ユングァン）だった。彼は、必ず両親を見つけ出すと約束してくれるが……。</v>
      </c>
      <c r="W1825" s="14"/>
      <c r="X1825" s="14" t="str">
        <f>IFERROR(__xludf.DUMMYFUNCTION("""COMPUTED_VALUE"""),"有")</f>
        <v>有</v>
      </c>
      <c r="Y1825" s="8" t="str">
        <f>IFERROR(__xludf.DUMMYFUNCTION("""COMPUTED_VALUE"""),"2024/7/25まで1巻無料")</f>
        <v>2024/7/25まで1巻無料</v>
      </c>
      <c r="Z1825" s="7"/>
      <c r="AA1825" s="7"/>
      <c r="AB1825" s="7"/>
    </row>
    <row r="1826" ht="15.75" customHeight="1">
      <c r="A1826" s="66">
        <f>IFERROR(__xludf.DUMMYFUNCTION("""COMPUTED_VALUE"""),3534.0)</f>
        <v>3534</v>
      </c>
      <c r="B1826" s="67" t="str">
        <f>IFERROR(__xludf.DUMMYFUNCTION("""COMPUTED_VALUE"""),"確定")</f>
        <v>確定</v>
      </c>
      <c r="C1826" s="68">
        <f>IFERROR(__xludf.DUMMYFUNCTION("""COMPUTED_VALUE"""),45440.0)</f>
        <v>45440</v>
      </c>
      <c r="D1826" s="68">
        <f>IFERROR(__xludf.DUMMYFUNCTION("""COMPUTED_VALUE"""),45497.0)</f>
        <v>45497</v>
      </c>
      <c r="E1826" s="43" t="str">
        <f>IFERROR(__xludf.DUMMYFUNCTION("""COMPUTED_VALUE"""),"ー")</f>
        <v>ー</v>
      </c>
      <c r="F1826" s="22" t="str">
        <f>IFERROR(__xludf.DUMMYFUNCTION("""COMPUTED_VALUE"""),"その天才様は偽装彼女に執着する※配信取下げ")</f>
        <v>その天才様は偽装彼女に執着する※配信取下げ</v>
      </c>
      <c r="G1826" s="69" t="str">
        <f>IFERROR(__xludf.DUMMYFUNCTION("""COMPUTED_VALUE"""),"1～16")</f>
        <v>1～16</v>
      </c>
      <c r="H1826" s="67" t="str">
        <f>IFERROR(__xludf.DUMMYFUNCTION("""COMPUTED_VALUE"""),"村山犬┴ちかふじ")</f>
        <v>村山犬┴ちかふじ</v>
      </c>
      <c r="I1826" s="67" t="str">
        <f>IFERROR(__xludf.DUMMYFUNCTION("""COMPUTED_VALUE"""),"女性")</f>
        <v>女性</v>
      </c>
      <c r="J1826" s="67"/>
      <c r="K1826" s="67"/>
      <c r="L1826" s="67" t="str">
        <f>IFERROR(__xludf.DUMMYFUNCTION("""COMPUTED_VALUE"""),"ライブコミックス")</f>
        <v>ライブコミックス</v>
      </c>
      <c r="M1826" s="86" t="str">
        <f>IFERROR(__xludf.DUMMYFUNCTION("""COMPUTED_VALUE"""),"配信取り下げ")</f>
        <v>配信取り下げ</v>
      </c>
      <c r="N1826" s="86" t="str">
        <f>IFERROR(__xludf.DUMMYFUNCTION("""COMPUTED_VALUE"""),"配信延期")</f>
        <v>配信延期</v>
      </c>
      <c r="O1826" s="67"/>
      <c r="P1826" s="70" t="str">
        <f>IFERROR(__xludf.DUMMYFUNCTION("""COMPUTED_VALUE"""),"可")</f>
        <v>可</v>
      </c>
      <c r="Q1826" s="72" t="str">
        <f>IFERROR(__xludf.DUMMYFUNCTION("""COMPUTED_VALUE"""),"広告コミットOK(6/6)&lt;BR&gt;BookLiveからの2次先行です。&lt;BR&gt;10巻までの素材でご確認お願いします。")</f>
        <v>広告コミットOK(6/6)&lt;BR&gt;BookLiveからの2次先行です。&lt;BR&gt;10巻までの素材でご確認お願いします。</v>
      </c>
      <c r="R1826" s="67"/>
      <c r="S1826" s="67" t="str">
        <f>IFERROR(__xludf.DUMMYFUNCTION("""COMPUTED_VALUE"""),"20240529_BookLive_その天才様は偽装彼女に執着する")</f>
        <v>20240529_BookLive_その天才様は偽装彼女に執着する</v>
      </c>
      <c r="T1826" s="67" t="str">
        <f>IFERROR(__xludf.DUMMYFUNCTION("""COMPUTED_VALUE"""),"格納済み")</f>
        <v>格納済み</v>
      </c>
      <c r="U1826" s="9" t="str">
        <f>IFERROR(__xludf.DUMMYFUNCTION("""COMPUTED_VALUE"""),"Ⓒ村山犬/ちかふじ/ライブコミックス")</f>
        <v>Ⓒ村山犬/ちかふじ/ライブコミックス</v>
      </c>
      <c r="V1826" s="8"/>
      <c r="W1826" s="8"/>
      <c r="X1826" s="8"/>
      <c r="Y1826" s="8"/>
      <c r="Z1826" s="7"/>
      <c r="AA1826" s="7"/>
      <c r="AB1826" s="7"/>
    </row>
    <row r="1827" ht="15.75" customHeight="1">
      <c r="A1827" s="66">
        <f>IFERROR(__xludf.DUMMYFUNCTION("""COMPUTED_VALUE"""),3554.0)</f>
        <v>3554</v>
      </c>
      <c r="B1827" s="67" t="str">
        <f>IFERROR(__xludf.DUMMYFUNCTION("""COMPUTED_VALUE"""),"確定")</f>
        <v>確定</v>
      </c>
      <c r="C1827" s="68">
        <f>IFERROR(__xludf.DUMMYFUNCTION("""COMPUTED_VALUE"""),45442.0)</f>
        <v>45442</v>
      </c>
      <c r="D1827" s="68">
        <f>IFERROR(__xludf.DUMMYFUNCTION("""COMPUTED_VALUE"""),45495.0)</f>
        <v>45495</v>
      </c>
      <c r="E1827" s="31">
        <f>IFERROR(__xludf.DUMMYFUNCTION("""COMPUTED_VALUE"""),297909.0)</f>
        <v>297909</v>
      </c>
      <c r="F1827" s="22" t="str">
        <f>IFERROR(__xludf.DUMMYFUNCTION("""COMPUTED_VALUE"""),"君を泣かせる恋がしたい")</f>
        <v>君を泣かせる恋がしたい</v>
      </c>
      <c r="G1827" s="69">
        <f>IFERROR(__xludf.DUMMYFUNCTION("""COMPUTED_VALUE"""),1.0)</f>
        <v>1</v>
      </c>
      <c r="H1827" s="67" t="str">
        <f>IFERROR(__xludf.DUMMYFUNCTION("""COMPUTED_VALUE"""),"月望いろり")</f>
        <v>月望いろり</v>
      </c>
      <c r="I1827" s="67" t="str">
        <f>IFERROR(__xludf.DUMMYFUNCTION("""COMPUTED_VALUE"""),"BL")</f>
        <v>BL</v>
      </c>
      <c r="J1827" s="67"/>
      <c r="K1827" s="67"/>
      <c r="L1827" s="67" t="str">
        <f>IFERROR(__xludf.DUMMYFUNCTION("""COMPUTED_VALUE"""),"集英社")</f>
        <v>集英社</v>
      </c>
      <c r="M1827" s="59">
        <f>IFERROR(__xludf.DUMMYFUNCTION("""COMPUTED_VALUE"""),45501.0)</f>
        <v>45501</v>
      </c>
      <c r="N1827" s="59">
        <f>IFERROR(__xludf.DUMMYFUNCTION("""COMPUTED_VALUE"""),45526.0)</f>
        <v>45526</v>
      </c>
      <c r="O1827" s="67"/>
      <c r="P1827" s="70" t="str">
        <f>IFERROR(__xludf.DUMMYFUNCTION("""COMPUTED_VALUE"""),"否")</f>
        <v>否</v>
      </c>
      <c r="Q1827" s="72" t="str">
        <f>IFERROR(__xludf.DUMMYFUNCTION("""COMPUTED_VALUE"""),"・レーベルロゴ：君恋&lt;BR&gt;・単巻")</f>
        <v>・レーベルロゴ：君恋&lt;BR&gt;・単巻</v>
      </c>
      <c r="R1827" s="67"/>
      <c r="S1827" s="87" t="str">
        <f>IFERROR(__xludf.DUMMYFUNCTION("""COMPUTED_VALUE"""),"20240722_集英社_君を泣かせる恋がしたい")</f>
        <v>20240722_集英社_君を泣かせる恋がしたい</v>
      </c>
      <c r="T1827" s="67"/>
      <c r="U1827" s="15" t="str">
        <f>IFERROR(__xludf.DUMMYFUNCTION("""COMPUTED_VALUE"""),"©表記：月望いろり／集英社")</f>
        <v>©表記：月望いろり／集英社</v>
      </c>
      <c r="V1827" s="8" t="str">
        <f>IFERROR(__xludf.DUMMYFUNCTION("""COMPUTED_VALUE"""),"可愛い子が好きなのに、男子校に入学して絶望していたおバカ男子・松重。超童顔の担任・高梨に恋をするけど、顔すら覚えてもらえず再び心が折れかける。そんな矢先、誰にも言えない高梨の秘密を知り急接近のチャンス到来…！　おバカな面食い男子×訳アリな男子校の「姫」、欲望まみれの歪な恋がはじまる!?")</f>
        <v>可愛い子が好きなのに、男子校に入学して絶望していたおバカ男子・松重。超童顔の担任・高梨に恋をするけど、顔すら覚えてもらえず再び心が折れかける。そんな矢先、誰にも言えない高梨の秘密を知り急接近のチャンス到来…！　おバカな面食い男子×訳アリな男子校の「姫」、欲望まみれの歪な恋がはじまる!?</v>
      </c>
      <c r="W1827" s="14"/>
      <c r="X1827" s="14" t="str">
        <f>IFERROR(__xludf.DUMMYFUNCTION("""COMPUTED_VALUE"""),"有")</f>
        <v>有</v>
      </c>
      <c r="Y1827" s="8" t="str">
        <f>IFERROR(__xludf.DUMMYFUNCTION("""COMPUTED_VALUE"""),"2024/8/27まで立ち読み増量P80まで")</f>
        <v>2024/8/27まで立ち読み増量P80まで</v>
      </c>
      <c r="Z1827" s="7"/>
      <c r="AA1827" s="7"/>
      <c r="AB1827" s="7"/>
    </row>
    <row r="1828" ht="15.75" customHeight="1">
      <c r="A1828" s="66">
        <f>IFERROR(__xludf.DUMMYFUNCTION("""COMPUTED_VALUE"""),3564.0)</f>
        <v>3564</v>
      </c>
      <c r="B1828" s="67" t="str">
        <f>IFERROR(__xludf.DUMMYFUNCTION("""COMPUTED_VALUE"""),"確定")</f>
        <v>確定</v>
      </c>
      <c r="C1828" s="68">
        <f>IFERROR(__xludf.DUMMYFUNCTION("""COMPUTED_VALUE"""),45443.0)</f>
        <v>45443</v>
      </c>
      <c r="D1828" s="68">
        <f>IFERROR(__xludf.DUMMYFUNCTION("""COMPUTED_VALUE"""),45497.0)</f>
        <v>45497</v>
      </c>
      <c r="E1828" s="31">
        <f>IFERROR(__xludf.DUMMYFUNCTION("""COMPUTED_VALUE"""),299966.0)</f>
        <v>299966</v>
      </c>
      <c r="F1828" s="22" t="str">
        <f>IFERROR(__xludf.DUMMYFUNCTION("""COMPUTED_VALUE"""),"ラチェリアの恋 【分冊版】")</f>
        <v>ラチェリアの恋 【分冊版】</v>
      </c>
      <c r="G1828" s="69" t="str">
        <f>IFERROR(__xludf.DUMMYFUNCTION("""COMPUTED_VALUE"""),"1～3")</f>
        <v>1～3</v>
      </c>
      <c r="H1828" s="67" t="str">
        <f>IFERROR(__xludf.DUMMYFUNCTION("""COMPUTED_VALUE"""),"みなみ恵夢")</f>
        <v>みなみ恵夢</v>
      </c>
      <c r="I1828" s="67" t="str">
        <f>IFERROR(__xludf.DUMMYFUNCTION("""COMPUTED_VALUE"""),"女性")</f>
        <v>女性</v>
      </c>
      <c r="J1828" s="67"/>
      <c r="K1828" s="67"/>
      <c r="L1828" s="67" t="str">
        <f>IFERROR(__xludf.DUMMYFUNCTION("""COMPUTED_VALUE"""),"ハーパーコリンズ・ジャパン")</f>
        <v>ハーパーコリンズ・ジャパン</v>
      </c>
      <c r="M1828" s="59">
        <f>IFERROR(__xludf.DUMMYFUNCTION("""COMPUTED_VALUE"""),45527.0)</f>
        <v>45527</v>
      </c>
      <c r="N1828" s="88">
        <f>IFERROR(__xludf.DUMMYFUNCTION("""COMPUTED_VALUE"""),45588.0)</f>
        <v>45588</v>
      </c>
      <c r="O1828" s="67"/>
      <c r="P1828" s="70" t="str">
        <f>IFERROR(__xludf.DUMMYFUNCTION("""COMPUTED_VALUE"""),"否")</f>
        <v>否</v>
      </c>
      <c r="Q1828" s="67" t="str">
        <f>IFERROR(__xludf.DUMMYFUNCTION("""COMPUTED_VALUE"""),"広告コミットOK(6/10)")</f>
        <v>広告コミットOK(6/10)</v>
      </c>
      <c r="R1828" s="67"/>
      <c r="S1828" s="67" t="str">
        <f>IFERROR(__xludf.DUMMYFUNCTION("""COMPUTED_VALUE"""),"20240724_ハーパーコリンズ・ジャパン_ラチェリアの恋")</f>
        <v>20240724_ハーパーコリンズ・ジャパン_ラチェリアの恋</v>
      </c>
      <c r="T1828" s="67" t="str">
        <f>IFERROR(__xludf.DUMMYFUNCTION("""COMPUTED_VALUE"""),"格納済み")</f>
        <v>格納済み</v>
      </c>
      <c r="U1828" s="15" t="str">
        <f>IFERROR(__xludf.DUMMYFUNCTION("""COMPUTED_VALUE"""),"『ラチェリアの恋』©みなみ恵夢・三毛猫寅次／ハーパーコリンズ・ジャパン")</f>
        <v>『ラチェリアの恋』©みなみ恵夢・三毛猫寅次／ハーパーコリンズ・ジャパン</v>
      </c>
      <c r="V1828" s="8" t="str">
        <f>IFERROR(__xludf.DUMMYFUNCTION("""COMPUTED_VALUE"""),"私の恋が死んだのは、いつからだったんでしょう……？
ガゼル王国宰相の娘、ラチェリア侯爵令嬢は19歳の時に、第四王子で王太子であるブラッドフォードに嫁いだ。同じく幼い頃に母親を亡くしたふたりは、幼なじみとしてお互い支え合い、励まし合って成長してきた。しかし、そんなふたりの関係性は、ブラッドフォードがほかの女性と恋を落ちたことで変化し始める――。しかし最終的に、ブラッドフォードの恋人であるアラモアナ侯爵令嬢が事故で死亡とされ、ラチェリアが王太子妃となる。だけど、結婚して何年も経つのに子宝が恵まれず、ブラ"&amp;"ッドフォードの態度もずっと冷たいまま。さらに、アラモアナがブラッドフォードの子供を連れて現れたことで、ラチェリアは自分の恋の終焉に気付き始める――。")</f>
        <v>私の恋が死んだのは、いつからだったんでしょう……？
ガゼル王国宰相の娘、ラチェリア侯爵令嬢は19歳の時に、第四王子で王太子であるブラッドフォードに嫁いだ。同じく幼い頃に母親を亡くしたふたりは、幼なじみとしてお互い支え合い、励まし合って成長してきた。しかし、そんなふたりの関係性は、ブラッドフォードがほかの女性と恋を落ちたことで変化し始める――。しかし最終的に、ブラッドフォードの恋人であるアラモアナ侯爵令嬢が事故で死亡とされ、ラチェリアが王太子妃となる。だけど、結婚して何年も経つのに子宝が恵まれず、ブラッドフォードの態度もずっと冷たいまま。さらに、アラモアナがブラッドフォードの子供を連れて現れたことで、ラチェリアは自分の恋の終焉に気付き始める――。</v>
      </c>
      <c r="W1828" s="14"/>
      <c r="X1828" s="14" t="str">
        <f>IFERROR(__xludf.DUMMYFUNCTION("""COMPUTED_VALUE"""),"有")</f>
        <v>有</v>
      </c>
      <c r="Y1828" s="8" t="str">
        <f>IFERROR(__xludf.DUMMYFUNCTION("""COMPUTED_VALUE"""),"2024/9/5まで1巻無料")</f>
        <v>2024/9/5まで1巻無料</v>
      </c>
      <c r="Z1828" s="7"/>
      <c r="AA1828" s="7"/>
      <c r="AB1828" s="7"/>
    </row>
    <row r="1829" ht="15.75" customHeight="1">
      <c r="A1829" s="66">
        <f>IFERROR(__xludf.DUMMYFUNCTION("""COMPUTED_VALUE"""),3566.0)</f>
        <v>3566</v>
      </c>
      <c r="B1829" s="67" t="str">
        <f>IFERROR(__xludf.DUMMYFUNCTION("""COMPUTED_VALUE"""),"確定")</f>
        <v>確定</v>
      </c>
      <c r="C1829" s="68">
        <f>IFERROR(__xludf.DUMMYFUNCTION("""COMPUTED_VALUE"""),45446.0)</f>
        <v>45446</v>
      </c>
      <c r="D1829" s="68">
        <f>IFERROR(__xludf.DUMMYFUNCTION("""COMPUTED_VALUE"""),45496.0)</f>
        <v>45496</v>
      </c>
      <c r="E1829" s="31">
        <f>IFERROR(__xludf.DUMMYFUNCTION("""COMPUTED_VALUE"""),299683.0)</f>
        <v>299683</v>
      </c>
      <c r="F1829" s="22" t="str">
        <f>IFERROR(__xludf.DUMMYFUNCTION("""COMPUTED_VALUE"""),"青薔薇様にはヒミツがある【マイクロ】")</f>
        <v>青薔薇様にはヒミツがある【マイクロ】</v>
      </c>
      <c r="G1829" s="11" t="str">
        <f>IFERROR(__xludf.DUMMYFUNCTION("""COMPUTED_VALUE"""),"1～10")</f>
        <v>1～10</v>
      </c>
      <c r="H1829" s="67" t="str">
        <f>IFERROR(__xludf.DUMMYFUNCTION("""COMPUTED_VALUE"""),"華月ひとみ")</f>
        <v>華月ひとみ</v>
      </c>
      <c r="I1829" s="78" t="str">
        <f>IFERROR(__xludf.DUMMYFUNCTION("""COMPUTED_VALUE"""),"女性")</f>
        <v>女性</v>
      </c>
      <c r="J1829" s="67"/>
      <c r="K1829" s="67"/>
      <c r="L1829" s="67" t="str">
        <f>IFERROR(__xludf.DUMMYFUNCTION("""COMPUTED_VALUE"""),"小学館")</f>
        <v>小学館</v>
      </c>
      <c r="M1829" s="59">
        <f>IFERROR(__xludf.DUMMYFUNCTION("""COMPUTED_VALUE"""),45524.0)</f>
        <v>45524</v>
      </c>
      <c r="N1829" s="85">
        <f>IFERROR(__xludf.DUMMYFUNCTION("""COMPUTED_VALUE"""),45584.0)</f>
        <v>45584</v>
      </c>
      <c r="O1829" s="67"/>
      <c r="P1829" s="70" t="str">
        <f>IFERROR(__xludf.DUMMYFUNCTION("""COMPUTED_VALUE"""),"否")</f>
        <v>否</v>
      </c>
      <c r="Q1829" s="72" t="str">
        <f>IFERROR(__xludf.DUMMYFUNCTION("""COMPUTED_VALUE"""),"広告コミットOK(6/10)&lt;BR&gt;先行期間：続話は1ヵ月&lt;BR&gt;無料施策：&lt;BR&gt;8/20～8/26：1-3巻無料 ※1週間&lt;BR&gt;8/27～9/9：1-6巻無料 ※2週間")</f>
        <v>広告コミットOK(6/10)&lt;BR&gt;先行期間：続話は1ヵ月&lt;BR&gt;無料施策：&lt;BR&gt;8/20～8/26：1-3巻無料 ※1週間&lt;BR&gt;8/27～9/9：1-6巻無料 ※2週間</v>
      </c>
      <c r="R1829" s="67"/>
      <c r="S1829" s="67" t="str">
        <f>IFERROR(__xludf.DUMMYFUNCTION("""COMPUTED_VALUE"""),"20240722_小学館_青薔薇様にはヒミツがある【マイクロ】")</f>
        <v>20240722_小学館_青薔薇様にはヒミツがある【マイクロ】</v>
      </c>
      <c r="T1829" s="67" t="str">
        <f>IFERROR(__xludf.DUMMYFUNCTION("""COMPUTED_VALUE"""),"格納済み")</f>
        <v>格納済み</v>
      </c>
      <c r="U1829" s="15" t="str">
        <f>IFERROR(__xludf.DUMMYFUNCTION("""COMPUTED_VALUE"""),"(C)華月ひとみ / 小学館")</f>
        <v>(C)華月ひとみ / 小学館</v>
      </c>
      <c r="V1829" s="8" t="str">
        <f>IFERROR(__xludf.DUMMYFUNCTION("""COMPUTED_VALUE"""),"メイドの私が恋したのは、薔薇にまつわるヒミツを抱えたご主人様でした―。
薔薇の名家・月城家に仕えるメイドの天満は、月城家の御曹司でミステリアスなイケメン・碧士に片想い中。 立場上その恋心を隠しながら生きてきたけど、ある日、偶然碧士に触れてしまった時、薔薇の棘が刺さったような衝撃が走り…！
“薔薇の呪いは触れた人の本音を引き出してしまう――”
碧士が、月城家代々受け継がれている、そんな「薔薇の呪い」にかけられていることを知ってしまった天満だけど…!?
究極の「箱入り息子」と専属メイドが贈る、"&amp;"薔薇の謎に包まれたファンタジーラブコメ！")</f>
        <v>メイドの私が恋したのは、薔薇にまつわるヒミツを抱えたご主人様でした―。
薔薇の名家・月城家に仕えるメイドの天満は、月城家の御曹司でミステリアスなイケメン・碧士に片想い中。 立場上その恋心を隠しながら生きてきたけど、ある日、偶然碧士に触れてしまった時、薔薇の棘が刺さったような衝撃が走り…！
“薔薇の呪いは触れた人の本音を引き出してしまう――”
碧士が、月城家代々受け継がれている、そんな「薔薇の呪い」にかけられていることを知ってしまった天満だけど…!?
究極の「箱入り息子」と専属メイドが贈る、薔薇の謎に包まれたファンタジーラブコメ！</v>
      </c>
      <c r="W1829" s="14"/>
      <c r="X1829" s="14" t="str">
        <f>IFERROR(__xludf.DUMMYFUNCTION("""COMPUTED_VALUE"""),"有")</f>
        <v>有</v>
      </c>
      <c r="Y1829" s="8" t="str">
        <f>IFERROR(__xludf.DUMMYFUNCTION("""COMPUTED_VALUE"""),"2024/8/26まで1～3巻無料")</f>
        <v>2024/8/26まで1～3巻無料</v>
      </c>
      <c r="Z1829" s="7"/>
      <c r="AA1829" s="7"/>
      <c r="AB1829" s="7"/>
    </row>
    <row r="1830" ht="15.75" customHeight="1">
      <c r="A1830" s="66">
        <f>IFERROR(__xludf.DUMMYFUNCTION("""COMPUTED_VALUE"""),3569.0)</f>
        <v>3569</v>
      </c>
      <c r="B1830" s="67" t="str">
        <f>IFERROR(__xludf.DUMMYFUNCTION("""COMPUTED_VALUE"""),"確定")</f>
        <v>確定</v>
      </c>
      <c r="C1830" s="68">
        <f>IFERROR(__xludf.DUMMYFUNCTION("""COMPUTED_VALUE"""),45447.0)</f>
        <v>45447</v>
      </c>
      <c r="D1830" s="68">
        <f>IFERROR(__xludf.DUMMYFUNCTION("""COMPUTED_VALUE"""),45496.0)</f>
        <v>45496</v>
      </c>
      <c r="E1830" s="31">
        <f>IFERROR(__xludf.DUMMYFUNCTION("""COMPUTED_VALUE"""),297583.0)</f>
        <v>297583</v>
      </c>
      <c r="F1830" s="22" t="str">
        <f>IFERROR(__xludf.DUMMYFUNCTION("""COMPUTED_VALUE"""),"身代わり聖女は敵国王太子のキスで溺愛される")</f>
        <v>身代わり聖女は敵国王太子のキスで溺愛される</v>
      </c>
      <c r="G1830" s="69" t="str">
        <f>IFERROR(__xludf.DUMMYFUNCTION("""COMPUTED_VALUE"""),"1～4")</f>
        <v>1～4</v>
      </c>
      <c r="H1830" s="67" t="str">
        <f>IFERROR(__xludf.DUMMYFUNCTION("""COMPUTED_VALUE"""),"織部ソマリ┴うめ五郎")</f>
        <v>織部ソマリ┴うめ五郎</v>
      </c>
      <c r="I1830" s="67" t="str">
        <f>IFERROR(__xludf.DUMMYFUNCTION("""COMPUTED_VALUE"""),"少女")</f>
        <v>少女</v>
      </c>
      <c r="J1830" s="67"/>
      <c r="K1830" s="67"/>
      <c r="L1830" s="67" t="str">
        <f>IFERROR(__xludf.DUMMYFUNCTION("""COMPUTED_VALUE"""),"booklistaSTUDIO")</f>
        <v>booklistaSTUDIO</v>
      </c>
      <c r="M1830" s="23">
        <f>IFERROR(__xludf.DUMMYFUNCTION("""COMPUTED_VALUE"""),45493.0)</f>
        <v>45493</v>
      </c>
      <c r="N1830" s="68">
        <f>IFERROR(__xludf.DUMMYFUNCTION("""COMPUTED_VALUE"""),45584.0)</f>
        <v>45584</v>
      </c>
      <c r="O1830" s="67"/>
      <c r="P1830" s="70" t="str">
        <f>IFERROR(__xludf.DUMMYFUNCTION("""COMPUTED_VALUE"""),"可")</f>
        <v>可</v>
      </c>
      <c r="Q1830" s="67" t="str">
        <f>IFERROR(__xludf.DUMMYFUNCTION("""COMPUTED_VALUE"""),"広告コミットOK(6/11)")</f>
        <v>広告コミットOK(6/11)</v>
      </c>
      <c r="R1830" s="67" t="str">
        <f>IFERROR(__xludf.DUMMYFUNCTION("""COMPUTED_VALUE"""),"格納済み")</f>
        <v>格納済み</v>
      </c>
      <c r="S1830" s="67" t="str">
        <f>IFERROR(__xludf.DUMMYFUNCTION("""COMPUTED_VALUE"""),"20240722_booklistaSTUDIO_身代わり聖女は敵国王太子のキスで溺愛される")</f>
        <v>20240722_booklistaSTUDIO_身代わり聖女は敵国王太子のキスで溺愛される</v>
      </c>
      <c r="T1830" s="67" t="str">
        <f>IFERROR(__xludf.DUMMYFUNCTION("""COMPUTED_VALUE"""),"格納済み")</f>
        <v>格納済み</v>
      </c>
      <c r="U1830" s="15" t="str">
        <f>IFERROR(__xludf.DUMMYFUNCTION("""COMPUTED_VALUE"""),"（C）織部ソマリ・うめ五郎／booklistaSTUDIO")</f>
        <v>（C）織部ソマリ・うめ五郎／booklistaSTUDIO</v>
      </c>
      <c r="V1830" s="8" t="str">
        <f>IFERROR(__xludf.DUMMYFUNCTION("""COMPUTED_VALUE"""),"〝役立たず聖女〟と蔑まれていたアシュリー。せめて得意な剣で役立とうと励むある日、弟が敵対する隣国に攫われ瀕死に。
助けたい！ 強く願うアシュリーは聖女の力を開花させるが、魔力切れで倒れてしまう。甘い魔力を感じ目覚めると、それは敵国の王太子レオナルドのキスだった。
アシュリーは大聖女になり弟を助けるため、レオナルドは聖女を得るため二人は手を組む。キスによる魔力補給は甘く、いつしか溺愛のキスに変わって……？")</f>
        <v>〝役立たず聖女〟と蔑まれていたアシュリー。せめて得意な剣で役立とうと励むある日、弟が敵対する隣国に攫われ瀕死に。
助けたい！ 強く願うアシュリーは聖女の力を開花させるが、魔力切れで倒れてしまう。甘い魔力を感じ目覚めると、それは敵国の王太子レオナルドのキスだった。
アシュリーは大聖女になり弟を助けるため、レオナルドは聖女を得るため二人は手を組む。キスによる魔力補給は甘く、いつしか溺愛のキスに変わって……？</v>
      </c>
      <c r="W1830" s="14"/>
      <c r="X1830" s="14" t="str">
        <f>IFERROR(__xludf.DUMMYFUNCTION("""COMPUTED_VALUE"""),"有")</f>
        <v>有</v>
      </c>
      <c r="Y1830" s="8" t="str">
        <f>IFERROR(__xludf.DUMMYFUNCTION("""COMPUTED_VALUE"""),"2024/8/2まで1巻無料")</f>
        <v>2024/8/2まで1巻無料</v>
      </c>
      <c r="Z1830" s="7"/>
      <c r="AA1830" s="7"/>
      <c r="AB1830" s="7"/>
    </row>
    <row r="1831" ht="15.75" customHeight="1">
      <c r="A1831" s="66">
        <f>IFERROR(__xludf.DUMMYFUNCTION("""COMPUTED_VALUE"""),3706.0)</f>
        <v>3706</v>
      </c>
      <c r="B1831" s="67" t="str">
        <f>IFERROR(__xludf.DUMMYFUNCTION("""COMPUTED_VALUE"""),"確定")</f>
        <v>確定</v>
      </c>
      <c r="C1831" s="68">
        <f>IFERROR(__xludf.DUMMYFUNCTION("""COMPUTED_VALUE"""),45470.0)</f>
        <v>45470</v>
      </c>
      <c r="D1831" s="68">
        <f>IFERROR(__xludf.DUMMYFUNCTION("""COMPUTED_VALUE"""),45496.0)</f>
        <v>45496</v>
      </c>
      <c r="E1831" s="31">
        <f>IFERROR(__xludf.DUMMYFUNCTION("""COMPUTED_VALUE"""),299649.0)</f>
        <v>299649</v>
      </c>
      <c r="F1831" s="22" t="str">
        <f>IFERROR(__xludf.DUMMYFUNCTION("""COMPUTED_VALUE"""),"愛が重い騎士公爵は、追放令嬢のすべてを奪い尽くしたい。【HQカラー】")</f>
        <v>愛が重い騎士公爵は、追放令嬢のすべてを奪い尽くしたい。【HQカラー】</v>
      </c>
      <c r="G1831" s="69" t="str">
        <f>IFERROR(__xludf.DUMMYFUNCTION("""COMPUTED_VALUE"""),"1～4")</f>
        <v>1～4</v>
      </c>
      <c r="H1831" s="67" t="str">
        <f>IFERROR(__xludf.DUMMYFUNCTION("""COMPUTED_VALUE"""),"海原ゆた")</f>
        <v>海原ゆた</v>
      </c>
      <c r="I1831" s="67" t="str">
        <f>IFERROR(__xludf.DUMMYFUNCTION("""COMPUTED_VALUE"""),"TL")</f>
        <v>TL</v>
      </c>
      <c r="J1831" s="67"/>
      <c r="K1831" s="67"/>
      <c r="L1831" s="67" t="str">
        <f>IFERROR(__xludf.DUMMYFUNCTION("""COMPUTED_VALUE"""),"CLLENN")</f>
        <v>CLLENN</v>
      </c>
      <c r="M1831" s="59">
        <f>IFERROR(__xludf.DUMMYFUNCTION("""COMPUTED_VALUE"""),45523.0)</f>
        <v>45523</v>
      </c>
      <c r="N1831" s="85">
        <f>IFERROR(__xludf.DUMMYFUNCTION("""COMPUTED_VALUE"""),45585.0)</f>
        <v>45585</v>
      </c>
      <c r="O1831" s="67"/>
      <c r="P1831" s="70" t="str">
        <f>IFERROR(__xludf.DUMMYFUNCTION("""COMPUTED_VALUE"""),"可")</f>
        <v>可</v>
      </c>
      <c r="Q1831" s="67" t="str">
        <f>IFERROR(__xludf.DUMMYFUNCTION("""COMPUTED_VALUE"""),"広告コミットOK(7/3) レーベル名：乙女チック")</f>
        <v>広告コミットOK(7/3) レーベル名：乙女チック</v>
      </c>
      <c r="R1831" s="67" t="str">
        <f>IFERROR(__xludf.DUMMYFUNCTION("""COMPUTED_VALUE"""),"格納済み")</f>
        <v>格納済み</v>
      </c>
      <c r="S1831" s="67" t="str">
        <f>IFERROR(__xludf.DUMMYFUNCTION("""COMPUTED_VALUE"""),"20240722_CLLENN_愛が重い騎士公爵は、追放令嬢のすべてを奪い尽くしたい。【HQカラー】")</f>
        <v>20240722_CLLENN_愛が重い騎士公爵は、追放令嬢のすべてを奪い尽くしたい。【HQカラー】</v>
      </c>
      <c r="T1831" s="67" t="str">
        <f>IFERROR(__xludf.DUMMYFUNCTION("""COMPUTED_VALUE"""),"格納済み")</f>
        <v>格納済み</v>
      </c>
      <c r="U1831" s="15" t="str">
        <f>IFERROR(__xludf.DUMMYFUNCTION("""COMPUTED_VALUE"""),"(C)海原ゆた/CLLENN")</f>
        <v>(C)海原ゆた/CLLENN</v>
      </c>
      <c r="V1831" s="8" t="str">
        <f>IFERROR(__xludf.DUMMYFUNCTION("""COMPUTED_VALUE"""),"【デジタル着色によるハイクオリティ・フルカラー版！】「乱れた姿も全て隠さず見せてくれ」初めての快感に抗えず、何度も絶頂を迎えて――冤罪で修道院に追放された侯爵令嬢リュシエンヌは、隣国の騎士公爵ミハエルに攫われた。彼の目的は公爵として、教養のある妻を迎えること。密かに恋していた相手から契約結婚を求められ、二つ返事で受け入れたら「これであなたは俺のものだ。誰にも渡さない」と迫られて…!?　熱を孕んだ眼差しで見つめられ、閉じ込めるように逞しい腕にかき抱かれたら、愛されていると勘違いしてしまいそう…！とろけるよう"&amp;"なキスと激しい愛撫でぐしょぐしょに濡れてしまうくらい翻弄されて――初恋を拗らせた騎士公爵×純真無垢な箱入り令嬢の溺愛ラブロマンス★")</f>
        <v>【デジタル着色によるハイクオリティ・フルカラー版！】「乱れた姿も全て隠さず見せてくれ」初めての快感に抗えず、何度も絶頂を迎えて――冤罪で修道院に追放された侯爵令嬢リュシエンヌは、隣国の騎士公爵ミハエルに攫われた。彼の目的は公爵として、教養のある妻を迎えること。密かに恋していた相手から契約結婚を求められ、二つ返事で受け入れたら「これであなたは俺のものだ。誰にも渡さない」と迫られて…!?　熱を孕んだ眼差しで見つめられ、閉じ込めるように逞しい腕にかき抱かれたら、愛されていると勘違いしてしまいそう…！とろけるようなキスと激しい愛撫でぐしょぐしょに濡れてしまうくらい翻弄されて――初恋を拗らせた騎士公爵×純真無垢な箱入り令嬢の溺愛ラブロマンス★</v>
      </c>
      <c r="W1831" s="14"/>
      <c r="X1831" s="14" t="str">
        <f>IFERROR(__xludf.DUMMYFUNCTION("""COMPUTED_VALUE"""),"有")</f>
        <v>有</v>
      </c>
      <c r="Y1831" s="8" t="str">
        <f>IFERROR(__xludf.DUMMYFUNCTION("""COMPUTED_VALUE"""),"P10まで")</f>
        <v>P10まで</v>
      </c>
      <c r="Z1831" s="7"/>
      <c r="AA1831" s="7"/>
      <c r="AB1831" s="7"/>
    </row>
    <row r="1832" ht="15.75" customHeight="1">
      <c r="A1832" s="66">
        <f>IFERROR(__xludf.DUMMYFUNCTION("""COMPUTED_VALUE"""),3741.0)</f>
        <v>3741</v>
      </c>
      <c r="B1832" s="67" t="str">
        <f>IFERROR(__xludf.DUMMYFUNCTION("""COMPUTED_VALUE"""),"確定")</f>
        <v>確定</v>
      </c>
      <c r="C1832" s="68">
        <f>IFERROR(__xludf.DUMMYFUNCTION("""COMPUTED_VALUE"""),45477.0)</f>
        <v>45477</v>
      </c>
      <c r="D1832" s="68">
        <f>IFERROR(__xludf.DUMMYFUNCTION("""COMPUTED_VALUE"""),45497.0)</f>
        <v>45497</v>
      </c>
      <c r="E1832" s="31">
        <f>IFERROR(__xludf.DUMMYFUNCTION("""COMPUTED_VALUE"""),300239.0)</f>
        <v>300239</v>
      </c>
      <c r="F1832" s="22" t="str">
        <f>IFERROR(__xludf.DUMMYFUNCTION("""COMPUTED_VALUE"""),"毒女、誤って王太子をオトす")</f>
        <v>毒女、誤って王太子をオトす</v>
      </c>
      <c r="G1832" s="69" t="str">
        <f>IFERROR(__xludf.DUMMYFUNCTION("""COMPUTED_VALUE"""),"1～3")</f>
        <v>1～3</v>
      </c>
      <c r="H1832" s="67" t="str">
        <f>IFERROR(__xludf.DUMMYFUNCTION("""COMPUTED_VALUE"""),"氷栗優")</f>
        <v>氷栗優</v>
      </c>
      <c r="I1832" s="67" t="str">
        <f>IFERROR(__xludf.DUMMYFUNCTION("""COMPUTED_VALUE"""),"少女")</f>
        <v>少女</v>
      </c>
      <c r="J1832" s="67"/>
      <c r="K1832" s="67"/>
      <c r="L1832" s="67" t="str">
        <f>IFERROR(__xludf.DUMMYFUNCTION("""COMPUTED_VALUE"""),"コンパス")</f>
        <v>コンパス</v>
      </c>
      <c r="M1832" s="59">
        <f>IFERROR(__xludf.DUMMYFUNCTION("""COMPUTED_VALUE"""),45528.0)</f>
        <v>45528</v>
      </c>
      <c r="N1832" s="89">
        <f>IFERROR(__xludf.DUMMYFUNCTION("""COMPUTED_VALUE"""),45618.0)</f>
        <v>45618</v>
      </c>
      <c r="O1832" s="67"/>
      <c r="P1832" s="70" t="str">
        <f>IFERROR(__xludf.DUMMYFUNCTION("""COMPUTED_VALUE"""),"可")</f>
        <v>可</v>
      </c>
      <c r="Q1832" s="72" t="str">
        <f>IFERROR(__xludf.DUMMYFUNCTION("""COMPUTED_VALUE"""),"広告コミットOK(7/11)")</f>
        <v>広告コミットOK(7/11)</v>
      </c>
      <c r="R1832" s="67"/>
      <c r="S1832" s="67" t="str">
        <f>IFERROR(__xludf.DUMMYFUNCTION("""COMPUTED_VALUE"""),"20240717_コンパス_毒女誤って王太子をオトす")</f>
        <v>20240717_コンパス_毒女誤って王太子をオトす</v>
      </c>
      <c r="T1832" s="67" t="str">
        <f>IFERROR(__xludf.DUMMYFUNCTION("""COMPUTED_VALUE"""),"格納済み")</f>
        <v>格納済み</v>
      </c>
      <c r="U1832" s="15" t="str">
        <f>IFERROR(__xludf.DUMMYFUNCTION("""COMPUTED_VALUE"""),"(C)氷栗優・葛城阿高／コンパス")</f>
        <v>(C)氷栗優・葛城阿高／コンパス</v>
      </c>
      <c r="V1832" s="8" t="str">
        <f>IFERROR(__xludf.DUMMYFUNCTION("""COMPUTED_VALUE"""),"「私には もう王太子妃になる資格はありません！」
継母に毒を盛られ続けたベラドンナは耐性を持ち、ついには毒草をおいしく食すのが趣味になった風変わりな伯爵令嬢。並々ならぬ努力をし、晴れて植物学者となったベラドンナに舞い込んだのは王太子からの縁談話！王太子妃になったら研究に没頭する生活が送れない！縁談を拒否するため、酒場で仲の良かった男友達・ウィルに処女喪失を手伝ってもらうことに…。王太子が来訪するその日、「生娘ではなくなった」と告げて破談を期待するベラドンナだが、彼女の前に現れたのはーー!?")</f>
        <v>「私には もう王太子妃になる資格はありません！」
継母に毒を盛られ続けたベラドンナは耐性を持ち、ついには毒草をおいしく食すのが趣味になった風変わりな伯爵令嬢。並々ならぬ努力をし、晴れて植物学者となったベラドンナに舞い込んだのは王太子からの縁談話！王太子妃になったら研究に没頭する生活が送れない！縁談を拒否するため、酒場で仲の良かった男友達・ウィルに処女喪失を手伝ってもらうことに…。王太子が来訪するその日、「生娘ではなくなった」と告げて破談を期待するベラドンナだが、彼女の前に現れたのはーー!?</v>
      </c>
      <c r="W1832" s="14"/>
      <c r="X1832" s="14" t="str">
        <f>IFERROR(__xludf.DUMMYFUNCTION("""COMPUTED_VALUE"""),"有")</f>
        <v>有</v>
      </c>
      <c r="Y1832" s="8" t="str">
        <f>IFERROR(__xludf.DUMMYFUNCTION("""COMPUTED_VALUE"""),"2024/9/6まで1巻無料")</f>
        <v>2024/9/6まで1巻無料</v>
      </c>
      <c r="Z1832" s="7"/>
      <c r="AA1832" s="7"/>
      <c r="AB1832" s="7"/>
    </row>
    <row r="1833" ht="15.75" customHeight="1">
      <c r="A1833" s="66">
        <f>IFERROR(__xludf.DUMMYFUNCTION("""COMPUTED_VALUE"""),3742.0)</f>
        <v>3742</v>
      </c>
      <c r="B1833" s="67" t="str">
        <f>IFERROR(__xludf.DUMMYFUNCTION("""COMPUTED_VALUE"""),"確定")</f>
        <v>確定</v>
      </c>
      <c r="C1833" s="68">
        <f>IFERROR(__xludf.DUMMYFUNCTION("""COMPUTED_VALUE"""),45477.0)</f>
        <v>45477</v>
      </c>
      <c r="D1833" s="68">
        <f>IFERROR(__xludf.DUMMYFUNCTION("""COMPUTED_VALUE"""),45497.0)</f>
        <v>45497</v>
      </c>
      <c r="E1833" s="31">
        <f>IFERROR(__xludf.DUMMYFUNCTION("""COMPUTED_VALUE"""),300237.0)</f>
        <v>300237</v>
      </c>
      <c r="F1833" s="22" t="str">
        <f>IFERROR(__xludf.DUMMYFUNCTION("""COMPUTED_VALUE"""),"龍の花嫁は鬼の嘘に溺れる")</f>
        <v>龍の花嫁は鬼の嘘に溺れる</v>
      </c>
      <c r="G1833" s="69" t="str">
        <f>IFERROR(__xludf.DUMMYFUNCTION("""COMPUTED_VALUE"""),"1～3")</f>
        <v>1～3</v>
      </c>
      <c r="H1833" s="67" t="str">
        <f>IFERROR(__xludf.DUMMYFUNCTION("""COMPUTED_VALUE"""),"冬織透真")</f>
        <v>冬織透真</v>
      </c>
      <c r="I1833" s="67" t="str">
        <f>IFERROR(__xludf.DUMMYFUNCTION("""COMPUTED_VALUE"""),"少女")</f>
        <v>少女</v>
      </c>
      <c r="J1833" s="67"/>
      <c r="K1833" s="67"/>
      <c r="L1833" s="67" t="str">
        <f>IFERROR(__xludf.DUMMYFUNCTION("""COMPUTED_VALUE"""),"コンパス")</f>
        <v>コンパス</v>
      </c>
      <c r="M1833" s="59">
        <f>IFERROR(__xludf.DUMMYFUNCTION("""COMPUTED_VALUE"""),45528.0)</f>
        <v>45528</v>
      </c>
      <c r="N1833" s="89">
        <f>IFERROR(__xludf.DUMMYFUNCTION("""COMPUTED_VALUE"""),45618.0)</f>
        <v>45618</v>
      </c>
      <c r="O1833" s="67"/>
      <c r="P1833" s="70" t="str">
        <f>IFERROR(__xludf.DUMMYFUNCTION("""COMPUTED_VALUE"""),"可")</f>
        <v>可</v>
      </c>
      <c r="Q1833" s="72" t="str">
        <f>IFERROR(__xludf.DUMMYFUNCTION("""COMPUTED_VALUE"""),"広告コミットOK（7/11）&lt;BR&gt;・3話の素材は7月末納品の予定です。")</f>
        <v>広告コミットOK（7/11）&lt;BR&gt;・3話の素材は7月末納品の予定です。</v>
      </c>
      <c r="R1833" s="78"/>
      <c r="S1833" s="67" t="str">
        <f>IFERROR(__xludf.DUMMYFUNCTION("""COMPUTED_VALUE"""),"20240731_コンパス_龍の花嫁は鬼の嘘に溺れる")</f>
        <v>20240731_コンパス_龍の花嫁は鬼の嘘に溺れる</v>
      </c>
      <c r="T1833" s="67" t="str">
        <f>IFERROR(__xludf.DUMMYFUNCTION("""COMPUTED_VALUE"""),"格納済み")</f>
        <v>格納済み</v>
      </c>
      <c r="U1833" s="15" t="str">
        <f>IFERROR(__xludf.DUMMYFUNCTION("""COMPUTED_VALUE"""),"(C)冬織透真／コンパス")</f>
        <v>(C)冬織透真／コンパス</v>
      </c>
      <c r="V1833" s="8" t="str">
        <f>IFERROR(__xludf.DUMMYFUNCTION("""COMPUTED_VALUE"""),"「儂にはそれが 美しい龍の鱗に見えるが？」
龍神の加護を受ける一族の中で、ただひとり蛇に魅入られるニセモノだと虐げられていた珠妃（たまき）。「蛇になりたくない」と切に願い、日々厳しい修行に励む珠妃だが、十六の誕生日＝運命の神託の日まで残り時間はあとわずか…。そしてやってきた神託の日、珠妃は鬼神族の若き頭首・廉（れん）と出会ってーー。")</f>
        <v>「儂にはそれが 美しい龍の鱗に見えるが？」
龍神の加護を受ける一族の中で、ただひとり蛇に魅入られるニセモノだと虐げられていた珠妃（たまき）。「蛇になりたくない」と切に願い、日々厳しい修行に励む珠妃だが、十六の誕生日＝運命の神託の日まで残り時間はあとわずか…。そしてやってきた神託の日、珠妃は鬼神族の若き頭首・廉（れん）と出会ってーー。</v>
      </c>
      <c r="W1833" s="14"/>
      <c r="X1833" s="14" t="str">
        <f>IFERROR(__xludf.DUMMYFUNCTION("""COMPUTED_VALUE"""),"有")</f>
        <v>有</v>
      </c>
      <c r="Y1833" s="8" t="str">
        <f>IFERROR(__xludf.DUMMYFUNCTION("""COMPUTED_VALUE"""),"2024/9/6まで1巻無料")</f>
        <v>2024/9/6まで1巻無料</v>
      </c>
      <c r="Z1833" s="7"/>
      <c r="AA1833" s="7"/>
      <c r="AB1833" s="7"/>
    </row>
    <row r="1834" ht="15.75" customHeight="1">
      <c r="A1834" s="66">
        <f>IFERROR(__xludf.DUMMYFUNCTION("""COMPUTED_VALUE"""),3752.0)</f>
        <v>3752</v>
      </c>
      <c r="B1834" s="67" t="str">
        <f>IFERROR(__xludf.DUMMYFUNCTION("""COMPUTED_VALUE"""),"確定")</f>
        <v>確定</v>
      </c>
      <c r="C1834" s="68">
        <f>IFERROR(__xludf.DUMMYFUNCTION("""COMPUTED_VALUE"""),45481.0)</f>
        <v>45481</v>
      </c>
      <c r="D1834" s="68">
        <f>IFERROR(__xludf.DUMMYFUNCTION("""COMPUTED_VALUE"""),45497.0)</f>
        <v>45497</v>
      </c>
      <c r="E1834" s="31">
        <f>IFERROR(__xludf.DUMMYFUNCTION("""COMPUTED_VALUE"""),302253.0)</f>
        <v>302253</v>
      </c>
      <c r="F1834" s="46" t="str">
        <f>IFERROR(__xludf.DUMMYFUNCTION("""COMPUTED_VALUE"""),"僕の妻を寝取ってください【フルカラー】【タテヨミ】")</f>
        <v>僕の妻を寝取ってください【フルカラー】【タテヨミ】</v>
      </c>
      <c r="G1834" s="79" t="str">
        <f>IFERROR(__xludf.DUMMYFUNCTION("""COMPUTED_VALUE"""),"1～7")</f>
        <v>1～7</v>
      </c>
      <c r="H1834" s="67" t="str">
        <f>IFERROR(__xludf.DUMMYFUNCTION("""COMPUTED_VALUE"""),"原作:rei 作画:おえかき")</f>
        <v>原作:rei 作画:おえかき</v>
      </c>
      <c r="I1834" s="67" t="str">
        <f>IFERROR(__xludf.DUMMYFUNCTION("""COMPUTED_VALUE"""),"オトナ")</f>
        <v>オトナ</v>
      </c>
      <c r="J1834" s="67"/>
      <c r="K1834" s="67"/>
      <c r="L1834" s="67" t="str">
        <f>IFERROR(__xludf.DUMMYFUNCTION("""COMPUTED_VALUE"""),"CLLENN")</f>
        <v>CLLENN</v>
      </c>
      <c r="M1834" s="59">
        <f>IFERROR(__xludf.DUMMYFUNCTION("""COMPUTED_VALUE"""),45550.0)</f>
        <v>45550</v>
      </c>
      <c r="N1834" s="85">
        <f>IFERROR(__xludf.DUMMYFUNCTION("""COMPUTED_VALUE"""),45610.0)</f>
        <v>45610</v>
      </c>
      <c r="O1834" s="67"/>
      <c r="P1834" s="70" t="str">
        <f>IFERROR(__xludf.DUMMYFUNCTION("""COMPUTED_VALUE"""),"可")</f>
        <v>可</v>
      </c>
      <c r="Q1834" s="67" t="str">
        <f>IFERROR(__xludf.DUMMYFUNCTION("""COMPUTED_VALUE"""),"広告コミットOK(7/16)&lt;BR&gt;FANZAで2か月一次先行の作品です。&lt;BR&gt;シーモアでは二次先行です。")</f>
        <v>広告コミットOK(7/16)&lt;BR&gt;FANZAで2か月一次先行の作品です。&lt;BR&gt;シーモアでは二次先行です。</v>
      </c>
      <c r="R1834" s="67" t="str">
        <f>IFERROR(__xludf.DUMMYFUNCTION("""COMPUTED_VALUE"""),"格納済み")</f>
        <v>格納済み</v>
      </c>
      <c r="S1834" s="67" t="str">
        <f>IFERROR(__xludf.DUMMYFUNCTION("""COMPUTED_VALUE"""),"20240718_CLLENN_僕の妻を寝取ってください")</f>
        <v>20240718_CLLENN_僕の妻を寝取ってください</v>
      </c>
      <c r="T1834" s="67" t="str">
        <f>IFERROR(__xludf.DUMMYFUNCTION("""COMPUTED_VALUE"""),"格納済み")</f>
        <v>格納済み</v>
      </c>
      <c r="U1834" s="15" t="str">
        <f>IFERROR(__xludf.DUMMYFUNCTION("""COMPUTED_VALUE"""),"(C)rei・おえかき/DEEPER-ZERO")</f>
        <v>(C)rei・おえかき/DEEPER-ZERO</v>
      </c>
      <c r="V1834" s="8" t="str">
        <f>IFERROR(__xludf.DUMMYFUNCTION("""COMPUTED_VALUE"""),"愛する妻・乃愛と最愛の息子・一郎と幸せな生活を送る主人公・春樹には、ある性癖があった。それは最愛の妻が他の男に抱かれる姿を見たいという歪んだ願望。その願望をこじらせた結果、春樹は妻とのセックスが上手くいかなくなってしまう。妻の過去の性体験を聞く事で興奮し何とか性生活を続けていたが、ついに春樹は限界を迎えてしまう。気心の知れた会社の後輩である高島と飲んだ際に、春樹は自分の妻とセックスする事を提案するのであった。……春樹は知らなかった。高島がこれまで数々の女を快楽に堕としてきた男であり、春樹の結婚式の時から乃"&amp;"愛に目を付けていたという事を…！寝取らせからはじまるNTRストーリー！")</f>
        <v>愛する妻・乃愛と最愛の息子・一郎と幸せな生活を送る主人公・春樹には、ある性癖があった。それは最愛の妻が他の男に抱かれる姿を見たいという歪んだ願望。その願望をこじらせた結果、春樹は妻とのセックスが上手くいかなくなってしまう。妻の過去の性体験を聞く事で興奮し何とか性生活を続けていたが、ついに春樹は限界を迎えてしまう。気心の知れた会社の後輩である高島と飲んだ際に、春樹は自分の妻とセックスする事を提案するのであった。……春樹は知らなかった。高島がこれまで数々の女を快楽に堕としてきた男であり、春樹の結婚式の時から乃愛に目を付けていたという事を…！寝取らせからはじまるNTRストーリー！</v>
      </c>
      <c r="W1834" s="14"/>
      <c r="X1834" s="14" t="str">
        <f>IFERROR(__xludf.DUMMYFUNCTION("""COMPUTED_VALUE"""),"有")</f>
        <v>有</v>
      </c>
      <c r="Y1834" s="8" t="str">
        <f>IFERROR(__xludf.DUMMYFUNCTION("""COMPUTED_VALUE"""),"2024/9/28まで1～2巻無料")</f>
        <v>2024/9/28まで1～2巻無料</v>
      </c>
      <c r="Z1834" s="7"/>
      <c r="AA1834" s="7"/>
      <c r="AB1834" s="7"/>
    </row>
    <row r="1835" ht="15.75" customHeight="1">
      <c r="A1835" s="66">
        <f>IFERROR(__xludf.DUMMYFUNCTION("""COMPUTED_VALUE"""),3760.0)</f>
        <v>3760</v>
      </c>
      <c r="B1835" s="67" t="str">
        <f>IFERROR(__xludf.DUMMYFUNCTION("""COMPUTED_VALUE"""),"確定")</f>
        <v>確定</v>
      </c>
      <c r="C1835" s="68">
        <f>IFERROR(__xludf.DUMMYFUNCTION("""COMPUTED_VALUE"""),45481.0)</f>
        <v>45481</v>
      </c>
      <c r="D1835" s="68">
        <f>IFERROR(__xludf.DUMMYFUNCTION("""COMPUTED_VALUE"""),45497.0)</f>
        <v>45497</v>
      </c>
      <c r="E1835" s="31">
        <f>IFERROR(__xludf.DUMMYFUNCTION("""COMPUTED_VALUE"""),298676.0)</f>
        <v>298676</v>
      </c>
      <c r="F1835" s="46" t="str">
        <f>IFERROR(__xludf.DUMMYFUNCTION("""COMPUTED_VALUE"""),"【ラフィーヤ】クズでも愛して？ 片想いのイケメンお兄さんにカラダも堕とされて抜け出せません")</f>
        <v>【ラフィーヤ】クズでも愛して？ 片想いのイケメンお兄さんにカラダも堕とされて抜け出せません</v>
      </c>
      <c r="G1835" s="11" t="str">
        <f>IFERROR(__xludf.DUMMYFUNCTION("""COMPUTED_VALUE"""),"1～2")</f>
        <v>1～2</v>
      </c>
      <c r="H1835" s="67" t="str">
        <f>IFERROR(__xludf.DUMMYFUNCTION("""COMPUTED_VALUE"""),"及杜ななめ")</f>
        <v>及杜ななめ</v>
      </c>
      <c r="I1835" s="67" t="str">
        <f>IFERROR(__xludf.DUMMYFUNCTION("""COMPUTED_VALUE"""),"TL")</f>
        <v>TL</v>
      </c>
      <c r="J1835" s="67"/>
      <c r="K1835" s="67"/>
      <c r="L1835" s="67" t="str">
        <f>IFERROR(__xludf.DUMMYFUNCTION("""COMPUTED_VALUE"""),"アーク・プレス")</f>
        <v>アーク・プレス</v>
      </c>
      <c r="M1835" s="59">
        <f>IFERROR(__xludf.DUMMYFUNCTION("""COMPUTED_VALUE"""),45505.0)</f>
        <v>45505</v>
      </c>
      <c r="N1835" s="47">
        <f>IFERROR(__xludf.DUMMYFUNCTION("""COMPUTED_VALUE"""),45553.0)</f>
        <v>45553</v>
      </c>
      <c r="O1835" s="67"/>
      <c r="P1835" s="70" t="str">
        <f>IFERROR(__xludf.DUMMYFUNCTION("""COMPUTED_VALUE"""),"可")</f>
        <v>可</v>
      </c>
      <c r="Q1835" s="72" t="str">
        <f>IFERROR(__xludf.DUMMYFUNCTION("""COMPUTED_VALUE"""),"広告コミットOK(7/12)
・レーベル名：ラフィーヤ")</f>
        <v>広告コミットOK(7/12)
・レーベル名：ラフィーヤ</v>
      </c>
      <c r="R1835" s="67"/>
      <c r="S1835" s="67" t="str">
        <f>IFERROR(__xludf.DUMMYFUNCTION("""COMPUTED_VALUE"""),"20240717_アーク・プレス_クズでも愛して？ 片想いのイケメンお兄さんにカラダも堕とされて抜け出せません")</f>
        <v>20240717_アーク・プレス_クズでも愛して？ 片想いのイケメンお兄さんにカラダも堕とされて抜け出せません</v>
      </c>
      <c r="T1835" s="67" t="str">
        <f>IFERROR(__xludf.DUMMYFUNCTION("""COMPUTED_VALUE"""),"格納済み")</f>
        <v>格納済み</v>
      </c>
      <c r="U1835" s="15" t="str">
        <f>IFERROR(__xludf.DUMMYFUNCTION("""COMPUTED_VALUE"""),"©︎及杜ななめ／アーク・プレス")</f>
        <v>©︎及杜ななめ／アーク・プレス</v>
      </c>
      <c r="V1835" s="8" t="str">
        <f>IFERROR(__xludf.DUMMYFUNCTION("""COMPUTED_VALUE"""),"「いい反応…快感に素直な人は好きですよ」
顔良し、性欲強し、ただしクズ。
片想いだったはずなのに、ずるい抱き方でズブズブにハメられてーー
白咲琴里(26)の趣味は、仕事帰りのカフェで店員・小鳥遊爽介を見ること。
一目惚れしてから足しげく喫茶店に通う日々だったが、
ある日、閉店後の爽介に家まで送ってもらうことになり…！
そこで言われた驚きの言葉は……「僕とセックスしませんか？」！！？
なんと彼の裏の顔は、涼しい顔した性欲モンスター！？
ミステリアス美形クズ×純粋一途なおとぼけヒロイン"&amp;"の
愛されるほど沼に堕ちていく恋人？生活♪")</f>
        <v>「いい反応…快感に素直な人は好きですよ」
顔良し、性欲強し、ただしクズ。
片想いだったはずなのに、ずるい抱き方でズブズブにハメられてーー
白咲琴里(26)の趣味は、仕事帰りのカフェで店員・小鳥遊爽介を見ること。
一目惚れしてから足しげく喫茶店に通う日々だったが、
ある日、閉店後の爽介に家まで送ってもらうことになり…！
そこで言われた驚きの言葉は……「僕とセックスしませんか？」！！？
なんと彼の裏の顔は、涼しい顔した性欲モンスター！？
ミステリアス美形クズ×純粋一途なおとぼけヒロインの
愛されるほど沼に堕ちていく恋人？生活♪</v>
      </c>
      <c r="W1835" s="14"/>
      <c r="X1835" s="14" t="str">
        <f>IFERROR(__xludf.DUMMYFUNCTION("""COMPUTED_VALUE"""),"有")</f>
        <v>有</v>
      </c>
      <c r="Y1835" s="8" t="str">
        <f>IFERROR(__xludf.DUMMYFUNCTION("""COMPUTED_VALUE"""),"2024/8/14まで1巻無料")</f>
        <v>2024/8/14まで1巻無料</v>
      </c>
      <c r="Z1835" s="7"/>
      <c r="AA1835" s="7"/>
      <c r="AB1835" s="7"/>
    </row>
    <row r="1836" ht="15.75" customHeight="1">
      <c r="A1836" s="66">
        <f>IFERROR(__xludf.DUMMYFUNCTION("""COMPUTED_VALUE"""),3763.0)</f>
        <v>3763</v>
      </c>
      <c r="B1836" s="67" t="str">
        <f>IFERROR(__xludf.DUMMYFUNCTION("""COMPUTED_VALUE"""),"確定")</f>
        <v>確定</v>
      </c>
      <c r="C1836" s="68">
        <f>IFERROR(__xludf.DUMMYFUNCTION("""COMPUTED_VALUE"""),45482.0)</f>
        <v>45482</v>
      </c>
      <c r="D1836" s="68">
        <f>IFERROR(__xludf.DUMMYFUNCTION("""COMPUTED_VALUE"""),45496.0)</f>
        <v>45496</v>
      </c>
      <c r="E1836" s="31">
        <f>IFERROR(__xludf.DUMMYFUNCTION("""COMPUTED_VALUE"""),299955.0)</f>
        <v>299955</v>
      </c>
      <c r="F1836" s="22" t="str">
        <f>IFERROR(__xludf.DUMMYFUNCTION("""COMPUTED_VALUE"""),"不遇の荷物持ち、最強賢者に至る")</f>
        <v>不遇の荷物持ち、最強賢者に至る</v>
      </c>
      <c r="G1836" s="20" t="str">
        <f>IFERROR(__xludf.DUMMYFUNCTION("""COMPUTED_VALUE"""),"1～11")</f>
        <v>1～11</v>
      </c>
      <c r="H1836" s="67" t="str">
        <f>IFERROR(__xludf.DUMMYFUNCTION("""COMPUTED_VALUE"""),"森田季節┴もぐらかかりちょー┴アンブル編集部")</f>
        <v>森田季節┴もぐらかかりちょー┴アンブル編集部</v>
      </c>
      <c r="I1836" s="67" t="str">
        <f>IFERROR(__xludf.DUMMYFUNCTION("""COMPUTED_VALUE"""),"青年")</f>
        <v>青年</v>
      </c>
      <c r="J1836" s="67"/>
      <c r="K1836" s="67"/>
      <c r="L1836" s="67" t="str">
        <f>IFERROR(__xludf.DUMMYFUNCTION("""COMPUTED_VALUE"""),"ライブコミックス")</f>
        <v>ライブコミックス</v>
      </c>
      <c r="M1836" s="59">
        <f>IFERROR(__xludf.DUMMYFUNCTION("""COMPUTED_VALUE"""),45527.0)</f>
        <v>45527</v>
      </c>
      <c r="N1836" s="85">
        <f>IFERROR(__xludf.DUMMYFUNCTION("""COMPUTED_VALUE"""),45589.0)</f>
        <v>45589</v>
      </c>
      <c r="O1836" s="67"/>
      <c r="P1836" s="70" t="str">
        <f>IFERROR(__xludf.DUMMYFUNCTION("""COMPUTED_VALUE"""),"可")</f>
        <v>可</v>
      </c>
      <c r="Q1836" s="72" t="str">
        <f>IFERROR(__xludf.DUMMYFUNCTION("""COMPUTED_VALUE"""),"広告コミットOK(7/18)&lt;BR&gt;BookLiveからの2次先行です。&lt;BR&gt;8巻目までで制作お願いします")</f>
        <v>広告コミットOK(7/18)&lt;BR&gt;BookLiveからの2次先行です。&lt;BR&gt;8巻目までで制作お願いします</v>
      </c>
      <c r="R1836" s="67"/>
      <c r="S1836" s="67" t="str">
        <f>IFERROR(__xludf.DUMMYFUNCTION("""COMPUTED_VALUE"""),"20240708_BookLive_不遇の荷物持ち、最強賢者に至る")</f>
        <v>20240708_BookLive_不遇の荷物持ち、最強賢者に至る</v>
      </c>
      <c r="T1836" s="90" t="str">
        <f>IFERROR(__xludf.DUMMYFUNCTION("""COMPUTED_VALUE"""),"格納済み")</f>
        <v>格納済み</v>
      </c>
      <c r="U1836" s="15" t="str">
        <f>IFERROR(__xludf.DUMMYFUNCTION("""COMPUTED_VALUE"""),"Ⓒ森田季節・もぐらかかりちょー/ライブコミックス")</f>
        <v>Ⓒ森田季節・もぐらかかりちょー/ライブコミックス</v>
      </c>
      <c r="V1836" s="8" t="str">
        <f>IFERROR(__xludf.DUMMYFUNCTION("""COMPUTED_VALUE"""),"『スライム倒して300年、知らないうちにレベルMAXになってました』の森田季節による最新ファンタジー！ 神託により不遇職「空間魔法使い」となってしまったシャルマ。彼は偉大な冒険者に憧れ、戦うことを夢見ていたが、シャルマができることと言えば、“荷物持ち”として道具を出し入れするくらいで……？　不遇職が「最強賢者」へ生まれ変わる物語、開幕！！")</f>
        <v>『スライム倒して300年、知らないうちにレベルMAXになってました』の森田季節による最新ファンタジー！ 神託により不遇職「空間魔法使い」となってしまったシャルマ。彼は偉大な冒険者に憧れ、戦うことを夢見ていたが、シャルマができることと言えば、“荷物持ち”として道具を出し入れするくらいで……？　不遇職が「最強賢者」へ生まれ変わる物語、開幕！！</v>
      </c>
      <c r="W1836" s="14"/>
      <c r="X1836" s="14" t="str">
        <f>IFERROR(__xludf.DUMMYFUNCTION("""COMPUTED_VALUE"""),"有")</f>
        <v>有</v>
      </c>
      <c r="Y1836" s="8" t="str">
        <f>IFERROR(__xludf.DUMMYFUNCTION("""COMPUTED_VALUE"""),"2024/10/24まで1～4巻無料")</f>
        <v>2024/10/24まで1～4巻無料</v>
      </c>
      <c r="Z1836" s="7"/>
      <c r="AA1836" s="7"/>
      <c r="AB1836" s="7"/>
    </row>
    <row r="1837" ht="15.75" customHeight="1">
      <c r="A1837" s="66">
        <f>IFERROR(__xludf.DUMMYFUNCTION("""COMPUTED_VALUE"""),3765.0)</f>
        <v>3765</v>
      </c>
      <c r="B1837" s="67" t="str">
        <f>IFERROR(__xludf.DUMMYFUNCTION("""COMPUTED_VALUE"""),"確定")</f>
        <v>確定</v>
      </c>
      <c r="C1837" s="68">
        <f>IFERROR(__xludf.DUMMYFUNCTION("""COMPUTED_VALUE"""),45482.0)</f>
        <v>45482</v>
      </c>
      <c r="D1837" s="68">
        <f>IFERROR(__xludf.DUMMYFUNCTION("""COMPUTED_VALUE"""),45496.0)</f>
        <v>45496</v>
      </c>
      <c r="E1837" s="31">
        <f>IFERROR(__xludf.DUMMYFUNCTION("""COMPUTED_VALUE"""),299954.0)</f>
        <v>299954</v>
      </c>
      <c r="F1837" s="22" t="str">
        <f>IFERROR(__xludf.DUMMYFUNCTION("""COMPUTED_VALUE"""),"悪魔な公爵様はお飾り妻をお気に召す")</f>
        <v>悪魔な公爵様はお飾り妻をお気に召す</v>
      </c>
      <c r="G1837" s="69" t="str">
        <f>IFERROR(__xludf.DUMMYFUNCTION("""COMPUTED_VALUE"""),"1～8")</f>
        <v>1～8</v>
      </c>
      <c r="H1837" s="67" t="str">
        <f>IFERROR(__xludf.DUMMYFUNCTION("""COMPUTED_VALUE"""),"ミイコ┴グルナ編集部")</f>
        <v>ミイコ┴グルナ編集部</v>
      </c>
      <c r="I1837" s="67" t="str">
        <f>IFERROR(__xludf.DUMMYFUNCTION("""COMPUTED_VALUE"""),"女性")</f>
        <v>女性</v>
      </c>
      <c r="J1837" s="67"/>
      <c r="K1837" s="67"/>
      <c r="L1837" s="67" t="str">
        <f>IFERROR(__xludf.DUMMYFUNCTION("""COMPUTED_VALUE"""),"ライブコミックス")</f>
        <v>ライブコミックス</v>
      </c>
      <c r="M1837" s="59">
        <f>IFERROR(__xludf.DUMMYFUNCTION("""COMPUTED_VALUE"""),45527.0)</f>
        <v>45527</v>
      </c>
      <c r="N1837" s="85">
        <f>IFERROR(__xludf.DUMMYFUNCTION("""COMPUTED_VALUE"""),45589.0)</f>
        <v>45589</v>
      </c>
      <c r="O1837" s="67"/>
      <c r="P1837" s="70" t="str">
        <f>IFERROR(__xludf.DUMMYFUNCTION("""COMPUTED_VALUE"""),"可")</f>
        <v>可</v>
      </c>
      <c r="Q1837" s="72" t="str">
        <f>IFERROR(__xludf.DUMMYFUNCTION("""COMPUTED_VALUE"""),"広告コミットOK(7/18)&lt;BR&gt;BookLiveからの2次先行です。&lt;BR&gt;6巻目までで制作お願いします")</f>
        <v>広告コミットOK(7/18)&lt;BR&gt;BookLiveからの2次先行です。&lt;BR&gt;6巻目までで制作お願いします</v>
      </c>
      <c r="R1837" s="67"/>
      <c r="S1837" s="67" t="str">
        <f>IFERROR(__xludf.DUMMYFUNCTION("""COMPUTED_VALUE"""),"20240709_BookLive_悪魔な公爵様はお飾り妻をお気に召す")</f>
        <v>20240709_BookLive_悪魔な公爵様はお飾り妻をお気に召す</v>
      </c>
      <c r="T1837" s="67" t="str">
        <f>IFERROR(__xludf.DUMMYFUNCTION("""COMPUTED_VALUE"""),"格納済み")</f>
        <v>格納済み</v>
      </c>
      <c r="U1837" s="15" t="str">
        <f>IFERROR(__xludf.DUMMYFUNCTION("""COMPUTED_VALUE"""),"Ⓒミイコ/ライブコミックス")</f>
        <v>Ⓒミイコ/ライブコミックス</v>
      </c>
      <c r="V1837" s="8" t="str">
        <f>IFERROR(__xludf.DUMMYFUNCTION("""COMPUTED_VALUE"""),"貧乏貴族ながらもつつましやかに生きていたモネット。ある日突然舞い込んだ縁談、相手は冷酷非道な人物で”悪魔公爵”と称されるソロモンからだった。一切の接点がなく、目的も不明な彼からの求婚に家族は断ろうとする。しかし、モネットは金銭などの支援をしてもらえることを知り、家族と領民が安心して暮らせるのならと結婚を決意。迎えた結婚式当日、緊張するモネットは優しく接してくれるソロモンを見て安心するが……？言葉の呪いに囚われているヒーローの心をまっすぐなヒロインが溶かしてゆく、ピュアラブストーリー。")</f>
        <v>貧乏貴族ながらもつつましやかに生きていたモネット。ある日突然舞い込んだ縁談、相手は冷酷非道な人物で”悪魔公爵”と称されるソロモンからだった。一切の接点がなく、目的も不明な彼からの求婚に家族は断ろうとする。しかし、モネットは金銭などの支援をしてもらえることを知り、家族と領民が安心して暮らせるのならと結婚を決意。迎えた結婚式当日、緊張するモネットは優しく接してくれるソロモンを見て安心するが……？言葉の呪いに囚われているヒーローの心をまっすぐなヒロインが溶かしてゆく、ピュアラブストーリー。</v>
      </c>
      <c r="W1837" s="14"/>
      <c r="X1837" s="14" t="str">
        <f>IFERROR(__xludf.DUMMYFUNCTION("""COMPUTED_VALUE"""),"有")</f>
        <v>有</v>
      </c>
      <c r="Y1837" s="8" t="str">
        <f>IFERROR(__xludf.DUMMYFUNCTION("""COMPUTED_VALUE"""),"2024/9/26まで1～2巻無料")</f>
        <v>2024/9/26まで1～2巻無料</v>
      </c>
      <c r="Z1837" s="7"/>
      <c r="AA1837" s="7"/>
      <c r="AB1837" s="7"/>
    </row>
    <row r="1838" ht="15.75" customHeight="1">
      <c r="A1838" s="66">
        <f>IFERROR(__xludf.DUMMYFUNCTION("""COMPUTED_VALUE"""),3766.0)</f>
        <v>3766</v>
      </c>
      <c r="B1838" s="67" t="str">
        <f>IFERROR(__xludf.DUMMYFUNCTION("""COMPUTED_VALUE"""),"確定")</f>
        <v>確定</v>
      </c>
      <c r="C1838" s="68">
        <f>IFERROR(__xludf.DUMMYFUNCTION("""COMPUTED_VALUE"""),45482.0)</f>
        <v>45482</v>
      </c>
      <c r="D1838" s="68">
        <f>IFERROR(__xludf.DUMMYFUNCTION("""COMPUTED_VALUE"""),45496.0)</f>
        <v>45496</v>
      </c>
      <c r="E1838" s="31">
        <f>IFERROR(__xludf.DUMMYFUNCTION("""COMPUTED_VALUE"""),299957.0)</f>
        <v>299957</v>
      </c>
      <c r="F1838" s="22" t="str">
        <f>IFERROR(__xludf.DUMMYFUNCTION("""COMPUTED_VALUE"""),"だらしな先輩")</f>
        <v>だらしな先輩</v>
      </c>
      <c r="G1838" s="69" t="str">
        <f>IFERROR(__xludf.DUMMYFUNCTION("""COMPUTED_VALUE"""),"1～9")</f>
        <v>1～9</v>
      </c>
      <c r="H1838" s="67" t="str">
        <f>IFERROR(__xludf.DUMMYFUNCTION("""COMPUTED_VALUE"""),"のん太郎のん次郎┴ヤングアンブル編集部")</f>
        <v>のん太郎のん次郎┴ヤングアンブル編集部</v>
      </c>
      <c r="I1838" s="67" t="str">
        <f>IFERROR(__xludf.DUMMYFUNCTION("""COMPUTED_VALUE"""),"青年")</f>
        <v>青年</v>
      </c>
      <c r="J1838" s="67"/>
      <c r="K1838" s="67"/>
      <c r="L1838" s="67" t="str">
        <f>IFERROR(__xludf.DUMMYFUNCTION("""COMPUTED_VALUE"""),"ライブコミックス")</f>
        <v>ライブコミックス</v>
      </c>
      <c r="M1838" s="59">
        <f>IFERROR(__xludf.DUMMYFUNCTION("""COMPUTED_VALUE"""),45527.0)</f>
        <v>45527</v>
      </c>
      <c r="N1838" s="85">
        <f>IFERROR(__xludf.DUMMYFUNCTION("""COMPUTED_VALUE"""),45589.0)</f>
        <v>45589</v>
      </c>
      <c r="O1838" s="67"/>
      <c r="P1838" s="70" t="str">
        <f>IFERROR(__xludf.DUMMYFUNCTION("""COMPUTED_VALUE"""),"可")</f>
        <v>可</v>
      </c>
      <c r="Q1838" s="72" t="str">
        <f>IFERROR(__xludf.DUMMYFUNCTION("""COMPUTED_VALUE"""),"広告コミットOK(7/18)&lt;BR&gt;BookLiveからの2次先行です&lt;BR&gt;6巻目までで制作お願いします")</f>
        <v>広告コミットOK(7/18)&lt;BR&gt;BookLiveからの2次先行です&lt;BR&gt;6巻目までで制作お願いします</v>
      </c>
      <c r="R1838" s="67"/>
      <c r="S1838" s="67" t="str">
        <f>IFERROR(__xludf.DUMMYFUNCTION("""COMPUTED_VALUE"""),"20240709_BookLive_だらしな先輩")</f>
        <v>20240709_BookLive_だらしな先輩</v>
      </c>
      <c r="T1838" s="67" t="str">
        <f>IFERROR(__xludf.DUMMYFUNCTION("""COMPUTED_VALUE"""),"格納済み")</f>
        <v>格納済み</v>
      </c>
      <c r="U1838" s="15" t="str">
        <f>IFERROR(__xludf.DUMMYFUNCTION("""COMPUTED_VALUE"""),"Ⓒのん太郎のん次郎/ライブコミックス")</f>
        <v>Ⓒのん太郎のん次郎/ライブコミックス</v>
      </c>
      <c r="V1838" s="8" t="str">
        <f>IFERROR(__xludf.DUMMYFUNCTION("""COMPUTED_VALUE"""),"「じゃあ…いつものお礼…する？」
酒カス、ヤニカス、パチンカスの日本三大カス（※諸説あり）を揃えたダメ人間『加納アカネ』28歳。
放っておくとアル中でくたばりそうな彼女を真面目後輩の『藤田ケンイチ』がお世話していた。
今日も先輩をお世話するために彼女が住んでいるボロアパートに訪れていた。
一通り家事が終わると先輩のいつもの”お礼”が始まる。
それはお世話の見返りとして先輩がエッチなことをさせてくれることだった！？
そんなだらしな先輩との爛れた日常が今ここに開幕！！")</f>
        <v>「じゃあ…いつものお礼…する？」
酒カス、ヤニカス、パチンカスの日本三大カス（※諸説あり）を揃えたダメ人間『加納アカネ』28歳。
放っておくとアル中でくたばりそうな彼女を真面目後輩の『藤田ケンイチ』がお世話していた。
今日も先輩をお世話するために彼女が住んでいるボロアパートに訪れていた。
一通り家事が終わると先輩のいつもの”お礼”が始まる。
それはお世話の見返りとして先輩がエッチなことをさせてくれることだった！？
そんなだらしな先輩との爛れた日常が今ここに開幕！！</v>
      </c>
      <c r="W1838" s="14"/>
      <c r="X1838" s="14" t="str">
        <f>IFERROR(__xludf.DUMMYFUNCTION("""COMPUTED_VALUE"""),"有")</f>
        <v>有</v>
      </c>
      <c r="Y1838" s="8" t="str">
        <f>IFERROR(__xludf.DUMMYFUNCTION("""COMPUTED_VALUE"""),"2024/10/24まで1～2巻無料")</f>
        <v>2024/10/24まで1～2巻無料</v>
      </c>
      <c r="Z1838" s="7"/>
      <c r="AA1838" s="7"/>
      <c r="AB1838" s="7"/>
    </row>
    <row r="1839" ht="15.75" customHeight="1">
      <c r="A1839" s="66">
        <f>IFERROR(__xludf.DUMMYFUNCTION("""COMPUTED_VALUE"""),3771.0)</f>
        <v>3771</v>
      </c>
      <c r="B1839" s="67" t="str">
        <f>IFERROR(__xludf.DUMMYFUNCTION("""COMPUTED_VALUE"""),"確定")</f>
        <v>確定</v>
      </c>
      <c r="C1839" s="68">
        <f>IFERROR(__xludf.DUMMYFUNCTION("""COMPUTED_VALUE"""),45483.0)</f>
        <v>45483</v>
      </c>
      <c r="D1839" s="68">
        <f>IFERROR(__xludf.DUMMYFUNCTION("""COMPUTED_VALUE"""),45497.0)</f>
        <v>45497</v>
      </c>
      <c r="E1839" s="31">
        <f>IFERROR(__xludf.DUMMYFUNCTION("""COMPUTED_VALUE"""),300915.0)</f>
        <v>300915</v>
      </c>
      <c r="F1839" s="22" t="str">
        <f>IFERROR(__xludf.DUMMYFUNCTION("""COMPUTED_VALUE"""),"ぼっちでエッチな鈴乃瀬さん～絶倫チャラ男の極上レッスンでとろとろ…ッ～")</f>
        <v>ぼっちでエッチな鈴乃瀬さん～絶倫チャラ男の極上レッスンでとろとろ…ッ～</v>
      </c>
      <c r="G1839" s="69" t="str">
        <f>IFERROR(__xludf.DUMMYFUNCTION("""COMPUTED_VALUE"""),"1～3")</f>
        <v>1～3</v>
      </c>
      <c r="H1839" s="67" t="str">
        <f>IFERROR(__xludf.DUMMYFUNCTION("""COMPUTED_VALUE"""),"夏葉ヤシ")</f>
        <v>夏葉ヤシ</v>
      </c>
      <c r="I1839" s="67" t="str">
        <f>IFERROR(__xludf.DUMMYFUNCTION("""COMPUTED_VALUE"""),"TL")</f>
        <v>TL</v>
      </c>
      <c r="J1839" s="67"/>
      <c r="K1839" s="67"/>
      <c r="L1839" s="67" t="str">
        <f>IFERROR(__xludf.DUMMYFUNCTION("""COMPUTED_VALUE"""),"ライブコミックス")</f>
        <v>ライブコミックス</v>
      </c>
      <c r="M1839" s="59">
        <f>IFERROR(__xludf.DUMMYFUNCTION("""COMPUTED_VALUE"""),45541.0)</f>
        <v>45541</v>
      </c>
      <c r="N1839" s="85">
        <f>IFERROR(__xludf.DUMMYFUNCTION("""COMPUTED_VALUE"""),45596.0)</f>
        <v>45596</v>
      </c>
      <c r="O1839" s="67"/>
      <c r="P1839" s="91" t="str">
        <f>IFERROR(__xludf.DUMMYFUNCTION("""COMPUTED_VALUE"""),"可")</f>
        <v>可</v>
      </c>
      <c r="Q1839" s="72" t="str">
        <f>IFERROR(__xludf.DUMMYFUNCTION("""COMPUTED_VALUE"""),"広告コミットOK(7/18)
BookLiveとの2社先行です。
3巻目までで制作お願いします
レーベルは「ズレット！」です
https://www.cmoa.jp/magazine/9393/")</f>
        <v>広告コミットOK(7/18)
BookLiveとの2社先行です。
3巻目までで制作お願いします
レーベルは「ズレット！」です
https://www.cmoa.jp/magazine/9393/</v>
      </c>
      <c r="R1839" s="67"/>
      <c r="S1839" s="67" t="str">
        <f>IFERROR(__xludf.DUMMYFUNCTION("""COMPUTED_VALUE"""),"20240710_BookLive_ぼっちでエッチな鈴乃瀬さん～絶倫チャラ男の極上レッスンでとろとろ…ッ～")</f>
        <v>20240710_BookLive_ぼっちでエッチな鈴乃瀬さん～絶倫チャラ男の極上レッスンでとろとろ…ッ～</v>
      </c>
      <c r="T1839" s="67" t="str">
        <f>IFERROR(__xludf.DUMMYFUNCTION("""COMPUTED_VALUE"""),"格納済み")</f>
        <v>格納済み</v>
      </c>
      <c r="U1839" s="15" t="str">
        <f>IFERROR(__xludf.DUMMYFUNCTION("""COMPUTED_VALUE"""),"Ⓒ夏葉ヤシ/ライブコミックス")</f>
        <v>Ⓒ夏葉ヤシ/ライブコミックス</v>
      </c>
      <c r="V1839" s="8" t="str">
        <f>IFERROR(__xludf.DUMMYFUNCTION("""COMPUTED_VALUE"""),"「エロくてかわいいなんて最高じゃん」気持ちよくなったらダメなのに…！　彼に触れられると、もっと欲しくなって無我夢中で求めちゃう…っ。――鈴乃瀬（すずのせ）紗也（さや）は、地味で目立たない女子大学生。元カレとの初体験で想定外にエロエロな自分が目覚め、拒絶されてしまったことがトラウマ。恋愛もHも一生封印して、ひとりで生きていくために奮闘中…！　そんななか、数合わせの合コンで酔っぱらってしまい…絡まれているところを助けてくれたのは、同じ大学の超モテ男・怜那（れな）。彼には百人斬りのウワサがあり…！？　「私なんて"&amp;"たった1回っきりなのに…ズルい！」みじめで切ない感情をぶつけたら、深いキスで口をふさがれ――「俺とSexの練習して、慣らせばいいじゃん」イジワルなのに甘くヤラしく身体を這う手つきに、ゾクゾクが止まらない…っ。本気の恋を知らないチャラモテ男×エッチなスイッチが入っちゃう隠れ美少女の、住み込みHレッスン開幕です☆")</f>
        <v>「エロくてかわいいなんて最高じゃん」気持ちよくなったらダメなのに…！　彼に触れられると、もっと欲しくなって無我夢中で求めちゃう…っ。――鈴乃瀬（すずのせ）紗也（さや）は、地味で目立たない女子大学生。元カレとの初体験で想定外にエロエロな自分が目覚め、拒絶されてしまったことがトラウマ。恋愛もHも一生封印して、ひとりで生きていくために奮闘中…！　そんななか、数合わせの合コンで酔っぱらってしまい…絡まれているところを助けてくれたのは、同じ大学の超モテ男・怜那（れな）。彼には百人斬りのウワサがあり…！？　「私なんてたった1回っきりなのに…ズルい！」みじめで切ない感情をぶつけたら、深いキスで口をふさがれ――「俺とSexの練習して、慣らせばいいじゃん」イジワルなのに甘くヤラしく身体を這う手つきに、ゾクゾクが止まらない…っ。本気の恋を知らないチャラモテ男×エッチなスイッチが入っちゃう隠れ美少女の、住み込みHレッスン開幕です☆</v>
      </c>
      <c r="W1839" s="14"/>
      <c r="X1839" s="14" t="str">
        <f>IFERROR(__xludf.DUMMYFUNCTION("""COMPUTED_VALUE"""),"有")</f>
        <v>有</v>
      </c>
      <c r="Y1839" s="8" t="str">
        <f>IFERROR(__xludf.DUMMYFUNCTION("""COMPUTED_VALUE"""),"2024/10/10まで1巻無料")</f>
        <v>2024/10/10まで1巻無料</v>
      </c>
      <c r="Z1839" s="7"/>
      <c r="AA1839" s="7"/>
      <c r="AB1839" s="7"/>
    </row>
    <row r="1840" ht="15.75" customHeight="1">
      <c r="A1840" s="66">
        <f>IFERROR(__xludf.DUMMYFUNCTION("""COMPUTED_VALUE"""),3772.0)</f>
        <v>3772</v>
      </c>
      <c r="B1840" s="67" t="str">
        <f>IFERROR(__xludf.DUMMYFUNCTION("""COMPUTED_VALUE"""),"確定")</f>
        <v>確定</v>
      </c>
      <c r="C1840" s="68">
        <f>IFERROR(__xludf.DUMMYFUNCTION("""COMPUTED_VALUE"""),45483.0)</f>
        <v>45483</v>
      </c>
      <c r="D1840" s="68">
        <f>IFERROR(__xludf.DUMMYFUNCTION("""COMPUTED_VALUE"""),45497.0)</f>
        <v>45497</v>
      </c>
      <c r="E1840" s="31">
        <f>IFERROR(__xludf.DUMMYFUNCTION("""COMPUTED_VALUE"""),300917.0)</f>
        <v>300917</v>
      </c>
      <c r="F1840" s="22" t="str">
        <f>IFERROR(__xludf.DUMMYFUNCTION("""COMPUTED_VALUE"""),"溺愛王子はワケあり物件！？～甘やかされて濡れすぎ警報～")</f>
        <v>溺愛王子はワケあり物件！？～甘やかされて濡れすぎ警報～</v>
      </c>
      <c r="G1840" s="69" t="str">
        <f>IFERROR(__xludf.DUMMYFUNCTION("""COMPUTED_VALUE"""),"1～3")</f>
        <v>1～3</v>
      </c>
      <c r="H1840" s="67" t="str">
        <f>IFERROR(__xludf.DUMMYFUNCTION("""COMPUTED_VALUE"""),"いちこ")</f>
        <v>いちこ</v>
      </c>
      <c r="I1840" s="67" t="str">
        <f>IFERROR(__xludf.DUMMYFUNCTION("""COMPUTED_VALUE"""),"TL")</f>
        <v>TL</v>
      </c>
      <c r="J1840" s="67"/>
      <c r="K1840" s="67"/>
      <c r="L1840" s="67" t="str">
        <f>IFERROR(__xludf.DUMMYFUNCTION("""COMPUTED_VALUE"""),"ライブコミックス")</f>
        <v>ライブコミックス</v>
      </c>
      <c r="M1840" s="59">
        <f>IFERROR(__xludf.DUMMYFUNCTION("""COMPUTED_VALUE"""),45541.0)</f>
        <v>45541</v>
      </c>
      <c r="N1840" s="85">
        <f>IFERROR(__xludf.DUMMYFUNCTION("""COMPUTED_VALUE"""),45596.0)</f>
        <v>45596</v>
      </c>
      <c r="O1840" s="67"/>
      <c r="P1840" s="91" t="str">
        <f>IFERROR(__xludf.DUMMYFUNCTION("""COMPUTED_VALUE"""),"可")</f>
        <v>可</v>
      </c>
      <c r="Q1840" s="72" t="str">
        <f>IFERROR(__xludf.DUMMYFUNCTION("""COMPUTED_VALUE"""),"広告コミットOK(7/18)
BookLiveとの2社先行です。
レーベルは「ズレット！」です
https://www.cmoa.jp/magazine/9393/")</f>
        <v>広告コミットOK(7/18)
BookLiveとの2社先行です。
レーベルは「ズレット！」です
https://www.cmoa.jp/magazine/9393/</v>
      </c>
      <c r="R1840" s="67"/>
      <c r="S1840" s="67" t="str">
        <f>IFERROR(__xludf.DUMMYFUNCTION("""COMPUTED_VALUE"""),"20240710_BookLive_溺愛王子はワケあり物件！？～甘やかされて濡れすぎ警報～")</f>
        <v>20240710_BookLive_溺愛王子はワケあり物件！？～甘やかされて濡れすぎ警報～</v>
      </c>
      <c r="T1840" s="67" t="str">
        <f>IFERROR(__xludf.DUMMYFUNCTION("""COMPUTED_VALUE"""),"格納済み")</f>
        <v>格納済み</v>
      </c>
      <c r="U1840" s="15" t="str">
        <f>IFERROR(__xludf.DUMMYFUNCTION("""COMPUTED_VALUE"""),"Ⓒいちこ/ライブコミックス")</f>
        <v>Ⓒいちこ/ライブコミックス</v>
      </c>
      <c r="V1840" s="8" t="str">
        <f>IFERROR(__xludf.DUMMYFUNCTION("""COMPUTED_VALUE"""),"「敏感だね…泡で触れただけでビクビク反応する」お風呂へのお誘いは濃厚であまーいエッチの合図…！　スパダリ織岡（おりおか）さんは、身体のすみずみまで綺麗にねっとり愛してくれて…っ。――なごみはちょっとズボラでおっちょこちょい。二度寝との戦いでバタつく毎朝の癒しは、マンションオーナー・織岡さんの爽やかな笑顔。いつも親切でまるで王子様、顔を見るだけでドキドキする…実は大好きな人☆　そんなある日、マンションの鍵をなくしたことに気付いてなごみは大パニックに…！！　しょんぼりしながら帰宅すると、織岡さんが鍵を届けてく"&amp;"れた上に夜ごはんもごちそうしてくれ――至れり尽くせりのなか、まさかの告白！？　憧れの人からの深ーいキスでトロトロに…っ。幸せ絶頂の交際生活スタート！　…だったけど、大好きな王子様には裏のカオがあって――？　性癖にちょっぴりワケありの甘やかし王子×天然ズボラOLの、溺愛ドタバタラブコメディー☆")</f>
        <v>「敏感だね…泡で触れただけでビクビク反応する」お風呂へのお誘いは濃厚であまーいエッチの合図…！　スパダリ織岡（おりおか）さんは、身体のすみずみまで綺麗にねっとり愛してくれて…っ。――なごみはちょっとズボラでおっちょこちょい。二度寝との戦いでバタつく毎朝の癒しは、マンションオーナー・織岡さんの爽やかな笑顔。いつも親切でまるで王子様、顔を見るだけでドキドキする…実は大好きな人☆　そんなある日、マンションの鍵をなくしたことに気付いてなごみは大パニックに…！！　しょんぼりしながら帰宅すると、織岡さんが鍵を届けてくれた上に夜ごはんもごちそうしてくれ――至れり尽くせりのなか、まさかの告白！？　憧れの人からの深ーいキスでトロトロに…っ。幸せ絶頂の交際生活スタート！　…だったけど、大好きな王子様には裏のカオがあって――？　性癖にちょっぴりワケありの甘やかし王子×天然ズボラOLの、溺愛ドタバタラブコメディー☆</v>
      </c>
      <c r="W1840" s="14"/>
      <c r="X1840" s="14" t="str">
        <f>IFERROR(__xludf.DUMMYFUNCTION("""COMPUTED_VALUE"""),"有")</f>
        <v>有</v>
      </c>
      <c r="Y1840" s="8" t="str">
        <f>IFERROR(__xludf.DUMMYFUNCTION("""COMPUTED_VALUE"""),"2024/10/10まで1巻無料")</f>
        <v>2024/10/10まで1巻無料</v>
      </c>
      <c r="Z1840" s="7"/>
      <c r="AA1840" s="7"/>
      <c r="AB1840" s="7"/>
    </row>
    <row r="1841" ht="15.75" customHeight="1">
      <c r="A1841" s="66">
        <f>IFERROR(__xludf.DUMMYFUNCTION("""COMPUTED_VALUE"""),3774.0)</f>
        <v>3774</v>
      </c>
      <c r="B1841" s="67" t="str">
        <f>IFERROR(__xludf.DUMMYFUNCTION("""COMPUTED_VALUE"""),"確定")</f>
        <v>確定</v>
      </c>
      <c r="C1841" s="68">
        <f>IFERROR(__xludf.DUMMYFUNCTION("""COMPUTED_VALUE"""),45483.0)</f>
        <v>45483</v>
      </c>
      <c r="D1841" s="68">
        <f>IFERROR(__xludf.DUMMYFUNCTION("""COMPUTED_VALUE"""),45497.0)</f>
        <v>45497</v>
      </c>
      <c r="E1841" s="31">
        <f>IFERROR(__xludf.DUMMYFUNCTION("""COMPUTED_VALUE"""),300916.0)</f>
        <v>300916</v>
      </c>
      <c r="F1841" s="22" t="str">
        <f>IFERROR(__xludf.DUMMYFUNCTION("""COMPUTED_VALUE"""),"失恋OLは変人上司の凄テクに喘ぐ")</f>
        <v>失恋OLは変人上司の凄テクに喘ぐ</v>
      </c>
      <c r="G1841" s="69" t="str">
        <f>IFERROR(__xludf.DUMMYFUNCTION("""COMPUTED_VALUE"""),"1～3")</f>
        <v>1～3</v>
      </c>
      <c r="H1841" s="67" t="str">
        <f>IFERROR(__xludf.DUMMYFUNCTION("""COMPUTED_VALUE"""),"福田りお")</f>
        <v>福田りお</v>
      </c>
      <c r="I1841" s="67" t="str">
        <f>IFERROR(__xludf.DUMMYFUNCTION("""COMPUTED_VALUE"""),"TL")</f>
        <v>TL</v>
      </c>
      <c r="J1841" s="67"/>
      <c r="K1841" s="67"/>
      <c r="L1841" s="67" t="str">
        <f>IFERROR(__xludf.DUMMYFUNCTION("""COMPUTED_VALUE"""),"ライブコミックス")</f>
        <v>ライブコミックス</v>
      </c>
      <c r="M1841" s="59">
        <f>IFERROR(__xludf.DUMMYFUNCTION("""COMPUTED_VALUE"""),45541.0)</f>
        <v>45541</v>
      </c>
      <c r="N1841" s="85">
        <f>IFERROR(__xludf.DUMMYFUNCTION("""COMPUTED_VALUE"""),45596.0)</f>
        <v>45596</v>
      </c>
      <c r="O1841" s="67"/>
      <c r="P1841" s="70" t="str">
        <f>IFERROR(__xludf.DUMMYFUNCTION("""COMPUTED_VALUE"""),"可")</f>
        <v>可</v>
      </c>
      <c r="Q1841" s="72" t="str">
        <f>IFERROR(__xludf.DUMMYFUNCTION("""COMPUTED_VALUE"""),"広告コミットOK(7/18)&lt;BR&gt;BookLiveとの2社先行です。&lt;BR&gt;3巻目までで制作お願いします")</f>
        <v>広告コミットOK(7/18)&lt;BR&gt;BookLiveとの2社先行です。&lt;BR&gt;3巻目までで制作お願いします</v>
      </c>
      <c r="R1841" s="67"/>
      <c r="S1841" s="67" t="str">
        <f>IFERROR(__xludf.DUMMYFUNCTION("""COMPUTED_VALUE"""),"20240710_BookLive_失恋OLは変人上司の凄テクに喘ぐ")</f>
        <v>20240710_BookLive_失恋OLは変人上司の凄テクに喘ぐ</v>
      </c>
      <c r="T1841" s="67" t="str">
        <f>IFERROR(__xludf.DUMMYFUNCTION("""COMPUTED_VALUE"""),"格納済み")</f>
        <v>格納済み</v>
      </c>
      <c r="U1841" s="15" t="str">
        <f>IFERROR(__xludf.DUMMYFUNCTION("""COMPUTED_VALUE"""),"Ⓒ福田りお/ライブコミックス")</f>
        <v>Ⓒ福田りお/ライブコミックス</v>
      </c>
      <c r="V1841" s="8" t="str">
        <f>IFERROR(__xludf.DUMMYFUNCTION("""COMPUTED_VALUE"""),"「僕をオナニーの道具として使ってくれ」アラサーで結婚願望がある米村（よねむら）はるかは、会社で大きなミスをしてクビ寸前の崖っぷちOL。しかもそのせいで、結婚寸前の彼氏にも振られてしまった…！　失意の中、会社のエレベーターではるかと乗り合わせたのは、元上司で今はベンチャー社長でもある伊知地（いじち）さん。イケメンでモテるのに仕事にしか興味がなく、その上リストラ寸前の私になぜか執着してるド変人！　そんな彼に辟易していると、突然エレベーターが故障して止まっちゃった！？　パニックで過呼吸になるはるかを、伊知地さん"&amp;"は「深呼吸しろ、カラダを締め付けるもの全部外して…」と優しく抱きしめる。応急処置とはいえ、暗闇の中で服を脱がされて――彼氏に振られて欲求不満なのに、そんなトコ触られたら、声が出ちゃう…っ！　「君の好きな彼氏の、指だと思って？」会社のエレベーターの中でこんなこと！って思うのに、伊知地さんの行為はエスカレートして――！？　真面目すぎる凄テク社長と、アラサー崖っぷちOLの婚活ラブ！")</f>
        <v>「僕をオナニーの道具として使ってくれ」アラサーで結婚願望がある米村（よねむら）はるかは、会社で大きなミスをしてクビ寸前の崖っぷちOL。しかもそのせいで、結婚寸前の彼氏にも振られてしまった…！　失意の中、会社のエレベーターではるかと乗り合わせたのは、元上司で今はベンチャー社長でもある伊知地（いじち）さん。イケメンでモテるのに仕事にしか興味がなく、その上リストラ寸前の私になぜか執着してるド変人！　そんな彼に辟易していると、突然エレベーターが故障して止まっちゃった！？　パニックで過呼吸になるはるかを、伊知地さんは「深呼吸しろ、カラダを締め付けるもの全部外して…」と優しく抱きしめる。応急処置とはいえ、暗闇の中で服を脱がされて――彼氏に振られて欲求不満なのに、そんなトコ触られたら、声が出ちゃう…っ！　「君の好きな彼氏の、指だと思って？」会社のエレベーターの中でこんなこと！って思うのに、伊知地さんの行為はエスカレートして――！？　真面目すぎる凄テク社長と、アラサー崖っぷちOLの婚活ラブ！</v>
      </c>
      <c r="W1841" s="14"/>
      <c r="X1841" s="14" t="str">
        <f>IFERROR(__xludf.DUMMYFUNCTION("""COMPUTED_VALUE"""),"有")</f>
        <v>有</v>
      </c>
      <c r="Y1841" s="8" t="str">
        <f>IFERROR(__xludf.DUMMYFUNCTION("""COMPUTED_VALUE"""),"2024/10/10まで1巻無料")</f>
        <v>2024/10/10まで1巻無料</v>
      </c>
      <c r="Z1841" s="7"/>
      <c r="AA1841" s="7"/>
      <c r="AB1841" s="7"/>
    </row>
    <row r="1842" ht="15.75" customHeight="1">
      <c r="A1842" s="66">
        <f>IFERROR(__xludf.DUMMYFUNCTION("""COMPUTED_VALUE"""),3778.0)</f>
        <v>3778</v>
      </c>
      <c r="B1842" s="67" t="str">
        <f>IFERROR(__xludf.DUMMYFUNCTION("""COMPUTED_VALUE"""),"確定")</f>
        <v>確定</v>
      </c>
      <c r="C1842" s="68">
        <f>IFERROR(__xludf.DUMMYFUNCTION("""COMPUTED_VALUE"""),45484.0)</f>
        <v>45484</v>
      </c>
      <c r="D1842" s="68">
        <f>IFERROR(__xludf.DUMMYFUNCTION("""COMPUTED_VALUE"""),45497.0)</f>
        <v>45497</v>
      </c>
      <c r="E1842" s="31">
        <f>IFERROR(__xludf.DUMMYFUNCTION("""COMPUTED_VALUE"""),298454.0)</f>
        <v>298454</v>
      </c>
      <c r="F1842" s="22" t="str">
        <f>IFERROR(__xludf.DUMMYFUNCTION("""COMPUTED_VALUE"""),"繰り返す夜会で、今夜もまた貴方から婚約破棄を")</f>
        <v>繰り返す夜会で、今夜もまた貴方から婚約破棄を</v>
      </c>
      <c r="G1842" s="11" t="str">
        <f>IFERROR(__xludf.DUMMYFUNCTION("""COMPUTED_VALUE"""),"1～2")</f>
        <v>1～2</v>
      </c>
      <c r="H1842" s="67" t="str">
        <f>IFERROR(__xludf.DUMMYFUNCTION("""COMPUTED_VALUE"""),"漫画:雲七紅 原作:さき")</f>
        <v>漫画:雲七紅 原作:さき</v>
      </c>
      <c r="I1842" s="67" t="str">
        <f>IFERROR(__xludf.DUMMYFUNCTION("""COMPUTED_VALUE"""),"少女")</f>
        <v>少女</v>
      </c>
      <c r="J1842" s="67"/>
      <c r="K1842" s="67"/>
      <c r="L1842" s="67" t="str">
        <f>IFERROR(__xludf.DUMMYFUNCTION("""COMPUTED_VALUE"""),"メディアソフト")</f>
        <v>メディアソフト</v>
      </c>
      <c r="M1842" s="59">
        <f>IFERROR(__xludf.DUMMYFUNCTION("""COMPUTED_VALUE"""),45511.0)</f>
        <v>45511</v>
      </c>
      <c r="N1842" s="47">
        <f>IFERROR(__xludf.DUMMYFUNCTION("""COMPUTED_VALUE"""),45602.0)</f>
        <v>45602</v>
      </c>
      <c r="O1842" s="67"/>
      <c r="P1842" s="70" t="str">
        <f>IFERROR(__xludf.DUMMYFUNCTION("""COMPUTED_VALUE"""),"可")</f>
        <v>可</v>
      </c>
      <c r="Q1842" s="67" t="str">
        <f>IFERROR(__xludf.DUMMYFUNCTION("""COMPUTED_VALUE"""),"広告コミットOK(7/22)※出稿開始日間に合わなくても可とのこと&lt;BR&gt;&lt;BR&gt;")</f>
        <v>広告コミットOK(7/22)※出稿開始日間に合わなくても可とのこと&lt;BR&gt;&lt;BR&gt;</v>
      </c>
      <c r="R1842" s="67" t="str">
        <f>IFERROR(__xludf.DUMMYFUNCTION("""COMPUTED_VALUE"""),"格納済み")</f>
        <v>格納済み</v>
      </c>
      <c r="S1842" s="67" t="str">
        <f>IFERROR(__xludf.DUMMYFUNCTION("""COMPUTED_VALUE"""),"20240722_メディアソフト_繰り返す夜会で、今夜もまた貴方から婚約破棄を")</f>
        <v>20240722_メディアソフト_繰り返す夜会で、今夜もまた貴方から婚約破棄を</v>
      </c>
      <c r="T1842" s="67" t="str">
        <f>IFERROR(__xludf.DUMMYFUNCTION("""COMPUTED_VALUE"""),"格納済み")</f>
        <v>格納済み</v>
      </c>
      <c r="U1842" s="15" t="str">
        <f>IFERROR(__xludf.DUMMYFUNCTION("""COMPUTED_VALUE"""),"©雲七紅・さき/メディアソフト")</f>
        <v>©雲七紅・さき/メディアソフト</v>
      </c>
      <c r="V1842" s="8" t="str">
        <f>IFERROR(__xludf.DUMMYFUNCTION("""COMPUTED_VALUE"""),"「きみと俺とではつり合わない、婚約は破棄させてもらう」
公爵令嬢のコーネリアは、第一王子・レオンハルトから夜会の最中に婚約破棄を告げられた。
そうして迎えた翌朝…のはずが、コーネリアはなぜか昨日の朝に戻っていた。
終わったはずの夜会で、また婚約破棄を伝えられる――そう思っていたのに、レオンハルトは昨日と様子が違っていて…!?
微妙な関係の二人だけれど、繰り返す『今日』から抜け出すために協力することに…!?")</f>
        <v>「きみと俺とではつり合わない、婚約は破棄させてもらう」
公爵令嬢のコーネリアは、第一王子・レオンハルトから夜会の最中に婚約破棄を告げられた。
そうして迎えた翌朝…のはずが、コーネリアはなぜか昨日の朝に戻っていた。
終わったはずの夜会で、また婚約破棄を伝えられる――そう思っていたのに、レオンハルトは昨日と様子が違っていて…!?
微妙な関係の二人だけれど、繰り返す『今日』から抜け出すために協力することに…!?</v>
      </c>
      <c r="W1842" s="14"/>
      <c r="X1842" s="14" t="str">
        <f>IFERROR(__xludf.DUMMYFUNCTION("""COMPUTED_VALUE"""),"有")</f>
        <v>有</v>
      </c>
      <c r="Y1842" s="8" t="str">
        <f>IFERROR(__xludf.DUMMYFUNCTION("""COMPUTED_VALUE"""),"P14まで")</f>
        <v>P14まで</v>
      </c>
      <c r="Z1842" s="7"/>
      <c r="AA1842" s="7"/>
      <c r="AB1842" s="7"/>
    </row>
    <row r="1843" ht="15.75" customHeight="1">
      <c r="A1843" s="66">
        <f>IFERROR(__xludf.DUMMYFUNCTION("""COMPUTED_VALUE"""),3783.0)</f>
        <v>3783</v>
      </c>
      <c r="B1843" s="67" t="str">
        <f>IFERROR(__xludf.DUMMYFUNCTION("""COMPUTED_VALUE"""),"確定")</f>
        <v>確定</v>
      </c>
      <c r="C1843" s="68">
        <f>IFERROR(__xludf.DUMMYFUNCTION("""COMPUTED_VALUE"""),45485.0)</f>
        <v>45485</v>
      </c>
      <c r="D1843" s="68">
        <f>IFERROR(__xludf.DUMMYFUNCTION("""COMPUTED_VALUE"""),45497.0)</f>
        <v>45497</v>
      </c>
      <c r="E1843" s="60">
        <f>IFERROR(__xludf.DUMMYFUNCTION("""COMPUTED_VALUE"""),302742.0)</f>
        <v>302742</v>
      </c>
      <c r="F1843" s="61" t="str">
        <f>IFERROR(__xludf.DUMMYFUNCTION("""COMPUTED_VALUE"""),"入れ替わりの花嫁～見習い修道女リリーはお家に帰りたい～")</f>
        <v>入れ替わりの花嫁～見習い修道女リリーはお家に帰りたい～</v>
      </c>
      <c r="G1843" s="69" t="str">
        <f>IFERROR(__xludf.DUMMYFUNCTION("""COMPUTED_VALUE"""),"1～7")</f>
        <v>1～7</v>
      </c>
      <c r="H1843" s="67" t="str">
        <f>IFERROR(__xludf.DUMMYFUNCTION("""COMPUTED_VALUE"""),"池泉┴小鳩子鈴┴エトワール編集部")</f>
        <v>池泉┴小鳩子鈴┴エトワール編集部</v>
      </c>
      <c r="I1843" s="67" t="str">
        <f>IFERROR(__xludf.DUMMYFUNCTION("""COMPUTED_VALUE"""),"女性")</f>
        <v>女性</v>
      </c>
      <c r="J1843" s="67"/>
      <c r="K1843" s="67"/>
      <c r="L1843" s="67" t="str">
        <f>IFERROR(__xludf.DUMMYFUNCTION("""COMPUTED_VALUE"""),"ライブコミックス")</f>
        <v>ライブコミックス</v>
      </c>
      <c r="M1843" s="59">
        <f>IFERROR(__xludf.DUMMYFUNCTION("""COMPUTED_VALUE"""),45562.0)</f>
        <v>45562</v>
      </c>
      <c r="N1843" s="85">
        <f>IFERROR(__xludf.DUMMYFUNCTION("""COMPUTED_VALUE"""),45652.0)</f>
        <v>45652</v>
      </c>
      <c r="O1843" s="67"/>
      <c r="P1843" s="70" t="str">
        <f>IFERROR(__xludf.DUMMYFUNCTION("""COMPUTED_VALUE"""),"可")</f>
        <v>可</v>
      </c>
      <c r="Q1843" s="72" t="str">
        <f>IFERROR(__xludf.DUMMYFUNCTION("""COMPUTED_VALUE"""),"広告コミットOK(7/17)&lt;BR&gt;BookLiveからの2次先行です。")</f>
        <v>広告コミットOK(7/17)&lt;BR&gt;BookLiveからの2次先行です。</v>
      </c>
      <c r="R1843" s="67"/>
      <c r="S1843" s="67" t="str">
        <f>IFERROR(__xludf.DUMMYFUNCTION("""COMPUTED_VALUE"""),"20240712_BookLive_入れ替わりの花嫁～見習い修道女リリーはお家に帰りたい～")</f>
        <v>20240712_BookLive_入れ替わりの花嫁～見習い修道女リリーはお家に帰りたい～</v>
      </c>
      <c r="T1843" s="78" t="str">
        <f>IFERROR(__xludf.DUMMYFUNCTION("""COMPUTED_VALUE"""),"格納済み")</f>
        <v>格納済み</v>
      </c>
      <c r="U1843" s="15" t="str">
        <f>IFERROR(__xludf.DUMMYFUNCTION("""COMPUTED_VALUE"""),"Ⓒ池泉・小鳩子鈴/ライブコミックス")</f>
        <v>Ⓒ池泉・小鳩子鈴/ライブコミックス</v>
      </c>
      <c r="V1843" s="8" t="str">
        <f>IFERROR(__xludf.DUMMYFUNCTION("""COMPUTED_VALUE"""),"「…私リリーなんだけど――!?」おんぼろ修道院で過ごす見習い修道女リリー。修道院の冬支度に向けてひとり辺境領へ向かう道中、辺境伯との結婚を控えた美しい侯爵令嬢・コーネリアと出会う。ともに辺境領を目指すことにするも、彼女を狙う賊の強襲に巻き込まれてしまう。コーネリアを庇ったリリーは気を失ってしまい――？友情、恋、そして生き残り…!?見習いシスターと侯爵令嬢の入れ替わりからはじまるすれ違いラブコメディー開幕！")</f>
        <v>「…私リリーなんだけど――!?」おんぼろ修道院で過ごす見習い修道女リリー。修道院の冬支度に向けてひとり辺境領へ向かう道中、辺境伯との結婚を控えた美しい侯爵令嬢・コーネリアと出会う。ともに辺境領を目指すことにするも、彼女を狙う賊の強襲に巻き込まれてしまう。コーネリアを庇ったリリーは気を失ってしまい――？友情、恋、そして生き残り…!?見習いシスターと侯爵令嬢の入れ替わりからはじまるすれ違いラブコメディー開幕！</v>
      </c>
      <c r="W1843" s="14"/>
      <c r="X1843" s="14" t="str">
        <f>IFERROR(__xludf.DUMMYFUNCTION("""COMPUTED_VALUE"""),"有")</f>
        <v>有</v>
      </c>
      <c r="Y1843" s="8" t="str">
        <f>IFERROR(__xludf.DUMMYFUNCTION("""COMPUTED_VALUE"""),"P15まで")</f>
        <v>P15まで</v>
      </c>
      <c r="Z1843" s="7"/>
      <c r="AA1843" s="7"/>
      <c r="AB1843" s="7"/>
    </row>
    <row r="1844" ht="15.75" customHeight="1">
      <c r="A1844" s="66">
        <f>IFERROR(__xludf.DUMMYFUNCTION("""COMPUTED_VALUE"""),3784.0)</f>
        <v>3784</v>
      </c>
      <c r="B1844" s="67" t="str">
        <f>IFERROR(__xludf.DUMMYFUNCTION("""COMPUTED_VALUE"""),"確定")</f>
        <v>確定</v>
      </c>
      <c r="C1844" s="68">
        <f>IFERROR(__xludf.DUMMYFUNCTION("""COMPUTED_VALUE"""),45485.0)</f>
        <v>45485</v>
      </c>
      <c r="D1844" s="68">
        <f>IFERROR(__xludf.DUMMYFUNCTION("""COMPUTED_VALUE"""),45497.0)</f>
        <v>45497</v>
      </c>
      <c r="E1844" s="60">
        <f>IFERROR(__xludf.DUMMYFUNCTION("""COMPUTED_VALUE"""),301729.0)</f>
        <v>301729</v>
      </c>
      <c r="F1844" s="61" t="str">
        <f>IFERROR(__xludf.DUMMYFUNCTION("""COMPUTED_VALUE"""),"ウソイキ～イケない妻の愛し方～")</f>
        <v>ウソイキ～イケない妻の愛し方～</v>
      </c>
      <c r="G1844" s="69" t="str">
        <f>IFERROR(__xludf.DUMMYFUNCTION("""COMPUTED_VALUE"""),"1～7")</f>
        <v>1～7</v>
      </c>
      <c r="H1844" s="67" t="str">
        <f>IFERROR(__xludf.DUMMYFUNCTION("""COMPUTED_VALUE"""),"渡辺慎一┴チンジャオ娘")</f>
        <v>渡辺慎一┴チンジャオ娘</v>
      </c>
      <c r="I1844" s="67" t="str">
        <f>IFERROR(__xludf.DUMMYFUNCTION("""COMPUTED_VALUE"""),"オトナ")</f>
        <v>オトナ</v>
      </c>
      <c r="J1844" s="67"/>
      <c r="K1844" s="67"/>
      <c r="L1844" s="67" t="str">
        <f>IFERROR(__xludf.DUMMYFUNCTION("""COMPUTED_VALUE"""),"KATTS")</f>
        <v>KATTS</v>
      </c>
      <c r="M1844" s="59">
        <f>IFERROR(__xludf.DUMMYFUNCTION("""COMPUTED_VALUE"""),45555.0)</f>
        <v>45555</v>
      </c>
      <c r="N1844" s="85">
        <f>IFERROR(__xludf.DUMMYFUNCTION("""COMPUTED_VALUE"""),45645.0)</f>
        <v>45645</v>
      </c>
      <c r="O1844" s="67"/>
      <c r="P1844" s="70" t="str">
        <f>IFERROR(__xludf.DUMMYFUNCTION("""COMPUTED_VALUE"""),"可")</f>
        <v>可</v>
      </c>
      <c r="Q1844" s="72" t="str">
        <f>IFERROR(__xludf.DUMMYFUNCTION("""COMPUTED_VALUE"""),"広告コミットOK(7/16)&lt;BR&gt;BookLiveからの2次先行です。")</f>
        <v>広告コミットOK(7/16)&lt;BR&gt;BookLiveからの2次先行です。</v>
      </c>
      <c r="R1844" s="67"/>
      <c r="S1844" s="67" t="str">
        <f>IFERROR(__xludf.DUMMYFUNCTION("""COMPUTED_VALUE"""),"20240712_BookLive_ウソイキ～イケない妻の愛し方～")</f>
        <v>20240712_BookLive_ウソイキ～イケない妻の愛し方～</v>
      </c>
      <c r="T1844" s="67" t="str">
        <f>IFERROR(__xludf.DUMMYFUNCTION("""COMPUTED_VALUE"""),"格納済み")</f>
        <v>格納済み</v>
      </c>
      <c r="U1844" s="15" t="str">
        <f>IFERROR(__xludf.DUMMYFUNCTION("""COMPUTED_VALUE"""),"ⒸKATTS")</f>
        <v>ⒸKATTS</v>
      </c>
      <c r="V1844" s="8" t="str">
        <f>IFERROR(__xludf.DUMMYFUNCTION("""COMPUTED_VALUE"""),"「私…あなた以外の人になんかイかされないから」
10歳年下の可愛い妻と優しい夫。誰もが羨む若い奥さんを独り占めにして、仲良く子作りに励む幸せな夫婦生活だったが…結婚3年目のある日、夫は妻の嘘に気づいてしまう。
それは妻が自分とのセックスで一度もイったことがなく、ずっと「嘘イキ」をしていたということ。
夫に問い詰められた妻は、以前から絶頂できない体質に悩んでおり、愛する夫に嫌われたくなくてイったふりをしていたというが…そんな妻に、夫はある提案をする。
それは、妻の体質改善のために「他の男に抱かれ"&amp;"てみて欲しい」というもので…妻の罪悪感に付け込んで、密かに抱いていた欲望を実現させようとする夫。
そのウソが罰になって返ってくるとは知らずに――")</f>
        <v>「私…あなた以外の人になんかイかされないから」
10歳年下の可愛い妻と優しい夫。誰もが羨む若い奥さんを独り占めにして、仲良く子作りに励む幸せな夫婦生活だったが…結婚3年目のある日、夫は妻の嘘に気づいてしまう。
それは妻が自分とのセックスで一度もイったことがなく、ずっと「嘘イキ」をしていたということ。
夫に問い詰められた妻は、以前から絶頂できない体質に悩んでおり、愛する夫に嫌われたくなくてイったふりをしていたというが…そんな妻に、夫はある提案をする。
それは、妻の体質改善のために「他の男に抱かれてみて欲しい」というもので…妻の罪悪感に付け込んで、密かに抱いていた欲望を実現させようとする夫。
そのウソが罰になって返ってくるとは知らずに――</v>
      </c>
      <c r="W1844" s="14"/>
      <c r="X1844" s="14" t="str">
        <f>IFERROR(__xludf.DUMMYFUNCTION("""COMPUTED_VALUE"""),"有")</f>
        <v>有</v>
      </c>
      <c r="Y1844" s="8" t="str">
        <f>IFERROR(__xludf.DUMMYFUNCTION("""COMPUTED_VALUE"""),"P11まで")</f>
        <v>P11まで</v>
      </c>
      <c r="Z1844" s="7"/>
      <c r="AA1844" s="7"/>
      <c r="AB1844" s="7"/>
    </row>
    <row r="1845" ht="15.75" customHeight="1">
      <c r="A1845" s="66">
        <f>IFERROR(__xludf.DUMMYFUNCTION("""COMPUTED_VALUE"""),3790.0)</f>
        <v>3790</v>
      </c>
      <c r="B1845" s="67" t="str">
        <f>IFERROR(__xludf.DUMMYFUNCTION("""COMPUTED_VALUE"""),"確定")</f>
        <v>確定</v>
      </c>
      <c r="C1845" s="68">
        <f>IFERROR(__xludf.DUMMYFUNCTION("""COMPUTED_VALUE"""),45489.0)</f>
        <v>45489</v>
      </c>
      <c r="D1845" s="68">
        <f>IFERROR(__xludf.DUMMYFUNCTION("""COMPUTED_VALUE"""),45497.0)</f>
        <v>45497</v>
      </c>
      <c r="E1845" s="26">
        <f>IFERROR(__xludf.DUMMYFUNCTION("""COMPUTED_VALUE"""),287548.0)</f>
        <v>287548</v>
      </c>
      <c r="F1845" s="22" t="str">
        <f>IFERROR(__xludf.DUMMYFUNCTION("""COMPUTED_VALUE"""),"私の夜はあなたの昼より美しい(フルカラー)")</f>
        <v>私の夜はあなたの昼より美しい(フルカラー)</v>
      </c>
      <c r="G1845" s="69" t="str">
        <f>IFERROR(__xludf.DUMMYFUNCTION("""COMPUTED_VALUE"""),"1～3")</f>
        <v>1～3</v>
      </c>
      <c r="H1845" s="67" t="str">
        <f>IFERROR(__xludf.DUMMYFUNCTION("""COMPUTED_VALUE"""),"BSさん,DW.HAN")</f>
        <v>BSさん,DW.HAN</v>
      </c>
      <c r="I1845" s="67" t="str">
        <f>IFERROR(__xludf.DUMMYFUNCTION("""COMPUTED_VALUE"""),"青年")</f>
        <v>青年</v>
      </c>
      <c r="J1845" s="67"/>
      <c r="K1845" s="67"/>
      <c r="L1845" s="67" t="str">
        <f>IFERROR(__xludf.DUMMYFUNCTION("""COMPUTED_VALUE"""),"ソルマーレ編集部")</f>
        <v>ソルマーレ編集部</v>
      </c>
      <c r="M1845" s="59">
        <f>IFERROR(__xludf.DUMMYFUNCTION("""COMPUTED_VALUE"""),45521.0)</f>
        <v>45521</v>
      </c>
      <c r="N1845" s="85">
        <f>IFERROR(__xludf.DUMMYFUNCTION("""COMPUTED_VALUE"""),45582.0)</f>
        <v>45582</v>
      </c>
      <c r="O1845" s="67"/>
      <c r="P1845" s="71" t="str">
        <f>IFERROR(__xludf.DUMMYFUNCTION("""COMPUTED_VALUE"""),"可")</f>
        <v>可</v>
      </c>
      <c r="Q1845" s="72"/>
      <c r="R1845" s="67"/>
      <c r="S1845" s="67" t="str">
        <f>IFERROR(__xludf.DUMMYFUNCTION("""COMPUTED_VALUE"""),"20240722_ソルマーレ編集部_私の夜はあなたの昼より美しい（フルカラー）")</f>
        <v>20240722_ソルマーレ編集部_私の夜はあなたの昼より美しい（フルカラー）</v>
      </c>
      <c r="T1845" s="67" t="str">
        <f>IFERROR(__xludf.DUMMYFUNCTION("""COMPUTED_VALUE"""),"格納済み")</f>
        <v>格納済み</v>
      </c>
      <c r="U1845" s="15" t="str">
        <f>IFERROR(__xludf.DUMMYFUNCTION("""COMPUTED_VALUE"""),"Ⓒ BSさん/DW.HAN/TOPCO/シーモアコミックス")</f>
        <v>Ⓒ BSさん/DW.HAN/TOPCO/シーモアコミックス</v>
      </c>
      <c r="V1845" s="8" t="str">
        <f>IFERROR(__xludf.DUMMYFUNCTION("""COMPUTED_VALUE"""),"プロテニスプレイヤーの結衣、ジャージが私服なスポーツマンな彼女には、美しい姉がいた。早くに両親を亡くし、姉は金銭的にも結衣の生活を支えていた。そんな姉を慕う結衣と、妹を生きがいとしていた姉、二人は仲の良い姉妹だった。しかし、そんな二人の間にも秘密は存在していた、一体そのお金はどこで作られているのか…。健気な姉妹愛が迎える悲劇とミステリーが開幕する――。【ズズズキュン！】")</f>
        <v>プロテニスプレイヤーの結衣、ジャージが私服なスポーツマンな彼女には、美しい姉がいた。早くに両親を亡くし、姉は金銭的にも結衣の生活を支えていた。そんな姉を慕う結衣と、妹を生きがいとしていた姉、二人は仲の良い姉妹だった。しかし、そんな二人の間にも秘密は存在していた、一体そのお金はどこで作られているのか…。健気な姉妹愛が迎える悲劇とミステリーが開幕する――。【ズズズキュン！】</v>
      </c>
      <c r="W1845" s="14"/>
      <c r="X1845" s="14" t="str">
        <f>IFERROR(__xludf.DUMMYFUNCTION("""COMPUTED_VALUE"""),"有")</f>
        <v>有</v>
      </c>
      <c r="Y1845" s="8" t="str">
        <f>IFERROR(__xludf.DUMMYFUNCTION("""COMPUTED_VALUE"""),"P17まで")</f>
        <v>P17まで</v>
      </c>
      <c r="Z1845" s="7"/>
      <c r="AA1845" s="7"/>
      <c r="AB1845" s="7"/>
    </row>
    <row r="1846" ht="15.75" customHeight="1">
      <c r="A1846" s="66">
        <f>IFERROR(__xludf.DUMMYFUNCTION("""COMPUTED_VALUE"""),3791.0)</f>
        <v>3791</v>
      </c>
      <c r="B1846" s="67" t="str">
        <f>IFERROR(__xludf.DUMMYFUNCTION("""COMPUTED_VALUE"""),"確定")</f>
        <v>確定</v>
      </c>
      <c r="C1846" s="68">
        <f>IFERROR(__xludf.DUMMYFUNCTION("""COMPUTED_VALUE"""),45489.0)</f>
        <v>45489</v>
      </c>
      <c r="D1846" s="68">
        <f>IFERROR(__xludf.DUMMYFUNCTION("""COMPUTED_VALUE"""),45497.0)</f>
        <v>45497</v>
      </c>
      <c r="E1846" s="26">
        <f>IFERROR(__xludf.DUMMYFUNCTION("""COMPUTED_VALUE"""),287549.0)</f>
        <v>287549</v>
      </c>
      <c r="F1846" s="22" t="str">
        <f>IFERROR(__xludf.DUMMYFUNCTION("""COMPUTED_VALUE"""),"私の夜はあなたの昼より美しい【タテヨミ】")</f>
        <v>私の夜はあなたの昼より美しい【タテヨミ】</v>
      </c>
      <c r="G1846" s="69" t="str">
        <f>IFERROR(__xludf.DUMMYFUNCTION("""COMPUTED_VALUE"""),"1～9")</f>
        <v>1～9</v>
      </c>
      <c r="H1846" s="67" t="str">
        <f>IFERROR(__xludf.DUMMYFUNCTION("""COMPUTED_VALUE"""),"BSさん,DW.HAN")</f>
        <v>BSさん,DW.HAN</v>
      </c>
      <c r="I1846" s="67" t="str">
        <f>IFERROR(__xludf.DUMMYFUNCTION("""COMPUTED_VALUE"""),"青年")</f>
        <v>青年</v>
      </c>
      <c r="J1846" s="67"/>
      <c r="K1846" s="67"/>
      <c r="L1846" s="67" t="str">
        <f>IFERROR(__xludf.DUMMYFUNCTION("""COMPUTED_VALUE"""),"ソルマーレ編集部")</f>
        <v>ソルマーレ編集部</v>
      </c>
      <c r="M1846" s="59">
        <f>IFERROR(__xludf.DUMMYFUNCTION("""COMPUTED_VALUE"""),45521.0)</f>
        <v>45521</v>
      </c>
      <c r="N1846" s="85">
        <f>IFERROR(__xludf.DUMMYFUNCTION("""COMPUTED_VALUE"""),45582.0)</f>
        <v>45582</v>
      </c>
      <c r="O1846" s="67"/>
      <c r="P1846" s="70" t="str">
        <f>IFERROR(__xludf.DUMMYFUNCTION("""COMPUTED_VALUE"""),"可")</f>
        <v>可</v>
      </c>
      <c r="Q1846" s="72" t="str">
        <f>IFERROR(__xludf.DUMMYFUNCTION("""COMPUTED_VALUE"""),"※コマサム等素材は「287548 私の夜はあなたの昼より美しい（フルカラー）」のほうをお使いください。&lt;BR&gt;バナー制作はフルカラー版の素材を利用して問題ございません。")</f>
        <v>※コマサム等素材は「287548 私の夜はあなたの昼より美しい（フルカラー）」のほうをお使いください。&lt;BR&gt;バナー制作はフルカラー版の素材を利用して問題ございません。</v>
      </c>
      <c r="R1846" s="67"/>
      <c r="S1846" s="67" t="str">
        <f>IFERROR(__xludf.DUMMYFUNCTION("""COMPUTED_VALUE"""),"20240722_ソルマーレ編集部_私の夜はあなたの昼より美しい【タテヨミ】")</f>
        <v>20240722_ソルマーレ編集部_私の夜はあなたの昼より美しい【タテヨミ】</v>
      </c>
      <c r="T1846" s="67" t="str">
        <f>IFERROR(__xludf.DUMMYFUNCTION("""COMPUTED_VALUE"""),"格納済み")</f>
        <v>格納済み</v>
      </c>
      <c r="U1846" s="15" t="str">
        <f>IFERROR(__xludf.DUMMYFUNCTION("""COMPUTED_VALUE"""),"Ⓒ BSさん/DW.HAN/TOPCO/シーモアコミックス")</f>
        <v>Ⓒ BSさん/DW.HAN/TOPCO/シーモアコミックス</v>
      </c>
      <c r="V1846" s="8" t="str">
        <f>IFERROR(__xludf.DUMMYFUNCTION("""COMPUTED_VALUE"""),"プロテニスプレイヤーの結衣、ジャージが私服なスポーツマンな彼女には、美しい姉がいた。早くに両親を亡くし、姉は金銭的にも結衣の生活を支えていた。そんな姉を慕う結衣と、妹を生きがいとしていた姉、二人は仲の良い姉妹だった。しかし、そんな二人の間にも秘密は存在していた、一体そのお金はどこで作られているのか…。健気な姉妹愛が迎える悲劇とミステリーが開幕する――。【ズズズキュン！】")</f>
        <v>プロテニスプレイヤーの結衣、ジャージが私服なスポーツマンな彼女には、美しい姉がいた。早くに両親を亡くし、姉は金銭的にも結衣の生活を支えていた。そんな姉を慕う結衣と、妹を生きがいとしていた姉、二人は仲の良い姉妹だった。しかし、そんな二人の間にも秘密は存在していた、一体そのお金はどこで作られているのか…。健気な姉妹愛が迎える悲劇とミステリーが開幕する――。【ズズズキュン！】</v>
      </c>
      <c r="W1846" s="14"/>
      <c r="X1846" s="14" t="str">
        <f>IFERROR(__xludf.DUMMYFUNCTION("""COMPUTED_VALUE"""),"有")</f>
        <v>有</v>
      </c>
      <c r="Y1846" s="8" t="str">
        <f>IFERROR(__xludf.DUMMYFUNCTION("""COMPUTED_VALUE"""),"1巻無料")</f>
        <v>1巻無料</v>
      </c>
      <c r="Z1846" s="7"/>
      <c r="AA1846" s="7"/>
      <c r="AB1846" s="7"/>
    </row>
    <row r="1847" ht="15.75" customHeight="1">
      <c r="A1847" s="66">
        <f>IFERROR(__xludf.DUMMYFUNCTION("""COMPUTED_VALUE"""),3812.0)</f>
        <v>3812</v>
      </c>
      <c r="B1847" s="67" t="str">
        <f>IFERROR(__xludf.DUMMYFUNCTION("""COMPUTED_VALUE"""),"確定")</f>
        <v>確定</v>
      </c>
      <c r="C1847" s="68">
        <f>IFERROR(__xludf.DUMMYFUNCTION("""COMPUTED_VALUE"""),45490.0)</f>
        <v>45490</v>
      </c>
      <c r="D1847" s="68">
        <f>IFERROR(__xludf.DUMMYFUNCTION("""COMPUTED_VALUE"""),45497.0)</f>
        <v>45497</v>
      </c>
      <c r="E1847" s="31">
        <f>IFERROR(__xludf.DUMMYFUNCTION("""COMPUTED_VALUE"""),299504.0)</f>
        <v>299504</v>
      </c>
      <c r="F1847" s="22" t="str">
        <f>IFERROR(__xludf.DUMMYFUNCTION("""COMPUTED_VALUE"""),"ひかえめ彼女は拒めない")</f>
        <v>ひかえめ彼女は拒めない</v>
      </c>
      <c r="G1847" s="69">
        <f>IFERROR(__xludf.DUMMYFUNCTION("""COMPUTED_VALUE"""),1.0)</f>
        <v>1</v>
      </c>
      <c r="H1847" s="67" t="str">
        <f>IFERROR(__xludf.DUMMYFUNCTION("""COMPUTED_VALUE"""),"黒本君")</f>
        <v>黒本君</v>
      </c>
      <c r="I1847" s="67" t="str">
        <f>IFERROR(__xludf.DUMMYFUNCTION("""COMPUTED_VALUE"""),"オトナ")</f>
        <v>オトナ</v>
      </c>
      <c r="J1847" s="67"/>
      <c r="K1847" s="67"/>
      <c r="L1847" s="67" t="str">
        <f>IFERROR(__xludf.DUMMYFUNCTION("""COMPUTED_VALUE"""),"ブリック出版")</f>
        <v>ブリック出版</v>
      </c>
      <c r="M1847" s="59">
        <f>IFERROR(__xludf.DUMMYFUNCTION("""COMPUTED_VALUE"""),45520.0)</f>
        <v>45520</v>
      </c>
      <c r="N1847" s="85">
        <f>IFERROR(__xludf.DUMMYFUNCTION("""COMPUTED_VALUE"""),45575.0)</f>
        <v>45575</v>
      </c>
      <c r="O1847" s="67"/>
      <c r="P1847" s="70" t="str">
        <f>IFERROR(__xludf.DUMMYFUNCTION("""COMPUTED_VALUE"""),"可")</f>
        <v>可</v>
      </c>
      <c r="Q1847" s="72" t="str">
        <f>IFERROR(__xludf.DUMMYFUNCTION("""COMPUTED_VALUE"""),"広告コミットOK(7/23)&lt;BR&gt;BookLiveとの2社先行です。")</f>
        <v>広告コミットOK(7/23)&lt;BR&gt;BookLiveとの2社先行です。</v>
      </c>
      <c r="R1847" s="67"/>
      <c r="S1847" s="67" t="str">
        <f>IFERROR(__xludf.DUMMYFUNCTION("""COMPUTED_VALUE"""),"20240717_BookLive_ひかえめ彼女は拒めない")</f>
        <v>20240717_BookLive_ひかえめ彼女は拒めない</v>
      </c>
      <c r="T1847" s="67" t="str">
        <f>IFERROR(__xludf.DUMMYFUNCTION("""COMPUTED_VALUE"""),"格納済み")</f>
        <v>格納済み</v>
      </c>
      <c r="U1847" s="15" t="str">
        <f>IFERROR(__xludf.DUMMYFUNCTION("""COMPUTED_VALUE"""),"(C)ブリック出版")</f>
        <v>(C)ブリック出版</v>
      </c>
      <c r="V1847" s="8" t="str">
        <f>IFERROR(__xludf.DUMMYFUNCTION("""COMPUTED_VALUE"""),"主人公のみやこはひっそり上げていたエロ画像が同じ学校の先輩にばれ、強引にセフレにされる。
調教されていくうちに彼氏とは正反対のタイプの先輩に惹かれていく。
ひかえめ地味巨乳な彼女が寝取られる話。
※本作は黒本君の個人誌作品の電子書籍版となります。【68ページ】")</f>
        <v>主人公のみやこはひっそり上げていたエロ画像が同じ学校の先輩にばれ、強引にセフレにされる。
調教されていくうちに彼氏とは正反対のタイプの先輩に惹かれていく。
ひかえめ地味巨乳な彼女が寝取られる話。
※本作は黒本君の個人誌作品の電子書籍版となります。【68ページ】</v>
      </c>
      <c r="W1847" s="14"/>
      <c r="X1847" s="14" t="str">
        <f>IFERROR(__xludf.DUMMYFUNCTION("""COMPUTED_VALUE"""),"有")</f>
        <v>有</v>
      </c>
      <c r="Y1847" s="8" t="str">
        <f>IFERROR(__xludf.DUMMYFUNCTION("""COMPUTED_VALUE"""),"P12まで")</f>
        <v>P12まで</v>
      </c>
      <c r="Z1847" s="7"/>
      <c r="AA1847" s="7"/>
      <c r="AB1847" s="7"/>
    </row>
    <row r="1848" ht="15.75" customHeight="1">
      <c r="A1848" s="66">
        <f>IFERROR(__xludf.DUMMYFUNCTION("""COMPUTED_VALUE"""),3813.0)</f>
        <v>3813</v>
      </c>
      <c r="B1848" s="67" t="str">
        <f>IFERROR(__xludf.DUMMYFUNCTION("""COMPUTED_VALUE"""),"確定")</f>
        <v>確定</v>
      </c>
      <c r="C1848" s="68">
        <f>IFERROR(__xludf.DUMMYFUNCTION("""COMPUTED_VALUE"""),45490.0)</f>
        <v>45490</v>
      </c>
      <c r="D1848" s="68">
        <f>IFERROR(__xludf.DUMMYFUNCTION("""COMPUTED_VALUE"""),45495.0)</f>
        <v>45495</v>
      </c>
      <c r="E1848" s="31">
        <f>IFERROR(__xludf.DUMMYFUNCTION("""COMPUTED_VALUE"""),291817.0)</f>
        <v>291817</v>
      </c>
      <c r="F1848" s="22" t="str">
        <f>IFERROR(__xludf.DUMMYFUNCTION("""COMPUTED_VALUE"""),"男装騎士はエリート騎士団長から離れられません！")</f>
        <v>男装騎士はエリート騎士団長から離れられません！</v>
      </c>
      <c r="G1848" s="69" t="str">
        <f>IFERROR(__xludf.DUMMYFUNCTION("""COMPUTED_VALUE"""),"1～5")</f>
        <v>1～5</v>
      </c>
      <c r="H1848" s="67" t="str">
        <f>IFERROR(__xludf.DUMMYFUNCTION("""COMPUTED_VALUE"""),"砂藤カミノ,Canaan")</f>
        <v>砂藤カミノ,Canaan</v>
      </c>
      <c r="I1848" s="67" t="str">
        <f>IFERROR(__xludf.DUMMYFUNCTION("""COMPUTED_VALUE"""),"女性")</f>
        <v>女性</v>
      </c>
      <c r="J1848" s="67"/>
      <c r="K1848" s="67"/>
      <c r="L1848" s="67" t="str">
        <f>IFERROR(__xludf.DUMMYFUNCTION("""COMPUTED_VALUE"""),"アルファポリス")</f>
        <v>アルファポリス</v>
      </c>
      <c r="M1848" s="59">
        <f>IFERROR(__xludf.DUMMYFUNCTION("""COMPUTED_VALUE"""),45422.0)</f>
        <v>45422</v>
      </c>
      <c r="N1848" s="59">
        <f>IFERROR(__xludf.DUMMYFUNCTION("""COMPUTED_VALUE"""),45568.0)</f>
        <v>45568</v>
      </c>
      <c r="O1848" s="67"/>
      <c r="P1848" s="70" t="str">
        <f>IFERROR(__xludf.DUMMYFUNCTION("""COMPUTED_VALUE"""),"否")</f>
        <v>否</v>
      </c>
      <c r="Q1848" s="72" t="str">
        <f>IFERROR(__xludf.DUMMYFUNCTION("""COMPUTED_VALUE"""),"すでに配信済みですが先行期間の長い作品です。&lt;BR&gt;可能であれば出稿お願いします。")</f>
        <v>すでに配信済みですが先行期間の長い作品です。&lt;BR&gt;可能であれば出稿お願いします。</v>
      </c>
      <c r="R1848" s="67"/>
      <c r="S1848" s="67" t="str">
        <f>IFERROR(__xludf.DUMMYFUNCTION("""COMPUTED_VALUE"""),"20240717_アルファポリス_男装騎士はエリート騎士団長から離れられません！")</f>
        <v>20240717_アルファポリス_男装騎士はエリート騎士団長から離れられません！</v>
      </c>
      <c r="T1848" s="67" t="str">
        <f>IFERROR(__xludf.DUMMYFUNCTION("""COMPUTED_VALUE"""),"格納済み")</f>
        <v>格納済み</v>
      </c>
      <c r="U1848" s="15" t="str">
        <f>IFERROR(__xludf.DUMMYFUNCTION("""COMPUTED_VALUE"""),"(C)Canaan・砂藤カミノ／アルファポリス")</f>
        <v>(C)Canaan・砂藤カミノ／アルファポリス</v>
      </c>
      <c r="V1848" s="8" t="str">
        <f>IFERROR(__xludf.DUMMYFUNCTION("""COMPUTED_VALUE"""),"女性騎士テレサは、新しい冷徹騎士団長・エリオットに反発心を抱いていた。彼は魔術師でありながら、騎士団長に着任した異例の存在。しかしある日、テレサはエリオットの魔法薬の事故に巻き込まれる。それをきっかけに、彼から一定以上の距離をとろうとすると、発情する体質になってしまい!?　一方のエリオットは、珍しい女性騎士であるテレサのことを男性だと思い込んでいた。欲情する彼女を『治療』しようと身体に触れると、女性だと気が付いて――。インテリ騎士団長×元気な女騎士の強制密着ラブコメディ、待望のコミカライズ！")</f>
        <v>女性騎士テレサは、新しい冷徹騎士団長・エリオットに反発心を抱いていた。彼は魔術師でありながら、騎士団長に着任した異例の存在。しかしある日、テレサはエリオットの魔法薬の事故に巻き込まれる。それをきっかけに、彼から一定以上の距離をとろうとすると、発情する体質になってしまい!?　一方のエリオットは、珍しい女性騎士であるテレサのことを男性だと思い込んでいた。欲情する彼女を『治療』しようと身体に触れると、女性だと気が付いて――。インテリ騎士団長×元気な女騎士の強制密着ラブコメディ、待望のコミカライズ！</v>
      </c>
      <c r="W1848" s="14"/>
      <c r="X1848" s="14" t="str">
        <f>IFERROR(__xludf.DUMMYFUNCTION("""COMPUTED_VALUE"""),"有")</f>
        <v>有</v>
      </c>
      <c r="Y1848" s="8" t="str">
        <f>IFERROR(__xludf.DUMMYFUNCTION("""COMPUTED_VALUE"""),"1巻無料")</f>
        <v>1巻無料</v>
      </c>
      <c r="Z1848" s="7"/>
      <c r="AA1848" s="7"/>
      <c r="AB1848" s="7"/>
    </row>
    <row r="1849" ht="15.75" customHeight="1">
      <c r="A1849" s="66">
        <f>IFERROR(__xludf.DUMMYFUNCTION("""COMPUTED_VALUE"""),3814.0)</f>
        <v>3814</v>
      </c>
      <c r="B1849" s="67" t="str">
        <f>IFERROR(__xludf.DUMMYFUNCTION("""COMPUTED_VALUE"""),"確定")</f>
        <v>確定</v>
      </c>
      <c r="C1849" s="68">
        <f>IFERROR(__xludf.DUMMYFUNCTION("""COMPUTED_VALUE"""),45491.0)</f>
        <v>45491</v>
      </c>
      <c r="D1849" s="68">
        <f>IFERROR(__xludf.DUMMYFUNCTION("""COMPUTED_VALUE"""),45495.0)</f>
        <v>45495</v>
      </c>
      <c r="E1849" s="31">
        <f>IFERROR(__xludf.DUMMYFUNCTION("""COMPUTED_VALUE"""),299971.0)</f>
        <v>299971</v>
      </c>
      <c r="F1849" s="22" t="str">
        <f>IFERROR(__xludf.DUMMYFUNCTION("""COMPUTED_VALUE"""),"眠っている間に婚約破棄されたのですが。")</f>
        <v>眠っている間に婚約破棄されたのですが。</v>
      </c>
      <c r="G1849" s="11" t="str">
        <f>IFERROR(__xludf.DUMMYFUNCTION("""COMPUTED_VALUE"""),"1～2")</f>
        <v>1～2</v>
      </c>
      <c r="H1849" s="67" t="str">
        <f>IFERROR(__xludf.DUMMYFUNCTION("""COMPUTED_VALUE"""),"さく⛤にい／COMIC ROOM")</f>
        <v>さく⛤にい／COMIC ROOM</v>
      </c>
      <c r="I1849" s="67" t="str">
        <f>IFERROR(__xludf.DUMMYFUNCTION("""COMPUTED_VALUE"""),"女性")</f>
        <v>女性</v>
      </c>
      <c r="J1849" s="67"/>
      <c r="K1849" s="67"/>
      <c r="L1849" s="67" t="str">
        <f>IFERROR(__xludf.DUMMYFUNCTION("""COMPUTED_VALUE"""),"コミックルーム")</f>
        <v>コミックルーム</v>
      </c>
      <c r="M1849" s="59">
        <f>IFERROR(__xludf.DUMMYFUNCTION("""COMPUTED_VALUE"""),45519.0)</f>
        <v>45519</v>
      </c>
      <c r="N1849" s="85">
        <f>IFERROR(__xludf.DUMMYFUNCTION("""COMPUTED_VALUE"""),45610.0)</f>
        <v>45610</v>
      </c>
      <c r="O1849" s="67"/>
      <c r="P1849" s="70" t="str">
        <f>IFERROR(__xludf.DUMMYFUNCTION("""COMPUTED_VALUE"""),"可")</f>
        <v>可</v>
      </c>
      <c r="Q1849" s="72" t="str">
        <f>IFERROR(__xludf.DUMMYFUNCTION("""COMPUTED_VALUE"""),"アンソロジーばら売りタイトルです")</f>
        <v>アンソロジーばら売りタイトルです</v>
      </c>
      <c r="R1849" s="67"/>
      <c r="S1849" s="67" t="str">
        <f>IFERROR(__xludf.DUMMYFUNCTION("""COMPUTED_VALUE"""),"20240718_コミックルーム_眠っている間に婚約破棄されたのですが。")</f>
        <v>20240718_コミックルーム_眠っている間に婚約破棄されたのですが。</v>
      </c>
      <c r="T1849" s="67" t="str">
        <f>IFERROR(__xludf.DUMMYFUNCTION("""COMPUTED_VALUE"""),"格納済み")</f>
        <v>格納済み</v>
      </c>
      <c r="U1849" s="15" t="str">
        <f>IFERROR(__xludf.DUMMYFUNCTION("""COMPUTED_VALUE"""),"©さく⛤にい／COMIC ROOM")</f>
        <v>©さく⛤にい／COMIC ROOM</v>
      </c>
      <c r="V1849" s="8" t="str">
        <f>IFERROR(__xludf.DUMMYFUNCTION("""COMPUTED_VALUE"""),"婚約者・フリードを庇い、暗殺者の凶刃に倒れた令嬢・ヒルデガルド。
深い傷を負った彼女は昏睡状態に陥るも、気付けば魂だけで動き回れる幽体離脱状態となっていた。
幽体となった彼女は、あの暗殺事件がフリードの計画によるものだったと知ってしまう。
身を挺して守った婚約者の裏切りに復讐を決意するも、、幽体である自分の無力さに打ちひしがれるヒルデガルド。
そんな彼女に声をかけたのは、フリードの弟・アルベルトだった。
霊感がある彼はヒルデガルドと話すことができたのだ。
兄の悪事を暴きたいと言うアルベルトは、"&amp;"ヒルデガルドに協力を持ちかけてきて…！？
※本作品の１・２巻は『溺れるほど愛されて、幸せになってみせますわ！アンソロジーコミック6巻』の収録作品です。")</f>
        <v>婚約者・フリードを庇い、暗殺者の凶刃に倒れた令嬢・ヒルデガルド。
深い傷を負った彼女は昏睡状態に陥るも、気付けば魂だけで動き回れる幽体離脱状態となっていた。
幽体となった彼女は、あの暗殺事件がフリードの計画によるものだったと知ってしまう。
身を挺して守った婚約者の裏切りに復讐を決意するも、、幽体である自分の無力さに打ちひしがれるヒルデガルド。
そんな彼女に声をかけたのは、フリードの弟・アルベルトだった。
霊感がある彼はヒルデガルドと話すことができたのだ。
兄の悪事を暴きたいと言うアルベルトは、ヒルデガルドに協力を持ちかけてきて…！？
※本作品の１・２巻は『溺れるほど愛されて、幸せになってみせますわ！アンソロジーコミック6巻』の収録作品です。</v>
      </c>
      <c r="W1849" s="14"/>
      <c r="X1849" s="14" t="str">
        <f>IFERROR(__xludf.DUMMYFUNCTION("""COMPUTED_VALUE"""),"有")</f>
        <v>有</v>
      </c>
      <c r="Y1849" s="8" t="str">
        <f>IFERROR(__xludf.DUMMYFUNCTION("""COMPUTED_VALUE"""),"P9まで")</f>
        <v>P9まで</v>
      </c>
      <c r="Z1849" s="7"/>
      <c r="AA1849" s="7"/>
      <c r="AB1849" s="7"/>
    </row>
    <row r="1850" ht="15.75" customHeight="1">
      <c r="A1850" s="66">
        <f>IFERROR(__xludf.DUMMYFUNCTION("""COMPUTED_VALUE"""),3815.0)</f>
        <v>3815</v>
      </c>
      <c r="B1850" s="67" t="str">
        <f>IFERROR(__xludf.DUMMYFUNCTION("""COMPUTED_VALUE"""),"確定")</f>
        <v>確定</v>
      </c>
      <c r="C1850" s="68">
        <f>IFERROR(__xludf.DUMMYFUNCTION("""COMPUTED_VALUE"""),45491.0)</f>
        <v>45491</v>
      </c>
      <c r="D1850" s="68">
        <f>IFERROR(__xludf.DUMMYFUNCTION("""COMPUTED_VALUE"""),45495.0)</f>
        <v>45495</v>
      </c>
      <c r="E1850" s="31">
        <f>IFERROR(__xludf.DUMMYFUNCTION("""COMPUTED_VALUE"""),299972.0)</f>
        <v>299972</v>
      </c>
      <c r="F1850" s="22" t="str">
        <f>IFERROR(__xludf.DUMMYFUNCTION("""COMPUTED_VALUE"""),"処刑宣告された令嬢ですが、純愛を証明してみせますわ！")</f>
        <v>処刑宣告された令嬢ですが、純愛を証明してみせますわ！</v>
      </c>
      <c r="G1850" s="11" t="str">
        <f>IFERROR(__xludf.DUMMYFUNCTION("""COMPUTED_VALUE"""),"1～2")</f>
        <v>1～2</v>
      </c>
      <c r="H1850" s="67" t="str">
        <f>IFERROR(__xludf.DUMMYFUNCTION("""COMPUTED_VALUE"""),"海月ラムネ／COMIC ROOM")</f>
        <v>海月ラムネ／COMIC ROOM</v>
      </c>
      <c r="I1850" s="67" t="str">
        <f>IFERROR(__xludf.DUMMYFUNCTION("""COMPUTED_VALUE"""),"女性")</f>
        <v>女性</v>
      </c>
      <c r="J1850" s="67"/>
      <c r="K1850" s="67"/>
      <c r="L1850" s="67" t="str">
        <f>IFERROR(__xludf.DUMMYFUNCTION("""COMPUTED_VALUE"""),"コミックルーム")</f>
        <v>コミックルーム</v>
      </c>
      <c r="M1850" s="59">
        <f>IFERROR(__xludf.DUMMYFUNCTION("""COMPUTED_VALUE"""),45519.0)</f>
        <v>45519</v>
      </c>
      <c r="N1850" s="85">
        <f>IFERROR(__xludf.DUMMYFUNCTION("""COMPUTED_VALUE"""),45610.0)</f>
        <v>45610</v>
      </c>
      <c r="O1850" s="67"/>
      <c r="P1850" s="70" t="str">
        <f>IFERROR(__xludf.DUMMYFUNCTION("""COMPUTED_VALUE"""),"可")</f>
        <v>可</v>
      </c>
      <c r="Q1850" s="72" t="str">
        <f>IFERROR(__xludf.DUMMYFUNCTION("""COMPUTED_VALUE"""),"アンソロジーばら売りタイトルです")</f>
        <v>アンソロジーばら売りタイトルです</v>
      </c>
      <c r="R1850" s="67"/>
      <c r="S1850" s="67" t="str">
        <f>IFERROR(__xludf.DUMMYFUNCTION("""COMPUTED_VALUE"""),"20240718_コミックルーム_処刑宣告された令嬢ですが、純愛を証明してみせますわ！")</f>
        <v>20240718_コミックルーム_処刑宣告された令嬢ですが、純愛を証明してみせますわ！</v>
      </c>
      <c r="T1850" s="67" t="str">
        <f>IFERROR(__xludf.DUMMYFUNCTION("""COMPUTED_VALUE"""),"格納済み")</f>
        <v>格納済み</v>
      </c>
      <c r="U1850" s="15" t="str">
        <f>IFERROR(__xludf.DUMMYFUNCTION("""COMPUTED_VALUE"""),"©海月ラムネ／COMIC ROOM")</f>
        <v>©海月ラムネ／COMIC ROOM</v>
      </c>
      <c r="V1850" s="8" t="str">
        <f>IFERROR(__xludf.DUMMYFUNCTION("""COMPUTED_VALUE"""),"王妃になるべく育てられた令嬢・エレノア。
彼女は、自身の婚約者である甘ったれ王太子のヘンリーを賢王とすべく、日々厳しく指導し続けてきた。
しかしその結果、突然の婚約破棄…のみならず、なんと打首の刑を宣告されてしまう。
あまりの仕打ちに失意のどん底に沈むエレノアだったが、そんな時、国務に忙殺される第二王子・ヴィンセントと出会う。
彼の激務を手伝ううちに、ヴィンセントの優しさに惹かれていくエレノア。
しかし、無情にも処刑の時は刻一刻と迫ってきて…？
※本作品の１・２巻は『溺れるほど愛されて、幸せに"&amp;"なってみせますわ！アンソロジーコミック6巻』の収録作品です。")</f>
        <v>王妃になるべく育てられた令嬢・エレノア。
彼女は、自身の婚約者である甘ったれ王太子のヘンリーを賢王とすべく、日々厳しく指導し続けてきた。
しかしその結果、突然の婚約破棄…のみならず、なんと打首の刑を宣告されてしまう。
あまりの仕打ちに失意のどん底に沈むエレノアだったが、そんな時、国務に忙殺される第二王子・ヴィンセントと出会う。
彼の激務を手伝ううちに、ヴィンセントの優しさに惹かれていくエレノア。
しかし、無情にも処刑の時は刻一刻と迫ってきて…？
※本作品の１・２巻は『溺れるほど愛されて、幸せになってみせますわ！アンソロジーコミック6巻』の収録作品です。</v>
      </c>
      <c r="W1850" s="14"/>
      <c r="X1850" s="14" t="str">
        <f>IFERROR(__xludf.DUMMYFUNCTION("""COMPUTED_VALUE"""),"有")</f>
        <v>有</v>
      </c>
      <c r="Y1850" s="8" t="str">
        <f>IFERROR(__xludf.DUMMYFUNCTION("""COMPUTED_VALUE"""),"P9まで")</f>
        <v>P9まで</v>
      </c>
      <c r="Z1850" s="7"/>
      <c r="AA1850" s="7"/>
      <c r="AB1850" s="7"/>
    </row>
    <row r="1851" ht="15.75" customHeight="1">
      <c r="A1851" s="66">
        <f>IFERROR(__xludf.DUMMYFUNCTION("""COMPUTED_VALUE"""),3816.0)</f>
        <v>3816</v>
      </c>
      <c r="B1851" s="67" t="str">
        <f>IFERROR(__xludf.DUMMYFUNCTION("""COMPUTED_VALUE"""),"確定")</f>
        <v>確定</v>
      </c>
      <c r="C1851" s="68">
        <f>IFERROR(__xludf.DUMMYFUNCTION("""COMPUTED_VALUE"""),45491.0)</f>
        <v>45491</v>
      </c>
      <c r="D1851" s="68">
        <f>IFERROR(__xludf.DUMMYFUNCTION("""COMPUTED_VALUE"""),45495.0)</f>
        <v>45495</v>
      </c>
      <c r="E1851" s="31">
        <f>IFERROR(__xludf.DUMMYFUNCTION("""COMPUTED_VALUE"""),299973.0)</f>
        <v>299973</v>
      </c>
      <c r="F1851" s="22" t="str">
        <f>IFERROR(__xludf.DUMMYFUNCTION("""COMPUTED_VALUE"""),"嘘つき伯爵様は魔法使いの私を愛さない")</f>
        <v>嘘つき伯爵様は魔法使いの私を愛さない</v>
      </c>
      <c r="G1851" s="11" t="str">
        <f>IFERROR(__xludf.DUMMYFUNCTION("""COMPUTED_VALUE"""),"1～2")</f>
        <v>1～2</v>
      </c>
      <c r="H1851" s="67" t="str">
        <f>IFERROR(__xludf.DUMMYFUNCTION("""COMPUTED_VALUE"""),"茶木乃紀／COMIC ROOM")</f>
        <v>茶木乃紀／COMIC ROOM</v>
      </c>
      <c r="I1851" s="67" t="str">
        <f>IFERROR(__xludf.DUMMYFUNCTION("""COMPUTED_VALUE"""),"女性")</f>
        <v>女性</v>
      </c>
      <c r="J1851" s="67"/>
      <c r="K1851" s="67"/>
      <c r="L1851" s="67" t="str">
        <f>IFERROR(__xludf.DUMMYFUNCTION("""COMPUTED_VALUE"""),"コミックルーム")</f>
        <v>コミックルーム</v>
      </c>
      <c r="M1851" s="59">
        <f>IFERROR(__xludf.DUMMYFUNCTION("""COMPUTED_VALUE"""),45519.0)</f>
        <v>45519</v>
      </c>
      <c r="N1851" s="85">
        <f>IFERROR(__xludf.DUMMYFUNCTION("""COMPUTED_VALUE"""),45610.0)</f>
        <v>45610</v>
      </c>
      <c r="O1851" s="67"/>
      <c r="P1851" s="70" t="str">
        <f>IFERROR(__xludf.DUMMYFUNCTION("""COMPUTED_VALUE"""),"可")</f>
        <v>可</v>
      </c>
      <c r="Q1851" s="72" t="str">
        <f>IFERROR(__xludf.DUMMYFUNCTION("""COMPUTED_VALUE"""),"アンソロジーばら売りタイトルです。")</f>
        <v>アンソロジーばら売りタイトルです。</v>
      </c>
      <c r="R1851" s="67"/>
      <c r="S1851" s="67" t="str">
        <f>IFERROR(__xludf.DUMMYFUNCTION("""COMPUTED_VALUE"""),"20240718_コミックルーム_嘘つき伯爵様は魔法使いの私を愛さない")</f>
        <v>20240718_コミックルーム_嘘つき伯爵様は魔法使いの私を愛さない</v>
      </c>
      <c r="T1851" s="67" t="str">
        <f>IFERROR(__xludf.DUMMYFUNCTION("""COMPUTED_VALUE"""),"格納済み")</f>
        <v>格納済み</v>
      </c>
      <c r="U1851" s="15" t="str">
        <f>IFERROR(__xludf.DUMMYFUNCTION("""COMPUTED_VALUE"""),"©茶木乃紀／COMIC ROOM")</f>
        <v>©茶木乃紀／COMIC ROOM</v>
      </c>
      <c r="V1851" s="8" t="str">
        <f>IFERROR(__xludf.DUMMYFUNCTION("""COMPUTED_VALUE"""),"貴族令嬢のゾフィーは、婚約者のクリスから突如婚約破棄を告げられる。
理由がわからずクリスを問い詰めると「君が魔法使いだからだ！」と返答が…。
この国では魔法使いと人類が長い間対立してきた歴史があり、ゾフィーは自身が魔法使いということをクリスに隠していたのだ。
どうしてもクリスと結婚したいゾフィーは、魔法を使わず人間のように生きると宣言。
クリスとの結婚のため、魔法を一切使わない不自由ライフを開始する！一方クリスには、それでもゾフィーと結婚できない、強い理由があるようで…？
※本作品の１・２巻は『"&amp;"溺れるほど愛されて、幸せになってみせますわ！アンソロジーコミック6巻』の収録作品です。")</f>
        <v>貴族令嬢のゾフィーは、婚約者のクリスから突如婚約破棄を告げられる。
理由がわからずクリスを問い詰めると「君が魔法使いだからだ！」と返答が…。
この国では魔法使いと人類が長い間対立してきた歴史があり、ゾフィーは自身が魔法使いということをクリスに隠していたのだ。
どうしてもクリスと結婚したいゾフィーは、魔法を使わず人間のように生きると宣言。
クリスとの結婚のため、魔法を一切使わない不自由ライフを開始する！一方クリスには、それでもゾフィーと結婚できない、強い理由があるようで…？
※本作品の１・２巻は『溺れるほど愛されて、幸せになってみせますわ！アンソロジーコミック6巻』の収録作品です。</v>
      </c>
      <c r="W1851" s="14"/>
      <c r="X1851" s="14" t="str">
        <f>IFERROR(__xludf.DUMMYFUNCTION("""COMPUTED_VALUE"""),"有")</f>
        <v>有</v>
      </c>
      <c r="Y1851" s="8" t="str">
        <f>IFERROR(__xludf.DUMMYFUNCTION("""COMPUTED_VALUE"""),"P11まで")</f>
        <v>P11まで</v>
      </c>
      <c r="Z1851" s="7"/>
      <c r="AA1851" s="7"/>
      <c r="AB1851" s="7"/>
    </row>
    <row r="1852" ht="15.75" customHeight="1">
      <c r="A1852" s="66">
        <f>IFERROR(__xludf.DUMMYFUNCTION("""COMPUTED_VALUE"""),3817.0)</f>
        <v>3817</v>
      </c>
      <c r="B1852" s="67" t="str">
        <f>IFERROR(__xludf.DUMMYFUNCTION("""COMPUTED_VALUE"""),"確定")</f>
        <v>確定</v>
      </c>
      <c r="C1852" s="68">
        <f>IFERROR(__xludf.DUMMYFUNCTION("""COMPUTED_VALUE"""),45491.0)</f>
        <v>45491</v>
      </c>
      <c r="D1852" s="68">
        <f>IFERROR(__xludf.DUMMYFUNCTION("""COMPUTED_VALUE"""),45495.0)</f>
        <v>45495</v>
      </c>
      <c r="E1852" s="31">
        <f>IFERROR(__xludf.DUMMYFUNCTION("""COMPUTED_VALUE"""),299974.0)</f>
        <v>299974</v>
      </c>
      <c r="F1852" s="22" t="str">
        <f>IFERROR(__xludf.DUMMYFUNCTION("""COMPUTED_VALUE"""),"エルフ耳の貴族令嬢は、魔王国の王子様に溺愛されます")</f>
        <v>エルフ耳の貴族令嬢は、魔王国の王子様に溺愛されます</v>
      </c>
      <c r="G1852" s="11" t="str">
        <f>IFERROR(__xludf.DUMMYFUNCTION("""COMPUTED_VALUE"""),"1～2")</f>
        <v>1～2</v>
      </c>
      <c r="H1852" s="67" t="str">
        <f>IFERROR(__xludf.DUMMYFUNCTION("""COMPUTED_VALUE"""),"まこと／COMIC ROOM")</f>
        <v>まこと／COMIC ROOM</v>
      </c>
      <c r="I1852" s="67" t="str">
        <f>IFERROR(__xludf.DUMMYFUNCTION("""COMPUTED_VALUE"""),"女性")</f>
        <v>女性</v>
      </c>
      <c r="J1852" s="67"/>
      <c r="K1852" s="67"/>
      <c r="L1852" s="67" t="str">
        <f>IFERROR(__xludf.DUMMYFUNCTION("""COMPUTED_VALUE"""),"コミックルーム")</f>
        <v>コミックルーム</v>
      </c>
      <c r="M1852" s="59">
        <f>IFERROR(__xludf.DUMMYFUNCTION("""COMPUTED_VALUE"""),45519.0)</f>
        <v>45519</v>
      </c>
      <c r="N1852" s="85">
        <f>IFERROR(__xludf.DUMMYFUNCTION("""COMPUTED_VALUE"""),45610.0)</f>
        <v>45610</v>
      </c>
      <c r="O1852" s="67"/>
      <c r="P1852" s="70" t="str">
        <f>IFERROR(__xludf.DUMMYFUNCTION("""COMPUTED_VALUE"""),"可")</f>
        <v>可</v>
      </c>
      <c r="Q1852" s="72" t="str">
        <f>IFERROR(__xludf.DUMMYFUNCTION("""COMPUTED_VALUE"""),"アンソロジーばら売りタイトルです")</f>
        <v>アンソロジーばら売りタイトルです</v>
      </c>
      <c r="R1852" s="67"/>
      <c r="S1852" s="67" t="str">
        <f>IFERROR(__xludf.DUMMYFUNCTION("""COMPUTED_VALUE"""),"20240718_コミックルーム_エルフ耳の貴族令嬢は、魔王国の王子様に溺愛されます")</f>
        <v>20240718_コミックルーム_エルフ耳の貴族令嬢は、魔王国の王子様に溺愛されます</v>
      </c>
      <c r="T1852" s="67" t="str">
        <f>IFERROR(__xludf.DUMMYFUNCTION("""COMPUTED_VALUE"""),"格納済み")</f>
        <v>格納済み</v>
      </c>
      <c r="U1852" s="15" t="str">
        <f>IFERROR(__xludf.DUMMYFUNCTION("""COMPUTED_VALUE"""),"©まこと／COMIC ROOM")</f>
        <v>©まこと／COMIC ROOM</v>
      </c>
      <c r="V1852" s="8" t="str">
        <f>IFERROR(__xludf.DUMMYFUNCTION("""COMPUTED_VALUE"""),"魔法を広めた罪で国を追放された一族、エルフ。
侯爵令嬢のクリスティアは、先祖返りを起こしたことでエルフの末裔であることが知られてしまい、婚約破棄された上に家からも追い出されてしまう。
行き場を失くし彷徨うクリスティアだったが、追いかけてきたメイドのミアンに連れられて、とある森へ向かうことに。
そこで出会ったのは、魔法の研究をしているエリオスという青年だった。
彼の指導により、魔法の才能を開花させていくクリスティア。
そんな折、王都で魔物が出現し、人々を襲い始めたという報せが入り…？
※本作品の"&amp;"１・２巻は『溺れるほど愛されて、幸せになってみせますわ！アンソロジーコミック6巻』の収録作品です。")</f>
        <v>魔法を広めた罪で国を追放された一族、エルフ。
侯爵令嬢のクリスティアは、先祖返りを起こしたことでエルフの末裔であることが知られてしまい、婚約破棄された上に家からも追い出されてしまう。
行き場を失くし彷徨うクリスティアだったが、追いかけてきたメイドのミアンに連れられて、とある森へ向かうことに。
そこで出会ったのは、魔法の研究をしているエリオスという青年だった。
彼の指導により、魔法の才能を開花させていくクリスティア。
そんな折、王都で魔物が出現し、人々を襲い始めたという報せが入り…？
※本作品の１・２巻は『溺れるほど愛されて、幸せになってみせますわ！アンソロジーコミック6巻』の収録作品です。</v>
      </c>
      <c r="W1852" s="14"/>
      <c r="X1852" s="14" t="str">
        <f>IFERROR(__xludf.DUMMYFUNCTION("""COMPUTED_VALUE"""),"有")</f>
        <v>有</v>
      </c>
      <c r="Y1852" s="8" t="str">
        <f>IFERROR(__xludf.DUMMYFUNCTION("""COMPUTED_VALUE"""),"P10まで")</f>
        <v>P10まで</v>
      </c>
      <c r="Z1852" s="7"/>
      <c r="AA1852" s="7"/>
      <c r="AB1852" s="7"/>
    </row>
    <row r="1853" ht="15.75" customHeight="1">
      <c r="A1853" s="66">
        <f>IFERROR(__xludf.DUMMYFUNCTION("""COMPUTED_VALUE"""),3824.0)</f>
        <v>3824</v>
      </c>
      <c r="B1853" s="67" t="str">
        <f>IFERROR(__xludf.DUMMYFUNCTION("""COMPUTED_VALUE"""),"確定")</f>
        <v>確定</v>
      </c>
      <c r="C1853" s="68">
        <f>IFERROR(__xludf.DUMMYFUNCTION("""COMPUTED_VALUE"""),45492.0)</f>
        <v>45492</v>
      </c>
      <c r="D1853" s="68">
        <f>IFERROR(__xludf.DUMMYFUNCTION("""COMPUTED_VALUE"""),45495.0)</f>
        <v>45495</v>
      </c>
      <c r="E1853" s="31">
        <f>IFERROR(__xludf.DUMMYFUNCTION("""COMPUTED_VALUE"""),298945.0)</f>
        <v>298945</v>
      </c>
      <c r="F1853" s="22" t="str">
        <f>IFERROR(__xludf.DUMMYFUNCTION("""COMPUTED_VALUE"""),"壊してよ、愛とか夢とか憧れ全部 ～その笑顔は蕩けるように冷たい～")</f>
        <v>壊してよ、愛とか夢とか憧れ全部 ～その笑顔は蕩けるように冷たい～</v>
      </c>
      <c r="G1853" s="69" t="str">
        <f>IFERROR(__xludf.DUMMYFUNCTION("""COMPUTED_VALUE"""),"1～3")</f>
        <v>1～3</v>
      </c>
      <c r="H1853" s="67" t="str">
        <f>IFERROR(__xludf.DUMMYFUNCTION("""COMPUTED_VALUE"""),"作画：絵子くみ 原作：雨音凛呼")</f>
        <v>作画：絵子くみ 原作：雨音凛呼</v>
      </c>
      <c r="I1853" s="67" t="str">
        <f>IFERROR(__xludf.DUMMYFUNCTION("""COMPUTED_VALUE"""),"女性")</f>
        <v>女性</v>
      </c>
      <c r="J1853" s="67"/>
      <c r="K1853" s="67"/>
      <c r="L1853" s="67" t="str">
        <f>IFERROR(__xludf.DUMMYFUNCTION("""COMPUTED_VALUE"""),"日本文芸社")</f>
        <v>日本文芸社</v>
      </c>
      <c r="M1853" s="59">
        <f>IFERROR(__xludf.DUMMYFUNCTION("""COMPUTED_VALUE"""),45509.0)</f>
        <v>45509</v>
      </c>
      <c r="N1853" s="59">
        <f>IFERROR(__xludf.DUMMYFUNCTION("""COMPUTED_VALUE"""),45601.0)</f>
        <v>45601</v>
      </c>
      <c r="O1853" s="67"/>
      <c r="P1853" s="71" t="str">
        <f>IFERROR(__xludf.DUMMYFUNCTION("""COMPUTED_VALUE"""),"可")</f>
        <v>可</v>
      </c>
      <c r="Q1853" s="72"/>
      <c r="R1853" s="67"/>
      <c r="S1853" s="67" t="str">
        <f>IFERROR(__xludf.DUMMYFUNCTION("""COMPUTED_VALUE"""),"20240719_日本文芸社_壊してよ、愛とか夢とか憧れ全部 ～その笑顔は蕩けるように冷たい～")</f>
        <v>20240719_日本文芸社_壊してよ、愛とか夢とか憧れ全部 ～その笑顔は蕩けるように冷たい～</v>
      </c>
      <c r="T1853" s="67" t="str">
        <f>IFERROR(__xludf.DUMMYFUNCTION("""COMPUTED_VALUE"""),"格納済み")</f>
        <v>格納済み</v>
      </c>
      <c r="U1853" s="15" t="str">
        <f>IFERROR(__xludf.DUMMYFUNCTION("""COMPUTED_VALUE"""),"©雨音凛呼・絵子くみ/エブリスタ/日本文芸社")</f>
        <v>©雨音凛呼・絵子くみ/エブリスタ/日本文芸社</v>
      </c>
      <c r="V1853" s="8" t="str">
        <f>IFERROR(__xludf.DUMMYFUNCTION("""COMPUTED_VALUE"""),"大学生の篠宮茉帆は、人に愛された記憶がない。
幼い頃に両親が離婚。茉帆を引き取った実の母も、彼女には無関心だった。
誰かに愛されたい、そして誰かを愛したいという思いは胸に秘めつつも、寄ってくるのは体目当ての男ばかり。ささやかな夢すら諦めた日々の中――アルバイト先で成瀬陵介と出会った。
整った顔ながら真面目な陵介。知らず惹かれる茉帆だが、ある日彼女は見てしまう。素敵な笑顔に隠された「冷たさ」を……。
その心に触れられるなら、傷付いても構わない。
一途に愛を求める彼女が行き着く先とは――。")</f>
        <v>大学生の篠宮茉帆は、人に愛された記憶がない。
幼い頃に両親が離婚。茉帆を引き取った実の母も、彼女には無関心だった。
誰かに愛されたい、そして誰かを愛したいという思いは胸に秘めつつも、寄ってくるのは体目当ての男ばかり。ささやかな夢すら諦めた日々の中――アルバイト先で成瀬陵介と出会った。
整った顔ながら真面目な陵介。知らず惹かれる茉帆だが、ある日彼女は見てしまう。素敵な笑顔に隠された「冷たさ」を……。
その心に触れられるなら、傷付いても構わない。
一途に愛を求める彼女が行き着く先とは――。</v>
      </c>
      <c r="W1853" s="14"/>
      <c r="X1853" s="14" t="str">
        <f>IFERROR(__xludf.DUMMYFUNCTION("""COMPUTED_VALUE"""),"有")</f>
        <v>有</v>
      </c>
      <c r="Y1853" s="8" t="str">
        <f>IFERROR(__xludf.DUMMYFUNCTION("""COMPUTED_VALUE"""),"2024/8/19まで1巻無料")</f>
        <v>2024/8/19まで1巻無料</v>
      </c>
      <c r="Z1853" s="7"/>
      <c r="AA1853" s="7"/>
      <c r="AB1853" s="7"/>
    </row>
    <row r="1854" ht="15.75" customHeight="1">
      <c r="A1854" s="66">
        <f>IFERROR(__xludf.DUMMYFUNCTION("""COMPUTED_VALUE"""),3827.0)</f>
        <v>3827</v>
      </c>
      <c r="B1854" s="67" t="str">
        <f>IFERROR(__xludf.DUMMYFUNCTION("""COMPUTED_VALUE"""),"確定")</f>
        <v>確定</v>
      </c>
      <c r="C1854" s="68">
        <f>IFERROR(__xludf.DUMMYFUNCTION("""COMPUTED_VALUE"""),45495.0)</f>
        <v>45495</v>
      </c>
      <c r="D1854" s="68">
        <f>IFERROR(__xludf.DUMMYFUNCTION("""COMPUTED_VALUE"""),45496.0)</f>
        <v>45496</v>
      </c>
      <c r="E1854" s="26">
        <f>IFERROR(__xludf.DUMMYFUNCTION("""COMPUTED_VALUE"""),280491.0)</f>
        <v>280491</v>
      </c>
      <c r="F1854" s="22" t="str">
        <f>IFERROR(__xludf.DUMMYFUNCTION("""COMPUTED_VALUE"""),"こっち見て、ずっと見てて")</f>
        <v>こっち見て、ずっと見てて</v>
      </c>
      <c r="G1854" s="11" t="str">
        <f>IFERROR(__xludf.DUMMYFUNCTION("""COMPUTED_VALUE"""),"1～2")</f>
        <v>1～2</v>
      </c>
      <c r="H1854" s="67" t="str">
        <f>IFERROR(__xludf.DUMMYFUNCTION("""COMPUTED_VALUE"""),"あずみつな")</f>
        <v>あずみつな</v>
      </c>
      <c r="I1854" s="67" t="str">
        <f>IFERROR(__xludf.DUMMYFUNCTION("""COMPUTED_VALUE"""),"BL")</f>
        <v>BL</v>
      </c>
      <c r="J1854" s="67"/>
      <c r="K1854" s="67"/>
      <c r="L1854" s="67" t="str">
        <f>IFERROR(__xludf.DUMMYFUNCTION("""COMPUTED_VALUE"""),"ソルマーレ編集部")</f>
        <v>ソルマーレ編集部</v>
      </c>
      <c r="M1854" s="59">
        <f>IFERROR(__xludf.DUMMYFUNCTION("""COMPUTED_VALUE"""),45522.0)</f>
        <v>45522</v>
      </c>
      <c r="N1854" s="59">
        <f>IFERROR(__xludf.DUMMYFUNCTION("""COMPUTED_VALUE"""),45690.0)</f>
        <v>45690</v>
      </c>
      <c r="O1854" s="67"/>
      <c r="P1854" s="70" t="str">
        <f>IFERROR(__xludf.DUMMYFUNCTION("""COMPUTED_VALUE"""),"可")</f>
        <v>可</v>
      </c>
      <c r="Q1854" s="72" t="str">
        <f>IFERROR(__xludf.DUMMYFUNCTION("""COMPUTED_VALUE"""),"※Ficus5th作品です、先行期間6カ月になります！")</f>
        <v>※Ficus5th作品です、先行期間6カ月になります！</v>
      </c>
      <c r="R1854" s="67"/>
      <c r="S1854" s="67" t="str">
        <f>IFERROR(__xludf.DUMMYFUNCTION("""COMPUTED_VALUE"""),"20240722_ソルマーレ編集部_こっち見て、ずっと見てて")</f>
        <v>20240722_ソルマーレ編集部_こっち見て、ずっと見てて</v>
      </c>
      <c r="T1854" s="67" t="str">
        <f>IFERROR(__xludf.DUMMYFUNCTION("""COMPUTED_VALUE"""),"格納済み")</f>
        <v>格納済み</v>
      </c>
      <c r="U1854" s="15" t="str">
        <f>IFERROR(__xludf.DUMMYFUNCTION("""COMPUTED_VALUE"""),"Ⓒ あずみつな/シーモアコミックス")</f>
        <v>Ⓒ あずみつな/シーモアコミックス</v>
      </c>
      <c r="V1854" s="8" t="str">
        <f>IFERROR(__xludf.DUMMYFUNCTION("""COMPUTED_VALUE"""),"幼少期、颯太はみんなのカリスマで綾人にとってもヒーローだった。…が、社会人の今、一転して颯太はうだつが上がらないくたびれたリーマンとなっていた。でも、それでいい…！むしろそれがいい…！他の誰も颯太の魅力に気づかないでほしい、颯太自身も自分の魅力に気がつかないでほしい。拗れた執着を抱く綾人が望むのは、そんな颯太が唯一のよるべとするのが自分だけ、という二人だけで完結した世界だったが――【フィカス】")</f>
        <v>幼少期、颯太はみんなのカリスマで綾人にとってもヒーローだった。…が、社会人の今、一転して颯太はうだつが上がらないくたびれたリーマンとなっていた。でも、それでいい…！むしろそれがいい…！他の誰も颯太の魅力に気づかないでほしい、颯太自身も自分の魅力に気がつかないでほしい。拗れた執着を抱く綾人が望むのは、そんな颯太が唯一のよるべとするのが自分だけ、という二人だけで完結した世界だったが――【フィカス】</v>
      </c>
      <c r="W1854" s="14"/>
      <c r="X1854" s="14" t="str">
        <f>IFERROR(__xludf.DUMMYFUNCTION("""COMPUTED_VALUE"""),"有")</f>
        <v>有</v>
      </c>
      <c r="Y1854" s="8" t="str">
        <f>IFERROR(__xludf.DUMMYFUNCTION("""COMPUTED_VALUE"""),"P17まで")</f>
        <v>P17まで</v>
      </c>
      <c r="Z1854" s="7"/>
      <c r="AA1854" s="7"/>
      <c r="AB1854" s="7"/>
    </row>
    <row r="1855" ht="15.75" customHeight="1">
      <c r="A1855" s="66">
        <f>IFERROR(__xludf.DUMMYFUNCTION("""COMPUTED_VALUE"""),3828.0)</f>
        <v>3828</v>
      </c>
      <c r="B1855" s="67" t="str">
        <f>IFERROR(__xludf.DUMMYFUNCTION("""COMPUTED_VALUE"""),"確定")</f>
        <v>確定</v>
      </c>
      <c r="C1855" s="68">
        <f>IFERROR(__xludf.DUMMYFUNCTION("""COMPUTED_VALUE"""),45495.0)</f>
        <v>45495</v>
      </c>
      <c r="D1855" s="68">
        <f>IFERROR(__xludf.DUMMYFUNCTION("""COMPUTED_VALUE"""),45496.0)</f>
        <v>45496</v>
      </c>
      <c r="E1855" s="26">
        <f>IFERROR(__xludf.DUMMYFUNCTION("""COMPUTED_VALUE"""),282725.0)</f>
        <v>282725</v>
      </c>
      <c r="F1855" s="22" t="str">
        <f>IFERROR(__xludf.DUMMYFUNCTION("""COMPUTED_VALUE"""),"妊夫(にんぷ)はじめました")</f>
        <v>妊夫(にんぷ)はじめました</v>
      </c>
      <c r="G1855" s="69" t="str">
        <f>IFERROR(__xludf.DUMMYFUNCTION("""COMPUTED_VALUE"""),"1～4")</f>
        <v>1～4</v>
      </c>
      <c r="H1855" s="67" t="str">
        <f>IFERROR(__xludf.DUMMYFUNCTION("""COMPUTED_VALUE"""),"江本晴")</f>
        <v>江本晴</v>
      </c>
      <c r="I1855" s="67" t="str">
        <f>IFERROR(__xludf.DUMMYFUNCTION("""COMPUTED_VALUE"""),"女性")</f>
        <v>女性</v>
      </c>
      <c r="J1855" s="67"/>
      <c r="K1855" s="67"/>
      <c r="L1855" s="67" t="str">
        <f>IFERROR(__xludf.DUMMYFUNCTION("""COMPUTED_VALUE"""),"ソルマーレ編集部")</f>
        <v>ソルマーレ編集部</v>
      </c>
      <c r="M1855" s="59">
        <f>IFERROR(__xludf.DUMMYFUNCTION("""COMPUTED_VALUE"""),45528.0)</f>
        <v>45528</v>
      </c>
      <c r="N1855" s="85">
        <f>IFERROR(__xludf.DUMMYFUNCTION("""COMPUTED_VALUE"""),45680.70833333333)</f>
        <v>45680.70833</v>
      </c>
      <c r="O1855" s="67"/>
      <c r="P1855" s="71" t="str">
        <f>IFERROR(__xludf.DUMMYFUNCTION("""COMPUTED_VALUE"""),"可")</f>
        <v>可</v>
      </c>
      <c r="Q1855" s="72"/>
      <c r="R1855" s="67"/>
      <c r="S1855" s="67" t="str">
        <f>IFERROR(__xludf.DUMMYFUNCTION("""COMPUTED_VALUE"""),"20240722_ソルマーレ編集部_妊夫（にんぷ）はじめました")</f>
        <v>20240722_ソルマーレ編集部_妊夫（にんぷ）はじめました</v>
      </c>
      <c r="T1855" s="67" t="str">
        <f>IFERROR(__xludf.DUMMYFUNCTION("""COMPUTED_VALUE"""),"格納済み")</f>
        <v>格納済み</v>
      </c>
      <c r="U1855" s="15" t="str">
        <f>IFERROR(__xludf.DUMMYFUNCTION("""COMPUTED_VALUE"""),"Ⓒ 江本晴/シーモアコミックス")</f>
        <v>Ⓒ 江本晴/シーモアコミックス</v>
      </c>
      <c r="V1855" s="8" t="str">
        <f>IFERROR(__xludf.DUMMYFUNCTION("""COMPUTED_VALUE"""),"マッチングアプリで出会った男女がワンナイトしたら、男の俺が妊娠してしまって!?
男の身で妊娠してしまった31歳のサラリーマン・悠斗（ゆうと）。「まだ間に合うよね…3ヵ月なら堕ろせるし」相手はワンナイした彼女・たまきしか心当たりがない！ そう思って連絡をとってみたのに、出産と育児に関する厳しい現実を突きつけられてしまい…。
怖いけど、お腹の中にいる赤ちゃんに会ってみたい――一人で産む決意をした悠斗に、たまきは…？ 男女逆転マタニティ・ラブコメディ♪【恋するソワレ＋】")</f>
        <v>マッチングアプリで出会った男女がワンナイトしたら、男の俺が妊娠してしまって!?
男の身で妊娠してしまった31歳のサラリーマン・悠斗（ゆうと）。「まだ間に合うよね…3ヵ月なら堕ろせるし」相手はワンナイした彼女・たまきしか心当たりがない！ そう思って連絡をとってみたのに、出産と育児に関する厳しい現実を突きつけられてしまい…。
怖いけど、お腹の中にいる赤ちゃんに会ってみたい――一人で産む決意をした悠斗に、たまきは…？ 男女逆転マタニティ・ラブコメディ♪【恋するソワレ＋】</v>
      </c>
      <c r="W1855" s="14"/>
      <c r="X1855" s="14" t="str">
        <f>IFERROR(__xludf.DUMMYFUNCTION("""COMPUTED_VALUE"""),"有")</f>
        <v>有</v>
      </c>
      <c r="Y1855" s="8" t="str">
        <f>IFERROR(__xludf.DUMMYFUNCTION("""COMPUTED_VALUE"""),"2024/9/27まで1巻無料")</f>
        <v>2024/9/27まで1巻無料</v>
      </c>
      <c r="Z1855" s="7"/>
      <c r="AA1855" s="7"/>
      <c r="AB1855" s="7"/>
    </row>
    <row r="1856" ht="15.75" customHeight="1">
      <c r="A1856" s="66">
        <f>IFERROR(__xludf.DUMMYFUNCTION("""COMPUTED_VALUE"""),3829.0)</f>
        <v>3829</v>
      </c>
      <c r="B1856" s="67" t="str">
        <f>IFERROR(__xludf.DUMMYFUNCTION("""COMPUTED_VALUE"""),"確定")</f>
        <v>確定</v>
      </c>
      <c r="C1856" s="68">
        <f>IFERROR(__xludf.DUMMYFUNCTION("""COMPUTED_VALUE"""),45495.0)</f>
        <v>45495</v>
      </c>
      <c r="D1856" s="68">
        <f>IFERROR(__xludf.DUMMYFUNCTION("""COMPUTED_VALUE"""),45496.0)</f>
        <v>45496</v>
      </c>
      <c r="E1856" s="26">
        <f>IFERROR(__xludf.DUMMYFUNCTION("""COMPUTED_VALUE"""),288513.0)</f>
        <v>288513</v>
      </c>
      <c r="F1856" s="22" t="str">
        <f>IFERROR(__xludf.DUMMYFUNCTION("""COMPUTED_VALUE"""),"ヤバい後輩とヤバい恋")</f>
        <v>ヤバい後輩とヤバい恋</v>
      </c>
      <c r="G1856" s="11" t="str">
        <f>IFERROR(__xludf.DUMMYFUNCTION("""COMPUTED_VALUE"""),"1～2")</f>
        <v>1～2</v>
      </c>
      <c r="H1856" s="67" t="str">
        <f>IFERROR(__xludf.DUMMYFUNCTION("""COMPUTED_VALUE"""),"高乃トキ")</f>
        <v>高乃トキ</v>
      </c>
      <c r="I1856" s="67" t="str">
        <f>IFERROR(__xludf.DUMMYFUNCTION("""COMPUTED_VALUE"""),"BL")</f>
        <v>BL</v>
      </c>
      <c r="J1856" s="67"/>
      <c r="K1856" s="67"/>
      <c r="L1856" s="67" t="str">
        <f>IFERROR(__xludf.DUMMYFUNCTION("""COMPUTED_VALUE"""),"ソルマーレ編集部")</f>
        <v>ソルマーレ編集部</v>
      </c>
      <c r="M1856" s="59">
        <f>IFERROR(__xludf.DUMMYFUNCTION("""COMPUTED_VALUE"""),45528.0)</f>
        <v>45528</v>
      </c>
      <c r="N1856" s="85">
        <f>IFERROR(__xludf.DUMMYFUNCTION("""COMPUTED_VALUE"""),45589.0)</f>
        <v>45589</v>
      </c>
      <c r="O1856" s="67"/>
      <c r="P1856" s="70" t="str">
        <f>IFERROR(__xludf.DUMMYFUNCTION("""COMPUTED_VALUE"""),"可")</f>
        <v>可</v>
      </c>
      <c r="Q1856" s="72"/>
      <c r="R1856" s="67"/>
      <c r="S1856" s="67" t="str">
        <f>IFERROR(__xludf.DUMMYFUNCTION("""COMPUTED_VALUE"""),"20240722_ソルマーレ編集部_ヤバい後輩とヤバい恋")</f>
        <v>20240722_ソルマーレ編集部_ヤバい後輩とヤバい恋</v>
      </c>
      <c r="T1856" s="67" t="str">
        <f>IFERROR(__xludf.DUMMYFUNCTION("""COMPUTED_VALUE"""),"格納済み")</f>
        <v>格納済み</v>
      </c>
      <c r="U1856" s="15" t="str">
        <f>IFERROR(__xludf.DUMMYFUNCTION("""COMPUTED_VALUE"""),"Ⓒ 高乃トキ/シーモアコミックス")</f>
        <v>Ⓒ 高乃トキ/シーモアコミックス</v>
      </c>
      <c r="V1856" s="8" t="str">
        <f>IFERROR(__xludf.DUMMYFUNCTION("""COMPUTED_VALUE"""),"「声も、目も、虹彩もっ！ずっと忘れられなくて――…」俺の秘密がバレそうなのに、目の前の必死な彼がかわいくて仕方がない……
平穏な毎日を愛す真面目なサラリーマン・浦賀には実は荒れくれていた過去があった。その過去だけは絶対に誰にも知られたくない黒歴史！そんな浦賀のことを中途で入社してきた後輩・原田はなぜかすごく慕っていて…平穏を愛する男とちょっとだけ愛が重いヤバい後輩くんのシークレットオフィスラブ開幕です！【フィカス】")</f>
        <v>「声も、目も、虹彩もっ！ずっと忘れられなくて――…」俺の秘密がバレそうなのに、目の前の必死な彼がかわいくて仕方がない……
平穏な毎日を愛す真面目なサラリーマン・浦賀には実は荒れくれていた過去があった。その過去だけは絶対に誰にも知られたくない黒歴史！そんな浦賀のことを中途で入社してきた後輩・原田はなぜかすごく慕っていて…平穏を愛する男とちょっとだけ愛が重いヤバい後輩くんのシークレットオフィスラブ開幕です！【フィカス】</v>
      </c>
      <c r="W1856" s="14"/>
      <c r="X1856" s="14" t="str">
        <f>IFERROR(__xludf.DUMMYFUNCTION("""COMPUTED_VALUE"""),"有")</f>
        <v>有</v>
      </c>
      <c r="Y1856" s="8" t="str">
        <f>IFERROR(__xludf.DUMMYFUNCTION("""COMPUTED_VALUE"""),"P10まで")</f>
        <v>P10まで</v>
      </c>
      <c r="Z1856" s="7"/>
      <c r="AA1856" s="7"/>
      <c r="AB1856" s="7"/>
    </row>
    <row r="1857" ht="15.75" customHeight="1">
      <c r="A1857" s="66">
        <f>IFERROR(__xludf.DUMMYFUNCTION("""COMPUTED_VALUE"""),3831.0)</f>
        <v>3831</v>
      </c>
      <c r="B1857" s="67" t="str">
        <f>IFERROR(__xludf.DUMMYFUNCTION("""COMPUTED_VALUE"""),"確定")</f>
        <v>確定</v>
      </c>
      <c r="C1857" s="68">
        <f>IFERROR(__xludf.DUMMYFUNCTION("""COMPUTED_VALUE"""),45495.0)</f>
        <v>45495</v>
      </c>
      <c r="D1857" s="68">
        <f>IFERROR(__xludf.DUMMYFUNCTION("""COMPUTED_VALUE"""),45497.0)</f>
        <v>45497</v>
      </c>
      <c r="E1857" s="26">
        <f>IFERROR(__xludf.DUMMYFUNCTION("""COMPUTED_VALUE"""),289233.0)</f>
        <v>289233</v>
      </c>
      <c r="F1857" s="22" t="str">
        <f>IFERROR(__xludf.DUMMYFUNCTION("""COMPUTED_VALUE"""),"神シナリオ【タテヨミ】")</f>
        <v>神シナリオ【タテヨミ】</v>
      </c>
      <c r="G1857" s="69" t="str">
        <f>IFERROR(__xludf.DUMMYFUNCTION("""COMPUTED_VALUE"""),"1～6")</f>
        <v>1～6</v>
      </c>
      <c r="H1857" s="67" t="str">
        <f>IFERROR(__xludf.DUMMYFUNCTION("""COMPUTED_VALUE"""),"powerwash,eolkki")</f>
        <v>powerwash,eolkki</v>
      </c>
      <c r="I1857" s="67" t="str">
        <f>IFERROR(__xludf.DUMMYFUNCTION("""COMPUTED_VALUE"""),"青年")</f>
        <v>青年</v>
      </c>
      <c r="J1857" s="67"/>
      <c r="K1857" s="67"/>
      <c r="L1857" s="67" t="str">
        <f>IFERROR(__xludf.DUMMYFUNCTION("""COMPUTED_VALUE"""),"ソルマーレ編集部")</f>
        <v>ソルマーレ編集部</v>
      </c>
      <c r="M1857" s="59">
        <f>IFERROR(__xludf.DUMMYFUNCTION("""COMPUTED_VALUE"""),45528.0)</f>
        <v>45528</v>
      </c>
      <c r="N1857" s="85">
        <f>IFERROR(__xludf.DUMMYFUNCTION("""COMPUTED_VALUE"""),45589.0)</f>
        <v>45589</v>
      </c>
      <c r="O1857" s="67"/>
      <c r="P1857" s="70" t="str">
        <f>IFERROR(__xludf.DUMMYFUNCTION("""COMPUTED_VALUE"""),"可")</f>
        <v>可</v>
      </c>
      <c r="Q1857" s="72" t="str">
        <f>IFERROR(__xludf.DUMMYFUNCTION("""COMPUTED_VALUE"""),"※コマサム等素材は「289232 神シナリオ(フルカラー)&lt;BR&gt;」のほうをお使いください。&lt;BR&gt;バナー制作はフルカラー版の素材を利用して問題ございません。⇒フルカラー素材未格納")</f>
        <v>※コマサム等素材は「289232 神シナリオ(フルカラー)&lt;BR&gt;」のほうをお使いください。&lt;BR&gt;バナー制作はフルカラー版の素材を利用して問題ございません。⇒フルカラー素材未格納</v>
      </c>
      <c r="R1857" s="67"/>
      <c r="S1857" s="87" t="str">
        <f>IFERROR(__xludf.DUMMYFUNCTION("""COMPUTED_VALUE"""),"20240722_ソルマーレ編集部_神シナリオ【タテヨミ】")</f>
        <v>20240722_ソルマーレ編集部_神シナリオ【タテヨミ】</v>
      </c>
      <c r="T1857" s="67"/>
      <c r="U1857" s="15" t="str">
        <f>IFERROR(__xludf.DUMMYFUNCTION("""COMPUTED_VALUE"""),"Ⓒ powerwash/eolkki/TOPCO/シーモアコミックス")</f>
        <v>Ⓒ powerwash/eolkki/TOPCO/シーモアコミックス</v>
      </c>
      <c r="V1857" s="8" t="str">
        <f>IFERROR(__xludf.DUMMYFUNCTION("""COMPUTED_VALUE"""),"南雲竜司は、大学時代の友人たちと一緒にスタジオを立ち上げ、自社コンテンツ制作に没頭していた。ある日、ノートが必要になった竜司は、何気なく入った雑貨屋で一冊のノートを手に入れる。そのノートには「あなたのドラマが現実となるだろう」と書かれていた。落書きだろうと笑いつつも、何か気になるのでそのノートを購入。半信半疑のまま「もしあの子が俺と付き合っていたら…」と妄想を全開にして書き込んでみた。
翌朝、いつものように会社に行くと、何かがおかしい。って、あの子が本当に俺と付き合ってるだって！？いや、まさか…あのノー"&amp;"トは本物だってことか！？そのおかげで毎日フデがタち――！？【桃色エンジェル】")</f>
        <v>南雲竜司は、大学時代の友人たちと一緒にスタジオを立ち上げ、自社コンテンツ制作に没頭していた。ある日、ノートが必要になった竜司は、何気なく入った雑貨屋で一冊のノートを手に入れる。そのノートには「あなたのドラマが現実となるだろう」と書かれていた。落書きだろうと笑いつつも、何か気になるのでそのノートを購入。半信半疑のまま「もしあの子が俺と付き合っていたら…」と妄想を全開にして書き込んでみた。
翌朝、いつものように会社に行くと、何かがおかしい。って、あの子が本当に俺と付き合ってるだって！？いや、まさか…あのノートは本物だってことか！？そのおかげで毎日フデがタち――！？【桃色エンジェル】</v>
      </c>
      <c r="W1857" s="14"/>
      <c r="X1857" s="14" t="str">
        <f>IFERROR(__xludf.DUMMYFUNCTION("""COMPUTED_VALUE"""),"有")</f>
        <v>有</v>
      </c>
      <c r="Y1857" s="8" t="str">
        <f>IFERROR(__xludf.DUMMYFUNCTION("""COMPUTED_VALUE"""),"2024/9/27まで1～2巻無料")</f>
        <v>2024/9/27まで1～2巻無料</v>
      </c>
      <c r="Z1857" s="7"/>
      <c r="AA1857" s="7"/>
      <c r="AB1857" s="7"/>
    </row>
    <row r="1858" ht="15.75" customHeight="1">
      <c r="A1858" s="66">
        <f>IFERROR(__xludf.DUMMYFUNCTION("""COMPUTED_VALUE"""),3832.0)</f>
        <v>3832</v>
      </c>
      <c r="B1858" s="67" t="str">
        <f>IFERROR(__xludf.DUMMYFUNCTION("""COMPUTED_VALUE"""),"確定")</f>
        <v>確定</v>
      </c>
      <c r="C1858" s="68">
        <f>IFERROR(__xludf.DUMMYFUNCTION("""COMPUTED_VALUE"""),45495.0)</f>
        <v>45495</v>
      </c>
      <c r="D1858" s="68">
        <f>IFERROR(__xludf.DUMMYFUNCTION("""COMPUTED_VALUE"""),45496.0)</f>
        <v>45496</v>
      </c>
      <c r="E1858" s="26">
        <f>IFERROR(__xludf.DUMMYFUNCTION("""COMPUTED_VALUE"""),294432.0)</f>
        <v>294432</v>
      </c>
      <c r="F1858" s="22" t="str">
        <f>IFERROR(__xludf.DUMMYFUNCTION("""COMPUTED_VALUE"""),"ウラハラ・ドリーミング")</f>
        <v>ウラハラ・ドリーミング</v>
      </c>
      <c r="G1858" s="69">
        <f>IFERROR(__xludf.DUMMYFUNCTION("""COMPUTED_VALUE"""),1.0)</f>
        <v>1</v>
      </c>
      <c r="H1858" s="67" t="str">
        <f>IFERROR(__xludf.DUMMYFUNCTION("""COMPUTED_VALUE"""),"淀川ゆお")</f>
        <v>淀川ゆお</v>
      </c>
      <c r="I1858" s="67" t="str">
        <f>IFERROR(__xludf.DUMMYFUNCTION("""COMPUTED_VALUE"""),"BL")</f>
        <v>BL</v>
      </c>
      <c r="J1858" s="67"/>
      <c r="K1858" s="67"/>
      <c r="L1858" s="67" t="str">
        <f>IFERROR(__xludf.DUMMYFUNCTION("""COMPUTED_VALUE"""),"ソルマーレ編集部")</f>
        <v>ソルマーレ編集部</v>
      </c>
      <c r="M1858" s="59">
        <f>IFERROR(__xludf.DUMMYFUNCTION("""COMPUTED_VALUE"""),45522.0)</f>
        <v>45522</v>
      </c>
      <c r="N1858" s="59">
        <f>IFERROR(__xludf.DUMMYFUNCTION("""COMPUTED_VALUE"""),45690.0)</f>
        <v>45690</v>
      </c>
      <c r="O1858" s="67"/>
      <c r="P1858" s="70" t="str">
        <f>IFERROR(__xludf.DUMMYFUNCTION("""COMPUTED_VALUE"""),"可")</f>
        <v>可</v>
      </c>
      <c r="Q1858" s="72" t="str">
        <f>IFERROR(__xludf.DUMMYFUNCTION("""COMPUTED_VALUE"""),"※Ficus5th作品です、先行期間6カ月になります！&lt;BR&gt;")</f>
        <v>※Ficus5th作品です、先行期間6カ月になります！&lt;BR&gt;</v>
      </c>
      <c r="R1858" s="67"/>
      <c r="S1858" s="67" t="str">
        <f>IFERROR(__xludf.DUMMYFUNCTION("""COMPUTED_VALUE"""),"20240722_ソルマーレ編集部_ウラハラ・ドリーミング")</f>
        <v>20240722_ソルマーレ編集部_ウラハラ・ドリーミング</v>
      </c>
      <c r="T1858" s="67" t="str">
        <f>IFERROR(__xludf.DUMMYFUNCTION("""COMPUTED_VALUE"""),"格納済み")</f>
        <v>格納済み</v>
      </c>
      <c r="U1858" s="15" t="str">
        <f>IFERROR(__xludf.DUMMYFUNCTION("""COMPUTED_VALUE"""),"Ⓒ 淀川ゆお/シーモアコミックス")</f>
        <v>Ⓒ 淀川ゆお/シーモアコミックス</v>
      </c>
      <c r="V1858" s="8" t="str">
        <f>IFERROR(__xludf.DUMMYFUNCTION("""COMPUTED_VALUE"""),"大学生の多々良(たたら)は、よく夢を見る。最近よく見るのは『ガク』という友達の夢。ガクは夢の中でしか会えない架空の友達だけど、優しくて明るい彼と一緒にいると楽しいし癒やされる。正直 夢で会えるのが嬉しくて、寝るのが楽しみになってるくらいだ。そんなある日、いつものように夢の中にガクが現れたと思ったら、突然押し倒されて…!?【フィカス】")</f>
        <v>大学生の多々良(たたら)は、よく夢を見る。最近よく見るのは『ガク』という友達の夢。ガクは夢の中でしか会えない架空の友達だけど、優しくて明るい彼と一緒にいると楽しいし癒やされる。正直 夢で会えるのが嬉しくて、寝るのが楽しみになってるくらいだ。そんなある日、いつものように夢の中にガクが現れたと思ったら、突然押し倒されて…!?【フィカス】</v>
      </c>
      <c r="W1858" s="14"/>
      <c r="X1858" s="14" t="str">
        <f>IFERROR(__xludf.DUMMYFUNCTION("""COMPUTED_VALUE"""),"有")</f>
        <v>有</v>
      </c>
      <c r="Y1858" s="8" t="str">
        <f>IFERROR(__xludf.DUMMYFUNCTION("""COMPUTED_VALUE"""),"P13まで")</f>
        <v>P13まで</v>
      </c>
      <c r="Z1858" s="7"/>
      <c r="AA1858" s="7"/>
      <c r="AB1858" s="7"/>
    </row>
    <row r="1859" ht="15.75" customHeight="1">
      <c r="A1859" s="66">
        <f>IFERROR(__xludf.DUMMYFUNCTION("""COMPUTED_VALUE"""),3833.0)</f>
        <v>3833</v>
      </c>
      <c r="B1859" s="67" t="str">
        <f>IFERROR(__xludf.DUMMYFUNCTION("""COMPUTED_VALUE"""),"確定")</f>
        <v>確定</v>
      </c>
      <c r="C1859" s="68">
        <f>IFERROR(__xludf.DUMMYFUNCTION("""COMPUTED_VALUE"""),45495.0)</f>
        <v>45495</v>
      </c>
      <c r="D1859" s="68">
        <f>IFERROR(__xludf.DUMMYFUNCTION("""COMPUTED_VALUE"""),45496.0)</f>
        <v>45496</v>
      </c>
      <c r="E1859" s="31">
        <f>IFERROR(__xludf.DUMMYFUNCTION("""COMPUTED_VALUE"""),301886.0)</f>
        <v>301886</v>
      </c>
      <c r="F1859" s="22" t="str">
        <f>IFERROR(__xludf.DUMMYFUNCTION("""COMPUTED_VALUE"""),"【フルカラー】モビーディック～VIPに捧ぐ大きな〇〇～")</f>
        <v>【フルカラー】モビーディック～VIPに捧ぐ大きな〇〇～</v>
      </c>
      <c r="G1859" s="69" t="str">
        <f>IFERROR(__xludf.DUMMYFUNCTION("""COMPUTED_VALUE"""),"1～4")</f>
        <v>1～4</v>
      </c>
      <c r="H1859" s="67" t="str">
        <f>IFERROR(__xludf.DUMMYFUNCTION("""COMPUTED_VALUE"""),"Yansae")</f>
        <v>Yansae</v>
      </c>
      <c r="I1859" s="67" t="str">
        <f>IFERROR(__xludf.DUMMYFUNCTION("""COMPUTED_VALUE"""),"青年")</f>
        <v>青年</v>
      </c>
      <c r="J1859" s="67"/>
      <c r="K1859" s="67"/>
      <c r="L1859" s="67" t="str">
        <f>IFERROR(__xludf.DUMMYFUNCTION("""COMPUTED_VALUE"""),"TOPCO")</f>
        <v>TOPCO</v>
      </c>
      <c r="M1859" s="59">
        <f>IFERROR(__xludf.DUMMYFUNCTION("""COMPUTED_VALUE"""),45541.0)</f>
        <v>45541</v>
      </c>
      <c r="N1859" s="59">
        <f>IFERROR(__xludf.DUMMYFUNCTION("""COMPUTED_VALUE"""),45632.0)</f>
        <v>45632</v>
      </c>
      <c r="O1859" s="67"/>
      <c r="P1859" s="70" t="str">
        <f>IFERROR(__xludf.DUMMYFUNCTION("""COMPUTED_VALUE"""),"可")</f>
        <v>可</v>
      </c>
      <c r="Q1859" s="72" t="str">
        <f>IFERROR(__xludf.DUMMYFUNCTION("""COMPUTED_VALUE"""),"河上さんへ事前コミット済みの作品です。")</f>
        <v>河上さんへ事前コミット済みの作品です。</v>
      </c>
      <c r="R1859" s="67"/>
      <c r="S1859" s="67" t="str">
        <f>IFERROR(__xludf.DUMMYFUNCTION("""COMPUTED_VALUE"""),"20240722_TOPCO_【フルカラー】モビーディック ～VIPに捧ぐ大きな〇〇～")</f>
        <v>20240722_TOPCO_【フルカラー】モビーディック ～VIPに捧ぐ大きな〇〇～</v>
      </c>
      <c r="T1859" s="67" t="str">
        <f>IFERROR(__xludf.DUMMYFUNCTION("""COMPUTED_VALUE"""),"格納済み")</f>
        <v>格納済み</v>
      </c>
      <c r="U1859" s="15" t="str">
        <f>IFERROR(__xludf.DUMMYFUNCTION("""COMPUTED_VALUE"""),"©Yansae/TOPTOON")</f>
        <v>©Yansae/TOPTOON</v>
      </c>
      <c r="V1859" s="8" t="str">
        <f>IFERROR(__xludf.DUMMYFUNCTION("""COMPUTED_VALUE"""),"ひょんなきっかけで怪しい名刺を手に入れた勲人。｢あなたはＶＩＰたちに贈られる”プレゼント”になるのです｣｢彼女たちが忘れたくても忘れられない男になってください｣自慢と言えるのはカラダ一つな彼にその名刺は高額の対価と共に不倫天国と呼ばれる新都市・田園南が丘で新しい生活をもたらす。")</f>
        <v>ひょんなきっかけで怪しい名刺を手に入れた勲人。｢あなたはＶＩＰたちに贈られる”プレゼント”になるのです｣｢彼女たちが忘れたくても忘れられない男になってください｣自慢と言えるのはカラダ一つな彼にその名刺は高額の対価と共に不倫天国と呼ばれる新都市・田園南が丘で新しい生活をもたらす。</v>
      </c>
      <c r="W1859" s="14"/>
      <c r="X1859" s="14" t="str">
        <f>IFERROR(__xludf.DUMMYFUNCTION("""COMPUTED_VALUE"""),"有")</f>
        <v>有</v>
      </c>
      <c r="Y1859" s="8" t="str">
        <f>IFERROR(__xludf.DUMMYFUNCTION("""COMPUTED_VALUE"""),"1巻無料")</f>
        <v>1巻無料</v>
      </c>
      <c r="Z1859" s="7"/>
      <c r="AA1859" s="7"/>
      <c r="AB1859" s="7"/>
    </row>
    <row r="1860" ht="15.75" customHeight="1">
      <c r="A1860" s="66">
        <f>IFERROR(__xludf.DUMMYFUNCTION("""COMPUTED_VALUE"""),3834.0)</f>
        <v>3834</v>
      </c>
      <c r="B1860" s="67" t="str">
        <f>IFERROR(__xludf.DUMMYFUNCTION("""COMPUTED_VALUE"""),"確定")</f>
        <v>確定</v>
      </c>
      <c r="C1860" s="68">
        <f>IFERROR(__xludf.DUMMYFUNCTION("""COMPUTED_VALUE"""),45495.0)</f>
        <v>45495</v>
      </c>
      <c r="D1860" s="68">
        <f>IFERROR(__xludf.DUMMYFUNCTION("""COMPUTED_VALUE"""),45496.0)</f>
        <v>45496</v>
      </c>
      <c r="E1860" s="31">
        <f>IFERROR(__xludf.DUMMYFUNCTION("""COMPUTED_VALUE"""),299318.0)</f>
        <v>299318</v>
      </c>
      <c r="F1860" s="22" t="str">
        <f>IFERROR(__xludf.DUMMYFUNCTION("""COMPUTED_VALUE"""),"絶倫社長の愛玩うさぎ～性欲の強い男女がセックスしたら？～")</f>
        <v>絶倫社長の愛玩うさぎ～性欲の強い男女がセックスしたら？～</v>
      </c>
      <c r="G1860" s="69" t="str">
        <f>IFERROR(__xludf.DUMMYFUNCTION("""COMPUTED_VALUE"""),"1～3")</f>
        <v>1～3</v>
      </c>
      <c r="H1860" s="67" t="str">
        <f>IFERROR(__xludf.DUMMYFUNCTION("""COMPUTED_VALUE"""),"OU")</f>
        <v>OU</v>
      </c>
      <c r="I1860" s="67" t="str">
        <f>IFERROR(__xludf.DUMMYFUNCTION("""COMPUTED_VALUE"""),"TL")</f>
        <v>TL</v>
      </c>
      <c r="J1860" s="67"/>
      <c r="K1860" s="67"/>
      <c r="L1860" s="67" t="str">
        <f>IFERROR(__xludf.DUMMYFUNCTION("""COMPUTED_VALUE"""),"モバイルメディアリサーチ")</f>
        <v>モバイルメディアリサーチ</v>
      </c>
      <c r="M1860" s="59">
        <f>IFERROR(__xludf.DUMMYFUNCTION("""COMPUTED_VALUE"""),45527.0)</f>
        <v>45527</v>
      </c>
      <c r="N1860" s="59">
        <f>IFERROR(__xludf.DUMMYFUNCTION("""COMPUTED_VALUE"""),45547.0)</f>
        <v>45547</v>
      </c>
      <c r="O1860" s="67"/>
      <c r="P1860" s="70" t="str">
        <f>IFERROR(__xludf.DUMMYFUNCTION("""COMPUTED_VALUE"""),"可")</f>
        <v>可</v>
      </c>
      <c r="Q1860" s="72" t="str">
        <f>IFERROR(__xludf.DUMMYFUNCTION("""COMPUTED_VALUE"""),"レーベル「ラブきゅんコミック」")</f>
        <v>レーベル「ラブきゅんコミック」</v>
      </c>
      <c r="R1860" s="78"/>
      <c r="S1860" s="67" t="str">
        <f>IFERROR(__xludf.DUMMYFUNCTION("""COMPUTED_VALUE"""),"20240730_ファンギルド_絶倫社長の愛玩うさぎ")</f>
        <v>20240730_ファンギルド_絶倫社長の愛玩うさぎ</v>
      </c>
      <c r="T1860" s="67" t="str">
        <f>IFERROR(__xludf.DUMMYFUNCTION("""COMPUTED_VALUE"""),"格納済み")</f>
        <v>格納済み</v>
      </c>
      <c r="U1860" s="15" t="str">
        <f>IFERROR(__xludf.DUMMYFUNCTION("""COMPUTED_VALUE"""),"©OU/MMR")</f>
        <v>©OU/MMR</v>
      </c>
      <c r="V1860" s="8" t="str">
        <f>IFERROR(__xludf.DUMMYFUNCTION("""COMPUTED_VALUE"""),"「お前にとって、最高の夜にしてやる」絶倫社長の極上愛撫で、トロけるような快感を全身に刻みつけられたら――性欲が強すぎてフラれた過去を持つOL・星野月海は、ある日、令和のオレ様と呼ばれる新社長・大狼司狼の就任パーティーに出席することに。しかしその高圧的な挨拶をきっかけに彼に苦手意識を持ってしまう。ストレス発散のため、帰り道にアダルトグッズを買った月海だが、会場に忘れ物をしたことに気が付いて…慌てて戻ったけれど、途中で人とぶつかり、アダルトグッズをばら撒いてしまう！「お前さ、欲求不満なの？」そして顔を上げた先"&amp;"にはなんと大狼社長!?苦手だったはずなのに…長い指でびしょ濡れのナカをかき回されたら、もうダメッ！性欲の強い男女の相性抜群SEXが今、はじまる―…。")</f>
        <v>「お前にとって、最高の夜にしてやる」絶倫社長の極上愛撫で、トロけるような快感を全身に刻みつけられたら――性欲が強すぎてフラれた過去を持つOL・星野月海は、ある日、令和のオレ様と呼ばれる新社長・大狼司狼の就任パーティーに出席することに。しかしその高圧的な挨拶をきっかけに彼に苦手意識を持ってしまう。ストレス発散のため、帰り道にアダルトグッズを買った月海だが、会場に忘れ物をしたことに気が付いて…慌てて戻ったけれど、途中で人とぶつかり、アダルトグッズをばら撒いてしまう！「お前さ、欲求不満なの？」そして顔を上げた先にはなんと大狼社長!?苦手だったはずなのに…長い指でびしょ濡れのナカをかき回されたら、もうダメッ！性欲の強い男女の相性抜群SEXが今、はじまる―…。</v>
      </c>
      <c r="W1860" s="14"/>
      <c r="X1860" s="14" t="str">
        <f>IFERROR(__xludf.DUMMYFUNCTION("""COMPUTED_VALUE"""),"有")</f>
        <v>有</v>
      </c>
      <c r="Y1860" s="8" t="str">
        <f>IFERROR(__xludf.DUMMYFUNCTION("""COMPUTED_VALUE"""),"2024/9/5まで立ち読み増量P25まで")</f>
        <v>2024/9/5まで立ち読み増量P25まで</v>
      </c>
      <c r="Z1860" s="7"/>
      <c r="AA1860" s="7"/>
      <c r="AB1860" s="7"/>
    </row>
    <row r="1861" ht="15.75" customHeight="1">
      <c r="A1861" s="66">
        <f>IFERROR(__xludf.DUMMYFUNCTION("""COMPUTED_VALUE"""),3835.0)</f>
        <v>3835</v>
      </c>
      <c r="B1861" s="67" t="str">
        <f>IFERROR(__xludf.DUMMYFUNCTION("""COMPUTED_VALUE"""),"確定")</f>
        <v>確定</v>
      </c>
      <c r="C1861" s="68">
        <f>IFERROR(__xludf.DUMMYFUNCTION("""COMPUTED_VALUE"""),45495.0)</f>
        <v>45495</v>
      </c>
      <c r="D1861" s="68">
        <f>IFERROR(__xludf.DUMMYFUNCTION("""COMPUTED_VALUE"""),45496.0)</f>
        <v>45496</v>
      </c>
      <c r="E1861" s="31">
        <f>IFERROR(__xludf.DUMMYFUNCTION("""COMPUTED_VALUE"""),299262.0)</f>
        <v>299262</v>
      </c>
      <c r="F1861" s="22" t="str">
        <f>IFERROR(__xludf.DUMMYFUNCTION("""COMPUTED_VALUE"""),"断罪された薬師令嬢は毒を以って悪を制します")</f>
        <v>断罪された薬師令嬢は毒を以って悪を制します</v>
      </c>
      <c r="G1861" s="69" t="str">
        <f>IFERROR(__xludf.DUMMYFUNCTION("""COMPUTED_VALUE"""),"1～3")</f>
        <v>1～3</v>
      </c>
      <c r="H1861" s="67" t="str">
        <f>IFERROR(__xludf.DUMMYFUNCTION("""COMPUTED_VALUE"""),"野崎アユ")</f>
        <v>野崎アユ</v>
      </c>
      <c r="I1861" s="67" t="str">
        <f>IFERROR(__xludf.DUMMYFUNCTION("""COMPUTED_VALUE"""),"少女")</f>
        <v>少女</v>
      </c>
      <c r="J1861" s="67"/>
      <c r="K1861" s="67"/>
      <c r="L1861" s="67" t="str">
        <f>IFERROR(__xludf.DUMMYFUNCTION("""COMPUTED_VALUE"""),"ファンギルド")</f>
        <v>ファンギルド</v>
      </c>
      <c r="M1861" s="59">
        <f>IFERROR(__xludf.DUMMYFUNCTION("""COMPUTED_VALUE"""),45519.0)</f>
        <v>45519</v>
      </c>
      <c r="N1861" s="85">
        <f>IFERROR(__xludf.DUMMYFUNCTION("""COMPUTED_VALUE"""),45581.0)</f>
        <v>45581</v>
      </c>
      <c r="O1861" s="67"/>
      <c r="P1861" s="70" t="str">
        <f>IFERROR(__xludf.DUMMYFUNCTION("""COMPUTED_VALUE"""),"可")</f>
        <v>可</v>
      </c>
      <c r="Q1861" s="72" t="str">
        <f>IFERROR(__xludf.DUMMYFUNCTION("""COMPUTED_VALUE"""),"レーベル「comic スピラ」")</f>
        <v>レーベル「comic スピラ」</v>
      </c>
      <c r="R1861" s="67"/>
      <c r="S1861" s="67" t="str">
        <f>IFERROR(__xludf.DUMMYFUNCTION("""COMPUTED_VALUE"""),"20240722_ファンギルド_断罪された薬師令嬢は毒を以って悪を制します")</f>
        <v>20240722_ファンギルド_断罪された薬師令嬢は毒を以って悪を制します</v>
      </c>
      <c r="T1861" s="67" t="str">
        <f>IFERROR(__xludf.DUMMYFUNCTION("""COMPUTED_VALUE"""),"格納済み")</f>
        <v>格納済み</v>
      </c>
      <c r="U1861" s="15" t="str">
        <f>IFERROR(__xludf.DUMMYFUNCTION("""COMPUTED_VALUE"""),"©野崎アユ/ファンギルド")</f>
        <v>©野崎アユ/ファンギルド</v>
      </c>
      <c r="V1861" s="8" t="str">
        <f>IFERROR(__xludf.DUMMYFUNCTION("""COMPUTED_VALUE"""),"伯爵令嬢のアンゼリカは、亡き両親への恩返しのため一族の復興を目指していた。王立薬草研究所の所長として地道に成果を積み上げていたある日、突然事件は起こるーー婚約者と親友だったはずの令嬢によって身に覚えの無い罪を被せられ、違法薬物製造の犯人に仕立て上げられてしまったのだ…！復興どころか一族に泥を塗ってしまい、牢獄でやるせなさを噛みしめるアンゼリカをとある男が訪ねるーー「真犯人を取り逃す訳にはいかない　俺と取引しないか？アンゼリカ」悪女然としたカリスマ令嬢が一族の誇りを胸に、裏切り者には毒を以って制裁を下します"&amp;"！！")</f>
        <v>伯爵令嬢のアンゼリカは、亡き両親への恩返しのため一族の復興を目指していた。王立薬草研究所の所長として地道に成果を積み上げていたある日、突然事件は起こるーー婚約者と親友だったはずの令嬢によって身に覚えの無い罪を被せられ、違法薬物製造の犯人に仕立て上げられてしまったのだ…！復興どころか一族に泥を塗ってしまい、牢獄でやるせなさを噛みしめるアンゼリカをとある男が訪ねるーー「真犯人を取り逃す訳にはいかない　俺と取引しないか？アンゼリカ」悪女然としたカリスマ令嬢が一族の誇りを胸に、裏切り者には毒を以って制裁を下します！！</v>
      </c>
      <c r="W1861" s="14"/>
      <c r="X1861" s="14" t="str">
        <f>IFERROR(__xludf.DUMMYFUNCTION("""COMPUTED_VALUE"""),"有")</f>
        <v>有</v>
      </c>
      <c r="Y1861" s="8" t="str">
        <f>IFERROR(__xludf.DUMMYFUNCTION("""COMPUTED_VALUE"""),"P16まで")</f>
        <v>P16まで</v>
      </c>
      <c r="Z1861" s="7"/>
      <c r="AA1861" s="7"/>
      <c r="AB1861" s="7"/>
    </row>
    <row r="1862" ht="15.75" customHeight="1">
      <c r="A1862" s="66">
        <f>IFERROR(__xludf.DUMMYFUNCTION("""COMPUTED_VALUE"""),3836.0)</f>
        <v>3836</v>
      </c>
      <c r="B1862" s="67" t="str">
        <f>IFERROR(__xludf.DUMMYFUNCTION("""COMPUTED_VALUE"""),"確定")</f>
        <v>確定</v>
      </c>
      <c r="C1862" s="68">
        <f>IFERROR(__xludf.DUMMYFUNCTION("""COMPUTED_VALUE"""),45495.0)</f>
        <v>45495</v>
      </c>
      <c r="D1862" s="68">
        <f>IFERROR(__xludf.DUMMYFUNCTION("""COMPUTED_VALUE"""),45496.0)</f>
        <v>45496</v>
      </c>
      <c r="E1862" s="31">
        <f>IFERROR(__xludf.DUMMYFUNCTION("""COMPUTED_VALUE"""),299319.0)</f>
        <v>299319</v>
      </c>
      <c r="F1862" s="22" t="str">
        <f>IFERROR(__xludf.DUMMYFUNCTION("""COMPUTED_VALUE"""),"幼馴染みの心の声は「好き」であふれてる")</f>
        <v>幼馴染みの心の声は「好き」であふれてる</v>
      </c>
      <c r="G1862" s="79" t="str">
        <f>IFERROR(__xludf.DUMMYFUNCTION("""COMPUTED_VALUE"""),"1～2")</f>
        <v>1～2</v>
      </c>
      <c r="H1862" s="67" t="str">
        <f>IFERROR(__xludf.DUMMYFUNCTION("""COMPUTED_VALUE"""),"栗坂みか")</f>
        <v>栗坂みか</v>
      </c>
      <c r="I1862" s="67" t="str">
        <f>IFERROR(__xludf.DUMMYFUNCTION("""COMPUTED_VALUE"""),"BL")</f>
        <v>BL</v>
      </c>
      <c r="J1862" s="67"/>
      <c r="K1862" s="67"/>
      <c r="L1862" s="67" t="str">
        <f>IFERROR(__xludf.DUMMYFUNCTION("""COMPUTED_VALUE"""),"モバイルメディアリサーチ")</f>
        <v>モバイルメディアリサーチ</v>
      </c>
      <c r="M1862" s="59">
        <f>IFERROR(__xludf.DUMMYFUNCTION("""COMPUTED_VALUE"""),45527.0)</f>
        <v>45527</v>
      </c>
      <c r="N1862" s="59">
        <f>IFERROR(__xludf.DUMMYFUNCTION("""COMPUTED_VALUE"""),45559.0)</f>
        <v>45559</v>
      </c>
      <c r="O1862" s="67"/>
      <c r="P1862" s="70" t="str">
        <f>IFERROR(__xludf.DUMMYFUNCTION("""COMPUTED_VALUE"""),"可")</f>
        <v>可</v>
      </c>
      <c r="Q1862" s="72" t="str">
        <f>IFERROR(__xludf.DUMMYFUNCTION("""COMPUTED_VALUE"""),"レーベル「caramel」")</f>
        <v>レーベル「caramel」</v>
      </c>
      <c r="R1862" s="78"/>
      <c r="S1862" s="67" t="str">
        <f>IFERROR(__xludf.DUMMYFUNCTION("""COMPUTED_VALUE"""),"20240729_ファンギルド_幼馴染みの心の声は「好き」であふれてる")</f>
        <v>20240729_ファンギルド_幼馴染みの心の声は「好き」であふれてる</v>
      </c>
      <c r="T1862" s="67" t="str">
        <f>IFERROR(__xludf.DUMMYFUNCTION("""COMPUTED_VALUE"""),"格納済み")</f>
        <v>格納済み</v>
      </c>
      <c r="U1862" s="15" t="str">
        <f>IFERROR(__xludf.DUMMYFUNCTION("""COMPUTED_VALUE"""),"©栗坂みか/モバイルメディアリサーチ")</f>
        <v>©栗坂みか/モバイルメディアリサーチ</v>
      </c>
      <c r="V1862" s="8" t="str">
        <f>IFERROR(__xludf.DUMMYFUNCTION("""COMPUTED_VALUE"""),"「…なぁ、キスしていいか」大嫌いなはずの幼馴染みと、とろけるほど気持ちいいキスーー!?高校生の颯太と龍司は昔は仲良かった幼馴染み。しかしある事をきっかけに2人は仲が悪くなってしまう。ところがある日、頭をぶつけた瞬間なぜか龍司の心の声が聞こえてきてしまい…!?しかも嫌われていると思っていたのに聞こえてくるのは「かわいい、キスしたい」など甘い言葉ばかりで…。思いがけない幼馴染みの本音に颯太の胸はドキドキと高鳴ってしまいーー！")</f>
        <v>「…なぁ、キスしていいか」大嫌いなはずの幼馴染みと、とろけるほど気持ちいいキスーー!?高校生の颯太と龍司は昔は仲良かった幼馴染み。しかしある事をきっかけに2人は仲が悪くなってしまう。ところがある日、頭をぶつけた瞬間なぜか龍司の心の声が聞こえてきてしまい…!?しかも嫌われていると思っていたのに聞こえてくるのは「かわいい、キスしたい」など甘い言葉ばかりで…。思いがけない幼馴染みの本音に颯太の胸はドキドキと高鳴ってしまいーー！</v>
      </c>
      <c r="W1862" s="14"/>
      <c r="X1862" s="14" t="str">
        <f>IFERROR(__xludf.DUMMYFUNCTION("""COMPUTED_VALUE"""),"有")</f>
        <v>有</v>
      </c>
      <c r="Y1862" s="8" t="str">
        <f>IFERROR(__xludf.DUMMYFUNCTION("""COMPUTED_VALUE"""),"2024/9/5まで立ち読み増量P19まで")</f>
        <v>2024/9/5まで立ち読み増量P19まで</v>
      </c>
      <c r="Z1862" s="7"/>
      <c r="AA1862" s="7"/>
      <c r="AB1862" s="7"/>
    </row>
    <row r="1863" ht="15.75" customHeight="1">
      <c r="A1863" s="66">
        <f>IFERROR(__xludf.DUMMYFUNCTION("""COMPUTED_VALUE"""),3838.0)</f>
        <v>3838</v>
      </c>
      <c r="B1863" s="67" t="str">
        <f>IFERROR(__xludf.DUMMYFUNCTION("""COMPUTED_VALUE"""),"確定")</f>
        <v>確定</v>
      </c>
      <c r="C1863" s="68">
        <f>IFERROR(__xludf.DUMMYFUNCTION("""COMPUTED_VALUE"""),45496.0)</f>
        <v>45496</v>
      </c>
      <c r="D1863" s="68">
        <f>IFERROR(__xludf.DUMMYFUNCTION("""COMPUTED_VALUE"""),45497.0)</f>
        <v>45497</v>
      </c>
      <c r="E1863" s="31">
        <f>IFERROR(__xludf.DUMMYFUNCTION("""COMPUTED_VALUE"""),300382.0)</f>
        <v>300382</v>
      </c>
      <c r="F1863" s="22" t="str">
        <f>IFERROR(__xludf.DUMMYFUNCTION("""COMPUTED_VALUE"""),"日下教授の求愛セックス演習")</f>
        <v>日下教授の求愛セックス演習</v>
      </c>
      <c r="G1863" s="69" t="str">
        <f>IFERROR(__xludf.DUMMYFUNCTION("""COMPUTED_VALUE"""),"1～3")</f>
        <v>1～3</v>
      </c>
      <c r="H1863" s="67" t="str">
        <f>IFERROR(__xludf.DUMMYFUNCTION("""COMPUTED_VALUE"""),"HECOいぬ┴THE猥談")</f>
        <v>HECOいぬ┴THE猥談</v>
      </c>
      <c r="I1863" s="67" t="str">
        <f>IFERROR(__xludf.DUMMYFUNCTION("""COMPUTED_VALUE"""),"TL")</f>
        <v>TL</v>
      </c>
      <c r="J1863" s="67"/>
      <c r="K1863" s="67"/>
      <c r="L1863" s="67" t="str">
        <f>IFERROR(__xludf.DUMMYFUNCTION("""COMPUTED_VALUE"""),"ブリック出版")</f>
        <v>ブリック出版</v>
      </c>
      <c r="M1863" s="59">
        <f>IFERROR(__xludf.DUMMYFUNCTION("""COMPUTED_VALUE"""),45534.0)</f>
        <v>45534</v>
      </c>
      <c r="N1863" s="85">
        <f>IFERROR(__xludf.DUMMYFUNCTION("""COMPUTED_VALUE"""),45624.0)</f>
        <v>45624</v>
      </c>
      <c r="O1863" s="67"/>
      <c r="P1863" s="70" t="str">
        <f>IFERROR(__xludf.DUMMYFUNCTION("""COMPUTED_VALUE"""),"可")</f>
        <v>可</v>
      </c>
      <c r="Q1863" s="72" t="str">
        <f>IFERROR(__xludf.DUMMYFUNCTION("""COMPUTED_VALUE"""),"「THE猥談」です&lt;BR&gt;河上さんへ事前コミット済み作品です")</f>
        <v>「THE猥談」です&lt;BR&gt;河上さんへ事前コミット済み作品です</v>
      </c>
      <c r="R1863" s="67"/>
      <c r="S1863" s="67" t="str">
        <f>IFERROR(__xludf.DUMMYFUNCTION("""COMPUTED_VALUE"""),"20240723_BookLive_日下教授の求愛セックス演習")</f>
        <v>20240723_BookLive_日下教授の求愛セックス演習</v>
      </c>
      <c r="T1863" s="67" t="str">
        <f>IFERROR(__xludf.DUMMYFUNCTION("""COMPUTED_VALUE"""),"格納済み")</f>
        <v>格納済み</v>
      </c>
      <c r="U1863" s="15" t="str">
        <f>IFERROR(__xludf.DUMMYFUNCTION("""COMPUTED_VALUE"""),"ⒸHECOイヌ/THE猥談/ブリック出版")</f>
        <v>ⒸHECOイヌ/THE猥談/ブリック出版</v>
      </c>
      <c r="V1863" s="8" t="str">
        <f>IFERROR(__xludf.DUMMYFUNCTION("""COMPUTED_VALUE"""),"疲れた顔に、とっつきにくい雰囲気で学生からは恐れられている日下教授。
そんな教授の元で、ゼミの副幹事長として真面目に取り組む私・北野凛。
質問があれば積極的に研究室に足を運び、
教授からすすめられた本があればすぐに読み込んだ。
側から見れば勤勉な学生に見えただろう。
同じゼミ生からも、教授からも。
実際のところ、哲学なんてどうでもよかった。何の興味もない。
すべては、教授と、あの研究室で。
哲学書や現代思想にまつわる本がギッチリと詰まったあの空間で
知性なんて何もないセックス"&amp;"をしたい。教授と、したい。
日下教授、教えてください。
この情欲はどうすればいいですかーーー…
※本作はHECOイヌ、THE猥談の個人誌作品の電子書籍版となります。【24ページ】")</f>
        <v>疲れた顔に、とっつきにくい雰囲気で学生からは恐れられている日下教授。
そんな教授の元で、ゼミの副幹事長として真面目に取り組む私・北野凛。
質問があれば積極的に研究室に足を運び、
教授からすすめられた本があればすぐに読み込んだ。
側から見れば勤勉な学生に見えただろう。
同じゼミ生からも、教授からも。
実際のところ、哲学なんてどうでもよかった。何の興味もない。
すべては、教授と、あの研究室で。
哲学書や現代思想にまつわる本がギッチリと詰まったあの空間で
知性なんて何もないセックスをしたい。教授と、したい。
日下教授、教えてください。
この情欲はどうすればいいですかーーー…
※本作はHECOイヌ、THE猥談の個人誌作品の電子書籍版となります。【24ページ】</v>
      </c>
      <c r="W1863" s="14"/>
      <c r="X1863" s="14" t="str">
        <f>IFERROR(__xludf.DUMMYFUNCTION("""COMPUTED_VALUE"""),"有")</f>
        <v>有</v>
      </c>
      <c r="Y1863" s="8" t="str">
        <f>IFERROR(__xludf.DUMMYFUNCTION("""COMPUTED_VALUE"""),"P12まで")</f>
        <v>P12まで</v>
      </c>
      <c r="Z1863" s="7"/>
      <c r="AA1863" s="7"/>
      <c r="AB1863" s="7"/>
    </row>
    <row r="1864" ht="15.75" customHeight="1">
      <c r="A1864" s="66">
        <f>IFERROR(__xludf.DUMMYFUNCTION("""COMPUTED_VALUE"""),3839.0)</f>
        <v>3839</v>
      </c>
      <c r="B1864" s="67" t="str">
        <f>IFERROR(__xludf.DUMMYFUNCTION("""COMPUTED_VALUE"""),"確定")</f>
        <v>確定</v>
      </c>
      <c r="C1864" s="68">
        <f>IFERROR(__xludf.DUMMYFUNCTION("""COMPUTED_VALUE"""),45496.0)</f>
        <v>45496</v>
      </c>
      <c r="D1864" s="68">
        <f>IFERROR(__xludf.DUMMYFUNCTION("""COMPUTED_VALUE"""),45497.0)</f>
        <v>45497</v>
      </c>
      <c r="E1864" s="31">
        <f>IFERROR(__xludf.DUMMYFUNCTION("""COMPUTED_VALUE"""),300384.0)</f>
        <v>300384</v>
      </c>
      <c r="F1864" s="22" t="str">
        <f>IFERROR(__xludf.DUMMYFUNCTION("""COMPUTED_VALUE"""),"日下教授の求愛セックス演習【R版】")</f>
        <v>日下教授の求愛セックス演習【R版】</v>
      </c>
      <c r="G1864" s="69" t="str">
        <f>IFERROR(__xludf.DUMMYFUNCTION("""COMPUTED_VALUE"""),"1～3")</f>
        <v>1～3</v>
      </c>
      <c r="H1864" s="67" t="str">
        <f>IFERROR(__xludf.DUMMYFUNCTION("""COMPUTED_VALUE"""),"HECOいぬ┴THE猥談")</f>
        <v>HECOいぬ┴THE猥談</v>
      </c>
      <c r="I1864" s="67" t="str">
        <f>IFERROR(__xludf.DUMMYFUNCTION("""COMPUTED_VALUE"""),"オトナ")</f>
        <v>オトナ</v>
      </c>
      <c r="J1864" s="67"/>
      <c r="K1864" s="67"/>
      <c r="L1864" s="67" t="str">
        <f>IFERROR(__xludf.DUMMYFUNCTION("""COMPUTED_VALUE"""),"ブリック出版")</f>
        <v>ブリック出版</v>
      </c>
      <c r="M1864" s="59">
        <f>IFERROR(__xludf.DUMMYFUNCTION("""COMPUTED_VALUE"""),45534.0)</f>
        <v>45534</v>
      </c>
      <c r="N1864" s="85">
        <f>IFERROR(__xludf.DUMMYFUNCTION("""COMPUTED_VALUE"""),45624.0)</f>
        <v>45624</v>
      </c>
      <c r="O1864" s="67"/>
      <c r="P1864" s="70" t="str">
        <f>IFERROR(__xludf.DUMMYFUNCTION("""COMPUTED_VALUE"""),"可")</f>
        <v>可</v>
      </c>
      <c r="Q1864" s="72" t="str">
        <f>IFERROR(__xludf.DUMMYFUNCTION("""COMPUTED_VALUE"""),"「THE猥談」です&lt;BR&gt;河上さんへ事前コミット済みです")</f>
        <v>「THE猥談」です&lt;BR&gt;河上さんへ事前コミット済みです</v>
      </c>
      <c r="R1864" s="67"/>
      <c r="S1864" s="67" t="str">
        <f>IFERROR(__xludf.DUMMYFUNCTION("""COMPUTED_VALUE"""),"20240723_BookLive_日下教授の求愛セックス演習【R版】")</f>
        <v>20240723_BookLive_日下教授の求愛セックス演習【R版】</v>
      </c>
      <c r="T1864" s="67" t="str">
        <f>IFERROR(__xludf.DUMMYFUNCTION("""COMPUTED_VALUE"""),"格納済み")</f>
        <v>格納済み</v>
      </c>
      <c r="U1864" s="15" t="str">
        <f>IFERROR(__xludf.DUMMYFUNCTION("""COMPUTED_VALUE"""),"(C)HECOイヌ/THE猥談/ブリック出版")</f>
        <v>(C)HECOイヌ/THE猥談/ブリック出版</v>
      </c>
      <c r="V1864" s="8" t="str">
        <f>IFERROR(__xludf.DUMMYFUNCTION("""COMPUTED_VALUE"""),"疲れた顔に、とっつきにくい雰囲気で学生からは恐れられている日下教授。
そんな教授の元で、ゼミの副幹事長として真面目に取り組む私・北野凛。
質問があれば積極的に研究室に足を運び、
教授からすすめられた本があればすぐに読み込んだ。
側から見れば勤勉な学生に見えただろう。
同じゼミ生からも、教授からも。
実際のところ、哲学なんてどうでもよかった。何の興味もない。
すべては、教授と、あの研究室で。
哲学書や現代思想にまつわる本がギッチリと詰まったあの空間で
知性なんて何もないセックス"&amp;"をしたい。教授と、したい。
日下教授、教えてください。
この情欲はどうすればいいですかーーー…
※本作はHECOイヌ、THE猥談の個人誌作品の電子書籍版となります。【24ページ】
※本作は『日下教授の求愛セックス演習』の修正をやや弱めたものです。内容に差異はありません。")</f>
        <v>疲れた顔に、とっつきにくい雰囲気で学生からは恐れられている日下教授。
そんな教授の元で、ゼミの副幹事長として真面目に取り組む私・北野凛。
質問があれば積極的に研究室に足を運び、
教授からすすめられた本があればすぐに読み込んだ。
側から見れば勤勉な学生に見えただろう。
同じゼミ生からも、教授からも。
実際のところ、哲学なんてどうでもよかった。何の興味もない。
すべては、教授と、あの研究室で。
哲学書や現代思想にまつわる本がギッチリと詰まったあの空間で
知性なんて何もないセックスをしたい。教授と、したい。
日下教授、教えてください。
この情欲はどうすればいいですかーーー…
※本作はHECOイヌ、THE猥談の個人誌作品の電子書籍版となります。【24ページ】
※本作は『日下教授の求愛セックス演習』の修正をやや弱めたものです。内容に差異はありません。</v>
      </c>
      <c r="W1864" s="14"/>
      <c r="X1864" s="14" t="str">
        <f>IFERROR(__xludf.DUMMYFUNCTION("""COMPUTED_VALUE"""),"有")</f>
        <v>有</v>
      </c>
      <c r="Y1864" s="8" t="str">
        <f>IFERROR(__xludf.DUMMYFUNCTION("""COMPUTED_VALUE"""),"P12まで")</f>
        <v>P12まで</v>
      </c>
      <c r="Z1864" s="7"/>
      <c r="AA1864" s="7"/>
      <c r="AB1864" s="7"/>
    </row>
    <row r="1865" ht="15.75" customHeight="1">
      <c r="A1865" s="66">
        <f>IFERROR(__xludf.DUMMYFUNCTION("""COMPUTED_VALUE"""),3840.0)</f>
        <v>3840</v>
      </c>
      <c r="B1865" s="67" t="str">
        <f>IFERROR(__xludf.DUMMYFUNCTION("""COMPUTED_VALUE"""),"確定")</f>
        <v>確定</v>
      </c>
      <c r="C1865" s="68">
        <f>IFERROR(__xludf.DUMMYFUNCTION("""COMPUTED_VALUE"""),45496.0)</f>
        <v>45496</v>
      </c>
      <c r="D1865" s="68">
        <f>IFERROR(__xludf.DUMMYFUNCTION("""COMPUTED_VALUE"""),45497.0)</f>
        <v>45497</v>
      </c>
      <c r="E1865" s="31">
        <f>IFERROR(__xludf.DUMMYFUNCTION("""COMPUTED_VALUE"""),300381.0)</f>
        <v>300381</v>
      </c>
      <c r="F1865" s="22" t="str">
        <f>IFERROR(__xludf.DUMMYFUNCTION("""COMPUTED_VALUE"""),"オナホなんかに負けへんもん!")</f>
        <v>オナホなんかに負けへんもん!</v>
      </c>
      <c r="G1865" s="69" t="str">
        <f>IFERROR(__xludf.DUMMYFUNCTION("""COMPUTED_VALUE"""),"1～3")</f>
        <v>1～3</v>
      </c>
      <c r="H1865" s="67" t="str">
        <f>IFERROR(__xludf.DUMMYFUNCTION("""COMPUTED_VALUE"""),"すぎの┴THE猥談")</f>
        <v>すぎの┴THE猥談</v>
      </c>
      <c r="I1865" s="67" t="str">
        <f>IFERROR(__xludf.DUMMYFUNCTION("""COMPUTED_VALUE"""),"TL")</f>
        <v>TL</v>
      </c>
      <c r="J1865" s="67"/>
      <c r="K1865" s="67"/>
      <c r="L1865" s="67" t="str">
        <f>IFERROR(__xludf.DUMMYFUNCTION("""COMPUTED_VALUE"""),"ブリック出版")</f>
        <v>ブリック出版</v>
      </c>
      <c r="M1865" s="59">
        <f>IFERROR(__xludf.DUMMYFUNCTION("""COMPUTED_VALUE"""),45534.0)</f>
        <v>45534</v>
      </c>
      <c r="N1865" s="85">
        <f>IFERROR(__xludf.DUMMYFUNCTION("""COMPUTED_VALUE"""),45624.0)</f>
        <v>45624</v>
      </c>
      <c r="O1865" s="67"/>
      <c r="P1865" s="70" t="str">
        <f>IFERROR(__xludf.DUMMYFUNCTION("""COMPUTED_VALUE"""),"可")</f>
        <v>可</v>
      </c>
      <c r="Q1865" s="72" t="str">
        <f>IFERROR(__xludf.DUMMYFUNCTION("""COMPUTED_VALUE"""),"「THE猥談」です&lt;BR&gt;河上さんへ事前コミット済みです")</f>
        <v>「THE猥談」です&lt;BR&gt;河上さんへ事前コミット済みです</v>
      </c>
      <c r="R1865" s="67"/>
      <c r="S1865" s="67" t="str">
        <f>IFERROR(__xludf.DUMMYFUNCTION("""COMPUTED_VALUE"""),"20240723_BookLive_オナホなんかに負けへんもん!")</f>
        <v>20240723_BookLive_オナホなんかに負けへんもん!</v>
      </c>
      <c r="T1865" s="67" t="str">
        <f>IFERROR(__xludf.DUMMYFUNCTION("""COMPUTED_VALUE"""),"格納済み")</f>
        <v>格納済み</v>
      </c>
      <c r="U1865" s="15" t="str">
        <f>IFERROR(__xludf.DUMMYFUNCTION("""COMPUTED_VALUE"""),"(C)すぎの/THE猥談/ブリック出版")</f>
        <v>(C)すぎの/THE猥談/ブリック出版</v>
      </c>
      <c r="V1865" s="8" t="str">
        <f>IFERROR(__xludf.DUMMYFUNCTION("""COMPUTED_VALUE"""),"仕事が早く終わって、サプライズで彼氏のあっくんの部屋へ向かった。
今日会えないって言ったらしょんぼりしてたし、
喜んでくれるかな、と思ってケーキなんかも用意してウキウキしてたのに…
「えっ… えっ　今日…… 遅番　ちゃうかった……っけ」
明らかに、私が来て動揺してる彼。
少し顔も赤いし、てかなんで上半身裸なん?
ーーこれ、知ってる。浮気や。
止めるあっくんを振り払って、部屋に上がりこむと
ゴミ箱には捨てられたコンドーム。しかもつ4つ。
「ホンマにあったらアカンやろ…」
こんな終わり方、"&amp;"するなんて思わなかった……
「オナホやって!!!!!!!!」
は?
聞けば高級オナホで致すのにゴムをつけてたらしい。
中がイボイボなので生ですると、精子が絡まって洗いにくいって…
あたしとするときはつけへんのに?
それにしても4回はやりすぎやろ。
いつもは賢そうにパソコンいじってるあのあっくんが
こんなバカなこと、するなんて。
「悪いと思ってるん?」
「そんな気持ちよかったんや」
「どんなオナホなん?　説明読んで聞かせて?」
正座して、真っ赤な顔でオナホの説明音読して
4回も出し"&amp;"たくせに、また大きくしてる。
そんなあっくんが可愛くて可愛くて、いじめるのを止められずーー…
※本作はすぎの、THE猥談の個人誌作品の電子書籍版となります。【24ページ】")</f>
        <v>仕事が早く終わって、サプライズで彼氏のあっくんの部屋へ向かった。
今日会えないって言ったらしょんぼりしてたし、
喜んでくれるかな、と思ってケーキなんかも用意してウキウキしてたのに…
「えっ… えっ　今日…… 遅番　ちゃうかった……っけ」
明らかに、私が来て動揺してる彼。
少し顔も赤いし、てかなんで上半身裸なん?
ーーこれ、知ってる。浮気や。
止めるあっくんを振り払って、部屋に上がりこむと
ゴミ箱には捨てられたコンドーム。しかもつ4つ。
「ホンマにあったらアカンやろ…」
こんな終わり方、するなんて思わなかった……
「オナホやって!!!!!!!!」
は?
聞けば高級オナホで致すのにゴムをつけてたらしい。
中がイボイボなので生ですると、精子が絡まって洗いにくいって…
あたしとするときはつけへんのに?
それにしても4回はやりすぎやろ。
いつもは賢そうにパソコンいじってるあのあっくんが
こんなバカなこと、するなんて。
「悪いと思ってるん?」
「そんな気持ちよかったんや」
「どんなオナホなん?　説明読んで聞かせて?」
正座して、真っ赤な顔でオナホの説明音読して
4回も出したくせに、また大きくしてる。
そんなあっくんが可愛くて可愛くて、いじめるのを止められずーー…
※本作はすぎの、THE猥談の個人誌作品の電子書籍版となります。【24ページ】</v>
      </c>
      <c r="W1865" s="14"/>
      <c r="X1865" s="14" t="str">
        <f>IFERROR(__xludf.DUMMYFUNCTION("""COMPUTED_VALUE"""),"有")</f>
        <v>有</v>
      </c>
      <c r="Y1865" s="8" t="str">
        <f>IFERROR(__xludf.DUMMYFUNCTION("""COMPUTED_VALUE"""),"P13まで")</f>
        <v>P13まで</v>
      </c>
      <c r="Z1865" s="7"/>
      <c r="AA1865" s="7"/>
      <c r="AB1865" s="7"/>
    </row>
    <row r="1866" ht="15.75" customHeight="1">
      <c r="A1866" s="66">
        <f>IFERROR(__xludf.DUMMYFUNCTION("""COMPUTED_VALUE"""),3841.0)</f>
        <v>3841</v>
      </c>
      <c r="B1866" s="67" t="str">
        <f>IFERROR(__xludf.DUMMYFUNCTION("""COMPUTED_VALUE"""),"確定")</f>
        <v>確定</v>
      </c>
      <c r="C1866" s="68">
        <f>IFERROR(__xludf.DUMMYFUNCTION("""COMPUTED_VALUE"""),45496.0)</f>
        <v>45496</v>
      </c>
      <c r="D1866" s="68">
        <f>IFERROR(__xludf.DUMMYFUNCTION("""COMPUTED_VALUE"""),45497.0)</f>
        <v>45497</v>
      </c>
      <c r="E1866" s="31">
        <f>IFERROR(__xludf.DUMMYFUNCTION("""COMPUTED_VALUE"""),300385.0)</f>
        <v>300385</v>
      </c>
      <c r="F1866" s="22" t="str">
        <f>IFERROR(__xludf.DUMMYFUNCTION("""COMPUTED_VALUE"""),"オナホなんかに負けへんもん!【R版】")</f>
        <v>オナホなんかに負けへんもん!【R版】</v>
      </c>
      <c r="G1866" s="69" t="str">
        <f>IFERROR(__xludf.DUMMYFUNCTION("""COMPUTED_VALUE"""),"1～3")</f>
        <v>1～3</v>
      </c>
      <c r="H1866" s="67" t="str">
        <f>IFERROR(__xludf.DUMMYFUNCTION("""COMPUTED_VALUE"""),"すぎの┴THE猥談")</f>
        <v>すぎの┴THE猥談</v>
      </c>
      <c r="I1866" s="67" t="str">
        <f>IFERROR(__xludf.DUMMYFUNCTION("""COMPUTED_VALUE"""),"オトナ")</f>
        <v>オトナ</v>
      </c>
      <c r="J1866" s="67"/>
      <c r="K1866" s="67"/>
      <c r="L1866" s="67" t="str">
        <f>IFERROR(__xludf.DUMMYFUNCTION("""COMPUTED_VALUE"""),"ブリック出版")</f>
        <v>ブリック出版</v>
      </c>
      <c r="M1866" s="59">
        <f>IFERROR(__xludf.DUMMYFUNCTION("""COMPUTED_VALUE"""),45534.0)</f>
        <v>45534</v>
      </c>
      <c r="N1866" s="85">
        <f>IFERROR(__xludf.DUMMYFUNCTION("""COMPUTED_VALUE"""),45624.0)</f>
        <v>45624</v>
      </c>
      <c r="O1866" s="67"/>
      <c r="P1866" s="70" t="str">
        <f>IFERROR(__xludf.DUMMYFUNCTION("""COMPUTED_VALUE"""),"可")</f>
        <v>可</v>
      </c>
      <c r="Q1866" s="72" t="str">
        <f>IFERROR(__xludf.DUMMYFUNCTION("""COMPUTED_VALUE"""),"「THE猥談」です&lt;BR&gt;河上さんへ事前コミット済みです")</f>
        <v>「THE猥談」です&lt;BR&gt;河上さんへ事前コミット済みです</v>
      </c>
      <c r="R1866" s="67"/>
      <c r="S1866" s="67" t="str">
        <f>IFERROR(__xludf.DUMMYFUNCTION("""COMPUTED_VALUE"""),"20240723_BookLive_オナホなんかに負けへんもん!【R版】")</f>
        <v>20240723_BookLive_オナホなんかに負けへんもん!【R版】</v>
      </c>
      <c r="T1866" s="67" t="str">
        <f>IFERROR(__xludf.DUMMYFUNCTION("""COMPUTED_VALUE"""),"格納済み")</f>
        <v>格納済み</v>
      </c>
      <c r="U1866" s="15" t="str">
        <f>IFERROR(__xludf.DUMMYFUNCTION("""COMPUTED_VALUE"""),"(C)すぎの/THE猥談/ブリック出版")</f>
        <v>(C)すぎの/THE猥談/ブリック出版</v>
      </c>
      <c r="V1866" s="8" t="str">
        <f>IFERROR(__xludf.DUMMYFUNCTION("""COMPUTED_VALUE"""),"仕事が早く終わって、サプライズで彼氏のあっくんの部屋へ向かった。
今日会えないって言ったらしょんぼりしてたし、
喜んでくれるかな、と思ってケーキなんかも用意してウキウキしてたのに…
「えっ… えっ　今日…… 遅番　ちゃうかった……っけ」
明らかに、私が来て動揺してる彼。
少し顔も赤いし、てかなんで上半身裸なん?
ーーこれ、知ってる。浮気や。
止めるあっくんを振り払って、部屋に上がりこむと
ゴミ箱には捨てられたコンドーム。しかもつ4つ。
「ホンマにあったらアカンやろ…」
こんな終わり方、するなんて思わなかっ"&amp;"た……
「オナホやって!!!!!!!!」
は?
聞けば高級オナホで致すのにゴムをつけてたらしい。
中がイボイボなので生ですると、精子が絡まって洗いにくいって…
あたしとするときはつけへんのに?
それにしても4回はやりすぎやろ。
いつもは賢そうにパソコンいじってるあのあっくんが
こんなバカなこと、するなんて。
「悪いと思ってるん?」
「そんな気持ちよかったんや」
「どんなオナホなん?　説明読んで聞かせて?」
正座して、真っ赤な顔でオナホの説明音読して
4回も出したくせに、また大きくしてる。
そんなあっくんが"&amp;"可愛くて可愛くて、いじめるのを止められずーー…
※本作はすぎの、THE猥談の個人誌作品の電子書籍版となります。【24ページ】
※本作は『オナホなんかに負けへんもん!』の修正をやや弱めたものです。内容に差異はありません。")</f>
        <v>仕事が早く終わって、サプライズで彼氏のあっくんの部屋へ向かった。
今日会えないって言ったらしょんぼりしてたし、
喜んでくれるかな、と思ってケーキなんかも用意してウキウキしてたのに…
「えっ… えっ　今日…… 遅番　ちゃうかった……っけ」
明らかに、私が来て動揺してる彼。
少し顔も赤いし、てかなんで上半身裸なん?
ーーこれ、知ってる。浮気や。
止めるあっくんを振り払って、部屋に上がりこむと
ゴミ箱には捨てられたコンドーム。しかもつ4つ。
「ホンマにあったらアカンやろ…」
こんな終わり方、するなんて思わなかった……
「オナホやって!!!!!!!!」
は?
聞けば高級オナホで致すのにゴムをつけてたらしい。
中がイボイボなので生ですると、精子が絡まって洗いにくいって…
あたしとするときはつけへんのに?
それにしても4回はやりすぎやろ。
いつもは賢そうにパソコンいじってるあのあっくんが
こんなバカなこと、するなんて。
「悪いと思ってるん?」
「そんな気持ちよかったんや」
「どんなオナホなん?　説明読んで聞かせて?」
正座して、真っ赤な顔でオナホの説明音読して
4回も出したくせに、また大きくしてる。
そんなあっくんが可愛くて可愛くて、いじめるのを止められずーー…
※本作はすぎの、THE猥談の個人誌作品の電子書籍版となります。【24ページ】
※本作は『オナホなんかに負けへんもん!』の修正をやや弱めたものです。内容に差異はありません。</v>
      </c>
      <c r="W1866" s="14"/>
      <c r="X1866" s="14" t="str">
        <f>IFERROR(__xludf.DUMMYFUNCTION("""COMPUTED_VALUE"""),"有")</f>
        <v>有</v>
      </c>
      <c r="Y1866" s="8" t="str">
        <f>IFERROR(__xludf.DUMMYFUNCTION("""COMPUTED_VALUE"""),"P13まで")</f>
        <v>P13まで</v>
      </c>
      <c r="Z1866" s="7"/>
      <c r="AA1866" s="7"/>
      <c r="AB1866" s="7"/>
    </row>
    <row r="1867" ht="15.75" customHeight="1">
      <c r="A1867" s="66">
        <f>IFERROR(__xludf.DUMMYFUNCTION("""COMPUTED_VALUE"""),3843.0)</f>
        <v>3843</v>
      </c>
      <c r="B1867" s="67" t="str">
        <f>IFERROR(__xludf.DUMMYFUNCTION("""COMPUTED_VALUE"""),"確定")</f>
        <v>確定</v>
      </c>
      <c r="C1867" s="68">
        <f>IFERROR(__xludf.DUMMYFUNCTION("""COMPUTED_VALUE"""),45496.0)</f>
        <v>45496</v>
      </c>
      <c r="D1867" s="68">
        <f>IFERROR(__xludf.DUMMYFUNCTION("""COMPUTED_VALUE"""),45497.0)</f>
        <v>45497</v>
      </c>
      <c r="E1867" s="26">
        <f>IFERROR(__xludf.DUMMYFUNCTION("""COMPUTED_VALUE"""),254957.0)</f>
        <v>254957</v>
      </c>
      <c r="F1867" s="22" t="str">
        <f>IFERROR(__xludf.DUMMYFUNCTION("""COMPUTED_VALUE"""),"孤児院育ちはヤンデレ国王様の籠の鳥")</f>
        <v>孤児院育ちはヤンデレ国王様の籠の鳥</v>
      </c>
      <c r="G1867" s="69" t="str">
        <f>IFERROR(__xludf.DUMMYFUNCTION("""COMPUTED_VALUE"""),"1～3")</f>
        <v>1～3</v>
      </c>
      <c r="H1867" s="67" t="str">
        <f>IFERROR(__xludf.DUMMYFUNCTION("""COMPUTED_VALUE"""),"三崎礫,本間わかる")</f>
        <v>三崎礫,本間わかる</v>
      </c>
      <c r="I1867" s="67" t="str">
        <f>IFERROR(__xludf.DUMMYFUNCTION("""COMPUTED_VALUE"""),"少女")</f>
        <v>少女</v>
      </c>
      <c r="J1867" s="67"/>
      <c r="K1867" s="67"/>
      <c r="L1867" s="67" t="str">
        <f>IFERROR(__xludf.DUMMYFUNCTION("""COMPUTED_VALUE"""),"シーモアコミックス")</f>
        <v>シーモアコミックス</v>
      </c>
      <c r="M1867" s="59">
        <f>IFERROR(__xludf.DUMMYFUNCTION("""COMPUTED_VALUE"""),45541.0)</f>
        <v>45541</v>
      </c>
      <c r="N1867" s="59">
        <f>IFERROR(__xludf.DUMMYFUNCTION("""COMPUTED_VALUE"""),45694.0)</f>
        <v>45694</v>
      </c>
      <c r="O1867" s="67"/>
      <c r="P1867" s="71" t="str">
        <f>IFERROR(__xludf.DUMMYFUNCTION("""COMPUTED_VALUE"""),"可")</f>
        <v>可</v>
      </c>
      <c r="Q1867" s="92"/>
      <c r="R1867" s="92">
        <f>IFERROR(__xludf.DUMMYFUNCTION("""COMPUTED_VALUE"""),45496.0)</f>
        <v>45496</v>
      </c>
      <c r="S1867" s="67" t="str">
        <f>IFERROR(__xludf.DUMMYFUNCTION("""COMPUTED_VALUE"""),"20240723_シーモアコミックス_孤児院育ちはヤンデレ国王様の籠の鳥")</f>
        <v>20240723_シーモアコミックス_孤児院育ちはヤンデレ国王様の籠の鳥</v>
      </c>
      <c r="T1867" s="67" t="str">
        <f>IFERROR(__xludf.DUMMYFUNCTION("""COMPUTED_VALUE"""),"格納済み")</f>
        <v>格納済み</v>
      </c>
      <c r="U1867" s="15" t="str">
        <f>IFERROR(__xludf.DUMMYFUNCTION("""COMPUTED_VALUE"""),"© 極夜灯/SR/シーモアコミックス")</f>
        <v>© 極夜灯/SR/シーモアコミックス</v>
      </c>
      <c r="V1867" s="8" t="str">
        <f>IFERROR(__xludf.DUMMYFUNCTION("""COMPUTED_VALUE"""),"孤児院育ちのジェーンは孤児院を卒業する年齢の18歳。出生不明の孤児ということでなかなか仕事を見つけられないジェーンは、金にがめつい孤児院院長にまだ幼い孤児たちと引き換えに、25も年上の商人と結婚させられることになる。孤児院を出るその日、商人から助け出してくれたのは、冷酷と名高い国王・レオンハルトだった。重すぎる想いをジェーンに抱くレオンハルトに、最初は戸惑っていたジェーンも心を開いていく。レオンハルトの元婚約者である貴族令嬢のマルグリッドは、そんな二人が気に入らず、何やら企んでいるようで――…。")</f>
        <v>孤児院育ちのジェーンは孤児院を卒業する年齢の18歳。出生不明の孤児ということでなかなか仕事を見つけられないジェーンは、金にがめつい孤児院院長にまだ幼い孤児たちと引き換えに、25も年上の商人と結婚させられることになる。孤児院を出るその日、商人から助け出してくれたのは、冷酷と名高い国王・レオンハルトだった。重すぎる想いをジェーンに抱くレオンハルトに、最初は戸惑っていたジェーンも心を開いていく。レオンハルトの元婚約者である貴族令嬢のマルグリッドは、そんな二人が気に入らず、何やら企んでいるようで――…。</v>
      </c>
      <c r="W1867" s="14"/>
      <c r="X1867" s="14" t="str">
        <f>IFERROR(__xludf.DUMMYFUNCTION("""COMPUTED_VALUE"""),"有")</f>
        <v>有</v>
      </c>
      <c r="Y1867" s="8" t="str">
        <f>IFERROR(__xludf.DUMMYFUNCTION("""COMPUTED_VALUE"""),"2024/10/3まで1巻無料")</f>
        <v>2024/10/3まで1巻無料</v>
      </c>
      <c r="Z1867" s="7"/>
      <c r="AA1867" s="7"/>
      <c r="AB1867" s="7"/>
    </row>
    <row r="1868" ht="15.75" customHeight="1">
      <c r="A1868" s="66">
        <f>IFERROR(__xludf.DUMMYFUNCTION("""COMPUTED_VALUE"""),3844.0)</f>
        <v>3844</v>
      </c>
      <c r="B1868" s="67" t="str">
        <f>IFERROR(__xludf.DUMMYFUNCTION("""COMPUTED_VALUE"""),"確定")</f>
        <v>確定</v>
      </c>
      <c r="C1868" s="68">
        <f>IFERROR(__xludf.DUMMYFUNCTION("""COMPUTED_VALUE"""),45496.0)</f>
        <v>45496</v>
      </c>
      <c r="D1868" s="68">
        <f>IFERROR(__xludf.DUMMYFUNCTION("""COMPUTED_VALUE"""),45497.0)</f>
        <v>45497</v>
      </c>
      <c r="E1868" s="26">
        <f>IFERROR(__xludf.DUMMYFUNCTION("""COMPUTED_VALUE"""),289014.0)</f>
        <v>289014</v>
      </c>
      <c r="F1868" s="46" t="str">
        <f>IFERROR(__xludf.DUMMYFUNCTION("""COMPUTED_VALUE"""),"ケガレ喚びの恋 ～哀れな少女は神龍の主人に寵愛される～")</f>
        <v>ケガレ喚びの恋 ～哀れな少女は神龍の主人に寵愛される～</v>
      </c>
      <c r="G1868" s="69" t="str">
        <f>IFERROR(__xludf.DUMMYFUNCTION("""COMPUTED_VALUE"""),"1～3")</f>
        <v>1～3</v>
      </c>
      <c r="H1868" s="67" t="str">
        <f>IFERROR(__xludf.DUMMYFUNCTION("""COMPUTED_VALUE"""),"若本雪水")</f>
        <v>若本雪水</v>
      </c>
      <c r="I1868" s="67" t="str">
        <f>IFERROR(__xludf.DUMMYFUNCTION("""COMPUTED_VALUE"""),"少女")</f>
        <v>少女</v>
      </c>
      <c r="J1868" s="67"/>
      <c r="K1868" s="67"/>
      <c r="L1868" s="67" t="str">
        <f>IFERROR(__xludf.DUMMYFUNCTION("""COMPUTED_VALUE"""),"シーモアコミックス")</f>
        <v>シーモアコミックス</v>
      </c>
      <c r="M1868" s="59">
        <f>IFERROR(__xludf.DUMMYFUNCTION("""COMPUTED_VALUE"""),45541.0)</f>
        <v>45541</v>
      </c>
      <c r="N1868" s="59">
        <f>IFERROR(__xludf.DUMMYFUNCTION("""COMPUTED_VALUE"""),45694.0)</f>
        <v>45694</v>
      </c>
      <c r="O1868" s="67"/>
      <c r="P1868" s="70" t="str">
        <f>IFERROR(__xludf.DUMMYFUNCTION("""COMPUTED_VALUE"""),"可")</f>
        <v>可</v>
      </c>
      <c r="Q1868" s="92"/>
      <c r="R1868" s="92">
        <f>IFERROR(__xludf.DUMMYFUNCTION("""COMPUTED_VALUE"""),45496.0)</f>
        <v>45496</v>
      </c>
      <c r="S1868" s="67" t="str">
        <f>IFERROR(__xludf.DUMMYFUNCTION("""COMPUTED_VALUE"""),"20240723_シーモアコミックス_ケガレ喚びの恋 ～哀れな少女は神龍の主人に寵愛される～")</f>
        <v>20240723_シーモアコミックス_ケガレ喚びの恋 ～哀れな少女は神龍の主人に寵愛される～</v>
      </c>
      <c r="T1868" s="67" t="str">
        <f>IFERROR(__xludf.DUMMYFUNCTION("""COMPUTED_VALUE"""),"格納済み")</f>
        <v>格納済み</v>
      </c>
      <c r="U1868" s="15" t="str">
        <f>IFERROR(__xludf.DUMMYFUNCTION("""COMPUTED_VALUE"""),"© 若本雪水/シーモアコミックス")</f>
        <v>© 若本雪水/シーモアコミックス</v>
      </c>
      <c r="V1868" s="8" t="str">
        <f>IFERROR(__xludf.DUMMYFUNCTION("""COMPUTED_VALUE"""),"不浄な”ケガレ”が人の生死にも関わるこの世。北原紫音は、ケガレを引き寄せる「ケガレ喚び」と呼ばれ、忌み嫌われていた。親族の北大寺家にはその体質を利用され、人々のケガレを背負う生贄として日々苦痛を与えられる。逃げることもできず、ただひたすら苦しみに耐える紫音だが、ある日、城主の法龍院八雲に命の危機を救われる。ケガレへの異様な耐性を持つ紫音に八雲は興味を持ち――？感情を殺した紫音と人情に厚い八雲、二人の運命が交錯する！")</f>
        <v>不浄な”ケガレ”が人の生死にも関わるこの世。北原紫音は、ケガレを引き寄せる「ケガレ喚び」と呼ばれ、忌み嫌われていた。親族の北大寺家にはその体質を利用され、人々のケガレを背負う生贄として日々苦痛を与えられる。逃げることもできず、ただひたすら苦しみに耐える紫音だが、ある日、城主の法龍院八雲に命の危機を救われる。ケガレへの異様な耐性を持つ紫音に八雲は興味を持ち――？感情を殺した紫音と人情に厚い八雲、二人の運命が交錯する！</v>
      </c>
      <c r="W1868" s="14"/>
      <c r="X1868" s="14" t="str">
        <f>IFERROR(__xludf.DUMMYFUNCTION("""COMPUTED_VALUE"""),"有")</f>
        <v>有</v>
      </c>
      <c r="Y1868" s="8" t="str">
        <f>IFERROR(__xludf.DUMMYFUNCTION("""COMPUTED_VALUE"""),"2024/10/3まで1巻無料")</f>
        <v>2024/10/3まで1巻無料</v>
      </c>
      <c r="Z1868" s="7"/>
      <c r="AA1868" s="7"/>
      <c r="AB1868" s="7"/>
    </row>
    <row r="1869" ht="15.75" customHeight="1">
      <c r="A1869" s="66">
        <f>IFERROR(__xludf.DUMMYFUNCTION("""COMPUTED_VALUE"""),3845.0)</f>
        <v>3845</v>
      </c>
      <c r="B1869" s="67" t="str">
        <f>IFERROR(__xludf.DUMMYFUNCTION("""COMPUTED_VALUE"""),"確定")</f>
        <v>確定</v>
      </c>
      <c r="C1869" s="68">
        <f>IFERROR(__xludf.DUMMYFUNCTION("""COMPUTED_VALUE"""),45496.0)</f>
        <v>45496</v>
      </c>
      <c r="D1869" s="68">
        <f>IFERROR(__xludf.DUMMYFUNCTION("""COMPUTED_VALUE"""),45496.0)</f>
        <v>45496</v>
      </c>
      <c r="E1869" s="26">
        <f>IFERROR(__xludf.DUMMYFUNCTION("""COMPUTED_VALUE"""),289700.0)</f>
        <v>289700</v>
      </c>
      <c r="F1869" s="22" t="str">
        <f>IFERROR(__xludf.DUMMYFUNCTION("""COMPUTED_VALUE"""),"傷物令嬢は義弟の愛に鈍感です!?")</f>
        <v>傷物令嬢は義弟の愛に鈍感です!?</v>
      </c>
      <c r="G1869" s="69" t="str">
        <f>IFERROR(__xludf.DUMMYFUNCTION("""COMPUTED_VALUE"""),"1～3")</f>
        <v>1～3</v>
      </c>
      <c r="H1869" s="67" t="str">
        <f>IFERROR(__xludf.DUMMYFUNCTION("""COMPUTED_VALUE"""),"タカノ,高槻和衣")</f>
        <v>タカノ,高槻和衣</v>
      </c>
      <c r="I1869" s="67" t="str">
        <f>IFERROR(__xludf.DUMMYFUNCTION("""COMPUTED_VALUE"""),"少女")</f>
        <v>少女</v>
      </c>
      <c r="J1869" s="67"/>
      <c r="K1869" s="67"/>
      <c r="L1869" s="67" t="str">
        <f>IFERROR(__xludf.DUMMYFUNCTION("""COMPUTED_VALUE"""),"シーモアコミックス")</f>
        <v>シーモアコミックス</v>
      </c>
      <c r="M1869" s="59">
        <f>IFERROR(__xludf.DUMMYFUNCTION("""COMPUTED_VALUE"""),45541.0)</f>
        <v>45541</v>
      </c>
      <c r="N1869" s="59">
        <f>IFERROR(__xludf.DUMMYFUNCTION("""COMPUTED_VALUE"""),45694.0)</f>
        <v>45694</v>
      </c>
      <c r="O1869" s="67"/>
      <c r="P1869" s="71" t="str">
        <f>IFERROR(__xludf.DUMMYFUNCTION("""COMPUTED_VALUE"""),"可")</f>
        <v>可</v>
      </c>
      <c r="Q1869" s="92"/>
      <c r="R1869" s="92">
        <f>IFERROR(__xludf.DUMMYFUNCTION("""COMPUTED_VALUE"""),45496.0)</f>
        <v>45496</v>
      </c>
      <c r="S1869" s="67" t="str">
        <f>IFERROR(__xludf.DUMMYFUNCTION("""COMPUTED_VALUE"""),"20240723_シーモアコミックス_傷物令嬢は義弟の愛に鈍感です！？")</f>
        <v>20240723_シーモアコミックス_傷物令嬢は義弟の愛に鈍感です！？</v>
      </c>
      <c r="T1869" s="67" t="str">
        <f>IFERROR(__xludf.DUMMYFUNCTION("""COMPUTED_VALUE"""),"格納済み")</f>
        <v>格納済み</v>
      </c>
      <c r="U1869" s="15" t="str">
        <f>IFERROR(__xludf.DUMMYFUNCTION("""COMPUTED_VALUE"""),"© タカノ/高槻和衣/シーモアコミックス")</f>
        <v>© タカノ/高槻和衣/シーモアコミックス</v>
      </c>
      <c r="V1869" s="8" t="str">
        <f>IFERROR(__xludf.DUMMYFUNCTION("""COMPUTED_VALUE"""),"10年前、幼い義弟・リオンを庇って胸に大きな傷を負ったマリーベル。貴族社会では体に傷を負った女性は蔑まれ嘲笑の的になる運命だった。育った公爵家を逃げるように後にしたマリーベルだったが、使用人として入った地方の貴族邸でも「傷物」と呼ばれ伯爵令嬢や使用人から虐げられる日々を送ることに。唯一優しかった伯爵令息からも裏切られ、襲われそうになっていたところを助けてくれたのは凱旋で街に立ち寄っていた黒衣の英雄騎士。見覚えのないはずの彼はマリーベルに「あなたを迎えにきました」と言ってきて─！？英雄騎士からの重めの愛が止"&amp;"まらない！？執着溺愛ファンタジー！")</f>
        <v>10年前、幼い義弟・リオンを庇って胸に大きな傷を負ったマリーベル。貴族社会では体に傷を負った女性は蔑まれ嘲笑の的になる運命だった。育った公爵家を逃げるように後にしたマリーベルだったが、使用人として入った地方の貴族邸でも「傷物」と呼ばれ伯爵令嬢や使用人から虐げられる日々を送ることに。唯一優しかった伯爵令息からも裏切られ、襲われそうになっていたところを助けてくれたのは凱旋で街に立ち寄っていた黒衣の英雄騎士。見覚えのないはずの彼はマリーベルに「あなたを迎えにきました」と言ってきて─！？英雄騎士からの重めの愛が止まらない！？執着溺愛ファンタジー！</v>
      </c>
      <c r="W1869" s="14"/>
      <c r="X1869" s="14" t="str">
        <f>IFERROR(__xludf.DUMMYFUNCTION("""COMPUTED_VALUE"""),"有")</f>
        <v>有</v>
      </c>
      <c r="Y1869" s="8" t="str">
        <f>IFERROR(__xludf.DUMMYFUNCTION("""COMPUTED_VALUE"""),"2024/10/3まで1巻無料")</f>
        <v>2024/10/3まで1巻無料</v>
      </c>
      <c r="Z1869" s="7"/>
      <c r="AA1869" s="7"/>
      <c r="AB1869" s="7"/>
    </row>
    <row r="1870" ht="15.75" customHeight="1">
      <c r="A1870" s="66">
        <f>IFERROR(__xludf.DUMMYFUNCTION("""COMPUTED_VALUE"""),3846.0)</f>
        <v>3846</v>
      </c>
      <c r="B1870" s="67" t="str">
        <f>IFERROR(__xludf.DUMMYFUNCTION("""COMPUTED_VALUE"""),"確定")</f>
        <v>確定</v>
      </c>
      <c r="C1870" s="68">
        <f>IFERROR(__xludf.DUMMYFUNCTION("""COMPUTED_VALUE"""),45496.0)</f>
        <v>45496</v>
      </c>
      <c r="D1870" s="68">
        <f>IFERROR(__xludf.DUMMYFUNCTION("""COMPUTED_VALUE"""),45496.0)</f>
        <v>45496</v>
      </c>
      <c r="E1870" s="26">
        <f>IFERROR(__xludf.DUMMYFUNCTION("""COMPUTED_VALUE"""),290357.0)</f>
        <v>290357</v>
      </c>
      <c r="F1870" s="22" t="str">
        <f>IFERROR(__xludf.DUMMYFUNCTION("""COMPUTED_VALUE"""),"不幸まっしぐらな令嬢は英雄騎士侯爵に溺愛される")</f>
        <v>不幸まっしぐらな令嬢は英雄騎士侯爵に溺愛される</v>
      </c>
      <c r="G1870" s="69" t="str">
        <f>IFERROR(__xludf.DUMMYFUNCTION("""COMPUTED_VALUE"""),"1～3")</f>
        <v>1～3</v>
      </c>
      <c r="H1870" s="67" t="str">
        <f>IFERROR(__xludf.DUMMYFUNCTION("""COMPUTED_VALUE"""),"鳳凰天乃,柚原テイル")</f>
        <v>鳳凰天乃,柚原テイル</v>
      </c>
      <c r="I1870" s="67" t="str">
        <f>IFERROR(__xludf.DUMMYFUNCTION("""COMPUTED_VALUE"""),"少女")</f>
        <v>少女</v>
      </c>
      <c r="J1870" s="67"/>
      <c r="K1870" s="67"/>
      <c r="L1870" s="67" t="str">
        <f>IFERROR(__xludf.DUMMYFUNCTION("""COMPUTED_VALUE"""),"シーモアコミックス")</f>
        <v>シーモアコミックス</v>
      </c>
      <c r="M1870" s="59">
        <f>IFERROR(__xludf.DUMMYFUNCTION("""COMPUTED_VALUE"""),45541.0)</f>
        <v>45541</v>
      </c>
      <c r="N1870" s="59">
        <f>IFERROR(__xludf.DUMMYFUNCTION("""COMPUTED_VALUE"""),45694.0)</f>
        <v>45694</v>
      </c>
      <c r="O1870" s="67"/>
      <c r="P1870" s="71" t="str">
        <f>IFERROR(__xludf.DUMMYFUNCTION("""COMPUTED_VALUE"""),"可")</f>
        <v>可</v>
      </c>
      <c r="Q1870" s="92"/>
      <c r="R1870" s="92">
        <f>IFERROR(__xludf.DUMMYFUNCTION("""COMPUTED_VALUE"""),45496.0)</f>
        <v>45496</v>
      </c>
      <c r="S1870" s="67" t="str">
        <f>IFERROR(__xludf.DUMMYFUNCTION("""COMPUTED_VALUE"""),"20240723_シーモアコミックス_不幸まっしぐらな令嬢は英雄騎士侯爵に溺愛される")</f>
        <v>20240723_シーモアコミックス_不幸まっしぐらな令嬢は英雄騎士侯爵に溺愛される</v>
      </c>
      <c r="T1870" s="67" t="str">
        <f>IFERROR(__xludf.DUMMYFUNCTION("""COMPUTED_VALUE"""),"格納済み")</f>
        <v>格納済み</v>
      </c>
      <c r="U1870" s="15" t="str">
        <f>IFERROR(__xludf.DUMMYFUNCTION("""COMPUTED_VALUE"""),"© 鳳凰天乃/柚原テイル/シーモアコミックス")</f>
        <v>© 鳳凰天乃/柚原テイル/シーモアコミックス</v>
      </c>
      <c r="V1870" s="8" t="str">
        <f>IFERROR(__xludf.DUMMYFUNCTION("""COMPUTED_VALUE"""),"18歳の伯爵令嬢エミリアは、義母と、連れ子である義妹、義妹の恋人から虐められ過ごしていた。そんなある日、幼い頃交流を持っていた英雄騎士ランフィスが訪ねてくる。 久しぶりの再会に驚きつつも、家族から冷遇さてれいる様子を見られ恥じるエミリア。見かねた英雄騎士ランフィスに連れ出され、花嫁として迎えられることにーー？")</f>
        <v>18歳の伯爵令嬢エミリアは、義母と、連れ子である義妹、義妹の恋人から虐められ過ごしていた。そんなある日、幼い頃交流を持っていた英雄騎士ランフィスが訪ねてくる。 久しぶりの再会に驚きつつも、家族から冷遇さてれいる様子を見られ恥じるエミリア。見かねた英雄騎士ランフィスに連れ出され、花嫁として迎えられることにーー？</v>
      </c>
      <c r="W1870" s="14"/>
      <c r="X1870" s="14" t="str">
        <f>IFERROR(__xludf.DUMMYFUNCTION("""COMPUTED_VALUE"""),"有")</f>
        <v>有</v>
      </c>
      <c r="Y1870" s="8" t="str">
        <f>IFERROR(__xludf.DUMMYFUNCTION("""COMPUTED_VALUE"""),"2024/10/3まで1巻無料")</f>
        <v>2024/10/3まで1巻無料</v>
      </c>
      <c r="Z1870" s="7"/>
      <c r="AA1870" s="7"/>
      <c r="AB1870" s="7"/>
    </row>
    <row r="1871" ht="15.75" customHeight="1">
      <c r="A1871" s="66">
        <f>IFERROR(__xludf.DUMMYFUNCTION("""COMPUTED_VALUE"""),3847.0)</f>
        <v>3847</v>
      </c>
      <c r="B1871" s="67" t="str">
        <f>IFERROR(__xludf.DUMMYFUNCTION("""COMPUTED_VALUE"""),"確定")</f>
        <v>確定</v>
      </c>
      <c r="C1871" s="68">
        <f>IFERROR(__xludf.DUMMYFUNCTION("""COMPUTED_VALUE"""),45496.0)</f>
        <v>45496</v>
      </c>
      <c r="D1871" s="68">
        <f>IFERROR(__xludf.DUMMYFUNCTION("""COMPUTED_VALUE"""),45496.0)</f>
        <v>45496</v>
      </c>
      <c r="E1871" s="26">
        <f>IFERROR(__xludf.DUMMYFUNCTION("""COMPUTED_VALUE"""),290568.0)</f>
        <v>290568</v>
      </c>
      <c r="F1871" s="22" t="str">
        <f>IFERROR(__xludf.DUMMYFUNCTION("""COMPUTED_VALUE"""),"華嫁（はなよめ）～虐げられていた私が帝都の守護神に溺愛される～")</f>
        <v>華嫁（はなよめ）～虐げられていた私が帝都の守護神に溺愛される～</v>
      </c>
      <c r="G1871" s="69" t="str">
        <f>IFERROR(__xludf.DUMMYFUNCTION("""COMPUTED_VALUE"""),"1～3")</f>
        <v>1～3</v>
      </c>
      <c r="H1871" s="67" t="str">
        <f>IFERROR(__xludf.DUMMYFUNCTION("""COMPUTED_VALUE"""),"灯路ほっけ,烏丸紫明")</f>
        <v>灯路ほっけ,烏丸紫明</v>
      </c>
      <c r="I1871" s="67" t="str">
        <f>IFERROR(__xludf.DUMMYFUNCTION("""COMPUTED_VALUE"""),"少女")</f>
        <v>少女</v>
      </c>
      <c r="J1871" s="67"/>
      <c r="K1871" s="67"/>
      <c r="L1871" s="67" t="str">
        <f>IFERROR(__xludf.DUMMYFUNCTION("""COMPUTED_VALUE"""),"シーモアコミックス")</f>
        <v>シーモアコミックス</v>
      </c>
      <c r="M1871" s="59">
        <f>IFERROR(__xludf.DUMMYFUNCTION("""COMPUTED_VALUE"""),45541.0)</f>
        <v>45541</v>
      </c>
      <c r="N1871" s="59">
        <f>IFERROR(__xludf.DUMMYFUNCTION("""COMPUTED_VALUE"""),45694.0)</f>
        <v>45694</v>
      </c>
      <c r="O1871" s="67"/>
      <c r="P1871" s="71" t="str">
        <f>IFERROR(__xludf.DUMMYFUNCTION("""COMPUTED_VALUE"""),"可")</f>
        <v>可</v>
      </c>
      <c r="Q1871" s="92"/>
      <c r="R1871" s="92">
        <f>IFERROR(__xludf.DUMMYFUNCTION("""COMPUTED_VALUE"""),45496.0)</f>
        <v>45496</v>
      </c>
      <c r="S1871" s="67" t="str">
        <f>IFERROR(__xludf.DUMMYFUNCTION("""COMPUTED_VALUE"""),"20240723_シーモアコミックス_華嫁（はなよめ）～虐げられていた私が帝都の守護神に溺愛される～")</f>
        <v>20240723_シーモアコミックス_華嫁（はなよめ）～虐げられていた私が帝都の守護神に溺愛される～</v>
      </c>
      <c r="T1871" s="67" t="str">
        <f>IFERROR(__xludf.DUMMYFUNCTION("""COMPUTED_VALUE"""),"格納済み")</f>
        <v>格納済み</v>
      </c>
      <c r="U1871" s="15" t="str">
        <f>IFERROR(__xludf.DUMMYFUNCTION("""COMPUTED_VALUE"""),"© 灯路ほっけ/烏丸紫明/シーモアコミックス")</f>
        <v>© 灯路ほっけ/烏丸紫明/シーモアコミックス</v>
      </c>
      <c r="V1871" s="8" t="str">
        <f>IFERROR(__xludf.DUMMYFUNCTION("""COMPUTED_VALUE"""),"私は『価値なし』で『咎人』だった──。帝都を守る──四神を司る四神相家に仕える家に生まれながら霊力が顕れない『価値なし』で、過去に凄惨な事件を引き起こした『咎人』として一族中から虐げられ、屋敷の敷地の片隅で惨めな生活を強いられていた紗夜はある日、四神相家・玄武の黒檀家の若き当主、御影と出逢う。御影が紗夜に触れた瞬間、身体から美しい花が咲いて──？一つの出逢いが薄幸の少女の運命を変える、和風ロマンスファンタジー。")</f>
        <v>私は『価値なし』で『咎人』だった──。帝都を守る──四神を司る四神相家に仕える家に生まれながら霊力が顕れない『価値なし』で、過去に凄惨な事件を引き起こした『咎人』として一族中から虐げられ、屋敷の敷地の片隅で惨めな生活を強いられていた紗夜はある日、四神相家・玄武の黒檀家の若き当主、御影と出逢う。御影が紗夜に触れた瞬間、身体から美しい花が咲いて──？一つの出逢いが薄幸の少女の運命を変える、和風ロマンスファンタジー。</v>
      </c>
      <c r="W1871" s="14"/>
      <c r="X1871" s="14" t="str">
        <f>IFERROR(__xludf.DUMMYFUNCTION("""COMPUTED_VALUE"""),"有")</f>
        <v>有</v>
      </c>
      <c r="Y1871" s="8" t="str">
        <f>IFERROR(__xludf.DUMMYFUNCTION("""COMPUTED_VALUE"""),"2024/10/3まで1巻無料")</f>
        <v>2024/10/3まで1巻無料</v>
      </c>
      <c r="Z1871" s="7"/>
      <c r="AA1871" s="7"/>
      <c r="AB1871" s="7"/>
    </row>
    <row r="1872" ht="15.75" customHeight="1">
      <c r="A1872" s="26">
        <f>IFERROR(__xludf.DUMMYFUNCTION("""COMPUTED_VALUE"""),3565.0)</f>
        <v>3565</v>
      </c>
      <c r="B1872" s="67" t="str">
        <f>IFERROR(__xludf.DUMMYFUNCTION("""COMPUTED_VALUE"""),"確定")</f>
        <v>確定</v>
      </c>
      <c r="C1872" s="28">
        <f>IFERROR(__xludf.DUMMYFUNCTION("""COMPUTED_VALUE"""),45446.0)</f>
        <v>45446</v>
      </c>
      <c r="D1872" s="68">
        <f>IFERROR(__xludf.DUMMYFUNCTION("""COMPUTED_VALUE"""),45497.0)</f>
        <v>45497</v>
      </c>
      <c r="E1872" s="26">
        <f>IFERROR(__xludf.DUMMYFUNCTION("""COMPUTED_VALUE"""),300108.0)</f>
        <v>300108</v>
      </c>
      <c r="F1872" s="22" t="str">
        <f>IFERROR(__xludf.DUMMYFUNCTION("""COMPUTED_VALUE"""),"お狐ちゃんには青春がたりない【マイクロ】")</f>
        <v>お狐ちゃんには青春がたりない【マイクロ】</v>
      </c>
      <c r="G1872" s="69" t="str">
        <f>IFERROR(__xludf.DUMMYFUNCTION("""COMPUTED_VALUE"""),"1～3")</f>
        <v>1～3</v>
      </c>
      <c r="H1872" s="22" t="str">
        <f>IFERROR(__xludf.DUMMYFUNCTION("""COMPUTED_VALUE"""),"西野きいな")</f>
        <v>西野きいな</v>
      </c>
      <c r="I1872" s="46" t="str">
        <f>IFERROR(__xludf.DUMMYFUNCTION("""COMPUTED_VALUE"""),"少女")</f>
        <v>少女</v>
      </c>
      <c r="J1872" s="22"/>
      <c r="K1872" s="22"/>
      <c r="L1872" s="22" t="str">
        <f>IFERROR(__xludf.DUMMYFUNCTION("""COMPUTED_VALUE"""),"小学館")</f>
        <v>小学館</v>
      </c>
      <c r="M1872" s="59">
        <f>IFERROR(__xludf.DUMMYFUNCTION("""COMPUTED_VALUE"""),45529.0)</f>
        <v>45529</v>
      </c>
      <c r="N1872" s="85">
        <f>IFERROR(__xludf.DUMMYFUNCTION("""COMPUTED_VALUE"""),45589.0)</f>
        <v>45589</v>
      </c>
      <c r="O1872" s="20"/>
      <c r="P1872" s="34" t="str">
        <f>IFERROR(__xludf.DUMMYFUNCTION("""COMPUTED_VALUE"""),"否")</f>
        <v>否</v>
      </c>
      <c r="Q1872" s="30" t="str">
        <f>IFERROR(__xludf.DUMMYFUNCTION("""COMPUTED_VALUE"""),"広告コミットOK(6/10)
先行期間：続話は1ヵ月")</f>
        <v>広告コミットOK(6/10)
先行期間：続話は1ヵ月</v>
      </c>
      <c r="R1872" s="22"/>
      <c r="S1872" s="67" t="str">
        <f>IFERROR(__xludf.DUMMYFUNCTION("""COMPUTED_VALUE"""),"20240724_小学館_お狐ちゃんには青春がたりない【マイクロ】")</f>
        <v>20240724_小学館_お狐ちゃんには青春がたりない【マイクロ】</v>
      </c>
      <c r="T1872" s="22" t="str">
        <f>IFERROR(__xludf.DUMMYFUNCTION("""COMPUTED_VALUE"""),"格納済み")</f>
        <v>格納済み</v>
      </c>
      <c r="U1872" s="15" t="str">
        <f>IFERROR(__xludf.DUMMYFUNCTION("""COMPUTED_VALUE"""),"(C)西野きいな / 小学館")</f>
        <v>(C)西野きいな / 小学館</v>
      </c>
      <c r="V1872" s="8" t="str">
        <f>IFERROR(__xludf.DUMMYFUNCTION("""COMPUTED_VALUE"""),"バレるの禁止！けもカワ女子の目指せ！キラキラ青春スクールライフ！
感情が昂ぶると狐の耳としっぽが出ちゃうお狐女子高生のこはく。こはくが普通の人間になるには、好きな人と相思相愛にならないといけなくて…！？バレないように生活していたから、高校に入学していまだに友達もゼロなのに…！そんなこはくに近づいてきたのは、学校で超人気の狗井先輩で…！？ドキドキしちゃダメ！なのに気持ちは抑えられない！？")</f>
        <v>バレるの禁止！けもカワ女子の目指せ！キラキラ青春スクールライフ！
感情が昂ぶると狐の耳としっぽが出ちゃうお狐女子高生のこはく。こはくが普通の人間になるには、好きな人と相思相愛にならないといけなくて…！？バレないように生活していたから、高校に入学していまだに友達もゼロなのに…！そんなこはくに近づいてきたのは、学校で超人気の狗井先輩で…！？ドキドキしちゃダメ！なのに気持ちは抑えられない！？</v>
      </c>
      <c r="W1872" s="14"/>
      <c r="X1872" s="14" t="str">
        <f>IFERROR(__xludf.DUMMYFUNCTION("""COMPUTED_VALUE"""),"有")</f>
        <v>有</v>
      </c>
      <c r="Y1872" s="8" t="str">
        <f>IFERROR(__xludf.DUMMYFUNCTION("""COMPUTED_VALUE"""),"2024/10/24まで1巻無料")</f>
        <v>2024/10/24まで1巻無料</v>
      </c>
      <c r="Z1872" s="7"/>
      <c r="AA1872" s="7"/>
      <c r="AB1872" s="7"/>
    </row>
    <row r="1873" ht="15.75" customHeight="1">
      <c r="A1873" s="26">
        <f>IFERROR(__xludf.DUMMYFUNCTION("""COMPUTED_VALUE"""),3857.0)</f>
        <v>3857</v>
      </c>
      <c r="B1873" s="67" t="str">
        <f>IFERROR(__xludf.DUMMYFUNCTION("""COMPUTED_VALUE"""),"確定")</f>
        <v>確定</v>
      </c>
      <c r="C1873" s="59">
        <f>IFERROR(__xludf.DUMMYFUNCTION("""COMPUTED_VALUE"""),45497.0)</f>
        <v>45497</v>
      </c>
      <c r="D1873" s="59">
        <f>IFERROR(__xludf.DUMMYFUNCTION("""COMPUTED_VALUE"""),45497.0)</f>
        <v>45497</v>
      </c>
      <c r="E1873" s="26">
        <f>IFERROR(__xludf.DUMMYFUNCTION("""COMPUTED_VALUE"""),295812.0)</f>
        <v>295812</v>
      </c>
      <c r="F1873" s="22" t="str">
        <f>IFERROR(__xludf.DUMMYFUNCTION("""COMPUTED_VALUE"""),"初恋の公爵令息と政略結婚することになった理由")</f>
        <v>初恋の公爵令息と政略結婚することになった理由</v>
      </c>
      <c r="G1873" s="69" t="str">
        <f>IFERROR(__xludf.DUMMYFUNCTION("""COMPUTED_VALUE"""),"1～5")</f>
        <v>1～5</v>
      </c>
      <c r="H1873" s="22" t="str">
        <f>IFERROR(__xludf.DUMMYFUNCTION("""COMPUTED_VALUE"""),"中原きづき	")</f>
        <v>中原きづき	</v>
      </c>
      <c r="I1873" s="67" t="str">
        <f>IFERROR(__xludf.DUMMYFUNCTION("""COMPUTED_VALUE"""),"少女")</f>
        <v>少女</v>
      </c>
      <c r="J1873" s="22"/>
      <c r="K1873" s="22"/>
      <c r="L1873" s="22" t="str">
        <f>IFERROR(__xludf.DUMMYFUNCTION("""COMPUTED_VALUE"""),"ライドオン	")</f>
        <v>ライドオン	</v>
      </c>
      <c r="M1873" s="59">
        <f>IFERROR(__xludf.DUMMYFUNCTION("""COMPUTED_VALUE"""),45478.0)</f>
        <v>45478</v>
      </c>
      <c r="N1873" s="59">
        <f>IFERROR(__xludf.DUMMYFUNCTION("""COMPUTED_VALUE"""),45660.0)</f>
        <v>45660</v>
      </c>
      <c r="O1873" s="67"/>
      <c r="P1873" s="34" t="str">
        <f>IFERROR(__xludf.DUMMYFUNCTION("""COMPUTED_VALUE"""),"可")</f>
        <v>可</v>
      </c>
      <c r="Q1873" s="30" t="str">
        <f>IFERROR(__xludf.DUMMYFUNCTION("""COMPUTED_VALUE"""),"協業レーベル『シーモア×アラモード』作品です。
すみません、登録が漏れておりました、、急ぎご対応いただけますと幸いです。。！")</f>
        <v>協業レーベル『シーモア×アラモード』作品です。
すみません、登録が漏れておりました、、急ぎご対応いただけますと幸いです。。！</v>
      </c>
      <c r="R1873" s="22"/>
      <c r="S1873" s="67" t="str">
        <f>IFERROR(__xludf.DUMMYFUNCTION("""COMPUTED_VALUE"""),"20240724_ライドオン_初恋の公爵令息と政略結婚することになった理由")</f>
        <v>20240724_ライドオン_初恋の公爵令息と政略結婚することになった理由</v>
      </c>
      <c r="T1873" s="22" t="str">
        <f>IFERROR(__xludf.DUMMYFUNCTION("""COMPUTED_VALUE"""),"格納済み")</f>
        <v>格納済み</v>
      </c>
      <c r="U1873" s="15" t="str">
        <f>IFERROR(__xludf.DUMMYFUNCTION("""COMPUTED_VALUE"""),"ⓒ中原きづき/ライドオン")</f>
        <v>ⓒ中原きづき/ライドオン</v>
      </c>
      <c r="V1873" s="8" t="str">
        <f>IFERROR(__xludf.DUMMYFUNCTION("""COMPUTED_VALUE"""),"好きな人との結婚。とても嬉しいことのはずなのに、こんなにも胸が苦しいなんて…。
――すべての人間が魔力を持ち、その魔力の多寡で人の身分が決まる世界。
チェスター伯爵家の次女・アリシアは、代々強い魔力を持つ貴族の家に生まれながら、なぜか一切の魔力を持っていなかった。
家族からは厄介者扱い、周囲の人間からは距離を置かれ、孤立するアリシア。
彼女のささやかな幸せは、心優しきウィンストン公爵家の長男・レオンに、二人きりで勉強を教えてもらう時間だった。
そんなある日、アリシアのもとにレオンからの求婚の知ら"&amp;"せが届く。
初恋の相手との思いがけない縁談に舞い上がるアリシアだったが、実はこの結婚には、とある「目的」があり――。")</f>
        <v>好きな人との結婚。とても嬉しいことのはずなのに、こんなにも胸が苦しいなんて…。
――すべての人間が魔力を持ち、その魔力の多寡で人の身分が決まる世界。
チェスター伯爵家の次女・アリシアは、代々強い魔力を持つ貴族の家に生まれながら、なぜか一切の魔力を持っていなかった。
家族からは厄介者扱い、周囲の人間からは距離を置かれ、孤立するアリシア。
彼女のささやかな幸せは、心優しきウィンストン公爵家の長男・レオンに、二人きりで勉強を教えてもらう時間だった。
そんなある日、アリシアのもとにレオンからの求婚の知らせが届く。
初恋の相手との思いがけない縁談に舞い上がるアリシアだったが、実はこの結婚には、とある「目的」があり――。</v>
      </c>
      <c r="W1873" s="14"/>
      <c r="X1873" s="14" t="str">
        <f>IFERROR(__xludf.DUMMYFUNCTION("""COMPUTED_VALUE"""),"有")</f>
        <v>有</v>
      </c>
      <c r="Y1873" s="8" t="str">
        <f>IFERROR(__xludf.DUMMYFUNCTION("""COMPUTED_VALUE"""),"2024/8/2まで1巻無料")</f>
        <v>2024/8/2まで1巻無料</v>
      </c>
      <c r="Z1873" s="7"/>
      <c r="AA1873" s="7"/>
      <c r="AB1873" s="7"/>
    </row>
    <row r="1874" ht="15.75" customHeight="1">
      <c r="A1874" s="66">
        <f>IFERROR(__xludf.DUMMYFUNCTION("""COMPUTED_VALUE"""),3243.0)</f>
        <v>3243</v>
      </c>
      <c r="B1874" s="75" t="str">
        <f>IFERROR(__xludf.DUMMYFUNCTION("""COMPUTED_VALUE"""),"確定")</f>
        <v>確定</v>
      </c>
      <c r="C1874" s="68">
        <f>IFERROR(__xludf.DUMMYFUNCTION("""COMPUTED_VALUE"""),45386.0)</f>
        <v>45386</v>
      </c>
      <c r="D1874" s="68">
        <f>IFERROR(__xludf.DUMMYFUNCTION("""COMPUTED_VALUE"""),45504.0)</f>
        <v>45504</v>
      </c>
      <c r="E1874" s="26">
        <f>IFERROR(__xludf.DUMMYFUNCTION("""COMPUTED_VALUE"""),298718.0)</f>
        <v>298718</v>
      </c>
      <c r="F1874" s="31" t="str">
        <f>IFERROR(__xludf.DUMMYFUNCTION("""COMPUTED_VALUE"""),"嫁食い 分冊版")</f>
        <v>嫁食い 分冊版</v>
      </c>
      <c r="G1874" s="69" t="str">
        <f>IFERROR(__xludf.DUMMYFUNCTION("""COMPUTED_VALUE"""),"1～4")</f>
        <v>1～4</v>
      </c>
      <c r="H1874" s="75" t="str">
        <f>IFERROR(__xludf.DUMMYFUNCTION("""COMPUTED_VALUE"""),"夢殿ミモザ")</f>
        <v>夢殿ミモザ</v>
      </c>
      <c r="I1874" s="75" t="str">
        <f>IFERROR(__xludf.DUMMYFUNCTION("""COMPUTED_VALUE"""),"女性")</f>
        <v>女性</v>
      </c>
      <c r="J1874" s="75"/>
      <c r="K1874" s="75"/>
      <c r="L1874" s="75" t="str">
        <f>IFERROR(__xludf.DUMMYFUNCTION("""COMPUTED_VALUE"""),"講談社")</f>
        <v>講談社</v>
      </c>
      <c r="M1874" s="59">
        <f>IFERROR(__xludf.DUMMYFUNCTION("""COMPUTED_VALUE"""),45505.0)</f>
        <v>45505</v>
      </c>
      <c r="N1874" s="59">
        <f>IFERROR(__xludf.DUMMYFUNCTION("""COMPUTED_VALUE"""),45608.0)</f>
        <v>45608</v>
      </c>
      <c r="O1874" s="75"/>
      <c r="P1874" s="80" t="str">
        <f>IFERROR(__xludf.DUMMYFUNCTION("""COMPUTED_VALUE"""),"否")</f>
        <v>否</v>
      </c>
      <c r="Q1874" s="72" t="str">
        <f>IFERROR(__xludf.DUMMYFUNCTION("""COMPUTED_VALUE"""),"広告コミットOK(4/10)")</f>
        <v>広告コミットOK(4/10)</v>
      </c>
      <c r="R1874" s="75"/>
      <c r="S1874" s="75" t="str">
        <f>IFERROR(__xludf.DUMMYFUNCTION("""COMPUTED_VALUE"""),"20240730_講談社_嫁食い")</f>
        <v>20240730_講談社_嫁食い</v>
      </c>
      <c r="T1874" s="75" t="str">
        <f>IFERROR(__xludf.DUMMYFUNCTION("""COMPUTED_VALUE"""),"格納済み")</f>
        <v>格納済み</v>
      </c>
      <c r="U1874" s="15" t="str">
        <f>IFERROR(__xludf.DUMMYFUNCTION("""COMPUTED_VALUE"""),"(C)夢殿ミモザ/講談社")</f>
        <v>(C)夢殿ミモザ/講談社</v>
      </c>
      <c r="V1874" s="8" t="str">
        <f>IFERROR(__xludf.DUMMYFUNCTION("""COMPUTED_VALUE"""),"貧しい家族を救うため、資産家の月神家へ嫁入りした光。だが、旦那となる白夜は一向に彼女を嫁として迎え入れてくれない。彼いわく「俺の嫁になると食われる」そうだ。人とは思えないような冷たくも美しい魅力を放つ白夜、そして月神家の一族が抱える秘密とはーー。和風ファンタジー婚姻譚、開幕！【第1話「買われた嫁」収録】")</f>
        <v>貧しい家族を救うため、資産家の月神家へ嫁入りした光。だが、旦那となる白夜は一向に彼女を嫁として迎え入れてくれない。彼いわく「俺の嫁になると食われる」そうだ。人とは思えないような冷たくも美しい魅力を放つ白夜、そして月神家の一族が抱える秘密とはーー。和風ファンタジー婚姻譚、開幕！【第1話「買われた嫁」収録】</v>
      </c>
      <c r="W1874" s="14"/>
      <c r="X1874" s="14" t="str">
        <f>IFERROR(__xludf.DUMMYFUNCTION("""COMPUTED_VALUE"""),"有")</f>
        <v>有</v>
      </c>
      <c r="Y1874" s="8" t="str">
        <f>IFERROR(__xludf.DUMMYFUNCTION("""COMPUTED_VALUE"""),"P10まで")</f>
        <v>P10まで</v>
      </c>
      <c r="Z1874" s="7"/>
      <c r="AA1874" s="7"/>
      <c r="AB1874" s="7"/>
    </row>
    <row r="1875" ht="15.75" customHeight="1">
      <c r="A1875" s="66">
        <f>IFERROR(__xludf.DUMMYFUNCTION("""COMPUTED_VALUE"""),3455.0)</f>
        <v>3455</v>
      </c>
      <c r="B1875" s="75" t="str">
        <f>IFERROR(__xludf.DUMMYFUNCTION("""COMPUTED_VALUE"""),"確定")</f>
        <v>確定</v>
      </c>
      <c r="C1875" s="68">
        <f>IFERROR(__xludf.DUMMYFUNCTION("""COMPUTED_VALUE"""),45432.0)</f>
        <v>45432</v>
      </c>
      <c r="D1875" s="68">
        <f>IFERROR(__xludf.DUMMYFUNCTION("""COMPUTED_VALUE"""),45502.0)</f>
        <v>45502</v>
      </c>
      <c r="E1875" s="31">
        <f>IFERROR(__xludf.DUMMYFUNCTION("""COMPUTED_VALUE"""),299980.0)</f>
        <v>299980</v>
      </c>
      <c r="F1875" s="31" t="str">
        <f>IFERROR(__xludf.DUMMYFUNCTION("""COMPUTED_VALUE"""),"死に戻った妃は華麗なる復讐を遂げる【単話版】")</f>
        <v>死に戻った妃は華麗なる復讐を遂げる【単話版】</v>
      </c>
      <c r="G1875" s="69" t="str">
        <f>IFERROR(__xludf.DUMMYFUNCTION("""COMPUTED_VALUE"""),"1～4")</f>
        <v>1～4</v>
      </c>
      <c r="H1875" s="75" t="str">
        <f>IFERROR(__xludf.DUMMYFUNCTION("""COMPUTED_VALUE"""),"菜月タラオ／COMICROOM")</f>
        <v>菜月タラオ／COMICROOM</v>
      </c>
      <c r="I1875" s="75" t="str">
        <f>IFERROR(__xludf.DUMMYFUNCTION("""COMPUTED_VALUE"""),"女性")</f>
        <v>女性</v>
      </c>
      <c r="J1875" s="75"/>
      <c r="K1875" s="75"/>
      <c r="L1875" s="75" t="str">
        <f>IFERROR(__xludf.DUMMYFUNCTION("""COMPUTED_VALUE"""),"コミックルーム")</f>
        <v>コミックルーム</v>
      </c>
      <c r="M1875" s="23">
        <f>IFERROR(__xludf.DUMMYFUNCTION("""COMPUTED_VALUE"""),45529.0)</f>
        <v>45529</v>
      </c>
      <c r="N1875" s="93">
        <f>IFERROR(__xludf.DUMMYFUNCTION("""COMPUTED_VALUE"""),45620.0)</f>
        <v>45620</v>
      </c>
      <c r="O1875" s="75"/>
      <c r="P1875" s="80" t="str">
        <f>IFERROR(__xludf.DUMMYFUNCTION("""COMPUTED_VALUE"""),"可")</f>
        <v>可</v>
      </c>
      <c r="Q1875" s="72" t="str">
        <f>IFERROR(__xludf.DUMMYFUNCTION("""COMPUTED_VALUE"""),"広告コミットOK(5/24)
コミックルームとしてかなり力を入れている作品のため、1～4巻で広告配信したのち、9/15に5～6巻配信のタイミングで、実績が芳しくなければ無料巻を増やす形で実施したいです。
※7話は10月配信予定")</f>
        <v>広告コミットOK(5/24)
コミックルームとしてかなり力を入れている作品のため、1～4巻で広告配信したのち、9/15に5～6巻配信のタイミングで、実績が芳しくなければ無料巻を増やす形で実施したいです。
※7話は10月配信予定</v>
      </c>
      <c r="R1875" s="75"/>
      <c r="S1875" s="75" t="str">
        <f>IFERROR(__xludf.DUMMYFUNCTION("""COMPUTED_VALUE"""),"20240725_コミックルーム_死に戻った妃は華麗なる復讐を遂げる")</f>
        <v>20240725_コミックルーム_死に戻った妃は華麗なる復讐を遂げる</v>
      </c>
      <c r="T1875" s="75" t="str">
        <f>IFERROR(__xludf.DUMMYFUNCTION("""COMPUTED_VALUE"""),"格納済み")</f>
        <v>格納済み</v>
      </c>
      <c r="U1875" s="15" t="str">
        <f>IFERROR(__xludf.DUMMYFUNCTION("""COMPUTED_VALUE"""),"©菜月タラオ／COMIC ROOM")</f>
        <v>©菜月タラオ／COMIC ROOM</v>
      </c>
      <c r="V1875" s="8" t="str">
        <f>IFERROR(__xludf.DUMMYFUNCTION("""COMPUTED_VALUE"""),"なぜ私が死刑に…！
キャサリンは処刑台の上で激しい憎悪に燃えていた。
祖国ウォルテラからハイラント王国に王太子妃としてやってきて３年。
キャサリンはハイラント王国の陰謀により、無実の罪で処刑されようとしていた。
拷問で舌を切られ、憎しみの言葉も言えず罵声を浴びせ続けられる中…
ついにキャサリンの刑が執行される。
この国を許さない　絶対に！
激しい憎しみの中、キャサリンは復讐を誓い、一度目の人生を終える
…はずだったが、気付けばなぜか３年前に時間が巻き戻っていた！
「運命を変えるチャンスを"&amp;"得たんだわ！」
無念の死を遂げたキャサリンの復讐劇が今、動き出す…！")</f>
        <v>なぜ私が死刑に…！
キャサリンは処刑台の上で激しい憎悪に燃えていた。
祖国ウォルテラからハイラント王国に王太子妃としてやってきて３年。
キャサリンはハイラント王国の陰謀により、無実の罪で処刑されようとしていた。
拷問で舌を切られ、憎しみの言葉も言えず罵声を浴びせ続けられる中…
ついにキャサリンの刑が執行される。
この国を許さない　絶対に！
激しい憎しみの中、キャサリンは復讐を誓い、一度目の人生を終える
…はずだったが、気付けばなぜか３年前に時間が巻き戻っていた！
「運命を変えるチャンスを得たんだわ！」
無念の死を遂げたキャサリンの復讐劇が今、動き出す…！</v>
      </c>
      <c r="W1875" s="14"/>
      <c r="X1875" s="14" t="str">
        <f>IFERROR(__xludf.DUMMYFUNCTION("""COMPUTED_VALUE"""),"有")</f>
        <v>有</v>
      </c>
      <c r="Y1875" s="8" t="str">
        <f>IFERROR(__xludf.DUMMYFUNCTION("""COMPUTED_VALUE"""),"2024/11/24まで1巻無料")</f>
        <v>2024/11/24まで1巻無料</v>
      </c>
      <c r="Z1875" s="7"/>
      <c r="AA1875" s="7"/>
      <c r="AB1875" s="7"/>
    </row>
    <row r="1876" ht="15.75" customHeight="1">
      <c r="A1876" s="66">
        <f>IFERROR(__xludf.DUMMYFUNCTION("""COMPUTED_VALUE"""),3457.0)</f>
        <v>3457</v>
      </c>
      <c r="B1876" s="75" t="str">
        <f>IFERROR(__xludf.DUMMYFUNCTION("""COMPUTED_VALUE"""),"確定")</f>
        <v>確定</v>
      </c>
      <c r="C1876" s="68">
        <f>IFERROR(__xludf.DUMMYFUNCTION("""COMPUTED_VALUE"""),45432.0)</f>
        <v>45432</v>
      </c>
      <c r="D1876" s="68">
        <f>IFERROR(__xludf.DUMMYFUNCTION("""COMPUTED_VALUE"""),45502.0)</f>
        <v>45502</v>
      </c>
      <c r="E1876" s="31">
        <f>IFERROR(__xludf.DUMMYFUNCTION("""COMPUTED_VALUE"""),301215.0)</f>
        <v>301215</v>
      </c>
      <c r="F1876" s="31" t="str">
        <f>IFERROR(__xludf.DUMMYFUNCTION("""COMPUTED_VALUE"""),"我が復讐に祝福を")</f>
        <v>我が復讐に祝福を</v>
      </c>
      <c r="G1876" s="69" t="str">
        <f>IFERROR(__xludf.DUMMYFUNCTION("""COMPUTED_VALUE"""),"1～3")</f>
        <v>1～3</v>
      </c>
      <c r="H1876" s="75" t="str">
        <f>IFERROR(__xludf.DUMMYFUNCTION("""COMPUTED_VALUE"""),"銀杏まかな／COMICROOM")</f>
        <v>銀杏まかな／COMICROOM</v>
      </c>
      <c r="I1876" s="75" t="str">
        <f>IFERROR(__xludf.DUMMYFUNCTION("""COMPUTED_VALUE"""),"女性")</f>
        <v>女性</v>
      </c>
      <c r="J1876" s="75"/>
      <c r="K1876" s="75"/>
      <c r="L1876" s="75" t="str">
        <f>IFERROR(__xludf.DUMMYFUNCTION("""COMPUTED_VALUE"""),"コミックルーム")</f>
        <v>コミックルーム</v>
      </c>
      <c r="M1876" s="23">
        <f>IFERROR(__xludf.DUMMYFUNCTION("""COMPUTED_VALUE"""),45672.0)</f>
        <v>45672</v>
      </c>
      <c r="N1876" s="23">
        <f>IFERROR(__xludf.DUMMYFUNCTION("""COMPUTED_VALUE"""),45761.0)</f>
        <v>45761</v>
      </c>
      <c r="O1876" s="75"/>
      <c r="P1876" s="80" t="str">
        <f>IFERROR(__xludf.DUMMYFUNCTION("""COMPUTED_VALUE"""),"可")</f>
        <v>可</v>
      </c>
      <c r="Q1876" s="72" t="str">
        <f>IFERROR(__xludf.DUMMYFUNCTION("""COMPUTED_VALUE"""),"広告コミットOK(5/24)
★8巻で主人公の目的の再確認のシーンを入れていただきます。このタイミングに合わせて広告をするのが良いです。8巻配信のタイミングはわかり次第共有します。
・作品自体の配信開始は8/25です。")</f>
        <v>広告コミットOK(5/24)
★8巻で主人公の目的の再確認のシーンを入れていただきます。このタイミングに合わせて広告をするのが良いです。8巻配信のタイミングはわかり次第共有します。
・作品自体の配信開始は8/25です。</v>
      </c>
      <c r="R1876" s="75"/>
      <c r="S1876" s="75" t="str">
        <f>IFERROR(__xludf.DUMMYFUNCTION("""COMPUTED_VALUE"""),"20240725_コミックルーム_私にこんなことをして、タダで済むとお思いですか？")</f>
        <v>20240725_コミックルーム_私にこんなことをして、タダで済むとお思いですか？</v>
      </c>
      <c r="T1876" s="75" t="str">
        <f>IFERROR(__xludf.DUMMYFUNCTION("""COMPUTED_VALUE"""),"格納済み")</f>
        <v>格納済み</v>
      </c>
      <c r="U1876" s="15" t="str">
        <f>IFERROR(__xludf.DUMMYFUNCTION("""COMPUTED_VALUE"""),"©銀杏まかな／COMICROOM")</f>
        <v>©銀杏まかな／COMICROOM</v>
      </c>
      <c r="V1876" s="8" t="str">
        <f>IFERROR(__xludf.DUMMYFUNCTION("""COMPUTED_VALUE"""),"エリーゼの父は最悪の男だ。男児を産めぬと妻を責め、別の女に入れ揚げた。家にも帰らぬようになり、ついには愛人と暮らすため、母とエリーゼを身一つで家から追い出した。そのあまりの仕打ちに、母は心を壊してしまった。
壊れた母以外の全てを失ったエリーゼは、生活のため働き口を求めるが、父の謀略により職を得ることすらできない。それでも、憎き父への復讐を胸に、エリーゼは唯一の働き先である娼館に足を踏み入れる。だが、そこでエリーゼに与えられた仕事は娼婦…ではなく、移り気な色男・レオナルドのミューズとなり、彼を愛という地獄"&amp;"に落とすことだった！
二つの復讐に身を焦がすエリーゼに、祝福の鐘は鳴り響くのか…。")</f>
        <v>エリーゼの父は最悪の男だ。男児を産めぬと妻を責め、別の女に入れ揚げた。家にも帰らぬようになり、ついには愛人と暮らすため、母とエリーゼを身一つで家から追い出した。そのあまりの仕打ちに、母は心を壊してしまった。
壊れた母以外の全てを失ったエリーゼは、生活のため働き口を求めるが、父の謀略により職を得ることすらできない。それでも、憎き父への復讐を胸に、エリーゼは唯一の働き先である娼館に足を踏み入れる。だが、そこでエリーゼに与えられた仕事は娼婦…ではなく、移り気な色男・レオナルドのミューズとなり、彼を愛という地獄に落とすことだった！
二つの復讐に身を焦がすエリーゼに、祝福の鐘は鳴り響くのか…。</v>
      </c>
      <c r="W1876" s="14"/>
      <c r="X1876" s="14" t="str">
        <f>IFERROR(__xludf.DUMMYFUNCTION("""COMPUTED_VALUE"""),"有")</f>
        <v>有</v>
      </c>
      <c r="Y1876" s="8" t="str">
        <f>IFERROR(__xludf.DUMMYFUNCTION("""COMPUTED_VALUE"""),"2024/11/24まで1巻無料")</f>
        <v>2024/11/24まで1巻無料</v>
      </c>
      <c r="Z1876" s="7"/>
      <c r="AA1876" s="7"/>
      <c r="AB1876" s="7"/>
    </row>
    <row r="1877" ht="15.75" customHeight="1">
      <c r="A1877" s="66">
        <f>IFERROR(__xludf.DUMMYFUNCTION("""COMPUTED_VALUE"""),3467.0)</f>
        <v>3467</v>
      </c>
      <c r="B1877" s="75" t="str">
        <f>IFERROR(__xludf.DUMMYFUNCTION("""COMPUTED_VALUE"""),"確定")</f>
        <v>確定</v>
      </c>
      <c r="C1877" s="68">
        <f>IFERROR(__xludf.DUMMYFUNCTION("""COMPUTED_VALUE"""),45433.0)</f>
        <v>45433</v>
      </c>
      <c r="D1877" s="68">
        <f>IFERROR(__xludf.DUMMYFUNCTION("""COMPUTED_VALUE"""),45504.0)</f>
        <v>45504</v>
      </c>
      <c r="E1877" s="31">
        <f>IFERROR(__xludf.DUMMYFUNCTION("""COMPUTED_VALUE"""),300383.0)</f>
        <v>300383</v>
      </c>
      <c r="F1877" s="31" t="str">
        <f>IFERROR(__xludf.DUMMYFUNCTION("""COMPUTED_VALUE"""),"異世界のんびり散歩旅")</f>
        <v>異世界のんびり散歩旅</v>
      </c>
      <c r="G1877" s="69" t="str">
        <f>IFERROR(__xludf.DUMMYFUNCTION("""COMPUTED_VALUE"""),"1～5")</f>
        <v>1～5</v>
      </c>
      <c r="H1877" s="75" t="str">
        <f>IFERROR(__xludf.DUMMYFUNCTION("""COMPUTED_VALUE"""),"しいのきくるみ・藤なごみ")</f>
        <v>しいのきくるみ・藤なごみ</v>
      </c>
      <c r="I1877" s="75" t="str">
        <f>IFERROR(__xludf.DUMMYFUNCTION("""COMPUTED_VALUE"""),"少年")</f>
        <v>少年</v>
      </c>
      <c r="J1877" s="75"/>
      <c r="K1877" s="75"/>
      <c r="L1877" s="75" t="str">
        <f>IFERROR(__xludf.DUMMYFUNCTION("""COMPUTED_VALUE"""),"デジタルカタパルト（デジカタ編集部）")</f>
        <v>デジタルカタパルト（デジカタ編集部）</v>
      </c>
      <c r="M1877" s="59">
        <f>IFERROR(__xludf.DUMMYFUNCTION("""COMPUTED_VALUE"""),45534.0)</f>
        <v>45534</v>
      </c>
      <c r="N1877" s="94">
        <f>IFERROR(__xludf.DUMMYFUNCTION("""COMPUTED_VALUE"""),45623.0)</f>
        <v>45623</v>
      </c>
      <c r="O1877" s="75"/>
      <c r="P1877" s="80" t="str">
        <f>IFERROR(__xludf.DUMMYFUNCTION("""COMPUTED_VALUE"""),"可")</f>
        <v>可</v>
      </c>
      <c r="Q1877" s="75" t="str">
        <f>IFERROR(__xludf.DUMMYFUNCTION("""COMPUTED_VALUE"""),"広告コミットOK(5/28)&lt;BR&gt;")</f>
        <v>広告コミットOK(5/28)&lt;BR&gt;</v>
      </c>
      <c r="R1877" s="75" t="str">
        <f>IFERROR(__xludf.DUMMYFUNCTION("""COMPUTED_VALUE"""),"格納済み")</f>
        <v>格納済み</v>
      </c>
      <c r="S1877" s="75" t="str">
        <f>IFERROR(__xludf.DUMMYFUNCTION("""COMPUTED_VALUE"""),"20240805_デジタルカタパルト_ 異世界のんびり散歩旅        ")</f>
        <v>20240805_デジタルカタパルト_ 異世界のんびり散歩旅        </v>
      </c>
      <c r="T1877" s="75" t="str">
        <f>IFERROR(__xludf.DUMMYFUNCTION("""COMPUTED_VALUE"""),"素材確認中")</f>
        <v>素材確認中</v>
      </c>
      <c r="U1877" s="15" t="str">
        <f>IFERROR(__xludf.DUMMYFUNCTION("""COMPUTED_VALUE"""),"(C)しいのきくるみ・藤なごみ/デジカタ編集部")</f>
        <v>(C)しいのきくるみ・藤なごみ/デジカタ編集部</v>
      </c>
      <c r="V1877" s="8" t="str">
        <f>IFERROR(__xludf.DUMMYFUNCTION("""COMPUTED_VALUE"""),"ブラック企業に勤めていた主人公シュンは、寒空のとある深夜に偶然拾った子猫と共にバスに乗るのだが、それは天界行のバスだった。元いた世界の輪廻より外れたシュンは、子猫から猫耳少女になった子とキーホルダからスライムに変わった従魔と一緒に異世界に向かう事に。さらにとある事情により冒険者グループから外された魔法使いの少女をパーティメンバーにし、一年後に王都に着く事を目標にしてゆっくり旅を続ける物語。")</f>
        <v>ブラック企業に勤めていた主人公シュンは、寒空のとある深夜に偶然拾った子猫と共にバスに乗るのだが、それは天界行のバスだった。元いた世界の輪廻より外れたシュンは、子猫から猫耳少女になった子とキーホルダからスライムに変わった従魔と一緒に異世界に向かう事に。さらにとある事情により冒険者グループから外された魔法使いの少女をパーティメンバーにし、一年後に王都に着く事を目標にしてゆっくり旅を続ける物語。</v>
      </c>
      <c r="W1877" s="14"/>
      <c r="X1877" s="14" t="str">
        <f>IFERROR(__xludf.DUMMYFUNCTION("""COMPUTED_VALUE"""),"有")</f>
        <v>有</v>
      </c>
      <c r="Y1877" s="8" t="str">
        <f>IFERROR(__xludf.DUMMYFUNCTION("""COMPUTED_VALUE"""),"2024/9/28まで1巻無料")</f>
        <v>2024/9/28まで1巻無料</v>
      </c>
      <c r="Z1877" s="7"/>
      <c r="AA1877" s="7"/>
      <c r="AB1877" s="7"/>
    </row>
    <row r="1878" ht="15.75" customHeight="1">
      <c r="A1878" s="66">
        <f>IFERROR(__xludf.DUMMYFUNCTION("""COMPUTED_VALUE"""),3468.0)</f>
        <v>3468</v>
      </c>
      <c r="B1878" s="75" t="str">
        <f>IFERROR(__xludf.DUMMYFUNCTION("""COMPUTED_VALUE"""),"確定")</f>
        <v>確定</v>
      </c>
      <c r="C1878" s="68">
        <f>IFERROR(__xludf.DUMMYFUNCTION("""COMPUTED_VALUE"""),45433.0)</f>
        <v>45433</v>
      </c>
      <c r="D1878" s="68">
        <f>IFERROR(__xludf.DUMMYFUNCTION("""COMPUTED_VALUE"""),45504.0)</f>
        <v>45504</v>
      </c>
      <c r="E1878" s="31">
        <f>IFERROR(__xludf.DUMMYFUNCTION("""COMPUTED_VALUE"""),300213.0)</f>
        <v>300213</v>
      </c>
      <c r="F1878" s="31" t="str">
        <f>IFERROR(__xludf.DUMMYFUNCTION("""COMPUTED_VALUE"""),"神様の歯車【単話版】")</f>
        <v>神様の歯車【単話版】</v>
      </c>
      <c r="G1878" s="69" t="str">
        <f>IFERROR(__xludf.DUMMYFUNCTION("""COMPUTED_VALUE"""),"1～5")</f>
        <v>1～5</v>
      </c>
      <c r="H1878" s="75" t="str">
        <f>IFERROR(__xludf.DUMMYFUNCTION("""COMPUTED_VALUE"""),"春原ユウ")</f>
        <v>春原ユウ</v>
      </c>
      <c r="I1878" s="75" t="str">
        <f>IFERROR(__xludf.DUMMYFUNCTION("""COMPUTED_VALUE"""),"女性")</f>
        <v>女性</v>
      </c>
      <c r="J1878" s="75"/>
      <c r="K1878" s="75"/>
      <c r="L1878" s="75" t="str">
        <f>IFERROR(__xludf.DUMMYFUNCTION("""COMPUTED_VALUE"""),"デジタルカタパルト（デジカタ編集部）")</f>
        <v>デジタルカタパルト（デジカタ編集部）</v>
      </c>
      <c r="M1878" s="59">
        <f>IFERROR(__xludf.DUMMYFUNCTION("""COMPUTED_VALUE"""),45533.0)</f>
        <v>45533</v>
      </c>
      <c r="N1878" s="94">
        <f>IFERROR(__xludf.DUMMYFUNCTION("""COMPUTED_VALUE"""),45622.0)</f>
        <v>45622</v>
      </c>
      <c r="O1878" s="75"/>
      <c r="P1878" s="80" t="str">
        <f>IFERROR(__xludf.DUMMYFUNCTION("""COMPUTED_VALUE"""),"可")</f>
        <v>可</v>
      </c>
      <c r="Q1878" s="75" t="str">
        <f>IFERROR(__xludf.DUMMYFUNCTION("""COMPUTED_VALUE"""),"広告コミットOK(5/28)")</f>
        <v>広告コミットOK(5/28)</v>
      </c>
      <c r="R1878" s="75" t="str">
        <f>IFERROR(__xludf.DUMMYFUNCTION("""COMPUTED_VALUE"""),"格納済み")</f>
        <v>格納済み</v>
      </c>
      <c r="S1878" s="75" t="str">
        <f>IFERROR(__xludf.DUMMYFUNCTION("""COMPUTED_VALUE"""),"20240731_デジタルカタパルト_神様の歯車")</f>
        <v>20240731_デジタルカタパルト_神様の歯車</v>
      </c>
      <c r="T1878" s="75" t="str">
        <f>IFERROR(__xludf.DUMMYFUNCTION("""COMPUTED_VALUE"""),"素材確認中")</f>
        <v>素材確認中</v>
      </c>
      <c r="U1878" s="15" t="str">
        <f>IFERROR(__xludf.DUMMYFUNCTION("""COMPUTED_VALUE"""),"(C)春原ユウ/デジカタ編集部")</f>
        <v>(C)春原ユウ/デジカタ編集部</v>
      </c>
      <c r="V1878" s="8" t="str">
        <f>IFERROR(__xludf.DUMMYFUNCTION("""COMPUTED_VALUE"""),"幼い頃に両親が離婚し、妹と共に母と暮らす紗江。突然、妹の結花が自動車事故でこの世を去った。しかも、疎遠だった父親も一緒に… いったい妹に何があったのか？ 偶然にも妹の日記を見つけた事で妹と父が以前より度々会っていたことが判明する。そしてとある祠へ何度も行っている事もわかった。何故、妹と父はこの祠に何度も足を運んだのか？ 不思議な祠の力で過去に戻り壊れてしまった家族を、未来を取り戻せるのか！？")</f>
        <v>幼い頃に両親が離婚し、妹と共に母と暮らす紗江。突然、妹の結花が自動車事故でこの世を去った。しかも、疎遠だった父親も一緒に… いったい妹に何があったのか？ 偶然にも妹の日記を見つけた事で妹と父が以前より度々会っていたことが判明する。そしてとある祠へ何度も行っている事もわかった。何故、妹と父はこの祠に何度も足を運んだのか？ 不思議な祠の力で過去に戻り壊れてしまった家族を、未来を取り戻せるのか！？</v>
      </c>
      <c r="W1878" s="14"/>
      <c r="X1878" s="14" t="str">
        <f>IFERROR(__xludf.DUMMYFUNCTION("""COMPUTED_VALUE"""),"有")</f>
        <v>有</v>
      </c>
      <c r="Y1878" s="8" t="str">
        <f>IFERROR(__xludf.DUMMYFUNCTION("""COMPUTED_VALUE"""),"2024/9/27まで1巻無料")</f>
        <v>2024/9/27まで1巻無料</v>
      </c>
      <c r="Z1878" s="7"/>
      <c r="AA1878" s="7"/>
      <c r="AB1878" s="7"/>
    </row>
    <row r="1879" ht="15.75" customHeight="1">
      <c r="A1879" s="66">
        <f>IFERROR(__xludf.DUMMYFUNCTION("""COMPUTED_VALUE"""),3469.0)</f>
        <v>3469</v>
      </c>
      <c r="B1879" s="75" t="str">
        <f>IFERROR(__xludf.DUMMYFUNCTION("""COMPUTED_VALUE"""),"確定")</f>
        <v>確定</v>
      </c>
      <c r="C1879" s="68">
        <f>IFERROR(__xludf.DUMMYFUNCTION("""COMPUTED_VALUE"""),45433.0)</f>
        <v>45433</v>
      </c>
      <c r="D1879" s="68">
        <f>IFERROR(__xludf.DUMMYFUNCTION("""COMPUTED_VALUE"""),45504.0)</f>
        <v>45504</v>
      </c>
      <c r="E1879" s="31">
        <f>IFERROR(__xludf.DUMMYFUNCTION("""COMPUTED_VALUE"""),300451.0)</f>
        <v>300451</v>
      </c>
      <c r="F1879" s="31" t="str">
        <f>IFERROR(__xludf.DUMMYFUNCTION("""COMPUTED_VALUE"""),"神様の地球儀【単話版】")</f>
        <v>神様の地球儀【単話版】</v>
      </c>
      <c r="G1879" s="69" t="str">
        <f>IFERROR(__xludf.DUMMYFUNCTION("""COMPUTED_VALUE"""),"1～5")</f>
        <v>1～5</v>
      </c>
      <c r="H1879" s="75" t="str">
        <f>IFERROR(__xludf.DUMMYFUNCTION("""COMPUTED_VALUE"""),"みつゑ")</f>
        <v>みつゑ</v>
      </c>
      <c r="I1879" s="75" t="str">
        <f>IFERROR(__xludf.DUMMYFUNCTION("""COMPUTED_VALUE"""),"青年")</f>
        <v>青年</v>
      </c>
      <c r="J1879" s="75"/>
      <c r="K1879" s="75"/>
      <c r="L1879" s="75" t="str">
        <f>IFERROR(__xludf.DUMMYFUNCTION("""COMPUTED_VALUE"""),"デジタルカタパルト（デジカタ編集部）")</f>
        <v>デジタルカタパルト（デジカタ編集部）</v>
      </c>
      <c r="M1879" s="59">
        <f>IFERROR(__xludf.DUMMYFUNCTION("""COMPUTED_VALUE"""),45535.0)</f>
        <v>45535</v>
      </c>
      <c r="N1879" s="94">
        <f>IFERROR(__xludf.DUMMYFUNCTION("""COMPUTED_VALUE"""),45624.0)</f>
        <v>45624</v>
      </c>
      <c r="O1879" s="75"/>
      <c r="P1879" s="80" t="str">
        <f>IFERROR(__xludf.DUMMYFUNCTION("""COMPUTED_VALUE"""),"可")</f>
        <v>可</v>
      </c>
      <c r="Q1879" s="75" t="str">
        <f>IFERROR(__xludf.DUMMYFUNCTION("""COMPUTED_VALUE"""),"広告コミットOK(5/28)")</f>
        <v>広告コミットOK(5/28)</v>
      </c>
      <c r="R1879" s="75" t="str">
        <f>IFERROR(__xludf.DUMMYFUNCTION("""COMPUTED_VALUE"""),"格納済み")</f>
        <v>格納済み</v>
      </c>
      <c r="S1879" s="75" t="str">
        <f>IFERROR(__xludf.DUMMYFUNCTION("""COMPUTED_VALUE"""),"20240730_デジタルカタパルト_神様の地球儀")</f>
        <v>20240730_デジタルカタパルト_神様の地球儀</v>
      </c>
      <c r="T1879" s="75" t="str">
        <f>IFERROR(__xludf.DUMMYFUNCTION("""COMPUTED_VALUE"""),"格納済み")</f>
        <v>格納済み</v>
      </c>
      <c r="U1879" s="15" t="str">
        <f>IFERROR(__xludf.DUMMYFUNCTION("""COMPUTED_VALUE"""),"(C)みつゑ/デジカタ編集部")</f>
        <v>(C)みつゑ/デジカタ編集部</v>
      </c>
      <c r="V1879" s="8" t="str">
        <f>IFERROR(__xludf.DUMMYFUNCTION("""COMPUTED_VALUE"""),"欲望、後悔、復讐…。突如目の前に転がってきた地球儀を手に入れた主人公は神の力を手に入れる。地球儀を使って望みを叶えようとする主人公だが、使い方次第では身を滅ぼす代償も…。1話完結型のオムニバス形式で送るミステリー怪奇譚！")</f>
        <v>欲望、後悔、復讐…。突如目の前に転がってきた地球儀を手に入れた主人公は神の力を手に入れる。地球儀を使って望みを叶えようとする主人公だが、使い方次第では身を滅ぼす代償も…。1話完結型のオムニバス形式で送るミステリー怪奇譚！</v>
      </c>
      <c r="W1879" s="14"/>
      <c r="X1879" s="14" t="str">
        <f>IFERROR(__xludf.DUMMYFUNCTION("""COMPUTED_VALUE"""),"有")</f>
        <v>有</v>
      </c>
      <c r="Y1879" s="8" t="str">
        <f>IFERROR(__xludf.DUMMYFUNCTION("""COMPUTED_VALUE"""),"2024/9/29まで1巻無料")</f>
        <v>2024/9/29まで1巻無料</v>
      </c>
      <c r="Z1879" s="7"/>
      <c r="AA1879" s="7"/>
      <c r="AB1879" s="7"/>
    </row>
    <row r="1880" ht="15.75" customHeight="1">
      <c r="A1880" s="66">
        <f>IFERROR(__xludf.DUMMYFUNCTION("""COMPUTED_VALUE"""),3527.0)</f>
        <v>3527</v>
      </c>
      <c r="B1880" s="75" t="str">
        <f>IFERROR(__xludf.DUMMYFUNCTION("""COMPUTED_VALUE"""),"確定")</f>
        <v>確定</v>
      </c>
      <c r="C1880" s="68">
        <f>IFERROR(__xludf.DUMMYFUNCTION("""COMPUTED_VALUE"""),45439.0)</f>
        <v>45439</v>
      </c>
      <c r="D1880" s="68">
        <f>IFERROR(__xludf.DUMMYFUNCTION("""COMPUTED_VALUE"""),45504.0)</f>
        <v>45504</v>
      </c>
      <c r="E1880" s="31">
        <f>IFERROR(__xludf.DUMMYFUNCTION("""COMPUTED_VALUE"""),296154.0)</f>
        <v>296154</v>
      </c>
      <c r="F1880" s="52" t="str">
        <f>IFERROR(__xludf.DUMMYFUNCTION("""COMPUTED_VALUE"""),"転生したら断罪済みで処刑待ちの悪役令嬢だった")</f>
        <v>転生したら断罪済みで処刑待ちの悪役令嬢だった</v>
      </c>
      <c r="G1880" s="69">
        <f>IFERROR(__xludf.DUMMYFUNCTION("""COMPUTED_VALUE"""),1.0)</f>
        <v>1</v>
      </c>
      <c r="H1880" s="75" t="str">
        <f>IFERROR(__xludf.DUMMYFUNCTION("""COMPUTED_VALUE"""),"化野そとば・とこ")</f>
        <v>化野そとば・とこ</v>
      </c>
      <c r="I1880" s="75" t="str">
        <f>IFERROR(__xludf.DUMMYFUNCTION("""COMPUTED_VALUE"""),"少女")</f>
        <v>少女</v>
      </c>
      <c r="J1880" s="75"/>
      <c r="K1880" s="75"/>
      <c r="L1880" s="75" t="str">
        <f>IFERROR(__xludf.DUMMYFUNCTION("""COMPUTED_VALUE"""),"一迅社")</f>
        <v>一迅社</v>
      </c>
      <c r="M1880" s="59">
        <f>IFERROR(__xludf.DUMMYFUNCTION("""COMPUTED_VALUE"""),45518.0)</f>
        <v>45518</v>
      </c>
      <c r="N1880" s="59">
        <f>IFERROR(__xludf.DUMMYFUNCTION("""COMPUTED_VALUE"""),45548.0)</f>
        <v>45548</v>
      </c>
      <c r="O1880" s="75"/>
      <c r="P1880" s="80" t="str">
        <f>IFERROR(__xludf.DUMMYFUNCTION("""COMPUTED_VALUE"""),"可")</f>
        <v>可</v>
      </c>
      <c r="Q1880" s="72" t="str">
        <f>IFERROR(__xludf.DUMMYFUNCTION("""COMPUTED_VALUE"""),"広告コミットOK(6/3)&lt;BR&gt;・アンソロジー掲載の単話の配信です。")</f>
        <v>広告コミットOK(6/3)&lt;BR&gt;・アンソロジー掲載の単話の配信です。</v>
      </c>
      <c r="R1880" s="75"/>
      <c r="S1880" s="75" t="str">
        <f>IFERROR(__xludf.DUMMYFUNCTION("""COMPUTED_VALUE"""),"20240730_一迅社_転生したら断罪済みで処刑待ちの悪役令嬢だった")</f>
        <v>20240730_一迅社_転生したら断罪済みで処刑待ちの悪役令嬢だった</v>
      </c>
      <c r="T1880" s="75" t="str">
        <f>IFERROR(__xludf.DUMMYFUNCTION("""COMPUTED_VALUE"""),"格納済み")</f>
        <v>格納済み</v>
      </c>
      <c r="U1880" s="15" t="str">
        <f>IFERROR(__xludf.DUMMYFUNCTION("""COMPUTED_VALUE"""),"©化野そとば・とこ／一迅社")</f>
        <v>©化野そとば・とこ／一迅社</v>
      </c>
      <c r="V1880" s="8" t="str">
        <f>IFERROR(__xludf.DUMMYFUNCTION("""COMPUTED_VALUE"""),"神様に転生させられた先は婚約者の第二王子に婚約破棄・断罪されて処刑目前との伯爵令嬢で!?　※この作品は『悪役令嬢ですが、幸せになってみせますわ！　アンソロジーコミック』12巻収録作品と同一の内容を単話版として再編集したものとなります。")</f>
        <v>神様に転生させられた先は婚約者の第二王子に婚約破棄・断罪されて処刑目前との伯爵令嬢で!?　※この作品は『悪役令嬢ですが、幸せになってみせますわ！　アンソロジーコミック』12巻収録作品と同一の内容を単話版として再編集したものとなります。</v>
      </c>
      <c r="W1880" s="14"/>
      <c r="X1880" s="14" t="str">
        <f>IFERROR(__xludf.DUMMYFUNCTION("""COMPUTED_VALUE"""),"有")</f>
        <v>有</v>
      </c>
      <c r="Y1880" s="8" t="str">
        <f>IFERROR(__xludf.DUMMYFUNCTION("""COMPUTED_VALUE"""),"P8まで")</f>
        <v>P8まで</v>
      </c>
      <c r="Z1880" s="7"/>
      <c r="AA1880" s="7"/>
      <c r="AB1880" s="7"/>
    </row>
    <row r="1881" ht="15.75" customHeight="1">
      <c r="A1881" s="66">
        <f>IFERROR(__xludf.DUMMYFUNCTION("""COMPUTED_VALUE"""),3576.0)</f>
        <v>3576</v>
      </c>
      <c r="B1881" s="75" t="str">
        <f>IFERROR(__xludf.DUMMYFUNCTION("""COMPUTED_VALUE"""),"確定")</f>
        <v>確定</v>
      </c>
      <c r="C1881" s="68">
        <f>IFERROR(__xludf.DUMMYFUNCTION("""COMPUTED_VALUE"""),45447.0)</f>
        <v>45447</v>
      </c>
      <c r="D1881" s="68">
        <f>IFERROR(__xludf.DUMMYFUNCTION("""COMPUTED_VALUE"""),45502.0)</f>
        <v>45502</v>
      </c>
      <c r="E1881" s="31">
        <f>IFERROR(__xludf.DUMMYFUNCTION("""COMPUTED_VALUE"""),299829.0)</f>
        <v>299829</v>
      </c>
      <c r="F1881" s="31" t="str">
        <f>IFERROR(__xludf.DUMMYFUNCTION("""COMPUTED_VALUE"""),"愛を騙るは、いつわりの")</f>
        <v>愛を騙るは、いつわりの</v>
      </c>
      <c r="G1881" s="11" t="str">
        <f>IFERROR(__xludf.DUMMYFUNCTION("""COMPUTED_VALUE"""),"1～2")</f>
        <v>1～2</v>
      </c>
      <c r="H1881" s="75" t="str">
        <f>IFERROR(__xludf.DUMMYFUNCTION("""COMPUTED_VALUE"""),"こだま翠果")</f>
        <v>こだま翠果</v>
      </c>
      <c r="I1881" s="75" t="str">
        <f>IFERROR(__xludf.DUMMYFUNCTION("""COMPUTED_VALUE"""),"BL")</f>
        <v>BL</v>
      </c>
      <c r="J1881" s="75"/>
      <c r="K1881" s="75"/>
      <c r="L1881" s="75" t="str">
        <f>IFERROR(__xludf.DUMMYFUNCTION("""COMPUTED_VALUE"""),"CLLENN")</f>
        <v>CLLENN</v>
      </c>
      <c r="M1881" s="59">
        <f>IFERROR(__xludf.DUMMYFUNCTION("""COMPUTED_VALUE"""),45526.0)</f>
        <v>45526</v>
      </c>
      <c r="N1881" s="94">
        <f>IFERROR(__xludf.DUMMYFUNCTION("""COMPUTED_VALUE"""),45588.0)</f>
        <v>45588</v>
      </c>
      <c r="O1881" s="75"/>
      <c r="P1881" s="80" t="str">
        <f>IFERROR(__xludf.DUMMYFUNCTION("""COMPUTED_VALUE"""),"可")</f>
        <v>可</v>
      </c>
      <c r="Q1881" s="75" t="str">
        <f>IFERROR(__xludf.DUMMYFUNCTION("""COMPUTED_VALUE"""),"広告コミットOK(6/14)")</f>
        <v>広告コミットOK(6/14)</v>
      </c>
      <c r="R1881" s="75" t="str">
        <f>IFERROR(__xludf.DUMMYFUNCTION("""COMPUTED_VALUE"""),"格納済み")</f>
        <v>格納済み</v>
      </c>
      <c r="S1881" s="9" t="str">
        <f>IFERROR(__xludf.DUMMYFUNCTION("""COMPUTED_VALUE"""),"20240729_CLLENN_愛を騙るはいつわりの")</f>
        <v>20240729_CLLENN_愛を騙るはいつわりの</v>
      </c>
      <c r="T1881" s="75"/>
      <c r="U1881" s="95" t="str">
        <f>IFERROR(__xludf.DUMMYFUNCTION("""COMPUTED_VALUE"""),"(C)こだま翠果/CLLENN")</f>
        <v>(C)こだま翠果/CLLENN</v>
      </c>
      <c r="V1881" s="8" t="str">
        <f>IFERROR(__xludf.DUMMYFUNCTION("""COMPUTED_VALUE"""),"「僕たちは二年前から一緒に暮らしてる…そうだよね？」大好きな”先生”に、毎夜どろどろに溶けるほど愛されて。だけど、彼は何かを隠してる――!?檜原 かなた（ひのはら かなた）は、推理小説家の久々宮 紫苑（くぐみや しおん）と恋人同士。大きな屋敷で紫苑の身の回りの世話をし、夜は寝台でたっぷり身体中を愛撫される。甘く幸せな日々だった。屋敷にある”開かずの間”や、いくつかの違和感を除けば――。ある日、迷い猫を呼び水に二人の蜜月は歪み始める。謎の頭痛に襲われたかなたの両目を覆い、紫苑は暗示を…？「君には、僕しかいな"&amp;"いんだから」ミステリアスな小説家×彼を慕う純粋な青年、謎仕掛けのサスペンス・ラヴ!!")</f>
        <v>「僕たちは二年前から一緒に暮らしてる…そうだよね？」大好きな”先生”に、毎夜どろどろに溶けるほど愛されて。だけど、彼は何かを隠してる――!?檜原 かなた（ひのはら かなた）は、推理小説家の久々宮 紫苑（くぐみや しおん）と恋人同士。大きな屋敷で紫苑の身の回りの世話をし、夜は寝台でたっぷり身体中を愛撫される。甘く幸せな日々だった。屋敷にある”開かずの間”や、いくつかの違和感を除けば――。ある日、迷い猫を呼び水に二人の蜜月は歪み始める。謎の頭痛に襲われたかなたの両目を覆い、紫苑は暗示を…？「君には、僕しかいないんだから」ミステリアスな小説家×彼を慕う純粋な青年、謎仕掛けのサスペンス・ラヴ!!</v>
      </c>
      <c r="W1881" s="14"/>
      <c r="X1881" s="14" t="str">
        <f>IFERROR(__xludf.DUMMYFUNCTION("""COMPUTED_VALUE"""),"有")</f>
        <v>有</v>
      </c>
      <c r="Y1881" s="8" t="str">
        <f>IFERROR(__xludf.DUMMYFUNCTION("""COMPUTED_VALUE"""),"2024/9/4まで立ち読み増量P15まで")</f>
        <v>2024/9/4まで立ち読み増量P15まで</v>
      </c>
      <c r="Z1881" s="7"/>
      <c r="AA1881" s="7"/>
      <c r="AB1881" s="7"/>
    </row>
    <row r="1882" ht="15.75" customHeight="1">
      <c r="A1882" s="66">
        <f>IFERROR(__xludf.DUMMYFUNCTION("""COMPUTED_VALUE"""),3605.0)</f>
        <v>3605</v>
      </c>
      <c r="B1882" s="75" t="str">
        <f>IFERROR(__xludf.DUMMYFUNCTION("""COMPUTED_VALUE"""),"確定")</f>
        <v>確定</v>
      </c>
      <c r="C1882" s="68">
        <f>IFERROR(__xludf.DUMMYFUNCTION("""COMPUTED_VALUE"""),45450.0)</f>
        <v>45450</v>
      </c>
      <c r="D1882" s="68">
        <f>IFERROR(__xludf.DUMMYFUNCTION("""COMPUTED_VALUE"""),45504.0)</f>
        <v>45504</v>
      </c>
      <c r="E1882" s="31">
        <f>IFERROR(__xludf.DUMMYFUNCTION("""COMPUTED_VALUE"""),300430.0)</f>
        <v>300430</v>
      </c>
      <c r="F1882" s="31" t="str">
        <f>IFERROR(__xludf.DUMMYFUNCTION("""COMPUTED_VALUE"""),"「セックスの特訓しよ？」義弟にイキ堕とされるレス妻")</f>
        <v>「セックスの特訓しよ？」義弟にイキ堕とされるレス妻</v>
      </c>
      <c r="G1882" s="69" t="str">
        <f>IFERROR(__xludf.DUMMYFUNCTION("""COMPUTED_VALUE"""),"1～3")</f>
        <v>1～3</v>
      </c>
      <c r="H1882" s="75" t="str">
        <f>IFERROR(__xludf.DUMMYFUNCTION("""COMPUTED_VALUE"""),"鬼我めいる")</f>
        <v>鬼我めいる</v>
      </c>
      <c r="I1882" s="75" t="str">
        <f>IFERROR(__xludf.DUMMYFUNCTION("""COMPUTED_VALUE"""),"オトナ")</f>
        <v>オトナ</v>
      </c>
      <c r="J1882" s="75"/>
      <c r="K1882" s="75"/>
      <c r="L1882" s="75" t="str">
        <f>IFERROR(__xludf.DUMMYFUNCTION("""COMPUTED_VALUE"""),"DEEPER-ZERO")</f>
        <v>DEEPER-ZERO</v>
      </c>
      <c r="M1882" s="59">
        <f>IFERROR(__xludf.DUMMYFUNCTION("""COMPUTED_VALUE"""),45534.0)</f>
        <v>45534</v>
      </c>
      <c r="N1882" s="94">
        <f>IFERROR(__xludf.DUMMYFUNCTION("""COMPUTED_VALUE"""),45596.0)</f>
        <v>45596</v>
      </c>
      <c r="O1882" s="75"/>
      <c r="P1882" s="80" t="str">
        <f>IFERROR(__xludf.DUMMYFUNCTION("""COMPUTED_VALUE"""),"可")</f>
        <v>可</v>
      </c>
      <c r="Q1882" s="75" t="str">
        <f>IFERROR(__xludf.DUMMYFUNCTION("""COMPUTED_VALUE"""),"広告コミットOK(6/17)")</f>
        <v>広告コミットOK(6/17)</v>
      </c>
      <c r="R1882" s="75" t="str">
        <f>IFERROR(__xludf.DUMMYFUNCTION("""COMPUTED_VALUE"""),"格納済み")</f>
        <v>格納済み</v>
      </c>
      <c r="S1882" s="75" t="str">
        <f>IFERROR(__xludf.DUMMYFUNCTION("""COMPUTED_VALUE"""),"20240731_CLLENN_「セックスの特訓しよ？」義弟にイキ堕とされるレス妻")</f>
        <v>20240731_CLLENN_「セックスの特訓しよ？」義弟にイキ堕とされるレス妻</v>
      </c>
      <c r="T1882" s="75" t="str">
        <f>IFERROR(__xludf.DUMMYFUNCTION("""COMPUTED_VALUE"""),"格納済み")</f>
        <v>格納済み</v>
      </c>
      <c r="U1882" s="15" t="str">
        <f>IFERROR(__xludf.DUMMYFUNCTION("""COMPUTED_VALUE"""),"(C)鬼我めいる/DEEPER-ZERO")</f>
        <v>(C)鬼我めいる/DEEPER-ZERO</v>
      </c>
      <c r="V1882" s="8" t="str">
        <f>IFERROR(__xludf.DUMMYFUNCTION("""COMPUTED_VALUE"""),"「義姉さん…セックスじゃなければ、何してもいいんですよね？」びしょ濡れになった下着越しに、ク○をクチュクチュ擦られて……初めての快感に、もう我慢できない…。 ――私に隠れてコソコソ浮気している夫。そんな夫の不在時に、義弟の理玖くんが我が家に泊まりに来た。久々の誰かと一緒の晩酌が嬉しくて、私はつい飲みすぎちゃって…。目が覚めると、理玖くんが私のおっぱいを触ってる!? 「これは義姉さんの感度を高める特訓だよ」もしかして、酔った勢いで私の悩み…感度が低いことを告白していた!? 理玖くんに乳首をいっぱい責められて"&amp;"、もうアソコはトロトロに……。夫の為にを言い訳に、夫には言えない罪を重ねていく……。")</f>
        <v>「義姉さん…セックスじゃなければ、何してもいいんですよね？」びしょ濡れになった下着越しに、ク○をクチュクチュ擦られて……初めての快感に、もう我慢できない…。 ――私に隠れてコソコソ浮気している夫。そんな夫の不在時に、義弟の理玖くんが我が家に泊まりに来た。久々の誰かと一緒の晩酌が嬉しくて、私はつい飲みすぎちゃって…。目が覚めると、理玖くんが私のおっぱいを触ってる!? 「これは義姉さんの感度を高める特訓だよ」もしかして、酔った勢いで私の悩み…感度が低いことを告白していた!? 理玖くんに乳首をいっぱい責められて、もうアソコはトロトロに……。夫の為にを言い訳に、夫には言えない罪を重ねていく……。</v>
      </c>
      <c r="W1882" s="14"/>
      <c r="X1882" s="14" t="str">
        <f>IFERROR(__xludf.DUMMYFUNCTION("""COMPUTED_VALUE"""),"有")</f>
        <v>有</v>
      </c>
      <c r="Y1882" s="8" t="str">
        <f>IFERROR(__xludf.DUMMYFUNCTION("""COMPUTED_VALUE"""),"P10まで")</f>
        <v>P10まで</v>
      </c>
      <c r="Z1882" s="7"/>
      <c r="AA1882" s="7"/>
      <c r="AB1882" s="7"/>
    </row>
    <row r="1883" ht="15.75" customHeight="1">
      <c r="A1883" s="66">
        <f>IFERROR(__xludf.DUMMYFUNCTION("""COMPUTED_VALUE"""),3622.0)</f>
        <v>3622</v>
      </c>
      <c r="B1883" s="75" t="str">
        <f>IFERROR(__xludf.DUMMYFUNCTION("""COMPUTED_VALUE"""),"確定")</f>
        <v>確定</v>
      </c>
      <c r="C1883" s="68">
        <f>IFERROR(__xludf.DUMMYFUNCTION("""COMPUTED_VALUE"""),45454.0)</f>
        <v>45454</v>
      </c>
      <c r="D1883" s="68">
        <f>IFERROR(__xludf.DUMMYFUNCTION("""COMPUTED_VALUE"""),45502.0)</f>
        <v>45502</v>
      </c>
      <c r="E1883" s="31">
        <f>IFERROR(__xludf.DUMMYFUNCTION("""COMPUTED_VALUE"""),299137.0)</f>
        <v>299137</v>
      </c>
      <c r="F1883" s="31" t="str">
        <f>IFERROR(__xludf.DUMMYFUNCTION("""COMPUTED_VALUE"""),"悪役令嬢は胡蝶の夢を見る")</f>
        <v>悪役令嬢は胡蝶の夢を見る</v>
      </c>
      <c r="G1883" s="69">
        <f>IFERROR(__xludf.DUMMYFUNCTION("""COMPUTED_VALUE"""),1.0)</f>
        <v>1</v>
      </c>
      <c r="H1883" s="75" t="str">
        <f>IFERROR(__xludf.DUMMYFUNCTION("""COMPUTED_VALUE"""),"作画：森乃タピ 原作：三香")</f>
        <v>作画：森乃タピ 原作：三香</v>
      </c>
      <c r="I1883" s="75" t="str">
        <f>IFERROR(__xludf.DUMMYFUNCTION("""COMPUTED_VALUE"""),"少女")</f>
        <v>少女</v>
      </c>
      <c r="J1883" s="75"/>
      <c r="K1883" s="75"/>
      <c r="L1883" s="75" t="str">
        <f>IFERROR(__xludf.DUMMYFUNCTION("""COMPUTED_VALUE"""),"笠倉出版社")</f>
        <v>笠倉出版社</v>
      </c>
      <c r="M1883" s="59">
        <f>IFERROR(__xludf.DUMMYFUNCTION("""COMPUTED_VALUE"""),45514.0)</f>
        <v>45514</v>
      </c>
      <c r="N1883" s="47">
        <f>IFERROR(__xludf.DUMMYFUNCTION("""COMPUTED_VALUE"""),45605.0)</f>
        <v>45605</v>
      </c>
      <c r="O1883" s="75"/>
      <c r="P1883" s="80" t="str">
        <f>IFERROR(__xludf.DUMMYFUNCTION("""COMPUTED_VALUE"""),"可")</f>
        <v>可</v>
      </c>
      <c r="Q1883" s="75" t="str">
        <f>IFERROR(__xludf.DUMMYFUNCTION("""COMPUTED_VALUE"""),"「悪役令嬢のはずなのに溺愛ルートが加速中！？どういうことですの？アンソロジーコミック 」収録作品")</f>
        <v>「悪役令嬢のはずなのに溺愛ルートが加速中！？どういうことですの？アンソロジーコミック 」収録作品</v>
      </c>
      <c r="R1883" s="75" t="str">
        <f>IFERROR(__xludf.DUMMYFUNCTION("""COMPUTED_VALUE"""),"格納済み")</f>
        <v>格納済み</v>
      </c>
      <c r="S1883" s="75" t="str">
        <f>IFERROR(__xludf.DUMMYFUNCTION("""COMPUTED_VALUE"""),"20240725_笠倉出版社_悪役令嬢は胡蝶の夢を見る")</f>
        <v>20240725_笠倉出版社_悪役令嬢は胡蝶の夢を見る</v>
      </c>
      <c r="T1883" s="75" t="str">
        <f>IFERROR(__xludf.DUMMYFUNCTION("""COMPUTED_VALUE"""),"格納済み")</f>
        <v>格納済み</v>
      </c>
      <c r="U1883" s="15" t="str">
        <f>IFERROR(__xludf.DUMMYFUNCTION("""COMPUTED_VALUE"""),"©森乃タピ/三香/笠倉出版社")</f>
        <v>©森乃タピ/三香/笠倉出版社</v>
      </c>
      <c r="V1883" s="8" t="str">
        <f>IFERROR(__xludf.DUMMYFUNCTION("""COMPUTED_VALUE"""),"婚約者の浮気が原因で婚約破棄されたマリージュ。ある日、夢でとある未来を見てしまう！それをきっかけに昔お世話になった初恋の人・ルカリウスがいる国へ行くことになって……。※この作品は『悪役令嬢のはずなのに溺愛ルートが加速中！？どういうことですの？アンソロジーコミック』1巻に収録されているものと同一の内容を単話版として再編集したものです。重複購入にご注意ください。")</f>
        <v>婚約者の浮気が原因で婚約破棄されたマリージュ。ある日、夢でとある未来を見てしまう！それをきっかけに昔お世話になった初恋の人・ルカリウスがいる国へ行くことになって……。※この作品は『悪役令嬢のはずなのに溺愛ルートが加速中！？どういうことですの？アンソロジーコミック』1巻に収録されているものと同一の内容を単話版として再編集したものです。重複購入にご注意ください。</v>
      </c>
      <c r="W1883" s="14"/>
      <c r="X1883" s="14" t="str">
        <f>IFERROR(__xludf.DUMMYFUNCTION("""COMPUTED_VALUE"""),"有")</f>
        <v>有</v>
      </c>
      <c r="Y1883" s="8" t="str">
        <f>IFERROR(__xludf.DUMMYFUNCTION("""COMPUTED_VALUE"""),"P9まで")</f>
        <v>P9まで</v>
      </c>
      <c r="Z1883" s="7"/>
      <c r="AA1883" s="7"/>
      <c r="AB1883" s="7"/>
    </row>
    <row r="1884" ht="15.75" customHeight="1">
      <c r="A1884" s="66">
        <f>IFERROR(__xludf.DUMMYFUNCTION("""COMPUTED_VALUE"""),3623.0)</f>
        <v>3623</v>
      </c>
      <c r="B1884" s="75" t="str">
        <f>IFERROR(__xludf.DUMMYFUNCTION("""COMPUTED_VALUE"""),"確定")</f>
        <v>確定</v>
      </c>
      <c r="C1884" s="68">
        <f>IFERROR(__xludf.DUMMYFUNCTION("""COMPUTED_VALUE"""),45454.0)</f>
        <v>45454</v>
      </c>
      <c r="D1884" s="68">
        <f>IFERROR(__xludf.DUMMYFUNCTION("""COMPUTED_VALUE"""),45502.0)</f>
        <v>45502</v>
      </c>
      <c r="E1884" s="31">
        <f>IFERROR(__xludf.DUMMYFUNCTION("""COMPUTED_VALUE"""),299136.0)</f>
        <v>299136</v>
      </c>
      <c r="F1884" s="31" t="str">
        <f>IFERROR(__xludf.DUMMYFUNCTION("""COMPUTED_VALUE"""),"私の王子様は「婚約破棄してやる！」が口癖です")</f>
        <v>私の王子様は「婚約破棄してやる！」が口癖です</v>
      </c>
      <c r="G1884" s="69">
        <f>IFERROR(__xludf.DUMMYFUNCTION("""COMPUTED_VALUE"""),1.0)</f>
        <v>1</v>
      </c>
      <c r="H1884" s="75" t="str">
        <f>IFERROR(__xludf.DUMMYFUNCTION("""COMPUTED_VALUE"""),"作画：かづか将来 原作：かのん")</f>
        <v>作画：かづか将来 原作：かのん</v>
      </c>
      <c r="I1884" s="75" t="str">
        <f>IFERROR(__xludf.DUMMYFUNCTION("""COMPUTED_VALUE"""),"少女")</f>
        <v>少女</v>
      </c>
      <c r="J1884" s="75"/>
      <c r="K1884" s="75"/>
      <c r="L1884" s="75" t="str">
        <f>IFERROR(__xludf.DUMMYFUNCTION("""COMPUTED_VALUE"""),"笠倉出版社")</f>
        <v>笠倉出版社</v>
      </c>
      <c r="M1884" s="59">
        <f>IFERROR(__xludf.DUMMYFUNCTION("""COMPUTED_VALUE"""),45514.0)</f>
        <v>45514</v>
      </c>
      <c r="N1884" s="47">
        <f>IFERROR(__xludf.DUMMYFUNCTION("""COMPUTED_VALUE"""),45605.0)</f>
        <v>45605</v>
      </c>
      <c r="O1884" s="75"/>
      <c r="P1884" s="80" t="str">
        <f>IFERROR(__xludf.DUMMYFUNCTION("""COMPUTED_VALUE"""),"可")</f>
        <v>可</v>
      </c>
      <c r="Q1884" s="75" t="str">
        <f>IFERROR(__xludf.DUMMYFUNCTION("""COMPUTED_VALUE"""),"広告コミットOK(6/14)&lt;BR&gt;「悪役令嬢のはずなのに溺愛ルートが加速中！？どういうことですの？アンソロジーコミック 」収録作品です。")</f>
        <v>広告コミットOK(6/14)&lt;BR&gt;「悪役令嬢のはずなのに溺愛ルートが加速中！？どういうことですの？アンソロジーコミック 」収録作品です。</v>
      </c>
      <c r="R1884" s="75" t="str">
        <f>IFERROR(__xludf.DUMMYFUNCTION("""COMPUTED_VALUE"""),"格納済み")</f>
        <v>格納済み</v>
      </c>
      <c r="S1884" s="75" t="str">
        <f>IFERROR(__xludf.DUMMYFUNCTION("""COMPUTED_VALUE"""),"20240725_笠倉出版社_私の王子様は「婚約破棄してやる！」が口癖です")</f>
        <v>20240725_笠倉出版社_私の王子様は「婚約破棄してやる！」が口癖です</v>
      </c>
      <c r="T1884" s="75" t="str">
        <f>IFERROR(__xludf.DUMMYFUNCTION("""COMPUTED_VALUE"""),"格納済み")</f>
        <v>格納済み</v>
      </c>
      <c r="U1884" s="15" t="str">
        <f>IFERROR(__xludf.DUMMYFUNCTION("""COMPUTED_VALUE"""),"©かづか将来/かのん/笠倉出版社")</f>
        <v>©かづか将来/かのん/笠倉出版社</v>
      </c>
      <c r="V1884" s="8" t="str">
        <f>IFERROR(__xludf.DUMMYFUNCTION("""COMPUTED_VALUE"""),"天使かと思う程に可愛らしい婚約者のランドン様。彼が可愛すぎてリリスはつい意地悪をしたり揶揄ったりしてしまう。だけど、気づけば彼に妙な口癖ができていて…？※この作品は『悪役令嬢のはずなのに溺愛ルートが加速中！？どういうことですの？アンソロジーコミック』1巻に収録されているものと同一の内容を単話版として再編集したものです。重複購入にご注意ください。")</f>
        <v>天使かと思う程に可愛らしい婚約者のランドン様。彼が可愛すぎてリリスはつい意地悪をしたり揶揄ったりしてしまう。だけど、気づけば彼に妙な口癖ができていて…？※この作品は『悪役令嬢のはずなのに溺愛ルートが加速中！？どういうことですの？アンソロジーコミック』1巻に収録されているものと同一の内容を単話版として再編集したものです。重複購入にご注意ください。</v>
      </c>
      <c r="W1884" s="14"/>
      <c r="X1884" s="14" t="str">
        <f>IFERROR(__xludf.DUMMYFUNCTION("""COMPUTED_VALUE"""),"有")</f>
        <v>有</v>
      </c>
      <c r="Y1884" s="8" t="str">
        <f>IFERROR(__xludf.DUMMYFUNCTION("""COMPUTED_VALUE"""),"P9まで")</f>
        <v>P9まで</v>
      </c>
      <c r="Z1884" s="7"/>
      <c r="AA1884" s="7"/>
      <c r="AB1884" s="7"/>
    </row>
    <row r="1885" ht="15.75" customHeight="1">
      <c r="A1885" s="66">
        <f>IFERROR(__xludf.DUMMYFUNCTION("""COMPUTED_VALUE"""),3648.0)</f>
        <v>3648</v>
      </c>
      <c r="B1885" s="75" t="str">
        <f>IFERROR(__xludf.DUMMYFUNCTION("""COMPUTED_VALUE"""),"確定")</f>
        <v>確定</v>
      </c>
      <c r="C1885" s="68">
        <f>IFERROR(__xludf.DUMMYFUNCTION("""COMPUTED_VALUE"""),45461.0)</f>
        <v>45461</v>
      </c>
      <c r="D1885" s="68">
        <f>IFERROR(__xludf.DUMMYFUNCTION("""COMPUTED_VALUE"""),45502.0)</f>
        <v>45502</v>
      </c>
      <c r="E1885" s="31">
        <f>IFERROR(__xludf.DUMMYFUNCTION("""COMPUTED_VALUE"""),299227.0)</f>
        <v>299227</v>
      </c>
      <c r="F1885" s="31" t="str">
        <f>IFERROR(__xludf.DUMMYFUNCTION("""COMPUTED_VALUE"""),"幼なじみはこじらせ溺愛野獣～ドでかい愛からは逃げられません！～")</f>
        <v>幼なじみはこじらせ溺愛野獣～ドでかい愛からは逃げられません！～</v>
      </c>
      <c r="G1885" s="11" t="str">
        <f>IFERROR(__xludf.DUMMYFUNCTION("""COMPUTED_VALUE"""),"1～2")</f>
        <v>1～2</v>
      </c>
      <c r="H1885" s="75" t="str">
        <f>IFERROR(__xludf.DUMMYFUNCTION("""COMPUTED_VALUE"""),"七瀬ユイ")</f>
        <v>七瀬ユイ</v>
      </c>
      <c r="I1885" s="75" t="str">
        <f>IFERROR(__xludf.DUMMYFUNCTION("""COMPUTED_VALUE"""),"TL")</f>
        <v>TL</v>
      </c>
      <c r="J1885" s="75"/>
      <c r="K1885" s="75"/>
      <c r="L1885" s="75" t="str">
        <f>IFERROR(__xludf.DUMMYFUNCTION("""COMPUTED_VALUE"""),"CLLENN")</f>
        <v>CLLENN</v>
      </c>
      <c r="M1885" s="59">
        <f>IFERROR(__xludf.DUMMYFUNCTION("""COMPUTED_VALUE"""),45514.0)</f>
        <v>45514</v>
      </c>
      <c r="N1885" s="94">
        <f>IFERROR(__xludf.DUMMYFUNCTION("""COMPUTED_VALUE"""),45576.0)</f>
        <v>45576</v>
      </c>
      <c r="O1885" s="75"/>
      <c r="P1885" s="80" t="str">
        <f>IFERROR(__xludf.DUMMYFUNCTION("""COMPUTED_VALUE"""),"可")</f>
        <v>可</v>
      </c>
      <c r="Q1885" s="75" t="str">
        <f>IFERROR(__xludf.DUMMYFUNCTION("""COMPUTED_VALUE"""),"レーベル名：乙女チック       ")</f>
        <v>レーベル名：乙女チック       </v>
      </c>
      <c r="R1885" s="75" t="str">
        <f>IFERROR(__xludf.DUMMYFUNCTION("""COMPUTED_VALUE"""),"格納済み")</f>
        <v>格納済み</v>
      </c>
      <c r="S1885" s="75" t="str">
        <f>IFERROR(__xludf.DUMMYFUNCTION("""COMPUTED_VALUE"""),"20240729_CLLENN_幼なじみはこじらせ溺愛野獣～ドでかい愛からは逃げられません！～")</f>
        <v>20240729_CLLENN_幼なじみはこじらせ溺愛野獣～ドでかい愛からは逃げられません！～</v>
      </c>
      <c r="T1885" s="75" t="str">
        <f>IFERROR(__xludf.DUMMYFUNCTION("""COMPUTED_VALUE"""),"格納済み")</f>
        <v>格納済み</v>
      </c>
      <c r="U1885" s="15" t="str">
        <f>IFERROR(__xludf.DUMMYFUNCTION("""COMPUTED_VALUE"""),"(C)七瀬ユイ/CLLENN")</f>
        <v>(C)七瀬ユイ/CLLENN</v>
      </c>
      <c r="V1885" s="8" t="str">
        <f>IFERROR(__xludf.DUMMYFUNCTION("""COMPUTED_VALUE"""),"「ごめん…もう余裕ないっ」ダメ…俳優とマネージャーなのに、もっと欲しくなっちゃう…！――売れっ子アクション俳優・忍野一輝（おしのかずき）とマネージャー・小此木遥（おこのぎはるか）は、小学生時代からの幼なじみ。映画撮影の打ち上げの後、酔った勢いでスキンシップをとったら…一輝に押し倒された！？彼を異性として意識し始めた翌日、恋愛ドラマのオファーが来ていると相談されて――「濡れ場があるってことは、他の女の子とこういうことするんだよ」クリを舐められながら、一輝の太い指で奥までじっくり責められると何度もイっちゃって"&amp;"……。野獣系俳優の逞しい腕から逃れられないっ！")</f>
        <v>「ごめん…もう余裕ないっ」ダメ…俳優とマネージャーなのに、もっと欲しくなっちゃう…！――売れっ子アクション俳優・忍野一輝（おしのかずき）とマネージャー・小此木遥（おこのぎはるか）は、小学生時代からの幼なじみ。映画撮影の打ち上げの後、酔った勢いでスキンシップをとったら…一輝に押し倒された！？彼を異性として意識し始めた翌日、恋愛ドラマのオファーが来ていると相談されて――「濡れ場があるってことは、他の女の子とこういうことするんだよ」クリを舐められながら、一輝の太い指で奥までじっくり責められると何度もイっちゃって……。野獣系俳優の逞しい腕から逃れられないっ！</v>
      </c>
      <c r="W1885" s="14"/>
      <c r="X1885" s="14" t="str">
        <f>IFERROR(__xludf.DUMMYFUNCTION("""COMPUTED_VALUE"""),"有")</f>
        <v>有</v>
      </c>
      <c r="Y1885" s="8" t="str">
        <f>IFERROR(__xludf.DUMMYFUNCTION("""COMPUTED_VALUE"""),"P10まで")</f>
        <v>P10まで</v>
      </c>
      <c r="Z1885" s="7"/>
      <c r="AA1885" s="7"/>
      <c r="AB1885" s="7"/>
    </row>
    <row r="1886" ht="15.75" customHeight="1">
      <c r="A1886" s="66">
        <f>IFERROR(__xludf.DUMMYFUNCTION("""COMPUTED_VALUE"""),3649.0)</f>
        <v>3649</v>
      </c>
      <c r="B1886" s="75" t="str">
        <f>IFERROR(__xludf.DUMMYFUNCTION("""COMPUTED_VALUE"""),"確定")</f>
        <v>確定</v>
      </c>
      <c r="C1886" s="68">
        <f>IFERROR(__xludf.DUMMYFUNCTION("""COMPUTED_VALUE"""),45461.0)</f>
        <v>45461</v>
      </c>
      <c r="D1886" s="68">
        <f>IFERROR(__xludf.DUMMYFUNCTION("""COMPUTED_VALUE"""),45502.0)</f>
        <v>45502</v>
      </c>
      <c r="E1886" s="31">
        <f>IFERROR(__xludf.DUMMYFUNCTION("""COMPUTED_VALUE"""),299991.0)</f>
        <v>299991</v>
      </c>
      <c r="F1886" s="31" t="str">
        <f>IFERROR(__xludf.DUMMYFUNCTION("""COMPUTED_VALUE"""),"待てができない日向くん～いろいろおっきな年下カレにたっぷり愛されました～")</f>
        <v>待てができない日向くん～いろいろおっきな年下カレにたっぷり愛されました～</v>
      </c>
      <c r="G1886" s="11" t="str">
        <f>IFERROR(__xludf.DUMMYFUNCTION("""COMPUTED_VALUE"""),"1～2")</f>
        <v>1～2</v>
      </c>
      <c r="H1886" s="75" t="str">
        <f>IFERROR(__xludf.DUMMYFUNCTION("""COMPUTED_VALUE"""),"しろまゆ")</f>
        <v>しろまゆ</v>
      </c>
      <c r="I1886" s="75" t="str">
        <f>IFERROR(__xludf.DUMMYFUNCTION("""COMPUTED_VALUE"""),"TL")</f>
        <v>TL</v>
      </c>
      <c r="J1886" s="75"/>
      <c r="K1886" s="75"/>
      <c r="L1886" s="75" t="str">
        <f>IFERROR(__xludf.DUMMYFUNCTION("""COMPUTED_VALUE"""),"CLLENN")</f>
        <v>CLLENN</v>
      </c>
      <c r="M1886" s="59">
        <f>IFERROR(__xludf.DUMMYFUNCTION("""COMPUTED_VALUE"""),45528.0)</f>
        <v>45528</v>
      </c>
      <c r="N1886" s="94">
        <f>IFERROR(__xludf.DUMMYFUNCTION("""COMPUTED_VALUE"""),45590.0)</f>
        <v>45590</v>
      </c>
      <c r="O1886" s="75"/>
      <c r="P1886" s="80" t="str">
        <f>IFERROR(__xludf.DUMMYFUNCTION("""COMPUTED_VALUE"""),"可")</f>
        <v>可</v>
      </c>
      <c r="Q1886" s="75" t="str">
        <f>IFERROR(__xludf.DUMMYFUNCTION("""COMPUTED_VALUE"""),"広告コミットOK(6/24) レーベル名：乙女チック")</f>
        <v>広告コミットOK(6/24) レーベル名：乙女チック</v>
      </c>
      <c r="R1886" s="75" t="str">
        <f>IFERROR(__xludf.DUMMYFUNCTION("""COMPUTED_VALUE"""),"格納済み")</f>
        <v>格納済み</v>
      </c>
      <c r="S1886" s="75" t="str">
        <f>IFERROR(__xludf.DUMMYFUNCTION("""COMPUTED_VALUE"""),"20240729_CLLENN__待てができない日向くん～いろいろおっきな年下カレにたっぷり愛されました～")</f>
        <v>20240729_CLLENN__待てができない日向くん～いろいろおっきな年下カレにたっぷり愛されました～</v>
      </c>
      <c r="T1886" s="75" t="str">
        <f>IFERROR(__xludf.DUMMYFUNCTION("""COMPUTED_VALUE"""),"格納済み")</f>
        <v>格納済み</v>
      </c>
      <c r="U1886" s="15" t="str">
        <f>IFERROR(__xludf.DUMMYFUNCTION("""COMPUTED_VALUE"""),"(C)しろまゆ/CLLENN")</f>
        <v>(C)しろまゆ/CLLENN</v>
      </c>
      <c r="V1886" s="8" t="str">
        <f>IFERROR(__xludf.DUMMYFUNCTION("""COMPUTED_VALUE"""),"「優しいのと激しいのどっちがいい…？」オカズにしていた彼は可愛い顔してBIGサイズ！？妄想以上にエッチな彼との情事はとっても気持ちよくて…――性欲が強すぎて恋愛を諦めたOL東雲澄恋。そんな澄恋の日課は、配達にくる好みの体のお兄さんをオカズに一人エッチ。もし彼とエッチなことができたら――妄想が止まらない日々。だけど、ある出来事から彼と体の関係に！？舌を絡める熱いキスと大きなアソコを舐めるだけで体は蕩けて…「もう、挿れるね…？」愛されてるみたいに奥まで何度も貫かれたらナカ締めつけちゃう…！この関係がずっと続け"&amp;"ばいいのに♪と思っていたら、新入社員として彼が入社してきて…私これからどうなっちゃうの！？")</f>
        <v>「優しいのと激しいのどっちがいい…？」オカズにしていた彼は可愛い顔してBIGサイズ！？妄想以上にエッチな彼との情事はとっても気持ちよくて…――性欲が強すぎて恋愛を諦めたOL東雲澄恋。そんな澄恋の日課は、配達にくる好みの体のお兄さんをオカズに一人エッチ。もし彼とエッチなことができたら――妄想が止まらない日々。だけど、ある出来事から彼と体の関係に！？舌を絡める熱いキスと大きなアソコを舐めるだけで体は蕩けて…「もう、挿れるね…？」愛されてるみたいに奥まで何度も貫かれたらナカ締めつけちゃう…！この関係がずっと続けばいいのに♪と思っていたら、新入社員として彼が入社してきて…私これからどうなっちゃうの！？</v>
      </c>
      <c r="W1886" s="14"/>
      <c r="X1886" s="14" t="str">
        <f>IFERROR(__xludf.DUMMYFUNCTION("""COMPUTED_VALUE"""),"有")</f>
        <v>有</v>
      </c>
      <c r="Y1886" s="8" t="str">
        <f>IFERROR(__xludf.DUMMYFUNCTION("""COMPUTED_VALUE"""),"2024/9/27まで立ち読み増量P20まで")</f>
        <v>2024/9/27まで立ち読み増量P20まで</v>
      </c>
      <c r="Z1886" s="7"/>
      <c r="AA1886" s="7"/>
      <c r="AB1886" s="7"/>
    </row>
    <row r="1887" ht="15.75" customHeight="1">
      <c r="A1887" s="66">
        <f>IFERROR(__xludf.DUMMYFUNCTION("""COMPUTED_VALUE"""),3671.0)</f>
        <v>3671</v>
      </c>
      <c r="B1887" s="75" t="str">
        <f>IFERROR(__xludf.DUMMYFUNCTION("""COMPUTED_VALUE"""),"確定")</f>
        <v>確定</v>
      </c>
      <c r="C1887" s="68">
        <f>IFERROR(__xludf.DUMMYFUNCTION("""COMPUTED_VALUE"""),45463.0)</f>
        <v>45463</v>
      </c>
      <c r="D1887" s="68">
        <f>IFERROR(__xludf.DUMMYFUNCTION("""COMPUTED_VALUE"""),45502.0)</f>
        <v>45502</v>
      </c>
      <c r="E1887" s="31">
        <f>IFERROR(__xludf.DUMMYFUNCTION("""COMPUTED_VALUE"""),299830.0)</f>
        <v>299830</v>
      </c>
      <c r="F1887" s="31" t="str">
        <f>IFERROR(__xludf.DUMMYFUNCTION("""COMPUTED_VALUE"""),"バニラの甘さを証明せよ")</f>
        <v>バニラの甘さを証明せよ</v>
      </c>
      <c r="G1887" s="11" t="str">
        <f>IFERROR(__xludf.DUMMYFUNCTION("""COMPUTED_VALUE"""),"1～2")</f>
        <v>1～2</v>
      </c>
      <c r="H1887" s="75" t="str">
        <f>IFERROR(__xludf.DUMMYFUNCTION("""COMPUTED_VALUE"""),"峠本")</f>
        <v>峠本</v>
      </c>
      <c r="I1887" s="75" t="str">
        <f>IFERROR(__xludf.DUMMYFUNCTION("""COMPUTED_VALUE"""),"BL")</f>
        <v>BL</v>
      </c>
      <c r="J1887" s="75"/>
      <c r="K1887" s="75"/>
      <c r="L1887" s="75" t="str">
        <f>IFERROR(__xludf.DUMMYFUNCTION("""COMPUTED_VALUE"""),"CLLENN")</f>
        <v>CLLENN</v>
      </c>
      <c r="M1887" s="59">
        <f>IFERROR(__xludf.DUMMYFUNCTION("""COMPUTED_VALUE"""),45526.0)</f>
        <v>45526</v>
      </c>
      <c r="N1887" s="94">
        <f>IFERROR(__xludf.DUMMYFUNCTION("""COMPUTED_VALUE"""),45588.0)</f>
        <v>45588</v>
      </c>
      <c r="O1887" s="75"/>
      <c r="P1887" s="80" t="str">
        <f>IFERROR(__xludf.DUMMYFUNCTION("""COMPUTED_VALUE"""),"可")</f>
        <v>可</v>
      </c>
      <c r="Q1887" s="75" t="str">
        <f>IFERROR(__xludf.DUMMYFUNCTION("""COMPUTED_VALUE"""),"広告コミットOK(6/25)")</f>
        <v>広告コミットOK(6/25)</v>
      </c>
      <c r="R1887" s="75" t="str">
        <f>IFERROR(__xludf.DUMMYFUNCTION("""COMPUTED_VALUE"""),"格納済み")</f>
        <v>格納済み</v>
      </c>
      <c r="S1887" s="75" t="str">
        <f>IFERROR(__xludf.DUMMYFUNCTION("""COMPUTED_VALUE"""),"20240729_CLLENN_バニラの甘さを証明せよ")</f>
        <v>20240729_CLLENN_バニラの甘さを証明せよ</v>
      </c>
      <c r="T1887" s="96" t="str">
        <f>IFERROR(__xludf.DUMMYFUNCTION("""COMPUTED_VALUE"""),"格納済み")</f>
        <v>格納済み</v>
      </c>
      <c r="U1887" s="15" t="str">
        <f>IFERROR(__xludf.DUMMYFUNCTION("""COMPUTED_VALUE"""),"(C)峠本/CLLENN")</f>
        <v>(C)峠本/CLLENN</v>
      </c>
      <c r="V1887" s="8" t="str">
        <f>IFERROR(__xludf.DUMMYFUNCTION("""COMPUTED_VALUE"""),"蜂須賀祐樹（はちすかゆき）は、自己愛強めな超絶美形学生。同じ学校に通う美形の弟・巳稀（みき）が連れてきたのは、ド平凡顔の陽太（ひなた）。ある日、祐樹は変質者に遭遇している陽太を目撃する。自分で対処できるだろうと思っていたが、まったく気付いていない様子で!?見るに見かねて助けてからというものの、無防備な陽太が何故か気になって、ついつい面倒を見てしまう。高鳴る鼓動…これは不整脈……？陽太が一人で撃退できるよう、変質者役として陽太の身体を触ることになった祐樹だが――尻の位置が高い…ほどよく丸みがあって柔らかい…"&amp;"…なめらかなうなじに、きらめく瞳。なんとなく目が離せない――いや、あり得ん。俺がこんな平凡な奴に見惚れるはずがないっ!!美形ナルシスト×平凡元気っ子のちぐはぐラブコメディー!!")</f>
        <v>蜂須賀祐樹（はちすかゆき）は、自己愛強めな超絶美形学生。同じ学校に通う美形の弟・巳稀（みき）が連れてきたのは、ド平凡顔の陽太（ひなた）。ある日、祐樹は変質者に遭遇している陽太を目撃する。自分で対処できるだろうと思っていたが、まったく気付いていない様子で!?見るに見かねて助けてからというものの、無防備な陽太が何故か気になって、ついつい面倒を見てしまう。高鳴る鼓動…これは不整脈……？陽太が一人で撃退できるよう、変質者役として陽太の身体を触ることになった祐樹だが――尻の位置が高い…ほどよく丸みがあって柔らかい……なめらかなうなじに、きらめく瞳。なんとなく目が離せない――いや、あり得ん。俺がこんな平凡な奴に見惚れるはずがないっ!!美形ナルシスト×平凡元気っ子のちぐはぐラブコメディー!!</v>
      </c>
      <c r="W1887" s="14"/>
      <c r="X1887" s="14" t="str">
        <f>IFERROR(__xludf.DUMMYFUNCTION("""COMPUTED_VALUE"""),"有")</f>
        <v>有</v>
      </c>
      <c r="Y1887" s="8" t="str">
        <f>IFERROR(__xludf.DUMMYFUNCTION("""COMPUTED_VALUE"""),"2024/9/4まで立ち読み増量P19まで")</f>
        <v>2024/9/4まで立ち読み増量P19まで</v>
      </c>
      <c r="Z1887" s="7"/>
      <c r="AA1887" s="7"/>
      <c r="AB1887" s="7"/>
    </row>
    <row r="1888" ht="15.75" customHeight="1">
      <c r="A1888" s="66">
        <f>IFERROR(__xludf.DUMMYFUNCTION("""COMPUTED_VALUE"""),3677.0)</f>
        <v>3677</v>
      </c>
      <c r="B1888" s="75" t="str">
        <f>IFERROR(__xludf.DUMMYFUNCTION("""COMPUTED_VALUE"""),"確定")</f>
        <v>確定</v>
      </c>
      <c r="C1888" s="68">
        <f>IFERROR(__xludf.DUMMYFUNCTION("""COMPUTED_VALUE"""),45467.0)</f>
        <v>45467</v>
      </c>
      <c r="D1888" s="68">
        <f>IFERROR(__xludf.DUMMYFUNCTION("""COMPUTED_VALUE"""),45502.0)</f>
        <v>45502</v>
      </c>
      <c r="E1888" s="31">
        <f>IFERROR(__xludf.DUMMYFUNCTION("""COMPUTED_VALUE"""),299968.0)</f>
        <v>299968</v>
      </c>
      <c r="F1888" s="31" t="str">
        <f>IFERROR(__xludf.DUMMYFUNCTION("""COMPUTED_VALUE"""),"203号の隣人は鍵束一つ残して消えた。【R版】")</f>
        <v>203号の隣人は鍵束一つ残して消えた。【R版】</v>
      </c>
      <c r="G1888" s="69" t="str">
        <f>IFERROR(__xludf.DUMMYFUNCTION("""COMPUTED_VALUE"""),"1～4")</f>
        <v>1～4</v>
      </c>
      <c r="H1888" s="75" t="str">
        <f>IFERROR(__xludf.DUMMYFUNCTION("""COMPUTED_VALUE"""),"閏あくあ┴parasite garden")</f>
        <v>閏あくあ┴parasite garden</v>
      </c>
      <c r="I1888" s="75" t="str">
        <f>IFERROR(__xludf.DUMMYFUNCTION("""COMPUTED_VALUE"""),"オトナ")</f>
        <v>オトナ</v>
      </c>
      <c r="J1888" s="75"/>
      <c r="K1888" s="75"/>
      <c r="L1888" s="75" t="str">
        <f>IFERROR(__xludf.DUMMYFUNCTION("""COMPUTED_VALUE"""),"ブリック出版")</f>
        <v>ブリック出版</v>
      </c>
      <c r="M1888" s="59">
        <f>IFERROR(__xludf.DUMMYFUNCTION("""COMPUTED_VALUE"""),45527.0)</f>
        <v>45527</v>
      </c>
      <c r="N1888" s="94">
        <f>IFERROR(__xludf.DUMMYFUNCTION("""COMPUTED_VALUE"""),45687.70833333333)</f>
        <v>45687.70833</v>
      </c>
      <c r="O1888" s="75"/>
      <c r="P1888" s="80" t="str">
        <f>IFERROR(__xludf.DUMMYFUNCTION("""COMPUTED_VALUE"""),"可")</f>
        <v>可</v>
      </c>
      <c r="Q1888" s="72" t="str">
        <f>IFERROR(__xludf.DUMMYFUNCTION("""COMPUTED_VALUE"""),"河上さん事前コミット済みの作品です。")</f>
        <v>河上さん事前コミット済みの作品です。</v>
      </c>
      <c r="R1888" s="75"/>
      <c r="S1888" s="75" t="str">
        <f>IFERROR(__xludf.DUMMYFUNCTION("""COMPUTED_VALUE"""),"20240729_BookLive_203号の隣人は鍵束一つ残して消えた。【R版】")</f>
        <v>20240729_BookLive_203号の隣人は鍵束一つ残して消えた。【R版】</v>
      </c>
      <c r="T1888" s="75" t="str">
        <f>IFERROR(__xludf.DUMMYFUNCTION("""COMPUTED_VALUE"""),"格納済み")</f>
        <v>格納済み</v>
      </c>
      <c r="U1888" s="15" t="str">
        <f>IFERROR(__xludf.DUMMYFUNCTION("""COMPUTED_VALUE"""),"(c)閏あくあ/蓮井子鹿/parasite garden/ブリック出版")</f>
        <v>(c)閏あくあ/蓮井子鹿/parasite garden/ブリック出版</v>
      </c>
      <c r="V1888" s="8" t="str">
        <f>IFERROR(__xludf.DUMMYFUNCTION("""COMPUTED_VALUE"""),"優しくて朗らかな素敵な隣人鞍馬凪人の正体は――？
私のお隣さん、鞍馬凪人さんは凄く素敵な人。
優しくて朗らかでいつもニコニコしていて、私にいつもよくしてくれる。
私はそんなお隣さんが好きになってしまった。
でも……恋愛下手というか好意の伝え方が分からなくてストーカーまがいの行為をしてしまう、そんな自分にいつも自己嫌悪していた。
でも、ある日知ってしまった。彼は私がストーカーまがいの行為をしているのを全て知っている。
知っているうえで優しくしてくれている。
罪悪感でいっぱい"&amp;"になってしまった私は、彼から離れなくちゃと引っ越しを決意した。
引っ越しの当日、鞍馬さんに挨拶に行った私は自分がストーカーであることを告白し謝罪した。
だけど鞍馬さんは「知っている」と楽しそうに笑って私を部屋に引き入れる。
彼の部屋にあった物は――
※本作は閏あくあの個人誌作品の電子書籍版となります。【24ページ】
※本作は『203号の隣人は鍵束一つ残して消えた。』の修正をやや弱めたものです。内容に差異はありません。")</f>
        <v>優しくて朗らかな素敵な隣人鞍馬凪人の正体は――？
私のお隣さん、鞍馬凪人さんは凄く素敵な人。
優しくて朗らかでいつもニコニコしていて、私にいつもよくしてくれる。
私はそんなお隣さんが好きになってしまった。
でも……恋愛下手というか好意の伝え方が分からなくてストーカーまがいの行為をしてしまう、そんな自分にいつも自己嫌悪していた。
でも、ある日知ってしまった。彼は私がストーカーまがいの行為をしているのを全て知っている。
知っているうえで優しくしてくれている。
罪悪感でいっぱいになってしまった私は、彼から離れなくちゃと引っ越しを決意した。
引っ越しの当日、鞍馬さんに挨拶に行った私は自分がストーカーであることを告白し謝罪した。
だけど鞍馬さんは「知っている」と楽しそうに笑って私を部屋に引き入れる。
彼の部屋にあった物は――
※本作は閏あくあの個人誌作品の電子書籍版となります。【24ページ】
※本作は『203号の隣人は鍵束一つ残して消えた。』の修正をやや弱めたものです。内容に差異はありません。</v>
      </c>
      <c r="W1888" s="14"/>
      <c r="X1888" s="14" t="str">
        <f>IFERROR(__xludf.DUMMYFUNCTION("""COMPUTED_VALUE"""),"有")</f>
        <v>有</v>
      </c>
      <c r="Y1888" s="8" t="str">
        <f>IFERROR(__xludf.DUMMYFUNCTION("""COMPUTED_VALUE"""),"P16まで")</f>
        <v>P16まで</v>
      </c>
      <c r="Z1888" s="7"/>
      <c r="AA1888" s="7"/>
      <c r="AB1888" s="7"/>
    </row>
    <row r="1889" ht="15.75" customHeight="1">
      <c r="A1889" s="66">
        <f>IFERROR(__xludf.DUMMYFUNCTION("""COMPUTED_VALUE"""),3678.0)</f>
        <v>3678</v>
      </c>
      <c r="B1889" s="75" t="str">
        <f>IFERROR(__xludf.DUMMYFUNCTION("""COMPUTED_VALUE"""),"確定")</f>
        <v>確定</v>
      </c>
      <c r="C1889" s="68">
        <f>IFERROR(__xludf.DUMMYFUNCTION("""COMPUTED_VALUE"""),45467.0)</f>
        <v>45467</v>
      </c>
      <c r="D1889" s="68">
        <f>IFERROR(__xludf.DUMMYFUNCTION("""COMPUTED_VALUE"""),45502.0)</f>
        <v>45502</v>
      </c>
      <c r="E1889" s="31">
        <f>IFERROR(__xludf.DUMMYFUNCTION("""COMPUTED_VALUE"""),299964.0)</f>
        <v>299964</v>
      </c>
      <c r="F1889" s="31" t="str">
        <f>IFERROR(__xludf.DUMMYFUNCTION("""COMPUTED_VALUE"""),"203号の隣人は鍵束一つ残して消えた。")</f>
        <v>203号の隣人は鍵束一つ残して消えた。</v>
      </c>
      <c r="G1889" s="69" t="str">
        <f>IFERROR(__xludf.DUMMYFUNCTION("""COMPUTED_VALUE"""),"1～4")</f>
        <v>1～4</v>
      </c>
      <c r="H1889" s="75" t="str">
        <f>IFERROR(__xludf.DUMMYFUNCTION("""COMPUTED_VALUE"""),"閏あくあ┴parasite garden")</f>
        <v>閏あくあ┴parasite garden</v>
      </c>
      <c r="I1889" s="75" t="str">
        <f>IFERROR(__xludf.DUMMYFUNCTION("""COMPUTED_VALUE"""),"TL")</f>
        <v>TL</v>
      </c>
      <c r="J1889" s="75"/>
      <c r="K1889" s="75"/>
      <c r="L1889" s="75" t="str">
        <f>IFERROR(__xludf.DUMMYFUNCTION("""COMPUTED_VALUE"""),"ブリック出版")</f>
        <v>ブリック出版</v>
      </c>
      <c r="M1889" s="59">
        <f>IFERROR(__xludf.DUMMYFUNCTION("""COMPUTED_VALUE"""),45527.0)</f>
        <v>45527</v>
      </c>
      <c r="N1889" s="94">
        <f>IFERROR(__xludf.DUMMYFUNCTION("""COMPUTED_VALUE"""),45687.70833333333)</f>
        <v>45687.70833</v>
      </c>
      <c r="O1889" s="75"/>
      <c r="P1889" s="80" t="str">
        <f>IFERROR(__xludf.DUMMYFUNCTION("""COMPUTED_VALUE"""),"可")</f>
        <v>可</v>
      </c>
      <c r="Q1889" s="72" t="str">
        <f>IFERROR(__xludf.DUMMYFUNCTION("""COMPUTED_VALUE"""),"河上さん事前コミット済みの作品です。")</f>
        <v>河上さん事前コミット済みの作品です。</v>
      </c>
      <c r="R1889" s="75"/>
      <c r="S1889" s="75" t="str">
        <f>IFERROR(__xludf.DUMMYFUNCTION("""COMPUTED_VALUE"""),"20240729_BookLive_203号の隣人は鍵束一つ残して消えた。")</f>
        <v>20240729_BookLive_203号の隣人は鍵束一つ残して消えた。</v>
      </c>
      <c r="T1889" s="75" t="str">
        <f>IFERROR(__xludf.DUMMYFUNCTION("""COMPUTED_VALUE"""),"格納済み")</f>
        <v>格納済み</v>
      </c>
      <c r="U1889" s="15" t="str">
        <f>IFERROR(__xludf.DUMMYFUNCTION("""COMPUTED_VALUE"""),"(c)閏あくあ/蓮井子鹿/parasite garden/ブリック出版")</f>
        <v>(c)閏あくあ/蓮井子鹿/parasite garden/ブリック出版</v>
      </c>
      <c r="V1889" s="8" t="str">
        <f>IFERROR(__xludf.DUMMYFUNCTION("""COMPUTED_VALUE"""),"優しくて朗らかな素敵な隣人鞍馬凪人の正体は――？
私のお隣さん、鞍馬凪人さんは凄く素敵な人。
優しくて朗らかでいつもニコニコしていて、私にいつもよくしてくれる。
私はそんなお隣さんが好きになってしまった。
でも……恋愛下手というか好意の伝え方が分からなくてストーカーまがいの行為をしてしまう、そんな自分にいつも自己嫌悪していた。
でも、ある日知ってしまった。彼は私がストーカーまがいの行為をしているのを全て知っている。
知っているうえで優しくしてくれている。
罪悪感でいっぱい"&amp;"になってしまった私は、彼から離れなくちゃと引っ越しを決意した。
引っ越しの当日、鞍馬さんに挨拶に行った私は自分がストーカーであることを告白し謝罪した。
だけど鞍馬さんは「知っている」と楽しそうに笑って私を部屋に引き入れる。
彼の部屋にあった物は――
※本作は閏あくあ、蓮井子鹿の個人誌作品の電子書籍版となります。【24ページ】")</f>
        <v>優しくて朗らかな素敵な隣人鞍馬凪人の正体は――？
私のお隣さん、鞍馬凪人さんは凄く素敵な人。
優しくて朗らかでいつもニコニコしていて、私にいつもよくしてくれる。
私はそんなお隣さんが好きになってしまった。
でも……恋愛下手というか好意の伝え方が分からなくてストーカーまがいの行為をしてしまう、そんな自分にいつも自己嫌悪していた。
でも、ある日知ってしまった。彼は私がストーカーまがいの行為をしているのを全て知っている。
知っているうえで優しくしてくれている。
罪悪感でいっぱいになってしまった私は、彼から離れなくちゃと引っ越しを決意した。
引っ越しの当日、鞍馬さんに挨拶に行った私は自分がストーカーであることを告白し謝罪した。
だけど鞍馬さんは「知っている」と楽しそうに笑って私を部屋に引き入れる。
彼の部屋にあった物は――
※本作は閏あくあ、蓮井子鹿の個人誌作品の電子書籍版となります。【24ページ】</v>
      </c>
      <c r="W1889" s="14"/>
      <c r="X1889" s="14" t="str">
        <f>IFERROR(__xludf.DUMMYFUNCTION("""COMPUTED_VALUE"""),"有")</f>
        <v>有</v>
      </c>
      <c r="Y1889" s="8" t="str">
        <f>IFERROR(__xludf.DUMMYFUNCTION("""COMPUTED_VALUE"""),"P16まで")</f>
        <v>P16まで</v>
      </c>
      <c r="Z1889" s="7"/>
      <c r="AA1889" s="7"/>
      <c r="AB1889" s="7"/>
    </row>
    <row r="1890" ht="15.75" customHeight="1">
      <c r="A1890" s="66">
        <f>IFERROR(__xludf.DUMMYFUNCTION("""COMPUTED_VALUE"""),3709.0)</f>
        <v>3709</v>
      </c>
      <c r="B1890" s="75" t="str">
        <f>IFERROR(__xludf.DUMMYFUNCTION("""COMPUTED_VALUE"""),"確定")</f>
        <v>確定</v>
      </c>
      <c r="C1890" s="68">
        <f>IFERROR(__xludf.DUMMYFUNCTION("""COMPUTED_VALUE"""),45470.0)</f>
        <v>45470</v>
      </c>
      <c r="D1890" s="68">
        <f>IFERROR(__xludf.DUMMYFUNCTION("""COMPUTED_VALUE"""),45504.0)</f>
        <v>45504</v>
      </c>
      <c r="E1890" s="31">
        <f>IFERROR(__xludf.DUMMYFUNCTION("""COMPUTED_VALUE"""),298719.0)</f>
        <v>298719</v>
      </c>
      <c r="F1890" s="31" t="str">
        <f>IFERROR(__xludf.DUMMYFUNCTION("""COMPUTED_VALUE"""),"カラオケチャレンジ －高得点でJK店員が淫らなサービス－")</f>
        <v>カラオケチャレンジ －高得点でJK店員が淫らなサービス－</v>
      </c>
      <c r="G1890" s="69">
        <f>IFERROR(__xludf.DUMMYFUNCTION("""COMPUTED_VALUE"""),1.0)</f>
        <v>1</v>
      </c>
      <c r="H1890" s="75" t="str">
        <f>IFERROR(__xludf.DUMMYFUNCTION("""COMPUTED_VALUE"""),"鼠の母")</f>
        <v>鼠の母</v>
      </c>
      <c r="I1890" s="75" t="str">
        <f>IFERROR(__xludf.DUMMYFUNCTION("""COMPUTED_VALUE"""),"オトナ")</f>
        <v>オトナ</v>
      </c>
      <c r="J1890" s="75"/>
      <c r="K1890" s="75"/>
      <c r="L1890" s="75" t="str">
        <f>IFERROR(__xludf.DUMMYFUNCTION("""COMPUTED_VALUE"""),"ナイトコミック")</f>
        <v>ナイトコミック</v>
      </c>
      <c r="M1890" s="59">
        <f>IFERROR(__xludf.DUMMYFUNCTION("""COMPUTED_VALUE"""),45506.0)</f>
        <v>45506</v>
      </c>
      <c r="N1890" s="59">
        <f>IFERROR(__xludf.DUMMYFUNCTION("""COMPUTED_VALUE"""),45568.0)</f>
        <v>45568</v>
      </c>
      <c r="O1890" s="75"/>
      <c r="P1890" s="80" t="str">
        <f>IFERROR(__xludf.DUMMYFUNCTION("""COMPUTED_VALUE"""),"可")</f>
        <v>可</v>
      </c>
      <c r="Q1890" s="72" t="str">
        <f>IFERROR(__xludf.DUMMYFUNCTION("""COMPUTED_VALUE"""),"広告コミットOK(7/2)")</f>
        <v>広告コミットOK(7/2)</v>
      </c>
      <c r="R1890" s="75"/>
      <c r="S1890" s="75" t="str">
        <f>IFERROR(__xludf.DUMMYFUNCTION("""COMPUTED_VALUE"""),"20240730_ナイトコミック_カラオケチャレンジ")</f>
        <v>20240730_ナイトコミック_カラオケチャレンジ</v>
      </c>
      <c r="T1890" s="75" t="str">
        <f>IFERROR(__xludf.DUMMYFUNCTION("""COMPUTED_VALUE"""),"格納済み")</f>
        <v>格納済み</v>
      </c>
      <c r="U1890" s="15" t="str">
        <f>IFERROR(__xludf.DUMMYFUNCTION("""COMPUTED_VALUE"""),"©鼠の母")</f>
        <v>©鼠の母</v>
      </c>
      <c r="V1890" s="8" t="str">
        <f>IFERROR(__xludf.DUMMYFUNCTION("""COMPUTED_VALUE"""),"コロナで崖っぷちに陥ったカラオケ店が打った策は「ちょっとエッチなイベントで集客する」だった。カラオケを歌って高得点であればあるほど、得点に応じたエロエロプレイをJKスタッフにサービスしてもらえる大反響企画！「タイプの違うJKとあんな事やこんな事...」どすけべJKの即尺も、ギャル系JKの内緒の処女も、点数次第であなたのモノ！そして100点ゲットの先に待っているのは...？？")</f>
        <v>コロナで崖っぷちに陥ったカラオケ店が打った策は「ちょっとエッチなイベントで集客する」だった。カラオケを歌って高得点であればあるほど、得点に応じたエロエロプレイをJKスタッフにサービスしてもらえる大反響企画！「タイプの違うJKとあんな事やこんな事...」どすけべJKの即尺も、ギャル系JKの内緒の処女も、点数次第であなたのモノ！そして100点ゲットの先に待っているのは...？？</v>
      </c>
      <c r="W1890" s="14"/>
      <c r="X1890" s="14" t="str">
        <f>IFERROR(__xludf.DUMMYFUNCTION("""COMPUTED_VALUE"""),"有")</f>
        <v>有</v>
      </c>
      <c r="Y1890" s="8" t="str">
        <f>IFERROR(__xludf.DUMMYFUNCTION("""COMPUTED_VALUE"""),"2024/8/15まで立ち読み増量P17まで")</f>
        <v>2024/8/15まで立ち読み増量P17まで</v>
      </c>
      <c r="Z1890" s="7"/>
      <c r="AA1890" s="7"/>
      <c r="AB1890" s="7"/>
    </row>
    <row r="1891" ht="15.75" customHeight="1">
      <c r="A1891" s="66">
        <f>IFERROR(__xludf.DUMMYFUNCTION("""COMPUTED_VALUE"""),3720.0)</f>
        <v>3720</v>
      </c>
      <c r="B1891" s="75" t="str">
        <f>IFERROR(__xludf.DUMMYFUNCTION("""COMPUTED_VALUE"""),"確定")</f>
        <v>確定</v>
      </c>
      <c r="C1891" s="68">
        <f>IFERROR(__xludf.DUMMYFUNCTION("""COMPUTED_VALUE"""),45470.0)</f>
        <v>45470</v>
      </c>
      <c r="D1891" s="68">
        <f>IFERROR(__xludf.DUMMYFUNCTION("""COMPUTED_VALUE"""),45502.0)</f>
        <v>45502</v>
      </c>
      <c r="E1891" s="31">
        <f>IFERROR(__xludf.DUMMYFUNCTION("""COMPUTED_VALUE"""),299242.0)</f>
        <v>299242</v>
      </c>
      <c r="F1891" s="31" t="str">
        <f>IFERROR(__xludf.DUMMYFUNCTION("""COMPUTED_VALUE"""),"夜をこえて、ふたりで")</f>
        <v>夜をこえて、ふたりで</v>
      </c>
      <c r="G1891" s="69" t="str">
        <f>IFERROR(__xludf.DUMMYFUNCTION("""COMPUTED_VALUE"""),"1～3")</f>
        <v>1～3</v>
      </c>
      <c r="H1891" s="67">
        <f>IFERROR(__xludf.DUMMYFUNCTION("""COMPUTED_VALUE"""),81.0)</f>
        <v>81</v>
      </c>
      <c r="I1891" s="75" t="str">
        <f>IFERROR(__xludf.DUMMYFUNCTION("""COMPUTED_VALUE"""),"BL")</f>
        <v>BL</v>
      </c>
      <c r="J1891" s="75"/>
      <c r="K1891" s="75"/>
      <c r="L1891" s="75" t="str">
        <f>IFERROR(__xludf.DUMMYFUNCTION("""COMPUTED_VALUE"""),"MUGENUP")</f>
        <v>MUGENUP</v>
      </c>
      <c r="M1891" s="59">
        <f>IFERROR(__xludf.DUMMYFUNCTION("""COMPUTED_VALUE"""),45507.0)</f>
        <v>45507</v>
      </c>
      <c r="N1891" s="59">
        <f>IFERROR(__xludf.DUMMYFUNCTION("""COMPUTED_VALUE"""),45598.0)</f>
        <v>45598</v>
      </c>
      <c r="O1891" s="75"/>
      <c r="P1891" s="80" t="str">
        <f>IFERROR(__xludf.DUMMYFUNCTION("""COMPUTED_VALUE"""),"可")</f>
        <v>可</v>
      </c>
      <c r="Q1891" s="75" t="str">
        <f>IFERROR(__xludf.DUMMYFUNCTION("""COMPUTED_VALUE"""),"広告コミットOK(7/4)&lt;BR&gt;※納品が遅れたため、初回配信日以降で可能な日程で出稿をお願いいたします。&lt;BR&gt;ちるちるアワード2024「次に来る部門」ノミネート作品『朝が来たら、ふたりは』の続編（同CP）になります。")</f>
        <v>広告コミットOK(7/4)&lt;BR&gt;※納品が遅れたため、初回配信日以降で可能な日程で出稿をお願いいたします。&lt;BR&gt;ちるちるアワード2024「次に来る部門」ノミネート作品『朝が来たら、ふたりは』の続編（同CP）になります。</v>
      </c>
      <c r="R1891" s="75" t="str">
        <f>IFERROR(__xludf.DUMMYFUNCTION("""COMPUTED_VALUE"""),"格納済み")</f>
        <v>格納済み</v>
      </c>
      <c r="S1891" s="75" t="str">
        <f>IFERROR(__xludf.DUMMYFUNCTION("""COMPUTED_VALUE"""),"20240729_MUGENUP_夜をこえて、ふたりで")</f>
        <v>20240729_MUGENUP_夜をこえて、ふたりで</v>
      </c>
      <c r="T1891" s="75" t="str">
        <f>IFERROR(__xludf.DUMMYFUNCTION("""COMPUTED_VALUE"""),"格納済み")</f>
        <v>格納済み</v>
      </c>
      <c r="U1891" s="15" t="str">
        <f>IFERROR(__xludf.DUMMYFUNCTION("""COMPUTED_VALUE"""),"（C）81／MUGENUP")</f>
        <v>（C）81／MUGENUP</v>
      </c>
      <c r="V1891" s="8" t="str">
        <f>IFERROR(__xludf.DUMMYFUNCTION("""COMPUTED_VALUE"""),"同じ会社に勤める藤井隼人(ふじいはやと)と甲斐悠介(かいゆうすけ)は様々な困難をともに乗り越え、晴れて恋人同士に。
互いの家を行き来しながら幸せな日々を過ごしていたふたりだが、お互い相手のことを想うがゆえに本音を出せず、少しずつすれ違っていく…。
「毎日、どんどん好きになる」
ともに朝を迎えることができたふたりは、さらなる困難を乗り越えることができるのか──？
性格も境遇も異なるふたりが紡ぐ、甘く切ないオフィスラブストーリー「朝が来たら、ふたりは」待望の続編。")</f>
        <v>同じ会社に勤める藤井隼人(ふじいはやと)と甲斐悠介(かいゆうすけ)は様々な困難をともに乗り越え、晴れて恋人同士に。
互いの家を行き来しながら幸せな日々を過ごしていたふたりだが、お互い相手のことを想うがゆえに本音を出せず、少しずつすれ違っていく…。
「毎日、どんどん好きになる」
ともに朝を迎えることができたふたりは、さらなる困難を乗り越えることができるのか──？
性格も境遇も異なるふたりが紡ぐ、甘く切ないオフィスラブストーリー「朝が来たら、ふたりは」待望の続編。</v>
      </c>
      <c r="W1891" s="14"/>
      <c r="X1891" s="14" t="str">
        <f>IFERROR(__xludf.DUMMYFUNCTION("""COMPUTED_VALUE"""),"有")</f>
        <v>有</v>
      </c>
      <c r="Y1891" s="8" t="str">
        <f>IFERROR(__xludf.DUMMYFUNCTION("""COMPUTED_VALUE"""),"2024/8/18まで1巻無料")</f>
        <v>2024/8/18まで1巻無料</v>
      </c>
      <c r="Z1891" s="7"/>
      <c r="AA1891" s="7"/>
      <c r="AB1891" s="7"/>
    </row>
    <row r="1892" ht="15.75" customHeight="1">
      <c r="A1892" s="66">
        <f>IFERROR(__xludf.DUMMYFUNCTION("""COMPUTED_VALUE"""),3730.0)</f>
        <v>3730</v>
      </c>
      <c r="B1892" s="75" t="str">
        <f>IFERROR(__xludf.DUMMYFUNCTION("""COMPUTED_VALUE"""),"確定")</f>
        <v>確定</v>
      </c>
      <c r="C1892" s="68">
        <f>IFERROR(__xludf.DUMMYFUNCTION("""COMPUTED_VALUE"""),45475.0)</f>
        <v>45475</v>
      </c>
      <c r="D1892" s="68">
        <f>IFERROR(__xludf.DUMMYFUNCTION("""COMPUTED_VALUE"""),45504.0)</f>
        <v>45504</v>
      </c>
      <c r="E1892" s="31">
        <f>IFERROR(__xludf.DUMMYFUNCTION("""COMPUTED_VALUE"""),300999.0)</f>
        <v>300999</v>
      </c>
      <c r="F1892" s="31" t="str">
        <f>IFERROR(__xludf.DUMMYFUNCTION("""COMPUTED_VALUE"""),"エリート弁護士は意地悪シたい")</f>
        <v>エリート弁護士は意地悪シたい</v>
      </c>
      <c r="G1892" s="69" t="str">
        <f>IFERROR(__xludf.DUMMYFUNCTION("""COMPUTED_VALUE"""),"1～3")</f>
        <v>1～3</v>
      </c>
      <c r="H1892" s="75" t="str">
        <f>IFERROR(__xludf.DUMMYFUNCTION("""COMPUTED_VALUE"""),"米子")</f>
        <v>米子</v>
      </c>
      <c r="I1892" s="75" t="str">
        <f>IFERROR(__xludf.DUMMYFUNCTION("""COMPUTED_VALUE"""),"女性")</f>
        <v>女性</v>
      </c>
      <c r="J1892" s="75"/>
      <c r="K1892" s="75"/>
      <c r="L1892" s="75" t="str">
        <f>IFERROR(__xludf.DUMMYFUNCTION("""COMPUTED_VALUE"""),"ボルテージ")</f>
        <v>ボルテージ</v>
      </c>
      <c r="M1892" s="59">
        <f>IFERROR(__xludf.DUMMYFUNCTION("""COMPUTED_VALUE"""),45540.0)</f>
        <v>45540</v>
      </c>
      <c r="N1892" s="47">
        <f>IFERROR(__xludf.DUMMYFUNCTION("""COMPUTED_VALUE"""),45619.0)</f>
        <v>45619</v>
      </c>
      <c r="O1892" s="75"/>
      <c r="P1892" s="80" t="str">
        <f>IFERROR(__xludf.DUMMYFUNCTION("""COMPUTED_VALUE"""),"可")</f>
        <v>可</v>
      </c>
      <c r="Q1892" s="72" t="str">
        <f>IFERROR(__xludf.DUMMYFUNCTION("""COMPUTED_VALUE"""),"広告コミットOK(7/10)")</f>
        <v>広告コミットOK(7/10)</v>
      </c>
      <c r="R1892" s="75"/>
      <c r="S1892" s="75" t="str">
        <f>IFERROR(__xludf.DUMMYFUNCTION("""COMPUTED_VALUE"""),"2240729_ボルテージ_エリート弁護士は意地悪シたい")</f>
        <v>2240729_ボルテージ_エリート弁護士は意地悪シたい</v>
      </c>
      <c r="T1892" s="75" t="str">
        <f>IFERROR(__xludf.DUMMYFUNCTION("""COMPUTED_VALUE"""),"格納済み")</f>
        <v>格納済み</v>
      </c>
      <c r="U1892" s="15" t="str">
        <f>IFERROR(__xludf.DUMMYFUNCTION("""COMPUTED_VALUE"""),"©ボルテージ・米子/ボルテージ")</f>
        <v>©ボルテージ・米子/ボルテージ</v>
      </c>
      <c r="V1892" s="8" t="str">
        <f>IFERROR(__xludf.DUMMYFUNCTION("""COMPUTED_VALUE"""),"「今日からあんたは俺に絶対服従。わかったか？世間知らずの下僕ちゃん」恋人に騙され風俗に売られた今野絵美（こんのえみ）を救ってくれたのは、イケメン弁護士・仁科尊（にしなたける）先生。まさに正義の味方…と思ったけれど…先生の専属アシスタントになったはずが、それは下僕生活の始まりで……!?突然の呼び出しで、24時間いつでもどこでも弄ばれて…。嫌なはずなのに、どうして拒めないの？ココロもカラダもおかしくなっていく…。「先生…この恋は、契約違反になりますか？」「100シーンの恋＋more」で配信中のエッチなリーガル"&amp;"・ラブ・待望の漫画化！")</f>
        <v>「今日からあんたは俺に絶対服従。わかったか？世間知らずの下僕ちゃん」恋人に騙され風俗に売られた今野絵美（こんのえみ）を救ってくれたのは、イケメン弁護士・仁科尊（にしなたける）先生。まさに正義の味方…と思ったけれど…先生の専属アシスタントになったはずが、それは下僕生活の始まりで……!?突然の呼び出しで、24時間いつでもどこでも弄ばれて…。嫌なはずなのに、どうして拒めないの？ココロもカラダもおかしくなっていく…。「先生…この恋は、契約違反になりますか？」「100シーンの恋＋more」で配信中のエッチなリーガル・ラブ・待望の漫画化！</v>
      </c>
      <c r="W1892" s="14"/>
      <c r="X1892" s="14" t="str">
        <f>IFERROR(__xludf.DUMMYFUNCTION("""COMPUTED_VALUE"""),"有")</f>
        <v>有</v>
      </c>
      <c r="Y1892" s="8" t="str">
        <f>IFERROR(__xludf.DUMMYFUNCTION("""COMPUTED_VALUE"""),"2024/11/22まで1巻無料")</f>
        <v>2024/11/22まで1巻無料</v>
      </c>
      <c r="Z1892" s="7"/>
      <c r="AA1892" s="7"/>
      <c r="AB1892" s="7"/>
    </row>
    <row r="1893" ht="15.75" customHeight="1">
      <c r="A1893" s="66">
        <f>IFERROR(__xludf.DUMMYFUNCTION("""COMPUTED_VALUE"""),3767.0)</f>
        <v>3767</v>
      </c>
      <c r="B1893" s="75" t="str">
        <f>IFERROR(__xludf.DUMMYFUNCTION("""COMPUTED_VALUE"""),"確定")</f>
        <v>確定</v>
      </c>
      <c r="C1893" s="68">
        <f>IFERROR(__xludf.DUMMYFUNCTION("""COMPUTED_VALUE"""),45482.0)</f>
        <v>45482</v>
      </c>
      <c r="D1893" s="68">
        <f>IFERROR(__xludf.DUMMYFUNCTION("""COMPUTED_VALUE"""),45504.0)</f>
        <v>45504</v>
      </c>
      <c r="E1893" s="31">
        <f>IFERROR(__xludf.DUMMYFUNCTION("""COMPUTED_VALUE"""),300912.0)</f>
        <v>300912</v>
      </c>
      <c r="F1893" s="31" t="str">
        <f>IFERROR(__xludf.DUMMYFUNCTION("""COMPUTED_VALUE"""),"いよくんとコウくん ～褐色ガチムチ男子が優男彼氏のデカチンねっとりセックスでアへ顔連続メスイキする話～")</f>
        <v>いよくんとコウくん ～褐色ガチムチ男子が優男彼氏のデカチンねっとりセックスでアへ顔連続メスイキする話～</v>
      </c>
      <c r="G1893" s="11" t="str">
        <f>IFERROR(__xludf.DUMMYFUNCTION("""COMPUTED_VALUE"""),"1～2")</f>
        <v>1～2</v>
      </c>
      <c r="H1893" s="75" t="str">
        <f>IFERROR(__xludf.DUMMYFUNCTION("""COMPUTED_VALUE"""),"ポ・メ・淳太郎┴おにく帝國")</f>
        <v>ポ・メ・淳太郎┴おにく帝國</v>
      </c>
      <c r="I1893" s="75" t="str">
        <f>IFERROR(__xludf.DUMMYFUNCTION("""COMPUTED_VALUE"""),"BL")</f>
        <v>BL</v>
      </c>
      <c r="J1893" s="83"/>
      <c r="K1893" s="83"/>
      <c r="L1893" s="83" t="str">
        <f>IFERROR(__xludf.DUMMYFUNCTION("""COMPUTED_VALUE"""),"クロスフォリオ出版")</f>
        <v>クロスフォリオ出版</v>
      </c>
      <c r="M1893" s="59">
        <f>IFERROR(__xludf.DUMMYFUNCTION("""COMPUTED_VALUE"""),45541.0)</f>
        <v>45541</v>
      </c>
      <c r="N1893" s="59">
        <f>IFERROR(__xludf.DUMMYFUNCTION("""COMPUTED_VALUE"""),45603.0)</f>
        <v>45603</v>
      </c>
      <c r="O1893" s="75"/>
      <c r="P1893" s="80" t="str">
        <f>IFERROR(__xludf.DUMMYFUNCTION("""COMPUTED_VALUE"""),"可")</f>
        <v>可</v>
      </c>
      <c r="Q1893" s="72" t="str">
        <f>IFERROR(__xludf.DUMMYFUNCTION("""COMPUTED_VALUE"""),"広告コミットOK(7/18)&lt;BR&gt;BookLiveとの2社先行です")</f>
        <v>広告コミットOK(7/18)&lt;BR&gt;BookLiveとの2社先行です</v>
      </c>
      <c r="R1893" s="75"/>
      <c r="S1893" s="75" t="str">
        <f>IFERROR(__xludf.DUMMYFUNCTION("""COMPUTED_VALUE"""),"20240729_BookLive_いよくんとコウくん")</f>
        <v>20240729_BookLive_いよくんとコウくん</v>
      </c>
      <c r="T1893" s="83" t="str">
        <f>IFERROR(__xludf.DUMMYFUNCTION("""COMPUTED_VALUE"""),"格納済み")</f>
        <v>格納済み</v>
      </c>
      <c r="U1893" s="15" t="str">
        <f>IFERROR(__xludf.DUMMYFUNCTION("""COMPUTED_VALUE"""),"(C)クロスフォリオ出版	")</f>
        <v>(C)クロスフォリオ出版	</v>
      </c>
      <c r="V1893" s="8" t="str">
        <f>IFERROR(__xludf.DUMMYFUNCTION("""COMPUTED_VALUE"""),"「あたまバカになる……っ!」
仔犬系彼氏、いよくんと出会って幸せいっぱいの男、コウくん。
可愛い彼氏のウブなところが可愛い!でもやっぱり求めてほしい!
我慢できないコウくん、遂に可愛い彼氏を自慢の身体で籠絡しようとしたら…?
(えっ?あれ?―――キスうますぎね…?)
コウくんの知らない雄を見せてくる仔犬だと思っていた可愛い彼氏に戸惑うコウくん。
可愛い彼氏に容赦なく奥の奥まで暴かれて、いつの間にかいよくん専用の女の子になっていく!
幸せがいっぱい詰まった恋人たちの激しい生ハメ"&amp;"イチャイチャセックス
激うまテク&amp;デカチンでイキ狂いが止まらない!
※本作はポ・メ・淳太郎の個人誌作品の電子書籍版となります。【21ページ】")</f>
        <v>「あたまバカになる……っ!」
仔犬系彼氏、いよくんと出会って幸せいっぱいの男、コウくん。
可愛い彼氏のウブなところが可愛い!でもやっぱり求めてほしい!
我慢できないコウくん、遂に可愛い彼氏を自慢の身体で籠絡しようとしたら…?
(えっ?あれ?―――キスうますぎね…?)
コウくんの知らない雄を見せてくる仔犬だと思っていた可愛い彼氏に戸惑うコウくん。
可愛い彼氏に容赦なく奥の奥まで暴かれて、いつの間にかいよくん専用の女の子になっていく!
幸せがいっぱい詰まった恋人たちの激しい生ハメイチャイチャセックス
激うまテク&amp;デカチンでイキ狂いが止まらない!
※本作はポ・メ・淳太郎の個人誌作品の電子書籍版となります。【21ページ】</v>
      </c>
      <c r="W1893" s="14"/>
      <c r="X1893" s="14" t="str">
        <f>IFERROR(__xludf.DUMMYFUNCTION("""COMPUTED_VALUE"""),"有")</f>
        <v>有</v>
      </c>
      <c r="Y1893" s="8" t="str">
        <f>IFERROR(__xludf.DUMMYFUNCTION("""COMPUTED_VALUE"""),"P9まで")</f>
        <v>P9まで</v>
      </c>
      <c r="Z1893" s="7"/>
      <c r="AA1893" s="7"/>
      <c r="AB1893" s="7"/>
    </row>
    <row r="1894" ht="15.75" customHeight="1">
      <c r="A1894" s="66">
        <f>IFERROR(__xludf.DUMMYFUNCTION("""COMPUTED_VALUE"""),3769.0)</f>
        <v>3769</v>
      </c>
      <c r="B1894" s="75" t="str">
        <f>IFERROR(__xludf.DUMMYFUNCTION("""COMPUTED_VALUE"""),"確定")</f>
        <v>確定</v>
      </c>
      <c r="C1894" s="68">
        <f>IFERROR(__xludf.DUMMYFUNCTION("""COMPUTED_VALUE"""),45483.0)</f>
        <v>45483</v>
      </c>
      <c r="D1894" s="68">
        <f>IFERROR(__xludf.DUMMYFUNCTION("""COMPUTED_VALUE"""),45504.0)</f>
        <v>45504</v>
      </c>
      <c r="E1894" s="31">
        <f>IFERROR(__xludf.DUMMYFUNCTION("""COMPUTED_VALUE"""),300913.0)</f>
        <v>300913</v>
      </c>
      <c r="F1894" s="31" t="str">
        <f>IFERROR(__xludf.DUMMYFUNCTION("""COMPUTED_VALUE"""),"エスカレート～くすぐったがり克服治療に付き合ってもらうだけのハズが、感じすぎ焦らされセックスで連続アクメする話～")</f>
        <v>エスカレート～くすぐったがり克服治療に付き合ってもらうだけのハズが、感じすぎ焦らされセックスで連続アクメする話～</v>
      </c>
      <c r="G1894" s="69" t="str">
        <f>IFERROR(__xludf.DUMMYFUNCTION("""COMPUTED_VALUE"""),"1～4")</f>
        <v>1～4</v>
      </c>
      <c r="H1894" s="75" t="str">
        <f>IFERROR(__xludf.DUMMYFUNCTION("""COMPUTED_VALUE"""),"ポ・メ・淳太郎┴おにく帝國")</f>
        <v>ポ・メ・淳太郎┴おにく帝國</v>
      </c>
      <c r="I1894" s="75" t="str">
        <f>IFERROR(__xludf.DUMMYFUNCTION("""COMPUTED_VALUE"""),"BL")</f>
        <v>BL</v>
      </c>
      <c r="J1894" s="83"/>
      <c r="K1894" s="83"/>
      <c r="L1894" s="83" t="str">
        <f>IFERROR(__xludf.DUMMYFUNCTION("""COMPUTED_VALUE"""),"クロスフォリオ出版")</f>
        <v>クロスフォリオ出版</v>
      </c>
      <c r="M1894" s="59">
        <f>IFERROR(__xludf.DUMMYFUNCTION("""COMPUTED_VALUE"""),45541.0)</f>
        <v>45541</v>
      </c>
      <c r="N1894" s="59">
        <f>IFERROR(__xludf.DUMMYFUNCTION("""COMPUTED_VALUE"""),45603.0)</f>
        <v>45603</v>
      </c>
      <c r="O1894" s="75"/>
      <c r="P1894" s="80" t="str">
        <f>IFERROR(__xludf.DUMMYFUNCTION("""COMPUTED_VALUE"""),"可")</f>
        <v>可</v>
      </c>
      <c r="Q1894" s="72" t="str">
        <f>IFERROR(__xludf.DUMMYFUNCTION("""COMPUTED_VALUE"""),"広告コミットOK(7/18)&lt;BR&gt;BookLiveとの2社先行です。")</f>
        <v>広告コミットOK(7/18)&lt;BR&gt;BookLiveとの2社先行です。</v>
      </c>
      <c r="R1894" s="75"/>
      <c r="S1894" s="75" t="str">
        <f>IFERROR(__xludf.DUMMYFUNCTION("""COMPUTED_VALUE"""),"20240729_BookLive_エスカレート")</f>
        <v>20240729_BookLive_エスカレート</v>
      </c>
      <c r="T1894" s="83" t="str">
        <f>IFERROR(__xludf.DUMMYFUNCTION("""COMPUTED_VALUE"""),"格納済み")</f>
        <v>格納済み</v>
      </c>
      <c r="U1894" s="15" t="str">
        <f>IFERROR(__xludf.DUMMYFUNCTION("""COMPUTED_VALUE"""),"(C)クロスフォリオ出版	")</f>
        <v>(C)クロスフォリオ出版	</v>
      </c>
      <c r="V1894" s="8" t="str">
        <f>IFERROR(__xludf.DUMMYFUNCTION("""COMPUTED_VALUE"""),"俺の幼馴染、ノンケなのにあまりにもドスケベすぎる…!
彼女にフラれたまこちゃん。原因は敏感すぎる身体?
そんな敏感な身体を克服するためにまこちゃんが頼ったのは幼馴染で親友の春くん。
「親友の頼みなら!」
克服のために身体中を撫でまわす春くんに、何故だか女の子の声が止まらないまこちゃん。
春くんが身体に触れるだけで、まこちゃんの身体がおかしくなっていく。
自分すら知らないところが、幼馴染によって暴かれて、乱されて、変えられていく。
(こんなつもりじゃなかったのに……っ!)
"&amp;"
―――俺すら知らないイイところ、春に全部バレてる…っ
回数を重ねるたびに二人の友情と性欲がぐちゃぐちゃに混ざり合い、行為がエスカレートしていく。
気づけば頭が焼けるほどの生ハメセックスにまこちゃんのメス声が止まらない…ッ!
これは幼馴染の関係……なのか?
※本作はポ・メ・淳太郎の個人誌作品の電子書籍版となります。【21ページ】")</f>
        <v>俺の幼馴染、ノンケなのにあまりにもドスケベすぎる…!
彼女にフラれたまこちゃん。原因は敏感すぎる身体?
そんな敏感な身体を克服するためにまこちゃんが頼ったのは幼馴染で親友の春くん。
「親友の頼みなら!」
克服のために身体中を撫でまわす春くんに、何故だか女の子の声が止まらないまこちゃん。
春くんが身体に触れるだけで、まこちゃんの身体がおかしくなっていく。
自分すら知らないところが、幼馴染によって暴かれて、乱されて、変えられていく。
(こんなつもりじゃなかったのに……っ!)
―――俺すら知らないイイところ、春に全部バレてる…っ
回数を重ねるたびに二人の友情と性欲がぐちゃぐちゃに混ざり合い、行為がエスカレートしていく。
気づけば頭が焼けるほどの生ハメセックスにまこちゃんのメス声が止まらない…ッ!
これは幼馴染の関係……なのか?
※本作はポ・メ・淳太郎の個人誌作品の電子書籍版となります。【21ページ】</v>
      </c>
      <c r="W1894" s="14"/>
      <c r="X1894" s="14" t="str">
        <f>IFERROR(__xludf.DUMMYFUNCTION("""COMPUTED_VALUE"""),"有")</f>
        <v>有</v>
      </c>
      <c r="Y1894" s="8" t="str">
        <f>IFERROR(__xludf.DUMMYFUNCTION("""COMPUTED_VALUE"""),"P12まで")</f>
        <v>P12まで</v>
      </c>
      <c r="Z1894" s="7"/>
      <c r="AA1894" s="7"/>
      <c r="AB1894" s="7"/>
    </row>
    <row r="1895" ht="15.75" customHeight="1">
      <c r="A1895" s="66">
        <f>IFERROR(__xludf.DUMMYFUNCTION("""COMPUTED_VALUE"""),3770.0)</f>
        <v>3770</v>
      </c>
      <c r="B1895" s="75" t="str">
        <f>IFERROR(__xludf.DUMMYFUNCTION("""COMPUTED_VALUE"""),"確定")</f>
        <v>確定</v>
      </c>
      <c r="C1895" s="68">
        <f>IFERROR(__xludf.DUMMYFUNCTION("""COMPUTED_VALUE"""),45483.0)</f>
        <v>45483</v>
      </c>
      <c r="D1895" s="68">
        <f>IFERROR(__xludf.DUMMYFUNCTION("""COMPUTED_VALUE"""),45504.0)</f>
        <v>45504</v>
      </c>
      <c r="E1895" s="31">
        <f>IFERROR(__xludf.DUMMYFUNCTION("""COMPUTED_VALUE"""),300914.0)</f>
        <v>300914</v>
      </c>
      <c r="F1895" s="31" t="str">
        <f>IFERROR(__xludf.DUMMYFUNCTION("""COMPUTED_VALUE"""),"蛇と蜘蛛")</f>
        <v>蛇と蜘蛛</v>
      </c>
      <c r="G1895" s="11" t="str">
        <f>IFERROR(__xludf.DUMMYFUNCTION("""COMPUTED_VALUE"""),"1～2")</f>
        <v>1～2</v>
      </c>
      <c r="H1895" s="75" t="str">
        <f>IFERROR(__xludf.DUMMYFUNCTION("""COMPUTED_VALUE"""),"心友┴心友っ…！")</f>
        <v>心友┴心友っ…！</v>
      </c>
      <c r="I1895" s="75" t="str">
        <f>IFERROR(__xludf.DUMMYFUNCTION("""COMPUTED_VALUE"""),"オトナ")</f>
        <v>オトナ</v>
      </c>
      <c r="J1895" s="83"/>
      <c r="K1895" s="83"/>
      <c r="L1895" s="83" t="str">
        <f>IFERROR(__xludf.DUMMYFUNCTION("""COMPUTED_VALUE"""),"クロスフォリオ出版")</f>
        <v>クロスフォリオ出版</v>
      </c>
      <c r="M1895" s="59">
        <f>IFERROR(__xludf.DUMMYFUNCTION("""COMPUTED_VALUE"""),45541.0)</f>
        <v>45541</v>
      </c>
      <c r="N1895" s="59">
        <f>IFERROR(__xludf.DUMMYFUNCTION("""COMPUTED_VALUE"""),45603.0)</f>
        <v>45603</v>
      </c>
      <c r="O1895" s="75"/>
      <c r="P1895" s="80" t="str">
        <f>IFERROR(__xludf.DUMMYFUNCTION("""COMPUTED_VALUE"""),"可")</f>
        <v>可</v>
      </c>
      <c r="Q1895" s="72" t="str">
        <f>IFERROR(__xludf.DUMMYFUNCTION("""COMPUTED_VALUE"""),"広告コミットOK(7/18)&lt;BR&gt;BookLiveとの2社先行です。")</f>
        <v>広告コミットOK(7/18)&lt;BR&gt;BookLiveとの2社先行です。</v>
      </c>
      <c r="R1895" s="75"/>
      <c r="S1895" s="75" t="str">
        <f>IFERROR(__xludf.DUMMYFUNCTION("""COMPUTED_VALUE"""),"20240729_BookLive_蛇と蜘蛛")</f>
        <v>20240729_BookLive_蛇と蜘蛛</v>
      </c>
      <c r="T1895" s="83" t="str">
        <f>IFERROR(__xludf.DUMMYFUNCTION("""COMPUTED_VALUE"""),"格納済み")</f>
        <v>格納済み</v>
      </c>
      <c r="U1895" s="15" t="str">
        <f>IFERROR(__xludf.DUMMYFUNCTION("""COMPUTED_VALUE"""),"(C)クロスフォリオ出版	")</f>
        <v>(C)クロスフォリオ出版	</v>
      </c>
      <c r="V1895" s="8" t="str">
        <f>IFERROR(__xludf.DUMMYFUNCTION("""COMPUTED_VALUE"""),"結婚と安定を求める彼女と同棲して3年。
凌ぐように日々を過ごしてきた冴えないサラリーマン・佐伯は、
やたらと鼻につく女上司・巳嵜（みさき）の裏アカで、
性欲とストレスを発散させる日々を送っていた。
巳嵜の完璧な仕事ぶりと高すぎる上昇志向、
失敗しても受け止めてくれる優しさ──
その全てに惨めになった佐伯は、二人きりの路地裏で、
巳嵜の素肌、そしてその奥に潜む本性を暴こうと襲いかかる。
しかし、巳嵜は取り乱すどころか、
そのまま佐伯の唇を奪ってきて──
そこから始まった、上司"&amp;"と部下の秘密の逢瀬。
彼女とはまるで違う、甘美なセックスに
佐伯はゆっくりと呑み込まれていく──
※本作は心友の個人誌作品の電子書籍版となります。【25ページ】")</f>
        <v>結婚と安定を求める彼女と同棲して3年。
凌ぐように日々を過ごしてきた冴えないサラリーマン・佐伯は、
やたらと鼻につく女上司・巳嵜（みさき）の裏アカで、
性欲とストレスを発散させる日々を送っていた。
巳嵜の完璧な仕事ぶりと高すぎる上昇志向、
失敗しても受け止めてくれる優しさ──
その全てに惨めになった佐伯は、二人きりの路地裏で、
巳嵜の素肌、そしてその奥に潜む本性を暴こうと襲いかかる。
しかし、巳嵜は取り乱すどころか、
そのまま佐伯の唇を奪ってきて──
そこから始まった、上司と部下の秘密の逢瀬。
彼女とはまるで違う、甘美なセックスに
佐伯はゆっくりと呑み込まれていく──
※本作は心友の個人誌作品の電子書籍版となります。【25ページ】</v>
      </c>
      <c r="W1895" s="14"/>
      <c r="X1895" s="14" t="str">
        <f>IFERROR(__xludf.DUMMYFUNCTION("""COMPUTED_VALUE"""),"有")</f>
        <v>有</v>
      </c>
      <c r="Y1895" s="8" t="str">
        <f>IFERROR(__xludf.DUMMYFUNCTION("""COMPUTED_VALUE"""),"P13まで")</f>
        <v>P13まで</v>
      </c>
      <c r="Z1895" s="7"/>
      <c r="AA1895" s="7"/>
      <c r="AB1895" s="7"/>
    </row>
    <row r="1896" ht="15.75" customHeight="1">
      <c r="A1896" s="66">
        <f>IFERROR(__xludf.DUMMYFUNCTION("""COMPUTED_VALUE"""),3811.0)</f>
        <v>3811</v>
      </c>
      <c r="B1896" s="75" t="str">
        <f>IFERROR(__xludf.DUMMYFUNCTION("""COMPUTED_VALUE"""),"確定")</f>
        <v>確定</v>
      </c>
      <c r="C1896" s="68">
        <f>IFERROR(__xludf.DUMMYFUNCTION("""COMPUTED_VALUE"""),45490.0)</f>
        <v>45490</v>
      </c>
      <c r="D1896" s="68">
        <f>IFERROR(__xludf.DUMMYFUNCTION("""COMPUTED_VALUE"""),45504.0)</f>
        <v>45504</v>
      </c>
      <c r="E1896" s="31">
        <f>IFERROR(__xludf.DUMMYFUNCTION("""COMPUTED_VALUE"""),299783.0)</f>
        <v>299783</v>
      </c>
      <c r="F1896" s="31" t="str">
        <f>IFERROR(__xludf.DUMMYFUNCTION("""COMPUTED_VALUE"""),"私の値段はいくらですか～彼女たちがパパ活する理由～")</f>
        <v>私の値段はいくらですか～彼女たちがパパ活する理由～</v>
      </c>
      <c r="G1896" s="11" t="str">
        <f>IFERROR(__xludf.DUMMYFUNCTION("""COMPUTED_VALUE"""),"1～2")</f>
        <v>1～2</v>
      </c>
      <c r="H1896" s="75" t="str">
        <f>IFERROR(__xludf.DUMMYFUNCTION("""COMPUTED_VALUE"""),"立花もぐら")</f>
        <v>立花もぐら</v>
      </c>
      <c r="I1896" s="75" t="str">
        <f>IFERROR(__xludf.DUMMYFUNCTION("""COMPUTED_VALUE"""),"女性")</f>
        <v>女性</v>
      </c>
      <c r="J1896" s="75"/>
      <c r="K1896" s="75"/>
      <c r="L1896" s="75" t="str">
        <f>IFERROR(__xludf.DUMMYFUNCTION("""COMPUTED_VALUE"""),"CLLENN")</f>
        <v>CLLENN</v>
      </c>
      <c r="M1896" s="59">
        <f>IFERROR(__xludf.DUMMYFUNCTION("""COMPUTED_VALUE"""),45526.0)</f>
        <v>45526</v>
      </c>
      <c r="N1896" s="94">
        <f>IFERROR(__xludf.DUMMYFUNCTION("""COMPUTED_VALUE"""),45589.0)</f>
        <v>45589</v>
      </c>
      <c r="O1896" s="75"/>
      <c r="P1896" s="71" t="str">
        <f>IFERROR(__xludf.DUMMYFUNCTION("""COMPUTED_VALUE"""),"可")</f>
        <v>可</v>
      </c>
      <c r="Q1896" s="75"/>
      <c r="R1896" s="75" t="str">
        <f>IFERROR(__xludf.DUMMYFUNCTION("""COMPUTED_VALUE"""),"格納済み")</f>
        <v>格納済み</v>
      </c>
      <c r="S1896" s="75" t="str">
        <f>IFERROR(__xludf.DUMMYFUNCTION("""COMPUTED_VALUE"""),"20240725_CLLENN_私の値段はいくらですか～彼女たちがパパ活する理由～")</f>
        <v>20240725_CLLENN_私の値段はいくらですか～彼女たちがパパ活する理由～</v>
      </c>
      <c r="T1896" s="75" t="str">
        <f>IFERROR(__xludf.DUMMYFUNCTION("""COMPUTED_VALUE"""),"格納済み")</f>
        <v>格納済み</v>
      </c>
      <c r="U1896" s="15" t="str">
        <f>IFERROR(__xludf.DUMMYFUNCTION("""COMPUTED_VALUE"""),"(C)立花もぐら/CLLENN")</f>
        <v>(C)立花もぐら/CLLENN</v>
      </c>
      <c r="V1896" s="8" t="str">
        <f>IFERROR(__xludf.DUMMYFUNCTION("""COMPUTED_VALUE"""),"「自分にそんな価値があると思ってるの？」パパ活で出会った男に言われた言葉。私のこと何も知らないくせに…私達は今日も値踏みされる。個性という名の「特典」で、男が定める価値によって――大学進学資金を貯めるため高校時代の友人とパパ活に勤しむ真湖（まこ）。身体の関係をもたないパパ活を望む二人だが、現実は厳しく…パパ候補の男たちは善良な顔をしていても、心を開こうとした途端「オトナ」を求めてくる。パパを獲得し、お金を稼ぐためには「オトナ」をするしかないのか…揺れる真湖の前に現れたのは！？自分の価値とは何なのか、迷いな"&amp;"がらも現代を生き抜こうともがくパパ活女子の物語。")</f>
        <v>「自分にそんな価値があると思ってるの？」パパ活で出会った男に言われた言葉。私のこと何も知らないくせに…私達は今日も値踏みされる。個性という名の「特典」で、男が定める価値によって――大学進学資金を貯めるため高校時代の友人とパパ活に勤しむ真湖（まこ）。身体の関係をもたないパパ活を望む二人だが、現実は厳しく…パパ候補の男たちは善良な顔をしていても、心を開こうとした途端「オトナ」を求めてくる。パパを獲得し、お金を稼ぐためには「オトナ」をするしかないのか…揺れる真湖の前に現れたのは！？自分の価値とは何なのか、迷いながらも現代を生き抜こうともがくパパ活女子の物語。</v>
      </c>
      <c r="W1896" s="14"/>
      <c r="X1896" s="14" t="str">
        <f>IFERROR(__xludf.DUMMYFUNCTION("""COMPUTED_VALUE"""),"有")</f>
        <v>有</v>
      </c>
      <c r="Y1896" s="8" t="str">
        <f>IFERROR(__xludf.DUMMYFUNCTION("""COMPUTED_VALUE"""),"2024/9/4まで立ち読み増量P19まで")</f>
        <v>2024/9/4まで立ち読み増量P19まで</v>
      </c>
      <c r="Z1896" s="7"/>
      <c r="AA1896" s="7"/>
      <c r="AB1896" s="7"/>
    </row>
    <row r="1897" ht="15.75" customHeight="1">
      <c r="A1897" s="66">
        <f>IFERROR(__xludf.DUMMYFUNCTION("""COMPUTED_VALUE"""),3830.0)</f>
        <v>3830</v>
      </c>
      <c r="B1897" s="75" t="str">
        <f>IFERROR(__xludf.DUMMYFUNCTION("""COMPUTED_VALUE"""),"確定")</f>
        <v>確定</v>
      </c>
      <c r="C1897" s="68">
        <f>IFERROR(__xludf.DUMMYFUNCTION("""COMPUTED_VALUE"""),45495.0)</f>
        <v>45495</v>
      </c>
      <c r="D1897" s="68">
        <f>IFERROR(__xludf.DUMMYFUNCTION("""COMPUTED_VALUE"""),45504.0)</f>
        <v>45504</v>
      </c>
      <c r="E1897" s="26">
        <f>IFERROR(__xludf.DUMMYFUNCTION("""COMPUTED_VALUE"""),289232.0)</f>
        <v>289232</v>
      </c>
      <c r="F1897" s="31" t="str">
        <f>IFERROR(__xludf.DUMMYFUNCTION("""COMPUTED_VALUE"""),"神シナリオ(フルカラー)")</f>
        <v>神シナリオ(フルカラー)</v>
      </c>
      <c r="G1897" s="69" t="str">
        <f>IFERROR(__xludf.DUMMYFUNCTION("""COMPUTED_VALUE"""),"1～3")</f>
        <v>1～3</v>
      </c>
      <c r="H1897" s="75" t="str">
        <f>IFERROR(__xludf.DUMMYFUNCTION("""COMPUTED_VALUE"""),"powerwash,eolkki")</f>
        <v>powerwash,eolkki</v>
      </c>
      <c r="I1897" s="75" t="str">
        <f>IFERROR(__xludf.DUMMYFUNCTION("""COMPUTED_VALUE"""),"青年")</f>
        <v>青年</v>
      </c>
      <c r="J1897" s="75"/>
      <c r="K1897" s="75"/>
      <c r="L1897" s="75" t="str">
        <f>IFERROR(__xludf.DUMMYFUNCTION("""COMPUTED_VALUE"""),"ソルマーレ編集部")</f>
        <v>ソルマーレ編集部</v>
      </c>
      <c r="M1897" s="59">
        <f>IFERROR(__xludf.DUMMYFUNCTION("""COMPUTED_VALUE"""),45528.0)</f>
        <v>45528</v>
      </c>
      <c r="N1897" s="94">
        <f>IFERROR(__xludf.DUMMYFUNCTION("""COMPUTED_VALUE"""),45589.0)</f>
        <v>45589</v>
      </c>
      <c r="O1897" s="75"/>
      <c r="P1897" s="71" t="str">
        <f>IFERROR(__xludf.DUMMYFUNCTION("""COMPUTED_VALUE"""),"可")</f>
        <v>可</v>
      </c>
      <c r="Q1897" s="72"/>
      <c r="R1897" s="75"/>
      <c r="S1897" s="75" t="str">
        <f>IFERROR(__xludf.DUMMYFUNCTION("""COMPUTED_VALUE"""),"20240725_ソルマーレ編集部_神シナリオ（フルカラー）")</f>
        <v>20240725_ソルマーレ編集部_神シナリオ（フルカラー）</v>
      </c>
      <c r="T1897" s="75" t="str">
        <f>IFERROR(__xludf.DUMMYFUNCTION("""COMPUTED_VALUE"""),"格納済み")</f>
        <v>格納済み</v>
      </c>
      <c r="U1897" s="15" t="str">
        <f>IFERROR(__xludf.DUMMYFUNCTION("""COMPUTED_VALUE"""),"Ⓒ powerwash/eolkki/TOPCO/シーモアコミックス")</f>
        <v>Ⓒ powerwash/eolkki/TOPCO/シーモアコミックス</v>
      </c>
      <c r="V1897" s="8" t="str">
        <f>IFERROR(__xludf.DUMMYFUNCTION("""COMPUTED_VALUE"""),"南雲竜司は、大学時代の友人たちと一緒にスタジオを立ち上げ、自社コンテンツ制作に没頭していた。ある日、ノートが必要になった竜司は、何気なく入った雑貨屋で一冊のノートを手に入れる。そのノートには「あなたのドラマが現実となるだろう」と書かれていた。落書きだろうと笑いつつも、何か気になるのでそのノートを購入。半信半疑のまま「もしあの子が俺と付き合っていたら…」と妄想を全開にして書き込んでみた。
翌朝、いつものように会社に行くと、何かがおかしい。って、あの子が本当に俺と付き合ってるだって！？いや、まさか…あのノー"&amp;"トは本物だってことか！？そのおかげで毎日フデがタち――！？【桃色エンジェル】")</f>
        <v>南雲竜司は、大学時代の友人たちと一緒にスタジオを立ち上げ、自社コンテンツ制作に没頭していた。ある日、ノートが必要になった竜司は、何気なく入った雑貨屋で一冊のノートを手に入れる。そのノートには「あなたのドラマが現実となるだろう」と書かれていた。落書きだろうと笑いつつも、何か気になるのでそのノートを購入。半信半疑のまま「もしあの子が俺と付き合っていたら…」と妄想を全開にして書き込んでみた。
翌朝、いつものように会社に行くと、何かがおかしい。って、あの子が本当に俺と付き合ってるだって！？いや、まさか…あのノートは本物だってことか！？そのおかげで毎日フデがタち――！？【桃色エンジェル】</v>
      </c>
      <c r="W1897" s="14"/>
      <c r="X1897" s="14" t="str">
        <f>IFERROR(__xludf.DUMMYFUNCTION("""COMPUTED_VALUE"""),"有")</f>
        <v>有</v>
      </c>
      <c r="Y1897" s="8" t="str">
        <f>IFERROR(__xludf.DUMMYFUNCTION("""COMPUTED_VALUE"""),"2024/9/27まで1巻無料")</f>
        <v>2024/9/27まで1巻無料</v>
      </c>
      <c r="Z1897" s="7"/>
      <c r="AA1897" s="7"/>
      <c r="AB1897" s="7"/>
    </row>
    <row r="1898" ht="15.75" customHeight="1">
      <c r="A1898" s="66">
        <f>IFERROR(__xludf.DUMMYFUNCTION("""COMPUTED_VALUE"""),3865.0)</f>
        <v>3865</v>
      </c>
      <c r="B1898" s="75" t="str">
        <f>IFERROR(__xludf.DUMMYFUNCTION("""COMPUTED_VALUE"""),"確定")</f>
        <v>確定</v>
      </c>
      <c r="C1898" s="68">
        <f>IFERROR(__xludf.DUMMYFUNCTION("""COMPUTED_VALUE"""),45499.0)</f>
        <v>45499</v>
      </c>
      <c r="D1898" s="68">
        <f>IFERROR(__xludf.DUMMYFUNCTION("""COMPUTED_VALUE"""),45504.0)</f>
        <v>45504</v>
      </c>
      <c r="E1898" s="31">
        <f>IFERROR(__xludf.DUMMYFUNCTION("""COMPUTED_VALUE"""),299247.0)</f>
        <v>299247</v>
      </c>
      <c r="F1898" s="31" t="str">
        <f>IFERROR(__xludf.DUMMYFUNCTION("""COMPUTED_VALUE"""),"ディストピア～引越し先は不貞のシェアハウス～")</f>
        <v>ディストピア～引越し先は不貞のシェアハウス～</v>
      </c>
      <c r="G1898" s="69" t="str">
        <f>IFERROR(__xludf.DUMMYFUNCTION("""COMPUTED_VALUE"""),"1～4")</f>
        <v>1～4</v>
      </c>
      <c r="H1898" s="75" t="str">
        <f>IFERROR(__xludf.DUMMYFUNCTION("""COMPUTED_VALUE"""),"杉野アキユキ")</f>
        <v>杉野アキユキ</v>
      </c>
      <c r="I1898" s="75" t="str">
        <f>IFERROR(__xludf.DUMMYFUNCTION("""COMPUTED_VALUE"""),"青年")</f>
        <v>青年</v>
      </c>
      <c r="J1898" s="75"/>
      <c r="K1898" s="75"/>
      <c r="L1898" s="75" t="str">
        <f>IFERROR(__xludf.DUMMYFUNCTION("""COMPUTED_VALUE"""),"ファンギルド")</f>
        <v>ファンギルド</v>
      </c>
      <c r="M1898" s="59">
        <f>IFERROR(__xludf.DUMMYFUNCTION("""COMPUTED_VALUE"""),45528.0)</f>
        <v>45528</v>
      </c>
      <c r="N1898" s="94">
        <f>IFERROR(__xludf.DUMMYFUNCTION("""COMPUTED_VALUE"""),45618.0)</f>
        <v>45618</v>
      </c>
      <c r="O1898" s="75"/>
      <c r="P1898" s="71" t="str">
        <f>IFERROR(__xludf.DUMMYFUNCTION("""COMPUTED_VALUE"""),"可")</f>
        <v>可</v>
      </c>
      <c r="Q1898" s="72"/>
      <c r="R1898" s="75"/>
      <c r="S1898" s="75" t="str">
        <f>IFERROR(__xludf.DUMMYFUNCTION("""COMPUTED_VALUE"""),"20240726_ファンギルド_ディストピア～引越し先は不貞のシェアハウス～")</f>
        <v>20240726_ファンギルド_ディストピア～引越し先は不貞のシェアハウス～</v>
      </c>
      <c r="T1898" s="75" t="str">
        <f>IFERROR(__xludf.DUMMYFUNCTION("""COMPUTED_VALUE"""),"格納済み")</f>
        <v>格納済み</v>
      </c>
      <c r="U1898" s="15" t="str">
        <f>IFERROR(__xludf.DUMMYFUNCTION("""COMPUTED_VALUE"""),"©杉野アキユキ／もりとん／ファンギルド")</f>
        <v>©杉野アキユキ／もりとん／ファンギルド</v>
      </c>
      <c r="V1898" s="8" t="str">
        <f>IFERROR(__xludf.DUMMYFUNCTION("""COMPUTED_VALUE"""),"「ハッピーシェア完了で～す！」―――この春から上京し大学１年生になった湊人（みなと）とその恋人・飛鳥（あすか）。2人は節約のため”カップル限定シェアハウス”に入ることに。シェアメイトから歓迎され安心する2人だったが、そのシェアハウスにはある秘密があった。それはどんな物でも人でもシェアしなければいけない異常な家で...!?広告で話題の衝撃作『ディストピア～移住先は不貞の島でした』のスピンオフ！ついに開幕！！")</f>
        <v>「ハッピーシェア完了で～す！」―――この春から上京し大学１年生になった湊人（みなと）とその恋人・飛鳥（あすか）。2人は節約のため”カップル限定シェアハウス”に入ることに。シェアメイトから歓迎され安心する2人だったが、そのシェアハウスにはある秘密があった。それはどんな物でも人でもシェアしなければいけない異常な家で...!?広告で話題の衝撃作『ディストピア～移住先は不貞の島でした』のスピンオフ！ついに開幕！！</v>
      </c>
      <c r="W1898" s="14"/>
      <c r="X1898" s="14" t="str">
        <f>IFERROR(__xludf.DUMMYFUNCTION("""COMPUTED_VALUE"""),"有")</f>
        <v>有</v>
      </c>
      <c r="Y1898" s="8" t="str">
        <f>IFERROR(__xludf.DUMMYFUNCTION("""COMPUTED_VALUE"""),"2024/9/6まで1巻無料")</f>
        <v>2024/9/6まで1巻無料</v>
      </c>
      <c r="Z1898" s="7"/>
      <c r="AA1898" s="7"/>
      <c r="AB1898" s="7"/>
    </row>
    <row r="1899" ht="15.75" customHeight="1">
      <c r="A1899" s="66">
        <f>IFERROR(__xludf.DUMMYFUNCTION("""COMPUTED_VALUE"""),3866.0)</f>
        <v>3866</v>
      </c>
      <c r="B1899" s="75" t="str">
        <f>IFERROR(__xludf.DUMMYFUNCTION("""COMPUTED_VALUE"""),"確定")</f>
        <v>確定</v>
      </c>
      <c r="C1899" s="68">
        <f>IFERROR(__xludf.DUMMYFUNCTION("""COMPUTED_VALUE"""),45499.0)</f>
        <v>45499</v>
      </c>
      <c r="D1899" s="68">
        <f>IFERROR(__xludf.DUMMYFUNCTION("""COMPUTED_VALUE"""),45504.0)</f>
        <v>45504</v>
      </c>
      <c r="E1899" s="31">
        <f>IFERROR(__xludf.DUMMYFUNCTION("""COMPUTED_VALUE"""),299246.0)</f>
        <v>299246</v>
      </c>
      <c r="F1899" s="31" t="str">
        <f>IFERROR(__xludf.DUMMYFUNCTION("""COMPUTED_VALUE"""),"ハプニング×サウナ～会社の同期とハダカのお付き合い")</f>
        <v>ハプニング×サウナ～会社の同期とハダカのお付き合い</v>
      </c>
      <c r="G1899" s="69" t="str">
        <f>IFERROR(__xludf.DUMMYFUNCTION("""COMPUTED_VALUE"""),"1～3")</f>
        <v>1～3</v>
      </c>
      <c r="H1899" s="75" t="str">
        <f>IFERROR(__xludf.DUMMYFUNCTION("""COMPUTED_VALUE"""),"水乃アルト")</f>
        <v>水乃アルト</v>
      </c>
      <c r="I1899" s="75" t="str">
        <f>IFERROR(__xludf.DUMMYFUNCTION("""COMPUTED_VALUE"""),"青年")</f>
        <v>青年</v>
      </c>
      <c r="J1899" s="75"/>
      <c r="K1899" s="75"/>
      <c r="L1899" s="75" t="str">
        <f>IFERROR(__xludf.DUMMYFUNCTION("""COMPUTED_VALUE"""),"Rush!")</f>
        <v>Rush!</v>
      </c>
      <c r="M1899" s="59">
        <f>IFERROR(__xludf.DUMMYFUNCTION("""COMPUTED_VALUE"""),45533.0)</f>
        <v>45533</v>
      </c>
      <c r="N1899" s="59">
        <f>IFERROR(__xludf.DUMMYFUNCTION("""COMPUTED_VALUE"""),45567.0)</f>
        <v>45567</v>
      </c>
      <c r="O1899" s="75"/>
      <c r="P1899" s="71" t="str">
        <f>IFERROR(__xludf.DUMMYFUNCTION("""COMPUTED_VALUE"""),"可")</f>
        <v>可</v>
      </c>
      <c r="Q1899" s="72"/>
      <c r="R1899" s="75"/>
      <c r="S1899" s="75" t="str">
        <f>IFERROR(__xludf.DUMMYFUNCTION("""COMPUTED_VALUE"""),"20240731_ハプニング×サウナ")</f>
        <v>20240731_ハプニング×サウナ</v>
      </c>
      <c r="T1899" s="75" t="str">
        <f>IFERROR(__xludf.DUMMYFUNCTION("""COMPUTED_VALUE"""),"素材確認中")</f>
        <v>素材確認中</v>
      </c>
      <c r="U1899" s="15" t="str">
        <f>IFERROR(__xludf.DUMMYFUNCTION("""COMPUTED_VALUE"""),"©Alto Mizuno")</f>
        <v>©Alto Mizuno</v>
      </c>
      <c r="V1899" s="8" t="str">
        <f>IFERROR(__xludf.DUMMYFUNCTION("""COMPUTED_VALUE"""),"【ツンな同期とハダカのお付き合い、始めました】――波風を立てずきっちり定時に帰るをモットーに働く本郷は、美人でエリートな同期・佐伯美弦に仕事を押し付けられる社畜な日々を送っていた。ある日、会社のBBQに誘われた本郷は雑用をこなすとこっそりとその場を抜け出し、趣味であるサウナを楽しむべく、BBQ会場近くのテントサウナに向かう。しかし、そこにはなぜか佐伯がいて…!?そしてなぜか、サウナ初心者の佐伯と一緒に整うことに…!? 狭いサウナで汗だく二人きり…。暑い湯気、呼吸が荒くなり、顔が火照りだした佐伯はいつもより"&amp;"も色っぽく、おまけにちょっと優しくて…！　ツンな同期とサウナでつながる裸のお付き合いが始まるー")</f>
        <v>【ツンな同期とハダカのお付き合い、始めました】――波風を立てずきっちり定時に帰るをモットーに働く本郷は、美人でエリートな同期・佐伯美弦に仕事を押し付けられる社畜な日々を送っていた。ある日、会社のBBQに誘われた本郷は雑用をこなすとこっそりとその場を抜け出し、趣味であるサウナを楽しむべく、BBQ会場近くのテントサウナに向かう。しかし、そこにはなぜか佐伯がいて…!?そしてなぜか、サウナ初心者の佐伯と一緒に整うことに…!? 狭いサウナで汗だく二人きり…。暑い湯気、呼吸が荒くなり、顔が火照りだした佐伯はいつもよりも色っぽく、おまけにちょっと優しくて…！　ツンな同期とサウナでつながる裸のお付き合いが始まるー</v>
      </c>
      <c r="W1899" s="14"/>
      <c r="X1899" s="14" t="str">
        <f>IFERROR(__xludf.DUMMYFUNCTION("""COMPUTED_VALUE"""),"有")</f>
        <v>有</v>
      </c>
      <c r="Y1899" s="8" t="str">
        <f>IFERROR(__xludf.DUMMYFUNCTION("""COMPUTED_VALUE"""),"P7まで")</f>
        <v>P7まで</v>
      </c>
      <c r="Z1899" s="7"/>
      <c r="AA1899" s="7"/>
      <c r="AB1899" s="7"/>
    </row>
    <row r="1900" ht="15.75" customHeight="1">
      <c r="A1900" s="66">
        <f>IFERROR(__xludf.DUMMYFUNCTION("""COMPUTED_VALUE"""),3867.0)</f>
        <v>3867</v>
      </c>
      <c r="B1900" s="75" t="str">
        <f>IFERROR(__xludf.DUMMYFUNCTION("""COMPUTED_VALUE"""),"確定")</f>
        <v>確定</v>
      </c>
      <c r="C1900" s="68">
        <f>IFERROR(__xludf.DUMMYFUNCTION("""COMPUTED_VALUE"""),45499.0)</f>
        <v>45499</v>
      </c>
      <c r="D1900" s="68">
        <f>IFERROR(__xludf.DUMMYFUNCTION("""COMPUTED_VALUE"""),45504.0)</f>
        <v>45504</v>
      </c>
      <c r="E1900" s="31">
        <f>IFERROR(__xludf.DUMMYFUNCTION("""COMPUTED_VALUE"""),299641.0)</f>
        <v>299641</v>
      </c>
      <c r="F1900" s="31" t="str">
        <f>IFERROR(__xludf.DUMMYFUNCTION("""COMPUTED_VALUE"""),"ソランの花工房")</f>
        <v>ソランの花工房</v>
      </c>
      <c r="G1900" s="69" t="str">
        <f>IFERROR(__xludf.DUMMYFUNCTION("""COMPUTED_VALUE"""),"1～4")</f>
        <v>1～4</v>
      </c>
      <c r="H1900" s="75" t="str">
        <f>IFERROR(__xludf.DUMMYFUNCTION("""COMPUTED_VALUE"""),"Neungi Mandoo")</f>
        <v>Neungi Mandoo</v>
      </c>
      <c r="I1900" s="75" t="str">
        <f>IFERROR(__xludf.DUMMYFUNCTION("""COMPUTED_VALUE"""),"女性")</f>
        <v>女性</v>
      </c>
      <c r="J1900" s="75"/>
      <c r="K1900" s="75"/>
      <c r="L1900" s="75" t="str">
        <f>IFERROR(__xludf.DUMMYFUNCTION("""COMPUTED_VALUE"""),"Rush!")</f>
        <v>Rush!</v>
      </c>
      <c r="M1900" s="59">
        <f>IFERROR(__xludf.DUMMYFUNCTION("""COMPUTED_VALUE"""),45510.0)</f>
        <v>45510</v>
      </c>
      <c r="N1900" s="59">
        <f>IFERROR(__xludf.DUMMYFUNCTION("""COMPUTED_VALUE"""),45537.0)</f>
        <v>45537</v>
      </c>
      <c r="O1900" s="75"/>
      <c r="P1900" s="71" t="str">
        <f>IFERROR(__xludf.DUMMYFUNCTION("""COMPUTED_VALUE"""),"可")</f>
        <v>可</v>
      </c>
      <c r="Q1900" s="72"/>
      <c r="R1900" s="75"/>
      <c r="S1900" s="75" t="str">
        <f>IFERROR(__xludf.DUMMYFUNCTION("""COMPUTED_VALUE"""),"20240726_ファンギルド_ソランの花工房")</f>
        <v>20240726_ファンギルド_ソランの花工房</v>
      </c>
      <c r="T1900" s="75" t="str">
        <f>IFERROR(__xludf.DUMMYFUNCTION("""COMPUTED_VALUE"""),"格納済み")</f>
        <v>格納済み</v>
      </c>
      <c r="U1900" s="15" t="str">
        <f>IFERROR(__xludf.DUMMYFUNCTION("""COMPUTED_VALUE"""),"©Neungi Mandoo/J/KENAZ")</f>
        <v>©Neungi Mandoo/J/KENAZ</v>
      </c>
      <c r="V1900" s="8" t="str">
        <f>IFERROR(__xludf.DUMMYFUNCTION("""COMPUTED_VALUE"""),"幸せを売るお店「ソランの花工房」へようこそ、人間の皆様!半妖のソランがあなたの願い事を叶えます。小悪魔系半妖女子と完璧男の人間が織りなす不思議なファンタジーロマンス、開幕!!【「ソランの花工房」の再編集版です。重複購入にご注意ください。】")</f>
        <v>幸せを売るお店「ソランの花工房」へようこそ、人間の皆様!半妖のソランがあなたの願い事を叶えます。小悪魔系半妖女子と完璧男の人間が織りなす不思議なファンタジーロマンス、開幕!!【「ソランの花工房」の再編集版です。重複購入にご注意ください。】</v>
      </c>
      <c r="W1900" s="14"/>
      <c r="X1900" s="14" t="str">
        <f>IFERROR(__xludf.DUMMYFUNCTION("""COMPUTED_VALUE"""),"有")</f>
        <v>有</v>
      </c>
      <c r="Y1900" s="8" t="str">
        <f>IFERROR(__xludf.DUMMYFUNCTION("""COMPUTED_VALUE"""),"P12まで")</f>
        <v>P12まで</v>
      </c>
      <c r="Z1900" s="7"/>
      <c r="AA1900" s="7"/>
      <c r="AB1900" s="7"/>
    </row>
    <row r="1901" ht="15.75" customHeight="1">
      <c r="A1901" s="66">
        <f>IFERROR(__xludf.DUMMYFUNCTION("""COMPUTED_VALUE"""),3871.0)</f>
        <v>3871</v>
      </c>
      <c r="B1901" s="75" t="str">
        <f>IFERROR(__xludf.DUMMYFUNCTION("""COMPUTED_VALUE"""),"確定")</f>
        <v>確定</v>
      </c>
      <c r="C1901" s="68">
        <f>IFERROR(__xludf.DUMMYFUNCTION("""COMPUTED_VALUE"""),45502.0)</f>
        <v>45502</v>
      </c>
      <c r="D1901" s="68">
        <f>IFERROR(__xludf.DUMMYFUNCTION("""COMPUTED_VALUE"""),45504.0)</f>
        <v>45504</v>
      </c>
      <c r="E1901" s="31">
        <f>IFERROR(__xludf.DUMMYFUNCTION("""COMPUTED_VALUE"""),300786.0)</f>
        <v>300786</v>
      </c>
      <c r="F1901" s="31" t="str">
        <f>IFERROR(__xludf.DUMMYFUNCTION("""COMPUTED_VALUE"""),"愛され異世界花嫁は、禁断の恋に身を焦がす。")</f>
        <v>愛され異世界花嫁は、禁断の恋に身を焦がす。</v>
      </c>
      <c r="G1901" s="69" t="str">
        <f>IFERROR(__xludf.DUMMYFUNCTION("""COMPUTED_VALUE"""),"1～3")</f>
        <v>1～3</v>
      </c>
      <c r="H1901" s="75" t="str">
        <f>IFERROR(__xludf.DUMMYFUNCTION("""COMPUTED_VALUE"""),"貴一みや")</f>
        <v>貴一みや</v>
      </c>
      <c r="I1901" s="75" t="str">
        <f>IFERROR(__xludf.DUMMYFUNCTION("""COMPUTED_VALUE"""),"女性")</f>
        <v>女性</v>
      </c>
      <c r="J1901" s="75"/>
      <c r="K1901" s="75"/>
      <c r="L1901" s="75" t="str">
        <f>IFERROR(__xludf.DUMMYFUNCTION("""COMPUTED_VALUE"""),"CLLENN")</f>
        <v>CLLENN</v>
      </c>
      <c r="M1901" s="59">
        <f>IFERROR(__xludf.DUMMYFUNCTION("""COMPUTED_VALUE"""),45539.0)</f>
        <v>45539</v>
      </c>
      <c r="N1901" s="59">
        <f>IFERROR(__xludf.DUMMYFUNCTION("""COMPUTED_VALUE"""),45629.0)</f>
        <v>45629</v>
      </c>
      <c r="O1901" s="75"/>
      <c r="P1901" s="80" t="str">
        <f>IFERROR(__xludf.DUMMYFUNCTION("""COMPUTED_VALUE"""),"可")</f>
        <v>可</v>
      </c>
      <c r="Q1901" s="75" t="str">
        <f>IFERROR(__xludf.DUMMYFUNCTION("""COMPUTED_VALUE"""),"協業：シーモア×コイパレ")</f>
        <v>協業：シーモア×コイパレ</v>
      </c>
      <c r="R1901" s="75" t="str">
        <f>IFERROR(__xludf.DUMMYFUNCTION("""COMPUTED_VALUE"""),"格納済み")</f>
        <v>格納済み</v>
      </c>
      <c r="S1901" s="75" t="str">
        <f>IFERROR(__xludf.DUMMYFUNCTION("""COMPUTED_VALUE"""),"20240729_CLLENN_愛され異世界花嫁は、禁断の恋に身を焦がす。")</f>
        <v>20240729_CLLENN_愛され異世界花嫁は、禁断の恋に身を焦がす。</v>
      </c>
      <c r="T1901" s="75" t="str">
        <f>IFERROR(__xludf.DUMMYFUNCTION("""COMPUTED_VALUE"""),"格納済み")</f>
        <v>格納済み</v>
      </c>
      <c r="U1901" s="15" t="str">
        <f>IFERROR(__xludf.DUMMYFUNCTION("""COMPUTED_VALUE"""),"(C)貴一みや/CLLENN")</f>
        <v>(C)貴一みや/CLLENN</v>
      </c>
      <c r="V1901" s="8" t="str">
        <f>IFERROR(__xludf.DUMMYFUNCTION("""COMPUTED_VALUE"""),"好きになったのは運命の人じゃない。だけど抗わずにはいられない、この恋が許されないものだとしても… ――前世で教師をしていたミトが転生したのは、白と黒の二人の王が統治する魔法の国。 古来のしきたりにより、白の王子・ヒールの花嫁として異世界召喚されたミトは王子が通う学園で寮生活をはじめる。しかし学園生活を送るなかで、ひねくれていてどこか放っておけない黒の王子・ディアンに惹かれ始める。 共に婚約者がいる立場でありながら、心を通じ合わせていく二人。 ミトとディアンの仲に気づいたヒールは不穏な動きを見せ始め… 知ら"&amp;"れたら反逆罪になってしまう禁断の恋。ミトが最後に選ぶ「運命」とは―")</f>
        <v>好きになったのは運命の人じゃない。だけど抗わずにはいられない、この恋が許されないものだとしても… ――前世で教師をしていたミトが転生したのは、白と黒の二人の王が統治する魔法の国。 古来のしきたりにより、白の王子・ヒールの花嫁として異世界召喚されたミトは王子が通う学園で寮生活をはじめる。しかし学園生活を送るなかで、ひねくれていてどこか放っておけない黒の王子・ディアンに惹かれ始める。 共に婚約者がいる立場でありながら、心を通じ合わせていく二人。 ミトとディアンの仲に気づいたヒールは不穏な動きを見せ始め… 知られたら反逆罪になってしまう禁断の恋。ミトが最後に選ぶ「運命」とは―</v>
      </c>
      <c r="W1901" s="14"/>
      <c r="X1901" s="14" t="str">
        <f>IFERROR(__xludf.DUMMYFUNCTION("""COMPUTED_VALUE"""),"有")</f>
        <v>有</v>
      </c>
      <c r="Y1901" s="8" t="str">
        <f>IFERROR(__xludf.DUMMYFUNCTION("""COMPUTED_VALUE"""),"P10まで")</f>
        <v>P10まで</v>
      </c>
      <c r="Z1901" s="7"/>
      <c r="AA1901" s="7"/>
      <c r="AB1901" s="7"/>
    </row>
    <row r="1902" ht="15.75" customHeight="1">
      <c r="A1902" s="66">
        <f>IFERROR(__xludf.DUMMYFUNCTION("""COMPUTED_VALUE"""),3872.0)</f>
        <v>3872</v>
      </c>
      <c r="B1902" s="75" t="str">
        <f>IFERROR(__xludf.DUMMYFUNCTION("""COMPUTED_VALUE"""),"確定")</f>
        <v>確定</v>
      </c>
      <c r="C1902" s="68">
        <f>IFERROR(__xludf.DUMMYFUNCTION("""COMPUTED_VALUE"""),45503.0)</f>
        <v>45503</v>
      </c>
      <c r="D1902" s="68">
        <f>IFERROR(__xludf.DUMMYFUNCTION("""COMPUTED_VALUE"""),45504.0)</f>
        <v>45504</v>
      </c>
      <c r="E1902" s="60">
        <f>IFERROR(__xludf.DUMMYFUNCTION("""COMPUTED_VALUE"""),302352.0)</f>
        <v>302352</v>
      </c>
      <c r="F1902" s="60" t="str">
        <f>IFERROR(__xludf.DUMMYFUNCTION("""COMPUTED_VALUE"""),"幼馴染は私に飢えている")</f>
        <v>幼馴染は私に飢えている</v>
      </c>
      <c r="G1902" s="69" t="str">
        <f>IFERROR(__xludf.DUMMYFUNCTION("""COMPUTED_VALUE"""),"1～3")</f>
        <v>1～3</v>
      </c>
      <c r="H1902" s="75" t="str">
        <f>IFERROR(__xludf.DUMMYFUNCTION("""COMPUTED_VALUE"""),"きよたむい")</f>
        <v>きよたむい</v>
      </c>
      <c r="I1902" s="75" t="str">
        <f>IFERROR(__xludf.DUMMYFUNCTION("""COMPUTED_VALUE"""),"TL")</f>
        <v>TL</v>
      </c>
      <c r="J1902" s="75"/>
      <c r="K1902" s="75"/>
      <c r="L1902" s="75" t="str">
        <f>IFERROR(__xludf.DUMMYFUNCTION("""COMPUTED_VALUE"""),"リブレ")</f>
        <v>リブレ</v>
      </c>
      <c r="M1902" s="59">
        <f>IFERROR(__xludf.DUMMYFUNCTION("""COMPUTED_VALUE"""),45561.0)</f>
        <v>45561</v>
      </c>
      <c r="N1902" s="94">
        <f>IFERROR(__xludf.DUMMYFUNCTION("""COMPUTED_VALUE"""),45595.0)</f>
        <v>45595</v>
      </c>
      <c r="O1902" s="75"/>
      <c r="P1902" s="80" t="str">
        <f>IFERROR(__xludf.DUMMYFUNCTION("""COMPUTED_VALUE"""),"可")</f>
        <v>可</v>
      </c>
      <c r="Q1902" s="72" t="str">
        <f>IFERROR(__xludf.DUMMYFUNCTION("""COMPUTED_VALUE"""),"レーベル「ショコラブ」です	")</f>
        <v>レーベル「ショコラブ」です	</v>
      </c>
      <c r="R1902" s="75"/>
      <c r="S1902" s="75" t="str">
        <f>IFERROR(__xludf.DUMMYFUNCTION("""COMPUTED_VALUE"""),"20240730_リブレ_幼馴染は私に飢えている")</f>
        <v>20240730_リブレ_幼馴染は私に飢えている</v>
      </c>
      <c r="T1902" s="75" t="str">
        <f>IFERROR(__xludf.DUMMYFUNCTION("""COMPUTED_VALUE"""),"格納済み")</f>
        <v>格納済み</v>
      </c>
      <c r="U1902" s="15" t="str">
        <f>IFERROR(__xludf.DUMMYFUNCTION("""COMPUTED_VALUE"""),"(C)きよたむい/libre")</f>
        <v>(C)きよたむい/libre</v>
      </c>
      <c r="V1902" s="8" t="str">
        <f>IFERROR(__xludf.DUMMYFUNCTION("""COMPUTED_VALUE"""),"「身体で思い出させてあげるよ、あの日したみたいに」
――ずっと消えない、彼を求めた私の罪。
過労で仕事を辞め実家に一時帰省した花は、幼馴染だった4つ下の伊織と9年ぶりに再会する。
「会いたいと思ってたのは俺だけだったの？」
高校最後の冬…ずっと後悔していた記憶…。
大人になった伊織の力は強くて、あの頃とは全く違う。
熱い指先が肌を滑り、敏感になる身体。
抵抗しなきゃいけないのに、花のナカは濡れていて――
一途な幼馴染は心も、身体も、私が欲しい。
※本書は「ショコラブvol.92」"&amp;"に収録されております。")</f>
        <v>「身体で思い出させてあげるよ、あの日したみたいに」
――ずっと消えない、彼を求めた私の罪。
過労で仕事を辞め実家に一時帰省した花は、幼馴染だった4つ下の伊織と9年ぶりに再会する。
「会いたいと思ってたのは俺だけだったの？」
高校最後の冬…ずっと後悔していた記憶…。
大人になった伊織の力は強くて、あの頃とは全く違う。
熱い指先が肌を滑り、敏感になる身体。
抵抗しなきゃいけないのに、花のナカは濡れていて――
一途な幼馴染は心も、身体も、私が欲しい。
※本書は「ショコラブvol.92」に収録されております。</v>
      </c>
      <c r="W1902" s="14"/>
      <c r="X1902" s="14" t="str">
        <f>IFERROR(__xludf.DUMMYFUNCTION("""COMPUTED_VALUE"""),"有")</f>
        <v>有</v>
      </c>
      <c r="Y1902" s="8" t="str">
        <f>IFERROR(__xludf.DUMMYFUNCTION("""COMPUTED_VALUE"""),"P10まで")</f>
        <v>P10まで</v>
      </c>
      <c r="Z1902" s="7"/>
      <c r="AA1902" s="7"/>
      <c r="AB1902" s="7"/>
    </row>
    <row r="1903" ht="15.75" customHeight="1">
      <c r="A1903" s="66">
        <f>IFERROR(__xludf.DUMMYFUNCTION("""COMPUTED_VALUE"""),3873.0)</f>
        <v>3873</v>
      </c>
      <c r="B1903" s="75" t="str">
        <f>IFERROR(__xludf.DUMMYFUNCTION("""COMPUTED_VALUE"""),"確定")</f>
        <v>確定</v>
      </c>
      <c r="C1903" s="68">
        <f>IFERROR(__xludf.DUMMYFUNCTION("""COMPUTED_VALUE"""),45503.0)</f>
        <v>45503</v>
      </c>
      <c r="D1903" s="68">
        <f>IFERROR(__xludf.DUMMYFUNCTION("""COMPUTED_VALUE"""),45504.0)</f>
        <v>45504</v>
      </c>
      <c r="E1903" s="26">
        <f>IFERROR(__xludf.DUMMYFUNCTION("""COMPUTED_VALUE"""),288060.0)</f>
        <v>288060</v>
      </c>
      <c r="F1903" s="31" t="str">
        <f>IFERROR(__xludf.DUMMYFUNCTION("""COMPUTED_VALUE"""),"月狼皇子とオメガの花嫁")</f>
        <v>月狼皇子とオメガの花嫁</v>
      </c>
      <c r="G1903" s="69">
        <f>IFERROR(__xludf.DUMMYFUNCTION("""COMPUTED_VALUE"""),1.0)</f>
        <v>1</v>
      </c>
      <c r="H1903" s="75" t="str">
        <f>IFERROR(__xludf.DUMMYFUNCTION("""COMPUTED_VALUE"""),"にむまひろ")</f>
        <v>にむまひろ</v>
      </c>
      <c r="I1903" s="75" t="str">
        <f>IFERROR(__xludf.DUMMYFUNCTION("""COMPUTED_VALUE"""),"BL")</f>
        <v>BL</v>
      </c>
      <c r="J1903" s="75"/>
      <c r="K1903" s="75"/>
      <c r="L1903" s="75" t="str">
        <f>IFERROR(__xludf.DUMMYFUNCTION("""COMPUTED_VALUE"""),"ソルマーレ編集部")</f>
        <v>ソルマーレ編集部</v>
      </c>
      <c r="M1903" s="59">
        <f>IFERROR(__xludf.DUMMYFUNCTION("""COMPUTED_VALUE"""),45529.0)</f>
        <v>45529</v>
      </c>
      <c r="N1903" s="47">
        <f>IFERROR(__xludf.DUMMYFUNCTION("""COMPUTED_VALUE"""),2958465.0)</f>
        <v>2958465</v>
      </c>
      <c r="O1903" s="75"/>
      <c r="P1903" s="80" t="str">
        <f>IFERROR(__xludf.DUMMYFUNCTION("""COMPUTED_VALUE"""),"可")</f>
        <v>可</v>
      </c>
      <c r="Q1903" s="72" t="str">
        <f>IFERROR(__xludf.DUMMYFUNCTION("""COMPUTED_VALUE"""),"※Ficus5th作品です、先行期間6カ月になります！")</f>
        <v>※Ficus5th作品です、先行期間6カ月になります！</v>
      </c>
      <c r="R1903" s="75"/>
      <c r="S1903" s="75" t="str">
        <f>IFERROR(__xludf.DUMMYFUNCTION("""COMPUTED_VALUE"""),"20240730_ソルマーレ編集部_月狼皇子とオメガの花嫁")</f>
        <v>20240730_ソルマーレ編集部_月狼皇子とオメガの花嫁</v>
      </c>
      <c r="T1903" s="75" t="str">
        <f>IFERROR(__xludf.DUMMYFUNCTION("""COMPUTED_VALUE"""),"格納済み")</f>
        <v>格納済み</v>
      </c>
      <c r="U1903" s="15" t="str">
        <f>IFERROR(__xludf.DUMMYFUNCTION("""COMPUTED_VALUE"""),"Ⓒ にむまひろ/シーモアコミックス")</f>
        <v>Ⓒ にむまひろ/シーモアコミックス</v>
      </c>
      <c r="V1903" s="8" t="str">
        <f>IFERROR(__xludf.DUMMYFUNCTION("""COMPUTED_VALUE"""),"隣国に侵攻され、国を奪われた第一王子のミミ（Ω）。奴隷として売られそうになっていたミミを救出してくれたのは、幼馴染の同盟国の皇子・ルカ（α）。「お前の国はどんな形であれ奪い返してやる。だから…」国を取り戻してくれると約束してくれたルカだったけど、とんでもない条件付きで!?!?
本当はずっと会いたかった――親友同士のα皇子×Ω王子のファンタジック・ラブストーリー！【フィカス】")</f>
        <v>隣国に侵攻され、国を奪われた第一王子のミミ（Ω）。奴隷として売られそうになっていたミミを救出してくれたのは、幼馴染の同盟国の皇子・ルカ（α）。「お前の国はどんな形であれ奪い返してやる。だから…」国を取り戻してくれると約束してくれたルカだったけど、とんでもない条件付きで!?!?
本当はずっと会いたかった――親友同士のα皇子×Ω王子のファンタジック・ラブストーリー！【フィカス】</v>
      </c>
      <c r="W1903" s="14"/>
      <c r="X1903" s="14" t="str">
        <f>IFERROR(__xludf.DUMMYFUNCTION("""COMPUTED_VALUE"""),"有")</f>
        <v>有</v>
      </c>
      <c r="Y1903" s="8" t="str">
        <f>IFERROR(__xludf.DUMMYFUNCTION("""COMPUTED_VALUE"""),"2025/2/28まで立ち読み増量P26まで")</f>
        <v>2025/2/28まで立ち読み増量P26まで</v>
      </c>
      <c r="Z1903" s="7"/>
      <c r="AA1903" s="7"/>
      <c r="AB1903" s="7"/>
    </row>
    <row r="1904" ht="15.75" customHeight="1">
      <c r="A1904" s="66">
        <f>IFERROR(__xludf.DUMMYFUNCTION("""COMPUTED_VALUE"""),3874.0)</f>
        <v>3874</v>
      </c>
      <c r="B1904" s="75" t="str">
        <f>IFERROR(__xludf.DUMMYFUNCTION("""COMPUTED_VALUE"""),"確定")</f>
        <v>確定</v>
      </c>
      <c r="C1904" s="68">
        <f>IFERROR(__xludf.DUMMYFUNCTION("""COMPUTED_VALUE"""),45503.0)</f>
        <v>45503</v>
      </c>
      <c r="D1904" s="68">
        <f>IFERROR(__xludf.DUMMYFUNCTION("""COMPUTED_VALUE"""),45504.0)</f>
        <v>45504</v>
      </c>
      <c r="E1904" s="26">
        <f>IFERROR(__xludf.DUMMYFUNCTION("""COMPUTED_VALUE"""),292649.0)</f>
        <v>292649</v>
      </c>
      <c r="F1904" s="31" t="str">
        <f>IFERROR(__xludf.DUMMYFUNCTION("""COMPUTED_VALUE"""),"迷子とサイレン")</f>
        <v>迷子とサイレン</v>
      </c>
      <c r="G1904" s="69">
        <f>IFERROR(__xludf.DUMMYFUNCTION("""COMPUTED_VALUE"""),1.0)</f>
        <v>1</v>
      </c>
      <c r="H1904" s="75" t="str">
        <f>IFERROR(__xludf.DUMMYFUNCTION("""COMPUTED_VALUE"""),"茶野まめこ")</f>
        <v>茶野まめこ</v>
      </c>
      <c r="I1904" s="75" t="str">
        <f>IFERROR(__xludf.DUMMYFUNCTION("""COMPUTED_VALUE"""),"BL")</f>
        <v>BL</v>
      </c>
      <c r="J1904" s="75"/>
      <c r="K1904" s="75"/>
      <c r="L1904" s="75" t="str">
        <f>IFERROR(__xludf.DUMMYFUNCTION("""COMPUTED_VALUE"""),"ソルマーレ編集部")</f>
        <v>ソルマーレ編集部</v>
      </c>
      <c r="M1904" s="59">
        <f>IFERROR(__xludf.DUMMYFUNCTION("""COMPUTED_VALUE"""),45529.0)</f>
        <v>45529</v>
      </c>
      <c r="N1904" s="47">
        <f>IFERROR(__xludf.DUMMYFUNCTION("""COMPUTED_VALUE"""),2958465.0)</f>
        <v>2958465</v>
      </c>
      <c r="O1904" s="75"/>
      <c r="P1904" s="80" t="str">
        <f>IFERROR(__xludf.DUMMYFUNCTION("""COMPUTED_VALUE"""),"可")</f>
        <v>可</v>
      </c>
      <c r="Q1904" s="72" t="str">
        <f>IFERROR(__xludf.DUMMYFUNCTION("""COMPUTED_VALUE"""),"※Ficus5th作品です、先行期間6カ月になります！")</f>
        <v>※Ficus5th作品です、先行期間6カ月になります！</v>
      </c>
      <c r="R1904" s="75"/>
      <c r="S1904" s="75" t="str">
        <f>IFERROR(__xludf.DUMMYFUNCTION("""COMPUTED_VALUE"""),"20240730_ソルマーレ編集部_迷子とサイレン")</f>
        <v>20240730_ソルマーレ編集部_迷子とサイレン</v>
      </c>
      <c r="T1904" s="75" t="str">
        <f>IFERROR(__xludf.DUMMYFUNCTION("""COMPUTED_VALUE"""),"格納済み")</f>
        <v>格納済み</v>
      </c>
      <c r="U1904" s="15" t="str">
        <f>IFERROR(__xludf.DUMMYFUNCTION("""COMPUTED_VALUE"""),"Ⓒ 茶野まめこ/シーモアコミックス")</f>
        <v>Ⓒ 茶野まめこ/シーモアコミックス</v>
      </c>
      <c r="V1904" s="8" t="str">
        <f>IFERROR(__xludf.DUMMYFUNCTION("""COMPUTED_VALUE"""),"人気絶大のボーカルグループを離れ、ギリシャで休養をすることになった樹梨。仕事を忘れて休めと言われても何をしたらいいのかわからない。歌うこと、それが俺のすべてだった。人生迷子のうえ、乗っていたヨットが沖に流されて大ピンチ！ 海に放り出された樹梨を抱えてくれたのは…人魚（セイレーン）のイオだった!! セイレーンは美しい歌声で人間を惑わせ死に導く怪物だというけれど、イオの歌声はひどいもので…!?
歌えないトップアイドル×歌いたいはぐれセイレーン、なにもかもが違う二人のめぐりあいラブ☆【フィカス】")</f>
        <v>人気絶大のボーカルグループを離れ、ギリシャで休養をすることになった樹梨。仕事を忘れて休めと言われても何をしたらいいのかわからない。歌うこと、それが俺のすべてだった。人生迷子のうえ、乗っていたヨットが沖に流されて大ピンチ！ 海に放り出された樹梨を抱えてくれたのは…人魚（セイレーン）のイオだった!! セイレーンは美しい歌声で人間を惑わせ死に導く怪物だというけれど、イオの歌声はひどいもので…!?
歌えないトップアイドル×歌いたいはぐれセイレーン、なにもかもが違う二人のめぐりあいラブ☆【フィカス】</v>
      </c>
      <c r="W1904" s="14"/>
      <c r="X1904" s="14" t="str">
        <f>IFERROR(__xludf.DUMMYFUNCTION("""COMPUTED_VALUE"""),"有")</f>
        <v>有</v>
      </c>
      <c r="Y1904" s="8" t="str">
        <f>IFERROR(__xludf.DUMMYFUNCTION("""COMPUTED_VALUE"""),"2025/2/28まで立ち読み増量P16まで")</f>
        <v>2025/2/28まで立ち読み増量P16まで</v>
      </c>
      <c r="Z1904" s="7"/>
      <c r="AA1904" s="7"/>
      <c r="AB1904" s="7"/>
    </row>
    <row r="1905" ht="15.75" customHeight="1">
      <c r="A1905" s="66">
        <f>IFERROR(__xludf.DUMMYFUNCTION("""COMPUTED_VALUE"""),3875.0)</f>
        <v>3875</v>
      </c>
      <c r="B1905" s="75" t="str">
        <f>IFERROR(__xludf.DUMMYFUNCTION("""COMPUTED_VALUE"""),"確定")</f>
        <v>確定</v>
      </c>
      <c r="C1905" s="68">
        <f>IFERROR(__xludf.DUMMYFUNCTION("""COMPUTED_VALUE"""),45503.0)</f>
        <v>45503</v>
      </c>
      <c r="D1905" s="68">
        <f>IFERROR(__xludf.DUMMYFUNCTION("""COMPUTED_VALUE"""),45504.0)</f>
        <v>45504</v>
      </c>
      <c r="E1905" s="26">
        <f>IFERROR(__xludf.DUMMYFUNCTION("""COMPUTED_VALUE"""),294431.0)</f>
        <v>294431</v>
      </c>
      <c r="F1905" s="31" t="str">
        <f>IFERROR(__xludf.DUMMYFUNCTION("""COMPUTED_VALUE"""),"嘘つきスウィートマリッジ")</f>
        <v>嘘つきスウィートマリッジ</v>
      </c>
      <c r="G1905" s="69">
        <f>IFERROR(__xludf.DUMMYFUNCTION("""COMPUTED_VALUE"""),1.0)</f>
        <v>1</v>
      </c>
      <c r="H1905" s="75" t="str">
        <f>IFERROR(__xludf.DUMMYFUNCTION("""COMPUTED_VALUE"""),"井伊イチノ")</f>
        <v>井伊イチノ</v>
      </c>
      <c r="I1905" s="75" t="str">
        <f>IFERROR(__xludf.DUMMYFUNCTION("""COMPUTED_VALUE"""),"BL")</f>
        <v>BL</v>
      </c>
      <c r="J1905" s="75"/>
      <c r="K1905" s="75"/>
      <c r="L1905" s="75" t="str">
        <f>IFERROR(__xludf.DUMMYFUNCTION("""COMPUTED_VALUE"""),"ソルマーレ編集部")</f>
        <v>ソルマーレ編集部</v>
      </c>
      <c r="M1905" s="59">
        <f>IFERROR(__xludf.DUMMYFUNCTION("""COMPUTED_VALUE"""),45529.0)</f>
        <v>45529</v>
      </c>
      <c r="N1905" s="47">
        <f>IFERROR(__xludf.DUMMYFUNCTION("""COMPUTED_VALUE"""),2958465.0)</f>
        <v>2958465</v>
      </c>
      <c r="O1905" s="75"/>
      <c r="P1905" s="80" t="str">
        <f>IFERROR(__xludf.DUMMYFUNCTION("""COMPUTED_VALUE"""),"可")</f>
        <v>可</v>
      </c>
      <c r="Q1905" s="72" t="str">
        <f>IFERROR(__xludf.DUMMYFUNCTION("""COMPUTED_VALUE"""),"※Ficus5th作品です、先行期間6カ月になります！")</f>
        <v>※Ficus5th作品です、先行期間6カ月になります！</v>
      </c>
      <c r="R1905" s="75"/>
      <c r="S1905" s="75" t="str">
        <f>IFERROR(__xludf.DUMMYFUNCTION("""COMPUTED_VALUE"""),"20240730_ソルマーレ編集部_嘘つきスウィートマリッジ")</f>
        <v>20240730_ソルマーレ編集部_嘘つきスウィートマリッジ</v>
      </c>
      <c r="T1905" s="75" t="str">
        <f>IFERROR(__xludf.DUMMYFUNCTION("""COMPUTED_VALUE"""),"格納済み")</f>
        <v>格納済み</v>
      </c>
      <c r="U1905" s="15" t="str">
        <f>IFERROR(__xludf.DUMMYFUNCTION("""COMPUTED_VALUE"""),"Ⓒ 井伊イチノ/シーモアコミックス")</f>
        <v>Ⓒ 井伊イチノ/シーモアコミックス</v>
      </c>
      <c r="V1905" s="8" t="str">
        <f>IFERROR(__xludf.DUMMYFUNCTION("""COMPUTED_VALUE"""),"「玲さんは俺と離れて寂しかったですか？」同性婚が認められて早3年、ゲイの玲は親戚のススメでお見合いをすることに。そこに現れたのは、アナウンサーとして活躍中の爽やかイケメン・塩谷薫―――玲の元セフレだった！ 3年前「セフレをやめたい」とあっさり自分を捨てた薫。そんな男とお見合いなんて正気じゃない。帰ろうとする玲に、薫は「玲さんともう少し一緒にいたい」なんて言ってきて…？ 爽やかイケメンアナウンサー×恋愛下手な年上リーマンの、波乱のウエディングラブ！【フィカス】")</f>
        <v>「玲さんは俺と離れて寂しかったですか？」同性婚が認められて早3年、ゲイの玲は親戚のススメでお見合いをすることに。そこに現れたのは、アナウンサーとして活躍中の爽やかイケメン・塩谷薫―――玲の元セフレだった！ 3年前「セフレをやめたい」とあっさり自分を捨てた薫。そんな男とお見合いなんて正気じゃない。帰ろうとする玲に、薫は「玲さんともう少し一緒にいたい」なんて言ってきて…？ 爽やかイケメンアナウンサー×恋愛下手な年上リーマンの、波乱のウエディングラブ！【フィカス】</v>
      </c>
      <c r="W1905" s="14"/>
      <c r="X1905" s="14" t="str">
        <f>IFERROR(__xludf.DUMMYFUNCTION("""COMPUTED_VALUE"""),"有")</f>
        <v>有</v>
      </c>
      <c r="Y1905" s="8" t="str">
        <f>IFERROR(__xludf.DUMMYFUNCTION("""COMPUTED_VALUE"""),"2025/2/28まで立ち読み増量P11まで")</f>
        <v>2025/2/28まで立ち読み増量P11まで</v>
      </c>
      <c r="Z1905" s="7"/>
      <c r="AA1905" s="7"/>
      <c r="AB1905" s="7"/>
    </row>
    <row r="1906" ht="15.75" customHeight="1">
      <c r="A1906" s="66">
        <f>IFERROR(__xludf.DUMMYFUNCTION("""COMPUTED_VALUE"""),3876.0)</f>
        <v>3876</v>
      </c>
      <c r="B1906" s="75" t="str">
        <f>IFERROR(__xludf.DUMMYFUNCTION("""COMPUTED_VALUE"""),"確定")</f>
        <v>確定</v>
      </c>
      <c r="C1906" s="68">
        <f>IFERROR(__xludf.DUMMYFUNCTION("""COMPUTED_VALUE"""),45503.0)</f>
        <v>45503</v>
      </c>
      <c r="D1906" s="68">
        <f>IFERROR(__xludf.DUMMYFUNCTION("""COMPUTED_VALUE"""),45504.0)</f>
        <v>45504</v>
      </c>
      <c r="E1906" s="26">
        <f>IFERROR(__xludf.DUMMYFUNCTION("""COMPUTED_VALUE"""),294433.0)</f>
        <v>294433</v>
      </c>
      <c r="F1906" s="31" t="str">
        <f>IFERROR(__xludf.DUMMYFUNCTION("""COMPUTED_VALUE"""),"悪癖と悪食")</f>
        <v>悪癖と悪食</v>
      </c>
      <c r="G1906" s="69">
        <f>IFERROR(__xludf.DUMMYFUNCTION("""COMPUTED_VALUE"""),1.0)</f>
        <v>1</v>
      </c>
      <c r="H1906" s="75" t="str">
        <f>IFERROR(__xludf.DUMMYFUNCTION("""COMPUTED_VALUE"""),"左藤さなゆき")</f>
        <v>左藤さなゆき</v>
      </c>
      <c r="I1906" s="75" t="str">
        <f>IFERROR(__xludf.DUMMYFUNCTION("""COMPUTED_VALUE"""),"BL")</f>
        <v>BL</v>
      </c>
      <c r="J1906" s="75"/>
      <c r="K1906" s="75"/>
      <c r="L1906" s="75" t="str">
        <f>IFERROR(__xludf.DUMMYFUNCTION("""COMPUTED_VALUE"""),"ソルマーレ編集部")</f>
        <v>ソルマーレ編集部</v>
      </c>
      <c r="M1906" s="59">
        <f>IFERROR(__xludf.DUMMYFUNCTION("""COMPUTED_VALUE"""),45529.0)</f>
        <v>45529</v>
      </c>
      <c r="N1906" s="47">
        <f>IFERROR(__xludf.DUMMYFUNCTION("""COMPUTED_VALUE"""),2958465.0)</f>
        <v>2958465</v>
      </c>
      <c r="O1906" s="75"/>
      <c r="P1906" s="80" t="str">
        <f>IFERROR(__xludf.DUMMYFUNCTION("""COMPUTED_VALUE"""),"可")</f>
        <v>可</v>
      </c>
      <c r="Q1906" s="72" t="str">
        <f>IFERROR(__xludf.DUMMYFUNCTION("""COMPUTED_VALUE"""),"※Ficus5th作品です、先行期間6カ月になります！")</f>
        <v>※Ficus5th作品です、先行期間6カ月になります！</v>
      </c>
      <c r="R1906" s="75"/>
      <c r="S1906" s="75" t="str">
        <f>IFERROR(__xludf.DUMMYFUNCTION("""COMPUTED_VALUE"""),"20240730_ソルマーレ編集部_悪癖と悪食")</f>
        <v>20240730_ソルマーレ編集部_悪癖と悪食</v>
      </c>
      <c r="T1906" s="75" t="str">
        <f>IFERROR(__xludf.DUMMYFUNCTION("""COMPUTED_VALUE"""),"格納済み")</f>
        <v>格納済み</v>
      </c>
      <c r="U1906" s="15" t="str">
        <f>IFERROR(__xludf.DUMMYFUNCTION("""COMPUTED_VALUE"""),"Ⓒ 左藤さなゆき/シーモアコミックス")</f>
        <v>Ⓒ 左藤さなゆき/シーモアコミックス</v>
      </c>
      <c r="V1906" s="8" t="str">
        <f>IFERROR(__xludf.DUMMYFUNCTION("""COMPUTED_VALUE"""),"「嫌なら別れる？ 俺は別にどっちでもいいけど」付き合う条件は、浮気をしても文句を言わない・嫉妬しない・束縛しない…交際中の彼はサイテー最悪なクズ男!?
大企業の社長令息でモデルもしていて「来るもの拒まず」なモテ男・来栖円（くるす まどか）を見つけたのは、大学の入学式。円に一目ぼれしてしまった恵南氷緒（えなみ ひお）は、思い切って告白して、交際することができたけど――円の浮気癖に悩まされる氷緒の前に、彼と似たビジュアルをした優しい雰囲気の男性が現れて…!? 【フィカス】")</f>
        <v>「嫌なら別れる？ 俺は別にどっちでもいいけど」付き合う条件は、浮気をしても文句を言わない・嫉妬しない・束縛しない…交際中の彼はサイテー最悪なクズ男!?
大企業の社長令息でモデルもしていて「来るもの拒まず」なモテ男・来栖円（くるす まどか）を見つけたのは、大学の入学式。円に一目ぼれしてしまった恵南氷緒（えなみ ひお）は、思い切って告白して、交際することができたけど――円の浮気癖に悩まされる氷緒の前に、彼と似たビジュアルをした優しい雰囲気の男性が現れて…!? 【フィカス】</v>
      </c>
      <c r="W1906" s="14"/>
      <c r="X1906" s="14" t="str">
        <f>IFERROR(__xludf.DUMMYFUNCTION("""COMPUTED_VALUE"""),"有")</f>
        <v>有</v>
      </c>
      <c r="Y1906" s="8" t="str">
        <f>IFERROR(__xludf.DUMMYFUNCTION("""COMPUTED_VALUE"""),"2025/2/28まで立ち読み増量P10まで")</f>
        <v>2025/2/28まで立ち読み増量P10まで</v>
      </c>
      <c r="Z1906" s="7"/>
      <c r="AA1906" s="7"/>
      <c r="AB1906" s="7"/>
    </row>
    <row r="1907" ht="15.75" customHeight="1">
      <c r="A1907" s="66">
        <f>IFERROR(__xludf.DUMMYFUNCTION("""COMPUTED_VALUE"""),3879.0)</f>
        <v>3879</v>
      </c>
      <c r="B1907" s="75" t="str">
        <f>IFERROR(__xludf.DUMMYFUNCTION("""COMPUTED_VALUE"""),"確定")</f>
        <v>確定</v>
      </c>
      <c r="C1907" s="68">
        <f>IFERROR(__xludf.DUMMYFUNCTION("""COMPUTED_VALUE"""),45503.0)</f>
        <v>45503</v>
      </c>
      <c r="D1907" s="68">
        <f>IFERROR(__xludf.DUMMYFUNCTION("""COMPUTED_VALUE"""),45504.0)</f>
        <v>45504</v>
      </c>
      <c r="E1907" s="31">
        <f>IFERROR(__xludf.DUMMYFUNCTION("""COMPUTED_VALUE"""),300367.0)</f>
        <v>300367</v>
      </c>
      <c r="F1907" s="31" t="str">
        <f>IFERROR(__xludf.DUMMYFUNCTION("""COMPUTED_VALUE"""),"103号室のエロライフ【タテヨミ】")</f>
        <v>103号室のエロライフ【タテヨミ】</v>
      </c>
      <c r="G1907" s="69" t="str">
        <f>IFERROR(__xludf.DUMMYFUNCTION("""COMPUTED_VALUE"""),"1～105")</f>
        <v>1～105</v>
      </c>
      <c r="H1907" s="75" t="str">
        <f>IFERROR(__xludf.DUMMYFUNCTION("""COMPUTED_VALUE"""),"Kim.PD/Active Volcano")</f>
        <v>Kim.PD/Active Volcano</v>
      </c>
      <c r="I1907" s="75" t="str">
        <f>IFERROR(__xludf.DUMMYFUNCTION("""COMPUTED_VALUE"""),"青年")</f>
        <v>青年</v>
      </c>
      <c r="J1907" s="75"/>
      <c r="K1907" s="75"/>
      <c r="L1907" s="75" t="str">
        <f>IFERROR(__xludf.DUMMYFUNCTION("""COMPUTED_VALUE"""),"TOPCO JAPAN")</f>
        <v>TOPCO JAPAN</v>
      </c>
      <c r="M1907" s="59">
        <f>IFERROR(__xludf.DUMMYFUNCTION("""COMPUTED_VALUE"""),45548.0)</f>
        <v>45548</v>
      </c>
      <c r="N1907" s="94">
        <f>IFERROR(__xludf.DUMMYFUNCTION("""COMPUTED_VALUE"""),45639.0)</f>
        <v>45639</v>
      </c>
      <c r="O1907" s="75"/>
      <c r="P1907" s="80" t="str">
        <f>IFERROR(__xludf.DUMMYFUNCTION("""COMPUTED_VALUE"""),"可")</f>
        <v>可</v>
      </c>
      <c r="Q1907" s="72" t="str">
        <f>IFERROR(__xludf.DUMMYFUNCTION("""COMPUTED_VALUE"""),"素材は1～105巻までご使用ください
")</f>
        <v>素材は1～105巻までご使用ください
</v>
      </c>
      <c r="R1907" s="75"/>
      <c r="S1907" s="75" t="str">
        <f>IFERROR(__xludf.DUMMYFUNCTION("""COMPUTED_VALUE"""),"20240730_TOPCO_103号室のエロライフ【タテヨミ】")</f>
        <v>20240730_TOPCO_103号室のエロライフ【タテヨミ】</v>
      </c>
      <c r="T1907" s="75" t="str">
        <f>IFERROR(__xludf.DUMMYFUNCTION("""COMPUTED_VALUE"""),"格納済み")</f>
        <v>格納済み</v>
      </c>
      <c r="U1907" s="15" t="str">
        <f>IFERROR(__xludf.DUMMYFUNCTION("""COMPUTED_VALUE"""),"©Kim.PD/Active Volcano/TOPTOON")</f>
        <v>©Kim.PD/Active Volcano/TOPTOON</v>
      </c>
      <c r="V1907" s="8" t="str">
        <f>IFERROR(__xludf.DUMMYFUNCTION("""COMPUTED_VALUE"""),"一人っ子で大事に育てられた剛（つよし）は大学進学と同時に学生寮で初めての一人暮らしを始める。しかし、そこでは盛りの男女が夜な夜な…。そんなある日事件が起きる。ひょんなことから剛は年上の同期、海美（うみ）に童貞を捧げることに⁉️これを機に真剣交際を海美に申し込むがフラれ続ける剛。そんな純粋で男気のある剛に周りの女性が魅了されていく…果たして剛は真の愛を見つけることが出来るのか⁉️")</f>
        <v>一人っ子で大事に育てられた剛（つよし）は大学進学と同時に学生寮で初めての一人暮らしを始める。しかし、そこでは盛りの男女が夜な夜な…。そんなある日事件が起きる。ひょんなことから剛は年上の同期、海美（うみ）に童貞を捧げることに⁉️これを機に真剣交際を海美に申し込むがフラれ続ける剛。そんな純粋で男気のある剛に周りの女性が魅了されていく…果たして剛は真の愛を見つけることが出来るのか⁉️</v>
      </c>
      <c r="W1907" s="14"/>
      <c r="X1907" s="14" t="str">
        <f>IFERROR(__xludf.DUMMYFUNCTION("""COMPUTED_VALUE"""),"有")</f>
        <v>有</v>
      </c>
      <c r="Y1907" s="8" t="str">
        <f>IFERROR(__xludf.DUMMYFUNCTION("""COMPUTED_VALUE"""),"1～3巻無料")</f>
        <v>1～3巻無料</v>
      </c>
      <c r="Z1907" s="7"/>
      <c r="AA1907" s="7"/>
      <c r="AB1907" s="7"/>
    </row>
    <row r="1908" ht="15.75" customHeight="1">
      <c r="A1908" s="66">
        <f>IFERROR(__xludf.DUMMYFUNCTION("""COMPUTED_VALUE"""),3880.0)</f>
        <v>3880</v>
      </c>
      <c r="B1908" s="75" t="str">
        <f>IFERROR(__xludf.DUMMYFUNCTION("""COMPUTED_VALUE"""),"確定")</f>
        <v>確定</v>
      </c>
      <c r="C1908" s="68">
        <f>IFERROR(__xludf.DUMMYFUNCTION("""COMPUTED_VALUE"""),45503.0)</f>
        <v>45503</v>
      </c>
      <c r="D1908" s="68">
        <f>IFERROR(__xludf.DUMMYFUNCTION("""COMPUTED_VALUE"""),45504.0)</f>
        <v>45504</v>
      </c>
      <c r="E1908" s="60">
        <f>IFERROR(__xludf.DUMMYFUNCTION("""COMPUTED_VALUE"""),300369.0)</f>
        <v>300369</v>
      </c>
      <c r="F1908" s="60" t="str">
        <f>IFERROR(__xludf.DUMMYFUNCTION("""COMPUTED_VALUE"""),"セク☆ドル【タテヨミ】")</f>
        <v>セク☆ドル【タテヨミ】</v>
      </c>
      <c r="G1908" s="69" t="str">
        <f>IFERROR(__xludf.DUMMYFUNCTION("""COMPUTED_VALUE"""),"1～23")</f>
        <v>1～23</v>
      </c>
      <c r="H1908" s="75" t="str">
        <f>IFERROR(__xludf.DUMMYFUNCTION("""COMPUTED_VALUE"""),"ヘンタイン/NIU")</f>
        <v>ヘンタイン/NIU</v>
      </c>
      <c r="I1908" s="75" t="str">
        <f>IFERROR(__xludf.DUMMYFUNCTION("""COMPUTED_VALUE"""),"青年")</f>
        <v>青年</v>
      </c>
      <c r="J1908" s="75"/>
      <c r="K1908" s="75"/>
      <c r="L1908" s="75" t="str">
        <f>IFERROR(__xludf.DUMMYFUNCTION("""COMPUTED_VALUE"""),"TOPCO JAPAN")</f>
        <v>TOPCO JAPAN</v>
      </c>
      <c r="M1908" s="59">
        <f>IFERROR(__xludf.DUMMYFUNCTION("""COMPUTED_VALUE"""),45555.0)</f>
        <v>45555</v>
      </c>
      <c r="N1908" s="94">
        <f>IFERROR(__xludf.DUMMYFUNCTION("""COMPUTED_VALUE"""),45646.0)</f>
        <v>45646</v>
      </c>
      <c r="O1908" s="75"/>
      <c r="P1908" s="80" t="str">
        <f>IFERROR(__xludf.DUMMYFUNCTION("""COMPUTED_VALUE"""),"可")</f>
        <v>可</v>
      </c>
      <c r="Q1908" s="72" t="str">
        <f>IFERROR(__xludf.DUMMYFUNCTION("""COMPUTED_VALUE"""),"素材は1～23巻までご使用ください	")</f>
        <v>素材は1～23巻までご使用ください	</v>
      </c>
      <c r="R1908" s="75"/>
      <c r="S1908" s="75" t="str">
        <f>IFERROR(__xludf.DUMMYFUNCTION("""COMPUTED_VALUE"""),"20240730_TOPCO_セク☆ドル【タテヨミ】")</f>
        <v>20240730_TOPCO_セク☆ドル【タテヨミ】</v>
      </c>
      <c r="T1908" s="75" t="str">
        <f>IFERROR(__xludf.DUMMYFUNCTION("""COMPUTED_VALUE"""),"格納済み")</f>
        <v>格納済み</v>
      </c>
      <c r="U1908" s="15" t="str">
        <f>IFERROR(__xludf.DUMMYFUNCTION("""COMPUTED_VALUE"""),"©ヘンタイン/NIU/TOPTOON")</f>
        <v>©ヘンタイン/NIU/TOPTOON</v>
      </c>
      <c r="V1908" s="8" t="str">
        <f>IFERROR(__xludf.DUMMYFUNCTION("""COMPUTED_VALUE"""),"アイドルマネージャーの力也が18禁アイドル育成ゲームを全クリしたところ、担当アイドルグループのメンバーがゲームのキャラとして追加される…さらに現実とゲームが連携され、目の前にあるメッセージが！「メンバーとセッ〇スして報酬アイテムをゲットしよう！」")</f>
        <v>アイドルマネージャーの力也が18禁アイドル育成ゲームを全クリしたところ、担当アイドルグループのメンバーがゲームのキャラとして追加される…さらに現実とゲームが連携され、目の前にあるメッセージが！「メンバーとセッ〇スして報酬アイテムをゲットしよう！」</v>
      </c>
      <c r="W1908" s="14"/>
      <c r="X1908" s="14" t="str">
        <f>IFERROR(__xludf.DUMMYFUNCTION("""COMPUTED_VALUE"""),"有")</f>
        <v>有</v>
      </c>
      <c r="Y1908" s="8" t="str">
        <f>IFERROR(__xludf.DUMMYFUNCTION("""COMPUTED_VALUE"""),"1～3巻無料")</f>
        <v>1～3巻無料</v>
      </c>
      <c r="Z1908" s="7"/>
      <c r="AA1908" s="7"/>
      <c r="AB1908" s="7"/>
    </row>
    <row r="1909" ht="15.75" customHeight="1">
      <c r="A1909" s="66">
        <f>IFERROR(__xludf.DUMMYFUNCTION("""COMPUTED_VALUE"""),3881.0)</f>
        <v>3881</v>
      </c>
      <c r="B1909" s="75" t="str">
        <f>IFERROR(__xludf.DUMMYFUNCTION("""COMPUTED_VALUE"""),"確定")</f>
        <v>確定</v>
      </c>
      <c r="C1909" s="68">
        <f>IFERROR(__xludf.DUMMYFUNCTION("""COMPUTED_VALUE"""),45503.0)</f>
        <v>45503</v>
      </c>
      <c r="D1909" s="68">
        <f>IFERROR(__xludf.DUMMYFUNCTION("""COMPUTED_VALUE"""),45504.0)</f>
        <v>45504</v>
      </c>
      <c r="E1909" s="60">
        <f>IFERROR(__xludf.DUMMYFUNCTION("""COMPUTED_VALUE"""),300370.0)</f>
        <v>300370</v>
      </c>
      <c r="F1909" s="60" t="str">
        <f>IFERROR(__xludf.DUMMYFUNCTION("""COMPUTED_VALUE"""),"人妻の味【タテヨミ】")</f>
        <v>人妻の味【タテヨミ】</v>
      </c>
      <c r="G1909" s="69" t="str">
        <f>IFERROR(__xludf.DUMMYFUNCTION("""COMPUTED_VALUE"""),"1～17")</f>
        <v>1～17</v>
      </c>
      <c r="H1909" s="75" t="str">
        <f>IFERROR(__xludf.DUMMYFUNCTION("""COMPUTED_VALUE"""),"Park Subeom/Taegam")</f>
        <v>Park Subeom/Taegam</v>
      </c>
      <c r="I1909" s="75" t="str">
        <f>IFERROR(__xludf.DUMMYFUNCTION("""COMPUTED_VALUE"""),"青年")</f>
        <v>青年</v>
      </c>
      <c r="J1909" s="75"/>
      <c r="K1909" s="75"/>
      <c r="L1909" s="75" t="str">
        <f>IFERROR(__xludf.DUMMYFUNCTION("""COMPUTED_VALUE"""),"TOPCO JAPAN")</f>
        <v>TOPCO JAPAN</v>
      </c>
      <c r="M1909" s="59">
        <f>IFERROR(__xludf.DUMMYFUNCTION("""COMPUTED_VALUE"""),45555.0)</f>
        <v>45555</v>
      </c>
      <c r="N1909" s="94">
        <f>IFERROR(__xludf.DUMMYFUNCTION("""COMPUTED_VALUE"""),45646.0)</f>
        <v>45646</v>
      </c>
      <c r="O1909" s="75"/>
      <c r="P1909" s="80" t="str">
        <f>IFERROR(__xludf.DUMMYFUNCTION("""COMPUTED_VALUE"""),"可")</f>
        <v>可</v>
      </c>
      <c r="Q1909" s="72" t="str">
        <f>IFERROR(__xludf.DUMMYFUNCTION("""COMPUTED_VALUE"""),"素材は1～17巻までご使用ください
")</f>
        <v>素材は1～17巻までご使用ください
</v>
      </c>
      <c r="R1909" s="75"/>
      <c r="S1909" s="75" t="str">
        <f>IFERROR(__xludf.DUMMYFUNCTION("""COMPUTED_VALUE"""),"20240730_TOPCO_人妻の味【タテヨミ】")</f>
        <v>20240730_TOPCO_人妻の味【タテヨミ】</v>
      </c>
      <c r="T1909" s="75" t="str">
        <f>IFERROR(__xludf.DUMMYFUNCTION("""COMPUTED_VALUE"""),"格納済み")</f>
        <v>格納済み</v>
      </c>
      <c r="U1909" s="15" t="str">
        <f>IFERROR(__xludf.DUMMYFUNCTION("""COMPUTED_VALUE"""),"©Park Subeom/Taegam/TOPTOON")</f>
        <v>©Park Subeom/Taegam/TOPTOON</v>
      </c>
      <c r="V1909" s="8" t="str">
        <f>IFERROR(__xludf.DUMMYFUNCTION("""COMPUTED_VALUE"""),"大企業TCグループの夜間警備員として働いている未婚の鋼輝は暇つぶしに既婚男女のオープンチャットに嘘をついて加入する。しかし実は、TCグループ社員の妻だけで構成された特別なチャットであった…警備員だからと無視されていた鋼輝の逆襲が今始まる。")</f>
        <v>大企業TCグループの夜間警備員として働いている未婚の鋼輝は暇つぶしに既婚男女のオープンチャットに嘘をついて加入する。しかし実は、TCグループ社員の妻だけで構成された特別なチャットであった…警備員だからと無視されていた鋼輝の逆襲が今始まる。</v>
      </c>
      <c r="W1909" s="14"/>
      <c r="X1909" s="14" t="str">
        <f>IFERROR(__xludf.DUMMYFUNCTION("""COMPUTED_VALUE"""),"有")</f>
        <v>有</v>
      </c>
      <c r="Y1909" s="8" t="str">
        <f>IFERROR(__xludf.DUMMYFUNCTION("""COMPUTED_VALUE"""),"1～3巻無料")</f>
        <v>1～3巻無料</v>
      </c>
      <c r="Z1909" s="7"/>
      <c r="AA1909" s="7"/>
      <c r="AB1909" s="7"/>
    </row>
    <row r="1910" ht="15.75" customHeight="1">
      <c r="A1910" s="66">
        <f>IFERROR(__xludf.DUMMYFUNCTION("""COMPUTED_VALUE"""),3882.0)</f>
        <v>3882</v>
      </c>
      <c r="B1910" s="75" t="str">
        <f>IFERROR(__xludf.DUMMYFUNCTION("""COMPUTED_VALUE"""),"確定")</f>
        <v>確定</v>
      </c>
      <c r="C1910" s="68">
        <f>IFERROR(__xludf.DUMMYFUNCTION("""COMPUTED_VALUE"""),45503.0)</f>
        <v>45503</v>
      </c>
      <c r="D1910" s="68">
        <f>IFERROR(__xludf.DUMMYFUNCTION("""COMPUTED_VALUE"""),45504.0)</f>
        <v>45504</v>
      </c>
      <c r="E1910" s="60">
        <f>IFERROR(__xludf.DUMMYFUNCTION("""COMPUTED_VALUE"""),300371.0)</f>
        <v>300371</v>
      </c>
      <c r="F1910" s="60" t="str">
        <f>IFERROR(__xludf.DUMMYFUNCTION("""COMPUTED_VALUE"""),"アブナイ娘たち【タテヨミ】")</f>
        <v>アブナイ娘たち【タテヨミ】</v>
      </c>
      <c r="G1910" s="69" t="str">
        <f>IFERROR(__xludf.DUMMYFUNCTION("""COMPUTED_VALUE"""),"1～17")</f>
        <v>1～17</v>
      </c>
      <c r="H1910" s="75" t="str">
        <f>IFERROR(__xludf.DUMMYFUNCTION("""COMPUTED_VALUE"""),"duck/Andrew")</f>
        <v>duck/Andrew</v>
      </c>
      <c r="I1910" s="75" t="str">
        <f>IFERROR(__xludf.DUMMYFUNCTION("""COMPUTED_VALUE"""),"青年")</f>
        <v>青年</v>
      </c>
      <c r="J1910" s="75"/>
      <c r="K1910" s="75"/>
      <c r="L1910" s="75" t="str">
        <f>IFERROR(__xludf.DUMMYFUNCTION("""COMPUTED_VALUE"""),"TOPCO JAPAN")</f>
        <v>TOPCO JAPAN</v>
      </c>
      <c r="M1910" s="59">
        <f>IFERROR(__xludf.DUMMYFUNCTION("""COMPUTED_VALUE"""),45562.0)</f>
        <v>45562</v>
      </c>
      <c r="N1910" s="94">
        <f>IFERROR(__xludf.DUMMYFUNCTION("""COMPUTED_VALUE"""),45653.0)</f>
        <v>45653</v>
      </c>
      <c r="O1910" s="75"/>
      <c r="P1910" s="80" t="str">
        <f>IFERROR(__xludf.DUMMYFUNCTION("""COMPUTED_VALUE"""),"可")</f>
        <v>可</v>
      </c>
      <c r="Q1910" s="72" t="str">
        <f>IFERROR(__xludf.DUMMYFUNCTION("""COMPUTED_VALUE"""),"素材は1～17巻までご使用ください
")</f>
        <v>素材は1～17巻までご使用ください
</v>
      </c>
      <c r="R1910" s="75"/>
      <c r="S1910" s="75" t="str">
        <f>IFERROR(__xludf.DUMMYFUNCTION("""COMPUTED_VALUE"""),"20240730_TOPCO_アブナイ娘たち【タテヨミ】")</f>
        <v>20240730_TOPCO_アブナイ娘たち【タテヨミ】</v>
      </c>
      <c r="T1910" s="75" t="str">
        <f>IFERROR(__xludf.DUMMYFUNCTION("""COMPUTED_VALUE"""),"格納済み")</f>
        <v>格納済み</v>
      </c>
      <c r="U1910" s="15" t="str">
        <f>IFERROR(__xludf.DUMMYFUNCTION("""COMPUTED_VALUE"""),"©duck/Andrew/TOPTOON")</f>
        <v>©duck/Andrew/TOPTOON</v>
      </c>
      <c r="V1910" s="8" t="str">
        <f>IFERROR(__xludf.DUMMYFUNCTION("""COMPUTED_VALUE"""),"いつも養父に感謝しながら生きてきた。娘だと言い張る見知らぬ２人がやってくるまでは…彼女たちの隠された意図も知らないまま官能的な姿に魅了され、とうとう一線を越えてしまう。｢１日中私のカラダ盗み見してたでしょ？｣")</f>
        <v>いつも養父に感謝しながら生きてきた。娘だと言い張る見知らぬ２人がやってくるまでは…彼女たちの隠された意図も知らないまま官能的な姿に魅了され、とうとう一線を越えてしまう。｢１日中私のカラダ盗み見してたでしょ？｣</v>
      </c>
      <c r="W1910" s="14"/>
      <c r="X1910" s="14" t="str">
        <f>IFERROR(__xludf.DUMMYFUNCTION("""COMPUTED_VALUE"""),"有")</f>
        <v>有</v>
      </c>
      <c r="Y1910" s="8" t="str">
        <f>IFERROR(__xludf.DUMMYFUNCTION("""COMPUTED_VALUE"""),"1～3巻無料")</f>
        <v>1～3巻無料</v>
      </c>
      <c r="Z1910" s="7"/>
      <c r="AA1910" s="7"/>
      <c r="AB1910" s="7"/>
    </row>
    <row r="1911" ht="15.75" customHeight="1">
      <c r="A1911" s="66">
        <f>IFERROR(__xludf.DUMMYFUNCTION("""COMPUTED_VALUE"""),3883.0)</f>
        <v>3883</v>
      </c>
      <c r="B1911" s="75" t="str">
        <f>IFERROR(__xludf.DUMMYFUNCTION("""COMPUTED_VALUE"""),"確定")</f>
        <v>確定</v>
      </c>
      <c r="C1911" s="68">
        <f>IFERROR(__xludf.DUMMYFUNCTION("""COMPUTED_VALUE"""),45503.0)</f>
        <v>45503</v>
      </c>
      <c r="D1911" s="68">
        <f>IFERROR(__xludf.DUMMYFUNCTION("""COMPUTED_VALUE"""),45504.0)</f>
        <v>45504</v>
      </c>
      <c r="E1911" s="31">
        <f>IFERROR(__xludf.DUMMYFUNCTION("""COMPUTED_VALUE"""),300084.0)</f>
        <v>300084</v>
      </c>
      <c r="F1911" s="31" t="str">
        <f>IFERROR(__xludf.DUMMYFUNCTION("""COMPUTED_VALUE"""),"オーダーメイドな恋をして")</f>
        <v>オーダーメイドな恋をして</v>
      </c>
      <c r="G1911" s="69" t="str">
        <f>IFERROR(__xludf.DUMMYFUNCTION("""COMPUTED_VALUE"""),"1～5")</f>
        <v>1～5</v>
      </c>
      <c r="H1911" s="75" t="str">
        <f>IFERROR(__xludf.DUMMYFUNCTION("""COMPUTED_VALUE"""),"漫画：松代愛加 構成：佐倉サク 原作：江夏遙（エブリスタ） 原案：山本裕介")</f>
        <v>漫画：松代愛加 構成：佐倉サク 原作：江夏遙（エブリスタ） 原案：山本裕介</v>
      </c>
      <c r="I1911" s="75" t="str">
        <f>IFERROR(__xludf.DUMMYFUNCTION("""COMPUTED_VALUE"""),"女性")</f>
        <v>女性</v>
      </c>
      <c r="J1911" s="75"/>
      <c r="K1911" s="75"/>
      <c r="L1911" s="75" t="str">
        <f>IFERROR(__xludf.DUMMYFUNCTION("""COMPUTED_VALUE"""),"集英社")</f>
        <v>集英社</v>
      </c>
      <c r="M1911" s="59">
        <f>IFERROR(__xludf.DUMMYFUNCTION("""COMPUTED_VALUE"""),45529.0)</f>
        <v>45529</v>
      </c>
      <c r="N1911" s="59">
        <f>IFERROR(__xludf.DUMMYFUNCTION("""COMPUTED_VALUE"""),45559.0)</f>
        <v>45559</v>
      </c>
      <c r="O1911" s="75"/>
      <c r="P1911" s="80" t="str">
        <f>IFERROR(__xludf.DUMMYFUNCTION("""COMPUTED_VALUE"""),"否")</f>
        <v>否</v>
      </c>
      <c r="Q1911" s="72" t="str">
        <f>IFERROR(__xludf.DUMMYFUNCTION("""COMPUTED_VALUE"""),"・レーベル名：マーガレットコミックスDIGITAL")</f>
        <v>・レーベル名：マーガレットコミックスDIGITAL</v>
      </c>
      <c r="R1911" s="75"/>
      <c r="S1911" s="75" t="str">
        <f>IFERROR(__xludf.DUMMYFUNCTION("""COMPUTED_VALUE"""),"20240730_集英社_オーダーメイドな恋をして")</f>
        <v>20240730_集英社_オーダーメイドな恋をして</v>
      </c>
      <c r="T1911" s="75" t="str">
        <f>IFERROR(__xludf.DUMMYFUNCTION("""COMPUTED_VALUE"""),"格納済み")</f>
        <v>格納済み</v>
      </c>
      <c r="U1911" s="15" t="str">
        <f>IFERROR(__xludf.DUMMYFUNCTION("""COMPUTED_VALUE"""),"©表記：松代愛加・佐倉サク・江夏遙（エブリスタ）・山本裕介／集英社")</f>
        <v>©表記：松代愛加・佐倉サク・江夏遙（エブリスタ）・山本裕介／集英社</v>
      </c>
      <c r="V1911" s="8" t="str">
        <f>IFERROR(__xludf.DUMMYFUNCTION("""COMPUTED_VALUE"""),"28歳。仕事は楽しいし、6年付き合ってる彼氏もいる。順風満帆な人生で悩みなんてなかったはずの優華に、突然悲劇が訪れた。彼氏に振られ合コンでバカにされ、ボロボロの彼女の前に現れたのは、年下で生意気なファッションデザイナーの涼太。「俺があんたをプロデュースしてやるよ」　仕事命の非オシャレ女子×生意気オシャレ年下男子ラブコメ、ここに開幕！")</f>
        <v>28歳。仕事は楽しいし、6年付き合ってる彼氏もいる。順風満帆な人生で悩みなんてなかったはずの優華に、突然悲劇が訪れた。彼氏に振られ合コンでバカにされ、ボロボロの彼女の前に現れたのは、年下で生意気なファッションデザイナーの涼太。「俺があんたをプロデュースしてやるよ」　仕事命の非オシャレ女子×生意気オシャレ年下男子ラブコメ、ここに開幕！</v>
      </c>
      <c r="W1911" s="14"/>
      <c r="X1911" s="14" t="str">
        <f>IFERROR(__xludf.DUMMYFUNCTION("""COMPUTED_VALUE"""),"有")</f>
        <v>有</v>
      </c>
      <c r="Y1911" s="8" t="str">
        <f>IFERROR(__xludf.DUMMYFUNCTION("""COMPUTED_VALUE"""),"2024/9/24まで1巻無料")</f>
        <v>2024/9/24まで1巻無料</v>
      </c>
      <c r="Z1911" s="7"/>
      <c r="AA1911" s="7"/>
      <c r="AB1911" s="7"/>
    </row>
    <row r="1912" ht="15.75" customHeight="1">
      <c r="A1912" s="66">
        <f>IFERROR(__xludf.DUMMYFUNCTION("""COMPUTED_VALUE"""),3885.0)</f>
        <v>3885</v>
      </c>
      <c r="B1912" s="75" t="str">
        <f>IFERROR(__xludf.DUMMYFUNCTION("""COMPUTED_VALUE"""),"確定")</f>
        <v>確定</v>
      </c>
      <c r="C1912" s="68">
        <f>IFERROR(__xludf.DUMMYFUNCTION("""COMPUTED_VALUE"""),45503.0)</f>
        <v>45503</v>
      </c>
      <c r="D1912" s="68">
        <f>IFERROR(__xludf.DUMMYFUNCTION("""COMPUTED_VALUE"""),45504.0)</f>
        <v>45504</v>
      </c>
      <c r="E1912" s="31">
        <f>IFERROR(__xludf.DUMMYFUNCTION("""COMPUTED_VALUE"""),300086.0)</f>
        <v>300086</v>
      </c>
      <c r="F1912" s="31" t="str">
        <f>IFERROR(__xludf.DUMMYFUNCTION("""COMPUTED_VALUE"""),"麗しのデザイナー")</f>
        <v>麗しのデザイナー</v>
      </c>
      <c r="G1912" s="69" t="str">
        <f>IFERROR(__xludf.DUMMYFUNCTION("""COMPUTED_VALUE"""),"1～3")</f>
        <v>1～3</v>
      </c>
      <c r="H1912" s="75" t="str">
        <f>IFERROR(__xludf.DUMMYFUNCTION("""COMPUTED_VALUE"""),"新島なるい")</f>
        <v>新島なるい</v>
      </c>
      <c r="I1912" s="75" t="str">
        <f>IFERROR(__xludf.DUMMYFUNCTION("""COMPUTED_VALUE"""),"少女")</f>
        <v>少女</v>
      </c>
      <c r="J1912" s="75"/>
      <c r="K1912" s="75"/>
      <c r="L1912" s="75" t="str">
        <f>IFERROR(__xludf.DUMMYFUNCTION("""COMPUTED_VALUE"""),"集英社")</f>
        <v>集英社</v>
      </c>
      <c r="M1912" s="59">
        <f>IFERROR(__xludf.DUMMYFUNCTION("""COMPUTED_VALUE"""),45529.0)</f>
        <v>45529</v>
      </c>
      <c r="N1912" s="59">
        <f>IFERROR(__xludf.DUMMYFUNCTION("""COMPUTED_VALUE"""),45559.0)</f>
        <v>45559</v>
      </c>
      <c r="O1912" s="75"/>
      <c r="P1912" s="80" t="str">
        <f>IFERROR(__xludf.DUMMYFUNCTION("""COMPUTED_VALUE"""),"否")</f>
        <v>否</v>
      </c>
      <c r="Q1912" s="72" t="str">
        <f>IFERROR(__xludf.DUMMYFUNCTION("""COMPUTED_VALUE"""),"・レーベル名：マーガレットコミックスDIGITAL")</f>
        <v>・レーベル名：マーガレットコミックスDIGITAL</v>
      </c>
      <c r="R1912" s="75"/>
      <c r="S1912" s="75" t="str">
        <f>IFERROR(__xludf.DUMMYFUNCTION("""COMPUTED_VALUE"""),"20240730 _集英社_麗しのデザイナー")</f>
        <v>20240730 _集英社_麗しのデザイナー</v>
      </c>
      <c r="T1912" s="83" t="str">
        <f>IFERROR(__xludf.DUMMYFUNCTION("""COMPUTED_VALUE"""),"格納済み")</f>
        <v>格納済み</v>
      </c>
      <c r="U1912" s="15" t="str">
        <f>IFERROR(__xludf.DUMMYFUNCTION("""COMPUTED_VALUE"""),"©新島なるい／集英社        ")</f>
        <v>©新島なるい／集英社        </v>
      </c>
      <c r="V1912" s="8" t="str">
        <f>IFERROR(__xludf.DUMMYFUNCTION("""COMPUTED_VALUE"""),"デザイン会社に入社した一之瀬きみかは、憧れだったデザイン部で彫像に仮装する不審人物を見つけてドン引きするも、なんと彼は社内一優秀なイケメンデザイナー・九条佳一だった!!　営業担当としてペアを組むことになったきみかは、ナルシストでマイペースすぎる九条に振り回されながらも、うっかり新たな感情が芽生えて…!?　恋も仕事も常識破りな、超新感覚オフィスラブコメ！")</f>
        <v>デザイン会社に入社した一之瀬きみかは、憧れだったデザイン部で彫像に仮装する不審人物を見つけてドン引きするも、なんと彼は社内一優秀なイケメンデザイナー・九条佳一だった!!　営業担当としてペアを組むことになったきみかは、ナルシストでマイペースすぎる九条に振り回されながらも、うっかり新たな感情が芽生えて…!?　恋も仕事も常識破りな、超新感覚オフィスラブコメ！</v>
      </c>
      <c r="W1912" s="14"/>
      <c r="X1912" s="14" t="str">
        <f>IFERROR(__xludf.DUMMYFUNCTION("""COMPUTED_VALUE"""),"有")</f>
        <v>有</v>
      </c>
      <c r="Y1912" s="8" t="str">
        <f>IFERROR(__xludf.DUMMYFUNCTION("""COMPUTED_VALUE"""),"2024/9/24まで1巻無料")</f>
        <v>2024/9/24まで1巻無料</v>
      </c>
      <c r="Z1912" s="7"/>
      <c r="AA1912" s="7"/>
      <c r="AB1912" s="7"/>
    </row>
    <row r="1913" ht="15.75" customHeight="1">
      <c r="A1913" s="66">
        <f>IFERROR(__xludf.DUMMYFUNCTION("""COMPUTED_VALUE"""),3025.0)</f>
        <v>3025</v>
      </c>
      <c r="B1913" s="67" t="str">
        <f>IFERROR(__xludf.DUMMYFUNCTION("""COMPUTED_VALUE"""),"確定")</f>
        <v>確定</v>
      </c>
      <c r="C1913" s="68">
        <f>IFERROR(__xludf.DUMMYFUNCTION("""COMPUTED_VALUE"""),45350.0)</f>
        <v>45350</v>
      </c>
      <c r="D1913" s="68">
        <f>IFERROR(__xludf.DUMMYFUNCTION("""COMPUTED_VALUE"""),45510.0)</f>
        <v>45510</v>
      </c>
      <c r="E1913" s="31">
        <f>IFERROR(__xludf.DUMMYFUNCTION("""COMPUTED_VALUE"""),299645.0)</f>
        <v>299645</v>
      </c>
      <c r="F1913" s="22" t="str">
        <f>IFERROR(__xludf.DUMMYFUNCTION("""COMPUTED_VALUE"""),"エリート外交官の狡猾な求婚～仮面夫婦のはずが、予想外の激情で堕とされました～【分冊版】")</f>
        <v>エリート外交官の狡猾な求婚～仮面夫婦のはずが、予想外の激情で堕とされました～【分冊版】</v>
      </c>
      <c r="G1913" s="69" t="str">
        <f>IFERROR(__xludf.DUMMYFUNCTION("""COMPUTED_VALUE"""),"1～3")</f>
        <v>1～3</v>
      </c>
      <c r="H1913" s="78" t="str">
        <f>IFERROR(__xludf.DUMMYFUNCTION("""COMPUTED_VALUE"""),"汐宮ゆき 伊月ジュイ")</f>
        <v>汐宮ゆき 伊月ジュイ</v>
      </c>
      <c r="I1913" s="67" t="str">
        <f>IFERROR(__xludf.DUMMYFUNCTION("""COMPUTED_VALUE"""),"女性")</f>
        <v>女性</v>
      </c>
      <c r="J1913" s="67"/>
      <c r="K1913" s="67"/>
      <c r="L1913" s="67" t="str">
        <f>IFERROR(__xludf.DUMMYFUNCTION("""COMPUTED_VALUE"""),"ハーパーコリンズ・ジャパン")</f>
        <v>ハーパーコリンズ・ジャパン</v>
      </c>
      <c r="M1913" s="59">
        <f>IFERROR(__xludf.DUMMYFUNCTION("""COMPUTED_VALUE"""),45523.0)</f>
        <v>45523</v>
      </c>
      <c r="N1913" s="88">
        <f>IFERROR(__xludf.DUMMYFUNCTION("""COMPUTED_VALUE"""),45582.0)</f>
        <v>45582</v>
      </c>
      <c r="O1913" s="67"/>
      <c r="P1913" s="71" t="str">
        <f>IFERROR(__xludf.DUMMYFUNCTION("""COMPUTED_VALUE"""),"否")</f>
        <v>否</v>
      </c>
      <c r="Q1913" s="67"/>
      <c r="R1913" s="67" t="str">
        <f>IFERROR(__xludf.DUMMYFUNCTION("""COMPUTED_VALUE"""),"確認中")</f>
        <v>確認中</v>
      </c>
      <c r="S1913" s="67" t="str">
        <f>IFERROR(__xludf.DUMMYFUNCTION("""COMPUTED_VALUE"""),"20240805_ハーパーコリンズ・ジャパン_エリート外交官の狡猾な求婚")</f>
        <v>20240805_ハーパーコリンズ・ジャパン_エリート外交官の狡猾な求婚</v>
      </c>
      <c r="T1913" s="67" t="str">
        <f>IFERROR(__xludf.DUMMYFUNCTION("""COMPUTED_VALUE"""),"格納済み")</f>
        <v>格納済み</v>
      </c>
      <c r="U1913" s="15" t="str">
        <f>IFERROR(__xludf.DUMMYFUNCTION("""COMPUTED_VALUE"""),"『エリート外交官の狡猾な求婚～仮面夫婦のはずが、予想外の激情で堕とされました～』©汐宮ゆき・伊月ジュイ／ハーパーコリンズ・ジャパン")</f>
        <v>『エリート外交官の狡猾な求婚～仮面夫婦のはずが、予想外の激情で堕とされました～』©汐宮ゆき・伊月ジュイ／ハーパーコリンズ・ジャパン</v>
      </c>
      <c r="V1913" s="8" t="str">
        <f>IFERROR(__xludf.DUMMYFUNCTION("""COMPUTED_VALUE"""),"キャリア官僚の一途なプロポーズから始まる契約結婚の行方は？
「私には愛も恋もいらない」両親の離婚をトラウマに恋愛から遠ざかっていた茉莉。6年ぶりにエリート外交官になって帰国した大学の先輩・葉山崎薫と再会し、突然契約結婚を持ちかけられる。悩みながらも茉莉は了承すると、クールだったはずの彼が溺甘旦那様に豹変！　夫婦の営みもない形だけの結婚だったのに、このままじゃ彼の魅力に抗えない──!!")</f>
        <v>キャリア官僚の一途なプロポーズから始まる契約結婚の行方は？
「私には愛も恋もいらない」両親の離婚をトラウマに恋愛から遠ざかっていた茉莉。6年ぶりにエリート外交官になって帰国した大学の先輩・葉山崎薫と再会し、突然契約結婚を持ちかけられる。悩みながらも茉莉は了承すると、クールだったはずの彼が溺甘旦那様に豹変！　夫婦の営みもない形だけの結婚だったのに、このままじゃ彼の魅力に抗えない──!!</v>
      </c>
      <c r="W1913" s="14"/>
      <c r="X1913" s="14" t="str">
        <f>IFERROR(__xludf.DUMMYFUNCTION("""COMPUTED_VALUE"""),"有")</f>
        <v>有</v>
      </c>
      <c r="Y1913" s="8" t="str">
        <f>IFERROR(__xludf.DUMMYFUNCTION("""COMPUTED_VALUE"""),"1巻目無料（9/1）")</f>
        <v>1巻目無料（9/1）</v>
      </c>
      <c r="Z1913" s="7"/>
      <c r="AA1913" s="7"/>
      <c r="AB1913" s="7"/>
    </row>
    <row r="1914" ht="15.75" customHeight="1">
      <c r="A1914" s="66">
        <f>IFERROR(__xludf.DUMMYFUNCTION("""COMPUTED_VALUE"""),3253.0)</f>
        <v>3253</v>
      </c>
      <c r="B1914" s="67" t="str">
        <f>IFERROR(__xludf.DUMMYFUNCTION("""COMPUTED_VALUE"""),"確定")</f>
        <v>確定</v>
      </c>
      <c r="C1914" s="68">
        <f>IFERROR(__xludf.DUMMYFUNCTION("""COMPUTED_VALUE"""),45390.0)</f>
        <v>45390</v>
      </c>
      <c r="D1914" s="68">
        <f>IFERROR(__xludf.DUMMYFUNCTION("""COMPUTED_VALUE"""),45504.0)</f>
        <v>45504</v>
      </c>
      <c r="E1914" s="31">
        <f>IFERROR(__xludf.DUMMYFUNCTION("""COMPUTED_VALUE"""),298540.0)</f>
        <v>298540</v>
      </c>
      <c r="F1914" s="22" t="str">
        <f>IFERROR(__xludf.DUMMYFUNCTION("""COMPUTED_VALUE"""),"死霊魔術の容疑者 【連載版】")</f>
        <v>死霊魔術の容疑者 【連載版】</v>
      </c>
      <c r="G1914" s="69" t="str">
        <f>IFERROR(__xludf.DUMMYFUNCTION("""COMPUTED_VALUE"""),"1～3")</f>
        <v>1～3</v>
      </c>
      <c r="H1914" s="67" t="str">
        <f>IFERROR(__xludf.DUMMYFUNCTION("""COMPUTED_VALUE"""),"原作：駄犬、作画：おにお")</f>
        <v>原作：駄犬、作画：おにお</v>
      </c>
      <c r="I1914" s="67" t="str">
        <f>IFERROR(__xludf.DUMMYFUNCTION("""COMPUTED_VALUE"""),"青年")</f>
        <v>青年</v>
      </c>
      <c r="J1914" s="67"/>
      <c r="K1914" s="67"/>
      <c r="L1914" s="67" t="str">
        <f>IFERROR(__xludf.DUMMYFUNCTION("""COMPUTED_VALUE"""),"一迅社")</f>
        <v>一迅社</v>
      </c>
      <c r="M1914" s="59">
        <f>IFERROR(__xludf.DUMMYFUNCTION("""COMPUTED_VALUE"""),45531.0)</f>
        <v>45531</v>
      </c>
      <c r="N1914" s="59">
        <f>IFERROR(__xludf.DUMMYFUNCTION("""COMPUTED_VALUE"""),45561.0)</f>
        <v>45561</v>
      </c>
      <c r="O1914" s="67"/>
      <c r="P1914" s="70" t="str">
        <f>IFERROR(__xludf.DUMMYFUNCTION("""COMPUTED_VALUE"""),"可")</f>
        <v>可</v>
      </c>
      <c r="Q1914" s="72" t="str">
        <f>IFERROR(__xludf.DUMMYFUNCTION("""COMPUTED_VALUE"""),"広告コミットOK(4/11)&lt;BR&gt;・2話までの素材はいただけたのですが、3話の素材は8月上～中旬にいただける形となります。")</f>
        <v>広告コミットOK(4/11)&lt;BR&gt;・2話までの素材はいただけたのですが、3話の素材は8月上～中旬にいただける形となります。</v>
      </c>
      <c r="R1914" s="67"/>
      <c r="S1914" s="67" t="str">
        <f>IFERROR(__xludf.DUMMYFUNCTION("""COMPUTED_VALUE"""),"20240731_一迅社_死霊魔術の容疑者")</f>
        <v>20240731_一迅社_死霊魔術の容疑者</v>
      </c>
      <c r="T1914" s="67" t="str">
        <f>IFERROR(__xludf.DUMMYFUNCTION("""COMPUTED_VALUE"""),"格納済み")</f>
        <v>格納済み</v>
      </c>
      <c r="U1914" s="15" t="str">
        <f>IFERROR(__xludf.DUMMYFUNCTION("""COMPUTED_VALUE"""),"(C)駄犬・おにお／一迅社")</f>
        <v>(C)駄犬・おにお／一迅社</v>
      </c>
      <c r="V1914" s="8" t="str">
        <f>IFERROR(__xludf.DUMMYFUNCTION("""COMPUTED_VALUE"""),"永遠の命は欲しい？赤い瞳、白い肌、金色の髪──主人公・ルナは身なりの汚い老魔術師・カーンに買われた魔術師見習い。プライドの高いルナは、魔術の研究以外に興味のないカーンを見返すために魔術を学ぶ毎日。そんな折、先王の病死により、各地で反乱が勃発。王国に滅亡の危機が訪れるが、アンデッドの軍団が反乱軍を襲撃し、鎮圧に至る。禁忌とされる死霊魔術をいったい誰が行使したのか。『誰が勇者を殺したか』(KADOKAWA刊)、『モンスターの肉を食っていたら王位に就いた件』(マイクロマガジン社刊)の最注目の新人作家・駄犬の最新"&amp;"作が早くもコミカライズ!!　漫画内の告知等は過去のものとなりますので、ご注意ください。")</f>
        <v>永遠の命は欲しい？赤い瞳、白い肌、金色の髪──主人公・ルナは身なりの汚い老魔術師・カーンに買われた魔術師見習い。プライドの高いルナは、魔術の研究以外に興味のないカーンを見返すために魔術を学ぶ毎日。そんな折、先王の病死により、各地で反乱が勃発。王国に滅亡の危機が訪れるが、アンデッドの軍団が反乱軍を襲撃し、鎮圧に至る。禁忌とされる死霊魔術をいったい誰が行使したのか。『誰が勇者を殺したか』(KADOKAWA刊)、『モンスターの肉を食っていたら王位に就いた件』(マイクロマガジン社刊)の最注目の新人作家・駄犬の最新作が早くもコミカライズ!!　漫画内の告知等は過去のものとなりますので、ご注意ください。</v>
      </c>
      <c r="W1914" s="14"/>
      <c r="X1914" s="14" t="str">
        <f>IFERROR(__xludf.DUMMYFUNCTION("""COMPUTED_VALUE"""),"有")</f>
        <v>有</v>
      </c>
      <c r="Y1914" s="8" t="str">
        <f>IFERROR(__xludf.DUMMYFUNCTION("""COMPUTED_VALUE"""),"P9まで")</f>
        <v>P9まで</v>
      </c>
      <c r="Z1914" s="7"/>
      <c r="AA1914" s="7"/>
      <c r="AB1914" s="7"/>
    </row>
    <row r="1915" ht="15.75" customHeight="1">
      <c r="A1915" s="66">
        <f>IFERROR(__xludf.DUMMYFUNCTION("""COMPUTED_VALUE"""),3294.0)</f>
        <v>3294</v>
      </c>
      <c r="B1915" s="67" t="str">
        <f>IFERROR(__xludf.DUMMYFUNCTION("""COMPUTED_VALUE"""),"確定")</f>
        <v>確定</v>
      </c>
      <c r="C1915" s="68">
        <f>IFERROR(__xludf.DUMMYFUNCTION("""COMPUTED_VALUE"""),45397.0)</f>
        <v>45397</v>
      </c>
      <c r="D1915" s="68">
        <f>IFERROR(__xludf.DUMMYFUNCTION("""COMPUTED_VALUE"""),45510.0)</f>
        <v>45510</v>
      </c>
      <c r="E1915" s="31">
        <f>IFERROR(__xludf.DUMMYFUNCTION("""COMPUTED_VALUE"""),299588.0)</f>
        <v>299588</v>
      </c>
      <c r="F1915" s="22" t="str">
        <f>IFERROR(__xludf.DUMMYFUNCTION("""COMPUTED_VALUE"""),"【ラビオス】その声「が」イイんです ガチ恋DJはヤバいほどに推し狂い")</f>
        <v>【ラビオス】その声「が」イイんです ガチ恋DJはヤバいほどに推し狂い</v>
      </c>
      <c r="G1915" s="11" t="str">
        <f>IFERROR(__xludf.DUMMYFUNCTION("""COMPUTED_VALUE"""),"1～2")</f>
        <v>1～2</v>
      </c>
      <c r="H1915" s="67" t="str">
        <f>IFERROR(__xludf.DUMMYFUNCTION("""COMPUTED_VALUE"""),"升田ブン")</f>
        <v>升田ブン</v>
      </c>
      <c r="I1915" s="67" t="str">
        <f>IFERROR(__xludf.DUMMYFUNCTION("""COMPUTED_VALUE"""),"BL")</f>
        <v>BL</v>
      </c>
      <c r="J1915" s="67"/>
      <c r="K1915" s="67"/>
      <c r="L1915" s="67" t="str">
        <f>IFERROR(__xludf.DUMMYFUNCTION("""COMPUTED_VALUE"""),"アーク・プレス")</f>
        <v>アーク・プレス</v>
      </c>
      <c r="M1915" s="59">
        <f>IFERROR(__xludf.DUMMYFUNCTION("""COMPUTED_VALUE"""),45512.0)</f>
        <v>45512</v>
      </c>
      <c r="N1915" s="85">
        <f>IFERROR(__xludf.DUMMYFUNCTION("""COMPUTED_VALUE"""),45588.0)</f>
        <v>45588</v>
      </c>
      <c r="O1915" s="67"/>
      <c r="P1915" s="70" t="str">
        <f>IFERROR(__xludf.DUMMYFUNCTION("""COMPUTED_VALUE"""),"可")</f>
        <v>可</v>
      </c>
      <c r="Q1915" s="72" t="str">
        <f>IFERROR(__xludf.DUMMYFUNCTION("""COMPUTED_VALUE"""),"広告コミットOK(4/19)")</f>
        <v>広告コミットOK(4/19)</v>
      </c>
      <c r="R1915" s="67"/>
      <c r="S1915" s="67" t="str">
        <f>IFERROR(__xludf.DUMMYFUNCTION("""COMPUTED_VALUE"""),"20240806_アーク・プレス_その声「が」イイんです ガチ恋DJはヤバいほどに推し狂い")</f>
        <v>20240806_アーク・プレス_その声「が」イイんです ガチ恋DJはヤバいほどに推し狂い</v>
      </c>
      <c r="T1915" s="67" t="str">
        <f>IFERROR(__xludf.DUMMYFUNCTION("""COMPUTED_VALUE"""),"格納済み")</f>
        <v>格納済み</v>
      </c>
      <c r="U1915" s="15" t="str">
        <f>IFERROR(__xludf.DUMMYFUNCTION("""COMPUTED_VALUE"""),"©︎升田ブン／アーク・プレス")</f>
        <v>©︎升田ブン／アーク・プレス</v>
      </c>
      <c r="V1915" s="8" t="str">
        <f>IFERROR(__xludf.DUMMYFUNCTION("""COMPUTED_VALUE"""),"【俺……俺はあなたを使って…毎日ヌいてますッ…】
俺のやめられない悪癖と人に言えないオカズーー
それは、推し配信者のボイスをオナサポにしていること。
中村レオン（20）、職業DJ（顔出しNG）。
推しの声に溺れて早10年、顔も名前も知らない相手に恋焦がれている。
ある日、社長命令で顔出しさせられることになり、ひとまず散髪に。
担当美容師の声、どこかで聞いたことあるような……え？？
そのセリフ、この声……俺の推し・杏たん！！？！？
大興奮を抑えつつなんとか会話をするレオンだったが、杏"&amp;"の左薬指に指輪を見つけ……！？
激重リアコ有名DJ×お人好し隠れ配信者（兼美容師）のインテンス・ラブ！")</f>
        <v>【俺……俺はあなたを使って…毎日ヌいてますッ…】
俺のやめられない悪癖と人に言えないオカズーー
それは、推し配信者のボイスをオナサポにしていること。
中村レオン（20）、職業DJ（顔出しNG）。
推しの声に溺れて早10年、顔も名前も知らない相手に恋焦がれている。
ある日、社長命令で顔出しさせられることになり、ひとまず散髪に。
担当美容師の声、どこかで聞いたことあるような……え？？
そのセリフ、この声……俺の推し・杏たん！！？！？
大興奮を抑えつつなんとか会話をするレオンだったが、杏の左薬指に指輪を見つけ……！？
激重リアコ有名DJ×お人好し隠れ配信者（兼美容師）のインテンス・ラブ！</v>
      </c>
      <c r="W1915" s="14"/>
      <c r="X1915" s="14" t="str">
        <f>IFERROR(__xludf.DUMMYFUNCTION("""COMPUTED_VALUE"""),"有")</f>
        <v>有</v>
      </c>
      <c r="Y1915" s="8" t="str">
        <f>IFERROR(__xludf.DUMMYFUNCTION("""COMPUTED_VALUE"""),"2024/8/21まで1巻無料")</f>
        <v>2024/8/21まで1巻無料</v>
      </c>
      <c r="Z1915" s="7"/>
      <c r="AA1915" s="7"/>
      <c r="AB1915" s="7"/>
    </row>
    <row r="1916" ht="15.75" customHeight="1">
      <c r="A1916" s="66">
        <f>IFERROR(__xludf.DUMMYFUNCTION("""COMPUTED_VALUE"""),3415.0)</f>
        <v>3415</v>
      </c>
      <c r="B1916" s="67" t="str">
        <f>IFERROR(__xludf.DUMMYFUNCTION("""COMPUTED_VALUE"""),"確定")</f>
        <v>確定</v>
      </c>
      <c r="C1916" s="68">
        <f>IFERROR(__xludf.DUMMYFUNCTION("""COMPUTED_VALUE"""),45425.0)</f>
        <v>45425</v>
      </c>
      <c r="D1916" s="68">
        <f>IFERROR(__xludf.DUMMYFUNCTION("""COMPUTED_VALUE"""),45505.0)</f>
        <v>45505</v>
      </c>
      <c r="E1916" s="31">
        <f>IFERROR(__xludf.DUMMYFUNCTION("""COMPUTED_VALUE"""),299953.0)</f>
        <v>299953</v>
      </c>
      <c r="F1916" s="22" t="str">
        <f>IFERROR(__xludf.DUMMYFUNCTION("""COMPUTED_VALUE"""),"幽霊とぼく")</f>
        <v>幽霊とぼく</v>
      </c>
      <c r="G1916" s="11" t="str">
        <f>IFERROR(__xludf.DUMMYFUNCTION("""COMPUTED_VALUE"""),"1～2")</f>
        <v>1～2</v>
      </c>
      <c r="H1916" s="67" t="str">
        <f>IFERROR(__xludf.DUMMYFUNCTION("""COMPUTED_VALUE"""),"市川ナツヲ")</f>
        <v>市川ナツヲ</v>
      </c>
      <c r="I1916" s="67" t="str">
        <f>IFERROR(__xludf.DUMMYFUNCTION("""COMPUTED_VALUE"""),"BL")</f>
        <v>BL</v>
      </c>
      <c r="J1916" s="67"/>
      <c r="K1916" s="67"/>
      <c r="L1916" s="67" t="str">
        <f>IFERROR(__xludf.DUMMYFUNCTION("""COMPUTED_VALUE"""),"ふゅーじょんぷろだくと")</f>
        <v>ふゅーじょんぷろだくと</v>
      </c>
      <c r="M1916" s="59">
        <f>IFERROR(__xludf.DUMMYFUNCTION("""COMPUTED_VALUE"""),45533.0)</f>
        <v>45533</v>
      </c>
      <c r="N1916" s="85">
        <f>IFERROR(__xludf.DUMMYFUNCTION("""COMPUTED_VALUE"""),45595.0)</f>
        <v>45595</v>
      </c>
      <c r="O1916" s="67"/>
      <c r="P1916" s="70" t="str">
        <f>IFERROR(__xludf.DUMMYFUNCTION("""COMPUTED_VALUE"""),"可")</f>
        <v>可</v>
      </c>
      <c r="Q1916" s="72" t="str">
        <f>IFERROR(__xludf.DUMMYFUNCTION("""COMPUTED_VALUE"""),"広告コミットOK(5/15)&lt;BR&gt;先行期間に合わせた1巻目の試読増量実施予定")</f>
        <v>広告コミットOK(5/15)&lt;BR&gt;先行期間に合わせた1巻目の試読増量実施予定</v>
      </c>
      <c r="R1916" s="67"/>
      <c r="S1916" s="67" t="str">
        <f>IFERROR(__xludf.DUMMYFUNCTION("""COMPUTED_VALUE"""),"20240801_ふゅーじょんぷろだくと_幽霊とぼく")</f>
        <v>20240801_ふゅーじょんぷろだくと_幽霊とぼく</v>
      </c>
      <c r="T1916" s="67" t="str">
        <f>IFERROR(__xludf.DUMMYFUNCTION("""COMPUTED_VALUE"""),"格納済み")</f>
        <v>格納済み</v>
      </c>
      <c r="U1916" s="15" t="str">
        <f>IFERROR(__xludf.DUMMYFUNCTION("""COMPUTED_VALUE"""),"『幽霊とぼく』©市川ナツヲ／FUSION PRODUCT")</f>
        <v>『幽霊とぼく』©市川ナツヲ／FUSION PRODUCT</v>
      </c>
      <c r="V1916" s="8" t="str">
        <f>IFERROR(__xludf.DUMMYFUNCTION("""COMPUTED_VALUE"""),"【夢の中で犯される】ーー高校生の大和（やまと）は、何度も見る夢に悩まされていた。夢の中で得体の知れない触手にエッチなことをされて、しかもそれがどんどん気持ち良くなっているのだ。授業中でも、保健室でも、所構わず襲ってくる触手…。その正体はーー？※本作品は電子書籍版『BABY vol.63』にも掲載しております。重複購入にお気をつけください。")</f>
        <v>【夢の中で犯される】ーー高校生の大和（やまと）は、何度も見る夢に悩まされていた。夢の中で得体の知れない触手にエッチなことをされて、しかもそれがどんどん気持ち良くなっているのだ。授業中でも、保健室でも、所構わず襲ってくる触手…。その正体はーー？※本作品は電子書籍版『BABY vol.63』にも掲載しております。重複購入にお気をつけください。</v>
      </c>
      <c r="W1916" s="14"/>
      <c r="X1916" s="14" t="str">
        <f>IFERROR(__xludf.DUMMYFUNCTION("""COMPUTED_VALUE"""),"有")</f>
        <v>有</v>
      </c>
      <c r="Y1916" s="8" t="str">
        <f>IFERROR(__xludf.DUMMYFUNCTION("""COMPUTED_VALUE"""),"2024/10/30まで立ち読み増量P12まで")</f>
        <v>2024/10/30まで立ち読み増量P12まで</v>
      </c>
      <c r="Z1916" s="7"/>
      <c r="AA1916" s="7"/>
      <c r="AB1916" s="7"/>
    </row>
    <row r="1917" ht="15.75" customHeight="1">
      <c r="A1917" s="66">
        <f>IFERROR(__xludf.DUMMYFUNCTION("""COMPUTED_VALUE"""),3507.0)</f>
        <v>3507</v>
      </c>
      <c r="B1917" s="67" t="str">
        <f>IFERROR(__xludf.DUMMYFUNCTION("""COMPUTED_VALUE"""),"確定")</f>
        <v>確定</v>
      </c>
      <c r="C1917" s="68">
        <f>IFERROR(__xludf.DUMMYFUNCTION("""COMPUTED_VALUE"""),45439.0)</f>
        <v>45439</v>
      </c>
      <c r="D1917" s="68">
        <f>IFERROR(__xludf.DUMMYFUNCTION("""COMPUTED_VALUE"""),45511.0)</f>
        <v>45511</v>
      </c>
      <c r="E1917" s="60">
        <f>IFERROR(__xludf.DUMMYFUNCTION("""COMPUTED_VALUE"""),300542.0)</f>
        <v>300542</v>
      </c>
      <c r="F1917" s="61" t="str">
        <f>IFERROR(__xludf.DUMMYFUNCTION("""COMPUTED_VALUE"""),"最強の魔導書は黒歴史ノート！？～召喚されたオタクが異世界で無双したらなぜか敵将軍から溺愛されています～ 【連載版】")</f>
        <v>最強の魔導書は黒歴史ノート！？～召喚されたオタクが異世界で無双したらなぜか敵将軍から溺愛されています～ 【連載版】</v>
      </c>
      <c r="G1917" s="69" t="str">
        <f>IFERROR(__xludf.DUMMYFUNCTION("""COMPUTED_VALUE"""),"1～3")</f>
        <v>1～3</v>
      </c>
      <c r="H1917" s="67" t="str">
        <f>IFERROR(__xludf.DUMMYFUNCTION("""COMPUTED_VALUE"""),"漫画：華乃木ひな 原作：藤村灯")</f>
        <v>漫画：華乃木ひな 原作：藤村灯</v>
      </c>
      <c r="I1917" s="67" t="str">
        <f>IFERROR(__xludf.DUMMYFUNCTION("""COMPUTED_VALUE"""),"少女")</f>
        <v>少女</v>
      </c>
      <c r="J1917" s="67"/>
      <c r="K1917" s="67"/>
      <c r="L1917" s="67" t="str">
        <f>IFERROR(__xludf.DUMMYFUNCTION("""COMPUTED_VALUE"""),"一迅社")</f>
        <v>一迅社</v>
      </c>
      <c r="M1917" s="47">
        <f>IFERROR(__xludf.DUMMYFUNCTION("""COMPUTED_VALUE"""),45579.0)</f>
        <v>45579</v>
      </c>
      <c r="N1917" s="85">
        <f>IFERROR(__xludf.DUMMYFUNCTION("""COMPUTED_VALUE"""),45609.0)</f>
        <v>45609</v>
      </c>
      <c r="O1917" s="67"/>
      <c r="P1917" s="70" t="str">
        <f>IFERROR(__xludf.DUMMYFUNCTION("""COMPUTED_VALUE"""),"可")</f>
        <v>可</v>
      </c>
      <c r="Q1917" s="72" t="str">
        <f>IFERROR(__xludf.DUMMYFUNCTION("""COMPUTED_VALUE"""),"広告コミットOK(6/6)&lt;BR&gt;・「異世界ファンタジーマンガ原作コンテスト」受賞作品の期待作")</f>
        <v>広告コミットOK(6/6)&lt;BR&gt;・「異世界ファンタジーマンガ原作コンテスト」受賞作品の期待作</v>
      </c>
      <c r="R1917" s="67"/>
      <c r="S1917" s="67" t="str">
        <f>IFERROR(__xludf.DUMMYFUNCTION("""COMPUTED_VALUE"""),"20240802_一迅社_最強の魔導書は黒歴史ノート！？～召喚されたオタクが異世界で無双したらなぜか敵将軍から溺愛されています～")</f>
        <v>20240802_一迅社_最強の魔導書は黒歴史ノート！？～召喚されたオタクが異世界で無双したらなぜか敵将軍から溺愛されています～</v>
      </c>
      <c r="T1917" s="67" t="str">
        <f>IFERROR(__xludf.DUMMYFUNCTION("""COMPUTED_VALUE"""),"格納済み")</f>
        <v>格納済み</v>
      </c>
      <c r="U1917" s="15" t="str">
        <f>IFERROR(__xludf.DUMMYFUNCTION("""COMPUTED_VALUE"""),"(C)華乃木ひな・藤村灯／一迅社")</f>
        <v>(C)華乃木ひな・藤村灯／一迅社</v>
      </c>
      <c r="V1917" s="8" t="str">
        <f>IFERROR(__xludf.DUMMYFUNCTION("""COMPUTED_VALUE"""),"黒井佐和子15歳。厨二病に浸っていた黒歴史を封印して、普通のJKになるぞ！と思っていたのに…ひょんなことから魔神として異世界に召喚され、黒歴史を詰め込んだノートを武器に戦うことに！？しかも敵将軍からなぜか気に入られてしまい――！？「異世界ファンタジーマンガ原作コンテスト」受賞作、待望のコミカライズ！　【本商品は単話コンテンツとなります。単行本版と収録内容が異なる場合がございます。漫画内の告知等は過去のものとなりますので、ご注意ください。】")</f>
        <v>黒井佐和子15歳。厨二病に浸っていた黒歴史を封印して、普通のJKになるぞ！と思っていたのに…ひょんなことから魔神として異世界に召喚され、黒歴史を詰め込んだノートを武器に戦うことに！？しかも敵将軍からなぜか気に入られてしまい――！？「異世界ファンタジーマンガ原作コンテスト」受賞作、待望のコミカライズ！　【本商品は単話コンテンツとなります。単行本版と収録内容が異なる場合がございます。漫画内の告知等は過去のものとなりますので、ご注意ください。】</v>
      </c>
      <c r="W1917" s="14"/>
      <c r="X1917" s="14" t="str">
        <f>IFERROR(__xludf.DUMMYFUNCTION("""COMPUTED_VALUE"""),"有")</f>
        <v>有</v>
      </c>
      <c r="Y1917" s="8" t="str">
        <f>IFERROR(__xludf.DUMMYFUNCTION("""COMPUTED_VALUE"""),"P8まで")</f>
        <v>P8まで</v>
      </c>
      <c r="Z1917" s="7"/>
      <c r="AA1917" s="7"/>
      <c r="AB1917" s="7"/>
    </row>
    <row r="1918" ht="15.75" customHeight="1">
      <c r="A1918" s="66">
        <f>IFERROR(__xludf.DUMMYFUNCTION("""COMPUTED_VALUE"""),3517.0)</f>
        <v>3517</v>
      </c>
      <c r="B1918" s="67" t="str">
        <f>IFERROR(__xludf.DUMMYFUNCTION("""COMPUTED_VALUE"""),"確定")</f>
        <v>確定</v>
      </c>
      <c r="C1918" s="68">
        <f>IFERROR(__xludf.DUMMYFUNCTION("""COMPUTED_VALUE"""),45439.0)</f>
        <v>45439</v>
      </c>
      <c r="D1918" s="68">
        <f>IFERROR(__xludf.DUMMYFUNCTION("""COMPUTED_VALUE"""),45509.0)</f>
        <v>45509</v>
      </c>
      <c r="E1918" s="31">
        <f>IFERROR(__xludf.DUMMYFUNCTION("""COMPUTED_VALUE"""),300377.0)</f>
        <v>300377</v>
      </c>
      <c r="F1918" s="46" t="str">
        <f>IFERROR(__xludf.DUMMYFUNCTION("""COMPUTED_VALUE"""),"婚約破棄されることがわかっていたので、先回りをしました。")</f>
        <v>婚約破棄されることがわかっていたので、先回りをしました。</v>
      </c>
      <c r="G1918" s="69">
        <f>IFERROR(__xludf.DUMMYFUNCTION("""COMPUTED_VALUE"""),1.0)</f>
        <v>1</v>
      </c>
      <c r="H1918" s="67" t="str">
        <f>IFERROR(__xludf.DUMMYFUNCTION("""COMPUTED_VALUE"""),"漫画：化野そとば 原作：有沢真尋")</f>
        <v>漫画：化野そとば 原作：有沢真尋</v>
      </c>
      <c r="I1918" s="67" t="str">
        <f>IFERROR(__xludf.DUMMYFUNCTION("""COMPUTED_VALUE"""),"少女")</f>
        <v>少女</v>
      </c>
      <c r="J1918" s="67"/>
      <c r="K1918" s="67"/>
      <c r="L1918" s="67" t="str">
        <f>IFERROR(__xludf.DUMMYFUNCTION("""COMPUTED_VALUE"""),"一迅社")</f>
        <v>一迅社</v>
      </c>
      <c r="M1918" s="59">
        <f>IFERROR(__xludf.DUMMYFUNCTION("""COMPUTED_VALUE"""),45536.0)</f>
        <v>45536</v>
      </c>
      <c r="N1918" s="59">
        <f>IFERROR(__xludf.DUMMYFUNCTION("""COMPUTED_VALUE"""),45565.0)</f>
        <v>45565</v>
      </c>
      <c r="O1918" s="67"/>
      <c r="P1918" s="70" t="str">
        <f>IFERROR(__xludf.DUMMYFUNCTION("""COMPUTED_VALUE"""),"可")</f>
        <v>可</v>
      </c>
      <c r="Q1918" s="72" t="str">
        <f>IFERROR(__xludf.DUMMYFUNCTION("""COMPUTED_VALUE"""),"広告コミットOK（6/3）&lt;BR&gt;・アンソロジー掲載の単話の配信です。")</f>
        <v>広告コミットOK（6/3）&lt;BR&gt;・アンソロジー掲載の単話の配信です。</v>
      </c>
      <c r="R1918" s="67"/>
      <c r="S1918" s="67" t="str">
        <f>IFERROR(__xludf.DUMMYFUNCTION("""COMPUTED_VALUE"""),"20240802_一迅社_婚約破棄されることがわかっていたので、先回りをしました。")</f>
        <v>20240802_一迅社_婚約破棄されることがわかっていたので、先回りをしました。</v>
      </c>
      <c r="T1918" s="67" t="str">
        <f>IFERROR(__xludf.DUMMYFUNCTION("""COMPUTED_VALUE"""),"格納済み")</f>
        <v>格納済み</v>
      </c>
      <c r="U1918" s="15" t="str">
        <f>IFERROR(__xludf.DUMMYFUNCTION("""COMPUTED_VALUE"""),"(C)化野そとば・有沢真尋／一迅社")</f>
        <v>(C)化野そとば・有沢真尋／一迅社</v>
      </c>
      <c r="V1918" s="8" t="str">
        <f>IFERROR(__xludf.DUMMYFUNCTION("""COMPUTED_VALUE"""),"婚約者の第二王子が浮気しているので、婚約破棄される前に浮気相手と話してみたら!?　※この作品は『悪役令嬢ですが、幸せになってみせますわ！　アンソロジーコミック』10巻収録作品と同一の内容を単話版として再編集したものとなります。")</f>
        <v>婚約者の第二王子が浮気しているので、婚約破棄される前に浮気相手と話してみたら!?　※この作品は『悪役令嬢ですが、幸せになってみせますわ！　アンソロジーコミック』10巻収録作品と同一の内容を単話版として再編集したものとなります。</v>
      </c>
      <c r="W1918" s="14"/>
      <c r="X1918" s="14" t="str">
        <f>IFERROR(__xludf.DUMMYFUNCTION("""COMPUTED_VALUE"""),"有")</f>
        <v>有</v>
      </c>
      <c r="Y1918" s="8" t="str">
        <f>IFERROR(__xludf.DUMMYFUNCTION("""COMPUTED_VALUE"""),"P7まで")</f>
        <v>P7まで</v>
      </c>
      <c r="Z1918" s="7"/>
      <c r="AA1918" s="7"/>
      <c r="AB1918" s="7"/>
    </row>
    <row r="1919" ht="15.75" customHeight="1">
      <c r="A1919" s="66">
        <f>IFERROR(__xludf.DUMMYFUNCTION("""COMPUTED_VALUE"""),3519.0)</f>
        <v>3519</v>
      </c>
      <c r="B1919" s="67" t="str">
        <f>IFERROR(__xludf.DUMMYFUNCTION("""COMPUTED_VALUE"""),"確定")</f>
        <v>確定</v>
      </c>
      <c r="C1919" s="68">
        <f>IFERROR(__xludf.DUMMYFUNCTION("""COMPUTED_VALUE"""),45439.0)</f>
        <v>45439</v>
      </c>
      <c r="D1919" s="68">
        <f>IFERROR(__xludf.DUMMYFUNCTION("""COMPUTED_VALUE"""),45509.0)</f>
        <v>45509</v>
      </c>
      <c r="E1919" s="31">
        <f>IFERROR(__xludf.DUMMYFUNCTION("""COMPUTED_VALUE"""),300378.0)</f>
        <v>300378</v>
      </c>
      <c r="F1919" s="22" t="str">
        <f>IFERROR(__xludf.DUMMYFUNCTION("""COMPUTED_VALUE"""),"妖精姫は辺境豚に推し活される")</f>
        <v>妖精姫は辺境豚に推し活される</v>
      </c>
      <c r="G1919" s="69">
        <f>IFERROR(__xludf.DUMMYFUNCTION("""COMPUTED_VALUE"""),1.0)</f>
        <v>1</v>
      </c>
      <c r="H1919" s="67" t="str">
        <f>IFERROR(__xludf.DUMMYFUNCTION("""COMPUTED_VALUE"""),"漫画：Jicco 原作：富士とまと")</f>
        <v>漫画：Jicco 原作：富士とまと</v>
      </c>
      <c r="I1919" s="67" t="str">
        <f>IFERROR(__xludf.DUMMYFUNCTION("""COMPUTED_VALUE"""),"少女")</f>
        <v>少女</v>
      </c>
      <c r="J1919" s="67"/>
      <c r="K1919" s="67"/>
      <c r="L1919" s="67" t="str">
        <f>IFERROR(__xludf.DUMMYFUNCTION("""COMPUTED_VALUE"""),"一迅社")</f>
        <v>一迅社</v>
      </c>
      <c r="M1919" s="59">
        <f>IFERROR(__xludf.DUMMYFUNCTION("""COMPUTED_VALUE"""),45536.0)</f>
        <v>45536</v>
      </c>
      <c r="N1919" s="59">
        <f>IFERROR(__xludf.DUMMYFUNCTION("""COMPUTED_VALUE"""),45565.0)</f>
        <v>45565</v>
      </c>
      <c r="O1919" s="67"/>
      <c r="P1919" s="70" t="str">
        <f>IFERROR(__xludf.DUMMYFUNCTION("""COMPUTED_VALUE"""),"可")</f>
        <v>可</v>
      </c>
      <c r="Q1919" s="72" t="str">
        <f>IFERROR(__xludf.DUMMYFUNCTION("""COMPUTED_VALUE"""),"広告コミットOK（6/3）&lt;BR&gt;・アンソロジー掲載の単話の配信です。")</f>
        <v>広告コミットOK（6/3）&lt;BR&gt;・アンソロジー掲載の単話の配信です。</v>
      </c>
      <c r="R1919" s="67"/>
      <c r="S1919" s="67" t="str">
        <f>IFERROR(__xludf.DUMMYFUNCTION("""COMPUTED_VALUE"""),"20240802_一迅社_妖精姫は辺境豚に推し活される")</f>
        <v>20240802_一迅社_妖精姫は辺境豚に推し活される</v>
      </c>
      <c r="T1919" s="67" t="str">
        <f>IFERROR(__xludf.DUMMYFUNCTION("""COMPUTED_VALUE"""),"格納済み")</f>
        <v>格納済み</v>
      </c>
      <c r="U1919" s="15" t="str">
        <f>IFERROR(__xludf.DUMMYFUNCTION("""COMPUTED_VALUE"""),"(C)Jicco・富士とまと／一迅社")</f>
        <v>(C)Jicco・富士とまと／一迅社</v>
      </c>
      <c r="V1919" s="8" t="str">
        <f>IFERROR(__xludf.DUMMYFUNCTION("""COMPUTED_VALUE"""),"舞踏会で皇太子から婚約破棄された上に、「辺境豚」と呼ばれる辺境伯嫡男と婚約させられ!?　※この作品は『悪役令嬢ですが、幸せになってみせますわ！　アンソロジーコミック』10巻収録作品と同一の内容を単話版として再編集したものとなります。")</f>
        <v>舞踏会で皇太子から婚約破棄された上に、「辺境豚」と呼ばれる辺境伯嫡男と婚約させられ!?　※この作品は『悪役令嬢ですが、幸せになってみせますわ！　アンソロジーコミック』10巻収録作品と同一の内容を単話版として再編集したものとなります。</v>
      </c>
      <c r="W1919" s="14"/>
      <c r="X1919" s="14" t="str">
        <f>IFERROR(__xludf.DUMMYFUNCTION("""COMPUTED_VALUE"""),"有")</f>
        <v>有</v>
      </c>
      <c r="Y1919" s="8" t="str">
        <f>IFERROR(__xludf.DUMMYFUNCTION("""COMPUTED_VALUE"""),"P10まで")</f>
        <v>P10まで</v>
      </c>
      <c r="Z1919" s="7"/>
      <c r="AA1919" s="7"/>
      <c r="AB1919" s="7"/>
    </row>
    <row r="1920" ht="15.75" customHeight="1">
      <c r="A1920" s="66">
        <f>IFERROR(__xludf.DUMMYFUNCTION("""COMPUTED_VALUE"""),3522.0)</f>
        <v>3522</v>
      </c>
      <c r="B1920" s="67" t="str">
        <f>IFERROR(__xludf.DUMMYFUNCTION("""COMPUTED_VALUE"""),"確定")</f>
        <v>確定</v>
      </c>
      <c r="C1920" s="68">
        <f>IFERROR(__xludf.DUMMYFUNCTION("""COMPUTED_VALUE"""),45439.0)</f>
        <v>45439</v>
      </c>
      <c r="D1920" s="68">
        <f>IFERROR(__xludf.DUMMYFUNCTION("""COMPUTED_VALUE"""),45509.0)</f>
        <v>45509</v>
      </c>
      <c r="E1920" s="31">
        <f>IFERROR(__xludf.DUMMYFUNCTION("""COMPUTED_VALUE"""),300379.0)</f>
        <v>300379</v>
      </c>
      <c r="F1920" s="22" t="str">
        <f>IFERROR(__xludf.DUMMYFUNCTION("""COMPUTED_VALUE"""),"婚約破棄されたので元婚約者から婚約者奪ってやりました⁉")</f>
        <v>婚約破棄されたので元婚約者から婚約者奪ってやりました⁉</v>
      </c>
      <c r="G1920" s="69">
        <f>IFERROR(__xludf.DUMMYFUNCTION("""COMPUTED_VALUE"""),1.0)</f>
        <v>1</v>
      </c>
      <c r="H1920" s="67" t="str">
        <f>IFERROR(__xludf.DUMMYFUNCTION("""COMPUTED_VALUE"""),"九重マツ")</f>
        <v>九重マツ</v>
      </c>
      <c r="I1920" s="67" t="str">
        <f>IFERROR(__xludf.DUMMYFUNCTION("""COMPUTED_VALUE"""),"少女")</f>
        <v>少女</v>
      </c>
      <c r="J1920" s="67"/>
      <c r="K1920" s="67"/>
      <c r="L1920" s="67" t="str">
        <f>IFERROR(__xludf.DUMMYFUNCTION("""COMPUTED_VALUE"""),"一迅社")</f>
        <v>一迅社</v>
      </c>
      <c r="M1920" s="59">
        <f>IFERROR(__xludf.DUMMYFUNCTION("""COMPUTED_VALUE"""),45536.0)</f>
        <v>45536</v>
      </c>
      <c r="N1920" s="59">
        <f>IFERROR(__xludf.DUMMYFUNCTION("""COMPUTED_VALUE"""),45565.0)</f>
        <v>45565</v>
      </c>
      <c r="O1920" s="67"/>
      <c r="P1920" s="70" t="str">
        <f>IFERROR(__xludf.DUMMYFUNCTION("""COMPUTED_VALUE"""),"可")</f>
        <v>可</v>
      </c>
      <c r="Q1920" s="72" t="str">
        <f>IFERROR(__xludf.DUMMYFUNCTION("""COMPUTED_VALUE"""),"広告コミットOK（6/3）&lt;BR&gt;・アンソロジー掲載の単話の配信です。")</f>
        <v>広告コミットOK（6/3）&lt;BR&gt;・アンソロジー掲載の単話の配信です。</v>
      </c>
      <c r="R1920" s="67"/>
      <c r="S1920" s="67" t="str">
        <f>IFERROR(__xludf.DUMMYFUNCTION("""COMPUTED_VALUE"""),"20240802_一迅社_婚約破棄されたので元婚約者から婚約者奪ってやりました")</f>
        <v>20240802_一迅社_婚約破棄されたので元婚約者から婚約者奪ってやりました</v>
      </c>
      <c r="T1920" s="67" t="str">
        <f>IFERROR(__xludf.DUMMYFUNCTION("""COMPUTED_VALUE"""),"格納済み")</f>
        <v>格納済み</v>
      </c>
      <c r="U1920" s="15" t="str">
        <f>IFERROR(__xludf.DUMMYFUNCTION("""COMPUTED_VALUE"""),"(C)九重マツ／一迅社")</f>
        <v>(C)九重マツ／一迅社</v>
      </c>
      <c r="V1920" s="8" t="str">
        <f>IFERROR(__xludf.DUMMYFUNCTION("""COMPUTED_VALUE"""),"夜会で暗くて可愛くないと婚約破棄され、落ち込んでいるところに公爵夫人から声を掛けられ!?　※この作品は『悪役令嬢ですが、幸せになってみせますわ！　アンソロジーコミック』11巻収録作品と同一の内容を単話版として再編集したものとなります。")</f>
        <v>夜会で暗くて可愛くないと婚約破棄され、落ち込んでいるところに公爵夫人から声を掛けられ!?　※この作品は『悪役令嬢ですが、幸せになってみせますわ！　アンソロジーコミック』11巻収録作品と同一の内容を単話版として再編集したものとなります。</v>
      </c>
      <c r="W1920" s="14"/>
      <c r="X1920" s="14" t="str">
        <f>IFERROR(__xludf.DUMMYFUNCTION("""COMPUTED_VALUE"""),"有")</f>
        <v>有</v>
      </c>
      <c r="Y1920" s="8" t="str">
        <f>IFERROR(__xludf.DUMMYFUNCTION("""COMPUTED_VALUE"""),"P7まで")</f>
        <v>P7まで</v>
      </c>
      <c r="Z1920" s="7"/>
      <c r="AA1920" s="7"/>
      <c r="AB1920" s="7"/>
    </row>
    <row r="1921" ht="15.75" customHeight="1">
      <c r="A1921" s="66">
        <f>IFERROR(__xludf.DUMMYFUNCTION("""COMPUTED_VALUE"""),3523.0)</f>
        <v>3523</v>
      </c>
      <c r="B1921" s="67" t="str">
        <f>IFERROR(__xludf.DUMMYFUNCTION("""COMPUTED_VALUE"""),"確定")</f>
        <v>確定</v>
      </c>
      <c r="C1921" s="68">
        <f>IFERROR(__xludf.DUMMYFUNCTION("""COMPUTED_VALUE"""),45439.0)</f>
        <v>45439</v>
      </c>
      <c r="D1921" s="68">
        <f>IFERROR(__xludf.DUMMYFUNCTION("""COMPUTED_VALUE"""),45509.0)</f>
        <v>45509</v>
      </c>
      <c r="E1921" s="31">
        <f>IFERROR(__xludf.DUMMYFUNCTION("""COMPUTED_VALUE"""),300380.0)</f>
        <v>300380</v>
      </c>
      <c r="F1921" s="22" t="str">
        <f>IFERROR(__xludf.DUMMYFUNCTION("""COMPUTED_VALUE"""),"とある悪い令嬢の復讐")</f>
        <v>とある悪い令嬢の復讐</v>
      </c>
      <c r="G1921" s="69">
        <f>IFERROR(__xludf.DUMMYFUNCTION("""COMPUTED_VALUE"""),1.0)</f>
        <v>1</v>
      </c>
      <c r="H1921" s="67" t="str">
        <f>IFERROR(__xludf.DUMMYFUNCTION("""COMPUTED_VALUE"""),"化野そとば 原作：有機野菜")</f>
        <v>化野そとば 原作：有機野菜</v>
      </c>
      <c r="I1921" s="67" t="str">
        <f>IFERROR(__xludf.DUMMYFUNCTION("""COMPUTED_VALUE"""),"少女")</f>
        <v>少女</v>
      </c>
      <c r="J1921" s="67"/>
      <c r="K1921" s="67"/>
      <c r="L1921" s="67" t="str">
        <f>IFERROR(__xludf.DUMMYFUNCTION("""COMPUTED_VALUE"""),"一迅社")</f>
        <v>一迅社</v>
      </c>
      <c r="M1921" s="59">
        <f>IFERROR(__xludf.DUMMYFUNCTION("""COMPUTED_VALUE"""),45536.0)</f>
        <v>45536</v>
      </c>
      <c r="N1921" s="59">
        <f>IFERROR(__xludf.DUMMYFUNCTION("""COMPUTED_VALUE"""),45565.0)</f>
        <v>45565</v>
      </c>
      <c r="O1921" s="67"/>
      <c r="P1921" s="70" t="str">
        <f>IFERROR(__xludf.DUMMYFUNCTION("""COMPUTED_VALUE"""),"可")</f>
        <v>可</v>
      </c>
      <c r="Q1921" s="72" t="str">
        <f>IFERROR(__xludf.DUMMYFUNCTION("""COMPUTED_VALUE"""),"広告コミットOK（6/3）&lt;BR&gt;・アンソロジー掲載の単話の配信です。")</f>
        <v>広告コミットOK（6/3）&lt;BR&gt;・アンソロジー掲載の単話の配信です。</v>
      </c>
      <c r="R1921" s="67"/>
      <c r="S1921" s="67" t="str">
        <f>IFERROR(__xludf.DUMMYFUNCTION("""COMPUTED_VALUE"""),"20240802_一迅社_とある悪い令嬢の復讐")</f>
        <v>20240802_一迅社_とある悪い令嬢の復讐</v>
      </c>
      <c r="T1921" s="67" t="str">
        <f>IFERROR(__xludf.DUMMYFUNCTION("""COMPUTED_VALUE"""),"格納済み")</f>
        <v>格納済み</v>
      </c>
      <c r="U1921" s="15" t="str">
        <f>IFERROR(__xludf.DUMMYFUNCTION("""COMPUTED_VALUE"""),"(C)化野そとば・有機野菜／一迅社")</f>
        <v>(C)化野そとば・有機野菜／一迅社</v>
      </c>
      <c r="V1921" s="8" t="str">
        <f>IFERROR(__xludf.DUMMYFUNCTION("""COMPUTED_VALUE"""),"王子に男爵令嬢を虐げたと婚約破棄され、かなり年上の伯爵の後妻として嫁がされたけど!?　※この作品は『悪役令嬢ですが、幸せになってみせますわ！　アンソロジーコミック』11巻収録作品と同一の内容を単話版として再編集したものとなります。")</f>
        <v>王子に男爵令嬢を虐げたと婚約破棄され、かなり年上の伯爵の後妻として嫁がされたけど!?　※この作品は『悪役令嬢ですが、幸せになってみせますわ！　アンソロジーコミック』11巻収録作品と同一の内容を単話版として再編集したものとなります。</v>
      </c>
      <c r="W1921" s="14"/>
      <c r="X1921" s="14" t="str">
        <f>IFERROR(__xludf.DUMMYFUNCTION("""COMPUTED_VALUE"""),"有")</f>
        <v>有</v>
      </c>
      <c r="Y1921" s="8" t="str">
        <f>IFERROR(__xludf.DUMMYFUNCTION("""COMPUTED_VALUE"""),"P7まで")</f>
        <v>P7まで</v>
      </c>
      <c r="Z1921" s="7"/>
      <c r="AA1921" s="7"/>
      <c r="AB1921" s="7"/>
    </row>
    <row r="1922" ht="15.75" customHeight="1">
      <c r="A1922" s="66">
        <f>IFERROR(__xludf.DUMMYFUNCTION("""COMPUTED_VALUE"""),3530.0)</f>
        <v>3530</v>
      </c>
      <c r="B1922" s="67" t="str">
        <f>IFERROR(__xludf.DUMMYFUNCTION("""COMPUTED_VALUE"""),"確定")</f>
        <v>確定</v>
      </c>
      <c r="C1922" s="68">
        <f>IFERROR(__xludf.DUMMYFUNCTION("""COMPUTED_VALUE"""),45440.0)</f>
        <v>45440</v>
      </c>
      <c r="D1922" s="68">
        <f>IFERROR(__xludf.DUMMYFUNCTION("""COMPUTED_VALUE"""),45511.0)</f>
        <v>45511</v>
      </c>
      <c r="E1922" s="31">
        <f>IFERROR(__xludf.DUMMYFUNCTION("""COMPUTED_VALUE"""),301162.0)</f>
        <v>301162</v>
      </c>
      <c r="F1922" s="22" t="str">
        <f>IFERROR(__xludf.DUMMYFUNCTION("""COMPUTED_VALUE"""),"その温度差は反則です！～クールで無表情な上司に溺愛されてます～")</f>
        <v>その温度差は反則です！～クールで無表情な上司に溺愛されてます～</v>
      </c>
      <c r="G1922" s="69" t="str">
        <f>IFERROR(__xludf.DUMMYFUNCTION("""COMPUTED_VALUE"""),"1～3")</f>
        <v>1～3</v>
      </c>
      <c r="H1922" s="67" t="str">
        <f>IFERROR(__xludf.DUMMYFUNCTION("""COMPUTED_VALUE"""),"作画：ツクバネハナ 原作：風華弓弦")</f>
        <v>作画：ツクバネハナ 原作：風華弓弦</v>
      </c>
      <c r="I1922" s="67" t="str">
        <f>IFERROR(__xludf.DUMMYFUNCTION("""COMPUTED_VALUE"""),"女性")</f>
        <v>女性</v>
      </c>
      <c r="J1922" s="67"/>
      <c r="K1922" s="67"/>
      <c r="L1922" s="67" t="str">
        <f>IFERROR(__xludf.DUMMYFUNCTION("""COMPUTED_VALUE"""),"DPNブックス")</f>
        <v>DPNブックス</v>
      </c>
      <c r="M1922" s="59">
        <f>IFERROR(__xludf.DUMMYFUNCTION("""COMPUTED_VALUE"""),45545.0)</f>
        <v>45545</v>
      </c>
      <c r="N1922" s="59">
        <f>IFERROR(__xludf.DUMMYFUNCTION("""COMPUTED_VALUE"""),45574.0)</f>
        <v>45574</v>
      </c>
      <c r="O1922" s="67"/>
      <c r="P1922" s="70" t="str">
        <f>IFERROR(__xludf.DUMMYFUNCTION("""COMPUTED_VALUE"""),"否")</f>
        <v>否</v>
      </c>
      <c r="Q1922" s="72" t="str">
        <f>IFERROR(__xludf.DUMMYFUNCTION("""COMPUTED_VALUE"""),"広告コミットOK(6/3)&lt;BR&gt;・隔月更新です。&lt;BR&gt;・広告ヒット時は先行期間延長交渉可能です。&lt;BR&gt;・浮気男とその相手の浮気女がいい感じにむかつくやつになっているかと思います。")</f>
        <v>広告コミットOK(6/3)&lt;BR&gt;・隔月更新です。&lt;BR&gt;・広告ヒット時は先行期間延長交渉可能です。&lt;BR&gt;・浮気男とその相手の浮気女がいい感じにむかつくやつになっているかと思います。</v>
      </c>
      <c r="R1922" s="67"/>
      <c r="S1922" s="67" t="str">
        <f>IFERROR(__xludf.DUMMYFUNCTION("""COMPUTED_VALUE"""),"20240806_DPNブックス_その温度差は反則です！～クールで無表情な上司に溺愛されてます～")</f>
        <v>20240806_DPNブックス_その温度差は反則です！～クールで無表情な上司に溺愛されてます～</v>
      </c>
      <c r="T1922" s="67" t="str">
        <f>IFERROR(__xludf.DUMMYFUNCTION("""COMPUTED_VALUE"""),"格納済み")</f>
        <v>格納済み</v>
      </c>
      <c r="U1922" s="15" t="str">
        <f>IFERROR(__xludf.DUMMYFUNCTION("""COMPUTED_VALUE"""),"©ツクバネハナ・風華弓弦／DPNブックス")</f>
        <v>©ツクバネハナ・風華弓弦／DPNブックス</v>
      </c>
      <c r="V1922" s="8" t="str">
        <f>IFERROR(__xludf.DUMMYFUNCTION("""COMPUTED_VALUE"""),"5年付き合った彼氏は若くて可愛い後輩に乗り換えて私を捨てた。
あの日、世界一幸せにすると誓ってくれたはずなのに。
「もう30手前のアラサーだろ？　そろそろ“結婚お化け“になると思ったんだよな～」
傷つき呆然とする私のもとに、クールで無表情なイケメン先輩が現れる。
「ずっと好きだった。必ず振り向かせる」
でも、彼氏に趣味を否定されたうえに、ひどい振られ方をした私は彼の気持ちを受け止めることができない……。")</f>
        <v>5年付き合った彼氏は若くて可愛い後輩に乗り換えて私を捨てた。
あの日、世界一幸せにすると誓ってくれたはずなのに。
「もう30手前のアラサーだろ？　そろそろ“結婚お化け“になると思ったんだよな～」
傷つき呆然とする私のもとに、クールで無表情なイケメン先輩が現れる。
「ずっと好きだった。必ず振り向かせる」
でも、彼氏に趣味を否定されたうえに、ひどい振られ方をした私は彼の気持ちを受け止めることができない……。</v>
      </c>
      <c r="W1922" s="14"/>
      <c r="X1922" s="14" t="str">
        <f>IFERROR(__xludf.DUMMYFUNCTION("""COMPUTED_VALUE"""),"有")</f>
        <v>有</v>
      </c>
      <c r="Y1922" s="8" t="str">
        <f>IFERROR(__xludf.DUMMYFUNCTION("""COMPUTED_VALUE"""),"2024/10/9まで1巻無料")</f>
        <v>2024/10/9まで1巻無料</v>
      </c>
      <c r="Z1922" s="7"/>
      <c r="AA1922" s="7"/>
      <c r="AB1922" s="7"/>
    </row>
    <row r="1923" ht="15.75" customHeight="1">
      <c r="A1923" s="66">
        <f>IFERROR(__xludf.DUMMYFUNCTION("""COMPUTED_VALUE"""),3546.0)</f>
        <v>3546</v>
      </c>
      <c r="B1923" s="67" t="str">
        <f>IFERROR(__xludf.DUMMYFUNCTION("""COMPUTED_VALUE"""),"確定")</f>
        <v>確定</v>
      </c>
      <c r="C1923" s="68">
        <f>IFERROR(__xludf.DUMMYFUNCTION("""COMPUTED_VALUE"""),45442.0)</f>
        <v>45442</v>
      </c>
      <c r="D1923" s="68">
        <f>IFERROR(__xludf.DUMMYFUNCTION("""COMPUTED_VALUE"""),45511.0)</f>
        <v>45511</v>
      </c>
      <c r="E1923" s="31">
        <f>IFERROR(__xludf.DUMMYFUNCTION("""COMPUTED_VALUE"""),298688.0)</f>
        <v>298688</v>
      </c>
      <c r="F1923" s="22" t="str">
        <f>IFERROR(__xludf.DUMMYFUNCTION("""COMPUTED_VALUE"""),"初夜の翌日に離婚した没落令嬢ですが、何故か元夫につきまとわれています【短編】")</f>
        <v>初夜の翌日に離婚した没落令嬢ですが、何故か元夫につきまとわれています【短編】</v>
      </c>
      <c r="G1923" s="69" t="str">
        <f>IFERROR(__xludf.DUMMYFUNCTION("""COMPUTED_VALUE"""),"1～3")</f>
        <v>1～3</v>
      </c>
      <c r="H1923" s="67" t="str">
        <f>IFERROR(__xludf.DUMMYFUNCTION("""COMPUTED_VALUE"""),"はん菜・葉月エリカ")</f>
        <v>はん菜・葉月エリカ</v>
      </c>
      <c r="I1923" s="67" t="str">
        <f>IFERROR(__xludf.DUMMYFUNCTION("""COMPUTED_VALUE"""),"女性")</f>
        <v>女性</v>
      </c>
      <c r="J1923" s="67"/>
      <c r="K1923" s="67"/>
      <c r="L1923" s="67" t="str">
        <f>IFERROR(__xludf.DUMMYFUNCTION("""COMPUTED_VALUE"""),"竹書房")</f>
        <v>竹書房</v>
      </c>
      <c r="M1923" s="59">
        <f>IFERROR(__xludf.DUMMYFUNCTION("""COMPUTED_VALUE"""),45505.0)</f>
        <v>45505</v>
      </c>
      <c r="N1923" s="59">
        <f>IFERROR(__xludf.DUMMYFUNCTION("""COMPUTED_VALUE"""),45565.0)</f>
        <v>45565</v>
      </c>
      <c r="O1923" s="67"/>
      <c r="P1923" s="70" t="str">
        <f>IFERROR(__xludf.DUMMYFUNCTION("""COMPUTED_VALUE"""),"可")</f>
        <v>可</v>
      </c>
      <c r="Q1923" s="97" t="str">
        <f>IFERROR(__xludf.DUMMYFUNCTION("""COMPUTED_VALUE"""),"・先行期間：&lt;BR&gt;----------------&lt;BR&gt;シーモア様２ヶ月先行：8月1日(木)配信開始&lt;BR&gt;Renta！様１か月先行 ：9月1日(日)配信開始&lt;BR&gt;その他ストア様： 10月1日(火)配信開始&lt;BR&gt;----------------")</f>
        <v>・先行期間：&lt;BR&gt;----------------&lt;BR&gt;シーモア様２ヶ月先行：8月1日(木)配信開始&lt;BR&gt;Renta！様１か月先行 ：9月1日(日)配信開始&lt;BR&gt;その他ストア様： 10月1日(火)配信開始&lt;BR&gt;----------------</v>
      </c>
      <c r="R1923" s="97">
        <f>IFERROR(__xludf.DUMMYFUNCTION("""COMPUTED_VALUE"""),45504.0)</f>
        <v>45504</v>
      </c>
      <c r="S1923" s="67" t="str">
        <f>IFERROR(__xludf.DUMMYFUNCTION("""COMPUTED_VALUE"""),"20240731_竹書房_初夜の翌日に離婚した没落令嬢ですが、何故か元夫につきまとわれています【短編】")</f>
        <v>20240731_竹書房_初夜の翌日に離婚した没落令嬢ですが、何故か元夫につきまとわれています【短編】</v>
      </c>
      <c r="T1923" s="67" t="str">
        <f>IFERROR(__xludf.DUMMYFUNCTION("""COMPUTED_VALUE"""),"格納済み")</f>
        <v>格納済み</v>
      </c>
      <c r="U1923" s="15" t="str">
        <f>IFERROR(__xludf.DUMMYFUNCTION("""COMPUTED_VALUE"""),"(c)はん菜・葉月エリカ／竹書房")</f>
        <v>(c)はん菜・葉月エリカ／竹書房</v>
      </c>
      <c r="V1923" s="8" t="str">
        <f>IFERROR(__xludf.DUMMYFUNCTION("""COMPUTED_VALUE"""),"子爵令嬢イルゼは天下の色男で侯爵子息のフィエルと結婚をしたが初夜の翌日実家が破産!!迷惑はかけられないと離縁を書いた手紙を残し婚家を飛び出してしまい!?")</f>
        <v>子爵令嬢イルゼは天下の色男で侯爵子息のフィエルと結婚をしたが初夜の翌日実家が破産!!迷惑はかけられないと離縁を書いた手紙を残し婚家を飛び出してしまい!?</v>
      </c>
      <c r="W1923" s="14"/>
      <c r="X1923" s="14" t="str">
        <f>IFERROR(__xludf.DUMMYFUNCTION("""COMPUTED_VALUE"""),"有")</f>
        <v>有</v>
      </c>
      <c r="Y1923" s="8" t="str">
        <f>IFERROR(__xludf.DUMMYFUNCTION("""COMPUTED_VALUE"""),"P6まで")</f>
        <v>P6まで</v>
      </c>
      <c r="Z1923" s="7"/>
      <c r="AA1923" s="7"/>
      <c r="AB1923" s="7"/>
    </row>
    <row r="1924" ht="15.75" customHeight="1">
      <c r="A1924" s="66">
        <f>IFERROR(__xludf.DUMMYFUNCTION("""COMPUTED_VALUE"""),3588.0)</f>
        <v>3588</v>
      </c>
      <c r="B1924" s="67" t="str">
        <f>IFERROR(__xludf.DUMMYFUNCTION("""COMPUTED_VALUE"""),"確定")</f>
        <v>確定</v>
      </c>
      <c r="C1924" s="68">
        <f>IFERROR(__xludf.DUMMYFUNCTION("""COMPUTED_VALUE"""),45447.0)</f>
        <v>45447</v>
      </c>
      <c r="D1924" s="68">
        <f>IFERROR(__xludf.DUMMYFUNCTION("""COMPUTED_VALUE"""),45511.0)</f>
        <v>45511</v>
      </c>
      <c r="E1924" s="31">
        <f>IFERROR(__xludf.DUMMYFUNCTION("""COMPUTED_VALUE"""),300534.0)</f>
        <v>300534</v>
      </c>
      <c r="F1924" s="22" t="str">
        <f>IFERROR(__xludf.DUMMYFUNCTION("""COMPUTED_VALUE"""),"【単話版】妹に婚約者を取られてこのたび醜悪公と押しつけられ婚する運びとなりました@COMIC")</f>
        <v>【単話版】妹に婚約者を取られてこのたび醜悪公と押しつけられ婚する運びとなりました@COMIC</v>
      </c>
      <c r="G1924" s="69" t="str">
        <f>IFERROR(__xludf.DUMMYFUNCTION("""COMPUTED_VALUE"""),"1～3")</f>
        <v>1～3</v>
      </c>
      <c r="H1924" s="67" t="str">
        <f>IFERROR(__xludf.DUMMYFUNCTION("""COMPUTED_VALUE"""),"篠宮しぐ┴くまだ乙夜")</f>
        <v>篠宮しぐ┴くまだ乙夜</v>
      </c>
      <c r="I1924" s="67" t="str">
        <f>IFERROR(__xludf.DUMMYFUNCTION("""COMPUTED_VALUE"""),"少女")</f>
        <v>少女</v>
      </c>
      <c r="J1924" s="67"/>
      <c r="K1924" s="67"/>
      <c r="L1924" s="67" t="str">
        <f>IFERROR(__xludf.DUMMYFUNCTION("""COMPUTED_VALUE"""),"TOブックス")</f>
        <v>TOブックス</v>
      </c>
      <c r="M1924" s="59">
        <f>IFERROR(__xludf.DUMMYFUNCTION("""COMPUTED_VALUE"""),45536.0)</f>
        <v>45536</v>
      </c>
      <c r="N1924" s="59">
        <f>IFERROR(__xludf.DUMMYFUNCTION("""COMPUTED_VALUE"""),45565.0)</f>
        <v>45565</v>
      </c>
      <c r="O1924" s="67"/>
      <c r="P1924" s="70" t="str">
        <f>IFERROR(__xludf.DUMMYFUNCTION("""COMPUTED_VALUE"""),"可")</f>
        <v>可</v>
      </c>
      <c r="Q1924" s="72" t="str">
        <f>IFERROR(__xludf.DUMMYFUNCTION("""COMPUTED_VALUE"""),"広告コミットOK(6/10)")</f>
        <v>広告コミットOK(6/10)</v>
      </c>
      <c r="R1924" s="67"/>
      <c r="S1924" s="67" t="str">
        <f>IFERROR(__xludf.DUMMYFUNCTION("""COMPUTED_VALUE"""),"20240801_TOブックス_【単話版】妹に婚約者を取られてこのたび醜悪公と押しつけられ婚する運びとなりました@COMIC")</f>
        <v>20240801_TOブックス_【単話版】妹に婚約者を取られてこのたび醜悪公と押しつけられ婚する運びとなりました@COMIC</v>
      </c>
      <c r="T1924" s="67" t="str">
        <f>IFERROR(__xludf.DUMMYFUNCTION("""COMPUTED_VALUE"""),"格納済み")</f>
        <v>格納済み</v>
      </c>
      <c r="U1924" s="15" t="str">
        <f>IFERROR(__xludf.DUMMYFUNCTION("""COMPUTED_VALUE"""),"(C) Shigu Shinomiya / Itsuya Kumada")</f>
        <v>(C) Shigu Shinomiya / Itsuya Kumada</v>
      </c>
      <c r="V1924" s="8" t="str">
        <f>IFERROR(__xludf.DUMMYFUNCTION("""COMPUTED_VALUE"""),"疎まれたふたりが幸せをつかみ取る！ 爽快ラブストーリー！
「妹に婚約者を取られた上に、評判最悪の“醜悪公”へ嫁ぐ？
ああ、なんて――楽しそうなんでしょう！」
幼いころから虐げられすぎたルクレツィアは、愛ゆえの試練だと見当外れのポジティブ思考で、父に命じられるまま醜悪公のもとへ旅立った。
しかし出迎えてくれたラミリオは、おもしろおかしく噂されているような人物とはまったく違っていた。
楽しい試練のはずが、待ち受けていたのは幸せな生活！？
疎まれたふたりが幸せをつかみ取る！ 爽快ラブスト"&amp;"ーリー！")</f>
        <v>疎まれたふたりが幸せをつかみ取る！ 爽快ラブストーリー！
「妹に婚約者を取られた上に、評判最悪の“醜悪公”へ嫁ぐ？
ああ、なんて――楽しそうなんでしょう！」
幼いころから虐げられすぎたルクレツィアは、愛ゆえの試練だと見当外れのポジティブ思考で、父に命じられるまま醜悪公のもとへ旅立った。
しかし出迎えてくれたラミリオは、おもしろおかしく噂されているような人物とはまったく違っていた。
楽しい試練のはずが、待ち受けていたのは幸せな生活！？
疎まれたふたりが幸せをつかみ取る！ 爽快ラブストーリー！</v>
      </c>
      <c r="W1924" s="14"/>
      <c r="X1924" s="14" t="str">
        <f>IFERROR(__xludf.DUMMYFUNCTION("""COMPUTED_VALUE"""),"有")</f>
        <v>有</v>
      </c>
      <c r="Y1924" s="8" t="str">
        <f>IFERROR(__xludf.DUMMYFUNCTION("""COMPUTED_VALUE"""),"P6まで")</f>
        <v>P6まで</v>
      </c>
      <c r="Z1924" s="7"/>
      <c r="AA1924" s="7"/>
      <c r="AB1924" s="7"/>
    </row>
    <row r="1925" ht="15.75" customHeight="1">
      <c r="A1925" s="66">
        <f>IFERROR(__xludf.DUMMYFUNCTION("""COMPUTED_VALUE"""),3639.0)</f>
        <v>3639</v>
      </c>
      <c r="B1925" s="67" t="str">
        <f>IFERROR(__xludf.DUMMYFUNCTION("""COMPUTED_VALUE"""),"確定")</f>
        <v>確定</v>
      </c>
      <c r="C1925" s="68">
        <f>IFERROR(__xludf.DUMMYFUNCTION("""COMPUTED_VALUE"""),45457.0)</f>
        <v>45457</v>
      </c>
      <c r="D1925" s="68">
        <f>IFERROR(__xludf.DUMMYFUNCTION("""COMPUTED_VALUE"""),45506.0)</f>
        <v>45506</v>
      </c>
      <c r="E1925" s="31">
        <f>IFERROR(__xludf.DUMMYFUNCTION("""COMPUTED_VALUE"""),299911.0)</f>
        <v>299911</v>
      </c>
      <c r="F1925" s="22" t="str">
        <f>IFERROR(__xludf.DUMMYFUNCTION("""COMPUTED_VALUE"""),"俺はお前の愛で痛い")</f>
        <v>俺はお前の愛で痛い</v>
      </c>
      <c r="G1925" s="69">
        <f>IFERROR(__xludf.DUMMYFUNCTION("""COMPUTED_VALUE"""),1.0)</f>
        <v>1</v>
      </c>
      <c r="H1925" s="67" t="str">
        <f>IFERROR(__xludf.DUMMYFUNCTION("""COMPUTED_VALUE"""),"南あらた")</f>
        <v>南あらた</v>
      </c>
      <c r="I1925" s="67" t="str">
        <f>IFERROR(__xludf.DUMMYFUNCTION("""COMPUTED_VALUE"""),"BL")</f>
        <v>BL</v>
      </c>
      <c r="J1925" s="67"/>
      <c r="K1925" s="67"/>
      <c r="L1925" s="67" t="str">
        <f>IFERROR(__xludf.DUMMYFUNCTION("""COMPUTED_VALUE"""),"シュークリーム")</f>
        <v>シュークリーム</v>
      </c>
      <c r="M1925" s="59">
        <f>IFERROR(__xludf.DUMMYFUNCTION("""COMPUTED_VALUE"""),45527.0)</f>
        <v>45527</v>
      </c>
      <c r="N1925" s="59">
        <f>IFERROR(__xludf.DUMMYFUNCTION("""COMPUTED_VALUE"""),45561.0)</f>
        <v>45561</v>
      </c>
      <c r="O1925" s="67"/>
      <c r="P1925" s="71" t="str">
        <f>IFERROR(__xludf.DUMMYFUNCTION("""COMPUTED_VALUE"""),"可")</f>
        <v>可</v>
      </c>
      <c r="Q1925" s="72"/>
      <c r="R1925" s="67"/>
      <c r="S1925" s="67" t="str">
        <f>IFERROR(__xludf.DUMMYFUNCTION("""COMPUTED_VALUE"""),"20240802_シュークリーム_俺はお前の愛でいたい")</f>
        <v>20240802_シュークリーム_俺はお前の愛でいたい</v>
      </c>
      <c r="T1925" s="67" t="str">
        <f>IFERROR(__xludf.DUMMYFUNCTION("""COMPUTED_VALUE"""),"格納済")</f>
        <v>格納済</v>
      </c>
      <c r="U1925" s="14" t="str">
        <f>IFERROR(__xludf.DUMMYFUNCTION("""COMPUTED_VALUE"""),"（C）南あらた/シュークリーム")</f>
        <v>（C）南あらた/シュークリーム</v>
      </c>
      <c r="V1925" s="14" t="str">
        <f>IFERROR(__xludf.DUMMYFUNCTION("""COMPUTED_VALUE"""),"〈指名を取れなきゃ、クビ――〉
ゲイ向け風俗で働くユイは、途方に暮れていた。
…いや、今日の客は何としてでも虜にする！
そう意気込んでホテルに向かうと、
そこには明らかにカタギじゃない大柄の男が。
義一（ギーチ）と名乗るその男に、
仕事と割り切り“ご奉仕”するユイだったが
いつの間にか主導権を握られた上に
自分の方がトロトロにイかされてしまって…！？
「乱暴にされて興奮してんのか、淫乱」
「あんたみたいな奴、いくら金積まれたってお断りだ！」
ヤクザの最恐番犬×崖っぷち"&amp;"ウリセンボーイ
不器用に愛を探すふたりの裏社会BL")</f>
        <v>〈指名を取れなきゃ、クビ――〉
ゲイ向け風俗で働くユイは、途方に暮れていた。
…いや、今日の客は何としてでも虜にする！
そう意気込んでホテルに向かうと、
そこには明らかにカタギじゃない大柄の男が。
義一（ギーチ）と名乗るその男に、
仕事と割り切り“ご奉仕”するユイだったが
いつの間にか主導権を握られた上に
自分の方がトロトロにイかされてしまって…！？
「乱暴にされて興奮してんのか、淫乱」
「あんたみたいな奴、いくら金積まれたってお断りだ！」
ヤクザの最恐番犬×崖っぷちウリセンボーイ
不器用に愛を探すふたりの裏社会BL</v>
      </c>
      <c r="W1925" s="14"/>
      <c r="X1925" s="14" t="str">
        <f>IFERROR(__xludf.DUMMYFUNCTION("""COMPUTED_VALUE"""),"有")</f>
        <v>有</v>
      </c>
      <c r="Y1925" s="8" t="str">
        <f>IFERROR(__xludf.DUMMYFUNCTION("""COMPUTED_VALUE"""),"P11まで")</f>
        <v>P11まで</v>
      </c>
      <c r="Z1925" s="7"/>
      <c r="AA1925" s="7"/>
      <c r="AB1925" s="7"/>
    </row>
    <row r="1926" ht="15.75" customHeight="1">
      <c r="A1926" s="66">
        <f>IFERROR(__xludf.DUMMYFUNCTION("""COMPUTED_VALUE"""),3650.0)</f>
        <v>3650</v>
      </c>
      <c r="B1926" s="67" t="str">
        <f>IFERROR(__xludf.DUMMYFUNCTION("""COMPUTED_VALUE"""),"確定")</f>
        <v>確定</v>
      </c>
      <c r="C1926" s="68">
        <f>IFERROR(__xludf.DUMMYFUNCTION("""COMPUTED_VALUE"""),45461.0)</f>
        <v>45461</v>
      </c>
      <c r="D1926" s="68">
        <f>IFERROR(__xludf.DUMMYFUNCTION("""COMPUTED_VALUE"""),45511.0)</f>
        <v>45511</v>
      </c>
      <c r="E1926" s="31">
        <f>IFERROR(__xludf.DUMMYFUNCTION("""COMPUTED_VALUE"""),301414.0)</f>
        <v>301414</v>
      </c>
      <c r="F1926" s="22" t="str">
        <f>IFERROR(__xludf.DUMMYFUNCTION("""COMPUTED_VALUE"""),"あなたの心を知る方法～最期の恋をやり直します～")</f>
        <v>あなたの心を知る方法～最期の恋をやり直します～</v>
      </c>
      <c r="G1926" s="69" t="str">
        <f>IFERROR(__xludf.DUMMYFUNCTION("""COMPUTED_VALUE"""),"1～3")</f>
        <v>1～3</v>
      </c>
      <c r="H1926" s="67" t="str">
        <f>IFERROR(__xludf.DUMMYFUNCTION("""COMPUTED_VALUE"""),"作画：紅茶凛來 原作：クマ三郎 脚本：泉水みに")</f>
        <v>作画：紅茶凛來 原作：クマ三郎 脚本：泉水みに</v>
      </c>
      <c r="I1926" s="67" t="str">
        <f>IFERROR(__xludf.DUMMYFUNCTION("""COMPUTED_VALUE"""),"女性")</f>
        <v>女性</v>
      </c>
      <c r="J1926" s="67"/>
      <c r="K1926" s="67"/>
      <c r="L1926" s="67" t="str">
        <f>IFERROR(__xludf.DUMMYFUNCTION("""COMPUTED_VALUE"""),"DPNブックス")</f>
        <v>DPNブックス</v>
      </c>
      <c r="M1926" s="59">
        <f>IFERROR(__xludf.DUMMYFUNCTION("""COMPUTED_VALUE"""),45557.0)</f>
        <v>45557</v>
      </c>
      <c r="N1926" s="85">
        <f>IFERROR(__xludf.DUMMYFUNCTION("""COMPUTED_VALUE"""),45586.0)</f>
        <v>45586</v>
      </c>
      <c r="O1926" s="67"/>
      <c r="P1926" s="70" t="str">
        <f>IFERROR(__xludf.DUMMYFUNCTION("""COMPUTED_VALUE"""),"可")</f>
        <v>可</v>
      </c>
      <c r="Q1926" s="72" t="str">
        <f>IFERROR(__xludf.DUMMYFUNCTION("""COMPUTED_VALUE"""),"広告コミットOK(6/24)")</f>
        <v>広告コミットOK(6/24)</v>
      </c>
      <c r="R1926" s="67"/>
      <c r="S1926" s="67" t="str">
        <f>IFERROR(__xludf.DUMMYFUNCTION("""COMPUTED_VALUE"""),"20240806_DPNブックス_あなたの心を知る方法～最期の恋をやり直します～")</f>
        <v>20240806_DPNブックス_あなたの心を知る方法～最期の恋をやり直します～</v>
      </c>
      <c r="T1926" s="67" t="str">
        <f>IFERROR(__xludf.DUMMYFUNCTION("""COMPUTED_VALUE"""),"格納済み")</f>
        <v>格納済み</v>
      </c>
      <c r="U1926" s="15" t="str">
        <f>IFERROR(__xludf.DUMMYFUNCTION("""COMPUTED_VALUE"""),"(C)紅茶凛來・クマ三郎・泉水みに／DPNブックス")</f>
        <v>(C)紅茶凛來・クマ三郎・泉水みに／DPNブックス</v>
      </c>
      <c r="V1926" s="8" t="str">
        <f>IFERROR(__xludf.DUMMYFUNCTION("""COMPUTED_VALUE"""),"公爵令嬢のリゼルは、騎士であるフランツに一目惚れした。この瞬間から悲劇が始まってしまった―
二人は結婚したものの、フランツには愛人がいたのだ。悲劇は続き、果てには最愛の息子まで事故で失ってしまう。夫婦の終わりを感じたリゼルは、この人生を自分で終わらせようと決意する。
飛び降りたリゼルは走馬灯を見る。しかしなかなか終わらない。さらにはフランツと初めて出会った叙勲式の日まで巻き戻り…！？
※本作品は小説投稿サイト「エブリスタ」で人気の「あなたの心を知る方法」のコミカライズです。")</f>
        <v>公爵令嬢のリゼルは、騎士であるフランツに一目惚れした。この瞬間から悲劇が始まってしまった―
二人は結婚したものの、フランツには愛人がいたのだ。悲劇は続き、果てには最愛の息子まで事故で失ってしまう。夫婦の終わりを感じたリゼルは、この人生を自分で終わらせようと決意する。
飛び降りたリゼルは走馬灯を見る。しかしなかなか終わらない。さらにはフランツと初めて出会った叙勲式の日まで巻き戻り…！？
※本作品は小説投稿サイト「エブリスタ」で人気の「あなたの心を知る方法」のコミカライズです。</v>
      </c>
      <c r="W1926" s="14"/>
      <c r="X1926" s="14" t="str">
        <f>IFERROR(__xludf.DUMMYFUNCTION("""COMPUTED_VALUE"""),"有")</f>
        <v>有</v>
      </c>
      <c r="Y1926" s="8" t="str">
        <f>IFERROR(__xludf.DUMMYFUNCTION("""COMPUTED_VALUE"""),"2024/10/21まで1巻無料")</f>
        <v>2024/10/21まで1巻無料</v>
      </c>
      <c r="Z1926" s="7"/>
      <c r="AA1926" s="7"/>
      <c r="AB1926" s="7"/>
    </row>
    <row r="1927" ht="15.75" customHeight="1">
      <c r="A1927" s="66">
        <f>IFERROR(__xludf.DUMMYFUNCTION("""COMPUTED_VALUE"""),3737.0)</f>
        <v>3737</v>
      </c>
      <c r="B1927" s="67" t="str">
        <f>IFERROR(__xludf.DUMMYFUNCTION("""COMPUTED_VALUE"""),"確定")</f>
        <v>確定</v>
      </c>
      <c r="C1927" s="68">
        <f>IFERROR(__xludf.DUMMYFUNCTION("""COMPUTED_VALUE"""),45477.0)</f>
        <v>45477</v>
      </c>
      <c r="D1927" s="68">
        <f>IFERROR(__xludf.DUMMYFUNCTION("""COMPUTED_VALUE"""),45510.0)</f>
        <v>45510</v>
      </c>
      <c r="E1927" s="31">
        <f>IFERROR(__xludf.DUMMYFUNCTION("""COMPUTED_VALUE"""),300649.0)</f>
        <v>300649</v>
      </c>
      <c r="F1927" s="22" t="str">
        <f>IFERROR(__xludf.DUMMYFUNCTION("""COMPUTED_VALUE"""),"貧乏騎士に嫁入りしたはずが!? 野人令嬢は皇太子妃になっても竜を狩りたい")</f>
        <v>貧乏騎士に嫁入りしたはずが!? 野人令嬢は皇太子妃になっても竜を狩りたい</v>
      </c>
      <c r="G1927" s="69" t="str">
        <f>IFERROR(__xludf.DUMMYFUNCTION("""COMPUTED_VALUE"""),"1～5")</f>
        <v>1～5</v>
      </c>
      <c r="H1927" s="67" t="str">
        <f>IFERROR(__xludf.DUMMYFUNCTION("""COMPUTED_VALUE"""),"漫画：夏川そぞろ 原作：宮前葵 キャラクター原案：ののまろ")</f>
        <v>漫画：夏川そぞろ 原作：宮前葵 キャラクター原案：ののまろ</v>
      </c>
      <c r="I1927" s="67" t="str">
        <f>IFERROR(__xludf.DUMMYFUNCTION("""COMPUTED_VALUE"""),"少女")</f>
        <v>少女</v>
      </c>
      <c r="J1927" s="67"/>
      <c r="K1927" s="67"/>
      <c r="L1927" s="67" t="str">
        <f>IFERROR(__xludf.DUMMYFUNCTION("""COMPUTED_VALUE"""),"主婦と生活社")</f>
        <v>主婦と生活社</v>
      </c>
      <c r="M1927" s="59">
        <f>IFERROR(__xludf.DUMMYFUNCTION("""COMPUTED_VALUE"""),45535.0)</f>
        <v>45535</v>
      </c>
      <c r="N1927" s="85">
        <f>IFERROR(__xludf.DUMMYFUNCTION("""COMPUTED_VALUE"""),45596.0)</f>
        <v>45596</v>
      </c>
      <c r="O1927" s="67"/>
      <c r="P1927" s="70" t="str">
        <f>IFERROR(__xludf.DUMMYFUNCTION("""COMPUTED_VALUE"""),"否")</f>
        <v>否</v>
      </c>
      <c r="Q1927" s="98" t="str">
        <f>IFERROR(__xludf.DUMMYFUNCTION("""COMPUTED_VALUE"""),"広告コミットOK(7/11)")</f>
        <v>広告コミットOK(7/11)</v>
      </c>
      <c r="R1927" s="98">
        <f>IFERROR(__xludf.DUMMYFUNCTION("""COMPUTED_VALUE"""),45505.0)</f>
        <v>45505</v>
      </c>
      <c r="S1927" s="67" t="str">
        <f>IFERROR(__xludf.DUMMYFUNCTION("""COMPUTED_VALUE"""),"20240801_主婦と生活社_貧乏騎士に嫁入りしたはずが! 野人令嬢は皇太子妃になっても竜を狩りたい")</f>
        <v>20240801_主婦と生活社_貧乏騎士に嫁入りしたはずが! 野人令嬢は皇太子妃になっても竜を狩りたい</v>
      </c>
      <c r="T1927" s="67" t="str">
        <f>IFERROR(__xludf.DUMMYFUNCTION("""COMPUTED_VALUE"""),"格納済み")</f>
        <v>格納済み</v>
      </c>
      <c r="U1927" s="15" t="str">
        <f>IFERROR(__xludf.DUMMYFUNCTION("""COMPUTED_VALUE"""),"（C）夏川そぞろ・宮前葵・ののまろ／主婦と生活社")</f>
        <v>（C）夏川そぞろ・宮前葵・ののまろ／主婦と生活社</v>
      </c>
      <c r="V1927" s="8" t="str">
        <f>IFERROR(__xludf.DUMMYFUNCTION("""COMPUTED_VALUE"""),"「熊を狩ろう」って言われて結婚したのに皇帝の隠し子とか、
聞いてない!!
侯爵令嬢でありながらワケあって田舎の領地で育ったラルフシーヌは、
ずば抜けた運動能力と負けず嫌いな性格で、
狩人としても村の子供達の親分としても名を轟かす「野人令嬢」である。
13歳となり、貴族の義務としてしぶしぶ参加した帝宮での
お披露目式でも暴れ周ったことで、騎士・セルミアーネに見初められ、
帝都に嫁入りする羽目に。
しかし貧乏騎士だったはずの彼は、実は現皇帝の隠し子で――!?
暴れん坊令嬢×身分を"&amp;"隠した最強騎士
溺愛成り上がり冒険譚！")</f>
        <v>「熊を狩ろう」って言われて結婚したのに皇帝の隠し子とか、
聞いてない!!
侯爵令嬢でありながらワケあって田舎の領地で育ったラルフシーヌは、
ずば抜けた運動能力と負けず嫌いな性格で、
狩人としても村の子供達の親分としても名を轟かす「野人令嬢」である。
13歳となり、貴族の義務としてしぶしぶ参加した帝宮での
お披露目式でも暴れ周ったことで、騎士・セルミアーネに見初められ、
帝都に嫁入りする羽目に。
しかし貧乏騎士だったはずの彼は、実は現皇帝の隠し子で――!?
暴れん坊令嬢×身分を隠した最強騎士
溺愛成り上がり冒険譚！</v>
      </c>
      <c r="W1927" s="14"/>
      <c r="X1927" s="14" t="str">
        <f>IFERROR(__xludf.DUMMYFUNCTION("""COMPUTED_VALUE"""),"有")</f>
        <v>有</v>
      </c>
      <c r="Y1927" s="8" t="str">
        <f>IFERROR(__xludf.DUMMYFUNCTION("""COMPUTED_VALUE"""),"2024/10/31まで1巻無料")</f>
        <v>2024/10/31まで1巻無料</v>
      </c>
      <c r="Z1927" s="7"/>
      <c r="AA1927" s="7"/>
      <c r="AB1927" s="7"/>
    </row>
    <row r="1928" ht="15.75" customHeight="1">
      <c r="A1928" s="66">
        <f>IFERROR(__xludf.DUMMYFUNCTION("""COMPUTED_VALUE"""),3740.0)</f>
        <v>3740</v>
      </c>
      <c r="B1928" s="67" t="str">
        <f>IFERROR(__xludf.DUMMYFUNCTION("""COMPUTED_VALUE"""),"確定")</f>
        <v>確定</v>
      </c>
      <c r="C1928" s="68">
        <f>IFERROR(__xludf.DUMMYFUNCTION("""COMPUTED_VALUE"""),45477.0)</f>
        <v>45477</v>
      </c>
      <c r="D1928" s="68">
        <f>IFERROR(__xludf.DUMMYFUNCTION("""COMPUTED_VALUE"""),45510.0)</f>
        <v>45510</v>
      </c>
      <c r="E1928" s="31">
        <f>IFERROR(__xludf.DUMMYFUNCTION("""COMPUTED_VALUE"""),298921.0)</f>
        <v>298921</v>
      </c>
      <c r="F1928" s="22" t="str">
        <f>IFERROR(__xludf.DUMMYFUNCTION("""COMPUTED_VALUE"""),"愛をやめたαは愛になりたいΩを拾う（単話版）")</f>
        <v>愛をやめたαは愛になりたいΩを拾う（単話版）</v>
      </c>
      <c r="G1928" s="69">
        <f>IFERROR(__xludf.DUMMYFUNCTION("""COMPUTED_VALUE"""),1.0)</f>
        <v>1</v>
      </c>
      <c r="H1928" s="67" t="str">
        <f>IFERROR(__xludf.DUMMYFUNCTION("""COMPUTED_VALUE"""),"小渕")</f>
        <v>小渕</v>
      </c>
      <c r="I1928" s="67" t="str">
        <f>IFERROR(__xludf.DUMMYFUNCTION("""COMPUTED_VALUE"""),"BL")</f>
        <v>BL</v>
      </c>
      <c r="J1928" s="67"/>
      <c r="K1928" s="67"/>
      <c r="L1928" s="67" t="str">
        <f>IFERROR(__xludf.DUMMYFUNCTION("""COMPUTED_VALUE"""),"コンパス")</f>
        <v>コンパス</v>
      </c>
      <c r="M1928" s="59">
        <f>IFERROR(__xludf.DUMMYFUNCTION("""COMPUTED_VALUE"""),45507.0)</f>
        <v>45507</v>
      </c>
      <c r="N1928" s="59">
        <f>IFERROR(__xludf.DUMMYFUNCTION("""COMPUTED_VALUE"""),45609.0)</f>
        <v>45609</v>
      </c>
      <c r="O1928" s="67"/>
      <c r="P1928" s="70" t="str">
        <f>IFERROR(__xludf.DUMMYFUNCTION("""COMPUTED_VALUE"""),"可")</f>
        <v>可</v>
      </c>
      <c r="Q1928" s="72" t="str">
        <f>IFERROR(__xludf.DUMMYFUNCTION("""COMPUTED_VALUE"""),"・オメガのそら音（https://www.cmoa.jp/title/269236/）の続編&lt;BR&gt;2話が9/7(土)の予定です&lt;BR&gt;1巻目素材で制作お願いします")</f>
        <v>・オメガのそら音（https://www.cmoa.jp/title/269236/）の続編&lt;BR&gt;2話が9/7(土)の予定です&lt;BR&gt;1巻目素材で制作お願いします</v>
      </c>
      <c r="R1928" s="67"/>
      <c r="S1928" s="67" t="str">
        <f>IFERROR(__xludf.DUMMYFUNCTION("""COMPUTED_VALUE"""),"20240805_コンパス_愛をやめたαは愛になりたいΩを拾う")</f>
        <v>20240805_コンパス_愛をやめたαは愛になりたいΩを拾う</v>
      </c>
      <c r="T1928" s="67" t="str">
        <f>IFERROR(__xludf.DUMMYFUNCTION("""COMPUTED_VALUE"""),"格納済み")</f>
        <v>格納済み</v>
      </c>
      <c r="U1928" s="15" t="str">
        <f>IFERROR(__xludf.DUMMYFUNCTION("""COMPUTED_VALUE"""),"©小渕／コンパス")</f>
        <v>©小渕／コンパス</v>
      </c>
      <c r="V1928" s="8" t="str">
        <f>IFERROR(__xludf.DUMMYFUNCTION("""COMPUTED_VALUE"""),"『オメガのそら音』後藤のスピンオフ！
アルファでありながらオメガを粛清する社会に反感を抱く後藤。帰宅途中アルファとオメガ・碧のトラブル現場に出くわし、うんざりしつつも助けてしまう。体を売って生活していた碧の事情を聞いた後藤は、長期休暇のあいだ家に泊めることを承諾。世の中に失望するアルファと、誰かに愛されることを求めるオメガの生活が始まる。")</f>
        <v>『オメガのそら音』後藤のスピンオフ！
アルファでありながらオメガを粛清する社会に反感を抱く後藤。帰宅途中アルファとオメガ・碧のトラブル現場に出くわし、うんざりしつつも助けてしまう。体を売って生活していた碧の事情を聞いた後藤は、長期休暇のあいだ家に泊めることを承諾。世の中に失望するアルファと、誰かに愛されることを求めるオメガの生活が始まる。</v>
      </c>
      <c r="W1928" s="14"/>
      <c r="X1928" s="14" t="str">
        <f>IFERROR(__xludf.DUMMYFUNCTION("""COMPUTED_VALUE"""),"有")</f>
        <v>有</v>
      </c>
      <c r="Y1928" s="8" t="str">
        <f>IFERROR(__xludf.DUMMYFUNCTION("""COMPUTED_VALUE"""),"P16まで")</f>
        <v>P16まで</v>
      </c>
      <c r="Z1928" s="7"/>
      <c r="AA1928" s="7"/>
      <c r="AB1928" s="7"/>
    </row>
    <row r="1929" ht="15.75" customHeight="1">
      <c r="A1929" s="66">
        <f>IFERROR(__xludf.DUMMYFUNCTION("""COMPUTED_VALUE"""),3748.0)</f>
        <v>3748</v>
      </c>
      <c r="B1929" s="67" t="str">
        <f>IFERROR(__xludf.DUMMYFUNCTION("""COMPUTED_VALUE"""),"確定")</f>
        <v>確定</v>
      </c>
      <c r="C1929" s="68">
        <f>IFERROR(__xludf.DUMMYFUNCTION("""COMPUTED_VALUE"""),45481.0)</f>
        <v>45481</v>
      </c>
      <c r="D1929" s="68">
        <f>IFERROR(__xludf.DUMMYFUNCTION("""COMPUTED_VALUE"""),45509.0)</f>
        <v>45509</v>
      </c>
      <c r="E1929" s="31">
        <f>IFERROR(__xludf.DUMMYFUNCTION("""COMPUTED_VALUE"""),299558.0)</f>
        <v>299558</v>
      </c>
      <c r="F1929" s="22" t="str">
        <f>IFERROR(__xludf.DUMMYFUNCTION("""COMPUTED_VALUE"""),"私を溺愛するイケメン、届きました。〜ハジメテの×××はアンドロイドと!?〜")</f>
        <v>私を溺愛するイケメン、届きました。〜ハジメテの×××はアンドロイドと!?〜</v>
      </c>
      <c r="G1929" s="11" t="str">
        <f>IFERROR(__xludf.DUMMYFUNCTION("""COMPUTED_VALUE"""),"1～2")</f>
        <v>1～2</v>
      </c>
      <c r="H1929" s="67" t="str">
        <f>IFERROR(__xludf.DUMMYFUNCTION("""COMPUTED_VALUE"""),"とみざわこみち")</f>
        <v>とみざわこみち</v>
      </c>
      <c r="I1929" s="67" t="str">
        <f>IFERROR(__xludf.DUMMYFUNCTION("""COMPUTED_VALUE"""),"TL")</f>
        <v>TL</v>
      </c>
      <c r="J1929" s="67"/>
      <c r="K1929" s="67"/>
      <c r="L1929" s="67" t="str">
        <f>IFERROR(__xludf.DUMMYFUNCTION("""COMPUTED_VALUE"""),"ジュネット")</f>
        <v>ジュネット</v>
      </c>
      <c r="M1929" s="59">
        <f>IFERROR(__xludf.DUMMYFUNCTION("""COMPUTED_VALUE"""),45521.0)</f>
        <v>45521</v>
      </c>
      <c r="N1929" s="47">
        <f>IFERROR(__xludf.DUMMYFUNCTION("""COMPUTED_VALUE"""),45611.0)</f>
        <v>45611</v>
      </c>
      <c r="O1929" s="67"/>
      <c r="P1929" s="70" t="str">
        <f>IFERROR(__xludf.DUMMYFUNCTION("""COMPUTED_VALUE"""),"可")</f>
        <v>可</v>
      </c>
      <c r="Q1929" s="67" t="str">
        <f>IFERROR(__xludf.DUMMYFUNCTION("""COMPUTED_VALUE"""),"広告コミットOK(7/12)&lt;BR&gt;レーベル名：TL JUNET&lt;BR&gt;素材提供が遅くなったため、初回配信日に間に合わなくて問題ございません。&lt;BR&gt;可能な範囲で最短での出稿でお願いします。")</f>
        <v>広告コミットOK(7/12)&lt;BR&gt;レーベル名：TL JUNET&lt;BR&gt;素材提供が遅くなったため、初回配信日に間に合わなくて問題ございません。&lt;BR&gt;可能な範囲で最短での出稿でお願いします。</v>
      </c>
      <c r="R1929" s="67" t="str">
        <f>IFERROR(__xludf.DUMMYFUNCTION("""COMPUTED_VALUE"""),"格納済み")</f>
        <v>格納済み</v>
      </c>
      <c r="S1929" s="67" t="str">
        <f>IFERROR(__xludf.DUMMYFUNCTION("""COMPUTED_VALUE"""),"20240802_ジュネット_私を溺愛するイケメン、届きました。")</f>
        <v>20240802_ジュネット_私を溺愛するイケメン、届きました。</v>
      </c>
      <c r="T1929" s="67" t="str">
        <f>IFERROR(__xludf.DUMMYFUNCTION("""COMPUTED_VALUE"""),"格納済み")</f>
        <v>格納済み</v>
      </c>
      <c r="U1929" s="15" t="str">
        <f>IFERROR(__xludf.DUMMYFUNCTION("""COMPUTED_VALUE"""),"（C）とみざわこみち/ジュネット")</f>
        <v>（C）とみざわこみち/ジュネット</v>
      </c>
      <c r="V1929" s="8" t="str">
        <f>IFERROR(__xludf.DUMMYFUNCTION("""COMPUTED_VALUE"""),"恋愛経験ゼロのまま、27歳の誕生日を迎えたOLの鷹村アキラ。コンビニケーキと缶チューハイで一人誕生日を満喫…のはずが、ちょっぴり虚しさを感じる今日このごろ。『私も誰かを好きになれたらな…』そんな中、姉からのビッグな誕生日プレゼントが宅配便で届く。その箱を開けると、そこには、ななんとイケメンが!!!?クールで溺愛気質の謎のイケメンとの同棲生活が、今はじまる!!!!")</f>
        <v>恋愛経験ゼロのまま、27歳の誕生日を迎えたOLの鷹村アキラ。コンビニケーキと缶チューハイで一人誕生日を満喫…のはずが、ちょっぴり虚しさを感じる今日このごろ。『私も誰かを好きになれたらな…』そんな中、姉からのビッグな誕生日プレゼントが宅配便で届く。その箱を開けると、そこには、ななんとイケメンが!!!?クールで溺愛気質の謎のイケメンとの同棲生活が、今はじまる!!!!</v>
      </c>
      <c r="W1929" s="14"/>
      <c r="X1929" s="14" t="str">
        <f>IFERROR(__xludf.DUMMYFUNCTION("""COMPUTED_VALUE"""),"有")</f>
        <v>有</v>
      </c>
      <c r="Y1929" s="8" t="str">
        <f>IFERROR(__xludf.DUMMYFUNCTION("""COMPUTED_VALUE"""),"P7まで")</f>
        <v>P7まで</v>
      </c>
      <c r="Z1929" s="7"/>
      <c r="AA1929" s="7"/>
      <c r="AB1929" s="7"/>
    </row>
    <row r="1930" ht="15.75" customHeight="1">
      <c r="A1930" s="66">
        <f>IFERROR(__xludf.DUMMYFUNCTION("""COMPUTED_VALUE"""),3786.0)</f>
        <v>3786</v>
      </c>
      <c r="B1930" s="67" t="str">
        <f>IFERROR(__xludf.DUMMYFUNCTION("""COMPUTED_VALUE"""),"確定")</f>
        <v>確定</v>
      </c>
      <c r="C1930" s="68">
        <f>IFERROR(__xludf.DUMMYFUNCTION("""COMPUTED_VALUE"""),45489.0)</f>
        <v>45489</v>
      </c>
      <c r="D1930" s="68">
        <f>IFERROR(__xludf.DUMMYFUNCTION("""COMPUTED_VALUE"""),45511.0)</f>
        <v>45511</v>
      </c>
      <c r="E1930" s="31">
        <f>IFERROR(__xludf.DUMMYFUNCTION("""COMPUTED_VALUE"""),300338.0)</f>
        <v>300338</v>
      </c>
      <c r="F1930" s="22" t="str">
        <f>IFERROR(__xludf.DUMMYFUNCTION("""COMPUTED_VALUE"""),"魔道祖師")</f>
        <v>魔道祖師</v>
      </c>
      <c r="G1930" s="11" t="str">
        <f>IFERROR(__xludf.DUMMYFUNCTION("""COMPUTED_VALUE"""),"1～2")</f>
        <v>1～2</v>
      </c>
      <c r="H1930" s="67" t="str">
        <f>IFERROR(__xludf.DUMMYFUNCTION("""COMPUTED_VALUE"""),"墨香銅臭")</f>
        <v>墨香銅臭</v>
      </c>
      <c r="I1930" s="67" t="str">
        <f>IFERROR(__xludf.DUMMYFUNCTION("""COMPUTED_VALUE"""),"BL")</f>
        <v>BL</v>
      </c>
      <c r="J1930" s="67"/>
      <c r="K1930" s="67"/>
      <c r="L1930" s="67" t="str">
        <f>IFERROR(__xludf.DUMMYFUNCTION("""COMPUTED_VALUE"""),"ソニー・ミュージックエンタテインメント")</f>
        <v>ソニー・ミュージックエンタテインメント</v>
      </c>
      <c r="M1930" s="59">
        <f>IFERROR(__xludf.DUMMYFUNCTION("""COMPUTED_VALUE"""),45522.0)</f>
        <v>45522</v>
      </c>
      <c r="N1930" s="85">
        <f>IFERROR(__xludf.DUMMYFUNCTION("""COMPUTED_VALUE"""),45623.0)</f>
        <v>45623</v>
      </c>
      <c r="O1930" s="67"/>
      <c r="P1930" s="70" t="str">
        <f>IFERROR(__xludf.DUMMYFUNCTION("""COMPUTED_VALUE"""),"可")</f>
        <v>可</v>
      </c>
      <c r="Q1930" s="72" t="str">
        <f>IFERROR(__xludf.DUMMYFUNCTION("""COMPUTED_VALUE"""),"広告コミットOK(7/24)")</f>
        <v>広告コミットOK(7/24)</v>
      </c>
      <c r="R1930" s="67"/>
      <c r="S1930" s="67" t="str">
        <f>IFERROR(__xludf.DUMMYFUNCTION("""COMPUTED_VALUE"""),"20240802_ソニー・ミュージックソリューションズ_魔道祖師")</f>
        <v>20240802_ソニー・ミュージックソリューションズ_魔道祖師</v>
      </c>
      <c r="T1930" s="75" t="str">
        <f>IFERROR(__xludf.DUMMYFUNCTION("""COMPUTED_VALUE"""),"格納済み")</f>
        <v>格納済み</v>
      </c>
      <c r="U1930" s="15" t="str">
        <f>IFERROR(__xludf.DUMMYFUNCTION("""COMPUTED_VALUE"""),"©Tencent ©Sony Music Solutions Inc.")</f>
        <v>©Tencent ©Sony Music Solutions Inc.</v>
      </c>
      <c r="V1930" s="8" t="str">
        <f>IFERROR(__xludf.DUMMYFUNCTION("""COMPUTED_VALUE"""),"【中国メガヒットファンタジー小説「魔道祖師」の日本版漫画】
温氏が暴虐の限りを尽くし、人々が苦しみに喘ぐ時代。姑蘇藍氏・雲夢江氏・蘭陵金氏・清河聶氏ら仙門の修士たちは「射日の征戦」を行い、力を合わせて温氏を討伐した。
夷陵老祖――魏無羨は、その「射日の征戦」で貢献を果たしたが、彼の修めた鬼道は強大な力を持つがゆえに、人々に恐れられ、謗られ、やがてその身の破滅を招く。
そして十三年後。
死んだはずの魏無羨は「献舎の術」により世に蘇り、思いがけず宿命の相手・藍忘機と再会する。正体を隠したまま去ろう"&amp;"とする魏無羨だが、前世で魏無羨に深く失望して袂を分かったはずの藍忘機はなぜか彼を放そうとせず…。
未だ消えない前世の謎を追う中で、藍忘機の秘めていた想いが見え始めるにつれ、2人の関係性は再び変化を迎える。快活で何ものにも縛られない魏無羨、そして冷静沈着で戒律を重んじる藍忘機、すべての物語の始まりは、彼らの少年時代の出会いに遡る――")</f>
        <v>【中国メガヒットファンタジー小説「魔道祖師」の日本版漫画】
温氏が暴虐の限りを尽くし、人々が苦しみに喘ぐ時代。姑蘇藍氏・雲夢江氏・蘭陵金氏・清河聶氏ら仙門の修士たちは「射日の征戦」を行い、力を合わせて温氏を討伐した。
夷陵老祖――魏無羨は、その「射日の征戦」で貢献を果たしたが、彼の修めた鬼道は強大な力を持つがゆえに、人々に恐れられ、謗られ、やがてその身の破滅を招く。
そして十三年後。
死んだはずの魏無羨は「献舎の術」により世に蘇り、思いがけず宿命の相手・藍忘機と再会する。正体を隠したまま去ろうとする魏無羨だが、前世で魏無羨に深く失望して袂を分かったはずの藍忘機はなぜか彼を放そうとせず…。
未だ消えない前世の謎を追う中で、藍忘機の秘めていた想いが見え始めるにつれ、2人の関係性は再び変化を迎える。快活で何ものにも縛られない魏無羨、そして冷静沈着で戒律を重んじる藍忘機、すべての物語の始まりは、彼らの少年時代の出会いに遡る――</v>
      </c>
      <c r="W1930" s="14"/>
      <c r="X1930" s="14" t="str">
        <f>IFERROR(__xludf.DUMMYFUNCTION("""COMPUTED_VALUE"""),"有")</f>
        <v>有</v>
      </c>
      <c r="Y1930" s="8" t="str">
        <f>IFERROR(__xludf.DUMMYFUNCTION("""COMPUTED_VALUE"""),"P9まで")</f>
        <v>P9まで</v>
      </c>
      <c r="Z1930" s="7"/>
      <c r="AA1930" s="7"/>
      <c r="AB1930" s="7"/>
    </row>
    <row r="1931" ht="15.75" customHeight="1">
      <c r="A1931" s="66">
        <f>IFERROR(__xludf.DUMMYFUNCTION("""COMPUTED_VALUE"""),3800.0)</f>
        <v>3800</v>
      </c>
      <c r="B1931" s="67" t="str">
        <f>IFERROR(__xludf.DUMMYFUNCTION("""COMPUTED_VALUE"""),"確定")</f>
        <v>確定</v>
      </c>
      <c r="C1931" s="68">
        <f>IFERROR(__xludf.DUMMYFUNCTION("""COMPUTED_VALUE"""),45489.0)</f>
        <v>45489</v>
      </c>
      <c r="D1931" s="68">
        <f>IFERROR(__xludf.DUMMYFUNCTION("""COMPUTED_VALUE"""),45511.0)</f>
        <v>45511</v>
      </c>
      <c r="E1931" s="31">
        <f>IFERROR(__xludf.DUMMYFUNCTION("""COMPUTED_VALUE"""),300794.0)</f>
        <v>300794</v>
      </c>
      <c r="F1931" s="22" t="str">
        <f>IFERROR(__xludf.DUMMYFUNCTION("""COMPUTED_VALUE"""),"最愛すぎて手が出せない!!～歳の差こじらせ彼氏の密かな独占欲～【分冊版】")</f>
        <v>最愛すぎて手が出せない!!～歳の差こじらせ彼氏の密かな独占欲～【分冊版】</v>
      </c>
      <c r="G1931" s="11" t="str">
        <f>IFERROR(__xludf.DUMMYFUNCTION("""COMPUTED_VALUE"""),"1～2")</f>
        <v>1～2</v>
      </c>
      <c r="H1931" s="67" t="str">
        <f>IFERROR(__xludf.DUMMYFUNCTION("""COMPUTED_VALUE"""),"作画：丸井テン（ヨミ：マルイテン） 原作：さくら蒼（ヨミ：サ クラアオ）")</f>
        <v>作画：丸井テン（ヨミ：マルイテン） 原作：さくら蒼（ヨミ：サ クラアオ）</v>
      </c>
      <c r="I1931" s="67" t="str">
        <f>IFERROR(__xludf.DUMMYFUNCTION("""COMPUTED_VALUE"""),"TL")</f>
        <v>TL</v>
      </c>
      <c r="J1931" s="67"/>
      <c r="K1931" s="67"/>
      <c r="L1931" s="67" t="str">
        <f>IFERROR(__xludf.DUMMYFUNCTION("""COMPUTED_VALUE"""),"笠倉出版社")</f>
        <v>笠倉出版社</v>
      </c>
      <c r="M1931" s="59">
        <f>IFERROR(__xludf.DUMMYFUNCTION("""COMPUTED_VALUE"""),45540.0)</f>
        <v>45540</v>
      </c>
      <c r="N1931" s="59">
        <f>IFERROR(__xludf.DUMMYFUNCTION("""COMPUTED_VALUE"""),45567.0)</f>
        <v>45567</v>
      </c>
      <c r="O1931" s="67"/>
      <c r="P1931" s="70" t="str">
        <f>IFERROR(__xludf.DUMMYFUNCTION("""COMPUTED_VALUE"""),"可")</f>
        <v>可</v>
      </c>
      <c r="Q1931" s="67" t="str">
        <f>IFERROR(__xludf.DUMMYFUNCTION("""COMPUTED_VALUE"""),"広告コミットOK（7/24）&lt;BR&gt;TLレーベル名：ラブチュコラ")</f>
        <v>広告コミットOK（7/24）&lt;BR&gt;TLレーベル名：ラブチュコラ</v>
      </c>
      <c r="R1931" s="78" t="str">
        <f>IFERROR(__xludf.DUMMYFUNCTION("""COMPUTED_VALUE"""),"格納済み")</f>
        <v>格納済み</v>
      </c>
      <c r="S1931" s="67" t="str">
        <f>IFERROR(__xludf.DUMMYFUNCTION("""COMPUTED_VALUE"""),"20240731_笠倉出版社_最愛すぎて手が出せない!!～歳の差こじらせ彼氏の密かな独占欲～【分冊版】	")</f>
        <v>20240731_笠倉出版社_最愛すぎて手が出せない!!～歳の差こじらせ彼氏の密かな独占欲～【分冊版】	</v>
      </c>
      <c r="T1931" s="99" t="str">
        <f>IFERROR(__xludf.DUMMYFUNCTION("""COMPUTED_VALUE"""),"格納済み")</f>
        <v>格納済み</v>
      </c>
      <c r="U1931" s="15" t="str">
        <f>IFERROR(__xludf.DUMMYFUNCTION("""COMPUTED_VALUE"""),"©丸井テン・さくら蒼/笠倉出版社")</f>
        <v>©丸井テン・さくら蒼/笠倉出版社</v>
      </c>
      <c r="V1931" s="8" t="str">
        <f>IFERROR(__xludf.DUMMYFUNCTION("""COMPUTED_VALUE"""),"「今さら逃げられると思ってるのか」ずっとずっと大好きだった人は、私が何度絶頂しても逃がしてくれない!? 私に無関心だと思っていた彼の、長い指や視線がこんなにも執拗で煽情的に愛撫してくるなんて――…。ＯＬの苗代琴乃は、７歳年上の幼馴染・織部達海に20年間片想い中。なんども告白し、自宅に通っていいお嫁さんアピールまでしてるのにいつまで経っても子ども扱い。だからこの関係性を変えたくて、思い切ってキスを仕掛けてみると…「人の気持ちも知らねぇで」と逆に押し倒されてしまい!? クリクリと胸を舐められ、アツいアレで擦ら"&amp;"れてる…！達海にされてるって思っただけで、頭ぐちゃぐちゃで気持ちよくなっちゃうよぉ――…。拗らせすぎた両片想いの結末は？ じれったすぎる恋愛攻防戦いざ開幕★")</f>
        <v>「今さら逃げられると思ってるのか」ずっとずっと大好きだった人は、私が何度絶頂しても逃がしてくれない!? 私に無関心だと思っていた彼の、長い指や視線がこんなにも執拗で煽情的に愛撫してくるなんて――…。ＯＬの苗代琴乃は、７歳年上の幼馴染・織部達海に20年間片想い中。なんども告白し、自宅に通っていいお嫁さんアピールまでしてるのにいつまで経っても子ども扱い。だからこの関係性を変えたくて、思い切ってキスを仕掛けてみると…「人の気持ちも知らねぇで」と逆に押し倒されてしまい!? クリクリと胸を舐められ、アツいアレで擦られてる…！達海にされてるって思っただけで、頭ぐちゃぐちゃで気持ちよくなっちゃうよぉ――…。拗らせすぎた両片想いの結末は？ じれったすぎる恋愛攻防戦いざ開幕★</v>
      </c>
      <c r="W1931" s="14"/>
      <c r="X1931" s="14" t="str">
        <f>IFERROR(__xludf.DUMMYFUNCTION("""COMPUTED_VALUE"""),"有")</f>
        <v>有</v>
      </c>
      <c r="Y1931" s="8" t="str">
        <f>IFERROR(__xludf.DUMMYFUNCTION("""COMPUTED_VALUE"""),"P6まで")</f>
        <v>P6まで</v>
      </c>
      <c r="Z1931" s="7"/>
      <c r="AA1931" s="7"/>
      <c r="AB1931" s="7"/>
    </row>
    <row r="1932" ht="15.75" customHeight="1">
      <c r="A1932" s="66">
        <f>IFERROR(__xludf.DUMMYFUNCTION("""COMPUTED_VALUE"""),3801.0)</f>
        <v>3801</v>
      </c>
      <c r="B1932" s="67" t="str">
        <f>IFERROR(__xludf.DUMMYFUNCTION("""COMPUTED_VALUE"""),"確定")</f>
        <v>確定</v>
      </c>
      <c r="C1932" s="68">
        <f>IFERROR(__xludf.DUMMYFUNCTION("""COMPUTED_VALUE"""),45489.0)</f>
        <v>45489</v>
      </c>
      <c r="D1932" s="68">
        <f>IFERROR(__xludf.DUMMYFUNCTION("""COMPUTED_VALUE"""),45510.0)</f>
        <v>45510</v>
      </c>
      <c r="E1932" s="31">
        <f>IFERROR(__xludf.DUMMYFUNCTION("""COMPUTED_VALUE"""),300793.0)</f>
        <v>300793</v>
      </c>
      <c r="F1932" s="22" t="str">
        <f>IFERROR(__xludf.DUMMYFUNCTION("""COMPUTED_VALUE"""),"ライバル同期の御曹司はお疲れ気味な私をとろとろに甘やかしたい ～ハグからベッドの上まで～【分冊版】")</f>
        <v>ライバル同期の御曹司はお疲れ気味な私をとろとろに甘やかしたい ～ハグからベッドの上まで～【分冊版】</v>
      </c>
      <c r="G1932" s="11" t="str">
        <f>IFERROR(__xludf.DUMMYFUNCTION("""COMPUTED_VALUE"""),"1～2")</f>
        <v>1～2</v>
      </c>
      <c r="H1932" s="67" t="str">
        <f>IFERROR(__xludf.DUMMYFUNCTION("""COMPUTED_VALUE"""),"作画：福マナミ（ヨミ：フクマナミ） 原作：あさぎ千夜春（ヨ ミ：アサギチヨハル）")</f>
        <v>作画：福マナミ（ヨミ：フクマナミ） 原作：あさぎ千夜春（ヨ ミ：アサギチヨハル）</v>
      </c>
      <c r="I1932" s="67" t="str">
        <f>IFERROR(__xludf.DUMMYFUNCTION("""COMPUTED_VALUE"""),"TL")</f>
        <v>TL</v>
      </c>
      <c r="J1932" s="67"/>
      <c r="K1932" s="67"/>
      <c r="L1932" s="67" t="str">
        <f>IFERROR(__xludf.DUMMYFUNCTION("""COMPUTED_VALUE"""),"笠倉出版社")</f>
        <v>笠倉出版社</v>
      </c>
      <c r="M1932" s="59">
        <f>IFERROR(__xludf.DUMMYFUNCTION("""COMPUTED_VALUE"""),45540.0)</f>
        <v>45540</v>
      </c>
      <c r="N1932" s="59">
        <f>IFERROR(__xludf.DUMMYFUNCTION("""COMPUTED_VALUE"""),45567.0)</f>
        <v>45567</v>
      </c>
      <c r="O1932" s="67"/>
      <c r="P1932" s="70" t="str">
        <f>IFERROR(__xludf.DUMMYFUNCTION("""COMPUTED_VALUE"""),"可")</f>
        <v>可</v>
      </c>
      <c r="Q1932" s="67" t="str">
        <f>IFERROR(__xludf.DUMMYFUNCTION("""COMPUTED_VALUE"""),"広告コミットOK（7/24）&lt;BR&gt;TLレーベル名：ラブチュコラ")</f>
        <v>広告コミットOK（7/24）&lt;BR&gt;TLレーベル名：ラブチュコラ</v>
      </c>
      <c r="R1932" s="78" t="str">
        <f>IFERROR(__xludf.DUMMYFUNCTION("""COMPUTED_VALUE"""),"格納済み")</f>
        <v>格納済み</v>
      </c>
      <c r="S1932" s="67" t="str">
        <f>IFERROR(__xludf.DUMMYFUNCTION("""COMPUTED_VALUE"""),"20240731_笠倉出版社_ライバル同期の御曹司はお疲れ気味な私をとろとろに甘やかしたい～ハグからベッドの上まで～【分冊版】	")</f>
        <v>20240731_笠倉出版社_ライバル同期の御曹司はお疲れ気味な私をとろとろに甘やかしたい～ハグからベッドの上まで～【分冊版】	</v>
      </c>
      <c r="T1932" s="67" t="str">
        <f>IFERROR(__xludf.DUMMYFUNCTION("""COMPUTED_VALUE"""),"校了済み")</f>
        <v>校了済み</v>
      </c>
      <c r="U1932" s="15" t="str">
        <f>IFERROR(__xludf.DUMMYFUNCTION("""COMPUTED_VALUE"""),"©福マナミ/笠倉出版社")</f>
        <v>©福マナミ/笠倉出版社</v>
      </c>
      <c r="V1932" s="8" t="str">
        <f>IFERROR(__xludf.DUMMYFUNCTION("""COMPUTED_VALUE"""),"「すっげえトロトロ、直接舐めたらどうなんの？」口を開けば憎まれ口ばかりの男。なのに甘い交わりに身も心もほどかれ、ハグから一歩踏み込んだ関係は “気持ちいい”に溺れちゃうーー大手商社で働く楢原瀬理（ならはら　せり）は最近お疲れ気味。そんな瀬理の癒しはライバル同期の芹澤（せりざわ）にハグされること。恋人でもない相手に…と思いつつもあらがえずにいたら、ハグ中に芹澤のが下腹部にあたっていることに気づき！？「かっ……会社でえっちなことはいけないと思いますけど～！？」「じゃあうち来る？」引き締まった体で息を乱して求め"&amp;"られたら、ぴりぴりと甘く痺れる空気に流されちゃう。ぷっくりと尖った乳首を舌先でイジメられ、奥が疼いて挿れられたくてたまらなくなりーー恋愛不器用なハイスペ男から甘やかされる、もだきゅん！ハッピーキュートハグラブ！")</f>
        <v>「すっげえトロトロ、直接舐めたらどうなんの？」口を開けば憎まれ口ばかりの男。なのに甘い交わりに身も心もほどかれ、ハグから一歩踏み込んだ関係は “気持ちいい”に溺れちゃうーー大手商社で働く楢原瀬理（ならはら　せり）は最近お疲れ気味。そんな瀬理の癒しはライバル同期の芹澤（せりざわ）にハグされること。恋人でもない相手に…と思いつつもあらがえずにいたら、ハグ中に芹澤のが下腹部にあたっていることに気づき！？「かっ……会社でえっちなことはいけないと思いますけど～！？」「じゃあうち来る？」引き締まった体で息を乱して求められたら、ぴりぴりと甘く痺れる空気に流されちゃう。ぷっくりと尖った乳首を舌先でイジメられ、奥が疼いて挿れられたくてたまらなくなりーー恋愛不器用なハイスペ男から甘やかされる、もだきゅん！ハッピーキュートハグラブ！</v>
      </c>
      <c r="W1932" s="14"/>
      <c r="X1932" s="14" t="str">
        <f>IFERROR(__xludf.DUMMYFUNCTION("""COMPUTED_VALUE"""),"有")</f>
        <v>有</v>
      </c>
      <c r="Y1932" s="8" t="str">
        <f>IFERROR(__xludf.DUMMYFUNCTION("""COMPUTED_VALUE"""),"P6まで")</f>
        <v>P6まで</v>
      </c>
      <c r="Z1932" s="7"/>
      <c r="AA1932" s="7"/>
      <c r="AB1932" s="7"/>
    </row>
    <row r="1933" ht="15.75" customHeight="1">
      <c r="A1933" s="66">
        <f>IFERROR(__xludf.DUMMYFUNCTION("""COMPUTED_VALUE"""),3826.0)</f>
        <v>3826</v>
      </c>
      <c r="B1933" s="67" t="str">
        <f>IFERROR(__xludf.DUMMYFUNCTION("""COMPUTED_VALUE"""),"確定")</f>
        <v>確定</v>
      </c>
      <c r="C1933" s="68">
        <f>IFERROR(__xludf.DUMMYFUNCTION("""COMPUTED_VALUE"""),45495.0)</f>
        <v>45495</v>
      </c>
      <c r="D1933" s="68">
        <f>IFERROR(__xludf.DUMMYFUNCTION("""COMPUTED_VALUE"""),45511.0)</f>
        <v>45511</v>
      </c>
      <c r="E1933" s="31">
        <f>IFERROR(__xludf.DUMMYFUNCTION("""COMPUTED_VALUE"""),300737.0)</f>
        <v>300737</v>
      </c>
      <c r="F1933" s="46" t="str">
        <f>IFERROR(__xludf.DUMMYFUNCTION("""COMPUTED_VALUE"""),"貴女依存症")</f>
        <v>貴女依存症</v>
      </c>
      <c r="G1933" s="69" t="str">
        <f>IFERROR(__xludf.DUMMYFUNCTION("""COMPUTED_VALUE"""),"1～3")</f>
        <v>1～3</v>
      </c>
      <c r="H1933" s="67" t="str">
        <f>IFERROR(__xludf.DUMMYFUNCTION("""COMPUTED_VALUE"""),"東雲水生（作画）／雨宮黄英（原作）/テラーノベル")</f>
        <v>東雲水生（作画）／雨宮黄英（原作）/テラーノベル</v>
      </c>
      <c r="I1933" s="67" t="str">
        <f>IFERROR(__xludf.DUMMYFUNCTION("""COMPUTED_VALUE"""),"女性")</f>
        <v>女性</v>
      </c>
      <c r="J1933" s="67"/>
      <c r="K1933" s="67"/>
      <c r="L1933" s="67" t="str">
        <f>IFERROR(__xludf.DUMMYFUNCTION("""COMPUTED_VALUE"""),"グループ・ゼロ")</f>
        <v>グループ・ゼロ</v>
      </c>
      <c r="M1933" s="59">
        <f>IFERROR(__xludf.DUMMYFUNCTION("""COMPUTED_VALUE"""),45538.0)</f>
        <v>45538</v>
      </c>
      <c r="N1933" s="59">
        <f>IFERROR(__xludf.DUMMYFUNCTION("""COMPUTED_VALUE"""),45628.0)</f>
        <v>45628</v>
      </c>
      <c r="O1933" s="67"/>
      <c r="P1933" s="70" t="str">
        <f>IFERROR(__xludf.DUMMYFUNCTION("""COMPUTED_VALUE"""),"可")</f>
        <v>可</v>
      </c>
      <c r="Q1933" s="67" t="str">
        <f>IFERROR(__xludf.DUMMYFUNCTION("""COMPUTED_VALUE"""),"広告コミットOK(7/26)")</f>
        <v>広告コミットOK(7/26)</v>
      </c>
      <c r="R1933" s="67" t="str">
        <f>IFERROR(__xludf.DUMMYFUNCTION("""COMPUTED_VALUE"""),"格納済み")</f>
        <v>格納済み</v>
      </c>
      <c r="S1933" s="67" t="str">
        <f>IFERROR(__xludf.DUMMYFUNCTION("""COMPUTED_VALUE"""),"20240801_グループ・ゼロ_貴女依存症")</f>
        <v>20240801_グループ・ゼロ_貴女依存症</v>
      </c>
      <c r="T1933" s="67" t="str">
        <f>IFERROR(__xludf.DUMMYFUNCTION("""COMPUTED_VALUE"""),"格納済み")</f>
        <v>格納済み</v>
      </c>
      <c r="U1933" s="15" t="str">
        <f>IFERROR(__xludf.DUMMYFUNCTION("""COMPUTED_VALUE"""),"(C)東雲水生／雨宮黄英／テラーノベル／グループ・ゼロ")</f>
        <v>(C)東雲水生／雨宮黄英／テラーノベル／グループ・ゼロ</v>
      </c>
      <c r="V1933" s="8" t="str">
        <f>IFERROR(__xludf.DUMMYFUNCTION("""COMPUTED_VALUE"""),"女の子が好きな女の子・雨月は、ある日勇気を出して同級生の美少女、魅雷に告白するが、「気持ち悪い」と言われ振られてしまう。更に、その事をバラされクラス中からイジメられるが、そんな雨月を同じクラスのクール女子・晴陽が救ってくれたのだった。それをきっかけに仲良くなった雨月と晴陽の間に、友情とほのかな感情が芽生え始める。しかし、その感情が育つ前に、2人の間に転校生の雪那が現れ…。友情と恋愛、強がりと本心、拒絶と依存の間で揺れ動く少女達の甘やかで時に狂おしい胸の内を、繊細かつドラマティックに描いた【テラーノベル】の"&amp;"人気原作がついにコミカライズ化!!")</f>
        <v>女の子が好きな女の子・雨月は、ある日勇気を出して同級生の美少女、魅雷に告白するが、「気持ち悪い」と言われ振られてしまう。更に、その事をバラされクラス中からイジメられるが、そんな雨月を同じクラスのクール女子・晴陽が救ってくれたのだった。それをきっかけに仲良くなった雨月と晴陽の間に、友情とほのかな感情が芽生え始める。しかし、その感情が育つ前に、2人の間に転校生の雪那が現れ…。友情と恋愛、強がりと本心、拒絶と依存の間で揺れ動く少女達の甘やかで時に狂おしい胸の内を、繊細かつドラマティックに描いた【テラーノベル】の人気原作がついにコミカライズ化!!</v>
      </c>
      <c r="W1933" s="14"/>
      <c r="X1933" s="14" t="str">
        <f>IFERROR(__xludf.DUMMYFUNCTION("""COMPUTED_VALUE"""),"有")</f>
        <v>有</v>
      </c>
      <c r="Y1933" s="8" t="str">
        <f>IFERROR(__xludf.DUMMYFUNCTION("""COMPUTED_VALUE"""),"P5まで")</f>
        <v>P5まで</v>
      </c>
      <c r="Z1933" s="7"/>
      <c r="AA1933" s="7"/>
      <c r="AB1933" s="7"/>
    </row>
    <row r="1934" ht="15.75" customHeight="1">
      <c r="A1934" s="66">
        <f>IFERROR(__xludf.DUMMYFUNCTION("""COMPUTED_VALUE"""),3852.0)</f>
        <v>3852</v>
      </c>
      <c r="B1934" s="67" t="str">
        <f>IFERROR(__xludf.DUMMYFUNCTION("""COMPUTED_VALUE"""),"確定")</f>
        <v>確定</v>
      </c>
      <c r="C1934" s="68">
        <f>IFERROR(__xludf.DUMMYFUNCTION("""COMPUTED_VALUE"""),45497.0)</f>
        <v>45497</v>
      </c>
      <c r="D1934" s="68">
        <f>IFERROR(__xludf.DUMMYFUNCTION("""COMPUTED_VALUE"""),45511.0)</f>
        <v>45511</v>
      </c>
      <c r="E1934" s="31">
        <f>IFERROR(__xludf.DUMMYFUNCTION("""COMPUTED_VALUE"""),301036.0)</f>
        <v>301036</v>
      </c>
      <c r="F1934" s="22" t="str">
        <f>IFERROR(__xludf.DUMMYFUNCTION("""COMPUTED_VALUE"""),"クラスのクールギャルの呼び出しセックス")</f>
        <v>クラスのクールギャルの呼び出しセックス</v>
      </c>
      <c r="G1934" s="11" t="str">
        <f>IFERROR(__xludf.DUMMYFUNCTION("""COMPUTED_VALUE"""),"1～2")</f>
        <v>1～2</v>
      </c>
      <c r="H1934" s="67" t="str">
        <f>IFERROR(__xludf.DUMMYFUNCTION("""COMPUTED_VALUE"""),"こんてつ")</f>
        <v>こんてつ</v>
      </c>
      <c r="I1934" s="67" t="str">
        <f>IFERROR(__xludf.DUMMYFUNCTION("""COMPUTED_VALUE"""),"オトナ")</f>
        <v>オトナ</v>
      </c>
      <c r="J1934" s="67"/>
      <c r="K1934" s="67"/>
      <c r="L1934" s="67" t="str">
        <f>IFERROR(__xludf.DUMMYFUNCTION("""COMPUTED_VALUE"""),"ナイトコミック")</f>
        <v>ナイトコミック</v>
      </c>
      <c r="M1934" s="59">
        <f>IFERROR(__xludf.DUMMYFUNCTION("""COMPUTED_VALUE"""),45541.0)</f>
        <v>45541</v>
      </c>
      <c r="N1934" s="85">
        <f>IFERROR(__xludf.DUMMYFUNCTION("""COMPUTED_VALUE"""),45596.0)</f>
        <v>45596</v>
      </c>
      <c r="O1934" s="67"/>
      <c r="P1934" s="70" t="str">
        <f>IFERROR(__xludf.DUMMYFUNCTION("""COMPUTED_VALUE"""),"可")</f>
        <v>可</v>
      </c>
      <c r="Q1934" s="97" t="str">
        <f>IFERROR(__xludf.DUMMYFUNCTION("""COMPUTED_VALUE"""),"広告コミットOK(7/31)")</f>
        <v>広告コミットOK(7/31)</v>
      </c>
      <c r="R1934" s="97">
        <f>IFERROR(__xludf.DUMMYFUNCTION("""COMPUTED_VALUE"""),45505.0)</f>
        <v>45505</v>
      </c>
      <c r="S1934" s="67" t="str">
        <f>IFERROR(__xludf.DUMMYFUNCTION("""COMPUTED_VALUE"""),"20240801_ナイトコミック_クラスのクールギャルの呼び出しセックス")</f>
        <v>20240801_ナイトコミック_クラスのクールギャルの呼び出しセックス</v>
      </c>
      <c r="T1934" s="67" t="str">
        <f>IFERROR(__xludf.DUMMYFUNCTION("""COMPUTED_VALUE"""),"格納済み")</f>
        <v>格納済み</v>
      </c>
      <c r="U1934" s="15" t="str">
        <f>IFERROR(__xludf.DUMMYFUNCTION("""COMPUTED_VALUE"""),"©こんてつ")</f>
        <v>©こんてつ</v>
      </c>
      <c r="V1934" s="8" t="str">
        <f>IFERROR(__xludf.DUMMYFUNCTION("""COMPUTED_VALUE"""),"同じクラスの東郷玲那は、クール系美人だけどおっかない。ギャル仲間とつるんでクラスで笑いあう彼女と…実は最近よく目が合う、気がする。陰キャの俺なんて相手にするはずないのに…。そんなある日、学校の階段で東郷のパンツを見てしまった！めちゃくちゃ派手なエロいパンツ…。思わず勃起してしまう俺、サイアクなことに東郷とばっちり目があってしまった…！！！逃げ腰になる俺を捕まえた東郷は、そのまま俺のズボンを脱がして…！？")</f>
        <v>同じクラスの東郷玲那は、クール系美人だけどおっかない。ギャル仲間とつるんでクラスで笑いあう彼女と…実は最近よく目が合う、気がする。陰キャの俺なんて相手にするはずないのに…。そんなある日、学校の階段で東郷のパンツを見てしまった！めちゃくちゃ派手なエロいパンツ…。思わず勃起してしまう俺、サイアクなことに東郷とばっちり目があってしまった…！！！逃げ腰になる俺を捕まえた東郷は、そのまま俺のズボンを脱がして…！？</v>
      </c>
      <c r="W1934" s="14"/>
      <c r="X1934" s="14" t="str">
        <f>IFERROR(__xludf.DUMMYFUNCTION("""COMPUTED_VALUE"""),"有")</f>
        <v>有</v>
      </c>
      <c r="Y1934" s="8" t="str">
        <f>IFERROR(__xludf.DUMMYFUNCTION("""COMPUTED_VALUE"""),"P11まで")</f>
        <v>P11まで</v>
      </c>
      <c r="Z1934" s="7"/>
      <c r="AA1934" s="7"/>
      <c r="AB1934" s="7"/>
    </row>
    <row r="1935" ht="15.75" customHeight="1">
      <c r="A1935" s="66">
        <f>IFERROR(__xludf.DUMMYFUNCTION("""COMPUTED_VALUE"""),3853.0)</f>
        <v>3853</v>
      </c>
      <c r="B1935" s="67" t="str">
        <f>IFERROR(__xludf.DUMMYFUNCTION("""COMPUTED_VALUE"""),"確定")</f>
        <v>確定</v>
      </c>
      <c r="C1935" s="68">
        <f>IFERROR(__xludf.DUMMYFUNCTION("""COMPUTED_VALUE"""),45497.0)</f>
        <v>45497</v>
      </c>
      <c r="D1935" s="68">
        <f>IFERROR(__xludf.DUMMYFUNCTION("""COMPUTED_VALUE"""),45511.0)</f>
        <v>45511</v>
      </c>
      <c r="E1935" s="60">
        <f>IFERROR(__xludf.DUMMYFUNCTION("""COMPUTED_VALUE"""),301916.0)</f>
        <v>301916</v>
      </c>
      <c r="F1935" s="61" t="str">
        <f>IFERROR(__xludf.DUMMYFUNCTION("""COMPUTED_VALUE"""),"カッコウの烙印-妊活巨乳人妻が媚薬焦らしマッサージに心も身体も堕ちるまで-")</f>
        <v>カッコウの烙印-妊活巨乳人妻が媚薬焦らしマッサージに心も身体も堕ちるまで-</v>
      </c>
      <c r="G1935" s="11" t="str">
        <f>IFERROR(__xludf.DUMMYFUNCTION("""COMPUTED_VALUE"""),"1～2")</f>
        <v>1～2</v>
      </c>
      <c r="H1935" s="67" t="str">
        <f>IFERROR(__xludf.DUMMYFUNCTION("""COMPUTED_VALUE"""),"藤咲ふじこ")</f>
        <v>藤咲ふじこ</v>
      </c>
      <c r="I1935" s="67" t="str">
        <f>IFERROR(__xludf.DUMMYFUNCTION("""COMPUTED_VALUE"""),"オトナ")</f>
        <v>オトナ</v>
      </c>
      <c r="J1935" s="67"/>
      <c r="K1935" s="67"/>
      <c r="L1935" s="67" t="str">
        <f>IFERROR(__xludf.DUMMYFUNCTION("""COMPUTED_VALUE"""),"ナイトコミック")</f>
        <v>ナイトコミック</v>
      </c>
      <c r="M1935" s="59">
        <f>IFERROR(__xludf.DUMMYFUNCTION("""COMPUTED_VALUE"""),45555.0)</f>
        <v>45555</v>
      </c>
      <c r="N1935" s="85">
        <f>IFERROR(__xludf.DUMMYFUNCTION("""COMPUTED_VALUE"""),45610.0)</f>
        <v>45610</v>
      </c>
      <c r="O1935" s="67"/>
      <c r="P1935" s="70" t="str">
        <f>IFERROR(__xludf.DUMMYFUNCTION("""COMPUTED_VALUE"""),"可")</f>
        <v>可</v>
      </c>
      <c r="Q1935" s="97" t="str">
        <f>IFERROR(__xludf.DUMMYFUNCTION("""COMPUTED_VALUE"""),"広告コミットOK(7/31)&lt;BR&gt;素材は２巻目まで使用ください")</f>
        <v>広告コミットOK(7/31)&lt;BR&gt;素材は２巻目まで使用ください</v>
      </c>
      <c r="R1935" s="97">
        <f>IFERROR(__xludf.DUMMYFUNCTION("""COMPUTED_VALUE"""),45505.0)</f>
        <v>45505</v>
      </c>
      <c r="S1935" s="67" t="str">
        <f>IFERROR(__xludf.DUMMYFUNCTION("""COMPUTED_VALUE"""),"20240801_カッコウの烙印-妊活巨乳人妻が媚薬焦らしマッサージに心も身体も堕ちるまで-")</f>
        <v>20240801_カッコウの烙印-妊活巨乳人妻が媚薬焦らしマッサージに心も身体も堕ちるまで-</v>
      </c>
      <c r="T1935" s="67" t="str">
        <f>IFERROR(__xludf.DUMMYFUNCTION("""COMPUTED_VALUE"""),"格納済み")</f>
        <v>格納済み</v>
      </c>
      <c r="U1935" s="15" t="str">
        <f>IFERROR(__xludf.DUMMYFUNCTION("""COMPUTED_VALUE"""),"©藤咲ふじこ")</f>
        <v>©藤咲ふじこ</v>
      </c>
      <c r="V1935" s="8" t="str">
        <f>IFERROR(__xludf.DUMMYFUNCTION("""COMPUTED_VALUE"""),"主人公・平田由紀子は平凡な主婦。婚活の末出会った男と結婚したが、なかなか子宝に恵まれず時間ばかりが過ぎていくことに焦り、悩んでいた。そんな時妊活マッサージへ誘われ、半信半疑でお試し体験をすることに。実は夫しか男を知らない初心な体に、施術師はゆっくりマッサージを施していく。女性ホルモンのため、と乳首、次にクリトリス…執拗にねっとりと雌の身体に開発されて行く…。子供を望む夫のため、と心に言い聞かせ通う由紀子だったが、とあるきっかけで男にガチ種付けをせがんでしまい…")</f>
        <v>主人公・平田由紀子は平凡な主婦。婚活の末出会った男と結婚したが、なかなか子宝に恵まれず時間ばかりが過ぎていくことに焦り、悩んでいた。そんな時妊活マッサージへ誘われ、半信半疑でお試し体験をすることに。実は夫しか男を知らない初心な体に、施術師はゆっくりマッサージを施していく。女性ホルモンのため、と乳首、次にクリトリス…執拗にねっとりと雌の身体に開発されて行く…。子供を望む夫のため、と心に言い聞かせ通う由紀子だったが、とあるきっかけで男にガチ種付けをせがんでしまい…</v>
      </c>
      <c r="W1935" s="14"/>
      <c r="X1935" s="14" t="str">
        <f>IFERROR(__xludf.DUMMYFUNCTION("""COMPUTED_VALUE"""),"有")</f>
        <v>有</v>
      </c>
      <c r="Y1935" s="8" t="str">
        <f>IFERROR(__xludf.DUMMYFUNCTION("""COMPUTED_VALUE"""),"2024/12/19まで立ち読み増量
1巻目P15まで
2巻目P13まで")</f>
        <v>2024/12/19まで立ち読み増量
1巻目P15まで
2巻目P13まで</v>
      </c>
      <c r="Z1935" s="7"/>
      <c r="AA1935" s="7"/>
      <c r="AB1935" s="7"/>
    </row>
    <row r="1936" ht="15.75" customHeight="1">
      <c r="A1936" s="66">
        <f>IFERROR(__xludf.DUMMYFUNCTION("""COMPUTED_VALUE"""),3908.0)</f>
        <v>3908</v>
      </c>
      <c r="B1936" s="67" t="str">
        <f>IFERROR(__xludf.DUMMYFUNCTION("""COMPUTED_VALUE"""),"確定")</f>
        <v>確定</v>
      </c>
      <c r="C1936" s="68">
        <f>IFERROR(__xludf.DUMMYFUNCTION("""COMPUTED_VALUE"""),45505.0)</f>
        <v>45505</v>
      </c>
      <c r="D1936" s="68">
        <f>IFERROR(__xludf.DUMMYFUNCTION("""COMPUTED_VALUE"""),45506.0)</f>
        <v>45506</v>
      </c>
      <c r="E1936" s="31">
        <f>IFERROR(__xludf.DUMMYFUNCTION("""COMPUTED_VALUE"""),300550.0)</f>
        <v>300550</v>
      </c>
      <c r="F1936" s="22" t="str">
        <f>IFERROR(__xludf.DUMMYFUNCTION("""COMPUTED_VALUE"""),"異界から聖女が来たのでお役御免になりました～処刑されそうなので隠した力を解放させていただきます！～")</f>
        <v>異界から聖女が来たのでお役御免になりました～処刑されそうなので隠した力を解放させていただきます！～</v>
      </c>
      <c r="G1936" s="69" t="str">
        <f>IFERROR(__xludf.DUMMYFUNCTION("""COMPUTED_VALUE"""),"1～3")</f>
        <v>1～3</v>
      </c>
      <c r="H1936" s="67" t="str">
        <f>IFERROR(__xludf.DUMMYFUNCTION("""COMPUTED_VALUE"""),"著者：長門さわこ 原作者：狭山ひびき")</f>
        <v>著者：長門さわこ 原作者：狭山ひびき</v>
      </c>
      <c r="I1936" s="78" t="str">
        <f>IFERROR(__xludf.DUMMYFUNCTION("""COMPUTED_VALUE"""),"少女")</f>
        <v>少女</v>
      </c>
      <c r="J1936" s="67"/>
      <c r="K1936" s="67"/>
      <c r="L1936" s="67" t="str">
        <f>IFERROR(__xludf.DUMMYFUNCTION("""COMPUTED_VALUE"""),"夢中文庫")</f>
        <v>夢中文庫</v>
      </c>
      <c r="M1936" s="59">
        <f>IFERROR(__xludf.DUMMYFUNCTION("""COMPUTED_VALUE"""),45536.0)</f>
        <v>45536</v>
      </c>
      <c r="N1936" s="88">
        <f>IFERROR(__xludf.DUMMYFUNCTION("""COMPUTED_VALUE"""),45626.0)</f>
        <v>45626</v>
      </c>
      <c r="O1936" s="67"/>
      <c r="P1936" s="71" t="str">
        <f>IFERROR(__xludf.DUMMYFUNCTION("""COMPUTED_VALUE"""),"否")</f>
        <v>否</v>
      </c>
      <c r="Q1936" s="72"/>
      <c r="R1936" s="67"/>
      <c r="S1936" s="67" t="str">
        <f>IFERROR(__xludf.DUMMYFUNCTION("""COMPUTED_VALUE"""),"20240801_夢中文庫_異界から聖女が来たのでお役御免になりました～処刑されそうなので隠した力を解放させていただきます！～")</f>
        <v>20240801_夢中文庫_異界から聖女が来たのでお役御免になりました～処刑されそうなので隠した力を解放させていただきます！～</v>
      </c>
      <c r="T1936" s="67" t="str">
        <f>IFERROR(__xludf.DUMMYFUNCTION("""COMPUTED_VALUE"""),"格納済み")</f>
        <v>格納済み</v>
      </c>
      <c r="U1936" s="15" t="str">
        <f>IFERROR(__xludf.DUMMYFUNCTION("""COMPUTED_VALUE"""),"(C)長門さわこ/狭山ひびき/ゆめこみ")</f>
        <v>(C)長門さわこ/狭山ひびき/ゆめこみ</v>
      </c>
      <c r="V1936" s="8" t="str">
        <f>IFERROR(__xludf.DUMMYFUNCTION("""COMPUTED_VALUE"""),"５歳で聖女と認定されたエステルは、朝から晩まで働かされる毎日に耐えていた。成長し聖女の力が強くなればもっと働かされると悟り、自分の力を隠すようになると「能無し」と言われる始末。「衣食住が確保されるなら」と我慢を重ねていたある日、なんと王太子の婚約者に選ばれる。ようやく辛い日々から抜け出せる…と思われたが、王太子は平民出身のエステルを散々罵った挙句、異界から来た聖女と結婚すると言い出し、邪魔になったエステルを「偽聖女」として処刑しようとする。
「やってられないわ　馬鹿馬鹿しい」
ついに我慢を爆発させたエ"&amp;"ステルは隠していた力を解放。
逃亡に成功し、自由を手に入れたはずだったけれど――？")</f>
        <v>５歳で聖女と認定されたエステルは、朝から晩まで働かされる毎日に耐えていた。成長し聖女の力が強くなればもっと働かされると悟り、自分の力を隠すようになると「能無し」と言われる始末。「衣食住が確保されるなら」と我慢を重ねていたある日、なんと王太子の婚約者に選ばれる。ようやく辛い日々から抜け出せる…と思われたが、王太子は平民出身のエステルを散々罵った挙句、異界から来た聖女と結婚すると言い出し、邪魔になったエステルを「偽聖女」として処刑しようとする。
「やってられないわ　馬鹿馬鹿しい」
ついに我慢を爆発させたエステルは隠していた力を解放。
逃亡に成功し、自由を手に入れたはずだったけれど――？</v>
      </c>
      <c r="W1936" s="14"/>
      <c r="X1936" s="14" t="str">
        <f>IFERROR(__xludf.DUMMYFUNCTION("""COMPUTED_VALUE"""),"有")</f>
        <v>有</v>
      </c>
      <c r="Y1936" s="8" t="str">
        <f>IFERROR(__xludf.DUMMYFUNCTION("""COMPUTED_VALUE"""),"P7まで")</f>
        <v>P7まで</v>
      </c>
      <c r="Z1936" s="7"/>
      <c r="AA1936" s="7"/>
      <c r="AB1936" s="7"/>
    </row>
    <row r="1937" ht="15.75" customHeight="1">
      <c r="A1937" s="66">
        <f>IFERROR(__xludf.DUMMYFUNCTION("""COMPUTED_VALUE"""),3909.0)</f>
        <v>3909</v>
      </c>
      <c r="B1937" s="67" t="str">
        <f>IFERROR(__xludf.DUMMYFUNCTION("""COMPUTED_VALUE"""),"確定")</f>
        <v>確定</v>
      </c>
      <c r="C1937" s="68">
        <f>IFERROR(__xludf.DUMMYFUNCTION("""COMPUTED_VALUE"""),45505.0)</f>
        <v>45505</v>
      </c>
      <c r="D1937" s="68">
        <f>IFERROR(__xludf.DUMMYFUNCTION("""COMPUTED_VALUE"""),45506.0)</f>
        <v>45506</v>
      </c>
      <c r="E1937" s="31">
        <f>IFERROR(__xludf.DUMMYFUNCTION("""COMPUTED_VALUE"""),300551.0)</f>
        <v>300551</v>
      </c>
      <c r="F1937" s="22" t="str">
        <f>IFERROR(__xludf.DUMMYFUNCTION("""COMPUTED_VALUE"""),"腹黒王太子の偏愛は公爵令嬢の運命を激しく蕩かす")</f>
        <v>腹黒王太子の偏愛は公爵令嬢の運命を激しく蕩かす</v>
      </c>
      <c r="G1937" s="69" t="str">
        <f>IFERROR(__xludf.DUMMYFUNCTION("""COMPUTED_VALUE"""),"1～3")</f>
        <v>1～3</v>
      </c>
      <c r="H1937" s="67" t="str">
        <f>IFERROR(__xludf.DUMMYFUNCTION("""COMPUTED_VALUE"""),"著者：鷹丘モトナリ 原作者：水守真子")</f>
        <v>著者：鷹丘モトナリ 原作者：水守真子</v>
      </c>
      <c r="I1937" s="67" t="str">
        <f>IFERROR(__xludf.DUMMYFUNCTION("""COMPUTED_VALUE"""),"女性")</f>
        <v>女性</v>
      </c>
      <c r="J1937" s="67"/>
      <c r="K1937" s="67"/>
      <c r="L1937" s="67" t="str">
        <f>IFERROR(__xludf.DUMMYFUNCTION("""COMPUTED_VALUE"""),"夢中文庫")</f>
        <v>夢中文庫</v>
      </c>
      <c r="M1937" s="59">
        <f>IFERROR(__xludf.DUMMYFUNCTION("""COMPUTED_VALUE"""),45536.0)</f>
        <v>45536</v>
      </c>
      <c r="N1937" s="88">
        <f>IFERROR(__xludf.DUMMYFUNCTION("""COMPUTED_VALUE"""),45626.0)</f>
        <v>45626</v>
      </c>
      <c r="O1937" s="67"/>
      <c r="P1937" s="71" t="str">
        <f>IFERROR(__xludf.DUMMYFUNCTION("""COMPUTED_VALUE"""),"否")</f>
        <v>否</v>
      </c>
      <c r="Q1937" s="72"/>
      <c r="R1937" s="67"/>
      <c r="S1937" s="67" t="str">
        <f>IFERROR(__xludf.DUMMYFUNCTION("""COMPUTED_VALUE"""),"20240801_夢中文庫_腹黒王太子の偏愛は公爵令嬢の運命を激しく蕩かす")</f>
        <v>20240801_夢中文庫_腹黒王太子の偏愛は公爵令嬢の運命を激しく蕩かす</v>
      </c>
      <c r="T1937" s="67" t="str">
        <f>IFERROR(__xludf.DUMMYFUNCTION("""COMPUTED_VALUE"""),"格納済み")</f>
        <v>格納済み</v>
      </c>
      <c r="U1937" s="15" t="str">
        <f>IFERROR(__xludf.DUMMYFUNCTION("""COMPUTED_VALUE"""),"(C)鷹丘モトナリ/水守真子/ゆめこみ")</f>
        <v>(C)鷹丘モトナリ/水守真子/ゆめこみ</v>
      </c>
      <c r="V1937" s="8" t="str">
        <f>IFERROR(__xludf.DUMMYFUNCTION("""COMPUTED_VALUE"""),"大勢の貴族が集まるパーティーでひどい言いがかりをつけられ、婚約破棄を言い渡されたラウラ。声を掛けてくれたのは王太子であるマルティンだった。ラウラは助けを借りず、公爵令嬢として完璧な振る舞いをしようとするが、マルティンから耳元で囁かれ、いつもの冷静さを崩される。親し気に話せば、貴族たちに変な噂を立てられるのは確実。
「この状況でからかうなんて…！」
隙がなく非の打ち所がなさすぎるあまり「氷の令嬢」とまで呼ばれるラウラが、マルティンの前ではなぜか息苦しさが止まらない。それは初めて会った時のトラウマのせいか"&amp;"と思っていたけれど…。")</f>
        <v>大勢の貴族が集まるパーティーでひどい言いがかりをつけられ、婚約破棄を言い渡されたラウラ。声を掛けてくれたのは王太子であるマルティンだった。ラウラは助けを借りず、公爵令嬢として完璧な振る舞いをしようとするが、マルティンから耳元で囁かれ、いつもの冷静さを崩される。親し気に話せば、貴族たちに変な噂を立てられるのは確実。
「この状況でからかうなんて…！」
隙がなく非の打ち所がなさすぎるあまり「氷の令嬢」とまで呼ばれるラウラが、マルティンの前ではなぜか息苦しさが止まらない。それは初めて会った時のトラウマのせいかと思っていたけれど…。</v>
      </c>
      <c r="W1937" s="14"/>
      <c r="X1937" s="14" t="str">
        <f>IFERROR(__xludf.DUMMYFUNCTION("""COMPUTED_VALUE"""),"有")</f>
        <v>有</v>
      </c>
      <c r="Y1937" s="8" t="str">
        <f>IFERROR(__xludf.DUMMYFUNCTION("""COMPUTED_VALUE"""),"P7まで")</f>
        <v>P7まで</v>
      </c>
      <c r="Z1937" s="7"/>
      <c r="AA1937" s="7"/>
      <c r="AB1937" s="7"/>
    </row>
    <row r="1938" ht="15.75" customHeight="1">
      <c r="A1938" s="66">
        <f>IFERROR(__xludf.DUMMYFUNCTION("""COMPUTED_VALUE"""),3910.0)</f>
        <v>3910</v>
      </c>
      <c r="B1938" s="67" t="str">
        <f>IFERROR(__xludf.DUMMYFUNCTION("""COMPUTED_VALUE"""),"確定")</f>
        <v>確定</v>
      </c>
      <c r="C1938" s="68">
        <f>IFERROR(__xludf.DUMMYFUNCTION("""COMPUTED_VALUE"""),45505.0)</f>
        <v>45505</v>
      </c>
      <c r="D1938" s="68">
        <f>IFERROR(__xludf.DUMMYFUNCTION("""COMPUTED_VALUE"""),45510.0)</f>
        <v>45510</v>
      </c>
      <c r="E1938" s="31">
        <f>IFERROR(__xludf.DUMMYFUNCTION("""COMPUTED_VALUE"""),301146.0)</f>
        <v>301146</v>
      </c>
      <c r="F1938" s="22" t="str">
        <f>IFERROR(__xludf.DUMMYFUNCTION("""COMPUTED_VALUE"""),"後宮の闇妃〜人間に捨てられ魔獣の愛し子に。もふもふ魔獣を守るため、後宮で悪妃の仮面をかぶります〜")</f>
        <v>後宮の闇妃〜人間に捨てられ魔獣の愛し子に。もふもふ魔獣を守るため、後宮で悪妃の仮面をかぶります〜</v>
      </c>
      <c r="G1938" s="69" t="str">
        <f>IFERROR(__xludf.DUMMYFUNCTION("""COMPUTED_VALUE"""),"1～3")</f>
        <v>1～3</v>
      </c>
      <c r="H1938" s="67" t="str">
        <f>IFERROR(__xludf.DUMMYFUNCTION("""COMPUTED_VALUE"""),"漫画：佳深めか／原作：蒼真まこ（エブリスタ）")</f>
        <v>漫画：佳深めか／原作：蒼真まこ（エブリスタ）</v>
      </c>
      <c r="I1938" s="67" t="str">
        <f>IFERROR(__xludf.DUMMYFUNCTION("""COMPUTED_VALUE"""),"女性")</f>
        <v>女性</v>
      </c>
      <c r="J1938" s="67"/>
      <c r="K1938" s="67"/>
      <c r="L1938" s="67" t="str">
        <f>IFERROR(__xludf.DUMMYFUNCTION("""COMPUTED_VALUE"""),"集英社")</f>
        <v>集英社</v>
      </c>
      <c r="M1938" s="59">
        <f>IFERROR(__xludf.DUMMYFUNCTION("""COMPUTED_VALUE"""),45536.0)</f>
        <v>45536</v>
      </c>
      <c r="N1938" s="59">
        <f>IFERROR(__xludf.DUMMYFUNCTION("""COMPUTED_VALUE"""),45565.0)</f>
        <v>45565</v>
      </c>
      <c r="O1938" s="67"/>
      <c r="P1938" s="70" t="str">
        <f>IFERROR(__xludf.DUMMYFUNCTION("""COMPUTED_VALUE"""),"否")</f>
        <v>否</v>
      </c>
      <c r="Q1938" s="72" t="str">
        <f>IFERROR(__xludf.DUMMYFUNCTION("""COMPUTED_VALUE"""),"・レーベルロゴ：異世界マーガレット")</f>
        <v>・レーベルロゴ：異世界マーガレット</v>
      </c>
      <c r="R1938" s="67"/>
      <c r="S1938" s="67" t="str">
        <f>IFERROR(__xludf.DUMMYFUNCTION("""COMPUTED_VALUE"""),"20240801_集英社_後宮の闇妃〜人間に捨てられ魔獣の愛し子に。もふもふ魔獣を守るため、後宮で悪妃の仮面をかぶります〜")</f>
        <v>20240801_集英社_後宮の闇妃〜人間に捨てられ魔獣の愛し子に。もふもふ魔獣を守るため、後宮で悪妃の仮面をかぶります〜</v>
      </c>
      <c r="T1938" s="67" t="str">
        <f>IFERROR(__xludf.DUMMYFUNCTION("""COMPUTED_VALUE"""),"格納済み")</f>
        <v>格納済み</v>
      </c>
      <c r="U1938" s="15" t="str">
        <f>IFERROR(__xludf.DUMMYFUNCTION("""COMPUTED_VALUE"""),"©表記：佳深めか・蒼真まこ（エブリスタ）／集英社")</f>
        <v>©表記：佳深めか・蒼真まこ（エブリスタ）／集英社</v>
      </c>
      <c r="V1938" s="8" t="str">
        <f>IFERROR(__xludf.DUMMYFUNCTION("""COMPUTED_VALUE"""),"【憎まれ口は“好き”の裏返し!?　でもその恋心――決して悟られてはいけません！】「魔獣に愛されし闇の姫よ、我が妻となれ」　戦乱の真っ最中、青国の若き皇帝・令賢は魔獣の愛し子である闇の姫・雪鈴に求婚した。それは婚姻による和睦の申し出だった。契約により『闇妃』として後宮で暮らすことになった雪鈴だが、魔獣に育てられた悪妃として人々から疎まれていた。愛する魔獣を守るため、悪妃の仮面をかぶってでも青国の四夫人の一人として振る舞う雪鈴だったが、彼女には誰にも言えないある秘密があった…。そして、魔獣にとって宿敵ともいえ"&amp;"る青国皇帝・令賢にも、人に知られたくない秘密があって――。")</f>
        <v>【憎まれ口は“好き”の裏返し!?　でもその恋心――決して悟られてはいけません！】「魔獣に愛されし闇の姫よ、我が妻となれ」　戦乱の真っ最中、青国の若き皇帝・令賢は魔獣の愛し子である闇の姫・雪鈴に求婚した。それは婚姻による和睦の申し出だった。契約により『闇妃』として後宮で暮らすことになった雪鈴だが、魔獣に育てられた悪妃として人々から疎まれていた。愛する魔獣を守るため、悪妃の仮面をかぶってでも青国の四夫人の一人として振る舞う雪鈴だったが、彼女には誰にも言えないある秘密があった…。そして、魔獣にとって宿敵ともいえる青国皇帝・令賢にも、人に知られたくない秘密があって――。</v>
      </c>
      <c r="W1938" s="14"/>
      <c r="X1938" s="14" t="str">
        <f>IFERROR(__xludf.DUMMYFUNCTION("""COMPUTED_VALUE"""),"有")</f>
        <v>有</v>
      </c>
      <c r="Y1938" s="8" t="str">
        <f>IFERROR(__xludf.DUMMYFUNCTION("""COMPUTED_VALUE"""),"P17まで")</f>
        <v>P17まで</v>
      </c>
      <c r="Z1938" s="7"/>
      <c r="AA1938" s="7"/>
      <c r="AB1938" s="7"/>
    </row>
    <row r="1939" ht="15.75" customHeight="1">
      <c r="A1939" s="66">
        <f>IFERROR(__xludf.DUMMYFUNCTION("""COMPUTED_VALUE"""),3911.0)</f>
        <v>3911</v>
      </c>
      <c r="B1939" s="67" t="str">
        <f>IFERROR(__xludf.DUMMYFUNCTION("""COMPUTED_VALUE"""),"確定")</f>
        <v>確定</v>
      </c>
      <c r="C1939" s="68">
        <f>IFERROR(__xludf.DUMMYFUNCTION("""COMPUTED_VALUE"""),45505.0)</f>
        <v>45505</v>
      </c>
      <c r="D1939" s="68">
        <f>IFERROR(__xludf.DUMMYFUNCTION("""COMPUTED_VALUE"""),45510.0)</f>
        <v>45510</v>
      </c>
      <c r="E1939" s="31">
        <f>IFERROR(__xludf.DUMMYFUNCTION("""COMPUTED_VALUE"""),301147.0)</f>
        <v>301147</v>
      </c>
      <c r="F1939" s="22" t="str">
        <f>IFERROR(__xludf.DUMMYFUNCTION("""COMPUTED_VALUE"""),"薬草令嬢ともふもふの旦那様")</f>
        <v>薬草令嬢ともふもふの旦那様</v>
      </c>
      <c r="G1939" s="69" t="str">
        <f>IFERROR(__xludf.DUMMYFUNCTION("""COMPUTED_VALUE"""),"1～3")</f>
        <v>1～3</v>
      </c>
      <c r="H1939" s="67" t="str">
        <f>IFERROR(__xludf.DUMMYFUNCTION("""COMPUTED_VALUE"""),"漫画：木城木ゆみこ／原作：江本マシメサ／キャラクター原案：カスカベ アキラ")</f>
        <v>漫画：木城木ゆみこ／原作：江本マシメサ／キャラクター原案：カスカベ アキラ</v>
      </c>
      <c r="I1939" s="67" t="str">
        <f>IFERROR(__xludf.DUMMYFUNCTION("""COMPUTED_VALUE"""),"女性")</f>
        <v>女性</v>
      </c>
      <c r="J1939" s="67"/>
      <c r="K1939" s="67"/>
      <c r="L1939" s="67" t="str">
        <f>IFERROR(__xludf.DUMMYFUNCTION("""COMPUTED_VALUE"""),"集英社")</f>
        <v>集英社</v>
      </c>
      <c r="M1939" s="59">
        <f>IFERROR(__xludf.DUMMYFUNCTION("""COMPUTED_VALUE"""),45536.0)</f>
        <v>45536</v>
      </c>
      <c r="N1939" s="59">
        <f>IFERROR(__xludf.DUMMYFUNCTION("""COMPUTED_VALUE"""),45565.0)</f>
        <v>45565</v>
      </c>
      <c r="O1939" s="67"/>
      <c r="P1939" s="70" t="str">
        <f>IFERROR(__xludf.DUMMYFUNCTION("""COMPUTED_VALUE"""),"否")</f>
        <v>否</v>
      </c>
      <c r="Q1939" s="72" t="str">
        <f>IFERROR(__xludf.DUMMYFUNCTION("""COMPUTED_VALUE"""),"・レーベルロゴ：異世界マーガレット")</f>
        <v>・レーベルロゴ：異世界マーガレット</v>
      </c>
      <c r="R1939" s="67"/>
      <c r="S1939" s="67" t="str">
        <f>IFERROR(__xludf.DUMMYFUNCTION("""COMPUTED_VALUE"""),"20240801_集英社_薬草令嬢ともふもふの旦那様")</f>
        <v>20240801_集英社_薬草令嬢ともふもふの旦那様</v>
      </c>
      <c r="T1939" s="67" t="str">
        <f>IFERROR(__xludf.DUMMYFUNCTION("""COMPUTED_VALUE"""),"格納済み")</f>
        <v>格納済み</v>
      </c>
      <c r="U1939" s="15" t="str">
        <f>IFERROR(__xludf.DUMMYFUNCTION("""COMPUTED_VALUE"""),"©表記：木城木ゆみこ・江本マシメサ／集英社")</f>
        <v>©表記：木城木ゆみこ・江本マシメサ／集英社</v>
      </c>
      <c r="V1939" s="8" t="str">
        <f>IFERROR(__xludf.DUMMYFUNCTION("""COMPUTED_VALUE"""),"【コバルト文庫の人気小説が、待望のコミカライズ！】風変わりな子爵令嬢・メレディスは、結婚相手を見つけるために夜会に参加するも、どうにも場に馴染めない。「薬草令嬢」なんて噂もされてしまうし、息は詰まるし、ここに私の居場所はないわ……。悩みながら、外の空気を吸おうと庭に出てみたら、なんとそこには大きなわんちゃんが！　「わんちゃんではない!!　狼だ！」　……あれ？　今、狼が喋った…!?　変わり者の子爵令嬢と、若干ヘタレな伯爵の、ピュアラブストーリー！")</f>
        <v>【コバルト文庫の人気小説が、待望のコミカライズ！】風変わりな子爵令嬢・メレディスは、結婚相手を見つけるために夜会に参加するも、どうにも場に馴染めない。「薬草令嬢」なんて噂もされてしまうし、息は詰まるし、ここに私の居場所はないわ……。悩みながら、外の空気を吸おうと庭に出てみたら、なんとそこには大きなわんちゃんが！　「わんちゃんではない!!　狼だ！」　……あれ？　今、狼が喋った…!?　変わり者の子爵令嬢と、若干ヘタレな伯爵の、ピュアラブストーリー！</v>
      </c>
      <c r="W1939" s="14"/>
      <c r="X1939" s="14" t="str">
        <f>IFERROR(__xludf.DUMMYFUNCTION("""COMPUTED_VALUE"""),"有")</f>
        <v>有</v>
      </c>
      <c r="Y1939" s="8" t="str">
        <f>IFERROR(__xludf.DUMMYFUNCTION("""COMPUTED_VALUE"""),"P21まで")</f>
        <v>P21まで</v>
      </c>
      <c r="Z1939" s="7"/>
      <c r="AA1939" s="7"/>
      <c r="AB1939" s="7"/>
    </row>
    <row r="1940" ht="15.75" customHeight="1">
      <c r="A1940" s="66">
        <f>IFERROR(__xludf.DUMMYFUNCTION("""COMPUTED_VALUE"""),3912.0)</f>
        <v>3912</v>
      </c>
      <c r="B1940" s="67" t="str">
        <f>IFERROR(__xludf.DUMMYFUNCTION("""COMPUTED_VALUE"""),"確定")</f>
        <v>確定</v>
      </c>
      <c r="C1940" s="68">
        <f>IFERROR(__xludf.DUMMYFUNCTION("""COMPUTED_VALUE"""),45505.0)</f>
        <v>45505</v>
      </c>
      <c r="D1940" s="68">
        <f>IFERROR(__xludf.DUMMYFUNCTION("""COMPUTED_VALUE"""),45510.0)</f>
        <v>45510</v>
      </c>
      <c r="E1940" s="31">
        <f>IFERROR(__xludf.DUMMYFUNCTION("""COMPUTED_VALUE"""),301658.0)</f>
        <v>301658</v>
      </c>
      <c r="F1940" s="22" t="str">
        <f>IFERROR(__xludf.DUMMYFUNCTION("""COMPUTED_VALUE"""),"籠のなかの竜聖女 -虐げられた伯爵令嬢は、今日も溺愛されています-")</f>
        <v>籠のなかの竜聖女 -虐げられた伯爵令嬢は、今日も溺愛されています-</v>
      </c>
      <c r="G1940" s="69" t="str">
        <f>IFERROR(__xludf.DUMMYFUNCTION("""COMPUTED_VALUE"""),"1～3")</f>
        <v>1～3</v>
      </c>
      <c r="H1940" s="67" t="str">
        <f>IFERROR(__xludf.DUMMYFUNCTION("""COMPUTED_VALUE"""),"漫画：氷室亮／原作：屋月トム伽")</f>
        <v>漫画：氷室亮／原作：屋月トム伽</v>
      </c>
      <c r="I1940" s="67" t="str">
        <f>IFERROR(__xludf.DUMMYFUNCTION("""COMPUTED_VALUE"""),"女性")</f>
        <v>女性</v>
      </c>
      <c r="J1940" s="67"/>
      <c r="K1940" s="67"/>
      <c r="L1940" s="67" t="str">
        <f>IFERROR(__xludf.DUMMYFUNCTION("""COMPUTED_VALUE"""),"集英社")</f>
        <v>集英社</v>
      </c>
      <c r="M1940" s="59">
        <f>IFERROR(__xludf.DUMMYFUNCTION("""COMPUTED_VALUE"""),45536.0)</f>
        <v>45536</v>
      </c>
      <c r="N1940" s="59">
        <f>IFERROR(__xludf.DUMMYFUNCTION("""COMPUTED_VALUE"""),45565.0)</f>
        <v>45565</v>
      </c>
      <c r="O1940" s="67"/>
      <c r="P1940" s="70" t="str">
        <f>IFERROR(__xludf.DUMMYFUNCTION("""COMPUTED_VALUE"""),"否")</f>
        <v>否</v>
      </c>
      <c r="Q1940" s="72" t="str">
        <f>IFERROR(__xludf.DUMMYFUNCTION("""COMPUTED_VALUE"""),"・レーベルロゴ：異世界マーガレット")</f>
        <v>・レーベルロゴ：異世界マーガレット</v>
      </c>
      <c r="R1940" s="67"/>
      <c r="S1940" s="67" t="str">
        <f>IFERROR(__xludf.DUMMYFUNCTION("""COMPUTED_VALUE"""),"20240801_集英社_籠のなかの竜聖女 虐げられた伯爵令嬢は、今日も溺愛されています")</f>
        <v>20240801_集英社_籠のなかの竜聖女 虐げられた伯爵令嬢は、今日も溺愛されています</v>
      </c>
      <c r="T1940" s="67" t="str">
        <f>IFERROR(__xludf.DUMMYFUNCTION("""COMPUTED_VALUE"""),"格納済み")</f>
        <v>格納済み</v>
      </c>
      <c r="U1940" s="15" t="str">
        <f>IFERROR(__xludf.DUMMYFUNCTION("""COMPUTED_VALUE"""),"©表記：氷室亮・屋月トム伽／集英社")</f>
        <v>©表記：氷室亮・屋月トム伽／集英社</v>
      </c>
      <c r="V1940" s="8" t="str">
        <f>IFERROR(__xludf.DUMMYFUNCTION("""COMPUTED_VALUE"""),"【一度、結婚を断られたはずなのに……!?】エルヴァスティ国を守る黒緋竜のお世話を任されている竜聖女は、この国の王子の正式な婚約者と定められている。現在の竜聖女・リューディアは、幼い頃から巨大な鳥籠の中で住まう黒緋竜・グラムヴィントのお世話に励み、王子であるエディクの婚約者であった。しかしある日、突然エディクに呼び出されたリューディアは、竜聖女の解任と婚約の破棄を言い渡されてしまう。なんと次の竜聖女になったのは、義姉のレイラ。しかもエディクは、次の行き先として漆黒将軍・ヴィルフリードと結婚してもらうとリュー"&amp;"ディアに言ってくるが、ヴィルフリードからは「私とあなたでは釣り合わない」と結婚を断られてしまい……!?")</f>
        <v>【一度、結婚を断られたはずなのに……!?】エルヴァスティ国を守る黒緋竜のお世話を任されている竜聖女は、この国の王子の正式な婚約者と定められている。現在の竜聖女・リューディアは、幼い頃から巨大な鳥籠の中で住まう黒緋竜・グラムヴィントのお世話に励み、王子であるエディクの婚約者であった。しかしある日、突然エディクに呼び出されたリューディアは、竜聖女の解任と婚約の破棄を言い渡されてしまう。なんと次の竜聖女になったのは、義姉のレイラ。しかもエディクは、次の行き先として漆黒将軍・ヴィルフリードと結婚してもらうとリューディアに言ってくるが、ヴィルフリードからは「私とあなたでは釣り合わない」と結婚を断られてしまい……!?</v>
      </c>
      <c r="W1940" s="14"/>
      <c r="X1940" s="14" t="str">
        <f>IFERROR(__xludf.DUMMYFUNCTION("""COMPUTED_VALUE"""),"有")</f>
        <v>有</v>
      </c>
      <c r="Y1940" s="8" t="str">
        <f>IFERROR(__xludf.DUMMYFUNCTION("""COMPUTED_VALUE"""),"2024/9/30まで1巻無料")</f>
        <v>2024/9/30まで1巻無料</v>
      </c>
      <c r="Z1940" s="7"/>
      <c r="AA1940" s="7"/>
      <c r="AB1940" s="7"/>
    </row>
    <row r="1941" ht="15.75" customHeight="1">
      <c r="A1941" s="66">
        <f>IFERROR(__xludf.DUMMYFUNCTION("""COMPUTED_VALUE"""),3920.0)</f>
        <v>3920</v>
      </c>
      <c r="B1941" s="67" t="str">
        <f>IFERROR(__xludf.DUMMYFUNCTION("""COMPUTED_VALUE"""),"確定")</f>
        <v>確定</v>
      </c>
      <c r="C1941" s="68">
        <f>IFERROR(__xludf.DUMMYFUNCTION("""COMPUTED_VALUE"""),45506.0)</f>
        <v>45506</v>
      </c>
      <c r="D1941" s="68">
        <f>IFERROR(__xludf.DUMMYFUNCTION("""COMPUTED_VALUE"""),45509.0)</f>
        <v>45509</v>
      </c>
      <c r="E1941" s="31">
        <f>IFERROR(__xludf.DUMMYFUNCTION("""COMPUTED_VALUE"""),300539.0)</f>
        <v>300539</v>
      </c>
      <c r="F1941" s="22" t="str">
        <f>IFERROR(__xludf.DUMMYFUNCTION("""COMPUTED_VALUE"""),"ヒミツの軟禁性活～ヤクザな彼と甘い蜜月～")</f>
        <v>ヒミツの軟禁性活～ヤクザな彼と甘い蜜月～</v>
      </c>
      <c r="G1941" s="11" t="str">
        <f>IFERROR(__xludf.DUMMYFUNCTION("""COMPUTED_VALUE"""),"1～2")</f>
        <v>1～2</v>
      </c>
      <c r="H1941" s="67" t="str">
        <f>IFERROR(__xludf.DUMMYFUNCTION("""COMPUTED_VALUE"""),"政れお")</f>
        <v>政れお</v>
      </c>
      <c r="I1941" s="67" t="str">
        <f>IFERROR(__xludf.DUMMYFUNCTION("""COMPUTED_VALUE"""),"TL")</f>
        <v>TL</v>
      </c>
      <c r="J1941" s="67"/>
      <c r="K1941" s="67"/>
      <c r="L1941" s="67" t="str">
        <f>IFERROR(__xludf.DUMMYFUNCTION("""COMPUTED_VALUE"""),"一迅社")</f>
        <v>一迅社</v>
      </c>
      <c r="M1941" s="59">
        <f>IFERROR(__xludf.DUMMYFUNCTION("""COMPUTED_VALUE"""),45541.0)</f>
        <v>45541</v>
      </c>
      <c r="N1941" s="59">
        <f>IFERROR(__xludf.DUMMYFUNCTION("""COMPUTED_VALUE"""),45568.0)</f>
        <v>45568</v>
      </c>
      <c r="O1941" s="67"/>
      <c r="P1941" s="70" t="str">
        <f>IFERROR(__xludf.DUMMYFUNCTION("""COMPUTED_VALUE"""),"可")</f>
        <v>可</v>
      </c>
      <c r="Q1941" s="72" t="str">
        <f>IFERROR(__xludf.DUMMYFUNCTION("""COMPUTED_VALUE"""),"TLレーベル：LOVEBITES")</f>
        <v>TLレーベル：LOVEBITES</v>
      </c>
      <c r="R1941" s="67"/>
      <c r="S1941" s="67" t="str">
        <f>IFERROR(__xludf.DUMMYFUNCTION("""COMPUTED_VALUE"""),"20240802_一迅社_ヒミツの軟禁性活～ヤクザな彼と甘い蜜月～")</f>
        <v>20240802_一迅社_ヒミツの軟禁性活～ヤクザな彼と甘い蜜月～</v>
      </c>
      <c r="T1941" s="67" t="str">
        <f>IFERROR(__xludf.DUMMYFUNCTION("""COMPUTED_VALUE"""),"格納済み")</f>
        <v>格納済み</v>
      </c>
      <c r="U1941" s="15" t="str">
        <f>IFERROR(__xludf.DUMMYFUNCTION("""COMPUTED_VALUE"""),"(C)政れお／一迅社")</f>
        <v>(C)政れお／一迅社</v>
      </c>
      <c r="V1941" s="8" t="str">
        <f>IFERROR(__xludf.DUMMYFUNCTION("""COMPUTED_VALUE"""),"「触れてるだけなのにぐちゃぐちゃだね」こっそり憧れていた優しいお兄さん。近づいたらダメだとずっと思っていたのに、あることがきっかけでお兄さんが優しく触れてきて…!?恥ずかしくて死にそうなのに気持ちいい…私のカラダどうなっちゃうの…？過保護な父に大事に育てられた箱入り娘の杉下寧々。父からの過干渉に耐えられずついに家を飛び出した寧々を拾ってくれたのは、こっそり憧れていた「訳アリ」なお兄さんで…!危ない彼とのラブ＆スリリングな同棲性活第一話!")</f>
        <v>「触れてるだけなのにぐちゃぐちゃだね」こっそり憧れていた優しいお兄さん。近づいたらダメだとずっと思っていたのに、あることがきっかけでお兄さんが優しく触れてきて…!?恥ずかしくて死にそうなのに気持ちいい…私のカラダどうなっちゃうの…？過保護な父に大事に育てられた箱入り娘の杉下寧々。父からの過干渉に耐えられずついに家を飛び出した寧々を拾ってくれたのは、こっそり憧れていた「訳アリ」なお兄さんで…!危ない彼とのラブ＆スリリングな同棲性活第一話!</v>
      </c>
      <c r="W1941" s="14"/>
      <c r="X1941" s="14" t="str">
        <f>IFERROR(__xludf.DUMMYFUNCTION("""COMPUTED_VALUE"""),"有")</f>
        <v>有</v>
      </c>
      <c r="Y1941" s="8" t="str">
        <f>IFERROR(__xludf.DUMMYFUNCTION("""COMPUTED_VALUE"""),"2024/10/3まで1巻無料")</f>
        <v>2024/10/3まで1巻無料</v>
      </c>
      <c r="Z1941" s="7"/>
      <c r="AA1941" s="7"/>
      <c r="AB1941" s="7"/>
    </row>
    <row r="1942" ht="15.75" customHeight="1">
      <c r="A1942" s="66">
        <f>IFERROR(__xludf.DUMMYFUNCTION("""COMPUTED_VALUE"""),3924.0)</f>
        <v>3924</v>
      </c>
      <c r="B1942" s="67" t="str">
        <f>IFERROR(__xludf.DUMMYFUNCTION("""COMPUTED_VALUE"""),"確定")</f>
        <v>確定</v>
      </c>
      <c r="C1942" s="68">
        <f>IFERROR(__xludf.DUMMYFUNCTION("""COMPUTED_VALUE"""),45509.0)</f>
        <v>45509</v>
      </c>
      <c r="D1942" s="68">
        <f>IFERROR(__xludf.DUMMYFUNCTION("""COMPUTED_VALUE"""),45510.0)</f>
        <v>45510</v>
      </c>
      <c r="E1942" s="26">
        <f>IFERROR(__xludf.DUMMYFUNCTION("""COMPUTED_VALUE"""),294815.0)</f>
        <v>294815</v>
      </c>
      <c r="F1942" s="22" t="str">
        <f>IFERROR(__xludf.DUMMYFUNCTION("""COMPUTED_VALUE"""),"サトラレαの好きがダダ漏れ")</f>
        <v>サトラレαの好きがダダ漏れ</v>
      </c>
      <c r="G1942" s="69">
        <f>IFERROR(__xludf.DUMMYFUNCTION("""COMPUTED_VALUE"""),1.0)</f>
        <v>1</v>
      </c>
      <c r="H1942" s="67" t="str">
        <f>IFERROR(__xludf.DUMMYFUNCTION("""COMPUTED_VALUE"""),"ヤマヲミ")</f>
        <v>ヤマヲミ</v>
      </c>
      <c r="I1942" s="75" t="str">
        <f>IFERROR(__xludf.DUMMYFUNCTION("""COMPUTED_VALUE"""),"BL")</f>
        <v>BL</v>
      </c>
      <c r="J1942" s="67"/>
      <c r="K1942" s="67"/>
      <c r="L1942" s="67" t="str">
        <f>IFERROR(__xludf.DUMMYFUNCTION("""COMPUTED_VALUE"""),"ソルマーレ編集部")</f>
        <v>ソルマーレ編集部</v>
      </c>
      <c r="M1942" s="59">
        <f>IFERROR(__xludf.DUMMYFUNCTION("""COMPUTED_VALUE"""),45536.0)</f>
        <v>45536</v>
      </c>
      <c r="N1942" s="59">
        <f>IFERROR(__xludf.DUMMYFUNCTION("""COMPUTED_VALUE"""),45722.0)</f>
        <v>45722</v>
      </c>
      <c r="O1942" s="67"/>
      <c r="P1942" s="70" t="str">
        <f>IFERROR(__xludf.DUMMYFUNCTION("""COMPUTED_VALUE"""),"可")</f>
        <v>可</v>
      </c>
      <c r="Q1942" s="72" t="str">
        <f>IFERROR(__xludf.DUMMYFUNCTION("""COMPUTED_VALUE"""),"※Ficus5th作品です、先行期間6カ月になります！&lt;BR&gt;")</f>
        <v>※Ficus5th作品です、先行期間6カ月になります！&lt;BR&gt;</v>
      </c>
      <c r="R1942" s="67"/>
      <c r="S1942" s="67" t="str">
        <f>IFERROR(__xludf.DUMMYFUNCTION("""COMPUTED_VALUE"""),"20240901_ソルマーレ編集部_サトラレαの好きがダダ漏れ")</f>
        <v>20240901_ソルマーレ編集部_サトラレαの好きがダダ漏れ</v>
      </c>
      <c r="T1942" s="67" t="str">
        <f>IFERROR(__xludf.DUMMYFUNCTION("""COMPUTED_VALUE"""),"格納済み")</f>
        <v>格納済み</v>
      </c>
      <c r="U1942" s="15" t="str">
        <f>IFERROR(__xludf.DUMMYFUNCTION("""COMPUTED_VALUE"""),"Ⓒ ヤマヲミ/シーモアコミックス")</f>
        <v>Ⓒ ヤマヲミ/シーモアコミックス</v>
      </c>
      <c r="V1942" s="8" t="str">
        <f>IFERROR(__xludf.DUMMYFUNCTION("""COMPUTED_VALUE"""),"大学で出会った同期生の久世栄太は眉目秀麗で頭脳明晰、どこぞの大企業御曹司で絵に描いたようなα様だった。でもΩのことが大嫌いでフェロモンを感じなくする手術までしているらしい。無愛想で口が悪くて、第一印象は最悪。なのにそんなα様が俺を「かわいい、ほしい」って頭の中に直接語りかけてきて…、本人は気づいていないみたいだけど、サトラレ!? 俺、お前が大嫌いなΩなんだけど、そんな風に求められたら――！ 【フィカス】")</f>
        <v>大学で出会った同期生の久世栄太は眉目秀麗で頭脳明晰、どこぞの大企業御曹司で絵に描いたようなα様だった。でもΩのことが大嫌いでフェロモンを感じなくする手術までしているらしい。無愛想で口が悪くて、第一印象は最悪。なのにそんなα様が俺を「かわいい、ほしい」って頭の中に直接語りかけてきて…、本人は気づいていないみたいだけど、サトラレ!? 俺、お前が大嫌いなΩなんだけど、そんな風に求められたら――！ 【フィカス】</v>
      </c>
      <c r="W1942" s="14"/>
      <c r="X1942" s="14" t="str">
        <f>IFERROR(__xludf.DUMMYFUNCTION("""COMPUTED_VALUE"""),"有")</f>
        <v>有</v>
      </c>
      <c r="Y1942" s="8" t="str">
        <f>IFERROR(__xludf.DUMMYFUNCTION("""COMPUTED_VALUE"""),"2025/3/7まで立ち読み増量P25まで")</f>
        <v>2025/3/7まで立ち読み増量P25まで</v>
      </c>
      <c r="Z1942" s="7"/>
      <c r="AA1942" s="7"/>
      <c r="AB1942" s="7"/>
    </row>
    <row r="1943" ht="15.75" customHeight="1">
      <c r="A1943" s="66">
        <f>IFERROR(__xludf.DUMMYFUNCTION("""COMPUTED_VALUE"""),3925.0)</f>
        <v>3925</v>
      </c>
      <c r="B1943" s="67" t="str">
        <f>IFERROR(__xludf.DUMMYFUNCTION("""COMPUTED_VALUE"""),"確定")</f>
        <v>確定</v>
      </c>
      <c r="C1943" s="68">
        <f>IFERROR(__xludf.DUMMYFUNCTION("""COMPUTED_VALUE"""),45509.0)</f>
        <v>45509</v>
      </c>
      <c r="D1943" s="68">
        <f>IFERROR(__xludf.DUMMYFUNCTION("""COMPUTED_VALUE"""),45510.0)</f>
        <v>45510</v>
      </c>
      <c r="E1943" s="26">
        <f>IFERROR(__xludf.DUMMYFUNCTION("""COMPUTED_VALUE"""),295741.0)</f>
        <v>295741</v>
      </c>
      <c r="F1943" s="22" t="str">
        <f>IFERROR(__xludf.DUMMYFUNCTION("""COMPUTED_VALUE"""),"クラブ・ド・カルマの密約")</f>
        <v>クラブ・ド・カルマの密約</v>
      </c>
      <c r="G1943" s="69">
        <f>IFERROR(__xludf.DUMMYFUNCTION("""COMPUTED_VALUE"""),1.0)</f>
        <v>1</v>
      </c>
      <c r="H1943" s="67" t="str">
        <f>IFERROR(__xludf.DUMMYFUNCTION("""COMPUTED_VALUE"""),"ウノハナ")</f>
        <v>ウノハナ</v>
      </c>
      <c r="I1943" s="75" t="str">
        <f>IFERROR(__xludf.DUMMYFUNCTION("""COMPUTED_VALUE"""),"BL")</f>
        <v>BL</v>
      </c>
      <c r="J1943" s="67"/>
      <c r="K1943" s="67"/>
      <c r="L1943" s="67" t="str">
        <f>IFERROR(__xludf.DUMMYFUNCTION("""COMPUTED_VALUE"""),"ソルマーレ編集部")</f>
        <v>ソルマーレ編集部</v>
      </c>
      <c r="M1943" s="59">
        <f>IFERROR(__xludf.DUMMYFUNCTION("""COMPUTED_VALUE"""),45536.0)</f>
        <v>45536</v>
      </c>
      <c r="N1943" s="59">
        <f>IFERROR(__xludf.DUMMYFUNCTION("""COMPUTED_VALUE"""),45722.0)</f>
        <v>45722</v>
      </c>
      <c r="O1943" s="67"/>
      <c r="P1943" s="70" t="str">
        <f>IFERROR(__xludf.DUMMYFUNCTION("""COMPUTED_VALUE"""),"可")</f>
        <v>可</v>
      </c>
      <c r="Q1943" s="72" t="str">
        <f>IFERROR(__xludf.DUMMYFUNCTION("""COMPUTED_VALUE"""),"※Ficus5th作品です、先行期間6カ月になります！&lt;BR&gt;")</f>
        <v>※Ficus5th作品です、先行期間6カ月になります！&lt;BR&gt;</v>
      </c>
      <c r="R1943" s="67"/>
      <c r="S1943" s="67" t="str">
        <f>IFERROR(__xludf.DUMMYFUNCTION("""COMPUTED_VALUE"""),"20240901_ソルマーレ編集部_クラブ・ド・カルマの密約")</f>
        <v>20240901_ソルマーレ編集部_クラブ・ド・カルマの密約</v>
      </c>
      <c r="T1943" s="67" t="str">
        <f>IFERROR(__xludf.DUMMYFUNCTION("""COMPUTED_VALUE"""),"格納済み")</f>
        <v>格納済み</v>
      </c>
      <c r="U1943" s="15" t="str">
        <f>IFERROR(__xludf.DUMMYFUNCTION("""COMPUTED_VALUE"""),"Ⓒ ウノハナ/シーモアコミックス")</f>
        <v>Ⓒ ウノハナ/シーモアコミックス</v>
      </c>
      <c r="V1943" s="8" t="str">
        <f>IFERROR(__xludf.DUMMYFUNCTION("""COMPUTED_VALUE"""),"上位階級層にのし上がりたいと野心を燃やすリュウは、選ばれしエリートセレブたちだけが入会できる高級クラブにアシスタントとして採用される。ここを足がかりに、いつかは自分も支配者側の人間に、と意気込むリュウは、ドリンク給仕中にクラブ会員の顔とも呼べるカリスマ的存在のカイヤナイトに出会う。彼にグラスを差し出した手を触れられた瞬間、何かが身体の中を走った――強い野心すら灰燼に帰するほどの抗いがたい何か、むしろ支配されたいとすら感じる……そんなわけない！そんなわけない！必死に否定するリュウだが――。屈辱と快感が入り乱"&amp;"れる、スーパーDom様×Domになりたかった男のDom/Subユニバース。 【フィカス】")</f>
        <v>上位階級層にのし上がりたいと野心を燃やすリュウは、選ばれしエリートセレブたちだけが入会できる高級クラブにアシスタントとして採用される。ここを足がかりに、いつかは自分も支配者側の人間に、と意気込むリュウは、ドリンク給仕中にクラブ会員の顔とも呼べるカリスマ的存在のカイヤナイトに出会う。彼にグラスを差し出した手を触れられた瞬間、何かが身体の中を走った――強い野心すら灰燼に帰するほどの抗いがたい何か、むしろ支配されたいとすら感じる……そんなわけない！そんなわけない！必死に否定するリュウだが――。屈辱と快感が入り乱れる、スーパーDom様×Domになりたかった男のDom/Subユニバース。 【フィカス】</v>
      </c>
      <c r="W1943" s="14"/>
      <c r="X1943" s="14" t="str">
        <f>IFERROR(__xludf.DUMMYFUNCTION("""COMPUTED_VALUE"""),"有")</f>
        <v>有</v>
      </c>
      <c r="Y1943" s="8" t="str">
        <f>IFERROR(__xludf.DUMMYFUNCTION("""COMPUTED_VALUE"""),"2025/3/7まで立ち読み増量P29まで")</f>
        <v>2025/3/7まで立ち読み増量P29まで</v>
      </c>
      <c r="Z1943" s="7"/>
      <c r="AA1943" s="7"/>
      <c r="AB1943" s="7"/>
    </row>
    <row r="1944" ht="15.75" customHeight="1">
      <c r="A1944" s="66">
        <f>IFERROR(__xludf.DUMMYFUNCTION("""COMPUTED_VALUE"""),3930.0)</f>
        <v>3930</v>
      </c>
      <c r="B1944" s="67" t="str">
        <f>IFERROR(__xludf.DUMMYFUNCTION("""COMPUTED_VALUE"""),"確定")</f>
        <v>確定</v>
      </c>
      <c r="C1944" s="68">
        <f>IFERROR(__xludf.DUMMYFUNCTION("""COMPUTED_VALUE"""),45510.0)</f>
        <v>45510</v>
      </c>
      <c r="D1944" s="68">
        <f>IFERROR(__xludf.DUMMYFUNCTION("""COMPUTED_VALUE"""),45510.0)</f>
        <v>45510</v>
      </c>
      <c r="E1944" s="31">
        <f>IFERROR(__xludf.DUMMYFUNCTION("""COMPUTED_VALUE"""),300245.0)</f>
        <v>300245</v>
      </c>
      <c r="F1944" s="22" t="str">
        <f>IFERROR(__xludf.DUMMYFUNCTION("""COMPUTED_VALUE"""),"仕えたお嬢様がお坊ちゃまになった")</f>
        <v>仕えたお嬢様がお坊ちゃまになった</v>
      </c>
      <c r="G1944" s="79" t="str">
        <f>IFERROR(__xludf.DUMMYFUNCTION("""COMPUTED_VALUE"""),"1～14")</f>
        <v>1～14</v>
      </c>
      <c r="H1944" s="67" t="str">
        <f>IFERROR(__xludf.DUMMYFUNCTION("""COMPUTED_VALUE"""),"sigma┴TabbysStar")</f>
        <v>sigma┴TabbysStar</v>
      </c>
      <c r="I1944" s="67" t="str">
        <f>IFERROR(__xludf.DUMMYFUNCTION("""COMPUTED_VALUE"""),"少女")</f>
        <v>少女</v>
      </c>
      <c r="J1944" s="67"/>
      <c r="K1944" s="67"/>
      <c r="L1944" s="67" t="str">
        <f>IFERROR(__xludf.DUMMYFUNCTION("""COMPUTED_VALUE"""),"SBCr")</f>
        <v>SBCr</v>
      </c>
      <c r="M1944" s="59">
        <f>IFERROR(__xludf.DUMMYFUNCTION("""COMPUTED_VALUE"""),45528.0)</f>
        <v>45528</v>
      </c>
      <c r="N1944" s="47">
        <f>IFERROR(__xludf.DUMMYFUNCTION("""COMPUTED_VALUE"""),45590.0)</f>
        <v>45590</v>
      </c>
      <c r="O1944" s="67"/>
      <c r="P1944" s="70" t="str">
        <f>IFERROR(__xludf.DUMMYFUNCTION("""COMPUTED_VALUE"""),"可")</f>
        <v>可</v>
      </c>
      <c r="Q1944" s="72" t="str">
        <f>IFERROR(__xludf.DUMMYFUNCTION("""COMPUTED_VALUE"""),"外部出稿可能な場合、先行期間２か月となります。")</f>
        <v>外部出稿可能な場合、先行期間２か月となります。</v>
      </c>
      <c r="R1944" s="67"/>
      <c r="S1944" s="67" t="str">
        <f>IFERROR(__xludf.DUMMYFUNCTION("""COMPUTED_VALUE"""),"20240805_SBCr_仕えたお嬢様がお坊ちゃまになった")</f>
        <v>20240805_SBCr_仕えたお嬢様がお坊ちゃまになった</v>
      </c>
      <c r="T1944" s="67" t="str">
        <f>IFERROR(__xludf.DUMMYFUNCTION("""COMPUTED_VALUE"""),"格納済み")</f>
        <v>格納済み</v>
      </c>
      <c r="U1944" s="15" t="str">
        <f>IFERROR(__xludf.DUMMYFUNCTION("""COMPUTED_VALUE"""),"©sigma・TabbysStar/GOLEM FACTORY")</f>
        <v>©sigma・TabbysStar/GOLEM FACTORY</v>
      </c>
      <c r="V1944" s="8" t="str">
        <f>IFERROR(__xludf.DUMMYFUNCTION("""COMPUTED_VALUE"""),"連載中止になった小説の脇役に転生して、侍女として仕えていたお嬢様が、ある日お坊ちゃまになってやってきた。「約束を守りに来た、ブレア。俺と生涯を共にすると誓っただろう」「まさか…お嬢様？」「これからはお坊ちゃまだ…いや」“お坊ちゃま”が微笑む。「クロードと呼べ」原作通りなら“お嬢様”のクロエは男たちに囲まれてスカッと系大逆転劇を見せてくれるはずだった。でも…ヒロインが実は男でした、だったらどうなっちゃうの!?")</f>
        <v>連載中止になった小説の脇役に転生して、侍女として仕えていたお嬢様が、ある日お坊ちゃまになってやってきた。「約束を守りに来た、ブレア。俺と生涯を共にすると誓っただろう」「まさか…お嬢様？」「これからはお坊ちゃまだ…いや」“お坊ちゃま”が微笑む。「クロードと呼べ」原作通りなら“お嬢様”のクロエは男たちに囲まれてスカッと系大逆転劇を見せてくれるはずだった。でも…ヒロインが実は男でした、だったらどうなっちゃうの!?</v>
      </c>
      <c r="W1944" s="14"/>
      <c r="X1944" s="14" t="str">
        <f>IFERROR(__xludf.DUMMYFUNCTION("""COMPUTED_VALUE"""),"有")</f>
        <v>有</v>
      </c>
      <c r="Y1944" s="8" t="str">
        <f>IFERROR(__xludf.DUMMYFUNCTION("""COMPUTED_VALUE"""),"2024/9/16まで1巻無料")</f>
        <v>2024/9/16まで1巻無料</v>
      </c>
      <c r="Z1944" s="7"/>
      <c r="AA1944" s="7"/>
      <c r="AB1944" s="7"/>
    </row>
    <row r="1945" ht="15.75" customHeight="1">
      <c r="A1945" s="66">
        <f>IFERROR(__xludf.DUMMYFUNCTION("""COMPUTED_VALUE"""),3931.0)</f>
        <v>3931</v>
      </c>
      <c r="B1945" s="67" t="str">
        <f>IFERROR(__xludf.DUMMYFUNCTION("""COMPUTED_VALUE"""),"確定")</f>
        <v>確定</v>
      </c>
      <c r="C1945" s="68">
        <f>IFERROR(__xludf.DUMMYFUNCTION("""COMPUTED_VALUE"""),45510.0)</f>
        <v>45510</v>
      </c>
      <c r="D1945" s="68">
        <f>IFERROR(__xludf.DUMMYFUNCTION("""COMPUTED_VALUE"""),45510.0)</f>
        <v>45510</v>
      </c>
      <c r="E1945" s="31">
        <f>IFERROR(__xludf.DUMMYFUNCTION("""COMPUTED_VALUE"""),300702.0)</f>
        <v>300702</v>
      </c>
      <c r="F1945" s="22" t="str">
        <f>IFERROR(__xludf.DUMMYFUNCTION("""COMPUTED_VALUE"""),"ドカ食いダイスキ！もちづきさん")</f>
        <v>ドカ食いダイスキ！もちづきさん</v>
      </c>
      <c r="G1945" s="69" t="str">
        <f>IFERROR(__xludf.DUMMYFUNCTION("""COMPUTED_VALUE"""),"1～5")</f>
        <v>1～5</v>
      </c>
      <c r="H1945" s="67" t="str">
        <f>IFERROR(__xludf.DUMMYFUNCTION("""COMPUTED_VALUE"""),"まるよのかもめ")</f>
        <v>まるよのかもめ</v>
      </c>
      <c r="I1945" s="67" t="str">
        <f>IFERROR(__xludf.DUMMYFUNCTION("""COMPUTED_VALUE"""),"青年")</f>
        <v>青年</v>
      </c>
      <c r="J1945" s="67"/>
      <c r="K1945" s="67"/>
      <c r="L1945" s="67" t="str">
        <f>IFERROR(__xludf.DUMMYFUNCTION("""COMPUTED_VALUE"""),"白泉社")</f>
        <v>白泉社</v>
      </c>
      <c r="M1945" s="59">
        <f>IFERROR(__xludf.DUMMYFUNCTION("""COMPUTED_VALUE"""),45533.0)</f>
        <v>45533</v>
      </c>
      <c r="N1945" s="85">
        <f>IFERROR(__xludf.DUMMYFUNCTION("""COMPUTED_VALUE"""),45593.0)</f>
        <v>45593</v>
      </c>
      <c r="O1945" s="67"/>
      <c r="P1945" s="70" t="str">
        <f>IFERROR(__xludf.DUMMYFUNCTION("""COMPUTED_VALUE"""),"可")</f>
        <v>可</v>
      </c>
      <c r="Q1945" s="72" t="str">
        <f>IFERROR(__xludf.DUMMYFUNCTION("""COMPUTED_VALUE"""),"河上さん事前コミット済みです。&lt;BR&gt;4～5巻の素材ももらい次第格納します。")</f>
        <v>河上さん事前コミット済みです。&lt;BR&gt;4～5巻の素材ももらい次第格納します。</v>
      </c>
      <c r="R1945" s="67"/>
      <c r="S1945" s="67" t="str">
        <f>IFERROR(__xludf.DUMMYFUNCTION("""COMPUTED_VALUE"""),"20240806_白泉社_ドカ食いダイスキ！もちづきさん")</f>
        <v>20240806_白泉社_ドカ食いダイスキ！もちづきさん</v>
      </c>
      <c r="T1945" s="67" t="str">
        <f>IFERROR(__xludf.DUMMYFUNCTION("""COMPUTED_VALUE"""),"格納済み")</f>
        <v>格納済み</v>
      </c>
      <c r="U1945" s="15" t="str">
        <f>IFERROR(__xludf.DUMMYFUNCTION("""COMPUTED_VALUE"""),"©まるよのかもめ／白泉社")</f>
        <v>©まるよのかもめ／白泉社</v>
      </c>
      <c r="V1945" s="8" t="str">
        <f>IFERROR(__xludf.DUMMYFUNCTION("""COMPUTED_VALUE"""),"【X（Twitter）日本トレンド１位のやばいマンガ！！！！】望月美琴、21歳・営業事務！ おっとり・ほんわかな彼女の幸せは……《ドカ食い》!?!? ガッツリ・こってり・山盛りの食べ物をひたすらに食す♪ カロリーのオーバードーズで”至る”、限界突破の禁断グルメギャグ★(この話は、【電子版】ヤングアニマルZERO6/1増刊号(2024年）に収録されています。)")</f>
        <v>【X（Twitter）日本トレンド１位のやばいマンガ！！！！】望月美琴、21歳・営業事務！ おっとり・ほんわかな彼女の幸せは……《ドカ食い》!?!? ガッツリ・こってり・山盛りの食べ物をひたすらに食す♪ カロリーのオーバードーズで”至る”、限界突破の禁断グルメギャグ★(この話は、【電子版】ヤングアニマルZERO6/1増刊号(2024年）に収録されています。)</v>
      </c>
      <c r="W1945" s="14"/>
      <c r="X1945" s="14" t="str">
        <f>IFERROR(__xludf.DUMMYFUNCTION("""COMPUTED_VALUE"""),"有")</f>
        <v>有</v>
      </c>
      <c r="Y1945" s="8" t="str">
        <f>IFERROR(__xludf.DUMMYFUNCTION("""COMPUTED_VALUE"""),"2024/11/11まで1～2巻無料")</f>
        <v>2024/11/11まで1～2巻無料</v>
      </c>
      <c r="Z1945" s="7"/>
      <c r="AA1945" s="7"/>
      <c r="AB1945" s="7"/>
    </row>
    <row r="1946" ht="15.75" customHeight="1">
      <c r="A1946" s="66">
        <f>IFERROR(__xludf.DUMMYFUNCTION("""COMPUTED_VALUE"""),3932.0)</f>
        <v>3932</v>
      </c>
      <c r="B1946" s="67" t="str">
        <f>IFERROR(__xludf.DUMMYFUNCTION("""COMPUTED_VALUE"""),"確定")</f>
        <v>確定</v>
      </c>
      <c r="C1946" s="68">
        <f>IFERROR(__xludf.DUMMYFUNCTION("""COMPUTED_VALUE"""),45510.0)</f>
        <v>45510</v>
      </c>
      <c r="D1946" s="68">
        <f>IFERROR(__xludf.DUMMYFUNCTION("""COMPUTED_VALUE"""),45511.0)</f>
        <v>45511</v>
      </c>
      <c r="E1946" s="31">
        <f>IFERROR(__xludf.DUMMYFUNCTION("""COMPUTED_VALUE"""),300535.0)</f>
        <v>300535</v>
      </c>
      <c r="F1946" s="22" t="str">
        <f>IFERROR(__xludf.DUMMYFUNCTION("""COMPUTED_VALUE"""),"非攻略対象のハイスペ公主様が確実に外堀を埋めてきて逃げられそうにありません")</f>
        <v>非攻略対象のハイスペ公主様が確実に外堀を埋めてきて逃げられそうにありません</v>
      </c>
      <c r="G1946" s="69" t="str">
        <f>IFERROR(__xludf.DUMMYFUNCTION("""COMPUTED_VALUE"""),"1～5")</f>
        <v>1～5</v>
      </c>
      <c r="H1946" s="67" t="str">
        <f>IFERROR(__xludf.DUMMYFUNCTION("""COMPUTED_VALUE"""),"速水ゆかこ/三井寺真定")</f>
        <v>速水ゆかこ/三井寺真定</v>
      </c>
      <c r="I1946" s="78" t="str">
        <f>IFERROR(__xludf.DUMMYFUNCTION("""COMPUTED_VALUE"""),"少女")</f>
        <v>少女</v>
      </c>
      <c r="J1946" s="67"/>
      <c r="K1946" s="67"/>
      <c r="L1946" s="67" t="str">
        <f>IFERROR(__xludf.DUMMYFUNCTION("""COMPUTED_VALUE"""),"ライドオン")</f>
        <v>ライドオン</v>
      </c>
      <c r="M1946" s="59">
        <f>IFERROR(__xludf.DUMMYFUNCTION("""COMPUTED_VALUE"""),45541.0)</f>
        <v>45541</v>
      </c>
      <c r="N1946" s="59">
        <f>IFERROR(__xludf.DUMMYFUNCTION("""COMPUTED_VALUE"""),45721.0)</f>
        <v>45721</v>
      </c>
      <c r="O1946" s="67"/>
      <c r="P1946" s="70" t="str">
        <f>IFERROR(__xludf.DUMMYFUNCTION("""COMPUTED_VALUE"""),"可")</f>
        <v>可</v>
      </c>
      <c r="Q1946" s="72" t="str">
        <f>IFERROR(__xludf.DUMMYFUNCTION("""COMPUTED_VALUE"""),"協業レーベル『シーモア×アラモード』作品です。")</f>
        <v>協業レーベル『シーモア×アラモード』作品です。</v>
      </c>
      <c r="R1946" s="67"/>
      <c r="S1946" s="67" t="str">
        <f>IFERROR(__xludf.DUMMYFUNCTION("""COMPUTED_VALUE"""),"20240806_ライドオン_非攻略対象のハイスペ公主様")</f>
        <v>20240806_ライドオン_非攻略対象のハイスペ公主様</v>
      </c>
      <c r="T1946" s="67" t="str">
        <f>IFERROR(__xludf.DUMMYFUNCTION("""COMPUTED_VALUE"""),"格納済み")</f>
        <v>格納済み</v>
      </c>
      <c r="U1946" s="15" t="str">
        <f>IFERROR(__xludf.DUMMYFUNCTION("""COMPUTED_VALUE"""),"(C)速水ゆかこ/三井寺真定/ライドオン")</f>
        <v>(C)速水ゆかこ/三井寺真定/ライドオン</v>
      </c>
      <c r="V1946" s="8" t="str">
        <f>IFERROR(__xludf.DUMMYFUNCTION("""COMPUTED_VALUE"""),"「わたくし」を断罪したはずの攻略対象たちが、今世では子どもになっていた!?
しかも転生前の「私」の最推しキャラが、なぜか溺愛してきて…!?
――公爵令嬢カトレイアは、濡れ衣を着せられ、隣国の王太子アトリス・その乳兄弟ライナードの手で断罪されてしまう。
命を落とす間際にカトレイアは思い出す。ここが「乙女ゲーム」の中の世界であること、そして前世で自分がそのゲームをプレイしていたことを。
絶命とともに時間は巻き戻り、ゲームの中で二度目の人生を生きることになったカトレイアは、ある日、前世での推しキャラだっ"&amp;"たジークレイに呼び出されるが…？
転生悪役令嬢が（いろんな）愛の力で断罪を回避すべく奮闘する異世界ファンタジー！")</f>
        <v>「わたくし」を断罪したはずの攻略対象たちが、今世では子どもになっていた!?
しかも転生前の「私」の最推しキャラが、なぜか溺愛してきて…!?
――公爵令嬢カトレイアは、濡れ衣を着せられ、隣国の王太子アトリス・その乳兄弟ライナードの手で断罪されてしまう。
命を落とす間際にカトレイアは思い出す。ここが「乙女ゲーム」の中の世界であること、そして前世で自分がそのゲームをプレイしていたことを。
絶命とともに時間は巻き戻り、ゲームの中で二度目の人生を生きることになったカトレイアは、ある日、前世での推しキャラだったジークレイに呼び出されるが…？
転生悪役令嬢が（いろんな）愛の力で断罪を回避すべく奮闘する異世界ファンタジー！</v>
      </c>
      <c r="W1946" s="14"/>
      <c r="X1946" s="14" t="str">
        <f>IFERROR(__xludf.DUMMYFUNCTION("""COMPUTED_VALUE"""),"有")</f>
        <v>有</v>
      </c>
      <c r="Y1946" s="8" t="str">
        <f>IFERROR(__xludf.DUMMYFUNCTION("""COMPUTED_VALUE"""),"P15まで")</f>
        <v>P15まで</v>
      </c>
      <c r="Z1946" s="7"/>
      <c r="AA1946" s="7"/>
      <c r="AB1946" s="7"/>
    </row>
    <row r="1947" ht="15.75" customHeight="1">
      <c r="A1947" s="66">
        <f>IFERROR(__xludf.DUMMYFUNCTION("""COMPUTED_VALUE"""),3933.0)</f>
        <v>3933</v>
      </c>
      <c r="B1947" s="67" t="str">
        <f>IFERROR(__xludf.DUMMYFUNCTION("""COMPUTED_VALUE"""),"確定")</f>
        <v>確定</v>
      </c>
      <c r="C1947" s="68">
        <f>IFERROR(__xludf.DUMMYFUNCTION("""COMPUTED_VALUE"""),45510.0)</f>
        <v>45510</v>
      </c>
      <c r="D1947" s="68">
        <f>IFERROR(__xludf.DUMMYFUNCTION("""COMPUTED_VALUE"""),45511.0)</f>
        <v>45511</v>
      </c>
      <c r="E1947" s="31">
        <f>IFERROR(__xludf.DUMMYFUNCTION("""COMPUTED_VALUE"""),300483.0)</f>
        <v>300483</v>
      </c>
      <c r="F1947" s="46" t="str">
        <f>IFERROR(__xludf.DUMMYFUNCTION("""COMPUTED_VALUE"""),"ヒモクズ花くんは死にたがり プチデザ")</f>
        <v>ヒモクズ花くんは死にたがり プチデザ</v>
      </c>
      <c r="G1947" s="69" t="str">
        <f>IFERROR(__xludf.DUMMYFUNCTION("""COMPUTED_VALUE"""),"1～4")</f>
        <v>1～4</v>
      </c>
      <c r="H1947" s="67" t="str">
        <f>IFERROR(__xludf.DUMMYFUNCTION("""COMPUTED_VALUE"""),"あめこ")</f>
        <v>あめこ</v>
      </c>
      <c r="I1947" s="78" t="str">
        <f>IFERROR(__xludf.DUMMYFUNCTION("""COMPUTED_VALUE"""),"少女")</f>
        <v>少女</v>
      </c>
      <c r="J1947" s="67"/>
      <c r="K1947" s="67"/>
      <c r="L1947" s="67" t="str">
        <f>IFERROR(__xludf.DUMMYFUNCTION("""COMPUTED_VALUE"""),"講談社")</f>
        <v>講談社</v>
      </c>
      <c r="M1947" s="59">
        <f>IFERROR(__xludf.DUMMYFUNCTION("""COMPUTED_VALUE"""),45529.0)</f>
        <v>45529</v>
      </c>
      <c r="N1947" s="85">
        <f>IFERROR(__xludf.DUMMYFUNCTION("""COMPUTED_VALUE"""),45589.0)</f>
        <v>45589</v>
      </c>
      <c r="O1947" s="67"/>
      <c r="P1947" s="70" t="str">
        <f>IFERROR(__xludf.DUMMYFUNCTION("""COMPUTED_VALUE"""),"否")</f>
        <v>否</v>
      </c>
      <c r="Q1947" s="72" t="str">
        <f>IFERROR(__xludf.DUMMYFUNCTION("""COMPUTED_VALUE"""),"事前に河上さんにコミットいただいていた作品です。登録が遅くなり申し訳ありませんがご対応よろしくお願いします。&lt;BR&gt;配信日に間に合わなくても出稿進めていただけますと幸いです。")</f>
        <v>事前に河上さんにコミットいただいていた作品です。登録が遅くなり申し訳ありませんがご対応よろしくお願いします。&lt;BR&gt;配信日に間に合わなくても出稿進めていただけますと幸いです。</v>
      </c>
      <c r="R1947" s="67"/>
      <c r="S1947" s="67" t="str">
        <f>IFERROR(__xludf.DUMMYFUNCTION("""COMPUTED_VALUE"""),"20240825_講談社_ヒモクズ花くんは死にたがり 分冊版")</f>
        <v>20240825_講談社_ヒモクズ花くんは死にたがり 分冊版</v>
      </c>
      <c r="T1947" s="67" t="str">
        <f>IFERROR(__xludf.DUMMYFUNCTION("""COMPUTED_VALUE"""),"格納済み")</f>
        <v>格納済み</v>
      </c>
      <c r="U1947" s="15" t="str">
        <f>IFERROR(__xludf.DUMMYFUNCTION("""COMPUTED_VALUE"""),"©あめこ/講談社")</f>
        <v>©あめこ/講談社</v>
      </c>
      <c r="V1947" s="8" t="str">
        <f>IFERROR(__xludf.DUMMYFUNCTION("""COMPUTED_VALUE"""),"「俺が一緒に死んであげる。約束」
毎日仕事に疲れ切っている社会人2年目の吉野 楓。
人生最悪のある日、泥酔した楓が月の綺麗な夜に拾ったのは、黒くてふわふわで、あったかい……黒猫みたいな男子だった！？
帰る家がないという「花くん」 と期間限定で暮らすことになり、誰かと一緒に生きることのあたたかさを知っていく楓。
そんな中、とある出来事をきっかけに想像もつかない「本当の」花くんを知ることになって…！？
愛の重いクズ男子×情の深い社畜女子、劇薬みたいな恋がはじまるーー！？
【第1話「花く"&amp;"んはヒモ猫である、名前はまだない」収録】")</f>
        <v>「俺が一緒に死んであげる。約束」
毎日仕事に疲れ切っている社会人2年目の吉野 楓。
人生最悪のある日、泥酔した楓が月の綺麗な夜に拾ったのは、黒くてふわふわで、あったかい……黒猫みたいな男子だった！？
帰る家がないという「花くん」 と期間限定で暮らすことになり、誰かと一緒に生きることのあたたかさを知っていく楓。
そんな中、とある出来事をきっかけに想像もつかない「本当の」花くんを知ることになって…！？
愛の重いクズ男子×情の深い社畜女子、劇薬みたいな恋がはじまるーー！？
【第1話「花くんはヒモ猫である、名前はまだない」収録】</v>
      </c>
      <c r="W1947" s="14"/>
      <c r="X1947" s="14" t="str">
        <f>IFERROR(__xludf.DUMMYFUNCTION("""COMPUTED_VALUE"""),"有")</f>
        <v>有</v>
      </c>
      <c r="Y1947" s="8" t="str">
        <f>IFERROR(__xludf.DUMMYFUNCTION("""COMPUTED_VALUE"""),"2024/10/24まで1巻無料")</f>
        <v>2024/10/24まで1巻無料</v>
      </c>
      <c r="Z1947" s="7"/>
      <c r="AA1947" s="7"/>
      <c r="AB1947" s="7"/>
    </row>
    <row r="1948" ht="15.75" customHeight="1">
      <c r="A1948" s="26">
        <f>IFERROR(__xludf.DUMMYFUNCTION("""COMPUTED_VALUE"""),3621.0)</f>
        <v>3621</v>
      </c>
      <c r="B1948" s="22" t="str">
        <f>IFERROR(__xludf.DUMMYFUNCTION("""COMPUTED_VALUE"""),"確定")</f>
        <v>確定</v>
      </c>
      <c r="C1948" s="28">
        <f>IFERROR(__xludf.DUMMYFUNCTION("""COMPUTED_VALUE"""),45454.0)</f>
        <v>45454</v>
      </c>
      <c r="D1948" s="28">
        <f>IFERROR(__xludf.DUMMYFUNCTION("""COMPUTED_VALUE"""),45512.0)</f>
        <v>45512</v>
      </c>
      <c r="E1948" s="26">
        <f>IFERROR(__xludf.DUMMYFUNCTION("""COMPUTED_VALUE"""),301531.0)</f>
        <v>301531</v>
      </c>
      <c r="F1948" s="22" t="str">
        <f>IFERROR(__xludf.DUMMYFUNCTION("""COMPUTED_VALUE"""),"愛してるなんてダサすぎる")</f>
        <v>愛してるなんてダサすぎる</v>
      </c>
      <c r="G1948" s="11" t="str">
        <f>IFERROR(__xludf.DUMMYFUNCTION("""COMPUTED_VALUE"""),"1～2")</f>
        <v>1～2</v>
      </c>
      <c r="H1948" s="22" t="str">
        <f>IFERROR(__xludf.DUMMYFUNCTION("""COMPUTED_VALUE"""),"鳴坂リン")</f>
        <v>鳴坂リン</v>
      </c>
      <c r="I1948" s="22" t="str">
        <f>IFERROR(__xludf.DUMMYFUNCTION("""COMPUTED_VALUE"""),"BL")</f>
        <v>BL</v>
      </c>
      <c r="J1948" s="22"/>
      <c r="K1948" s="22"/>
      <c r="L1948" s="22" t="str">
        <f>IFERROR(__xludf.DUMMYFUNCTION("""COMPUTED_VALUE"""),"CLLENN")</f>
        <v>CLLENN</v>
      </c>
      <c r="M1948" s="59">
        <f>IFERROR(__xludf.DUMMYFUNCTION("""COMPUTED_VALUE"""),45552.0)</f>
        <v>45552</v>
      </c>
      <c r="N1948" s="33">
        <f>IFERROR(__xludf.DUMMYFUNCTION("""COMPUTED_VALUE"""),45614.0)</f>
        <v>45614</v>
      </c>
      <c r="O1948" s="20"/>
      <c r="P1948" s="34" t="str">
        <f>IFERROR(__xludf.DUMMYFUNCTION("""COMPUTED_VALUE"""),"可")</f>
        <v>可</v>
      </c>
      <c r="Q1948" s="31" t="str">
        <f>IFERROR(__xludf.DUMMYFUNCTION("""COMPUTED_VALUE"""),"広告コミットOK(6/20)
レーベル名：MooiComics")</f>
        <v>広告コミットOK(6/20)
レーベル名：MooiComics</v>
      </c>
      <c r="R1948" s="22" t="str">
        <f>IFERROR(__xludf.DUMMYFUNCTION("""COMPUTED_VALUE"""),"格納済み")</f>
        <v>格納済み</v>
      </c>
      <c r="S1948" s="22" t="str">
        <f>IFERROR(__xludf.DUMMYFUNCTION("""COMPUTED_VALUE"""),"20240808_CLLENN_愛してるなんてダサすぎる")</f>
        <v>20240808_CLLENN_愛してるなんてダサすぎる</v>
      </c>
      <c r="T1948" s="22" t="str">
        <f>IFERROR(__xludf.DUMMYFUNCTION("""COMPUTED_VALUE"""),"格納済み")</f>
        <v>格納済み</v>
      </c>
      <c r="U1948" s="15" t="str">
        <f>IFERROR(__xludf.DUMMYFUNCTION("""COMPUTED_VALUE"""),"(C)鳴坂リン/CLLENN")</f>
        <v>(C)鳴坂リン/CLLENN</v>
      </c>
      <c r="V1948" s="8" t="str">
        <f>IFERROR(__xludf.DUMMYFUNCTION("""COMPUTED_VALUE"""),"『お前は黙ってオレに乗られてればいいんだ』――広報課の王子様こと椎葉＜しいば＞は、性欲解消ができればいい「恋愛しない主義」。同じ会社の後輩で「椎葉の番犬」と呼ばれている瀬良＜せら＞と、実は周囲には秘密のセフレ関係を継続していた。快適なセフレライフを満喫していたある日、セックス中に瀬良から「貴方のこと本気で好きになりました。俺と付き合ってください」と言われてしまう。恋愛感情ナシの約束だったのに、そんなの断固拒否！！…のはずが――――！？【クールで一途なSっ気後輩×素直になれない女王様な先輩】何回シたら、この"&amp;"関係が変化するのか…。カラダからはじまる純愛？なエロティック・オフィスラブ！！")</f>
        <v>『お前は黙ってオレに乗られてればいいんだ』――広報課の王子様こと椎葉＜しいば＞は、性欲解消ができればいい「恋愛しない主義」。同じ会社の後輩で「椎葉の番犬」と呼ばれている瀬良＜せら＞と、実は周囲には秘密のセフレ関係を継続していた。快適なセフレライフを満喫していたある日、セックス中に瀬良から「貴方のこと本気で好きになりました。俺と付き合ってください」と言われてしまう。恋愛感情ナシの約束だったのに、そんなの断固拒否！！…のはずが――――！？【クールで一途なSっ気後輩×素直になれない女王様な先輩】何回シたら、この関係が変化するのか…。カラダからはじまる純愛？なエロティック・オフィスラブ！！</v>
      </c>
      <c r="W1948" s="14"/>
      <c r="X1948" s="14" t="str">
        <f>IFERROR(__xludf.DUMMYFUNCTION("""COMPUTED_VALUE"""),"有")</f>
        <v>有</v>
      </c>
      <c r="Y1948" s="8" t="str">
        <f>IFERROR(__xludf.DUMMYFUNCTION("""COMPUTED_VALUE"""),"P10まで")</f>
        <v>P10まで</v>
      </c>
      <c r="Z1948" s="7"/>
      <c r="AA1948" s="7"/>
      <c r="AB1948" s="7"/>
    </row>
    <row r="1949" ht="15.75" customHeight="1">
      <c r="A1949" s="26">
        <f>IFERROR(__xludf.DUMMYFUNCTION("""COMPUTED_VALUE"""),3717.0)</f>
        <v>3717</v>
      </c>
      <c r="B1949" s="22" t="str">
        <f>IFERROR(__xludf.DUMMYFUNCTION("""COMPUTED_VALUE"""),"確定")</f>
        <v>確定</v>
      </c>
      <c r="C1949" s="28">
        <f>IFERROR(__xludf.DUMMYFUNCTION("""COMPUTED_VALUE"""),45470.0)</f>
        <v>45470</v>
      </c>
      <c r="D1949" s="28">
        <f>IFERROR(__xludf.DUMMYFUNCTION("""COMPUTED_VALUE"""),45512.0)</f>
        <v>45512</v>
      </c>
      <c r="E1949" s="26">
        <f>IFERROR(__xludf.DUMMYFUNCTION("""COMPUTED_VALUE"""),300758.0)</f>
        <v>300758</v>
      </c>
      <c r="F1949" s="22" t="str">
        <f>IFERROR(__xludf.DUMMYFUNCTION("""COMPUTED_VALUE"""),"素直になってよ杏ちゃん～年上彼女ちゃんは童貞ヘタレ彼氏くんをいじめたい～《Lovelicot》")</f>
        <v>素直になってよ杏ちゃん～年上彼女ちゃんは童貞ヘタレ彼氏くんをいじめたい～《Lovelicot》</v>
      </c>
      <c r="G1949" s="20">
        <f>IFERROR(__xludf.DUMMYFUNCTION("""COMPUTED_VALUE"""),1.0)</f>
        <v>1</v>
      </c>
      <c r="H1949" s="22" t="str">
        <f>IFERROR(__xludf.DUMMYFUNCTION("""COMPUTED_VALUE"""),"阿野弐丸")</f>
        <v>阿野弐丸</v>
      </c>
      <c r="I1949" s="22" t="str">
        <f>IFERROR(__xludf.DUMMYFUNCTION("""COMPUTED_VALUE"""),"TL")</f>
        <v>TL</v>
      </c>
      <c r="J1949" s="22"/>
      <c r="K1949" s="22"/>
      <c r="L1949" s="22" t="str">
        <f>IFERROR(__xludf.DUMMYFUNCTION("""COMPUTED_VALUE"""),"ガールスカウトコミックス")</f>
        <v>ガールスカウトコミックス</v>
      </c>
      <c r="M1949" s="59">
        <f>IFERROR(__xludf.DUMMYFUNCTION("""COMPUTED_VALUE"""),45555.0)</f>
        <v>45555</v>
      </c>
      <c r="N1949" s="33">
        <f>IFERROR(__xludf.DUMMYFUNCTION("""COMPUTED_VALUE"""),45645.0)</f>
        <v>45645</v>
      </c>
      <c r="O1949" s="20"/>
      <c r="P1949" s="34" t="str">
        <f>IFERROR(__xludf.DUMMYFUNCTION("""COMPUTED_VALUE"""),"可")</f>
        <v>可</v>
      </c>
      <c r="Q1949" s="31" t="str">
        <f>IFERROR(__xludf.DUMMYFUNCTION("""COMPUTED_VALUE"""),"広告コミットOK(7/11)&lt;BR&gt;レーベル名：Lovelicot")</f>
        <v>広告コミットOK(7/11)&lt;BR&gt;レーベル名：Lovelicot</v>
      </c>
      <c r="R1949" s="22" t="str">
        <f>IFERROR(__xludf.DUMMYFUNCTION("""COMPUTED_VALUE"""),"格納済み")</f>
        <v>格納済み</v>
      </c>
      <c r="S1949" s="22" t="str">
        <f>IFERROR(__xludf.DUMMYFUNCTION("""COMPUTED_VALUE"""),"20240808_ガールスカウトコミックス_素直になってよ杏ちゃん〜年上彼女ちゃんは童貞ヘタレ彼氏くんをいじめたい〜")</f>
        <v>20240808_ガールスカウトコミックス_素直になってよ杏ちゃん〜年上彼女ちゃんは童貞ヘタレ彼氏くんをいじめたい〜</v>
      </c>
      <c r="T1949" s="22" t="str">
        <f>IFERROR(__xludf.DUMMYFUNCTION("""COMPUTED_VALUE"""),"格納済み")</f>
        <v>格納済み</v>
      </c>
      <c r="U1949" s="15" t="str">
        <f>IFERROR(__xludf.DUMMYFUNCTION("""COMPUTED_VALUE"""),"（C）阿野弐丸／ガールスカウトコミックス")</f>
        <v>（C）阿野弐丸／ガールスカウトコミックス</v>
      </c>
      <c r="V1949" s="8" t="str">
        <f>IFERROR(__xludf.DUMMYFUNCTION("""COMPUTED_VALUE"""),"何度もデートはするが一向に一線を超えてこない後輩彼氏杏介に悶々としているゆずこ。
デート後、杏介の家にお泊りすることになったゆずこはついベッドて寝てしまう…。
近くで寝ていた杏介を起こそうと覗き込むと、自慰をする彼の姿が…。
そんな彼を見てゆずこの小悪魔な一面が疼いてしまい、小悪魔年上彼女ゆずこがエッチな手ほどきで童貞でマゾ気質な年下彼氏杏介をいじめちゃう！
※本作は阿野弐丸の個人誌作品の電子書籍版となります。")</f>
        <v>何度もデートはするが一向に一線を超えてこない後輩彼氏杏介に悶々としているゆずこ。
デート後、杏介の家にお泊りすることになったゆずこはついベッドて寝てしまう…。
近くで寝ていた杏介を起こそうと覗き込むと、自慰をする彼の姿が…。
そんな彼を見てゆずこの小悪魔な一面が疼いてしまい、小悪魔年上彼女ゆずこがエッチな手ほどきで童貞でマゾ気質な年下彼氏杏介をいじめちゃう！
※本作は阿野弐丸の個人誌作品の電子書籍版となります。</v>
      </c>
      <c r="W1949" s="14"/>
      <c r="X1949" s="14" t="str">
        <f>IFERROR(__xludf.DUMMYFUNCTION("""COMPUTED_VALUE"""),"有")</f>
        <v>有</v>
      </c>
      <c r="Y1949" s="8" t="str">
        <f>IFERROR(__xludf.DUMMYFUNCTION("""COMPUTED_VALUE"""),"P11まで")</f>
        <v>P11まで</v>
      </c>
      <c r="Z1949" s="7"/>
      <c r="AA1949" s="7"/>
      <c r="AB1949" s="7"/>
    </row>
    <row r="1950" ht="15.75" customHeight="1">
      <c r="A1950" s="26">
        <f>IFERROR(__xludf.DUMMYFUNCTION("""COMPUTED_VALUE"""),3718.0)</f>
        <v>3718</v>
      </c>
      <c r="B1950" s="22" t="str">
        <f>IFERROR(__xludf.DUMMYFUNCTION("""COMPUTED_VALUE"""),"確定")</f>
        <v>確定</v>
      </c>
      <c r="C1950" s="28">
        <f>IFERROR(__xludf.DUMMYFUNCTION("""COMPUTED_VALUE"""),45470.0)</f>
        <v>45470</v>
      </c>
      <c r="D1950" s="28">
        <f>IFERROR(__xludf.DUMMYFUNCTION("""COMPUTED_VALUE"""),45512.0)</f>
        <v>45512</v>
      </c>
      <c r="E1950" s="100">
        <f>IFERROR(__xludf.DUMMYFUNCTION("""COMPUTED_VALUE"""),300759.0)</f>
        <v>300759</v>
      </c>
      <c r="F1950" s="61" t="str">
        <f>IFERROR(__xludf.DUMMYFUNCTION("""COMPUTED_VALUE"""),"愛され復讐エステ〜執着系いじめられっ子に分からせられるまで〜")</f>
        <v>愛され復讐エステ〜執着系いじめられっ子に分からせられるまで〜</v>
      </c>
      <c r="G1950" s="11" t="str">
        <f>IFERROR(__xludf.DUMMYFUNCTION("""COMPUTED_VALUE"""),"1～2")</f>
        <v>1～2</v>
      </c>
      <c r="H1950" s="22" t="str">
        <f>IFERROR(__xludf.DUMMYFUNCTION("""COMPUTED_VALUE"""),"niko")</f>
        <v>niko</v>
      </c>
      <c r="I1950" s="22" t="str">
        <f>IFERROR(__xludf.DUMMYFUNCTION("""COMPUTED_VALUE"""),"TL")</f>
        <v>TL</v>
      </c>
      <c r="J1950" s="22"/>
      <c r="K1950" s="22"/>
      <c r="L1950" s="22" t="str">
        <f>IFERROR(__xludf.DUMMYFUNCTION("""COMPUTED_VALUE"""),"ガールスカウトコミックス")</f>
        <v>ガールスカウトコミックス</v>
      </c>
      <c r="M1950" s="59">
        <f>IFERROR(__xludf.DUMMYFUNCTION("""COMPUTED_VALUE"""),45555.0)</f>
        <v>45555</v>
      </c>
      <c r="N1950" s="33">
        <f>IFERROR(__xludf.DUMMYFUNCTION("""COMPUTED_VALUE"""),45645.0)</f>
        <v>45645</v>
      </c>
      <c r="O1950" s="20"/>
      <c r="P1950" s="34" t="str">
        <f>IFERROR(__xludf.DUMMYFUNCTION("""COMPUTED_VALUE"""),"可")</f>
        <v>可</v>
      </c>
      <c r="Q1950" s="31" t="str">
        <f>IFERROR(__xludf.DUMMYFUNCTION("""COMPUTED_VALUE"""),"広告コミットOK(7/11)&lt;BR&gt;レーベル名：Lovelicot")</f>
        <v>広告コミットOK(7/11)&lt;BR&gt;レーベル名：Lovelicot</v>
      </c>
      <c r="R1950" s="22" t="str">
        <f>IFERROR(__xludf.DUMMYFUNCTION("""COMPUTED_VALUE"""),"格納済み")</f>
        <v>格納済み</v>
      </c>
      <c r="S1950" s="22" t="str">
        <f>IFERROR(__xludf.DUMMYFUNCTION("""COMPUTED_VALUE"""),"20240808_ガールスカウトコミックス_愛され復讐エステ〜執着系いじめられっ子に分からせられるまで〜")</f>
        <v>20240808_ガールスカウトコミックス_愛され復讐エステ〜執着系いじめられっ子に分からせられるまで〜</v>
      </c>
      <c r="T1950" s="22" t="str">
        <f>IFERROR(__xludf.DUMMYFUNCTION("""COMPUTED_VALUE"""),"格納済み")</f>
        <v>格納済み</v>
      </c>
      <c r="U1950" s="15" t="str">
        <f>IFERROR(__xludf.DUMMYFUNCTION("""COMPUTED_VALUE"""),"（C）niko／ガールスカウトコミックス")</f>
        <v>（C）niko／ガールスカウトコミックス</v>
      </c>
      <c r="V1950" s="8" t="str">
        <f>IFERROR(__xludf.DUMMYFUNCTION("""COMPUTED_VALUE"""),"会社の同僚から貰ったエステのチケット…。
そこで出会ったイケメンエステティシャンのとんでもない凄テクにされるがままの私…。
突如、豹変する彼に衝撃の「過去」を告げられ、弱みを握られた私は何度もイかされて…。
※本作はnikoの個人誌作品の電子書籍版となります。")</f>
        <v>会社の同僚から貰ったエステのチケット…。
そこで出会ったイケメンエステティシャンのとんでもない凄テクにされるがままの私…。
突如、豹変する彼に衝撃の「過去」を告げられ、弱みを握られた私は何度もイかされて…。
※本作はnikoの個人誌作品の電子書籍版となります。</v>
      </c>
      <c r="W1950" s="14"/>
      <c r="X1950" s="14" t="str">
        <f>IFERROR(__xludf.DUMMYFUNCTION("""COMPUTED_VALUE"""),"有")</f>
        <v>有</v>
      </c>
      <c r="Y1950" s="8" t="str">
        <f>IFERROR(__xludf.DUMMYFUNCTION("""COMPUTED_VALUE"""),"2024/10/3まで立ち読み増量P11まで")</f>
        <v>2024/10/3まで立ち読み増量P11まで</v>
      </c>
      <c r="Z1950" s="7"/>
      <c r="AA1950" s="7"/>
      <c r="AB1950" s="7"/>
    </row>
    <row r="1951" ht="15.75" customHeight="1">
      <c r="A1951" s="26">
        <f>IFERROR(__xludf.DUMMYFUNCTION("""COMPUTED_VALUE"""),3837.0)</f>
        <v>3837</v>
      </c>
      <c r="B1951" s="22" t="str">
        <f>IFERROR(__xludf.DUMMYFUNCTION("""COMPUTED_VALUE"""),"確定")</f>
        <v>確定</v>
      </c>
      <c r="C1951" s="28">
        <f>IFERROR(__xludf.DUMMYFUNCTION("""COMPUTED_VALUE"""),45496.0)</f>
        <v>45496</v>
      </c>
      <c r="D1951" s="28">
        <f>IFERROR(__xludf.DUMMYFUNCTION("""COMPUTED_VALUE"""),45512.0)</f>
        <v>45512</v>
      </c>
      <c r="E1951" s="26">
        <f>IFERROR(__xludf.DUMMYFUNCTION("""COMPUTED_VALUE"""),300922.0)</f>
        <v>300922</v>
      </c>
      <c r="F1951" s="22" t="str">
        <f>IFERROR(__xludf.DUMMYFUNCTION("""COMPUTED_VALUE"""),"甘えベタちゃんは溺愛される")</f>
        <v>甘えベタちゃんは溺愛される</v>
      </c>
      <c r="G1951" s="69" t="str">
        <f>IFERROR(__xludf.DUMMYFUNCTION("""COMPUTED_VALUE"""),"1～3")</f>
        <v>1～3</v>
      </c>
      <c r="H1951" s="22" t="str">
        <f>IFERROR(__xludf.DUMMYFUNCTION("""COMPUTED_VALUE"""),"りぃあ")</f>
        <v>りぃあ</v>
      </c>
      <c r="I1951" s="22" t="str">
        <f>IFERROR(__xludf.DUMMYFUNCTION("""COMPUTED_VALUE"""),"TL")</f>
        <v>TL</v>
      </c>
      <c r="J1951" s="22"/>
      <c r="K1951" s="22"/>
      <c r="L1951" s="22" t="str">
        <f>IFERROR(__xludf.DUMMYFUNCTION("""COMPUTED_VALUE"""),"ライブコミックス")</f>
        <v>ライブコミックス</v>
      </c>
      <c r="M1951" s="59">
        <f>IFERROR(__xludf.DUMMYFUNCTION("""COMPUTED_VALUE"""),45541.0)</f>
        <v>45541</v>
      </c>
      <c r="N1951" s="47">
        <f>IFERROR(__xludf.DUMMYFUNCTION("""COMPUTED_VALUE"""),45631.0)</f>
        <v>45631</v>
      </c>
      <c r="O1951" s="20"/>
      <c r="P1951" s="34" t="str">
        <f>IFERROR(__xludf.DUMMYFUNCTION("""COMPUTED_VALUE"""),"可")</f>
        <v>可</v>
      </c>
      <c r="Q1951" s="30" t="str">
        <f>IFERROR(__xludf.DUMMYFUNCTION("""COMPUTED_VALUE"""),"広告コミットOK(7/29)&lt;BR&gt;BookLiveとの2社先行です&lt;BR&gt;格納素材を3分割して配信します。")</f>
        <v>広告コミットOK(7/29)&lt;BR&gt;BookLiveとの2社先行です&lt;BR&gt;格納素材を3分割して配信します。</v>
      </c>
      <c r="R1951" s="22"/>
      <c r="S1951" s="22" t="str">
        <f>IFERROR(__xludf.DUMMYFUNCTION("""COMPUTED_VALUE"""),"20240808_BookLive_甘えベタちゃんは溺愛される")</f>
        <v>20240808_BookLive_甘えベタちゃんは溺愛される</v>
      </c>
      <c r="T1951" s="22" t="str">
        <f>IFERROR(__xludf.DUMMYFUNCTION("""COMPUTED_VALUE"""),"格納済み")</f>
        <v>格納済み</v>
      </c>
      <c r="U1951" s="15" t="str">
        <f>IFERROR(__xludf.DUMMYFUNCTION("""COMPUTED_VALUE"""),"Ⓒりぃあ/ライブコミックス")</f>
        <v>Ⓒりぃあ/ライブコミックス</v>
      </c>
      <c r="V1951" s="8" t="str">
        <f>IFERROR(__xludf.DUMMYFUNCTION("""COMPUTED_VALUE"""),"少し長女気質で素直になれないしっかり者な恥ずかしがり屋ヒロインが、メガネ・一重・八重歯で大きくて優しい彼氏に、気遣われながらもえっちは激しめに、溺愛されるお話です。\n\n\n結ちゃんと稜くんは仲良しカップル。\n一緒に住んでいるわけではない二人は、日々マメにやり取りしつつ、一緒に過ごす週末を楽しみにしていた。\n\n約束していた日の直前に、仕事で落ち込むことが起こってしまった結ちゃん。\n稜くんに気を遣わせまいと気丈に振舞うが、どうしても態度に出てしまう…。\nそんな結ちゃんの気遣いごと違和感に気付いて"&amp;"いた稜くんは、結ちゃんの口を割ろうとくすぐりはじめ…!?")</f>
        <v>少し長女気質で素直になれないしっかり者な恥ずかしがり屋ヒロインが、メガネ・一重・八重歯で大きくて優しい彼氏に、気遣われながらもえっちは激しめに、溺愛されるお話です。\n\n\n結ちゃんと稜くんは仲良しカップル。\n一緒に住んでいるわけではない二人は、日々マメにやり取りしつつ、一緒に過ごす週末を楽しみにしていた。\n\n約束していた日の直前に、仕事で落ち込むことが起こってしまった結ちゃん。\n稜くんに気を遣わせまいと気丈に振舞うが、どうしても態度に出てしまう…。\nそんな結ちゃんの気遣いごと違和感に気付いていた稜くんは、結ちゃんの口を割ろうとくすぐりはじめ…!?</v>
      </c>
      <c r="W1951" s="14"/>
      <c r="X1951" s="14" t="str">
        <f>IFERROR(__xludf.DUMMYFUNCTION("""COMPUTED_VALUE"""),"有")</f>
        <v>有</v>
      </c>
      <c r="Y1951" s="8" t="str">
        <f>IFERROR(__xludf.DUMMYFUNCTION("""COMPUTED_VALUE"""),"2024/10/10まで1巻無料")</f>
        <v>2024/10/10まで1巻無料</v>
      </c>
      <c r="Z1951" s="7"/>
      <c r="AA1951" s="7"/>
      <c r="AB1951" s="7"/>
    </row>
    <row r="1952" ht="15.75" customHeight="1">
      <c r="A1952" s="26">
        <f>IFERROR(__xludf.DUMMYFUNCTION("""COMPUTED_VALUE"""),3861.0)</f>
        <v>3861</v>
      </c>
      <c r="B1952" s="22" t="str">
        <f>IFERROR(__xludf.DUMMYFUNCTION("""COMPUTED_VALUE"""),"確定")</f>
        <v>確定</v>
      </c>
      <c r="C1952" s="28">
        <f>IFERROR(__xludf.DUMMYFUNCTION("""COMPUTED_VALUE"""),45498.0)</f>
        <v>45498</v>
      </c>
      <c r="D1952" s="28">
        <f>IFERROR(__xludf.DUMMYFUNCTION("""COMPUTED_VALUE"""),45512.0)</f>
        <v>45512</v>
      </c>
      <c r="E1952" s="26">
        <f>IFERROR(__xludf.DUMMYFUNCTION("""COMPUTED_VALUE"""),300754.0)</f>
        <v>300754</v>
      </c>
      <c r="F1952" s="22" t="str">
        <f>IFERROR(__xludf.DUMMYFUNCTION("""COMPUTED_VALUE"""),"半神様に求婚されています！〜没落令嬢の願い事〜")</f>
        <v>半神様に求婚されています！〜没落令嬢の願い事〜</v>
      </c>
      <c r="G1952" s="69" t="str">
        <f>IFERROR(__xludf.DUMMYFUNCTION("""COMPUTED_VALUE"""),"1～3")</f>
        <v>1～3</v>
      </c>
      <c r="H1952" s="22" t="str">
        <f>IFERROR(__xludf.DUMMYFUNCTION("""COMPUTED_VALUE"""),"菊葉")</f>
        <v>菊葉</v>
      </c>
      <c r="I1952" s="22" t="str">
        <f>IFERROR(__xludf.DUMMYFUNCTION("""COMPUTED_VALUE"""),"女性")</f>
        <v>女性</v>
      </c>
      <c r="J1952" s="22"/>
      <c r="K1952" s="22"/>
      <c r="L1952" s="22" t="str">
        <f>IFERROR(__xludf.DUMMYFUNCTION("""COMPUTED_VALUE"""),"MUGENUP")</f>
        <v>MUGENUP</v>
      </c>
      <c r="M1952" s="59">
        <f>IFERROR(__xludf.DUMMYFUNCTION("""COMPUTED_VALUE"""),45535.0)</f>
        <v>45535</v>
      </c>
      <c r="N1952" s="33">
        <f>IFERROR(__xludf.DUMMYFUNCTION("""COMPUTED_VALUE"""),45626.0)</f>
        <v>45626</v>
      </c>
      <c r="O1952" s="20"/>
      <c r="P1952" s="34" t="str">
        <f>IFERROR(__xludf.DUMMYFUNCTION("""COMPUTED_VALUE"""),"可")</f>
        <v>可</v>
      </c>
      <c r="Q1952" s="31" t="str">
        <f>IFERROR(__xludf.DUMMYFUNCTION("""COMPUTED_VALUE"""),"広告コミットOK(7/29)")</f>
        <v>広告コミットOK(7/29)</v>
      </c>
      <c r="R1952" s="22" t="str">
        <f>IFERROR(__xludf.DUMMYFUNCTION("""COMPUTED_VALUE"""),"格納済み")</f>
        <v>格納済み</v>
      </c>
      <c r="S1952" s="22" t="str">
        <f>IFERROR(__xludf.DUMMYFUNCTION("""COMPUTED_VALUE"""),"20240808_MUGENUP_半神様に求婚されています！〜没落令嬢の願い事〜")</f>
        <v>20240808_MUGENUP_半神様に求婚されています！〜没落令嬢の願い事〜</v>
      </c>
      <c r="T1952" s="22" t="str">
        <f>IFERROR(__xludf.DUMMYFUNCTION("""COMPUTED_VALUE"""),"格納済み")</f>
        <v>格納済み</v>
      </c>
      <c r="U1952" s="15" t="str">
        <f>IFERROR(__xludf.DUMMYFUNCTION("""COMPUTED_VALUE"""),"（C）菊葉／MUGENUP")</f>
        <v>（C）菊葉／MUGENUP</v>
      </c>
      <c r="V1952" s="8" t="str">
        <f>IFERROR(__xludf.DUMMYFUNCTION("""COMPUTED_VALUE"""),"御家のため両親の言うままに婚約した没落華族の令嬢・すみれ。花嫁修業として婚約相手の小鳥遊家で暮らすことになったが、怪我で陸軍入隊が取り消しになった婚約者・大成は八つ当たりのようにすみれに暴力を振るい、幸せとは程遠い生活だった。その上、義母にも嫌味を言われ、嫁ぎ先で虐げられる日々。だが、すみれには黙って言うことを聞くことしかできなかった。
そんなある日、義母から山奥にある神社に参拝するよう命じられる。その神社には“言葉にした願いを叶えてくれる神様”がいて、大成の腕が治る方法はそれしかないと言うのだった。そ"&amp;"んなの迷信にすぎないと思いつつ、言われたとおりお詣りをするすみれ。何も起こらないと思った矢先、突然神社に光が溢れ“言の葉の神”が現れる！
呆然とするすみれに、神様は願いを叶えると言いながら、「代わりに対価を払ってもらう」ととんでもない要求をしてきて…!?
感情を押し殺しながら生きる没落華族令嬢と令嬢に想いを寄せる神様の血を引く青年の、求婚から始まる和風ラブファンタジー！")</f>
        <v>御家のため両親の言うままに婚約した没落華族の令嬢・すみれ。花嫁修業として婚約相手の小鳥遊家で暮らすことになったが、怪我で陸軍入隊が取り消しになった婚約者・大成は八つ当たりのようにすみれに暴力を振るい、幸せとは程遠い生活だった。その上、義母にも嫌味を言われ、嫁ぎ先で虐げられる日々。だが、すみれには黙って言うことを聞くことしかできなかった。
そんなある日、義母から山奥にある神社に参拝するよう命じられる。その神社には“言葉にした願いを叶えてくれる神様”がいて、大成の腕が治る方法はそれしかないと言うのだった。そんなの迷信にすぎないと思いつつ、言われたとおりお詣りをするすみれ。何も起こらないと思った矢先、突然神社に光が溢れ“言の葉の神”が現れる！
呆然とするすみれに、神様は願いを叶えると言いながら、「代わりに対価を払ってもらう」ととんでもない要求をしてきて…!?
感情を押し殺しながら生きる没落華族令嬢と令嬢に想いを寄せる神様の血を引く青年の、求婚から始まる和風ラブファンタジー！</v>
      </c>
      <c r="W1952" s="14"/>
      <c r="X1952" s="14" t="str">
        <f>IFERROR(__xludf.DUMMYFUNCTION("""COMPUTED_VALUE"""),"有")</f>
        <v>有</v>
      </c>
      <c r="Y1952" s="8" t="str">
        <f>IFERROR(__xludf.DUMMYFUNCTION("""COMPUTED_VALUE"""),"2024/9/16まで1巻無料")</f>
        <v>2024/9/16まで1巻無料</v>
      </c>
      <c r="Z1952" s="7"/>
      <c r="AA1952" s="7"/>
      <c r="AB1952" s="7"/>
    </row>
    <row r="1953" ht="15.75" customHeight="1">
      <c r="A1953" s="26">
        <f>IFERROR(__xludf.DUMMYFUNCTION("""COMPUTED_VALUE"""),3887.0)</f>
        <v>3887</v>
      </c>
      <c r="B1953" s="22" t="str">
        <f>IFERROR(__xludf.DUMMYFUNCTION("""COMPUTED_VALUE"""),"確定")</f>
        <v>確定</v>
      </c>
      <c r="C1953" s="28">
        <f>IFERROR(__xludf.DUMMYFUNCTION("""COMPUTED_VALUE"""),45503.0)</f>
        <v>45503</v>
      </c>
      <c r="D1953" s="28">
        <f>IFERROR(__xludf.DUMMYFUNCTION("""COMPUTED_VALUE"""),45512.0)</f>
        <v>45512</v>
      </c>
      <c r="E1953" s="26">
        <f>IFERROR(__xludf.DUMMYFUNCTION("""COMPUTED_VALUE"""),300891.0)</f>
        <v>300891</v>
      </c>
      <c r="F1953" s="22" t="str">
        <f>IFERROR(__xludf.DUMMYFUNCTION("""COMPUTED_VALUE"""),"ギズモライザー【分冊版】")</f>
        <v>ギズモライザー【分冊版】</v>
      </c>
      <c r="G1953" s="69" t="str">
        <f>IFERROR(__xludf.DUMMYFUNCTION("""COMPUTED_VALUE"""),"1～3")</f>
        <v>1～3</v>
      </c>
      <c r="H1953" s="22" t="str">
        <f>IFERROR(__xludf.DUMMYFUNCTION("""COMPUTED_VALUE"""),"早名ロク")</f>
        <v>早名ロク</v>
      </c>
      <c r="I1953" s="67" t="str">
        <f>IFERROR(__xludf.DUMMYFUNCTION("""COMPUTED_VALUE"""),"青年")</f>
        <v>青年</v>
      </c>
      <c r="J1953" s="22"/>
      <c r="K1953" s="22"/>
      <c r="L1953" s="22" t="str">
        <f>IFERROR(__xludf.DUMMYFUNCTION("""COMPUTED_VALUE"""),"マッグガーデン")</f>
        <v>マッグガーデン</v>
      </c>
      <c r="M1953" s="59">
        <f>IFERROR(__xludf.DUMMYFUNCTION("""COMPUTED_VALUE"""),45549.0)</f>
        <v>45549</v>
      </c>
      <c r="N1953" s="37" t="str">
        <f>IFERROR(__xludf.DUMMYFUNCTION("""COMPUTED_VALUE"""),"2024//11/13")</f>
        <v>2024//11/13</v>
      </c>
      <c r="O1953" s="20"/>
      <c r="P1953" s="34" t="str">
        <f>IFERROR(__xludf.DUMMYFUNCTION("""COMPUTED_VALUE"""),"否")</f>
        <v>否</v>
      </c>
      <c r="Q1953" s="30" t="str">
        <f>IFERROR(__xludf.DUMMYFUNCTION("""COMPUTED_VALUE"""),"広告コミットOK(8/7)&lt;BR&gt;純粋な少年マンガですので、ぜひチャレンジお願いします。&lt;BR&gt;")</f>
        <v>広告コミットOK(8/7)&lt;BR&gt;純粋な少年マンガですので、ぜひチャレンジお願いします。&lt;BR&gt;</v>
      </c>
      <c r="R1953" s="22"/>
      <c r="S1953" s="22" t="str">
        <f>IFERROR(__xludf.DUMMYFUNCTION("""COMPUTED_VALUE"""),"20240808_マッグガーデン_ギズモライザー【分冊版】")</f>
        <v>20240808_マッグガーデン_ギズモライザー【分冊版】</v>
      </c>
      <c r="T1953" s="22" t="str">
        <f>IFERROR(__xludf.DUMMYFUNCTION("""COMPUTED_VALUE"""),"格納済み")</f>
        <v>格納済み</v>
      </c>
      <c r="U1953" s="15" t="str">
        <f>IFERROR(__xludf.DUMMYFUNCTION("""COMPUTED_VALUE"""),"(c)Roku Souna/MAG Garden")</f>
        <v>(c)Roku Souna/MAG Garden</v>
      </c>
      <c r="V1953" s="8" t="str">
        <f>IFERROR(__xludf.DUMMYFUNCTION("""COMPUTED_VALUE"""),"階層で分かれ、身分差が絶対視された世界。最下層で自由のない奴隷として働かされる少年「クロー」に、世界に抗う装具「ギズモ」が託される。階層を隔てる壁、この国に蔓延る諦念、差別、狂気を越え、少年は上へ――。誇りと自由を掴むための叛逆が始まる!!【第1話収録】")</f>
        <v>階層で分かれ、身分差が絶対視された世界。最下層で自由のない奴隷として働かされる少年「クロー」に、世界に抗う装具「ギズモ」が託される。階層を隔てる壁、この国に蔓延る諦念、差別、狂気を越え、少年は上へ――。誇りと自由を掴むための叛逆が始まる!!【第1話収録】</v>
      </c>
      <c r="W1953" s="14"/>
      <c r="X1953" s="14" t="str">
        <f>IFERROR(__xludf.DUMMYFUNCTION("""COMPUTED_VALUE"""),"有")</f>
        <v>有</v>
      </c>
      <c r="Y1953" s="8" t="str">
        <f>IFERROR(__xludf.DUMMYFUNCTION("""COMPUTED_VALUE"""),"2024/11/13まで1巻無料")</f>
        <v>2024/11/13まで1巻無料</v>
      </c>
      <c r="Z1953" s="7"/>
      <c r="AA1953" s="7"/>
      <c r="AB1953" s="7"/>
    </row>
    <row r="1954" ht="15.75" customHeight="1">
      <c r="A1954" s="26">
        <f>IFERROR(__xludf.DUMMYFUNCTION("""COMPUTED_VALUE"""),3891.0)</f>
        <v>3891</v>
      </c>
      <c r="B1954" s="22" t="str">
        <f>IFERROR(__xludf.DUMMYFUNCTION("""COMPUTED_VALUE"""),"確定")</f>
        <v>確定</v>
      </c>
      <c r="C1954" s="28">
        <f>IFERROR(__xludf.DUMMYFUNCTION("""COMPUTED_VALUE"""),45504.0)</f>
        <v>45504</v>
      </c>
      <c r="D1954" s="28">
        <f>IFERROR(__xludf.DUMMYFUNCTION("""COMPUTED_VALUE"""),45517.0)</f>
        <v>45517</v>
      </c>
      <c r="E1954" s="26">
        <f>IFERROR(__xludf.DUMMYFUNCTION("""COMPUTED_VALUE"""),300708.0)</f>
        <v>300708</v>
      </c>
      <c r="F1954" s="22" t="str">
        <f>IFERROR(__xludf.DUMMYFUNCTION("""COMPUTED_VALUE"""),"華麗なるサファイアは悪役令嬢の汚名を着ない")</f>
        <v>華麗なるサファイアは悪役令嬢の汚名を着ない</v>
      </c>
      <c r="G1954" s="20">
        <f>IFERROR(__xludf.DUMMYFUNCTION("""COMPUTED_VALUE"""),1.0)</f>
        <v>1</v>
      </c>
      <c r="H1954" s="22" t="str">
        <f>IFERROR(__xludf.DUMMYFUNCTION("""COMPUTED_VALUE"""),"漫画：山神 尋 原作：知見夜空")</f>
        <v>漫画：山神 尋 原作：知見夜空</v>
      </c>
      <c r="I1954" s="22" t="str">
        <f>IFERROR(__xludf.DUMMYFUNCTION("""COMPUTED_VALUE"""),"少女")</f>
        <v>少女</v>
      </c>
      <c r="J1954" s="22"/>
      <c r="K1954" s="22"/>
      <c r="L1954" s="22" t="str">
        <f>IFERROR(__xludf.DUMMYFUNCTION("""COMPUTED_VALUE"""),"マッグガーデン")</f>
        <v>マッグガーデン</v>
      </c>
      <c r="M1954" s="23">
        <f>IFERROR(__xludf.DUMMYFUNCTION("""COMPUTED_VALUE"""),45536.0)</f>
        <v>45536</v>
      </c>
      <c r="N1954" s="33">
        <f>IFERROR(__xludf.DUMMYFUNCTION("""COMPUTED_VALUE"""),45625.0)</f>
        <v>45625</v>
      </c>
      <c r="O1954" s="20"/>
      <c r="P1954" s="34" t="str">
        <f>IFERROR(__xludf.DUMMYFUNCTION("""COMPUTED_VALUE"""),"否")</f>
        <v>否</v>
      </c>
      <c r="Q1954" s="30" t="str">
        <f>IFERROR(__xludf.DUMMYFUNCTION("""COMPUTED_VALUE"""),"広告コミットOK(8/7)&lt;BR&gt;10/15には他書店含め単行本版の配信が解禁となりますが、4月配信アンソロジーが好調なこともあり、新シリーズも出稿いただけるようよろしくお願いしま")</f>
        <v>広告コミットOK(8/7)&lt;BR&gt;10/15には他書店含め単行本版の配信が解禁となりますが、4月配信アンソロジーが好調なこともあり、新シリーズも出稿いただけるようよろしくお願いしま</v>
      </c>
      <c r="R1954" s="22"/>
      <c r="S1954" s="22" t="str">
        <f>IFERROR(__xludf.DUMMYFUNCTION("""COMPUTED_VALUE"""),"20240813_マッグガーデン__華麗なるサファイアは悪役令嬢の汚名を着ない")</f>
        <v>20240813_マッグガーデン__華麗なるサファイアは悪役令嬢の汚名を着ない</v>
      </c>
      <c r="T1954" s="22" t="str">
        <f>IFERROR(__xludf.DUMMYFUNCTION("""COMPUTED_VALUE"""),"格納済み")</f>
        <v>格納済み</v>
      </c>
      <c r="U1954" s="15" t="str">
        <f>IFERROR(__xludf.DUMMYFUNCTION("""COMPUTED_VALUE"""),"(C)知見夜空 (C)山神 尋/MAG Garden")</f>
        <v>(C)知見夜空 (C)山神 尋/MAG Garden</v>
      </c>
      <c r="V1954" s="8" t="str">
        <f>IFERROR(__xludf.DUMMYFUNCTION("""COMPUTED_VALUE"""),"とっておきの”一途な想い”を君に。※この作品は『悪役令嬢として破滅フラグは全てへし折ってあげますわ！～いろんな手段であらゆる不幸に「ざまぁ」します～　アンソロジーコミック』に収録されている同タイトルを、同一の内容にて分冊版として再編集したものです。")</f>
        <v>とっておきの”一途な想い”を君に。※この作品は『悪役令嬢として破滅フラグは全てへし折ってあげますわ！～いろんな手段であらゆる不幸に「ざまぁ」します～　アンソロジーコミック』に収録されている同タイトルを、同一の内容にて分冊版として再編集したものです。</v>
      </c>
      <c r="W1954" s="14"/>
      <c r="X1954" s="14" t="str">
        <f>IFERROR(__xludf.DUMMYFUNCTION("""COMPUTED_VALUE"""),"有")</f>
        <v>有</v>
      </c>
      <c r="Y1954" s="8" t="str">
        <f>IFERROR(__xludf.DUMMYFUNCTION("""COMPUTED_VALUE"""),"P10まで")</f>
        <v>P10まで</v>
      </c>
      <c r="Z1954" s="7"/>
      <c r="AA1954" s="7"/>
      <c r="AB1954" s="7"/>
    </row>
    <row r="1955" ht="15.75" customHeight="1">
      <c r="A1955" s="26">
        <f>IFERROR(__xludf.DUMMYFUNCTION("""COMPUTED_VALUE"""),3892.0)</f>
        <v>3892</v>
      </c>
      <c r="B1955" s="22" t="str">
        <f>IFERROR(__xludf.DUMMYFUNCTION("""COMPUTED_VALUE"""),"確定")</f>
        <v>確定</v>
      </c>
      <c r="C1955" s="28">
        <f>IFERROR(__xludf.DUMMYFUNCTION("""COMPUTED_VALUE"""),45504.0)</f>
        <v>45504</v>
      </c>
      <c r="D1955" s="28">
        <f>IFERROR(__xludf.DUMMYFUNCTION("""COMPUTED_VALUE"""),45517.0)</f>
        <v>45517</v>
      </c>
      <c r="E1955" s="26">
        <f>IFERROR(__xludf.DUMMYFUNCTION("""COMPUTED_VALUE"""),300710.0)</f>
        <v>300710</v>
      </c>
      <c r="F1955" s="22" t="str">
        <f>IFERROR(__xludf.DUMMYFUNCTION("""COMPUTED_VALUE"""),"階段から突き落としたことを断罪する王子と、階段から突き落としたことには理由があると弁明する悪役令嬢の話")</f>
        <v>階段から突き落としたことを断罪する王子と、階段から突き落としたことには理由があると弁明する悪役令嬢の話</v>
      </c>
      <c r="G1955" s="20">
        <f>IFERROR(__xludf.DUMMYFUNCTION("""COMPUTED_VALUE"""),1.0)</f>
        <v>1</v>
      </c>
      <c r="H1955" s="22" t="str">
        <f>IFERROR(__xludf.DUMMYFUNCTION("""COMPUTED_VALUE"""),"漫画：ハルシオン  原作：佐々木鏡石")</f>
        <v>漫画：ハルシオン  原作：佐々木鏡石</v>
      </c>
      <c r="I1955" s="22" t="str">
        <f>IFERROR(__xludf.DUMMYFUNCTION("""COMPUTED_VALUE"""),"少女")</f>
        <v>少女</v>
      </c>
      <c r="J1955" s="22"/>
      <c r="K1955" s="22"/>
      <c r="L1955" s="22" t="str">
        <f>IFERROR(__xludf.DUMMYFUNCTION("""COMPUTED_VALUE"""),"マッグガーデン")</f>
        <v>マッグガーデン</v>
      </c>
      <c r="M1955" s="23">
        <f>IFERROR(__xludf.DUMMYFUNCTION("""COMPUTED_VALUE"""),45536.0)</f>
        <v>45536</v>
      </c>
      <c r="N1955" s="33">
        <f>IFERROR(__xludf.DUMMYFUNCTION("""COMPUTED_VALUE"""),45625.0)</f>
        <v>45625</v>
      </c>
      <c r="O1955" s="20"/>
      <c r="P1955" s="34" t="str">
        <f>IFERROR(__xludf.DUMMYFUNCTION("""COMPUTED_VALUE"""),"否")</f>
        <v>否</v>
      </c>
      <c r="Q1955" s="30" t="str">
        <f>IFERROR(__xludf.DUMMYFUNCTION("""COMPUTED_VALUE"""),"機会がありましたら出稿よろしくお願いします。")</f>
        <v>機会がありましたら出稿よろしくお願いします。</v>
      </c>
      <c r="R1955" s="22"/>
      <c r="S1955" s="22" t="str">
        <f>IFERROR(__xludf.DUMMYFUNCTION("""COMPUTED_VALUE"""),"20240813_マッグガーデン_階段から突き落としたことを断罪する王子")</f>
        <v>20240813_マッグガーデン_階段から突き落としたことを断罪する王子</v>
      </c>
      <c r="T1955" s="22" t="str">
        <f>IFERROR(__xludf.DUMMYFUNCTION("""COMPUTED_VALUE"""),"格納済み")</f>
        <v>格納済み</v>
      </c>
      <c r="U1955" s="15" t="str">
        <f>IFERROR(__xludf.DUMMYFUNCTION("""COMPUTED_VALUE"""),"(C)佐々木鏡石 (C)ハルシオン/MAG Garden")</f>
        <v>(C)佐々木鏡石 (C)ハルシオン/MAG Garden</v>
      </c>
      <c r="V1955" s="8" t="str">
        <f>IFERROR(__xludf.DUMMYFUNCTION("""COMPUTED_VALUE"""),"その断罪、横暴につき。※この作品は『悪役令嬢として破滅フラグは全てへし折ってあげますわ！～いろんな手段であらゆる不幸に「ざまぁ」します～　アンソロジーコミック』に収録されている同タイトルを、同一の内容にて分冊版として再編集したものです。")</f>
        <v>その断罪、横暴につき。※この作品は『悪役令嬢として破滅フラグは全てへし折ってあげますわ！～いろんな手段であらゆる不幸に「ざまぁ」します～　アンソロジーコミック』に収録されている同タイトルを、同一の内容にて分冊版として再編集したものです。</v>
      </c>
      <c r="W1955" s="14"/>
      <c r="X1955" s="14" t="str">
        <f>IFERROR(__xludf.DUMMYFUNCTION("""COMPUTED_VALUE"""),"有")</f>
        <v>有</v>
      </c>
      <c r="Y1955" s="8" t="str">
        <f>IFERROR(__xludf.DUMMYFUNCTION("""COMPUTED_VALUE"""),"P11まで")</f>
        <v>P11まで</v>
      </c>
      <c r="Z1955" s="7"/>
      <c r="AA1955" s="7"/>
      <c r="AB1955" s="7"/>
    </row>
    <row r="1956" ht="15.75" customHeight="1">
      <c r="A1956" s="26">
        <f>IFERROR(__xludf.DUMMYFUNCTION("""COMPUTED_VALUE"""),3893.0)</f>
        <v>3893</v>
      </c>
      <c r="B1956" s="22" t="str">
        <f>IFERROR(__xludf.DUMMYFUNCTION("""COMPUTED_VALUE"""),"確定")</f>
        <v>確定</v>
      </c>
      <c r="C1956" s="28">
        <f>IFERROR(__xludf.DUMMYFUNCTION("""COMPUTED_VALUE"""),45504.0)</f>
        <v>45504</v>
      </c>
      <c r="D1956" s="28">
        <f>IFERROR(__xludf.DUMMYFUNCTION("""COMPUTED_VALUE"""),45517.0)</f>
        <v>45517</v>
      </c>
      <c r="E1956" s="26">
        <f>IFERROR(__xludf.DUMMYFUNCTION("""COMPUTED_VALUE"""),300711.0)</f>
        <v>300711</v>
      </c>
      <c r="F1956" s="22" t="str">
        <f>IFERROR(__xludf.DUMMYFUNCTION("""COMPUTED_VALUE"""),"濡れ衣を着せられたので、映像付きで論破します")</f>
        <v>濡れ衣を着せられたので、映像付きで論破します</v>
      </c>
      <c r="G1956" s="20">
        <f>IFERROR(__xludf.DUMMYFUNCTION("""COMPUTED_VALUE"""),1.0)</f>
        <v>1</v>
      </c>
      <c r="H1956" s="22" t="str">
        <f>IFERROR(__xludf.DUMMYFUNCTION("""COMPUTED_VALUE"""),"画：杠葉こゆき  原作：長岡いわき")</f>
        <v>画：杠葉こゆき  原作：長岡いわき</v>
      </c>
      <c r="I1956" s="22" t="str">
        <f>IFERROR(__xludf.DUMMYFUNCTION("""COMPUTED_VALUE"""),"少女")</f>
        <v>少女</v>
      </c>
      <c r="J1956" s="22"/>
      <c r="K1956" s="22"/>
      <c r="L1956" s="22" t="str">
        <f>IFERROR(__xludf.DUMMYFUNCTION("""COMPUTED_VALUE"""),"マッグガーデン")</f>
        <v>マッグガーデン</v>
      </c>
      <c r="M1956" s="23">
        <f>IFERROR(__xludf.DUMMYFUNCTION("""COMPUTED_VALUE"""),45536.0)</f>
        <v>45536</v>
      </c>
      <c r="N1956" s="33">
        <f>IFERROR(__xludf.DUMMYFUNCTION("""COMPUTED_VALUE"""),45625.0)</f>
        <v>45625</v>
      </c>
      <c r="O1956" s="20"/>
      <c r="P1956" s="34" t="str">
        <f>IFERROR(__xludf.DUMMYFUNCTION("""COMPUTED_VALUE"""),"否")</f>
        <v>否</v>
      </c>
      <c r="Q1956" s="30" t="str">
        <f>IFERROR(__xludf.DUMMYFUNCTION("""COMPUTED_VALUE"""),"広告コミットOK(8/7)&lt;BR&gt;10/15には他書店含め単行本版の配信が解禁となりますが、4月配信アンソロジーが好調なこともあり、新シリーズも出稿いただけるようよろしくお願いします。")</f>
        <v>広告コミットOK(8/7)&lt;BR&gt;10/15には他書店含め単行本版の配信が解禁となりますが、4月配信アンソロジーが好調なこともあり、新シリーズも出稿いただけるようよろしくお願いします。</v>
      </c>
      <c r="R1956" s="22"/>
      <c r="S1956" s="22" t="str">
        <f>IFERROR(__xludf.DUMMYFUNCTION("""COMPUTED_VALUE"""),"20240813_マッグガーデン__濡れ衣を着せられたので、映像付きで論破します")</f>
        <v>20240813_マッグガーデン__濡れ衣を着せられたので、映像付きで論破します</v>
      </c>
      <c r="T1956" s="22" t="str">
        <f>IFERROR(__xludf.DUMMYFUNCTION("""COMPUTED_VALUE"""),"格納済み")</f>
        <v>格納済み</v>
      </c>
      <c r="U1956" s="15" t="str">
        <f>IFERROR(__xludf.DUMMYFUNCTION("""COMPUTED_VALUE"""),"(C)長岡いわき (C)杠葉こゆき/MAG Garden")</f>
        <v>(C)長岡いわき (C)杠葉こゆき/MAG Garden</v>
      </c>
      <c r="V1956" s="8" t="str">
        <f>IFERROR(__xludf.DUMMYFUNCTION("""COMPUTED_VALUE"""),"完膚なきまでの証拠を突きつけろ!※この作品は『悪役令嬢として破滅フラグは全てへし折ってあげますわ！～いろんな手段であらゆる不幸に「ざまぁ」します～　アンソロジーコミック』に収録されている同タイトルを、同一の内容にて分冊版として再編集したものです。")</f>
        <v>完膚なきまでの証拠を突きつけろ!※この作品は『悪役令嬢として破滅フラグは全てへし折ってあげますわ！～いろんな手段であらゆる不幸に「ざまぁ」します～　アンソロジーコミック』に収録されている同タイトルを、同一の内容にて分冊版として再編集したものです。</v>
      </c>
      <c r="W1956" s="14"/>
      <c r="X1956" s="14" t="str">
        <f>IFERROR(__xludf.DUMMYFUNCTION("""COMPUTED_VALUE"""),"有")</f>
        <v>有</v>
      </c>
      <c r="Y1956" s="8" t="str">
        <f>IFERROR(__xludf.DUMMYFUNCTION("""COMPUTED_VALUE"""),"P9まで")</f>
        <v>P9まで</v>
      </c>
      <c r="Z1956" s="7"/>
      <c r="AA1956" s="7"/>
      <c r="AB1956" s="7"/>
    </row>
    <row r="1957" ht="15.75" customHeight="1">
      <c r="A1957" s="26">
        <f>IFERROR(__xludf.DUMMYFUNCTION("""COMPUTED_VALUE"""),3895.0)</f>
        <v>3895</v>
      </c>
      <c r="B1957" s="22" t="str">
        <f>IFERROR(__xludf.DUMMYFUNCTION("""COMPUTED_VALUE"""),"確定")</f>
        <v>確定</v>
      </c>
      <c r="C1957" s="28">
        <f>IFERROR(__xludf.DUMMYFUNCTION("""COMPUTED_VALUE"""),45504.0)</f>
        <v>45504</v>
      </c>
      <c r="D1957" s="28">
        <f>IFERROR(__xludf.DUMMYFUNCTION("""COMPUTED_VALUE"""),45517.0)</f>
        <v>45517</v>
      </c>
      <c r="E1957" s="26">
        <f>IFERROR(__xludf.DUMMYFUNCTION("""COMPUTED_VALUE"""),300712.0)</f>
        <v>300712</v>
      </c>
      <c r="F1957" s="22" t="str">
        <f>IFERROR(__xludf.DUMMYFUNCTION("""COMPUTED_VALUE"""),"婚約破棄を宣言した王子と、悪役令嬢は階段から落ちた·····そして2人は叫んだ「私達、入れ替わっている！？」と")</f>
        <v>婚約破棄を宣言した王子と、悪役令嬢は階段から落ちた·····そして2人は叫んだ「私達、入れ替わっている！？」と</v>
      </c>
      <c r="G1957" s="20">
        <f>IFERROR(__xludf.DUMMYFUNCTION("""COMPUTED_VALUE"""),1.0)</f>
        <v>1</v>
      </c>
      <c r="H1957" s="22" t="str">
        <f>IFERROR(__xludf.DUMMYFUNCTION("""COMPUTED_VALUE"""),"漫画：新島なるい  原作：夕景あき")</f>
        <v>漫画：新島なるい  原作：夕景あき</v>
      </c>
      <c r="I1957" s="22" t="str">
        <f>IFERROR(__xludf.DUMMYFUNCTION("""COMPUTED_VALUE"""),"少女")</f>
        <v>少女</v>
      </c>
      <c r="J1957" s="22"/>
      <c r="K1957" s="22"/>
      <c r="L1957" s="22" t="str">
        <f>IFERROR(__xludf.DUMMYFUNCTION("""COMPUTED_VALUE"""),"マッグガーデン")</f>
        <v>マッグガーデン</v>
      </c>
      <c r="M1957" s="23">
        <f>IFERROR(__xludf.DUMMYFUNCTION("""COMPUTED_VALUE"""),45536.0)</f>
        <v>45536</v>
      </c>
      <c r="N1957" s="33">
        <f>IFERROR(__xludf.DUMMYFUNCTION("""COMPUTED_VALUE"""),45625.0)</f>
        <v>45625</v>
      </c>
      <c r="O1957" s="20"/>
      <c r="P1957" s="34" t="str">
        <f>IFERROR(__xludf.DUMMYFUNCTION("""COMPUTED_VALUE"""),"否")</f>
        <v>否</v>
      </c>
      <c r="Q1957" s="30" t="str">
        <f>IFERROR(__xludf.DUMMYFUNCTION("""COMPUTED_VALUE"""),"広告コミットOK(8/7)")</f>
        <v>広告コミットOK(8/7)</v>
      </c>
      <c r="R1957" s="22"/>
      <c r="S1957" s="67" t="str">
        <f>IFERROR(__xludf.DUMMYFUNCTION("""COMPUTED_VALUE"""),"20240813_マッグガーデン__婚約破棄を宣言した王子と、悪役令嬢は階段から落ちた")</f>
        <v>20240813_マッグガーデン__婚約破棄を宣言した王子と、悪役令嬢は階段から落ちた</v>
      </c>
      <c r="T1957" s="22" t="str">
        <f>IFERROR(__xludf.DUMMYFUNCTION("""COMPUTED_VALUE"""),"格納済み")</f>
        <v>格納済み</v>
      </c>
      <c r="U1957" s="15" t="str">
        <f>IFERROR(__xludf.DUMMYFUNCTION("""COMPUTED_VALUE"""),"(C)新島なるい (C)夕景あき/MAG Garden")</f>
        <v>(C)新島なるい (C)夕景あき/MAG Garden</v>
      </c>
      <c r="V1957" s="8" t="str">
        <f>IFERROR(__xludf.DUMMYFUNCTION("""COMPUTED_VALUE"""),"わたしたち、入れ替わってる～!?※この作品は『悪役令嬢として破滅フラグは全てへし折ってあげますわ！～いろんな手段であらゆる不幸に「ざまぁ」します～　アンソロジーコミック』に収録されている同タイトルを、同一の内容にて分冊版として再編集したものです。")</f>
        <v>わたしたち、入れ替わってる～!?※この作品は『悪役令嬢として破滅フラグは全てへし折ってあげますわ！～いろんな手段であらゆる不幸に「ざまぁ」します～　アンソロジーコミック』に収録されている同タイトルを、同一の内容にて分冊版として再編集したものです。</v>
      </c>
      <c r="W1957" s="14"/>
      <c r="X1957" s="14" t="str">
        <f>IFERROR(__xludf.DUMMYFUNCTION("""COMPUTED_VALUE"""),"有")</f>
        <v>有</v>
      </c>
      <c r="Y1957" s="8" t="str">
        <f>IFERROR(__xludf.DUMMYFUNCTION("""COMPUTED_VALUE"""),"P10まで")</f>
        <v>P10まで</v>
      </c>
      <c r="Z1957" s="7"/>
      <c r="AA1957" s="7"/>
      <c r="AB1957" s="7"/>
    </row>
    <row r="1958" ht="15.75" customHeight="1">
      <c r="A1958" s="26">
        <f>IFERROR(__xludf.DUMMYFUNCTION("""COMPUTED_VALUE"""),3896.0)</f>
        <v>3896</v>
      </c>
      <c r="B1958" s="22" t="str">
        <f>IFERROR(__xludf.DUMMYFUNCTION("""COMPUTED_VALUE"""),"確定")</f>
        <v>確定</v>
      </c>
      <c r="C1958" s="28">
        <f>IFERROR(__xludf.DUMMYFUNCTION("""COMPUTED_VALUE"""),45504.0)</f>
        <v>45504</v>
      </c>
      <c r="D1958" s="28">
        <f>IFERROR(__xludf.DUMMYFUNCTION("""COMPUTED_VALUE"""),45517.0)</f>
        <v>45517</v>
      </c>
      <c r="E1958" s="26">
        <f>IFERROR(__xludf.DUMMYFUNCTION("""COMPUTED_VALUE"""),301613.0)</f>
        <v>301613</v>
      </c>
      <c r="F1958" s="22" t="str">
        <f>IFERROR(__xludf.DUMMYFUNCTION("""COMPUTED_VALUE"""),"(K)NIGHT&amp;DAY 拾った逆トリップ騎士が“雄”になるまで")</f>
        <v>(K)NIGHT&amp;DAY 拾った逆トリップ騎士が“雄”になるまで</v>
      </c>
      <c r="G1958" s="69" t="str">
        <f>IFERROR(__xludf.DUMMYFUNCTION("""COMPUTED_VALUE"""),"1～3")</f>
        <v>1～3</v>
      </c>
      <c r="H1958" s="22" t="str">
        <f>IFERROR(__xludf.DUMMYFUNCTION("""COMPUTED_VALUE"""),"ラカ")</f>
        <v>ラカ</v>
      </c>
      <c r="I1958" s="22" t="str">
        <f>IFERROR(__xludf.DUMMYFUNCTION("""COMPUTED_VALUE"""),"TL")</f>
        <v>TL</v>
      </c>
      <c r="J1958" s="22"/>
      <c r="K1958" s="22"/>
      <c r="L1958" s="22" t="str">
        <f>IFERROR(__xludf.DUMMYFUNCTION("""COMPUTED_VALUE"""),"アイプロダクション")</f>
        <v>アイプロダクション</v>
      </c>
      <c r="M1958" s="59">
        <f>IFERROR(__xludf.DUMMYFUNCTION("""COMPUTED_VALUE"""),45549.0)</f>
        <v>45549</v>
      </c>
      <c r="N1958" s="33">
        <f>IFERROR(__xludf.DUMMYFUNCTION("""COMPUTED_VALUE"""),45670.70833333333)</f>
        <v>45670.70833</v>
      </c>
      <c r="O1958" s="20"/>
      <c r="P1958" s="34" t="str">
        <f>IFERROR(__xludf.DUMMYFUNCTION("""COMPUTED_VALUE"""),"可")</f>
        <v>可</v>
      </c>
      <c r="Q1958" s="31" t="str">
        <f>IFERROR(__xludf.DUMMYFUNCTION("""COMPUTED_VALUE"""),"河上さんにて事前検討実施、出稿コミット確約いただいております
■各話配信開始日
1‐3話・・・9/14
4話・・・10/11予定　※数日前後する可能性アリ
5‐6話・・・11/13予定　※数日前後する可能性アリ")</f>
        <v>河上さんにて事前検討実施、出稿コミット確約いただいております
■各話配信開始日
1‐3話・・・9/14
4話・・・10/11予定　※数日前後する可能性アリ
5‐6話・・・11/13予定　※数日前後する可能性アリ</v>
      </c>
      <c r="R1958" s="22"/>
      <c r="S1958" s="67" t="str">
        <f>IFERROR(__xludf.DUMMYFUNCTION("""COMPUTED_VALUE"""),"20240813_小学館クリエイティブ_(K)NIGHT&amp;DAY 拾った逆トリップ騎士が“雄”になるまで")</f>
        <v>20240813_小学館クリエイティブ_(K)NIGHT&amp;DAY 拾った逆トリップ騎士が“雄”になるまで</v>
      </c>
      <c r="T1958" s="22" t="str">
        <f>IFERROR(__xludf.DUMMYFUNCTION("""COMPUTED_VALUE"""),"格納済み")</f>
        <v>格納済み</v>
      </c>
      <c r="U1958" s="15" t="str">
        <f>IFERROR(__xludf.DUMMYFUNCTION("""COMPUTED_VALUE"""),"ラカ/アイプロダクション")</f>
        <v>ラカ/アイプロダクション</v>
      </c>
      <c r="V1958" s="8" t="str">
        <f>IFERROR(__xludf.DUMMYFUNCTION("""COMPUTED_VALUE"""),"（指でほぐされながらク〇舐められるのヤバいっ…！じらされた後にイかされるの、絶対ダメ…っ!!）――ある雨の夜、ＯＬの杏奈は、路地裏で行き倒れていた屈強な青年・ケイを助ける。彼はなんとタイムトリップしてきた本物の騎士！　頼るあてのないケイを杏奈は同居人として迎え入れることに。無口で無愛想だがセクシーなケイへ、次第に好意がつのっていく杏奈。しかしそれを知ってか知らずか、ケイはまったく手出しをしてこず杏奈を大切に護るばかり。そんな同棲生活も半年たったある夜のこと、とある出来事が…ケイの嫉妬の炎を燃え上がらせてし"&amp;"まう!?「避妊具が必要ですか？　今からあなたを、孕ませようとしているのに？」雄（オス）と化した絶倫騎士の巨●にぐちょぐちょに貫かれ、終わらない快感にイキ狂わされて…執愛セックス漬けの三日三晩が始まる…―― 　※この作品は同人誌『(K)NIGHT &amp; DAY 拾った逆トリ騎士が“雄”になるまで』に一部加筆修正、描き下ろし、白消し修正を加えた商業版となります。意図せぬ重複購入にご注意ください。")</f>
        <v>（指でほぐされながらク〇舐められるのヤバいっ…！じらされた後にイかされるの、絶対ダメ…っ!!）――ある雨の夜、ＯＬの杏奈は、路地裏で行き倒れていた屈強な青年・ケイを助ける。彼はなんとタイムトリップしてきた本物の騎士！　頼るあてのないケイを杏奈は同居人として迎え入れることに。無口で無愛想だがセクシーなケイへ、次第に好意がつのっていく杏奈。しかしそれを知ってか知らずか、ケイはまったく手出しをしてこず杏奈を大切に護るばかり。そんな同棲生活も半年たったある夜のこと、とある出来事が…ケイの嫉妬の炎を燃え上がらせてしまう!?「避妊具が必要ですか？　今からあなたを、孕ませようとしているのに？」雄（オス）と化した絶倫騎士の巨●にぐちょぐちょに貫かれ、終わらない快感にイキ狂わされて…執愛セックス漬けの三日三晩が始まる…―― 　※この作品は同人誌『(K)NIGHT &amp; DAY 拾った逆トリ騎士が“雄”になるまで』に一部加筆修正、描き下ろし、白消し修正を加えた商業版となります。意図せぬ重複購入にご注意ください。</v>
      </c>
      <c r="W1958" s="14"/>
      <c r="X1958" s="14" t="str">
        <f>IFERROR(__xludf.DUMMYFUNCTION("""COMPUTED_VALUE"""),"有")</f>
        <v>有</v>
      </c>
      <c r="Y1958" s="8" t="str">
        <f>IFERROR(__xludf.DUMMYFUNCTION("""COMPUTED_VALUE"""),"2024/9/27まで1巻無料")</f>
        <v>2024/9/27まで1巻無料</v>
      </c>
      <c r="Z1958" s="7"/>
      <c r="AA1958" s="7"/>
      <c r="AB1958" s="7"/>
    </row>
    <row r="1959" ht="15.75" customHeight="1">
      <c r="A1959" s="26">
        <f>IFERROR(__xludf.DUMMYFUNCTION("""COMPUTED_VALUE"""),3923.0)</f>
        <v>3923</v>
      </c>
      <c r="B1959" s="22" t="str">
        <f>IFERROR(__xludf.DUMMYFUNCTION("""COMPUTED_VALUE"""),"確定")</f>
        <v>確定</v>
      </c>
      <c r="C1959" s="28">
        <f>IFERROR(__xludf.DUMMYFUNCTION("""COMPUTED_VALUE"""),45509.0)</f>
        <v>45509</v>
      </c>
      <c r="D1959" s="28">
        <f>IFERROR(__xludf.DUMMYFUNCTION("""COMPUTED_VALUE"""),45511.0)</f>
        <v>45511</v>
      </c>
      <c r="E1959" s="26">
        <f>IFERROR(__xludf.DUMMYFUNCTION("""COMPUTED_VALUE"""),294434.0)</f>
        <v>294434</v>
      </c>
      <c r="F1959" s="22" t="str">
        <f>IFERROR(__xludf.DUMMYFUNCTION("""COMPUTED_VALUE"""),"千年の呼び声")</f>
        <v>千年の呼び声</v>
      </c>
      <c r="G1959" s="20">
        <f>IFERROR(__xludf.DUMMYFUNCTION("""COMPUTED_VALUE"""),1.0)</f>
        <v>1</v>
      </c>
      <c r="H1959" s="22" t="str">
        <f>IFERROR(__xludf.DUMMYFUNCTION("""COMPUTED_VALUE"""),"高永ひなこ")</f>
        <v>高永ひなこ</v>
      </c>
      <c r="I1959" s="75" t="str">
        <f>IFERROR(__xludf.DUMMYFUNCTION("""COMPUTED_VALUE"""),"BL")</f>
        <v>BL</v>
      </c>
      <c r="J1959" s="22"/>
      <c r="K1959" s="22"/>
      <c r="L1959" s="22" t="str">
        <f>IFERROR(__xludf.DUMMYFUNCTION("""COMPUTED_VALUE"""),"ソルマーレ編集部")</f>
        <v>ソルマーレ編集部</v>
      </c>
      <c r="M1959" s="23">
        <f>IFERROR(__xludf.DUMMYFUNCTION("""COMPUTED_VALUE"""),45536.0)</f>
        <v>45536</v>
      </c>
      <c r="N1959" s="23">
        <f>IFERROR(__xludf.DUMMYFUNCTION("""COMPUTED_VALUE"""),45722.0)</f>
        <v>45722</v>
      </c>
      <c r="O1959" s="20"/>
      <c r="P1959" s="34" t="str">
        <f>IFERROR(__xludf.DUMMYFUNCTION("""COMPUTED_VALUE"""),"可")</f>
        <v>可</v>
      </c>
      <c r="Q1959" s="30" t="str">
        <f>IFERROR(__xludf.DUMMYFUNCTION("""COMPUTED_VALUE"""),"※Ficus5th作品です、先行期間6カ月になります！")</f>
        <v>※Ficus5th作品です、先行期間6カ月になります！</v>
      </c>
      <c r="R1959" s="22"/>
      <c r="S1959" s="67" t="str">
        <f>IFERROR(__xludf.DUMMYFUNCTION("""COMPUTED_VALUE"""),"20240807_ソルマーレ編集部_千年の呼び声")</f>
        <v>20240807_ソルマーレ編集部_千年の呼び声</v>
      </c>
      <c r="T1959" s="22" t="str">
        <f>IFERROR(__xludf.DUMMYFUNCTION("""COMPUTED_VALUE"""),"格納済み")</f>
        <v>格納済み</v>
      </c>
      <c r="U1959" s="15" t="str">
        <f>IFERROR(__xludf.DUMMYFUNCTION("""COMPUTED_VALUE"""),"Ⓒ 高永ひなこ/シーモアコミックス")</f>
        <v>Ⓒ 高永ひなこ/シーモアコミックス</v>
      </c>
      <c r="V1959" s="8" t="str">
        <f>IFERROR(__xludf.DUMMYFUNCTION("""COMPUTED_VALUE"""),"よく見る夢がある。誰かがオレを呼ぶ夢。
どうしてオレを呼ぶの？君は誰――？
家が神社ということもあり、何かと“憑きやすい”体質のオレ。そんな時、助けてくれるのが幼馴染の大樹。大樹には霊感みたいなものがあるらしく、オレの憑き物をいつも祓ってくれる。大切な友達だし、有難い存在だ。ちょっとだけ、キョリ感が近すぎるところがあるけど…。ある日、大学から帰宅する途中で、いつもよりヤバイ“何か”に襲われそうになり身動きできずにいると、突然、オレを呼ぶ声とともに守ってくれた新しい“何か”。それは明らかに人間ではな"&amp;"くて、しかも初めて会ったはずなのに、何故か心配そうに見つめながらオレの名を呼び――…!? 【フィカス】")</f>
        <v>よく見る夢がある。誰かがオレを呼ぶ夢。
どうしてオレを呼ぶの？君は誰――？
家が神社ということもあり、何かと“憑きやすい”体質のオレ。そんな時、助けてくれるのが幼馴染の大樹。大樹には霊感みたいなものがあるらしく、オレの憑き物をいつも祓ってくれる。大切な友達だし、有難い存在だ。ちょっとだけ、キョリ感が近すぎるところがあるけど…。ある日、大学から帰宅する途中で、いつもよりヤバイ“何か”に襲われそうになり身動きできずにいると、突然、オレを呼ぶ声とともに守ってくれた新しい“何か”。それは明らかに人間ではなくて、しかも初めて会ったはずなのに、何故か心配そうに見つめながらオレの名を呼び――…!? 【フィカス】</v>
      </c>
      <c r="W1959" s="14"/>
      <c r="X1959" s="14" t="str">
        <f>IFERROR(__xludf.DUMMYFUNCTION("""COMPUTED_VALUE"""),"有")</f>
        <v>有</v>
      </c>
      <c r="Y1959" s="8" t="str">
        <f>IFERROR(__xludf.DUMMYFUNCTION("""COMPUTED_VALUE"""),"2025/3/7まで立ち読み増量P18まで")</f>
        <v>2025/3/7まで立ち読み増量P18まで</v>
      </c>
      <c r="Z1959" s="7"/>
      <c r="AA1959" s="7"/>
      <c r="AB1959" s="7"/>
    </row>
    <row r="1960" ht="15.75" customHeight="1">
      <c r="A1960" s="26">
        <f>IFERROR(__xludf.DUMMYFUNCTION("""COMPUTED_VALUE"""),3926.0)</f>
        <v>3926</v>
      </c>
      <c r="B1960" s="22" t="str">
        <f>IFERROR(__xludf.DUMMYFUNCTION("""COMPUTED_VALUE"""),"確定")</f>
        <v>確定</v>
      </c>
      <c r="C1960" s="28">
        <f>IFERROR(__xludf.DUMMYFUNCTION("""COMPUTED_VALUE"""),45509.0)</f>
        <v>45509</v>
      </c>
      <c r="D1960" s="28">
        <f>IFERROR(__xludf.DUMMYFUNCTION("""COMPUTED_VALUE"""),45511.0)</f>
        <v>45511</v>
      </c>
      <c r="E1960" s="26">
        <f>IFERROR(__xludf.DUMMYFUNCTION("""COMPUTED_VALUE"""),285079.0)</f>
        <v>285079</v>
      </c>
      <c r="F1960" s="22" t="str">
        <f>IFERROR(__xludf.DUMMYFUNCTION("""COMPUTED_VALUE"""),"疑似恋愛～カラダも心も蕩けさせて～")</f>
        <v>疑似恋愛～カラダも心も蕩けさせて～</v>
      </c>
      <c r="G1960" s="20" t="str">
        <f>IFERROR(__xludf.DUMMYFUNCTION("""COMPUTED_VALUE"""),"1～3")</f>
        <v>1～3</v>
      </c>
      <c r="H1960" s="22" t="str">
        <f>IFERROR(__xludf.DUMMYFUNCTION("""COMPUTED_VALUE"""),"いち")</f>
        <v>いち</v>
      </c>
      <c r="I1960" s="22" t="str">
        <f>IFERROR(__xludf.DUMMYFUNCTION("""COMPUTED_VALUE"""),"女性")</f>
        <v>女性</v>
      </c>
      <c r="J1960" s="22"/>
      <c r="K1960" s="22"/>
      <c r="L1960" s="22" t="str">
        <f>IFERROR(__xludf.DUMMYFUNCTION("""COMPUTED_VALUE"""),"ソルマーレ編集部")</f>
        <v>ソルマーレ編集部</v>
      </c>
      <c r="M1960" s="59">
        <f>IFERROR(__xludf.DUMMYFUNCTION("""COMPUTED_VALUE"""),45542.0)</f>
        <v>45542</v>
      </c>
      <c r="N1960" s="59">
        <f>IFERROR(__xludf.DUMMYFUNCTION("""COMPUTED_VALUE"""),45603.0)</f>
        <v>45603</v>
      </c>
      <c r="O1960" s="20"/>
      <c r="P1960" s="34" t="str">
        <f>IFERROR(__xludf.DUMMYFUNCTION("""COMPUTED_VALUE"""),"可")</f>
        <v>可</v>
      </c>
      <c r="Q1960" s="30" t="str">
        <f>IFERROR(__xludf.DUMMYFUNCTION("""COMPUTED_VALUE"""),"レーベル：スキして?桃色日記")</f>
        <v>レーベル：スキして?桃色日記</v>
      </c>
      <c r="R1960" s="22"/>
      <c r="S1960" s="67" t="str">
        <f>IFERROR(__xludf.DUMMYFUNCTION("""COMPUTED_VALUE"""),"20240907_ソルマーレ編集部_疑似恋愛～カラダも心も蕩けさせて～")</f>
        <v>20240907_ソルマーレ編集部_疑似恋愛～カラダも心も蕩けさせて～</v>
      </c>
      <c r="T1960" s="22" t="str">
        <f>IFERROR(__xludf.DUMMYFUNCTION("""COMPUTED_VALUE"""),"格納済み")</f>
        <v>格納済み</v>
      </c>
      <c r="U1960" s="15" t="str">
        <f>IFERROR(__xludf.DUMMYFUNCTION("""COMPUTED_VALUE"""),"Ⓒ いち/シーモアコミックス")</f>
        <v>Ⓒ いち/シーモアコミックス</v>
      </c>
      <c r="V1960" s="8" t="str">
        <f>IFERROR(__xludf.DUMMYFUNCTION("""COMPUTED_VALUE"""),"26歳で処女のサラは、周りの友人の結婚や出産の報告を羨ましいと思いつつ、好きな人とHをすることに恐怖を抱いていた。元カレとも最後まで出来ず…それが原因で振られてしまい、すっかりトラウマに。だけど、このまま好きな人と繋がれずに終わるのは嫌だ…と思っていると、女性用風俗の広告が目に留まった。〈br〉プロに任せればなんとかなるかも！と藁にもすがる思いで電話をすると、「アヤセ」というセラピストと出会う。チャラい印象とは裏腹に優しく話を聞いてくれ距離が縮まった気がーー。けれど…終わった後は虚しく、いつもの日常に戻っ"&amp;"てしまった。その後なぜかアヤセのことが気になってしまうも、お客さんという立場から抜け出せるのか!?【桃色日記】")</f>
        <v>26歳で処女のサラは、周りの友人の結婚や出産の報告を羨ましいと思いつつ、好きな人とHをすることに恐怖を抱いていた。元カレとも最後まで出来ず…それが原因で振られてしまい、すっかりトラウマに。だけど、このまま好きな人と繋がれずに終わるのは嫌だ…と思っていると、女性用風俗の広告が目に留まった。〈br〉プロに任せればなんとかなるかも！と藁にもすがる思いで電話をすると、「アヤセ」というセラピストと出会う。チャラい印象とは裏腹に優しく話を聞いてくれ距離が縮まった気がーー。けれど…終わった後は虚しく、いつもの日常に戻ってしまった。その後なぜかアヤセのことが気になってしまうも、お客さんという立場から抜け出せるのか!?【桃色日記】</v>
      </c>
      <c r="W1960" s="14"/>
      <c r="X1960" s="14" t="str">
        <f>IFERROR(__xludf.DUMMYFUNCTION("""COMPUTED_VALUE"""),"有")</f>
        <v>有</v>
      </c>
      <c r="Y1960" s="8" t="str">
        <f>IFERROR(__xludf.DUMMYFUNCTION("""COMPUTED_VALUE"""),"2024/10/4まで1巻無料")</f>
        <v>2024/10/4まで1巻無料</v>
      </c>
      <c r="Z1960" s="7"/>
      <c r="AA1960" s="7"/>
      <c r="AB1960" s="7"/>
    </row>
    <row r="1961" ht="15.75" customHeight="1">
      <c r="A1961" s="26">
        <f>IFERROR(__xludf.DUMMYFUNCTION("""COMPUTED_VALUE"""),3927.0)</f>
        <v>3927</v>
      </c>
      <c r="B1961" s="22" t="str">
        <f>IFERROR(__xludf.DUMMYFUNCTION("""COMPUTED_VALUE"""),"確定")</f>
        <v>確定</v>
      </c>
      <c r="C1961" s="28">
        <f>IFERROR(__xludf.DUMMYFUNCTION("""COMPUTED_VALUE"""),45509.0)</f>
        <v>45509</v>
      </c>
      <c r="D1961" s="28">
        <f>IFERROR(__xludf.DUMMYFUNCTION("""COMPUTED_VALUE"""),45511.0)</f>
        <v>45511</v>
      </c>
      <c r="E1961" s="26">
        <f>IFERROR(__xludf.DUMMYFUNCTION("""COMPUTED_VALUE"""),291814.0)</f>
        <v>291814</v>
      </c>
      <c r="F1961" s="22" t="str">
        <f>IFERROR(__xludf.DUMMYFUNCTION("""COMPUTED_VALUE"""),"ゆかりくんはギャップがずるい")</f>
        <v>ゆかりくんはギャップがずるい</v>
      </c>
      <c r="G1961" s="20" t="str">
        <f>IFERROR(__xludf.DUMMYFUNCTION("""COMPUTED_VALUE"""),"1～3")</f>
        <v>1～3</v>
      </c>
      <c r="H1961" s="22" t="str">
        <f>IFERROR(__xludf.DUMMYFUNCTION("""COMPUTED_VALUE"""),"あんどうまみ")</f>
        <v>あんどうまみ</v>
      </c>
      <c r="I1961" s="22" t="str">
        <f>IFERROR(__xludf.DUMMYFUNCTION("""COMPUTED_VALUE"""),"少女")</f>
        <v>少女</v>
      </c>
      <c r="J1961" s="22"/>
      <c r="K1961" s="22"/>
      <c r="L1961" s="22" t="str">
        <f>IFERROR(__xludf.DUMMYFUNCTION("""COMPUTED_VALUE"""),"ソルマーレ編集部")</f>
        <v>ソルマーレ編集部</v>
      </c>
      <c r="M1961" s="59">
        <f>IFERROR(__xludf.DUMMYFUNCTION("""COMPUTED_VALUE"""),45542.0)</f>
        <v>45542</v>
      </c>
      <c r="N1961" s="59">
        <f>IFERROR(__xludf.DUMMYFUNCTION("""COMPUTED_VALUE"""),45603.0)</f>
        <v>45603</v>
      </c>
      <c r="O1961" s="20"/>
      <c r="P1961" s="34" t="str">
        <f>IFERROR(__xludf.DUMMYFUNCTION("""COMPUTED_VALUE"""),"可")</f>
        <v>可</v>
      </c>
      <c r="Q1961" s="30"/>
      <c r="R1961" s="22"/>
      <c r="S1961" s="67" t="str">
        <f>IFERROR(__xludf.DUMMYFUNCTION("""COMPUTED_VALUE"""),"20240807_ソルマーレ編集部_ゆかりくんはギャップがずるい")</f>
        <v>20240807_ソルマーレ編集部_ゆかりくんはギャップがずるい</v>
      </c>
      <c r="T1961" s="22" t="str">
        <f>IFERROR(__xludf.DUMMYFUNCTION("""COMPUTED_VALUE"""),"格納済み")</f>
        <v>格納済み</v>
      </c>
      <c r="U1961" s="15" t="str">
        <f>IFERROR(__xludf.DUMMYFUNCTION("""COMPUTED_VALUE"""),"Ⓒ あんどうまみ/シーモアコミックス")</f>
        <v>Ⓒ あんどうまみ/シーモアコミックス</v>
      </c>
      <c r="V1961" s="8" t="str">
        <f>IFERROR(__xludf.DUMMYFUNCTION("""COMPUTED_VALUE"""),"かわいくて、セクシーで、子犬系で、おとなっぽい！ ギャップ過多のミステリアス男子に今日も振り回されてます☆
週に1度、副業で専門学校の講師をすることになった芽衣子。慣れない授業をなんとかがんばれるのは、マジメな生徒・ゆかりくんがいるから。ゆかりくんは癒やし！ 心のオアシス、可愛い生徒！ だけど、学校外のゆかりくんは意外な一面を持っていて…!?【恋するソワレ】")</f>
        <v>かわいくて、セクシーで、子犬系で、おとなっぽい！ ギャップ過多のミステリアス男子に今日も振り回されてます☆
週に1度、副業で専門学校の講師をすることになった芽衣子。慣れない授業をなんとかがんばれるのは、マジメな生徒・ゆかりくんがいるから。ゆかりくんは癒やし！ 心のオアシス、可愛い生徒！ だけど、学校外のゆかりくんは意外な一面を持っていて…!?【恋するソワレ】</v>
      </c>
      <c r="W1961" s="14"/>
      <c r="X1961" s="14" t="str">
        <f>IFERROR(__xludf.DUMMYFUNCTION("""COMPUTED_VALUE"""),"有")</f>
        <v>有</v>
      </c>
      <c r="Y1961" s="8" t="str">
        <f>IFERROR(__xludf.DUMMYFUNCTION("""COMPUTED_VALUE"""),"2024/10/4まで1巻無料")</f>
        <v>2024/10/4まで1巻無料</v>
      </c>
      <c r="Z1961" s="7"/>
      <c r="AA1961" s="7"/>
      <c r="AB1961" s="7"/>
    </row>
    <row r="1962" ht="15.75" customHeight="1">
      <c r="A1962" s="26">
        <f>IFERROR(__xludf.DUMMYFUNCTION("""COMPUTED_VALUE"""),3928.0)</f>
        <v>3928</v>
      </c>
      <c r="B1962" s="22" t="str">
        <f>IFERROR(__xludf.DUMMYFUNCTION("""COMPUTED_VALUE"""),"確定")</f>
        <v>確定</v>
      </c>
      <c r="C1962" s="28">
        <f>IFERROR(__xludf.DUMMYFUNCTION("""COMPUTED_VALUE"""),45509.0)</f>
        <v>45509</v>
      </c>
      <c r="D1962" s="28">
        <f>IFERROR(__xludf.DUMMYFUNCTION("""COMPUTED_VALUE"""),45513.0)</f>
        <v>45513</v>
      </c>
      <c r="E1962" s="100">
        <f>IFERROR(__xludf.DUMMYFUNCTION("""COMPUTED_VALUE"""),302181.0)</f>
        <v>302181</v>
      </c>
      <c r="F1962" s="61" t="str">
        <f>IFERROR(__xludf.DUMMYFUNCTION("""COMPUTED_VALUE"""),"旦那が精を出していたのは夜の部活動でした")</f>
        <v>旦那が精を出していたのは夜の部活動でした</v>
      </c>
      <c r="G1962" s="69" t="str">
        <f>IFERROR(__xludf.DUMMYFUNCTION("""COMPUTED_VALUE"""),"1～4")</f>
        <v>1～4</v>
      </c>
      <c r="H1962" s="22" t="str">
        <f>IFERROR(__xludf.DUMMYFUNCTION("""COMPUTED_VALUE"""),"9太郎／COMIC ROOM")</f>
        <v>9太郎／COMIC ROOM</v>
      </c>
      <c r="I1962" s="22" t="str">
        <f>IFERROR(__xludf.DUMMYFUNCTION("""COMPUTED_VALUE"""),"女性")</f>
        <v>女性</v>
      </c>
      <c r="J1962" s="22"/>
      <c r="K1962" s="22"/>
      <c r="L1962" s="22" t="str">
        <f>IFERROR(__xludf.DUMMYFUNCTION("""COMPUTED_VALUE"""),"コミックルーム")</f>
        <v>コミックルーム</v>
      </c>
      <c r="M1962" s="47">
        <f>IFERROR(__xludf.DUMMYFUNCTION("""COMPUTED_VALUE"""),45555.0)</f>
        <v>45555</v>
      </c>
      <c r="N1962" s="58">
        <f>IFERROR(__xludf.DUMMYFUNCTION("""COMPUTED_VALUE"""),45645.0)</f>
        <v>45645</v>
      </c>
      <c r="O1962" s="20"/>
      <c r="P1962" s="34" t="str">
        <f>IFERROR(__xludf.DUMMYFUNCTION("""COMPUTED_VALUE"""),"可")</f>
        <v>可</v>
      </c>
      <c r="Q1962" s="30" t="str">
        <f>IFERROR(__xludf.DUMMYFUNCTION("""COMPUTED_VALUE"""),"広告コミットOK(8/8)")</f>
        <v>広告コミットOK(8/8)</v>
      </c>
      <c r="R1962" s="22"/>
      <c r="S1962" s="67" t="str">
        <f>IFERROR(__xludf.DUMMYFUNCTION("""COMPUTED_VALUE"""),"20240809_コミックルーム_旦那が精を出していたのは夜の部活動でした")</f>
        <v>20240809_コミックルーム_旦那が精を出していたのは夜の部活動でした</v>
      </c>
      <c r="T1962" s="22" t="str">
        <f>IFERROR(__xludf.DUMMYFUNCTION("""COMPUTED_VALUE"""),"格納済み")</f>
        <v>格納済み</v>
      </c>
      <c r="U1962" s="15" t="str">
        <f>IFERROR(__xludf.DUMMYFUNCTION("""COMPUTED_VALUE"""),"©9太郎／COMIC ROOM")</f>
        <v>©9太郎／COMIC ROOM</v>
      </c>
      <c r="V1962" s="8" t="str">
        <f>IFERROR(__xludf.DUMMYFUNCTION("""COMPUTED_VALUE"""),"「それ浮気じゃない？」
忙しい夫の愚痴をママ友に話していると、ふとそんなことを言われる沙苗。
高校教師の夫は女子バレー部の顧問を務めており、朝から晩まで熱血指導。
家庭のことなど何一つ手伝ってくれないが、頑張る夫を支えようと、沙苗は一人で家事育児をこなしていた。
しかし、沙苗は知る由もなかった。
夫が精を出していたのは昼の部活動などではなく…。")</f>
        <v>「それ浮気じゃない？」
忙しい夫の愚痴をママ友に話していると、ふとそんなことを言われる沙苗。
高校教師の夫は女子バレー部の顧問を務めており、朝から晩まで熱血指導。
家庭のことなど何一つ手伝ってくれないが、頑張る夫を支えようと、沙苗は一人で家事育児をこなしていた。
しかし、沙苗は知る由もなかった。
夫が精を出していたのは昼の部活動などではなく…。</v>
      </c>
      <c r="W1962" s="14"/>
      <c r="X1962" s="14" t="str">
        <f>IFERROR(__xludf.DUMMYFUNCTION("""COMPUTED_VALUE"""),"有")</f>
        <v>有</v>
      </c>
      <c r="Y1962" s="8" t="str">
        <f>IFERROR(__xludf.DUMMYFUNCTION("""COMPUTED_VALUE"""),"P6まで")</f>
        <v>P6まで</v>
      </c>
      <c r="Z1962" s="7"/>
      <c r="AA1962" s="7"/>
      <c r="AB1962" s="7"/>
    </row>
    <row r="1963" ht="15.75" customHeight="1">
      <c r="A1963" s="26">
        <f>IFERROR(__xludf.DUMMYFUNCTION("""COMPUTED_VALUE"""),3929.0)</f>
        <v>3929</v>
      </c>
      <c r="B1963" s="22" t="str">
        <f>IFERROR(__xludf.DUMMYFUNCTION("""COMPUTED_VALUE"""),"確定")</f>
        <v>確定</v>
      </c>
      <c r="C1963" s="28">
        <f>IFERROR(__xludf.DUMMYFUNCTION("""COMPUTED_VALUE"""),45509.0)</f>
        <v>45509</v>
      </c>
      <c r="D1963" s="28">
        <f>IFERROR(__xludf.DUMMYFUNCTION("""COMPUTED_VALUE"""),45513.0)</f>
        <v>45513</v>
      </c>
      <c r="E1963" s="100">
        <f>IFERROR(__xludf.DUMMYFUNCTION("""COMPUTED_VALUE"""),302197.0)</f>
        <v>302197</v>
      </c>
      <c r="F1963" s="61" t="str">
        <f>IFERROR(__xludf.DUMMYFUNCTION("""COMPUTED_VALUE"""),"あなたの子供はいりません")</f>
        <v>あなたの子供はいりません</v>
      </c>
      <c r="G1963" s="69" t="str">
        <f>IFERROR(__xludf.DUMMYFUNCTION("""COMPUTED_VALUE"""),"1～3")</f>
        <v>1～3</v>
      </c>
      <c r="H1963" s="22" t="str">
        <f>IFERROR(__xludf.DUMMYFUNCTION("""COMPUTED_VALUE"""),"岸本悠希／COMIC ROOM")</f>
        <v>岸本悠希／COMIC ROOM</v>
      </c>
      <c r="I1963" s="22" t="str">
        <f>IFERROR(__xludf.DUMMYFUNCTION("""COMPUTED_VALUE"""),"女性")</f>
        <v>女性</v>
      </c>
      <c r="J1963" s="22"/>
      <c r="K1963" s="22"/>
      <c r="L1963" s="22" t="str">
        <f>IFERROR(__xludf.DUMMYFUNCTION("""COMPUTED_VALUE"""),"コミックルーム")</f>
        <v>コミックルーム</v>
      </c>
      <c r="M1963" s="47">
        <f>IFERROR(__xludf.DUMMYFUNCTION("""COMPUTED_VALUE"""),45555.0)</f>
        <v>45555</v>
      </c>
      <c r="N1963" s="58">
        <f>IFERROR(__xludf.DUMMYFUNCTION("""COMPUTED_VALUE"""),45645.0)</f>
        <v>45645</v>
      </c>
      <c r="O1963" s="20"/>
      <c r="P1963" s="34" t="str">
        <f>IFERROR(__xludf.DUMMYFUNCTION("""COMPUTED_VALUE"""),"可")</f>
        <v>可</v>
      </c>
      <c r="Q1963" s="30" t="str">
        <f>IFERROR(__xludf.DUMMYFUNCTION("""COMPUTED_VALUE"""),"広告コミットOK(8/8)")</f>
        <v>広告コミットOK(8/8)</v>
      </c>
      <c r="R1963" s="22"/>
      <c r="S1963" s="67" t="str">
        <f>IFERROR(__xludf.DUMMYFUNCTION("""COMPUTED_VALUE"""),"20240809_コミックルーム_あなたの子供はいりません")</f>
        <v>20240809_コミックルーム_あなたの子供はいりません</v>
      </c>
      <c r="T1963" s="22" t="str">
        <f>IFERROR(__xludf.DUMMYFUNCTION("""COMPUTED_VALUE"""),"格納済み")</f>
        <v>格納済み</v>
      </c>
      <c r="U1963" s="15" t="str">
        <f>IFERROR(__xludf.DUMMYFUNCTION("""COMPUTED_VALUE"""),"©岸本悠希／COMIC ROOM")</f>
        <v>©岸本悠希／COMIC ROOM</v>
      </c>
      <c r="V1963" s="8" t="str">
        <f>IFERROR(__xludf.DUMMYFUNCTION("""COMPUTED_VALUE"""),"「もう子供つくるの諦めよう」
不妊治療の末、つらさの限界を迎えた夫の言葉に、私は結婚以来願い続けた子供を諦めた。
それから５年間、私たちはセックスをしていない。
子供ができないセックスなど無意味だと語る夫に不信感を募らせながら、
「セックスなんかしなくても、私たちは幸せになれる」と自分に言い聞かせる日々。
だがそんなある日、夫の服から香水の匂いが漂ってきて…？")</f>
        <v>「もう子供つくるの諦めよう」
不妊治療の末、つらさの限界を迎えた夫の言葉に、私は結婚以来願い続けた子供を諦めた。
それから５年間、私たちはセックスをしていない。
子供ができないセックスなど無意味だと語る夫に不信感を募らせながら、
「セックスなんかしなくても、私たちは幸せになれる」と自分に言い聞かせる日々。
だがそんなある日、夫の服から香水の匂いが漂ってきて…？</v>
      </c>
      <c r="W1963" s="14"/>
      <c r="X1963" s="14" t="str">
        <f>IFERROR(__xludf.DUMMYFUNCTION("""COMPUTED_VALUE"""),"有")</f>
        <v>有</v>
      </c>
      <c r="Y1963" s="8" t="str">
        <f>IFERROR(__xludf.DUMMYFUNCTION("""COMPUTED_VALUE"""),"P7まで")</f>
        <v>P7まで</v>
      </c>
      <c r="Z1963" s="7"/>
      <c r="AA1963" s="7"/>
      <c r="AB1963" s="7"/>
    </row>
    <row r="1964" ht="15.75" customHeight="1">
      <c r="A1964" s="26">
        <f>IFERROR(__xludf.DUMMYFUNCTION("""COMPUTED_VALUE"""),3936.0)</f>
        <v>3936</v>
      </c>
      <c r="B1964" s="22" t="str">
        <f>IFERROR(__xludf.DUMMYFUNCTION("""COMPUTED_VALUE"""),"確定")</f>
        <v>確定</v>
      </c>
      <c r="C1964" s="28">
        <f>IFERROR(__xludf.DUMMYFUNCTION("""COMPUTED_VALUE"""),45512.0)</f>
        <v>45512</v>
      </c>
      <c r="D1964" s="28">
        <f>IFERROR(__xludf.DUMMYFUNCTION("""COMPUTED_VALUE"""),45512.0)</f>
        <v>45512</v>
      </c>
      <c r="E1964" s="26">
        <f>IFERROR(__xludf.DUMMYFUNCTION("""COMPUTED_VALUE"""),302116.0)</f>
        <v>302116</v>
      </c>
      <c r="F1964" s="22" t="str">
        <f>IFERROR(__xludf.DUMMYFUNCTION("""COMPUTED_VALUE"""),"スイートルームで甘やかしヤクザとふたりきり")</f>
        <v>スイートルームで甘やかしヤクザとふたりきり</v>
      </c>
      <c r="G1964" s="69" t="str">
        <f>IFERROR(__xludf.DUMMYFUNCTION("""COMPUTED_VALUE"""),"1～3")</f>
        <v>1～3</v>
      </c>
      <c r="H1964" s="22" t="str">
        <f>IFERROR(__xludf.DUMMYFUNCTION("""COMPUTED_VALUE"""),"フジヒナタ")</f>
        <v>フジヒナタ</v>
      </c>
      <c r="I1964" s="22" t="str">
        <f>IFERROR(__xludf.DUMMYFUNCTION("""COMPUTED_VALUE"""),"女性")</f>
        <v>女性</v>
      </c>
      <c r="J1964" s="22"/>
      <c r="K1964" s="22"/>
      <c r="L1964" s="22" t="str">
        <f>IFERROR(__xludf.DUMMYFUNCTION("""COMPUTED_VALUE"""),"ガラン")</f>
        <v>ガラン</v>
      </c>
      <c r="M1964" s="59">
        <f>IFERROR(__xludf.DUMMYFUNCTION("""COMPUTED_VALUE"""),45546.0)</f>
        <v>45546</v>
      </c>
      <c r="N1964" s="47">
        <f>IFERROR(__xludf.DUMMYFUNCTION("""COMPUTED_VALUE"""),45637.0)</f>
        <v>45637</v>
      </c>
      <c r="O1964" s="20"/>
      <c r="P1964" s="34" t="str">
        <f>IFERROR(__xludf.DUMMYFUNCTION("""COMPUTED_VALUE"""),"否")</f>
        <v>否</v>
      </c>
      <c r="Q1964" s="30" t="str">
        <f>IFERROR(__xludf.DUMMYFUNCTION("""COMPUTED_VALUE"""),"先行確定につき、可能であれば広告出稿お願いします。")</f>
        <v>先行確定につき、可能であれば広告出稿お願いします。</v>
      </c>
      <c r="R1964" s="22"/>
      <c r="S1964" s="67" t="str">
        <f>IFERROR(__xludf.DUMMYFUNCTION("""COMPUTED_VALUE"""),"20240807_ガラン_スイートルームで甘やかしヤクザとふたりきり")</f>
        <v>20240807_ガラン_スイートルームで甘やかしヤクザとふたりきり</v>
      </c>
      <c r="T1964" s="22" t="str">
        <f>IFERROR(__xludf.DUMMYFUNCTION("""COMPUTED_VALUE"""),"格納済み")</f>
        <v>格納済み</v>
      </c>
      <c r="U1964" s="15" t="str">
        <f>IFERROR(__xludf.DUMMYFUNCTION("""COMPUTED_VALUE"""),"フジヒナタ／Haute Couture")</f>
        <v>フジヒナタ／Haute Couture</v>
      </c>
      <c r="V1964" s="8" t="str">
        <f>IFERROR(__xludf.DUMMYFUNCTION("""COMPUTED_VALUE"""),"獰猛なヤクザ×生真面目オトナ女子の恋は初めての連続！ーー小夜は、高級ホテルで働く優秀なコンシェルジュ。ある日、トラブル対応でスイートルームに向かうと、刺青姿でくつろぐ周防組若頭・瀧と出会う。遊び好きの瀧に抱き寄せられるが、臆することなく毅然と対応する小夜。怖いもの知らずな態度が逆に気に入られてしまい、毎日アプローチを受けることに!? 最初はあくまでひとりのお客様として接していた小夜だったが、瀧の人柄と自分への真剣な眼差しに段々と惹かれていく。でも、小夜には瀧に言えない秘密があって…!?")</f>
        <v>獰猛なヤクザ×生真面目オトナ女子の恋は初めての連続！ーー小夜は、高級ホテルで働く優秀なコンシェルジュ。ある日、トラブル対応でスイートルームに向かうと、刺青姿でくつろぐ周防組若頭・瀧と出会う。遊び好きの瀧に抱き寄せられるが、臆することなく毅然と対応する小夜。怖いもの知らずな態度が逆に気に入られてしまい、毎日アプローチを受けることに!? 最初はあくまでひとりのお客様として接していた小夜だったが、瀧の人柄と自分への真剣な眼差しに段々と惹かれていく。でも、小夜には瀧に言えない秘密があって…!?</v>
      </c>
      <c r="W1964" s="14"/>
      <c r="X1964" s="14" t="str">
        <f>IFERROR(__xludf.DUMMYFUNCTION("""COMPUTED_VALUE"""),"有")</f>
        <v>有</v>
      </c>
      <c r="Y1964" s="8" t="str">
        <f>IFERROR(__xludf.DUMMYFUNCTION("""COMPUTED_VALUE"""),"1巻無料")</f>
        <v>1巻無料</v>
      </c>
      <c r="Z1964" s="7"/>
      <c r="AA1964" s="7"/>
      <c r="AB1964" s="7"/>
    </row>
    <row r="1965" ht="15.75" customHeight="1">
      <c r="A1965" s="26">
        <f>IFERROR(__xludf.DUMMYFUNCTION("""COMPUTED_VALUE"""),3953.0)</f>
        <v>3953</v>
      </c>
      <c r="B1965" s="22" t="str">
        <f>IFERROR(__xludf.DUMMYFUNCTION("""COMPUTED_VALUE"""),"確定")</f>
        <v>確定</v>
      </c>
      <c r="C1965" s="28">
        <f>IFERROR(__xludf.DUMMYFUNCTION("""COMPUTED_VALUE"""),45513.0)</f>
        <v>45513</v>
      </c>
      <c r="D1965" s="28">
        <f>IFERROR(__xludf.DUMMYFUNCTION("""COMPUTED_VALUE"""),45513.0)</f>
        <v>45513</v>
      </c>
      <c r="E1965" s="26">
        <f>IFERROR(__xludf.DUMMYFUNCTION("""COMPUTED_VALUE"""),285074.0)</f>
        <v>285074</v>
      </c>
      <c r="F1965" s="22" t="str">
        <f>IFERROR(__xludf.DUMMYFUNCTION("""COMPUTED_VALUE"""),"義兄弟以上、恋人未満。")</f>
        <v>義兄弟以上、恋人未満。</v>
      </c>
      <c r="G1965" s="20" t="str">
        <f>IFERROR(__xludf.DUMMYFUNCTION("""COMPUTED_VALUE"""),"1～3")</f>
        <v>1～3</v>
      </c>
      <c r="H1965" s="22" t="str">
        <f>IFERROR(__xludf.DUMMYFUNCTION("""COMPUTED_VALUE"""),"泉くれは")</f>
        <v>泉くれは</v>
      </c>
      <c r="I1965" s="75" t="str">
        <f>IFERROR(__xludf.DUMMYFUNCTION("""COMPUTED_VALUE"""),"BL")</f>
        <v>BL</v>
      </c>
      <c r="J1965" s="22"/>
      <c r="K1965" s="22"/>
      <c r="L1965" s="22" t="str">
        <f>IFERROR(__xludf.DUMMYFUNCTION("""COMPUTED_VALUE"""),"ソルマーレ編集部")</f>
        <v>ソルマーレ編集部</v>
      </c>
      <c r="M1965" s="59">
        <f>IFERROR(__xludf.DUMMYFUNCTION("""COMPUTED_VALUE"""),45549.0)</f>
        <v>45549</v>
      </c>
      <c r="N1965" s="33">
        <f>IFERROR(__xludf.DUMMYFUNCTION("""COMPUTED_VALUE"""),45610.0)</f>
        <v>45610</v>
      </c>
      <c r="O1965" s="20"/>
      <c r="P1965" s="32" t="str">
        <f>IFERROR(__xludf.DUMMYFUNCTION("""COMPUTED_VALUE"""),"可")</f>
        <v>可</v>
      </c>
      <c r="Q1965" s="30"/>
      <c r="R1965" s="22"/>
      <c r="S1965" s="67" t="str">
        <f>IFERROR(__xludf.DUMMYFUNCTION("""COMPUTED_VALUE"""),"20240809_ソルマーレ編集部_義兄弟以上、恋人未満。")</f>
        <v>20240809_ソルマーレ編集部_義兄弟以上、恋人未満。</v>
      </c>
      <c r="T1965" s="22" t="str">
        <f>IFERROR(__xludf.DUMMYFUNCTION("""COMPUTED_VALUE"""),"格納済み")</f>
        <v>格納済み</v>
      </c>
      <c r="U1965" s="15" t="str">
        <f>IFERROR(__xludf.DUMMYFUNCTION("""COMPUTED_VALUE"""),"Ⓒ 泉くれは/シーモアコミックス")</f>
        <v>Ⓒ 泉くれは/シーモアコミックス</v>
      </c>
      <c r="V1965" s="8" t="str">
        <f>IFERROR(__xludf.DUMMYFUNCTION("""COMPUTED_VALUE"""),"父と継母が亡くなり、大学生の義弟・凪（なぎ）と二人きりの家族になってしまった宇海柊吾（うかい しゅうご）。凪を守らなければ――兄としての使命感に燃え、実家に戻って同居することにしたけれど…オトナになった凪の色気に、なぜかドギマギ!?
「一人じゃ恥ずかしいから、柊吾も一緒にして…？」お年頃な義弟から性のお悩み相談をされ、そのまま手ほどきすることになってしまって!?!? 甘え上手で策士な義弟×ブラコン義兄の禁断ラブレッスン♪ 【フィカス】")</f>
        <v>父と継母が亡くなり、大学生の義弟・凪（なぎ）と二人きりの家族になってしまった宇海柊吾（うかい しゅうご）。凪を守らなければ――兄としての使命感に燃え、実家に戻って同居することにしたけれど…オトナになった凪の色気に、なぜかドギマギ!?
「一人じゃ恥ずかしいから、柊吾も一緒にして…？」お年頃な義弟から性のお悩み相談をされ、そのまま手ほどきすることになってしまって!?!? 甘え上手で策士な義弟×ブラコン義兄の禁断ラブレッスン♪ 【フィカス】</v>
      </c>
      <c r="W1965" s="14"/>
      <c r="X1965" s="14" t="str">
        <f>IFERROR(__xludf.DUMMYFUNCTION("""COMPUTED_VALUE"""),"有")</f>
        <v>有</v>
      </c>
      <c r="Y1965" s="8" t="str">
        <f>IFERROR(__xludf.DUMMYFUNCTION("""COMPUTED_VALUE"""),"2024/10/11まで1巻無料")</f>
        <v>2024/10/11まで1巻無料</v>
      </c>
      <c r="Z1965" s="7"/>
      <c r="AA1965" s="7"/>
      <c r="AB1965" s="7"/>
    </row>
    <row r="1966" ht="15.75" customHeight="1">
      <c r="A1966" s="26">
        <f>IFERROR(__xludf.DUMMYFUNCTION("""COMPUTED_VALUE"""),3954.0)</f>
        <v>3954</v>
      </c>
      <c r="B1966" s="22" t="str">
        <f>IFERROR(__xludf.DUMMYFUNCTION("""COMPUTED_VALUE"""),"確定")</f>
        <v>確定</v>
      </c>
      <c r="C1966" s="28">
        <f>IFERROR(__xludf.DUMMYFUNCTION("""COMPUTED_VALUE"""),45513.0)</f>
        <v>45513</v>
      </c>
      <c r="D1966" s="28">
        <f>IFERROR(__xludf.DUMMYFUNCTION("""COMPUTED_VALUE"""),45513.0)</f>
        <v>45513</v>
      </c>
      <c r="E1966" s="26">
        <f>IFERROR(__xludf.DUMMYFUNCTION("""COMPUTED_VALUE"""),288117.0)</f>
        <v>288117</v>
      </c>
      <c r="F1966" s="22" t="str">
        <f>IFERROR(__xludf.DUMMYFUNCTION("""COMPUTED_VALUE"""),"愛というには、ほど遠い～サレ妻たちの選択～")</f>
        <v>愛というには、ほど遠い～サレ妻たちの選択～</v>
      </c>
      <c r="G1966" s="20" t="str">
        <f>IFERROR(__xludf.DUMMYFUNCTION("""COMPUTED_VALUE"""),"1～3")</f>
        <v>1～3</v>
      </c>
      <c r="H1966" s="22" t="str">
        <f>IFERROR(__xludf.DUMMYFUNCTION("""COMPUTED_VALUE"""),"なつみ理奈")</f>
        <v>なつみ理奈</v>
      </c>
      <c r="I1966" s="22" t="str">
        <f>IFERROR(__xludf.DUMMYFUNCTION("""COMPUTED_VALUE"""),"女性")</f>
        <v>女性</v>
      </c>
      <c r="J1966" s="22"/>
      <c r="K1966" s="22"/>
      <c r="L1966" s="22" t="str">
        <f>IFERROR(__xludf.DUMMYFUNCTION("""COMPUTED_VALUE"""),"ソルマーレ編集部")</f>
        <v>ソルマーレ編集部</v>
      </c>
      <c r="M1966" s="59">
        <f>IFERROR(__xludf.DUMMYFUNCTION("""COMPUTED_VALUE"""),45549.0)</f>
        <v>45549</v>
      </c>
      <c r="N1966" s="33">
        <f>IFERROR(__xludf.DUMMYFUNCTION("""COMPUTED_VALUE"""),45701.70833333333)</f>
        <v>45701.70833</v>
      </c>
      <c r="O1966" s="20"/>
      <c r="P1966" s="32" t="str">
        <f>IFERROR(__xludf.DUMMYFUNCTION("""COMPUTED_VALUE"""),"可")</f>
        <v>可</v>
      </c>
      <c r="Q1966" s="30"/>
      <c r="R1966" s="22"/>
      <c r="S1966" s="67" t="str">
        <f>IFERROR(__xludf.DUMMYFUNCTION("""COMPUTED_VALUE"""),"20240809_ソルマーレ編集部_愛というには、ほど遠い～サレ妻たちの選択～")</f>
        <v>20240809_ソルマーレ編集部_愛というには、ほど遠い～サレ妻たちの選択～</v>
      </c>
      <c r="T1966" s="22" t="str">
        <f>IFERROR(__xludf.DUMMYFUNCTION("""COMPUTED_VALUE"""),"格納済み")</f>
        <v>格納済み</v>
      </c>
      <c r="U1966" s="15" t="str">
        <f>IFERROR(__xludf.DUMMYFUNCTION("""COMPUTED_VALUE"""),"Ⓒ なつみ理奈/シーモアコミックス")</f>
        <v>Ⓒ なつみ理奈/シーモアコミックス</v>
      </c>
      <c r="V1966" s="8" t="str">
        <f>IFERROR(__xludf.DUMMYFUNCTION("""COMPUTED_VALUE"""),"なんでも話せる夫婦でいた。夫に不倫を告白されるまでは──。
古池蒼葉とその夫・純也は、半年前に純也の不倫が発覚し、現在関係修復中の夫婦。家事を全て担い、常に蒼葉を気遣う純也に対し、いまだ蒼葉はどんな小さなことも疑いフラッシュバックをする日々。以前のように純也のことを受け入れることができないのに、捨てることもできずにいた。
そんな苦しみの中でもがき続けてきた蒼葉だったが、ある日、親友の美憂から「婚外恋愛」に誘われる。そこで目にしたのは、既婚者たちが出会いを求める現実だった…！【恋するソワレ＋】")</f>
        <v>なんでも話せる夫婦でいた。夫に不倫を告白されるまでは──。
古池蒼葉とその夫・純也は、半年前に純也の不倫が発覚し、現在関係修復中の夫婦。家事を全て担い、常に蒼葉を気遣う純也に対し、いまだ蒼葉はどんな小さなことも疑いフラッシュバックをする日々。以前のように純也のことを受け入れることができないのに、捨てることもできずにいた。
そんな苦しみの中でもがき続けてきた蒼葉だったが、ある日、親友の美憂から「婚外恋愛」に誘われる。そこで目にしたのは、既婚者たちが出会いを求める現実だった…！【恋するソワレ＋】</v>
      </c>
      <c r="W1966" s="14"/>
      <c r="X1966" s="14" t="str">
        <f>IFERROR(__xludf.DUMMYFUNCTION("""COMPUTED_VALUE"""),"有")</f>
        <v>有</v>
      </c>
      <c r="Y1966" s="8" t="str">
        <f>IFERROR(__xludf.DUMMYFUNCTION("""COMPUTED_VALUE"""),"2024/10/11まで1巻無料")</f>
        <v>2024/10/11まで1巻無料</v>
      </c>
      <c r="Z1966" s="7"/>
      <c r="AA1966" s="7"/>
      <c r="AB1966" s="7"/>
    </row>
    <row r="1967" ht="15.75" customHeight="1">
      <c r="A1967" s="66">
        <f>IFERROR(__xludf.DUMMYFUNCTION("""COMPUTED_VALUE"""),3949.0)</f>
        <v>3949</v>
      </c>
      <c r="B1967" s="22" t="str">
        <f>IFERROR(__xludf.DUMMYFUNCTION("""COMPUTED_VALUE"""),"確定")</f>
        <v>確定</v>
      </c>
      <c r="C1967" s="68">
        <f>IFERROR(__xludf.DUMMYFUNCTION("""COMPUTED_VALUE"""),45512.0)</f>
        <v>45512</v>
      </c>
      <c r="D1967" s="68">
        <f>IFERROR(__xludf.DUMMYFUNCTION("""COMPUTED_VALUE"""),45519.0)</f>
        <v>45519</v>
      </c>
      <c r="E1967" s="26">
        <f>IFERROR(__xludf.DUMMYFUNCTION("""COMPUTED_VALUE"""),301401.0)</f>
        <v>301401</v>
      </c>
      <c r="F1967" s="31" t="str">
        <f>IFERROR(__xludf.DUMMYFUNCTION("""COMPUTED_VALUE"""),"月とピエタ[ばら売り]")</f>
        <v>月とピエタ[ばら売り]</v>
      </c>
      <c r="G1967" s="69" t="str">
        <f>IFERROR(__xludf.DUMMYFUNCTION("""COMPUTED_VALUE"""),"1～4")</f>
        <v>1～4</v>
      </c>
      <c r="H1967" s="75" t="str">
        <f>IFERROR(__xludf.DUMMYFUNCTION("""COMPUTED_VALUE"""),"大地幹")</f>
        <v>大地幹</v>
      </c>
      <c r="I1967" s="75" t="str">
        <f>IFERROR(__xludf.DUMMYFUNCTION("""COMPUTED_VALUE"""),"BL")</f>
        <v>BL</v>
      </c>
      <c r="J1967" s="75"/>
      <c r="K1967" s="75"/>
      <c r="L1967" s="75" t="str">
        <f>IFERROR(__xludf.DUMMYFUNCTION("""COMPUTED_VALUE"""),"白泉社")</f>
        <v>白泉社</v>
      </c>
      <c r="M1967" s="59">
        <f>IFERROR(__xludf.DUMMYFUNCTION("""COMPUTED_VALUE"""),45549.0)</f>
        <v>45549</v>
      </c>
      <c r="N1967" s="59">
        <f>IFERROR(__xludf.DUMMYFUNCTION("""COMPUTED_VALUE"""),45603.0)</f>
        <v>45603</v>
      </c>
      <c r="O1967" s="20"/>
      <c r="P1967" s="80" t="str">
        <f>IFERROR(__xludf.DUMMYFUNCTION("""COMPUTED_VALUE"""),"可")</f>
        <v>可</v>
      </c>
      <c r="Q1967" s="30" t="str">
        <f>IFERROR(__xludf.DUMMYFUNCTION("""COMPUTED_VALUE"""),"過去にX投稿画像がちょこっとバズった作品のようでして、、ヒキもあるのかな？と思います。
 https://x.com/mkdic_2")</f>
        <v>過去にX投稿画像がちょこっとバズった作品のようでして、、ヒキもあるのかな？と思います。
 https://x.com/mkdic_2</v>
      </c>
      <c r="R1967" s="75"/>
      <c r="S1967" s="67" t="str">
        <f>IFERROR(__xludf.DUMMYFUNCTION("""COMPUTED_VALUE"""),"20240815_白泉社_月とピエタ")</f>
        <v>20240815_白泉社_月とピエタ</v>
      </c>
      <c r="T1967" s="22" t="str">
        <f>IFERROR(__xludf.DUMMYFUNCTION("""COMPUTED_VALUE"""),"格納済み")</f>
        <v>格納済み</v>
      </c>
      <c r="U1967" s="15" t="str">
        <f>IFERROR(__xludf.DUMMYFUNCTION("""COMPUTED_VALUE"""),"Ⓒ大地幹/白泉社	")</f>
        <v>Ⓒ大地幹/白泉社	</v>
      </c>
      <c r="V1967" s="8" t="str">
        <f>IFERROR(__xludf.DUMMYFUNCTION("""COMPUTED_VALUE"""),"【第1話】「君からはいつも画用液の匂いがする」――断るのが苦手でストーカーの被害に合うほど愛想笑いばかりの日常に嫌気がさしつつも、変わることのできない自分に葛藤する美大生の陽介。ある日、解剖学の講師である百合川に心の中を見透かされたような一言を浴びせられ、葛藤しながらも自宅に帰るとそこには…？不器用な二人の初めての純愛―。")</f>
        <v>【第1話】「君からはいつも画用液の匂いがする」――断るのが苦手でストーカーの被害に合うほど愛想笑いばかりの日常に嫌気がさしつつも、変わることのできない自分に葛藤する美大生の陽介。ある日、解剖学の講師である百合川に心の中を見透かされたような一言を浴びせられ、葛藤しながらも自宅に帰るとそこには…？不器用な二人の初めての純愛―。</v>
      </c>
      <c r="W1967" s="14"/>
      <c r="X1967" s="14" t="str">
        <f>IFERROR(__xludf.DUMMYFUNCTION("""COMPUTED_VALUE"""),"有")</f>
        <v>有</v>
      </c>
      <c r="Y1967" s="8" t="str">
        <f>IFERROR(__xludf.DUMMYFUNCTION("""COMPUTED_VALUE"""),"2024/9/27まで1巻無料")</f>
        <v>2024/9/27まで1巻無料</v>
      </c>
      <c r="Z1967" s="7"/>
      <c r="AA1967" s="7"/>
      <c r="AB1967" s="7"/>
    </row>
    <row r="1968" ht="15.75" customHeight="1">
      <c r="A1968" s="66">
        <f>IFERROR(__xludf.DUMMYFUNCTION("""COMPUTED_VALUE"""),3950.0)</f>
        <v>3950</v>
      </c>
      <c r="B1968" s="22" t="str">
        <f>IFERROR(__xludf.DUMMYFUNCTION("""COMPUTED_VALUE"""),"確定")</f>
        <v>確定</v>
      </c>
      <c r="C1968" s="68">
        <f>IFERROR(__xludf.DUMMYFUNCTION("""COMPUTED_VALUE"""),45512.0)</f>
        <v>45512</v>
      </c>
      <c r="D1968" s="68">
        <f>IFERROR(__xludf.DUMMYFUNCTION("""COMPUTED_VALUE"""),45519.0)</f>
        <v>45519</v>
      </c>
      <c r="E1968" s="100">
        <f>IFERROR(__xludf.DUMMYFUNCTION("""COMPUTED_VALUE"""),304673.0)</f>
        <v>304673</v>
      </c>
      <c r="F1968" s="60" t="str">
        <f>IFERROR(__xludf.DUMMYFUNCTION("""COMPUTED_VALUE"""),"この世界は私のもの～断罪エンドの悪役令嬢は愛されヒロインの裏切りを許さない～")</f>
        <v>この世界は私のもの～断罪エンドの悪役令嬢は愛されヒロインの裏切りを許さない～</v>
      </c>
      <c r="G1968" s="69" t="str">
        <f>IFERROR(__xludf.DUMMYFUNCTION("""COMPUTED_VALUE"""),"1～7")</f>
        <v>1～7</v>
      </c>
      <c r="H1968" s="75" t="str">
        <f>IFERROR(__xludf.DUMMYFUNCTION("""COMPUTED_VALUE"""),"青咲るそう")</f>
        <v>青咲るそう</v>
      </c>
      <c r="I1968" s="75" t="str">
        <f>IFERROR(__xludf.DUMMYFUNCTION("""COMPUTED_VALUE"""),"女性")</f>
        <v>女性</v>
      </c>
      <c r="J1968" s="75"/>
      <c r="K1968" s="75"/>
      <c r="L1968" s="75" t="str">
        <f>IFERROR(__xludf.DUMMYFUNCTION("""COMPUTED_VALUE"""),"ライブコミックス")</f>
        <v>ライブコミックス</v>
      </c>
      <c r="M1968" s="101">
        <f>IFERROR(__xludf.DUMMYFUNCTION("""COMPUTED_VALUE"""),45590.0)</f>
        <v>45590</v>
      </c>
      <c r="N1968" s="85">
        <f>IFERROR(__xludf.DUMMYFUNCTION("""COMPUTED_VALUE"""),45652.0)</f>
        <v>45652</v>
      </c>
      <c r="O1968" s="20"/>
      <c r="P1968" s="80" t="str">
        <f>IFERROR(__xludf.DUMMYFUNCTION("""COMPUTED_VALUE"""),"可")</f>
        <v>可</v>
      </c>
      <c r="Q1968" s="30" t="str">
        <f>IFERROR(__xludf.DUMMYFUNCTION("""COMPUTED_VALUE"""),"広告コミットOK(8/9)
 BookLiveからの2次先行です。
 1～4巻目の素材にて検討＆バナー制作いただけますと幸いです。")</f>
        <v>広告コミットOK(8/9)
 BookLiveからの2次先行です。
 1～4巻目の素材にて検討＆バナー制作いただけますと幸いです。</v>
      </c>
      <c r="R1968" s="75"/>
      <c r="S1968" s="67" t="str">
        <f>IFERROR(__xludf.DUMMYFUNCTION("""COMPUTED_VALUE"""),"20240808_BookLive_この世界は私のもの")</f>
        <v>20240808_BookLive_この世界は私のもの</v>
      </c>
      <c r="T1968" s="22" t="str">
        <f>IFERROR(__xludf.DUMMYFUNCTION("""COMPUTED_VALUE"""),"格納済み")</f>
        <v>格納済み</v>
      </c>
      <c r="U1968" s="15" t="str">
        <f>IFERROR(__xludf.DUMMYFUNCTION("""COMPUTED_VALUE"""),"Ⓒ青咲るそう/ライブコミックス	")</f>
        <v>Ⓒ青咲るそう/ライブコミックス	</v>
      </c>
      <c r="V1968" s="8" t="str">
        <f>IFERROR(__xludf.DUMMYFUNCTION("""COMPUTED_VALUE"""),"自作の乙女ゲーム「花嫁候補は愛されLv.100超え令嬢」の悪役令嬢・ソニアに転生したひびき。ところがソニアを待っていたのは、我が子のように愛情を注いで生み出したヒロイン・ヴァイオレッタの裏切りだった。放火のえん罪を証言するはずが、一向にシナリオどおりのセリフを言わないヴァイオレッタ。それどころか彼女から向けられたのは、ゴミくずを見るかのようなあまりにも冷たい視線で――？全身全霊を注いで創り上げたこの世界を、予期せぬキャラ改変なんかに壊されてたまるもんですか。性格が歪んだヴァイオレッタを元の“愛され令嬢”に"&amp;"戻すため、創造主・ひびきは悪役令嬢ソニアとして、命を賭けたバグ修正に挑む――！")</f>
        <v>自作の乙女ゲーム「花嫁候補は愛されLv.100超え令嬢」の悪役令嬢・ソニアに転生したひびき。ところがソニアを待っていたのは、我が子のように愛情を注いで生み出したヒロイン・ヴァイオレッタの裏切りだった。放火のえん罪を証言するはずが、一向にシナリオどおりのセリフを言わないヴァイオレッタ。それどころか彼女から向けられたのは、ゴミくずを見るかのようなあまりにも冷たい視線で――？全身全霊を注いで創り上げたこの世界を、予期せぬキャラ改変なんかに壊されてたまるもんですか。性格が歪んだヴァイオレッタを元の“愛され令嬢”に戻すため、創造主・ひびきは悪役令嬢ソニアとして、命を賭けたバグ修正に挑む――！</v>
      </c>
      <c r="W1968" s="14"/>
      <c r="X1968" s="14" t="str">
        <f>IFERROR(__xludf.DUMMYFUNCTION("""COMPUTED_VALUE"""),"有")</f>
        <v>有</v>
      </c>
      <c r="Y1968" s="8" t="str">
        <f>IFERROR(__xludf.DUMMYFUNCTION("""COMPUTED_VALUE"""),"2024/11/21まで1～2巻無料")</f>
        <v>2024/11/21まで1～2巻無料</v>
      </c>
      <c r="Z1968" s="7"/>
      <c r="AA1968" s="7"/>
      <c r="AB1968" s="7"/>
    </row>
    <row r="1969" ht="15.75" customHeight="1">
      <c r="A1969" s="26">
        <f>IFERROR(__xludf.DUMMYFUNCTION("""COMPUTED_VALUE"""),3959.0)</f>
        <v>3959</v>
      </c>
      <c r="B1969" s="22" t="str">
        <f>IFERROR(__xludf.DUMMYFUNCTION("""COMPUTED_VALUE"""),"確定")</f>
        <v>確定</v>
      </c>
      <c r="C1969" s="28">
        <f>IFERROR(__xludf.DUMMYFUNCTION("""COMPUTED_VALUE"""),45513.0)</f>
        <v>45513</v>
      </c>
      <c r="D1969" s="28">
        <f>IFERROR(__xludf.DUMMYFUNCTION("""COMPUTED_VALUE"""),45523.0)</f>
        <v>45523</v>
      </c>
      <c r="E1969" s="26">
        <f>IFERROR(__xludf.DUMMYFUNCTION("""COMPUTED_VALUE"""),301363.0)</f>
        <v>301363</v>
      </c>
      <c r="F1969" s="22" t="str">
        <f>IFERROR(__xludf.DUMMYFUNCTION("""COMPUTED_VALUE"""),"悪魔な兄が過保護で困ってます【単話売】")</f>
        <v>悪魔な兄が過保護で困ってます【単話売】</v>
      </c>
      <c r="G1969" s="69" t="str">
        <f>IFERROR(__xludf.DUMMYFUNCTION("""COMPUTED_VALUE"""),"1～3")</f>
        <v>1～3</v>
      </c>
      <c r="H1969" s="22" t="str">
        <f>IFERROR(__xludf.DUMMYFUNCTION("""COMPUTED_VALUE"""),"椎名秋乃")</f>
        <v>椎名秋乃</v>
      </c>
      <c r="I1969" s="46" t="str">
        <f>IFERROR(__xludf.DUMMYFUNCTION("""COMPUTED_VALUE"""),"少女")</f>
        <v>少女</v>
      </c>
      <c r="J1969" s="22"/>
      <c r="K1969" s="22"/>
      <c r="L1969" s="22" t="str">
        <f>IFERROR(__xludf.DUMMYFUNCTION("""COMPUTED_VALUE"""),"ジュリアンパブリッシング")</f>
        <v>ジュリアンパブリッシング</v>
      </c>
      <c r="M1969" s="59">
        <f>IFERROR(__xludf.DUMMYFUNCTION("""COMPUTED_VALUE"""),45548.0)</f>
        <v>45548</v>
      </c>
      <c r="N1969" s="47">
        <f>IFERROR(__xludf.DUMMYFUNCTION("""COMPUTED_VALUE"""),45603.0)</f>
        <v>45603</v>
      </c>
      <c r="O1969" s="20"/>
      <c r="P1969" s="34" t="str">
        <f>IFERROR(__xludf.DUMMYFUNCTION("""COMPUTED_VALUE"""),"可")</f>
        <v>可</v>
      </c>
      <c r="Q1969" s="30" t="str">
        <f>IFERROR(__xludf.DUMMYFUNCTION("""COMPUTED_VALUE"""),"広告コミットOK（8/19）
先行2か月間
続話についても、1か月の連載先行頂いております。")</f>
        <v>広告コミットOK（8/19）
先行2か月間
続話についても、1か月の連載先行頂いております。</v>
      </c>
      <c r="R1969" s="22"/>
      <c r="S1969" s="67" t="str">
        <f>IFERROR(__xludf.DUMMYFUNCTION("""COMPUTED_VALUE"""),"20240814_ジュリアンパブリッシング_悪魔な兄が過保護で困ってます【単話売】")</f>
        <v>20240814_ジュリアンパブリッシング_悪魔な兄が過保護で困ってます【単話売】</v>
      </c>
      <c r="T1969" s="22" t="str">
        <f>IFERROR(__xludf.DUMMYFUNCTION("""COMPUTED_VALUE"""),"格納済み")</f>
        <v>格納済み</v>
      </c>
      <c r="U1969" s="15" t="str">
        <f>IFERROR(__xludf.DUMMYFUNCTION("""COMPUTED_VALUE"""),"(C)椎名秋乃・香月航・RAHWIA/ジュリアンパブリッシング")</f>
        <v>(C)椎名秋乃・香月航・RAHWIA/ジュリアンパブリッシング</v>
      </c>
      <c r="V1969" s="8" t="str">
        <f>IFERROR(__xludf.DUMMYFUNCTION("""COMPUTED_VALUE"""),"伯爵令嬢のユフィには血の繋がらない「兄」がいる。頭脳明晰で文武両道、そして異国風の美貌で非の打ちどころのないネイト。「世の女性の理想の集大成」と名高い彼だが、その正体は黒い翼を持つ《人ならざるもの》。幼いユフィを人攫いから救い、なぜかそのままユフィの「兄」の座に収まっていたのだ。狙いが分からず警戒するユフィだが、ネイトの怒涛の溺愛っぷりにドキドキしてしまって…!? 年頃になっても彼の過保護ムーブのせいでユフィの婚活は今のところ惨敗続き。絶対運命の出会いをして脱・ネイトしたい！と息巻くが――!? 最強騎士×"&amp;"崖っぷち婚活令嬢の溺愛ラブコメ開幕！")</f>
        <v>伯爵令嬢のユフィには血の繋がらない「兄」がいる。頭脳明晰で文武両道、そして異国風の美貌で非の打ちどころのないネイト。「世の女性の理想の集大成」と名高い彼だが、その正体は黒い翼を持つ《人ならざるもの》。幼いユフィを人攫いから救い、なぜかそのままユフィの「兄」の座に収まっていたのだ。狙いが分からず警戒するユフィだが、ネイトの怒涛の溺愛っぷりにドキドキしてしまって…!? 年頃になっても彼の過保護ムーブのせいでユフィの婚活は今のところ惨敗続き。絶対運命の出会いをして脱・ネイトしたい！と息巻くが――!? 最強騎士×崖っぷち婚活令嬢の溺愛ラブコメ開幕！</v>
      </c>
      <c r="W1969" s="14"/>
      <c r="X1969" s="14" t="str">
        <f>IFERROR(__xludf.DUMMYFUNCTION("""COMPUTED_VALUE"""),"有")</f>
        <v>有</v>
      </c>
      <c r="Y1969" s="8" t="str">
        <f>IFERROR(__xludf.DUMMYFUNCTION("""COMPUTED_VALUE"""),"P13まで")</f>
        <v>P13まで</v>
      </c>
      <c r="Z1969" s="7"/>
      <c r="AA1969" s="7"/>
      <c r="AB1969" s="7"/>
    </row>
    <row r="1970" ht="15.75" customHeight="1">
      <c r="A1970" s="26">
        <f>IFERROR(__xludf.DUMMYFUNCTION("""COMPUTED_VALUE"""),3842.0)</f>
        <v>3842</v>
      </c>
      <c r="B1970" s="22" t="str">
        <f>IFERROR(__xludf.DUMMYFUNCTION("""COMPUTED_VALUE"""),"確定")</f>
        <v>確定</v>
      </c>
      <c r="C1970" s="59">
        <f>IFERROR(__xludf.DUMMYFUNCTION("""COMPUTED_VALUE"""),45496.0)</f>
        <v>45496</v>
      </c>
      <c r="D1970" s="59">
        <f>IFERROR(__xludf.DUMMYFUNCTION("""COMPUTED_VALUE"""),45523.0)</f>
        <v>45523</v>
      </c>
      <c r="E1970" s="100">
        <f>IFERROR(__xludf.DUMMYFUNCTION("""COMPUTED_VALUE"""),302901.0)</f>
        <v>302901</v>
      </c>
      <c r="F1970" s="61" t="str">
        <f>IFERROR(__xludf.DUMMYFUNCTION("""COMPUTED_VALUE"""),"人の余命で青春するな［1話売り］")</f>
        <v>人の余命で青春するな［1話売り］</v>
      </c>
      <c r="G1970" s="69" t="str">
        <f>IFERROR(__xludf.DUMMYFUNCTION("""COMPUTED_VALUE"""),"1～4")</f>
        <v>1～4</v>
      </c>
      <c r="H1970" s="22" t="str">
        <f>IFERROR(__xludf.DUMMYFUNCTION("""COMPUTED_VALUE"""),"福山リョウコ")</f>
        <v>福山リョウコ</v>
      </c>
      <c r="I1970" s="22" t="str">
        <f>IFERROR(__xludf.DUMMYFUNCTION("""COMPUTED_VALUE"""),"少女")</f>
        <v>少女</v>
      </c>
      <c r="J1970" s="22"/>
      <c r="K1970" s="22"/>
      <c r="L1970" s="22" t="str">
        <f>IFERROR(__xludf.DUMMYFUNCTION("""COMPUTED_VALUE"""),"白泉社")</f>
        <v>白泉社</v>
      </c>
      <c r="M1970" s="59">
        <f>IFERROR(__xludf.DUMMYFUNCTION("""COMPUTED_VALUE"""),45555.0)</f>
        <v>45555</v>
      </c>
      <c r="N1970" s="33">
        <f>IFERROR(__xludf.DUMMYFUNCTION("""COMPUTED_VALUE"""),45618.0)</f>
        <v>45618</v>
      </c>
      <c r="O1970" s="20"/>
      <c r="P1970" s="34" t="str">
        <f>IFERROR(__xludf.DUMMYFUNCTION("""COMPUTED_VALUE"""),"否")</f>
        <v>否</v>
      </c>
      <c r="Q1970" s="30" t="str">
        <f>IFERROR(__xludf.DUMMYFUNCTION("""COMPUTED_VALUE"""),"広告コミットOK(7/29)
「恋に無駄口」「覆面系ノイズ」とかの先生の新作です！売れると思います！！
https://www.cmoa.jp/title/192533/
https://www.cmoa.jp/title/103505/")</f>
        <v>広告コミットOK(7/29)
「恋に無駄口」「覆面系ノイズ」とかの先生の新作です！売れると思います！！
https://www.cmoa.jp/title/192533/
https://www.cmoa.jp/title/103505/</v>
      </c>
      <c r="R1970" s="22"/>
      <c r="S1970" s="67" t="str">
        <f>IFERROR(__xludf.DUMMYFUNCTION("""COMPUTED_VALUE"""),"20240815_白泉社_人の余命で青春するな")</f>
        <v>20240815_白泉社_人の余命で青春するな</v>
      </c>
      <c r="T1970" s="22" t="str">
        <f>IFERROR(__xludf.DUMMYFUNCTION("""COMPUTED_VALUE"""),"格納済み")</f>
        <v>格納済み</v>
      </c>
      <c r="U1970" s="15" t="str">
        <f>IFERROR(__xludf.DUMMYFUNCTION("""COMPUTED_VALUE"""),"Ⓒ福山リョウコ/白泉社")</f>
        <v>Ⓒ福山リョウコ/白泉社</v>
      </c>
      <c r="V1970" s="8" t="str">
        <f>IFERROR(__xludf.DUMMYFUNCTION("""COMPUTED_VALUE"""),"二子玉川高校芸能クラスは、普通の学校生活を知らない青春素人の集まり。無名女優・之依は、同じく無名のクラスメイト・音士と共にオーディションを受けるも、人生経験不足を指摘され――？(この話は、【電子版】花とゆめ 15号（2024年）に収録されています。)")</f>
        <v>二子玉川高校芸能クラスは、普通の学校生活を知らない青春素人の集まり。無名女優・之依は、同じく無名のクラスメイト・音士と共にオーディションを受けるも、人生経験不足を指摘され――？(この話は、【電子版】花とゆめ 15号（2024年）に収録されています。)</v>
      </c>
      <c r="W1970" s="14"/>
      <c r="X1970" s="14" t="str">
        <f>IFERROR(__xludf.DUMMYFUNCTION("""COMPUTED_VALUE"""),"有")</f>
        <v>有</v>
      </c>
      <c r="Y1970" s="8" t="str">
        <f>IFERROR(__xludf.DUMMYFUNCTION("""COMPUTED_VALUE"""),"2024/11/22まで1巻無料")</f>
        <v>2024/11/22まで1巻無料</v>
      </c>
      <c r="Z1970" s="7"/>
      <c r="AA1970" s="7"/>
      <c r="AB1970" s="7"/>
    </row>
    <row r="1971" ht="15.75" customHeight="1">
      <c r="A1971" s="26">
        <f>IFERROR(__xludf.DUMMYFUNCTION("""COMPUTED_VALUE"""),3796.0)</f>
        <v>3796</v>
      </c>
      <c r="B1971" s="22" t="str">
        <f>IFERROR(__xludf.DUMMYFUNCTION("""COMPUTED_VALUE"""),"確定")</f>
        <v>確定</v>
      </c>
      <c r="C1971" s="102">
        <f>IFERROR(__xludf.DUMMYFUNCTION("""COMPUTED_VALUE"""),45489.0)</f>
        <v>45489</v>
      </c>
      <c r="D1971" s="28">
        <f>IFERROR(__xludf.DUMMYFUNCTION("""COMPUTED_VALUE"""),45524.0)</f>
        <v>45524</v>
      </c>
      <c r="E1971" s="26">
        <f>IFERROR(__xludf.DUMMYFUNCTION("""COMPUTED_VALUE"""),301290.0)</f>
        <v>301290</v>
      </c>
      <c r="F1971" s="22" t="str">
        <f>IFERROR(__xludf.DUMMYFUNCTION("""COMPUTED_VALUE"""),"「好き」っていいたい。")</f>
        <v>「好き」っていいたい。</v>
      </c>
      <c r="G1971" s="11" t="str">
        <f>IFERROR(__xludf.DUMMYFUNCTION("""COMPUTED_VALUE"""),"1～2")</f>
        <v>1～2</v>
      </c>
      <c r="H1971" s="22" t="str">
        <f>IFERROR(__xludf.DUMMYFUNCTION("""COMPUTED_VALUE"""),"水都あさひ")</f>
        <v>水都あさひ</v>
      </c>
      <c r="I1971" s="75" t="str">
        <f>IFERROR(__xludf.DUMMYFUNCTION("""COMPUTED_VALUE"""),"BL")</f>
        <v>BL</v>
      </c>
      <c r="J1971" s="22"/>
      <c r="K1971" s="22"/>
      <c r="L1971" s="22" t="str">
        <f>IFERROR(__xludf.DUMMYFUNCTION("""COMPUTED_VALUE"""),"CLLENN")</f>
        <v>CLLENN</v>
      </c>
      <c r="M1971" s="59">
        <f>IFERROR(__xludf.DUMMYFUNCTION("""COMPUTED_VALUE"""),45547.0)</f>
        <v>45547</v>
      </c>
      <c r="N1971" s="33">
        <f>IFERROR(__xludf.DUMMYFUNCTION("""COMPUTED_VALUE"""),45609.0)</f>
        <v>45609</v>
      </c>
      <c r="O1971" s="20"/>
      <c r="P1971" s="34" t="str">
        <f>IFERROR(__xludf.DUMMYFUNCTION("""COMPUTED_VALUE"""),"可")</f>
        <v>可</v>
      </c>
      <c r="Q1971" s="30" t="str">
        <f>IFERROR(__xludf.DUMMYFUNCTION("""COMPUTED_VALUE"""),"広告コミットOK(7/23)
先行期間2か月に変更いたしましたので、プッシュお願いいたします。
＜補足など＞
商業新人作家ですが、サラリーマンのすれ違い・両片思いというテーマで作成されており、
鉄板のリーマン王道BL作品となっております。
冒頭からエロシーン多めです。")</f>
        <v>広告コミットOK(7/23)
先行期間2か月に変更いたしましたので、プッシュお願いいたします。
＜補足など＞
商業新人作家ですが、サラリーマンのすれ違い・両片思いというテーマで作成されており、
鉄板のリーマン王道BL作品となっております。
冒頭からエロシーン多めです。</v>
      </c>
      <c r="R1971" s="22"/>
      <c r="S1971" s="67" t="str">
        <f>IFERROR(__xludf.DUMMYFUNCTION("""COMPUTED_VALUE"""),"20240815_CLLENN_「好き」っていいたい。")</f>
        <v>20240815_CLLENN_「好き」っていいたい。</v>
      </c>
      <c r="T1971" s="22" t="str">
        <f>IFERROR(__xludf.DUMMYFUNCTION("""COMPUTED_VALUE"""),"格納済み")</f>
        <v>格納済み</v>
      </c>
      <c r="U1971" s="15" t="str">
        <f>IFERROR(__xludf.DUMMYFUNCTION("""COMPUTED_VALUE"""),"(C)水都あさひ/CLLENN")</f>
        <v>(C)水都あさひ/CLLENN</v>
      </c>
      <c r="V1971" s="8" t="str">
        <f>IFERROR(__xludf.DUMMYFUNCTION("""COMPUTED_VALUE"""),"仲いい同期のままでよかったのに…。身体を繋げた日から、2人の関係は崩れていき――。ゲイの蝶野（ちょうの）は、プライベートでもずっと一緒にいる仲のいい同期の城戸（きど）をずっと好きだった。しかし、とあることがきっかけで自宅に泊まりに来た城戸に、ゲイであることがバレてしまう。今の関係を崩したくない蝶野はとっさに「城戸のことは絶対に好きにならないから安心して」と告げると、城戸の態度は急変し、強引に身体を求めてきて――！？ そのくせ、肝心なところでなぜか大事なものを扱うように優しく抱く城戸に戸惑う。自分は誰かの代"&amp;"わりだと思い涙を流す蝶野だったが、その後もなし崩しに城戸と身体を繋げてしまい…。素直になれずに、すれ違う2人。ハイスペリーマン×平凡リーマンの拗れた恋の行方は――！？")</f>
        <v>仲いい同期のままでよかったのに…。身体を繋げた日から、2人の関係は崩れていき――。ゲイの蝶野（ちょうの）は、プライベートでもずっと一緒にいる仲のいい同期の城戸（きど）をずっと好きだった。しかし、とあることがきっかけで自宅に泊まりに来た城戸に、ゲイであることがバレてしまう。今の関係を崩したくない蝶野はとっさに「城戸のことは絶対に好きにならないから安心して」と告げると、城戸の態度は急変し、強引に身体を求めてきて――！？ そのくせ、肝心なところでなぜか大事なものを扱うように優しく抱く城戸に戸惑う。自分は誰かの代わりだと思い涙を流す蝶野だったが、その後もなし崩しに城戸と身体を繋げてしまい…。素直になれずに、すれ違う2人。ハイスペリーマン×平凡リーマンの拗れた恋の行方は――！？</v>
      </c>
      <c r="W1971" s="14"/>
      <c r="X1971" s="14" t="str">
        <f>IFERROR(__xludf.DUMMYFUNCTION("""COMPUTED_VALUE"""),"有")</f>
        <v>有</v>
      </c>
      <c r="Y1971" s="8" t="str">
        <f>IFERROR(__xludf.DUMMYFUNCTION("""COMPUTED_VALUE"""),"P10まで")</f>
        <v>P10まで</v>
      </c>
      <c r="Z1971" s="7"/>
      <c r="AA1971" s="7"/>
      <c r="AB1971" s="7"/>
    </row>
    <row r="1972" ht="15.75" customHeight="1">
      <c r="A1972" s="66">
        <f>IFERROR(__xludf.DUMMYFUNCTION("""COMPUTED_VALUE"""),3458.0)</f>
        <v>3458</v>
      </c>
      <c r="B1972" s="75" t="str">
        <f>IFERROR(__xludf.DUMMYFUNCTION("""COMPUTED_VALUE"""),"確定")</f>
        <v>確定</v>
      </c>
      <c r="C1972" s="68">
        <f>IFERROR(__xludf.DUMMYFUNCTION("""COMPUTED_VALUE"""),45432.0)</f>
        <v>45432</v>
      </c>
      <c r="D1972" s="68">
        <f>IFERROR(__xludf.DUMMYFUNCTION("""COMPUTED_VALUE"""),45524.0)</f>
        <v>45524</v>
      </c>
      <c r="E1972" s="60">
        <f>IFERROR(__xludf.DUMMYFUNCTION("""COMPUTED_VALUE"""),303256.0)</f>
        <v>303256</v>
      </c>
      <c r="F1972" s="82" t="str">
        <f>IFERROR(__xludf.DUMMYFUNCTION("""COMPUTED_VALUE"""),"輪廻の巫女〜時を超え、大神様から寵愛される〜")</f>
        <v>輪廻の巫女〜時を超え、大神様から寵愛される〜</v>
      </c>
      <c r="G1972" s="55" t="str">
        <f>IFERROR(__xludf.DUMMYFUNCTION("""COMPUTED_VALUE"""),"1～5")</f>
        <v>1～5</v>
      </c>
      <c r="H1972" s="103" t="str">
        <f>IFERROR(__xludf.DUMMYFUNCTION("""COMPUTED_VALUE"""),"鹿賀トラコ")</f>
        <v>鹿賀トラコ</v>
      </c>
      <c r="I1972" s="75" t="str">
        <f>IFERROR(__xludf.DUMMYFUNCTION("""COMPUTED_VALUE"""),"女性")</f>
        <v>女性</v>
      </c>
      <c r="J1972" s="75"/>
      <c r="K1972" s="75"/>
      <c r="L1972" s="75" t="str">
        <f>IFERROR(__xludf.DUMMYFUNCTION("""COMPUTED_VALUE"""),"コミックルーム")</f>
        <v>コミックルーム</v>
      </c>
      <c r="M1972" s="59">
        <f>IFERROR(__xludf.DUMMYFUNCTION("""COMPUTED_VALUE"""),45564.0)</f>
        <v>45564</v>
      </c>
      <c r="N1972" s="104">
        <f>IFERROR(__xludf.DUMMYFUNCTION("""COMPUTED_VALUE"""),45654.0)</f>
        <v>45654</v>
      </c>
      <c r="O1972" s="75"/>
      <c r="P1972" s="80" t="str">
        <f>IFERROR(__xludf.DUMMYFUNCTION("""COMPUTED_VALUE"""),"可")</f>
        <v>可</v>
      </c>
      <c r="Q1972" s="72" t="str">
        <f>IFERROR(__xludf.DUMMYFUNCTION("""COMPUTED_VALUE"""),"広告コミットOK(5/24)
・コミックルームとしてかなり力を入れている作品です")</f>
        <v>広告コミットOK(5/24)
・コミックルームとしてかなり力を入れている作品です</v>
      </c>
      <c r="R1972" s="83"/>
      <c r="S1972" s="75" t="str">
        <f>IFERROR(__xludf.DUMMYFUNCTION("""COMPUTED_VALUE"""),"20240903_コミックルーム_輪廻の巫女")</f>
        <v>20240903_コミックルーム_輪廻の巫女</v>
      </c>
      <c r="T1972" s="83" t="str">
        <f>IFERROR(__xludf.DUMMYFUNCTION("""COMPUTED_VALUE"""),"格納済み")</f>
        <v>格納済み</v>
      </c>
      <c r="U1972" s="15" t="str">
        <f>IFERROR(__xludf.DUMMYFUNCTION("""COMPUTED_VALUE"""),"©鹿賀トラコ／COMIC ROOM")</f>
        <v>©鹿賀トラコ／COMIC ROOM</v>
      </c>
      <c r="V1972" s="8" t="str">
        <f>IFERROR(__xludf.DUMMYFUNCTION("""COMPUTED_VALUE"""),"守護神・煌狼アカツキに護られた地——オウガミ国。
月影瑞穂はその地で、苦難の日々を送っていた。
8歳の時に父親を亡くし、翌年には母親が失踪。
引き取り先の叔母からは虐げられ、従兄弟からは虐待を受け…
すべてに絶望した瑞穂は、ついに家を飛び出す。
そんな彼女の前に現れたのは謎の青年、蒼介。
「これからは俺がアンタを護る　アンタは輪廻の巫女だから」
蒼介は瑞穂に、彼女が守護神・煌狼アカツキの巫女の霊力を継ぐ、特別な存在であることを明かす。
そして自分は瑞穂と「ツガイ」になる存在だと"&amp;"告げ──？
運命に翻弄されし者たちの物語が今、幕を開ける！")</f>
        <v>守護神・煌狼アカツキに護られた地——オウガミ国。
月影瑞穂はその地で、苦難の日々を送っていた。
8歳の時に父親を亡くし、翌年には母親が失踪。
引き取り先の叔母からは虐げられ、従兄弟からは虐待を受け…
すべてに絶望した瑞穂は、ついに家を飛び出す。
そんな彼女の前に現れたのは謎の青年、蒼介。
「これからは俺がアンタを護る　アンタは輪廻の巫女だから」
蒼介は瑞穂に、彼女が守護神・煌狼アカツキの巫女の霊力を継ぐ、特別な存在であることを明かす。
そして自分は瑞穂と「ツガイ」になる存在だと告げ──？
運命に翻弄されし者たちの物語が今、幕を開ける！</v>
      </c>
      <c r="W1972" s="14"/>
      <c r="X1972" s="14" t="str">
        <f>IFERROR(__xludf.DUMMYFUNCTION("""COMPUTED_VALUE"""),"有")</f>
        <v>有</v>
      </c>
      <c r="Y1972" s="8" t="str">
        <f>IFERROR(__xludf.DUMMYFUNCTION("""COMPUTED_VALUE"""),"P9まで")</f>
        <v>P9まで</v>
      </c>
      <c r="Z1972" s="7"/>
      <c r="AA1972" s="7"/>
      <c r="AB1972" s="7"/>
    </row>
    <row r="1973" ht="15.75" customHeight="1">
      <c r="A1973" s="66">
        <f>IFERROR(__xludf.DUMMYFUNCTION("""COMPUTED_VALUE"""),3711.0)</f>
        <v>3711</v>
      </c>
      <c r="B1973" s="75" t="str">
        <f>IFERROR(__xludf.DUMMYFUNCTION("""COMPUTED_VALUE"""),"確定")</f>
        <v>確定</v>
      </c>
      <c r="C1973" s="68">
        <f>IFERROR(__xludf.DUMMYFUNCTION("""COMPUTED_VALUE"""),45470.0)</f>
        <v>45470</v>
      </c>
      <c r="D1973" s="68">
        <f>IFERROR(__xludf.DUMMYFUNCTION("""COMPUTED_VALUE"""),45524.0)</f>
        <v>45524</v>
      </c>
      <c r="E1973" s="31">
        <f>IFERROR(__xludf.DUMMYFUNCTION("""COMPUTED_VALUE"""),301835.0)</f>
        <v>301835</v>
      </c>
      <c r="F1973" s="31" t="str">
        <f>IFERROR(__xludf.DUMMYFUNCTION("""COMPUTED_VALUE"""),"婚約破棄された王太子を慰めたら、業務命令のふりした溺愛が始まりました。【分冊版】")</f>
        <v>婚約破棄された王太子を慰めたら、業務命令のふりした溺愛が始まりました。【分冊版】</v>
      </c>
      <c r="G1973" s="69" t="str">
        <f>IFERROR(__xludf.DUMMYFUNCTION("""COMPUTED_VALUE"""),"1～3")</f>
        <v>1～3</v>
      </c>
      <c r="H1973" s="75" t="str">
        <f>IFERROR(__xludf.DUMMYFUNCTION("""COMPUTED_VALUE"""),"夏々篠ねむ┴里海慧（漫画┴原作）")</f>
        <v>夏々篠ねむ┴里海慧（漫画┴原作）</v>
      </c>
      <c r="I1973" s="75" t="str">
        <f>IFERROR(__xludf.DUMMYFUNCTION("""COMPUTED_VALUE"""),"女性")</f>
        <v>女性</v>
      </c>
      <c r="J1973" s="75"/>
      <c r="K1973" s="75"/>
      <c r="L1973" s="75" t="str">
        <f>IFERROR(__xludf.DUMMYFUNCTION("""COMPUTED_VALUE"""),"Amazia")</f>
        <v>Amazia</v>
      </c>
      <c r="M1973" s="59">
        <f>IFERROR(__xludf.DUMMYFUNCTION("""COMPUTED_VALUE"""),45548.0)</f>
        <v>45548</v>
      </c>
      <c r="N1973" s="94">
        <f>IFERROR(__xludf.DUMMYFUNCTION("""COMPUTED_VALUE"""),45638.0)</f>
        <v>45638</v>
      </c>
      <c r="O1973" s="75"/>
      <c r="P1973" s="80" t="str">
        <f>IFERROR(__xludf.DUMMYFUNCTION("""COMPUTED_VALUE"""),"可")</f>
        <v>可</v>
      </c>
      <c r="Q1973" s="72" t="str">
        <f>IFERROR(__xludf.DUMMYFUNCTION("""COMPUTED_VALUE"""),"広告コミットOK(7/1)")</f>
        <v>広告コミットOK(7/1)</v>
      </c>
      <c r="R1973" s="75"/>
      <c r="S1973" s="75" t="str">
        <f>IFERROR(__xludf.DUMMYFUNCTION("""COMPUTED_VALUE"""),"20240815_Amazia_婚約破棄された王太子を慰めたら、業務命令のふりした溺愛が始まりました。【分冊版】")</f>
        <v>20240815_Amazia_婚約破棄された王太子を慰めたら、業務命令のふりした溺愛が始まりました。【分冊版】</v>
      </c>
      <c r="T1973" s="75" t="str">
        <f>IFERROR(__xludf.DUMMYFUNCTION("""COMPUTED_VALUE"""),"格納済み")</f>
        <v>格納済み</v>
      </c>
      <c r="U1973" s="15" t="str">
        <f>IFERROR(__xludf.DUMMYFUNCTION("""COMPUTED_VALUE"""),"©里海慧・夏々篠ねむ/ Amazia, inc.")</f>
        <v>©里海慧・夏々篠ねむ/ Amazia, inc.</v>
      </c>
      <c r="V1973" s="8" t="str">
        <f>IFERROR(__xludf.DUMMYFUNCTION("""COMPUTED_VALUE"""),"「本気で口説き落とすから覚悟してね。これは業務命令だ」――王太子フィルレスを毒殺の危機から救った宮廷治癒士ラティシア。元伯爵令嬢で義妹と婚約者に裏切られた過去のある彼女は、婚約破棄されたばかりのフィルレスと心を通わせる。すると翌朝、彼の専属治癒士 兼 婚約者として「契約」することに!?　甘く優しく時に腹黒いフィルレスの溺愛に戸惑うラティシア。でも、王城で同居生活を送るなか、彼の魅力で「傷」を癒してもらい――!?")</f>
        <v>「本気で口説き落とすから覚悟してね。これは業務命令だ」――王太子フィルレスを毒殺の危機から救った宮廷治癒士ラティシア。元伯爵令嬢で義妹と婚約者に裏切られた過去のある彼女は、婚約破棄されたばかりのフィルレスと心を通わせる。すると翌朝、彼の専属治癒士 兼 婚約者として「契約」することに!?　甘く優しく時に腹黒いフィルレスの溺愛に戸惑うラティシア。でも、王城で同居生活を送るなか、彼の魅力で「傷」を癒してもらい――!?</v>
      </c>
      <c r="W1973" s="14"/>
      <c r="X1973" s="14" t="str">
        <f>IFERROR(__xludf.DUMMYFUNCTION("""COMPUTED_VALUE"""),"有")</f>
        <v>有</v>
      </c>
      <c r="Y1973" s="8" t="str">
        <f>IFERROR(__xludf.DUMMYFUNCTION("""COMPUTED_VALUE"""),"2024/12/12まで1巻無料")</f>
        <v>2024/12/12まで1巻無料</v>
      </c>
      <c r="Z1973" s="7"/>
      <c r="AA1973" s="7"/>
      <c r="AB1973" s="7"/>
    </row>
    <row r="1974" ht="15.75" customHeight="1">
      <c r="A1974" s="66">
        <f>IFERROR(__xludf.DUMMYFUNCTION("""COMPUTED_VALUE"""),3726.0)</f>
        <v>3726</v>
      </c>
      <c r="B1974" s="75" t="str">
        <f>IFERROR(__xludf.DUMMYFUNCTION("""COMPUTED_VALUE"""),"確定")</f>
        <v>確定</v>
      </c>
      <c r="C1974" s="68">
        <f>IFERROR(__xludf.DUMMYFUNCTION("""COMPUTED_VALUE"""),45474.0)</f>
        <v>45474</v>
      </c>
      <c r="D1974" s="68">
        <f>IFERROR(__xludf.DUMMYFUNCTION("""COMPUTED_VALUE"""),45524.0)</f>
        <v>45524</v>
      </c>
      <c r="E1974" s="31">
        <f>IFERROR(__xludf.DUMMYFUNCTION("""COMPUTED_VALUE"""),301474.0)</f>
        <v>301474</v>
      </c>
      <c r="F1974" s="31" t="str">
        <f>IFERROR(__xludf.DUMMYFUNCTION("""COMPUTED_VALUE"""),"もうどこにも行かせない。執着系ハイスぺ男子と溺愛契約婚")</f>
        <v>もうどこにも行かせない。執着系ハイスぺ男子と溺愛契約婚</v>
      </c>
      <c r="G1974" s="69" t="str">
        <f>IFERROR(__xludf.DUMMYFUNCTION("""COMPUTED_VALUE"""),"1～3")</f>
        <v>1～3</v>
      </c>
      <c r="H1974" s="75" t="str">
        <f>IFERROR(__xludf.DUMMYFUNCTION("""COMPUTED_VALUE"""),"春待うろ")</f>
        <v>春待うろ</v>
      </c>
      <c r="I1974" s="75" t="str">
        <f>IFERROR(__xludf.DUMMYFUNCTION("""COMPUTED_VALUE"""),"TL")</f>
        <v>TL</v>
      </c>
      <c r="J1974" s="75"/>
      <c r="K1974" s="75"/>
      <c r="L1974" s="75" t="str">
        <f>IFERROR(__xludf.DUMMYFUNCTION("""COMPUTED_VALUE"""),"MUGENUP")</f>
        <v>MUGENUP</v>
      </c>
      <c r="M1974" s="59">
        <f>IFERROR(__xludf.DUMMYFUNCTION("""COMPUTED_VALUE"""),45546.0)</f>
        <v>45546</v>
      </c>
      <c r="N1974" s="94">
        <f>IFERROR(__xludf.DUMMYFUNCTION("""COMPUTED_VALUE"""),45636.0)</f>
        <v>45636</v>
      </c>
      <c r="O1974" s="75"/>
      <c r="P1974" s="80" t="str">
        <f>IFERROR(__xludf.DUMMYFUNCTION("""COMPUTED_VALUE"""),"可")</f>
        <v>可</v>
      </c>
      <c r="Q1974" s="75" t="str">
        <f>IFERROR(__xludf.DUMMYFUNCTION("""COMPUTED_VALUE"""),"広告コミットOK（7/11）&lt;BR&gt;レーベル名：Puffsmore")</f>
        <v>広告コミットOK（7/11）&lt;BR&gt;レーベル名：Puffsmore</v>
      </c>
      <c r="R1974" s="75" t="str">
        <f>IFERROR(__xludf.DUMMYFUNCTION("""COMPUTED_VALUE"""),"格納済み")</f>
        <v>格納済み</v>
      </c>
      <c r="S1974" s="75" t="str">
        <f>IFERROR(__xludf.DUMMYFUNCTION("""COMPUTED_VALUE"""),"20240815_MUGENUP_もうどこにも行かせない。執着系ハイスぺ男子と溺愛契約婚")</f>
        <v>20240815_MUGENUP_もうどこにも行かせない。執着系ハイスぺ男子と溺愛契約婚</v>
      </c>
      <c r="T1974" s="75" t="str">
        <f>IFERROR(__xludf.DUMMYFUNCTION("""COMPUTED_VALUE"""),"格納済み")</f>
        <v>格納済み</v>
      </c>
      <c r="U1974" s="15" t="str">
        <f>IFERROR(__xludf.DUMMYFUNCTION("""COMPUTED_VALUE"""),"（C）春待うろ／MUGENUP")</f>
        <v>（C）春待うろ／MUGENUP</v>
      </c>
      <c r="V1974" s="8" t="str">
        <f>IFERROR(__xludf.DUMMYFUNCTION("""COMPUTED_VALUE"""),"「やっと一緒になれた…もうどこにも行かせない」
ブラック企業勤めの真衣は、円満に退職できる方法を探していた。
考えを巡らせた結果、寿退社であればすんなりと仕事を辞められると考えて婚活を始めることにしたけれど、マッチングはたったの１件。
しかし相手はなんと大企業の副社長！　しかも会ってみると「結婚しましょう」とすぐにプロポーズ！
お互いの利害が一致しての契約結婚をすることにした真衣だけど、この結婚には条件があって……。
愛のない契約結婚のはずなのに、毎晩溺愛されて何も考えられない……！
"&amp;"偽りの関係から始まる溺愛ラブストーリー。")</f>
        <v>「やっと一緒になれた…もうどこにも行かせない」
ブラック企業勤めの真衣は、円満に退職できる方法を探していた。
考えを巡らせた結果、寿退社であればすんなりと仕事を辞められると考えて婚活を始めることにしたけれど、マッチングはたったの１件。
しかし相手はなんと大企業の副社長！　しかも会ってみると「結婚しましょう」とすぐにプロポーズ！
お互いの利害が一致しての契約結婚をすることにした真衣だけど、この結婚には条件があって……。
愛のない契約結婚のはずなのに、毎晩溺愛されて何も考えられない……！
偽りの関係から始まる溺愛ラブストーリー。</v>
      </c>
      <c r="W1974" s="14"/>
      <c r="X1974" s="14" t="str">
        <f>IFERROR(__xludf.DUMMYFUNCTION("""COMPUTED_VALUE"""),"有")</f>
        <v>有</v>
      </c>
      <c r="Y1974" s="8" t="str">
        <f>IFERROR(__xludf.DUMMYFUNCTION("""COMPUTED_VALUE"""),"P16まで")</f>
        <v>P16まで</v>
      </c>
      <c r="Z1974" s="7"/>
      <c r="AA1974" s="7"/>
      <c r="AB1974" s="7"/>
    </row>
    <row r="1975" ht="15.75" customHeight="1">
      <c r="A1975" s="66">
        <f>IFERROR(__xludf.DUMMYFUNCTION("""COMPUTED_VALUE"""),3781.0)</f>
        <v>3781</v>
      </c>
      <c r="B1975" s="75" t="str">
        <f>IFERROR(__xludf.DUMMYFUNCTION("""COMPUTED_VALUE"""),"確定")</f>
        <v>確定</v>
      </c>
      <c r="C1975" s="68">
        <f>IFERROR(__xludf.DUMMYFUNCTION("""COMPUTED_VALUE"""),45484.0)</f>
        <v>45484</v>
      </c>
      <c r="D1975" s="68">
        <f>IFERROR(__xludf.DUMMYFUNCTION("""COMPUTED_VALUE"""),45525.0)</f>
        <v>45525</v>
      </c>
      <c r="E1975" s="31">
        <f>IFERROR(__xludf.DUMMYFUNCTION("""COMPUTED_VALUE"""),303028.0)</f>
        <v>303028</v>
      </c>
      <c r="F1975" s="31" t="str">
        <f>IFERROR(__xludf.DUMMYFUNCTION("""COMPUTED_VALUE"""),"八つ裂きループ令嬢は累計人生百年目に、初めての恋をした")</f>
        <v>八つ裂きループ令嬢は累計人生百年目に、初めての恋をした</v>
      </c>
      <c r="G1975" s="69" t="str">
        <f>IFERROR(__xludf.DUMMYFUNCTION("""COMPUTED_VALUE"""),"1～3")</f>
        <v>1～3</v>
      </c>
      <c r="H1975" s="75" t="str">
        <f>IFERROR(__xludf.DUMMYFUNCTION("""COMPUTED_VALUE"""),"コミック：戸山こま 原作：天ノ瀬 キャラクター原案：くろこだわに")</f>
        <v>コミック：戸山こま 原作：天ノ瀬 キャラクター原案：くろこだわに</v>
      </c>
      <c r="I1975" s="75" t="str">
        <f>IFERROR(__xludf.DUMMYFUNCTION("""COMPUTED_VALUE"""),"少女")</f>
        <v>少女</v>
      </c>
      <c r="J1975" s="75"/>
      <c r="K1975" s="75"/>
      <c r="L1975" s="75" t="str">
        <f>IFERROR(__xludf.DUMMYFUNCTION("""COMPUTED_VALUE"""),"一迅社")</f>
        <v>一迅社</v>
      </c>
      <c r="M1975" s="93">
        <f>IFERROR(__xludf.DUMMYFUNCTION("""COMPUTED_VALUE"""),45566.0)</f>
        <v>45566</v>
      </c>
      <c r="N1975" s="93">
        <f>IFERROR(__xludf.DUMMYFUNCTION("""COMPUTED_VALUE"""),45596.0)</f>
        <v>45596</v>
      </c>
      <c r="O1975" s="75"/>
      <c r="P1975" s="80" t="str">
        <f>IFERROR(__xludf.DUMMYFUNCTION("""COMPUTED_VALUE"""),"可")</f>
        <v>可</v>
      </c>
      <c r="Q1975" s="72" t="str">
        <f>IFERROR(__xludf.DUMMYFUNCTION("""COMPUTED_VALUE"""),"・河上さん確認済み。出稿お願いします。&lt;BR&gt;・下記のURLで読めます。&lt;BR&gt;https://zerosumonline.com/detail/yatsuzaki&lt;BR&gt;・広告好調時は先行期間延長交渉も可能")</f>
        <v>・河上さん確認済み。出稿お願いします。&lt;BR&gt;・下記のURLで読めます。&lt;BR&gt;https://zerosumonline.com/detail/yatsuzaki&lt;BR&gt;・広告好調時は先行期間延長交渉も可能</v>
      </c>
      <c r="R1975" s="75"/>
      <c r="S1975" s="75" t="str">
        <f>IFERROR(__xludf.DUMMYFUNCTION("""COMPUTED_VALUE"""),"20240820_一迅社_八つ裂きループ令嬢は累計人生百年目に、初めての恋をした")</f>
        <v>20240820_一迅社_八つ裂きループ令嬢は累計人生百年目に、初めての恋をした</v>
      </c>
      <c r="T1975" s="75" t="str">
        <f>IFERROR(__xludf.DUMMYFUNCTION("""COMPUTED_VALUE"""),"格納済み")</f>
        <v>格納済み</v>
      </c>
      <c r="U1975" s="15" t="str">
        <f>IFERROR(__xludf.DUMMYFUNCTION("""COMPUTED_VALUE"""),"(C)戸山こま・天ノ瀬・くろこだわに／一迅社")</f>
        <v>(C)戸山こま・天ノ瀬・くろこだわに／一迅社</v>
      </c>
      <c r="V1975" s="8" t="str">
        <f>IFERROR(__xludf.DUMMYFUNCTION("""COMPUTED_VALUE"""),"「神様、私はあと何度、この人生を繰り返すのでしょう」嫁入りの前日、悪魔に八つ裂きにされて死に戻る男爵令嬢リディアは、累計100歳の誕生日を迎えた。遊び人の婚約者から、政略結婚の道具として扱う父親から、そして悪魔から逃れるために、様々な手段――「王城引き籠もり作戦」、「聖騎士になる作戦」――でループ回避を試みた！　しかし、一度も運命が変わることはなく、リディアは５度目の人生でついに心が折れてしまう。最期を思い出の花園で迎えようとしたら、花束を持った青年が現れて……!?　悪魔に人生を狂わされた不遇な令嬢の大逆"&amp;"転ラブファンタジー！【本商品は単話コンテンツとなります。単行本版と収録内容が異なる場合がございます。漫画内の告知等は過去のものとなりますので、ご注意ください。】")</f>
        <v>「神様、私はあと何度、この人生を繰り返すのでしょう」嫁入りの前日、悪魔に八つ裂きにされて死に戻る男爵令嬢リディアは、累計100歳の誕生日を迎えた。遊び人の婚約者から、政略結婚の道具として扱う父親から、そして悪魔から逃れるために、様々な手段――「王城引き籠もり作戦」、「聖騎士になる作戦」――でループ回避を試みた！　しかし、一度も運命が変わることはなく、リディアは５度目の人生でついに心が折れてしまう。最期を思い出の花園で迎えようとしたら、花束を持った青年が現れて……!?　悪魔に人生を狂わされた不遇な令嬢の大逆転ラブファンタジー！【本商品は単話コンテンツとなります。単行本版と収録内容が異なる場合がございます。漫画内の告知等は過去のものとなりますので、ご注意ください。】</v>
      </c>
      <c r="W1975" s="14"/>
      <c r="X1975" s="14" t="str">
        <f>IFERROR(__xludf.DUMMYFUNCTION("""COMPUTED_VALUE"""),"有")</f>
        <v>有</v>
      </c>
      <c r="Y1975" s="8" t="str">
        <f>IFERROR(__xludf.DUMMYFUNCTION("""COMPUTED_VALUE"""),"2024/10/31まで1巻無料")</f>
        <v>2024/10/31まで1巻無料</v>
      </c>
      <c r="Z1975" s="7"/>
      <c r="AA1975" s="7"/>
      <c r="AB1975" s="7"/>
    </row>
    <row r="1976" ht="15.75" customHeight="1">
      <c r="A1976" s="66">
        <f>IFERROR(__xludf.DUMMYFUNCTION("""COMPUTED_VALUE"""),3806.0)</f>
        <v>3806</v>
      </c>
      <c r="B1976" s="75" t="str">
        <f>IFERROR(__xludf.DUMMYFUNCTION("""COMPUTED_VALUE"""),"確定")</f>
        <v>確定</v>
      </c>
      <c r="C1976" s="68">
        <f>IFERROR(__xludf.DUMMYFUNCTION("""COMPUTED_VALUE"""),45490.0)</f>
        <v>45490</v>
      </c>
      <c r="D1976" s="68">
        <f>IFERROR(__xludf.DUMMYFUNCTION("""COMPUTED_VALUE"""),45524.0)</f>
        <v>45524</v>
      </c>
      <c r="E1976" s="31">
        <f>IFERROR(__xludf.DUMMYFUNCTION("""COMPUTED_VALUE"""),302235.0)</f>
        <v>302235</v>
      </c>
      <c r="F1976" s="31" t="str">
        <f>IFERROR(__xludf.DUMMYFUNCTION("""COMPUTED_VALUE"""),"誰にも愛されなかった醜穢令嬢が幸せになるまで")</f>
        <v>誰にも愛されなかった醜穢令嬢が幸せになるまで</v>
      </c>
      <c r="G1976" s="69" t="str">
        <f>IFERROR(__xludf.DUMMYFUNCTION("""COMPUTED_VALUE"""),"1～3")</f>
        <v>1～3</v>
      </c>
      <c r="H1976" s="75" t="str">
        <f>IFERROR(__xludf.DUMMYFUNCTION("""COMPUTED_VALUE"""),"空木おむ/青季ふゆ/白谷ゆう")</f>
        <v>空木おむ/青季ふゆ/白谷ゆう</v>
      </c>
      <c r="I1976" s="83" t="str">
        <f>IFERROR(__xludf.DUMMYFUNCTION("""COMPUTED_VALUE"""),"少女")</f>
        <v>少女</v>
      </c>
      <c r="J1976" s="75"/>
      <c r="K1976" s="75"/>
      <c r="L1976" s="75" t="str">
        <f>IFERROR(__xludf.DUMMYFUNCTION("""COMPUTED_VALUE"""),"オーバーラップ")</f>
        <v>オーバーラップ</v>
      </c>
      <c r="M1976" s="59">
        <f>IFERROR(__xludf.DUMMYFUNCTION("""COMPUTED_VALUE"""),45546.0)</f>
        <v>45546</v>
      </c>
      <c r="N1976" s="105">
        <f>IFERROR(__xludf.DUMMYFUNCTION("""COMPUTED_VALUE"""),73050.0)</f>
        <v>73050</v>
      </c>
      <c r="O1976" s="75"/>
      <c r="P1976" s="80" t="str">
        <f>IFERROR(__xludf.DUMMYFUNCTION("""COMPUTED_VALUE"""),"否")</f>
        <v>否</v>
      </c>
      <c r="Q1976" s="72" t="str">
        <f>IFERROR(__xludf.DUMMYFUNCTION("""COMPUTED_VALUE"""),"広告コミットOK(7/18)")</f>
        <v>広告コミットOK(7/18)</v>
      </c>
      <c r="R1976" s="75"/>
      <c r="S1976" s="75" t="str">
        <f>IFERROR(__xludf.DUMMYFUNCTION("""COMPUTED_VALUE"""),"20240815_オーバーラップ_誰にも愛されなかった醜穢令嬢")</f>
        <v>20240815_オーバーラップ_誰にも愛されなかった醜穢令嬢</v>
      </c>
      <c r="T1976" s="75" t="str">
        <f>IFERROR(__xludf.DUMMYFUNCTION("""COMPUTED_VALUE"""),"格納済み")</f>
        <v>格納済み</v>
      </c>
      <c r="U1976" s="15" t="str">
        <f>IFERROR(__xludf.DUMMYFUNCTION("""COMPUTED_VALUE"""),"(c)空木おむ (c)青季ふゆ／オーバーラップ")</f>
        <v>(c)空木おむ (c)青季ふゆ／オーバーラップ</v>
      </c>
      <c r="V1976" s="8" t="str">
        <f>IFERROR(__xludf.DUMMYFUNCTION("""COMPUTED_VALUE"""),"食事の代わりに庭の雑草を食べて暮らす、不遇な少女・アメリア。不義の子として伯爵家に生まれた彼女は、幼い頃から家族に虐げられ、その貧相な見た目から社交界では“醜穢令嬢”と呼ばれ蔑まれていた。ある日、そんなアメリアの元に縁談の話が舞い込む。相手は“暴虐公爵”と悪名高いローガン公爵で……!?")</f>
        <v>食事の代わりに庭の雑草を食べて暮らす、不遇な少女・アメリア。不義の子として伯爵家に生まれた彼女は、幼い頃から家族に虐げられ、その貧相な見た目から社交界では“醜穢令嬢”と呼ばれ蔑まれていた。ある日、そんなアメリアの元に縁談の話が舞い込む。相手は“暴虐公爵”と悪名高いローガン公爵で……!?</v>
      </c>
      <c r="W1976" s="14"/>
      <c r="X1976" s="14" t="str">
        <f>IFERROR(__xludf.DUMMYFUNCTION("""COMPUTED_VALUE"""),"有")</f>
        <v>有</v>
      </c>
      <c r="Y1976" s="8" t="str">
        <f>IFERROR(__xludf.DUMMYFUNCTION("""COMPUTED_VALUE"""),"2024/12/10まで1巻無料")</f>
        <v>2024/12/10まで1巻無料</v>
      </c>
      <c r="Z1976" s="7"/>
      <c r="AA1976" s="7"/>
      <c r="AB1976" s="7"/>
    </row>
    <row r="1977" ht="15.75" customHeight="1">
      <c r="A1977" s="66">
        <f>IFERROR(__xludf.DUMMYFUNCTION("""COMPUTED_VALUE"""),3821.0)</f>
        <v>3821</v>
      </c>
      <c r="B1977" s="75" t="str">
        <f>IFERROR(__xludf.DUMMYFUNCTION("""COMPUTED_VALUE"""),"確定")</f>
        <v>確定</v>
      </c>
      <c r="C1977" s="68">
        <f>IFERROR(__xludf.DUMMYFUNCTION("""COMPUTED_VALUE"""),45492.0)</f>
        <v>45492</v>
      </c>
      <c r="D1977" s="68">
        <f>IFERROR(__xludf.DUMMYFUNCTION("""COMPUTED_VALUE"""),45524.0)</f>
        <v>45524</v>
      </c>
      <c r="E1977" s="60">
        <f>IFERROR(__xludf.DUMMYFUNCTION("""COMPUTED_VALUE"""),302278.0)</f>
        <v>302278</v>
      </c>
      <c r="F1977" s="60" t="str">
        <f>IFERROR(__xludf.DUMMYFUNCTION("""COMPUTED_VALUE"""),"恋する渚くん××配信中！")</f>
        <v>恋する渚くん××配信中！</v>
      </c>
      <c r="G1977" s="11" t="str">
        <f>IFERROR(__xludf.DUMMYFUNCTION("""COMPUTED_VALUE"""),"1～2")</f>
        <v>1～2</v>
      </c>
      <c r="H1977" s="75" t="str">
        <f>IFERROR(__xludf.DUMMYFUNCTION("""COMPUTED_VALUE"""),"眠田なな")</f>
        <v>眠田なな</v>
      </c>
      <c r="I1977" s="75" t="str">
        <f>IFERROR(__xludf.DUMMYFUNCTION("""COMPUTED_VALUE"""),"BL")</f>
        <v>BL</v>
      </c>
      <c r="J1977" s="75"/>
      <c r="K1977" s="75"/>
      <c r="L1977" s="75" t="str">
        <f>IFERROR(__xludf.DUMMYFUNCTION("""COMPUTED_VALUE"""),"CLLENN")</f>
        <v>CLLENN</v>
      </c>
      <c r="M1977" s="59">
        <f>IFERROR(__xludf.DUMMYFUNCTION("""COMPUTED_VALUE"""),45556.0)</f>
        <v>45556</v>
      </c>
      <c r="N1977" s="94">
        <f>IFERROR(__xludf.DUMMYFUNCTION("""COMPUTED_VALUE"""),45618.0)</f>
        <v>45618</v>
      </c>
      <c r="O1977" s="75"/>
      <c r="P1977" s="80" t="str">
        <f>IFERROR(__xludf.DUMMYFUNCTION("""COMPUTED_VALUE"""),"可")</f>
        <v>可</v>
      </c>
      <c r="Q1977" s="75" t="str">
        <f>IFERROR(__xludf.DUMMYFUNCTION("""COMPUTED_VALUE"""),"広告コミットOK(7/24)
レーベル名：spicomi
【補足】
1話冒頭から性描写があり、アダルト広告としては利用可能なコマが非常に多い設計になっております！
トレンドの配信というキーワードや、攻めなのにテレが垣間見える設定など、人気作品のツボをきちんと押さえた作品作りがされている新作です。")</f>
        <v>広告コミットOK(7/24)
レーベル名：spicomi
【補足】
1話冒頭から性描写があり、アダルト広告としては利用可能なコマが非常に多い設計になっております！
トレンドの配信というキーワードや、攻めなのにテレが垣間見える設定など、人気作品のツボをきちんと押さえた作品作りがされている新作です。</v>
      </c>
      <c r="R1977" s="75" t="str">
        <f>IFERROR(__xludf.DUMMYFUNCTION("""COMPUTED_VALUE"""),"格納済み")</f>
        <v>格納済み</v>
      </c>
      <c r="S1977" s="75" t="str">
        <f>IFERROR(__xludf.DUMMYFUNCTION("""COMPUTED_VALUE"""),"20240820_CLLENN_恋する渚くん××配信中！")</f>
        <v>20240820_CLLENN_恋する渚くん××配信中！</v>
      </c>
      <c r="T1977" s="75" t="str">
        <f>IFERROR(__xludf.DUMMYFUNCTION("""COMPUTED_VALUE"""),"格納済み")</f>
        <v>格納済み</v>
      </c>
      <c r="U1977" s="15" t="str">
        <f>IFERROR(__xludf.DUMMYFUNCTION("""COMPUTED_VALUE"""),"(C)眠田なな/CLLENN")</f>
        <v>(C)眠田なな/CLLENN</v>
      </c>
      <c r="V1977" s="8" t="str">
        <f>IFERROR(__xludf.DUMMYFUNCTION("""COMPUTED_VALUE"""),"「俺に見られて興奮してんだ？」恥ずかしくて堪らないのに、今まで感じたことないぐらい気持ちいい…！――陰キャ大学生の渚(なぎさ)は、人気者の同級生・千颯(ちはや)に密かに片想い中。彼とは大学寮の部屋が隣同士で、互いに行き来するほどの仲だったが、告白する勇気が出せずにいた。そんな渚には、もう一つ誰にも言えない秘密があった…。それは千颯に見られていると妄想しながら「オナニー配信」をしていること。しかしある日、ひょんなことから千颯に配信を目撃されてしまい、「続きやってよ俺の前で」と言われて―…！？【クール陽キャ×"&amp;"オナニー配信大学生】エッチでピュアなムズキュンBL配信中！")</f>
        <v>「俺に見られて興奮してんだ？」恥ずかしくて堪らないのに、今まで感じたことないぐらい気持ちいい…！――陰キャ大学生の渚(なぎさ)は、人気者の同級生・千颯(ちはや)に密かに片想い中。彼とは大学寮の部屋が隣同士で、互いに行き来するほどの仲だったが、告白する勇気が出せずにいた。そんな渚には、もう一つ誰にも言えない秘密があった…。それは千颯に見られていると妄想しながら「オナニー配信」をしていること。しかしある日、ひょんなことから千颯に配信を目撃されてしまい、「続きやってよ俺の前で」と言われて―…！？【クール陽キャ×オナニー配信大学生】エッチでピュアなムズキュンBL配信中！</v>
      </c>
      <c r="W1977" s="14"/>
      <c r="X1977" s="14" t="str">
        <f>IFERROR(__xludf.DUMMYFUNCTION("""COMPUTED_VALUE"""),"有")</f>
        <v>有</v>
      </c>
      <c r="Y1977" s="8" t="str">
        <f>IFERROR(__xludf.DUMMYFUNCTION("""COMPUTED_VALUE"""),"2024/10/4まで立ち読み増量P16まで")</f>
        <v>2024/10/4まで立ち読み増量P16まで</v>
      </c>
      <c r="Z1977" s="7"/>
      <c r="AA1977" s="7"/>
      <c r="AB1977" s="7"/>
    </row>
    <row r="1978" ht="15.75" customHeight="1">
      <c r="A1978" s="66">
        <f>IFERROR(__xludf.DUMMYFUNCTION("""COMPUTED_VALUE"""),3863.0)</f>
        <v>3863</v>
      </c>
      <c r="B1978" s="75" t="str">
        <f>IFERROR(__xludf.DUMMYFUNCTION("""COMPUTED_VALUE"""),"確定")</f>
        <v>確定</v>
      </c>
      <c r="C1978" s="68">
        <f>IFERROR(__xludf.DUMMYFUNCTION("""COMPUTED_VALUE"""),45499.0)</f>
        <v>45499</v>
      </c>
      <c r="D1978" s="68">
        <f>IFERROR(__xludf.DUMMYFUNCTION("""COMPUTED_VALUE"""),45524.0)</f>
        <v>45524</v>
      </c>
      <c r="E1978" s="60">
        <f>IFERROR(__xludf.DUMMYFUNCTION("""COMPUTED_VALUE"""),303054.0)</f>
        <v>303054</v>
      </c>
      <c r="F1978" s="60" t="str">
        <f>IFERROR(__xludf.DUMMYFUNCTION("""COMPUTED_VALUE"""),"絶倫作家のムラムラHはクセ強め。～先生の熱い××受けとめます！")</f>
        <v>絶倫作家のムラムラHはクセ強め。～先生の熱い××受けとめます！</v>
      </c>
      <c r="G1978" s="11" t="str">
        <f>IFERROR(__xludf.DUMMYFUNCTION("""COMPUTED_VALUE"""),"1～2")</f>
        <v>1～2</v>
      </c>
      <c r="H1978" s="75" t="str">
        <f>IFERROR(__xludf.DUMMYFUNCTION("""COMPUTED_VALUE"""),"むにんしおり")</f>
        <v>むにんしおり</v>
      </c>
      <c r="I1978" s="75" t="str">
        <f>IFERROR(__xludf.DUMMYFUNCTION("""COMPUTED_VALUE"""),"TL")</f>
        <v>TL</v>
      </c>
      <c r="J1978" s="75"/>
      <c r="K1978" s="75"/>
      <c r="L1978" s="75" t="str">
        <f>IFERROR(__xludf.DUMMYFUNCTION("""COMPUTED_VALUE"""),"オーバーラップ")</f>
        <v>オーバーラップ</v>
      </c>
      <c r="M1978" s="59">
        <f>IFERROR(__xludf.DUMMYFUNCTION("""COMPUTED_VALUE"""),45566.0)</f>
        <v>45566</v>
      </c>
      <c r="N1978" s="94">
        <f>IFERROR(__xludf.DUMMYFUNCTION("""COMPUTED_VALUE"""),45626.0)</f>
        <v>45626</v>
      </c>
      <c r="O1978" s="75"/>
      <c r="P1978" s="80" t="str">
        <f>IFERROR(__xludf.DUMMYFUNCTION("""COMPUTED_VALUE"""),"可")</f>
        <v>可</v>
      </c>
      <c r="Q1978" s="72" t="str">
        <f>IFERROR(__xludf.DUMMYFUNCTION("""COMPUTED_VALUE"""),"レーベル：ラブパルフェ")</f>
        <v>レーベル：ラブパルフェ</v>
      </c>
      <c r="R1978" s="75"/>
      <c r="S1978" s="75" t="str">
        <f>IFERROR(__xludf.DUMMYFUNCTION("""COMPUTED_VALUE"""),"20240815_オーバーラップ_絶倫作家のムラムラＨはクセ強め。")</f>
        <v>20240815_オーバーラップ_絶倫作家のムラムラＨはクセ強め。</v>
      </c>
      <c r="T1978" s="75" t="str">
        <f>IFERROR(__xludf.DUMMYFUNCTION("""COMPUTED_VALUE"""),"格納済み")</f>
        <v>格納済み</v>
      </c>
      <c r="U1978" s="15" t="str">
        <f>IFERROR(__xludf.DUMMYFUNCTION("""COMPUTED_VALUE"""),"@むにんしおり／オーバーラップ")</f>
        <v>@むにんしおり／オーバーラップ</v>
      </c>
      <c r="V1978" s="8" t="str">
        <f>IFERROR(__xludf.DUMMYFUNCTION("""COMPUTED_VALUE"""),"「俺を気持ちよくイかせてくれるんだろ？」
最高の絵を描くために、発情した先生のムラムラをヤラしく解消――!?
同僚だった元カレの浮気が原因で別れ、まさかの異動をさせられた紬（つむぎ）。
新たな編集部で一旗揚げてやる！と意気込む中、引き継ぎで受け取った作家は、
超美形の色っぽいアオイ先生…!!　しかし彼には秘密があって…
「絵を描いてるとムラムラする。それを気持ちよくヌくことで、最高の絵が描けるんだ」
真面目な顔でとんでもないカミングアウトを聞いてしまい…!!
先生のため、原稿のため、自分の仕"&amp;"事のため、頑張ってみるけれど――
「あんたのココ、俺のが欲しいってことじゃないの？」
イケメン絵本作家は、絶倫でヘンタイでHテクが凄すぎる！
発情しちゃう先生×頑張り屋編集のイケナイ関係、ムラムラHにスタート☆
※本書は「ラブパルフェVOL.76-1」に収録されています。重複購入にご注意ください。")</f>
        <v>「俺を気持ちよくイかせてくれるんだろ？」
最高の絵を描くために、発情した先生のムラムラをヤラしく解消――!?
同僚だった元カレの浮気が原因で別れ、まさかの異動をさせられた紬（つむぎ）。
新たな編集部で一旗揚げてやる！と意気込む中、引き継ぎで受け取った作家は、
超美形の色っぽいアオイ先生…!!　しかし彼には秘密があって…
「絵を描いてるとムラムラする。それを気持ちよくヌくことで、最高の絵が描けるんだ」
真面目な顔でとんでもないカミングアウトを聞いてしまい…!!
先生のため、原稿のため、自分の仕事のため、頑張ってみるけれど――
「あんたのココ、俺のが欲しいってことじゃないの？」
イケメン絵本作家は、絶倫でヘンタイでHテクが凄すぎる！
発情しちゃう先生×頑張り屋編集のイケナイ関係、ムラムラHにスタート☆
※本書は「ラブパルフェVOL.76-1」に収録されています。重複購入にご注意ください。</v>
      </c>
      <c r="W1978" s="14"/>
      <c r="X1978" s="14" t="str">
        <f>IFERROR(__xludf.DUMMYFUNCTION("""COMPUTED_VALUE"""),"有")</f>
        <v>有</v>
      </c>
      <c r="Y1978" s="8" t="str">
        <f>IFERROR(__xludf.DUMMYFUNCTION("""COMPUTED_VALUE"""),"P9まで")</f>
        <v>P9まで</v>
      </c>
      <c r="Z1978" s="7"/>
      <c r="AA1978" s="7"/>
      <c r="AB1978" s="7"/>
    </row>
    <row r="1979" ht="15.75" customHeight="1">
      <c r="A1979" s="66">
        <f>IFERROR(__xludf.DUMMYFUNCTION("""COMPUTED_VALUE"""),3903.0)</f>
        <v>3903</v>
      </c>
      <c r="B1979" s="75" t="str">
        <f>IFERROR(__xludf.DUMMYFUNCTION("""COMPUTED_VALUE"""),"確定")</f>
        <v>確定</v>
      </c>
      <c r="C1979" s="68">
        <f>IFERROR(__xludf.DUMMYFUNCTION("""COMPUTED_VALUE"""),45505.0)</f>
        <v>45505</v>
      </c>
      <c r="D1979" s="68">
        <f>IFERROR(__xludf.DUMMYFUNCTION("""COMPUTED_VALUE"""),45524.0)</f>
        <v>45524</v>
      </c>
      <c r="E1979" s="31">
        <f>IFERROR(__xludf.DUMMYFUNCTION("""COMPUTED_VALUE"""),300735.0)</f>
        <v>300735</v>
      </c>
      <c r="F1979" s="31" t="str">
        <f>IFERROR(__xludf.DUMMYFUNCTION("""COMPUTED_VALUE"""),"いつから魔力がないと錯覚していた！？（分冊版）")</f>
        <v>いつから魔力がないと錯覚していた！？（分冊版）</v>
      </c>
      <c r="G1979" s="16" t="str">
        <f>IFERROR(__xludf.DUMMYFUNCTION("""COMPUTED_VALUE"""),"1～4")</f>
        <v>1～4</v>
      </c>
      <c r="H1979" s="75" t="str">
        <f>IFERROR(__xludf.DUMMYFUNCTION("""COMPUTED_VALUE"""),"原作：犬丸まお 漫画：黒川レイジ")</f>
        <v>原作：犬丸まお 漫画：黒川レイジ</v>
      </c>
      <c r="I1979" s="75" t="str">
        <f>IFERROR(__xludf.DUMMYFUNCTION("""COMPUTED_VALUE"""),"BL")</f>
        <v>BL</v>
      </c>
      <c r="J1979" s="75"/>
      <c r="K1979" s="75"/>
      <c r="L1979" s="75" t="str">
        <f>IFERROR(__xludf.DUMMYFUNCTION("""COMPUTED_VALUE"""),"アルファポリス")</f>
        <v>アルファポリス</v>
      </c>
      <c r="M1979" s="23">
        <f>IFERROR(__xludf.DUMMYFUNCTION("""COMPUTED_VALUE"""),45537.0)</f>
        <v>45537</v>
      </c>
      <c r="N1979" s="23">
        <f>IFERROR(__xludf.DUMMYFUNCTION("""COMPUTED_VALUE"""),45628.0)</f>
        <v>45628</v>
      </c>
      <c r="O1979" s="75"/>
      <c r="P1979" s="80" t="str">
        <f>IFERROR(__xludf.DUMMYFUNCTION("""COMPUTED_VALUE"""),"可")</f>
        <v>可</v>
      </c>
      <c r="Q1979" s="72" t="str">
        <f>IFERROR(__xludf.DUMMYFUNCTION("""COMPUTED_VALUE"""),"コミットOK(8/6)&lt;BR&gt;【補足】&lt;BR&gt;・素材は5話までいれてますが9月2日の配信時は1～4話まで&lt;BR&gt;・原作はBL小説ですが、エロなしのbレーベル。性描写ないので一般面でも出稿できる&lt;BR&gt;・自社サイトの人気が売れ筋の「半魔の竜騎士は、辺境伯に執着される」越えで期待値が高い作品になります！")</f>
        <v>コミットOK(8/6)&lt;BR&gt;【補足】&lt;BR&gt;・素材は5話までいれてますが9月2日の配信時は1～4話まで&lt;BR&gt;・原作はBL小説ですが、エロなしのbレーベル。性描写ないので一般面でも出稿できる&lt;BR&gt;・自社サイトの人気が売れ筋の「半魔の竜騎士は、辺境伯に執着される」越えで期待値が高い作品になります！</v>
      </c>
      <c r="R1979" s="75"/>
      <c r="S1979" s="75" t="str">
        <f>IFERROR(__xludf.DUMMYFUNCTION("""COMPUTED_VALUE"""),"20240815_アルファポリス_いつから魔力がないと錯覚していた！？
")</f>
        <v>20240815_アルファポリス_いつから魔力がないと錯覚していた！？
</v>
      </c>
      <c r="T1979" s="75" t="str">
        <f>IFERROR(__xludf.DUMMYFUNCTION("""COMPUTED_VALUE"""),"格納済み")</f>
        <v>格納済み</v>
      </c>
      <c r="U1979" s="15" t="str">
        <f>IFERROR(__xludf.DUMMYFUNCTION("""COMPUTED_VALUE"""),"©犬丸まお・黒川レイジ／アルファポリス")</f>
        <v>©犬丸まお・黒川レイジ／アルファポリス</v>
      </c>
      <c r="V1979" s="8" t="str">
        <f>IFERROR(__xludf.DUMMYFUNCTION("""COMPUTED_VALUE"""),"”魔力なし”として生まれ、家族に冷遇されてきたサフィラス。貴族学院に通い始めたある日、クズ婚約者に無理やり襲われそうになってしまう。逃げようとして二階から飛び降りたサフィラスは、落下した衝撃で伝説の魔法使いだった前世を思い出した。これを機に新たな人生を謳歌しようと思うも、周囲は遠巻きにするばかり。そんな中、物怖じすることなく話しかけてきた騎士系優等生・パーシヴァルと友情を育み始めるが――。守らせてほしいパーシヴァルと自分で解決してしまうサフィラスのドタバタ学園生活、開幕！")</f>
        <v>”魔力なし”として生まれ、家族に冷遇されてきたサフィラス。貴族学院に通い始めたある日、クズ婚約者に無理やり襲われそうになってしまう。逃げようとして二階から飛び降りたサフィラスは、落下した衝撃で伝説の魔法使いだった前世を思い出した。これを機に新たな人生を謳歌しようと思うも、周囲は遠巻きにするばかり。そんな中、物怖じすることなく話しかけてきた騎士系優等生・パーシヴァルと友情を育み始めるが――。守らせてほしいパーシヴァルと自分で解決してしまうサフィラスのドタバタ学園生活、開幕！</v>
      </c>
      <c r="W1979" s="14"/>
      <c r="X1979" s="14" t="str">
        <f>IFERROR(__xludf.DUMMYFUNCTION("""COMPUTED_VALUE"""),"有")</f>
        <v>有</v>
      </c>
      <c r="Y1979" s="8" t="str">
        <f>IFERROR(__xludf.DUMMYFUNCTION("""COMPUTED_VALUE"""),"1巻無料")</f>
        <v>1巻無料</v>
      </c>
      <c r="Z1979" s="7"/>
      <c r="AA1979" s="7"/>
      <c r="AB1979" s="7"/>
    </row>
    <row r="1980" ht="15.75" customHeight="1">
      <c r="A1980" s="66">
        <f>IFERROR(__xludf.DUMMYFUNCTION("""COMPUTED_VALUE"""),3951.0)</f>
        <v>3951</v>
      </c>
      <c r="B1980" s="75" t="str">
        <f>IFERROR(__xludf.DUMMYFUNCTION("""COMPUTED_VALUE"""),"確定")</f>
        <v>確定</v>
      </c>
      <c r="C1980" s="68">
        <f>IFERROR(__xludf.DUMMYFUNCTION("""COMPUTED_VALUE"""),45513.0)</f>
        <v>45513</v>
      </c>
      <c r="D1980" s="68">
        <f>IFERROR(__xludf.DUMMYFUNCTION("""COMPUTED_VALUE"""),45523.0)</f>
        <v>45523</v>
      </c>
      <c r="E1980" s="26">
        <f>IFERROR(__xludf.DUMMYFUNCTION("""COMPUTED_VALUE"""),231729.0)</f>
        <v>231729</v>
      </c>
      <c r="F1980" s="31" t="str">
        <f>IFERROR(__xludf.DUMMYFUNCTION("""COMPUTED_VALUE"""),"洸生くんに推されるなんて聞いてません")</f>
        <v>洸生くんに推されるなんて聞いてません</v>
      </c>
      <c r="G1980" s="69" t="str">
        <f>IFERROR(__xludf.DUMMYFUNCTION("""COMPUTED_VALUE"""),"1～3")</f>
        <v>1～3</v>
      </c>
      <c r="H1980" s="75" t="str">
        <f>IFERROR(__xludf.DUMMYFUNCTION("""COMPUTED_VALUE"""),"実村やこ")</f>
        <v>実村やこ</v>
      </c>
      <c r="I1980" s="75" t="str">
        <f>IFERROR(__xludf.DUMMYFUNCTION("""COMPUTED_VALUE"""),"少女")</f>
        <v>少女</v>
      </c>
      <c r="J1980" s="75"/>
      <c r="K1980" s="75"/>
      <c r="L1980" s="75" t="str">
        <f>IFERROR(__xludf.DUMMYFUNCTION("""COMPUTED_VALUE"""),"ソルマーレ編集部")</f>
        <v>ソルマーレ編集部</v>
      </c>
      <c r="M1980" s="59">
        <f>IFERROR(__xludf.DUMMYFUNCTION("""COMPUTED_VALUE"""),45549.0)</f>
        <v>45549</v>
      </c>
      <c r="N1980" s="94">
        <f>IFERROR(__xludf.DUMMYFUNCTION("""COMPUTED_VALUE"""),45701.70833333333)</f>
        <v>45701.70833</v>
      </c>
      <c r="O1980" s="75"/>
      <c r="P1980" s="71" t="str">
        <f>IFERROR(__xludf.DUMMYFUNCTION("""COMPUTED_VALUE"""),"可")</f>
        <v>可</v>
      </c>
      <c r="Q1980" s="72"/>
      <c r="R1980" s="75"/>
      <c r="S1980" s="75" t="str">
        <f>IFERROR(__xludf.DUMMYFUNCTION("""COMPUTED_VALUE"""),"20240816_ソルマーレ編集部_洸生くんに推されるなんて聞いてません")</f>
        <v>20240816_ソルマーレ編集部_洸生くんに推されるなんて聞いてません</v>
      </c>
      <c r="T1980" s="75" t="str">
        <f>IFERROR(__xludf.DUMMYFUNCTION("""COMPUTED_VALUE"""),"格納済み")</f>
        <v>格納済み</v>
      </c>
      <c r="U1980" s="15" t="str">
        <f>IFERROR(__xludf.DUMMYFUNCTION("""COMPUTED_VALUE"""),"Ⓒ 実村やこ/シーモアコミックス")</f>
        <v>Ⓒ 実村やこ/シーモアコミックス</v>
      </c>
      <c r="V1980" s="8" t="str">
        <f>IFERROR(__xludf.DUMMYFUNCTION("""COMPUTED_VALUE"""),"「…熊川さんは俺の“推し”だから」
職場環境の影響で不眠症の歯科衛生士・熊川怜望（くまかわさとみ）。彼女を不眠から救ったのは配信者「コウキ」の朗読だった。
スパチャをして彼を推すことに生きがいを感じていたある日、「コウキ」と同じ声の「町田洸生」という患者の担当になる。
そう…彼は“推し“ご本人だった。
怜望はプロとして身バレをせず、推しの口の健康を守ることを誓って――！
お疲れさま女子×金髪年下大学生の推して推される!? ほのキュンラブストーリー！
【恋するソワレ】")</f>
        <v>「…熊川さんは俺の“推し”だから」
職場環境の影響で不眠症の歯科衛生士・熊川怜望（くまかわさとみ）。彼女を不眠から救ったのは配信者「コウキ」の朗読だった。
スパチャをして彼を推すことに生きがいを感じていたある日、「コウキ」と同じ声の「町田洸生」という患者の担当になる。
そう…彼は“推し“ご本人だった。
怜望はプロとして身バレをせず、推しの口の健康を守ることを誓って――！
お疲れさま女子×金髪年下大学生の推して推される!? ほのキュンラブストーリー！
【恋するソワレ】</v>
      </c>
      <c r="W1980" s="14"/>
      <c r="X1980" s="14" t="str">
        <f>IFERROR(__xludf.DUMMYFUNCTION("""COMPUTED_VALUE"""),"有")</f>
        <v>有</v>
      </c>
      <c r="Y1980" s="8" t="str">
        <f>IFERROR(__xludf.DUMMYFUNCTION("""COMPUTED_VALUE"""),"P15まで")</f>
        <v>P15まで</v>
      </c>
      <c r="Z1980" s="7"/>
      <c r="AA1980" s="7"/>
      <c r="AB1980" s="7"/>
    </row>
    <row r="1981" ht="15.75" customHeight="1">
      <c r="A1981" s="66">
        <f>IFERROR(__xludf.DUMMYFUNCTION("""COMPUTED_VALUE"""),3952.0)</f>
        <v>3952</v>
      </c>
      <c r="B1981" s="75" t="str">
        <f>IFERROR(__xludf.DUMMYFUNCTION("""COMPUTED_VALUE"""),"確定")</f>
        <v>確定</v>
      </c>
      <c r="C1981" s="68">
        <f>IFERROR(__xludf.DUMMYFUNCTION("""COMPUTED_VALUE"""),45513.0)</f>
        <v>45513</v>
      </c>
      <c r="D1981" s="68">
        <f>IFERROR(__xludf.DUMMYFUNCTION("""COMPUTED_VALUE"""),45523.0)</f>
        <v>45523</v>
      </c>
      <c r="E1981" s="26">
        <f>IFERROR(__xludf.DUMMYFUNCTION("""COMPUTED_VALUE"""),268519.0)</f>
        <v>268519</v>
      </c>
      <c r="F1981" s="31" t="str">
        <f>IFERROR(__xludf.DUMMYFUNCTION("""COMPUTED_VALUE"""),"ラブ×ラブ マリッジショー モアハピネス")</f>
        <v>ラブ×ラブ マリッジショー モアハピネス</v>
      </c>
      <c r="G1981" s="69" t="str">
        <f>IFERROR(__xludf.DUMMYFUNCTION("""COMPUTED_VALUE"""),"1～3")</f>
        <v>1～3</v>
      </c>
      <c r="H1981" s="75" t="str">
        <f>IFERROR(__xludf.DUMMYFUNCTION("""COMPUTED_VALUE"""),"龍華哲")</f>
        <v>龍華哲</v>
      </c>
      <c r="I1981" s="75" t="str">
        <f>IFERROR(__xludf.DUMMYFUNCTION("""COMPUTED_VALUE"""),"BL")</f>
        <v>BL</v>
      </c>
      <c r="J1981" s="75"/>
      <c r="K1981" s="75"/>
      <c r="L1981" s="75" t="str">
        <f>IFERROR(__xludf.DUMMYFUNCTION("""COMPUTED_VALUE"""),"ソルマーレ編集部")</f>
        <v>ソルマーレ編集部</v>
      </c>
      <c r="M1981" s="59">
        <f>IFERROR(__xludf.DUMMYFUNCTION("""COMPUTED_VALUE"""),45549.0)</f>
        <v>45549</v>
      </c>
      <c r="N1981" s="94">
        <f>IFERROR(__xludf.DUMMYFUNCTION("""COMPUTED_VALUE"""),45610.0)</f>
        <v>45610</v>
      </c>
      <c r="O1981" s="75"/>
      <c r="P1981" s="71" t="str">
        <f>IFERROR(__xludf.DUMMYFUNCTION("""COMPUTED_VALUE"""),"可")</f>
        <v>可</v>
      </c>
      <c r="Q1981" s="72"/>
      <c r="R1981" s="75"/>
      <c r="S1981" s="75" t="str">
        <f>IFERROR(__xludf.DUMMYFUNCTION("""COMPUTED_VALUE"""),"20240816_ソルマーレ編集部_ラブ×ラブ マリッジショー モアハピネス")</f>
        <v>20240816_ソルマーレ編集部_ラブ×ラブ マリッジショー モアハピネス</v>
      </c>
      <c r="T1981" s="75" t="str">
        <f>IFERROR(__xludf.DUMMYFUNCTION("""COMPUTED_VALUE"""),"格納済み")</f>
        <v>格納済み</v>
      </c>
      <c r="U1981" s="15" t="str">
        <f>IFERROR(__xludf.DUMMYFUNCTION("""COMPUTED_VALUE"""),"Ⓒ 龍華哲/シーモアコミックス")</f>
        <v>Ⓒ 龍華哲/シーモアコミックス</v>
      </c>
      <c r="V1981" s="8" t="str">
        <f>IFERROR(__xludf.DUMMYFUNCTION("""COMPUTED_VALUE"""),"【この作品は「ラブ×ラブ マリッジショー」の続編です】甘えたワンコリーマン・日和と不器用なクールビューティー・アキ。誰もがうらやむ美男×美男夫夫の二人は、今日もラブラブ――と思いきや、二人の新婚生活に変化が…？ なんと急遽 アキの姉の子供を期間限定で預かることになったのだ！ 甥っ子・翔(しょう)との三人生活は、驚きと戸惑いの連続で――？ 新米パパ(？)になった二人のハートウォーミング・ラブコメ。【フィカス】")</f>
        <v>【この作品は「ラブ×ラブ マリッジショー」の続編です】甘えたワンコリーマン・日和と不器用なクールビューティー・アキ。誰もがうらやむ美男×美男夫夫の二人は、今日もラブラブ――と思いきや、二人の新婚生活に変化が…？ なんと急遽 アキの姉の子供を期間限定で預かることになったのだ！ 甥っ子・翔(しょう)との三人生活は、驚きと戸惑いの連続で――？ 新米パパ(？)になった二人のハートウォーミング・ラブコメ。【フィカス】</v>
      </c>
      <c r="W1981" s="14"/>
      <c r="X1981" s="14" t="str">
        <f>IFERROR(__xludf.DUMMYFUNCTION("""COMPUTED_VALUE"""),"有")</f>
        <v>有</v>
      </c>
      <c r="Y1981" s="8" t="str">
        <f>IFERROR(__xludf.DUMMYFUNCTION("""COMPUTED_VALUE"""),"2024/10/11まで1巻無料")</f>
        <v>2024/10/11まで1巻無料</v>
      </c>
      <c r="Z1981" s="7"/>
      <c r="AA1981" s="7"/>
      <c r="AB1981" s="7"/>
    </row>
    <row r="1982" ht="15.75" customHeight="1">
      <c r="A1982" s="66">
        <f>IFERROR(__xludf.DUMMYFUNCTION("""COMPUTED_VALUE"""),3976.0)</f>
        <v>3976</v>
      </c>
      <c r="B1982" s="75" t="str">
        <f>IFERROR(__xludf.DUMMYFUNCTION("""COMPUTED_VALUE"""),"確定")</f>
        <v>確定</v>
      </c>
      <c r="C1982" s="68">
        <f>IFERROR(__xludf.DUMMYFUNCTION("""COMPUTED_VALUE"""),45519.0)</f>
        <v>45519</v>
      </c>
      <c r="D1982" s="68">
        <f>IFERROR(__xludf.DUMMYFUNCTION("""COMPUTED_VALUE"""),45524.0)</f>
        <v>45524</v>
      </c>
      <c r="E1982" s="31">
        <f>IFERROR(__xludf.DUMMYFUNCTION("""COMPUTED_VALUE"""),301237.0)</f>
        <v>301237</v>
      </c>
      <c r="F1982" s="31" t="str">
        <f>IFERROR(__xludf.DUMMYFUNCTION("""COMPUTED_VALUE"""),"ハーレム×パラダイス")</f>
        <v>ハーレム×パラダイス</v>
      </c>
      <c r="G1982" s="69" t="str">
        <f>IFERROR(__xludf.DUMMYFUNCTION("""COMPUTED_VALUE"""),"1～3")</f>
        <v>1～3</v>
      </c>
      <c r="H1982" s="75" t="str">
        <f>IFERROR(__xludf.DUMMYFUNCTION("""COMPUTED_VALUE"""),"柊碧織/蛆胎")</f>
        <v>柊碧織/蛆胎</v>
      </c>
      <c r="I1982" s="75" t="str">
        <f>IFERROR(__xludf.DUMMYFUNCTION("""COMPUTED_VALUE"""),"青年")</f>
        <v>青年</v>
      </c>
      <c r="J1982" s="75"/>
      <c r="K1982" s="75"/>
      <c r="L1982" s="75" t="str">
        <f>IFERROR(__xludf.DUMMYFUNCTION("""COMPUTED_VALUE"""),"Rush!")</f>
        <v>Rush!</v>
      </c>
      <c r="M1982" s="59">
        <f>IFERROR(__xludf.DUMMYFUNCTION("""COMPUTED_VALUE"""),45548.0)</f>
        <v>45548</v>
      </c>
      <c r="N1982" s="94">
        <f>IFERROR(__xludf.DUMMYFUNCTION("""COMPUTED_VALUE"""),45582.0)</f>
        <v>45582</v>
      </c>
      <c r="O1982" s="75"/>
      <c r="P1982" s="71" t="str">
        <f>IFERROR(__xludf.DUMMYFUNCTION("""COMPUTED_VALUE"""),"可")</f>
        <v>可</v>
      </c>
      <c r="Q1982" s="72"/>
      <c r="R1982" s="75"/>
      <c r="S1982" s="75" t="str">
        <f>IFERROR(__xludf.DUMMYFUNCTION("""COMPUTED_VALUE"""),"20240815_ファンギルド_ハーレム×パラダイス")</f>
        <v>20240815_ファンギルド_ハーレム×パラダイス</v>
      </c>
      <c r="T1982" s="75" t="str">
        <f>IFERROR(__xludf.DUMMYFUNCTION("""COMPUTED_VALUE"""),"格納済み")</f>
        <v>格納済み</v>
      </c>
      <c r="U1982" s="15" t="str">
        <f>IFERROR(__xludf.DUMMYFUNCTION("""COMPUTED_VALUE"""),"©柊碧織/蛆胎")</f>
        <v>©柊碧織/蛆胎</v>
      </c>
      <c r="V1982" s="8" t="str">
        <f>IFERROR(__xludf.DUMMYFUNCTION("""COMPUTED_VALUE"""),"大学浪人中の春雄の悩みは、養母である秋華の存在。妖艶な秋華に気を取られ勉強に集中できない。ある夜、養父母のセックスを見てしまい…もう春雄の股間は抑えきれない状態に。そんな時、春雄の部屋に秋華がやってきて…「春雄くん、ちょっといい？」この日から、性に無知な青年と養母の誰にも言えない秘密の関係、性教育が始まる――さらに双子の義姉もやってきて…ひとつ屋根の下、男1人女3人のハーレム同居生活。")</f>
        <v>大学浪人中の春雄の悩みは、養母である秋華の存在。妖艶な秋華に気を取られ勉強に集中できない。ある夜、養父母のセックスを見てしまい…もう春雄の股間は抑えきれない状態に。そんな時、春雄の部屋に秋華がやってきて…「春雄くん、ちょっといい？」この日から、性に無知な青年と養母の誰にも言えない秘密の関係、性教育が始まる――さらに双子の義姉もやってきて…ひとつ屋根の下、男1人女3人のハーレム同居生活。</v>
      </c>
      <c r="W1982" s="14"/>
      <c r="X1982" s="14" t="str">
        <f>IFERROR(__xludf.DUMMYFUNCTION("""COMPUTED_VALUE"""),"有")</f>
        <v>有</v>
      </c>
      <c r="Y1982" s="8" t="str">
        <f>IFERROR(__xludf.DUMMYFUNCTION("""COMPUTED_VALUE"""),"P7まで")</f>
        <v>P7まで</v>
      </c>
      <c r="Z1982" s="7"/>
      <c r="AA1982" s="7"/>
      <c r="AB1982" s="7"/>
    </row>
    <row r="1983" ht="15.75" customHeight="1">
      <c r="A1983" s="66">
        <f>IFERROR(__xludf.DUMMYFUNCTION("""COMPUTED_VALUE"""),3977.0)</f>
        <v>3977</v>
      </c>
      <c r="B1983" s="75" t="str">
        <f>IFERROR(__xludf.DUMMYFUNCTION("""COMPUTED_VALUE"""),"確定")</f>
        <v>確定</v>
      </c>
      <c r="C1983" s="68">
        <f>IFERROR(__xludf.DUMMYFUNCTION("""COMPUTED_VALUE"""),45519.0)</f>
        <v>45519</v>
      </c>
      <c r="D1983" s="68">
        <f>IFERROR(__xludf.DUMMYFUNCTION("""COMPUTED_VALUE"""),45524.0)</f>
        <v>45524</v>
      </c>
      <c r="E1983" s="31">
        <f>IFERROR(__xludf.DUMMYFUNCTION("""COMPUTED_VALUE"""),300935.0)</f>
        <v>300935</v>
      </c>
      <c r="F1983" s="31" t="str">
        <f>IFERROR(__xludf.DUMMYFUNCTION("""COMPUTED_VALUE"""),"もしも、透明人間になれたなら")</f>
        <v>もしも、透明人間になれたなら</v>
      </c>
      <c r="G1983" s="16" t="str">
        <f>IFERROR(__xludf.DUMMYFUNCTION("""COMPUTED_VALUE"""),"1～4")</f>
        <v>1～4</v>
      </c>
      <c r="H1983" s="75" t="str">
        <f>IFERROR(__xludf.DUMMYFUNCTION("""COMPUTED_VALUE"""),"jake/Red-A")</f>
        <v>jake/Red-A</v>
      </c>
      <c r="I1983" s="75" t="str">
        <f>IFERROR(__xludf.DUMMYFUNCTION("""COMPUTED_VALUE"""),"青年")</f>
        <v>青年</v>
      </c>
      <c r="J1983" s="75"/>
      <c r="K1983" s="75"/>
      <c r="L1983" s="75" t="str">
        <f>IFERROR(__xludf.DUMMYFUNCTION("""COMPUTED_VALUE"""),"Rush!")</f>
        <v>Rush!</v>
      </c>
      <c r="M1983" s="59">
        <f>IFERROR(__xludf.DUMMYFUNCTION("""COMPUTED_VALUE"""),45541.0)</f>
        <v>45541</v>
      </c>
      <c r="N1983" s="59">
        <f>IFERROR(__xludf.DUMMYFUNCTION("""COMPUTED_VALUE"""),45631.0)</f>
        <v>45631</v>
      </c>
      <c r="O1983" s="75"/>
      <c r="P1983" s="80" t="str">
        <f>IFERROR(__xludf.DUMMYFUNCTION("""COMPUTED_VALUE"""),"可")</f>
        <v>可</v>
      </c>
      <c r="Q1983" s="72" t="str">
        <f>IFERROR(__xludf.DUMMYFUNCTION("""COMPUTED_VALUE"""),"協業レーベル『シーモア×Rush!』作品です。")</f>
        <v>協業レーベル『シーモア×Rush!』作品です。</v>
      </c>
      <c r="R1983" s="75"/>
      <c r="S1983" s="75" t="str">
        <f>IFERROR(__xludf.DUMMYFUNCTION("""COMPUTED_VALUE"""),"20240815_ファンギルド_もしも、透明人間になれたなら")</f>
        <v>20240815_ファンギルド_もしも、透明人間になれたなら</v>
      </c>
      <c r="T1983" s="75" t="str">
        <f>IFERROR(__xludf.DUMMYFUNCTION("""COMPUTED_VALUE"""),"格納済み")</f>
        <v>格納済み</v>
      </c>
      <c r="U1983" s="15" t="str">
        <f>IFERROR(__xludf.DUMMYFUNCTION("""COMPUTED_VALUE"""),"©jake/Red-A/TOPTOON")</f>
        <v>©jake/Red-A/TOPTOON</v>
      </c>
      <c r="V1983" s="8" t="str">
        <f>IFERROR(__xludf.DUMMYFUNCTION("""COMPUTED_VALUE"""),"学生時代、育ちが理由で周りに透明人間扱いをされていた羽崎。大人になればきっと…そんな僅かな希望を胸に就職するが、そこでも彼の扱いは変わらなかった。原因は直属の上司である添島未優。仕事は出来るがプライドが高く傲慢な彼女は、羽崎に辛く当たり続ける。耐え続ければきっといつか報われる――そう信じて働き続ける羽崎だったがある日、偶然添島が自分を退職へ追い込もうとしていることを知ってしまう。怒りが頂点に達したその時、突如目の前にウィンドウが現れた。【あなたは透明になりました】突如手に入れた能力で自分を虐げてきた人間へ"&amp;"復讐する――！！")</f>
        <v>学生時代、育ちが理由で周りに透明人間扱いをされていた羽崎。大人になればきっと…そんな僅かな希望を胸に就職するが、そこでも彼の扱いは変わらなかった。原因は直属の上司である添島未優。仕事は出来るがプライドが高く傲慢な彼女は、羽崎に辛く当たり続ける。耐え続ければきっといつか報われる――そう信じて働き続ける羽崎だったがある日、偶然添島が自分を退職へ追い込もうとしていることを知ってしまう。怒りが頂点に達したその時、突如目の前にウィンドウが現れた。【あなたは透明になりました】突如手に入れた能力で自分を虐げてきた人間へ復讐する――！！</v>
      </c>
      <c r="W1983" s="14"/>
      <c r="X1983" s="14" t="str">
        <f>IFERROR(__xludf.DUMMYFUNCTION("""COMPUTED_VALUE"""),"有")</f>
        <v>有</v>
      </c>
      <c r="Y1983" s="8" t="str">
        <f>IFERROR(__xludf.DUMMYFUNCTION("""COMPUTED_VALUE"""),"2024/9/19まで1巻無料")</f>
        <v>2024/9/19まで1巻無料</v>
      </c>
      <c r="Z1983" s="7"/>
      <c r="AA1983" s="7"/>
      <c r="AB1983" s="7"/>
    </row>
    <row r="1984" ht="15.75" customHeight="1">
      <c r="A1984" s="66">
        <f>IFERROR(__xludf.DUMMYFUNCTION("""COMPUTED_VALUE"""),3978.0)</f>
        <v>3978</v>
      </c>
      <c r="B1984" s="75" t="str">
        <f>IFERROR(__xludf.DUMMYFUNCTION("""COMPUTED_VALUE"""),"確定")</f>
        <v>確定</v>
      </c>
      <c r="C1984" s="68">
        <f>IFERROR(__xludf.DUMMYFUNCTION("""COMPUTED_VALUE"""),45519.0)</f>
        <v>45519</v>
      </c>
      <c r="D1984" s="68">
        <f>IFERROR(__xludf.DUMMYFUNCTION("""COMPUTED_VALUE"""),45524.0)</f>
        <v>45524</v>
      </c>
      <c r="E1984" s="31">
        <f>IFERROR(__xludf.DUMMYFUNCTION("""COMPUTED_VALUE"""),301233.0)</f>
        <v>301233</v>
      </c>
      <c r="F1984" s="31" t="str">
        <f>IFERROR(__xludf.DUMMYFUNCTION("""COMPUTED_VALUE"""),"溺愛誓約～意地悪なカレの愛し方～")</f>
        <v>溺愛誓約～意地悪なカレの愛し方～</v>
      </c>
      <c r="G1984" s="11" t="str">
        <f>IFERROR(__xludf.DUMMYFUNCTION("""COMPUTED_VALUE"""),"1～2")</f>
        <v>1～2</v>
      </c>
      <c r="H1984" s="75" t="str">
        <f>IFERROR(__xludf.DUMMYFUNCTION("""COMPUTED_VALUE"""),"rera/河野美姫")</f>
        <v>rera/河野美姫</v>
      </c>
      <c r="I1984" s="75" t="str">
        <f>IFERROR(__xludf.DUMMYFUNCTION("""COMPUTED_VALUE"""),"女性")</f>
        <v>女性</v>
      </c>
      <c r="J1984" s="75"/>
      <c r="K1984" s="75"/>
      <c r="L1984" s="75" t="str">
        <f>IFERROR(__xludf.DUMMYFUNCTION("""COMPUTED_VALUE"""),"ファンギルド")</f>
        <v>ファンギルド</v>
      </c>
      <c r="M1984" s="59">
        <f>IFERROR(__xludf.DUMMYFUNCTION("""COMPUTED_VALUE"""),45546.0)</f>
        <v>45546</v>
      </c>
      <c r="N1984" s="94">
        <f>IFERROR(__xludf.DUMMYFUNCTION("""COMPUTED_VALUE"""),45636.0)</f>
        <v>45636</v>
      </c>
      <c r="O1984" s="75"/>
      <c r="P1984" s="71" t="str">
        <f>IFERROR(__xludf.DUMMYFUNCTION("""COMPUTED_VALUE"""),"可")</f>
        <v>可</v>
      </c>
      <c r="Q1984" s="72"/>
      <c r="R1984" s="75"/>
      <c r="S1984" s="75" t="str">
        <f>IFERROR(__xludf.DUMMYFUNCTION("""COMPUTED_VALUE"""),"20240815_ファンギルド_溺愛誓約～意地悪なカレの愛し方～")</f>
        <v>20240815_ファンギルド_溺愛誓約～意地悪なカレの愛し方～</v>
      </c>
      <c r="T1984" s="75" t="str">
        <f>IFERROR(__xludf.DUMMYFUNCTION("""COMPUTED_VALUE"""),"格納済み")</f>
        <v>格納済み</v>
      </c>
      <c r="U1984" s="15" t="str">
        <f>IFERROR(__xludf.DUMMYFUNCTION("""COMPUTED_VALUE"""),"©rera/河野美姫/ファンギルド")</f>
        <v>©rera/河野美姫/ファンギルド</v>
      </c>
      <c r="V1984" s="8" t="str">
        <f>IFERROR(__xludf.DUMMYFUNCTION("""COMPUTED_VALUE"""),"恋人に振られてばかりいた恋愛下手の莉緒は、ある日たまたま入った居酒屋で上司の穂積と鉢合わせる。仕事中は癒し系で温厚だったはずの彼は、プライベートでは口調も態度もまったく違い、癒し系からは程遠い雰囲気だった。だけど、莉緒が口にした言葉をきっかけに穂積に強引に唇を奪われる…！？「俺がお前に教えてやるよ、愛される喜びってやつをな――」甘く魅惑的に迫られて、なぜか彼と結婚を前提に付き合うことになってしまい──？スイートオフィスラブのち、秘密の溺愛シンデレラストーリー。")</f>
        <v>恋人に振られてばかりいた恋愛下手の莉緒は、ある日たまたま入った居酒屋で上司の穂積と鉢合わせる。仕事中は癒し系で温厚だったはずの彼は、プライベートでは口調も態度もまったく違い、癒し系からは程遠い雰囲気だった。だけど、莉緒が口にした言葉をきっかけに穂積に強引に唇を奪われる…！？「俺がお前に教えてやるよ、愛される喜びってやつをな――」甘く魅惑的に迫られて、なぜか彼と結婚を前提に付き合うことになってしまい──？スイートオフィスラブのち、秘密の溺愛シンデレラストーリー。</v>
      </c>
      <c r="W1984" s="14"/>
      <c r="X1984" s="14" t="str">
        <f>IFERROR(__xludf.DUMMYFUNCTION("""COMPUTED_VALUE"""),"有")</f>
        <v>有</v>
      </c>
      <c r="Y1984" s="8" t="str">
        <f>IFERROR(__xludf.DUMMYFUNCTION("""COMPUTED_VALUE"""),"P7まで")</f>
        <v>P7まで</v>
      </c>
      <c r="Z1984" s="7"/>
      <c r="AA1984" s="7"/>
      <c r="AB1984" s="7"/>
    </row>
    <row r="1985" ht="15.75" customHeight="1">
      <c r="A1985" s="66">
        <f>IFERROR(__xludf.DUMMYFUNCTION("""COMPUTED_VALUE"""),3986.0)</f>
        <v>3986</v>
      </c>
      <c r="B1985" s="75" t="str">
        <f>IFERROR(__xludf.DUMMYFUNCTION("""COMPUTED_VALUE"""),"確定")</f>
        <v>確定</v>
      </c>
      <c r="C1985" s="68">
        <f>IFERROR(__xludf.DUMMYFUNCTION("""COMPUTED_VALUE"""),45520.0)</f>
        <v>45520</v>
      </c>
      <c r="D1985" s="68">
        <f>IFERROR(__xludf.DUMMYFUNCTION("""COMPUTED_VALUE"""),45524.0)</f>
        <v>45524</v>
      </c>
      <c r="E1985" s="100">
        <f>IFERROR(__xludf.DUMMYFUNCTION("""COMPUTED_VALUE"""),291646.0)</f>
        <v>291646</v>
      </c>
      <c r="F1985" s="60" t="str">
        <f>IFERROR(__xludf.DUMMYFUNCTION("""COMPUTED_VALUE"""),"見下ろす視線(フルカラー)")</f>
        <v>見下ろす視線(フルカラー)</v>
      </c>
      <c r="G1985" s="69" t="str">
        <f>IFERROR(__xludf.DUMMYFUNCTION("""COMPUTED_VALUE"""),"1～3")</f>
        <v>1～3</v>
      </c>
      <c r="H1985" s="75" t="str">
        <f>IFERROR(__xludf.DUMMYFUNCTION("""COMPUTED_VALUE"""),"ジハン,クレア,水草")</f>
        <v>ジハン,クレア,水草</v>
      </c>
      <c r="I1985" s="75" t="str">
        <f>IFERROR(__xludf.DUMMYFUNCTION("""COMPUTED_VALUE"""),"BL")</f>
        <v>BL</v>
      </c>
      <c r="J1985" s="83"/>
      <c r="K1985" s="83"/>
      <c r="L1985" s="83" t="str">
        <f>IFERROR(__xludf.DUMMYFUNCTION("""COMPUTED_VALUE"""),"シーモアコミックス")</f>
        <v>シーモアコミックス</v>
      </c>
      <c r="M1985" s="59">
        <f>IFERROR(__xludf.DUMMYFUNCTION("""COMPUTED_VALUE"""),45556.0)</f>
        <v>45556</v>
      </c>
      <c r="N1985" s="94">
        <f>IFERROR(__xludf.DUMMYFUNCTION("""COMPUTED_VALUE"""),45617.0)</f>
        <v>45617</v>
      </c>
      <c r="O1985" s="75"/>
      <c r="P1985" s="80" t="str">
        <f>IFERROR(__xludf.DUMMYFUNCTION("""COMPUTED_VALUE"""),"可")</f>
        <v>可</v>
      </c>
      <c r="Q1985" s="72"/>
      <c r="R1985" s="75"/>
      <c r="S1985" s="75" t="str">
        <f>IFERROR(__xludf.DUMMYFUNCTION("""COMPUTED_VALUE"""),"20240816_ソルマーレ編集部_見下ろす視線（フルカラー）")</f>
        <v>20240816_ソルマーレ編集部_見下ろす視線（フルカラー）</v>
      </c>
      <c r="T1985" s="75" t="str">
        <f>IFERROR(__xludf.DUMMYFUNCTION("""COMPUTED_VALUE"""),"格納済み")</f>
        <v>格納済み</v>
      </c>
      <c r="U1985" s="15" t="str">
        <f>IFERROR(__xludf.DUMMYFUNCTION("""COMPUTED_VALUE"""),"ⓒ ジハン/クレア/水草/Daewon C.I. Inc./シーモアコミックス")</f>
        <v>ⓒ ジハン/クレア/水草/Daewon C.I. Inc./シーモアコミックス</v>
      </c>
      <c r="V1985" s="8" t="str">
        <f>IFERROR(__xludf.DUMMYFUNCTION("""COMPUTED_VALUE"""),"「他の人にもこんなことしてるの？」「君にだけだよ、君の隣にいたいと思ったから」
なんで…今日初めて話したばかりの僕にそんなことを言うの…？
笠井湊人は学年トップの優等生として有名だがもう一人、容姿端麗なことで有名な生徒・北村雄大と初めて同じクラスになる。実家が貧乏な湊人と違い、雄大は学校で問題が起きても両親が権力でもみ消してしまうほどのエリート一家の出身。雄大は自分とは真反対な存在だと思っていた湊人だが、なぜか雄大は湊人に興味津々でずっと付きまとってきて…!?なんで僕なんかにこんなに付きまとうんだ!?"&amp;"ハイスぺイケメンに執着されるラブストーリー。【フィカス】")</f>
        <v>「他の人にもこんなことしてるの？」「君にだけだよ、君の隣にいたいと思ったから」
なんで…今日初めて話したばかりの僕にそんなことを言うの…？
笠井湊人は学年トップの優等生として有名だがもう一人、容姿端麗なことで有名な生徒・北村雄大と初めて同じクラスになる。実家が貧乏な湊人と違い、雄大は学校で問題が起きても両親が権力でもみ消してしまうほどのエリート一家の出身。雄大は自分とは真反対な存在だと思っていた湊人だが、なぜか雄大は湊人に興味津々でずっと付きまとってきて…!?なんで僕なんかにこんなに付きまとうんだ!?ハイスぺイケメンに執着されるラブストーリー。【フィカス】</v>
      </c>
      <c r="W1985" s="14"/>
      <c r="X1985" s="14" t="str">
        <f>IFERROR(__xludf.DUMMYFUNCTION("""COMPUTED_VALUE"""),"有")</f>
        <v>有</v>
      </c>
      <c r="Y1985" s="8" t="str">
        <f>IFERROR(__xludf.DUMMYFUNCTION("""COMPUTED_VALUE"""),"2024/10/25まで1巻無料")</f>
        <v>2024/10/25まで1巻無料</v>
      </c>
      <c r="Z1985" s="7"/>
      <c r="AA1985" s="7"/>
      <c r="AB1985" s="7"/>
    </row>
    <row r="1986" ht="15.75" customHeight="1">
      <c r="A1986" s="66">
        <f>IFERROR(__xludf.DUMMYFUNCTION("""COMPUTED_VALUE"""),3987.0)</f>
        <v>3987</v>
      </c>
      <c r="B1986" s="75" t="str">
        <f>IFERROR(__xludf.DUMMYFUNCTION("""COMPUTED_VALUE"""),"確定")</f>
        <v>確定</v>
      </c>
      <c r="C1986" s="68">
        <f>IFERROR(__xludf.DUMMYFUNCTION("""COMPUTED_VALUE"""),45520.0)</f>
        <v>45520</v>
      </c>
      <c r="D1986" s="68">
        <f>IFERROR(__xludf.DUMMYFUNCTION("""COMPUTED_VALUE"""),45524.0)</f>
        <v>45524</v>
      </c>
      <c r="E1986" s="100">
        <f>IFERROR(__xludf.DUMMYFUNCTION("""COMPUTED_VALUE"""),291647.0)</f>
        <v>291647</v>
      </c>
      <c r="F1986" s="60" t="str">
        <f>IFERROR(__xludf.DUMMYFUNCTION("""COMPUTED_VALUE"""),"見下ろす視線【タテヨミ】")</f>
        <v>見下ろす視線【タテヨミ】</v>
      </c>
      <c r="G1986" s="69" t="str">
        <f>IFERROR(__xludf.DUMMYFUNCTION("""COMPUTED_VALUE"""),"1～9")</f>
        <v>1～9</v>
      </c>
      <c r="H1986" s="75" t="str">
        <f>IFERROR(__xludf.DUMMYFUNCTION("""COMPUTED_VALUE"""),"ジハン,クレア,水草")</f>
        <v>ジハン,クレア,水草</v>
      </c>
      <c r="I1986" s="75" t="str">
        <f>IFERROR(__xludf.DUMMYFUNCTION("""COMPUTED_VALUE"""),"BL")</f>
        <v>BL</v>
      </c>
      <c r="J1986" s="83"/>
      <c r="K1986" s="83"/>
      <c r="L1986" s="83" t="str">
        <f>IFERROR(__xludf.DUMMYFUNCTION("""COMPUTED_VALUE"""),"シーモアコミックス")</f>
        <v>シーモアコミックス</v>
      </c>
      <c r="M1986" s="59">
        <f>IFERROR(__xludf.DUMMYFUNCTION("""COMPUTED_VALUE"""),45556.0)</f>
        <v>45556</v>
      </c>
      <c r="N1986" s="94">
        <f>IFERROR(__xludf.DUMMYFUNCTION("""COMPUTED_VALUE"""),45617.0)</f>
        <v>45617</v>
      </c>
      <c r="O1986" s="75"/>
      <c r="P1986" s="80" t="str">
        <f>IFERROR(__xludf.DUMMYFUNCTION("""COMPUTED_VALUE"""),"可")</f>
        <v>可</v>
      </c>
      <c r="Q1986" s="72" t="str">
        <f>IFERROR(__xludf.DUMMYFUNCTION("""COMPUTED_VALUE"""),"※コマサム等素材は「291646 見下ろす視線（フルカラー）」のほうをお使いください。&lt;BR&gt;バナー制作はフルカラー版の素材を利用して問題ございません。")</f>
        <v>※コマサム等素材は「291646 見下ろす視線（フルカラー）」のほうをお使いください。&lt;BR&gt;バナー制作はフルカラー版の素材を利用して問題ございません。</v>
      </c>
      <c r="R1986" s="75"/>
      <c r="S1986" s="75" t="str">
        <f>IFERROR(__xludf.DUMMYFUNCTION("""COMPUTED_VALUE"""),"20240816_ソルマーレ編集部_見下ろす視線【タテヨミ】")</f>
        <v>20240816_ソルマーレ編集部_見下ろす視線【タテヨミ】</v>
      </c>
      <c r="T1986" s="75" t="str">
        <f>IFERROR(__xludf.DUMMYFUNCTION("""COMPUTED_VALUE"""),"格納済み")</f>
        <v>格納済み</v>
      </c>
      <c r="U1986" s="15" t="str">
        <f>IFERROR(__xludf.DUMMYFUNCTION("""COMPUTED_VALUE"""),"ⓒ ジハン/クレア/水草/Daewon C.I. Inc./シーモアコミックス")</f>
        <v>ⓒ ジハン/クレア/水草/Daewon C.I. Inc./シーモアコミックス</v>
      </c>
      <c r="V1986" s="8" t="str">
        <f>IFERROR(__xludf.DUMMYFUNCTION("""COMPUTED_VALUE"""),"「他の人にもこんなことしてるの？」「君にだけだよ、君の隣にいたいと思ったから」
なんで…今日初めて話したばかりの僕にそんなことを言うの…？
笠井湊人は学年トップの優等生として有名だがもう一人、容姿端麗なことで有名な生徒・北村雄大と初めて同じクラスになる。実家が貧乏な湊人と違い、雄大は学校で問題が起きても両親が権力でもみ消してしまうほどのエリート一家の出身。雄大は自分とは真反対な存在だと思っていた湊人だが、なぜか雄大は湊人に興味津々でずっと付きまとってきて…!?なんで僕なんかにこんなに付きまとうんだ!?"&amp;"ハイスぺイケメンに執着されるラブストーリー。【フィカス】")</f>
        <v>「他の人にもこんなことしてるの？」「君にだけだよ、君の隣にいたいと思ったから」
なんで…今日初めて話したばかりの僕にそんなことを言うの…？
笠井湊人は学年トップの優等生として有名だがもう一人、容姿端麗なことで有名な生徒・北村雄大と初めて同じクラスになる。実家が貧乏な湊人と違い、雄大は学校で問題が起きても両親が権力でもみ消してしまうほどのエリート一家の出身。雄大は自分とは真反対な存在だと思っていた湊人だが、なぜか雄大は湊人に興味津々でずっと付きまとってきて…!?なんで僕なんかにこんなに付きまとうんだ!?ハイスぺイケメンに執着されるラブストーリー。【フィカス】</v>
      </c>
      <c r="W1986" s="14"/>
      <c r="X1986" s="14" t="str">
        <f>IFERROR(__xludf.DUMMYFUNCTION("""COMPUTED_VALUE"""),"有")</f>
        <v>有</v>
      </c>
      <c r="Y1986" s="8" t="str">
        <f>IFERROR(__xludf.DUMMYFUNCTION("""COMPUTED_VALUE"""),"2024/10/25まで1～3巻無料")</f>
        <v>2024/10/25まで1～3巻無料</v>
      </c>
      <c r="Z1986" s="7"/>
      <c r="AA1986" s="7"/>
      <c r="AB1986" s="7"/>
    </row>
    <row r="1987" ht="15.75" customHeight="1">
      <c r="A1987" s="66">
        <f>IFERROR(__xludf.DUMMYFUNCTION("""COMPUTED_VALUE"""),3989.0)</f>
        <v>3989</v>
      </c>
      <c r="B1987" s="75" t="str">
        <f>IFERROR(__xludf.DUMMYFUNCTION("""COMPUTED_VALUE"""),"確定")</f>
        <v>確定</v>
      </c>
      <c r="C1987" s="68">
        <f>IFERROR(__xludf.DUMMYFUNCTION("""COMPUTED_VALUE"""),45523.0)</f>
        <v>45523</v>
      </c>
      <c r="D1987" s="68">
        <f>IFERROR(__xludf.DUMMYFUNCTION("""COMPUTED_VALUE"""),45524.0)</f>
        <v>45524</v>
      </c>
      <c r="E1987" s="31">
        <f>IFERROR(__xludf.DUMMYFUNCTION("""COMPUTED_VALUE"""),301614.0)</f>
        <v>301614</v>
      </c>
      <c r="F1987" s="31" t="str">
        <f>IFERROR(__xludf.DUMMYFUNCTION("""COMPUTED_VALUE"""),"言いなり令嬢を卒業して、溺愛ライフに突入しました！")</f>
        <v>言いなり令嬢を卒業して、溺愛ライフに突入しました！</v>
      </c>
      <c r="G1987" s="11" t="str">
        <f>IFERROR(__xludf.DUMMYFUNCTION("""COMPUTED_VALUE"""),"1～2")</f>
        <v>1～2</v>
      </c>
      <c r="H1987" s="75" t="str">
        <f>IFERROR(__xludf.DUMMYFUNCTION("""COMPUTED_VALUE"""),"米田マリコ／COMIC ROOM")</f>
        <v>米田マリコ／COMIC ROOM</v>
      </c>
      <c r="I1987" s="75" t="str">
        <f>IFERROR(__xludf.DUMMYFUNCTION("""COMPUTED_VALUE"""),"女性")</f>
        <v>女性</v>
      </c>
      <c r="J1987" s="75"/>
      <c r="K1987" s="75"/>
      <c r="L1987" s="75" t="str">
        <f>IFERROR(__xludf.DUMMYFUNCTION("""COMPUTED_VALUE"""),"コミックルーム")</f>
        <v>コミックルーム</v>
      </c>
      <c r="M1987" s="59">
        <f>IFERROR(__xludf.DUMMYFUNCTION("""COMPUTED_VALUE"""),45550.0)</f>
        <v>45550</v>
      </c>
      <c r="N1987" s="94">
        <f>IFERROR(__xludf.DUMMYFUNCTION("""COMPUTED_VALUE"""),45640.0)</f>
        <v>45640</v>
      </c>
      <c r="O1987" s="75"/>
      <c r="P1987" s="80" t="str">
        <f>IFERROR(__xludf.DUMMYFUNCTION("""COMPUTED_VALUE"""),"可")</f>
        <v>可</v>
      </c>
      <c r="Q1987" s="72" t="str">
        <f>IFERROR(__xludf.DUMMYFUNCTION("""COMPUTED_VALUE"""),"アンソロジー9月刊のばら売りです。")</f>
        <v>アンソロジー9月刊のばら売りです。</v>
      </c>
      <c r="R1987" s="75"/>
      <c r="S1987" s="75" t="str">
        <f>IFERROR(__xludf.DUMMYFUNCTION("""COMPUTED_VALUE"""),"20240819_コミックルーム_言いなり令嬢を卒業して、溺愛ライフに突入しました！")</f>
        <v>20240819_コミックルーム_言いなり令嬢を卒業して、溺愛ライフに突入しました！</v>
      </c>
      <c r="T1987" s="75" t="str">
        <f>IFERROR(__xludf.DUMMYFUNCTION("""COMPUTED_VALUE"""),"格納済み")</f>
        <v>格納済み</v>
      </c>
      <c r="U1987" s="15" t="str">
        <f>IFERROR(__xludf.DUMMYFUNCTION("""COMPUTED_VALUE"""),"©米田マリコ／COMIC ROOM")</f>
        <v>©米田マリコ／COMIC ROOM</v>
      </c>
      <c r="V1987" s="8" t="str">
        <f>IFERROR(__xludf.DUMMYFUNCTION("""COMPUTED_VALUE"""),"伯爵令嬢リヨン・レイランド。
彼女の婚約者であるクリスは、わがままで傲慢な性格の持ち主だった。自分の思い通りにならないと不機嫌になり、周囲に当たり散らす彼の顔色を、リヨンはいつしか伺うばかりになっていた。
そんなある日、クリスは「真実の愛」を見つけたと宣言し、リヨンに婚約破棄を告げる。
しかし、そのクリスの新たな婚約者であるアイサにも、もともと婚約者がいたのだ。
そこでクリスは、アイサの元婚約者であるアーウィン辺境伯とリヨンを無理やり婚約させることにする。
理不尽な命令に戸惑いながらも、リヨンは"&amp;"辺境への旅を決意する。
そして、彼女を迎えたのは、容姿も性格も完璧なアーウィン辺境伯だった…。
こうして、言いなりの令嬢から卒業したリヨンの、溺愛ライフが始まる！
※本作品の1・2巻は『溺れるほど愛されて、幸せになって見せますわ！アンソロジーコミック7巻』の収録作品です。重複購入にご注意ください。")</f>
        <v>伯爵令嬢リヨン・レイランド。
彼女の婚約者であるクリスは、わがままで傲慢な性格の持ち主だった。自分の思い通りにならないと不機嫌になり、周囲に当たり散らす彼の顔色を、リヨンはいつしか伺うばかりになっていた。
そんなある日、クリスは「真実の愛」を見つけたと宣言し、リヨンに婚約破棄を告げる。
しかし、そのクリスの新たな婚約者であるアイサにも、もともと婚約者がいたのだ。
そこでクリスは、アイサの元婚約者であるアーウィン辺境伯とリヨンを無理やり婚約させることにする。
理不尽な命令に戸惑いながらも、リヨンは辺境への旅を決意する。
そして、彼女を迎えたのは、容姿も性格も完璧なアーウィン辺境伯だった…。
こうして、言いなりの令嬢から卒業したリヨンの、溺愛ライフが始まる！
※本作品の1・2巻は『溺れるほど愛されて、幸せになって見せますわ！アンソロジーコミック7巻』の収録作品です。重複購入にご注意ください。</v>
      </c>
      <c r="W1987" s="14"/>
      <c r="X1987" s="14" t="str">
        <f>IFERROR(__xludf.DUMMYFUNCTION("""COMPUTED_VALUE"""),"有")</f>
        <v>有</v>
      </c>
      <c r="Y1987" s="8" t="str">
        <f>IFERROR(__xludf.DUMMYFUNCTION("""COMPUTED_VALUE"""),"P9まで")</f>
        <v>P9まで</v>
      </c>
      <c r="Z1987" s="7"/>
      <c r="AA1987" s="7"/>
      <c r="AB1987" s="7"/>
    </row>
    <row r="1988" ht="15.75" customHeight="1">
      <c r="A1988" s="66">
        <f>IFERROR(__xludf.DUMMYFUNCTION("""COMPUTED_VALUE"""),3990.0)</f>
        <v>3990</v>
      </c>
      <c r="B1988" s="75" t="str">
        <f>IFERROR(__xludf.DUMMYFUNCTION("""COMPUTED_VALUE"""),"確定")</f>
        <v>確定</v>
      </c>
      <c r="C1988" s="68">
        <f>IFERROR(__xludf.DUMMYFUNCTION("""COMPUTED_VALUE"""),45523.0)</f>
        <v>45523</v>
      </c>
      <c r="D1988" s="68">
        <f>IFERROR(__xludf.DUMMYFUNCTION("""COMPUTED_VALUE"""),45524.0)</f>
        <v>45524</v>
      </c>
      <c r="E1988" s="31">
        <f>IFERROR(__xludf.DUMMYFUNCTION("""COMPUTED_VALUE"""),301823.0)</f>
        <v>301823</v>
      </c>
      <c r="F1988" s="31" t="str">
        <f>IFERROR(__xludf.DUMMYFUNCTION("""COMPUTED_VALUE"""),"わたくし貴族令嬢ですが、少しえっちでも良いですか？")</f>
        <v>わたくし貴族令嬢ですが、少しえっちでも良いですか？</v>
      </c>
      <c r="G1988" s="11" t="str">
        <f>IFERROR(__xludf.DUMMYFUNCTION("""COMPUTED_VALUE"""),"1～2")</f>
        <v>1～2</v>
      </c>
      <c r="H1988" s="75" t="str">
        <f>IFERROR(__xludf.DUMMYFUNCTION("""COMPUTED_VALUE"""),"島藤ゆかり／COMIC ROOM")</f>
        <v>島藤ゆかり／COMIC ROOM</v>
      </c>
      <c r="I1988" s="75" t="str">
        <f>IFERROR(__xludf.DUMMYFUNCTION("""COMPUTED_VALUE"""),"女性")</f>
        <v>女性</v>
      </c>
      <c r="J1988" s="75"/>
      <c r="K1988" s="75"/>
      <c r="L1988" s="75" t="str">
        <f>IFERROR(__xludf.DUMMYFUNCTION("""COMPUTED_VALUE"""),"コミックルーム")</f>
        <v>コミックルーム</v>
      </c>
      <c r="M1988" s="59">
        <f>IFERROR(__xludf.DUMMYFUNCTION("""COMPUTED_VALUE"""),45550.0)</f>
        <v>45550</v>
      </c>
      <c r="N1988" s="94">
        <f>IFERROR(__xludf.DUMMYFUNCTION("""COMPUTED_VALUE"""),45640.0)</f>
        <v>45640</v>
      </c>
      <c r="O1988" s="75"/>
      <c r="P1988" s="80" t="str">
        <f>IFERROR(__xludf.DUMMYFUNCTION("""COMPUTED_VALUE"""),"可")</f>
        <v>可</v>
      </c>
      <c r="Q1988" s="72" t="str">
        <f>IFERROR(__xludf.DUMMYFUNCTION("""COMPUTED_VALUE"""),"アンソロジー9月刊のばら売りです。")</f>
        <v>アンソロジー9月刊のばら売りです。</v>
      </c>
      <c r="R1988" s="75"/>
      <c r="S1988" s="75" t="str">
        <f>IFERROR(__xludf.DUMMYFUNCTION("""COMPUTED_VALUE"""),"20240819_コミックルーム_わたくし貴族令嬢ですが、少しえっちでも良いですか？")</f>
        <v>20240819_コミックルーム_わたくし貴族令嬢ですが、少しえっちでも良いですか？</v>
      </c>
      <c r="T1988" s="75" t="str">
        <f>IFERROR(__xludf.DUMMYFUNCTION("""COMPUTED_VALUE"""),"格納済み")</f>
        <v>格納済み</v>
      </c>
      <c r="U1988" s="15" t="str">
        <f>IFERROR(__xludf.DUMMYFUNCTION("""COMPUTED_VALUE"""),"©島藤ゆかり／COMIC ROOM")</f>
        <v>©島藤ゆかり／COMIC ROOM</v>
      </c>
      <c r="V1988" s="8" t="str">
        <f>IFERROR(__xludf.DUMMYFUNCTION("""COMPUTED_VALUE"""),"幼い頃から「貴族の令嬢として淑女であれ」と教えられてきた子爵令嬢アリシア・ハーツ。
しかしそんな彼女には誰にも言えない秘密があった──。
それは……好きな男性を見ると、えっちな妄想をしてしまうことだった！
婚約者のロバートを前にするとアリシアの妄想は止まらず、恥ずかしさから逃げ出してしまう日々。
そんなアリシアに嫌われたのだと誤解したロバートは、ついに彼女に婚約破棄を告げる。
アリシアはロバートの誤解を解き、純愛を掴むことができるのか…！
※本作品の1・2巻は『溺れるほど愛されて、幸せになって"&amp;"見せますわ！アンソロジーコミック7巻』の収録作品です。重複購入にご注意ください。")</f>
        <v>幼い頃から「貴族の令嬢として淑女であれ」と教えられてきた子爵令嬢アリシア・ハーツ。
しかしそんな彼女には誰にも言えない秘密があった──。
それは……好きな男性を見ると、えっちな妄想をしてしまうことだった！
婚約者のロバートを前にするとアリシアの妄想は止まらず、恥ずかしさから逃げ出してしまう日々。
そんなアリシアに嫌われたのだと誤解したロバートは、ついに彼女に婚約破棄を告げる。
アリシアはロバートの誤解を解き、純愛を掴むことができるのか…！
※本作品の1・2巻は『溺れるほど愛されて、幸せになって見せますわ！アンソロジーコミック7巻』の収録作品です。重複購入にご注意ください。</v>
      </c>
      <c r="W1988" s="14"/>
      <c r="X1988" s="14" t="str">
        <f>IFERROR(__xludf.DUMMYFUNCTION("""COMPUTED_VALUE"""),"有")</f>
        <v>有</v>
      </c>
      <c r="Y1988" s="8" t="str">
        <f>IFERROR(__xludf.DUMMYFUNCTION("""COMPUTED_VALUE"""),"P9まで")</f>
        <v>P9まで</v>
      </c>
      <c r="Z1988" s="7"/>
      <c r="AA1988" s="7"/>
      <c r="AB1988" s="7"/>
    </row>
    <row r="1989" ht="15.75" customHeight="1">
      <c r="A1989" s="66">
        <f>IFERROR(__xludf.DUMMYFUNCTION("""COMPUTED_VALUE"""),3991.0)</f>
        <v>3991</v>
      </c>
      <c r="B1989" s="75" t="str">
        <f>IFERROR(__xludf.DUMMYFUNCTION("""COMPUTED_VALUE"""),"確定")</f>
        <v>確定</v>
      </c>
      <c r="C1989" s="68">
        <f>IFERROR(__xludf.DUMMYFUNCTION("""COMPUTED_VALUE"""),45523.0)</f>
        <v>45523</v>
      </c>
      <c r="D1989" s="68">
        <f>IFERROR(__xludf.DUMMYFUNCTION("""COMPUTED_VALUE"""),45524.0)</f>
        <v>45524</v>
      </c>
      <c r="E1989" s="31">
        <f>IFERROR(__xludf.DUMMYFUNCTION("""COMPUTED_VALUE"""),301825.0)</f>
        <v>301825</v>
      </c>
      <c r="F1989" s="31" t="str">
        <f>IFERROR(__xludf.DUMMYFUNCTION("""COMPUTED_VALUE"""),"時を越えた公爵令嬢の復讐")</f>
        <v>時を越えた公爵令嬢の復讐</v>
      </c>
      <c r="G1989" s="11" t="str">
        <f>IFERROR(__xludf.DUMMYFUNCTION("""COMPUTED_VALUE"""),"1～2")</f>
        <v>1～2</v>
      </c>
      <c r="H1989" s="75" t="str">
        <f>IFERROR(__xludf.DUMMYFUNCTION("""COMPUTED_VALUE"""),"湯浅みき／COMIC ROOM")</f>
        <v>湯浅みき／COMIC ROOM</v>
      </c>
      <c r="I1989" s="75" t="str">
        <f>IFERROR(__xludf.DUMMYFUNCTION("""COMPUTED_VALUE"""),"女性")</f>
        <v>女性</v>
      </c>
      <c r="J1989" s="75"/>
      <c r="K1989" s="75"/>
      <c r="L1989" s="75" t="str">
        <f>IFERROR(__xludf.DUMMYFUNCTION("""COMPUTED_VALUE"""),"コミックルーム")</f>
        <v>コミックルーム</v>
      </c>
      <c r="M1989" s="59">
        <f>IFERROR(__xludf.DUMMYFUNCTION("""COMPUTED_VALUE"""),45550.0)</f>
        <v>45550</v>
      </c>
      <c r="N1989" s="94">
        <f>IFERROR(__xludf.DUMMYFUNCTION("""COMPUTED_VALUE"""),45640.0)</f>
        <v>45640</v>
      </c>
      <c r="O1989" s="75"/>
      <c r="P1989" s="80" t="str">
        <f>IFERROR(__xludf.DUMMYFUNCTION("""COMPUTED_VALUE"""),"可")</f>
        <v>可</v>
      </c>
      <c r="Q1989" s="72" t="str">
        <f>IFERROR(__xludf.DUMMYFUNCTION("""COMPUTED_VALUE"""),"・アンソロジー9月刊のばら売りです。
・素材フォルダ名と違いますが正式タイトル「時を越えた公爵令嬢の復讐」となります")</f>
        <v>・アンソロジー9月刊のばら売りです。
・素材フォルダ名と違いますが正式タイトル「時を越えた公爵令嬢の復讐」となります</v>
      </c>
      <c r="R1989" s="75"/>
      <c r="S1989" s="75" t="str">
        <f>IFERROR(__xludf.DUMMYFUNCTION("""COMPUTED_VALUE"""),"20240819_コミックルーム_私を嵌めたことを後悔させてあげますわ")</f>
        <v>20240819_コミックルーム_私を嵌めたことを後悔させてあげますわ</v>
      </c>
      <c r="T1989" s="75" t="str">
        <f>IFERROR(__xludf.DUMMYFUNCTION("""COMPUTED_VALUE"""),"格納済み")</f>
        <v>格納済み</v>
      </c>
      <c r="U1989" s="15" t="str">
        <f>IFERROR(__xludf.DUMMYFUNCTION("""COMPUTED_VALUE"""),"©湯浅みき／COMIC ROOM")</f>
        <v>©湯浅みき／COMIC ROOM</v>
      </c>
      <c r="V1989" s="8" t="str">
        <f>IFERROR(__xludf.DUMMYFUNCTION("""COMPUTED_VALUE"""),"公爵令嬢ルイナ・アンベルシアは無実の罪で処刑されようとしていた。
弁明も虚しく無慈悲にも刃が彼女の首に振り下ろされた瞬間、ルイナの目に映ったのは、彼女に罪を着せた妹レベッカの悍ましい笑顔だった。
しかし、絶望の中、命を落としたはずが、気づくとそこは見慣れた部屋。
「時間が巻き戻っている…？」
過去に戻ったルイナは、全てを奪ったレベッカへの復讐を決意し立ち上がる。
燃え盛る憎悪と共に、ルイナの復讐劇がここに開幕──。
※本作品の1・2巻は『溺れるほど愛されて、幸せになって見せますわ！アンソロジー"&amp;"コミック7巻』の収録作品です。重複購入にご注意ください。")</f>
        <v>公爵令嬢ルイナ・アンベルシアは無実の罪で処刑されようとしていた。
弁明も虚しく無慈悲にも刃が彼女の首に振り下ろされた瞬間、ルイナの目に映ったのは、彼女に罪を着せた妹レベッカの悍ましい笑顔だった。
しかし、絶望の中、命を落としたはずが、気づくとそこは見慣れた部屋。
「時間が巻き戻っている…？」
過去に戻ったルイナは、全てを奪ったレベッカへの復讐を決意し立ち上がる。
燃え盛る憎悪と共に、ルイナの復讐劇がここに開幕──。
※本作品の1・2巻は『溺れるほど愛されて、幸せになって見せますわ！アンソロジーコミック7巻』の収録作品です。重複購入にご注意ください。</v>
      </c>
      <c r="W1989" s="14"/>
      <c r="X1989" s="14" t="str">
        <f>IFERROR(__xludf.DUMMYFUNCTION("""COMPUTED_VALUE"""),"有")</f>
        <v>有</v>
      </c>
      <c r="Y1989" s="8" t="str">
        <f>IFERROR(__xludf.DUMMYFUNCTION("""COMPUTED_VALUE"""),"P7まで")</f>
        <v>P7まで</v>
      </c>
      <c r="Z1989" s="7"/>
      <c r="AA1989" s="7"/>
      <c r="AB1989" s="7"/>
    </row>
    <row r="1990" ht="15.75" customHeight="1">
      <c r="A1990" s="66">
        <f>IFERROR(__xludf.DUMMYFUNCTION("""COMPUTED_VALUE"""),3992.0)</f>
        <v>3992</v>
      </c>
      <c r="B1990" s="75" t="str">
        <f>IFERROR(__xludf.DUMMYFUNCTION("""COMPUTED_VALUE"""),"確定")</f>
        <v>確定</v>
      </c>
      <c r="C1990" s="68">
        <f>IFERROR(__xludf.DUMMYFUNCTION("""COMPUTED_VALUE"""),45523.0)</f>
        <v>45523</v>
      </c>
      <c r="D1990" s="68">
        <f>IFERROR(__xludf.DUMMYFUNCTION("""COMPUTED_VALUE"""),45524.0)</f>
        <v>45524</v>
      </c>
      <c r="E1990" s="31">
        <f>IFERROR(__xludf.DUMMYFUNCTION("""COMPUTED_VALUE"""),301615.0)</f>
        <v>301615</v>
      </c>
      <c r="F1990" s="31" t="str">
        <f>IFERROR(__xludf.DUMMYFUNCTION("""COMPUTED_VALUE"""),"望まれていなかった婚約が真実の愛に変わるまで")</f>
        <v>望まれていなかった婚約が真実の愛に変わるまで</v>
      </c>
      <c r="G1990" s="69" t="str">
        <f>IFERROR(__xludf.DUMMYFUNCTION("""COMPUTED_VALUE"""),"1～3")</f>
        <v>1～3</v>
      </c>
      <c r="H1990" s="75" t="str">
        <f>IFERROR(__xludf.DUMMYFUNCTION("""COMPUTED_VALUE"""),"キイロイホウ／COMIC ROOM")</f>
        <v>キイロイホウ／COMIC ROOM</v>
      </c>
      <c r="I1990" s="75" t="str">
        <f>IFERROR(__xludf.DUMMYFUNCTION("""COMPUTED_VALUE"""),"女性")</f>
        <v>女性</v>
      </c>
      <c r="J1990" s="75"/>
      <c r="K1990" s="75"/>
      <c r="L1990" s="75" t="str">
        <f>IFERROR(__xludf.DUMMYFUNCTION("""COMPUTED_VALUE"""),"コミックルーム")</f>
        <v>コミックルーム</v>
      </c>
      <c r="M1990" s="59">
        <f>IFERROR(__xludf.DUMMYFUNCTION("""COMPUTED_VALUE"""),45550.0)</f>
        <v>45550</v>
      </c>
      <c r="N1990" s="94">
        <f>IFERROR(__xludf.DUMMYFUNCTION("""COMPUTED_VALUE"""),45640.0)</f>
        <v>45640</v>
      </c>
      <c r="O1990" s="75"/>
      <c r="P1990" s="80" t="str">
        <f>IFERROR(__xludf.DUMMYFUNCTION("""COMPUTED_VALUE"""),"可")</f>
        <v>可</v>
      </c>
      <c r="Q1990" s="72" t="str">
        <f>IFERROR(__xludf.DUMMYFUNCTION("""COMPUTED_VALUE"""),"アンソロジー9月刊のばら売りです。")</f>
        <v>アンソロジー9月刊のばら売りです。</v>
      </c>
      <c r="R1990" s="75"/>
      <c r="S1990" s="75" t="str">
        <f>IFERROR(__xludf.DUMMYFUNCTION("""COMPUTED_VALUE"""),"20240819_コミックルーム_望まれていなかった婚約が真実の愛に変わるまで")</f>
        <v>20240819_コミックルーム_望まれていなかった婚約が真実の愛に変わるまで</v>
      </c>
      <c r="T1990" s="75" t="str">
        <f>IFERROR(__xludf.DUMMYFUNCTION("""COMPUTED_VALUE"""),"格納済み")</f>
        <v>格納済み</v>
      </c>
      <c r="U1990" s="15" t="str">
        <f>IFERROR(__xludf.DUMMYFUNCTION("""COMPUTED_VALUE"""),"©キイロイホウ／COMIC ROOM")</f>
        <v>©キイロイホウ／COMIC ROOM</v>
      </c>
      <c r="V1990" s="8" t="str">
        <f>IFERROR(__xludf.DUMMYFUNCTION("""COMPUTED_VALUE"""),"伯爵令嬢エミリアは、侯爵令息フレデリックとの政略結婚が決まっていた。
初めて会った日から彼に想いを寄せていたエミリアだったが、フレデリックの態度は冷たく、その心はエミリアの親友クララに向けられていた。
そんな中、エミリアとフレデリックの望まれない同棲生活が始まる。
ところが、ある時からフレデリックの態度が少しずつ変わり始める。彼はエミリアを食事やお茶に誘うようになり、2人の距離は徐々に縮まっていく。
そんなある日、フレデリックが「大事な話がある」と切り出す。
そこに親友のクララが現れ、衝撃の事実"&amp;"が明らかになっていき…！？
不遇な令嬢が真実の愛を掴むまでの、スカッと逆転ラブストーリー！
※本作品の1・2・3巻は『溺れるほど愛されて、幸せになって見せますわ！アンソロジーコミック7巻』の収録作品です。重複購入にご注意ください。")</f>
        <v>伯爵令嬢エミリアは、侯爵令息フレデリックとの政略結婚が決まっていた。
初めて会った日から彼に想いを寄せていたエミリアだったが、フレデリックの態度は冷たく、その心はエミリアの親友クララに向けられていた。
そんな中、エミリアとフレデリックの望まれない同棲生活が始まる。
ところが、ある時からフレデリックの態度が少しずつ変わり始める。彼はエミリアを食事やお茶に誘うようになり、2人の距離は徐々に縮まっていく。
そんなある日、フレデリックが「大事な話がある」と切り出す。
そこに親友のクララが現れ、衝撃の事実が明らかになっていき…！？
不遇な令嬢が真実の愛を掴むまでの、スカッと逆転ラブストーリー！
※本作品の1・2・3巻は『溺れるほど愛されて、幸せになって見せますわ！アンソロジーコミック7巻』の収録作品です。重複購入にご注意ください。</v>
      </c>
      <c r="W1990" s="14"/>
      <c r="X1990" s="14" t="str">
        <f>IFERROR(__xludf.DUMMYFUNCTION("""COMPUTED_VALUE"""),"有")</f>
        <v>有</v>
      </c>
      <c r="Y1990" s="8" t="str">
        <f>IFERROR(__xludf.DUMMYFUNCTION("""COMPUTED_VALUE"""),"P10まで")</f>
        <v>P10まで</v>
      </c>
      <c r="Z1990" s="7"/>
      <c r="AA1990" s="7"/>
      <c r="AB1990" s="7"/>
    </row>
    <row r="1991" ht="15.75" customHeight="1">
      <c r="A1991" s="66">
        <f>IFERROR(__xludf.DUMMYFUNCTION("""COMPUTED_VALUE"""),4003.0)</f>
        <v>4003</v>
      </c>
      <c r="B1991" s="75" t="str">
        <f>IFERROR(__xludf.DUMMYFUNCTION("""COMPUTED_VALUE"""),"確定")</f>
        <v>確定</v>
      </c>
      <c r="C1991" s="68">
        <f>IFERROR(__xludf.DUMMYFUNCTION("""COMPUTED_VALUE"""),45523.0)</f>
        <v>45523</v>
      </c>
      <c r="D1991" s="68">
        <f>IFERROR(__xludf.DUMMYFUNCTION("""COMPUTED_VALUE"""),45524.0)</f>
        <v>45524</v>
      </c>
      <c r="E1991" s="31">
        <f>IFERROR(__xludf.DUMMYFUNCTION("""COMPUTED_VALUE"""),301824.0)</f>
        <v>301824</v>
      </c>
      <c r="F1991" s="31" t="str">
        <f>IFERROR(__xludf.DUMMYFUNCTION("""COMPUTED_VALUE"""),"公爵様の秘密の魔法レッスンが終わりません！")</f>
        <v>公爵様の秘密の魔法レッスンが終わりません！</v>
      </c>
      <c r="G1991" s="11" t="str">
        <f>IFERROR(__xludf.DUMMYFUNCTION("""COMPUTED_VALUE"""),"1～2")</f>
        <v>1～2</v>
      </c>
      <c r="H1991" s="75" t="str">
        <f>IFERROR(__xludf.DUMMYFUNCTION("""COMPUTED_VALUE"""),"伊南十八／COMIC ROOM")</f>
        <v>伊南十八／COMIC ROOM</v>
      </c>
      <c r="I1991" s="75" t="str">
        <f>IFERROR(__xludf.DUMMYFUNCTION("""COMPUTED_VALUE"""),"女性")</f>
        <v>女性</v>
      </c>
      <c r="J1991" s="75"/>
      <c r="K1991" s="75"/>
      <c r="L1991" s="75" t="str">
        <f>IFERROR(__xludf.DUMMYFUNCTION("""COMPUTED_VALUE"""),"コミックルーム")</f>
        <v>コミックルーム</v>
      </c>
      <c r="M1991" s="59">
        <f>IFERROR(__xludf.DUMMYFUNCTION("""COMPUTED_VALUE"""),45550.0)</f>
        <v>45550</v>
      </c>
      <c r="N1991" s="94">
        <f>IFERROR(__xludf.DUMMYFUNCTION("""COMPUTED_VALUE"""),45640.0)</f>
        <v>45640</v>
      </c>
      <c r="O1991" s="75"/>
      <c r="P1991" s="80" t="str">
        <f>IFERROR(__xludf.DUMMYFUNCTION("""COMPUTED_VALUE"""),"可")</f>
        <v>可</v>
      </c>
      <c r="Q1991" s="72" t="str">
        <f>IFERROR(__xludf.DUMMYFUNCTION("""COMPUTED_VALUE"""),"アンソロジー9月刊のばら売りです。")</f>
        <v>アンソロジー9月刊のばら売りです。</v>
      </c>
      <c r="R1991" s="75"/>
      <c r="S1991" s="75" t="str">
        <f>IFERROR(__xludf.DUMMYFUNCTION("""COMPUTED_VALUE"""),"20240819_コミックルーム_公爵様の秘密の魔法レッスン")</f>
        <v>20240819_コミックルーム_公爵様の秘密の魔法レッスン</v>
      </c>
      <c r="T1991" s="75" t="str">
        <f>IFERROR(__xludf.DUMMYFUNCTION("""COMPUTED_VALUE"""),"格納済み")</f>
        <v>格納済み</v>
      </c>
      <c r="U1991" s="15" t="str">
        <f>IFERROR(__xludf.DUMMYFUNCTION("""COMPUTED_VALUE"""),"©伊南十八／COMIC ROOM")</f>
        <v>©伊南十八／COMIC ROOM</v>
      </c>
      <c r="V1991" s="8" t="str">
        <f>IFERROR(__xludf.DUMMYFUNCTION("""COMPUTED_VALUE"""),"魔法学園に通う伯爵令嬢ナンシー・クーファス。
魔力の多い家系に生まれた彼女だが、なぜか魔法を使おうとするといつも魔力が爆発してしまうのだった。
そんなナンシーの能力に失望した婚約者マーク・ウォーラーは、ついに婚約破棄を言い渡す。
周囲の冷たい視線にさらされる中、ナンシーの前に現れたのは、学園トップの成績を誇る公爵子息ウィリアム・ハワードだった。
「私に、魔法を教える時間をくれないか？」
学園中が憧れ羨む公爵子息ウィリアム様と・・・2人きりの秘密のレッスンが始まってしまいます！
※本作品の1・2"&amp;"巻は『溺れるほど愛されて、幸せになって見せますわ！アンソロジーコミック7巻』の収録作品です。重複購入にご注意ください。")</f>
        <v>魔法学園に通う伯爵令嬢ナンシー・クーファス。
魔力の多い家系に生まれた彼女だが、なぜか魔法を使おうとするといつも魔力が爆発してしまうのだった。
そんなナンシーの能力に失望した婚約者マーク・ウォーラーは、ついに婚約破棄を言い渡す。
周囲の冷たい視線にさらされる中、ナンシーの前に現れたのは、学園トップの成績を誇る公爵子息ウィリアム・ハワードだった。
「私に、魔法を教える時間をくれないか？」
学園中が憧れ羨む公爵子息ウィリアム様と・・・2人きりの秘密のレッスンが始まってしまいます！
※本作品の1・2巻は『溺れるほど愛されて、幸せになって見せますわ！アンソロジーコミック7巻』の収録作品です。重複購入にご注意ください。</v>
      </c>
      <c r="W1991" s="14"/>
      <c r="X1991" s="14" t="str">
        <f>IFERROR(__xludf.DUMMYFUNCTION("""COMPUTED_VALUE"""),"有")</f>
        <v>有</v>
      </c>
      <c r="Y1991" s="8" t="str">
        <f>IFERROR(__xludf.DUMMYFUNCTION("""COMPUTED_VALUE"""),"P10まで")</f>
        <v>P10まで</v>
      </c>
      <c r="Z1991" s="7"/>
      <c r="AA1991" s="7"/>
      <c r="AB1991" s="7"/>
    </row>
    <row r="1992" ht="15.75" customHeight="1">
      <c r="A1992" s="66">
        <f>IFERROR(__xludf.DUMMYFUNCTION("""COMPUTED_VALUE"""),4004.0)</f>
        <v>4004</v>
      </c>
      <c r="B1992" s="75" t="str">
        <f>IFERROR(__xludf.DUMMYFUNCTION("""COMPUTED_VALUE"""),"確定")</f>
        <v>確定</v>
      </c>
      <c r="C1992" s="68">
        <f>IFERROR(__xludf.DUMMYFUNCTION("""COMPUTED_VALUE"""),45524.0)</f>
        <v>45524</v>
      </c>
      <c r="D1992" s="68">
        <f>IFERROR(__xludf.DUMMYFUNCTION("""COMPUTED_VALUE"""),45524.0)</f>
        <v>45524</v>
      </c>
      <c r="E1992" s="60">
        <f>IFERROR(__xludf.DUMMYFUNCTION("""COMPUTED_VALUE"""),302641.0)</f>
        <v>302641</v>
      </c>
      <c r="F1992" s="60" t="str">
        <f>IFERROR(__xludf.DUMMYFUNCTION("""COMPUTED_VALUE"""),"上条夫妻の片恋慕 親の決めたあの方と")</f>
        <v>上条夫妻の片恋慕 親の決めたあの方と</v>
      </c>
      <c r="G1992" s="69" t="str">
        <f>IFERROR(__xludf.DUMMYFUNCTION("""COMPUTED_VALUE"""),"1～3")</f>
        <v>1～3</v>
      </c>
      <c r="H1992" s="75" t="str">
        <f>IFERROR(__xludf.DUMMYFUNCTION("""COMPUTED_VALUE"""),"原作：伽月るーこ 作画：桜井飛鳥")</f>
        <v>原作：伽月るーこ 作画：桜井飛鳥</v>
      </c>
      <c r="I1992" s="75" t="str">
        <f>IFERROR(__xludf.DUMMYFUNCTION("""COMPUTED_VALUE"""),"女性")</f>
        <v>女性</v>
      </c>
      <c r="J1992" s="75"/>
      <c r="K1992" s="75"/>
      <c r="L1992" s="75" t="str">
        <f>IFERROR(__xludf.DUMMYFUNCTION("""COMPUTED_VALUE"""),"CLLENN")</f>
        <v>CLLENN</v>
      </c>
      <c r="M1992" s="59">
        <f>IFERROR(__xludf.DUMMYFUNCTION("""COMPUTED_VALUE"""),45560.0)</f>
        <v>45560</v>
      </c>
      <c r="N1992" s="94">
        <f>IFERROR(__xludf.DUMMYFUNCTION("""COMPUTED_VALUE"""),45650.0)</f>
        <v>45650</v>
      </c>
      <c r="O1992" s="75"/>
      <c r="P1992" s="80" t="str">
        <f>IFERROR(__xludf.DUMMYFUNCTION("""COMPUTED_VALUE"""),"可")</f>
        <v>可</v>
      </c>
      <c r="Q1992" s="75" t="str">
        <f>IFERROR(__xludf.DUMMYFUNCTION("""COMPUTED_VALUE"""),"協業作品です。 レーベル名：シーモア×コイパレ")</f>
        <v>協業作品です。 レーベル名：シーモア×コイパレ</v>
      </c>
      <c r="R1992" s="75" t="str">
        <f>IFERROR(__xludf.DUMMYFUNCTION("""COMPUTED_VALUE"""),"格納済み")</f>
        <v>格納済み</v>
      </c>
      <c r="S1992" s="75" t="str">
        <f>IFERROR(__xludf.DUMMYFUNCTION("""COMPUTED_VALUE"""),"20240820_CLLENN_【協業】桜井飛鳥_上条夫妻の片恋慕")</f>
        <v>20240820_CLLENN_【協業】桜井飛鳥_上条夫妻の片恋慕</v>
      </c>
      <c r="T1992" s="83" t="str">
        <f>IFERROR(__xludf.DUMMYFUNCTION("""COMPUTED_VALUE"""),"格納済み")</f>
        <v>格納済み</v>
      </c>
      <c r="U1992" s="15" t="str">
        <f>IFERROR(__xludf.DUMMYFUNCTION("""COMPUTED_VALUE"""),"(C)桜井飛鳥・伽月るーこ/CLLENN")</f>
        <v>(C)桜井飛鳥・伽月るーこ/CLLENN</v>
      </c>
      <c r="V1992" s="8" t="str">
        <f>IFERROR(__xludf.DUMMYFUNCTION("""COMPUTED_VALUE"""),"糸し糸しという心――。いつか私だけの恋をしたい、と願う縁本家の長女・さち。結婚は好きな人と……そう心に決めていた。ある日、家業が失敗したことにより、妹・妙子に縁談が持ち上がる。せめて、好きな人ができたと打ち明けてくれた妹の恋を守りたいさちは、代わりに見合いをすることに。迎えた見合い当日、上条家当主・義巳は雨でずぶ濡れの子猫と共に現れた。両親の前では「夫婦になるのに年齢は関係ない」とさちを優しく庇うような口ぶりだったが、ふたりきりになると「僕は政略結婚が嫌いです」と淡々と言い放つ。先ほどまでの彼から出た言葉"&amp;"とは思えず、今日という日への覚悟を必死に伝えるが……。結婚生活が始まり、今までと違う環境に戸惑いながらも、上条家の人々の優しさに触れ、妻としての役割を果たそうと奮闘するさち。そんな彼女をあたたかく気遣う義巳に、日々鼓動は高まるばかり。しかし、彼の本心は見えないままで。ふたりの「政略結婚」の行方は――。親の決めたこの方と私は恋を知らずに結婚する……これは私が戀＜こい＞を知るための物語。")</f>
        <v>糸し糸しという心――。いつか私だけの恋をしたい、と願う縁本家の長女・さち。結婚は好きな人と……そう心に決めていた。ある日、家業が失敗したことにより、妹・妙子に縁談が持ち上がる。せめて、好きな人ができたと打ち明けてくれた妹の恋を守りたいさちは、代わりに見合いをすることに。迎えた見合い当日、上条家当主・義巳は雨でずぶ濡れの子猫と共に現れた。両親の前では「夫婦になるのに年齢は関係ない」とさちを優しく庇うような口ぶりだったが、ふたりきりになると「僕は政略結婚が嫌いです」と淡々と言い放つ。先ほどまでの彼から出た言葉とは思えず、今日という日への覚悟を必死に伝えるが……。結婚生活が始まり、今までと違う環境に戸惑いながらも、上条家の人々の優しさに触れ、妻としての役割を果たそうと奮闘するさち。そんな彼女をあたたかく気遣う義巳に、日々鼓動は高まるばかり。しかし、彼の本心は見えないままで。ふたりの「政略結婚」の行方は――。親の決めたこの方と私は恋を知らずに結婚する……これは私が戀＜こい＞を知るための物語。</v>
      </c>
      <c r="W1992" s="14"/>
      <c r="X1992" s="14" t="str">
        <f>IFERROR(__xludf.DUMMYFUNCTION("""COMPUTED_VALUE"""),"有")</f>
        <v>有</v>
      </c>
      <c r="Y1992" s="8" t="str">
        <f>IFERROR(__xludf.DUMMYFUNCTION("""COMPUTED_VALUE"""),"2024/10/8まで1巻無料")</f>
        <v>2024/10/8まで1巻無料</v>
      </c>
      <c r="Z1992" s="7"/>
      <c r="AA1992" s="7"/>
      <c r="AB1992" s="7"/>
    </row>
    <row r="1993" ht="15.75" customHeight="1">
      <c r="A1993" s="66">
        <f>IFERROR(__xludf.DUMMYFUNCTION("""COMPUTED_VALUE"""),4011.0)</f>
        <v>4011</v>
      </c>
      <c r="B1993" s="75" t="str">
        <f>IFERROR(__xludf.DUMMYFUNCTION("""COMPUTED_VALUE"""),"確定")</f>
        <v>確定</v>
      </c>
      <c r="C1993" s="68">
        <f>IFERROR(__xludf.DUMMYFUNCTION("""COMPUTED_VALUE"""),45525.0)</f>
        <v>45525</v>
      </c>
      <c r="D1993" s="68">
        <f>IFERROR(__xludf.DUMMYFUNCTION("""COMPUTED_VALUE"""),45525.0)</f>
        <v>45525</v>
      </c>
      <c r="E1993" s="31">
        <f>IFERROR(__xludf.DUMMYFUNCTION("""COMPUTED_VALUE"""),300538.0)</f>
        <v>300538</v>
      </c>
      <c r="F1993" s="31" t="str">
        <f>IFERROR(__xludf.DUMMYFUNCTION("""COMPUTED_VALUE"""),"星川さんは瀬戸課長に射抜かれたい！～クール上司のアソコは…超敏感～")</f>
        <v>星川さんは瀬戸課長に射抜かれたい！～クール上司のアソコは…超敏感～</v>
      </c>
      <c r="G1993" s="69" t="str">
        <f>IFERROR(__xludf.DUMMYFUNCTION("""COMPUTED_VALUE"""),"1～3")</f>
        <v>1～3</v>
      </c>
      <c r="H1993" s="75" t="str">
        <f>IFERROR(__xludf.DUMMYFUNCTION("""COMPUTED_VALUE"""),"梅本あや")</f>
        <v>梅本あや</v>
      </c>
      <c r="I1993" s="75" t="str">
        <f>IFERROR(__xludf.DUMMYFUNCTION("""COMPUTED_VALUE"""),"TL")</f>
        <v>TL</v>
      </c>
      <c r="J1993" s="75"/>
      <c r="K1993" s="75"/>
      <c r="L1993" s="75" t="str">
        <f>IFERROR(__xludf.DUMMYFUNCTION("""COMPUTED_VALUE"""),"一迅社")</f>
        <v>一迅社</v>
      </c>
      <c r="M1993" s="59">
        <f>IFERROR(__xludf.DUMMYFUNCTION("""COMPUTED_VALUE"""),45541.0)</f>
        <v>45541</v>
      </c>
      <c r="N1993" s="59">
        <f>IFERROR(__xludf.DUMMYFUNCTION("""COMPUTED_VALUE"""),45568.0)</f>
        <v>45568</v>
      </c>
      <c r="O1993" s="75"/>
      <c r="P1993" s="80" t="str">
        <f>IFERROR(__xludf.DUMMYFUNCTION("""COMPUTED_VALUE"""),"可")</f>
        <v>可</v>
      </c>
      <c r="Q1993" s="72" t="str">
        <f>IFERROR(__xludf.DUMMYFUNCTION("""COMPUTED_VALUE"""),"・レーベル名：LOVEBITES")</f>
        <v>・レーベル名：LOVEBITES</v>
      </c>
      <c r="R1993" s="75"/>
      <c r="S1993" s="75" t="str">
        <f>IFERROR(__xludf.DUMMYFUNCTION("""COMPUTED_VALUE"""),"20240821_一迅社_星川さんは瀬戸課長に射抜かれたい！～クール上司のアソコは…超敏感～")</f>
        <v>20240821_一迅社_星川さんは瀬戸課長に射抜かれたい！～クール上司のアソコは…超敏感～</v>
      </c>
      <c r="T1993" s="75" t="str">
        <f>IFERROR(__xludf.DUMMYFUNCTION("""COMPUTED_VALUE"""),"格納済み")</f>
        <v>格納済み</v>
      </c>
      <c r="U1993" s="15" t="str">
        <f>IFERROR(__xludf.DUMMYFUNCTION("""COMPUTED_VALUE"""),"(C)梅本あや／一迅社")</f>
        <v>(C)梅本あや／一迅社</v>
      </c>
      <c r="V1993" s="8" t="str">
        <f>IFERROR(__xludf.DUMMYFUNCTION("""COMPUTED_VALUE"""),"「かっこいい…」高校の弓道大会でひとめぼれした瀬戸くんのことをいまでも一途に想い続けている星川さん。かつては女子高の王子と呼ばれたイケメン女子だけど自分にとっての王子様は瀬戸くんだけ！！　瀬戸くんとは初対面で着替えを見られた上に事故って胸を触られ、その刺激で瀬戸くんは速射してしまい…。だけどそのかわいいイキ顔が忘れられない…。そんな濃ゆ～い思い出の瀬戸くんが、超クールな課長として赴任してきて…！？")</f>
        <v>「かっこいい…」高校の弓道大会でひとめぼれした瀬戸くんのことをいまでも一途に想い続けている星川さん。かつては女子高の王子と呼ばれたイケメン女子だけど自分にとっての王子様は瀬戸くんだけ！！　瀬戸くんとは初対面で着替えを見られた上に事故って胸を触られ、その刺激で瀬戸くんは速射してしまい…。だけどそのかわいいイキ顔が忘れられない…。そんな濃ゆ～い思い出の瀬戸くんが、超クールな課長として赴任してきて…！？</v>
      </c>
      <c r="W1993" s="14"/>
      <c r="X1993" s="14" t="str">
        <f>IFERROR(__xludf.DUMMYFUNCTION("""COMPUTED_VALUE"""),"有")</f>
        <v>有</v>
      </c>
      <c r="Y1993" s="8" t="str">
        <f>IFERROR(__xludf.DUMMYFUNCTION("""COMPUTED_VALUE"""),"2024/10/3まで1巻無料")</f>
        <v>2024/10/3まで1巻無料</v>
      </c>
      <c r="Z1993" s="7"/>
      <c r="AA1993" s="7"/>
      <c r="AB1993" s="7"/>
    </row>
    <row r="1994" ht="15.75" customHeight="1">
      <c r="A1994" s="66">
        <f>IFERROR(__xludf.DUMMYFUNCTION("""COMPUTED_VALUE"""),4013.0)</f>
        <v>4013</v>
      </c>
      <c r="B1994" s="75" t="str">
        <f>IFERROR(__xludf.DUMMYFUNCTION("""COMPUTED_VALUE"""),"確定")</f>
        <v>確定</v>
      </c>
      <c r="C1994" s="68">
        <f>IFERROR(__xludf.DUMMYFUNCTION("""COMPUTED_VALUE"""),45525.0)</f>
        <v>45525</v>
      </c>
      <c r="D1994" s="68">
        <f>IFERROR(__xludf.DUMMYFUNCTION("""COMPUTED_VALUE"""),45525.0)</f>
        <v>45525</v>
      </c>
      <c r="E1994" s="60">
        <f>IFERROR(__xludf.DUMMYFUNCTION("""COMPUTED_VALUE"""),304006.0)</f>
        <v>304006</v>
      </c>
      <c r="F1994" s="60" t="str">
        <f>IFERROR(__xludf.DUMMYFUNCTION("""COMPUTED_VALUE"""),"吸血バーへようこそ[ばら売り]")</f>
        <v>吸血バーへようこそ[ばら売り]</v>
      </c>
      <c r="G1994" s="69" t="str">
        <f>IFERROR(__xludf.DUMMYFUNCTION("""COMPUTED_VALUE"""),"1～6")</f>
        <v>1～6</v>
      </c>
      <c r="H1994" s="75" t="str">
        <f>IFERROR(__xludf.DUMMYFUNCTION("""COMPUTED_VALUE"""),"次見やをら")</f>
        <v>次見やをら</v>
      </c>
      <c r="I1994" s="75" t="str">
        <f>IFERROR(__xludf.DUMMYFUNCTION("""COMPUTED_VALUE"""),"BL")</f>
        <v>BL</v>
      </c>
      <c r="J1994" s="75"/>
      <c r="K1994" s="75"/>
      <c r="L1994" s="75" t="str">
        <f>IFERROR(__xludf.DUMMYFUNCTION("""COMPUTED_VALUE"""),"白泉社")</f>
        <v>白泉社</v>
      </c>
      <c r="M1994" s="94">
        <f>IFERROR(__xludf.DUMMYFUNCTION("""COMPUTED_VALUE"""),45577.0)</f>
        <v>45577</v>
      </c>
      <c r="N1994" s="94">
        <f>IFERROR(__xludf.DUMMYFUNCTION("""COMPUTED_VALUE"""),45639.0)</f>
        <v>45639</v>
      </c>
      <c r="O1994" s="75"/>
      <c r="P1994" s="80" t="str">
        <f>IFERROR(__xludf.DUMMYFUNCTION("""COMPUTED_VALUE"""),"可")</f>
        <v>可</v>
      </c>
      <c r="Q1994" s="72" t="str">
        <f>IFERROR(__xludf.DUMMYFUNCTION("""COMPUTED_VALUE"""),"マンガPark作品です。")</f>
        <v>マンガPark作品です。</v>
      </c>
      <c r="R1994" s="75"/>
      <c r="S1994" s="75" t="str">
        <f>IFERROR(__xludf.DUMMYFUNCTION("""COMPUTED_VALUE"""),"20240821_白泉社_吸血バーへようこそ")</f>
        <v>20240821_白泉社_吸血バーへようこそ</v>
      </c>
      <c r="T1994" s="75" t="str">
        <f>IFERROR(__xludf.DUMMYFUNCTION("""COMPUTED_VALUE"""),"格納済み")</f>
        <v>格納済み</v>
      </c>
      <c r="U1994" s="15" t="str">
        <f>IFERROR(__xludf.DUMMYFUNCTION("""COMPUTED_VALUE"""),"Ⓒ次見やをら/白泉社")</f>
        <v>Ⓒ次見やをら/白泉社</v>
      </c>
      <c r="V1994" s="8" t="str">
        <f>IFERROR(__xludf.DUMMYFUNCTION("""COMPUTED_VALUE"""),"【第1話】「君の血は誰よりも美味しい――」大学生のアズサは、吸血鬼であるマスターに“極上の味”の血と見込まれ、“吸血バー”の新米キャストとして働くことになる。アズサが「一番」といいつつも誰にでも優しいマスターと、後輩いじりが好きな同僚のミカとマドカに翻弄されながら、アズサは吸血鬼と人間の“恋の味”を知っていく!? 『拷問バイトくんの日常』の次見やをらが描く、吸血BLコメディ★")</f>
        <v>【第1話】「君の血は誰よりも美味しい――」大学生のアズサは、吸血鬼であるマスターに“極上の味”の血と見込まれ、“吸血バー”の新米キャストとして働くことになる。アズサが「一番」といいつつも誰にでも優しいマスターと、後輩いじりが好きな同僚のミカとマドカに翻弄されながら、アズサは吸血鬼と人間の“恋の味”を知っていく!? 『拷問バイトくんの日常』の次見やをらが描く、吸血BLコメディ★</v>
      </c>
      <c r="W1994" s="14"/>
      <c r="X1994" s="14" t="str">
        <f>IFERROR(__xludf.DUMMYFUNCTION("""COMPUTED_VALUE"""),"有")</f>
        <v>有</v>
      </c>
      <c r="Y1994" s="8" t="str">
        <f>IFERROR(__xludf.DUMMYFUNCTION("""COMPUTED_VALUE"""),"P10まで")</f>
        <v>P10まで</v>
      </c>
      <c r="Z1994" s="7"/>
      <c r="AA1994" s="7"/>
      <c r="AB1994" s="7"/>
    </row>
    <row r="1995" ht="15.75" customHeight="1">
      <c r="A1995" s="26">
        <f>IFERROR(__xludf.DUMMYFUNCTION("""COMPUTED_VALUE"""),3223.0)</f>
        <v>3223</v>
      </c>
      <c r="B1995" s="75" t="str">
        <f>IFERROR(__xludf.DUMMYFUNCTION("""COMPUTED_VALUE"""),"確定")</f>
        <v>確定</v>
      </c>
      <c r="C1995" s="59">
        <f>IFERROR(__xludf.DUMMYFUNCTION("""COMPUTED_VALUE"""),45383.0)</f>
        <v>45383</v>
      </c>
      <c r="D1995" s="59">
        <f>IFERROR(__xludf.DUMMYFUNCTION("""COMPUTED_VALUE"""),45531.0)</f>
        <v>45531</v>
      </c>
      <c r="E1995" s="26">
        <f>IFERROR(__xludf.DUMMYFUNCTION("""COMPUTED_VALUE"""),301700.0)</f>
        <v>301700</v>
      </c>
      <c r="F1995" s="22" t="str">
        <f>IFERROR(__xludf.DUMMYFUNCTION("""COMPUTED_VALUE"""),"意地悪な桜庭くんは、〜大嫌いなあいつにエッチな復讐されています！〜")</f>
        <v>意地悪な桜庭くんは、〜大嫌いなあいつにエッチな復讐されています！〜</v>
      </c>
      <c r="G1995" s="69" t="str">
        <f>IFERROR(__xludf.DUMMYFUNCTION("""COMPUTED_VALUE"""),"1～3")</f>
        <v>1～3</v>
      </c>
      <c r="H1995" s="22" t="str">
        <f>IFERROR(__xludf.DUMMYFUNCTION("""COMPUTED_VALUE"""),"藤海ばにら")</f>
        <v>藤海ばにら</v>
      </c>
      <c r="I1995" s="22" t="str">
        <f>IFERROR(__xludf.DUMMYFUNCTION("""COMPUTED_VALUE"""),"TL")</f>
        <v>TL</v>
      </c>
      <c r="J1995" s="22"/>
      <c r="K1995" s="22"/>
      <c r="L1995" s="22" t="str">
        <f>IFERROR(__xludf.DUMMYFUNCTION("""COMPUTED_VALUE"""),"ふゅーじょんぷろだくと")</f>
        <v>ふゅーじょんぷろだくと</v>
      </c>
      <c r="M1995" s="59">
        <f>IFERROR(__xludf.DUMMYFUNCTION("""COMPUTED_VALUE"""),45554.0)</f>
        <v>45554</v>
      </c>
      <c r="N1995" s="33">
        <f>IFERROR(__xludf.DUMMYFUNCTION("""COMPUTED_VALUE"""),45637.0)</f>
        <v>45637</v>
      </c>
      <c r="O1995" s="75"/>
      <c r="P1995" s="34" t="str">
        <f>IFERROR(__xludf.DUMMYFUNCTION("""COMPUTED_VALUE"""),"可")</f>
        <v>可</v>
      </c>
      <c r="Q1995" s="30" t="str">
        <f>IFERROR(__xludf.DUMMYFUNCTION("""COMPUTED_VALUE"""),"広告コミットOK(4/4)
レーベル名：BABY G-Side")</f>
        <v>広告コミットOK(4/4)
レーベル名：BABY G-Side</v>
      </c>
      <c r="R1995" s="22"/>
      <c r="S1995" s="75" t="str">
        <f>IFERROR(__xludf.DUMMYFUNCTION("""COMPUTED_VALUE"""),"20240821_ふゅーじょんぷろだくと_意地悪な桜庭くんは、〜大嫌いなあいつにエッチな復讐されています！〜")</f>
        <v>20240821_ふゅーじょんぷろだくと_意地悪な桜庭くんは、〜大嫌いなあいつにエッチな復讐されています！〜</v>
      </c>
      <c r="T1995" s="22" t="str">
        <f>IFERROR(__xludf.DUMMYFUNCTION("""COMPUTED_VALUE"""),"格納済み")</f>
        <v>格納済み</v>
      </c>
      <c r="U1995" s="15" t="str">
        <f>IFERROR(__xludf.DUMMYFUNCTION("""COMPUTED_VALUE"""),"『意地悪な桜庭くんは、〜大嫌いなあいつにエッチな復讐されています！〜』©藤海ばにら／FUSION PRODUCT	")</f>
        <v>『意地悪な桜庭くんは、〜大嫌いなあいつにエッチな復讐されています！〜』©藤海ばにら／FUSION PRODUCT	</v>
      </c>
      <c r="V1995" s="8" t="str">
        <f>IFERROR(__xludf.DUMMYFUNCTION("""COMPUTED_VALUE"""),"【処女、俺で捨てとけば？】見栄っ張りなバリキャリ女子がイケメンハイスペ男子に溺愛される。ーー自他共に認めるキャリアウーマンのアラサー女子・夏野（なつの）。上司からの信頼は厚く、後輩からは尊敬の眼差しを向けられているが、実は男性との交際経験ゼロの処女。公私共に充実している完璧な女を演じているため、イケメンエリートの彼氏がいると嘘をついていた。しかし、その嘘が同じ会社で働くエリート男子の桜庭（さくらば）にバレてしまう！このまま完璧な女を演じていたいなら、言うことを聞けと脅されてしまい…。")</f>
        <v>【処女、俺で捨てとけば？】見栄っ張りなバリキャリ女子がイケメンハイスペ男子に溺愛される。ーー自他共に認めるキャリアウーマンのアラサー女子・夏野（なつの）。上司からの信頼は厚く、後輩からは尊敬の眼差しを向けられているが、実は男性との交際経験ゼロの処女。公私共に充実している完璧な女を演じているため、イケメンエリートの彼氏がいると嘘をついていた。しかし、その嘘が同じ会社で働くエリート男子の桜庭（さくらば）にバレてしまう！このまま完璧な女を演じていたいなら、言うことを聞けと脅されてしまい…。</v>
      </c>
      <c r="W1995" s="14"/>
      <c r="X1995" s="14" t="str">
        <f>IFERROR(__xludf.DUMMYFUNCTION("""COMPUTED_VALUE"""),"有")</f>
        <v>有</v>
      </c>
      <c r="Y1995" s="8" t="str">
        <f>IFERROR(__xludf.DUMMYFUNCTION("""COMPUTED_VALUE"""),"P10まで")</f>
        <v>P10まで</v>
      </c>
      <c r="Z1995" s="7"/>
      <c r="AA1995" s="7"/>
      <c r="AB1995" s="7"/>
    </row>
    <row r="1996" ht="15.75" customHeight="1">
      <c r="A1996" s="26">
        <f>IFERROR(__xludf.DUMMYFUNCTION("""COMPUTED_VALUE"""),3640.0)</f>
        <v>3640</v>
      </c>
      <c r="B1996" s="75" t="str">
        <f>IFERROR(__xludf.DUMMYFUNCTION("""COMPUTED_VALUE"""),"確定")</f>
        <v>確定</v>
      </c>
      <c r="C1996" s="28">
        <f>IFERROR(__xludf.DUMMYFUNCTION("""COMPUTED_VALUE"""),45457.0)</f>
        <v>45457</v>
      </c>
      <c r="D1996" s="28">
        <f>IFERROR(__xludf.DUMMYFUNCTION("""COMPUTED_VALUE"""),45531.0)</f>
        <v>45531</v>
      </c>
      <c r="E1996" s="26">
        <f>IFERROR(__xludf.DUMMYFUNCTION("""COMPUTED_VALUE"""),301366.0)</f>
        <v>301366</v>
      </c>
      <c r="F1996" s="22" t="str">
        <f>IFERROR(__xludf.DUMMYFUNCTION("""COMPUTED_VALUE"""),"アオハル・ワンスモア")</f>
        <v>アオハル・ワンスモア</v>
      </c>
      <c r="G1996" s="69">
        <f>IFERROR(__xludf.DUMMYFUNCTION("""COMPUTED_VALUE"""),1.0)</f>
        <v>1</v>
      </c>
      <c r="H1996" s="22" t="str">
        <f>IFERROR(__xludf.DUMMYFUNCTION("""COMPUTED_VALUE"""),"宮田トヲル	")</f>
        <v>宮田トヲル	</v>
      </c>
      <c r="I1996" s="75" t="str">
        <f>IFERROR(__xludf.DUMMYFUNCTION("""COMPUTED_VALUE"""),"BL")</f>
        <v>BL</v>
      </c>
      <c r="J1996" s="22"/>
      <c r="K1996" s="22"/>
      <c r="L1996" s="22" t="str">
        <f>IFERROR(__xludf.DUMMYFUNCTION("""COMPUTED_VALUE"""),"シュークリーム        ")</f>
        <v>シュークリーム        </v>
      </c>
      <c r="M1996" s="59">
        <f>IFERROR(__xludf.DUMMYFUNCTION("""COMPUTED_VALUE"""),45548.0)</f>
        <v>45548</v>
      </c>
      <c r="N1996" s="33">
        <f>IFERROR(__xludf.DUMMYFUNCTION("""COMPUTED_VALUE"""),45575.0)</f>
        <v>45575</v>
      </c>
      <c r="O1996" s="75"/>
      <c r="P1996" s="32" t="str">
        <f>IFERROR(__xludf.DUMMYFUNCTION("""COMPUTED_VALUE"""),"可")</f>
        <v>可</v>
      </c>
      <c r="Q1996" s="30"/>
      <c r="R1996" s="22"/>
      <c r="S1996" s="75" t="str">
        <f>IFERROR(__xludf.DUMMYFUNCTION("""COMPUTED_VALUE"""),"20240821_シュークリーム_アオハル・ワンスモア	")</f>
        <v>20240821_シュークリーム_アオハル・ワンスモア	</v>
      </c>
      <c r="T1996" s="22" t="str">
        <f>IFERROR(__xludf.DUMMYFUNCTION("""COMPUTED_VALUE"""),"格納済み")</f>
        <v>格納済み</v>
      </c>
      <c r="U1996" s="15" t="str">
        <f>IFERROR(__xludf.DUMMYFUNCTION("""COMPUTED_VALUE"""),"（C）宮田トヲル/シュークリーム	")</f>
        <v>（C）宮田トヲル/シュークリーム	</v>
      </c>
      <c r="V1996" s="8" t="str">
        <f>IFERROR(__xludf.DUMMYFUNCTION("""COMPUTED_VALUE"""),"小林隼人は夢をみる。高校時代に、大西律と特別な関係だった頃の記憶を…。
人気のない図書室で、美しい空気を纏いたたずむ律を目で追う放課後。
日に透けた律の横顔に吸い込まれるようにキスをしたあの日から、
曖昧で、うわついた日々が過ぎていった。
＜俺はあの頃、律に恋をしていた＞
そう気づいた時にはもう遅く、2人はそれぞれの大学へ進学、就職し疎遠に…。
そんなある日、隼人の取引先に夢にまでみた律が現れて――？
「今度は絶対、律と付き合いたい」
あの日の恋が走り出す、大人のアオハル再"&amp;"会BL！")</f>
        <v>小林隼人は夢をみる。高校時代に、大西律と特別な関係だった頃の記憶を…。
人気のない図書室で、美しい空気を纏いたたずむ律を目で追う放課後。
日に透けた律の横顔に吸い込まれるようにキスをしたあの日から、
曖昧で、うわついた日々が過ぎていった。
＜俺はあの頃、律に恋をしていた＞
そう気づいた時にはもう遅く、2人はそれぞれの大学へ進学、就職し疎遠に…。
そんなある日、隼人の取引先に夢にまでみた律が現れて――？
「今度は絶対、律と付き合いたい」
あの日の恋が走り出す、大人のアオハル再会BL！</v>
      </c>
      <c r="W1996" s="14"/>
      <c r="X1996" s="14" t="str">
        <f>IFERROR(__xludf.DUMMYFUNCTION("""COMPUTED_VALUE"""),"有")</f>
        <v>有</v>
      </c>
      <c r="Y1996" s="8" t="str">
        <f>IFERROR(__xludf.DUMMYFUNCTION("""COMPUTED_VALUE"""),"P14まで")</f>
        <v>P14まで</v>
      </c>
      <c r="Z1996" s="7"/>
      <c r="AA1996" s="7"/>
      <c r="AB1996" s="7"/>
    </row>
    <row r="1997" ht="15.75" customHeight="1">
      <c r="A1997" s="26">
        <f>IFERROR(__xludf.DUMMYFUNCTION("""COMPUTED_VALUE"""),3641.0)</f>
        <v>3641</v>
      </c>
      <c r="B1997" s="75" t="str">
        <f>IFERROR(__xludf.DUMMYFUNCTION("""COMPUTED_VALUE"""),"確定")</f>
        <v>確定</v>
      </c>
      <c r="C1997" s="59">
        <f>IFERROR(__xludf.DUMMYFUNCTION("""COMPUTED_VALUE"""),45457.0)</f>
        <v>45457</v>
      </c>
      <c r="D1997" s="59">
        <f>IFERROR(__xludf.DUMMYFUNCTION("""COMPUTED_VALUE"""),45531.0)</f>
        <v>45531</v>
      </c>
      <c r="E1997" s="26">
        <f>IFERROR(__xludf.DUMMYFUNCTION("""COMPUTED_VALUE"""),301367.0)</f>
        <v>301367</v>
      </c>
      <c r="F1997" s="22" t="str">
        <f>IFERROR(__xludf.DUMMYFUNCTION("""COMPUTED_VALUE"""),"蜘蛛の男")</f>
        <v>蜘蛛の男</v>
      </c>
      <c r="G1997" s="69">
        <f>IFERROR(__xludf.DUMMYFUNCTION("""COMPUTED_VALUE"""),1.0)</f>
        <v>1</v>
      </c>
      <c r="H1997" s="22" t="str">
        <f>IFERROR(__xludf.DUMMYFUNCTION("""COMPUTED_VALUE"""),"あるくジョー")</f>
        <v>あるくジョー</v>
      </c>
      <c r="I1997" s="75" t="str">
        <f>IFERROR(__xludf.DUMMYFUNCTION("""COMPUTED_VALUE"""),"BL")</f>
        <v>BL</v>
      </c>
      <c r="J1997" s="22"/>
      <c r="K1997" s="22"/>
      <c r="L1997" s="22" t="str">
        <f>IFERROR(__xludf.DUMMYFUNCTION("""COMPUTED_VALUE"""),"シュークリーム        ")</f>
        <v>シュークリーム        </v>
      </c>
      <c r="M1997" s="59">
        <f>IFERROR(__xludf.DUMMYFUNCTION("""COMPUTED_VALUE"""),45548.0)</f>
        <v>45548</v>
      </c>
      <c r="N1997" s="62">
        <f>IFERROR(__xludf.DUMMYFUNCTION("""COMPUTED_VALUE"""),45575.0)</f>
        <v>45575</v>
      </c>
      <c r="O1997" s="75"/>
      <c r="P1997" s="32" t="str">
        <f>IFERROR(__xludf.DUMMYFUNCTION("""COMPUTED_VALUE"""),"可")</f>
        <v>可</v>
      </c>
      <c r="Q1997" s="30"/>
      <c r="R1997" s="22"/>
      <c r="S1997" s="75" t="str">
        <f>IFERROR(__xludf.DUMMYFUNCTION("""COMPUTED_VALUE"""),"20240821_シュークリーム_蜘蛛の男	")</f>
        <v>20240821_シュークリーム_蜘蛛の男	</v>
      </c>
      <c r="T1997" s="22" t="str">
        <f>IFERROR(__xludf.DUMMYFUNCTION("""COMPUTED_VALUE"""),"格納済み")</f>
        <v>格納済み</v>
      </c>
      <c r="U1997" s="15" t="str">
        <f>IFERROR(__xludf.DUMMYFUNCTION("""COMPUTED_VALUE"""),"（C）あるくジョー/シュークリーム	")</f>
        <v>（C）あるくジョー/シュークリーム	</v>
      </c>
      <c r="V1997" s="8" t="str">
        <f>IFERROR(__xludf.DUMMYFUNCTION("""COMPUTED_VALUE"""),"ウィリアムの日常は、彼を愛人として飼っていたマフィアのボスの事故死によって一変してしまった。
隠居生活を送るウィリアムの元を突然訪れた奇妙な男。
彼の名前は、ナイン。ボスの義理の息子だった。
ボスが死んで居場所がないのだと語るその姿は、どこか近寄りがたいような恐ろしい空気とは裏腹に、あまりにも気弱で頼りない。
放っておくこともできず、ウィリアムはしばらく彼と一緒に暮らすことに。
一方、組織の男たちはボスの死の真相を探る。
あれは本当に事故だったのか？
もし殺されたのだとしたら、犯"&amp;"人は、その目的は――……。
それは愛か、執着か、狂気か。
激情と思惑が絡み合う本格ノワールBL、開幕！")</f>
        <v>ウィリアムの日常は、彼を愛人として飼っていたマフィアのボスの事故死によって一変してしまった。
隠居生活を送るウィリアムの元を突然訪れた奇妙な男。
彼の名前は、ナイン。ボスの義理の息子だった。
ボスが死んで居場所がないのだと語るその姿は、どこか近寄りがたいような恐ろしい空気とは裏腹に、あまりにも気弱で頼りない。
放っておくこともできず、ウィリアムはしばらく彼と一緒に暮らすことに。
一方、組織の男たちはボスの死の真相を探る。
あれは本当に事故だったのか？
もし殺されたのだとしたら、犯人は、その目的は――……。
それは愛か、執着か、狂気か。
激情と思惑が絡み合う本格ノワールBL、開幕！</v>
      </c>
      <c r="W1997" s="14"/>
      <c r="X1997" s="14" t="str">
        <f>IFERROR(__xludf.DUMMYFUNCTION("""COMPUTED_VALUE"""),"有")</f>
        <v>有</v>
      </c>
      <c r="Y1997" s="8" t="str">
        <f>IFERROR(__xludf.DUMMYFUNCTION("""COMPUTED_VALUE"""),"P12まで")</f>
        <v>P12まで</v>
      </c>
      <c r="Z1997" s="7"/>
      <c r="AA1997" s="7"/>
      <c r="AB1997" s="7"/>
    </row>
    <row r="1998" ht="15.75" customHeight="1">
      <c r="A1998" s="26">
        <f>IFERROR(__xludf.DUMMYFUNCTION("""COMPUTED_VALUE"""),3803.0)</f>
        <v>3803</v>
      </c>
      <c r="B1998" s="75" t="str">
        <f>IFERROR(__xludf.DUMMYFUNCTION("""COMPUTED_VALUE"""),"確定")</f>
        <v>確定</v>
      </c>
      <c r="C1998" s="59">
        <f>IFERROR(__xludf.DUMMYFUNCTION("""COMPUTED_VALUE"""),45489.0)</f>
        <v>45489</v>
      </c>
      <c r="D1998" s="59">
        <f>IFERROR(__xludf.DUMMYFUNCTION("""COMPUTED_VALUE"""),45531.0)</f>
        <v>45531</v>
      </c>
      <c r="E1998" s="26">
        <f>IFERROR(__xludf.DUMMYFUNCTION("""COMPUTED_VALUE"""),301150.0)</f>
        <v>301150</v>
      </c>
      <c r="F1998" s="22" t="str">
        <f>IFERROR(__xludf.DUMMYFUNCTION("""COMPUTED_VALUE"""),"婚約破棄されたら王妃になりました")</f>
        <v>婚約破棄されたら王妃になりました</v>
      </c>
      <c r="G1998" s="69">
        <f>IFERROR(__xludf.DUMMYFUNCTION("""COMPUTED_VALUE"""),1.0)</f>
        <v>1</v>
      </c>
      <c r="H1998" s="22" t="str">
        <f>IFERROR(__xludf.DUMMYFUNCTION("""COMPUTED_VALUE"""),"作画：榎のと　原作：田山歩	")</f>
        <v>作画：榎のと　原作：田山歩	</v>
      </c>
      <c r="I1998" s="22" t="str">
        <f>IFERROR(__xludf.DUMMYFUNCTION("""COMPUTED_VALUE"""),"少女")</f>
        <v>少女</v>
      </c>
      <c r="J1998" s="22"/>
      <c r="K1998" s="22"/>
      <c r="L1998" s="22" t="str">
        <f>IFERROR(__xludf.DUMMYFUNCTION("""COMPUTED_VALUE"""),"笠倉出版社	")</f>
        <v>笠倉出版社	</v>
      </c>
      <c r="M1998" s="47">
        <f>IFERROR(__xludf.DUMMYFUNCTION("""COMPUTED_VALUE"""),45545.0)</f>
        <v>45545</v>
      </c>
      <c r="N1998" s="47">
        <f>IFERROR(__xludf.DUMMYFUNCTION("""COMPUTED_VALUE"""),45574.0)</f>
        <v>45574</v>
      </c>
      <c r="O1998" s="75"/>
      <c r="P1998" s="106" t="str">
        <f>IFERROR(__xludf.DUMMYFUNCTION("""COMPUTED_VALUE"""),"可")</f>
        <v>可</v>
      </c>
      <c r="Q1998" s="30" t="str">
        <f>IFERROR(__xludf.DUMMYFUNCTION("""COMPUTED_VALUE"""),"～補足～
本作は5月に配信いただきましたNiμアンソロジー
「悪役令嬢のはずなのに溺愛ルートが加速中！？どういうことですの？アンソロジーコミック 1巻」に掲載の単話作品となります。
◆掲載アンソロジー
　悪役令嬢のはずなのに溺愛ルートが加速中！？どういうことですの？アンソロジー
コミック 1巻
　https://www.cmoa.jp/title/292235/")</f>
        <v>～補足～
本作は5月に配信いただきましたNiμアンソロジー
「悪役令嬢のはずなのに溺愛ルートが加速中！？どういうことですの？アンソロジーコミック 1巻」に掲載の単話作品となります。
◆掲載アンソロジー
　悪役令嬢のはずなのに溺愛ルートが加速中！？どういうことですの？アンソロジー
コミック 1巻
　https://www.cmoa.jp/title/292235/</v>
      </c>
      <c r="R1998" s="22"/>
      <c r="S1998" s="75" t="str">
        <f>IFERROR(__xludf.DUMMYFUNCTION("""COMPUTED_VALUE"""),"20240821_笠倉出版社_婚約破棄されたら王妃になりました	")</f>
        <v>20240821_笠倉出版社_婚約破棄されたら王妃になりました	</v>
      </c>
      <c r="T1998" s="22" t="str">
        <f>IFERROR(__xludf.DUMMYFUNCTION("""COMPUTED_VALUE"""),"格納済み")</f>
        <v>格納済み</v>
      </c>
      <c r="U1998" s="15" t="str">
        <f>IFERROR(__xludf.DUMMYFUNCTION("""COMPUTED_VALUE"""),"©榎のと/田山歩/笠倉出版社")</f>
        <v>©榎のと/田山歩/笠倉出版社</v>
      </c>
      <c r="V1998" s="8" t="str">
        <f>IFERROR(__xludf.DUMMYFUNCTION("""COMPUTED_VALUE"""),"幼い頃から婚約していた王太子が聖女と仲睦まじくしているのを目撃したアメリア。それならば、スムーズに婚約を解消できるようにととある人に自分の考えを相談していて…！※この作品は『悪役令嬢のはずなのに溺愛ルートが加速中！？どういうことですの？アンソロジーコミック』1巻に収録されているものと同一の内容を単話版として再編集したものです。重複購入にご注意ください。")</f>
        <v>幼い頃から婚約していた王太子が聖女と仲睦まじくしているのを目撃したアメリア。それならば、スムーズに婚約を解消できるようにととある人に自分の考えを相談していて…！※この作品は『悪役令嬢のはずなのに溺愛ルートが加速中！？どういうことですの？アンソロジーコミック』1巻に収録されているものと同一の内容を単話版として再編集したものです。重複購入にご注意ください。</v>
      </c>
      <c r="W1998" s="14"/>
      <c r="X1998" s="14" t="str">
        <f>IFERROR(__xludf.DUMMYFUNCTION("""COMPUTED_VALUE"""),"有")</f>
        <v>有</v>
      </c>
      <c r="Y1998" s="8" t="str">
        <f>IFERROR(__xludf.DUMMYFUNCTION("""COMPUTED_VALUE"""),"P10まで")</f>
        <v>P10まで</v>
      </c>
      <c r="Z1998" s="7"/>
      <c r="AA1998" s="7"/>
      <c r="AB1998" s="7"/>
    </row>
    <row r="1999" ht="15.75" customHeight="1">
      <c r="A1999" s="66">
        <f>IFERROR(__xludf.DUMMYFUNCTION("""COMPUTED_VALUE"""),3473.0)</f>
        <v>3473</v>
      </c>
      <c r="B1999" s="67" t="str">
        <f>IFERROR(__xludf.DUMMYFUNCTION("""COMPUTED_VALUE"""),"確定")</f>
        <v>確定</v>
      </c>
      <c r="C1999" s="68">
        <f>IFERROR(__xludf.DUMMYFUNCTION("""COMPUTED_VALUE"""),45433.0)</f>
        <v>45433</v>
      </c>
      <c r="D1999" s="68">
        <f>IFERROR(__xludf.DUMMYFUNCTION("""COMPUTED_VALUE"""),45527.0)</f>
        <v>45527</v>
      </c>
      <c r="E1999" s="60">
        <f>IFERROR(__xludf.DUMMYFUNCTION("""COMPUTED_VALUE"""),303077.0)</f>
        <v>303077</v>
      </c>
      <c r="F1999" s="61" t="str">
        <f>IFERROR(__xludf.DUMMYFUNCTION("""COMPUTED_VALUE"""),"きみは最愛のステラ")</f>
        <v>きみは最愛のステラ</v>
      </c>
      <c r="G1999" s="11" t="str">
        <f>IFERROR(__xludf.DUMMYFUNCTION("""COMPUTED_VALUE"""),"1～2")</f>
        <v>1～2</v>
      </c>
      <c r="H1999" s="67" t="str">
        <f>IFERROR(__xludf.DUMMYFUNCTION("""COMPUTED_VALUE"""),"楢島さち")</f>
        <v>楢島さち</v>
      </c>
      <c r="I1999" s="67" t="str">
        <f>IFERROR(__xludf.DUMMYFUNCTION("""COMPUTED_VALUE"""),"BL")</f>
        <v>BL</v>
      </c>
      <c r="J1999" s="67"/>
      <c r="K1999" s="67"/>
      <c r="L1999" s="67" t="str">
        <f>IFERROR(__xludf.DUMMYFUNCTION("""COMPUTED_VALUE"""),"アメイロ")</f>
        <v>アメイロ</v>
      </c>
      <c r="M1999" s="23">
        <f>IFERROR(__xludf.DUMMYFUNCTION("""COMPUTED_VALUE"""),45569.0)</f>
        <v>45569</v>
      </c>
      <c r="N1999" s="23">
        <f>IFERROR(__xludf.DUMMYFUNCTION("""COMPUTED_VALUE"""),45631.0)</f>
        <v>45631</v>
      </c>
      <c r="O1999" s="67"/>
      <c r="P1999" s="70" t="str">
        <f>IFERROR(__xludf.DUMMYFUNCTION("""COMPUTED_VALUE"""),"可")</f>
        <v>可</v>
      </c>
      <c r="Q1999" s="97" t="str">
        <f>IFERROR(__xludf.DUMMYFUNCTION("""COMPUTED_VALUE"""),"広告コミットOK（5/27）
 その他情報：
 ・続話の先行期間は1ヵ月です
 ・3巻目は11/1に配信予定です
 ・初回配信に合わせ、1巻目18ページ目までの試読増量をいただきます
 ---------------------------
 ・「コスメティック・プレイラバー」などを書かれているBL作家様です")</f>
        <v>広告コミットOK（5/27）
 その他情報：
 ・続話の先行期間は1ヵ月です
 ・3巻目は11/1に配信予定です
 ・初回配信に合わせ、1巻目18ページ目までの試読増量をいただきます
 ---------------------------
 ・「コスメティック・プレイラバー」などを書かれているBL作家様です</v>
      </c>
      <c r="R1999" s="97">
        <f>IFERROR(__xludf.DUMMYFUNCTION("""COMPUTED_VALUE"""),45524.0)</f>
        <v>45524</v>
      </c>
      <c r="S1999" s="67" t="str">
        <f>IFERROR(__xludf.DUMMYFUNCTION("""COMPUTED_VALUE"""),"20240823_シュークリーム_きみは最愛のステラ")</f>
        <v>20240823_シュークリーム_きみは最愛のステラ</v>
      </c>
      <c r="T1999" s="67" t="str">
        <f>IFERROR(__xludf.DUMMYFUNCTION("""COMPUTED_VALUE"""),"格納済み")</f>
        <v>格納済み</v>
      </c>
      <c r="U1999" s="15" t="str">
        <f>IFERROR(__xludf.DUMMYFUNCTION("""COMPUTED_VALUE"""),"（C）楢島さち/シュークリーム")</f>
        <v>（C）楢島さち/シュークリーム</v>
      </c>
      <c r="V1999" s="8" t="str">
        <f>IFERROR(__xludf.DUMMYFUNCTION("""COMPUTED_VALUE"""),"激重純愛な年下ワンコ【人気グループのエース】
×うぶなツンデレ【“二つの顔を持つ”孤高のトップアイドル】
楢島さちが放つアイドル・ミスティックラブ！
人気アイドルグループCas/DOVE（キャスダヴ）のエース・鷲里（しゅり）には、忘れられない想い人がいる。かつて幻のユニットとして組み、いまや男性ソロアイドルのトップに君臨する鳳ましろ。
初恋をこじらせ数年――突如、Cas/DOVEが共同生活を送る寮に
ましろが引っ越してくる。
久々の再会に戸惑いつつ、お互いアイドルとして切磋琢磨する中
時"&amp;"折見せるましろの言動に違和感を覚える鷲里。
ある夜、鷲里のベッドに潜り込み
純情を嘲笑うかのようにカラダを弄るましろ。
“ラン”と称する、ましろの中に眠るもう一人の人格だと言い…！？")</f>
        <v>激重純愛な年下ワンコ【人気グループのエース】
×うぶなツンデレ【“二つの顔を持つ”孤高のトップアイドル】
楢島さちが放つアイドル・ミスティックラブ！
人気アイドルグループCas/DOVE（キャスダヴ）のエース・鷲里（しゅり）には、忘れられない想い人がいる。かつて幻のユニットとして組み、いまや男性ソロアイドルのトップに君臨する鳳ましろ。
初恋をこじらせ数年――突如、Cas/DOVEが共同生活を送る寮に
ましろが引っ越してくる。
久々の再会に戸惑いつつ、お互いアイドルとして切磋琢磨する中
時折見せるましろの言動に違和感を覚える鷲里。
ある夜、鷲里のベッドに潜り込み
純情を嘲笑うかのようにカラダを弄るましろ。
“ラン”と称する、ましろの中に眠るもう一人の人格だと言い…！？</v>
      </c>
      <c r="W1999" s="14"/>
      <c r="X1999" s="14" t="str">
        <f>IFERROR(__xludf.DUMMYFUNCTION("""COMPUTED_VALUE"""),"有")</f>
        <v>有</v>
      </c>
      <c r="Y1999" s="8" t="str">
        <f>IFERROR(__xludf.DUMMYFUNCTION("""COMPUTED_VALUE"""),"2024/12/5まで立ち読み増量P19まで")</f>
        <v>2024/12/5まで立ち読み増量P19まで</v>
      </c>
      <c r="Z1999" s="7"/>
      <c r="AA1999" s="7"/>
      <c r="AB1999" s="7"/>
    </row>
    <row r="2000" ht="15.75" customHeight="1">
      <c r="A2000" s="66">
        <f>IFERROR(__xludf.DUMMYFUNCTION("""COMPUTED_VALUE"""),3636.0)</f>
        <v>3636</v>
      </c>
      <c r="B2000" s="67" t="str">
        <f>IFERROR(__xludf.DUMMYFUNCTION("""COMPUTED_VALUE"""),"確定")</f>
        <v>確定</v>
      </c>
      <c r="C2000" s="68">
        <f>IFERROR(__xludf.DUMMYFUNCTION("""COMPUTED_VALUE"""),45457.0)</f>
        <v>45457</v>
      </c>
      <c r="D2000" s="68">
        <f>IFERROR(__xludf.DUMMYFUNCTION("""COMPUTED_VALUE"""),45532.0)</f>
        <v>45532</v>
      </c>
      <c r="E2000" s="60">
        <f>IFERROR(__xludf.DUMMYFUNCTION("""COMPUTED_VALUE"""),302921.0)</f>
        <v>302921</v>
      </c>
      <c r="F2000" s="61" t="str">
        <f>IFERROR(__xludf.DUMMYFUNCTION("""COMPUTED_VALUE"""),"えっちな声のオシゴトは堅物上司にも秘密です ～うっかり挑発したら溺愛がはじまりました!?～")</f>
        <v>えっちな声のオシゴトは堅物上司にも秘密です ～うっかり挑発したら溺愛がはじまりました!?～</v>
      </c>
      <c r="G2000" s="69" t="str">
        <f>IFERROR(__xludf.DUMMYFUNCTION("""COMPUTED_VALUE"""),"1～3")</f>
        <v>1～3</v>
      </c>
      <c r="H2000" s="67" t="str">
        <f>IFERROR(__xludf.DUMMYFUNCTION("""COMPUTED_VALUE"""),"澤村鞠子")</f>
        <v>澤村鞠子</v>
      </c>
      <c r="I2000" s="67" t="str">
        <f>IFERROR(__xludf.DUMMYFUNCTION("""COMPUTED_VALUE"""),"TL")</f>
        <v>TL</v>
      </c>
      <c r="J2000" s="67"/>
      <c r="K2000" s="67"/>
      <c r="L2000" s="67" t="str">
        <f>IFERROR(__xludf.DUMMYFUNCTION("""COMPUTED_VALUE"""),"小学館")</f>
        <v>小学館</v>
      </c>
      <c r="M2000" s="23">
        <f>IFERROR(__xludf.DUMMYFUNCTION("""COMPUTED_VALUE"""),45569.0)</f>
        <v>45569</v>
      </c>
      <c r="N2000" s="85">
        <f>IFERROR(__xludf.DUMMYFUNCTION("""COMPUTED_VALUE"""),45624.0)</f>
        <v>45624</v>
      </c>
      <c r="O2000" s="67"/>
      <c r="P2000" s="70" t="str">
        <f>IFERROR(__xludf.DUMMYFUNCTION("""COMPUTED_VALUE"""),"可")</f>
        <v>可</v>
      </c>
      <c r="Q2000" s="72" t="str">
        <f>IFERROR(__xludf.DUMMYFUNCTION("""COMPUTED_VALUE"""),"広告コミットOK(6/18)&lt;BR&gt;・TLレーベル：メルト&lt;BR&gt;・先行期間：続話1ヵ月")</f>
        <v>広告コミットOK(6/18)&lt;BR&gt;・TLレーベル：メルト&lt;BR&gt;・先行期間：続話1ヵ月</v>
      </c>
      <c r="R2000" s="67"/>
      <c r="S2000" s="67" t="str">
        <f>IFERROR(__xludf.DUMMYFUNCTION("""COMPUTED_VALUE"""),"20240826_小学館_えっちな声のオシゴトは堅物上司にも秘密です")</f>
        <v>20240826_小学館_えっちな声のオシゴトは堅物上司にも秘密です</v>
      </c>
      <c r="T2000" s="67" t="str">
        <f>IFERROR(__xludf.DUMMYFUNCTION("""COMPUTED_VALUE"""),"格納済み")</f>
        <v>格納済み</v>
      </c>
      <c r="U2000" s="15" t="str">
        <f>IFERROR(__xludf.DUMMYFUNCTION("""COMPUTED_VALUE"""),"(C)澤村鞠子 / 小学館")</f>
        <v>(C)澤村鞠子 / 小学館</v>
      </c>
      <c r="V2000" s="8" t="str">
        <f>IFERROR(__xludf.DUMMYFUNCTION("""COMPUTED_VALUE"""),"（もしかして本当に見れちゃうの…？　…ずっと見たかった、本庄課長のえっちな所…！）――自分の声で男の人のアレが勃つのが面白くてたまらない――そんな動機で、アダルト向けゲーム声優の道に入った鈴々木舞。趣味と実益を兼ねる声優業の傍らで、堅実に派遣OLとしての仕事もこなしている。そんな舞の上司・本庄課長は、何があっても動じない鉄仮面。（こういうカタブツ男が私の声でバッキバキになってるところ見た～い！）なんてちょっかいかけても、顔色ひとつ変えない本庄課長。女としても声優としても自信をなくしそう～…。そんなふたりが"&amp;"ひょんなことから、甘酸っぱい極秘の社内恋愛をスタート!?　しかも本庄課長ときたら、冷たい口ぶりのくせにセックスは凄くて…下着越しにいじられるだけでぐちょぐちょにイかされちゃう…っ！――だけどもし、エロゲのお仕事がバレたらどうなっちゃうの!?")</f>
        <v>（もしかして本当に見れちゃうの…？　…ずっと見たかった、本庄課長のえっちな所…！）――自分の声で男の人のアレが勃つのが面白くてたまらない――そんな動機で、アダルト向けゲーム声優の道に入った鈴々木舞。趣味と実益を兼ねる声優業の傍らで、堅実に派遣OLとしての仕事もこなしている。そんな舞の上司・本庄課長は、何があっても動じない鉄仮面。（こういうカタブツ男が私の声でバッキバキになってるところ見た～い！）なんてちょっかいかけても、顔色ひとつ変えない本庄課長。女としても声優としても自信をなくしそう～…。そんなふたりがひょんなことから、甘酸っぱい極秘の社内恋愛をスタート!?　しかも本庄課長ときたら、冷たい口ぶりのくせにセックスは凄くて…下着越しにいじられるだけでぐちょぐちょにイかされちゃう…っ！――だけどもし、エロゲのお仕事がバレたらどうなっちゃうの!?</v>
      </c>
      <c r="W2000" s="14"/>
      <c r="X2000" s="14" t="str">
        <f>IFERROR(__xludf.DUMMYFUNCTION("""COMPUTED_VALUE"""),"有")</f>
        <v>有</v>
      </c>
      <c r="Y2000" s="8" t="str">
        <f>IFERROR(__xludf.DUMMYFUNCTION("""COMPUTED_VALUE"""),"P6まで")</f>
        <v>P6まで</v>
      </c>
      <c r="Z2000" s="7"/>
      <c r="AA2000" s="7"/>
      <c r="AB2000" s="7"/>
    </row>
    <row r="2001" ht="15.75" customHeight="1">
      <c r="A2001" s="66">
        <f>IFERROR(__xludf.DUMMYFUNCTION("""COMPUTED_VALUE"""),3746.0)</f>
        <v>3746</v>
      </c>
      <c r="B2001" s="67" t="str">
        <f>IFERROR(__xludf.DUMMYFUNCTION("""COMPUTED_VALUE"""),"確定")</f>
        <v>確定</v>
      </c>
      <c r="C2001" s="68">
        <f>IFERROR(__xludf.DUMMYFUNCTION("""COMPUTED_VALUE"""),45481.0)</f>
        <v>45481</v>
      </c>
      <c r="D2001" s="68">
        <f>IFERROR(__xludf.DUMMYFUNCTION("""COMPUTED_VALUE"""),45532.0)</f>
        <v>45532</v>
      </c>
      <c r="E2001" s="60">
        <f>IFERROR(__xludf.DUMMYFUNCTION("""COMPUTED_VALUE"""),302281.0)</f>
        <v>302281</v>
      </c>
      <c r="F2001" s="61" t="str">
        <f>IFERROR(__xludf.DUMMYFUNCTION("""COMPUTED_VALUE"""),"Lv.1から始める大人の恋愛メソッド〜敏腕秘書の甘い策略〜")</f>
        <v>Lv.1から始める大人の恋愛メソッド〜敏腕秘書の甘い策略〜</v>
      </c>
      <c r="G2001" s="11" t="str">
        <f>IFERROR(__xludf.DUMMYFUNCTION("""COMPUTED_VALUE"""),"1～2")</f>
        <v>1～2</v>
      </c>
      <c r="H2001" s="67" t="str">
        <f>IFERROR(__xludf.DUMMYFUNCTION("""COMPUTED_VALUE"""),"ユウキソラ")</f>
        <v>ユウキソラ</v>
      </c>
      <c r="I2001" s="67" t="str">
        <f>IFERROR(__xludf.DUMMYFUNCTION("""COMPUTED_VALUE"""),"TL")</f>
        <v>TL</v>
      </c>
      <c r="J2001" s="67"/>
      <c r="K2001" s="67"/>
      <c r="L2001" s="67" t="str">
        <f>IFERROR(__xludf.DUMMYFUNCTION("""COMPUTED_VALUE"""),"ジュネット")</f>
        <v>ジュネット</v>
      </c>
      <c r="M2001" s="59">
        <f>IFERROR(__xludf.DUMMYFUNCTION("""COMPUTED_VALUE"""),45556.0)</f>
        <v>45556</v>
      </c>
      <c r="N2001" s="85">
        <f>IFERROR(__xludf.DUMMYFUNCTION("""COMPUTED_VALUE"""),45646.0)</f>
        <v>45646</v>
      </c>
      <c r="O2001" s="67"/>
      <c r="P2001" s="70" t="str">
        <f>IFERROR(__xludf.DUMMYFUNCTION("""COMPUTED_VALUE"""),"可")</f>
        <v>可</v>
      </c>
      <c r="Q2001" s="67" t="str">
        <f>IFERROR(__xludf.DUMMYFUNCTION("""COMPUTED_VALUE"""),"広告コミットOK(7/12)&lt;BR&gt;レーベル名：TL JUNET")</f>
        <v>広告コミットOK(7/12)&lt;BR&gt;レーベル名：TL JUNET</v>
      </c>
      <c r="R2001" s="67" t="str">
        <f>IFERROR(__xludf.DUMMYFUNCTION("""COMPUTED_VALUE"""),"格納済み")</f>
        <v>格納済み</v>
      </c>
      <c r="S2001" s="67" t="str">
        <f>IFERROR(__xludf.DUMMYFUNCTION("""COMPUTED_VALUE"""),"20240827_ジュネット_Lv.1から始める大人の恋愛メソッド")</f>
        <v>20240827_ジュネット_Lv.1から始める大人の恋愛メソッド</v>
      </c>
      <c r="T2001" s="67" t="str">
        <f>IFERROR(__xludf.DUMMYFUNCTION("""COMPUTED_VALUE"""),"格納済み")</f>
        <v>格納済み</v>
      </c>
      <c r="U2001" s="15" t="str">
        <f>IFERROR(__xludf.DUMMYFUNCTION("""COMPUTED_VALUE"""),"（C）ユウキソラ/ジュネット")</f>
        <v>（C）ユウキソラ/ジュネット</v>
      </c>
      <c r="V2001" s="8" t="str">
        <f>IFERROR(__xludf.DUMMYFUNCTION("""COMPUTED_VALUE"""),"ホテルリゾートの大手・西園寺グループの令嬢・西園寺円華（27）。2年前に社長に就任して以来、業績アップを続けるヤリ手だが、プライベートはからっきし。仕事優先の生活を続ける円華を心配した祖父（会長）から、「1年以内に相手を見つけられなければ見合いをしてもらう」と言われてしまう。恋愛はほとんどしてこなかったが恋愛結婚への憧れはある円華。ホテルのバーで経験の少なさを嘆いていると、美しい青年・真壁恵から声を掛けられる。「恋愛の相手って俺じゃだめかな？」突然のコトバに心揺れた円華は、恵からのアプローチに身を許す…。"&amp;"だが翌日、2人は意外なカタチで再会することとなる!!?恋愛超初心者な女社長のハイレベルLOVEクエスト。毎月第3土曜に続話が追加されます!!")</f>
        <v>ホテルリゾートの大手・西園寺グループの令嬢・西園寺円華（27）。2年前に社長に就任して以来、業績アップを続けるヤリ手だが、プライベートはからっきし。仕事優先の生活を続ける円華を心配した祖父（会長）から、「1年以内に相手を見つけられなければ見合いをしてもらう」と言われてしまう。恋愛はほとんどしてこなかったが恋愛結婚への憧れはある円華。ホテルのバーで経験の少なさを嘆いていると、美しい青年・真壁恵から声を掛けられる。「恋愛の相手って俺じゃだめかな？」突然のコトバに心揺れた円華は、恵からのアプローチに身を許す…。だが翌日、2人は意外なカタチで再会することとなる!!?恋愛超初心者な女社長のハイレベルLOVEクエスト。毎月第3土曜に続話が追加されます!!</v>
      </c>
      <c r="W2001" s="14"/>
      <c r="X2001" s="14" t="str">
        <f>IFERROR(__xludf.DUMMYFUNCTION("""COMPUTED_VALUE"""),"有")</f>
        <v>有</v>
      </c>
      <c r="Y2001" s="8" t="str">
        <f>IFERROR(__xludf.DUMMYFUNCTION("""COMPUTED_VALUE"""),"P7まで")</f>
        <v>P7まで</v>
      </c>
      <c r="Z2001" s="7"/>
      <c r="AA2001" s="7"/>
      <c r="AB2001" s="7"/>
    </row>
    <row r="2002" ht="15.75" customHeight="1">
      <c r="A2002" s="66">
        <f>IFERROR(__xludf.DUMMYFUNCTION("""COMPUTED_VALUE"""),3794.0)</f>
        <v>3794</v>
      </c>
      <c r="B2002" s="67" t="str">
        <f>IFERROR(__xludf.DUMMYFUNCTION("""COMPUTED_VALUE"""),"確定")</f>
        <v>確定</v>
      </c>
      <c r="C2002" s="68">
        <f>IFERROR(__xludf.DUMMYFUNCTION("""COMPUTED_VALUE"""),45489.0)</f>
        <v>45489</v>
      </c>
      <c r="D2002" s="68">
        <f>IFERROR(__xludf.DUMMYFUNCTION("""COMPUTED_VALUE"""),45531.0)</f>
        <v>45531</v>
      </c>
      <c r="E2002" s="31">
        <f>IFERROR(__xludf.DUMMYFUNCTION("""COMPUTED_VALUE"""),301711.0)</f>
        <v>301711</v>
      </c>
      <c r="F2002" s="22" t="str">
        <f>IFERROR(__xludf.DUMMYFUNCTION("""COMPUTED_VALUE"""),"メシア インコンプリート")</f>
        <v>メシア インコンプリート</v>
      </c>
      <c r="G2002" s="11" t="str">
        <f>IFERROR(__xludf.DUMMYFUNCTION("""COMPUTED_VALUE"""),"1～2")</f>
        <v>1～2</v>
      </c>
      <c r="H2002" s="67" t="str">
        <f>IFERROR(__xludf.DUMMYFUNCTION("""COMPUTED_VALUE"""),"三角すみ")</f>
        <v>三角すみ</v>
      </c>
      <c r="I2002" s="67" t="str">
        <f>IFERROR(__xludf.DUMMYFUNCTION("""COMPUTED_VALUE"""),"BL")</f>
        <v>BL</v>
      </c>
      <c r="J2002" s="67"/>
      <c r="K2002" s="67"/>
      <c r="L2002" s="67" t="str">
        <f>IFERROR(__xludf.DUMMYFUNCTION("""COMPUTED_VALUE"""),"CLLENN")</f>
        <v>CLLENN</v>
      </c>
      <c r="M2002" s="59">
        <f>IFERROR(__xludf.DUMMYFUNCTION("""COMPUTED_VALUE"""),45554.0)</f>
        <v>45554</v>
      </c>
      <c r="N2002" s="85">
        <f>IFERROR(__xludf.DUMMYFUNCTION("""COMPUTED_VALUE"""),45616.0)</f>
        <v>45616</v>
      </c>
      <c r="O2002" s="67"/>
      <c r="P2002" s="70" t="str">
        <f>IFERROR(__xludf.DUMMYFUNCTION("""COMPUTED_VALUE"""),"可")</f>
        <v>可</v>
      </c>
      <c r="Q2002" s="67" t="str">
        <f>IFERROR(__xludf.DUMMYFUNCTION("""COMPUTED_VALUE"""),"広告コミットOK(7/19)&lt;BR&gt;＜補足など＞&lt;BR&gt;弊社BLの中では売上上位をキープしている作家のひとりである三角先生の新作です。&lt;BR&gt;過去実績も踏まえて、お勧めできる作品となっております。&lt;BR&gt;不器用サラリーマン×ダメクズ黒服のまさかの恋愛模様を描いた作品です。")</f>
        <v>広告コミットOK(7/19)&lt;BR&gt;＜補足など＞&lt;BR&gt;弊社BLの中では売上上位をキープしている作家のひとりである三角先生の新作です。&lt;BR&gt;過去実績も踏まえて、お勧めできる作品となっております。&lt;BR&gt;不器用サラリーマン×ダメクズ黒服のまさかの恋愛模様を描いた作品です。</v>
      </c>
      <c r="R2002" s="67" t="str">
        <f>IFERROR(__xludf.DUMMYFUNCTION("""COMPUTED_VALUE"""),"格納済み")</f>
        <v>格納済み</v>
      </c>
      <c r="S2002" s="67" t="str">
        <f>IFERROR(__xludf.DUMMYFUNCTION("""COMPUTED_VALUE"""),"20240823_CLLENN_メシア インコンプリート／三角すみ")</f>
        <v>20240823_CLLENN_メシア インコンプリート／三角すみ</v>
      </c>
      <c r="T2002" s="67" t="str">
        <f>IFERROR(__xludf.DUMMYFUNCTION("""COMPUTED_VALUE"""),"格納済み")</f>
        <v>格納済み</v>
      </c>
      <c r="U2002" s="15" t="str">
        <f>IFERROR(__xludf.DUMMYFUNCTION("""COMPUTED_VALUE"""),"(C)三角すみ/CLLENN")</f>
        <v>(C)三角すみ/CLLENN</v>
      </c>
      <c r="V2002" s="8" t="str">
        <f>IFERROR(__xludf.DUMMYFUNCTION("""COMPUTED_VALUE"""),"ボーイとしてキャバクラで勤める飛鷹（ひだか）は、金なし・身寄りなし・罰金地獄のツイてない男。けれど人生大逆転の一発ホームランを狙っていたある日、大企業勤めの東条（とうじょう）が来店してきた。寡黙で堅物な彼は、なぜか飛鷹を気に入りアフターに誘ってきて…。仕事の引き抜きかと思って喜んで付いていった先は、高級ホテル！しかも強引に押し倒されて…いきなりお尻の危機!!!!!?「安心しろ、プリンセスにしてやる」「ハァ？？？」執着系ハイスぺ男×愛されおバカの、シンデレララブコメディ！")</f>
        <v>ボーイとしてキャバクラで勤める飛鷹（ひだか）は、金なし・身寄りなし・罰金地獄のツイてない男。けれど人生大逆転の一発ホームランを狙っていたある日、大企業勤めの東条（とうじょう）が来店してきた。寡黙で堅物な彼は、なぜか飛鷹を気に入りアフターに誘ってきて…。仕事の引き抜きかと思って喜んで付いていった先は、高級ホテル！しかも強引に押し倒されて…いきなりお尻の危機!!!!!?「安心しろ、プリンセスにしてやる」「ハァ？？？」執着系ハイスぺ男×愛されおバカの、シンデレララブコメディ！</v>
      </c>
      <c r="W2002" s="14"/>
      <c r="X2002" s="14" t="str">
        <f>IFERROR(__xludf.DUMMYFUNCTION("""COMPUTED_VALUE"""),"有")</f>
        <v>有</v>
      </c>
      <c r="Y2002" s="8" t="str">
        <f>IFERROR(__xludf.DUMMYFUNCTION("""COMPUTED_VALUE"""),"P13まで")</f>
        <v>P13まで</v>
      </c>
      <c r="Z2002" s="7"/>
      <c r="AA2002" s="7"/>
      <c r="AB2002" s="7"/>
    </row>
    <row r="2003" ht="15.75" customHeight="1">
      <c r="A2003" s="66">
        <f>IFERROR(__xludf.DUMMYFUNCTION("""COMPUTED_VALUE"""),3795.0)</f>
        <v>3795</v>
      </c>
      <c r="B2003" s="67" t="str">
        <f>IFERROR(__xludf.DUMMYFUNCTION("""COMPUTED_VALUE"""),"確定")</f>
        <v>確定</v>
      </c>
      <c r="C2003" s="68">
        <f>IFERROR(__xludf.DUMMYFUNCTION("""COMPUTED_VALUE"""),45489.0)</f>
        <v>45489</v>
      </c>
      <c r="D2003" s="68">
        <f>IFERROR(__xludf.DUMMYFUNCTION("""COMPUTED_VALUE"""),45531.0)</f>
        <v>45531</v>
      </c>
      <c r="E2003" s="31">
        <f>IFERROR(__xludf.DUMMYFUNCTION("""COMPUTED_VALUE"""),301712.0)</f>
        <v>301712</v>
      </c>
      <c r="F2003" s="22" t="str">
        <f>IFERROR(__xludf.DUMMYFUNCTION("""COMPUTED_VALUE"""),"片づけられない君への想い")</f>
        <v>片づけられない君への想い</v>
      </c>
      <c r="G2003" s="11" t="str">
        <f>IFERROR(__xludf.DUMMYFUNCTION("""COMPUTED_VALUE"""),"1～2")</f>
        <v>1～2</v>
      </c>
      <c r="H2003" s="67" t="str">
        <f>IFERROR(__xludf.DUMMYFUNCTION("""COMPUTED_VALUE"""),"原宮ココ")</f>
        <v>原宮ココ</v>
      </c>
      <c r="I2003" s="67" t="str">
        <f>IFERROR(__xludf.DUMMYFUNCTION("""COMPUTED_VALUE"""),"BL")</f>
        <v>BL</v>
      </c>
      <c r="J2003" s="67"/>
      <c r="K2003" s="67"/>
      <c r="L2003" s="67" t="str">
        <f>IFERROR(__xludf.DUMMYFUNCTION("""COMPUTED_VALUE"""),"CLLENN")</f>
        <v>CLLENN</v>
      </c>
      <c r="M2003" s="59">
        <f>IFERROR(__xludf.DUMMYFUNCTION("""COMPUTED_VALUE"""),45554.0)</f>
        <v>45554</v>
      </c>
      <c r="N2003" s="85">
        <f>IFERROR(__xludf.DUMMYFUNCTION("""COMPUTED_VALUE"""),45616.0)</f>
        <v>45616</v>
      </c>
      <c r="O2003" s="67"/>
      <c r="P2003" s="70" t="str">
        <f>IFERROR(__xludf.DUMMYFUNCTION("""COMPUTED_VALUE"""),"可")</f>
        <v>可</v>
      </c>
      <c r="Q2003" s="67" t="str">
        <f>IFERROR(__xludf.DUMMYFUNCTION("""COMPUTED_VALUE"""),"広告コミットOK(7/18)&lt;BR&gt;＜補足など＞&lt;BR&gt;こちら、今年度新作注目作品その②となっております。&lt;BR&gt;（その①が「星の聖人」でした）&lt;BR&gt;すでに売上実績も各書店様でついている原宮先生の新作です。&lt;BR&gt;表紙も非常にクオリティ高く、原宮先生の新作を待っている声も多くみますので、ぜひぜひ露出のご検討をお願い致します！&lt;BR&gt;&lt;BR&gt;【追加補足】&lt;BR&gt;出版社から先行2か月に延長いただきました。&lt;BR&gt;期待作且つ、先行期間を伸ばしていただきましたので、出稿強化お願いいたします。&lt;BR&gt;※著者の過去"&amp;"作も売上そこそこ好調です…！&lt;BR&gt;https://www.cmoa.jp/author/126978/")</f>
        <v>広告コミットOK(7/18)&lt;BR&gt;＜補足など＞&lt;BR&gt;こちら、今年度新作注目作品その②となっております。&lt;BR&gt;（その①が「星の聖人」でした）&lt;BR&gt;すでに売上実績も各書店様でついている原宮先生の新作です。&lt;BR&gt;表紙も非常にクオリティ高く、原宮先生の新作を待っている声も多くみますので、ぜひぜひ露出のご検討をお願い致します！&lt;BR&gt;&lt;BR&gt;【追加補足】&lt;BR&gt;出版社から先行2か月に延長いただきました。&lt;BR&gt;期待作且つ、先行期間を伸ばしていただきましたので、出稿強化お願いいたします。&lt;BR&gt;※著者の過去作も売上そこそこ好調です…！&lt;BR&gt;https://www.cmoa.jp/author/126978/</v>
      </c>
      <c r="R2003" s="78" t="str">
        <f>IFERROR(__xludf.DUMMYFUNCTION("""COMPUTED_VALUE"""),"格納済み")</f>
        <v>格納済み</v>
      </c>
      <c r="S2003" s="67" t="str">
        <f>IFERROR(__xludf.DUMMYFUNCTION("""COMPUTED_VALUE"""),"20240909_CLLENN_片づけられない君への想い")</f>
        <v>20240909_CLLENN_片づけられない君への想い</v>
      </c>
      <c r="T2003" s="67" t="str">
        <f>IFERROR(__xludf.DUMMYFUNCTION("""COMPUTED_VALUE"""),"格納済み")</f>
        <v>格納済み</v>
      </c>
      <c r="U2003" s="15" t="str">
        <f>IFERROR(__xludf.DUMMYFUNCTION("""COMPUTED_VALUE"""),"(C)原宮ココ/CLLENN")</f>
        <v>(C)原宮ココ/CLLENN</v>
      </c>
      <c r="V2003" s="8" t="str">
        <f>IFERROR(__xludf.DUMMYFUNCTION("""COMPUTED_VALUE"""),"桶谷玲央（おけたに れお）には、忘れられない人がいた。それは十年前、とあることがきっかけで突然目の前から去っていってしまった親友・桑野夏樹（くわの なつき）。彼に対して複雑な想いを抱いたままの桶谷は、亡くなった兄の子供を引き取り、慎ましやかな日々を送っていた。そんなある日、偶然にも桑野と再会して…？――あんなことがあったのに。だけど憎めない。嫌いになんかなれない。十年ぶりに再会した二人の交錯する想い――…「ずっとおれのそばにいて」漏れて出たのは、本心？　それとも…。")</f>
        <v>桶谷玲央（おけたに れお）には、忘れられない人がいた。それは十年前、とあることがきっかけで突然目の前から去っていってしまった親友・桑野夏樹（くわの なつき）。彼に対して複雑な想いを抱いたままの桶谷は、亡くなった兄の子供を引き取り、慎ましやかな日々を送っていた。そんなある日、偶然にも桑野と再会して…？――あんなことがあったのに。だけど憎めない。嫌いになんかなれない。十年ぶりに再会した二人の交錯する想い――…「ずっとおれのそばにいて」漏れて出たのは、本心？　それとも…。</v>
      </c>
      <c r="W2003" s="14"/>
      <c r="X2003" s="14" t="str">
        <f>IFERROR(__xludf.DUMMYFUNCTION("""COMPUTED_VALUE"""),"有")</f>
        <v>有</v>
      </c>
      <c r="Y2003" s="8" t="str">
        <f>IFERROR(__xludf.DUMMYFUNCTION("""COMPUTED_VALUE"""),"P11まで")</f>
        <v>P11まで</v>
      </c>
      <c r="Z2003" s="7"/>
      <c r="AA2003" s="7"/>
      <c r="AB2003" s="7"/>
    </row>
    <row r="2004" ht="15.75" customHeight="1">
      <c r="A2004" s="66">
        <f>IFERROR(__xludf.DUMMYFUNCTION("""COMPUTED_VALUE"""),3804.0)</f>
        <v>3804</v>
      </c>
      <c r="B2004" s="67" t="str">
        <f>IFERROR(__xludf.DUMMYFUNCTION("""COMPUTED_VALUE"""),"確定")</f>
        <v>確定</v>
      </c>
      <c r="C2004" s="68">
        <f>IFERROR(__xludf.DUMMYFUNCTION("""COMPUTED_VALUE"""),45489.0)</f>
        <v>45489</v>
      </c>
      <c r="D2004" s="68">
        <f>IFERROR(__xludf.DUMMYFUNCTION("""COMPUTED_VALUE"""),45531.0)</f>
        <v>45531</v>
      </c>
      <c r="E2004" s="31">
        <f>IFERROR(__xludf.DUMMYFUNCTION("""COMPUTED_VALUE"""),301151.0)</f>
        <v>301151</v>
      </c>
      <c r="F2004" s="22" t="str">
        <f>IFERROR(__xludf.DUMMYFUNCTION("""COMPUTED_VALUE"""),"婚約披露パーティーで、思い切り婚約者の足を踏み抜いた結果")</f>
        <v>婚約披露パーティーで、思い切り婚約者の足を踏み抜いた結果</v>
      </c>
      <c r="G2004" s="69">
        <f>IFERROR(__xludf.DUMMYFUNCTION("""COMPUTED_VALUE"""),1.0)</f>
        <v>1</v>
      </c>
      <c r="H2004" s="67" t="str">
        <f>IFERROR(__xludf.DUMMYFUNCTION("""COMPUTED_VALUE"""),"作画：燈火 原作：瑪々子")</f>
        <v>作画：燈火 原作：瑪々子</v>
      </c>
      <c r="I2004" s="67" t="str">
        <f>IFERROR(__xludf.DUMMYFUNCTION("""COMPUTED_VALUE"""),"少女")</f>
        <v>少女</v>
      </c>
      <c r="J2004" s="67"/>
      <c r="K2004" s="67"/>
      <c r="L2004" s="67" t="str">
        <f>IFERROR(__xludf.DUMMYFUNCTION("""COMPUTED_VALUE"""),"笠倉出版社")</f>
        <v>笠倉出版社</v>
      </c>
      <c r="M2004" s="59">
        <f>IFERROR(__xludf.DUMMYFUNCTION("""COMPUTED_VALUE"""),45545.0)</f>
        <v>45545</v>
      </c>
      <c r="N2004" s="47">
        <f>IFERROR(__xludf.DUMMYFUNCTION("""COMPUTED_VALUE"""),45574.0)</f>
        <v>45574</v>
      </c>
      <c r="O2004" s="67"/>
      <c r="P2004" s="70" t="str">
        <f>IFERROR(__xludf.DUMMYFUNCTION("""COMPUTED_VALUE"""),"可")</f>
        <v>可</v>
      </c>
      <c r="Q2004" s="67" t="str">
        <f>IFERROR(__xludf.DUMMYFUNCTION("""COMPUTED_VALUE"""),"～補足～&lt;BR&gt;本作は5月に配信いただきましたNiμアンソロジー&lt;BR&gt;「悪役令嬢のはずなのに溺愛ルートが加速中！？どういうことですの？アンソロジーコミック 1巻」に掲載の単話作品となります。")</f>
        <v>～補足～&lt;BR&gt;本作は5月に配信いただきましたNiμアンソロジー&lt;BR&gt;「悪役令嬢のはずなのに溺愛ルートが加速中！？どういうことですの？アンソロジーコミック 1巻」に掲載の単話作品となります。</v>
      </c>
      <c r="R2004" s="67" t="str">
        <f>IFERROR(__xludf.DUMMYFUNCTION("""COMPUTED_VALUE"""),"格納済み")</f>
        <v>格納済み</v>
      </c>
      <c r="S2004" s="67" t="str">
        <f>IFERROR(__xludf.DUMMYFUNCTION("""COMPUTED_VALUE"""),"20240821_笠倉出版社_婚約披露パーティーで、思い切り婚約者の足を踏み抜いた結果")</f>
        <v>20240821_笠倉出版社_婚約披露パーティーで、思い切り婚約者の足を踏み抜いた結果</v>
      </c>
      <c r="T2004" s="67" t="str">
        <f>IFERROR(__xludf.DUMMYFUNCTION("""COMPUTED_VALUE"""),"格納済み")</f>
        <v>格納済み</v>
      </c>
      <c r="U2004" s="15" t="str">
        <f>IFERROR(__xludf.DUMMYFUNCTION("""COMPUTED_VALUE"""),"©燈火/瑪々子/笠倉出版社")</f>
        <v>©燈火/瑪々子/笠倉出版社</v>
      </c>
      <c r="V2004" s="8" t="str">
        <f>IFERROR(__xludf.DUMMYFUNCTION("""COMPUTED_VALUE"""),"自分が乙女ゲームの悪役令嬢・アデレイドに転生し、優しかった婚約者がゲームのストーリー通りどんどん素っ気なくなってしまい…※この作品は『悪役令嬢のはずなのに溺愛ルートが加速中！？どういうことですの？アンソロジーコミック』1巻に収録されているものと同一の内容を単話版として再編集したものです。重複購入にご注意ください。")</f>
        <v>自分が乙女ゲームの悪役令嬢・アデレイドに転生し、優しかった婚約者がゲームのストーリー通りどんどん素っ気なくなってしまい…※この作品は『悪役令嬢のはずなのに溺愛ルートが加速中！？どういうことですの？アンソロジーコミック』1巻に収録されているものと同一の内容を単話版として再編集したものです。重複購入にご注意ください。</v>
      </c>
      <c r="W2004" s="14"/>
      <c r="X2004" s="14" t="str">
        <f>IFERROR(__xludf.DUMMYFUNCTION("""COMPUTED_VALUE"""),"有")</f>
        <v>有</v>
      </c>
      <c r="Y2004" s="8" t="str">
        <f>IFERROR(__xludf.DUMMYFUNCTION("""COMPUTED_VALUE"""),"P9まで")</f>
        <v>P9まで</v>
      </c>
      <c r="Z2004" s="7"/>
      <c r="AA2004" s="7"/>
      <c r="AB2004" s="7"/>
    </row>
    <row r="2005" ht="15.75" customHeight="1">
      <c r="A2005" s="66">
        <f>IFERROR(__xludf.DUMMYFUNCTION("""COMPUTED_VALUE"""),3807.0)</f>
        <v>3807</v>
      </c>
      <c r="B2005" s="67" t="str">
        <f>IFERROR(__xludf.DUMMYFUNCTION("""COMPUTED_VALUE"""),"確定")</f>
        <v>確定</v>
      </c>
      <c r="C2005" s="68">
        <f>IFERROR(__xludf.DUMMYFUNCTION("""COMPUTED_VALUE"""),45490.0)</f>
        <v>45490</v>
      </c>
      <c r="D2005" s="68">
        <f>IFERROR(__xludf.DUMMYFUNCTION("""COMPUTED_VALUE"""),45531.0)</f>
        <v>45531</v>
      </c>
      <c r="E2005" s="60">
        <f>IFERROR(__xludf.DUMMYFUNCTION("""COMPUTED_VALUE"""),301695.0)</f>
        <v>301695</v>
      </c>
      <c r="F2005" s="61" t="str">
        <f>IFERROR(__xludf.DUMMYFUNCTION("""COMPUTED_VALUE"""),"めでたく婚約破棄が成立したので、自由気ままに生きようと思います")</f>
        <v>めでたく婚約破棄が成立したので、自由気ままに生きようと思います</v>
      </c>
      <c r="G2005" s="69" t="str">
        <f>IFERROR(__xludf.DUMMYFUNCTION("""COMPUTED_VALUE"""),"1～3")</f>
        <v>1～3</v>
      </c>
      <c r="H2005" s="67" t="str">
        <f>IFERROR(__xludf.DUMMYFUNCTION("""COMPUTED_VALUE"""),"野地貴日/当麻リコ/茲助")</f>
        <v>野地貴日/当麻リコ/茲助</v>
      </c>
      <c r="I2005" s="78" t="str">
        <f>IFERROR(__xludf.DUMMYFUNCTION("""COMPUTED_VALUE"""),"少女")</f>
        <v>少女</v>
      </c>
      <c r="J2005" s="67"/>
      <c r="K2005" s="67"/>
      <c r="L2005" s="67" t="str">
        <f>IFERROR(__xludf.DUMMYFUNCTION("""COMPUTED_VALUE"""),"オーバーラップ")</f>
        <v>オーバーラップ</v>
      </c>
      <c r="M2005" s="23">
        <f>IFERROR(__xludf.DUMMYFUNCTION("""COMPUTED_VALUE"""),45574.0)</f>
        <v>45574</v>
      </c>
      <c r="N2005" s="89">
        <f>IFERROR(__xludf.DUMMYFUNCTION("""COMPUTED_VALUE"""),73050.0)</f>
        <v>73050</v>
      </c>
      <c r="O2005" s="67"/>
      <c r="P2005" s="71" t="str">
        <f>IFERROR(__xludf.DUMMYFUNCTION("""COMPUTED_VALUE"""),"否")</f>
        <v>否</v>
      </c>
      <c r="Q2005" s="72"/>
      <c r="R2005" s="67"/>
      <c r="S2005" s="67" t="str">
        <f>IFERROR(__xludf.DUMMYFUNCTION("""COMPUTED_VALUE"""),"20240826_オーバーラップ_めでたく婚約破棄が成立したので、自由気ままに生きようと思います")</f>
        <v>20240826_オーバーラップ_めでたく婚約破棄が成立したので、自由気ままに生きようと思います</v>
      </c>
      <c r="T2005" s="67" t="str">
        <f>IFERROR(__xludf.DUMMYFUNCTION("""COMPUTED_VALUE"""),"格納済み")</f>
        <v>格納済み</v>
      </c>
      <c r="U2005" s="15" t="str">
        <f>IFERROR(__xludf.DUMMYFUNCTION("""COMPUTED_VALUE"""),"(c)野地貴日 (c)当麻リコ／オーバーラップ")</f>
        <v>(c)野地貴日 (c)当麻リコ／オーバーラップ</v>
      </c>
      <c r="V2005" s="8" t="str">
        <f>IFERROR(__xludf.DUMMYFUNCTION("""COMPUTED_VALUE"""),"男爵令嬢フローレスは、突然公の場で婚約破棄を告げられてしまう。だが、当の本人は待ってましたとばかりに婚約者の悪行を大暴露、これからは自由に生きていくことを決意する。貰った慰謝料で長年の夢だったカフェを開店し――…。目指せ、国一番の人気カフェ！")</f>
        <v>男爵令嬢フローレスは、突然公の場で婚約破棄を告げられてしまう。だが、当の本人は待ってましたとばかりに婚約者の悪行を大暴露、これからは自由に生きていくことを決意する。貰った慰謝料で長年の夢だったカフェを開店し――…。目指せ、国一番の人気カフェ！</v>
      </c>
      <c r="W2005" s="14"/>
      <c r="X2005" s="14" t="str">
        <f>IFERROR(__xludf.DUMMYFUNCTION("""COMPUTED_VALUE"""),"有")</f>
        <v>有</v>
      </c>
      <c r="Y2005" s="8" t="str">
        <f>IFERROR(__xludf.DUMMYFUNCTION("""COMPUTED_VALUE"""),"P9まで")</f>
        <v>P9まで</v>
      </c>
      <c r="Z2005" s="7"/>
      <c r="AA2005" s="7"/>
      <c r="AB2005" s="7"/>
    </row>
    <row r="2006" ht="15.75" customHeight="1">
      <c r="A2006" s="66">
        <f>IFERROR(__xludf.DUMMYFUNCTION("""COMPUTED_VALUE"""),3809.0)</f>
        <v>3809</v>
      </c>
      <c r="B2006" s="67" t="str">
        <f>IFERROR(__xludf.DUMMYFUNCTION("""COMPUTED_VALUE"""),"確定")</f>
        <v>確定</v>
      </c>
      <c r="C2006" s="68">
        <f>IFERROR(__xludf.DUMMYFUNCTION("""COMPUTED_VALUE"""),45490.0)</f>
        <v>45490</v>
      </c>
      <c r="D2006" s="68">
        <f>IFERROR(__xludf.DUMMYFUNCTION("""COMPUTED_VALUE"""),45532.0)</f>
        <v>45532</v>
      </c>
      <c r="E2006" s="31">
        <f>IFERROR(__xludf.DUMMYFUNCTION("""COMPUTED_VALUE"""),301307.0)</f>
        <v>301307</v>
      </c>
      <c r="F2006" s="22" t="str">
        <f>IFERROR(__xludf.DUMMYFUNCTION("""COMPUTED_VALUE"""),"透明くんと恋色に染まる【分冊版】")</f>
        <v>透明くんと恋色に染まる【分冊版】</v>
      </c>
      <c r="G2006" s="69">
        <f>IFERROR(__xludf.DUMMYFUNCTION("""COMPUTED_VALUE"""),1.0)</f>
        <v>1</v>
      </c>
      <c r="H2006" s="67" t="str">
        <f>IFERROR(__xludf.DUMMYFUNCTION("""COMPUTED_VALUE"""),"背筋")</f>
        <v>背筋</v>
      </c>
      <c r="I2006" s="67" t="str">
        <f>IFERROR(__xludf.DUMMYFUNCTION("""COMPUTED_VALUE"""),"BL")</f>
        <v>BL</v>
      </c>
      <c r="J2006" s="67"/>
      <c r="K2006" s="67"/>
      <c r="L2006" s="67" t="str">
        <f>IFERROR(__xludf.DUMMYFUNCTION("""COMPUTED_VALUE"""),"笠倉出版社")</f>
        <v>笠倉出版社</v>
      </c>
      <c r="M2006" s="59">
        <f>IFERROR(__xludf.DUMMYFUNCTION("""COMPUTED_VALUE"""),45548.0)</f>
        <v>45548</v>
      </c>
      <c r="N2006" s="85">
        <f>IFERROR(__xludf.DUMMYFUNCTION("""COMPUTED_VALUE"""),45575.0)</f>
        <v>45575</v>
      </c>
      <c r="O2006" s="67"/>
      <c r="P2006" s="70" t="str">
        <f>IFERROR(__xludf.DUMMYFUNCTION("""COMPUTED_VALUE"""),"可")</f>
        <v>可</v>
      </c>
      <c r="Q2006" s="67" t="str">
        <f>IFERROR(__xludf.DUMMYFUNCTION("""COMPUTED_VALUE"""),"広告コミットOK（7/24）")</f>
        <v>広告コミットOK（7/24）</v>
      </c>
      <c r="R2006" s="67" t="str">
        <f>IFERROR(__xludf.DUMMYFUNCTION("""COMPUTED_VALUE"""),"格納済み")</f>
        <v>格納済み</v>
      </c>
      <c r="S2006" s="67" t="str">
        <f>IFERROR(__xludf.DUMMYFUNCTION("""COMPUTED_VALUE"""),"20240827_笠倉出版社_透明くんと恋色に染まる【分冊版】 1話")</f>
        <v>20240827_笠倉出版社_透明くんと恋色に染まる【分冊版】 1話</v>
      </c>
      <c r="T2006" s="67" t="str">
        <f>IFERROR(__xludf.DUMMYFUNCTION("""COMPUTED_VALUE"""),"格納済み")</f>
        <v>格納済み</v>
      </c>
      <c r="U2006" s="15" t="str">
        <f>IFERROR(__xludf.DUMMYFUNCTION("""COMPUTED_VALUE"""),"©背筋/笠倉出版社")</f>
        <v>©背筋/笠倉出版社</v>
      </c>
      <c r="V2006" s="8" t="str">
        <f>IFERROR(__xludf.DUMMYFUNCTION("""COMPUTED_VALUE"""),"物流センターで働いている藤野はある日、とある噂を聞いてしまう。それはこの職場に“透明人間”が出るというもの。透明なのに見えるってどういうこと？と思っていたが、その正体は最近仲良くなったバイトの斉藤くんだったのだ。他人に自分を認識されないようにできる超能力を持っているらしい。そんな特殊能力持ちと友達になったはずなのに、なぜか優しくキスされいつの間にかセフレ状態に…？お互いの勘違いが交差し織りなす究極のすれ違い超能力ＢＬ！※本作品はWEB雑誌「equal」に収録されています。重複購入にご注意ください。")</f>
        <v>物流センターで働いている藤野はある日、とある噂を聞いてしまう。それはこの職場に“透明人間”が出るというもの。透明なのに見えるってどういうこと？と思っていたが、その正体は最近仲良くなったバイトの斉藤くんだったのだ。他人に自分を認識されないようにできる超能力を持っているらしい。そんな特殊能力持ちと友達になったはずなのに、なぜか優しくキスされいつの間にかセフレ状態に…？お互いの勘違いが交差し織りなす究極のすれ違い超能力ＢＬ！※本作品はWEB雑誌「equal」に収録されています。重複購入にご注意ください。</v>
      </c>
      <c r="W2006" s="14"/>
      <c r="X2006" s="14" t="str">
        <f>IFERROR(__xludf.DUMMYFUNCTION("""COMPUTED_VALUE"""),"有")</f>
        <v>有</v>
      </c>
      <c r="Y2006" s="8" t="str">
        <f>IFERROR(__xludf.DUMMYFUNCTION("""COMPUTED_VALUE"""),"P6まで")</f>
        <v>P6まで</v>
      </c>
      <c r="Z2006" s="7"/>
      <c r="AA2006" s="7"/>
      <c r="AB2006" s="7"/>
    </row>
    <row r="2007" ht="15.75" customHeight="1">
      <c r="A2007" s="66">
        <f>IFERROR(__xludf.DUMMYFUNCTION("""COMPUTED_VALUE"""),3810.0)</f>
        <v>3810</v>
      </c>
      <c r="B2007" s="67" t="str">
        <f>IFERROR(__xludf.DUMMYFUNCTION("""COMPUTED_VALUE"""),"確定")</f>
        <v>確定</v>
      </c>
      <c r="C2007" s="68">
        <f>IFERROR(__xludf.DUMMYFUNCTION("""COMPUTED_VALUE"""),45490.0)</f>
        <v>45490</v>
      </c>
      <c r="D2007" s="68">
        <f>IFERROR(__xludf.DUMMYFUNCTION("""COMPUTED_VALUE"""),45532.0)</f>
        <v>45532</v>
      </c>
      <c r="E2007" s="31">
        <f>IFERROR(__xludf.DUMMYFUNCTION("""COMPUTED_VALUE"""),301308.0)</f>
        <v>301308</v>
      </c>
      <c r="F2007" s="22" t="str">
        <f>IFERROR(__xludf.DUMMYFUNCTION("""COMPUTED_VALUE"""),"プラスティック・ユー【分冊版】")</f>
        <v>プラスティック・ユー【分冊版】</v>
      </c>
      <c r="G2007" s="69">
        <f>IFERROR(__xludf.DUMMYFUNCTION("""COMPUTED_VALUE"""),1.0)</f>
        <v>1</v>
      </c>
      <c r="H2007" s="67" t="str">
        <f>IFERROR(__xludf.DUMMYFUNCTION("""COMPUTED_VALUE"""),"横山よ紗")</f>
        <v>横山よ紗</v>
      </c>
      <c r="I2007" s="67" t="str">
        <f>IFERROR(__xludf.DUMMYFUNCTION("""COMPUTED_VALUE"""),"BL")</f>
        <v>BL</v>
      </c>
      <c r="J2007" s="67"/>
      <c r="K2007" s="67"/>
      <c r="L2007" s="67" t="str">
        <f>IFERROR(__xludf.DUMMYFUNCTION("""COMPUTED_VALUE"""),"笠倉出版社")</f>
        <v>笠倉出版社</v>
      </c>
      <c r="M2007" s="59">
        <f>IFERROR(__xludf.DUMMYFUNCTION("""COMPUTED_VALUE"""),45548.0)</f>
        <v>45548</v>
      </c>
      <c r="N2007" s="85">
        <f>IFERROR(__xludf.DUMMYFUNCTION("""COMPUTED_VALUE"""),45575.0)</f>
        <v>45575</v>
      </c>
      <c r="O2007" s="67"/>
      <c r="P2007" s="70" t="str">
        <f>IFERROR(__xludf.DUMMYFUNCTION("""COMPUTED_VALUE"""),"可")</f>
        <v>可</v>
      </c>
      <c r="Q2007" s="67" t="str">
        <f>IFERROR(__xludf.DUMMYFUNCTION("""COMPUTED_VALUE"""),"広告コミットOK（7/24）")</f>
        <v>広告コミットOK（7/24）</v>
      </c>
      <c r="R2007" s="67" t="str">
        <f>IFERROR(__xludf.DUMMYFUNCTION("""COMPUTED_VALUE"""),"格納済み")</f>
        <v>格納済み</v>
      </c>
      <c r="S2007" s="67" t="str">
        <f>IFERROR(__xludf.DUMMYFUNCTION("""COMPUTED_VALUE"""),"20240827_笠倉出版社_プラスティック・ユー【分冊版】 1話")</f>
        <v>20240827_笠倉出版社_プラスティック・ユー【分冊版】 1話</v>
      </c>
      <c r="T2007" s="67" t="str">
        <f>IFERROR(__xludf.DUMMYFUNCTION("""COMPUTED_VALUE"""),"格納済み")</f>
        <v>格納済み</v>
      </c>
      <c r="U2007" s="15" t="str">
        <f>IFERROR(__xludf.DUMMYFUNCTION("""COMPUTED_VALUE"""),"©横山よ紗/笠倉出版社")</f>
        <v>©横山よ紗/笠倉出版社</v>
      </c>
      <c r="V2007" s="8" t="str">
        <f>IFERROR(__xludf.DUMMYFUNCTION("""COMPUTED_VALUE"""),"一流企業で営業トップの最所充は、自分にも他人にも厳しく社内では恐れられていた。父親がグループ会社の社長ということもあり、七光りと言われないよう常に結果に執着していた。それに加え、唯一の理解者で密かに恋心を板いていた同僚が結婚し、拠り所もなくピリピリする日々。しかも悪い事は続き、マンションで水道管が破裂してしまい、しばらくの間ボロアパートで生活することに…。そこで隣人になった男は両耳がピアスだらけの怪しい雰囲気を纏う大学生・瀬高拓実。彼は見た目がすごいだけで、最所が隠れゲイだと知っても気にするどころかどんど"&amp;"ん距離を詰めてきて…！※本作品はWEB雑誌「equal」に収録されています。重複購入にご注意ください。")</f>
        <v>一流企業で営業トップの最所充は、自分にも他人にも厳しく社内では恐れられていた。父親がグループ会社の社長ということもあり、七光りと言われないよう常に結果に執着していた。それに加え、唯一の理解者で密かに恋心を板いていた同僚が結婚し、拠り所もなくピリピリする日々。しかも悪い事は続き、マンションで水道管が破裂してしまい、しばらくの間ボロアパートで生活することに…。そこで隣人になった男は両耳がピアスだらけの怪しい雰囲気を纏う大学生・瀬高拓実。彼は見た目がすごいだけで、最所が隠れゲイだと知っても気にするどころかどんどん距離を詰めてきて…！※本作品はWEB雑誌「equal」に収録されています。重複購入にご注意ください。</v>
      </c>
      <c r="W2007" s="14"/>
      <c r="X2007" s="14" t="str">
        <f>IFERROR(__xludf.DUMMYFUNCTION("""COMPUTED_VALUE"""),"有")</f>
        <v>有</v>
      </c>
      <c r="Y2007" s="8" t="str">
        <f>IFERROR(__xludf.DUMMYFUNCTION("""COMPUTED_VALUE"""),"P6まで")</f>
        <v>P6まで</v>
      </c>
      <c r="Z2007" s="7"/>
      <c r="AA2007" s="7"/>
      <c r="AB2007" s="7"/>
    </row>
    <row r="2008" ht="15.75" customHeight="1">
      <c r="A2008" s="66">
        <f>IFERROR(__xludf.DUMMYFUNCTION("""COMPUTED_VALUE"""),3849.0)</f>
        <v>3849</v>
      </c>
      <c r="B2008" s="67" t="str">
        <f>IFERROR(__xludf.DUMMYFUNCTION("""COMPUTED_VALUE"""),"確定")</f>
        <v>確定</v>
      </c>
      <c r="C2008" s="68">
        <f>IFERROR(__xludf.DUMMYFUNCTION("""COMPUTED_VALUE"""),45497.0)</f>
        <v>45497</v>
      </c>
      <c r="D2008" s="68">
        <f>IFERROR(__xludf.DUMMYFUNCTION("""COMPUTED_VALUE"""),45532.0)</f>
        <v>45532</v>
      </c>
      <c r="E2008" s="60">
        <f>IFERROR(__xludf.DUMMYFUNCTION("""COMPUTED_VALUE"""),302298.0)</f>
        <v>302298</v>
      </c>
      <c r="F2008" s="90" t="str">
        <f>IFERROR(__xludf.DUMMYFUNCTION("""COMPUTED_VALUE"""),"王宮には『アレ』が居る【分冊版】")</f>
        <v>王宮には『アレ』が居る【分冊版】</v>
      </c>
      <c r="G2008" s="11" t="str">
        <f>IFERROR(__xludf.DUMMYFUNCTION("""COMPUTED_VALUE"""),"1～2")</f>
        <v>1～2</v>
      </c>
      <c r="H2008" s="67" t="str">
        <f>IFERROR(__xludf.DUMMYFUNCTION("""COMPUTED_VALUE"""),"aoki")</f>
        <v>aoki</v>
      </c>
      <c r="I2008" s="67" t="str">
        <f>IFERROR(__xludf.DUMMYFUNCTION("""COMPUTED_VALUE"""),"女性")</f>
        <v>女性</v>
      </c>
      <c r="J2008" s="67"/>
      <c r="K2008" s="67"/>
      <c r="L2008" s="67" t="str">
        <f>IFERROR(__xludf.DUMMYFUNCTION("""COMPUTED_VALUE"""),"ハーパーコリンズ・ジャパン")</f>
        <v>ハーパーコリンズ・ジャパン</v>
      </c>
      <c r="M2008" s="59">
        <f>IFERROR(__xludf.DUMMYFUNCTION("""COMPUTED_VALUE"""),45559.0)</f>
        <v>45559</v>
      </c>
      <c r="N2008" s="85">
        <f>IFERROR(__xludf.DUMMYFUNCTION("""COMPUTED_VALUE"""),45617.0)</f>
        <v>45617</v>
      </c>
      <c r="O2008" s="67"/>
      <c r="P2008" s="70" t="str">
        <f>IFERROR(__xludf.DUMMYFUNCTION("""COMPUTED_VALUE"""),"可")</f>
        <v>可</v>
      </c>
      <c r="Q2008" s="72" t="str">
        <f>IFERROR(__xludf.DUMMYFUNCTION("""COMPUTED_VALUE"""),"広告コミットOK(7/30)")</f>
        <v>広告コミットOK(7/30)</v>
      </c>
      <c r="R2008" s="67"/>
      <c r="S2008" s="67" t="str">
        <f>IFERROR(__xludf.DUMMYFUNCTION("""COMPUTED_VALUE"""),"20240827_ハーパーコリンズ・ジャパン_王宮には『アレ』が居る")</f>
        <v>20240827_ハーパーコリンズ・ジャパン_王宮には『アレ』が居る</v>
      </c>
      <c r="T2008" s="78" t="str">
        <f>IFERROR(__xludf.DUMMYFUNCTION("""COMPUTED_VALUE"""),"格納済み")</f>
        <v>格納済み</v>
      </c>
      <c r="U2008" s="15" t="str">
        <f>IFERROR(__xludf.DUMMYFUNCTION("""COMPUTED_VALUE"""),"『王宮には『アレ』が居る』©aoki・三槻ぱぶろ・六人部彰彦／ハーパーコリンズ・ジャパン ")</f>
        <v>『王宮には『アレ』が居る』©aoki・三槻ぱぶろ・六人部彰彦／ハーパーコリンズ・ジャパン </v>
      </c>
      <c r="V2008" s="8" t="str">
        <f>IFERROR(__xludf.DUMMYFUNCTION("""COMPUTED_VALUE"""),"甲斐性なしの第二王子殿下に鉄槌を!?
訳ありの子爵家当主が送る痛快王宮ファンタジー！
訳あって身分を隠しているイルムヒルトは、侯爵家の令嬢・アレクシアに招かれ、王立学院の卒業記念パーティーに参加する。そこで突然、第二王子・エドゥアルトから身に覚えのない罪に問われてしまうが、鮮やかに真実を暴き、エドゥアルトの所行を明らかにする。けれど、その一件をきっかけに、王宮の『アレ』に目を付けられることになり…!?
Web版から大幅加筆した第１巻！")</f>
        <v>甲斐性なしの第二王子殿下に鉄槌を!?
訳ありの子爵家当主が送る痛快王宮ファンタジー！
訳あって身分を隠しているイルムヒルトは、侯爵家の令嬢・アレクシアに招かれ、王立学院の卒業記念パーティーに参加する。そこで突然、第二王子・エドゥアルトから身に覚えのない罪に問われてしまうが、鮮やかに真実を暴き、エドゥアルトの所行を明らかにする。けれど、その一件をきっかけに、王宮の『アレ』に目を付けられることになり…!?
Web版から大幅加筆した第１巻！</v>
      </c>
      <c r="W2008" s="14"/>
      <c r="X2008" s="14" t="str">
        <f>IFERROR(__xludf.DUMMYFUNCTION("""COMPUTED_VALUE"""),"有")</f>
        <v>有</v>
      </c>
      <c r="Y2008" s="8" t="str">
        <f>IFERROR(__xludf.DUMMYFUNCTION("""COMPUTED_VALUE"""),"2024/10/7まで1巻無料")</f>
        <v>2024/10/7まで1巻無料</v>
      </c>
      <c r="Z2008" s="7"/>
      <c r="AA2008" s="7"/>
      <c r="AB2008" s="7"/>
    </row>
    <row r="2009" ht="15.75" customHeight="1">
      <c r="A2009" s="66">
        <f>IFERROR(__xludf.DUMMYFUNCTION("""COMPUTED_VALUE"""),3856.0)</f>
        <v>3856</v>
      </c>
      <c r="B2009" s="67" t="str">
        <f>IFERROR(__xludf.DUMMYFUNCTION("""COMPUTED_VALUE"""),"確定")</f>
        <v>確定</v>
      </c>
      <c r="C2009" s="68">
        <f>IFERROR(__xludf.DUMMYFUNCTION("""COMPUTED_VALUE"""),45497.0)</f>
        <v>45497</v>
      </c>
      <c r="D2009" s="68">
        <f>IFERROR(__xludf.DUMMYFUNCTION("""COMPUTED_VALUE"""),45531.0)</f>
        <v>45531</v>
      </c>
      <c r="E2009" s="31">
        <f>IFERROR(__xludf.DUMMYFUNCTION("""COMPUTED_VALUE"""),302085.0)</f>
        <v>302085</v>
      </c>
      <c r="F2009" s="22" t="str">
        <f>IFERROR(__xludf.DUMMYFUNCTION("""COMPUTED_VALUE"""),"受胎の売人【単話】")</f>
        <v>受胎の売人【単話】</v>
      </c>
      <c r="G2009" s="69" t="str">
        <f>IFERROR(__xludf.DUMMYFUNCTION("""COMPUTED_VALUE"""),"1～3")</f>
        <v>1～3</v>
      </c>
      <c r="H2009" s="67" t="str">
        <f>IFERROR(__xludf.DUMMYFUNCTION("""COMPUTED_VALUE"""),"原作：ＭＩＴＡ、作画：田中基")</f>
        <v>原作：ＭＩＴＡ、作画：田中基</v>
      </c>
      <c r="I2009" s="78" t="str">
        <f>IFERROR(__xludf.DUMMYFUNCTION("""COMPUTED_VALUE"""),"少年")</f>
        <v>少年</v>
      </c>
      <c r="J2009" s="67"/>
      <c r="K2009" s="67"/>
      <c r="L2009" s="67" t="str">
        <f>IFERROR(__xludf.DUMMYFUNCTION("""COMPUTED_VALUE"""),"小学館")</f>
        <v>小学館</v>
      </c>
      <c r="M2009" s="59">
        <f>IFERROR(__xludf.DUMMYFUNCTION("""COMPUTED_VALUE"""),45554.0)</f>
        <v>45554</v>
      </c>
      <c r="N2009" s="85">
        <f>IFERROR(__xludf.DUMMYFUNCTION("""COMPUTED_VALUE"""),45614.0)</f>
        <v>45614</v>
      </c>
      <c r="O2009" s="67"/>
      <c r="P2009" s="70" t="str">
        <f>IFERROR(__xludf.DUMMYFUNCTION("""COMPUTED_VALUE"""),"可")</f>
        <v>可</v>
      </c>
      <c r="Q2009" s="72" t="str">
        <f>IFERROR(__xludf.DUMMYFUNCTION("""COMPUTED_VALUE"""),"広告コミットOK(7/29)&lt;BR&gt;先行期間：続話は1ヵ月&lt;BR&gt;《オススメコメント》&lt;BR&gt;原作は『ヒト喰イ』『サツリクルート』などを書かれたMITA先生で、女性をターゲットに「不妊治療」をきっかけに起こるサスペンス作品となっております。&lt;BR&gt;共感をフックに読み進めてもらい、やがて衝撃的な展開に…という流れで、各話の引きも強く、バナーで使えるコマも多いと思います！ &lt;BR&gt;11月に1巻配信を予定しておりまして、9月下旬からの先行配信を希望しております。")</f>
        <v>広告コミットOK(7/29)&lt;BR&gt;先行期間：続話は1ヵ月&lt;BR&gt;《オススメコメント》&lt;BR&gt;原作は『ヒト喰イ』『サツリクルート』などを書かれたMITA先生で、女性をターゲットに「不妊治療」をきっかけに起こるサスペンス作品となっております。&lt;BR&gt;共感をフックに読み進めてもらい、やがて衝撃的な展開に…という流れで、各話の引きも強く、バナーで使えるコマも多いと思います！ &lt;BR&gt;11月に1巻配信を予定しておりまして、9月下旬からの先行配信を希望しております。</v>
      </c>
      <c r="R2009" s="67"/>
      <c r="S2009" s="67" t="str">
        <f>IFERROR(__xludf.DUMMYFUNCTION("""COMPUTED_VALUE"""),"20240826_小学館_受胎の売人【単話】")</f>
        <v>20240826_小学館_受胎の売人【単話】</v>
      </c>
      <c r="T2009" s="67" t="str">
        <f>IFERROR(__xludf.DUMMYFUNCTION("""COMPUTED_VALUE"""),"格納済み")</f>
        <v>格納済み</v>
      </c>
      <c r="U2009" s="15" t="str">
        <f>IFERROR(__xludf.DUMMYFUNCTION("""COMPUTED_VALUE"""),"(C)ＭＩＴＡ・田中基 / 小学館")</f>
        <v>(C)ＭＩＴＡ・田中基 / 小学館</v>
      </c>
      <c r="V2009" s="8" t="str">
        <f>IFERROR(__xludf.DUMMYFUNCTION("""COMPUTED_VALUE"""),"安堂ミネオは悩んでいた。
妻との間に子供ができないことに。
その原因が自分自身にあることに。
男性不妊に効く薬が存在しないことに。
そんな中、彼は決断をした。
自らの手で不妊治療薬を創りだすことを。
だが、誰にでも子供ができる”夢のクスリ”は
ミネオと家族、そしてまだ見ぬ子供たちの
運命を大きく狂わしていくーーーーー
不妊治療薬を巡る
欲望と贖罪のクライム・サスペンス!!!")</f>
        <v>安堂ミネオは悩んでいた。
妻との間に子供ができないことに。
その原因が自分自身にあることに。
男性不妊に効く薬が存在しないことに。
そんな中、彼は決断をした。
自らの手で不妊治療薬を創りだすことを。
だが、誰にでも子供ができる”夢のクスリ”は
ミネオと家族、そしてまだ見ぬ子供たちの
運命を大きく狂わしていくーーーーー
不妊治療薬を巡る
欲望と贖罪のクライム・サスペンス!!!</v>
      </c>
      <c r="W2009" s="14"/>
      <c r="X2009" s="14" t="str">
        <f>IFERROR(__xludf.DUMMYFUNCTION("""COMPUTED_VALUE"""),"有")</f>
        <v>有</v>
      </c>
      <c r="Y2009" s="8" t="str">
        <f>IFERROR(__xludf.DUMMYFUNCTION("""COMPUTED_VALUE"""),"P31まで")</f>
        <v>P31まで</v>
      </c>
      <c r="Z2009" s="7"/>
      <c r="AA2009" s="7"/>
      <c r="AB2009" s="7"/>
    </row>
    <row r="2010" ht="15.75" customHeight="1">
      <c r="A2010" s="66">
        <f>IFERROR(__xludf.DUMMYFUNCTION("""COMPUTED_VALUE"""),3864.0)</f>
        <v>3864</v>
      </c>
      <c r="B2010" s="67" t="str">
        <f>IFERROR(__xludf.DUMMYFUNCTION("""COMPUTED_VALUE"""),"確定")</f>
        <v>確定</v>
      </c>
      <c r="C2010" s="68">
        <f>IFERROR(__xludf.DUMMYFUNCTION("""COMPUTED_VALUE"""),45499.0)</f>
        <v>45499</v>
      </c>
      <c r="D2010" s="68">
        <f>IFERROR(__xludf.DUMMYFUNCTION("""COMPUTED_VALUE"""),45530.0)</f>
        <v>45530</v>
      </c>
      <c r="E2010" s="31">
        <f>IFERROR(__xludf.DUMMYFUNCTION("""COMPUTED_VALUE"""),300809.0)</f>
        <v>300809</v>
      </c>
      <c r="F2010" s="22" t="str">
        <f>IFERROR(__xludf.DUMMYFUNCTION("""COMPUTED_VALUE"""),"甘えたがりな彼女について【マイクロ】")</f>
        <v>甘えたがりな彼女について【マイクロ】</v>
      </c>
      <c r="G2010" s="69" t="str">
        <f>IFERROR(__xludf.DUMMYFUNCTION("""COMPUTED_VALUE"""),"1～3")</f>
        <v>1～3</v>
      </c>
      <c r="H2010" s="67" t="str">
        <f>IFERROR(__xludf.DUMMYFUNCTION("""COMPUTED_VALUE"""),"藤原えみ")</f>
        <v>藤原えみ</v>
      </c>
      <c r="I2010" s="78" t="str">
        <f>IFERROR(__xludf.DUMMYFUNCTION("""COMPUTED_VALUE"""),"女性")</f>
        <v>女性</v>
      </c>
      <c r="J2010" s="67"/>
      <c r="K2010" s="67"/>
      <c r="L2010" s="67" t="str">
        <f>IFERROR(__xludf.DUMMYFUNCTION("""COMPUTED_VALUE"""),"小学館")</f>
        <v>小学館</v>
      </c>
      <c r="M2010" s="59">
        <f>IFERROR(__xludf.DUMMYFUNCTION("""COMPUTED_VALUE"""),45540.0)</f>
        <v>45540</v>
      </c>
      <c r="N2010" s="59">
        <f>IFERROR(__xludf.DUMMYFUNCTION("""COMPUTED_VALUE"""),45600.0)</f>
        <v>45600</v>
      </c>
      <c r="O2010" s="67"/>
      <c r="P2010" s="70" t="str">
        <f>IFERROR(__xludf.DUMMYFUNCTION("""COMPUTED_VALUE"""),"否")</f>
        <v>否</v>
      </c>
      <c r="Q2010" s="72" t="str">
        <f>IFERROR(__xludf.DUMMYFUNCTION("""COMPUTED_VALUE"""),"広告コミットOK(8/2)&lt;BR&gt;・先行期間：続話は1ヵ月")</f>
        <v>広告コミットOK(8/2)&lt;BR&gt;・先行期間：続話は1ヵ月</v>
      </c>
      <c r="R2010" s="67"/>
      <c r="S2010" s="67" t="str">
        <f>IFERROR(__xludf.DUMMYFUNCTION("""COMPUTED_VALUE"""),"20240826_小学館_甘えたがりな彼女について【マイクロ】")</f>
        <v>20240826_小学館_甘えたがりな彼女について【マイクロ】</v>
      </c>
      <c r="T2010" s="67" t="str">
        <f>IFERROR(__xludf.DUMMYFUNCTION("""COMPUTED_VALUE"""),"格納済み")</f>
        <v>格納済み</v>
      </c>
      <c r="U2010" s="15" t="str">
        <f>IFERROR(__xludf.DUMMYFUNCTION("""COMPUTED_VALUE"""),"(C)藤原えみ / 小学館")</f>
        <v>(C)藤原えみ / 小学館</v>
      </c>
      <c r="V2010" s="8" t="str">
        <f>IFERROR(__xludf.DUMMYFUNCTION("""COMPUTED_VALUE"""),"社内でも優秀で尊敬されている26歳OLのびわ。1人で生きていける女子ってかっこいい、と思いつつ、本当は「めちゃくちゃ誰かに甘やかされたい！！」という欲望があった。そんな中、しつこいナンパに絡まれてしまい、助けてくれた男性に恋におちてしまう。翌日会社へ行くと、指導係をすることになった後輩・田中がまさかのその人!?しかも女ギライな超塩対応男子で!?でも絶対に甘やかしたいと思わせてみせる！！甘えたがり女子×塩対応男子のラブバトル開幕！！")</f>
        <v>社内でも優秀で尊敬されている26歳OLのびわ。1人で生きていける女子ってかっこいい、と思いつつ、本当は「めちゃくちゃ誰かに甘やかされたい！！」という欲望があった。そんな中、しつこいナンパに絡まれてしまい、助けてくれた男性に恋におちてしまう。翌日会社へ行くと、指導係をすることになった後輩・田中がまさかのその人!?しかも女ギライな超塩対応男子で!?でも絶対に甘やかしたいと思わせてみせる！！甘えたがり女子×塩対応男子のラブバトル開幕！！</v>
      </c>
      <c r="W2010" s="14"/>
      <c r="X2010" s="14" t="str">
        <f>IFERROR(__xludf.DUMMYFUNCTION("""COMPUTED_VALUE"""),"有")</f>
        <v>有</v>
      </c>
      <c r="Y2010" s="8" t="str">
        <f>IFERROR(__xludf.DUMMYFUNCTION("""COMPUTED_VALUE"""),"P19まで")</f>
        <v>P19まで</v>
      </c>
      <c r="Z2010" s="7"/>
      <c r="AA2010" s="7"/>
      <c r="AB2010" s="7"/>
    </row>
    <row r="2011" ht="15.75" customHeight="1">
      <c r="A2011" s="66">
        <f>IFERROR(__xludf.DUMMYFUNCTION("""COMPUTED_VALUE"""),3877.0)</f>
        <v>3877</v>
      </c>
      <c r="B2011" s="67" t="str">
        <f>IFERROR(__xludf.DUMMYFUNCTION("""COMPUTED_VALUE"""),"確定")</f>
        <v>確定</v>
      </c>
      <c r="C2011" s="68">
        <f>IFERROR(__xludf.DUMMYFUNCTION("""COMPUTED_VALUE"""),45503.0)</f>
        <v>45503</v>
      </c>
      <c r="D2011" s="68">
        <f>IFERROR(__xludf.DUMMYFUNCTION("""COMPUTED_VALUE"""),45531.0)</f>
        <v>45531</v>
      </c>
      <c r="E2011" s="31">
        <f>IFERROR(__xludf.DUMMYFUNCTION("""COMPUTED_VALUE"""),301089.0)</f>
        <v>301089</v>
      </c>
      <c r="F2011" s="22" t="str">
        <f>IFERROR(__xludf.DUMMYFUNCTION("""COMPUTED_VALUE"""),"アマリモノの僕ら【分冊版】")</f>
        <v>アマリモノの僕ら【分冊版】</v>
      </c>
      <c r="G2011" s="11" t="str">
        <f>IFERROR(__xludf.DUMMYFUNCTION("""COMPUTED_VALUE"""),"1～2")</f>
        <v>1～2</v>
      </c>
      <c r="H2011" s="67" t="str">
        <f>IFERROR(__xludf.DUMMYFUNCTION("""COMPUTED_VALUE"""),"みっつまん")</f>
        <v>みっつまん</v>
      </c>
      <c r="I2011" s="67" t="str">
        <f>IFERROR(__xludf.DUMMYFUNCTION("""COMPUTED_VALUE"""),"オトナ")</f>
        <v>オトナ</v>
      </c>
      <c r="J2011" s="67"/>
      <c r="K2011" s="67"/>
      <c r="L2011" s="67" t="str">
        <f>IFERROR(__xludf.DUMMYFUNCTION("""COMPUTED_VALUE"""),"ナンバーナイン")</f>
        <v>ナンバーナイン</v>
      </c>
      <c r="M2011" s="59">
        <f>IFERROR(__xludf.DUMMYFUNCTION("""COMPUTED_VALUE"""),45548.0)</f>
        <v>45548</v>
      </c>
      <c r="N2011" s="85">
        <f>IFERROR(__xludf.DUMMYFUNCTION("""COMPUTED_VALUE"""),45638.0)</f>
        <v>45638</v>
      </c>
      <c r="O2011" s="67"/>
      <c r="P2011" s="70" t="str">
        <f>IFERROR(__xludf.DUMMYFUNCTION("""COMPUTED_VALUE"""),"可")</f>
        <v>可</v>
      </c>
      <c r="Q2011" s="72" t="str">
        <f>IFERROR(__xludf.DUMMYFUNCTION("""COMPUTED_VALUE"""),"広告コミットOK(8/5)&lt;BR&gt;素材を2分割にして1～2巻として配信")</f>
        <v>広告コミットOK(8/5)&lt;BR&gt;素材を2分割にして1～2巻として配信</v>
      </c>
      <c r="R2011" s="67"/>
      <c r="S2011" s="67" t="str">
        <f>IFERROR(__xludf.DUMMYFUNCTION("""COMPUTED_VALUE"""),"20240730_ナンバーナイン_アマリモノの僕ら")</f>
        <v>20240730_ナンバーナイン_アマリモノの僕ら</v>
      </c>
      <c r="T2011" s="67" t="str">
        <f>IFERROR(__xludf.DUMMYFUNCTION("""COMPUTED_VALUE"""),"格納済み")</f>
        <v>格納済み</v>
      </c>
      <c r="U2011" s="15" t="str">
        <f>IFERROR(__xludf.DUMMYFUNCTION("""COMPUTED_VALUE"""),"(C)みっつまん/ナンバーナイン")</f>
        <v>(C)みっつまん/ナンバーナイン</v>
      </c>
      <c r="V2011" s="8" t="str">
        <f>IFERROR(__xludf.DUMMYFUNCTION("""COMPUTED_VALUE"""),"あらすじ 前山圭太（まえやまけいた）は周りからモテていると勘違いされているが、実は童貞の大学生であった。
本当は童貞だという事を周りにバレずに卒業出来る方法はあるのかと模索していたある日、
大学仲間との飲み会で上結瞳（かみゆいひとみ）が処女だということ知ることに。
もし処女の上結と付き合えたら童貞がバレずに卒業出来るかもと思っていた矢先… 気付いたらベッドの上に!?
酔いつぶれてホテルで目を覚ましたとこにいたのは、上結だった。
上結の下着姿に思わずドキドキしてしまう。豊満なスタイルでかつ慣れて手"&amp;"つきで誘ってくる。
あまりの気持ち良さにすぐに射精してしまい、
その後も処女とは思えないほどのいやらしいテクニックで絞り摂られつづけていき…
遂には前山は違和感に気付くことになったのだが…
全17ページ")</f>
        <v>あらすじ 前山圭太（まえやまけいた）は周りからモテていると勘違いされているが、実は童貞の大学生であった。
本当は童貞だという事を周りにバレずに卒業出来る方法はあるのかと模索していたある日、
大学仲間との飲み会で上結瞳（かみゆいひとみ）が処女だということ知ることに。
もし処女の上結と付き合えたら童貞がバレずに卒業出来るかもと思っていた矢先… 気付いたらベッドの上に!?
酔いつぶれてホテルで目を覚ましたとこにいたのは、上結だった。
上結の下着姿に思わずドキドキしてしまう。豊満なスタイルでかつ慣れて手つきで誘ってくる。
あまりの気持ち良さにすぐに射精してしまい、
その後も処女とは思えないほどのいやらしいテクニックで絞り摂られつづけていき…
遂には前山は違和感に気付くことになったのだが…
全17ページ</v>
      </c>
      <c r="W2011" s="14"/>
      <c r="X2011" s="14" t="str">
        <f>IFERROR(__xludf.DUMMYFUNCTION("""COMPUTED_VALUE"""),"有")</f>
        <v>有</v>
      </c>
      <c r="Y2011" s="8" t="str">
        <f>IFERROR(__xludf.DUMMYFUNCTION("""COMPUTED_VALUE"""),"P4まで")</f>
        <v>P4まで</v>
      </c>
      <c r="Z2011" s="7"/>
      <c r="AA2011" s="7"/>
      <c r="AB2011" s="7"/>
    </row>
    <row r="2012" ht="15.75" customHeight="1">
      <c r="A2012" s="66">
        <f>IFERROR(__xludf.DUMMYFUNCTION("""COMPUTED_VALUE"""),3878.0)</f>
        <v>3878</v>
      </c>
      <c r="B2012" s="67" t="str">
        <f>IFERROR(__xludf.DUMMYFUNCTION("""COMPUTED_VALUE"""),"確定")</f>
        <v>確定</v>
      </c>
      <c r="C2012" s="68">
        <f>IFERROR(__xludf.DUMMYFUNCTION("""COMPUTED_VALUE"""),45503.0)</f>
        <v>45503</v>
      </c>
      <c r="D2012" s="68">
        <f>IFERROR(__xludf.DUMMYFUNCTION("""COMPUTED_VALUE"""),45531.0)</f>
        <v>45531</v>
      </c>
      <c r="E2012" s="31">
        <f>IFERROR(__xludf.DUMMYFUNCTION("""COMPUTED_VALUE"""),301088.0)</f>
        <v>301088</v>
      </c>
      <c r="F2012" s="22" t="str">
        <f>IFERROR(__xludf.DUMMYFUNCTION("""COMPUTED_VALUE"""),"昨日の友は今日のセフレ【分冊版】")</f>
        <v>昨日の友は今日のセフレ【分冊版】</v>
      </c>
      <c r="G2012" s="11" t="str">
        <f>IFERROR(__xludf.DUMMYFUNCTION("""COMPUTED_VALUE"""),"1～2")</f>
        <v>1～2</v>
      </c>
      <c r="H2012" s="67" t="str">
        <f>IFERROR(__xludf.DUMMYFUNCTION("""COMPUTED_VALUE"""),"みっつまん")</f>
        <v>みっつまん</v>
      </c>
      <c r="I2012" s="67" t="str">
        <f>IFERROR(__xludf.DUMMYFUNCTION("""COMPUTED_VALUE"""),"オトナ")</f>
        <v>オトナ</v>
      </c>
      <c r="J2012" s="67"/>
      <c r="K2012" s="67"/>
      <c r="L2012" s="67" t="str">
        <f>IFERROR(__xludf.DUMMYFUNCTION("""COMPUTED_VALUE"""),"ナンバーナイン")</f>
        <v>ナンバーナイン</v>
      </c>
      <c r="M2012" s="59">
        <f>IFERROR(__xludf.DUMMYFUNCTION("""COMPUTED_VALUE"""),45548.0)</f>
        <v>45548</v>
      </c>
      <c r="N2012" s="85">
        <f>IFERROR(__xludf.DUMMYFUNCTION("""COMPUTED_VALUE"""),45638.0)</f>
        <v>45638</v>
      </c>
      <c r="O2012" s="67"/>
      <c r="P2012" s="70" t="str">
        <f>IFERROR(__xludf.DUMMYFUNCTION("""COMPUTED_VALUE"""),"可")</f>
        <v>可</v>
      </c>
      <c r="Q2012" s="72" t="str">
        <f>IFERROR(__xludf.DUMMYFUNCTION("""COMPUTED_VALUE"""),"広告コミットOK(8/5)")</f>
        <v>広告コミットOK(8/5)</v>
      </c>
      <c r="R2012" s="67"/>
      <c r="S2012" s="67" t="str">
        <f>IFERROR(__xludf.DUMMYFUNCTION("""COMPUTED_VALUE"""),"20240730_ナンバーナイン_昨日の友は今日のセフレ【分冊版】")</f>
        <v>20240730_ナンバーナイン_昨日の友は今日のセフレ【分冊版】</v>
      </c>
      <c r="T2012" s="67" t="str">
        <f>IFERROR(__xludf.DUMMYFUNCTION("""COMPUTED_VALUE"""),"格納済み")</f>
        <v>格納済み</v>
      </c>
      <c r="U2012" s="15" t="str">
        <f>IFERROR(__xludf.DUMMYFUNCTION("""COMPUTED_VALUE"""),"(C)みっつまん/ナンバーナイン")</f>
        <v>(C)みっつまん/ナンバーナイン</v>
      </c>
      <c r="V2012" s="8" t="str">
        <f>IFERROR(__xludf.DUMMYFUNCTION("""COMPUTED_VALUE"""),"■あらすじ
青春の何気ない会話の中で、性に関する話題は必ず出てくる…
恋愛経験の少ない萌香は異性との経験も無く、
友人のオナニー事情に戸惑いを感じつつも、経験の浅い事を気にしていた。
高まった性的好奇心から、自ら行為を行っていたところ、
タイミング悪く友人に見られてしまった。
しかし、それがきっかけで大人になりたい二人は‘友情’の一線を越える関係になり、、、
どんどん加速し、いつしか二人はハマってしまう！？！？
■プレイ内容
互いに興味を持った者同士の性行為です。初々しいノーマルプレイです。
挿入アリです"&amp;"。
全17ページ
ーーーーーーーーーーーーーーーーーーーーーー
御覧いただきありがとうございます。
Twitter:@douzin_mittuman")</f>
        <v>■あらすじ
青春の何気ない会話の中で、性に関する話題は必ず出てくる…
恋愛経験の少ない萌香は異性との経験も無く、
友人のオナニー事情に戸惑いを感じつつも、経験の浅い事を気にしていた。
高まった性的好奇心から、自ら行為を行っていたところ、
タイミング悪く友人に見られてしまった。
しかし、それがきっかけで大人になりたい二人は‘友情’の一線を越える関係になり、、、
どんどん加速し、いつしか二人はハマってしまう！？！？
■プレイ内容
互いに興味を持った者同士の性行為です。初々しいノーマルプレイです。
挿入アリです。
全17ページ
ーーーーーーーーーーーーーーーーーーーーーー
御覧いただきありがとうございます。
Twitter:@douzin_mittuman</v>
      </c>
      <c r="W2012" s="14"/>
      <c r="X2012" s="14" t="str">
        <f>IFERROR(__xludf.DUMMYFUNCTION("""COMPUTED_VALUE"""),"有")</f>
        <v>有</v>
      </c>
      <c r="Y2012" s="8" t="str">
        <f>IFERROR(__xludf.DUMMYFUNCTION("""COMPUTED_VALUE"""),"P4まで")</f>
        <v>P4まで</v>
      </c>
      <c r="Z2012" s="7"/>
      <c r="AA2012" s="7"/>
      <c r="AB2012" s="7"/>
    </row>
    <row r="2013" ht="15.75" customHeight="1">
      <c r="A2013" s="66">
        <f>IFERROR(__xludf.DUMMYFUNCTION("""COMPUTED_VALUE"""),3899.0)</f>
        <v>3899</v>
      </c>
      <c r="B2013" s="67" t="str">
        <f>IFERROR(__xludf.DUMMYFUNCTION("""COMPUTED_VALUE"""),"確定")</f>
        <v>確定</v>
      </c>
      <c r="C2013" s="68">
        <f>IFERROR(__xludf.DUMMYFUNCTION("""COMPUTED_VALUE"""),45504.0)</f>
        <v>45504</v>
      </c>
      <c r="D2013" s="68">
        <f>IFERROR(__xludf.DUMMYFUNCTION("""COMPUTED_VALUE"""),45532.0)</f>
        <v>45532</v>
      </c>
      <c r="E2013" s="31">
        <f>IFERROR(__xludf.DUMMYFUNCTION("""COMPUTED_VALUE"""),301699.0)</f>
        <v>301699</v>
      </c>
      <c r="F2013" s="22" t="str">
        <f>IFERROR(__xludf.DUMMYFUNCTION("""COMPUTED_VALUE"""),"二度目のプロポーズ～元カレ社長にほだされて～【分冊版】")</f>
        <v>二度目のプロポーズ～元カレ社長にほだされて～【分冊版】</v>
      </c>
      <c r="G2013" s="69" t="str">
        <f>IFERROR(__xludf.DUMMYFUNCTION("""COMPUTED_VALUE"""),"1～3")</f>
        <v>1～3</v>
      </c>
      <c r="H2013" s="67" t="str">
        <f>IFERROR(__xludf.DUMMYFUNCTION("""COMPUTED_VALUE"""),"みづき水脈")</f>
        <v>みづき水脈</v>
      </c>
      <c r="I2013" s="67" t="str">
        <f>IFERROR(__xludf.DUMMYFUNCTION("""COMPUTED_VALUE"""),"女性")</f>
        <v>女性</v>
      </c>
      <c r="J2013" s="67"/>
      <c r="K2013" s="67"/>
      <c r="L2013" s="67" t="str">
        <f>IFERROR(__xludf.DUMMYFUNCTION("""COMPUTED_VALUE"""),"ハーパーコリンズ・ジャパン")</f>
        <v>ハーパーコリンズ・ジャパン</v>
      </c>
      <c r="M2013" s="47">
        <f>IFERROR(__xludf.DUMMYFUNCTION("""COMPUTED_VALUE"""),45554.0)</f>
        <v>45554</v>
      </c>
      <c r="N2013" s="85">
        <f>IFERROR(__xludf.DUMMYFUNCTION("""COMPUTED_VALUE"""),45614.0)</f>
        <v>45614</v>
      </c>
      <c r="O2013" s="67"/>
      <c r="P2013" s="70" t="str">
        <f>IFERROR(__xludf.DUMMYFUNCTION("""COMPUTED_VALUE"""),"否")</f>
        <v>否</v>
      </c>
      <c r="Q2013" s="72" t="str">
        <f>IFERROR(__xludf.DUMMYFUNCTION("""COMPUTED_VALUE"""),"広告コミットOK(8/5)")</f>
        <v>広告コミットOK(8/5)</v>
      </c>
      <c r="R2013" s="67"/>
      <c r="S2013" s="67" t="str">
        <f>IFERROR(__xludf.DUMMYFUNCTION("""COMPUTED_VALUE"""),"20240827_ハーパーコリンズ・ジャパン_二度目のプロポーズ～元カレ社長にほだされて～")</f>
        <v>20240827_ハーパーコリンズ・ジャパン_二度目のプロポーズ～元カレ社長にほだされて～</v>
      </c>
      <c r="T2013" s="67" t="str">
        <f>IFERROR(__xludf.DUMMYFUNCTION("""COMPUTED_VALUE"""),"格納済み")</f>
        <v>格納済み</v>
      </c>
      <c r="U2013" s="15" t="str">
        <f>IFERROR(__xludf.DUMMYFUNCTION("""COMPUTED_VALUE"""),"『二度目のプロポーズ～元カレ社長にほだされて～』©みづき水脈・坂井志緒／ハーパーコリンズ・ジャパン")</f>
        <v>『二度目のプロポーズ～元カレ社長にほだされて～』©みづき水脈・坂井志緒／ハーパーコリンズ・ジャパン</v>
      </c>
      <c r="V2013" s="8" t="str">
        <f>IFERROR(__xludf.DUMMYFUNCTION("""COMPUTED_VALUE"""),"新社長になった元カレが、手段を選ばず口説いてきて…！
小さな真珠製造会社の営業として働く麻衣の前に、学生時代の元カレ・裕也が新社長として現れた。イケメンかつ大企業の御曹司である彼との関係を周囲に知られたくなくて、距離を置こうとするがなぜかグイグイと迫ってくる。しかも彼には婚約者がいると知り、当然麻衣は強く拒むが…いつしか胸の奥に仕舞い込んでいたはずの熱がよみがえってきてしまう。捨てられない未練だらけの恋に、麻衣は心乱され…。")</f>
        <v>新社長になった元カレが、手段を選ばず口説いてきて…！
小さな真珠製造会社の営業として働く麻衣の前に、学生時代の元カレ・裕也が新社長として現れた。イケメンかつ大企業の御曹司である彼との関係を周囲に知られたくなくて、距離を置こうとするがなぜかグイグイと迫ってくる。しかも彼には婚約者がいると知り、当然麻衣は強く拒むが…いつしか胸の奥に仕舞い込んでいたはずの熱がよみがえってきてしまう。捨てられない未練だらけの恋に、麻衣は心乱され…。</v>
      </c>
      <c r="W2013" s="14"/>
      <c r="X2013" s="14" t="str">
        <f>IFERROR(__xludf.DUMMYFUNCTION("""COMPUTED_VALUE"""),"有")</f>
        <v>有</v>
      </c>
      <c r="Y2013" s="8" t="str">
        <f>IFERROR(__xludf.DUMMYFUNCTION("""COMPUTED_VALUE"""),"P9まで")</f>
        <v>P9まで</v>
      </c>
      <c r="Z2013" s="7"/>
      <c r="AA2013" s="7"/>
      <c r="AB2013" s="7"/>
    </row>
    <row r="2014" ht="15.75" customHeight="1">
      <c r="A2014" s="66">
        <f>IFERROR(__xludf.DUMMYFUNCTION("""COMPUTED_VALUE"""),3948.0)</f>
        <v>3948</v>
      </c>
      <c r="B2014" s="67" t="str">
        <f>IFERROR(__xludf.DUMMYFUNCTION("""COMPUTED_VALUE"""),"確定")</f>
        <v>確定</v>
      </c>
      <c r="C2014" s="68">
        <f>IFERROR(__xludf.DUMMYFUNCTION("""COMPUTED_VALUE"""),45512.0)</f>
        <v>45512</v>
      </c>
      <c r="D2014" s="68">
        <f>IFERROR(__xludf.DUMMYFUNCTION("""COMPUTED_VALUE"""),45531.0)</f>
        <v>45531</v>
      </c>
      <c r="E2014" s="31">
        <f>IFERROR(__xludf.DUMMYFUNCTION("""COMPUTED_VALUE"""),302084.0)</f>
        <v>302084</v>
      </c>
      <c r="F2014" s="22" t="str">
        <f>IFERROR(__xludf.DUMMYFUNCTION("""COMPUTED_VALUE"""),"病弱な妹に全てを搾取されてきた令嬢はもう何も奪わせない【単話】")</f>
        <v>病弱な妹に全てを搾取されてきた令嬢はもう何も奪わせない【単話】</v>
      </c>
      <c r="G2014" s="69" t="str">
        <f>IFERROR(__xludf.DUMMYFUNCTION("""COMPUTED_VALUE"""),"1～3")</f>
        <v>1～3</v>
      </c>
      <c r="H2014" s="67" t="str">
        <f>IFERROR(__xludf.DUMMYFUNCTION("""COMPUTED_VALUE"""),"原作：やきいもほくほく 作画：ｍａｃｏ")</f>
        <v>原作：やきいもほくほく 作画：ｍａｃｏ</v>
      </c>
      <c r="I2014" s="78" t="str">
        <f>IFERROR(__xludf.DUMMYFUNCTION("""COMPUTED_VALUE"""),"少女")</f>
        <v>少女</v>
      </c>
      <c r="J2014" s="67"/>
      <c r="K2014" s="67"/>
      <c r="L2014" s="67" t="str">
        <f>IFERROR(__xludf.DUMMYFUNCTION("""COMPUTED_VALUE"""),"小学館")</f>
        <v>小学館</v>
      </c>
      <c r="M2014" s="59">
        <f>IFERROR(__xludf.DUMMYFUNCTION("""COMPUTED_VALUE"""),45554.0)</f>
        <v>45554</v>
      </c>
      <c r="N2014" s="85">
        <f>IFERROR(__xludf.DUMMYFUNCTION("""COMPUTED_VALUE"""),45614.0)</f>
        <v>45614</v>
      </c>
      <c r="O2014" s="67"/>
      <c r="P2014" s="70" t="str">
        <f>IFERROR(__xludf.DUMMYFUNCTION("""COMPUTED_VALUE"""),"否")</f>
        <v>否</v>
      </c>
      <c r="Q2014" s="72" t="str">
        <f>IFERROR(__xludf.DUMMYFUNCTION("""COMPUTED_VALUE"""),"コミットOK(8/16)&lt;BR&gt;先行期間：続話は1ヵ月&lt;BR&gt;《小学館様オススメコメント》&lt;BR&gt;※連載開始前なので、取り扱いにはご注意ください&lt;BR&gt;弊社が「小説家になろう」とコラボしたコミック原作大賞で、&lt;BR&gt;奨励賞を受賞した作品のコミカライズになります。&lt;BR&gt;https://gagagabunko.jp/special/ft_award/&lt;BR&gt;病弱な妹との確執、婚約破棄、実家との絶縁…と、流行りの要素を多く取り入れ、&lt;BR&gt;またバナーに使い易いカットも多く引きのある作品になっております。")</f>
        <v>コミットOK(8/16)&lt;BR&gt;先行期間：続話は1ヵ月&lt;BR&gt;《小学館様オススメコメント》&lt;BR&gt;※連載開始前なので、取り扱いにはご注意ください&lt;BR&gt;弊社が「小説家になろう」とコラボしたコミック原作大賞で、&lt;BR&gt;奨励賞を受賞した作品のコミカライズになります。&lt;BR&gt;https://gagagabunko.jp/special/ft_award/&lt;BR&gt;病弱な妹との確執、婚約破棄、実家との絶縁…と、流行りの要素を多く取り入れ、&lt;BR&gt;またバナーに使い易いカットも多く引きのある作品になっております。</v>
      </c>
      <c r="R2014" s="67"/>
      <c r="S2014" s="67" t="str">
        <f>IFERROR(__xludf.DUMMYFUNCTION("""COMPUTED_VALUE"""),"20240826_小学館_病弱な妹に全てを搾取されてきた令嬢はもう何も奪わせない【単話】")</f>
        <v>20240826_小学館_病弱な妹に全てを搾取されてきた令嬢はもう何も奪わせない【単話】</v>
      </c>
      <c r="T2014" s="67" t="str">
        <f>IFERROR(__xludf.DUMMYFUNCTION("""COMPUTED_VALUE"""),"格納済み")</f>
        <v>格納済み</v>
      </c>
      <c r="U2014" s="15" t="str">
        <f>IFERROR(__xludf.DUMMYFUNCTION("""COMPUTED_VALUE"""),"(C)やきいもほくほく・ｍａｃｏ / 小学館")</f>
        <v>(C)やきいもほくほく・ｍａｃｏ / 小学館</v>
      </c>
      <c r="V2014" s="8" t="str">
        <f>IFERROR(__xludf.DUMMYFUNCTION("""COMPUTED_VALUE"""),"【絶縁令嬢の人生逆転劇】
「ずっと病気で何もできなかった私に、婚約者をちょうだい？」
コレットの婚約者も伯爵家を継ぐ立場も手に入れた妹リリアーヌは嘲笑っていた。
絶望したコレットは家族に絶縁を宣言し身ひとつで飛び出した。
そんな不幸なコレットを拾ったのは見目麗しい青年で…！？")</f>
        <v>【絶縁令嬢の人生逆転劇】
「ずっと病気で何もできなかった私に、婚約者をちょうだい？」
コレットの婚約者も伯爵家を継ぐ立場も手に入れた妹リリアーヌは嘲笑っていた。
絶望したコレットは家族に絶縁を宣言し身ひとつで飛び出した。
そんな不幸なコレットを拾ったのは見目麗しい青年で…！？</v>
      </c>
      <c r="W2014" s="14"/>
      <c r="X2014" s="14" t="str">
        <f>IFERROR(__xludf.DUMMYFUNCTION("""COMPUTED_VALUE"""),"有")</f>
        <v>有</v>
      </c>
      <c r="Y2014" s="8" t="str">
        <f>IFERROR(__xludf.DUMMYFUNCTION("""COMPUTED_VALUE"""),"2024/11/18まで1巻無料")</f>
        <v>2024/11/18まで1巻無料</v>
      </c>
      <c r="Z2014" s="7"/>
      <c r="AA2014" s="7"/>
      <c r="AB2014" s="7"/>
    </row>
    <row r="2015" ht="15.75" customHeight="1">
      <c r="A2015" s="66">
        <f>IFERROR(__xludf.DUMMYFUNCTION("""COMPUTED_VALUE"""),3956.0)</f>
        <v>3956</v>
      </c>
      <c r="B2015" s="67" t="str">
        <f>IFERROR(__xludf.DUMMYFUNCTION("""COMPUTED_VALUE"""),"確定")</f>
        <v>確定</v>
      </c>
      <c r="C2015" s="68">
        <f>IFERROR(__xludf.DUMMYFUNCTION("""COMPUTED_VALUE"""),45513.0)</f>
        <v>45513</v>
      </c>
      <c r="D2015" s="68">
        <f>IFERROR(__xludf.DUMMYFUNCTION("""COMPUTED_VALUE"""),45531.0)</f>
        <v>45531</v>
      </c>
      <c r="E2015" s="60">
        <f>IFERROR(__xludf.DUMMYFUNCTION("""COMPUTED_VALUE"""),302279.0)</f>
        <v>302279</v>
      </c>
      <c r="F2015" s="61" t="str">
        <f>IFERROR(__xludf.DUMMYFUNCTION("""COMPUTED_VALUE"""),"初恋は返り咲く【タテヨミ】")</f>
        <v>初恋は返り咲く【タテヨミ】</v>
      </c>
      <c r="G2015" s="11" t="str">
        <f>IFERROR(__xludf.DUMMYFUNCTION("""COMPUTED_VALUE"""),"1～15")</f>
        <v>1～15</v>
      </c>
      <c r="H2015" s="67" t="str">
        <f>IFERROR(__xludf.DUMMYFUNCTION("""COMPUTED_VALUE"""),"金子りさ、テラーノベル")</f>
        <v>金子りさ、テラーノベル</v>
      </c>
      <c r="I2015" s="67" t="str">
        <f>IFERROR(__xludf.DUMMYFUNCTION("""COMPUTED_VALUE"""),"BL")</f>
        <v>BL</v>
      </c>
      <c r="J2015" s="67"/>
      <c r="K2015" s="67"/>
      <c r="L2015" s="67" t="str">
        <f>IFERROR(__xludf.DUMMYFUNCTION("""COMPUTED_VALUE"""),"Studio reBorn")</f>
        <v>Studio reBorn</v>
      </c>
      <c r="M2015" s="59">
        <f>IFERROR(__xludf.DUMMYFUNCTION("""COMPUTED_VALUE"""),45556.0)</f>
        <v>45556</v>
      </c>
      <c r="N2015" s="85">
        <f>IFERROR(__xludf.DUMMYFUNCTION("""COMPUTED_VALUE"""),45646.0)</f>
        <v>45646</v>
      </c>
      <c r="O2015" s="67"/>
      <c r="P2015" s="70" t="str">
        <f>IFERROR(__xludf.DUMMYFUNCTION("""COMPUTED_VALUE"""),"可")</f>
        <v>可</v>
      </c>
      <c r="Q2015" s="72" t="str">
        <f>IFERROR(__xludf.DUMMYFUNCTION("""COMPUTED_VALUE"""),"広告コミットOK（8/19）")</f>
        <v>広告コミットOK（8/19）</v>
      </c>
      <c r="R2015" s="67"/>
      <c r="S2015" s="67" t="str">
        <f>IFERROR(__xludf.DUMMYFUNCTION("""COMPUTED_VALUE"""),"20240822_Studio reBorn_初恋は返り咲く【タテヨミ】")</f>
        <v>20240822_Studio reBorn_初恋は返り咲く【タテヨミ】</v>
      </c>
      <c r="T2015" s="67" t="str">
        <f>IFERROR(__xludf.DUMMYFUNCTION("""COMPUTED_VALUE"""),"格納済み")</f>
        <v>格納済み</v>
      </c>
      <c r="U2015" s="15" t="str">
        <f>IFERROR(__xludf.DUMMYFUNCTION("""COMPUTED_VALUE"""),"©金子りさ / テラーノベル ©Studio reBorn / RocketStaff Inc.")</f>
        <v>©金子りさ / テラーノベル ©Studio reBorn / RocketStaff Inc.</v>
      </c>
      <c r="V2015" s="8" t="str">
        <f>IFERROR(__xludf.DUMMYFUNCTION("""COMPUTED_VALUE"""),"大手企業のエリートサラリーマンである藤崎桜汰（ふじさき おうた）は、ゲイである自分を認められずに、ひた隠しにして生きてきた。病気で死ぬ間際に高校のクラスメイトで初恋の相手でもある七森海生（ななもりみお）と再会するが、最後まで恋心を打ち明けられないまま死を迎える。
しかし──目が覚めると、高校時代に戻っていた！？
二度目の人生では自分の心に素直になろうと決め、初恋をやり直すために奮闘する。")</f>
        <v>大手企業のエリートサラリーマンである藤崎桜汰（ふじさき おうた）は、ゲイである自分を認められずに、ひた隠しにして生きてきた。病気で死ぬ間際に高校のクラスメイトで初恋の相手でもある七森海生（ななもりみお）と再会するが、最後まで恋心を打ち明けられないまま死を迎える。
しかし──目が覚めると、高校時代に戻っていた！？
二度目の人生では自分の心に素直になろうと決め、初恋をやり直すために奮闘する。</v>
      </c>
      <c r="W2015" s="14"/>
      <c r="X2015" s="14" t="str">
        <f>IFERROR(__xludf.DUMMYFUNCTION("""COMPUTED_VALUE"""),"有")</f>
        <v>有</v>
      </c>
      <c r="Y2015" s="8" t="str">
        <f>IFERROR(__xludf.DUMMYFUNCTION("""COMPUTED_VALUE"""),"1～6巻無料")</f>
        <v>1～6巻無料</v>
      </c>
      <c r="Z2015" s="7"/>
      <c r="AA2015" s="7"/>
      <c r="AB2015" s="7"/>
    </row>
    <row r="2016" ht="15.75" customHeight="1">
      <c r="A2016" s="66">
        <f>IFERROR(__xludf.DUMMYFUNCTION("""COMPUTED_VALUE"""),3973.0)</f>
        <v>3973</v>
      </c>
      <c r="B2016" s="67" t="str">
        <f>IFERROR(__xludf.DUMMYFUNCTION("""COMPUTED_VALUE"""),"確定")</f>
        <v>確定</v>
      </c>
      <c r="C2016" s="68">
        <f>IFERROR(__xludf.DUMMYFUNCTION("""COMPUTED_VALUE"""),45519.0)</f>
        <v>45519</v>
      </c>
      <c r="D2016" s="68">
        <f>IFERROR(__xludf.DUMMYFUNCTION("""COMPUTED_VALUE"""),45532.0)</f>
        <v>45532</v>
      </c>
      <c r="E2016" s="31">
        <f>IFERROR(__xludf.DUMMYFUNCTION("""COMPUTED_VALUE"""),302238.0)</f>
        <v>302238</v>
      </c>
      <c r="F2016" s="22" t="str">
        <f>IFERROR(__xludf.DUMMYFUNCTION("""COMPUTED_VALUE"""),"気まぐれ魔王さま、生真面目魔法少女を嫁にする。（分冊版）")</f>
        <v>気まぐれ魔王さま、生真面目魔法少女を嫁にする。（分冊版）</v>
      </c>
      <c r="G2016" s="11" t="str">
        <f>IFERROR(__xludf.DUMMYFUNCTION("""COMPUTED_VALUE"""),"1～2")</f>
        <v>1～2</v>
      </c>
      <c r="H2016" s="67" t="str">
        <f>IFERROR(__xludf.DUMMYFUNCTION("""COMPUTED_VALUE"""),"中原水芋")</f>
        <v>中原水芋</v>
      </c>
      <c r="I2016" s="67" t="str">
        <f>IFERROR(__xludf.DUMMYFUNCTION("""COMPUTED_VALUE"""),"オトナ")</f>
        <v>オトナ</v>
      </c>
      <c r="J2016" s="67"/>
      <c r="K2016" s="67"/>
      <c r="L2016" s="67" t="str">
        <f>IFERROR(__xludf.DUMMYFUNCTION("""COMPUTED_VALUE"""),"ライトリーズン")</f>
        <v>ライトリーズン</v>
      </c>
      <c r="M2016" s="59">
        <f>IFERROR(__xludf.DUMMYFUNCTION("""COMPUTED_VALUE"""),45555.0)</f>
        <v>45555</v>
      </c>
      <c r="N2016" s="85">
        <f>IFERROR(__xludf.DUMMYFUNCTION("""COMPUTED_VALUE"""),45645.0)</f>
        <v>45645</v>
      </c>
      <c r="O2016" s="67"/>
      <c r="P2016" s="70" t="str">
        <f>IFERROR(__xludf.DUMMYFUNCTION("""COMPUTED_VALUE"""),"可")</f>
        <v>可</v>
      </c>
      <c r="Q2016" s="72" t="str">
        <f>IFERROR(__xludf.DUMMYFUNCTION("""COMPUTED_VALUE"""),"広告コミットOK（8/16河上）")</f>
        <v>広告コミットOK（8/16河上）</v>
      </c>
      <c r="R2016" s="67"/>
      <c r="S2016" s="67" t="str">
        <f>IFERROR(__xludf.DUMMYFUNCTION("""COMPUTED_VALUE"""),"20240815_ライトリーズン_気まぐれ魔王さま、生真面目魔法少女を嫁にする。（分冊版）")</f>
        <v>20240815_ライトリーズン_気まぐれ魔王さま、生真面目魔法少女を嫁にする。（分冊版）</v>
      </c>
      <c r="T2016" s="67" t="str">
        <f>IFERROR(__xludf.DUMMYFUNCTION("""COMPUTED_VALUE"""),"格納済み")</f>
        <v>格納済み</v>
      </c>
      <c r="U2016" s="15" t="str">
        <f>IFERROR(__xludf.DUMMYFUNCTION("""COMPUTED_VALUE"""),"©中原水芋/ライトリーズン")</f>
        <v>©中原水芋/ライトリーズン</v>
      </c>
      <c r="V2016" s="8" t="str">
        <f>IFERROR(__xludf.DUMMYFUNCTION("""COMPUTED_VALUE"""),"【あらすじ】
夜な夜な人知れず魔物退治をするのがお仕事の魔法少女。
その魔物たちの親玉である竜人の魔王。
魔物による人間界侵略をやめさせるため、魔法少女は魔界へ乗り込み魔王との対話交渉を試みようとする。
設けられた話し合いの場で、なぜか魔王は魔法少女に対して「嫁に来い」と言い出し…
【概要など】
魔法少女さんと魔王さまのどちらか視点ということはなく、W主人公のお話です。
登場人物のモノローグはほとんどありません。
ゆるめではありますが、ラブコメ要素強めのファンタジーです。
全"&amp;"体的にコメディですので、楽な気持ちで読んでいただければと思います。
魔王さまが魔法少女を嫁にする前、婚約段階のストーリーです。
ちょっと可愛いめ、ハピエンです。
【ご注意】
・魔王さまが魔法少女に対して定期的にセクハラ(胸を揉むなど)をするので、苦手な方はご注意ください。
・双方同意の上ではありますが、ヒロインが断れない状況でえっちをするという展開です。
・魔王さまの俺様要素は薄いです。単にマイペースで変な人なのであしからずご了承ください。
・ノーマルプレイ、局部描写は控えめです。
"&amp;"
総ページ数　26ページ
うち本編23ページ")</f>
        <v>【あらすじ】
夜な夜な人知れず魔物退治をするのがお仕事の魔法少女。
その魔物たちの親玉である竜人の魔王。
魔物による人間界侵略をやめさせるため、魔法少女は魔界へ乗り込み魔王との対話交渉を試みようとする。
設けられた話し合いの場で、なぜか魔王は魔法少女に対して「嫁に来い」と言い出し…
【概要など】
魔法少女さんと魔王さまのどちらか視点ということはなく、W主人公のお話です。
登場人物のモノローグはほとんどありません。
ゆるめではありますが、ラブコメ要素強めのファンタジーです。
全体的にコメディですので、楽な気持ちで読んでいただければと思います。
魔王さまが魔法少女を嫁にする前、婚約段階のストーリーです。
ちょっと可愛いめ、ハピエンです。
【ご注意】
・魔王さまが魔法少女に対して定期的にセクハラ(胸を揉むなど)をするので、苦手な方はご注意ください。
・双方同意の上ではありますが、ヒロインが断れない状況でえっちをするという展開です。
・魔王さまの俺様要素は薄いです。単にマイペースで変な人なのであしからずご了承ください。
・ノーマルプレイ、局部描写は控えめです。
総ページ数　26ページ
うち本編23ページ</v>
      </c>
      <c r="W2016" s="14"/>
      <c r="X2016" s="14" t="str">
        <f>IFERROR(__xludf.DUMMYFUNCTION("""COMPUTED_VALUE"""),"有")</f>
        <v>有</v>
      </c>
      <c r="Y2016" s="8" t="str">
        <f>IFERROR(__xludf.DUMMYFUNCTION("""COMPUTED_VALUE"""),"P5まで")</f>
        <v>P5まで</v>
      </c>
      <c r="Z2016" s="7"/>
      <c r="AA2016" s="7"/>
      <c r="AB2016" s="7"/>
    </row>
    <row r="2017" ht="15.75" customHeight="1">
      <c r="A2017" s="66">
        <f>IFERROR(__xludf.DUMMYFUNCTION("""COMPUTED_VALUE"""),3975.0)</f>
        <v>3975</v>
      </c>
      <c r="B2017" s="67" t="str">
        <f>IFERROR(__xludf.DUMMYFUNCTION("""COMPUTED_VALUE"""),"確定")</f>
        <v>確定</v>
      </c>
      <c r="C2017" s="68">
        <f>IFERROR(__xludf.DUMMYFUNCTION("""COMPUTED_VALUE"""),45519.0)</f>
        <v>45519</v>
      </c>
      <c r="D2017" s="68">
        <f>IFERROR(__xludf.DUMMYFUNCTION("""COMPUTED_VALUE"""),45532.0)</f>
        <v>45532</v>
      </c>
      <c r="E2017" s="60">
        <f>IFERROR(__xludf.DUMMYFUNCTION("""COMPUTED_VALUE"""),302821.0)</f>
        <v>302821</v>
      </c>
      <c r="F2017" s="61" t="str">
        <f>IFERROR(__xludf.DUMMYFUNCTION("""COMPUTED_VALUE"""),"無能と呼ばれ廃棄された聖女は、竜大公から寵愛を受ける")</f>
        <v>無能と呼ばれ廃棄された聖女は、竜大公から寵愛を受ける</v>
      </c>
      <c r="G2017" s="69" t="str">
        <f>IFERROR(__xludf.DUMMYFUNCTION("""COMPUTED_VALUE"""),"1～8")</f>
        <v>1～8</v>
      </c>
      <c r="H2017" s="67" t="str">
        <f>IFERROR(__xludf.DUMMYFUNCTION("""COMPUTED_VALUE"""),"鳥村居子┴優姫夢")</f>
        <v>鳥村居子┴優姫夢</v>
      </c>
      <c r="I2017" s="67" t="str">
        <f>IFERROR(__xludf.DUMMYFUNCTION("""COMPUTED_VALUE"""),"女性")</f>
        <v>女性</v>
      </c>
      <c r="J2017" s="67"/>
      <c r="K2017" s="67"/>
      <c r="L2017" s="67" t="str">
        <f>IFERROR(__xludf.DUMMYFUNCTION("""COMPUTED_VALUE"""),"ライブコミックス")</f>
        <v>ライブコミックス</v>
      </c>
      <c r="M2017" s="59">
        <f>IFERROR(__xludf.DUMMYFUNCTION("""COMPUTED_VALUE"""),45562.0)</f>
        <v>45562</v>
      </c>
      <c r="N2017" s="85">
        <f>IFERROR(__xludf.DUMMYFUNCTION("""COMPUTED_VALUE"""),45617.0)</f>
        <v>45617</v>
      </c>
      <c r="O2017" s="67"/>
      <c r="P2017" s="70" t="str">
        <f>IFERROR(__xludf.DUMMYFUNCTION("""COMPUTED_VALUE"""),"可")</f>
        <v>可</v>
      </c>
      <c r="Q2017" s="72" t="str">
        <f>IFERROR(__xludf.DUMMYFUNCTION("""COMPUTED_VALUE"""),"広告コミットOK(8/23)&lt;BR&gt;BookLiveからの2次先行です。&lt;BR&gt;1～6巻の素材でバナー制作いただけますと幸いです。")</f>
        <v>広告コミットOK(8/23)&lt;BR&gt;BookLiveからの2次先行です。&lt;BR&gt;1～6巻の素材でバナー制作いただけますと幸いです。</v>
      </c>
      <c r="R2017" s="67"/>
      <c r="S2017" s="67" t="str">
        <f>IFERROR(__xludf.DUMMYFUNCTION("""COMPUTED_VALUE"""),"20240815_BookLive_無能と呼ばれ廃棄された聖女は、竜大公から寵愛を受ける")</f>
        <v>20240815_BookLive_無能と呼ばれ廃棄された聖女は、竜大公から寵愛を受ける</v>
      </c>
      <c r="T2017" s="67" t="str">
        <f>IFERROR(__xludf.DUMMYFUNCTION("""COMPUTED_VALUE"""),"格納済み")</f>
        <v>格納済み</v>
      </c>
      <c r="U2017" s="15" t="str">
        <f>IFERROR(__xludf.DUMMYFUNCTION("""COMPUTED_VALUE"""),"Ⓒ鳥村居子・優姫夢/ライブコミックス")</f>
        <v>Ⓒ鳥村居子・優姫夢/ライブコミックス</v>
      </c>
      <c r="V2017" s="8" t="str">
        <f>IFERROR(__xludf.DUMMYFUNCTION("""COMPUTED_VALUE"""),"「俺は――お前を妻にしたい」その笑顔に癒しの力を宿す聖女であるはずが、能力に目覚めず、国から“廃棄”を宣告された公爵家令嬢のリディ。廃棄された地で凶暴な魔獣に襲われ、窮地に陥ったリディを救ってくれたのは――傷だらけの竜だった。「私を助けてくれた竜を死なせたくない！」その一心でリディは、ありったけの笑顔で竜に祈りを捧げる。そんなリディを目の当たりにした竜は、彼女に強い想いを抱いて――？国から廃棄された聖女と孤独な竜大公が紡ぐ、異種族ラブファンタジー。")</f>
        <v>「俺は――お前を妻にしたい」その笑顔に癒しの力を宿す聖女であるはずが、能力に目覚めず、国から“廃棄”を宣告された公爵家令嬢のリディ。廃棄された地で凶暴な魔獣に襲われ、窮地に陥ったリディを救ってくれたのは――傷だらけの竜だった。「私を助けてくれた竜を死なせたくない！」その一心でリディは、ありったけの笑顔で竜に祈りを捧げる。そんなリディを目の当たりにした竜は、彼女に強い想いを抱いて――？国から廃棄された聖女と孤独な竜大公が紡ぐ、異種族ラブファンタジー。</v>
      </c>
      <c r="W2017" s="14"/>
      <c r="X2017" s="14" t="str">
        <f>IFERROR(__xludf.DUMMYFUNCTION("""COMPUTED_VALUE"""),"有")</f>
        <v>有</v>
      </c>
      <c r="Y2017" s="8" t="str">
        <f>IFERROR(__xludf.DUMMYFUNCTION("""COMPUTED_VALUE"""),"P12まで")</f>
        <v>P12まで</v>
      </c>
      <c r="Z2017" s="7"/>
      <c r="AA2017" s="7"/>
      <c r="AB2017" s="7"/>
    </row>
    <row r="2018" ht="15.75" customHeight="1">
      <c r="A2018" s="66">
        <f>IFERROR(__xludf.DUMMYFUNCTION("""COMPUTED_VALUE"""),4007.0)</f>
        <v>4007</v>
      </c>
      <c r="B2018" s="67" t="str">
        <f>IFERROR(__xludf.DUMMYFUNCTION("""COMPUTED_VALUE"""),"確定")</f>
        <v>確定</v>
      </c>
      <c r="C2018" s="68">
        <f>IFERROR(__xludf.DUMMYFUNCTION("""COMPUTED_VALUE"""),45524.0)</f>
        <v>45524</v>
      </c>
      <c r="D2018" s="68">
        <f>IFERROR(__xludf.DUMMYFUNCTION("""COMPUTED_VALUE"""),45530.0)</f>
        <v>45530</v>
      </c>
      <c r="E2018" s="60">
        <f>IFERROR(__xludf.DUMMYFUNCTION("""COMPUTED_VALUE"""),303258.0)</f>
        <v>303258</v>
      </c>
      <c r="F2018" s="61" t="str">
        <f>IFERROR(__xludf.DUMMYFUNCTION("""COMPUTED_VALUE"""),"僕らは星を閉じ込めたい【タテヨミ】")</f>
        <v>僕らは星を閉じ込めたい【タテヨミ】</v>
      </c>
      <c r="G2018" s="11" t="str">
        <f>IFERROR(__xludf.DUMMYFUNCTION("""COMPUTED_VALUE"""),"1～10")</f>
        <v>1～10</v>
      </c>
      <c r="H2018" s="67" t="str">
        <f>IFERROR(__xludf.DUMMYFUNCTION("""COMPUTED_VALUE"""),"ミナミカズキ")</f>
        <v>ミナミカズキ</v>
      </c>
      <c r="I2018" s="67" t="str">
        <f>IFERROR(__xludf.DUMMYFUNCTION("""COMPUTED_VALUE"""),"BL")</f>
        <v>BL</v>
      </c>
      <c r="J2018" s="67"/>
      <c r="K2018" s="67"/>
      <c r="L2018" s="67" t="str">
        <f>IFERROR(__xludf.DUMMYFUNCTION("""COMPUTED_VALUE"""),"ontembaar	")</f>
        <v>ontembaar	</v>
      </c>
      <c r="M2018" s="68">
        <f>IFERROR(__xludf.DUMMYFUNCTION("""COMPUTED_VALUE"""),45555.0)</f>
        <v>45555</v>
      </c>
      <c r="N2018" s="89">
        <f>IFERROR(__xludf.DUMMYFUNCTION("""COMPUTED_VALUE"""),45646.0)</f>
        <v>45646</v>
      </c>
      <c r="O2018" s="67"/>
      <c r="P2018" s="70" t="str">
        <f>IFERROR(__xludf.DUMMYFUNCTION("""COMPUTED_VALUE"""),"可")</f>
        <v>可</v>
      </c>
      <c r="Q2018" s="72" t="str">
        <f>IFERROR(__xludf.DUMMYFUNCTION("""COMPUTED_VALUE"""),"広告コミットOK（8/26）
・NTV（日本テレビ）とontembaarという企業の協業作品
・音声ドラマを同時発売（一旦、「DLsiteがるまに」を予定しております）。 主演のカップリングは梶裕貴さん・寺島惇太さん。
・12巻目まで素材格納ございますが、制作は10巻目まででよろしくお願いいたします")</f>
        <v>広告コミットOK（8/26）
・NTV（日本テレビ）とontembaarという企業の協業作品
・音声ドラマを同時発売（一旦、「DLsiteがるまに」を予定しております）。 主演のカップリングは梶裕貴さん・寺島惇太さん。
・12巻目まで素材格納ございますが、制作は10巻目まででよろしくお願いいたします</v>
      </c>
      <c r="R2018" s="67"/>
      <c r="S2018" s="67" t="str">
        <f>IFERROR(__xludf.DUMMYFUNCTION("""COMPUTED_VALUE"""),"20240822_NTV_僕らは星を閉じ込めたい")</f>
        <v>20240822_NTV_僕らは星を閉じ込めたい</v>
      </c>
      <c r="T2018" s="78" t="str">
        <f>IFERROR(__xludf.DUMMYFUNCTION("""COMPUTED_VALUE"""),"格納済み")</f>
        <v>格納済み</v>
      </c>
      <c r="U2018" s="15" t="str">
        <f>IFERROR(__xludf.DUMMYFUNCTION("""COMPUTED_VALUE"""),"©️ミナミカズキ/NTV")</f>
        <v>©️ミナミカズキ/NTV</v>
      </c>
      <c r="V2018" s="8" t="str">
        <f>IFERROR(__xludf.DUMMYFUNCTION("""COMPUTED_VALUE"""),"教師と生徒——不器用で美しい、禁断の恋物語
“もう間違えない。そう、何度も誓ったはずだった——”
高校教師の汐野春星(しおの しゅんせい)は、劇団「カナタハルカ」に所属し、役者兼脚本家として活動していた。
ある日、星奈一織(ほしな いおり)という大学生が劇団に加入してくるが、実は一織は、春星に憧れて年齢を詐称して入団オーディションを受けた、高校生だった……！
しかも、あろうことか一織は春星の担任するクラスに転入してきてしまう！
秘密を共有するようになった２人。いつしか憧れは恋心へと色を変"&amp;"えていき、一織の純粋でまっすぐな想いは、春星にも届くようになる……。
しかし２人の間にあるのは、＜教師と生徒＞という、超えようのない壁。
さらに春星は過去の経験から、二度と恋愛をしないと決めていた……。
——先生は、誰と幸せになりたいですか……？
結ばれてはいけない2人の、不器用で、不自由で、美しい、禁断の恋物語。")</f>
        <v>教師と生徒——不器用で美しい、禁断の恋物語
“もう間違えない。そう、何度も誓ったはずだった——”
高校教師の汐野春星(しおの しゅんせい)は、劇団「カナタハルカ」に所属し、役者兼脚本家として活動していた。
ある日、星奈一織(ほしな いおり)という大学生が劇団に加入してくるが、実は一織は、春星に憧れて年齢を詐称して入団オーディションを受けた、高校生だった……！
しかも、あろうことか一織は春星の担任するクラスに転入してきてしまう！
秘密を共有するようになった２人。いつしか憧れは恋心へと色を変えていき、一織の純粋でまっすぐな想いは、春星にも届くようになる……。
しかし２人の間にあるのは、＜教師と生徒＞という、超えようのない壁。
さらに春星は過去の経験から、二度と恋愛をしないと決めていた……。
——先生は、誰と幸せになりたいですか……？
結ばれてはいけない2人の、不器用で、不自由で、美しい、禁断の恋物語。</v>
      </c>
      <c r="W2018" s="14"/>
      <c r="X2018" s="14" t="str">
        <f>IFERROR(__xludf.DUMMYFUNCTION("""COMPUTED_VALUE"""),"有")</f>
        <v>有</v>
      </c>
      <c r="Y2018" s="8" t="str">
        <f>IFERROR(__xludf.DUMMYFUNCTION("""COMPUTED_VALUE"""),"1～2巻無料
2024/12/20まで3～5巻無料")</f>
        <v>1～2巻無料
2024/12/20まで3～5巻無料</v>
      </c>
      <c r="Z2018" s="7"/>
      <c r="AA2018" s="7"/>
      <c r="AB2018" s="7"/>
    </row>
    <row r="2019" ht="15.75" customHeight="1">
      <c r="A2019" s="66">
        <f>IFERROR(__xludf.DUMMYFUNCTION("""COMPUTED_VALUE"""),4008.0)</f>
        <v>4008</v>
      </c>
      <c r="B2019" s="67" t="str">
        <f>IFERROR(__xludf.DUMMYFUNCTION("""COMPUTED_VALUE"""),"確定")</f>
        <v>確定</v>
      </c>
      <c r="C2019" s="68">
        <f>IFERROR(__xludf.DUMMYFUNCTION("""COMPUTED_VALUE"""),45524.0)</f>
        <v>45524</v>
      </c>
      <c r="D2019" s="68">
        <f>IFERROR(__xludf.DUMMYFUNCTION("""COMPUTED_VALUE"""),45532.0)</f>
        <v>45532</v>
      </c>
      <c r="E2019" s="60">
        <f>IFERROR(__xludf.DUMMYFUNCTION("""COMPUTED_VALUE"""),305046.0)</f>
        <v>305046</v>
      </c>
      <c r="F2019" s="90" t="str">
        <f>IFERROR(__xludf.DUMMYFUNCTION("""COMPUTED_VALUE"""),"noicomiいつわりの花嫁～旦那さま、今宵お命頂戴します～")</f>
        <v>noicomiいつわりの花嫁～旦那さま、今宵お命頂戴します～</v>
      </c>
      <c r="G2019" s="69" t="str">
        <f>IFERROR(__xludf.DUMMYFUNCTION("""COMPUTED_VALUE"""),"1～5")</f>
        <v>1～5</v>
      </c>
      <c r="H2019" s="67" t="str">
        <f>IFERROR(__xludf.DUMMYFUNCTION("""COMPUTED_VALUE"""),"神無月なな（作画）、中小路かほ（原作）")</f>
        <v>神無月なな（作画）、中小路かほ（原作）</v>
      </c>
      <c r="I2019" s="67" t="str">
        <f>IFERROR(__xludf.DUMMYFUNCTION("""COMPUTED_VALUE"""),"少女")</f>
        <v>少女</v>
      </c>
      <c r="J2019" s="67"/>
      <c r="K2019" s="67"/>
      <c r="L2019" s="67" t="str">
        <f>IFERROR(__xludf.DUMMYFUNCTION("""COMPUTED_VALUE"""),"スターツ出版")</f>
        <v>スターツ出版</v>
      </c>
      <c r="M2019" s="85">
        <f>IFERROR(__xludf.DUMMYFUNCTION("""COMPUTED_VALUE"""),45576.0)</f>
        <v>45576</v>
      </c>
      <c r="N2019" s="85">
        <f>IFERROR(__xludf.DUMMYFUNCTION("""COMPUTED_VALUE"""),45638.0)</f>
        <v>45638</v>
      </c>
      <c r="O2019" s="67"/>
      <c r="P2019" s="70" t="str">
        <f>IFERROR(__xludf.DUMMYFUNCTION("""COMPUTED_VALUE"""),"否")</f>
        <v>否</v>
      </c>
      <c r="Q2019" s="72" t="str">
        <f>IFERROR(__xludf.DUMMYFUNCTION("""COMPUTED_VALUE"""),"広告コミットOK(8/26)&lt;BR&gt;1～5話と同時に1巻も配信（1巻も同期間先行）&lt;BR&gt;11/8に6話配信")</f>
        <v>広告コミットOK(8/26)&lt;BR&gt;1～5話と同時に1巻も配信（1巻も同期間先行）&lt;BR&gt;11/8に6話配信</v>
      </c>
      <c r="R2019" s="67"/>
      <c r="S2019" s="67" t="str">
        <f>IFERROR(__xludf.DUMMYFUNCTION("""COMPUTED_VALUE"""),"20240827_スターツ出版_いつわりの花嫁")</f>
        <v>20240827_スターツ出版_いつわりの花嫁</v>
      </c>
      <c r="T2019" s="78" t="str">
        <f>IFERROR(__xludf.DUMMYFUNCTION("""COMPUTED_VALUE"""),"格納済み")</f>
        <v>格納済み</v>
      </c>
      <c r="U2019" s="15" t="str">
        <f>IFERROR(__xludf.DUMMYFUNCTION("""COMPUTED_VALUE"""),"（C）Nana Kannaduki・Kaho Nakakouji/スターツ出版	")</f>
        <v>（C）Nana Kannaduki・Kaho Nakakouji/スターツ出版	</v>
      </c>
      <c r="V2019" s="8" t="str">
        <f>IFERROR(__xludf.DUMMYFUNCTION("""COMPUTED_VALUE"""),"「黒百合家の娘を我が嫁に迎えたい」ある男との出会いが、家族から虐げられてきた少女の運命を変える――。
◆◆◆
黒百合家の長女・和葉は、呪術家の最高峰“神導位”を代々受け継ぐ黒百合家に生まれたにも関わらず、呪術が扱えない“無能”。早くに才能が開花した妹・乙葉と比較され、虐げられる孤独な日々を送っている。
ある日、“神導位”を決める儀式に乙葉の付き添いとして訪れた和葉は、狐の面を付け、翡翠の瞳を持った美しい男と出会う。彼の名は東雲玻玖。呪術師最高峰の力を持つ玻玖は、黒百合家に代わって“神導位”に選ば"&amp;"れる。さらに和葉を嫁にしたいと縁談を申し入れてきて――？
玻玖に“神導位”の座を奪われた黒百合家は、和葉に禁断の命令をする。それは結婚初夜に玻玖を殺めるというものだった――。
◆◆◆
「俺がこの手で幸せにする」
暗殺目的の“いつわりの花嫁”として玻玖に嫁いだ和葉だけど、これでもかというほど寵愛されて――!?
玻玖が和葉を溺愛する理由は思いがけず深いもので？
暗殺をたくらむ偽りの婚約から始まる、運命をたどる真実の愛の物語。
(この作品は電子コミック誌noicomi vol.12"&amp;"0に収録されています。重複購入にご注意ください）")</f>
        <v>「黒百合家の娘を我が嫁に迎えたい」ある男との出会いが、家族から虐げられてきた少女の運命を変える――。
◆◆◆
黒百合家の長女・和葉は、呪術家の最高峰“神導位”を代々受け継ぐ黒百合家に生まれたにも関わらず、呪術が扱えない“無能”。早くに才能が開花した妹・乙葉と比較され、虐げられる孤独な日々を送っている。
ある日、“神導位”を決める儀式に乙葉の付き添いとして訪れた和葉は、狐の面を付け、翡翠の瞳を持った美しい男と出会う。彼の名は東雲玻玖。呪術師最高峰の力を持つ玻玖は、黒百合家に代わって“神導位”に選ばれる。さらに和葉を嫁にしたいと縁談を申し入れてきて――？
玻玖に“神導位”の座を奪われた黒百合家は、和葉に禁断の命令をする。それは結婚初夜に玻玖を殺めるというものだった――。
◆◆◆
「俺がこの手で幸せにする」
暗殺目的の“いつわりの花嫁”として玻玖に嫁いだ和葉だけど、これでもかというほど寵愛されて――!?
玻玖が和葉を溺愛する理由は思いがけず深いもので？
暗殺をたくらむ偽りの婚約から始まる、運命をたどる真実の愛の物語。
(この作品は電子コミック誌noicomi vol.120に収録されています。重複購入にご注意ください）</v>
      </c>
      <c r="W2019" s="14"/>
      <c r="X2019" s="14" t="str">
        <f>IFERROR(__xludf.DUMMYFUNCTION("""COMPUTED_VALUE"""),"有")</f>
        <v>有</v>
      </c>
      <c r="Y2019" s="8" t="str">
        <f>IFERROR(__xludf.DUMMYFUNCTION("""COMPUTED_VALUE"""),"2024/12/12まで1巻無料")</f>
        <v>2024/12/12まで1巻無料</v>
      </c>
      <c r="Z2019" s="7"/>
      <c r="AA2019" s="7"/>
      <c r="AB2019" s="7"/>
    </row>
    <row r="2020" ht="15.75" customHeight="1">
      <c r="A2020" s="66">
        <f>IFERROR(__xludf.DUMMYFUNCTION("""COMPUTED_VALUE"""),4014.0)</f>
        <v>4014</v>
      </c>
      <c r="B2020" s="67" t="str">
        <f>IFERROR(__xludf.DUMMYFUNCTION("""COMPUTED_VALUE"""),"確定")</f>
        <v>確定</v>
      </c>
      <c r="C2020" s="68">
        <f>IFERROR(__xludf.DUMMYFUNCTION("""COMPUTED_VALUE"""),45525.0)</f>
        <v>45525</v>
      </c>
      <c r="D2020" s="68">
        <f>IFERROR(__xludf.DUMMYFUNCTION("""COMPUTED_VALUE"""),45530.0)</f>
        <v>45530</v>
      </c>
      <c r="E2020" s="60">
        <f>IFERROR(__xludf.DUMMYFUNCTION("""COMPUTED_VALUE"""),304007.0)</f>
        <v>304007</v>
      </c>
      <c r="F2020" s="61" t="str">
        <f>IFERROR(__xludf.DUMMYFUNCTION("""COMPUTED_VALUE"""),"黒坂くんは多屋くんに触りたい[ばら売り]")</f>
        <v>黒坂くんは多屋くんに触りたい[ばら売り]</v>
      </c>
      <c r="G2020" s="11" t="str">
        <f>IFERROR(__xludf.DUMMYFUNCTION("""COMPUTED_VALUE"""),"1～4")</f>
        <v>1～4</v>
      </c>
      <c r="H2020" s="67" t="str">
        <f>IFERROR(__xludf.DUMMYFUNCTION("""COMPUTED_VALUE"""),"椎名明")</f>
        <v>椎名明</v>
      </c>
      <c r="I2020" s="67" t="str">
        <f>IFERROR(__xludf.DUMMYFUNCTION("""COMPUTED_VALUE"""),"BL")</f>
        <v>BL</v>
      </c>
      <c r="J2020" s="67"/>
      <c r="K2020" s="67"/>
      <c r="L2020" s="67" t="str">
        <f>IFERROR(__xludf.DUMMYFUNCTION("""COMPUTED_VALUE"""),"白泉社")</f>
        <v>白泉社</v>
      </c>
      <c r="M2020" s="85">
        <f>IFERROR(__xludf.DUMMYFUNCTION("""COMPUTED_VALUE"""),45577.0)</f>
        <v>45577</v>
      </c>
      <c r="N2020" s="85">
        <f>IFERROR(__xludf.DUMMYFUNCTION("""COMPUTED_VALUE"""),45639.0)</f>
        <v>45639</v>
      </c>
      <c r="O2020" s="67"/>
      <c r="P2020" s="70" t="str">
        <f>IFERROR(__xludf.DUMMYFUNCTION("""COMPUTED_VALUE"""),"可")</f>
        <v>可</v>
      </c>
      <c r="Q2020" s="72" t="str">
        <f>IFERROR(__xludf.DUMMYFUNCTION("""COMPUTED_VALUE"""),"マンガPark作品です。")</f>
        <v>マンガPark作品です。</v>
      </c>
      <c r="R2020" s="67"/>
      <c r="S2020" s="67" t="str">
        <f>IFERROR(__xludf.DUMMYFUNCTION("""COMPUTED_VALUE"""),"20240822_白泉社_黒坂くんは多屋くんに触りたい")</f>
        <v>20240822_白泉社_黒坂くんは多屋くんに触りたい</v>
      </c>
      <c r="T2020" s="67" t="str">
        <f>IFERROR(__xludf.DUMMYFUNCTION("""COMPUTED_VALUE"""),"格納済み")</f>
        <v>格納済み</v>
      </c>
      <c r="U2020" s="15" t="str">
        <f>IFERROR(__xludf.DUMMYFUNCTION("""COMPUTED_VALUE"""),"Ⓒ椎名明/白泉社")</f>
        <v>Ⓒ椎名明/白泉社</v>
      </c>
      <c r="V2020" s="8" t="str">
        <f>IFERROR(__xludf.DUMMYFUNCTION("""COMPUTED_VALUE"""),"【第1話】ヤンキーの多屋くんには誰にも知られたくない秘密があった。しかしある日、学校からの帰り道で不良に絡まれている同級生の黒坂くんを助けた際に秘密がバレてしまう。そう、多屋くんは人に触れると発情する体質なのだ…！　その勢いで屋外なのに黒坂くんを襲ってしまい自己嫌悪に陥るも、当の黒坂くんはその体の謎を一緒に研究しようと持ち掛けてきて…？　好奇心旺盛な執着わんこ×敏感体質ちょろヤンキーの追いかけっこBL！")</f>
        <v>【第1話】ヤンキーの多屋くんには誰にも知られたくない秘密があった。しかしある日、学校からの帰り道で不良に絡まれている同級生の黒坂くんを助けた際に秘密がバレてしまう。そう、多屋くんは人に触れると発情する体質なのだ…！　その勢いで屋外なのに黒坂くんを襲ってしまい自己嫌悪に陥るも、当の黒坂くんはその体の謎を一緒に研究しようと持ち掛けてきて…？　好奇心旺盛な執着わんこ×敏感体質ちょろヤンキーの追いかけっこBL！</v>
      </c>
      <c r="W2020" s="14"/>
      <c r="X2020" s="14" t="str">
        <f>IFERROR(__xludf.DUMMYFUNCTION("""COMPUTED_VALUE"""),"有")</f>
        <v>有</v>
      </c>
      <c r="Y2020" s="8" t="str">
        <f>IFERROR(__xludf.DUMMYFUNCTION("""COMPUTED_VALUE"""),"P10まで")</f>
        <v>P10まで</v>
      </c>
      <c r="Z2020" s="7"/>
      <c r="AA2020" s="7"/>
      <c r="AB2020" s="7"/>
    </row>
    <row r="2021" ht="15.75" customHeight="1">
      <c r="A2021" s="66">
        <f>IFERROR(__xludf.DUMMYFUNCTION("""COMPUTED_VALUE"""),4020.0)</f>
        <v>4020</v>
      </c>
      <c r="B2021" s="67" t="str">
        <f>IFERROR(__xludf.DUMMYFUNCTION("""COMPUTED_VALUE"""),"確定")</f>
        <v>確定</v>
      </c>
      <c r="C2021" s="68">
        <f>IFERROR(__xludf.DUMMYFUNCTION("""COMPUTED_VALUE"""),45526.0)</f>
        <v>45526</v>
      </c>
      <c r="D2021" s="68">
        <f>IFERROR(__xludf.DUMMYFUNCTION("""COMPUTED_VALUE"""),45530.0)</f>
        <v>45530</v>
      </c>
      <c r="E2021" s="60">
        <f>IFERROR(__xludf.DUMMYFUNCTION("""COMPUTED_VALUE"""),302097.0)</f>
        <v>302097</v>
      </c>
      <c r="F2021" s="61" t="str">
        <f>IFERROR(__xludf.DUMMYFUNCTION("""COMPUTED_VALUE"""),"略奪のハーレム")</f>
        <v>略奪のハーレム</v>
      </c>
      <c r="G2021" s="11" t="str">
        <f>IFERROR(__xludf.DUMMYFUNCTION("""COMPUTED_VALUE"""),"1～4")</f>
        <v>1～4</v>
      </c>
      <c r="H2021" s="67" t="str">
        <f>IFERROR(__xludf.DUMMYFUNCTION("""COMPUTED_VALUE"""),"Ohiron/nomin")</f>
        <v>Ohiron/nomin</v>
      </c>
      <c r="I2021" s="67" t="str">
        <f>IFERROR(__xludf.DUMMYFUNCTION("""COMPUTED_VALUE"""),"青年")</f>
        <v>青年</v>
      </c>
      <c r="J2021" s="67"/>
      <c r="K2021" s="67"/>
      <c r="L2021" s="67" t="str">
        <f>IFERROR(__xludf.DUMMYFUNCTION("""COMPUTED_VALUE"""),"Rush!")</f>
        <v>Rush!</v>
      </c>
      <c r="M2021" s="23">
        <f>IFERROR(__xludf.DUMMYFUNCTION("""COMPUTED_VALUE"""),45569.0)</f>
        <v>45569</v>
      </c>
      <c r="N2021" s="23">
        <f>IFERROR(__xludf.DUMMYFUNCTION("""COMPUTED_VALUE"""),45666.0)</f>
        <v>45666</v>
      </c>
      <c r="O2021" s="67"/>
      <c r="P2021" s="9" t="str">
        <f>IFERROR(__xludf.DUMMYFUNCTION("""COMPUTED_VALUE"""),"可")</f>
        <v>可</v>
      </c>
      <c r="Q2021" s="72"/>
      <c r="R2021" s="67"/>
      <c r="S2021" s="67" t="str">
        <f>IFERROR(__xludf.DUMMYFUNCTION("""COMPUTED_VALUE"""),"20240822_ファンギルド_略奪のハーレム")</f>
        <v>20240822_ファンギルド_略奪のハーレム</v>
      </c>
      <c r="T2021" s="67" t="str">
        <f>IFERROR(__xludf.DUMMYFUNCTION("""COMPUTED_VALUE"""),"格納済み")</f>
        <v>格納済み</v>
      </c>
      <c r="U2021" s="107" t="str">
        <f>IFERROR(__xludf.DUMMYFUNCTION("""COMPUTED_VALUE"""),"©Ohiron/nomin/TOPTOON")</f>
        <v>©Ohiron/nomin/TOPTOON</v>
      </c>
      <c r="V2021" s="8" t="str">
        <f>IFERROR(__xludf.DUMMYFUNCTION("""COMPUTED_VALUE"""),"子供の頃にその身を売られ、虐げられながら生き続けてきたエヴァン。世の中の全てを呪ったその時…彼の元へ悪魔が舞い降りた。悪魔の血と運命を引き継いでいたがために不幸だったエヴァンはその日、完全な悪魔として生まれ変わったのだ。覚醒した驚異的な力で自らを虐げる主人の気力を奪い、主人の妻とメイドを甘い言葉とインキュバスの力で身も心も堕としていく…。それまでの不幸な人生を塗り替えるため…自分を虐げた人間の全てを奪うための悪魔の略奪が始まる――！")</f>
        <v>子供の頃にその身を売られ、虐げられながら生き続けてきたエヴァン。世の中の全てを呪ったその時…彼の元へ悪魔が舞い降りた。悪魔の血と運命を引き継いでいたがために不幸だったエヴァンはその日、完全な悪魔として生まれ変わったのだ。覚醒した驚異的な力で自らを虐げる主人の気力を奪い、主人の妻とメイドを甘い言葉とインキュバスの力で身も心も堕としていく…。それまでの不幸な人生を塗り替えるため…自分を虐げた人間の全てを奪うための悪魔の略奪が始まる――！</v>
      </c>
      <c r="W2021" s="14"/>
      <c r="X2021" s="14" t="str">
        <f>IFERROR(__xludf.DUMMYFUNCTION("""COMPUTED_VALUE"""),"有")</f>
        <v>有</v>
      </c>
      <c r="Y2021" s="8" t="str">
        <f>IFERROR(__xludf.DUMMYFUNCTION("""COMPUTED_VALUE"""),"2024/10/17まで1巻無料")</f>
        <v>2024/10/17まで1巻無料</v>
      </c>
      <c r="Z2021" s="7"/>
      <c r="AA2021" s="7"/>
      <c r="AB2021" s="7"/>
    </row>
    <row r="2022" ht="15.75" customHeight="1">
      <c r="A2022" s="66">
        <f>IFERROR(__xludf.DUMMYFUNCTION("""COMPUTED_VALUE"""),4021.0)</f>
        <v>4021</v>
      </c>
      <c r="B2022" s="67" t="str">
        <f>IFERROR(__xludf.DUMMYFUNCTION("""COMPUTED_VALUE"""),"確定")</f>
        <v>確定</v>
      </c>
      <c r="C2022" s="68">
        <f>IFERROR(__xludf.DUMMYFUNCTION("""COMPUTED_VALUE"""),45526.0)</f>
        <v>45526</v>
      </c>
      <c r="D2022" s="68">
        <f>IFERROR(__xludf.DUMMYFUNCTION("""COMPUTED_VALUE"""),45531.0)</f>
        <v>45531</v>
      </c>
      <c r="E2022" s="31">
        <f>IFERROR(__xludf.DUMMYFUNCTION("""COMPUTED_VALUE"""),301491.0)</f>
        <v>301491</v>
      </c>
      <c r="F2022" s="22" t="str">
        <f>IFERROR(__xludf.DUMMYFUNCTION("""COMPUTED_VALUE"""),"マッド・セキュリティ～復讐のご依頼は私まで～")</f>
        <v>マッド・セキュリティ～復讐のご依頼は私まで～</v>
      </c>
      <c r="G2022" s="69" t="str">
        <f>IFERROR(__xludf.DUMMYFUNCTION("""COMPUTED_VALUE"""),"1～3")</f>
        <v>1～3</v>
      </c>
      <c r="H2022" s="67" t="str">
        <f>IFERROR(__xludf.DUMMYFUNCTION("""COMPUTED_VALUE"""),"犬塚ぬい")</f>
        <v>犬塚ぬい</v>
      </c>
      <c r="I2022" s="67" t="str">
        <f>IFERROR(__xludf.DUMMYFUNCTION("""COMPUTED_VALUE"""),"青年")</f>
        <v>青年</v>
      </c>
      <c r="J2022" s="67"/>
      <c r="K2022" s="67"/>
      <c r="L2022" s="67" t="str">
        <f>IFERROR(__xludf.DUMMYFUNCTION("""COMPUTED_VALUE"""),"ファンギルド")</f>
        <v>ファンギルド</v>
      </c>
      <c r="M2022" s="59">
        <f>IFERROR(__xludf.DUMMYFUNCTION("""COMPUTED_VALUE"""),45549.0)</f>
        <v>45549</v>
      </c>
      <c r="N2022" s="59">
        <f>IFERROR(__xludf.DUMMYFUNCTION("""COMPUTED_VALUE"""),45604.0)</f>
        <v>45604</v>
      </c>
      <c r="O2022" s="67"/>
      <c r="P2022" s="71" t="str">
        <f>IFERROR(__xludf.DUMMYFUNCTION("""COMPUTED_VALUE"""),"可")</f>
        <v>可</v>
      </c>
      <c r="Q2022" s="72"/>
      <c r="R2022" s="67"/>
      <c r="S2022" s="67" t="str">
        <f>IFERROR(__xludf.DUMMYFUNCTION("""COMPUTED_VALUE"""),"20240826_ファンギルド_マッド・セキュリティ～復讐のご依頼は私まで～")</f>
        <v>20240826_ファンギルド_マッド・セキュリティ～復讐のご依頼は私まで～</v>
      </c>
      <c r="T2022" s="67" t="str">
        <f>IFERROR(__xludf.DUMMYFUNCTION("""COMPUTED_VALUE"""),"格納済み")</f>
        <v>格納済み</v>
      </c>
      <c r="U2022" s="15" t="str">
        <f>IFERROR(__xludf.DUMMYFUNCTION("""COMPUTED_VALUE"""),"©犬塚ぬい/ファンギルド")</f>
        <v>©犬塚ぬい/ファンギルド</v>
      </c>
      <c r="V2022" s="8" t="str">
        <f>IFERROR(__xludf.DUMMYFUNCTION("""COMPUTED_VALUE"""),"「さあ 悪者は警備しましょう――」星宮（ほしみや）相談事務所には、職場で人生を狂わされた被害者たちが駆け込んでくる。入社以来ずっと支え合ってきた同期を自殺に追い込んだパワハラ上司。セクハラの挙句、妊娠を告げた途端に攻撃的になるマタハラ課長…。立場を利用し、弱い者を痛めつける極悪人に正義の鉄槌を！職場の悪質なハラスメントを”狂気的”に警備するダークな復讐劇が開幕!!")</f>
        <v>「さあ 悪者は警備しましょう――」星宮（ほしみや）相談事務所には、職場で人生を狂わされた被害者たちが駆け込んでくる。入社以来ずっと支え合ってきた同期を自殺に追い込んだパワハラ上司。セクハラの挙句、妊娠を告げた途端に攻撃的になるマタハラ課長…。立場を利用し、弱い者を痛めつける極悪人に正義の鉄槌を！職場の悪質なハラスメントを”狂気的”に警備するダークな復讐劇が開幕!!</v>
      </c>
      <c r="W2022" s="14"/>
      <c r="X2022" s="14" t="str">
        <f>IFERROR(__xludf.DUMMYFUNCTION("""COMPUTED_VALUE"""),"有")</f>
        <v>有</v>
      </c>
      <c r="Y2022" s="8" t="str">
        <f>IFERROR(__xludf.DUMMYFUNCTION("""COMPUTED_VALUE"""),"P7まで")</f>
        <v>P7まで</v>
      </c>
      <c r="Z2022" s="7"/>
      <c r="AA2022" s="7"/>
      <c r="AB2022" s="7"/>
    </row>
    <row r="2023" ht="15.75" customHeight="1">
      <c r="A2023" s="66">
        <f>IFERROR(__xludf.DUMMYFUNCTION("""COMPUTED_VALUE"""),4022.0)</f>
        <v>4022</v>
      </c>
      <c r="B2023" s="67" t="str">
        <f>IFERROR(__xludf.DUMMYFUNCTION("""COMPUTED_VALUE"""),"確定")</f>
        <v>確定</v>
      </c>
      <c r="C2023" s="68">
        <f>IFERROR(__xludf.DUMMYFUNCTION("""COMPUTED_VALUE"""),45526.0)</f>
        <v>45526</v>
      </c>
      <c r="D2023" s="68">
        <f>IFERROR(__xludf.DUMMYFUNCTION("""COMPUTED_VALUE"""),45530.0)</f>
        <v>45530</v>
      </c>
      <c r="E2023" s="60">
        <f>IFERROR(__xludf.DUMMYFUNCTION("""COMPUTED_VALUE"""),301490.0)</f>
        <v>301490</v>
      </c>
      <c r="F2023" s="61" t="str">
        <f>IFERROR(__xludf.DUMMYFUNCTION("""COMPUTED_VALUE"""),"勇者パーティを追放された【スキルサポーター】、仲間のスキルを解放して最強に成り上がる")</f>
        <v>勇者パーティを追放された【スキルサポーター】、仲間のスキルを解放して最強に成り上がる</v>
      </c>
      <c r="G2023" s="69" t="str">
        <f>IFERROR(__xludf.DUMMYFUNCTION("""COMPUTED_VALUE"""),"1～5")</f>
        <v>1～5</v>
      </c>
      <c r="H2023" s="67" t="str">
        <f>IFERROR(__xludf.DUMMYFUNCTION("""COMPUTED_VALUE"""),"なかお/前田氏")</f>
        <v>なかお/前田氏</v>
      </c>
      <c r="I2023" s="67" t="str">
        <f>IFERROR(__xludf.DUMMYFUNCTION("""COMPUTED_VALUE"""),"少年")</f>
        <v>少年</v>
      </c>
      <c r="J2023" s="67"/>
      <c r="K2023" s="67"/>
      <c r="L2023" s="67" t="str">
        <f>IFERROR(__xludf.DUMMYFUNCTION("""COMPUTED_VALUE"""),"ファンギルド")</f>
        <v>ファンギルド</v>
      </c>
      <c r="M2023" s="59">
        <f>IFERROR(__xludf.DUMMYFUNCTION("""COMPUTED_VALUE"""),45557.0)</f>
        <v>45557</v>
      </c>
      <c r="N2023" s="85">
        <f>IFERROR(__xludf.DUMMYFUNCTION("""COMPUTED_VALUE"""),45647.70833333333)</f>
        <v>45647.70833</v>
      </c>
      <c r="O2023" s="67"/>
      <c r="P2023" s="71" t="str">
        <f>IFERROR(__xludf.DUMMYFUNCTION("""COMPUTED_VALUE"""),"可")</f>
        <v>可</v>
      </c>
      <c r="Q2023" s="72"/>
      <c r="R2023" s="67"/>
      <c r="S2023" s="67" t="str">
        <f>IFERROR(__xludf.DUMMYFUNCTION("""COMPUTED_VALUE"""),"20240822_ファンギルド_勇者パーティを追放された【スキルサポーター】、仲間のスキルを解放して最強に成り上がる")</f>
        <v>20240822_ファンギルド_勇者パーティを追放された【スキルサポーター】、仲間のスキルを解放して最強に成り上がる</v>
      </c>
      <c r="T2023" s="67" t="str">
        <f>IFERROR(__xludf.DUMMYFUNCTION("""COMPUTED_VALUE"""),"格納済み")</f>
        <v>格納済み</v>
      </c>
      <c r="U2023" s="15" t="str">
        <f>IFERROR(__xludf.DUMMYFUNCTION("""COMPUTED_VALUE"""),"©なかお/前田氏/ファンギルド")</f>
        <v>©なかお/前田氏/ファンギルド</v>
      </c>
      <c r="V2023" s="8" t="str">
        <f>IFERROR(__xludf.DUMMYFUNCTION("""COMPUTED_VALUE"""),"「アルス！お前はクビだ！」アルスの職業は、条件を無視してスキルを解放できる【スキルサポーター】。勇者パーティの一員として貢献してきたが、勇者レオンは自分のスキルがすべて解放できたということを理由にアルスを追放してしまう。落ち込むアルスだったが、長い夢でもある冒険者をやり続けることにする。そしてクエスト中、昔自分の弟子だったアリシアと再会を果たした彼は、【スキルサポーター】が仲間だけではなく自分にも使えることに気づき、その能力が開花するが…自分と仲間のスキルを解放して最強に成り上がる異世界英雄譚　開幕！！")</f>
        <v>「アルス！お前はクビだ！」アルスの職業は、条件を無視してスキルを解放できる【スキルサポーター】。勇者パーティの一員として貢献してきたが、勇者レオンは自分のスキルがすべて解放できたということを理由にアルスを追放してしまう。落ち込むアルスだったが、長い夢でもある冒険者をやり続けることにする。そしてクエスト中、昔自分の弟子だったアリシアと再会を果たした彼は、【スキルサポーター】が仲間だけではなく自分にも使えることに気づき、その能力が開花するが…自分と仲間のスキルを解放して最強に成り上がる異世界英雄譚　開幕！！</v>
      </c>
      <c r="W2023" s="14"/>
      <c r="X2023" s="14" t="str">
        <f>IFERROR(__xludf.DUMMYFUNCTION("""COMPUTED_VALUE"""),"有")</f>
        <v>有</v>
      </c>
      <c r="Y2023" s="8" t="str">
        <f>IFERROR(__xludf.DUMMYFUNCTION("""COMPUTED_VALUE"""),"2024/10/5まで1巻無料")</f>
        <v>2024/10/5まで1巻無料</v>
      </c>
      <c r="Z2023" s="7"/>
      <c r="AA2023" s="7"/>
      <c r="AB2023" s="7"/>
    </row>
    <row r="2024" ht="15.75" customHeight="1">
      <c r="A2024" s="66">
        <f>IFERROR(__xludf.DUMMYFUNCTION("""COMPUTED_VALUE"""),4023.0)</f>
        <v>4023</v>
      </c>
      <c r="B2024" s="67" t="str">
        <f>IFERROR(__xludf.DUMMYFUNCTION("""COMPUTED_VALUE"""),"確定")</f>
        <v>確定</v>
      </c>
      <c r="C2024" s="68">
        <f>IFERROR(__xludf.DUMMYFUNCTION("""COMPUTED_VALUE"""),45526.0)</f>
        <v>45526</v>
      </c>
      <c r="D2024" s="68">
        <f>IFERROR(__xludf.DUMMYFUNCTION("""COMPUTED_VALUE"""),45530.0)</f>
        <v>45530</v>
      </c>
      <c r="E2024" s="31">
        <f>IFERROR(__xludf.DUMMYFUNCTION("""COMPUTED_VALUE"""),301495.0)</f>
        <v>301495</v>
      </c>
      <c r="F2024" s="22" t="str">
        <f>IFERROR(__xludf.DUMMYFUNCTION("""COMPUTED_VALUE"""),"イジワル社長のえっちな家政夫くん〜コスプレご奉仕は契約内!?")</f>
        <v>イジワル社長のえっちな家政夫くん〜コスプレご奉仕は契約内!?</v>
      </c>
      <c r="G2024" s="11" t="str">
        <f>IFERROR(__xludf.DUMMYFUNCTION("""COMPUTED_VALUE"""),"1～2")</f>
        <v>1～2</v>
      </c>
      <c r="H2024" s="67" t="str">
        <f>IFERROR(__xludf.DUMMYFUNCTION("""COMPUTED_VALUE"""),"夏川あらた")</f>
        <v>夏川あらた</v>
      </c>
      <c r="I2024" s="67" t="str">
        <f>IFERROR(__xludf.DUMMYFUNCTION("""COMPUTED_VALUE"""),"BL")</f>
        <v>BL</v>
      </c>
      <c r="J2024" s="67"/>
      <c r="K2024" s="67"/>
      <c r="L2024" s="67" t="str">
        <f>IFERROR(__xludf.DUMMYFUNCTION("""COMPUTED_VALUE"""),"モバイルメディアリサーチ")</f>
        <v>モバイルメディアリサーチ</v>
      </c>
      <c r="M2024" s="59">
        <f>IFERROR(__xludf.DUMMYFUNCTION("""COMPUTED_VALUE"""),45552.0)</f>
        <v>45552</v>
      </c>
      <c r="N2024" s="85">
        <f>IFERROR(__xludf.DUMMYFUNCTION("""COMPUTED_VALUE"""),45582.0)</f>
        <v>45582</v>
      </c>
      <c r="O2024" s="67"/>
      <c r="P2024" s="71" t="str">
        <f>IFERROR(__xludf.DUMMYFUNCTION("""COMPUTED_VALUE"""),"可")</f>
        <v>可</v>
      </c>
      <c r="Q2024" s="72"/>
      <c r="R2024" s="67"/>
      <c r="S2024" s="67" t="str">
        <f>IFERROR(__xludf.DUMMYFUNCTION("""COMPUTED_VALUE"""),"20240822_ファンギルド_イジワル社長のえっちな家政夫くん〜コスプレご奉仕は契約内!_")</f>
        <v>20240822_ファンギルド_イジワル社長のえっちな家政夫くん〜コスプレご奉仕は契約内!_</v>
      </c>
      <c r="T2024" s="67" t="str">
        <f>IFERROR(__xludf.DUMMYFUNCTION("""COMPUTED_VALUE"""),"格納済み")</f>
        <v>格納済み</v>
      </c>
      <c r="U2024" s="15" t="str">
        <f>IFERROR(__xludf.DUMMYFUNCTION("""COMPUTED_VALUE"""),"©夏川あらた/モバイルメディアリサーチ")</f>
        <v>©夏川あらた/モバイルメディアリサーチ</v>
      </c>
      <c r="V2024" s="8" t="str">
        <f>IFERROR(__xludf.DUMMYFUNCTION("""COMPUTED_VALUE"""),"不幸にも職と住まいを失った太一は、高収入の住み込み家政婦求人を見つける。即採用で喜んだのも束の間、雇い主のイケメン社長・神葉にコスプレをすることが条件だと言われて!?しぶしぶバニーガールの衣装を着たけれど…なっ、なんでそんなところを触るの…!?「ずいぶん敏感なんだな」胸や足を隅々まで撫でられ、トロトロになるまで気持ちよく弄られてしまいーー。イジワル社長×コスプレ家政夫の”えっちはギリギリ業務内!?“なドキドキ☆ラブコメ！")</f>
        <v>不幸にも職と住まいを失った太一は、高収入の住み込み家政婦求人を見つける。即採用で喜んだのも束の間、雇い主のイケメン社長・神葉にコスプレをすることが条件だと言われて!?しぶしぶバニーガールの衣装を着たけれど…なっ、なんでそんなところを触るの…!?「ずいぶん敏感なんだな」胸や足を隅々まで撫でられ、トロトロになるまで気持ちよく弄られてしまいーー。イジワル社長×コスプレ家政夫の”えっちはギリギリ業務内!?“なドキドキ☆ラブコメ！</v>
      </c>
      <c r="W2024" s="14"/>
      <c r="X2024" s="14" t="str">
        <f>IFERROR(__xludf.DUMMYFUNCTION("""COMPUTED_VALUE"""),"有")</f>
        <v>有</v>
      </c>
      <c r="Y2024" s="8" t="str">
        <f>IFERROR(__xludf.DUMMYFUNCTION("""COMPUTED_VALUE"""),"2024/9/30まで立ち読み増量P18まで")</f>
        <v>2024/9/30まで立ち読み増量P18まで</v>
      </c>
      <c r="Z2024" s="7"/>
      <c r="AA2024" s="7"/>
      <c r="AB2024" s="7"/>
    </row>
    <row r="2025" ht="15.75" customHeight="1">
      <c r="A2025" s="66">
        <f>IFERROR(__xludf.DUMMYFUNCTION("""COMPUTED_VALUE"""),4024.0)</f>
        <v>4024</v>
      </c>
      <c r="B2025" s="67" t="str">
        <f>IFERROR(__xludf.DUMMYFUNCTION("""COMPUTED_VALUE"""),"確定")</f>
        <v>確定</v>
      </c>
      <c r="C2025" s="68">
        <f>IFERROR(__xludf.DUMMYFUNCTION("""COMPUTED_VALUE"""),45526.0)</f>
        <v>45526</v>
      </c>
      <c r="D2025" s="68">
        <f>IFERROR(__xludf.DUMMYFUNCTION("""COMPUTED_VALUE"""),45530.0)</f>
        <v>45530</v>
      </c>
      <c r="E2025" s="60">
        <f>IFERROR(__xludf.DUMMYFUNCTION("""COMPUTED_VALUE"""),301494.0)</f>
        <v>301494</v>
      </c>
      <c r="F2025" s="61" t="str">
        <f>IFERROR(__xludf.DUMMYFUNCTION("""COMPUTED_VALUE"""),"9年ぶりの初恋の味は")</f>
        <v>9年ぶりの初恋の味は</v>
      </c>
      <c r="G2025" s="11" t="str">
        <f>IFERROR(__xludf.DUMMYFUNCTION("""COMPUTED_VALUE"""),"1～2")</f>
        <v>1～2</v>
      </c>
      <c r="H2025" s="78" t="str">
        <f>IFERROR(__xludf.DUMMYFUNCTION("""COMPUTED_VALUE"""),"椎名しゅん")</f>
        <v>椎名しゅん</v>
      </c>
      <c r="I2025" s="67" t="str">
        <f>IFERROR(__xludf.DUMMYFUNCTION("""COMPUTED_VALUE"""),"BL")</f>
        <v>BL</v>
      </c>
      <c r="J2025" s="67"/>
      <c r="K2025" s="67"/>
      <c r="L2025" s="67" t="str">
        <f>IFERROR(__xludf.DUMMYFUNCTION("""COMPUTED_VALUE"""),"ファンギルド")</f>
        <v>ファンギルド</v>
      </c>
      <c r="M2025" s="59">
        <f>IFERROR(__xludf.DUMMYFUNCTION("""COMPUTED_VALUE"""),45560.0)</f>
        <v>45560</v>
      </c>
      <c r="N2025" s="85">
        <f>IFERROR(__xludf.DUMMYFUNCTION("""COMPUTED_VALUE"""),45650.0)</f>
        <v>45650</v>
      </c>
      <c r="O2025" s="67"/>
      <c r="P2025" s="71" t="str">
        <f>IFERROR(__xludf.DUMMYFUNCTION("""COMPUTED_VALUE"""),"可")</f>
        <v>可</v>
      </c>
      <c r="Q2025" s="72"/>
      <c r="R2025" s="67"/>
      <c r="S2025" s="67" t="str">
        <f>IFERROR(__xludf.DUMMYFUNCTION("""COMPUTED_VALUE"""),"20240822_ファンギルド_9年ぶりの初恋の味は")</f>
        <v>20240822_ファンギルド_9年ぶりの初恋の味は</v>
      </c>
      <c r="T2025" s="78" t="str">
        <f>IFERROR(__xludf.DUMMYFUNCTION("""COMPUTED_VALUE"""),"格納済み")</f>
        <v>格納済み</v>
      </c>
      <c r="U2025" s="15" t="str">
        <f>IFERROR(__xludf.DUMMYFUNCTION("""COMPUTED_VALUE"""),"©椎名しゅん/ファンギルド")</f>
        <v>©椎名しゅん/ファンギルド</v>
      </c>
      <c r="V2025" s="8" t="str">
        <f>IFERROR(__xludf.DUMMYFUNCTION("""COMPUTED_VALUE"""),"料理教室の講師をする直は、恋に臆病な27歳。高校時代、初めて恋をした親友・勇斗にこっぴどく振られてからは、ずっと自分の気持ちに蓋をする癖がついていた。そんなある日、職場で上司が呼び寄せたのは、代理店に勤務する勇斗で……!? もう二度と会わないと決めていた男から「今度は俺が追いかける─後悔してるんだ、直を振ったこと」と抱きしめられてしまって──。根は一途な代理店リーマン×恋に臆病な料理講師の遅れてやってきた、9年越しのじれキュン再会ラブ！")</f>
        <v>料理教室の講師をする直は、恋に臆病な27歳。高校時代、初めて恋をした親友・勇斗にこっぴどく振られてからは、ずっと自分の気持ちに蓋をする癖がついていた。そんなある日、職場で上司が呼び寄せたのは、代理店に勤務する勇斗で……!? もう二度と会わないと決めていた男から「今度は俺が追いかける─後悔してるんだ、直を振ったこと」と抱きしめられてしまって──。根は一途な代理店リーマン×恋に臆病な料理講師の遅れてやってきた、9年越しのじれキュン再会ラブ！</v>
      </c>
      <c r="W2025" s="14"/>
      <c r="X2025" s="14" t="str">
        <f>IFERROR(__xludf.DUMMYFUNCTION("""COMPUTED_VALUE"""),"有")</f>
        <v>有</v>
      </c>
      <c r="Y2025" s="8" t="str">
        <f>IFERROR(__xludf.DUMMYFUNCTION("""COMPUTED_VALUE"""),"P7まで")</f>
        <v>P7まで</v>
      </c>
      <c r="Z2025" s="7"/>
      <c r="AA2025" s="7"/>
      <c r="AB2025" s="7"/>
    </row>
    <row r="2026" ht="15.75" customHeight="1">
      <c r="A2026" s="66">
        <f>IFERROR(__xludf.DUMMYFUNCTION("""COMPUTED_VALUE"""),4025.0)</f>
        <v>4025</v>
      </c>
      <c r="B2026" s="67" t="str">
        <f>IFERROR(__xludf.DUMMYFUNCTION("""COMPUTED_VALUE"""),"確定")</f>
        <v>確定</v>
      </c>
      <c r="C2026" s="68">
        <f>IFERROR(__xludf.DUMMYFUNCTION("""COMPUTED_VALUE"""),45526.0)</f>
        <v>45526</v>
      </c>
      <c r="D2026" s="68">
        <f>IFERROR(__xludf.DUMMYFUNCTION("""COMPUTED_VALUE"""),45530.0)</f>
        <v>45530</v>
      </c>
      <c r="E2026" s="60">
        <f>IFERROR(__xludf.DUMMYFUNCTION("""COMPUTED_VALUE"""),301492.0)</f>
        <v>301492</v>
      </c>
      <c r="F2026" s="61" t="str">
        <f>IFERROR(__xludf.DUMMYFUNCTION("""COMPUTED_VALUE"""),"復讐宣言～やられた恨みは100倍返し～")</f>
        <v>復讐宣言～やられた恨みは100倍返し～</v>
      </c>
      <c r="G2026" s="69">
        <f>IFERROR(__xludf.DUMMYFUNCTION("""COMPUTED_VALUE"""),1.0)</f>
        <v>1</v>
      </c>
      <c r="H2026" s="67" t="str">
        <f>IFERROR(__xludf.DUMMYFUNCTION("""COMPUTED_VALUE"""),"アンソロジー")</f>
        <v>アンソロジー</v>
      </c>
      <c r="I2026" s="67" t="str">
        <f>IFERROR(__xludf.DUMMYFUNCTION("""COMPUTED_VALUE"""),"青年")</f>
        <v>青年</v>
      </c>
      <c r="J2026" s="67"/>
      <c r="K2026" s="67"/>
      <c r="L2026" s="67" t="str">
        <f>IFERROR(__xludf.DUMMYFUNCTION("""COMPUTED_VALUE"""),"ファンギルド")</f>
        <v>ファンギルド</v>
      </c>
      <c r="M2026" s="59">
        <f>IFERROR(__xludf.DUMMYFUNCTION("""COMPUTED_VALUE"""),45563.0)</f>
        <v>45563</v>
      </c>
      <c r="N2026" s="85">
        <f>IFERROR(__xludf.DUMMYFUNCTION("""COMPUTED_VALUE"""),45590.0)</f>
        <v>45590</v>
      </c>
      <c r="O2026" s="67"/>
      <c r="P2026" s="70" t="str">
        <f>IFERROR(__xludf.DUMMYFUNCTION("""COMPUTED_VALUE"""),"可")</f>
        <v>可</v>
      </c>
      <c r="Q2026" s="72" t="str">
        <f>IFERROR(__xludf.DUMMYFUNCTION("""COMPUTED_VALUE"""),"格納素材(5タイトル)をまとめて1巻として配信(アンソロジー)")</f>
        <v>格納素材(5タイトル)をまとめて1巻として配信(アンソロジー)</v>
      </c>
      <c r="R2026" s="67"/>
      <c r="S2026" s="67" t="str">
        <f>IFERROR(__xludf.DUMMYFUNCTION("""COMPUTED_VALUE"""),"20240822_ファンギルド_復讐宣言～やられた恨みは100倍返し～")</f>
        <v>20240822_ファンギルド_復讐宣言～やられた恨みは100倍返し～</v>
      </c>
      <c r="T2026" s="67" t="str">
        <f>IFERROR(__xludf.DUMMYFUNCTION("""COMPUTED_VALUE"""),"格納済み")</f>
        <v>格納済み</v>
      </c>
      <c r="U2026" s="15" t="str">
        <f>IFERROR(__xludf.DUMMYFUNCTION("""COMPUTED_VALUE"""),"©Rai Hisaishi/Yusaku Sasaki/Karintou Neco/Kaguya Hinase/Kota Ohira/FUNGUILD")</f>
        <v>©Rai Hisaishi/Yusaku Sasaki/Karintou Neco/Kaguya Hinase/Kota Ohira/FUNGUILD</v>
      </c>
      <c r="V2026" s="8" t="str">
        <f>IFERROR(__xludf.DUMMYFUNCTION("""COMPUTED_VALUE"""),"圧倒的クズへの復讐ストーリー!これを読んだらスカッと間違いなし!!読み切り５作品を収録。＜収録作品＞カバーイラスト：久石らい／「命の代償～堕胎させられた私は復讐します～」久石らい／「天国と地獄～ピアノを弾けなくなった音楽教師の復讐～」ささきゆうさく／「殺人ダイス～あなたへの復讐方法は出た目で決める～」猫かりんとう／「毒親復讐 ～私が最期まで見ててあげるからね～」雛瀬かぐや／「私刑を執行します～妻をひき殺された夫がついた嘘～」オオヒラ航多")</f>
        <v>圧倒的クズへの復讐ストーリー!これを読んだらスカッと間違いなし!!読み切り５作品を収録。＜収録作品＞カバーイラスト：久石らい／「命の代償～堕胎させられた私は復讐します～」久石らい／「天国と地獄～ピアノを弾けなくなった音楽教師の復讐～」ささきゆうさく／「殺人ダイス～あなたへの復讐方法は出た目で決める～」猫かりんとう／「毒親復讐 ～私が最期まで見ててあげるからね～」雛瀬かぐや／「私刑を執行します～妻をひき殺された夫がついた嘘～」オオヒラ航多</v>
      </c>
      <c r="W2026" s="14"/>
      <c r="X2026" s="14" t="str">
        <f>IFERROR(__xludf.DUMMYFUNCTION("""COMPUTED_VALUE"""),"有")</f>
        <v>有</v>
      </c>
      <c r="Y2026" s="8" t="str">
        <f>IFERROR(__xludf.DUMMYFUNCTION("""COMPUTED_VALUE"""),"P33まで")</f>
        <v>P33まで</v>
      </c>
      <c r="Z2026" s="7"/>
      <c r="AA2026" s="7"/>
      <c r="AB2026" s="7"/>
    </row>
    <row r="2027" ht="15.75" customHeight="1">
      <c r="A2027" s="66">
        <f>IFERROR(__xludf.DUMMYFUNCTION("""COMPUTED_VALUE"""),4028.0)</f>
        <v>4028</v>
      </c>
      <c r="B2027" s="67" t="str">
        <f>IFERROR(__xludf.DUMMYFUNCTION("""COMPUTED_VALUE"""),"確定")</f>
        <v>確定</v>
      </c>
      <c r="C2027" s="68">
        <f>IFERROR(__xludf.DUMMYFUNCTION("""COMPUTED_VALUE"""),45526.0)</f>
        <v>45526</v>
      </c>
      <c r="D2027" s="68">
        <f>IFERROR(__xludf.DUMMYFUNCTION("""COMPUTED_VALUE"""),45531.0)</f>
        <v>45531</v>
      </c>
      <c r="E2027" s="60">
        <f>IFERROR(__xludf.DUMMYFUNCTION("""COMPUTED_VALUE"""),303012.0)</f>
        <v>303012</v>
      </c>
      <c r="F2027" s="61" t="str">
        <f>IFERROR(__xludf.DUMMYFUNCTION("""COMPUTED_VALUE"""),"年上犬系彼氏は夜だけ私の飼い主様")</f>
        <v>年上犬系彼氏は夜だけ私の飼い主様</v>
      </c>
      <c r="G2027" s="11" t="str">
        <f>IFERROR(__xludf.DUMMYFUNCTION("""COMPUTED_VALUE"""),"1～2")</f>
        <v>1～2</v>
      </c>
      <c r="H2027" s="67" t="str">
        <f>IFERROR(__xludf.DUMMYFUNCTION("""COMPUTED_VALUE"""),"出海うに┴THE猥談")</f>
        <v>出海うに┴THE猥談</v>
      </c>
      <c r="I2027" s="67" t="str">
        <f>IFERROR(__xludf.DUMMYFUNCTION("""COMPUTED_VALUE"""),"TL")</f>
        <v>TL</v>
      </c>
      <c r="J2027" s="67"/>
      <c r="K2027" s="67"/>
      <c r="L2027" s="67" t="str">
        <f>IFERROR(__xludf.DUMMYFUNCTION("""COMPUTED_VALUE"""),"クロスフォリオ出版")</f>
        <v>クロスフォリオ出版</v>
      </c>
      <c r="M2027" s="59">
        <f>IFERROR(__xludf.DUMMYFUNCTION("""COMPUTED_VALUE"""),45562.0)</f>
        <v>45562</v>
      </c>
      <c r="N2027" s="85">
        <f>IFERROR(__xludf.DUMMYFUNCTION("""COMPUTED_VALUE"""),45652.0)</f>
        <v>45652</v>
      </c>
      <c r="O2027" s="67"/>
      <c r="P2027" s="70" t="str">
        <f>IFERROR(__xludf.DUMMYFUNCTION("""COMPUTED_VALUE"""),"可")</f>
        <v>可</v>
      </c>
      <c r="Q2027" s="72" t="str">
        <f>IFERROR(__xludf.DUMMYFUNCTION("""COMPUTED_VALUE"""),"「THE猥談」作品です。")</f>
        <v>「THE猥談」作品です。</v>
      </c>
      <c r="R2027" s="67"/>
      <c r="S2027" s="67" t="str">
        <f>IFERROR(__xludf.DUMMYFUNCTION("""COMPUTED_VALUE"""),"20240822_Booklive_年上犬系彼氏は夜だけ私の飼い主様")</f>
        <v>20240822_Booklive_年上犬系彼氏は夜だけ私の飼い主様</v>
      </c>
      <c r="T2027" s="67" t="str">
        <f>IFERROR(__xludf.DUMMYFUNCTION("""COMPUTED_VALUE"""),"格納済み")</f>
        <v>格納済み</v>
      </c>
      <c r="U2027" s="15" t="str">
        <f>IFERROR(__xludf.DUMMYFUNCTION("""COMPUTED_VALUE"""),"(C)出海うに/THE猥談/クロスフォリオ出版")</f>
        <v>(C)出海うに/THE猥談/クロスフォリオ出版</v>
      </c>
      <c r="V2027" s="8" t="str">
        <f>IFERROR(__xludf.DUMMYFUNCTION("""COMPUTED_VALUE"""),"7歳年上の専門学校の同期のロクと付き合っていた。
ロクは私の言うことならなんでも聞いてくれる、素直で優しい彼氏。
友達からは「飼い主と大型犬」って言われているくらい。
付き合って1年が経った頃、ロクがしてほしいことをやってあげることにした。
いつもよくしてもらってるし、「ご褒美」をあげようと思って。
「…じゃあ今日、目隠ししたユリさんとしたい」
いつもとは違う強引な攻め方のロク。
普段はやめてって言ったらすぐ止めてくれるのに、今日は言うことを聞かない。
「ユリは本当は、嫌っ"&amp;"て言ってもやめないで欲しかったんでしょ?」
「ユリ、次は中だけでイケるようになろっか」
犬系彼氏と飼い主彼女との、立場逆転セックスが始まる───…
※本作は出海うに、THE猥談の個人誌作品の電子書籍版となります。【28ページ】")</f>
        <v>7歳年上の専門学校の同期のロクと付き合っていた。
ロクは私の言うことならなんでも聞いてくれる、素直で優しい彼氏。
友達からは「飼い主と大型犬」って言われているくらい。
付き合って1年が経った頃、ロクがしてほしいことをやってあげることにした。
いつもよくしてもらってるし、「ご褒美」をあげようと思って。
「…じゃあ今日、目隠ししたユリさんとしたい」
いつもとは違う強引な攻め方のロク。
普段はやめてって言ったらすぐ止めてくれるのに、今日は言うことを聞かない。
「ユリは本当は、嫌って言ってもやめないで欲しかったんでしょ?」
「ユリ、次は中だけでイケるようになろっか」
犬系彼氏と飼い主彼女との、立場逆転セックスが始まる───…
※本作は出海うに、THE猥談の個人誌作品の電子書籍版となります。【28ページ】</v>
      </c>
      <c r="W2027" s="14"/>
      <c r="X2027" s="14" t="str">
        <f>IFERROR(__xludf.DUMMYFUNCTION("""COMPUTED_VALUE"""),"有")</f>
        <v>有</v>
      </c>
      <c r="Y2027" s="8" t="str">
        <f>IFERROR(__xludf.DUMMYFUNCTION("""COMPUTED_VALUE"""),"P15まで")</f>
        <v>P15まで</v>
      </c>
      <c r="Z2027" s="7"/>
      <c r="AA2027" s="7"/>
      <c r="AB2027" s="7"/>
    </row>
    <row r="2028" ht="15.75" customHeight="1">
      <c r="A2028" s="66">
        <f>IFERROR(__xludf.DUMMYFUNCTION("""COMPUTED_VALUE"""),4029.0)</f>
        <v>4029</v>
      </c>
      <c r="B2028" s="67" t="str">
        <f>IFERROR(__xludf.DUMMYFUNCTION("""COMPUTED_VALUE"""),"確定")</f>
        <v>確定</v>
      </c>
      <c r="C2028" s="68">
        <f>IFERROR(__xludf.DUMMYFUNCTION("""COMPUTED_VALUE"""),45526.0)</f>
        <v>45526</v>
      </c>
      <c r="D2028" s="68">
        <f>IFERROR(__xludf.DUMMYFUNCTION("""COMPUTED_VALUE"""),45531.0)</f>
        <v>45531</v>
      </c>
      <c r="E2028" s="60">
        <f>IFERROR(__xludf.DUMMYFUNCTION("""COMPUTED_VALUE"""),303015.0)</f>
        <v>303015</v>
      </c>
      <c r="F2028" s="61" t="str">
        <f>IFERROR(__xludf.DUMMYFUNCTION("""COMPUTED_VALUE"""),"年上犬系彼氏は夜だけ私の飼い主様【R版】")</f>
        <v>年上犬系彼氏は夜だけ私の飼い主様【R版】</v>
      </c>
      <c r="G2028" s="11" t="str">
        <f>IFERROR(__xludf.DUMMYFUNCTION("""COMPUTED_VALUE"""),"1～2")</f>
        <v>1～2</v>
      </c>
      <c r="H2028" s="67" t="str">
        <f>IFERROR(__xludf.DUMMYFUNCTION("""COMPUTED_VALUE"""),"出海うに┴THE猥談")</f>
        <v>出海うに┴THE猥談</v>
      </c>
      <c r="I2028" s="67" t="str">
        <f>IFERROR(__xludf.DUMMYFUNCTION("""COMPUTED_VALUE"""),"オトナ")</f>
        <v>オトナ</v>
      </c>
      <c r="J2028" s="67"/>
      <c r="K2028" s="67"/>
      <c r="L2028" s="67" t="str">
        <f>IFERROR(__xludf.DUMMYFUNCTION("""COMPUTED_VALUE"""),"クロスフォリオ出版")</f>
        <v>クロスフォリオ出版</v>
      </c>
      <c r="M2028" s="59">
        <f>IFERROR(__xludf.DUMMYFUNCTION("""COMPUTED_VALUE"""),45562.0)</f>
        <v>45562</v>
      </c>
      <c r="N2028" s="85">
        <f>IFERROR(__xludf.DUMMYFUNCTION("""COMPUTED_VALUE"""),45652.0)</f>
        <v>45652</v>
      </c>
      <c r="O2028" s="67"/>
      <c r="P2028" s="70" t="str">
        <f>IFERROR(__xludf.DUMMYFUNCTION("""COMPUTED_VALUE"""),"可")</f>
        <v>可</v>
      </c>
      <c r="Q2028" s="72" t="str">
        <f>IFERROR(__xludf.DUMMYFUNCTION("""COMPUTED_VALUE"""),"「THE猥談」作品です。")</f>
        <v>「THE猥談」作品です。</v>
      </c>
      <c r="R2028" s="67"/>
      <c r="S2028" s="67" t="str">
        <f>IFERROR(__xludf.DUMMYFUNCTION("""COMPUTED_VALUE"""),"20240822_Booklive_年上犬系彼氏は夜だけ私の飼い主様【R版】")</f>
        <v>20240822_Booklive_年上犬系彼氏は夜だけ私の飼い主様【R版】</v>
      </c>
      <c r="T2028" s="67" t="str">
        <f>IFERROR(__xludf.DUMMYFUNCTION("""COMPUTED_VALUE"""),"格納済み")</f>
        <v>格納済み</v>
      </c>
      <c r="U2028" s="15" t="str">
        <f>IFERROR(__xludf.DUMMYFUNCTION("""COMPUTED_VALUE"""),"(C)出海うに/THE猥談/クロスフォリオ出版")</f>
        <v>(C)出海うに/THE猥談/クロスフォリオ出版</v>
      </c>
      <c r="V2028" s="8" t="str">
        <f>IFERROR(__xludf.DUMMYFUNCTION("""COMPUTED_VALUE"""),"7歳年上の専門学校の同期のロクと付き合っていた。
ロクは私の言うことならなんでも聞いてくれる、素直で優しい彼氏。
友達からは「飼い主と大型犬」って言われているくらい。
付き合って1年が経った頃、ロクがしてほしいことをやってあげることにした。
いつもよくしてもらってるし、「ご褒美」をあげようと思って。
「…じゃあ今日、目隠ししたユリさんとしたい」
いつもとは違う強引な攻め方のロク。
普段はやめてって言ったらすぐ止めてくれるのに、今日は言うことを聞かない。
「ユリは本当は、嫌っ"&amp;"て言ってもやめないで欲しかったんでしょ?」
「ユリ、次は中だけでイケるようになろっか」
犬系彼氏と飼い主彼女との、立場逆転セックスが始まる───…
※本作は出海うに、THE猥談の個人誌作品の電子書籍版となります。【28ページ】
※本作は『年上犬系彼氏は夜だけ私の飼い主様』の修正をやや弱めたものです。内容に差異はありません。")</f>
        <v>7歳年上の専門学校の同期のロクと付き合っていた。
ロクは私の言うことならなんでも聞いてくれる、素直で優しい彼氏。
友達からは「飼い主と大型犬」って言われているくらい。
付き合って1年が経った頃、ロクがしてほしいことをやってあげることにした。
いつもよくしてもらってるし、「ご褒美」をあげようと思って。
「…じゃあ今日、目隠ししたユリさんとしたい」
いつもとは違う強引な攻め方のロク。
普段はやめてって言ったらすぐ止めてくれるのに、今日は言うことを聞かない。
「ユリは本当は、嫌って言ってもやめないで欲しかったんでしょ?」
「ユリ、次は中だけでイケるようになろっか」
犬系彼氏と飼い主彼女との、立場逆転セックスが始まる───…
※本作は出海うに、THE猥談の個人誌作品の電子書籍版となります。【28ページ】
※本作は『年上犬系彼氏は夜だけ私の飼い主様』の修正をやや弱めたものです。内容に差異はありません。</v>
      </c>
      <c r="W2028" s="14"/>
      <c r="X2028" s="14" t="str">
        <f>IFERROR(__xludf.DUMMYFUNCTION("""COMPUTED_VALUE"""),"有")</f>
        <v>有</v>
      </c>
      <c r="Y2028" s="8" t="str">
        <f>IFERROR(__xludf.DUMMYFUNCTION("""COMPUTED_VALUE"""),"P15まで")</f>
        <v>P15まで</v>
      </c>
      <c r="Z2028" s="7"/>
      <c r="AA2028" s="7"/>
      <c r="AB2028" s="7"/>
    </row>
    <row r="2029" ht="15.75" customHeight="1">
      <c r="A2029" s="66">
        <f>IFERROR(__xludf.DUMMYFUNCTION("""COMPUTED_VALUE"""),4030.0)</f>
        <v>4030</v>
      </c>
      <c r="B2029" s="67" t="str">
        <f>IFERROR(__xludf.DUMMYFUNCTION("""COMPUTED_VALUE"""),"確定")</f>
        <v>確定</v>
      </c>
      <c r="C2029" s="68">
        <f>IFERROR(__xludf.DUMMYFUNCTION("""COMPUTED_VALUE"""),45526.0)</f>
        <v>45526</v>
      </c>
      <c r="D2029" s="68">
        <f>IFERROR(__xludf.DUMMYFUNCTION("""COMPUTED_VALUE"""),45531.0)</f>
        <v>45531</v>
      </c>
      <c r="E2029" s="60">
        <f>IFERROR(__xludf.DUMMYFUNCTION("""COMPUTED_VALUE"""),303014.0)</f>
        <v>303014</v>
      </c>
      <c r="F2029" s="61" t="str">
        <f>IFERROR(__xludf.DUMMYFUNCTION("""COMPUTED_VALUE"""),"クソみたいな現実から逃げた先はヤリチン金無し夜勤コンビニバンドマンでした")</f>
        <v>クソみたいな現実から逃げた先はヤリチン金無し夜勤コンビニバンドマンでした</v>
      </c>
      <c r="G2029" s="11" t="str">
        <f>IFERROR(__xludf.DUMMYFUNCTION("""COMPUTED_VALUE"""),"1～2")</f>
        <v>1～2</v>
      </c>
      <c r="H2029" s="78" t="str">
        <f>IFERROR(__xludf.DUMMYFUNCTION("""COMPUTED_VALUE"""),"ぐりだそうむ┴THE猥談        ")</f>
        <v>ぐりだそうむ┴THE猥談        </v>
      </c>
      <c r="I2029" s="67" t="str">
        <f>IFERROR(__xludf.DUMMYFUNCTION("""COMPUTED_VALUE"""),"TL")</f>
        <v>TL</v>
      </c>
      <c r="J2029" s="67"/>
      <c r="K2029" s="67"/>
      <c r="L2029" s="67" t="str">
        <f>IFERROR(__xludf.DUMMYFUNCTION("""COMPUTED_VALUE"""),"クロスフォリオ出版")</f>
        <v>クロスフォリオ出版</v>
      </c>
      <c r="M2029" s="59">
        <f>IFERROR(__xludf.DUMMYFUNCTION("""COMPUTED_VALUE"""),45562.0)</f>
        <v>45562</v>
      </c>
      <c r="N2029" s="85">
        <f>IFERROR(__xludf.DUMMYFUNCTION("""COMPUTED_VALUE"""),45652.0)</f>
        <v>45652</v>
      </c>
      <c r="O2029" s="67"/>
      <c r="P2029" s="70" t="str">
        <f>IFERROR(__xludf.DUMMYFUNCTION("""COMPUTED_VALUE"""),"可")</f>
        <v>可</v>
      </c>
      <c r="Q2029" s="72" t="str">
        <f>IFERROR(__xludf.DUMMYFUNCTION("""COMPUTED_VALUE"""),"THE猥談作品です。")</f>
        <v>THE猥談作品です。</v>
      </c>
      <c r="R2029" s="67"/>
      <c r="S2029" s="67" t="str">
        <f>IFERROR(__xludf.DUMMYFUNCTION("""COMPUTED_VALUE"""),"20240822_Booklive_クソみたいな現実から逃げた先はヤリチン金無し夜勤コンビニバンドマンでした")</f>
        <v>20240822_Booklive_クソみたいな現実から逃げた先はヤリチン金無し夜勤コンビニバンドマンでした</v>
      </c>
      <c r="T2029" s="67" t="str">
        <f>IFERROR(__xludf.DUMMYFUNCTION("""COMPUTED_VALUE"""),"格納済み")</f>
        <v>格納済み</v>
      </c>
      <c r="U2029" s="15" t="str">
        <f>IFERROR(__xludf.DUMMYFUNCTION("""COMPUTED_VALUE"""),"(C)ぐりだそうむ/THE猥談/クロスフォリオ出版")</f>
        <v>(C)ぐりだそうむ/THE猥談/クロスフォリオ出版</v>
      </c>
      <c r="V2029" s="8" t="str">
        <f>IFERROR(__xludf.DUMMYFUNCTION("""COMPUTED_VALUE"""),"所謂、家庭環境がよろしくなかった。
私の行動を把握したがり、酷く執着してくる母との二人暮らし。
このままこの家にいたら...耐えきれなくなり衝動的に家を飛び出した。
考えもなく家を出て辿り着いたコンビニにいたのは、大学の先輩だった。
助けて欲しい家出女子大生と、苦しそうな女の顔に興奮する男の構図がすぐに出来上がり、気がついたら彼の汚い6畳1間で頭を撫でられていた。
もう何も考えたくない。全部が嫌だ。生きてるのが苦しいけど死にたくない。
クソみたいな現実から助けてくれる人を求めていた私は"&amp;"、決して何も解決させない彼の優しさに溺れていく。
※本作はぐりだそうむ、THE猥談の個人誌作品の電子書籍版となります。【28ページ】")</f>
        <v>所謂、家庭環境がよろしくなかった。
私の行動を把握したがり、酷く執着してくる母との二人暮らし。
このままこの家にいたら...耐えきれなくなり衝動的に家を飛び出した。
考えもなく家を出て辿り着いたコンビニにいたのは、大学の先輩だった。
助けて欲しい家出女子大生と、苦しそうな女の顔に興奮する男の構図がすぐに出来上がり、気がついたら彼の汚い6畳1間で頭を撫でられていた。
もう何も考えたくない。全部が嫌だ。生きてるのが苦しいけど死にたくない。
クソみたいな現実から助けてくれる人を求めていた私は、決して何も解決させない彼の優しさに溺れていく。
※本作はぐりだそうむ、THE猥談の個人誌作品の電子書籍版となります。【28ページ】</v>
      </c>
      <c r="W2029" s="14"/>
      <c r="X2029" s="14" t="str">
        <f>IFERROR(__xludf.DUMMYFUNCTION("""COMPUTED_VALUE"""),"有")</f>
        <v>有</v>
      </c>
      <c r="Y2029" s="8" t="str">
        <f>IFERROR(__xludf.DUMMYFUNCTION("""COMPUTED_VALUE"""),"P12まで")</f>
        <v>P12まで</v>
      </c>
      <c r="Z2029" s="7"/>
      <c r="AA2029" s="7"/>
      <c r="AB2029" s="7"/>
    </row>
    <row r="2030" ht="15.75" customHeight="1">
      <c r="A2030" s="66">
        <f>IFERROR(__xludf.DUMMYFUNCTION("""COMPUTED_VALUE"""),4031.0)</f>
        <v>4031</v>
      </c>
      <c r="B2030" s="67" t="str">
        <f>IFERROR(__xludf.DUMMYFUNCTION("""COMPUTED_VALUE"""),"確定")</f>
        <v>確定</v>
      </c>
      <c r="C2030" s="68">
        <f>IFERROR(__xludf.DUMMYFUNCTION("""COMPUTED_VALUE"""),45526.0)</f>
        <v>45526</v>
      </c>
      <c r="D2030" s="68">
        <f>IFERROR(__xludf.DUMMYFUNCTION("""COMPUTED_VALUE"""),45531.0)</f>
        <v>45531</v>
      </c>
      <c r="E2030" s="60">
        <f>IFERROR(__xludf.DUMMYFUNCTION("""COMPUTED_VALUE"""),303016.0)</f>
        <v>303016</v>
      </c>
      <c r="F2030" s="61" t="str">
        <f>IFERROR(__xludf.DUMMYFUNCTION("""COMPUTED_VALUE"""),"クソみたいな現実から逃げた先はヤリチン金無し夜勤コンビニバンドマンでした【R版】")</f>
        <v>クソみたいな現実から逃げた先はヤリチン金無し夜勤コンビニバンドマンでした【R版】</v>
      </c>
      <c r="G2030" s="11" t="str">
        <f>IFERROR(__xludf.DUMMYFUNCTION("""COMPUTED_VALUE"""),"1～2")</f>
        <v>1～2</v>
      </c>
      <c r="H2030" s="78" t="str">
        <f>IFERROR(__xludf.DUMMYFUNCTION("""COMPUTED_VALUE"""),"ぐりだそうむ┴THE猥談	")</f>
        <v>ぐりだそうむ┴THE猥談	</v>
      </c>
      <c r="I2030" s="67" t="str">
        <f>IFERROR(__xludf.DUMMYFUNCTION("""COMPUTED_VALUE"""),"オトナ")</f>
        <v>オトナ</v>
      </c>
      <c r="J2030" s="67"/>
      <c r="K2030" s="67"/>
      <c r="L2030" s="67" t="str">
        <f>IFERROR(__xludf.DUMMYFUNCTION("""COMPUTED_VALUE"""),"クロスフォリオ出版")</f>
        <v>クロスフォリオ出版</v>
      </c>
      <c r="M2030" s="59">
        <f>IFERROR(__xludf.DUMMYFUNCTION("""COMPUTED_VALUE"""),45562.0)</f>
        <v>45562</v>
      </c>
      <c r="N2030" s="85">
        <f>IFERROR(__xludf.DUMMYFUNCTION("""COMPUTED_VALUE"""),45652.0)</f>
        <v>45652</v>
      </c>
      <c r="O2030" s="67"/>
      <c r="P2030" s="70" t="str">
        <f>IFERROR(__xludf.DUMMYFUNCTION("""COMPUTED_VALUE"""),"可")</f>
        <v>可</v>
      </c>
      <c r="Q2030" s="72" t="str">
        <f>IFERROR(__xludf.DUMMYFUNCTION("""COMPUTED_VALUE"""),"「THE猥談」作品です。")</f>
        <v>「THE猥談」作品です。</v>
      </c>
      <c r="R2030" s="67"/>
      <c r="S2030" s="67" t="str">
        <f>IFERROR(__xludf.DUMMYFUNCTION("""COMPUTED_VALUE"""),"20240822_Booklive_クソみたいな現実から逃げた先はヤリチン金無し夜勤コンビニバンドマンでした【R版】")</f>
        <v>20240822_Booklive_クソみたいな現実から逃げた先はヤリチン金無し夜勤コンビニバンドマンでした【R版】</v>
      </c>
      <c r="T2030" s="67" t="str">
        <f>IFERROR(__xludf.DUMMYFUNCTION("""COMPUTED_VALUE"""),"格納済み")</f>
        <v>格納済み</v>
      </c>
      <c r="U2030" s="15" t="str">
        <f>IFERROR(__xludf.DUMMYFUNCTION("""COMPUTED_VALUE"""),"(C)ぐりだそうむ/THE猥談/クロスフォリオ出版")</f>
        <v>(C)ぐりだそうむ/THE猥談/クロスフォリオ出版</v>
      </c>
      <c r="V2030" s="8" t="str">
        <f>IFERROR(__xludf.DUMMYFUNCTION("""COMPUTED_VALUE"""),"所謂、家庭環境がよろしくなかった。
私の行動を把握したがり、酷く執着してくる母との二人暮らし。
このままこの家にいたら...耐えきれなくなり衝動的に家を飛び出した。
考えもなく家を出て辿り着いたコンビニにいたのは、大学の先輩だった。
助けて欲しい家出女子大生と、苦しそうな女の顔に興奮する男の構図がすぐに出来上がり、気がついたら彼の汚い6畳1間で頭を撫でられていた。
もう何も考えたくない。全部が嫌だ。生きてるのが苦しいけど死にたくない。
クソみたいな現実から助けてくれる人を求めていた私は"&amp;"、決して何も解決させない彼の優しさに溺れていく。
※本作はぐりだそうむ、THE猥談の個人誌作品の電子書籍版となります。【28ページ】
※本作は『クソみたいな現実から逃げた先はヤリチン金無し夜勤コンビニバンドマンでした』の修正をやや弱めたものです。内容に差異はありません。")</f>
        <v>所謂、家庭環境がよろしくなかった。
私の行動を把握したがり、酷く執着してくる母との二人暮らし。
このままこの家にいたら...耐えきれなくなり衝動的に家を飛び出した。
考えもなく家を出て辿り着いたコンビニにいたのは、大学の先輩だった。
助けて欲しい家出女子大生と、苦しそうな女の顔に興奮する男の構図がすぐに出来上がり、気がついたら彼の汚い6畳1間で頭を撫でられていた。
もう何も考えたくない。全部が嫌だ。生きてるのが苦しいけど死にたくない。
クソみたいな現実から助けてくれる人を求めていた私は、決して何も解決させない彼の優しさに溺れていく。
※本作はぐりだそうむ、THE猥談の個人誌作品の電子書籍版となります。【28ページ】
※本作は『クソみたいな現実から逃げた先はヤリチン金無し夜勤コンビニバンドマンでした』の修正をやや弱めたものです。内容に差異はありません。</v>
      </c>
      <c r="W2030" s="14"/>
      <c r="X2030" s="14" t="str">
        <f>IFERROR(__xludf.DUMMYFUNCTION("""COMPUTED_VALUE"""),"有")</f>
        <v>有</v>
      </c>
      <c r="Y2030" s="8" t="str">
        <f>IFERROR(__xludf.DUMMYFUNCTION("""COMPUTED_VALUE"""),"P12まで")</f>
        <v>P12まで</v>
      </c>
      <c r="Z2030" s="7"/>
      <c r="AA2030" s="7"/>
      <c r="AB2030" s="7"/>
    </row>
    <row r="2031" ht="15.75" customHeight="1">
      <c r="A2031" s="66">
        <f>IFERROR(__xludf.DUMMYFUNCTION("""COMPUTED_VALUE"""),4034.0)</f>
        <v>4034</v>
      </c>
      <c r="B2031" s="67" t="str">
        <f>IFERROR(__xludf.DUMMYFUNCTION("""COMPUTED_VALUE"""),"確定")</f>
        <v>確定</v>
      </c>
      <c r="C2031" s="68">
        <f>IFERROR(__xludf.DUMMYFUNCTION("""COMPUTED_VALUE"""),45527.0)</f>
        <v>45527</v>
      </c>
      <c r="D2031" s="68">
        <f>IFERROR(__xludf.DUMMYFUNCTION("""COMPUTED_VALUE"""),45531.0)</f>
        <v>45531</v>
      </c>
      <c r="E2031" s="100">
        <f>IFERROR(__xludf.DUMMYFUNCTION("""COMPUTED_VALUE"""),283194.0)</f>
        <v>283194</v>
      </c>
      <c r="F2031" s="61" t="str">
        <f>IFERROR(__xludf.DUMMYFUNCTION("""COMPUTED_VALUE"""),"いま彼氏とかいらなくて（ウソ）")</f>
        <v>いま彼氏とかいらなくて（ウソ）</v>
      </c>
      <c r="G2031" s="69" t="str">
        <f>IFERROR(__xludf.DUMMYFUNCTION("""COMPUTED_VALUE"""),"1～3")</f>
        <v>1～3</v>
      </c>
      <c r="H2031" s="67" t="str">
        <f>IFERROR(__xludf.DUMMYFUNCTION("""COMPUTED_VALUE"""),"碧浪れもん")</f>
        <v>碧浪れもん</v>
      </c>
      <c r="I2031" s="67" t="str">
        <f>IFERROR(__xludf.DUMMYFUNCTION("""COMPUTED_VALUE"""),"女性")</f>
        <v>女性</v>
      </c>
      <c r="J2031" s="67"/>
      <c r="K2031" s="67"/>
      <c r="L2031" s="67" t="str">
        <f>IFERROR(__xludf.DUMMYFUNCTION("""COMPUTED_VALUE"""),"シーモアコミックス")</f>
        <v>シーモアコミックス</v>
      </c>
      <c r="M2031" s="47">
        <f>IFERROR(__xludf.DUMMYFUNCTION("""COMPUTED_VALUE"""),45563.0)</f>
        <v>45563</v>
      </c>
      <c r="N2031" s="85">
        <f>IFERROR(__xludf.DUMMYFUNCTION("""COMPUTED_VALUE"""),45624.0)</f>
        <v>45624</v>
      </c>
      <c r="O2031" s="67"/>
      <c r="P2031" s="70" t="str">
        <f>IFERROR(__xludf.DUMMYFUNCTION("""COMPUTED_VALUE"""),"可")</f>
        <v>可</v>
      </c>
      <c r="Q2031" s="72" t="str">
        <f>IFERROR(__xludf.DUMMYFUNCTION("""COMPUTED_VALUE"""),"レーベル：スキして?桃色日記")</f>
        <v>レーベル：スキして?桃色日記</v>
      </c>
      <c r="R2031" s="67"/>
      <c r="S2031" s="67" t="str">
        <f>IFERROR(__xludf.DUMMYFUNCTION("""COMPUTED_VALUE"""),"20240823_ソルマーレ編集部_いま彼氏とかいらなくて（ウソ）")</f>
        <v>20240823_ソルマーレ編集部_いま彼氏とかいらなくて（ウソ）</v>
      </c>
      <c r="T2031" s="67" t="str">
        <f>IFERROR(__xludf.DUMMYFUNCTION("""COMPUTED_VALUE"""),"格納済み")</f>
        <v>格納済み</v>
      </c>
      <c r="U2031" s="15" t="str">
        <f>IFERROR(__xludf.DUMMYFUNCTION("""COMPUTED_VALUE"""),"Ⓒ 碧浪れもん/シーモアコミックス")</f>
        <v>Ⓒ 碧浪れもん/シーモアコミックス</v>
      </c>
      <c r="V2031" s="8" t="str">
        <f>IFERROR(__xludf.DUMMYFUNCTION("""COMPUTED_VALUE"""),"一夜の関係が、ウソのせいで大延長…!? 上司と極秘のオフィスラブ☆
私の職場の上司・一条さんは仕事ができて容姿端麗、社内の女性の注目の的だ。私も一条さんに恋するひとり。でも、この恋はあきらめている。積極的にアピールできない地味な私にチャンスなんてないから。…それなのに、お互いにお酒に酔った勢いで夜を過ごすことに！
翌朝、一条さんに迷惑な女だと思われたくなくて「いま彼氏とかいらなくて」ってウソをついてしまった私。軽べつされるかと思ったけど、一条さんからは意外な提案をされて…？【桃色日記】")</f>
        <v>一夜の関係が、ウソのせいで大延長…!? 上司と極秘のオフィスラブ☆
私の職場の上司・一条さんは仕事ができて容姿端麗、社内の女性の注目の的だ。私も一条さんに恋するひとり。でも、この恋はあきらめている。積極的にアピールできない地味な私にチャンスなんてないから。…それなのに、お互いにお酒に酔った勢いで夜を過ごすことに！
翌朝、一条さんに迷惑な女だと思われたくなくて「いま彼氏とかいらなくて」ってウソをついてしまった私。軽べつされるかと思ったけど、一条さんからは意外な提案をされて…？【桃色日記】</v>
      </c>
      <c r="W2031" s="14"/>
      <c r="X2031" s="14" t="str">
        <f>IFERROR(__xludf.DUMMYFUNCTION("""COMPUTED_VALUE"""),"有")</f>
        <v>有</v>
      </c>
      <c r="Y2031" s="8" t="str">
        <f>IFERROR(__xludf.DUMMYFUNCTION("""COMPUTED_VALUE"""),"2024/10/25まで1巻無料")</f>
        <v>2024/10/25まで1巻無料</v>
      </c>
      <c r="Z2031" s="7"/>
      <c r="AA2031" s="7"/>
      <c r="AB2031" s="7"/>
    </row>
    <row r="2032" ht="15.75" customHeight="1">
      <c r="A2032" s="66">
        <f>IFERROR(__xludf.DUMMYFUNCTION("""COMPUTED_VALUE"""),4035.0)</f>
        <v>4035</v>
      </c>
      <c r="B2032" s="67" t="str">
        <f>IFERROR(__xludf.DUMMYFUNCTION("""COMPUTED_VALUE"""),"確定")</f>
        <v>確定</v>
      </c>
      <c r="C2032" s="68">
        <f>IFERROR(__xludf.DUMMYFUNCTION("""COMPUTED_VALUE"""),45527.0)</f>
        <v>45527</v>
      </c>
      <c r="D2032" s="68">
        <f>IFERROR(__xludf.DUMMYFUNCTION("""COMPUTED_VALUE"""),45531.0)</f>
        <v>45531</v>
      </c>
      <c r="E2032" s="100">
        <f>IFERROR(__xludf.DUMMYFUNCTION("""COMPUTED_VALUE"""),289015.0)</f>
        <v>289015</v>
      </c>
      <c r="F2032" s="61" t="str">
        <f>IFERROR(__xludf.DUMMYFUNCTION("""COMPUTED_VALUE"""),"番くんはこの縁を離さない")</f>
        <v>番くんはこの縁を離さない</v>
      </c>
      <c r="G2032" s="69" t="str">
        <f>IFERROR(__xludf.DUMMYFUNCTION("""COMPUTED_VALUE"""),"1～3")</f>
        <v>1～3</v>
      </c>
      <c r="H2032" s="67" t="str">
        <f>IFERROR(__xludf.DUMMYFUNCTION("""COMPUTED_VALUE"""),"かしこ")</f>
        <v>かしこ</v>
      </c>
      <c r="I2032" s="67" t="str">
        <f>IFERROR(__xludf.DUMMYFUNCTION("""COMPUTED_VALUE"""),"少女")</f>
        <v>少女</v>
      </c>
      <c r="J2032" s="67"/>
      <c r="K2032" s="67"/>
      <c r="L2032" s="67" t="str">
        <f>IFERROR(__xludf.DUMMYFUNCTION("""COMPUTED_VALUE"""),"シーモアコミックス")</f>
        <v>シーモアコミックス</v>
      </c>
      <c r="M2032" s="59">
        <f>IFERROR(__xludf.DUMMYFUNCTION("""COMPUTED_VALUE"""),45563.0)</f>
        <v>45563</v>
      </c>
      <c r="N2032" s="85">
        <f>IFERROR(__xludf.DUMMYFUNCTION("""COMPUTED_VALUE"""),45624.0)</f>
        <v>45624</v>
      </c>
      <c r="O2032" s="67"/>
      <c r="P2032" s="71" t="str">
        <f>IFERROR(__xludf.DUMMYFUNCTION("""COMPUTED_VALUE"""),"可")</f>
        <v>可</v>
      </c>
      <c r="Q2032" s="72"/>
      <c r="R2032" s="67"/>
      <c r="S2032" s="67" t="str">
        <f>IFERROR(__xludf.DUMMYFUNCTION("""COMPUTED_VALUE"""),"20240823_ソルマーレ編集部_番くんはこの縁を離さない")</f>
        <v>20240823_ソルマーレ編集部_番くんはこの縁を離さない</v>
      </c>
      <c r="T2032" s="67" t="str">
        <f>IFERROR(__xludf.DUMMYFUNCTION("""COMPUTED_VALUE"""),"格納済み")</f>
        <v>格納済み</v>
      </c>
      <c r="U2032" s="15" t="str">
        <f>IFERROR(__xludf.DUMMYFUNCTION("""COMPUTED_VALUE"""),"Ⓒ かしこ/シーモアコミックス")</f>
        <v>Ⓒ かしこ/シーモアコミックス</v>
      </c>
      <c r="V2032" s="8" t="str">
        <f>IFERROR(__xludf.DUMMYFUNCTION("""COMPUTED_VALUE"""),"怪力女子×大型犬モデルのコンプレックス克服ラブコメディ！
昔から力が強すぎて上手く人付き合いができない原科頼（はらしなより）。
ある日、その力で一人の男性を助ける…なんと彼は阿佐見番（あざみばん）という今人気急上昇中のモデルだった！
番は頼の力に憧れを持ち、力の秘訣を聞いてきたり、自分の出演するファッションショーに招待してきたり…この偶然の縁を離そうとしない。
「俺のことしっかり見ててくださいね」――と普段は大型犬のように慕ってくるのに、モデルの時は鋭い目つきに!? そのギャップはずるいよ、番くん"&amp;"！
【恋するソワレ】")</f>
        <v>怪力女子×大型犬モデルのコンプレックス克服ラブコメディ！
昔から力が強すぎて上手く人付き合いができない原科頼（はらしなより）。
ある日、その力で一人の男性を助ける…なんと彼は阿佐見番（あざみばん）という今人気急上昇中のモデルだった！
番は頼の力に憧れを持ち、力の秘訣を聞いてきたり、自分の出演するファッションショーに招待してきたり…この偶然の縁を離そうとしない。
「俺のことしっかり見ててくださいね」――と普段は大型犬のように慕ってくるのに、モデルの時は鋭い目つきに!? そのギャップはずるいよ、番くん！
【恋するソワレ】</v>
      </c>
      <c r="W2032" s="14"/>
      <c r="X2032" s="14" t="str">
        <f>IFERROR(__xludf.DUMMYFUNCTION("""COMPUTED_VALUE"""),"有")</f>
        <v>有</v>
      </c>
      <c r="Y2032" s="8" t="str">
        <f>IFERROR(__xludf.DUMMYFUNCTION("""COMPUTED_VALUE"""),"2024/10/25まで1巻無料")</f>
        <v>2024/10/25まで1巻無料</v>
      </c>
      <c r="Z2032" s="7"/>
      <c r="AA2032" s="7"/>
      <c r="AB2032" s="7"/>
    </row>
    <row r="2033" ht="15.75" customHeight="1">
      <c r="A2033" s="66">
        <f>IFERROR(__xludf.DUMMYFUNCTION("""COMPUTED_VALUE"""),4037.0)</f>
        <v>4037</v>
      </c>
      <c r="B2033" s="67" t="str">
        <f>IFERROR(__xludf.DUMMYFUNCTION("""COMPUTED_VALUE"""),"確定")</f>
        <v>確定</v>
      </c>
      <c r="C2033" s="68">
        <f>IFERROR(__xludf.DUMMYFUNCTION("""COMPUTED_VALUE"""),45527.0)</f>
        <v>45527</v>
      </c>
      <c r="D2033" s="68">
        <f>IFERROR(__xludf.DUMMYFUNCTION("""COMPUTED_VALUE"""),45531.0)</f>
        <v>45531</v>
      </c>
      <c r="E2033" s="100">
        <f>IFERROR(__xludf.DUMMYFUNCTION("""COMPUTED_VALUE"""),289481.0)</f>
        <v>289481</v>
      </c>
      <c r="F2033" s="61" t="str">
        <f>IFERROR(__xludf.DUMMYFUNCTION("""COMPUTED_VALUE"""),"この子のパパはアナタに決めた～できちゃったから托卵します～")</f>
        <v>この子のパパはアナタに決めた～できちゃったから托卵します～</v>
      </c>
      <c r="G2033" s="69" t="str">
        <f>IFERROR(__xludf.DUMMYFUNCTION("""COMPUTED_VALUE"""),"1～3")</f>
        <v>1～3</v>
      </c>
      <c r="H2033" s="67" t="str">
        <f>IFERROR(__xludf.DUMMYFUNCTION("""COMPUTED_VALUE"""),"ひつじま羊")</f>
        <v>ひつじま羊</v>
      </c>
      <c r="I2033" s="67" t="str">
        <f>IFERROR(__xludf.DUMMYFUNCTION("""COMPUTED_VALUE"""),"女性")</f>
        <v>女性</v>
      </c>
      <c r="J2033" s="67"/>
      <c r="K2033" s="67"/>
      <c r="L2033" s="67" t="str">
        <f>IFERROR(__xludf.DUMMYFUNCTION("""COMPUTED_VALUE"""),"シーモアコミックス")</f>
        <v>シーモアコミックス</v>
      </c>
      <c r="M2033" s="85">
        <f>IFERROR(__xludf.DUMMYFUNCTION("""COMPUTED_VALUE"""),45576.0)</f>
        <v>45576</v>
      </c>
      <c r="N2033" s="59">
        <f>IFERROR(__xludf.DUMMYFUNCTION("""COMPUTED_VALUE"""),45792.66666666667)</f>
        <v>45792.66667</v>
      </c>
      <c r="O2033" s="67"/>
      <c r="P2033" s="70" t="str">
        <f>IFERROR(__xludf.DUMMYFUNCTION("""COMPUTED_VALUE"""),"可")</f>
        <v>可</v>
      </c>
      <c r="Q2033" s="92"/>
      <c r="R2033" s="92">
        <f>IFERROR(__xludf.DUMMYFUNCTION("""COMPUTED_VALUE"""),45527.0)</f>
        <v>45527</v>
      </c>
      <c r="S2033" s="67" t="str">
        <f>IFERROR(__xludf.DUMMYFUNCTION("""COMPUTED_VALUE"""),"20240823_シーモアコミックス_この子のパパはアナタに決めた～できちゃったから托卵します～")</f>
        <v>20240823_シーモアコミックス_この子のパパはアナタに決めた～できちゃったから托卵します～</v>
      </c>
      <c r="T2033" s="67" t="str">
        <f>IFERROR(__xludf.DUMMYFUNCTION("""COMPUTED_VALUE"""),"格納済み")</f>
        <v>格納済み</v>
      </c>
      <c r="U2033" s="15" t="str">
        <f>IFERROR(__xludf.DUMMYFUNCTION("""COMPUTED_VALUE"""),"© ひつじま羊/シーモアコミックス")</f>
        <v>© ひつじま羊/シーモアコミックス</v>
      </c>
      <c r="V2033" s="8" t="str">
        <f>IFERROR(__xludf.DUMMYFUNCTION("""COMPUTED_VALUE"""),"キラキラ女子を目指して上京した町田ノリヨ・通称「りよち」。30歳を目の前に、ギャラ飲みやパパ活で生活することに限界を感じつつあったある日、自分が妊娠していることに気が付く。お腹の子の父親は誰なのかわからないことを逆手に取り、「一番いい男の子供」にしようと目論むりよちだったが…？")</f>
        <v>キラキラ女子を目指して上京した町田ノリヨ・通称「りよち」。30歳を目の前に、ギャラ飲みやパパ活で生活することに限界を感じつつあったある日、自分が妊娠していることに気が付く。お腹の子の父親は誰なのかわからないことを逆手に取り、「一番いい男の子供」にしようと目論むりよちだったが…？</v>
      </c>
      <c r="W2033" s="14"/>
      <c r="X2033" s="14" t="str">
        <f>IFERROR(__xludf.DUMMYFUNCTION("""COMPUTED_VALUE"""),"有")</f>
        <v>有</v>
      </c>
      <c r="Y2033" s="8" t="str">
        <f>IFERROR(__xludf.DUMMYFUNCTION("""COMPUTED_VALUE"""),"P15まで")</f>
        <v>P15まで</v>
      </c>
      <c r="Z2033" s="7"/>
      <c r="AA2033" s="7"/>
      <c r="AB2033" s="7"/>
    </row>
    <row r="2034" ht="15.75" customHeight="1">
      <c r="A2034" s="66">
        <f>IFERROR(__xludf.DUMMYFUNCTION("""COMPUTED_VALUE"""),4038.0)</f>
        <v>4038</v>
      </c>
      <c r="B2034" s="67" t="str">
        <f>IFERROR(__xludf.DUMMYFUNCTION("""COMPUTED_VALUE"""),"確定")</f>
        <v>確定</v>
      </c>
      <c r="C2034" s="68">
        <f>IFERROR(__xludf.DUMMYFUNCTION("""COMPUTED_VALUE"""),45527.0)</f>
        <v>45527</v>
      </c>
      <c r="D2034" s="68">
        <f>IFERROR(__xludf.DUMMYFUNCTION("""COMPUTED_VALUE"""),45527.0)</f>
        <v>45527</v>
      </c>
      <c r="E2034" s="100">
        <f>IFERROR(__xludf.DUMMYFUNCTION("""COMPUTED_VALUE"""),291597.0)</f>
        <v>291597</v>
      </c>
      <c r="F2034" s="61" t="str">
        <f>IFERROR(__xludf.DUMMYFUNCTION("""COMPUTED_VALUE"""),"妊活契約～ハイスペ上司と秘密の関係～")</f>
        <v>妊活契約～ハイスペ上司と秘密の関係～</v>
      </c>
      <c r="G2034" s="69" t="str">
        <f>IFERROR(__xludf.DUMMYFUNCTION("""COMPUTED_VALUE"""),"1～3")</f>
        <v>1～3</v>
      </c>
      <c r="H2034" s="67" t="str">
        <f>IFERROR(__xludf.DUMMYFUNCTION("""COMPUTED_VALUE"""),"漣ライカ")</f>
        <v>漣ライカ</v>
      </c>
      <c r="I2034" s="67" t="str">
        <f>IFERROR(__xludf.DUMMYFUNCTION("""COMPUTED_VALUE"""),"女性")</f>
        <v>女性</v>
      </c>
      <c r="J2034" s="67"/>
      <c r="K2034" s="67"/>
      <c r="L2034" s="67" t="str">
        <f>IFERROR(__xludf.DUMMYFUNCTION("""COMPUTED_VALUE"""),"シーモアコミックス")</f>
        <v>シーモアコミックス</v>
      </c>
      <c r="M2034" s="85">
        <f>IFERROR(__xludf.DUMMYFUNCTION("""COMPUTED_VALUE"""),45576.0)</f>
        <v>45576</v>
      </c>
      <c r="N2034" s="59">
        <f>IFERROR(__xludf.DUMMYFUNCTION("""COMPUTED_VALUE"""),45729.0)</f>
        <v>45729</v>
      </c>
      <c r="O2034" s="67"/>
      <c r="P2034" s="71" t="str">
        <f>IFERROR(__xludf.DUMMYFUNCTION("""COMPUTED_VALUE"""),"可")</f>
        <v>可</v>
      </c>
      <c r="Q2034" s="92"/>
      <c r="R2034" s="92">
        <f>IFERROR(__xludf.DUMMYFUNCTION("""COMPUTED_VALUE"""),45527.0)</f>
        <v>45527</v>
      </c>
      <c r="S2034" s="67" t="str">
        <f>IFERROR(__xludf.DUMMYFUNCTION("""COMPUTED_VALUE"""),"20240823_シーモアコミックス_妊活契約～ハイスペ上司と秘密の関係～")</f>
        <v>20240823_シーモアコミックス_妊活契約～ハイスペ上司と秘密の関係～</v>
      </c>
      <c r="T2034" s="67" t="str">
        <f>IFERROR(__xludf.DUMMYFUNCTION("""COMPUTED_VALUE"""),"格納済み")</f>
        <v>格納済み</v>
      </c>
      <c r="U2034" s="15" t="str">
        <f>IFERROR(__xludf.DUMMYFUNCTION("""COMPUTED_VALUE"""),"© 漣ライカ/シーモアコミックス")</f>
        <v>© 漣ライカ/シーモアコミックス</v>
      </c>
      <c r="V2034" s="8" t="str">
        <f>IFERROR(__xludf.DUMMYFUNCTION("""COMPUTED_VALUE"""),"営業成績トップクラスの森山日奈は34歳。一方的な彼氏の別れ話に「男なんていらない…けど、子供は欲しい」と選択的シングルマザーになることを思い立つ。年齢的にも崖っぷち、信頼できて後腐れなく子供を授けてくれる人――思い詰めた日奈は、「恋愛も結婚もしない」と公言するハイスペ上司・氷川に相談して…？「妊活契約」からはじまる、大人のもだキュンラブ！")</f>
        <v>営業成績トップクラスの森山日奈は34歳。一方的な彼氏の別れ話に「男なんていらない…けど、子供は欲しい」と選択的シングルマザーになることを思い立つ。年齢的にも崖っぷち、信頼できて後腐れなく子供を授けてくれる人――思い詰めた日奈は、「恋愛も結婚もしない」と公言するハイスペ上司・氷川に相談して…？「妊活契約」からはじまる、大人のもだキュンラブ！</v>
      </c>
      <c r="W2034" s="14"/>
      <c r="X2034" s="14" t="str">
        <f>IFERROR(__xludf.DUMMYFUNCTION("""COMPUTED_VALUE"""),"有")</f>
        <v>有</v>
      </c>
      <c r="Y2034" s="8" t="str">
        <f>IFERROR(__xludf.DUMMYFUNCTION("""COMPUTED_VALUE"""),"P13まで")</f>
        <v>P13まで</v>
      </c>
      <c r="Z2034" s="7"/>
      <c r="AA2034" s="7"/>
      <c r="AB2034" s="7"/>
    </row>
    <row r="2035" ht="15.75" customHeight="1">
      <c r="A2035" s="66">
        <f>IFERROR(__xludf.DUMMYFUNCTION("""COMPUTED_VALUE"""),4039.0)</f>
        <v>4039</v>
      </c>
      <c r="B2035" s="67" t="str">
        <f>IFERROR(__xludf.DUMMYFUNCTION("""COMPUTED_VALUE"""),"確定")</f>
        <v>確定</v>
      </c>
      <c r="C2035" s="68">
        <f>IFERROR(__xludf.DUMMYFUNCTION("""COMPUTED_VALUE"""),45530.0)</f>
        <v>45530</v>
      </c>
      <c r="D2035" s="68">
        <f>IFERROR(__xludf.DUMMYFUNCTION("""COMPUTED_VALUE"""),45531.0)</f>
        <v>45531</v>
      </c>
      <c r="E2035" s="60">
        <f>IFERROR(__xludf.DUMMYFUNCTION("""COMPUTED_VALUE"""),303711.0)</f>
        <v>303711</v>
      </c>
      <c r="F2035" s="61" t="str">
        <f>IFERROR(__xludf.DUMMYFUNCTION("""COMPUTED_VALUE"""),"もう一回シてみない？～初体験相手のアイツとしか気持ち良くなれない説")</f>
        <v>もう一回シてみない？～初体験相手のアイツとしか気持ち良くなれない説</v>
      </c>
      <c r="G2035" s="69" t="str">
        <f>IFERROR(__xludf.DUMMYFUNCTION("""COMPUTED_VALUE"""),"1～3")</f>
        <v>1～3</v>
      </c>
      <c r="H2035" s="67" t="str">
        <f>IFERROR(__xludf.DUMMYFUNCTION("""COMPUTED_VALUE"""),"ほたンて")</f>
        <v>ほたンて</v>
      </c>
      <c r="I2035" s="67" t="str">
        <f>IFERROR(__xludf.DUMMYFUNCTION("""COMPUTED_VALUE"""),"TL")</f>
        <v>TL</v>
      </c>
      <c r="J2035" s="67"/>
      <c r="K2035" s="67"/>
      <c r="L2035" s="67" t="str">
        <f>IFERROR(__xludf.DUMMYFUNCTION("""COMPUTED_VALUE"""),"パチカ")</f>
        <v>パチカ</v>
      </c>
      <c r="M2035" s="47">
        <f>IFERROR(__xludf.DUMMYFUNCTION("""COMPUTED_VALUE"""),45569.0)</f>
        <v>45569</v>
      </c>
      <c r="N2035" s="88">
        <f>IFERROR(__xludf.DUMMYFUNCTION("""COMPUTED_VALUE"""),45597.0)</f>
        <v>45597</v>
      </c>
      <c r="O2035" s="67"/>
      <c r="P2035" s="70" t="str">
        <f>IFERROR(__xludf.DUMMYFUNCTION("""COMPUTED_VALUE"""),"可")</f>
        <v>可</v>
      </c>
      <c r="Q2035" s="72" t="str">
        <f>IFERROR(__xludf.DUMMYFUNCTION("""COMPUTED_VALUE"""),"コミックフェスタからの2次先行です&lt;BR&gt;3話目からはシーモア独占先行となります。&lt;BR&gt;1~2話を格納しておりますがこちらで出稿バナーのご制作をいただければとおもいます。")</f>
        <v>コミックフェスタからの2次先行です&lt;BR&gt;3話目からはシーモア独占先行となります。&lt;BR&gt;1~2話を格納しておりますがこちらで出稿バナーのご制作をいただければとおもいます。</v>
      </c>
      <c r="R2035" s="67"/>
      <c r="S2035" s="67" t="str">
        <f>IFERROR(__xludf.DUMMYFUNCTION("""COMPUTED_VALUE"""),"20240826_ウェイブ_もう一回シてみない？～初体験相手のアイツとしか気持ち良くなれない説")</f>
        <v>20240826_ウェイブ_もう一回シてみない？～初体験相手のアイツとしか気持ち良くなれない説</v>
      </c>
      <c r="T2035" s="67" t="str">
        <f>IFERROR(__xludf.DUMMYFUNCTION("""COMPUTED_VALUE"""),"格納済み")</f>
        <v>格納済み</v>
      </c>
      <c r="U2035" s="15" t="str">
        <f>IFERROR(__xludf.DUMMYFUNCTION("""COMPUTED_VALUE"""),"🄫ほたンて／patica")</f>
        <v>🄫ほたンて／patica</v>
      </c>
      <c r="V2035" s="8" t="str">
        <f>IFERROR(__xludf.DUMMYFUNCTION("""COMPUTED_VALUE"""),"「俺もお前が忘れられなかった」幻滅前提セックスのはずだったのに、あの日のように求めあって…。──OLの千穂には、ある悩みが…それは、最高の初体験のせいで、彼氏とのセックスに満足できないこと。そのせいで彼氏と長く続かず、親にも心配される始末…。どうにかしたいと思っていた矢先、すべての原因である初体験の相手・颯真に再会してしまう！前に進むため、千穂はお酒の力も借りて「もう一回シてみない？」と誘うと、颯真も同じ悩みのようで…？幻滅前提で抱かれるはずだったのに、なんで颯真だと気持ちいいの…っ")</f>
        <v>「俺もお前が忘れられなかった」幻滅前提セックスのはずだったのに、あの日のように求めあって…。──OLの千穂には、ある悩みが…それは、最高の初体験のせいで、彼氏とのセックスに満足できないこと。そのせいで彼氏と長く続かず、親にも心配される始末…。どうにかしたいと思っていた矢先、すべての原因である初体験の相手・颯真に再会してしまう！前に進むため、千穂はお酒の力も借りて「もう一回シてみない？」と誘うと、颯真も同じ悩みのようで…？幻滅前提で抱かれるはずだったのに、なんで颯真だと気持ちいいの…っ</v>
      </c>
      <c r="W2035" s="14"/>
      <c r="X2035" s="14" t="str">
        <f>IFERROR(__xludf.DUMMYFUNCTION("""COMPUTED_VALUE"""),"有")</f>
        <v>有</v>
      </c>
      <c r="Y2035" s="8" t="str">
        <f>IFERROR(__xludf.DUMMYFUNCTION("""COMPUTED_VALUE"""),"P14まで")</f>
        <v>P14まで</v>
      </c>
      <c r="Z2035" s="7"/>
      <c r="AA2035" s="7"/>
      <c r="AB2035" s="7"/>
    </row>
    <row r="2036" ht="15.75" customHeight="1">
      <c r="A2036" s="66">
        <f>IFERROR(__xludf.DUMMYFUNCTION("""COMPUTED_VALUE"""),4043.0)</f>
        <v>4043</v>
      </c>
      <c r="B2036" s="67" t="str">
        <f>IFERROR(__xludf.DUMMYFUNCTION("""COMPUTED_VALUE"""),"確定")</f>
        <v>確定</v>
      </c>
      <c r="C2036" s="68">
        <f>IFERROR(__xludf.DUMMYFUNCTION("""COMPUTED_VALUE"""),45530.0)</f>
        <v>45530</v>
      </c>
      <c r="D2036" s="68">
        <f>IFERROR(__xludf.DUMMYFUNCTION("""COMPUTED_VALUE"""),45530.0)</f>
        <v>45530</v>
      </c>
      <c r="E2036" s="100">
        <f>IFERROR(__xludf.DUMMYFUNCTION("""COMPUTED_VALUE"""),301062.0)</f>
        <v>301062</v>
      </c>
      <c r="F2036" s="61" t="str">
        <f>IFERROR(__xludf.DUMMYFUNCTION("""COMPUTED_VALUE"""),"夫の初恋")</f>
        <v>夫の初恋</v>
      </c>
      <c r="G2036" s="69" t="str">
        <f>IFERROR(__xludf.DUMMYFUNCTION("""COMPUTED_VALUE"""),"1～3")</f>
        <v>1～3</v>
      </c>
      <c r="H2036" s="67" t="str">
        <f>IFERROR(__xludf.DUMMYFUNCTION("""COMPUTED_VALUE"""),"瀧玲子,神木明花,たかせしゅうほう")</f>
        <v>瀧玲子,神木明花,たかせしゅうほう</v>
      </c>
      <c r="I2036" s="67" t="str">
        <f>IFERROR(__xludf.DUMMYFUNCTION("""COMPUTED_VALUE"""),"女性")</f>
        <v>女性</v>
      </c>
      <c r="J2036" s="67"/>
      <c r="K2036" s="67"/>
      <c r="L2036" s="67" t="str">
        <f>IFERROR(__xludf.DUMMYFUNCTION("""COMPUTED_VALUE"""),"シーモアコミックス")</f>
        <v>シーモアコミックス</v>
      </c>
      <c r="M2036" s="85">
        <f>IFERROR(__xludf.DUMMYFUNCTION("""COMPUTED_VALUE"""),45576.0)</f>
        <v>45576</v>
      </c>
      <c r="N2036" s="59">
        <f>IFERROR(__xludf.DUMMYFUNCTION("""COMPUTED_VALUE"""),45729.0)</f>
        <v>45729</v>
      </c>
      <c r="O2036" s="67"/>
      <c r="P2036" s="71" t="str">
        <f>IFERROR(__xludf.DUMMYFUNCTION("""COMPUTED_VALUE"""),"可")</f>
        <v>可</v>
      </c>
      <c r="Q2036" s="92"/>
      <c r="R2036" s="92">
        <f>IFERROR(__xludf.DUMMYFUNCTION("""COMPUTED_VALUE"""),45530.0)</f>
        <v>45530</v>
      </c>
      <c r="S2036" s="67" t="str">
        <f>IFERROR(__xludf.DUMMYFUNCTION("""COMPUTED_VALUE"""),"20240826_シーモアコミックス_夫の初恋")</f>
        <v>20240826_シーモアコミックス_夫の初恋</v>
      </c>
      <c r="T2036" s="67" t="str">
        <f>IFERROR(__xludf.DUMMYFUNCTION("""COMPUTED_VALUE"""),"格納済み")</f>
        <v>格納済み</v>
      </c>
      <c r="U2036" s="15" t="str">
        <f>IFERROR(__xludf.DUMMYFUNCTION("""COMPUTED_VALUE"""),"© 瀧玲子/神木明花/たかせしゅうほう/シーモアコミックス")</f>
        <v>© 瀧玲子/神木明花/たかせしゅうほう/シーモアコミックス</v>
      </c>
      <c r="V2036" s="8" t="str">
        <f>IFERROR(__xludf.DUMMYFUNCTION("""COMPUTED_VALUE"""),"可愛い子ども2人と真面目な夫に囲まれて、幸せな毎日を過ごす主人公・茜。しかし最近、夫はランニングと称して夜に出かけていく…。不信感を覚えた茜が夫のスマホを見てみると、誰か女性にあてた未送信のラブメールが。夫を問いただしてみるも、肉体関係はもちろんのこと、気持ちを伝えたことさえないと言う。ただ彼女に恋をしてしまっただけで、浮気なんかではないと言い張る夫に、戸惑う茜が下す決断は――…。")</f>
        <v>可愛い子ども2人と真面目な夫に囲まれて、幸せな毎日を過ごす主人公・茜。しかし最近、夫はランニングと称して夜に出かけていく…。不信感を覚えた茜が夫のスマホを見てみると、誰か女性にあてた未送信のラブメールが。夫を問いただしてみるも、肉体関係はもちろんのこと、気持ちを伝えたことさえないと言う。ただ彼女に恋をしてしまっただけで、浮気なんかではないと言い張る夫に、戸惑う茜が下す決断は――…。</v>
      </c>
      <c r="W2036" s="14"/>
      <c r="X2036" s="14" t="str">
        <f>IFERROR(__xludf.DUMMYFUNCTION("""COMPUTED_VALUE"""),"有")</f>
        <v>有</v>
      </c>
      <c r="Y2036" s="8" t="str">
        <f>IFERROR(__xludf.DUMMYFUNCTION("""COMPUTED_VALUE"""),"P10まで")</f>
        <v>P10まで</v>
      </c>
      <c r="Z2036" s="7"/>
      <c r="AA2036" s="7"/>
      <c r="AB2036" s="7"/>
    </row>
    <row r="2037" ht="15.75" customHeight="1">
      <c r="A2037" s="66">
        <f>IFERROR(__xludf.DUMMYFUNCTION("""COMPUTED_VALUE"""),4048.0)</f>
        <v>4048</v>
      </c>
      <c r="B2037" s="67" t="str">
        <f>IFERROR(__xludf.DUMMYFUNCTION("""COMPUTED_VALUE"""),"確定")</f>
        <v>確定</v>
      </c>
      <c r="C2037" s="68">
        <f>IFERROR(__xludf.DUMMYFUNCTION("""COMPUTED_VALUE"""),45531.0)</f>
        <v>45531</v>
      </c>
      <c r="D2037" s="68">
        <f>IFERROR(__xludf.DUMMYFUNCTION("""COMPUTED_VALUE"""),45532.0)</f>
        <v>45532</v>
      </c>
      <c r="E2037" s="60">
        <f>IFERROR(__xludf.DUMMYFUNCTION("""COMPUTED_VALUE"""),302003.0)</f>
        <v>302003</v>
      </c>
      <c r="F2037" s="61" t="str">
        <f>IFERROR(__xludf.DUMMYFUNCTION("""COMPUTED_VALUE"""),"黒狼様の深愛なる花嫁～甘くしあわせな番契約～")</f>
        <v>黒狼様の深愛なる花嫁～甘くしあわせな番契約～</v>
      </c>
      <c r="G2037" s="69" t="str">
        <f>IFERROR(__xludf.DUMMYFUNCTION("""COMPUTED_VALUE"""),"1～3")</f>
        <v>1～3</v>
      </c>
      <c r="H2037" s="67" t="str">
        <f>IFERROR(__xludf.DUMMYFUNCTION("""COMPUTED_VALUE"""),"編乃肌、SORAJIMA")</f>
        <v>編乃肌、SORAJIMA</v>
      </c>
      <c r="I2037" s="67" t="str">
        <f>IFERROR(__xludf.DUMMYFUNCTION("""COMPUTED_VALUE"""),"少女")</f>
        <v>少女</v>
      </c>
      <c r="J2037" s="67"/>
      <c r="K2037" s="67"/>
      <c r="L2037" s="67" t="str">
        <f>IFERROR(__xludf.DUMMYFUNCTION("""COMPUTED_VALUE"""),"SORAJIMA")</f>
        <v>SORAJIMA</v>
      </c>
      <c r="M2037" s="59">
        <f>IFERROR(__xludf.DUMMYFUNCTION("""COMPUTED_VALUE"""),45563.0)</f>
        <v>45563</v>
      </c>
      <c r="N2037" s="68">
        <f>IFERROR(__xludf.DUMMYFUNCTION("""COMPUTED_VALUE"""),45653.0)</f>
        <v>45653</v>
      </c>
      <c r="O2037" s="67"/>
      <c r="P2037" s="70" t="str">
        <f>IFERROR(__xludf.DUMMYFUNCTION("""COMPUTED_VALUE"""),"可")</f>
        <v>可</v>
      </c>
      <c r="Q2037" s="72" t="str">
        <f>IFERROR(__xludf.DUMMYFUNCTION("""COMPUTED_VALUE"""),"・河上さんと会話済み。出稿コミットお願いいたします。")</f>
        <v>・河上さんと会話済み。出稿コミットお願いいたします。</v>
      </c>
      <c r="R2037" s="67"/>
      <c r="S2037" s="67" t="str">
        <f>IFERROR(__xludf.DUMMYFUNCTION("""COMPUTED_VALUE"""),"20240827_SORAJIMA_黒狼様の深愛なる花嫁〜甘くしあわせな番契約〜")</f>
        <v>20240827_SORAJIMA_黒狼様の深愛なる花嫁〜甘くしあわせな番契約〜</v>
      </c>
      <c r="T2037" s="67" t="str">
        <f>IFERROR(__xludf.DUMMYFUNCTION("""COMPUTED_VALUE"""),"格納済み")</f>
        <v>格納済み</v>
      </c>
      <c r="U2037" s="15" t="str">
        <f>IFERROR(__xludf.DUMMYFUNCTION("""COMPUTED_VALUE"""),"©編乃肌/SORAJIMA")</f>
        <v>©編乃肌/SORAJIMA</v>
      </c>
      <c r="V2037" s="8" t="str">
        <f>IFERROR(__xludf.DUMMYFUNCTION("""COMPUTED_VALUE"""),"ツユリは幼い頃に悪鬼に襲われ、胸に醜い爪痕がある。両親を喪い従姉妹の家に引き取られ、弟の治療費と引き換えに昼夜問わず働かされる日々を送っていた。『悪鬼のお手つき』そう虐げられながらも、弟のために耐えるツユリ。しかし、残酷な真実を知った時、現れたのは一匹の黒い狼。獣は美しい男へと変化し……「これは契約だ。花嫁として、俺はお前が欲しい」そして始まった利害一致の契約結婚。なのに、甘く溺愛してくる、彼の真意は……？
【クレジット】原案:編乃肌 / ネーム:八砂みぎ / 人物線画:藍月・クボ / 背景:雪森かさ乃"&amp;" / ベタトーン・仕上げ:唯衣・翠那るう / キャラクターデザイン:峪")</f>
        <v>ツユリは幼い頃に悪鬼に襲われ、胸に醜い爪痕がある。両親を喪い従姉妹の家に引き取られ、弟の治療費と引き換えに昼夜問わず働かされる日々を送っていた。『悪鬼のお手つき』そう虐げられながらも、弟のために耐えるツユリ。しかし、残酷な真実を知った時、現れたのは一匹の黒い狼。獣は美しい男へと変化し……「これは契約だ。花嫁として、俺はお前が欲しい」そして始まった利害一致の契約結婚。なのに、甘く溺愛してくる、彼の真意は……？
【クレジット】原案:編乃肌 / ネーム:八砂みぎ / 人物線画:藍月・クボ / 背景:雪森かさ乃 / ベタトーン・仕上げ:唯衣・翠那るう / キャラクターデザイン:峪</v>
      </c>
      <c r="W2037" s="14"/>
      <c r="X2037" s="14" t="str">
        <f>IFERROR(__xludf.DUMMYFUNCTION("""COMPUTED_VALUE"""),"有")</f>
        <v>有</v>
      </c>
      <c r="Y2037" s="8" t="str">
        <f>IFERROR(__xludf.DUMMYFUNCTION("""COMPUTED_VALUE"""),"2024/11/9まで1巻無料")</f>
        <v>2024/11/9まで1巻無料</v>
      </c>
      <c r="Z2037" s="7"/>
      <c r="AA2037" s="7"/>
      <c r="AB2037" s="7"/>
    </row>
    <row r="2038" ht="15.75" customHeight="1">
      <c r="A2038" s="76">
        <f>IFERROR(__xludf.DUMMYFUNCTION("""COMPUTED_VALUE"""),3688.0)</f>
        <v>3688</v>
      </c>
      <c r="B2038" s="108" t="str">
        <f>IFERROR(__xludf.DUMMYFUNCTION("""COMPUTED_VALUE"""),"確定")</f>
        <v>確定</v>
      </c>
      <c r="C2038" s="74">
        <f>IFERROR(__xludf.DUMMYFUNCTION("""COMPUTED_VALUE"""),45468.0)</f>
        <v>45468</v>
      </c>
      <c r="D2038" s="74">
        <f>IFERROR(__xludf.DUMMYFUNCTION("""COMPUTED_VALUE"""),45533.0)</f>
        <v>45533</v>
      </c>
      <c r="E2038" s="109">
        <f>IFERROR(__xludf.DUMMYFUNCTION("""COMPUTED_VALUE"""),301507.0)</f>
        <v>301507</v>
      </c>
      <c r="F2038" s="109" t="str">
        <f>IFERROR(__xludf.DUMMYFUNCTION("""COMPUTED_VALUE"""),"残念な恋の主人公たち【マイクロ】")</f>
        <v>残念な恋の主人公たち【マイクロ】</v>
      </c>
      <c r="G2038" s="69" t="str">
        <f>IFERROR(__xludf.DUMMYFUNCTION("""COMPUTED_VALUE"""),"1～3")</f>
        <v>1～3</v>
      </c>
      <c r="H2038" s="108" t="str">
        <f>IFERROR(__xludf.DUMMYFUNCTION("""COMPUTED_VALUE"""),"あわい輝咲")</f>
        <v>あわい輝咲</v>
      </c>
      <c r="I2038" s="78" t="str">
        <f>IFERROR(__xludf.DUMMYFUNCTION("""COMPUTED_VALUE"""),"女性")</f>
        <v>女性</v>
      </c>
      <c r="J2038" s="108"/>
      <c r="K2038" s="108"/>
      <c r="L2038" s="108" t="str">
        <f>IFERROR(__xludf.DUMMYFUNCTION("""COMPUTED_VALUE"""),"小学館")</f>
        <v>小学館</v>
      </c>
      <c r="M2038" s="59">
        <f>IFERROR(__xludf.DUMMYFUNCTION("""COMPUTED_VALUE"""),45550.0)</f>
        <v>45550</v>
      </c>
      <c r="N2038" s="73">
        <f>IFERROR(__xludf.DUMMYFUNCTION("""COMPUTED_VALUE"""),45610.0)</f>
        <v>45610</v>
      </c>
      <c r="O2038" s="108"/>
      <c r="P2038" s="110" t="str">
        <f>IFERROR(__xludf.DUMMYFUNCTION("""COMPUTED_VALUE"""),"否")</f>
        <v>否</v>
      </c>
      <c r="Q2038" s="111" t="str">
        <f>IFERROR(__xludf.DUMMYFUNCTION("""COMPUTED_VALUE"""),"広告コミットOK（6/28）")</f>
        <v>広告コミットOK（6/28）</v>
      </c>
      <c r="R2038" s="108"/>
      <c r="S2038" s="108" t="str">
        <f>IFERROR(__xludf.DUMMYFUNCTION("""COMPUTED_VALUE"""),"20240829_小学館_残念な恋の主人公たち【マイクロ】")</f>
        <v>20240829_小学館_残念な恋の主人公たち【マイクロ】</v>
      </c>
      <c r="T2038" s="108" t="str">
        <f>IFERROR(__xludf.DUMMYFUNCTION("""COMPUTED_VALUE"""),"格納済み")</f>
        <v>格納済み</v>
      </c>
      <c r="U2038" s="15" t="str">
        <f>IFERROR(__xludf.DUMMYFUNCTION("""COMPUTED_VALUE"""),"(C)あわい輝咲 / 小学館")</f>
        <v>(C)あわい輝咲 / 小学館</v>
      </c>
      <c r="V2038" s="8" t="str">
        <f>IFERROR(__xludf.DUMMYFUNCTION("""COMPUTED_VALUE"""),"周囲にはバレバレ。当人たちだけが気づかない！圧倒的高純度両片思い、開幕！！高校2年生の春、同じクラスになった羽花と幻。実は、２人は周囲にはバレバレで本人だけは気づかない残念すぎる両片思い中で…！？")</f>
        <v>周囲にはバレバレ。当人たちだけが気づかない！圧倒的高純度両片思い、開幕！！高校2年生の春、同じクラスになった羽花と幻。実は、２人は周囲にはバレバレで本人だけは気づかない残念すぎる両片思い中で…！？</v>
      </c>
      <c r="W2038" s="14"/>
      <c r="X2038" s="14" t="str">
        <f>IFERROR(__xludf.DUMMYFUNCTION("""COMPUTED_VALUE"""),"有")</f>
        <v>有</v>
      </c>
      <c r="Y2038" s="8" t="str">
        <f>IFERROR(__xludf.DUMMYFUNCTION("""COMPUTED_VALUE"""),"2024/11/14まで1巻無料")</f>
        <v>2024/11/14まで1巻無料</v>
      </c>
      <c r="Z2038" s="7"/>
      <c r="AA2038" s="7"/>
      <c r="AB2038" s="7"/>
    </row>
    <row r="2039" ht="15.75" customHeight="1">
      <c r="A2039" s="76">
        <f>IFERROR(__xludf.DUMMYFUNCTION("""COMPUTED_VALUE"""),3868.0)</f>
        <v>3868</v>
      </c>
      <c r="B2039" s="108" t="str">
        <f>IFERROR(__xludf.DUMMYFUNCTION("""COMPUTED_VALUE"""),"確定")</f>
        <v>確定</v>
      </c>
      <c r="C2039" s="74">
        <f>IFERROR(__xludf.DUMMYFUNCTION("""COMPUTED_VALUE"""),45502.0)</f>
        <v>45502</v>
      </c>
      <c r="D2039" s="74">
        <f>IFERROR(__xludf.DUMMYFUNCTION("""COMPUTED_VALUE"""),45533.0)</f>
        <v>45533</v>
      </c>
      <c r="E2039" s="109">
        <f>IFERROR(__xludf.DUMMYFUNCTION("""COMPUTED_VALUE"""),244984.0)</f>
        <v>244984</v>
      </c>
      <c r="F2039" s="109" t="str">
        <f>IFERROR(__xludf.DUMMYFUNCTION("""COMPUTED_VALUE"""),"夏の楽園ハーレムセックス")</f>
        <v>夏の楽園ハーレムセックス</v>
      </c>
      <c r="G2039" s="69" t="str">
        <f>IFERROR(__xludf.DUMMYFUNCTION("""COMPUTED_VALUE"""),"18～20")</f>
        <v>18～20</v>
      </c>
      <c r="H2039" s="108" t="str">
        <f>IFERROR(__xludf.DUMMYFUNCTION("""COMPUTED_VALUE"""),"赤月みゅうと")</f>
        <v>赤月みゅうと</v>
      </c>
      <c r="I2039" s="108" t="str">
        <f>IFERROR(__xludf.DUMMYFUNCTION("""COMPUTED_VALUE"""),"オトナ")</f>
        <v>オトナ</v>
      </c>
      <c r="J2039" s="108"/>
      <c r="K2039" s="108"/>
      <c r="L2039" s="108" t="str">
        <f>IFERROR(__xludf.DUMMYFUNCTION("""COMPUTED_VALUE"""),"ナイトコミック")</f>
        <v>ナイトコミック</v>
      </c>
      <c r="M2039" s="59">
        <f>IFERROR(__xludf.DUMMYFUNCTION("""COMPUTED_VALUE"""),45548.0)</f>
        <v>45548</v>
      </c>
      <c r="N2039" s="59">
        <f>IFERROR(__xludf.DUMMYFUNCTION("""COMPUTED_VALUE"""),45603.0)</f>
        <v>45603</v>
      </c>
      <c r="O2039" s="108"/>
      <c r="P2039" s="110" t="str">
        <f>IFERROR(__xludf.DUMMYFUNCTION("""COMPUTED_VALUE"""),"可")</f>
        <v>可</v>
      </c>
      <c r="Q2039" s="111" t="str">
        <f>IFERROR(__xludf.DUMMYFUNCTION("""COMPUTED_VALUE"""),"広告コミットOK(8/1)&lt;BR&gt;下記に参考情報を記載させて頂いております。&lt;BR&gt;【先行期間】&lt;BR&gt;先行配信期間：&lt;BR&gt;18巻：2024/09/13～2024/11/07&lt;BR&gt;19巻：2024/10/11～2024/12/12&lt;BR&gt;20巻：2024/11/08～2025/01/09")</f>
        <v>広告コミットOK(8/1)&lt;BR&gt;下記に参考情報を記載させて頂いております。&lt;BR&gt;【先行期間】&lt;BR&gt;先行配信期間：&lt;BR&gt;18巻：2024/09/13～2024/11/07&lt;BR&gt;19巻：2024/10/11～2024/12/12&lt;BR&gt;20巻：2024/11/08～2025/01/09</v>
      </c>
      <c r="R2039" s="108"/>
      <c r="S2039" s="108" t="str">
        <f>IFERROR(__xludf.DUMMYFUNCTION("""COMPUTED_VALUE"""),"20240828_ナイトコミック_夏の楽園ハーレムセックス")</f>
        <v>20240828_ナイトコミック_夏の楽園ハーレムセックス</v>
      </c>
      <c r="T2039" s="108" t="str">
        <f>IFERROR(__xludf.DUMMYFUNCTION("""COMPUTED_VALUE"""),"格納済み")</f>
        <v>格納済み</v>
      </c>
      <c r="U2039" s="15" t="str">
        <f>IFERROR(__xludf.DUMMYFUNCTION("""COMPUTED_VALUE"""),"©赤月みゅうと")</f>
        <v>©赤月みゅうと</v>
      </c>
      <c r="V2039" s="8" t="str">
        <f>IFERROR(__xludf.DUMMYFUNCTION("""COMPUTED_VALUE"""),"ある田舎の学校に赴任することになった冴えない新任教師の日夜実…
廃墟マニアの彼は、学校があまりにもスバラシイ廃墟っぷりだったので思わずカメラを構えるのだが、写ったものは…水浴びをしている6人の美少女だった！！
しかも、彼女たちは自分の受け持つクラスの生徒で…
また昔のように侮辱のまなざしを向けられるのかと思っていると、彼女たちは手厚い歓迎をしてくれる！！
さらに、どうしても一番最初にやって欲しいことがあるといって誰もいない教室に連れ込まれたかと思うと…
6人の美少女達は次々と濃厚なキスをしてきて"&amp;"…！？
-------------------------------
※こちらは1巻目の内容になります。
2巻目以降は違う内容になりますので、サンプルをご確認の上ご購入くださいませ。
-------------------------------")</f>
        <v>ある田舎の学校に赴任することになった冴えない新任教師の日夜実…
廃墟マニアの彼は、学校があまりにもスバラシイ廃墟っぷりだったので思わずカメラを構えるのだが、写ったものは…水浴びをしている6人の美少女だった！！
しかも、彼女たちは自分の受け持つクラスの生徒で…
また昔のように侮辱のまなざしを向けられるのかと思っていると、彼女たちは手厚い歓迎をしてくれる！！
さらに、どうしても一番最初にやって欲しいことがあるといって誰もいない教室に連れ込まれたかと思うと…
6人の美少女達は次々と濃厚なキスをしてきて…！？
-------------------------------
※こちらは1巻目の内容になります。
2巻目以降は違う内容になりますので、サンプルをご確認の上ご購入くださいませ。
-------------------------------</v>
      </c>
      <c r="W2039" s="14"/>
      <c r="X2039" s="14" t="str">
        <f>IFERROR(__xludf.DUMMYFUNCTION("""COMPUTED_VALUE"""),"有")</f>
        <v>有</v>
      </c>
      <c r="Y2039" s="8" t="str">
        <f>IFERROR(__xludf.DUMMYFUNCTION("""COMPUTED_VALUE"""),"2024/9/26まで
・1巻無料
・2巻目立ち読み増量P8まで
・3巻目立ち読み増量P9まで
・4巻目立ち読み増量P12まで
・5巻目立ち読み増量P10まで
・6巻目立ち読み増量P10まで
・7巻目立ち読み増量P7まで
・8巻目立ち読み増量P9まで
・9巻目立ち読み増量P8まで
・10巻目立ち読み増量P9まで
・11巻目立ち読み増量P12まで
・12巻目立ち読み増量P10まで
・13巻目立ち読み増量P12まで
・14巻目立ち読み増量P9まで
・15巻目立ち読み増量P11まで
・16巻目立ち読み増量P9ま"&amp;"で
・17巻目立ち読み増量P11まで
・18巻目立ち読み増量P16まで")</f>
        <v>2024/9/26まで
・1巻無料
・2巻目立ち読み増量P8まで
・3巻目立ち読み増量P9まで
・4巻目立ち読み増量P12まで
・5巻目立ち読み増量P10まで
・6巻目立ち読み増量P10まで
・7巻目立ち読み増量P7まで
・8巻目立ち読み増量P9まで
・9巻目立ち読み増量P8まで
・10巻目立ち読み増量P9まで
・11巻目立ち読み増量P12まで
・12巻目立ち読み増量P10まで
・13巻目立ち読み増量P12まで
・14巻目立ち読み増量P9まで
・15巻目立ち読み増量P11まで
・16巻目立ち読み増量P9まで
・17巻目立ち読み増量P11まで
・18巻目立ち読み増量P16まで</v>
      </c>
      <c r="Z2039" s="7"/>
      <c r="AA2039" s="7"/>
      <c r="AB2039" s="7"/>
    </row>
    <row r="2040" ht="15.75" customHeight="1">
      <c r="A2040" s="76">
        <f>IFERROR(__xludf.DUMMYFUNCTION("""COMPUTED_VALUE"""),3869.0)</f>
        <v>3869</v>
      </c>
      <c r="B2040" s="108" t="str">
        <f>IFERROR(__xludf.DUMMYFUNCTION("""COMPUTED_VALUE"""),"確定")</f>
        <v>確定</v>
      </c>
      <c r="C2040" s="74">
        <f>IFERROR(__xludf.DUMMYFUNCTION("""COMPUTED_VALUE"""),45502.0)</f>
        <v>45502</v>
      </c>
      <c r="D2040" s="74">
        <f>IFERROR(__xludf.DUMMYFUNCTION("""COMPUTED_VALUE"""),45533.0)</f>
        <v>45533</v>
      </c>
      <c r="E2040" s="112">
        <f>IFERROR(__xludf.DUMMYFUNCTION("""COMPUTED_VALUE"""),220504.0)</f>
        <v>220504</v>
      </c>
      <c r="F2040" s="112" t="str">
        <f>IFERROR(__xludf.DUMMYFUNCTION("""COMPUTED_VALUE"""),"陰キャの甥がヤりたい伯母さん。")</f>
        <v>陰キャの甥がヤりたい伯母さん。</v>
      </c>
      <c r="G2040" s="69">
        <f>IFERROR(__xludf.DUMMYFUNCTION("""COMPUTED_VALUE"""),5.0)</f>
        <v>5</v>
      </c>
      <c r="H2040" s="108" t="str">
        <f>IFERROR(__xludf.DUMMYFUNCTION("""COMPUTED_VALUE"""),"フリーハンド魂")</f>
        <v>フリーハンド魂</v>
      </c>
      <c r="I2040" s="108" t="str">
        <f>IFERROR(__xludf.DUMMYFUNCTION("""COMPUTED_VALUE"""),"オトナ")</f>
        <v>オトナ</v>
      </c>
      <c r="J2040" s="108"/>
      <c r="K2040" s="108"/>
      <c r="L2040" s="108" t="str">
        <f>IFERROR(__xludf.DUMMYFUNCTION("""COMPUTED_VALUE"""),"ナイトコミック")</f>
        <v>ナイトコミック</v>
      </c>
      <c r="M2040" s="59">
        <f>IFERROR(__xludf.DUMMYFUNCTION("""COMPUTED_VALUE"""),45562.0)</f>
        <v>45562</v>
      </c>
      <c r="N2040" s="77">
        <f>IFERROR(__xludf.DUMMYFUNCTION("""COMPUTED_VALUE"""),45624.0)</f>
        <v>45624</v>
      </c>
      <c r="O2040" s="108"/>
      <c r="P2040" s="110" t="str">
        <f>IFERROR(__xludf.DUMMYFUNCTION("""COMPUTED_VALUE"""),"可")</f>
        <v>可</v>
      </c>
      <c r="Q2040" s="111" t="str">
        <f>IFERROR(__xludf.DUMMYFUNCTION("""COMPUTED_VALUE"""),"広告コミットOK(8/1)&lt;BR&gt;下記、5-7巻の先行配信スケジュールです。&lt;BR&gt;対象巻数：5-7巻&lt;BR&gt;先行配信期間：&lt;BR&gt;5巻：2024/09/27～2024/11/28&lt;BR&gt;6巻：2024/10/25～2024/12/26&lt;BR&gt;7巻：2024/11/29～2025/01/30&lt;BR&gt;先行期間：2か月間")</f>
        <v>広告コミットOK(8/1)&lt;BR&gt;下記、5-7巻の先行配信スケジュールです。&lt;BR&gt;対象巻数：5-7巻&lt;BR&gt;先行配信期間：&lt;BR&gt;5巻：2024/09/27～2024/11/28&lt;BR&gt;6巻：2024/10/25～2024/12/26&lt;BR&gt;7巻：2024/11/29～2025/01/30&lt;BR&gt;先行期間：2か月間</v>
      </c>
      <c r="R2040" s="108"/>
      <c r="S2040" s="108" t="str">
        <f>IFERROR(__xludf.DUMMYFUNCTION("""COMPUTED_VALUE"""),"20240729_ナイトコミック_陰キャの甥がヤりたい伯母さん。")</f>
        <v>20240729_ナイトコミック_陰キャの甥がヤりたい伯母さん。</v>
      </c>
      <c r="T2040" s="108" t="str">
        <f>IFERROR(__xludf.DUMMYFUNCTION("""COMPUTED_VALUE"""),"格納済み")</f>
        <v>格納済み</v>
      </c>
      <c r="U2040" s="15" t="str">
        <f>IFERROR(__xludf.DUMMYFUNCTION("""COMPUTED_VALUE"""),"©フリーハンド魂")</f>
        <v>©フリーハンド魂</v>
      </c>
      <c r="V2040" s="8" t="str">
        <f>IFERROR(__xludf.DUMMYFUNCTION("""COMPUTED_VALUE"""),"都心に住んでいる叔母の家に居候としてやってきた甥の朔太郎。
叔母への長年の性的欲求不満を解消するべく、そのエロい身体を貪ろうと画策するのだが…
二人きりになれる時間もそうそうなく、指一本触れるチャンスがこないでいた…
そんなとき、叔母さんへの欲望をすべて書き出した紙を見られてしまう！
何もかも終わったと思いきや、叔母さんは突然上を脱いでおっぱいを触りなさいと言ってきて…！？
-------------------------------
※こちらは1巻目の内容になります。
2巻目"&amp;"以降は違う内容になりますので、サンプルをご確認の上ご購入くださいませ。
-------------------------------")</f>
        <v>都心に住んでいる叔母の家に居候としてやってきた甥の朔太郎。
叔母への長年の性的欲求不満を解消するべく、そのエロい身体を貪ろうと画策するのだが…
二人きりになれる時間もそうそうなく、指一本触れるチャンスがこないでいた…
そんなとき、叔母さんへの欲望をすべて書き出した紙を見られてしまう！
何もかも終わったと思いきや、叔母さんは突然上を脱いでおっぱいを触りなさいと言ってきて…！？
-------------------------------
※こちらは1巻目の内容になります。
2巻目以降は違う内容になりますので、サンプルをご確認の上ご購入くださいませ。
-------------------------------</v>
      </c>
      <c r="W2040" s="14"/>
      <c r="X2040" s="14" t="str">
        <f>IFERROR(__xludf.DUMMYFUNCTION("""COMPUTED_VALUE"""),"有")</f>
        <v>有</v>
      </c>
      <c r="Y2040" s="8" t="str">
        <f>IFERROR(__xludf.DUMMYFUNCTION("""COMPUTED_VALUE"""),"2024/10/10まで
・1巻無料
・2巻目立ち読み増量P11まで
・3巻目立ち読み増量P10まで
・4巻目立ち読み増量P10まで
・5巻目立ち読み増量P12まで")</f>
        <v>2024/10/10まで
・1巻無料
・2巻目立ち読み増量P11まで
・3巻目立ち読み増量P10まで
・4巻目立ち読み増量P10まで
・5巻目立ち読み増量P12まで</v>
      </c>
      <c r="Z2040" s="7"/>
      <c r="AA2040" s="7"/>
      <c r="AB2040" s="7"/>
    </row>
    <row r="2041" ht="15.75" customHeight="1">
      <c r="A2041" s="76">
        <f>IFERROR(__xludf.DUMMYFUNCTION("""COMPUTED_VALUE"""),4009.0)</f>
        <v>4009</v>
      </c>
      <c r="B2041" s="108" t="str">
        <f>IFERROR(__xludf.DUMMYFUNCTION("""COMPUTED_VALUE"""),"確定")</f>
        <v>確定</v>
      </c>
      <c r="C2041" s="74">
        <f>IFERROR(__xludf.DUMMYFUNCTION("""COMPUTED_VALUE"""),45525.0)</f>
        <v>45525</v>
      </c>
      <c r="D2041" s="74">
        <f>IFERROR(__xludf.DUMMYFUNCTION("""COMPUTED_VALUE"""),45533.0)</f>
        <v>45533</v>
      </c>
      <c r="E2041" s="112">
        <f>IFERROR(__xludf.DUMMYFUNCTION("""COMPUTED_VALUE"""),303542.0)</f>
        <v>303542</v>
      </c>
      <c r="F2041" s="112" t="str">
        <f>IFERROR(__xludf.DUMMYFUNCTION("""COMPUTED_VALUE"""),"「君を愛することはない」と言った氷の魔術師様の片思い相手が、変装した私だった （コミック）【分冊版】")</f>
        <v>「君を愛することはない」と言った氷の魔術師様の片思い相手が、変装した私だった （コミック）【分冊版】</v>
      </c>
      <c r="G2041" s="11" t="str">
        <f>IFERROR(__xludf.DUMMYFUNCTION("""COMPUTED_VALUE"""),"1～4")</f>
        <v>1～4</v>
      </c>
      <c r="H2041" s="108" t="str">
        <f>IFERROR(__xludf.DUMMYFUNCTION("""COMPUTED_VALUE"""),"原作／葉月秋水・toi8 漫画／ぐんたお")</f>
        <v>原作／葉月秋水・toi8 漫画／ぐんたお</v>
      </c>
      <c r="I2041" s="113" t="str">
        <f>IFERROR(__xludf.DUMMYFUNCTION("""COMPUTED_VALUE"""),"少女")</f>
        <v>少女</v>
      </c>
      <c r="J2041" s="108"/>
      <c r="K2041" s="108"/>
      <c r="L2041" s="108" t="str">
        <f>IFERROR(__xludf.DUMMYFUNCTION("""COMPUTED_VALUE"""),"スクウェア・エニックス")</f>
        <v>スクウェア・エニックス</v>
      </c>
      <c r="M2041" s="59">
        <f>IFERROR(__xludf.DUMMYFUNCTION("""COMPUTED_VALUE"""),45566.0)</f>
        <v>45566</v>
      </c>
      <c r="N2041" s="77">
        <f>IFERROR(__xludf.DUMMYFUNCTION("""COMPUTED_VALUE"""),45626.0)</f>
        <v>45626</v>
      </c>
      <c r="O2041" s="108"/>
      <c r="P2041" s="110" t="str">
        <f>IFERROR(__xludf.DUMMYFUNCTION("""COMPUTED_VALUE"""),"可")</f>
        <v>可</v>
      </c>
      <c r="Q2041" s="111" t="str">
        <f>IFERROR(__xludf.DUMMYFUNCTION("""COMPUTED_VALUE"""),"コミットOK（8/29）")</f>
        <v>コミットOK（8/29）</v>
      </c>
      <c r="R2041" s="108"/>
      <c r="S2041" s="108" t="str">
        <f>IFERROR(__xludf.DUMMYFUNCTION("""COMPUTED_VALUE"""),"20240829_スクウェア・エニックス_「君を愛することはない」と言った氷の魔術師様の片思い相手が、変装した私だった（コミック）【分冊版】")</f>
        <v>20240829_スクウェア・エニックス_「君を愛することはない」と言った氷の魔術師様の片思い相手が、変装した私だった（コミック）【分冊版】</v>
      </c>
      <c r="T2041" s="108" t="str">
        <f>IFERROR(__xludf.DUMMYFUNCTION("""COMPUTED_VALUE"""),"格納済み")</f>
        <v>格納済み</v>
      </c>
      <c r="U2041" s="15" t="str">
        <f>IFERROR(__xludf.DUMMYFUNCTION("""COMPUTED_VALUE"""),"(C)Shusui Hazuki/SQUARE ENIX (C)toi8/SQUARE ENIX (C)Guntao/SQUARE ENIX")</f>
        <v>(C)Shusui Hazuki/SQUARE ENIX (C)toi8/SQUARE ENIX (C)Guntao/SQUARE ENIX</v>
      </c>
      <c r="V2041" s="8" t="str">
        <f>IFERROR(__xludf.DUMMYFUNCTION("""COMPUTED_VALUE"""),"【旦那様は私に興味ないけど私が好き!?】
旦那様は魔女が好き!?「それ、私ですけど!!」家族から冷遇される伯爵令嬢フィーネ。そんな彼女の裏の顔は、生きた伝説とされる最強の魔女!!麗しの次期公爵シオンと政略結婚したが、「君を愛することはない」と宣言されてしまう。お互い不干渉なんてむしろラッキー！と喜んでいたら彼が好きなのは魔女の私!?最強の《氷の魔術師》と《黎明の魔女》の愛情ゼロの政略結婚から始まる幸せすぎるピュアラブ新婚大騒動!!!!!
※この商品は「「君を愛することはない」と言った氷の魔術師様の片思"&amp;"い相手が、変装した私だった（コミック）」を1話ごとに分冊したものです。
(C)2024 Shusui Hazuki (C)2024 toi8 (C)2024 Guntao")</f>
        <v>【旦那様は私に興味ないけど私が好き!?】
旦那様は魔女が好き!?「それ、私ですけど!!」家族から冷遇される伯爵令嬢フィーネ。そんな彼女の裏の顔は、生きた伝説とされる最強の魔女!!麗しの次期公爵シオンと政略結婚したが、「君を愛することはない」と宣言されてしまう。お互い不干渉なんてむしろラッキー！と喜んでいたら彼が好きなのは魔女の私!?最強の《氷の魔術師》と《黎明の魔女》の愛情ゼロの政略結婚から始まる幸せすぎるピュアラブ新婚大騒動!!!!!
※この商品は「「君を愛することはない」と言った氷の魔術師様の片思い相手が、変装した私だった（コミック）」を1話ごとに分冊したものです。
(C)2024 Shusui Hazuki (C)2024 toi8 (C)2024 Guntao</v>
      </c>
      <c r="W2041" s="14"/>
      <c r="X2041" s="14" t="str">
        <f>IFERROR(__xludf.DUMMYFUNCTION("""COMPUTED_VALUE"""),"有")</f>
        <v>有</v>
      </c>
      <c r="Y2041" s="8" t="str">
        <f>IFERROR(__xludf.DUMMYFUNCTION("""COMPUTED_VALUE"""),"2024/11/30まで1巻無料")</f>
        <v>2024/11/30まで1巻無料</v>
      </c>
      <c r="Z2041" s="7"/>
      <c r="AA2041" s="7"/>
      <c r="AB2041" s="7"/>
    </row>
    <row r="2042" ht="15.75" customHeight="1">
      <c r="A2042" s="76">
        <f>IFERROR(__xludf.DUMMYFUNCTION("""COMPUTED_VALUE"""),4019.0)</f>
        <v>4019</v>
      </c>
      <c r="B2042" s="108" t="str">
        <f>IFERROR(__xludf.DUMMYFUNCTION("""COMPUTED_VALUE"""),"確定")</f>
        <v>確定</v>
      </c>
      <c r="C2042" s="74">
        <f>IFERROR(__xludf.DUMMYFUNCTION("""COMPUTED_VALUE"""),45525.0)</f>
        <v>45525</v>
      </c>
      <c r="D2042" s="74">
        <f>IFERROR(__xludf.DUMMYFUNCTION("""COMPUTED_VALUE"""),45533.0)</f>
        <v>45533</v>
      </c>
      <c r="E2042" s="112">
        <f>IFERROR(__xludf.DUMMYFUNCTION("""COMPUTED_VALUE"""),304912.0)</f>
        <v>304912</v>
      </c>
      <c r="F2042" s="112" t="str">
        <f>IFERROR(__xludf.DUMMYFUNCTION("""COMPUTED_VALUE"""),"若草同盟【単話】")</f>
        <v>若草同盟【単話】</v>
      </c>
      <c r="G2042" s="16" t="str">
        <f>IFERROR(__xludf.DUMMYFUNCTION("""COMPUTED_VALUE"""),"1～10")</f>
        <v>1～10</v>
      </c>
      <c r="H2042" s="108" t="str">
        <f>IFERROR(__xludf.DUMMYFUNCTION("""COMPUTED_VALUE"""),"新⽥章")</f>
        <v>新⽥章</v>
      </c>
      <c r="I2042" s="108" t="str">
        <f>IFERROR(__xludf.DUMMYFUNCTION("""COMPUTED_VALUE"""),"⻘年")</f>
        <v>⻘年</v>
      </c>
      <c r="J2042" s="108"/>
      <c r="K2042" s="108"/>
      <c r="L2042" s="108" t="str">
        <f>IFERROR(__xludf.DUMMYFUNCTION("""COMPUTED_VALUE"""),"マガジンハウス")</f>
        <v>マガジンハウス</v>
      </c>
      <c r="M2042" s="77">
        <f>IFERROR(__xludf.DUMMYFUNCTION("""COMPUTED_VALUE"""),45596.0)</f>
        <v>45596</v>
      </c>
      <c r="N2042" s="84">
        <f>IFERROR(__xludf.DUMMYFUNCTION("""COMPUTED_VALUE"""),45656.0)</f>
        <v>45656</v>
      </c>
      <c r="O2042" s="108"/>
      <c r="P2042" s="114" t="str">
        <f>IFERROR(__xludf.DUMMYFUNCTION("""COMPUTED_VALUE"""),"可")</f>
        <v>可</v>
      </c>
      <c r="Q2042" s="111"/>
      <c r="R2042" s="108"/>
      <c r="S2042" s="108" t="str">
        <f>IFERROR(__xludf.DUMMYFUNCTION("""COMPUTED_VALUE"""),"20240828_マガジンハウス_若草同盟")</f>
        <v>20240828_マガジンハウス_若草同盟</v>
      </c>
      <c r="T2042" s="108" t="str">
        <f>IFERROR(__xludf.DUMMYFUNCTION("""COMPUTED_VALUE"""),"格納済み")</f>
        <v>格納済み</v>
      </c>
      <c r="U2042" s="15" t="str">
        <f>IFERROR(__xludf.DUMMYFUNCTION("""COMPUTED_VALUE"""),"(C)新田章/マガジンハウス")</f>
        <v>(C)新田章/マガジンハウス</v>
      </c>
      <c r="V2042" s="8" t="str">
        <f>IFERROR(__xludf.DUMMYFUNCTION("""COMPUTED_VALUE"""),"付き合って５年目。
きみと出会って、手に入れた最強の幸せ。
でも、人生は、そんなに簡単に
うまくいくわけなかった。
スーパーの店員・冴木（さえき）カイロと、会社員・羊野（ようの）アユム。
学生時代、友達がおらず一人ぼっちだったふたりは、東京で出会い恋に落ち、同棲を始めた。
愛する人とこのまま平穏な暮らしが続くと思っていたが……。
寄り添うことの難しさと、
共に生きることの喜び。
山あり谷ありふたり暮らし。")</f>
        <v>付き合って５年目。
きみと出会って、手に入れた最強の幸せ。
でも、人生は、そんなに簡単に
うまくいくわけなかった。
スーパーの店員・冴木（さえき）カイロと、会社員・羊野（ようの）アユム。
学生時代、友達がおらず一人ぼっちだったふたりは、東京で出会い恋に落ち、同棲を始めた。
愛する人とこのまま平穏な暮らしが続くと思っていたが……。
寄り添うことの難しさと、
共に生きることの喜び。
山あり谷ありふたり暮らし。</v>
      </c>
      <c r="W2042" s="14"/>
      <c r="X2042" s="14" t="str">
        <f>IFERROR(__xludf.DUMMYFUNCTION("""COMPUTED_VALUE"""),"有")</f>
        <v>有</v>
      </c>
      <c r="Y2042" s="8" t="str">
        <f>IFERROR(__xludf.DUMMYFUNCTION("""COMPUTED_VALUE"""),"P21まで")</f>
        <v>P21まで</v>
      </c>
      <c r="Z2042" s="7"/>
      <c r="AA2042" s="7"/>
      <c r="AB2042" s="7"/>
    </row>
    <row r="2043" ht="15.75" customHeight="1">
      <c r="A2043" s="76">
        <f>IFERROR(__xludf.DUMMYFUNCTION("""COMPUTED_VALUE"""),3502.0)</f>
        <v>3502</v>
      </c>
      <c r="B2043" s="108" t="str">
        <f>IFERROR(__xludf.DUMMYFUNCTION("""COMPUTED_VALUE"""),"確定")</f>
        <v>確定</v>
      </c>
      <c r="C2043" s="74">
        <f>IFERROR(__xludf.DUMMYFUNCTION("""COMPUTED_VALUE"""),45439.0)</f>
        <v>45439</v>
      </c>
      <c r="D2043" s="74">
        <f>IFERROR(__xludf.DUMMYFUNCTION("""COMPUTED_VALUE"""),45537.0)</f>
        <v>45537</v>
      </c>
      <c r="E2043" s="112">
        <f>IFERROR(__xludf.DUMMYFUNCTION("""COMPUTED_VALUE"""),303001.0)</f>
        <v>303001</v>
      </c>
      <c r="F2043" s="112" t="str">
        <f>IFERROR(__xludf.DUMMYFUNCTION("""COMPUTED_VALUE"""),"UMAがタマゴを産んでほしいらしい")</f>
        <v>UMAがタマゴを産んでほしいらしい</v>
      </c>
      <c r="G2043" s="69" t="str">
        <f>IFERROR(__xludf.DUMMYFUNCTION("""COMPUTED_VALUE"""),"1～2")</f>
        <v>1～2</v>
      </c>
      <c r="H2043" s="108" t="str">
        <f>IFERROR(__xludf.DUMMYFUNCTION("""COMPUTED_VALUE"""),"しょうた")</f>
        <v>しょうた</v>
      </c>
      <c r="I2043" s="108" t="str">
        <f>IFERROR(__xludf.DUMMYFUNCTION("""COMPUTED_VALUE"""),"BL")</f>
        <v>BL</v>
      </c>
      <c r="J2043" s="108"/>
      <c r="K2043" s="108"/>
      <c r="L2043" s="108" t="str">
        <f>IFERROR(__xludf.DUMMYFUNCTION("""COMPUTED_VALUE"""),"ふゅーじょんぷろだくと")</f>
        <v>ふゅーじょんぷろだくと</v>
      </c>
      <c r="M2043" s="59">
        <f>IFERROR(__xludf.DUMMYFUNCTION("""COMPUTED_VALUE"""),45565.0)</f>
        <v>45565</v>
      </c>
      <c r="N2043" s="115">
        <f>IFERROR(__xludf.DUMMYFUNCTION("""COMPUTED_VALUE"""),45623.0)</f>
        <v>45623</v>
      </c>
      <c r="O2043" s="108"/>
      <c r="P2043" s="110" t="str">
        <f>IFERROR(__xludf.DUMMYFUNCTION("""COMPUTED_VALUE"""),"可")</f>
        <v>可</v>
      </c>
      <c r="Q2043" s="108" t="str">
        <f>IFERROR(__xludf.DUMMYFUNCTION("""COMPUTED_VALUE"""),"広告コミットOK(6/4)")</f>
        <v>広告コミットOK(6/4)</v>
      </c>
      <c r="R2043" s="108" t="str">
        <f>IFERROR(__xludf.DUMMYFUNCTION("""COMPUTED_VALUE"""),"格納済み")</f>
        <v>格納済み</v>
      </c>
      <c r="S2043" s="108" t="str">
        <f>IFERROR(__xludf.DUMMYFUNCTION("""COMPUTED_VALUE"""),"20240829_ふゅーじょんぷろだくと_UMAがタマゴを産んでほしいらしい1-2話")</f>
        <v>20240829_ふゅーじょんぷろだくと_UMAがタマゴを産んでほしいらしい1-2話</v>
      </c>
      <c r="T2043" s="108" t="str">
        <f>IFERROR(__xludf.DUMMYFUNCTION("""COMPUTED_VALUE"""),"格納済み")</f>
        <v>格納済み</v>
      </c>
      <c r="U2043" s="15" t="str">
        <f>IFERROR(__xludf.DUMMYFUNCTION("""COMPUTED_VALUE"""),"『UMAがタマゴを産んでほしいらしい』©しょうた／FUSION PRODUCT")</f>
        <v>『UMAがタマゴを産んでほしいらしい』©しょうた／FUSION PRODUCT</v>
      </c>
      <c r="V2043" s="8" t="str">
        <f>IFERROR(__xludf.DUMMYFUNCTION("""COMPUTED_VALUE"""),"【触手襲来！！ア◯ルの運命lはいかにーー！？】ーーサラリーマンの狐谷 千宙（こたに ちひろ）には気に食わない男がいた。同期入社の来栖 悠真（くるす ゆうま）は高身長・高学歴で仕事も完璧な期待の出世株。人気ナンバーワンのモテ男で、遂には千宙が気になっていた女性社員までもが悠真に恋をしていた。失恋でやけ酒をし酔っぱらった千宙は、なぜかSF感ただよう部屋で目を覚ます。目の前に大嫌いな悠真がいるかと思えば、突然無数の触手が伸びてきて……！？ヌルヌルな触手にぐちょぐちょにされちゃう！宇宙人×サラリーマンの子作りをめ"&amp;"ぐるSFラブ！※本作品は電子書籍版『BABY vol.66α』にも掲載予定です。重複購入にお気をつけください。")</f>
        <v>【触手襲来！！ア◯ルの運命lはいかにーー！？】ーーサラリーマンの狐谷 千宙（こたに ちひろ）には気に食わない男がいた。同期入社の来栖 悠真（くるす ゆうま）は高身長・高学歴で仕事も完璧な期待の出世株。人気ナンバーワンのモテ男で、遂には千宙が気になっていた女性社員までもが悠真に恋をしていた。失恋でやけ酒をし酔っぱらった千宙は、なぜかSF感ただよう部屋で目を覚ます。目の前に大嫌いな悠真がいるかと思えば、突然無数の触手が伸びてきて……！？ヌルヌルな触手にぐちょぐちょにされちゃう！宇宙人×サラリーマンの子作りをめぐるSFラブ！※本作品は電子書籍版『BABY vol.66α』にも掲載予定です。重複購入にお気をつけください。</v>
      </c>
      <c r="W2043" s="14"/>
      <c r="X2043" s="14" t="str">
        <f>IFERROR(__xludf.DUMMYFUNCTION("""COMPUTED_VALUE"""),"有")</f>
        <v>有</v>
      </c>
      <c r="Y2043" s="8" t="str">
        <f>IFERROR(__xludf.DUMMYFUNCTION("""COMPUTED_VALUE"""),"2024/11/27まで立ち読み増量P19まで")</f>
        <v>2024/11/27まで立ち読み増量P19まで</v>
      </c>
      <c r="Z2043" s="7"/>
      <c r="AA2043" s="7"/>
      <c r="AB2043" s="7"/>
    </row>
    <row r="2044" ht="15.75" customHeight="1">
      <c r="A2044" s="76">
        <f>IFERROR(__xludf.DUMMYFUNCTION("""COMPUTED_VALUE"""),3729.0)</f>
        <v>3729</v>
      </c>
      <c r="B2044" s="108" t="str">
        <f>IFERROR(__xludf.DUMMYFUNCTION("""COMPUTED_VALUE"""),"確定")</f>
        <v>確定</v>
      </c>
      <c r="C2044" s="74">
        <f>IFERROR(__xludf.DUMMYFUNCTION("""COMPUTED_VALUE"""),45475.0)</f>
        <v>45475</v>
      </c>
      <c r="D2044" s="74">
        <f>IFERROR(__xludf.DUMMYFUNCTION("""COMPUTED_VALUE"""),45539.0)</f>
        <v>45539</v>
      </c>
      <c r="E2044" s="112">
        <f>IFERROR(__xludf.DUMMYFUNCTION("""COMPUTED_VALUE"""),302935.0)</f>
        <v>302935</v>
      </c>
      <c r="F2044" s="112" t="str">
        <f>IFERROR(__xludf.DUMMYFUNCTION("""COMPUTED_VALUE"""),"春夏秋冬専属快感係―あこがれの先生にイかれすぎて何にも考えられません―【単話】")</f>
        <v>春夏秋冬専属快感係―あこがれの先生にイかれすぎて何にも考えられません―【単話】</v>
      </c>
      <c r="G2044" s="69" t="str">
        <f>IFERROR(__xludf.DUMMYFUNCTION("""COMPUTED_VALUE"""),"1～3")</f>
        <v>1～3</v>
      </c>
      <c r="H2044" s="108" t="str">
        <f>IFERROR(__xludf.DUMMYFUNCTION("""COMPUTED_VALUE"""),"鴫タヌキ")</f>
        <v>鴫タヌキ</v>
      </c>
      <c r="I2044" s="108" t="str">
        <f>IFERROR(__xludf.DUMMYFUNCTION("""COMPUTED_VALUE"""),"TL")</f>
        <v>TL</v>
      </c>
      <c r="J2044" s="108"/>
      <c r="K2044" s="108"/>
      <c r="L2044" s="108" t="str">
        <f>IFERROR(__xludf.DUMMYFUNCTION("""COMPUTED_VALUE"""),"オークラ出版")</f>
        <v>オークラ出版</v>
      </c>
      <c r="M2044" s="59">
        <f>IFERROR(__xludf.DUMMYFUNCTION("""COMPUTED_VALUE"""),45562.0)</f>
        <v>45562</v>
      </c>
      <c r="N2044" s="115">
        <f>IFERROR(__xludf.DUMMYFUNCTION("""COMPUTED_VALUE"""),45652.0)</f>
        <v>45652</v>
      </c>
      <c r="O2044" s="108"/>
      <c r="P2044" s="110" t="str">
        <f>IFERROR(__xludf.DUMMYFUNCTION("""COMPUTED_VALUE"""),"可")</f>
        <v>可</v>
      </c>
      <c r="Q2044" s="111" t="str">
        <f>IFERROR(__xludf.DUMMYFUNCTION("""COMPUTED_VALUE"""),"広告コミットOK(7/10)
 TLレーベル：ミンティ
 先行期間：続話は1カ月
 刊行ペース：隔月配信予定")</f>
        <v>広告コミットOK(7/10)
 TLレーベル：ミンティ
 先行期間：続話は1カ月
 刊行ペース：隔月配信予定</v>
      </c>
      <c r="R2044" s="108"/>
      <c r="S2044" s="108" t="str">
        <f>IFERROR(__xludf.DUMMYFUNCTION("""COMPUTED_VALUE"""),"20240902_オークラ出版_春夏秋冬専属快感係―あこがれの先生にイかれすぎて何にも考えられません―")</f>
        <v>20240902_オークラ出版_春夏秋冬専属快感係―あこがれの先生にイかれすぎて何にも考えられません―</v>
      </c>
      <c r="T2044" s="108" t="str">
        <f>IFERROR(__xludf.DUMMYFUNCTION("""COMPUTED_VALUE"""),"格納済み")</f>
        <v>格納済み</v>
      </c>
      <c r="U2044" s="15" t="str">
        <f>IFERROR(__xludf.DUMMYFUNCTION("""COMPUTED_VALUE"""),"（C）Tanuki Shigi")</f>
        <v>（C）Tanuki Shigi</v>
      </c>
      <c r="V2044" s="8" t="str">
        <f>IFERROR(__xludf.DUMMYFUNCTION("""COMPUTED_VALUE"""),"「敏感なんだね。服の上からでも気持ちよさそう…」憧れの人が目の前にいて私に触れる度に、今まで感じたことがない快楽が押し寄せてくる。
ダメだってわかっているのに、現実味がなくて…、ただアナタが好きなことしかわからない――新進気鋭の人気小説家・春夏秋冬（ヒトトセ）に憧れを抱く大学生の愛季。
ある日、出版社に勤務する兄から担当する作家の生存確認を頼まれ、仕方なくその作家宅に訪れることに…。
ところが、その作家とは愛季が憧れていたあの春夏秋冬……!!　
驚きを隠せない愛季であったが、「早速始めようか」の言"&amp;"葉とともにいきなり押し倒されて…。
状況もつかめぬまま、キスされ乳首を弄ばれ、愛季の体内からあふれ出るエッチな音が室内に響き渡る…。
「うるうるだから、なんの抵抗もなく指も入るね」
頭がくるくるして、もう何も考えられない――！")</f>
        <v>「敏感なんだね。服の上からでも気持ちよさそう…」憧れの人が目の前にいて私に触れる度に、今まで感じたことがない快楽が押し寄せてくる。
ダメだってわかっているのに、現実味がなくて…、ただアナタが好きなことしかわからない――新進気鋭の人気小説家・春夏秋冬（ヒトトセ）に憧れを抱く大学生の愛季。
ある日、出版社に勤務する兄から担当する作家の生存確認を頼まれ、仕方なくその作家宅に訪れることに…。
ところが、その作家とは愛季が憧れていたあの春夏秋冬……!!　
驚きを隠せない愛季であったが、「早速始めようか」の言葉とともにいきなり押し倒されて…。
状況もつかめぬまま、キスされ乳首を弄ばれ、愛季の体内からあふれ出るエッチな音が室内に響き渡る…。
「うるうるだから、なんの抵抗もなく指も入るね」
頭がくるくるして、もう何も考えられない――！</v>
      </c>
      <c r="W2044" s="14"/>
      <c r="X2044" s="14" t="str">
        <f>IFERROR(__xludf.DUMMYFUNCTION("""COMPUTED_VALUE"""),"有")</f>
        <v>有</v>
      </c>
      <c r="Y2044" s="8" t="str">
        <f>IFERROR(__xludf.DUMMYFUNCTION("""COMPUTED_VALUE"""),"P8まで")</f>
        <v>P8まで</v>
      </c>
      <c r="Z2044" s="7"/>
      <c r="AA2044" s="7"/>
      <c r="AB2044" s="7"/>
    </row>
    <row r="2045" ht="15.75" customHeight="1">
      <c r="A2045" s="76">
        <f>IFERROR(__xludf.DUMMYFUNCTION("""COMPUTED_VALUE"""),3733.0)</f>
        <v>3733</v>
      </c>
      <c r="B2045" s="108" t="str">
        <f>IFERROR(__xludf.DUMMYFUNCTION("""COMPUTED_VALUE"""),"確定")</f>
        <v>確定</v>
      </c>
      <c r="C2045" s="74">
        <f>IFERROR(__xludf.DUMMYFUNCTION("""COMPUTED_VALUE"""),45476.0)</f>
        <v>45476</v>
      </c>
      <c r="D2045" s="74">
        <f>IFERROR(__xludf.DUMMYFUNCTION("""COMPUTED_VALUE"""),45537.0)</f>
        <v>45537</v>
      </c>
      <c r="E2045" s="112">
        <f>IFERROR(__xludf.DUMMYFUNCTION("""COMPUTED_VALUE"""),302216.0)</f>
        <v>302216</v>
      </c>
      <c r="F2045" s="112" t="str">
        <f>IFERROR(__xludf.DUMMYFUNCTION("""COMPUTED_VALUE"""),"金なる恋は後宮で")</f>
        <v>金なる恋は後宮で</v>
      </c>
      <c r="G2045" s="11" t="str">
        <f>IFERROR(__xludf.DUMMYFUNCTION("""COMPUTED_VALUE"""),"1～4")</f>
        <v>1～4</v>
      </c>
      <c r="H2045" s="108" t="str">
        <f>IFERROR(__xludf.DUMMYFUNCTION("""COMPUTED_VALUE"""),"白藤圭")</f>
        <v>白藤圭</v>
      </c>
      <c r="I2045" s="108" t="str">
        <f>IFERROR(__xludf.DUMMYFUNCTION("""COMPUTED_VALUE"""),"少女")</f>
        <v>少女</v>
      </c>
      <c r="J2045" s="108"/>
      <c r="K2045" s="108"/>
      <c r="L2045" s="108" t="str">
        <f>IFERROR(__xludf.DUMMYFUNCTION("""COMPUTED_VALUE"""),"白泉社")</f>
        <v>白泉社</v>
      </c>
      <c r="M2045" s="59">
        <f>IFERROR(__xludf.DUMMYFUNCTION("""COMPUTED_VALUE"""),45556.0)</f>
        <v>45556</v>
      </c>
      <c r="N2045" s="115">
        <f>IFERROR(__xludf.DUMMYFUNCTION("""COMPUTED_VALUE"""),45618.0)</f>
        <v>45618</v>
      </c>
      <c r="O2045" s="108"/>
      <c r="P2045" s="110" t="str">
        <f>IFERROR(__xludf.DUMMYFUNCTION("""COMPUTED_VALUE"""),"否")</f>
        <v>否</v>
      </c>
      <c r="Q2045" s="111" t="str">
        <f>IFERROR(__xludf.DUMMYFUNCTION("""COMPUTED_VALUE"""),"広告コミットOK(7/8)
レーベル「LaLa」です。")</f>
        <v>広告コミットOK(7/8)
レーベル「LaLa」です。</v>
      </c>
      <c r="R2045" s="108"/>
      <c r="S2045" s="108" t="str">
        <f>IFERROR(__xludf.DUMMYFUNCTION("""COMPUTED_VALUE"""),"20240830_白泉社_金なる恋は後宮で")</f>
        <v>20240830_白泉社_金なる恋は後宮で</v>
      </c>
      <c r="T2045" s="108" t="str">
        <f>IFERROR(__xludf.DUMMYFUNCTION("""COMPUTED_VALUE"""),"格納済み")</f>
        <v>格納済み</v>
      </c>
      <c r="U2045" s="15" t="str">
        <f>IFERROR(__xludf.DUMMYFUNCTION("""COMPUTED_VALUE"""),"Ⓒ白藤圭/白泉社")</f>
        <v>Ⓒ白藤圭/白泉社</v>
      </c>
      <c r="V2045" s="8" t="str">
        <f>IFERROR(__xludf.DUMMYFUNCTION("""COMPUTED_VALUE"""),"【女官×皇帝、身分を隠して始まる恋】昔助けてくれた初恋の皇帝陛下（顔は見てない）を追って後宮へ来た姚紅旭（ようこうぎょく）。鬼上司の武官様が目を光らせているので、粗相をすれば追い出されてしまう…！　けれど、その武官様こそ紅旭が会いたいと願っている初恋の皇帝その人で!?　秘密あふれる後宮ロマンス。(この話は、【電子版】LaLa 7月号（2024年）に収録されています。)")</f>
        <v>【女官×皇帝、身分を隠して始まる恋】昔助けてくれた初恋の皇帝陛下（顔は見てない）を追って後宮へ来た姚紅旭（ようこうぎょく）。鬼上司の武官様が目を光らせているので、粗相をすれば追い出されてしまう…！　けれど、その武官様こそ紅旭が会いたいと願っている初恋の皇帝その人で!?　秘密あふれる後宮ロマンス。(この話は、【電子版】LaLa 7月号（2024年）に収録されています。)</v>
      </c>
      <c r="W2045" s="14"/>
      <c r="X2045" s="14" t="str">
        <f>IFERROR(__xludf.DUMMYFUNCTION("""COMPUTED_VALUE"""),"有")</f>
        <v>有</v>
      </c>
      <c r="Y2045" s="8" t="str">
        <f>IFERROR(__xludf.DUMMYFUNCTION("""COMPUTED_VALUE"""),"P10まで")</f>
        <v>P10まで</v>
      </c>
      <c r="Z2045" s="7"/>
      <c r="AA2045" s="7"/>
      <c r="AB2045" s="7"/>
    </row>
    <row r="2046" ht="15.75" customHeight="1">
      <c r="A2046" s="76">
        <f>IFERROR(__xludf.DUMMYFUNCTION("""COMPUTED_VALUE"""),3734.0)</f>
        <v>3734</v>
      </c>
      <c r="B2046" s="108" t="str">
        <f>IFERROR(__xludf.DUMMYFUNCTION("""COMPUTED_VALUE"""),"確定")</f>
        <v>確定</v>
      </c>
      <c r="C2046" s="74">
        <f>IFERROR(__xludf.DUMMYFUNCTION("""COMPUTED_VALUE"""),45476.0)</f>
        <v>45476</v>
      </c>
      <c r="D2046" s="74">
        <f>IFERROR(__xludf.DUMMYFUNCTION("""COMPUTED_VALUE"""),45537.0)</f>
        <v>45537</v>
      </c>
      <c r="E2046" s="112">
        <f>IFERROR(__xludf.DUMMYFUNCTION("""COMPUTED_VALUE"""),302215.0)</f>
        <v>302215</v>
      </c>
      <c r="F2046" s="112" t="str">
        <f>IFERROR(__xludf.DUMMYFUNCTION("""COMPUTED_VALUE"""),"推したいしております。")</f>
        <v>推したいしております。</v>
      </c>
      <c r="G2046" s="16" t="str">
        <f>IFERROR(__xludf.DUMMYFUNCTION("""COMPUTED_VALUE"""),"1～5")</f>
        <v>1～5</v>
      </c>
      <c r="H2046" s="108" t="str">
        <f>IFERROR(__xludf.DUMMYFUNCTION("""COMPUTED_VALUE"""),"しちみ")</f>
        <v>しちみ</v>
      </c>
      <c r="I2046" s="108" t="str">
        <f>IFERROR(__xludf.DUMMYFUNCTION("""COMPUTED_VALUE"""),"少女")</f>
        <v>少女</v>
      </c>
      <c r="J2046" s="108"/>
      <c r="K2046" s="108"/>
      <c r="L2046" s="108" t="str">
        <f>IFERROR(__xludf.DUMMYFUNCTION("""COMPUTED_VALUE"""),"白泉社")</f>
        <v>白泉社</v>
      </c>
      <c r="M2046" s="59">
        <f>IFERROR(__xludf.DUMMYFUNCTION("""COMPUTED_VALUE"""),45556.0)</f>
        <v>45556</v>
      </c>
      <c r="N2046" s="115">
        <f>IFERROR(__xludf.DUMMYFUNCTION("""COMPUTED_VALUE"""),45618.0)</f>
        <v>45618</v>
      </c>
      <c r="O2046" s="108"/>
      <c r="P2046" s="110" t="str">
        <f>IFERROR(__xludf.DUMMYFUNCTION("""COMPUTED_VALUE"""),"否")</f>
        <v>否</v>
      </c>
      <c r="Q2046" s="111" t="str">
        <f>IFERROR(__xludf.DUMMYFUNCTION("""COMPUTED_VALUE"""),"広告コミットOK(7/8)
レーベル「LaLa」です。")</f>
        <v>広告コミットOK(7/8)
レーベル「LaLa」です。</v>
      </c>
      <c r="R2046" s="108"/>
      <c r="S2046" s="108" t="str">
        <f>IFERROR(__xludf.DUMMYFUNCTION("""COMPUTED_VALUE"""),"20240830_白泉社_推したいしております。")</f>
        <v>20240830_白泉社_推したいしております。</v>
      </c>
      <c r="T2046" s="108" t="str">
        <f>IFERROR(__xludf.DUMMYFUNCTION("""COMPUTED_VALUE"""),"格納済み")</f>
        <v>格納済み</v>
      </c>
      <c r="U2046" s="15" t="str">
        <f>IFERROR(__xludf.DUMMYFUNCTION("""COMPUTED_VALUE"""),"Ⓒしちみ/白泉社")</f>
        <v>Ⓒしちみ/白泉社</v>
      </c>
      <c r="V2046" s="8" t="str">
        <f>IFERROR(__xludf.DUMMYFUNCTION("""COMPUTED_VALUE"""),"推しに恋しているためお見合いをご破算にしたい理子。一方、相手の太陽も女性恐怖症で破談を狙っていた！しかしお互いの「好き」を大事にできる２人は認め合うようになり、両親の目をごまかすべく付き合ってるフリをすることに…!?(この話は、【電子版】LaLa 6月号（2024年）に収録されています。)")</f>
        <v>推しに恋しているためお見合いをご破算にしたい理子。一方、相手の太陽も女性恐怖症で破談を狙っていた！しかしお互いの「好き」を大事にできる２人は認め合うようになり、両親の目をごまかすべく付き合ってるフリをすることに…!?(この話は、【電子版】LaLa 6月号（2024年）に収録されています。)</v>
      </c>
      <c r="W2046" s="14"/>
      <c r="X2046" s="14" t="str">
        <f>IFERROR(__xludf.DUMMYFUNCTION("""COMPUTED_VALUE"""),"有")</f>
        <v>有</v>
      </c>
      <c r="Y2046" s="8" t="str">
        <f>IFERROR(__xludf.DUMMYFUNCTION("""COMPUTED_VALUE"""),"P10まで")</f>
        <v>P10まで</v>
      </c>
      <c r="Z2046" s="7"/>
      <c r="AA2046" s="7"/>
      <c r="AB2046" s="7"/>
    </row>
    <row r="2047" ht="15.75" customHeight="1">
      <c r="A2047" s="76">
        <f>IFERROR(__xludf.DUMMYFUNCTION("""COMPUTED_VALUE"""),3735.0)</f>
        <v>3735</v>
      </c>
      <c r="B2047" s="108" t="str">
        <f>IFERROR(__xludf.DUMMYFUNCTION("""COMPUTED_VALUE"""),"確定")</f>
        <v>確定</v>
      </c>
      <c r="C2047" s="74">
        <f>IFERROR(__xludf.DUMMYFUNCTION("""COMPUTED_VALUE"""),45476.0)</f>
        <v>45476</v>
      </c>
      <c r="D2047" s="74">
        <f>IFERROR(__xludf.DUMMYFUNCTION("""COMPUTED_VALUE"""),45537.0)</f>
        <v>45537</v>
      </c>
      <c r="E2047" s="112">
        <f>IFERROR(__xludf.DUMMYFUNCTION("""COMPUTED_VALUE"""),302217.0)</f>
        <v>302217</v>
      </c>
      <c r="F2047" s="112" t="str">
        <f>IFERROR(__xludf.DUMMYFUNCTION("""COMPUTED_VALUE"""),"そのメイド、危険につき")</f>
        <v>そのメイド、危険につき</v>
      </c>
      <c r="G2047" s="11" t="str">
        <f>IFERROR(__xludf.DUMMYFUNCTION("""COMPUTED_VALUE"""),"1～4")</f>
        <v>1～4</v>
      </c>
      <c r="H2047" s="108" t="str">
        <f>IFERROR(__xludf.DUMMYFUNCTION("""COMPUTED_VALUE"""),"マコト")</f>
        <v>マコト</v>
      </c>
      <c r="I2047" s="108" t="str">
        <f>IFERROR(__xludf.DUMMYFUNCTION("""COMPUTED_VALUE"""),"少女")</f>
        <v>少女</v>
      </c>
      <c r="J2047" s="108"/>
      <c r="K2047" s="108"/>
      <c r="L2047" s="108" t="str">
        <f>IFERROR(__xludf.DUMMYFUNCTION("""COMPUTED_VALUE"""),"白泉社")</f>
        <v>白泉社</v>
      </c>
      <c r="M2047" s="59">
        <f>IFERROR(__xludf.DUMMYFUNCTION("""COMPUTED_VALUE"""),45556.0)</f>
        <v>45556</v>
      </c>
      <c r="N2047" s="115">
        <f>IFERROR(__xludf.DUMMYFUNCTION("""COMPUTED_VALUE"""),45653.0)</f>
        <v>45653</v>
      </c>
      <c r="O2047" s="108"/>
      <c r="P2047" s="110" t="str">
        <f>IFERROR(__xludf.DUMMYFUNCTION("""COMPUTED_VALUE"""),"否")</f>
        <v>否</v>
      </c>
      <c r="Q2047" s="111" t="str">
        <f>IFERROR(__xludf.DUMMYFUNCTION("""COMPUTED_VALUE"""),"広告コミットOK(7/8)
レーベル「LaLa」です。")</f>
        <v>広告コミットOK(7/8)
レーベル「LaLa」です。</v>
      </c>
      <c r="R2047" s="108"/>
      <c r="S2047" s="108" t="str">
        <f>IFERROR(__xludf.DUMMYFUNCTION("""COMPUTED_VALUE"""),"20240830_白泉社_そのメイド、危険につき")</f>
        <v>20240830_白泉社_そのメイド、危険につき</v>
      </c>
      <c r="T2047" s="108" t="str">
        <f>IFERROR(__xludf.DUMMYFUNCTION("""COMPUTED_VALUE"""),"格納済み")</f>
        <v>格納済み</v>
      </c>
      <c r="U2047" s="15" t="str">
        <f>IFERROR(__xludf.DUMMYFUNCTION("""COMPUTED_VALUE"""),"Ⓒマコト/白泉社")</f>
        <v>Ⓒマコト/白泉社</v>
      </c>
      <c r="V2047" s="8" t="str">
        <f>IFERROR(__xludf.DUMMYFUNCTION("""COMPUTED_VALUE"""),"「ご安心ください。ちゃんと“男”ですので」祖母から10億円の指輪を相続したメリッサ。身を守るために護衛を雇うが、やって来たのは【男のメイド】だった！！屈強な肉体にメイド服をまとい、優雅にメイド仕事をこなしつつ、指輪狙いの輩をバッタバッタとなぎ倒していくアーサー。その変人っぷりに戸惑っていたメリッサだが、彼と過ごすうちに少しずつ心をほどかれていき……？危険なメイドと一つ屋根の下、刺激的すぎる日々が始まる――！(この話は、【電子版】LaLa 12月号（2023年）に収録されています。)")</f>
        <v>「ご安心ください。ちゃんと“男”ですので」祖母から10億円の指輪を相続したメリッサ。身を守るために護衛を雇うが、やって来たのは【男のメイド】だった！！屈強な肉体にメイド服をまとい、優雅にメイド仕事をこなしつつ、指輪狙いの輩をバッタバッタとなぎ倒していくアーサー。その変人っぷりに戸惑っていたメリッサだが、彼と過ごすうちに少しずつ心をほどかれていき……？危険なメイドと一つ屋根の下、刺激的すぎる日々が始まる――！(この話は、【電子版】LaLa 12月号（2023年）に収録されています。)</v>
      </c>
      <c r="W2047" s="14"/>
      <c r="X2047" s="14" t="str">
        <f>IFERROR(__xludf.DUMMYFUNCTION("""COMPUTED_VALUE"""),"有")</f>
        <v>有</v>
      </c>
      <c r="Y2047" s="8" t="str">
        <f>IFERROR(__xludf.DUMMYFUNCTION("""COMPUTED_VALUE"""),"P10まで")</f>
        <v>P10まで</v>
      </c>
      <c r="Z2047" s="7"/>
      <c r="AA2047" s="7"/>
      <c r="AB2047" s="7"/>
    </row>
    <row r="2048" ht="15.75" customHeight="1">
      <c r="A2048" s="76">
        <f>IFERROR(__xludf.DUMMYFUNCTION("""COMPUTED_VALUE"""),3775.0)</f>
        <v>3775</v>
      </c>
      <c r="B2048" s="108" t="str">
        <f>IFERROR(__xludf.DUMMYFUNCTION("""COMPUTED_VALUE"""),"確定")</f>
        <v>確定</v>
      </c>
      <c r="C2048" s="74">
        <f>IFERROR(__xludf.DUMMYFUNCTION("""COMPUTED_VALUE"""),45483.0)</f>
        <v>45483</v>
      </c>
      <c r="D2048" s="74">
        <f>IFERROR(__xludf.DUMMYFUNCTION("""COMPUTED_VALUE"""),45537.0)</f>
        <v>45537</v>
      </c>
      <c r="E2048" s="109">
        <f>IFERROR(__xludf.DUMMYFUNCTION("""COMPUTED_VALUE"""),301628.0)</f>
        <v>301628</v>
      </c>
      <c r="F2048" s="109" t="str">
        <f>IFERROR(__xludf.DUMMYFUNCTION("""COMPUTED_VALUE"""),"【ラブフリック】甘えていいけど、キスはしないで。国宝級人気俳優の発情管理")</f>
        <v>【ラブフリック】甘えていいけど、キスはしないで。国宝級人気俳優の発情管理</v>
      </c>
      <c r="G2048" s="69" t="str">
        <f>IFERROR(__xludf.DUMMYFUNCTION("""COMPUTED_VALUE"""),"1～2")</f>
        <v>1～2</v>
      </c>
      <c r="H2048" s="108" t="str">
        <f>IFERROR(__xludf.DUMMYFUNCTION("""COMPUTED_VALUE"""),"千弘ヒロイ")</f>
        <v>千弘ヒロイ</v>
      </c>
      <c r="I2048" s="108" t="str">
        <f>IFERROR(__xludf.DUMMYFUNCTION("""COMPUTED_VALUE"""),"TL")</f>
        <v>TL</v>
      </c>
      <c r="J2048" s="108"/>
      <c r="K2048" s="108"/>
      <c r="L2048" s="108" t="str">
        <f>IFERROR(__xludf.DUMMYFUNCTION("""COMPUTED_VALUE"""),"CLLENN")</f>
        <v>CLLENN</v>
      </c>
      <c r="M2048" s="59">
        <f>IFERROR(__xludf.DUMMYFUNCTION("""COMPUTED_VALUE"""),45553.0)</f>
        <v>45553</v>
      </c>
      <c r="N2048" s="115">
        <f>IFERROR(__xludf.DUMMYFUNCTION("""COMPUTED_VALUE"""),45615.0)</f>
        <v>45615</v>
      </c>
      <c r="O2048" s="108"/>
      <c r="P2048" s="110" t="str">
        <f>IFERROR(__xludf.DUMMYFUNCTION("""COMPUTED_VALUE"""),"可")</f>
        <v>可</v>
      </c>
      <c r="Q2048" s="108" t="str">
        <f>IFERROR(__xludf.DUMMYFUNCTION("""COMPUTED_VALUE"""),"広告コミットOK(7/18)&lt;BR&gt;TLレーベル名：LOVE FLICK")</f>
        <v>広告コミットOK(7/18)&lt;BR&gt;TLレーベル名：LOVE FLICK</v>
      </c>
      <c r="R2048" s="108" t="str">
        <f>IFERROR(__xludf.DUMMYFUNCTION("""COMPUTED_VALUE"""),"格納済み")</f>
        <v>格納済み</v>
      </c>
      <c r="S2048" s="108" t="str">
        <f>IFERROR(__xludf.DUMMYFUNCTION("""COMPUTED_VALUE"""),"20240829_CLLENN_甘えていいけど、キスはしないで。国宝級人気俳優の発情管理")</f>
        <v>20240829_CLLENN_甘えていいけど、キスはしないで。国宝級人気俳優の発情管理</v>
      </c>
      <c r="T2048" s="108" t="str">
        <f>IFERROR(__xludf.DUMMYFUNCTION("""COMPUTED_VALUE"""),"格納済み")</f>
        <v>格納済み</v>
      </c>
      <c r="U2048" s="15" t="str">
        <f>IFERROR(__xludf.DUMMYFUNCTION("""COMPUTED_VALUE"""),"C千弘ヒロイ/CLLENN")</f>
        <v>C千弘ヒロイ/CLLENN</v>
      </c>
      <c r="V2048" s="8" t="str">
        <f>IFERROR(__xludf.DUMMYFUNCTION("""COMPUTED_VALUE"""),"「乳首…勃ってる？」猛りきったモノを脈打たせながら、耳まで赤く染め上げた端整な顔が私の胸をたまらなげに頬張る。あんなにツンケンしてたのに、とろけた瞳で甘くねぶられて、どうしよう…性欲処理を手伝うはずが、私のほうが気持ちよくなっちゃう!!――実力も人柄も兼ね備えた国宝級人気俳優・佐野谷英士のマネージャーに抜擢された間山ゆり。が、彼は不満全開で、第一印象は最悪だった。奔走していたある日、控え室から苦しげな声が…。飛び込んで目にしたのは、なんと英士のオナニーで…!?　聞けば、プロ意識から恋人もセフレも避けている"&amp;"らしい。使命感に駆られたゆりは、とっさに性欲処理の手助けを申し出てしまったけれど…!?")</f>
        <v>「乳首…勃ってる？」猛りきったモノを脈打たせながら、耳まで赤く染め上げた端整な顔が私の胸をたまらなげに頬張る。あんなにツンケンしてたのに、とろけた瞳で甘くねぶられて、どうしよう…性欲処理を手伝うはずが、私のほうが気持ちよくなっちゃう!!――実力も人柄も兼ね備えた国宝級人気俳優・佐野谷英士のマネージャーに抜擢された間山ゆり。が、彼は不満全開で、第一印象は最悪だった。奔走していたある日、控え室から苦しげな声が…。飛び込んで目にしたのは、なんと英士のオナニーで…!?　聞けば、プロ意識から恋人もセフレも避けているらしい。使命感に駆られたゆりは、とっさに性欲処理の手助けを申し出てしまったけれど…!?</v>
      </c>
      <c r="W2048" s="14"/>
      <c r="X2048" s="14" t="str">
        <f>IFERROR(__xludf.DUMMYFUNCTION("""COMPUTED_VALUE"""),"有")</f>
        <v>有</v>
      </c>
      <c r="Y2048" s="8" t="str">
        <f>IFERROR(__xludf.DUMMYFUNCTION("""COMPUTED_VALUE"""),"2024/10/1まで立ち読み増量P23まで")</f>
        <v>2024/10/1まで立ち読み増量P23まで</v>
      </c>
      <c r="Z2048" s="7"/>
      <c r="AA2048" s="7"/>
      <c r="AB2048" s="7"/>
    </row>
    <row r="2049" ht="15.75" customHeight="1">
      <c r="A2049" s="76">
        <f>IFERROR(__xludf.DUMMYFUNCTION("""COMPUTED_VALUE"""),3776.0)</f>
        <v>3776</v>
      </c>
      <c r="B2049" s="108" t="str">
        <f>IFERROR(__xludf.DUMMYFUNCTION("""COMPUTED_VALUE"""),"確定")</f>
        <v>確定</v>
      </c>
      <c r="C2049" s="74">
        <f>IFERROR(__xludf.DUMMYFUNCTION("""COMPUTED_VALUE"""),45483.0)</f>
        <v>45483</v>
      </c>
      <c r="D2049" s="74">
        <f>IFERROR(__xludf.DUMMYFUNCTION("""COMPUTED_VALUE"""),45537.0)</f>
        <v>45537</v>
      </c>
      <c r="E2049" s="112">
        <f>IFERROR(__xludf.DUMMYFUNCTION("""COMPUTED_VALUE"""),302148.0)</f>
        <v>302148</v>
      </c>
      <c r="F2049" s="112" t="str">
        <f>IFERROR(__xludf.DUMMYFUNCTION("""COMPUTED_VALUE"""),"ひとまず猫と休みます ～OL辞めて猫カフェ店長はじめました～【マイクロ】")</f>
        <v>ひとまず猫と休みます ～OL辞めて猫カフェ店長はじめました～【マイクロ】</v>
      </c>
      <c r="G2049" s="69" t="str">
        <f>IFERROR(__xludf.DUMMYFUNCTION("""COMPUTED_VALUE"""),"1～3")</f>
        <v>1～3</v>
      </c>
      <c r="H2049" s="108" t="str">
        <f>IFERROR(__xludf.DUMMYFUNCTION("""COMPUTED_VALUE"""),"真村澪生")</f>
        <v>真村澪生</v>
      </c>
      <c r="I2049" s="113" t="str">
        <f>IFERROR(__xludf.DUMMYFUNCTION("""COMPUTED_VALUE"""),"女性")</f>
        <v>女性</v>
      </c>
      <c r="J2049" s="108"/>
      <c r="K2049" s="108"/>
      <c r="L2049" s="108" t="str">
        <f>IFERROR(__xludf.DUMMYFUNCTION("""COMPUTED_VALUE"""),"小学館")</f>
        <v>小学館</v>
      </c>
      <c r="M2049" s="59">
        <f>IFERROR(__xludf.DUMMYFUNCTION("""COMPUTED_VALUE"""),45555.0)</f>
        <v>45555</v>
      </c>
      <c r="N2049" s="115">
        <f>IFERROR(__xludf.DUMMYFUNCTION("""COMPUTED_VALUE"""),45615.0)</f>
        <v>45615</v>
      </c>
      <c r="O2049" s="108"/>
      <c r="P2049" s="110" t="str">
        <f>IFERROR(__xludf.DUMMYFUNCTION("""COMPUTED_VALUE"""),"否")</f>
        <v>否</v>
      </c>
      <c r="Q2049" s="111" t="str">
        <f>IFERROR(__xludf.DUMMYFUNCTION("""COMPUTED_VALUE"""),"広告コミットOK(7/17)&lt;BR&gt;・先行期間：続話1ヵ月")</f>
        <v>広告コミットOK(7/17)&lt;BR&gt;・先行期間：続話1ヵ月</v>
      </c>
      <c r="R2049" s="108"/>
      <c r="S2049" s="108" t="str">
        <f>IFERROR(__xludf.DUMMYFUNCTION("""COMPUTED_VALUE"""),"20240830_小学館_ひとまず猫と休みます ～OL辞めて猫カフェ店長はじめました～【マイクロ】")</f>
        <v>20240830_小学館_ひとまず猫と休みます ～OL辞めて猫カフェ店長はじめました～【マイクロ】</v>
      </c>
      <c r="T2049" s="108" t="str">
        <f>IFERROR(__xludf.DUMMYFUNCTION("""COMPUTED_VALUE"""),"格納済み")</f>
        <v>格納済み</v>
      </c>
      <c r="U2049" s="15" t="str">
        <f>IFERROR(__xludf.DUMMYFUNCTION("""COMPUTED_VALUE"""),"(C)真村澪生 / 小学館")</f>
        <v>(C)真村澪生 / 小学館</v>
      </c>
      <c r="V2049" s="8" t="str">
        <f>IFERROR(__xludf.DUMMYFUNCTION("""COMPUTED_VALUE"""),"恋も仕事も上手くいっていないアラサーOL・菫。唯一の癒しは保護猫カフェ「ねこかど」に通うこと。ところがある日、子猫を拾ったことから菫は「ねこかど」を継ぐことに！？
新米店長と可愛い猫と個性的なカフェの常連達が織りなす、ハートフルキャットストーリー！！")</f>
        <v>恋も仕事も上手くいっていないアラサーOL・菫。唯一の癒しは保護猫カフェ「ねこかど」に通うこと。ところがある日、子猫を拾ったことから菫は「ねこかど」を継ぐことに！？
新米店長と可愛い猫と個性的なカフェの常連達が織りなす、ハートフルキャットストーリー！！</v>
      </c>
      <c r="W2049" s="14"/>
      <c r="X2049" s="14" t="str">
        <f>IFERROR(__xludf.DUMMYFUNCTION("""COMPUTED_VALUE"""),"有")</f>
        <v>有</v>
      </c>
      <c r="Y2049" s="8" t="str">
        <f>IFERROR(__xludf.DUMMYFUNCTION("""COMPUTED_VALUE"""),"2024/11/19まで1巻無料")</f>
        <v>2024/11/19まで1巻無料</v>
      </c>
      <c r="Z2049" s="7"/>
      <c r="AA2049" s="7"/>
      <c r="AB2049" s="7"/>
    </row>
    <row r="2050" ht="15.75" customHeight="1">
      <c r="A2050" s="76">
        <f>IFERROR(__xludf.DUMMYFUNCTION("""COMPUTED_VALUE"""),3802.0)</f>
        <v>3802</v>
      </c>
      <c r="B2050" s="108" t="str">
        <f>IFERROR(__xludf.DUMMYFUNCTION("""COMPUTED_VALUE"""),"確定")</f>
        <v>確定</v>
      </c>
      <c r="C2050" s="74">
        <f>IFERROR(__xludf.DUMMYFUNCTION("""COMPUTED_VALUE"""),45489.0)</f>
        <v>45489</v>
      </c>
      <c r="D2050" s="74">
        <f>IFERROR(__xludf.DUMMYFUNCTION("""COMPUTED_VALUE"""),45538.0)</f>
        <v>45538</v>
      </c>
      <c r="E2050" s="109">
        <f>IFERROR(__xludf.DUMMYFUNCTION("""COMPUTED_VALUE"""),301817.0)</f>
        <v>301817</v>
      </c>
      <c r="F2050" s="109" t="str">
        <f>IFERROR(__xludf.DUMMYFUNCTION("""COMPUTED_VALUE"""),"アソコのサイズが見えるようになったのですが!?～通常サイズがほとんどなのに会社の隣の彼がXL!?～【分冊版】")</f>
        <v>アソコのサイズが見えるようになったのですが!?～通常サイズがほとんどなのに会社の隣の彼がXL!?～【分冊版】</v>
      </c>
      <c r="G2050" s="69" t="str">
        <f>IFERROR(__xludf.DUMMYFUNCTION("""COMPUTED_VALUE"""),"1～2")</f>
        <v>1～2</v>
      </c>
      <c r="H2050" s="108" t="str">
        <f>IFERROR(__xludf.DUMMYFUNCTION("""COMPUTED_VALUE"""),"一ノ清なんの（ヨミ：イチノセナンノ） 原作：踊る毒林檎 （ヨミ：オドルドクリンゴ）")</f>
        <v>一ノ清なんの（ヨミ：イチノセナンノ） 原作：踊る毒林檎 （ヨミ：オドルドクリンゴ）</v>
      </c>
      <c r="I2050" s="108" t="str">
        <f>IFERROR(__xludf.DUMMYFUNCTION("""COMPUTED_VALUE"""),"TL")</f>
        <v>TL</v>
      </c>
      <c r="J2050" s="108"/>
      <c r="K2050" s="108"/>
      <c r="L2050" s="108" t="str">
        <f>IFERROR(__xludf.DUMMYFUNCTION("""COMPUTED_VALUE"""),"笠倉出版社")</f>
        <v>笠倉出版社</v>
      </c>
      <c r="M2050" s="59">
        <f>IFERROR(__xludf.DUMMYFUNCTION("""COMPUTED_VALUE"""),45554.0)</f>
        <v>45554</v>
      </c>
      <c r="N2050" s="47">
        <f>IFERROR(__xludf.DUMMYFUNCTION("""COMPUTED_VALUE"""),45581.0)</f>
        <v>45581</v>
      </c>
      <c r="O2050" s="108"/>
      <c r="P2050" s="110" t="str">
        <f>IFERROR(__xludf.DUMMYFUNCTION("""COMPUTED_VALUE"""),"可")</f>
        <v>可</v>
      </c>
      <c r="Q2050" s="108" t="str">
        <f>IFERROR(__xludf.DUMMYFUNCTION("""COMPUTED_VALUE"""),"広告コミットOK（7/24）&lt;BR&gt;TLレーベル名：ラブチュコラ")</f>
        <v>広告コミットOK（7/24）&lt;BR&gt;TLレーベル名：ラブチュコラ</v>
      </c>
      <c r="R2050" s="108" t="str">
        <f>IFERROR(__xludf.DUMMYFUNCTION("""COMPUTED_VALUE"""),"格納済み")</f>
        <v>格納済み</v>
      </c>
      <c r="S2050" s="108" t="str">
        <f>IFERROR(__xludf.DUMMYFUNCTION("""COMPUTED_VALUE"""),"20240902_笠倉出版社_アソコのサイズが見えるようになったのですが！？～通常サイズがほとんどなのに会社の隣の彼がXL！？～【分冊版】")</f>
        <v>20240902_笠倉出版社_アソコのサイズが見えるようになったのですが！？～通常サイズがほとんどなのに会社の隣の彼がXL！？～【分冊版】</v>
      </c>
      <c r="T2050" s="108" t="str">
        <f>IFERROR(__xludf.DUMMYFUNCTION("""COMPUTED_VALUE"""),"格納済み")</f>
        <v>格納済み</v>
      </c>
      <c r="U2050" s="15" t="str">
        <f>IFERROR(__xludf.DUMMYFUNCTION("""COMPUTED_VALUE"""),"©一ノ清なんの/踊る毒林檎/笠倉出版社")</f>
        <v>©一ノ清なんの/踊る毒林檎/笠倉出版社</v>
      </c>
      <c r="V2050" s="8" t="str">
        <f>IFERROR(__xludf.DUMMYFUNCTION("""COMPUTED_VALUE"""),"「世の中不公平だ。女のバストは服の上から大きさが分かるけど、男のちん○のサイズはズボンの上からでは全く分からない」高校生のころからつき合っている彼氏と最近別れた私。結婚前に、身体の関係がなかったので迫ってみたら驚くほどの短小でした…。しかも、完全なマザコン…。それ以来、小さい人が無理になってしまった。でも男のサイズなんてホテルに行かないとわからない。酔って初めて会った娘にそんな悩みを話したらキャンディーを渡された。「これを飲めばチン長が見えるようになる」酔ってたし、全く信じてなかったけど、次の日に驚いた。"&amp;"ちょっと良いと思っていた小山さんが3cm…しかも細い。細さや勃起した時の大きさも見える。ちょっと課長何で、会議で勃ってるの!?　しかも5cm!?　そんな中、芹沢先輩は14cm…しかも通常時で太い…いやいや、私どうなっちゃうんだろー!?")</f>
        <v>「世の中不公平だ。女のバストは服の上から大きさが分かるけど、男のちん○のサイズはズボンの上からでは全く分からない」高校生のころからつき合っている彼氏と最近別れた私。結婚前に、身体の関係がなかったので迫ってみたら驚くほどの短小でした…。しかも、完全なマザコン…。それ以来、小さい人が無理になってしまった。でも男のサイズなんてホテルに行かないとわからない。酔って初めて会った娘にそんな悩みを話したらキャンディーを渡された。「これを飲めばチン長が見えるようになる」酔ってたし、全く信じてなかったけど、次の日に驚いた。ちょっと良いと思っていた小山さんが3cm…しかも細い。細さや勃起した時の大きさも見える。ちょっと課長何で、会議で勃ってるの!?　しかも5cm!?　そんな中、芹沢先輩は14cm…しかも通常時で太い…いやいや、私どうなっちゃうんだろー!?</v>
      </c>
      <c r="W2050" s="14"/>
      <c r="X2050" s="14" t="str">
        <f>IFERROR(__xludf.DUMMYFUNCTION("""COMPUTED_VALUE"""),"有")</f>
        <v>有</v>
      </c>
      <c r="Y2050" s="8" t="str">
        <f>IFERROR(__xludf.DUMMYFUNCTION("""COMPUTED_VALUE"""),"P6まで")</f>
        <v>P6まで</v>
      </c>
      <c r="Z2050" s="7"/>
      <c r="AA2050" s="7"/>
      <c r="AB2050" s="7"/>
    </row>
    <row r="2051" ht="15.75" customHeight="1">
      <c r="A2051" s="76">
        <f>IFERROR(__xludf.DUMMYFUNCTION("""COMPUTED_VALUE"""),3851.0)</f>
        <v>3851</v>
      </c>
      <c r="B2051" s="108" t="str">
        <f>IFERROR(__xludf.DUMMYFUNCTION("""COMPUTED_VALUE"""),"確定")</f>
        <v>確定</v>
      </c>
      <c r="C2051" s="74">
        <f>IFERROR(__xludf.DUMMYFUNCTION("""COMPUTED_VALUE"""),45497.0)</f>
        <v>45497</v>
      </c>
      <c r="D2051" s="74">
        <f>IFERROR(__xludf.DUMMYFUNCTION("""COMPUTED_VALUE"""),45539.0)</f>
        <v>45539</v>
      </c>
      <c r="E2051" s="112">
        <f>IFERROR(__xludf.DUMMYFUNCTION("""COMPUTED_VALUE"""),306023.0)</f>
        <v>306023</v>
      </c>
      <c r="F2051" s="112" t="str">
        <f>IFERROR(__xludf.DUMMYFUNCTION("""COMPUTED_VALUE"""),"【分冊版】恋色メテオライト")</f>
        <v>【分冊版】恋色メテオライト</v>
      </c>
      <c r="G2051" s="69" t="str">
        <f>IFERROR(__xludf.DUMMYFUNCTION("""COMPUTED_VALUE"""),"1～3")</f>
        <v>1～3</v>
      </c>
      <c r="H2051" s="108" t="str">
        <f>IFERROR(__xludf.DUMMYFUNCTION("""COMPUTED_VALUE"""),"八巻たみ")</f>
        <v>八巻たみ</v>
      </c>
      <c r="I2051" s="108" t="str">
        <f>IFERROR(__xludf.DUMMYFUNCTION("""COMPUTED_VALUE"""),"BL")</f>
        <v>BL</v>
      </c>
      <c r="J2051" s="108"/>
      <c r="K2051" s="108"/>
      <c r="L2051" s="108" t="str">
        <f>IFERROR(__xludf.DUMMYFUNCTION("""COMPUTED_VALUE"""),"ジーオーティー")</f>
        <v>ジーオーティー</v>
      </c>
      <c r="M2051" s="115">
        <f>IFERROR(__xludf.DUMMYFUNCTION("""COMPUTED_VALUE"""),45592.0)</f>
        <v>45592</v>
      </c>
      <c r="N2051" s="115">
        <f>IFERROR(__xludf.DUMMYFUNCTION("""COMPUTED_VALUE"""),45652.0)</f>
        <v>45652</v>
      </c>
      <c r="O2051" s="108"/>
      <c r="P2051" s="110" t="str">
        <f>IFERROR(__xludf.DUMMYFUNCTION("""COMPUTED_VALUE"""),"可")</f>
        <v>可</v>
      </c>
      <c r="Q2051" s="111" t="str">
        <f>IFERROR(__xludf.DUMMYFUNCTION("""COMPUTED_VALUE"""),"広告コミットOK（7/29）")</f>
        <v>広告コミットOK（7/29）</v>
      </c>
      <c r="R2051" s="108"/>
      <c r="S2051" s="108" t="str">
        <f>IFERROR(__xludf.DUMMYFUNCTION("""COMPUTED_VALUE"""),"20240902_ジーオーティ_恋色メテオライト")</f>
        <v>20240902_ジーオーティ_恋色メテオライト</v>
      </c>
      <c r="T2051" s="108" t="str">
        <f>IFERROR(__xludf.DUMMYFUNCTION("""COMPUTED_VALUE"""),"格納済み")</f>
        <v>格納済み</v>
      </c>
      <c r="U2051" s="15" t="str">
        <f>IFERROR(__xludf.DUMMYFUNCTION("""COMPUTED_VALUE"""),"©八巻たみ／ジーオーティー")</f>
        <v>©八巻たみ／ジーオーティー</v>
      </c>
      <c r="V2051" s="8" t="str">
        <f>IFERROR(__xludf.DUMMYFUNCTION("""COMPUTED_VALUE"""),"酒屋でアルバイトをしている男子高校生の巴は、
閉店間際に急遽配達の依頼が入った店長の代わりに店を締めることに。
店の2階で寝ている甥が締め作業ができるという店長の言葉を頼りに
起こしに行こうと部屋に向かうと、中で人が倒れている！！
助けようと呼びかけた所、押し倒され、さらには「脱いで」と迫られてーー！？
チャラ男美大生×真面目男子高校生の
超ド級ビックバンラブコメ！！")</f>
        <v>酒屋でアルバイトをしている男子高校生の巴は、
閉店間際に急遽配達の依頼が入った店長の代わりに店を締めることに。
店の2階で寝ている甥が締め作業ができるという店長の言葉を頼りに
起こしに行こうと部屋に向かうと、中で人が倒れている！！
助けようと呼びかけた所、押し倒され、さらには「脱いで」と迫られてーー！？
チャラ男美大生×真面目男子高校生の
超ド級ビックバンラブコメ！！</v>
      </c>
      <c r="W2051" s="14"/>
      <c r="X2051" s="14" t="str">
        <f>IFERROR(__xludf.DUMMYFUNCTION("""COMPUTED_VALUE"""),"有")</f>
        <v>有</v>
      </c>
      <c r="Y2051" s="8" t="str">
        <f>IFERROR(__xludf.DUMMYFUNCTION("""COMPUTED_VALUE"""),"2024/12/26まで1巻無料")</f>
        <v>2024/12/26まで1巻無料</v>
      </c>
      <c r="Z2051" s="7"/>
      <c r="AA2051" s="7"/>
      <c r="AB2051" s="7"/>
    </row>
    <row r="2052" ht="15.75" customHeight="1">
      <c r="A2052" s="76">
        <f>IFERROR(__xludf.DUMMYFUNCTION("""COMPUTED_VALUE"""),3855.0)</f>
        <v>3855</v>
      </c>
      <c r="B2052" s="108" t="str">
        <f>IFERROR(__xludf.DUMMYFUNCTION("""COMPUTED_VALUE"""),"確定")</f>
        <v>確定</v>
      </c>
      <c r="C2052" s="74">
        <f>IFERROR(__xludf.DUMMYFUNCTION("""COMPUTED_VALUE"""),45497.0)</f>
        <v>45497</v>
      </c>
      <c r="D2052" s="74">
        <f>IFERROR(__xludf.DUMMYFUNCTION("""COMPUTED_VALUE"""),45539.0)</f>
        <v>45539</v>
      </c>
      <c r="E2052" s="109">
        <f>IFERROR(__xludf.DUMMYFUNCTION("""COMPUTED_VALUE"""),300773.0)</f>
        <v>300773</v>
      </c>
      <c r="F2052" s="109" t="str">
        <f>IFERROR(__xludf.DUMMYFUNCTION("""COMPUTED_VALUE"""),"TEN×―天罰―")</f>
        <v>TEN×―天罰―</v>
      </c>
      <c r="G2052" s="69" t="str">
        <f>IFERROR(__xludf.DUMMYFUNCTION("""COMPUTED_VALUE"""),"1～3")</f>
        <v>1～3</v>
      </c>
      <c r="H2052" s="108" t="str">
        <f>IFERROR(__xludf.DUMMYFUNCTION("""COMPUTED_VALUE"""),"[原作]八重樫ひのめ [作画] 加来幸平")</f>
        <v>[原作]八重樫ひのめ [作画] 加来幸平</v>
      </c>
      <c r="I2052" s="108" t="str">
        <f>IFERROR(__xludf.DUMMYFUNCTION("""COMPUTED_VALUE"""),"青年")</f>
        <v>青年</v>
      </c>
      <c r="J2052" s="108"/>
      <c r="K2052" s="108"/>
      <c r="L2052" s="108" t="str">
        <f>IFERROR(__xludf.DUMMYFUNCTION("""COMPUTED_VALUE"""),"wwwave comics")</f>
        <v>wwwave comics</v>
      </c>
      <c r="M2052" s="59">
        <f>IFERROR(__xludf.DUMMYFUNCTION("""COMPUTED_VALUE"""),45541.0)</f>
        <v>45541</v>
      </c>
      <c r="N2052" s="23">
        <f>IFERROR(__xludf.DUMMYFUNCTION("""COMPUTED_VALUE"""),45569.0)</f>
        <v>45569</v>
      </c>
      <c r="O2052" s="108"/>
      <c r="P2052" s="114" t="str">
        <f>IFERROR(__xludf.DUMMYFUNCTION("""COMPUTED_VALUE"""),"可")</f>
        <v>可</v>
      </c>
      <c r="Q2052" s="111"/>
      <c r="R2052" s="108"/>
      <c r="S2052" s="108" t="str">
        <f>IFERROR(__xludf.DUMMYFUNCTION("""COMPUTED_VALUE"""),"20240903_ウェイブ_TEN×―天罰―")</f>
        <v>20240903_ウェイブ_TEN×―天罰―</v>
      </c>
      <c r="T2052" s="108" t="str">
        <f>IFERROR(__xludf.DUMMYFUNCTION("""COMPUTED_VALUE"""),"格納済み")</f>
        <v>格納済み</v>
      </c>
      <c r="U2052" s="15" t="str">
        <f>IFERROR(__xludf.DUMMYFUNCTION("""COMPUTED_VALUE"""),"©八重樫ひのめ／加来幸平／wwwave comics")</f>
        <v>©八重樫ひのめ／加来幸平／wwwave comics</v>
      </c>
      <c r="V2052" s="8" t="str">
        <f>IFERROR(__xludf.DUMMYFUNCTION("""COMPUTED_VALUE"""),"「復讐は”天罰”となって下される──!!」――友人から「TEN×」というアプリを勧められた大学生の小春。それはランダムに届く指令をクリアするとポイントを換金出来るシステムだった。指令を達成できなければ×が溜まり”強制退会”させられるという。だが、小春のもとに届いた指令は「プレイヤー同士で性行為」等、常軌を喫していて…!?そして、目前で×が10個溜まってしまうプレイヤー。その本当の末路を小春は目撃することとなり…――罪と罰のアプリをめぐる緊迫のサスペンス始動!!")</f>
        <v>「復讐は”天罰”となって下される──!!」――友人から「TEN×」というアプリを勧められた大学生の小春。それはランダムに届く指令をクリアするとポイントを換金出来るシステムだった。指令を達成できなければ×が溜まり”強制退会”させられるという。だが、小春のもとに届いた指令は「プレイヤー同士で性行為」等、常軌を喫していて…!?そして、目前で×が10個溜まってしまうプレイヤー。その本当の末路を小春は目撃することとなり…――罪と罰のアプリをめぐる緊迫のサスペンス始動!!</v>
      </c>
      <c r="W2052" s="14"/>
      <c r="X2052" s="14" t="str">
        <f>IFERROR(__xludf.DUMMYFUNCTION("""COMPUTED_VALUE"""),"有")</f>
        <v>有</v>
      </c>
      <c r="Y2052" s="8" t="str">
        <f>IFERROR(__xludf.DUMMYFUNCTION("""COMPUTED_VALUE"""),"P15まで")</f>
        <v>P15まで</v>
      </c>
      <c r="Z2052" s="7"/>
      <c r="AA2052" s="7"/>
      <c r="AB2052" s="7"/>
    </row>
    <row r="2053" ht="15.75" customHeight="1">
      <c r="A2053" s="76">
        <f>IFERROR(__xludf.DUMMYFUNCTION("""COMPUTED_VALUE"""),3859.0)</f>
        <v>3859</v>
      </c>
      <c r="B2053" s="108" t="str">
        <f>IFERROR(__xludf.DUMMYFUNCTION("""COMPUTED_VALUE"""),"確定")</f>
        <v>確定</v>
      </c>
      <c r="C2053" s="74">
        <f>IFERROR(__xludf.DUMMYFUNCTION("""COMPUTED_VALUE"""),45498.0)</f>
        <v>45498</v>
      </c>
      <c r="D2053" s="74">
        <f>IFERROR(__xludf.DUMMYFUNCTION("""COMPUTED_VALUE"""),45539.0)</f>
        <v>45539</v>
      </c>
      <c r="E2053" s="112">
        <f>IFERROR(__xludf.DUMMYFUNCTION("""COMPUTED_VALUE"""),303280.0)</f>
        <v>303280</v>
      </c>
      <c r="F2053" s="112" t="str">
        <f>IFERROR(__xludf.DUMMYFUNCTION("""COMPUTED_VALUE"""),"声仇 〜世界一愛おしく、壊したいほど憎らしい“君の声”〜")</f>
        <v>声仇 〜世界一愛おしく、壊したいほど憎らしい“君の声”〜</v>
      </c>
      <c r="G2053" s="69" t="str">
        <f>IFERROR(__xludf.DUMMYFUNCTION("""COMPUTED_VALUE"""),"1～6")</f>
        <v>1～6</v>
      </c>
      <c r="H2053" s="108" t="str">
        <f>IFERROR(__xludf.DUMMYFUNCTION("""COMPUTED_VALUE"""),"脚本：よぢね / 作画：ぽ")</f>
        <v>脚本：よぢね / 作画：ぽ</v>
      </c>
      <c r="I2053" s="108" t="str">
        <f>IFERROR(__xludf.DUMMYFUNCTION("""COMPUTED_VALUE"""),"BL")</f>
        <v>BL</v>
      </c>
      <c r="J2053" s="108"/>
      <c r="K2053" s="108"/>
      <c r="L2053" s="108" t="str">
        <f>IFERROR(__xludf.DUMMYFUNCTION("""COMPUTED_VALUE"""),"GANMA!")</f>
        <v>GANMA!</v>
      </c>
      <c r="M2053" s="59">
        <f>IFERROR(__xludf.DUMMYFUNCTION("""COMPUTED_VALUE"""),45566.0)</f>
        <v>45566</v>
      </c>
      <c r="N2053" s="115">
        <f>IFERROR(__xludf.DUMMYFUNCTION("""COMPUTED_VALUE"""),45657.0)</f>
        <v>45657</v>
      </c>
      <c r="O2053" s="108"/>
      <c r="P2053" s="110" t="str">
        <f>IFERROR(__xludf.DUMMYFUNCTION("""COMPUTED_VALUE"""),"可")</f>
        <v>可</v>
      </c>
      <c r="Q2053" s="111" t="str">
        <f>IFERROR(__xludf.DUMMYFUNCTION("""COMPUTED_VALUE"""),"広告コミットOK(7/31)&lt;BR&gt;コピーライトは短縮版の以下でも可&lt;BR&gt;©よぢね・ぽ/mishmash house")</f>
        <v>広告コミットOK(7/31)&lt;BR&gt;コピーライトは短縮版の以下でも可&lt;BR&gt;©よぢね・ぽ/mishmash house</v>
      </c>
      <c r="R2053" s="108"/>
      <c r="S2053" s="108" t="str">
        <f>IFERROR(__xludf.DUMMYFUNCTION("""COMPUTED_VALUE"""),"20240902_GANMA!_声仇")</f>
        <v>20240902_GANMA!_声仇</v>
      </c>
      <c r="T2053" s="108" t="str">
        <f>IFERROR(__xludf.DUMMYFUNCTION("""COMPUTED_VALUE"""),"格納済み")</f>
        <v>格納済み</v>
      </c>
      <c r="U2053" s="15" t="str">
        <f>IFERROR(__xludf.DUMMYFUNCTION("""COMPUTED_VALUE"""),"©よぢね・ぽ/mishmash house (松竹/テレビ東京/ COMICSMART INC.)")</f>
        <v>©よぢね・ぽ/mishmash house (松竹/テレビ東京/ COMICSMART INC.)</v>
      </c>
      <c r="V2053" s="8" t="str">
        <f>IFERROR(__xludf.DUMMYFUNCTION("""COMPUTED_VALUE"""),"新人声優・沢石玲は初主役の現場で出会った音響監督・堀川蓮司に惹かれていくが、蓮司は才能溢れる玲に複雑な気持ちを抱える。 わんこ系年下青年とあざとい系ギャップおじさんが織りなす声優・音響業界ストーリー！（著者名：よぢね・ぽ）")</f>
        <v>新人声優・沢石玲は初主役の現場で出会った音響監督・堀川蓮司に惹かれていくが、蓮司は才能溢れる玲に複雑な気持ちを抱える。 わんこ系年下青年とあざとい系ギャップおじさんが織りなす声優・音響業界ストーリー！（著者名：よぢね・ぽ）</v>
      </c>
      <c r="W2053" s="14"/>
      <c r="X2053" s="14" t="str">
        <f>IFERROR(__xludf.DUMMYFUNCTION("""COMPUTED_VALUE"""),"有")</f>
        <v>有</v>
      </c>
      <c r="Y2053" s="8" t="str">
        <f>IFERROR(__xludf.DUMMYFUNCTION("""COMPUTED_VALUE"""),"P5まで")</f>
        <v>P5まで</v>
      </c>
      <c r="Z2053" s="7"/>
      <c r="AA2053" s="7"/>
      <c r="AB2053" s="7"/>
    </row>
    <row r="2054" ht="15.75" customHeight="1">
      <c r="A2054" s="76">
        <f>IFERROR(__xludf.DUMMYFUNCTION("""COMPUTED_VALUE"""),3870.0)</f>
        <v>3870</v>
      </c>
      <c r="B2054" s="108" t="str">
        <f>IFERROR(__xludf.DUMMYFUNCTION("""COMPUTED_VALUE"""),"確定")</f>
        <v>確定</v>
      </c>
      <c r="C2054" s="74">
        <f>IFERROR(__xludf.DUMMYFUNCTION("""COMPUTED_VALUE"""),45502.0)</f>
        <v>45502</v>
      </c>
      <c r="D2054" s="74">
        <f>IFERROR(__xludf.DUMMYFUNCTION("""COMPUTED_VALUE"""),45539.0)</f>
        <v>45539</v>
      </c>
      <c r="E2054" s="112">
        <f>IFERROR(__xludf.DUMMYFUNCTION("""COMPUTED_VALUE"""),305658.0)</f>
        <v>305658</v>
      </c>
      <c r="F2054" s="112" t="str">
        <f>IFERROR(__xludf.DUMMYFUNCTION("""COMPUTED_VALUE"""),"推しとの恋は解釈違いです。")</f>
        <v>推しとの恋は解釈違いです。</v>
      </c>
      <c r="G2054" s="69" t="str">
        <f>IFERROR(__xludf.DUMMYFUNCTION("""COMPUTED_VALUE"""),"1～3")</f>
        <v>1～3</v>
      </c>
      <c r="H2054" s="108" t="str">
        <f>IFERROR(__xludf.DUMMYFUNCTION("""COMPUTED_VALUE"""),"春乃ミコ")</f>
        <v>春乃ミコ</v>
      </c>
      <c r="I2054" s="108" t="str">
        <f>IFERROR(__xludf.DUMMYFUNCTION("""COMPUTED_VALUE"""),"女性")</f>
        <v>女性</v>
      </c>
      <c r="J2054" s="108"/>
      <c r="K2054" s="108"/>
      <c r="L2054" s="108" t="str">
        <f>IFERROR(__xludf.DUMMYFUNCTION("""COMPUTED_VALUE"""),"双葉社")</f>
        <v>双葉社</v>
      </c>
      <c r="M2054" s="59">
        <f>IFERROR(__xludf.DUMMYFUNCTION("""COMPUTED_VALUE"""),45599.0)</f>
        <v>45599</v>
      </c>
      <c r="N2054" s="59">
        <f>IFERROR(__xludf.DUMMYFUNCTION("""COMPUTED_VALUE"""),45659.0)</f>
        <v>45659</v>
      </c>
      <c r="O2054" s="108"/>
      <c r="P2054" s="110" t="str">
        <f>IFERROR(__xludf.DUMMYFUNCTION("""COMPUTED_VALUE"""),"可")</f>
        <v>可</v>
      </c>
      <c r="Q2054" s="108" t="str">
        <f>IFERROR(__xludf.DUMMYFUNCTION("""COMPUTED_VALUE"""),"広告コミットOK(8/2)&lt;BR&gt;オタクな主人公が、推しにそっくりな印象最悪イケメンと恋に落ちるラブコメ作品で、類似作は「ピンクとハバネロ」「推しに甘噛み」などです")</f>
        <v>広告コミットOK(8/2)&lt;BR&gt;オタクな主人公が、推しにそっくりな印象最悪イケメンと恋に落ちるラブコメ作品で、類似作は「ピンクとハバネロ」「推しに甘噛み」などです</v>
      </c>
      <c r="R2054" s="108" t="str">
        <f>IFERROR(__xludf.DUMMYFUNCTION("""COMPUTED_VALUE"""),"格納済み")</f>
        <v>格納済み</v>
      </c>
      <c r="S2054" s="108" t="str">
        <f>IFERROR(__xludf.DUMMYFUNCTION("""COMPUTED_VALUE"""),"20240902_双葉社_推しとの恋は解釈違いです")</f>
        <v>20240902_双葉社_推しとの恋は解釈違いです</v>
      </c>
      <c r="T2054" s="108" t="str">
        <f>IFERROR(__xludf.DUMMYFUNCTION("""COMPUTED_VALUE"""),"格納済み")</f>
        <v>格納済み</v>
      </c>
      <c r="U2054" s="15" t="str">
        <f>IFERROR(__xludf.DUMMYFUNCTION("""COMPUTED_VALUE"""),"(C)春乃ミコ/双葉社")</f>
        <v>(C)春乃ミコ/双葉社</v>
      </c>
      <c r="V2054" s="8" t="str">
        <f>IFERROR(__xludf.DUMMYFUNCTION("""COMPUTED_VALUE"""),"過去のトラウマから、オタク趣味を隠して生きる主人公の絃。教師である絃の勤める学校には、絃の推しキャラである「亜山ルイ」に激似の同僚、仁木がいた。とはいえ、「三次元のイケメンは遠くから眺めるに限る」という信条のもと、深く関わる気はなかったのだが…!?　隠れオタクな主人公×推しにそっくりな印象最悪イケメンのラブコメがスタート！")</f>
        <v>過去のトラウマから、オタク趣味を隠して生きる主人公の絃。教師である絃の勤める学校には、絃の推しキャラである「亜山ルイ」に激似の同僚、仁木がいた。とはいえ、「三次元のイケメンは遠くから眺めるに限る」という信条のもと、深く関わる気はなかったのだが…!?　隠れオタクな主人公×推しにそっくりな印象最悪イケメンのラブコメがスタート！</v>
      </c>
      <c r="W2054" s="14"/>
      <c r="X2054" s="14" t="str">
        <f>IFERROR(__xludf.DUMMYFUNCTION("""COMPUTED_VALUE"""),"有")</f>
        <v>有</v>
      </c>
      <c r="Y2054" s="8" t="str">
        <f>IFERROR(__xludf.DUMMYFUNCTION("""COMPUTED_VALUE"""),"P9まで")</f>
        <v>P9まで</v>
      </c>
      <c r="Z2054" s="7"/>
      <c r="AA2054" s="7"/>
      <c r="AB2054" s="7"/>
    </row>
    <row r="2055" ht="15.75" customHeight="1">
      <c r="A2055" s="76">
        <f>IFERROR(__xludf.DUMMYFUNCTION("""COMPUTED_VALUE"""),3940.0)</f>
        <v>3940</v>
      </c>
      <c r="B2055" s="108" t="str">
        <f>IFERROR(__xludf.DUMMYFUNCTION("""COMPUTED_VALUE"""),"確定")</f>
        <v>確定</v>
      </c>
      <c r="C2055" s="74">
        <f>IFERROR(__xludf.DUMMYFUNCTION("""COMPUTED_VALUE"""),45512.0)</f>
        <v>45512</v>
      </c>
      <c r="D2055" s="74">
        <f>IFERROR(__xludf.DUMMYFUNCTION("""COMPUTED_VALUE"""),45538.0)</f>
        <v>45538</v>
      </c>
      <c r="E2055" s="112">
        <f>IFERROR(__xludf.DUMMYFUNCTION("""COMPUTED_VALUE"""),302180.0)</f>
        <v>302180</v>
      </c>
      <c r="F2055" s="112" t="str">
        <f>IFERROR(__xludf.DUMMYFUNCTION("""COMPUTED_VALUE"""),"復讐は、強かに")</f>
        <v>復讐は、強かに</v>
      </c>
      <c r="G2055" s="69" t="str">
        <f>IFERROR(__xludf.DUMMYFUNCTION("""COMPUTED_VALUE"""),"1～2")</f>
        <v>1～2</v>
      </c>
      <c r="H2055" s="108" t="str">
        <f>IFERROR(__xludf.DUMMYFUNCTION("""COMPUTED_VALUE"""),"優姫夢／COMIC ROOM")</f>
        <v>優姫夢／COMIC ROOM</v>
      </c>
      <c r="I2055" s="108" t="str">
        <f>IFERROR(__xludf.DUMMYFUNCTION("""COMPUTED_VALUE"""),"女性")</f>
        <v>女性</v>
      </c>
      <c r="J2055" s="108"/>
      <c r="K2055" s="108"/>
      <c r="L2055" s="108" t="str">
        <f>IFERROR(__xludf.DUMMYFUNCTION("""COMPUTED_VALUE"""),"コミックルーム")</f>
        <v>コミックルーム</v>
      </c>
      <c r="M2055" s="59">
        <f>IFERROR(__xludf.DUMMYFUNCTION("""COMPUTED_VALUE"""),45555.0)</f>
        <v>45555</v>
      </c>
      <c r="N2055" s="115">
        <f>IFERROR(__xludf.DUMMYFUNCTION("""COMPUTED_VALUE"""),45645.0)</f>
        <v>45645</v>
      </c>
      <c r="O2055" s="108"/>
      <c r="P2055" s="110" t="str">
        <f>IFERROR(__xludf.DUMMYFUNCTION("""COMPUTED_VALUE"""),"可")</f>
        <v>可</v>
      </c>
      <c r="Q2055" s="111" t="str">
        <f>IFERROR(__xludf.DUMMYFUNCTION("""COMPUTED_VALUE"""),"広告コミットOK(8/9)&lt;BR&gt;・いったん2話完結で、好調ならば続刊を制作します。")</f>
        <v>広告コミットOK(8/9)&lt;BR&gt;・いったん2話完結で、好調ならば続刊を制作します。</v>
      </c>
      <c r="R2055" s="108"/>
      <c r="S2055" s="108" t="str">
        <f>IFERROR(__xludf.DUMMYFUNCTION("""COMPUTED_VALUE"""),"20240902_コミックルーム_復讐は、強かに")</f>
        <v>20240902_コミックルーム_復讐は、強かに</v>
      </c>
      <c r="T2055" s="108" t="str">
        <f>IFERROR(__xludf.DUMMYFUNCTION("""COMPUTED_VALUE"""),"格納済み")</f>
        <v>格納済み</v>
      </c>
      <c r="U2055" s="15" t="str">
        <f>IFERROR(__xludf.DUMMYFUNCTION("""COMPUTED_VALUE"""),"©優姫夢／COMIC ROOM")</f>
        <v>©優姫夢／COMIC ROOM</v>
      </c>
      <c r="V2055" s="8" t="str">
        <f>IFERROR(__xludf.DUMMYFUNCTION("""COMPUTED_VALUE"""),"憧れの先輩と社内結婚した小林紗菜。仕事が出来る夫と、可愛い娘の家族３人、忙しなくも楽しい毎日を過ごしていた。
そんな充実した日々の中で、唯一欠点が存在する。それは義母の存在。朝早くから家に押しかけ、やれ二人目はまだか、男の子を産め、挙句の果てには「お前の顔が息子の好みじゃないからだ」の一言。雄一も紗菜の味方はしてくれず、義母の小言に耐える日々…。
だがある日、紗菜は偶然にも、夫の不倫の証拠を発見してしまう。二人目が出来ずに責められた日々はなんだったワケ！？お前の息子、不倫してますけど！！
憤懣遣る方"&amp;"無い紗菜は、夫と義母へ、最高の復讐劇を計画する…！")</f>
        <v>憧れの先輩と社内結婚した小林紗菜。仕事が出来る夫と、可愛い娘の家族３人、忙しなくも楽しい毎日を過ごしていた。
そんな充実した日々の中で、唯一欠点が存在する。それは義母の存在。朝早くから家に押しかけ、やれ二人目はまだか、男の子を産め、挙句の果てには「お前の顔が息子の好みじゃないからだ」の一言。雄一も紗菜の味方はしてくれず、義母の小言に耐える日々…。
だがある日、紗菜は偶然にも、夫の不倫の証拠を発見してしまう。二人目が出来ずに責められた日々はなんだったワケ！？お前の息子、不倫してますけど！！
憤懣遣る方無い紗菜は、夫と義母へ、最高の復讐劇を計画する…！</v>
      </c>
      <c r="W2055" s="14"/>
      <c r="X2055" s="14" t="str">
        <f>IFERROR(__xludf.DUMMYFUNCTION("""COMPUTED_VALUE"""),"有")</f>
        <v>有</v>
      </c>
      <c r="Y2055" s="8" t="str">
        <f>IFERROR(__xludf.DUMMYFUNCTION("""COMPUTED_VALUE"""),"P7まで")</f>
        <v>P7まで</v>
      </c>
      <c r="Z2055" s="7"/>
      <c r="AA2055" s="7"/>
      <c r="AB2055" s="7"/>
    </row>
    <row r="2056" ht="15.75" customHeight="1">
      <c r="A2056" s="76">
        <f>IFERROR(__xludf.DUMMYFUNCTION("""COMPUTED_VALUE"""),3970.0)</f>
        <v>3970</v>
      </c>
      <c r="B2056" s="108" t="str">
        <f>IFERROR(__xludf.DUMMYFUNCTION("""COMPUTED_VALUE"""),"確定")</f>
        <v>確定</v>
      </c>
      <c r="C2056" s="74">
        <f>IFERROR(__xludf.DUMMYFUNCTION("""COMPUTED_VALUE"""),45519.0)</f>
        <v>45519</v>
      </c>
      <c r="D2056" s="74">
        <f>IFERROR(__xludf.DUMMYFUNCTION("""COMPUTED_VALUE"""),45539.0)</f>
        <v>45539</v>
      </c>
      <c r="E2056" s="112">
        <f>IFERROR(__xludf.DUMMYFUNCTION("""COMPUTED_VALUE"""),303545.0)</f>
        <v>303545</v>
      </c>
      <c r="F2056" s="112" t="str">
        <f>IFERROR(__xludf.DUMMYFUNCTION("""COMPUTED_VALUE"""),"キスはしたけど友達だよな！？")</f>
        <v>キスはしたけど友達だよな！？</v>
      </c>
      <c r="G2056" s="69" t="str">
        <f>IFERROR(__xludf.DUMMYFUNCTION("""COMPUTED_VALUE"""),"1～2")</f>
        <v>1～2</v>
      </c>
      <c r="H2056" s="108" t="str">
        <f>IFERROR(__xludf.DUMMYFUNCTION("""COMPUTED_VALUE"""),"原ペ～ニョ（はらぺ～にょ）")</f>
        <v>原ペ～ニョ（はらぺ～にょ）</v>
      </c>
      <c r="I2056" s="108" t="str">
        <f>IFERROR(__xludf.DUMMYFUNCTION("""COMPUTED_VALUE"""),"BL")</f>
        <v>BL</v>
      </c>
      <c r="J2056" s="108"/>
      <c r="K2056" s="108"/>
      <c r="L2056" s="108" t="str">
        <f>IFERROR(__xludf.DUMMYFUNCTION("""COMPUTED_VALUE"""),"CLLENN")</f>
        <v>CLLENN</v>
      </c>
      <c r="M2056" s="23">
        <f>IFERROR(__xludf.DUMMYFUNCTION("""COMPUTED_VALUE"""),45568.0)</f>
        <v>45568</v>
      </c>
      <c r="N2056" s="23">
        <f>IFERROR(__xludf.DUMMYFUNCTION("""COMPUTED_VALUE"""),45630.0)</f>
        <v>45630</v>
      </c>
      <c r="O2056" s="108"/>
      <c r="P2056" s="110" t="str">
        <f>IFERROR(__xludf.DUMMYFUNCTION("""COMPUTED_VALUE"""),"可")</f>
        <v>可</v>
      </c>
      <c r="Q2056" s="108" t="str">
        <f>IFERROR(__xludf.DUMMYFUNCTION("""COMPUTED_VALUE"""),"広告コミットOK(8/22)
レーベル名：NuPu")</f>
        <v>広告コミットOK(8/22)
レーベル名：NuPu</v>
      </c>
      <c r="R2056" s="108" t="str">
        <f>IFERROR(__xludf.DUMMYFUNCTION("""COMPUTED_VALUE"""),"格納済み")</f>
        <v>格納済み</v>
      </c>
      <c r="S2056" s="108" t="str">
        <f>IFERROR(__xludf.DUMMYFUNCTION("""COMPUTED_VALUE"""),"20240902_CLLENN_キスはしたけど友達だよな！？／原ぺ～ニョ")</f>
        <v>20240902_CLLENN_キスはしたけど友達だよな！？／原ぺ～ニョ</v>
      </c>
      <c r="T2056" s="108" t="str">
        <f>IFERROR(__xludf.DUMMYFUNCTION("""COMPUTED_VALUE"""),"格納済み")</f>
        <v>格納済み</v>
      </c>
      <c r="U2056" s="15" t="str">
        <f>IFERROR(__xludf.DUMMYFUNCTION("""COMPUTED_VALUE"""),"(C)原ペ～ニョ（はらぺ～にょ）/CLLENN")</f>
        <v>(C)原ペ～ニョ（はらぺ～にょ）/CLLENN</v>
      </c>
      <c r="V2056" s="8" t="str">
        <f>IFERROR(__xludf.DUMMYFUNCTION("""COMPUTED_VALUE"""),"【なんでコイツ、キス慣れてんだよ…！】限界ルームシェア中の腐れ縁大学生・陽向（ひなた）と隼人（はやと）。童貞卒業を掲げたコンパの王様ゲームで、二人に下された命令は…男同士の濃厚なキス!!（くちんなかぬるってする…！）いきなり舌を入れられ、必死で息つぎする隼人に対し、陽向の目つきは真剣で…!?陽向に翻弄されたことが気に入らない隼人は、「リベンジマッチ」を持ち掛ける。すると、陽向はさっきよりも激しいキスをしてきて…！その夜から、初めての感情に戸惑う二人。ずっと一緒にいたのに知らなかった一面。俺らの関係ってキス"&amp;"一つで壊れるようなもんなのかよ――!?ベロチューから始まるヤケクソ・ラブコメディ!!")</f>
        <v>【なんでコイツ、キス慣れてんだよ…！】限界ルームシェア中の腐れ縁大学生・陽向（ひなた）と隼人（はやと）。童貞卒業を掲げたコンパの王様ゲームで、二人に下された命令は…男同士の濃厚なキス!!（くちんなかぬるってする…！）いきなり舌を入れられ、必死で息つぎする隼人に対し、陽向の目つきは真剣で…!?陽向に翻弄されたことが気に入らない隼人は、「リベンジマッチ」を持ち掛ける。すると、陽向はさっきよりも激しいキスをしてきて…！その夜から、初めての感情に戸惑う二人。ずっと一緒にいたのに知らなかった一面。俺らの関係ってキス一つで壊れるようなもんなのかよ――!?ベロチューから始まるヤケクソ・ラブコメディ!!</v>
      </c>
      <c r="W2056" s="14"/>
      <c r="X2056" s="14" t="str">
        <f>IFERROR(__xludf.DUMMYFUNCTION("""COMPUTED_VALUE"""),"有")</f>
        <v>有</v>
      </c>
      <c r="Y2056" s="8" t="str">
        <f>IFERROR(__xludf.DUMMYFUNCTION("""COMPUTED_VALUE"""),"2024/10/16まで立ち読み増量P19まで")</f>
        <v>2024/10/16まで立ち読み増量P19まで</v>
      </c>
      <c r="Z2056" s="7"/>
      <c r="AA2056" s="7"/>
      <c r="AB2056" s="7"/>
    </row>
    <row r="2057" ht="15.75" customHeight="1">
      <c r="A2057" s="76">
        <f>IFERROR(__xludf.DUMMYFUNCTION("""COMPUTED_VALUE"""),4032.0)</f>
        <v>4032</v>
      </c>
      <c r="B2057" s="108" t="str">
        <f>IFERROR(__xludf.DUMMYFUNCTION("""COMPUTED_VALUE"""),"確定")</f>
        <v>確定</v>
      </c>
      <c r="C2057" s="74">
        <f>IFERROR(__xludf.DUMMYFUNCTION("""COMPUTED_VALUE"""),45527.0)</f>
        <v>45527</v>
      </c>
      <c r="D2057" s="74">
        <f>IFERROR(__xludf.DUMMYFUNCTION("""COMPUTED_VALUE"""),45537.0)</f>
        <v>45537</v>
      </c>
      <c r="E2057" s="116">
        <f>IFERROR(__xludf.DUMMYFUNCTION("""COMPUTED_VALUE"""),269396.0)</f>
        <v>269396</v>
      </c>
      <c r="F2057" s="112" t="str">
        <f>IFERROR(__xludf.DUMMYFUNCTION("""COMPUTED_VALUE"""),"最凶悪役の異世界侵略")</f>
        <v>最凶悪役の異世界侵略</v>
      </c>
      <c r="G2057" s="69" t="str">
        <f>IFERROR(__xludf.DUMMYFUNCTION("""COMPUTED_VALUE"""),"1～5")</f>
        <v>1～5</v>
      </c>
      <c r="H2057" s="108" t="str">
        <f>IFERROR(__xludf.DUMMYFUNCTION("""COMPUTED_VALUE"""),"打見佑祐,LIN")</f>
        <v>打見佑祐,LIN</v>
      </c>
      <c r="I2057" s="108" t="str">
        <f>IFERROR(__xludf.DUMMYFUNCTION("""COMPUTED_VALUE"""),"青年")</f>
        <v>青年</v>
      </c>
      <c r="J2057" s="108"/>
      <c r="K2057" s="108"/>
      <c r="L2057" s="108" t="str">
        <f>IFERROR(__xludf.DUMMYFUNCTION("""COMPUTED_VALUE"""),"シーモアコミックス")</f>
        <v>シーモアコミックス</v>
      </c>
      <c r="M2057" s="59">
        <f>IFERROR(__xludf.DUMMYFUNCTION("""COMPUTED_VALUE"""),45563.0)</f>
        <v>45563</v>
      </c>
      <c r="N2057" s="115">
        <f>IFERROR(__xludf.DUMMYFUNCTION("""COMPUTED_VALUE"""),45624.0)</f>
        <v>45624</v>
      </c>
      <c r="O2057" s="108"/>
      <c r="P2057" s="114" t="str">
        <f>IFERROR(__xludf.DUMMYFUNCTION("""COMPUTED_VALUE"""),"可")</f>
        <v>可</v>
      </c>
      <c r="Q2057" s="111"/>
      <c r="R2057" s="108"/>
      <c r="S2057" s="108" t="str">
        <f>IFERROR(__xludf.DUMMYFUNCTION("""COMPUTED_VALUE"""),"20240902_ソルマーレ編集部_最凶悪役の異世界侵略")</f>
        <v>20240902_ソルマーレ編集部_最凶悪役の異世界侵略</v>
      </c>
      <c r="T2057" s="108" t="str">
        <f>IFERROR(__xludf.DUMMYFUNCTION("""COMPUTED_VALUE"""),"格納済み")</f>
        <v>格納済み</v>
      </c>
      <c r="U2057" s="15" t="str">
        <f>IFERROR(__xludf.DUMMYFUNCTION("""COMPUTED_VALUE"""),"Ⓒ LIN/打見佑祐/シーモアコミックス")</f>
        <v>Ⓒ LIN/打見佑祐/シーモアコミックス</v>
      </c>
      <c r="V2057" s="8" t="str">
        <f>IFERROR(__xludf.DUMMYFUNCTION("""COMPUTED_VALUE"""),"詐欺、強盗、殺人(コロシ)…
あらゆる悪事に手を染めた犯罪王、神山常華
彼は死後の世界で「女神」に地獄行きを言い渡される
だが、そのとき異世界転生予定の男と出会い…？
最凶の男の悪意が異世界に解き放たれる！
痛快ピカレスクロマン!!【ズズズキュン！】")</f>
        <v>詐欺、強盗、殺人(コロシ)…
あらゆる悪事に手を染めた犯罪王、神山常華
彼は死後の世界で「女神」に地獄行きを言い渡される
だが、そのとき異世界転生予定の男と出会い…？
最凶の男の悪意が異世界に解き放たれる！
痛快ピカレスクロマン!!【ズズズキュン！】</v>
      </c>
      <c r="W2057" s="14"/>
      <c r="X2057" s="14" t="str">
        <f>IFERROR(__xludf.DUMMYFUNCTION("""COMPUTED_VALUE"""),"有")</f>
        <v>有</v>
      </c>
      <c r="Y2057" s="8" t="str">
        <f>IFERROR(__xludf.DUMMYFUNCTION("""COMPUTED_VALUE"""),"2024/10/25まで1巻無料")</f>
        <v>2024/10/25まで1巻無料</v>
      </c>
      <c r="Z2057" s="7"/>
      <c r="AA2057" s="7"/>
      <c r="AB2057" s="7"/>
    </row>
    <row r="2058" ht="15.75" customHeight="1">
      <c r="A2058" s="76">
        <f>IFERROR(__xludf.DUMMYFUNCTION("""COMPUTED_VALUE"""),4033.0)</f>
        <v>4033</v>
      </c>
      <c r="B2058" s="108" t="str">
        <f>IFERROR(__xludf.DUMMYFUNCTION("""COMPUTED_VALUE"""),"確定")</f>
        <v>確定</v>
      </c>
      <c r="C2058" s="74">
        <f>IFERROR(__xludf.DUMMYFUNCTION("""COMPUTED_VALUE"""),45527.0)</f>
        <v>45527</v>
      </c>
      <c r="D2058" s="74">
        <f>IFERROR(__xludf.DUMMYFUNCTION("""COMPUTED_VALUE"""),45537.0)</f>
        <v>45537</v>
      </c>
      <c r="E2058" s="116">
        <f>IFERROR(__xludf.DUMMYFUNCTION("""COMPUTED_VALUE"""),274856.0)</f>
        <v>274856</v>
      </c>
      <c r="F2058" s="112" t="str">
        <f>IFERROR(__xludf.DUMMYFUNCTION("""COMPUTED_VALUE"""),"王子とヒマワリ")</f>
        <v>王子とヒマワリ</v>
      </c>
      <c r="G2058" s="69" t="str">
        <f>IFERROR(__xludf.DUMMYFUNCTION("""COMPUTED_VALUE"""),"1～3")</f>
        <v>1～3</v>
      </c>
      <c r="H2058" s="108" t="str">
        <f>IFERROR(__xludf.DUMMYFUNCTION("""COMPUTED_VALUE"""),"芙乃ゆら")</f>
        <v>芙乃ゆら</v>
      </c>
      <c r="I2058" s="108" t="str">
        <f>IFERROR(__xludf.DUMMYFUNCTION("""COMPUTED_VALUE"""),"BL")</f>
        <v>BL</v>
      </c>
      <c r="J2058" s="108"/>
      <c r="K2058" s="108"/>
      <c r="L2058" s="108" t="str">
        <f>IFERROR(__xludf.DUMMYFUNCTION("""COMPUTED_VALUE"""),"シーモアコミックス")</f>
        <v>シーモアコミックス</v>
      </c>
      <c r="M2058" s="59">
        <f>IFERROR(__xludf.DUMMYFUNCTION("""COMPUTED_VALUE"""),45563.0)</f>
        <v>45563</v>
      </c>
      <c r="N2058" s="115">
        <f>IFERROR(__xludf.DUMMYFUNCTION("""COMPUTED_VALUE"""),45624.0)</f>
        <v>45624</v>
      </c>
      <c r="O2058" s="108"/>
      <c r="P2058" s="114" t="str">
        <f>IFERROR(__xludf.DUMMYFUNCTION("""COMPUTED_VALUE"""),"可")</f>
        <v>可</v>
      </c>
      <c r="Q2058" s="111"/>
      <c r="R2058" s="108"/>
      <c r="S2058" s="108" t="str">
        <f>IFERROR(__xludf.DUMMYFUNCTION("""COMPUTED_VALUE"""),"20240902_ソルマーレ編集部_王子とヒマワリ")</f>
        <v>20240902_ソルマーレ編集部_王子とヒマワリ</v>
      </c>
      <c r="T2058" s="108" t="str">
        <f>IFERROR(__xludf.DUMMYFUNCTION("""COMPUTED_VALUE"""),"格納済み")</f>
        <v>格納済み</v>
      </c>
      <c r="U2058" s="15" t="str">
        <f>IFERROR(__xludf.DUMMYFUNCTION("""COMPUTED_VALUE"""),"Ⓒ 芙乃ゆら/シーモアコミックス")</f>
        <v>Ⓒ 芙乃ゆら/シーモアコミックス</v>
      </c>
      <c r="V2058" s="8" t="str">
        <f>IFERROR(__xludf.DUMMYFUNCTION("""COMPUTED_VALUE"""),"『忘れたくないのに――…』
長年の片想いを実らせ、王子様のようにカッコイイ幼なじみ・皇（こう）と晴れて恋人同士になった、ひな。大学進学を機に同棲を始めたけれど、キスより先には進めずに悶々とする日々。さらにひなを悩ませるのは、顔の見えない男に犯される淫夢。そして迎えた皇との初えっち――幸せ絶頂のひなだったが、いつも優しい皇が豹変して…!?
【フィカス】")</f>
        <v>『忘れたくないのに――…』
長年の片想いを実らせ、王子様のようにカッコイイ幼なじみ・皇（こう）と晴れて恋人同士になった、ひな。大学進学を機に同棲を始めたけれど、キスより先には進めずに悶々とする日々。さらにひなを悩ませるのは、顔の見えない男に犯される淫夢。そして迎えた皇との初えっち――幸せ絶頂のひなだったが、いつも優しい皇が豹変して…!?
【フィカス】</v>
      </c>
      <c r="W2058" s="14"/>
      <c r="X2058" s="14" t="str">
        <f>IFERROR(__xludf.DUMMYFUNCTION("""COMPUTED_VALUE"""),"有")</f>
        <v>有</v>
      </c>
      <c r="Y2058" s="8" t="str">
        <f>IFERROR(__xludf.DUMMYFUNCTION("""COMPUTED_VALUE"""),"2024/10/25まで1巻無料")</f>
        <v>2024/10/25まで1巻無料</v>
      </c>
      <c r="Z2058" s="7"/>
      <c r="AA2058" s="7"/>
      <c r="AB2058" s="7"/>
    </row>
    <row r="2059" ht="15.75" customHeight="1">
      <c r="A2059" s="76">
        <f>IFERROR(__xludf.DUMMYFUNCTION("""COMPUTED_VALUE"""),4036.0)</f>
        <v>4036</v>
      </c>
      <c r="B2059" s="108" t="str">
        <f>IFERROR(__xludf.DUMMYFUNCTION("""COMPUTED_VALUE"""),"確定")</f>
        <v>確定</v>
      </c>
      <c r="C2059" s="74">
        <f>IFERROR(__xludf.DUMMYFUNCTION("""COMPUTED_VALUE"""),45527.0)</f>
        <v>45527</v>
      </c>
      <c r="D2059" s="74">
        <f>IFERROR(__xludf.DUMMYFUNCTION("""COMPUTED_VALUE"""),45537.0)</f>
        <v>45537</v>
      </c>
      <c r="E2059" s="116">
        <f>IFERROR(__xludf.DUMMYFUNCTION("""COMPUTED_VALUE"""),298221.0)</f>
        <v>298221</v>
      </c>
      <c r="F2059" s="112" t="str">
        <f>IFERROR(__xludf.DUMMYFUNCTION("""COMPUTED_VALUE"""),"好きだしなぁ、")</f>
        <v>好きだしなぁ、</v>
      </c>
      <c r="G2059" s="69">
        <f>IFERROR(__xludf.DUMMYFUNCTION("""COMPUTED_VALUE"""),1.0)</f>
        <v>1</v>
      </c>
      <c r="H2059" s="108" t="str">
        <f>IFERROR(__xludf.DUMMYFUNCTION("""COMPUTED_VALUE"""),"にしからあずま")</f>
        <v>にしからあずま</v>
      </c>
      <c r="I2059" s="108" t="str">
        <f>IFERROR(__xludf.DUMMYFUNCTION("""COMPUTED_VALUE"""),"BL")</f>
        <v>BL</v>
      </c>
      <c r="J2059" s="108"/>
      <c r="K2059" s="108"/>
      <c r="L2059" s="108" t="str">
        <f>IFERROR(__xludf.DUMMYFUNCTION("""COMPUTED_VALUE"""),"シーモアコミックス")</f>
        <v>シーモアコミックス</v>
      </c>
      <c r="M2059" s="59">
        <f>IFERROR(__xludf.DUMMYFUNCTION("""COMPUTED_VALUE"""),45563.0)</f>
        <v>45563</v>
      </c>
      <c r="N2059" s="115">
        <f>IFERROR(__xludf.DUMMYFUNCTION("""COMPUTED_VALUE"""),45624.0)</f>
        <v>45624</v>
      </c>
      <c r="O2059" s="108"/>
      <c r="P2059" s="110" t="str">
        <f>IFERROR(__xludf.DUMMYFUNCTION("""COMPUTED_VALUE"""),"可")</f>
        <v>可</v>
      </c>
      <c r="Q2059" s="111" t="str">
        <f>IFERROR(__xludf.DUMMYFUNCTION("""COMPUTED_VALUE"""),"※読み切り作品のため1巻のみですが出稿お願いします")</f>
        <v>※読み切り作品のため1巻のみですが出稿お願いします</v>
      </c>
      <c r="R2059" s="108"/>
      <c r="S2059" s="108" t="str">
        <f>IFERROR(__xludf.DUMMYFUNCTION("""COMPUTED_VALUE"""),"20240823_ソルマーレ編集部_好きだしなぁ、")</f>
        <v>20240823_ソルマーレ編集部_好きだしなぁ、</v>
      </c>
      <c r="T2059" s="108" t="str">
        <f>IFERROR(__xludf.DUMMYFUNCTION("""COMPUTED_VALUE"""),"格納済み")</f>
        <v>格納済み</v>
      </c>
      <c r="U2059" s="15" t="str">
        <f>IFERROR(__xludf.DUMMYFUNCTION("""COMPUTED_VALUE"""),"Ⓒ にしからあずま/シーモアコミックス")</f>
        <v>Ⓒ にしからあずま/シーモアコミックス</v>
      </c>
      <c r="V2059" s="8" t="str">
        <f>IFERROR(__xludf.DUMMYFUNCTION("""COMPUTED_VALUE"""),"密室で火照る頬☆ キュートな先輩×後輩ラブ
学校を休んだ香坂（こうさか）先輩の家に、アイスを持ってお見舞いにきた俺。けなげでかわいい俺の後輩ムーブに先輩は何も気づかずご感動の様子だ。だけど俺には、下心がある！ 風邪で弱っているいまなら、いつもはつかみどころのない先輩から本音を引き出せるのでは!? そう、たとえば…俺のことをどう思ってるの、とか…。──結構イイ計画だと思っていたけれど、事態は思わぬ方向へ…？
じわっとときめく、コミックシーモア毎月マンガ賞銅賞受賞作品【フィカス】")</f>
        <v>密室で火照る頬☆ キュートな先輩×後輩ラブ
学校を休んだ香坂（こうさか）先輩の家に、アイスを持ってお見舞いにきた俺。けなげでかわいい俺の後輩ムーブに先輩は何も気づかずご感動の様子だ。だけど俺には、下心がある！ 風邪で弱っているいまなら、いつもはつかみどころのない先輩から本音を引き出せるのでは!? そう、たとえば…俺のことをどう思ってるの、とか…。──結構イイ計画だと思っていたけれど、事態は思わぬ方向へ…？
じわっとときめく、コミックシーモア毎月マンガ賞銅賞受賞作品【フィカス】</v>
      </c>
      <c r="W2059" s="14"/>
      <c r="X2059" s="14" t="str">
        <f>IFERROR(__xludf.DUMMYFUNCTION("""COMPUTED_VALUE"""),"有")</f>
        <v>有</v>
      </c>
      <c r="Y2059" s="8" t="str">
        <f>IFERROR(__xludf.DUMMYFUNCTION("""COMPUTED_VALUE"""),"P9まで")</f>
        <v>P9まで</v>
      </c>
      <c r="Z2059" s="7"/>
      <c r="AA2059" s="7"/>
      <c r="AB2059" s="7"/>
    </row>
    <row r="2060" ht="15.75" customHeight="1">
      <c r="A2060" s="76">
        <f>IFERROR(__xludf.DUMMYFUNCTION("""COMPUTED_VALUE"""),4049.0)</f>
        <v>4049</v>
      </c>
      <c r="B2060" s="108" t="str">
        <f>IFERROR(__xludf.DUMMYFUNCTION("""COMPUTED_VALUE"""),"確定")</f>
        <v>確定</v>
      </c>
      <c r="C2060" s="74">
        <f>IFERROR(__xludf.DUMMYFUNCTION("""COMPUTED_VALUE"""),45531.0)</f>
        <v>45531</v>
      </c>
      <c r="D2060" s="74">
        <f>IFERROR(__xludf.DUMMYFUNCTION("""COMPUTED_VALUE"""),45538.0)</f>
        <v>45538</v>
      </c>
      <c r="E2060" s="112">
        <f>IFERROR(__xludf.DUMMYFUNCTION("""COMPUTED_VALUE"""),303086.0)</f>
        <v>303086</v>
      </c>
      <c r="F2060" s="112" t="str">
        <f>IFERROR(__xludf.DUMMYFUNCTION("""COMPUTED_VALUE"""),"10年後、夫に捨てられる")</f>
        <v>10年後、夫に捨てられる</v>
      </c>
      <c r="G2060" s="69" t="str">
        <f>IFERROR(__xludf.DUMMYFUNCTION("""COMPUTED_VALUE"""),"1～5")</f>
        <v>1～5</v>
      </c>
      <c r="H2060" s="108" t="str">
        <f>IFERROR(__xludf.DUMMYFUNCTION("""COMPUTED_VALUE"""),"原作／凉白ゆきの ネーム／元町夏央 作画／石川ノイン")</f>
        <v>原作／凉白ゆきの ネーム／元町夏央 作画／石川ノイン</v>
      </c>
      <c r="I2060" s="108" t="str">
        <f>IFERROR(__xludf.DUMMYFUNCTION("""COMPUTED_VALUE"""),"女性")</f>
        <v>女性</v>
      </c>
      <c r="J2060" s="108"/>
      <c r="K2060" s="108"/>
      <c r="L2060" s="108" t="str">
        <f>IFERROR(__xludf.DUMMYFUNCTION("""COMPUTED_VALUE"""),"taskey")</f>
        <v>taskey</v>
      </c>
      <c r="M2060" s="59">
        <f>IFERROR(__xludf.DUMMYFUNCTION("""COMPUTED_VALUE"""),45565.0)</f>
        <v>45565</v>
      </c>
      <c r="N2060" s="115">
        <f>IFERROR(__xludf.DUMMYFUNCTION("""COMPUTED_VALUE"""),45626.0)</f>
        <v>45626</v>
      </c>
      <c r="O2060" s="108"/>
      <c r="P2060" s="110" t="str">
        <f>IFERROR(__xludf.DUMMYFUNCTION("""COMPUTED_VALUE"""),"可")</f>
        <v>可</v>
      </c>
      <c r="Q2060" s="115" t="str">
        <f>IFERROR(__xludf.DUMMYFUNCTION("""COMPUTED_VALUE"""),"広告コミットOK(8/30)")</f>
        <v>広告コミットOK(8/30)</v>
      </c>
      <c r="R2060" s="115">
        <f>IFERROR(__xludf.DUMMYFUNCTION("""COMPUTED_VALUE"""),45534.0)</f>
        <v>45534</v>
      </c>
      <c r="S2060" s="108" t="str">
        <f>IFERROR(__xludf.DUMMYFUNCTION("""COMPUTED_VALUE"""),"20240902_taskey_10年後、夫に捨てられる")</f>
        <v>20240902_taskey_10年後、夫に捨てられる</v>
      </c>
      <c r="T2060" s="108" t="str">
        <f>IFERROR(__xludf.DUMMYFUNCTION("""COMPUTED_VALUE"""),"格納済み")</f>
        <v>格納済み</v>
      </c>
      <c r="U2060" s="15" t="str">
        <f>IFERROR(__xludf.DUMMYFUNCTION("""COMPUTED_VALUE"""),"©︎taskey 原作／凉白ゆきの ネーム／元町夏央 作画／石川ノイン")</f>
        <v>©︎taskey 原作／凉白ゆきの ネーム／元町夏央 作画／石川ノイン</v>
      </c>
      <c r="V2060" s="8" t="str">
        <f>IFERROR(__xludf.DUMMYFUNCTION("""COMPUTED_VALUE"""),"もうすぐ結婚2年目を迎える主婦・千紗は、最愛の夫との幸せな日々をSNSに投稿していた。そんなある日、千紗はSNSで謎のアカウントを目にする。それは「10年後の自分のアカウント」であり、今から10年先の未来まで綴られていた。千紗は未来のアカウントを通して、将来自分が夫と離婚し、死を選ぶことを知ってしまう。ただのイタズラか？本物か？　ひとつのアカウントをきっかけに、千紗の運命は翻弄されていく…。")</f>
        <v>もうすぐ結婚2年目を迎える主婦・千紗は、最愛の夫との幸せな日々をSNSに投稿していた。そんなある日、千紗はSNSで謎のアカウントを目にする。それは「10年後の自分のアカウント」であり、今から10年先の未来まで綴られていた。千紗は未来のアカウントを通して、将来自分が夫と離婚し、死を選ぶことを知ってしまう。ただのイタズラか？本物か？　ひとつのアカウントをきっかけに、千紗の運命は翻弄されていく…。</v>
      </c>
      <c r="W2060" s="14"/>
      <c r="X2060" s="14" t="str">
        <f>IFERROR(__xludf.DUMMYFUNCTION("""COMPUTED_VALUE"""),"有")</f>
        <v>有</v>
      </c>
      <c r="Y2060" s="8" t="str">
        <f>IFERROR(__xludf.DUMMYFUNCTION("""COMPUTED_VALUE"""),"1巻無料")</f>
        <v>1巻無料</v>
      </c>
      <c r="Z2060" s="7"/>
      <c r="AA2060" s="7"/>
      <c r="AB2060" s="7"/>
    </row>
    <row r="2061" ht="15.75" customHeight="1">
      <c r="A2061" s="76">
        <f>IFERROR(__xludf.DUMMYFUNCTION("""COMPUTED_VALUE"""),4050.0)</f>
        <v>4050</v>
      </c>
      <c r="B2061" s="108" t="str">
        <f>IFERROR(__xludf.DUMMYFUNCTION("""COMPUTED_VALUE"""),"確定")</f>
        <v>確定</v>
      </c>
      <c r="C2061" s="74">
        <f>IFERROR(__xludf.DUMMYFUNCTION("""COMPUTED_VALUE"""),45531.0)</f>
        <v>45531</v>
      </c>
      <c r="D2061" s="74">
        <f>IFERROR(__xludf.DUMMYFUNCTION("""COMPUTED_VALUE"""),45538.0)</f>
        <v>45538</v>
      </c>
      <c r="E2061" s="112">
        <f>IFERROR(__xludf.DUMMYFUNCTION("""COMPUTED_VALUE"""),302296.0)</f>
        <v>302296</v>
      </c>
      <c r="F2061" s="112" t="str">
        <f>IFERROR(__xludf.DUMMYFUNCTION("""COMPUTED_VALUE"""),"呪物少女 —イジメには死返しを—")</f>
        <v>呪物少女 —イジメには死返しを—</v>
      </c>
      <c r="G2061" s="69" t="str">
        <f>IFERROR(__xludf.DUMMYFUNCTION("""COMPUTED_VALUE"""),"1～3")</f>
        <v>1～3</v>
      </c>
      <c r="H2061" s="108" t="str">
        <f>IFERROR(__xludf.DUMMYFUNCTION("""COMPUTED_VALUE"""),"原作／Kfumi ネーム／樹生ナト 作画／間部 正志")</f>
        <v>原作／Kfumi ネーム／樹生ナト 作画／間部 正志</v>
      </c>
      <c r="I2061" s="108" t="str">
        <f>IFERROR(__xludf.DUMMYFUNCTION("""COMPUTED_VALUE"""),"青年")</f>
        <v>青年</v>
      </c>
      <c r="J2061" s="108"/>
      <c r="K2061" s="108"/>
      <c r="L2061" s="108" t="str">
        <f>IFERROR(__xludf.DUMMYFUNCTION("""COMPUTED_VALUE"""),"taskey")</f>
        <v>taskey</v>
      </c>
      <c r="M2061" s="117">
        <f>IFERROR(__xludf.DUMMYFUNCTION("""COMPUTED_VALUE"""),45557.0)</f>
        <v>45557</v>
      </c>
      <c r="N2061" s="115">
        <f>IFERROR(__xludf.DUMMYFUNCTION("""COMPUTED_VALUE"""),45626.0)</f>
        <v>45626</v>
      </c>
      <c r="O2061" s="108"/>
      <c r="P2061" s="110" t="str">
        <f>IFERROR(__xludf.DUMMYFUNCTION("""COMPUTED_VALUE"""),"可")</f>
        <v>可</v>
      </c>
      <c r="Q2061" s="115" t="str">
        <f>IFERROR(__xludf.DUMMYFUNCTION("""COMPUTED_VALUE"""),"広告コミットOK(8/30)&lt;BR&gt;先行配信日：9/22or23ですが、広告出稿は9/30～でOKです")</f>
        <v>広告コミットOK(8/30)&lt;BR&gt;先行配信日：9/22or23ですが、広告出稿は9/30～でOKです</v>
      </c>
      <c r="R2061" s="115">
        <f>IFERROR(__xludf.DUMMYFUNCTION("""COMPUTED_VALUE"""),45534.0)</f>
        <v>45534</v>
      </c>
      <c r="S2061" s="108" t="str">
        <f>IFERROR(__xludf.DUMMYFUNCTION("""COMPUTED_VALUE"""),"20240902_taskey_呪物少女 —イジメには死返しを—")</f>
        <v>20240902_taskey_呪物少女 —イジメには死返しを—</v>
      </c>
      <c r="T2061" s="108" t="str">
        <f>IFERROR(__xludf.DUMMYFUNCTION("""COMPUTED_VALUE"""),"格納済み")</f>
        <v>格納済み</v>
      </c>
      <c r="U2061" s="15" t="str">
        <f>IFERROR(__xludf.DUMMYFUNCTION("""COMPUTED_VALUE"""),"©︎taskey 原作／Kfumi ネーム／樹生ナト 作画／間部 正志")</f>
        <v>©︎taskey 原作／Kfumi ネーム／樹生ナト 作画／間部 正志</v>
      </c>
      <c r="V2061" s="8" t="str">
        <f>IFERROR(__xludf.DUMMYFUNCTION("""COMPUTED_VALUE"""),"壮絶なイジメに遭う高校1年生の雨宮沙良は、とある出来事をきっかけにイジメ集団への復讐を決意する。彼女が選んだ復讐方法とは、強力な呪物を使い相手を呪殺するものだった――人を呪わば穴二つ。それでも私は、アイツらを絶対に許さない。最凶の復讐譚、開幕。")</f>
        <v>壮絶なイジメに遭う高校1年生の雨宮沙良は、とある出来事をきっかけにイジメ集団への復讐を決意する。彼女が選んだ復讐方法とは、強力な呪物を使い相手を呪殺するものだった――人を呪わば穴二つ。それでも私は、アイツらを絶対に許さない。最凶の復讐譚、開幕。</v>
      </c>
      <c r="W2061" s="14"/>
      <c r="X2061" s="14" t="str">
        <f>IFERROR(__xludf.DUMMYFUNCTION("""COMPUTED_VALUE"""),"有")</f>
        <v>有</v>
      </c>
      <c r="Y2061" s="8" t="str">
        <f>IFERROR(__xludf.DUMMYFUNCTION("""COMPUTED_VALUE"""),"2024/11/30まで1巻無料")</f>
        <v>2024/11/30まで1巻無料</v>
      </c>
      <c r="Z2061" s="7"/>
      <c r="AA2061" s="7"/>
      <c r="AB2061" s="7"/>
    </row>
    <row r="2062" ht="15.75" customHeight="1">
      <c r="A2062" s="76">
        <f>IFERROR(__xludf.DUMMYFUNCTION("""COMPUTED_VALUE"""),4059.0)</f>
        <v>4059</v>
      </c>
      <c r="B2062" s="108" t="str">
        <f>IFERROR(__xludf.DUMMYFUNCTION("""COMPUTED_VALUE"""),"確定")</f>
        <v>確定</v>
      </c>
      <c r="C2062" s="74">
        <f>IFERROR(__xludf.DUMMYFUNCTION("""COMPUTED_VALUE"""),45533.0)</f>
        <v>45533</v>
      </c>
      <c r="D2062" s="74">
        <f>IFERROR(__xludf.DUMMYFUNCTION("""COMPUTED_VALUE"""),45537.0)</f>
        <v>45537</v>
      </c>
      <c r="E2062" s="112">
        <f>IFERROR(__xludf.DUMMYFUNCTION("""COMPUTED_VALUE"""),302151.0)</f>
        <v>302151</v>
      </c>
      <c r="F2062" s="112" t="str">
        <f>IFERROR(__xludf.DUMMYFUNCTION("""COMPUTED_VALUE"""),"不器用な幼なじみの一途な純愛 獣の初恋は深くて甘い")</f>
        <v>不器用な幼なじみの一途な純愛 獣の初恋は深くて甘い</v>
      </c>
      <c r="G2062" s="69" t="str">
        <f>IFERROR(__xludf.DUMMYFUNCTION("""COMPUTED_VALUE"""),"1～2")</f>
        <v>1～2</v>
      </c>
      <c r="H2062" s="108" t="str">
        <f>IFERROR(__xludf.DUMMYFUNCTION("""COMPUTED_VALUE"""),"鳴海はこ")</f>
        <v>鳴海はこ</v>
      </c>
      <c r="I2062" s="108" t="str">
        <f>IFERROR(__xludf.DUMMYFUNCTION("""COMPUTED_VALUE"""),"TL")</f>
        <v>TL</v>
      </c>
      <c r="J2062" s="108"/>
      <c r="K2062" s="108"/>
      <c r="L2062" s="108" t="str">
        <f>IFERROR(__xludf.DUMMYFUNCTION("""COMPUTED_VALUE"""),"英和出版社")</f>
        <v>英和出版社</v>
      </c>
      <c r="M2062" s="59">
        <f>IFERROR(__xludf.DUMMYFUNCTION("""COMPUTED_VALUE"""),45555.0)</f>
        <v>45555</v>
      </c>
      <c r="N2062" s="115">
        <f>IFERROR(__xludf.DUMMYFUNCTION("""COMPUTED_VALUE"""),45584.0)</f>
        <v>45584</v>
      </c>
      <c r="O2062" s="108"/>
      <c r="P2062" s="110" t="str">
        <f>IFERROR(__xludf.DUMMYFUNCTION("""COMPUTED_VALUE"""),"可")</f>
        <v>可</v>
      </c>
      <c r="Q2062" s="108" t="str">
        <f>IFERROR(__xludf.DUMMYFUNCTION("""COMPUTED_VALUE"""),"先行1か月のため、可能な範囲で出稿お願いします。")</f>
        <v>先行1か月のため、可能な範囲で出稿お願いします。</v>
      </c>
      <c r="R2062" s="108" t="str">
        <f>IFERROR(__xludf.DUMMYFUNCTION("""COMPUTED_VALUE"""),"格納済み")</f>
        <v>格納済み</v>
      </c>
      <c r="S2062" s="108" t="str">
        <f>IFERROR(__xludf.DUMMYFUNCTION("""COMPUTED_VALUE"""),"20240906_メディアソフト_不器用な幼なじみ_修正ver	")</f>
        <v>20240906_メディアソフト_不器用な幼なじみ_修正ver	</v>
      </c>
      <c r="T2062" s="108" t="str">
        <f>IFERROR(__xludf.DUMMYFUNCTION("""COMPUTED_VALUE"""),"格納済み")</f>
        <v>格納済み</v>
      </c>
      <c r="U2062" s="15" t="str">
        <f>IFERROR(__xludf.DUMMYFUNCTION("""COMPUTED_VALUE"""),"鳴海はこ/英和出版社")</f>
        <v>鳴海はこ/英和出版社</v>
      </c>
      <c r="V2062" s="8" t="str">
        <f>IFERROR(__xludf.DUMMYFUNCTION("""COMPUTED_VALUE"""),"「あの日から20年経った。もうこれ以上――待てない」
離れていた分、隅から隅までカラダ中を愛撫し、甘いキスを重ねる彼は
何度も激しく、トロトロになるまで抱き潰す…。
背が高くてイケメン、その上クールで寡黙な
女性人気No.1の営業エース・黒澤涼真。
同期の真木音（まきね）は
涼真がかつての幼なじみ・リョウちゃんと同姓同名なことから
懐かしくも切ない≪初恋≫を思い出していた。
そんなある日、ナンパ男に絡まれる真木音を
涼真が助けたのをきっかけに、
彼が封じたはずの≪恋心≫があ"&amp;"ふれ出し…！？
一途な幼なじみにむさぼり、愛し尽くされる
再会オフィスラブ♪")</f>
        <v>「あの日から20年経った。もうこれ以上――待てない」
離れていた分、隅から隅までカラダ中を愛撫し、甘いキスを重ねる彼は
何度も激しく、トロトロになるまで抱き潰す…。
背が高くてイケメン、その上クールで寡黙な
女性人気No.1の営業エース・黒澤涼真。
同期の真木音（まきね）は
涼真がかつての幼なじみ・リョウちゃんと同姓同名なことから
懐かしくも切ない≪初恋≫を思い出していた。
そんなある日、ナンパ男に絡まれる真木音を
涼真が助けたのをきっかけに、
彼が封じたはずの≪恋心≫があふれ出し…！？
一途な幼なじみにむさぼり、愛し尽くされる
再会オフィスラブ♪</v>
      </c>
      <c r="W2062" s="14"/>
      <c r="X2062" s="14" t="str">
        <f>IFERROR(__xludf.DUMMYFUNCTION("""COMPUTED_VALUE"""),"有")</f>
        <v>有</v>
      </c>
      <c r="Y2062" s="8" t="str">
        <f>IFERROR(__xludf.DUMMYFUNCTION("""COMPUTED_VALUE"""),"P14まで")</f>
        <v>P14まで</v>
      </c>
      <c r="Z2062" s="7"/>
      <c r="AA2062" s="7"/>
      <c r="AB2062" s="7"/>
    </row>
    <row r="2063" ht="15.75" customHeight="1">
      <c r="A2063" s="76">
        <f>IFERROR(__xludf.DUMMYFUNCTION("""COMPUTED_VALUE"""),4060.0)</f>
        <v>4060</v>
      </c>
      <c r="B2063" s="108" t="str">
        <f>IFERROR(__xludf.DUMMYFUNCTION("""COMPUTED_VALUE"""),"確定")</f>
        <v>確定</v>
      </c>
      <c r="C2063" s="74">
        <f>IFERROR(__xludf.DUMMYFUNCTION("""COMPUTED_VALUE"""),45533.0)</f>
        <v>45533</v>
      </c>
      <c r="D2063" s="74">
        <f>IFERROR(__xludf.DUMMYFUNCTION("""COMPUTED_VALUE"""),45537.0)</f>
        <v>45537</v>
      </c>
      <c r="E2063" s="112">
        <f>IFERROR(__xludf.DUMMYFUNCTION("""COMPUTED_VALUE"""),302292.0)</f>
        <v>302292</v>
      </c>
      <c r="F2063" s="112" t="str">
        <f>IFERROR(__xludf.DUMMYFUNCTION("""COMPUTED_VALUE"""),"モテる男の作り方～底辺陰キャ男子の挑戦～【フルカラー】")</f>
        <v>モテる男の作り方～底辺陰キャ男子の挑戦～【フルカラー】</v>
      </c>
      <c r="G2063" s="69" t="str">
        <f>IFERROR(__xludf.DUMMYFUNCTION("""COMPUTED_VALUE"""),"1～3")</f>
        <v>1～3</v>
      </c>
      <c r="H2063" s="108" t="str">
        <f>IFERROR(__xludf.DUMMYFUNCTION("""COMPUTED_VALUE"""),"百夏")</f>
        <v>百夏</v>
      </c>
      <c r="I2063" s="108" t="str">
        <f>IFERROR(__xludf.DUMMYFUNCTION("""COMPUTED_VALUE"""),"青年")</f>
        <v>青年</v>
      </c>
      <c r="J2063" s="108"/>
      <c r="K2063" s="108"/>
      <c r="L2063" s="108" t="str">
        <f>IFERROR(__xludf.DUMMYFUNCTION("""COMPUTED_VALUE"""),"CLLENN")</f>
        <v>CLLENN</v>
      </c>
      <c r="M2063" s="59">
        <f>IFERROR(__xludf.DUMMYFUNCTION("""COMPUTED_VALUE"""),45557.0)</f>
        <v>45557</v>
      </c>
      <c r="N2063" s="115">
        <f>IFERROR(__xludf.DUMMYFUNCTION("""COMPUTED_VALUE"""),45647.0)</f>
        <v>45647</v>
      </c>
      <c r="O2063" s="108"/>
      <c r="P2063" s="110" t="str">
        <f>IFERROR(__xludf.DUMMYFUNCTION("""COMPUTED_VALUE"""),"可")</f>
        <v>可</v>
      </c>
      <c r="Q2063" s="108" t="str">
        <f>IFERROR(__xludf.DUMMYFUNCTION("""COMPUTED_VALUE"""),"協業：シーモア×DEDEDE")</f>
        <v>協業：シーモア×DEDEDE</v>
      </c>
      <c r="R2063" s="108" t="str">
        <f>IFERROR(__xludf.DUMMYFUNCTION("""COMPUTED_VALUE"""),"格納済み")</f>
        <v>格納済み</v>
      </c>
      <c r="S2063" s="108" t="str">
        <f>IFERROR(__xludf.DUMMYFUNCTION("""COMPUTED_VALUE"""),"20240829_CLLENN_モテる男の作り方～底辺陰キャ男子の挑戦～")</f>
        <v>20240829_CLLENN_モテる男の作り方～底辺陰キャ男子の挑戦～</v>
      </c>
      <c r="T2063" s="108" t="str">
        <f>IFERROR(__xludf.DUMMYFUNCTION("""COMPUTED_VALUE"""),"格納済み")</f>
        <v>格納済み</v>
      </c>
      <c r="U2063" s="15" t="str">
        <f>IFERROR(__xludf.DUMMYFUNCTION("""COMPUTED_VALUE"""),"(C)百夏/CLLENN")</f>
        <v>(C)百夏/CLLENN</v>
      </c>
      <c r="V2063" s="8" t="str">
        <f>IFERROR(__xludf.DUMMYFUNCTION("""COMPUTED_VALUE"""),"陰キャのデブでコミュ力ゼロ、底辺男子代表「強田たける」。将来を誓った可愛い幼馴染であるゆめが超イケメンと結婚してしまい、絶望に突き落とされる。ペットトリマーの仕事でも、苦手なイキり女性や陽キャなイケメンからイジメを受ける日々…さらに客からは、事実無根の動物虐待のクレームを受ける始末…何もかも上手くいかない、俺なんてどうでもいい存在なんだと投げやりになった……そんなある日、偶然出会った超絶美人の常連客である緋芽子から、突如夕食のお誘いを受ける。「もしかして俺に気がある…！？」と浮かれるたける。ーーこの美女が"&amp;"もし俺の彼女になったら……暗い人生が大逆転するはず…！底辺陰キャ男子の挑戦が、今始まる！？")</f>
        <v>陰キャのデブでコミュ力ゼロ、底辺男子代表「強田たける」。将来を誓った可愛い幼馴染であるゆめが超イケメンと結婚してしまい、絶望に突き落とされる。ペットトリマーの仕事でも、苦手なイキり女性や陽キャなイケメンからイジメを受ける日々…さらに客からは、事実無根の動物虐待のクレームを受ける始末…何もかも上手くいかない、俺なんてどうでもいい存在なんだと投げやりになった……そんなある日、偶然出会った超絶美人の常連客である緋芽子から、突如夕食のお誘いを受ける。「もしかして俺に気がある…！？」と浮かれるたける。ーーこの美女がもし俺の彼女になったら……暗い人生が大逆転するはず…！底辺陰キャ男子の挑戦が、今始まる！？</v>
      </c>
      <c r="W2063" s="14"/>
      <c r="X2063" s="14" t="str">
        <f>IFERROR(__xludf.DUMMYFUNCTION("""COMPUTED_VALUE"""),"有")</f>
        <v>有</v>
      </c>
      <c r="Y2063" s="8" t="str">
        <f>IFERROR(__xludf.DUMMYFUNCTION("""COMPUTED_VALUE"""),"2024/10/5まで1巻無料
2024/10/5まで立ち読み増量P12まで")</f>
        <v>2024/10/5まで1巻無料
2024/10/5まで立ち読み増量P12まで</v>
      </c>
      <c r="Z2063" s="7"/>
      <c r="AA2063" s="7"/>
      <c r="AB2063" s="7"/>
    </row>
    <row r="2064" ht="15.75" customHeight="1">
      <c r="A2064" s="76">
        <f>IFERROR(__xludf.DUMMYFUNCTION("""COMPUTED_VALUE"""),4061.0)</f>
        <v>4061</v>
      </c>
      <c r="B2064" s="108" t="str">
        <f>IFERROR(__xludf.DUMMYFUNCTION("""COMPUTED_VALUE"""),"確定")</f>
        <v>確定</v>
      </c>
      <c r="C2064" s="74">
        <f>IFERROR(__xludf.DUMMYFUNCTION("""COMPUTED_VALUE"""),45534.0)</f>
        <v>45534</v>
      </c>
      <c r="D2064" s="74">
        <f>IFERROR(__xludf.DUMMYFUNCTION("""COMPUTED_VALUE"""),45537.0)</f>
        <v>45537</v>
      </c>
      <c r="E2064" s="112">
        <f>IFERROR(__xludf.DUMMYFUNCTION("""COMPUTED_VALUE"""),302439.0)</f>
        <v>302439</v>
      </c>
      <c r="F2064" s="112" t="str">
        <f>IFERROR(__xludf.DUMMYFUNCTION("""COMPUTED_VALUE"""),"マスクのなか、俺だけに見せて")</f>
        <v>マスクのなか、俺だけに見せて</v>
      </c>
      <c r="G2064" s="69" t="str">
        <f>IFERROR(__xludf.DUMMYFUNCTION("""COMPUTED_VALUE"""),"1～2")</f>
        <v>1～2</v>
      </c>
      <c r="H2064" s="108" t="str">
        <f>IFERROR(__xludf.DUMMYFUNCTION("""COMPUTED_VALUE"""),"椿かつみ")</f>
        <v>椿かつみ</v>
      </c>
      <c r="I2064" s="108" t="str">
        <f>IFERROR(__xludf.DUMMYFUNCTION("""COMPUTED_VALUE"""),"BL")</f>
        <v>BL</v>
      </c>
      <c r="J2064" s="108"/>
      <c r="K2064" s="108"/>
      <c r="L2064" s="108" t="str">
        <f>IFERROR(__xludf.DUMMYFUNCTION("""COMPUTED_VALUE"""),"モバイルメディアリサーチ")</f>
        <v>モバイルメディアリサーチ</v>
      </c>
      <c r="M2064" s="59">
        <f>IFERROR(__xludf.DUMMYFUNCTION("""COMPUTED_VALUE"""),45560.0)</f>
        <v>45560</v>
      </c>
      <c r="N2064" s="115">
        <f>IFERROR(__xludf.DUMMYFUNCTION("""COMPUTED_VALUE"""),45650.0)</f>
        <v>45650</v>
      </c>
      <c r="O2064" s="108"/>
      <c r="P2064" s="114" t="str">
        <f>IFERROR(__xludf.DUMMYFUNCTION("""COMPUTED_VALUE"""),"可")</f>
        <v>可</v>
      </c>
      <c r="Q2064" s="111"/>
      <c r="R2064" s="108"/>
      <c r="S2064" s="108" t="str">
        <f>IFERROR(__xludf.DUMMYFUNCTION("""COMPUTED_VALUE"""),"20240830_ファンギルド_マスクのなか、俺だけに見せて")</f>
        <v>20240830_ファンギルド_マスクのなか、俺だけに見せて</v>
      </c>
      <c r="T2064" s="118" t="str">
        <f>IFERROR(__xludf.DUMMYFUNCTION("""COMPUTED_VALUE"""),"格納済み")</f>
        <v>格納済み</v>
      </c>
      <c r="U2064" s="15" t="str">
        <f>IFERROR(__xludf.DUMMYFUNCTION("""COMPUTED_VALUE"""),"©椿かつみ/ファンギルド")</f>
        <v>©椿かつみ/ファンギルド</v>
      </c>
      <c r="V2064" s="8" t="str">
        <f>IFERROR(__xludf.DUMMYFUNCTION("""COMPUTED_VALUE"""),"「俺、あんたの色んな表情(かお)が見れることが嬉しいんだ」喫茶店でバイトする大学生の奏多は、急遽平日シフトに入ることに。そこで出会ったのは、いつもマスクをした無愛想な年上キッチンスタッフ・理玖。人懐っこく陽気な奏多と違って、素っ気ない態度の理玖は変わり者で…？しかし、ひょんなことからマスクの下に隠された綺麗な素顔とワケありな過去を知ってしまいーーあの人に触れたい…この気持ちは一体なんなんだろう…？【陽キャ年下ワンコ×陰キャマスク男子】凸凹な2人がゆっくり恋を知っていくじれキュンラブストーリー。")</f>
        <v>「俺、あんたの色んな表情(かお)が見れることが嬉しいんだ」喫茶店でバイトする大学生の奏多は、急遽平日シフトに入ることに。そこで出会ったのは、いつもマスクをした無愛想な年上キッチンスタッフ・理玖。人懐っこく陽気な奏多と違って、素っ気ない態度の理玖は変わり者で…？しかし、ひょんなことからマスクの下に隠された綺麗な素顔とワケありな過去を知ってしまいーーあの人に触れたい…この気持ちは一体なんなんだろう…？【陽キャ年下ワンコ×陰キャマスク男子】凸凹な2人がゆっくり恋を知っていくじれキュンラブストーリー。</v>
      </c>
      <c r="W2064" s="14"/>
      <c r="X2064" s="14" t="str">
        <f>IFERROR(__xludf.DUMMYFUNCTION("""COMPUTED_VALUE"""),"有")</f>
        <v>有</v>
      </c>
      <c r="Y2064" s="8" t="str">
        <f>IFERROR(__xludf.DUMMYFUNCTION("""COMPUTED_VALUE"""),"P7まで")</f>
        <v>P7まで</v>
      </c>
      <c r="Z2064" s="7"/>
      <c r="AA2064" s="7"/>
      <c r="AB2064" s="7"/>
    </row>
    <row r="2065" ht="15.75" customHeight="1">
      <c r="A2065" s="76">
        <f>IFERROR(__xludf.DUMMYFUNCTION("""COMPUTED_VALUE"""),4062.0)</f>
        <v>4062</v>
      </c>
      <c r="B2065" s="108" t="str">
        <f>IFERROR(__xludf.DUMMYFUNCTION("""COMPUTED_VALUE"""),"確定")</f>
        <v>確定</v>
      </c>
      <c r="C2065" s="74">
        <f>IFERROR(__xludf.DUMMYFUNCTION("""COMPUTED_VALUE"""),45534.0)</f>
        <v>45534</v>
      </c>
      <c r="D2065" s="74">
        <f>IFERROR(__xludf.DUMMYFUNCTION("""COMPUTED_VALUE"""),45537.0)</f>
        <v>45537</v>
      </c>
      <c r="E2065" s="112">
        <f>IFERROR(__xludf.DUMMYFUNCTION("""COMPUTED_VALUE"""),302440.0)</f>
        <v>302440</v>
      </c>
      <c r="F2065" s="112" t="str">
        <f>IFERROR(__xludf.DUMMYFUNCTION("""COMPUTED_VALUE"""),"一生賭けても君が欲しい～極上男×孤高女～")</f>
        <v>一生賭けても君が欲しい～極上男×孤高女～</v>
      </c>
      <c r="G2065" s="69" t="str">
        <f>IFERROR(__xludf.DUMMYFUNCTION("""COMPUTED_VALUE"""),"1～2")</f>
        <v>1～2</v>
      </c>
      <c r="H2065" s="108" t="str">
        <f>IFERROR(__xludf.DUMMYFUNCTION("""COMPUTED_VALUE"""),"能戸絢目")</f>
        <v>能戸絢目</v>
      </c>
      <c r="I2065" s="108" t="str">
        <f>IFERROR(__xludf.DUMMYFUNCTION("""COMPUTED_VALUE"""),"TL")</f>
        <v>TL</v>
      </c>
      <c r="J2065" s="108"/>
      <c r="K2065" s="108"/>
      <c r="L2065" s="108" t="str">
        <f>IFERROR(__xludf.DUMMYFUNCTION("""COMPUTED_VALUE"""),"モバイルメディアリサーチ")</f>
        <v>モバイルメディアリサーチ</v>
      </c>
      <c r="M2065" s="59">
        <f>IFERROR(__xludf.DUMMYFUNCTION("""COMPUTED_VALUE"""),45562.0)</f>
        <v>45562</v>
      </c>
      <c r="N2065" s="115">
        <f>IFERROR(__xludf.DUMMYFUNCTION("""COMPUTED_VALUE"""),45595.0)</f>
        <v>45595</v>
      </c>
      <c r="O2065" s="108"/>
      <c r="P2065" s="114" t="str">
        <f>IFERROR(__xludf.DUMMYFUNCTION("""COMPUTED_VALUE"""),"可")</f>
        <v>可</v>
      </c>
      <c r="Q2065" s="111"/>
      <c r="R2065" s="108"/>
      <c r="S2065" s="108" t="str">
        <f>IFERROR(__xludf.DUMMYFUNCTION("""COMPUTED_VALUE"""),"20240830_ファンギルド_一生賭けても君が欲しい～極上男×孤高女～")</f>
        <v>20240830_ファンギルド_一生賭けても君が欲しい～極上男×孤高女～</v>
      </c>
      <c r="T2065" s="108" t="str">
        <f>IFERROR(__xludf.DUMMYFUNCTION("""COMPUTED_VALUE"""),"格納済み")</f>
        <v>格納済み</v>
      </c>
      <c r="U2065" s="15" t="str">
        <f>IFERROR(__xludf.DUMMYFUNCTION("""COMPUTED_VALUE"""),"©能戸絢目/モバイルメディアリサーチ")</f>
        <v>©能戸絢目/モバイルメディアリサーチ</v>
      </c>
      <c r="V2065" s="8" t="str">
        <f>IFERROR(__xludf.DUMMYFUNCTION("""COMPUTED_VALUE"""),"「逃がさないよ。ハナちゃんを狂おしいほど愛してる」コスメブランドのプロデューサー兼社長を務める華緒(はなお)の前に、新作コスメのイメージキャラクターとして現れたのは、幼馴染でスーパーモデルのアンリ・クーロン。20年も音信不通だったくせに突然帰ってきて「溢れる愛を伝えたい」だなんて……甘くて情熱的な瞳で見つめてくるなんて……いまさら私の人生に入ってこないでよ!!　絶対に揺らがないと誓ったのに、長くて熱い指で心もカラダもこじ開けられて、激しいキスと愛撫とセックスで一番深い奥まで快感に震わされて……。私、このま"&amp;"ま彼に堕ちてしまうの？最高の男に成長した幼馴染に何度も愛される極上溺愛ラブ！")</f>
        <v>「逃がさないよ。ハナちゃんを狂おしいほど愛してる」コスメブランドのプロデューサー兼社長を務める華緒(はなお)の前に、新作コスメのイメージキャラクターとして現れたのは、幼馴染でスーパーモデルのアンリ・クーロン。20年も音信不通だったくせに突然帰ってきて「溢れる愛を伝えたい」だなんて……甘くて情熱的な瞳で見つめてくるなんて……いまさら私の人生に入ってこないでよ!!　絶対に揺らがないと誓ったのに、長くて熱い指で心もカラダもこじ開けられて、激しいキスと愛撫とセックスで一番深い奥まで快感に震わされて……。私、このまま彼に堕ちてしまうの？最高の男に成長した幼馴染に何度も愛される極上溺愛ラブ！</v>
      </c>
      <c r="W2065" s="14"/>
      <c r="X2065" s="14" t="str">
        <f>IFERROR(__xludf.DUMMYFUNCTION("""COMPUTED_VALUE"""),"有")</f>
        <v>有</v>
      </c>
      <c r="Y2065" s="8" t="str">
        <f>IFERROR(__xludf.DUMMYFUNCTION("""COMPUTED_VALUE"""),"2024/10/10まで立ち読み増量P24まで")</f>
        <v>2024/10/10まで立ち読み増量P24まで</v>
      </c>
      <c r="Z2065" s="7"/>
      <c r="AA2065" s="7"/>
      <c r="AB2065" s="7"/>
    </row>
    <row r="2066" ht="15.75" customHeight="1">
      <c r="A2066" s="76">
        <f>IFERROR(__xludf.DUMMYFUNCTION("""COMPUTED_VALUE"""),4066.0)</f>
        <v>4066</v>
      </c>
      <c r="B2066" s="108" t="str">
        <f>IFERROR(__xludf.DUMMYFUNCTION("""COMPUTED_VALUE"""),"確定")</f>
        <v>確定</v>
      </c>
      <c r="C2066" s="74">
        <f>IFERROR(__xludf.DUMMYFUNCTION("""COMPUTED_VALUE"""),45537.0)</f>
        <v>45537</v>
      </c>
      <c r="D2066" s="74">
        <f>IFERROR(__xludf.DUMMYFUNCTION("""COMPUTED_VALUE"""),45539.0)</f>
        <v>45539</v>
      </c>
      <c r="E2066" s="112">
        <f>IFERROR(__xludf.DUMMYFUNCTION("""COMPUTED_VALUE"""),303663.0)</f>
        <v>303663</v>
      </c>
      <c r="F2066" s="112" t="str">
        <f>IFERROR(__xludf.DUMMYFUNCTION("""COMPUTED_VALUE"""),"天才派遣所の秀才異端児 ～天才の能力を全て取り込む、秀才の成り上がり～【単話版】")</f>
        <v>天才派遣所の秀才異端児 ～天才の能力を全て取り込む、秀才の成り上がり～【単話版】</v>
      </c>
      <c r="G2066" s="69" t="str">
        <f>IFERROR(__xludf.DUMMYFUNCTION("""COMPUTED_VALUE"""),"1～3")</f>
        <v>1～3</v>
      </c>
      <c r="H2066" s="108" t="str">
        <f>IFERROR(__xludf.DUMMYFUNCTION("""COMPUTED_VALUE"""),"壱弐参×はやさかめばゑ")</f>
        <v>壱弐参×はやさかめばゑ</v>
      </c>
      <c r="I2066" s="108" t="str">
        <f>IFERROR(__xludf.DUMMYFUNCTION("""COMPUTED_VALUE"""),"青年")</f>
        <v>青年</v>
      </c>
      <c r="J2066" s="108"/>
      <c r="K2066" s="108"/>
      <c r="L2066" s="108" t="str">
        <f>IFERROR(__xludf.DUMMYFUNCTION("""COMPUTED_VALUE"""),"徳間書店")</f>
        <v>徳間書店</v>
      </c>
      <c r="M2066" s="23">
        <f>IFERROR(__xludf.DUMMYFUNCTION("""COMPUTED_VALUE"""),45570.0)</f>
        <v>45570</v>
      </c>
      <c r="N2066" s="47">
        <f>IFERROR(__xludf.DUMMYFUNCTION("""COMPUTED_VALUE"""),45597.0)</f>
        <v>45597</v>
      </c>
      <c r="O2066" s="108"/>
      <c r="P2066" s="110" t="str">
        <f>IFERROR(__xludf.DUMMYFUNCTION("""COMPUTED_VALUE"""),"可")</f>
        <v>可</v>
      </c>
      <c r="Q2066" s="111" t="str">
        <f>IFERROR(__xludf.DUMMYFUNCTION("""COMPUTED_VALUE"""),"河上さんにて事前確認、コミット可で回答いただいてます")</f>
        <v>河上さんにて事前確認、コミット可で回答いただいてます</v>
      </c>
      <c r="R2066" s="108"/>
      <c r="S2066" s="108" t="str">
        <f>IFERROR(__xludf.DUMMYFUNCTION("""COMPUTED_VALUE"""),"202240902_マッグガーデン_天才派遣所の秀才異端児")</f>
        <v>202240902_マッグガーデン_天才派遣所の秀才異端児</v>
      </c>
      <c r="T2066" s="108" t="str">
        <f>IFERROR(__xludf.DUMMYFUNCTION("""COMPUTED_VALUE"""),"格納済み")</f>
        <v>格納済み</v>
      </c>
      <c r="U2066" s="15" t="str">
        <f>IFERROR(__xludf.DUMMYFUNCTION("""COMPUTED_VALUE"""),"(c)壱弐参・はやさかめばゑ／徳間書店")</f>
        <v>(c)壱弐参・はやさかめばゑ／徳間書店</v>
      </c>
      <c r="V2066" s="8" t="str">
        <f>IFERROR(__xludf.DUMMYFUNCTION("""COMPUTED_VALUE"""),"【単話版】天が与えた才能「天恵」。「天恵」を得た人間は「天才」と呼ばれたが、その能力の高さゆえに一般人との決別を余儀なくされた。天才を恐れた世界は法の下に天才たちを管理し、世界に仇なすモンスターを討伐するという仕事を振る。しかし中にはモンスターに立ち向かうことすらできない天才もいる。伊達玖命。自身の天恵を操ることもできず、天才ゆえ一般人にも混ざれない男。これは最弱だった秀才が全ての天才を呑み込み、最強への道を歩む物語。　※本コンテンツはCOMICユニコーン掲載の『天才派遣所の秀才異端児～天才の能力を全て取"&amp;"り込む、秀才の成り上がり～』第１話を抜粋し収録した【単話版】です")</f>
        <v>【単話版】天が与えた才能「天恵」。「天恵」を得た人間は「天才」と呼ばれたが、その能力の高さゆえに一般人との決別を余儀なくされた。天才を恐れた世界は法の下に天才たちを管理し、世界に仇なすモンスターを討伐するという仕事を振る。しかし中にはモンスターに立ち向かうことすらできない天才もいる。伊達玖命。自身の天恵を操ることもできず、天才ゆえ一般人にも混ざれない男。これは最弱だった秀才が全ての天才を呑み込み、最強への道を歩む物語。　※本コンテンツはCOMICユニコーン掲載の『天才派遣所の秀才異端児～天才の能力を全て取り込む、秀才の成り上がり～』第１話を抜粋し収録した【単話版】です</v>
      </c>
      <c r="W2066" s="14"/>
      <c r="X2066" s="14" t="str">
        <f>IFERROR(__xludf.DUMMYFUNCTION("""COMPUTED_VALUE"""),"有")</f>
        <v>有</v>
      </c>
      <c r="Y2066" s="8" t="str">
        <f>IFERROR(__xludf.DUMMYFUNCTION("""COMPUTED_VALUE"""),"2024/11/1まで1巻無料")</f>
        <v>2024/11/1まで1巻無料</v>
      </c>
      <c r="Z2066" s="7"/>
      <c r="AA2066" s="7"/>
      <c r="AB2066" s="7"/>
    </row>
    <row r="2067" ht="15.75" customHeight="1">
      <c r="A2067" s="76">
        <f>IFERROR(__xludf.DUMMYFUNCTION("""COMPUTED_VALUE"""),4079.0)</f>
        <v>4079</v>
      </c>
      <c r="B2067" s="108" t="str">
        <f>IFERROR(__xludf.DUMMYFUNCTION("""COMPUTED_VALUE"""),"確定")</f>
        <v>確定</v>
      </c>
      <c r="C2067" s="74">
        <f>IFERROR(__xludf.DUMMYFUNCTION("""COMPUTED_VALUE"""),45538.0)</f>
        <v>45538</v>
      </c>
      <c r="D2067" s="74">
        <f>IFERROR(__xludf.DUMMYFUNCTION("""COMPUTED_VALUE"""),45539.0)</f>
        <v>45539</v>
      </c>
      <c r="E2067" s="116">
        <f>IFERROR(__xludf.DUMMYFUNCTION("""COMPUTED_VALUE"""),288096.0)</f>
        <v>288096</v>
      </c>
      <c r="F2067" s="112" t="str">
        <f>IFERROR(__xludf.DUMMYFUNCTION("""COMPUTED_VALUE"""),"普通の愛がほしいだけなのに")</f>
        <v>普通の愛がほしいだけなのに</v>
      </c>
      <c r="G2067" s="69" t="str">
        <f>IFERROR(__xludf.DUMMYFUNCTION("""COMPUTED_VALUE"""),"1～3")</f>
        <v>1～3</v>
      </c>
      <c r="H2067" s="108" t="str">
        <f>IFERROR(__xludf.DUMMYFUNCTION("""COMPUTED_VALUE"""),"八ツ波みなも")</f>
        <v>八ツ波みなも</v>
      </c>
      <c r="I2067" s="108" t="str">
        <f>IFERROR(__xludf.DUMMYFUNCTION("""COMPUTED_VALUE"""),"女性")</f>
        <v>女性</v>
      </c>
      <c r="J2067" s="108"/>
      <c r="K2067" s="108"/>
      <c r="L2067" s="108" t="str">
        <f>IFERROR(__xludf.DUMMYFUNCTION("""COMPUTED_VALUE"""),"シーモアコミックス       ")</f>
        <v>シーモアコミックス       </v>
      </c>
      <c r="M2067" s="23">
        <f>IFERROR(__xludf.DUMMYFUNCTION("""COMPUTED_VALUE"""),45570.0)</f>
        <v>45570</v>
      </c>
      <c r="N2067" s="23">
        <f>IFERROR(__xludf.DUMMYFUNCTION("""COMPUTED_VALUE"""),45631.0)</f>
        <v>45631</v>
      </c>
      <c r="O2067" s="108"/>
      <c r="P2067" s="110" t="str">
        <f>IFERROR(__xludf.DUMMYFUNCTION("""COMPUTED_VALUE"""),"可")</f>
        <v>可</v>
      </c>
      <c r="Q2067" s="111" t="str">
        <f>IFERROR(__xludf.DUMMYFUNCTION("""COMPUTED_VALUE"""),"レーベル：スキして?桃色日記&lt;BR&gt;")</f>
        <v>レーベル：スキして?桃色日記&lt;BR&gt;</v>
      </c>
      <c r="R2067" s="108"/>
      <c r="S2067" s="108" t="str">
        <f>IFERROR(__xludf.DUMMYFUNCTION("""COMPUTED_VALUE"""),"20240903_ソルマーレ編集部_普通の愛がほしいだけなのに")</f>
        <v>20240903_ソルマーレ編集部_普通の愛がほしいだけなのに</v>
      </c>
      <c r="T2067" s="108" t="str">
        <f>IFERROR(__xludf.DUMMYFUNCTION("""COMPUTED_VALUE"""),"格納済み")</f>
        <v>格納済み</v>
      </c>
      <c r="U2067" s="15" t="str">
        <f>IFERROR(__xludf.DUMMYFUNCTION("""COMPUTED_VALUE"""),"Ⓒ 八ツ波みなも/シーモアコミックス")</f>
        <v>Ⓒ 八ツ波みなも/シーモアコミックス</v>
      </c>
      <c r="V2067" s="8" t="str">
        <f>IFERROR(__xludf.DUMMYFUNCTION("""COMPUTED_VALUE"""),"「そのヒールで僕を踏みつけながら罵ってください」
ーーって、知り合って直ぐさま言うことか!!!
私、出水恵（いずみめぐみ）は175センチ。恵まれすぎた体格のせいで、28歳にして、いまだ恋愛経験ゼロ。このままでは結婚なんて夢のまた夢。
そんな泥沼から脱出しようと、マッチングアプリを使ってみたら、怒涛の変態ラッシュ…！
やっぱり私には恋愛なんて……と諦めかけたその時、身長のことなんて気にも留めない素敵な人が現れてーー。【桃色日記】")</f>
        <v>「そのヒールで僕を踏みつけながら罵ってください」
ーーって、知り合って直ぐさま言うことか!!!
私、出水恵（いずみめぐみ）は175センチ。恵まれすぎた体格のせいで、28歳にして、いまだ恋愛経験ゼロ。このままでは結婚なんて夢のまた夢。
そんな泥沼から脱出しようと、マッチングアプリを使ってみたら、怒涛の変態ラッシュ…！
やっぱり私には恋愛なんて……と諦めかけたその時、身長のことなんて気にも留めない素敵な人が現れてーー。【桃色日記】</v>
      </c>
      <c r="W2067" s="14"/>
      <c r="X2067" s="14" t="str">
        <f>IFERROR(__xludf.DUMMYFUNCTION("""COMPUTED_VALUE"""),"有")</f>
        <v>有</v>
      </c>
      <c r="Y2067" s="8" t="str">
        <f>IFERROR(__xludf.DUMMYFUNCTION("""COMPUTED_VALUE"""),"P6まで")</f>
        <v>P6まで</v>
      </c>
      <c r="Z2067" s="7"/>
      <c r="AA2067" s="7"/>
      <c r="AB2067" s="7"/>
    </row>
    <row r="2068" ht="15.75" customHeight="1">
      <c r="A2068" s="76">
        <f>IFERROR(__xludf.DUMMYFUNCTION("""COMPUTED_VALUE"""),4080.0)</f>
        <v>4080</v>
      </c>
      <c r="B2068" s="108" t="str">
        <f>IFERROR(__xludf.DUMMYFUNCTION("""COMPUTED_VALUE"""),"確定")</f>
        <v>確定</v>
      </c>
      <c r="C2068" s="74">
        <f>IFERROR(__xludf.DUMMYFUNCTION("""COMPUTED_VALUE"""),45538.0)</f>
        <v>45538</v>
      </c>
      <c r="D2068" s="74">
        <f>IFERROR(__xludf.DUMMYFUNCTION("""COMPUTED_VALUE"""),45539.0)</f>
        <v>45539</v>
      </c>
      <c r="E2068" s="116">
        <f>IFERROR(__xludf.DUMMYFUNCTION("""COMPUTED_VALUE"""),287537.0)</f>
        <v>287537</v>
      </c>
      <c r="F2068" s="112" t="str">
        <f>IFERROR(__xludf.DUMMYFUNCTION("""COMPUTED_VALUE"""),"龍の花贄～生贄の私が幸せになるまで～")</f>
        <v>龍の花贄～生贄の私が幸せになるまで～</v>
      </c>
      <c r="G2068" s="11" t="str">
        <f>IFERROR(__xludf.DUMMYFUNCTION("""COMPUTED_VALUE"""),"1～4")</f>
        <v>1～4</v>
      </c>
      <c r="H2068" s="108" t="str">
        <f>IFERROR(__xludf.DUMMYFUNCTION("""COMPUTED_VALUE"""),"絹越まこと,烏丸紫明")</f>
        <v>絹越まこと,烏丸紫明</v>
      </c>
      <c r="I2068" s="108" t="str">
        <f>IFERROR(__xludf.DUMMYFUNCTION("""COMPUTED_VALUE"""),"少女")</f>
        <v>少女</v>
      </c>
      <c r="J2068" s="108"/>
      <c r="K2068" s="108"/>
      <c r="L2068" s="108" t="str">
        <f>IFERROR(__xludf.DUMMYFUNCTION("""COMPUTED_VALUE"""),"シーモアコミックス       ")</f>
        <v>シーモアコミックス       </v>
      </c>
      <c r="M2068" s="23">
        <f>IFERROR(__xludf.DUMMYFUNCTION("""COMPUTED_VALUE"""),45571.0)</f>
        <v>45571</v>
      </c>
      <c r="N2068" s="23">
        <f>IFERROR(__xludf.DUMMYFUNCTION("""COMPUTED_VALUE"""),45632.0)</f>
        <v>45632</v>
      </c>
      <c r="O2068" s="108"/>
      <c r="P2068" s="114" t="str">
        <f>IFERROR(__xludf.DUMMYFUNCTION("""COMPUTED_VALUE"""),"可")</f>
        <v>可</v>
      </c>
      <c r="Q2068" s="111"/>
      <c r="R2068" s="108"/>
      <c r="S2068" s="108" t="str">
        <f>IFERROR(__xludf.DUMMYFUNCTION("""COMPUTED_VALUE"""),"20240903_ソルマーレ編集部_龍の花贄～生贄の私が幸せになるまで～")</f>
        <v>20240903_ソルマーレ編集部_龍の花贄～生贄の私が幸せになるまで～</v>
      </c>
      <c r="T2068" s="108" t="str">
        <f>IFERROR(__xludf.DUMMYFUNCTION("""COMPUTED_VALUE"""),"格納済み")</f>
        <v>格納済み</v>
      </c>
      <c r="U2068" s="15" t="str">
        <f>IFERROR(__xludf.DUMMYFUNCTION("""COMPUTED_VALUE"""),"Ⓒ 絹越まこと/烏丸紫明/シーモアコミックス")</f>
        <v>Ⓒ 絹越まこと/烏丸紫明/シーモアコミックス</v>
      </c>
      <c r="V2068" s="8" t="str">
        <f>IFERROR(__xludf.DUMMYFUNCTION("""COMPUTED_VALUE"""),"「大切にするぞ、我が花嫁」
龍に守られし日輪（ひのわ）皇国。古の時代より龍を祀る祀龍家（しりゅうけ）には、 変わらぬ守護を祈願するため、百年に一度当主の娘を『はなよめ』として差し出す習わしがあった。
はなよめと呼ばれるが、 当てられた字は花贄。つまり──生贄だ。
祀龍家に引き取られ、虐げられ続けてきた千代は花贄として龍に喰らわれることでこの辛い生から逃れられると思っていたが、龍は千代を「大切にする」と抱き締めて──?
生贄の少女が神に愛されて花開く──和風ロマンスファンタジー。【恋するソワレ】")</f>
        <v>「大切にするぞ、我が花嫁」
龍に守られし日輪（ひのわ）皇国。古の時代より龍を祀る祀龍家（しりゅうけ）には、 変わらぬ守護を祈願するため、百年に一度当主の娘を『はなよめ』として差し出す習わしがあった。
はなよめと呼ばれるが、 当てられた字は花贄。つまり──生贄だ。
祀龍家に引き取られ、虐げられ続けてきた千代は花贄として龍に喰らわれることでこの辛い生から逃れられると思っていたが、龍は千代を「大切にする」と抱き締めて──?
生贄の少女が神に愛されて花開く──和風ロマンスファンタジー。【恋するソワレ】</v>
      </c>
      <c r="W2068" s="14"/>
      <c r="X2068" s="14" t="str">
        <f>IFERROR(__xludf.DUMMYFUNCTION("""COMPUTED_VALUE"""),"有")</f>
        <v>有</v>
      </c>
      <c r="Y2068" s="8" t="str">
        <f>IFERROR(__xludf.DUMMYFUNCTION("""COMPUTED_VALUE"""),"2024/11/2まで1巻無料")</f>
        <v>2024/11/2まで1巻無料</v>
      </c>
      <c r="Z2068" s="7"/>
      <c r="AA2068" s="7"/>
      <c r="AB2068" s="7"/>
    </row>
    <row r="2069" ht="15.75" customHeight="1">
      <c r="A2069" s="76">
        <f>IFERROR(__xludf.DUMMYFUNCTION("""COMPUTED_VALUE"""),4082.0)</f>
        <v>4082</v>
      </c>
      <c r="B2069" s="108" t="str">
        <f>IFERROR(__xludf.DUMMYFUNCTION("""COMPUTED_VALUE"""),"確定")</f>
        <v>確定</v>
      </c>
      <c r="C2069" s="74">
        <f>IFERROR(__xludf.DUMMYFUNCTION("""COMPUTED_VALUE"""),45538.0)</f>
        <v>45538</v>
      </c>
      <c r="D2069" s="74">
        <f>IFERROR(__xludf.DUMMYFUNCTION("""COMPUTED_VALUE"""),45539.0)</f>
        <v>45539</v>
      </c>
      <c r="E2069" s="112">
        <f>IFERROR(__xludf.DUMMYFUNCTION("""COMPUTED_VALUE"""),304604.0)</f>
        <v>304604</v>
      </c>
      <c r="F2069" s="112" t="str">
        <f>IFERROR(__xludf.DUMMYFUNCTION("""COMPUTED_VALUE"""),"先生、守ってくれますか？シたい私と守りたい先生のナイショの恋")</f>
        <v>先生、守ってくれますか？シたい私と守りたい先生のナイショの恋</v>
      </c>
      <c r="G2069" s="69" t="str">
        <f>IFERROR(__xludf.DUMMYFUNCTION("""COMPUTED_VALUE"""),"1～3")</f>
        <v>1～3</v>
      </c>
      <c r="H2069" s="108" t="str">
        <f>IFERROR(__xludf.DUMMYFUNCTION("""COMPUTED_VALUE"""),"速雨")</f>
        <v>速雨</v>
      </c>
      <c r="I2069" s="108" t="str">
        <f>IFERROR(__xludf.DUMMYFUNCTION("""COMPUTED_VALUE"""),"TL")</f>
        <v>TL</v>
      </c>
      <c r="J2069" s="108"/>
      <c r="K2069" s="108"/>
      <c r="L2069" s="108" t="str">
        <f>IFERROR(__xludf.DUMMYFUNCTION("""COMPUTED_VALUE"""),"FILL-IN")</f>
        <v>FILL-IN</v>
      </c>
      <c r="M2069" s="23">
        <f>IFERROR(__xludf.DUMMYFUNCTION("""COMPUTED_VALUE"""),45569.0)</f>
        <v>45569</v>
      </c>
      <c r="N2069" s="108" t="str">
        <f>IFERROR(__xludf.DUMMYFUNCTION("""COMPUTED_VALUE"""),"配信から1か月後")</f>
        <v>配信から1か月後</v>
      </c>
      <c r="O2069" s="108"/>
      <c r="P2069" s="9" t="str">
        <f>IFERROR(__xludf.DUMMYFUNCTION("""COMPUTED_VALUE"""),"可")</f>
        <v>可</v>
      </c>
      <c r="Q2069" s="111"/>
      <c r="R2069" s="113"/>
      <c r="S2069" s="108" t="str">
        <f>IFERROR(__xludf.DUMMYFUNCTION("""COMPUTED_VALUE"""),"20240924_ライドオン_先生、守ってくれますか？シたい私と守りたい先生のナイショの恋")</f>
        <v>20240924_ライドオン_先生、守ってくれますか？シたい私と守りたい先生のナイショの恋</v>
      </c>
      <c r="T2069" s="108" t="str">
        <f>IFERROR(__xludf.DUMMYFUNCTION("""COMPUTED_VALUE"""),"格納済み")</f>
        <v>格納済み</v>
      </c>
      <c r="U2069" s="107" t="str">
        <f>IFERROR(__xludf.DUMMYFUNCTION("""COMPUTED_VALUE"""),"©速雨/FILL-IN")</f>
        <v>©速雨/FILL-IN</v>
      </c>
      <c r="V2069" s="8" t="str">
        <f>IFERROR(__xludf.DUMMYFUNCTION("""COMPUTED_VALUE"""),"「期待してたんじゃないんですか？ 色んな顔 見せてくださいね」
4月から新米教師として母校へ戻ってきた水無瀬冬佳。
冬佳が高校3年生の頃、男から襲われそうになっていたところを
助けてくれた憧れの存在・元担任の須藤佑斗とは、
教師と生徒から、上司と部下の関係に！
ゴールデンウィーク前にひらかれた新入職者歓迎会の夜に飲みすぎてしまった冬佳。
元教え子の冬佳を心配し、佑斗は彼女をアパートまで送ることに。
憧れの祐斗に介抱してもらい、幸せを感じる冬佳ではあったが……
その一方で4月から冬佳を悩ませ"&amp;"ているストーカー被害は
じょじょに悪質になってゆき、佑斗をも巻き込んで……")</f>
        <v>「期待してたんじゃないんですか？ 色んな顔 見せてくださいね」
4月から新米教師として母校へ戻ってきた水無瀬冬佳。
冬佳が高校3年生の頃、男から襲われそうになっていたところを
助けてくれた憧れの存在・元担任の須藤佑斗とは、
教師と生徒から、上司と部下の関係に！
ゴールデンウィーク前にひらかれた新入職者歓迎会の夜に飲みすぎてしまった冬佳。
元教え子の冬佳を心配し、佑斗は彼女をアパートまで送ることに。
憧れの祐斗に介抱してもらい、幸せを感じる冬佳ではあったが……
その一方で4月から冬佳を悩ませているストーカー被害は
じょじょに悪質になってゆき、佑斗をも巻き込んで……</v>
      </c>
      <c r="W2069" s="14"/>
      <c r="X2069" s="14" t="str">
        <f>IFERROR(__xludf.DUMMYFUNCTION("""COMPUTED_VALUE"""),"有")</f>
        <v>有</v>
      </c>
      <c r="Y2069" s="8" t="str">
        <f>IFERROR(__xludf.DUMMYFUNCTION("""COMPUTED_VALUE"""),"P11まで")</f>
        <v>P11まで</v>
      </c>
      <c r="Z2069" s="7"/>
      <c r="AA2069" s="7"/>
      <c r="AB2069" s="7"/>
    </row>
    <row r="2070" ht="15.75" customHeight="1">
      <c r="A2070" s="76">
        <f>IFERROR(__xludf.DUMMYFUNCTION("""COMPUTED_VALUE"""),4083.0)</f>
        <v>4083</v>
      </c>
      <c r="B2070" s="108" t="str">
        <f>IFERROR(__xludf.DUMMYFUNCTION("""COMPUTED_VALUE"""),"確定")</f>
        <v>確定</v>
      </c>
      <c r="C2070" s="74">
        <f>IFERROR(__xludf.DUMMYFUNCTION("""COMPUTED_VALUE"""),45538.0)</f>
        <v>45538</v>
      </c>
      <c r="D2070" s="74">
        <f>IFERROR(__xludf.DUMMYFUNCTION("""COMPUTED_VALUE"""),45539.0)</f>
        <v>45539</v>
      </c>
      <c r="E2070" s="112">
        <f>IFERROR(__xludf.DUMMYFUNCTION("""COMPUTED_VALUE"""),303507.0)</f>
        <v>303507</v>
      </c>
      <c r="F2070" s="112" t="str">
        <f>IFERROR(__xludf.DUMMYFUNCTION("""COMPUTED_VALUE"""),"遊郭で出会った年下お武家さまは6年も初恋をこじらせていたらしい")</f>
        <v>遊郭で出会った年下お武家さまは6年も初恋をこじらせていたらしい</v>
      </c>
      <c r="G2070" s="69" t="str">
        <f>IFERROR(__xludf.DUMMYFUNCTION("""COMPUTED_VALUE"""),"1～5")</f>
        <v>1～5</v>
      </c>
      <c r="H2070" s="108" t="str">
        <f>IFERROR(__xludf.DUMMYFUNCTION("""COMPUTED_VALUE"""),"麦原穣")</f>
        <v>麦原穣</v>
      </c>
      <c r="I2070" s="108" t="str">
        <f>IFERROR(__xludf.DUMMYFUNCTION("""COMPUTED_VALUE"""),"女性")</f>
        <v>女性</v>
      </c>
      <c r="J2070" s="108"/>
      <c r="K2070" s="108"/>
      <c r="L2070" s="108" t="str">
        <f>IFERROR(__xludf.DUMMYFUNCTION("""COMPUTED_VALUE"""),"ライドオン")</f>
        <v>ライドオン</v>
      </c>
      <c r="M2070" s="23">
        <f>IFERROR(__xludf.DUMMYFUNCTION("""COMPUTED_VALUE"""),45569.0)</f>
        <v>45569</v>
      </c>
      <c r="N2070" s="23">
        <f>IFERROR(__xludf.DUMMYFUNCTION("""COMPUTED_VALUE"""),45750.0)</f>
        <v>45750</v>
      </c>
      <c r="O2070" s="108"/>
      <c r="P2070" s="110" t="str">
        <f>IFERROR(__xludf.DUMMYFUNCTION("""COMPUTED_VALUE"""),"可")</f>
        <v>可</v>
      </c>
      <c r="Q2070" s="111" t="str">
        <f>IFERROR(__xludf.DUMMYFUNCTION("""COMPUTED_VALUE"""),"協業レーベル『シーモア×アラモード』作品です。")</f>
        <v>協業レーベル『シーモア×アラモード』作品です。</v>
      </c>
      <c r="R2070" s="108"/>
      <c r="S2070" s="108" t="str">
        <f>IFERROR(__xludf.DUMMYFUNCTION("""COMPUTED_VALUE"""),"20240903_ライドオン_遊郭で出会った年下お武家さまは6年も初恋をこじらせていたらしい")</f>
        <v>20240903_ライドオン_遊郭で出会った年下お武家さまは6年も初恋をこじらせていたらしい</v>
      </c>
      <c r="T2070" s="108" t="str">
        <f>IFERROR(__xludf.DUMMYFUNCTION("""COMPUTED_VALUE"""),"格納済み")</f>
        <v>格納済み</v>
      </c>
      <c r="U2070" s="15" t="str">
        <f>IFERROR(__xludf.DUMMYFUNCTION("""COMPUTED_VALUE"""),"Ⓒ麦原穣/ライドオン")</f>
        <v>Ⓒ麦原穣/ライドオン</v>
      </c>
      <c r="V2070" s="8" t="str">
        <f>IFERROR(__xludf.DUMMYFUNCTION("""COMPUTED_VALUE"""),"芸事一本で誰とも夜を過ごさない”絶対不転”の芸者、”夏吉”。
親の借金のせいで遊郭で働いていた過去を伏せ自分の力で生きていける日々を噛みしめながら過ごしていた。
ある日の仕事帰り、夜の誘いを断った客に絡まれ襲われそうになったのを橘郁武（たちばないくむ）に救われる。
礼を言うと郁武から隠していたはずの遊郭での名前を呼ばれ、さらには初恋の人と告白され大困惑！
”お得意様”となった郁武の可愛らしい一面や自分への愛を受け入れていき、次第に郁武に対して特別な感情が…。
とはいえ一介の芸者と将来有望な侍の2"&amp;"人の身分差恋は前途多難！
一途な年下わんこ系侍とツンデレ芸者の初々しいムズキュン身分差恋物語！")</f>
        <v>芸事一本で誰とも夜を過ごさない”絶対不転”の芸者、”夏吉”。
親の借金のせいで遊郭で働いていた過去を伏せ自分の力で生きていける日々を噛みしめながら過ごしていた。
ある日の仕事帰り、夜の誘いを断った客に絡まれ襲われそうになったのを橘郁武（たちばないくむ）に救われる。
礼を言うと郁武から隠していたはずの遊郭での名前を呼ばれ、さらには初恋の人と告白され大困惑！
”お得意様”となった郁武の可愛らしい一面や自分への愛を受け入れていき、次第に郁武に対して特別な感情が…。
とはいえ一介の芸者と将来有望な侍の2人の身分差恋は前途多難！
一途な年下わんこ系侍とツンデレ芸者の初々しいムズキュン身分差恋物語！</v>
      </c>
      <c r="W2070" s="14"/>
      <c r="X2070" s="14" t="str">
        <f>IFERROR(__xludf.DUMMYFUNCTION("""COMPUTED_VALUE"""),"有")</f>
        <v>有</v>
      </c>
      <c r="Y2070" s="8" t="str">
        <f>IFERROR(__xludf.DUMMYFUNCTION("""COMPUTED_VALUE"""),"2024/11/1まで1巻無料")</f>
        <v>2024/11/1まで1巻無料</v>
      </c>
      <c r="Z2070" s="7"/>
      <c r="AA2070" s="7"/>
      <c r="AB2070" s="7"/>
    </row>
    <row r="2071" ht="15.75" customHeight="1">
      <c r="A2071" s="26">
        <f>IFERROR(__xludf.DUMMYFUNCTION("""COMPUTED_VALUE"""),3971.0)</f>
        <v>3971</v>
      </c>
      <c r="B2071" s="108" t="str">
        <f>IFERROR(__xludf.DUMMYFUNCTION("""COMPUTED_VALUE"""),"確定")</f>
        <v>確定</v>
      </c>
      <c r="C2071" s="59">
        <f>IFERROR(__xludf.DUMMYFUNCTION("""COMPUTED_VALUE"""),45519.0)</f>
        <v>45519</v>
      </c>
      <c r="D2071" s="59">
        <f>IFERROR(__xludf.DUMMYFUNCTION("""COMPUTED_VALUE"""),45540.0)</f>
        <v>45540</v>
      </c>
      <c r="E2071" s="100">
        <f>IFERROR(__xludf.DUMMYFUNCTION("""COMPUTED_VALUE"""),303546.0)</f>
        <v>303546</v>
      </c>
      <c r="F2071" s="61" t="str">
        <f>IFERROR(__xludf.DUMMYFUNCTION("""COMPUTED_VALUE"""),"社畜オメガは美味しくない！
")</f>
        <v>社畜オメガは美味しくない！
</v>
      </c>
      <c r="G2071" s="69" t="str">
        <f>IFERROR(__xludf.DUMMYFUNCTION("""COMPUTED_VALUE"""),"1～2")</f>
        <v>1～2</v>
      </c>
      <c r="H2071" s="22" t="str">
        <f>IFERROR(__xludf.DUMMYFUNCTION("""COMPUTED_VALUE"""),"おおね")</f>
        <v>おおね</v>
      </c>
      <c r="I2071" s="108" t="str">
        <f>IFERROR(__xludf.DUMMYFUNCTION("""COMPUTED_VALUE"""),"BL")</f>
        <v>BL</v>
      </c>
      <c r="J2071" s="22"/>
      <c r="K2071" s="22"/>
      <c r="L2071" s="22" t="str">
        <f>IFERROR(__xludf.DUMMYFUNCTION("""COMPUTED_VALUE"""),"CLLENN")</f>
        <v>CLLENN</v>
      </c>
      <c r="M2071" s="23">
        <f>IFERROR(__xludf.DUMMYFUNCTION("""COMPUTED_VALUE"""),45568.0)</f>
        <v>45568</v>
      </c>
      <c r="N2071" s="23">
        <f>IFERROR(__xludf.DUMMYFUNCTION("""COMPUTED_VALUE"""),45630.0)</f>
        <v>45630</v>
      </c>
      <c r="O2071" s="108"/>
      <c r="P2071" s="34" t="str">
        <f>IFERROR(__xludf.DUMMYFUNCTION("""COMPUTED_VALUE"""),"可")</f>
        <v>可</v>
      </c>
      <c r="Q2071" s="30" t="str">
        <f>IFERROR(__xludf.DUMMYFUNCTION("""COMPUTED_VALUE"""),"広告コミットOK(8/23)
レーベル名：NuPu")</f>
        <v>広告コミットOK(8/23)
レーベル名：NuPu</v>
      </c>
      <c r="R2071" s="22"/>
      <c r="S2071" s="108" t="str">
        <f>IFERROR(__xludf.DUMMYFUNCTION("""COMPUTED_VALUE"""),"20240904_CLLENN_社畜オメガは美味しくない！／おおね	")</f>
        <v>20240904_CLLENN_社畜オメガは美味しくない！／おおね	</v>
      </c>
      <c r="T2071" s="22" t="str">
        <f>IFERROR(__xludf.DUMMYFUNCTION("""COMPUTED_VALUE"""),"格納済み")</f>
        <v>格納済み</v>
      </c>
      <c r="U2071" s="29" t="str">
        <f>IFERROR(__xludf.DUMMYFUNCTION("""COMPUTED_VALUE"""),"(C)おおね/CLLENN	")</f>
        <v>(C)おおね/CLLENN	</v>
      </c>
      <c r="V2071" s="8" t="str">
        <f>IFERROR(__xludf.DUMMYFUNCTION("""COMPUTED_VALUE"""),"【なんだ、ちゃんと感度いいじゃん】自分で後ろを弄っても感じなかったのに、人に触られるのって…気持ちいい…！――社畜で不摂生な生活を送っていたオメガ・佐久間 皐月（さくま さつき）。ついにヒートが不定期になってしまい、体質改善のためにアルファとの同棲付きお見合いプランを申し込むことに。しかし、そこで出会った料理研究家・志摩 七緒（しま ななお）から開口一番「クサイ」と言われてしまう！「この三ヶ月でお前の体、改善させてやるから覚悟しとけよ」期限付き、愛のない仮初めの同棲生活なのに、食事どころかカラダの隅々まで"&amp;"お世話されてしまい――！？自分でも触らない敏感なトコロをどんどん開発されていって、変化していく皐月のカラダ。志摩に触られると、発情期でもないのにずっと身体がアツくて、おかしくなるっ……。俺様アルファ×社畜オメガのえろきゅんラブコメディ！")</f>
        <v>【なんだ、ちゃんと感度いいじゃん】自分で後ろを弄っても感じなかったのに、人に触られるのって…気持ちいい…！――社畜で不摂生な生活を送っていたオメガ・佐久間 皐月（さくま さつき）。ついにヒートが不定期になってしまい、体質改善のためにアルファとの同棲付きお見合いプランを申し込むことに。しかし、そこで出会った料理研究家・志摩 七緒（しま ななお）から開口一番「クサイ」と言われてしまう！「この三ヶ月でお前の体、改善させてやるから覚悟しとけよ」期限付き、愛のない仮初めの同棲生活なのに、食事どころかカラダの隅々までお世話されてしまい――！？自分でも触らない敏感なトコロをどんどん開発されていって、変化していく皐月のカラダ。志摩に触られると、発情期でもないのにずっと身体がアツくて、おかしくなるっ……。俺様アルファ×社畜オメガのえろきゅんラブコメディ！</v>
      </c>
      <c r="W2071" s="14"/>
      <c r="X2071" s="14" t="str">
        <f>IFERROR(__xludf.DUMMYFUNCTION("""COMPUTED_VALUE"""),"有")</f>
        <v>有</v>
      </c>
      <c r="Y2071" s="8" t="str">
        <f>IFERROR(__xludf.DUMMYFUNCTION("""COMPUTED_VALUE"""),"2024/10/16まで立ち読み増量P15まで")</f>
        <v>2024/10/16まで立ち読み増量P15まで</v>
      </c>
      <c r="Z2071" s="7"/>
      <c r="AA2071" s="7"/>
      <c r="AB2071" s="7"/>
    </row>
    <row r="2072" ht="15.75" customHeight="1">
      <c r="A2072" s="76">
        <f>IFERROR(__xludf.DUMMYFUNCTION("""COMPUTED_VALUE"""),3470.0)</f>
        <v>3470</v>
      </c>
      <c r="B2072" s="69" t="str">
        <f>IFERROR(__xludf.DUMMYFUNCTION("""COMPUTED_VALUE"""),"確定")</f>
        <v>確定</v>
      </c>
      <c r="C2072" s="74">
        <f>IFERROR(__xludf.DUMMYFUNCTION("""COMPUTED_VALUE"""),45433.0)</f>
        <v>45433</v>
      </c>
      <c r="D2072" s="74">
        <f>IFERROR(__xludf.DUMMYFUNCTION("""COMPUTED_VALUE"""),45545.0)</f>
        <v>45545</v>
      </c>
      <c r="E2072" s="112">
        <f>IFERROR(__xludf.DUMMYFUNCTION("""COMPUTED_VALUE"""),302823.0)</f>
        <v>302823</v>
      </c>
      <c r="F2072" s="119" t="str">
        <f>IFERROR(__xludf.DUMMYFUNCTION("""COMPUTED_VALUE"""),"近衛総隊長である夫から離婚を望まれていますが、天使のような継子と別れたくありません")</f>
        <v>近衛総隊長である夫から離婚を望まれていますが、天使のような継子と別れたくありません</v>
      </c>
      <c r="G2072" s="69" t="str">
        <f>IFERROR(__xludf.DUMMYFUNCTION("""COMPUTED_VALUE"""),"1～5")</f>
        <v>1～5</v>
      </c>
      <c r="H2072" s="69" t="str">
        <f>IFERROR(__xludf.DUMMYFUNCTION("""COMPUTED_VALUE"""),"九里もなか・朝比奈呈")</f>
        <v>九里もなか・朝比奈呈</v>
      </c>
      <c r="I2072" s="69" t="str">
        <f>IFERROR(__xludf.DUMMYFUNCTION("""COMPUTED_VALUE"""),"女性")</f>
        <v>女性</v>
      </c>
      <c r="J2072" s="69"/>
      <c r="K2072" s="69"/>
      <c r="L2072" s="69" t="str">
        <f>IFERROR(__xludf.DUMMYFUNCTION("""COMPUTED_VALUE"""),"デジタルカタパルト（デジカタ編集部）")</f>
        <v>デジタルカタパルト（デジカタ編集部）</v>
      </c>
      <c r="M2072" s="59">
        <f>IFERROR(__xludf.DUMMYFUNCTION("""COMPUTED_VALUE"""),45562.0)</f>
        <v>45562</v>
      </c>
      <c r="N2072" s="77">
        <f>IFERROR(__xludf.DUMMYFUNCTION("""COMPUTED_VALUE"""),45653.0)</f>
        <v>45653</v>
      </c>
      <c r="O2072" s="69"/>
      <c r="P2072" s="114" t="str">
        <f>IFERROR(__xludf.DUMMYFUNCTION("""COMPUTED_VALUE"""),"可")</f>
        <v>可</v>
      </c>
      <c r="Q2072" s="69"/>
      <c r="R2072" s="69" t="str">
        <f>IFERROR(__xludf.DUMMYFUNCTION("""COMPUTED_VALUE"""),"広告コミットOK(5/28)")</f>
        <v>広告コミットOK(5/28)</v>
      </c>
      <c r="S2072" s="69" t="str">
        <f>IFERROR(__xludf.DUMMYFUNCTION("""COMPUTED_VALUE"""),"20240910_デジタルカタパルト_近衛総隊長である夫から離婚を望まれていますが、天使のような継子と別れたくありません")</f>
        <v>20240910_デジタルカタパルト_近衛総隊長である夫から離婚を望まれていますが、天使のような継子と別れたくありません</v>
      </c>
      <c r="T2072" s="69" t="str">
        <f>IFERROR(__xludf.DUMMYFUNCTION("""COMPUTED_VALUE"""),"格納済み")</f>
        <v>格納済み</v>
      </c>
      <c r="U2072" s="15" t="str">
        <f>IFERROR(__xludf.DUMMYFUNCTION("""COMPUTED_VALUE"""),"(C)九里もなか・朝比奈呈/デジカタ編集部")</f>
        <v>(C)九里もなか・朝比奈呈/デジカタ編集部</v>
      </c>
      <c r="V2072" s="8" t="str">
        <f>IFERROR(__xludf.DUMMYFUNCTION("""COMPUTED_VALUE"""),"三年前に近衛総隊長で子持ちのアントンと政略結婚したユリカ。継子であるノアとの仲も良好で幸せな日々を送っていたのに、ある日、突然夫に離婚を持ちかけられた。その後夫は侍女と駆け落ちしてしまう。私達が別れたらノアはどうなるの？心配でならないユリカだったが、数年振りに幼馴染であるフィーとの出会いで物語りは新たに動き出す！が、兎にも角にも、天使なノアに癒される物語！")</f>
        <v>三年前に近衛総隊長で子持ちのアントンと政略結婚したユリカ。継子であるノアとの仲も良好で幸せな日々を送っていたのに、ある日、突然夫に離婚を持ちかけられた。その後夫は侍女と駆け落ちしてしまう。私達が別れたらノアはどうなるの？心配でならないユリカだったが、数年振りに幼馴染であるフィーとの出会いで物語りは新たに動き出す！が、兎にも角にも、天使なノアに癒される物語！</v>
      </c>
      <c r="W2072" s="14"/>
      <c r="X2072" s="14" t="str">
        <f>IFERROR(__xludf.DUMMYFUNCTION("""COMPUTED_VALUE"""),"有")</f>
        <v>有</v>
      </c>
      <c r="Y2072" s="8" t="str">
        <f>IFERROR(__xludf.DUMMYFUNCTION("""COMPUTED_VALUE"""),"2024/12/26まで1巻無料")</f>
        <v>2024/12/26まで1巻無料</v>
      </c>
      <c r="Z2072" s="7"/>
      <c r="AA2072" s="7"/>
      <c r="AB2072" s="7"/>
    </row>
    <row r="2073" ht="15.75" customHeight="1">
      <c r="A2073" s="76">
        <f>IFERROR(__xludf.DUMMYFUNCTION("""COMPUTED_VALUE"""),3698.0)</f>
        <v>3698</v>
      </c>
      <c r="B2073" s="69" t="str">
        <f>IFERROR(__xludf.DUMMYFUNCTION("""COMPUTED_VALUE"""),"確定")</f>
        <v>確定</v>
      </c>
      <c r="C2073" s="74">
        <f>IFERROR(__xludf.DUMMYFUNCTION("""COMPUTED_VALUE"""),45469.0)</f>
        <v>45469</v>
      </c>
      <c r="D2073" s="74">
        <f>IFERROR(__xludf.DUMMYFUNCTION("""COMPUTED_VALUE"""),45546.0)</f>
        <v>45546</v>
      </c>
      <c r="E2073" s="109">
        <f>IFERROR(__xludf.DUMMYFUNCTION("""COMPUTED_VALUE"""),301390.0)</f>
        <v>301390</v>
      </c>
      <c r="F2073" s="20" t="str">
        <f>IFERROR(__xludf.DUMMYFUNCTION("""COMPUTED_VALUE"""),"ピリ婚～婚活にスパイスは付きものです～")</f>
        <v>ピリ婚～婚活にスパイスは付きものです～</v>
      </c>
      <c r="G2073" s="69" t="str">
        <f>IFERROR(__xludf.DUMMYFUNCTION("""COMPUTED_VALUE"""),"1～3")</f>
        <v>1～3</v>
      </c>
      <c r="H2073" s="69" t="str">
        <f>IFERROR(__xludf.DUMMYFUNCTION("""COMPUTED_VALUE"""),"結先うみ")</f>
        <v>結先うみ</v>
      </c>
      <c r="I2073" s="69" t="str">
        <f>IFERROR(__xludf.DUMMYFUNCTION("""COMPUTED_VALUE"""),"女性")</f>
        <v>女性</v>
      </c>
      <c r="J2073" s="69"/>
      <c r="K2073" s="69"/>
      <c r="L2073" s="69" t="str">
        <f>IFERROR(__xludf.DUMMYFUNCTION("""COMPUTED_VALUE"""),"祥伝社")</f>
        <v>祥伝社</v>
      </c>
      <c r="M2073" s="47">
        <f>IFERROR(__xludf.DUMMYFUNCTION("""COMPUTED_VALUE"""),45576.0)</f>
        <v>45576</v>
      </c>
      <c r="N2073" s="77">
        <f>IFERROR(__xludf.DUMMYFUNCTION("""COMPUTED_VALUE"""),45645.0)</f>
        <v>45645</v>
      </c>
      <c r="O2073" s="69"/>
      <c r="P2073" s="9" t="str">
        <f>IFERROR(__xludf.DUMMYFUNCTION("""COMPUTED_VALUE"""),"可")</f>
        <v>可</v>
      </c>
      <c r="Q2073" s="69"/>
      <c r="R2073" s="69" t="str">
        <f>IFERROR(__xludf.DUMMYFUNCTION("""COMPUTED_VALUE"""),"広告コミットOK(7/3)")</f>
        <v>広告コミットOK(7/3)</v>
      </c>
      <c r="S2073" s="69" t="str">
        <f>IFERROR(__xludf.DUMMYFUNCTION("""COMPUTED_VALUE"""),"20240910_祥伝社_ピリ婚～婚活にスパイスは付きものです～")</f>
        <v>20240910_祥伝社_ピリ婚～婚活にスパイスは付きものです～</v>
      </c>
      <c r="T2073" s="69" t="str">
        <f>IFERROR(__xludf.DUMMYFUNCTION("""COMPUTED_VALUE"""),"格納済み")</f>
        <v>格納済み</v>
      </c>
      <c r="U2073" s="95" t="str">
        <f>IFERROR(__xludf.DUMMYFUNCTION("""COMPUTED_VALUE"""),"（C）結先うみ/祥伝社")</f>
        <v>（C）結先うみ/祥伝社</v>
      </c>
      <c r="V2073" s="8" t="str">
        <f>IFERROR(__xludf.DUMMYFUNCTION("""COMPUTED_VALUE"""),"皆実円34歳。仕事は順調、自分磨きも欠かさない。
婚活の場でも十分な価値があると思っていたのに――…
「アラフォーだったらそれだけで点下がりません？」
「可哀想に…30過ぎて結婚できないんじゃ仕事を頑張るしかないもんね」
「俺の役に立つこと以外にお前に何の価値があるの？」
努力してきたものが “34歳彼氏ナシ”ってだけでこんなにも評価されないの！？
最近では、ハイスぺ婚を目指すダメンズウォーカー・まひる(23)、子ども部屋おばさん予備軍のオタク女子・由利(29)と行きつけのスパイス料理"&amp;"屋で反省会＆愚痴の日々…。
彼女たちはダメンズから逃れ、理想の相手を見つけることができるのか――！？")</f>
        <v>皆実円34歳。仕事は順調、自分磨きも欠かさない。
婚活の場でも十分な価値があると思っていたのに――…
「アラフォーだったらそれだけで点下がりません？」
「可哀想に…30過ぎて結婚できないんじゃ仕事を頑張るしかないもんね」
「俺の役に立つこと以外にお前に何の価値があるの？」
努力してきたものが “34歳彼氏ナシ”ってだけでこんなにも評価されないの！？
最近では、ハイスぺ婚を目指すダメンズウォーカー・まひる(23)、子ども部屋おばさん予備軍のオタク女子・由利(29)と行きつけのスパイス料理屋で反省会＆愚痴の日々…。
彼女たちはダメンズから逃れ、理想の相手を見つけることができるのか――！？</v>
      </c>
      <c r="W2073" s="14"/>
      <c r="X2073" s="14" t="str">
        <f>IFERROR(__xludf.DUMMYFUNCTION("""COMPUTED_VALUE"""),"有")</f>
        <v>有</v>
      </c>
      <c r="Y2073" s="8" t="str">
        <f>IFERROR(__xludf.DUMMYFUNCTION("""COMPUTED_VALUE"""),"2024/11/14まで1巻無料")</f>
        <v>2024/11/14まで1巻無料</v>
      </c>
      <c r="Z2073" s="7"/>
      <c r="AA2073" s="7"/>
      <c r="AB2073" s="7"/>
    </row>
    <row r="2074" ht="15.75" customHeight="1">
      <c r="A2074" s="76">
        <f>IFERROR(__xludf.DUMMYFUNCTION("""COMPUTED_VALUE"""),3712.0)</f>
        <v>3712</v>
      </c>
      <c r="B2074" s="69" t="str">
        <f>IFERROR(__xludf.DUMMYFUNCTION("""COMPUTED_VALUE"""),"確定")</f>
        <v>確定</v>
      </c>
      <c r="C2074" s="74">
        <f>IFERROR(__xludf.DUMMYFUNCTION("""COMPUTED_VALUE"""),45470.0)</f>
        <v>45470</v>
      </c>
      <c r="D2074" s="74">
        <f>IFERROR(__xludf.DUMMYFUNCTION("""COMPUTED_VALUE"""),45546.0)</f>
        <v>45546</v>
      </c>
      <c r="E2074" s="109">
        <f>IFERROR(__xludf.DUMMYFUNCTION("""COMPUTED_VALUE"""),301074.0)</f>
        <v>301074</v>
      </c>
      <c r="F2074" s="20" t="str">
        <f>IFERROR(__xludf.DUMMYFUNCTION("""COMPUTED_VALUE"""),"非婚主義ですが⁉~本格異世界性戦～【タテヨミ】")</f>
        <v>非婚主義ですが⁉~本格異世界性戦～【タテヨミ】</v>
      </c>
      <c r="G2074" s="69" t="str">
        <f>IFERROR(__xludf.DUMMYFUNCTION("""COMPUTED_VALUE"""),"1～30")</f>
        <v>1～30</v>
      </c>
      <c r="H2074" s="69" t="str">
        <f>IFERROR(__xludf.DUMMYFUNCTION("""COMPUTED_VALUE"""),"chadol")</f>
        <v>chadol</v>
      </c>
      <c r="I2074" s="69" t="str">
        <f>IFERROR(__xludf.DUMMYFUNCTION("""COMPUTED_VALUE"""),"BL")</f>
        <v>BL</v>
      </c>
      <c r="J2074" s="69"/>
      <c r="K2074" s="69"/>
      <c r="L2074" s="69" t="str">
        <f>IFERROR(__xludf.DUMMYFUNCTION("""COMPUTED_VALUE"""),"リバース")</f>
        <v>リバース</v>
      </c>
      <c r="M2074" s="59">
        <f>IFERROR(__xludf.DUMMYFUNCTION("""COMPUTED_VALUE"""),45543.0)</f>
        <v>45543</v>
      </c>
      <c r="N2074" s="59">
        <f>IFERROR(__xludf.DUMMYFUNCTION("""COMPUTED_VALUE"""),45633.0)</f>
        <v>45633</v>
      </c>
      <c r="O2074" s="69"/>
      <c r="P2074" s="114" t="str">
        <f>IFERROR(__xludf.DUMMYFUNCTION("""COMPUTED_VALUE"""),"可")</f>
        <v>可</v>
      </c>
      <c r="Q2074" s="111"/>
      <c r="R2074" s="69"/>
      <c r="S2074" s="69" t="str">
        <f>IFERROR(__xludf.DUMMYFUNCTION("""COMPUTED_VALUE"""),"20240910_リバース_非婚主義ですが⁉~本格異世界性戦～")</f>
        <v>20240910_リバース_非婚主義ですが⁉~本格異世界性戦～</v>
      </c>
      <c r="T2074" s="69" t="str">
        <f>IFERROR(__xludf.DUMMYFUNCTION("""COMPUTED_VALUE"""),"格納済み")</f>
        <v>格納済み</v>
      </c>
      <c r="U2074" s="15" t="str">
        <f>IFERROR(__xludf.DUMMYFUNCTION("""COMPUTED_VALUE"""),"『非婚主義ですが！？～本格異世界性戦～』(C)chadol,REDICE STUDIO/RIVERSE")</f>
        <v>『非婚主義ですが！？～本格異世界性戦～』(C)chadol,REDICE STUDIO/RIVERSE</v>
      </c>
      <c r="V2074" s="8" t="str">
        <f>IFERROR(__xludf.DUMMYFUNCTION("""COMPUTED_VALUE"""),"「俺は今 夢の中？」そうでなければ同じ男に 純潔を奪われそうなこの状況をどうしても説明できない 童貞歴35年目の国語教師、加藤秀一。 気がついたら攻め複数✕受け１人の疲弊ハードコアBLの漫画の世界へ！ 「私の肉体をここまで反応させたのはそなたが初めてだ。絶対離さない」 「僕は一目でわかりました！あなただけがこの帝国を救う唯一の勇者様だということを！」 「ただのガキかと思ったら…超イケメンのあんちゃんじゃない！」 あらゆる男たちに囲まれる秀一… なぜみんな決まったように下半身に支配されているんだ？ もうどう"&amp;"でもいいから早く家に帰してほしい。 家に帰るために聖物探しの冒険が始まる。 秀一は果たして無事に元の世界に戻れるのか？")</f>
        <v>「俺は今 夢の中？」そうでなければ同じ男に 純潔を奪われそうなこの状況をどうしても説明できない 童貞歴35年目の国語教師、加藤秀一。 気がついたら攻め複数✕受け１人の疲弊ハードコアBLの漫画の世界へ！ 「私の肉体をここまで反応させたのはそなたが初めてだ。絶対離さない」 「僕は一目でわかりました！あなただけがこの帝国を救う唯一の勇者様だということを！」 「ただのガキかと思ったら…超イケメンのあんちゃんじゃない！」 あらゆる男たちに囲まれる秀一… なぜみんな決まったように下半身に支配されているんだ？ もうどうでもいいから早く家に帰してほしい。 家に帰るために聖物探しの冒険が始まる。 秀一は果たして無事に元の世界に戻れるのか？</v>
      </c>
      <c r="W2074" s="14"/>
      <c r="X2074" s="14" t="str">
        <f>IFERROR(__xludf.DUMMYFUNCTION("""COMPUTED_VALUE"""),"有")</f>
        <v>有</v>
      </c>
      <c r="Y2074" s="8" t="str">
        <f>IFERROR(__xludf.DUMMYFUNCTION("""COMPUTED_VALUE"""),"2024/9/21まで1～7巻無料")</f>
        <v>2024/9/21まで1～7巻無料</v>
      </c>
      <c r="Z2074" s="7"/>
      <c r="AA2074" s="7"/>
      <c r="AB2074" s="7"/>
    </row>
    <row r="2075" ht="15.75" customHeight="1">
      <c r="A2075" s="76">
        <f>IFERROR(__xludf.DUMMYFUNCTION("""COMPUTED_VALUE"""),3721.0)</f>
        <v>3721</v>
      </c>
      <c r="B2075" s="69" t="str">
        <f>IFERROR(__xludf.DUMMYFUNCTION("""COMPUTED_VALUE"""),"確定")</f>
        <v>確定</v>
      </c>
      <c r="C2075" s="74">
        <f>IFERROR(__xludf.DUMMYFUNCTION("""COMPUTED_VALUE"""),45470.0)</f>
        <v>45470</v>
      </c>
      <c r="D2075" s="74">
        <f>IFERROR(__xludf.DUMMYFUNCTION("""COMPUTED_VALUE"""),45546.0)</f>
        <v>45546</v>
      </c>
      <c r="E2075" s="112">
        <f>IFERROR(__xludf.DUMMYFUNCTION("""COMPUTED_VALUE"""),303822.0)</f>
        <v>303822</v>
      </c>
      <c r="F2075" s="119" t="str">
        <f>IFERROR(__xludf.DUMMYFUNCTION("""COMPUTED_VALUE"""),"元聖女ヒロインの私、続編ではモブなのに全ステータス（好感度を含む）がカンストしているんですが")</f>
        <v>元聖女ヒロインの私、続編ではモブなのに全ステータス（好感度を含む）がカンストしているんですが</v>
      </c>
      <c r="G2075" s="69" t="str">
        <f>IFERROR(__xludf.DUMMYFUNCTION("""COMPUTED_VALUE"""),"1～5")</f>
        <v>1～5</v>
      </c>
      <c r="H2075" s="69" t="str">
        <f>IFERROR(__xludf.DUMMYFUNCTION("""COMPUTED_VALUE"""),"原作：琴子、漫画：madara")</f>
        <v>原作：琴子、漫画：madara</v>
      </c>
      <c r="I2075" s="79" t="str">
        <f>IFERROR(__xludf.DUMMYFUNCTION("""COMPUTED_VALUE"""),"女性")</f>
        <v>女性</v>
      </c>
      <c r="J2075" s="69"/>
      <c r="K2075" s="69"/>
      <c r="L2075" s="69" t="str">
        <f>IFERROR(__xludf.DUMMYFUNCTION("""COMPUTED_VALUE"""),"集英社")</f>
        <v>集英社</v>
      </c>
      <c r="M2075" s="77">
        <f>IFERROR(__xludf.DUMMYFUNCTION("""COMPUTED_VALUE"""),45575.0)</f>
        <v>45575</v>
      </c>
      <c r="N2075" s="59">
        <f>IFERROR(__xludf.DUMMYFUNCTION("""COMPUTED_VALUE"""),45605.0)</f>
        <v>45605</v>
      </c>
      <c r="O2075" s="69"/>
      <c r="P2075" s="120" t="str">
        <f>IFERROR(__xludf.DUMMYFUNCTION("""COMPUTED_VALUE"""),"否")</f>
        <v>否</v>
      </c>
      <c r="Q2075" s="69" t="str">
        <f>IFERROR(__xludf.DUMMYFUNCTION("""COMPUTED_VALUE"""),"レーベル名：マーガレットコミックスDIGITAL")</f>
        <v>レーベル名：マーガレットコミックスDIGITAL</v>
      </c>
      <c r="R2075" s="69" t="str">
        <f>IFERROR(__xludf.DUMMYFUNCTION("""COMPUTED_VALUE"""),"広告コミットOK(7/1)")</f>
        <v>広告コミットOK(7/1)</v>
      </c>
      <c r="S2075" s="69" t="str">
        <f>IFERROR(__xludf.DUMMYFUNCTION("""COMPUTED_VALUE"""),"20240905_集英社_元聖女ヒロインの私、続編ではモブなのに全ステータス（好感度を含む）がカンストしているんですが")</f>
        <v>20240905_集英社_元聖女ヒロインの私、続編ではモブなのに全ステータス（好感度を含む）がカンストしているんですが</v>
      </c>
      <c r="T2075" s="69" t="str">
        <f>IFERROR(__xludf.DUMMYFUNCTION("""COMPUTED_VALUE"""),"格納済み")</f>
        <v>格納済み</v>
      </c>
      <c r="U2075" s="15" t="str">
        <f>IFERROR(__xludf.DUMMYFUNCTION("""COMPUTED_VALUE"""),"©琴子・madara・藤丸豆ノ介／集英社")</f>
        <v>©琴子・madara・藤丸豆ノ介／集英社</v>
      </c>
      <c r="V2075" s="8" t="str">
        <f>IFERROR(__xludf.DUMMYFUNCTION("""COMPUTED_VALUE"""),"――生まれてから一度も、恋というものをしたことがなかった。恋愛経験ゼロの仁奈は、友人から勧められ、乙女ゲーム「剣と魔法のアドレセンス」をプレイするも、結果は友情大団円エンド。次こそは！　二周目に挑んだ瞬間、なんと、ヒロインの聖女・ニナとしてゲーム世界に転移していた！　仲間とともに冒険をして世界を救い、今回も友情大団円エンドを迎えたニナ。しかし、その晩、何者かに殺され、元の世界に戻ってしまう――。それから二年後。ニナは元の世界で、「剣と魔法のアドレセンス」の続編が出ていたことを知る。またあの世界に行きたい、"&amp;"みんなに会いたいと願うと、続編の世界に再び転移して――!?　【拗らせヤンデレ王子と、恋愛偏差値ゼロの元聖女の執着×ジレジレ×溺愛ロマンス！】")</f>
        <v>――生まれてから一度も、恋というものをしたことがなかった。恋愛経験ゼロの仁奈は、友人から勧められ、乙女ゲーム「剣と魔法のアドレセンス」をプレイするも、結果は友情大団円エンド。次こそは！　二周目に挑んだ瞬間、なんと、ヒロインの聖女・ニナとしてゲーム世界に転移していた！　仲間とともに冒険をして世界を救い、今回も友情大団円エンドを迎えたニナ。しかし、その晩、何者かに殺され、元の世界に戻ってしまう――。それから二年後。ニナは元の世界で、「剣と魔法のアドレセンス」の続編が出ていたことを知る。またあの世界に行きたい、みんなに会いたいと願うと、続編の世界に再び転移して――!?　【拗らせヤンデレ王子と、恋愛偏差値ゼロの元聖女の執着×ジレジレ×溺愛ロマンス！】</v>
      </c>
      <c r="W2075" s="14"/>
      <c r="X2075" s="14" t="str">
        <f>IFERROR(__xludf.DUMMYFUNCTION("""COMPUTED_VALUE"""),"有")</f>
        <v>有</v>
      </c>
      <c r="Y2075" s="8" t="str">
        <f>IFERROR(__xludf.DUMMYFUNCTION("""COMPUTED_VALUE"""),"2024/10/23まで1巻無料")</f>
        <v>2024/10/23まで1巻無料</v>
      </c>
      <c r="Z2075" s="7"/>
      <c r="AA2075" s="7"/>
      <c r="AB2075" s="7"/>
    </row>
    <row r="2076" ht="15.75" customHeight="1">
      <c r="A2076" s="76">
        <f>IFERROR(__xludf.DUMMYFUNCTION("""COMPUTED_VALUE"""),3723.0)</f>
        <v>3723</v>
      </c>
      <c r="B2076" s="69" t="str">
        <f>IFERROR(__xludf.DUMMYFUNCTION("""COMPUTED_VALUE"""),"確定")</f>
        <v>確定</v>
      </c>
      <c r="C2076" s="74">
        <f>IFERROR(__xludf.DUMMYFUNCTION("""COMPUTED_VALUE"""),45470.0)</f>
        <v>45470</v>
      </c>
      <c r="D2076" s="74">
        <f>IFERROR(__xludf.DUMMYFUNCTION("""COMPUTED_VALUE"""),45546.0)</f>
        <v>45546</v>
      </c>
      <c r="E2076" s="112">
        <f>IFERROR(__xludf.DUMMYFUNCTION("""COMPUTED_VALUE"""),304675.0)</f>
        <v>304675</v>
      </c>
      <c r="F2076" s="119" t="str">
        <f>IFERROR(__xludf.DUMMYFUNCTION("""COMPUTED_VALUE"""),"#違法ガール履歴書に書けない私の裏バイト")</f>
        <v>#違法ガール履歴書に書けない私の裏バイト</v>
      </c>
      <c r="G2076" s="69" t="str">
        <f>IFERROR(__xludf.DUMMYFUNCTION("""COMPUTED_VALUE"""),"1～3")</f>
        <v>1～3</v>
      </c>
      <c r="H2076" s="69" t="str">
        <f>IFERROR(__xludf.DUMMYFUNCTION("""COMPUTED_VALUE"""),"阿部ベア 原作／伊藤遥人 作画")</f>
        <v>阿部ベア 原作／伊藤遥人 作画</v>
      </c>
      <c r="I2076" s="79" t="str">
        <f>IFERROR(__xludf.DUMMYFUNCTION("""COMPUTED_VALUE"""),"青年")</f>
        <v>青年</v>
      </c>
      <c r="J2076" s="69"/>
      <c r="K2076" s="69"/>
      <c r="L2076" s="69" t="str">
        <f>IFERROR(__xludf.DUMMYFUNCTION("""COMPUTED_VALUE"""),"新潮社")</f>
        <v>新潮社</v>
      </c>
      <c r="M2076" s="77">
        <f>IFERROR(__xludf.DUMMYFUNCTION("""COMPUTED_VALUE"""),45590.0)</f>
        <v>45590</v>
      </c>
      <c r="N2076" s="74">
        <f>IFERROR(__xludf.DUMMYFUNCTION("""COMPUTED_VALUE"""),45712.0)</f>
        <v>45712</v>
      </c>
      <c r="O2076" s="69"/>
      <c r="P2076" s="120" t="str">
        <f>IFERROR(__xludf.DUMMYFUNCTION("""COMPUTED_VALUE"""),"可")</f>
        <v>可</v>
      </c>
      <c r="Q2076" s="69" t="str">
        <f>IFERROR(__xludf.DUMMYFUNCTION("""COMPUTED_VALUE"""),"前後編あわせて1巻分ですので、格納データが初回1～3巻分となります&lt;BR&gt;■下記、配信スケジュール詳細&lt;BR&gt;10/25 初回1～3話配信&lt;BR&gt;11/25 4話配信&lt;BR&gt;12/25 5話配信&lt;BR&gt;1/25 6話配信（仮）&lt;BR&gt;2/7 単行本1巻発売（1～5話）&lt;BR&gt;2/25 1～5話他社解禁")</f>
        <v>前後編あわせて1巻分ですので、格納データが初回1～3巻分となります&lt;BR&gt;■下記、配信スケジュール詳細&lt;BR&gt;10/25 初回1～3話配信&lt;BR&gt;11/25 4話配信&lt;BR&gt;12/25 5話配信&lt;BR&gt;1/25 6話配信（仮）&lt;BR&gt;2/7 単行本1巻発売（1～5話）&lt;BR&gt;2/25 1～5話他社解禁</v>
      </c>
      <c r="R2076" s="69" t="str">
        <f>IFERROR(__xludf.DUMMYFUNCTION("""COMPUTED_VALUE"""),"広告コミットOK(7/4)")</f>
        <v>広告コミットOK(7/4)</v>
      </c>
      <c r="S2076" s="69" t="str">
        <f>IFERROR(__xludf.DUMMYFUNCTION("""COMPUTED_VALUE"""),"20240911_新潮社_#違法ガール履歴書に書けない私の裏バイト")</f>
        <v>20240911_新潮社_#違法ガール履歴書に書けない私の裏バイト</v>
      </c>
      <c r="T2076" s="69" t="str">
        <f>IFERROR(__xludf.DUMMYFUNCTION("""COMPUTED_VALUE"""),"格納済み")</f>
        <v>格納済み</v>
      </c>
      <c r="U2076" s="15" t="str">
        <f>IFERROR(__xludf.DUMMYFUNCTION("""COMPUTED_VALUE"""),"©阿部ベア 伊藤遥人／新潮社")</f>
        <v>©阿部ベア 伊藤遥人／新潮社</v>
      </c>
      <c r="V2076" s="8" t="str">
        <f>IFERROR(__xludf.DUMMYFUNCTION("""COMPUTED_VALUE"""),"第1部は「ビンタ1，000円」のオプションが話題になり、社会問題にまで発展した“JKリフレ”がテーマの「リフレガール」編。主人公はどこにでもいる普通の大学1年・加奈子。友達に誘われ、とある事情から「リフレ」で勤務することになり――。※この物語は取材をもとに構成したフィクションです。実在の人物・団体・事件などには一切関係ありません。")</f>
        <v>第1部は「ビンタ1，000円」のオプションが話題になり、社会問題にまで発展した“JKリフレ”がテーマの「リフレガール」編。主人公はどこにでもいる普通の大学1年・加奈子。友達に誘われ、とある事情から「リフレ」で勤務することになり――。※この物語は取材をもとに構成したフィクションです。実在の人物・団体・事件などには一切関係ありません。</v>
      </c>
      <c r="W2076" s="14"/>
      <c r="X2076" s="14" t="str">
        <f>IFERROR(__xludf.DUMMYFUNCTION("""COMPUTED_VALUE"""),"有")</f>
        <v>有</v>
      </c>
      <c r="Y2076" s="8" t="str">
        <f>IFERROR(__xludf.DUMMYFUNCTION("""COMPUTED_VALUE"""),"P5まで")</f>
        <v>P5まで</v>
      </c>
      <c r="Z2076" s="7"/>
      <c r="AA2076" s="7"/>
      <c r="AB2076" s="7"/>
    </row>
    <row r="2077" ht="15.75" customHeight="1">
      <c r="A2077" s="76">
        <f>IFERROR(__xludf.DUMMYFUNCTION("""COMPUTED_VALUE"""),3808.0)</f>
        <v>3808</v>
      </c>
      <c r="B2077" s="69" t="str">
        <f>IFERROR(__xludf.DUMMYFUNCTION("""COMPUTED_VALUE"""),"確定")</f>
        <v>確定</v>
      </c>
      <c r="C2077" s="74">
        <f>IFERROR(__xludf.DUMMYFUNCTION("""COMPUTED_VALUE"""),45490.0)</f>
        <v>45490</v>
      </c>
      <c r="D2077" s="74">
        <f>IFERROR(__xludf.DUMMYFUNCTION("""COMPUTED_VALUE"""),45545.0)</f>
        <v>45545</v>
      </c>
      <c r="E2077" s="109">
        <f>IFERROR(__xludf.DUMMYFUNCTION("""COMPUTED_VALUE"""),301523.0)</f>
        <v>301523</v>
      </c>
      <c r="F2077" s="20" t="str">
        <f>IFERROR(__xludf.DUMMYFUNCTION("""COMPUTED_VALUE"""),"幼馴染とエロゲに転移～呪われたカラダは王子と浄化（セックス）しないと死ぬ運命！？")</f>
        <v>幼馴染とエロゲに転移～呪われたカラダは王子と浄化（セックス）しないと死ぬ運命！？</v>
      </c>
      <c r="G2077" s="69" t="str">
        <f>IFERROR(__xludf.DUMMYFUNCTION("""COMPUTED_VALUE"""),"1～2")</f>
        <v>1～2</v>
      </c>
      <c r="H2077" s="69" t="str">
        <f>IFERROR(__xludf.DUMMYFUNCTION("""COMPUTED_VALUE"""),"香澄タベル")</f>
        <v>香澄タベル</v>
      </c>
      <c r="I2077" s="69" t="str">
        <f>IFERROR(__xludf.DUMMYFUNCTION("""COMPUTED_VALUE"""),"TL")</f>
        <v>TL</v>
      </c>
      <c r="J2077" s="69"/>
      <c r="K2077" s="69"/>
      <c r="L2077" s="69" t="str">
        <f>IFERROR(__xludf.DUMMYFUNCTION("""COMPUTED_VALUE"""),"CLLENN")</f>
        <v>CLLENN</v>
      </c>
      <c r="M2077" s="59">
        <f>IFERROR(__xludf.DUMMYFUNCTION("""COMPUTED_VALUE"""),45552.0)</f>
        <v>45552</v>
      </c>
      <c r="N2077" s="77">
        <f>IFERROR(__xludf.DUMMYFUNCTION("""COMPUTED_VALUE"""),45614.0)</f>
        <v>45614</v>
      </c>
      <c r="O2077" s="69"/>
      <c r="P2077" s="120" t="str">
        <f>IFERROR(__xludf.DUMMYFUNCTION("""COMPUTED_VALUE"""),"可")</f>
        <v>可</v>
      </c>
      <c r="Q2077" s="69" t="str">
        <f>IFERROR(__xludf.DUMMYFUNCTION("""COMPUTED_VALUE"""),"TLレーベル名：TL★オトメチカ&lt;BR&gt;&lt;BR&gt;")</f>
        <v>TLレーベル名：TL★オトメチカ&lt;BR&gt;&lt;BR&gt;</v>
      </c>
      <c r="R2077" s="69" t="str">
        <f>IFERROR(__xludf.DUMMYFUNCTION("""COMPUTED_VALUE"""),"広告コミットOK(7/29)")</f>
        <v>広告コミットOK(7/29)</v>
      </c>
      <c r="S2077" s="69" t="str">
        <f>IFERROR(__xludf.DUMMYFUNCTION("""COMPUTED_VALUE"""),"20240910_CLLENN_幼馴染とエロゲに転移～呪われたカラダは王子と浄化（セックス）しないと死ぬ運命！？")</f>
        <v>20240910_CLLENN_幼馴染とエロゲに転移～呪われたカラダは王子と浄化（セックス）しないと死ぬ運命！？</v>
      </c>
      <c r="T2077" s="69" t="str">
        <f>IFERROR(__xludf.DUMMYFUNCTION("""COMPUTED_VALUE"""),"格納済み")</f>
        <v>格納済み</v>
      </c>
      <c r="U2077" s="15" t="str">
        <f>IFERROR(__xludf.DUMMYFUNCTION("""COMPUTED_VALUE"""),"(C)香澄タベル/CLLENN")</f>
        <v>(C)香澄タベル/CLLENN</v>
      </c>
      <c r="V2077" s="8" t="str">
        <f>IFERROR(__xludf.DUMMYFUNCTION("""COMPUTED_VALUE"""),"俺が姫で、アイツが王子！？ゲーム会社に勤める幼馴染の芽吹と蓮は、18禁乙女ゲームの世界に突然転移してしまう。芽吹が目を覚ますとイケメン王子とＨの真っ最中で…って俺、ゲームのヒロイン・ティア姫になってる！？“死の呪い”を解くには、相手の王子・アレク（中身は蓮）に精を注がれないといけなくて。アレクの強引な舌と指で心も身体もぐちゃぐちゃに！「もう…我慢できない」やっと繋がれた喜びがナカから溢れて止まらない…っ。この胸の高鳴りはティアのもの？それとも…？次元も性別も感情も複雑に交差して絡み合う異世界トリップラブス"&amp;"トーリー！――なんで…？名前を呼ばれると「だめ、イッちゃう……っ！」")</f>
        <v>俺が姫で、アイツが王子！？ゲーム会社に勤める幼馴染の芽吹と蓮は、18禁乙女ゲームの世界に突然転移してしまう。芽吹が目を覚ますとイケメン王子とＨの真っ最中で…って俺、ゲームのヒロイン・ティア姫になってる！？“死の呪い”を解くには、相手の王子・アレク（中身は蓮）に精を注がれないといけなくて。アレクの強引な舌と指で心も身体もぐちゃぐちゃに！「もう…我慢できない」やっと繋がれた喜びがナカから溢れて止まらない…っ。この胸の高鳴りはティアのもの？それとも…？次元も性別も感情も複雑に交差して絡み合う異世界トリップラブストーリー！――なんで…？名前を呼ばれると「だめ、イッちゃう……っ！」</v>
      </c>
      <c r="W2077" s="14"/>
      <c r="X2077" s="14" t="str">
        <f>IFERROR(__xludf.DUMMYFUNCTION("""COMPUTED_VALUE"""),"有")</f>
        <v>有</v>
      </c>
      <c r="Y2077" s="8" t="str">
        <f>IFERROR(__xludf.DUMMYFUNCTION("""COMPUTED_VALUE"""),"2024/9/30まで立ち読み増量P20まで")</f>
        <v>2024/9/30まで立ち読み増量P20まで</v>
      </c>
      <c r="Z2077" s="7"/>
      <c r="AA2077" s="7"/>
      <c r="AB2077" s="7"/>
    </row>
    <row r="2078" ht="15.75" customHeight="1">
      <c r="A2078" s="76">
        <f>IFERROR(__xludf.DUMMYFUNCTION("""COMPUTED_VALUE"""),3934.0)</f>
        <v>3934</v>
      </c>
      <c r="B2078" s="69" t="str">
        <f>IFERROR(__xludf.DUMMYFUNCTION("""COMPUTED_VALUE"""),"確定")</f>
        <v>確定</v>
      </c>
      <c r="C2078" s="74">
        <f>IFERROR(__xludf.DUMMYFUNCTION("""COMPUTED_VALUE"""),45511.0)</f>
        <v>45511</v>
      </c>
      <c r="D2078" s="74">
        <f>IFERROR(__xludf.DUMMYFUNCTION("""COMPUTED_VALUE"""),45546.0)</f>
        <v>45546</v>
      </c>
      <c r="E2078" s="112">
        <f>IFERROR(__xludf.DUMMYFUNCTION("""COMPUTED_VALUE"""),302978.0)</f>
        <v>302978</v>
      </c>
      <c r="F2078" s="119" t="str">
        <f>IFERROR(__xludf.DUMMYFUNCTION("""COMPUTED_VALUE"""),"サレ妻、女性用風俗で昔の推しと再会しました")</f>
        <v>サレ妻、女性用風俗で昔の推しと再会しました</v>
      </c>
      <c r="G2078" s="69" t="str">
        <f>IFERROR(__xludf.DUMMYFUNCTION("""COMPUTED_VALUE"""),"1～2")</f>
        <v>1～2</v>
      </c>
      <c r="H2078" s="69" t="str">
        <f>IFERROR(__xludf.DUMMYFUNCTION("""COMPUTED_VALUE"""),"明太ぽてこ")</f>
        <v>明太ぽてこ</v>
      </c>
      <c r="I2078" s="69" t="str">
        <f>IFERROR(__xludf.DUMMYFUNCTION("""COMPUTED_VALUE"""),"女性")</f>
        <v>女性</v>
      </c>
      <c r="J2078" s="69"/>
      <c r="K2078" s="69"/>
      <c r="L2078" s="69" t="str">
        <f>IFERROR(__xludf.DUMMYFUNCTION("""COMPUTED_VALUE"""),"CLLENN")</f>
        <v>CLLENN</v>
      </c>
      <c r="M2078" s="59">
        <f>IFERROR(__xludf.DUMMYFUNCTION("""COMPUTED_VALUE"""),45562.0)</f>
        <v>45562</v>
      </c>
      <c r="N2078" s="77">
        <f>IFERROR(__xludf.DUMMYFUNCTION("""COMPUTED_VALUE"""),45624.0)</f>
        <v>45624</v>
      </c>
      <c r="O2078" s="69"/>
      <c r="P2078" s="120" t="str">
        <f>IFERROR(__xludf.DUMMYFUNCTION("""COMPUTED_VALUE"""),"可")</f>
        <v>可</v>
      </c>
      <c r="Q2078" s="69" t="str">
        <f>IFERROR(__xludf.DUMMYFUNCTION("""COMPUTED_VALUE"""),"レーベル名：ropopo")</f>
        <v>レーベル名：ropopo</v>
      </c>
      <c r="R2078" s="69" t="str">
        <f>IFERROR(__xludf.DUMMYFUNCTION("""COMPUTED_VALUE"""),"広告コミットOK（8/9）")</f>
        <v>広告コミットOK（8/9）</v>
      </c>
      <c r="S2078" s="69" t="str">
        <f>IFERROR(__xludf.DUMMYFUNCTION("""COMPUTED_VALUE"""),"20240910_CLLENN_サレ妻、女性用風俗で昔の推しと再会しました")</f>
        <v>20240910_CLLENN_サレ妻、女性用風俗で昔の推しと再会しました</v>
      </c>
      <c r="T2078" s="79" t="str">
        <f>IFERROR(__xludf.DUMMYFUNCTION("""COMPUTED_VALUE"""),"格納済み")</f>
        <v>格納済み</v>
      </c>
      <c r="U2078" s="15" t="str">
        <f>IFERROR(__xludf.DUMMYFUNCTION("""COMPUTED_VALUE"""),"(C)明太ぽてこ/CLLENN")</f>
        <v>(C)明太ぽてこ/CLLENN</v>
      </c>
      <c r="V2078" s="8" t="str">
        <f>IFERROR(__xludf.DUMMYFUNCTION("""COMPUTED_VALUE"""),"優しかった夫の不倫が発覚した日、ショックで家を出た結子は勢いに任せてホテルに女性用風俗を呼んでしまう。そこに来たのは学生時代に熱中していた「推し」、涼介くんだった！彼は私のことなんか覚えていないよね…それでも誰かに大切にしてもらう感覚は久しぶりで彼の言葉と暖かい手に心が癒やされる。人生最悪の日、再会からはじまるラブストーリー")</f>
        <v>優しかった夫の不倫が発覚した日、ショックで家を出た結子は勢いに任せてホテルに女性用風俗を呼んでしまう。そこに来たのは学生時代に熱中していた「推し」、涼介くんだった！彼は私のことなんか覚えていないよね…それでも誰かに大切にしてもらう感覚は久しぶりで彼の言葉と暖かい手に心が癒やされる。人生最悪の日、再会からはじまるラブストーリー</v>
      </c>
      <c r="W2078" s="14"/>
      <c r="X2078" s="14" t="str">
        <f>IFERROR(__xludf.DUMMYFUNCTION("""COMPUTED_VALUE"""),"有")</f>
        <v>有</v>
      </c>
      <c r="Y2078" s="8" t="str">
        <f>IFERROR(__xludf.DUMMYFUNCTION("""COMPUTED_VALUE"""),"2024/10/10まで立ち読み増量P16まで")</f>
        <v>2024/10/10まで立ち読み増量P16まで</v>
      </c>
      <c r="Z2078" s="7"/>
      <c r="AA2078" s="7"/>
      <c r="AB2078" s="7"/>
    </row>
    <row r="2079" ht="15.75" customHeight="1">
      <c r="A2079" s="76">
        <f>IFERROR(__xludf.DUMMYFUNCTION("""COMPUTED_VALUE"""),3942.0)</f>
        <v>3942</v>
      </c>
      <c r="B2079" s="69" t="str">
        <f>IFERROR(__xludf.DUMMYFUNCTION("""COMPUTED_VALUE"""),"確定")</f>
        <v>確定</v>
      </c>
      <c r="C2079" s="74">
        <f>IFERROR(__xludf.DUMMYFUNCTION("""COMPUTED_VALUE"""),45512.0)</f>
        <v>45512</v>
      </c>
      <c r="D2079" s="74">
        <f>IFERROR(__xludf.DUMMYFUNCTION("""COMPUTED_VALUE"""),45544.0)</f>
        <v>45544</v>
      </c>
      <c r="E2079" s="112">
        <f>IFERROR(__xludf.DUMMYFUNCTION("""COMPUTED_VALUE"""),303733.0)</f>
        <v>303733</v>
      </c>
      <c r="F2079" s="119" t="str">
        <f>IFERROR(__xludf.DUMMYFUNCTION("""COMPUTED_VALUE"""),"俺とフェスに来た女友達がテントでヤリチ〇達に突かれまくってた話")</f>
        <v>俺とフェスに来た女友達がテントでヤリチ〇達に突かれまくってた話</v>
      </c>
      <c r="G2079" s="69" t="str">
        <f>IFERROR(__xludf.DUMMYFUNCTION("""COMPUTED_VALUE"""),"1～3")</f>
        <v>1～3</v>
      </c>
      <c r="H2079" s="69" t="str">
        <f>IFERROR(__xludf.DUMMYFUNCTION("""COMPUTED_VALUE"""),"prhs")</f>
        <v>prhs</v>
      </c>
      <c r="I2079" s="69" t="str">
        <f>IFERROR(__xludf.DUMMYFUNCTION("""COMPUTED_VALUE"""),"オトナ")</f>
        <v>オトナ</v>
      </c>
      <c r="J2079" s="69"/>
      <c r="K2079" s="69"/>
      <c r="L2079" s="69" t="str">
        <f>IFERROR(__xludf.DUMMYFUNCTION("""COMPUTED_VALUE"""),"CLLENN(DEEPER-ZERO)")</f>
        <v>CLLENN(DEEPER-ZERO)</v>
      </c>
      <c r="M2079" s="23">
        <f>IFERROR(__xludf.DUMMYFUNCTION("""COMPUTED_VALUE"""),45570.0)</f>
        <v>45570</v>
      </c>
      <c r="N2079" s="23">
        <f>IFERROR(__xludf.DUMMYFUNCTION("""COMPUTED_VALUE"""),45632.0)</f>
        <v>45632</v>
      </c>
      <c r="O2079" s="69"/>
      <c r="P2079" s="120" t="str">
        <f>IFERROR(__xludf.DUMMYFUNCTION("""COMPUTED_VALUE"""),"可")</f>
        <v>可</v>
      </c>
      <c r="Q2079" s="69" t="str">
        <f>IFERROR(__xludf.DUMMYFUNCTION("""COMPUTED_VALUE"""),"レーベル名：もえスタビースト&lt;BR&gt;・ファイル名は下記の通りです。&lt;BR&gt; 1-3話＝１話&lt;BR&gt; 4-6話＝２話&lt;BR&gt; 7-9話＝３話&lt;BR&gt;・備考&lt;BR&gt; 過去ウェイブ様から「八百万姦」というヒット作品を執筆していた作家さんの新作となります。")</f>
        <v>レーベル名：もえスタビースト&lt;BR&gt;・ファイル名は下記の通りです。&lt;BR&gt; 1-3話＝１話&lt;BR&gt; 4-6話＝２話&lt;BR&gt; 7-9話＝３話&lt;BR&gt;・備考&lt;BR&gt; 過去ウェイブ様から「八百万姦」というヒット作品を執筆していた作家さんの新作となります。</v>
      </c>
      <c r="R2079" s="69" t="str">
        <f>IFERROR(__xludf.DUMMYFUNCTION("""COMPUTED_VALUE"""),"広告コミットOK（8/9）")</f>
        <v>広告コミットOK（8/9）</v>
      </c>
      <c r="S2079" s="69" t="str">
        <f>IFERROR(__xludf.DUMMYFUNCTION("""COMPUTED_VALUE"""),"20240909_DEEPER-ZERO_俺とフェスに来た女友達がテントでヤリチ〇達に突かれまくってた話")</f>
        <v>20240909_DEEPER-ZERO_俺とフェスに来た女友達がテントでヤリチ〇達に突かれまくってた話</v>
      </c>
      <c r="T2079" s="69" t="str">
        <f>IFERROR(__xludf.DUMMYFUNCTION("""COMPUTED_VALUE"""),"格納済み")</f>
        <v>格納済み</v>
      </c>
      <c r="U2079" s="15" t="str">
        <f>IFERROR(__xludf.DUMMYFUNCTION("""COMPUTED_VALUE"""),"(C)prhs/DEEPER-ZERO")</f>
        <v>(C)prhs/DEEPER-ZERO</v>
      </c>
      <c r="V2079" s="8" t="str">
        <f>IFERROR(__xludf.DUMMYFUNCTION("""COMPUTED_VALUE"""),"「こんなところ…あいつに見られたらッ！」──友達だと思ってたけど最近気になる颯太とひょんなことから二人きりでフェスに行くことに！二人きりで2泊することにドキドキしていたら、暑さにやられてしまった私を助けてくれた男女グループとBBQをすることに。酔っぱらってテントで寝てしまったら昼に助けてくれた人たちがSEXしていて…！？「君も起きてるんでしょ？」と無理矢理服を脱がされ…こんなの嫌なはずなのに、私感じちゃってるの…！？外には颯太もいるのに…バレたらまずいのに…エッチな声がガマンできない！！────出会って間"&amp;"もない人たちに激しく突かれてイくの止まらない、乱れた三日間。")</f>
        <v>「こんなところ…あいつに見られたらッ！」──友達だと思ってたけど最近気になる颯太とひょんなことから二人きりでフェスに行くことに！二人きりで2泊することにドキドキしていたら、暑さにやられてしまった私を助けてくれた男女グループとBBQをすることに。酔っぱらってテントで寝てしまったら昼に助けてくれた人たちがSEXしていて…！？「君も起きてるんでしょ？」と無理矢理服を脱がされ…こんなの嫌なはずなのに、私感じちゃってるの…！？外には颯太もいるのに…バレたらまずいのに…エッチな声がガマンできない！！────出会って間もない人たちに激しく突かれてイくの止まらない、乱れた三日間。</v>
      </c>
      <c r="W2079" s="14"/>
      <c r="X2079" s="14" t="str">
        <f>IFERROR(__xludf.DUMMYFUNCTION("""COMPUTED_VALUE"""),"有")</f>
        <v>有</v>
      </c>
      <c r="Y2079" s="8" t="str">
        <f>IFERROR(__xludf.DUMMYFUNCTION("""COMPUTED_VALUE"""),"2024/10/18まで1巻無料")</f>
        <v>2024/10/18まで1巻無料</v>
      </c>
      <c r="Z2079" s="7"/>
      <c r="AA2079" s="7"/>
      <c r="AB2079" s="7"/>
    </row>
    <row r="2080" ht="15.75" customHeight="1">
      <c r="A2080" s="76">
        <f>IFERROR(__xludf.DUMMYFUNCTION("""COMPUTED_VALUE"""),4063.0)</f>
        <v>4063</v>
      </c>
      <c r="B2080" s="69" t="str">
        <f>IFERROR(__xludf.DUMMYFUNCTION("""COMPUTED_VALUE"""),"確定")</f>
        <v>確定</v>
      </c>
      <c r="C2080" s="74">
        <f>IFERROR(__xludf.DUMMYFUNCTION("""COMPUTED_VALUE"""),45537.0)</f>
        <v>45537</v>
      </c>
      <c r="D2080" s="74">
        <f>IFERROR(__xludf.DUMMYFUNCTION("""COMPUTED_VALUE"""),45541.0)</f>
        <v>45541</v>
      </c>
      <c r="E2080" s="112">
        <f>IFERROR(__xludf.DUMMYFUNCTION("""COMPUTED_VALUE"""),303466.0)</f>
        <v>303466</v>
      </c>
      <c r="F2080" s="119" t="str">
        <f>IFERROR(__xludf.DUMMYFUNCTION("""COMPUTED_VALUE"""),"あと3秒待ってやる！傲慢王子は元婚約者に謝罪を要求します～え？俺が悪いんですか？～")</f>
        <v>あと3秒待ってやる！傲慢王子は元婚約者に謝罪を要求します～え？俺が悪いんですか？～</v>
      </c>
      <c r="G2080" s="69" t="str">
        <f>IFERROR(__xludf.DUMMYFUNCTION("""COMPUTED_VALUE"""),"1～3")</f>
        <v>1～3</v>
      </c>
      <c r="H2080" s="69" t="str">
        <f>IFERROR(__xludf.DUMMYFUNCTION("""COMPUTED_VALUE"""),"ゆづきち")</f>
        <v>ゆづきち</v>
      </c>
      <c r="I2080" s="69" t="str">
        <f>IFERROR(__xludf.DUMMYFUNCTION("""COMPUTED_VALUE"""),"女性")</f>
        <v>女性</v>
      </c>
      <c r="J2080" s="69"/>
      <c r="K2080" s="69"/>
      <c r="L2080" s="69" t="str">
        <f>IFERROR(__xludf.DUMMYFUNCTION("""COMPUTED_VALUE"""),"パルプライド")</f>
        <v>パルプライド</v>
      </c>
      <c r="M2080" s="23">
        <f>IFERROR(__xludf.DUMMYFUNCTION("""COMPUTED_VALUE"""),45573.0)</f>
        <v>45573</v>
      </c>
      <c r="N2080" s="74">
        <f>IFERROR(__xludf.DUMMYFUNCTION("""COMPUTED_VALUE"""),45664.0)</f>
        <v>45664</v>
      </c>
      <c r="O2080" s="69"/>
      <c r="P2080" s="120" t="str">
        <f>IFERROR(__xludf.DUMMYFUNCTION("""COMPUTED_VALUE"""),"可")</f>
        <v>可</v>
      </c>
      <c r="Q2080" s="69" t="str">
        <f>IFERROR(__xludf.DUMMYFUNCTION("""COMPUTED_VALUE"""),"※先行期間中、本タイトルの1話を無料予定")</f>
        <v>※先行期間中、本タイトルの1話を無料予定</v>
      </c>
      <c r="R2080" s="69" t="str">
        <f>IFERROR(__xludf.DUMMYFUNCTION("""COMPUTED_VALUE"""),"広告コミットOK(9/5)")</f>
        <v>広告コミットOK(9/5)</v>
      </c>
      <c r="S2080" s="69" t="str">
        <f>IFERROR(__xludf.DUMMYFUNCTION("""COMPUTED_VALUE"""),"20240905_パルプライド_あと3秒待ってやる！傲慢王子は元婚約者に謝罪を要求します～え？俺が悪いんですか？～")</f>
        <v>20240905_パルプライド_あと3秒待ってやる！傲慢王子は元婚約者に謝罪を要求します～え？俺が悪いんですか？～</v>
      </c>
      <c r="T2080" s="69" t="str">
        <f>IFERROR(__xludf.DUMMYFUNCTION("""COMPUTED_VALUE"""),"格納済み")</f>
        <v>格納済み</v>
      </c>
      <c r="U2080" s="15" t="str">
        <f>IFERROR(__xludf.DUMMYFUNCTION("""COMPUTED_VALUE"""),"©ゆづきち/パルプライド")</f>
        <v>©ゆづきち/パルプライド</v>
      </c>
      <c r="V2080" s="8" t="str">
        <f>IFERROR(__xludf.DUMMYFUNCTION("""COMPUTED_VALUE"""),"「お前との婚約は破棄だ！」
そう高らかに宣言した太陽ノ国第一王子イアンは、翌日国王に呼び出されこう告げられる。
「お前の王位継承権ははく奪だ！このバカ息子！」
我儘・強欲・甘ったれ
第一王子として祖母に甘やかされまくったイアンは見事な三文安へと成長した。
自分が気に入らないからと勝手に婚約を破棄したことにより、国交の損害として多額の慰謝料が発生。
その責任を負うため王位継承権をはく奪されてしまう。
国王に勘当され、王城から追放されたイアンは、
何故か全てマーガレッタの思惑だと勘"&amp;"違いをしてしまう。
【毎週第２火曜配信予定】")</f>
        <v>「お前との婚約は破棄だ！」
そう高らかに宣言した太陽ノ国第一王子イアンは、翌日国王に呼び出されこう告げられる。
「お前の王位継承権ははく奪だ！このバカ息子！」
我儘・強欲・甘ったれ
第一王子として祖母に甘やかされまくったイアンは見事な三文安へと成長した。
自分が気に入らないからと勝手に婚約を破棄したことにより、国交の損害として多額の慰謝料が発生。
その責任を負うため王位継承権をはく奪されてしまう。
国王に勘当され、王城から追放されたイアンは、
何故か全てマーガレッタの思惑だと勘違いをしてしまう。
【毎週第２火曜配信予定】</v>
      </c>
      <c r="W2080" s="14"/>
      <c r="X2080" s="14" t="str">
        <f>IFERROR(__xludf.DUMMYFUNCTION("""COMPUTED_VALUE"""),"有")</f>
        <v>有</v>
      </c>
      <c r="Y2080" s="8" t="str">
        <f>IFERROR(__xludf.DUMMYFUNCTION("""COMPUTED_VALUE"""),"2025/1/7まで1巻無料")</f>
        <v>2025/1/7まで1巻無料</v>
      </c>
      <c r="Z2080" s="7"/>
      <c r="AA2080" s="7"/>
      <c r="AB2080" s="7"/>
    </row>
    <row r="2081" ht="15.75" customHeight="1">
      <c r="A2081" s="76">
        <f>IFERROR(__xludf.DUMMYFUNCTION("""COMPUTED_VALUE"""),4065.0)</f>
        <v>4065</v>
      </c>
      <c r="B2081" s="69" t="str">
        <f>IFERROR(__xludf.DUMMYFUNCTION("""COMPUTED_VALUE"""),"確定")</f>
        <v>確定</v>
      </c>
      <c r="C2081" s="74">
        <f>IFERROR(__xludf.DUMMYFUNCTION("""COMPUTED_VALUE"""),45537.0)</f>
        <v>45537</v>
      </c>
      <c r="D2081" s="74">
        <f>IFERROR(__xludf.DUMMYFUNCTION("""COMPUTED_VALUE"""),45541.0)</f>
        <v>45541</v>
      </c>
      <c r="E2081" s="112">
        <f>IFERROR(__xludf.DUMMYFUNCTION("""COMPUTED_VALUE"""),303801.0)</f>
        <v>303801</v>
      </c>
      <c r="F2081" s="119" t="str">
        <f>IFERROR(__xludf.DUMMYFUNCTION("""COMPUTED_VALUE"""),"となりの黒川さん")</f>
        <v>となりの黒川さん</v>
      </c>
      <c r="G2081" s="69" t="str">
        <f>IFERROR(__xludf.DUMMYFUNCTION("""COMPUTED_VALUE"""),"1～4")</f>
        <v>1～4</v>
      </c>
      <c r="H2081" s="69" t="str">
        <f>IFERROR(__xludf.DUMMYFUNCTION("""COMPUTED_VALUE"""),"伊藤京介")</f>
        <v>伊藤京介</v>
      </c>
      <c r="I2081" s="79" t="str">
        <f>IFERROR(__xludf.DUMMYFUNCTION("""COMPUTED_VALUE"""),"少年")</f>
        <v>少年</v>
      </c>
      <c r="J2081" s="69"/>
      <c r="K2081" s="69"/>
      <c r="L2081" s="69" t="str">
        <f>IFERROR(__xludf.DUMMYFUNCTION("""COMPUTED_VALUE"""),"講談社")</f>
        <v>講談社</v>
      </c>
      <c r="M2081" s="23">
        <f>IFERROR(__xludf.DUMMYFUNCTION("""COMPUTED_VALUE"""),45574.0)</f>
        <v>45574</v>
      </c>
      <c r="N2081" s="74">
        <f>IFERROR(__xludf.DUMMYFUNCTION("""COMPUTED_VALUE"""),45665.0)</f>
        <v>45665</v>
      </c>
      <c r="O2081" s="69"/>
      <c r="P2081" s="120" t="str">
        <f>IFERROR(__xludf.DUMMYFUNCTION("""COMPUTED_VALUE"""),"否")</f>
        <v>否</v>
      </c>
      <c r="Q2081" s="111" t="str">
        <f>IFERROR(__xludf.DUMMYFUNCTION("""COMPUTED_VALUE"""),"男性作品強化施策で獲得した作品（河上さんコミット済み）")</f>
        <v>男性作品強化施策で獲得した作品（河上さんコミット済み）</v>
      </c>
      <c r="R2081" s="69"/>
      <c r="S2081" s="69" t="str">
        <f>IFERROR(__xludf.DUMMYFUNCTION("""COMPUTED_VALUE"""),"20240906_講談社_となりの黒川さん")</f>
        <v>20240906_講談社_となりの黒川さん</v>
      </c>
      <c r="T2081" s="69" t="str">
        <f>IFERROR(__xludf.DUMMYFUNCTION("""COMPUTED_VALUE"""),"格納済み")</f>
        <v>格納済み</v>
      </c>
      <c r="U2081" s="15" t="str">
        <f>IFERROR(__xludf.DUMMYFUNCTION("""COMPUTED_VALUE"""),"（C）伊藤京介/講談社")</f>
        <v>（C）伊藤京介/講談社</v>
      </c>
      <c r="V2081" s="8" t="str">
        <f>IFERROR(__xludf.DUMMYFUNCTION("""COMPUTED_VALUE"""),"些細だけど大切な、僕と彼女の秘密ーー。大好きな漫画の聖地、それだけが理由で秀美高校に入学した主人公・高橋一。学内はどこに行っても作品に出てきた聖地だらけで大興奮！そんな中、高橋は大好きな作品のヒロインそっくりな美少女・黒川弥生と出会い、とある秘密を共有することに――。不器用な2人が織りなす甘酸っぱくて、ニヤニヤしちゃう青春ラブコメ!!【第1話「彼女はヒロイン？」を収録】")</f>
        <v>些細だけど大切な、僕と彼女の秘密ーー。大好きな漫画の聖地、それだけが理由で秀美高校に入学した主人公・高橋一。学内はどこに行っても作品に出てきた聖地だらけで大興奮！そんな中、高橋は大好きな作品のヒロインそっくりな美少女・黒川弥生と出会い、とある秘密を共有することに――。不器用な2人が織りなす甘酸っぱくて、ニヤニヤしちゃう青春ラブコメ!!【第1話「彼女はヒロイン？」を収録】</v>
      </c>
      <c r="W2081" s="14"/>
      <c r="X2081" s="14" t="str">
        <f>IFERROR(__xludf.DUMMYFUNCTION("""COMPUTED_VALUE"""),"有")</f>
        <v>有</v>
      </c>
      <c r="Y2081" s="8" t="str">
        <f>IFERROR(__xludf.DUMMYFUNCTION("""COMPUTED_VALUE"""),"2024/12/8まで1巻無料")</f>
        <v>2024/12/8まで1巻無料</v>
      </c>
      <c r="Z2081" s="7"/>
      <c r="AA2081" s="7"/>
      <c r="AB2081" s="7"/>
    </row>
    <row r="2082" ht="15.75" customHeight="1">
      <c r="A2082" s="76">
        <f>IFERROR(__xludf.DUMMYFUNCTION("""COMPUTED_VALUE"""),4074.0)</f>
        <v>4074</v>
      </c>
      <c r="B2082" s="69" t="str">
        <f>IFERROR(__xludf.DUMMYFUNCTION("""COMPUTED_VALUE"""),"確定")</f>
        <v>確定</v>
      </c>
      <c r="C2082" s="74">
        <f>IFERROR(__xludf.DUMMYFUNCTION("""COMPUTED_VALUE"""),45537.0)</f>
        <v>45537</v>
      </c>
      <c r="D2082" s="74">
        <f>IFERROR(__xludf.DUMMYFUNCTION("""COMPUTED_VALUE"""),45541.0)</f>
        <v>45541</v>
      </c>
      <c r="E2082" s="112">
        <f>IFERROR(__xludf.DUMMYFUNCTION("""COMPUTED_VALUE"""),303955.0)</f>
        <v>303955</v>
      </c>
      <c r="F2082" s="119" t="str">
        <f>IFERROR(__xludf.DUMMYFUNCTION("""COMPUTED_VALUE"""),"情シスくんと仕様はギャルのアリスさん")</f>
        <v>情シスくんと仕様はギャルのアリスさん</v>
      </c>
      <c r="G2082" s="69" t="str">
        <f>IFERROR(__xludf.DUMMYFUNCTION("""COMPUTED_VALUE"""),"1～4")</f>
        <v>1～4</v>
      </c>
      <c r="H2082" s="69" t="str">
        <f>IFERROR(__xludf.DUMMYFUNCTION("""COMPUTED_VALUE"""),"CROKI")</f>
        <v>CROKI</v>
      </c>
      <c r="I2082" s="69" t="str">
        <f>IFERROR(__xludf.DUMMYFUNCTION("""COMPUTED_VALUE"""),"青年")</f>
        <v>青年</v>
      </c>
      <c r="J2082" s="69"/>
      <c r="K2082" s="69"/>
      <c r="L2082" s="69" t="str">
        <f>IFERROR(__xludf.DUMMYFUNCTION("""COMPUTED_VALUE"""),"ライブコミックス")</f>
        <v>ライブコミックス</v>
      </c>
      <c r="M2082" s="77">
        <f>IFERROR(__xludf.DUMMYFUNCTION("""COMPUTED_VALUE"""),45576.0)</f>
        <v>45576</v>
      </c>
      <c r="N2082" s="77">
        <f>IFERROR(__xludf.DUMMYFUNCTION("""COMPUTED_VALUE"""),45638.0)</f>
        <v>45638</v>
      </c>
      <c r="O2082" s="69"/>
      <c r="P2082" s="120" t="str">
        <f>IFERROR(__xludf.DUMMYFUNCTION("""COMPUTED_VALUE"""),"可")</f>
        <v>可</v>
      </c>
      <c r="Q2082" s="69" t="str">
        <f>IFERROR(__xludf.DUMMYFUNCTION("""COMPUTED_VALUE"""),"Bookliveからの二次先行作品です。")</f>
        <v>Bookliveからの二次先行作品です。</v>
      </c>
      <c r="R2082" s="69" t="str">
        <f>IFERROR(__xludf.DUMMYFUNCTION("""COMPUTED_VALUE"""),"広告コミットOK(9/5)")</f>
        <v>広告コミットOK(9/5)</v>
      </c>
      <c r="S2082" s="69" t="str">
        <f>IFERROR(__xludf.DUMMYFUNCTION("""COMPUTED_VALUE"""),"20240902_Booklive_情シスくんと仕様はギャルのアリスさん")</f>
        <v>20240902_Booklive_情シスくんと仕様はギャルのアリスさん</v>
      </c>
      <c r="T2082" s="69" t="str">
        <f>IFERROR(__xludf.DUMMYFUNCTION("""COMPUTED_VALUE"""),"格納済み")</f>
        <v>格納済み</v>
      </c>
      <c r="U2082" s="15" t="str">
        <f>IFERROR(__xludf.DUMMYFUNCTION("""COMPUTED_VALUE"""),"ⒸCROKI/ライブコミックス")</f>
        <v>ⒸCROKI/ライブコミックス</v>
      </c>
      <c r="V2082" s="8" t="str">
        <f>IFERROR(__xludf.DUMMYFUNCTION("""COMPUTED_VALUE"""),"高橋博之（たかはしひろゆき）は情報システム部――通称「情シス」で働くサラリーマン。今日も彼のもとにサポートの依頼が入る。その依頼主は社内でも(色々な意味で有名な)ギャル・山吹愛莉栖(やまぶきありす)だった。「何もしてないのにパソコンが壊れた」という不穏な文言とともに、ブルースクリーンとの自撮り写真……。　そもそも業務エリアでの写真撮影は禁止だったりと、嫌な予感がしながらも、博之は彼女のもとへ向かうのだが――？このギャル、距離感もITリテラシーもバグってるって！　情シス×ギャルの社内ラブコメディー！")</f>
        <v>高橋博之（たかはしひろゆき）は情報システム部――通称「情シス」で働くサラリーマン。今日も彼のもとにサポートの依頼が入る。その依頼主は社内でも(色々な意味で有名な)ギャル・山吹愛莉栖(やまぶきありす)だった。「何もしてないのにパソコンが壊れた」という不穏な文言とともに、ブルースクリーンとの自撮り写真……。　そもそも業務エリアでの写真撮影は禁止だったりと、嫌な予感がしながらも、博之は彼女のもとへ向かうのだが――？このギャル、距離感もITリテラシーもバグってるって！　情シス×ギャルの社内ラブコメディー！</v>
      </c>
      <c r="W2082" s="14"/>
      <c r="X2082" s="14" t="str">
        <f>IFERROR(__xludf.DUMMYFUNCTION("""COMPUTED_VALUE"""),"有")</f>
        <v>有</v>
      </c>
      <c r="Y2082" s="8" t="str">
        <f>IFERROR(__xludf.DUMMYFUNCTION("""COMPUTED_VALUE"""),"P11まで")</f>
        <v>P11まで</v>
      </c>
      <c r="Z2082" s="7"/>
      <c r="AA2082" s="7"/>
      <c r="AB2082" s="7"/>
    </row>
    <row r="2083" ht="15.75" customHeight="1">
      <c r="A2083" s="76">
        <f>IFERROR(__xludf.DUMMYFUNCTION("""COMPUTED_VALUE"""),4075.0)</f>
        <v>4075</v>
      </c>
      <c r="B2083" s="69" t="str">
        <f>IFERROR(__xludf.DUMMYFUNCTION("""COMPUTED_VALUE"""),"確定")</f>
        <v>確定</v>
      </c>
      <c r="C2083" s="74">
        <f>IFERROR(__xludf.DUMMYFUNCTION("""COMPUTED_VALUE"""),45537.0)</f>
        <v>45537</v>
      </c>
      <c r="D2083" s="74">
        <f>IFERROR(__xludf.DUMMYFUNCTION("""COMPUTED_VALUE"""),45541.0)</f>
        <v>45541</v>
      </c>
      <c r="E2083" s="112">
        <f>IFERROR(__xludf.DUMMYFUNCTION("""COMPUTED_VALUE"""),303960.0)</f>
        <v>303960</v>
      </c>
      <c r="F2083" s="119" t="str">
        <f>IFERROR(__xludf.DUMMYFUNCTION("""COMPUTED_VALUE"""),"ガンスリンガー・リプレイス")</f>
        <v>ガンスリンガー・リプレイス</v>
      </c>
      <c r="G2083" s="69" t="str">
        <f>IFERROR(__xludf.DUMMYFUNCTION("""COMPUTED_VALUE"""),"1～8")</f>
        <v>1～8</v>
      </c>
      <c r="H2083" s="69" t="str">
        <f>IFERROR(__xludf.DUMMYFUNCTION("""COMPUTED_VALUE"""),"PPS3┴下内遼太")</f>
        <v>PPS3┴下内遼太</v>
      </c>
      <c r="I2083" s="69" t="str">
        <f>IFERROR(__xludf.DUMMYFUNCTION("""COMPUTED_VALUE"""),"青年")</f>
        <v>青年</v>
      </c>
      <c r="J2083" s="69"/>
      <c r="K2083" s="69"/>
      <c r="L2083" s="69" t="str">
        <f>IFERROR(__xludf.DUMMYFUNCTION("""COMPUTED_VALUE"""),"ライブコミックス")</f>
        <v>ライブコミックス</v>
      </c>
      <c r="M2083" s="77">
        <f>IFERROR(__xludf.DUMMYFUNCTION("""COMPUTED_VALUE"""),45576.0)</f>
        <v>45576</v>
      </c>
      <c r="N2083" s="77">
        <f>IFERROR(__xludf.DUMMYFUNCTION("""COMPUTED_VALUE"""),45638.0)</f>
        <v>45638</v>
      </c>
      <c r="O2083" s="69"/>
      <c r="P2083" s="120" t="str">
        <f>IFERROR(__xludf.DUMMYFUNCTION("""COMPUTED_VALUE"""),"可")</f>
        <v>可</v>
      </c>
      <c r="Q2083" s="69" t="str">
        <f>IFERROR(__xludf.DUMMYFUNCTION("""COMPUTED_VALUE"""),"Bookliveからの二次先行作品です。&lt;BR&gt;1～6巻の素材で検討＆バナー制作お願いします。")</f>
        <v>Bookliveからの二次先行作品です。&lt;BR&gt;1～6巻の素材で検討＆バナー制作お願いします。</v>
      </c>
      <c r="R2083" s="69" t="str">
        <f>IFERROR(__xludf.DUMMYFUNCTION("""COMPUTED_VALUE"""),"広告コミットOK(9/5)")</f>
        <v>広告コミットOK(9/5)</v>
      </c>
      <c r="S2083" s="69" t="str">
        <f>IFERROR(__xludf.DUMMYFUNCTION("""COMPUTED_VALUE"""),"20240902_Booklive_ガンスリンガー・リプレイス")</f>
        <v>20240902_Booklive_ガンスリンガー・リプレイス</v>
      </c>
      <c r="T2083" s="69" t="str">
        <f>IFERROR(__xludf.DUMMYFUNCTION("""COMPUTED_VALUE"""),"格納済み")</f>
        <v>格納済み</v>
      </c>
      <c r="U2083" s="15" t="str">
        <f>IFERROR(__xludf.DUMMYFUNCTION("""COMPUTED_VALUE"""),"ⒸPPS3・下内遼太/ライブコミックス")</f>
        <v>ⒸPPS3・下内遼太/ライブコミックス</v>
      </c>
      <c r="V2083" s="8" t="str">
        <f>IFERROR(__xludf.DUMMYFUNCTION("""COMPUTED_VALUE"""),"クライム系VRMMOゲーム「God cops or Badassss」のトッププレイヤー・ダニエラ。ゲーム内でガンスリンガーとして活躍する彼女だが、現実での姿は、毎日お局さんからパワハラを受ける社畜OL・谷 美里子(たに みりこ)だった。今日もまたセクハラオヤジの対応を命じられて――？ド派手なガンアクションで魅せる！昂る！社畜OLの転生アウトローライフ、堂々開幕！")</f>
        <v>クライム系VRMMOゲーム「God cops or Badassss」のトッププレイヤー・ダニエラ。ゲーム内でガンスリンガーとして活躍する彼女だが、現実での姿は、毎日お局さんからパワハラを受ける社畜OL・谷 美里子(たに みりこ)だった。今日もまたセクハラオヤジの対応を命じられて――？ド派手なガンアクションで魅せる！昂る！社畜OLの転生アウトローライフ、堂々開幕！</v>
      </c>
      <c r="W2083" s="14"/>
      <c r="X2083" s="14" t="str">
        <f>IFERROR(__xludf.DUMMYFUNCTION("""COMPUTED_VALUE"""),"有")</f>
        <v>有</v>
      </c>
      <c r="Y2083" s="8" t="str">
        <f>IFERROR(__xludf.DUMMYFUNCTION("""COMPUTED_VALUE"""),"P20まで")</f>
        <v>P20まで</v>
      </c>
      <c r="Z2083" s="7"/>
      <c r="AA2083" s="7"/>
      <c r="AB2083" s="7"/>
    </row>
    <row r="2084" ht="15.75" customHeight="1">
      <c r="A2084" s="76">
        <f>IFERROR(__xludf.DUMMYFUNCTION("""COMPUTED_VALUE"""),4076.0)</f>
        <v>4076</v>
      </c>
      <c r="B2084" s="69" t="str">
        <f>IFERROR(__xludf.DUMMYFUNCTION("""COMPUTED_VALUE"""),"確定")</f>
        <v>確定</v>
      </c>
      <c r="C2084" s="74">
        <f>IFERROR(__xludf.DUMMYFUNCTION("""COMPUTED_VALUE"""),45537.0)</f>
        <v>45537</v>
      </c>
      <c r="D2084" s="74">
        <f>IFERROR(__xludf.DUMMYFUNCTION("""COMPUTED_VALUE"""),45541.0)</f>
        <v>45541</v>
      </c>
      <c r="E2084" s="112">
        <f>IFERROR(__xludf.DUMMYFUNCTION("""COMPUTED_VALUE"""),304680.0)</f>
        <v>304680</v>
      </c>
      <c r="F2084" s="119" t="str">
        <f>IFERROR(__xludf.DUMMYFUNCTION("""COMPUTED_VALUE"""),"監獄オフィス～左遷先で人権を取り戻す冴えたヤリ方～")</f>
        <v>監獄オフィス～左遷先で人権を取り戻す冴えたヤリ方～</v>
      </c>
      <c r="G2084" s="69" t="str">
        <f>IFERROR(__xludf.DUMMYFUNCTION("""COMPUTED_VALUE"""),"1～11")</f>
        <v>1～11</v>
      </c>
      <c r="H2084" s="69" t="str">
        <f>IFERROR(__xludf.DUMMYFUNCTION("""COMPUTED_VALUE"""),"ゆんぼ。┴五道┴junkichi┴白玉ツトム┴C-Route Studio")</f>
        <v>ゆんぼ。┴五道┴junkichi┴白玉ツトム┴C-Route Studio</v>
      </c>
      <c r="I2084" s="69" t="str">
        <f>IFERROR(__xludf.DUMMYFUNCTION("""COMPUTED_VALUE"""),"青年")</f>
        <v>青年</v>
      </c>
      <c r="J2084" s="69"/>
      <c r="K2084" s="69"/>
      <c r="L2084" s="69" t="str">
        <f>IFERROR(__xludf.DUMMYFUNCTION("""COMPUTED_VALUE"""),"ライブコミックス")</f>
        <v>ライブコミックス</v>
      </c>
      <c r="M2084" s="77">
        <f>IFERROR(__xludf.DUMMYFUNCTION("""COMPUTED_VALUE"""),45590.0)</f>
        <v>45590</v>
      </c>
      <c r="N2084" s="77">
        <f>IFERROR(__xludf.DUMMYFUNCTION("""COMPUTED_VALUE"""),45652.0)</f>
        <v>45652</v>
      </c>
      <c r="O2084" s="69"/>
      <c r="P2084" s="120" t="str">
        <f>IFERROR(__xludf.DUMMYFUNCTION("""COMPUTED_VALUE"""),"可")</f>
        <v>可</v>
      </c>
      <c r="Q2084" s="69" t="str">
        <f>IFERROR(__xludf.DUMMYFUNCTION("""COMPUTED_VALUE"""),"Bookliveからの二次先行作品です。&lt;BR&gt;1～9巻までの内容で検討＆バナー制作お願いします。")</f>
        <v>Bookliveからの二次先行作品です。&lt;BR&gt;1～9巻までの内容で検討＆バナー制作お願いします。</v>
      </c>
      <c r="R2084" s="69" t="str">
        <f>IFERROR(__xludf.DUMMYFUNCTION("""COMPUTED_VALUE"""),"広告コミットOK(9/5)")</f>
        <v>広告コミットOK(9/5)</v>
      </c>
      <c r="S2084" s="69" t="str">
        <f>IFERROR(__xludf.DUMMYFUNCTION("""COMPUTED_VALUE"""),"20240902_Booklive_監獄オフィス～左遷先で人権を取り戻す冴えたヤリ方～")</f>
        <v>20240902_Booklive_監獄オフィス～左遷先で人権を取り戻す冴えたヤリ方～</v>
      </c>
      <c r="T2084" s="69" t="str">
        <f>IFERROR(__xludf.DUMMYFUNCTION("""COMPUTED_VALUE"""),"格納済み")</f>
        <v>格納済み</v>
      </c>
      <c r="U2084" s="15" t="str">
        <f>IFERROR(__xludf.DUMMYFUNCTION("""COMPUTED_VALUE"""),"Ⓒゆんぼ。/ライブコミックス")</f>
        <v>Ⓒゆんぼ。/ライブコミックス</v>
      </c>
      <c r="V2084" s="8" t="str">
        <f>IFERROR(__xludf.DUMMYFUNCTION("""COMPUTED_VALUE"""),"「ようこそ、監獄オフィスへ」
若くして出世し、妻子にも恵まれ順風満帆な人生を歩んでいた自称「デキる男」伊勢谷。
しかしある日、元カノである同期の女性に誘惑されて不適切な関係を結んでしまう。
まさかそれが罠だとは知る由もなく…。
翌朝、出社すると昨夜のことが社内に暴露されており異動が決定。
左遷されたその先は「男の人権が存在しない」という異常なオフィスだった。
女上司の桐原を筆頭に、女性社員たちによって囚人扱いされ、自由も尊厳も奪われる伊勢谷。
服を脱がされ、女性社員たちの足を舐め"&amp;"させられる毎日。
しかし彼はまだ諦めていなかった…！
「つまり…看守の女たちを味方にすればいいんですよね？」
囚人仲間である弱者男性たちとともに「デキる男」は反旗を翻す…！！")</f>
        <v>「ようこそ、監獄オフィスへ」
若くして出世し、妻子にも恵まれ順風満帆な人生を歩んでいた自称「デキる男」伊勢谷。
しかしある日、元カノである同期の女性に誘惑されて不適切な関係を結んでしまう。
まさかそれが罠だとは知る由もなく…。
翌朝、出社すると昨夜のことが社内に暴露されており異動が決定。
左遷されたその先は「男の人権が存在しない」という異常なオフィスだった。
女上司の桐原を筆頭に、女性社員たちによって囚人扱いされ、自由も尊厳も奪われる伊勢谷。
服を脱がされ、女性社員たちの足を舐めさせられる毎日。
しかし彼はまだ諦めていなかった…！
「つまり…看守の女たちを味方にすればいいんですよね？」
囚人仲間である弱者男性たちとともに「デキる男」は反旗を翻す…！！</v>
      </c>
      <c r="W2084" s="14"/>
      <c r="X2084" s="14" t="str">
        <f>IFERROR(__xludf.DUMMYFUNCTION("""COMPUTED_VALUE"""),"有")</f>
        <v>有</v>
      </c>
      <c r="Y2084" s="8" t="str">
        <f>IFERROR(__xludf.DUMMYFUNCTION("""COMPUTED_VALUE"""),"2024/12/26まで1～3巻無料")</f>
        <v>2024/12/26まで1～3巻無料</v>
      </c>
      <c r="Z2084" s="7"/>
      <c r="AA2084" s="7"/>
      <c r="AB2084" s="7"/>
    </row>
    <row r="2085" ht="15.75" customHeight="1">
      <c r="A2085" s="76">
        <f>IFERROR(__xludf.DUMMYFUNCTION("""COMPUTED_VALUE"""),4077.0)</f>
        <v>4077</v>
      </c>
      <c r="B2085" s="69" t="str">
        <f>IFERROR(__xludf.DUMMYFUNCTION("""COMPUTED_VALUE"""),"確定")</f>
        <v>確定</v>
      </c>
      <c r="C2085" s="74">
        <f>IFERROR(__xludf.DUMMYFUNCTION("""COMPUTED_VALUE"""),45537.0)</f>
        <v>45537</v>
      </c>
      <c r="D2085" s="74">
        <f>IFERROR(__xludf.DUMMYFUNCTION("""COMPUTED_VALUE"""),45541.0)</f>
        <v>45541</v>
      </c>
      <c r="E2085" s="112">
        <f>IFERROR(__xludf.DUMMYFUNCTION("""COMPUTED_VALUE"""),304795.0)</f>
        <v>304795</v>
      </c>
      <c r="F2085" s="119" t="str">
        <f>IFERROR(__xludf.DUMMYFUNCTION("""COMPUTED_VALUE"""),"陽菜ちゃんは俺にヤラれたい！")</f>
        <v>陽菜ちゃんは俺にヤラれたい！</v>
      </c>
      <c r="G2085" s="69" t="str">
        <f>IFERROR(__xludf.DUMMYFUNCTION("""COMPUTED_VALUE"""),"1～8")</f>
        <v>1～8</v>
      </c>
      <c r="H2085" s="69" t="str">
        <f>IFERROR(__xludf.DUMMYFUNCTION("""COMPUTED_VALUE"""),"カイカイロ")</f>
        <v>カイカイロ</v>
      </c>
      <c r="I2085" s="69" t="str">
        <f>IFERROR(__xludf.DUMMYFUNCTION("""COMPUTED_VALUE"""),"青年")</f>
        <v>青年</v>
      </c>
      <c r="J2085" s="69"/>
      <c r="K2085" s="69"/>
      <c r="L2085" s="69" t="str">
        <f>IFERROR(__xludf.DUMMYFUNCTION("""COMPUTED_VALUE"""),"ライブコミックス")</f>
        <v>ライブコミックス</v>
      </c>
      <c r="M2085" s="77">
        <f>IFERROR(__xludf.DUMMYFUNCTION("""COMPUTED_VALUE"""),45590.0)</f>
        <v>45590</v>
      </c>
      <c r="N2085" s="77">
        <f>IFERROR(__xludf.DUMMYFUNCTION("""COMPUTED_VALUE"""),45652.0)</f>
        <v>45652</v>
      </c>
      <c r="O2085" s="69"/>
      <c r="P2085" s="120" t="str">
        <f>IFERROR(__xludf.DUMMYFUNCTION("""COMPUTED_VALUE"""),"可")</f>
        <v>可</v>
      </c>
      <c r="Q2085" s="69" t="str">
        <f>IFERROR(__xludf.DUMMYFUNCTION("""COMPUTED_VALUE"""),"Bookliveからの二次先行作品です。&lt;BR&gt;1~5巻までの内容で検討＆バナー制作お願いします。")</f>
        <v>Bookliveからの二次先行作品です。&lt;BR&gt;1~5巻までの内容で検討＆バナー制作お願いします。</v>
      </c>
      <c r="R2085" s="69" t="str">
        <f>IFERROR(__xludf.DUMMYFUNCTION("""COMPUTED_VALUE"""),"広告コミットOK(9/5)")</f>
        <v>広告コミットOK(9/5)</v>
      </c>
      <c r="S2085" s="69" t="str">
        <f>IFERROR(__xludf.DUMMYFUNCTION("""COMPUTED_VALUE"""),"20240902_Booklive_陽菜ちゃんは俺にヤラれたい！")</f>
        <v>20240902_Booklive_陽菜ちゃんは俺にヤラれたい！</v>
      </c>
      <c r="T2085" s="69" t="str">
        <f>IFERROR(__xludf.DUMMYFUNCTION("""COMPUTED_VALUE"""),"格納済み")</f>
        <v>格納済み</v>
      </c>
      <c r="U2085" s="15" t="str">
        <f>IFERROR(__xludf.DUMMYFUNCTION("""COMPUTED_VALUE"""),"Ⓒカイカイロ/ライブコミックス")</f>
        <v>Ⓒカイカイロ/ライブコミックス</v>
      </c>
      <c r="V2085" s="8" t="str">
        <f>IFERROR(__xludf.DUMMYFUNCTION("""COMPUTED_VALUE"""),"「ねぇ…陽菜と勝負…しよ♪」
幼馴染とエッチしたら即実家に強制送還！？
家業を継ぐのが嫌で田舎を飛び出し、都会での暮らしを満喫していた大森樹（26歳）
そんな彼の元に幼馴染の春日陽菜（19歳）がある勝負をしかけにやってきた。
その勝負とは陽菜ちゃんのエッチな誘惑に樹が負けないこと。
もし我慢できずヤっちゃった場合は即結婚して実家に強制送還！？
実家の家業を継ぎたくない樹は陽菜ちゃんの誘惑に耐えることができるのか…。
ヤラれたい女とヤリたくない男の勝負が今開幕！！")</f>
        <v>「ねぇ…陽菜と勝負…しよ♪」
幼馴染とエッチしたら即実家に強制送還！？
家業を継ぐのが嫌で田舎を飛び出し、都会での暮らしを満喫していた大森樹（26歳）
そんな彼の元に幼馴染の春日陽菜（19歳）がある勝負をしかけにやってきた。
その勝負とは陽菜ちゃんのエッチな誘惑に樹が負けないこと。
もし我慢できずヤっちゃった場合は即結婚して実家に強制送還！？
実家の家業を継ぎたくない樹は陽菜ちゃんの誘惑に耐えることができるのか…。
ヤラれたい女とヤリたくない男の勝負が今開幕！！</v>
      </c>
      <c r="W2085" s="14"/>
      <c r="X2085" s="14" t="str">
        <f>IFERROR(__xludf.DUMMYFUNCTION("""COMPUTED_VALUE"""),"有")</f>
        <v>有</v>
      </c>
      <c r="Y2085" s="8" t="str">
        <f>IFERROR(__xludf.DUMMYFUNCTION("""COMPUTED_VALUE"""),"P12まで")</f>
        <v>P12まで</v>
      </c>
      <c r="Z2085" s="7"/>
      <c r="AA2085" s="7"/>
      <c r="AB2085" s="7"/>
    </row>
    <row r="2086" ht="15.75" customHeight="1">
      <c r="A2086" s="76">
        <f>IFERROR(__xludf.DUMMYFUNCTION("""COMPUTED_VALUE"""),4078.0)</f>
        <v>4078</v>
      </c>
      <c r="B2086" s="69" t="str">
        <f>IFERROR(__xludf.DUMMYFUNCTION("""COMPUTED_VALUE"""),"確定")</f>
        <v>確定</v>
      </c>
      <c r="C2086" s="74">
        <f>IFERROR(__xludf.DUMMYFUNCTION("""COMPUTED_VALUE"""),45537.0)</f>
        <v>45537</v>
      </c>
      <c r="D2086" s="74">
        <f>IFERROR(__xludf.DUMMYFUNCTION("""COMPUTED_VALUE"""),45541.0)</f>
        <v>45541</v>
      </c>
      <c r="E2086" s="112">
        <f>IFERROR(__xludf.DUMMYFUNCTION("""COMPUTED_VALUE"""),304686.0)</f>
        <v>304686</v>
      </c>
      <c r="F2086" s="119" t="str">
        <f>IFERROR(__xludf.DUMMYFUNCTION("""COMPUTED_VALUE"""),"呪われ才女のかりそめ婚約～誰からも愛されなくなったはずが悪逆公爵に溺愛されています～")</f>
        <v>呪われ才女のかりそめ婚約～誰からも愛されなくなったはずが悪逆公爵に溺愛されています～</v>
      </c>
      <c r="G2086" s="69" t="str">
        <f>IFERROR(__xludf.DUMMYFUNCTION("""COMPUTED_VALUE"""),"1～5")</f>
        <v>1～5</v>
      </c>
      <c r="H2086" s="69" t="str">
        <f>IFERROR(__xludf.DUMMYFUNCTION("""COMPUTED_VALUE"""),"Peco★┴櫻田りん")</f>
        <v>Peco★┴櫻田りん</v>
      </c>
      <c r="I2086" s="69" t="str">
        <f>IFERROR(__xludf.DUMMYFUNCTION("""COMPUTED_VALUE"""),"女性")</f>
        <v>女性</v>
      </c>
      <c r="J2086" s="69"/>
      <c r="K2086" s="69"/>
      <c r="L2086" s="69" t="str">
        <f>IFERROR(__xludf.DUMMYFUNCTION("""COMPUTED_VALUE"""),"ライブコミックス")</f>
        <v>ライブコミックス</v>
      </c>
      <c r="M2086" s="77">
        <f>IFERROR(__xludf.DUMMYFUNCTION("""COMPUTED_VALUE"""),45590.0)</f>
        <v>45590</v>
      </c>
      <c r="N2086" s="74">
        <f>IFERROR(__xludf.DUMMYFUNCTION("""COMPUTED_VALUE"""),45680.0)</f>
        <v>45680</v>
      </c>
      <c r="O2086" s="69"/>
      <c r="P2086" s="120" t="str">
        <f>IFERROR(__xludf.DUMMYFUNCTION("""COMPUTED_VALUE"""),"可")</f>
        <v>可</v>
      </c>
      <c r="Q2086" s="69" t="str">
        <f>IFERROR(__xludf.DUMMYFUNCTION("""COMPUTED_VALUE"""),"Bookliveからの二次先行作品です。&lt;BR&gt;1～4巻までの内容で検討＆バナー制作お願いします。")</f>
        <v>Bookliveからの二次先行作品です。&lt;BR&gt;1～4巻までの内容で検討＆バナー制作お願いします。</v>
      </c>
      <c r="R2086" s="69" t="str">
        <f>IFERROR(__xludf.DUMMYFUNCTION("""COMPUTED_VALUE"""),"広告コミットOK(9/5)")</f>
        <v>広告コミットOK(9/5)</v>
      </c>
      <c r="S2086" s="69" t="str">
        <f>IFERROR(__xludf.DUMMYFUNCTION("""COMPUTED_VALUE"""),"20240902_Booklive_呪われ才女のかりそめ婚約～誰からも愛されなくなったはずが悪逆公爵に溺愛されています～")</f>
        <v>20240902_Booklive_呪われ才女のかりそめ婚約～誰からも愛されなくなったはずが悪逆公爵に溺愛されています～</v>
      </c>
      <c r="T2086" s="69" t="str">
        <f>IFERROR(__xludf.DUMMYFUNCTION("""COMPUTED_VALUE"""),"格納済み")</f>
        <v>格納済み</v>
      </c>
      <c r="U2086" s="15" t="str">
        <f>IFERROR(__xludf.DUMMYFUNCTION("""COMPUTED_VALUE"""),"ⒸPeco★・櫻田りん/ライブコミックス")</f>
        <v>ⒸPeco★・櫻田りん/ライブコミックス</v>
      </c>
      <c r="V2086" s="8" t="str">
        <f>IFERROR(__xludf.DUMMYFUNCTION("""COMPUTED_VALUE"""),"「あなたに呪いをかけてあげる」大好きな姉に【誰からも愛されない呪い】をかけられた術式絵師のリズリー。誰かの役に立ちたいだけなのに、呪いにより周囲の人々から嫌われてしまう。こんな毎日が続くんだろうかと思っていた中、ある日リズリーは悪逆公爵と呼ばれる青年と出会いーー？呪い嫌いの悪逆公爵×呪いつき才女のピュアラブファンタジー！")</f>
        <v>「あなたに呪いをかけてあげる」大好きな姉に【誰からも愛されない呪い】をかけられた術式絵師のリズリー。誰かの役に立ちたいだけなのに、呪いにより周囲の人々から嫌われてしまう。こんな毎日が続くんだろうかと思っていた中、ある日リズリーは悪逆公爵と呼ばれる青年と出会いーー？呪い嫌いの悪逆公爵×呪いつき才女のピュアラブファンタジー！</v>
      </c>
      <c r="W2086" s="14"/>
      <c r="X2086" s="14" t="str">
        <f>IFERROR(__xludf.DUMMYFUNCTION("""COMPUTED_VALUE"""),"有")</f>
        <v>有</v>
      </c>
      <c r="Y2086" s="8" t="str">
        <f>IFERROR(__xludf.DUMMYFUNCTION("""COMPUTED_VALUE"""),"P9まで")</f>
        <v>P9まで</v>
      </c>
      <c r="Z2086" s="7"/>
      <c r="AA2086" s="7"/>
      <c r="AB2086" s="7"/>
    </row>
    <row r="2087" ht="15.75" customHeight="1">
      <c r="A2087" s="76">
        <f>IFERROR(__xludf.DUMMYFUNCTION("""COMPUTED_VALUE"""),4093.0)</f>
        <v>4093</v>
      </c>
      <c r="B2087" s="69" t="str">
        <f>IFERROR(__xludf.DUMMYFUNCTION("""COMPUTED_VALUE"""),"確定")</f>
        <v>確定</v>
      </c>
      <c r="C2087" s="74">
        <f>IFERROR(__xludf.DUMMYFUNCTION("""COMPUTED_VALUE"""),45539.0)</f>
        <v>45539</v>
      </c>
      <c r="D2087" s="74">
        <f>IFERROR(__xludf.DUMMYFUNCTION("""COMPUTED_VALUE"""),45541.0)</f>
        <v>45541</v>
      </c>
      <c r="E2087" s="112">
        <f>IFERROR(__xludf.DUMMYFUNCTION("""COMPUTED_VALUE"""),303539.0)</f>
        <v>303539</v>
      </c>
      <c r="F2087" s="119" t="str">
        <f>IFERROR(__xludf.DUMMYFUNCTION("""COMPUTED_VALUE"""),"消えた花嫁は男装の王")</f>
        <v>消えた花嫁は男装の王</v>
      </c>
      <c r="G2087" s="69" t="str">
        <f>IFERROR(__xludf.DUMMYFUNCTION("""COMPUTED_VALUE"""),"1～3")</f>
        <v>1～3</v>
      </c>
      <c r="H2087" s="69" t="str">
        <f>IFERROR(__xludf.DUMMYFUNCTION("""COMPUTED_VALUE"""),"漫画：米白かる／原作：朝田小夏(エブリスタ)")</f>
        <v>漫画：米白かる／原作：朝田小夏(エブリスタ)</v>
      </c>
      <c r="I2087" s="69" t="str">
        <f>IFERROR(__xludf.DUMMYFUNCTION("""COMPUTED_VALUE"""),"女性")</f>
        <v>女性</v>
      </c>
      <c r="J2087" s="69"/>
      <c r="K2087" s="69"/>
      <c r="L2087" s="69" t="str">
        <f>IFERROR(__xludf.DUMMYFUNCTION("""COMPUTED_VALUE"""),"集英社")</f>
        <v>集英社</v>
      </c>
      <c r="M2087" s="59">
        <f>IFERROR(__xludf.DUMMYFUNCTION("""COMPUTED_VALUE"""),45566.0)</f>
        <v>45566</v>
      </c>
      <c r="N2087" s="77">
        <f>IFERROR(__xludf.DUMMYFUNCTION("""COMPUTED_VALUE"""),45596.0)</f>
        <v>45596</v>
      </c>
      <c r="O2087" s="69"/>
      <c r="P2087" s="120" t="str">
        <f>IFERROR(__xludf.DUMMYFUNCTION("""COMPUTED_VALUE"""),"否")</f>
        <v>否</v>
      </c>
      <c r="Q2087" s="111" t="str">
        <f>IFERROR(__xludf.DUMMYFUNCTION("""COMPUTED_VALUE"""),"・レーベル名：異世界マーガレット")</f>
        <v>・レーベル名：異世界マーガレット</v>
      </c>
      <c r="R2087" s="69"/>
      <c r="S2087" s="69" t="str">
        <f>IFERROR(__xludf.DUMMYFUNCTION("""COMPUTED_VALUE"""),"20240904_集英社_消えた花嫁は男装の王")</f>
        <v>20240904_集英社_消えた花嫁は男装の王</v>
      </c>
      <c r="T2087" s="69" t="str">
        <f>IFERROR(__xludf.DUMMYFUNCTION("""COMPUTED_VALUE"""),"格納済み")</f>
        <v>格納済み</v>
      </c>
      <c r="U2087" s="15" t="str">
        <f>IFERROR(__xludf.DUMMYFUNCTION("""COMPUTED_VALUE"""),"(c)米白かる・朝田小夏（エブリスタ）／集英社")</f>
        <v>(c)米白かる・朝田小夏（エブリスタ）／集英社</v>
      </c>
      <c r="V2087" s="8" t="str">
        <f>IFERROR(__xludf.DUMMYFUNCTION("""COMPUTED_VALUE"""),"亡くなった双子の弟・アンリにすり替わり、王の座についた少女・リリアーヌ。今の立場では、許嫁だった宗主国の皇帝・クロードを想うことも、彼女にとってはただ苦しいだけ…。その気持ちに追い討ちをかけるように、事情を知らないクロードからは、舞踏会でのエスコート候補の女性を紹介され、それを断れば、護衛官と男同士の禁断恋愛をしていると噂が立ってしまうのだった…。一方、クロードもリリアーヌを忘れられず、リリアーヌによく似ているアンリを見て、想いを抑えられなくなり…？　皇帝×男装の王、元許嫁同士のもどかしいすれ違いラブ")</f>
        <v>亡くなった双子の弟・アンリにすり替わり、王の座についた少女・リリアーヌ。今の立場では、許嫁だった宗主国の皇帝・クロードを想うことも、彼女にとってはただ苦しいだけ…。その気持ちに追い討ちをかけるように、事情を知らないクロードからは、舞踏会でのエスコート候補の女性を紹介され、それを断れば、護衛官と男同士の禁断恋愛をしていると噂が立ってしまうのだった…。一方、クロードもリリアーヌを忘れられず、リリアーヌによく似ているアンリを見て、想いを抑えられなくなり…？　皇帝×男装の王、元許嫁同士のもどかしいすれ違いラブ</v>
      </c>
      <c r="W2087" s="14"/>
      <c r="X2087" s="14" t="str">
        <f>IFERROR(__xludf.DUMMYFUNCTION("""COMPUTED_VALUE"""),"有")</f>
        <v>有</v>
      </c>
      <c r="Y2087" s="8" t="str">
        <f>IFERROR(__xludf.DUMMYFUNCTION("""COMPUTED_VALUE"""),"P12まで")</f>
        <v>P12まで</v>
      </c>
      <c r="Z2087" s="7"/>
      <c r="AA2087" s="7"/>
      <c r="AB2087" s="7"/>
    </row>
    <row r="2088" ht="15.75" customHeight="1">
      <c r="A2088" s="76">
        <f>IFERROR(__xludf.DUMMYFUNCTION("""COMPUTED_VALUE"""),4107.0)</f>
        <v>4107</v>
      </c>
      <c r="B2088" s="69" t="str">
        <f>IFERROR(__xludf.DUMMYFUNCTION("""COMPUTED_VALUE"""),"確定")</f>
        <v>確定</v>
      </c>
      <c r="C2088" s="74">
        <f>IFERROR(__xludf.DUMMYFUNCTION("""COMPUTED_VALUE"""),45544.0)</f>
        <v>45544</v>
      </c>
      <c r="D2088" s="74">
        <f>IFERROR(__xludf.DUMMYFUNCTION("""COMPUTED_VALUE"""),45544.0)</f>
        <v>45544</v>
      </c>
      <c r="E2088" s="112">
        <f>IFERROR(__xludf.DUMMYFUNCTION("""COMPUTED_VALUE"""),304395.0)</f>
        <v>304395</v>
      </c>
      <c r="F2088" s="119" t="str">
        <f>IFERROR(__xludf.DUMMYFUNCTION("""COMPUTED_VALUE"""),"傷だらけの婚約者～運命は狂い咲き、愛のままにこの身を捧ぐ～")</f>
        <v>傷だらけの婚約者～運命は狂い咲き、愛のままにこの身を捧ぐ～</v>
      </c>
      <c r="G2088" s="69" t="str">
        <f>IFERROR(__xludf.DUMMYFUNCTION("""COMPUTED_VALUE"""),"1～3")</f>
        <v>1～3</v>
      </c>
      <c r="H2088" s="69" t="str">
        <f>IFERROR(__xludf.DUMMYFUNCTION("""COMPUTED_VALUE"""),"なかがわ久実")</f>
        <v>なかがわ久実</v>
      </c>
      <c r="I2088" s="69" t="str">
        <f>IFERROR(__xludf.DUMMYFUNCTION("""COMPUTED_VALUE"""),"女性")</f>
        <v>女性</v>
      </c>
      <c r="J2088" s="69"/>
      <c r="K2088" s="69"/>
      <c r="L2088" s="69" t="str">
        <f>IFERROR(__xludf.DUMMYFUNCTION("""COMPUTED_VALUE"""),"CLLENN")</f>
        <v>CLLENN</v>
      </c>
      <c r="M2088" s="77">
        <f>IFERROR(__xludf.DUMMYFUNCTION("""COMPUTED_VALUE"""),45581.0)</f>
        <v>45581</v>
      </c>
      <c r="N2088" s="74">
        <f>IFERROR(__xludf.DUMMYFUNCTION("""COMPUTED_VALUE"""),45678.0)</f>
        <v>45678</v>
      </c>
      <c r="O2088" s="69"/>
      <c r="P2088" s="120" t="str">
        <f>IFERROR(__xludf.DUMMYFUNCTION("""COMPUTED_VALUE"""),"可")</f>
        <v>可</v>
      </c>
      <c r="Q2088" s="69" t="str">
        <f>IFERROR(__xludf.DUMMYFUNCTION("""COMPUTED_VALUE"""),"協業作品です。&lt;BR&gt;シーモア×コイパレ")</f>
        <v>協業作品です。&lt;BR&gt;シーモア×コイパレ</v>
      </c>
      <c r="R2088" s="69" t="str">
        <f>IFERROR(__xludf.DUMMYFUNCTION("""COMPUTED_VALUE"""),"格納済み")</f>
        <v>格納済み</v>
      </c>
      <c r="S2088" s="69" t="str">
        <f>IFERROR(__xludf.DUMMYFUNCTION("""COMPUTED_VALUE"""),"20240909_CLLENN_協業_傷だらけの婚約者～運命は狂い咲き、愛のままにこの身を捧ぐ～")</f>
        <v>20240909_CLLENN_協業_傷だらけの婚約者～運命は狂い咲き、愛のままにこの身を捧ぐ～</v>
      </c>
      <c r="T2088" s="69" t="str">
        <f>IFERROR(__xludf.DUMMYFUNCTION("""COMPUTED_VALUE"""),"格納済み")</f>
        <v>格納済み</v>
      </c>
      <c r="U2088" s="15" t="str">
        <f>IFERROR(__xludf.DUMMYFUNCTION("""COMPUTED_VALUE"""),"(C)なかがわ久実/CLLENN")</f>
        <v>(C)なかがわ久実/CLLENN</v>
      </c>
      <c r="V2088" s="8" t="str">
        <f>IFERROR(__xludf.DUMMYFUNCTION("""COMPUTED_VALUE"""),"「迎えに来たよ。史織」これから二人にどんな困難が待ち受けていようとも…君を傷つけるすべてのものから守り抜く――OLをしている華村史織は同期で恋人の千葉涼介、同期で親友のマナミと楽しく充実した日々を送っていた。しかし、涼介に会いに行こうとしてホテル街へ迷い込んだ矢先、涼介とマナミがキスしている現場を目撃してしまう…！翌日、その光景が忘れられず別れを切り出す史織に対し、納得がいかず逆上する涼介。「やめろ」そこに現れたのは――幼い頃の婚約者・桐嶋教司だった。かつて破談になったはずの婚約者と再会し、運命の恋が狂い"&amp;"咲く…")</f>
        <v>「迎えに来たよ。史織」これから二人にどんな困難が待ち受けていようとも…君を傷つけるすべてのものから守り抜く――OLをしている華村史織は同期で恋人の千葉涼介、同期で親友のマナミと楽しく充実した日々を送っていた。しかし、涼介に会いに行こうとしてホテル街へ迷い込んだ矢先、涼介とマナミがキスしている現場を目撃してしまう…！翌日、その光景が忘れられず別れを切り出す史織に対し、納得がいかず逆上する涼介。「やめろ」そこに現れたのは――幼い頃の婚約者・桐嶋教司だった。かつて破談になったはずの婚約者と再会し、運命の恋が狂い咲く…</v>
      </c>
      <c r="W2088" s="14"/>
      <c r="X2088" s="14" t="str">
        <f>IFERROR(__xludf.DUMMYFUNCTION("""COMPUTED_VALUE"""),"有")</f>
        <v>有</v>
      </c>
      <c r="Y2088" s="8" t="str">
        <f>IFERROR(__xludf.DUMMYFUNCTION("""COMPUTED_VALUE"""),"2024/10/29まで1巻無料")</f>
        <v>2024/10/29まで1巻無料</v>
      </c>
      <c r="Z2088" s="7"/>
      <c r="AA2088" s="7"/>
      <c r="AB2088" s="7"/>
    </row>
    <row r="2089" ht="15.75" customHeight="1">
      <c r="A2089" s="76">
        <f>IFERROR(__xludf.DUMMYFUNCTION("""COMPUTED_VALUE"""),4110.0)</f>
        <v>4110</v>
      </c>
      <c r="B2089" s="69" t="str">
        <f>IFERROR(__xludf.DUMMYFUNCTION("""COMPUTED_VALUE"""),"確定")</f>
        <v>確定</v>
      </c>
      <c r="C2089" s="74">
        <f>IFERROR(__xludf.DUMMYFUNCTION("""COMPUTED_VALUE"""),45544.0)</f>
        <v>45544</v>
      </c>
      <c r="D2089" s="74">
        <f>IFERROR(__xludf.DUMMYFUNCTION("""COMPUTED_VALUE"""),45545.0)</f>
        <v>45545</v>
      </c>
      <c r="E2089" s="112">
        <f>IFERROR(__xludf.DUMMYFUNCTION("""COMPUTED_VALUE"""),303840.0)</f>
        <v>303840</v>
      </c>
      <c r="F2089" s="119" t="str">
        <f>IFERROR(__xludf.DUMMYFUNCTION("""COMPUTED_VALUE"""),"孤独な吸血鬼は穢れなき乙女と夢をみる。")</f>
        <v>孤独な吸血鬼は穢れなき乙女と夢をみる。</v>
      </c>
      <c r="G2089" s="69" t="str">
        <f>IFERROR(__xludf.DUMMYFUNCTION("""COMPUTED_VALUE"""),"1～3")</f>
        <v>1～3</v>
      </c>
      <c r="H2089" s="69" t="str">
        <f>IFERROR(__xludf.DUMMYFUNCTION("""COMPUTED_VALUE"""),"にしき秋湖")</f>
        <v>にしき秋湖</v>
      </c>
      <c r="I2089" s="79" t="str">
        <f>IFERROR(__xludf.DUMMYFUNCTION("""COMPUTED_VALUE"""),"少女")</f>
        <v>少女</v>
      </c>
      <c r="J2089" s="69"/>
      <c r="K2089" s="69"/>
      <c r="L2089" s="69" t="str">
        <f>IFERROR(__xludf.DUMMYFUNCTION("""COMPUTED_VALUE"""),"マッグガーデン")</f>
        <v>マッグガーデン</v>
      </c>
      <c r="M2089" s="77">
        <f>IFERROR(__xludf.DUMMYFUNCTION("""COMPUTED_VALUE"""),45583.0)</f>
        <v>45583</v>
      </c>
      <c r="N2089" s="59">
        <f>IFERROR(__xludf.DUMMYFUNCTION("""COMPUTED_VALUE"""),45729.0)</f>
        <v>45729</v>
      </c>
      <c r="O2089" s="69"/>
      <c r="P2089" s="120" t="str">
        <f>IFERROR(__xludf.DUMMYFUNCTION("""COMPUTED_VALUE"""),"可")</f>
        <v>可</v>
      </c>
      <c r="Q2089" s="111" t="str">
        <f>IFERROR(__xludf.DUMMYFUNCTION("""COMPUTED_VALUE"""),"協業作品です：シーモア×MAGKAN PLUS")</f>
        <v>協業作品です：シーモア×MAGKAN PLUS</v>
      </c>
      <c r="R2089" s="69"/>
      <c r="S2089" s="69" t="str">
        <f>IFERROR(__xludf.DUMMYFUNCTION("""COMPUTED_VALUE"""),"20240909_マッグガーデン_孤独な吸血鬼は穢れなき乙女と夢をみる。")</f>
        <v>20240909_マッグガーデン_孤独な吸血鬼は穢れなき乙女と夢をみる。</v>
      </c>
      <c r="T2089" s="69" t="str">
        <f>IFERROR(__xludf.DUMMYFUNCTION("""COMPUTED_VALUE"""),"格納済み")</f>
        <v>格納済み</v>
      </c>
      <c r="U2089" s="15" t="str">
        <f>IFERROR(__xludf.DUMMYFUNCTION("""COMPUTED_VALUE"""),"(C)にしき秋湖/MAG Garden")</f>
        <v>(C)にしき秋湖/MAG Garden</v>
      </c>
      <c r="V2089" s="8" t="str">
        <f>IFERROR(__xludf.DUMMYFUNCTION("""COMPUTED_VALUE"""),"｢君が大きくなったら、必ず迎えに行くよ」19世紀ウィーン、戦災孤児や身寄りのない女性達が暮らすハイリゲン修道院。そこででシスターとして奉仕するリタは、繰り返し同じを夢をみるようになる。｢約束だよ、リタ」それは淡い初恋の記憶…しかしその夢は日ごと鮮明な記憶へと変わり始める、夢であろうと純潔を守れないのは不敬であると、リタに辛くあたるシスターローザ。その指導に耐えられなくなったリタは、修道院から逃げ出そうとするのだが…外に待ち受けていたのは狂暴な吸血鬼集団。襲われるリタの前に現れたのは、あの約束の男、それとも"&amp;"…。")</f>
        <v>｢君が大きくなったら、必ず迎えに行くよ」19世紀ウィーン、戦災孤児や身寄りのない女性達が暮らすハイリゲン修道院。そこででシスターとして奉仕するリタは、繰り返し同じを夢をみるようになる。｢約束だよ、リタ」それは淡い初恋の記憶…しかしその夢は日ごと鮮明な記憶へと変わり始める、夢であろうと純潔を守れないのは不敬であると、リタに辛くあたるシスターローザ。その指導に耐えられなくなったリタは、修道院から逃げ出そうとするのだが…外に待ち受けていたのは狂暴な吸血鬼集団。襲われるリタの前に現れたのは、あの約束の男、それとも…。</v>
      </c>
      <c r="W2089" s="14"/>
      <c r="X2089" s="14" t="str">
        <f>IFERROR(__xludf.DUMMYFUNCTION("""COMPUTED_VALUE"""),"有")</f>
        <v>有</v>
      </c>
      <c r="Y2089" s="8" t="str">
        <f>IFERROR(__xludf.DUMMYFUNCTION("""COMPUTED_VALUE"""),"2024/10/31まで1巻無料")</f>
        <v>2024/10/31まで1巻無料</v>
      </c>
      <c r="Z2089" s="7"/>
      <c r="AA2089" s="7"/>
      <c r="AB2089" s="7"/>
    </row>
    <row r="2090" ht="15.75" customHeight="1">
      <c r="A2090" s="76">
        <f>IFERROR(__xludf.DUMMYFUNCTION("""COMPUTED_VALUE"""),4111.0)</f>
        <v>4111</v>
      </c>
      <c r="B2090" s="69" t="str">
        <f>IFERROR(__xludf.DUMMYFUNCTION("""COMPUTED_VALUE"""),"確定")</f>
        <v>確定</v>
      </c>
      <c r="C2090" s="74">
        <f>IFERROR(__xludf.DUMMYFUNCTION("""COMPUTED_VALUE"""),45544.0)</f>
        <v>45544</v>
      </c>
      <c r="D2090" s="74">
        <f>IFERROR(__xludf.DUMMYFUNCTION("""COMPUTED_VALUE"""),45546.0)</f>
        <v>45546</v>
      </c>
      <c r="E2090" s="112">
        <f>IFERROR(__xludf.DUMMYFUNCTION("""COMPUTED_VALUE"""),303501.0)</f>
        <v>303501</v>
      </c>
      <c r="F2090" s="119" t="str">
        <f>IFERROR(__xludf.DUMMYFUNCTION("""COMPUTED_VALUE"""),"先生、ダメです 官能小説家の気持ちよすぎるS●Xレクチャー")</f>
        <v>先生、ダメです 官能小説家の気持ちよすぎるS●Xレクチャー</v>
      </c>
      <c r="G2090" s="69" t="str">
        <f>IFERROR(__xludf.DUMMYFUNCTION("""COMPUTED_VALUE"""),"1～3")</f>
        <v>1～3</v>
      </c>
      <c r="H2090" s="69" t="str">
        <f>IFERROR(__xludf.DUMMYFUNCTION("""COMPUTED_VALUE"""),"兎三島ひすい")</f>
        <v>兎三島ひすい</v>
      </c>
      <c r="I2090" s="69" t="str">
        <f>IFERROR(__xludf.DUMMYFUNCTION("""COMPUTED_VALUE"""),"TL")</f>
        <v>TL</v>
      </c>
      <c r="J2090" s="69"/>
      <c r="K2090" s="69"/>
      <c r="L2090" s="69" t="str">
        <f>IFERROR(__xludf.DUMMYFUNCTION("""COMPUTED_VALUE"""),"一迅社")</f>
        <v>一迅社</v>
      </c>
      <c r="M2090" s="23">
        <f>IFERROR(__xludf.DUMMYFUNCTION("""COMPUTED_VALUE"""),45569.0)</f>
        <v>45569</v>
      </c>
      <c r="N2090" s="77">
        <f>IFERROR(__xludf.DUMMYFUNCTION("""COMPUTED_VALUE"""),45659.70833333333)</f>
        <v>45659.70833</v>
      </c>
      <c r="O2090" s="69"/>
      <c r="P2090" s="120" t="str">
        <f>IFERROR(__xludf.DUMMYFUNCTION("""COMPUTED_VALUE"""),"可")</f>
        <v>可</v>
      </c>
      <c r="Q2090" s="111" t="str">
        <f>IFERROR(__xludf.DUMMYFUNCTION("""COMPUTED_VALUE"""),"・レーベル名：LOVEBITES")</f>
        <v>・レーベル名：LOVEBITES</v>
      </c>
      <c r="R2090" s="69"/>
      <c r="S2090" s="69" t="str">
        <f>IFERROR(__xludf.DUMMYFUNCTION("""COMPUTED_VALUE"""),"20240909_一迅社_先生、ダメです 官能小説家の気持ちよすぎるS●Xレクチャー")</f>
        <v>20240909_一迅社_先生、ダメです 官能小説家の気持ちよすぎるS●Xレクチャー</v>
      </c>
      <c r="T2090" s="69" t="str">
        <f>IFERROR(__xludf.DUMMYFUNCTION("""COMPUTED_VALUE"""),"格納済み")</f>
        <v>格納済み</v>
      </c>
      <c r="U2090" s="15" t="str">
        <f>IFERROR(__xludf.DUMMYFUNCTION("""COMPUTED_VALUE"""),"(C)兎三島ひすい／一迅社")</f>
        <v>(C)兎三島ひすい／一迅社</v>
      </c>
      <c r="V2090" s="8" t="str">
        <f>IFERROR(__xludf.DUMMYFUNCTION("""COMPUTED_VALUE"""),"憧れの人が、私の髪を、アソコを優しく撫でて、私の胸を、吸って、舐めて、私の耳元で、囁いて……。これは取材だから、感じてちゃダメなのに…。――念願の出版社に転職したひまりは、憧れの官能小説家・レン先生の担当に大抜擢！　意気揚々とレン先生の家を訪ねると、そこには怖くてデカくてクマがすごい男が…！？　しかも超イケメン…って、この人がレン先生！？　混乱するひまりは、コーヒーをこぼして、レン先生のパソコンを壊してしまう。原稿データを失ってしまったレン先生。私のせいで…。「私にお詫びさせてください！」思わず提案するひ"&amp;"まり。それを聞いたレン先生はひまりに取材をさせてほしいと言ってきて…。「ただし、君の体に直接…ね」早速服を脱がされたり、いろんなところを触られて…！？――ひたむきな新人文芸編集とちょっぴりイジワルな官能小説家のヒミツの執筆ライフ、スタートです！")</f>
        <v>憧れの人が、私の髪を、アソコを優しく撫でて、私の胸を、吸って、舐めて、私の耳元で、囁いて……。これは取材だから、感じてちゃダメなのに…。――念願の出版社に転職したひまりは、憧れの官能小説家・レン先生の担当に大抜擢！　意気揚々とレン先生の家を訪ねると、そこには怖くてデカくてクマがすごい男が…！？　しかも超イケメン…って、この人がレン先生！？　混乱するひまりは、コーヒーをこぼして、レン先生のパソコンを壊してしまう。原稿データを失ってしまったレン先生。私のせいで…。「私にお詫びさせてください！」思わず提案するひまり。それを聞いたレン先生はひまりに取材をさせてほしいと言ってきて…。「ただし、君の体に直接…ね」早速服を脱がされたり、いろんなところを触られて…！？――ひたむきな新人文芸編集とちょっぴりイジワルな官能小説家のヒミツの執筆ライフ、スタートです！</v>
      </c>
      <c r="W2090" s="14"/>
      <c r="X2090" s="14" t="str">
        <f>IFERROR(__xludf.DUMMYFUNCTION("""COMPUTED_VALUE"""),"有")</f>
        <v>有</v>
      </c>
      <c r="Y2090" s="8" t="str">
        <f>IFERROR(__xludf.DUMMYFUNCTION("""COMPUTED_VALUE"""),"P7まで")</f>
        <v>P7まで</v>
      </c>
      <c r="Z2090" s="7"/>
      <c r="AA2090" s="7"/>
      <c r="AB2090" s="7"/>
    </row>
    <row r="2091" ht="15.75" customHeight="1">
      <c r="A2091" s="76">
        <f>IFERROR(__xludf.DUMMYFUNCTION("""COMPUTED_VALUE"""),4121.0)</f>
        <v>4121</v>
      </c>
      <c r="B2091" s="69" t="str">
        <f>IFERROR(__xludf.DUMMYFUNCTION("""COMPUTED_VALUE"""),"確定")</f>
        <v>確定</v>
      </c>
      <c r="C2091" s="74">
        <f>IFERROR(__xludf.DUMMYFUNCTION("""COMPUTED_VALUE"""),45545.0)</f>
        <v>45545</v>
      </c>
      <c r="D2091" s="74">
        <f>IFERROR(__xludf.DUMMYFUNCTION("""COMPUTED_VALUE"""),45545.0)</f>
        <v>45545</v>
      </c>
      <c r="E2091" s="112">
        <f>IFERROR(__xludf.DUMMYFUNCTION("""COMPUTED_VALUE"""),303739.0)</f>
        <v>303739</v>
      </c>
      <c r="F2091" s="121" t="str">
        <f>IFERROR(__xludf.DUMMYFUNCTION("""COMPUTED_VALUE"""),"10年ぶりに会った従妹の誘惑～スカートの中で弱みを握られました～【フルカラー】")</f>
        <v>10年ぶりに会った従妹の誘惑～スカートの中で弱みを握られました～【フルカラー】</v>
      </c>
      <c r="G2091" s="69" t="str">
        <f>IFERROR(__xludf.DUMMYFUNCTION("""COMPUTED_VALUE"""),"1～3")</f>
        <v>1～3</v>
      </c>
      <c r="H2091" s="69" t="str">
        <f>IFERROR(__xludf.DUMMYFUNCTION("""COMPUTED_VALUE"""),"筧秀隆")</f>
        <v>筧秀隆</v>
      </c>
      <c r="I2091" s="69" t="str">
        <f>IFERROR(__xludf.DUMMYFUNCTION("""COMPUTED_VALUE"""),"青年")</f>
        <v>青年</v>
      </c>
      <c r="J2091" s="69"/>
      <c r="K2091" s="69"/>
      <c r="L2091" s="69" t="str">
        <f>IFERROR(__xludf.DUMMYFUNCTION("""COMPUTED_VALUE"""),"CLLENN")</f>
        <v>CLLENN</v>
      </c>
      <c r="M2091" s="23">
        <f>IFERROR(__xludf.DUMMYFUNCTION("""COMPUTED_VALUE"""),45571.0)</f>
        <v>45571</v>
      </c>
      <c r="N2091" s="23">
        <f>IFERROR(__xludf.DUMMYFUNCTION("""COMPUTED_VALUE"""),45668.0)</f>
        <v>45668</v>
      </c>
      <c r="O2091" s="69"/>
      <c r="P2091" s="120" t="str">
        <f>IFERROR(__xludf.DUMMYFUNCTION("""COMPUTED_VALUE"""),"可")</f>
        <v>可</v>
      </c>
      <c r="Q2091" s="69" t="str">
        <f>IFERROR(__xludf.DUMMYFUNCTION("""COMPUTED_VALUE"""),"協業作品です。&lt;BR&gt;レーベル名：シーモア×DEDEDE")</f>
        <v>協業作品です。&lt;BR&gt;レーベル名：シーモア×DEDEDE</v>
      </c>
      <c r="R2091" s="69" t="str">
        <f>IFERROR(__xludf.DUMMYFUNCTION("""COMPUTED_VALUE"""),"格納済み")</f>
        <v>格納済み</v>
      </c>
      <c r="S2091" s="69" t="str">
        <f>IFERROR(__xludf.DUMMYFUNCTION("""COMPUTED_VALUE"""),"20240910_CLLENN_協業_10年ぶりに会った姪の誘惑～スカートの中で弱みを握られました～【フルカラー】")</f>
        <v>20240910_CLLENN_協業_10年ぶりに会った姪の誘惑～スカートの中で弱みを握られました～【フルカラー】</v>
      </c>
      <c r="T2091" s="69" t="str">
        <f>IFERROR(__xludf.DUMMYFUNCTION("""COMPUTED_VALUE"""),"格納済み")</f>
        <v>格納済み</v>
      </c>
      <c r="U2091" s="15" t="str">
        <f>IFERROR(__xludf.DUMMYFUNCTION("""COMPUTED_VALUE"""),"(C)筧秀隆/CLLENN")</f>
        <v>(C)筧秀隆/CLLENN</v>
      </c>
      <c r="V2091" s="8" t="str">
        <f>IFERROR(__xludf.DUMMYFUNCTION("""COMPUTED_VALUE"""),"「例の動画の子…太もものつけ根にホクロがあった…っ」――物心ついた頃からチラリズムの世界に没頭してきた俺は、ネットでパンチラ動画を漁るのが日課…という情けない日々を送っていた。そんなある日、俺は叔父の葬式に参列し、従妹の姉妹、芹那と彩女に10年ぶりに再会する。そして、俺は彩女の顔を見て驚く…「動画の女の子!?」 ネットでパンチラ動画を販売されている女子校生とそっくりなのだ。もし、被害者が彩女本人だとしたら…。真実を確かめ彼女を救うには、彩女のスカートの中をこっそり覗くしかない！ 手がかりは太もものつけ根の"&amp;"ホクロ!!")</f>
        <v>「例の動画の子…太もものつけ根にホクロがあった…っ」――物心ついた頃からチラリズムの世界に没頭してきた俺は、ネットでパンチラ動画を漁るのが日課…という情けない日々を送っていた。そんなある日、俺は叔父の葬式に参列し、従妹の姉妹、芹那と彩女に10年ぶりに再会する。そして、俺は彩女の顔を見て驚く…「動画の女の子!?」 ネットでパンチラ動画を販売されている女子校生とそっくりなのだ。もし、被害者が彩女本人だとしたら…。真実を確かめ彼女を救うには、彩女のスカートの中をこっそり覗くしかない！ 手がかりは太もものつけ根のホクロ!!</v>
      </c>
      <c r="W2091" s="14"/>
      <c r="X2091" s="14" t="str">
        <f>IFERROR(__xludf.DUMMYFUNCTION("""COMPUTED_VALUE"""),"有")</f>
        <v>有</v>
      </c>
      <c r="Y2091" s="8" t="str">
        <f>IFERROR(__xludf.DUMMYFUNCTION("""COMPUTED_VALUE"""),"2024/10/19まで1巻無料")</f>
        <v>2024/10/19まで1巻無料</v>
      </c>
      <c r="Z2091" s="7"/>
      <c r="AA2091" s="7"/>
      <c r="AB2091" s="7"/>
    </row>
    <row r="2092" ht="15.75" customHeight="1">
      <c r="A2092" s="76">
        <f>IFERROR(__xludf.DUMMYFUNCTION("""COMPUTED_VALUE"""),4123.0)</f>
        <v>4123</v>
      </c>
      <c r="B2092" s="69" t="str">
        <f>IFERROR(__xludf.DUMMYFUNCTION("""COMPUTED_VALUE"""),"確定")</f>
        <v>確定</v>
      </c>
      <c r="C2092" s="74">
        <f>IFERROR(__xludf.DUMMYFUNCTION("""COMPUTED_VALUE"""),45545.0)</f>
        <v>45545</v>
      </c>
      <c r="D2092" s="74">
        <f>IFERROR(__xludf.DUMMYFUNCTION("""COMPUTED_VALUE"""),45545.0)</f>
        <v>45545</v>
      </c>
      <c r="E2092" s="116">
        <f>IFERROR(__xludf.DUMMYFUNCTION("""COMPUTED_VALUE"""),226000.0)</f>
        <v>226000</v>
      </c>
      <c r="F2092" s="119" t="str">
        <f>IFERROR(__xludf.DUMMYFUNCTION("""COMPUTED_VALUE"""),"兄貴の友達")</f>
        <v>兄貴の友達</v>
      </c>
      <c r="G2092" s="69">
        <f>IFERROR(__xludf.DUMMYFUNCTION("""COMPUTED_VALUE"""),4.0)</f>
        <v>4</v>
      </c>
      <c r="H2092" s="69" t="str">
        <f>IFERROR(__xludf.DUMMYFUNCTION("""COMPUTED_VALUE"""),"はなげのまい")</f>
        <v>はなげのまい</v>
      </c>
      <c r="I2092" s="69" t="str">
        <f>IFERROR(__xludf.DUMMYFUNCTION("""COMPUTED_VALUE"""),"BL")</f>
        <v>BL</v>
      </c>
      <c r="J2092" s="69"/>
      <c r="K2092" s="69"/>
      <c r="L2092" s="69" t="str">
        <f>IFERROR(__xludf.DUMMYFUNCTION("""COMPUTED_VALUE"""),"KADOKAWA")</f>
        <v>KADOKAWA</v>
      </c>
      <c r="M2092" s="77">
        <f>IFERROR(__xludf.DUMMYFUNCTION("""COMPUTED_VALUE"""),45584.0)</f>
        <v>45584</v>
      </c>
      <c r="N2092" s="74">
        <f>IFERROR(__xludf.DUMMYFUNCTION("""COMPUTED_VALUE"""),2958465.0)</f>
        <v>2958465</v>
      </c>
      <c r="O2092" s="69"/>
      <c r="P2092" s="120" t="str">
        <f>IFERROR(__xludf.DUMMYFUNCTION("""COMPUTED_VALUE"""),"可")</f>
        <v>可</v>
      </c>
      <c r="Q2092" s="111" t="str">
        <f>IFERROR(__xludf.DUMMYFUNCTION("""COMPUTED_VALUE"""),"シーモア限定BOOK作品です")</f>
        <v>シーモア限定BOOK作品です</v>
      </c>
      <c r="R2092" s="69"/>
      <c r="S2092" s="69" t="str">
        <f>IFERROR(__xludf.DUMMYFUNCTION("""COMPUTED_VALUE"""),"20240910_KADOKAWA_兄貴の友達 シーモア限定BOOK")</f>
        <v>20240910_KADOKAWA_兄貴の友達 シーモア限定BOOK</v>
      </c>
      <c r="T2092" s="69" t="str">
        <f>IFERROR(__xludf.DUMMYFUNCTION("""COMPUTED_VALUE"""),"格納済み")</f>
        <v>格納済み</v>
      </c>
      <c r="U2092" s="15" t="str">
        <f>IFERROR(__xludf.DUMMYFUNCTION("""COMPUTED_VALUE"""),"（C)hanagenomai")</f>
        <v>（C)hanagenomai</v>
      </c>
      <c r="V2092" s="8" t="str">
        <f>IFERROR(__xludf.DUMMYFUNCTION("""COMPUTED_VALUE"""),"高１の田中ゆうやには１個上の兄・隼人がいるが、兄とは昔から気が合わない。自分とは真逆のタイプの隼人が毎日のように家に連れてくる友達や彼女も、もちろん苦手。彼らが家に来るとゆうやは絡まれないよう自室に閉じこもるようにしていた。そんなある日、隼人たちが恋愛観について話しているのが壁の向こうから聞こえてくる。「即ヤれる女がいいっしょ！」と盛り上がる中「俺は彼女がほしいんじゃなくて好きな人と両想いになりたいだけ」と語る「カキモトサン」の恋愛観にゆうやは感動するのだが……?!　pixiv創作漫画2021全10選にも"&amp;"選ばれた令和最高のDKBL、待望の書籍化！　描き下ろしも20P以上の大ボリューム！
【電子特典：描き下ろしマンガ２P】")</f>
        <v>高１の田中ゆうやには１個上の兄・隼人がいるが、兄とは昔から気が合わない。自分とは真逆のタイプの隼人が毎日のように家に連れてくる友達や彼女も、もちろん苦手。彼らが家に来るとゆうやは絡まれないよう自室に閉じこもるようにしていた。そんなある日、隼人たちが恋愛観について話しているのが壁の向こうから聞こえてくる。「即ヤれる女がいいっしょ！」と盛り上がる中「俺は彼女がほしいんじゃなくて好きな人と両想いになりたいだけ」と語る「カキモトサン」の恋愛観にゆうやは感動するのだが……?!　pixiv創作漫画2021全10選にも選ばれた令和最高のDKBL、待望の書籍化！　描き下ろしも20P以上の大ボリューム！
【電子特典：描き下ろしマンガ２P】</v>
      </c>
      <c r="W2092" s="14"/>
      <c r="X2092" s="14" t="str">
        <f>IFERROR(__xludf.DUMMYFUNCTION("""COMPUTED_VALUE"""),"有")</f>
        <v>有</v>
      </c>
      <c r="Y2092" s="8" t="str">
        <f>IFERROR(__xludf.DUMMYFUNCTION("""COMPUTED_VALUE"""),"2024/11/18まで立ち読み増量P76まで")</f>
        <v>2024/11/18まで立ち読み増量P76まで</v>
      </c>
      <c r="Z2092" s="7"/>
      <c r="AA2092" s="7"/>
      <c r="AB2092" s="7"/>
    </row>
    <row r="2093" ht="15.75" customHeight="1">
      <c r="A2093" s="26">
        <f>IFERROR(__xludf.DUMMYFUNCTION("""COMPUTED_VALUE"""),3219.0)</f>
        <v>3219</v>
      </c>
      <c r="B2093" s="69" t="str">
        <f>IFERROR(__xludf.DUMMYFUNCTION("""COMPUTED_VALUE"""),"確定")</f>
        <v>確定</v>
      </c>
      <c r="C2093" s="59">
        <f>IFERROR(__xludf.DUMMYFUNCTION("""COMPUTED_VALUE"""),45383.0)</f>
        <v>45383</v>
      </c>
      <c r="D2093" s="59">
        <f>IFERROR(__xludf.DUMMYFUNCTION("""COMPUTED_VALUE"""),45546.0)</f>
        <v>45546</v>
      </c>
      <c r="E2093" s="100">
        <f>IFERROR(__xludf.DUMMYFUNCTION("""COMPUTED_VALUE"""),305233.0)</f>
        <v>305233</v>
      </c>
      <c r="F2093" s="61" t="str">
        <f>IFERROR(__xludf.DUMMYFUNCTION("""COMPUTED_VALUE"""),"転生して成長チートを手に入れたら、最凶スキルもついたのですが⁉︎")</f>
        <v>転生して成長チートを手に入れたら、最凶スキルもついたのですが⁉︎</v>
      </c>
      <c r="G2093" s="67" t="str">
        <f>IFERROR(__xludf.DUMMYFUNCTION("""COMPUTED_VALUE"""),"1～6")</f>
        <v>1～6</v>
      </c>
      <c r="H2093" s="22" t="str">
        <f>IFERROR(__xludf.DUMMYFUNCTION("""COMPUTED_VALUE"""),"漫画：ゆずもと　原作：やま　キャラクター原案：我美蘭")</f>
        <v>漫画：ゆずもと　原作：やま　キャラクター原案：我美蘭</v>
      </c>
      <c r="I2093" s="22" t="str">
        <f>IFERROR(__xludf.DUMMYFUNCTION("""COMPUTED_VALUE"""),"少年")</f>
        <v>少年</v>
      </c>
      <c r="J2093" s="22"/>
      <c r="K2093" s="22"/>
      <c r="L2093" s="22" t="str">
        <f>IFERROR(__xludf.DUMMYFUNCTION("""COMPUTED_VALUE"""),"マンガボックス")</f>
        <v>マンガボックス</v>
      </c>
      <c r="M2093" s="33">
        <f>IFERROR(__xludf.DUMMYFUNCTION("""COMPUTED_VALUE"""),45596.0)</f>
        <v>45596</v>
      </c>
      <c r="N2093" s="23">
        <f>IFERROR(__xludf.DUMMYFUNCTION("""COMPUTED_VALUE"""),45687.0)</f>
        <v>45687</v>
      </c>
      <c r="O2093" s="69"/>
      <c r="P2093" s="32" t="str">
        <f>IFERROR(__xludf.DUMMYFUNCTION("""COMPUTED_VALUE"""),"可")</f>
        <v>可</v>
      </c>
      <c r="Q2093" s="31"/>
      <c r="R2093" s="22" t="str">
        <f>IFERROR(__xludf.DUMMYFUNCTION("""COMPUTED_VALUE"""),"広告コミットOK(4/5)")</f>
        <v>広告コミットOK(4/5)</v>
      </c>
      <c r="S2093" s="69" t="str">
        <f>IFERROR(__xludf.DUMMYFUNCTION("""COMPUTED_VALUE"""),"202400911_マンガボックス_転生して成長チートを手に入れたら、最凶スキルもついたのですが⁉︎")</f>
        <v>202400911_マンガボックス_転生して成長チートを手に入れたら、最凶スキルもついたのですが⁉︎</v>
      </c>
      <c r="T2093" s="22" t="str">
        <f>IFERROR(__xludf.DUMMYFUNCTION("""COMPUTED_VALUE"""),"格納済み")</f>
        <v>格納済み</v>
      </c>
      <c r="U2093" s="15" t="str">
        <f>IFERROR(__xludf.DUMMYFUNCTION("""COMPUTED_VALUE"""),"Ⓒやま・ゆずもと／マンガボックス")</f>
        <v>Ⓒやま・ゆずもと／マンガボックス</v>
      </c>
      <c r="V2093" s="8" t="str">
        <f>IFERROR(__xludf.DUMMYFUNCTION("""COMPUTED_VALUE"""),"高校生の桂木隼人は交通事故により、異世界の貴族の子であるレイヴェルト・ランウォーカーに転生する。転生時、女神からレベル制限なしのチートスキルを与えられるが、同時に「困難に見舞われし者」という最凶スキルも手に入れてしまう。ハードモードな人生が確定したレイは特訓を受け強くなることを決意。稽古を受けながらも、かわいいメイドや妹に囲まれた幸せな生活を送っていたが、そこへ魔物の大群が押し寄せてきて…！？")</f>
        <v>高校生の桂木隼人は交通事故により、異世界の貴族の子であるレイヴェルト・ランウォーカーに転生する。転生時、女神からレベル制限なしのチートスキルを与えられるが、同時に「困難に見舞われし者」という最凶スキルも手に入れてしまう。ハードモードな人生が確定したレイは特訓を受け強くなることを決意。稽古を受けながらも、かわいいメイドや妹に囲まれた幸せな生活を送っていたが、そこへ魔物の大群が押し寄せてきて…！？</v>
      </c>
      <c r="W2093" s="14"/>
      <c r="X2093" s="14" t="str">
        <f>IFERROR(__xludf.DUMMYFUNCTION("""COMPUTED_VALUE"""),"有")</f>
        <v>有</v>
      </c>
      <c r="Y2093" s="8" t="str">
        <f>IFERROR(__xludf.DUMMYFUNCTION("""COMPUTED_VALUE"""),"2024/11/20まで1巻無料")</f>
        <v>2024/11/20まで1巻無料</v>
      </c>
      <c r="Z2093" s="7"/>
      <c r="AA2093" s="7"/>
      <c r="AB2093" s="7"/>
    </row>
    <row r="2094" ht="15.75" customHeight="1">
      <c r="A2094" s="66">
        <f>IFERROR(__xludf.DUMMYFUNCTION("""COMPUTED_VALUE"""),3964.0)</f>
        <v>3964</v>
      </c>
      <c r="B2094" s="67" t="str">
        <f>IFERROR(__xludf.DUMMYFUNCTION("""COMPUTED_VALUE"""),"確定")</f>
        <v>確定</v>
      </c>
      <c r="C2094" s="68">
        <f>IFERROR(__xludf.DUMMYFUNCTION("""COMPUTED_VALUE"""),45519.0)</f>
        <v>45519</v>
      </c>
      <c r="D2094" s="68">
        <f>IFERROR(__xludf.DUMMYFUNCTION("""COMPUTED_VALUE"""),45547.0)</f>
        <v>45547</v>
      </c>
      <c r="E2094" s="60">
        <f>IFERROR(__xludf.DUMMYFUNCTION("""COMPUTED_VALUE"""),304069.0)</f>
        <v>304069</v>
      </c>
      <c r="F2094" s="61" t="str">
        <f>IFERROR(__xludf.DUMMYFUNCTION("""COMPUTED_VALUE"""),"愛したがりエリートくんには秘密がある。")</f>
        <v>愛したがりエリートくんには秘密がある。</v>
      </c>
      <c r="G2094" s="67" t="str">
        <f>IFERROR(__xludf.DUMMYFUNCTION("""COMPUTED_VALUE"""),"1～2")</f>
        <v>1～2</v>
      </c>
      <c r="H2094" s="67" t="str">
        <f>IFERROR(__xludf.DUMMYFUNCTION("""COMPUTED_VALUE"""),"すずくらはる")</f>
        <v>すずくらはる</v>
      </c>
      <c r="I2094" s="78" t="str">
        <f>IFERROR(__xludf.DUMMYFUNCTION("""COMPUTED_VALUE"""),"少女")</f>
        <v>少女</v>
      </c>
      <c r="J2094" s="67"/>
      <c r="K2094" s="67"/>
      <c r="L2094" s="67" t="str">
        <f>IFERROR(__xludf.DUMMYFUNCTION("""COMPUTED_VALUE"""),"CLLENN")</f>
        <v>CLLENN</v>
      </c>
      <c r="M2094" s="47">
        <f>IFERROR(__xludf.DUMMYFUNCTION("""COMPUTED_VALUE"""),45579.0)</f>
        <v>45579</v>
      </c>
      <c r="N2094" s="23">
        <f>IFERROR(__xludf.DUMMYFUNCTION("""COMPUTED_VALUE"""),45634.0)</f>
        <v>45634</v>
      </c>
      <c r="O2094" s="67"/>
      <c r="P2094" s="70" t="str">
        <f>IFERROR(__xludf.DUMMYFUNCTION("""COMPUTED_VALUE"""),"可")</f>
        <v>可</v>
      </c>
      <c r="Q2094" s="67" t="str">
        <f>IFERROR(__xludf.DUMMYFUNCTION("""COMPUTED_VALUE"""),"レーベル名：シェノンコミックス&lt;BR&gt;シーモア独占先行")</f>
        <v>レーベル名：シェノンコミックス&lt;BR&gt;シーモア独占先行</v>
      </c>
      <c r="R2094" s="67" t="str">
        <f>IFERROR(__xludf.DUMMYFUNCTION("""COMPUTED_VALUE"""),"広告コミットOK(8/22)")</f>
        <v>広告コミットOK(8/22)</v>
      </c>
      <c r="S2094" s="67" t="str">
        <f>IFERROR(__xludf.DUMMYFUNCTION("""COMPUTED_VALUE"""),"20240911_CLLENN_すずくらはる_愛したがりエリートくんには秘密がある。_女性")</f>
        <v>20240911_CLLENN_すずくらはる_愛したがりエリートくんには秘密がある。_女性</v>
      </c>
      <c r="T2094" s="67" t="str">
        <f>IFERROR(__xludf.DUMMYFUNCTION("""COMPUTED_VALUE"""),"格納済み")</f>
        <v>格納済み</v>
      </c>
      <c r="U2094" s="15" t="str">
        <f>IFERROR(__xludf.DUMMYFUNCTION("""COMPUTED_VALUE"""),"(C)すずくらはる/CLLENN")</f>
        <v>(C)すずくらはる/CLLENN</v>
      </c>
      <c r="V2094" s="8" t="str">
        <f>IFERROR(__xludf.DUMMYFUNCTION("""COMPUTED_VALUE"""),"「俺がたっぷり甘やかしてあげます」生真面目すぎて人付き合いが苦手なOL・相田ゆの。恋とは縁遠い生活をしていたはずなのに、社内一のモテ男・久世颯真が顔を合わせるたびに口説いてくる。まさか本気だとは思っていなかったけれど、上司に心のない言葉を言われ落ち込んでいたら、優しく寄り添ってくれて…。「俺の前では強がらないでください」甘い言葉を何度も囁かれ、張りつめていた気持ちが緩んでしまう。誰にも見せたことがない弱さを知られても、彼は真摯に受け止めてくれて――。このまま甘やかされたら、どうなっちゃうの…？沼系エリート"&amp;"男子×こじらせ堅物女子のじれ甘溺愛ラブ★")</f>
        <v>「俺がたっぷり甘やかしてあげます」生真面目すぎて人付き合いが苦手なOL・相田ゆの。恋とは縁遠い生活をしていたはずなのに、社内一のモテ男・久世颯真が顔を合わせるたびに口説いてくる。まさか本気だとは思っていなかったけれど、上司に心のない言葉を言われ落ち込んでいたら、優しく寄り添ってくれて…。「俺の前では強がらないでください」甘い言葉を何度も囁かれ、張りつめていた気持ちが緩んでしまう。誰にも見せたことがない弱さを知られても、彼は真摯に受け止めてくれて――。このまま甘やかされたら、どうなっちゃうの…？沼系エリート男子×こじらせ堅物女子のじれ甘溺愛ラブ★</v>
      </c>
      <c r="W2094" s="14"/>
      <c r="X2094" s="14" t="str">
        <f>IFERROR(__xludf.DUMMYFUNCTION("""COMPUTED_VALUE"""),"有")</f>
        <v>有</v>
      </c>
      <c r="Y2094" s="8" t="str">
        <f>IFERROR(__xludf.DUMMYFUNCTION("""COMPUTED_VALUE"""),"2024/11/15まで立ち読み増量P30まで")</f>
        <v>2024/11/15まで立ち読み増量P30まで</v>
      </c>
      <c r="Z2094" s="7"/>
      <c r="AA2094" s="7"/>
      <c r="AB2094" s="7"/>
    </row>
    <row r="2095" ht="15.75" customHeight="1">
      <c r="A2095" s="66">
        <f>IFERROR(__xludf.DUMMYFUNCTION("""COMPUTED_VALUE"""),3967.0)</f>
        <v>3967</v>
      </c>
      <c r="B2095" s="67" t="str">
        <f>IFERROR(__xludf.DUMMYFUNCTION("""COMPUTED_VALUE"""),"確定")</f>
        <v>確定</v>
      </c>
      <c r="C2095" s="68">
        <f>IFERROR(__xludf.DUMMYFUNCTION("""COMPUTED_VALUE"""),45519.0)</f>
        <v>45519</v>
      </c>
      <c r="D2095" s="68">
        <f>IFERROR(__xludf.DUMMYFUNCTION("""COMPUTED_VALUE"""),45547.0)</f>
        <v>45547</v>
      </c>
      <c r="E2095" s="60">
        <f>IFERROR(__xludf.DUMMYFUNCTION("""COMPUTED_VALUE"""),304023.0)</f>
        <v>304023</v>
      </c>
      <c r="F2095" s="61" t="str">
        <f>IFERROR(__xludf.DUMMYFUNCTION("""COMPUTED_VALUE"""),"愛したがりエリートくんには秘密がある。～沼系男子の甘くてエッチな恋の罠～")</f>
        <v>愛したがりエリートくんには秘密がある。～沼系男子の甘くてエッチな恋の罠～</v>
      </c>
      <c r="G2095" s="67" t="str">
        <f>IFERROR(__xludf.DUMMYFUNCTION("""COMPUTED_VALUE"""),"1～2")</f>
        <v>1～2</v>
      </c>
      <c r="H2095" s="67" t="str">
        <f>IFERROR(__xludf.DUMMYFUNCTION("""COMPUTED_VALUE"""),"すずくらはる")</f>
        <v>すずくらはる</v>
      </c>
      <c r="I2095" s="67" t="str">
        <f>IFERROR(__xludf.DUMMYFUNCTION("""COMPUTED_VALUE"""),"TL")</f>
        <v>TL</v>
      </c>
      <c r="J2095" s="67"/>
      <c r="K2095" s="67"/>
      <c r="L2095" s="67" t="str">
        <f>IFERROR(__xludf.DUMMYFUNCTION("""COMPUTED_VALUE"""),"CLLENN")</f>
        <v>CLLENN</v>
      </c>
      <c r="M2095" s="47">
        <f>IFERROR(__xludf.DUMMYFUNCTION("""COMPUTED_VALUE"""),45579.0)</f>
        <v>45579</v>
      </c>
      <c r="N2095" s="23">
        <f>IFERROR(__xludf.DUMMYFUNCTION("""COMPUTED_VALUE"""),45634.0)</f>
        <v>45634</v>
      </c>
      <c r="O2095" s="67"/>
      <c r="P2095" s="70" t="str">
        <f>IFERROR(__xludf.DUMMYFUNCTION("""COMPUTED_VALUE"""),"可")</f>
        <v>可</v>
      </c>
      <c r="Q2095" s="67" t="str">
        <f>IFERROR(__xludf.DUMMYFUNCTION("""COMPUTED_VALUE"""),"レーベル名：シェノンコミックス+&lt;BR&gt;2書店(ebj orブックライブ)で同時先行配信予定です。&lt;BR&gt;シーモア独占先行&lt;BR&gt;※「愛したがりエリートくんには秘密がある。」のTL版です。&lt;BR&gt;※一般版とTL版の出稿先は出し分けていただけますと幸いです。&lt;BR&gt;例：一般版＝SNS広告、TL版＝ADNWアダルト など")</f>
        <v>レーベル名：シェノンコミックス+&lt;BR&gt;2書店(ebj orブックライブ)で同時先行配信予定です。&lt;BR&gt;シーモア独占先行&lt;BR&gt;※「愛したがりエリートくんには秘密がある。」のTL版です。&lt;BR&gt;※一般版とTL版の出稿先は出し分けていただけますと幸いです。&lt;BR&gt;例：一般版＝SNS広告、TL版＝ADNWアダルト など</v>
      </c>
      <c r="R2095" s="67" t="str">
        <f>IFERROR(__xludf.DUMMYFUNCTION("""COMPUTED_VALUE"""),"広告コミットOK(8/22)")</f>
        <v>広告コミットOK(8/22)</v>
      </c>
      <c r="S2095" s="67" t="str">
        <f>IFERROR(__xludf.DUMMYFUNCTION("""COMPUTED_VALUE"""),"20240911_CLLENN_すずくらはる_愛したがりエリートくんには秘密がある。～沼系男子の甘くてエッチな恋の罠～_TL")</f>
        <v>20240911_CLLENN_すずくらはる_愛したがりエリートくんには秘密がある。～沼系男子の甘くてエッチな恋の罠～_TL</v>
      </c>
      <c r="T2095" s="67" t="str">
        <f>IFERROR(__xludf.DUMMYFUNCTION("""COMPUTED_VALUE"""),"格納済み")</f>
        <v>格納済み</v>
      </c>
      <c r="U2095" s="15" t="str">
        <f>IFERROR(__xludf.DUMMYFUNCTION("""COMPUTED_VALUE"""),"(C)すずくらはる/CLLENN")</f>
        <v>(C)すずくらはる/CLLENN</v>
      </c>
      <c r="V2095" s="8" t="str">
        <f>IFERROR(__xludf.DUMMYFUNCTION("""COMPUTED_VALUE"""),"「俺があなたを抱くところ、ちゃんと見ててください」今まで感じたことのない快楽に、頭の中が真っ白になる――生真面目すぎて人付き合いが苦手なOL・相田ゆの。恋とは縁遠い生活をしていたはずなのに、社内一のモテ男・久世颯真が顔を合わせるたびに口説いてくる。まさか本気だと思っていなかったけれど、ひょんなことから一緒にホテルに行くことになって…!?「俺の手であなたを乱してると思うと、すごく興奮します」溶けそうなくらい熱い手でカラダをまさぐられ、甘い言葉を何度も囁かれたら、奥がきゅんと疼いてしまい――。本当に、このまま"&amp;"身を任せてしまってもいいの…？沼系エリート男子×こじらせ堅物女子のじれ甘溺愛ラブ★※この作品は『愛したがりエリートくんには秘密がある。』にRシーンを追加した再編集版です。重複購入にお気を付けください。")</f>
        <v>「俺があなたを抱くところ、ちゃんと見ててください」今まで感じたことのない快楽に、頭の中が真っ白になる――生真面目すぎて人付き合いが苦手なOL・相田ゆの。恋とは縁遠い生活をしていたはずなのに、社内一のモテ男・久世颯真が顔を合わせるたびに口説いてくる。まさか本気だと思っていなかったけれど、ひょんなことから一緒にホテルに行くことになって…!?「俺の手であなたを乱してると思うと、すごく興奮します」溶けそうなくらい熱い手でカラダをまさぐられ、甘い言葉を何度も囁かれたら、奥がきゅんと疼いてしまい――。本当に、このまま身を任せてしまってもいいの…？沼系エリート男子×こじらせ堅物女子のじれ甘溺愛ラブ★※この作品は『愛したがりエリートくんには秘密がある。』にRシーンを追加した再編集版です。重複購入にお気を付けください。</v>
      </c>
      <c r="W2095" s="14"/>
      <c r="X2095" s="14" t="str">
        <f>IFERROR(__xludf.DUMMYFUNCTION("""COMPUTED_VALUE"""),"有")</f>
        <v>有</v>
      </c>
      <c r="Y2095" s="8" t="str">
        <f>IFERROR(__xludf.DUMMYFUNCTION("""COMPUTED_VALUE"""),"2024/11/15まで立ち読み増量P30まで")</f>
        <v>2024/11/15まで立ち読み増量P30まで</v>
      </c>
      <c r="Z2095" s="7"/>
      <c r="AA2095" s="7"/>
      <c r="AB2095" s="7"/>
    </row>
    <row r="2096" ht="15.75" customHeight="1">
      <c r="A2096" s="66">
        <f>IFERROR(__xludf.DUMMYFUNCTION("""COMPUTED_VALUE"""),3965.0)</f>
        <v>3965</v>
      </c>
      <c r="B2096" s="67" t="str">
        <f>IFERROR(__xludf.DUMMYFUNCTION("""COMPUTED_VALUE"""),"確定")</f>
        <v>確定</v>
      </c>
      <c r="C2096" s="68">
        <f>IFERROR(__xludf.DUMMYFUNCTION("""COMPUTED_VALUE"""),45519.0)</f>
        <v>45519</v>
      </c>
      <c r="D2096" s="68">
        <f>IFERROR(__xludf.DUMMYFUNCTION("""COMPUTED_VALUE"""),45547.0)</f>
        <v>45547</v>
      </c>
      <c r="E2096" s="60">
        <f>IFERROR(__xludf.DUMMYFUNCTION("""COMPUTED_VALUE"""),304070.0)</f>
        <v>304070</v>
      </c>
      <c r="F2096" s="61" t="str">
        <f>IFERROR(__xludf.DUMMYFUNCTION("""COMPUTED_VALUE"""),"二度目の恋は、甘くてアブナイ")</f>
        <v>二度目の恋は、甘くてアブナイ</v>
      </c>
      <c r="G2096" s="67" t="str">
        <f>IFERROR(__xludf.DUMMYFUNCTION("""COMPUTED_VALUE"""),"1～2")</f>
        <v>1～2</v>
      </c>
      <c r="H2096" s="67" t="str">
        <f>IFERROR(__xludf.DUMMYFUNCTION("""COMPUTED_VALUE"""),"明日乃らか")</f>
        <v>明日乃らか</v>
      </c>
      <c r="I2096" s="78" t="str">
        <f>IFERROR(__xludf.DUMMYFUNCTION("""COMPUTED_VALUE"""),"少女")</f>
        <v>少女</v>
      </c>
      <c r="J2096" s="67"/>
      <c r="K2096" s="67"/>
      <c r="L2096" s="67" t="str">
        <f>IFERROR(__xludf.DUMMYFUNCTION("""COMPUTED_VALUE"""),"CLLENN")</f>
        <v>CLLENN</v>
      </c>
      <c r="M2096" s="47">
        <f>IFERROR(__xludf.DUMMYFUNCTION("""COMPUTED_VALUE"""),45579.0)</f>
        <v>45579</v>
      </c>
      <c r="N2096" s="23">
        <f>IFERROR(__xludf.DUMMYFUNCTION("""COMPUTED_VALUE"""),45634.0)</f>
        <v>45634</v>
      </c>
      <c r="O2096" s="67"/>
      <c r="P2096" s="70" t="str">
        <f>IFERROR(__xludf.DUMMYFUNCTION("""COMPUTED_VALUE"""),"可")</f>
        <v>可</v>
      </c>
      <c r="Q2096" s="67" t="str">
        <f>IFERROR(__xludf.DUMMYFUNCTION("""COMPUTED_VALUE"""),"レーベル名：シェノンコミックス&lt;BR&gt;⇒シーモア独占先行")</f>
        <v>レーベル名：シェノンコミックス&lt;BR&gt;⇒シーモア独占先行</v>
      </c>
      <c r="R2096" s="67" t="str">
        <f>IFERROR(__xludf.DUMMYFUNCTION("""COMPUTED_VALUE"""),"広告コミットOK(8/23)")</f>
        <v>広告コミットOK(8/23)</v>
      </c>
      <c r="S2096" s="67" t="str">
        <f>IFERROR(__xludf.DUMMYFUNCTION("""COMPUTED_VALUE"""),"20240911_CLLENN_明日乃らか_二度目の恋は、甘くてアブナイ_女性")</f>
        <v>20240911_CLLENN_明日乃らか_二度目の恋は、甘くてアブナイ_女性</v>
      </c>
      <c r="T2096" s="67" t="str">
        <f>IFERROR(__xludf.DUMMYFUNCTION("""COMPUTED_VALUE"""),"格納済み")</f>
        <v>格納済み</v>
      </c>
      <c r="U2096" s="15" t="str">
        <f>IFERROR(__xludf.DUMMYFUNCTION("""COMPUTED_VALUE"""),"(C)明日乃らか/CLLENN")</f>
        <v>(C)明日乃らか/CLLENN</v>
      </c>
      <c r="V2096" s="8" t="str">
        <f>IFERROR(__xludf.DUMMYFUNCTION("""COMPUTED_VALUE"""),"「こんなに可愛い反応されたら、我慢できない」大好きだった恋人・史弥と別れて以来、仕事一筋で生きてきたOLの陽菜子。6年間未練を断ち切れていなかったのに、突然、彼が同僚として転職してきて…!?動揺を隠せず、気まずさから他人のフリをしてしまうけど、史弥はまっすぐに陽菜子を見つめてくる。「会いたかった、もう離さないから」忘れたくても忘れられなかった彼がそこにいるだけで、当時の想いが溢れてしまう。本当は別れたくなかったと思わず本音をぶつけたら、返ってきたのは激しいキスで…？どういうつもりか分からなくて、陽菜子が混"&amp;"乱していると彼は――！二度と手放す気はない執着系男子×過去の恋で臆病になった女子の溺愛リベンジラブ☆")</f>
        <v>「こんなに可愛い反応されたら、我慢できない」大好きだった恋人・史弥と別れて以来、仕事一筋で生きてきたOLの陽菜子。6年間未練を断ち切れていなかったのに、突然、彼が同僚として転職してきて…!?動揺を隠せず、気まずさから他人のフリをしてしまうけど、史弥はまっすぐに陽菜子を見つめてくる。「会いたかった、もう離さないから」忘れたくても忘れられなかった彼がそこにいるだけで、当時の想いが溢れてしまう。本当は別れたくなかったと思わず本音をぶつけたら、返ってきたのは激しいキスで…？どういうつもりか分からなくて、陽菜子が混乱していると彼は――！二度と手放す気はない執着系男子×過去の恋で臆病になった女子の溺愛リベンジラブ☆</v>
      </c>
      <c r="W2096" s="14"/>
      <c r="X2096" s="14" t="str">
        <f>IFERROR(__xludf.DUMMYFUNCTION("""COMPUTED_VALUE"""),"有")</f>
        <v>有</v>
      </c>
      <c r="Y2096" s="8" t="str">
        <f>IFERROR(__xludf.DUMMYFUNCTION("""COMPUTED_VALUE"""),"2024/11/15まで立ち読み増量P19まで")</f>
        <v>2024/11/15まで立ち読み増量P19まで</v>
      </c>
      <c r="Z2096" s="7"/>
      <c r="AA2096" s="7"/>
      <c r="AB2096" s="7"/>
    </row>
    <row r="2097" ht="15.75" customHeight="1">
      <c r="A2097" s="66">
        <f>IFERROR(__xludf.DUMMYFUNCTION("""COMPUTED_VALUE"""),3968.0)</f>
        <v>3968</v>
      </c>
      <c r="B2097" s="67" t="str">
        <f>IFERROR(__xludf.DUMMYFUNCTION("""COMPUTED_VALUE"""),"確定")</f>
        <v>確定</v>
      </c>
      <c r="C2097" s="68">
        <f>IFERROR(__xludf.DUMMYFUNCTION("""COMPUTED_VALUE"""),45519.0)</f>
        <v>45519</v>
      </c>
      <c r="D2097" s="68">
        <f>IFERROR(__xludf.DUMMYFUNCTION("""COMPUTED_VALUE"""),45547.0)</f>
        <v>45547</v>
      </c>
      <c r="E2097" s="60">
        <f>IFERROR(__xludf.DUMMYFUNCTION("""COMPUTED_VALUE"""),304024.0)</f>
        <v>304024</v>
      </c>
      <c r="F2097" s="61" t="str">
        <f>IFERROR(__xludf.DUMMYFUNCTION("""COMPUTED_VALUE"""),"二度目の恋は、甘くてアブナイ～クールな元カレの執愛セックスからは逃げられない～")</f>
        <v>二度目の恋は、甘くてアブナイ～クールな元カレの執愛セックスからは逃げられない～</v>
      </c>
      <c r="G2097" s="67" t="str">
        <f>IFERROR(__xludf.DUMMYFUNCTION("""COMPUTED_VALUE"""),"1～2")</f>
        <v>1～2</v>
      </c>
      <c r="H2097" s="67" t="str">
        <f>IFERROR(__xludf.DUMMYFUNCTION("""COMPUTED_VALUE"""),"明日乃らか")</f>
        <v>明日乃らか</v>
      </c>
      <c r="I2097" s="67" t="str">
        <f>IFERROR(__xludf.DUMMYFUNCTION("""COMPUTED_VALUE"""),"TL")</f>
        <v>TL</v>
      </c>
      <c r="J2097" s="67"/>
      <c r="K2097" s="67"/>
      <c r="L2097" s="67" t="str">
        <f>IFERROR(__xludf.DUMMYFUNCTION("""COMPUTED_VALUE"""),"CLLENN")</f>
        <v>CLLENN</v>
      </c>
      <c r="M2097" s="47">
        <f>IFERROR(__xludf.DUMMYFUNCTION("""COMPUTED_VALUE"""),45579.0)</f>
        <v>45579</v>
      </c>
      <c r="N2097" s="23">
        <f>IFERROR(__xludf.DUMMYFUNCTION("""COMPUTED_VALUE"""),45634.0)</f>
        <v>45634</v>
      </c>
      <c r="O2097" s="67"/>
      <c r="P2097" s="70" t="str">
        <f>IFERROR(__xludf.DUMMYFUNCTION("""COMPUTED_VALUE"""),"可")</f>
        <v>可</v>
      </c>
      <c r="Q2097" s="67" t="str">
        <f>IFERROR(__xludf.DUMMYFUNCTION("""COMPUTED_VALUE"""),"レーベル名：シェノンコミックス+&lt;BR&gt;2書店(ebj orブックライブ)で同時先行配信予定です。&lt;BR&gt;⇒シーモア独占先行&lt;BR&gt;※「二度目の恋は、甘くてアブナイ」のTL版です。&lt;BR&gt;※一般版とTL版の出稿先は出し分けていただけますと幸いです。&lt;BR&gt;例：一般版＝SNS広告、TL版＝ADNWアダルト など")</f>
        <v>レーベル名：シェノンコミックス+&lt;BR&gt;2書店(ebj orブックライブ)で同時先行配信予定です。&lt;BR&gt;⇒シーモア独占先行&lt;BR&gt;※「二度目の恋は、甘くてアブナイ」のTL版です。&lt;BR&gt;※一般版とTL版の出稿先は出し分けていただけますと幸いです。&lt;BR&gt;例：一般版＝SNS広告、TL版＝ADNWアダルト など</v>
      </c>
      <c r="R2097" s="67" t="str">
        <f>IFERROR(__xludf.DUMMYFUNCTION("""COMPUTED_VALUE"""),"広告コミットOK(8/23)")</f>
        <v>広告コミットOK(8/23)</v>
      </c>
      <c r="S2097" s="67" t="str">
        <f>IFERROR(__xludf.DUMMYFUNCTION("""COMPUTED_VALUE"""),"20240911_CLLENN_明日乃らか_二度目の恋は、甘くてアブナイ～クールな元カレの執愛セックスからは逃げられない～_TL")</f>
        <v>20240911_CLLENN_明日乃らか_二度目の恋は、甘くてアブナイ～クールな元カレの執愛セックスからは逃げられない～_TL</v>
      </c>
      <c r="T2097" s="67" t="str">
        <f>IFERROR(__xludf.DUMMYFUNCTION("""COMPUTED_VALUE"""),"校了済み")</f>
        <v>校了済み</v>
      </c>
      <c r="U2097" s="15" t="str">
        <f>IFERROR(__xludf.DUMMYFUNCTION("""COMPUTED_VALUE"""),"(C)明日乃らか/CLLENN")</f>
        <v>(C)明日乃らか/CLLENN</v>
      </c>
      <c r="V2097" s="8" t="str">
        <f>IFERROR(__xludf.DUMMYFUNCTION("""COMPUTED_VALUE"""),"「こんなに可愛い反応されたら、我慢できない」荒々しくも優しい愛撫に、気持ちいいが溢れちゃう――大好きだった恋人・史弥と別れて以来、仕事一筋で生きてきたOLの陽菜子。6年間未練を断ち切れていなかったのに、突然、彼が同僚として転職してきて…!?動揺を隠せず、気まずさから他人のフリをしてしまうけど、史弥はまっすぐに陽菜子を見つめてくる。本当は別れたくなかったと思わず本音をぶつけたら、返ってきたのは激しいキスで…！「ずっと会いたかった、もう離さないから」忘れたくても忘れられなかった、彼の熱にカラダは悦んでしまう。"&amp;"熱くぬめった舌で敏感なトコロを舐られたら、すぐに絶頂の波に襲われて――二度と手放す気はない執着系男子×過去の恋で臆病になった女子の溺愛リベンジラブ☆※この作品は『二度目の恋は、甘くてアブナイ』にRシーンを追加した再編集版です。重複購入にお気を付けください。")</f>
        <v>「こんなに可愛い反応されたら、我慢できない」荒々しくも優しい愛撫に、気持ちいいが溢れちゃう――大好きだった恋人・史弥と別れて以来、仕事一筋で生きてきたOLの陽菜子。6年間未練を断ち切れていなかったのに、突然、彼が同僚として転職してきて…!?動揺を隠せず、気まずさから他人のフリをしてしまうけど、史弥はまっすぐに陽菜子を見つめてくる。本当は別れたくなかったと思わず本音をぶつけたら、返ってきたのは激しいキスで…！「ずっと会いたかった、もう離さないから」忘れたくても忘れられなかった、彼の熱にカラダは悦んでしまう。熱くぬめった舌で敏感なトコロを舐られたら、すぐに絶頂の波に襲われて――二度と手放す気はない執着系男子×過去の恋で臆病になった女子の溺愛リベンジラブ☆※この作品は『二度目の恋は、甘くてアブナイ』にRシーンを追加した再編集版です。重複購入にお気を付けください。</v>
      </c>
      <c r="W2097" s="14"/>
      <c r="X2097" s="14" t="str">
        <f>IFERROR(__xludf.DUMMYFUNCTION("""COMPUTED_VALUE"""),"有")</f>
        <v>有</v>
      </c>
      <c r="Y2097" s="8" t="str">
        <f>IFERROR(__xludf.DUMMYFUNCTION("""COMPUTED_VALUE"""),"2024/11/15まで立ち読み増量P19まで")</f>
        <v>2024/11/15まで立ち読み増量P19まで</v>
      </c>
      <c r="Z2097" s="7"/>
      <c r="AA2097" s="7"/>
      <c r="AB2097" s="7"/>
    </row>
    <row r="2098" ht="15.75" customHeight="1">
      <c r="A2098" s="66">
        <f>IFERROR(__xludf.DUMMYFUNCTION("""COMPUTED_VALUE"""),3966.0)</f>
        <v>3966</v>
      </c>
      <c r="B2098" s="67" t="str">
        <f>IFERROR(__xludf.DUMMYFUNCTION("""COMPUTED_VALUE"""),"確定")</f>
        <v>確定</v>
      </c>
      <c r="C2098" s="68">
        <f>IFERROR(__xludf.DUMMYFUNCTION("""COMPUTED_VALUE"""),45519.0)</f>
        <v>45519</v>
      </c>
      <c r="D2098" s="68">
        <f>IFERROR(__xludf.DUMMYFUNCTION("""COMPUTED_VALUE"""),45547.0)</f>
        <v>45547</v>
      </c>
      <c r="E2098" s="60">
        <f>IFERROR(__xludf.DUMMYFUNCTION("""COMPUTED_VALUE"""),304072.0)</f>
        <v>304072</v>
      </c>
      <c r="F2098" s="61" t="str">
        <f>IFERROR(__xludf.DUMMYFUNCTION("""COMPUTED_VALUE"""),"策士な上司は溺愛欲を隠さない。")</f>
        <v>策士な上司は溺愛欲を隠さない。</v>
      </c>
      <c r="G2098" s="67" t="str">
        <f>IFERROR(__xludf.DUMMYFUNCTION("""COMPUTED_VALUE"""),"1～2")</f>
        <v>1～2</v>
      </c>
      <c r="H2098" s="67" t="str">
        <f>IFERROR(__xludf.DUMMYFUNCTION("""COMPUTED_VALUE"""),"みやのちょび")</f>
        <v>みやのちょび</v>
      </c>
      <c r="I2098" s="78" t="str">
        <f>IFERROR(__xludf.DUMMYFUNCTION("""COMPUTED_VALUE"""),"少女")</f>
        <v>少女</v>
      </c>
      <c r="J2098" s="67"/>
      <c r="K2098" s="67"/>
      <c r="L2098" s="67" t="str">
        <f>IFERROR(__xludf.DUMMYFUNCTION("""COMPUTED_VALUE"""),"CLLENN")</f>
        <v>CLLENN</v>
      </c>
      <c r="M2098" s="47">
        <f>IFERROR(__xludf.DUMMYFUNCTION("""COMPUTED_VALUE"""),45579.0)</f>
        <v>45579</v>
      </c>
      <c r="N2098" s="23">
        <f>IFERROR(__xludf.DUMMYFUNCTION("""COMPUTED_VALUE"""),45634.0)</f>
        <v>45634</v>
      </c>
      <c r="O2098" s="67"/>
      <c r="P2098" s="70" t="str">
        <f>IFERROR(__xludf.DUMMYFUNCTION("""COMPUTED_VALUE"""),"可")</f>
        <v>可</v>
      </c>
      <c r="Q2098" s="67" t="str">
        <f>IFERROR(__xludf.DUMMYFUNCTION("""COMPUTED_VALUE"""),"レーベル名：シェノンコミックス&lt;BR&gt;⇒シーモア独占先行")</f>
        <v>レーベル名：シェノンコミックス&lt;BR&gt;⇒シーモア独占先行</v>
      </c>
      <c r="R2098" s="67" t="str">
        <f>IFERROR(__xludf.DUMMYFUNCTION("""COMPUTED_VALUE"""),"広告コミットOK(8/23)")</f>
        <v>広告コミットOK(8/23)</v>
      </c>
      <c r="S2098" s="67" t="str">
        <f>IFERROR(__xludf.DUMMYFUNCTION("""COMPUTED_VALUE"""),"20240911_CLLENN_みやのちょび_策士な上司は溺愛欲を隠さない。_女性")</f>
        <v>20240911_CLLENN_みやのちょび_策士な上司は溺愛欲を隠さない。_女性</v>
      </c>
      <c r="T2098" s="67" t="str">
        <f>IFERROR(__xludf.DUMMYFUNCTION("""COMPUTED_VALUE"""),"格納済み")</f>
        <v>格納済み</v>
      </c>
      <c r="U2098" s="15" t="str">
        <f>IFERROR(__xludf.DUMMYFUNCTION("""COMPUTED_VALUE"""),"(C)みやのちょび/CLLENN")</f>
        <v>(C)みやのちょび/CLLENN</v>
      </c>
      <c r="V2098" s="8" t="str">
        <f>IFERROR(__xludf.DUMMYFUNCTION("""COMPUTED_VALUE"""),"「キス…慣れてないの？ 呼吸が乱れてるよ」仕事ができて人気者の上司・中村に片思い中のOL・光。忙しいのにいつも気にかけてくれる彼に、思いを募らせるばかり。ある日、飲み会で絡まれていたところを助けてくれた中村に、お礼を言おうと追いかけたら、なんだか様子がおかしくて…？「そのかわいい姿、他の誰にも見せたくない――」隠された秘密を知った光がドキドキと胸を高鳴らせていると、彼に優しく押し倒されて…。好きな人の逞しい腕に抱かれたら、ときめきすぎて何も考えられなくなっちゃう――！箍が外れた溺愛系上司×ウブで健気なOL"&amp;"のとろ甘胸きゅんラブストーリー！")</f>
        <v>「キス…慣れてないの？ 呼吸が乱れてるよ」仕事ができて人気者の上司・中村に片思い中のOL・光。忙しいのにいつも気にかけてくれる彼に、思いを募らせるばかり。ある日、飲み会で絡まれていたところを助けてくれた中村に、お礼を言おうと追いかけたら、なんだか様子がおかしくて…？「そのかわいい姿、他の誰にも見せたくない――」隠された秘密を知った光がドキドキと胸を高鳴らせていると、彼に優しく押し倒されて…。好きな人の逞しい腕に抱かれたら、ときめきすぎて何も考えられなくなっちゃう――！箍が外れた溺愛系上司×ウブで健気なOLのとろ甘胸きゅんラブストーリー！</v>
      </c>
      <c r="W2098" s="14"/>
      <c r="X2098" s="14" t="str">
        <f>IFERROR(__xludf.DUMMYFUNCTION("""COMPUTED_VALUE"""),"有")</f>
        <v>有</v>
      </c>
      <c r="Y2098" s="8" t="str">
        <f>IFERROR(__xludf.DUMMYFUNCTION("""COMPUTED_VALUE"""),"2024/11/15まで立ち読み増量P19まで")</f>
        <v>2024/11/15まで立ち読み増量P19まで</v>
      </c>
      <c r="Z2098" s="7"/>
      <c r="AA2098" s="7"/>
      <c r="AB2098" s="7"/>
    </row>
    <row r="2099" ht="15.75" customHeight="1">
      <c r="A2099" s="66">
        <f>IFERROR(__xludf.DUMMYFUNCTION("""COMPUTED_VALUE"""),3969.0)</f>
        <v>3969</v>
      </c>
      <c r="B2099" s="67" t="str">
        <f>IFERROR(__xludf.DUMMYFUNCTION("""COMPUTED_VALUE"""),"確定")</f>
        <v>確定</v>
      </c>
      <c r="C2099" s="68">
        <f>IFERROR(__xludf.DUMMYFUNCTION("""COMPUTED_VALUE"""),45519.0)</f>
        <v>45519</v>
      </c>
      <c r="D2099" s="68">
        <f>IFERROR(__xludf.DUMMYFUNCTION("""COMPUTED_VALUE"""),45547.0)</f>
        <v>45547</v>
      </c>
      <c r="E2099" s="60">
        <f>IFERROR(__xludf.DUMMYFUNCTION("""COMPUTED_VALUE"""),304025.0)</f>
        <v>304025</v>
      </c>
      <c r="F2099" s="61" t="str">
        <f>IFERROR(__xludf.DUMMYFUNCTION("""COMPUTED_VALUE"""),"策士な上司は溺愛欲を隠さない。～囲って、乱して、とろあまエッチ～")</f>
        <v>策士な上司は溺愛欲を隠さない。～囲って、乱して、とろあまエッチ～</v>
      </c>
      <c r="G2099" s="67" t="str">
        <f>IFERROR(__xludf.DUMMYFUNCTION("""COMPUTED_VALUE"""),"1～2")</f>
        <v>1～2</v>
      </c>
      <c r="H2099" s="67" t="str">
        <f>IFERROR(__xludf.DUMMYFUNCTION("""COMPUTED_VALUE"""),"みやのちょび")</f>
        <v>みやのちょび</v>
      </c>
      <c r="I2099" s="67" t="str">
        <f>IFERROR(__xludf.DUMMYFUNCTION("""COMPUTED_VALUE"""),"TL")</f>
        <v>TL</v>
      </c>
      <c r="J2099" s="67"/>
      <c r="K2099" s="67"/>
      <c r="L2099" s="67" t="str">
        <f>IFERROR(__xludf.DUMMYFUNCTION("""COMPUTED_VALUE"""),"CLLENN")</f>
        <v>CLLENN</v>
      </c>
      <c r="M2099" s="47">
        <f>IFERROR(__xludf.DUMMYFUNCTION("""COMPUTED_VALUE"""),45579.0)</f>
        <v>45579</v>
      </c>
      <c r="N2099" s="23">
        <f>IFERROR(__xludf.DUMMYFUNCTION("""COMPUTED_VALUE"""),45634.0)</f>
        <v>45634</v>
      </c>
      <c r="O2099" s="67"/>
      <c r="P2099" s="70" t="str">
        <f>IFERROR(__xludf.DUMMYFUNCTION("""COMPUTED_VALUE"""),"可")</f>
        <v>可</v>
      </c>
      <c r="Q2099" s="67" t="str">
        <f>IFERROR(__xludf.DUMMYFUNCTION("""COMPUTED_VALUE"""),"レーベル名：シェノンコミックス+&lt;BR&gt;⇒シーモア独占先行&lt;BR&gt;※「策士な上司は溺愛欲を隠さない。」のTL版です。&lt;BR&gt;※一般版とTL版の出稿先は出し分けていただけますと幸いです。&lt;BR&gt;例：一般版＝SNS広告、TL版＝ADNWアダルト など")</f>
        <v>レーベル名：シェノンコミックス+&lt;BR&gt;⇒シーモア独占先行&lt;BR&gt;※「策士な上司は溺愛欲を隠さない。」のTL版です。&lt;BR&gt;※一般版とTL版の出稿先は出し分けていただけますと幸いです。&lt;BR&gt;例：一般版＝SNS広告、TL版＝ADNWアダルト など</v>
      </c>
      <c r="R2099" s="67" t="str">
        <f>IFERROR(__xludf.DUMMYFUNCTION("""COMPUTED_VALUE"""),"広告コミットOK(8/23)")</f>
        <v>広告コミットOK(8/23)</v>
      </c>
      <c r="S2099" s="67" t="str">
        <f>IFERROR(__xludf.DUMMYFUNCTION("""COMPUTED_VALUE"""),"20240911_CLLENN_みやのちょび_策士な上司は溺愛欲を隠さない。～囲って、乱して、とろあまエッチ～_TL")</f>
        <v>20240911_CLLENN_みやのちょび_策士な上司は溺愛欲を隠さない。～囲って、乱して、とろあまエッチ～_TL</v>
      </c>
      <c r="T2099" s="67" t="str">
        <f>IFERROR(__xludf.DUMMYFUNCTION("""COMPUTED_VALUE"""),"格納済み")</f>
        <v>格納済み</v>
      </c>
      <c r="U2099" s="15" t="str">
        <f>IFERROR(__xludf.DUMMYFUNCTION("""COMPUTED_VALUE"""),"(C)みやのちょび/CLLENN")</f>
        <v>(C)みやのちょび/CLLENN</v>
      </c>
      <c r="V2099" s="8" t="str">
        <f>IFERROR(__xludf.DUMMYFUNCTION("""COMPUTED_VALUE"""),"「初々しい反応するくせに、本当はやらしいんだ？」好きな人の大きな手で触れられる度に、どんどん体が熱くなって――人気者で仕事ができる上司・中村に片思い中のOL・光。忙しいのにいつも気にかけてくれる彼に、思いを募らせるばかり。ある日、飲み会で絡まれていたところを助けてくれた中村に、お礼を言おうと追いかけたら、なんだか様子がおかしくて…？「これ以上煽るなら、もう止められないからな」逞しい彼の腕に拘束され、貪るような深くて熱いキスをされたら、快感から逃げられない…！ぐちゃぐちゃに濡れたナカをかきまわされたら、何も"&amp;"考えられなくなっちゃう――箍が外れた溺愛系上司×ウブで健気なOLのとろ甘胸きゅんラブストーリー！※この作品は『策士な上司は溺愛欲を隠さない。』にRシーンを追加した再編集版です。重複購入にお気を付けください。")</f>
        <v>「初々しい反応するくせに、本当はやらしいんだ？」好きな人の大きな手で触れられる度に、どんどん体が熱くなって――人気者で仕事ができる上司・中村に片思い中のOL・光。忙しいのにいつも気にかけてくれる彼に、思いを募らせるばかり。ある日、飲み会で絡まれていたところを助けてくれた中村に、お礼を言おうと追いかけたら、なんだか様子がおかしくて…？「これ以上煽るなら、もう止められないからな」逞しい彼の腕に拘束され、貪るような深くて熱いキスをされたら、快感から逃げられない…！ぐちゃぐちゃに濡れたナカをかきまわされたら、何も考えられなくなっちゃう――箍が外れた溺愛系上司×ウブで健気なOLのとろ甘胸きゅんラブストーリー！※この作品は『策士な上司は溺愛欲を隠さない。』にRシーンを追加した再編集版です。重複購入にお気を付けください。</v>
      </c>
      <c r="W2099" s="14"/>
      <c r="X2099" s="14" t="str">
        <f>IFERROR(__xludf.DUMMYFUNCTION("""COMPUTED_VALUE"""),"有")</f>
        <v>有</v>
      </c>
      <c r="Y2099" s="8" t="str">
        <f>IFERROR(__xludf.DUMMYFUNCTION("""COMPUTED_VALUE"""),"2024/11/15まで立ち読み増量P19まで")</f>
        <v>2024/11/15まで立ち読み増量P19まで</v>
      </c>
      <c r="Z2099" s="7"/>
      <c r="AA2099" s="7"/>
      <c r="AB2099" s="7"/>
    </row>
    <row r="2100" ht="15.75" customHeight="1">
      <c r="A2100" s="76">
        <f>IFERROR(__xludf.DUMMYFUNCTION("""COMPUTED_VALUE"""),3624.0)</f>
        <v>3624</v>
      </c>
      <c r="B2100" s="108" t="str">
        <f>IFERROR(__xludf.DUMMYFUNCTION("""COMPUTED_VALUE"""),"確定")</f>
        <v>確定</v>
      </c>
      <c r="C2100" s="74">
        <f>IFERROR(__xludf.DUMMYFUNCTION("""COMPUTED_VALUE"""),45454.0)</f>
        <v>45454</v>
      </c>
      <c r="D2100" s="74">
        <f>IFERROR(__xludf.DUMMYFUNCTION("""COMPUTED_VALUE"""),45548.0)</f>
        <v>45548</v>
      </c>
      <c r="E2100" s="112">
        <f>IFERROR(__xludf.DUMMYFUNCTION("""COMPUTED_VALUE"""),303734.0)</f>
        <v>303734</v>
      </c>
      <c r="F2100" s="112" t="str">
        <f>IFERROR(__xludf.DUMMYFUNCTION("""COMPUTED_VALUE"""),"身代わりの偽姫は敵国皇子の寵愛になびかない【マイクロ】")</f>
        <v>身代わりの偽姫は敵国皇子の寵愛になびかない【マイクロ】</v>
      </c>
      <c r="G2100" s="69" t="str">
        <f>IFERROR(__xludf.DUMMYFUNCTION("""COMPUTED_VALUE"""),"1～3")</f>
        <v>1～3</v>
      </c>
      <c r="H2100" s="108" t="str">
        <f>IFERROR(__xludf.DUMMYFUNCTION("""COMPUTED_VALUE"""),"上条あおい")</f>
        <v>上条あおい</v>
      </c>
      <c r="I2100" s="78" t="str">
        <f>IFERROR(__xludf.DUMMYFUNCTION("""COMPUTED_VALUE"""),"女性")</f>
        <v>女性</v>
      </c>
      <c r="J2100" s="108"/>
      <c r="K2100" s="108"/>
      <c r="L2100" s="108" t="str">
        <f>IFERROR(__xludf.DUMMYFUNCTION("""COMPUTED_VALUE"""),"小学館")</f>
        <v>小学館</v>
      </c>
      <c r="M2100" s="23">
        <f>IFERROR(__xludf.DUMMYFUNCTION("""COMPUTED_VALUE"""),45570.0)</f>
        <v>45570</v>
      </c>
      <c r="N2100" s="23">
        <f>IFERROR(__xludf.DUMMYFUNCTION("""COMPUTED_VALUE"""),45630.0)</f>
        <v>45630</v>
      </c>
      <c r="O2100" s="108"/>
      <c r="P2100" s="110" t="str">
        <f>IFERROR(__xludf.DUMMYFUNCTION("""COMPUTED_VALUE"""),"可")</f>
        <v>可</v>
      </c>
      <c r="Q2100" s="108" t="str">
        <f>IFERROR(__xludf.DUMMYFUNCTION("""COMPUTED_VALUE"""),"・先行期間：続話は1ヵ月")</f>
        <v>・先行期間：続話は1ヵ月</v>
      </c>
      <c r="R2100" s="108" t="str">
        <f>IFERROR(__xludf.DUMMYFUNCTION("""COMPUTED_VALUE"""),"広告コミットOK（6/17）")</f>
        <v>広告コミットOK（6/17）</v>
      </c>
      <c r="S2100" s="108" t="str">
        <f>IFERROR(__xludf.DUMMYFUNCTION("""COMPUTED_VALUE"""),"20240913_小学館_身代わりの偽姫は敵国皇子の寵愛になびかない【マイクロ】")</f>
        <v>20240913_小学館_身代わりの偽姫は敵国皇子の寵愛になびかない【マイクロ】</v>
      </c>
      <c r="T2100" s="108" t="str">
        <f>IFERROR(__xludf.DUMMYFUNCTION("""COMPUTED_VALUE"""),"格納済み")</f>
        <v>格納済み</v>
      </c>
      <c r="U2100" s="15" t="str">
        <f>IFERROR(__xludf.DUMMYFUNCTION("""COMPUTED_VALUE"""),"(C)上条あおい / 小学館")</f>
        <v>(C)上条あおい / 小学館</v>
      </c>
      <c r="V2100" s="8" t="str">
        <f>IFERROR(__xludf.DUMMYFUNCTION("""COMPUTED_VALUE"""),"大国との戦争に敗れ、王女の代わりとして敵国の冷徹皇子・アルクスの元へ嫁ぐことになった身代わりの偽姫・シャオラン。敵情を探り、復讐を企てるシャオランだったが、憎き夫からの思わぬ寵愛を受けてーー！？大国の命運をかけた異世界ファンタジーラブ！！")</f>
        <v>大国との戦争に敗れ、王女の代わりとして敵国の冷徹皇子・アルクスの元へ嫁ぐことになった身代わりの偽姫・シャオラン。敵情を探り、復讐を企てるシャオランだったが、憎き夫からの思わぬ寵愛を受けてーー！？大国の命運をかけた異世界ファンタジーラブ！！</v>
      </c>
      <c r="W2100" s="14"/>
      <c r="X2100" s="14" t="str">
        <f>IFERROR(__xludf.DUMMYFUNCTION("""COMPUTED_VALUE"""),"有")</f>
        <v>有</v>
      </c>
      <c r="Y2100" s="8" t="str">
        <f>IFERROR(__xludf.DUMMYFUNCTION("""COMPUTED_VALUE"""),"2024/12/4まで1巻無料")</f>
        <v>2024/12/4まで1巻無料</v>
      </c>
      <c r="Z2100" s="7"/>
      <c r="AA2100" s="7"/>
      <c r="AB2100" s="7"/>
    </row>
    <row r="2101" ht="15.75" customHeight="1">
      <c r="A2101" s="76">
        <f>IFERROR(__xludf.DUMMYFUNCTION("""COMPUTED_VALUE"""),4018.0)</f>
        <v>4018</v>
      </c>
      <c r="B2101" s="108" t="str">
        <f>IFERROR(__xludf.DUMMYFUNCTION("""COMPUTED_VALUE"""),"確定")</f>
        <v>確定</v>
      </c>
      <c r="C2101" s="74">
        <f>IFERROR(__xludf.DUMMYFUNCTION("""COMPUTED_VALUE"""),45525.0)</f>
        <v>45525</v>
      </c>
      <c r="D2101" s="74">
        <f>IFERROR(__xludf.DUMMYFUNCTION("""COMPUTED_VALUE"""),45553.0)</f>
        <v>45553</v>
      </c>
      <c r="E2101" s="112">
        <f>IFERROR(__xludf.DUMMYFUNCTION("""COMPUTED_VALUE"""),304317.0)</f>
        <v>304317</v>
      </c>
      <c r="F2101" s="112" t="str">
        <f>IFERROR(__xludf.DUMMYFUNCTION("""COMPUTED_VALUE"""),"デッドマン・スイッチ【タテヨミ】")</f>
        <v>デッドマン・スイッチ【タテヨミ】</v>
      </c>
      <c r="G2101" s="69" t="str">
        <f>IFERROR(__xludf.DUMMYFUNCTION("""COMPUTED_VALUE"""),"1～20")</f>
        <v>1～20</v>
      </c>
      <c r="H2101" s="108" t="str">
        <f>IFERROR(__xludf.DUMMYFUNCTION("""COMPUTED_VALUE"""),"著: coinmint / 作画: gunbam / 原作: Eise")</f>
        <v>著: coinmint / 作画: gunbam / 原作: Eise</v>
      </c>
      <c r="I2101" s="108" t="str">
        <f>IFERROR(__xludf.DUMMYFUNCTION("""COMPUTED_VALUE"""),"BL")</f>
        <v>BL</v>
      </c>
      <c r="J2101" s="108"/>
      <c r="K2101" s="108"/>
      <c r="L2101" s="108" t="str">
        <f>IFERROR(__xludf.DUMMYFUNCTION("""COMPUTED_VALUE"""),"Toyou’s Dream")</f>
        <v>Toyou’s Dream</v>
      </c>
      <c r="M2101" s="23">
        <f>IFERROR(__xludf.DUMMYFUNCTION("""COMPUTED_VALUE"""),45571.0)</f>
        <v>45571</v>
      </c>
      <c r="N2101" s="23">
        <f>IFERROR(__xludf.DUMMYFUNCTION("""COMPUTED_VALUE"""),45753.0)</f>
        <v>45753</v>
      </c>
      <c r="O2101" s="108"/>
      <c r="P2101" s="114" t="str">
        <f>IFERROR(__xludf.DUMMYFUNCTION("""COMPUTED_VALUE"""),"可")</f>
        <v>可</v>
      </c>
      <c r="Q2101" s="108"/>
      <c r="R2101" s="108" t="str">
        <f>IFERROR(__xludf.DUMMYFUNCTION("""COMPUTED_VALUE"""),"広告コミットOK")</f>
        <v>広告コミットOK</v>
      </c>
      <c r="S2101" s="108" t="str">
        <f>IFERROR(__xludf.DUMMYFUNCTION("""COMPUTED_VALUE"""),"20240822_Toyou’s Dream_デッドマン・スイッチ【タテヨミ】")</f>
        <v>20240822_Toyou’s Dream_デッドマン・スイッチ【タテヨミ】</v>
      </c>
      <c r="T2101" s="108" t="str">
        <f>IFERROR(__xludf.DUMMYFUNCTION("""COMPUTED_VALUE"""),"格納済み")</f>
        <v>格納済み</v>
      </c>
      <c r="U2101" s="15" t="str">
        <f>IFERROR(__xludf.DUMMYFUNCTION("""COMPUTED_VALUE"""),"©coinmint&amp;gunbam&amp;Eise / Toyou's Dream")</f>
        <v>©coinmint&amp;gunbam&amp;Eise / Toyou's Dream</v>
      </c>
      <c r="V2101" s="8" t="str">
        <f>IFERROR(__xludf.DUMMYFUNCTION("""COMPUTED_VALUE"""),"12月25日、クリスマスの朝。薄暗く散らかった寮の廊下、点々と続く赤黒い血の跡、そしてその先で人間を貪っているゾンビ！なにが起きているかもわからず逃げた先で出会ったのは全身黒づくめの怪しい男・蓮。初対面にもかかわらず「俺の叶多」だ「可愛い」だ世にも恐ろしい発言をしながら出るわ出るわ罵詈雑言が。ひょんなことから二人でゾンビが蔓延るキャンパスを逃げ回ることになったものの、実はその出会いは偶然ではなくて――…。「やっぱお前、生きてる時が一番可愛いよ」")</f>
        <v>12月25日、クリスマスの朝。薄暗く散らかった寮の廊下、点々と続く赤黒い血の跡、そしてその先で人間を貪っているゾンビ！なにが起きているかもわからず逃げた先で出会ったのは全身黒づくめの怪しい男・蓮。初対面にもかかわらず「俺の叶多」だ「可愛い」だ世にも恐ろしい発言をしながら出るわ出るわ罵詈雑言が。ひょんなことから二人でゾンビが蔓延るキャンパスを逃げ回ることになったものの、実はその出会いは偶然ではなくて――…。「やっぱお前、生きてる時が一番可愛いよ」</v>
      </c>
      <c r="W2101" s="14"/>
      <c r="X2101" s="14" t="str">
        <f>IFERROR(__xludf.DUMMYFUNCTION("""COMPUTED_VALUE"""),"有")</f>
        <v>有</v>
      </c>
      <c r="Y2101" s="8" t="str">
        <f>IFERROR(__xludf.DUMMYFUNCTION("""COMPUTED_VALUE"""),"1～3巻無料")</f>
        <v>1～3巻無料</v>
      </c>
      <c r="Z2101" s="7"/>
      <c r="AA2101" s="7"/>
      <c r="AB2101" s="7"/>
    </row>
    <row r="2102" ht="15.75" customHeight="1">
      <c r="A2102" s="76">
        <f>IFERROR(__xludf.DUMMYFUNCTION("""COMPUTED_VALUE"""),4051.0)</f>
        <v>4051</v>
      </c>
      <c r="B2102" s="108" t="str">
        <f>IFERROR(__xludf.DUMMYFUNCTION("""COMPUTED_VALUE"""),"確定")</f>
        <v>確定</v>
      </c>
      <c r="C2102" s="74">
        <f>IFERROR(__xludf.DUMMYFUNCTION("""COMPUTED_VALUE"""),45531.0)</f>
        <v>45531</v>
      </c>
      <c r="D2102" s="74">
        <f>IFERROR(__xludf.DUMMYFUNCTION("""COMPUTED_VALUE"""),45552.0)</f>
        <v>45552</v>
      </c>
      <c r="E2102" s="112">
        <f>IFERROR(__xludf.DUMMYFUNCTION("""COMPUTED_VALUE"""),303717.0)</f>
        <v>303717</v>
      </c>
      <c r="F2102" s="112" t="str">
        <f>IFERROR(__xludf.DUMMYFUNCTION("""COMPUTED_VALUE"""),"転生白雪と双子の小人の溺愛巨根3P【白抜き版】")</f>
        <v>転生白雪と双子の小人の溺愛巨根3P【白抜き版】</v>
      </c>
      <c r="G2102" s="69" t="str">
        <f>IFERROR(__xludf.DUMMYFUNCTION("""COMPUTED_VALUE"""),"1～6")</f>
        <v>1～6</v>
      </c>
      <c r="H2102" s="108" t="str">
        <f>IFERROR(__xludf.DUMMYFUNCTION("""COMPUTED_VALUE"""),"りゅう子")</f>
        <v>りゅう子</v>
      </c>
      <c r="I2102" s="108" t="str">
        <f>IFERROR(__xludf.DUMMYFUNCTION("""COMPUTED_VALUE"""),"TL")</f>
        <v>TL</v>
      </c>
      <c r="J2102" s="108"/>
      <c r="K2102" s="108"/>
      <c r="L2102" s="108" t="str">
        <f>IFERROR(__xludf.DUMMYFUNCTION("""COMPUTED_VALUE"""),"ナンバーナイン")</f>
        <v>ナンバーナイン</v>
      </c>
      <c r="M2102" s="23">
        <f>IFERROR(__xludf.DUMMYFUNCTION("""COMPUTED_VALUE"""),45569.0)</f>
        <v>45569</v>
      </c>
      <c r="N2102" s="23">
        <f>IFERROR(__xludf.DUMMYFUNCTION("""COMPUTED_VALUE"""),45629.0)</f>
        <v>45629</v>
      </c>
      <c r="O2102" s="108"/>
      <c r="P2102" s="114" t="str">
        <f>IFERROR(__xludf.DUMMYFUNCTION("""COMPUTED_VALUE"""),"可")</f>
        <v>可</v>
      </c>
      <c r="Q2102" s="111"/>
      <c r="R2102" s="108"/>
      <c r="S2102" s="108" t="str">
        <f>IFERROR(__xludf.DUMMYFUNCTION("""COMPUTED_VALUE"""),"20240911_ナンバーナイン_転生白雪と双子の小人の溺愛巨根3P【白抜き版】")</f>
        <v>20240911_ナンバーナイン_転生白雪と双子の小人の溺愛巨根3P【白抜き版】</v>
      </c>
      <c r="T2102" s="108" t="str">
        <f>IFERROR(__xludf.DUMMYFUNCTION("""COMPUTED_VALUE"""),"格納済み")</f>
        <v>格納済み</v>
      </c>
      <c r="U2102" s="15" t="str">
        <f>IFERROR(__xludf.DUMMYFUNCTION("""COMPUTED_VALUE"""),"(C)りゅう子/ナンバーナイン")</f>
        <v>(C)りゅう子/ナンバーナイン</v>
      </c>
      <c r="V2102" s="8" t="str">
        <f>IFERROR(__xludf.DUMMYFUNCTION("""COMPUTED_VALUE"""),"現代で命を落としたヒロインは異世界転生し童話の白雪姫の世界に生まれ変わった。
白雪姫の童話をしっているヒロイン(白雪姫)は魔王のいる城から脱走し
小人の家をさがしていた。
どうにか小人の家をみつけて喜んでいた白雪姫(ヒロイン)
しかしそこの家の小人に無理やり犯されてしまい
双子の小人(巨人族。小人科)の
巨根に気持ちよく快楽に落とされてしまう。
レ○プからはじまる小人との出会いと愛。
微妙に設定が違う白雪姫の世界で
彼女はどう暮らしていくのか?
エッチシーンはかなり多いとおもい"&amp;"ます!
2P3P両方あり。
どのルートも全部ハッピーエンドです。らぶいちゃです。
全16ページ
ーーーーーーーー
プレイリスト
ーーーーーーーー
クンニ
潮吹き
巨根責め
イマラチオ
おっていう声
はーとセリフ
アへ顔
クリ責め
二輪挿し
3P
最初は無理やり
ーーーーーーーー")</f>
        <v>現代で命を落としたヒロインは異世界転生し童話の白雪姫の世界に生まれ変わった。
白雪姫の童話をしっているヒロイン(白雪姫)は魔王のいる城から脱走し
小人の家をさがしていた。
どうにか小人の家をみつけて喜んでいた白雪姫(ヒロイン)
しかしそこの家の小人に無理やり犯されてしまい
双子の小人(巨人族。小人科)の
巨根に気持ちよく快楽に落とされてしまう。
レ○プからはじまる小人との出会いと愛。
微妙に設定が違う白雪姫の世界で
彼女はどう暮らしていくのか?
エッチシーンはかなり多いとおもいます!
2P3P両方あり。
どのルートも全部ハッピーエンドです。らぶいちゃです。
全16ページ
ーーーーーーーー
プレイリスト
ーーーーーーーー
クンニ
潮吹き
巨根責め
イマラチオ
おっていう声
はーとセリフ
アへ顔
クリ責め
二輪挿し
3P
最初は無理やり
ーーーーーーーー</v>
      </c>
      <c r="W2102" s="14"/>
      <c r="X2102" s="14" t="str">
        <f>IFERROR(__xludf.DUMMYFUNCTION("""COMPUTED_VALUE"""),"有")</f>
        <v>有</v>
      </c>
      <c r="Y2102" s="8" t="str">
        <f>IFERROR(__xludf.DUMMYFUNCTION("""COMPUTED_VALUE"""),"1巻無料")</f>
        <v>1巻無料</v>
      </c>
      <c r="Z2102" s="7"/>
      <c r="AA2102" s="7"/>
      <c r="AB2102" s="7"/>
    </row>
    <row r="2103" ht="15.75" customHeight="1">
      <c r="A2103" s="76">
        <f>IFERROR(__xludf.DUMMYFUNCTION("""COMPUTED_VALUE"""),4101.0)</f>
        <v>4101</v>
      </c>
      <c r="B2103" s="108" t="str">
        <f>IFERROR(__xludf.DUMMYFUNCTION("""COMPUTED_VALUE"""),"確定")</f>
        <v>確定</v>
      </c>
      <c r="C2103" s="74">
        <f>IFERROR(__xludf.DUMMYFUNCTION("""COMPUTED_VALUE"""),45541.0)</f>
        <v>45541</v>
      </c>
      <c r="D2103" s="74">
        <f>IFERROR(__xludf.DUMMYFUNCTION("""COMPUTED_VALUE"""),45552.0)</f>
        <v>45552</v>
      </c>
      <c r="E2103" s="112">
        <f>IFERROR(__xludf.DUMMYFUNCTION("""COMPUTED_VALUE"""),303740.0)</f>
        <v>303740</v>
      </c>
      <c r="F2103" s="112" t="str">
        <f>IFERROR(__xludf.DUMMYFUNCTION("""COMPUTED_VALUE"""),"ダメンズ婚")</f>
        <v>ダメンズ婚</v>
      </c>
      <c r="G2103" s="69" t="str">
        <f>IFERROR(__xludf.DUMMYFUNCTION("""COMPUTED_VALUE"""),"1～4")</f>
        <v>1～4</v>
      </c>
      <c r="H2103" s="108" t="str">
        <f>IFERROR(__xludf.DUMMYFUNCTION("""COMPUTED_VALUE"""),"藤東馬")</f>
        <v>藤東馬</v>
      </c>
      <c r="I2103" s="108" t="str">
        <f>IFERROR(__xludf.DUMMYFUNCTION("""COMPUTED_VALUE"""),"少女")</f>
        <v>少女</v>
      </c>
      <c r="J2103" s="108"/>
      <c r="K2103" s="108"/>
      <c r="L2103" s="108" t="str">
        <f>IFERROR(__xludf.DUMMYFUNCTION("""COMPUTED_VALUE"""),"テライド出版")</f>
        <v>テライド出版</v>
      </c>
      <c r="M2103" s="23">
        <f>IFERROR(__xludf.DUMMYFUNCTION("""COMPUTED_VALUE"""),45571.0)</f>
        <v>45571</v>
      </c>
      <c r="N2103" s="23">
        <f>IFERROR(__xludf.DUMMYFUNCTION("""COMPUTED_VALUE"""),45663.0)</f>
        <v>45663</v>
      </c>
      <c r="O2103" s="108"/>
      <c r="P2103" s="110" t="str">
        <f>IFERROR(__xludf.DUMMYFUNCTION("""COMPUTED_VALUE"""),"可")</f>
        <v>可</v>
      </c>
      <c r="Q2103" s="108" t="str">
        <f>IFERROR(__xludf.DUMMYFUNCTION("""COMPUTED_VALUE"""),"下記作品の続きのストーリーです。（新作となり続刊ではないタイトルIDも分かれます）&lt;BR&gt;ダメンズ婚～この結婚は、アウトですか？～&lt;BR&gt;https://www.cmoa.jp/title/221937/")</f>
        <v>下記作品の続きのストーリーです。（新作となり続刊ではないタイトルIDも分かれます）&lt;BR&gt;ダメンズ婚～この結婚は、アウトですか？～&lt;BR&gt;https://www.cmoa.jp/title/221937/</v>
      </c>
      <c r="R2103" s="108" t="str">
        <f>IFERROR(__xludf.DUMMYFUNCTION("""COMPUTED_VALUE"""),"広告コミットOK(9/12)")</f>
        <v>広告コミットOK(9/12)</v>
      </c>
      <c r="S2103" s="108" t="str">
        <f>IFERROR(__xludf.DUMMYFUNCTION("""COMPUTED_VALUE"""),"20240906_ライドオン_ダメンズ婚")</f>
        <v>20240906_ライドオン_ダメンズ婚</v>
      </c>
      <c r="T2103" s="122" t="str">
        <f>IFERROR(__xludf.DUMMYFUNCTION("""COMPUTED_VALUE"""),"格納済み")</f>
        <v>格納済み</v>
      </c>
      <c r="U2103" s="15" t="str">
        <f>IFERROR(__xludf.DUMMYFUNCTION("""COMPUTED_VALUE"""),"©藤東馬/AMUSE CREATIVE STUDIO")</f>
        <v>©藤東馬/AMUSE CREATIVE STUDIO</v>
      </c>
      <c r="V2103" s="8" t="str">
        <f>IFERROR(__xludf.DUMMYFUNCTION("""COMPUTED_VALUE"""),"『結婚するなら――最低で、最高の男（ダメンズ）』。
デザイナーの池崎希望と営業部である秋島真太郎は
社内で超有名な犬猿の仲で、周囲から名物コンビとして認められていた。
だが、そんな二人にも２つの秘密がある。
１つ目の秘密は『社内恋愛禁止』の会社で、秘密裏に交際中であること。
そして、もう１つはイケメンで、シゴデキ、コミュ力◎の真太郎の正体が、
家事能力ゼロ、性欲∞、すぐいじけて、すぐ嫉妬する依存症のダメなやつ―――
そう、ダメンズであるということだった！
すでに同棲をはじめ、彼の両親に"&amp;"挨拶をしたりと、『結婚』へと突き進むが、
まだ『彼』にも『彼女』にも問題はあり…!?
測定不能のBIGラブストーリー、待望の新シリーズ！")</f>
        <v>『結婚するなら――最低で、最高の男（ダメンズ）』。
デザイナーの池崎希望と営業部である秋島真太郎は
社内で超有名な犬猿の仲で、周囲から名物コンビとして認められていた。
だが、そんな二人にも２つの秘密がある。
１つ目の秘密は『社内恋愛禁止』の会社で、秘密裏に交際中であること。
そして、もう１つはイケメンで、シゴデキ、コミュ力◎の真太郎の正体が、
家事能力ゼロ、性欲∞、すぐいじけて、すぐ嫉妬する依存症のダメなやつ―――
そう、ダメンズであるということだった！
すでに同棲をはじめ、彼の両親に挨拶をしたりと、『結婚』へと突き進むが、
まだ『彼』にも『彼女』にも問題はあり…!?
測定不能のBIGラブストーリー、待望の新シリーズ！</v>
      </c>
      <c r="W2103" s="14"/>
      <c r="X2103" s="14" t="str">
        <f>IFERROR(__xludf.DUMMYFUNCTION("""COMPUTED_VALUE"""),"有")</f>
        <v>有</v>
      </c>
      <c r="Y2103" s="8" t="str">
        <f>IFERROR(__xludf.DUMMYFUNCTION("""COMPUTED_VALUE"""),"2024/10/20まで1巻無料")</f>
        <v>2024/10/20まで1巻無料</v>
      </c>
      <c r="Z2103" s="7"/>
      <c r="AA2103" s="7"/>
      <c r="AB2103" s="7"/>
    </row>
    <row r="2104" ht="15.75" customHeight="1">
      <c r="A2104" s="76">
        <f>IFERROR(__xludf.DUMMYFUNCTION("""COMPUTED_VALUE"""),4102.0)</f>
        <v>4102</v>
      </c>
      <c r="B2104" s="108" t="str">
        <f>IFERROR(__xludf.DUMMYFUNCTION("""COMPUTED_VALUE"""),"確定")</f>
        <v>確定</v>
      </c>
      <c r="C2104" s="74">
        <f>IFERROR(__xludf.DUMMYFUNCTION("""COMPUTED_VALUE"""),45541.0)</f>
        <v>45541</v>
      </c>
      <c r="D2104" s="74">
        <f>IFERROR(__xludf.DUMMYFUNCTION("""COMPUTED_VALUE"""),45552.0)</f>
        <v>45552</v>
      </c>
      <c r="E2104" s="112">
        <f>IFERROR(__xludf.DUMMYFUNCTION("""COMPUTED_VALUE"""),303264.0)</f>
        <v>303264</v>
      </c>
      <c r="F2104" s="112" t="str">
        <f>IFERROR(__xludf.DUMMYFUNCTION("""COMPUTED_VALUE"""),"つなぎの巫女")</f>
        <v>つなぎの巫女</v>
      </c>
      <c r="G2104" s="69">
        <f>IFERROR(__xludf.DUMMYFUNCTION("""COMPUTED_VALUE"""),1.0)</f>
        <v>1</v>
      </c>
      <c r="H2104" s="108" t="str">
        <f>IFERROR(__xludf.DUMMYFUNCTION("""COMPUTED_VALUE"""),"田中ててて 原作：顎木あくみ")</f>
        <v>田中ててて 原作：顎木あくみ</v>
      </c>
      <c r="I2104" s="108" t="str">
        <f>IFERROR(__xludf.DUMMYFUNCTION("""COMPUTED_VALUE"""),"少女")</f>
        <v>少女</v>
      </c>
      <c r="J2104" s="108"/>
      <c r="K2104" s="108"/>
      <c r="L2104" s="108" t="str">
        <f>IFERROR(__xludf.DUMMYFUNCTION("""COMPUTED_VALUE"""),"マッグガーデン")</f>
        <v>マッグガーデン</v>
      </c>
      <c r="M2104" s="59">
        <f>IFERROR(__xludf.DUMMYFUNCTION("""COMPUTED_VALUE"""),45566.0)</f>
        <v>45566</v>
      </c>
      <c r="N2104" s="115">
        <f>IFERROR(__xludf.DUMMYFUNCTION("""COMPUTED_VALUE"""),45656.0)</f>
        <v>45656</v>
      </c>
      <c r="O2104" s="108"/>
      <c r="P2104" s="110" t="str">
        <f>IFERROR(__xludf.DUMMYFUNCTION("""COMPUTED_VALUE"""),"可")</f>
        <v>可</v>
      </c>
      <c r="Q2104" s="108" t="str">
        <f>IFERROR(__xludf.DUMMYFUNCTION("""COMPUTED_VALUE"""),"今回単話になりますがマッグガーデン様アンソロジーは実績もありますので、どうぞよろしくお願いいたします。&lt;BR&gt;本作品はシリーズ累計800万部を超えた『わたしの幸せな結婚』の顎木あくみ先生に原作をご担当していただいているので、是非よろしくお願いします！")</f>
        <v>今回単話になりますがマッグガーデン様アンソロジーは実績もありますので、どうぞよろしくお願いいたします。&lt;BR&gt;本作品はシリーズ累計800万部を超えた『わたしの幸せな結婚』の顎木あくみ先生に原作をご担当していただいているので、是非よろしくお願いします！</v>
      </c>
      <c r="R2104" s="108" t="str">
        <f>IFERROR(__xludf.DUMMYFUNCTION("""COMPUTED_VALUE"""),"広告コミットOK(9/13)")</f>
        <v>広告コミットOK(9/13)</v>
      </c>
      <c r="S2104" s="108" t="str">
        <f>IFERROR(__xludf.DUMMYFUNCTION("""COMPUTED_VALUE"""),"20240913_マッグガーデン_つなぎの巫女")</f>
        <v>20240913_マッグガーデン_つなぎの巫女</v>
      </c>
      <c r="T2104" s="108" t="str">
        <f>IFERROR(__xludf.DUMMYFUNCTION("""COMPUTED_VALUE"""),"格納済み")</f>
        <v>格納済み</v>
      </c>
      <c r="U2104" s="15" t="str">
        <f>IFERROR(__xludf.DUMMYFUNCTION("""COMPUTED_VALUE"""),"(C)顎木あくみ (C)田中ててて/MAG Garden")</f>
        <v>(C)顎木あくみ (C)田中ててて/MAG Garden</v>
      </c>
      <c r="V2104" s="8" t="str">
        <f>IFERROR(__xludf.DUMMYFUNCTION("""COMPUTED_VALUE"""),"やっとあなたに触れられた―※この作品は『訳アリ悪役令嬢たちが幸せな溺愛生活を掴むまで アンソロジーコミック 2巻』に収録されている同タイトルを、同一の内容にて分冊版として再編集したものです。")</f>
        <v>やっとあなたに触れられた―※この作品は『訳アリ悪役令嬢たちが幸せな溺愛生活を掴むまで アンソロジーコミック 2巻』に収録されている同タイトルを、同一の内容にて分冊版として再編集したものです。</v>
      </c>
      <c r="W2104" s="14"/>
      <c r="X2104" s="14" t="str">
        <f>IFERROR(__xludf.DUMMYFUNCTION("""COMPUTED_VALUE"""),"有")</f>
        <v>有</v>
      </c>
      <c r="Y2104" s="8" t="str">
        <f>IFERROR(__xludf.DUMMYFUNCTION("""COMPUTED_VALUE"""),"P9まで")</f>
        <v>P9まで</v>
      </c>
      <c r="Z2104" s="7"/>
      <c r="AA2104" s="7"/>
      <c r="AB2104" s="7"/>
    </row>
    <row r="2105" ht="15.75" customHeight="1">
      <c r="A2105" s="76">
        <f>IFERROR(__xludf.DUMMYFUNCTION("""COMPUTED_VALUE"""),4103.0)</f>
        <v>4103</v>
      </c>
      <c r="B2105" s="108" t="str">
        <f>IFERROR(__xludf.DUMMYFUNCTION("""COMPUTED_VALUE"""),"確定")</f>
        <v>確定</v>
      </c>
      <c r="C2105" s="74">
        <f>IFERROR(__xludf.DUMMYFUNCTION("""COMPUTED_VALUE"""),45541.0)</f>
        <v>45541</v>
      </c>
      <c r="D2105" s="74">
        <f>IFERROR(__xludf.DUMMYFUNCTION("""COMPUTED_VALUE"""),45552.0)</f>
        <v>45552</v>
      </c>
      <c r="E2105" s="112">
        <f>IFERROR(__xludf.DUMMYFUNCTION("""COMPUTED_VALUE"""),303267.0)</f>
        <v>303267</v>
      </c>
      <c r="F2105" s="112" t="str">
        <f>IFERROR(__xludf.DUMMYFUNCTION("""COMPUTED_VALUE"""),"濡れ衣を着せられたので、探偵令嬢になりその疑惑を晴らします！")</f>
        <v>濡れ衣を着せられたので、探偵令嬢になりその疑惑を晴らします！</v>
      </c>
      <c r="G2105" s="69">
        <f>IFERROR(__xludf.DUMMYFUNCTION("""COMPUTED_VALUE"""),1.0)</f>
        <v>1</v>
      </c>
      <c r="H2105" s="108" t="str">
        <f>IFERROR(__xludf.DUMMYFUNCTION("""COMPUTED_VALUE"""),"漫画：七海といろ")</f>
        <v>漫画：七海といろ</v>
      </c>
      <c r="I2105" s="108" t="str">
        <f>IFERROR(__xludf.DUMMYFUNCTION("""COMPUTED_VALUE"""),"少女")</f>
        <v>少女</v>
      </c>
      <c r="J2105" s="108"/>
      <c r="K2105" s="108"/>
      <c r="L2105" s="108" t="str">
        <f>IFERROR(__xludf.DUMMYFUNCTION("""COMPUTED_VALUE"""),"マッグガーデン")</f>
        <v>マッグガーデン</v>
      </c>
      <c r="M2105" s="59">
        <f>IFERROR(__xludf.DUMMYFUNCTION("""COMPUTED_VALUE"""),45566.0)</f>
        <v>45566</v>
      </c>
      <c r="N2105" s="115">
        <f>IFERROR(__xludf.DUMMYFUNCTION("""COMPUTED_VALUE"""),45656.0)</f>
        <v>45656</v>
      </c>
      <c r="O2105" s="108"/>
      <c r="P2105" s="110" t="str">
        <f>IFERROR(__xludf.DUMMYFUNCTION("""COMPUTED_VALUE"""),"可")</f>
        <v>可</v>
      </c>
      <c r="Q2105" s="111" t="str">
        <f>IFERROR(__xludf.DUMMYFUNCTION("""COMPUTED_VALUE"""),"今回単話になりますがマッグガーデン様アンソロジーは実績もありますので、どうぞよろしくお願いいたします。&lt;BR&gt;す！")</f>
        <v>今回単話になりますがマッグガーデン様アンソロジーは実績もありますので、どうぞよろしくお願いいたします。&lt;BR&gt;す！</v>
      </c>
      <c r="R2105" s="108"/>
      <c r="S2105" s="108" t="str">
        <f>IFERROR(__xludf.DUMMYFUNCTION("""COMPUTED_VALUE"""),"20240913_マッグガーデン_濡れ衣を着せられたので、探偵令嬢になりその疑惑を晴らします！")</f>
        <v>20240913_マッグガーデン_濡れ衣を着せられたので、探偵令嬢になりその疑惑を晴らします！</v>
      </c>
      <c r="T2105" s="108" t="str">
        <f>IFERROR(__xludf.DUMMYFUNCTION("""COMPUTED_VALUE"""),"格納済み")</f>
        <v>格納済み</v>
      </c>
      <c r="U2105" s="15" t="str">
        <f>IFERROR(__xludf.DUMMYFUNCTION("""COMPUTED_VALUE"""),"(C)七海といろ/MAG Garden")</f>
        <v>(C)七海といろ/MAG Garden</v>
      </c>
      <c r="V2105" s="8" t="str">
        <f>IFERROR(__xludf.DUMMYFUNCTION("""COMPUTED_VALUE"""),"悪役令嬢は名探偵!?※この作品は『訳アリ悪役令嬢たちが幸せな溺愛生活を掴むまで アンソロジーコミック 2巻』に収録されている同タイトルを、同一の内容にて分冊版として再編集したものです。")</f>
        <v>悪役令嬢は名探偵!?※この作品は『訳アリ悪役令嬢たちが幸せな溺愛生活を掴むまで アンソロジーコミック 2巻』に収録されている同タイトルを、同一の内容にて分冊版として再編集したものです。</v>
      </c>
      <c r="W2105" s="14"/>
      <c r="X2105" s="14" t="str">
        <f>IFERROR(__xludf.DUMMYFUNCTION("""COMPUTED_VALUE"""),"有")</f>
        <v>有</v>
      </c>
      <c r="Y2105" s="8" t="str">
        <f>IFERROR(__xludf.DUMMYFUNCTION("""COMPUTED_VALUE"""),"P8まで")</f>
        <v>P8まで</v>
      </c>
      <c r="Z2105" s="7"/>
      <c r="AA2105" s="7"/>
      <c r="AB2105" s="7"/>
    </row>
    <row r="2106" ht="15.75" customHeight="1">
      <c r="A2106" s="76">
        <f>IFERROR(__xludf.DUMMYFUNCTION("""COMPUTED_VALUE"""),4104.0)</f>
        <v>4104</v>
      </c>
      <c r="B2106" s="108" t="str">
        <f>IFERROR(__xludf.DUMMYFUNCTION("""COMPUTED_VALUE"""),"確定")</f>
        <v>確定</v>
      </c>
      <c r="C2106" s="74">
        <f>IFERROR(__xludf.DUMMYFUNCTION("""COMPUTED_VALUE"""),45541.0)</f>
        <v>45541</v>
      </c>
      <c r="D2106" s="74">
        <f>IFERROR(__xludf.DUMMYFUNCTION("""COMPUTED_VALUE"""),45552.0)</f>
        <v>45552</v>
      </c>
      <c r="E2106" s="112">
        <f>IFERROR(__xludf.DUMMYFUNCTION("""COMPUTED_VALUE"""),303265.0)</f>
        <v>303265</v>
      </c>
      <c r="F2106" s="112" t="str">
        <f>IFERROR(__xludf.DUMMYFUNCTION("""COMPUTED_VALUE"""),"婚約者に回し蹴りを入れたら執着されまして")</f>
        <v>婚約者に回し蹴りを入れたら執着されまして</v>
      </c>
      <c r="G2106" s="69">
        <f>IFERROR(__xludf.DUMMYFUNCTION("""COMPUTED_VALUE"""),1.0)</f>
        <v>1</v>
      </c>
      <c r="H2106" s="108" t="str">
        <f>IFERROR(__xludf.DUMMYFUNCTION("""COMPUTED_VALUE"""),"漫画：宇野リッカ")</f>
        <v>漫画：宇野リッカ</v>
      </c>
      <c r="I2106" s="108" t="str">
        <f>IFERROR(__xludf.DUMMYFUNCTION("""COMPUTED_VALUE"""),"少女")</f>
        <v>少女</v>
      </c>
      <c r="J2106" s="108"/>
      <c r="K2106" s="108"/>
      <c r="L2106" s="108" t="str">
        <f>IFERROR(__xludf.DUMMYFUNCTION("""COMPUTED_VALUE"""),"マッグガーデン")</f>
        <v>マッグガーデン</v>
      </c>
      <c r="M2106" s="59">
        <f>IFERROR(__xludf.DUMMYFUNCTION("""COMPUTED_VALUE"""),45566.0)</f>
        <v>45566</v>
      </c>
      <c r="N2106" s="115">
        <f>IFERROR(__xludf.DUMMYFUNCTION("""COMPUTED_VALUE"""),45656.0)</f>
        <v>45656</v>
      </c>
      <c r="O2106" s="108"/>
      <c r="P2106" s="110" t="str">
        <f>IFERROR(__xludf.DUMMYFUNCTION("""COMPUTED_VALUE"""),"可")</f>
        <v>可</v>
      </c>
      <c r="Q2106" s="108" t="str">
        <f>IFERROR(__xludf.DUMMYFUNCTION("""COMPUTED_VALUE"""),"今回単話になりますがマッグガーデン様アンソロジーは実績もありますので、どうぞよろしくお願いいたします。&lt;BR&gt;す！")</f>
        <v>今回単話になりますがマッグガーデン様アンソロジーは実績もありますので、どうぞよろしくお願いいたします。&lt;BR&gt;す！</v>
      </c>
      <c r="R2106" s="108" t="str">
        <f>IFERROR(__xludf.DUMMYFUNCTION("""COMPUTED_VALUE"""),"広告コミットOK(9/13)")</f>
        <v>広告コミットOK(9/13)</v>
      </c>
      <c r="S2106" s="108" t="str">
        <f>IFERROR(__xludf.DUMMYFUNCTION("""COMPUTED_VALUE"""),"20240913_マッグガーデン_婚約者に回し蹴りを入れたら執着されまして")</f>
        <v>20240913_マッグガーデン_婚約者に回し蹴りを入れたら執着されまして</v>
      </c>
      <c r="T2106" s="108" t="str">
        <f>IFERROR(__xludf.DUMMYFUNCTION("""COMPUTED_VALUE"""),"格納済み")</f>
        <v>格納済み</v>
      </c>
      <c r="U2106" s="15" t="str">
        <f>IFERROR(__xludf.DUMMYFUNCTION("""COMPUTED_VALUE"""),"(C)狭山ひびき (C)宇野リッカ/MAG Garden")</f>
        <v>(C)狭山ひびき (C)宇野リッカ/MAG Garden</v>
      </c>
      <c r="V2106" s="8" t="str">
        <f>IFERROR(__xludf.DUMMYFUNCTION("""COMPUTED_VALUE"""),"会心の一撃をキメてみせます。※この作品は『訳アリ悪役令嬢たちが幸せな溺愛生活を掴むまで アンソロジーコミック 2巻』に収録されている同タイトルを、同一の内容にて分冊版として再編集したものです。")</f>
        <v>会心の一撃をキメてみせます。※この作品は『訳アリ悪役令嬢たちが幸せな溺愛生活を掴むまで アンソロジーコミック 2巻』に収録されている同タイトルを、同一の内容にて分冊版として再編集したものです。</v>
      </c>
      <c r="W2106" s="14"/>
      <c r="X2106" s="14" t="str">
        <f>IFERROR(__xludf.DUMMYFUNCTION("""COMPUTED_VALUE"""),"有")</f>
        <v>有</v>
      </c>
      <c r="Y2106" s="8" t="str">
        <f>IFERROR(__xludf.DUMMYFUNCTION("""COMPUTED_VALUE"""),"P7まで")</f>
        <v>P7まで</v>
      </c>
      <c r="Z2106" s="7"/>
      <c r="AA2106" s="7"/>
      <c r="AB2106" s="7"/>
    </row>
    <row r="2107" ht="15.75" customHeight="1">
      <c r="A2107" s="76">
        <f>IFERROR(__xludf.DUMMYFUNCTION("""COMPUTED_VALUE"""),4105.0)</f>
        <v>4105</v>
      </c>
      <c r="B2107" s="108" t="str">
        <f>IFERROR(__xludf.DUMMYFUNCTION("""COMPUTED_VALUE"""),"確定")</f>
        <v>確定</v>
      </c>
      <c r="C2107" s="74">
        <f>IFERROR(__xludf.DUMMYFUNCTION("""COMPUTED_VALUE"""),45541.0)</f>
        <v>45541</v>
      </c>
      <c r="D2107" s="74">
        <f>IFERROR(__xludf.DUMMYFUNCTION("""COMPUTED_VALUE"""),45552.0)</f>
        <v>45552</v>
      </c>
      <c r="E2107" s="112">
        <f>IFERROR(__xludf.DUMMYFUNCTION("""COMPUTED_VALUE"""),303266.0)</f>
        <v>303266</v>
      </c>
      <c r="F2107" s="112" t="str">
        <f>IFERROR(__xludf.DUMMYFUNCTION("""COMPUTED_VALUE"""),"悪役令嬢の推し活〜王子に婚約破棄されたけど推しに溺愛されて幸せです〜")</f>
        <v>悪役令嬢の推し活〜王子に婚約破棄されたけど推しに溺愛されて幸せです〜</v>
      </c>
      <c r="G2107" s="69">
        <f>IFERROR(__xludf.DUMMYFUNCTION("""COMPUTED_VALUE"""),1.0)</f>
        <v>1</v>
      </c>
      <c r="H2107" s="108" t="str">
        <f>IFERROR(__xludf.DUMMYFUNCTION("""COMPUTED_VALUE"""),"漫画：森田蓮次")</f>
        <v>漫画：森田蓮次</v>
      </c>
      <c r="I2107" s="108" t="str">
        <f>IFERROR(__xludf.DUMMYFUNCTION("""COMPUTED_VALUE"""),"少女")</f>
        <v>少女</v>
      </c>
      <c r="J2107" s="108"/>
      <c r="K2107" s="108"/>
      <c r="L2107" s="108" t="str">
        <f>IFERROR(__xludf.DUMMYFUNCTION("""COMPUTED_VALUE"""),"マッグガーデン")</f>
        <v>マッグガーデン</v>
      </c>
      <c r="M2107" s="59">
        <f>IFERROR(__xludf.DUMMYFUNCTION("""COMPUTED_VALUE"""),45566.0)</f>
        <v>45566</v>
      </c>
      <c r="N2107" s="115">
        <f>IFERROR(__xludf.DUMMYFUNCTION("""COMPUTED_VALUE"""),45656.0)</f>
        <v>45656</v>
      </c>
      <c r="O2107" s="108"/>
      <c r="P2107" s="110" t="str">
        <f>IFERROR(__xludf.DUMMYFUNCTION("""COMPUTED_VALUE"""),"可")</f>
        <v>可</v>
      </c>
      <c r="Q2107" s="108" t="str">
        <f>IFERROR(__xludf.DUMMYFUNCTION("""COMPUTED_VALUE"""),"今回単話になりますがマッグガーデン様アンソロジーは実績もありますので、どうぞよろしくお願いいたします。&lt;BR&gt;す！")</f>
        <v>今回単話になりますがマッグガーデン様アンソロジーは実績もありますので、どうぞよろしくお願いいたします。&lt;BR&gt;す！</v>
      </c>
      <c r="R2107" s="108" t="str">
        <f>IFERROR(__xludf.DUMMYFUNCTION("""COMPUTED_VALUE"""),"広告コミットOK(9/13)")</f>
        <v>広告コミットOK(9/13)</v>
      </c>
      <c r="S2107" s="108" t="str">
        <f>IFERROR(__xludf.DUMMYFUNCTION("""COMPUTED_VALUE"""),"20240913_マッグガーデン_悪役令嬢の推し活〜王子に婚約破棄されたけど推しに溺愛されて幸せです〜")</f>
        <v>20240913_マッグガーデン_悪役令嬢の推し活〜王子に婚約破棄されたけど推しに溺愛されて幸せです〜</v>
      </c>
      <c r="T2107" s="108" t="str">
        <f>IFERROR(__xludf.DUMMYFUNCTION("""COMPUTED_VALUE"""),"格納済み")</f>
        <v>格納済み</v>
      </c>
      <c r="U2107" s="15" t="str">
        <f>IFERROR(__xludf.DUMMYFUNCTION("""COMPUTED_VALUE"""),"(C)森田蓮次/MAG Garden")</f>
        <v>(C)森田蓮次/MAG Garden</v>
      </c>
      <c r="V2107" s="8" t="str">
        <f>IFERROR(__xludf.DUMMYFUNCTION("""COMPUTED_VALUE"""),"悪役令嬢はモブ兵士の強火担!?※この作品は『訳アリ悪役令嬢たちが幸せな溺愛生活を掴むまで アンソロジーコミック 2巻』に収録されている同タイトルを、同一の内容にて分冊版として再編集したものです。")</f>
        <v>悪役令嬢はモブ兵士の強火担!?※この作品は『訳アリ悪役令嬢たちが幸せな溺愛生活を掴むまで アンソロジーコミック 2巻』に収録されている同タイトルを、同一の内容にて分冊版として再編集したものです。</v>
      </c>
      <c r="W2107" s="14"/>
      <c r="X2107" s="14" t="str">
        <f>IFERROR(__xludf.DUMMYFUNCTION("""COMPUTED_VALUE"""),"有")</f>
        <v>有</v>
      </c>
      <c r="Y2107" s="8" t="str">
        <f>IFERROR(__xludf.DUMMYFUNCTION("""COMPUTED_VALUE"""),"P9まで")</f>
        <v>P9まで</v>
      </c>
      <c r="Z2107" s="7"/>
      <c r="AA2107" s="7"/>
      <c r="AB2107" s="7"/>
    </row>
    <row r="2108" ht="15.75" customHeight="1">
      <c r="A2108" s="76">
        <f>IFERROR(__xludf.DUMMYFUNCTION("""COMPUTED_VALUE"""),4108.0)</f>
        <v>4108</v>
      </c>
      <c r="B2108" s="108" t="str">
        <f>IFERROR(__xludf.DUMMYFUNCTION("""COMPUTED_VALUE"""),"確定")</f>
        <v>確定</v>
      </c>
      <c r="C2108" s="74">
        <f>IFERROR(__xludf.DUMMYFUNCTION("""COMPUTED_VALUE"""),45544.0)</f>
        <v>45544</v>
      </c>
      <c r="D2108" s="74">
        <f>IFERROR(__xludf.DUMMYFUNCTION("""COMPUTED_VALUE"""),45552.0)</f>
        <v>45552</v>
      </c>
      <c r="E2108" s="112">
        <f>IFERROR(__xludf.DUMMYFUNCTION("""COMPUTED_VALUE"""),303970.0)</f>
        <v>303970</v>
      </c>
      <c r="F2108" s="112" t="str">
        <f>IFERROR(__xludf.DUMMYFUNCTION("""COMPUTED_VALUE"""),"サイコなカレと囚われ婚")</f>
        <v>サイコなカレと囚われ婚</v>
      </c>
      <c r="G2108" s="69" t="str">
        <f>IFERROR(__xludf.DUMMYFUNCTION("""COMPUTED_VALUE"""),"1～3")</f>
        <v>1～3</v>
      </c>
      <c r="H2108" s="108" t="str">
        <f>IFERROR(__xludf.DUMMYFUNCTION("""COMPUTED_VALUE"""),"原作∕江夏遙 漫画∕黒城灰")</f>
        <v>原作∕江夏遙 漫画∕黒城灰</v>
      </c>
      <c r="I2108" s="108" t="str">
        <f>IFERROR(__xludf.DUMMYFUNCTION("""COMPUTED_VALUE"""),"少女")</f>
        <v>少女</v>
      </c>
      <c r="J2108" s="108"/>
      <c r="K2108" s="108"/>
      <c r="L2108" s="108" t="str">
        <f>IFERROR(__xludf.DUMMYFUNCTION("""COMPUTED_VALUE"""),"taskey")</f>
        <v>taskey</v>
      </c>
      <c r="M2108" s="115">
        <f>IFERROR(__xludf.DUMMYFUNCTION("""COMPUTED_VALUE"""),45576.0)</f>
        <v>45576</v>
      </c>
      <c r="N2108" s="115">
        <f>IFERROR(__xludf.DUMMYFUNCTION("""COMPUTED_VALUE"""),45636.0)</f>
        <v>45636</v>
      </c>
      <c r="O2108" s="108"/>
      <c r="P2108" s="110" t="str">
        <f>IFERROR(__xludf.DUMMYFUNCTION("""COMPUTED_VALUE"""),"可")</f>
        <v>可</v>
      </c>
      <c r="Q2108" s="108" t="str">
        <f>IFERROR(__xludf.DUMMYFUNCTION("""COMPUTED_VALUE"""),"紹介資料もあわせて格納しておりますが、あくまで参考程度にしてください")</f>
        <v>紹介資料もあわせて格納しておりますが、あくまで参考程度にしてください</v>
      </c>
      <c r="R2108" s="108" t="str">
        <f>IFERROR(__xludf.DUMMYFUNCTION("""COMPUTED_VALUE"""),"広告コミットOK（9/11）")</f>
        <v>広告コミットOK（9/11）</v>
      </c>
      <c r="S2108" s="108" t="str">
        <f>IFERROR(__xludf.DUMMYFUNCTION("""COMPUTED_VALUE"""),"20240912_taskey_サイコなカレと囚われ婚")</f>
        <v>20240912_taskey_サイコなカレと囚われ婚</v>
      </c>
      <c r="T2108" s="108" t="str">
        <f>IFERROR(__xludf.DUMMYFUNCTION("""COMPUTED_VALUE"""),"格納済み")</f>
        <v>格納済み</v>
      </c>
      <c r="U2108" s="15" t="str">
        <f>IFERROR(__xludf.DUMMYFUNCTION("""COMPUTED_VALUE"""),"Ⓒtaskey 原作／江夏遙 漫画／黒城灰")</f>
        <v>Ⓒtaskey 原作／江夏遙 漫画／黒城灰</v>
      </c>
      <c r="V2108" s="8" t="str">
        <f>IFERROR(__xludf.DUMMYFUNCTION("""COMPUTED_VALUE"""),"父親の借金を必死で返し続けてきた日奈子は、取り立て屋達に風俗に沈められそうになる。なんとか逃げ出すことができたが、追手はすでに日奈子の家で待ち伏せをしていた。失意の中家のドアを開けた日奈子の目に飛び込んできたのは、先ほど襲おうとしてきた男の死体。「誰？」部屋にいたのは逃走中の死刑囚。迫りくる追手に、「俺があいつらを何とかしてあげるから…」死刑囚が提示してきた条件は意外なもので……？")</f>
        <v>父親の借金を必死で返し続けてきた日奈子は、取り立て屋達に風俗に沈められそうになる。なんとか逃げ出すことができたが、追手はすでに日奈子の家で待ち伏せをしていた。失意の中家のドアを開けた日奈子の目に飛び込んできたのは、先ほど襲おうとしてきた男の死体。「誰？」部屋にいたのは逃走中の死刑囚。迫りくる追手に、「俺があいつらを何とかしてあげるから…」死刑囚が提示してきた条件は意外なもので……？</v>
      </c>
      <c r="W2108" s="14"/>
      <c r="X2108" s="14" t="str">
        <f>IFERROR(__xludf.DUMMYFUNCTION("""COMPUTED_VALUE"""),"有")</f>
        <v>有</v>
      </c>
      <c r="Y2108" s="8" t="str">
        <f>IFERROR(__xludf.DUMMYFUNCTION("""COMPUTED_VALUE"""),"1巻無料")</f>
        <v>1巻無料</v>
      </c>
      <c r="Z2108" s="7"/>
      <c r="AA2108" s="7"/>
      <c r="AB2108" s="7"/>
    </row>
    <row r="2109" ht="15.75" customHeight="1">
      <c r="A2109" s="76">
        <f>IFERROR(__xludf.DUMMYFUNCTION("""COMPUTED_VALUE"""),4113.0)</f>
        <v>4113</v>
      </c>
      <c r="B2109" s="108" t="str">
        <f>IFERROR(__xludf.DUMMYFUNCTION("""COMPUTED_VALUE"""),"確定")</f>
        <v>確定</v>
      </c>
      <c r="C2109" s="74">
        <f>IFERROR(__xludf.DUMMYFUNCTION("""COMPUTED_VALUE"""),45545.0)</f>
        <v>45545</v>
      </c>
      <c r="D2109" s="74">
        <f>IFERROR(__xludf.DUMMYFUNCTION("""COMPUTED_VALUE"""),45552.0)</f>
        <v>45552</v>
      </c>
      <c r="E2109" s="116">
        <f>IFERROR(__xludf.DUMMYFUNCTION("""COMPUTED_VALUE"""),294307.0)</f>
        <v>294307</v>
      </c>
      <c r="F2109" s="112" t="str">
        <f>IFERROR(__xludf.DUMMYFUNCTION("""COMPUTED_VALUE"""),"cue!!![キュー!!!]")</f>
        <v>cue!!![キュー!!!]</v>
      </c>
      <c r="G2109" s="69" t="str">
        <f>IFERROR(__xludf.DUMMYFUNCTION("""COMPUTED_VALUE"""),"1～3")</f>
        <v>1～3</v>
      </c>
      <c r="H2109" s="108" t="str">
        <f>IFERROR(__xludf.DUMMYFUNCTION("""COMPUTED_VALUE"""),"鈴木有布子")</f>
        <v>鈴木有布子</v>
      </c>
      <c r="I2109" s="108" t="str">
        <f>IFERROR(__xludf.DUMMYFUNCTION("""COMPUTED_VALUE"""),"少女")</f>
        <v>少女</v>
      </c>
      <c r="J2109" s="108"/>
      <c r="K2109" s="108"/>
      <c r="L2109" s="108" t="str">
        <f>IFERROR(__xludf.DUMMYFUNCTION("""COMPUTED_VALUE"""),"シーモアコミックス")</f>
        <v>シーモアコミックス</v>
      </c>
      <c r="M2109" s="115">
        <f>IFERROR(__xludf.DUMMYFUNCTION("""COMPUTED_VALUE"""),45577.0)</f>
        <v>45577</v>
      </c>
      <c r="N2109" s="115">
        <f>IFERROR(__xludf.DUMMYFUNCTION("""COMPUTED_VALUE"""),45638.0)</f>
        <v>45638</v>
      </c>
      <c r="O2109" s="108"/>
      <c r="P2109" s="114" t="str">
        <f>IFERROR(__xludf.DUMMYFUNCTION("""COMPUTED_VALUE"""),"可")</f>
        <v>可</v>
      </c>
      <c r="Q2109" s="111"/>
      <c r="R2109" s="108"/>
      <c r="S2109" s="108" t="str">
        <f>IFERROR(__xludf.DUMMYFUNCTION("""COMPUTED_VALUE"""),"20240917_ソルマーレ編集部_cue!!!［キュー!!!］")</f>
        <v>20240917_ソルマーレ編集部_cue!!!［キュー!!!］</v>
      </c>
      <c r="T2109" s="108" t="str">
        <f>IFERROR(__xludf.DUMMYFUNCTION("""COMPUTED_VALUE"""),"格納済み")</f>
        <v>格納済み</v>
      </c>
      <c r="U2109" s="15" t="str">
        <f>IFERROR(__xludf.DUMMYFUNCTION("""COMPUTED_VALUE"""),"© 鈴木有布子/シーモアコミックス")</f>
        <v>© 鈴木有布子/シーモアコミックス</v>
      </c>
      <c r="V2109" s="8" t="str">
        <f>IFERROR(__xludf.DUMMYFUNCTION("""COMPUTED_VALUE"""),"テレビ局で働く報道記者の夏目和佳（なつめ のどか）は自他共に認める「お人好し」。でも最近、人に利用されたり、ナメられたり…善人なのはよいことだと信じてたけど、息苦しさを感じてしまっていて…。
「またいい子ぶって、他人の仕事まで押しつけられて疲れていませんか？」口を開けばイヤミばかりなイケメン守衛・深町（ふかまち）に、とあるきっかけで興味をもたれてしまった和佳。極力関わりたくないのに――職場にまで現れるストーカーを追い払うため、深町に恋人のフリをしてもらうことになって!?!? ミステリアスなイケメン守衛×"&amp;"お人好し報道記者の局内ラブストーリー！【恋するソワレ】")</f>
        <v>テレビ局で働く報道記者の夏目和佳（なつめ のどか）は自他共に認める「お人好し」。でも最近、人に利用されたり、ナメられたり…善人なのはよいことだと信じてたけど、息苦しさを感じてしまっていて…。
「またいい子ぶって、他人の仕事まで押しつけられて疲れていませんか？」口を開けばイヤミばかりなイケメン守衛・深町（ふかまち）に、とあるきっかけで興味をもたれてしまった和佳。極力関わりたくないのに――職場にまで現れるストーカーを追い払うため、深町に恋人のフリをしてもらうことになって!?!? ミステリアスなイケメン守衛×お人好し報道記者の局内ラブストーリー！【恋するソワレ】</v>
      </c>
      <c r="W2109" s="14"/>
      <c r="X2109" s="14" t="str">
        <f>IFERROR(__xludf.DUMMYFUNCTION("""COMPUTED_VALUE"""),"有")</f>
        <v>有</v>
      </c>
      <c r="Y2109" s="8" t="str">
        <f>IFERROR(__xludf.DUMMYFUNCTION("""COMPUTED_VALUE"""),"2024/11/8まで1巻無料")</f>
        <v>2024/11/8まで1巻無料</v>
      </c>
      <c r="Z2109" s="7"/>
      <c r="AA2109" s="7"/>
      <c r="AB2109" s="7"/>
    </row>
    <row r="2110" ht="15.75" customHeight="1">
      <c r="A2110" s="76">
        <f>IFERROR(__xludf.DUMMYFUNCTION("""COMPUTED_VALUE"""),4115.0)</f>
        <v>4115</v>
      </c>
      <c r="B2110" s="108" t="str">
        <f>IFERROR(__xludf.DUMMYFUNCTION("""COMPUTED_VALUE"""),"確定")</f>
        <v>確定</v>
      </c>
      <c r="C2110" s="74">
        <f>IFERROR(__xludf.DUMMYFUNCTION("""COMPUTED_VALUE"""),45545.0)</f>
        <v>45545</v>
      </c>
      <c r="D2110" s="74">
        <f>IFERROR(__xludf.DUMMYFUNCTION("""COMPUTED_VALUE"""),45552.0)</f>
        <v>45552</v>
      </c>
      <c r="E2110" s="116">
        <f>IFERROR(__xludf.DUMMYFUNCTION("""COMPUTED_VALUE"""),294415.0)</f>
        <v>294415</v>
      </c>
      <c r="F2110" s="112" t="str">
        <f>IFERROR(__xludf.DUMMYFUNCTION("""COMPUTED_VALUE"""),"ピンクノイズ・オーバーキル")</f>
        <v>ピンクノイズ・オーバーキル</v>
      </c>
      <c r="G2110" s="69" t="str">
        <f>IFERROR(__xludf.DUMMYFUNCTION("""COMPUTED_VALUE"""),"1～3")</f>
        <v>1～3</v>
      </c>
      <c r="H2110" s="108" t="str">
        <f>IFERROR(__xludf.DUMMYFUNCTION("""COMPUTED_VALUE"""),"皐月フミ")</f>
        <v>皐月フミ</v>
      </c>
      <c r="I2110" s="108" t="str">
        <f>IFERROR(__xludf.DUMMYFUNCTION("""COMPUTED_VALUE"""),"BL")</f>
        <v>BL</v>
      </c>
      <c r="J2110" s="108"/>
      <c r="K2110" s="108"/>
      <c r="L2110" s="108" t="str">
        <f>IFERROR(__xludf.DUMMYFUNCTION("""COMPUTED_VALUE"""),"シーモアコミックス")</f>
        <v>シーモアコミックス</v>
      </c>
      <c r="M2110" s="115">
        <f>IFERROR(__xludf.DUMMYFUNCTION("""COMPUTED_VALUE"""),45577.0)</f>
        <v>45577</v>
      </c>
      <c r="N2110" s="115">
        <f>IFERROR(__xludf.DUMMYFUNCTION("""COMPUTED_VALUE"""),45638.0)</f>
        <v>45638</v>
      </c>
      <c r="O2110" s="108"/>
      <c r="P2110" s="114" t="str">
        <f>IFERROR(__xludf.DUMMYFUNCTION("""COMPUTED_VALUE"""),"可")</f>
        <v>可</v>
      </c>
      <c r="Q2110" s="111"/>
      <c r="R2110" s="108"/>
      <c r="S2110" s="108" t="str">
        <f>IFERROR(__xludf.DUMMYFUNCTION("""COMPUTED_VALUE"""),"20240917_ソルマーレ編集部_ピンクノイズ・オーバーキル")</f>
        <v>20240917_ソルマーレ編集部_ピンクノイズ・オーバーキル</v>
      </c>
      <c r="T2110" s="108" t="str">
        <f>IFERROR(__xludf.DUMMYFUNCTION("""COMPUTED_VALUE"""),"格納済み")</f>
        <v>格納済み</v>
      </c>
      <c r="U2110" s="15" t="str">
        <f>IFERROR(__xludf.DUMMYFUNCTION("""COMPUTED_VALUE"""),"© 皐月フミ/シーモアコミックス")</f>
        <v>© 皐月フミ/シーモアコミックス</v>
      </c>
      <c r="V2110" s="8" t="str">
        <f>IFERROR(__xludf.DUMMYFUNCTION("""COMPUTED_VALUE"""),"Sな人気者様×ぼっち大学生の同室ラブ☆ 大嫌いなルームメイトにASMRで無理やりとろとろにされて…!?
俺、真鍋新（まなべあらた）には不倶戴天の敵がいる。高校で同じクラスの、絵に描いたような陽キャ様・御園生（みそのう）だ。なにかとからんでくるアイツのせいで、俺の高校生活は散々だった。それなのに大学寮でまさかの再会！ しかも同室!! 絶対なれあいたくないのに、御園生にかけられた催眠術にめちゃくちゃ気持ちよくされてしまって!?【フィカス】")</f>
        <v>Sな人気者様×ぼっち大学生の同室ラブ☆ 大嫌いなルームメイトにASMRで無理やりとろとろにされて…!?
俺、真鍋新（まなべあらた）には不倶戴天の敵がいる。高校で同じクラスの、絵に描いたような陽キャ様・御園生（みそのう）だ。なにかとからんでくるアイツのせいで、俺の高校生活は散々だった。それなのに大学寮でまさかの再会！ しかも同室!! 絶対なれあいたくないのに、御園生にかけられた催眠術にめちゃくちゃ気持ちよくされてしまって!?【フィカス】</v>
      </c>
      <c r="W2110" s="14"/>
      <c r="X2110" s="14" t="str">
        <f>IFERROR(__xludf.DUMMYFUNCTION("""COMPUTED_VALUE"""),"有")</f>
        <v>有</v>
      </c>
      <c r="Y2110" s="8" t="str">
        <f>IFERROR(__xludf.DUMMYFUNCTION("""COMPUTED_VALUE"""),"2024/11/8まで1巻無料")</f>
        <v>2024/11/8まで1巻無料</v>
      </c>
      <c r="Z2110" s="7"/>
      <c r="AA2110" s="7"/>
      <c r="AB2110" s="7"/>
    </row>
    <row r="2111" ht="15.75" customHeight="1">
      <c r="A2111" s="76">
        <f>IFERROR(__xludf.DUMMYFUNCTION("""COMPUTED_VALUE"""),4116.0)</f>
        <v>4116</v>
      </c>
      <c r="B2111" s="108" t="str">
        <f>IFERROR(__xludf.DUMMYFUNCTION("""COMPUTED_VALUE"""),"確定")</f>
        <v>確定</v>
      </c>
      <c r="C2111" s="74">
        <f>IFERROR(__xludf.DUMMYFUNCTION("""COMPUTED_VALUE"""),45545.0)</f>
        <v>45545</v>
      </c>
      <c r="D2111" s="74">
        <f>IFERROR(__xludf.DUMMYFUNCTION("""COMPUTED_VALUE"""),45552.0)</f>
        <v>45552</v>
      </c>
      <c r="E2111" s="116">
        <f>IFERROR(__xludf.DUMMYFUNCTION("""COMPUTED_VALUE"""),295486.0)</f>
        <v>295486</v>
      </c>
      <c r="F2111" s="112" t="str">
        <f>IFERROR(__xludf.DUMMYFUNCTION("""COMPUTED_VALUE"""),"極悪令嬢を調教して破滅フラグをハメて折る！(フルカラー)")</f>
        <v>極悪令嬢を調教して破滅フラグをハメて折る！(フルカラー)</v>
      </c>
      <c r="G2111" s="69" t="str">
        <f>IFERROR(__xludf.DUMMYFUNCTION("""COMPUTED_VALUE"""),"1～3")</f>
        <v>1～3</v>
      </c>
      <c r="H2111" s="108" t="str">
        <f>IFERROR(__xludf.DUMMYFUNCTION("""COMPUTED_VALUE"""),"chains,wilsson")</f>
        <v>chains,wilsson</v>
      </c>
      <c r="I2111" s="108" t="str">
        <f>IFERROR(__xludf.DUMMYFUNCTION("""COMPUTED_VALUE"""),"青年")</f>
        <v>青年</v>
      </c>
      <c r="J2111" s="108"/>
      <c r="K2111" s="108"/>
      <c r="L2111" s="108" t="str">
        <f>IFERROR(__xludf.DUMMYFUNCTION("""COMPUTED_VALUE"""),"シーモアコミックス")</f>
        <v>シーモアコミックス</v>
      </c>
      <c r="M2111" s="115">
        <f>IFERROR(__xludf.DUMMYFUNCTION("""COMPUTED_VALUE"""),45577.0)</f>
        <v>45577</v>
      </c>
      <c r="N2111" s="115">
        <f>IFERROR(__xludf.DUMMYFUNCTION("""COMPUTED_VALUE"""),45638.0)</f>
        <v>45638</v>
      </c>
      <c r="O2111" s="108"/>
      <c r="P2111" s="114" t="str">
        <f>IFERROR(__xludf.DUMMYFUNCTION("""COMPUTED_VALUE"""),"可")</f>
        <v>可</v>
      </c>
      <c r="Q2111" s="111"/>
      <c r="R2111" s="108"/>
      <c r="S2111" s="108" t="str">
        <f>IFERROR(__xludf.DUMMYFUNCTION("""COMPUTED_VALUE"""),"20240917_ソルマーレ編集部_極悪令嬢を調教して破滅フラグをハメて折る！（フルカラー）")</f>
        <v>20240917_ソルマーレ編集部_極悪令嬢を調教して破滅フラグをハメて折る！（フルカラー）</v>
      </c>
      <c r="T2111" s="108" t="str">
        <f>IFERROR(__xludf.DUMMYFUNCTION("""COMPUTED_VALUE"""),"格納済み")</f>
        <v>格納済み</v>
      </c>
      <c r="U2111" s="15" t="str">
        <f>IFERROR(__xludf.DUMMYFUNCTION("""COMPUTED_VALUE"""),"© chains/wilsson/TOPCO/シーモアコミックス")</f>
        <v>© chains/wilsson/TOPCO/シーモアコミックス</v>
      </c>
      <c r="V2111" s="8" t="str">
        <f>IFERROR(__xludf.DUMMYFUNCTION("""COMPUTED_VALUE"""),"「上手ね…綺麗に洗えてるわよ、では…舐めなさい」小説の中の美少女が俺にニヤリと命令してくる――…
俺・浦野誠一郎はある日なんと、読んでいた小説のキャラクター、悪の修道士・テオガスフェルに転生していた…！テオは美少女極悪令嬢・アイラに仕える身だが、このまま原作通りに話が進めばワガママ極悪令嬢のアイラに呆れた国民たちによりテオも処刑されてしまう運命……その運命を避けるためにもテオはある方法でアイラを調教しようとするがアイラは中々女王様気質で!?破滅フラグは無事折ることができるのか…？破滅フラグを折る為に主導"&amp;"権を争う異世界生活、いざ開幕!!【桃色エンジェル】")</f>
        <v>「上手ね…綺麗に洗えてるわよ、では…舐めなさい」小説の中の美少女が俺にニヤリと命令してくる――…
俺・浦野誠一郎はある日なんと、読んでいた小説のキャラクター、悪の修道士・テオガスフェルに転生していた…！テオは美少女極悪令嬢・アイラに仕える身だが、このまま原作通りに話が進めばワガママ極悪令嬢のアイラに呆れた国民たちによりテオも処刑されてしまう運命……その運命を避けるためにもテオはある方法でアイラを調教しようとするがアイラは中々女王様気質で!?破滅フラグは無事折ることができるのか…？破滅フラグを折る為に主導権を争う異世界生活、いざ開幕!!【桃色エンジェル】</v>
      </c>
      <c r="W2111" s="14"/>
      <c r="X2111" s="14" t="str">
        <f>IFERROR(__xludf.DUMMYFUNCTION("""COMPUTED_VALUE"""),"有")</f>
        <v>有</v>
      </c>
      <c r="Y2111" s="8" t="str">
        <f>IFERROR(__xludf.DUMMYFUNCTION("""COMPUTED_VALUE"""),"2024/11/8まで1巻無料")</f>
        <v>2024/11/8まで1巻無料</v>
      </c>
      <c r="Z2111" s="7"/>
      <c r="AA2111" s="7"/>
      <c r="AB2111" s="7"/>
    </row>
    <row r="2112" ht="15.75" customHeight="1">
      <c r="A2112" s="76">
        <f>IFERROR(__xludf.DUMMYFUNCTION("""COMPUTED_VALUE"""),4118.0)</f>
        <v>4118</v>
      </c>
      <c r="B2112" s="108" t="str">
        <f>IFERROR(__xludf.DUMMYFUNCTION("""COMPUTED_VALUE"""),"確定")</f>
        <v>確定</v>
      </c>
      <c r="C2112" s="74">
        <f>IFERROR(__xludf.DUMMYFUNCTION("""COMPUTED_VALUE"""),45545.0)</f>
        <v>45545</v>
      </c>
      <c r="D2112" s="74">
        <f>IFERROR(__xludf.DUMMYFUNCTION("""COMPUTED_VALUE"""),45552.0)</f>
        <v>45552</v>
      </c>
      <c r="E2112" s="116">
        <f>IFERROR(__xludf.DUMMYFUNCTION("""COMPUTED_VALUE"""),295487.0)</f>
        <v>295487</v>
      </c>
      <c r="F2112" s="112" t="str">
        <f>IFERROR(__xludf.DUMMYFUNCTION("""COMPUTED_VALUE"""),"極悪令嬢を調教して破滅フラグをハメて折る！【タテヨミ】")</f>
        <v>極悪令嬢を調教して破滅フラグをハメて折る！【タテヨミ】</v>
      </c>
      <c r="G2112" s="69" t="str">
        <f>IFERROR(__xludf.DUMMYFUNCTION("""COMPUTED_VALUE"""),"1～9")</f>
        <v>1～9</v>
      </c>
      <c r="H2112" s="108" t="str">
        <f>IFERROR(__xludf.DUMMYFUNCTION("""COMPUTED_VALUE"""),"chains,wilsson")</f>
        <v>chains,wilsson</v>
      </c>
      <c r="I2112" s="108" t="str">
        <f>IFERROR(__xludf.DUMMYFUNCTION("""COMPUTED_VALUE"""),"青年")</f>
        <v>青年</v>
      </c>
      <c r="J2112" s="108"/>
      <c r="K2112" s="108"/>
      <c r="L2112" s="108" t="str">
        <f>IFERROR(__xludf.DUMMYFUNCTION("""COMPUTED_VALUE"""),"シーモアコミックス")</f>
        <v>シーモアコミックス</v>
      </c>
      <c r="M2112" s="115">
        <f>IFERROR(__xludf.DUMMYFUNCTION("""COMPUTED_VALUE"""),45577.0)</f>
        <v>45577</v>
      </c>
      <c r="N2112" s="115">
        <f>IFERROR(__xludf.DUMMYFUNCTION("""COMPUTED_VALUE"""),45638.0)</f>
        <v>45638</v>
      </c>
      <c r="O2112" s="108"/>
      <c r="P2112" s="110" t="str">
        <f>IFERROR(__xludf.DUMMYFUNCTION("""COMPUTED_VALUE"""),"可")</f>
        <v>可</v>
      </c>
      <c r="Q2112" s="111" t="str">
        <f>IFERROR(__xludf.DUMMYFUNCTION("""COMPUTED_VALUE"""),"※コマサム等素材は「295486 極悪令嬢を調教して破滅フラグをハメて折る！（フルカラー）」のほうをお使いください。&lt;BR&gt;バナー制作はフルカラー版の素材を利用して問題ございません。")</f>
        <v>※コマサム等素材は「295486 極悪令嬢を調教して破滅フラグをハメて折る！（フルカラー）」のほうをお使いください。&lt;BR&gt;バナー制作はフルカラー版の素材を利用して問題ございません。</v>
      </c>
      <c r="R2112" s="108"/>
      <c r="S2112" s="108" t="str">
        <f>IFERROR(__xludf.DUMMYFUNCTION("""COMPUTED_VALUE"""),"20240917_ソルマーレ編集部_極悪令嬢を調教して破滅フラグをハメて折る！【タテヨミ】")</f>
        <v>20240917_ソルマーレ編集部_極悪令嬢を調教して破滅フラグをハメて折る！【タテヨミ】</v>
      </c>
      <c r="T2112" s="108" t="str">
        <f>IFERROR(__xludf.DUMMYFUNCTION("""COMPUTED_VALUE"""),"格納済み")</f>
        <v>格納済み</v>
      </c>
      <c r="U2112" s="15" t="str">
        <f>IFERROR(__xludf.DUMMYFUNCTION("""COMPUTED_VALUE"""),"© chains/wilsson/TOPCO/シーモアコミックス")</f>
        <v>© chains/wilsson/TOPCO/シーモアコミックス</v>
      </c>
      <c r="V2112" s="8" t="str">
        <f>IFERROR(__xludf.DUMMYFUNCTION("""COMPUTED_VALUE"""),"「上手ね…綺麗に洗えてるわよ、では…舐めなさい」小説の中の美少女が俺にニヤリと命令してくる――…
俺・浦野誠一郎はある日なんと、読んでいた小説のキャラクター、悪の修道士・テオガスフェルに転生していた…！テオは美少女極悪令嬢・アイラに仕える身だが、このまま原作通りに話が進めばワガママ極悪令嬢のアイラに呆れた国民たちによりテオも処刑されてしまう運命……その運命を避けるためにもテオはある方法でアイラを調教しようとするがアイラは中々女王様気質で!?破滅フラグは無事折ることができるのか…？破滅フラグを折る為に主導"&amp;"権を争う異世界生活、いざ開幕!!【桃色エンジェル】")</f>
        <v>「上手ね…綺麗に洗えてるわよ、では…舐めなさい」小説の中の美少女が俺にニヤリと命令してくる――…
俺・浦野誠一郎はある日なんと、読んでいた小説のキャラクター、悪の修道士・テオガスフェルに転生していた…！テオは美少女極悪令嬢・アイラに仕える身だが、このまま原作通りに話が進めばワガママ極悪令嬢のアイラに呆れた国民たちによりテオも処刑されてしまう運命……その運命を避けるためにもテオはある方法でアイラを調教しようとするがアイラは中々女王様気質で!?破滅フラグは無事折ることができるのか…？破滅フラグを折る為に主導権を争う異世界生活、いざ開幕!!【桃色エンジェル】</v>
      </c>
      <c r="W2112" s="14"/>
      <c r="X2112" s="14" t="str">
        <f>IFERROR(__xludf.DUMMYFUNCTION("""COMPUTED_VALUE"""),"有")</f>
        <v>有</v>
      </c>
      <c r="Y2112" s="8" t="str">
        <f>IFERROR(__xludf.DUMMYFUNCTION("""COMPUTED_VALUE"""),"2024/11/8まで1～3巻無料")</f>
        <v>2024/11/8まで1～3巻無料</v>
      </c>
      <c r="Z2112" s="7"/>
      <c r="AA2112" s="7"/>
      <c r="AB2112" s="7"/>
    </row>
    <row r="2113" ht="15.75" customHeight="1">
      <c r="A2113" s="76">
        <f>IFERROR(__xludf.DUMMYFUNCTION("""COMPUTED_VALUE"""),4119.0)</f>
        <v>4119</v>
      </c>
      <c r="B2113" s="108" t="str">
        <f>IFERROR(__xludf.DUMMYFUNCTION("""COMPUTED_VALUE"""),"確定")</f>
        <v>確定</v>
      </c>
      <c r="C2113" s="74">
        <f>IFERROR(__xludf.DUMMYFUNCTION("""COMPUTED_VALUE"""),45545.0)</f>
        <v>45545</v>
      </c>
      <c r="D2113" s="74">
        <f>IFERROR(__xludf.DUMMYFUNCTION("""COMPUTED_VALUE"""),45552.0)</f>
        <v>45552</v>
      </c>
      <c r="E2113" s="116">
        <f>IFERROR(__xludf.DUMMYFUNCTION("""COMPUTED_VALUE"""),296471.0)</f>
        <v>296471</v>
      </c>
      <c r="F2113" s="112" t="str">
        <f>IFERROR(__xludf.DUMMYFUNCTION("""COMPUTED_VALUE"""),"ぼっち悪魔の一途恋")</f>
        <v>ぼっち悪魔の一途恋</v>
      </c>
      <c r="G2113" s="69">
        <f>IFERROR(__xludf.DUMMYFUNCTION("""COMPUTED_VALUE"""),1.0)</f>
        <v>1</v>
      </c>
      <c r="H2113" s="108" t="str">
        <f>IFERROR(__xludf.DUMMYFUNCTION("""COMPUTED_VALUE"""),"國立理喜")</f>
        <v>國立理喜</v>
      </c>
      <c r="I2113" s="108" t="str">
        <f>IFERROR(__xludf.DUMMYFUNCTION("""COMPUTED_VALUE"""),"BL")</f>
        <v>BL</v>
      </c>
      <c r="J2113" s="108"/>
      <c r="K2113" s="108"/>
      <c r="L2113" s="108" t="str">
        <f>IFERROR(__xludf.DUMMYFUNCTION("""COMPUTED_VALUE"""),"シーモアコミックス")</f>
        <v>シーモアコミックス</v>
      </c>
      <c r="M2113" s="115">
        <f>IFERROR(__xludf.DUMMYFUNCTION("""COMPUTED_VALUE"""),45577.0)</f>
        <v>45577</v>
      </c>
      <c r="N2113" s="115">
        <f>IFERROR(__xludf.DUMMYFUNCTION("""COMPUTED_VALUE"""),45638.0)</f>
        <v>45638</v>
      </c>
      <c r="O2113" s="108"/>
      <c r="P2113" s="110" t="str">
        <f>IFERROR(__xludf.DUMMYFUNCTION("""COMPUTED_VALUE"""),"可")</f>
        <v>可</v>
      </c>
      <c r="Q2113" s="111" t="str">
        <f>IFERROR(__xludf.DUMMYFUNCTION("""COMPUTED_VALUE"""),"※読み切り作品のため1巻のみですが出稿お願いします&lt;BR&gt;")</f>
        <v>※読み切り作品のため1巻のみですが出稿お願いします&lt;BR&gt;</v>
      </c>
      <c r="R2113" s="108"/>
      <c r="S2113" s="108" t="str">
        <f>IFERROR(__xludf.DUMMYFUNCTION("""COMPUTED_VALUE"""),"20240910_ソルマーレ編集部_ぼっち悪魔の一途恋")</f>
        <v>20240910_ソルマーレ編集部_ぼっち悪魔の一途恋</v>
      </c>
      <c r="T2113" s="108" t="str">
        <f>IFERROR(__xludf.DUMMYFUNCTION("""COMPUTED_VALUE"""),"格納済み")</f>
        <v>格納済み</v>
      </c>
      <c r="U2113" s="15" t="str">
        <f>IFERROR(__xludf.DUMMYFUNCTION("""COMPUTED_VALUE"""),"© 國立理喜/シーモアコミックス")</f>
        <v>© 國立理喜/シーモアコミックス</v>
      </c>
      <c r="V2113" s="8" t="str">
        <f>IFERROR(__xludf.DUMMYFUNCTION("""COMPUTED_VALUE"""),"神父のニコラスを襲おうとして返り討ちにあった悪魔のジェフリー。以来、教会の雑用係としてこき使われる毎日でそれだけでも腹立たしいのに、街の人からは犬猫のような扱いを受け、ニコラスからは「かわいい」なんて言われて悪魔のプライドはズタボロだ。そんな時 ジェフリーの体に異変が起きて…？ カタブツ神父×じゃじゃ馬悪魔のハートフル・ラブコメ！【フィカス】")</f>
        <v>神父のニコラスを襲おうとして返り討ちにあった悪魔のジェフリー。以来、教会の雑用係としてこき使われる毎日でそれだけでも腹立たしいのに、街の人からは犬猫のような扱いを受け、ニコラスからは「かわいい」なんて言われて悪魔のプライドはズタボロだ。そんな時 ジェフリーの体に異変が起きて…？ カタブツ神父×じゃじゃ馬悪魔のハートフル・ラブコメ！【フィカス】</v>
      </c>
      <c r="W2113" s="14"/>
      <c r="X2113" s="14" t="str">
        <f>IFERROR(__xludf.DUMMYFUNCTION("""COMPUTED_VALUE"""),"有")</f>
        <v>有</v>
      </c>
      <c r="Y2113" s="8" t="str">
        <f>IFERROR(__xludf.DUMMYFUNCTION("""COMPUTED_VALUE"""),"P10まで")</f>
        <v>P10まで</v>
      </c>
      <c r="Z2113" s="7"/>
      <c r="AA2113" s="7"/>
      <c r="AB2113" s="7"/>
    </row>
    <row r="2114" ht="15.75" customHeight="1">
      <c r="A2114" s="76">
        <f>IFERROR(__xludf.DUMMYFUNCTION("""COMPUTED_VALUE"""),4125.0)</f>
        <v>4125</v>
      </c>
      <c r="B2114" s="108" t="str">
        <f>IFERROR(__xludf.DUMMYFUNCTION("""COMPUTED_VALUE"""),"確定")</f>
        <v>確定</v>
      </c>
      <c r="C2114" s="74">
        <f>IFERROR(__xludf.DUMMYFUNCTION("""COMPUTED_VALUE"""),45545.0)</f>
        <v>45545</v>
      </c>
      <c r="D2114" s="74">
        <f>IFERROR(__xludf.DUMMYFUNCTION("""COMPUTED_VALUE"""),45553.0)</f>
        <v>45553</v>
      </c>
      <c r="E2114" s="112">
        <f>IFERROR(__xludf.DUMMYFUNCTION("""COMPUTED_VALUE"""),304608.0)</f>
        <v>304608</v>
      </c>
      <c r="F2114" s="112" t="str">
        <f>IFERROR(__xludf.DUMMYFUNCTION("""COMPUTED_VALUE"""),"離縁予定の旦那様が、まさかの“記憶喪失”になりました～公爵の蜜月溺愛は困りもの!!～")</f>
        <v>離縁予定の旦那様が、まさかの“記憶喪失”になりました～公爵の蜜月溺愛は困りもの!!～</v>
      </c>
      <c r="G2114" s="69">
        <f>IFERROR(__xludf.DUMMYFUNCTION("""COMPUTED_VALUE"""),1.0)</f>
        <v>1</v>
      </c>
      <c r="H2114" s="108" t="str">
        <f>IFERROR(__xludf.DUMMYFUNCTION("""COMPUTED_VALUE"""),"小泉人魚")</f>
        <v>小泉人魚</v>
      </c>
      <c r="I2114" s="108" t="str">
        <f>IFERROR(__xludf.DUMMYFUNCTION("""COMPUTED_VALUE"""),"TL")</f>
        <v>TL</v>
      </c>
      <c r="J2114" s="108"/>
      <c r="K2114" s="108"/>
      <c r="L2114" s="108" t="str">
        <f>IFERROR(__xludf.DUMMYFUNCTION("""COMPUTED_VALUE"""),"ハーパーコリンズ・ジャパン")</f>
        <v>ハーパーコリンズ・ジャパン</v>
      </c>
      <c r="M2114" s="115">
        <f>IFERROR(__xludf.DUMMYFUNCTION("""COMPUTED_VALUE"""),45583.0)</f>
        <v>45583</v>
      </c>
      <c r="N2114" s="115">
        <f>IFERROR(__xludf.DUMMYFUNCTION("""COMPUTED_VALUE"""),45643.0)</f>
        <v>45643</v>
      </c>
      <c r="O2114" s="108"/>
      <c r="P2114" s="110" t="str">
        <f>IFERROR(__xludf.DUMMYFUNCTION("""COMPUTED_VALUE"""),"可")</f>
        <v>可</v>
      </c>
      <c r="Q2114" s="108" t="str">
        <f>IFERROR(__xludf.DUMMYFUNCTION("""COMPUTED_VALUE"""),"・TLレーベル：乙女ドルチェ・コミックス&lt;BR&gt;・１巻完結作品です")</f>
        <v>・TLレーベル：乙女ドルチェ・コミックス&lt;BR&gt;・１巻完結作品です</v>
      </c>
      <c r="R2114" s="108" t="str">
        <f>IFERROR(__xludf.DUMMYFUNCTION("""COMPUTED_VALUE"""),"広告コミットOK(9/11)")</f>
        <v>広告コミットOK(9/11)</v>
      </c>
      <c r="S2114" s="108" t="str">
        <f>IFERROR(__xludf.DUMMYFUNCTION("""COMPUTED_VALUE"""),"20240917_ハーパーコリンズ・ジャパン_離縁予定の旦那様が、まさかの“記憶喪失”になりました～公爵の蜜月溺愛は困りもの!!～")</f>
        <v>20240917_ハーパーコリンズ・ジャパン_離縁予定の旦那様が、まさかの“記憶喪失”になりました～公爵の蜜月溺愛は困りもの!!～</v>
      </c>
      <c r="T2114" s="108" t="str">
        <f>IFERROR(__xludf.DUMMYFUNCTION("""COMPUTED_VALUE"""),"格納済み")</f>
        <v>格納済み</v>
      </c>
      <c r="U2114" s="15" t="str">
        <f>IFERROR(__xludf.DUMMYFUNCTION("""COMPUTED_VALUE"""),"（C)小泉人魚・百門一新／ハーパーコリンズ・ジャパン")</f>
        <v>（C)小泉人魚・百門一新／ハーパーコリンズ・ジャパン</v>
      </c>
      <c r="V2114" s="8" t="str">
        <f>IFERROR(__xludf.DUMMYFUNCTION("""COMPUTED_VALUE"""),"「この身体にずっと触れたかった」
期間限定の妻は、氷の貴公子に翻弄される
「こんなに美しい君を、僕が愛さないわけがない」嫁き遅れの子爵令嬢アリアンヌは、突如“氷の貴公子”と呼ばれる公爵フレッドから「離縁を前提に契約結婚をしたい」と提案される｡彼には身分違いの愛する女性がいるが、すぐ結婚しなくてはならない事情があるようだ。迷いながらも家族の生活を守るために、提案を受け入れたアリアンヌ。ところが、離婚日を目前にしてフレッドが記憶喪失に！ すると彼はそれまでのよそよそしさが嘘のように、アリアンヌを求めて"&amp;"きた。甘く疼くような愛撫に、身体は抗えず応えてしまい…。")</f>
        <v>「この身体にずっと触れたかった」
期間限定の妻は、氷の貴公子に翻弄される
「こんなに美しい君を、僕が愛さないわけがない」嫁き遅れの子爵令嬢アリアンヌは、突如“氷の貴公子”と呼ばれる公爵フレッドから「離縁を前提に契約結婚をしたい」と提案される｡彼には身分違いの愛する女性がいるが、すぐ結婚しなくてはならない事情があるようだ。迷いながらも家族の生活を守るために、提案を受け入れたアリアンヌ。ところが、離婚日を目前にしてフレッドが記憶喪失に！ すると彼はそれまでのよそよそしさが嘘のように、アリアンヌを求めてきた。甘く疼くような愛撫に、身体は抗えず応えてしまい…。</v>
      </c>
      <c r="W2114" s="14"/>
      <c r="X2114" s="14" t="str">
        <f>IFERROR(__xludf.DUMMYFUNCTION("""COMPUTED_VALUE"""),"有")</f>
        <v>有</v>
      </c>
      <c r="Y2114" s="8" t="str">
        <f>IFERROR(__xludf.DUMMYFUNCTION("""COMPUTED_VALUE"""),"2024/11/17まで立ち読み増量P45まで")</f>
        <v>2024/11/17まで立ち読み増量P45まで</v>
      </c>
      <c r="Z2114" s="7"/>
      <c r="AA2114" s="7"/>
      <c r="AB2114" s="7"/>
    </row>
    <row r="2115" ht="15.75" customHeight="1">
      <c r="A2115" s="76">
        <f>IFERROR(__xludf.DUMMYFUNCTION("""COMPUTED_VALUE"""),4130.0)</f>
        <v>4130</v>
      </c>
      <c r="B2115" s="108" t="str">
        <f>IFERROR(__xludf.DUMMYFUNCTION("""COMPUTED_VALUE"""),"確定")</f>
        <v>確定</v>
      </c>
      <c r="C2115" s="74">
        <f>IFERROR(__xludf.DUMMYFUNCTION("""COMPUTED_VALUE"""),45548.0)</f>
        <v>45548</v>
      </c>
      <c r="D2115" s="74">
        <f>IFERROR(__xludf.DUMMYFUNCTION("""COMPUTED_VALUE"""),45548.0)</f>
        <v>45548</v>
      </c>
      <c r="E2115" s="112">
        <f>IFERROR(__xludf.DUMMYFUNCTION("""COMPUTED_VALUE"""),305170.0)</f>
        <v>305170</v>
      </c>
      <c r="F2115" s="112" t="str">
        <f>IFERROR(__xludf.DUMMYFUNCTION("""COMPUTED_VALUE"""),"娘の彼氏にセフレにされて～後悔するほど濡れ喘ぐ～")</f>
        <v>娘の彼氏にセフレにされて～後悔するほど濡れ喘ぐ～</v>
      </c>
      <c r="G2115" s="69" t="str">
        <f>IFERROR(__xludf.DUMMYFUNCTION("""COMPUTED_VALUE"""),"1～3")</f>
        <v>1～3</v>
      </c>
      <c r="H2115" s="108" t="str">
        <f>IFERROR(__xludf.DUMMYFUNCTION("""COMPUTED_VALUE"""),"あおいせな")</f>
        <v>あおいせな</v>
      </c>
      <c r="I2115" s="108" t="str">
        <f>IFERROR(__xludf.DUMMYFUNCTION("""COMPUTED_VALUE"""),"オトナ")</f>
        <v>オトナ</v>
      </c>
      <c r="J2115" s="108"/>
      <c r="K2115" s="108"/>
      <c r="L2115" s="108" t="str">
        <f>IFERROR(__xludf.DUMMYFUNCTION("""COMPUTED_VALUE"""),"FILL-IN")</f>
        <v>FILL-IN</v>
      </c>
      <c r="M2115" s="59">
        <f>IFERROR(__xludf.DUMMYFUNCTION("""COMPUTED_VALUE"""),45597.0)</f>
        <v>45597</v>
      </c>
      <c r="N2115" s="47">
        <f>IFERROR(__xludf.DUMMYFUNCTION("""COMPUTED_VALUE"""),45610.0)</f>
        <v>45610</v>
      </c>
      <c r="O2115" s="108"/>
      <c r="P2115" s="114" t="str">
        <f>IFERROR(__xludf.DUMMYFUNCTION("""COMPUTED_VALUE"""),"可")</f>
        <v>可</v>
      </c>
      <c r="Q2115" s="111"/>
      <c r="R2115" s="108"/>
      <c r="S2115" s="108" t="str">
        <f>IFERROR(__xludf.DUMMYFUNCTION("""COMPUTED_VALUE"""),"20240913_ライドオン_娘の彼氏にセフレにされて～後悔するほど濡れ喘ぐ～")</f>
        <v>20240913_ライドオン_娘の彼氏にセフレにされて～後悔するほど濡れ喘ぐ～</v>
      </c>
      <c r="T2115" s="108" t="str">
        <f>IFERROR(__xludf.DUMMYFUNCTION("""COMPUTED_VALUE"""),"格納済み")</f>
        <v>格納済み</v>
      </c>
      <c r="U2115" s="15" t="str">
        <f>IFERROR(__xludf.DUMMYFUNCTION("""COMPUTED_VALUE"""),"©あおいせな/FILL-IN")</f>
        <v>©あおいせな/FILL-IN</v>
      </c>
      <c r="V2115" s="8" t="str">
        <f>IFERROR(__xludf.DUMMYFUNCTION("""COMPUTED_VALUE"""),"「やめて豊くん…！こんな…優花が悲しむ…ンッ！」
娘のすぐそばで、娘の彼氏に腰を打ち付けられて…
――愛の一人娘、優花が彼氏を家に連れてきた。
爽やかな青年で母としても好印象。
娘の成長を感じ、嬉しさと少しの寂しさを味わっていると…
「お母さん、お久しぶりです。やっと二人になれた…」
娘の部屋にいるはずの彼氏、豊が突然現れ抱きしめてきた！
驚き抵抗するも彼は目を爛々とさせ愛の体をまさぐりだす。
「お母さん…一緒になりましょう！」
拒めば家族になにをされるか分からない…
サイコな彼に怯え"&amp;"つつ、仕方なく受け入れる愛。
しかし、ズププッと奥まで入ると体は思わず反応して濡れてしまう！
豊は一体何者なのか、愛は戸惑いながら娘を守るために突かれ喘ぐ…")</f>
        <v>「やめて豊くん…！こんな…優花が悲しむ…ンッ！」
娘のすぐそばで、娘の彼氏に腰を打ち付けられて…
――愛の一人娘、優花が彼氏を家に連れてきた。
爽やかな青年で母としても好印象。
娘の成長を感じ、嬉しさと少しの寂しさを味わっていると…
「お母さん、お久しぶりです。やっと二人になれた…」
娘の部屋にいるはずの彼氏、豊が突然現れ抱きしめてきた！
驚き抵抗するも彼は目を爛々とさせ愛の体をまさぐりだす。
「お母さん…一緒になりましょう！」
拒めば家族になにをされるか分からない…
サイコな彼に怯えつつ、仕方なく受け入れる愛。
しかし、ズププッと奥まで入ると体は思わず反応して濡れてしまう！
豊は一体何者なのか、愛は戸惑いながら娘を守るために突かれ喘ぐ…</v>
      </c>
      <c r="W2115" s="14"/>
      <c r="X2115" s="14" t="str">
        <f>IFERROR(__xludf.DUMMYFUNCTION("""COMPUTED_VALUE"""),"有")</f>
        <v>有</v>
      </c>
      <c r="Y2115" s="8" t="str">
        <f>IFERROR(__xludf.DUMMYFUNCTION("""COMPUTED_VALUE"""),"2024/11/14まで1巻無料")</f>
        <v>2024/11/14まで1巻無料</v>
      </c>
      <c r="Z2115" s="7"/>
      <c r="AA2115" s="7"/>
      <c r="AB2115" s="7"/>
    </row>
    <row r="2116" ht="15.75" customHeight="1">
      <c r="A2116" s="76">
        <f>IFERROR(__xludf.DUMMYFUNCTION("""COMPUTED_VALUE"""),4132.0)</f>
        <v>4132</v>
      </c>
      <c r="B2116" s="108" t="str">
        <f>IFERROR(__xludf.DUMMYFUNCTION("""COMPUTED_VALUE"""),"確定")</f>
        <v>確定</v>
      </c>
      <c r="C2116" s="74">
        <f>IFERROR(__xludf.DUMMYFUNCTION("""COMPUTED_VALUE"""),45548.0)</f>
        <v>45548</v>
      </c>
      <c r="D2116" s="74">
        <f>IFERROR(__xludf.DUMMYFUNCTION("""COMPUTED_VALUE"""),45552.0)</f>
        <v>45552</v>
      </c>
      <c r="E2116" s="112">
        <f>IFERROR(__xludf.DUMMYFUNCTION("""COMPUTED_VALUE"""),305094.0)</f>
        <v>305094</v>
      </c>
      <c r="F2116" s="112" t="str">
        <f>IFERROR(__xludf.DUMMYFUNCTION("""COMPUTED_VALUE"""),"【単話】異世界転生したけど、七合目モブだったので普通に生きる。")</f>
        <v>【単話】異世界転生したけど、七合目モブだったので普通に生きる。</v>
      </c>
      <c r="G2116" s="69" t="str">
        <f>IFERROR(__xludf.DUMMYFUNCTION("""COMPUTED_VALUE"""),"1～4")</f>
        <v>1～4</v>
      </c>
      <c r="H2116" s="108" t="str">
        <f>IFERROR(__xludf.DUMMYFUNCTION("""COMPUTED_VALUE"""),"無々")</f>
        <v>無々</v>
      </c>
      <c r="I2116" s="113" t="str">
        <f>IFERROR(__xludf.DUMMYFUNCTION("""COMPUTED_VALUE"""),"女性")</f>
        <v>女性</v>
      </c>
      <c r="J2116" s="108"/>
      <c r="K2116" s="108"/>
      <c r="L2116" s="108" t="str">
        <f>IFERROR(__xludf.DUMMYFUNCTION("""COMPUTED_VALUE"""),"KADOKAWA")</f>
        <v>KADOKAWA</v>
      </c>
      <c r="M2116" s="59">
        <f>IFERROR(__xludf.DUMMYFUNCTION("""COMPUTED_VALUE"""),45597.0)</f>
        <v>45597</v>
      </c>
      <c r="N2116" s="23">
        <f>IFERROR(__xludf.DUMMYFUNCTION("""COMPUTED_VALUE"""),45688.0)</f>
        <v>45688</v>
      </c>
      <c r="O2116" s="108"/>
      <c r="P2116" s="110" t="str">
        <f>IFERROR(__xludf.DUMMYFUNCTION("""COMPUTED_VALUE"""),"否")</f>
        <v>否</v>
      </c>
      <c r="Q2116" s="111" t="str">
        <f>IFERROR(__xludf.DUMMYFUNCTION("""COMPUTED_VALUE"""),"先行確約タイトルとなります。原作ノベルがシーモアでも非常に売り上げ好調なタイトルのコミカライズとなります。ぜひ出稿可能であればよろしくお願いいたします。&lt;BR&gt;※制作には「1～4巻」の素材をご使用ください&lt;BR&gt;※1話目に「異世界BL」と書かれておりますが、ジャンルは「女性」で間違いございません")</f>
        <v>先行確約タイトルとなります。原作ノベルがシーモアでも非常に売り上げ好調なタイトルのコミカライズとなります。ぜひ出稿可能であればよろしくお願いいたします。&lt;BR&gt;※制作には「1～4巻」の素材をご使用ください&lt;BR&gt;※1話目に「異世界BL」と書かれておりますが、ジャンルは「女性」で間違いございません</v>
      </c>
      <c r="R2116" s="108"/>
      <c r="S2116" s="108" t="str">
        <f>IFERROR(__xludf.DUMMYFUNCTION("""COMPUTED_VALUE"""),"20240913‗KADOKAWA‗異世界転生したけど、七合目モブだったので普通に生きる。")</f>
        <v>20240913‗KADOKAWA‗異世界転生したけど、七合目モブだったので普通に生きる。</v>
      </c>
      <c r="T2116" s="108" t="str">
        <f>IFERROR(__xludf.DUMMYFUNCTION("""COMPUTED_VALUE"""),"格納済み")</f>
        <v>格納済み</v>
      </c>
      <c r="U2116" s="15" t="str">
        <f>IFERROR(__xludf.DUMMYFUNCTION("""COMPUTED_VALUE"""),"(C)Mumu (C)Shiratama (C)Kyo Kitazawa")</f>
        <v>(C)Mumu (C)Shiratama (C)Kyo Kitazawa</v>
      </c>
      <c r="V2116" s="8" t="str">
        <f>IFERROR(__xludf.DUMMYFUNCTION("""COMPUTED_VALUE"""),"乙女ゲームの世界に伯爵家長男として転生した王立学院三年のアルフレッド・ラグワーズは、全部が中の上という恵まれた環境に満足していた。このままシナリオと無関係に平穏なモブ人生を歩むはずが、ある日ゲームの攻略対象者で年下の美形宰相子息ギルバート・ランネイルと出会ってしまう。学院の秘密の隠れ家で二人で過ごすうち、氷の貴公子と名高いギルバートを無自覚に溺愛していくアルフレッドに、女性たちは次々と新たな扉を開き、知らぬ間にゲームのフラグは折れまくる――。暴走する転生ヒロインをよそにマイペースで異世界を生きる自称「七合"&amp;"目モブ」の激甘主人公攻めＢＬ！【七合目モブとは】アルフレッドが自称する自身の立ち位置。家柄、容姿、環境などにそこそこめぐまれ、かといって目立ちすぎることもなく、人生をイージーモードで過ごせるポジション。中の上～上の下。（※ただし、アルフレッドの実際のスペックは金髪碧眼イケメンスパダリ）")</f>
        <v>乙女ゲームの世界に伯爵家長男として転生した王立学院三年のアルフレッド・ラグワーズは、全部が中の上という恵まれた環境に満足していた。このままシナリオと無関係に平穏なモブ人生を歩むはずが、ある日ゲームの攻略対象者で年下の美形宰相子息ギルバート・ランネイルと出会ってしまう。学院の秘密の隠れ家で二人で過ごすうち、氷の貴公子と名高いギルバートを無自覚に溺愛していくアルフレッドに、女性たちは次々と新たな扉を開き、知らぬ間にゲームのフラグは折れまくる――。暴走する転生ヒロインをよそにマイペースで異世界を生きる自称「七合目モブ」の激甘主人公攻めＢＬ！【七合目モブとは】アルフレッドが自称する自身の立ち位置。家柄、容姿、環境などにそこそこめぐまれ、かといって目立ちすぎることもなく、人生をイージーモードで過ごせるポジション。中の上～上の下。（※ただし、アルフレッドの実際のスペックは金髪碧眼イケメンスパダリ）</v>
      </c>
      <c r="W2116" s="14"/>
      <c r="X2116" s="14" t="str">
        <f>IFERROR(__xludf.DUMMYFUNCTION("""COMPUTED_VALUE"""),"有")</f>
        <v>有</v>
      </c>
      <c r="Y2116" s="8" t="str">
        <f>IFERROR(__xludf.DUMMYFUNCTION("""COMPUTED_VALUE"""),"2024/11/30まで1巻無料")</f>
        <v>2024/11/30まで1巻無料</v>
      </c>
      <c r="Z2116" s="7"/>
      <c r="AA2116" s="7"/>
      <c r="AB2116" s="7"/>
    </row>
    <row r="2117" ht="15.75" customHeight="1">
      <c r="A2117" s="76">
        <f>IFERROR(__xludf.DUMMYFUNCTION("""COMPUTED_VALUE"""),4145.0)</f>
        <v>4145</v>
      </c>
      <c r="B2117" s="108" t="str">
        <f>IFERROR(__xludf.DUMMYFUNCTION("""COMPUTED_VALUE"""),"確定")</f>
        <v>確定</v>
      </c>
      <c r="C2117" s="74">
        <f>IFERROR(__xludf.DUMMYFUNCTION("""COMPUTED_VALUE"""),45552.0)</f>
        <v>45552</v>
      </c>
      <c r="D2117" s="74">
        <f>IFERROR(__xludf.DUMMYFUNCTION("""COMPUTED_VALUE"""),45553.0)</f>
        <v>45553</v>
      </c>
      <c r="E2117" s="112">
        <f>IFERROR(__xludf.DUMMYFUNCTION("""COMPUTED_VALUE"""),303543.0)</f>
        <v>303543</v>
      </c>
      <c r="F2117" s="112" t="str">
        <f>IFERROR(__xludf.DUMMYFUNCTION("""COMPUTED_VALUE"""),"騙し愛－ワケありシンデレラの偽装恋愛―")</f>
        <v>騙し愛－ワケありシンデレラの偽装恋愛―</v>
      </c>
      <c r="G2117" s="69" t="str">
        <f>IFERROR(__xludf.DUMMYFUNCTION("""COMPUTED_VALUE"""),"1～4")</f>
        <v>1～4</v>
      </c>
      <c r="H2117" s="108" t="str">
        <f>IFERROR(__xludf.DUMMYFUNCTION("""COMPUTED_VALUE"""),"L.Y/Han Nyang")</f>
        <v>L.Y/Han Nyang</v>
      </c>
      <c r="I2117" s="108" t="str">
        <f>IFERROR(__xludf.DUMMYFUNCTION("""COMPUTED_VALUE"""),"女性")</f>
        <v>女性</v>
      </c>
      <c r="J2117" s="108"/>
      <c r="K2117" s="108"/>
      <c r="L2117" s="108" t="str">
        <f>IFERROR(__xludf.DUMMYFUNCTION("""COMPUTED_VALUE"""),"Rush!")</f>
        <v>Rush!</v>
      </c>
      <c r="M2117" s="23">
        <f>IFERROR(__xludf.DUMMYFUNCTION("""COMPUTED_VALUE"""),45568.0)</f>
        <v>45568</v>
      </c>
      <c r="N2117" s="23">
        <f>IFERROR(__xludf.DUMMYFUNCTION("""COMPUTED_VALUE"""),45602.0)</f>
        <v>45602</v>
      </c>
      <c r="O2117" s="108"/>
      <c r="P2117" s="114" t="str">
        <f>IFERROR(__xludf.DUMMYFUNCTION("""COMPUTED_VALUE"""),"可")</f>
        <v>可</v>
      </c>
      <c r="Q2117" s="111"/>
      <c r="R2117" s="108"/>
      <c r="S2117" s="108" t="str">
        <f>IFERROR(__xludf.DUMMYFUNCTION("""COMPUTED_VALUE"""),"20240913_ファンギルド_騙し愛－ワケありシンデレラの偽装恋愛―")</f>
        <v>20240913_ファンギルド_騙し愛－ワケありシンデレラの偽装恋愛―</v>
      </c>
      <c r="T2117" s="108" t="str">
        <f>IFERROR(__xludf.DUMMYFUNCTION("""COMPUTED_VALUE"""),"格納済み")</f>
        <v>格納済み</v>
      </c>
      <c r="U2117" s="15" t="str">
        <f>IFERROR(__xludf.DUMMYFUNCTION("""COMPUTED_VALUE"""),"ⒸL.Y/Han Nyang")</f>
        <v>ⒸL.Y/Han Nyang</v>
      </c>
      <c r="V2117" s="8" t="str">
        <f>IFERROR(__xludf.DUMMYFUNCTION("""COMPUTED_VALUE"""),"最愛の父を事故で亡くし、継母と義兄達の元から逃げ出した唯依。質素ながらも平穏に暮らしていたが、恩人であるおじさんが倒れて事態は一変する。おじさんを助けるためには多額の治療費が必要で、頼れる相手は誰もいない…。そんな唯依に手を差し伸べたのは、かつては愛していた大嫌いな義理の兄である拓哉だけだった。しかし拓哉は唯依を助ける代わりにある条件を出す。それは有名企業の後継者の婚約を破談させるためのハニートラップで…！？シンデレラと義兄と王子様。歪で危険な恋の行方とは――？【「騙し愛-ワケありシンデレラの偽装恋愛-」"&amp;"の再編集版です。重複購入にご注意ください。】")</f>
        <v>最愛の父を事故で亡くし、継母と義兄達の元から逃げ出した唯依。質素ながらも平穏に暮らしていたが、恩人であるおじさんが倒れて事態は一変する。おじさんを助けるためには多額の治療費が必要で、頼れる相手は誰もいない…。そんな唯依に手を差し伸べたのは、かつては愛していた大嫌いな義理の兄である拓哉だけだった。しかし拓哉は唯依を助ける代わりにある条件を出す。それは有名企業の後継者の婚約を破談させるためのハニートラップで…！？シンデレラと義兄と王子様。歪で危険な恋の行方とは――？【「騙し愛-ワケありシンデレラの偽装恋愛-」の再編集版です。重複購入にご注意ください。】</v>
      </c>
      <c r="W2117" s="14"/>
      <c r="X2117" s="14" t="str">
        <f>IFERROR(__xludf.DUMMYFUNCTION("""COMPUTED_VALUE"""),"有")</f>
        <v>有</v>
      </c>
      <c r="Y2117" s="8" t="str">
        <f>IFERROR(__xludf.DUMMYFUNCTION("""COMPUTED_VALUE"""),"P7まで")</f>
        <v>P7まで</v>
      </c>
      <c r="Z2117" s="7"/>
      <c r="AA2117" s="7"/>
      <c r="AB2117" s="7"/>
    </row>
    <row r="2118" ht="15.75" customHeight="1">
      <c r="A2118" s="76">
        <f>IFERROR(__xludf.DUMMYFUNCTION("""COMPUTED_VALUE"""),4146.0)</f>
        <v>4146</v>
      </c>
      <c r="B2118" s="108" t="str">
        <f>IFERROR(__xludf.DUMMYFUNCTION("""COMPUTED_VALUE"""),"確定")</f>
        <v>確定</v>
      </c>
      <c r="C2118" s="74">
        <f>IFERROR(__xludf.DUMMYFUNCTION("""COMPUTED_VALUE"""),45552.0)</f>
        <v>45552</v>
      </c>
      <c r="D2118" s="74">
        <f>IFERROR(__xludf.DUMMYFUNCTION("""COMPUTED_VALUE"""),45553.0)</f>
        <v>45553</v>
      </c>
      <c r="E2118" s="112">
        <f>IFERROR(__xludf.DUMMYFUNCTION("""COMPUTED_VALUE"""),303650.0)</f>
        <v>303650</v>
      </c>
      <c r="F2118" s="112" t="str">
        <f>IFERROR(__xludf.DUMMYFUNCTION("""COMPUTED_VALUE"""),"「俺のがずっと欲しかったんだろ？」変態上司の止まらない淫語に絶頂し続ける一ヵ月")</f>
        <v>「俺のがずっと欲しかったんだろ？」変態上司の止まらない淫語に絶頂し続ける一ヵ月</v>
      </c>
      <c r="G2118" s="69" t="str">
        <f>IFERROR(__xludf.DUMMYFUNCTION("""COMPUTED_VALUE"""),"1～3")</f>
        <v>1～3</v>
      </c>
      <c r="H2118" s="108" t="str">
        <f>IFERROR(__xludf.DUMMYFUNCTION("""COMPUTED_VALUE"""),"つかさ")</f>
        <v>つかさ</v>
      </c>
      <c r="I2118" s="108" t="str">
        <f>IFERROR(__xludf.DUMMYFUNCTION("""COMPUTED_VALUE"""),"オトナ")</f>
        <v>オトナ</v>
      </c>
      <c r="J2118" s="108"/>
      <c r="K2118" s="108"/>
      <c r="L2118" s="108" t="str">
        <f>IFERROR(__xludf.DUMMYFUNCTION("""COMPUTED_VALUE"""),"モバイルメディアリサーチ")</f>
        <v>モバイルメディアリサーチ</v>
      </c>
      <c r="M2118" s="115">
        <f>IFERROR(__xludf.DUMMYFUNCTION("""COMPUTED_VALUE"""),45590.0)</f>
        <v>45590</v>
      </c>
      <c r="N2118" s="115">
        <f>IFERROR(__xludf.DUMMYFUNCTION("""COMPUTED_VALUE"""),45617.0)</f>
        <v>45617</v>
      </c>
      <c r="O2118" s="108"/>
      <c r="P2118" s="114" t="str">
        <f>IFERROR(__xludf.DUMMYFUNCTION("""COMPUTED_VALUE"""),"可")</f>
        <v>可</v>
      </c>
      <c r="Q2118" s="111"/>
      <c r="R2118" s="108"/>
      <c r="S2118" s="108" t="str">
        <f>IFERROR(__xludf.DUMMYFUNCTION("""COMPUTED_VALUE"""),"20240913_ファンギルド_「俺のがずっと欲しかったんだろ？」変態上司の止まらない淫語に絶頂し続ける一ヵ月")</f>
        <v>20240913_ファンギルド_「俺のがずっと欲しかったんだろ？」変態上司の止まらない淫語に絶頂し続ける一ヵ月</v>
      </c>
      <c r="T2118" s="108" t="str">
        <f>IFERROR(__xludf.DUMMYFUNCTION("""COMPUTED_VALUE"""),"格納済み")</f>
        <v>格納済み</v>
      </c>
      <c r="U2118" s="15" t="str">
        <f>IFERROR(__xludf.DUMMYFUNCTION("""COMPUTED_VALUE"""),"©つかさ/モバイルメディアリサーチ")</f>
        <v>©つかさ/モバイルメディアリサーチ</v>
      </c>
      <c r="V2118" s="8" t="str">
        <f>IFERROR(__xludf.DUMMYFUNCTION("""COMPUTED_VALUE"""),"「俺も変態だが、君も相当みたいだな」――残業中、OL・久瀬は恋心を抱いていた上司・上原に告白するが、彼は自身が“変態”であることを理由に断ってしまう。「それでも上原さんのことが好きだから…！」と交際を諦めきれない久瀬は、彼の変態的な指示に従い、スーツでは隠しきれない豊満な肉体を大胆にさらしていく。すると上原は「流石に脱いで終わりなんて思ってないだろ？」と既に濡れた久瀬のアソコをグチョグチョに愛撫していき、さらには敏感になって膨らんだクリをコリッと噛んで彼女を盛大にイかせていく…。そんな久瀬のイキ姿に我慢の"&amp;"限界に達した上原は、反り立ったモノをあてがい――!?")</f>
        <v>「俺も変態だが、君も相当みたいだな」――残業中、OL・久瀬は恋心を抱いていた上司・上原に告白するが、彼は自身が“変態”であることを理由に断ってしまう。「それでも上原さんのことが好きだから…！」と交際を諦めきれない久瀬は、彼の変態的な指示に従い、スーツでは隠しきれない豊満な肉体を大胆にさらしていく。すると上原は「流石に脱いで終わりなんて思ってないだろ？」と既に濡れた久瀬のアソコをグチョグチョに愛撫していき、さらには敏感になって膨らんだクリをコリッと噛んで彼女を盛大にイかせていく…。そんな久瀬のイキ姿に我慢の限界に達した上原は、反り立ったモノをあてがい――!?</v>
      </c>
      <c r="W2118" s="14"/>
      <c r="X2118" s="14" t="str">
        <f>IFERROR(__xludf.DUMMYFUNCTION("""COMPUTED_VALUE"""),"有")</f>
        <v>有</v>
      </c>
      <c r="Y2118" s="8" t="str">
        <f>IFERROR(__xludf.DUMMYFUNCTION("""COMPUTED_VALUE"""),"P7まで")</f>
        <v>P7まで</v>
      </c>
      <c r="Z2118" s="7"/>
      <c r="AA2118" s="7"/>
      <c r="AB2118" s="7"/>
    </row>
    <row r="2119" ht="15.75" customHeight="1">
      <c r="A2119" s="76">
        <f>IFERROR(__xludf.DUMMYFUNCTION("""COMPUTED_VALUE"""),4147.0)</f>
        <v>4147</v>
      </c>
      <c r="B2119" s="108" t="str">
        <f>IFERROR(__xludf.DUMMYFUNCTION("""COMPUTED_VALUE"""),"確定")</f>
        <v>確定</v>
      </c>
      <c r="C2119" s="74">
        <f>IFERROR(__xludf.DUMMYFUNCTION("""COMPUTED_VALUE"""),45552.0)</f>
        <v>45552</v>
      </c>
      <c r="D2119" s="74">
        <f>IFERROR(__xludf.DUMMYFUNCTION("""COMPUTED_VALUE"""),45553.0)</f>
        <v>45553</v>
      </c>
      <c r="E2119" s="112">
        <f>IFERROR(__xludf.DUMMYFUNCTION("""COMPUTED_VALUE"""),303651.0)</f>
        <v>303651</v>
      </c>
      <c r="F2119" s="112" t="str">
        <f>IFERROR(__xludf.DUMMYFUNCTION("""COMPUTED_VALUE"""),"イクまで終わらないSM調教ピストン～調教されたい同期はぐしょ濡れ絶頂しました")</f>
        <v>イクまで終わらないSM調教ピストン～調教されたい同期はぐしょ濡れ絶頂しました</v>
      </c>
      <c r="G2119" s="69" t="str">
        <f>IFERROR(__xludf.DUMMYFUNCTION("""COMPUTED_VALUE"""),"1～3")</f>
        <v>1～3</v>
      </c>
      <c r="H2119" s="108" t="str">
        <f>IFERROR(__xludf.DUMMYFUNCTION("""COMPUTED_VALUE"""),"モティカ")</f>
        <v>モティカ</v>
      </c>
      <c r="I2119" s="108" t="str">
        <f>IFERROR(__xludf.DUMMYFUNCTION("""COMPUTED_VALUE"""),"オトナ")</f>
        <v>オトナ</v>
      </c>
      <c r="J2119" s="108"/>
      <c r="K2119" s="108"/>
      <c r="L2119" s="108" t="str">
        <f>IFERROR(__xludf.DUMMYFUNCTION("""COMPUTED_VALUE"""),"モバイルメディアリサーチ")</f>
        <v>モバイルメディアリサーチ</v>
      </c>
      <c r="M2119" s="115">
        <f>IFERROR(__xludf.DUMMYFUNCTION("""COMPUTED_VALUE"""),45590.0)</f>
        <v>45590</v>
      </c>
      <c r="N2119" s="115">
        <f>IFERROR(__xludf.DUMMYFUNCTION("""COMPUTED_VALUE"""),45617.0)</f>
        <v>45617</v>
      </c>
      <c r="O2119" s="108"/>
      <c r="P2119" s="114" t="str">
        <f>IFERROR(__xludf.DUMMYFUNCTION("""COMPUTED_VALUE"""),"可")</f>
        <v>可</v>
      </c>
      <c r="Q2119" s="111"/>
      <c r="R2119" s="108"/>
      <c r="S2119" s="108" t="str">
        <f>IFERROR(__xludf.DUMMYFUNCTION("""COMPUTED_VALUE"""),"20240913_ファンギルド_イクまで終わらないSM調教ピストン～調教されたい同期はぐしょ濡れ絶頂しました")</f>
        <v>20240913_ファンギルド_イクまで終わらないSM調教ピストン～調教されたい同期はぐしょ濡れ絶頂しました</v>
      </c>
      <c r="T2119" s="108" t="str">
        <f>IFERROR(__xludf.DUMMYFUNCTION("""COMPUTED_VALUE"""),"格納済み")</f>
        <v>格納済み</v>
      </c>
      <c r="U2119" s="15" t="str">
        <f>IFERROR(__xludf.DUMMYFUNCTION("""COMPUTED_VALUE"""),"©モティカ/モバイルメディアリサーチ")</f>
        <v>©モティカ/モバイルメディアリサーチ</v>
      </c>
      <c r="V2119" s="8" t="str">
        <f>IFERROR(__xludf.DUMMYFUNCTION("""COMPUTED_VALUE"""),"「見られながらイッちゃったぁあ…」――とある会社に勤める八重洲は、容姿端麗で仕事もできる高嶺の花・恵夢田に密かに想いを寄せていた。ある日、飲み会で泥酔した恵夢田を家まで送り届けた八重洲は彼女のとんでもない秘密を知ってしまう…！なんと恵夢田はローターや貞操帯をつけたまま出勤する変態ドMだったのだ…！ 秘密を知られた恵夢田は「私を虐めてくれるSな人…八重洲くんかもしれない…」と言い始めて…!? ビンビンになった乳首、トロトロになったアソコ…恵夢田のMの誘惑に抗えず、八重洲は彼女の性感帯を何度も弄ると、恥ずかし"&amp;"がりながらもいやらしい汁がどんどんと溢れてきて…!? その光景に次第に興奮してきた八重洲の責め次第に過激になり…!?")</f>
        <v>「見られながらイッちゃったぁあ…」――とある会社に勤める八重洲は、容姿端麗で仕事もできる高嶺の花・恵夢田に密かに想いを寄せていた。ある日、飲み会で泥酔した恵夢田を家まで送り届けた八重洲は彼女のとんでもない秘密を知ってしまう…！なんと恵夢田はローターや貞操帯をつけたまま出勤する変態ドMだったのだ…！ 秘密を知られた恵夢田は「私を虐めてくれるSな人…八重洲くんかもしれない…」と言い始めて…!? ビンビンになった乳首、トロトロになったアソコ…恵夢田のMの誘惑に抗えず、八重洲は彼女の性感帯を何度も弄ると、恥ずかしがりながらもいやらしい汁がどんどんと溢れてきて…!? その光景に次第に興奮してきた八重洲の責め次第に過激になり…!?</v>
      </c>
      <c r="W2119" s="14"/>
      <c r="X2119" s="14" t="str">
        <f>IFERROR(__xludf.DUMMYFUNCTION("""COMPUTED_VALUE"""),"有")</f>
        <v>有</v>
      </c>
      <c r="Y2119" s="8" t="str">
        <f>IFERROR(__xludf.DUMMYFUNCTION("""COMPUTED_VALUE"""),"P10まで")</f>
        <v>P10まで</v>
      </c>
      <c r="Z2119" s="7"/>
      <c r="AA2119" s="7"/>
      <c r="AB2119" s="7"/>
    </row>
    <row r="2120" ht="15.75" customHeight="1">
      <c r="A2120" s="76">
        <f>IFERROR(__xludf.DUMMYFUNCTION("""COMPUTED_VALUE"""),4148.0)</f>
        <v>4148</v>
      </c>
      <c r="B2120" s="108" t="str">
        <f>IFERROR(__xludf.DUMMYFUNCTION("""COMPUTED_VALUE"""),"確定")</f>
        <v>確定</v>
      </c>
      <c r="C2120" s="74">
        <f>IFERROR(__xludf.DUMMYFUNCTION("""COMPUTED_VALUE"""),45552.0)</f>
        <v>45552</v>
      </c>
      <c r="D2120" s="74">
        <f>IFERROR(__xludf.DUMMYFUNCTION("""COMPUTED_VALUE"""),45553.0)</f>
        <v>45553</v>
      </c>
      <c r="E2120" s="112">
        <f>IFERROR(__xludf.DUMMYFUNCTION("""COMPUTED_VALUE"""),299425.0)</f>
        <v>299425</v>
      </c>
      <c r="F2120" s="112" t="str">
        <f>IFERROR(__xludf.DUMMYFUNCTION("""COMPUTED_VALUE"""),"心の奥を覗かせて")</f>
        <v>心の奥を覗かせて</v>
      </c>
      <c r="G2120" s="79" t="str">
        <f>IFERROR(__xludf.DUMMYFUNCTION("""COMPUTED_VALUE"""),"1～10")</f>
        <v>1～10</v>
      </c>
      <c r="H2120" s="108" t="str">
        <f>IFERROR(__xludf.DUMMYFUNCTION("""COMPUTED_VALUE"""),"Paskim")</f>
        <v>Paskim</v>
      </c>
      <c r="I2120" s="108" t="str">
        <f>IFERROR(__xludf.DUMMYFUNCTION("""COMPUTED_VALUE"""),"BL")</f>
        <v>BL</v>
      </c>
      <c r="J2120" s="108"/>
      <c r="K2120" s="108"/>
      <c r="L2120" s="108" t="str">
        <f>IFERROR(__xludf.DUMMYFUNCTION("""COMPUTED_VALUE"""),"Rush!")</f>
        <v>Rush!</v>
      </c>
      <c r="M2120" s="115">
        <f>IFERROR(__xludf.DUMMYFUNCTION("""COMPUTED_VALUE"""),45576.0)</f>
        <v>45576</v>
      </c>
      <c r="N2120" s="115">
        <f>IFERROR(__xludf.DUMMYFUNCTION("""COMPUTED_VALUE"""),45608.0)</f>
        <v>45608</v>
      </c>
      <c r="O2120" s="108"/>
      <c r="P2120" s="110" t="str">
        <f>IFERROR(__xludf.DUMMYFUNCTION("""COMPUTED_VALUE"""),"可")</f>
        <v>可</v>
      </c>
      <c r="Q2120" s="111" t="str">
        <f>IFERROR(__xludf.DUMMYFUNCTION("""COMPUTED_VALUE"""),"ピッコマで先行配信中の作品の版面版です。")</f>
        <v>ピッコマで先行配信中の作品の版面版です。</v>
      </c>
      <c r="R2120" s="108"/>
      <c r="S2120" s="108" t="str">
        <f>IFERROR(__xludf.DUMMYFUNCTION("""COMPUTED_VALUE"""),"20240913_ファンギルド_心の奥を覗かせて")</f>
        <v>20240913_ファンギルド_心の奥を覗かせて</v>
      </c>
      <c r="T2120" s="108" t="str">
        <f>IFERROR(__xludf.DUMMYFUNCTION("""COMPUTED_VALUE"""),"格納済み")</f>
        <v>格納済み</v>
      </c>
      <c r="U2120" s="15" t="str">
        <f>IFERROR(__xludf.DUMMYFUNCTION("""COMPUTED_VALUE"""),"©Paskim")</f>
        <v>©Paskim</v>
      </c>
      <c r="V2120" s="8" t="str">
        <f>IFERROR(__xludf.DUMMYFUNCTION("""COMPUTED_VALUE"""),"天真爛漫で誰にでも好かれる天輝（ひろき）に憧れと恋心を抱く蒼空（そら）は、趣味のカメラで天輝の写真を撮り溜めていた。誰にも見せるつもりはない、自分だけの密かな楽しみ…その筈だったのにある日クラスメイトの桐斗（きりと）に写真を見られてしまう。「何でもするから誰にも言わないでくれ…！」そう懇願する蒼空に優しく微笑んだ桐斗はある”お願い”をする…素直になりたいけどなれない。好きだから暴きたい。揺れ動く少年たちの心の奥に隠された本当の気持ちとは――！？【「心の奥を覗かせて」の再編集版です。重複購入にご注意ください"&amp;"。】")</f>
        <v>天真爛漫で誰にでも好かれる天輝（ひろき）に憧れと恋心を抱く蒼空（そら）は、趣味のカメラで天輝の写真を撮り溜めていた。誰にも見せるつもりはない、自分だけの密かな楽しみ…その筈だったのにある日クラスメイトの桐斗（きりと）に写真を見られてしまう。「何でもするから誰にも言わないでくれ…！」そう懇願する蒼空に優しく微笑んだ桐斗はある”お願い”をする…素直になりたいけどなれない。好きだから暴きたい。揺れ動く少年たちの心の奥に隠された本当の気持ちとは――！？【「心の奥を覗かせて」の再編集版です。重複購入にご注意ください。】</v>
      </c>
      <c r="W2120" s="14"/>
      <c r="X2120" s="14" t="str">
        <f>IFERROR(__xludf.DUMMYFUNCTION("""COMPUTED_VALUE"""),"有")</f>
        <v>有</v>
      </c>
      <c r="Y2120" s="8" t="str">
        <f>IFERROR(__xludf.DUMMYFUNCTION("""COMPUTED_VALUE"""),"2024/10/24まで1巻無料")</f>
        <v>2024/10/24まで1巻無料</v>
      </c>
      <c r="Z2120" s="7"/>
      <c r="AA2120" s="7"/>
      <c r="AB2120" s="7"/>
    </row>
    <row r="2121" ht="15.75" customHeight="1">
      <c r="A2121" s="76">
        <f>IFERROR(__xludf.DUMMYFUNCTION("""COMPUTED_VALUE"""),4149.0)</f>
        <v>4149</v>
      </c>
      <c r="B2121" s="108" t="str">
        <f>IFERROR(__xludf.DUMMYFUNCTION("""COMPUTED_VALUE"""),"確定")</f>
        <v>確定</v>
      </c>
      <c r="C2121" s="74">
        <f>IFERROR(__xludf.DUMMYFUNCTION("""COMPUTED_VALUE"""),45552.0)</f>
        <v>45552</v>
      </c>
      <c r="D2121" s="74">
        <f>IFERROR(__xludf.DUMMYFUNCTION("""COMPUTED_VALUE"""),45553.0)</f>
        <v>45553</v>
      </c>
      <c r="E2121" s="112">
        <f>IFERROR(__xludf.DUMMYFUNCTION("""COMPUTED_VALUE"""),303652.0)</f>
        <v>303652</v>
      </c>
      <c r="F2121" s="112" t="str">
        <f>IFERROR(__xludf.DUMMYFUNCTION("""COMPUTED_VALUE"""),"溢れた本能")</f>
        <v>溢れた本能</v>
      </c>
      <c r="G2121" s="69" t="str">
        <f>IFERROR(__xludf.DUMMYFUNCTION("""COMPUTED_VALUE"""),"1～4")</f>
        <v>1～4</v>
      </c>
      <c r="H2121" s="108" t="str">
        <f>IFERROR(__xludf.DUMMYFUNCTION("""COMPUTED_VALUE"""),"TOSHO/hoshi")</f>
        <v>TOSHO/hoshi</v>
      </c>
      <c r="I2121" s="108" t="str">
        <f>IFERROR(__xludf.DUMMYFUNCTION("""COMPUTED_VALUE"""),"青年")</f>
        <v>青年</v>
      </c>
      <c r="J2121" s="108"/>
      <c r="K2121" s="108"/>
      <c r="L2121" s="108" t="str">
        <f>IFERROR(__xludf.DUMMYFUNCTION("""COMPUTED_VALUE"""),"Rush!")</f>
        <v>Rush!</v>
      </c>
      <c r="M2121" s="115">
        <f>IFERROR(__xludf.DUMMYFUNCTION("""COMPUTED_VALUE"""),45576.0)</f>
        <v>45576</v>
      </c>
      <c r="N2121" s="23">
        <f>IFERROR(__xludf.DUMMYFUNCTION("""COMPUTED_VALUE"""),45603.0)</f>
        <v>45603</v>
      </c>
      <c r="O2121" s="108"/>
      <c r="P2121" s="114" t="str">
        <f>IFERROR(__xludf.DUMMYFUNCTION("""COMPUTED_VALUE"""),"可")</f>
        <v>可</v>
      </c>
      <c r="Q2121" s="111"/>
      <c r="R2121" s="108"/>
      <c r="S2121" s="108" t="str">
        <f>IFERROR(__xludf.DUMMYFUNCTION("""COMPUTED_VALUE"""),"20240913_ファンギルド_溢れた本能")</f>
        <v>20240913_ファンギルド_溢れた本能</v>
      </c>
      <c r="T2121" s="108" t="str">
        <f>IFERROR(__xludf.DUMMYFUNCTION("""COMPUTED_VALUE"""),"格納済み")</f>
        <v>格納済み</v>
      </c>
      <c r="U2121" s="15" t="str">
        <f>IFERROR(__xludf.DUMMYFUNCTION("""COMPUTED_VALUE"""),"©TOSHO/hoshi/TOPTOON")</f>
        <v>©TOSHO/hoshi/TOPTOON</v>
      </c>
      <c r="V2121" s="8" t="str">
        <f>IFERROR(__xludf.DUMMYFUNCTION("""COMPUTED_VALUE"""),"留学から帰国し適当に日々を過ごしていた大学生・岡部旬（おかべしゅん）。当時付き合っていた彼女と別れを告げ、そのまま思い付きで行ったクラブで橘瑛莉香（たちばなえりか）と出会い、一夜を共にする。命令に従順な瑛莉香を気に入った旬だが、その後いくら探しても彼女は見つからなかった。その数ヶ月後、二人は思わぬ形で再会することになる――教授と学生という関係で！32歳で国立大学教授という所謂超エリートの瑛莉香は、その華麗なキャリアに傷を付けたくなかったが…旬によって隠していたはずの本能が暴かれていってしまい――！？")</f>
        <v>留学から帰国し適当に日々を過ごしていた大学生・岡部旬（おかべしゅん）。当時付き合っていた彼女と別れを告げ、そのまま思い付きで行ったクラブで橘瑛莉香（たちばなえりか）と出会い、一夜を共にする。命令に従順な瑛莉香を気に入った旬だが、その後いくら探しても彼女は見つからなかった。その数ヶ月後、二人は思わぬ形で再会することになる――教授と学生という関係で！32歳で国立大学教授という所謂超エリートの瑛莉香は、その華麗なキャリアに傷を付けたくなかったが…旬によって隠していたはずの本能が暴かれていってしまい――！？</v>
      </c>
      <c r="W2121" s="14"/>
      <c r="X2121" s="14" t="str">
        <f>IFERROR(__xludf.DUMMYFUNCTION("""COMPUTED_VALUE"""),"有")</f>
        <v>有</v>
      </c>
      <c r="Y2121" s="8" t="str">
        <f>IFERROR(__xludf.DUMMYFUNCTION("""COMPUTED_VALUE"""),"2024/10/31まで1巻無料")</f>
        <v>2024/10/31まで1巻無料</v>
      </c>
      <c r="Z2121" s="7"/>
      <c r="AA2121" s="7"/>
      <c r="AB2121" s="7"/>
    </row>
    <row r="2122" ht="15.75" customHeight="1">
      <c r="A2122" s="76">
        <f>IFERROR(__xludf.DUMMYFUNCTION("""COMPUTED_VALUE"""),4150.0)</f>
        <v>4150</v>
      </c>
      <c r="B2122" s="108" t="str">
        <f>IFERROR(__xludf.DUMMYFUNCTION("""COMPUTED_VALUE"""),"確定")</f>
        <v>確定</v>
      </c>
      <c r="C2122" s="74">
        <f>IFERROR(__xludf.DUMMYFUNCTION("""COMPUTED_VALUE"""),45552.0)</f>
        <v>45552</v>
      </c>
      <c r="D2122" s="74">
        <f>IFERROR(__xludf.DUMMYFUNCTION("""COMPUTED_VALUE"""),45553.0)</f>
        <v>45553</v>
      </c>
      <c r="E2122" s="112">
        <f>IFERROR(__xludf.DUMMYFUNCTION("""COMPUTED_VALUE"""),303653.0)</f>
        <v>303653</v>
      </c>
      <c r="F2122" s="112" t="str">
        <f>IFERROR(__xludf.DUMMYFUNCTION("""COMPUTED_VALUE"""),"『生産職』レベルMAXから始まるほのぼの異世界ライフ")</f>
        <v>『生産職』レベルMAXから始まるほのぼの異世界ライフ</v>
      </c>
      <c r="G2122" s="69" t="str">
        <f>IFERROR(__xludf.DUMMYFUNCTION("""COMPUTED_VALUE"""),"1～5")</f>
        <v>1～5</v>
      </c>
      <c r="H2122" s="108" t="str">
        <f>IFERROR(__xludf.DUMMYFUNCTION("""COMPUTED_VALUE"""),"栢山/年中麦茶太郎")</f>
        <v>栢山/年中麦茶太郎</v>
      </c>
      <c r="I2122" s="108" t="str">
        <f>IFERROR(__xludf.DUMMYFUNCTION("""COMPUTED_VALUE"""),"少年")</f>
        <v>少年</v>
      </c>
      <c r="J2122" s="108"/>
      <c r="K2122" s="108"/>
      <c r="L2122" s="108" t="str">
        <f>IFERROR(__xludf.DUMMYFUNCTION("""COMPUTED_VALUE"""),"ファンギルド")</f>
        <v>ファンギルド</v>
      </c>
      <c r="M2122" s="115">
        <f>IFERROR(__xludf.DUMMYFUNCTION("""COMPUTED_VALUE"""),45587.0)</f>
        <v>45587</v>
      </c>
      <c r="N2122" s="115">
        <f>IFERROR(__xludf.DUMMYFUNCTION("""COMPUTED_VALUE"""),45617.0)</f>
        <v>45617</v>
      </c>
      <c r="O2122" s="108"/>
      <c r="P2122" s="110" t="str">
        <f>IFERROR(__xludf.DUMMYFUNCTION("""COMPUTED_VALUE"""),"可")</f>
        <v>可</v>
      </c>
      <c r="Q2122" s="111" t="str">
        <f>IFERROR(__xludf.DUMMYFUNCTION("""COMPUTED_VALUE"""),"「comic スピラ」レーベルです。")</f>
        <v>「comic スピラ」レーベルです。</v>
      </c>
      <c r="R2122" s="108"/>
      <c r="S2122" s="108" t="str">
        <f>IFERROR(__xludf.DUMMYFUNCTION("""COMPUTED_VALUE"""),"20240913_ファンギルド_『生産職』レベルMAXから始まるほのぼの異世界ライフ")</f>
        <v>20240913_ファンギルド_『生産職』レベルMAXから始まるほのぼの異世界ライフ</v>
      </c>
      <c r="T2122" s="108" t="str">
        <f>IFERROR(__xludf.DUMMYFUNCTION("""COMPUTED_VALUE"""),"格納済み")</f>
        <v>格納済み</v>
      </c>
      <c r="U2122" s="15" t="str">
        <f>IFERROR(__xludf.DUMMYFUNCTION("""COMPUTED_VALUE"""),"©栢山/年中麦茶太郎/ファンギルド")</f>
        <v>©栢山/年中麦茶太郎/ファンギルド</v>
      </c>
      <c r="V2122" s="8" t="str">
        <f>IFERROR(__xludf.DUMMYFUNCTION("""COMPUTED_VALUE"""),"不治の病のため病室で寝たきりの生活をしていたアオイは、ある日、ずっとプレイしていたゲームのスキルを引き継いで異世界に転生する。親切な受付嬢ロザリィ、朗らかな冒険者クラリッサと出会ったアオイは、前世で夢見ていた自由で気ままな幸せ異世界ライフを満喫するー！冒険、クラフト…のんびりでほのぼのした異世界ライフ開幕！")</f>
        <v>不治の病のため病室で寝たきりの生活をしていたアオイは、ある日、ずっとプレイしていたゲームのスキルを引き継いで異世界に転生する。親切な受付嬢ロザリィ、朗らかな冒険者クラリッサと出会ったアオイは、前世で夢見ていた自由で気ままな幸せ異世界ライフを満喫するー！冒険、クラフト…のんびりでほのぼのした異世界ライフ開幕！</v>
      </c>
      <c r="W2122" s="14"/>
      <c r="X2122" s="14" t="str">
        <f>IFERROR(__xludf.DUMMYFUNCTION("""COMPUTED_VALUE"""),"有")</f>
        <v>有</v>
      </c>
      <c r="Y2122" s="8" t="str">
        <f>IFERROR(__xludf.DUMMYFUNCTION("""COMPUTED_VALUE"""),"2024/11/4まで1巻無料")</f>
        <v>2024/11/4まで1巻無料</v>
      </c>
      <c r="Z2122" s="7"/>
      <c r="AA2122" s="7"/>
      <c r="AB2122" s="7"/>
    </row>
    <row r="2123" ht="15.75" customHeight="1">
      <c r="A2123" s="76">
        <f>IFERROR(__xludf.DUMMYFUNCTION("""COMPUTED_VALUE"""),4151.0)</f>
        <v>4151</v>
      </c>
      <c r="B2123" s="108" t="str">
        <f>IFERROR(__xludf.DUMMYFUNCTION("""COMPUTED_VALUE"""),"確定")</f>
        <v>確定</v>
      </c>
      <c r="C2123" s="74">
        <f>IFERROR(__xludf.DUMMYFUNCTION("""COMPUTED_VALUE"""),45552.0)</f>
        <v>45552</v>
      </c>
      <c r="D2123" s="74">
        <f>IFERROR(__xludf.DUMMYFUNCTION("""COMPUTED_VALUE"""),45553.0)</f>
        <v>45553</v>
      </c>
      <c r="E2123" s="112">
        <f>IFERROR(__xludf.DUMMYFUNCTION("""COMPUTED_VALUE"""),303649.0)</f>
        <v>303649</v>
      </c>
      <c r="F2123" s="112" t="str">
        <f>IFERROR(__xludf.DUMMYFUNCTION("""COMPUTED_VALUE"""),"隠れ巨乳の地味子と職場セックス～挿入したらエロ過ぎてヤリすぎた")</f>
        <v>隠れ巨乳の地味子と職場セックス～挿入したらエロ過ぎてヤリすぎた</v>
      </c>
      <c r="G2123" s="69" t="str">
        <f>IFERROR(__xludf.DUMMYFUNCTION("""COMPUTED_VALUE"""),"1～3")</f>
        <v>1～3</v>
      </c>
      <c r="H2123" s="108" t="str">
        <f>IFERROR(__xludf.DUMMYFUNCTION("""COMPUTED_VALUE"""),"ぶっちぃ")</f>
        <v>ぶっちぃ</v>
      </c>
      <c r="I2123" s="108" t="str">
        <f>IFERROR(__xludf.DUMMYFUNCTION("""COMPUTED_VALUE"""),"オトナ")</f>
        <v>オトナ</v>
      </c>
      <c r="J2123" s="108"/>
      <c r="K2123" s="108"/>
      <c r="L2123" s="108" t="str">
        <f>IFERROR(__xludf.DUMMYFUNCTION("""COMPUTED_VALUE"""),"モバイルメディアリサーチ")</f>
        <v>モバイルメディアリサーチ</v>
      </c>
      <c r="M2123" s="115">
        <f>IFERROR(__xludf.DUMMYFUNCTION("""COMPUTED_VALUE"""),45590.0)</f>
        <v>45590</v>
      </c>
      <c r="N2123" s="115">
        <f>IFERROR(__xludf.DUMMYFUNCTION("""COMPUTED_VALUE"""),45617.0)</f>
        <v>45617</v>
      </c>
      <c r="O2123" s="108"/>
      <c r="P2123" s="114" t="str">
        <f>IFERROR(__xludf.DUMMYFUNCTION("""COMPUTED_VALUE"""),"可")</f>
        <v>可</v>
      </c>
      <c r="Q2123" s="111"/>
      <c r="R2123" s="108"/>
      <c r="S2123" s="108" t="str">
        <f>IFERROR(__xludf.DUMMYFUNCTION("""COMPUTED_VALUE"""),"20240913_ファンギルド_隠れ巨乳の地味子と職場セックス～挿入したらエロ過ぎてヤリすぎた")</f>
        <v>20240913_ファンギルド_隠れ巨乳の地味子と職場セックス～挿入したらエロ過ぎてヤリすぎた</v>
      </c>
      <c r="T2123" s="108" t="str">
        <f>IFERROR(__xludf.DUMMYFUNCTION("""COMPUTED_VALUE"""),"格納済み")</f>
        <v>格納済み</v>
      </c>
      <c r="U2123" s="15" t="str">
        <f>IFERROR(__xludf.DUMMYFUNCTION("""COMPUTED_VALUE"""),"©ぶっちぃ/モバイルメディアリサーチ")</f>
        <v>©ぶっちぃ/モバイルメディアリサーチ</v>
      </c>
      <c r="V2123" s="8" t="str">
        <f>IFERROR(__xludf.DUMMYFUNCTION("""COMPUTED_VALUE"""),"職場のあの子が隠れ巨乳でこんなにエッチだなんて…――会社の飲み会後、酔いつぶれた同僚一地味な倉本を介抱することになった桐生。しかし、外は土砂降り、タクシーも捕まらず、路頭に迷った先にたどり着いた先はなんとラブホで…!?意図せずそこで倉本を介抱することになった桐生は、普段の地味な印象とはかけ離れた、無防備で可愛すぎる素の倉本にムラついてしまう。危うく手を出しそうになる所で、不意に目が覚めた倉本に慌てて取り繕うも、彼女は現状を夢だと勘違いしているようで…!?「桐生さんの、おっきくなってる…」と勃起したモノを扱"&amp;"き始め、さらに「揉んでもいいですよ」と隠し切れないおっぱいや、ぷっくり膨らんだ乳首をあらわにしていく。そしてついに我慢の限界を迎えた桐生は、既にぐちょぐちょに濡れた倉本のナカの奥まで一気に挿入して…!?")</f>
        <v>職場のあの子が隠れ巨乳でこんなにエッチだなんて…――会社の飲み会後、酔いつぶれた同僚一地味な倉本を介抱することになった桐生。しかし、外は土砂降り、タクシーも捕まらず、路頭に迷った先にたどり着いた先はなんとラブホで…!?意図せずそこで倉本を介抱することになった桐生は、普段の地味な印象とはかけ離れた、無防備で可愛すぎる素の倉本にムラついてしまう。危うく手を出しそうになる所で、不意に目が覚めた倉本に慌てて取り繕うも、彼女は現状を夢だと勘違いしているようで…!?「桐生さんの、おっきくなってる…」と勃起したモノを扱き始め、さらに「揉んでもいいですよ」と隠し切れないおっぱいや、ぷっくり膨らんだ乳首をあらわにしていく。そしてついに我慢の限界を迎えた桐生は、既にぐちょぐちょに濡れた倉本のナカの奥まで一気に挿入して…!?</v>
      </c>
      <c r="W2123" s="14"/>
      <c r="X2123" s="14" t="str">
        <f>IFERROR(__xludf.DUMMYFUNCTION("""COMPUTED_VALUE"""),"有")</f>
        <v>有</v>
      </c>
      <c r="Y2123" s="8" t="str">
        <f>IFERROR(__xludf.DUMMYFUNCTION("""COMPUTED_VALUE"""),"P6まで")</f>
        <v>P6まで</v>
      </c>
      <c r="Z2123" s="7"/>
      <c r="AA2123" s="7"/>
      <c r="AB2123" s="7"/>
    </row>
    <row r="2124" ht="15.75" customHeight="1">
      <c r="A2124" s="76">
        <f>IFERROR(__xludf.DUMMYFUNCTION("""COMPUTED_VALUE"""),4152.0)</f>
        <v>4152</v>
      </c>
      <c r="B2124" s="108" t="str">
        <f>IFERROR(__xludf.DUMMYFUNCTION("""COMPUTED_VALUE"""),"確定")</f>
        <v>確定</v>
      </c>
      <c r="C2124" s="74">
        <f>IFERROR(__xludf.DUMMYFUNCTION("""COMPUTED_VALUE"""),45552.0)</f>
        <v>45552</v>
      </c>
      <c r="D2124" s="74">
        <f>IFERROR(__xludf.DUMMYFUNCTION("""COMPUTED_VALUE"""),45553.0)</f>
        <v>45553</v>
      </c>
      <c r="E2124" s="112">
        <f>IFERROR(__xludf.DUMMYFUNCTION("""COMPUTED_VALUE"""),303648.0)</f>
        <v>303648</v>
      </c>
      <c r="F2124" s="112" t="str">
        <f>IFERROR(__xludf.DUMMYFUNCTION("""COMPUTED_VALUE"""),"ちぐはぐラブレター")</f>
        <v>ちぐはぐラブレター</v>
      </c>
      <c r="G2124" s="69" t="str">
        <f>IFERROR(__xludf.DUMMYFUNCTION("""COMPUTED_VALUE"""),"1～2")</f>
        <v>1～2</v>
      </c>
      <c r="H2124" s="108" t="str">
        <f>IFERROR(__xludf.DUMMYFUNCTION("""COMPUTED_VALUE"""),"くまのぬい")</f>
        <v>くまのぬい</v>
      </c>
      <c r="I2124" s="108" t="str">
        <f>IFERROR(__xludf.DUMMYFUNCTION("""COMPUTED_VALUE"""),"BL")</f>
        <v>BL</v>
      </c>
      <c r="J2124" s="108"/>
      <c r="K2124" s="108"/>
      <c r="L2124" s="108" t="str">
        <f>IFERROR(__xludf.DUMMYFUNCTION("""COMPUTED_VALUE"""),"ファンギルド")</f>
        <v>ファンギルド</v>
      </c>
      <c r="M2124" s="115">
        <f>IFERROR(__xludf.DUMMYFUNCTION("""COMPUTED_VALUE"""),45590.0)</f>
        <v>45590</v>
      </c>
      <c r="N2124" s="23">
        <f>IFERROR(__xludf.DUMMYFUNCTION("""COMPUTED_VALUE"""),45685.0)</f>
        <v>45685</v>
      </c>
      <c r="O2124" s="108"/>
      <c r="P2124" s="114" t="str">
        <f>IFERROR(__xludf.DUMMYFUNCTION("""COMPUTED_VALUE"""),"可")</f>
        <v>可</v>
      </c>
      <c r="Q2124" s="111"/>
      <c r="R2124" s="108"/>
      <c r="S2124" s="108" t="str">
        <f>IFERROR(__xludf.DUMMYFUNCTION("""COMPUTED_VALUE"""),"20240913_ファンギルド_ちぐはぐラブレター")</f>
        <v>20240913_ファンギルド_ちぐはぐラブレター</v>
      </c>
      <c r="T2124" s="108" t="str">
        <f>IFERROR(__xludf.DUMMYFUNCTION("""COMPUTED_VALUE"""),"格納済み")</f>
        <v>格納済み</v>
      </c>
      <c r="U2124" s="15" t="str">
        <f>IFERROR(__xludf.DUMMYFUNCTION("""COMPUTED_VALUE"""),"©くまのぬい/ファンギルド")</f>
        <v>©くまのぬい/ファンギルド</v>
      </c>
      <c r="V2124" s="8" t="str">
        <f>IFERROR(__xludf.DUMMYFUNCTION("""COMPUTED_VALUE"""),"高２の桐原全は、片思い相手の先輩・保科に告白をしようとしていたところ、なんとラブレターの宛先を間違ってしまう！ しかもその相手は保科の友達・塩入あづみで!?「ちゃんと真剣だから、俺のこともっと知ってほしい」と真剣な眼差しで言われ、そのまま「お試し」で付き合うことになってしまい…。クールな口下手先輩×恋にまっすぐなワンコ系後輩の間違いから始まる、最高にもだきゅんな高校生青春BL！")</f>
        <v>高２の桐原全は、片思い相手の先輩・保科に告白をしようとしていたところ、なんとラブレターの宛先を間違ってしまう！ しかもその相手は保科の友達・塩入あづみで!?「ちゃんと真剣だから、俺のこともっと知ってほしい」と真剣な眼差しで言われ、そのまま「お試し」で付き合うことになってしまい…。クールな口下手先輩×恋にまっすぐなワンコ系後輩の間違いから始まる、最高にもだきゅんな高校生青春BL！</v>
      </c>
      <c r="W2124" s="14"/>
      <c r="X2124" s="14" t="str">
        <f>IFERROR(__xludf.DUMMYFUNCTION("""COMPUTED_VALUE"""),"有")</f>
        <v>有</v>
      </c>
      <c r="Y2124" s="8" t="str">
        <f>IFERROR(__xludf.DUMMYFUNCTION("""COMPUTED_VALUE"""),"P7まで")</f>
        <v>P7まで</v>
      </c>
      <c r="Z2124" s="7"/>
      <c r="AA2124" s="7"/>
      <c r="AB2124" s="7"/>
    </row>
    <row r="2125" ht="15.75" customHeight="1">
      <c r="A2125" s="76">
        <f>IFERROR(__xludf.DUMMYFUNCTION("""COMPUTED_VALUE"""),4153.0)</f>
        <v>4153</v>
      </c>
      <c r="B2125" s="108" t="str">
        <f>IFERROR(__xludf.DUMMYFUNCTION("""COMPUTED_VALUE"""),"確定")</f>
        <v>確定</v>
      </c>
      <c r="C2125" s="74">
        <f>IFERROR(__xludf.DUMMYFUNCTION("""COMPUTED_VALUE"""),45552.0)</f>
        <v>45552</v>
      </c>
      <c r="D2125" s="74">
        <f>IFERROR(__xludf.DUMMYFUNCTION("""COMPUTED_VALUE"""),45553.0)</f>
        <v>45553</v>
      </c>
      <c r="E2125" s="112">
        <f>IFERROR(__xludf.DUMMYFUNCTION("""COMPUTED_VALUE"""),303647.0)</f>
        <v>303647</v>
      </c>
      <c r="F2125" s="112" t="str">
        <f>IFERROR(__xludf.DUMMYFUNCTION("""COMPUTED_VALUE"""),"離婚したはずなのに、冷徹エリート御曹司に容赦なく溺愛されています")</f>
        <v>離婚したはずなのに、冷徹エリート御曹司に容赦なく溺愛されています</v>
      </c>
      <c r="G2125" s="69" t="str">
        <f>IFERROR(__xludf.DUMMYFUNCTION("""COMPUTED_VALUE"""),"1～4")</f>
        <v>1～4</v>
      </c>
      <c r="H2125" s="108" t="str">
        <f>IFERROR(__xludf.DUMMYFUNCTION("""COMPUTED_VALUE"""),"百木梓／cheeery")</f>
        <v>百木梓／cheeery</v>
      </c>
      <c r="I2125" s="108" t="str">
        <f>IFERROR(__xludf.DUMMYFUNCTION("""COMPUTED_VALUE"""),"女性")</f>
        <v>女性</v>
      </c>
      <c r="J2125" s="108"/>
      <c r="K2125" s="108"/>
      <c r="L2125" s="108" t="str">
        <f>IFERROR(__xludf.DUMMYFUNCTION("""COMPUTED_VALUE"""),"ファンギルド")</f>
        <v>ファンギルド</v>
      </c>
      <c r="M2125" s="23">
        <f>IFERROR(__xludf.DUMMYFUNCTION("""COMPUTED_VALUE"""),45574.0)</f>
        <v>45574</v>
      </c>
      <c r="N2125" s="115">
        <f>IFERROR(__xludf.DUMMYFUNCTION("""COMPUTED_VALUE"""),45608.0)</f>
        <v>45608</v>
      </c>
      <c r="O2125" s="108"/>
      <c r="P2125" s="114" t="str">
        <f>IFERROR(__xludf.DUMMYFUNCTION("""COMPUTED_VALUE"""),"可")</f>
        <v>可</v>
      </c>
      <c r="Q2125" s="111"/>
      <c r="R2125" s="108"/>
      <c r="S2125" s="108" t="str">
        <f>IFERROR(__xludf.DUMMYFUNCTION("""COMPUTED_VALUE"""),"20240913_ファンギルド_離婚したはずなのに、冷徹エリート御曹司に容赦なく溺愛されています")</f>
        <v>20240913_ファンギルド_離婚したはずなのに、冷徹エリート御曹司に容赦なく溺愛されています</v>
      </c>
      <c r="T2125" s="108" t="str">
        <f>IFERROR(__xludf.DUMMYFUNCTION("""COMPUTED_VALUE"""),"格納済み")</f>
        <v>格納済み</v>
      </c>
      <c r="U2125" s="15" t="str">
        <f>IFERROR(__xludf.DUMMYFUNCTION("""COMPUTED_VALUE"""),"©百木梓／cheeery/ファンギルド")</f>
        <v>©百木梓／cheeery/ファンギルド</v>
      </c>
      <c r="V2125" s="8" t="str">
        <f>IFERROR(__xludf.DUMMYFUNCTION("""COMPUTED_VALUE"""),"「離婚してください」園城財閥の御曹司・悟と政略結婚して3か月、沙織は結婚生活に我慢の限界を迎える――。寝室は別々、食事はおろか、まともな会話すらない。義母からは「跡取りはいつになるのかしら？」などと嫌味を言われ、ひたすら耐えていた。そんなある日、酔って帰宅した悟に突然キスをされ…ようやく結ばれる二人。悟の「愛してる」という言葉に救われた沙織だが、翌朝「何も覚えてない」と冷たくあしらわれ、ついに離婚を決意するのだった。ところが、別れ際に悟から思いがけない優しい言葉を掛けられ…！？ 冷徹御曹司がいつしか溺愛王"&amp;"子に変わる、もだきゅんラブストーリー。")</f>
        <v>「離婚してください」園城財閥の御曹司・悟と政略結婚して3か月、沙織は結婚生活に我慢の限界を迎える――。寝室は別々、食事はおろか、まともな会話すらない。義母からは「跡取りはいつになるのかしら？」などと嫌味を言われ、ひたすら耐えていた。そんなある日、酔って帰宅した悟に突然キスをされ…ようやく結ばれる二人。悟の「愛してる」という言葉に救われた沙織だが、翌朝「何も覚えてない」と冷たくあしらわれ、ついに離婚を決意するのだった。ところが、別れ際に悟から思いがけない優しい言葉を掛けられ…！？ 冷徹御曹司がいつしか溺愛王子に変わる、もだきゅんラブストーリー。</v>
      </c>
      <c r="W2125" s="14"/>
      <c r="X2125" s="14" t="str">
        <f>IFERROR(__xludf.DUMMYFUNCTION("""COMPUTED_VALUE"""),"有")</f>
        <v>有</v>
      </c>
      <c r="Y2125" s="8" t="str">
        <f>IFERROR(__xludf.DUMMYFUNCTION("""COMPUTED_VALUE"""),"2024/10/22まで1巻無料")</f>
        <v>2024/10/22まで1巻無料</v>
      </c>
      <c r="Z2125" s="7"/>
      <c r="AA2125" s="7"/>
      <c r="AB2125" s="7"/>
    </row>
    <row r="2126" ht="15.75" customHeight="1">
      <c r="A2126" s="76">
        <f>IFERROR(__xludf.DUMMYFUNCTION("""COMPUTED_VALUE"""),3994.0)</f>
        <v>3994</v>
      </c>
      <c r="B2126" s="69" t="str">
        <f>IFERROR(__xludf.DUMMYFUNCTION("""COMPUTED_VALUE"""),"確定")</f>
        <v>確定</v>
      </c>
      <c r="C2126" s="74">
        <f>IFERROR(__xludf.DUMMYFUNCTION("""COMPUTED_VALUE"""),45523.0)</f>
        <v>45523</v>
      </c>
      <c r="D2126" s="74">
        <f>IFERROR(__xludf.DUMMYFUNCTION("""COMPUTED_VALUE"""),45555.0)</f>
        <v>45555</v>
      </c>
      <c r="E2126" s="112">
        <f>IFERROR(__xludf.DUMMYFUNCTION("""COMPUTED_VALUE"""),304169.0)</f>
        <v>304169</v>
      </c>
      <c r="F2126" s="119" t="str">
        <f>IFERROR(__xludf.DUMMYFUNCTION("""COMPUTED_VALUE"""),"スイムセイムタイム")</f>
        <v>スイムセイムタイム</v>
      </c>
      <c r="G2126" s="69" t="str">
        <f>IFERROR(__xludf.DUMMYFUNCTION("""COMPUTED_VALUE"""),"1～2")</f>
        <v>1～2</v>
      </c>
      <c r="H2126" s="69" t="str">
        <f>IFERROR(__xludf.DUMMYFUNCTION("""COMPUTED_VALUE"""),"伊藤モネ")</f>
        <v>伊藤モネ</v>
      </c>
      <c r="I2126" s="69" t="str">
        <f>IFERROR(__xludf.DUMMYFUNCTION("""COMPUTED_VALUE"""),"BL")</f>
        <v>BL</v>
      </c>
      <c r="J2126" s="69"/>
      <c r="K2126" s="69"/>
      <c r="L2126" s="69" t="str">
        <f>IFERROR(__xludf.DUMMYFUNCTION("""COMPUTED_VALUE"""),"CLLENN")</f>
        <v>CLLENN</v>
      </c>
      <c r="M2126" s="77">
        <f>IFERROR(__xludf.DUMMYFUNCTION("""COMPUTED_VALUE"""),45580.0)</f>
        <v>45580</v>
      </c>
      <c r="N2126" s="77">
        <f>IFERROR(__xludf.DUMMYFUNCTION("""COMPUTED_VALUE"""),45642.0)</f>
        <v>45642</v>
      </c>
      <c r="O2126" s="69"/>
      <c r="P2126" s="120" t="str">
        <f>IFERROR(__xludf.DUMMYFUNCTION("""COMPUTED_VALUE"""),"可")</f>
        <v>可</v>
      </c>
      <c r="Q2126" s="111" t="str">
        <f>IFERROR(__xludf.DUMMYFUNCTION("""COMPUTED_VALUE"""),"期待作のため、可能な範囲で出稿お願いします。&lt;BR&gt;レーベル名：MooiComics")</f>
        <v>期待作のため、可能な範囲で出稿お願いします。&lt;BR&gt;レーベル名：MooiComics</v>
      </c>
      <c r="R2126" s="79"/>
      <c r="S2126" s="69" t="str">
        <f>IFERROR(__xludf.DUMMYFUNCTION("""COMPUTED_VALUE"""),"20241001_CLLENN_修正版_スイムセイムタイム	")</f>
        <v>20241001_CLLENN_修正版_スイムセイムタイム	</v>
      </c>
      <c r="T2126" s="69" t="str">
        <f>IFERROR(__xludf.DUMMYFUNCTION("""COMPUTED_VALUE"""),"格納済み")</f>
        <v>格納済み</v>
      </c>
      <c r="U2126" s="15" t="str">
        <f>IFERROR(__xludf.DUMMYFUNCTION("""COMPUTED_VALUE"""),"(C)伊藤モネ/CLLENN")</f>
        <v>(C)伊藤モネ/CLLENN</v>
      </c>
      <c r="V2126" s="8" t="str">
        <f>IFERROR(__xludf.DUMMYFUNCTION("""COMPUTED_VALUE"""),"『キスの時ってどうやって息するんだっけ…まるで溺れてるみたいだ…』大学の水泳部で部長を務めていた良太＜りょうた＞。引退後のある日、部に顔を出し、部室で休憩していたところ、後輩でエースの凪＜なぎ＞から突然キスされてしまう──。動揺が収まらない中、さらに現部長の山田から「凪のサポートをしてほしい」と頼まれる。キスのことは忘れ、サポートに徹しようとする良太だったが、再び凪から「コレもサポートに含んでいいですか？」と、急に迫られて！？～お前と同じ時を一緒に泳ぎたい～大学最後の夏、2人の関係が変わっていく。【水泳部"&amp;"の最強エースでクールな後輩×真面目な愛され（前）部長】の溺れそうな溺愛キュンBL！")</f>
        <v>『キスの時ってどうやって息するんだっけ…まるで溺れてるみたいだ…』大学の水泳部で部長を務めていた良太＜りょうた＞。引退後のある日、部に顔を出し、部室で休憩していたところ、後輩でエースの凪＜なぎ＞から突然キスされてしまう──。動揺が収まらない中、さらに現部長の山田から「凪のサポートをしてほしい」と頼まれる。キスのことは忘れ、サポートに徹しようとする良太だったが、再び凪から「コレもサポートに含んでいいですか？」と、急に迫られて！？～お前と同じ時を一緒に泳ぎたい～大学最後の夏、2人の関係が変わっていく。【水泳部の最強エースでクールな後輩×真面目な愛され（前）部長】の溺れそうな溺愛キュンBL！</v>
      </c>
      <c r="W2126" s="14"/>
      <c r="X2126" s="14" t="str">
        <f>IFERROR(__xludf.DUMMYFUNCTION("""COMPUTED_VALUE"""),"有")</f>
        <v>有</v>
      </c>
      <c r="Y2126" s="8" t="str">
        <f>IFERROR(__xludf.DUMMYFUNCTION("""COMPUTED_VALUE"""),"P10まで")</f>
        <v>P10まで</v>
      </c>
      <c r="Z2126" s="7"/>
      <c r="AA2126" s="7"/>
      <c r="AB2126" s="7"/>
    </row>
    <row r="2127" ht="15.75" customHeight="1">
      <c r="A2127" s="76">
        <f>IFERROR(__xludf.DUMMYFUNCTION("""COMPUTED_VALUE"""),3995.0)</f>
        <v>3995</v>
      </c>
      <c r="B2127" s="69" t="str">
        <f>IFERROR(__xludf.DUMMYFUNCTION("""COMPUTED_VALUE"""),"確定")</f>
        <v>確定</v>
      </c>
      <c r="C2127" s="74">
        <f>IFERROR(__xludf.DUMMYFUNCTION("""COMPUTED_VALUE"""),45523.0)</f>
        <v>45523</v>
      </c>
      <c r="D2127" s="74">
        <f>IFERROR(__xludf.DUMMYFUNCTION("""COMPUTED_VALUE"""),45555.0)</f>
        <v>45555</v>
      </c>
      <c r="E2127" s="112">
        <f>IFERROR(__xludf.DUMMYFUNCTION("""COMPUTED_VALUE"""),304171.0)</f>
        <v>304171</v>
      </c>
      <c r="F2127" s="119" t="str">
        <f>IFERROR(__xludf.DUMMYFUNCTION("""COMPUTED_VALUE"""),"僕はきみには選ばれない")</f>
        <v>僕はきみには選ばれない</v>
      </c>
      <c r="G2127" s="69" t="str">
        <f>IFERROR(__xludf.DUMMYFUNCTION("""COMPUTED_VALUE"""),"1～2")</f>
        <v>1～2</v>
      </c>
      <c r="H2127" s="69" t="str">
        <f>IFERROR(__xludf.DUMMYFUNCTION("""COMPUTED_VALUE"""),"橘花明")</f>
        <v>橘花明</v>
      </c>
      <c r="I2127" s="69" t="str">
        <f>IFERROR(__xludf.DUMMYFUNCTION("""COMPUTED_VALUE"""),"BL")</f>
        <v>BL</v>
      </c>
      <c r="J2127" s="69"/>
      <c r="K2127" s="69"/>
      <c r="L2127" s="69" t="str">
        <f>IFERROR(__xludf.DUMMYFUNCTION("""COMPUTED_VALUE"""),"CLLENN")</f>
        <v>CLLENN</v>
      </c>
      <c r="M2127" s="77">
        <f>IFERROR(__xludf.DUMMYFUNCTION("""COMPUTED_VALUE"""),45582.0)</f>
        <v>45582</v>
      </c>
      <c r="N2127" s="73">
        <f>IFERROR(__xludf.DUMMYFUNCTION("""COMPUTED_VALUE"""),45644.0)</f>
        <v>45644</v>
      </c>
      <c r="O2127" s="69"/>
      <c r="P2127" s="120" t="str">
        <f>IFERROR(__xludf.DUMMYFUNCTION("""COMPUTED_VALUE"""),"可")</f>
        <v>可</v>
      </c>
      <c r="Q2127" s="111" t="str">
        <f>IFERROR(__xludf.DUMMYFUNCTION("""COMPUTED_VALUE"""),"期待作のため、可能な範囲で出稿お願いします。&lt;BR&gt;レーベル名：NuPu")</f>
        <v>期待作のため、可能な範囲で出稿お願いします。&lt;BR&gt;レーベル名：NuPu</v>
      </c>
      <c r="R2127" s="69"/>
      <c r="S2127" s="69" t="str">
        <f>IFERROR(__xludf.DUMMYFUNCTION("""COMPUTED_VALUE"""),"20240930_CLLENN_僕はきみには選ばれない／橘花明")</f>
        <v>20240930_CLLENN_僕はきみには選ばれない／橘花明</v>
      </c>
      <c r="T2127" s="69" t="str">
        <f>IFERROR(__xludf.DUMMYFUNCTION("""COMPUTED_VALUE"""),"格納済み")</f>
        <v>格納済み</v>
      </c>
      <c r="U2127" s="15" t="str">
        <f>IFERROR(__xludf.DUMMYFUNCTION("""COMPUTED_VALUE"""),"(C)橘花明/CLLENN")</f>
        <v>(C)橘花明/CLLENN</v>
      </c>
      <c r="V2127" s="8" t="str">
        <f>IFERROR(__xludf.DUMMYFUNCTION("""COMPUTED_VALUE"""),"どうせ選ばれないなら、友達としてでいいからずっと一緒にいたい――…。幼馴染のハルに長年片想いをしている巴。ハルには普通に結婚して幸せになってほしいと思っている巴は、自分の気持ちは押し殺したまま、ずっと友達でいようと心に決めていた。そんなある日、実はハルに好きな相手がいると知る。その事実が思いのほかショックだった巴は、このまま一緒にはいられないかもと思い――…？近すぎる存在だからこそ、本当のことが言えなくて…。不器用すぎる二人の、すれ違う切ない恋物語。")</f>
        <v>どうせ選ばれないなら、友達としてでいいからずっと一緒にいたい――…。幼馴染のハルに長年片想いをしている巴。ハルには普通に結婚して幸せになってほしいと思っている巴は、自分の気持ちは押し殺したまま、ずっと友達でいようと心に決めていた。そんなある日、実はハルに好きな相手がいると知る。その事実が思いのほかショックだった巴は、このまま一緒にはいられないかもと思い――…？近すぎる存在だからこそ、本当のことが言えなくて…。不器用すぎる二人の、すれ違う切ない恋物語。</v>
      </c>
      <c r="W2127" s="14"/>
      <c r="X2127" s="14" t="str">
        <f>IFERROR(__xludf.DUMMYFUNCTION("""COMPUTED_VALUE"""),"有")</f>
        <v>有</v>
      </c>
      <c r="Y2127" s="8" t="str">
        <f>IFERROR(__xludf.DUMMYFUNCTION("""COMPUTED_VALUE"""),"P10まで")</f>
        <v>P10まで</v>
      </c>
      <c r="Z2127" s="7"/>
      <c r="AA2127" s="7"/>
      <c r="AB2127" s="7"/>
    </row>
    <row r="2128" ht="15.75" customHeight="1">
      <c r="A2128" s="76">
        <f>IFERROR(__xludf.DUMMYFUNCTION("""COMPUTED_VALUE"""),3996.0)</f>
        <v>3996</v>
      </c>
      <c r="B2128" s="69" t="str">
        <f>IFERROR(__xludf.DUMMYFUNCTION("""COMPUTED_VALUE"""),"確定")</f>
        <v>確定</v>
      </c>
      <c r="C2128" s="74">
        <f>IFERROR(__xludf.DUMMYFUNCTION("""COMPUTED_VALUE"""),45523.0)</f>
        <v>45523</v>
      </c>
      <c r="D2128" s="74">
        <f>IFERROR(__xludf.DUMMYFUNCTION("""COMPUTED_VALUE"""),45555.0)</f>
        <v>45555</v>
      </c>
      <c r="E2128" s="112">
        <f>IFERROR(__xludf.DUMMYFUNCTION("""COMPUTED_VALUE"""),304009.0)</f>
        <v>304009</v>
      </c>
      <c r="F2128" s="119" t="str">
        <f>IFERROR(__xludf.DUMMYFUNCTION("""COMPUTED_VALUE"""),"天塚くんは天使なんかやめたいっ！")</f>
        <v>天塚くんは天使なんかやめたいっ！</v>
      </c>
      <c r="G2128" s="69" t="str">
        <f>IFERROR(__xludf.DUMMYFUNCTION("""COMPUTED_VALUE"""),"1～2")</f>
        <v>1～2</v>
      </c>
      <c r="H2128" s="69" t="str">
        <f>IFERROR(__xludf.DUMMYFUNCTION("""COMPUTED_VALUE"""),"花咲めちる")</f>
        <v>花咲めちる</v>
      </c>
      <c r="I2128" s="69" t="str">
        <f>IFERROR(__xludf.DUMMYFUNCTION("""COMPUTED_VALUE"""),"BL")</f>
        <v>BL</v>
      </c>
      <c r="J2128" s="69"/>
      <c r="K2128" s="69"/>
      <c r="L2128" s="69" t="str">
        <f>IFERROR(__xludf.DUMMYFUNCTION("""COMPUTED_VALUE"""),"CLLENN")</f>
        <v>CLLENN</v>
      </c>
      <c r="M2128" s="77">
        <f>IFERROR(__xludf.DUMMYFUNCTION("""COMPUTED_VALUE"""),45577.0)</f>
        <v>45577</v>
      </c>
      <c r="N2128" s="77">
        <f>IFERROR(__xludf.DUMMYFUNCTION("""COMPUTED_VALUE"""),45639.0)</f>
        <v>45639</v>
      </c>
      <c r="O2128" s="69"/>
      <c r="P2128" s="120" t="str">
        <f>IFERROR(__xludf.DUMMYFUNCTION("""COMPUTED_VALUE"""),"可")</f>
        <v>可</v>
      </c>
      <c r="Q2128" s="111" t="str">
        <f>IFERROR(__xludf.DUMMYFUNCTION("""COMPUTED_VALUE"""),"期待作のため、可能な範囲で出稿お願いします。&lt;BR&gt;レーベル名：spicomi")</f>
        <v>期待作のため、可能な範囲で出稿お願いします。&lt;BR&gt;レーベル名：spicomi</v>
      </c>
      <c r="R2128" s="69"/>
      <c r="S2128" s="69" t="str">
        <f>IFERROR(__xludf.DUMMYFUNCTION("""COMPUTED_VALUE"""),"20240930_CLLENN_天塚くんは天使なんかやめたいっ！／花咲めちる")</f>
        <v>20240930_CLLENN_天塚くんは天使なんかやめたいっ！／花咲めちる</v>
      </c>
      <c r="T2128" s="123" t="str">
        <f>IFERROR(__xludf.DUMMYFUNCTION("""COMPUTED_VALUE"""),"格納済み")</f>
        <v>格納済み</v>
      </c>
      <c r="U2128" s="15" t="str">
        <f>IFERROR(__xludf.DUMMYFUNCTION("""COMPUTED_VALUE"""),"©花咲めちる／CLLENN")</f>
        <v>©花咲めちる／CLLENN</v>
      </c>
      <c r="V2128" s="8" t="str">
        <f>IFERROR(__xludf.DUMMYFUNCTION("""COMPUTED_VALUE"""),"「俺の前では素直になっていいから。秘密にする」ひとりでするより気持ちよくて…心も体も満たされる――美しい容姿から大学内で「天使」と呼ばれている天塚(あまつか)には、誰にも言えない秘密があった。それは、えっちなことが大好きで大人のオモチャでお尻を開発していること！“清廉潔白な天使”というイメージを守るため、悶々と過ごす天塚だったが、ある日一人でヤケ酒をしていたところを同じサークルの影山(かげやま)にバレてしまい、さらにはひとりえっちを手伝われて――！？【クールなコワモテ一匹狼×えっちな天使ちゃん】ナイショの"&amp;"ピュアあまラブ！")</f>
        <v>「俺の前では素直になっていいから。秘密にする」ひとりでするより気持ちよくて…心も体も満たされる――美しい容姿から大学内で「天使」と呼ばれている天塚(あまつか)には、誰にも言えない秘密があった。それは、えっちなことが大好きで大人のオモチャでお尻を開発していること！“清廉潔白な天使”というイメージを守るため、悶々と過ごす天塚だったが、ある日一人でヤケ酒をしていたところを同じサークルの影山(かげやま)にバレてしまい、さらにはひとりえっちを手伝われて――！？【クールなコワモテ一匹狼×えっちな天使ちゃん】ナイショのピュアあまラブ！</v>
      </c>
      <c r="W2128" s="14"/>
      <c r="X2128" s="14" t="str">
        <f>IFERROR(__xludf.DUMMYFUNCTION("""COMPUTED_VALUE"""),"有")</f>
        <v>有</v>
      </c>
      <c r="Y2128" s="8" t="str">
        <f>IFERROR(__xludf.DUMMYFUNCTION("""COMPUTED_VALUE"""),"2024/10/25まで立ち読み増量P19まで")</f>
        <v>2024/10/25まで立ち読み増量P19まで</v>
      </c>
      <c r="Z2128" s="7"/>
      <c r="AA2128" s="7"/>
      <c r="AB2128" s="7"/>
    </row>
    <row r="2129" ht="15.75" customHeight="1">
      <c r="A2129" s="76">
        <f>IFERROR(__xludf.DUMMYFUNCTION("""COMPUTED_VALUE"""),4017.0)</f>
        <v>4017</v>
      </c>
      <c r="B2129" s="69" t="str">
        <f>IFERROR(__xludf.DUMMYFUNCTION("""COMPUTED_VALUE"""),"確定")</f>
        <v>確定</v>
      </c>
      <c r="C2129" s="74">
        <f>IFERROR(__xludf.DUMMYFUNCTION("""COMPUTED_VALUE"""),45525.0)</f>
        <v>45525</v>
      </c>
      <c r="D2129" s="74">
        <f>IFERROR(__xludf.DUMMYFUNCTION("""COMPUTED_VALUE"""),45555.0)</f>
        <v>45555</v>
      </c>
      <c r="E2129" s="112">
        <f>IFERROR(__xludf.DUMMYFUNCTION("""COMPUTED_VALUE"""),304177.0)</f>
        <v>304177</v>
      </c>
      <c r="F2129" s="119" t="str">
        <f>IFERROR(__xludf.DUMMYFUNCTION("""COMPUTED_VALUE"""),"はじめてはぜんぶ、大好きなキミと")</f>
        <v>はじめてはぜんぶ、大好きなキミと</v>
      </c>
      <c r="G2129" s="69" t="str">
        <f>IFERROR(__xludf.DUMMYFUNCTION("""COMPUTED_VALUE"""),"1～2")</f>
        <v>1～2</v>
      </c>
      <c r="H2129" s="69" t="str">
        <f>IFERROR(__xludf.DUMMYFUNCTION("""COMPUTED_VALUE"""),"末永真葵")</f>
        <v>末永真葵</v>
      </c>
      <c r="I2129" s="69" t="str">
        <f>IFERROR(__xludf.DUMMYFUNCTION("""COMPUTED_VALUE"""),"BL")</f>
        <v>BL</v>
      </c>
      <c r="J2129" s="69"/>
      <c r="K2129" s="69"/>
      <c r="L2129" s="69" t="str">
        <f>IFERROR(__xludf.DUMMYFUNCTION("""COMPUTED_VALUE"""),"CLLENN")</f>
        <v>CLLENN</v>
      </c>
      <c r="M2129" s="77">
        <f>IFERROR(__xludf.DUMMYFUNCTION("""COMPUTED_VALUE"""),45582.0)</f>
        <v>45582</v>
      </c>
      <c r="N2129" s="73">
        <f>IFERROR(__xludf.DUMMYFUNCTION("""COMPUTED_VALUE"""),45644.0)</f>
        <v>45644</v>
      </c>
      <c r="O2129" s="69"/>
      <c r="P2129" s="120" t="str">
        <f>IFERROR(__xludf.DUMMYFUNCTION("""COMPUTED_VALUE"""),"可")</f>
        <v>可</v>
      </c>
      <c r="Q2129" s="111" t="str">
        <f>IFERROR(__xludf.DUMMYFUNCTION("""COMPUTED_VALUE"""),"期待作のため可能な範囲で出稿お願いします。
レーベル名：NuPu")</f>
        <v>期待作のため可能な範囲で出稿お願いします。
レーベル名：NuPu</v>
      </c>
      <c r="R2129" s="69"/>
      <c r="S2129" s="69" t="str">
        <f>IFERROR(__xludf.DUMMYFUNCTION("""COMPUTED_VALUE"""),"20240930_CLLENN_はじめてはぜんぶ、大好きなキミと／末永真葵")</f>
        <v>20240930_CLLENN_はじめてはぜんぶ、大好きなキミと／末永真葵</v>
      </c>
      <c r="T2129" s="69" t="str">
        <f>IFERROR(__xludf.DUMMYFUNCTION("""COMPUTED_VALUE"""),"格納済み")</f>
        <v>格納済み</v>
      </c>
      <c r="U2129" s="15" t="str">
        <f>IFERROR(__xludf.DUMMYFUNCTION("""COMPUTED_VALUE"""),"(C)末永真葵/CLLENN")</f>
        <v>(C)末永真葵/CLLENN</v>
      </c>
      <c r="V2129" s="8" t="str">
        <f>IFERROR(__xludf.DUMMYFUNCTION("""COMPUTED_VALUE"""),"出会った頃から特別で、それからずっと一緒の、なんでも知ってる一番の友達……だったはずなのに。――光（ひかる）は幼馴染の太一（たいち）が女子から告白されている現場に遭遇してしまう。これからもずっと一緒だと思っていた太一がモテ始めていると知り、なんだかモヤモヤ。太一を誰にも取られたくない気持ちが、友情か恋心かもわからないまま、まさかの太一から告白され、友達から恋人へ…！？でも付き合うって何するんだろう？触れられると今までにないくらいドキドキして、もっと近付いてみたいと思うのに、なかなか手を出してこない太一に不"&amp;"安になって…。幼馴染２人の“可愛い恋路”、青春ピュアキュンBL。キスも、それ以上のことも。「はじめて」は全部――…")</f>
        <v>出会った頃から特別で、それからずっと一緒の、なんでも知ってる一番の友達……だったはずなのに。――光（ひかる）は幼馴染の太一（たいち）が女子から告白されている現場に遭遇してしまう。これからもずっと一緒だと思っていた太一がモテ始めていると知り、なんだかモヤモヤ。太一を誰にも取られたくない気持ちが、友情か恋心かもわからないまま、まさかの太一から告白され、友達から恋人へ…！？でも付き合うって何するんだろう？触れられると今までにないくらいドキドキして、もっと近付いてみたいと思うのに、なかなか手を出してこない太一に不安になって…。幼馴染２人の“可愛い恋路”、青春ピュアキュンBL。キスも、それ以上のことも。「はじめて」は全部――…</v>
      </c>
      <c r="W2129" s="14"/>
      <c r="X2129" s="14" t="str">
        <f>IFERROR(__xludf.DUMMYFUNCTION("""COMPUTED_VALUE"""),"有")</f>
        <v>有</v>
      </c>
      <c r="Y2129" s="8" t="str">
        <f>IFERROR(__xludf.DUMMYFUNCTION("""COMPUTED_VALUE"""),"P10まで")</f>
        <v>P10まで</v>
      </c>
      <c r="Z2129" s="7"/>
      <c r="AA2129" s="7"/>
      <c r="AB2129" s="7"/>
    </row>
    <row r="2130" ht="15.75" customHeight="1">
      <c r="A2130" s="76">
        <f>IFERROR(__xludf.DUMMYFUNCTION("""COMPUTED_VALUE"""),4026.0)</f>
        <v>4026</v>
      </c>
      <c r="B2130" s="69" t="str">
        <f>IFERROR(__xludf.DUMMYFUNCTION("""COMPUTED_VALUE"""),"確定")</f>
        <v>確定</v>
      </c>
      <c r="C2130" s="74">
        <f>IFERROR(__xludf.DUMMYFUNCTION("""COMPUTED_VALUE"""),45526.0)</f>
        <v>45526</v>
      </c>
      <c r="D2130" s="74">
        <f>IFERROR(__xludf.DUMMYFUNCTION("""COMPUTED_VALUE"""),45555.0)</f>
        <v>45555</v>
      </c>
      <c r="E2130" s="112">
        <f>IFERROR(__xludf.DUMMYFUNCTION("""COMPUTED_VALUE"""),303972.0)</f>
        <v>303972</v>
      </c>
      <c r="F2130" s="119" t="str">
        <f>IFERROR(__xludf.DUMMYFUNCTION("""COMPUTED_VALUE"""),"贄妃ロゼッタは愛を知らない")</f>
        <v>贄妃ロゼッタは愛を知らない</v>
      </c>
      <c r="G2130" s="69" t="str">
        <f>IFERROR(__xludf.DUMMYFUNCTION("""COMPUTED_VALUE"""),"1～3")</f>
        <v>1～3</v>
      </c>
      <c r="H2130" s="69" t="str">
        <f>IFERROR(__xludf.DUMMYFUNCTION("""COMPUTED_VALUE"""),"吉永みく")</f>
        <v>吉永みく</v>
      </c>
      <c r="I2130" s="69" t="str">
        <f>IFERROR(__xludf.DUMMYFUNCTION("""COMPUTED_VALUE"""),"女性")</f>
        <v>女性</v>
      </c>
      <c r="J2130" s="69"/>
      <c r="K2130" s="69"/>
      <c r="L2130" s="69" t="str">
        <f>IFERROR(__xludf.DUMMYFUNCTION("""COMPUTED_VALUE"""),"CLLENN")</f>
        <v>CLLENN</v>
      </c>
      <c r="M2130" s="77">
        <f>IFERROR(__xludf.DUMMYFUNCTION("""COMPUTED_VALUE"""),45576.0)</f>
        <v>45576</v>
      </c>
      <c r="N2130" s="77">
        <f>IFERROR(__xludf.DUMMYFUNCTION("""COMPUTED_VALUE"""),45638.0)</f>
        <v>45638</v>
      </c>
      <c r="O2130" s="69"/>
      <c r="P2130" s="120" t="str">
        <f>IFERROR(__xludf.DUMMYFUNCTION("""COMPUTED_VALUE"""),"可")</f>
        <v>可</v>
      </c>
      <c r="Q2130" s="69" t="str">
        <f>IFERROR(__xludf.DUMMYFUNCTION("""COMPUTED_VALUE"""),"レーベル名：ropopo")</f>
        <v>レーベル名：ropopo</v>
      </c>
      <c r="R2130" s="69" t="str">
        <f>IFERROR(__xludf.DUMMYFUNCTION("""COMPUTED_VALUE"""),"広告コミットOK(8/28)")</f>
        <v>広告コミットOK(8/28)</v>
      </c>
      <c r="S2130" s="69" t="str">
        <f>IFERROR(__xludf.DUMMYFUNCTION("""COMPUTED_VALUE"""),"20240918_CLLENN_贄妃ロゼッタは愛を知らない")</f>
        <v>20240918_CLLENN_贄妃ロゼッタは愛を知らない</v>
      </c>
      <c r="T2130" s="69" t="str">
        <f>IFERROR(__xludf.DUMMYFUNCTION("""COMPUTED_VALUE"""),"格納済み")</f>
        <v>格納済み</v>
      </c>
      <c r="U2130" s="15" t="str">
        <f>IFERROR(__xludf.DUMMYFUNCTION("""COMPUTED_VALUE"""),"(C)吉永みく/CLLENN")</f>
        <v>(C)吉永みく/CLLENN</v>
      </c>
      <c r="V2130" s="8" t="str">
        <f>IFERROR(__xludf.DUMMYFUNCTION("""COMPUTED_VALUE"""),"五姉妹の末っ子であるロゼッタは、先祖から代々受け継がれてきた「聖女アリアナによる祈りの力」で天候を操り、国に恵みをもたらしていた。城内で姉たちから無視され続けても、国王である父の期待に応えるため、聖女として日々祈りだけを捧げ続けるロゼッタ。持ち前の前向きな性格と、愛を誓い合ったイアンと婚約目前だったので、自由がなくとも幸せを感じていた。ある日、城で見かけたイアンに声をかけようとするロゼッタだったが、彼の口から「贄妃」という言葉を聞いてしまう。意味が分からず、音を立てて取り乱してしまったその時、謎の青年・ノ"&amp;"アに窮地を救われ…。")</f>
        <v>五姉妹の末っ子であるロゼッタは、先祖から代々受け継がれてきた「聖女アリアナによる祈りの力」で天候を操り、国に恵みをもたらしていた。城内で姉たちから無視され続けても、国王である父の期待に応えるため、聖女として日々祈りだけを捧げ続けるロゼッタ。持ち前の前向きな性格と、愛を誓い合ったイアンと婚約目前だったので、自由がなくとも幸せを感じていた。ある日、城で見かけたイアンに声をかけようとするロゼッタだったが、彼の口から「贄妃」という言葉を聞いてしまう。意味が分からず、音を立てて取り乱してしまったその時、謎の青年・ノアに窮地を救われ…。</v>
      </c>
      <c r="W2130" s="14"/>
      <c r="X2130" s="14" t="str">
        <f>IFERROR(__xludf.DUMMYFUNCTION("""COMPUTED_VALUE"""),"有")</f>
        <v>有</v>
      </c>
      <c r="Y2130" s="8" t="str">
        <f>IFERROR(__xludf.DUMMYFUNCTION("""COMPUTED_VALUE"""),"2024/10/24まで1巻無料")</f>
        <v>2024/10/24まで1巻無料</v>
      </c>
      <c r="Z2130" s="7"/>
      <c r="AA2130" s="7"/>
      <c r="AB2130" s="7"/>
    </row>
    <row r="2131" ht="15.75" customHeight="1">
      <c r="A2131" s="76">
        <f>IFERROR(__xludf.DUMMYFUNCTION("""COMPUTED_VALUE"""),4044.0)</f>
        <v>4044</v>
      </c>
      <c r="B2131" s="69" t="str">
        <f>IFERROR(__xludf.DUMMYFUNCTION("""COMPUTED_VALUE"""),"確定")</f>
        <v>確定</v>
      </c>
      <c r="C2131" s="74">
        <f>IFERROR(__xludf.DUMMYFUNCTION("""COMPUTED_VALUE"""),45531.0)</f>
        <v>45531</v>
      </c>
      <c r="D2131" s="74">
        <f>IFERROR(__xludf.DUMMYFUNCTION("""COMPUTED_VALUE"""),45555.0)</f>
        <v>45555</v>
      </c>
      <c r="E2131" s="112">
        <f>IFERROR(__xludf.DUMMYFUNCTION("""COMPUTED_VALUE"""),304657.0)</f>
        <v>304657</v>
      </c>
      <c r="F2131" s="119" t="str">
        <f>IFERROR(__xludf.DUMMYFUNCTION("""COMPUTED_VALUE"""),"月下の秘め恋")</f>
        <v>月下の秘め恋</v>
      </c>
      <c r="G2131" s="69" t="str">
        <f>IFERROR(__xludf.DUMMYFUNCTION("""COMPUTED_VALUE"""),"1～3")</f>
        <v>1～3</v>
      </c>
      <c r="H2131" s="69" t="str">
        <f>IFERROR(__xludf.DUMMYFUNCTION("""COMPUTED_VALUE"""),"七坂ハイカ")</f>
        <v>七坂ハイカ</v>
      </c>
      <c r="I2131" s="79" t="str">
        <f>IFERROR(__xludf.DUMMYFUNCTION("""COMPUTED_VALUE"""),"女性")</f>
        <v>女性</v>
      </c>
      <c r="J2131" s="69"/>
      <c r="K2131" s="69"/>
      <c r="L2131" s="69" t="str">
        <f>IFERROR(__xludf.DUMMYFUNCTION("""COMPUTED_VALUE"""),"オーバーラップ")</f>
        <v>オーバーラップ</v>
      </c>
      <c r="M2131" s="77">
        <f>IFERROR(__xludf.DUMMYFUNCTION("""COMPUTED_VALUE"""),45588.0)</f>
        <v>45588</v>
      </c>
      <c r="N2131" s="73">
        <f>IFERROR(__xludf.DUMMYFUNCTION("""COMPUTED_VALUE"""),45657.0)</f>
        <v>45657</v>
      </c>
      <c r="O2131" s="69"/>
      <c r="P2131" s="114" t="str">
        <f>IFERROR(__xludf.DUMMYFUNCTION("""COMPUTED_VALUE"""),"否")</f>
        <v>否</v>
      </c>
      <c r="Q2131" s="111"/>
      <c r="R2131" s="69"/>
      <c r="S2131" s="69" t="str">
        <f>IFERROR(__xludf.DUMMYFUNCTION("""COMPUTED_VALUE"""),"20240919‗オーバーラップ‗月下の秘め恋")</f>
        <v>20240919‗オーバーラップ‗月下の秘め恋</v>
      </c>
      <c r="T2131" s="69" t="str">
        <f>IFERROR(__xludf.DUMMYFUNCTION("""COMPUTED_VALUE"""),"格納済み")</f>
        <v>格納済み</v>
      </c>
      <c r="U2131" s="15" t="str">
        <f>IFERROR(__xludf.DUMMYFUNCTION("""COMPUTED_VALUE"""),"(c)七坂ハイカ／オーバーラップ")</f>
        <v>(c)七坂ハイカ／オーバーラップ</v>
      </c>
      <c r="V2131" s="8" t="str">
        <f>IFERROR(__xludf.DUMMYFUNCTION("""COMPUTED_VALUE"""),"烏衣国の諜報員として働く南雲燐は、敵国である雨燕国の長官・水無瀬家に情報収集のため潜り込む。そこで出会ったのは大病に犯され余命いくばくも無い少女・雫。任務のため手を汚してきた自分とは正反対な彼女の姿に、わずかな苛立ちと眩しさを覚えるも…初めて向けられる温かい感情や懸命に生きる様子に次第に惹かれていき――…。")</f>
        <v>烏衣国の諜報員として働く南雲燐は、敵国である雨燕国の長官・水無瀬家に情報収集のため潜り込む。そこで出会ったのは大病に犯され余命いくばくも無い少女・雫。任務のため手を汚してきた自分とは正反対な彼女の姿に、わずかな苛立ちと眩しさを覚えるも…初めて向けられる温かい感情や懸命に生きる様子に次第に惹かれていき――…。</v>
      </c>
      <c r="W2131" s="14"/>
      <c r="X2131" s="14" t="str">
        <f>IFERROR(__xludf.DUMMYFUNCTION("""COMPUTED_VALUE"""),"有")</f>
        <v>有</v>
      </c>
      <c r="Y2131" s="8" t="str">
        <f>IFERROR(__xludf.DUMMYFUNCTION("""COMPUTED_VALUE"""),"2024/11/5まで1巻無料")</f>
        <v>2024/11/5まで1巻無料</v>
      </c>
      <c r="Z2131" s="7"/>
      <c r="AA2131" s="7"/>
      <c r="AB2131" s="7"/>
    </row>
    <row r="2132" ht="15.75" customHeight="1">
      <c r="A2132" s="76">
        <f>IFERROR(__xludf.DUMMYFUNCTION("""COMPUTED_VALUE"""),4055.0)</f>
        <v>4055</v>
      </c>
      <c r="B2132" s="69" t="str">
        <f>IFERROR(__xludf.DUMMYFUNCTION("""COMPUTED_VALUE"""),"確定")</f>
        <v>確定</v>
      </c>
      <c r="C2132" s="74">
        <f>IFERROR(__xludf.DUMMYFUNCTION("""COMPUTED_VALUE"""),45531.0)</f>
        <v>45531</v>
      </c>
      <c r="D2132" s="74">
        <f>IFERROR(__xludf.DUMMYFUNCTION("""COMPUTED_VALUE"""),45555.0)</f>
        <v>45555</v>
      </c>
      <c r="E2132" s="112">
        <f>IFERROR(__xludf.DUMMYFUNCTION("""COMPUTED_VALUE"""),304396.0)</f>
        <v>304396</v>
      </c>
      <c r="F2132" s="119" t="str">
        <f>IFERROR(__xludf.DUMMYFUNCTION("""COMPUTED_VALUE"""),"愛とエゴイスト～偏愛男はイキ狂っても挿れてくれない")</f>
        <v>愛とエゴイスト～偏愛男はイキ狂っても挿れてくれない</v>
      </c>
      <c r="G2132" s="69" t="str">
        <f>IFERROR(__xludf.DUMMYFUNCTION("""COMPUTED_VALUE"""),"1～4")</f>
        <v>1～4</v>
      </c>
      <c r="H2132" s="69" t="str">
        <f>IFERROR(__xludf.DUMMYFUNCTION("""COMPUTED_VALUE"""),"ぢぇいそん椎名")</f>
        <v>ぢぇいそん椎名</v>
      </c>
      <c r="I2132" s="69" t="str">
        <f>IFERROR(__xludf.DUMMYFUNCTION("""COMPUTED_VALUE"""),"オトナ")</f>
        <v>オトナ</v>
      </c>
      <c r="J2132" s="69"/>
      <c r="K2132" s="69"/>
      <c r="L2132" s="69" t="str">
        <f>IFERROR(__xludf.DUMMYFUNCTION("""COMPUTED_VALUE"""),"DEEPER-ZERO")</f>
        <v>DEEPER-ZERO</v>
      </c>
      <c r="M2132" s="77">
        <f>IFERROR(__xludf.DUMMYFUNCTION("""COMPUTED_VALUE"""),45583.0)</f>
        <v>45583</v>
      </c>
      <c r="N2132" s="77">
        <f>IFERROR(__xludf.DUMMYFUNCTION("""COMPUTED_VALUE"""),45645.0)</f>
        <v>45645</v>
      </c>
      <c r="O2132" s="69"/>
      <c r="P2132" s="120" t="str">
        <f>IFERROR(__xludf.DUMMYFUNCTION("""COMPUTED_VALUE"""),"可")</f>
        <v>可</v>
      </c>
      <c r="Q2132" s="69" t="str">
        <f>IFERROR(__xludf.DUMMYFUNCTION("""COMPUTED_VALUE"""),"レーベル名：カゲキヤコミック
備考：先行で好調のぢぇいそん椎名先生の新作となります。
既に同人で配信している作品を弊社が商業配信を取り次いでいる非オリジナル作品となります。
実績のある作品となりますので、ぜひ前向きにご検討いただけますと幸いです")</f>
        <v>レーベル名：カゲキヤコミック
備考：先行で好調のぢぇいそん椎名先生の新作となります。
既に同人で配信している作品を弊社が商業配信を取り次いでいる非オリジナル作品となります。
実績のある作品となりますので、ぜひ前向きにご検討いただけますと幸いです</v>
      </c>
      <c r="R2132" s="69" t="str">
        <f>IFERROR(__xludf.DUMMYFUNCTION("""COMPUTED_VALUE"""),"広告コミットOK(9/3)")</f>
        <v>広告コミットOK(9/3)</v>
      </c>
      <c r="S2132" s="69" t="str">
        <f>IFERROR(__xludf.DUMMYFUNCTION("""COMPUTED_VALUE"""),"20240920_CLLENN_愛とエゴイスト～偏愛男はイキ狂っても挿れてくれない")</f>
        <v>20240920_CLLENN_愛とエゴイスト～偏愛男はイキ狂っても挿れてくれない</v>
      </c>
      <c r="T2132" s="69" t="str">
        <f>IFERROR(__xludf.DUMMYFUNCTION("""COMPUTED_VALUE"""),"格納済み")</f>
        <v>格納済み</v>
      </c>
      <c r="U2132" s="15" t="str">
        <f>IFERROR(__xludf.DUMMYFUNCTION("""COMPUTED_VALUE"""),"(C)ぢぇいそん椎名/DEEPER-ZERO")</f>
        <v>(C)ぢぇいそん椎名/DEEPER-ZERO</v>
      </c>
      <c r="V2132" s="8" t="str">
        <f>IFERROR(__xludf.DUMMYFUNCTION("""COMPUTED_VALUE"""),"「愛衣の全部、ここでさらけ出してよ」──両親のいない私が出会った、危うくて綺麗な京弥。一筋縄ではいかない彼の心には深い傷があった。すべてを受け入れたいと思っているけどやっぱり彼はどこか人とは違っていて……。──そんなある日、彼に連れていかれた場所はなんと…ハプニングバー!? 京弥さん以外の人が、私の恥ずかしい姿を見て、私のカラダを触ってる…！「愛衣の綺麗なま●こ、みんなに見せてあげようよ」そして、ドSで変態な彼の要求はどんどんエスカレートしていって…!? ※この作品は同人誌『愛とエゴイスト ～強○ク●責め"&amp;"地獄～』『愛とエゴイスト2 ～強○ク●責め地獄～』／ぢぇいそん椎名の電子書籍版です。")</f>
        <v>「愛衣の全部、ここでさらけ出してよ」──両親のいない私が出会った、危うくて綺麗な京弥。一筋縄ではいかない彼の心には深い傷があった。すべてを受け入れたいと思っているけどやっぱり彼はどこか人とは違っていて……。──そんなある日、彼に連れていかれた場所はなんと…ハプニングバー!? 京弥さん以外の人が、私の恥ずかしい姿を見て、私のカラダを触ってる…！「愛衣の綺麗なま●こ、みんなに見せてあげようよ」そして、ドSで変態な彼の要求はどんどんエスカレートしていって…!? ※この作品は同人誌『愛とエゴイスト ～強○ク●責め地獄～』『愛とエゴイスト2 ～強○ク●責め地獄～』／ぢぇいそん椎名の電子書籍版です。</v>
      </c>
      <c r="W2132" s="14"/>
      <c r="X2132" s="14" t="str">
        <f>IFERROR(__xludf.DUMMYFUNCTION("""COMPUTED_VALUE"""),"有")</f>
        <v>有</v>
      </c>
      <c r="Y2132" s="8" t="str">
        <f>IFERROR(__xludf.DUMMYFUNCTION("""COMPUTED_VALUE"""),"2024/10/31まで立ち読み増量P18まで")</f>
        <v>2024/10/31まで立ち読み増量P18まで</v>
      </c>
      <c r="Z2132" s="7"/>
      <c r="AA2132" s="7"/>
      <c r="AB2132" s="7"/>
    </row>
    <row r="2133" ht="15.75" customHeight="1">
      <c r="A2133" s="76">
        <f>IFERROR(__xludf.DUMMYFUNCTION("""COMPUTED_VALUE"""),4072.0)</f>
        <v>4072</v>
      </c>
      <c r="B2133" s="69" t="str">
        <f>IFERROR(__xludf.DUMMYFUNCTION("""COMPUTED_VALUE"""),"確定")</f>
        <v>確定</v>
      </c>
      <c r="C2133" s="74">
        <f>IFERROR(__xludf.DUMMYFUNCTION("""COMPUTED_VALUE"""),45537.0)</f>
        <v>45537</v>
      </c>
      <c r="D2133" s="74">
        <f>IFERROR(__xludf.DUMMYFUNCTION("""COMPUTED_VALUE"""),45555.0)</f>
        <v>45555</v>
      </c>
      <c r="E2133" s="112">
        <f>IFERROR(__xludf.DUMMYFUNCTION("""COMPUTED_VALUE"""),306267.0)</f>
        <v>306267</v>
      </c>
      <c r="F2133" s="119" t="str">
        <f>IFERROR(__xludf.DUMMYFUNCTION("""COMPUTED_VALUE"""),"終了のお知らせです。")</f>
        <v>終了のお知らせです。</v>
      </c>
      <c r="G2133" s="69" t="str">
        <f>IFERROR(__xludf.DUMMYFUNCTION("""COMPUTED_VALUE"""),"1～3")</f>
        <v>1～3</v>
      </c>
      <c r="H2133" s="69" t="str">
        <f>IFERROR(__xludf.DUMMYFUNCTION("""COMPUTED_VALUE"""),"虹村あこ／COMIC ROOM")</f>
        <v>虹村あこ／COMIC ROOM</v>
      </c>
      <c r="I2133" s="69" t="str">
        <f>IFERROR(__xludf.DUMMYFUNCTION("""COMPUTED_VALUE"""),"女性")</f>
        <v>女性</v>
      </c>
      <c r="J2133" s="69"/>
      <c r="K2133" s="69"/>
      <c r="L2133" s="69" t="str">
        <f>IFERROR(__xludf.DUMMYFUNCTION("""COMPUTED_VALUE"""),"コミックルーム")</f>
        <v>コミックルーム</v>
      </c>
      <c r="M2133" s="77">
        <f>IFERROR(__xludf.DUMMYFUNCTION("""COMPUTED_VALUE"""),45585.0)</f>
        <v>45585</v>
      </c>
      <c r="N2133" s="74">
        <f>IFERROR(__xludf.DUMMYFUNCTION("""COMPUTED_VALUE"""),45676.0)</f>
        <v>45676</v>
      </c>
      <c r="O2133" s="69"/>
      <c r="P2133" s="114" t="str">
        <f>IFERROR(__xludf.DUMMYFUNCTION("""COMPUTED_VALUE"""),"可")</f>
        <v>可</v>
      </c>
      <c r="Q2133" s="69"/>
      <c r="R2133" s="69" t="str">
        <f>IFERROR(__xludf.DUMMYFUNCTION("""COMPUTED_VALUE"""),"広告コミットOK（9/4）")</f>
        <v>広告コミットOK（9/4）</v>
      </c>
      <c r="S2133" s="69" t="str">
        <f>IFERROR(__xludf.DUMMYFUNCTION("""COMPUTED_VALUE"""),"202409019_コミックルーム_終了のお知らせです。")</f>
        <v>202409019_コミックルーム_終了のお知らせです。</v>
      </c>
      <c r="T2133" s="69" t="str">
        <f>IFERROR(__xludf.DUMMYFUNCTION("""COMPUTED_VALUE"""),"格納済み")</f>
        <v>格納済み</v>
      </c>
      <c r="U2133" s="15" t="str">
        <f>IFERROR(__xludf.DUMMYFUNCTION("""COMPUTED_VALUE"""),"(c)虹村あこ／COMIC ROOM")</f>
        <v>(c)虹村あこ／COMIC ROOM</v>
      </c>
      <c r="V2133" s="8" t="str">
        <f>IFERROR(__xludf.DUMMYFUNCTION("""COMPUTED_VALUE"""),"西川桃子は、３歳年下の犬系男子・実と社内恋愛の末に結婚。仕事と家事を両立しながら、健気で可愛い夫との生活に幸せを感じていた。そんな桃子の悩みは、夫が自分を“母親”扱いすること。朝の目覚ましから衣服の用意、洗顔の詰め替え……何から何まで夫は桃子に頼りきり。夜の生活もご無沙汰で、桃子は「夫にとって自分は何なのだろう」と思い悩む日々を送っていた。
そんなある日、桃子は職場で、夫が受付の美女とまぐわっている不倫現場を目撃してしまう。
心は子供、下半身は大人の最低夫に裏切られた桃子は、怒りと絶望の中、復讐を"&amp;"決意する——。")</f>
        <v>西川桃子は、３歳年下の犬系男子・実と社内恋愛の末に結婚。仕事と家事を両立しながら、健気で可愛い夫との生活に幸せを感じていた。そんな桃子の悩みは、夫が自分を“母親”扱いすること。朝の目覚ましから衣服の用意、洗顔の詰め替え……何から何まで夫は桃子に頼りきり。夜の生活もご無沙汰で、桃子は「夫にとって自分は何なのだろう」と思い悩む日々を送っていた。
そんなある日、桃子は職場で、夫が受付の美女とまぐわっている不倫現場を目撃してしまう。
心は子供、下半身は大人の最低夫に裏切られた桃子は、怒りと絶望の中、復讐を決意する——。</v>
      </c>
      <c r="W2133" s="14"/>
      <c r="X2133" s="14" t="str">
        <f>IFERROR(__xludf.DUMMYFUNCTION("""COMPUTED_VALUE"""),"有")</f>
        <v>有</v>
      </c>
      <c r="Y2133" s="8" t="str">
        <f>IFERROR(__xludf.DUMMYFUNCTION("""COMPUTED_VALUE"""),"P9まで")</f>
        <v>P9まで</v>
      </c>
      <c r="Z2133" s="7"/>
      <c r="AA2133" s="7"/>
      <c r="AB2133" s="7"/>
    </row>
    <row r="2134" ht="15.75" customHeight="1">
      <c r="A2134" s="76">
        <f>IFERROR(__xludf.DUMMYFUNCTION("""COMPUTED_VALUE"""),4073.0)</f>
        <v>4073</v>
      </c>
      <c r="B2134" s="69" t="str">
        <f>IFERROR(__xludf.DUMMYFUNCTION("""COMPUTED_VALUE"""),"確定")</f>
        <v>確定</v>
      </c>
      <c r="C2134" s="74">
        <f>IFERROR(__xludf.DUMMYFUNCTION("""COMPUTED_VALUE"""),45537.0)</f>
        <v>45537</v>
      </c>
      <c r="D2134" s="74">
        <f>IFERROR(__xludf.DUMMYFUNCTION("""COMPUTED_VALUE"""),45559.0)</f>
        <v>45559</v>
      </c>
      <c r="E2134" s="112">
        <f>IFERROR(__xludf.DUMMYFUNCTION("""COMPUTED_VALUE"""),306269.0)</f>
        <v>306269</v>
      </c>
      <c r="F2134" s="119" t="str">
        <f>IFERROR(__xludf.DUMMYFUNCTION("""COMPUTED_VALUE"""),"不倫ナマ配信〜サレ妻さっちゃんは許さない〜")</f>
        <v>不倫ナマ配信〜サレ妻さっちゃんは許さない〜</v>
      </c>
      <c r="G2134" s="69" t="str">
        <f>IFERROR(__xludf.DUMMYFUNCTION("""COMPUTED_VALUE"""),"1～4")</f>
        <v>1～4</v>
      </c>
      <c r="H2134" s="69" t="str">
        <f>IFERROR(__xludf.DUMMYFUNCTION("""COMPUTED_VALUE"""),"いばらアオ／COMIC ROOM")</f>
        <v>いばらアオ／COMIC ROOM</v>
      </c>
      <c r="I2134" s="69" t="str">
        <f>IFERROR(__xludf.DUMMYFUNCTION("""COMPUTED_VALUE"""),"女性")</f>
        <v>女性</v>
      </c>
      <c r="J2134" s="69"/>
      <c r="K2134" s="69"/>
      <c r="L2134" s="69" t="str">
        <f>IFERROR(__xludf.DUMMYFUNCTION("""COMPUTED_VALUE"""),"コミックルーム")</f>
        <v>コミックルーム</v>
      </c>
      <c r="M2134" s="77">
        <f>IFERROR(__xludf.DUMMYFUNCTION("""COMPUTED_VALUE"""),45585.0)</f>
        <v>45585</v>
      </c>
      <c r="N2134" s="74">
        <f>IFERROR(__xludf.DUMMYFUNCTION("""COMPUTED_VALUE"""),45676.0)</f>
        <v>45676</v>
      </c>
      <c r="O2134" s="69"/>
      <c r="P2134" s="114" t="str">
        <f>IFERROR(__xludf.DUMMYFUNCTION("""COMPUTED_VALUE"""),"可")</f>
        <v>可</v>
      </c>
      <c r="Q2134" s="69"/>
      <c r="R2134" s="69" t="str">
        <f>IFERROR(__xludf.DUMMYFUNCTION("""COMPUTED_VALUE"""),"広告コミットOK（9/4）")</f>
        <v>広告コミットOK（9/4）</v>
      </c>
      <c r="S2134" s="69" t="str">
        <f>IFERROR(__xludf.DUMMYFUNCTION("""COMPUTED_VALUE"""),"20240920_コミックルーム_不倫ナマ配信（さっちゃん）")</f>
        <v>20240920_コミックルーム_不倫ナマ配信（さっちゃん）</v>
      </c>
      <c r="T2134" s="69" t="str">
        <f>IFERROR(__xludf.DUMMYFUNCTION("""COMPUTED_VALUE"""),"格納済み")</f>
        <v>格納済み</v>
      </c>
      <c r="U2134" s="15" t="str">
        <f>IFERROR(__xludf.DUMMYFUNCTION("""COMPUTED_VALUE"""),"(c)いばらアオ／COMIC ROOM")</f>
        <v>(c)いばらアオ／COMIC ROOM</v>
      </c>
      <c r="V2134" s="8" t="str">
        <f>IFERROR(__xludf.DUMMYFUNCTION("""COMPUTED_VALUE"""),"結婚5年目の桜は、仕事と子育てを両立させながら夫・大地を支えてきた。そんな苦労に一切寄り添わず、家庭を顧みない行動ばかりとる大地。ついには、結婚記念日までドタキャンされた桜は、大地の浮気を疑い始める。そして、大地が寝ている隙に見たスマホには、案の定、不倫相手との生々しい肉体関係の記録が…！
さらに、不倫相手が大地とのアンナコトやコンナコトをSNSで自慢げにつづる様子も目撃してしまい、怒りは頂点に。そして、桜は行動に移す。
「こんばんは、私はサレ妻さっちゃんです。これから不倫現場に突撃します」
不倫ナ"&amp;"マ配信、世界に向けてオンエア開始！")</f>
        <v>結婚5年目の桜は、仕事と子育てを両立させながら夫・大地を支えてきた。そんな苦労に一切寄り添わず、家庭を顧みない行動ばかりとる大地。ついには、結婚記念日までドタキャンされた桜は、大地の浮気を疑い始める。そして、大地が寝ている隙に見たスマホには、案の定、不倫相手との生々しい肉体関係の記録が…！
さらに、不倫相手が大地とのアンナコトやコンナコトをSNSで自慢げにつづる様子も目撃してしまい、怒りは頂点に。そして、桜は行動に移す。
「こんばんは、私はサレ妻さっちゃんです。これから不倫現場に突撃します」
不倫ナマ配信、世界に向けてオンエア開始！</v>
      </c>
      <c r="W2134" s="14"/>
      <c r="X2134" s="14" t="str">
        <f>IFERROR(__xludf.DUMMYFUNCTION("""COMPUTED_VALUE"""),"有")</f>
        <v>有</v>
      </c>
      <c r="Y2134" s="8" t="str">
        <f>IFERROR(__xludf.DUMMYFUNCTION("""COMPUTED_VALUE"""),"P9まで")</f>
        <v>P9まで</v>
      </c>
      <c r="Z2134" s="7"/>
      <c r="AA2134" s="7"/>
      <c r="AB2134" s="7"/>
    </row>
    <row r="2135" ht="15.75" customHeight="1">
      <c r="A2135" s="76">
        <f>IFERROR(__xludf.DUMMYFUNCTION("""COMPUTED_VALUE"""),4091.0)</f>
        <v>4091</v>
      </c>
      <c r="B2135" s="69" t="str">
        <f>IFERROR(__xludf.DUMMYFUNCTION("""COMPUTED_VALUE"""),"確定")</f>
        <v>確定</v>
      </c>
      <c r="C2135" s="74">
        <f>IFERROR(__xludf.DUMMYFUNCTION("""COMPUTED_VALUE"""),45539.0)</f>
        <v>45539</v>
      </c>
      <c r="D2135" s="74">
        <f>IFERROR(__xludf.DUMMYFUNCTION("""COMPUTED_VALUE"""),45555.0)</f>
        <v>45555</v>
      </c>
      <c r="E2135" s="112">
        <f>IFERROR(__xludf.DUMMYFUNCTION("""COMPUTED_VALUE"""),306289.0)</f>
        <v>306289</v>
      </c>
      <c r="F2135" s="119" t="str">
        <f>IFERROR(__xludf.DUMMYFUNCTION("""COMPUTED_VALUE"""),"脳科学者転生【単話】")</f>
        <v>脳科学者転生【単話】</v>
      </c>
      <c r="G2135" s="69" t="str">
        <f>IFERROR(__xludf.DUMMYFUNCTION("""COMPUTED_VALUE"""),"1～3")</f>
        <v>1～3</v>
      </c>
      <c r="H2135" s="69" t="str">
        <f>IFERROR(__xludf.DUMMYFUNCTION("""COMPUTED_VALUE"""),"中野信子┴藤澤勇希┴丸円子")</f>
        <v>中野信子┴藤澤勇希┴丸円子</v>
      </c>
      <c r="I2135" s="79" t="str">
        <f>IFERROR(__xludf.DUMMYFUNCTION("""COMPUTED_VALUE"""),"女性")</f>
        <v>女性</v>
      </c>
      <c r="J2135" s="69"/>
      <c r="K2135" s="69"/>
      <c r="L2135" s="69" t="str">
        <f>IFERROR(__xludf.DUMMYFUNCTION("""COMPUTED_VALUE"""),"小学館")</f>
        <v>小学館</v>
      </c>
      <c r="M2135" s="77">
        <f>IFERROR(__xludf.DUMMYFUNCTION("""COMPUTED_VALUE"""),45609.0)</f>
        <v>45609</v>
      </c>
      <c r="N2135" s="74">
        <f>IFERROR(__xludf.DUMMYFUNCTION("""COMPUTED_VALUE"""),45668.0)</f>
        <v>45668</v>
      </c>
      <c r="O2135" s="69"/>
      <c r="P2135" s="120" t="str">
        <f>IFERROR(__xludf.DUMMYFUNCTION("""COMPUTED_VALUE"""),"否")</f>
        <v>否</v>
      </c>
      <c r="Q2135" s="69" t="str">
        <f>IFERROR(__xludf.DUMMYFUNCTION("""COMPUTED_VALUE"""),"・校了済本編素材について：「広告を作成頂く際に、全てのページのコマ外にあるコピーライトは消して頂いて構いません。」とのことです")</f>
        <v>・校了済本編素材について：「広告を作成頂く際に、全てのページのコマ外にあるコピーライトは消して頂いて構いません。」とのことです</v>
      </c>
      <c r="R2135" s="69" t="str">
        <f>IFERROR(__xludf.DUMMYFUNCTION("""COMPUTED_VALUE"""),"広告コミットOK（9/6）")</f>
        <v>広告コミットOK（9/6）</v>
      </c>
      <c r="S2135" s="69" t="str">
        <f>IFERROR(__xludf.DUMMYFUNCTION("""COMPUTED_VALUE"""),"20240918_小学館_脳科学者転生【単話】")</f>
        <v>20240918_小学館_脳科学者転生【単話】</v>
      </c>
      <c r="T2135" s="69" t="str">
        <f>IFERROR(__xludf.DUMMYFUNCTION("""COMPUTED_VALUE"""),"格納済み")</f>
        <v>格納済み</v>
      </c>
      <c r="U2135" s="15" t="str">
        <f>IFERROR(__xludf.DUMMYFUNCTION("""COMPUTED_VALUE"""),"(C)中野信子・藤澤勇希・丸円子 / 小学館")</f>
        <v>(C)中野信子・藤澤勇希・丸円子 / 小学館</v>
      </c>
      <c r="V2135" s="8" t="str">
        <f>IFERROR(__xludf.DUMMYFUNCTION("""COMPUTED_VALUE"""),"脳科学者・中野信子氏、初の漫画原作！
論文の〆切に追いたてられる脳科学者・
中野信子は過労で意識を失ってしまう。
そして目覚めた時、そこは異世界だった――
ありえない状況に困惑していたのも
つかの間、彼女はひょんな事から
火あぶりになりかけていた娘を救う。
その後も次々と舞い込むトラブルに対し
現代科学知識で無双しているうちに、
いつしか「魔女」だの「救世主」だのと
呼ばれる超重要人物になっていて――！？
異世界×脳科学！
前人未踏の科学エンターテインメント、
開幕！")</f>
        <v>脳科学者・中野信子氏、初の漫画原作！
論文の〆切に追いたてられる脳科学者・
中野信子は過労で意識を失ってしまう。
そして目覚めた時、そこは異世界だった――
ありえない状況に困惑していたのも
つかの間、彼女はひょんな事から
火あぶりになりかけていた娘を救う。
その後も次々と舞い込むトラブルに対し
現代科学知識で無双しているうちに、
いつしか「魔女」だの「救世主」だのと
呼ばれる超重要人物になっていて――！？
異世界×脳科学！
前人未踏の科学エンターテインメント、
開幕！</v>
      </c>
      <c r="W2135" s="14"/>
      <c r="X2135" s="14" t="str">
        <f>IFERROR(__xludf.DUMMYFUNCTION("""COMPUTED_VALUE"""),"有")</f>
        <v>有</v>
      </c>
      <c r="Y2135" s="8" t="str">
        <f>IFERROR(__xludf.DUMMYFUNCTION("""COMPUTED_VALUE"""),"P6まで")</f>
        <v>P6まで</v>
      </c>
      <c r="Z2135" s="7"/>
      <c r="AA2135" s="7"/>
      <c r="AB2135" s="7"/>
    </row>
    <row r="2136" ht="15.75" customHeight="1">
      <c r="A2136" s="76">
        <f>IFERROR(__xludf.DUMMYFUNCTION("""COMPUTED_VALUE"""),4127.0)</f>
        <v>4127</v>
      </c>
      <c r="B2136" s="69" t="str">
        <f>IFERROR(__xludf.DUMMYFUNCTION("""COMPUTED_VALUE"""),"確定")</f>
        <v>確定</v>
      </c>
      <c r="C2136" s="74">
        <f>IFERROR(__xludf.DUMMYFUNCTION("""COMPUTED_VALUE"""),45545.0)</f>
        <v>45545</v>
      </c>
      <c r="D2136" s="74">
        <f>IFERROR(__xludf.DUMMYFUNCTION("""COMPUTED_VALUE"""),45555.0)</f>
        <v>45555</v>
      </c>
      <c r="E2136" s="112">
        <f>IFERROR(__xludf.DUMMYFUNCTION("""COMPUTED_VALUE"""),304020.0)</f>
        <v>304020</v>
      </c>
      <c r="F2136" s="119" t="str">
        <f>IFERROR(__xludf.DUMMYFUNCTION("""COMPUTED_VALUE"""),"腐食人【タテヨミ】")</f>
        <v>腐食人【タテヨミ】</v>
      </c>
      <c r="G2136" s="69" t="str">
        <f>IFERROR(__xludf.DUMMYFUNCTION("""COMPUTED_VALUE"""),"1～20")</f>
        <v>1～20</v>
      </c>
      <c r="H2136" s="69" t="str">
        <f>IFERROR(__xludf.DUMMYFUNCTION("""COMPUTED_VALUE"""),"aeju")</f>
        <v>aeju</v>
      </c>
      <c r="I2136" s="69" t="str">
        <f>IFERROR(__xludf.DUMMYFUNCTION("""COMPUTED_VALUE"""),"BL")</f>
        <v>BL</v>
      </c>
      <c r="J2136" s="69"/>
      <c r="K2136" s="69"/>
      <c r="L2136" s="69" t="str">
        <f>IFERROR(__xludf.DUMMYFUNCTION("""COMPUTED_VALUE"""),"リバース")</f>
        <v>リバース</v>
      </c>
      <c r="M2136" s="77">
        <f>IFERROR(__xludf.DUMMYFUNCTION("""COMPUTED_VALUE"""),45578.0)</f>
        <v>45578</v>
      </c>
      <c r="N2136" s="73">
        <f>IFERROR(__xludf.DUMMYFUNCTION("""COMPUTED_VALUE"""),45668.0)</f>
        <v>45668</v>
      </c>
      <c r="O2136" s="69"/>
      <c r="P2136" s="120" t="str">
        <f>IFERROR(__xludf.DUMMYFUNCTION("""COMPUTED_VALUE"""),"可")</f>
        <v>可</v>
      </c>
      <c r="Q2136" s="69" t="str">
        <f>IFERROR(__xludf.DUMMYFUNCTION("""COMPUTED_VALUE"""),"・人気作品「響弦文字」の作家先生の新作です（日本未公開）&lt;BR&gt;・韓国RIDIのBLランキングで1位獲得")</f>
        <v>・人気作品「響弦文字」の作家先生の新作です（日本未公開）&lt;BR&gt;・韓国RIDIのBLランキングで1位獲得</v>
      </c>
      <c r="R2136" s="79" t="str">
        <f>IFERROR(__xludf.DUMMYFUNCTION("""COMPUTED_VALUE"""),"広告コミットOK(9/17)")</f>
        <v>広告コミットOK(9/17)</v>
      </c>
      <c r="S2136" s="69" t="str">
        <f>IFERROR(__xludf.DUMMYFUNCTION("""COMPUTED_VALUE"""),"20241001_リバース_腐食人【タテヨミ】")</f>
        <v>20241001_リバース_腐食人【タテヨミ】</v>
      </c>
      <c r="T2136" s="69" t="str">
        <f>IFERROR(__xludf.DUMMYFUNCTION("""COMPUTED_VALUE"""),"格納済み")</f>
        <v>格納済み</v>
      </c>
      <c r="U2136" s="15" t="str">
        <f>IFERROR(__xludf.DUMMYFUNCTION("""COMPUTED_VALUE"""),"『腐食人』(c)Aeju, REDICE STUDIO / RIVERSE")</f>
        <v>『腐食人』(c)Aeju, REDICE STUDIO / RIVERSE</v>
      </c>
      <c r="V2136" s="8" t="str">
        <f>IFERROR(__xludf.DUMMYFUNCTION("""COMPUTED_VALUE"""),"「あぁ… 触れただけなのに頭がおかしくなりそうだよ」大規模なパンデミックを生き残った人々は、弱肉強食の世界で小さなコミュニティを作り細々と生きていた。生存者のひとり「フミヤ」は役立たずと呼ばれる「レン」の面倒をみながら日々を送る──そんなある日、殺人や暴力、レイプが横行する危険なグループに騙され、取り込まれてしまう。グループのリーダー「ゲン」から一方的に好意を寄せられるフミヤ。彼は自分とレンの解放を条件に、ある提案をするが…※この作品には 殺人やレイプなどの性的かつ暴力的で 過激な描写が含まれています。※"&amp;"この物語はフィクションであり 実在の人物とは一切関係ありません。作品はそれらの行為を肯定するものではありませんがそういった表現に対して 不快感や不安を感じる方は ご自身の判断にて お読みください。")</f>
        <v>「あぁ… 触れただけなのに頭がおかしくなりそうだよ」大規模なパンデミックを生き残った人々は、弱肉強食の世界で小さなコミュニティを作り細々と生きていた。生存者のひとり「フミヤ」は役立たずと呼ばれる「レン」の面倒をみながら日々を送る──そんなある日、殺人や暴力、レイプが横行する危険なグループに騙され、取り込まれてしまう。グループのリーダー「ゲン」から一方的に好意を寄せられるフミヤ。彼は自分とレンの解放を条件に、ある提案をするが…※この作品には 殺人やレイプなどの性的かつ暴力的で 過激な描写が含まれています。※この物語はフィクションであり 実在の人物とは一切関係ありません。作品はそれらの行為を肯定するものではありませんがそういった表現に対して 不快感や不安を感じる方は ご自身の判断にて お読みください。</v>
      </c>
      <c r="W2136" s="14"/>
      <c r="X2136" s="14" t="str">
        <f>IFERROR(__xludf.DUMMYFUNCTION("""COMPUTED_VALUE"""),"有")</f>
        <v>有</v>
      </c>
      <c r="Y2136" s="8" t="str">
        <f>IFERROR(__xludf.DUMMYFUNCTION("""COMPUTED_VALUE"""),"1～3巻無料")</f>
        <v>1～3巻無料</v>
      </c>
      <c r="Z2136" s="7"/>
      <c r="AA2136" s="7"/>
      <c r="AB2136" s="7"/>
    </row>
    <row r="2137" ht="15.75" customHeight="1">
      <c r="A2137" s="76">
        <f>IFERROR(__xludf.DUMMYFUNCTION("""COMPUTED_VALUE"""),4137.0)</f>
        <v>4137</v>
      </c>
      <c r="B2137" s="69" t="str">
        <f>IFERROR(__xludf.DUMMYFUNCTION("""COMPUTED_VALUE"""),"確定")</f>
        <v>確定</v>
      </c>
      <c r="C2137" s="74">
        <f>IFERROR(__xludf.DUMMYFUNCTION("""COMPUTED_VALUE"""),45552.0)</f>
        <v>45552</v>
      </c>
      <c r="D2137" s="74">
        <f>IFERROR(__xludf.DUMMYFUNCTION("""COMPUTED_VALUE"""),45555.0)</f>
        <v>45555</v>
      </c>
      <c r="E2137" s="116">
        <f>IFERROR(__xludf.DUMMYFUNCTION("""COMPUTED_VALUE"""),282564.0)</f>
        <v>282564</v>
      </c>
      <c r="F2137" s="119" t="str">
        <f>IFERROR(__xludf.DUMMYFUNCTION("""COMPUTED_VALUE"""),"黒田家の身代わり花嫁")</f>
        <v>黒田家の身代わり花嫁</v>
      </c>
      <c r="G2137" s="69" t="str">
        <f>IFERROR(__xludf.DUMMYFUNCTION("""COMPUTED_VALUE"""),"1～3")</f>
        <v>1～3</v>
      </c>
      <c r="H2137" s="69" t="str">
        <f>IFERROR(__xludf.DUMMYFUNCTION("""COMPUTED_VALUE"""),"寺岡さこ")</f>
        <v>寺岡さこ</v>
      </c>
      <c r="I2137" s="69" t="str">
        <f>IFERROR(__xludf.DUMMYFUNCTION("""COMPUTED_VALUE"""),"少女")</f>
        <v>少女</v>
      </c>
      <c r="J2137" s="69"/>
      <c r="K2137" s="69"/>
      <c r="L2137" s="69" t="str">
        <f>IFERROR(__xludf.DUMMYFUNCTION("""COMPUTED_VALUE"""),"シーモアコミックス")</f>
        <v>シーモアコミックス</v>
      </c>
      <c r="M2137" s="77">
        <f>IFERROR(__xludf.DUMMYFUNCTION("""COMPUTED_VALUE"""),45584.0)</f>
        <v>45584</v>
      </c>
      <c r="N2137" s="73">
        <f>IFERROR(__xludf.DUMMYFUNCTION("""COMPUTED_VALUE"""),45736.0)</f>
        <v>45736</v>
      </c>
      <c r="O2137" s="69"/>
      <c r="P2137" s="114" t="str">
        <f>IFERROR(__xludf.DUMMYFUNCTION("""COMPUTED_VALUE"""),"可")</f>
        <v>可</v>
      </c>
      <c r="Q2137" s="111"/>
      <c r="R2137" s="69"/>
      <c r="S2137" s="69" t="str">
        <f>IFERROR(__xludf.DUMMYFUNCTION("""COMPUTED_VALUE"""),"20240917_ソルマーレ編集部_黒田家の身代わり花嫁")</f>
        <v>20240917_ソルマーレ編集部_黒田家の身代わり花嫁</v>
      </c>
      <c r="T2137" s="69" t="str">
        <f>IFERROR(__xludf.DUMMYFUNCTION("""COMPUTED_VALUE"""),"格納済み")</f>
        <v>格納済み</v>
      </c>
      <c r="U2137" s="15" t="str">
        <f>IFERROR(__xludf.DUMMYFUNCTION("""COMPUTED_VALUE"""),"© 寺岡さこ/シーモアコミックス")</f>
        <v>© 寺岡さこ/シーモアコミックス</v>
      </c>
      <c r="V2137" s="8" t="str">
        <f>IFERROR(__xludf.DUMMYFUNCTION("""COMPUTED_VALUE"""),"「居場所が欲しいなら俺が作ってやる。よろしくな嫁さん」夫は、呪いをかけられ醜い姿をしていると噂される財閥の若き当主――彼の本当の姿は…。
店長のイジメに耐えながら、美容師の仕事を頑張っている清水月奈（しみず るな）。ある夜、自分ソックリな顔をした着物姿の女・千鶴子（ちづこ）が映る鏡の中に吸いこまれ、過去の世界に…!?!?
帰りたければ我々に従ってくださいませ――月奈を呼び寄せた不気味な能面の女の話によると、元の世界に戻るには、千鶴子が嫁入りするはずだった財閥の当主・黒田恵一郎（くろだ けいいちろう）の"&amp;"もとに嫁ぎ、彼女が戻るまで身代わり妻をするのが条件だと言ってきて…!? 和風ロマンチック・ラブストーリー。【恋するソワレ】")</f>
        <v>「居場所が欲しいなら俺が作ってやる。よろしくな嫁さん」夫は、呪いをかけられ醜い姿をしていると噂される財閥の若き当主――彼の本当の姿は…。
店長のイジメに耐えながら、美容師の仕事を頑張っている清水月奈（しみず るな）。ある夜、自分ソックリな顔をした着物姿の女・千鶴子（ちづこ）が映る鏡の中に吸いこまれ、過去の世界に…!?!?
帰りたければ我々に従ってくださいませ――月奈を呼び寄せた不気味な能面の女の話によると、元の世界に戻るには、千鶴子が嫁入りするはずだった財閥の当主・黒田恵一郎（くろだ けいいちろう）のもとに嫁ぎ、彼女が戻るまで身代わり妻をするのが条件だと言ってきて…!? 和風ロマンチック・ラブストーリー。【恋するソワレ】</v>
      </c>
      <c r="W2137" s="14"/>
      <c r="X2137" s="14" t="str">
        <f>IFERROR(__xludf.DUMMYFUNCTION("""COMPUTED_VALUE"""),"有")</f>
        <v>有</v>
      </c>
      <c r="Y2137" s="8" t="str">
        <f>IFERROR(__xludf.DUMMYFUNCTION("""COMPUTED_VALUE"""),"2024/11/15まで1巻無料")</f>
        <v>2024/11/15まで1巻無料</v>
      </c>
      <c r="Z2137" s="7"/>
      <c r="AA2137" s="7"/>
      <c r="AB2137" s="7"/>
    </row>
    <row r="2138" ht="15.75" customHeight="1">
      <c r="A2138" s="76">
        <f>IFERROR(__xludf.DUMMYFUNCTION("""COMPUTED_VALUE"""),4138.0)</f>
        <v>4138</v>
      </c>
      <c r="B2138" s="69" t="str">
        <f>IFERROR(__xludf.DUMMYFUNCTION("""COMPUTED_VALUE"""),"確定")</f>
        <v>確定</v>
      </c>
      <c r="C2138" s="74">
        <f>IFERROR(__xludf.DUMMYFUNCTION("""COMPUTED_VALUE"""),45552.0)</f>
        <v>45552</v>
      </c>
      <c r="D2138" s="74">
        <f>IFERROR(__xludf.DUMMYFUNCTION("""COMPUTED_VALUE"""),45555.0)</f>
        <v>45555</v>
      </c>
      <c r="E2138" s="116">
        <f>IFERROR(__xludf.DUMMYFUNCTION("""COMPUTED_VALUE"""),283195.0)</f>
        <v>283195</v>
      </c>
      <c r="F2138" s="119" t="str">
        <f>IFERROR(__xludf.DUMMYFUNCTION("""COMPUTED_VALUE"""),"魔女の娘エリザと王子の恋")</f>
        <v>魔女の娘エリザと王子の恋</v>
      </c>
      <c r="G2138" s="69" t="str">
        <f>IFERROR(__xludf.DUMMYFUNCTION("""COMPUTED_VALUE"""),"1～4")</f>
        <v>1～4</v>
      </c>
      <c r="H2138" s="69" t="str">
        <f>IFERROR(__xludf.DUMMYFUNCTION("""COMPUTED_VALUE"""),"深原にな")</f>
        <v>深原にな</v>
      </c>
      <c r="I2138" s="69" t="str">
        <f>IFERROR(__xludf.DUMMYFUNCTION("""COMPUTED_VALUE"""),"少女")</f>
        <v>少女</v>
      </c>
      <c r="J2138" s="69"/>
      <c r="K2138" s="69"/>
      <c r="L2138" s="69" t="str">
        <f>IFERROR(__xludf.DUMMYFUNCTION("""COMPUTED_VALUE"""),"シーモアコミックス")</f>
        <v>シーモアコミックス</v>
      </c>
      <c r="M2138" s="77">
        <f>IFERROR(__xludf.DUMMYFUNCTION("""COMPUTED_VALUE"""),45584.0)</f>
        <v>45584</v>
      </c>
      <c r="N2138" s="73">
        <f>IFERROR(__xludf.DUMMYFUNCTION("""COMPUTED_VALUE"""),45736.0)</f>
        <v>45736</v>
      </c>
      <c r="O2138" s="69"/>
      <c r="P2138" s="114" t="str">
        <f>IFERROR(__xludf.DUMMYFUNCTION("""COMPUTED_VALUE"""),"可")</f>
        <v>可</v>
      </c>
      <c r="Q2138" s="111"/>
      <c r="R2138" s="69"/>
      <c r="S2138" s="69" t="str">
        <f>IFERROR(__xludf.DUMMYFUNCTION("""COMPUTED_VALUE"""),"20240920_ソルマーレ編集部_魔女の娘エリザと王子の恋")</f>
        <v>20240920_ソルマーレ編集部_魔女の娘エリザと王子の恋</v>
      </c>
      <c r="T2138" s="69" t="str">
        <f>IFERROR(__xludf.DUMMYFUNCTION("""COMPUTED_VALUE"""),"格納済み")</f>
        <v>格納済み</v>
      </c>
      <c r="U2138" s="15" t="str">
        <f>IFERROR(__xludf.DUMMYFUNCTION("""COMPUTED_VALUE"""),"© 深原にな/シーモアコミックス")</f>
        <v>© 深原にな/シーモアコミックス</v>
      </c>
      <c r="V2138" s="8" t="str">
        <f>IFERROR(__xludf.DUMMYFUNCTION("""COMPUTED_VALUE"""),"幼い頃に母親と引き離されてから、領主アダル・ルーナの屋敷で「存在しないもの」として扱われ続けてきたエリザ。しかしある日、領主に呼び出されたエリザは自分が領主と血のつながった娘であること、そして「女にだらしなく横暴」という噂のある第3王子・リオの元へ嫁ぐようにと告げられる。困惑するエリザだったが、領主の妻・サティはさらに残酷な事実をエリザに告げる…
この愛はまやかし？それとも真実？すべてを失ったエリザは幸せを手に入れることができるのか――？【恋するソワレ】")</f>
        <v>幼い頃に母親と引き離されてから、領主アダル・ルーナの屋敷で「存在しないもの」として扱われ続けてきたエリザ。しかしある日、領主に呼び出されたエリザは自分が領主と血のつながった娘であること、そして「女にだらしなく横暴」という噂のある第3王子・リオの元へ嫁ぐようにと告げられる。困惑するエリザだったが、領主の妻・サティはさらに残酷な事実をエリザに告げる…
この愛はまやかし？それとも真実？すべてを失ったエリザは幸せを手に入れることができるのか――？【恋するソワレ】</v>
      </c>
      <c r="W2138" s="14"/>
      <c r="X2138" s="14" t="str">
        <f>IFERROR(__xludf.DUMMYFUNCTION("""COMPUTED_VALUE"""),"有")</f>
        <v>有</v>
      </c>
      <c r="Y2138" s="8" t="str">
        <f>IFERROR(__xludf.DUMMYFUNCTION("""COMPUTED_VALUE"""),"2024/11/15まで1～2巻無料")</f>
        <v>2024/11/15まで1～2巻無料</v>
      </c>
      <c r="Z2138" s="7"/>
      <c r="AA2138" s="7"/>
      <c r="AB2138" s="7"/>
    </row>
    <row r="2139" ht="15.75" customHeight="1">
      <c r="A2139" s="76">
        <f>IFERROR(__xludf.DUMMYFUNCTION("""COMPUTED_VALUE"""),4139.0)</f>
        <v>4139</v>
      </c>
      <c r="B2139" s="69" t="str">
        <f>IFERROR(__xludf.DUMMYFUNCTION("""COMPUTED_VALUE"""),"確定")</f>
        <v>確定</v>
      </c>
      <c r="C2139" s="74">
        <f>IFERROR(__xludf.DUMMYFUNCTION("""COMPUTED_VALUE"""),45552.0)</f>
        <v>45552</v>
      </c>
      <c r="D2139" s="74">
        <f>IFERROR(__xludf.DUMMYFUNCTION("""COMPUTED_VALUE"""),45555.0)</f>
        <v>45555</v>
      </c>
      <c r="E2139" s="116">
        <f>IFERROR(__xludf.DUMMYFUNCTION("""COMPUTED_VALUE"""),293558.0)</f>
        <v>293558</v>
      </c>
      <c r="F2139" s="119" t="str">
        <f>IFERROR(__xludf.DUMMYFUNCTION("""COMPUTED_VALUE"""),"この関係に名前をつけるなら(フルカラー)")</f>
        <v>この関係に名前をつけるなら(フルカラー)</v>
      </c>
      <c r="G2139" s="69" t="str">
        <f>IFERROR(__xludf.DUMMYFUNCTION("""COMPUTED_VALUE"""),"1～2")</f>
        <v>1～2</v>
      </c>
      <c r="H2139" s="69" t="str">
        <f>IFERROR(__xludf.DUMMYFUNCTION("""COMPUTED_VALUE"""),"ゲン,ゴンヨンヒ,朴ポンダン")</f>
        <v>ゲン,ゴンヨンヒ,朴ポンダン</v>
      </c>
      <c r="I2139" s="69" t="str">
        <f>IFERROR(__xludf.DUMMYFUNCTION("""COMPUTED_VALUE"""),"BL")</f>
        <v>BL</v>
      </c>
      <c r="J2139" s="69"/>
      <c r="K2139" s="69"/>
      <c r="L2139" s="69" t="str">
        <f>IFERROR(__xludf.DUMMYFUNCTION("""COMPUTED_VALUE"""),"シーモアコミックス")</f>
        <v>シーモアコミックス</v>
      </c>
      <c r="M2139" s="77">
        <f>IFERROR(__xludf.DUMMYFUNCTION("""COMPUTED_VALUE"""),45584.0)</f>
        <v>45584</v>
      </c>
      <c r="N2139" s="77">
        <f>IFERROR(__xludf.DUMMYFUNCTION("""COMPUTED_VALUE"""),45645.0)</f>
        <v>45645</v>
      </c>
      <c r="O2139" s="69"/>
      <c r="P2139" s="114" t="str">
        <f>IFERROR(__xludf.DUMMYFUNCTION("""COMPUTED_VALUE"""),"可")</f>
        <v>可</v>
      </c>
      <c r="Q2139" s="111"/>
      <c r="R2139" s="69"/>
      <c r="S2139" s="69" t="str">
        <f>IFERROR(__xludf.DUMMYFUNCTION("""COMPUTED_VALUE"""),"20240917_ソルマーレ編集部_この関係に名前をつけるなら（フルカラー）")</f>
        <v>20240917_ソルマーレ編集部_この関係に名前をつけるなら（フルカラー）</v>
      </c>
      <c r="T2139" s="69" t="str">
        <f>IFERROR(__xludf.DUMMYFUNCTION("""COMPUTED_VALUE"""),"格納済み")</f>
        <v>格納済み</v>
      </c>
      <c r="U2139" s="15" t="str">
        <f>IFERROR(__xludf.DUMMYFUNCTION("""COMPUTED_VALUE"""),"© ゲン/ゴンヨンヒ/朴ポンダン/Daewon C.I. Inc./シーモアコミックス")</f>
        <v>© ゲン/ゴンヨンヒ/朴ポンダン/Daewon C.I. Inc./シーモアコミックス</v>
      </c>
      <c r="V2139" s="8" t="str">
        <f>IFERROR(__xludf.DUMMYFUNCTION("""COMPUTED_VALUE"""),"「彼女が海翔と付き合うと考えただけで怒りがこみ上がった」
家が貧乏で親がいなかったからいじめに遭っていた五十嵐颯は、ある日お金持ちの水沢海翔に声をかけられた。
それから二人は親友として一緒にいるのが当たり前だったが中学に上がり海翔が女子に告白されているのを目撃して以来、颯の中で何かが変わり始めた───
俺はいい大学に入っていい仕事に就く、こんなことで悩んでる暇はないのに…海翔の言葉に期待したら駄目だ───!!苦学生・颯の葛藤を描いたすれ違いラブストーリー。【フィカス】")</f>
        <v>「彼女が海翔と付き合うと考えただけで怒りがこみ上がった」
家が貧乏で親がいなかったからいじめに遭っていた五十嵐颯は、ある日お金持ちの水沢海翔に声をかけられた。
それから二人は親友として一緒にいるのが当たり前だったが中学に上がり海翔が女子に告白されているのを目撃して以来、颯の中で何かが変わり始めた───
俺はいい大学に入っていい仕事に就く、こんなことで悩んでる暇はないのに…海翔の言葉に期待したら駄目だ───!!苦学生・颯の葛藤を描いたすれ違いラブストーリー。【フィカス】</v>
      </c>
      <c r="W2139" s="14"/>
      <c r="X2139" s="14" t="str">
        <f>IFERROR(__xludf.DUMMYFUNCTION("""COMPUTED_VALUE"""),"有")</f>
        <v>有</v>
      </c>
      <c r="Y2139" s="8" t="str">
        <f>IFERROR(__xludf.DUMMYFUNCTION("""COMPUTED_VALUE"""),"2024/11/15まで1巻無料")</f>
        <v>2024/11/15まで1巻無料</v>
      </c>
      <c r="Z2139" s="7"/>
      <c r="AA2139" s="7"/>
      <c r="AB2139" s="7"/>
    </row>
    <row r="2140" ht="15.75" customHeight="1">
      <c r="A2140" s="76">
        <f>IFERROR(__xludf.DUMMYFUNCTION("""COMPUTED_VALUE"""),4140.0)</f>
        <v>4140</v>
      </c>
      <c r="B2140" s="69" t="str">
        <f>IFERROR(__xludf.DUMMYFUNCTION("""COMPUTED_VALUE"""),"確定")</f>
        <v>確定</v>
      </c>
      <c r="C2140" s="74">
        <f>IFERROR(__xludf.DUMMYFUNCTION("""COMPUTED_VALUE"""),45552.0)</f>
        <v>45552</v>
      </c>
      <c r="D2140" s="74">
        <f>IFERROR(__xludf.DUMMYFUNCTION("""COMPUTED_VALUE"""),45555.0)</f>
        <v>45555</v>
      </c>
      <c r="E2140" s="116">
        <f>IFERROR(__xludf.DUMMYFUNCTION("""COMPUTED_VALUE"""),293559.0)</f>
        <v>293559</v>
      </c>
      <c r="F2140" s="119" t="str">
        <f>IFERROR(__xludf.DUMMYFUNCTION("""COMPUTED_VALUE"""),"この関係に名前をつけるなら【タテヨミ】")</f>
        <v>この関係に名前をつけるなら【タテヨミ】</v>
      </c>
      <c r="G2140" s="69" t="str">
        <f>IFERROR(__xludf.DUMMYFUNCTION("""COMPUTED_VALUE"""),"1～6")</f>
        <v>1～6</v>
      </c>
      <c r="H2140" s="69" t="str">
        <f>IFERROR(__xludf.DUMMYFUNCTION("""COMPUTED_VALUE"""),"ゲン,ゴンヨンヒ,朴ポンダン")</f>
        <v>ゲン,ゴンヨンヒ,朴ポンダン</v>
      </c>
      <c r="I2140" s="69" t="str">
        <f>IFERROR(__xludf.DUMMYFUNCTION("""COMPUTED_VALUE"""),"BL")</f>
        <v>BL</v>
      </c>
      <c r="J2140" s="69"/>
      <c r="K2140" s="69"/>
      <c r="L2140" s="69" t="str">
        <f>IFERROR(__xludf.DUMMYFUNCTION("""COMPUTED_VALUE"""),"シーモアコミックス")</f>
        <v>シーモアコミックス</v>
      </c>
      <c r="M2140" s="77">
        <f>IFERROR(__xludf.DUMMYFUNCTION("""COMPUTED_VALUE"""),45584.0)</f>
        <v>45584</v>
      </c>
      <c r="N2140" s="77">
        <f>IFERROR(__xludf.DUMMYFUNCTION("""COMPUTED_VALUE"""),45645.0)</f>
        <v>45645</v>
      </c>
      <c r="O2140" s="69"/>
      <c r="P2140" s="120" t="str">
        <f>IFERROR(__xludf.DUMMYFUNCTION("""COMPUTED_VALUE"""),"可")</f>
        <v>可</v>
      </c>
      <c r="Q2140" s="111" t="str">
        <f>IFERROR(__xludf.DUMMYFUNCTION("""COMPUTED_VALUE"""),"※コマサム等素材は「293558 この関係に名前をつけるなら（フルカラー）」のほうをお使いください。&lt;BR&gt;バナー制作はフルカラー版の素材を利用して問題ございません。")</f>
        <v>※コマサム等素材は「293558 この関係に名前をつけるなら（フルカラー）」のほうをお使いください。&lt;BR&gt;バナー制作はフルカラー版の素材を利用して問題ございません。</v>
      </c>
      <c r="R2140" s="69"/>
      <c r="S2140" s="69" t="str">
        <f>IFERROR(__xludf.DUMMYFUNCTION("""COMPUTED_VALUE"""),"20240917_ソルマーレ編集部_この関係に名前をつけるなら【タテヨミ】")</f>
        <v>20240917_ソルマーレ編集部_この関係に名前をつけるなら【タテヨミ】</v>
      </c>
      <c r="T2140" s="69" t="str">
        <f>IFERROR(__xludf.DUMMYFUNCTION("""COMPUTED_VALUE"""),"格納済み")</f>
        <v>格納済み</v>
      </c>
      <c r="U2140" s="15" t="str">
        <f>IFERROR(__xludf.DUMMYFUNCTION("""COMPUTED_VALUE"""),"© ゲン/ゴンヨンヒ/朴ポンダン/Daewon C.I. Inc./シーモアコミックス")</f>
        <v>© ゲン/ゴンヨンヒ/朴ポンダン/Daewon C.I. Inc./シーモアコミックス</v>
      </c>
      <c r="V2140" s="8" t="str">
        <f>IFERROR(__xludf.DUMMYFUNCTION("""COMPUTED_VALUE"""),"「彼女が海翔と付き合うと考えただけで怒りがこみ上がった」
家が貧乏で親がいなかったからいじめに遭っていた五十嵐颯は、ある日お金持ちの水沢海翔に声をかけられた。
それから二人は親友として一緒にいるのが当たり前だったが中学に上がり海翔が女子に告白されているのを目撃して以来、颯の中で何かが変わり始めた───
俺はいい大学に入っていい仕事に就く、こんなことで悩んでる暇はないのに…海翔の言葉に期待したら駄目だ───!!苦学生・颯の葛藤を描いたすれ違いラブストーリー。【フィカス】")</f>
        <v>「彼女が海翔と付き合うと考えただけで怒りがこみ上がった」
家が貧乏で親がいなかったからいじめに遭っていた五十嵐颯は、ある日お金持ちの水沢海翔に声をかけられた。
それから二人は親友として一緒にいるのが当たり前だったが中学に上がり海翔が女子に告白されているのを目撃して以来、颯の中で何かが変わり始めた───
俺はいい大学に入っていい仕事に就く、こんなことで悩んでる暇はないのに…海翔の言葉に期待したら駄目だ───!!苦学生・颯の葛藤を描いたすれ違いラブストーリー。【フィカス】</v>
      </c>
      <c r="W2140" s="14"/>
      <c r="X2140" s="14" t="str">
        <f>IFERROR(__xludf.DUMMYFUNCTION("""COMPUTED_VALUE"""),"有")</f>
        <v>有</v>
      </c>
      <c r="Y2140" s="8" t="str">
        <f>IFERROR(__xludf.DUMMYFUNCTION("""COMPUTED_VALUE"""),"2024/11/15まで1～3巻無料")</f>
        <v>2024/11/15まで1～3巻無料</v>
      </c>
      <c r="Z2140" s="7"/>
      <c r="AA2140" s="7"/>
      <c r="AB2140" s="7"/>
    </row>
    <row r="2141" ht="15.75" customHeight="1">
      <c r="A2141" s="76">
        <f>IFERROR(__xludf.DUMMYFUNCTION("""COMPUTED_VALUE"""),4158.0)</f>
        <v>4158</v>
      </c>
      <c r="B2141" s="69" t="str">
        <f>IFERROR(__xludf.DUMMYFUNCTION("""COMPUTED_VALUE"""),"確定")</f>
        <v>確定</v>
      </c>
      <c r="C2141" s="74">
        <f>IFERROR(__xludf.DUMMYFUNCTION("""COMPUTED_VALUE"""),45554.0)</f>
        <v>45554</v>
      </c>
      <c r="D2141" s="74">
        <f>IFERROR(__xludf.DUMMYFUNCTION("""COMPUTED_VALUE"""),45555.0)</f>
        <v>45555</v>
      </c>
      <c r="E2141" s="112">
        <f>IFERROR(__xludf.DUMMYFUNCTION("""COMPUTED_VALUE"""),305574.0)</f>
        <v>305574</v>
      </c>
      <c r="F2141" s="119" t="str">
        <f>IFERROR(__xludf.DUMMYFUNCTION("""COMPUTED_VALUE"""),"鬼の戀 単話版")</f>
        <v>鬼の戀 単話版</v>
      </c>
      <c r="G2141" s="69" t="str">
        <f>IFERROR(__xludf.DUMMYFUNCTION("""COMPUTED_VALUE"""),"1～3")</f>
        <v>1～3</v>
      </c>
      <c r="H2141" s="69" t="str">
        <f>IFERROR(__xludf.DUMMYFUNCTION("""COMPUTED_VALUE"""),"著：蒔々/原作：丸木文華/キャラ原案：Ciel")</f>
        <v>著：蒔々/原作：丸木文華/キャラ原案：Ciel</v>
      </c>
      <c r="I2141" s="69" t="str">
        <f>IFERROR(__xludf.DUMMYFUNCTION("""COMPUTED_VALUE"""),"少女")</f>
        <v>少女</v>
      </c>
      <c r="J2141" s="69"/>
      <c r="K2141" s="69"/>
      <c r="L2141" s="69" t="str">
        <f>IFERROR(__xludf.DUMMYFUNCTION("""COMPUTED_VALUE"""),"イースト・プレス")</f>
        <v>イースト・プレス</v>
      </c>
      <c r="M2141" s="77">
        <f>IFERROR(__xludf.DUMMYFUNCTION("""COMPUTED_VALUE"""),45590.0)</f>
        <v>45590</v>
      </c>
      <c r="N2141" s="59">
        <f>IFERROR(__xludf.DUMMYFUNCTION("""COMPUTED_VALUE"""),45681.0)</f>
        <v>45681</v>
      </c>
      <c r="O2141" s="69"/>
      <c r="P2141" s="114" t="str">
        <f>IFERROR(__xludf.DUMMYFUNCTION("""COMPUTED_VALUE"""),"否")</f>
        <v>否</v>
      </c>
      <c r="Q2141" s="69"/>
      <c r="R2141" s="69" t="str">
        <f>IFERROR(__xludf.DUMMYFUNCTION("""COMPUTED_VALUE"""),"広告コミットOK(9/19)")</f>
        <v>広告コミットOK(9/19)</v>
      </c>
      <c r="S2141" s="69" t="str">
        <f>IFERROR(__xludf.DUMMYFUNCTION("""COMPUTED_VALUE"""),"20240919‗イースト・プレス‗鬼の戀")</f>
        <v>20240919‗イースト・プレス‗鬼の戀</v>
      </c>
      <c r="T2141" s="69" t="str">
        <f>IFERROR(__xludf.DUMMYFUNCTION("""COMPUTED_VALUE"""),"格納済み")</f>
        <v>格納済み</v>
      </c>
      <c r="U2141" s="15" t="str">
        <f>IFERROR(__xludf.DUMMYFUNCTION("""COMPUTED_VALUE"""),"©蒔々／丸木文華／Ciel／イースト・プレス")</f>
        <v>©蒔々／丸木文華／Ciel／イースト・プレス</v>
      </c>
      <c r="V2141" s="8" t="str">
        <f>IFERROR(__xludf.DUMMYFUNCTION("""COMPUTED_VALUE"""),"俺とあいつの間に入らんとする何ものをも、俺は許さない。
ある秘密のせいで周囲に馴染めない萌が頼りにするのは、小さい頃から夢に出てくる『兄さま』だけ。大空襲でひとりきりになった寂しさに耐えかねた萌は父の残した遺言に背き、亡き母の実家から来た迎えの者に連れられて黒頭村へと向かう。そこが『鬼を祀る村』と言われていると知り慄くも、身内に会いたい一心で萌は桐生家の門をくぐり……出会ったのは、桐生家の当主・宗一だった。彼は萌を威圧するような目で睨み「帰れ」と言い放つ。萌は強い拒絶に落胆するが、宗一の姿を見るとな"&amp;"ぜか狂おしい切なさを感じ……。
陰のある美貌の当主×寂しがりの無垢な少女、
因習に縛られながらも、さだめに抗う優しい鬼の純愛怪奇譚。")</f>
        <v>俺とあいつの間に入らんとする何ものをも、俺は許さない。
ある秘密のせいで周囲に馴染めない萌が頼りにするのは、小さい頃から夢に出てくる『兄さま』だけ。大空襲でひとりきりになった寂しさに耐えかねた萌は父の残した遺言に背き、亡き母の実家から来た迎えの者に連れられて黒頭村へと向かう。そこが『鬼を祀る村』と言われていると知り慄くも、身内に会いたい一心で萌は桐生家の門をくぐり……出会ったのは、桐生家の当主・宗一だった。彼は萌を威圧するような目で睨み「帰れ」と言い放つ。萌は強い拒絶に落胆するが、宗一の姿を見るとなぜか狂おしい切なさを感じ……。
陰のある美貌の当主×寂しがりの無垢な少女、
因習に縛られながらも、さだめに抗う優しい鬼の純愛怪奇譚。</v>
      </c>
      <c r="W2141" s="14"/>
      <c r="X2141" s="14" t="str">
        <f>IFERROR(__xludf.DUMMYFUNCTION("""COMPUTED_VALUE"""),"有")</f>
        <v>有</v>
      </c>
      <c r="Y2141" s="8" t="str">
        <f>IFERROR(__xludf.DUMMYFUNCTION("""COMPUTED_VALUE"""),"P8まで")</f>
        <v>P8まで</v>
      </c>
      <c r="Z2141" s="7"/>
      <c r="AA2141" s="7"/>
      <c r="AB2141" s="7"/>
    </row>
    <row r="2142" ht="15.75" customHeight="1">
      <c r="A2142" s="76">
        <f>IFERROR(__xludf.DUMMYFUNCTION("""COMPUTED_VALUE"""),4159.0)</f>
        <v>4159</v>
      </c>
      <c r="B2142" s="69" t="str">
        <f>IFERROR(__xludf.DUMMYFUNCTION("""COMPUTED_VALUE"""),"確定")</f>
        <v>確定</v>
      </c>
      <c r="C2142" s="74">
        <f>IFERROR(__xludf.DUMMYFUNCTION("""COMPUTED_VALUE"""),45554.0)</f>
        <v>45554</v>
      </c>
      <c r="D2142" s="74">
        <f>IFERROR(__xludf.DUMMYFUNCTION("""COMPUTED_VALUE"""),45555.0)</f>
        <v>45555</v>
      </c>
      <c r="E2142" s="116">
        <f>IFERROR(__xludf.DUMMYFUNCTION("""COMPUTED_VALUE"""),301394.0)</f>
        <v>301394</v>
      </c>
      <c r="F2142" s="119" t="str">
        <f>IFERROR(__xludf.DUMMYFUNCTION("""COMPUTED_VALUE"""),"冷徹メガネの溺愛キス～上司は私の体温を2℃上げる～")</f>
        <v>冷徹メガネの溺愛キス～上司は私の体温を2℃上げる～</v>
      </c>
      <c r="G2142" s="69" t="str">
        <f>IFERROR(__xludf.DUMMYFUNCTION("""COMPUTED_VALUE"""),"1～4")</f>
        <v>1～4</v>
      </c>
      <c r="H2142" s="69" t="str">
        <f>IFERROR(__xludf.DUMMYFUNCTION("""COMPUTED_VALUE"""),"蜜柑子")</f>
        <v>蜜柑子</v>
      </c>
      <c r="I2142" s="108" t="str">
        <f>IFERROR(__xludf.DUMMYFUNCTION("""COMPUTED_VALUE"""),"TL")</f>
        <v>TL</v>
      </c>
      <c r="J2142" s="69"/>
      <c r="K2142" s="69"/>
      <c r="L2142" s="69" t="str">
        <f>IFERROR(__xludf.DUMMYFUNCTION("""COMPUTED_VALUE"""),"秋田書店")</f>
        <v>秋田書店</v>
      </c>
      <c r="M2142" s="59">
        <f>IFERROR(__xludf.DUMMYFUNCTION("""COMPUTED_VALUE"""),45548.0)</f>
        <v>45548</v>
      </c>
      <c r="N2142" s="77">
        <f>IFERROR(__xludf.DUMMYFUNCTION("""COMPUTED_VALUE"""),45610.0)</f>
        <v>45610</v>
      </c>
      <c r="O2142" s="69"/>
      <c r="P2142" s="120" t="str">
        <f>IFERROR(__xludf.DUMMYFUNCTION("""COMPUTED_VALUE"""),"可")</f>
        <v>可</v>
      </c>
      <c r="Q2142" s="111" t="str">
        <f>IFERROR(__xludf.DUMMYFUNCTION("""COMPUTED_VALUE"""),"・TLレーベル：恋愛LoveMAX / MIU 恋愛MAX COMICS")</f>
        <v>・TLレーベル：恋愛LoveMAX / MIU 恋愛MAX COMICS</v>
      </c>
      <c r="R2142" s="69"/>
      <c r="S2142" s="69" t="str">
        <f>IFERROR(__xludf.DUMMYFUNCTION("""COMPUTED_VALUE"""),"20240919_秋田書店_冷徹メガネの溺愛キス～上司は私の体温を２℃上げる～")</f>
        <v>20240919_秋田書店_冷徹メガネの溺愛キス～上司は私の体温を２℃上げる～</v>
      </c>
      <c r="T2142" s="69" t="str">
        <f>IFERROR(__xludf.DUMMYFUNCTION("""COMPUTED_VALUE"""),"格納済み")</f>
        <v>格納済み</v>
      </c>
      <c r="U2142" s="15" t="str">
        <f>IFERROR(__xludf.DUMMYFUNCTION("""COMPUTED_VALUE"""),"©蜜柑子（秋田書店）")</f>
        <v>©蜜柑子（秋田書店）</v>
      </c>
      <c r="V2142" s="8" t="str">
        <f>IFERROR(__xludf.DUMMYFUNCTION("""COMPUTED_VALUE"""),"「もうヌルヌルだ。君って、やらしいな」――彼氏いない歴５年。仕事が恋人の渡瀬由衣（32歳）は、大嫌いな宿敵上司・矢上から突然、告白される。戸惑いながらも彼の強引キスに体を許し、イカされてしまう。ベッドでしか見せない上司のオスの顔。冷めた顔の裏に、こんな熱くて硬い塊を隠していたなんて…。でも、どうして急に接近してきたの？――どうやら矢上にも、由衣を落としたい「ある秘密」があるようで…？")</f>
        <v>「もうヌルヌルだ。君って、やらしいな」――彼氏いない歴５年。仕事が恋人の渡瀬由衣（32歳）は、大嫌いな宿敵上司・矢上から突然、告白される。戸惑いながらも彼の強引キスに体を許し、イカされてしまう。ベッドでしか見せない上司のオスの顔。冷めた顔の裏に、こんな熱くて硬い塊を隠していたなんて…。でも、どうして急に接近してきたの？――どうやら矢上にも、由衣を落としたい「ある秘密」があるようで…？</v>
      </c>
      <c r="W2142" s="14"/>
      <c r="X2142" s="14" t="str">
        <f>IFERROR(__xludf.DUMMYFUNCTION("""COMPUTED_VALUE"""),"有")</f>
        <v>有</v>
      </c>
      <c r="Y2142" s="8" t="str">
        <f>IFERROR(__xludf.DUMMYFUNCTION("""COMPUTED_VALUE"""),"2024/11/14まで1巻無料")</f>
        <v>2024/11/14まで1巻無料</v>
      </c>
      <c r="Z2142" s="7"/>
      <c r="AA2142" s="7"/>
      <c r="AB2142" s="7"/>
    </row>
    <row r="2143" ht="15.75" customHeight="1">
      <c r="A2143" s="76">
        <f>IFERROR(__xludf.DUMMYFUNCTION("""COMPUTED_VALUE"""),4162.0)</f>
        <v>4162</v>
      </c>
      <c r="B2143" s="69" t="str">
        <f>IFERROR(__xludf.DUMMYFUNCTION("""COMPUTED_VALUE"""),"確定")</f>
        <v>確定</v>
      </c>
      <c r="C2143" s="74">
        <f>IFERROR(__xludf.DUMMYFUNCTION("""COMPUTED_VALUE"""),45554.0)</f>
        <v>45554</v>
      </c>
      <c r="D2143" s="74">
        <f>IFERROR(__xludf.DUMMYFUNCTION("""COMPUTED_VALUE"""),45555.0)</f>
        <v>45555</v>
      </c>
      <c r="E2143" s="112">
        <f>IFERROR(__xludf.DUMMYFUNCTION("""COMPUTED_VALUE"""),305688.0)</f>
        <v>305688</v>
      </c>
      <c r="F2143" s="119" t="str">
        <f>IFERROR(__xludf.DUMMYFUNCTION("""COMPUTED_VALUE"""),"社交界の毒婦とよばれる私～素敵な辺境伯令息に腕を折られたので、責任とってもらいます～［ばら売り］")</f>
        <v>社交界の毒婦とよばれる私～素敵な辺境伯令息に腕を折られたので、責任とってもらいます～［ばら売り］</v>
      </c>
      <c r="G2143" s="69" t="str">
        <f>IFERROR(__xludf.DUMMYFUNCTION("""COMPUTED_VALUE"""),"1～5")</f>
        <v>1～5</v>
      </c>
      <c r="H2143" s="69" t="str">
        <f>IFERROR(__xludf.DUMMYFUNCTION("""COMPUTED_VALUE"""),"漫画：霜月かいり 原作：来須みかん")</f>
        <v>漫画：霜月かいり 原作：来須みかん</v>
      </c>
      <c r="I2143" s="69" t="str">
        <f>IFERROR(__xludf.DUMMYFUNCTION("""COMPUTED_VALUE"""),"少女")</f>
        <v>少女</v>
      </c>
      <c r="J2143" s="69"/>
      <c r="K2143" s="69"/>
      <c r="L2143" s="69" t="str">
        <f>IFERROR(__xludf.DUMMYFUNCTION("""COMPUTED_VALUE"""),"白泉社")</f>
        <v>白泉社</v>
      </c>
      <c r="M2143" s="59">
        <f>IFERROR(__xludf.DUMMYFUNCTION("""COMPUTED_VALUE"""),45605.0)</f>
        <v>45605</v>
      </c>
      <c r="N2143" s="59">
        <f>IFERROR(__xludf.DUMMYFUNCTION("""COMPUTED_VALUE"""),45724.70833333333)</f>
        <v>45724.70833</v>
      </c>
      <c r="O2143" s="69"/>
      <c r="P2143" s="110" t="str">
        <f>IFERROR(__xludf.DUMMYFUNCTION("""COMPUTED_VALUE"""),"可")</f>
        <v>可</v>
      </c>
      <c r="Q2143" s="111" t="str">
        <f>IFERROR(__xludf.DUMMYFUNCTION("""COMPUTED_VALUE"""),"レーベル：マンガPark")</f>
        <v>レーベル：マンガPark</v>
      </c>
      <c r="R2143" s="69"/>
      <c r="S2143" s="69" t="str">
        <f>IFERROR(__xludf.DUMMYFUNCTION("""COMPUTED_VALUE"""),"20240919_白泉社_社交界の毒婦と呼ばれる私")</f>
        <v>20240919_白泉社_社交界の毒婦と呼ばれる私</v>
      </c>
      <c r="T2143" s="69" t="str">
        <f>IFERROR(__xludf.DUMMYFUNCTION("""COMPUTED_VALUE"""),"格納済み")</f>
        <v>格納済み</v>
      </c>
      <c r="U2143" s="15" t="str">
        <f>IFERROR(__xludf.DUMMYFUNCTION("""COMPUTED_VALUE"""),"(C) 霜月かいり／白泉社 (C) 2024 来須みかん（ツギクル刊）")</f>
        <v>(C) 霜月かいり／白泉社 (C) 2024 来須みかん（ツギクル刊）</v>
      </c>
      <c r="V2143" s="8" t="str">
        <f>IFERROR(__xludf.DUMMYFUNCTION("""COMPUTED_VALUE"""),"【第1話】私は昔から空気を読むのがうまかった。だから、悲劇のヒロインになりたい異母妹マリンの望み通り、悪役を演じている。そうしないと、マリンを溺愛している父に食事を抜かれてしまうから。今日の夜会でのマリンのお目当てはバルゴア辺境伯の令息リオだ。――はいはい、私がマリンのお望みどおり頭からワインをぶっかけてあげるから、あなたたちはさっさとくっついてイチャイチャしなさいよ……と思っていたら、バルゴア令息に捕まれた私の手首がゴギッと鈍い音を出して―？劇的な出逢いによって運命の歯車が一つに繋がりはじめる―。")</f>
        <v>【第1話】私は昔から空気を読むのがうまかった。だから、悲劇のヒロインになりたい異母妹マリンの望み通り、悪役を演じている。そうしないと、マリンを溺愛している父に食事を抜かれてしまうから。今日の夜会でのマリンのお目当てはバルゴア辺境伯の令息リオだ。――はいはい、私がマリンのお望みどおり頭からワインをぶっかけてあげるから、あなたたちはさっさとくっついてイチャイチャしなさいよ……と思っていたら、バルゴア令息に捕まれた私の手首がゴギッと鈍い音を出して―？劇的な出逢いによって運命の歯車が一つに繋がりはじめる―。</v>
      </c>
      <c r="W2143" s="14"/>
      <c r="X2143" s="14" t="str">
        <f>IFERROR(__xludf.DUMMYFUNCTION("""COMPUTED_VALUE"""),"有")</f>
        <v>有</v>
      </c>
      <c r="Y2143" s="8" t="str">
        <f>IFERROR(__xludf.DUMMYFUNCTION("""COMPUTED_VALUE"""),"P10まで")</f>
        <v>P10まで</v>
      </c>
      <c r="Z2143" s="7"/>
      <c r="AA2143" s="7"/>
      <c r="AB2143" s="7"/>
    </row>
    <row r="2144" ht="15.75" customHeight="1">
      <c r="A2144" s="76">
        <f>IFERROR(__xludf.DUMMYFUNCTION("""COMPUTED_VALUE"""),4169.0)</f>
        <v>4169</v>
      </c>
      <c r="B2144" s="69" t="str">
        <f>IFERROR(__xludf.DUMMYFUNCTION("""COMPUTED_VALUE"""),"確定")</f>
        <v>確定</v>
      </c>
      <c r="C2144" s="74">
        <f>IFERROR(__xludf.DUMMYFUNCTION("""COMPUTED_VALUE"""),45554.0)</f>
        <v>45554</v>
      </c>
      <c r="D2144" s="74">
        <f>IFERROR(__xludf.DUMMYFUNCTION("""COMPUTED_VALUE"""),45555.0)</f>
        <v>45555</v>
      </c>
      <c r="E2144" s="112">
        <f>IFERROR(__xludf.DUMMYFUNCTION("""COMPUTED_VALUE"""),304398.0)</f>
        <v>304398</v>
      </c>
      <c r="F2144" s="119" t="str">
        <f>IFERROR(__xludf.DUMMYFUNCTION("""COMPUTED_VALUE"""),"【ラブチーク】冬木さんはえろフラグから逃げられない")</f>
        <v>【ラブチーク】冬木さんはえろフラグから逃げられない</v>
      </c>
      <c r="G2144" s="69" t="str">
        <f>IFERROR(__xludf.DUMMYFUNCTION("""COMPUTED_VALUE"""),"1～3")</f>
        <v>1～3</v>
      </c>
      <c r="H2144" s="69" t="str">
        <f>IFERROR(__xludf.DUMMYFUNCTION("""COMPUTED_VALUE"""),"佐古")</f>
        <v>佐古</v>
      </c>
      <c r="I2144" s="69" t="str">
        <f>IFERROR(__xludf.DUMMYFUNCTION("""COMPUTED_VALUE"""),"TL")</f>
        <v>TL</v>
      </c>
      <c r="J2144" s="69"/>
      <c r="K2144" s="69"/>
      <c r="L2144" s="69" t="str">
        <f>IFERROR(__xludf.DUMMYFUNCTION("""COMPUTED_VALUE"""),"ブライト出版")</f>
        <v>ブライト出版</v>
      </c>
      <c r="M2144" s="77">
        <f>IFERROR(__xludf.DUMMYFUNCTION("""COMPUTED_VALUE"""),45583.0)</f>
        <v>45583</v>
      </c>
      <c r="N2144" s="59">
        <f>IFERROR(__xludf.DUMMYFUNCTION("""COMPUTED_VALUE"""),45808.66666666667)</f>
        <v>45808.66667</v>
      </c>
      <c r="O2144" s="69"/>
      <c r="P2144" s="114" t="str">
        <f>IFERROR(__xludf.DUMMYFUNCTION("""COMPUTED_VALUE"""),"可")</f>
        <v>可</v>
      </c>
      <c r="Q2144" s="69"/>
      <c r="R2144" s="69" t="str">
        <f>IFERROR(__xludf.DUMMYFUNCTION("""COMPUTED_VALUE"""),"広告コミットOK(9/20)")</f>
        <v>広告コミットOK(9/20)</v>
      </c>
      <c r="S2144" s="69" t="str">
        <f>IFERROR(__xludf.DUMMYFUNCTION("""COMPUTED_VALUE"""),"20240919_ブライト出版_冬木さんはえろフラグから逃げられない")</f>
        <v>20240919_ブライト出版_冬木さんはえろフラグから逃げられない</v>
      </c>
      <c r="T2144" s="69" t="str">
        <f>IFERROR(__xludf.DUMMYFUNCTION("""COMPUTED_VALUE"""),"格納済み")</f>
        <v>格納済み</v>
      </c>
      <c r="U2144" s="15" t="str">
        <f>IFERROR(__xludf.DUMMYFUNCTION("""COMPUTED_VALUE"""),"(C)佐古/ブライト出版")</f>
        <v>(C)佐古/ブライト出版</v>
      </c>
      <c r="V2144" s="8" t="str">
        <f>IFERROR(__xludf.DUMMYFUNCTION("""COMPUTED_VALUE"""),"「ラッキースケベ体質なんだ！」なにかの冗談だと思っていたのに、同じベッドで一緒に寝て後ろから抱き込まれ胸に手を這わされているこの状況。もしかして、本当だったの…!?目が合わない・連絡はチャットのみ・資料の共有は人を介するなど、女性嫌いで有名な冬木と仕事でペアになった七瀬。仕事が捗らず冬木に苦手意識を持っていたある日、夜遅く鍵を忘れて会社に戻ったのが運の尽き。冬木に服を破かれ、帰ろうにも突然天気が崩れ電車が運転見合わせ、しまいには冬木の家に泊まることにーーこの“えろフラグ”は絶対不可避!?")</f>
        <v>「ラッキースケベ体質なんだ！」なにかの冗談だと思っていたのに、同じベッドで一緒に寝て後ろから抱き込まれ胸に手を這わされているこの状況。もしかして、本当だったの…!?目が合わない・連絡はチャットのみ・資料の共有は人を介するなど、女性嫌いで有名な冬木と仕事でペアになった七瀬。仕事が捗らず冬木に苦手意識を持っていたある日、夜遅く鍵を忘れて会社に戻ったのが運の尽き。冬木に服を破かれ、帰ろうにも突然天気が崩れ電車が運転見合わせ、しまいには冬木の家に泊まることにーーこの“えろフラグ”は絶対不可避!?</v>
      </c>
      <c r="W2144" s="14"/>
      <c r="X2144" s="14" t="str">
        <f>IFERROR(__xludf.DUMMYFUNCTION("""COMPUTED_VALUE"""),"有")</f>
        <v>有</v>
      </c>
      <c r="Y2144" s="8" t="str">
        <f>IFERROR(__xludf.DUMMYFUNCTION("""COMPUTED_VALUE"""),"2024/10/31まで1巻無料")</f>
        <v>2024/10/31まで1巻無料</v>
      </c>
      <c r="Z2144" s="7"/>
      <c r="AA2144" s="7"/>
      <c r="AB2144" s="7"/>
    </row>
    <row r="2145" ht="15.75" customHeight="1">
      <c r="A2145" s="76">
        <f>IFERROR(__xludf.DUMMYFUNCTION("""COMPUTED_VALUE"""),4175.0)</f>
        <v>4175</v>
      </c>
      <c r="B2145" s="69" t="str">
        <f>IFERROR(__xludf.DUMMYFUNCTION("""COMPUTED_VALUE"""),"確定")</f>
        <v>確定</v>
      </c>
      <c r="C2145" s="74">
        <f>IFERROR(__xludf.DUMMYFUNCTION("""COMPUTED_VALUE"""),45555.0)</f>
        <v>45555</v>
      </c>
      <c r="D2145" s="74">
        <f>IFERROR(__xludf.DUMMYFUNCTION("""COMPUTED_VALUE"""),45555.0)</f>
        <v>45555</v>
      </c>
      <c r="E2145" s="116">
        <f>IFERROR(__xludf.DUMMYFUNCTION("""COMPUTED_VALUE"""),292406.0)</f>
        <v>292406</v>
      </c>
      <c r="F2145" s="119" t="str">
        <f>IFERROR(__xludf.DUMMYFUNCTION("""COMPUTED_VALUE"""),"制裁の時間です～サレ妻を本気にさせた夫の末路～")</f>
        <v>制裁の時間です～サレ妻を本気にさせた夫の末路～</v>
      </c>
      <c r="G2145" s="69" t="str">
        <f>IFERROR(__xludf.DUMMYFUNCTION("""COMPUTED_VALUE"""),"1～3")</f>
        <v>1～3</v>
      </c>
      <c r="H2145" s="69" t="str">
        <f>IFERROR(__xludf.DUMMYFUNCTION("""COMPUTED_VALUE"""),"黒乙女,佐倉伊織")</f>
        <v>黒乙女,佐倉伊織</v>
      </c>
      <c r="I2145" s="69" t="str">
        <f>IFERROR(__xludf.DUMMYFUNCTION("""COMPUTED_VALUE"""),"女性")</f>
        <v>女性</v>
      </c>
      <c r="J2145" s="69"/>
      <c r="K2145" s="69"/>
      <c r="L2145" s="69" t="str">
        <f>IFERROR(__xludf.DUMMYFUNCTION("""COMPUTED_VALUE"""),"シーモアコミックス（トレモア）")</f>
        <v>シーモアコミックス（トレモア）</v>
      </c>
      <c r="M2145" s="59">
        <f>IFERROR(__xludf.DUMMYFUNCTION("""COMPUTED_VALUE"""),45604.0)</f>
        <v>45604</v>
      </c>
      <c r="N2145" s="59">
        <f>IFERROR(__xludf.DUMMYFUNCTION("""COMPUTED_VALUE"""),45757.0)</f>
        <v>45757</v>
      </c>
      <c r="O2145" s="69"/>
      <c r="P2145" s="114" t="str">
        <f>IFERROR(__xludf.DUMMYFUNCTION("""COMPUTED_VALUE"""),"可")</f>
        <v>可</v>
      </c>
      <c r="Q2145" s="111"/>
      <c r="R2145" s="69"/>
      <c r="S2145" s="69" t="str">
        <f>IFERROR(__xludf.DUMMYFUNCTION("""COMPUTED_VALUE"""),"20240920_シーモアコミックス_制裁の時間です～サレ妻を本気にさせた夫の末路～")</f>
        <v>20240920_シーモアコミックス_制裁の時間です～サレ妻を本気にさせた夫の末路～</v>
      </c>
      <c r="T2145" s="69" t="str">
        <f>IFERROR(__xludf.DUMMYFUNCTION("""COMPUTED_VALUE"""),"格納済み")</f>
        <v>格納済み</v>
      </c>
      <c r="U2145" s="15" t="str">
        <f>IFERROR(__xludf.DUMMYFUNCTION("""COMPUTED_VALUE"""),"© 黒乙女/佐倉伊織/シーモアコミックス")</f>
        <v>© 黒乙女/佐倉伊織/シーモアコミックス</v>
      </c>
      <c r="V2145" s="8" t="str">
        <f>IFERROR(__xludf.DUMMYFUNCTION("""COMPUTED_VALUE"""),"幸せになりたかっただけなのに──。夫・浩平と結婚して幸せになるための一歩を踏み出した実花は、夫に尽くし、よき妻になろうと努力を重ねていた。しかし、結婚前は知らなかった夫の冷酷で自分本位な裏の顔や、セックスレスにもかかわらず義母から跡継ぎの男児出産を求められることに、思い悩む毎日。ある日、浩平の裏切りを知った実花は……。自分がいなければなにもできないと実花を見下す浩平に、実花の我慢も限界を超えて……。「私を本気で怒らせたこと、後悔させてあげる」──さあ、そろそろ制裁の時間です。")</f>
        <v>幸せになりたかっただけなのに──。夫・浩平と結婚して幸せになるための一歩を踏み出した実花は、夫に尽くし、よき妻になろうと努力を重ねていた。しかし、結婚前は知らなかった夫の冷酷で自分本位な裏の顔や、セックスレスにもかかわらず義母から跡継ぎの男児出産を求められることに、思い悩む毎日。ある日、浩平の裏切りを知った実花は……。自分がいなければなにもできないと実花を見下す浩平に、実花の我慢も限界を超えて……。「私を本気で怒らせたこと、後悔させてあげる」──さあ、そろそろ制裁の時間です。</v>
      </c>
      <c r="W2145" s="14"/>
      <c r="X2145" s="14" t="str">
        <f>IFERROR(__xludf.DUMMYFUNCTION("""COMPUTED_VALUE"""),"有")</f>
        <v>有</v>
      </c>
      <c r="Y2145" s="8" t="str">
        <f>IFERROR(__xludf.DUMMYFUNCTION("""COMPUTED_VALUE"""),"2024/12/31まで1巻無料")</f>
        <v>2024/12/31まで1巻無料</v>
      </c>
      <c r="Z2145" s="7"/>
      <c r="AA2145" s="7"/>
      <c r="AB2145" s="7"/>
    </row>
    <row r="2146" ht="15.75" customHeight="1">
      <c r="A2146" s="76">
        <f>IFERROR(__xludf.DUMMYFUNCTION("""COMPUTED_VALUE"""),4176.0)</f>
        <v>4176</v>
      </c>
      <c r="B2146" s="69" t="str">
        <f>IFERROR(__xludf.DUMMYFUNCTION("""COMPUTED_VALUE"""),"確定")</f>
        <v>確定</v>
      </c>
      <c r="C2146" s="74">
        <f>IFERROR(__xludf.DUMMYFUNCTION("""COMPUTED_VALUE"""),45555.0)</f>
        <v>45555</v>
      </c>
      <c r="D2146" s="74">
        <f>IFERROR(__xludf.DUMMYFUNCTION("""COMPUTED_VALUE"""),45555.0)</f>
        <v>45555</v>
      </c>
      <c r="E2146" s="116">
        <f>IFERROR(__xludf.DUMMYFUNCTION("""COMPUTED_VALUE"""),231783.0)</f>
        <v>231783</v>
      </c>
      <c r="F2146" s="119" t="str">
        <f>IFERROR(__xludf.DUMMYFUNCTION("""COMPUTED_VALUE"""),"ヤンキーΩは獣王様のもの！【単行本版／コミックシーモア限定特典まんが付き】")</f>
        <v>ヤンキーΩは獣王様のもの！【単行本版／コミックシーモア限定特典まんが付き】</v>
      </c>
      <c r="G2146" s="69">
        <f>IFERROR(__xludf.DUMMYFUNCTION("""COMPUTED_VALUE"""),4.0)</f>
        <v>4</v>
      </c>
      <c r="H2146" s="69" t="str">
        <f>IFERROR(__xludf.DUMMYFUNCTION("""COMPUTED_VALUE"""),"九マ564")</f>
        <v>九マ564</v>
      </c>
      <c r="I2146" s="69" t="str">
        <f>IFERROR(__xludf.DUMMYFUNCTION("""COMPUTED_VALUE"""),"BL")</f>
        <v>BL</v>
      </c>
      <c r="J2146" s="69"/>
      <c r="K2146" s="69"/>
      <c r="L2146" s="69" t="str">
        <f>IFERROR(__xludf.DUMMYFUNCTION("""COMPUTED_VALUE"""),"モバイルメディアリサーチ")</f>
        <v>モバイルメディアリサーチ</v>
      </c>
      <c r="M2146" s="77">
        <f>IFERROR(__xludf.DUMMYFUNCTION("""COMPUTED_VALUE"""),45584.0)</f>
        <v>45584</v>
      </c>
      <c r="N2146" s="77">
        <f>IFERROR(__xludf.DUMMYFUNCTION("""COMPUTED_VALUE"""),2958465.0)</f>
        <v>2958465</v>
      </c>
      <c r="O2146" s="69"/>
      <c r="P2146" s="120" t="str">
        <f>IFERROR(__xludf.DUMMYFUNCTION("""COMPUTED_VALUE"""),"可")</f>
        <v>可</v>
      </c>
      <c r="Q2146" s="111" t="str">
        <f>IFERROR(__xludf.DUMMYFUNCTION("""COMPUTED_VALUE"""),"シーモア限定BOOK作品です。")</f>
        <v>シーモア限定BOOK作品です。</v>
      </c>
      <c r="R2146" s="69"/>
      <c r="S2146" s="69" t="str">
        <f>IFERROR(__xludf.DUMMYFUNCTION("""COMPUTED_VALUE"""),"20240920_ファンギルド_ヤンキーΩは獣王様のもの！")</f>
        <v>20240920_ファンギルド_ヤンキーΩは獣王様のもの！</v>
      </c>
      <c r="T2146" s="69" t="str">
        <f>IFERROR(__xludf.DUMMYFUNCTION("""COMPUTED_VALUE"""),"格納済み")</f>
        <v>格納済み</v>
      </c>
      <c r="U2146" s="15" t="str">
        <f>IFERROR(__xludf.DUMMYFUNCTION("""COMPUTED_VALUE"""),"©九マ564/ファンギルド")</f>
        <v>©九マ564/ファンギルド</v>
      </c>
      <c r="V2146" s="8" t="str">
        <f>IFERROR(__xludf.DUMMYFUNCTION("""COMPUTED_VALUE"""),"大人気連載が待望のコミックス発売!!オスみたっぷりなαの獣王様×おバカだけどまっすぐなΩのヤンキーの異世界転生オメガバース！ラブいちゃ描き下ろし漫画も5P収録！ヤンキーの林太郎は、ある日、ひょんなことから異世界に飛ばされてしまう。そのうえ突然カラダの奥が熱くうずき出して…!? とまどう林太郎の前に現れたのは、鋭い瞳をもつ獣人のヴァルナ。「お前のカラダ、今すぐ楽にしてやる」ほてる肌をなでる手は優しいのに、舌を絡めるキスはエロいから…きもちよすぎて、もう抵抗なんてできねえ…ッ！【※この作品は話売り「ヤンキーΩ"&amp;"は獣王様のもの！」の単行本版です】■収録内容「ヤンキーΩは獣王様のもの！」第1話～第7話単行本描き下ろし漫画5Pカバー下描き下ろし2P電子限定おまけ漫画1Pコミックシーモア限定おまけ漫画1P")</f>
        <v>大人気連載が待望のコミックス発売!!オスみたっぷりなαの獣王様×おバカだけどまっすぐなΩのヤンキーの異世界転生オメガバース！ラブいちゃ描き下ろし漫画も5P収録！ヤンキーの林太郎は、ある日、ひょんなことから異世界に飛ばされてしまう。そのうえ突然カラダの奥が熱くうずき出して…!? とまどう林太郎の前に現れたのは、鋭い瞳をもつ獣人のヴァルナ。「お前のカラダ、今すぐ楽にしてやる」ほてる肌をなでる手は優しいのに、舌を絡めるキスはエロいから…きもちよすぎて、もう抵抗なんてできねえ…ッ！【※この作品は話売り「ヤンキーΩは獣王様のもの！」の単行本版です】■収録内容「ヤンキーΩは獣王様のもの！」第1話～第7話単行本描き下ろし漫画5Pカバー下描き下ろし2P電子限定おまけ漫画1Pコミックシーモア限定おまけ漫画1P</v>
      </c>
      <c r="W2146" s="14"/>
      <c r="X2146" s="14" t="str">
        <f>IFERROR(__xludf.DUMMYFUNCTION("""COMPUTED_VALUE"""),"有")</f>
        <v>有</v>
      </c>
      <c r="Y2146" s="8" t="str">
        <f>IFERROR(__xludf.DUMMYFUNCTION("""COMPUTED_VALUE"""),"2024/11/18まで立ち読み増量P71まで")</f>
        <v>2024/11/18まで立ち読み増量P71まで</v>
      </c>
      <c r="Z2146" s="7"/>
      <c r="AA2146" s="7"/>
      <c r="AB2146" s="7"/>
    </row>
    <row r="2147" ht="15.75" customHeight="1">
      <c r="A2147" s="76">
        <f>IFERROR(__xludf.DUMMYFUNCTION("""COMPUTED_VALUE"""),4177.0)</f>
        <v>4177</v>
      </c>
      <c r="B2147" s="69" t="str">
        <f>IFERROR(__xludf.DUMMYFUNCTION("""COMPUTED_VALUE"""),"確定")</f>
        <v>確定</v>
      </c>
      <c r="C2147" s="74">
        <f>IFERROR(__xludf.DUMMYFUNCTION("""COMPUTED_VALUE"""),45555.0)</f>
        <v>45555</v>
      </c>
      <c r="D2147" s="74">
        <f>IFERROR(__xludf.DUMMYFUNCTION("""COMPUTED_VALUE"""),45555.0)</f>
        <v>45555</v>
      </c>
      <c r="E2147" s="37">
        <f>IFERROR(__xludf.DUMMYFUNCTION("""COMPUTED_VALUE"""),171148.0)</f>
        <v>171148</v>
      </c>
      <c r="F2147" s="20" t="str">
        <f>IFERROR(__xludf.DUMMYFUNCTION("""COMPUTED_VALUE"""),"三森さんのやらしいおくち【単行本版／電子限定おまけ付き】")</f>
        <v>三森さんのやらしいおくち【単行本版／電子限定おまけ付き】</v>
      </c>
      <c r="G2147" s="69">
        <f>IFERROR(__xludf.DUMMYFUNCTION("""COMPUTED_VALUE"""),6.0)</f>
        <v>6</v>
      </c>
      <c r="H2147" s="69" t="str">
        <f>IFERROR(__xludf.DUMMYFUNCTION("""COMPUTED_VALUE"""),"rasu")</f>
        <v>rasu</v>
      </c>
      <c r="I2147" s="69" t="str">
        <f>IFERROR(__xludf.DUMMYFUNCTION("""COMPUTED_VALUE"""),"BL")</f>
        <v>BL</v>
      </c>
      <c r="J2147" s="69"/>
      <c r="K2147" s="69"/>
      <c r="L2147" s="69" t="str">
        <f>IFERROR(__xludf.DUMMYFUNCTION("""COMPUTED_VALUE"""),"モバイルメディアリサーチ")</f>
        <v>モバイルメディアリサーチ</v>
      </c>
      <c r="M2147" s="77">
        <f>IFERROR(__xludf.DUMMYFUNCTION("""COMPUTED_VALUE"""),45584.0)</f>
        <v>45584</v>
      </c>
      <c r="N2147" s="77">
        <f>IFERROR(__xludf.DUMMYFUNCTION("""COMPUTED_VALUE"""),2958465.0)</f>
        <v>2958465</v>
      </c>
      <c r="O2147" s="69"/>
      <c r="P2147" s="120" t="str">
        <f>IFERROR(__xludf.DUMMYFUNCTION("""COMPUTED_VALUE"""),"可")</f>
        <v>可</v>
      </c>
      <c r="Q2147" s="111" t="str">
        <f>IFERROR(__xludf.DUMMYFUNCTION("""COMPUTED_VALUE"""),"シーモア限定BOOK作品です。")</f>
        <v>シーモア限定BOOK作品です。</v>
      </c>
      <c r="R2147" s="69"/>
      <c r="S2147" s="69" t="str">
        <f>IFERROR(__xludf.DUMMYFUNCTION("""COMPUTED_VALUE"""),"20240920_ファンギルド_三森さんのやらしいおくち")</f>
        <v>20240920_ファンギルド_三森さんのやらしいおくち</v>
      </c>
      <c r="T2147" s="69" t="str">
        <f>IFERROR(__xludf.DUMMYFUNCTION("""COMPUTED_VALUE"""),"格納済み")</f>
        <v>格納済み</v>
      </c>
      <c r="U2147" s="15" t="str">
        <f>IFERROR(__xludf.DUMMYFUNCTION("""COMPUTED_VALUE"""),"©rasu/FUNGUILD")</f>
        <v>©rasu/FUNGUILD</v>
      </c>
      <c r="V2147" s="8" t="str">
        <f>IFERROR(__xludf.DUMMYFUNCTION("""COMPUTED_VALUE"""),"電子配信時より話題沸騰のフェチBL待望のコミックス化！「おくちが感じるんですか？…治療中ずっと勃ってましたよね」会社員・三森の最大のヒミツは【おくちの中が性感帯なこと】。今までずっと歯医者を避けて生きてきたのに、親知らずが痛み出して!? 治療中、口の中をまさぐる先生の指に感じてしまい、淫らな喘ぎ声と勃起が治まらない…！恥ずかしさに悶えていると先生が「抜くのお手伝いしましょうか？」と突然キス！あげくの果てにスラックスを脱がされ、熱い昂ぶりに舌が這って――!?【※この作品は話売り「三森さんのやらしいおくち」の"&amp;"単行本版です】■収録内容「三森さんのやらしいおくち」第1話～第8話単行本描き下ろし漫画1PTwitter再録漫画9Pカバー下キャラクター線画集2P電子限定おまけ漫画2P")</f>
        <v>電子配信時より話題沸騰のフェチBL待望のコミックス化！「おくちが感じるんですか？…治療中ずっと勃ってましたよね」会社員・三森の最大のヒミツは【おくちの中が性感帯なこと】。今までずっと歯医者を避けて生きてきたのに、親知らずが痛み出して!? 治療中、口の中をまさぐる先生の指に感じてしまい、淫らな喘ぎ声と勃起が治まらない…！恥ずかしさに悶えていると先生が「抜くのお手伝いしましょうか？」と突然キス！あげくの果てにスラックスを脱がされ、熱い昂ぶりに舌が這って――!?【※この作品は話売り「三森さんのやらしいおくち」の単行本版です】■収録内容「三森さんのやらしいおくち」第1話～第8話単行本描き下ろし漫画1PTwitter再録漫画9Pカバー下キャラクター線画集2P電子限定おまけ漫画2P</v>
      </c>
      <c r="W2147" s="14"/>
      <c r="X2147" s="14" t="str">
        <f>IFERROR(__xludf.DUMMYFUNCTION("""COMPUTED_VALUE"""),"有")</f>
        <v>有</v>
      </c>
      <c r="Y2147" s="8" t="str">
        <f>IFERROR(__xludf.DUMMYFUNCTION("""COMPUTED_VALUE"""),"2024/11/18まで立ち読み増量P52まで")</f>
        <v>2024/11/18まで立ち読み増量P52まで</v>
      </c>
      <c r="Z2147" s="7"/>
      <c r="AA2147" s="7"/>
      <c r="AB2147" s="7"/>
    </row>
    <row r="2148" ht="15.75" customHeight="1">
      <c r="A2148" s="66">
        <f>IFERROR(__xludf.DUMMYFUNCTION("""COMPUTED_VALUE"""),3443.0)</f>
        <v>3443</v>
      </c>
      <c r="B2148" s="67" t="str">
        <f>IFERROR(__xludf.DUMMYFUNCTION("""COMPUTED_VALUE"""),"確定")</f>
        <v>確定</v>
      </c>
      <c r="C2148" s="68">
        <f>IFERROR(__xludf.DUMMYFUNCTION("""COMPUTED_VALUE"""),45429.0)</f>
        <v>45429</v>
      </c>
      <c r="D2148" s="68">
        <f>IFERROR(__xludf.DUMMYFUNCTION("""COMPUTED_VALUE"""),45567.0)</f>
        <v>45567</v>
      </c>
      <c r="E2148" s="31">
        <f>IFERROR(__xludf.DUMMYFUNCTION("""COMPUTED_VALUE"""),304448.0)</f>
        <v>304448</v>
      </c>
      <c r="F2148" s="22" t="str">
        <f>IFERROR(__xludf.DUMMYFUNCTION("""COMPUTED_VALUE"""),"極上ドクターはお見合い新妻を甘やかしたくてたまらない【分冊版】")</f>
        <v>極上ドクターはお見合い新妻を甘やかしたくてたまらない【分冊版】</v>
      </c>
      <c r="G2148" s="67" t="str">
        <f>IFERROR(__xludf.DUMMYFUNCTION("""COMPUTED_VALUE"""),"1～3")</f>
        <v>1～3</v>
      </c>
      <c r="H2148" s="78" t="str">
        <f>IFERROR(__xludf.DUMMYFUNCTION("""COMPUTED_VALUE"""),"佐藤ニッキ 篠原愛紀")</f>
        <v>佐藤ニッキ 篠原愛紀</v>
      </c>
      <c r="I2148" s="67" t="str">
        <f>IFERROR(__xludf.DUMMYFUNCTION("""COMPUTED_VALUE"""),"女性")</f>
        <v>女性</v>
      </c>
      <c r="J2148" s="67"/>
      <c r="K2148" s="67"/>
      <c r="L2148" s="67" t="str">
        <f>IFERROR(__xludf.DUMMYFUNCTION("""COMPUTED_VALUE"""),"ハーパーコリンズ・ジャパン")</f>
        <v>ハーパーコリンズ・ジャパン</v>
      </c>
      <c r="M2148" s="85">
        <f>IFERROR(__xludf.DUMMYFUNCTION("""COMPUTED_VALUE"""),45583.0)</f>
        <v>45583</v>
      </c>
      <c r="N2148" s="85">
        <f>IFERROR(__xludf.DUMMYFUNCTION("""COMPUTED_VALUE"""),45644.0)</f>
        <v>45644</v>
      </c>
      <c r="O2148" s="67"/>
      <c r="P2148" s="71" t="str">
        <f>IFERROR(__xludf.DUMMYFUNCTION("""COMPUTED_VALUE"""),"否")</f>
        <v>否</v>
      </c>
      <c r="Q2148" s="67"/>
      <c r="R2148" s="67" t="str">
        <f>IFERROR(__xludf.DUMMYFUNCTION("""COMPUTED_VALUE"""),"広告コミットOK(5/27)")</f>
        <v>広告コミットOK(5/27)</v>
      </c>
      <c r="S2148" s="67" t="str">
        <f>IFERROR(__xludf.DUMMYFUNCTION("""COMPUTED_VALUE"""),"20240925_ハーパーコリンズ・ジャパン_極上ドクターはお見合い新妻を甘やかしたくてたまらない 【分冊版】1-3話")</f>
        <v>20240925_ハーパーコリンズ・ジャパン_極上ドクターはお見合い新妻を甘やかしたくてたまらない 【分冊版】1-3話</v>
      </c>
      <c r="T2148" s="67" t="str">
        <f>IFERROR(__xludf.DUMMYFUNCTION("""COMPUTED_VALUE"""),"格納済み")</f>
        <v>格納済み</v>
      </c>
      <c r="U2148" s="15" t="str">
        <f>IFERROR(__xludf.DUMMYFUNCTION("""COMPUTED_VALUE"""),"『極上ドクターはお見合い新妻を甘やかしたくてたまらない 』(c)佐藤ニッキ・篠原愛紀／ハーパーコリンズ・ジャパン")</f>
        <v>『極上ドクターはお見合い新妻を甘やかしたくてたまらない 』(c)佐藤ニッキ・篠原愛紀／ハーパーコリンズ・ジャパン</v>
      </c>
      <c r="V2148" s="8" t="str">
        <f>IFERROR(__xludf.DUMMYFUNCTION("""COMPUTED_VALUE"""),"交際0日から始まる溺甘新婚　愛しの旦那様はお医者様!?
大企業の経営者一族なのに、庶民的で恋愛経験ゼロの咲良は、祖母の主治医で大病院の御曹司・梗介とお見合いすることに。初恋の彼と両思いだとわかり、晴れて結婚＆新婚生活がスタート。するとクールで無表情な彼が「かわいいな。食べてしまおうか」と甘い言葉を囁く旦那様に豹変！　想像を超える溺愛尽くしの日々に、咲良の気持ちも昂って…!?")</f>
        <v>交際0日から始まる溺甘新婚　愛しの旦那様はお医者様!?
大企業の経営者一族なのに、庶民的で恋愛経験ゼロの咲良は、祖母の主治医で大病院の御曹司・梗介とお見合いすることに。初恋の彼と両思いだとわかり、晴れて結婚＆新婚生活がスタート。するとクールで無表情な彼が「かわいいな。食べてしまおうか」と甘い言葉を囁く旦那様に豹変！　想像を超える溺愛尽くしの日々に、咲良の気持ちも昂って…!?</v>
      </c>
      <c r="W2148" s="14"/>
      <c r="X2148" s="14" t="str">
        <f>IFERROR(__xludf.DUMMYFUNCTION("""COMPUTED_VALUE"""),"有")</f>
        <v>有</v>
      </c>
      <c r="Y2148" s="8" t="str">
        <f>IFERROR(__xludf.DUMMYFUNCTION("""COMPUTED_VALUE"""),"2024/10/31まで1巻無料")</f>
        <v>2024/10/31まで1巻無料</v>
      </c>
      <c r="Z2148" s="7"/>
      <c r="AA2148" s="7"/>
      <c r="AB2148" s="7"/>
    </row>
    <row r="2149" ht="15.75" customHeight="1">
      <c r="A2149" s="66">
        <f>IFERROR(__xludf.DUMMYFUNCTION("""COMPUTED_VALUE"""),3739.0)</f>
        <v>3739</v>
      </c>
      <c r="B2149" s="67" t="str">
        <f>IFERROR(__xludf.DUMMYFUNCTION("""COMPUTED_VALUE"""),"確定")</f>
        <v>確定</v>
      </c>
      <c r="C2149" s="68">
        <f>IFERROR(__xludf.DUMMYFUNCTION("""COMPUTED_VALUE"""),45477.0)</f>
        <v>45477</v>
      </c>
      <c r="D2149" s="68">
        <f>IFERROR(__xludf.DUMMYFUNCTION("""COMPUTED_VALUE"""),45566.0)</f>
        <v>45566</v>
      </c>
      <c r="E2149" s="31">
        <f>IFERROR(__xludf.DUMMYFUNCTION("""COMPUTED_VALUE"""),303540.0)</f>
        <v>303540</v>
      </c>
      <c r="F2149" s="22" t="str">
        <f>IFERROR(__xludf.DUMMYFUNCTION("""COMPUTED_VALUE"""),"二人はライバル〜三島あかりと箕島あかりの輪舞曲【タテヨミ】")</f>
        <v>二人はライバル〜三島あかりと箕島あかりの輪舞曲【タテヨミ】</v>
      </c>
      <c r="G2149" s="67" t="str">
        <f>IFERROR(__xludf.DUMMYFUNCTION("""COMPUTED_VALUE"""),"1～40")</f>
        <v>1～40</v>
      </c>
      <c r="H2149" s="67" t="str">
        <f>IFERROR(__xludf.DUMMYFUNCTION("""COMPUTED_VALUE"""),"Wan zhi,Jing yuan she,Yu yan wen hua,C nai si,Qi qi,Wen rou de hei an xiong ba jing,A luo,Aji	")</f>
        <v>Wan zhi,Jing yuan she,Yu yan wen hua,C nai si,Qi qi,Wen rou de hei an xiong ba jing,A luo,Aji	</v>
      </c>
      <c r="I2149" s="67" t="str">
        <f>IFERROR(__xludf.DUMMYFUNCTION("""COMPUTED_VALUE"""),"女性")</f>
        <v>女性</v>
      </c>
      <c r="J2149" s="67"/>
      <c r="K2149" s="67"/>
      <c r="L2149" s="67" t="str">
        <f>IFERROR(__xludf.DUMMYFUNCTION("""COMPUTED_VALUE"""),"Mangaflick")</f>
        <v>Mangaflick</v>
      </c>
      <c r="M2149" s="59">
        <f>IFERROR(__xludf.DUMMYFUNCTION("""COMPUTED_VALUE"""),45566.0)</f>
        <v>45566</v>
      </c>
      <c r="N2149" s="85">
        <f>IFERROR(__xludf.DUMMYFUNCTION("""COMPUTED_VALUE"""),45657.0)</f>
        <v>45657</v>
      </c>
      <c r="O2149" s="67"/>
      <c r="P2149" s="70" t="str">
        <f>IFERROR(__xludf.DUMMYFUNCTION("""COMPUTED_VALUE"""),"否")</f>
        <v>否</v>
      </c>
      <c r="Q2149" s="67"/>
      <c r="R2149" s="67" t="str">
        <f>IFERROR(__xludf.DUMMYFUNCTION("""COMPUTED_VALUE"""),"広告コミットOK(7/10)")</f>
        <v>広告コミットOK(7/10)</v>
      </c>
      <c r="S2149" s="67" t="str">
        <f>IFERROR(__xludf.DUMMYFUNCTION("""COMPUTED_VALUE"""),"20240927_Mangaflick_二人はライバル〜三島あかりと箕島あかりの輪舞曲【タテヨミ】")</f>
        <v>20240927_Mangaflick_二人はライバル〜三島あかりと箕島あかりの輪舞曲【タテヨミ】</v>
      </c>
      <c r="T2149" s="67" t="str">
        <f>IFERROR(__xludf.DUMMYFUNCTION("""COMPUTED_VALUE"""),"格納済み")</f>
        <v>格納済み</v>
      </c>
      <c r="U2149" s="15" t="str">
        <f>IFERROR(__xludf.DUMMYFUNCTION("""COMPUTED_VALUE"""),"(c)JMC/Kuaikan Comics")</f>
        <v>(c)JMC/Kuaikan Comics</v>
      </c>
      <c r="V2149" s="8" t="str">
        <f>IFERROR(__xludf.DUMMYFUNCTION("""COMPUTED_VALUE"""),"宿命のライバル！？ あかりとあかり、運命の舞台で火花散る…
スター女優の三島あかり(みつしまあかり)と、たたき上げの実力派女優・簑島あかり(みのしまあかり)。二人は名前が似ていることから、常に比較され対立する存在とされてきた。そんな二人に、ある日、中国の伝説をモチーフにしたGLドラマのヒロイン役が舞い込む。簑島は心躍らせたものの、相手役は男装した三島だった。しかも、この役は三島自らが買って出たという。「一体何を企んでいるの?」簑島は不審に思うが、ドラマの撮影が進むにつれ、三島の言動に翻弄され、次第に二人"&amp;"の女優の間には淡い恋心が芽生えていく･･･")</f>
        <v>宿命のライバル！？ あかりとあかり、運命の舞台で火花散る…
スター女優の三島あかり(みつしまあかり)と、たたき上げの実力派女優・簑島あかり(みのしまあかり)。二人は名前が似ていることから、常に比較され対立する存在とされてきた。そんな二人に、ある日、中国の伝説をモチーフにしたGLドラマのヒロイン役が舞い込む。簑島は心躍らせたものの、相手役は男装した三島だった。しかも、この役は三島自らが買って出たという。「一体何を企んでいるの?」簑島は不審に思うが、ドラマの撮影が進むにつれ、三島の言動に翻弄され、次第に二人の女優の間には淡い恋心が芽生えていく･･･</v>
      </c>
      <c r="W2149" s="14"/>
      <c r="X2149" s="14" t="str">
        <f>IFERROR(__xludf.DUMMYFUNCTION("""COMPUTED_VALUE"""),"有")</f>
        <v>有</v>
      </c>
      <c r="Y2149" s="8" t="str">
        <f>IFERROR(__xludf.DUMMYFUNCTION("""COMPUTED_VALUE"""),"1～10巻無料")</f>
        <v>1～10巻無料</v>
      </c>
      <c r="Z2149" s="7"/>
      <c r="AA2149" s="7"/>
      <c r="AB2149" s="7"/>
    </row>
    <row r="2150" ht="15.75" customHeight="1">
      <c r="A2150" s="66">
        <f>IFERROR(__xludf.DUMMYFUNCTION("""COMPUTED_VALUE"""),3751.0)</f>
        <v>3751</v>
      </c>
      <c r="B2150" s="67" t="str">
        <f>IFERROR(__xludf.DUMMYFUNCTION("""COMPUTED_VALUE"""),"確定")</f>
        <v>確定</v>
      </c>
      <c r="C2150" s="68">
        <f>IFERROR(__xludf.DUMMYFUNCTION("""COMPUTED_VALUE"""),45481.0)</f>
        <v>45481</v>
      </c>
      <c r="D2150" s="68">
        <f>IFERROR(__xludf.DUMMYFUNCTION("""COMPUTED_VALUE"""),45566.0)</f>
        <v>45566</v>
      </c>
      <c r="E2150" s="60">
        <f>IFERROR(__xludf.DUMMYFUNCTION("""COMPUTED_VALUE"""),304933.0)</f>
        <v>304933</v>
      </c>
      <c r="F2150" s="61" t="str">
        <f>IFERROR(__xludf.DUMMYFUNCTION("""COMPUTED_VALUE"""),"ガールフレンド")</f>
        <v>ガールフレンド</v>
      </c>
      <c r="G2150" s="67" t="str">
        <f>IFERROR(__xludf.DUMMYFUNCTION("""COMPUTED_VALUE"""),"1～3")</f>
        <v>1～3</v>
      </c>
      <c r="H2150" s="67" t="str">
        <f>IFERROR(__xludf.DUMMYFUNCTION("""COMPUTED_VALUE"""),"ひさまつえいと")</f>
        <v>ひさまつえいと</v>
      </c>
      <c r="I2150" s="67" t="str">
        <f>IFERROR(__xludf.DUMMYFUNCTION("""COMPUTED_VALUE"""),"青年")</f>
        <v>青年</v>
      </c>
      <c r="J2150" s="67"/>
      <c r="K2150" s="67"/>
      <c r="L2150" s="67" t="str">
        <f>IFERROR(__xludf.DUMMYFUNCTION("""COMPUTED_VALUE"""),"CLLENN")</f>
        <v>CLLENN</v>
      </c>
      <c r="M2150" s="85">
        <f>IFERROR(__xludf.DUMMYFUNCTION("""COMPUTED_VALUE"""),45592.0)</f>
        <v>45592</v>
      </c>
      <c r="N2150" s="59">
        <f>IFERROR(__xludf.DUMMYFUNCTION("""COMPUTED_VALUE"""),45689.0)</f>
        <v>45689</v>
      </c>
      <c r="O2150" s="67"/>
      <c r="P2150" s="70" t="str">
        <f>IFERROR(__xludf.DUMMYFUNCTION("""COMPUTED_VALUE"""),"可")</f>
        <v>可</v>
      </c>
      <c r="Q2150" s="67" t="str">
        <f>IFERROR(__xludf.DUMMYFUNCTION("""COMPUTED_VALUE"""),"DEDEDE青年レーベルからの期待作となります。")</f>
        <v>DEDEDE青年レーベルからの期待作となります。</v>
      </c>
      <c r="R2150" s="67" t="str">
        <f>IFERROR(__xludf.DUMMYFUNCTION("""COMPUTED_VALUE"""),"広告コミットOK(7/16)")</f>
        <v>広告コミットOK(7/16)</v>
      </c>
      <c r="S2150" s="67" t="str">
        <f>IFERROR(__xludf.DUMMYFUNCTION("""COMPUTED_VALUE"""),"20240926_CLLENN_ガールフレンド")</f>
        <v>20240926_CLLENN_ガールフレンド</v>
      </c>
      <c r="T2150" s="67" t="str">
        <f>IFERROR(__xludf.DUMMYFUNCTION("""COMPUTED_VALUE"""),"格納済み")</f>
        <v>格納済み</v>
      </c>
      <c r="U2150" s="15" t="str">
        <f>IFERROR(__xludf.DUMMYFUNCTION("""COMPUTED_VALUE"""),"(C)ひさまつえいと/CLLENN")</f>
        <v>(C)ひさまつえいと/CLLENN</v>
      </c>
      <c r="V2150" s="8" t="str">
        <f>IFERROR(__xludf.DUMMYFUNCTION("""COMPUTED_VALUE"""),"私きっと――このひととなら幸せになれるんだ外見こそ美しいものの、自我が希薄な26歳の女の子・ハナ。恋人に抱く幻想は、ことごとく裏切られ、そのたびに心の傷を深めてきた。そんな彼女の心のブラックホールに引き寄せられるように、今日もまた『運命の出会い』を装った『不幸』が近づいてくる。自信のなさゆえに、他者に依存し、恋に溺れる。そんな一人の女性が様々な男女に翻弄され、地獄へ堕ちてゆく姿をスタイリッシュに描いた恋愛オムニバスシリーズ。退廃の果てに、たどりつく「幸せ」はあるのだろうか――。")</f>
        <v>私きっと――このひととなら幸せになれるんだ外見こそ美しいものの、自我が希薄な26歳の女の子・ハナ。恋人に抱く幻想は、ことごとく裏切られ、そのたびに心の傷を深めてきた。そんな彼女の心のブラックホールに引き寄せられるように、今日もまた『運命の出会い』を装った『不幸』が近づいてくる。自信のなさゆえに、他者に依存し、恋に溺れる。そんな一人の女性が様々な男女に翻弄され、地獄へ堕ちてゆく姿をスタイリッシュに描いた恋愛オムニバスシリーズ。退廃の果てに、たどりつく「幸せ」はあるのだろうか――。</v>
      </c>
      <c r="W2150" s="14"/>
      <c r="X2150" s="14" t="str">
        <f>IFERROR(__xludf.DUMMYFUNCTION("""COMPUTED_VALUE"""),"有")</f>
        <v>有</v>
      </c>
      <c r="Y2150" s="8" t="str">
        <f>IFERROR(__xludf.DUMMYFUNCTION("""COMPUTED_VALUE"""),"1巻無料")</f>
        <v>1巻無料</v>
      </c>
      <c r="Z2150" s="7"/>
      <c r="AA2150" s="7"/>
      <c r="AB2150" s="7"/>
    </row>
    <row r="2151" ht="15.75" customHeight="1">
      <c r="A2151" s="66">
        <f>IFERROR(__xludf.DUMMYFUNCTION("""COMPUTED_VALUE"""),3819.0)</f>
        <v>3819</v>
      </c>
      <c r="B2151" s="67" t="str">
        <f>IFERROR(__xludf.DUMMYFUNCTION("""COMPUTED_VALUE"""),"確定")</f>
        <v>確定</v>
      </c>
      <c r="C2151" s="68">
        <f>IFERROR(__xludf.DUMMYFUNCTION("""COMPUTED_VALUE"""),45491.0)</f>
        <v>45491</v>
      </c>
      <c r="D2151" s="68">
        <f>IFERROR(__xludf.DUMMYFUNCTION("""COMPUTED_VALUE"""),45566.0)</f>
        <v>45566</v>
      </c>
      <c r="E2151" s="60">
        <f>IFERROR(__xludf.DUMMYFUNCTION("""COMPUTED_VALUE"""),303977.0)</f>
        <v>303977</v>
      </c>
      <c r="F2151" s="61" t="str">
        <f>IFERROR(__xludf.DUMMYFUNCTION("""COMPUTED_VALUE"""),"汗だく絶頂♪ ムチムチOLがセクササイズジムを無料体験した話")</f>
        <v>汗だく絶頂♪ ムチムチOLがセクササイズジムを無料体験した話</v>
      </c>
      <c r="G2151" s="67" t="str">
        <f>IFERROR(__xludf.DUMMYFUNCTION("""COMPUTED_VALUE"""),"1～3")</f>
        <v>1～3</v>
      </c>
      <c r="H2151" s="67" t="str">
        <f>IFERROR(__xludf.DUMMYFUNCTION("""COMPUTED_VALUE"""),"おやおや")</f>
        <v>おやおや</v>
      </c>
      <c r="I2151" s="67" t="str">
        <f>IFERROR(__xludf.DUMMYFUNCTION("""COMPUTED_VALUE"""),"オトナ")</f>
        <v>オトナ</v>
      </c>
      <c r="J2151" s="67"/>
      <c r="K2151" s="67"/>
      <c r="L2151" s="67" t="str">
        <f>IFERROR(__xludf.DUMMYFUNCTION("""COMPUTED_VALUE"""),"DEEPER-ZERO")</f>
        <v>DEEPER-ZERO</v>
      </c>
      <c r="M2151" s="85">
        <f>IFERROR(__xludf.DUMMYFUNCTION("""COMPUTED_VALUE"""),45576.0)</f>
        <v>45576</v>
      </c>
      <c r="N2151" s="85">
        <f>IFERROR(__xludf.DUMMYFUNCTION("""COMPUTED_VALUE"""),45638.0)</f>
        <v>45638</v>
      </c>
      <c r="O2151" s="67"/>
      <c r="P2151" s="71" t="str">
        <f>IFERROR(__xludf.DUMMYFUNCTION("""COMPUTED_VALUE"""),"可")</f>
        <v>可</v>
      </c>
      <c r="Q2151" s="67"/>
      <c r="R2151" s="67" t="str">
        <f>IFERROR(__xludf.DUMMYFUNCTION("""COMPUTED_VALUE"""),"広告コミットOK(7/24)")</f>
        <v>広告コミットOK(7/24)</v>
      </c>
      <c r="S2151" s="67" t="str">
        <f>IFERROR(__xludf.DUMMYFUNCTION("""COMPUTED_VALUE"""),"20240926_CLLENN_汗だく絶頂♪ ムチムチOLがセクササイズジムを無料体験した話")</f>
        <v>20240926_CLLENN_汗だく絶頂♪ ムチムチOLがセクササイズジムを無料体験した話</v>
      </c>
      <c r="T2151" s="67" t="str">
        <f>IFERROR(__xludf.DUMMYFUNCTION("""COMPUTED_VALUE"""),"格納済み")</f>
        <v>格納済み</v>
      </c>
      <c r="U2151" s="15" t="str">
        <f>IFERROR(__xludf.DUMMYFUNCTION("""COMPUTED_VALUE"""),"(C)おやおや/DEEPER-ZERO")</f>
        <v>(C)おやおや/DEEPER-ZERO</v>
      </c>
      <c r="V2151" s="8" t="str">
        <f>IFERROR(__xludf.DUMMYFUNCTION("""COMPUTED_VALUE"""),"「こんなに大きなシミ…バレてないと思ったんですか？」トレーナーさんは、ウェア越しに私のアソコを優しく撫でる。それまでに指導された“キモチいい筋トレ”の効果で、私の股間にはエッチなシミが広がっていたのだ。トレーナーさんは微笑むと、ムキムキの腕で私を抱え、ウェアの中に手を入れてきて…。あんっ…筋トレなのに私…何度もイっちゃってる＞＜――社会人になってから運動不足が気になっていた私は、ジムの無料体験にやって来た。若いトレーナーさんに指導されて、さっそく筋トレ開始！ …と思いきや、こんなエッチな運動するんですか？"&amp;" 「うちのジムは、セックスとエクササイズを融合させた…セクササイズジムなんです！」")</f>
        <v>「こんなに大きなシミ…バレてないと思ったんですか？」トレーナーさんは、ウェア越しに私のアソコを優しく撫でる。それまでに指導された“キモチいい筋トレ”の効果で、私の股間にはエッチなシミが広がっていたのだ。トレーナーさんは微笑むと、ムキムキの腕で私を抱え、ウェアの中に手を入れてきて…。あんっ…筋トレなのに私…何度もイっちゃってる＞＜――社会人になってから運動不足が気になっていた私は、ジムの無料体験にやって来た。若いトレーナーさんに指導されて、さっそく筋トレ開始！ …と思いきや、こんなエッチな運動するんですか？ 「うちのジムは、セックスとエクササイズを融合させた…セクササイズジムなんです！」</v>
      </c>
      <c r="W2151" s="14"/>
      <c r="X2151" s="14" t="str">
        <f>IFERROR(__xludf.DUMMYFUNCTION("""COMPUTED_VALUE"""),"有")</f>
        <v>有</v>
      </c>
      <c r="Y2151" s="8" t="str">
        <f>IFERROR(__xludf.DUMMYFUNCTION("""COMPUTED_VALUE"""),"2024/10/24まで1巻無料")</f>
        <v>2024/10/24まで1巻無料</v>
      </c>
      <c r="Z2151" s="7"/>
      <c r="AA2151" s="7"/>
      <c r="AB2151" s="7"/>
    </row>
    <row r="2152" ht="15.75" customHeight="1">
      <c r="A2152" s="66">
        <f>IFERROR(__xludf.DUMMYFUNCTION("""COMPUTED_VALUE"""),3848.0)</f>
        <v>3848</v>
      </c>
      <c r="B2152" s="67" t="str">
        <f>IFERROR(__xludf.DUMMYFUNCTION("""COMPUTED_VALUE"""),"確定")</f>
        <v>確定</v>
      </c>
      <c r="C2152" s="68">
        <f>IFERROR(__xludf.DUMMYFUNCTION("""COMPUTED_VALUE"""),45497.0)</f>
        <v>45497</v>
      </c>
      <c r="D2152" s="68">
        <f>IFERROR(__xludf.DUMMYFUNCTION("""COMPUTED_VALUE"""),45567.0)</f>
        <v>45567</v>
      </c>
      <c r="E2152" s="60">
        <f>IFERROR(__xludf.DUMMYFUNCTION("""COMPUTED_VALUE"""),305871.0)</f>
        <v>305871</v>
      </c>
      <c r="F2152" s="61" t="str">
        <f>IFERROR(__xludf.DUMMYFUNCTION("""COMPUTED_VALUE"""),"推しは私を好きになる")</f>
        <v>推しは私を好きになる</v>
      </c>
      <c r="G2152" s="67" t="str">
        <f>IFERROR(__xludf.DUMMYFUNCTION("""COMPUTED_VALUE"""),"1～3")</f>
        <v>1～3</v>
      </c>
      <c r="H2152" s="67" t="str">
        <f>IFERROR(__xludf.DUMMYFUNCTION("""COMPUTED_VALUE"""),"作画：あまぎれん 原作：逢谷巴")</f>
        <v>作画：あまぎれん 原作：逢谷巴</v>
      </c>
      <c r="I2152" s="67" t="str">
        <f>IFERROR(__xludf.DUMMYFUNCTION("""COMPUTED_VALUE"""),"女性")</f>
        <v>女性</v>
      </c>
      <c r="J2152" s="67"/>
      <c r="K2152" s="67"/>
      <c r="L2152" s="67" t="str">
        <f>IFERROR(__xludf.DUMMYFUNCTION("""COMPUTED_VALUE"""),"DPNブックス")</f>
        <v>DPNブックス</v>
      </c>
      <c r="M2152" s="85">
        <f>IFERROR(__xludf.DUMMYFUNCTION("""COMPUTED_VALUE"""),45606.0)</f>
        <v>45606</v>
      </c>
      <c r="N2152" s="59">
        <f>IFERROR(__xludf.DUMMYFUNCTION("""COMPUTED_VALUE"""),45666.0)</f>
        <v>45666</v>
      </c>
      <c r="O2152" s="67"/>
      <c r="P2152" s="71" t="str">
        <f>IFERROR(__xludf.DUMMYFUNCTION("""COMPUTED_VALUE"""),"可")</f>
        <v>可</v>
      </c>
      <c r="Q2152" s="67"/>
      <c r="R2152" s="67" t="str">
        <f>IFERROR(__xludf.DUMMYFUNCTION("""COMPUTED_VALUE"""),"広告コミットOK(8/5)")</f>
        <v>広告コミットOK(8/5)</v>
      </c>
      <c r="S2152" s="67" t="str">
        <f>IFERROR(__xludf.DUMMYFUNCTION("""COMPUTED_VALUE"""),"20240930_DPNブックス_推しは私を好きになる")</f>
        <v>20240930_DPNブックス_推しは私を好きになる</v>
      </c>
      <c r="T2152" s="67" t="str">
        <f>IFERROR(__xludf.DUMMYFUNCTION("""COMPUTED_VALUE"""),"格納済み")</f>
        <v>格納済み</v>
      </c>
      <c r="U2152" s="15" t="str">
        <f>IFERROR(__xludf.DUMMYFUNCTION("""COMPUTED_VALUE"""),"(C)あまぎれん・逢谷巴／DPNブックス")</f>
        <v>(C)あまぎれん・逢谷巴／DPNブックス</v>
      </c>
      <c r="V2152" s="8" t="str">
        <f>IFERROR(__xludf.DUMMYFUNCTION("""COMPUTED_VALUE"""),"厳しい家庭で育った反動で誰かに依存しないと生きていけない真莉愛。ある日、真莉愛は人気カップルチャンネルの貴都と出会い、ガチ恋ファンになる。「推しの隣の女・美悠を消したい！」「貴都の横は私の居場所なんだけど…！」。推しに振り向いてもらうため、やがて危ない選択をし始める真莉愛。果たして真莉愛の想いは、貴都へと届くのか…！？危険度MAXのガチ恋ファンが織り成す狂気の推し活ストーリー！")</f>
        <v>厳しい家庭で育った反動で誰かに依存しないと生きていけない真莉愛。ある日、真莉愛は人気カップルチャンネルの貴都と出会い、ガチ恋ファンになる。「推しの隣の女・美悠を消したい！」「貴都の横は私の居場所なんだけど…！」。推しに振り向いてもらうため、やがて危ない選択をし始める真莉愛。果たして真莉愛の想いは、貴都へと届くのか…！？危険度MAXのガチ恋ファンが織り成す狂気の推し活ストーリー！</v>
      </c>
      <c r="W2152" s="14"/>
      <c r="X2152" s="14" t="str">
        <f>IFERROR(__xludf.DUMMYFUNCTION("""COMPUTED_VALUE"""),"有")</f>
        <v>有</v>
      </c>
      <c r="Y2152" s="8" t="str">
        <f>IFERROR(__xludf.DUMMYFUNCTION("""COMPUTED_VALUE"""),"2025/1/9まで1巻無料")</f>
        <v>2025/1/9まで1巻無料</v>
      </c>
      <c r="Z2152" s="7"/>
      <c r="AA2152" s="7"/>
      <c r="AB2152" s="7"/>
    </row>
    <row r="2153" ht="15.75" customHeight="1">
      <c r="A2153" s="66">
        <f>IFERROR(__xludf.DUMMYFUNCTION("""COMPUTED_VALUE"""),3860.0)</f>
        <v>3860</v>
      </c>
      <c r="B2153" s="67" t="str">
        <f>IFERROR(__xludf.DUMMYFUNCTION("""COMPUTED_VALUE"""),"確定")</f>
        <v>確定</v>
      </c>
      <c r="C2153" s="68">
        <f>IFERROR(__xludf.DUMMYFUNCTION("""COMPUTED_VALUE"""),45498.0)</f>
        <v>45498</v>
      </c>
      <c r="D2153" s="68">
        <f>IFERROR(__xludf.DUMMYFUNCTION("""COMPUTED_VALUE"""),45567.0)</f>
        <v>45567</v>
      </c>
      <c r="E2153" s="60">
        <f>IFERROR(__xludf.DUMMYFUNCTION("""COMPUTED_VALUE"""),305064.0)</f>
        <v>305064</v>
      </c>
      <c r="F2153" s="61" t="str">
        <f>IFERROR(__xludf.DUMMYFUNCTION("""COMPUTED_VALUE"""),"元ヒロイン、モブになる【単話】")</f>
        <v>元ヒロイン、モブになる【単話】</v>
      </c>
      <c r="G2153" s="67" t="str">
        <f>IFERROR(__xludf.DUMMYFUNCTION("""COMPUTED_VALUE"""),"1～3")</f>
        <v>1～3</v>
      </c>
      <c r="H2153" s="67" t="str">
        <f>IFERROR(__xludf.DUMMYFUNCTION("""COMPUTED_VALUE"""),"有生青春（ゆきあおはる）")</f>
        <v>有生青春（ゆきあおはる）</v>
      </c>
      <c r="I2153" s="67" t="str">
        <f>IFERROR(__xludf.DUMMYFUNCTION("""COMPUTED_VALUE"""),"女性")</f>
        <v>女性</v>
      </c>
      <c r="J2153" s="67"/>
      <c r="K2153" s="67"/>
      <c r="L2153" s="67" t="str">
        <f>IFERROR(__xludf.DUMMYFUNCTION("""COMPUTED_VALUE"""),"シュークリーム")</f>
        <v>シュークリーム</v>
      </c>
      <c r="M2153" s="59">
        <f>IFERROR(__xludf.DUMMYFUNCTION("""COMPUTED_VALUE"""),45597.0)</f>
        <v>45597</v>
      </c>
      <c r="N2153" s="85">
        <f>IFERROR(__xludf.DUMMYFUNCTION("""COMPUTED_VALUE"""),45657.0)</f>
        <v>45657</v>
      </c>
      <c r="O2153" s="67"/>
      <c r="P2153" s="70" t="str">
        <f>IFERROR(__xludf.DUMMYFUNCTION("""COMPUTED_VALUE"""),"可")</f>
        <v>可</v>
      </c>
      <c r="Q2153" s="72" t="str">
        <f>IFERROR(__xludf.DUMMYFUNCTION("""COMPUTED_VALUE"""),"広告コミットOK(8/1)&lt;BR&gt;・先行配信開始日：2024/10/1→2024/11/1に1ヵ月延期になりました（8/6）&lt;BR&gt;&lt;BR&gt;＜オススメコメント＞&lt;BR&gt;ドラマ化もした「婚姻届に判を捺しただけですが」の有生先生の新作になります。")</f>
        <v>広告コミットOK(8/1)&lt;BR&gt;・先行配信開始日：2024/10/1→2024/11/1に1ヵ月延期になりました（8/6）&lt;BR&gt;&lt;BR&gt;＜オススメコメント＞&lt;BR&gt;ドラマ化もした「婚姻届に判を捺しただけですが」の有生先生の新作になります。</v>
      </c>
      <c r="R2153" s="67"/>
      <c r="S2153" s="67" t="str">
        <f>IFERROR(__xludf.DUMMYFUNCTION("""COMPUTED_VALUE"""),"20241002_シュークリーム_元ヒロイン、モブになる【単話】")</f>
        <v>20241002_シュークリーム_元ヒロイン、モブになる【単話】</v>
      </c>
      <c r="T2153" s="67" t="str">
        <f>IFERROR(__xludf.DUMMYFUNCTION("""COMPUTED_VALUE"""),"格納済み")</f>
        <v>格納済み</v>
      </c>
      <c r="U2153" s="15" t="str">
        <f>IFERROR(__xludf.DUMMYFUNCTION("""COMPUTED_VALUE"""),"(C)有生青春／シュークリーム")</f>
        <v>(C)有生青春／シュークリーム</v>
      </c>
      <c r="V2153" s="8" t="str">
        <f>IFERROR(__xludf.DUMMYFUNCTION("""COMPUTED_VALUE"""),"かつて天才子役として一世を風靡した【中松メイ】こと角松めい子。両親のスキャンダルにより芸能界を引退した現在は、人目につかぬようひっそりと暮らす日々。そんなめい子の前に、「弟子入りしたい」という役者志望の青年・千佳が現れて…！？ 「婚姻届に判を捺しただけですが」の有生青春が贈る、元天才子役×役者志望青年のエキストラ青春譚！")</f>
        <v>かつて天才子役として一世を風靡した【中松メイ】こと角松めい子。両親のスキャンダルにより芸能界を引退した現在は、人目につかぬようひっそりと暮らす日々。そんなめい子の前に、「弟子入りしたい」という役者志望の青年・千佳が現れて…！？ 「婚姻届に判を捺しただけですが」の有生青春が贈る、元天才子役×役者志望青年のエキストラ青春譚！</v>
      </c>
      <c r="W2153" s="14"/>
      <c r="X2153" s="14" t="str">
        <f>IFERROR(__xludf.DUMMYFUNCTION("""COMPUTED_VALUE"""),"有")</f>
        <v>有</v>
      </c>
      <c r="Y2153" s="8" t="str">
        <f>IFERROR(__xludf.DUMMYFUNCTION("""COMPUTED_VALUE"""),"P17まで")</f>
        <v>P17まで</v>
      </c>
      <c r="Z2153" s="7"/>
      <c r="AA2153" s="7"/>
      <c r="AB2153" s="7"/>
    </row>
    <row r="2154" ht="15.75" customHeight="1">
      <c r="A2154" s="66">
        <f>IFERROR(__xludf.DUMMYFUNCTION("""COMPUTED_VALUE"""),3901.0)</f>
        <v>3901</v>
      </c>
      <c r="B2154" s="67" t="str">
        <f>IFERROR(__xludf.DUMMYFUNCTION("""COMPUTED_VALUE"""),"確定")</f>
        <v>確定</v>
      </c>
      <c r="C2154" s="68">
        <f>IFERROR(__xludf.DUMMYFUNCTION("""COMPUTED_VALUE"""),45504.0)</f>
        <v>45504</v>
      </c>
      <c r="D2154" s="68">
        <f>IFERROR(__xludf.DUMMYFUNCTION("""COMPUTED_VALUE"""),45562.0)</f>
        <v>45562</v>
      </c>
      <c r="E2154" s="60">
        <f>IFERROR(__xludf.DUMMYFUNCTION("""COMPUTED_VALUE"""),304447.0)</f>
        <v>304447</v>
      </c>
      <c r="F2154" s="61" t="str">
        <f>IFERROR(__xludf.DUMMYFUNCTION("""COMPUTED_VALUE"""),"幼馴染みの（元）極道社長からの昼も夜も果てない猛愛に逆らえません【分冊版】")</f>
        <v>幼馴染みの（元）極道社長からの昼も夜も果てない猛愛に逆らえません【分冊版】</v>
      </c>
      <c r="G2154" s="67" t="str">
        <f>IFERROR(__xludf.DUMMYFUNCTION("""COMPUTED_VALUE"""),"1～3")</f>
        <v>1～3</v>
      </c>
      <c r="H2154" s="67" t="str">
        <f>IFERROR(__xludf.DUMMYFUNCTION("""COMPUTED_VALUE"""),"音村紗恵子")</f>
        <v>音村紗恵子</v>
      </c>
      <c r="I2154" s="67" t="str">
        <f>IFERROR(__xludf.DUMMYFUNCTION("""COMPUTED_VALUE"""),"女性")</f>
        <v>女性</v>
      </c>
      <c r="J2154" s="67"/>
      <c r="K2154" s="67"/>
      <c r="L2154" s="67" t="str">
        <f>IFERROR(__xludf.DUMMYFUNCTION("""COMPUTED_VALUE"""),"ハーパーコリンズ・ジャパン")</f>
        <v>ハーパーコリンズ・ジャパン</v>
      </c>
      <c r="M2154" s="85">
        <f>IFERROR(__xludf.DUMMYFUNCTION("""COMPUTED_VALUE"""),45583.0)</f>
        <v>45583</v>
      </c>
      <c r="N2154" s="85">
        <f>IFERROR(__xludf.DUMMYFUNCTION("""COMPUTED_VALUE"""),45644.0)</f>
        <v>45644</v>
      </c>
      <c r="O2154" s="67"/>
      <c r="P2154" s="71" t="str">
        <f>IFERROR(__xludf.DUMMYFUNCTION("""COMPUTED_VALUE"""),"否")</f>
        <v>否</v>
      </c>
      <c r="Q2154" s="67"/>
      <c r="R2154" s="67" t="str">
        <f>IFERROR(__xludf.DUMMYFUNCTION("""COMPUTED_VALUE"""),"広告コミットOK(8/5)")</f>
        <v>広告コミットOK(8/5)</v>
      </c>
      <c r="S2154" s="67" t="str">
        <f>IFERROR(__xludf.DUMMYFUNCTION("""COMPUTED_VALUE"""),"20240925_ハーパーコリンズ・ジャパン_幼馴染みの（元）極道社長からの昼も夜も果てない猛愛に逆らえません【分冊版】1-3話")</f>
        <v>20240925_ハーパーコリンズ・ジャパン_幼馴染みの（元）極道社長からの昼も夜も果てない猛愛に逆らえません【分冊版】1-3話</v>
      </c>
      <c r="T2154" s="67" t="str">
        <f>IFERROR(__xludf.DUMMYFUNCTION("""COMPUTED_VALUE"""),"格納済み")</f>
        <v>格納済み</v>
      </c>
      <c r="U2154" s="15" t="str">
        <f>IFERROR(__xludf.DUMMYFUNCTION("""COMPUTED_VALUE"""),"『幼馴染みの（元）極道社長からの昼も夜も果てない猛愛に逆らえません』(c)音村紗恵子・田崎くるみ／ハーパーコリンズ・ジャパン")</f>
        <v>『幼馴染みの（元）極道社長からの昼も夜も果てない猛愛に逆らえません』(c)音村紗恵子・田崎くるみ／ハーパーコリンズ・ジャパン</v>
      </c>
      <c r="V2154" s="8" t="str">
        <f>IFERROR(__xludf.DUMMYFUNCTION("""COMPUTED_VALUE"""),"早く俺を好きになって
恋と仕事を失い落ち込んでいた梅乃は、偶然にも幼馴染みの京之介と６年ぶりに再会する。極道の家に生まれた彼は、いまでは家業から足を洗って起業し、若き天才経営者と謳われるまでになっていた。京之介は初恋の梅乃を忘れることができず、彼女と同じ世界で生きると決めたのだ。求職中の梅乃は、「口説く機会を与えると思って、俺の会社に来ないか？」と京之介に誘われる。出社して早々、社内では氷のように鋭く冷たいと言われている彼が、梅乃だけには激甘で猛アタックをしてきて!?")</f>
        <v>早く俺を好きになって
恋と仕事を失い落ち込んでいた梅乃は、偶然にも幼馴染みの京之介と６年ぶりに再会する。極道の家に生まれた彼は、いまでは家業から足を洗って起業し、若き天才経営者と謳われるまでになっていた。京之介は初恋の梅乃を忘れることができず、彼女と同じ世界で生きると決めたのだ。求職中の梅乃は、「口説く機会を与えると思って、俺の会社に来ないか？」と京之介に誘われる。出社して早々、社内では氷のように鋭く冷たいと言われている彼が、梅乃だけには激甘で猛アタックをしてきて!?</v>
      </c>
      <c r="W2154" s="14"/>
      <c r="X2154" s="14" t="str">
        <f>IFERROR(__xludf.DUMMYFUNCTION("""COMPUTED_VALUE"""),"有")</f>
        <v>有</v>
      </c>
      <c r="Y2154" s="8" t="str">
        <f>IFERROR(__xludf.DUMMYFUNCTION("""COMPUTED_VALUE"""),"2024/10/31まで1巻無料")</f>
        <v>2024/10/31まで1巻無料</v>
      </c>
      <c r="Z2154" s="7"/>
      <c r="AA2154" s="7"/>
      <c r="AB2154" s="7"/>
    </row>
    <row r="2155" ht="15.75" customHeight="1">
      <c r="A2155" s="66">
        <f>IFERROR(__xludf.DUMMYFUNCTION("""COMPUTED_VALUE"""),3906.0)</f>
        <v>3906</v>
      </c>
      <c r="B2155" s="67" t="str">
        <f>IFERROR(__xludf.DUMMYFUNCTION("""COMPUTED_VALUE"""),"確定")</f>
        <v>確定</v>
      </c>
      <c r="C2155" s="68">
        <f>IFERROR(__xludf.DUMMYFUNCTION("""COMPUTED_VALUE"""),45505.0)</f>
        <v>45505</v>
      </c>
      <c r="D2155" s="68">
        <f>IFERROR(__xludf.DUMMYFUNCTION("""COMPUTED_VALUE"""),45566.0)</f>
        <v>45566</v>
      </c>
      <c r="E2155" s="60">
        <f>IFERROR(__xludf.DUMMYFUNCTION("""COMPUTED_VALUE"""),304793.0)</f>
        <v>304793</v>
      </c>
      <c r="F2155" s="61" t="str">
        <f>IFERROR(__xludf.DUMMYFUNCTION("""COMPUTED_VALUE"""),"これからたくさん教えてやるよ～酔った部長は溺愛系狼～【単話】")</f>
        <v>これからたくさん教えてやるよ～酔った部長は溺愛系狼～【単話】</v>
      </c>
      <c r="G2155" s="67" t="str">
        <f>IFERROR(__xludf.DUMMYFUNCTION("""COMPUTED_VALUE"""),"1～3")</f>
        <v>1～3</v>
      </c>
      <c r="H2155" s="67" t="str">
        <f>IFERROR(__xludf.DUMMYFUNCTION("""COMPUTED_VALUE"""),"小川つぐみ")</f>
        <v>小川つぐみ</v>
      </c>
      <c r="I2155" s="67" t="str">
        <f>IFERROR(__xludf.DUMMYFUNCTION("""COMPUTED_VALUE"""),"TL")</f>
        <v>TL</v>
      </c>
      <c r="J2155" s="67"/>
      <c r="K2155" s="67"/>
      <c r="L2155" s="67" t="str">
        <f>IFERROR(__xludf.DUMMYFUNCTION("""COMPUTED_VALUE"""),"オークラ出版")</f>
        <v>オークラ出版</v>
      </c>
      <c r="M2155" s="85">
        <f>IFERROR(__xludf.DUMMYFUNCTION("""COMPUTED_VALUE"""),45590.0)</f>
        <v>45590</v>
      </c>
      <c r="N2155" s="59">
        <f>IFERROR(__xludf.DUMMYFUNCTION("""COMPUTED_VALUE"""),45680.0)</f>
        <v>45680</v>
      </c>
      <c r="O2155" s="67"/>
      <c r="P2155" s="70" t="str">
        <f>IFERROR(__xludf.DUMMYFUNCTION("""COMPUTED_VALUE"""),"可")</f>
        <v>可</v>
      </c>
      <c r="Q2155" s="67" t="str">
        <f>IFERROR(__xludf.DUMMYFUNCTION("""COMPUTED_VALUE"""),"・TLレーベル：ミンティ&lt;BR&gt;・先行期間：続話は１か月&lt;BR&gt;・刊行ペース：隔月配信予定")</f>
        <v>・TLレーベル：ミンティ&lt;BR&gt;・先行期間：続話は１か月&lt;BR&gt;・刊行ペース：隔月配信予定</v>
      </c>
      <c r="R2155" s="67" t="str">
        <f>IFERROR(__xludf.DUMMYFUNCTION("""COMPUTED_VALUE"""),"広告コミットOK(8/6)")</f>
        <v>広告コミットOK(8/6)</v>
      </c>
      <c r="S2155" s="67" t="str">
        <f>IFERROR(__xludf.DUMMYFUNCTION("""COMPUTED_VALUE"""),"20240930_オークラ出版_これからたくさん教えてやるよ～酔った部長は溺愛系狼～【単話】")</f>
        <v>20240930_オークラ出版_これからたくさん教えてやるよ～酔った部長は溺愛系狼～【単話】</v>
      </c>
      <c r="T2155" s="67" t="str">
        <f>IFERROR(__xludf.DUMMYFUNCTION("""COMPUTED_VALUE"""),"格納済み")</f>
        <v>格納済み</v>
      </c>
      <c r="U2155" s="15" t="str">
        <f>IFERROR(__xludf.DUMMYFUNCTION("""COMPUTED_VALUE"""),"(C)小川つぐみ/オークラ出版 ミンティ")</f>
        <v>(C)小川つぐみ/オークラ出版 ミンティ</v>
      </c>
      <c r="V2155" s="8" t="str">
        <f>IFERROR(__xludf.DUMMYFUNCTION("""COMPUTED_VALUE"""),"「そんなに敏感じゃ…今日は何回イくかわからないな」」尊敬していた…憧れだった部長の大きい肉棒が…アソコを奥深く突くたび、今までに感じたことがない強い快感が身体中を駆け巡る――食品総合商社に勤務する入社7年の藤木彩は仕事に打ち込むあまり、周りから腫物扱いをされている存在。
そんななか、彩が尊敬してやまない漣直樹が海外の赴任先から直属の上司として6年ぶりに戻ってくることに…。
ある日、仕事の帰りに漣とお酒を飲むことになった彩。
ところが飲んでいる最中、急に彼の様子がおかしくなっていき、「お前可愛いなぁ」"&amp;"突然キスされ口説かれた挙句にホテルへと連れ込まれてしまう。
憧れていた上司の突然の豹変に、驚きととまどいと期待がグチャグチャになっていき…")</f>
        <v>「そんなに敏感じゃ…今日は何回イくかわからないな」」尊敬していた…憧れだった部長の大きい肉棒が…アソコを奥深く突くたび、今までに感じたことがない強い快感が身体中を駆け巡る――食品総合商社に勤務する入社7年の藤木彩は仕事に打ち込むあまり、周りから腫物扱いをされている存在。
そんななか、彩が尊敬してやまない漣直樹が海外の赴任先から直属の上司として6年ぶりに戻ってくることに…。
ある日、仕事の帰りに漣とお酒を飲むことになった彩。
ところが飲んでいる最中、急に彼の様子がおかしくなっていき、「お前可愛いなぁ」突然キスされ口説かれた挙句にホテルへと連れ込まれてしまう。
憧れていた上司の突然の豹変に、驚きととまどいと期待がグチャグチャになっていき…</v>
      </c>
      <c r="W2155" s="14"/>
      <c r="X2155" s="14" t="str">
        <f>IFERROR(__xludf.DUMMYFUNCTION("""COMPUTED_VALUE"""),"有")</f>
        <v>有</v>
      </c>
      <c r="Y2155" s="8" t="str">
        <f>IFERROR(__xludf.DUMMYFUNCTION("""COMPUTED_VALUE"""),"P8まで")</f>
        <v>P8まで</v>
      </c>
      <c r="Z2155" s="7"/>
      <c r="AA2155" s="7"/>
      <c r="AB2155" s="7"/>
    </row>
    <row r="2156" ht="15.75" customHeight="1">
      <c r="A2156" s="66">
        <f>IFERROR(__xludf.DUMMYFUNCTION("""COMPUTED_VALUE"""),3937.0)</f>
        <v>3937</v>
      </c>
      <c r="B2156" s="67" t="str">
        <f>IFERROR(__xludf.DUMMYFUNCTION("""COMPUTED_VALUE"""),"確定")</f>
        <v>確定</v>
      </c>
      <c r="C2156" s="68">
        <f>IFERROR(__xludf.DUMMYFUNCTION("""COMPUTED_VALUE"""),45512.0)</f>
        <v>45512</v>
      </c>
      <c r="D2156" s="68">
        <f>IFERROR(__xludf.DUMMYFUNCTION("""COMPUTED_VALUE"""),45567.0)</f>
        <v>45567</v>
      </c>
      <c r="E2156" s="60">
        <f>IFERROR(__xludf.DUMMYFUNCTION("""COMPUTED_VALUE"""),303135.0)</f>
        <v>303135</v>
      </c>
      <c r="F2156" s="61" t="str">
        <f>IFERROR(__xludf.DUMMYFUNCTION("""COMPUTED_VALUE"""),"メリバだらけの乙女ゲーで推しを幸せにしようとしたら、執着されて禁断の関係に堕ちました")</f>
        <v>メリバだらけの乙女ゲーで推しを幸せにしようとしたら、執着されて禁断の関係に堕ちました</v>
      </c>
      <c r="G2156" s="67" t="str">
        <f>IFERROR(__xludf.DUMMYFUNCTION("""COMPUTED_VALUE"""),"1～3")</f>
        <v>1～3</v>
      </c>
      <c r="H2156" s="67" t="str">
        <f>IFERROR(__xludf.DUMMYFUNCTION("""COMPUTED_VALUE"""),"原作：桃瀬いづみ マンガ：猫倉ありす")</f>
        <v>原作：桃瀬いづみ マンガ：猫倉ありす</v>
      </c>
      <c r="I2156" s="67" t="str">
        <f>IFERROR(__xludf.DUMMYFUNCTION("""COMPUTED_VALUE"""),"女性")</f>
        <v>女性</v>
      </c>
      <c r="J2156" s="67"/>
      <c r="K2156" s="67"/>
      <c r="L2156" s="67" t="str">
        <f>IFERROR(__xludf.DUMMYFUNCTION("""COMPUTED_VALUE"""),"アルファポリス")</f>
        <v>アルファポリス</v>
      </c>
      <c r="M2156" s="59">
        <f>IFERROR(__xludf.DUMMYFUNCTION("""COMPUTED_VALUE"""),45569.0)</f>
        <v>45569</v>
      </c>
      <c r="N2156" s="59">
        <f>IFERROR(__xludf.DUMMYFUNCTION("""COMPUTED_VALUE"""),45659.0)</f>
        <v>45659</v>
      </c>
      <c r="O2156" s="67"/>
      <c r="P2156" s="70" t="str">
        <f>IFERROR(__xludf.DUMMYFUNCTION("""COMPUTED_VALUE"""),"可")</f>
        <v>可</v>
      </c>
      <c r="Q2156" s="67" t="str">
        <f>IFERROR(__xludf.DUMMYFUNCTION("""COMPUTED_VALUE"""),"参考）作家先生Xアカウント（プロモツイートも検討可）&lt;BR&gt;桃瀬いづみ先生：https://x.com/momoizu1?t=qU-TnDTqmfaWUiH1m5U6xg&amp;s=09&lt;BR&gt;&lt;BR&gt;猫倉ありす先生：https://x.com/Nekonekoxalice?t=EJLCazLdRuV6DnD86JWBrw&amp;s=09")</f>
        <v>参考）作家先生Xアカウント（プロモツイートも検討可）&lt;BR&gt;桃瀬いづみ先生：https://x.com/momoizu1?t=qU-TnDTqmfaWUiH1m5U6xg&amp;s=09&lt;BR&gt;&lt;BR&gt;猫倉ありす先生：https://x.com/Nekonekoxalice?t=EJLCazLdRuV6DnD86JWBrw&amp;s=09</v>
      </c>
      <c r="R2156" s="67" t="str">
        <f>IFERROR(__xludf.DUMMYFUNCTION("""COMPUTED_VALUE"""),"広告コミットOK(8/20)")</f>
        <v>広告コミットOK(8/20)</v>
      </c>
      <c r="S2156" s="67" t="str">
        <f>IFERROR(__xludf.DUMMYFUNCTION("""COMPUTED_VALUE"""),"20241001‗アルファポリス‗メリバだらけの乙女ゲーで推しを幸せにしようとしたら、執着されて禁断の関係に堕ちました")</f>
        <v>20241001‗アルファポリス‗メリバだらけの乙女ゲーで推しを幸せにしようとしたら、執着されて禁断の関係に堕ちました</v>
      </c>
      <c r="T2156" s="67" t="str">
        <f>IFERROR(__xludf.DUMMYFUNCTION("""COMPUTED_VALUE"""),"格納済み")</f>
        <v>格納済み</v>
      </c>
      <c r="U2156" s="15" t="str">
        <f>IFERROR(__xludf.DUMMYFUNCTION("""COMPUTED_VALUE"""),"(C)桃瀬いづみ・猫倉ありす／アルファポリス")</f>
        <v>(C)桃瀬いづみ・猫倉ありす／アルファポリス</v>
      </c>
      <c r="V2156" s="8" t="str">
        <f>IFERROR(__xludf.DUMMYFUNCTION("""COMPUTED_VALUE"""),"大好きな乙女ゲームの世界に転生したアンナ。母親の再婚により公爵令嬢となった彼女は、そこで最推しキャラのロイが義兄となることを知る。ゲーム内のロイは「忌み子」として疎まれて育ち、ヒロインに心開くものの、監禁や薬漬けといった事件を引き起こし、メリーバッドエンドを迎えてしまう。アンナは推しの幸せのため、ロイをハッピーエンドに導くことを決意し、幼少期から彼に接し続ける。しかし時が経つにつれ、ロイはアンナに重い執着愛を見せてきて……!?　転生公爵令嬢がヤンデレ義兄の闇堕ち回避に奔走するラブファンタジー、待望のコミカ"&amp;"ライズ！")</f>
        <v>大好きな乙女ゲームの世界に転生したアンナ。母親の再婚により公爵令嬢となった彼女は、そこで最推しキャラのロイが義兄となることを知る。ゲーム内のロイは「忌み子」として疎まれて育ち、ヒロインに心開くものの、監禁や薬漬けといった事件を引き起こし、メリーバッドエンドを迎えてしまう。アンナは推しの幸せのため、ロイをハッピーエンドに導くことを決意し、幼少期から彼に接し続ける。しかし時が経つにつれ、ロイはアンナに重い執着愛を見せてきて……!?　転生公爵令嬢がヤンデレ義兄の闇堕ち回避に奔走するラブファンタジー、待望のコミカライズ！</v>
      </c>
      <c r="W2156" s="14"/>
      <c r="X2156" s="14" t="str">
        <f>IFERROR(__xludf.DUMMYFUNCTION("""COMPUTED_VALUE"""),"有")</f>
        <v>有</v>
      </c>
      <c r="Y2156" s="8" t="str">
        <f>IFERROR(__xludf.DUMMYFUNCTION("""COMPUTED_VALUE"""),"1巻無料")</f>
        <v>1巻無料</v>
      </c>
      <c r="Z2156" s="7"/>
      <c r="AA2156" s="7"/>
      <c r="AB2156" s="7"/>
    </row>
    <row r="2157" ht="15.75" customHeight="1">
      <c r="A2157" s="66">
        <f>IFERROR(__xludf.DUMMYFUNCTION("""COMPUTED_VALUE"""),3938.0)</f>
        <v>3938</v>
      </c>
      <c r="B2157" s="67" t="str">
        <f>IFERROR(__xludf.DUMMYFUNCTION("""COMPUTED_VALUE"""),"確定")</f>
        <v>確定</v>
      </c>
      <c r="C2157" s="68">
        <f>IFERROR(__xludf.DUMMYFUNCTION("""COMPUTED_VALUE"""),45512.0)</f>
        <v>45512</v>
      </c>
      <c r="D2157" s="68">
        <f>IFERROR(__xludf.DUMMYFUNCTION("""COMPUTED_VALUE"""),45567.0)</f>
        <v>45567</v>
      </c>
      <c r="E2157" s="60">
        <f>IFERROR(__xludf.DUMMYFUNCTION("""COMPUTED_VALUE"""),303136.0)</f>
        <v>303136</v>
      </c>
      <c r="F2157" s="61" t="str">
        <f>IFERROR(__xludf.DUMMYFUNCTION("""COMPUTED_VALUE"""),"婚約破棄令嬢の華麗なる転身")</f>
        <v>婚約破棄令嬢の華麗なる転身</v>
      </c>
      <c r="G2157" s="67" t="str">
        <f>IFERROR(__xludf.DUMMYFUNCTION("""COMPUTED_VALUE"""),"1～3")</f>
        <v>1～3</v>
      </c>
      <c r="H2157" s="67" t="str">
        <f>IFERROR(__xludf.DUMMYFUNCTION("""COMPUTED_VALUE"""),"原作：佐倉紫 マンガ：吉永みく")</f>
        <v>原作：佐倉紫 マンガ：吉永みく</v>
      </c>
      <c r="I2157" s="67" t="str">
        <f>IFERROR(__xludf.DUMMYFUNCTION("""COMPUTED_VALUE"""),"女性")</f>
        <v>女性</v>
      </c>
      <c r="J2157" s="67"/>
      <c r="K2157" s="67"/>
      <c r="L2157" s="67" t="str">
        <f>IFERROR(__xludf.DUMMYFUNCTION("""COMPUTED_VALUE"""),"アルファポリス")</f>
        <v>アルファポリス</v>
      </c>
      <c r="M2157" s="59">
        <f>IFERROR(__xludf.DUMMYFUNCTION("""COMPUTED_VALUE"""),45569.0)</f>
        <v>45569</v>
      </c>
      <c r="N2157" s="59">
        <f>IFERROR(__xludf.DUMMYFUNCTION("""COMPUTED_VALUE"""),45659.0)</f>
        <v>45659</v>
      </c>
      <c r="O2157" s="67"/>
      <c r="P2157" s="70" t="str">
        <f>IFERROR(__xludf.DUMMYFUNCTION("""COMPUTED_VALUE"""),"可")</f>
        <v>可</v>
      </c>
      <c r="Q2157" s="67" t="str">
        <f>IFERROR(__xludf.DUMMYFUNCTION("""COMPUTED_VALUE"""),"参考）プロモツイートも検討可&lt;BR&gt;佐倉紫先生：https://x.com/yukarisakura29?t=ZGr935arV1EnobiKNBf3Tw&amp;s=09&lt;BR&gt;&lt;BR&gt;吉永みく先生：https://x.com/yoshinaga_777?t=LqZoJ6bqFhlXvi6_bQga_g&amp;s=09")</f>
        <v>参考）プロモツイートも検討可&lt;BR&gt;佐倉紫先生：https://x.com/yukarisakura29?t=ZGr935arV1EnobiKNBf3Tw&amp;s=09&lt;BR&gt;&lt;BR&gt;吉永みく先生：https://x.com/yoshinaga_777?t=LqZoJ6bqFhlXvi6_bQga_g&amp;s=09</v>
      </c>
      <c r="R2157" s="67" t="str">
        <f>IFERROR(__xludf.DUMMYFUNCTION("""COMPUTED_VALUE"""),"広告コミットOK(8/20)")</f>
        <v>広告コミットOK(8/20)</v>
      </c>
      <c r="S2157" s="67" t="str">
        <f>IFERROR(__xludf.DUMMYFUNCTION("""COMPUTED_VALUE"""),"20241001‗アルファポリス‗婚約破棄令嬢の華麗なる転身")</f>
        <v>20241001‗アルファポリス‗婚約破棄令嬢の華麗なる転身</v>
      </c>
      <c r="T2157" s="67" t="str">
        <f>IFERROR(__xludf.DUMMYFUNCTION("""COMPUTED_VALUE"""),"格納済み")</f>
        <v>格納済み</v>
      </c>
      <c r="U2157" s="15" t="str">
        <f>IFERROR(__xludf.DUMMYFUNCTION("""COMPUTED_VALUE"""),"(C)佐倉紫・吉永みく／アルファポリス")</f>
        <v>(C)佐倉紫・吉永みく／アルファポリス</v>
      </c>
      <c r="V2157" s="8" t="str">
        <f>IFERROR(__xludf.DUMMYFUNCTION("""COMPUTED_VALUE"""),"王子の婚約者にふさわしくあろうと生きてきた侯爵令嬢アイリス。しかし突然、国王から婚約破棄を言い渡される。周囲からはいわれのない噂をされ、家からは勘当され……。絶望するアイリスだが、自分の中に眠っていたある才能と、本当にやりたいことに気付き、自立への一歩を踏み出す。そんな中、謎めいた大商人・エヴァンとの出会いが、アイリスに大きなチャンスをもたらして……!?　全てを失った元侯爵令嬢と素性を隠した商人のサクセスラブストーリー、待望のコミカライズ！")</f>
        <v>王子の婚約者にふさわしくあろうと生きてきた侯爵令嬢アイリス。しかし突然、国王から婚約破棄を言い渡される。周囲からはいわれのない噂をされ、家からは勘当され……。絶望するアイリスだが、自分の中に眠っていたある才能と、本当にやりたいことに気付き、自立への一歩を踏み出す。そんな中、謎めいた大商人・エヴァンとの出会いが、アイリスに大きなチャンスをもたらして……!?　全てを失った元侯爵令嬢と素性を隠した商人のサクセスラブストーリー、待望のコミカライズ！</v>
      </c>
      <c r="W2157" s="14"/>
      <c r="X2157" s="14" t="str">
        <f>IFERROR(__xludf.DUMMYFUNCTION("""COMPUTED_VALUE"""),"有")</f>
        <v>有</v>
      </c>
      <c r="Y2157" s="8" t="str">
        <f>IFERROR(__xludf.DUMMYFUNCTION("""COMPUTED_VALUE"""),"1巻無料")</f>
        <v>1巻無料</v>
      </c>
      <c r="Z2157" s="7"/>
      <c r="AA2157" s="7"/>
      <c r="AB2157" s="7"/>
    </row>
    <row r="2158" ht="15.75" customHeight="1">
      <c r="A2158" s="66">
        <f>IFERROR(__xludf.DUMMYFUNCTION("""COMPUTED_VALUE"""),3939.0)</f>
        <v>3939</v>
      </c>
      <c r="B2158" s="67" t="str">
        <f>IFERROR(__xludf.DUMMYFUNCTION("""COMPUTED_VALUE"""),"確定")</f>
        <v>確定</v>
      </c>
      <c r="C2158" s="68">
        <f>IFERROR(__xludf.DUMMYFUNCTION("""COMPUTED_VALUE"""),45512.0)</f>
        <v>45512</v>
      </c>
      <c r="D2158" s="68">
        <f>IFERROR(__xludf.DUMMYFUNCTION("""COMPUTED_VALUE"""),45567.0)</f>
        <v>45567</v>
      </c>
      <c r="E2158" s="60">
        <f>IFERROR(__xludf.DUMMYFUNCTION("""COMPUTED_VALUE"""),303134.0)</f>
        <v>303134</v>
      </c>
      <c r="F2158" s="61" t="str">
        <f>IFERROR(__xludf.DUMMYFUNCTION("""COMPUTED_VALUE"""),"ドS騎士団長のご奉仕メイドに任命されましたが、私××なんですけど！？")</f>
        <v>ドS騎士団長のご奉仕メイドに任命されましたが、私××なんですけど！？</v>
      </c>
      <c r="G2158" s="67" t="str">
        <f>IFERROR(__xludf.DUMMYFUNCTION("""COMPUTED_VALUE"""),"1～3")</f>
        <v>1～3</v>
      </c>
      <c r="H2158" s="67" t="str">
        <f>IFERROR(__xludf.DUMMYFUNCTION("""COMPUTED_VALUE"""),"原作：yori マンガ：ぽぴじろ～")</f>
        <v>原作：yori マンガ：ぽぴじろ～</v>
      </c>
      <c r="I2158" s="67" t="str">
        <f>IFERROR(__xludf.DUMMYFUNCTION("""COMPUTED_VALUE"""),"女性")</f>
        <v>女性</v>
      </c>
      <c r="J2158" s="67"/>
      <c r="K2158" s="67"/>
      <c r="L2158" s="67" t="str">
        <f>IFERROR(__xludf.DUMMYFUNCTION("""COMPUTED_VALUE"""),"アルファポリス")</f>
        <v>アルファポリス</v>
      </c>
      <c r="M2158" s="59">
        <f>IFERROR(__xludf.DUMMYFUNCTION("""COMPUTED_VALUE"""),45569.0)</f>
        <v>45569</v>
      </c>
      <c r="N2158" s="59">
        <f>IFERROR(__xludf.DUMMYFUNCTION("""COMPUTED_VALUE"""),45659.0)</f>
        <v>45659</v>
      </c>
      <c r="O2158" s="67"/>
      <c r="P2158" s="70" t="str">
        <f>IFERROR(__xludf.DUMMYFUNCTION("""COMPUTED_VALUE"""),"可")</f>
        <v>可</v>
      </c>
      <c r="Q2158" s="67" t="str">
        <f>IFERROR(__xludf.DUMMYFUNCTION("""COMPUTED_VALUE"""),"参考）プロモツイート検討可&lt;BR&gt;yori先生：https://x.com/yori_327?t=wq1yEhiwloGQIoXz2mdesA&amp;s=09&lt;BR&gt;&lt;BR&gt;ぽぴじろ～先生：https://x.com/popipopi315?t=tH_Nd1uNPp1zysLpr6i_rQ&amp;s=09")</f>
        <v>参考）プロモツイート検討可&lt;BR&gt;yori先生：https://x.com/yori_327?t=wq1yEhiwloGQIoXz2mdesA&amp;s=09&lt;BR&gt;&lt;BR&gt;ぽぴじろ～先生：https://x.com/popipopi315?t=tH_Nd1uNPp1zysLpr6i_rQ&amp;s=09</v>
      </c>
      <c r="R2158" s="67" t="str">
        <f>IFERROR(__xludf.DUMMYFUNCTION("""COMPUTED_VALUE"""),"広告コミットOK(8/20)")</f>
        <v>広告コミットOK(8/20)</v>
      </c>
      <c r="S2158" s="67" t="str">
        <f>IFERROR(__xludf.DUMMYFUNCTION("""COMPUTED_VALUE"""),"20241001‗アルファポリス‗ドS騎士団長のご奉仕メイドに任命されましたが、私××なんですけど！？")</f>
        <v>20241001‗アルファポリス‗ドS騎士団長のご奉仕メイドに任命されましたが、私××なんですけど！？</v>
      </c>
      <c r="T2158" s="67" t="str">
        <f>IFERROR(__xludf.DUMMYFUNCTION("""COMPUTED_VALUE"""),"格納済み")</f>
        <v>格納済み</v>
      </c>
      <c r="U2158" s="15" t="str">
        <f>IFERROR(__xludf.DUMMYFUNCTION("""COMPUTED_VALUE"""),"(C)yori・ぽぴじろ～／アルファポリス")</f>
        <v>(C)yori・ぽぴじろ～／アルファポリス</v>
      </c>
      <c r="V2158" s="8" t="str">
        <f>IFERROR(__xludf.DUMMYFUNCTION("""COMPUTED_VALUE"""),"念願の王宮メイドに採用された、貧乏男爵家の令嬢エミリア。王族に仕える日々を夢見ていたのに、配属先は騎士団長の性生活をサポートする、“ご奉仕メイド”だった!?　しかも担当するのは今まで誰も就いたことのないイケメン騎士団長ランドルフで…!?　男性経験のないエミリアは動揺するが、なんとか頑張ることを決意。職務を果たすべく奮闘するも、ドSな彼にたっぷり甘やかされるばかりで、なかなかご奉仕させてもらえない。それには、ランドルフの大きすぎる「アレ」が関係していて……!?　前向き新人メイドとクールな騎士団長が織りなすフ"&amp;"ァンタジーラブコメディ、待望のコミカライズ！")</f>
        <v>念願の王宮メイドに採用された、貧乏男爵家の令嬢エミリア。王族に仕える日々を夢見ていたのに、配属先は騎士団長の性生活をサポートする、“ご奉仕メイド”だった!?　しかも担当するのは今まで誰も就いたことのないイケメン騎士団長ランドルフで…!?　男性経験のないエミリアは動揺するが、なんとか頑張ることを決意。職務を果たすべく奮闘するも、ドSな彼にたっぷり甘やかされるばかりで、なかなかご奉仕させてもらえない。それには、ランドルフの大きすぎる「アレ」が関係していて……!?　前向き新人メイドとクールな騎士団長が織りなすファンタジーラブコメディ、待望のコミカライズ！</v>
      </c>
      <c r="W2158" s="14"/>
      <c r="X2158" s="14" t="str">
        <f>IFERROR(__xludf.DUMMYFUNCTION("""COMPUTED_VALUE"""),"有")</f>
        <v>有</v>
      </c>
      <c r="Y2158" s="8" t="str">
        <f>IFERROR(__xludf.DUMMYFUNCTION("""COMPUTED_VALUE"""),"1巻無料")</f>
        <v>1巻無料</v>
      </c>
      <c r="Z2158" s="7"/>
      <c r="AA2158" s="7"/>
      <c r="AB2158" s="7"/>
    </row>
    <row r="2159" ht="15.75" customHeight="1">
      <c r="A2159" s="66">
        <f>IFERROR(__xludf.DUMMYFUNCTION("""COMPUTED_VALUE"""),3941.0)</f>
        <v>3941</v>
      </c>
      <c r="B2159" s="67" t="str">
        <f>IFERROR(__xludf.DUMMYFUNCTION("""COMPUTED_VALUE"""),"確定")</f>
        <v>確定</v>
      </c>
      <c r="C2159" s="68">
        <f>IFERROR(__xludf.DUMMYFUNCTION("""COMPUTED_VALUE"""),45512.0)</f>
        <v>45512</v>
      </c>
      <c r="D2159" s="68">
        <f>IFERROR(__xludf.DUMMYFUNCTION("""COMPUTED_VALUE"""),45566.0)</f>
        <v>45566</v>
      </c>
      <c r="E2159" s="60">
        <f>IFERROR(__xludf.DUMMYFUNCTION("""COMPUTED_VALUE"""),306268.0)</f>
        <v>306268</v>
      </c>
      <c r="F2159" s="90" t="str">
        <f>IFERROR(__xludf.DUMMYFUNCTION("""COMPUTED_VALUE"""),"二度目の不倫は極刑です")</f>
        <v>二度目の不倫は極刑です</v>
      </c>
      <c r="G2159" s="67" t="str">
        <f>IFERROR(__xludf.DUMMYFUNCTION("""COMPUTED_VALUE"""),"1～2")</f>
        <v>1～2</v>
      </c>
      <c r="H2159" s="67" t="str">
        <f>IFERROR(__xludf.DUMMYFUNCTION("""COMPUTED_VALUE"""),"山口しずか／COMIC ROOM")</f>
        <v>山口しずか／COMIC ROOM</v>
      </c>
      <c r="I2159" s="67" t="str">
        <f>IFERROR(__xludf.DUMMYFUNCTION("""COMPUTED_VALUE"""),"女性")</f>
        <v>女性</v>
      </c>
      <c r="J2159" s="67"/>
      <c r="K2159" s="67"/>
      <c r="L2159" s="67" t="str">
        <f>IFERROR(__xludf.DUMMYFUNCTION("""COMPUTED_VALUE"""),"コミックルーム")</f>
        <v>コミックルーム</v>
      </c>
      <c r="M2159" s="85">
        <f>IFERROR(__xludf.DUMMYFUNCTION("""COMPUTED_VALUE"""),45585.0)</f>
        <v>45585</v>
      </c>
      <c r="N2159" s="59">
        <f>IFERROR(__xludf.DUMMYFUNCTION("""COMPUTED_VALUE"""),45676.0)</f>
        <v>45676</v>
      </c>
      <c r="O2159" s="67"/>
      <c r="P2159" s="70" t="str">
        <f>IFERROR(__xludf.DUMMYFUNCTION("""COMPUTED_VALUE"""),"可")</f>
        <v>可</v>
      </c>
      <c r="Q2159" s="67" t="str">
        <f>IFERROR(__xludf.DUMMYFUNCTION("""COMPUTED_VALUE"""),"・26Pの「もしバレてもなんだかんだ許してくれるんだよ」からの「２度目はねえっていっただろくそが」のコマがとても良いと思います。&lt;BR&gt;・いったん2話完結で、好調ならば続刊を制作します。")</f>
        <v>・26Pの「もしバレてもなんだかんだ許してくれるんだよ」からの「２度目はねえっていっただろくそが」のコマがとても良いと思います。&lt;BR&gt;・いったん2話完結で、好調ならば続刊を制作します。</v>
      </c>
      <c r="R2159" s="67" t="str">
        <f>IFERROR(__xludf.DUMMYFUNCTION("""COMPUTED_VALUE"""),"広告コミットOK(8/9)")</f>
        <v>広告コミットOK(8/9)</v>
      </c>
      <c r="S2159" s="67" t="str">
        <f>IFERROR(__xludf.DUMMYFUNCTION("""COMPUTED_VALUE"""),"20240925_コミックルーム_２度目の不倫は極刑です")</f>
        <v>20240925_コミックルーム_２度目の不倫は極刑です</v>
      </c>
      <c r="T2159" s="67" t="str">
        <f>IFERROR(__xludf.DUMMYFUNCTION("""COMPUTED_VALUE"""),"格納済み")</f>
        <v>格納済み</v>
      </c>
      <c r="U2159" s="15" t="str">
        <f>IFERROR(__xludf.DUMMYFUNCTION("""COMPUTED_VALUE"""),"(c)山口しずか／COMIC ROOM")</f>
        <v>(c)山口しずか／COMIC ROOM</v>
      </c>
      <c r="V2159" s="8" t="str">
        <f>IFERROR(__xludf.DUMMYFUNCTION("""COMPUTED_VALUE"""),"妊娠中に夫、浩平の不倫が発覚。裏切られ深く傷ついた沙苗だったが、涙ながらに謝罪する夫に心を揺さぶられ、離婚はせずにもう一度チャンスを与えることにした。3年後、浩平は家族に尽くす良き父となり、沙苗も仕事に復帰していた。しかし、不倫による心の傷は完全には癒えていなかった。
そんなある日、夫から思いがけない結婚記念日のお祝いを受け取り、沙苗は久しぶりに心が晴れる。──かと思いきや、そんなことは一切なく、逆に違和感を覚えてしまう。
不安による邪推か、それとも虫の知らせか…もし不倫なら夫を極刑に即処します！")</f>
        <v>妊娠中に夫、浩平の不倫が発覚。裏切られ深く傷ついた沙苗だったが、涙ながらに謝罪する夫に心を揺さぶられ、離婚はせずにもう一度チャンスを与えることにした。3年後、浩平は家族に尽くす良き父となり、沙苗も仕事に復帰していた。しかし、不倫による心の傷は完全には癒えていなかった。
そんなある日、夫から思いがけない結婚記念日のお祝いを受け取り、沙苗は久しぶりに心が晴れる。──かと思いきや、そんなことは一切なく、逆に違和感を覚えてしまう。
不安による邪推か、それとも虫の知らせか…もし不倫なら夫を極刑に即処します！</v>
      </c>
      <c r="W2159" s="14"/>
      <c r="X2159" s="14" t="str">
        <f>IFERROR(__xludf.DUMMYFUNCTION("""COMPUTED_VALUE"""),"有")</f>
        <v>有</v>
      </c>
      <c r="Y2159" s="8" t="str">
        <f>IFERROR(__xludf.DUMMYFUNCTION("""COMPUTED_VALUE"""),"P8まで")</f>
        <v>P8まで</v>
      </c>
      <c r="Z2159" s="7"/>
      <c r="AA2159" s="7"/>
      <c r="AB2159" s="7"/>
    </row>
    <row r="2160" ht="15.75" customHeight="1">
      <c r="A2160" s="66">
        <f>IFERROR(__xludf.DUMMYFUNCTION("""COMPUTED_VALUE"""),3958.0)</f>
        <v>3958</v>
      </c>
      <c r="B2160" s="67" t="str">
        <f>IFERROR(__xludf.DUMMYFUNCTION("""COMPUTED_VALUE"""),"確定")</f>
        <v>確定</v>
      </c>
      <c r="C2160" s="68">
        <f>IFERROR(__xludf.DUMMYFUNCTION("""COMPUTED_VALUE"""),45513.0)</f>
        <v>45513</v>
      </c>
      <c r="D2160" s="68">
        <f>IFERROR(__xludf.DUMMYFUNCTION("""COMPUTED_VALUE"""),45561.0)</f>
        <v>45561</v>
      </c>
      <c r="E2160" s="60">
        <f>IFERROR(__xludf.DUMMYFUNCTION("""COMPUTED_VALUE"""),304628.0)</f>
        <v>304628</v>
      </c>
      <c r="F2160" s="61" t="str">
        <f>IFERROR(__xludf.DUMMYFUNCTION("""COMPUTED_VALUE"""),"イッていいよ恭伍先輩～サークラ系ヤリチン先輩はメスの素質があるらしい～《Lovelicot》")</f>
        <v>イッていいよ恭伍先輩～サークラ系ヤリチン先輩はメスの素質があるらしい～《Lovelicot》</v>
      </c>
      <c r="G2160" s="67">
        <f>IFERROR(__xludf.DUMMYFUNCTION("""COMPUTED_VALUE"""),1.0)</f>
        <v>1</v>
      </c>
      <c r="H2160" s="67" t="str">
        <f>IFERROR(__xludf.DUMMYFUNCTION("""COMPUTED_VALUE"""),"おぢい")</f>
        <v>おぢい</v>
      </c>
      <c r="I2160" s="67" t="str">
        <f>IFERROR(__xludf.DUMMYFUNCTION("""COMPUTED_VALUE"""),"TL")</f>
        <v>TL</v>
      </c>
      <c r="J2160" s="67"/>
      <c r="K2160" s="67"/>
      <c r="L2160" s="67" t="str">
        <f>IFERROR(__xludf.DUMMYFUNCTION("""COMPUTED_VALUE"""),"ガールスカウトコミックス")</f>
        <v>ガールスカウトコミックス</v>
      </c>
      <c r="M2160" s="85">
        <f>IFERROR(__xludf.DUMMYFUNCTION("""COMPUTED_VALUE"""),45585.0)</f>
        <v>45585</v>
      </c>
      <c r="N2160" s="59">
        <f>IFERROR(__xludf.DUMMYFUNCTION("""COMPUTED_VALUE"""),45676.0)</f>
        <v>45676</v>
      </c>
      <c r="O2160" s="67"/>
      <c r="P2160" s="70" t="str">
        <f>IFERROR(__xludf.DUMMYFUNCTION("""COMPUTED_VALUE"""),"可")</f>
        <v>可</v>
      </c>
      <c r="Q2160" s="67" t="str">
        <f>IFERROR(__xludf.DUMMYFUNCTION("""COMPUTED_VALUE"""),"TLレーベル名：Lovelicot")</f>
        <v>TLレーベル名：Lovelicot</v>
      </c>
      <c r="R2160" s="67" t="str">
        <f>IFERROR(__xludf.DUMMYFUNCTION("""COMPUTED_VALUE"""),"広告コミットOK（8/20）")</f>
        <v>広告コミットOK（8/20）</v>
      </c>
      <c r="S2160" s="67" t="str">
        <f>IFERROR(__xludf.DUMMYFUNCTION("""COMPUTED_VALUE"""),"20240925_ガールスカウトコミックス_イッていいよ恭伍先輩")</f>
        <v>20240925_ガールスカウトコミックス_イッていいよ恭伍先輩</v>
      </c>
      <c r="T2160" s="67" t="str">
        <f>IFERROR(__xludf.DUMMYFUNCTION("""COMPUTED_VALUE"""),"格納済み")</f>
        <v>格納済み</v>
      </c>
      <c r="U2160" s="15" t="str">
        <f>IFERROR(__xludf.DUMMYFUNCTION("""COMPUTED_VALUE"""),"(C)おぢい／ガールスカウトコミックス")</f>
        <v>(C)おぢい／ガールスカウトコミックス</v>
      </c>
      <c r="V2160" s="8" t="str">
        <f>IFERROR(__xludf.DUMMYFUNCTION("""COMPUTED_VALUE"""),"サークルの新歓で目をつけた後輩女子・相笠和香を連れ出し
あわよくばワンチャンを狙うヤリチン大学生・井ノ原恭伍…。
サークルでもモテモテで女を抱きまくっていた恭伍だが
和香をホテルに連れ込むなり、形成は逆転…。
他の女の子にはされたことのないプレイに
完全に押されてしまった恭伍だったが──！？
サークルクラッシュ系のモテ陽キャ大学生男子が
影のある美人後輩女子に喘がされちゃう！？
※本作はおぢいの個人誌作品の電子書籍版となります。")</f>
        <v>サークルの新歓で目をつけた後輩女子・相笠和香を連れ出し
あわよくばワンチャンを狙うヤリチン大学生・井ノ原恭伍…。
サークルでもモテモテで女を抱きまくっていた恭伍だが
和香をホテルに連れ込むなり、形成は逆転…。
他の女の子にはされたことのないプレイに
完全に押されてしまった恭伍だったが──！？
サークルクラッシュ系のモテ陽キャ大学生男子が
影のある美人後輩女子に喘がされちゃう！？
※本作はおぢいの個人誌作品の電子書籍版となります。</v>
      </c>
      <c r="W2160" s="14"/>
      <c r="X2160" s="14" t="str">
        <f>IFERROR(__xludf.DUMMYFUNCTION("""COMPUTED_VALUE"""),"有")</f>
        <v>有</v>
      </c>
      <c r="Y2160" s="8" t="str">
        <f>IFERROR(__xludf.DUMMYFUNCTION("""COMPUTED_VALUE"""),"2024/11/2まで立ち読み増量P18まで")</f>
        <v>2024/11/2まで立ち読み増量P18まで</v>
      </c>
      <c r="Z2160" s="7"/>
      <c r="AA2160" s="7"/>
      <c r="AB2160" s="7"/>
    </row>
    <row r="2161" ht="15.75" customHeight="1">
      <c r="A2161" s="66">
        <f>IFERROR(__xludf.DUMMYFUNCTION("""COMPUTED_VALUE"""),3960.0)</f>
        <v>3960</v>
      </c>
      <c r="B2161" s="67" t="str">
        <f>IFERROR(__xludf.DUMMYFUNCTION("""COMPUTED_VALUE"""),"確定")</f>
        <v>確定</v>
      </c>
      <c r="C2161" s="68">
        <f>IFERROR(__xludf.DUMMYFUNCTION("""COMPUTED_VALUE"""),45513.0)</f>
        <v>45513</v>
      </c>
      <c r="D2161" s="68">
        <f>IFERROR(__xludf.DUMMYFUNCTION("""COMPUTED_VALUE"""),45561.0)</f>
        <v>45561</v>
      </c>
      <c r="E2161" s="60">
        <f>IFERROR(__xludf.DUMMYFUNCTION("""COMPUTED_VALUE"""),304128.0)</f>
        <v>304128</v>
      </c>
      <c r="F2161" s="61" t="str">
        <f>IFERROR(__xludf.DUMMYFUNCTION("""COMPUTED_VALUE"""),"ニセモノの恋なので溺愛はいりません【分冊版】")</f>
        <v>ニセモノの恋なので溺愛はいりません【分冊版】</v>
      </c>
      <c r="G2161" s="67" t="str">
        <f>IFERROR(__xludf.DUMMYFUNCTION("""COMPUTED_VALUE"""),"1～2")</f>
        <v>1～2</v>
      </c>
      <c r="H2161" s="67" t="str">
        <f>IFERROR(__xludf.DUMMYFUNCTION("""COMPUTED_VALUE"""),"海槻よき⊥七原みさ")</f>
        <v>海槻よき⊥七原みさ</v>
      </c>
      <c r="I2161" s="67" t="str">
        <f>IFERROR(__xludf.DUMMYFUNCTION("""COMPUTED_VALUE"""),"TL")</f>
        <v>TL</v>
      </c>
      <c r="J2161" s="67"/>
      <c r="K2161" s="67"/>
      <c r="L2161" s="67" t="str">
        <f>IFERROR(__xludf.DUMMYFUNCTION("""COMPUTED_VALUE"""),"笠倉出版社")</f>
        <v>笠倉出版社</v>
      </c>
      <c r="M2161" s="85">
        <f>IFERROR(__xludf.DUMMYFUNCTION("""COMPUTED_VALUE"""),45582.0)</f>
        <v>45582</v>
      </c>
      <c r="N2161" s="85">
        <f>IFERROR(__xludf.DUMMYFUNCTION("""COMPUTED_VALUE"""),45644.0)</f>
        <v>45644</v>
      </c>
      <c r="O2161" s="67"/>
      <c r="P2161" s="70" t="str">
        <f>IFERROR(__xludf.DUMMYFUNCTION("""COMPUTED_VALUE"""),"可")</f>
        <v>可</v>
      </c>
      <c r="Q2161" s="67" t="str">
        <f>IFERROR(__xludf.DUMMYFUNCTION("""COMPUTED_VALUE"""),"TLレーベル名：ラブチュコラ&lt;BR&gt;&lt;BR&gt;")</f>
        <v>TLレーベル名：ラブチュコラ&lt;BR&gt;&lt;BR&gt;</v>
      </c>
      <c r="R2161" s="67" t="str">
        <f>IFERROR(__xludf.DUMMYFUNCTION("""COMPUTED_VALUE"""),"広告コミットOK（8/20）")</f>
        <v>広告コミットOK（8/20）</v>
      </c>
      <c r="S2161" s="67" t="str">
        <f>IFERROR(__xludf.DUMMYFUNCTION("""COMPUTED_VALUE"""),"20240925_笠倉出版社_ニセモノの恋なので溺愛はいりません【分冊版】")</f>
        <v>20240925_笠倉出版社_ニセモノの恋なので溺愛はいりません【分冊版】</v>
      </c>
      <c r="T2161" s="67" t="str">
        <f>IFERROR(__xludf.DUMMYFUNCTION("""COMPUTED_VALUE"""),"格納済み")</f>
        <v>格納済み</v>
      </c>
      <c r="U2161" s="15" t="str">
        <f>IFERROR(__xludf.DUMMYFUNCTION("""COMPUTED_VALUE"""),"©海槻よき/七原みさ/笠倉出版社")</f>
        <v>©海槻よき/七原みさ/笠倉出版社</v>
      </c>
      <c r="V2161" s="8" t="str">
        <f>IFERROR(__xludf.DUMMYFUNCTION("""COMPUTED_VALUE"""),"「もっと俺をその気にさせてみろよ」この関係はニセモノなのに、彼には本当の気持ちもぜんぶ暴かれちゃう…交際トラブル解決のプロフェッショナル“別れさせ屋”。売れない役者を辞めて工作員として働く雪は、人気作曲家・龍成の依頼で『婚約者のフリ』をすることに。だけど初対面で「地味」「服が安っぽい」「俺の彼女っぽくない」とケチつけられたあげく、仕込みのデートも投げやりでこれじゃターゲットも騙せない！ 「もっと恋人らしくして！」と言ったら、「だったらあんたも俺のこと好きでたまらないって顔してくんない？」と抱き寄せられて！"&amp;"？ 挑発的な言葉とは裏腹の、とろけるような愛撫。狭いナカをぐずぐずに濡らされて、初めてなのに何度もイかされてしまう。しかもそれ以来、彼はなぜか溺愛モードで迫ってきて…")</f>
        <v>「もっと俺をその気にさせてみろよ」この関係はニセモノなのに、彼には本当の気持ちもぜんぶ暴かれちゃう…交際トラブル解決のプロフェッショナル“別れさせ屋”。売れない役者を辞めて工作員として働く雪は、人気作曲家・龍成の依頼で『婚約者のフリ』をすることに。だけど初対面で「地味」「服が安っぽい」「俺の彼女っぽくない」とケチつけられたあげく、仕込みのデートも投げやりでこれじゃターゲットも騙せない！ 「もっと恋人らしくして！」と言ったら、「だったらあんたも俺のこと好きでたまらないって顔してくんない？」と抱き寄せられて！？ 挑発的な言葉とは裏腹の、とろけるような愛撫。狭いナカをぐずぐずに濡らされて、初めてなのに何度もイかされてしまう。しかもそれ以来、彼はなぜか溺愛モードで迫ってきて…</v>
      </c>
      <c r="W2161" s="14"/>
      <c r="X2161" s="14" t="str">
        <f>IFERROR(__xludf.DUMMYFUNCTION("""COMPUTED_VALUE"""),"有")</f>
        <v>有</v>
      </c>
      <c r="Y2161" s="8" t="str">
        <f>IFERROR(__xludf.DUMMYFUNCTION("""COMPUTED_VALUE"""),"2024/10/30まで立ち読み増量P12まで")</f>
        <v>2024/10/30まで立ち読み増量P12まで</v>
      </c>
      <c r="Z2161" s="7"/>
      <c r="AA2161" s="7"/>
      <c r="AB2161" s="7"/>
    </row>
    <row r="2162" ht="15.75" customHeight="1">
      <c r="A2162" s="66">
        <f>IFERROR(__xludf.DUMMYFUNCTION("""COMPUTED_VALUE"""),3961.0)</f>
        <v>3961</v>
      </c>
      <c r="B2162" s="67" t="str">
        <f>IFERROR(__xludf.DUMMYFUNCTION("""COMPUTED_VALUE"""),"確定")</f>
        <v>確定</v>
      </c>
      <c r="C2162" s="68">
        <f>IFERROR(__xludf.DUMMYFUNCTION("""COMPUTED_VALUE"""),45513.0)</f>
        <v>45513</v>
      </c>
      <c r="D2162" s="68">
        <f>IFERROR(__xludf.DUMMYFUNCTION("""COMPUTED_VALUE"""),45561.0)</f>
        <v>45561</v>
      </c>
      <c r="E2162" s="60">
        <f>IFERROR(__xludf.DUMMYFUNCTION("""COMPUTED_VALUE"""),303686.0)</f>
        <v>303686</v>
      </c>
      <c r="F2162" s="61" t="str">
        <f>IFERROR(__xludf.DUMMYFUNCTION("""COMPUTED_VALUE"""),"淑女の顔も三度まで！【分冊版】")</f>
        <v>淑女の顔も三度まで！【分冊版】</v>
      </c>
      <c r="G2162" s="67" t="str">
        <f>IFERROR(__xludf.DUMMYFUNCTION("""COMPUTED_VALUE"""),"1～3")</f>
        <v>1～3</v>
      </c>
      <c r="H2162" s="67" t="str">
        <f>IFERROR(__xludf.DUMMYFUNCTION("""COMPUTED_VALUE"""),"ヤマセマヤ⊥瀬尾優梨⊥條")</f>
        <v>ヤマセマヤ⊥瀬尾優梨⊥條</v>
      </c>
      <c r="I2162" s="67" t="str">
        <f>IFERROR(__xludf.DUMMYFUNCTION("""COMPUTED_VALUE"""),"少女")</f>
        <v>少女</v>
      </c>
      <c r="J2162" s="67"/>
      <c r="K2162" s="67"/>
      <c r="L2162" s="67" t="str">
        <f>IFERROR(__xludf.DUMMYFUNCTION("""COMPUTED_VALUE"""),"笠倉出版社")</f>
        <v>笠倉出版社</v>
      </c>
      <c r="M2162" s="85">
        <f>IFERROR(__xludf.DUMMYFUNCTION("""COMPUTED_VALUE"""),45575.0)</f>
        <v>45575</v>
      </c>
      <c r="N2162" s="59">
        <f>IFERROR(__xludf.DUMMYFUNCTION("""COMPUTED_VALUE"""),45666.0)</f>
        <v>45666</v>
      </c>
      <c r="O2162" s="67"/>
      <c r="P2162" s="70" t="str">
        <f>IFERROR(__xludf.DUMMYFUNCTION("""COMPUTED_VALUE"""),"可")</f>
        <v>可</v>
      </c>
      <c r="Q2162" s="67" t="str">
        <f>IFERROR(__xludf.DUMMYFUNCTION("""COMPUTED_VALUE"""),"～補足～&lt;BR&gt;・本作はpixivコミックで連載中の作品となります。&lt;BR&gt;https://comic.pixiv.net/works/10330 &lt;BR&gt;基本的には先行配信が始まる際には、対象話数をpixivコミックにて掲載終了予定となります。&lt;BR&gt;ただし第1封①②、第6封①②のみ、pixivコミック上に残させていただく予定となります。&lt;BR&gt;ご了承いただけますと幸いです。&lt;BR&gt; ・本作は下記NiμNOVELS原作のコミカライズ作品となります。&lt;BR&gt;淑女の顔も三度まで！【電子限定特典付き】&lt;BR&gt;"&amp;"https://www.cmoa.jp/title/1101369692/")</f>
        <v>～補足～&lt;BR&gt;・本作はpixivコミックで連載中の作品となります。&lt;BR&gt;https://comic.pixiv.net/works/10330 &lt;BR&gt;基本的には先行配信が始まる際には、対象話数をpixivコミックにて掲載終了予定となります。&lt;BR&gt;ただし第1封①②、第6封①②のみ、pixivコミック上に残させていただく予定となります。&lt;BR&gt;ご了承いただけますと幸いです。&lt;BR&gt; ・本作は下記NiμNOVELS原作のコミカライズ作品となります。&lt;BR&gt;淑女の顔も三度まで！【電子限定特典付き】&lt;BR&gt;https://www.cmoa.jp/title/1101369692/</v>
      </c>
      <c r="R2162" s="67" t="str">
        <f>IFERROR(__xludf.DUMMYFUNCTION("""COMPUTED_VALUE"""),"広告コミットOK（8/20）")</f>
        <v>広告コミットOK（8/20）</v>
      </c>
      <c r="S2162" s="67" t="str">
        <f>IFERROR(__xludf.DUMMYFUNCTION("""COMPUTED_VALUE"""),"20240925_笠倉出版社_淑女の顔も三度まで！【分冊版】")</f>
        <v>20240925_笠倉出版社_淑女の顔も三度まで！【分冊版】</v>
      </c>
      <c r="T2162" s="67" t="str">
        <f>IFERROR(__xludf.DUMMYFUNCTION("""COMPUTED_VALUE"""),"格納済み")</f>
        <v>格納済み</v>
      </c>
      <c r="U2162" s="15" t="str">
        <f>IFERROR(__xludf.DUMMYFUNCTION("""COMPUTED_VALUE"""),"©ヤマセマヤ/瀬尾優梨/條/笠倉出版社")</f>
        <v>©ヤマセマヤ/瀬尾優梨/條/笠倉出版社</v>
      </c>
      <c r="V2162" s="8" t="str">
        <f>IFERROR(__xludf.DUMMYFUNCTION("""COMPUTED_VALUE"""),"とある夜会で、婚約者に婚約を破棄され死んでは十歳に戻るを繰り返すこと三度。はじめは絶望からの自殺、二度目は他殺、三度目は事故死…。繰り返すことでアウレリアは婚約者が自分を愛さないことに気付き、四度目の人生こそ好きに生きようと決意する。まずは彼との婚約を回避しようと別の相手を探そうとお茶会に参加。そこで出会ったのは、どのやり直し人生でも遊び人と言われていた騎士・ユーリスで――！？")</f>
        <v>とある夜会で、婚約者に婚約を破棄され死んでは十歳に戻るを繰り返すこと三度。はじめは絶望からの自殺、二度目は他殺、三度目は事故死…。繰り返すことでアウレリアは婚約者が自分を愛さないことに気付き、四度目の人生こそ好きに生きようと決意する。まずは彼との婚約を回避しようと別の相手を探そうとお茶会に参加。そこで出会ったのは、どのやり直し人生でも遊び人と言われていた騎士・ユーリスで――！？</v>
      </c>
      <c r="W2162" s="14"/>
      <c r="X2162" s="14" t="str">
        <f>IFERROR(__xludf.DUMMYFUNCTION("""COMPUTED_VALUE"""),"有")</f>
        <v>有</v>
      </c>
      <c r="Y2162" s="8" t="str">
        <f>IFERROR(__xludf.DUMMYFUNCTION("""COMPUTED_VALUE"""),"2024/10/23まで1巻無料")</f>
        <v>2024/10/23まで1巻無料</v>
      </c>
      <c r="Z2162" s="7"/>
      <c r="AA2162" s="7"/>
      <c r="AB2162" s="7"/>
    </row>
    <row r="2163" ht="15.75" customHeight="1">
      <c r="A2163" s="66">
        <f>IFERROR(__xludf.DUMMYFUNCTION("""COMPUTED_VALUE"""),3962.0)</f>
        <v>3962</v>
      </c>
      <c r="B2163" s="67" t="str">
        <f>IFERROR(__xludf.DUMMYFUNCTION("""COMPUTED_VALUE"""),"確定")</f>
        <v>確定</v>
      </c>
      <c r="C2163" s="68">
        <f>IFERROR(__xludf.DUMMYFUNCTION("""COMPUTED_VALUE"""),45513.0)</f>
        <v>45513</v>
      </c>
      <c r="D2163" s="68">
        <f>IFERROR(__xludf.DUMMYFUNCTION("""COMPUTED_VALUE"""),45561.0)</f>
        <v>45561</v>
      </c>
      <c r="E2163" s="60">
        <f>IFERROR(__xludf.DUMMYFUNCTION("""COMPUTED_VALUE"""),303688.0)</f>
        <v>303688</v>
      </c>
      <c r="F2163" s="61" t="str">
        <f>IFERROR(__xludf.DUMMYFUNCTION("""COMPUTED_VALUE"""),"死に戻った令嬢が、想いを素直に伝えたら")</f>
        <v>死に戻った令嬢が、想いを素直に伝えたら</v>
      </c>
      <c r="G2163" s="67">
        <f>IFERROR(__xludf.DUMMYFUNCTION("""COMPUTED_VALUE"""),1.0)</f>
        <v>1</v>
      </c>
      <c r="H2163" s="67" t="str">
        <f>IFERROR(__xludf.DUMMYFUNCTION("""COMPUTED_VALUE"""),"赤羽にな⊥花散ここ")</f>
        <v>赤羽にな⊥花散ここ</v>
      </c>
      <c r="I2163" s="67" t="str">
        <f>IFERROR(__xludf.DUMMYFUNCTION("""COMPUTED_VALUE"""),"少女")</f>
        <v>少女</v>
      </c>
      <c r="J2163" s="67"/>
      <c r="K2163" s="67"/>
      <c r="L2163" s="67" t="str">
        <f>IFERROR(__xludf.DUMMYFUNCTION("""COMPUTED_VALUE"""),"笠倉出版社")</f>
        <v>笠倉出版社</v>
      </c>
      <c r="M2163" s="85">
        <f>IFERROR(__xludf.DUMMYFUNCTION("""COMPUTED_VALUE"""),45575.0)</f>
        <v>45575</v>
      </c>
      <c r="N2163" s="59">
        <f>IFERROR(__xludf.DUMMYFUNCTION("""COMPUTED_VALUE"""),45666.0)</f>
        <v>45666</v>
      </c>
      <c r="O2163" s="67"/>
      <c r="P2163" s="70" t="str">
        <f>IFERROR(__xludf.DUMMYFUNCTION("""COMPUTED_VALUE"""),"可")</f>
        <v>可</v>
      </c>
      <c r="Q2163" s="67" t="str">
        <f>IFERROR(__xludf.DUMMYFUNCTION("""COMPUTED_VALUE"""),"本作は8/10に配信のNiμアンソロジー「どうやら死に戻ったようなので、今度こそ幸せを掴み取ってみせますわアンソロジーコミック 1巻」に掲載の単話作品となります。&lt;BR&gt;◆作画：赤羽にな先生既刊作品&lt;BR&gt;https://www.cmoa.jp/author/116505/ &lt;BR&gt;◆原作：花散ここ先生既刊作品&lt;BR&gt;https://www.cmoa.jp/author/136016/")</f>
        <v>本作は8/10に配信のNiμアンソロジー「どうやら死に戻ったようなので、今度こそ幸せを掴み取ってみせますわアンソロジーコミック 1巻」に掲載の単話作品となります。&lt;BR&gt;◆作画：赤羽にな先生既刊作品&lt;BR&gt;https://www.cmoa.jp/author/116505/ &lt;BR&gt;◆原作：花散ここ先生既刊作品&lt;BR&gt;https://www.cmoa.jp/author/136016/</v>
      </c>
      <c r="R2163" s="67" t="str">
        <f>IFERROR(__xludf.DUMMYFUNCTION("""COMPUTED_VALUE"""),"広告コミットOK（8/20）")</f>
        <v>広告コミットOK（8/20）</v>
      </c>
      <c r="S2163" s="67" t="str">
        <f>IFERROR(__xludf.DUMMYFUNCTION("""COMPUTED_VALUE"""),"20240925_笠倉出版社_死に戻った令嬢が、想いを素直に伝えたら")</f>
        <v>20240925_笠倉出版社_死に戻った令嬢が、想いを素直に伝えたら</v>
      </c>
      <c r="T2163" s="67" t="str">
        <f>IFERROR(__xludf.DUMMYFUNCTION("""COMPUTED_VALUE"""),"格納済み")</f>
        <v>格納済み</v>
      </c>
      <c r="U2163" s="15" t="str">
        <f>IFERROR(__xludf.DUMMYFUNCTION("""COMPUTED_VALUE"""),"©赤羽にな/花散ここ/笠倉出版社")</f>
        <v>©赤羽にな/花散ここ/笠倉出版社</v>
      </c>
      <c r="V2163" s="8" t="str">
        <f>IFERROR(__xludf.DUMMYFUNCTION("""COMPUTED_VALUE"""),"親友だと思っていた友人に毒殺され、死に戻ったオフィーリア。今までの行動を見直し、自分の気持ちに正直に行動していこうと決意する。すると、一度目の人生では冷たかった婚約者との仲も変化して――！※この作品は『どうやら死に戻ったようなので、今度こそ幸せを掴み取ってみせますわアンソロジーコミック』1巻に収録されているものと同一の内容を単話版として再編集したものです。重複購入にご注意ください。")</f>
        <v>親友だと思っていた友人に毒殺され、死に戻ったオフィーリア。今までの行動を見直し、自分の気持ちに正直に行動していこうと決意する。すると、一度目の人生では冷たかった婚約者との仲も変化して――！※この作品は『どうやら死に戻ったようなので、今度こそ幸せを掴み取ってみせますわアンソロジーコミック』1巻に収録されているものと同一の内容を単話版として再編集したものです。重複購入にご注意ください。</v>
      </c>
      <c r="W2163" s="14"/>
      <c r="X2163" s="14" t="str">
        <f>IFERROR(__xludf.DUMMYFUNCTION("""COMPUTED_VALUE"""),"有")</f>
        <v>有</v>
      </c>
      <c r="Y2163" s="8" t="str">
        <f>IFERROR(__xludf.DUMMYFUNCTION("""COMPUTED_VALUE"""),"P11まで")</f>
        <v>P11まで</v>
      </c>
      <c r="Z2163" s="7"/>
      <c r="AA2163" s="7"/>
      <c r="AB2163" s="7"/>
    </row>
    <row r="2164" ht="15.75" customHeight="1">
      <c r="A2164" s="66">
        <f>IFERROR(__xludf.DUMMYFUNCTION("""COMPUTED_VALUE"""),3974.0)</f>
        <v>3974</v>
      </c>
      <c r="B2164" s="67" t="str">
        <f>IFERROR(__xludf.DUMMYFUNCTION("""COMPUTED_VALUE"""),"確定")</f>
        <v>確定</v>
      </c>
      <c r="C2164" s="68">
        <f>IFERROR(__xludf.DUMMYFUNCTION("""COMPUTED_VALUE"""),45519.0)</f>
        <v>45519</v>
      </c>
      <c r="D2164" s="68">
        <f>IFERROR(__xludf.DUMMYFUNCTION("""COMPUTED_VALUE"""),45567.0)</f>
        <v>45567</v>
      </c>
      <c r="E2164" s="60">
        <f>IFERROR(__xludf.DUMMYFUNCTION("""COMPUTED_VALUE"""),305237.0)</f>
        <v>305237</v>
      </c>
      <c r="F2164" s="61" t="str">
        <f>IFERROR(__xludf.DUMMYFUNCTION("""COMPUTED_VALUE"""),"斜陽のゆりかご")</f>
        <v>斜陽のゆりかご</v>
      </c>
      <c r="G2164" s="67" t="str">
        <f>IFERROR(__xludf.DUMMYFUNCTION("""COMPUTED_VALUE"""),"1～7")</f>
        <v>1～7</v>
      </c>
      <c r="H2164" s="67" t="str">
        <f>IFERROR(__xludf.DUMMYFUNCTION("""COMPUTED_VALUE"""),"穂朔零")</f>
        <v>穂朔零</v>
      </c>
      <c r="I2164" s="78" t="str">
        <f>IFERROR(__xludf.DUMMYFUNCTION("""COMPUTED_VALUE"""),"少年")</f>
        <v>少年</v>
      </c>
      <c r="J2164" s="67"/>
      <c r="K2164" s="67"/>
      <c r="L2164" s="67" t="str">
        <f>IFERROR(__xludf.DUMMYFUNCTION("""COMPUTED_VALUE"""),"ライブコミックス")</f>
        <v>ライブコミックス</v>
      </c>
      <c r="M2164" s="59">
        <f>IFERROR(__xludf.DUMMYFUNCTION("""COMPUTED_VALUE"""),45604.0)</f>
        <v>45604</v>
      </c>
      <c r="N2164" s="59">
        <f>IFERROR(__xludf.DUMMYFUNCTION("""COMPUTED_VALUE"""),45666.0)</f>
        <v>45666</v>
      </c>
      <c r="O2164" s="67"/>
      <c r="P2164" s="70" t="str">
        <f>IFERROR(__xludf.DUMMYFUNCTION("""COMPUTED_VALUE"""),"可")</f>
        <v>可</v>
      </c>
      <c r="Q2164" s="67" t="str">
        <f>IFERROR(__xludf.DUMMYFUNCTION("""COMPUTED_VALUE"""),"BookLiveからの2次先行です。&lt;BR&gt;5巻目までで制作お願いします")</f>
        <v>BookLiveからの2次先行です。&lt;BR&gt;5巻目までで制作お願いします</v>
      </c>
      <c r="R2164" s="67" t="str">
        <f>IFERROR(__xludf.DUMMYFUNCTION("""COMPUTED_VALUE"""),"広告コミットOK(8/23)")</f>
        <v>広告コミットOK(8/23)</v>
      </c>
      <c r="S2164" s="67" t="str">
        <f>IFERROR(__xludf.DUMMYFUNCTION("""COMPUTED_VALUE"""),"20240930_BookLive_斜陽のゆりかご")</f>
        <v>20240930_BookLive_斜陽のゆりかご</v>
      </c>
      <c r="T2164" s="67" t="str">
        <f>IFERROR(__xludf.DUMMYFUNCTION("""COMPUTED_VALUE"""),"格納済み")</f>
        <v>格納済み</v>
      </c>
      <c r="U2164" s="15" t="str">
        <f>IFERROR(__xludf.DUMMYFUNCTION("""COMPUTED_VALUE"""),"Ⓒ穂朔零/ライブコミックス")</f>
        <v>Ⓒ穂朔零/ライブコミックス</v>
      </c>
      <c r="V2164" s="8" t="str">
        <f>IFERROR(__xludf.DUMMYFUNCTION("""COMPUTED_VALUE"""),"【第１話　底の国のカブ】”マンション”と呼ばれる超巨大建造物だけが、人類に残された唯一の生存圏。最下層”底の国”で暮らす少年・カブは、空から降ってきた謎の少女を救う。リゼッタと名乗る彼女は、最上層である”空の国”から来たと語り――。最下層の少年と空から墜ちた少女。本来交わらない二人が出逢うとき、過酷な運命が動き出す。ボーイ・ミーツ・ガールから始まる、本格派ファンタジー。")</f>
        <v>【第１話　底の国のカブ】”マンション”と呼ばれる超巨大建造物だけが、人類に残された唯一の生存圏。最下層”底の国”で暮らす少年・カブは、空から降ってきた謎の少女を救う。リゼッタと名乗る彼女は、最上層である”空の国”から来たと語り――。最下層の少年と空から墜ちた少女。本来交わらない二人が出逢うとき、過酷な運命が動き出す。ボーイ・ミーツ・ガールから始まる、本格派ファンタジー。</v>
      </c>
      <c r="W2164" s="14"/>
      <c r="X2164" s="14" t="str">
        <f>IFERROR(__xludf.DUMMYFUNCTION("""COMPUTED_VALUE"""),"有")</f>
        <v>有</v>
      </c>
      <c r="Y2164" s="8" t="str">
        <f>IFERROR(__xludf.DUMMYFUNCTION("""COMPUTED_VALUE"""),"P12まで")</f>
        <v>P12まで</v>
      </c>
      <c r="Z2164" s="7"/>
      <c r="AA2164" s="7"/>
      <c r="AB2164" s="7"/>
    </row>
    <row r="2165" ht="15.75" customHeight="1">
      <c r="A2165" s="66">
        <f>IFERROR(__xludf.DUMMYFUNCTION("""COMPUTED_VALUE"""),3983.0)</f>
        <v>3983</v>
      </c>
      <c r="B2165" s="67" t="str">
        <f>IFERROR(__xludf.DUMMYFUNCTION("""COMPUTED_VALUE"""),"確定")</f>
        <v>確定</v>
      </c>
      <c r="C2165" s="68">
        <f>IFERROR(__xludf.DUMMYFUNCTION("""COMPUTED_VALUE"""),45519.0)</f>
        <v>45519</v>
      </c>
      <c r="D2165" s="68">
        <f>IFERROR(__xludf.DUMMYFUNCTION("""COMPUTED_VALUE"""),45567.0)</f>
        <v>45567</v>
      </c>
      <c r="E2165" s="60">
        <f>IFERROR(__xludf.DUMMYFUNCTION("""COMPUTED_VALUE"""),305093.0)</f>
        <v>305093</v>
      </c>
      <c r="F2165" s="61" t="str">
        <f>IFERROR(__xludf.DUMMYFUNCTION("""COMPUTED_VALUE"""),"絶倫書道家のケダモノSEX～雇い主が朝まで離してくれません")</f>
        <v>絶倫書道家のケダモノSEX～雇い主が朝まで離してくれません</v>
      </c>
      <c r="G2165" s="67" t="str">
        <f>IFERROR(__xludf.DUMMYFUNCTION("""COMPUTED_VALUE"""),"1～3")</f>
        <v>1～3</v>
      </c>
      <c r="H2165" s="67" t="str">
        <f>IFERROR(__xludf.DUMMYFUNCTION("""COMPUTED_VALUE"""),"@R")</f>
        <v>@R</v>
      </c>
      <c r="I2165" s="67" t="str">
        <f>IFERROR(__xludf.DUMMYFUNCTION("""COMPUTED_VALUE"""),"TL")</f>
        <v>TL</v>
      </c>
      <c r="J2165" s="67"/>
      <c r="K2165" s="67"/>
      <c r="L2165" s="67" t="str">
        <f>IFERROR(__xludf.DUMMYFUNCTION("""COMPUTED_VALUE"""),"オーバーラップ")</f>
        <v>オーバーラップ</v>
      </c>
      <c r="M2165" s="59">
        <f>IFERROR(__xludf.DUMMYFUNCTION("""COMPUTED_VALUE"""),45597.0)</f>
        <v>45597</v>
      </c>
      <c r="N2165" s="88">
        <f>IFERROR(__xludf.DUMMYFUNCTION("""COMPUTED_VALUE"""),45653.0)</f>
        <v>45653</v>
      </c>
      <c r="O2165" s="67"/>
      <c r="P2165" s="70" t="str">
        <f>IFERROR(__xludf.DUMMYFUNCTION("""COMPUTED_VALUE"""),"可")</f>
        <v>可</v>
      </c>
      <c r="Q2165" s="67" t="str">
        <f>IFERROR(__xludf.DUMMYFUNCTION("""COMPUTED_VALUE"""),"レーベル：ラブパルフェ")</f>
        <v>レーベル：ラブパルフェ</v>
      </c>
      <c r="R2165" s="67" t="str">
        <f>IFERROR(__xludf.DUMMYFUNCTION("""COMPUTED_VALUE"""),"広告コミットOK（8/22）")</f>
        <v>広告コミットOK（8/22）</v>
      </c>
      <c r="S2165" s="67" t="str">
        <f>IFERROR(__xludf.DUMMYFUNCTION("""COMPUTED_VALUE"""),"20241001‗オーバーラップ‗絶倫書道家のケダモノSEX～雇い主が朝まで離してくれません")</f>
        <v>20241001‗オーバーラップ‗絶倫書道家のケダモノSEX～雇い主が朝まで離してくれません</v>
      </c>
      <c r="T2165" s="67" t="str">
        <f>IFERROR(__xludf.DUMMYFUNCTION("""COMPUTED_VALUE"""),"格納済み")</f>
        <v>格納済み</v>
      </c>
      <c r="U2165" s="15" t="str">
        <f>IFERROR(__xludf.DUMMYFUNCTION("""COMPUTED_VALUE"""),"(c)@R／オーバーラップ")</f>
        <v>(c)@R／オーバーラップ</v>
      </c>
      <c r="V2165" s="8" t="str">
        <f>IFERROR(__xludf.DUMMYFUNCTION("""COMPUTED_VALUE"""),"雇い主となんてダメなのに――もっとえっちなことして欲しい…
家事代行として働く葵（あおい）は、ある日突然担当先から契約を解除されてしまい大ピンチ。
しかもアパートまで強制退去になり、お手上げ状態！
やけ酒をしていると、偶然好みのいい身体をした男性が隣にやってきて
「全部忘れさせてやろうか？」なんて、甘く囁かれて――。
貪るように奥を突かれ、熱いモノで何度もイかされ、最高のワンナイトに心を躍らせたのも束の間…
新規の担当先「家政婦泣かせの書道家」宅に向かうと、なんと出てきたのは昨日のイケメン!?"&amp;"
肉食書道家・海雲（みくも）の淫らで巧みな腰使いを思い出しては、身体がきゅんきゅん疼いちゃう…！
一つ屋根の下、止められない欲情同棲ライフがスタート!!
※本書は「ラブパルフェVOL.77-1」に収録されています。重複購入にご注意ください。")</f>
        <v>雇い主となんてダメなのに――もっとえっちなことして欲しい…
家事代行として働く葵（あおい）は、ある日突然担当先から契約を解除されてしまい大ピンチ。
しかもアパートまで強制退去になり、お手上げ状態！
やけ酒をしていると、偶然好みのいい身体をした男性が隣にやってきて
「全部忘れさせてやろうか？」なんて、甘く囁かれて――。
貪るように奥を突かれ、熱いモノで何度もイかされ、最高のワンナイトに心を躍らせたのも束の間…
新規の担当先「家政婦泣かせの書道家」宅に向かうと、なんと出てきたのは昨日のイケメン!?
肉食書道家・海雲（みくも）の淫らで巧みな腰使いを思い出しては、身体がきゅんきゅん疼いちゃう…！
一つ屋根の下、止められない欲情同棲ライフがスタート!!
※本書は「ラブパルフェVOL.77-1」に収録されています。重複購入にご注意ください。</v>
      </c>
      <c r="W2165" s="14"/>
      <c r="X2165" s="14" t="str">
        <f>IFERROR(__xludf.DUMMYFUNCTION("""COMPUTED_VALUE"""),"有")</f>
        <v>有</v>
      </c>
      <c r="Y2165" s="8" t="str">
        <f>IFERROR(__xludf.DUMMYFUNCTION("""COMPUTED_VALUE"""),"P11まで")</f>
        <v>P11まで</v>
      </c>
      <c r="Z2165" s="7"/>
      <c r="AA2165" s="7"/>
      <c r="AB2165" s="7"/>
    </row>
    <row r="2166" ht="15.75" customHeight="1">
      <c r="A2166" s="66">
        <f>IFERROR(__xludf.DUMMYFUNCTION("""COMPUTED_VALUE"""),3984.0)</f>
        <v>3984</v>
      </c>
      <c r="B2166" s="67" t="str">
        <f>IFERROR(__xludf.DUMMYFUNCTION("""COMPUTED_VALUE"""),"確定")</f>
        <v>確定</v>
      </c>
      <c r="C2166" s="68">
        <f>IFERROR(__xludf.DUMMYFUNCTION("""COMPUTED_VALUE"""),45520.0)</f>
        <v>45520</v>
      </c>
      <c r="D2166" s="68">
        <f>IFERROR(__xludf.DUMMYFUNCTION("""COMPUTED_VALUE"""),45561.0)</f>
        <v>45561</v>
      </c>
      <c r="E2166" s="60">
        <f>IFERROR(__xludf.DUMMYFUNCTION("""COMPUTED_VALUE"""),303985.0)</f>
        <v>303985</v>
      </c>
      <c r="F2166" s="61" t="str">
        <f>IFERROR(__xludf.DUMMYFUNCTION("""COMPUTED_VALUE"""),"これは恋なの、赤面くん【分冊版】")</f>
        <v>これは恋なの、赤面くん【分冊版】</v>
      </c>
      <c r="G2166" s="67">
        <f>IFERROR(__xludf.DUMMYFUNCTION("""COMPUTED_VALUE"""),1.0)</f>
        <v>1</v>
      </c>
      <c r="H2166" s="67" t="str">
        <f>IFERROR(__xludf.DUMMYFUNCTION("""COMPUTED_VALUE"""),"矢城ふゆ")</f>
        <v>矢城ふゆ</v>
      </c>
      <c r="I2166" s="67" t="str">
        <f>IFERROR(__xludf.DUMMYFUNCTION("""COMPUTED_VALUE"""),"BL")</f>
        <v>BL</v>
      </c>
      <c r="J2166" s="67"/>
      <c r="K2166" s="67"/>
      <c r="L2166" s="67" t="str">
        <f>IFERROR(__xludf.DUMMYFUNCTION("""COMPUTED_VALUE"""),"笠倉出版社")</f>
        <v>笠倉出版社</v>
      </c>
      <c r="M2166" s="85">
        <f>IFERROR(__xludf.DUMMYFUNCTION("""COMPUTED_VALUE"""),45576.0)</f>
        <v>45576</v>
      </c>
      <c r="N2166" s="85">
        <f>IFERROR(__xludf.DUMMYFUNCTION("""COMPUTED_VALUE"""),45603.0)</f>
        <v>45603</v>
      </c>
      <c r="O2166" s="67"/>
      <c r="P2166" s="71" t="str">
        <f>IFERROR(__xludf.DUMMYFUNCTION("""COMPUTED_VALUE"""),"可")</f>
        <v>可</v>
      </c>
      <c r="Q2166" s="67"/>
      <c r="R2166" s="67" t="str">
        <f>IFERROR(__xludf.DUMMYFUNCTION("""COMPUTED_VALUE"""),"格納済み")</f>
        <v>格納済み</v>
      </c>
      <c r="S2166" s="67" t="str">
        <f>IFERROR(__xludf.DUMMYFUNCTION("""COMPUTED_VALUE"""),"20240925_笠倉出版社_これは恋なの、赤面くん【分冊版】 1話")</f>
        <v>20240925_笠倉出版社_これは恋なの、赤面くん【分冊版】 1話</v>
      </c>
      <c r="T2166" s="67" t="str">
        <f>IFERROR(__xludf.DUMMYFUNCTION("""COMPUTED_VALUE"""),"格納済み")</f>
        <v>格納済み</v>
      </c>
      <c r="U2166" s="15" t="str">
        <f>IFERROR(__xludf.DUMMYFUNCTION("""COMPUTED_VALUE"""),"©矢城ふゆ/笠倉出版社")</f>
        <v>©矢城ふゆ/笠倉出版社</v>
      </c>
      <c r="V2166" s="8" t="str">
        <f>IFERROR(__xludf.DUMMYFUNCTION("""COMPUTED_VALUE"""),"『お…推しが目の前に！！？』推しのＶアイドルの配信を日々の楽しみにしている大学生の天宮。今日は午後の授業を受けたら、夜は推しの生配信日だと浮足立っていた。そんな天宮の前に最推しＶが登場！？…と思ったら、同級生の藤村がイメチェンした姿だった。ドストライク顔すぎて、近くで話すと昔からのちょっとしたコンプレックスである『テンパると赤面する癖』が出てしまう。一定の距離を取り、なるべく遠目から推し似の顔を眺めようと思っていたのに飲み会で隣同士になったりと距離が急接近して――！※本作品はweb雑誌「equal」に収録"&amp;"されています。重複購入にご注意ください。")</f>
        <v>『お…推しが目の前に！！？』推しのＶアイドルの配信を日々の楽しみにしている大学生の天宮。今日は午後の授業を受けたら、夜は推しの生配信日だと浮足立っていた。そんな天宮の前に最推しＶが登場！？…と思ったら、同級生の藤村がイメチェンした姿だった。ドストライク顔すぎて、近くで話すと昔からのちょっとしたコンプレックスである『テンパると赤面する癖』が出てしまう。一定の距離を取り、なるべく遠目から推し似の顔を眺めようと思っていたのに飲み会で隣同士になったりと距離が急接近して――！※本作品はweb雑誌「equal」に収録されています。重複購入にご注意ください。</v>
      </c>
      <c r="W2166" s="14"/>
      <c r="X2166" s="14" t="str">
        <f>IFERROR(__xludf.DUMMYFUNCTION("""COMPUTED_VALUE"""),"有")</f>
        <v>有</v>
      </c>
      <c r="Y2166" s="8" t="str">
        <f>IFERROR(__xludf.DUMMYFUNCTION("""COMPUTED_VALUE"""),"P6まで")</f>
        <v>P6まで</v>
      </c>
      <c r="Z2166" s="7"/>
      <c r="AA2166" s="7"/>
      <c r="AB2166" s="7"/>
    </row>
    <row r="2167" ht="15.75" customHeight="1">
      <c r="A2167" s="66">
        <f>IFERROR(__xludf.DUMMYFUNCTION("""COMPUTED_VALUE"""),3993.0)</f>
        <v>3993</v>
      </c>
      <c r="B2167" s="67" t="str">
        <f>IFERROR(__xludf.DUMMYFUNCTION("""COMPUTED_VALUE"""),"確定")</f>
        <v>確定</v>
      </c>
      <c r="C2167" s="68">
        <f>IFERROR(__xludf.DUMMYFUNCTION("""COMPUTED_VALUE"""),45523.0)</f>
        <v>45523</v>
      </c>
      <c r="D2167" s="68">
        <f>IFERROR(__xludf.DUMMYFUNCTION("""COMPUTED_VALUE"""),45561.0)</f>
        <v>45561</v>
      </c>
      <c r="E2167" s="60">
        <f>IFERROR(__xludf.DUMMYFUNCTION("""COMPUTED_VALUE"""),304170.0)</f>
        <v>304170</v>
      </c>
      <c r="F2167" s="61" t="str">
        <f>IFERROR(__xludf.DUMMYFUNCTION("""COMPUTED_VALUE"""),"その唇はＮＧで")</f>
        <v>その唇はＮＧで</v>
      </c>
      <c r="G2167" s="67" t="str">
        <f>IFERROR(__xludf.DUMMYFUNCTION("""COMPUTED_VALUE"""),"1～2")</f>
        <v>1～2</v>
      </c>
      <c r="H2167" s="67" t="str">
        <f>IFERROR(__xludf.DUMMYFUNCTION("""COMPUTED_VALUE"""),"片霧ライラ")</f>
        <v>片霧ライラ</v>
      </c>
      <c r="I2167" s="67" t="str">
        <f>IFERROR(__xludf.DUMMYFUNCTION("""COMPUTED_VALUE"""),"BL")</f>
        <v>BL</v>
      </c>
      <c r="J2167" s="67"/>
      <c r="K2167" s="67"/>
      <c r="L2167" s="67" t="str">
        <f>IFERROR(__xludf.DUMMYFUNCTION("""COMPUTED_VALUE"""),"CLLENN")</f>
        <v>CLLENN</v>
      </c>
      <c r="M2167" s="85">
        <f>IFERROR(__xludf.DUMMYFUNCTION("""COMPUTED_VALUE"""),45580.0)</f>
        <v>45580</v>
      </c>
      <c r="N2167" s="85">
        <f>IFERROR(__xludf.DUMMYFUNCTION("""COMPUTED_VALUE"""),45642.0)</f>
        <v>45642</v>
      </c>
      <c r="O2167" s="67"/>
      <c r="P2167" s="70" t="str">
        <f>IFERROR(__xludf.DUMMYFUNCTION("""COMPUTED_VALUE"""),"可")</f>
        <v>可</v>
      </c>
      <c r="Q2167" s="67" t="str">
        <f>IFERROR(__xludf.DUMMYFUNCTION("""COMPUTED_VALUE"""),"レーベル名：MooiComics")</f>
        <v>レーベル名：MooiComics</v>
      </c>
      <c r="R2167" s="67" t="str">
        <f>IFERROR(__xludf.DUMMYFUNCTION("""COMPUTED_VALUE"""),"広告コミットOK(8/28)")</f>
        <v>広告コミットOK(8/28)</v>
      </c>
      <c r="S2167" s="67" t="str">
        <f>IFERROR(__xludf.DUMMYFUNCTION("""COMPUTED_VALUE"""),"20240926_CLLENN_その唇はNGで／片霧ライラ")</f>
        <v>20240926_CLLENN_その唇はNGで／片霧ライラ</v>
      </c>
      <c r="T2167" s="67" t="str">
        <f>IFERROR(__xludf.DUMMYFUNCTION("""COMPUTED_VALUE"""),"格納済み")</f>
        <v>格納済み</v>
      </c>
      <c r="U2167" s="15" t="str">
        <f>IFERROR(__xludf.DUMMYFUNCTION("""COMPUTED_VALUE"""),"(C)片霧ライラ/CLLENN")</f>
        <v>(C)片霧ライラ/CLLENN</v>
      </c>
      <c r="V2167" s="8" t="str">
        <f>IFERROR(__xludf.DUMMYFUNCTION("""COMPUTED_VALUE"""),"「こんな奴とのセックスで感じてしまうなんて……！」――化粧品メーカーの”やり手営業”白嶺（しらみね）には気に食わない男がいる。それは、年下のくせに顔を合わせれば生意気に盾突く、美容部員マネージャーの黒須（くろす）。彼とは馬が合わず、いつも顔を合わせればぶつかってばかり。ある日、仕事がスムーズにいかずイライラしていた白嶺は、ストレス発散の為に馴染みのバーへ向かう。そこで見かけたドタイプの男についつい見惚れてしまうが…まさか――――！？《裏表アリな年下BAマネージャー×流され美人営業》ムカつくアイツの顔が好き"&amp;"すぎて抗えない！身体から始まる秘密のスキャンダラス・オフィスラブ！")</f>
        <v>「こんな奴とのセックスで感じてしまうなんて……！」――化粧品メーカーの”やり手営業”白嶺（しらみね）には気に食わない男がいる。それは、年下のくせに顔を合わせれば生意気に盾突く、美容部員マネージャーの黒須（くろす）。彼とは馬が合わず、いつも顔を合わせればぶつかってばかり。ある日、仕事がスムーズにいかずイライラしていた白嶺は、ストレス発散の為に馴染みのバーへ向かう。そこで見かけたドタイプの男についつい見惚れてしまうが…まさか――――！？《裏表アリな年下BAマネージャー×流され美人営業》ムカつくアイツの顔が好きすぎて抗えない！身体から始まる秘密のスキャンダラス・オフィスラブ！</v>
      </c>
      <c r="W2167" s="14"/>
      <c r="X2167" s="14" t="str">
        <f>IFERROR(__xludf.DUMMYFUNCTION("""COMPUTED_VALUE"""),"有")</f>
        <v>有</v>
      </c>
      <c r="Y2167" s="8" t="str">
        <f>IFERROR(__xludf.DUMMYFUNCTION("""COMPUTED_VALUE"""),"P10まで")</f>
        <v>P10まで</v>
      </c>
      <c r="Z2167" s="7"/>
      <c r="AA2167" s="7"/>
      <c r="AB2167" s="7"/>
    </row>
    <row r="2168" ht="15.75" customHeight="1">
      <c r="A2168" s="66">
        <f>IFERROR(__xludf.DUMMYFUNCTION("""COMPUTED_VALUE"""),4027.0)</f>
        <v>4027</v>
      </c>
      <c r="B2168" s="67" t="str">
        <f>IFERROR(__xludf.DUMMYFUNCTION("""COMPUTED_VALUE"""),"確定")</f>
        <v>確定</v>
      </c>
      <c r="C2168" s="68">
        <f>IFERROR(__xludf.DUMMYFUNCTION("""COMPUTED_VALUE"""),45526.0)</f>
        <v>45526</v>
      </c>
      <c r="D2168" s="68">
        <f>IFERROR(__xludf.DUMMYFUNCTION("""COMPUTED_VALUE"""),45566.0)</f>
        <v>45566</v>
      </c>
      <c r="E2168" s="60">
        <f>IFERROR(__xludf.DUMMYFUNCTION("""COMPUTED_VALUE"""),304913.0)</f>
        <v>304913</v>
      </c>
      <c r="F2168" s="61" t="str">
        <f>IFERROR(__xludf.DUMMYFUNCTION("""COMPUTED_VALUE"""),"堕天の王と契約の花嫁～虐げられた魔女は死して愛を知る～")</f>
        <v>堕天の王と契約の花嫁～虐げられた魔女は死して愛を知る～</v>
      </c>
      <c r="G2168" s="67" t="str">
        <f>IFERROR(__xludf.DUMMYFUNCTION("""COMPUTED_VALUE"""),"1～3")</f>
        <v>1～3</v>
      </c>
      <c r="H2168" s="67" t="str">
        <f>IFERROR(__xludf.DUMMYFUNCTION("""COMPUTED_VALUE"""),"セカイメグル")</f>
        <v>セカイメグル</v>
      </c>
      <c r="I2168" s="67" t="str">
        <f>IFERROR(__xludf.DUMMYFUNCTION("""COMPUTED_VALUE"""),"女性")</f>
        <v>女性</v>
      </c>
      <c r="J2168" s="67"/>
      <c r="K2168" s="67"/>
      <c r="L2168" s="67" t="str">
        <f>IFERROR(__xludf.DUMMYFUNCTION("""COMPUTED_VALUE"""),"CLLENN")</f>
        <v>CLLENN</v>
      </c>
      <c r="M2168" s="85">
        <f>IFERROR(__xludf.DUMMYFUNCTION("""COMPUTED_VALUE"""),45590.0)</f>
        <v>45590</v>
      </c>
      <c r="N2168" s="85">
        <f>IFERROR(__xludf.DUMMYFUNCTION("""COMPUTED_VALUE"""),45652.0)</f>
        <v>45652</v>
      </c>
      <c r="O2168" s="67"/>
      <c r="P2168" s="70" t="str">
        <f>IFERROR(__xludf.DUMMYFUNCTION("""COMPUTED_VALUE"""),"可")</f>
        <v>可</v>
      </c>
      <c r="Q2168" s="67" t="str">
        <f>IFERROR(__xludf.DUMMYFUNCTION("""COMPUTED_VALUE"""),"レーベル名：ropopo")</f>
        <v>レーベル名：ropopo</v>
      </c>
      <c r="R2168" s="67" t="str">
        <f>IFERROR(__xludf.DUMMYFUNCTION("""COMPUTED_VALUE"""),"広告コミットOK(8/28)")</f>
        <v>広告コミットOK(8/28)</v>
      </c>
      <c r="S2168" s="67" t="str">
        <f>IFERROR(__xludf.DUMMYFUNCTION("""COMPUTED_VALUE"""),"20241001_CLLENN堕天の王と契約の花嫁")</f>
        <v>20241001_CLLENN堕天の王と契約の花嫁</v>
      </c>
      <c r="T2168" s="67" t="str">
        <f>IFERROR(__xludf.DUMMYFUNCTION("""COMPUTED_VALUE"""),"格納済み")</f>
        <v>格納済み</v>
      </c>
      <c r="U2168" s="15" t="str">
        <f>IFERROR(__xludf.DUMMYFUNCTION("""COMPUTED_VALUE"""),"(C)セカイメグル/CLLENN")</f>
        <v>(C)セカイメグル/CLLENN</v>
      </c>
      <c r="V2168" s="8" t="str">
        <f>IFERROR(__xludf.DUMMYFUNCTION("""COMPUTED_VALUE"""),"悪魔の力とされる黒魔法を持って生まれたせいで周りから差別と暴力を受けて育ったクローディア。少しでも誰かから愛されたいと願い耐え続けていたが、そんな彼女の願いは誰にも届くことはなく、向けられるのは嫌悪と憎悪だけだった。魔女と蔑まれ、ついには無実の罪をきせられ命を落とそうという時、彼女はそれでも「愛」を求めた。悪魔でもいい……そう願った彼女の手を取ったのは冷たい瞳をした悪魔の王。「お前の心が満たされるなら、いくらでも――」契約のためだとわかっていても、その向けられる愛しさに惑わされる。どうか、契約の間だけでい"&amp;"い、傍にいてくださいーー。")</f>
        <v>悪魔の力とされる黒魔法を持って生まれたせいで周りから差別と暴力を受けて育ったクローディア。少しでも誰かから愛されたいと願い耐え続けていたが、そんな彼女の願いは誰にも届くことはなく、向けられるのは嫌悪と憎悪だけだった。魔女と蔑まれ、ついには無実の罪をきせられ命を落とそうという時、彼女はそれでも「愛」を求めた。悪魔でもいい……そう願った彼女の手を取ったのは冷たい瞳をした悪魔の王。「お前の心が満たされるなら、いくらでも――」契約のためだとわかっていても、その向けられる愛しさに惑わされる。どうか、契約の間だけでいい、傍にいてくださいーー。</v>
      </c>
      <c r="W2168" s="14"/>
      <c r="X2168" s="14" t="str">
        <f>IFERROR(__xludf.DUMMYFUNCTION("""COMPUTED_VALUE"""),"有")</f>
        <v>有</v>
      </c>
      <c r="Y2168" s="8" t="str">
        <f>IFERROR(__xludf.DUMMYFUNCTION("""COMPUTED_VALUE"""),"P10まで")</f>
        <v>P10まで</v>
      </c>
      <c r="Z2168" s="7"/>
      <c r="AA2168" s="7"/>
      <c r="AB2168" s="7"/>
    </row>
    <row r="2169" ht="15.75" customHeight="1">
      <c r="A2169" s="66">
        <f>IFERROR(__xludf.DUMMYFUNCTION("""COMPUTED_VALUE"""),4040.0)</f>
        <v>4040</v>
      </c>
      <c r="B2169" s="67" t="str">
        <f>IFERROR(__xludf.DUMMYFUNCTION("""COMPUTED_VALUE"""),"確定")</f>
        <v>確定</v>
      </c>
      <c r="C2169" s="68">
        <f>IFERROR(__xludf.DUMMYFUNCTION("""COMPUTED_VALUE"""),45530.0)</f>
        <v>45530</v>
      </c>
      <c r="D2169" s="68">
        <f>IFERROR(__xludf.DUMMYFUNCTION("""COMPUTED_VALUE"""),45567.0)</f>
        <v>45567</v>
      </c>
      <c r="E2169" s="60">
        <f>IFERROR(__xludf.DUMMYFUNCTION("""COMPUTED_VALUE"""),305004.0)</f>
        <v>305004</v>
      </c>
      <c r="F2169" s="61" t="str">
        <f>IFERROR(__xludf.DUMMYFUNCTION("""COMPUTED_VALUE"""),"家に帰るといつもくっころが居る【単話版】")</f>
        <v>家に帰るといつもくっころが居る【単話版】</v>
      </c>
      <c r="G2169" s="67" t="str">
        <f>IFERROR(__xludf.DUMMYFUNCTION("""COMPUTED_VALUE"""),"1～7")</f>
        <v>1～7</v>
      </c>
      <c r="H2169" s="67" t="str">
        <f>IFERROR(__xludf.DUMMYFUNCTION("""COMPUTED_VALUE"""),"マイケル")</f>
        <v>マイケル</v>
      </c>
      <c r="I2169" s="67" t="str">
        <f>IFERROR(__xludf.DUMMYFUNCTION("""COMPUTED_VALUE"""),"青年")</f>
        <v>青年</v>
      </c>
      <c r="J2169" s="67"/>
      <c r="K2169" s="67"/>
      <c r="L2169" s="67" t="str">
        <f>IFERROR(__xludf.DUMMYFUNCTION("""COMPUTED_VALUE"""),"GANMA!")</f>
        <v>GANMA!</v>
      </c>
      <c r="M2169" s="59">
        <f>IFERROR(__xludf.DUMMYFUNCTION("""COMPUTED_VALUE"""),45597.0)</f>
        <v>45597</v>
      </c>
      <c r="N2169" s="68">
        <f>IFERROR(__xludf.DUMMYFUNCTION("""COMPUTED_VALUE"""),45688.0)</f>
        <v>45688</v>
      </c>
      <c r="O2169" s="67"/>
      <c r="P2169" s="71" t="str">
        <f>IFERROR(__xludf.DUMMYFUNCTION("""COMPUTED_VALUE"""),"可")</f>
        <v>可</v>
      </c>
      <c r="Q2169" s="67"/>
      <c r="R2169" s="67" t="str">
        <f>IFERROR(__xludf.DUMMYFUNCTION("""COMPUTED_VALUE"""),"広告コミットOK(9/3)")</f>
        <v>広告コミットOK(9/3)</v>
      </c>
      <c r="S2169" s="67" t="str">
        <f>IFERROR(__xludf.DUMMYFUNCTION("""COMPUTED_VALUE"""),"20241002_GANMA!_家に帰るといつもくっころが居る")</f>
        <v>20241002_GANMA!_家に帰るといつもくっころが居る</v>
      </c>
      <c r="T2169" s="67" t="str">
        <f>IFERROR(__xludf.DUMMYFUNCTION("""COMPUTED_VALUE"""),"格納済み")</f>
        <v>格納済み</v>
      </c>
      <c r="U2169" s="15" t="str">
        <f>IFERROR(__xludf.DUMMYFUNCTION("""COMPUTED_VALUE"""),"©マイケル/ZERO-TWO MANGA CREATE INC./COMISMA INC.")</f>
        <v>©マイケル/ZERO-TWO MANGA CREATE INC./COMISMA INC.</v>
      </c>
      <c r="V2169" s="8" t="str">
        <f>IFERROR(__xludf.DUMMYFUNCTION("""COMPUTED_VALUE"""),"一人暮らしの高校生が借りた部屋は、女騎士の幽霊が出る「わけあり物件」だった！（著者名：マイケル）")</f>
        <v>一人暮らしの高校生が借りた部屋は、女騎士の幽霊が出る「わけあり物件」だった！（著者名：マイケル）</v>
      </c>
      <c r="W2169" s="14"/>
      <c r="X2169" s="14" t="str">
        <f>IFERROR(__xludf.DUMMYFUNCTION("""COMPUTED_VALUE"""),"有")</f>
        <v>有</v>
      </c>
      <c r="Y2169" s="8" t="str">
        <f>IFERROR(__xludf.DUMMYFUNCTION("""COMPUTED_VALUE"""),"2025/1/31まで1巻無料")</f>
        <v>2025/1/31まで1巻無料</v>
      </c>
      <c r="Z2169" s="7"/>
      <c r="AA2169" s="7"/>
      <c r="AB2169" s="7"/>
    </row>
    <row r="2170" ht="15.75" customHeight="1">
      <c r="A2170" s="66">
        <f>IFERROR(__xludf.DUMMYFUNCTION("""COMPUTED_VALUE"""),4041.0)</f>
        <v>4041</v>
      </c>
      <c r="B2170" s="67" t="str">
        <f>IFERROR(__xludf.DUMMYFUNCTION("""COMPUTED_VALUE"""),"確定")</f>
        <v>確定</v>
      </c>
      <c r="C2170" s="68">
        <f>IFERROR(__xludf.DUMMYFUNCTION("""COMPUTED_VALUE"""),45530.0)</f>
        <v>45530</v>
      </c>
      <c r="D2170" s="68">
        <f>IFERROR(__xludf.DUMMYFUNCTION("""COMPUTED_VALUE"""),45567.0)</f>
        <v>45567</v>
      </c>
      <c r="E2170" s="60">
        <f>IFERROR(__xludf.DUMMYFUNCTION("""COMPUTED_VALUE"""),305005.0)</f>
        <v>305005</v>
      </c>
      <c r="F2170" s="61" t="str">
        <f>IFERROR(__xludf.DUMMYFUNCTION("""COMPUTED_VALUE"""),"量販トイスクラップー売る人と買う人の話ー【単話版】")</f>
        <v>量販トイスクラップー売る人と買う人の話ー【単話版】</v>
      </c>
      <c r="G2170" s="67" t="str">
        <f>IFERROR(__xludf.DUMMYFUNCTION("""COMPUTED_VALUE"""),"1～7")</f>
        <v>1～7</v>
      </c>
      <c r="H2170" s="67" t="str">
        <f>IFERROR(__xludf.DUMMYFUNCTION("""COMPUTED_VALUE"""),"淘田きょむ")</f>
        <v>淘田きょむ</v>
      </c>
      <c r="I2170" s="67" t="str">
        <f>IFERROR(__xludf.DUMMYFUNCTION("""COMPUTED_VALUE"""),"青年")</f>
        <v>青年</v>
      </c>
      <c r="J2170" s="67"/>
      <c r="K2170" s="67"/>
      <c r="L2170" s="67" t="str">
        <f>IFERROR(__xludf.DUMMYFUNCTION("""COMPUTED_VALUE"""),"GANMA!")</f>
        <v>GANMA!</v>
      </c>
      <c r="M2170" s="59">
        <f>IFERROR(__xludf.DUMMYFUNCTION("""COMPUTED_VALUE"""),45597.0)</f>
        <v>45597</v>
      </c>
      <c r="N2170" s="68">
        <f>IFERROR(__xludf.DUMMYFUNCTION("""COMPUTED_VALUE"""),45688.0)</f>
        <v>45688</v>
      </c>
      <c r="O2170" s="67"/>
      <c r="P2170" s="70" t="str">
        <f>IFERROR(__xludf.DUMMYFUNCTION("""COMPUTED_VALUE"""),"否")</f>
        <v>否</v>
      </c>
      <c r="Q2170" s="67" t="str">
        <f>IFERROR(__xludf.DUMMYFUNCTION("""COMPUTED_VALUE"""),"実際にSNSで話題になった内容含めて転売ヤーと販売店の攻防を描いており、SNSでの引きもありそうです！&lt;BR&gt;")</f>
        <v>実際にSNSで話題になった内容含めて転売ヤーと販売店の攻防を描いており、SNSでの引きもありそうです！&lt;BR&gt;</v>
      </c>
      <c r="R2170" s="67" t="str">
        <f>IFERROR(__xludf.DUMMYFUNCTION("""COMPUTED_VALUE"""),"広告コミットOK(9/3)")</f>
        <v>広告コミットOK(9/3)</v>
      </c>
      <c r="S2170" s="67" t="str">
        <f>IFERROR(__xludf.DUMMYFUNCTION("""COMPUTED_VALUE"""),"20241002_GANMA!_量販トイスクラップ")</f>
        <v>20241002_GANMA!_量販トイスクラップ</v>
      </c>
      <c r="T2170" s="67" t="str">
        <f>IFERROR(__xludf.DUMMYFUNCTION("""COMPUTED_VALUE"""),"格納済み")</f>
        <v>格納済み</v>
      </c>
      <c r="U2170" s="15" t="str">
        <f>IFERROR(__xludf.DUMMYFUNCTION("""COMPUTED_VALUE"""),"©淘田きょむ/COMICSMART INC.")</f>
        <v>©淘田きょむ/COMICSMART INC.</v>
      </c>
      <c r="V2170" s="8" t="str">
        <f>IFERROR(__xludf.DUMMYFUNCTION("""COMPUTED_VALUE"""),"「超越神格カード」は今大人気のカードゲーム。レアカードになれば取引額は12万を超えるというーー。 急な入荷で、家電量販店のおもちゃフロアは大混雑！？ “たかがおもちゃ、されどおもちゃ”のリアルドラマ！（著者名：淘田きょむ）")</f>
        <v>「超越神格カード」は今大人気のカードゲーム。レアカードになれば取引額は12万を超えるというーー。 急な入荷で、家電量販店のおもちゃフロアは大混雑！？ “たかがおもちゃ、されどおもちゃ”のリアルドラマ！（著者名：淘田きょむ）</v>
      </c>
      <c r="W2170" s="14"/>
      <c r="X2170" s="14" t="str">
        <f>IFERROR(__xludf.DUMMYFUNCTION("""COMPUTED_VALUE"""),"有")</f>
        <v>有</v>
      </c>
      <c r="Y2170" s="8" t="str">
        <f>IFERROR(__xludf.DUMMYFUNCTION("""COMPUTED_VALUE"""),"2025/1/31まで1～3巻無料")</f>
        <v>2025/1/31まで1～3巻無料</v>
      </c>
      <c r="Z2170" s="7"/>
      <c r="AA2170" s="7"/>
      <c r="AB2170" s="7"/>
    </row>
    <row r="2171" ht="15.75" customHeight="1">
      <c r="A2171" s="66">
        <f>IFERROR(__xludf.DUMMYFUNCTION("""COMPUTED_VALUE"""),4045.0)</f>
        <v>4045</v>
      </c>
      <c r="B2171" s="67" t="str">
        <f>IFERROR(__xludf.DUMMYFUNCTION("""COMPUTED_VALUE"""),"確定")</f>
        <v>確定</v>
      </c>
      <c r="C2171" s="68">
        <f>IFERROR(__xludf.DUMMYFUNCTION("""COMPUTED_VALUE"""),45531.0)</f>
        <v>45531</v>
      </c>
      <c r="D2171" s="68">
        <f>IFERROR(__xludf.DUMMYFUNCTION("""COMPUTED_VALUE"""),45567.0)</f>
        <v>45567</v>
      </c>
      <c r="E2171" s="60">
        <f>IFERROR(__xludf.DUMMYFUNCTION("""COMPUTED_VALUE"""),307192.0)</f>
        <v>307192</v>
      </c>
      <c r="F2171" s="61" t="str">
        <f>IFERROR(__xludf.DUMMYFUNCTION("""COMPUTED_VALUE"""),"山田の学級日誌［1話売り］")</f>
        <v>山田の学級日誌［1話売り］</v>
      </c>
      <c r="G2171" s="67" t="str">
        <f>IFERROR(__xludf.DUMMYFUNCTION("""COMPUTED_VALUE"""),"1～3")</f>
        <v>1～3</v>
      </c>
      <c r="H2171" s="67" t="str">
        <f>IFERROR(__xludf.DUMMYFUNCTION("""COMPUTED_VALUE"""),"青海瑠依")</f>
        <v>青海瑠依</v>
      </c>
      <c r="I2171" s="67" t="str">
        <f>IFERROR(__xludf.DUMMYFUNCTION("""COMPUTED_VALUE"""),"少女")</f>
        <v>少女</v>
      </c>
      <c r="J2171" s="67"/>
      <c r="K2171" s="67"/>
      <c r="L2171" s="67" t="str">
        <f>IFERROR(__xludf.DUMMYFUNCTION("""COMPUTED_VALUE"""),"白泉社")</f>
        <v>白泉社</v>
      </c>
      <c r="M2171" s="59">
        <f>IFERROR(__xludf.DUMMYFUNCTION("""COMPUTED_VALUE"""),45598.0)</f>
        <v>45598</v>
      </c>
      <c r="N2171" s="68">
        <f>IFERROR(__xludf.DUMMYFUNCTION("""COMPUTED_VALUE"""),45676.0)</f>
        <v>45676</v>
      </c>
      <c r="O2171" s="67"/>
      <c r="P2171" s="80" t="str">
        <f>IFERROR(__xludf.DUMMYFUNCTION("""COMPUTED_VALUE"""),"否")</f>
        <v>否</v>
      </c>
      <c r="Q2171" s="67" t="str">
        <f>IFERROR(__xludf.DUMMYFUNCTION("""COMPUTED_VALUE"""),"『花とゆめ』レーベル作品です。")</f>
        <v>『花とゆめ』レーベル作品です。</v>
      </c>
      <c r="R2171" s="67" t="str">
        <f>IFERROR(__xludf.DUMMYFUNCTION("""COMPUTED_VALUE"""),"広告コミットOK(8/28)")</f>
        <v>広告コミットOK(8/28)</v>
      </c>
      <c r="S2171" s="67" t="str">
        <f>IFERROR(__xludf.DUMMYFUNCTION("""COMPUTED_VALUE"""),"20240827_白泉社_山田の学級日誌")</f>
        <v>20240827_白泉社_山田の学級日誌</v>
      </c>
      <c r="T2171" s="67" t="str">
        <f>IFERROR(__xludf.DUMMYFUNCTION("""COMPUTED_VALUE"""),"格納済み")</f>
        <v>格納済み</v>
      </c>
      <c r="U2171" s="15" t="str">
        <f>IFERROR(__xludf.DUMMYFUNCTION("""COMPUTED_VALUE"""),"Ⓒ青海瑠依/白泉社")</f>
        <v>Ⓒ青海瑠依/白泉社</v>
      </c>
      <c r="V2171" s="8" t="str">
        <f>IFERROR(__xludf.DUMMYFUNCTION("""COMPUTED_VALUE"""),"元男子校に入学した超真面目ガール・山田仁菜。「つまんない」「クソ真面目」と言われようと、推薦のためなら頑張れる!!と勉強する日々。ある日、不登校なクラスメイト・村田を登校させれば内申点をあげると担任から言われ、渋々承諾することに。彼がいるというゲームセンターへ行くと、女の子をはべらかす超チャラ男がいて…？凸凹青春ラブコメディ！(この話は、【電子版】花とゆめ 17号（2024年）に収録されています。)")</f>
        <v>元男子校に入学した超真面目ガール・山田仁菜。「つまんない」「クソ真面目」と言われようと、推薦のためなら頑張れる!!と勉強する日々。ある日、不登校なクラスメイト・村田を登校させれば内申点をあげると担任から言われ、渋々承諾することに。彼がいるというゲームセンターへ行くと、女の子をはべらかす超チャラ男がいて…？凸凹青春ラブコメディ！(この話は、【電子版】花とゆめ 17号（2024年）に収録されています。)</v>
      </c>
      <c r="W2171" s="14"/>
      <c r="X2171" s="14" t="str">
        <f>IFERROR(__xludf.DUMMYFUNCTION("""COMPUTED_VALUE"""),"有")</f>
        <v>有</v>
      </c>
      <c r="Y2171" s="8" t="str">
        <f>IFERROR(__xludf.DUMMYFUNCTION("""COMPUTED_VALUE"""),"P10まで")</f>
        <v>P10まで</v>
      </c>
      <c r="Z2171" s="7"/>
      <c r="AA2171" s="7"/>
      <c r="AB2171" s="7"/>
    </row>
    <row r="2172" ht="15.75" customHeight="1">
      <c r="A2172" s="66">
        <f>IFERROR(__xludf.DUMMYFUNCTION("""COMPUTED_VALUE"""),4056.0)</f>
        <v>4056</v>
      </c>
      <c r="B2172" s="67" t="str">
        <f>IFERROR(__xludf.DUMMYFUNCTION("""COMPUTED_VALUE"""),"確定")</f>
        <v>確定</v>
      </c>
      <c r="C2172" s="68">
        <f>IFERROR(__xludf.DUMMYFUNCTION("""COMPUTED_VALUE"""),45532.0)</f>
        <v>45532</v>
      </c>
      <c r="D2172" s="68">
        <f>IFERROR(__xludf.DUMMYFUNCTION("""COMPUTED_VALUE"""),45566.0)</f>
        <v>45566</v>
      </c>
      <c r="E2172" s="60">
        <f>IFERROR(__xludf.DUMMYFUNCTION("""COMPUTED_VALUE"""),303875.0)</f>
        <v>303875</v>
      </c>
      <c r="F2172" s="61" t="str">
        <f>IFERROR(__xludf.DUMMYFUNCTION("""COMPUTED_VALUE"""),"妻にモザイク -愛する妻のNTR動画にモザイク処理させられる俺-")</f>
        <v>妻にモザイク -愛する妻のNTR動画にモザイク処理させられる俺-</v>
      </c>
      <c r="G2172" s="67" t="str">
        <f>IFERROR(__xludf.DUMMYFUNCTION("""COMPUTED_VALUE"""),"1～2")</f>
        <v>1～2</v>
      </c>
      <c r="H2172" s="67" t="str">
        <f>IFERROR(__xludf.DUMMYFUNCTION("""COMPUTED_VALUE"""),"はいとく")</f>
        <v>はいとく</v>
      </c>
      <c r="I2172" s="67" t="str">
        <f>IFERROR(__xludf.DUMMYFUNCTION("""COMPUTED_VALUE"""),"オトナ")</f>
        <v>オトナ</v>
      </c>
      <c r="J2172" s="67"/>
      <c r="K2172" s="67"/>
      <c r="L2172" s="67" t="str">
        <f>IFERROR(__xludf.DUMMYFUNCTION("""COMPUTED_VALUE"""),"ナイトコミック")</f>
        <v>ナイトコミック</v>
      </c>
      <c r="M2172" s="85">
        <f>IFERROR(__xludf.DUMMYFUNCTION("""COMPUTED_VALUE"""),45576.0)</f>
        <v>45576</v>
      </c>
      <c r="N2172" s="85">
        <f>IFERROR(__xludf.DUMMYFUNCTION("""COMPUTED_VALUE"""),45638.0)</f>
        <v>45638</v>
      </c>
      <c r="O2172" s="67"/>
      <c r="P2172" s="70" t="str">
        <f>IFERROR(__xludf.DUMMYFUNCTION("""COMPUTED_VALUE"""),"可")</f>
        <v>可</v>
      </c>
      <c r="Q2172" s="67" t="str">
        <f>IFERROR(__xludf.DUMMYFUNCTION("""COMPUTED_VALUE"""),"素材は1～2巻目を使用してください&lt;BR&gt;以下、3巻までの先行期間となります。&lt;BR&gt;1巻：2024/10/11～2024/12/12&lt;BR&gt;2巻：2024/10/11～2024/12/12&lt;BR&gt;3巻：2024/11/08～2025/01/09")</f>
        <v>素材は1～2巻目を使用してください&lt;BR&gt;以下、3巻までの先行期間となります。&lt;BR&gt;1巻：2024/10/11～2024/12/12&lt;BR&gt;2巻：2024/10/11～2024/12/12&lt;BR&gt;3巻：2024/11/08～2025/01/09</v>
      </c>
      <c r="R2172" s="67" t="str">
        <f>IFERROR(__xludf.DUMMYFUNCTION("""COMPUTED_VALUE"""),"広告コミットOK(9/3)")</f>
        <v>広告コミットOK(9/3)</v>
      </c>
      <c r="S2172" s="67" t="str">
        <f>IFERROR(__xludf.DUMMYFUNCTION("""COMPUTED_VALUE"""),"20241001_ナイトコミック_妻にモザイク -愛する妻のNTR動画にモザイク処理させられる俺-")</f>
        <v>20241001_ナイトコミック_妻にモザイク -愛する妻のNTR動画にモザイク処理させられる俺-</v>
      </c>
      <c r="T2172" s="67" t="str">
        <f>IFERROR(__xludf.DUMMYFUNCTION("""COMPUTED_VALUE"""),"格納済み")</f>
        <v>格納済み</v>
      </c>
      <c r="U2172" s="15" t="str">
        <f>IFERROR(__xludf.DUMMYFUNCTION("""COMPUTED_VALUE"""),"©はいとく先生")</f>
        <v>©はいとく先生</v>
      </c>
      <c r="V2172" s="8" t="str">
        <f>IFERROR(__xludf.DUMMYFUNCTION("""COMPUTED_VALUE"""),"動画編集の副業が軌道に乗り始め、脱サラした主人公。だが世の中そんなにうまく行くハズもなく、資金が底をつく。そんな時、助け舟を出してくれたのが会社員時代の後輩・谷原だった。谷原に1千万の借金をし、必ず返すと約束する主人公。だが谷原はお互いの為にできるだけ早く返済してほしいと言う。早期返済の為に谷原が考えた借金返済方法は…【妻とのネトラレ動画の販売】だった！？主人公の妻は優しく頼りがいのあるギャル妻アカリさん。困惑する夫婦だったが、谷原は「行為に拒否反応があればSEXしなくても良い」という条件を出してきて…。"&amp;"ヤらなくていいなら楽勝！そんな思いで谷原を待つアカリ、カメラを設置して待つ主人公。だが、谷原の手練手管は一枚上手だった…！？")</f>
        <v>動画編集の副業が軌道に乗り始め、脱サラした主人公。だが世の中そんなにうまく行くハズもなく、資金が底をつく。そんな時、助け舟を出してくれたのが会社員時代の後輩・谷原だった。谷原に1千万の借金をし、必ず返すと約束する主人公。だが谷原はお互いの為にできるだけ早く返済してほしいと言う。早期返済の為に谷原が考えた借金返済方法は…【妻とのネトラレ動画の販売】だった！？主人公の妻は優しく頼りがいのあるギャル妻アカリさん。困惑する夫婦だったが、谷原は「行為に拒否反応があればSEXしなくても良い」という条件を出してきて…。ヤらなくていいなら楽勝！そんな思いで谷原を待つアカリ、カメラを設置して待つ主人公。だが、谷原の手練手管は一枚上手だった…！？</v>
      </c>
      <c r="W2172" s="14"/>
      <c r="X2172" s="14" t="str">
        <f>IFERROR(__xludf.DUMMYFUNCTION("""COMPUTED_VALUE"""),"有")</f>
        <v>有</v>
      </c>
      <c r="Y2172" s="8" t="str">
        <f>IFERROR(__xludf.DUMMYFUNCTION("""COMPUTED_VALUE"""),"2024/10/24まで立ち読み増量
1巻P13まで
2巻P11まで")</f>
        <v>2024/10/24まで立ち読み増量
1巻P13まで
2巻P11まで</v>
      </c>
      <c r="Z2172" s="7"/>
      <c r="AA2172" s="7"/>
      <c r="AB2172" s="7"/>
    </row>
    <row r="2173" ht="15.75" customHeight="1">
      <c r="A2173" s="66">
        <f>IFERROR(__xludf.DUMMYFUNCTION("""COMPUTED_VALUE"""),4057.0)</f>
        <v>4057</v>
      </c>
      <c r="B2173" s="67" t="str">
        <f>IFERROR(__xludf.DUMMYFUNCTION("""COMPUTED_VALUE"""),"確定")</f>
        <v>確定</v>
      </c>
      <c r="C2173" s="68">
        <f>IFERROR(__xludf.DUMMYFUNCTION("""COMPUTED_VALUE"""),45532.0)</f>
        <v>45532</v>
      </c>
      <c r="D2173" s="68">
        <f>IFERROR(__xludf.DUMMYFUNCTION("""COMPUTED_VALUE"""),45566.0)</f>
        <v>45566</v>
      </c>
      <c r="E2173" s="60">
        <f>IFERROR(__xludf.DUMMYFUNCTION("""COMPUTED_VALUE"""),303656.0)</f>
        <v>303656</v>
      </c>
      <c r="F2173" s="61" t="str">
        <f>IFERROR(__xludf.DUMMYFUNCTION("""COMPUTED_VALUE"""),"ギャルちゃんと！放課後のお付き合い")</f>
        <v>ギャルちゃんと！放課後のお付き合い</v>
      </c>
      <c r="G2173" s="67" t="str">
        <f>IFERROR(__xludf.DUMMYFUNCTION("""COMPUTED_VALUE"""),"1～2")</f>
        <v>1～2</v>
      </c>
      <c r="H2173" s="67" t="str">
        <f>IFERROR(__xludf.DUMMYFUNCTION("""COMPUTED_VALUE"""),"やまこんぶ")</f>
        <v>やまこんぶ</v>
      </c>
      <c r="I2173" s="67" t="str">
        <f>IFERROR(__xludf.DUMMYFUNCTION("""COMPUTED_VALUE"""),"オトナ")</f>
        <v>オトナ</v>
      </c>
      <c r="J2173" s="67"/>
      <c r="K2173" s="67"/>
      <c r="L2173" s="67" t="str">
        <f>IFERROR(__xludf.DUMMYFUNCTION("""COMPUTED_VALUE"""),"ナイトコミック")</f>
        <v>ナイトコミック</v>
      </c>
      <c r="M2173" s="59">
        <f>IFERROR(__xludf.DUMMYFUNCTION("""COMPUTED_VALUE"""),45569.0)</f>
        <v>45569</v>
      </c>
      <c r="N2173" s="59">
        <f>IFERROR(__xludf.DUMMYFUNCTION("""COMPUTED_VALUE"""),45631.0)</f>
        <v>45631</v>
      </c>
      <c r="O2173" s="67"/>
      <c r="P2173" s="70" t="str">
        <f>IFERROR(__xludf.DUMMYFUNCTION("""COMPUTED_VALUE"""),"可")</f>
        <v>可</v>
      </c>
      <c r="Q2173" s="72" t="str">
        <f>IFERROR(__xludf.DUMMYFUNCTION("""COMPUTED_VALUE"""),"素材は1～2巻目を使用ください&lt;BR&gt;以下、先行配信期間となります。&lt;BR&gt;1巻：2024/10/04～2024/12/05&lt;BR&gt;2巻：2024/10/04～2024/12/05&lt;BR&gt;3巻：2024/11/01～2025/01/02&lt;BR&gt;4巻：2024/12/06～2025/02/06&lt;BR&gt;5巻：2025/01/03～2025/03/06&lt;BR&gt;6巻：2025/02/07～2025/04/03")</f>
        <v>素材は1～2巻目を使用ください&lt;BR&gt;以下、先行配信期間となります。&lt;BR&gt;1巻：2024/10/04～2024/12/05&lt;BR&gt;2巻：2024/10/04～2024/12/05&lt;BR&gt;3巻：2024/11/01～2025/01/02&lt;BR&gt;4巻：2024/12/06～2025/02/06&lt;BR&gt;5巻：2025/01/03～2025/03/06&lt;BR&gt;6巻：2025/02/07～2025/04/03</v>
      </c>
      <c r="R2173" s="67"/>
      <c r="S2173" s="67" t="str">
        <f>IFERROR(__xludf.DUMMYFUNCTION("""COMPUTED_VALUE"""),"20241001_ナイトコミック_ギャルちゃんと！放課後のお付き合い")</f>
        <v>20241001_ナイトコミック_ギャルちゃんと！放課後のお付き合い</v>
      </c>
      <c r="T2173" s="67" t="str">
        <f>IFERROR(__xludf.DUMMYFUNCTION("""COMPUTED_VALUE"""),"格納済み")</f>
        <v>格納済み</v>
      </c>
      <c r="U2173" s="15" t="str">
        <f>IFERROR(__xludf.DUMMYFUNCTION("""COMPUTED_VALUE"""),"©やまこんぶ")</f>
        <v>©やまこんぶ</v>
      </c>
      <c r="V2173" s="8" t="str">
        <f>IFERROR(__xludf.DUMMYFUNCTION("""COMPUTED_VALUE"""),"ある日の放課後、教室に残って作業をしていると何やら考え込むクラスメイトのギャルあいりの姿が目に入る。あいりは今描いているエロ漫画で童貞の反応がわからず悩んでいるようだった。童貞の反応が知りたいあいりは、主人公のち〇ぽをその場でしゃぶりだしてしまう。「続きは明日ね…」そんな言葉でドキドキしてるのは主人公だけではなく、あいりも自宅でオナるほどときめいていた。特別な関係になったふたりは、カラダの相性が抜群だった。やがてふたりは放課後が来るたび、ヤりまくるように…！？
---------------------"&amp;"----------
※こちらの紹介文の内容は1巻目の内容になります。
4巻目以降は違う内容になりますので、サンプルをご確認の上ご購入くださいませ。
-------------------------------")</f>
        <v>ある日の放課後、教室に残って作業をしていると何やら考え込むクラスメイトのギャルあいりの姿が目に入る。あいりは今描いているエロ漫画で童貞の反応がわからず悩んでいるようだった。童貞の反応が知りたいあいりは、主人公のち〇ぽをその場でしゃぶりだしてしまう。「続きは明日ね…」そんな言葉でドキドキしてるのは主人公だけではなく、あいりも自宅でオナるほどときめいていた。特別な関係になったふたりは、カラダの相性が抜群だった。やがてふたりは放課後が来るたび、ヤりまくるように…！？
-------------------------------
※こちらの紹介文の内容は1巻目の内容になります。
4巻目以降は違う内容になりますので、サンプルをご確認の上ご購入くださいませ。
-------------------------------</v>
      </c>
      <c r="W2173" s="14"/>
      <c r="X2173" s="14" t="str">
        <f>IFERROR(__xludf.DUMMYFUNCTION("""COMPUTED_VALUE"""),"有")</f>
        <v>有</v>
      </c>
      <c r="Y2173" s="8" t="str">
        <f>IFERROR(__xludf.DUMMYFUNCTION("""COMPUTED_VALUE"""),"2024/10/17まで立ち読み増量
1巻P16まで
2巻P8まで")</f>
        <v>2024/10/17まで立ち読み増量
1巻P16まで
2巻P8まで</v>
      </c>
      <c r="Z2173" s="7"/>
      <c r="AA2173" s="7"/>
      <c r="AB2173" s="7"/>
    </row>
    <row r="2174" ht="15.75" customHeight="1">
      <c r="A2174" s="66">
        <f>IFERROR(__xludf.DUMMYFUNCTION("""COMPUTED_VALUE"""),4086.0)</f>
        <v>4086</v>
      </c>
      <c r="B2174" s="67" t="str">
        <f>IFERROR(__xludf.DUMMYFUNCTION("""COMPUTED_VALUE"""),"確定")</f>
        <v>確定</v>
      </c>
      <c r="C2174" s="68">
        <f>IFERROR(__xludf.DUMMYFUNCTION("""COMPUTED_VALUE"""),45538.0)</f>
        <v>45538</v>
      </c>
      <c r="D2174" s="68">
        <f>IFERROR(__xludf.DUMMYFUNCTION("""COMPUTED_VALUE"""),45566.0)</f>
        <v>45566</v>
      </c>
      <c r="E2174" s="60">
        <f>IFERROR(__xludf.DUMMYFUNCTION("""COMPUTED_VALUE"""),304600.0)</f>
        <v>304600</v>
      </c>
      <c r="F2174" s="61" t="str">
        <f>IFERROR(__xludf.DUMMYFUNCTION("""COMPUTED_VALUE"""),"どうしようもないアイツ")</f>
        <v>どうしようもないアイツ</v>
      </c>
      <c r="G2174" s="67" t="str">
        <f>IFERROR(__xludf.DUMMYFUNCTION("""COMPUTED_VALUE"""),"1～3")</f>
        <v>1～3</v>
      </c>
      <c r="H2174" s="67" t="str">
        <f>IFERROR(__xludf.DUMMYFUNCTION("""COMPUTED_VALUE"""),"徳川もも")</f>
        <v>徳川もも</v>
      </c>
      <c r="I2174" s="67" t="str">
        <f>IFERROR(__xludf.DUMMYFUNCTION("""COMPUTED_VALUE"""),"女性")</f>
        <v>女性</v>
      </c>
      <c r="J2174" s="67"/>
      <c r="K2174" s="67"/>
      <c r="L2174" s="67" t="str">
        <f>IFERROR(__xludf.DUMMYFUNCTION("""COMPUTED_VALUE"""),"プランタン出版")</f>
        <v>プランタン出版</v>
      </c>
      <c r="M2174" s="85">
        <f>IFERROR(__xludf.DUMMYFUNCTION("""COMPUTED_VALUE"""),45583.0)</f>
        <v>45583</v>
      </c>
      <c r="N2174" s="85">
        <f>IFERROR(__xludf.DUMMYFUNCTION("""COMPUTED_VALUE"""),45645.0)</f>
        <v>45645</v>
      </c>
      <c r="O2174" s="67"/>
      <c r="P2174" s="71" t="str">
        <f>IFERROR(__xludf.DUMMYFUNCTION("""COMPUTED_VALUE"""),"可")</f>
        <v>可</v>
      </c>
      <c r="Q2174" s="67"/>
      <c r="R2174" s="67" t="str">
        <f>IFERROR(__xludf.DUMMYFUNCTION("""COMPUTED_VALUE"""),"広告コミットOK(9/6)")</f>
        <v>広告コミットOK(9/6)</v>
      </c>
      <c r="S2174" s="67" t="str">
        <f>IFERROR(__xludf.DUMMYFUNCTION("""COMPUTED_VALUE"""),"20240925_フランス書院_どうしようもないアイツ")</f>
        <v>20240925_フランス書院_どうしようもないアイツ</v>
      </c>
      <c r="T2174" s="67" t="str">
        <f>IFERROR(__xludf.DUMMYFUNCTION("""COMPUTED_VALUE"""),"格納済み")</f>
        <v>格納済み</v>
      </c>
      <c r="U2174" s="15" t="str">
        <f>IFERROR(__xludf.DUMMYFUNCTION("""COMPUTED_VALUE"""),"(C)徳川もも／犬野花子／プランタン出版")</f>
        <v>(C)徳川もも／犬野花子／プランタン出版</v>
      </c>
      <c r="V2174" s="8" t="str">
        <f>IFERROR(__xludf.DUMMYFUNCTION("""COMPUTED_VALUE"""),"学力底辺校に通うギャル・葉月は
良家の御曹司で容姿端麗な幼馴染み・浩太郎からある“お願い事”をされる。
それは――【イケない事（エッチな行為）】の相手になって欲しいというもので！？
跡継ぎとしての重圧でストレスが溜まるが、
習い事で遊ぶ時間はとれず、勉学に集中するため交際禁止令もあり、
息苦しいという浩太郎。
彼の懇願に根負けした葉月はにしぶしぶ協力するが
【イケない事】は日に日に過激になっていき――…
「葉月ちゃんにも気持ちよくなって欲しい」
浩太郎のしなやかな指が太ももを"&amp;"這い、やがて敏感な所を擦りだして……！？")</f>
        <v>学力底辺校に通うギャル・葉月は
良家の御曹司で容姿端麗な幼馴染み・浩太郎からある“お願い事”をされる。
それは――【イケない事（エッチな行為）】の相手になって欲しいというもので！？
跡継ぎとしての重圧でストレスが溜まるが、
習い事で遊ぶ時間はとれず、勉学に集中するため交際禁止令もあり、
息苦しいという浩太郎。
彼の懇願に根負けした葉月はにしぶしぶ協力するが
【イケない事】は日に日に過激になっていき――…
「葉月ちゃんにも気持ちよくなって欲しい」
浩太郎のしなやかな指が太ももを這い、やがて敏感な所を擦りだして……！？</v>
      </c>
      <c r="W2174" s="14"/>
      <c r="X2174" s="14" t="str">
        <f>IFERROR(__xludf.DUMMYFUNCTION("""COMPUTED_VALUE"""),"有")</f>
        <v>有</v>
      </c>
      <c r="Y2174" s="8" t="str">
        <f>IFERROR(__xludf.DUMMYFUNCTION("""COMPUTED_VALUE"""),"P9まで")</f>
        <v>P9まで</v>
      </c>
      <c r="Z2174" s="7"/>
      <c r="AA2174" s="7"/>
      <c r="AB2174" s="7"/>
    </row>
    <row r="2175" ht="15.75" customHeight="1">
      <c r="A2175" s="66">
        <f>IFERROR(__xludf.DUMMYFUNCTION("""COMPUTED_VALUE"""),4099.0)</f>
        <v>4099</v>
      </c>
      <c r="B2175" s="67" t="str">
        <f>IFERROR(__xludf.DUMMYFUNCTION("""COMPUTED_VALUE"""),"確定")</f>
        <v>確定</v>
      </c>
      <c r="C2175" s="68">
        <f>IFERROR(__xludf.DUMMYFUNCTION("""COMPUTED_VALUE"""),45540.0)</f>
        <v>45540</v>
      </c>
      <c r="D2175" s="68">
        <f>IFERROR(__xludf.DUMMYFUNCTION("""COMPUTED_VALUE"""),45566.0)</f>
        <v>45566</v>
      </c>
      <c r="E2175" s="60">
        <f>IFERROR(__xludf.DUMMYFUNCTION("""COMPUTED_VALUE"""),304626.0)</f>
        <v>304626</v>
      </c>
      <c r="F2175" s="61" t="str">
        <f>IFERROR(__xludf.DUMMYFUNCTION("""COMPUTED_VALUE"""),"融点 [完全版]【タテヨミ】")</f>
        <v>融点 [完全版]【タテヨミ】</v>
      </c>
      <c r="G2175" s="67" t="str">
        <f>IFERROR(__xludf.DUMMYFUNCTION("""COMPUTED_VALUE"""),"1～20")</f>
        <v>1～20</v>
      </c>
      <c r="H2175" s="78" t="str">
        <f>IFERROR(__xludf.DUMMYFUNCTION("""COMPUTED_VALUE"""),"Bulgama, Gyougyul	")</f>
        <v>Bulgama, Gyougyul	</v>
      </c>
      <c r="I2175" s="78" t="str">
        <f>IFERROR(__xludf.DUMMYFUNCTION("""COMPUTED_VALUE"""),"女性")</f>
        <v>女性</v>
      </c>
      <c r="J2175" s="67"/>
      <c r="K2175" s="67"/>
      <c r="L2175" s="67" t="str">
        <f>IFERROR(__xludf.DUMMYFUNCTION("""COMPUTED_VALUE"""),"リバース")</f>
        <v>リバース</v>
      </c>
      <c r="M2175" s="88">
        <f>IFERROR(__xludf.DUMMYFUNCTION("""COMPUTED_VALUE"""),45585.0)</f>
        <v>45585</v>
      </c>
      <c r="N2175" s="47">
        <f>IFERROR(__xludf.DUMMYFUNCTION("""COMPUTED_VALUE"""),45711.70833333333)</f>
        <v>45711.70833</v>
      </c>
      <c r="O2175" s="67"/>
      <c r="P2175" s="70" t="str">
        <f>IFERROR(__xludf.DUMMYFUNCTION("""COMPUTED_VALUE"""),"可")</f>
        <v>可</v>
      </c>
      <c r="Q2175" s="67" t="str">
        <f>IFERROR(__xludf.DUMMYFUNCTION("""COMPUTED_VALUE"""),"・韓国RIDIブックスでNo1で、韓国では非常にメジャーな作品。日本は未公開&lt;BR&gt;・タテヨミと版面の同時配信。タテヨミは初回配信1～20話、版面は1～10話（版面1話でタテヨミ2話分）&lt;BR&gt;・エロシーンを描いた「完全版」（TL）とエロシーンを薄めた「改訂版」（女性）を同時配信&lt;BR&gt;・リバース様が日本での版面市場を開拓したいという思いで、「結婚商売」でヒットしためちゃコミックの次にシーモアという日本の販路を確保しようとご提案された、かなり気合の入ったタイトルとのこと。ご検討よろしくお願いいたします！")</f>
        <v>・韓国RIDIブックスでNo1で、韓国では非常にメジャーな作品。日本は未公開&lt;BR&gt;・タテヨミと版面の同時配信。タテヨミは初回配信1～20話、版面は1～10話（版面1話でタテヨミ2話分）&lt;BR&gt;・エロシーンを描いた「完全版」（TL）とエロシーンを薄めた「改訂版」（女性）を同時配信&lt;BR&gt;・リバース様が日本での版面市場を開拓したいという思いで、「結婚商売」でヒットしためちゃコミックの次にシーモアという日本の販路を確保しようとご提案された、かなり気合の入ったタイトルとのこと。ご検討よろしくお願いいたします！</v>
      </c>
      <c r="R2175" s="67" t="str">
        <f>IFERROR(__xludf.DUMMYFUNCTION("""COMPUTED_VALUE"""),"広告コミットOK(9/10)")</f>
        <v>広告コミットOK(9/10)</v>
      </c>
      <c r="S2175" s="67" t="str">
        <f>IFERROR(__xludf.DUMMYFUNCTION("""COMPUTED_VALUE"""),"20241001_リバース_融点 [完全版]【タテヨミ】")</f>
        <v>20241001_リバース_融点 [完全版]【タテヨミ】</v>
      </c>
      <c r="T2175" s="67" t="str">
        <f>IFERROR(__xludf.DUMMYFUNCTION("""COMPUTED_VALUE"""),"格納済み")</f>
        <v>格納済み</v>
      </c>
      <c r="U2175" s="15" t="str">
        <f>IFERROR(__xludf.DUMMYFUNCTION("""COMPUTED_VALUE"""),"『融点 [完全版]【タテヨミ】』(c)Bulgama, Gyougyul, KINGDOM COMPANY / RIVERSE")</f>
        <v>『融点 [完全版]【タテヨミ】』(c)Bulgama, Gyougyul, KINGDOM COMPANY / RIVERSE</v>
      </c>
      <c r="V2175" s="8" t="str">
        <f>IFERROR(__xludf.DUMMYFUNCTION("""COMPUTED_VALUE"""),"※本作品は、『融点』の完全版となります。各話の収録内容も異なります。重複購入に十分にご注意ください。権力を持つ資産家の一人娘、高島美緒は全てを持っているように見えるが人形のように、孤独な人生を送ってきた。そしてやけに寒かったあの冬、ある男に出会う。それが冷酷無比で残酷な男、最大のヤクザ組織、宇川グループの大物であり後継者である斎藤亜利眞だった。「俺と火遊びがしたいのか？」一瞬の好奇心から始まった火遊び。ただそれだけのことだと思っていたのに…彼女に残されたのは、一夜の対価にしてはあまりにも過酷なものだった。")</f>
        <v>※本作品は、『融点』の完全版となります。各話の収録内容も異なります。重複購入に十分にご注意ください。権力を持つ資産家の一人娘、高島美緒は全てを持っているように見えるが人形のように、孤独な人生を送ってきた。そしてやけに寒かったあの冬、ある男に出会う。それが冷酷無比で残酷な男、最大のヤクザ組織、宇川グループの大物であり後継者である斎藤亜利眞だった。「俺と火遊びがしたいのか？」一瞬の好奇心から始まった火遊び。ただそれだけのことだと思っていたのに…彼女に残されたのは、一夜の対価にしてはあまりにも過酷なものだった。</v>
      </c>
      <c r="W2175" s="14"/>
      <c r="X2175" s="14" t="str">
        <f>IFERROR(__xludf.DUMMYFUNCTION("""COMPUTED_VALUE"""),"有")</f>
        <v>有</v>
      </c>
      <c r="Y2175" s="8" t="str">
        <f>IFERROR(__xludf.DUMMYFUNCTION("""COMPUTED_VALUE"""),"2024/11/2まで1～5巻無料")</f>
        <v>2024/11/2まで1～5巻無料</v>
      </c>
      <c r="Z2175" s="7"/>
      <c r="AA2175" s="7"/>
      <c r="AB2175" s="7"/>
    </row>
    <row r="2176" ht="15.75" customHeight="1">
      <c r="A2176" s="66">
        <f>IFERROR(__xludf.DUMMYFUNCTION("""COMPUTED_VALUE"""),4112.0)</f>
        <v>4112</v>
      </c>
      <c r="B2176" s="67" t="str">
        <f>IFERROR(__xludf.DUMMYFUNCTION("""COMPUTED_VALUE"""),"確定")</f>
        <v>確定</v>
      </c>
      <c r="C2176" s="68">
        <f>IFERROR(__xludf.DUMMYFUNCTION("""COMPUTED_VALUE"""),45545.0)</f>
        <v>45545</v>
      </c>
      <c r="D2176" s="68">
        <f>IFERROR(__xludf.DUMMYFUNCTION("""COMPUTED_VALUE"""),45566.0)</f>
        <v>45566</v>
      </c>
      <c r="E2176" s="60">
        <f>IFERROR(__xludf.DUMMYFUNCTION("""COMPUTED_VALUE"""),304684.0)</f>
        <v>304684</v>
      </c>
      <c r="F2176" s="61" t="str">
        <f>IFERROR(__xludf.DUMMYFUNCTION("""COMPUTED_VALUE"""),"オモイデもカオリも")</f>
        <v>オモイデもカオリも</v>
      </c>
      <c r="G2176" s="67" t="str">
        <f>IFERROR(__xludf.DUMMYFUNCTION("""COMPUTED_VALUE"""),"1～2")</f>
        <v>1～2</v>
      </c>
      <c r="H2176" s="67">
        <f>IFERROR(__xludf.DUMMYFUNCTION("""COMPUTED_VALUE"""),3104.0)</f>
        <v>3104</v>
      </c>
      <c r="I2176" s="67" t="str">
        <f>IFERROR(__xludf.DUMMYFUNCTION("""COMPUTED_VALUE"""),"オトナ")</f>
        <v>オトナ</v>
      </c>
      <c r="J2176" s="67"/>
      <c r="K2176" s="67"/>
      <c r="L2176" s="67" t="str">
        <f>IFERROR(__xludf.DUMMYFUNCTION("""COMPUTED_VALUE"""),"クロスフォリオ出版")</f>
        <v>クロスフォリオ出版</v>
      </c>
      <c r="M2176" s="85">
        <f>IFERROR(__xludf.DUMMYFUNCTION("""COMPUTED_VALUE"""),45590.0)</f>
        <v>45590</v>
      </c>
      <c r="N2176" s="85">
        <f>IFERROR(__xludf.DUMMYFUNCTION("""COMPUTED_VALUE"""),45652.0)</f>
        <v>45652</v>
      </c>
      <c r="O2176" s="67"/>
      <c r="P2176" s="70" t="str">
        <f>IFERROR(__xludf.DUMMYFUNCTION("""COMPUTED_VALUE"""),"可")</f>
        <v>可</v>
      </c>
      <c r="Q2176" s="67" t="str">
        <f>IFERROR(__xludf.DUMMYFUNCTION("""COMPUTED_VALUE"""),"BookLiveとの数社先行です。")</f>
        <v>BookLiveとの数社先行です。</v>
      </c>
      <c r="R2176" s="67" t="str">
        <f>IFERROR(__xludf.DUMMYFUNCTION("""COMPUTED_VALUE"""),"広告コミットOK（9/17）")</f>
        <v>広告コミットOK（9/17）</v>
      </c>
      <c r="S2176" s="67" t="str">
        <f>IFERROR(__xludf.DUMMYFUNCTION("""COMPUTED_VALUE"""),"20240930_BookLive_オモイデもカオリも")</f>
        <v>20240930_BookLive_オモイデもカオリも</v>
      </c>
      <c r="T2176" s="67" t="str">
        <f>IFERROR(__xludf.DUMMYFUNCTION("""COMPUTED_VALUE"""),"格納済み")</f>
        <v>格納済み</v>
      </c>
      <c r="U2176" s="15" t="str">
        <f>IFERROR(__xludf.DUMMYFUNCTION("""COMPUTED_VALUE"""),"Ⓒ3104/3104丁目/クロスフォリオ出版")</f>
        <v>Ⓒ3104/3104丁目/クロスフォリオ出版</v>
      </c>
      <c r="V2176" s="8" t="str">
        <f>IFERROR(__xludf.DUMMYFUNCTION("""COMPUTED_VALUE"""),"同い年で幼馴染の彼氏『翔』から、高価な誕生日プレゼントを貰った『夏織』。
必死にアルバイトをした彼氏の気持ちに応えるため、JKでも出来る海の家でのバイトをすることになる。
水着での接客ゆえに男性客からセクハラされるも、海の家の店長が仲裁に入ったことで事なきを得る夏織。
翔とは違う屈強で頼もしい姿にドキドキしつつ、気づけば何でも相談出来る程心を許していた...
ある日の仕事終わり、夏織は翔が奥手過ぎるという悩みを店長に打ち明けた。
すると店長に『じゃあ俺と練習してみる？』と提案され...!"&amp;"?
※本作は3104の個人誌作品の電子書籍版となります。【20ページ】")</f>
        <v>同い年で幼馴染の彼氏『翔』から、高価な誕生日プレゼントを貰った『夏織』。
必死にアルバイトをした彼氏の気持ちに応えるため、JKでも出来る海の家でのバイトをすることになる。
水着での接客ゆえに男性客からセクハラされるも、海の家の店長が仲裁に入ったことで事なきを得る夏織。
翔とは違う屈強で頼もしい姿にドキドキしつつ、気づけば何でも相談出来る程心を許していた...
ある日の仕事終わり、夏織は翔が奥手過ぎるという悩みを店長に打ち明けた。
すると店長に『じゃあ俺と練習してみる？』と提案され...!?
※本作は3104の個人誌作品の電子書籍版となります。【20ページ】</v>
      </c>
      <c r="W2176" s="14"/>
      <c r="X2176" s="14" t="str">
        <f>IFERROR(__xludf.DUMMYFUNCTION("""COMPUTED_VALUE"""),"有")</f>
        <v>有</v>
      </c>
      <c r="Y2176" s="8" t="str">
        <f>IFERROR(__xludf.DUMMYFUNCTION("""COMPUTED_VALUE"""),"P12まで")</f>
        <v>P12まで</v>
      </c>
      <c r="Z2176" s="7"/>
      <c r="AA2176" s="7"/>
      <c r="AB2176" s="7"/>
    </row>
    <row r="2177" ht="15.75" customHeight="1">
      <c r="A2177" s="66">
        <f>IFERROR(__xludf.DUMMYFUNCTION("""COMPUTED_VALUE"""),4114.0)</f>
        <v>4114</v>
      </c>
      <c r="B2177" s="67" t="str">
        <f>IFERROR(__xludf.DUMMYFUNCTION("""COMPUTED_VALUE"""),"確定")</f>
        <v>確定</v>
      </c>
      <c r="C2177" s="68">
        <f>IFERROR(__xludf.DUMMYFUNCTION("""COMPUTED_VALUE"""),45545.0)</f>
        <v>45545</v>
      </c>
      <c r="D2177" s="68">
        <f>IFERROR(__xludf.DUMMYFUNCTION("""COMPUTED_VALUE"""),45566.0)</f>
        <v>45566</v>
      </c>
      <c r="E2177" s="60">
        <f>IFERROR(__xludf.DUMMYFUNCTION("""COMPUTED_VALUE"""),304688.0)</f>
        <v>304688</v>
      </c>
      <c r="F2177" s="61" t="str">
        <f>IFERROR(__xludf.DUMMYFUNCTION("""COMPUTED_VALUE"""),"性体師〜私の妻を抱いてくれ〜")</f>
        <v>性体師〜私の妻を抱いてくれ〜</v>
      </c>
      <c r="G2177" s="67" t="str">
        <f>IFERROR(__xludf.DUMMYFUNCTION("""COMPUTED_VALUE"""),"1～4")</f>
        <v>1～4</v>
      </c>
      <c r="H2177" s="67" t="str">
        <f>IFERROR(__xludf.DUMMYFUNCTION("""COMPUTED_VALUE"""),"さめまんま")</f>
        <v>さめまんま</v>
      </c>
      <c r="I2177" s="67" t="str">
        <f>IFERROR(__xludf.DUMMYFUNCTION("""COMPUTED_VALUE"""),"オトナ")</f>
        <v>オトナ</v>
      </c>
      <c r="J2177" s="67"/>
      <c r="K2177" s="67"/>
      <c r="L2177" s="67" t="str">
        <f>IFERROR(__xludf.DUMMYFUNCTION("""COMPUTED_VALUE"""),"クロスフォリオ出版")</f>
        <v>クロスフォリオ出版</v>
      </c>
      <c r="M2177" s="85">
        <f>IFERROR(__xludf.DUMMYFUNCTION("""COMPUTED_VALUE"""),45590.0)</f>
        <v>45590</v>
      </c>
      <c r="N2177" s="85">
        <f>IFERROR(__xludf.DUMMYFUNCTION("""COMPUTED_VALUE"""),45652.0)</f>
        <v>45652</v>
      </c>
      <c r="O2177" s="67"/>
      <c r="P2177" s="70" t="str">
        <f>IFERROR(__xludf.DUMMYFUNCTION("""COMPUTED_VALUE"""),"可")</f>
        <v>可</v>
      </c>
      <c r="Q2177" s="67" t="str">
        <f>IFERROR(__xludf.DUMMYFUNCTION("""COMPUTED_VALUE"""),"BookLiveとの数社先行です。")</f>
        <v>BookLiveとの数社先行です。</v>
      </c>
      <c r="R2177" s="67" t="str">
        <f>IFERROR(__xludf.DUMMYFUNCTION("""COMPUTED_VALUE"""),"広告コミットOK（9/17）")</f>
        <v>広告コミットOK（9/17）</v>
      </c>
      <c r="S2177" s="67" t="str">
        <f>IFERROR(__xludf.DUMMYFUNCTION("""COMPUTED_VALUE"""),"20240930_BookLive_性体師〜私の妻を抱いてくれ〜")</f>
        <v>20240930_BookLive_性体師〜私の妻を抱いてくれ〜</v>
      </c>
      <c r="T2177" s="67" t="str">
        <f>IFERROR(__xludf.DUMMYFUNCTION("""COMPUTED_VALUE"""),"格納済み")</f>
        <v>格納済み</v>
      </c>
      <c r="U2177" s="15" t="str">
        <f>IFERROR(__xludf.DUMMYFUNCTION("""COMPUTED_VALUE"""),"Ⓒさめまんま/まんま屋/クロスフォリオ出版")</f>
        <v>Ⓒさめまんま/まんま屋/クロスフォリオ出版</v>
      </c>
      <c r="V2177" s="8" t="str">
        <f>IFERROR(__xludf.DUMMYFUNCTION("""COMPUTED_VALUE"""),"「私の妻を抱いてくれ」
―しがない駆け出し整体師の主人公は、最愛の妻と細々と暮らしを続けていた。
優しくて、一生懸命で、夫想いの最高の妻だ。
ただひとつ、セックスレスなことを除いて。
そんなある日、仕事の電話が一本鳴り響く。
そこでの出来事で、主人公の日常は崩れていく。
平穏な日常を取り戻すことができるのか？
※本作はさめまんまの個人誌作品の電子書籍版となります。【28ページ】")</f>
        <v>「私の妻を抱いてくれ」
―しがない駆け出し整体師の主人公は、最愛の妻と細々と暮らしを続けていた。
優しくて、一生懸命で、夫想いの最高の妻だ。
ただひとつ、セックスレスなことを除いて。
そんなある日、仕事の電話が一本鳴り響く。
そこでの出来事で、主人公の日常は崩れていく。
平穏な日常を取り戻すことができるのか？
※本作はさめまんまの個人誌作品の電子書籍版となります。【28ページ】</v>
      </c>
      <c r="W2177" s="14"/>
      <c r="X2177" s="14" t="str">
        <f>IFERROR(__xludf.DUMMYFUNCTION("""COMPUTED_VALUE"""),"有")</f>
        <v>有</v>
      </c>
      <c r="Y2177" s="8" t="str">
        <f>IFERROR(__xludf.DUMMYFUNCTION("""COMPUTED_VALUE"""),"P16まで")</f>
        <v>P16まで</v>
      </c>
      <c r="Z2177" s="7"/>
      <c r="AA2177" s="7"/>
      <c r="AB2177" s="7"/>
    </row>
    <row r="2178" ht="15.75" customHeight="1">
      <c r="A2178" s="66">
        <f>IFERROR(__xludf.DUMMYFUNCTION("""COMPUTED_VALUE"""),4141.0)</f>
        <v>4141</v>
      </c>
      <c r="B2178" s="67" t="str">
        <f>IFERROR(__xludf.DUMMYFUNCTION("""COMPUTED_VALUE"""),"確定")</f>
        <v>確定</v>
      </c>
      <c r="C2178" s="68">
        <f>IFERROR(__xludf.DUMMYFUNCTION("""COMPUTED_VALUE"""),45552.0)</f>
        <v>45552</v>
      </c>
      <c r="D2178" s="68">
        <f>IFERROR(__xludf.DUMMYFUNCTION("""COMPUTED_VALUE"""),45567.0)</f>
        <v>45567</v>
      </c>
      <c r="E2178" s="60">
        <f>IFERROR(__xludf.DUMMYFUNCTION("""COMPUTED_VALUE"""),304773.0)</f>
        <v>304773</v>
      </c>
      <c r="F2178" s="61" t="str">
        <f>IFERROR(__xludf.DUMMYFUNCTION("""COMPUTED_VALUE"""),"鬼上司をデレさせたい！")</f>
        <v>鬼上司をデレさせたい！</v>
      </c>
      <c r="G2178" s="67" t="str">
        <f>IFERROR(__xludf.DUMMYFUNCTION("""COMPUTED_VALUE"""),"1～4")</f>
        <v>1～4</v>
      </c>
      <c r="H2178" s="67" t="str">
        <f>IFERROR(__xludf.DUMMYFUNCTION("""COMPUTED_VALUE"""),"古町ゆき")</f>
        <v>古町ゆき</v>
      </c>
      <c r="I2178" s="67" t="str">
        <f>IFERROR(__xludf.DUMMYFUNCTION("""COMPUTED_VALUE"""),"少女")</f>
        <v>少女</v>
      </c>
      <c r="J2178" s="67"/>
      <c r="K2178" s="67"/>
      <c r="L2178" s="67" t="str">
        <f>IFERROR(__xludf.DUMMYFUNCTION("""COMPUTED_VALUE"""),"テライド出版")</f>
        <v>テライド出版</v>
      </c>
      <c r="M2178" s="85">
        <f>IFERROR(__xludf.DUMMYFUNCTION("""COMPUTED_VALUE"""),45585.0)</f>
        <v>45585</v>
      </c>
      <c r="N2178" s="47">
        <f>IFERROR(__xludf.DUMMYFUNCTION("""COMPUTED_VALUE"""),45597.0)</f>
        <v>45597</v>
      </c>
      <c r="O2178" s="67"/>
      <c r="P2178" s="71" t="str">
        <f>IFERROR(__xludf.DUMMYFUNCTION("""COMPUTED_VALUE"""),"可")</f>
        <v>可</v>
      </c>
      <c r="Q2178" s="67"/>
      <c r="R2178" s="67" t="str">
        <f>IFERROR(__xludf.DUMMYFUNCTION("""COMPUTED_VALUE"""),"広告コミットOK(9/26)")</f>
        <v>広告コミットOK(9/26)</v>
      </c>
      <c r="S2178" s="67" t="str">
        <f>IFERROR(__xludf.DUMMYFUNCTION("""COMPUTED_VALUE"""),"20240917_ライドオン_鬼上司をデレさせたい！")</f>
        <v>20240917_ライドオン_鬼上司をデレさせたい！</v>
      </c>
      <c r="T2178" s="67" t="str">
        <f>IFERROR(__xludf.DUMMYFUNCTION("""COMPUTED_VALUE"""),"格納済み")</f>
        <v>格納済み</v>
      </c>
      <c r="U2178" s="15" t="str">
        <f>IFERROR(__xludf.DUMMYFUNCTION("""COMPUTED_VALUE"""),"©古町ゆき/AMUSE CREATIVE STUDIO")</f>
        <v>©古町ゆき/AMUSE CREATIVE STUDIO</v>
      </c>
      <c r="V2178" s="8" t="str">
        <f>IFERROR(__xludf.DUMMYFUNCTION("""COMPUTED_VALUE"""),"『世界一可愛い鬼上司との、終わらない幸せな日々――。』
社内でいっちば～～～ん鬼のように怖い上司である長谷川響（はせがわ・ひびき）は
社内でいっちば～～～ん男女から人気の高い女性ライターの麦野香純（むぎの・かすみ）と交際中。
一見、不釣り合いな凸凹カップルに見えるけど、響にはお菓子作りの趣味や隠れシャイな一面があり、
かつ香純にも他人に言えない、とんでもない秘密があって……。
ツン甘！デレ甘！甘々上司!? 焦れったくてキューンっとくる糖度2000％オーバーのオフィスラブコメ、
皆様からの熱"&amp;"い声援にお応えして、新シリーズ突入！")</f>
        <v>『世界一可愛い鬼上司との、終わらない幸せな日々――。』
社内でいっちば～～～ん鬼のように怖い上司である長谷川響（はせがわ・ひびき）は
社内でいっちば～～～ん男女から人気の高い女性ライターの麦野香純（むぎの・かすみ）と交際中。
一見、不釣り合いな凸凹カップルに見えるけど、響にはお菓子作りの趣味や隠れシャイな一面があり、
かつ香純にも他人に言えない、とんでもない秘密があって……。
ツン甘！デレ甘！甘々上司!? 焦れったくてキューンっとくる糖度2000％オーバーのオフィスラブコメ、
皆様からの熱い声援にお応えして、新シリーズ突入！</v>
      </c>
      <c r="W2178" s="14"/>
      <c r="X2178" s="14" t="str">
        <f>IFERROR(__xludf.DUMMYFUNCTION("""COMPUTED_VALUE"""),"有")</f>
        <v>有</v>
      </c>
      <c r="Y2178" s="8" t="str">
        <f>IFERROR(__xludf.DUMMYFUNCTION("""COMPUTED_VALUE"""),"2024/11/1まで1巻無料")</f>
        <v>2024/11/1まで1巻無料</v>
      </c>
      <c r="Z2178" s="7"/>
      <c r="AA2178" s="7"/>
      <c r="AB2178" s="7"/>
    </row>
    <row r="2179" ht="15.75" customHeight="1">
      <c r="A2179" s="66">
        <f>IFERROR(__xludf.DUMMYFUNCTION("""COMPUTED_VALUE"""),4142.0)</f>
        <v>4142</v>
      </c>
      <c r="B2179" s="67" t="str">
        <f>IFERROR(__xludf.DUMMYFUNCTION("""COMPUTED_VALUE"""),"確定")</f>
        <v>確定</v>
      </c>
      <c r="C2179" s="68">
        <f>IFERROR(__xludf.DUMMYFUNCTION("""COMPUTED_VALUE"""),45552.0)</f>
        <v>45552</v>
      </c>
      <c r="D2179" s="68">
        <f>IFERROR(__xludf.DUMMYFUNCTION("""COMPUTED_VALUE"""),45567.0)</f>
        <v>45567</v>
      </c>
      <c r="E2179" s="60">
        <f>IFERROR(__xludf.DUMMYFUNCTION("""COMPUTED_VALUE"""),304501.0)</f>
        <v>304501</v>
      </c>
      <c r="F2179" s="61" t="str">
        <f>IFERROR(__xludf.DUMMYFUNCTION("""COMPUTED_VALUE"""),"転生したのに死にました～アイテムボックスに追放された俺は最強アンデッドになって華麗に脱出したい～【単話版】")</f>
        <v>転生したのに死にました～アイテムボックスに追放された俺は最強アンデッドになって華麗に脱出したい～【単話版】</v>
      </c>
      <c r="G2179" s="67" t="str">
        <f>IFERROR(__xludf.DUMMYFUNCTION("""COMPUTED_VALUE"""),"1～5")</f>
        <v>1～5</v>
      </c>
      <c r="H2179" s="67" t="str">
        <f>IFERROR(__xludf.DUMMYFUNCTION("""COMPUTED_VALUE"""),"THEマァ・備前島")</f>
        <v>THEマァ・備前島</v>
      </c>
      <c r="I2179" s="78" t="str">
        <f>IFERROR(__xludf.DUMMYFUNCTION("""COMPUTED_VALUE"""),"青年")</f>
        <v>青年</v>
      </c>
      <c r="J2179" s="67"/>
      <c r="K2179" s="67"/>
      <c r="L2179" s="67" t="str">
        <f>IFERROR(__xludf.DUMMYFUNCTION("""COMPUTED_VALUE"""),"デジタルカタパルト（デジカタ編集部）")</f>
        <v>デジタルカタパルト（デジカタ編集部）</v>
      </c>
      <c r="M2179" s="85">
        <f>IFERROR(__xludf.DUMMYFUNCTION("""COMPUTED_VALUE"""),45591.0)</f>
        <v>45591</v>
      </c>
      <c r="N2179" s="59">
        <f>IFERROR(__xludf.DUMMYFUNCTION("""COMPUTED_VALUE"""),45680.0)</f>
        <v>45680</v>
      </c>
      <c r="O2179" s="67"/>
      <c r="P2179" s="71" t="str">
        <f>IFERROR(__xludf.DUMMYFUNCTION("""COMPUTED_VALUE"""),"可")</f>
        <v>可</v>
      </c>
      <c r="Q2179" s="67"/>
      <c r="R2179" s="67" t="str">
        <f>IFERROR(__xludf.DUMMYFUNCTION("""COMPUTED_VALUE"""),"広告コミットOK(9/24)")</f>
        <v>広告コミットOK(9/24)</v>
      </c>
      <c r="S2179" s="67" t="str">
        <f>IFERROR(__xludf.DUMMYFUNCTION("""COMPUTED_VALUE"""),"20240930_デジタルカタパルト_転生したのに死にました～アイテムボックスに追放された俺は最強アンデッドになって華麗に脱出したい～")</f>
        <v>20240930_デジタルカタパルト_転生したのに死にました～アイテムボックスに追放された俺は最強アンデッドになって華麗に脱出したい～</v>
      </c>
      <c r="T2179" s="67" t="str">
        <f>IFERROR(__xludf.DUMMYFUNCTION("""COMPUTED_VALUE"""),"格納済み")</f>
        <v>格納済み</v>
      </c>
      <c r="U2179" s="15" t="str">
        <f>IFERROR(__xludf.DUMMYFUNCTION("""COMPUTED_VALUE"""),"©THEマァ・備前島/デジカタ編集部")</f>
        <v>©THEマァ・備前島/デジカタ編集部</v>
      </c>
      <c r="V2179" s="8" t="str">
        <f>IFERROR(__xludf.DUMMYFUNCTION("""COMPUTED_VALUE"""),"トラックに轢かれて死んでしまったタツアキは、異世界転生できることに心を躍らせていた。しかし転生先は勇者と魔王の最終決戦直前！？勇者の渾身の一撃に巻き込まれてしまいまたも死んでしまうのタツアキ…不始末を隠すために、タツアキをアイテムボックスに閉じ込める勇者だが、ボックス内でタツアキはアンデッドとして復活！使い魔のドクンちゃんとともに、無限迷宮と化したアイテムボックスからの脱出を目指す!!")</f>
        <v>トラックに轢かれて死んでしまったタツアキは、異世界転生できることに心を躍らせていた。しかし転生先は勇者と魔王の最終決戦直前！？勇者の渾身の一撃に巻き込まれてしまいまたも死んでしまうのタツアキ…不始末を隠すために、タツアキをアイテムボックスに閉じ込める勇者だが、ボックス内でタツアキはアンデッドとして復活！使い魔のドクンちゃんとともに、無限迷宮と化したアイテムボックスからの脱出を目指す!!</v>
      </c>
      <c r="W2179" s="14"/>
      <c r="X2179" s="14" t="str">
        <f>IFERROR(__xludf.DUMMYFUNCTION("""COMPUTED_VALUE"""),"有")</f>
        <v>有</v>
      </c>
      <c r="Y2179" s="8" t="str">
        <f>IFERROR(__xludf.DUMMYFUNCTION("""COMPUTED_VALUE"""),"2024/11/24まで1巻無料")</f>
        <v>2024/11/24まで1巻無料</v>
      </c>
      <c r="Z2179" s="7"/>
      <c r="AA2179" s="7"/>
      <c r="AB2179" s="7"/>
    </row>
    <row r="2180" ht="15.75" customHeight="1">
      <c r="A2180" s="66">
        <f>IFERROR(__xludf.DUMMYFUNCTION("""COMPUTED_VALUE"""),4163.0)</f>
        <v>4163</v>
      </c>
      <c r="B2180" s="67" t="str">
        <f>IFERROR(__xludf.DUMMYFUNCTION("""COMPUTED_VALUE"""),"確定")</f>
        <v>確定</v>
      </c>
      <c r="C2180" s="68">
        <f>IFERROR(__xludf.DUMMYFUNCTION("""COMPUTED_VALUE"""),45554.0)</f>
        <v>45554</v>
      </c>
      <c r="D2180" s="68">
        <f>IFERROR(__xludf.DUMMYFUNCTION("""COMPUTED_VALUE"""),45567.0)</f>
        <v>45567</v>
      </c>
      <c r="E2180" s="60">
        <f>IFERROR(__xludf.DUMMYFUNCTION("""COMPUTED_VALUE"""),305689.0)</f>
        <v>305689</v>
      </c>
      <c r="F2180" s="61" t="str">
        <f>IFERROR(__xludf.DUMMYFUNCTION("""COMPUTED_VALUE"""),"殺されるモブ姉はヤンデレ暴君義弟に溺愛されてます［ばら売り］")</f>
        <v>殺されるモブ姉はヤンデレ暴君義弟に溺愛されてます［ばら売り］</v>
      </c>
      <c r="G2180" s="67" t="str">
        <f>IFERROR(__xludf.DUMMYFUNCTION("""COMPUTED_VALUE"""),"1～4")</f>
        <v>1～4</v>
      </c>
      <c r="H2180" s="67" t="str">
        <f>IFERROR(__xludf.DUMMYFUNCTION("""COMPUTED_VALUE"""),"花蜜")</f>
        <v>花蜜</v>
      </c>
      <c r="I2180" s="67" t="str">
        <f>IFERROR(__xludf.DUMMYFUNCTION("""COMPUTED_VALUE"""),"少女")</f>
        <v>少女</v>
      </c>
      <c r="J2180" s="67"/>
      <c r="K2180" s="67"/>
      <c r="L2180" s="67" t="str">
        <f>IFERROR(__xludf.DUMMYFUNCTION("""COMPUTED_VALUE"""),"白泉社")</f>
        <v>白泉社</v>
      </c>
      <c r="M2180" s="59">
        <f>IFERROR(__xludf.DUMMYFUNCTION("""COMPUTED_VALUE"""),45605.0)</f>
        <v>45605</v>
      </c>
      <c r="N2180" s="59">
        <f>IFERROR(__xludf.DUMMYFUNCTION("""COMPUTED_VALUE"""),45667.0)</f>
        <v>45667</v>
      </c>
      <c r="O2180" s="67"/>
      <c r="P2180" s="80" t="str">
        <f>IFERROR(__xludf.DUMMYFUNCTION("""COMPUTED_VALUE"""),"可")</f>
        <v>可</v>
      </c>
      <c r="Q2180" s="72" t="str">
        <f>IFERROR(__xludf.DUMMYFUNCTION("""COMPUTED_VALUE"""),"『マンガPark』レーベル作品です。")</f>
        <v>『マンガPark』レーベル作品です。</v>
      </c>
      <c r="R2180" s="67"/>
      <c r="S2180" s="67" t="str">
        <f>IFERROR(__xludf.DUMMYFUNCTION("""COMPUTED_VALUE"""),"20240930_白泉社_殺されるモブ姉はヤンデレ暴君弟")</f>
        <v>20240930_白泉社_殺されるモブ姉はヤンデレ暴君弟</v>
      </c>
      <c r="T2180" s="67" t="str">
        <f>IFERROR(__xludf.DUMMYFUNCTION("""COMPUTED_VALUE"""),"格納済み")</f>
        <v>格納済み</v>
      </c>
      <c r="U2180" s="15" t="str">
        <f>IFERROR(__xludf.DUMMYFUNCTION("""COMPUTED_VALUE"""),"Ⓒ花蜜/白泉社")</f>
        <v>Ⓒ花蜜/白泉社</v>
      </c>
      <c r="V2180" s="8" t="str">
        <f>IFERROR(__xludf.DUMMYFUNCTION("""COMPUTED_VALUE"""),"【第1話】公爵家令嬢のシャノンは、母の再婚により義弟となったシルヴァを見るや否や、前世の記憶を思い出す――そう、今いる世界が『黒き騎士と祈りの姫君』という小説の中であり、最凶最悪の主人公・シルヴァスタによって無残に“殺される”義姉、シャノン・ティア・フロイラインこそが自分だということを…！　事あるごとに睨みをきかせてくる幼き暴君シルヴァに恐怖し、“人生終了”を回避すべく逃げ回るシャノン。しかし、ひょんなことからシャノンはシルヴァの本当の姿を知ってしまい…。「姉上の全ては俺のものだ、俺はこの手を離さない」暴"&amp;"君義弟×転生義姉のすれ違い異世界ラブロマンス！")</f>
        <v>【第1話】公爵家令嬢のシャノンは、母の再婚により義弟となったシルヴァを見るや否や、前世の記憶を思い出す――そう、今いる世界が『黒き騎士と祈りの姫君』という小説の中であり、最凶最悪の主人公・シルヴァスタによって無残に“殺される”義姉、シャノン・ティア・フロイラインこそが自分だということを…！　事あるごとに睨みをきかせてくる幼き暴君シルヴァに恐怖し、“人生終了”を回避すべく逃げ回るシャノン。しかし、ひょんなことからシャノンはシルヴァの本当の姿を知ってしまい…。「姉上の全ては俺のものだ、俺はこの手を離さない」暴君義弟×転生義姉のすれ違い異世界ラブロマンス！</v>
      </c>
      <c r="W2180" s="14"/>
      <c r="X2180" s="14" t="str">
        <f>IFERROR(__xludf.DUMMYFUNCTION("""COMPUTED_VALUE"""),"有")</f>
        <v>有</v>
      </c>
      <c r="Y2180" s="8" t="str">
        <f>IFERROR(__xludf.DUMMYFUNCTION("""COMPUTED_VALUE"""),"2024/11/22まで1巻無料")</f>
        <v>2024/11/22まで1巻無料</v>
      </c>
      <c r="Z2180" s="7"/>
      <c r="AA2180" s="7"/>
      <c r="AB2180" s="7"/>
    </row>
    <row r="2181" ht="15.75" customHeight="1">
      <c r="A2181" s="66">
        <f>IFERROR(__xludf.DUMMYFUNCTION("""COMPUTED_VALUE"""),4164.0)</f>
        <v>4164</v>
      </c>
      <c r="B2181" s="67" t="str">
        <f>IFERROR(__xludf.DUMMYFUNCTION("""COMPUTED_VALUE"""),"確定")</f>
        <v>確定</v>
      </c>
      <c r="C2181" s="68">
        <f>IFERROR(__xludf.DUMMYFUNCTION("""COMPUTED_VALUE"""),45554.0)</f>
        <v>45554</v>
      </c>
      <c r="D2181" s="68">
        <f>IFERROR(__xludf.DUMMYFUNCTION("""COMPUTED_VALUE"""),45567.0)</f>
        <v>45567</v>
      </c>
      <c r="E2181" s="60">
        <f>IFERROR(__xludf.DUMMYFUNCTION("""COMPUTED_VALUE"""),305690.0)</f>
        <v>305690</v>
      </c>
      <c r="F2181" s="61" t="str">
        <f>IFERROR(__xludf.DUMMYFUNCTION("""COMPUTED_VALUE"""),"君を映して離さない［ばら売り］")</f>
        <v>君を映して離さない［ばら売り］</v>
      </c>
      <c r="G2181" s="67" t="str">
        <f>IFERROR(__xludf.DUMMYFUNCTION("""COMPUTED_VALUE"""),"1～4")</f>
        <v>1～4</v>
      </c>
      <c r="H2181" s="67" t="str">
        <f>IFERROR(__xludf.DUMMYFUNCTION("""COMPUTED_VALUE"""),"月本弓")</f>
        <v>月本弓</v>
      </c>
      <c r="I2181" s="67" t="str">
        <f>IFERROR(__xludf.DUMMYFUNCTION("""COMPUTED_VALUE"""),"少女")</f>
        <v>少女</v>
      </c>
      <c r="J2181" s="67"/>
      <c r="K2181" s="67"/>
      <c r="L2181" s="67" t="str">
        <f>IFERROR(__xludf.DUMMYFUNCTION("""COMPUTED_VALUE"""),"白泉社")</f>
        <v>白泉社</v>
      </c>
      <c r="M2181" s="59">
        <f>IFERROR(__xludf.DUMMYFUNCTION("""COMPUTED_VALUE"""),45605.0)</f>
        <v>45605</v>
      </c>
      <c r="N2181" s="59">
        <f>IFERROR(__xludf.DUMMYFUNCTION("""COMPUTED_VALUE"""),45667.0)</f>
        <v>45667</v>
      </c>
      <c r="O2181" s="67"/>
      <c r="P2181" s="80" t="str">
        <f>IFERROR(__xludf.DUMMYFUNCTION("""COMPUTED_VALUE"""),"可")</f>
        <v>可</v>
      </c>
      <c r="Q2181" s="72" t="str">
        <f>IFERROR(__xludf.DUMMYFUNCTION("""COMPUTED_VALUE"""),"『マンガPark』レーベル作品です。")</f>
        <v>『マンガPark』レーベル作品です。</v>
      </c>
      <c r="R2181" s="67"/>
      <c r="S2181" s="67" t="str">
        <f>IFERROR(__xludf.DUMMYFUNCTION("""COMPUTED_VALUE"""),"20240930_白泉社_君を映して離さない")</f>
        <v>20240930_白泉社_君を映して離さない</v>
      </c>
      <c r="T2181" s="67" t="str">
        <f>IFERROR(__xludf.DUMMYFUNCTION("""COMPUTED_VALUE"""),"格納済み")</f>
        <v>格納済み</v>
      </c>
      <c r="U2181" s="15" t="str">
        <f>IFERROR(__xludf.DUMMYFUNCTION("""COMPUTED_VALUE"""),"Ⓒ月本弓/白泉社")</f>
        <v>Ⓒ月本弓/白泉社</v>
      </c>
      <c r="V2181" s="8" t="str">
        <f>IFERROR(__xludf.DUMMYFUNCTION("""COMPUTED_VALUE"""),"【第1話】「ずっと見てたから、俺じゃ…ダメかな？」――ごく平凡な高校2年生・犬丸りおの親友・香月は、誰もが振り返る超絶美少女。可愛い香月と一緒にいるりおは、いつも“引き立て役”に。自分は誰の目にも映らない“透明人間”…そう諦めていたりおだが、唯一声をかけてくれるクラスメイトの春田に淡い恋心を抱いていた。だがある日、春田も香月のことが好きなのだと気づいてしまい、思わず教室を抜け出してしまう。「本当に透明になっちゃえばいいのに…」傷つくりおを、いつも教室の隅にいる地味で暗い“死神くん”越前谷が追いかけてきて…"&amp;"!?　地味を演じる最強イケメン×可愛い親友の“引き立て役”女子のじれキュンラブ！")</f>
        <v>【第1話】「ずっと見てたから、俺じゃ…ダメかな？」――ごく平凡な高校2年生・犬丸りおの親友・香月は、誰もが振り返る超絶美少女。可愛い香月と一緒にいるりおは、いつも“引き立て役”に。自分は誰の目にも映らない“透明人間”…そう諦めていたりおだが、唯一声をかけてくれるクラスメイトの春田に淡い恋心を抱いていた。だがある日、春田も香月のことが好きなのだと気づいてしまい、思わず教室を抜け出してしまう。「本当に透明になっちゃえばいいのに…」傷つくりおを、いつも教室の隅にいる地味で暗い“死神くん”越前谷が追いかけてきて…!?　地味を演じる最強イケメン×可愛い親友の“引き立て役”女子のじれキュンラブ！</v>
      </c>
      <c r="W2181" s="14"/>
      <c r="X2181" s="14" t="str">
        <f>IFERROR(__xludf.DUMMYFUNCTION("""COMPUTED_VALUE"""),"有")</f>
        <v>有</v>
      </c>
      <c r="Y2181" s="8" t="str">
        <f>IFERROR(__xludf.DUMMYFUNCTION("""COMPUTED_VALUE"""),"2024/11/22まで1巻無料")</f>
        <v>2024/11/22まで1巻無料</v>
      </c>
      <c r="Z2181" s="7"/>
      <c r="AA2181" s="7"/>
      <c r="AB2181" s="7"/>
    </row>
    <row r="2182" ht="15.75" customHeight="1">
      <c r="A2182" s="66">
        <f>IFERROR(__xludf.DUMMYFUNCTION("""COMPUTED_VALUE"""),4165.0)</f>
        <v>4165</v>
      </c>
      <c r="B2182" s="67" t="str">
        <f>IFERROR(__xludf.DUMMYFUNCTION("""COMPUTED_VALUE"""),"確定")</f>
        <v>確定</v>
      </c>
      <c r="C2182" s="68">
        <f>IFERROR(__xludf.DUMMYFUNCTION("""COMPUTED_VALUE"""),45554.0)</f>
        <v>45554</v>
      </c>
      <c r="D2182" s="68">
        <f>IFERROR(__xludf.DUMMYFUNCTION("""COMPUTED_VALUE"""),45567.0)</f>
        <v>45567</v>
      </c>
      <c r="E2182" s="60">
        <f>IFERROR(__xludf.DUMMYFUNCTION("""COMPUTED_VALUE"""),305691.0)</f>
        <v>305691</v>
      </c>
      <c r="F2182" s="61" t="str">
        <f>IFERROR(__xludf.DUMMYFUNCTION("""COMPUTED_VALUE"""),"ブラックリレーション［ばら売り］")</f>
        <v>ブラックリレーション［ばら売り］</v>
      </c>
      <c r="G2182" s="67" t="str">
        <f>IFERROR(__xludf.DUMMYFUNCTION("""COMPUTED_VALUE"""),"1～4")</f>
        <v>1～4</v>
      </c>
      <c r="H2182" s="67" t="str">
        <f>IFERROR(__xludf.DUMMYFUNCTION("""COMPUTED_VALUE"""),"真宮圭")</f>
        <v>真宮圭</v>
      </c>
      <c r="I2182" s="67" t="str">
        <f>IFERROR(__xludf.DUMMYFUNCTION("""COMPUTED_VALUE"""),"少女")</f>
        <v>少女</v>
      </c>
      <c r="J2182" s="67"/>
      <c r="K2182" s="67"/>
      <c r="L2182" s="67" t="str">
        <f>IFERROR(__xludf.DUMMYFUNCTION("""COMPUTED_VALUE"""),"白泉社")</f>
        <v>白泉社</v>
      </c>
      <c r="M2182" s="59">
        <f>IFERROR(__xludf.DUMMYFUNCTION("""COMPUTED_VALUE"""),45605.0)</f>
        <v>45605</v>
      </c>
      <c r="N2182" s="59">
        <f>IFERROR(__xludf.DUMMYFUNCTION("""COMPUTED_VALUE"""),45667.0)</f>
        <v>45667</v>
      </c>
      <c r="O2182" s="67"/>
      <c r="P2182" s="80" t="str">
        <f>IFERROR(__xludf.DUMMYFUNCTION("""COMPUTED_VALUE"""),"可")</f>
        <v>可</v>
      </c>
      <c r="Q2182" s="72" t="str">
        <f>IFERROR(__xludf.DUMMYFUNCTION("""COMPUTED_VALUE"""),"『マンガPark』レーベル作品です。")</f>
        <v>『マンガPark』レーベル作品です。</v>
      </c>
      <c r="R2182" s="67"/>
      <c r="S2182" s="67" t="str">
        <f>IFERROR(__xludf.DUMMYFUNCTION("""COMPUTED_VALUE"""),"20240930_白泉社_ブラックリレーション")</f>
        <v>20240930_白泉社_ブラックリレーション</v>
      </c>
      <c r="T2182" s="67" t="str">
        <f>IFERROR(__xludf.DUMMYFUNCTION("""COMPUTED_VALUE"""),"格納済み")</f>
        <v>格納済み</v>
      </c>
      <c r="U2182" s="15" t="str">
        <f>IFERROR(__xludf.DUMMYFUNCTION("""COMPUTED_VALUE"""),"Ⓒ真宮圭/白泉社")</f>
        <v>Ⓒ真宮圭/白泉社</v>
      </c>
      <c r="V2182" s="8" t="str">
        <f>IFERROR(__xludf.DUMMYFUNCTION("""COMPUTED_VALUE"""),"貧血で意識を失った樹を助けてくれたのは同じ大学4年生の一馬くん。イケメンで優しい彼にどんどん夢中になる樹だけれど、彼には別の一面が…！？")</f>
        <v>貧血で意識を失った樹を助けてくれたのは同じ大学4年生の一馬くん。イケメンで優しい彼にどんどん夢中になる樹だけれど、彼には別の一面が…！？</v>
      </c>
      <c r="W2182" s="14"/>
      <c r="X2182" s="14" t="str">
        <f>IFERROR(__xludf.DUMMYFUNCTION("""COMPUTED_VALUE"""),"有")</f>
        <v>有</v>
      </c>
      <c r="Y2182" s="8" t="str">
        <f>IFERROR(__xludf.DUMMYFUNCTION("""COMPUTED_VALUE"""),"P10まで")</f>
        <v>P10まで</v>
      </c>
      <c r="Z2182" s="7"/>
      <c r="AA2182" s="7"/>
      <c r="AB2182" s="7"/>
    </row>
    <row r="2183" ht="15.75" customHeight="1">
      <c r="A2183" s="66">
        <f>IFERROR(__xludf.DUMMYFUNCTION("""COMPUTED_VALUE"""),4166.0)</f>
        <v>4166</v>
      </c>
      <c r="B2183" s="67" t="str">
        <f>IFERROR(__xludf.DUMMYFUNCTION("""COMPUTED_VALUE"""),"確定")</f>
        <v>確定</v>
      </c>
      <c r="C2183" s="68">
        <f>IFERROR(__xludf.DUMMYFUNCTION("""COMPUTED_VALUE"""),45554.0)</f>
        <v>45554</v>
      </c>
      <c r="D2183" s="68">
        <f>IFERROR(__xludf.DUMMYFUNCTION("""COMPUTED_VALUE"""),45566.0)</f>
        <v>45566</v>
      </c>
      <c r="E2183" s="60">
        <f>IFERROR(__xludf.DUMMYFUNCTION("""COMPUTED_VALUE"""),304799.0)</f>
        <v>304799</v>
      </c>
      <c r="F2183" s="61" t="str">
        <f>IFERROR(__xludf.DUMMYFUNCTION("""COMPUTED_VALUE"""),"サブスク不倫")</f>
        <v>サブスク不倫</v>
      </c>
      <c r="G2183" s="67" t="str">
        <f>IFERROR(__xludf.DUMMYFUNCTION("""COMPUTED_VALUE"""),"1～8")</f>
        <v>1～8</v>
      </c>
      <c r="H2183" s="67" t="str">
        <f>IFERROR(__xludf.DUMMYFUNCTION("""COMPUTED_VALUE"""),"GIGATOON Studio / Nemeton / Minto Studio")</f>
        <v>GIGATOON Studio / Nemeton / Minto Studio</v>
      </c>
      <c r="I2183" s="67" t="str">
        <f>IFERROR(__xludf.DUMMYFUNCTION("""COMPUTED_VALUE"""),"女性")</f>
        <v>女性</v>
      </c>
      <c r="J2183" s="67"/>
      <c r="K2183" s="67"/>
      <c r="L2183" s="67" t="str">
        <f>IFERROR(__xludf.DUMMYFUNCTION("""COMPUTED_VALUE"""),"SBCr")</f>
        <v>SBCr</v>
      </c>
      <c r="M2183" s="85">
        <f>IFERROR(__xludf.DUMMYFUNCTION("""COMPUTED_VALUE"""),45591.0)</f>
        <v>45591</v>
      </c>
      <c r="N2183" s="85">
        <f>IFERROR(__xludf.DUMMYFUNCTION("""COMPUTED_VALUE"""),45618.0)</f>
        <v>45618</v>
      </c>
      <c r="O2183" s="67"/>
      <c r="P2183" s="71" t="str">
        <f>IFERROR(__xludf.DUMMYFUNCTION("""COMPUTED_VALUE"""),"可")</f>
        <v>可</v>
      </c>
      <c r="Q2183" s="72"/>
      <c r="R2183" s="67"/>
      <c r="S2183" s="67" t="str">
        <f>IFERROR(__xludf.DUMMYFUNCTION("""COMPUTED_VALUE"""),"20241001_SBクリエイティブ_サブスク不倫")</f>
        <v>20241001_SBクリエイティブ_サブスク不倫</v>
      </c>
      <c r="T2183" s="67" t="str">
        <f>IFERROR(__xludf.DUMMYFUNCTION("""COMPUTED_VALUE"""),"格納済み")</f>
        <v>格納済み</v>
      </c>
      <c r="U2183" s="15" t="str">
        <f>IFERROR(__xludf.DUMMYFUNCTION("""COMPUTED_VALUE"""),"©Minto Studio・Nemeton／CLLENN")</f>
        <v>©Minto Studio・Nemeton／CLLENN</v>
      </c>
      <c r="V2183" s="8" t="str">
        <f>IFERROR(__xludf.DUMMYFUNCTION("""COMPUTED_VALUE"""),"「サブスクで不倫、してみない？」普通の主婦・鳥山 未知留は愛する夫がいるにも関わらず、友人たちの勧めもあってサブスクサービス「ビュッフェ」に参加してしまう。このサービスは、安全かつ快適に不倫を楽しめる通称サブスク不倫サービスである。軽い気持ちで手を出したサブスク不倫にはまって堕ちて行く未知留はどんな運命をたどるのか…？新感覚ラブサスペンス！")</f>
        <v>「サブスクで不倫、してみない？」普通の主婦・鳥山 未知留は愛する夫がいるにも関わらず、友人たちの勧めもあってサブスクサービス「ビュッフェ」に参加してしまう。このサービスは、安全かつ快適に不倫を楽しめる通称サブスク不倫サービスである。軽い気持ちで手を出したサブスク不倫にはまって堕ちて行く未知留はどんな運命をたどるのか…？新感覚ラブサスペンス！</v>
      </c>
      <c r="W2183" s="14"/>
      <c r="X2183" s="14" t="str">
        <f>IFERROR(__xludf.DUMMYFUNCTION("""COMPUTED_VALUE"""),"有")</f>
        <v>有</v>
      </c>
      <c r="Y2183" s="8" t="str">
        <f>IFERROR(__xludf.DUMMYFUNCTION("""COMPUTED_VALUE"""),"2024/11/8まで1～2巻無料")</f>
        <v>2024/11/8まで1～2巻無料</v>
      </c>
      <c r="Z2183" s="7"/>
      <c r="AA2183" s="7"/>
      <c r="AB2183" s="7"/>
    </row>
    <row r="2184" ht="15.75" customHeight="1">
      <c r="A2184" s="66">
        <f>IFERROR(__xludf.DUMMYFUNCTION("""COMPUTED_VALUE"""),4182.0)</f>
        <v>4182</v>
      </c>
      <c r="B2184" s="67" t="str">
        <f>IFERROR(__xludf.DUMMYFUNCTION("""COMPUTED_VALUE"""),"確定")</f>
        <v>確定</v>
      </c>
      <c r="C2184" s="68">
        <f>IFERROR(__xludf.DUMMYFUNCTION("""COMPUTED_VALUE"""),45559.0)</f>
        <v>45559</v>
      </c>
      <c r="D2184" s="68">
        <f>IFERROR(__xludf.DUMMYFUNCTION("""COMPUTED_VALUE"""),45567.0)</f>
        <v>45567</v>
      </c>
      <c r="E2184" s="100">
        <f>IFERROR(__xludf.DUMMYFUNCTION("""COMPUTED_VALUE"""),296083.0)</f>
        <v>296083</v>
      </c>
      <c r="F2184" s="61" t="str">
        <f>IFERROR(__xludf.DUMMYFUNCTION("""COMPUTED_VALUE"""),"カラフルまでのスリーカウント")</f>
        <v>カラフルまでのスリーカウント</v>
      </c>
      <c r="G2184" s="67" t="str">
        <f>IFERROR(__xludf.DUMMYFUNCTION("""COMPUTED_VALUE"""),"1～3")</f>
        <v>1～3</v>
      </c>
      <c r="H2184" s="67" t="str">
        <f>IFERROR(__xludf.DUMMYFUNCTION("""COMPUTED_VALUE"""),"めめぞ")</f>
        <v>めめぞ</v>
      </c>
      <c r="I2184" s="67" t="str">
        <f>IFERROR(__xludf.DUMMYFUNCTION("""COMPUTED_VALUE"""),"BL")</f>
        <v>BL</v>
      </c>
      <c r="J2184" s="67"/>
      <c r="K2184" s="67"/>
      <c r="L2184" s="67" t="str">
        <f>IFERROR(__xludf.DUMMYFUNCTION("""COMPUTED_VALUE"""),"シーモアコミックス")</f>
        <v>シーモアコミックス</v>
      </c>
      <c r="M2184" s="85">
        <f>IFERROR(__xludf.DUMMYFUNCTION("""COMPUTED_VALUE"""),45591.0)</f>
        <v>45591</v>
      </c>
      <c r="N2184" s="85">
        <f>IFERROR(__xludf.DUMMYFUNCTION("""COMPUTED_VALUE"""),45652.0)</f>
        <v>45652</v>
      </c>
      <c r="O2184" s="67"/>
      <c r="P2184" s="71" t="str">
        <f>IFERROR(__xludf.DUMMYFUNCTION("""COMPUTED_VALUE"""),"可")</f>
        <v>可</v>
      </c>
      <c r="Q2184" s="72"/>
      <c r="R2184" s="67"/>
      <c r="S2184" s="67" t="str">
        <f>IFERROR(__xludf.DUMMYFUNCTION("""COMPUTED_VALUE"""),"20241001_シーモアコミックス_カラフルまでのスリーカウント")</f>
        <v>20241001_シーモアコミックス_カラフルまでのスリーカウント</v>
      </c>
      <c r="T2184" s="67" t="str">
        <f>IFERROR(__xludf.DUMMYFUNCTION("""COMPUTED_VALUE"""),"格納済み")</f>
        <v>格納済み</v>
      </c>
      <c r="U2184" s="15" t="str">
        <f>IFERROR(__xludf.DUMMYFUNCTION("""COMPUTED_VALUE"""),"© めめぞ/シーモアコミックス")</f>
        <v>© めめぞ/シーモアコミックス</v>
      </c>
      <c r="V2184" s="8" t="str">
        <f>IFERROR(__xludf.DUMMYFUNCTION("""COMPUTED_VALUE"""),"パリピ社長×大学生バイトの恋はとにかくギャップが多すぎる！
プロレス好きが高まって、イベント会社でバイトを始めた彩瀬。社長の未波さんはいわゆるパリピだ。大学生の彩瀬とは年の差もあるし、人あたりのよさも体格も、ついでに経験人数も段違い！ 縁遠い相手なのに、未波さんはぐいぐいと彩瀬の世界をかき乱してきて──!?
滾る熱から世界が変わる年の差ラブ☆【フィカス】")</f>
        <v>パリピ社長×大学生バイトの恋はとにかくギャップが多すぎる！
プロレス好きが高まって、イベント会社でバイトを始めた彩瀬。社長の未波さんはいわゆるパリピだ。大学生の彩瀬とは年の差もあるし、人あたりのよさも体格も、ついでに経験人数も段違い！ 縁遠い相手なのに、未波さんはぐいぐいと彩瀬の世界をかき乱してきて──!?
滾る熱から世界が変わる年の差ラブ☆【フィカス】</v>
      </c>
      <c r="W2184" s="14"/>
      <c r="X2184" s="14" t="str">
        <f>IFERROR(__xludf.DUMMYFUNCTION("""COMPUTED_VALUE"""),"有")</f>
        <v>有</v>
      </c>
      <c r="Y2184" s="8" t="str">
        <f>IFERROR(__xludf.DUMMYFUNCTION("""COMPUTED_VALUE"""),"P7まで")</f>
        <v>P7まで</v>
      </c>
      <c r="Z2184" s="7"/>
      <c r="AA2184" s="7"/>
      <c r="AB2184" s="7"/>
    </row>
    <row r="2185" ht="15.75" customHeight="1">
      <c r="A2185" s="66">
        <f>IFERROR(__xludf.DUMMYFUNCTION("""COMPUTED_VALUE"""),4184.0)</f>
        <v>4184</v>
      </c>
      <c r="B2185" s="67" t="str">
        <f>IFERROR(__xludf.DUMMYFUNCTION("""COMPUTED_VALUE"""),"確定")</f>
        <v>確定</v>
      </c>
      <c r="C2185" s="68">
        <f>IFERROR(__xludf.DUMMYFUNCTION("""COMPUTED_VALUE"""),45559.0)</f>
        <v>45559</v>
      </c>
      <c r="D2185" s="68">
        <f>IFERROR(__xludf.DUMMYFUNCTION("""COMPUTED_VALUE"""),45567.0)</f>
        <v>45567</v>
      </c>
      <c r="E2185" s="60">
        <f>IFERROR(__xludf.DUMMYFUNCTION("""COMPUTED_VALUE"""),305555.0)</f>
        <v>305555</v>
      </c>
      <c r="F2185" s="61" t="str">
        <f>IFERROR(__xludf.DUMMYFUNCTION("""COMPUTED_VALUE"""),"本音を隠した治療師は竜人サマに身体の奥まで暴かれる")</f>
        <v>本音を隠した治療師は竜人サマに身体の奥まで暴かれる</v>
      </c>
      <c r="G2185" s="67" t="str">
        <f>IFERROR(__xludf.DUMMYFUNCTION("""COMPUTED_VALUE"""),"1～3")</f>
        <v>1～3</v>
      </c>
      <c r="H2185" s="67" t="str">
        <f>IFERROR(__xludf.DUMMYFUNCTION("""COMPUTED_VALUE"""),"高山れじゃん")</f>
        <v>高山れじゃん</v>
      </c>
      <c r="I2185" s="67" t="str">
        <f>IFERROR(__xludf.DUMMYFUNCTION("""COMPUTED_VALUE"""),"TL")</f>
        <v>TL</v>
      </c>
      <c r="J2185" s="67"/>
      <c r="K2185" s="67"/>
      <c r="L2185" s="67" t="str">
        <f>IFERROR(__xludf.DUMMYFUNCTION("""COMPUTED_VALUE"""),"ナンバーナイン")</f>
        <v>ナンバーナイン</v>
      </c>
      <c r="M2185" s="59">
        <f>IFERROR(__xludf.DUMMYFUNCTION("""COMPUTED_VALUE"""),45597.0)</f>
        <v>45597</v>
      </c>
      <c r="N2185" s="85">
        <f>IFERROR(__xludf.DUMMYFUNCTION("""COMPUTED_VALUE"""),45657.0)</f>
        <v>45657</v>
      </c>
      <c r="O2185" s="67"/>
      <c r="P2185" s="70" t="str">
        <f>IFERROR(__xludf.DUMMYFUNCTION("""COMPUTED_VALUE"""),"可")</f>
        <v>可</v>
      </c>
      <c r="Q2185" s="67" t="str">
        <f>IFERROR(__xludf.DUMMYFUNCTION("""COMPUTED_VALUE"""),"・TLレーベル：登録がありません。&lt;BR&gt;")</f>
        <v>・TLレーベル：登録がありません。&lt;BR&gt;</v>
      </c>
      <c r="R2185" s="67" t="str">
        <f>IFERROR(__xludf.DUMMYFUNCTION("""COMPUTED_VALUE"""),"広告コミットOK(9/30)")</f>
        <v>広告コミットOK(9/30)</v>
      </c>
      <c r="S2185" s="67" t="str">
        <f>IFERROR(__xludf.DUMMYFUNCTION("""COMPUTED_VALUE"""),"20241001_ナンバーナイン_本音を隠した治療師は竜人サマに身体の奥まで暴かれる")</f>
        <v>20241001_ナンバーナイン_本音を隠した治療師は竜人サマに身体の奥まで暴かれる</v>
      </c>
      <c r="T2185" s="67" t="str">
        <f>IFERROR(__xludf.DUMMYFUNCTION("""COMPUTED_VALUE"""),"格納済み")</f>
        <v>格納済み</v>
      </c>
      <c r="U2185" s="15" t="str">
        <f>IFERROR(__xludf.DUMMYFUNCTION("""COMPUTED_VALUE"""),"（ｃ）高山れじゃん/ナンバーナイン")</f>
        <v>（ｃ）高山れじゃん/ナンバーナイン</v>
      </c>
      <c r="V2185" s="8" t="str">
        <f>IFERROR(__xludf.DUMMYFUNCTION("""COMPUTED_VALUE"""),"《本作は同人誌となります》
家族を亡くし、天涯孤独に過ごす若き治療師「ベル」。
寂しさを抱えながらも日々を過ごすベルの前に現れたのは、大怪我した竜人「ルストロ」。
治療の日々の中で、2人は距離を縮めていく。
そうして半年経った頃。
ルストロは頻繁にベルに「願い」を聞くようになっていた。
竜人の習性なのかな、と受け流していたベルだったが、ルストロは諦めない。
そうしている内にベルは心の中に秘めていたたった一つの願いを強めていた。
それは『ルストロとこのままずっと一緒に"&amp;"いたい』。
しかし家族を次々に亡くしたベルは、別れを恐れて口に出せない。
その日もいつものように受け流したはずだった。
ルストロのキスで目が覚めるまではーー…。
【本文：21ページ】")</f>
        <v>《本作は同人誌となります》
家族を亡くし、天涯孤独に過ごす若き治療師「ベル」。
寂しさを抱えながらも日々を過ごすベルの前に現れたのは、大怪我した竜人「ルストロ」。
治療の日々の中で、2人は距離を縮めていく。
そうして半年経った頃。
ルストロは頻繁にベルに「願い」を聞くようになっていた。
竜人の習性なのかな、と受け流していたベルだったが、ルストロは諦めない。
そうしている内にベルは心の中に秘めていたたった一つの願いを強めていた。
それは『ルストロとこのままずっと一緒にいたい』。
しかし家族を次々に亡くしたベルは、別れを恐れて口に出せない。
その日もいつものように受け流したはずだった。
ルストロのキスで目が覚めるまではーー…。
【本文：21ページ】</v>
      </c>
      <c r="W2185" s="14"/>
      <c r="X2185" s="14" t="str">
        <f>IFERROR(__xludf.DUMMYFUNCTION("""COMPUTED_VALUE"""),"有")</f>
        <v>有</v>
      </c>
      <c r="Y2185" s="8" t="str">
        <f>IFERROR(__xludf.DUMMYFUNCTION("""COMPUTED_VALUE"""),"1巻無料")</f>
        <v>1巻無料</v>
      </c>
      <c r="Z2185" s="7"/>
      <c r="AA2185" s="7"/>
      <c r="AB2185" s="7"/>
    </row>
    <row r="2186" ht="15.75" customHeight="1">
      <c r="A2186" s="66">
        <f>IFERROR(__xludf.DUMMYFUNCTION("""COMPUTED_VALUE"""),4185.0)</f>
        <v>4185</v>
      </c>
      <c r="B2186" s="67" t="str">
        <f>IFERROR(__xludf.DUMMYFUNCTION("""COMPUTED_VALUE"""),"確定")</f>
        <v>確定</v>
      </c>
      <c r="C2186" s="68">
        <f>IFERROR(__xludf.DUMMYFUNCTION("""COMPUTED_VALUE"""),45559.0)</f>
        <v>45559</v>
      </c>
      <c r="D2186" s="68">
        <f>IFERROR(__xludf.DUMMYFUNCTION("""COMPUTED_VALUE"""),45567.0)</f>
        <v>45567</v>
      </c>
      <c r="E2186" s="60">
        <f>IFERROR(__xludf.DUMMYFUNCTION("""COMPUTED_VALUE"""),305573.0)</f>
        <v>305573</v>
      </c>
      <c r="F2186" s="61" t="str">
        <f>IFERROR(__xludf.DUMMYFUNCTION("""COMPUTED_VALUE"""),"雌ノ家〜妻ハ乱レ奪ワレル〜")</f>
        <v>雌ノ家〜妻ハ乱レ奪ワレル〜</v>
      </c>
      <c r="G2186" s="67" t="str">
        <f>IFERROR(__xludf.DUMMYFUNCTION("""COMPUTED_VALUE"""),"1～2")</f>
        <v>1～2</v>
      </c>
      <c r="H2186" s="67" t="str">
        <f>IFERROR(__xludf.DUMMYFUNCTION("""COMPUTED_VALUE"""),"雨あられ")</f>
        <v>雨あられ</v>
      </c>
      <c r="I2186" s="67" t="str">
        <f>IFERROR(__xludf.DUMMYFUNCTION("""COMPUTED_VALUE"""),"オトナ")</f>
        <v>オトナ</v>
      </c>
      <c r="J2186" s="67"/>
      <c r="K2186" s="67"/>
      <c r="L2186" s="67" t="str">
        <f>IFERROR(__xludf.DUMMYFUNCTION("""COMPUTED_VALUE"""),"ナンバーナイン")</f>
        <v>ナンバーナイン</v>
      </c>
      <c r="M2186" s="59">
        <f>IFERROR(__xludf.DUMMYFUNCTION("""COMPUTED_VALUE"""),45597.0)</f>
        <v>45597</v>
      </c>
      <c r="N2186" s="85">
        <f>IFERROR(__xludf.DUMMYFUNCTION("""COMPUTED_VALUE"""),45657.0)</f>
        <v>45657</v>
      </c>
      <c r="O2186" s="67"/>
      <c r="P2186" s="71" t="str">
        <f>IFERROR(__xludf.DUMMYFUNCTION("""COMPUTED_VALUE"""),"可")</f>
        <v>可</v>
      </c>
      <c r="Q2186" s="67"/>
      <c r="R2186" s="67" t="str">
        <f>IFERROR(__xludf.DUMMYFUNCTION("""COMPUTED_VALUE"""),"広告コミットOK(9/27)")</f>
        <v>広告コミットOK(9/27)</v>
      </c>
      <c r="S2186" s="67" t="str">
        <f>IFERROR(__xludf.DUMMYFUNCTION("""COMPUTED_VALUE"""),"20241001_ナンバーナイン_雌ノ家〜妻ハ乱レ奪ワレル〜")</f>
        <v>20241001_ナンバーナイン_雌ノ家〜妻ハ乱レ奪ワレル〜</v>
      </c>
      <c r="T2186" s="67" t="str">
        <f>IFERROR(__xludf.DUMMYFUNCTION("""COMPUTED_VALUE"""),"格納済み")</f>
        <v>格納済み</v>
      </c>
      <c r="U2186" s="15" t="str">
        <f>IFERROR(__xludf.DUMMYFUNCTION("""COMPUTED_VALUE"""),"（ｃ）雨あられ/ナンバーナイン")</f>
        <v>（ｃ）雨あられ/ナンバーナイン</v>
      </c>
      <c r="V2186" s="8" t="str">
        <f>IFERROR(__xludf.DUMMYFUNCTION("""COMPUTED_VALUE"""),"※本作は『雌ノ宿～妻ハ乱レ穢サレル～』の続編となります※
～前回までのあらすじ～
夫と温泉旅行に訪れた「立花 葵」
偶然同じ温泉旅館に宿泊していたのは夫の弟、「京也」。
ひさしぶりに再会した義理の弟。ただそれだけのはずだったが
酒をきっかけに葵と京也は一夜の過ちを犯してしまう。
その後、あれは何かの間違いだったと言い聞かせて
日々を過ごしていた葵の前に再度、京也が現れる。
なんと彼はしばらく立花家に滞在する事となってしまい…
-----------------------"&amp;"------------------------------
時は昔に遡る。
高校生の京也は年上の幼馴染、葵のことが好きだった。
京也の恋を兄も応援してくれるはずだったが、実は葵と兄は既に両想いだった。
失恋の痛みを忘れられずにいた京也は、兄と結婚した葵に偶然再会するが
彼女を女性として扱わない兄の様子に、葵を寝取ることを決意する。
そして京也は、兄の家に居候することをこじ付け弱みを握って葵に迫る。
熟れた身体を丁寧な愛撫でほぐされ、イかされまくる葵。
暴力的なまでの快楽に抗う術も"&amp;"なく、妻としてでは無く
一人の雌として求められる悦びに堕ちてゆく。
そしてとうとう、一つ屋根の下でナマ挿入を許してしまい…？
全21ページ")</f>
        <v>※本作は『雌ノ宿～妻ハ乱レ穢サレル～』の続編となります※
～前回までのあらすじ～
夫と温泉旅行に訪れた「立花 葵」
偶然同じ温泉旅館に宿泊していたのは夫の弟、「京也」。
ひさしぶりに再会した義理の弟。ただそれだけのはずだったが
酒をきっかけに葵と京也は一夜の過ちを犯してしまう。
その後、あれは何かの間違いだったと言い聞かせて
日々を過ごしていた葵の前に再度、京也が現れる。
なんと彼はしばらく立花家に滞在する事となってしまい…
-----------------------------------------------------
時は昔に遡る。
高校生の京也は年上の幼馴染、葵のことが好きだった。
京也の恋を兄も応援してくれるはずだったが、実は葵と兄は既に両想いだった。
失恋の痛みを忘れられずにいた京也は、兄と結婚した葵に偶然再会するが
彼女を女性として扱わない兄の様子に、葵を寝取ることを決意する。
そして京也は、兄の家に居候することをこじ付け弱みを握って葵に迫る。
熟れた身体を丁寧な愛撫でほぐされ、イかされまくる葵。
暴力的なまでの快楽に抗う術もなく、妻としてでは無く
一人の雌として求められる悦びに堕ちてゆく。
そしてとうとう、一つ屋根の下でナマ挿入を許してしまい…？
全21ページ</v>
      </c>
      <c r="W2186" s="14"/>
      <c r="X2186" s="14" t="str">
        <f>IFERROR(__xludf.DUMMYFUNCTION("""COMPUTED_VALUE"""),"有")</f>
        <v>有</v>
      </c>
      <c r="Y2186" s="8" t="str">
        <f>IFERROR(__xludf.DUMMYFUNCTION("""COMPUTED_VALUE"""),"P7まで")</f>
        <v>P7まで</v>
      </c>
      <c r="Z2186" s="7"/>
      <c r="AA2186" s="7"/>
      <c r="AB2186" s="7"/>
    </row>
    <row r="2187" ht="15.75" customHeight="1">
      <c r="A2187" s="66">
        <f>IFERROR(__xludf.DUMMYFUNCTION("""COMPUTED_VALUE"""),4188.0)</f>
        <v>4188</v>
      </c>
      <c r="B2187" s="67" t="str">
        <f>IFERROR(__xludf.DUMMYFUNCTION("""COMPUTED_VALUE"""),"確定")</f>
        <v>確定</v>
      </c>
      <c r="C2187" s="68">
        <f>IFERROR(__xludf.DUMMYFUNCTION("""COMPUTED_VALUE"""),45561.0)</f>
        <v>45561</v>
      </c>
      <c r="D2187" s="68">
        <f>IFERROR(__xludf.DUMMYFUNCTION("""COMPUTED_VALUE"""),45565.0)</f>
        <v>45565</v>
      </c>
      <c r="E2187" s="60">
        <f>IFERROR(__xludf.DUMMYFUNCTION("""COMPUTED_VALUE"""),304802.0)</f>
        <v>304802</v>
      </c>
      <c r="F2187" s="61" t="str">
        <f>IFERROR(__xludf.DUMMYFUNCTION("""COMPUTED_VALUE"""),"復讐の花嫁は溺愛される～結婚相手は父の仇でした～")</f>
        <v>復讐の花嫁は溺愛される～結婚相手は父の仇でした～</v>
      </c>
      <c r="G2187" s="67" t="str">
        <f>IFERROR(__xludf.DUMMYFUNCTION("""COMPUTED_VALUE"""),"1～3")</f>
        <v>1～3</v>
      </c>
      <c r="H2187" s="67" t="str">
        <f>IFERROR(__xludf.DUMMYFUNCTION("""COMPUTED_VALUE"""),"にどねる")</f>
        <v>にどねる</v>
      </c>
      <c r="I2187" s="67" t="str">
        <f>IFERROR(__xludf.DUMMYFUNCTION("""COMPUTED_VALUE"""),"女性")</f>
        <v>女性</v>
      </c>
      <c r="J2187" s="67"/>
      <c r="K2187" s="67"/>
      <c r="L2187" s="67" t="str">
        <f>IFERROR(__xludf.DUMMYFUNCTION("""COMPUTED_VALUE"""),"Bevy")</f>
        <v>Bevy</v>
      </c>
      <c r="M2187" s="85">
        <f>IFERROR(__xludf.DUMMYFUNCTION("""COMPUTED_VALUE"""),45591.0)</f>
        <v>45591</v>
      </c>
      <c r="N2187" s="59">
        <f>IFERROR(__xludf.DUMMYFUNCTION("""COMPUTED_VALUE"""),45682.0)</f>
        <v>45682</v>
      </c>
      <c r="O2187" s="67"/>
      <c r="P2187" s="70" t="str">
        <f>IFERROR(__xludf.DUMMYFUNCTION("""COMPUTED_VALUE"""),"可")</f>
        <v>可</v>
      </c>
      <c r="Q2187" s="72" t="str">
        <f>IFERROR(__xludf.DUMMYFUNCTION("""COMPUTED_VALUE"""),"協業作品です レーベル名：シーモア×hachico	")</f>
        <v>協業作品です レーベル名：シーモア×hachico	</v>
      </c>
      <c r="R2187" s="67"/>
      <c r="S2187" s="67" t="str">
        <f>IFERROR(__xludf.DUMMYFUNCTION("""COMPUTED_VALUE"""),"20240926_Bevy_復讐の花嫁は溺愛される～結婚相手は父の仇でした～")</f>
        <v>20240926_Bevy_復讐の花嫁は溺愛される～結婚相手は父の仇でした～</v>
      </c>
      <c r="T2187" s="67" t="str">
        <f>IFERROR(__xludf.DUMMYFUNCTION("""COMPUTED_VALUE"""),"格納済み")</f>
        <v>格納済み</v>
      </c>
      <c r="U2187" s="15" t="str">
        <f>IFERROR(__xludf.DUMMYFUNCTION("""COMPUTED_VALUE"""),"©にどねる/Bevy")</f>
        <v>©にどねる/Bevy</v>
      </c>
      <c r="V2187" s="8" t="str">
        <f>IFERROR(__xludf.DUMMYFUNCTION("""COMPUTED_VALUE"""),"私は今日、父を殺した男の妻になる―。将軍だった父を亡くし、家を乗っ取った叔父に虐げられていた葎(りつ)。絶望の中、無理やり親子ほど年の離れた男に嫁がされることに…。そんな葎を救ってくれたのは、父が生前に決めていた縁談相手・恒青(こうせい)だった。しかし、彼こそが父を殺した犯人だと知らされて！？父の死の真相を探ることを決めた葎は仇に嫁ぐ運命を受け入れる。しかし、彼の不器用ながらも優しい愛に惹かれ始めて…。復讐と恋の狭間で揺らぐ心。宿命と愛が交錯する、禁断の恋物語が今、始まる。")</f>
        <v>私は今日、父を殺した男の妻になる―。将軍だった父を亡くし、家を乗っ取った叔父に虐げられていた葎(りつ)。絶望の中、無理やり親子ほど年の離れた男に嫁がされることに…。そんな葎を救ってくれたのは、父が生前に決めていた縁談相手・恒青(こうせい)だった。しかし、彼こそが父を殺した犯人だと知らされて！？父の死の真相を探ることを決めた葎は仇に嫁ぐ運命を受け入れる。しかし、彼の不器用ながらも優しい愛に惹かれ始めて…。復讐と恋の狭間で揺らぐ心。宿命と愛が交錯する、禁断の恋物語が今、始まる。</v>
      </c>
      <c r="W2187" s="14"/>
      <c r="X2187" s="14" t="str">
        <f>IFERROR(__xludf.DUMMYFUNCTION("""COMPUTED_VALUE"""),"有")</f>
        <v>有</v>
      </c>
      <c r="Y2187" s="8" t="str">
        <f>IFERROR(__xludf.DUMMYFUNCTION("""COMPUTED_VALUE"""),"2025/1/25まで1巻無料")</f>
        <v>2025/1/25まで1巻無料</v>
      </c>
      <c r="Z2187" s="7"/>
      <c r="AA2187" s="7"/>
      <c r="AB2187" s="7"/>
    </row>
    <row r="2188" ht="15.75" customHeight="1">
      <c r="A2188" s="66">
        <f>IFERROR(__xludf.DUMMYFUNCTION("""COMPUTED_VALUE"""),4193.0)</f>
        <v>4193</v>
      </c>
      <c r="B2188" s="67" t="str">
        <f>IFERROR(__xludf.DUMMYFUNCTION("""COMPUTED_VALUE"""),"確定")</f>
        <v>確定</v>
      </c>
      <c r="C2188" s="68">
        <f>IFERROR(__xludf.DUMMYFUNCTION("""COMPUTED_VALUE"""),45562.0)</f>
        <v>45562</v>
      </c>
      <c r="D2188" s="68">
        <f>IFERROR(__xludf.DUMMYFUNCTION("""COMPUTED_VALUE"""),45566.0)</f>
        <v>45566</v>
      </c>
      <c r="E2188" s="60">
        <f>IFERROR(__xludf.DUMMYFUNCTION("""COMPUTED_VALUE"""),304800.0)</f>
        <v>304800</v>
      </c>
      <c r="F2188" s="61" t="str">
        <f>IFERROR(__xludf.DUMMYFUNCTION("""COMPUTED_VALUE"""),"復讐の負け犬 一人残らず地獄に落してやる！")</f>
        <v>復讐の負け犬 一人残らず地獄に落してやる！</v>
      </c>
      <c r="G2188" s="67" t="str">
        <f>IFERROR(__xludf.DUMMYFUNCTION("""COMPUTED_VALUE"""),"1～4")</f>
        <v>1～4</v>
      </c>
      <c r="H2188" s="78" t="str">
        <f>IFERROR(__xludf.DUMMYFUNCTION("""COMPUTED_VALUE"""),"やた")</f>
        <v>やた</v>
      </c>
      <c r="I2188" s="67" t="str">
        <f>IFERROR(__xludf.DUMMYFUNCTION("""COMPUTED_VALUE"""),"青年")</f>
        <v>青年</v>
      </c>
      <c r="J2188" s="67"/>
      <c r="K2188" s="67"/>
      <c r="L2188" s="67" t="str">
        <f>IFERROR(__xludf.DUMMYFUNCTION("""COMPUTED_VALUE"""),"ファンギルド")</f>
        <v>ファンギルド</v>
      </c>
      <c r="M2188" s="85">
        <f>IFERROR(__xludf.DUMMYFUNCTION("""COMPUTED_VALUE"""),45591.0)</f>
        <v>45591</v>
      </c>
      <c r="N2188" s="85">
        <f>IFERROR(__xludf.DUMMYFUNCTION("""COMPUTED_VALUE"""),45646.0)</f>
        <v>45646</v>
      </c>
      <c r="O2188" s="67"/>
      <c r="P2188" s="71" t="str">
        <f>IFERROR(__xludf.DUMMYFUNCTION("""COMPUTED_VALUE"""),"可")</f>
        <v>可</v>
      </c>
      <c r="Q2188" s="72"/>
      <c r="R2188" s="67"/>
      <c r="S2188" s="67" t="str">
        <f>IFERROR(__xludf.DUMMYFUNCTION("""COMPUTED_VALUE"""),"20240927_ファンギルド_復讐の負け犬")</f>
        <v>20240927_ファンギルド_復讐の負け犬</v>
      </c>
      <c r="T2188" s="67" t="str">
        <f>IFERROR(__xludf.DUMMYFUNCTION("""COMPUTED_VALUE"""),"格納済み")</f>
        <v>格納済み</v>
      </c>
      <c r="U2188" s="15" t="str">
        <f>IFERROR(__xludf.DUMMYFUNCTION("""COMPUTED_VALUE"""),"Ⓒやた/ファンギルド")</f>
        <v>Ⓒやた/ファンギルド</v>
      </c>
      <c r="V2188" s="8" t="str">
        <f>IFERROR(__xludf.DUMMYFUNCTION("""COMPUTED_VALUE"""),"「一人残らず、地獄に落してやる――！！」一族経営の卸売業者・秋津リテイルに勤務する宮戸恭介（30）。親が死んで困窮していた頃、秋津リテイルの社長に拾ってもらった恩がある宮戸は、一族から酷いパワハラや虐めに遭っても必死に堪えて、会社の従順な犬として働いていた。そんなある日、幼馴染で同僚の原田が自殺してしまう。遺体を前に泣き崩れ絶望する宮戸だったが、秋津家が責任を被せて自殺に追い込んだと知って、怒りを燃え上がらせる。負け犬・宮戸は、原田の無念を晴らす為、復讐を誓う！！")</f>
        <v>「一人残らず、地獄に落してやる――！！」一族経営の卸売業者・秋津リテイルに勤務する宮戸恭介（30）。親が死んで困窮していた頃、秋津リテイルの社長に拾ってもらった恩がある宮戸は、一族から酷いパワハラや虐めに遭っても必死に堪えて、会社の従順な犬として働いていた。そんなある日、幼馴染で同僚の原田が自殺してしまう。遺体を前に泣き崩れ絶望する宮戸だったが、秋津家が責任を被せて自殺に追い込んだと知って、怒りを燃え上がらせる。負け犬・宮戸は、原田の無念を晴らす為、復讐を誓う！！</v>
      </c>
      <c r="W2188" s="14"/>
      <c r="X2188" s="14" t="str">
        <f>IFERROR(__xludf.DUMMYFUNCTION("""COMPUTED_VALUE"""),"有")</f>
        <v>有</v>
      </c>
      <c r="Y2188" s="8" t="str">
        <f>IFERROR(__xludf.DUMMYFUNCTION("""COMPUTED_VALUE"""),"2024/11/8まで1巻無料")</f>
        <v>2024/11/8まで1巻無料</v>
      </c>
      <c r="Z2188" s="7"/>
      <c r="AA2188" s="7"/>
      <c r="AB2188" s="7"/>
    </row>
    <row r="2189" ht="15.75" customHeight="1">
      <c r="A2189" s="66">
        <f>IFERROR(__xludf.DUMMYFUNCTION("""COMPUTED_VALUE"""),4196.0)</f>
        <v>4196</v>
      </c>
      <c r="B2189" s="67" t="str">
        <f>IFERROR(__xludf.DUMMYFUNCTION("""COMPUTED_VALUE"""),"確定")</f>
        <v>確定</v>
      </c>
      <c r="C2189" s="68">
        <f>IFERROR(__xludf.DUMMYFUNCTION("""COMPUTED_VALUE"""),45565.0)</f>
        <v>45565</v>
      </c>
      <c r="D2189" s="68">
        <f>IFERROR(__xludf.DUMMYFUNCTION("""COMPUTED_VALUE"""),45566.0)</f>
        <v>45566</v>
      </c>
      <c r="E2189" s="60">
        <f>IFERROR(__xludf.DUMMYFUNCTION("""COMPUTED_VALUE"""),304683.0)</f>
        <v>304683</v>
      </c>
      <c r="F2189" s="61" t="str">
        <f>IFERROR(__xludf.DUMMYFUNCTION("""COMPUTED_VALUE"""),"昨日まで童貞だった彼氏の学習能力がハンパじゃない件")</f>
        <v>昨日まで童貞だった彼氏の学習能力がハンパじゃない件</v>
      </c>
      <c r="G2189" s="67" t="str">
        <f>IFERROR(__xludf.DUMMYFUNCTION("""COMPUTED_VALUE"""),"1～3")</f>
        <v>1～3</v>
      </c>
      <c r="H2189" s="67" t="str">
        <f>IFERROR(__xludf.DUMMYFUNCTION("""COMPUTED_VALUE"""),"ハム太┴THE猥談")</f>
        <v>ハム太┴THE猥談</v>
      </c>
      <c r="I2189" s="67" t="str">
        <f>IFERROR(__xludf.DUMMYFUNCTION("""COMPUTED_VALUE"""),"TL")</f>
        <v>TL</v>
      </c>
      <c r="J2189" s="67"/>
      <c r="K2189" s="67"/>
      <c r="L2189" s="67" t="str">
        <f>IFERROR(__xludf.DUMMYFUNCTION("""COMPUTED_VALUE"""),"クロスフォリオ出版")</f>
        <v>クロスフォリオ出版</v>
      </c>
      <c r="M2189" s="85">
        <f>IFERROR(__xludf.DUMMYFUNCTION("""COMPUTED_VALUE"""),45590.0)</f>
        <v>45590</v>
      </c>
      <c r="N2189" s="59">
        <f>IFERROR(__xludf.DUMMYFUNCTION("""COMPUTED_VALUE"""),45687.0)</f>
        <v>45687</v>
      </c>
      <c r="O2189" s="67"/>
      <c r="P2189" s="70" t="str">
        <f>IFERROR(__xludf.DUMMYFUNCTION("""COMPUTED_VALUE"""),"可")</f>
        <v>可</v>
      </c>
      <c r="Q2189" s="72" t="str">
        <f>IFERROR(__xludf.DUMMYFUNCTION("""COMPUTED_VALUE"""),"「THE猥談」レーベル作品です")</f>
        <v>「THE猥談」レーベル作品です</v>
      </c>
      <c r="R2189" s="67"/>
      <c r="S2189" s="67" t="str">
        <f>IFERROR(__xludf.DUMMYFUNCTION("""COMPUTED_VALUE"""),"20240930_BookLive_昨日まで童貞だった彼氏の学習能力がハンパじゃない件")</f>
        <v>20240930_BookLive_昨日まで童貞だった彼氏の学習能力がハンパじゃない件</v>
      </c>
      <c r="T2189" s="67" t="str">
        <f>IFERROR(__xludf.DUMMYFUNCTION("""COMPUTED_VALUE"""),"格納済み")</f>
        <v>格納済み</v>
      </c>
      <c r="U2189" s="15" t="str">
        <f>IFERROR(__xludf.DUMMYFUNCTION("""COMPUTED_VALUE"""),"(C)ハム太/THE猥談/クロスフォリオ出版")</f>
        <v>(C)ハム太/THE猥談/クロスフォリオ出版</v>
      </c>
      <c r="V2189" s="8" t="str">
        <f>IFERROR(__xludf.DUMMYFUNCTION("""COMPUTED_VALUE"""),"最近付き合うことになった侑己は、
元はネットで知り合ったゲーム仲間のひとり。
7つ年上で、ゲームがうまくて、真面目で、そして──
童貞。
──だったはずなのに。
はじめてお泊まりした翌日、彼の経験値が一晩のうちで
想像以上にあがっていて──…。
※本作はハム太、THE猥談の個人誌作品の電子書籍版となります。【25ページ】")</f>
        <v>最近付き合うことになった侑己は、
元はネットで知り合ったゲーム仲間のひとり。
7つ年上で、ゲームがうまくて、真面目で、そして──
童貞。
──だったはずなのに。
はじめてお泊まりした翌日、彼の経験値が一晩のうちで
想像以上にあがっていて──…。
※本作はハム太、THE猥談の個人誌作品の電子書籍版となります。【25ページ】</v>
      </c>
      <c r="W2189" s="14"/>
      <c r="X2189" s="14" t="str">
        <f>IFERROR(__xludf.DUMMYFUNCTION("""COMPUTED_VALUE"""),"有")</f>
        <v>有</v>
      </c>
      <c r="Y2189" s="8" t="str">
        <f>IFERROR(__xludf.DUMMYFUNCTION("""COMPUTED_VALUE"""),"P13まで")</f>
        <v>P13まで</v>
      </c>
      <c r="Z2189" s="7"/>
      <c r="AA2189" s="7"/>
      <c r="AB2189" s="7"/>
    </row>
    <row r="2190" ht="15.75" customHeight="1">
      <c r="A2190" s="66">
        <f>IFERROR(__xludf.DUMMYFUNCTION("""COMPUTED_VALUE"""),4197.0)</f>
        <v>4197</v>
      </c>
      <c r="B2190" s="67" t="str">
        <f>IFERROR(__xludf.DUMMYFUNCTION("""COMPUTED_VALUE"""),"確定")</f>
        <v>確定</v>
      </c>
      <c r="C2190" s="68">
        <f>IFERROR(__xludf.DUMMYFUNCTION("""COMPUTED_VALUE"""),45565.0)</f>
        <v>45565</v>
      </c>
      <c r="D2190" s="68">
        <f>IFERROR(__xludf.DUMMYFUNCTION("""COMPUTED_VALUE"""),45566.0)</f>
        <v>45566</v>
      </c>
      <c r="E2190" s="60">
        <f>IFERROR(__xludf.DUMMYFUNCTION("""COMPUTED_VALUE"""),304681.0)</f>
        <v>304681</v>
      </c>
      <c r="F2190" s="61" t="str">
        <f>IFERROR(__xludf.DUMMYFUNCTION("""COMPUTED_VALUE"""),"昨日まで童貞だった彼氏の学習能力がハンパじゃない件【R版】")</f>
        <v>昨日まで童貞だった彼氏の学習能力がハンパじゃない件【R版】</v>
      </c>
      <c r="G2190" s="67" t="str">
        <f>IFERROR(__xludf.DUMMYFUNCTION("""COMPUTED_VALUE"""),"1～3")</f>
        <v>1～3</v>
      </c>
      <c r="H2190" s="67" t="str">
        <f>IFERROR(__xludf.DUMMYFUNCTION("""COMPUTED_VALUE"""),"ハム太┴THE猥談")</f>
        <v>ハム太┴THE猥談</v>
      </c>
      <c r="I2190" s="67" t="str">
        <f>IFERROR(__xludf.DUMMYFUNCTION("""COMPUTED_VALUE"""),"オトナ")</f>
        <v>オトナ</v>
      </c>
      <c r="J2190" s="67"/>
      <c r="K2190" s="67"/>
      <c r="L2190" s="67" t="str">
        <f>IFERROR(__xludf.DUMMYFUNCTION("""COMPUTED_VALUE"""),"クロスフォリオ出版")</f>
        <v>クロスフォリオ出版</v>
      </c>
      <c r="M2190" s="85">
        <f>IFERROR(__xludf.DUMMYFUNCTION("""COMPUTED_VALUE"""),45590.0)</f>
        <v>45590</v>
      </c>
      <c r="N2190" s="59">
        <f>IFERROR(__xludf.DUMMYFUNCTION("""COMPUTED_VALUE"""),45687.0)</f>
        <v>45687</v>
      </c>
      <c r="O2190" s="67"/>
      <c r="P2190" s="70" t="str">
        <f>IFERROR(__xludf.DUMMYFUNCTION("""COMPUTED_VALUE"""),"可")</f>
        <v>可</v>
      </c>
      <c r="Q2190" s="72" t="str">
        <f>IFERROR(__xludf.DUMMYFUNCTION("""COMPUTED_VALUE"""),"「THE猥談」レーベル作品です。")</f>
        <v>「THE猥談」レーベル作品です。</v>
      </c>
      <c r="R2190" s="67"/>
      <c r="S2190" s="67" t="str">
        <f>IFERROR(__xludf.DUMMYFUNCTION("""COMPUTED_VALUE"""),"20240930_BookLive_昨日まで童貞だった彼氏の学習能力がハンパじゃない件【R版】")</f>
        <v>20240930_BookLive_昨日まで童貞だった彼氏の学習能力がハンパじゃない件【R版】</v>
      </c>
      <c r="T2190" s="67" t="str">
        <f>IFERROR(__xludf.DUMMYFUNCTION("""COMPUTED_VALUE"""),"格納済み")</f>
        <v>格納済み</v>
      </c>
      <c r="U2190" s="15" t="str">
        <f>IFERROR(__xludf.DUMMYFUNCTION("""COMPUTED_VALUE"""),"(C)ハム太/THE猥談/クロスフォリオ出版")</f>
        <v>(C)ハム太/THE猥談/クロスフォリオ出版</v>
      </c>
      <c r="V2190" s="8" t="str">
        <f>IFERROR(__xludf.DUMMYFUNCTION("""COMPUTED_VALUE"""),"最近付き合うことになった侑己は、
元はネットで知り合ったゲーム仲間のひとり。
7つ年上で、ゲームがうまくて、真面目で、そして──
童貞。
──だったはずなのに。
はじめてお泊まりした翌日、彼の経験値が一晩のうちで
想像以上にあがっていて──…。
※本作はハム太、THE猥談の個人誌作品の電子書籍版となります。【25ページ】
※本作は『昨日まで童貞だった彼氏の学習能力がハンパじゃない件』の修正をやや弱めたものです。内容に差異はありません。")</f>
        <v>最近付き合うことになった侑己は、
元はネットで知り合ったゲーム仲間のひとり。
7つ年上で、ゲームがうまくて、真面目で、そして──
童貞。
──だったはずなのに。
はじめてお泊まりした翌日、彼の経験値が一晩のうちで
想像以上にあがっていて──…。
※本作はハム太、THE猥談の個人誌作品の電子書籍版となります。【25ページ】
※本作は『昨日まで童貞だった彼氏の学習能力がハンパじゃない件』の修正をやや弱めたものです。内容に差異はありません。</v>
      </c>
      <c r="W2190" s="14"/>
      <c r="X2190" s="14" t="str">
        <f>IFERROR(__xludf.DUMMYFUNCTION("""COMPUTED_VALUE"""),"有")</f>
        <v>有</v>
      </c>
      <c r="Y2190" s="8" t="str">
        <f>IFERROR(__xludf.DUMMYFUNCTION("""COMPUTED_VALUE"""),"P13まで")</f>
        <v>P13まで</v>
      </c>
      <c r="Z2190" s="7"/>
      <c r="AA2190" s="7"/>
      <c r="AB2190" s="7"/>
    </row>
    <row r="2191" ht="15.75" customHeight="1">
      <c r="A2191" s="66">
        <f>IFERROR(__xludf.DUMMYFUNCTION("""COMPUTED_VALUE"""),4198.0)</f>
        <v>4198</v>
      </c>
      <c r="B2191" s="67" t="str">
        <f>IFERROR(__xludf.DUMMYFUNCTION("""COMPUTED_VALUE"""),"確定")</f>
        <v>確定</v>
      </c>
      <c r="C2191" s="68">
        <f>IFERROR(__xludf.DUMMYFUNCTION("""COMPUTED_VALUE"""),45565.0)</f>
        <v>45565</v>
      </c>
      <c r="D2191" s="68">
        <f>IFERROR(__xludf.DUMMYFUNCTION("""COMPUTED_VALUE"""),45566.0)</f>
        <v>45566</v>
      </c>
      <c r="E2191" s="60">
        <f>IFERROR(__xludf.DUMMYFUNCTION("""COMPUTED_VALUE"""),304685.0)</f>
        <v>304685</v>
      </c>
      <c r="F2191" s="61" t="str">
        <f>IFERROR(__xludf.DUMMYFUNCTION("""COMPUTED_VALUE"""),"ドMでうるさい先輩のこと、理解ってるのは俺だけです")</f>
        <v>ドMでうるさい先輩のこと、理解ってるのは俺だけです</v>
      </c>
      <c r="G2191" s="67" t="str">
        <f>IFERROR(__xludf.DUMMYFUNCTION("""COMPUTED_VALUE"""),"1～2")</f>
        <v>1～2</v>
      </c>
      <c r="H2191" s="67" t="str">
        <f>IFERROR(__xludf.DUMMYFUNCTION("""COMPUTED_VALUE"""),"モコ田┴THE猥談")</f>
        <v>モコ田┴THE猥談</v>
      </c>
      <c r="I2191" s="67" t="str">
        <f>IFERROR(__xludf.DUMMYFUNCTION("""COMPUTED_VALUE"""),"TL")</f>
        <v>TL</v>
      </c>
      <c r="J2191" s="67"/>
      <c r="K2191" s="67"/>
      <c r="L2191" s="67" t="str">
        <f>IFERROR(__xludf.DUMMYFUNCTION("""COMPUTED_VALUE"""),"クロスフォリオ出版")</f>
        <v>クロスフォリオ出版</v>
      </c>
      <c r="M2191" s="85">
        <f>IFERROR(__xludf.DUMMYFUNCTION("""COMPUTED_VALUE"""),45590.0)</f>
        <v>45590</v>
      </c>
      <c r="N2191" s="59">
        <f>IFERROR(__xludf.DUMMYFUNCTION("""COMPUTED_VALUE"""),45687.0)</f>
        <v>45687</v>
      </c>
      <c r="O2191" s="67"/>
      <c r="P2191" s="70" t="str">
        <f>IFERROR(__xludf.DUMMYFUNCTION("""COMPUTED_VALUE"""),"可")</f>
        <v>可</v>
      </c>
      <c r="Q2191" s="72" t="str">
        <f>IFERROR(__xludf.DUMMYFUNCTION("""COMPUTED_VALUE"""),"「THE猥談」レーベル作品です。")</f>
        <v>「THE猥談」レーベル作品です。</v>
      </c>
      <c r="R2191" s="67"/>
      <c r="S2191" s="67" t="str">
        <f>IFERROR(__xludf.DUMMYFUNCTION("""COMPUTED_VALUE"""),"20240930_BookLive_ドMでうるさい先輩のこと、理解ってるのは俺だけです")</f>
        <v>20240930_BookLive_ドMでうるさい先輩のこと、理解ってるのは俺だけです</v>
      </c>
      <c r="T2191" s="67" t="str">
        <f>IFERROR(__xludf.DUMMYFUNCTION("""COMPUTED_VALUE"""),"格納済み")</f>
        <v>格納済み</v>
      </c>
      <c r="U2191" s="15" t="str">
        <f>IFERROR(__xludf.DUMMYFUNCTION("""COMPUTED_VALUE"""),"(C)モコ田/THE猥談/クロスフォリオ出版")</f>
        <v>(C)モコ田/THE猥談/クロスフォリオ出版</v>
      </c>
      <c r="V2191" s="8" t="str">
        <f>IFERROR(__xludf.DUMMYFUNCTION("""COMPUTED_VALUE"""),"山本真美、22歳。
ドドドドMな私は「理想のドS」を求めて、今日も自称S男と身体を重ねるけど──…
また失敗。
なかなか理想の人には出会えない。
「幻想なんですよ」
そう言うのは大学の後輩の手塚。
居酒屋で酒をあおりながら愚痴る私に呆れた顔をする。
手塚は年下だけどしっかりしていて、趣味も合うし、気を使わなくて済む良いヤツ。
顔もいいし、多分モテる。でもこいつ…
「ま、童貞の手塚にはわかないよね～」
そう、童貞なのだ。
童貞相手には、いくら顔が良くてもどうこう"&amp;"する気は起きない
…と、思っていたはずだった。
なぜかいつもより早いペースで酔っ払った手塚を自宅に送って
帰ろうとしたら、急に視界が揺れて…押し倒されていた。
「いつも童貞童貞　うるせえんだよな」
「真美さんが求めてること　わかりますよ　俺なら」
童貞のはずなのに、セックスなんて知らないはずなのに…
なんで私の理想のSプレイができるの…?!
童貞だと思って舐めてた後輩・手塚からの理解(わか)らせは、イッてもイッても止まらなくて──…。
※本作はモコ田、THE猥"&amp;"談の個人誌作品の電子書籍版となります。【22ページ】")</f>
        <v>山本真美、22歳。
ドドドドMな私は「理想のドS」を求めて、今日も自称S男と身体を重ねるけど──…
また失敗。
なかなか理想の人には出会えない。
「幻想なんですよ」
そう言うのは大学の後輩の手塚。
居酒屋で酒をあおりながら愚痴る私に呆れた顔をする。
手塚は年下だけどしっかりしていて、趣味も合うし、気を使わなくて済む良いヤツ。
顔もいいし、多分モテる。でもこいつ…
「ま、童貞の手塚にはわかないよね～」
そう、童貞なのだ。
童貞相手には、いくら顔が良くてもどうこうする気は起きない
…と、思っていたはずだった。
なぜかいつもより早いペースで酔っ払った手塚を自宅に送って
帰ろうとしたら、急に視界が揺れて…押し倒されていた。
「いつも童貞童貞　うるせえんだよな」
「真美さんが求めてること　わかりますよ　俺なら」
童貞のはずなのに、セックスなんて知らないはずなのに…
なんで私の理想のSプレイができるの…?!
童貞だと思って舐めてた後輩・手塚からの理解(わか)らせは、イッてもイッても止まらなくて──…。
※本作はモコ田、THE猥談の個人誌作品の電子書籍版となります。【22ページ】</v>
      </c>
      <c r="W2191" s="14"/>
      <c r="X2191" s="14" t="str">
        <f>IFERROR(__xludf.DUMMYFUNCTION("""COMPUTED_VALUE"""),"有")</f>
        <v>有</v>
      </c>
      <c r="Y2191" s="8" t="str">
        <f>IFERROR(__xludf.DUMMYFUNCTION("""COMPUTED_VALUE"""),"P12まで")</f>
        <v>P12まで</v>
      </c>
      <c r="Z2191" s="7"/>
      <c r="AA2191" s="7"/>
      <c r="AB2191" s="7"/>
    </row>
    <row r="2192" ht="15.75" customHeight="1">
      <c r="A2192" s="66">
        <f>IFERROR(__xludf.DUMMYFUNCTION("""COMPUTED_VALUE"""),4199.0)</f>
        <v>4199</v>
      </c>
      <c r="B2192" s="67" t="str">
        <f>IFERROR(__xludf.DUMMYFUNCTION("""COMPUTED_VALUE"""),"確定")</f>
        <v>確定</v>
      </c>
      <c r="C2192" s="68">
        <f>IFERROR(__xludf.DUMMYFUNCTION("""COMPUTED_VALUE"""),45565.0)</f>
        <v>45565</v>
      </c>
      <c r="D2192" s="68">
        <f>IFERROR(__xludf.DUMMYFUNCTION("""COMPUTED_VALUE"""),45566.0)</f>
        <v>45566</v>
      </c>
      <c r="E2192" s="60">
        <f>IFERROR(__xludf.DUMMYFUNCTION("""COMPUTED_VALUE"""),304682.0)</f>
        <v>304682</v>
      </c>
      <c r="F2192" s="61" t="str">
        <f>IFERROR(__xludf.DUMMYFUNCTION("""COMPUTED_VALUE"""),"ドMでうるさい先輩のこと、理解ってるのは俺だけです【R版】")</f>
        <v>ドMでうるさい先輩のこと、理解ってるのは俺だけです【R版】</v>
      </c>
      <c r="G2192" s="67" t="str">
        <f>IFERROR(__xludf.DUMMYFUNCTION("""COMPUTED_VALUE"""),"1～2")</f>
        <v>1～2</v>
      </c>
      <c r="H2192" s="67" t="str">
        <f>IFERROR(__xludf.DUMMYFUNCTION("""COMPUTED_VALUE"""),"モコ田┴THE猥談")</f>
        <v>モコ田┴THE猥談</v>
      </c>
      <c r="I2192" s="67" t="str">
        <f>IFERROR(__xludf.DUMMYFUNCTION("""COMPUTED_VALUE"""),"オトナ")</f>
        <v>オトナ</v>
      </c>
      <c r="J2192" s="67"/>
      <c r="K2192" s="67"/>
      <c r="L2192" s="67" t="str">
        <f>IFERROR(__xludf.DUMMYFUNCTION("""COMPUTED_VALUE"""),"クロスフォリオ出版")</f>
        <v>クロスフォリオ出版</v>
      </c>
      <c r="M2192" s="85">
        <f>IFERROR(__xludf.DUMMYFUNCTION("""COMPUTED_VALUE"""),45590.0)</f>
        <v>45590</v>
      </c>
      <c r="N2192" s="59">
        <f>IFERROR(__xludf.DUMMYFUNCTION("""COMPUTED_VALUE"""),45687.0)</f>
        <v>45687</v>
      </c>
      <c r="O2192" s="67"/>
      <c r="P2192" s="70" t="str">
        <f>IFERROR(__xludf.DUMMYFUNCTION("""COMPUTED_VALUE"""),"可")</f>
        <v>可</v>
      </c>
      <c r="Q2192" s="72" t="str">
        <f>IFERROR(__xludf.DUMMYFUNCTION("""COMPUTED_VALUE"""),"「THE猥談」レーベル作品です。")</f>
        <v>「THE猥談」レーベル作品です。</v>
      </c>
      <c r="R2192" s="67"/>
      <c r="S2192" s="67" t="str">
        <f>IFERROR(__xludf.DUMMYFUNCTION("""COMPUTED_VALUE"""),"20240930_BookLive_ドMでうるさい先輩のこと、理解ってるのは俺だけです【R版】")</f>
        <v>20240930_BookLive_ドMでうるさい先輩のこと、理解ってるのは俺だけです【R版】</v>
      </c>
      <c r="T2192" s="67" t="str">
        <f>IFERROR(__xludf.DUMMYFUNCTION("""COMPUTED_VALUE"""),"格納済み")</f>
        <v>格納済み</v>
      </c>
      <c r="U2192" s="15" t="str">
        <f>IFERROR(__xludf.DUMMYFUNCTION("""COMPUTED_VALUE"""),"(C)モコ田/THE猥談/クロスフォリオ出版")</f>
        <v>(C)モコ田/THE猥談/クロスフォリオ出版</v>
      </c>
      <c r="V2192" s="8" t="str">
        <f>IFERROR(__xludf.DUMMYFUNCTION("""COMPUTED_VALUE"""),"山本真美、22歳。
ドドドドMな私は「理想のドS」を求めて、今日も自称S男と身体を重ねるけど──…
また失敗。
なかなか理想の人には出会えない。
「幻想なんですよ」
そう言うのは大学の後輩の手塚。
居酒屋で酒をあおりながら愚痴る私に呆れた顔をする。
手塚は年下だけどしっかりしていて、趣味も合うし、気を使わなくて済む良いヤツ。
顔もいいし、多分モテる。でもこいつ…
「ま、童貞の手塚にはわかないよね～」
そう、童貞なのだ。
童貞相手には、いくら顔が良くてもどうこう"&amp;"する気は起きない
…と、思っていたはずだった。
なぜかいつもより早いペースで酔っ払った手塚を自宅に送って
帰ろうとしたら、急に視界が揺れて…押し倒されていた。
「いつも童貞童貞　うるせえんだよな」
「真美さんが求めてること　わかりますよ　俺なら」
童貞のはずなのに、セックスなんて知らないはずなのに…
なんで私の理想のSプレイができるの…?!
童貞だと思って舐めてた後輩・手塚からの理解(わか)らせは、イッてもイッても止まらなくて──…。
※本作はモコ田、THE猥談の"&amp;"個人誌作品の電子書籍版となります。【22ページ】
※本作は『ドMでうるさい先輩のこと、理解ってるのは俺だけです』の修正をやや弱めたものです。内容に差異はありません。")</f>
        <v>山本真美、22歳。
ドドドドMな私は「理想のドS」を求めて、今日も自称S男と身体を重ねるけど──…
また失敗。
なかなか理想の人には出会えない。
「幻想なんですよ」
そう言うのは大学の後輩の手塚。
居酒屋で酒をあおりながら愚痴る私に呆れた顔をする。
手塚は年下だけどしっかりしていて、趣味も合うし、気を使わなくて済む良いヤツ。
顔もいいし、多分モテる。でもこいつ…
「ま、童貞の手塚にはわかないよね～」
そう、童貞なのだ。
童貞相手には、いくら顔が良くてもどうこうする気は起きない
…と、思っていたはずだった。
なぜかいつもより早いペースで酔っ払った手塚を自宅に送って
帰ろうとしたら、急に視界が揺れて…押し倒されていた。
「いつも童貞童貞　うるせえんだよな」
「真美さんが求めてること　わかりますよ　俺なら」
童貞のはずなのに、セックスなんて知らないはずなのに…
なんで私の理想のSプレイができるの…?!
童貞だと思って舐めてた後輩・手塚からの理解(わか)らせは、イッてもイッても止まらなくて──…。
※本作はモコ田、THE猥談の個人誌作品の電子書籍版となります。【22ページ】
※本作は『ドMでうるさい先輩のこと、理解ってるのは俺だけです』の修正をやや弱めたものです。内容に差異はありません。</v>
      </c>
      <c r="W2192" s="14"/>
      <c r="X2192" s="14" t="str">
        <f>IFERROR(__xludf.DUMMYFUNCTION("""COMPUTED_VALUE"""),"有")</f>
        <v>有</v>
      </c>
      <c r="Y2192" s="8" t="str">
        <f>IFERROR(__xludf.DUMMYFUNCTION("""COMPUTED_VALUE"""),"P12まで")</f>
        <v>P12まで</v>
      </c>
      <c r="Z2192" s="7"/>
      <c r="AA2192" s="7"/>
      <c r="AB2192" s="7"/>
    </row>
    <row r="2193" ht="15.75" customHeight="1">
      <c r="A2193" s="66">
        <f>IFERROR(__xludf.DUMMYFUNCTION("""COMPUTED_VALUE"""),4211.0)</f>
        <v>4211</v>
      </c>
      <c r="B2193" s="67" t="str">
        <f>IFERROR(__xludf.DUMMYFUNCTION("""COMPUTED_VALUE"""),"確定")</f>
        <v>確定</v>
      </c>
      <c r="C2193" s="68">
        <f>IFERROR(__xludf.DUMMYFUNCTION("""COMPUTED_VALUE"""),45566.0)</f>
        <v>45566</v>
      </c>
      <c r="D2193" s="68">
        <f>IFERROR(__xludf.DUMMYFUNCTION("""COMPUTED_VALUE"""),45566.0)</f>
        <v>45566</v>
      </c>
      <c r="E2193" s="100">
        <f>IFERROR(__xludf.DUMMYFUNCTION("""COMPUTED_VALUE"""),218253.0)</f>
        <v>218253</v>
      </c>
      <c r="F2193" s="61" t="str">
        <f>IFERROR(__xludf.DUMMYFUNCTION("""COMPUTED_VALUE"""),"I’m in Love 【電子限定特典付き】")</f>
        <v>I’m in Love 【電子限定特典付き】</v>
      </c>
      <c r="G2193" s="67">
        <f>IFERROR(__xludf.DUMMYFUNCTION("""COMPUTED_VALUE"""),4.0)</f>
        <v>4</v>
      </c>
      <c r="H2193" s="67" t="str">
        <f>IFERROR(__xludf.DUMMYFUNCTION("""COMPUTED_VALUE"""),"阿部あかね")</f>
        <v>阿部あかね</v>
      </c>
      <c r="I2193" s="67" t="str">
        <f>IFERROR(__xludf.DUMMYFUNCTION("""COMPUTED_VALUE"""),"BL")</f>
        <v>BL</v>
      </c>
      <c r="J2193" s="67"/>
      <c r="K2193" s="67"/>
      <c r="L2193" s="67" t="str">
        <f>IFERROR(__xludf.DUMMYFUNCTION("""COMPUTED_VALUE"""),"竹書房")</f>
        <v>竹書房</v>
      </c>
      <c r="M2193" s="85">
        <f>IFERROR(__xludf.DUMMYFUNCTION("""COMPUTED_VALUE"""),45584.0)</f>
        <v>45584</v>
      </c>
      <c r="N2193" s="68">
        <f>IFERROR(__xludf.DUMMYFUNCTION("""COMPUTED_VALUE"""),2958465.0)</f>
        <v>2958465</v>
      </c>
      <c r="O2193" s="67"/>
      <c r="P2193" s="70" t="str">
        <f>IFERROR(__xludf.DUMMYFUNCTION("""COMPUTED_VALUE"""),"可")</f>
        <v>可</v>
      </c>
      <c r="Q2193" s="72" t="str">
        <f>IFERROR(__xludf.DUMMYFUNCTION("""COMPUTED_VALUE"""),"シーモア限定BOOKの作品です")</f>
        <v>シーモア限定BOOKの作品です</v>
      </c>
      <c r="R2193" s="67"/>
      <c r="S2193" s="67" t="str">
        <f>IFERROR(__xludf.DUMMYFUNCTION("""COMPUTED_VALUE"""),"20241001_竹書房‗I’m in Love")</f>
        <v>20241001_竹書房‗I’m in Love</v>
      </c>
      <c r="T2193" s="67" t="str">
        <f>IFERROR(__xludf.DUMMYFUNCTION("""COMPUTED_VALUE"""),"格納済み")</f>
        <v>格納済み</v>
      </c>
      <c r="U2193" s="15" t="str">
        <f>IFERROR(__xludf.DUMMYFUNCTION("""COMPUTED_VALUE"""),"(C)阿部あかね/竹書房")</f>
        <v>(C)阿部あかね/竹書房</v>
      </c>
      <c r="V2193" s="8" t="str">
        <f>IFERROR(__xludf.DUMMYFUNCTION("""COMPUTED_VALUE"""),"少女漫画家の越川メイは、近所のスーパーの実演販売スペースでずっと憧れていたAV男優“おかざき尊”に遭遇！
勇気を出して大ファンだと告げたメイに神対応してくれた。
しかも翌日は、家まで荷物を運んでもらうラッキーハプニングまで！
憧れの人との時間にドキドキしっぱなしのメイだったが、最近仕事が減ってきている、と尊は自嘲気味に笑う。
そんな彼に〝自分がどんなに尊が好きか〟を熱く語るメイ。
すると尊は「俺に恋してるの?」とキスをしてくれて・・・！？
【収録作品】
I’m in Love ＃01～＃"&amp;"06/メイちゃんの秘コレクション(描き下ろし)
★単行本カバー下画像収録★
【電子限定で描き下ろしの４ページ漫画が収録されています。】")</f>
        <v>少女漫画家の越川メイは、近所のスーパーの実演販売スペースでずっと憧れていたAV男優“おかざき尊”に遭遇！
勇気を出して大ファンだと告げたメイに神対応してくれた。
しかも翌日は、家まで荷物を運んでもらうラッキーハプニングまで！
憧れの人との時間にドキドキしっぱなしのメイだったが、最近仕事が減ってきている、と尊は自嘲気味に笑う。
そんな彼に〝自分がどんなに尊が好きか〟を熱く語るメイ。
すると尊は「俺に恋してるの?」とキスをしてくれて・・・！？
【収録作品】
I’m in Love ＃01～＃06/メイちゃんの秘コレクション(描き下ろし)
★単行本カバー下画像収録★
【電子限定で描き下ろしの４ページ漫画が収録されています。】</v>
      </c>
      <c r="W2193" s="14"/>
      <c r="X2193" s="14" t="str">
        <f>IFERROR(__xludf.DUMMYFUNCTION("""COMPUTED_VALUE"""),"有")</f>
        <v>有</v>
      </c>
      <c r="Y2193" s="8" t="str">
        <f>IFERROR(__xludf.DUMMYFUNCTION("""COMPUTED_VALUE"""),"2024/11/18まで立ち読み増量P61まで")</f>
        <v>2024/11/18まで立ち読み増量P61まで</v>
      </c>
      <c r="Z2193" s="7"/>
      <c r="AA2193" s="7"/>
      <c r="AB2193" s="7"/>
    </row>
    <row r="2194" ht="15.75" customHeight="1">
      <c r="A2194" s="66">
        <f>IFERROR(__xludf.DUMMYFUNCTION("""COMPUTED_VALUE"""),4214.0)</f>
        <v>4214</v>
      </c>
      <c r="B2194" s="67" t="str">
        <f>IFERROR(__xludf.DUMMYFUNCTION("""COMPUTED_VALUE"""),"確定")</f>
        <v>確定</v>
      </c>
      <c r="C2194" s="68">
        <f>IFERROR(__xludf.DUMMYFUNCTION("""COMPUTED_VALUE"""),45566.0)</f>
        <v>45566</v>
      </c>
      <c r="D2194" s="68">
        <f>IFERROR(__xludf.DUMMYFUNCTION("""COMPUTED_VALUE"""),45566.0)</f>
        <v>45566</v>
      </c>
      <c r="E2194" s="60">
        <f>IFERROR(__xludf.DUMMYFUNCTION("""COMPUTED_VALUE"""),305556.0)</f>
        <v>305556</v>
      </c>
      <c r="F2194" s="61" t="str">
        <f>IFERROR(__xludf.DUMMYFUNCTION("""COMPUTED_VALUE"""),"【単話】鴉天狗様と最愛の契り～落ちこぼれの私が、最強のあやかしに執着されるまで～")</f>
        <v>【単話】鴉天狗様と最愛の契り～落ちこぼれの私が、最強のあやかしに執着されるまで～</v>
      </c>
      <c r="G2194" s="67" t="str">
        <f>IFERROR(__xludf.DUMMYFUNCTION("""COMPUTED_VALUE"""),"1～6")</f>
        <v>1～6</v>
      </c>
      <c r="H2194" s="67" t="str">
        <f>IFERROR(__xludf.DUMMYFUNCTION("""COMPUTED_VALUE"""),"七瀬なつ")</f>
        <v>七瀬なつ</v>
      </c>
      <c r="I2194" s="67" t="str">
        <f>IFERROR(__xludf.DUMMYFUNCTION("""COMPUTED_VALUE"""),"少女")</f>
        <v>少女</v>
      </c>
      <c r="J2194" s="67"/>
      <c r="K2194" s="67"/>
      <c r="L2194" s="67" t="str">
        <f>IFERROR(__xludf.DUMMYFUNCTION("""COMPUTED_VALUE"""),"KADOKAWA")</f>
        <v>KADOKAWA</v>
      </c>
      <c r="M2194" s="23">
        <f>IFERROR(__xludf.DUMMYFUNCTION("""COMPUTED_VALUE"""),45601.0)</f>
        <v>45601</v>
      </c>
      <c r="N2194" s="59">
        <f>IFERROR(__xludf.DUMMYFUNCTION("""COMPUTED_VALUE"""),45674.0)</f>
        <v>45674</v>
      </c>
      <c r="O2194" s="67"/>
      <c r="P2194" s="70" t="str">
        <f>IFERROR(__xludf.DUMMYFUNCTION("""COMPUTED_VALUE"""),"否")</f>
        <v>否</v>
      </c>
      <c r="Q2194" s="72" t="str">
        <f>IFERROR(__xludf.DUMMYFUNCTION("""COMPUTED_VALUE"""),"先行確定作品になります。（当初協業打診ありましたが通常先行であれば、、と回答いただいた作品です）&lt;BR&gt;出稿可能であればお願いします。")</f>
        <v>先行確定作品になります。（当初協業打診ありましたが通常先行であれば、、と回答いただいた作品です）&lt;BR&gt;出稿可能であればお願いします。</v>
      </c>
      <c r="R2194" s="67"/>
      <c r="S2194" s="67" t="str">
        <f>IFERROR(__xludf.DUMMYFUNCTION("""COMPUTED_VALUE"""),"20241001‗KADOKAWA‗【単話】鴉天狗様と最愛の契り")</f>
        <v>20241001‗KADOKAWA‗【単話】鴉天狗様と最愛の契り</v>
      </c>
      <c r="T2194" s="67" t="str">
        <f>IFERROR(__xludf.DUMMYFUNCTION("""COMPUTED_VALUE"""),"格納済み")</f>
        <v>格納済み</v>
      </c>
      <c r="U2194" s="15" t="str">
        <f>IFERROR(__xludf.DUMMYFUNCTION("""COMPUTED_VALUE"""),"(C)Natsu Nanase,Kotoko")</f>
        <v>(C)Natsu Nanase,Kotoko</v>
      </c>
      <c r="V2194" s="8" t="str">
        <f>IFERROR(__xludf.DUMMYFUNCTION("""COMPUTED_VALUE"""),"「俺は生涯、お前を手放すつもりはない」
人間とあやかし共存する世界。
かつて闇落ちしたあやかしに両親を殺されたすみれは、親戚中をたらい回しにされながらも、巫女になることを唯一の夢として生きてきた。
しかし何故か霊力が減少し、今や落ちこぼれとして周囲から虐げられ、その夢も危うい立場。
そんなある日、すみれは傷ついたあやかしを介抱し、彼の回復のために自身の霊力を分け与える血の契約を結ぶ。
彼こそが最高の地位と美貌を持つ烏天狗だった！
命を分け合い信じあう心が絆を繋ぐ、王道和風シンデレラストーリーが"&amp;"幕を開ける！")</f>
        <v>「俺は生涯、お前を手放すつもりはない」
人間とあやかし共存する世界。
かつて闇落ちしたあやかしに両親を殺されたすみれは、親戚中をたらい回しにされながらも、巫女になることを唯一の夢として生きてきた。
しかし何故か霊力が減少し、今や落ちこぼれとして周囲から虐げられ、その夢も危うい立場。
そんなある日、すみれは傷ついたあやかしを介抱し、彼の回復のために自身の霊力を分け与える血の契約を結ぶ。
彼こそが最高の地位と美貌を持つ烏天狗だった！
命を分け合い信じあう心が絆を繋ぐ、王道和風シンデレラストーリーが幕を開ける！</v>
      </c>
      <c r="W2194" s="14"/>
      <c r="X2194" s="14" t="str">
        <f>IFERROR(__xludf.DUMMYFUNCTION("""COMPUTED_VALUE"""),"有")</f>
        <v>有</v>
      </c>
      <c r="Y2194" s="8" t="str">
        <f>IFERROR(__xludf.DUMMYFUNCTION("""COMPUTED_VALUE"""),"2024/11/30まで1巻無料")</f>
        <v>2024/11/30まで1巻無料</v>
      </c>
      <c r="Z2194" s="7"/>
      <c r="AA2194" s="7"/>
      <c r="AB2194" s="7"/>
    </row>
    <row r="2195" ht="15.75" customHeight="1">
      <c r="A2195" s="66">
        <f>IFERROR(__xludf.DUMMYFUNCTION("""COMPUTED_VALUE"""),4216.0)</f>
        <v>4216</v>
      </c>
      <c r="B2195" s="67" t="str">
        <f>IFERROR(__xludf.DUMMYFUNCTION("""COMPUTED_VALUE"""),"確定")</f>
        <v>確定</v>
      </c>
      <c r="C2195" s="68">
        <f>IFERROR(__xludf.DUMMYFUNCTION("""COMPUTED_VALUE"""),45566.0)</f>
        <v>45566</v>
      </c>
      <c r="D2195" s="68">
        <f>IFERROR(__xludf.DUMMYFUNCTION("""COMPUTED_VALUE"""),45566.0)</f>
        <v>45566</v>
      </c>
      <c r="E2195" s="60">
        <f>IFERROR(__xludf.DUMMYFUNCTION("""COMPUTED_VALUE"""),305824.0)</f>
        <v>305824</v>
      </c>
      <c r="F2195" s="61" t="str">
        <f>IFERROR(__xludf.DUMMYFUNCTION("""COMPUTED_VALUE"""),"既婚者サークル～妻と夫の別の顔～")</f>
        <v>既婚者サークル～妻と夫の別の顔～</v>
      </c>
      <c r="G2195" s="67" t="str">
        <f>IFERROR(__xludf.DUMMYFUNCTION("""COMPUTED_VALUE"""),"1～8")</f>
        <v>1～8</v>
      </c>
      <c r="H2195" s="67" t="str">
        <f>IFERROR(__xludf.DUMMYFUNCTION("""COMPUTED_VALUE"""),"GIGATOON Studio / とらふぐ / 米田錦")</f>
        <v>GIGATOON Studio / とらふぐ / 米田錦</v>
      </c>
      <c r="I2195" s="67" t="str">
        <f>IFERROR(__xludf.DUMMYFUNCTION("""COMPUTED_VALUE"""),"女性")</f>
        <v>女性</v>
      </c>
      <c r="J2195" s="67"/>
      <c r="K2195" s="67"/>
      <c r="L2195" s="67" t="str">
        <f>IFERROR(__xludf.DUMMYFUNCTION("""COMPUTED_VALUE"""),"SBCr")</f>
        <v>SBCr</v>
      </c>
      <c r="M2195" s="59">
        <f>IFERROR(__xludf.DUMMYFUNCTION("""COMPUTED_VALUE"""),45598.0)</f>
        <v>45598</v>
      </c>
      <c r="N2195" s="85">
        <f>IFERROR(__xludf.DUMMYFUNCTION("""COMPUTED_VALUE"""),45611.0)</f>
        <v>45611</v>
      </c>
      <c r="O2195" s="67"/>
      <c r="P2195" s="70" t="str">
        <f>IFERROR(__xludf.DUMMYFUNCTION("""COMPUTED_VALUE"""),"可")</f>
        <v>可</v>
      </c>
      <c r="Q2195" s="72" t="str">
        <f>IFERROR(__xludf.DUMMYFUNCTION("""COMPUTED_VALUE"""),"・広告好調であれば、先行延長提案可能です。")</f>
        <v>・広告好調であれば、先行延長提案可能です。</v>
      </c>
      <c r="R2195" s="67"/>
      <c r="S2195" s="67" t="str">
        <f>IFERROR(__xludf.DUMMYFUNCTION("""COMPUTED_VALUE"""),"20241001_SBクリエイティブ_既婚者サークル")</f>
        <v>20241001_SBクリエイティブ_既婚者サークル</v>
      </c>
      <c r="T2195" s="67" t="str">
        <f>IFERROR(__xludf.DUMMYFUNCTION("""COMPUTED_VALUE"""),"格納済み")</f>
        <v>格納済み</v>
      </c>
      <c r="U2195" s="15" t="str">
        <f>IFERROR(__xludf.DUMMYFUNCTION("""COMPUTED_VALUE"""),"©とらふぐ・米田錦／CLLENN")</f>
        <v>©とらふぐ・米田錦／CLLENN</v>
      </c>
      <c r="V2195" s="8" t="str">
        <f>IFERROR(__xludf.DUMMYFUNCTION("""COMPUTED_VALUE"""),"既婚者サークル「RONDO」へようこそ――。謎の美女「亜理紗」が主催する社交場に、今宵も新たな“ご縁”を求めて既婚の男女らが集う。夫との生活に嫌気がさし、興味本位で既婚者サークルに参加した主婦・唯。そこで理想の男性・笹川と出会う。やがて二人は不倫関係に発展するが、徐々に歯車が狂い始めて…。一方、セックスレスに悩む地味な主婦・沙織は、既婚者サークルで出会った男性・品川に恋をする。「彼の妻より美しくなりたい！」と美容に目覚める沙織。しかし沙織の行動はエスカレートしていき…。既婚者サークル「RONDO」を舞台に"&amp;"赤裸々に暴かれていく妻と夫の別の顔とは…！？")</f>
        <v>既婚者サークル「RONDO」へようこそ――。謎の美女「亜理紗」が主催する社交場に、今宵も新たな“ご縁”を求めて既婚の男女らが集う。夫との生活に嫌気がさし、興味本位で既婚者サークルに参加した主婦・唯。そこで理想の男性・笹川と出会う。やがて二人は不倫関係に発展するが、徐々に歯車が狂い始めて…。一方、セックスレスに悩む地味な主婦・沙織は、既婚者サークルで出会った男性・品川に恋をする。「彼の妻より美しくなりたい！」と美容に目覚める沙織。しかし沙織の行動はエスカレートしていき…。既婚者サークル「RONDO」を舞台に赤裸々に暴かれていく妻と夫の別の顔とは…！？</v>
      </c>
      <c r="W2195" s="14"/>
      <c r="X2195" s="14" t="str">
        <f>IFERROR(__xludf.DUMMYFUNCTION("""COMPUTED_VALUE"""),"有")</f>
        <v>有</v>
      </c>
      <c r="Y2195" s="8" t="str">
        <f>IFERROR(__xludf.DUMMYFUNCTION("""COMPUTED_VALUE"""),"2024/11/15まで1～2巻無料")</f>
        <v>2024/11/15まで1～2巻無料</v>
      </c>
      <c r="Z2195" s="7"/>
      <c r="AA2195" s="7"/>
      <c r="AB2195" s="7"/>
    </row>
    <row r="2196" ht="15.75" customHeight="1">
      <c r="A2196" s="26">
        <f>IFERROR(__xludf.DUMMYFUNCTION("""COMPUTED_VALUE"""),4005.0)</f>
        <v>4005</v>
      </c>
      <c r="B2196" s="67" t="str">
        <f>IFERROR(__xludf.DUMMYFUNCTION("""COMPUTED_VALUE"""),"確定")</f>
        <v>確定</v>
      </c>
      <c r="C2196" s="59">
        <f>IFERROR(__xludf.DUMMYFUNCTION("""COMPUTED_VALUE"""),45524.0)</f>
        <v>45524</v>
      </c>
      <c r="D2196" s="59">
        <f>IFERROR(__xludf.DUMMYFUNCTION("""COMPUTED_VALUE"""),45567.0)</f>
        <v>45567</v>
      </c>
      <c r="E2196" s="100">
        <f>IFERROR(__xludf.DUMMYFUNCTION("""COMPUTED_VALUE"""),304610.0)</f>
        <v>304610</v>
      </c>
      <c r="F2196" s="61" t="str">
        <f>IFERROR(__xludf.DUMMYFUNCTION("""COMPUTED_VALUE"""),"やらしくて可愛い俺の凛ちゃん。～隣人後輩くんのイキすぎた執着にハメ堕とされる～")</f>
        <v>やらしくて可愛い俺の凛ちゃん。～隣人後輩くんのイキすぎた執着にハメ堕とされる～</v>
      </c>
      <c r="G2196" s="79" t="str">
        <f>IFERROR(__xludf.DUMMYFUNCTION("""COMPUTED_VALUE"""),"1～3")</f>
        <v>1～3</v>
      </c>
      <c r="H2196" s="22" t="str">
        <f>IFERROR(__xludf.DUMMYFUNCTION("""COMPUTED_VALUE"""),"ウル")</f>
        <v>ウル</v>
      </c>
      <c r="I2196" s="67" t="str">
        <f>IFERROR(__xludf.DUMMYFUNCTION("""COMPUTED_VALUE"""),"TL")</f>
        <v>TL</v>
      </c>
      <c r="J2196" s="22"/>
      <c r="K2196" s="22"/>
      <c r="L2196" s="22" t="str">
        <f>IFERROR(__xludf.DUMMYFUNCTION("""COMPUTED_VALUE"""),"CLLENN
")</f>
        <v>CLLENN
</v>
      </c>
      <c r="M2196" s="33">
        <f>IFERROR(__xludf.DUMMYFUNCTION("""COMPUTED_VALUE"""),45584.0)</f>
        <v>45584</v>
      </c>
      <c r="N2196" s="59">
        <f>IFERROR(__xludf.DUMMYFUNCTION("""COMPUTED_VALUE"""),45674.70833333333)</f>
        <v>45674.70833</v>
      </c>
      <c r="O2196" s="67"/>
      <c r="P2196" s="34" t="str">
        <f>IFERROR(__xludf.DUMMYFUNCTION("""COMPUTED_VALUE"""),"可")</f>
        <v>可</v>
      </c>
      <c r="Q2196" s="31" t="str">
        <f>IFERROR(__xludf.DUMMYFUNCTION("""COMPUTED_VALUE"""),"TLレーベル名：乙女チック	")</f>
        <v>TLレーベル名：乙女チック	</v>
      </c>
      <c r="R2196" s="22" t="str">
        <f>IFERROR(__xludf.DUMMYFUNCTION("""COMPUTED_VALUE"""),"広告コミットOK(8/27)	")</f>
        <v>広告コミットOK(8/27)	</v>
      </c>
      <c r="S2196" s="67" t="str">
        <f>IFERROR(__xludf.DUMMYFUNCTION("""COMPUTED_VALUE"""),"20241002_CLLENN_やらしくて可愛い俺の凛ちゃん。～隣人後輩くんのイキすぎた執着にハメ堕とされる～	")</f>
        <v>20241002_CLLENN_やらしくて可愛い俺の凛ちゃん。～隣人後輩くんのイキすぎた執着にハメ堕とされる～	</v>
      </c>
      <c r="T2196" s="22" t="str">
        <f>IFERROR(__xludf.DUMMYFUNCTION("""COMPUTED_VALUE"""),"格納済み")</f>
        <v>格納済み</v>
      </c>
      <c r="U2196" s="15" t="str">
        <f>IFERROR(__xludf.DUMMYFUNCTION("""COMPUTED_VALUE"""),"(C)ウル/CLLENN	")</f>
        <v>(C)ウル/CLLENN	</v>
      </c>
      <c r="V2196" s="8" t="str">
        <f>IFERROR(__xludf.DUMMYFUNCTION("""COMPUTED_VALUE"""),"「俺の名前呼びながらココ弄ってたでしょ」後輩くんをオカズに一人夜な夜な…ってなんで本人にバレてるの！？「凛ちゃんは今日から俺のもの…でしょ？」ヒクヒク疼いて、トロトロ溢れて止まらないアソコを彼の舌が這いまわり…容赦を知らない執着愛が、あたしを快楽へ堕としていく――！！処女歴26年の加賀屋凛（かがやりん）は、自分磨きを欠かさず毎回気合いを入れてデートへ臨むも、なぜか交際相手と長く続かない。今回もフラれて落ち込み状態の最中、新入社員・橘大和（たちばなやまと）の教育係を任される。顔とスタイルが完璧な彼は、性格も"&amp;"素直で可愛くて…傷心状態の凛を癒してくれるも、大和にはある秘密があり――。")</f>
        <v>「俺の名前呼びながらココ弄ってたでしょ」後輩くんをオカズに一人夜な夜な…ってなんで本人にバレてるの！？「凛ちゃんは今日から俺のもの…でしょ？」ヒクヒク疼いて、トロトロ溢れて止まらないアソコを彼の舌が這いまわり…容赦を知らない執着愛が、あたしを快楽へ堕としていく――！！処女歴26年の加賀屋凛（かがやりん）は、自分磨きを欠かさず毎回気合いを入れてデートへ臨むも、なぜか交際相手と長く続かない。今回もフラれて落ち込み状態の最中、新入社員・橘大和（たちばなやまと）の教育係を任される。顔とスタイルが完璧な彼は、性格も素直で可愛くて…傷心状態の凛を癒してくれるも、大和にはある秘密があり――。</v>
      </c>
      <c r="W2196" s="14"/>
      <c r="X2196" s="14" t="str">
        <f>IFERROR(__xludf.DUMMYFUNCTION("""COMPUTED_VALUE"""),"有")</f>
        <v>有</v>
      </c>
      <c r="Y2196" s="8" t="str">
        <f>IFERROR(__xludf.DUMMYFUNCTION("""COMPUTED_VALUE"""),"2024/11/1まで1巻無料")</f>
        <v>2024/11/1まで1巻無料</v>
      </c>
      <c r="Z2196" s="7"/>
      <c r="AA2196" s="7"/>
      <c r="AB2196" s="7"/>
    </row>
    <row r="2197" ht="15.75" customHeight="1">
      <c r="A2197" s="26">
        <f>IFERROR(__xludf.DUMMYFUNCTION("""COMPUTED_VALUE"""),4122.0)</f>
        <v>4122</v>
      </c>
      <c r="B2197" s="67" t="str">
        <f>IFERROR(__xludf.DUMMYFUNCTION("""COMPUTED_VALUE"""),"確定")</f>
        <v>確定</v>
      </c>
      <c r="C2197" s="59">
        <f>IFERROR(__xludf.DUMMYFUNCTION("""COMPUTED_VALUE"""),45545.0)</f>
        <v>45545</v>
      </c>
      <c r="D2197" s="59">
        <f>IFERROR(__xludf.DUMMYFUNCTION("""COMPUTED_VALUE"""),45567.0)</f>
        <v>45567</v>
      </c>
      <c r="E2197" s="100">
        <f>IFERROR(__xludf.DUMMYFUNCTION("""COMPUTED_VALUE"""),304254.0)</f>
        <v>304254</v>
      </c>
      <c r="F2197" s="61" t="str">
        <f>IFERROR(__xludf.DUMMYFUNCTION("""COMPUTED_VALUE"""),"サトリ令嬢の見透かせない感情【単話売】
")</f>
        <v>サトリ令嬢の見透かせない感情【単話売】
</v>
      </c>
      <c r="G2197" s="67" t="str">
        <f>IFERROR(__xludf.DUMMYFUNCTION("""COMPUTED_VALUE"""),"1～3")</f>
        <v>1～3</v>
      </c>
      <c r="H2197" s="22" t="str">
        <f>IFERROR(__xludf.DUMMYFUNCTION("""COMPUTED_VALUE"""),"一原ロコ/朱里雀/八美☆わん	")</f>
        <v>一原ロコ/朱里雀/八美☆わん	</v>
      </c>
      <c r="I2197" s="67" t="str">
        <f>IFERROR(__xludf.DUMMYFUNCTION("""COMPUTED_VALUE"""),"少女")</f>
        <v>少女</v>
      </c>
      <c r="J2197" s="22"/>
      <c r="K2197" s="22"/>
      <c r="L2197" s="22" t="str">
        <f>IFERROR(__xludf.DUMMYFUNCTION("""COMPUTED_VALUE"""),"ジュリアンパブリッシング	")</f>
        <v>ジュリアンパブリッシング	</v>
      </c>
      <c r="M2197" s="62">
        <f>IFERROR(__xludf.DUMMYFUNCTION("""COMPUTED_VALUE"""),45583.0)</f>
        <v>45583</v>
      </c>
      <c r="N2197" s="47">
        <f>IFERROR(__xludf.DUMMYFUNCTION("""COMPUTED_VALUE"""),45645.0)</f>
        <v>45645</v>
      </c>
      <c r="O2197" s="67"/>
      <c r="P2197" s="32" t="str">
        <f>IFERROR(__xludf.DUMMYFUNCTION("""COMPUTED_VALUE"""),"否")</f>
        <v>否</v>
      </c>
      <c r="Q2197" s="31"/>
      <c r="R2197" s="22" t="str">
        <f>IFERROR(__xludf.DUMMYFUNCTION("""COMPUTED_VALUE"""),"広告コミットOK(2023/12/19)	")</f>
        <v>広告コミットOK(2023/12/19)	</v>
      </c>
      <c r="S2197" s="67" t="str">
        <f>IFERROR(__xludf.DUMMYFUNCTION("""COMPUTED_VALUE"""),"20241002_ジュリアンパブリッシング_サトリ令嬢の見透かせない感情	")</f>
        <v>20241002_ジュリアンパブリッシング_サトリ令嬢の見透かせない感情	</v>
      </c>
      <c r="T2197" s="22" t="str">
        <f>IFERROR(__xludf.DUMMYFUNCTION("""COMPUTED_VALUE"""),"格納済み")</f>
        <v>格納済み</v>
      </c>
      <c r="U2197" s="15" t="str">
        <f>IFERROR(__xludf.DUMMYFUNCTION("""COMPUTED_VALUE"""),"(C)一原ロコ・朱里雀・八美☆わん/ジュリアンパブリッシング")</f>
        <v>(C)一原ロコ・朱里雀・八美☆わん/ジュリアンパブリッシング</v>
      </c>
      <c r="V2197" s="8" t="str">
        <f>IFERROR(__xludf.DUMMYFUNCTION("""COMPUTED_VALUE"""),"「ああ…アダリーズ、お前を……押し倒してぇ!!」貧乏男爵令嬢のアダリーズは、他人の心の声が聞こえる異能持ち。紳士淑女たちの生々しい裏の声にいつも辟易している。特にひょんなことで知り合った社交界一人気の公爵令息ディートリヒは、眉目秀麗で態度もスマートで礼儀正しいが、心の中はアダリーズへのエロい欲望でいっぱいでドン引き。外ヅラと内面のギャップが激しすぎるディートリヒをなんとかかわしたいアダリーズだが、何かと彼が絡んできて!?")</f>
        <v>「ああ…アダリーズ、お前を……押し倒してぇ!!」貧乏男爵令嬢のアダリーズは、他人の心の声が聞こえる異能持ち。紳士淑女たちの生々しい裏の声にいつも辟易している。特にひょんなことで知り合った社交界一人気の公爵令息ディートリヒは、眉目秀麗で態度もスマートで礼儀正しいが、心の中はアダリーズへのエロい欲望でいっぱいでドン引き。外ヅラと内面のギャップが激しすぎるディートリヒをなんとかかわしたいアダリーズだが、何かと彼が絡んできて!?</v>
      </c>
      <c r="W2197" s="14"/>
      <c r="X2197" s="14" t="str">
        <f>IFERROR(__xludf.DUMMYFUNCTION("""COMPUTED_VALUE"""),"有")</f>
        <v>有</v>
      </c>
      <c r="Y2197" s="8" t="str">
        <f>IFERROR(__xludf.DUMMYFUNCTION("""COMPUTED_VALUE"""),"2024/12/19まで1巻無料")</f>
        <v>2024/12/19まで1巻無料</v>
      </c>
      <c r="Z2197" s="7"/>
      <c r="AA2197" s="7"/>
      <c r="AB2197" s="7"/>
    </row>
    <row r="2198" ht="15.75" customHeight="1">
      <c r="A2198" s="76">
        <f>IFERROR(__xludf.DUMMYFUNCTION("""COMPUTED_VALUE"""),3615.0)</f>
        <v>3615</v>
      </c>
      <c r="B2198" s="108" t="str">
        <f>IFERROR(__xludf.DUMMYFUNCTION("""COMPUTED_VALUE"""),"確定")</f>
        <v>確定</v>
      </c>
      <c r="C2198" s="74">
        <f>IFERROR(__xludf.DUMMYFUNCTION("""COMPUTED_VALUE"""),45453.0)</f>
        <v>45453</v>
      </c>
      <c r="D2198" s="74">
        <f>IFERROR(__xludf.DUMMYFUNCTION("""COMPUTED_VALUE"""),45573.0)</f>
        <v>45573</v>
      </c>
      <c r="E2198" s="112">
        <f>IFERROR(__xludf.DUMMYFUNCTION("""COMPUTED_VALUE"""),303847.0)</f>
        <v>303847</v>
      </c>
      <c r="F2198" s="112" t="str">
        <f>IFERROR(__xludf.DUMMYFUNCTION("""COMPUTED_VALUE"""),"ワケあり王子様と治癒の聖女【単話】")</f>
        <v>ワケあり王子様と治癒の聖女【単話】</v>
      </c>
      <c r="G2198" s="69" t="str">
        <f>IFERROR(__xludf.DUMMYFUNCTION("""COMPUTED_VALUE"""),"1～3")</f>
        <v>1～3</v>
      </c>
      <c r="H2198" s="108" t="str">
        <f>IFERROR(__xludf.DUMMYFUNCTION("""COMPUTED_VALUE"""),"こじかあんよ/綾瀬ありる/天路ゆうつづ")</f>
        <v>こじかあんよ/綾瀬ありる/天路ゆうつづ</v>
      </c>
      <c r="I2198" s="108" t="str">
        <f>IFERROR(__xludf.DUMMYFUNCTION("""COMPUTED_VALUE"""),"少女")</f>
        <v>少女</v>
      </c>
      <c r="J2198" s="108"/>
      <c r="K2198" s="108"/>
      <c r="L2198" s="108" t="str">
        <f>IFERROR(__xludf.DUMMYFUNCTION("""COMPUTED_VALUE"""),"ジュリアンパブリッシング")</f>
        <v>ジュリアンパブリッシング</v>
      </c>
      <c r="M2198" s="115">
        <f>IFERROR(__xludf.DUMMYFUNCTION("""COMPUTED_VALUE"""),45576.0)</f>
        <v>45576</v>
      </c>
      <c r="N2198" s="59">
        <f>IFERROR(__xludf.DUMMYFUNCTION("""COMPUTED_VALUE"""),45673.0)</f>
        <v>45673</v>
      </c>
      <c r="O2198" s="108"/>
      <c r="P2198" s="114" t="str">
        <f>IFERROR(__xludf.DUMMYFUNCTION("""COMPUTED_VALUE"""),"可")</f>
        <v>可</v>
      </c>
      <c r="Q2198" s="108"/>
      <c r="R2198" s="108" t="str">
        <f>IFERROR(__xludf.DUMMYFUNCTION("""COMPUTED_VALUE"""),"広告コミットOK(6/14)")</f>
        <v>広告コミットOK(6/14)</v>
      </c>
      <c r="S2198" s="108" t="str">
        <f>IFERROR(__xludf.DUMMYFUNCTION("""COMPUTED_VALUE"""),"20241002_ジュリアンパブリッシング_ワケあり王子様と治癒の聖女")</f>
        <v>20241002_ジュリアンパブリッシング_ワケあり王子様と治癒の聖女</v>
      </c>
      <c r="T2198" s="108" t="str">
        <f>IFERROR(__xludf.DUMMYFUNCTION("""COMPUTED_VALUE"""),"格納済み")</f>
        <v>格納済み</v>
      </c>
      <c r="U2198" s="15" t="str">
        <f>IFERROR(__xludf.DUMMYFUNCTION("""COMPUTED_VALUE"""),"(C)こじかあんよ・綾瀬ありる・天路ゆうつづ/ジュリアンパブリッシング")</f>
        <v>(C)こじかあんよ・綾瀬ありる・天路ゆうつづ/ジュリアンパブリッシング</v>
      </c>
      <c r="V2198" s="8" t="str">
        <f>IFERROR(__xludf.DUMMYFUNCTION("""COMPUTED_VALUE"""),"「こうなったら意地でもおまえに治癒してもらう」「殿下、どうか私の羞恥心にご配慮を…！」新人聖女・ロレッタの元へ、国の英雄で“赤き戦神”と称えられる王太子・アレックスが患者としてやってくる。しかし、ロレッタは患部に触れないと治癒ができない落ちこぼれ聖女。彼が治療してほしいといってきた箇所が問題で!? ロレッタの抵抗虚しく、アレックスに気に入られて専属聖女として王宮に上がることになって…。")</f>
        <v>「こうなったら意地でもおまえに治癒してもらう」「殿下、どうか私の羞恥心にご配慮を…！」新人聖女・ロレッタの元へ、国の英雄で“赤き戦神”と称えられる王太子・アレックスが患者としてやってくる。しかし、ロレッタは患部に触れないと治癒ができない落ちこぼれ聖女。彼が治療してほしいといってきた箇所が問題で!? ロレッタの抵抗虚しく、アレックスに気に入られて専属聖女として王宮に上がることになって…。</v>
      </c>
      <c r="W2198" s="14"/>
      <c r="X2198" s="14" t="str">
        <f>IFERROR(__xludf.DUMMYFUNCTION("""COMPUTED_VALUE"""),"有")</f>
        <v>有</v>
      </c>
      <c r="Y2198" s="8" t="str">
        <f>IFERROR(__xludf.DUMMYFUNCTION("""COMPUTED_VALUE"""),"2024/11/14まで1巻無料")</f>
        <v>2024/11/14まで1巻無料</v>
      </c>
      <c r="Z2198" s="7"/>
      <c r="AA2198" s="7"/>
      <c r="AB2198" s="7"/>
    </row>
    <row r="2199" ht="15.75" customHeight="1">
      <c r="A2199" s="76">
        <f>IFERROR(__xludf.DUMMYFUNCTION("""COMPUTED_VALUE"""),3722.0)</f>
        <v>3722</v>
      </c>
      <c r="B2199" s="108" t="str">
        <f>IFERROR(__xludf.DUMMYFUNCTION("""COMPUTED_VALUE"""),"確定")</f>
        <v>確定</v>
      </c>
      <c r="C2199" s="74">
        <f>IFERROR(__xludf.DUMMYFUNCTION("""COMPUTED_VALUE"""),45470.0)</f>
        <v>45470</v>
      </c>
      <c r="D2199" s="74">
        <f>IFERROR(__xludf.DUMMYFUNCTION("""COMPUTED_VALUE"""),45573.0)</f>
        <v>45573</v>
      </c>
      <c r="E2199" s="112">
        <f>IFERROR(__xludf.DUMMYFUNCTION("""COMPUTED_VALUE"""),304676.0)</f>
        <v>304676</v>
      </c>
      <c r="F2199" s="124" t="str">
        <f>IFERROR(__xludf.DUMMYFUNCTION("""COMPUTED_VALUE"""),"【単話版】正しい不倫")</f>
        <v>【単話版】正しい不倫</v>
      </c>
      <c r="G2199" s="69" t="str">
        <f>IFERROR(__xludf.DUMMYFUNCTION("""COMPUTED_VALUE"""),"1～3")</f>
        <v>1～3</v>
      </c>
      <c r="H2199" s="108" t="str">
        <f>IFERROR(__xludf.DUMMYFUNCTION("""COMPUTED_VALUE"""),"望月くらげ 原作／高村にわ 作画")</f>
        <v>望月くらげ 原作／高村にわ 作画</v>
      </c>
      <c r="I2199" s="113" t="str">
        <f>IFERROR(__xludf.DUMMYFUNCTION("""COMPUTED_VALUE"""),"青年")</f>
        <v>青年</v>
      </c>
      <c r="J2199" s="108"/>
      <c r="K2199" s="108"/>
      <c r="L2199" s="108" t="str">
        <f>IFERROR(__xludf.DUMMYFUNCTION("""COMPUTED_VALUE"""),"新潮社")</f>
        <v>新潮社</v>
      </c>
      <c r="M2199" s="115">
        <f>IFERROR(__xludf.DUMMYFUNCTION("""COMPUTED_VALUE"""),45590.0)</f>
        <v>45590</v>
      </c>
      <c r="N2199" s="117">
        <f>IFERROR(__xludf.DUMMYFUNCTION("""COMPUTED_VALUE"""),46021.0)</f>
        <v>46021</v>
      </c>
      <c r="O2199" s="108"/>
      <c r="P2199" s="110" t="str">
        <f>IFERROR(__xludf.DUMMYFUNCTION("""COMPUTED_VALUE"""),"可")</f>
        <v>可</v>
      </c>
      <c r="Q2199" s="108" t="str">
        <f>IFERROR(__xludf.DUMMYFUNCTION("""COMPUTED_VALUE"""),"初回配信以降、毎月25日に1話ずつ配信")</f>
        <v>初回配信以降、毎月25日に1話ずつ配信</v>
      </c>
      <c r="R2199" s="108" t="str">
        <f>IFERROR(__xludf.DUMMYFUNCTION("""COMPUTED_VALUE"""),"広告コミットOK(7/4)")</f>
        <v>広告コミットOK(7/4)</v>
      </c>
      <c r="S2199" s="108" t="str">
        <f>IFERROR(__xludf.DUMMYFUNCTION("""COMPUTED_VALUE"""),"20241003_新潮社_正しい不倫")</f>
        <v>20241003_新潮社_正しい不倫</v>
      </c>
      <c r="T2199" s="108" t="str">
        <f>IFERROR(__xludf.DUMMYFUNCTION("""COMPUTED_VALUE"""),"格納済み")</f>
        <v>格納済み</v>
      </c>
      <c r="U2199" s="15" t="str">
        <f>IFERROR(__xludf.DUMMYFUNCTION("""COMPUTED_VALUE"""),"©高村にわ／新潮社 ©望月くらげ／テラーノベル")</f>
        <v>©高村にわ／新潮社 ©望月くらげ／テラーノベル</v>
      </c>
      <c r="V2199" s="8" t="str">
        <f>IFERROR(__xludf.DUMMYFUNCTION("""COMPUTED_VALUE"""),"「あなたの隣にいるのは私のはずだったのに――」交通事故に遭い、目覚めたら10年の時が経っていた。女子高生の茜は、コールドスリープという特殊な技術で、17歳の姿のまま10年の眠りから目覚める。結婚の約束までしていた大好きな彼氏・直人はすでに27歳。感動の再会のはずが、彼の薬指には結婚指輪が……。相手は茜の親友・美春で、しかも二児の父親になっていた。奇跡の技術が生んだ、歪にもつれた愛憎劇が開幕――！")</f>
        <v>「あなたの隣にいるのは私のはずだったのに――」交通事故に遭い、目覚めたら10年の時が経っていた。女子高生の茜は、コールドスリープという特殊な技術で、17歳の姿のまま10年の眠りから目覚める。結婚の約束までしていた大好きな彼氏・直人はすでに27歳。感動の再会のはずが、彼の薬指には結婚指輪が……。相手は茜の親友・美春で、しかも二児の父親になっていた。奇跡の技術が生んだ、歪にもつれた愛憎劇が開幕――！</v>
      </c>
      <c r="W2199" s="14"/>
      <c r="X2199" s="14" t="str">
        <f>IFERROR(__xludf.DUMMYFUNCTION("""COMPUTED_VALUE"""),"有")</f>
        <v>有</v>
      </c>
      <c r="Y2199" s="8" t="str">
        <f>IFERROR(__xludf.DUMMYFUNCTION("""COMPUTED_VALUE"""),"2024/11/7まで1巻無料")</f>
        <v>2024/11/7まで1巻無料</v>
      </c>
      <c r="Z2199" s="7"/>
      <c r="AA2199" s="7"/>
      <c r="AB2199" s="7"/>
    </row>
    <row r="2200" ht="15.75" customHeight="1">
      <c r="A2200" s="76">
        <f>IFERROR(__xludf.DUMMYFUNCTION("""COMPUTED_VALUE"""),3724.0)</f>
        <v>3724</v>
      </c>
      <c r="B2200" s="108" t="str">
        <f>IFERROR(__xludf.DUMMYFUNCTION("""COMPUTED_VALUE"""),"確定")</f>
        <v>確定</v>
      </c>
      <c r="C2200" s="74">
        <f>IFERROR(__xludf.DUMMYFUNCTION("""COMPUTED_VALUE"""),45474.0)</f>
        <v>45474</v>
      </c>
      <c r="D2200" s="74">
        <f>IFERROR(__xludf.DUMMYFUNCTION("""COMPUTED_VALUE"""),45573.0)</f>
        <v>45573</v>
      </c>
      <c r="E2200" s="112">
        <f>IFERROR(__xludf.DUMMYFUNCTION("""COMPUTED_VALUE"""),304664.0)</f>
        <v>304664</v>
      </c>
      <c r="F2200" s="112" t="str">
        <f>IFERROR(__xludf.DUMMYFUNCTION("""COMPUTED_VALUE"""),"異世界皇子、おしかけ求婚に参りました")</f>
        <v>異世界皇子、おしかけ求婚に参りました</v>
      </c>
      <c r="G2200" s="69" t="str">
        <f>IFERROR(__xludf.DUMMYFUNCTION("""COMPUTED_VALUE"""),"1～2")</f>
        <v>1～2</v>
      </c>
      <c r="H2200" s="108" t="str">
        <f>IFERROR(__xludf.DUMMYFUNCTION("""COMPUTED_VALUE"""),"珠田ヨーコ")</f>
        <v>珠田ヨーコ</v>
      </c>
      <c r="I2200" s="108" t="str">
        <f>IFERROR(__xludf.DUMMYFUNCTION("""COMPUTED_VALUE"""),"女性")</f>
        <v>女性</v>
      </c>
      <c r="J2200" s="108"/>
      <c r="K2200" s="108"/>
      <c r="L2200" s="108" t="str">
        <f>IFERROR(__xludf.DUMMYFUNCTION("""COMPUTED_VALUE"""),"CLLENN")</f>
        <v>CLLENN</v>
      </c>
      <c r="M2200" s="115">
        <f>IFERROR(__xludf.DUMMYFUNCTION("""COMPUTED_VALUE"""),45588.0)</f>
        <v>45588</v>
      </c>
      <c r="N2200" s="115">
        <f>IFERROR(__xludf.DUMMYFUNCTION("""COMPUTED_VALUE"""),45650.0)</f>
        <v>45650</v>
      </c>
      <c r="O2200" s="108"/>
      <c r="P2200" s="114" t="str">
        <f>IFERROR(__xludf.DUMMYFUNCTION("""COMPUTED_VALUE"""),"可")</f>
        <v>可</v>
      </c>
      <c r="Q2200" s="108"/>
      <c r="R2200" s="108" t="str">
        <f>IFERROR(__xludf.DUMMYFUNCTION("""COMPUTED_VALUE"""),"広告コミットOK(7/8)")</f>
        <v>広告コミットOK(7/8)</v>
      </c>
      <c r="S2200" s="108" t="str">
        <f>IFERROR(__xludf.DUMMYFUNCTION("""COMPUTED_VALUE"""),"20241002_CLLENN_異世界皇子、おしかけ求婚に参りました")</f>
        <v>20241002_CLLENN_異世界皇子、おしかけ求婚に参りました</v>
      </c>
      <c r="T2200" s="108" t="str">
        <f>IFERROR(__xludf.DUMMYFUNCTION("""COMPUTED_VALUE"""),"格納済み")</f>
        <v>格納済み</v>
      </c>
      <c r="U2200" s="15" t="str">
        <f>IFERROR(__xludf.DUMMYFUNCTION("""COMPUTED_VALUE"""),"(C)珠田ヨーコ/CLLENN")</f>
        <v>(C)珠田ヨーコ/CLLENN</v>
      </c>
      <c r="V2200" s="8" t="str">
        <f>IFERROR(__xludf.DUMMYFUNCTION("""COMPUTED_VALUE"""),"異世界で神子として召喚され、世界を救ったラン。皇子ルベルからの引き止めにも関わらず、彼女は現世へと戻り、普通の生活を送ろうと努力していた。運よく就職できた職場にも少しずつ慣れてきたある日、懐かしい蹄の音が…振り返るとそこには、別れを告げたはずの皇子殿下が！？ 「神が言っている、今度こそ結ばれるべきだと…！」皇子はそのまま新入社員としてランのチームに加わることに！？ 混乱するランに、皇子は追い打ちをかけるように”必ず幸せにする”と求婚！ 仕事もプライベートも世間知らずでズレまくりな皇子と平凡な生活を求めるラ"&amp;"ンの、ドタバタラブ・コメディ！")</f>
        <v>異世界で神子として召喚され、世界を救ったラン。皇子ルベルからの引き止めにも関わらず、彼女は現世へと戻り、普通の生活を送ろうと努力していた。運よく就職できた職場にも少しずつ慣れてきたある日、懐かしい蹄の音が…振り返るとそこには、別れを告げたはずの皇子殿下が！？ 「神が言っている、今度こそ結ばれるべきだと…！」皇子はそのまま新入社員としてランのチームに加わることに！？ 混乱するランに、皇子は追い打ちをかけるように”必ず幸せにする”と求婚！ 仕事もプライベートも世間知らずでズレまくりな皇子と平凡な生活を求めるランの、ドタバタラブ・コメディ！</v>
      </c>
      <c r="W2200" s="14"/>
      <c r="X2200" s="14" t="str">
        <f>IFERROR(__xludf.DUMMYFUNCTION("""COMPUTED_VALUE"""),"有")</f>
        <v>有</v>
      </c>
      <c r="Y2200" s="8" t="str">
        <f>IFERROR(__xludf.DUMMYFUNCTION("""COMPUTED_VALUE"""),"2024/11/5まで立ち読み増量P20まで")</f>
        <v>2024/11/5まで立ち読み増量P20まで</v>
      </c>
      <c r="Z2200" s="7"/>
      <c r="AA2200" s="7"/>
      <c r="AB2200" s="7"/>
    </row>
    <row r="2201" ht="15.75" customHeight="1">
      <c r="A2201" s="76">
        <f>IFERROR(__xludf.DUMMYFUNCTION("""COMPUTED_VALUE"""),3890.0)</f>
        <v>3890</v>
      </c>
      <c r="B2201" s="108" t="str">
        <f>IFERROR(__xludf.DUMMYFUNCTION("""COMPUTED_VALUE"""),"確定")</f>
        <v>確定</v>
      </c>
      <c r="C2201" s="74">
        <f>IFERROR(__xludf.DUMMYFUNCTION("""COMPUTED_VALUE"""),45504.0)</f>
        <v>45504</v>
      </c>
      <c r="D2201" s="74">
        <f>IFERROR(__xludf.DUMMYFUNCTION("""COMPUTED_VALUE"""),45574.0)</f>
        <v>45574</v>
      </c>
      <c r="E2201" s="112">
        <f>IFERROR(__xludf.DUMMYFUNCTION("""COMPUTED_VALUE"""),301042.0)</f>
        <v>301042</v>
      </c>
      <c r="F2201" s="112" t="str">
        <f>IFERROR(__xludf.DUMMYFUNCTION("""COMPUTED_VALUE"""),"期限は恋ができるまで。")</f>
        <v>期限は恋ができるまで。</v>
      </c>
      <c r="G2201" s="69" t="str">
        <f>IFERROR(__xludf.DUMMYFUNCTION("""COMPUTED_VALUE"""),"1～4")</f>
        <v>1～4</v>
      </c>
      <c r="H2201" s="108" t="str">
        <f>IFERROR(__xludf.DUMMYFUNCTION("""COMPUTED_VALUE"""),"虎前,あゆこ")</f>
        <v>虎前,あゆこ</v>
      </c>
      <c r="I2201" s="108" t="str">
        <f>IFERROR(__xludf.DUMMYFUNCTION("""COMPUTED_VALUE"""),"少女")</f>
        <v>少女</v>
      </c>
      <c r="J2201" s="108"/>
      <c r="K2201" s="108"/>
      <c r="L2201" s="108" t="str">
        <f>IFERROR(__xludf.DUMMYFUNCTION("""COMPUTED_VALUE"""),"スタンダード")</f>
        <v>スタンダード</v>
      </c>
      <c r="M2201" s="59">
        <f>IFERROR(__xludf.DUMMYFUNCTION("""COMPUTED_VALUE"""),45597.0)</f>
        <v>45597</v>
      </c>
      <c r="N2201" s="115">
        <f>IFERROR(__xludf.DUMMYFUNCTION("""COMPUTED_VALUE"""),45657.0)</f>
        <v>45657</v>
      </c>
      <c r="O2201" s="108"/>
      <c r="P2201" s="110" t="str">
        <f>IFERROR(__xludf.DUMMYFUNCTION("""COMPUTED_VALUE"""),"否")</f>
        <v>否</v>
      </c>
      <c r="Q2201" s="108" t="str">
        <f>IFERROR(__xludf.DUMMYFUNCTION("""COMPUTED_VALUE"""),"出稿開始希望日：11/1（4巻リリース日）&lt;BR&gt;・毎月第一金曜配信で1話追加予定です。&lt;BR&gt;・4巻目配信11/1から+2か月まで先行期間獲得&lt;BR&gt;・1-4巻の素材で4巻配信日に合わせての出稿依頼")</f>
        <v>出稿開始希望日：11/1（4巻リリース日）&lt;BR&gt;・毎月第一金曜配信で1話追加予定です。&lt;BR&gt;・4巻目配信11/1から+2か月まで先行期間獲得&lt;BR&gt;・1-4巻の素材で4巻配信日に合わせての出稿依頼</v>
      </c>
      <c r="R2201" s="108" t="str">
        <f>IFERROR(__xludf.DUMMYFUNCTION("""COMPUTED_VALUE"""),"広告コミットOK(8/7)")</f>
        <v>広告コミットOK(8/7)</v>
      </c>
      <c r="S2201" s="108" t="str">
        <f>IFERROR(__xludf.DUMMYFUNCTION("""COMPUTED_VALUE"""),"20241008_スタンダード_期限は恋ができるまで。")</f>
        <v>20241008_スタンダード_期限は恋ができるまで。</v>
      </c>
      <c r="T2201" s="108" t="str">
        <f>IFERROR(__xludf.DUMMYFUNCTION("""COMPUTED_VALUE"""),"格納済み")</f>
        <v>格納済み</v>
      </c>
      <c r="U2201" s="15" t="str">
        <f>IFERROR(__xludf.DUMMYFUNCTION("""COMPUTED_VALUE"""),"©あゆこ/DTSパブリッシング")</f>
        <v>©あゆこ/DTSパブリッシング</v>
      </c>
      <c r="V2201" s="8" t="str">
        <f>IFERROR(__xludf.DUMMYFUNCTION("""COMPUTED_VALUE"""),"大手雑貨メーカーに勤める南結花は、突然の恋人との別れに落ち込んでいた。ヤケで飲んでいたところに偶然現れたのは結花の天敵ともいえる上司・八木智弘。店主のおせっかいから八木に悩み相談をすることになってしまう結花。すると、八木の口から意外な言葉が。「それなら俺を恋人にしてみるのはどうだ？」照れも同情も感じない態度。続けられた言葉は「お前にはもっと成長してもらわないと困る」仕事のための恋人って何よ…！悔しい結花は「じゃあ私を惚れさせてくださいよ。八木さんにはできないと思いますけど！」と啖呵を切る。その日以降、予想"&amp;"外の甘い猛攻を仕掛ける八木と、それに翻弄されてしまう結花。好きでもないのになんでこんなことまでするの！？八木さんの心がわからない…！")</f>
        <v>大手雑貨メーカーに勤める南結花は、突然の恋人との別れに落ち込んでいた。ヤケで飲んでいたところに偶然現れたのは結花の天敵ともいえる上司・八木智弘。店主のおせっかいから八木に悩み相談をすることになってしまう結花。すると、八木の口から意外な言葉が。「それなら俺を恋人にしてみるのはどうだ？」照れも同情も感じない態度。続けられた言葉は「お前にはもっと成長してもらわないと困る」仕事のための恋人って何よ…！悔しい結花は「じゃあ私を惚れさせてくださいよ。八木さんにはできないと思いますけど！」と啖呵を切る。その日以降、予想外の甘い猛攻を仕掛ける八木と、それに翻弄されてしまう結花。好きでもないのになんでこんなことまでするの！？八木さんの心がわからない…！</v>
      </c>
      <c r="W2201" s="14"/>
      <c r="X2201" s="14" t="str">
        <f>IFERROR(__xludf.DUMMYFUNCTION("""COMPUTED_VALUE"""),"有")</f>
        <v>有</v>
      </c>
      <c r="Y2201" s="8" t="str">
        <f>IFERROR(__xludf.DUMMYFUNCTION("""COMPUTED_VALUE"""),"P12まで")</f>
        <v>P12まで</v>
      </c>
      <c r="Z2201" s="7"/>
      <c r="AA2201" s="7"/>
      <c r="AB2201" s="7"/>
    </row>
    <row r="2202" ht="15.75" customHeight="1">
      <c r="A2202" s="76">
        <f>IFERROR(__xludf.DUMMYFUNCTION("""COMPUTED_VALUE"""),3902.0)</f>
        <v>3902</v>
      </c>
      <c r="B2202" s="108" t="str">
        <f>IFERROR(__xludf.DUMMYFUNCTION("""COMPUTED_VALUE"""),"確定")</f>
        <v>確定</v>
      </c>
      <c r="C2202" s="74">
        <f>IFERROR(__xludf.DUMMYFUNCTION("""COMPUTED_VALUE"""),45505.0)</f>
        <v>45505</v>
      </c>
      <c r="D2202" s="74">
        <f>IFERROR(__xludf.DUMMYFUNCTION("""COMPUTED_VALUE"""),45573.0)</f>
        <v>45573</v>
      </c>
      <c r="E2202" s="112">
        <f>IFERROR(__xludf.DUMMYFUNCTION("""COMPUTED_VALUE"""),306390.0)</f>
        <v>306390</v>
      </c>
      <c r="F2202" s="124" t="str">
        <f>IFERROR(__xludf.DUMMYFUNCTION("""COMPUTED_VALUE"""),"ましろくんはナニがなんでもアレを描きたい！ 分冊版")</f>
        <v>ましろくんはナニがなんでもアレを描きたい！ 分冊版</v>
      </c>
      <c r="G2202" s="69" t="str">
        <f>IFERROR(__xludf.DUMMYFUNCTION("""COMPUTED_VALUE"""),"1～3")</f>
        <v>1～3</v>
      </c>
      <c r="H2202" s="108" t="str">
        <f>IFERROR(__xludf.DUMMYFUNCTION("""COMPUTED_VALUE"""),"高山こば")</f>
        <v>高山こば</v>
      </c>
      <c r="I2202" s="108" t="str">
        <f>IFERROR(__xludf.DUMMYFUNCTION("""COMPUTED_VALUE"""),"BL")</f>
        <v>BL</v>
      </c>
      <c r="J2202" s="108"/>
      <c r="K2202" s="108"/>
      <c r="L2202" s="108" t="str">
        <f>IFERROR(__xludf.DUMMYFUNCTION("""COMPUTED_VALUE"""),"双葉社")</f>
        <v>双葉社</v>
      </c>
      <c r="M2202" s="115">
        <f>IFERROR(__xludf.DUMMYFUNCTION("""COMPUTED_VALUE"""),45616.0)</f>
        <v>45616</v>
      </c>
      <c r="N2202" s="59">
        <f>IFERROR(__xludf.DUMMYFUNCTION("""COMPUTED_VALUE"""),45676.0)</f>
        <v>45676</v>
      </c>
      <c r="O2202" s="108"/>
      <c r="P2202" s="114" t="str">
        <f>IFERROR(__xludf.DUMMYFUNCTION("""COMPUTED_VALUE"""),"可")</f>
        <v>可</v>
      </c>
      <c r="Q2202" s="108"/>
      <c r="R2202" s="108" t="str">
        <f>IFERROR(__xludf.DUMMYFUNCTION("""COMPUTED_VALUE"""),"広告コミットOK(8/6)")</f>
        <v>広告コミットOK(8/6)</v>
      </c>
      <c r="S2202" s="108" t="str">
        <f>IFERROR(__xludf.DUMMYFUNCTION("""COMPUTED_VALUE"""),"20241002_双葉社_ましろくんはナニがなんでもアレを描きたい！")</f>
        <v>20241002_双葉社_ましろくんはナニがなんでもアレを描きたい！</v>
      </c>
      <c r="T2202" s="108" t="str">
        <f>IFERROR(__xludf.DUMMYFUNCTION("""COMPUTED_VALUE"""),"格納済み")</f>
        <v>格納済み</v>
      </c>
      <c r="U2202" s="15" t="str">
        <f>IFERROR(__xludf.DUMMYFUNCTION("""COMPUTED_VALUE"""),"(C)高山こば/双葉社")</f>
        <v>(C)高山こば/双葉社</v>
      </c>
      <c r="V2202" s="8" t="str">
        <f>IFERROR(__xludf.DUMMYFUNCTION("""COMPUTED_VALUE"""),"「あなたのち●こ描かせてください！」銭湯で突然可愛い系男子に声をかけられ…「いや、普通にドン引きだが??」顔はイケメンでモテるけど真面目で口数少なめのダウナー系男子『亀井彩人』は、過去の彼女の一件でEDになり誰と付き合っても続かない…。そんな彩人の前に、見た目は可愛いのに距離感バグなサイコパス美大生『ましろ』が現れ「勃起ち●こを描かせて」と言ってきて!?「勃たせてくれたらいいよ」とキレぎみに答えた彩人に対し、ましろは「触ればいい!?」とアソコを掴んできて!?慣れてない手つきで一生懸命なましろの姿に可愛いと"&amp;"思ってしまう彩人。俺は何を…と正気を取り戻そうとするも、アソコは勃ってて――!?!?")</f>
        <v>「あなたのち●こ描かせてください！」銭湯で突然可愛い系男子に声をかけられ…「いや、普通にドン引きだが??」顔はイケメンでモテるけど真面目で口数少なめのダウナー系男子『亀井彩人』は、過去の彼女の一件でEDになり誰と付き合っても続かない…。そんな彩人の前に、見た目は可愛いのに距離感バグなサイコパス美大生『ましろ』が現れ「勃起ち●こを描かせて」と言ってきて!?「勃たせてくれたらいいよ」とキレぎみに答えた彩人に対し、ましろは「触ればいい!?」とアソコを掴んできて!?慣れてない手つきで一生懸命なましろの姿に可愛いと思ってしまう彩人。俺は何を…と正気を取り戻そうとするも、アソコは勃ってて――!?!?</v>
      </c>
      <c r="W2202" s="14"/>
      <c r="X2202" s="14" t="str">
        <f>IFERROR(__xludf.DUMMYFUNCTION("""COMPUTED_VALUE"""),"有")</f>
        <v>有</v>
      </c>
      <c r="Y2202" s="8" t="str">
        <f>IFERROR(__xludf.DUMMYFUNCTION("""COMPUTED_VALUE"""),"P9まで")</f>
        <v>P9まで</v>
      </c>
      <c r="Z2202" s="7"/>
      <c r="AA2202" s="7"/>
      <c r="AB2202" s="7"/>
    </row>
    <row r="2203" ht="15.75" customHeight="1">
      <c r="A2203" s="76">
        <f>IFERROR(__xludf.DUMMYFUNCTION("""COMPUTED_VALUE"""),3979.0)</f>
        <v>3979</v>
      </c>
      <c r="B2203" s="108" t="str">
        <f>IFERROR(__xludf.DUMMYFUNCTION("""COMPUTED_VALUE"""),"確定")</f>
        <v>確定</v>
      </c>
      <c r="C2203" s="74">
        <f>IFERROR(__xludf.DUMMYFUNCTION("""COMPUTED_VALUE"""),45519.0)</f>
        <v>45519</v>
      </c>
      <c r="D2203" s="74">
        <f>IFERROR(__xludf.DUMMYFUNCTION("""COMPUTED_VALUE"""),45573.0)</f>
        <v>45573</v>
      </c>
      <c r="E2203" s="112">
        <f>IFERROR(__xludf.DUMMYFUNCTION("""COMPUTED_VALUE"""),304922.0)</f>
        <v>304922</v>
      </c>
      <c r="F2203" s="112" t="str">
        <f>IFERROR(__xludf.DUMMYFUNCTION("""COMPUTED_VALUE"""),"旦那が不倫相手と職場の金を横領している件について。【単話】")</f>
        <v>旦那が不倫相手と職場の金を横領している件について。【単話】</v>
      </c>
      <c r="G2203" s="69" t="str">
        <f>IFERROR(__xludf.DUMMYFUNCTION("""COMPUTED_VALUE"""),"1～3")</f>
        <v>1～3</v>
      </c>
      <c r="H2203" s="113" t="str">
        <f>IFERROR(__xludf.DUMMYFUNCTION("""COMPUTED_VALUE"""),"作画／一科ハチカ、原作／希紅、原作／ARATA        ")</f>
        <v>作画／一科ハチカ、原作／希紅、原作／ARATA        </v>
      </c>
      <c r="I2203" s="108" t="str">
        <f>IFERROR(__xludf.DUMMYFUNCTION("""COMPUTED_VALUE"""),"女性")</f>
        <v>女性</v>
      </c>
      <c r="J2203" s="108"/>
      <c r="K2203" s="108"/>
      <c r="L2203" s="108" t="str">
        <f>IFERROR(__xludf.DUMMYFUNCTION("""COMPUTED_VALUE"""),"朝日新聞出版")</f>
        <v>朝日新聞出版</v>
      </c>
      <c r="M2203" s="115">
        <f>IFERROR(__xludf.DUMMYFUNCTION("""COMPUTED_VALUE"""),45595.0)</f>
        <v>45595</v>
      </c>
      <c r="N2203" s="59">
        <f>IFERROR(__xludf.DUMMYFUNCTION("""COMPUTED_VALUE"""),45688.0)</f>
        <v>45688</v>
      </c>
      <c r="O2203" s="108"/>
      <c r="P2203" s="114" t="str">
        <f>IFERROR(__xludf.DUMMYFUNCTION("""COMPUTED_VALUE"""),"否")</f>
        <v>否</v>
      </c>
      <c r="Q2203" s="111"/>
      <c r="R2203" s="108"/>
      <c r="S2203" s="108" t="str">
        <f>IFERROR(__xludf.DUMMYFUNCTION("""COMPUTED_VALUE"""),"20241003_朝日新聞出版社‗旦那が不倫相手と職場の金を横領している件について。")</f>
        <v>20241003_朝日新聞出版社‗旦那が不倫相手と職場の金を横領している件について。</v>
      </c>
      <c r="T2203" s="113" t="str">
        <f>IFERROR(__xludf.DUMMYFUNCTION("""COMPUTED_VALUE"""),"格納済み")</f>
        <v>格納済み</v>
      </c>
      <c r="U2203" s="15" t="str">
        <f>IFERROR(__xludf.DUMMYFUNCTION("""COMPUTED_VALUE"""),"©一科ハチカ・希虹・NARATA／朝日新聞出版")</f>
        <v>©一科ハチカ・希虹・NARATA／朝日新聞出版</v>
      </c>
      <c r="V2203" s="8" t="str">
        <f>IFERROR(__xludf.DUMMYFUNCTION("""COMPUTED_VALUE"""),"結婚５年、専業主婦の泉は待望の子宝に恵まれ、現在０歳の子育て中。銀行員時代の同僚で、夫の大也は仕事で忙しく、帰宅してすぐ寝る日々。ワンオペ育児に追われていたある日、資料の忘れ物をしたと大也から連絡があり、資料を届けることになる。久しぶりの古巣に懐かしさを感じ、顔見知りの同僚と会話を楽しむ。そんな中、派手で香水の匂いがきつい女性が話しかけてきた。「今野さんの奥様ですか？」「私が入る前に辞められてるんなら大先輩ですね」「奥様は…お疲れみたいで、すごく年上に見えます」などと言ってくる。泣き出してしまった娘に対し"&amp;"ても「すみません、他のお客様の邪魔になるのでお静かに」と好戦的な態度を取ってくる。珍しく早く帰宅した大也に今日のことを話そうとすると、不意打ちに「いつもありがとう」と高級ブランドのお財布をプレゼントされる。思わず涙がでてきて、子育ては大変だけど、大也と結婚してよかったと改めて思う。「でもどうして突然プレゼントなんか……。しかもこれ10万円くらいするのに、そんなお金あるのかな」とも思う。お金の管理は大也がしているが、ボーナスの時期でもないし、なんとなく釈然としない。でも、せっかくの記念なので、袋と箱も取って"&amp;"おこうと手に取ると、昼間かいだキツイ香水の匂いがして、違和感を抱く。洗濯機の中にある大也のYシャツを取り出すとかいでむると、。ファンデーションと同じ香水の匂いがする。まさか、大也とあの子、不倫している――！？")</f>
        <v>結婚５年、専業主婦の泉は待望の子宝に恵まれ、現在０歳の子育て中。銀行員時代の同僚で、夫の大也は仕事で忙しく、帰宅してすぐ寝る日々。ワンオペ育児に追われていたある日、資料の忘れ物をしたと大也から連絡があり、資料を届けることになる。久しぶりの古巣に懐かしさを感じ、顔見知りの同僚と会話を楽しむ。そんな中、派手で香水の匂いがきつい女性が話しかけてきた。「今野さんの奥様ですか？」「私が入る前に辞められてるんなら大先輩ですね」「奥様は…お疲れみたいで、すごく年上に見えます」などと言ってくる。泣き出してしまった娘に対しても「すみません、他のお客様の邪魔になるのでお静かに」と好戦的な態度を取ってくる。珍しく早く帰宅した大也に今日のことを話そうとすると、不意打ちに「いつもありがとう」と高級ブランドのお財布をプレゼントされる。思わず涙がでてきて、子育ては大変だけど、大也と結婚してよかったと改めて思う。「でもどうして突然プレゼントなんか……。しかもこれ10万円くらいするのに、そんなお金あるのかな」とも思う。お金の管理は大也がしているが、ボーナスの時期でもないし、なんとなく釈然としない。でも、せっかくの記念なので、袋と箱も取っておこうと手に取ると、昼間かいだキツイ香水の匂いがして、違和感を抱く。洗濯機の中にある大也のYシャツを取り出すとかいでむると、。ファンデーションと同じ香水の匂いがする。まさか、大也とあの子、不倫している――！？</v>
      </c>
      <c r="W2203" s="14"/>
      <c r="X2203" s="14" t="str">
        <f>IFERROR(__xludf.DUMMYFUNCTION("""COMPUTED_VALUE"""),"有")</f>
        <v>有</v>
      </c>
      <c r="Y2203" s="8" t="str">
        <f>IFERROR(__xludf.DUMMYFUNCTION("""COMPUTED_VALUE"""),"P15まで")</f>
        <v>P15まで</v>
      </c>
      <c r="Z2203" s="7"/>
      <c r="AA2203" s="7"/>
      <c r="AB2203" s="7"/>
    </row>
    <row r="2204" ht="15.75" customHeight="1">
      <c r="A2204" s="76">
        <f>IFERROR(__xludf.DUMMYFUNCTION("""COMPUTED_VALUE"""),3980.0)</f>
        <v>3980</v>
      </c>
      <c r="B2204" s="108" t="str">
        <f>IFERROR(__xludf.DUMMYFUNCTION("""COMPUTED_VALUE"""),"確定")</f>
        <v>確定</v>
      </c>
      <c r="C2204" s="74">
        <f>IFERROR(__xludf.DUMMYFUNCTION("""COMPUTED_VALUE"""),45519.0)</f>
        <v>45519</v>
      </c>
      <c r="D2204" s="74">
        <f>IFERROR(__xludf.DUMMYFUNCTION("""COMPUTED_VALUE"""),45573.0)</f>
        <v>45573</v>
      </c>
      <c r="E2204" s="112">
        <f>IFERROR(__xludf.DUMMYFUNCTION("""COMPUTED_VALUE"""),304920.0)</f>
        <v>304920</v>
      </c>
      <c r="F2204" s="112" t="str">
        <f>IFERROR(__xludf.DUMMYFUNCTION("""COMPUTED_VALUE"""),"初めての彼女 最後の彼【単話】")</f>
        <v>初めての彼女 最後の彼【単話】</v>
      </c>
      <c r="G2204" s="69" t="str">
        <f>IFERROR(__xludf.DUMMYFUNCTION("""COMPUTED_VALUE"""),"1～3")</f>
        <v>1～3</v>
      </c>
      <c r="H2204" s="108" t="str">
        <f>IFERROR(__xludf.DUMMYFUNCTION("""COMPUTED_VALUE"""),"工藤あい")</f>
        <v>工藤あい</v>
      </c>
      <c r="I2204" s="108" t="str">
        <f>IFERROR(__xludf.DUMMYFUNCTION("""COMPUTED_VALUE"""),"女性")</f>
        <v>女性</v>
      </c>
      <c r="J2204" s="108"/>
      <c r="K2204" s="108"/>
      <c r="L2204" s="108" t="str">
        <f>IFERROR(__xludf.DUMMYFUNCTION("""COMPUTED_VALUE"""),"朝日新聞出版")</f>
        <v>朝日新聞出版</v>
      </c>
      <c r="M2204" s="115">
        <f>IFERROR(__xludf.DUMMYFUNCTION("""COMPUTED_VALUE"""),45595.0)</f>
        <v>45595</v>
      </c>
      <c r="N2204" s="59">
        <f>IFERROR(__xludf.DUMMYFUNCTION("""COMPUTED_VALUE"""),45688.0)</f>
        <v>45688</v>
      </c>
      <c r="O2204" s="108"/>
      <c r="P2204" s="114" t="str">
        <f>IFERROR(__xludf.DUMMYFUNCTION("""COMPUTED_VALUE"""),"否")</f>
        <v>否</v>
      </c>
      <c r="Q2204" s="108"/>
      <c r="R2204" s="108" t="str">
        <f>IFERROR(__xludf.DUMMYFUNCTION("""COMPUTED_VALUE"""),"広告コミットOK(8/16)")</f>
        <v>広告コミットOK(8/16)</v>
      </c>
      <c r="S2204" s="108" t="str">
        <f>IFERROR(__xludf.DUMMYFUNCTION("""COMPUTED_VALUE"""),"20241009_朝日新聞‗初めての彼女 最後の彼")</f>
        <v>20241009_朝日新聞‗初めての彼女 最後の彼</v>
      </c>
      <c r="T2204" s="108" t="str">
        <f>IFERROR(__xludf.DUMMYFUNCTION("""COMPUTED_VALUE"""),"格納済み")</f>
        <v>格納済み</v>
      </c>
      <c r="U2204" s="15" t="str">
        <f>IFERROR(__xludf.DUMMYFUNCTION("""COMPUTED_VALUE"""),"(C)工藤あい／朝日新聞出版")</f>
        <v>(C)工藤あい／朝日新聞出版</v>
      </c>
      <c r="V2204" s="8" t="str">
        <f>IFERROR(__xludf.DUMMYFUNCTION("""COMPUTED_VALUE"""),"「本当は俺、ゲイなんだ。」──結婚直前に衝撃の事実を告げ、婚約破棄になった元カレを忘れらずにいた茉莉花は、仕事でピンチを救ってくれた男性・江口と偶然再会する。少しずつ距離を縮めていく2人だったが、江口から“とある秘密”を打ち明けられて……！？
過去の恋を忘れるには、新しい恋？　体の関係って絶対に必要？　複雑に絡み合う大人の恋の行方は……！？")</f>
        <v>「本当は俺、ゲイなんだ。」──結婚直前に衝撃の事実を告げ、婚約破棄になった元カレを忘れらずにいた茉莉花は、仕事でピンチを救ってくれた男性・江口と偶然再会する。少しずつ距離を縮めていく2人だったが、江口から“とある秘密”を打ち明けられて……！？
過去の恋を忘れるには、新しい恋？　体の関係って絶対に必要？　複雑に絡み合う大人の恋の行方は……！？</v>
      </c>
      <c r="W2204" s="14"/>
      <c r="X2204" s="14" t="str">
        <f>IFERROR(__xludf.DUMMYFUNCTION("""COMPUTED_VALUE"""),"有")</f>
        <v>有</v>
      </c>
      <c r="Y2204" s="8" t="str">
        <f>IFERROR(__xludf.DUMMYFUNCTION("""COMPUTED_VALUE"""),"P15まで")</f>
        <v>P15まで</v>
      </c>
      <c r="Z2204" s="7"/>
      <c r="AA2204" s="7"/>
      <c r="AB2204" s="7"/>
    </row>
    <row r="2205" ht="15.75" customHeight="1">
      <c r="A2205" s="76">
        <f>IFERROR(__xludf.DUMMYFUNCTION("""COMPUTED_VALUE"""),3981.0)</f>
        <v>3981</v>
      </c>
      <c r="B2205" s="108" t="str">
        <f>IFERROR(__xludf.DUMMYFUNCTION("""COMPUTED_VALUE"""),"確定")</f>
        <v>確定</v>
      </c>
      <c r="C2205" s="74">
        <f>IFERROR(__xludf.DUMMYFUNCTION("""COMPUTED_VALUE"""),45519.0)</f>
        <v>45519</v>
      </c>
      <c r="D2205" s="74">
        <f>IFERROR(__xludf.DUMMYFUNCTION("""COMPUTED_VALUE"""),45573.0)</f>
        <v>45573</v>
      </c>
      <c r="E2205" s="112">
        <f>IFERROR(__xludf.DUMMYFUNCTION("""COMPUTED_VALUE"""),304921.0)</f>
        <v>304921</v>
      </c>
      <c r="F2205" s="112" t="str">
        <f>IFERROR(__xludf.DUMMYFUNCTION("""COMPUTED_VALUE"""),"吸血鬼の花嫁〜身代わり贄婚〜【単話】")</f>
        <v>吸血鬼の花嫁〜身代わり贄婚〜【単話】</v>
      </c>
      <c r="G2205" s="69" t="str">
        <f>IFERROR(__xludf.DUMMYFUNCTION("""COMPUTED_VALUE"""),"1～3")</f>
        <v>1～3</v>
      </c>
      <c r="H2205" s="108" t="str">
        <f>IFERROR(__xludf.DUMMYFUNCTION("""COMPUTED_VALUE"""),"葵日向")</f>
        <v>葵日向</v>
      </c>
      <c r="I2205" s="113" t="str">
        <f>IFERROR(__xludf.DUMMYFUNCTION("""COMPUTED_VALUE"""),"女性")</f>
        <v>女性</v>
      </c>
      <c r="J2205" s="108"/>
      <c r="K2205" s="108"/>
      <c r="L2205" s="108" t="str">
        <f>IFERROR(__xludf.DUMMYFUNCTION("""COMPUTED_VALUE"""),"朝日新聞出版")</f>
        <v>朝日新聞出版</v>
      </c>
      <c r="M2205" s="115">
        <f>IFERROR(__xludf.DUMMYFUNCTION("""COMPUTED_VALUE"""),45595.0)</f>
        <v>45595</v>
      </c>
      <c r="N2205" s="59">
        <f>IFERROR(__xludf.DUMMYFUNCTION("""COMPUTED_VALUE"""),45688.0)</f>
        <v>45688</v>
      </c>
      <c r="O2205" s="108"/>
      <c r="P2205" s="114" t="str">
        <f>IFERROR(__xludf.DUMMYFUNCTION("""COMPUTED_VALUE"""),"否")</f>
        <v>否</v>
      </c>
      <c r="Q2205" s="111"/>
      <c r="R2205" s="108"/>
      <c r="S2205" s="108" t="str">
        <f>IFERROR(__xludf.DUMMYFUNCTION("""COMPUTED_VALUE"""),"20241003_朝日新聞出版社‗吸血鬼の花嫁〜身代わり贄婚〜")</f>
        <v>20241003_朝日新聞出版社‗吸血鬼の花嫁〜身代わり贄婚〜</v>
      </c>
      <c r="T2205" s="108" t="str">
        <f>IFERROR(__xludf.DUMMYFUNCTION("""COMPUTED_VALUE"""),"格納済み")</f>
        <v>格納済み</v>
      </c>
      <c r="U2205" s="15" t="str">
        <f>IFERROR(__xludf.DUMMYFUNCTION("""COMPUTED_VALUE"""),"(C) 葵日向／朝日新聞出版")</f>
        <v>(C) 葵日向／朝日新聞出版</v>
      </c>
      <c r="V2205" s="8" t="str">
        <f>IFERROR(__xludf.DUMMYFUNCTION("""COMPUTED_VALUE"""),"妾の娘リリは幼少期に実母を亡くし、
使用人として働くことを条件に貴族のエヴァー家に引き取られる。
しかし妾の子であるために義母からは嫌われ、
義姉アイシャや他の使用人たちからイジメられていた。
そんなある日、国で一番気味悪がられている貴族・ツェペシュ家から、
アイシャに縁談が持ちかけられる。
ツェペシュ家は吸血鬼の子孫で、城に入った者は血を啜られ、生きては帰れないらしい。
そんなところには嫁ぎたくないと拒否するアイシャは、代わりにリリを嫁がせる。
決死の覚悟で身代わりの生贄として嫁"&amp;"ぐリリ。
待ち受けるのは美しく無愛想で冷徹なサイラス。
不遇なヒロインと吸血鬼による新婚生活とは……！？")</f>
        <v>妾の娘リリは幼少期に実母を亡くし、
使用人として働くことを条件に貴族のエヴァー家に引き取られる。
しかし妾の子であるために義母からは嫌われ、
義姉アイシャや他の使用人たちからイジメられていた。
そんなある日、国で一番気味悪がられている貴族・ツェペシュ家から、
アイシャに縁談が持ちかけられる。
ツェペシュ家は吸血鬼の子孫で、城に入った者は血を啜られ、生きては帰れないらしい。
そんなところには嫁ぎたくないと拒否するアイシャは、代わりにリリを嫁がせる。
決死の覚悟で身代わりの生贄として嫁ぐリリ。
待ち受けるのは美しく無愛想で冷徹なサイラス。
不遇なヒロインと吸血鬼による新婚生活とは……！？</v>
      </c>
      <c r="W2205" s="14"/>
      <c r="X2205" s="14" t="str">
        <f>IFERROR(__xludf.DUMMYFUNCTION("""COMPUTED_VALUE"""),"有")</f>
        <v>有</v>
      </c>
      <c r="Y2205" s="8" t="str">
        <f>IFERROR(__xludf.DUMMYFUNCTION("""COMPUTED_VALUE"""),"P15まで")</f>
        <v>P15まで</v>
      </c>
      <c r="Z2205" s="7"/>
      <c r="AA2205" s="7"/>
      <c r="AB2205" s="7"/>
    </row>
    <row r="2206" ht="15.75" customHeight="1">
      <c r="A2206" s="76">
        <f>IFERROR(__xludf.DUMMYFUNCTION("""COMPUTED_VALUE"""),3982.0)</f>
        <v>3982</v>
      </c>
      <c r="B2206" s="108" t="str">
        <f>IFERROR(__xludf.DUMMYFUNCTION("""COMPUTED_VALUE"""),"確定")</f>
        <v>確定</v>
      </c>
      <c r="C2206" s="74">
        <f>IFERROR(__xludf.DUMMYFUNCTION("""COMPUTED_VALUE"""),45519.0)</f>
        <v>45519</v>
      </c>
      <c r="D2206" s="74">
        <f>IFERROR(__xludf.DUMMYFUNCTION("""COMPUTED_VALUE"""),45573.0)</f>
        <v>45573</v>
      </c>
      <c r="E2206" s="112">
        <f>IFERROR(__xludf.DUMMYFUNCTION("""COMPUTED_VALUE"""),304919.0)</f>
        <v>304919</v>
      </c>
      <c r="F2206" s="112" t="str">
        <f>IFERROR(__xludf.DUMMYFUNCTION("""COMPUTED_VALUE"""),"元夫が教え子と再婚、実は乗り換え婚でした。【単話】")</f>
        <v>元夫が教え子と再婚、実は乗り換え婚でした。【単話】</v>
      </c>
      <c r="G2206" s="69" t="str">
        <f>IFERROR(__xludf.DUMMYFUNCTION("""COMPUTED_VALUE"""),"1～3")</f>
        <v>1～3</v>
      </c>
      <c r="H2206" s="108" t="str">
        <f>IFERROR(__xludf.DUMMYFUNCTION("""COMPUTED_VALUE"""),"作画／AYA、原作／NARATA")</f>
        <v>作画／AYA、原作／NARATA</v>
      </c>
      <c r="I2206" s="108" t="str">
        <f>IFERROR(__xludf.DUMMYFUNCTION("""COMPUTED_VALUE"""),"女性")</f>
        <v>女性</v>
      </c>
      <c r="J2206" s="108"/>
      <c r="K2206" s="108"/>
      <c r="L2206" s="108" t="str">
        <f>IFERROR(__xludf.DUMMYFUNCTION("""COMPUTED_VALUE"""),"朝日新聞出版")</f>
        <v>朝日新聞出版</v>
      </c>
      <c r="M2206" s="115">
        <f>IFERROR(__xludf.DUMMYFUNCTION("""COMPUTED_VALUE"""),45595.0)</f>
        <v>45595</v>
      </c>
      <c r="N2206" s="59">
        <f>IFERROR(__xludf.DUMMYFUNCTION("""COMPUTED_VALUE"""),45688.0)</f>
        <v>45688</v>
      </c>
      <c r="O2206" s="108"/>
      <c r="P2206" s="114" t="str">
        <f>IFERROR(__xludf.DUMMYFUNCTION("""COMPUTED_VALUE"""),"可")</f>
        <v>可</v>
      </c>
      <c r="Q2206" s="108"/>
      <c r="R2206" s="108" t="str">
        <f>IFERROR(__xludf.DUMMYFUNCTION("""COMPUTED_VALUE"""),"広告コミットOK(8/19)")</f>
        <v>広告コミットOK(8/19)</v>
      </c>
      <c r="S2206" s="108" t="str">
        <f>IFERROR(__xludf.DUMMYFUNCTION("""COMPUTED_VALUE"""),"20241003_朝日新聞出版社‗元夫が教え子と再婚、実は乗り換え婚でした。")</f>
        <v>20241003_朝日新聞出版社‗元夫が教え子と再婚、実は乗り換え婚でした。</v>
      </c>
      <c r="T2206" s="108" t="str">
        <f>IFERROR(__xludf.DUMMYFUNCTION("""COMPUTED_VALUE"""),"格納済み")</f>
        <v>格納済み</v>
      </c>
      <c r="U2206" s="15" t="str">
        <f>IFERROR(__xludf.DUMMYFUNCTION("""COMPUTED_VALUE"""),"(C)AYA・NARATA／朝日新聞出版")</f>
        <v>(C)AYA・NARATA／朝日新聞出版</v>
      </c>
      <c r="V2206" s="8" t="str">
        <f>IFERROR(__xludf.DUMMYFUNCTION("""COMPUTED_VALUE"""),"「結婚したら幸せになれると思ってた――。」けれど、お互い教師で多忙なことからすれ違い、そのままお別れすることに…。離婚から2年が経ったある日、七代(32歳)のもとに元夫から再婚報告のメールが届く。SNSを開くと、そこには若い女性と幸せそうに写真に映る元夫の姿が。女性の顔をよく見ると、まさかの元教え子で！？ しかもデキ婚!? さらに、自分と離婚する前から、二人の関係があったと匂わせる投稿まで…。あざと女子と不倫夫を成敗するため、同僚にも協力してもらうが――？")</f>
        <v>「結婚したら幸せになれると思ってた――。」けれど、お互い教師で多忙なことからすれ違い、そのままお別れすることに…。離婚から2年が経ったある日、七代(32歳)のもとに元夫から再婚報告のメールが届く。SNSを開くと、そこには若い女性と幸せそうに写真に映る元夫の姿が。女性の顔をよく見ると、まさかの元教え子で！？ しかもデキ婚!? さらに、自分と離婚する前から、二人の関係があったと匂わせる投稿まで…。あざと女子と不倫夫を成敗するため、同僚にも協力してもらうが――？</v>
      </c>
      <c r="W2206" s="14"/>
      <c r="X2206" s="14" t="str">
        <f>IFERROR(__xludf.DUMMYFUNCTION("""COMPUTED_VALUE"""),"有")</f>
        <v>有</v>
      </c>
      <c r="Y2206" s="8" t="str">
        <f>IFERROR(__xludf.DUMMYFUNCTION("""COMPUTED_VALUE"""),"P15まで")</f>
        <v>P15まで</v>
      </c>
      <c r="Z2206" s="7"/>
      <c r="AA2206" s="7"/>
      <c r="AB2206" s="7"/>
    </row>
    <row r="2207" ht="15.75" customHeight="1">
      <c r="A2207" s="76">
        <f>IFERROR(__xludf.DUMMYFUNCTION("""COMPUTED_VALUE"""),3998.0)</f>
        <v>3998</v>
      </c>
      <c r="B2207" s="108" t="str">
        <f>IFERROR(__xludf.DUMMYFUNCTION("""COMPUTED_VALUE"""),"確定")</f>
        <v>確定</v>
      </c>
      <c r="C2207" s="74">
        <f>IFERROR(__xludf.DUMMYFUNCTION("""COMPUTED_VALUE"""),45523.0)</f>
        <v>45523</v>
      </c>
      <c r="D2207" s="74">
        <f>IFERROR(__xludf.DUMMYFUNCTION("""COMPUTED_VALUE"""),45574.0)</f>
        <v>45574</v>
      </c>
      <c r="E2207" s="112">
        <f>IFERROR(__xludf.DUMMYFUNCTION("""COMPUTED_VALUE"""),304905.0)</f>
        <v>304905</v>
      </c>
      <c r="F2207" s="112" t="str">
        <f>IFERROR(__xludf.DUMMYFUNCTION("""COMPUTED_VALUE"""),"異世界マジックミラー号")</f>
        <v>異世界マジックミラー号</v>
      </c>
      <c r="G2207" s="69" t="str">
        <f>IFERROR(__xludf.DUMMYFUNCTION("""COMPUTED_VALUE"""),"1～3")</f>
        <v>1～3</v>
      </c>
      <c r="H2207" s="113" t="str">
        <f>IFERROR(__xludf.DUMMYFUNCTION("""COMPUTED_VALUE"""),"まめこ・けてる       ")</f>
        <v>まめこ・けてる       </v>
      </c>
      <c r="I2207" s="108" t="str">
        <f>IFERROR(__xludf.DUMMYFUNCTION("""COMPUTED_VALUE"""),"青年")</f>
        <v>青年</v>
      </c>
      <c r="J2207" s="108"/>
      <c r="K2207" s="108"/>
      <c r="L2207" s="108" t="str">
        <f>IFERROR(__xludf.DUMMYFUNCTION("""COMPUTED_VALUE"""),"双葉社")</f>
        <v>双葉社</v>
      </c>
      <c r="M2207" s="115">
        <f>IFERROR(__xludf.DUMMYFUNCTION("""COMPUTED_VALUE"""),45594.0)</f>
        <v>45594</v>
      </c>
      <c r="N2207" s="125">
        <f>IFERROR(__xludf.DUMMYFUNCTION("""COMPUTED_VALUE"""),45654.0)</f>
        <v>45654</v>
      </c>
      <c r="O2207" s="108"/>
      <c r="P2207" s="114" t="str">
        <f>IFERROR(__xludf.DUMMYFUNCTION("""COMPUTED_VALUE"""),"可")</f>
        <v>可</v>
      </c>
      <c r="Q2207" s="108"/>
      <c r="R2207" s="108" t="str">
        <f>IFERROR(__xludf.DUMMYFUNCTION("""COMPUTED_VALUE"""),"広告コミットOK(8/23)")</f>
        <v>広告コミットOK(8/23)</v>
      </c>
      <c r="S2207" s="108" t="str">
        <f>IFERROR(__xludf.DUMMYFUNCTION("""COMPUTED_VALUE"""),"20241008_双葉社_異世界マジックミラー号")</f>
        <v>20241008_双葉社_異世界マジックミラー号</v>
      </c>
      <c r="T2207" s="108" t="str">
        <f>IFERROR(__xludf.DUMMYFUNCTION("""COMPUTED_VALUE"""),"格納済み")</f>
        <v>格納済み</v>
      </c>
      <c r="U2207" s="15" t="str">
        <f>IFERROR(__xludf.DUMMYFUNCTION("""COMPUTED_VALUE"""),"©まめこ・けてる／双葉社        ")</f>
        <v>©まめこ・けてる／双葉社        </v>
      </c>
      <c r="V2207" s="8" t="str">
        <f>IFERROR(__xludf.DUMMYFUNCTION("""COMPUTED_VALUE"""),"SOD公認！　伝説のマジックミラー号ついに異世界へ!!　マジックミラー号で次なるロケ地に向かっていたADの伊藤マホ。居眠り運転をしてしまい異世界に。そこは、とある組織が世の中からSEXを根絶せんと暗躍する世界。　性の喜びを取り戻すために必要なこと、それは異世界人をマジックミラー号に連れ込んで、××しちゃうこと。巨乳お姫様や、変態シスターを仲間に、性なる旅が始まる。")</f>
        <v>SOD公認！　伝説のマジックミラー号ついに異世界へ!!　マジックミラー号で次なるロケ地に向かっていたADの伊藤マホ。居眠り運転をしてしまい異世界に。そこは、とある組織が世の中からSEXを根絶せんと暗躍する世界。　性の喜びを取り戻すために必要なこと、それは異世界人をマジックミラー号に連れ込んで、××しちゃうこと。巨乳お姫様や、変態シスターを仲間に、性なる旅が始まる。</v>
      </c>
      <c r="W2207" s="14"/>
      <c r="X2207" s="14" t="str">
        <f>IFERROR(__xludf.DUMMYFUNCTION("""COMPUTED_VALUE"""),"有")</f>
        <v>有</v>
      </c>
      <c r="Y2207" s="8" t="str">
        <f>IFERROR(__xludf.DUMMYFUNCTION("""COMPUTED_VALUE"""),"P9まで")</f>
        <v>P9まで</v>
      </c>
      <c r="Z2207" s="7"/>
      <c r="AA2207" s="7"/>
      <c r="AB2207" s="7"/>
    </row>
    <row r="2208" ht="15.75" customHeight="1">
      <c r="A2208" s="76">
        <f>IFERROR(__xludf.DUMMYFUNCTION("""COMPUTED_VALUE"""),3999.0)</f>
        <v>3999</v>
      </c>
      <c r="B2208" s="108" t="str">
        <f>IFERROR(__xludf.DUMMYFUNCTION("""COMPUTED_VALUE"""),"確定")</f>
        <v>確定</v>
      </c>
      <c r="C2208" s="74">
        <f>IFERROR(__xludf.DUMMYFUNCTION("""COMPUTED_VALUE"""),45523.0)</f>
        <v>45523</v>
      </c>
      <c r="D2208" s="74">
        <f>IFERROR(__xludf.DUMMYFUNCTION("""COMPUTED_VALUE"""),45574.0)</f>
        <v>45574</v>
      </c>
      <c r="E2208" s="112">
        <f>IFERROR(__xludf.DUMMYFUNCTION("""COMPUTED_VALUE"""),305394.0)</f>
        <v>305394</v>
      </c>
      <c r="F2208" s="112" t="str">
        <f>IFERROR(__xludf.DUMMYFUNCTION("""COMPUTED_VALUE"""),"溺愛ヤンデレな推しに捕まえられました！ アンソロジー『しろちゃんの初恋』【単話】")</f>
        <v>溺愛ヤンデレな推しに捕まえられました！ アンソロジー『しろちゃんの初恋』【単話】</v>
      </c>
      <c r="G2208" s="69">
        <f>IFERROR(__xludf.DUMMYFUNCTION("""COMPUTED_VALUE"""),1.0)</f>
        <v>1</v>
      </c>
      <c r="H2208" s="108" t="str">
        <f>IFERROR(__xludf.DUMMYFUNCTION("""COMPUTED_VALUE"""),"イトコ")</f>
        <v>イトコ</v>
      </c>
      <c r="I2208" s="113" t="str">
        <f>IFERROR(__xludf.DUMMYFUNCTION("""COMPUTED_VALUE"""),"少女")</f>
        <v>少女</v>
      </c>
      <c r="J2208" s="108"/>
      <c r="K2208" s="108"/>
      <c r="L2208" s="108" t="str">
        <f>IFERROR(__xludf.DUMMYFUNCTION("""COMPUTED_VALUE"""),"一迅社")</f>
        <v>一迅社</v>
      </c>
      <c r="M2208" s="59">
        <f>IFERROR(__xludf.DUMMYFUNCTION("""COMPUTED_VALUE"""),45597.0)</f>
        <v>45597</v>
      </c>
      <c r="N2208" s="59">
        <f>IFERROR(__xludf.DUMMYFUNCTION("""COMPUTED_VALUE"""),45694.0)</f>
        <v>45694</v>
      </c>
      <c r="O2208" s="108"/>
      <c r="P2208" s="110" t="str">
        <f>IFERROR(__xludf.DUMMYFUNCTION("""COMPUTED_VALUE"""),"可")</f>
        <v>可</v>
      </c>
      <c r="Q2208" s="108" t="str">
        <f>IFERROR(__xludf.DUMMYFUNCTION("""COMPUTED_VALUE"""),"・レーベル「echo」、読み切り")</f>
        <v>・レーベル「echo」、読み切り</v>
      </c>
      <c r="R2208" s="108" t="str">
        <f>IFERROR(__xludf.DUMMYFUNCTION("""COMPUTED_VALUE"""),"広告コミットOK(8/23)")</f>
        <v>広告コミットOK(8/23)</v>
      </c>
      <c r="S2208" s="108" t="str">
        <f>IFERROR(__xludf.DUMMYFUNCTION("""COMPUTED_VALUE"""),"20241003_一迅社_しろちゃんの初恋")</f>
        <v>20241003_一迅社_しろちゃんの初恋</v>
      </c>
      <c r="T2208" s="108" t="str">
        <f>IFERROR(__xludf.DUMMYFUNCTION("""COMPUTED_VALUE"""),"格納済み")</f>
        <v>格納済み</v>
      </c>
      <c r="U2208" s="15" t="str">
        <f>IFERROR(__xludf.DUMMYFUNCTION("""COMPUTED_VALUE"""),"(C)イトコ／一迅社")</f>
        <v>(C)イトコ／一迅社</v>
      </c>
      <c r="V2208" s="8" t="str">
        <f>IFERROR(__xludf.DUMMYFUNCTION("""COMPUTED_VALUE"""),"初恋の男の子に似ているモデルを推している真白。ある日隣に越してきたのは、「しろちゃん」とあの子しか知らない名を呼ぶ推しで―!?※この作品は『溺愛ヤンデレな推しに捕まえられました！ アンソロジー』収録作品と同一の内容を単話版として再編集したものとなります。")</f>
        <v>初恋の男の子に似ているモデルを推している真白。ある日隣に越してきたのは、「しろちゃん」とあの子しか知らない名を呼ぶ推しで―!?※この作品は『溺愛ヤンデレな推しに捕まえられました！ アンソロジー』収録作品と同一の内容を単話版として再編集したものとなります。</v>
      </c>
      <c r="W2208" s="14"/>
      <c r="X2208" s="14" t="str">
        <f>IFERROR(__xludf.DUMMYFUNCTION("""COMPUTED_VALUE"""),"有")</f>
        <v>有</v>
      </c>
      <c r="Y2208" s="8" t="str">
        <f>IFERROR(__xludf.DUMMYFUNCTION("""COMPUTED_VALUE"""),"P6まで")</f>
        <v>P6まで</v>
      </c>
      <c r="Z2208" s="7"/>
      <c r="AA2208" s="7"/>
      <c r="AB2208" s="7"/>
    </row>
    <row r="2209" ht="15.75" customHeight="1">
      <c r="A2209" s="76">
        <f>IFERROR(__xludf.DUMMYFUNCTION("""COMPUTED_VALUE"""),4000.0)</f>
        <v>4000</v>
      </c>
      <c r="B2209" s="108" t="str">
        <f>IFERROR(__xludf.DUMMYFUNCTION("""COMPUTED_VALUE"""),"確定")</f>
        <v>確定</v>
      </c>
      <c r="C2209" s="74">
        <f>IFERROR(__xludf.DUMMYFUNCTION("""COMPUTED_VALUE"""),45523.0)</f>
        <v>45523</v>
      </c>
      <c r="D2209" s="74">
        <f>IFERROR(__xludf.DUMMYFUNCTION("""COMPUTED_VALUE"""),45574.0)</f>
        <v>45574</v>
      </c>
      <c r="E2209" s="112">
        <f>IFERROR(__xludf.DUMMYFUNCTION("""COMPUTED_VALUE"""),305398.0)</f>
        <v>305398</v>
      </c>
      <c r="F2209" s="112" t="str">
        <f>IFERROR(__xludf.DUMMYFUNCTION("""COMPUTED_VALUE"""),"溺愛ヤンデレな推しに捕まえられました！ アンソロジー『早く素直になりなよ。ヤンデレDJのパワープレイが止まりません…ッ！』【単話】")</f>
        <v>溺愛ヤンデレな推しに捕まえられました！ アンソロジー『早く素直になりなよ。ヤンデレDJのパワープレイが止まりません…ッ！』【単話】</v>
      </c>
      <c r="G2209" s="69">
        <f>IFERROR(__xludf.DUMMYFUNCTION("""COMPUTED_VALUE"""),1.0)</f>
        <v>1</v>
      </c>
      <c r="H2209" s="108" t="str">
        <f>IFERROR(__xludf.DUMMYFUNCTION("""COMPUTED_VALUE"""),"むらさきゑん")</f>
        <v>むらさきゑん</v>
      </c>
      <c r="I2209" s="113" t="str">
        <f>IFERROR(__xludf.DUMMYFUNCTION("""COMPUTED_VALUE"""),"少女")</f>
        <v>少女</v>
      </c>
      <c r="J2209" s="108"/>
      <c r="K2209" s="108"/>
      <c r="L2209" s="108" t="str">
        <f>IFERROR(__xludf.DUMMYFUNCTION("""COMPUTED_VALUE"""),"一迅社")</f>
        <v>一迅社</v>
      </c>
      <c r="M2209" s="59">
        <f>IFERROR(__xludf.DUMMYFUNCTION("""COMPUTED_VALUE"""),45597.0)</f>
        <v>45597</v>
      </c>
      <c r="N2209" s="59">
        <f>IFERROR(__xludf.DUMMYFUNCTION("""COMPUTED_VALUE"""),45694.0)</f>
        <v>45694</v>
      </c>
      <c r="O2209" s="108"/>
      <c r="P2209" s="110" t="str">
        <f>IFERROR(__xludf.DUMMYFUNCTION("""COMPUTED_VALUE"""),"可")</f>
        <v>可</v>
      </c>
      <c r="Q2209" s="108" t="str">
        <f>IFERROR(__xludf.DUMMYFUNCTION("""COMPUTED_VALUE"""),"・レーベル「echo」、読み切り")</f>
        <v>・レーベル「echo」、読み切り</v>
      </c>
      <c r="R2209" s="108" t="str">
        <f>IFERROR(__xludf.DUMMYFUNCTION("""COMPUTED_VALUE"""),"広告コミットOK(8/23)")</f>
        <v>広告コミットOK(8/23)</v>
      </c>
      <c r="S2209" s="108" t="str">
        <f>IFERROR(__xludf.DUMMYFUNCTION("""COMPUTED_VALUE"""),"20241003_一迅社_早く素直になりなよ。ヤンデレDJのパワープレイが止まりません…ッ！")</f>
        <v>20241003_一迅社_早く素直になりなよ。ヤンデレDJのパワープレイが止まりません…ッ！</v>
      </c>
      <c r="T2209" s="108" t="str">
        <f>IFERROR(__xludf.DUMMYFUNCTION("""COMPUTED_VALUE"""),"格納済み")</f>
        <v>格納済み</v>
      </c>
      <c r="U2209" s="15" t="str">
        <f>IFERROR(__xludf.DUMMYFUNCTION("""COMPUTED_VALUE"""),"(C)むらさきゑん／一迅社")</f>
        <v>(C)むらさきゑん／一迅社</v>
      </c>
      <c r="V2209" s="8" t="str">
        <f>IFERROR(__xludf.DUMMYFUNCTION("""COMPUTED_VALUE"""),"DJ広瀬のラジオ番組に5年間メールを送り続けているカナ。そんなある日、DJ広瀬に似た男性がアルバイト先のコンビニにやってきて……？※この作品は『溺愛ヤンデレな推しに捕まえられました！ アンソロジー』収録作品と同一の内容を単話版として再編集したものとなります。")</f>
        <v>DJ広瀬のラジオ番組に5年間メールを送り続けているカナ。そんなある日、DJ広瀬に似た男性がアルバイト先のコンビニにやってきて……？※この作品は『溺愛ヤンデレな推しに捕まえられました！ アンソロジー』収録作品と同一の内容を単話版として再編集したものとなります。</v>
      </c>
      <c r="W2209" s="14"/>
      <c r="X2209" s="14" t="str">
        <f>IFERROR(__xludf.DUMMYFUNCTION("""COMPUTED_VALUE"""),"有")</f>
        <v>有</v>
      </c>
      <c r="Y2209" s="8" t="str">
        <f>IFERROR(__xludf.DUMMYFUNCTION("""COMPUTED_VALUE"""),"P7まで")</f>
        <v>P7まで</v>
      </c>
      <c r="Z2209" s="7"/>
      <c r="AA2209" s="7"/>
      <c r="AB2209" s="7"/>
    </row>
    <row r="2210" ht="15.75" customHeight="1">
      <c r="A2210" s="76">
        <f>IFERROR(__xludf.DUMMYFUNCTION("""COMPUTED_VALUE"""),4001.0)</f>
        <v>4001</v>
      </c>
      <c r="B2210" s="108" t="str">
        <f>IFERROR(__xludf.DUMMYFUNCTION("""COMPUTED_VALUE"""),"確定")</f>
        <v>確定</v>
      </c>
      <c r="C2210" s="74">
        <f>IFERROR(__xludf.DUMMYFUNCTION("""COMPUTED_VALUE"""),45523.0)</f>
        <v>45523</v>
      </c>
      <c r="D2210" s="74">
        <f>IFERROR(__xludf.DUMMYFUNCTION("""COMPUTED_VALUE"""),45574.0)</f>
        <v>45574</v>
      </c>
      <c r="E2210" s="112">
        <f>IFERROR(__xludf.DUMMYFUNCTION("""COMPUTED_VALUE"""),305393.0)</f>
        <v>305393</v>
      </c>
      <c r="F2210" s="112" t="str">
        <f>IFERROR(__xludf.DUMMYFUNCTION("""COMPUTED_VALUE"""),"溺愛ヤンデレな推しに捕まえられました！ アンソロジー『俺だけ見ててね？』【単話】")</f>
        <v>溺愛ヤンデレな推しに捕まえられました！ アンソロジー『俺だけ見ててね？』【単話】</v>
      </c>
      <c r="G2210" s="69">
        <f>IFERROR(__xludf.DUMMYFUNCTION("""COMPUTED_VALUE"""),1.0)</f>
        <v>1</v>
      </c>
      <c r="H2210" s="108" t="str">
        <f>IFERROR(__xludf.DUMMYFUNCTION("""COMPUTED_VALUE"""),"こみちはな")</f>
        <v>こみちはな</v>
      </c>
      <c r="I2210" s="113" t="str">
        <f>IFERROR(__xludf.DUMMYFUNCTION("""COMPUTED_VALUE"""),"少女")</f>
        <v>少女</v>
      </c>
      <c r="J2210" s="108"/>
      <c r="K2210" s="108"/>
      <c r="L2210" s="108" t="str">
        <f>IFERROR(__xludf.DUMMYFUNCTION("""COMPUTED_VALUE"""),"一迅社")</f>
        <v>一迅社</v>
      </c>
      <c r="M2210" s="59">
        <f>IFERROR(__xludf.DUMMYFUNCTION("""COMPUTED_VALUE"""),45597.0)</f>
        <v>45597</v>
      </c>
      <c r="N2210" s="59">
        <f>IFERROR(__xludf.DUMMYFUNCTION("""COMPUTED_VALUE"""),45694.0)</f>
        <v>45694</v>
      </c>
      <c r="O2210" s="108"/>
      <c r="P2210" s="110" t="str">
        <f>IFERROR(__xludf.DUMMYFUNCTION("""COMPUTED_VALUE"""),"可")</f>
        <v>可</v>
      </c>
      <c r="Q2210" s="108" t="str">
        <f>IFERROR(__xludf.DUMMYFUNCTION("""COMPUTED_VALUE"""),"・レーベル「echo」、読み切り")</f>
        <v>・レーベル「echo」、読み切り</v>
      </c>
      <c r="R2210" s="108" t="str">
        <f>IFERROR(__xludf.DUMMYFUNCTION("""COMPUTED_VALUE"""),"広告コミットOK(8/23)")</f>
        <v>広告コミットOK(8/23)</v>
      </c>
      <c r="S2210" s="108" t="str">
        <f>IFERROR(__xludf.DUMMYFUNCTION("""COMPUTED_VALUE"""),"20241003_一迅社_俺だけ見ててね？")</f>
        <v>20241003_一迅社_俺だけ見ててね？</v>
      </c>
      <c r="T2210" s="108" t="str">
        <f>IFERROR(__xludf.DUMMYFUNCTION("""COMPUTED_VALUE"""),"格納済み")</f>
        <v>格納済み</v>
      </c>
      <c r="U2210" s="15" t="str">
        <f>IFERROR(__xludf.DUMMYFUNCTION("""COMPUTED_VALUE"""),"(C)こみちはな／一迅社")</f>
        <v>(C)こみちはな／一迅社</v>
      </c>
      <c r="V2210" s="8" t="str">
        <f>IFERROR(__xludf.DUMMYFUNCTION("""COMPUTED_VALUE"""),"ある日の推しのファンミ帰りに告白され、そのまま同棲することになった紗良。推しである蒼斗も恋人である蒼斗も大好きなのに、彼はそれだけじゃ足りないようで―?※この作品は『溺愛ヤンデレな推しに捕まえられました！ アンソロジー』収録作品と同一の内容を単話版として再編集したものとなります。")</f>
        <v>ある日の推しのファンミ帰りに告白され、そのまま同棲することになった紗良。推しである蒼斗も恋人である蒼斗も大好きなのに、彼はそれだけじゃ足りないようで―?※この作品は『溺愛ヤンデレな推しに捕まえられました！ アンソロジー』収録作品と同一の内容を単話版として再編集したものとなります。</v>
      </c>
      <c r="W2210" s="14"/>
      <c r="X2210" s="14" t="str">
        <f>IFERROR(__xludf.DUMMYFUNCTION("""COMPUTED_VALUE"""),"有")</f>
        <v>有</v>
      </c>
      <c r="Y2210" s="8" t="str">
        <f>IFERROR(__xludf.DUMMYFUNCTION("""COMPUTED_VALUE"""),"P7まで")</f>
        <v>P7まで</v>
      </c>
      <c r="Z2210" s="7"/>
      <c r="AA2210" s="7"/>
      <c r="AB2210" s="7"/>
    </row>
    <row r="2211" ht="15.75" customHeight="1">
      <c r="A2211" s="76">
        <f>IFERROR(__xludf.DUMMYFUNCTION("""COMPUTED_VALUE"""),4002.0)</f>
        <v>4002</v>
      </c>
      <c r="B2211" s="108" t="str">
        <f>IFERROR(__xludf.DUMMYFUNCTION("""COMPUTED_VALUE"""),"確定")</f>
        <v>確定</v>
      </c>
      <c r="C2211" s="74">
        <f>IFERROR(__xludf.DUMMYFUNCTION("""COMPUTED_VALUE"""),45523.0)</f>
        <v>45523</v>
      </c>
      <c r="D2211" s="74">
        <f>IFERROR(__xludf.DUMMYFUNCTION("""COMPUTED_VALUE"""),45574.0)</f>
        <v>45574</v>
      </c>
      <c r="E2211" s="112">
        <f>IFERROR(__xludf.DUMMYFUNCTION("""COMPUTED_VALUE"""),305396.0)</f>
        <v>305396</v>
      </c>
      <c r="F2211" s="112" t="str">
        <f>IFERROR(__xludf.DUMMYFUNCTION("""COMPUTED_VALUE"""),"溺愛ヤンデレな推しに捕まえられました！ アンソロジー『推し活禁止！ だって目の前にいますから。』【単話】")</f>
        <v>溺愛ヤンデレな推しに捕まえられました！ アンソロジー『推し活禁止！ だって目の前にいますから。』【単話】</v>
      </c>
      <c r="G2211" s="69">
        <f>IFERROR(__xludf.DUMMYFUNCTION("""COMPUTED_VALUE"""),1.0)</f>
        <v>1</v>
      </c>
      <c r="H2211" s="108" t="str">
        <f>IFERROR(__xludf.DUMMYFUNCTION("""COMPUTED_VALUE"""),"たまき棗")</f>
        <v>たまき棗</v>
      </c>
      <c r="I2211" s="113" t="str">
        <f>IFERROR(__xludf.DUMMYFUNCTION("""COMPUTED_VALUE"""),"少女")</f>
        <v>少女</v>
      </c>
      <c r="J2211" s="108"/>
      <c r="K2211" s="108"/>
      <c r="L2211" s="108" t="str">
        <f>IFERROR(__xludf.DUMMYFUNCTION("""COMPUTED_VALUE"""),"一迅社")</f>
        <v>一迅社</v>
      </c>
      <c r="M2211" s="59">
        <f>IFERROR(__xludf.DUMMYFUNCTION("""COMPUTED_VALUE"""),45597.0)</f>
        <v>45597</v>
      </c>
      <c r="N2211" s="59">
        <f>IFERROR(__xludf.DUMMYFUNCTION("""COMPUTED_VALUE"""),45694.0)</f>
        <v>45694</v>
      </c>
      <c r="O2211" s="108"/>
      <c r="P2211" s="110" t="str">
        <f>IFERROR(__xludf.DUMMYFUNCTION("""COMPUTED_VALUE"""),"可")</f>
        <v>可</v>
      </c>
      <c r="Q2211" s="111" t="str">
        <f>IFERROR(__xludf.DUMMYFUNCTION("""COMPUTED_VALUE"""),"・レーベル「echo」、読み切り")</f>
        <v>・レーベル「echo」、読み切り</v>
      </c>
      <c r="R2211" s="108"/>
      <c r="S2211" s="108" t="str">
        <f>IFERROR(__xludf.DUMMYFUNCTION("""COMPUTED_VALUE"""),"20241003_一迅社_推し活禁止令！ だって目の前にいますから。")</f>
        <v>20241003_一迅社_推し活禁止令！ だって目の前にいますから。</v>
      </c>
      <c r="T2211" s="108" t="str">
        <f>IFERROR(__xludf.DUMMYFUNCTION("""COMPUTED_VALUE"""),"格納済み")</f>
        <v>格納済み</v>
      </c>
      <c r="U2211" s="15" t="str">
        <f>IFERROR(__xludf.DUMMYFUNCTION("""COMPUTED_VALUE"""),"(C)たまき棗／一迅社")</f>
        <v>(C)たまき棗／一迅社</v>
      </c>
      <c r="V2211" s="8" t="str">
        <f>IFERROR(__xludf.DUMMYFUNCTION("""COMPUTED_VALUE"""),"推し活命の桃香は、推しであり恋人でもある俳優・要に推し活を2日間禁止されてしまい……!?※この作品は『溺愛ヤンデレな推しに捕まえられました！ アンソロジー』収録作品と同一の内容を単話版として再編集したものとなります。")</f>
        <v>推し活命の桃香は、推しであり恋人でもある俳優・要に推し活を2日間禁止されてしまい……!?※この作品は『溺愛ヤンデレな推しに捕まえられました！ アンソロジー』収録作品と同一の内容を単話版として再編集したものとなります。</v>
      </c>
      <c r="W2211" s="14"/>
      <c r="X2211" s="14" t="str">
        <f>IFERROR(__xludf.DUMMYFUNCTION("""COMPUTED_VALUE"""),"有")</f>
        <v>有</v>
      </c>
      <c r="Y2211" s="8" t="str">
        <f>IFERROR(__xludf.DUMMYFUNCTION("""COMPUTED_VALUE"""),"P8まで")</f>
        <v>P8まで</v>
      </c>
      <c r="Z2211" s="7"/>
      <c r="AA2211" s="7"/>
      <c r="AB2211" s="7"/>
    </row>
    <row r="2212" ht="15.75" customHeight="1">
      <c r="A2212" s="66">
        <f>IFERROR(__xludf.DUMMYFUNCTION("""COMPUTED_VALUE"""),4015.0)</f>
        <v>4015</v>
      </c>
      <c r="B2212" s="75" t="str">
        <f>IFERROR(__xludf.DUMMYFUNCTION("""COMPUTED_VALUE"""),"確定")</f>
        <v>確定</v>
      </c>
      <c r="C2212" s="68">
        <f>IFERROR(__xludf.DUMMYFUNCTION("""COMPUTED_VALUE"""),45525.0)</f>
        <v>45525</v>
      </c>
      <c r="D2212" s="68">
        <f>IFERROR(__xludf.DUMMYFUNCTION("""COMPUTED_VALUE"""),45573.0)</f>
        <v>45573</v>
      </c>
      <c r="E2212" s="60">
        <f>IFERROR(__xludf.DUMMYFUNCTION("""COMPUTED_VALUE"""),304798.0)</f>
        <v>304798</v>
      </c>
      <c r="F2212" s="82" t="str">
        <f>IFERROR(__xludf.DUMMYFUNCTION("""COMPUTED_VALUE"""),"【単話版】俺のワクチンだけがゾンビ化した世界を救える")</f>
        <v>【単話版】俺のワクチンだけがゾンビ化した世界を救える</v>
      </c>
      <c r="G2212" s="67" t="str">
        <f>IFERROR(__xludf.DUMMYFUNCTION("""COMPUTED_VALUE"""),"1～5")</f>
        <v>1～5</v>
      </c>
      <c r="H2212" s="75" t="str">
        <f>IFERROR(__xludf.DUMMYFUNCTION("""COMPUTED_VALUE"""),"著者：ゴ太郎")</f>
        <v>著者：ゴ太郎</v>
      </c>
      <c r="I2212" s="75" t="str">
        <f>IFERROR(__xludf.DUMMYFUNCTION("""COMPUTED_VALUE"""),"青年")</f>
        <v>青年</v>
      </c>
      <c r="J2212" s="75"/>
      <c r="K2212" s="75"/>
      <c r="L2212" s="75" t="str">
        <f>IFERROR(__xludf.DUMMYFUNCTION("""COMPUTED_VALUE"""),"新潮社")</f>
        <v>新潮社</v>
      </c>
      <c r="M2212" s="94">
        <f>IFERROR(__xludf.DUMMYFUNCTION("""COMPUTED_VALUE"""),45590.0)</f>
        <v>45590</v>
      </c>
      <c r="N2212" s="59">
        <f>IFERROR(__xludf.DUMMYFUNCTION("""COMPUTED_VALUE"""),45712.0)</f>
        <v>45712</v>
      </c>
      <c r="O2212" s="75"/>
      <c r="P2212" s="71" t="str">
        <f>IFERROR(__xludf.DUMMYFUNCTION("""COMPUTED_VALUE"""),"可")</f>
        <v>可</v>
      </c>
      <c r="Q2212" s="75"/>
      <c r="R2212" s="75" t="str">
        <f>IFERROR(__xludf.DUMMYFUNCTION("""COMPUTED_VALUE"""),"広告コミットＯＫ(8/27)")</f>
        <v>広告コミットＯＫ(8/27)</v>
      </c>
      <c r="S2212" s="75" t="str">
        <f>IFERROR(__xludf.DUMMYFUNCTION("""COMPUTED_VALUE"""),"20241003_新潮社_俺のワクチンだけがゾンビ化した世界を救える")</f>
        <v>20241003_新潮社_俺のワクチンだけがゾンビ化した世界を救える</v>
      </c>
      <c r="T2212" s="75" t="str">
        <f>IFERROR(__xludf.DUMMYFUNCTION("""COMPUTED_VALUE"""),"格納済み")</f>
        <v>格納済み</v>
      </c>
      <c r="U2212" s="15" t="str">
        <f>IFERROR(__xludf.DUMMYFUNCTION("""COMPUTED_VALUE"""),"©ゴ太郎／新潮社")</f>
        <v>©ゴ太郎／新潮社</v>
      </c>
      <c r="V2212" s="8" t="str">
        <f>IFERROR(__xludf.DUMMYFUNCTION("""COMPUTED_VALUE"""),"ゾンビで溢れかえった世界で天才科学者のサニーと出会い、ゾンビ化した人を元に戻せる力を得た及川優。しかしその方法が、“エッッッッッッッ”な方法で……世界の命運は彼のワク“チン”に託された!?")</f>
        <v>ゾンビで溢れかえった世界で天才科学者のサニーと出会い、ゾンビ化した人を元に戻せる力を得た及川優。しかしその方法が、“エッッッッッッッ”な方法で……世界の命運は彼のワク“チン”に託された!?</v>
      </c>
      <c r="W2212" s="14"/>
      <c r="X2212" s="14" t="str">
        <f>IFERROR(__xludf.DUMMYFUNCTION("""COMPUTED_VALUE"""),"有")</f>
        <v>有</v>
      </c>
      <c r="Y2212" s="8" t="str">
        <f>IFERROR(__xludf.DUMMYFUNCTION("""COMPUTED_VALUE"""),"2024/11/7まで1～2巻無料")</f>
        <v>2024/11/7まで1～2巻無料</v>
      </c>
      <c r="Z2212" s="7"/>
      <c r="AA2212" s="7"/>
      <c r="AB2212" s="7"/>
    </row>
    <row r="2213" ht="15.75" customHeight="1">
      <c r="A2213" s="66">
        <f>IFERROR(__xludf.DUMMYFUNCTION("""COMPUTED_VALUE"""),4046.0)</f>
        <v>4046</v>
      </c>
      <c r="B2213" s="75" t="str">
        <f>IFERROR(__xludf.DUMMYFUNCTION("""COMPUTED_VALUE"""),"確定")</f>
        <v>確定</v>
      </c>
      <c r="C2213" s="68">
        <f>IFERROR(__xludf.DUMMYFUNCTION("""COMPUTED_VALUE"""),45531.0)</f>
        <v>45531</v>
      </c>
      <c r="D2213" s="68">
        <f>IFERROR(__xludf.DUMMYFUNCTION("""COMPUTED_VALUE"""),45569.0)</f>
        <v>45569</v>
      </c>
      <c r="E2213" s="60">
        <f>IFERROR(__xludf.DUMMYFUNCTION("""COMPUTED_VALUE"""),305156.0)</f>
        <v>305156</v>
      </c>
      <c r="F2213" s="60" t="str">
        <f>IFERROR(__xludf.DUMMYFUNCTION("""COMPUTED_VALUE"""),"女王の狗")</f>
        <v>女王の狗</v>
      </c>
      <c r="G2213" s="67" t="str">
        <f>IFERROR(__xludf.DUMMYFUNCTION("""COMPUTED_VALUE"""),"1～3")</f>
        <v>1～3</v>
      </c>
      <c r="H2213" s="75" t="str">
        <f>IFERROR(__xludf.DUMMYFUNCTION("""COMPUTED_VALUE"""),"ヨシカズ")</f>
        <v>ヨシカズ</v>
      </c>
      <c r="I2213" s="113" t="str">
        <f>IFERROR(__xludf.DUMMYFUNCTION("""COMPUTED_VALUE"""),"少女")</f>
        <v>少女</v>
      </c>
      <c r="J2213" s="75"/>
      <c r="K2213" s="75"/>
      <c r="L2213" s="75" t="str">
        <f>IFERROR(__xludf.DUMMYFUNCTION("""COMPUTED_VALUE"""),"一迅社")</f>
        <v>一迅社</v>
      </c>
      <c r="M2213" s="59">
        <f>IFERROR(__xludf.DUMMYFUNCTION("""COMPUTED_VALUE"""),45597.0)</f>
        <v>45597</v>
      </c>
      <c r="N2213" s="94">
        <f>IFERROR(__xludf.DUMMYFUNCTION("""COMPUTED_VALUE"""),45657.0)</f>
        <v>45657</v>
      </c>
      <c r="O2213" s="75"/>
      <c r="P2213" s="80" t="str">
        <f>IFERROR(__xludf.DUMMYFUNCTION("""COMPUTED_VALUE"""),"可")</f>
        <v>可</v>
      </c>
      <c r="Q2213" s="75" t="str">
        <f>IFERROR(__xludf.DUMMYFUNCTION("""COMPUTED_VALUE"""),"ソルマーレからの提案作品
　→他書店と競合になった作品です。出稿での色付け（CPA許容、媒体増やす等）でご提案した（河上さん確認済み）ため、お願いいたします。
・続刊からは1ヶ月先行
・1話・2話の素材は雑誌から切り出しをお願いします。")</f>
        <v>ソルマーレからの提案作品
　→他書店と競合になった作品です。出稿での色付け（CPA許容、媒体増やす等）でご提案した（河上さん確認済み）ため、お願いいたします。
・続刊からは1ヶ月先行
・1話・2話の素材は雑誌から切り出しをお願いします。</v>
      </c>
      <c r="R2213" s="83" t="str">
        <f>IFERROR(__xludf.DUMMYFUNCTION("""COMPUTED_VALUE"""),"広告コミットOK")</f>
        <v>広告コミットOK</v>
      </c>
      <c r="S2213" s="75" t="str">
        <f>IFERROR(__xludf.DUMMYFUNCTION("""COMPUTED_VALUE"""),"20241021_一迅社_女王の狗")</f>
        <v>20241021_一迅社_女王の狗</v>
      </c>
      <c r="T2213" s="75" t="str">
        <f>IFERROR(__xludf.DUMMYFUNCTION("""COMPUTED_VALUE"""),"格納済み")</f>
        <v>格納済み</v>
      </c>
      <c r="U2213" s="15" t="str">
        <f>IFERROR(__xludf.DUMMYFUNCTION("""COMPUTED_VALUE"""),"(C)ヨシカズ／一迅社")</f>
        <v>(C)ヨシカズ／一迅社</v>
      </c>
      <c r="V2213" s="8" t="str">
        <f>IFERROR(__xludf.DUMMYFUNCTION("""COMPUTED_VALUE"""),"豪傑な名君と謳われる凰国の国王・照高大王と、誇り高き女戦士である”女冠族”出身の冷妃の元に生まれ育った晃日（こうひ）は、自らも将来、女王になることを目標に生きていた。我が子を平等に継承候補にするという照高大王の意向により王位継承権を得た晃日だが、凰国で女が玉座についた前例はない。「女が政に参加することは許されない」と考え、兄弟を支持する守旧派の臣下も多い中、晃日は誰よりも優れた”王たる資質”を養うべく、修練に励む日々を送っていた。そんなある日、凰国と晃日の運命を大きく変える事件が起こり……!?戦姫が織りな"&amp;"す壮大な建国物語が開幕!!【本商品は単話コンテンツとなります。単行本版と収録内容が異なる場合がございます。漫画内の告知等は過去のものとなりますので、ご注意ください。】")</f>
        <v>豪傑な名君と謳われる凰国の国王・照高大王と、誇り高き女戦士である”女冠族”出身の冷妃の元に生まれ育った晃日（こうひ）は、自らも将来、女王になることを目標に生きていた。我が子を平等に継承候補にするという照高大王の意向により王位継承権を得た晃日だが、凰国で女が玉座についた前例はない。「女が政に参加することは許されない」と考え、兄弟を支持する守旧派の臣下も多い中、晃日は誰よりも優れた”王たる資質”を養うべく、修練に励む日々を送っていた。そんなある日、凰国と晃日の運命を大きく変える事件が起こり……!?戦姫が織りなす壮大な建国物語が開幕!!【本商品は単話コンテンツとなります。単行本版と収録内容が異なる場合がございます。漫画内の告知等は過去のものとなりますので、ご注意ください。】</v>
      </c>
      <c r="W2213" s="14"/>
      <c r="X2213" s="14" t="str">
        <f>IFERROR(__xludf.DUMMYFUNCTION("""COMPUTED_VALUE"""),"有")</f>
        <v>有</v>
      </c>
      <c r="Y2213" s="8" t="str">
        <f>IFERROR(__xludf.DUMMYFUNCTION("""COMPUTED_VALUE"""),"2024/12/31まで1巻無料")</f>
        <v>2024/12/31まで1巻無料</v>
      </c>
      <c r="Z2213" s="7"/>
      <c r="AA2213" s="7"/>
      <c r="AB2213" s="7"/>
    </row>
    <row r="2214" ht="15.75" customHeight="1">
      <c r="A2214" s="66">
        <f>IFERROR(__xludf.DUMMYFUNCTION("""COMPUTED_VALUE"""),4058.0)</f>
        <v>4058</v>
      </c>
      <c r="B2214" s="75" t="str">
        <f>IFERROR(__xludf.DUMMYFUNCTION("""COMPUTED_VALUE"""),"確定")</f>
        <v>確定</v>
      </c>
      <c r="C2214" s="68">
        <f>IFERROR(__xludf.DUMMYFUNCTION("""COMPUTED_VALUE"""),45533.0)</f>
        <v>45533</v>
      </c>
      <c r="D2214" s="68">
        <f>IFERROR(__xludf.DUMMYFUNCTION("""COMPUTED_VALUE"""),45574.0)</f>
        <v>45574</v>
      </c>
      <c r="E2214" s="60">
        <f>IFERROR(__xludf.DUMMYFUNCTION("""COMPUTED_VALUE"""),305395.0)</f>
        <v>305395</v>
      </c>
      <c r="F2214" s="60" t="str">
        <f>IFERROR(__xludf.DUMMYFUNCTION("""COMPUTED_VALUE"""),"溺愛ヤンデレな推しに捕まえられました！ アンソロジー『きみの声しか聴こえない』【単話】")</f>
        <v>溺愛ヤンデレな推しに捕まえられました！ アンソロジー『きみの声しか聴こえない』【単話】</v>
      </c>
      <c r="G2214" s="67">
        <f>IFERROR(__xludf.DUMMYFUNCTION("""COMPUTED_VALUE"""),1.0)</f>
        <v>1</v>
      </c>
      <c r="H2214" s="75" t="str">
        <f>IFERROR(__xludf.DUMMYFUNCTION("""COMPUTED_VALUE"""),"黒宮ゆねこ")</f>
        <v>黒宮ゆねこ</v>
      </c>
      <c r="I2214" s="113" t="str">
        <f>IFERROR(__xludf.DUMMYFUNCTION("""COMPUTED_VALUE"""),"少女")</f>
        <v>少女</v>
      </c>
      <c r="J2214" s="75"/>
      <c r="K2214" s="75"/>
      <c r="L2214" s="75" t="str">
        <f>IFERROR(__xludf.DUMMYFUNCTION("""COMPUTED_VALUE"""),"一迅社")</f>
        <v>一迅社</v>
      </c>
      <c r="M2214" s="59">
        <f>IFERROR(__xludf.DUMMYFUNCTION("""COMPUTED_VALUE"""),45597.0)</f>
        <v>45597</v>
      </c>
      <c r="N2214" s="59">
        <f>IFERROR(__xludf.DUMMYFUNCTION("""COMPUTED_VALUE"""),45694.0)</f>
        <v>45694</v>
      </c>
      <c r="O2214" s="75"/>
      <c r="P2214" s="80" t="str">
        <f>IFERROR(__xludf.DUMMYFUNCTION("""COMPUTED_VALUE"""),"可")</f>
        <v>可</v>
      </c>
      <c r="Q2214" s="72" t="str">
        <f>IFERROR(__xludf.DUMMYFUNCTION("""COMPUTED_VALUE"""),"・レーベル『echo』&lt;BR&gt;アンソロジーのばら売りです。")</f>
        <v>・レーベル『echo』&lt;BR&gt;アンソロジーのばら売りです。</v>
      </c>
      <c r="R2214" s="75"/>
      <c r="S2214" s="75" t="str">
        <f>IFERROR(__xludf.DUMMYFUNCTION("""COMPUTED_VALUE"""),"20241003_一迅社_きみの声しか聴こえない")</f>
        <v>20241003_一迅社_きみの声しか聴こえない</v>
      </c>
      <c r="T2214" s="75" t="str">
        <f>IFERROR(__xludf.DUMMYFUNCTION("""COMPUTED_VALUE"""),"格納済み")</f>
        <v>格納済み</v>
      </c>
      <c r="U2214" s="15" t="str">
        <f>IFERROR(__xludf.DUMMYFUNCTION("""COMPUTED_VALUE"""),"(C)黒宮ゆねこ／一迅社")</f>
        <v>(C)黒宮ゆねこ／一迅社</v>
      </c>
      <c r="V2214" s="8" t="str">
        <f>IFERROR(__xludf.DUMMYFUNCTION("""COMPUTED_VALUE"""),"田舎から上京してきて2年、駅前で落とし物を拾ってくれた彼から急に告白されたしずる。しかしその人物はよく知る声で―!?※この作品は『溺愛ヤンデレな推しに捕まえられました！ アンソロジー』収録作品と同一の内容を単話版として再編集したものとなります。")</f>
        <v>田舎から上京してきて2年、駅前で落とし物を拾ってくれた彼から急に告白されたしずる。しかしその人物はよく知る声で―!?※この作品は『溺愛ヤンデレな推しに捕まえられました！ アンソロジー』収録作品と同一の内容を単話版として再編集したものとなります。</v>
      </c>
      <c r="W2214" s="14"/>
      <c r="X2214" s="14" t="str">
        <f>IFERROR(__xludf.DUMMYFUNCTION("""COMPUTED_VALUE"""),"有")</f>
        <v>有</v>
      </c>
      <c r="Y2214" s="8" t="str">
        <f>IFERROR(__xludf.DUMMYFUNCTION("""COMPUTED_VALUE"""),"P5まで")</f>
        <v>P5まで</v>
      </c>
      <c r="Z2214" s="7"/>
      <c r="AA2214" s="7"/>
      <c r="AB2214" s="7"/>
    </row>
    <row r="2215" ht="15.75" customHeight="1">
      <c r="A2215" s="66">
        <f>IFERROR(__xludf.DUMMYFUNCTION("""COMPUTED_VALUE"""),4067.0)</f>
        <v>4067</v>
      </c>
      <c r="B2215" s="75" t="str">
        <f>IFERROR(__xludf.DUMMYFUNCTION("""COMPUTED_VALUE"""),"確定")</f>
        <v>確定</v>
      </c>
      <c r="C2215" s="68">
        <f>IFERROR(__xludf.DUMMYFUNCTION("""COMPUTED_VALUE"""),45537.0)</f>
        <v>45537</v>
      </c>
      <c r="D2215" s="68">
        <f>IFERROR(__xludf.DUMMYFUNCTION("""COMPUTED_VALUE"""),45574.0)</f>
        <v>45574</v>
      </c>
      <c r="E2215" s="60">
        <f>IFERROR(__xludf.DUMMYFUNCTION("""COMPUTED_VALUE"""),305155.0)</f>
        <v>305155</v>
      </c>
      <c r="F2215" s="60" t="str">
        <f>IFERROR(__xludf.DUMMYFUNCTION("""COMPUTED_VALUE"""),"訳あり令嬢と傷心王子の政略結婚 ～女性不信の王子と男性不信の侯爵令嬢が結婚したら～")</f>
        <v>訳あり令嬢と傷心王子の政略結婚 ～女性不信の王子と男性不信の侯爵令嬢が結婚したら～</v>
      </c>
      <c r="G2215" s="67" t="str">
        <f>IFERROR(__xludf.DUMMYFUNCTION("""COMPUTED_VALUE"""),"1～3")</f>
        <v>1～3</v>
      </c>
      <c r="H2215" s="75" t="str">
        <f>IFERROR(__xludf.DUMMYFUNCTION("""COMPUTED_VALUE"""),"コミック：古川スネ 原作：当麻リコ")</f>
        <v>コミック：古川スネ 原作：当麻リコ</v>
      </c>
      <c r="I2215" s="75" t="str">
        <f>IFERROR(__xludf.DUMMYFUNCTION("""COMPUTED_VALUE"""),"少女")</f>
        <v>少女</v>
      </c>
      <c r="J2215" s="75"/>
      <c r="K2215" s="75"/>
      <c r="L2215" s="75" t="str">
        <f>IFERROR(__xludf.DUMMYFUNCTION("""COMPUTED_VALUE"""),"一迅社")</f>
        <v>一迅社</v>
      </c>
      <c r="M2215" s="59">
        <f>IFERROR(__xludf.DUMMYFUNCTION("""COMPUTED_VALUE"""),45597.0)</f>
        <v>45597</v>
      </c>
      <c r="N2215" s="94">
        <f>IFERROR(__xludf.DUMMYFUNCTION("""COMPUTED_VALUE"""),45626.0)</f>
        <v>45626</v>
      </c>
      <c r="O2215" s="75"/>
      <c r="P2215" s="71" t="str">
        <f>IFERROR(__xludf.DUMMYFUNCTION("""COMPUTED_VALUE"""),"可")</f>
        <v>可</v>
      </c>
      <c r="Q2215" s="75"/>
      <c r="R2215" s="75" t="str">
        <f>IFERROR(__xludf.DUMMYFUNCTION("""COMPUTED_VALUE"""),"広告コミットOK(9/5)")</f>
        <v>広告コミットOK(9/5)</v>
      </c>
      <c r="S2215" s="75" t="str">
        <f>IFERROR(__xludf.DUMMYFUNCTION("""COMPUTED_VALUE"""),"20241003_一迅社_訳あり令嬢と傷心王子の政略結婚")</f>
        <v>20241003_一迅社_訳あり令嬢と傷心王子の政略結婚</v>
      </c>
      <c r="T2215" s="75" t="str">
        <f>IFERROR(__xludf.DUMMYFUNCTION("""COMPUTED_VALUE"""),"格納済み")</f>
        <v>格納済み</v>
      </c>
      <c r="U2215" s="15" t="str">
        <f>IFERROR(__xludf.DUMMYFUNCTION("""COMPUTED_VALUE"""),"(C)古川スネ・当麻リコ／一迅社")</f>
        <v>(C)古川スネ・当麻リコ／一迅社</v>
      </c>
      <c r="V2215" s="8" t="str">
        <f>IFERROR(__xludf.DUMMYFUNCTION("""COMPUTED_VALUE"""),"この世界では貴族は火遊び至上主義。スリルを伴う遊びをいかにスマートにこなすかがステイタス。そんな社交界でひときわ目立つ侯爵令嬢のローズ・ウィリアムズ。艶やかな美貌に絶妙なプロポーション。気に入った男性としか話をすることもない高嶺の花。――と噂をされているけれど、実は彼女の本性は奥手で恋に夢見る少女だった。容姿のせいで変な男性から絡まれがちな彼女は「魔性の女」として擬態し、いつしか有りもしない噂を流されていた。そんな噂を否定することもなく、ついには未経験のまま第一王子・ニコライとの婚姻が決まり、初夜を迎える"&amp;"けれど――?「小説家になろう」で2，000，000PV超！初夜から始まるピュアラブストーリー！【本商品は単話コンテンツとなります。単行本版と収録内容が異なる場合がございます。漫画内の告知等は過去のものとなりますので、ご注意ください。】")</f>
        <v>この世界では貴族は火遊び至上主義。スリルを伴う遊びをいかにスマートにこなすかがステイタス。そんな社交界でひときわ目立つ侯爵令嬢のローズ・ウィリアムズ。艶やかな美貌に絶妙なプロポーション。気に入った男性としか話をすることもない高嶺の花。――と噂をされているけれど、実は彼女の本性は奥手で恋に夢見る少女だった。容姿のせいで変な男性から絡まれがちな彼女は「魔性の女」として擬態し、いつしか有りもしない噂を流されていた。そんな噂を否定することもなく、ついには未経験のまま第一王子・ニコライとの婚姻が決まり、初夜を迎えるけれど――?「小説家になろう」で2，000，000PV超！初夜から始まるピュアラブストーリー！【本商品は単話コンテンツとなります。単行本版と収録内容が異なる場合がございます。漫画内の告知等は過去のものとなりますので、ご注意ください。】</v>
      </c>
      <c r="W2215" s="14"/>
      <c r="X2215" s="14" t="str">
        <f>IFERROR(__xludf.DUMMYFUNCTION("""COMPUTED_VALUE"""),"有")</f>
        <v>有</v>
      </c>
      <c r="Y2215" s="8" t="str">
        <f>IFERROR(__xludf.DUMMYFUNCTION("""COMPUTED_VALUE"""),"2024/11/30まで1巻無料")</f>
        <v>2024/11/30まで1巻無料</v>
      </c>
      <c r="Z2215" s="7"/>
      <c r="AA2215" s="7"/>
      <c r="AB2215" s="7"/>
    </row>
    <row r="2216" ht="15.75" customHeight="1">
      <c r="A2216" s="66">
        <f>IFERROR(__xludf.DUMMYFUNCTION("""COMPUTED_VALUE"""),4097.0)</f>
        <v>4097</v>
      </c>
      <c r="B2216" s="75" t="str">
        <f>IFERROR(__xludf.DUMMYFUNCTION("""COMPUTED_VALUE"""),"確定")</f>
        <v>確定</v>
      </c>
      <c r="C2216" s="68">
        <f>IFERROR(__xludf.DUMMYFUNCTION("""COMPUTED_VALUE"""),45540.0)</f>
        <v>45540</v>
      </c>
      <c r="D2216" s="68">
        <f>IFERROR(__xludf.DUMMYFUNCTION("""COMPUTED_VALUE"""),45574.0)</f>
        <v>45574</v>
      </c>
      <c r="E2216" s="60">
        <f>IFERROR(__xludf.DUMMYFUNCTION("""COMPUTED_VALUE"""),305397.0)</f>
        <v>305397</v>
      </c>
      <c r="F2216" s="60" t="str">
        <f>IFERROR(__xludf.DUMMYFUNCTION("""COMPUTED_VALUE"""),"溺愛ヤンデレな推しに捕まえられました！ アンソロジー『推しの声優に執着されてます！』【単話】")</f>
        <v>溺愛ヤンデレな推しに捕まえられました！ アンソロジー『推しの声優に執着されてます！』【単話】</v>
      </c>
      <c r="G2216" s="67">
        <f>IFERROR(__xludf.DUMMYFUNCTION("""COMPUTED_VALUE"""),1.0)</f>
        <v>1</v>
      </c>
      <c r="H2216" s="75" t="str">
        <f>IFERROR(__xludf.DUMMYFUNCTION("""COMPUTED_VALUE"""),"夕槻ちや")</f>
        <v>夕槻ちや</v>
      </c>
      <c r="I2216" s="113" t="str">
        <f>IFERROR(__xludf.DUMMYFUNCTION("""COMPUTED_VALUE"""),"少女")</f>
        <v>少女</v>
      </c>
      <c r="J2216" s="75"/>
      <c r="K2216" s="75"/>
      <c r="L2216" s="75" t="str">
        <f>IFERROR(__xludf.DUMMYFUNCTION("""COMPUTED_VALUE"""),"一迅社")</f>
        <v>一迅社</v>
      </c>
      <c r="M2216" s="59">
        <f>IFERROR(__xludf.DUMMYFUNCTION("""COMPUTED_VALUE"""),45597.0)</f>
        <v>45597</v>
      </c>
      <c r="N2216" s="59">
        <f>IFERROR(__xludf.DUMMYFUNCTION("""COMPUTED_VALUE"""),45694.0)</f>
        <v>45694</v>
      </c>
      <c r="O2216" s="75"/>
      <c r="P2216" s="80" t="str">
        <f>IFERROR(__xludf.DUMMYFUNCTION("""COMPUTED_VALUE"""),"可")</f>
        <v>可</v>
      </c>
      <c r="Q2216" s="75" t="str">
        <f>IFERROR(__xludf.DUMMYFUNCTION("""COMPUTED_VALUE"""),"・レーベル『echo』の読み切り作品")</f>
        <v>・レーベル『echo』の読み切り作品</v>
      </c>
      <c r="R2216" s="75" t="str">
        <f>IFERROR(__xludf.DUMMYFUNCTION("""COMPUTED_VALUE"""),"広告コミットOK(9/9)")</f>
        <v>広告コミットOK(9/9)</v>
      </c>
      <c r="S2216" s="75" t="str">
        <f>IFERROR(__xludf.DUMMYFUNCTION("""COMPUTED_VALUE"""),"20241003_一迅社_推しの声優に執着されてます！")</f>
        <v>20241003_一迅社_推しの声優に執着されてます！</v>
      </c>
      <c r="T2216" s="75" t="str">
        <f>IFERROR(__xludf.DUMMYFUNCTION("""COMPUTED_VALUE"""),"格納済み")</f>
        <v>格納済み</v>
      </c>
      <c r="U2216" s="15" t="str">
        <f>IFERROR(__xludf.DUMMYFUNCTION("""COMPUTED_VALUE"""),"(C)夕槻ちや／一迅社")</f>
        <v>(C)夕槻ちや／一迅社</v>
      </c>
      <c r="V2216" s="8" t="str">
        <f>IFERROR(__xludf.DUMMYFUNCTION("""COMPUTED_VALUE"""),"「僕を見つけてくれてありがとう」そう言って、新人声優・湊斗がごく普通のOL・志穂を訪ねてきて…!?※この作品は『溺愛ヤンデレな推しに捕まえられました！ アンソロジー』収録作品と同一の内容を単話版として再編集したものとなります。")</f>
        <v>「僕を見つけてくれてありがとう」そう言って、新人声優・湊斗がごく普通のOL・志穂を訪ねてきて…!?※この作品は『溺愛ヤンデレな推しに捕まえられました！ アンソロジー』収録作品と同一の内容を単話版として再編集したものとなります。</v>
      </c>
      <c r="W2216" s="14"/>
      <c r="X2216" s="14" t="str">
        <f>IFERROR(__xludf.DUMMYFUNCTION("""COMPUTED_VALUE"""),"有")</f>
        <v>有</v>
      </c>
      <c r="Y2216" s="8" t="str">
        <f>IFERROR(__xludf.DUMMYFUNCTION("""COMPUTED_VALUE"""),"P7まで")</f>
        <v>P7まで</v>
      </c>
      <c r="Z2216" s="7"/>
      <c r="AA2216" s="7"/>
      <c r="AB2216" s="7"/>
    </row>
    <row r="2217" ht="15.75" customHeight="1">
      <c r="A2217" s="66">
        <f>IFERROR(__xludf.DUMMYFUNCTION("""COMPUTED_VALUE"""),4098.0)</f>
        <v>4098</v>
      </c>
      <c r="B2217" s="75" t="str">
        <f>IFERROR(__xludf.DUMMYFUNCTION("""COMPUTED_VALUE"""),"確定")</f>
        <v>確定</v>
      </c>
      <c r="C2217" s="68">
        <f>IFERROR(__xludf.DUMMYFUNCTION("""COMPUTED_VALUE"""),45540.0)</f>
        <v>45540</v>
      </c>
      <c r="D2217" s="68">
        <f>IFERROR(__xludf.DUMMYFUNCTION("""COMPUTED_VALUE"""),45574.0)</f>
        <v>45574</v>
      </c>
      <c r="E2217" s="60">
        <f>IFERROR(__xludf.DUMMYFUNCTION("""COMPUTED_VALUE"""),305704.0)</f>
        <v>305704</v>
      </c>
      <c r="F2217" s="60" t="str">
        <f>IFERROR(__xludf.DUMMYFUNCTION("""COMPUTED_VALUE"""),"ド真面目侍女の婚約騒動！ ～無口な騎士団副団長に実はベタ惚れされてました～")</f>
        <v>ド真面目侍女の婚約騒動！ ～無口な騎士団副団長に実はベタ惚れされてました～</v>
      </c>
      <c r="G2217" s="67" t="str">
        <f>IFERROR(__xludf.DUMMYFUNCTION("""COMPUTED_VALUE"""),"1～5")</f>
        <v>1～5</v>
      </c>
      <c r="H2217" s="75" t="str">
        <f>IFERROR(__xludf.DUMMYFUNCTION("""COMPUTED_VALUE"""),"原作：柏てん、漫画：安達ゆる、キャラクター原案：くろでこ")</f>
        <v>原作：柏てん、漫画：安達ゆる、キャラクター原案：くろでこ</v>
      </c>
      <c r="I2217" s="83" t="str">
        <f>IFERROR(__xludf.DUMMYFUNCTION("""COMPUTED_VALUE"""),"女性")</f>
        <v>女性</v>
      </c>
      <c r="J2217" s="75"/>
      <c r="K2217" s="75"/>
      <c r="L2217" s="75" t="str">
        <f>IFERROR(__xludf.DUMMYFUNCTION("""COMPUTED_VALUE"""),"集英社")</f>
        <v>集英社</v>
      </c>
      <c r="M2217" s="94">
        <f>IFERROR(__xludf.DUMMYFUNCTION("""COMPUTED_VALUE"""),45606.0)</f>
        <v>45606</v>
      </c>
      <c r="N2217" s="47">
        <f>IFERROR(__xludf.DUMMYFUNCTION("""COMPUTED_VALUE"""),45666.0)</f>
        <v>45666</v>
      </c>
      <c r="O2217" s="75"/>
      <c r="P2217" s="80" t="str">
        <f>IFERROR(__xludf.DUMMYFUNCTION("""COMPUTED_VALUE"""),"否")</f>
        <v>否</v>
      </c>
      <c r="Q2217" s="75" t="str">
        <f>IFERROR(__xludf.DUMMYFUNCTION("""COMPUTED_VALUE"""),"・レーベル名：マーガレットコミックス&lt;BR&gt;・先行期間の延長は応相談")</f>
        <v>・レーベル名：マーガレットコミックス&lt;BR&gt;・先行期間の延長は応相談</v>
      </c>
      <c r="R2217" s="75" t="str">
        <f>IFERROR(__xludf.DUMMYFUNCTION("""COMPUTED_VALUE"""),"広告コミットOK(9/9)")</f>
        <v>広告コミットOK(9/9)</v>
      </c>
      <c r="S2217" s="75" t="str">
        <f>IFERROR(__xludf.DUMMYFUNCTION("""COMPUTED_VALUE"""),"20241003_集英社_ド真面目侍女の婚約騒動！ ～無口な騎士団副団長に実はベタ惚れされてました～")</f>
        <v>20241003_集英社_ド真面目侍女の婚約騒動！ ～無口な騎士団副団長に実はベタ惚れされてました～</v>
      </c>
      <c r="T2217" s="75" t="str">
        <f>IFERROR(__xludf.DUMMYFUNCTION("""COMPUTED_VALUE"""),"格納済み")</f>
        <v>格納済み</v>
      </c>
      <c r="U2217" s="15" t="str">
        <f>IFERROR(__xludf.DUMMYFUNCTION("""COMPUTED_VALUE"""),"(c)柏てん・安達ゆる・くろでこ／集英社")</f>
        <v>(c)柏てん・安達ゆる・くろでこ／集英社</v>
      </c>
      <c r="V2217" s="8" t="str">
        <f>IFERROR(__xludf.DUMMYFUNCTION("""COMPUTED_VALUE"""),"ド真面目な侍女が弟の恋人を演じたら、想い人の様子がおかしいのですが!?　堅物侍女のサンドラは仕事一筋のまま嫁き遅れといわれる年齢になり、結婚も諦めるようになっていた。そんなある日、弟のユリウスから恋人のふりをしてほしいとお願いされ、偽の恋人を演じることに。しかしその場に、偶然サンドラが思いを寄せる騎士団副団長のイアンが現れる。公爵家の人間でありながら髪も髭もボサボサで女性人気は決して高くないイアンだが、10年ほど前にサンドラのピンチを救ってくれたことがあり、それ以来一途に彼を想い続けていた。そんな騒動の数"&amp;"日後、かたくなに髭を剃らなかったイアンが突然の大変身！　周囲の女性たちから物凄い美形がいると騒がれる事態に発展!?　さらに堅物侍女なサンドラのもとに、騎士団の若手ホープから縁談が舞い込んできて…。堅物ヒロインと不器用な騎士が繰り広げるジレ甘ラブストーリー！")</f>
        <v>ド真面目な侍女が弟の恋人を演じたら、想い人の様子がおかしいのですが!?　堅物侍女のサンドラは仕事一筋のまま嫁き遅れといわれる年齢になり、結婚も諦めるようになっていた。そんなある日、弟のユリウスから恋人のふりをしてほしいとお願いされ、偽の恋人を演じることに。しかしその場に、偶然サンドラが思いを寄せる騎士団副団長のイアンが現れる。公爵家の人間でありながら髪も髭もボサボサで女性人気は決して高くないイアンだが、10年ほど前にサンドラのピンチを救ってくれたことがあり、それ以来一途に彼を想い続けていた。そんな騒動の数日後、かたくなに髭を剃らなかったイアンが突然の大変身！　周囲の女性たちから物凄い美形がいると騒がれる事態に発展!?　さらに堅物侍女なサンドラのもとに、騎士団の若手ホープから縁談が舞い込んできて…。堅物ヒロインと不器用な騎士が繰り広げるジレ甘ラブストーリー！</v>
      </c>
      <c r="W2217" s="14"/>
      <c r="X2217" s="14" t="str">
        <f>IFERROR(__xludf.DUMMYFUNCTION("""COMPUTED_VALUE"""),"有")</f>
        <v>有</v>
      </c>
      <c r="Y2217" s="8" t="str">
        <f>IFERROR(__xludf.DUMMYFUNCTION("""COMPUTED_VALUE"""),"2025/1/9まで1巻無料")</f>
        <v>2025/1/9まで1巻無料</v>
      </c>
      <c r="Z2217" s="7"/>
      <c r="AA2217" s="7"/>
      <c r="AB2217" s="7"/>
    </row>
    <row r="2218" ht="15.75" customHeight="1">
      <c r="A2218" s="66">
        <f>IFERROR(__xludf.DUMMYFUNCTION("""COMPUTED_VALUE"""),4100.0)</f>
        <v>4100</v>
      </c>
      <c r="B2218" s="75" t="str">
        <f>IFERROR(__xludf.DUMMYFUNCTION("""COMPUTED_VALUE"""),"確定")</f>
        <v>確定</v>
      </c>
      <c r="C2218" s="68">
        <f>IFERROR(__xludf.DUMMYFUNCTION("""COMPUTED_VALUE"""),45541.0)</f>
        <v>45541</v>
      </c>
      <c r="D2218" s="68">
        <f>IFERROR(__xludf.DUMMYFUNCTION("""COMPUTED_VALUE"""),45573.0)</f>
        <v>45573</v>
      </c>
      <c r="E2218" s="60">
        <f>IFERROR(__xludf.DUMMYFUNCTION("""COMPUTED_VALUE"""),305110.0)</f>
        <v>305110</v>
      </c>
      <c r="F2218" s="60" t="str">
        <f>IFERROR(__xludf.DUMMYFUNCTION("""COMPUTED_VALUE"""),"スウィーテスト・タブー")</f>
        <v>スウィーテスト・タブー</v>
      </c>
      <c r="G2218" s="67" t="str">
        <f>IFERROR(__xludf.DUMMYFUNCTION("""COMPUTED_VALUE"""),"1～2")</f>
        <v>1～2</v>
      </c>
      <c r="H2218" s="75" t="str">
        <f>IFERROR(__xludf.DUMMYFUNCTION("""COMPUTED_VALUE"""),"野乃うき")</f>
        <v>野乃うき</v>
      </c>
      <c r="I2218" s="75" t="str">
        <f>IFERROR(__xludf.DUMMYFUNCTION("""COMPUTED_VALUE"""),"BL")</f>
        <v>BL</v>
      </c>
      <c r="J2218" s="75"/>
      <c r="K2218" s="75"/>
      <c r="L2218" s="75" t="str">
        <f>IFERROR(__xludf.DUMMYFUNCTION("""COMPUTED_VALUE"""),"ジュネット")</f>
        <v>ジュネット</v>
      </c>
      <c r="M2218" s="94">
        <f>IFERROR(__xludf.DUMMYFUNCTION("""COMPUTED_VALUE"""),45591.0)</f>
        <v>45591</v>
      </c>
      <c r="N2218" s="59">
        <f>IFERROR(__xludf.DUMMYFUNCTION("""COMPUTED_VALUE"""),45681.0)</f>
        <v>45681</v>
      </c>
      <c r="O2218" s="75"/>
      <c r="P2218" s="80" t="str">
        <f>IFERROR(__xludf.DUMMYFUNCTION("""COMPUTED_VALUE"""),"可")</f>
        <v>可</v>
      </c>
      <c r="Q2218" s="75" t="str">
        <f>IFERROR(__xludf.DUMMYFUNCTION("""COMPUTED_VALUE"""),"野乃うき『スウィーテスト・タブー』&lt;BR&gt;ケーキバース作品。大学生のダンス部に所属する後輩×先輩モノ。部活のダンス中に飛び散る汗を口にした後輩が先輩のことをケーキと認識し…!!? 新人作家です。好感度高い絵で人気出そうかと。10月から毎月配信予定。")</f>
        <v>野乃うき『スウィーテスト・タブー』&lt;BR&gt;ケーキバース作品。大学生のダンス部に所属する後輩×先輩モノ。部活のダンス中に飛び散る汗を口にした後輩が先輩のことをケーキと認識し…!!? 新人作家です。好感度高い絵で人気出そうかと。10月から毎月配信予定。</v>
      </c>
      <c r="R2218" s="75" t="str">
        <f>IFERROR(__xludf.DUMMYFUNCTION("""COMPUTED_VALUE"""),"広告コミットOK(9/9)")</f>
        <v>広告コミットOK(9/9)</v>
      </c>
      <c r="S2218" s="75" t="str">
        <f>IFERROR(__xludf.DUMMYFUNCTION("""COMPUTED_VALUE"""),"20241002_ジュネット_スウィーテスト・タブー")</f>
        <v>20241002_ジュネット_スウィーテスト・タブー</v>
      </c>
      <c r="T2218" s="75" t="str">
        <f>IFERROR(__xludf.DUMMYFUNCTION("""COMPUTED_VALUE"""),"格納済み")</f>
        <v>格納済み</v>
      </c>
      <c r="U2218" s="15" t="str">
        <f>IFERROR(__xludf.DUMMYFUNCTION("""COMPUTED_VALUE"""),"©野乃うき/ジュネット")</f>
        <v>©野乃うき/ジュネット</v>
      </c>
      <c r="V2218" s="8" t="str">
        <f>IFERROR(__xludf.DUMMYFUNCTION("""COMPUTED_VALUE"""),"大学のダンスサークルに所属する真音（まおと）は、後輩・蛍（けい）の指導担当。ダンス経験者がほとんどのサークルに未経験で入ってきた蛍だったが、真音は彼の頑張り屋なところが気に入り、弟のように可愛がっていた。ある日の放課後、レッスン場で蛍とふたりで自主練をしていると、真音の飛び散った汗が蛍の頬に！その汗を口にした蛍の顔色が一変し「真音先輩って『ケーキ』ですよね？」と!!?大学のダンスサークルを舞台に繰り広げられるケーキバースストーリー。後輩（フォーク）×先輩（ケーキ）、本能と愛の行方やいかに!?新鋭・野乃うき"&amp;"による青春エロス。毎月第4土曜に続話が追加されていきます!!")</f>
        <v>大学のダンスサークルに所属する真音（まおと）は、後輩・蛍（けい）の指導担当。ダンス経験者がほとんどのサークルに未経験で入ってきた蛍だったが、真音は彼の頑張り屋なところが気に入り、弟のように可愛がっていた。ある日の放課後、レッスン場で蛍とふたりで自主練をしていると、真音の飛び散った汗が蛍の頬に！その汗を口にした蛍の顔色が一変し「真音先輩って『ケーキ』ですよね？」と!!?大学のダンスサークルを舞台に繰り広げられるケーキバースストーリー。後輩（フォーク）×先輩（ケーキ）、本能と愛の行方やいかに!?新鋭・野乃うきによる青春エロス。毎月第4土曜に続話が追加されていきます!!</v>
      </c>
      <c r="W2218" s="14"/>
      <c r="X2218" s="14" t="str">
        <f>IFERROR(__xludf.DUMMYFUNCTION("""COMPUTED_VALUE"""),"有")</f>
        <v>有</v>
      </c>
      <c r="Y2218" s="8" t="str">
        <f>IFERROR(__xludf.DUMMYFUNCTION("""COMPUTED_VALUE"""),"P7まで")</f>
        <v>P7まで</v>
      </c>
      <c r="Z2218" s="7"/>
      <c r="AA2218" s="7"/>
      <c r="AB2218" s="7"/>
    </row>
    <row r="2219" ht="15.75" customHeight="1">
      <c r="A2219" s="66">
        <f>IFERROR(__xludf.DUMMYFUNCTION("""COMPUTED_VALUE"""),4106.0)</f>
        <v>4106</v>
      </c>
      <c r="B2219" s="75" t="str">
        <f>IFERROR(__xludf.DUMMYFUNCTION("""COMPUTED_VALUE"""),"確定")</f>
        <v>確定</v>
      </c>
      <c r="C2219" s="68">
        <f>IFERROR(__xludf.DUMMYFUNCTION("""COMPUTED_VALUE"""),45541.0)</f>
        <v>45541</v>
      </c>
      <c r="D2219" s="68">
        <f>IFERROR(__xludf.DUMMYFUNCTION("""COMPUTED_VALUE"""),45569.0)</f>
        <v>45569</v>
      </c>
      <c r="E2219" s="60">
        <f>IFERROR(__xludf.DUMMYFUNCTION("""COMPUTED_VALUE"""),304926.0)</f>
        <v>304926</v>
      </c>
      <c r="F2219" s="60" t="str">
        <f>IFERROR(__xludf.DUMMYFUNCTION("""COMPUTED_VALUE"""),"悪役になれなかった追放令嬢は甘く優しく壊される～幼なじみ伯爵子息の溺愛監禁調教～（分冊版）")</f>
        <v>悪役になれなかった追放令嬢は甘く優しく壊される～幼なじみ伯爵子息の溺愛監禁調教～（分冊版）</v>
      </c>
      <c r="G2219" s="67" t="str">
        <f>IFERROR(__xludf.DUMMYFUNCTION("""COMPUTED_VALUE"""),"1～3")</f>
        <v>1～3</v>
      </c>
      <c r="H2219" s="75" t="str">
        <f>IFERROR(__xludf.DUMMYFUNCTION("""COMPUTED_VALUE"""),"山本ともみつ")</f>
        <v>山本ともみつ</v>
      </c>
      <c r="I2219" s="75" t="str">
        <f>IFERROR(__xludf.DUMMYFUNCTION("""COMPUTED_VALUE"""),"TL")</f>
        <v>TL</v>
      </c>
      <c r="J2219" s="75"/>
      <c r="K2219" s="75"/>
      <c r="L2219" s="75" t="str">
        <f>IFERROR(__xludf.DUMMYFUNCTION("""COMPUTED_VALUE"""),"ライトリーズン")</f>
        <v>ライトリーズン</v>
      </c>
      <c r="M2219" s="94">
        <f>IFERROR(__xludf.DUMMYFUNCTION("""COMPUTED_VALUE"""),45590.0)</f>
        <v>45590</v>
      </c>
      <c r="N2219" s="59">
        <f>IFERROR(__xludf.DUMMYFUNCTION("""COMPUTED_VALUE"""),45716.70833333333)</f>
        <v>45716.70833</v>
      </c>
      <c r="O2219" s="75"/>
      <c r="P2219" s="80" t="str">
        <f>IFERROR(__xludf.DUMMYFUNCTION("""COMPUTED_VALUE"""),"可")</f>
        <v>可</v>
      </c>
      <c r="Q2219" s="75" t="str">
        <f>IFERROR(__xludf.DUMMYFUNCTION("""COMPUTED_VALUE"""),"★重要★&lt;BR&gt;初回配信はこちらが指定したpage0084.jpgまでになります。(1～3話分)&lt;BR&gt;84以降⇒4話・5話は11月15日に配信予定の内容となります&lt;BR&gt;同日配信でR版として修正変えてオトナでも配信予定（これもシーモア先行）&lt;BR&gt;DLサイトでのDL数が10万超えの期待作とのことです。")</f>
        <v>★重要★&lt;BR&gt;初回配信はこちらが指定したpage0084.jpgまでになります。(1～3話分)&lt;BR&gt;84以降⇒4話・5話は11月15日に配信予定の内容となります&lt;BR&gt;同日配信でR版として修正変えてオトナでも配信予定（これもシーモア先行）&lt;BR&gt;DLサイトでのDL数が10万超えの期待作とのことです。</v>
      </c>
      <c r="R2219" s="75" t="str">
        <f>IFERROR(__xludf.DUMMYFUNCTION("""COMPUTED_VALUE"""),"広告コミットOK（9/12）")</f>
        <v>広告コミットOK（9/12）</v>
      </c>
      <c r="S2219" s="75" t="str">
        <f>IFERROR(__xludf.DUMMYFUNCTION("""COMPUTED_VALUE"""),"20241004‗ライトリーズン‗白塗り修正版悪役になれなかった追放令嬢は甘く優しく壊される")</f>
        <v>20241004‗ライトリーズン‗白塗り修正版悪役になれなかった追放令嬢は甘く優しく壊される</v>
      </c>
      <c r="T2219" s="75" t="str">
        <f>IFERROR(__xludf.DUMMYFUNCTION("""COMPUTED_VALUE"""),"格納済み")</f>
        <v>格納済み</v>
      </c>
      <c r="U2219" s="15" t="str">
        <f>IFERROR(__xludf.DUMMYFUNCTION("""COMPUTED_VALUE"""),"©山本ともみつ/ライトリーズン")</f>
        <v>©山本ともみつ/ライトリーズン</v>
      </c>
      <c r="V2219" s="8" t="str">
        <f>IFERROR(__xludf.DUMMYFUNCTION("""COMPUTED_VALUE"""),"幼い頃、家族を奪われ領地を追放された令嬢ステラ。
使用人と亡命の最中、ステラ達を偶然救ったのは領地を奪った本人であるシュヴェフ伯爵だった。
そのまま父の仇であるシュヴェフ家の屋敷に身を寄せる事になったステラは素性を隠し復讐を目論むが…
シュヴェフ家の嫡男、伯爵子息のミシェルに懐かれてしまう。
甘えん坊で少し頼りないミシェルの世話役を任される事になってしまうステラ。
そして仇であるはずの伯爵にまるで本当の家族のように大事に溺愛され育てられる事に…
大人になるにつれ共に過ごした伯爵"&amp;"やミシェルが家族の様に大事な存在になってしまったステラは、
復讐を諦めミシェルの社交界デビューと婚約を機に屋敷を出ていく事を決意する。
一人で生きていく事を決意したステラだったが社交界デビューのパーティの夜ミシェルに呼び止められ、ミシェルの目を見て話しているうちに意識を失う。
次に目覚めた時、身に覚えのないドレスに着替えさせられ見知らぬ屋敷へ連れ込まれていた。
ステラが屋敷を出ていき自分から離れる事を予知していたミシェルはステラの自由を奪いまだ穢れを知らない無垢な身体を暴き、侵略してい"&amp;"く。
そうして『夫婦』二人だけの屋敷で快楽に染まった”花嫁”監禁調教の日々が始まった―――
サークル:Yatomomin(やともみん)
原案・作画:山本ともみつ(@Yatomomin)
シナリオ協力:ワキタゴジョー
pixiv:https://www.pixiv.net/users/9182871
【30ページ】")</f>
        <v>幼い頃、家族を奪われ領地を追放された令嬢ステラ。
使用人と亡命の最中、ステラ達を偶然救ったのは領地を奪った本人であるシュヴェフ伯爵だった。
そのまま父の仇であるシュヴェフ家の屋敷に身を寄せる事になったステラは素性を隠し復讐を目論むが…
シュヴェフ家の嫡男、伯爵子息のミシェルに懐かれてしまう。
甘えん坊で少し頼りないミシェルの世話役を任される事になってしまうステラ。
そして仇であるはずの伯爵にまるで本当の家族のように大事に溺愛され育てられる事に…
大人になるにつれ共に過ごした伯爵やミシェルが家族の様に大事な存在になってしまったステラは、
復讐を諦めミシェルの社交界デビューと婚約を機に屋敷を出ていく事を決意する。
一人で生きていく事を決意したステラだったが社交界デビューのパーティの夜ミシェルに呼び止められ、ミシェルの目を見て話しているうちに意識を失う。
次に目覚めた時、身に覚えのないドレスに着替えさせられ見知らぬ屋敷へ連れ込まれていた。
ステラが屋敷を出ていき自分から離れる事を予知していたミシェルはステラの自由を奪いまだ穢れを知らない無垢な身体を暴き、侵略していく。
そうして『夫婦』二人だけの屋敷で快楽に染まった”花嫁”監禁調教の日々が始まった―――
サークル:Yatomomin(やともみん)
原案・作画:山本ともみつ(@Yatomomin)
シナリオ協力:ワキタゴジョー
pixiv:https://www.pixiv.net/users/9182871
【30ページ】</v>
      </c>
      <c r="W2219" s="14"/>
      <c r="X2219" s="14" t="str">
        <f>IFERROR(__xludf.DUMMYFUNCTION("""COMPUTED_VALUE"""),"有")</f>
        <v>有</v>
      </c>
      <c r="Y2219" s="8" t="str">
        <f>IFERROR(__xludf.DUMMYFUNCTION("""COMPUTED_VALUE"""),"P5まで")</f>
        <v>P5まで</v>
      </c>
      <c r="Z2219" s="7"/>
      <c r="AA2219" s="7"/>
      <c r="AB2219" s="7"/>
    </row>
    <row r="2220" ht="15.75" customHeight="1">
      <c r="A2220" s="66">
        <f>IFERROR(__xludf.DUMMYFUNCTION("""COMPUTED_VALUE"""),4131.0)</f>
        <v>4131</v>
      </c>
      <c r="B2220" s="75" t="str">
        <f>IFERROR(__xludf.DUMMYFUNCTION("""COMPUTED_VALUE"""),"確定")</f>
        <v>確定</v>
      </c>
      <c r="C2220" s="68">
        <f>IFERROR(__xludf.DUMMYFUNCTION("""COMPUTED_VALUE"""),45548.0)</f>
        <v>45548</v>
      </c>
      <c r="D2220" s="68">
        <f>IFERROR(__xludf.DUMMYFUNCTION("""COMPUTED_VALUE"""),45574.0)</f>
        <v>45574</v>
      </c>
      <c r="E2220" s="60">
        <f>IFERROR(__xludf.DUMMYFUNCTION("""COMPUTED_VALUE"""),306366.0)</f>
        <v>306366</v>
      </c>
      <c r="F2220" s="60" t="str">
        <f>IFERROR(__xludf.DUMMYFUNCTION("""COMPUTED_VALUE"""),"私サキュバス、勇者の性処理担当になりました　【分冊版】")</f>
        <v>私サキュバス、勇者の性処理担当になりました　【分冊版】</v>
      </c>
      <c r="G2220" s="67" t="str">
        <f>IFERROR(__xludf.DUMMYFUNCTION("""COMPUTED_VALUE"""),"1～2")</f>
        <v>1～2</v>
      </c>
      <c r="H2220" s="75" t="str">
        <f>IFERROR(__xludf.DUMMYFUNCTION("""COMPUTED_VALUE"""),"私屋カヲル")</f>
        <v>私屋カヲル</v>
      </c>
      <c r="I2220" s="75" t="str">
        <f>IFERROR(__xludf.DUMMYFUNCTION("""COMPUTED_VALUE"""),"青年")</f>
        <v>青年</v>
      </c>
      <c r="J2220" s="75"/>
      <c r="K2220" s="75"/>
      <c r="L2220" s="75" t="str">
        <f>IFERROR(__xludf.DUMMYFUNCTION("""COMPUTED_VALUE"""),"一迅社")</f>
        <v>一迅社</v>
      </c>
      <c r="M2220" s="94">
        <f>IFERROR(__xludf.DUMMYFUNCTION("""COMPUTED_VALUE"""),45623.0)</f>
        <v>45623</v>
      </c>
      <c r="N2220" s="94">
        <f>IFERROR(__xludf.DUMMYFUNCTION("""COMPUTED_VALUE"""),45652.0)</f>
        <v>45652</v>
      </c>
      <c r="O2220" s="75"/>
      <c r="P2220" s="80" t="str">
        <f>IFERROR(__xludf.DUMMYFUNCTION("""COMPUTED_VALUE"""),"可")</f>
        <v>可</v>
      </c>
      <c r="Q2220" s="75" t="str">
        <f>IFERROR(__xludf.DUMMYFUNCTION("""COMPUTED_VALUE"""),"・アンソロジーのばら売り、全2話です&lt;BR&gt;・レーベルはREXです&lt;BR&gt;・アニメ化実績もある先生とのことです")</f>
        <v>・アンソロジーのばら売り、全2話です&lt;BR&gt;・レーベルはREXです&lt;BR&gt;・アニメ化実績もある先生とのことです</v>
      </c>
      <c r="R2220" s="75" t="str">
        <f>IFERROR(__xludf.DUMMYFUNCTION("""COMPUTED_VALUE"""),"広告コミットOK（9/13）")</f>
        <v>広告コミットOK（9/13）</v>
      </c>
      <c r="S2220" s="75" t="str">
        <f>IFERROR(__xludf.DUMMYFUNCTION("""COMPUTED_VALUE"""),"20240913_一迅社_私サキュバス、勇者の性担当になりました（旧：サキュバスのメイドさん）")</f>
        <v>20240913_一迅社_私サキュバス、勇者の性担当になりました（旧：サキュバスのメイドさん）</v>
      </c>
      <c r="T2220" s="75" t="str">
        <f>IFERROR(__xludf.DUMMYFUNCTION("""COMPUTED_VALUE"""),"格納済み")</f>
        <v>格納済み</v>
      </c>
      <c r="U2220" s="15" t="str">
        <f>IFERROR(__xludf.DUMMYFUNCTION("""COMPUTED_VALUE"""),"(C)私屋カヲル／一迅社")</f>
        <v>(C)私屋カヲル／一迅社</v>
      </c>
      <c r="V2220" s="8" t="str">
        <f>IFERROR(__xludf.DUMMYFUNCTION("""COMPUTED_VALUE"""),"”性的絶頂”スキルを持つ童貞勇者・ハイトは血筋から恋愛を禁止され、性欲を持て余していた。彼に仕える処女メイドサキュバス・Qもメイド長に貞操帯を管理されて自慰もできず、性の渇望とハイトへの恋心に悶々としていた。たがいに意識して密かに欲情し合う二人だが、ハイトの縁談を機に関係に変化が訪れて――!?自慰、レズ、お仕置き、筆おろし＆処女喪失、ラブラブセックス。ご褒美シーン満載の純愛ラブコメディ！！（※この作品は『チート×セックスアンソロジーコミック』に収録された作品「サキュバスのメイドさん」と同様の内容となります"&amp;"。重複購入にご注意ください。）")</f>
        <v>”性的絶頂”スキルを持つ童貞勇者・ハイトは血筋から恋愛を禁止され、性欲を持て余していた。彼に仕える処女メイドサキュバス・Qもメイド長に貞操帯を管理されて自慰もできず、性の渇望とハイトへの恋心に悶々としていた。たがいに意識して密かに欲情し合う二人だが、ハイトの縁談を機に関係に変化が訪れて――!?自慰、レズ、お仕置き、筆おろし＆処女喪失、ラブラブセックス。ご褒美シーン満載の純愛ラブコメディ！！（※この作品は『チート×セックスアンソロジーコミック』に収録された作品「サキュバスのメイドさん」と同様の内容となります。重複購入にご注意ください。）</v>
      </c>
      <c r="W2220" s="14"/>
      <c r="X2220" s="14" t="str">
        <f>IFERROR(__xludf.DUMMYFUNCTION("""COMPUTED_VALUE"""),"有")</f>
        <v>有</v>
      </c>
      <c r="Y2220" s="8" t="str">
        <f>IFERROR(__xludf.DUMMYFUNCTION("""COMPUTED_VALUE"""),"2024/12/26まで立ち読み増量P17まで")</f>
        <v>2024/12/26まで立ち読み増量P17まで</v>
      </c>
      <c r="Z2220" s="7"/>
      <c r="AA2220" s="7"/>
      <c r="AB2220" s="7"/>
    </row>
    <row r="2221" ht="15.75" customHeight="1">
      <c r="A2221" s="66">
        <f>IFERROR(__xludf.DUMMYFUNCTION("""COMPUTED_VALUE"""),4161.0)</f>
        <v>4161</v>
      </c>
      <c r="B2221" s="75" t="str">
        <f>IFERROR(__xludf.DUMMYFUNCTION("""COMPUTED_VALUE"""),"確定")</f>
        <v>確定</v>
      </c>
      <c r="C2221" s="68">
        <f>IFERROR(__xludf.DUMMYFUNCTION("""COMPUTED_VALUE"""),45554.0)</f>
        <v>45554</v>
      </c>
      <c r="D2221" s="68">
        <f>IFERROR(__xludf.DUMMYFUNCTION("""COMPUTED_VALUE"""),45574.0)</f>
        <v>45574</v>
      </c>
      <c r="E2221" s="60">
        <f>IFERROR(__xludf.DUMMYFUNCTION("""COMPUTED_VALUE"""),306937.0)</f>
        <v>306937</v>
      </c>
      <c r="F2221" s="60" t="str">
        <f>IFERROR(__xludf.DUMMYFUNCTION("""COMPUTED_VALUE"""),"虐げられの魔術師令嬢は、『氷狼宰相』様に溺愛される")</f>
        <v>虐げられの魔術師令嬢は、『氷狼宰相』様に溺愛される</v>
      </c>
      <c r="G2221" s="67" t="str">
        <f>IFERROR(__xludf.DUMMYFUNCTION("""COMPUTED_VALUE"""),"1～3")</f>
        <v>1～3</v>
      </c>
      <c r="H2221" s="75" t="str">
        <f>IFERROR(__xludf.DUMMYFUNCTION("""COMPUTED_VALUE"""),"くろこだわに/水垣するめ")</f>
        <v>くろこだわに/水垣するめ</v>
      </c>
      <c r="I2221" s="75" t="str">
        <f>IFERROR(__xludf.DUMMYFUNCTION("""COMPUTED_VALUE"""),"少女")</f>
        <v>少女</v>
      </c>
      <c r="J2221" s="75"/>
      <c r="K2221" s="75"/>
      <c r="L2221" s="75" t="str">
        <f>IFERROR(__xludf.DUMMYFUNCTION("""COMPUTED_VALUE"""),"マガジンハウス")</f>
        <v>マガジンハウス</v>
      </c>
      <c r="M2221" s="59">
        <f>IFERROR(__xludf.DUMMYFUNCTION("""COMPUTED_VALUE"""),45600.0)</f>
        <v>45600</v>
      </c>
      <c r="N2221" s="47">
        <f>IFERROR(__xludf.DUMMYFUNCTION("""COMPUTED_VALUE"""),45662.0)</f>
        <v>45662</v>
      </c>
      <c r="O2221" s="75"/>
      <c r="P2221" s="80" t="str">
        <f>IFERROR(__xludf.DUMMYFUNCTION("""COMPUTED_VALUE"""),"否")</f>
        <v>否</v>
      </c>
      <c r="Q2221" s="75" t="str">
        <f>IFERROR(__xludf.DUMMYFUNCTION("""COMPUTED_VALUE"""),"・初回配信以後、毎月連載&lt;BR&gt;・最新話はすべて独占2カ月")</f>
        <v>・初回配信以後、毎月連載&lt;BR&gt;・最新話はすべて独占2カ月</v>
      </c>
      <c r="R2221" s="75" t="str">
        <f>IFERROR(__xludf.DUMMYFUNCTION("""COMPUTED_VALUE"""),"広告コミットOK(9/20)。")</f>
        <v>広告コミットOK(9/20)。</v>
      </c>
      <c r="S2221" s="75" t="str">
        <f>IFERROR(__xludf.DUMMYFUNCTION("""COMPUTED_VALUE"""),"20241003_マガジンハウス_虐げられの魔術師令嬢は、『氷狼宰相』様に溺愛される")</f>
        <v>20241003_マガジンハウス_虐げられの魔術師令嬢は、『氷狼宰相』様に溺愛される</v>
      </c>
      <c r="T2221" s="75" t="str">
        <f>IFERROR(__xludf.DUMMYFUNCTION("""COMPUTED_VALUE"""),"格納済み")</f>
        <v>格納済み</v>
      </c>
      <c r="U2221" s="15" t="str">
        <f>IFERROR(__xludf.DUMMYFUNCTION("""COMPUTED_VALUE"""),"(C)くろこだわに/水垣するめ/マガジンハウス")</f>
        <v>(C)くろこだわに/水垣するめ/マガジンハウス</v>
      </c>
      <c r="V2221" s="8" t="str">
        <f>IFERROR(__xludf.DUMMYFUNCTION("""COMPUTED_VALUE"""),"【不遇で努力家な侯爵令嬢は溺愛され、自らの価値を知ってゆく－－】
侯爵令嬢のソフィアは、第二王子のデルムと婚約中。
ふたりは同じ王立魔術研究所に属していたが、ソフィアは婚約者としてデルムに仕事を押し付けられていた。
ある日ソフィアは新しい魔術を発明したが、デルムがその魔術の論文を盗み、自分の魔術として登録してしまう。ソフィアは魔術の権利を返してほしいと訴えたが、デルムは聞かない。それどころか、「お前は俺が魔術を盗んだと嘘をついた！」と主張する始末。
新しい魔術を発明したデルムは天才として研"&amp;"究所の中でもてはやされ、逆にソフィアは研究成果を全く出さない【無能】として蔑まれるようになった。
ソフィアの研究者としての信頼は失墜し、ひとつしかない大切な研究室もデルムに奪われてしまう。
さらにデルムは、「お前のような無能は婚約者としてふさわしくない」と、ソフィアとの婚約破棄を宣言する。
すべてを失ったソフィアは失意の中屋敷へ帰ってゆく。
だが、ソフィアはとあるきっかけから、氷のように冷たい事から『氷狼宰相』と呼ばれているレオ・サントリナと婚約することになる。
氷狼宰相と呼ばれるレ"&amp;"オだが、実は心根が優しく、不器用なだけ。レオに愛され、ソフィアは順調に研究者として成功していく。
一方でデルムは落ちぶれていくことになり……。")</f>
        <v>【不遇で努力家な侯爵令嬢は溺愛され、自らの価値を知ってゆく－－】
侯爵令嬢のソフィアは、第二王子のデルムと婚約中。
ふたりは同じ王立魔術研究所に属していたが、ソフィアは婚約者としてデルムに仕事を押し付けられていた。
ある日ソフィアは新しい魔術を発明したが、デルムがその魔術の論文を盗み、自分の魔術として登録してしまう。ソフィアは魔術の権利を返してほしいと訴えたが、デルムは聞かない。それどころか、「お前は俺が魔術を盗んだと嘘をついた！」と主張する始末。
新しい魔術を発明したデルムは天才として研究所の中でもてはやされ、逆にソフィアは研究成果を全く出さない【無能】として蔑まれるようになった。
ソフィアの研究者としての信頼は失墜し、ひとつしかない大切な研究室もデルムに奪われてしまう。
さらにデルムは、「お前のような無能は婚約者としてふさわしくない」と、ソフィアとの婚約破棄を宣言する。
すべてを失ったソフィアは失意の中屋敷へ帰ってゆく。
だが、ソフィアはとあるきっかけから、氷のように冷たい事から『氷狼宰相』と呼ばれているレオ・サントリナと婚約することになる。
氷狼宰相と呼ばれるレオだが、実は心根が優しく、不器用なだけ。レオに愛され、ソフィアは順調に研究者として成功していく。
一方でデルムは落ちぶれていくことになり……。</v>
      </c>
      <c r="W2221" s="14"/>
      <c r="X2221" s="14" t="str">
        <f>IFERROR(__xludf.DUMMYFUNCTION("""COMPUTED_VALUE"""),"有")</f>
        <v>有</v>
      </c>
      <c r="Y2221" s="8" t="str">
        <f>IFERROR(__xludf.DUMMYFUNCTION("""COMPUTED_VALUE"""),"2025/1/5まで
・1巻無料
・2巻立ち読み増量P16まで")</f>
        <v>2025/1/5まで
・1巻無料
・2巻立ち読み増量P16まで</v>
      </c>
      <c r="Z2221" s="7"/>
      <c r="AA2221" s="7"/>
      <c r="AB2221" s="7"/>
    </row>
    <row r="2222" ht="15.75" customHeight="1">
      <c r="A2222" s="66">
        <f>IFERROR(__xludf.DUMMYFUNCTION("""COMPUTED_VALUE"""),4178.0)</f>
        <v>4178</v>
      </c>
      <c r="B2222" s="75" t="str">
        <f>IFERROR(__xludf.DUMMYFUNCTION("""COMPUTED_VALUE"""),"確定")</f>
        <v>確定</v>
      </c>
      <c r="C2222" s="68">
        <f>IFERROR(__xludf.DUMMYFUNCTION("""COMPUTED_VALUE"""),45555.0)</f>
        <v>45555</v>
      </c>
      <c r="D2222" s="68">
        <f>IFERROR(__xludf.DUMMYFUNCTION("""COMPUTED_VALUE"""),45574.0)</f>
        <v>45574</v>
      </c>
      <c r="E2222" s="60">
        <f>IFERROR(__xludf.DUMMYFUNCTION("""COMPUTED_VALUE"""),305157.0)</f>
        <v>305157</v>
      </c>
      <c r="F2222" s="60" t="str">
        <f>IFERROR(__xludf.DUMMYFUNCTION("""COMPUTED_VALUE"""),"僕の彼女はNTRているのだろうか")</f>
        <v>僕の彼女はNTRているのだろうか</v>
      </c>
      <c r="G2222" s="67" t="str">
        <f>IFERROR(__xludf.DUMMYFUNCTION("""COMPUTED_VALUE"""),"1～3")</f>
        <v>1～3</v>
      </c>
      <c r="H2222" s="75" t="str">
        <f>IFERROR(__xludf.DUMMYFUNCTION("""COMPUTED_VALUE"""),"漫画：井口千太郎・原作：田中静人／テラーノベル")</f>
        <v>漫画：井口千太郎・原作：田中静人／テラーノベル</v>
      </c>
      <c r="I2222" s="75" t="str">
        <f>IFERROR(__xludf.DUMMYFUNCTION("""COMPUTED_VALUE"""),"青年")</f>
        <v>青年</v>
      </c>
      <c r="J2222" s="75"/>
      <c r="K2222" s="75"/>
      <c r="L2222" s="75" t="str">
        <f>IFERROR(__xludf.DUMMYFUNCTION("""COMPUTED_VALUE"""),"グループ・ゼロ")</f>
        <v>グループ・ゼロ</v>
      </c>
      <c r="M2222" s="59">
        <f>IFERROR(__xludf.DUMMYFUNCTION("""COMPUTED_VALUE"""),45597.0)</f>
        <v>45597</v>
      </c>
      <c r="N2222" s="47">
        <f>IFERROR(__xludf.DUMMYFUNCTION("""COMPUTED_VALUE"""),45658.0)</f>
        <v>45658</v>
      </c>
      <c r="O2222" s="75"/>
      <c r="P2222" s="71" t="str">
        <f>IFERROR(__xludf.DUMMYFUNCTION("""COMPUTED_VALUE"""),"可")</f>
        <v>可</v>
      </c>
      <c r="Q2222" s="75"/>
      <c r="R2222" s="75" t="str">
        <f>IFERROR(__xludf.DUMMYFUNCTION("""COMPUTED_VALUE"""),"広告コミットOK(9/30)")</f>
        <v>広告コミットOK(9/30)</v>
      </c>
      <c r="S2222" s="75" t="str">
        <f>IFERROR(__xludf.DUMMYFUNCTION("""COMPUTED_VALUE"""),"20241004_グループ・ゼロ_僕の彼女はNTRているのだろうか")</f>
        <v>20241004_グループ・ゼロ_僕の彼女はNTRているのだろうか</v>
      </c>
      <c r="T2222" s="75" t="str">
        <f>IFERROR(__xludf.DUMMYFUNCTION("""COMPUTED_VALUE"""),"格納済み")</f>
        <v>格納済み</v>
      </c>
      <c r="U2222" s="15" t="str">
        <f>IFERROR(__xludf.DUMMYFUNCTION("""COMPUTED_VALUE"""),"(C)井口千太郎／田中静人／テラーノベル／グループ・ゼロ")</f>
        <v>(C)井口千太郎／田中静人／テラーノベル／グループ・ゼロ</v>
      </c>
      <c r="V2222" s="8" t="str">
        <f>IFERROR(__xludf.DUMMYFUNCTION("""COMPUTED_VALUE"""),"「ごめんなさい、健一くん…私は今日…最低なことをします」――健一には清楚で可愛くて巨乳、おまけにオタク趣味がある自慢の彼女、楓香がいる。 しかし、彼女の様子が最近おかしい。ここ数日一緒に帰ってくれなくなった。「まさか僕以外の男と会ってる！？」彼女に浮気の疑念を抱き始めた健一だが・・・果たして彼女は誰かにNTR（寝取られ）ているのだろうか！？――僕は彼女を信じてる！")</f>
        <v>「ごめんなさい、健一くん…私は今日…最低なことをします」――健一には清楚で可愛くて巨乳、おまけにオタク趣味がある自慢の彼女、楓香がいる。 しかし、彼女の様子が最近おかしい。ここ数日一緒に帰ってくれなくなった。「まさか僕以外の男と会ってる！？」彼女に浮気の疑念を抱き始めた健一だが・・・果たして彼女は誰かにNTR（寝取られ）ているのだろうか！？――僕は彼女を信じてる！</v>
      </c>
      <c r="W2222" s="14"/>
      <c r="X2222" s="14" t="str">
        <f>IFERROR(__xludf.DUMMYFUNCTION("""COMPUTED_VALUE"""),"有")</f>
        <v>有</v>
      </c>
      <c r="Y2222" s="8" t="str">
        <f>IFERROR(__xludf.DUMMYFUNCTION("""COMPUTED_VALUE"""),"2025/1/1まで1巻無料")</f>
        <v>2025/1/1まで1巻無料</v>
      </c>
      <c r="Z2222" s="7"/>
      <c r="AA2222" s="7"/>
      <c r="AB2222" s="7"/>
    </row>
    <row r="2223" ht="15.75" customHeight="1">
      <c r="A2223" s="66">
        <f>IFERROR(__xludf.DUMMYFUNCTION("""COMPUTED_VALUE"""),4183.0)</f>
        <v>4183</v>
      </c>
      <c r="B2223" s="75" t="str">
        <f>IFERROR(__xludf.DUMMYFUNCTION("""COMPUTED_VALUE"""),"確定")</f>
        <v>確定</v>
      </c>
      <c r="C2223" s="68">
        <f>IFERROR(__xludf.DUMMYFUNCTION("""COMPUTED_VALUE"""),45559.0)</f>
        <v>45559</v>
      </c>
      <c r="D2223" s="68">
        <f>IFERROR(__xludf.DUMMYFUNCTION("""COMPUTED_VALUE"""),45573.0)</f>
        <v>45573</v>
      </c>
      <c r="E2223" s="100">
        <f>IFERROR(__xludf.DUMMYFUNCTION("""COMPUTED_VALUE"""),299068.0)</f>
        <v>299068</v>
      </c>
      <c r="F2223" s="60" t="str">
        <f>IFERROR(__xludf.DUMMYFUNCTION("""COMPUTED_VALUE"""),"男友達とホテルに行ってみた")</f>
        <v>男友達とホテルに行ってみた</v>
      </c>
      <c r="G2223" s="67" t="str">
        <f>IFERROR(__xludf.DUMMYFUNCTION("""COMPUTED_VALUE"""),"1～4")</f>
        <v>1～4</v>
      </c>
      <c r="H2223" s="75" t="str">
        <f>IFERROR(__xludf.DUMMYFUNCTION("""COMPUTED_VALUE"""),"深海ゆゆ")</f>
        <v>深海ゆゆ</v>
      </c>
      <c r="I2223" s="75" t="str">
        <f>IFERROR(__xludf.DUMMYFUNCTION("""COMPUTED_VALUE"""),"女性")</f>
        <v>女性</v>
      </c>
      <c r="J2223" s="75"/>
      <c r="K2223" s="75"/>
      <c r="L2223" s="75" t="str">
        <f>IFERROR(__xludf.DUMMYFUNCTION("""COMPUTED_VALUE"""),"シーモアコミックス")</f>
        <v>シーモアコミックス</v>
      </c>
      <c r="M2223" s="94">
        <f>IFERROR(__xludf.DUMMYFUNCTION("""COMPUTED_VALUE"""),45591.0)</f>
        <v>45591</v>
      </c>
      <c r="N2223" s="47">
        <f>IFERROR(__xludf.DUMMYFUNCTION("""COMPUTED_VALUE"""),45743.0)</f>
        <v>45743</v>
      </c>
      <c r="O2223" s="75"/>
      <c r="P2223" s="80" t="str">
        <f>IFERROR(__xludf.DUMMYFUNCTION("""COMPUTED_VALUE"""),"可")</f>
        <v>可</v>
      </c>
      <c r="Q2223" s="72" t="str">
        <f>IFERROR(__xludf.DUMMYFUNCTION("""COMPUTED_VALUE"""),"レーベル：スキして?桃色日記")</f>
        <v>レーベル：スキして?桃色日記</v>
      </c>
      <c r="R2223" s="75"/>
      <c r="S2223" s="75" t="str">
        <f>IFERROR(__xludf.DUMMYFUNCTION("""COMPUTED_VALUE"""),"20241004_シーモアコミックス_男友達とホテルに行ってみた")</f>
        <v>20241004_シーモアコミックス_男友達とホテルに行ってみた</v>
      </c>
      <c r="T2223" s="75" t="str">
        <f>IFERROR(__xludf.DUMMYFUNCTION("""COMPUTED_VALUE"""),"格納済み")</f>
        <v>格納済み</v>
      </c>
      <c r="U2223" s="15" t="str">
        <f>IFERROR(__xludf.DUMMYFUNCTION("""COMPUTED_VALUE"""),"© 深海ゆゆ/シーモアコミックス")</f>
        <v>© 深海ゆゆ/シーモアコミックス</v>
      </c>
      <c r="V2223" s="8" t="str">
        <f>IFERROR(__xludf.DUMMYFUNCTION("""COMPUTED_VALUE"""),"世界で一番遠いアンタを…私は知りたい――。
ちょっぴり世間ずれした少女・花純（かすみ）のことを子供の頃からずっとそばで見守ってきた蛍（けい）。高校3年、花純の18歳の誕生日、花純のあるカン違いから2人はラブホテルへ…!? 花純への想いが溢れ出てしまう蛍、それを受け止められない花純。それ以来、2人は口をきかなくなってしまう。そして2年後、地元を離れ大学生になった2人は再会して――!?
普段はクールでイケメンな蛍なのに、天然少女・花純の斜め上な言動にいつも振り回されてしまうのは惚れたサガ!! ずっ"&amp;"と友達だった2人の関係がどう進展していくのか？ 王道胸きゅんシーンも満載な、ときめき必至の新感覚じれキュンラブコメです☆【桃色日記】")</f>
        <v>世界で一番遠いアンタを…私は知りたい――。
ちょっぴり世間ずれした少女・花純（かすみ）のことを子供の頃からずっとそばで見守ってきた蛍（けい）。高校3年、花純の18歳の誕生日、花純のあるカン違いから2人はラブホテルへ…!? 花純への想いが溢れ出てしまう蛍、それを受け止められない花純。それ以来、2人は口をきかなくなってしまう。そして2年後、地元を離れ大学生になった2人は再会して――!?
普段はクールでイケメンな蛍なのに、天然少女・花純の斜め上な言動にいつも振り回されてしまうのは惚れたサガ!! ずっと友達だった2人の関係がどう進展していくのか？ 王道胸きゅんシーンも満載な、ときめき必至の新感覚じれキュンラブコメです☆【桃色日記】</v>
      </c>
      <c r="W2223" s="14"/>
      <c r="X2223" s="14" t="str">
        <f>IFERROR(__xludf.DUMMYFUNCTION("""COMPUTED_VALUE"""),"有")</f>
        <v>有</v>
      </c>
      <c r="Y2223" s="8" t="str">
        <f>IFERROR(__xludf.DUMMYFUNCTION("""COMPUTED_VALUE"""),"2024/11/22まで1巻無料")</f>
        <v>2024/11/22まで1巻無料</v>
      </c>
      <c r="Z2223" s="7"/>
      <c r="AA2223" s="7"/>
      <c r="AB2223" s="7"/>
    </row>
    <row r="2224" ht="15.75" customHeight="1">
      <c r="A2224" s="66">
        <f>IFERROR(__xludf.DUMMYFUNCTION("""COMPUTED_VALUE"""),4200.0)</f>
        <v>4200</v>
      </c>
      <c r="B2224" s="75" t="str">
        <f>IFERROR(__xludf.DUMMYFUNCTION("""COMPUTED_VALUE"""),"確定")</f>
        <v>確定</v>
      </c>
      <c r="C2224" s="68">
        <f>IFERROR(__xludf.DUMMYFUNCTION("""COMPUTED_VALUE"""),45565.0)</f>
        <v>45565</v>
      </c>
      <c r="D2224" s="68">
        <f>IFERROR(__xludf.DUMMYFUNCTION("""COMPUTED_VALUE"""),45574.0)</f>
        <v>45574</v>
      </c>
      <c r="E2224" s="60">
        <f>IFERROR(__xludf.DUMMYFUNCTION("""COMPUTED_VALUE"""),305158.0)</f>
        <v>305158</v>
      </c>
      <c r="F2224" s="60" t="str">
        <f>IFERROR(__xludf.DUMMYFUNCTION("""COMPUTED_VALUE"""),"円環のラパン【分冊版】")</f>
        <v>円環のラパン【分冊版】</v>
      </c>
      <c r="G2224" s="67" t="str">
        <f>IFERROR(__xludf.DUMMYFUNCTION("""COMPUTED_VALUE"""),"1～5")</f>
        <v>1～5</v>
      </c>
      <c r="H2224" s="75" t="str">
        <f>IFERROR(__xludf.DUMMYFUNCTION("""COMPUTED_VALUE"""),"真田しろ")</f>
        <v>真田しろ</v>
      </c>
      <c r="I2224" s="75" t="str">
        <f>IFERROR(__xludf.DUMMYFUNCTION("""COMPUTED_VALUE"""),"女性")</f>
        <v>女性</v>
      </c>
      <c r="J2224" s="75"/>
      <c r="K2224" s="75"/>
      <c r="L2224" s="75" t="str">
        <f>IFERROR(__xludf.DUMMYFUNCTION("""COMPUTED_VALUE"""),"マッグガーデン")</f>
        <v>マッグガーデン</v>
      </c>
      <c r="M2224" s="59">
        <f>IFERROR(__xludf.DUMMYFUNCTION("""COMPUTED_VALUE"""),45597.0)</f>
        <v>45597</v>
      </c>
      <c r="N2224" s="59">
        <f>IFERROR(__xludf.DUMMYFUNCTION("""COMPUTED_VALUE"""),45671.0)</f>
        <v>45671</v>
      </c>
      <c r="O2224" s="75"/>
      <c r="P2224" s="80" t="str">
        <f>IFERROR(__xludf.DUMMYFUNCTION("""COMPUTED_VALUE"""),"可")</f>
        <v>可</v>
      </c>
      <c r="Q2224" s="75" t="str">
        <f>IFERROR(__xludf.DUMMYFUNCTION("""COMPUTED_VALUE"""),"「約束のネバーランド」の世界観でかなり惹きこまれます。&lt;BR&gt;ぜひよろしくお願いします。&lt;BR&gt;★素材について&lt;BR&gt;1～4話を格納しておりますが、1話目分割するのでシーモアでの1～5巻相当になります。&lt;BR&gt;▼補足&lt;BR&gt;MAGKANにてバズった読み切りの連載版になります。&lt;BR&gt;・読み切り時にバズった作者様のポスト&lt;BR&gt;https://x.com/sanada_46/status/1650806671843946496&lt;BR&gt;・上記に伴い取材いただいた記事&lt;BR&gt;https://thetv.jp/n"&amp;"ews/detail/1139367/")</f>
        <v>「約束のネバーランド」の世界観でかなり惹きこまれます。&lt;BR&gt;ぜひよろしくお願いします。&lt;BR&gt;★素材について&lt;BR&gt;1～4話を格納しておりますが、1話目分割するのでシーモアでの1～5巻相当になります。&lt;BR&gt;▼補足&lt;BR&gt;MAGKANにてバズった読み切りの連載版になります。&lt;BR&gt;・読み切り時にバズった作者様のポスト&lt;BR&gt;https://x.com/sanada_46/status/1650806671843946496&lt;BR&gt;・上記に伴い取材いただいた記事&lt;BR&gt;https://thetv.jp/news/detail/1139367/</v>
      </c>
      <c r="R2224" s="75" t="str">
        <f>IFERROR(__xludf.DUMMYFUNCTION("""COMPUTED_VALUE"""),"広告コミットOK(10/1）")</f>
        <v>広告コミットOK(10/1）</v>
      </c>
      <c r="S2224" s="75" t="str">
        <f>IFERROR(__xludf.DUMMYFUNCTION("""COMPUTED_VALUE"""),"20241007_マッグガーデン_円環のラパン")</f>
        <v>20241007_マッグガーデン_円環のラパン</v>
      </c>
      <c r="T2224" s="75" t="str">
        <f>IFERROR(__xludf.DUMMYFUNCTION("""COMPUTED_VALUE"""),"格納済み")</f>
        <v>格納済み</v>
      </c>
      <c r="U2224" s="15" t="str">
        <f>IFERROR(__xludf.DUMMYFUNCTION("""COMPUTED_VALUE"""),"(C)Shiro Sanada/MAG Garden")</f>
        <v>(C)Shiro Sanada/MAG Garden</v>
      </c>
      <c r="V2224" s="8" t="str">
        <f>IFERROR(__xludf.DUMMYFUNCTION("""COMPUTED_VALUE"""),"SNS上で話題を集めた“兔×箱庭×ダークファンタジー”待望の連載化!! 白い耳、青白い肌、赤い目…兎のテディはその姿の違いから孤児院で除け者にされていた。ある日、父と名乗る者からの手紙に誘われたのは不思議な洋館。そこで自分の姿と同じ特徴を持つアデルと出逢い…。【第1話前編収録】
ジャンル
：")</f>
        <v>SNS上で話題を集めた“兔×箱庭×ダークファンタジー”待望の連載化!! 白い耳、青白い肌、赤い目…兎のテディはその姿の違いから孤児院で除け者にされていた。ある日、父と名乗る者からの手紙に誘われたのは不思議な洋館。そこで自分の姿と同じ特徴を持つアデルと出逢い…。【第1話前編収録】
ジャンル
：</v>
      </c>
      <c r="W2224" s="14"/>
      <c r="X2224" s="14" t="str">
        <f>IFERROR(__xludf.DUMMYFUNCTION("""COMPUTED_VALUE"""),"有")</f>
        <v>有</v>
      </c>
      <c r="Y2224" s="8" t="str">
        <f>IFERROR(__xludf.DUMMYFUNCTION("""COMPUTED_VALUE"""),"2025/1/14まで1巻無料")</f>
        <v>2025/1/14まで1巻無料</v>
      </c>
      <c r="Z2224" s="7"/>
      <c r="AA2224" s="7"/>
      <c r="AB2224" s="7"/>
    </row>
    <row r="2225" ht="15.75" customHeight="1">
      <c r="A2225" s="66">
        <f>IFERROR(__xludf.DUMMYFUNCTION("""COMPUTED_VALUE"""),4202.0)</f>
        <v>4202</v>
      </c>
      <c r="B2225" s="75" t="str">
        <f>IFERROR(__xludf.DUMMYFUNCTION("""COMPUTED_VALUE"""),"確定")</f>
        <v>確定</v>
      </c>
      <c r="C2225" s="68">
        <f>IFERROR(__xludf.DUMMYFUNCTION("""COMPUTED_VALUE"""),45565.0)</f>
        <v>45565</v>
      </c>
      <c r="D2225" s="68">
        <f>IFERROR(__xludf.DUMMYFUNCTION("""COMPUTED_VALUE"""),45574.0)</f>
        <v>45574</v>
      </c>
      <c r="E2225" s="100">
        <f>IFERROR(__xludf.DUMMYFUNCTION("""COMPUTED_VALUE"""),291649.0)</f>
        <v>291649</v>
      </c>
      <c r="F2225" s="60" t="str">
        <f>IFERROR(__xludf.DUMMYFUNCTION("""COMPUTED_VALUE"""),"変態紳士と私、そして執着幼なじみ(フルカラー)")</f>
        <v>変態紳士と私、そして執着幼なじみ(フルカラー)</v>
      </c>
      <c r="G2225" s="67" t="str">
        <f>IFERROR(__xludf.DUMMYFUNCTION("""COMPUTED_VALUE"""),"1～4")</f>
        <v>1～4</v>
      </c>
      <c r="H2225" s="75" t="str">
        <f>IFERROR(__xludf.DUMMYFUNCTION("""COMPUTED_VALUE"""),"サイミナミトリ")</f>
        <v>サイミナミトリ</v>
      </c>
      <c r="I2225" s="75" t="str">
        <f>IFERROR(__xludf.DUMMYFUNCTION("""COMPUTED_VALUE"""),"女性")</f>
        <v>女性</v>
      </c>
      <c r="J2225" s="75"/>
      <c r="K2225" s="75"/>
      <c r="L2225" s="75" t="str">
        <f>IFERROR(__xludf.DUMMYFUNCTION("""COMPUTED_VALUE"""),"シーモアコミックス")</f>
        <v>シーモアコミックス</v>
      </c>
      <c r="M2225" s="59">
        <f>IFERROR(__xludf.DUMMYFUNCTION("""COMPUTED_VALUE"""),45598.0)</f>
        <v>45598</v>
      </c>
      <c r="N2225" s="59">
        <f>IFERROR(__xludf.DUMMYFUNCTION("""COMPUTED_VALUE"""),45659.0)</f>
        <v>45659</v>
      </c>
      <c r="O2225" s="75"/>
      <c r="P2225" s="80" t="str">
        <f>IFERROR(__xludf.DUMMYFUNCTION("""COMPUTED_VALUE"""),"可")</f>
        <v>可</v>
      </c>
      <c r="Q2225" s="72" t="str">
        <f>IFERROR(__xludf.DUMMYFUNCTION("""COMPUTED_VALUE"""),"レーベル：スキして?桃色日記&lt;BR&gt;")</f>
        <v>レーベル：スキして?桃色日記&lt;BR&gt;</v>
      </c>
      <c r="R2225" s="75"/>
      <c r="S2225" s="75" t="str">
        <f>IFERROR(__xludf.DUMMYFUNCTION("""COMPUTED_VALUE"""),"20241004_シーモアコミックス_変態紳士と私、そして執着幼なじみ（フルカラー）")</f>
        <v>20241004_シーモアコミックス_変態紳士と私、そして執着幼なじみ（フルカラー）</v>
      </c>
      <c r="T2225" s="75" t="str">
        <f>IFERROR(__xludf.DUMMYFUNCTION("""COMPUTED_VALUE"""),"格納済み")</f>
        <v>格納済み</v>
      </c>
      <c r="U2225" s="15" t="str">
        <f>IFERROR(__xludf.DUMMYFUNCTION("""COMPUTED_VALUE"""),"© サイミナミトリ/鶴山文化社/シーモアコミックス")</f>
        <v>© サイミナミトリ/鶴山文化社/シーモアコミックス</v>
      </c>
      <c r="V2225" s="8" t="str">
        <f>IFERROR(__xludf.DUMMYFUNCTION("""COMPUTED_VALUE"""),"やばい性癖のイケオジ＆執着幼なじみに、愛し愛され濃密トライアングル！
「本当に美しい足ですね」と優しく足に触れられ、『変態おじさん！』と思いながらも、イケオジ靴職人の篠原に恋してしまった葵。
そんなクセ強めな恋に悩み過ぎて、幼なじみの一臣に「私の足…触ってみない？」とうっかり言ってしまったら、足だけじゃ済まず押し倒されてしまい…!? じつは子供の時から葵に片思いしていた一臣は、篠原への嫉妬で、葵への執着愛が止められないーー!?
【本作品は他社より配信されていた「ハドメ」を改題し一部変更したもので"&amp;"す。重複購入にご注意ください】【リア×ロマin スキして?桃色日記】")</f>
        <v>やばい性癖のイケオジ＆執着幼なじみに、愛し愛され濃密トライアングル！
「本当に美しい足ですね」と優しく足に触れられ、『変態おじさん！』と思いながらも、イケオジ靴職人の篠原に恋してしまった葵。
そんなクセ強めな恋に悩み過ぎて、幼なじみの一臣に「私の足…触ってみない？」とうっかり言ってしまったら、足だけじゃ済まず押し倒されてしまい…!? じつは子供の時から葵に片思いしていた一臣は、篠原への嫉妬で、葵への執着愛が止められないーー!?
【本作品は他社より配信されていた「ハドメ」を改題し一部変更したものです。重複購入にご注意ください】【リア×ロマin スキして?桃色日記】</v>
      </c>
      <c r="W2225" s="14"/>
      <c r="X2225" s="14" t="str">
        <f>IFERROR(__xludf.DUMMYFUNCTION("""COMPUTED_VALUE"""),"有")</f>
        <v>有</v>
      </c>
      <c r="Y2225" s="8" t="str">
        <f>IFERROR(__xludf.DUMMYFUNCTION("""COMPUTED_VALUE"""),"2024/12/6まで1巻無料")</f>
        <v>2024/12/6まで1巻無料</v>
      </c>
      <c r="Z2225" s="7"/>
      <c r="AA2225" s="7"/>
      <c r="AB2225" s="7"/>
    </row>
    <row r="2226" ht="15.75" customHeight="1">
      <c r="A2226" s="66">
        <f>IFERROR(__xludf.DUMMYFUNCTION("""COMPUTED_VALUE"""),4203.0)</f>
        <v>4203</v>
      </c>
      <c r="B2226" s="75" t="str">
        <f>IFERROR(__xludf.DUMMYFUNCTION("""COMPUTED_VALUE"""),"確定")</f>
        <v>確定</v>
      </c>
      <c r="C2226" s="68">
        <f>IFERROR(__xludf.DUMMYFUNCTION("""COMPUTED_VALUE"""),45565.0)</f>
        <v>45565</v>
      </c>
      <c r="D2226" s="68">
        <f>IFERROR(__xludf.DUMMYFUNCTION("""COMPUTED_VALUE"""),45574.0)</f>
        <v>45574</v>
      </c>
      <c r="E2226" s="100">
        <f>IFERROR(__xludf.DUMMYFUNCTION("""COMPUTED_VALUE"""),291650.0)</f>
        <v>291650</v>
      </c>
      <c r="F2226" s="60" t="str">
        <f>IFERROR(__xludf.DUMMYFUNCTION("""COMPUTED_VALUE"""),"変態紳士と私、そして執着幼なじみ【タテヨミ】")</f>
        <v>変態紳士と私、そして執着幼なじみ【タテヨミ】</v>
      </c>
      <c r="G2226" s="67" t="str">
        <f>IFERROR(__xludf.DUMMYFUNCTION("""COMPUTED_VALUE"""),"1～12")</f>
        <v>1～12</v>
      </c>
      <c r="H2226" s="75" t="str">
        <f>IFERROR(__xludf.DUMMYFUNCTION("""COMPUTED_VALUE"""),"サイミナミトリ")</f>
        <v>サイミナミトリ</v>
      </c>
      <c r="I2226" s="75" t="str">
        <f>IFERROR(__xludf.DUMMYFUNCTION("""COMPUTED_VALUE"""),"女性")</f>
        <v>女性</v>
      </c>
      <c r="J2226" s="75"/>
      <c r="K2226" s="75"/>
      <c r="L2226" s="75" t="str">
        <f>IFERROR(__xludf.DUMMYFUNCTION("""COMPUTED_VALUE"""),"シーモアコミックス")</f>
        <v>シーモアコミックス</v>
      </c>
      <c r="M2226" s="59">
        <f>IFERROR(__xludf.DUMMYFUNCTION("""COMPUTED_VALUE"""),45598.0)</f>
        <v>45598</v>
      </c>
      <c r="N2226" s="59">
        <f>IFERROR(__xludf.DUMMYFUNCTION("""COMPUTED_VALUE"""),45659.0)</f>
        <v>45659</v>
      </c>
      <c r="O2226" s="75"/>
      <c r="P2226" s="80" t="str">
        <f>IFERROR(__xludf.DUMMYFUNCTION("""COMPUTED_VALUE"""),"可")</f>
        <v>可</v>
      </c>
      <c r="Q2226" s="72" t="str">
        <f>IFERROR(__xludf.DUMMYFUNCTION("""COMPUTED_VALUE"""),"※コマサム等素材は「291649 変態紳士と私、そして執着幼なじみ（フルカラー）」のほうをお使いください。&lt;BR&gt;バナー制作はフルカラー版の素材を利用して問題ございません。&lt;BR&gt;レーベル：スキして?桃色日記")</f>
        <v>※コマサム等素材は「291649 変態紳士と私、そして執着幼なじみ（フルカラー）」のほうをお使いください。&lt;BR&gt;バナー制作はフルカラー版の素材を利用して問題ございません。&lt;BR&gt;レーベル：スキして?桃色日記</v>
      </c>
      <c r="R2226" s="75"/>
      <c r="S2226" s="75" t="str">
        <f>IFERROR(__xludf.DUMMYFUNCTION("""COMPUTED_VALUE"""),"20241004_シーモアコミックス_変態紳士と私、そして執着幼なじみ【タテヨミ】")</f>
        <v>20241004_シーモアコミックス_変態紳士と私、そして執着幼なじみ【タテヨミ】</v>
      </c>
      <c r="T2226" s="75" t="str">
        <f>IFERROR(__xludf.DUMMYFUNCTION("""COMPUTED_VALUE"""),"格納済み")</f>
        <v>格納済み</v>
      </c>
      <c r="U2226" s="15" t="str">
        <f>IFERROR(__xludf.DUMMYFUNCTION("""COMPUTED_VALUE"""),"© サイミナミトリ/鶴山文化社/シーモアコミックス")</f>
        <v>© サイミナミトリ/鶴山文化社/シーモアコミックス</v>
      </c>
      <c r="V2226" s="8" t="str">
        <f>IFERROR(__xludf.DUMMYFUNCTION("""COMPUTED_VALUE"""),"やばい性癖のイケオジ＆執着幼なじみに、愛し愛され濃密トライアングル！
「本当に美しい足ですね」と優しく足に触れられ、『変態おじさん！』と思いながらも、イケオジ靴職人の篠原に恋してしまった葵。
そんなクセ強めな恋に悩み過ぎて、幼なじみの一臣に「私の足…触ってみない？」とうっかり言ってしまったら、足だけじゃ済まず押し倒されてしまい…!? じつは子供の時から葵に片思いしていた一臣は、篠原への嫉妬で、葵への執着愛が止められないーー!?
【本作品は他社より配信されていた「ハドメ」を改題し一部変更したもので"&amp;"す。重複購入にご注意ください】【リア×ロマin スキして?桃色日記】")</f>
        <v>やばい性癖のイケオジ＆執着幼なじみに、愛し愛され濃密トライアングル！
「本当に美しい足ですね」と優しく足に触れられ、『変態おじさん！』と思いながらも、イケオジ靴職人の篠原に恋してしまった葵。
そんなクセ強めな恋に悩み過ぎて、幼なじみの一臣に「私の足…触ってみない？」とうっかり言ってしまったら、足だけじゃ済まず押し倒されてしまい…!? じつは子供の時から葵に片思いしていた一臣は、篠原への嫉妬で、葵への執着愛が止められないーー!?
【本作品は他社より配信されていた「ハドメ」を改題し一部変更したものです。重複購入にご注意ください】【リア×ロマin スキして?桃色日記】</v>
      </c>
      <c r="W2226" s="14"/>
      <c r="X2226" s="14" t="str">
        <f>IFERROR(__xludf.DUMMYFUNCTION("""COMPUTED_VALUE"""),"有")</f>
        <v>有</v>
      </c>
      <c r="Y2226" s="8" t="str">
        <f>IFERROR(__xludf.DUMMYFUNCTION("""COMPUTED_VALUE"""),"2024/12/6まで1～4巻無料")</f>
        <v>2024/12/6まで1～4巻無料</v>
      </c>
      <c r="Z2226" s="7"/>
      <c r="AA2226" s="7"/>
      <c r="AB2226" s="7"/>
    </row>
    <row r="2227" ht="15.75" customHeight="1">
      <c r="A2227" s="66">
        <f>IFERROR(__xludf.DUMMYFUNCTION("""COMPUTED_VALUE"""),4204.0)</f>
        <v>4204</v>
      </c>
      <c r="B2227" s="75" t="str">
        <f>IFERROR(__xludf.DUMMYFUNCTION("""COMPUTED_VALUE"""),"確定")</f>
        <v>確定</v>
      </c>
      <c r="C2227" s="68">
        <f>IFERROR(__xludf.DUMMYFUNCTION("""COMPUTED_VALUE"""),45565.0)</f>
        <v>45565</v>
      </c>
      <c r="D2227" s="68">
        <f>IFERROR(__xludf.DUMMYFUNCTION("""COMPUTED_VALUE"""),45574.0)</f>
        <v>45574</v>
      </c>
      <c r="E2227" s="100">
        <f>IFERROR(__xludf.DUMMYFUNCTION("""COMPUTED_VALUE"""),295484.0)</f>
        <v>295484</v>
      </c>
      <c r="F2227" s="60" t="str">
        <f>IFERROR(__xludf.DUMMYFUNCTION("""COMPUTED_VALUE"""),"突然ですが、マフィアの寵愛から逃げたいと思います(フルカラー)")</f>
        <v>突然ですが、マフィアの寵愛から逃げたいと思います(フルカラー)</v>
      </c>
      <c r="G2227" s="67" t="str">
        <f>IFERROR(__xludf.DUMMYFUNCTION("""COMPUTED_VALUE"""),"1～3")</f>
        <v>1～3</v>
      </c>
      <c r="H2227" s="75" t="str">
        <f>IFERROR(__xludf.DUMMYFUNCTION("""COMPUTED_VALUE"""),"サンス,グウェンドリン")</f>
        <v>サンス,グウェンドリン</v>
      </c>
      <c r="I2227" s="75" t="str">
        <f>IFERROR(__xludf.DUMMYFUNCTION("""COMPUTED_VALUE"""),"BL")</f>
        <v>BL</v>
      </c>
      <c r="J2227" s="75"/>
      <c r="K2227" s="75"/>
      <c r="L2227" s="75" t="str">
        <f>IFERROR(__xludf.DUMMYFUNCTION("""COMPUTED_VALUE"""),"シーモアコミックス")</f>
        <v>シーモアコミックス</v>
      </c>
      <c r="M2227" s="59">
        <f>IFERROR(__xludf.DUMMYFUNCTION("""COMPUTED_VALUE"""),45598.0)</f>
        <v>45598</v>
      </c>
      <c r="N2227" s="59">
        <f>IFERROR(__xludf.DUMMYFUNCTION("""COMPUTED_VALUE"""),45659.0)</f>
        <v>45659</v>
      </c>
      <c r="O2227" s="75"/>
      <c r="P2227" s="71" t="str">
        <f>IFERROR(__xludf.DUMMYFUNCTION("""COMPUTED_VALUE"""),"可")</f>
        <v>可</v>
      </c>
      <c r="Q2227" s="72"/>
      <c r="R2227" s="75"/>
      <c r="S2227" s="75" t="str">
        <f>IFERROR(__xludf.DUMMYFUNCTION("""COMPUTED_VALUE"""),"20241004_シーモアコミックス_突然ですが、マフィアの寵愛から逃げたいと思います（フルカラー）")</f>
        <v>20241004_シーモアコミックス_突然ですが、マフィアの寵愛から逃げたいと思います（フルカラー）</v>
      </c>
      <c r="T2227" s="75" t="str">
        <f>IFERROR(__xludf.DUMMYFUNCTION("""COMPUTED_VALUE"""),"格納済み")</f>
        <v>格納済み</v>
      </c>
      <c r="U2227" s="15" t="str">
        <f>IFERROR(__xludf.DUMMYFUNCTION("""COMPUTED_VALUE"""),"© サンス/グウェンドリン/鶴山文化社/シーモアコミックス")</f>
        <v>© サンス/グウェンドリン/鶴山文化社/シーモアコミックス</v>
      </c>
      <c r="V2227" s="8" t="str">
        <f>IFERROR(__xludf.DUMMYFUNCTION("""COMPUTED_VALUE"""),"【「突然ですが、マフィアに寵愛されてます(フルカラー)」待望の続編！】ロシアンマフィア・カミンスキーとマネロン業者のユンは恋人同士。同棲を始めて1年、カミンスキーは変わらず多忙で会えない日も多いけれど一緒にいる時はとびきり自分を愛してくれる。ユンは彼との同棲生活に幸せを感じていた。そんなある日、カミンスキーが銃で撃たれてしまう。目覚めた彼は18歳までの記憶しかなく、ユンのことを忘れていて――!?【フィカス】")</f>
        <v>【「突然ですが、マフィアに寵愛されてます(フルカラー)」待望の続編！】ロシアンマフィア・カミンスキーとマネロン業者のユンは恋人同士。同棲を始めて1年、カミンスキーは変わらず多忙で会えない日も多いけれど一緒にいる時はとびきり自分を愛してくれる。ユンは彼との同棲生活に幸せを感じていた。そんなある日、カミンスキーが銃で撃たれてしまう。目覚めた彼は18歳までの記憶しかなく、ユンのことを忘れていて――!?【フィカス】</v>
      </c>
      <c r="W2227" s="14"/>
      <c r="X2227" s="14" t="str">
        <f>IFERROR(__xludf.DUMMYFUNCTION("""COMPUTED_VALUE"""),"有")</f>
        <v>有</v>
      </c>
      <c r="Y2227" s="8" t="str">
        <f>IFERROR(__xludf.DUMMYFUNCTION("""COMPUTED_VALUE"""),"2024/12/6まで1巻無料")</f>
        <v>2024/12/6まで1巻無料</v>
      </c>
      <c r="Z2227" s="7"/>
      <c r="AA2227" s="7"/>
      <c r="AB2227" s="7"/>
    </row>
    <row r="2228" ht="15.75" customHeight="1">
      <c r="A2228" s="66">
        <f>IFERROR(__xludf.DUMMYFUNCTION("""COMPUTED_VALUE"""),4205.0)</f>
        <v>4205</v>
      </c>
      <c r="B2228" s="75" t="str">
        <f>IFERROR(__xludf.DUMMYFUNCTION("""COMPUTED_VALUE"""),"確定")</f>
        <v>確定</v>
      </c>
      <c r="C2228" s="68">
        <f>IFERROR(__xludf.DUMMYFUNCTION("""COMPUTED_VALUE"""),45565.0)</f>
        <v>45565</v>
      </c>
      <c r="D2228" s="68">
        <f>IFERROR(__xludf.DUMMYFUNCTION("""COMPUTED_VALUE"""),45574.0)</f>
        <v>45574</v>
      </c>
      <c r="E2228" s="100">
        <f>IFERROR(__xludf.DUMMYFUNCTION("""COMPUTED_VALUE"""),295485.0)</f>
        <v>295485</v>
      </c>
      <c r="F2228" s="60" t="str">
        <f>IFERROR(__xludf.DUMMYFUNCTION("""COMPUTED_VALUE"""),"突然ですが、マフィアの寵愛から逃げたいと思います【タテヨミ】")</f>
        <v>突然ですが、マフィアの寵愛から逃げたいと思います【タテヨミ】</v>
      </c>
      <c r="G2228" s="67" t="str">
        <f>IFERROR(__xludf.DUMMYFUNCTION("""COMPUTED_VALUE"""),"1～9")</f>
        <v>1～9</v>
      </c>
      <c r="H2228" s="75" t="str">
        <f>IFERROR(__xludf.DUMMYFUNCTION("""COMPUTED_VALUE"""),"サンス,グウェンドリン")</f>
        <v>サンス,グウェンドリン</v>
      </c>
      <c r="I2228" s="75" t="str">
        <f>IFERROR(__xludf.DUMMYFUNCTION("""COMPUTED_VALUE"""),"BL")</f>
        <v>BL</v>
      </c>
      <c r="J2228" s="75"/>
      <c r="K2228" s="75"/>
      <c r="L2228" s="75" t="str">
        <f>IFERROR(__xludf.DUMMYFUNCTION("""COMPUTED_VALUE"""),"シーモアコミックス")</f>
        <v>シーモアコミックス</v>
      </c>
      <c r="M2228" s="59">
        <f>IFERROR(__xludf.DUMMYFUNCTION("""COMPUTED_VALUE"""),45598.0)</f>
        <v>45598</v>
      </c>
      <c r="N2228" s="59">
        <f>IFERROR(__xludf.DUMMYFUNCTION("""COMPUTED_VALUE"""),45659.0)</f>
        <v>45659</v>
      </c>
      <c r="O2228" s="75"/>
      <c r="P2228" s="80" t="str">
        <f>IFERROR(__xludf.DUMMYFUNCTION("""COMPUTED_VALUE"""),"可")</f>
        <v>可</v>
      </c>
      <c r="Q2228" s="72" t="str">
        <f>IFERROR(__xludf.DUMMYFUNCTION("""COMPUTED_VALUE"""),"※コマサム等素材は「295484 突然ですが、マフィアの寵愛から逃げたいと思います（フルカラー）」のほうをお使いください。&lt;BR&gt;バナー制作はフルカラー版の素材を利用して問題ございません。")</f>
        <v>※コマサム等素材は「295484 突然ですが、マフィアの寵愛から逃げたいと思います（フルカラー）」のほうをお使いください。&lt;BR&gt;バナー制作はフルカラー版の素材を利用して問題ございません。</v>
      </c>
      <c r="R2228" s="75"/>
      <c r="S2228" s="75" t="str">
        <f>IFERROR(__xludf.DUMMYFUNCTION("""COMPUTED_VALUE"""),"20241004_シーモアコミックス_突然ですが、マフィアの寵愛から逃げたいと思います【タテヨミ】")</f>
        <v>20241004_シーモアコミックス_突然ですが、マフィアの寵愛から逃げたいと思います【タテヨミ】</v>
      </c>
      <c r="T2228" s="75" t="str">
        <f>IFERROR(__xludf.DUMMYFUNCTION("""COMPUTED_VALUE"""),"格納済み")</f>
        <v>格納済み</v>
      </c>
      <c r="U2228" s="15" t="str">
        <f>IFERROR(__xludf.DUMMYFUNCTION("""COMPUTED_VALUE"""),"© サンス/グウェンドリン/鶴山文化社/シーモアコミックス")</f>
        <v>© サンス/グウェンドリン/鶴山文化社/シーモアコミックス</v>
      </c>
      <c r="V2228" s="8" t="str">
        <f>IFERROR(__xludf.DUMMYFUNCTION("""COMPUTED_VALUE"""),"【「突然ですが、マフィアに寵愛されてます(フルカラー)」待望の続編！】ロシアンマフィア・カミンスキーとマネロン業者のユンは恋人同士。同棲を始めて1年、カミンスキーは変わらず多忙で会えない日も多いけれど一緒にいる時はとびきり自分を愛してくれる。ユンは彼との同棲生活に幸せを感じていた。そんなある日、カミンスキーが銃で撃たれてしまう。目覚めた彼は18歳までの記憶しかなく、ユンのことを忘れていて――!?【フィカス】")</f>
        <v>【「突然ですが、マフィアに寵愛されてます(フルカラー)」待望の続編！】ロシアンマフィア・カミンスキーとマネロン業者のユンは恋人同士。同棲を始めて1年、カミンスキーは変わらず多忙で会えない日も多いけれど一緒にいる時はとびきり自分を愛してくれる。ユンは彼との同棲生活に幸せを感じていた。そんなある日、カミンスキーが銃で撃たれてしまう。目覚めた彼は18歳までの記憶しかなく、ユンのことを忘れていて――!?【フィカス】</v>
      </c>
      <c r="W2228" s="14"/>
      <c r="X2228" s="14" t="str">
        <f>IFERROR(__xludf.DUMMYFUNCTION("""COMPUTED_VALUE"""),"有")</f>
        <v>有</v>
      </c>
      <c r="Y2228" s="8" t="str">
        <f>IFERROR(__xludf.DUMMYFUNCTION("""COMPUTED_VALUE"""),"2024/12/6まで1～3巻無料")</f>
        <v>2024/12/6まで1～3巻無料</v>
      </c>
      <c r="Z2228" s="7"/>
      <c r="AA2228" s="7"/>
      <c r="AB2228" s="7"/>
    </row>
    <row r="2229" ht="15.75" customHeight="1">
      <c r="A2229" s="66">
        <f>IFERROR(__xludf.DUMMYFUNCTION("""COMPUTED_VALUE"""),4206.0)</f>
        <v>4206</v>
      </c>
      <c r="B2229" s="75" t="str">
        <f>IFERROR(__xludf.DUMMYFUNCTION("""COMPUTED_VALUE"""),"確定")</f>
        <v>確定</v>
      </c>
      <c r="C2229" s="68">
        <f>IFERROR(__xludf.DUMMYFUNCTION("""COMPUTED_VALUE"""),45565.0)</f>
        <v>45565</v>
      </c>
      <c r="D2229" s="68">
        <f>IFERROR(__xludf.DUMMYFUNCTION("""COMPUTED_VALUE"""),45574.0)</f>
        <v>45574</v>
      </c>
      <c r="E2229" s="100">
        <f>IFERROR(__xludf.DUMMYFUNCTION("""COMPUTED_VALUE"""),296742.0)</f>
        <v>296742</v>
      </c>
      <c r="F2229" s="60" t="str">
        <f>IFERROR(__xludf.DUMMYFUNCTION("""COMPUTED_VALUE"""),"その男、花嫁の下僕につき")</f>
        <v>その男、花嫁の下僕につき</v>
      </c>
      <c r="G2229" s="67" t="str">
        <f>IFERROR(__xludf.DUMMYFUNCTION("""COMPUTED_VALUE"""),"1～3")</f>
        <v>1～3</v>
      </c>
      <c r="H2229" s="75" t="str">
        <f>IFERROR(__xludf.DUMMYFUNCTION("""COMPUTED_VALUE"""),"武田愛子")</f>
        <v>武田愛子</v>
      </c>
      <c r="I2229" s="75" t="str">
        <f>IFERROR(__xludf.DUMMYFUNCTION("""COMPUTED_VALUE"""),"少女")</f>
        <v>少女</v>
      </c>
      <c r="J2229" s="75"/>
      <c r="K2229" s="75"/>
      <c r="L2229" s="75" t="str">
        <f>IFERROR(__xludf.DUMMYFUNCTION("""COMPUTED_VALUE"""),"シーモアコミックス")</f>
        <v>シーモアコミックス</v>
      </c>
      <c r="M2229" s="59">
        <f>IFERROR(__xludf.DUMMYFUNCTION("""COMPUTED_VALUE"""),45598.0)</f>
        <v>45598</v>
      </c>
      <c r="N2229" s="59">
        <f>IFERROR(__xludf.DUMMYFUNCTION("""COMPUTED_VALUE"""),45659.0)</f>
        <v>45659</v>
      </c>
      <c r="O2229" s="75"/>
      <c r="P2229" s="71" t="str">
        <f>IFERROR(__xludf.DUMMYFUNCTION("""COMPUTED_VALUE"""),"可")</f>
        <v>可</v>
      </c>
      <c r="Q2229" s="72"/>
      <c r="R2229" s="75"/>
      <c r="S2229" s="75" t="str">
        <f>IFERROR(__xludf.DUMMYFUNCTION("""COMPUTED_VALUE"""),"20241004_シーモアコミックス_その男、花嫁の下僕につき")</f>
        <v>20241004_シーモアコミックス_その男、花嫁の下僕につき</v>
      </c>
      <c r="T2229" s="75" t="str">
        <f>IFERROR(__xludf.DUMMYFUNCTION("""COMPUTED_VALUE"""),"格納済み")</f>
        <v>格納済み</v>
      </c>
      <c r="U2229" s="15" t="str">
        <f>IFERROR(__xludf.DUMMYFUNCTION("""COMPUTED_VALUE"""),"© 武田愛子/シーモアコミックス")</f>
        <v>© 武田愛子/シーモアコミックス</v>
      </c>
      <c r="V2229" s="8" t="str">
        <f>IFERROR(__xludf.DUMMYFUNCTION("""COMPUTED_VALUE"""),"「お嬢様、私と一緒に来てください――…」
生まれてから今までずっと「天条家の娘」として恥ずかしくないようにと自由のない生活の中、お稽古漬けの毎日を過ごしてきた陽茉莉。しかし、そんな風に生きてきた陽茉莉の見合い相手に父は20歳も年上のおじさんを連れてきて…!?あまりの仕打ちについに家出を決意した陽茉莉だったが、唯一の心残りは幼い頃からずっと側にいた使用人の月島と会えなくなってしまうかもしれないことだった……しかし、月島はそんな陽茉莉お嬢様の気持ちを汲んである行動に出る！使用人とお嬢様の主従恋物語、今開幕で"&amp;"す。【恋するソワレ】")</f>
        <v>「お嬢様、私と一緒に来てください――…」
生まれてから今までずっと「天条家の娘」として恥ずかしくないようにと自由のない生活の中、お稽古漬けの毎日を過ごしてきた陽茉莉。しかし、そんな風に生きてきた陽茉莉の見合い相手に父は20歳も年上のおじさんを連れてきて…!?あまりの仕打ちについに家出を決意した陽茉莉だったが、唯一の心残りは幼い頃からずっと側にいた使用人の月島と会えなくなってしまうかもしれないことだった……しかし、月島はそんな陽茉莉お嬢様の気持ちを汲んである行動に出る！使用人とお嬢様の主従恋物語、今開幕です。【恋するソワレ】</v>
      </c>
      <c r="W2229" s="14"/>
      <c r="X2229" s="14" t="str">
        <f>IFERROR(__xludf.DUMMYFUNCTION("""COMPUTED_VALUE"""),"有")</f>
        <v>有</v>
      </c>
      <c r="Y2229" s="8" t="str">
        <f>IFERROR(__xludf.DUMMYFUNCTION("""COMPUTED_VALUE"""),"2024/12/6まで1巻無料")</f>
        <v>2024/12/6まで1巻無料</v>
      </c>
      <c r="Z2229" s="7"/>
      <c r="AA2229" s="7"/>
      <c r="AB2229" s="7"/>
    </row>
    <row r="2230" ht="15.75" customHeight="1">
      <c r="A2230" s="66">
        <f>IFERROR(__xludf.DUMMYFUNCTION("""COMPUTED_VALUE"""),4207.0)</f>
        <v>4207</v>
      </c>
      <c r="B2230" s="75" t="str">
        <f>IFERROR(__xludf.DUMMYFUNCTION("""COMPUTED_VALUE"""),"確定")</f>
        <v>確定</v>
      </c>
      <c r="C2230" s="68">
        <f>IFERROR(__xludf.DUMMYFUNCTION("""COMPUTED_VALUE"""),45565.0)</f>
        <v>45565</v>
      </c>
      <c r="D2230" s="68">
        <f>IFERROR(__xludf.DUMMYFUNCTION("""COMPUTED_VALUE"""),45574.0)</f>
        <v>45574</v>
      </c>
      <c r="E2230" s="100">
        <f>IFERROR(__xludf.DUMMYFUNCTION("""COMPUTED_VALUE"""),291879.0)</f>
        <v>291879</v>
      </c>
      <c r="F2230" s="60" t="str">
        <f>IFERROR(__xludf.DUMMYFUNCTION("""COMPUTED_VALUE"""),"ただのモブなのに、侯爵家跡取りの保護者になりまして(フルカラー)")</f>
        <v>ただのモブなのに、侯爵家跡取りの保護者になりまして(フルカラー)</v>
      </c>
      <c r="G2230" s="67" t="str">
        <f>IFERROR(__xludf.DUMMYFUNCTION("""COMPUTED_VALUE"""),"1～10")</f>
        <v>1～10</v>
      </c>
      <c r="H2230" s="75" t="str">
        <f>IFERROR(__xludf.DUMMYFUNCTION("""COMPUTED_VALUE"""),"TADA,Eun Solim,Dog")</f>
        <v>TADA,Eun Solim,Dog</v>
      </c>
      <c r="I2230" s="75" t="str">
        <f>IFERROR(__xludf.DUMMYFUNCTION("""COMPUTED_VALUE"""),"少女")</f>
        <v>少女</v>
      </c>
      <c r="J2230" s="75"/>
      <c r="K2230" s="75"/>
      <c r="L2230" s="75" t="str">
        <f>IFERROR(__xludf.DUMMYFUNCTION("""COMPUTED_VALUE"""),"シーモアコミックス")</f>
        <v>シーモアコミックス</v>
      </c>
      <c r="M2230" s="59">
        <f>IFERROR(__xludf.DUMMYFUNCTION("""COMPUTED_VALUE"""),45599.0)</f>
        <v>45599</v>
      </c>
      <c r="N2230" s="59">
        <f>IFERROR(__xludf.DUMMYFUNCTION("""COMPUTED_VALUE"""),45750.66666666667)</f>
        <v>45750.66667</v>
      </c>
      <c r="O2230" s="75"/>
      <c r="P2230" s="71" t="str">
        <f>IFERROR(__xludf.DUMMYFUNCTION("""COMPUTED_VALUE"""),"可")</f>
        <v>可</v>
      </c>
      <c r="Q2230" s="72"/>
      <c r="R2230" s="75"/>
      <c r="S2230" s="75" t="str">
        <f>IFERROR(__xludf.DUMMYFUNCTION("""COMPUTED_VALUE"""),"20241007_シーモアコミックス_ただのモブなのに、侯爵家跡取りの保護者になりまして（フルカラー）")</f>
        <v>20241007_シーモアコミックス_ただのモブなのに、侯爵家跡取りの保護者になりまして（フルカラー）</v>
      </c>
      <c r="T2230" s="75" t="str">
        <f>IFERROR(__xludf.DUMMYFUNCTION("""COMPUTED_VALUE"""),"格納済み")</f>
        <v>格納済み</v>
      </c>
      <c r="U2230" s="15" t="str">
        <f>IFERROR(__xludf.DUMMYFUNCTION("""COMPUTED_VALUE"""),"© TADA/Eun Solim/Dog/MSTORYHUB/シーモアコミックス")</f>
        <v>© TADA/Eun Solim/Dog/MSTORYHUB/シーモアコミックス</v>
      </c>
      <c r="V2230" s="8" t="str">
        <f>IFERROR(__xludf.DUMMYFUNCTION("""COMPUTED_VALUE"""),"事故で死んだはずの私は、目が覚めるとなんと愛読書の中にいた…。しかも、ただのモブキャラ！？原作では、この後仕えていた侯爵夫妻が失踪し、使用人たちは全員解雇されてしまうというのに…。でも私決めたの。ここで自由気ままに暮らすって！
そう思っていた矢先、原作と違う展開が…！？なぜか、逃げ遅れた侯爵家の子どもたちを私が保護者として面倒を見ることに！？そんな役割私じゃないはずなんだけど…。でも、この子たちを放っておくわけにはいかないし…。覚悟を決めて子どもたちを連れて旅に出ることにしたが――。【恋するソワレ】")</f>
        <v>事故で死んだはずの私は、目が覚めるとなんと愛読書の中にいた…。しかも、ただのモブキャラ！？原作では、この後仕えていた侯爵夫妻が失踪し、使用人たちは全員解雇されてしまうというのに…。でも私決めたの。ここで自由気ままに暮らすって！
そう思っていた矢先、原作と違う展開が…！？なぜか、逃げ遅れた侯爵家の子どもたちを私が保護者として面倒を見ることに！？そんな役割私じゃないはずなんだけど…。でも、この子たちを放っておくわけにはいかないし…。覚悟を決めて子どもたちを連れて旅に出ることにしたが――。【恋するソワレ】</v>
      </c>
      <c r="W2230" s="14"/>
      <c r="X2230" s="14" t="str">
        <f>IFERROR(__xludf.DUMMYFUNCTION("""COMPUTED_VALUE"""),"有")</f>
        <v>有</v>
      </c>
      <c r="Y2230" s="8" t="str">
        <f>IFERROR(__xludf.DUMMYFUNCTION("""COMPUTED_VALUE"""),"2024/11/30まで1～3巻無料")</f>
        <v>2024/11/30まで1～3巻無料</v>
      </c>
      <c r="Z2230" s="7"/>
      <c r="AA2230" s="7"/>
      <c r="AB2230" s="7"/>
    </row>
    <row r="2231" ht="15.75" customHeight="1">
      <c r="A2231" s="66">
        <f>IFERROR(__xludf.DUMMYFUNCTION("""COMPUTED_VALUE"""),4208.0)</f>
        <v>4208</v>
      </c>
      <c r="B2231" s="75" t="str">
        <f>IFERROR(__xludf.DUMMYFUNCTION("""COMPUTED_VALUE"""),"確定")</f>
        <v>確定</v>
      </c>
      <c r="C2231" s="68">
        <f>IFERROR(__xludf.DUMMYFUNCTION("""COMPUTED_VALUE"""),45565.0)</f>
        <v>45565</v>
      </c>
      <c r="D2231" s="68">
        <f>IFERROR(__xludf.DUMMYFUNCTION("""COMPUTED_VALUE"""),45574.0)</f>
        <v>45574</v>
      </c>
      <c r="E2231" s="100">
        <f>IFERROR(__xludf.DUMMYFUNCTION("""COMPUTED_VALUE"""),291880.0)</f>
        <v>291880</v>
      </c>
      <c r="F2231" s="60" t="str">
        <f>IFERROR(__xludf.DUMMYFUNCTION("""COMPUTED_VALUE"""),"ただのモブなのに、侯爵家跡取りの保護者になりまして【タテヨミ】")</f>
        <v>ただのモブなのに、侯爵家跡取りの保護者になりまして【タテヨミ】</v>
      </c>
      <c r="G2231" s="67" t="str">
        <f>IFERROR(__xludf.DUMMYFUNCTION("""COMPUTED_VALUE"""),"1～40")</f>
        <v>1～40</v>
      </c>
      <c r="H2231" s="75" t="str">
        <f>IFERROR(__xludf.DUMMYFUNCTION("""COMPUTED_VALUE"""),"TADA,Eun Solim,Dog")</f>
        <v>TADA,Eun Solim,Dog</v>
      </c>
      <c r="I2231" s="75" t="str">
        <f>IFERROR(__xludf.DUMMYFUNCTION("""COMPUTED_VALUE"""),"少女")</f>
        <v>少女</v>
      </c>
      <c r="J2231" s="75"/>
      <c r="K2231" s="75"/>
      <c r="L2231" s="75" t="str">
        <f>IFERROR(__xludf.DUMMYFUNCTION("""COMPUTED_VALUE"""),"シーモアコミックス")</f>
        <v>シーモアコミックス</v>
      </c>
      <c r="M2231" s="59">
        <f>IFERROR(__xludf.DUMMYFUNCTION("""COMPUTED_VALUE"""),45599.0)</f>
        <v>45599</v>
      </c>
      <c r="N2231" s="59">
        <f>IFERROR(__xludf.DUMMYFUNCTION("""COMPUTED_VALUE"""),45660.0)</f>
        <v>45660</v>
      </c>
      <c r="O2231" s="75"/>
      <c r="P2231" s="9" t="str">
        <f>IFERROR(__xludf.DUMMYFUNCTION("""COMPUTED_VALUE"""),"可")</f>
        <v>可</v>
      </c>
      <c r="Q2231" s="72"/>
      <c r="R2231" s="75"/>
      <c r="S2231" s="75" t="str">
        <f>IFERROR(__xludf.DUMMYFUNCTION("""COMPUTED_VALUE"""),"20241004_シーモアコミックス_ただのモブなのに、侯爵家跡取りの保護者になりまして【タテヨミ】")</f>
        <v>20241004_シーモアコミックス_ただのモブなのに、侯爵家跡取りの保護者になりまして【タテヨミ】</v>
      </c>
      <c r="T2231" s="75" t="str">
        <f>IFERROR(__xludf.DUMMYFUNCTION("""COMPUTED_VALUE"""),"格納済み")</f>
        <v>格納済み</v>
      </c>
      <c r="U2231" s="107" t="str">
        <f>IFERROR(__xludf.DUMMYFUNCTION("""COMPUTED_VALUE"""),"© TADA/Eun Solim/Dog/MSTORYHUB/シーモアコミックス")</f>
        <v>© TADA/Eun Solim/Dog/MSTORYHUB/シーモアコミックス</v>
      </c>
      <c r="V2231" s="8" t="str">
        <f>IFERROR(__xludf.DUMMYFUNCTION("""COMPUTED_VALUE"""),"事故で死んだはずの私は、目が覚めるとなんと愛読書の中にいた…。しかも、ただのモブキャラ！？原作では、この後仕えていた侯爵夫妻が失踪し、使用人たちは全員解雇されてしまうというのに…。でも私決めたの。ここで自由気ままに暮らすって！
そう思っていた矢先、原作と違う展開が…！？なぜか、逃げ遅れた侯爵家の子どもたちを私が保護者として面倒を見ることに！？そんな役割私じゃないはずなんだけど…。でも、この子たちを放っておくわけにはいかないし…。覚悟を決めて子どもたちを連れて旅に出ることにしたが――。【恋するソワレ】")</f>
        <v>事故で死んだはずの私は、目が覚めるとなんと愛読書の中にいた…。しかも、ただのモブキャラ！？原作では、この後仕えていた侯爵夫妻が失踪し、使用人たちは全員解雇されてしまうというのに…。でも私決めたの。ここで自由気ままに暮らすって！
そう思っていた矢先、原作と違う展開が…！？なぜか、逃げ遅れた侯爵家の子どもたちを私が保護者として面倒を見ることに！？そんな役割私じゃないはずなんだけど…。でも、この子たちを放っておくわけにはいかないし…。覚悟を決めて子どもたちを連れて旅に出ることにしたが――。【恋するソワレ】</v>
      </c>
      <c r="W2231" s="14"/>
      <c r="X2231" s="14" t="str">
        <f>IFERROR(__xludf.DUMMYFUNCTION("""COMPUTED_VALUE"""),"有")</f>
        <v>有</v>
      </c>
      <c r="Y2231" s="8" t="str">
        <f>IFERROR(__xludf.DUMMYFUNCTION("""COMPUTED_VALUE"""),"2024/11/30まで1～12巻無料")</f>
        <v>2024/11/30まで1～12巻無料</v>
      </c>
      <c r="Z2231" s="7"/>
      <c r="AA2231" s="7"/>
      <c r="AB2231" s="7"/>
    </row>
    <row r="2232" ht="15.75" customHeight="1">
      <c r="A2232" s="66">
        <f>IFERROR(__xludf.DUMMYFUNCTION("""COMPUTED_VALUE"""),4215.0)</f>
        <v>4215</v>
      </c>
      <c r="B2232" s="75" t="str">
        <f>IFERROR(__xludf.DUMMYFUNCTION("""COMPUTED_VALUE"""),"確定")</f>
        <v>確定</v>
      </c>
      <c r="C2232" s="68">
        <f>IFERROR(__xludf.DUMMYFUNCTION("""COMPUTED_VALUE"""),45566.0)</f>
        <v>45566</v>
      </c>
      <c r="D2232" s="68">
        <f>IFERROR(__xludf.DUMMYFUNCTION("""COMPUTED_VALUE"""),45574.0)</f>
        <v>45574</v>
      </c>
      <c r="E2232" s="60">
        <f>IFERROR(__xludf.DUMMYFUNCTION("""COMPUTED_VALUE"""),305655.0)</f>
        <v>305655</v>
      </c>
      <c r="F2232" s="60" t="str">
        <f>IFERROR(__xludf.DUMMYFUNCTION("""COMPUTED_VALUE"""),"【ラブコフレ】策士な皇族の夜伽指南 ―毒見下女ですが嫁入りします―")</f>
        <v>【ラブコフレ】策士な皇族の夜伽指南 ―毒見下女ですが嫁入りします―</v>
      </c>
      <c r="G2232" s="67" t="str">
        <f>IFERROR(__xludf.DUMMYFUNCTION("""COMPUTED_VALUE"""),"1～3")</f>
        <v>1～3</v>
      </c>
      <c r="H2232" s="75" t="str">
        <f>IFERROR(__xludf.DUMMYFUNCTION("""COMPUTED_VALUE"""),"野嶋たる")</f>
        <v>野嶋たる</v>
      </c>
      <c r="I2232" s="75" t="str">
        <f>IFERROR(__xludf.DUMMYFUNCTION("""COMPUTED_VALUE"""),"TL")</f>
        <v>TL</v>
      </c>
      <c r="J2232" s="75"/>
      <c r="K2232" s="75"/>
      <c r="L2232" s="75" t="str">
        <f>IFERROR(__xludf.DUMMYFUNCTION("""COMPUTED_VALUE"""),"大誠社")</f>
        <v>大誠社</v>
      </c>
      <c r="M2232" s="59">
        <f>IFERROR(__xludf.DUMMYFUNCTION("""COMPUTED_VALUE"""),45604.0)</f>
        <v>45604</v>
      </c>
      <c r="N2232" s="59">
        <f>IFERROR(__xludf.DUMMYFUNCTION("""COMPUTED_VALUE"""),45716.0)</f>
        <v>45716</v>
      </c>
      <c r="O2232" s="75"/>
      <c r="P2232" s="126" t="str">
        <f>IFERROR(__xludf.DUMMYFUNCTION("""COMPUTED_VALUE"""),"可")</f>
        <v>可</v>
      </c>
      <c r="Q2232" s="75"/>
      <c r="R2232" s="75" t="str">
        <f>IFERROR(__xludf.DUMMYFUNCTION("""COMPUTED_VALUE"""),"広告コミットOK(10/4)")</f>
        <v>広告コミットOK(10/4)</v>
      </c>
      <c r="S2232" s="75" t="str">
        <f>IFERROR(__xludf.DUMMYFUNCTION("""COMPUTED_VALUE"""),"20241004_ブライト出版_策士な皇族の夜伽指南 ―毒見下女ですが嫁入りします―")</f>
        <v>20241004_ブライト出版_策士な皇族の夜伽指南 ―毒見下女ですが嫁入りします―</v>
      </c>
      <c r="T2232" s="75" t="str">
        <f>IFERROR(__xludf.DUMMYFUNCTION("""COMPUTED_VALUE"""),"格納済み")</f>
        <v>格納済み</v>
      </c>
      <c r="U2232" s="15" t="str">
        <f>IFERROR(__xludf.DUMMYFUNCTION("""COMPUTED_VALUE"""),"(C)野嶋たる／大誠社")</f>
        <v>(C)野嶋たる／大誠社</v>
      </c>
      <c r="V2232" s="8" t="str">
        <f>IFERROR(__xludf.DUMMYFUNCTION("""COMPUTED_VALUE"""),"丈夫な身体をもつ一族に生まれ、毒見かつ護衛役として宮中に仕えているメイメイは、皇弟で軍の統括者でもある麗人・シャオウと旧知の仲。
彼は聡明な男だがいつもにこにこし、身分にかかわらずこちらを案じてくれる。
しかしある日、メイメイは隣国商人との結婚話が決まり!?
おまけに毒見した料理で身体が火照る事態に見舞われてしまう。
態度が急変したシャオウは恥じらう柔肌をやさしく吸いあげ……。
「いいから任せて」
熱い眼差しで美しい顔を寄せる彼の思惑はいったい――!?")</f>
        <v>丈夫な身体をもつ一族に生まれ、毒見かつ護衛役として宮中に仕えているメイメイは、皇弟で軍の統括者でもある麗人・シャオウと旧知の仲。
彼は聡明な男だがいつもにこにこし、身分にかかわらずこちらを案じてくれる。
しかしある日、メイメイは隣国商人との結婚話が決まり!?
おまけに毒見した料理で身体が火照る事態に見舞われてしまう。
態度が急変したシャオウは恥じらう柔肌をやさしく吸いあげ……。
「いいから任せて」
熱い眼差しで美しい顔を寄せる彼の思惑はいったい――!?</v>
      </c>
      <c r="W2232" s="14"/>
      <c r="X2232" s="14" t="str">
        <f>IFERROR(__xludf.DUMMYFUNCTION("""COMPUTED_VALUE"""),"有")</f>
        <v>有</v>
      </c>
      <c r="Y2232" s="8" t="str">
        <f>IFERROR(__xludf.DUMMYFUNCTION("""COMPUTED_VALUE"""),"2024/11/21まで1巻無料")</f>
        <v>2024/11/21まで1巻無料</v>
      </c>
      <c r="Z2232" s="7"/>
      <c r="AA2232" s="7"/>
      <c r="AB2232" s="7"/>
    </row>
    <row r="2233" ht="15.75" customHeight="1">
      <c r="A2233" s="66">
        <f>IFERROR(__xludf.DUMMYFUNCTION("""COMPUTED_VALUE"""),4217.0)</f>
        <v>4217</v>
      </c>
      <c r="B2233" s="75" t="str">
        <f>IFERROR(__xludf.DUMMYFUNCTION("""COMPUTED_VALUE"""),"確定")</f>
        <v>確定</v>
      </c>
      <c r="C2233" s="68">
        <f>IFERROR(__xludf.DUMMYFUNCTION("""COMPUTED_VALUE"""),45566.0)</f>
        <v>45566</v>
      </c>
      <c r="D2233" s="68">
        <f>IFERROR(__xludf.DUMMYFUNCTION("""COMPUTED_VALUE"""),45574.0)</f>
        <v>45574</v>
      </c>
      <c r="E2233" s="60">
        <f>IFERROR(__xludf.DUMMYFUNCTION("""COMPUTED_VALUE"""),306281.0)</f>
        <v>306281</v>
      </c>
      <c r="F2233" s="60" t="str">
        <f>IFERROR(__xludf.DUMMYFUNCTION("""COMPUTED_VALUE"""),"【ラブチーク】どっちと結婚してくれる？～ハイスペ幼馴染たちと蜜愛性活～")</f>
        <v>【ラブチーク】どっちと結婚してくれる？～ハイスペ幼馴染たちと蜜愛性活～</v>
      </c>
      <c r="G2233" s="67" t="str">
        <f>IFERROR(__xludf.DUMMYFUNCTION("""COMPUTED_VALUE"""),"1～3")</f>
        <v>1～3</v>
      </c>
      <c r="H2233" s="75" t="str">
        <f>IFERROR(__xludf.DUMMYFUNCTION("""COMPUTED_VALUE"""),"漫画：雪ことり 原作：さくら蒼")</f>
        <v>漫画：雪ことり 原作：さくら蒼</v>
      </c>
      <c r="I2233" s="75" t="str">
        <f>IFERROR(__xludf.DUMMYFUNCTION("""COMPUTED_VALUE"""),"TL")</f>
        <v>TL</v>
      </c>
      <c r="J2233" s="75"/>
      <c r="K2233" s="75"/>
      <c r="L2233" s="75" t="str">
        <f>IFERROR(__xludf.DUMMYFUNCTION("""COMPUTED_VALUE"""),"ブライト出版")</f>
        <v>ブライト出版</v>
      </c>
      <c r="M2233" s="94">
        <f>IFERROR(__xludf.DUMMYFUNCTION("""COMPUTED_VALUE"""),45611.0)</f>
        <v>45611</v>
      </c>
      <c r="N2233" s="59">
        <f>IFERROR(__xludf.DUMMYFUNCTION("""COMPUTED_VALUE"""),45747.66666666667)</f>
        <v>45747.66667</v>
      </c>
      <c r="O2233" s="75"/>
      <c r="P2233" s="80" t="str">
        <f>IFERROR(__xludf.DUMMYFUNCTION("""COMPUTED_VALUE"""),"可")</f>
        <v>可</v>
      </c>
      <c r="Q2233" s="75" t="str">
        <f>IFERROR(__xludf.DUMMYFUNCTION("""COMPUTED_VALUE"""),"ブライト出版の新作です")</f>
        <v>ブライト出版の新作です</v>
      </c>
      <c r="R2233" s="75" t="str">
        <f>IFERROR(__xludf.DUMMYFUNCTION("""COMPUTED_VALUE"""),"広告コミットOK(10/10)")</f>
        <v>広告コミットOK(10/10)</v>
      </c>
      <c r="S2233" s="75" t="str">
        <f>IFERROR(__xludf.DUMMYFUNCTION("""COMPUTED_VALUE"""),"20241004_ブライト出版_どっちと結婚してくれる？～ハイスペ幼馴染たちと蜜愛性活～")</f>
        <v>20241004_ブライト出版_どっちと結婚してくれる？～ハイスペ幼馴染たちと蜜愛性活～</v>
      </c>
      <c r="T2233" s="75" t="str">
        <f>IFERROR(__xludf.DUMMYFUNCTION("""COMPUTED_VALUE"""),"格納済み")</f>
        <v>格納済み</v>
      </c>
      <c r="U2233" s="15" t="str">
        <f>IFERROR(__xludf.DUMMYFUNCTION("""COMPUTED_VALUE"""),"(C)雪ことり・さくら蒼／ブライト出版")</f>
        <v>(C)雪ことり・さくら蒼／ブライト出版</v>
      </c>
      <c r="V2233" s="8" t="str">
        <f>IFERROR(__xludf.DUMMYFUNCTION("""COMPUTED_VALUE"""),"「俺を好きだと言ってくれ」「俺の方がもっと柚希が好きだよ」幼馴染二人と結婚相手選びのためのえっちな同棲生活!?一般庶民OL・柚希には他の人とは違うことが一つある。それは、ハイスペ幼馴染二人が私の婚約者ということ!!御曹司である大和くんと千隼くんは違う世界の住人。ただの口約束だと思っていたけど…。私との結婚が後継者になる条件だと判明して!?結婚相手を選ぶため、二人との同棲生活が始まってしまった。その晩…男女三人、同じベットで、何もないはずがなくーー!?「もっと気持ち良くなって」「イけ、柚希」幼馴染じゃなくて"&amp;"、【男】の顔をした二人に後ろから前から愛されて、もう無理…っ!!")</f>
        <v>「俺を好きだと言ってくれ」「俺の方がもっと柚希が好きだよ」幼馴染二人と結婚相手選びのためのえっちな同棲生活!?一般庶民OL・柚希には他の人とは違うことが一つある。それは、ハイスペ幼馴染二人が私の婚約者ということ!!御曹司である大和くんと千隼くんは違う世界の住人。ただの口約束だと思っていたけど…。私との結婚が後継者になる条件だと判明して!?結婚相手を選ぶため、二人との同棲生活が始まってしまった。その晩…男女三人、同じベットで、何もないはずがなくーー!?「もっと気持ち良くなって」「イけ、柚希」幼馴染じゃなくて、【男】の顔をした二人に後ろから前から愛されて、もう無理…っ!!</v>
      </c>
      <c r="W2233" s="14"/>
      <c r="X2233" s="14" t="str">
        <f>IFERROR(__xludf.DUMMYFUNCTION("""COMPUTED_VALUE"""),"有")</f>
        <v>有</v>
      </c>
      <c r="Y2233" s="8" t="str">
        <f>IFERROR(__xludf.DUMMYFUNCTION("""COMPUTED_VALUE"""),"P13まで")</f>
        <v>P13まで</v>
      </c>
      <c r="Z2233" s="7"/>
      <c r="AA2233" s="7"/>
      <c r="AB2233" s="7"/>
    </row>
    <row r="2234" ht="15.75" customHeight="1">
      <c r="A2234" s="66">
        <f>IFERROR(__xludf.DUMMYFUNCTION("""COMPUTED_VALUE"""),4230.0)</f>
        <v>4230</v>
      </c>
      <c r="B2234" s="75" t="str">
        <f>IFERROR(__xludf.DUMMYFUNCTION("""COMPUTED_VALUE"""),"確定")</f>
        <v>確定</v>
      </c>
      <c r="C2234" s="68">
        <f>IFERROR(__xludf.DUMMYFUNCTION("""COMPUTED_VALUE"""),45568.0)</f>
        <v>45568</v>
      </c>
      <c r="D2234" s="68">
        <f>IFERROR(__xludf.DUMMYFUNCTION("""COMPUTED_VALUE"""),45569.0)</f>
        <v>45569</v>
      </c>
      <c r="E2234" s="60">
        <f>IFERROR(__xludf.DUMMYFUNCTION("""COMPUTED_VALUE"""),305365.0)</f>
        <v>305365</v>
      </c>
      <c r="F2234" s="60" t="str">
        <f>IFERROR(__xludf.DUMMYFUNCTION("""COMPUTED_VALUE"""),"竜王子の婚姻 その契約は甘くて淫らに蕩ける")</f>
        <v>竜王子の婚姻 その契約は甘くて淫らに蕩ける</v>
      </c>
      <c r="G2234" s="67" t="str">
        <f>IFERROR(__xludf.DUMMYFUNCTION("""COMPUTED_VALUE"""),"1～3")</f>
        <v>1～3</v>
      </c>
      <c r="H2234" s="75" t="str">
        <f>IFERROR(__xludf.DUMMYFUNCTION("""COMPUTED_VALUE"""),"未白みね")</f>
        <v>未白みね</v>
      </c>
      <c r="I2234" s="75" t="str">
        <f>IFERROR(__xludf.DUMMYFUNCTION("""COMPUTED_VALUE"""),"TL")</f>
        <v>TL</v>
      </c>
      <c r="J2234" s="75"/>
      <c r="K2234" s="75"/>
      <c r="L2234" s="75" t="str">
        <f>IFERROR(__xludf.DUMMYFUNCTION("""COMPUTED_VALUE"""),"一迅社")</f>
        <v>一迅社</v>
      </c>
      <c r="M2234" s="59">
        <f>IFERROR(__xludf.DUMMYFUNCTION("""COMPUTED_VALUE"""),45597.0)</f>
        <v>45597</v>
      </c>
      <c r="N2234" s="47">
        <f>IFERROR(__xludf.DUMMYFUNCTION("""COMPUTED_VALUE"""),45694.0)</f>
        <v>45694</v>
      </c>
      <c r="O2234" s="75"/>
      <c r="P2234" s="80" t="str">
        <f>IFERROR(__xludf.DUMMYFUNCTION("""COMPUTED_VALUE"""),"可")</f>
        <v>可</v>
      </c>
      <c r="Q2234" s="72" t="str">
        <f>IFERROR(__xludf.DUMMYFUNCTION("""COMPUTED_VALUE"""),"・レーベル名：LOVEBITES")</f>
        <v>・レーベル名：LOVEBITES</v>
      </c>
      <c r="R2234" s="75"/>
      <c r="S2234" s="75" t="str">
        <f>IFERROR(__xludf.DUMMYFUNCTION("""COMPUTED_VALUE"""),"20241003_一迅社_竜王子の婚姻 その契約は甘くて淫らに蕩ける")</f>
        <v>20241003_一迅社_竜王子の婚姻 その契約は甘くて淫らに蕩ける</v>
      </c>
      <c r="T2234" s="75" t="str">
        <f>IFERROR(__xludf.DUMMYFUNCTION("""COMPUTED_VALUE"""),"格納済み")</f>
        <v>格納済み</v>
      </c>
      <c r="U2234" s="15" t="str">
        <f>IFERROR(__xludf.DUMMYFUNCTION("""COMPUTED_VALUE"""),"(C)未白みね／一迅社")</f>
        <v>(C)未白みね／一迅社</v>
      </c>
      <c r="V2234" s="8" t="str">
        <f>IFERROR(__xludf.DUMMYFUNCTION("""COMPUTED_VALUE"""),"「…ほら、口を開けて、舌を出して」殿下のとろけるようなキスで、思考も溶けていって――平均寿命が300歳とされるヘキエイ伯爵家の令嬢・スリアは、アスラ王国の第二王子・アルストとの縁談を持ちかけられる。竜になることができる能力を持ち、さらには次期国王候補であるようなアルストがなぜ自分に縁談を……と疑問に思っていた最中、スリアは何者かに攫われてしまう。そんなスリアを、【竜化】したアルストが救い出したものの、アルストはその場で倒れてしまう。――実はアルストは竜化を繰り返したことにより命を削られており、そのため余命"&amp;"いくばくもない状態だった。そこで、長命であるスリアと【婚約】することで、スリアの命を分け、アルストを延命させる必要があった。ひとまず【仮契約】をすることで、期限付きでアルストを延命することとなる。しかし、命を共有するためには【情事】が必要で……!?")</f>
        <v>「…ほら、口を開けて、舌を出して」殿下のとろけるようなキスで、思考も溶けていって――平均寿命が300歳とされるヘキエイ伯爵家の令嬢・スリアは、アスラ王国の第二王子・アルストとの縁談を持ちかけられる。竜になることができる能力を持ち、さらには次期国王候補であるようなアルストがなぜ自分に縁談を……と疑問に思っていた最中、スリアは何者かに攫われてしまう。そんなスリアを、【竜化】したアルストが救い出したものの、アルストはその場で倒れてしまう。――実はアルストは竜化を繰り返したことにより命を削られており、そのため余命いくばくもない状態だった。そこで、長命であるスリアと【婚約】することで、スリアの命を分け、アルストを延命させる必要があった。ひとまず【仮契約】をすることで、期限付きでアルストを延命することとなる。しかし、命を共有するためには【情事】が必要で……!?</v>
      </c>
      <c r="W2234" s="14"/>
      <c r="X2234" s="14" t="str">
        <f>IFERROR(__xludf.DUMMYFUNCTION("""COMPUTED_VALUE"""),"有")</f>
        <v>有</v>
      </c>
      <c r="Y2234" s="8" t="str">
        <f>IFERROR(__xludf.DUMMYFUNCTION("""COMPUTED_VALUE"""),"2025/2/6まで1巻無料")</f>
        <v>2025/2/6まで1巻無料</v>
      </c>
      <c r="Z2234" s="7"/>
      <c r="AA2234" s="7"/>
      <c r="AB2234" s="7"/>
    </row>
    <row r="2235" ht="15.75" customHeight="1">
      <c r="A2235" s="66">
        <f>IFERROR(__xludf.DUMMYFUNCTION("""COMPUTED_VALUE"""),4231.0)</f>
        <v>4231</v>
      </c>
      <c r="B2235" s="75" t="str">
        <f>IFERROR(__xludf.DUMMYFUNCTION("""COMPUTED_VALUE"""),"確定")</f>
        <v>確定</v>
      </c>
      <c r="C2235" s="68">
        <f>IFERROR(__xludf.DUMMYFUNCTION("""COMPUTED_VALUE"""),45568.0)</f>
        <v>45568</v>
      </c>
      <c r="D2235" s="68">
        <f>IFERROR(__xludf.DUMMYFUNCTION("""COMPUTED_VALUE"""),45569.0)</f>
        <v>45569</v>
      </c>
      <c r="E2235" s="60">
        <f>IFERROR(__xludf.DUMMYFUNCTION("""COMPUTED_VALUE"""),305363.0)</f>
        <v>305363</v>
      </c>
      <c r="F2235" s="60" t="str">
        <f>IFERROR(__xludf.DUMMYFUNCTION("""COMPUTED_VALUE"""),"誑かしの追放聖女と千人殺しの騎士将官 この世界のどの地でも俺なしでは生きられまい")</f>
        <v>誑かしの追放聖女と千人殺しの騎士将官 この世界のどの地でも俺なしでは生きられまい</v>
      </c>
      <c r="G2235" s="67" t="str">
        <f>IFERROR(__xludf.DUMMYFUNCTION("""COMPUTED_VALUE"""),"1～3")</f>
        <v>1～3</v>
      </c>
      <c r="H2235" s="75" t="str">
        <f>IFERROR(__xludf.DUMMYFUNCTION("""COMPUTED_VALUE"""),"犀木ろっか")</f>
        <v>犀木ろっか</v>
      </c>
      <c r="I2235" s="75" t="str">
        <f>IFERROR(__xludf.DUMMYFUNCTION("""COMPUTED_VALUE"""),"TL")</f>
        <v>TL</v>
      </c>
      <c r="J2235" s="75"/>
      <c r="K2235" s="75"/>
      <c r="L2235" s="75" t="str">
        <f>IFERROR(__xludf.DUMMYFUNCTION("""COMPUTED_VALUE"""),"一迅社")</f>
        <v>一迅社</v>
      </c>
      <c r="M2235" s="59">
        <f>IFERROR(__xludf.DUMMYFUNCTION("""COMPUTED_VALUE"""),45597.0)</f>
        <v>45597</v>
      </c>
      <c r="N2235" s="59">
        <f>IFERROR(__xludf.DUMMYFUNCTION("""COMPUTED_VALUE"""),45631.0)</f>
        <v>45631</v>
      </c>
      <c r="O2235" s="75"/>
      <c r="P2235" s="80" t="str">
        <f>IFERROR(__xludf.DUMMYFUNCTION("""COMPUTED_VALUE"""),"可")</f>
        <v>可</v>
      </c>
      <c r="Q2235" s="72" t="str">
        <f>IFERROR(__xludf.DUMMYFUNCTION("""COMPUTED_VALUE"""),"・レーベル名：LOVEBITES")</f>
        <v>・レーベル名：LOVEBITES</v>
      </c>
      <c r="R2235" s="75"/>
      <c r="S2235" s="75" t="str">
        <f>IFERROR(__xludf.DUMMYFUNCTION("""COMPUTED_VALUE"""),"20241003_一迅社_誑かしの追放聖女と千人殺しの騎士将官 この世界のどの地でも俺なしでは生きられまい")</f>
        <v>20241003_一迅社_誑かしの追放聖女と千人殺しの騎士将官 この世界のどの地でも俺なしでは生きられまい</v>
      </c>
      <c r="T2235" s="75" t="str">
        <f>IFERROR(__xludf.DUMMYFUNCTION("""COMPUTED_VALUE"""),"格納済み")</f>
        <v>格納済み</v>
      </c>
      <c r="U2235" s="15" t="str">
        <f>IFERROR(__xludf.DUMMYFUNCTION("""COMPUTED_VALUE"""),"(C)犀木ろっか／一迅社")</f>
        <v>(C)犀木ろっか／一迅社</v>
      </c>
      <c r="V2235" s="8" t="str">
        <f>IFERROR(__xludf.DUMMYFUNCTION("""COMPUTED_VALUE"""),"「『誑かしの魔女』と呼ばれたあなたでも、口を塞いだら力も使えぬ」声を発しようとするたびに、唇を塞がれて、深く舌を絡められて。声を漏らせばもっと激しくなるのに、どうしても声を止められない……。何これ、頭がクラクラする……。――5年前、聖女の力を使って騎士候補を誑かした罪でヴァルマシル王国から追放された”元”聖女セリナは、聖女への反感が強い属国・ザルガニスで、偽名を使って息を潜めて暮らしていた。そんなある日、ヴァルマシルの騎士服を着た美青年から求婚される。「私と結婚してください。【聖女セリナ】」大衆の面前で聖"&amp;"女だということを明かされてしまい、ザルガニスの人々がセリナに憎悪の眼差しを向け始める。しかし、その美青年は、先の大戦で多くの敵国将校の首を獲った『千人殺しのラズヴァン』という通り名をもつ、ヴァルマシルきっての最恐の騎士将官で……!?――無実の罪で虐げられ続けた【追放聖女】と結婚のために手段を選ばない【騎士将官】の、淫らで切ない執着愛。")</f>
        <v>「『誑かしの魔女』と呼ばれたあなたでも、口を塞いだら力も使えぬ」声を発しようとするたびに、唇を塞がれて、深く舌を絡められて。声を漏らせばもっと激しくなるのに、どうしても声を止められない……。何これ、頭がクラクラする……。――5年前、聖女の力を使って騎士候補を誑かした罪でヴァルマシル王国から追放された”元”聖女セリナは、聖女への反感が強い属国・ザルガニスで、偽名を使って息を潜めて暮らしていた。そんなある日、ヴァルマシルの騎士服を着た美青年から求婚される。「私と結婚してください。【聖女セリナ】」大衆の面前で聖女だということを明かされてしまい、ザルガニスの人々がセリナに憎悪の眼差しを向け始める。しかし、その美青年は、先の大戦で多くの敵国将校の首を獲った『千人殺しのラズヴァン』という通り名をもつ、ヴァルマシルきっての最恐の騎士将官で……!?――無実の罪で虐げられ続けた【追放聖女】と結婚のために手段を選ばない【騎士将官】の、淫らで切ない執着愛。</v>
      </c>
      <c r="W2235" s="14"/>
      <c r="X2235" s="14" t="str">
        <f>IFERROR(__xludf.DUMMYFUNCTION("""COMPUTED_VALUE"""),"有")</f>
        <v>有</v>
      </c>
      <c r="Y2235" s="8" t="str">
        <f>IFERROR(__xludf.DUMMYFUNCTION("""COMPUTED_VALUE"""),"2024/12/5まで1巻無料")</f>
        <v>2024/12/5まで1巻無料</v>
      </c>
      <c r="Z2235" s="7"/>
      <c r="AA2235" s="7"/>
      <c r="AB2235" s="7"/>
    </row>
    <row r="2236" ht="15.75" customHeight="1">
      <c r="A2236" s="66">
        <f>IFERROR(__xludf.DUMMYFUNCTION("""COMPUTED_VALUE"""),4233.0)</f>
        <v>4233</v>
      </c>
      <c r="B2236" s="75" t="str">
        <f>IFERROR(__xludf.DUMMYFUNCTION("""COMPUTED_VALUE"""),"確定")</f>
        <v>確定</v>
      </c>
      <c r="C2236" s="68">
        <f>IFERROR(__xludf.DUMMYFUNCTION("""COMPUTED_VALUE"""),45568.0)</f>
        <v>45568</v>
      </c>
      <c r="D2236" s="68">
        <f>IFERROR(__xludf.DUMMYFUNCTION("""COMPUTED_VALUE"""),45573.0)</f>
        <v>45573</v>
      </c>
      <c r="E2236" s="60">
        <f>IFERROR(__xludf.DUMMYFUNCTION("""COMPUTED_VALUE"""),305366.0)</f>
        <v>305366</v>
      </c>
      <c r="F2236" s="60" t="str">
        <f>IFERROR(__xludf.DUMMYFUNCTION("""COMPUTED_VALUE"""),"服従と逆襲")</f>
        <v>服従と逆襲</v>
      </c>
      <c r="G2236" s="67" t="str">
        <f>IFERROR(__xludf.DUMMYFUNCTION("""COMPUTED_VALUE"""),"1～4")</f>
        <v>1～4</v>
      </c>
      <c r="H2236" s="75" t="str">
        <f>IFERROR(__xludf.DUMMYFUNCTION("""COMPUTED_VALUE"""),"うめの稔")</f>
        <v>うめの稔</v>
      </c>
      <c r="I2236" s="75" t="str">
        <f>IFERROR(__xludf.DUMMYFUNCTION("""COMPUTED_VALUE"""),"女性")</f>
        <v>女性</v>
      </c>
      <c r="J2236" s="75"/>
      <c r="K2236" s="75"/>
      <c r="L2236" s="75" t="str">
        <f>IFERROR(__xludf.DUMMYFUNCTION("""COMPUTED_VALUE"""),"一迅社")</f>
        <v>一迅社</v>
      </c>
      <c r="M2236" s="59">
        <f>IFERROR(__xludf.DUMMYFUNCTION("""COMPUTED_VALUE"""),45597.0)</f>
        <v>45597</v>
      </c>
      <c r="N2236" s="59">
        <f>IFERROR(__xludf.DUMMYFUNCTION("""COMPUTED_VALUE"""),45694.0)</f>
        <v>45694</v>
      </c>
      <c r="O2236" s="75"/>
      <c r="P2236" s="80" t="str">
        <f>IFERROR(__xludf.DUMMYFUNCTION("""COMPUTED_VALUE"""),"可")</f>
        <v>可</v>
      </c>
      <c r="Q2236" s="72" t="str">
        <f>IFERROR(__xludf.DUMMYFUNCTION("""COMPUTED_VALUE"""),"・協業レーベル「echo」の作品です")</f>
        <v>・協業レーベル「echo」の作品です</v>
      </c>
      <c r="R2236" s="75"/>
      <c r="S2236" s="75" t="str">
        <f>IFERROR(__xludf.DUMMYFUNCTION("""COMPUTED_VALUE"""),"20241003_一迅社_服従と逆襲")</f>
        <v>20241003_一迅社_服従と逆襲</v>
      </c>
      <c r="T2236" s="75" t="str">
        <f>IFERROR(__xludf.DUMMYFUNCTION("""COMPUTED_VALUE"""),"格納済み")</f>
        <v>格納済み</v>
      </c>
      <c r="U2236" s="15" t="str">
        <f>IFERROR(__xludf.DUMMYFUNCTION("""COMPUTED_VALUE"""),"(C)うめの稔／一迅社")</f>
        <v>(C)うめの稔／一迅社</v>
      </c>
      <c r="V2236" s="8" t="str">
        <f>IFERROR(__xludf.DUMMYFUNCTION("""COMPUTED_VALUE"""),"和也と結婚して数年、専業主婦の詩央里は家事や和也の世話に日々翻弄されていた。和也は会社の人からも詩央里の母からも評価が高く、抜けている詩央里のことも許してくれる優しい夫…。そう思いつつも、制限がある生活に息苦しさを覚える詩央里。ある日、飲み会帰りの和也を介抱していると、スーツから落ちた和也のスマホに1件の通知が。そこには知らない女性からのメッセージがあり――？")</f>
        <v>和也と結婚して数年、専業主婦の詩央里は家事や和也の世話に日々翻弄されていた。和也は会社の人からも詩央里の母からも評価が高く、抜けている詩央里のことも許してくれる優しい夫…。そう思いつつも、制限がある生活に息苦しさを覚える詩央里。ある日、飲み会帰りの和也を介抱していると、スーツから落ちた和也のスマホに1件の通知が。そこには知らない女性からのメッセージがあり――？</v>
      </c>
      <c r="W2236" s="14"/>
      <c r="X2236" s="14" t="str">
        <f>IFERROR(__xludf.DUMMYFUNCTION("""COMPUTED_VALUE"""),"有")</f>
        <v>有</v>
      </c>
      <c r="Y2236" s="8" t="str">
        <f>IFERROR(__xludf.DUMMYFUNCTION("""COMPUTED_VALUE"""),"2025/2/6まで1巻無料")</f>
        <v>2025/2/6まで1巻無料</v>
      </c>
      <c r="Z2236" s="7"/>
      <c r="AA2236" s="7"/>
      <c r="AB2236" s="7"/>
    </row>
    <row r="2237" ht="15.75" customHeight="1">
      <c r="A2237" s="66">
        <f>IFERROR(__xludf.DUMMYFUNCTION("""COMPUTED_VALUE"""),4234.0)</f>
        <v>4234</v>
      </c>
      <c r="B2237" s="75" t="str">
        <f>IFERROR(__xludf.DUMMYFUNCTION("""COMPUTED_VALUE"""),"確定")</f>
        <v>確定</v>
      </c>
      <c r="C2237" s="68">
        <f>IFERROR(__xludf.DUMMYFUNCTION("""COMPUTED_VALUE"""),45568.0)</f>
        <v>45568</v>
      </c>
      <c r="D2237" s="68">
        <f>IFERROR(__xludf.DUMMYFUNCTION("""COMPUTED_VALUE"""),45573.0)</f>
        <v>45573</v>
      </c>
      <c r="E2237" s="60">
        <f>IFERROR(__xludf.DUMMYFUNCTION("""COMPUTED_VALUE"""),305369.0)</f>
        <v>305369</v>
      </c>
      <c r="F2237" s="60" t="str">
        <f>IFERROR(__xludf.DUMMYFUNCTION("""COMPUTED_VALUE"""),"悪役令嬢の取り巻きに転生したので、醜いアヒル公子を白鳥貴公子に育てたら溺愛ヤンデレになりました")</f>
        <v>悪役令嬢の取り巻きに転生したので、醜いアヒル公子を白鳥貴公子に育てたら溺愛ヤンデレになりました</v>
      </c>
      <c r="G2237" s="67" t="str">
        <f>IFERROR(__xludf.DUMMYFUNCTION("""COMPUTED_VALUE"""),"1～4")</f>
        <v>1～4</v>
      </c>
      <c r="H2237" s="75" t="str">
        <f>IFERROR(__xludf.DUMMYFUNCTION("""COMPUTED_VALUE"""),"原作：リラ 漫画：八坂みぞれ")</f>
        <v>原作：リラ 漫画：八坂みぞれ</v>
      </c>
      <c r="I2237" s="75" t="str">
        <f>IFERROR(__xludf.DUMMYFUNCTION("""COMPUTED_VALUE"""),"少女")</f>
        <v>少女</v>
      </c>
      <c r="J2237" s="75"/>
      <c r="K2237" s="75"/>
      <c r="L2237" s="75" t="str">
        <f>IFERROR(__xludf.DUMMYFUNCTION("""COMPUTED_VALUE"""),"一迅社")</f>
        <v>一迅社</v>
      </c>
      <c r="M2237" s="59">
        <f>IFERROR(__xludf.DUMMYFUNCTION("""COMPUTED_VALUE"""),45597.0)</f>
        <v>45597</v>
      </c>
      <c r="N2237" s="59">
        <f>IFERROR(__xludf.DUMMYFUNCTION("""COMPUTED_VALUE"""),45694.0)</f>
        <v>45694</v>
      </c>
      <c r="O2237" s="75"/>
      <c r="P2237" s="80" t="str">
        <f>IFERROR(__xludf.DUMMYFUNCTION("""COMPUTED_VALUE"""),"可")</f>
        <v>可</v>
      </c>
      <c r="Q2237" s="72" t="str">
        <f>IFERROR(__xludf.DUMMYFUNCTION("""COMPUTED_VALUE"""),"・協業レーベル「echo」の作品です。")</f>
        <v>・協業レーベル「echo」の作品です。</v>
      </c>
      <c r="R2237" s="75"/>
      <c r="S2237" s="75" t="str">
        <f>IFERROR(__xludf.DUMMYFUNCTION("""COMPUTED_VALUE"""),"20241003_一迅社_（協業）悪役令嬢の取り巻きに転生したので、醜いアヒル公子を白鳥貴公子に育てたら溺愛ヤンデレになりました")</f>
        <v>20241003_一迅社_（協業）悪役令嬢の取り巻きに転生したので、醜いアヒル公子を白鳥貴公子に育てたら溺愛ヤンデレになりました</v>
      </c>
      <c r="T2237" s="75" t="str">
        <f>IFERROR(__xludf.DUMMYFUNCTION("""COMPUTED_VALUE"""),"格納済み")</f>
        <v>格納済み</v>
      </c>
      <c r="U2237" s="15" t="str">
        <f>IFERROR(__xludf.DUMMYFUNCTION("""COMPUTED_VALUE"""),"(C)リラ(エブリスタ)・八坂みぞれ／一迅社")</f>
        <v>(C)リラ(エブリスタ)・八坂みぞれ／一迅社</v>
      </c>
      <c r="V2237" s="8" t="str">
        <f>IFERROR(__xludf.DUMMYFUNCTION("""COMPUTED_VALUE"""),"「これからはずっとずっとずっと一緒だからね。」前世での交通事故により大好きな乙女ゲーム「私だけの王子様」に転生した蝶ヶ崎嶺羅。しかし転生したのは同じ「レイラ」である悪役令嬢の取り巻きのレイラ・シュテルンベルクで!?半年間の必死のダイエットで美しい姿を手にしたレイラに、ヴァンヘルシュタイン家主催のお茶会のお誘いが。「この努力の結果を見せるとき！」と意気揚々と出席したが、以前の姿を知っているサイモンからいじめられ紅茶をかけられそうになる。それを助けてくれたのは、その容姿から「醜いアヒルの子」と呼ばれる、ザカラ"&amp;"イア・ヴァンヘルシュタインで――!?助けてくれた「醜いアヒルの子」を「白鳥貴公子」に育て上げ、勝ち組人生いただきます！本作品は小説投稿サイト「エブリスタ」で掲載している「醜いアヒルの公子様を麗しい白鳥貴公子に育てました。」のコミカライズです。")</f>
        <v>「これからはずっとずっとずっと一緒だからね。」前世での交通事故により大好きな乙女ゲーム「私だけの王子様」に転生した蝶ヶ崎嶺羅。しかし転生したのは同じ「レイラ」である悪役令嬢の取り巻きのレイラ・シュテルンベルクで!?半年間の必死のダイエットで美しい姿を手にしたレイラに、ヴァンヘルシュタイン家主催のお茶会のお誘いが。「この努力の結果を見せるとき！」と意気揚々と出席したが、以前の姿を知っているサイモンからいじめられ紅茶をかけられそうになる。それを助けてくれたのは、その容姿から「醜いアヒルの子」と呼ばれる、ザカライア・ヴァンヘルシュタインで――!?助けてくれた「醜いアヒルの子」を「白鳥貴公子」に育て上げ、勝ち組人生いただきます！本作品は小説投稿サイト「エブリスタ」で掲載している「醜いアヒルの公子様を麗しい白鳥貴公子に育てました。」のコミカライズです。</v>
      </c>
      <c r="W2237" s="14"/>
      <c r="X2237" s="14" t="str">
        <f>IFERROR(__xludf.DUMMYFUNCTION("""COMPUTED_VALUE"""),"有")</f>
        <v>有</v>
      </c>
      <c r="Y2237" s="8" t="str">
        <f>IFERROR(__xludf.DUMMYFUNCTION("""COMPUTED_VALUE"""),"2025/2/6まで1巻無料")</f>
        <v>2025/2/6まで1巻無料</v>
      </c>
      <c r="Z2237" s="7"/>
      <c r="AA2237" s="7"/>
      <c r="AB2237" s="7"/>
    </row>
    <row r="2238" ht="15.75" customHeight="1">
      <c r="A2238" s="66">
        <f>IFERROR(__xludf.DUMMYFUNCTION("""COMPUTED_VALUE"""),4247.0)</f>
        <v>4247</v>
      </c>
      <c r="B2238" s="75" t="str">
        <f>IFERROR(__xludf.DUMMYFUNCTION("""COMPUTED_VALUE"""),"確定")</f>
        <v>確定</v>
      </c>
      <c r="C2238" s="68">
        <f>IFERROR(__xludf.DUMMYFUNCTION("""COMPUTED_VALUE"""),45569.0)</f>
        <v>45569</v>
      </c>
      <c r="D2238" s="68">
        <f>IFERROR(__xludf.DUMMYFUNCTION("""COMPUTED_VALUE"""),45569.0)</f>
        <v>45569</v>
      </c>
      <c r="E2238" s="60">
        <f>IFERROR(__xludf.DUMMYFUNCTION("""COMPUTED_VALUE"""),304925.0)</f>
        <v>304925</v>
      </c>
      <c r="F2238" s="60" t="str">
        <f>IFERROR(__xludf.DUMMYFUNCTION("""COMPUTED_VALUE"""),"悪役になれなかった追放令嬢は甘く優しく壊される～幼なじみ伯爵子息の溺愛監禁調教～R版")</f>
        <v>悪役になれなかった追放令嬢は甘く優しく壊される～幼なじみ伯爵子息の溺愛監禁調教～R版</v>
      </c>
      <c r="G2238" s="67" t="str">
        <f>IFERROR(__xludf.DUMMYFUNCTION("""COMPUTED_VALUE"""),"1～3")</f>
        <v>1～3</v>
      </c>
      <c r="H2238" s="75" t="str">
        <f>IFERROR(__xludf.DUMMYFUNCTION("""COMPUTED_VALUE"""),"山本ともみつ")</f>
        <v>山本ともみつ</v>
      </c>
      <c r="I2238" s="75" t="str">
        <f>IFERROR(__xludf.DUMMYFUNCTION("""COMPUTED_VALUE"""),"オトナ")</f>
        <v>オトナ</v>
      </c>
      <c r="J2238" s="75"/>
      <c r="K2238" s="75"/>
      <c r="L2238" s="75" t="str">
        <f>IFERROR(__xludf.DUMMYFUNCTION("""COMPUTED_VALUE"""),"ライトリーズン")</f>
        <v>ライトリーズン</v>
      </c>
      <c r="M2238" s="94">
        <f>IFERROR(__xludf.DUMMYFUNCTION("""COMPUTED_VALUE"""),45590.0)</f>
        <v>45590</v>
      </c>
      <c r="N2238" s="59">
        <f>IFERROR(__xludf.DUMMYFUNCTION("""COMPUTED_VALUE"""),45716.70833333333)</f>
        <v>45716.70833</v>
      </c>
      <c r="O2238" s="75"/>
      <c r="P2238" s="80" t="str">
        <f>IFERROR(__xludf.DUMMYFUNCTION("""COMPUTED_VALUE"""),"可")</f>
        <v>可</v>
      </c>
      <c r="Q2238" s="75" t="str">
        <f>IFERROR(__xludf.DUMMYFUNCTION("""COMPUTED_VALUE"""),"★重要★&lt;BR&gt;初回配信はこちらが指定したpage0084.jpgまでになります。以降（4話・5話は11月15日に配信予定の内容となります）&lt;BR&gt;CMS4106ですでにコミットいただいている作品のオトナジャンルバージョンです")</f>
        <v>★重要★&lt;BR&gt;初回配信はこちらが指定したpage0084.jpgまでになります。以降（4話・5話は11月15日に配信予定の内容となります）&lt;BR&gt;CMS4106ですでにコミットいただいている作品のオトナジャンルバージョンです</v>
      </c>
      <c r="R2238" s="75" t="str">
        <f>IFERROR(__xludf.DUMMYFUNCTION("""COMPUTED_VALUE"""),"広告コミットOK")</f>
        <v>広告コミットOK</v>
      </c>
      <c r="S2238" s="75" t="str">
        <f>IFERROR(__xludf.DUMMYFUNCTION("""COMPUTED_VALUE"""),"20241004‗ライトリーズン‗（分冊前）悪役になれなかった追放令嬢は甘く優しく壊される～幼なじみ伯爵子息の溺愛監禁調教～")</f>
        <v>20241004‗ライトリーズン‗（分冊前）悪役になれなかった追放令嬢は甘く優しく壊される～幼なじみ伯爵子息の溺愛監禁調教～</v>
      </c>
      <c r="T2238" s="75" t="str">
        <f>IFERROR(__xludf.DUMMYFUNCTION("""COMPUTED_VALUE"""),"格納済み")</f>
        <v>格納済み</v>
      </c>
      <c r="U2238" s="15" t="str">
        <f>IFERROR(__xludf.DUMMYFUNCTION("""COMPUTED_VALUE"""),"©山本ともみつ/ライトリーズン")</f>
        <v>©山本ともみつ/ライトリーズン</v>
      </c>
      <c r="V2238" s="8" t="str">
        <f>IFERROR(__xludf.DUMMYFUNCTION("""COMPUTED_VALUE"""),"幼い頃、家族を奪われ領地を追放された令嬢ステラ。
使用人と亡命の最中、ステラ達を偶然救ったのは領地を奪った本人であるシュヴェフ伯爵だった。
そのまま父の仇であるシュヴェフ家の屋敷に身を寄せる事になったステラは素性を隠し復讐を目論むが…
シュヴェフ家の嫡男、伯爵子息のミシェルに懐かれてしまう。
甘えん坊で少し頼りないミシェルの世話役を任される事になってしまうステラ。
そして仇であるはずの伯爵にまるで本当の家族のように大事に溺愛され育てられる事に…
大人になるにつれ共に過ごした伯爵"&amp;"やミシェルが家族の様に大事な存在になってしまったステラは、
復讐を諦めミシェルの社交界デビューと婚約を機に屋敷を出ていく事を決意する。
一人で生きていく事を決意したステラだったが社交界デビューのパーティの夜ミシェルに呼び止められ、ミシェルの目を見て話しているうちに意識を失う。
次に目覚めた時、身に覚えのないドレスに着替えさせられ見知らぬ屋敷へ連れ込まれていた。
ステラが屋敷を出ていき自分から離れる事を予知していたミシェルはステラの自由を奪いまだ穢れを知らない無垢な身体を暴き、侵略してい"&amp;"く。
そうして『夫婦』二人だけの屋敷で快楽に染まった”花嫁”監禁調教の日々が始まった―――
サークル:Yatomomin(やともみん)
原案・作画:山本ともみつ(@Yatomomin)
シナリオ協力:ワキタゴジョー
pixiv:https://www.pixiv.net/users/9182871
【30ページ】")</f>
        <v>幼い頃、家族を奪われ領地を追放された令嬢ステラ。
使用人と亡命の最中、ステラ達を偶然救ったのは領地を奪った本人であるシュヴェフ伯爵だった。
そのまま父の仇であるシュヴェフ家の屋敷に身を寄せる事になったステラは素性を隠し復讐を目論むが…
シュヴェフ家の嫡男、伯爵子息のミシェルに懐かれてしまう。
甘えん坊で少し頼りないミシェルの世話役を任される事になってしまうステラ。
そして仇であるはずの伯爵にまるで本当の家族のように大事に溺愛され育てられる事に…
大人になるにつれ共に過ごした伯爵やミシェルが家族の様に大事な存在になってしまったステラは、
復讐を諦めミシェルの社交界デビューと婚約を機に屋敷を出ていく事を決意する。
一人で生きていく事を決意したステラだったが社交界デビューのパーティの夜ミシェルに呼び止められ、ミシェルの目を見て話しているうちに意識を失う。
次に目覚めた時、身に覚えのないドレスに着替えさせられ見知らぬ屋敷へ連れ込まれていた。
ステラが屋敷を出ていき自分から離れる事を予知していたミシェルはステラの自由を奪いまだ穢れを知らない無垢な身体を暴き、侵略していく。
そうして『夫婦』二人だけの屋敷で快楽に染まった”花嫁”監禁調教の日々が始まった―――
サークル:Yatomomin(やともみん)
原案・作画:山本ともみつ(@Yatomomin)
シナリオ協力:ワキタゴジョー
pixiv:https://www.pixiv.net/users/9182871
【30ページ】</v>
      </c>
      <c r="W2238" s="14"/>
      <c r="X2238" s="14" t="str">
        <f>IFERROR(__xludf.DUMMYFUNCTION("""COMPUTED_VALUE"""),"有")</f>
        <v>有</v>
      </c>
      <c r="Y2238" s="8" t="str">
        <f>IFERROR(__xludf.DUMMYFUNCTION("""COMPUTED_VALUE"""),"P5まで")</f>
        <v>P5まで</v>
      </c>
      <c r="Z2238" s="7"/>
      <c r="AA2238" s="7"/>
      <c r="AB2238" s="7"/>
    </row>
    <row r="2239" ht="15.75" customHeight="1">
      <c r="A2239" s="66">
        <f>IFERROR(__xludf.DUMMYFUNCTION("""COMPUTED_VALUE"""),4251.0)</f>
        <v>4251</v>
      </c>
      <c r="B2239" s="75" t="str">
        <f>IFERROR(__xludf.DUMMYFUNCTION("""COMPUTED_VALUE"""),"確定")</f>
        <v>確定</v>
      </c>
      <c r="C2239" s="68">
        <f>IFERROR(__xludf.DUMMYFUNCTION("""COMPUTED_VALUE"""),45572.0)</f>
        <v>45572</v>
      </c>
      <c r="D2239" s="68">
        <f>IFERROR(__xludf.DUMMYFUNCTION("""COMPUTED_VALUE"""),45573.0)</f>
        <v>45573</v>
      </c>
      <c r="E2239" s="60">
        <f>IFERROR(__xludf.DUMMYFUNCTION("""COMPUTED_VALUE"""),304312.0)</f>
        <v>304312</v>
      </c>
      <c r="F2239" s="60" t="str">
        <f>IFERROR(__xludf.DUMMYFUNCTION("""COMPUTED_VALUE"""),"結婚してあげてもよくってよ〜誠実な伯爵令息に溺愛されて心を開いてしまいました〜")</f>
        <v>結婚してあげてもよくってよ〜誠実な伯爵令息に溺愛されて心を開いてしまいました〜</v>
      </c>
      <c r="G2239" s="67" t="str">
        <f>IFERROR(__xludf.DUMMYFUNCTION("""COMPUTED_VALUE"""),"1～2")</f>
        <v>1～2</v>
      </c>
      <c r="H2239" s="75" t="str">
        <f>IFERROR(__xludf.DUMMYFUNCTION("""COMPUTED_VALUE"""),"submarine／COMIC ROOM")</f>
        <v>submarine／COMIC ROOM</v>
      </c>
      <c r="I2239" s="75" t="str">
        <f>IFERROR(__xludf.DUMMYFUNCTION("""COMPUTED_VALUE"""),"女性")</f>
        <v>女性</v>
      </c>
      <c r="J2239" s="75"/>
      <c r="K2239" s="75"/>
      <c r="L2239" s="75" t="str">
        <f>IFERROR(__xludf.DUMMYFUNCTION("""COMPUTED_VALUE"""),"コミックルーム")</f>
        <v>コミックルーム</v>
      </c>
      <c r="M2239" s="94">
        <f>IFERROR(__xludf.DUMMYFUNCTION("""COMPUTED_VALUE"""),45580.0)</f>
        <v>45580</v>
      </c>
      <c r="N2239" s="59">
        <f>IFERROR(__xludf.DUMMYFUNCTION("""COMPUTED_VALUE"""),45671.0)</f>
        <v>45671</v>
      </c>
      <c r="O2239" s="75"/>
      <c r="P2239" s="71" t="str">
        <f>IFERROR(__xludf.DUMMYFUNCTION("""COMPUTED_VALUE"""),"可")</f>
        <v>可</v>
      </c>
      <c r="Q2239" s="72"/>
      <c r="R2239" s="75"/>
      <c r="S2239" s="75" t="str">
        <f>IFERROR(__xludf.DUMMYFUNCTION("""COMPUTED_VALUE"""),"20241007_コミックルーム_結婚してあげてもよくってよ〜誠実な伯爵令息に溺愛されて心を開いてしまいました〜-20241007T003852Z-001")</f>
        <v>20241007_コミックルーム_結婚してあげてもよくってよ〜誠実な伯爵令息に溺愛されて心を開いてしまいました〜-20241007T003852Z-001</v>
      </c>
      <c r="T2239" s="75" t="str">
        <f>IFERROR(__xludf.DUMMYFUNCTION("""COMPUTED_VALUE"""),"格納済み")</f>
        <v>格納済み</v>
      </c>
      <c r="U2239" s="15" t="str">
        <f>IFERROR(__xludf.DUMMYFUNCTION("""COMPUTED_VALUE"""),"(c)submarine／COMIC ROOM")</f>
        <v>(c)submarine／COMIC ROOM</v>
      </c>
      <c r="V2239" s="8" t="str">
        <f>IFERROR(__xludf.DUMMYFUNCTION("""COMPUTED_VALUE"""),"伯爵令嬢テレサは、理想の貴族像を追い求めるあまり縁談を断り続け、社交界で孤立してしまっていた。
不甲斐ない娘に激怒した父親は、彼女に無理やり見合いの場を設けた。
案の定そこに現れたハイネスは、テレサの理想とは程遠い、頼りない青年。
当然トキメキの欠片も感じない。
しかし、時間を重ねていくうちに、少しずつハイネスの誠実さと純粋な想いに惹かれていく自分がいて──？
孤高な令嬢が愛に触れ、心を開くまでの純愛ラブストーリー！
※本作品の１・２巻は『溺れるほど愛されて、幸せになってみせますわ！アンソロジ"&amp;"ーコミック8巻』の収録作品です。")</f>
        <v>伯爵令嬢テレサは、理想の貴族像を追い求めるあまり縁談を断り続け、社交界で孤立してしまっていた。
不甲斐ない娘に激怒した父親は、彼女に無理やり見合いの場を設けた。
案の定そこに現れたハイネスは、テレサの理想とは程遠い、頼りない青年。
当然トキメキの欠片も感じない。
しかし、時間を重ねていくうちに、少しずつハイネスの誠実さと純粋な想いに惹かれていく自分がいて──？
孤高な令嬢が愛に触れ、心を開くまでの純愛ラブストーリー！
※本作品の１・２巻は『溺れるほど愛されて、幸せになってみせますわ！アンソロジーコミック8巻』の収録作品です。</v>
      </c>
      <c r="W2239" s="14"/>
      <c r="X2239" s="14" t="str">
        <f>IFERROR(__xludf.DUMMYFUNCTION("""COMPUTED_VALUE"""),"有")</f>
        <v>有</v>
      </c>
      <c r="Y2239" s="8" t="str">
        <f>IFERROR(__xludf.DUMMYFUNCTION("""COMPUTED_VALUE"""),"P11まで")</f>
        <v>P11まで</v>
      </c>
      <c r="Z2239" s="7"/>
      <c r="AA2239" s="7"/>
      <c r="AB2239" s="7"/>
    </row>
    <row r="2240" ht="15.75" customHeight="1">
      <c r="A2240" s="66">
        <f>IFERROR(__xludf.DUMMYFUNCTION("""COMPUTED_VALUE"""),4252.0)</f>
        <v>4252</v>
      </c>
      <c r="B2240" s="75" t="str">
        <f>IFERROR(__xludf.DUMMYFUNCTION("""COMPUTED_VALUE"""),"確定")</f>
        <v>確定</v>
      </c>
      <c r="C2240" s="68">
        <f>IFERROR(__xludf.DUMMYFUNCTION("""COMPUTED_VALUE"""),45572.0)</f>
        <v>45572</v>
      </c>
      <c r="D2240" s="68">
        <f>IFERROR(__xludf.DUMMYFUNCTION("""COMPUTED_VALUE"""),45573.0)</f>
        <v>45573</v>
      </c>
      <c r="E2240" s="60">
        <f>IFERROR(__xludf.DUMMYFUNCTION("""COMPUTED_VALUE"""),305044.0)</f>
        <v>305044</v>
      </c>
      <c r="F2240" s="60" t="str">
        <f>IFERROR(__xludf.DUMMYFUNCTION("""COMPUTED_VALUE"""),"Subordination～貴方のためだけのマゾ向け風俗でどろどろ快楽堕ち～")</f>
        <v>Subordination～貴方のためだけのマゾ向け風俗でどろどろ快楽堕ち～</v>
      </c>
      <c r="G2240" s="67" t="str">
        <f>IFERROR(__xludf.DUMMYFUNCTION("""COMPUTED_VALUE"""),"1～4")</f>
        <v>1～4</v>
      </c>
      <c r="H2240" s="75" t="str">
        <f>IFERROR(__xludf.DUMMYFUNCTION("""COMPUTED_VALUE"""),"ぺこまる┴蓮井子鹿┴parasite garden")</f>
        <v>ぺこまる┴蓮井子鹿┴parasite garden</v>
      </c>
      <c r="I2240" s="75" t="str">
        <f>IFERROR(__xludf.DUMMYFUNCTION("""COMPUTED_VALUE"""),"TL")</f>
        <v>TL</v>
      </c>
      <c r="J2240" s="75"/>
      <c r="K2240" s="75"/>
      <c r="L2240" s="75" t="str">
        <f>IFERROR(__xludf.DUMMYFUNCTION("""COMPUTED_VALUE"""),"クロスフォリオ出版")</f>
        <v>クロスフォリオ出版</v>
      </c>
      <c r="M2240" s="94">
        <f>IFERROR(__xludf.DUMMYFUNCTION("""COMPUTED_VALUE"""),45576.0)</f>
        <v>45576</v>
      </c>
      <c r="N2240" s="94">
        <f>IFERROR(__xludf.DUMMYFUNCTION("""COMPUTED_VALUE"""),45638.0)</f>
        <v>45638</v>
      </c>
      <c r="O2240" s="75"/>
      <c r="P2240" s="80" t="str">
        <f>IFERROR(__xludf.DUMMYFUNCTION("""COMPUTED_VALUE"""),"可")</f>
        <v>可</v>
      </c>
      <c r="Q2240" s="72" t="str">
        <f>IFERROR(__xludf.DUMMYFUNCTION("""COMPUTED_VALUE"""),"『parasite garden』レーベル作品です。&lt;BR&gt;河上さん事前コミット済みです。&lt;BR&gt;登録が遅くなりすみません。。！先方都合によるものなのでなるはやでの出稿開始で良いのでお願いします。。！")</f>
        <v>『parasite garden』レーベル作品です。&lt;BR&gt;河上さん事前コミット済みです。&lt;BR&gt;登録が遅くなりすみません。。！先方都合によるものなのでなるはやでの出稿開始で良いのでお願いします。。！</v>
      </c>
      <c r="R2240" s="75"/>
      <c r="S2240" s="75" t="str">
        <f>IFERROR(__xludf.DUMMYFUNCTION("""COMPUTED_VALUE"""),"20241007_BookLive_Subordination～貴方のためだけのマゾ向け風俗でどろどろ快楽堕ち～")</f>
        <v>20241007_BookLive_Subordination～貴方のためだけのマゾ向け風俗でどろどろ快楽堕ち～</v>
      </c>
      <c r="T2240" s="75" t="str">
        <f>IFERROR(__xludf.DUMMYFUNCTION("""COMPUTED_VALUE"""),"格納済み")</f>
        <v>格納済み</v>
      </c>
      <c r="U2240" s="15" t="str">
        <f>IFERROR(__xludf.DUMMYFUNCTION("""COMPUTED_VALUE"""),"(C)ぺこまる/蓮井子鹿/parasite garden/クロスフォリオ出版")</f>
        <v>(C)ぺこまる/蓮井子鹿/parasite garden/クロスフォリオ出版</v>
      </c>
      <c r="V2240" s="8" t="str">
        <f>IFERROR(__xludf.DUMMYFUNCTION("""COMPUTED_VALUE"""),"あなたは性的な行為で心から満足をしたことがなかった。
気持ちいいと感じることはできるし、行為自体は嫌いでなかったが
どうしても、心の底から気持ちいいと思えない。そんなコンプレックスと欲求不満を抱えて生きてきた。
ある日、ひとりでお酒を飲んでいると綺麗な女性に話しかけられ「きっとあなたに必要なモノ」と言われ名刺を渡される。
そこには【Subordination ソウマ】と書かれていた。
少しだけ気になったなあなたは書かれている住所に足を運んだがここは女性向け風俗だと名刺の男、ソウマに説明を受け"&amp;"る。
驚いたあなたは「そういうものには興味がない」と一度断るが”何故か”体がソウマのいう事を聞いてしまう。
どこか妖しい人外じみた雰囲気の男、ソウマとプレイをすることになった貴方だったが――
※本作はぺこまる、蓮井子鹿の個人誌作品の電子書籍版となります。【22ページ】")</f>
        <v>あなたは性的な行為で心から満足をしたことがなかった。
気持ちいいと感じることはできるし、行為自体は嫌いでなかったが
どうしても、心の底から気持ちいいと思えない。そんなコンプレックスと欲求不満を抱えて生きてきた。
ある日、ひとりでお酒を飲んでいると綺麗な女性に話しかけられ「きっとあなたに必要なモノ」と言われ名刺を渡される。
そこには【Subordination ソウマ】と書かれていた。
少しだけ気になったなあなたは書かれている住所に足を運んだがここは女性向け風俗だと名刺の男、ソウマに説明を受ける。
驚いたあなたは「そういうものには興味がない」と一度断るが”何故か”体がソウマのいう事を聞いてしまう。
どこか妖しい人外じみた雰囲気の男、ソウマとプレイをすることになった貴方だったが――
※本作はぺこまる、蓮井子鹿の個人誌作品の電子書籍版となります。【22ページ】</v>
      </c>
      <c r="W2240" s="14"/>
      <c r="X2240" s="14" t="str">
        <f>IFERROR(__xludf.DUMMYFUNCTION("""COMPUTED_VALUE"""),"有")</f>
        <v>有</v>
      </c>
      <c r="Y2240" s="8" t="str">
        <f>IFERROR(__xludf.DUMMYFUNCTION("""COMPUTED_VALUE"""),"P14まで")</f>
        <v>P14まで</v>
      </c>
      <c r="Z2240" s="7"/>
      <c r="AA2240" s="7"/>
      <c r="AB2240" s="7"/>
    </row>
    <row r="2241" ht="15.75" customHeight="1">
      <c r="A2241" s="66">
        <f>IFERROR(__xludf.DUMMYFUNCTION("""COMPUTED_VALUE"""),4253.0)</f>
        <v>4253</v>
      </c>
      <c r="B2241" s="75" t="str">
        <f>IFERROR(__xludf.DUMMYFUNCTION("""COMPUTED_VALUE"""),"確定")</f>
        <v>確定</v>
      </c>
      <c r="C2241" s="68">
        <f>IFERROR(__xludf.DUMMYFUNCTION("""COMPUTED_VALUE"""),45572.0)</f>
        <v>45572</v>
      </c>
      <c r="D2241" s="68">
        <f>IFERROR(__xludf.DUMMYFUNCTION("""COMPUTED_VALUE"""),45573.0)</f>
        <v>45573</v>
      </c>
      <c r="E2241" s="60">
        <f>IFERROR(__xludf.DUMMYFUNCTION("""COMPUTED_VALUE"""),305045.0)</f>
        <v>305045</v>
      </c>
      <c r="F2241" s="60" t="str">
        <f>IFERROR(__xludf.DUMMYFUNCTION("""COMPUTED_VALUE"""),"Subordination～貴方のためだけのマゾ向け風俗でどろどろ快楽堕ち～【R版】")</f>
        <v>Subordination～貴方のためだけのマゾ向け風俗でどろどろ快楽堕ち～【R版】</v>
      </c>
      <c r="G2241" s="67" t="str">
        <f>IFERROR(__xludf.DUMMYFUNCTION("""COMPUTED_VALUE"""),"1~4")</f>
        <v>1~4</v>
      </c>
      <c r="H2241" s="75" t="str">
        <f>IFERROR(__xludf.DUMMYFUNCTION("""COMPUTED_VALUE"""),"ぺこまる┴蓮井子鹿┴parasite garden")</f>
        <v>ぺこまる┴蓮井子鹿┴parasite garden</v>
      </c>
      <c r="I2241" s="75" t="str">
        <f>IFERROR(__xludf.DUMMYFUNCTION("""COMPUTED_VALUE"""),"オトナ")</f>
        <v>オトナ</v>
      </c>
      <c r="J2241" s="75"/>
      <c r="K2241" s="75"/>
      <c r="L2241" s="75" t="str">
        <f>IFERROR(__xludf.DUMMYFUNCTION("""COMPUTED_VALUE"""),"クロスフォリオ出版")</f>
        <v>クロスフォリオ出版</v>
      </c>
      <c r="M2241" s="94">
        <f>IFERROR(__xludf.DUMMYFUNCTION("""COMPUTED_VALUE"""),45576.0)</f>
        <v>45576</v>
      </c>
      <c r="N2241" s="94">
        <f>IFERROR(__xludf.DUMMYFUNCTION("""COMPUTED_VALUE"""),45638.0)</f>
        <v>45638</v>
      </c>
      <c r="O2241" s="75"/>
      <c r="P2241" s="80" t="str">
        <f>IFERROR(__xludf.DUMMYFUNCTION("""COMPUTED_VALUE"""),"可")</f>
        <v>可</v>
      </c>
      <c r="Q2241" s="72" t="str">
        <f>IFERROR(__xludf.DUMMYFUNCTION("""COMPUTED_VALUE"""),"『parasite garden』レーベル作品です。&lt;BR&gt;河上さん事前コミット済みです。&lt;BR&gt;登録が遅くなり申し訳ありません。先方都合なので準備でき次第なるはやでの出稿でOKですのでよろしくお願いいたします。。！")</f>
        <v>『parasite garden』レーベル作品です。&lt;BR&gt;河上さん事前コミット済みです。&lt;BR&gt;登録が遅くなり申し訳ありません。先方都合なので準備でき次第なるはやでの出稿でOKですのでよろしくお願いいたします。。！</v>
      </c>
      <c r="R2241" s="75"/>
      <c r="S2241" s="75" t="str">
        <f>IFERROR(__xludf.DUMMYFUNCTION("""COMPUTED_VALUE"""),"20241007_BookLive_Subordination～貴方のためだけのマゾ向け風俗でどろどろ快楽堕ち～【R版】")</f>
        <v>20241007_BookLive_Subordination～貴方のためだけのマゾ向け風俗でどろどろ快楽堕ち～【R版】</v>
      </c>
      <c r="T2241" s="75" t="str">
        <f>IFERROR(__xludf.DUMMYFUNCTION("""COMPUTED_VALUE"""),"格納済み")</f>
        <v>格納済み</v>
      </c>
      <c r="U2241" s="15" t="str">
        <f>IFERROR(__xludf.DUMMYFUNCTION("""COMPUTED_VALUE"""),"(C)ぺこまる/蓮井子鹿/parasite garden/クロスフォリオ出版")</f>
        <v>(C)ぺこまる/蓮井子鹿/parasite garden/クロスフォリオ出版</v>
      </c>
      <c r="V2241" s="8" t="str">
        <f>IFERROR(__xludf.DUMMYFUNCTION("""COMPUTED_VALUE"""),"あなたは性的な行為で心から満足をしたことがなかった。
気持ちいいと感じることはできるし、行為自体は嫌いでなかったが
どうしても、心の底から気持ちいいと思えない。そんなコンプレックスと欲求不満を抱えて生きてきた。
ある日、ひとりでお酒を飲んでいると綺麗な女性に話しかけられ「きっとあなたに必要なモノ」と言われ名刺を渡される。
そこには【Subordination ソウマ】と書かれていた。
少しだけ気になったなあなたは書かれている住所に足を運んだがここは女性向け風俗だと名刺の男、ソウマに説明を受け"&amp;"る。
驚いたあなたは「そういうものには興味がない」と一度断るが”何故か”体がソウマのいう事を聞いてしまう。
どこか妖しい人外じみた雰囲気の男、ソウマとプレイをすることになった貴方だったが――
※本作はぺこまる、蓮井子鹿の個人誌作品の電子書籍版となります。【22ページ】
※本作は『Subordination～貴方のためのマゾ向け風俗でどろどろ快楽堕ち～』の修正をやや弱めたものです。内容に差異はありません。")</f>
        <v>あなたは性的な行為で心から満足をしたことがなかった。
気持ちいいと感じることはできるし、行為自体は嫌いでなかったが
どうしても、心の底から気持ちいいと思えない。そんなコンプレックスと欲求不満を抱えて生きてきた。
ある日、ひとりでお酒を飲んでいると綺麗な女性に話しかけられ「きっとあなたに必要なモノ」と言われ名刺を渡される。
そこには【Subordination ソウマ】と書かれていた。
少しだけ気になったなあなたは書かれている住所に足を運んだがここは女性向け風俗だと名刺の男、ソウマに説明を受ける。
驚いたあなたは「そういうものには興味がない」と一度断るが”何故か”体がソウマのいう事を聞いてしまう。
どこか妖しい人外じみた雰囲気の男、ソウマとプレイをすることになった貴方だったが――
※本作はぺこまる、蓮井子鹿の個人誌作品の電子書籍版となります。【22ページ】
※本作は『Subordination～貴方のためのマゾ向け風俗でどろどろ快楽堕ち～』の修正をやや弱めたものです。内容に差異はありません。</v>
      </c>
      <c r="W2241" s="14"/>
      <c r="X2241" s="14" t="str">
        <f>IFERROR(__xludf.DUMMYFUNCTION("""COMPUTED_VALUE"""),"有")</f>
        <v>有</v>
      </c>
      <c r="Y2241" s="8" t="str">
        <f>IFERROR(__xludf.DUMMYFUNCTION("""COMPUTED_VALUE"""),"P14まで")</f>
        <v>P14まで</v>
      </c>
      <c r="Z2241" s="7"/>
      <c r="AA2241" s="7"/>
      <c r="AB2241" s="7"/>
    </row>
    <row r="2242" ht="15.75" customHeight="1">
      <c r="A2242" s="66">
        <f>IFERROR(__xludf.DUMMYFUNCTION("""COMPUTED_VALUE"""),4254.0)</f>
        <v>4254</v>
      </c>
      <c r="B2242" s="75" t="str">
        <f>IFERROR(__xludf.DUMMYFUNCTION("""COMPUTED_VALUE"""),"確定")</f>
        <v>確定</v>
      </c>
      <c r="C2242" s="68">
        <f>IFERROR(__xludf.DUMMYFUNCTION("""COMPUTED_VALUE"""),45572.0)</f>
        <v>45572</v>
      </c>
      <c r="D2242" s="68">
        <f>IFERROR(__xludf.DUMMYFUNCTION("""COMPUTED_VALUE"""),45573.0)</f>
        <v>45573</v>
      </c>
      <c r="E2242" s="60">
        <f>IFERROR(__xludf.DUMMYFUNCTION("""COMPUTED_VALUE"""),304313.0)</f>
        <v>304313</v>
      </c>
      <c r="F2242" s="60" t="str">
        <f>IFERROR(__xludf.DUMMYFUNCTION("""COMPUTED_VALUE"""),"冷酷国王が私にだけご執心な件")</f>
        <v>冷酷国王が私にだけご執心な件</v>
      </c>
      <c r="G2242" s="67" t="str">
        <f>IFERROR(__xludf.DUMMYFUNCTION("""COMPUTED_VALUE"""),"1～2")</f>
        <v>1～2</v>
      </c>
      <c r="H2242" s="75" t="str">
        <f>IFERROR(__xludf.DUMMYFUNCTION("""COMPUTED_VALUE"""),"光星影月／COMIC ROOM")</f>
        <v>光星影月／COMIC ROOM</v>
      </c>
      <c r="I2242" s="75" t="str">
        <f>IFERROR(__xludf.DUMMYFUNCTION("""COMPUTED_VALUE"""),"女性")</f>
        <v>女性</v>
      </c>
      <c r="J2242" s="75"/>
      <c r="K2242" s="75"/>
      <c r="L2242" s="75" t="str">
        <f>IFERROR(__xludf.DUMMYFUNCTION("""COMPUTED_VALUE"""),"コミックルーム")</f>
        <v>コミックルーム</v>
      </c>
      <c r="M2242" s="94">
        <f>IFERROR(__xludf.DUMMYFUNCTION("""COMPUTED_VALUE"""),45580.0)</f>
        <v>45580</v>
      </c>
      <c r="N2242" s="59">
        <f>IFERROR(__xludf.DUMMYFUNCTION("""COMPUTED_VALUE"""),45671.0)</f>
        <v>45671</v>
      </c>
      <c r="O2242" s="75"/>
      <c r="P2242" s="71" t="str">
        <f>IFERROR(__xludf.DUMMYFUNCTION("""COMPUTED_VALUE"""),"可")</f>
        <v>可</v>
      </c>
      <c r="Q2242" s="72"/>
      <c r="R2242" s="75"/>
      <c r="S2242" s="75" t="str">
        <f>IFERROR(__xludf.DUMMYFUNCTION("""COMPUTED_VALUE"""),"20241007_コミックルーム_冷酷国王が私にだけご執心な件")</f>
        <v>20241007_コミックルーム_冷酷国王が私にだけご執心な件</v>
      </c>
      <c r="T2242" s="75" t="str">
        <f>IFERROR(__xludf.DUMMYFUNCTION("""COMPUTED_VALUE"""),"格納済み")</f>
        <v>格納済み</v>
      </c>
      <c r="U2242" s="15" t="str">
        <f>IFERROR(__xludf.DUMMYFUNCTION("""COMPUTED_VALUE"""),"(c)光星影月／COMIC ROOM")</f>
        <v>(c)光星影月／COMIC ROOM</v>
      </c>
      <c r="V2242" s="8" t="str">
        <f>IFERROR(__xludf.DUMMYFUNCTION("""COMPUTED_VALUE"""),"男爵令嬢エマは、幼い頃に悪魔から呪いをかけられてしまう。
その呪いとは、頭の中に思い浮かべた言葉が全て口に出てしまうというものだった！
空気を読まずになんでも口にしてしまう彼女に、周囲の人々は呆れ、離れていく。そしてついには婚約者にも愛想を尽かされ、婚約破棄までされてしまう・・・。
悲しみに打ちひしがれるエマのもとに、一通の手紙が届く。
それは、誰もが恐れるバウル王からの招待状だったのだが──？
正直すぎる令嬢と冷酷国王のドタバタラブコメディ、ここに開幕！！！
※本作品の１・２巻は『溺れるほど"&amp;"愛されて、幸せになってみせますわ！アンソロジーコミック8巻』の収録作品です。")</f>
        <v>男爵令嬢エマは、幼い頃に悪魔から呪いをかけられてしまう。
その呪いとは、頭の中に思い浮かべた言葉が全て口に出てしまうというものだった！
空気を読まずになんでも口にしてしまう彼女に、周囲の人々は呆れ、離れていく。そしてついには婚約者にも愛想を尽かされ、婚約破棄までされてしまう・・・。
悲しみに打ちひしがれるエマのもとに、一通の手紙が届く。
それは、誰もが恐れるバウル王からの招待状だったのだが──？
正直すぎる令嬢と冷酷国王のドタバタラブコメディ、ここに開幕！！！
※本作品の１・２巻は『溺れるほど愛されて、幸せになってみせますわ！アンソロジーコミック8巻』の収録作品です。</v>
      </c>
      <c r="W2242" s="14"/>
      <c r="X2242" s="14" t="str">
        <f>IFERROR(__xludf.DUMMYFUNCTION("""COMPUTED_VALUE"""),"有")</f>
        <v>有</v>
      </c>
      <c r="Y2242" s="8" t="str">
        <f>IFERROR(__xludf.DUMMYFUNCTION("""COMPUTED_VALUE"""),"P9まで")</f>
        <v>P9まで</v>
      </c>
      <c r="Z2242" s="7"/>
      <c r="AA2242" s="7"/>
      <c r="AB2242" s="7"/>
    </row>
    <row r="2243" ht="15.75" customHeight="1">
      <c r="A2243" s="66">
        <f>IFERROR(__xludf.DUMMYFUNCTION("""COMPUTED_VALUE"""),4255.0)</f>
        <v>4255</v>
      </c>
      <c r="B2243" s="75" t="str">
        <f>IFERROR(__xludf.DUMMYFUNCTION("""COMPUTED_VALUE"""),"確定")</f>
        <v>確定</v>
      </c>
      <c r="C2243" s="68">
        <f>IFERROR(__xludf.DUMMYFUNCTION("""COMPUTED_VALUE"""),45572.0)</f>
        <v>45572</v>
      </c>
      <c r="D2243" s="68">
        <f>IFERROR(__xludf.DUMMYFUNCTION("""COMPUTED_VALUE"""),45573.0)</f>
        <v>45573</v>
      </c>
      <c r="E2243" s="60">
        <f>IFERROR(__xludf.DUMMYFUNCTION("""COMPUTED_VALUE"""),304315.0)</f>
        <v>304315</v>
      </c>
      <c r="F2243" s="60" t="str">
        <f>IFERROR(__xludf.DUMMYFUNCTION("""COMPUTED_VALUE"""),"氷の令嬢は、王太子の甘い溺愛で溶かされる")</f>
        <v>氷の令嬢は、王太子の甘い溺愛で溶かされる</v>
      </c>
      <c r="G2243" s="67" t="str">
        <f>IFERROR(__xludf.DUMMYFUNCTION("""COMPUTED_VALUE"""),"1～2")</f>
        <v>1～2</v>
      </c>
      <c r="H2243" s="75" t="str">
        <f>IFERROR(__xludf.DUMMYFUNCTION("""COMPUTED_VALUE"""),"榊／COMIC ROOM")</f>
        <v>榊／COMIC ROOM</v>
      </c>
      <c r="I2243" s="75" t="str">
        <f>IFERROR(__xludf.DUMMYFUNCTION("""COMPUTED_VALUE"""),"女性")</f>
        <v>女性</v>
      </c>
      <c r="J2243" s="75"/>
      <c r="K2243" s="75"/>
      <c r="L2243" s="75" t="str">
        <f>IFERROR(__xludf.DUMMYFUNCTION("""COMPUTED_VALUE"""),"コミックルーム")</f>
        <v>コミックルーム</v>
      </c>
      <c r="M2243" s="94">
        <f>IFERROR(__xludf.DUMMYFUNCTION("""COMPUTED_VALUE"""),45580.0)</f>
        <v>45580</v>
      </c>
      <c r="N2243" s="59">
        <f>IFERROR(__xludf.DUMMYFUNCTION("""COMPUTED_VALUE"""),45671.0)</f>
        <v>45671</v>
      </c>
      <c r="O2243" s="75"/>
      <c r="P2243" s="71" t="str">
        <f>IFERROR(__xludf.DUMMYFUNCTION("""COMPUTED_VALUE"""),"可")</f>
        <v>可</v>
      </c>
      <c r="Q2243" s="72"/>
      <c r="R2243" s="75"/>
      <c r="S2243" s="75" t="str">
        <f>IFERROR(__xludf.DUMMYFUNCTION("""COMPUTED_VALUE"""),"20241007_コミックルーム_氷の令嬢は、王太子の甘い溺愛で溶かされる")</f>
        <v>20241007_コミックルーム_氷の令嬢は、王太子の甘い溺愛で溶かされる</v>
      </c>
      <c r="T2243" s="75" t="str">
        <f>IFERROR(__xludf.DUMMYFUNCTION("""COMPUTED_VALUE"""),"格納済み")</f>
        <v>格納済み</v>
      </c>
      <c r="U2243" s="15" t="str">
        <f>IFERROR(__xludf.DUMMYFUNCTION("""COMPUTED_VALUE"""),"(c)榊／COMIC ROOM")</f>
        <v>(c)榊／COMIC ROOM</v>
      </c>
      <c r="V2243" s="8" t="str">
        <f>IFERROR(__xludf.DUMMYFUNCTION("""COMPUTED_VALUE"""),"侯爵令嬢ソフィアは、“貴族たる者、感情を表に出すべきではない”と幼少期から厳しく育てられてきた。
その結果、常に無表情になってしまったソフィアは、周囲と馴染めず学院で孤立してしまっていた。
そんなある日、ソフィアは留学生のフェリクスと出会う。彼は、ソフィアの無表情の奥に隠された本当の感情に気づき、寄り添ってくれた。
時間を重ねるうちに、ソフィアはフェリクスへの感謝と特別な想いを伝えたいと願う・・・。
“鉄仮面”と呼ばれた無表情令嬢が初めて心を開き、深まっていく二人の絆。
そして世界は鮮やかな色彩"&amp;"で輝き始める──。
※本作品の１・２巻は『溺れるほど愛されて、幸せになってみせますわ！アンソロジーコミック8巻』の収録作品です。")</f>
        <v>侯爵令嬢ソフィアは、“貴族たる者、感情を表に出すべきではない”と幼少期から厳しく育てられてきた。
その結果、常に無表情になってしまったソフィアは、周囲と馴染めず学院で孤立してしまっていた。
そんなある日、ソフィアは留学生のフェリクスと出会う。彼は、ソフィアの無表情の奥に隠された本当の感情に気づき、寄り添ってくれた。
時間を重ねるうちに、ソフィアはフェリクスへの感謝と特別な想いを伝えたいと願う・・・。
“鉄仮面”と呼ばれた無表情令嬢が初めて心を開き、深まっていく二人の絆。
そして世界は鮮やかな色彩で輝き始める──。
※本作品の１・２巻は『溺れるほど愛されて、幸せになってみせますわ！アンソロジーコミック8巻』の収録作品です。</v>
      </c>
      <c r="W2243" s="14"/>
      <c r="X2243" s="14" t="str">
        <f>IFERROR(__xludf.DUMMYFUNCTION("""COMPUTED_VALUE"""),"有")</f>
        <v>有</v>
      </c>
      <c r="Y2243" s="8" t="str">
        <f>IFERROR(__xludf.DUMMYFUNCTION("""COMPUTED_VALUE"""),"P10まで")</f>
        <v>P10まで</v>
      </c>
      <c r="Z2243" s="7"/>
      <c r="AA2243" s="7"/>
      <c r="AB2243" s="7"/>
    </row>
    <row r="2244" ht="15.75" customHeight="1">
      <c r="A2244" s="66">
        <f>IFERROR(__xludf.DUMMYFUNCTION("""COMPUTED_VALUE"""),4256.0)</f>
        <v>4256</v>
      </c>
      <c r="B2244" s="75" t="str">
        <f>IFERROR(__xludf.DUMMYFUNCTION("""COMPUTED_VALUE"""),"確定")</f>
        <v>確定</v>
      </c>
      <c r="C2244" s="68">
        <f>IFERROR(__xludf.DUMMYFUNCTION("""COMPUTED_VALUE"""),45572.0)</f>
        <v>45572</v>
      </c>
      <c r="D2244" s="68">
        <f>IFERROR(__xludf.DUMMYFUNCTION("""COMPUTED_VALUE"""),45573.0)</f>
        <v>45573</v>
      </c>
      <c r="E2244" s="60">
        <f>IFERROR(__xludf.DUMMYFUNCTION("""COMPUTED_VALUE"""),305522.0)</f>
        <v>305522</v>
      </c>
      <c r="F2244" s="60" t="str">
        <f>IFERROR(__xludf.DUMMYFUNCTION("""COMPUTED_VALUE"""),"貴方が愛を唄うから、私は愛を奏でます")</f>
        <v>貴方が愛を唄うから、私は愛を奏でます</v>
      </c>
      <c r="G2244" s="67" t="str">
        <f>IFERROR(__xludf.DUMMYFUNCTION("""COMPUTED_VALUE"""),"1～3")</f>
        <v>1～3</v>
      </c>
      <c r="H2244" s="75" t="str">
        <f>IFERROR(__xludf.DUMMYFUNCTION("""COMPUTED_VALUE"""),"白瀬るい／COMIC ROOM")</f>
        <v>白瀬るい／COMIC ROOM</v>
      </c>
      <c r="I2244" s="75" t="str">
        <f>IFERROR(__xludf.DUMMYFUNCTION("""COMPUTED_VALUE"""),"女性")</f>
        <v>女性</v>
      </c>
      <c r="J2244" s="75"/>
      <c r="K2244" s="75"/>
      <c r="L2244" s="75" t="str">
        <f>IFERROR(__xludf.DUMMYFUNCTION("""COMPUTED_VALUE"""),"コミックルーム")</f>
        <v>コミックルーム</v>
      </c>
      <c r="M2244" s="94">
        <f>IFERROR(__xludf.DUMMYFUNCTION("""COMPUTED_VALUE"""),45580.0)</f>
        <v>45580</v>
      </c>
      <c r="N2244" s="59">
        <f>IFERROR(__xludf.DUMMYFUNCTION("""COMPUTED_VALUE"""),45671.0)</f>
        <v>45671</v>
      </c>
      <c r="O2244" s="75"/>
      <c r="P2244" s="80" t="str">
        <f>IFERROR(__xludf.DUMMYFUNCTION("""COMPUTED_VALUE"""),"可")</f>
        <v>可</v>
      </c>
      <c r="Q2244" s="72" t="str">
        <f>IFERROR(__xludf.DUMMYFUNCTION("""COMPUTED_VALUE"""),"1話は修正版のファイルをお使いください。")</f>
        <v>1話は修正版のファイルをお使いください。</v>
      </c>
      <c r="R2244" s="75"/>
      <c r="S2244" s="75" t="str">
        <f>IFERROR(__xludf.DUMMYFUNCTION("""COMPUTED_VALUE"""),"20241007_コミックルーム_貴女が愛を唄うから、私は愛を奏でます")</f>
        <v>20241007_コミックルーム_貴女が愛を唄うから、私は愛を奏でます</v>
      </c>
      <c r="T2244" s="75" t="str">
        <f>IFERROR(__xludf.DUMMYFUNCTION("""COMPUTED_VALUE"""),"格納済み")</f>
        <v>格納済み</v>
      </c>
      <c r="U2244" s="15" t="str">
        <f>IFERROR(__xludf.DUMMYFUNCTION("""COMPUTED_VALUE"""),"(c)白瀬るい／COMIC ROOM")</f>
        <v>(c)白瀬るい／COMIC ROOM</v>
      </c>
      <c r="V2244" s="8" t="str">
        <f>IFERROR(__xludf.DUMMYFUNCTION("""COMPUTED_VALUE"""),"侯爵令嬢アリアは、幼い頃から婚約者レオナルドのためにバイオリンを弾いてきた。
彼のためなら、どんな厳しい練習も乗り越えられた。
しかしある日、レオナルドは資金援助を受けるため、他の女性と婚約することをアリアに告げる。
「君はバイオリンが上手だ　だがそれが何の役に立つ？」
その日、アリアの世界は音もなく崩れた。
彼女はバイオリンを物置にしまい、音楽からも遠ざかり、
塞ぎ込む日々を過ごすようになっていった。
そんな彼女の前に現れたのは、子爵令息アルフレッドだった。
「私の歌に合わせ"&amp;"てバイオリンを弾いてくれませんか」
その言葉に心を動かされ、アリアは再びバイオリンを手に取る。
愛を唄い、愛を奏でる二人の舞台が今、幕を開ける。
※本作品の１・２・３巻は『溺れるほど愛されて、幸せになってみせますわ！アンソロジーコミック8巻』の収録作品です。")</f>
        <v>侯爵令嬢アリアは、幼い頃から婚約者レオナルドのためにバイオリンを弾いてきた。
彼のためなら、どんな厳しい練習も乗り越えられた。
しかしある日、レオナルドは資金援助を受けるため、他の女性と婚約することをアリアに告げる。
「君はバイオリンが上手だ　だがそれが何の役に立つ？」
その日、アリアの世界は音もなく崩れた。
彼女はバイオリンを物置にしまい、音楽からも遠ざかり、
塞ぎ込む日々を過ごすようになっていった。
そんな彼女の前に現れたのは、子爵令息アルフレッドだった。
「私の歌に合わせてバイオリンを弾いてくれませんか」
その言葉に心を動かされ、アリアは再びバイオリンを手に取る。
愛を唄い、愛を奏でる二人の舞台が今、幕を開ける。
※本作品の１・２・３巻は『溺れるほど愛されて、幸せになってみせますわ！アンソロジーコミック8巻』の収録作品です。</v>
      </c>
      <c r="W2244" s="14"/>
      <c r="X2244" s="14" t="str">
        <f>IFERROR(__xludf.DUMMYFUNCTION("""COMPUTED_VALUE"""),"有")</f>
        <v>有</v>
      </c>
      <c r="Y2244" s="8" t="str">
        <f>IFERROR(__xludf.DUMMYFUNCTION("""COMPUTED_VALUE"""),"P11まで")</f>
        <v>P11まで</v>
      </c>
      <c r="Z2244" s="7"/>
      <c r="AA2244" s="7"/>
      <c r="AB2244" s="7"/>
    </row>
    <row r="2245" ht="15.75" customHeight="1">
      <c r="A2245" s="66">
        <f>IFERROR(__xludf.DUMMYFUNCTION("""COMPUTED_VALUE"""),4265.0)</f>
        <v>4265</v>
      </c>
      <c r="B2245" s="75" t="str">
        <f>IFERROR(__xludf.DUMMYFUNCTION("""COMPUTED_VALUE"""),"確定")</f>
        <v>確定</v>
      </c>
      <c r="C2245" s="68">
        <f>IFERROR(__xludf.DUMMYFUNCTION("""COMPUTED_VALUE"""),45572.0)</f>
        <v>45572</v>
      </c>
      <c r="D2245" s="68">
        <f>IFERROR(__xludf.DUMMYFUNCTION("""COMPUTED_VALUE"""),45573.0)</f>
        <v>45573</v>
      </c>
      <c r="E2245" s="60">
        <f>IFERROR(__xludf.DUMMYFUNCTION("""COMPUTED_VALUE"""),306661.0)</f>
        <v>306661</v>
      </c>
      <c r="F2245" s="60" t="str">
        <f>IFERROR(__xludf.DUMMYFUNCTION("""COMPUTED_VALUE"""),"後宮の密やかな戯れ ～溺愛しすぎのお兄様～")</f>
        <v>後宮の密やかな戯れ ～溺愛しすぎのお兄様～</v>
      </c>
      <c r="G2245" s="67" t="str">
        <f>IFERROR(__xludf.DUMMYFUNCTION("""COMPUTED_VALUE"""),"1～3")</f>
        <v>1～3</v>
      </c>
      <c r="H2245" s="75" t="str">
        <f>IFERROR(__xludf.DUMMYFUNCTION("""COMPUTED_VALUE"""),"漫画：獅童ありす／原作：京極れな")</f>
        <v>漫画：獅童ありす／原作：京極れな</v>
      </c>
      <c r="I2245" s="75" t="str">
        <f>IFERROR(__xludf.DUMMYFUNCTION("""COMPUTED_VALUE"""),"女性")</f>
        <v>女性</v>
      </c>
      <c r="J2245" s="75"/>
      <c r="K2245" s="75"/>
      <c r="L2245" s="75" t="str">
        <f>IFERROR(__xludf.DUMMYFUNCTION("""COMPUTED_VALUE"""),"集英社")</f>
        <v>集英社</v>
      </c>
      <c r="M2245" s="23">
        <f>IFERROR(__xludf.DUMMYFUNCTION("""COMPUTED_VALUE"""),45597.0)</f>
        <v>45597</v>
      </c>
      <c r="N2245" s="94">
        <f>IFERROR(__xludf.DUMMYFUNCTION("""COMPUTED_VALUE"""),45626.0)</f>
        <v>45626</v>
      </c>
      <c r="O2245" s="75"/>
      <c r="P2245" s="80" t="str">
        <f>IFERROR(__xludf.DUMMYFUNCTION("""COMPUTED_VALUE"""),"否")</f>
        <v>否</v>
      </c>
      <c r="Q2245" s="72" t="str">
        <f>IFERROR(__xludf.DUMMYFUNCTION("""COMPUTED_VALUE"""),"レーベル：異世界マーガレット")</f>
        <v>レーベル：異世界マーガレット</v>
      </c>
      <c r="R2245" s="75"/>
      <c r="S2245" s="75" t="str">
        <f>IFERROR(__xludf.DUMMYFUNCTION("""COMPUTED_VALUE"""),"20241007_集英社_後宮の密やかな戯れ ～溺愛しすぎのお兄様～")</f>
        <v>20241007_集英社_後宮の密やかな戯れ ～溺愛しすぎのお兄様～</v>
      </c>
      <c r="T2245" s="75" t="str">
        <f>IFERROR(__xludf.DUMMYFUNCTION("""COMPUTED_VALUE"""),"格納済み")</f>
        <v>格納済み</v>
      </c>
      <c r="U2245" s="15" t="str">
        <f>IFERROR(__xludf.DUMMYFUNCTION("""COMPUTED_VALUE"""),"(c)獅童ありす・京極れな／集英社")</f>
        <v>(c)獅童ありす・京極れな／集英社</v>
      </c>
      <c r="V2245" s="8" t="str">
        <f>IFERROR(__xludf.DUMMYFUNCTION("""COMPUTED_VALUE"""),"淵国の後宮で暮らしている・瑛洛（えいらく）には、四つ上の兄・脩晟（ゆうせい）がいる。彼は若くして帝位に就き、大胆な改革を行って人心を集めたものの政敵は多い。そして瑛洛に執着し、溺愛している。汪貴太妃の宴で瑛洛に縁談が持ち上がった夜、不機嫌になった脩晟と二人きりになると口づけされてしまい!?　しかし、兄の想いに心揺れる瑛洛には、誰にも言えない秘密があって…？　兄と妹のアブナイ関係を、小説イラストを手掛けた獅童ありすがコミカライズ!!")</f>
        <v>淵国の後宮で暮らしている・瑛洛（えいらく）には、四つ上の兄・脩晟（ゆうせい）がいる。彼は若くして帝位に就き、大胆な改革を行って人心を集めたものの政敵は多い。そして瑛洛に執着し、溺愛している。汪貴太妃の宴で瑛洛に縁談が持ち上がった夜、不機嫌になった脩晟と二人きりになると口づけされてしまい!?　しかし、兄の想いに心揺れる瑛洛には、誰にも言えない秘密があって…？　兄と妹のアブナイ関係を、小説イラストを手掛けた獅童ありすがコミカライズ!!</v>
      </c>
      <c r="W2245" s="14"/>
      <c r="X2245" s="14" t="str">
        <f>IFERROR(__xludf.DUMMYFUNCTION("""COMPUTED_VALUE"""),"有")</f>
        <v>有</v>
      </c>
      <c r="Y2245" s="8" t="str">
        <f>IFERROR(__xludf.DUMMYFUNCTION("""COMPUTED_VALUE"""),"P13まで")</f>
        <v>P13まで</v>
      </c>
      <c r="Z2245" s="7"/>
      <c r="AA2245" s="7"/>
      <c r="AB2245" s="7"/>
    </row>
    <row r="2246" ht="15.75" customHeight="1">
      <c r="A2246" s="66">
        <f>IFERROR(__xludf.DUMMYFUNCTION("""COMPUTED_VALUE"""),4266.0)</f>
        <v>4266</v>
      </c>
      <c r="B2246" s="75" t="str">
        <f>IFERROR(__xludf.DUMMYFUNCTION("""COMPUTED_VALUE"""),"確定")</f>
        <v>確定</v>
      </c>
      <c r="C2246" s="68">
        <f>IFERROR(__xludf.DUMMYFUNCTION("""COMPUTED_VALUE"""),45572.0)</f>
        <v>45572</v>
      </c>
      <c r="D2246" s="68">
        <f>IFERROR(__xludf.DUMMYFUNCTION("""COMPUTED_VALUE"""),45573.0)</f>
        <v>45573</v>
      </c>
      <c r="E2246" s="60">
        <f>IFERROR(__xludf.DUMMYFUNCTION("""COMPUTED_VALUE"""),306662.0)</f>
        <v>306662</v>
      </c>
      <c r="F2246" s="60" t="str">
        <f>IFERROR(__xludf.DUMMYFUNCTION("""COMPUTED_VALUE"""),"策士な女装王子は男装令嬢とのいちゃラブをご所望です")</f>
        <v>策士な女装王子は男装令嬢とのいちゃラブをご所望です</v>
      </c>
      <c r="G2246" s="67" t="str">
        <f>IFERROR(__xludf.DUMMYFUNCTION("""COMPUTED_VALUE"""),"1～3")</f>
        <v>1～3</v>
      </c>
      <c r="H2246" s="75" t="str">
        <f>IFERROR(__xludf.DUMMYFUNCTION("""COMPUTED_VALUE"""),"漫画：えぞのいな／原作：葉月エリカ／キャラクター原案：駒田ハチ")</f>
        <v>漫画：えぞのいな／原作：葉月エリカ／キャラクター原案：駒田ハチ</v>
      </c>
      <c r="I2246" s="75" t="str">
        <f>IFERROR(__xludf.DUMMYFUNCTION("""COMPUTED_VALUE"""),"女性")</f>
        <v>女性</v>
      </c>
      <c r="J2246" s="75"/>
      <c r="K2246" s="75"/>
      <c r="L2246" s="75" t="str">
        <f>IFERROR(__xludf.DUMMYFUNCTION("""COMPUTED_VALUE"""),"集英社")</f>
        <v>集英社</v>
      </c>
      <c r="M2246" s="23">
        <f>IFERROR(__xludf.DUMMYFUNCTION("""COMPUTED_VALUE"""),45597.0)</f>
        <v>45597</v>
      </c>
      <c r="N2246" s="94">
        <f>IFERROR(__xludf.DUMMYFUNCTION("""COMPUTED_VALUE"""),45626.0)</f>
        <v>45626</v>
      </c>
      <c r="O2246" s="75"/>
      <c r="P2246" s="80" t="str">
        <f>IFERROR(__xludf.DUMMYFUNCTION("""COMPUTED_VALUE"""),"否")</f>
        <v>否</v>
      </c>
      <c r="Q2246" s="72" t="str">
        <f>IFERROR(__xludf.DUMMYFUNCTION("""COMPUTED_VALUE"""),"レーベル：異世界マーガレット")</f>
        <v>レーベル：異世界マーガレット</v>
      </c>
      <c r="R2246" s="75"/>
      <c r="S2246" s="75" t="str">
        <f>IFERROR(__xludf.DUMMYFUNCTION("""COMPUTED_VALUE"""),"20241007_集英社_策士な女装王子は男装令嬢とのいちゃラブをご所望です")</f>
        <v>20241007_集英社_策士な女装王子は男装令嬢とのいちゃラブをご所望です</v>
      </c>
      <c r="T2246" s="75" t="str">
        <f>IFERROR(__xludf.DUMMYFUNCTION("""COMPUTED_VALUE"""),"格納済み")</f>
        <v>格納済み</v>
      </c>
      <c r="U2246" s="15" t="str">
        <f>IFERROR(__xludf.DUMMYFUNCTION("""COMPUTED_VALUE"""),"(c)えぞのいな・葉月エリカ／集英社")</f>
        <v>(c)えぞのいな・葉月エリカ／集英社</v>
      </c>
      <c r="V2246" s="8" t="str">
        <f>IFERROR(__xludf.DUMMYFUNCTION("""COMPUTED_VALUE"""),"【男装令嬢が護衛する王女の正体は…王子様!?】男性が苦手な侯爵令嬢・カルラは、とある出来事をきっかけに男装をしたり武術を身につけて、社交界では変わり者として有名だった。それに目を付けた国王から、病弱な王女・シルヴィア専属の女性騎士として見合いの護衛任務を受ける。しかし、守るはずの王女の正体はシルヴィアの兄・シルヴィオで…!?　訳あり男女のえっちな主従ラブストーリー！")</f>
        <v>【男装令嬢が護衛する王女の正体は…王子様!?】男性が苦手な侯爵令嬢・カルラは、とある出来事をきっかけに男装をしたり武術を身につけて、社交界では変わり者として有名だった。それに目を付けた国王から、病弱な王女・シルヴィア専属の女性騎士として見合いの護衛任務を受ける。しかし、守るはずの王女の正体はシルヴィアの兄・シルヴィオで…!?　訳あり男女のえっちな主従ラブストーリー！</v>
      </c>
      <c r="W2246" s="14"/>
      <c r="X2246" s="14" t="str">
        <f>IFERROR(__xludf.DUMMYFUNCTION("""COMPUTED_VALUE"""),"有")</f>
        <v>有</v>
      </c>
      <c r="Y2246" s="8" t="str">
        <f>IFERROR(__xludf.DUMMYFUNCTION("""COMPUTED_VALUE"""),"P6まで")</f>
        <v>P6まで</v>
      </c>
      <c r="Z2246" s="7"/>
      <c r="AA2246" s="7"/>
      <c r="AB2246" s="7"/>
    </row>
    <row r="2247" ht="15.75" customHeight="1">
      <c r="A2247" s="66">
        <f>IFERROR(__xludf.DUMMYFUNCTION("""COMPUTED_VALUE"""),4267.0)</f>
        <v>4267</v>
      </c>
      <c r="B2247" s="75" t="str">
        <f>IFERROR(__xludf.DUMMYFUNCTION("""COMPUTED_VALUE"""),"確定")</f>
        <v>確定</v>
      </c>
      <c r="C2247" s="68">
        <f>IFERROR(__xludf.DUMMYFUNCTION("""COMPUTED_VALUE"""),45572.0)</f>
        <v>45572</v>
      </c>
      <c r="D2247" s="68">
        <f>IFERROR(__xludf.DUMMYFUNCTION("""COMPUTED_VALUE"""),45573.0)</f>
        <v>45573</v>
      </c>
      <c r="E2247" s="60">
        <f>IFERROR(__xludf.DUMMYFUNCTION("""COMPUTED_VALUE"""),306667.0)</f>
        <v>306667</v>
      </c>
      <c r="F2247" s="60" t="str">
        <f>IFERROR(__xludf.DUMMYFUNCTION("""COMPUTED_VALUE"""),"聖女失格")</f>
        <v>聖女失格</v>
      </c>
      <c r="G2247" s="67" t="str">
        <f>IFERROR(__xludf.DUMMYFUNCTION("""COMPUTED_VALUE"""),"1～3")</f>
        <v>1～3</v>
      </c>
      <c r="H2247" s="75" t="str">
        <f>IFERROR(__xludf.DUMMYFUNCTION("""COMPUTED_VALUE"""),"漫画：L田こう／原作：永瀬さらさ／キャラクター原案：神澤葉")</f>
        <v>漫画：L田こう／原作：永瀬さらさ／キャラクター原案：神澤葉</v>
      </c>
      <c r="I2247" s="75" t="str">
        <f>IFERROR(__xludf.DUMMYFUNCTION("""COMPUTED_VALUE"""),"女性")</f>
        <v>女性</v>
      </c>
      <c r="J2247" s="75"/>
      <c r="K2247" s="75"/>
      <c r="L2247" s="75" t="str">
        <f>IFERROR(__xludf.DUMMYFUNCTION("""COMPUTED_VALUE"""),"集英社")</f>
        <v>集英社</v>
      </c>
      <c r="M2247" s="23">
        <f>IFERROR(__xludf.DUMMYFUNCTION("""COMPUTED_VALUE"""),45597.0)</f>
        <v>45597</v>
      </c>
      <c r="N2247" s="94">
        <f>IFERROR(__xludf.DUMMYFUNCTION("""COMPUTED_VALUE"""),45626.0)</f>
        <v>45626</v>
      </c>
      <c r="O2247" s="75"/>
      <c r="P2247" s="80" t="str">
        <f>IFERROR(__xludf.DUMMYFUNCTION("""COMPUTED_VALUE"""),"否")</f>
        <v>否</v>
      </c>
      <c r="Q2247" s="72" t="str">
        <f>IFERROR(__xludf.DUMMYFUNCTION("""COMPUTED_VALUE"""),"レーベル：異世界マーガレット")</f>
        <v>レーベル：異世界マーガレット</v>
      </c>
      <c r="R2247" s="75"/>
      <c r="S2247" s="75" t="str">
        <f>IFERROR(__xludf.DUMMYFUNCTION("""COMPUTED_VALUE"""),"20241007_集英社_聖女失格")</f>
        <v>20241007_集英社_聖女失格</v>
      </c>
      <c r="T2247" s="83" t="str">
        <f>IFERROR(__xludf.DUMMYFUNCTION("""COMPUTED_VALUE"""),"格納済み")</f>
        <v>格納済み</v>
      </c>
      <c r="U2247" s="15" t="str">
        <f>IFERROR(__xludf.DUMMYFUNCTION("""COMPUTED_VALUE"""),"(c)L田こう・永瀬さらさ／集英社	")</f>
        <v>(c)L田こう・永瀬さらさ／集英社	</v>
      </c>
      <c r="V2247" s="8" t="str">
        <f>IFERROR(__xludf.DUMMYFUNCTION("""COMPUTED_VALUE"""),"百年に一度、滅びの未来を回避するために行われる皇帝選。そこでは数多の皇帝候補が聖女と誓約し、皇帝の座を競う。ベルニア聖爵家の長女・シルヴィアは、初代聖女の末裔にもかかわらず、魔力がないことから、家族と領民からも虐げられていた。しかし聖女聖誕の夜、聖女の資格がないはずなのに、なぜか聖眼が宿ってしまう。「実験材料になる！」とシルヴィアは密かに家を飛び出し、死ぬ物狂いで逃げたその時、運命と呼ぶべき出会いを果たすが…!?　オレンジ文庫の大人気小説が、待望のコミカライズ！")</f>
        <v>百年に一度、滅びの未来を回避するために行われる皇帝選。そこでは数多の皇帝候補が聖女と誓約し、皇帝の座を競う。ベルニア聖爵家の長女・シルヴィアは、初代聖女の末裔にもかかわらず、魔力がないことから、家族と領民からも虐げられていた。しかし聖女聖誕の夜、聖女の資格がないはずなのに、なぜか聖眼が宿ってしまう。「実験材料になる！」とシルヴィアは密かに家を飛び出し、死ぬ物狂いで逃げたその時、運命と呼ぶべき出会いを果たすが…!?　オレンジ文庫の大人気小説が、待望のコミカライズ！</v>
      </c>
      <c r="W2247" s="14"/>
      <c r="X2247" s="14" t="str">
        <f>IFERROR(__xludf.DUMMYFUNCTION("""COMPUTED_VALUE"""),"有")</f>
        <v>有</v>
      </c>
      <c r="Y2247" s="8" t="str">
        <f>IFERROR(__xludf.DUMMYFUNCTION("""COMPUTED_VALUE"""),"P23まで")</f>
        <v>P23まで</v>
      </c>
      <c r="Z2247" s="7"/>
      <c r="AA2247" s="7"/>
      <c r="AB2247" s="7"/>
    </row>
    <row r="2248" ht="15.75" customHeight="1">
      <c r="A2248" s="66">
        <f>IFERROR(__xludf.DUMMYFUNCTION("""COMPUTED_VALUE"""),4268.0)</f>
        <v>4268</v>
      </c>
      <c r="B2248" s="75" t="str">
        <f>IFERROR(__xludf.DUMMYFUNCTION("""COMPUTED_VALUE"""),"確定")</f>
        <v>確定</v>
      </c>
      <c r="C2248" s="68">
        <f>IFERROR(__xludf.DUMMYFUNCTION("""COMPUTED_VALUE"""),45572.0)</f>
        <v>45572</v>
      </c>
      <c r="D2248" s="68">
        <f>IFERROR(__xludf.DUMMYFUNCTION("""COMPUTED_VALUE"""),45573.0)</f>
        <v>45573</v>
      </c>
      <c r="E2248" s="60">
        <f>IFERROR(__xludf.DUMMYFUNCTION("""COMPUTED_VALUE"""),306668.0)</f>
        <v>306668</v>
      </c>
      <c r="F2248" s="60" t="str">
        <f>IFERROR(__xludf.DUMMYFUNCTION("""COMPUTED_VALUE"""),"腹へり姫の受難 王子様、食べていいですか？")</f>
        <v>腹へり姫の受難 王子様、食べていいですか？</v>
      </c>
      <c r="G2248" s="67" t="str">
        <f>IFERROR(__xludf.DUMMYFUNCTION("""COMPUTED_VALUE"""),"1～3")</f>
        <v>1～3</v>
      </c>
      <c r="H2248" s="75" t="str">
        <f>IFERROR(__xludf.DUMMYFUNCTION("""COMPUTED_VALUE"""),"漫画：神河雪弥／原作：ひずき優／キャラクター原案：加々見絵里")</f>
        <v>漫画：神河雪弥／原作：ひずき優／キャラクター原案：加々見絵里</v>
      </c>
      <c r="I2248" s="75" t="str">
        <f>IFERROR(__xludf.DUMMYFUNCTION("""COMPUTED_VALUE"""),"女性")</f>
        <v>女性</v>
      </c>
      <c r="J2248" s="75"/>
      <c r="K2248" s="75"/>
      <c r="L2248" s="75" t="str">
        <f>IFERROR(__xludf.DUMMYFUNCTION("""COMPUTED_VALUE"""),"集英社")</f>
        <v>集英社</v>
      </c>
      <c r="M2248" s="23">
        <f>IFERROR(__xludf.DUMMYFUNCTION("""COMPUTED_VALUE"""),45597.0)</f>
        <v>45597</v>
      </c>
      <c r="N2248" s="94">
        <f>IFERROR(__xludf.DUMMYFUNCTION("""COMPUTED_VALUE"""),45626.0)</f>
        <v>45626</v>
      </c>
      <c r="O2248" s="75"/>
      <c r="P2248" s="80" t="str">
        <f>IFERROR(__xludf.DUMMYFUNCTION("""COMPUTED_VALUE"""),"否")</f>
        <v>否</v>
      </c>
      <c r="Q2248" s="72" t="str">
        <f>IFERROR(__xludf.DUMMYFUNCTION("""COMPUTED_VALUE"""),"レーベル名：異世界マーガレット")</f>
        <v>レーベル名：異世界マーガレット</v>
      </c>
      <c r="R2248" s="75"/>
      <c r="S2248" s="75" t="str">
        <f>IFERROR(__xludf.DUMMYFUNCTION("""COMPUTED_VALUE"""),"20241007_集英社_腹へり姫の受難 王子様、食べていいですか？")</f>
        <v>20241007_集英社_腹へり姫の受難 王子様、食べていいですか？</v>
      </c>
      <c r="T2248" s="75" t="str">
        <f>IFERROR(__xludf.DUMMYFUNCTION("""COMPUTED_VALUE"""),"格納済み")</f>
        <v>格納済み</v>
      </c>
      <c r="U2248" s="15" t="str">
        <f>IFERROR(__xludf.DUMMYFUNCTION("""COMPUTED_VALUE"""),"(c)神河雪弥・ひずき優／集英社")</f>
        <v>(c)神河雪弥・ひずき優／集英社</v>
      </c>
      <c r="V2248" s="8" t="str">
        <f>IFERROR(__xludf.DUMMYFUNCTION("""COMPUTED_VALUE"""),"サルシッチャ王国の姫・ティシエナは、生まれたときに受けた呪いのせいでどれだけ食べても空腹が満たされない。亡国の王子で近衛隊長のアルフィアスがあの手この手で節約しているものの、年々国庫を圧迫していく食費…。呪いを解く望みがないならばと、ティシエナは自ら裕福な隣国の王子に政略結婚を申し込むが…!?")</f>
        <v>サルシッチャ王国の姫・ティシエナは、生まれたときに受けた呪いのせいでどれだけ食べても空腹が満たされない。亡国の王子で近衛隊長のアルフィアスがあの手この手で節約しているものの、年々国庫を圧迫していく食費…。呪いを解く望みがないならばと、ティシエナは自ら裕福な隣国の王子に政略結婚を申し込むが…!?</v>
      </c>
      <c r="W2248" s="14"/>
      <c r="X2248" s="14" t="str">
        <f>IFERROR(__xludf.DUMMYFUNCTION("""COMPUTED_VALUE"""),"有")</f>
        <v>有</v>
      </c>
      <c r="Y2248" s="8" t="str">
        <f>IFERROR(__xludf.DUMMYFUNCTION("""COMPUTED_VALUE"""),"P14まで")</f>
        <v>P14まで</v>
      </c>
      <c r="Z2248" s="7"/>
      <c r="AA2248" s="7"/>
      <c r="AB2248" s="7"/>
    </row>
    <row r="2249" ht="15.75" customHeight="1">
      <c r="A2249" s="66">
        <f>IFERROR(__xludf.DUMMYFUNCTION("""COMPUTED_VALUE"""),4269.0)</f>
        <v>4269</v>
      </c>
      <c r="B2249" s="75" t="str">
        <f>IFERROR(__xludf.DUMMYFUNCTION("""COMPUTED_VALUE"""),"確定")</f>
        <v>確定</v>
      </c>
      <c r="C2249" s="68">
        <f>IFERROR(__xludf.DUMMYFUNCTION("""COMPUTED_VALUE"""),45572.0)</f>
        <v>45572</v>
      </c>
      <c r="D2249" s="68">
        <f>IFERROR(__xludf.DUMMYFUNCTION("""COMPUTED_VALUE"""),45573.0)</f>
        <v>45573</v>
      </c>
      <c r="E2249" s="60">
        <f>IFERROR(__xludf.DUMMYFUNCTION("""COMPUTED_VALUE"""),306607.0)</f>
        <v>306607</v>
      </c>
      <c r="F2249" s="82" t="str">
        <f>IFERROR(__xludf.DUMMYFUNCTION("""COMPUTED_VALUE"""),"モラハラDV夫にさよなら！ ～逃げたら新たな恋が始まりました～")</f>
        <v>モラハラDV夫にさよなら！ ～逃げたら新たな恋が始まりました～</v>
      </c>
      <c r="G2249" s="67" t="str">
        <f>IFERROR(__xludf.DUMMYFUNCTION("""COMPUTED_VALUE"""),"1～3")</f>
        <v>1～3</v>
      </c>
      <c r="H2249" s="75" t="str">
        <f>IFERROR(__xludf.DUMMYFUNCTION("""COMPUTED_VALUE"""),"桃山季/すけきよ")</f>
        <v>桃山季/すけきよ</v>
      </c>
      <c r="I2249" s="75" t="str">
        <f>IFERROR(__xludf.DUMMYFUNCTION("""COMPUTED_VALUE"""),"女性")</f>
        <v>女性</v>
      </c>
      <c r="J2249" s="75"/>
      <c r="K2249" s="75"/>
      <c r="L2249" s="75" t="str">
        <f>IFERROR(__xludf.DUMMYFUNCTION("""COMPUTED_VALUE"""),"DPNプラス")</f>
        <v>DPNプラス</v>
      </c>
      <c r="M2249" s="94">
        <f>IFERROR(__xludf.DUMMYFUNCTION("""COMPUTED_VALUE"""),45590.0)</f>
        <v>45590</v>
      </c>
      <c r="N2249" s="59">
        <f>IFERROR(__xludf.DUMMYFUNCTION("""COMPUTED_VALUE"""),45681.0)</f>
        <v>45681</v>
      </c>
      <c r="O2249" s="75"/>
      <c r="P2249" s="71" t="str">
        <f>IFERROR(__xludf.DUMMYFUNCTION("""COMPUTED_VALUE"""),"可")</f>
        <v>可</v>
      </c>
      <c r="Q2249" s="72"/>
      <c r="R2249" s="75"/>
      <c r="S2249" s="75" t="str">
        <f>IFERROR(__xludf.DUMMYFUNCTION("""COMPUTED_VALUE"""),"20241007_DPNプラス_モラハラDV夫にさよなら！")</f>
        <v>20241007_DPNプラス_モラハラDV夫にさよなら！</v>
      </c>
      <c r="T2249" s="75" t="str">
        <f>IFERROR(__xludf.DUMMYFUNCTION("""COMPUTED_VALUE"""),"格納済み")</f>
        <v>格納済み</v>
      </c>
      <c r="U2249" s="15" t="str">
        <f>IFERROR(__xludf.DUMMYFUNCTION("""COMPUTED_VALUE"""),"©桃山季・すけきよ／DPNプラス")</f>
        <v>©桃山季・すけきよ／DPNプラス</v>
      </c>
      <c r="V2249" s="8" t="str">
        <f>IFERROR(__xludf.DUMMYFUNCTION("""COMPUTED_VALUE"""),"日頃から暴力的な夫・辰夫の事で悩むアイコ。ある日引きこもりの息子のことで先生に呼び出されて帰宅すると、大激怒の辰夫に遭遇、いつもなら黙って耐えるアイコだったが、今日は違ったーー
「受験が終わるまで辰巳とアパートを借りて生活したいのですが…」勇気を振り絞り別居を提案するも、夫の一方的な暴力に「出て行くならお前だけで行け」と言われ、辰夫は出て行ってしまう……
次の日、辰夫と話し合いもできず途方に暮れ、あてもなく歩いているアイコの前に、とある店の看板が目に入りーー")</f>
        <v>日頃から暴力的な夫・辰夫の事で悩むアイコ。ある日引きこもりの息子のことで先生に呼び出されて帰宅すると、大激怒の辰夫に遭遇、いつもなら黙って耐えるアイコだったが、今日は違ったーー
「受験が終わるまで辰巳とアパートを借りて生活したいのですが…」勇気を振り絞り別居を提案するも、夫の一方的な暴力に「出て行くならお前だけで行け」と言われ、辰夫は出て行ってしまう……
次の日、辰夫と話し合いもできず途方に暮れ、あてもなく歩いているアイコの前に、とある店の看板が目に入りーー</v>
      </c>
      <c r="W2249" s="14"/>
      <c r="X2249" s="14" t="str">
        <f>IFERROR(__xludf.DUMMYFUNCTION("""COMPUTED_VALUE"""),"有")</f>
        <v>有</v>
      </c>
      <c r="Y2249" s="8" t="str">
        <f>IFERROR(__xludf.DUMMYFUNCTION("""COMPUTED_VALUE"""),"2025/1/24まで1巻無料")</f>
        <v>2025/1/24まで1巻無料</v>
      </c>
      <c r="Z2249" s="7"/>
      <c r="AA2249" s="7"/>
      <c r="AB2249" s="7"/>
    </row>
    <row r="2250" ht="15.75" customHeight="1">
      <c r="A2250" s="66">
        <f>IFERROR(__xludf.DUMMYFUNCTION("""COMPUTED_VALUE"""),4271.0)</f>
        <v>4271</v>
      </c>
      <c r="B2250" s="75" t="str">
        <f>IFERROR(__xludf.DUMMYFUNCTION("""COMPUTED_VALUE"""),"確定")</f>
        <v>確定</v>
      </c>
      <c r="C2250" s="68">
        <f>IFERROR(__xludf.DUMMYFUNCTION("""COMPUTED_VALUE"""),45572.0)</f>
        <v>45572</v>
      </c>
      <c r="D2250" s="68">
        <f>IFERROR(__xludf.DUMMYFUNCTION("""COMPUTED_VALUE"""),45573.0)</f>
        <v>45573</v>
      </c>
      <c r="E2250" s="100">
        <f>IFERROR(__xludf.DUMMYFUNCTION("""COMPUTED_VALUE"""),228379.0)</f>
        <v>228379</v>
      </c>
      <c r="F2250" s="60" t="str">
        <f>IFERROR(__xludf.DUMMYFUNCTION("""COMPUTED_VALUE"""),"うちのお嫁婿")</f>
        <v>うちのお嫁婿</v>
      </c>
      <c r="G2250" s="67" t="str">
        <f>IFERROR(__xludf.DUMMYFUNCTION("""COMPUTED_VALUE"""),"1～3")</f>
        <v>1～3</v>
      </c>
      <c r="H2250" s="75" t="str">
        <f>IFERROR(__xludf.DUMMYFUNCTION("""COMPUTED_VALUE"""),"とりのささみ")</f>
        <v>とりのささみ</v>
      </c>
      <c r="I2250" s="75" t="str">
        <f>IFERROR(__xludf.DUMMYFUNCTION("""COMPUTED_VALUE"""),"少女")</f>
        <v>少女</v>
      </c>
      <c r="J2250" s="75"/>
      <c r="K2250" s="75"/>
      <c r="L2250" s="75" t="str">
        <f>IFERROR(__xludf.DUMMYFUNCTION("""COMPUTED_VALUE"""),"シーモアコミックス")</f>
        <v>シーモアコミックス</v>
      </c>
      <c r="M2250" s="23">
        <f>IFERROR(__xludf.DUMMYFUNCTION("""COMPUTED_VALUE"""),45605.0)</f>
        <v>45605</v>
      </c>
      <c r="N2250" s="59">
        <f>IFERROR(__xludf.DUMMYFUNCTION("""COMPUTED_VALUE"""),45666.0)</f>
        <v>45666</v>
      </c>
      <c r="O2250" s="75"/>
      <c r="P2250" s="71" t="str">
        <f>IFERROR(__xludf.DUMMYFUNCTION("""COMPUTED_VALUE"""),"可")</f>
        <v>可</v>
      </c>
      <c r="Q2250" s="72"/>
      <c r="R2250" s="75"/>
      <c r="S2250" s="75" t="str">
        <f>IFERROR(__xludf.DUMMYFUNCTION("""COMPUTED_VALUE"""),"20241008_シーモアコミックス_うちのお嫁婿")</f>
        <v>20241008_シーモアコミックス_うちのお嫁婿</v>
      </c>
      <c r="T2250" s="75" t="str">
        <f>IFERROR(__xludf.DUMMYFUNCTION("""COMPUTED_VALUE"""),"格納済み")</f>
        <v>格納済み</v>
      </c>
      <c r="U2250" s="15" t="str">
        <f>IFERROR(__xludf.DUMMYFUNCTION("""COMPUTED_VALUE"""),"© とりのささみ/シーモアコミックス")</f>
        <v>© とりのささみ/シーモアコミックス</v>
      </c>
      <c r="V2250" s="8" t="str">
        <f>IFERROR(__xludf.DUMMYFUNCTION("""COMPUTED_VALUE"""),"「俺を嫁にもらってくれませんか?」
仕事一筋のバリキャリアラサーの佳奈子は家事が苦手で、いつも自分の部屋は散らかり放題…恋愛に脇目も振らず、仕事に没頭し、今ではファッション誌の副編集長を任されるまでになった――そんなある日、高校時代に振った後輩の拓也が中途で入社してきた。知り合いという事で歓迎会に参加させられ…「あれ…私……？」「おはようございます先輩」「昨夜は大変だったんですよ～もう」「え、なにが…？」「もしかして覚えてないんですか？ 俺めっちゃ頑張ったのに」ほんのり頬を染めながら言う拓也に、ます"&amp;"ます混乱する佳奈子。見違えるほどキレイになった自分の部屋、上半身裸の拓也、下着姿の自分。一体なにが起きたの～～～!?【恋するソワレ】")</f>
        <v>「俺を嫁にもらってくれませんか?」
仕事一筋のバリキャリアラサーの佳奈子は家事が苦手で、いつも自分の部屋は散らかり放題…恋愛に脇目も振らず、仕事に没頭し、今ではファッション誌の副編集長を任されるまでになった――そんなある日、高校時代に振った後輩の拓也が中途で入社してきた。知り合いという事で歓迎会に参加させられ…「あれ…私……？」「おはようございます先輩」「昨夜は大変だったんですよ～もう」「え、なにが…？」「もしかして覚えてないんですか？ 俺めっちゃ頑張ったのに」ほんのり頬を染めながら言う拓也に、ますます混乱する佳奈子。見違えるほどキレイになった自分の部屋、上半身裸の拓也、下着姿の自分。一体なにが起きたの～～～!?【恋するソワレ】</v>
      </c>
      <c r="W2250" s="14"/>
      <c r="X2250" s="14" t="str">
        <f>IFERROR(__xludf.DUMMYFUNCTION("""COMPUTED_VALUE"""),"有")</f>
        <v>有</v>
      </c>
      <c r="Y2250" s="8" t="str">
        <f>IFERROR(__xludf.DUMMYFUNCTION("""COMPUTED_VALUE"""),"P12まで")</f>
        <v>P12まで</v>
      </c>
      <c r="Z2250" s="7"/>
      <c r="AA2250" s="7"/>
      <c r="AB2250" s="7"/>
    </row>
    <row r="2251" ht="15.75" customHeight="1">
      <c r="A2251" s="66">
        <f>IFERROR(__xludf.DUMMYFUNCTION("""COMPUTED_VALUE"""),4272.0)</f>
        <v>4272</v>
      </c>
      <c r="B2251" s="75" t="str">
        <f>IFERROR(__xludf.DUMMYFUNCTION("""COMPUTED_VALUE"""),"確定")</f>
        <v>確定</v>
      </c>
      <c r="C2251" s="68">
        <f>IFERROR(__xludf.DUMMYFUNCTION("""COMPUTED_VALUE"""),45572.0)</f>
        <v>45572</v>
      </c>
      <c r="D2251" s="68">
        <f>IFERROR(__xludf.DUMMYFUNCTION("""COMPUTED_VALUE"""),45573.0)</f>
        <v>45573</v>
      </c>
      <c r="E2251" s="100">
        <f>IFERROR(__xludf.DUMMYFUNCTION("""COMPUTED_VALUE"""),286069.0)</f>
        <v>286069</v>
      </c>
      <c r="F2251" s="60" t="str">
        <f>IFERROR(__xludf.DUMMYFUNCTION("""COMPUTED_VALUE"""),"リベンジ婚～時を戻して不倫夫に復讐します～")</f>
        <v>リベンジ婚～時を戻して不倫夫に復讐します～</v>
      </c>
      <c r="G2251" s="67" t="str">
        <f>IFERROR(__xludf.DUMMYFUNCTION("""COMPUTED_VALUE"""),"1～4")</f>
        <v>1～4</v>
      </c>
      <c r="H2251" s="75" t="str">
        <f>IFERROR(__xludf.DUMMYFUNCTION("""COMPUTED_VALUE"""),"前川あきほ")</f>
        <v>前川あきほ</v>
      </c>
      <c r="I2251" s="75" t="str">
        <f>IFERROR(__xludf.DUMMYFUNCTION("""COMPUTED_VALUE"""),"女性")</f>
        <v>女性</v>
      </c>
      <c r="J2251" s="75"/>
      <c r="K2251" s="75"/>
      <c r="L2251" s="75" t="str">
        <f>IFERROR(__xludf.DUMMYFUNCTION("""COMPUTED_VALUE"""),"シーモアコミックス")</f>
        <v>シーモアコミックス</v>
      </c>
      <c r="M2251" s="23">
        <f>IFERROR(__xludf.DUMMYFUNCTION("""COMPUTED_VALUE"""),45605.0)</f>
        <v>45605</v>
      </c>
      <c r="N2251" s="59">
        <f>IFERROR(__xludf.DUMMYFUNCTION("""COMPUTED_VALUE"""),45757.66666666667)</f>
        <v>45757.66667</v>
      </c>
      <c r="O2251" s="75"/>
      <c r="P2251" s="71" t="str">
        <f>IFERROR(__xludf.DUMMYFUNCTION("""COMPUTED_VALUE"""),"可")</f>
        <v>可</v>
      </c>
      <c r="Q2251" s="72"/>
      <c r="R2251" s="75"/>
      <c r="S2251" s="75" t="str">
        <f>IFERROR(__xludf.DUMMYFUNCTION("""COMPUTED_VALUE"""),"20241008_シーモアコミックス_リベンジ婚～時を戻して不倫夫に復讐します～")</f>
        <v>20241008_シーモアコミックス_リベンジ婚～時を戻して不倫夫に復讐します～</v>
      </c>
      <c r="T2251" s="75" t="str">
        <f>IFERROR(__xludf.DUMMYFUNCTION("""COMPUTED_VALUE"""),"格納済み")</f>
        <v>格納済み</v>
      </c>
      <c r="U2251" s="15" t="str">
        <f>IFERROR(__xludf.DUMMYFUNCTION("""COMPUTED_VALUE"""),"© 前川あきほ/シーモアコミックス")</f>
        <v>© 前川あきほ/シーモアコミックス</v>
      </c>
      <c r="V2251" s="8" t="str">
        <f>IFERROR(__xludf.DUMMYFUNCTION("""COMPUTED_VALUE"""),"職場結婚をして5年――今日も夫は帰ってこない。
フルタイムで仕事をしながら、家事も頑張るマジメで地味な妻・優花（ゆうか）。家政婦扱いする夫の言動も、姑からの子づくりプレッシャーも、結婚したら【よくあること】。きっとみんな一緒。私の努力が足りてないだけ。そう思おうとしてたけど…ある日、夫の酷い言葉に傷つき、家を飛び出した優花は交通事故に…!?
「大丈夫だよ、あいつはもうすぐ死ぬんだから」死に際に目撃したのは、病室で夫に抱かれる親友・梨子（りこ）のミダラな姿。
こいつら…絶対に許さない！ どうか神様、私"&amp;"まだ死にたくないんです――死に際の願いが叶ったのか、プロポーズされた5年前に戻ってしまった優花は、裏切った夫と親友に復讐しようと決意して…。【恋するソワレ＋】")</f>
        <v>職場結婚をして5年――今日も夫は帰ってこない。
フルタイムで仕事をしながら、家事も頑張るマジメで地味な妻・優花（ゆうか）。家政婦扱いする夫の言動も、姑からの子づくりプレッシャーも、結婚したら【よくあること】。きっとみんな一緒。私の努力が足りてないだけ。そう思おうとしてたけど…ある日、夫の酷い言葉に傷つき、家を飛び出した優花は交通事故に…!?
「大丈夫だよ、あいつはもうすぐ死ぬんだから」死に際に目撃したのは、病室で夫に抱かれる親友・梨子（りこ）のミダラな姿。
こいつら…絶対に許さない！ どうか神様、私まだ死にたくないんです――死に際の願いが叶ったのか、プロポーズされた5年前に戻ってしまった優花は、裏切った夫と親友に復讐しようと決意して…。【恋するソワレ＋】</v>
      </c>
      <c r="W2251" s="14"/>
      <c r="X2251" s="14" t="str">
        <f>IFERROR(__xludf.DUMMYFUNCTION("""COMPUTED_VALUE"""),"有")</f>
        <v>有</v>
      </c>
      <c r="Y2251" s="8" t="str">
        <f>IFERROR(__xludf.DUMMYFUNCTION("""COMPUTED_VALUE"""),"2024/12/13まで1巻無料")</f>
        <v>2024/12/13まで1巻無料</v>
      </c>
      <c r="Z2251" s="7"/>
      <c r="AA2251" s="7"/>
      <c r="AB2251" s="7"/>
    </row>
    <row r="2252" ht="15.75" customHeight="1">
      <c r="A2252" s="66">
        <f>IFERROR(__xludf.DUMMYFUNCTION("""COMPUTED_VALUE"""),4273.0)</f>
        <v>4273</v>
      </c>
      <c r="B2252" s="75" t="str">
        <f>IFERROR(__xludf.DUMMYFUNCTION("""COMPUTED_VALUE"""),"確定")</f>
        <v>確定</v>
      </c>
      <c r="C2252" s="68">
        <f>IFERROR(__xludf.DUMMYFUNCTION("""COMPUTED_VALUE"""),45572.0)</f>
        <v>45572</v>
      </c>
      <c r="D2252" s="68">
        <f>IFERROR(__xludf.DUMMYFUNCTION("""COMPUTED_VALUE"""),45573.0)</f>
        <v>45573</v>
      </c>
      <c r="E2252" s="100">
        <f>IFERROR(__xludf.DUMMYFUNCTION("""COMPUTED_VALUE"""),293492.0)</f>
        <v>293492</v>
      </c>
      <c r="F2252" s="60" t="str">
        <f>IFERROR(__xludf.DUMMYFUNCTION("""COMPUTED_VALUE"""),"陰キャ処女な私が異世界で美形エルフに迫られてます")</f>
        <v>陰キャ処女な私が異世界で美形エルフに迫られてます</v>
      </c>
      <c r="G2252" s="67" t="str">
        <f>IFERROR(__xludf.DUMMYFUNCTION("""COMPUTED_VALUE"""),"1～3")</f>
        <v>1～3</v>
      </c>
      <c r="H2252" s="75" t="str">
        <f>IFERROR(__xludf.DUMMYFUNCTION("""COMPUTED_VALUE"""),"眠々")</f>
        <v>眠々</v>
      </c>
      <c r="I2252" s="75" t="str">
        <f>IFERROR(__xludf.DUMMYFUNCTION("""COMPUTED_VALUE"""),"TL")</f>
        <v>TL</v>
      </c>
      <c r="J2252" s="75"/>
      <c r="K2252" s="75"/>
      <c r="L2252" s="75" t="str">
        <f>IFERROR(__xludf.DUMMYFUNCTION("""COMPUTED_VALUE"""),"シーモアコミックス")</f>
        <v>シーモアコミックス</v>
      </c>
      <c r="M2252" s="23">
        <f>IFERROR(__xludf.DUMMYFUNCTION("""COMPUTED_VALUE"""),45605.0)</f>
        <v>45605</v>
      </c>
      <c r="N2252" s="59">
        <f>IFERROR(__xludf.DUMMYFUNCTION("""COMPUTED_VALUE"""),45666.0)</f>
        <v>45666</v>
      </c>
      <c r="O2252" s="75"/>
      <c r="P2252" s="80" t="str">
        <f>IFERROR(__xludf.DUMMYFUNCTION("""COMPUTED_VALUE"""),"可")</f>
        <v>可</v>
      </c>
      <c r="Q2252" s="72" t="str">
        <f>IFERROR(__xludf.DUMMYFUNCTION("""COMPUTED_VALUE"""),"レーベル：スキして?桃色日記")</f>
        <v>レーベル：スキして?桃色日記</v>
      </c>
      <c r="R2252" s="75"/>
      <c r="S2252" s="75" t="str">
        <f>IFERROR(__xludf.DUMMYFUNCTION("""COMPUTED_VALUE"""),"20241008_シーモアコミックス_陰キャ処女な私が異世界で美形エルフに迫られてます")</f>
        <v>20241008_シーモアコミックス_陰キャ処女な私が異世界で美形エルフに迫られてます</v>
      </c>
      <c r="T2252" s="75" t="str">
        <f>IFERROR(__xludf.DUMMYFUNCTION("""COMPUTED_VALUE"""),"格納済み")</f>
        <v>格納済み</v>
      </c>
      <c r="U2252" s="15" t="str">
        <f>IFERROR(__xludf.DUMMYFUNCTION("""COMPUTED_VALUE"""),"© 眠々/シーモアコミックス")</f>
        <v>© 眠々/シーモアコミックス</v>
      </c>
      <c r="V2252" s="8" t="str">
        <f>IFERROR(__xludf.DUMMYFUNCTION("""COMPUTED_VALUE"""),"「君を抱きたい」熱く長い口づけのあと、美しいエルフは私にそう言った――。
「地味で陰キャ、彼氏がいたこともない。自分など誰かの特別な存在になることもなく、ひっそりと生きていくんだ…」そう思っていた真泉佐江が、ある日うっかり踏んでしまった道端の水たまり。そこはエルフの世界につながっていた。
転移した先はエルフにとって神聖な森の泉。あやうく溺れかけた佐江は、エルフの次期長であるエリオンに助けられる。ホッとしたのもつかの間、不審人物扱いで再び窮地に！ 閉じ込められた牢から逃げ出し、身を隠そうと入りこんだ部屋"&amp;"で見てはいけないエリオンの姿を見てしまい―――!!?【桃色日記】")</f>
        <v>「君を抱きたい」熱く長い口づけのあと、美しいエルフは私にそう言った――。
「地味で陰キャ、彼氏がいたこともない。自分など誰かの特別な存在になることもなく、ひっそりと生きていくんだ…」そう思っていた真泉佐江が、ある日うっかり踏んでしまった道端の水たまり。そこはエルフの世界につながっていた。
転移した先はエルフにとって神聖な森の泉。あやうく溺れかけた佐江は、エルフの次期長であるエリオンに助けられる。ホッとしたのもつかの間、不審人物扱いで再び窮地に！ 閉じ込められた牢から逃げ出し、身を隠そうと入りこんだ部屋で見てはいけないエリオンの姿を見てしまい―――!!?【桃色日記】</v>
      </c>
      <c r="W2252" s="14"/>
      <c r="X2252" s="14" t="str">
        <f>IFERROR(__xludf.DUMMYFUNCTION("""COMPUTED_VALUE"""),"有")</f>
        <v>有</v>
      </c>
      <c r="Y2252" s="8" t="str">
        <f>IFERROR(__xludf.DUMMYFUNCTION("""COMPUTED_VALUE"""),"2024/12/13まで1巻無料")</f>
        <v>2024/12/13まで1巻無料</v>
      </c>
      <c r="Z2252" s="7"/>
      <c r="AA2252" s="7"/>
      <c r="AB2252" s="7"/>
    </row>
    <row r="2253" ht="15.75" customHeight="1">
      <c r="A2253" s="66">
        <f>IFERROR(__xludf.DUMMYFUNCTION("""COMPUTED_VALUE"""),3823.0)</f>
        <v>3823</v>
      </c>
      <c r="B2253" s="75" t="str">
        <f>IFERROR(__xludf.DUMMYFUNCTION("""COMPUTED_VALUE"""),"確定")</f>
        <v>確定</v>
      </c>
      <c r="C2253" s="68">
        <f>IFERROR(__xludf.DUMMYFUNCTION("""COMPUTED_VALUE"""),45492.0)</f>
        <v>45492</v>
      </c>
      <c r="D2253" s="68">
        <f>IFERROR(__xludf.DUMMYFUNCTION("""COMPUTED_VALUE"""),45575.0)</f>
        <v>45575</v>
      </c>
      <c r="E2253" s="60">
        <f>IFERROR(__xludf.DUMMYFUNCTION("""COMPUTED_VALUE"""),307069.0)</f>
        <v>307069</v>
      </c>
      <c r="F2253" s="60" t="str">
        <f>IFERROR(__xludf.DUMMYFUNCTION("""COMPUTED_VALUE"""),"ヤバい人に沼りました…千人斬り裏アカ男子")</f>
        <v>ヤバい人に沼りました…千人斬り裏アカ男子</v>
      </c>
      <c r="G2253" s="67" t="str">
        <f>IFERROR(__xludf.DUMMYFUNCTION("""COMPUTED_VALUE"""),"1～3")</f>
        <v>1～3</v>
      </c>
      <c r="H2253" s="75" t="str">
        <f>IFERROR(__xludf.DUMMYFUNCTION("""COMPUTED_VALUE"""),"赤木紫乙")</f>
        <v>赤木紫乙</v>
      </c>
      <c r="I2253" s="75" t="str">
        <f>IFERROR(__xludf.DUMMYFUNCTION("""COMPUTED_VALUE"""),"オトナ")</f>
        <v>オトナ</v>
      </c>
      <c r="J2253" s="75"/>
      <c r="K2253" s="75"/>
      <c r="L2253" s="75" t="str">
        <f>IFERROR(__xludf.DUMMYFUNCTION("""COMPUTED_VALUE"""),"DEEPER-ZERO")</f>
        <v>DEEPER-ZERO</v>
      </c>
      <c r="M2253" s="94">
        <f>IFERROR(__xludf.DUMMYFUNCTION("""COMPUTED_VALUE"""),45612.0)</f>
        <v>45612</v>
      </c>
      <c r="N2253" s="59">
        <f>IFERROR(__xludf.DUMMYFUNCTION("""COMPUTED_VALUE"""),45674.0)</f>
        <v>45674</v>
      </c>
      <c r="O2253" s="75"/>
      <c r="P2253" s="71" t="str">
        <f>IFERROR(__xludf.DUMMYFUNCTION("""COMPUTED_VALUE"""),"可")</f>
        <v>可</v>
      </c>
      <c r="Q2253" s="75"/>
      <c r="R2253" s="75" t="str">
        <f>IFERROR(__xludf.DUMMYFUNCTION("""COMPUTED_VALUE"""),"広告コミットOK(7/26)")</f>
        <v>広告コミットOK(7/26)</v>
      </c>
      <c r="S2253" s="75" t="str">
        <f>IFERROR(__xludf.DUMMYFUNCTION("""COMPUTED_VALUE"""),"20241010_CLLENN_ヤバい人に沼りました…千人斬り裏アカ男子")</f>
        <v>20241010_CLLENN_ヤバい人に沼りました…千人斬り裏アカ男子</v>
      </c>
      <c r="T2253" s="75" t="str">
        <f>IFERROR(__xludf.DUMMYFUNCTION("""COMPUTED_VALUE"""),"格納済み")</f>
        <v>格納済み</v>
      </c>
      <c r="U2253" s="15" t="str">
        <f>IFERROR(__xludf.DUMMYFUNCTION("""COMPUTED_VALUE"""),"(C)赤木紫乙/DEEPER-ZERO")</f>
        <v>(C)赤木紫乙/DEEPER-ZERO</v>
      </c>
      <c r="V2253" s="8" t="str">
        <f>IFERROR(__xludf.DUMMYFUNCTION("""COMPUTED_VALUE"""),"この人と出会わなきゃ、セックスの気持ち良さを知らないままだった。奥までグリグリされて、マ●汁でビシャビシャになって…くり返す絶頂でもう何も考えられない…。――アラサーなのにセックスの経験がほとんどない私。ネットでたまたま見つけた千人斬りの裏アカ男子『りゅうせい』に勢いで恋愛相談してみたら実際に逢うことに…！しかも、コンプレックス克服のため、彼とワンナイトすることになっちゃった…!?「これ挿れたい？」大きなおち●ちんがゆっくり挿入ってきて…優しく扱われたアソコは、初めての快感にきゅんきゅん…。だめ！ イクっ"&amp;"イク…っ！ 何度も何度もイカされちゃう～！")</f>
        <v>この人と出会わなきゃ、セックスの気持ち良さを知らないままだった。奥までグリグリされて、マ●汁でビシャビシャになって…くり返す絶頂でもう何も考えられない…。――アラサーなのにセックスの経験がほとんどない私。ネットでたまたま見つけた千人斬りの裏アカ男子『りゅうせい』に勢いで恋愛相談してみたら実際に逢うことに…！しかも、コンプレックス克服のため、彼とワンナイトすることになっちゃった…!?「これ挿れたい？」大きなおち●ちんがゆっくり挿入ってきて…優しく扱われたアソコは、初めての快感にきゅんきゅん…。だめ！ イクっイク…っ！ 何度も何度もイカされちゃう～！</v>
      </c>
      <c r="W2253" s="14"/>
      <c r="X2253" s="14" t="str">
        <f>IFERROR(__xludf.DUMMYFUNCTION("""COMPUTED_VALUE"""),"有")</f>
        <v>有</v>
      </c>
      <c r="Y2253" s="8" t="str">
        <f>IFERROR(__xludf.DUMMYFUNCTION("""COMPUTED_VALUE"""),"2024/12/16まで1巻無料")</f>
        <v>2024/12/16まで1巻無料</v>
      </c>
      <c r="Z2253" s="7"/>
      <c r="AA2253" s="7"/>
      <c r="AB2253" s="7"/>
    </row>
    <row r="2254" ht="15.75" customHeight="1">
      <c r="A2254" s="66">
        <f>IFERROR(__xludf.DUMMYFUNCTION("""COMPUTED_VALUE"""),3889.0)</f>
        <v>3889</v>
      </c>
      <c r="B2254" s="75" t="str">
        <f>IFERROR(__xludf.DUMMYFUNCTION("""COMPUTED_VALUE"""),"確定")</f>
        <v>確定</v>
      </c>
      <c r="C2254" s="68">
        <f>IFERROR(__xludf.DUMMYFUNCTION("""COMPUTED_VALUE"""),45504.0)</f>
        <v>45504</v>
      </c>
      <c r="D2254" s="68">
        <f>IFERROR(__xludf.DUMMYFUNCTION("""COMPUTED_VALUE"""),45575.0)</f>
        <v>45575</v>
      </c>
      <c r="E2254" s="60">
        <f>IFERROR(__xludf.DUMMYFUNCTION("""COMPUTED_VALUE"""),307215.0)</f>
        <v>307215</v>
      </c>
      <c r="F2254" s="60" t="str">
        <f>IFERROR(__xludf.DUMMYFUNCTION("""COMPUTED_VALUE"""),"夫は不機嫌ハラスメント")</f>
        <v>夫は不機嫌ハラスメント</v>
      </c>
      <c r="G2254" s="67" t="str">
        <f>IFERROR(__xludf.DUMMYFUNCTION("""COMPUTED_VALUE"""),"1～3")</f>
        <v>1～3</v>
      </c>
      <c r="H2254" s="75" t="str">
        <f>IFERROR(__xludf.DUMMYFUNCTION("""COMPUTED_VALUE"""),"小松鳩")</f>
        <v>小松鳩</v>
      </c>
      <c r="I2254" s="75" t="str">
        <f>IFERROR(__xludf.DUMMYFUNCTION("""COMPUTED_VALUE"""),"女性")</f>
        <v>女性</v>
      </c>
      <c r="J2254" s="75"/>
      <c r="K2254" s="75"/>
      <c r="L2254" s="75" t="str">
        <f>IFERROR(__xludf.DUMMYFUNCTION("""COMPUTED_VALUE"""),"スタンダード")</f>
        <v>スタンダード</v>
      </c>
      <c r="M2254" s="23">
        <f>IFERROR(__xludf.DUMMYFUNCTION("""COMPUTED_VALUE"""),45597.0)</f>
        <v>45597</v>
      </c>
      <c r="N2254" s="75" t="str">
        <f>IFERROR(__xludf.DUMMYFUNCTION("""COMPUTED_VALUE"""),"3か月(2025年1月末まで)")</f>
        <v>3か月(2025年1月末まで)</v>
      </c>
      <c r="O2254" s="75"/>
      <c r="P2254" s="71" t="str">
        <f>IFERROR(__xludf.DUMMYFUNCTION("""COMPUTED_VALUE"""),"否")</f>
        <v>否</v>
      </c>
      <c r="Q2254" s="75"/>
      <c r="R2254" s="75" t="str">
        <f>IFERROR(__xludf.DUMMYFUNCTION("""COMPUTED_VALUE"""),"広告コミットOK(8/7)")</f>
        <v>広告コミットOK(8/7)</v>
      </c>
      <c r="S2254" s="75" t="str">
        <f>IFERROR(__xludf.DUMMYFUNCTION("""COMPUTED_VALUE"""),"20241009_スタンダード_夫は不機嫌ハラスメント")</f>
        <v>20241009_スタンダード_夫は不機嫌ハラスメント</v>
      </c>
      <c r="T2254" s="75" t="str">
        <f>IFERROR(__xludf.DUMMYFUNCTION("""COMPUTED_VALUE"""),"格納済み")</f>
        <v>格納済み</v>
      </c>
      <c r="U2254" s="15" t="str">
        <f>IFERROR(__xludf.DUMMYFUNCTION("""COMPUTED_VALUE"""),"©小松鳩/DTSパブリッシング")</f>
        <v>©小松鳩/DTSパブリッシング</v>
      </c>
      <c r="V2254" s="8" t="str">
        <f>IFERROR(__xludf.DUMMYFUNCTION("""COMPUTED_VALUE"""),"「お前、仕事で忙しいって言いながら、本当は不倫でもしてるんじゃないか？」綾乃と直樹は共働き夫婦。夫婦仲も円満だったが、綾乃が管理職に昇進した頃から直樹の態度が変わり始める。妻に出産育児を望む夫、もっと働きたい妻。夫婦の価値観のズレから直樹は次第に疑心暗鬼に陥っていく。壊れていく夫婦関係の末、直樹はさらにモラハラ化していくが…。働く女子は幸せを掴むことができるのか？愛憎と復讐のヒューマンドラマ！")</f>
        <v>「お前、仕事で忙しいって言いながら、本当は不倫でもしてるんじゃないか？」綾乃と直樹は共働き夫婦。夫婦仲も円満だったが、綾乃が管理職に昇進した頃から直樹の態度が変わり始める。妻に出産育児を望む夫、もっと働きたい妻。夫婦の価値観のズレから直樹は次第に疑心暗鬼に陥っていく。壊れていく夫婦関係の末、直樹はさらにモラハラ化していくが…。働く女子は幸せを掴むことができるのか？愛憎と復讐のヒューマンドラマ！</v>
      </c>
      <c r="W2254" s="14"/>
      <c r="X2254" s="14" t="str">
        <f>IFERROR(__xludf.DUMMYFUNCTION("""COMPUTED_VALUE"""),"有")</f>
        <v>有</v>
      </c>
      <c r="Y2254" s="8" t="str">
        <f>IFERROR(__xludf.DUMMYFUNCTION("""COMPUTED_VALUE"""),"P9まで")</f>
        <v>P9まで</v>
      </c>
      <c r="Z2254" s="7"/>
      <c r="AA2254" s="7"/>
      <c r="AB2254" s="7"/>
    </row>
    <row r="2255" ht="15.75" customHeight="1">
      <c r="A2255" s="66">
        <f>IFERROR(__xludf.DUMMYFUNCTION("""COMPUTED_VALUE"""),3963.0)</f>
        <v>3963</v>
      </c>
      <c r="B2255" s="75" t="str">
        <f>IFERROR(__xludf.DUMMYFUNCTION("""COMPUTED_VALUE"""),"確定")</f>
        <v>確定</v>
      </c>
      <c r="C2255" s="68">
        <f>IFERROR(__xludf.DUMMYFUNCTION("""COMPUTED_VALUE"""),45518.0)</f>
        <v>45518</v>
      </c>
      <c r="D2255" s="68">
        <f>IFERROR(__xludf.DUMMYFUNCTION("""COMPUTED_VALUE"""),45580.0)</f>
        <v>45580</v>
      </c>
      <c r="E2255" s="60">
        <f>IFERROR(__xludf.DUMMYFUNCTION("""COMPUTED_VALUE"""),305675.0)</f>
        <v>305675</v>
      </c>
      <c r="F2255" s="60" t="str">
        <f>IFERROR(__xludf.DUMMYFUNCTION("""COMPUTED_VALUE"""),"ヒモとメガネ")</f>
        <v>ヒモとメガネ</v>
      </c>
      <c r="G2255" s="67">
        <f>IFERROR(__xludf.DUMMYFUNCTION("""COMPUTED_VALUE"""),1.0)</f>
        <v>1</v>
      </c>
      <c r="H2255" s="75" t="str">
        <f>IFERROR(__xludf.DUMMYFUNCTION("""COMPUTED_VALUE"""),"のばらあいこ")</f>
        <v>のばらあいこ</v>
      </c>
      <c r="I2255" s="75" t="str">
        <f>IFERROR(__xludf.DUMMYFUNCTION("""COMPUTED_VALUE"""),"BL")</f>
        <v>BL</v>
      </c>
      <c r="J2255" s="75"/>
      <c r="K2255" s="75"/>
      <c r="L2255" s="75" t="str">
        <f>IFERROR(__xludf.DUMMYFUNCTION("""COMPUTED_VALUE"""),"シュークリーム")</f>
        <v>シュークリーム</v>
      </c>
      <c r="M2255" s="23">
        <f>IFERROR(__xludf.DUMMYFUNCTION("""COMPUTED_VALUE"""),45604.0)</f>
        <v>45604</v>
      </c>
      <c r="N2255" s="94">
        <f>IFERROR(__xludf.DUMMYFUNCTION("""COMPUTED_VALUE"""),45638.0)</f>
        <v>45638</v>
      </c>
      <c r="O2255" s="75"/>
      <c r="P2255" s="71" t="str">
        <f>IFERROR(__xludf.DUMMYFUNCTION("""COMPUTED_VALUE"""),"可")</f>
        <v>可</v>
      </c>
      <c r="Q2255" s="72"/>
      <c r="R2255" s="75"/>
      <c r="S2255" s="75" t="str">
        <f>IFERROR(__xludf.DUMMYFUNCTION("""COMPUTED_VALUE"""),"20241015_シュークリームヒモとメガネ")</f>
        <v>20241015_シュークリームヒモとメガネ</v>
      </c>
      <c r="T2255" s="75" t="str">
        <f>IFERROR(__xludf.DUMMYFUNCTION("""COMPUTED_VALUE"""),"格納済み")</f>
        <v>格納済み</v>
      </c>
      <c r="U2255" s="15" t="str">
        <f>IFERROR(__xludf.DUMMYFUNCTION("""COMPUTED_VALUE"""),"（C）のばらあいこ/シュークリーム")</f>
        <v>（C）のばらあいこ/シュークリーム</v>
      </c>
      <c r="V2255" s="8" t="str">
        <f>IFERROR(__xludf.DUMMYFUNCTION("""COMPUTED_VALUE"""),"距離感バグりまくりのヒモイケメン（23）×陰キャ眼鏡（30）ほぼ無職のふたりが繰り広げる実践ラブコメ！
「教えてほしいんだ、女性の誘い方を…！」
バツイチ離職中の橋和田三木夫とヒモ業の瀧上圭が出会ったのはついさっきのこと。
三木夫は夜の誘い方が分からず妻に呆れられ、離婚したのだと圭に話す。
雰囲気作りを教える圭の仕草に真っ赤になった三木夫は、いきなりキスされセックスを教え込まれることに…！？")</f>
        <v>距離感バグりまくりのヒモイケメン（23）×陰キャ眼鏡（30）ほぼ無職のふたりが繰り広げる実践ラブコメ！
「教えてほしいんだ、女性の誘い方を…！」
バツイチ離職中の橋和田三木夫とヒモ業の瀧上圭が出会ったのはついさっきのこと。
三木夫は夜の誘い方が分からず妻に呆れられ、離婚したのだと圭に話す。
雰囲気作りを教える圭の仕草に真っ赤になった三木夫は、いきなりキスされセックスを教え込まれることに…！？</v>
      </c>
      <c r="W2255" s="14"/>
      <c r="X2255" s="14" t="str">
        <f>IFERROR(__xludf.DUMMYFUNCTION("""COMPUTED_VALUE"""),"有")</f>
        <v>有</v>
      </c>
      <c r="Y2255" s="8" t="str">
        <f>IFERROR(__xludf.DUMMYFUNCTION("""COMPUTED_VALUE"""),"P13まで")</f>
        <v>P13まで</v>
      </c>
      <c r="Z2255" s="7"/>
      <c r="AA2255" s="7"/>
      <c r="AB2255" s="7"/>
    </row>
    <row r="2256" ht="15.75" customHeight="1">
      <c r="A2256" s="66">
        <f>IFERROR(__xludf.DUMMYFUNCTION("""COMPUTED_VALUE"""),3985.0)</f>
        <v>3985</v>
      </c>
      <c r="B2256" s="75" t="str">
        <f>IFERROR(__xludf.DUMMYFUNCTION("""COMPUTED_VALUE"""),"確定")</f>
        <v>確定</v>
      </c>
      <c r="C2256" s="68">
        <f>IFERROR(__xludf.DUMMYFUNCTION("""COMPUTED_VALUE"""),45520.0)</f>
        <v>45520</v>
      </c>
      <c r="D2256" s="68">
        <f>IFERROR(__xludf.DUMMYFUNCTION("""COMPUTED_VALUE"""),45580.0)</f>
        <v>45580</v>
      </c>
      <c r="E2256" s="60">
        <f>IFERROR(__xludf.DUMMYFUNCTION("""COMPUTED_VALUE"""),306311.0)</f>
        <v>306311</v>
      </c>
      <c r="F2256" s="60" t="str">
        <f>IFERROR(__xludf.DUMMYFUNCTION("""COMPUTED_VALUE"""),"小暑～夏のはじまり～ 【タテヨミ】")</f>
        <v>小暑～夏のはじまり～ 【タテヨミ】</v>
      </c>
      <c r="G2256" s="67" t="str">
        <f>IFERROR(__xludf.DUMMYFUNCTION("""COMPUTED_VALUE"""),"1～30")</f>
        <v>1～30</v>
      </c>
      <c r="H2256" s="75" t="str">
        <f>IFERROR(__xludf.DUMMYFUNCTION("""COMPUTED_VALUE"""),"Hansomoo、jangmanul、Kyung Jak")</f>
        <v>Hansomoo、jangmanul、Kyung Jak</v>
      </c>
      <c r="I2256" s="75" t="str">
        <f>IFERROR(__xludf.DUMMYFUNCTION("""COMPUTED_VALUE"""),"BL")</f>
        <v>BL</v>
      </c>
      <c r="J2256" s="75"/>
      <c r="K2256" s="75"/>
      <c r="L2256" s="75" t="str">
        <f>IFERROR(__xludf.DUMMYFUNCTION("""COMPUTED_VALUE"""),"主婦の友社")</f>
        <v>主婦の友社</v>
      </c>
      <c r="M2256" s="94">
        <f>IFERROR(__xludf.DUMMYFUNCTION("""COMPUTED_VALUE"""),45611.0)</f>
        <v>45611</v>
      </c>
      <c r="N2256" s="47">
        <f>IFERROR(__xludf.DUMMYFUNCTION("""COMPUTED_VALUE"""),45702.0)</f>
        <v>45702</v>
      </c>
      <c r="O2256" s="75"/>
      <c r="P2256" s="71" t="str">
        <f>IFERROR(__xludf.DUMMYFUNCTION("""COMPUTED_VALUE"""),"可")</f>
        <v>可</v>
      </c>
      <c r="Q2256" s="72"/>
      <c r="R2256" s="75"/>
      <c r="S2256" s="75" t="str">
        <f>IFERROR(__xludf.DUMMYFUNCTION("""COMPUTED_VALUE"""),"20241015_主婦の友社_小暑 夏の始まり")</f>
        <v>20241015_主婦の友社_小暑 夏の始まり</v>
      </c>
      <c r="T2256" s="75" t="str">
        <f>IFERROR(__xludf.DUMMYFUNCTION("""COMPUTED_VALUE"""),"格納済み")</f>
        <v>格納済み</v>
      </c>
      <c r="U2256" s="15" t="str">
        <f>IFERROR(__xludf.DUMMYFUNCTION("""COMPUTED_VALUE"""),"ⓒjangmanul, Kyung Jak / Somy Media ⓒHansomoo")</f>
        <v>ⓒjangmanul, Kyung Jak / Somy Media ⓒHansomoo</v>
      </c>
      <c r="V2256" s="8" t="str">
        <f>IFERROR(__xludf.DUMMYFUNCTION("""COMPUTED_VALUE"""),"陶芸科に在学中の大学生ヨ・ジュンフィは、幼なじみのカン・ソクヒョンに片思いをしている。幼い頃、両親を事故で亡くしたジュンフィをソクヒョンが世話してくれた時から、芽生えたその感情は、ベータのジュンフィには叶わない恋心だった。アルファはオメガと結ばれるのがルールであるこの世界で、ソクヒョンはアルファで有名な俳優という手の届かない存在だった。そんなジュンフィの唯一の希望は、ソクヒョンが「オメガを嫌う」という事実。結局、ジュンフィは変わらない彼の優しさに告白を決心するが…。夏の始まり、ジュンフィの体に変化が始まる"&amp;"。")</f>
        <v>陶芸科に在学中の大学生ヨ・ジュンフィは、幼なじみのカン・ソクヒョンに片思いをしている。幼い頃、両親を事故で亡くしたジュンフィをソクヒョンが世話してくれた時から、芽生えたその感情は、ベータのジュンフィには叶わない恋心だった。アルファはオメガと結ばれるのがルールであるこの世界で、ソクヒョンはアルファで有名な俳優という手の届かない存在だった。そんなジュンフィの唯一の希望は、ソクヒョンが「オメガを嫌う」という事実。結局、ジュンフィは変わらない彼の優しさに告白を決心するが…。夏の始まり、ジュンフィの体に変化が始まる。</v>
      </c>
      <c r="W2256" s="14"/>
      <c r="X2256" s="14" t="str">
        <f>IFERROR(__xludf.DUMMYFUNCTION("""COMPUTED_VALUE"""),"有")</f>
        <v>有</v>
      </c>
      <c r="Y2256" s="8" t="str">
        <f>IFERROR(__xludf.DUMMYFUNCTION("""COMPUTED_VALUE"""),"2025/2/14まで1～4巻無料")</f>
        <v>2025/2/14まで1～4巻無料</v>
      </c>
      <c r="Z2256" s="7"/>
      <c r="AA2256" s="7"/>
      <c r="AB2256" s="7"/>
    </row>
    <row r="2257" ht="15.75" customHeight="1">
      <c r="A2257" s="66">
        <f>IFERROR(__xludf.DUMMYFUNCTION("""COMPUTED_VALUE"""),4047.0)</f>
        <v>4047</v>
      </c>
      <c r="B2257" s="75" t="str">
        <f>IFERROR(__xludf.DUMMYFUNCTION("""COMPUTED_VALUE"""),"確定")</f>
        <v>確定</v>
      </c>
      <c r="C2257" s="68">
        <f>IFERROR(__xludf.DUMMYFUNCTION("""COMPUTED_VALUE"""),45531.0)</f>
        <v>45531</v>
      </c>
      <c r="D2257" s="68">
        <f>IFERROR(__xludf.DUMMYFUNCTION("""COMPUTED_VALUE"""),45575.0)</f>
        <v>45575</v>
      </c>
      <c r="E2257" s="60">
        <f>IFERROR(__xludf.DUMMYFUNCTION("""COMPUTED_VALUE"""),306400.0)</f>
        <v>306400</v>
      </c>
      <c r="F2257" s="60" t="str">
        <f>IFERROR(__xludf.DUMMYFUNCTION("""COMPUTED_VALUE"""),"ビタースイート・ブルームス")</f>
        <v>ビタースイート・ブルームス</v>
      </c>
      <c r="G2257" s="67" t="str">
        <f>IFERROR(__xludf.DUMMYFUNCTION("""COMPUTED_VALUE"""),"1～2")</f>
        <v>1～2</v>
      </c>
      <c r="H2257" s="75" t="str">
        <f>IFERROR(__xludf.DUMMYFUNCTION("""COMPUTED_VALUE"""),"和千誉")</f>
        <v>和千誉</v>
      </c>
      <c r="I2257" s="75" t="str">
        <f>IFERROR(__xludf.DUMMYFUNCTION("""COMPUTED_VALUE"""),"BL")</f>
        <v>BL</v>
      </c>
      <c r="J2257" s="83"/>
      <c r="K2257" s="83"/>
      <c r="L2257" s="83" t="str">
        <f>IFERROR(__xludf.DUMMYFUNCTION("""COMPUTED_VALUE"""),"マイクロマガジン社       ")</f>
        <v>マイクロマガジン社       </v>
      </c>
      <c r="M2257" s="94">
        <f>IFERROR(__xludf.DUMMYFUNCTION("""COMPUTED_VALUE"""),45595.0)</f>
        <v>45595</v>
      </c>
      <c r="N2257" s="94">
        <f>IFERROR(__xludf.DUMMYFUNCTION("""COMPUTED_VALUE"""),45655.0)</f>
        <v>45655</v>
      </c>
      <c r="O2257" s="75"/>
      <c r="P2257" s="71" t="str">
        <f>IFERROR(__xludf.DUMMYFUNCTION("""COMPUTED_VALUE"""),"可")</f>
        <v>可</v>
      </c>
      <c r="Q2257" s="75"/>
      <c r="R2257" s="75" t="str">
        <f>IFERROR(__xludf.DUMMYFUNCTION("""COMPUTED_VALUE"""),"広告コミットOK(9/4)")</f>
        <v>広告コミットOK(9/4)</v>
      </c>
      <c r="S2257" s="75" t="str">
        <f>IFERROR(__xludf.DUMMYFUNCTION("""COMPUTED_VALUE"""),"20241009_マイクロマガジン社_ビタースイート・ブルームス")</f>
        <v>20241009_マイクロマガジン社_ビタースイート・ブルームス</v>
      </c>
      <c r="T2257" s="75" t="str">
        <f>IFERROR(__xludf.DUMMYFUNCTION("""COMPUTED_VALUE"""),"格納済み")</f>
        <v>格納済み</v>
      </c>
      <c r="U2257" s="15" t="str">
        <f>IFERROR(__xludf.DUMMYFUNCTION("""COMPUTED_VALUE"""),"（C）和千誉 （C）マイクロマガジン社")</f>
        <v>（C）和千誉 （C）マイクロマガジン社</v>
      </c>
      <c r="V2257" s="8" t="str">
        <f>IFERROR(__xludf.DUMMYFUNCTION("""COMPUTED_VALUE"""),"「俺にしときなよ――。俺ならちゃんと……。」
両親の離別を機に、恋や愛を蔑むようになった相良湊(さがらみなと)。
ある日、同級生の塩対応美人で有名な真日(まひる)が
幼馴染に片思いをしていることを知る。
その一途な想いと幼馴染にだけ見せる素直さに興味を持ち、
友達として真日の新たな一面を知っていく湊。
だけど、真日が幼馴染に見せる笑顔の違和感に気がついてしまう。
自分なら、そんな「ウソ」みたいな笑顔させないのに。
自分なら、真日の思いに応えられるのに……。
と、無自覚な恋心が"&amp;"募っていき――…。
色恋イージーモードな
無気力男子
×
猫っ被り一途な
美人男子
未熟な心が揺れ動く、ほろ苦青春ラブストーリー！")</f>
        <v>「俺にしときなよ――。俺ならちゃんと……。」
両親の離別を機に、恋や愛を蔑むようになった相良湊(さがらみなと)。
ある日、同級生の塩対応美人で有名な真日(まひる)が
幼馴染に片思いをしていることを知る。
その一途な想いと幼馴染にだけ見せる素直さに興味を持ち、
友達として真日の新たな一面を知っていく湊。
だけど、真日が幼馴染に見せる笑顔の違和感に気がついてしまう。
自分なら、そんな「ウソ」みたいな笑顔させないのに。
自分なら、真日の思いに応えられるのに……。
と、無自覚な恋心が募っていき――…。
色恋イージーモードな
無気力男子
×
猫っ被り一途な
美人男子
未熟な心が揺れ動く、ほろ苦青春ラブストーリー！</v>
      </c>
      <c r="W2257" s="14"/>
      <c r="X2257" s="14" t="str">
        <f>IFERROR(__xludf.DUMMYFUNCTION("""COMPUTED_VALUE"""),"有")</f>
        <v>有</v>
      </c>
      <c r="Y2257" s="8" t="str">
        <f>IFERROR(__xludf.DUMMYFUNCTION("""COMPUTED_VALUE"""),"P19まで")</f>
        <v>P19まで</v>
      </c>
      <c r="Z2257" s="7"/>
      <c r="AA2257" s="7"/>
      <c r="AB2257" s="7"/>
    </row>
    <row r="2258" ht="15.75" customHeight="1">
      <c r="A2258" s="66">
        <f>IFERROR(__xludf.DUMMYFUNCTION("""COMPUTED_VALUE"""),4087.0)</f>
        <v>4087</v>
      </c>
      <c r="B2258" s="75" t="str">
        <f>IFERROR(__xludf.DUMMYFUNCTION("""COMPUTED_VALUE"""),"確定")</f>
        <v>確定</v>
      </c>
      <c r="C2258" s="68">
        <f>IFERROR(__xludf.DUMMYFUNCTION("""COMPUTED_VALUE"""),45538.0)</f>
        <v>45538</v>
      </c>
      <c r="D2258" s="68">
        <f>IFERROR(__xludf.DUMMYFUNCTION("""COMPUTED_VALUE"""),45581.0)</f>
        <v>45581</v>
      </c>
      <c r="E2258" s="60">
        <f>IFERROR(__xludf.DUMMYFUNCTION("""COMPUTED_VALUE"""),305169.0)</f>
        <v>305169</v>
      </c>
      <c r="F2258" s="60" t="str">
        <f>IFERROR(__xludf.DUMMYFUNCTION("""COMPUTED_VALUE"""),"ずっと、ずっと好きだった―再会愛―")</f>
        <v>ずっと、ずっと好きだった―再会愛―</v>
      </c>
      <c r="G2258" s="67" t="str">
        <f>IFERROR(__xludf.DUMMYFUNCTION("""COMPUTED_VALUE"""),"1～3")</f>
        <v>1～3</v>
      </c>
      <c r="H2258" s="75" t="str">
        <f>IFERROR(__xludf.DUMMYFUNCTION("""COMPUTED_VALUE"""),"著者 ：上原た壱 原作 ：緒莉")</f>
        <v>著者 ：上原た壱 原作 ：緒莉</v>
      </c>
      <c r="I2258" s="75" t="str">
        <f>IFERROR(__xludf.DUMMYFUNCTION("""COMPUTED_VALUE"""),"女性")</f>
        <v>女性</v>
      </c>
      <c r="J2258" s="75"/>
      <c r="K2258" s="75"/>
      <c r="L2258" s="75" t="str">
        <f>IFERROR(__xludf.DUMMYFUNCTION("""COMPUTED_VALUE"""),"プランタン出版")</f>
        <v>プランタン出版</v>
      </c>
      <c r="M2258" s="23">
        <f>IFERROR(__xludf.DUMMYFUNCTION("""COMPUTED_VALUE"""),45597.0)</f>
        <v>45597</v>
      </c>
      <c r="N2258" s="59">
        <f>IFERROR(__xludf.DUMMYFUNCTION("""COMPUTED_VALUE"""),45666.0)</f>
        <v>45666</v>
      </c>
      <c r="O2258" s="75"/>
      <c r="P2258" s="80" t="str">
        <f>IFERROR(__xludf.DUMMYFUNCTION("""COMPUTED_VALUE"""),"可")</f>
        <v>可</v>
      </c>
      <c r="Q2258" s="75" t="str">
        <f>IFERROR(__xludf.DUMMYFUNCTION("""COMPUTED_VALUE"""),"*上原た壱×緒莉は『絶対結婚するマンvs絶対結婚しないウーマン』https://www.cmoa.jp/title/239128/&lt;BR&gt;&lt;https://www.cmoa.jp/title/239128/&gt;*&lt;BR&gt;*の同じタッグ*となります！&lt;BR&gt;『絶対結婚するマン～』と同様ご期待ください！")</f>
        <v>*上原た壱×緒莉は『絶対結婚するマンvs絶対結婚しないウーマン』https://www.cmoa.jp/title/239128/&lt;BR&gt;&lt;https://www.cmoa.jp/title/239128/&gt;*&lt;BR&gt;*の同じタッグ*となります！&lt;BR&gt;『絶対結婚するマン～』と同様ご期待ください！</v>
      </c>
      <c r="R2258" s="75" t="str">
        <f>IFERROR(__xludf.DUMMYFUNCTION("""COMPUTED_VALUE"""),"広告コミットOK(9/6)")</f>
        <v>広告コミットOK(9/6)</v>
      </c>
      <c r="S2258" s="75" t="str">
        <f>IFERROR(__xludf.DUMMYFUNCTION("""COMPUTED_VALUE"""),"241010_フランス書院_ずっと、ずっと好きだった―再会愛―")</f>
        <v>241010_フランス書院_ずっと、ずっと好きだった―再会愛―</v>
      </c>
      <c r="T2258" s="75" t="str">
        <f>IFERROR(__xludf.DUMMYFUNCTION("""COMPUTED_VALUE"""),"格納済み")</f>
        <v>格納済み</v>
      </c>
      <c r="U2258" s="15" t="str">
        <f>IFERROR(__xludf.DUMMYFUNCTION("""COMPUTED_VALUE"""),"(C)上原た壱／南国パイン／緒莉／プランタン出版")</f>
        <v>(C)上原た壱／南国パイン／緒莉／プランタン出版</v>
      </c>
      <c r="V2258" s="8" t="str">
        <f>IFERROR(__xludf.DUMMYFUNCTION("""COMPUTED_VALUE"""),"「どこでもいいよ、春がいれば」
中学三年の時に同級生の暁と短い恋をした春。
自分達を取り巻く環境に閉塞感を抱いていた二人は勢いに任せて駆け落ちを計画する。
しかし春は待ち合わせ場所に行くことができず、暁と話す機会もないまま離ればなれに……。
あれから十年。
取引先の上司として再会した暁は、春を覚えていないそぶりだったが……？
十年前の後悔と真実。伝えられなかった言葉と見えなかった想い。
胸の奥にしまい込んでいた恋心とともに、二人の時は再び動き出す――。")</f>
        <v>「どこでもいいよ、春がいれば」
中学三年の時に同級生の暁と短い恋をした春。
自分達を取り巻く環境に閉塞感を抱いていた二人は勢いに任せて駆け落ちを計画する。
しかし春は待ち合わせ場所に行くことができず、暁と話す機会もないまま離ればなれに……。
あれから十年。
取引先の上司として再会した暁は、春を覚えていないそぶりだったが……？
十年前の後悔と真実。伝えられなかった言葉と見えなかった想い。
胸の奥にしまい込んでいた恋心とともに、二人の時は再び動き出す――。</v>
      </c>
      <c r="W2258" s="14"/>
      <c r="X2258" s="14" t="str">
        <f>IFERROR(__xludf.DUMMYFUNCTION("""COMPUTED_VALUE"""),"有")</f>
        <v>有</v>
      </c>
      <c r="Y2258" s="8" t="str">
        <f>IFERROR(__xludf.DUMMYFUNCTION("""COMPUTED_VALUE"""),"2025/1/9まで1巻無料")</f>
        <v>2025/1/9まで1巻無料</v>
      </c>
      <c r="Z2258" s="7"/>
      <c r="AA2258" s="7"/>
      <c r="AB2258" s="7"/>
    </row>
    <row r="2259" ht="15.75" customHeight="1">
      <c r="A2259" s="66">
        <f>IFERROR(__xludf.DUMMYFUNCTION("""COMPUTED_VALUE"""),4089.0)</f>
        <v>4089</v>
      </c>
      <c r="B2259" s="75" t="str">
        <f>IFERROR(__xludf.DUMMYFUNCTION("""COMPUTED_VALUE"""),"確定")</f>
        <v>確定</v>
      </c>
      <c r="C2259" s="68">
        <f>IFERROR(__xludf.DUMMYFUNCTION("""COMPUTED_VALUE"""),45539.0)</f>
        <v>45539</v>
      </c>
      <c r="D2259" s="68">
        <f>IFERROR(__xludf.DUMMYFUNCTION("""COMPUTED_VALUE"""),45580.0)</f>
        <v>45580</v>
      </c>
      <c r="E2259" s="60">
        <f>IFERROR(__xludf.DUMMYFUNCTION("""COMPUTED_VALUE"""),307389.0)</f>
        <v>307389</v>
      </c>
      <c r="F2259" s="60" t="str">
        <f>IFERROR(__xludf.DUMMYFUNCTION("""COMPUTED_VALUE"""),"ラスボス姫は男装勇者にリア恋営業をかけられる！？【マイクロ】")</f>
        <v>ラスボス姫は男装勇者にリア恋営業をかけられる！？【マイクロ】</v>
      </c>
      <c r="G2259" s="67" t="str">
        <f>IFERROR(__xludf.DUMMYFUNCTION("""COMPUTED_VALUE"""),"1～5")</f>
        <v>1～5</v>
      </c>
      <c r="H2259" s="75" t="str">
        <f>IFERROR(__xludf.DUMMYFUNCTION("""COMPUTED_VALUE"""),"清水まみ")</f>
        <v>清水まみ</v>
      </c>
      <c r="I2259" s="75" t="str">
        <f>IFERROR(__xludf.DUMMYFUNCTION("""COMPUTED_VALUE"""),"少女")</f>
        <v>少女</v>
      </c>
      <c r="J2259" s="75"/>
      <c r="K2259" s="75"/>
      <c r="L2259" s="75" t="str">
        <f>IFERROR(__xludf.DUMMYFUNCTION("""COMPUTED_VALUE"""),"小学館")</f>
        <v>小学館</v>
      </c>
      <c r="M2259" s="23">
        <f>IFERROR(__xludf.DUMMYFUNCTION("""COMPUTED_VALUE"""),45601.0)</f>
        <v>45601</v>
      </c>
      <c r="N2259" s="59">
        <f>IFERROR(__xludf.DUMMYFUNCTION("""COMPUTED_VALUE"""),45661.0)</f>
        <v>45661</v>
      </c>
      <c r="O2259" s="75"/>
      <c r="P2259" s="80" t="str">
        <f>IFERROR(__xludf.DUMMYFUNCTION("""COMPUTED_VALUE"""),"否")</f>
        <v>否</v>
      </c>
      <c r="Q2259" s="75" t="str">
        <f>IFERROR(__xludf.DUMMYFUNCTION("""COMPUTED_VALUE"""),"先行期間：続話は1か月（予定）")</f>
        <v>先行期間：続話は1か月（予定）</v>
      </c>
      <c r="R2259" s="75" t="str">
        <f>IFERROR(__xludf.DUMMYFUNCTION("""COMPUTED_VALUE"""),"広告コミットOK（9/6）")</f>
        <v>広告コミットOK（9/6）</v>
      </c>
      <c r="S2259" s="75" t="str">
        <f>IFERROR(__xludf.DUMMYFUNCTION("""COMPUTED_VALUE"""),"20241010_小学館_ラスボス姫は男装勇者にリア恋営業をかけられる！？【マイクロ】")</f>
        <v>20241010_小学館_ラスボス姫は男装勇者にリア恋営業をかけられる！？【マイクロ】</v>
      </c>
      <c r="T2259" s="75" t="str">
        <f>IFERROR(__xludf.DUMMYFUNCTION("""COMPUTED_VALUE"""),"格納済み")</f>
        <v>格納済み</v>
      </c>
      <c r="U2259" s="15" t="str">
        <f>IFERROR(__xludf.DUMMYFUNCTION("""COMPUTED_VALUE"""),"(C)清水まみ / 小学館")</f>
        <v>(C)清水まみ / 小学館</v>
      </c>
      <c r="V2259" s="8" t="str">
        <f>IFERROR(__xludf.DUMMYFUNCTION("""COMPUTED_VALUE"""),"どんな敵も倒してしまう最強魔族の姫・リーリエは、ある日新しい勇者パーティと遭遇する。
今回もいつものように簡単に倒してしまおう・・・と思いきや、イケメン勇者・ローゼに口説かれ、惚れてしまい！？しかもローゼの正体は・・・！！
男装イケメン勇者×ツンデレ魔族姫の異世界百合ラブコメディ！！")</f>
        <v>どんな敵も倒してしまう最強魔族の姫・リーリエは、ある日新しい勇者パーティと遭遇する。
今回もいつものように簡単に倒してしまおう・・・と思いきや、イケメン勇者・ローゼに口説かれ、惚れてしまい！？しかもローゼの正体は・・・！！
男装イケメン勇者×ツンデレ魔族姫の異世界百合ラブコメディ！！</v>
      </c>
      <c r="W2259" s="14"/>
      <c r="X2259" s="14" t="str">
        <f>IFERROR(__xludf.DUMMYFUNCTION("""COMPUTED_VALUE"""),"有")</f>
        <v>有</v>
      </c>
      <c r="Y2259" s="8" t="str">
        <f>IFERROR(__xludf.DUMMYFUNCTION("""COMPUTED_VALUE"""),"2025/1/4まで1巻無料")</f>
        <v>2025/1/4まで1巻無料</v>
      </c>
      <c r="Z2259" s="7"/>
      <c r="AA2259" s="7"/>
      <c r="AB2259" s="7"/>
    </row>
    <row r="2260" ht="15.75" customHeight="1">
      <c r="A2260" s="66">
        <f>IFERROR(__xludf.DUMMYFUNCTION("""COMPUTED_VALUE"""),4128.0)</f>
        <v>4128</v>
      </c>
      <c r="B2260" s="75" t="str">
        <f>IFERROR(__xludf.DUMMYFUNCTION("""COMPUTED_VALUE"""),"確定")</f>
        <v>確定</v>
      </c>
      <c r="C2260" s="68">
        <f>IFERROR(__xludf.DUMMYFUNCTION("""COMPUTED_VALUE"""),45546.0)</f>
        <v>45546</v>
      </c>
      <c r="D2260" s="68">
        <f>IFERROR(__xludf.DUMMYFUNCTION("""COMPUTED_VALUE"""),45581.0)</f>
        <v>45581</v>
      </c>
      <c r="E2260" s="60">
        <f>IFERROR(__xludf.DUMMYFUNCTION("""COMPUTED_VALUE"""),307390.0)</f>
        <v>307390</v>
      </c>
      <c r="F2260" s="60" t="str">
        <f>IFERROR(__xludf.DUMMYFUNCTION("""COMPUTED_VALUE"""),"魔法少女ダンデライオン【マイクロ】")</f>
        <v>魔法少女ダンデライオン【マイクロ】</v>
      </c>
      <c r="G2260" s="67" t="str">
        <f>IFERROR(__xludf.DUMMYFUNCTION("""COMPUTED_VALUE"""),"1～5")</f>
        <v>1～5</v>
      </c>
      <c r="H2260" s="75" t="str">
        <f>IFERROR(__xludf.DUMMYFUNCTION("""COMPUTED_VALUE"""),"水帆かえる")</f>
        <v>水帆かえる</v>
      </c>
      <c r="I2260" s="75" t="str">
        <f>IFERROR(__xludf.DUMMYFUNCTION("""COMPUTED_VALUE"""),"少女")</f>
        <v>少女</v>
      </c>
      <c r="J2260" s="75"/>
      <c r="K2260" s="75"/>
      <c r="L2260" s="75" t="str">
        <f>IFERROR(__xludf.DUMMYFUNCTION("""COMPUTED_VALUE"""),"小学館")</f>
        <v>小学館</v>
      </c>
      <c r="M2260" s="23">
        <f>IFERROR(__xludf.DUMMYFUNCTION("""COMPUTED_VALUE"""),45601.0)</f>
        <v>45601</v>
      </c>
      <c r="N2260" s="59">
        <f>IFERROR(__xludf.DUMMYFUNCTION("""COMPUTED_VALUE"""),45661.0)</f>
        <v>45661</v>
      </c>
      <c r="O2260" s="75"/>
      <c r="P2260" s="80" t="str">
        <f>IFERROR(__xludf.DUMMYFUNCTION("""COMPUTED_VALUE"""),"否")</f>
        <v>否</v>
      </c>
      <c r="Q2260" s="75" t="str">
        <f>IFERROR(__xludf.DUMMYFUNCTION("""COMPUTED_VALUE"""),"・続話1ヵ月予定&lt;BR&gt;▼小学館からのおすすめコメント&lt;BR&gt;・海外の新連載漫画情報アカウントにあげられた新連載のお知らせに、ほぼ10000♡&lt;BR&gt;・海外ファンの方が描いたファンアートに3000♡がつく……など海外でも反応のいい作品となっております。&lt;BR&gt;↓紹介X↓&lt;BR&gt;https://x.com/mangamogurare/status/1824723089696923924?s=46&lt;BR&gt;↓ファンアートX↓&lt;BR&gt;https://x.com/juicykiwi__/status/1826747"&amp;"219552408046?s=46")</f>
        <v>・続話1ヵ月予定&lt;BR&gt;▼小学館からのおすすめコメント&lt;BR&gt;・海外の新連載漫画情報アカウントにあげられた新連載のお知らせに、ほぼ10000♡&lt;BR&gt;・海外ファンの方が描いたファンアートに3000♡がつく……など海外でも反応のいい作品となっております。&lt;BR&gt;↓紹介X↓&lt;BR&gt;https://x.com/mangamogurare/status/1824723089696923924?s=46&lt;BR&gt;↓ファンアートX↓&lt;BR&gt;https://x.com/juicykiwi__/status/1826747219552408046?s=46</v>
      </c>
      <c r="R2260" s="75" t="str">
        <f>IFERROR(__xludf.DUMMYFUNCTION("""COMPUTED_VALUE"""),"広告コミットOK（9/13）")</f>
        <v>広告コミットOK（9/13）</v>
      </c>
      <c r="S2260" s="75" t="str">
        <f>IFERROR(__xludf.DUMMYFUNCTION("""COMPUTED_VALUE"""),"20241010_小学館_魔法少女ダンデライオン【マイクロ】")</f>
        <v>20241010_小学館_魔法少女ダンデライオン【マイクロ】</v>
      </c>
      <c r="T2260" s="75" t="str">
        <f>IFERROR(__xludf.DUMMYFUNCTION("""COMPUTED_VALUE"""),"格納済み")</f>
        <v>格納済み</v>
      </c>
      <c r="U2260" s="15" t="str">
        <f>IFERROR(__xludf.DUMMYFUNCTION("""COMPUTED_VALUE"""),"(C)水帆かえる / 小学館")</f>
        <v>(C)水帆かえる / 小学館</v>
      </c>
      <c r="V2260" s="8" t="str">
        <f>IFERROR(__xludf.DUMMYFUNCTION("""COMPUTED_VALUE"""),"守られるのは、もうやめたー。敵（ヴィラン）のはずの怪人と魔法少女がバディに！？ これは、光と影が並び立つための物語。期待の新鋭が贈るネオ・ダークファンタジー！")</f>
        <v>守られるのは、もうやめたー。敵（ヴィラン）のはずの怪人と魔法少女がバディに！？ これは、光と影が並び立つための物語。期待の新鋭が贈るネオ・ダークファンタジー！</v>
      </c>
      <c r="W2260" s="14"/>
      <c r="X2260" s="14" t="str">
        <f>IFERROR(__xludf.DUMMYFUNCTION("""COMPUTED_VALUE"""),"有")</f>
        <v>有</v>
      </c>
      <c r="Y2260" s="8" t="str">
        <f>IFERROR(__xludf.DUMMYFUNCTION("""COMPUTED_VALUE"""),"2025/1/4まで1巻無料")</f>
        <v>2025/1/4まで1巻無料</v>
      </c>
      <c r="Z2260" s="7"/>
      <c r="AA2260" s="7"/>
      <c r="AB2260" s="7"/>
    </row>
    <row r="2261" ht="15.75" customHeight="1">
      <c r="A2261" s="66">
        <f>IFERROR(__xludf.DUMMYFUNCTION("""COMPUTED_VALUE"""),4133.0)</f>
        <v>4133</v>
      </c>
      <c r="B2261" s="75" t="str">
        <f>IFERROR(__xludf.DUMMYFUNCTION("""COMPUTED_VALUE"""),"確定")</f>
        <v>確定</v>
      </c>
      <c r="C2261" s="68">
        <f>IFERROR(__xludf.DUMMYFUNCTION("""COMPUTED_VALUE"""),45548.0)</f>
        <v>45548</v>
      </c>
      <c r="D2261" s="68">
        <f>IFERROR(__xludf.DUMMYFUNCTION("""COMPUTED_VALUE"""),45580.0)</f>
        <v>45580</v>
      </c>
      <c r="E2261" s="60">
        <f>IFERROR(__xludf.DUMMYFUNCTION("""COMPUTED_VALUE"""),305673.0)</f>
        <v>305673</v>
      </c>
      <c r="F2261" s="60" t="str">
        <f>IFERROR(__xludf.DUMMYFUNCTION("""COMPUTED_VALUE"""),"ラブド・シャッター")</f>
        <v>ラブド・シャッター</v>
      </c>
      <c r="G2261" s="67">
        <f>IFERROR(__xludf.DUMMYFUNCTION("""COMPUTED_VALUE"""),1.0)</f>
        <v>1</v>
      </c>
      <c r="H2261" s="75" t="str">
        <f>IFERROR(__xludf.DUMMYFUNCTION("""COMPUTED_VALUE"""),"安堂ろめだ")</f>
        <v>安堂ろめだ</v>
      </c>
      <c r="I2261" s="75" t="str">
        <f>IFERROR(__xludf.DUMMYFUNCTION("""COMPUTED_VALUE"""),"BL")</f>
        <v>BL</v>
      </c>
      <c r="J2261" s="75"/>
      <c r="K2261" s="75"/>
      <c r="L2261" s="75" t="str">
        <f>IFERROR(__xludf.DUMMYFUNCTION("""COMPUTED_VALUE"""),"シュークリーム")</f>
        <v>シュークリーム</v>
      </c>
      <c r="M2261" s="23">
        <f>IFERROR(__xludf.DUMMYFUNCTION("""COMPUTED_VALUE"""),45604.0)</f>
        <v>45604</v>
      </c>
      <c r="N2261" s="94">
        <f>IFERROR(__xludf.DUMMYFUNCTION("""COMPUTED_VALUE"""),45638.0)</f>
        <v>45638</v>
      </c>
      <c r="O2261" s="75"/>
      <c r="P2261" s="71" t="str">
        <f>IFERROR(__xludf.DUMMYFUNCTION("""COMPUTED_VALUE"""),"可")</f>
        <v>可</v>
      </c>
      <c r="Q2261" s="72"/>
      <c r="R2261" s="75"/>
      <c r="S2261" s="75" t="str">
        <f>IFERROR(__xludf.DUMMYFUNCTION("""COMPUTED_VALUE"""),"20241015_シュークリーム_ラブド・シャッター")</f>
        <v>20241015_シュークリーム_ラブド・シャッター</v>
      </c>
      <c r="T2261" s="75" t="str">
        <f>IFERROR(__xludf.DUMMYFUNCTION("""COMPUTED_VALUE"""),"格納済み")</f>
        <v>格納済み</v>
      </c>
      <c r="U2261" s="15" t="str">
        <f>IFERROR(__xludf.DUMMYFUNCTION("""COMPUTED_VALUE"""),"（C）安堂ろめだ/シュークリーム")</f>
        <v>（C）安堂ろめだ/シュークリーム</v>
      </c>
      <c r="V2261" s="8" t="str">
        <f>IFERROR(__xludf.DUMMYFUNCTION("""COMPUTED_VALUE"""),"カフェで働く悠は、実は昔モデルの仕事をしていた。
過去を封印しながら過ごす日々。に嵐のように突然現れたのは、才気あふれる話題のカメラマン・信也――かつて青春時代を共に過ごした、忘れられない男だった。
「モデルになってほしいんだ」
必死に捨て去ったはずの過去の熱を、信也はいとも簡単に呼び覚ます。
もうモデルはしない、と断って逃げる悠だが、
あのまっすぐな瞳に見つめられた時点でもう再び心まで絡め取られてしまっていた。
「――やるよ、モデル」
天才カメラマン×元モデル
一度手放した恋"&amp;"と夢が美しく切なく煌めく、大人の再会BL！")</f>
        <v>カフェで働く悠は、実は昔モデルの仕事をしていた。
過去を封印しながら過ごす日々。に嵐のように突然現れたのは、才気あふれる話題のカメラマン・信也――かつて青春時代を共に過ごした、忘れられない男だった。
「モデルになってほしいんだ」
必死に捨て去ったはずの過去の熱を、信也はいとも簡単に呼び覚ます。
もうモデルはしない、と断って逃げる悠だが、
あのまっすぐな瞳に見つめられた時点でもう再び心まで絡め取られてしまっていた。
「――やるよ、モデル」
天才カメラマン×元モデル
一度手放した恋と夢が美しく切なく煌めく、大人の再会BL！</v>
      </c>
      <c r="W2261" s="14"/>
      <c r="X2261" s="14" t="str">
        <f>IFERROR(__xludf.DUMMYFUNCTION("""COMPUTED_VALUE"""),"有")</f>
        <v>有</v>
      </c>
      <c r="Y2261" s="8" t="str">
        <f>IFERROR(__xludf.DUMMYFUNCTION("""COMPUTED_VALUE"""),"P13まで")</f>
        <v>P13まで</v>
      </c>
      <c r="Z2261" s="7"/>
      <c r="AA2261" s="7"/>
      <c r="AB2261" s="7"/>
    </row>
    <row r="2262" ht="15.75" customHeight="1">
      <c r="A2262" s="66">
        <f>IFERROR(__xludf.DUMMYFUNCTION("""COMPUTED_VALUE"""),4134.0)</f>
        <v>4134</v>
      </c>
      <c r="B2262" s="75" t="str">
        <f>IFERROR(__xludf.DUMMYFUNCTION("""COMPUTED_VALUE"""),"確定")</f>
        <v>確定</v>
      </c>
      <c r="C2262" s="68">
        <f>IFERROR(__xludf.DUMMYFUNCTION("""COMPUTED_VALUE"""),45548.0)</f>
        <v>45548</v>
      </c>
      <c r="D2262" s="68">
        <f>IFERROR(__xludf.DUMMYFUNCTION("""COMPUTED_VALUE"""),45580.0)</f>
        <v>45580</v>
      </c>
      <c r="E2262" s="60">
        <f>IFERROR(__xludf.DUMMYFUNCTION("""COMPUTED_VALUE"""),305674.0)</f>
        <v>305674</v>
      </c>
      <c r="F2262" s="60" t="str">
        <f>IFERROR(__xludf.DUMMYFUNCTION("""COMPUTED_VALUE"""),"ロマンチックが似合わない")</f>
        <v>ロマンチックが似合わない</v>
      </c>
      <c r="G2262" s="67">
        <f>IFERROR(__xludf.DUMMYFUNCTION("""COMPUTED_VALUE"""),1.0)</f>
        <v>1</v>
      </c>
      <c r="H2262" s="75" t="str">
        <f>IFERROR(__xludf.DUMMYFUNCTION("""COMPUTED_VALUE"""),"Hiカロリー")</f>
        <v>Hiカロリー</v>
      </c>
      <c r="I2262" s="75" t="str">
        <f>IFERROR(__xludf.DUMMYFUNCTION("""COMPUTED_VALUE"""),"BL")</f>
        <v>BL</v>
      </c>
      <c r="J2262" s="75"/>
      <c r="K2262" s="75"/>
      <c r="L2262" s="75" t="str">
        <f>IFERROR(__xludf.DUMMYFUNCTION("""COMPUTED_VALUE"""),"シュークリーム")</f>
        <v>シュークリーム</v>
      </c>
      <c r="M2262" s="23">
        <f>IFERROR(__xludf.DUMMYFUNCTION("""COMPUTED_VALUE"""),45604.0)</f>
        <v>45604</v>
      </c>
      <c r="N2262" s="94">
        <f>IFERROR(__xludf.DUMMYFUNCTION("""COMPUTED_VALUE"""),45638.0)</f>
        <v>45638</v>
      </c>
      <c r="O2262" s="75"/>
      <c r="P2262" s="71" t="str">
        <f>IFERROR(__xludf.DUMMYFUNCTION("""COMPUTED_VALUE"""),"可")</f>
        <v>可</v>
      </c>
      <c r="Q2262" s="72"/>
      <c r="R2262" s="75"/>
      <c r="S2262" s="75" t="str">
        <f>IFERROR(__xludf.DUMMYFUNCTION("""COMPUTED_VALUE"""),"20241015_シュークリームロマンチックが似合わない")</f>
        <v>20241015_シュークリームロマンチックが似合わない</v>
      </c>
      <c r="T2262" s="75" t="str">
        <f>IFERROR(__xludf.DUMMYFUNCTION("""COMPUTED_VALUE"""),"格納済み")</f>
        <v>格納済み</v>
      </c>
      <c r="U2262" s="15" t="str">
        <f>IFERROR(__xludf.DUMMYFUNCTION("""COMPUTED_VALUE"""),"（C）Hiカロリー/シュークリーム")</f>
        <v>（C）Hiカロリー/シュークリーム</v>
      </c>
      <c r="V2262" s="8" t="str">
        <f>IFERROR(__xludf.DUMMYFUNCTION("""COMPUTED_VALUE"""),"【フェロモンが出ない】体質のΩ・陽希は
中古で購入したTシャツから漂うαの香りに当てられ
「この人が俺の運命だ」と確信する。
いつか運命のαと劇的な恋をして、番になりたい。
そう夢見ていた陽希だったが、
偶然出会った“あの香り”の持ち主は
想像とはかけ離れた陰気なα・持丸だった。
αらしからぬ持丸を前に、
タイプじゃない！と抗いながらも
陽希は本能が疼いて止まらなくて……。
執着系陰キャα×ちょっとドライな根アカΩ
本能と理想の間で揺れる、ワケアリ同士のオメガバース・ラブ"&amp;"コメ")</f>
        <v>【フェロモンが出ない】体質のΩ・陽希は
中古で購入したTシャツから漂うαの香りに当てられ
「この人が俺の運命だ」と確信する。
いつか運命のαと劇的な恋をして、番になりたい。
そう夢見ていた陽希だったが、
偶然出会った“あの香り”の持ち主は
想像とはかけ離れた陰気なα・持丸だった。
αらしからぬ持丸を前に、
タイプじゃない！と抗いながらも
陽希は本能が疼いて止まらなくて……。
執着系陰キャα×ちょっとドライな根アカΩ
本能と理想の間で揺れる、ワケアリ同士のオメガバース・ラブコメ</v>
      </c>
      <c r="W2262" s="14"/>
      <c r="X2262" s="14" t="str">
        <f>IFERROR(__xludf.DUMMYFUNCTION("""COMPUTED_VALUE"""),"有")</f>
        <v>有</v>
      </c>
      <c r="Y2262" s="8" t="str">
        <f>IFERROR(__xludf.DUMMYFUNCTION("""COMPUTED_VALUE"""),"P15まで")</f>
        <v>P15まで</v>
      </c>
      <c r="Z2262" s="7"/>
      <c r="AA2262" s="7"/>
      <c r="AB2262" s="7"/>
    </row>
    <row r="2263" ht="15.75" customHeight="1">
      <c r="A2263" s="66">
        <f>IFERROR(__xludf.DUMMYFUNCTION("""COMPUTED_VALUE"""),4155.0)</f>
        <v>4155</v>
      </c>
      <c r="B2263" s="75" t="str">
        <f>IFERROR(__xludf.DUMMYFUNCTION("""COMPUTED_VALUE"""),"確定")</f>
        <v>確定</v>
      </c>
      <c r="C2263" s="68">
        <f>IFERROR(__xludf.DUMMYFUNCTION("""COMPUTED_VALUE"""),45553.0)</f>
        <v>45553</v>
      </c>
      <c r="D2263" s="68">
        <f>IFERROR(__xludf.DUMMYFUNCTION("""COMPUTED_VALUE"""),45581.0)</f>
        <v>45581</v>
      </c>
      <c r="E2263" s="60">
        <f>IFERROR(__xludf.DUMMYFUNCTION("""COMPUTED_VALUE"""),307177.0)</f>
        <v>307177</v>
      </c>
      <c r="F2263" s="60" t="str">
        <f>IFERROR(__xludf.DUMMYFUNCTION("""COMPUTED_VALUE"""),"教壇の下で【単話版】")</f>
        <v>教壇の下で【単話版】</v>
      </c>
      <c r="G2263" s="67" t="str">
        <f>IFERROR(__xludf.DUMMYFUNCTION("""COMPUTED_VALUE"""),"1～5")</f>
        <v>1～5</v>
      </c>
      <c r="H2263" s="75" t="str">
        <f>IFERROR(__xludf.DUMMYFUNCTION("""COMPUTED_VALUE"""),"近藤しぐれ")</f>
        <v>近藤しぐれ</v>
      </c>
      <c r="I2263" s="83" t="str">
        <f>IFERROR(__xludf.DUMMYFUNCTION("""COMPUTED_VALUE"""),"青年")</f>
        <v>青年</v>
      </c>
      <c r="J2263" s="75"/>
      <c r="K2263" s="75"/>
      <c r="L2263" s="75" t="str">
        <f>IFERROR(__xludf.DUMMYFUNCTION("""COMPUTED_VALUE"""),"日本文芸社")</f>
        <v>日本文芸社</v>
      </c>
      <c r="M2263" s="94">
        <f>IFERROR(__xludf.DUMMYFUNCTION("""COMPUTED_VALUE"""),45611.0)</f>
        <v>45611</v>
      </c>
      <c r="N2263" s="47">
        <f>IFERROR(__xludf.DUMMYFUNCTION("""COMPUTED_VALUE"""),45703.0)</f>
        <v>45703</v>
      </c>
      <c r="O2263" s="75"/>
      <c r="P2263" s="80" t="str">
        <f>IFERROR(__xludf.DUMMYFUNCTION("""COMPUTED_VALUE"""),"可")</f>
        <v>可</v>
      </c>
      <c r="Q2263" s="75" t="str">
        <f>IFERROR(__xludf.DUMMYFUNCTION("""COMPUTED_VALUE"""),"・著者の過去作は「監禁婚～カンキンコン～」「シグナル100」等")</f>
        <v>・著者の過去作は「監禁婚～カンキンコン～」「シグナル100」等</v>
      </c>
      <c r="R2263" s="83" t="str">
        <f>IFERROR(__xludf.DUMMYFUNCTION("""COMPUTED_VALUE"""),"広告コミットOK(9/20)")</f>
        <v>広告コミットOK(9/20)</v>
      </c>
      <c r="S2263" s="75" t="str">
        <f>IFERROR(__xludf.DUMMYFUNCTION("""COMPUTED_VALUE"""),"20241031_日本文芸社_教壇の下で【単話版】")</f>
        <v>20241031_日本文芸社_教壇の下で【単話版】</v>
      </c>
      <c r="T2263" s="75" t="str">
        <f>IFERROR(__xludf.DUMMYFUNCTION("""COMPUTED_VALUE"""),"格納済み")</f>
        <v>格納済み</v>
      </c>
      <c r="U2263" s="15" t="str">
        <f>IFERROR(__xludf.DUMMYFUNCTION("""COMPUTED_VALUE"""),"(c)近藤しぐれ/日本文芸社")</f>
        <v>(c)近藤しぐれ/日本文芸社</v>
      </c>
      <c r="V2263" s="8" t="str">
        <f>IFERROR(__xludf.DUMMYFUNCTION("""COMPUTED_VALUE"""),"生徒を教え導き、生徒の見本となる存在……「教師」。
しかし、彼らだって必ずしも〝完璧〟ではない――。
これは心の隙間に芽生えた、
愛と性の〝不倫〟物語。
『監禁婚～カンキンコン～』の近藤しぐれが放つ、インモラル官能ドラマ。")</f>
        <v>生徒を教え導き、生徒の見本となる存在……「教師」。
しかし、彼らだって必ずしも〝完璧〟ではない――。
これは心の隙間に芽生えた、
愛と性の〝不倫〟物語。
『監禁婚～カンキンコン～』の近藤しぐれが放つ、インモラル官能ドラマ。</v>
      </c>
      <c r="W2263" s="14"/>
      <c r="X2263" s="14" t="str">
        <f>IFERROR(__xludf.DUMMYFUNCTION("""COMPUTED_VALUE"""),"有")</f>
        <v>有</v>
      </c>
      <c r="Y2263" s="8" t="str">
        <f>IFERROR(__xludf.DUMMYFUNCTION("""COMPUTED_VALUE"""),"1巻無料")</f>
        <v>1巻無料</v>
      </c>
      <c r="Z2263" s="7"/>
      <c r="AA2263" s="7"/>
      <c r="AB2263" s="7"/>
    </row>
    <row r="2264" ht="15.75" customHeight="1">
      <c r="A2264" s="66">
        <f>IFERROR(__xludf.DUMMYFUNCTION("""COMPUTED_VALUE"""),4181.0)</f>
        <v>4181</v>
      </c>
      <c r="B2264" s="75" t="str">
        <f>IFERROR(__xludf.DUMMYFUNCTION("""COMPUTED_VALUE"""),"確定")</f>
        <v>確定</v>
      </c>
      <c r="C2264" s="68">
        <f>IFERROR(__xludf.DUMMYFUNCTION("""COMPUTED_VALUE"""),45555.0)</f>
        <v>45555</v>
      </c>
      <c r="D2264" s="68">
        <f>IFERROR(__xludf.DUMMYFUNCTION("""COMPUTED_VALUE"""),45580.0)</f>
        <v>45580</v>
      </c>
      <c r="E2264" s="60">
        <f>IFERROR(__xludf.DUMMYFUNCTION("""COMPUTED_VALUE"""),306988.0)</f>
        <v>306988</v>
      </c>
      <c r="F2264" s="60" t="str">
        <f>IFERROR(__xludf.DUMMYFUNCTION("""COMPUTED_VALUE"""),"月影")</f>
        <v>月影</v>
      </c>
      <c r="G2264" s="67" t="str">
        <f>IFERROR(__xludf.DUMMYFUNCTION("""COMPUTED_VALUE"""),"1～10")</f>
        <v>1～10</v>
      </c>
      <c r="H2264" s="83" t="str">
        <f>IFERROR(__xludf.DUMMYFUNCTION("""COMPUTED_VALUE"""),"yunee")</f>
        <v>yunee</v>
      </c>
      <c r="I2264" s="75" t="str">
        <f>IFERROR(__xludf.DUMMYFUNCTION("""COMPUTED_VALUE"""),"BL")</f>
        <v>BL</v>
      </c>
      <c r="J2264" s="75"/>
      <c r="K2264" s="75"/>
      <c r="L2264" s="75" t="str">
        <f>IFERROR(__xludf.DUMMYFUNCTION("""COMPUTED_VALUE"""),"Studio reBorn")</f>
        <v>Studio reBorn</v>
      </c>
      <c r="M2264" s="94">
        <f>IFERROR(__xludf.DUMMYFUNCTION("""COMPUTED_VALUE"""),45606.0)</f>
        <v>45606</v>
      </c>
      <c r="N2264" s="105">
        <f>IFERROR(__xludf.DUMMYFUNCTION("""COMPUTED_VALUE"""),45697.0)</f>
        <v>45697</v>
      </c>
      <c r="O2264" s="75"/>
      <c r="P2264" s="80" t="str">
        <f>IFERROR(__xludf.DUMMYFUNCTION("""COMPUTED_VALUE"""),"可")</f>
        <v>可</v>
      </c>
      <c r="Q2264" s="75" t="str">
        <f>IFERROR(__xludf.DUMMYFUNCTION("""COMPUTED_VALUE"""),"広告素材でPSDデータが必要な場合、該当話を申告すれば書き出してもらえます。")</f>
        <v>広告素材でPSDデータが必要な場合、該当話を申告すれば書き出してもらえます。</v>
      </c>
      <c r="R2264" s="75" t="str">
        <f>IFERROR(__xludf.DUMMYFUNCTION("""COMPUTED_VALUE"""),"広告コミットOK(9/26）")</f>
        <v>広告コミットOK(9/26）</v>
      </c>
      <c r="S2264" s="75" t="str">
        <f>IFERROR(__xludf.DUMMYFUNCTION("""COMPUTED_VALUE"""),"20241011_Studio reBorn_月影【タテヨミ】")</f>
        <v>20241011_Studio reBorn_月影【タテヨミ】</v>
      </c>
      <c r="T2264" s="75" t="str">
        <f>IFERROR(__xludf.DUMMYFUNCTION("""COMPUTED_VALUE"""),"格納済み")</f>
        <v>格納済み</v>
      </c>
      <c r="U2264" s="15" t="str">
        <f>IFERROR(__xludf.DUMMYFUNCTION("""COMPUTED_VALUE"""),"(c)Studio reBorn (c)yunee / ミスターブルー")</f>
        <v>(c)Studio reBorn (c)yunee / ミスターブルー</v>
      </c>
      <c r="V2264" s="8" t="str">
        <f>IFERROR(__xludf.DUMMYFUNCTION("""COMPUTED_VALUE"""),"強い力にはそれと同じだけの密接な浄化が求められるー。
国中に突如現れた“妖獣”。その討伐軍隊長‘ヨノ’はある日、運命の浄化師に出会ってしまう。
その名は‘へリョン’。
これは、二人の出会いで動き出す運命についての物語。
絆が深まるほどに、求めずにはいられないー。
期待の東洋ファンタジーBL！")</f>
        <v>強い力にはそれと同じだけの密接な浄化が求められるー。
国中に突如現れた“妖獣”。その討伐軍隊長‘ヨノ’はある日、運命の浄化師に出会ってしまう。
その名は‘へリョン’。
これは、二人の出会いで動き出す運命についての物語。
絆が深まるほどに、求めずにはいられないー。
期待の東洋ファンタジーBL！</v>
      </c>
      <c r="W2264" s="14"/>
      <c r="X2264" s="14" t="str">
        <f>IFERROR(__xludf.DUMMYFUNCTION("""COMPUTED_VALUE"""),"有")</f>
        <v>有</v>
      </c>
      <c r="Y2264" s="8" t="str">
        <f>IFERROR(__xludf.DUMMYFUNCTION("""COMPUTED_VALUE"""),"1～4巻無料")</f>
        <v>1～4巻無料</v>
      </c>
      <c r="Z2264" s="7"/>
      <c r="AA2264" s="7"/>
      <c r="AB2264" s="7"/>
    </row>
    <row r="2265" ht="15.75" customHeight="1">
      <c r="A2265" s="66">
        <f>IFERROR(__xludf.DUMMYFUNCTION("""COMPUTED_VALUE"""),4194.0)</f>
        <v>4194</v>
      </c>
      <c r="B2265" s="75" t="str">
        <f>IFERROR(__xludf.DUMMYFUNCTION("""COMPUTED_VALUE"""),"確定")</f>
        <v>確定</v>
      </c>
      <c r="C2265" s="68">
        <f>IFERROR(__xludf.DUMMYFUNCTION("""COMPUTED_VALUE"""),45562.0)</f>
        <v>45562</v>
      </c>
      <c r="D2265" s="68">
        <f>IFERROR(__xludf.DUMMYFUNCTION("""COMPUTED_VALUE"""),45581.0)</f>
        <v>45581</v>
      </c>
      <c r="E2265" s="60">
        <f>IFERROR(__xludf.DUMMYFUNCTION("""COMPUTED_VALUE"""),304803.0)</f>
        <v>304803</v>
      </c>
      <c r="F2265" s="60" t="str">
        <f>IFERROR(__xludf.DUMMYFUNCTION("""COMPUTED_VALUE"""),"社畜ギルド～納期までにバグった異世界救います！【ページ版】")</f>
        <v>社畜ギルド～納期までにバグった異世界救います！【ページ版】</v>
      </c>
      <c r="G2265" s="67" t="str">
        <f>IFERROR(__xludf.DUMMYFUNCTION("""COMPUTED_VALUE"""),"1～5")</f>
        <v>1～5</v>
      </c>
      <c r="H2265" s="75" t="str">
        <f>IFERROR(__xludf.DUMMYFUNCTION("""COMPUTED_VALUE"""),"dot")</f>
        <v>dot</v>
      </c>
      <c r="I2265" s="75" t="str">
        <f>IFERROR(__xludf.DUMMYFUNCTION("""COMPUTED_VALUE"""),"青年")</f>
        <v>青年</v>
      </c>
      <c r="J2265" s="75"/>
      <c r="K2265" s="75"/>
      <c r="L2265" s="75" t="str">
        <f>IFERROR(__xludf.DUMMYFUNCTION("""COMPUTED_VALUE"""),"ファンギルド")</f>
        <v>ファンギルド</v>
      </c>
      <c r="M2265" s="23">
        <f>IFERROR(__xludf.DUMMYFUNCTION("""COMPUTED_VALUE"""),45601.0)</f>
        <v>45601</v>
      </c>
      <c r="N2265" s="23">
        <f>IFERROR(__xludf.DUMMYFUNCTION("""COMPUTED_VALUE"""),45635.0)</f>
        <v>45635</v>
      </c>
      <c r="O2265" s="75"/>
      <c r="P2265" s="80" t="str">
        <f>IFERROR(__xludf.DUMMYFUNCTION("""COMPUTED_VALUE"""),"可")</f>
        <v>可</v>
      </c>
      <c r="Q2265" s="72" t="str">
        <f>IFERROR(__xludf.DUMMYFUNCTION("""COMPUTED_VALUE"""),"https://www.cmoa.jp/title/289474/の版面版です")</f>
        <v>https://www.cmoa.jp/title/289474/の版面版です</v>
      </c>
      <c r="R2265" s="75"/>
      <c r="S2265" s="75" t="str">
        <f>IFERROR(__xludf.DUMMYFUNCTION("""COMPUTED_VALUE"""),"20240927_ファンギルド_社畜ギルド")</f>
        <v>20240927_ファンギルド_社畜ギルド</v>
      </c>
      <c r="T2265" s="75" t="str">
        <f>IFERROR(__xludf.DUMMYFUNCTION("""COMPUTED_VALUE"""),"格納済み")</f>
        <v>格納済み</v>
      </c>
      <c r="U2265" s="15" t="str">
        <f>IFERROR(__xludf.DUMMYFUNCTION("""COMPUTED_VALUE"""),"ⒸKOU SASAKURA/dotworks LLC./FUNGUILD")</f>
        <v>ⒸKOU SASAKURA/dotworks LLC./FUNGUILD</v>
      </c>
      <c r="V2265" s="8" t="str">
        <f>IFERROR(__xludf.DUMMYFUNCTION("""COMPUTED_VALUE"""),"【目覚めよ…選ばれし者――！】ゲームクリエイター・皆戸は謎の声で目を覚ました。その手には木刀とひのきの盾…？そして突如襲いかかってくる毒スライム！？「俺はさっきまで会社にいたはずなのに…！」なんと皆戸は、自らが制作中のRPGゲーム『Bravers(ブレイバーズ)』の世界に転移してしまったのだ！次々現れるパワーバランスの狂った強敵、予測不能のトラップ――。予算不足でバグだらけのこのゲーム…1週間後に迫る納期までに、無事クリアして現実世界に戻れるのか！？【「社畜ギルド～納期までにバグった異世界救います！」の再"&amp;"編集版です。重複購入にご注意ください。】")</f>
        <v>【目覚めよ…選ばれし者――！】ゲームクリエイター・皆戸は謎の声で目を覚ました。その手には木刀とひのきの盾…？そして突如襲いかかってくる毒スライム！？「俺はさっきまで会社にいたはずなのに…！」なんと皆戸は、自らが制作中のRPGゲーム『Bravers(ブレイバーズ)』の世界に転移してしまったのだ！次々現れるパワーバランスの狂った強敵、予測不能のトラップ――。予算不足でバグだらけのこのゲーム…1週間後に迫る納期までに、無事クリアして現実世界に戻れるのか！？【「社畜ギルド～納期までにバグった異世界救います！」の再編集版です。重複購入にご注意ください。】</v>
      </c>
      <c r="W2265" s="14"/>
      <c r="X2265" s="14" t="str">
        <f>IFERROR(__xludf.DUMMYFUNCTION("""COMPUTED_VALUE"""),"有")</f>
        <v>有</v>
      </c>
      <c r="Y2265" s="8" t="str">
        <f>IFERROR(__xludf.DUMMYFUNCTION("""COMPUTED_VALUE"""),"2024/11/18まで1巻無料")</f>
        <v>2024/11/18まで1巻無料</v>
      </c>
      <c r="Z2265" s="7"/>
      <c r="AA2265" s="7"/>
      <c r="AB2265" s="7"/>
    </row>
    <row r="2266" ht="15.75" customHeight="1">
      <c r="A2266" s="66">
        <f>IFERROR(__xludf.DUMMYFUNCTION("""COMPUTED_VALUE"""),4220.0)</f>
        <v>4220</v>
      </c>
      <c r="B2266" s="75" t="str">
        <f>IFERROR(__xludf.DUMMYFUNCTION("""COMPUTED_VALUE"""),"確定")</f>
        <v>確定</v>
      </c>
      <c r="C2266" s="68">
        <f>IFERROR(__xludf.DUMMYFUNCTION("""COMPUTED_VALUE"""),45567.0)</f>
        <v>45567</v>
      </c>
      <c r="D2266" s="68">
        <f>IFERROR(__xludf.DUMMYFUNCTION("""COMPUTED_VALUE"""),45581.0)</f>
        <v>45581</v>
      </c>
      <c r="E2266" s="60">
        <f>IFERROR(__xludf.DUMMYFUNCTION("""COMPUTED_VALUE"""),307291.0)</f>
        <v>307291</v>
      </c>
      <c r="F2266" s="60" t="str">
        <f>IFERROR(__xludf.DUMMYFUNCTION("""COMPUTED_VALUE"""),"悪役令嬢と仮面の騎士")</f>
        <v>悪役令嬢と仮面の騎士</v>
      </c>
      <c r="G2266" s="67">
        <f>IFERROR(__xludf.DUMMYFUNCTION("""COMPUTED_VALUE"""),1.0)</f>
        <v>1</v>
      </c>
      <c r="H2266" s="75" t="str">
        <f>IFERROR(__xludf.DUMMYFUNCTION("""COMPUTED_VALUE"""),"小牧椛・夏野なえ")</f>
        <v>小牧椛・夏野なえ</v>
      </c>
      <c r="I2266" s="75" t="str">
        <f>IFERROR(__xludf.DUMMYFUNCTION("""COMPUTED_VALUE"""),"少女")</f>
        <v>少女</v>
      </c>
      <c r="J2266" s="75"/>
      <c r="K2266" s="75"/>
      <c r="L2266" s="75" t="str">
        <f>IFERROR(__xludf.DUMMYFUNCTION("""COMPUTED_VALUE"""),"一迅社")</f>
        <v>一迅社</v>
      </c>
      <c r="M2266" s="23">
        <f>IFERROR(__xludf.DUMMYFUNCTION("""COMPUTED_VALUE"""),45627.0)</f>
        <v>45627</v>
      </c>
      <c r="N2266" s="23">
        <f>IFERROR(__xludf.DUMMYFUNCTION("""COMPUTED_VALUE"""),45657.0)</f>
        <v>45657</v>
      </c>
      <c r="O2266" s="75"/>
      <c r="P2266" s="80" t="str">
        <f>IFERROR(__xludf.DUMMYFUNCTION("""COMPUTED_VALUE"""),"可")</f>
        <v>可</v>
      </c>
      <c r="Q2266" s="75" t="str">
        <f>IFERROR(__xludf.DUMMYFUNCTION("""COMPUTED_VALUE"""),"・アンソロジーのばら売りです&lt;BR&gt;・広告素材はフォルダ格納のアンソロジーから切り出して使用してください。(P43～P78)&lt;BR&gt;・先方の年末進行が絡みますので、先行延長依頼をする場合には早めの打診をお願いします。")</f>
        <v>・アンソロジーのばら売りです&lt;BR&gt;・広告素材はフォルダ格納のアンソロジーから切り出して使用してください。(P43～P78)&lt;BR&gt;・先方の年末進行が絡みますので、先行延長依頼をする場合には早めの打診をお願いします。</v>
      </c>
      <c r="R2266" s="75" t="str">
        <f>IFERROR(__xludf.DUMMYFUNCTION("""COMPUTED_VALUE"""),"広告コミットOK(10/8)")</f>
        <v>広告コミットOK(10/8)</v>
      </c>
      <c r="S2266" s="75" t="str">
        <f>IFERROR(__xludf.DUMMYFUNCTION("""COMPUTED_VALUE"""),"20241010_一迅社_悪役令嬢ですが、幸せになってみせますわ！ アンソロジーコミック： 13")</f>
        <v>20241010_一迅社_悪役令嬢ですが、幸せになってみせますわ！ アンソロジーコミック： 13</v>
      </c>
      <c r="T2266" s="75" t="str">
        <f>IFERROR(__xludf.DUMMYFUNCTION("""COMPUTED_VALUE"""),"格納済み")</f>
        <v>格納済み</v>
      </c>
      <c r="U2266" s="15" t="str">
        <f>IFERROR(__xludf.DUMMYFUNCTION("""COMPUTED_VALUE"""),"(c)小牧椛・夏野なえ／一迅社        ")</f>
        <v>(c)小牧椛・夏野なえ／一迅社        </v>
      </c>
      <c r="V2266" s="8" t="str">
        <f>IFERROR(__xludf.DUMMYFUNCTION("""COMPUTED_VALUE"""),"傲慢な貴族たちを相手にあくどい商売を続ける女商人。いつしか悪役令嬢と呼ばれた彼女の真実は…!?　※この作品は『悪役令嬢ですが、幸せになってみせますわ！　アンソロジーコミック』13巻収録作品と同一の内容を単話版として再編集したものとなります。")</f>
        <v>傲慢な貴族たちを相手にあくどい商売を続ける女商人。いつしか悪役令嬢と呼ばれた彼女の真実は…!?　※この作品は『悪役令嬢ですが、幸せになってみせますわ！　アンソロジーコミック』13巻収録作品と同一の内容を単話版として再編集したものとなります。</v>
      </c>
      <c r="W2266" s="14"/>
      <c r="X2266" s="14" t="str">
        <f>IFERROR(__xludf.DUMMYFUNCTION("""COMPUTED_VALUE"""),"有")</f>
        <v>有</v>
      </c>
      <c r="Y2266" s="8" t="str">
        <f>IFERROR(__xludf.DUMMYFUNCTION("""COMPUTED_VALUE"""),"P7まで")</f>
        <v>P7まで</v>
      </c>
      <c r="Z2266" s="7"/>
      <c r="AA2266" s="7"/>
      <c r="AB2266" s="7"/>
    </row>
    <row r="2267" ht="15.75" customHeight="1">
      <c r="A2267" s="66">
        <f>IFERROR(__xludf.DUMMYFUNCTION("""COMPUTED_VALUE"""),4221.0)</f>
        <v>4221</v>
      </c>
      <c r="B2267" s="75" t="str">
        <f>IFERROR(__xludf.DUMMYFUNCTION("""COMPUTED_VALUE"""),"確定")</f>
        <v>確定</v>
      </c>
      <c r="C2267" s="68">
        <f>IFERROR(__xludf.DUMMYFUNCTION("""COMPUTED_VALUE"""),45567.0)</f>
        <v>45567</v>
      </c>
      <c r="D2267" s="68">
        <f>IFERROR(__xludf.DUMMYFUNCTION("""COMPUTED_VALUE"""),45581.0)</f>
        <v>45581</v>
      </c>
      <c r="E2267" s="60">
        <f>IFERROR(__xludf.DUMMYFUNCTION("""COMPUTED_VALUE"""),307292.0)</f>
        <v>307292</v>
      </c>
      <c r="F2267" s="60" t="str">
        <f>IFERROR(__xludf.DUMMYFUNCTION("""COMPUTED_VALUE"""),"婚約破棄は構いませんが、魔眼を隠しているとご存じなかったの？")</f>
        <v>婚約破棄は構いませんが、魔眼を隠しているとご存じなかったの？</v>
      </c>
      <c r="G2267" s="67">
        <f>IFERROR(__xludf.DUMMYFUNCTION("""COMPUTED_VALUE"""),1.0)</f>
        <v>1</v>
      </c>
      <c r="H2267" s="75" t="str">
        <f>IFERROR(__xludf.DUMMYFUNCTION("""COMPUTED_VALUE"""),"荻野スミ 原作：新 星緒")</f>
        <v>荻野スミ 原作：新 星緒</v>
      </c>
      <c r="I2267" s="75" t="str">
        <f>IFERROR(__xludf.DUMMYFUNCTION("""COMPUTED_VALUE"""),"少女")</f>
        <v>少女</v>
      </c>
      <c r="J2267" s="75"/>
      <c r="K2267" s="75"/>
      <c r="L2267" s="75" t="str">
        <f>IFERROR(__xludf.DUMMYFUNCTION("""COMPUTED_VALUE"""),"一迅社")</f>
        <v>一迅社</v>
      </c>
      <c r="M2267" s="23">
        <f>IFERROR(__xludf.DUMMYFUNCTION("""COMPUTED_VALUE"""),45627.0)</f>
        <v>45627</v>
      </c>
      <c r="N2267" s="47">
        <f>IFERROR(__xludf.DUMMYFUNCTION("""COMPUTED_VALUE"""),45657.0)</f>
        <v>45657</v>
      </c>
      <c r="O2267" s="75"/>
      <c r="P2267" s="80" t="str">
        <f>IFERROR(__xludf.DUMMYFUNCTION("""COMPUTED_VALUE"""),"可")</f>
        <v>可</v>
      </c>
      <c r="Q2267" s="75" t="str">
        <f>IFERROR(__xludf.DUMMYFUNCTION("""COMPUTED_VALUE"""),"・アンソロジーのばら売りです&lt;BR&gt;・フォルダ格納のアンソロジーから切り出して広告素材に使用してください。(P82～P115)&lt;BR&gt;・先方の年末進行が絡みますので、先行延長依頼をする場合には早めの打診をお願いします。")</f>
        <v>・アンソロジーのばら売りです&lt;BR&gt;・フォルダ格納のアンソロジーから切り出して広告素材に使用してください。(P82～P115)&lt;BR&gt;・先方の年末進行が絡みますので、先行延長依頼をする場合には早めの打診をお願いします。</v>
      </c>
      <c r="R2267" s="75" t="str">
        <f>IFERROR(__xludf.DUMMYFUNCTION("""COMPUTED_VALUE"""),"広告コミットOK(10/8)")</f>
        <v>広告コミットOK(10/8)</v>
      </c>
      <c r="S2267" s="75" t="str">
        <f>IFERROR(__xludf.DUMMYFUNCTION("""COMPUTED_VALUE"""),"20241010_一迅社_悪役令嬢ですが、幸せになってみせますわ！ アンソロジーコミック： 13")</f>
        <v>20241010_一迅社_悪役令嬢ですが、幸せになってみせますわ！ アンソロジーコミック： 13</v>
      </c>
      <c r="T2267" s="75" t="str">
        <f>IFERROR(__xludf.DUMMYFUNCTION("""COMPUTED_VALUE"""),"格納済み")</f>
        <v>格納済み</v>
      </c>
      <c r="U2267" s="15" t="str">
        <f>IFERROR(__xludf.DUMMYFUNCTION("""COMPUTED_VALUE"""),"(c)荻野スミ・新星緒／一迅社")</f>
        <v>(c)荻野スミ・新星緒／一迅社</v>
      </c>
      <c r="V2267" s="8" t="str">
        <f>IFERROR(__xludf.DUMMYFUNCTION("""COMPUTED_VALUE"""),"糸目で薄気味悪いと王太子に婚約破棄された公爵令嬢は、実はその目に秘密を隠していて!?　※この作品は『悪役令嬢ですが、幸せになってみせますわ！　アンソロジーコミック』13巻収録作品と同一の内容を単話版として再編集したものとなります。")</f>
        <v>糸目で薄気味悪いと王太子に婚約破棄された公爵令嬢は、実はその目に秘密を隠していて!?　※この作品は『悪役令嬢ですが、幸せになってみせますわ！　アンソロジーコミック』13巻収録作品と同一の内容を単話版として再編集したものとなります。</v>
      </c>
      <c r="W2267" s="14"/>
      <c r="X2267" s="14" t="str">
        <f>IFERROR(__xludf.DUMMYFUNCTION("""COMPUTED_VALUE"""),"有")</f>
        <v>有</v>
      </c>
      <c r="Y2267" s="8" t="str">
        <f>IFERROR(__xludf.DUMMYFUNCTION("""COMPUTED_VALUE"""),"P8まで")</f>
        <v>P8まで</v>
      </c>
      <c r="Z2267" s="7"/>
      <c r="AA2267" s="7"/>
      <c r="AB2267" s="7"/>
    </row>
    <row r="2268" ht="15.75" customHeight="1">
      <c r="A2268" s="66">
        <f>IFERROR(__xludf.DUMMYFUNCTION("""COMPUTED_VALUE"""),4223.0)</f>
        <v>4223</v>
      </c>
      <c r="B2268" s="75" t="str">
        <f>IFERROR(__xludf.DUMMYFUNCTION("""COMPUTED_VALUE"""),"確定")</f>
        <v>確定</v>
      </c>
      <c r="C2268" s="68">
        <f>IFERROR(__xludf.DUMMYFUNCTION("""COMPUTED_VALUE"""),45567.0)</f>
        <v>45567</v>
      </c>
      <c r="D2268" s="68">
        <f>IFERROR(__xludf.DUMMYFUNCTION("""COMPUTED_VALUE"""),45581.0)</f>
        <v>45581</v>
      </c>
      <c r="E2268" s="60">
        <f>IFERROR(__xludf.DUMMYFUNCTION("""COMPUTED_VALUE"""),307297.0)</f>
        <v>307297</v>
      </c>
      <c r="F2268" s="60" t="str">
        <f>IFERROR(__xludf.DUMMYFUNCTION("""COMPUTED_VALUE"""),"転生した元悪役令嬢、村娘生活を満喫していたはずが白豚王子に嫁ぐことになりました")</f>
        <v>転生した元悪役令嬢、村娘生活を満喫していたはずが白豚王子に嫁ぐことになりました</v>
      </c>
      <c r="G2268" s="67" t="str">
        <f>IFERROR(__xludf.DUMMYFUNCTION("""COMPUTED_VALUE"""),"1～2")</f>
        <v>1～2</v>
      </c>
      <c r="H2268" s="75" t="str">
        <f>IFERROR(__xludf.DUMMYFUNCTION("""COMPUTED_VALUE"""),"八坂アキヲ 原作：宮之みやこ")</f>
        <v>八坂アキヲ 原作：宮之みやこ</v>
      </c>
      <c r="I2268" s="75" t="str">
        <f>IFERROR(__xludf.DUMMYFUNCTION("""COMPUTED_VALUE"""),"少女")</f>
        <v>少女</v>
      </c>
      <c r="J2268" s="75"/>
      <c r="K2268" s="75"/>
      <c r="L2268" s="75" t="str">
        <f>IFERROR(__xludf.DUMMYFUNCTION("""COMPUTED_VALUE"""),"一迅社")</f>
        <v>一迅社</v>
      </c>
      <c r="M2268" s="23">
        <f>IFERROR(__xludf.DUMMYFUNCTION("""COMPUTED_VALUE"""),45627.0)</f>
        <v>45627</v>
      </c>
      <c r="N2268" s="47">
        <f>IFERROR(__xludf.DUMMYFUNCTION("""COMPUTED_VALUE"""),45657.0)</f>
        <v>45657</v>
      </c>
      <c r="O2268" s="75"/>
      <c r="P2268" s="80" t="str">
        <f>IFERROR(__xludf.DUMMYFUNCTION("""COMPUTED_VALUE"""),"可")</f>
        <v>可</v>
      </c>
      <c r="Q2268" s="75" t="str">
        <f>IFERROR(__xludf.DUMMYFUNCTION("""COMPUTED_VALUE"""),"・アンソロジーのばら売りです&lt;BR&gt;・フォルダ格納のアンソロジーから切り出して広告素材にご活用ください(P149～)&lt;BR&gt;・先方の年末進行が絡みますので、先行延長依頼をする場合には早めの打診をお願いします。")</f>
        <v>・アンソロジーのばら売りです&lt;BR&gt;・フォルダ格納のアンソロジーから切り出して広告素材にご活用ください(P149～)&lt;BR&gt;・先方の年末進行が絡みますので、先行延長依頼をする場合には早めの打診をお願いします。</v>
      </c>
      <c r="R2268" s="75" t="str">
        <f>IFERROR(__xludf.DUMMYFUNCTION("""COMPUTED_VALUE"""),"広告コミットOK(10/8)")</f>
        <v>広告コミットOK(10/8)</v>
      </c>
      <c r="S2268" s="75" t="str">
        <f>IFERROR(__xludf.DUMMYFUNCTION("""COMPUTED_VALUE"""),"20241010_一迅社_悪役令嬢ですが、幸せになってみせますわ！ アンソロジーコミック： 13")</f>
        <v>20241010_一迅社_悪役令嬢ですが、幸せになってみせますわ！ アンソロジーコミック： 13</v>
      </c>
      <c r="T2268" s="75" t="str">
        <f>IFERROR(__xludf.DUMMYFUNCTION("""COMPUTED_VALUE"""),"格納済み")</f>
        <v>格納済み</v>
      </c>
      <c r="U2268" s="15" t="str">
        <f>IFERROR(__xludf.DUMMYFUNCTION("""COMPUTED_VALUE"""),"(c)八坂アキヲ・宮之みやこ／一迅社")</f>
        <v>(c)八坂アキヲ・宮之みやこ／一迅社</v>
      </c>
      <c r="V2268" s="8" t="str">
        <f>IFERROR(__xludf.DUMMYFUNCTION("""COMPUTED_VALUE"""),"村娘に転生した元悪役令嬢は、身代わりとして白豚王子に嫁がされ純潔をささげる事になり――!?　※この作品は『悪役令嬢ですが、幸せになってみせますわ！　アンソロジーコミック』13巻収録作品と同一の内容を単話版として再編集したものとなります。")</f>
        <v>村娘に転生した元悪役令嬢は、身代わりとして白豚王子に嫁がされ純潔をささげる事になり――!?　※この作品は『悪役令嬢ですが、幸せになってみせますわ！　アンソロジーコミック』13巻収録作品と同一の内容を単話版として再編集したものとなります。</v>
      </c>
      <c r="W2268" s="14"/>
      <c r="X2268" s="14" t="str">
        <f>IFERROR(__xludf.DUMMYFUNCTION("""COMPUTED_VALUE"""),"有")</f>
        <v>有</v>
      </c>
      <c r="Y2268" s="8" t="str">
        <f>IFERROR(__xludf.DUMMYFUNCTION("""COMPUTED_VALUE"""),"P7まで")</f>
        <v>P7まで</v>
      </c>
      <c r="Z2268" s="7"/>
      <c r="AA2268" s="7"/>
      <c r="AB2268" s="7"/>
    </row>
    <row r="2269" ht="15.75" customHeight="1">
      <c r="A2269" s="66">
        <f>IFERROR(__xludf.DUMMYFUNCTION("""COMPUTED_VALUE"""),4226.0)</f>
        <v>4226</v>
      </c>
      <c r="B2269" s="75" t="str">
        <f>IFERROR(__xludf.DUMMYFUNCTION("""COMPUTED_VALUE"""),"確定")</f>
        <v>確定</v>
      </c>
      <c r="C2269" s="68">
        <f>IFERROR(__xludf.DUMMYFUNCTION("""COMPUTED_VALUE"""),45567.0)</f>
        <v>45567</v>
      </c>
      <c r="D2269" s="68">
        <f>IFERROR(__xludf.DUMMYFUNCTION("""COMPUTED_VALUE"""),45576.0)</f>
        <v>45576</v>
      </c>
      <c r="E2269" s="60">
        <f>IFERROR(__xludf.DUMMYFUNCTION("""COMPUTED_VALUE"""),304588.0)</f>
        <v>304588</v>
      </c>
      <c r="F2269" s="60" t="str">
        <f>IFERROR(__xludf.DUMMYFUNCTION("""COMPUTED_VALUE"""),"王立魔法図書館の［錠前］に転職することになりまして")</f>
        <v>王立魔法図書館の［錠前］に転職することになりまして</v>
      </c>
      <c r="G2269" s="67" t="str">
        <f>IFERROR(__xludf.DUMMYFUNCTION("""COMPUTED_VALUE"""),"1～3")</f>
        <v>1～3</v>
      </c>
      <c r="H2269" s="75" t="str">
        <f>IFERROR(__xludf.DUMMYFUNCTION("""COMPUTED_VALUE"""),"著：くりおね。 原作：当麻咲来")</f>
        <v>著：くりおね。 原作：当麻咲来</v>
      </c>
      <c r="I2269" s="75" t="str">
        <f>IFERROR(__xludf.DUMMYFUNCTION("""COMPUTED_VALUE"""),"TL")</f>
        <v>TL</v>
      </c>
      <c r="J2269" s="75"/>
      <c r="K2269" s="75"/>
      <c r="L2269" s="75" t="str">
        <f>IFERROR(__xludf.DUMMYFUNCTION("""COMPUTED_VALUE"""),"竹書房")</f>
        <v>竹書房</v>
      </c>
      <c r="M2269" s="94">
        <f>IFERROR(__xludf.DUMMYFUNCTION("""COMPUTED_VALUE"""),45581.0)</f>
        <v>45581</v>
      </c>
      <c r="N2269" s="94">
        <f>IFERROR(__xludf.DUMMYFUNCTION("""COMPUTED_VALUE"""),45643.0)</f>
        <v>45643</v>
      </c>
      <c r="O2269" s="75"/>
      <c r="P2269" s="80" t="str">
        <f>IFERROR(__xludf.DUMMYFUNCTION("""COMPUTED_VALUE"""),"可")</f>
        <v>可</v>
      </c>
      <c r="Q2269" s="75" t="str">
        <f>IFERROR(__xludf.DUMMYFUNCTION("""COMPUTED_VALUE"""),"開始は準備ができ次第で問題ございません")</f>
        <v>開始は準備ができ次第で問題ございません</v>
      </c>
      <c r="R2269" s="75" t="str">
        <f>IFERROR(__xludf.DUMMYFUNCTION("""COMPUTED_VALUE"""),"広告コミットOK(10/4)")</f>
        <v>広告コミットOK(10/4)</v>
      </c>
      <c r="S2269" s="75" t="str">
        <f>IFERROR(__xludf.DUMMYFUNCTION("""COMPUTED_VALUE"""),"20241002_竹書房_王立魔法図書館の［錠前］に転職することになりまして")</f>
        <v>20241002_竹書房_王立魔法図書館の［錠前］に転職することになりまして</v>
      </c>
      <c r="T2269" s="75" t="str">
        <f>IFERROR(__xludf.DUMMYFUNCTION("""COMPUTED_VALUE"""),"格納済み")</f>
        <v>格納済み</v>
      </c>
      <c r="U2269" s="15" t="str">
        <f>IFERROR(__xludf.DUMMYFUNCTION("""COMPUTED_VALUE"""),"(C)当麻咲来・くりおね。／竹書房")</f>
        <v>(C)当麻咲来・くりおね。／竹書房</v>
      </c>
      <c r="V2269" s="8" t="str">
        <f>IFERROR(__xludf.DUMMYFUNCTION("""COMPUTED_VALUE"""),"恋人が既婚者だったことに傷ついた美月は、最低男と別れヤケ酒に溺れていた。その帰り道、ひとり街を歩く美月の目の前に謎の扉が現れる。その先にあったのは…異世界の王立魔法図書館!?
※本電子書籍は「恋愛天国 vol.43」に収録の「王立魔法図書館の［錠前］に転職することになりまして1」と同内容です。")</f>
        <v>恋人が既婚者だったことに傷ついた美月は、最低男と別れヤケ酒に溺れていた。その帰り道、ひとり街を歩く美月の目の前に謎の扉が現れる。その先にあったのは…異世界の王立魔法図書館!?
※本電子書籍は「恋愛天国 vol.43」に収録の「王立魔法図書館の［錠前］に転職することになりまして1」と同内容です。</v>
      </c>
      <c r="W2269" s="14"/>
      <c r="X2269" s="14" t="str">
        <f>IFERROR(__xludf.DUMMYFUNCTION("""COMPUTED_VALUE"""),"有")</f>
        <v>有</v>
      </c>
      <c r="Y2269" s="8" t="str">
        <f>IFERROR(__xludf.DUMMYFUNCTION("""COMPUTED_VALUE"""),"2024/10/29まで1巻無料")</f>
        <v>2024/10/29まで1巻無料</v>
      </c>
      <c r="Z2269" s="7"/>
      <c r="AA2269" s="7"/>
      <c r="AB2269" s="7"/>
    </row>
    <row r="2270" ht="15.75" customHeight="1">
      <c r="A2270" s="66">
        <f>IFERROR(__xludf.DUMMYFUNCTION("""COMPUTED_VALUE"""),4227.0)</f>
        <v>4227</v>
      </c>
      <c r="B2270" s="75" t="str">
        <f>IFERROR(__xludf.DUMMYFUNCTION("""COMPUTED_VALUE"""),"確定")</f>
        <v>確定</v>
      </c>
      <c r="C2270" s="68">
        <f>IFERROR(__xludf.DUMMYFUNCTION("""COMPUTED_VALUE"""),45567.0)</f>
        <v>45567</v>
      </c>
      <c r="D2270" s="68">
        <f>IFERROR(__xludf.DUMMYFUNCTION("""COMPUTED_VALUE"""),45576.0)</f>
        <v>45576</v>
      </c>
      <c r="E2270" s="60">
        <f>IFERROR(__xludf.DUMMYFUNCTION("""COMPUTED_VALUE"""),304585.0)</f>
        <v>304585</v>
      </c>
      <c r="F2270" s="60" t="str">
        <f>IFERROR(__xludf.DUMMYFUNCTION("""COMPUTED_VALUE"""),"ハッピーコンプレックス 愛がなくちゃデキませんっ!!")</f>
        <v>ハッピーコンプレックス 愛がなくちゃデキませんっ!!</v>
      </c>
      <c r="G2270" s="67" t="str">
        <f>IFERROR(__xludf.DUMMYFUNCTION("""COMPUTED_VALUE"""),"1～3")</f>
        <v>1～3</v>
      </c>
      <c r="H2270" s="75" t="str">
        <f>IFERROR(__xludf.DUMMYFUNCTION("""COMPUTED_VALUE"""),"西海ミナト")</f>
        <v>西海ミナト</v>
      </c>
      <c r="I2270" s="75" t="str">
        <f>IFERROR(__xludf.DUMMYFUNCTION("""COMPUTED_VALUE"""),"TL")</f>
        <v>TL</v>
      </c>
      <c r="J2270" s="75"/>
      <c r="K2270" s="75"/>
      <c r="L2270" s="75" t="str">
        <f>IFERROR(__xludf.DUMMYFUNCTION("""COMPUTED_VALUE"""),"竹書房")</f>
        <v>竹書房</v>
      </c>
      <c r="M2270" s="94">
        <f>IFERROR(__xludf.DUMMYFUNCTION("""COMPUTED_VALUE"""),45581.0)</f>
        <v>45581</v>
      </c>
      <c r="N2270" s="94">
        <f>IFERROR(__xludf.DUMMYFUNCTION("""COMPUTED_VALUE"""),45643.0)</f>
        <v>45643</v>
      </c>
      <c r="O2270" s="75"/>
      <c r="P2270" s="80" t="str">
        <f>IFERROR(__xludf.DUMMYFUNCTION("""COMPUTED_VALUE"""),"可")</f>
        <v>可</v>
      </c>
      <c r="Q2270" s="75" t="str">
        <f>IFERROR(__xludf.DUMMYFUNCTION("""COMPUTED_VALUE"""),"開始は準備ができ次第で問題ございません")</f>
        <v>開始は準備ができ次第で問題ございません</v>
      </c>
      <c r="R2270" s="75" t="str">
        <f>IFERROR(__xludf.DUMMYFUNCTION("""COMPUTED_VALUE"""),"広告コミットOK(10/4)")</f>
        <v>広告コミットOK(10/4)</v>
      </c>
      <c r="S2270" s="75" t="str">
        <f>IFERROR(__xludf.DUMMYFUNCTION("""COMPUTED_VALUE"""),"20241002_竹書房_ハッピーコンプレックス 愛がなくちゃデキませんっ!!")</f>
        <v>20241002_竹書房_ハッピーコンプレックス 愛がなくちゃデキませんっ!!</v>
      </c>
      <c r="T2270" s="75" t="str">
        <f>IFERROR(__xludf.DUMMYFUNCTION("""COMPUTED_VALUE"""),"格納済み")</f>
        <v>格納済み</v>
      </c>
      <c r="U2270" s="15" t="str">
        <f>IFERROR(__xludf.DUMMYFUNCTION("""COMPUTED_VALUE"""),"(C)西海ミナト／竹書房")</f>
        <v>(C)西海ミナト／竹書房</v>
      </c>
      <c r="V2270" s="8" t="str">
        <f>IFERROR(__xludf.DUMMYFUNCTION("""COMPUTED_VALUE"""),"元彼に背負わされた借金返済のため働き詰めのゆうり。配達先で倒れてしまい、助けてくれた派手な見た目の男・志貴に「俺を楽しませる仕事」を持ち掛けられる。意味深すぎる内容にゆうりは…!?
※本電子書籍は「恋愛天国 vol.45」に収録の「ハッピーコンプレックス 愛がなくちゃデキませんっ!!1」と同内容です。")</f>
        <v>元彼に背負わされた借金返済のため働き詰めのゆうり。配達先で倒れてしまい、助けてくれた派手な見た目の男・志貴に「俺を楽しませる仕事」を持ち掛けられる。意味深すぎる内容にゆうりは…!?
※本電子書籍は「恋愛天国 vol.45」に収録の「ハッピーコンプレックス 愛がなくちゃデキませんっ!!1」と同内容です。</v>
      </c>
      <c r="W2270" s="14"/>
      <c r="X2270" s="14" t="str">
        <f>IFERROR(__xludf.DUMMYFUNCTION("""COMPUTED_VALUE"""),"有")</f>
        <v>有</v>
      </c>
      <c r="Y2270" s="8" t="str">
        <f>IFERROR(__xludf.DUMMYFUNCTION("""COMPUTED_VALUE"""),"2024/10/29まで1巻無料")</f>
        <v>2024/10/29まで1巻無料</v>
      </c>
      <c r="Z2270" s="7"/>
      <c r="AA2270" s="7"/>
      <c r="AB2270" s="7"/>
    </row>
    <row r="2271" ht="15.75" customHeight="1">
      <c r="A2271" s="66">
        <f>IFERROR(__xludf.DUMMYFUNCTION("""COMPUTED_VALUE"""),4228.0)</f>
        <v>4228</v>
      </c>
      <c r="B2271" s="75" t="str">
        <f>IFERROR(__xludf.DUMMYFUNCTION("""COMPUTED_VALUE"""),"確定")</f>
        <v>確定</v>
      </c>
      <c r="C2271" s="68">
        <f>IFERROR(__xludf.DUMMYFUNCTION("""COMPUTED_VALUE"""),45567.0)</f>
        <v>45567</v>
      </c>
      <c r="D2271" s="68">
        <f>IFERROR(__xludf.DUMMYFUNCTION("""COMPUTED_VALUE"""),45576.0)</f>
        <v>45576</v>
      </c>
      <c r="E2271" s="60">
        <f>IFERROR(__xludf.DUMMYFUNCTION("""COMPUTED_VALUE"""),304582.0)</f>
        <v>304582</v>
      </c>
      <c r="F2271" s="60" t="str">
        <f>IFERROR(__xludf.DUMMYFUNCTION("""COMPUTED_VALUE"""),"わたしの×××に気づかないで 住み込み家政婦なのにひとりえっちがやめられません")</f>
        <v>わたしの×××に気づかないで 住み込み家政婦なのにひとりえっちがやめられません</v>
      </c>
      <c r="G2271" s="67" t="str">
        <f>IFERROR(__xludf.DUMMYFUNCTION("""COMPUTED_VALUE"""),"1～2")</f>
        <v>1～2</v>
      </c>
      <c r="H2271" s="75" t="str">
        <f>IFERROR(__xludf.DUMMYFUNCTION("""COMPUTED_VALUE"""),"小雨")</f>
        <v>小雨</v>
      </c>
      <c r="I2271" s="75" t="str">
        <f>IFERROR(__xludf.DUMMYFUNCTION("""COMPUTED_VALUE"""),"TL")</f>
        <v>TL</v>
      </c>
      <c r="J2271" s="75"/>
      <c r="K2271" s="75"/>
      <c r="L2271" s="75" t="str">
        <f>IFERROR(__xludf.DUMMYFUNCTION("""COMPUTED_VALUE"""),"竹書房")</f>
        <v>竹書房</v>
      </c>
      <c r="M2271" s="94">
        <f>IFERROR(__xludf.DUMMYFUNCTION("""COMPUTED_VALUE"""),45581.0)</f>
        <v>45581</v>
      </c>
      <c r="N2271" s="94">
        <f>IFERROR(__xludf.DUMMYFUNCTION("""COMPUTED_VALUE"""),45643.0)</f>
        <v>45643</v>
      </c>
      <c r="O2271" s="75"/>
      <c r="P2271" s="80" t="str">
        <f>IFERROR(__xludf.DUMMYFUNCTION("""COMPUTED_VALUE"""),"可")</f>
        <v>可</v>
      </c>
      <c r="Q2271" s="75" t="str">
        <f>IFERROR(__xludf.DUMMYFUNCTION("""COMPUTED_VALUE"""),"開始は準備ができ次第で問題ございません&lt;BR&gt;")</f>
        <v>開始は準備ができ次第で問題ございません&lt;BR&gt;</v>
      </c>
      <c r="R2271" s="75" t="str">
        <f>IFERROR(__xludf.DUMMYFUNCTION("""COMPUTED_VALUE"""),"広告コミットOK(10/4)")</f>
        <v>広告コミットOK(10/4)</v>
      </c>
      <c r="S2271" s="75" t="str">
        <f>IFERROR(__xludf.DUMMYFUNCTION("""COMPUTED_VALUE"""),"20241002_竹書房_わたしの×××に気づかないで 住み込み家政婦なのにひとりえっちがやめられません")</f>
        <v>20241002_竹書房_わたしの×××に気づかないで 住み込み家政婦なのにひとりえっちがやめられません</v>
      </c>
      <c r="T2271" s="75" t="str">
        <f>IFERROR(__xludf.DUMMYFUNCTION("""COMPUTED_VALUE"""),"格納済み")</f>
        <v>格納済み</v>
      </c>
      <c r="U2271" s="15" t="str">
        <f>IFERROR(__xludf.DUMMYFUNCTION("""COMPUTED_VALUE"""),"(C)小雨／竹書房")</f>
        <v>(C)小雨／竹書房</v>
      </c>
      <c r="V2271" s="8" t="str">
        <f>IFERROR(__xludf.DUMMYFUNCTION("""COMPUTED_VALUE"""),"社内恋愛していた彼と別れ、居心地の悪い職場に耐えられず退職した芽。癒しを求める芽が見つけた求人は、田舎での住み込み家政婦！勢いのまま面接に来た芽を迎えた家主は…顔面国宝な小説家!?
※本電子書籍は「恋愛天国 Vol.57」に収録の「わたしの×××に気づかないで　住み込み家政婦なのにひとりえっちがやめられません ep.1」と同内容です。")</f>
        <v>社内恋愛していた彼と別れ、居心地の悪い職場に耐えられず退職した芽。癒しを求める芽が見つけた求人は、田舎での住み込み家政婦！勢いのまま面接に来た芽を迎えた家主は…顔面国宝な小説家!?
※本電子書籍は「恋愛天国 Vol.57」に収録の「わたしの×××に気づかないで　住み込み家政婦なのにひとりえっちがやめられません ep.1」と同内容です。</v>
      </c>
      <c r="W2271" s="14"/>
      <c r="X2271" s="14" t="str">
        <f>IFERROR(__xludf.DUMMYFUNCTION("""COMPUTED_VALUE"""),"有")</f>
        <v>有</v>
      </c>
      <c r="Y2271" s="8" t="str">
        <f>IFERROR(__xludf.DUMMYFUNCTION("""COMPUTED_VALUE"""),"2024/10/29まで1巻無料")</f>
        <v>2024/10/29まで1巻無料</v>
      </c>
      <c r="Z2271" s="7"/>
      <c r="AA2271" s="7"/>
      <c r="AB2271" s="7"/>
    </row>
    <row r="2272" ht="15.75" customHeight="1">
      <c r="A2272" s="66">
        <f>IFERROR(__xludf.DUMMYFUNCTION("""COMPUTED_VALUE"""),4229.0)</f>
        <v>4229</v>
      </c>
      <c r="B2272" s="75" t="str">
        <f>IFERROR(__xludf.DUMMYFUNCTION("""COMPUTED_VALUE"""),"確定")</f>
        <v>確定</v>
      </c>
      <c r="C2272" s="68">
        <f>IFERROR(__xludf.DUMMYFUNCTION("""COMPUTED_VALUE"""),45567.0)</f>
        <v>45567</v>
      </c>
      <c r="D2272" s="68">
        <f>IFERROR(__xludf.DUMMYFUNCTION("""COMPUTED_VALUE"""),45576.0)</f>
        <v>45576</v>
      </c>
      <c r="E2272" s="60">
        <f>IFERROR(__xludf.DUMMYFUNCTION("""COMPUTED_VALUE"""),304586.0)</f>
        <v>304586</v>
      </c>
      <c r="F2272" s="60" t="str">
        <f>IFERROR(__xludf.DUMMYFUNCTION("""COMPUTED_VALUE"""),"溺愛御曹司は小鳥に求愛する")</f>
        <v>溺愛御曹司は小鳥に求愛する</v>
      </c>
      <c r="G2272" s="67" t="str">
        <f>IFERROR(__xludf.DUMMYFUNCTION("""COMPUTED_VALUE"""),"1～3")</f>
        <v>1～3</v>
      </c>
      <c r="H2272" s="75" t="str">
        <f>IFERROR(__xludf.DUMMYFUNCTION("""COMPUTED_VALUE"""),"市居ちい")</f>
        <v>市居ちい</v>
      </c>
      <c r="I2272" s="75" t="str">
        <f>IFERROR(__xludf.DUMMYFUNCTION("""COMPUTED_VALUE"""),"TL")</f>
        <v>TL</v>
      </c>
      <c r="J2272" s="75"/>
      <c r="K2272" s="75"/>
      <c r="L2272" s="75" t="str">
        <f>IFERROR(__xludf.DUMMYFUNCTION("""COMPUTED_VALUE"""),"竹書房")</f>
        <v>竹書房</v>
      </c>
      <c r="M2272" s="94">
        <f>IFERROR(__xludf.DUMMYFUNCTION("""COMPUTED_VALUE"""),45581.0)</f>
        <v>45581</v>
      </c>
      <c r="N2272" s="94">
        <f>IFERROR(__xludf.DUMMYFUNCTION("""COMPUTED_VALUE"""),45643.0)</f>
        <v>45643</v>
      </c>
      <c r="O2272" s="75"/>
      <c r="P2272" s="80" t="str">
        <f>IFERROR(__xludf.DUMMYFUNCTION("""COMPUTED_VALUE"""),"可")</f>
        <v>可</v>
      </c>
      <c r="Q2272" s="75" t="str">
        <f>IFERROR(__xludf.DUMMYFUNCTION("""COMPUTED_VALUE"""),"開始は準備ができ次第で問題ございません")</f>
        <v>開始は準備ができ次第で問題ございません</v>
      </c>
      <c r="R2272" s="75" t="str">
        <f>IFERROR(__xludf.DUMMYFUNCTION("""COMPUTED_VALUE"""),"広告コミットOK(10/4)")</f>
        <v>広告コミットOK(10/4)</v>
      </c>
      <c r="S2272" s="75" t="str">
        <f>IFERROR(__xludf.DUMMYFUNCTION("""COMPUTED_VALUE"""),"20241002_竹書房_溺愛御曹司は小鳥に求愛する")</f>
        <v>20241002_竹書房_溺愛御曹司は小鳥に求愛する</v>
      </c>
      <c r="T2272" s="75" t="str">
        <f>IFERROR(__xludf.DUMMYFUNCTION("""COMPUTED_VALUE"""),"格納済み")</f>
        <v>格納済み</v>
      </c>
      <c r="U2272" s="15" t="str">
        <f>IFERROR(__xludf.DUMMYFUNCTION("""COMPUTED_VALUE"""),"(C)市居ちい ／竹書房")</f>
        <v>(C)市居ちい ／竹書房</v>
      </c>
      <c r="V2272" s="8" t="str">
        <f>IFERROR(__xludf.DUMMYFUNCTION("""COMPUTED_VALUE"""),"園城家のお屋敷でメイドとして働く小鳥は、御曹司の亜蓮が留学先から帰国するのを楽しみにしていた。15年ぶりに再会した亜蓮は、病弱で小柄な少年から褐色肌がセクシーなイケメンに成長していて!?
※本電子書籍は「恋愛天国 vol.49」に収録の「溺愛御曹司は小鳥に求愛する1」と同内容です。")</f>
        <v>園城家のお屋敷でメイドとして働く小鳥は、御曹司の亜蓮が留学先から帰国するのを楽しみにしていた。15年ぶりに再会した亜蓮は、病弱で小柄な少年から褐色肌がセクシーなイケメンに成長していて!?
※本電子書籍は「恋愛天国 vol.49」に収録の「溺愛御曹司は小鳥に求愛する1」と同内容です。</v>
      </c>
      <c r="W2272" s="14"/>
      <c r="X2272" s="14" t="str">
        <f>IFERROR(__xludf.DUMMYFUNCTION("""COMPUTED_VALUE"""),"有")</f>
        <v>有</v>
      </c>
      <c r="Y2272" s="8" t="str">
        <f>IFERROR(__xludf.DUMMYFUNCTION("""COMPUTED_VALUE"""),"2024/10/29まで1巻無料")</f>
        <v>2024/10/29まで1巻無料</v>
      </c>
      <c r="Z2272" s="7"/>
      <c r="AA2272" s="7"/>
      <c r="AB2272" s="7"/>
    </row>
    <row r="2273" ht="15.75" customHeight="1">
      <c r="A2273" s="66">
        <f>IFERROR(__xludf.DUMMYFUNCTION("""COMPUTED_VALUE"""),4246.0)</f>
        <v>4246</v>
      </c>
      <c r="B2273" s="75" t="str">
        <f>IFERROR(__xludf.DUMMYFUNCTION("""COMPUTED_VALUE"""),"確定")</f>
        <v>確定</v>
      </c>
      <c r="C2273" s="68">
        <f>IFERROR(__xludf.DUMMYFUNCTION("""COMPUTED_VALUE"""),45568.0)</f>
        <v>45568</v>
      </c>
      <c r="D2273" s="68">
        <f>IFERROR(__xludf.DUMMYFUNCTION("""COMPUTED_VALUE"""),45581.0)</f>
        <v>45581</v>
      </c>
      <c r="E2273" s="60">
        <f>IFERROR(__xludf.DUMMYFUNCTION("""COMPUTED_VALUE"""),307622.0)</f>
        <v>307622</v>
      </c>
      <c r="F2273" s="60" t="str">
        <f>IFERROR(__xludf.DUMMYFUNCTION("""COMPUTED_VALUE"""),"イケメン編集者と3人の女性漫画家 ～LOVE? or JOB？～")</f>
        <v>イケメン編集者と3人の女性漫画家 ～LOVE? or JOB？～</v>
      </c>
      <c r="G2273" s="67" t="str">
        <f>IFERROR(__xludf.DUMMYFUNCTION("""COMPUTED_VALUE"""),"1～3")</f>
        <v>1～3</v>
      </c>
      <c r="H2273" s="75" t="str">
        <f>IFERROR(__xludf.DUMMYFUNCTION("""COMPUTED_VALUE"""),"方丈いちり/Moss")</f>
        <v>方丈いちり/Moss</v>
      </c>
      <c r="I2273" s="75" t="str">
        <f>IFERROR(__xludf.DUMMYFUNCTION("""COMPUTED_VALUE"""),"女性")</f>
        <v>女性</v>
      </c>
      <c r="J2273" s="75"/>
      <c r="K2273" s="75"/>
      <c r="L2273" s="75" t="str">
        <f>IFERROR(__xludf.DUMMYFUNCTION("""COMPUTED_VALUE"""),"ブライト出版")</f>
        <v>ブライト出版</v>
      </c>
      <c r="M2273" s="94">
        <f>IFERROR(__xludf.DUMMYFUNCTION("""COMPUTED_VALUE"""),45611.0)</f>
        <v>45611</v>
      </c>
      <c r="N2273" s="59">
        <f>IFERROR(__xludf.DUMMYFUNCTION("""COMPUTED_VALUE"""),45703.0)</f>
        <v>45703</v>
      </c>
      <c r="O2273" s="75"/>
      <c r="P2273" s="80" t="str">
        <f>IFERROR(__xludf.DUMMYFUNCTION("""COMPUTED_VALUE"""),"可")</f>
        <v>可</v>
      </c>
      <c r="Q2273" s="75" t="str">
        <f>IFERROR(__xludf.DUMMYFUNCTION("""COMPUTED_VALUE"""),"新レーベル「More Lips」：女性レーベルになります")</f>
        <v>新レーベル「More Lips」：女性レーベルになります</v>
      </c>
      <c r="R2273" s="75" t="str">
        <f>IFERROR(__xludf.DUMMYFUNCTION("""COMPUTED_VALUE"""),"広告コミットOK(10/8)")</f>
        <v>広告コミットOK(10/8)</v>
      </c>
      <c r="S2273" s="75" t="str">
        <f>IFERROR(__xludf.DUMMYFUNCTION("""COMPUTED_VALUE"""),"20241015_一晃社_イケメン編集者と３人の女性漫画家 ～LOVE or JOB？～")</f>
        <v>20241015_一晃社_イケメン編集者と３人の女性漫画家 ～LOVE or JOB？～</v>
      </c>
      <c r="T2273" s="75" t="str">
        <f>IFERROR(__xludf.DUMMYFUNCTION("""COMPUTED_VALUE"""),"格納済み")</f>
        <v>格納済み</v>
      </c>
      <c r="U2273" s="15" t="str">
        <f>IFERROR(__xludf.DUMMYFUNCTION("""COMPUTED_VALUE"""),"(C)方丈いちり/Moss/ブライト出版")</f>
        <v>(C)方丈いちり/Moss/ブライト出版</v>
      </c>
      <c r="V2273" s="8" t="str">
        <f>IFERROR(__xludf.DUMMYFUNCTION("""COMPUTED_VALUE"""),"牧万智は24歳になっても他人とうまくコミュニケーション出来ない、いろいろこじらせている漫画家志望。そんな彼女の作品に興味を持ち現れたのは、怪し過ぎる超イケメン編集者の乾育人だった！　孤独感や焦燥感に苛まれていた万智は、乾とのコンビで漫画家デビューを果たすが、同時に、闘争心旺盛で上昇志向の強い、貢ぎ癖のある新人漫画家の保川華凛、そして、過去に大スキャンダルを起こした伝説の漫画家、鳴門礼央も参戦し、乾育人争奪戦が勃発！　漫画家キャリアも恋愛経験も異なる３人の女性漫画家たちによる、仕事と恋の勝利を目指した、プラ"&amp;"イドを賭けた熾烈な恋愛バトルが今、始まるっ！！")</f>
        <v>牧万智は24歳になっても他人とうまくコミュニケーション出来ない、いろいろこじらせている漫画家志望。そんな彼女の作品に興味を持ち現れたのは、怪し過ぎる超イケメン編集者の乾育人だった！　孤独感や焦燥感に苛まれていた万智は、乾とのコンビで漫画家デビューを果たすが、同時に、闘争心旺盛で上昇志向の強い、貢ぎ癖のある新人漫画家の保川華凛、そして、過去に大スキャンダルを起こした伝説の漫画家、鳴門礼央も参戦し、乾育人争奪戦が勃発！　漫画家キャリアも恋愛経験も異なる３人の女性漫画家たちによる、仕事と恋の勝利を目指した、プライドを賭けた熾烈な恋愛バトルが今、始まるっ！！</v>
      </c>
      <c r="W2273" s="14"/>
      <c r="X2273" s="14" t="str">
        <f>IFERROR(__xludf.DUMMYFUNCTION("""COMPUTED_VALUE"""),"有")</f>
        <v>有</v>
      </c>
      <c r="Y2273" s="8" t="str">
        <f>IFERROR(__xludf.DUMMYFUNCTION("""COMPUTED_VALUE"""),"2025/2/28まで1巻無料")</f>
        <v>2025/2/28まで1巻無料</v>
      </c>
      <c r="Z2273" s="7"/>
      <c r="AA2273" s="7"/>
      <c r="AB2273" s="7"/>
    </row>
    <row r="2274" ht="15.75" customHeight="1">
      <c r="A2274" s="66">
        <f>IFERROR(__xludf.DUMMYFUNCTION("""COMPUTED_VALUE"""),4279.0)</f>
        <v>4279</v>
      </c>
      <c r="B2274" s="75" t="str">
        <f>IFERROR(__xludf.DUMMYFUNCTION("""COMPUTED_VALUE"""),"確定")</f>
        <v>確定</v>
      </c>
      <c r="C2274" s="68">
        <f>IFERROR(__xludf.DUMMYFUNCTION("""COMPUTED_VALUE"""),45574.0)</f>
        <v>45574</v>
      </c>
      <c r="D2274" s="68">
        <f>IFERROR(__xludf.DUMMYFUNCTION("""COMPUTED_VALUE"""),45576.0)</f>
        <v>45576</v>
      </c>
      <c r="E2274" s="60">
        <f>IFERROR(__xludf.DUMMYFUNCTION("""COMPUTED_VALUE"""),307167.0)</f>
        <v>307167</v>
      </c>
      <c r="F2274" s="60" t="str">
        <f>IFERROR(__xludf.DUMMYFUNCTION("""COMPUTED_VALUE"""),"クズ夫に鉄槌を～サレ妻、離婚までの300日～")</f>
        <v>クズ夫に鉄槌を～サレ妻、離婚までの300日～</v>
      </c>
      <c r="G2274" s="67" t="str">
        <f>IFERROR(__xludf.DUMMYFUNCTION("""COMPUTED_VALUE"""),"1～3")</f>
        <v>1～3</v>
      </c>
      <c r="H2274" s="75" t="str">
        <f>IFERROR(__xludf.DUMMYFUNCTION("""COMPUTED_VALUE"""),"久遠ぴたごん")</f>
        <v>久遠ぴたごん</v>
      </c>
      <c r="I2274" s="75" t="str">
        <f>IFERROR(__xludf.DUMMYFUNCTION("""COMPUTED_VALUE"""),"女性")</f>
        <v>女性</v>
      </c>
      <c r="J2274" s="75"/>
      <c r="K2274" s="75"/>
      <c r="L2274" s="75" t="str">
        <f>IFERROR(__xludf.DUMMYFUNCTION("""COMPUTED_VALUE"""),"ライドオン")</f>
        <v>ライドオン</v>
      </c>
      <c r="M2274" s="104">
        <f>IFERROR(__xludf.DUMMYFUNCTION("""COMPUTED_VALUE"""),45611.0)</f>
        <v>45611</v>
      </c>
      <c r="N2274" s="47">
        <f>IFERROR(__xludf.DUMMYFUNCTION("""COMPUTED_VALUE"""),45701.0)</f>
        <v>45701</v>
      </c>
      <c r="O2274" s="75"/>
      <c r="P2274" s="71" t="str">
        <f>IFERROR(__xludf.DUMMYFUNCTION("""COMPUTED_VALUE"""),"可")</f>
        <v>可</v>
      </c>
      <c r="Q2274" s="72"/>
      <c r="R2274" s="75"/>
      <c r="S2274" s="75" t="str">
        <f>IFERROR(__xludf.DUMMYFUNCTION("""COMPUTED_VALUE"""),"20241009_ライドオン_クズ夫に鉄槌を～サレ妻、離婚までの300日～")</f>
        <v>20241009_ライドオン_クズ夫に鉄槌を～サレ妻、離婚までの300日～</v>
      </c>
      <c r="T2274" s="75" t="str">
        <f>IFERROR(__xludf.DUMMYFUNCTION("""COMPUTED_VALUE"""),"格納済み")</f>
        <v>格納済み</v>
      </c>
      <c r="U2274" s="15" t="str">
        <f>IFERROR(__xludf.DUMMYFUNCTION("""COMPUTED_VALUE"""),"©久遠ぴたごん/ライドオン")</f>
        <v>©久遠ぴたごん/ライドオン</v>
      </c>
      <c r="V2274" s="8" t="str">
        <f>IFERROR(__xludf.DUMMYFUNCTION("""COMPUTED_VALUE"""),"家族を裏切った夫。絶対に許せない――。
小さな不動産会社を営む夫、小6の娘と3人で暮らす友恵。
専業主婦として家族のために尽くす自分の人生に、それなりに納得していた。
ところがある日、夫が会社の若い女子社員と関係を持っていることを知ってしまう。
初めて遭遇する事態に一度は動揺したものの、友恵は夫への制裁と離婚を決意。
そこへ、パートの仕事を通じて親しくなった同い年の女性経営者・茜が協力を申し出るが…？
――「ママ」であり「妻」である前の、ひとりの人間としての自分を取り戻す、35歳の冒険譚！")</f>
        <v>家族を裏切った夫。絶対に許せない――。
小さな不動産会社を営む夫、小6の娘と3人で暮らす友恵。
専業主婦として家族のために尽くす自分の人生に、それなりに納得していた。
ところがある日、夫が会社の若い女子社員と関係を持っていることを知ってしまう。
初めて遭遇する事態に一度は動揺したものの、友恵は夫への制裁と離婚を決意。
そこへ、パートの仕事を通じて親しくなった同い年の女性経営者・茜が協力を申し出るが…？
――「ママ」であり「妻」である前の、ひとりの人間としての自分を取り戻す、35歳の冒険譚！</v>
      </c>
      <c r="W2274" s="14"/>
      <c r="X2274" s="14" t="str">
        <f>IFERROR(__xludf.DUMMYFUNCTION("""COMPUTED_VALUE"""),"有")</f>
        <v>有</v>
      </c>
      <c r="Y2274" s="8" t="str">
        <f>IFERROR(__xludf.DUMMYFUNCTION("""COMPUTED_VALUE"""),"P13まで")</f>
        <v>P13まで</v>
      </c>
      <c r="Z2274" s="7"/>
      <c r="AA2274" s="7"/>
      <c r="AB2274" s="7"/>
    </row>
    <row r="2275" ht="15.75" customHeight="1">
      <c r="A2275" s="66">
        <f>IFERROR(__xludf.DUMMYFUNCTION("""COMPUTED_VALUE"""),4280.0)</f>
        <v>4280</v>
      </c>
      <c r="B2275" s="75" t="str">
        <f>IFERROR(__xludf.DUMMYFUNCTION("""COMPUTED_VALUE"""),"確定")</f>
        <v>確定</v>
      </c>
      <c r="C2275" s="68">
        <f>IFERROR(__xludf.DUMMYFUNCTION("""COMPUTED_VALUE"""),45574.0)</f>
        <v>45574</v>
      </c>
      <c r="D2275" s="68">
        <f>IFERROR(__xludf.DUMMYFUNCTION("""COMPUTED_VALUE"""),45576.0)</f>
        <v>45576</v>
      </c>
      <c r="E2275" s="60">
        <f>IFERROR(__xludf.DUMMYFUNCTION("""COMPUTED_VALUE"""),304603.0)</f>
        <v>304603</v>
      </c>
      <c r="F2275" s="60" t="str">
        <f>IFERROR(__xludf.DUMMYFUNCTION("""COMPUTED_VALUE"""),"間違って誘拐したヤクザの若頭に誘惑されています～ハイスペ極道社長と孤独少女～")</f>
        <v>間違って誘拐したヤクザの若頭に誘惑されています～ハイスペ極道社長と孤独少女～</v>
      </c>
      <c r="G2275" s="67" t="str">
        <f>IFERROR(__xludf.DUMMYFUNCTION("""COMPUTED_VALUE"""),"1～5")</f>
        <v>1～5</v>
      </c>
      <c r="H2275" s="75" t="str">
        <f>IFERROR(__xludf.DUMMYFUNCTION("""COMPUTED_VALUE"""),"百田/純鈍")</f>
        <v>百田/純鈍</v>
      </c>
      <c r="I2275" s="75" t="str">
        <f>IFERROR(__xludf.DUMMYFUNCTION("""COMPUTED_VALUE"""),"女性")</f>
        <v>女性</v>
      </c>
      <c r="J2275" s="75"/>
      <c r="K2275" s="75"/>
      <c r="L2275" s="75" t="str">
        <f>IFERROR(__xludf.DUMMYFUNCTION("""COMPUTED_VALUE"""),"ライドオン")</f>
        <v>ライドオン</v>
      </c>
      <c r="M2275" s="59">
        <f>IFERROR(__xludf.DUMMYFUNCTION("""COMPUTED_VALUE"""),45604.0)</f>
        <v>45604</v>
      </c>
      <c r="N2275" s="59">
        <f>IFERROR(__xludf.DUMMYFUNCTION("""COMPUTED_VALUE"""),45786.0)</f>
        <v>45786</v>
      </c>
      <c r="O2275" s="75"/>
      <c r="P2275" s="80" t="str">
        <f>IFERROR(__xludf.DUMMYFUNCTION("""COMPUTED_VALUE"""),"可")</f>
        <v>可</v>
      </c>
      <c r="Q2275" s="72" t="str">
        <f>IFERROR(__xludf.DUMMYFUNCTION("""COMPUTED_VALUE"""),"協業レーベル『シーモア×アラモード』作品です。")</f>
        <v>協業レーベル『シーモア×アラモード』作品です。</v>
      </c>
      <c r="R2275" s="75"/>
      <c r="S2275" s="75" t="str">
        <f>IFERROR(__xludf.DUMMYFUNCTION("""COMPUTED_VALUE"""),"20241009_ライドオン_間違って誘拐したヤクザの若頭に誘惑されています～ハイスペ極道社長と孤独少女～")</f>
        <v>20241009_ライドオン_間違って誘拐したヤクザの若頭に誘惑されています～ハイスペ極道社長と孤独少女～</v>
      </c>
      <c r="T2275" s="75" t="str">
        <f>IFERROR(__xludf.DUMMYFUNCTION("""COMPUTED_VALUE"""),"格納済み")</f>
        <v>格納済み</v>
      </c>
      <c r="U2275" s="15" t="str">
        <f>IFERROR(__xludf.DUMMYFUNCTION("""COMPUTED_VALUE"""),"(C)百田/純鈍/ライドオン")</f>
        <v>(C)百田/純鈍/ライドオン</v>
      </c>
      <c r="V2275" s="8" t="str">
        <f>IFERROR(__xludf.DUMMYFUNCTION("""COMPUTED_VALUE"""),"「お前を帰すわけにはいかない。俺の秘密を知られたからな」
あるミスから、駒田都築の人生は変わった。
25歳、両親の顔も知らないまま孤児院での少女時代を過ごした。
職業は運転代行。
その日も依頼された車に乗り、後部座席で眠る男性に代わって目的地に向かっていた。
到着し、後ろのドアを開けて声をかける。
すると急に腕を掴まれ、気づけば銃を突きつけられていた。
「お前、誰に俺の暗殺を頼まれた？」
どうやら都築は依頼者の車を間違ってしまい、ハニートラップを仕掛けたと勘違いされているらしい。
からか"&amp;"うように身体の敏感な部分を触られて、恐怖のなか初めての感覚に戸惑う。
イケメン若社長で有名な霧島禅だと気づいた頃には、既に遅く…。
※本作品は小説投稿サイト「エブリスタ」で人気の「間違って誘拐したヤクザの若頭に誘惑されています」のコミカライズです。")</f>
        <v>「お前を帰すわけにはいかない。俺の秘密を知られたからな」
あるミスから、駒田都築の人生は変わった。
25歳、両親の顔も知らないまま孤児院での少女時代を過ごした。
職業は運転代行。
その日も依頼された車に乗り、後部座席で眠る男性に代わって目的地に向かっていた。
到着し、後ろのドアを開けて声をかける。
すると急に腕を掴まれ、気づけば銃を突きつけられていた。
「お前、誰に俺の暗殺を頼まれた？」
どうやら都築は依頼者の車を間違ってしまい、ハニートラップを仕掛けたと勘違いされているらしい。
からかうように身体の敏感な部分を触られて、恐怖のなか初めての感覚に戸惑う。
イケメン若社長で有名な霧島禅だと気づいた頃には、既に遅く…。
※本作品は小説投稿サイト「エブリスタ」で人気の「間違って誘拐したヤクザの若頭に誘惑されています」のコミカライズです。</v>
      </c>
      <c r="W2275" s="14"/>
      <c r="X2275" s="14" t="str">
        <f>IFERROR(__xludf.DUMMYFUNCTION("""COMPUTED_VALUE"""),"有")</f>
        <v>有</v>
      </c>
      <c r="Y2275" s="8" t="str">
        <f>IFERROR(__xludf.DUMMYFUNCTION("""COMPUTED_VALUE"""),"2024/12/6まで1巻無料")</f>
        <v>2024/12/6まで1巻無料</v>
      </c>
      <c r="Z2275" s="7"/>
      <c r="AA2275" s="7"/>
      <c r="AB2275" s="7"/>
    </row>
    <row r="2276" ht="15.75" customHeight="1">
      <c r="A2276" s="66">
        <f>IFERROR(__xludf.DUMMYFUNCTION("""COMPUTED_VALUE"""),4281.0)</f>
        <v>4281</v>
      </c>
      <c r="B2276" s="75" t="str">
        <f>IFERROR(__xludf.DUMMYFUNCTION("""COMPUTED_VALUE"""),"確定")</f>
        <v>確定</v>
      </c>
      <c r="C2276" s="68">
        <f>IFERROR(__xludf.DUMMYFUNCTION("""COMPUTED_VALUE"""),45574.0)</f>
        <v>45574</v>
      </c>
      <c r="D2276" s="68">
        <f>IFERROR(__xludf.DUMMYFUNCTION("""COMPUTED_VALUE"""),45576.0)</f>
        <v>45576</v>
      </c>
      <c r="E2276" s="60">
        <f>IFERROR(__xludf.DUMMYFUNCTION("""COMPUTED_VALUE"""),305666.0)</f>
        <v>305666</v>
      </c>
      <c r="F2276" s="60" t="str">
        <f>IFERROR(__xludf.DUMMYFUNCTION("""COMPUTED_VALUE"""),"年下俳優が私に甘すぎる")</f>
        <v>年下俳優が私に甘すぎる</v>
      </c>
      <c r="G2276" s="67" t="str">
        <f>IFERROR(__xludf.DUMMYFUNCTION("""COMPUTED_VALUE"""),"1～5")</f>
        <v>1～5</v>
      </c>
      <c r="H2276" s="75" t="str">
        <f>IFERROR(__xludf.DUMMYFUNCTION("""COMPUTED_VALUE"""),"七瀬えか")</f>
        <v>七瀬えか</v>
      </c>
      <c r="I2276" s="75" t="str">
        <f>IFERROR(__xludf.DUMMYFUNCTION("""COMPUTED_VALUE"""),"女性")</f>
        <v>女性</v>
      </c>
      <c r="J2276" s="75"/>
      <c r="K2276" s="75"/>
      <c r="L2276" s="75" t="str">
        <f>IFERROR(__xludf.DUMMYFUNCTION("""COMPUTED_VALUE"""),"ライドオン")</f>
        <v>ライドオン</v>
      </c>
      <c r="M2276" s="59">
        <f>IFERROR(__xludf.DUMMYFUNCTION("""COMPUTED_VALUE"""),45604.0)</f>
        <v>45604</v>
      </c>
      <c r="N2276" s="59">
        <f>IFERROR(__xludf.DUMMYFUNCTION("""COMPUTED_VALUE"""),45786.0)</f>
        <v>45786</v>
      </c>
      <c r="O2276" s="75"/>
      <c r="P2276" s="80" t="str">
        <f>IFERROR(__xludf.DUMMYFUNCTION("""COMPUTED_VALUE"""),"可")</f>
        <v>可</v>
      </c>
      <c r="Q2276" s="72" t="str">
        <f>IFERROR(__xludf.DUMMYFUNCTION("""COMPUTED_VALUE"""),"協業レーベル『シーモア×アラモード』作品です。")</f>
        <v>協業レーベル『シーモア×アラモード』作品です。</v>
      </c>
      <c r="R2276" s="75"/>
      <c r="S2276" s="75" t="str">
        <f>IFERROR(__xludf.DUMMYFUNCTION("""COMPUTED_VALUE"""),"20241009_ライドオン_年下俳優が私に甘すぎる")</f>
        <v>20241009_ライドオン_年下俳優が私に甘すぎる</v>
      </c>
      <c r="T2276" s="75" t="str">
        <f>IFERROR(__xludf.DUMMYFUNCTION("""COMPUTED_VALUE"""),"格納済み")</f>
        <v>格納済み</v>
      </c>
      <c r="U2276" s="15" t="str">
        <f>IFERROR(__xludf.DUMMYFUNCTION("""COMPUTED_VALUE"""),"(C)七瀬えか/ライドオン")</f>
        <v>(C)七瀬えか/ライドオン</v>
      </c>
      <c r="V2276" s="8" t="str">
        <f>IFERROR(__xludf.DUMMYFUNCTION("""COMPUTED_VALUE"""),"芸能界という華やかな世界。
その中心に咲く花を彩る仕事であるヘア＆メイクは、生きがいだ。
29歳になる三住すみれは、仕事一筋で過ごしてきた。
周りは仕事とプライベートを充実させているのを感じて、本当は自分の私生活だって彩りたいと願う日々。
そんななか、元天才子役・滝本蓮の10年ぶりの役者復帰の撮影に参加することになる。
蓮のメイクの担当中に演技の話になり、「恋愛経験がなくて、演技にリアリティがない」と悩みを打ち明けられる。
明るくアドバイスをするすみれに、蓮は何かを思い出し…。
そして仕事の"&amp;"帰り道、ある事件からふたりの距離は急速に近づくことに。
彩りのなかった私生活が、この日から少しずつ変わっていく…。")</f>
        <v>芸能界という華やかな世界。
その中心に咲く花を彩る仕事であるヘア＆メイクは、生きがいだ。
29歳になる三住すみれは、仕事一筋で過ごしてきた。
周りは仕事とプライベートを充実させているのを感じて、本当は自分の私生活だって彩りたいと願う日々。
そんななか、元天才子役・滝本蓮の10年ぶりの役者復帰の撮影に参加することになる。
蓮のメイクの担当中に演技の話になり、「恋愛経験がなくて、演技にリアリティがない」と悩みを打ち明けられる。
明るくアドバイスをするすみれに、蓮は何かを思い出し…。
そして仕事の帰り道、ある事件からふたりの距離は急速に近づくことに。
彩りのなかった私生活が、この日から少しずつ変わっていく…。</v>
      </c>
      <c r="W2276" s="14"/>
      <c r="X2276" s="14" t="str">
        <f>IFERROR(__xludf.DUMMYFUNCTION("""COMPUTED_VALUE"""),"有")</f>
        <v>有</v>
      </c>
      <c r="Y2276" s="8" t="str">
        <f>IFERROR(__xludf.DUMMYFUNCTION("""COMPUTED_VALUE"""),"2024/12/6まで1巻無料")</f>
        <v>2024/12/6まで1巻無料</v>
      </c>
      <c r="Z2276" s="7"/>
      <c r="AA2276" s="7"/>
      <c r="AB2276" s="7"/>
    </row>
    <row r="2277" ht="15.75" customHeight="1">
      <c r="A2277" s="66">
        <f>IFERROR(__xludf.DUMMYFUNCTION("""COMPUTED_VALUE"""),4283.0)</f>
        <v>4283</v>
      </c>
      <c r="B2277" s="75" t="str">
        <f>IFERROR(__xludf.DUMMYFUNCTION("""COMPUTED_VALUE"""),"確定")</f>
        <v>確定</v>
      </c>
      <c r="C2277" s="68">
        <f>IFERROR(__xludf.DUMMYFUNCTION("""COMPUTED_VALUE"""),45575.0)</f>
        <v>45575</v>
      </c>
      <c r="D2277" s="68">
        <f>IFERROR(__xludf.DUMMYFUNCTION("""COMPUTED_VALUE"""),45576.0)</f>
        <v>45576</v>
      </c>
      <c r="E2277" s="60">
        <f>IFERROR(__xludf.DUMMYFUNCTION("""COMPUTED_VALUE"""),305580.0)</f>
        <v>305580</v>
      </c>
      <c r="F2277" s="60" t="str">
        <f>IFERROR(__xludf.DUMMYFUNCTION("""COMPUTED_VALUE"""),"「変なバイト見つけた」時給××万円の理由がヤバすぎる")</f>
        <v>「変なバイト見つけた」時給××万円の理由がヤバすぎる</v>
      </c>
      <c r="G2277" s="67" t="str">
        <f>IFERROR(__xludf.DUMMYFUNCTION("""COMPUTED_VALUE"""),"1～4")</f>
        <v>1～4</v>
      </c>
      <c r="H2277" s="75" t="str">
        <f>IFERROR(__xludf.DUMMYFUNCTION("""COMPUTED_VALUE"""),"やがみ／ささきゆうさく")</f>
        <v>やがみ／ささきゆうさく</v>
      </c>
      <c r="I2277" s="75" t="str">
        <f>IFERROR(__xludf.DUMMYFUNCTION("""COMPUTED_VALUE"""),"青年")</f>
        <v>青年</v>
      </c>
      <c r="J2277" s="75"/>
      <c r="K2277" s="75"/>
      <c r="L2277" s="75" t="str">
        <f>IFERROR(__xludf.DUMMYFUNCTION("""COMPUTED_VALUE"""),"ファンギルド")</f>
        <v>ファンギルド</v>
      </c>
      <c r="M2277" s="59">
        <f>IFERROR(__xludf.DUMMYFUNCTION("""COMPUTED_VALUE"""),45605.0)</f>
        <v>45605</v>
      </c>
      <c r="N2277" s="59">
        <f>IFERROR(__xludf.DUMMYFUNCTION("""COMPUTED_VALUE"""),45723.70833333333)</f>
        <v>45723.70833</v>
      </c>
      <c r="O2277" s="75"/>
      <c r="P2277" s="71" t="str">
        <f>IFERROR(__xludf.DUMMYFUNCTION("""COMPUTED_VALUE"""),"可")</f>
        <v>可</v>
      </c>
      <c r="Q2277" s="72"/>
      <c r="R2277" s="75"/>
      <c r="S2277" s="75" t="str">
        <f>IFERROR(__xludf.DUMMYFUNCTION("""COMPUTED_VALUE"""),"20241010_ファンギルド_「変なバイト見つけた」時給××万円の理由がヤバすぎる")</f>
        <v>20241010_ファンギルド_「変なバイト見つけた」時給××万円の理由がヤバすぎる</v>
      </c>
      <c r="T2277" s="75" t="str">
        <f>IFERROR(__xludf.DUMMYFUNCTION("""COMPUTED_VALUE"""),"格納済み")</f>
        <v>格納済み</v>
      </c>
      <c r="U2277" s="15" t="str">
        <f>IFERROR(__xludf.DUMMYFUNCTION("""COMPUTED_VALUE"""),"©ささきゆうさく/やがみ/ファンギルド")</f>
        <v>©ささきゆうさく/やがみ/ファンギルド</v>
      </c>
      <c r="V2277" s="8" t="str">
        <f>IFERROR(__xludf.DUMMYFUNCTION("""COMPUTED_VALUE"""),"大人気ホラークリエイターやがみ、待望のコミカライズ!!裏バイトで生計を立てている“アルバイター吉田”は、法外な報酬につられ、とある事故物件に住むことになった。前の住人は父・母・小学生の娘の3人家族で一家心中したらしい。この家族に一体何があったのか…。娘の絵日記を見つけたことをきっかけに、隠された事実が浮かび上がってきて…。ネット掲示板のスレによって紡がれる異色の本格ミステリー!! あなたはこの謎が解けますか？")</f>
        <v>大人気ホラークリエイターやがみ、待望のコミカライズ!!裏バイトで生計を立てている“アルバイター吉田”は、法外な報酬につられ、とある事故物件に住むことになった。前の住人は父・母・小学生の娘の3人家族で一家心中したらしい。この家族に一体何があったのか…。娘の絵日記を見つけたことをきっかけに、隠された事実が浮かび上がってきて…。ネット掲示板のスレによって紡がれる異色の本格ミステリー!! あなたはこの謎が解けますか？</v>
      </c>
      <c r="W2277" s="14"/>
      <c r="X2277" s="14" t="str">
        <f>IFERROR(__xludf.DUMMYFUNCTION("""COMPUTED_VALUE"""),"有")</f>
        <v>有</v>
      </c>
      <c r="Y2277" s="8" t="str">
        <f>IFERROR(__xludf.DUMMYFUNCTION("""COMPUTED_VALUE"""),"2024/11/22まで1巻無料")</f>
        <v>2024/11/22まで1巻無料</v>
      </c>
      <c r="Z2277" s="7"/>
      <c r="AA2277" s="7"/>
      <c r="AB2277" s="7"/>
    </row>
    <row r="2278" ht="15.75" customHeight="1">
      <c r="A2278" s="66">
        <f>IFERROR(__xludf.DUMMYFUNCTION("""COMPUTED_VALUE"""),4284.0)</f>
        <v>4284</v>
      </c>
      <c r="B2278" s="75" t="str">
        <f>IFERROR(__xludf.DUMMYFUNCTION("""COMPUTED_VALUE"""),"確定")</f>
        <v>確定</v>
      </c>
      <c r="C2278" s="68">
        <f>IFERROR(__xludf.DUMMYFUNCTION("""COMPUTED_VALUE"""),45575.0)</f>
        <v>45575</v>
      </c>
      <c r="D2278" s="68">
        <f>IFERROR(__xludf.DUMMYFUNCTION("""COMPUTED_VALUE"""),45576.0)</f>
        <v>45576</v>
      </c>
      <c r="E2278" s="60">
        <f>IFERROR(__xludf.DUMMYFUNCTION("""COMPUTED_VALUE"""),305581.0)</f>
        <v>305581</v>
      </c>
      <c r="F2278" s="60" t="str">
        <f>IFERROR(__xludf.DUMMYFUNCTION("""COMPUTED_VALUE"""),"身一つで転がり込んだら、腹黒御曹司に愛を仕込まれています")</f>
        <v>身一つで転がり込んだら、腹黒御曹司に愛を仕込まれています</v>
      </c>
      <c r="G2278" s="67" t="str">
        <f>IFERROR(__xludf.DUMMYFUNCTION("""COMPUTED_VALUE"""),"1～3")</f>
        <v>1～3</v>
      </c>
      <c r="H2278" s="75" t="str">
        <f>IFERROR(__xludf.DUMMYFUNCTION("""COMPUTED_VALUE"""),"水乃いと")</f>
        <v>水乃いと</v>
      </c>
      <c r="I2278" s="75" t="str">
        <f>IFERROR(__xludf.DUMMYFUNCTION("""COMPUTED_VALUE"""),"女性")</f>
        <v>女性</v>
      </c>
      <c r="J2278" s="75"/>
      <c r="K2278" s="75"/>
      <c r="L2278" s="75" t="str">
        <f>IFERROR(__xludf.DUMMYFUNCTION("""COMPUTED_VALUE"""),"ファンギルド")</f>
        <v>ファンギルド</v>
      </c>
      <c r="M2278" s="94">
        <f>IFERROR(__xludf.DUMMYFUNCTION("""COMPUTED_VALUE"""),45609.0)</f>
        <v>45609</v>
      </c>
      <c r="N2278" s="94">
        <f>IFERROR(__xludf.DUMMYFUNCTION("""COMPUTED_VALUE"""),45636.0)</f>
        <v>45636</v>
      </c>
      <c r="O2278" s="75"/>
      <c r="P2278" s="71" t="str">
        <f>IFERROR(__xludf.DUMMYFUNCTION("""COMPUTED_VALUE"""),"可")</f>
        <v>可</v>
      </c>
      <c r="Q2278" s="72"/>
      <c r="R2278" s="75"/>
      <c r="S2278" s="75" t="str">
        <f>IFERROR(__xludf.DUMMYFUNCTION("""COMPUTED_VALUE"""),"20241010_ファンギルド_身一つで転がり込んだら、腹黒御曹司に愛を仕込まれています")</f>
        <v>20241010_ファンギルド_身一つで転がり込んだら、腹黒御曹司に愛を仕込まれています</v>
      </c>
      <c r="T2278" s="75" t="str">
        <f>IFERROR(__xludf.DUMMYFUNCTION("""COMPUTED_VALUE"""),"格納済み")</f>
        <v>格納済み</v>
      </c>
      <c r="U2278" s="15" t="str">
        <f>IFERROR(__xludf.DUMMYFUNCTION("""COMPUTED_VALUE"""),"Ⓒ水乃いと/ファンギルド")</f>
        <v>Ⓒ水乃いと/ファンギルド</v>
      </c>
      <c r="V2278" s="8" t="str">
        <f>IFERROR(__xludf.DUMMYFUNCTION("""COMPUTED_VALUE"""),"あなたの低くかすれる声に、私を見つめる瞳の熱に、絡めとられて溺れそう――。とある理由で家族から冷遇され、孤独の中生きていた立花藍。「大学を卒業したら自立して家を出てみせる」そう決意した矢先、なんと姉の身代わりに無理やり縁談を進められてしまう。一念発起し、結婚式を前に家を抜け出す藍。そんな彼女が逃亡先で出会ったのは…。")</f>
        <v>あなたの低くかすれる声に、私を見つめる瞳の熱に、絡めとられて溺れそう――。とある理由で家族から冷遇され、孤独の中生きていた立花藍。「大学を卒業したら自立して家を出てみせる」そう決意した矢先、なんと姉の身代わりに無理やり縁談を進められてしまう。一念発起し、結婚式を前に家を抜け出す藍。そんな彼女が逃亡先で出会ったのは…。</v>
      </c>
      <c r="W2278" s="14"/>
      <c r="X2278" s="14" t="str">
        <f>IFERROR(__xludf.DUMMYFUNCTION("""COMPUTED_VALUE"""),"有")</f>
        <v>有</v>
      </c>
      <c r="Y2278" s="8" t="str">
        <f>IFERROR(__xludf.DUMMYFUNCTION("""COMPUTED_VALUE"""),"2024/12/10まで1巻無料")</f>
        <v>2024/12/10まで1巻無料</v>
      </c>
      <c r="Z2278" s="7"/>
      <c r="AA2278" s="7"/>
      <c r="AB2278" s="7"/>
    </row>
    <row r="2279" ht="15.75" customHeight="1">
      <c r="A2279" s="66">
        <f>IFERROR(__xludf.DUMMYFUNCTION("""COMPUTED_VALUE"""),4285.0)</f>
        <v>4285</v>
      </c>
      <c r="B2279" s="75" t="str">
        <f>IFERROR(__xludf.DUMMYFUNCTION("""COMPUTED_VALUE"""),"確定")</f>
        <v>確定</v>
      </c>
      <c r="C2279" s="68">
        <f>IFERROR(__xludf.DUMMYFUNCTION("""COMPUTED_VALUE"""),45575.0)</f>
        <v>45575</v>
      </c>
      <c r="D2279" s="68">
        <f>IFERROR(__xludf.DUMMYFUNCTION("""COMPUTED_VALUE"""),45576.0)</f>
        <v>45576</v>
      </c>
      <c r="E2279" s="60">
        <f>IFERROR(__xludf.DUMMYFUNCTION("""COMPUTED_VALUE"""),305582.0)</f>
        <v>305582</v>
      </c>
      <c r="F2279" s="60" t="str">
        <f>IFERROR(__xludf.DUMMYFUNCTION("""COMPUTED_VALUE"""),"メリー・ジェーン~その男のキケンな相談~")</f>
        <v>メリー・ジェーン~その男のキケンな相談~</v>
      </c>
      <c r="G2279" s="67" t="str">
        <f>IFERROR(__xludf.DUMMYFUNCTION("""COMPUTED_VALUE"""),"1～4")</f>
        <v>1～4</v>
      </c>
      <c r="H2279" s="75" t="str">
        <f>IFERROR(__xludf.DUMMYFUNCTION("""COMPUTED_VALUE"""),"Doya/G.Wagen")</f>
        <v>Doya/G.Wagen</v>
      </c>
      <c r="I2279" s="75" t="str">
        <f>IFERROR(__xludf.DUMMYFUNCTION("""COMPUTED_VALUE"""),"BL")</f>
        <v>BL</v>
      </c>
      <c r="J2279" s="75"/>
      <c r="K2279" s="75"/>
      <c r="L2279" s="75" t="str">
        <f>IFERROR(__xludf.DUMMYFUNCTION("""COMPUTED_VALUE"""),"Rush!")</f>
        <v>Rush!</v>
      </c>
      <c r="M2279" s="59">
        <f>IFERROR(__xludf.DUMMYFUNCTION("""COMPUTED_VALUE"""),45604.0)</f>
        <v>45604</v>
      </c>
      <c r="N2279" s="59">
        <f>IFERROR(__xludf.DUMMYFUNCTION("""COMPUTED_VALUE"""),45638.0)</f>
        <v>45638</v>
      </c>
      <c r="O2279" s="75"/>
      <c r="P2279" s="71" t="str">
        <f>IFERROR(__xludf.DUMMYFUNCTION("""COMPUTED_VALUE"""),"可")</f>
        <v>可</v>
      </c>
      <c r="Q2279" s="72"/>
      <c r="R2279" s="75"/>
      <c r="S2279" s="75" t="str">
        <f>IFERROR(__xludf.DUMMYFUNCTION("""COMPUTED_VALUE"""),"20241010_ファンギルド_メリー・ジェーン~その男のキケンな相談~")</f>
        <v>20241010_ファンギルド_メリー・ジェーン~その男のキケンな相談~</v>
      </c>
      <c r="T2279" s="75" t="str">
        <f>IFERROR(__xludf.DUMMYFUNCTION("""COMPUTED_VALUE"""),"格納済み")</f>
        <v>格納済み</v>
      </c>
      <c r="U2279" s="15" t="str">
        <f>IFERROR(__xludf.DUMMYFUNCTION("""COMPUTED_VALUE"""),"©Doya/G.Wagen")</f>
        <v>©Doya/G.Wagen</v>
      </c>
      <c r="V2279" s="8" t="str">
        <f>IFERROR(__xludf.DUMMYFUNCTION("""COMPUTED_VALUE"""),"アメリカで精神分析学の博士として知られるド・ウォン。韓国に帰国し、国家機関所属の研究所でカウンセラーとして働いていたある日、跡形もなく姿を消すことで有名な放火犯と出会う。「俺の心理カウンセリングをしてほしい。期間は、俺の病状が治るまで」放火がやめられない強迫症に苦しむ男、MJ。彼はこの病を治療するために、ド・ウォンに治療してほしいと頼み、結局ド・ウォンは、この秘密の危ない頼みを受け入れる。そんな中、ただの放火犯だと思っていた男が、実は「重大な事件」に関係していることを知ったド・ウォンは、通常「父さん」事件"&amp;"に巻き込まれることに……")</f>
        <v>アメリカで精神分析学の博士として知られるド・ウォン。韓国に帰国し、国家機関所属の研究所でカウンセラーとして働いていたある日、跡形もなく姿を消すことで有名な放火犯と出会う。「俺の心理カウンセリングをしてほしい。期間は、俺の病状が治るまで」放火がやめられない強迫症に苦しむ男、MJ。彼はこの病を治療するために、ド・ウォンに治療してほしいと頼み、結局ド・ウォンは、この秘密の危ない頼みを受け入れる。そんな中、ただの放火犯だと思っていた男が、実は「重大な事件」に関係していることを知ったド・ウォンは、通常「父さん」事件に巻き込まれることに……</v>
      </c>
      <c r="W2279" s="14"/>
      <c r="X2279" s="14" t="str">
        <f>IFERROR(__xludf.DUMMYFUNCTION("""COMPUTED_VALUE"""),"有")</f>
        <v>有</v>
      </c>
      <c r="Y2279" s="8" t="str">
        <f>IFERROR(__xludf.DUMMYFUNCTION("""COMPUTED_VALUE"""),"2024/12/12まで1巻無料")</f>
        <v>2024/12/12まで1巻無料</v>
      </c>
      <c r="Z2279" s="7"/>
      <c r="AA2279" s="7"/>
      <c r="AB2279" s="7"/>
    </row>
    <row r="2280" ht="15.75" customHeight="1">
      <c r="A2280" s="66">
        <f>IFERROR(__xludf.DUMMYFUNCTION("""COMPUTED_VALUE"""),4286.0)</f>
        <v>4286</v>
      </c>
      <c r="B2280" s="75" t="str">
        <f>IFERROR(__xludf.DUMMYFUNCTION("""COMPUTED_VALUE"""),"確定")</f>
        <v>確定</v>
      </c>
      <c r="C2280" s="68">
        <f>IFERROR(__xludf.DUMMYFUNCTION("""COMPUTED_VALUE"""),45575.0)</f>
        <v>45575</v>
      </c>
      <c r="D2280" s="68">
        <f>IFERROR(__xludf.DUMMYFUNCTION("""COMPUTED_VALUE"""),45576.0)</f>
        <v>45576</v>
      </c>
      <c r="E2280" s="60">
        <f>IFERROR(__xludf.DUMMYFUNCTION("""COMPUTED_VALUE"""),305583.0)</f>
        <v>305583</v>
      </c>
      <c r="F2280" s="60" t="str">
        <f>IFERROR(__xludf.DUMMYFUNCTION("""COMPUTED_VALUE"""),"売られた赤錆の花嫁は竜騎士様の最愛となる")</f>
        <v>売られた赤錆の花嫁は竜騎士様の最愛となる</v>
      </c>
      <c r="G2280" s="67" t="str">
        <f>IFERROR(__xludf.DUMMYFUNCTION("""COMPUTED_VALUE"""),"1～3")</f>
        <v>1～3</v>
      </c>
      <c r="H2280" s="75" t="str">
        <f>IFERROR(__xludf.DUMMYFUNCTION("""COMPUTED_VALUE"""),"茂吉/伊織ライ")</f>
        <v>茂吉/伊織ライ</v>
      </c>
      <c r="I2280" s="75" t="str">
        <f>IFERROR(__xludf.DUMMYFUNCTION("""COMPUTED_VALUE"""),"少女")</f>
        <v>少女</v>
      </c>
      <c r="J2280" s="75"/>
      <c r="K2280" s="75"/>
      <c r="L2280" s="75" t="str">
        <f>IFERROR(__xludf.DUMMYFUNCTION("""COMPUTED_VALUE"""),"ファンギルド")</f>
        <v>ファンギルド</v>
      </c>
      <c r="M2280" s="59">
        <f>IFERROR(__xludf.DUMMYFUNCTION("""COMPUTED_VALUE"""),45603.0)</f>
        <v>45603</v>
      </c>
      <c r="N2280" s="59">
        <f>IFERROR(__xludf.DUMMYFUNCTION("""COMPUTED_VALUE"""),45672.0)</f>
        <v>45672</v>
      </c>
      <c r="O2280" s="75"/>
      <c r="P2280" s="80" t="str">
        <f>IFERROR(__xludf.DUMMYFUNCTION("""COMPUTED_VALUE"""),"可")</f>
        <v>可</v>
      </c>
      <c r="Q2280" s="72" t="str">
        <f>IFERROR(__xludf.DUMMYFUNCTION("""COMPUTED_VALUE"""),"『comicスピラ』レーベル作品です。")</f>
        <v>『comicスピラ』レーベル作品です。</v>
      </c>
      <c r="R2280" s="75"/>
      <c r="S2280" s="75" t="str">
        <f>IFERROR(__xludf.DUMMYFUNCTION("""COMPUTED_VALUE"""),"20241010_ファンギルド_売られた赤錆の花嫁は竜騎士様の最愛となる")</f>
        <v>20241010_ファンギルド_売られた赤錆の花嫁は竜騎士様の最愛となる</v>
      </c>
      <c r="T2280" s="75" t="str">
        <f>IFERROR(__xludf.DUMMYFUNCTION("""COMPUTED_VALUE"""),"格納済み")</f>
        <v>格納済み</v>
      </c>
      <c r="U2280" s="15" t="str">
        <f>IFERROR(__xludf.DUMMYFUNCTION("""COMPUTED_VALUE"""),"Ⓒ茂吉/伊織ライ/ファンギルド")</f>
        <v>Ⓒ茂吉/伊織ライ/ファンギルド</v>
      </c>
      <c r="V2280" s="8" t="str">
        <f>IFERROR(__xludf.DUMMYFUNCTION("""COMPUTED_VALUE"""),"錆のような赤髪がコンプレックスのコーラルは家族からも幼馴染からも愛されず、大金で売られ1人離れた辺境に嫁がされることとなった。対面した夫となる男は、辺境伯であり竜騎士の一族の当主。その血を絶やさないためにコーラルに課せられたのは、”月に一度の夜伽”を行う事。「私を怖がっても止めることはできないぞ」体の契約で結ばれたはずの夫婦だったが、健気な妻に夫は愛を隠せなくなっていきーー！？")</f>
        <v>錆のような赤髪がコンプレックスのコーラルは家族からも幼馴染からも愛されず、大金で売られ1人離れた辺境に嫁がされることとなった。対面した夫となる男は、辺境伯であり竜騎士の一族の当主。その血を絶やさないためにコーラルに課せられたのは、”月に一度の夜伽”を行う事。「私を怖がっても止めることはできないぞ」体の契約で結ばれたはずの夫婦だったが、健気な妻に夫は愛を隠せなくなっていきーー！？</v>
      </c>
      <c r="W2280" s="14"/>
      <c r="X2280" s="14" t="str">
        <f>IFERROR(__xludf.DUMMYFUNCTION("""COMPUTED_VALUE"""),"有")</f>
        <v>有</v>
      </c>
      <c r="Y2280" s="8" t="str">
        <f>IFERROR(__xludf.DUMMYFUNCTION("""COMPUTED_VALUE"""),"2025/1/15まで1巻無料")</f>
        <v>2025/1/15まで1巻無料</v>
      </c>
      <c r="Z2280" s="7"/>
      <c r="AA2280" s="7"/>
      <c r="AB2280" s="7"/>
    </row>
    <row r="2281" ht="15.75" customHeight="1">
      <c r="A2281" s="66">
        <f>IFERROR(__xludf.DUMMYFUNCTION("""COMPUTED_VALUE"""),4287.0)</f>
        <v>4287</v>
      </c>
      <c r="B2281" s="75" t="str">
        <f>IFERROR(__xludf.DUMMYFUNCTION("""COMPUTED_VALUE"""),"確定")</f>
        <v>確定</v>
      </c>
      <c r="C2281" s="68">
        <f>IFERROR(__xludf.DUMMYFUNCTION("""COMPUTED_VALUE"""),45575.0)</f>
        <v>45575</v>
      </c>
      <c r="D2281" s="68">
        <f>IFERROR(__xludf.DUMMYFUNCTION("""COMPUTED_VALUE"""),45576.0)</f>
        <v>45576</v>
      </c>
      <c r="E2281" s="60">
        <f>IFERROR(__xludf.DUMMYFUNCTION("""COMPUTED_VALUE"""),305642.0)</f>
        <v>305642</v>
      </c>
      <c r="F2281" s="60" t="str">
        <f>IFERROR(__xludf.DUMMYFUNCTION("""COMPUTED_VALUE"""),"復讐工場 クズと言われた俺は、恨みを晴らす")</f>
        <v>復讐工場 クズと言われた俺は、恨みを晴らす</v>
      </c>
      <c r="G2281" s="67" t="str">
        <f>IFERROR(__xludf.DUMMYFUNCTION("""COMPUTED_VALUE"""),"1～4")</f>
        <v>1～4</v>
      </c>
      <c r="H2281" s="75" t="str">
        <f>IFERROR(__xludf.DUMMYFUNCTION("""COMPUTED_VALUE"""),"淀壱")</f>
        <v>淀壱</v>
      </c>
      <c r="I2281" s="75" t="str">
        <f>IFERROR(__xludf.DUMMYFUNCTION("""COMPUTED_VALUE"""),"青年")</f>
        <v>青年</v>
      </c>
      <c r="J2281" s="75"/>
      <c r="K2281" s="75"/>
      <c r="L2281" s="75" t="str">
        <f>IFERROR(__xludf.DUMMYFUNCTION("""COMPUTED_VALUE"""),"ファンギルド")</f>
        <v>ファンギルド</v>
      </c>
      <c r="M2281" s="59">
        <f>IFERROR(__xludf.DUMMYFUNCTION("""COMPUTED_VALUE"""),45605.0)</f>
        <v>45605</v>
      </c>
      <c r="N2281" s="59">
        <f>IFERROR(__xludf.DUMMYFUNCTION("""COMPUTED_VALUE"""),45667.0)</f>
        <v>45667</v>
      </c>
      <c r="O2281" s="75"/>
      <c r="P2281" s="71" t="str">
        <f>IFERROR(__xludf.DUMMYFUNCTION("""COMPUTED_VALUE"""),"可")</f>
        <v>可</v>
      </c>
      <c r="Q2281" s="72"/>
      <c r="R2281" s="75"/>
      <c r="S2281" s="75" t="str">
        <f>IFERROR(__xludf.DUMMYFUNCTION("""COMPUTED_VALUE"""),"20241010_ファンギルド_復讐工場 クズと言われた俺は、恨みを晴らす")</f>
        <v>20241010_ファンギルド_復讐工場 クズと言われた俺は、恨みを晴らす</v>
      </c>
      <c r="T2281" s="75" t="str">
        <f>IFERROR(__xludf.DUMMYFUNCTION("""COMPUTED_VALUE"""),"格納済み")</f>
        <v>格納済み</v>
      </c>
      <c r="U2281" s="15" t="str">
        <f>IFERROR(__xludf.DUMMYFUNCTION("""COMPUTED_VALUE"""),"Ⓒ淀壱/ファンギルド")</f>
        <v>Ⓒ淀壱/ファンギルド</v>
      </c>
      <c r="V2281" s="8" t="str">
        <f>IFERROR(__xludf.DUMMYFUNCTION("""COMPUTED_VALUE"""),"「大切な人を奪った奴らを絶対に許さない！」町工場で働いている宮野真司（28）は学生時代、過酷な虐めを受けていた。今では職場の仲間から信頼され、充実した日々を過ごしている。しかし、虐め加害者の坂上猛たちが工場に乗り込んできたことで宮野の日常は一変…！？ 工場を荒らされ、想いを寄せていた彩花は連れ去られ､身も心も弄ばれてしまう。絶望に打ちひしがれる宮野は自分を奮い立たせ、坂上たちに復讐を決行する！")</f>
        <v>「大切な人を奪った奴らを絶対に許さない！」町工場で働いている宮野真司（28）は学生時代、過酷な虐めを受けていた。今では職場の仲間から信頼され、充実した日々を過ごしている。しかし、虐め加害者の坂上猛たちが工場に乗り込んできたことで宮野の日常は一変…！？ 工場を荒らされ、想いを寄せていた彩花は連れ去られ､身も心も弄ばれてしまう。絶望に打ちひしがれる宮野は自分を奮い立たせ、坂上たちに復讐を決行する！</v>
      </c>
      <c r="W2281" s="14"/>
      <c r="X2281" s="14" t="str">
        <f>IFERROR(__xludf.DUMMYFUNCTION("""COMPUTED_VALUE"""),"有")</f>
        <v>有</v>
      </c>
      <c r="Y2281" s="8" t="str">
        <f>IFERROR(__xludf.DUMMYFUNCTION("""COMPUTED_VALUE"""),"2024/11/22まで1巻無料")</f>
        <v>2024/11/22まで1巻無料</v>
      </c>
      <c r="Z2281" s="7"/>
      <c r="AA2281" s="7"/>
      <c r="AB2281" s="7"/>
    </row>
    <row r="2282" ht="15.75" customHeight="1">
      <c r="A2282" s="66">
        <f>IFERROR(__xludf.DUMMYFUNCTION("""COMPUTED_VALUE"""),4290.0)</f>
        <v>4290</v>
      </c>
      <c r="B2282" s="75" t="str">
        <f>IFERROR(__xludf.DUMMYFUNCTION("""COMPUTED_VALUE"""),"確定")</f>
        <v>確定</v>
      </c>
      <c r="C2282" s="68">
        <f>IFERROR(__xludf.DUMMYFUNCTION("""COMPUTED_VALUE"""),45575.0)</f>
        <v>45575</v>
      </c>
      <c r="D2282" s="68">
        <f>IFERROR(__xludf.DUMMYFUNCTION("""COMPUTED_VALUE"""),45576.0)</f>
        <v>45576</v>
      </c>
      <c r="E2282" s="60">
        <f>IFERROR(__xludf.DUMMYFUNCTION("""COMPUTED_VALUE"""),305864.0)</f>
        <v>305864</v>
      </c>
      <c r="F2282" s="60" t="str">
        <f>IFERROR(__xludf.DUMMYFUNCTION("""COMPUTED_VALUE"""),"悪い男")</f>
        <v>悪い男</v>
      </c>
      <c r="G2282" s="67" t="str">
        <f>IFERROR(__xludf.DUMMYFUNCTION("""COMPUTED_VALUE"""),"1～4")</f>
        <v>1～4</v>
      </c>
      <c r="H2282" s="83" t="str">
        <f>IFERROR(__xludf.DUMMYFUNCTION("""COMPUTED_VALUE"""),"Mojo/Akachan（作家名確認中）")</f>
        <v>Mojo/Akachan（作家名確認中）</v>
      </c>
      <c r="I2282" s="75" t="str">
        <f>IFERROR(__xludf.DUMMYFUNCTION("""COMPUTED_VALUE"""),"青年")</f>
        <v>青年</v>
      </c>
      <c r="J2282" s="75"/>
      <c r="K2282" s="75"/>
      <c r="L2282" s="75" t="str">
        <f>IFERROR(__xludf.DUMMYFUNCTION("""COMPUTED_VALUE"""),"Rush!")</f>
        <v>Rush!</v>
      </c>
      <c r="M2282" s="94">
        <f>IFERROR(__xludf.DUMMYFUNCTION("""COMPUTED_VALUE"""),45611.0)</f>
        <v>45611</v>
      </c>
      <c r="N2282" s="94">
        <f>IFERROR(__xludf.DUMMYFUNCTION("""COMPUTED_VALUE"""),45638.0)</f>
        <v>45638</v>
      </c>
      <c r="O2282" s="75"/>
      <c r="P2282" s="71" t="str">
        <f>IFERROR(__xludf.DUMMYFUNCTION("""COMPUTED_VALUE"""),"可")</f>
        <v>可</v>
      </c>
      <c r="Q2282" s="72"/>
      <c r="R2282" s="75"/>
      <c r="S2282" s="75" t="str">
        <f>IFERROR(__xludf.DUMMYFUNCTION("""COMPUTED_VALUE"""),"20241010_ファンギルド_悪い男")</f>
        <v>20241010_ファンギルド_悪い男</v>
      </c>
      <c r="T2282" s="75" t="str">
        <f>IFERROR(__xludf.DUMMYFUNCTION("""COMPUTED_VALUE"""),"格納済み")</f>
        <v>格納済み</v>
      </c>
      <c r="U2282" s="15" t="str">
        <f>IFERROR(__xludf.DUMMYFUNCTION("""COMPUTED_VALUE"""),"©Mojo/Akachan/TOPTOON")</f>
        <v>©Mojo/Akachan/TOPTOON</v>
      </c>
      <c r="V2282" s="8" t="str">
        <f>IFERROR(__xludf.DUMMYFUNCTION("""COMPUTED_VALUE"""),"森山悟はクラブで遊んでいたところ、学生時代に自分をいじめていた女・横田美鈴と偶然再会をした。かつていじめていた同級生だとは気づかない美鈴を見て、悟は憎んでいた相手への復讐を決意する。自分に惚れさせ、堕とすために強引でエッチなスキンシップと駆け引きをする悟に、最初は抵抗していた美鈴だが…徐々に悟の手中に堕ちていき――！？")</f>
        <v>森山悟はクラブで遊んでいたところ、学生時代に自分をいじめていた女・横田美鈴と偶然再会をした。かつていじめていた同級生だとは気づかない美鈴を見て、悟は憎んでいた相手への復讐を決意する。自分に惚れさせ、堕とすために強引でエッチなスキンシップと駆け引きをする悟に、最初は抵抗していた美鈴だが…徐々に悟の手中に堕ちていき――！？</v>
      </c>
      <c r="W2282" s="14"/>
      <c r="X2282" s="14" t="str">
        <f>IFERROR(__xludf.DUMMYFUNCTION("""COMPUTED_VALUE"""),"有")</f>
        <v>有</v>
      </c>
      <c r="Y2282" s="8" t="str">
        <f>IFERROR(__xludf.DUMMYFUNCTION("""COMPUTED_VALUE"""),"2024/11/28まで1巻無料")</f>
        <v>2024/11/28まで1巻無料</v>
      </c>
      <c r="Z2282" s="7"/>
      <c r="AA2282" s="7"/>
      <c r="AB2282" s="7"/>
    </row>
    <row r="2283" ht="15.75" customHeight="1">
      <c r="A2283" s="66">
        <f>IFERROR(__xludf.DUMMYFUNCTION("""COMPUTED_VALUE"""),4291.0)</f>
        <v>4291</v>
      </c>
      <c r="B2283" s="75" t="str">
        <f>IFERROR(__xludf.DUMMYFUNCTION("""COMPUTED_VALUE"""),"確定")</f>
        <v>確定</v>
      </c>
      <c r="C2283" s="68">
        <f>IFERROR(__xludf.DUMMYFUNCTION("""COMPUTED_VALUE"""),45575.0)</f>
        <v>45575</v>
      </c>
      <c r="D2283" s="68">
        <f>IFERROR(__xludf.DUMMYFUNCTION("""COMPUTED_VALUE"""),45576.0)</f>
        <v>45576</v>
      </c>
      <c r="E2283" s="60">
        <f>IFERROR(__xludf.DUMMYFUNCTION("""COMPUTED_VALUE"""),305862.0)</f>
        <v>305862</v>
      </c>
      <c r="F2283" s="60" t="str">
        <f>IFERROR(__xludf.DUMMYFUNCTION("""COMPUTED_VALUE"""),"最強の少年聖騎士、転生者を狩る")</f>
        <v>最強の少年聖騎士、転生者を狩る</v>
      </c>
      <c r="G2283" s="67" t="str">
        <f>IFERROR(__xludf.DUMMYFUNCTION("""COMPUTED_VALUE"""),"1～5")</f>
        <v>1～5</v>
      </c>
      <c r="H2283" s="75" t="str">
        <f>IFERROR(__xludf.DUMMYFUNCTION("""COMPUTED_VALUE"""),"御塩/宇奈木ユラ")</f>
        <v>御塩/宇奈木ユラ</v>
      </c>
      <c r="I2283" s="83" t="str">
        <f>IFERROR(__xludf.DUMMYFUNCTION("""COMPUTED_VALUE"""),"青年")</f>
        <v>青年</v>
      </c>
      <c r="J2283" s="75"/>
      <c r="K2283" s="75"/>
      <c r="L2283" s="75" t="str">
        <f>IFERROR(__xludf.DUMMYFUNCTION("""COMPUTED_VALUE"""),"ファンギルド")</f>
        <v>ファンギルド</v>
      </c>
      <c r="M2283" s="94">
        <f>IFERROR(__xludf.DUMMYFUNCTION("""COMPUTED_VALUE"""),45618.0)</f>
        <v>45618</v>
      </c>
      <c r="N2283" s="94">
        <f>IFERROR(__xludf.DUMMYFUNCTION("""COMPUTED_VALUE"""),45647.0)</f>
        <v>45647</v>
      </c>
      <c r="O2283" s="75"/>
      <c r="P2283" s="80" t="str">
        <f>IFERROR(__xludf.DUMMYFUNCTION("""COMPUTED_VALUE"""),"可")</f>
        <v>可</v>
      </c>
      <c r="Q2283" s="72" t="str">
        <f>IFERROR(__xludf.DUMMYFUNCTION("""COMPUTED_VALUE"""),"『comicスピラ』レーベル作品です。")</f>
        <v>『comicスピラ』レーベル作品です。</v>
      </c>
      <c r="R2283" s="75"/>
      <c r="S2283" s="75" t="str">
        <f>IFERROR(__xludf.DUMMYFUNCTION("""COMPUTED_VALUE"""),"20241010_ファンギルド_最強の少年聖騎士、転生者を狩る")</f>
        <v>20241010_ファンギルド_最強の少年聖騎士、転生者を狩る</v>
      </c>
      <c r="T2283" s="75" t="str">
        <f>IFERROR(__xludf.DUMMYFUNCTION("""COMPUTED_VALUE"""),"格納済み")</f>
        <v>格納済み</v>
      </c>
      <c r="U2283" s="15" t="str">
        <f>IFERROR(__xludf.DUMMYFUNCTION("""COMPUTED_VALUE"""),"©御塩/宇奈木ユラ/ファンギルド")</f>
        <v>©御塩/宇奈木ユラ/ファンギルド</v>
      </c>
      <c r="V2283" s="8" t="str">
        <f>IFERROR(__xludf.DUMMYFUNCTION("""COMPUTED_VALUE"""),"「転生者、お前には死んでもらう―――」この世界の平和を脅かす異質な存在「転生者」。チートという超越した力を持った彼らは、この世界で好き勝手に暴れまわっていた。転生者に村を燃やされ、家族を失った少年ライ・コンウェル、全てを失ったライは絶望の中「転生者を許さない」と誓う…。数年後、厳しい修練を重ね、転生者狩り専門の騎士「粛清騎士」となったライは、チートを上回る剣術と身体能力で転生者を圧倒する――！最強の少年聖騎士ライの、世界の幸福を守るための反撃が始まる――！！")</f>
        <v>「転生者、お前には死んでもらう―――」この世界の平和を脅かす異質な存在「転生者」。チートという超越した力を持った彼らは、この世界で好き勝手に暴れまわっていた。転生者に村を燃やされ、家族を失った少年ライ・コンウェル、全てを失ったライは絶望の中「転生者を許さない」と誓う…。数年後、厳しい修練を重ね、転生者狩り専門の騎士「粛清騎士」となったライは、チートを上回る剣術と身体能力で転生者を圧倒する――！最強の少年聖騎士ライの、世界の幸福を守るための反撃が始まる――！！</v>
      </c>
      <c r="W2283" s="14"/>
      <c r="X2283" s="14" t="str">
        <f>IFERROR(__xludf.DUMMYFUNCTION("""COMPUTED_VALUE"""),"有")</f>
        <v>有</v>
      </c>
      <c r="Y2283" s="8" t="str">
        <f>IFERROR(__xludf.DUMMYFUNCTION("""COMPUTED_VALUE"""),"2024/12/5まで1巻無料")</f>
        <v>2024/12/5まで1巻無料</v>
      </c>
      <c r="Z2283" s="7"/>
      <c r="AA2283" s="7"/>
      <c r="AB2283" s="7"/>
    </row>
    <row r="2284" ht="15.75" customHeight="1">
      <c r="A2284" s="66">
        <f>IFERROR(__xludf.DUMMYFUNCTION("""COMPUTED_VALUE"""),4300.0)</f>
        <v>4300</v>
      </c>
      <c r="B2284" s="75" t="str">
        <f>IFERROR(__xludf.DUMMYFUNCTION("""COMPUTED_VALUE"""),"確定")</f>
        <v>確定</v>
      </c>
      <c r="C2284" s="68">
        <f>IFERROR(__xludf.DUMMYFUNCTION("""COMPUTED_VALUE"""),45575.0)</f>
        <v>45575</v>
      </c>
      <c r="D2284" s="68">
        <f>IFERROR(__xludf.DUMMYFUNCTION("""COMPUTED_VALUE"""),45576.0)</f>
        <v>45576</v>
      </c>
      <c r="E2284" s="60">
        <f>IFERROR(__xludf.DUMMYFUNCTION("""COMPUTED_VALUE"""),305401.0)</f>
        <v>305401</v>
      </c>
      <c r="F2284" s="60" t="str">
        <f>IFERROR(__xludf.DUMMYFUNCTION("""COMPUTED_VALUE"""),"国宝級令息の求婚")</f>
        <v>国宝級令息の求婚</v>
      </c>
      <c r="G2284" s="67" t="str">
        <f>IFERROR(__xludf.DUMMYFUNCTION("""COMPUTED_VALUE"""),"1～6")</f>
        <v>1～6</v>
      </c>
      <c r="H2284" s="75" t="str">
        <f>IFERROR(__xludf.DUMMYFUNCTION("""COMPUTED_VALUE"""),"神野える")</f>
        <v>神野える</v>
      </c>
      <c r="I2284" s="75" t="str">
        <f>IFERROR(__xludf.DUMMYFUNCTION("""COMPUTED_VALUE"""),"少女")</f>
        <v>少女</v>
      </c>
      <c r="J2284" s="75"/>
      <c r="K2284" s="75"/>
      <c r="L2284" s="75" t="str">
        <f>IFERROR(__xludf.DUMMYFUNCTION("""COMPUTED_VALUE"""),"主婦と生活社")</f>
        <v>主婦と生活社</v>
      </c>
      <c r="M2284" s="59">
        <f>IFERROR(__xludf.DUMMYFUNCTION("""COMPUTED_VALUE"""),45597.0)</f>
        <v>45597</v>
      </c>
      <c r="N2284" s="59">
        <f>IFERROR(__xludf.DUMMYFUNCTION("""COMPUTED_VALUE"""),45688.0)</f>
        <v>45688</v>
      </c>
      <c r="O2284" s="75"/>
      <c r="P2284" s="80" t="str">
        <f>IFERROR(__xludf.DUMMYFUNCTION("""COMPUTED_VALUE"""),"否")</f>
        <v>否</v>
      </c>
      <c r="Q2284" s="72" t="str">
        <f>IFERROR(__xludf.DUMMYFUNCTION("""COMPUTED_VALUE"""),"先行獲得タイトルのため、事前検討無しで確定処理させて頂きました。&lt;BR&gt;可能な範囲で出稿対応お願いします。&lt;BR&gt;先行期間内は2話無料予定です。")</f>
        <v>先行獲得タイトルのため、事前検討無しで確定処理させて頂きました。&lt;BR&gt;可能な範囲で出稿対応お願いします。&lt;BR&gt;先行期間内は2話無料予定です。</v>
      </c>
      <c r="R2284" s="75"/>
      <c r="S2284" s="75" t="str">
        <f>IFERROR(__xludf.DUMMYFUNCTION("""COMPUTED_VALUE"""),"20241010_主婦と生活社_国宝級令息の求婚")</f>
        <v>20241010_主婦と生活社_国宝級令息の求婚</v>
      </c>
      <c r="T2284" s="75" t="str">
        <f>IFERROR(__xludf.DUMMYFUNCTION("""COMPUTED_VALUE"""),"格納済み")</f>
        <v>格納済み</v>
      </c>
      <c r="U2284" s="15" t="str">
        <f>IFERROR(__xludf.DUMMYFUNCTION("""COMPUTED_VALUE"""),"（C）神野える・Ai・sasasa/主婦と生活社")</f>
        <v>（C）神野える・Ai・sasasa/主婦と生活社</v>
      </c>
      <c r="V2284" s="8" t="str">
        <f>IFERROR(__xludf.DUMMYFUNCTION("""COMPUTED_VALUE"""),"容姿、性格、家柄、能力、実力の全てを兼ね備えた
イラリオン・スヴァロフは国民の憧れの存在。
そんなイラリオンを娘婿にと国王は王女との縁談を推し進めようとする。
しかし王女に恋人がいることを知っていたイラリオンは、
縁談が白紙になるよう速やかに自分の結婚相手を探すことに。
妙に具体的な好みから浮かび上がったのは、彼が恋焦がれ追い続けていた
令嬢テリル・クルジェットだった。
しかしテリルは誰にも言えない秘密を抱えていて──。
一途に恋する国宝級令息×秘密を抱えた令嬢の
運命を越えたラ"&amp;"ブスペクタクルファンタジー！")</f>
        <v>容姿、性格、家柄、能力、実力の全てを兼ね備えた
イラリオン・スヴァロフは国民の憧れの存在。
そんなイラリオンを娘婿にと国王は王女との縁談を推し進めようとする。
しかし王女に恋人がいることを知っていたイラリオンは、
縁談が白紙になるよう速やかに自分の結婚相手を探すことに。
妙に具体的な好みから浮かび上がったのは、彼が恋焦がれ追い続けていた
令嬢テリル・クルジェットだった。
しかしテリルは誰にも言えない秘密を抱えていて──。
一途に恋する国宝級令息×秘密を抱えた令嬢の
運命を越えたラブスペクタクルファンタジー！</v>
      </c>
      <c r="W2284" s="14"/>
      <c r="X2284" s="14" t="str">
        <f>IFERROR(__xludf.DUMMYFUNCTION("""COMPUTED_VALUE"""),"有")</f>
        <v>有</v>
      </c>
      <c r="Y2284" s="8" t="str">
        <f>IFERROR(__xludf.DUMMYFUNCTION("""COMPUTED_VALUE"""),"2025/1/31まで1～2巻無料")</f>
        <v>2025/1/31まで1～2巻無料</v>
      </c>
      <c r="Z2284" s="7"/>
      <c r="AA2284" s="7"/>
      <c r="AB2284" s="7"/>
    </row>
    <row r="2285" ht="15.75" customHeight="1">
      <c r="A2285" s="66">
        <f>IFERROR(__xludf.DUMMYFUNCTION("""COMPUTED_VALUE"""),4302.0)</f>
        <v>4302</v>
      </c>
      <c r="B2285" s="75" t="str">
        <f>IFERROR(__xludf.DUMMYFUNCTION("""COMPUTED_VALUE"""),"確定")</f>
        <v>確定</v>
      </c>
      <c r="C2285" s="68">
        <f>IFERROR(__xludf.DUMMYFUNCTION("""COMPUTED_VALUE"""),45575.0)</f>
        <v>45575</v>
      </c>
      <c r="D2285" s="68">
        <f>IFERROR(__xludf.DUMMYFUNCTION("""COMPUTED_VALUE"""),45576.0)</f>
        <v>45576</v>
      </c>
      <c r="E2285" s="60">
        <f>IFERROR(__xludf.DUMMYFUNCTION("""COMPUTED_VALUE"""),306027.0)</f>
        <v>306027</v>
      </c>
      <c r="F2285" s="60" t="str">
        <f>IFERROR(__xludf.DUMMYFUNCTION("""COMPUTED_VALUE"""),"冷血魔王の甘やかな執着")</f>
        <v>冷血魔王の甘やかな執着</v>
      </c>
      <c r="G2285" s="67" t="str">
        <f>IFERROR(__xludf.DUMMYFUNCTION("""COMPUTED_VALUE"""),"1～3")</f>
        <v>1～3</v>
      </c>
      <c r="H2285" s="75" t="str">
        <f>IFERROR(__xludf.DUMMYFUNCTION("""COMPUTED_VALUE"""),"飴坂ニナ")</f>
        <v>飴坂ニナ</v>
      </c>
      <c r="I2285" s="75" t="str">
        <f>IFERROR(__xludf.DUMMYFUNCTION("""COMPUTED_VALUE"""),"少女")</f>
        <v>少女</v>
      </c>
      <c r="J2285" s="75"/>
      <c r="K2285" s="75"/>
      <c r="L2285" s="75" t="str">
        <f>IFERROR(__xludf.DUMMYFUNCTION("""COMPUTED_VALUE"""),"マッグガーデン")</f>
        <v>マッグガーデン</v>
      </c>
      <c r="M2285" s="94">
        <f>IFERROR(__xludf.DUMMYFUNCTION("""COMPUTED_VALUE"""),45611.0)</f>
        <v>45611</v>
      </c>
      <c r="N2285" s="59">
        <f>IFERROR(__xludf.DUMMYFUNCTION("""COMPUTED_VALUE"""),45771.0)</f>
        <v>45771</v>
      </c>
      <c r="O2285" s="75"/>
      <c r="P2285" s="80" t="str">
        <f>IFERROR(__xludf.DUMMYFUNCTION("""COMPUTED_VALUE"""),"否")</f>
        <v>否</v>
      </c>
      <c r="Q2285" s="72" t="str">
        <f>IFERROR(__xludf.DUMMYFUNCTION("""COMPUTED_VALUE"""),"協業作品です&lt;BR&gt;レーベル名：シーモア×MAGKAN PLUS&lt;BR&gt;&lt;BR&gt;")</f>
        <v>協業作品です&lt;BR&gt;レーベル名：シーモア×MAGKAN PLUS&lt;BR&gt;&lt;BR&gt;</v>
      </c>
      <c r="R2285" s="75"/>
      <c r="S2285" s="75" t="str">
        <f>IFERROR(__xludf.DUMMYFUNCTION("""COMPUTED_VALUE"""),"20241009_マッグガーデン_冷血魔王の甘やかな執着")</f>
        <v>20241009_マッグガーデン_冷血魔王の甘やかな執着</v>
      </c>
      <c r="T2285" s="75" t="str">
        <f>IFERROR(__xludf.DUMMYFUNCTION("""COMPUTED_VALUE"""),"格納済み")</f>
        <v>格納済み</v>
      </c>
      <c r="U2285" s="15" t="str">
        <f>IFERROR(__xludf.DUMMYFUNCTION("""COMPUTED_VALUE"""),"(C)飴坂ニナ/MAG Garden")</f>
        <v>(C)飴坂ニナ/MAG Garden</v>
      </c>
      <c r="V2285" s="8" t="str">
        <f>IFERROR(__xludf.DUMMYFUNCTION("""COMPUTED_VALUE"""),"魔王復活を阻止できなかった勇者パーティーとして、処刑された聖女イルゼ。目を覚ますと、なぜか聖女認定を受ける前日に時計が巻き戻っていた。再び国王に使い捨てられるくらいなら、魔王について生き延びてやる、と自ら魔王を訪ねてみると、なぜか歓迎されていて…？")</f>
        <v>魔王復活を阻止できなかった勇者パーティーとして、処刑された聖女イルゼ。目を覚ますと、なぜか聖女認定を受ける前日に時計が巻き戻っていた。再び国王に使い捨てられるくらいなら、魔王について生き延びてやる、と自ら魔王を訪ねてみると、なぜか歓迎されていて…？</v>
      </c>
      <c r="W2285" s="14"/>
      <c r="X2285" s="14" t="str">
        <f>IFERROR(__xludf.DUMMYFUNCTION("""COMPUTED_VALUE"""),"有")</f>
        <v>有</v>
      </c>
      <c r="Y2285" s="8" t="str">
        <f>IFERROR(__xludf.DUMMYFUNCTION("""COMPUTED_VALUE"""),"2024/11/28まで1巻無料")</f>
        <v>2024/11/28まで1巻無料</v>
      </c>
      <c r="Z2285" s="7"/>
      <c r="AA2285" s="7"/>
      <c r="AB2285" s="7"/>
    </row>
    <row r="2286" ht="15.75" customHeight="1">
      <c r="A2286" s="66">
        <f>IFERROR(__xludf.DUMMYFUNCTION("""COMPUTED_VALUE"""),4313.0)</f>
        <v>4313</v>
      </c>
      <c r="B2286" s="75" t="str">
        <f>IFERROR(__xludf.DUMMYFUNCTION("""COMPUTED_VALUE"""),"確定")</f>
        <v>確定</v>
      </c>
      <c r="C2286" s="68">
        <f>IFERROR(__xludf.DUMMYFUNCTION("""COMPUTED_VALUE"""),45576.0)</f>
        <v>45576</v>
      </c>
      <c r="D2286" s="68">
        <f>IFERROR(__xludf.DUMMYFUNCTION("""COMPUTED_VALUE"""),45580.0)</f>
        <v>45580</v>
      </c>
      <c r="E2286" s="60">
        <f>IFERROR(__xludf.DUMMYFUNCTION("""COMPUTED_VALUE"""),307037.0)</f>
        <v>307037</v>
      </c>
      <c r="F2286" s="60" t="str">
        <f>IFERROR(__xludf.DUMMYFUNCTION("""COMPUTED_VALUE"""),"口から先に生まれた令嬢と馬鹿にされ婚約破棄されましたが、自分の話を楽しんでくれる幼馴染と結婚します！")</f>
        <v>口から先に生まれた令嬢と馬鹿にされ婚約破棄されましたが、自分の話を楽しんでくれる幼馴染と結婚します！</v>
      </c>
      <c r="G2286" s="67" t="str">
        <f>IFERROR(__xludf.DUMMYFUNCTION("""COMPUTED_VALUE"""),"1～2")</f>
        <v>1～2</v>
      </c>
      <c r="H2286" s="75" t="str">
        <f>IFERROR(__xludf.DUMMYFUNCTION("""COMPUTED_VALUE"""),"宙乃勿子／COMIC ROOM")</f>
        <v>宙乃勿子／COMIC ROOM</v>
      </c>
      <c r="I2286" s="75" t="str">
        <f>IFERROR(__xludf.DUMMYFUNCTION("""COMPUTED_VALUE"""),"女性")</f>
        <v>女性</v>
      </c>
      <c r="J2286" s="75"/>
      <c r="K2286" s="75"/>
      <c r="L2286" s="75" t="str">
        <f>IFERROR(__xludf.DUMMYFUNCTION("""COMPUTED_VALUE"""),"コミックルーム")</f>
        <v>コミックルーム</v>
      </c>
      <c r="M2286" s="94">
        <f>IFERROR(__xludf.DUMMYFUNCTION("""COMPUTED_VALUE"""),45611.0)</f>
        <v>45611</v>
      </c>
      <c r="N2286" s="59">
        <f>IFERROR(__xludf.DUMMYFUNCTION("""COMPUTED_VALUE"""),45702.0)</f>
        <v>45702</v>
      </c>
      <c r="O2286" s="75"/>
      <c r="P2286" s="71" t="str">
        <f>IFERROR(__xludf.DUMMYFUNCTION("""COMPUTED_VALUE"""),"可")</f>
        <v>可</v>
      </c>
      <c r="Q2286" s="72"/>
      <c r="R2286" s="75"/>
      <c r="S2286" s="75" t="str">
        <f>IFERROR(__xludf.DUMMYFUNCTION("""COMPUTED_VALUE"""),"20241011_コミックルーム_口から先に生まれた令嬢と馬鹿にされ婚約破棄されましたが、自分の話を楽しんでくれる幼馴染と結婚します！")</f>
        <v>20241011_コミックルーム_口から先に生まれた令嬢と馬鹿にされ婚約破棄されましたが、自分の話を楽しんでくれる幼馴染と結婚します！</v>
      </c>
      <c r="T2286" s="75" t="str">
        <f>IFERROR(__xludf.DUMMYFUNCTION("""COMPUTED_VALUE"""),"格納済み")</f>
        <v>格納済み</v>
      </c>
      <c r="U2286" s="15" t="str">
        <f>IFERROR(__xludf.DUMMYFUNCTION("""COMPUTED_VALUE"""),"(c)宙乃勿子／COMIC ROOM")</f>
        <v>(c)宙乃勿子／COMIC ROOM</v>
      </c>
      <c r="V2286" s="8" t="str">
        <f>IFERROR(__xludf.DUMMYFUNCTION("""COMPUTED_VALUE"""),"伯爵令嬢のヘレナは、婚約者である侯爵令息キースから一方的に婚約破棄されてしまう。
彼の侮蔑にショックを受けたヘレナは、その日以来、声が出なくなってしまった。
そんなヘレナの元に幼馴染のルークが尋ねてきた。
彼は、塞ぎ込むヘレナを庭園や舞踏会に連れ出し、優しく寄り添った。
徐々に元気を取り戻すヘレナ。
しかし、ある舞踏会に参加した時、元婚約者であるキースと鉢合わせしてしまう・・・。
蘇るヘレナのトラウマ、ヘレナを罵倒し始めるキース、それを糾弾するルーク。
大混乱の舞踏会に、ヘレナはついに声を取"&amp;"り戻し・・・？")</f>
        <v>伯爵令嬢のヘレナは、婚約者である侯爵令息キースから一方的に婚約破棄されてしまう。
彼の侮蔑にショックを受けたヘレナは、その日以来、声が出なくなってしまった。
そんなヘレナの元に幼馴染のルークが尋ねてきた。
彼は、塞ぎ込むヘレナを庭園や舞踏会に連れ出し、優しく寄り添った。
徐々に元気を取り戻すヘレナ。
しかし、ある舞踏会に参加した時、元婚約者であるキースと鉢合わせしてしまう・・・。
蘇るヘレナのトラウマ、ヘレナを罵倒し始めるキース、それを糾弾するルーク。
大混乱の舞踏会に、ヘレナはついに声を取り戻し・・・？</v>
      </c>
      <c r="W2286" s="14"/>
      <c r="X2286" s="14" t="str">
        <f>IFERROR(__xludf.DUMMYFUNCTION("""COMPUTED_VALUE"""),"有")</f>
        <v>有</v>
      </c>
      <c r="Y2286" s="8" t="str">
        <f>IFERROR(__xludf.DUMMYFUNCTION("""COMPUTED_VALUE"""),"P11まで")</f>
        <v>P11まで</v>
      </c>
      <c r="Z2286" s="7"/>
      <c r="AA2286" s="7"/>
      <c r="AB2286" s="7"/>
    </row>
    <row r="2287" ht="15.75" customHeight="1">
      <c r="A2287" s="66">
        <f>IFERROR(__xludf.DUMMYFUNCTION("""COMPUTED_VALUE"""),4314.0)</f>
        <v>4314</v>
      </c>
      <c r="B2287" s="75" t="str">
        <f>IFERROR(__xludf.DUMMYFUNCTION("""COMPUTED_VALUE"""),"確定")</f>
        <v>確定</v>
      </c>
      <c r="C2287" s="68">
        <f>IFERROR(__xludf.DUMMYFUNCTION("""COMPUTED_VALUE"""),45576.0)</f>
        <v>45576</v>
      </c>
      <c r="D2287" s="68">
        <f>IFERROR(__xludf.DUMMYFUNCTION("""COMPUTED_VALUE"""),45580.0)</f>
        <v>45580</v>
      </c>
      <c r="E2287" s="60">
        <f>IFERROR(__xludf.DUMMYFUNCTION("""COMPUTED_VALUE"""),307034.0)</f>
        <v>307034</v>
      </c>
      <c r="F2287" s="60" t="str">
        <f>IFERROR(__xludf.DUMMYFUNCTION("""COMPUTED_VALUE"""),"黒幕は私ですわ〜島流しにあいましたが、隣国の王子に拾われて溺愛されました〜")</f>
        <v>黒幕は私ですわ〜島流しにあいましたが、隣国の王子に拾われて溺愛されました〜</v>
      </c>
      <c r="G2287" s="67" t="str">
        <f>IFERROR(__xludf.DUMMYFUNCTION("""COMPUTED_VALUE"""),"1～2")</f>
        <v>1～2</v>
      </c>
      <c r="H2287" s="75" t="str">
        <f>IFERROR(__xludf.DUMMYFUNCTION("""COMPUTED_VALUE"""),"サイハラナオ／COMIC ROOM")</f>
        <v>サイハラナオ／COMIC ROOM</v>
      </c>
      <c r="I2287" s="75" t="str">
        <f>IFERROR(__xludf.DUMMYFUNCTION("""COMPUTED_VALUE"""),"女性")</f>
        <v>女性</v>
      </c>
      <c r="J2287" s="75"/>
      <c r="K2287" s="75"/>
      <c r="L2287" s="75" t="str">
        <f>IFERROR(__xludf.DUMMYFUNCTION("""COMPUTED_VALUE"""),"コミックルーム")</f>
        <v>コミックルーム</v>
      </c>
      <c r="M2287" s="94">
        <f>IFERROR(__xludf.DUMMYFUNCTION("""COMPUTED_VALUE"""),45611.0)</f>
        <v>45611</v>
      </c>
      <c r="N2287" s="59">
        <f>IFERROR(__xludf.DUMMYFUNCTION("""COMPUTED_VALUE"""),45702.0)</f>
        <v>45702</v>
      </c>
      <c r="O2287" s="75"/>
      <c r="P2287" s="71" t="str">
        <f>IFERROR(__xludf.DUMMYFUNCTION("""COMPUTED_VALUE"""),"可")</f>
        <v>可</v>
      </c>
      <c r="Q2287" s="72"/>
      <c r="R2287" s="75"/>
      <c r="S2287" s="75" t="str">
        <f>IFERROR(__xludf.DUMMYFUNCTION("""COMPUTED_VALUE"""),"20241011_コミックルーム_黒幕は私ですわ〜島流しにあいましたが、隣国の王子に拾われて溺愛されました〜")</f>
        <v>20241011_コミックルーム_黒幕は私ですわ〜島流しにあいましたが、隣国の王子に拾われて溺愛されました〜</v>
      </c>
      <c r="T2287" s="75" t="str">
        <f>IFERROR(__xludf.DUMMYFUNCTION("""COMPUTED_VALUE"""),"格納済み")</f>
        <v>格納済み</v>
      </c>
      <c r="U2287" s="15" t="str">
        <f>IFERROR(__xludf.DUMMYFUNCTION("""COMPUTED_VALUE"""),"(c)サイハラナオ／COMIC ROOM")</f>
        <v>(c)サイハラナオ／COMIC ROOM</v>
      </c>
      <c r="V2287" s="8" t="str">
        <f>IFERROR(__xludf.DUMMYFUNCTION("""COMPUTED_VALUE"""),"伯爵令嬢シルビアが生まれたリグリス帝国は、グリアード王国との戦争が長年続いていた。
争いの悲惨さを嘆いた彼女は、終戦に向けて不屈の精神で動いていたが、あろうことか無実の罪を着せられ島流しに・・・。
そんな彼女を救助したのは、敵国グリアード王国の王太子・ルシスが乗る船だった。冷酷王子と噂されている彼との遭遇に絶望するシルビアだったが、なんと彼も終戦を願い和睦のため行動していたことが明らかに。
同じ未来を願う者同士、シルビアはルシス王太子を支えようと誓う。
運命の出会い、渦巻く陰謀、二人の未来は果たし"&amp;"て・・・！？")</f>
        <v>伯爵令嬢シルビアが生まれたリグリス帝国は、グリアード王国との戦争が長年続いていた。
争いの悲惨さを嘆いた彼女は、終戦に向けて不屈の精神で動いていたが、あろうことか無実の罪を着せられ島流しに・・・。
そんな彼女を救助したのは、敵国グリアード王国の王太子・ルシスが乗る船だった。冷酷王子と噂されている彼との遭遇に絶望するシルビアだったが、なんと彼も終戦を願い和睦のため行動していたことが明らかに。
同じ未来を願う者同士、シルビアはルシス王太子を支えようと誓う。
運命の出会い、渦巻く陰謀、二人の未来は果たして・・・！？</v>
      </c>
      <c r="W2287" s="14"/>
      <c r="X2287" s="14" t="str">
        <f>IFERROR(__xludf.DUMMYFUNCTION("""COMPUTED_VALUE"""),"有")</f>
        <v>有</v>
      </c>
      <c r="Y2287" s="8" t="str">
        <f>IFERROR(__xludf.DUMMYFUNCTION("""COMPUTED_VALUE"""),"P12まで")</f>
        <v>P12まで</v>
      </c>
      <c r="Z2287" s="7"/>
      <c r="AA2287" s="7"/>
      <c r="AB2287" s="7"/>
    </row>
    <row r="2288" ht="15.75" customHeight="1">
      <c r="A2288" s="66">
        <f>IFERROR(__xludf.DUMMYFUNCTION("""COMPUTED_VALUE"""),4315.0)</f>
        <v>4315</v>
      </c>
      <c r="B2288" s="75" t="str">
        <f>IFERROR(__xludf.DUMMYFUNCTION("""COMPUTED_VALUE"""),"確定")</f>
        <v>確定</v>
      </c>
      <c r="C2288" s="68">
        <f>IFERROR(__xludf.DUMMYFUNCTION("""COMPUTED_VALUE"""),45576.0)</f>
        <v>45576</v>
      </c>
      <c r="D2288" s="68">
        <f>IFERROR(__xludf.DUMMYFUNCTION("""COMPUTED_VALUE"""),45580.0)</f>
        <v>45580</v>
      </c>
      <c r="E2288" s="60">
        <f>IFERROR(__xludf.DUMMYFUNCTION("""COMPUTED_VALUE"""),307035.0)</f>
        <v>307035</v>
      </c>
      <c r="F2288" s="60" t="str">
        <f>IFERROR(__xludf.DUMMYFUNCTION("""COMPUTED_VALUE"""),"婚約者が浮気ばかりするので、私あなたに飽きてしまいましたわ")</f>
        <v>婚約者が浮気ばかりするので、私あなたに飽きてしまいましたわ</v>
      </c>
      <c r="G2288" s="67" t="str">
        <f>IFERROR(__xludf.DUMMYFUNCTION("""COMPUTED_VALUE"""),"1～2")</f>
        <v>1～2</v>
      </c>
      <c r="H2288" s="75" t="str">
        <f>IFERROR(__xludf.DUMMYFUNCTION("""COMPUTED_VALUE"""),"猫虎狼／COMIC ROOM")</f>
        <v>猫虎狼／COMIC ROOM</v>
      </c>
      <c r="I2288" s="75" t="str">
        <f>IFERROR(__xludf.DUMMYFUNCTION("""COMPUTED_VALUE"""),"女性")</f>
        <v>女性</v>
      </c>
      <c r="J2288" s="75"/>
      <c r="K2288" s="75"/>
      <c r="L2288" s="75" t="str">
        <f>IFERROR(__xludf.DUMMYFUNCTION("""COMPUTED_VALUE"""),"コミックルーム")</f>
        <v>コミックルーム</v>
      </c>
      <c r="M2288" s="94">
        <f>IFERROR(__xludf.DUMMYFUNCTION("""COMPUTED_VALUE"""),45611.0)</f>
        <v>45611</v>
      </c>
      <c r="N2288" s="59">
        <f>IFERROR(__xludf.DUMMYFUNCTION("""COMPUTED_VALUE"""),45702.0)</f>
        <v>45702</v>
      </c>
      <c r="O2288" s="75"/>
      <c r="P2288" s="71" t="str">
        <f>IFERROR(__xludf.DUMMYFUNCTION("""COMPUTED_VALUE"""),"可")</f>
        <v>可</v>
      </c>
      <c r="Q2288" s="72"/>
      <c r="R2288" s="75"/>
      <c r="S2288" s="75" t="str">
        <f>IFERROR(__xludf.DUMMYFUNCTION("""COMPUTED_VALUE"""),"20241011_コミックルーム_婚約者が浮気ばかりするので、私あなたに飽きてしまいましたわ")</f>
        <v>20241011_コミックルーム_婚約者が浮気ばかりするので、私あなたに飽きてしまいましたわ</v>
      </c>
      <c r="T2288" s="75" t="str">
        <f>IFERROR(__xludf.DUMMYFUNCTION("""COMPUTED_VALUE"""),"格納済み")</f>
        <v>格納済み</v>
      </c>
      <c r="U2288" s="15" t="str">
        <f>IFERROR(__xludf.DUMMYFUNCTION("""COMPUTED_VALUE"""),"(c)猫虎狼／COMIC ROOM")</f>
        <v>(c)猫虎狼／COMIC ROOM</v>
      </c>
      <c r="V2288" s="8" t="str">
        <f>IFERROR(__xludf.DUMMYFUNCTION("""COMPUTED_VALUE"""),"侯爵令嬢のリラは幼い頃、公爵令息サイラスに一目惚れした。
以来彼女は、熱狂的なアプローチを仕掛け、無事サイラスと婚約。
しかし、実はサイラスには浮気癖があり、リラは心労を感じ続ける日々を送ることになってしまう。
そんなリラを心配した幼馴染のレックス伯爵は、気分転換に夜会へと誘った。
だが、そこで鉢合わせたのは、浮気相手を連れたサイラスだった。
咎められても全く悪びれる様子のない彼を見て、リラの心は音を立て崩れ落ちる。
そして、積年の思いが憎悪となり、奈落へと叩き落とす復讐劇が幕を開ける・・・！"&amp;"！")</f>
        <v>侯爵令嬢のリラは幼い頃、公爵令息サイラスに一目惚れした。
以来彼女は、熱狂的なアプローチを仕掛け、無事サイラスと婚約。
しかし、実はサイラスには浮気癖があり、リラは心労を感じ続ける日々を送ることになってしまう。
そんなリラを心配した幼馴染のレックス伯爵は、気分転換に夜会へと誘った。
だが、そこで鉢合わせたのは、浮気相手を連れたサイラスだった。
咎められても全く悪びれる様子のない彼を見て、リラの心は音を立て崩れ落ちる。
そして、積年の思いが憎悪となり、奈落へと叩き落とす復讐劇が幕を開ける・・・！！</v>
      </c>
      <c r="W2288" s="14"/>
      <c r="X2288" s="14" t="str">
        <f>IFERROR(__xludf.DUMMYFUNCTION("""COMPUTED_VALUE"""),"有")</f>
        <v>有</v>
      </c>
      <c r="Y2288" s="8" t="str">
        <f>IFERROR(__xludf.DUMMYFUNCTION("""COMPUTED_VALUE"""),"P11まで")</f>
        <v>P11まで</v>
      </c>
      <c r="Z2288" s="7"/>
      <c r="AA2288" s="7"/>
      <c r="AB2288" s="7"/>
    </row>
    <row r="2289" ht="15.75" customHeight="1">
      <c r="A2289" s="66">
        <f>IFERROR(__xludf.DUMMYFUNCTION("""COMPUTED_VALUE"""),4316.0)</f>
        <v>4316</v>
      </c>
      <c r="B2289" s="75" t="str">
        <f>IFERROR(__xludf.DUMMYFUNCTION("""COMPUTED_VALUE"""),"確定")</f>
        <v>確定</v>
      </c>
      <c r="C2289" s="68">
        <f>IFERROR(__xludf.DUMMYFUNCTION("""COMPUTED_VALUE"""),45576.0)</f>
        <v>45576</v>
      </c>
      <c r="D2289" s="68">
        <f>IFERROR(__xludf.DUMMYFUNCTION("""COMPUTED_VALUE"""),45580.0)</f>
        <v>45580</v>
      </c>
      <c r="E2289" s="60">
        <f>IFERROR(__xludf.DUMMYFUNCTION("""COMPUTED_VALUE"""),307036.0)</f>
        <v>307036</v>
      </c>
      <c r="F2289" s="60" t="str">
        <f>IFERROR(__xludf.DUMMYFUNCTION("""COMPUTED_VALUE"""),"余命一年と言われたのに")</f>
        <v>余命一年と言われたのに</v>
      </c>
      <c r="G2289" s="67" t="str">
        <f>IFERROR(__xludf.DUMMYFUNCTION("""COMPUTED_VALUE"""),"1～2")</f>
        <v>1～2</v>
      </c>
      <c r="H2289" s="75" t="str">
        <f>IFERROR(__xludf.DUMMYFUNCTION("""COMPUTED_VALUE"""),"海月ラムネ／COMIC ROOM")</f>
        <v>海月ラムネ／COMIC ROOM</v>
      </c>
      <c r="I2289" s="75" t="str">
        <f>IFERROR(__xludf.DUMMYFUNCTION("""COMPUTED_VALUE"""),"女性")</f>
        <v>女性</v>
      </c>
      <c r="J2289" s="75"/>
      <c r="K2289" s="75"/>
      <c r="L2289" s="75" t="str">
        <f>IFERROR(__xludf.DUMMYFUNCTION("""COMPUTED_VALUE"""),"コミックルーム")</f>
        <v>コミックルーム</v>
      </c>
      <c r="M2289" s="94">
        <f>IFERROR(__xludf.DUMMYFUNCTION("""COMPUTED_VALUE"""),45611.0)</f>
        <v>45611</v>
      </c>
      <c r="N2289" s="59">
        <f>IFERROR(__xludf.DUMMYFUNCTION("""COMPUTED_VALUE"""),45702.0)</f>
        <v>45702</v>
      </c>
      <c r="O2289" s="75"/>
      <c r="P2289" s="71" t="str">
        <f>IFERROR(__xludf.DUMMYFUNCTION("""COMPUTED_VALUE"""),"可")</f>
        <v>可</v>
      </c>
      <c r="Q2289" s="72"/>
      <c r="R2289" s="75"/>
      <c r="S2289" s="75" t="str">
        <f>IFERROR(__xludf.DUMMYFUNCTION("""COMPUTED_VALUE"""),"20241011_コミックルーム_余命一年と言われたのに")</f>
        <v>20241011_コミックルーム_余命一年と言われたのに</v>
      </c>
      <c r="T2289" s="75" t="str">
        <f>IFERROR(__xludf.DUMMYFUNCTION("""COMPUTED_VALUE"""),"格納済み")</f>
        <v>格納済み</v>
      </c>
      <c r="U2289" s="15" t="str">
        <f>IFERROR(__xludf.DUMMYFUNCTION("""COMPUTED_VALUE"""),"(c)海月ラムネ／COMIC ROOM")</f>
        <v>(c)海月ラムネ／COMIC ROOM</v>
      </c>
      <c r="V2289" s="8" t="str">
        <f>IFERROR(__xludf.DUMMYFUNCTION("""COMPUTED_VALUE"""),"伯爵令嬢レイチェルは、原因不明の病にかかり余命一年と宣告されてしまった。
さらには侯爵令息ヴィクターからも婚約破棄をされ、失意のどん底に落ちる。
ある日、そんなレイチェルの元に、幼馴染のエドワード侯爵令息が駆けつけてきた。
人前では気丈に振る舞っていたレイチェルだったが、エドワードの優しさに触れ、その胸中を吐露すると共に、思い残した夢があることを打ち明ける。
素敵なドレスを着ること、満点の星空を見ること、一つずつ彼女の夢を叶えていく中で、二人は目の前の幸せを大切に噛み締めていた。
そして最後の夢"&amp;"が叶った瞬間、思いもよらない奇跡が二人を待ち受けていて・・・！？")</f>
        <v>伯爵令嬢レイチェルは、原因不明の病にかかり余命一年と宣告されてしまった。
さらには侯爵令息ヴィクターからも婚約破棄をされ、失意のどん底に落ちる。
ある日、そんなレイチェルの元に、幼馴染のエドワード侯爵令息が駆けつけてきた。
人前では気丈に振る舞っていたレイチェルだったが、エドワードの優しさに触れ、その胸中を吐露すると共に、思い残した夢があることを打ち明ける。
素敵なドレスを着ること、満点の星空を見ること、一つずつ彼女の夢を叶えていく中で、二人は目の前の幸せを大切に噛み締めていた。
そして最後の夢が叶った瞬間、思いもよらない奇跡が二人を待ち受けていて・・・！？</v>
      </c>
      <c r="W2289" s="14"/>
      <c r="X2289" s="14" t="str">
        <f>IFERROR(__xludf.DUMMYFUNCTION("""COMPUTED_VALUE"""),"有")</f>
        <v>有</v>
      </c>
      <c r="Y2289" s="8" t="str">
        <f>IFERROR(__xludf.DUMMYFUNCTION("""COMPUTED_VALUE"""),"P11まで")</f>
        <v>P11まで</v>
      </c>
      <c r="Z2289" s="7"/>
      <c r="AA2289" s="7"/>
      <c r="AB2289" s="7"/>
    </row>
    <row r="2290" ht="15.75" customHeight="1">
      <c r="A2290" s="66">
        <f>IFERROR(__xludf.DUMMYFUNCTION("""COMPUTED_VALUE"""),4327.0)</f>
        <v>4327</v>
      </c>
      <c r="B2290" s="75" t="str">
        <f>IFERROR(__xludf.DUMMYFUNCTION("""COMPUTED_VALUE"""),"確定")</f>
        <v>確定</v>
      </c>
      <c r="C2290" s="68">
        <f>IFERROR(__xludf.DUMMYFUNCTION("""COMPUTED_VALUE"""),45580.0)</f>
        <v>45580</v>
      </c>
      <c r="D2290" s="68">
        <f>IFERROR(__xludf.DUMMYFUNCTION("""COMPUTED_VALUE"""),45580.0)</f>
        <v>45580</v>
      </c>
      <c r="E2290" s="60">
        <f>IFERROR(__xludf.DUMMYFUNCTION("""COMPUTED_VALUE"""),307169.0)</f>
        <v>307169</v>
      </c>
      <c r="F2290" s="60" t="str">
        <f>IFERROR(__xludf.DUMMYFUNCTION("""COMPUTED_VALUE"""),"35歳独身処女、失恋から始まる幸せセフレ性活")</f>
        <v>35歳独身処女、失恋から始まる幸せセフレ性活</v>
      </c>
      <c r="G2290" s="67" t="str">
        <f>IFERROR(__xludf.DUMMYFUNCTION("""COMPUTED_VALUE"""),"1～3")</f>
        <v>1～3</v>
      </c>
      <c r="H2290" s="75" t="str">
        <f>IFERROR(__xludf.DUMMYFUNCTION("""COMPUTED_VALUE"""),"抹茶ねじ")</f>
        <v>抹茶ねじ</v>
      </c>
      <c r="I2290" s="75" t="str">
        <f>IFERROR(__xludf.DUMMYFUNCTION("""COMPUTED_VALUE"""),"オトナ")</f>
        <v>オトナ</v>
      </c>
      <c r="J2290" s="75"/>
      <c r="K2290" s="75"/>
      <c r="L2290" s="75" t="str">
        <f>IFERROR(__xludf.DUMMYFUNCTION("""COMPUTED_VALUE"""),"FILL-IN")</f>
        <v>FILL-IN</v>
      </c>
      <c r="M2290" s="94">
        <f>IFERROR(__xludf.DUMMYFUNCTION("""COMPUTED_VALUE"""),45611.0)</f>
        <v>45611</v>
      </c>
      <c r="N2290" s="104">
        <f>IFERROR(__xludf.DUMMYFUNCTION("""COMPUTED_VALUE"""),45638.0)</f>
        <v>45638</v>
      </c>
      <c r="O2290" s="75"/>
      <c r="P2290" s="71" t="str">
        <f>IFERROR(__xludf.DUMMYFUNCTION("""COMPUTED_VALUE"""),"可")</f>
        <v>可</v>
      </c>
      <c r="Q2290" s="72"/>
      <c r="R2290" s="75"/>
      <c r="S2290" s="75" t="str">
        <f>IFERROR(__xludf.DUMMYFUNCTION("""COMPUTED_VALUE"""),"20241015_ライドオン_35歳独身処女、失恋から始まる幸せセフレ性活")</f>
        <v>20241015_ライドオン_35歳独身処女、失恋から始まる幸せセフレ性活</v>
      </c>
      <c r="T2290" s="75" t="str">
        <f>IFERROR(__xludf.DUMMYFUNCTION("""COMPUTED_VALUE"""),"格納済み")</f>
        <v>格納済み</v>
      </c>
      <c r="U2290" s="15" t="str">
        <f>IFERROR(__xludf.DUMMYFUNCTION("""COMPUTED_VALUE"""),"©抹茶ねじ/FILL-IN")</f>
        <v>©抹茶ねじ/FILL-IN</v>
      </c>
      <c r="V2290" s="8" t="str">
        <f>IFERROR(__xludf.DUMMYFUNCTION("""COMPUTED_VALUE"""),"「精〇出してっ！オマ〇コの中にいっぱい注いで気持ちよくなってっ…！」
つい最近まで処女だった彼女のナカに、大好きなセフレのアレが…！
――幼い頃から好きだった同い年のあの人が、別の女と結婚してしまった。
これ以上好きになる人なんてもう現れないと、35歳にして生涯独身を決意する華恵。
でも溢れる性欲が抑えられない！
ヤリモク男が溢れかえると言われているマッチングアプリで男を募り、何とか一人の男と初デートするところまで漕ぎつけるが、何と待ち合わせをすっぽかされて…
イライラしながらふと隣に目をやる"&amp;"と、初対面であろう女性にフラれている冴えない男。
年甲斐もなく泣いている彼の表情に不覚にもときめいてしまった華恵は彼をデートに誘い、なりゆきで迎えてしまったドキドキの初体験で…!?")</f>
        <v>「精〇出してっ！オマ〇コの中にいっぱい注いで気持ちよくなってっ…！」
つい最近まで処女だった彼女のナカに、大好きなセフレのアレが…！
――幼い頃から好きだった同い年のあの人が、別の女と結婚してしまった。
これ以上好きになる人なんてもう現れないと、35歳にして生涯独身を決意する華恵。
でも溢れる性欲が抑えられない！
ヤリモク男が溢れかえると言われているマッチングアプリで男を募り、何とか一人の男と初デートするところまで漕ぎつけるが、何と待ち合わせをすっぽかされて…
イライラしながらふと隣に目をやると、初対面であろう女性にフラれている冴えない男。
年甲斐もなく泣いている彼の表情に不覚にもときめいてしまった華恵は彼をデートに誘い、なりゆきで迎えてしまったドキドキの初体験で…!?</v>
      </c>
      <c r="W2290" s="14"/>
      <c r="X2290" s="14" t="str">
        <f>IFERROR(__xludf.DUMMYFUNCTION("""COMPUTED_VALUE"""),"有")</f>
        <v>有</v>
      </c>
      <c r="Y2290" s="8" t="str">
        <f>IFERROR(__xludf.DUMMYFUNCTION("""COMPUTED_VALUE"""),"P12まで")</f>
        <v>P12まで</v>
      </c>
      <c r="Z2290" s="7"/>
      <c r="AA2290" s="7"/>
      <c r="AB2290" s="7"/>
    </row>
    <row r="2291" ht="15.75" customHeight="1">
      <c r="A2291" s="66">
        <f>IFERROR(__xludf.DUMMYFUNCTION("""COMPUTED_VALUE"""),4328.0)</f>
        <v>4328</v>
      </c>
      <c r="B2291" s="75" t="str">
        <f>IFERROR(__xludf.DUMMYFUNCTION("""COMPUTED_VALUE"""),"確定")</f>
        <v>確定</v>
      </c>
      <c r="C2291" s="68">
        <f>IFERROR(__xludf.DUMMYFUNCTION("""COMPUTED_VALUE"""),45580.0)</f>
        <v>45580</v>
      </c>
      <c r="D2291" s="68">
        <f>IFERROR(__xludf.DUMMYFUNCTION("""COMPUTED_VALUE"""),45580.0)</f>
        <v>45580</v>
      </c>
      <c r="E2291" s="60">
        <f>IFERROR(__xludf.DUMMYFUNCTION("""COMPUTED_VALUE"""),306282.0)</f>
        <v>306282</v>
      </c>
      <c r="F2291" s="60" t="str">
        <f>IFERROR(__xludf.DUMMYFUNCTION("""COMPUTED_VALUE"""),"関西弁男友達とぐちゃとろマッサージ")</f>
        <v>関西弁男友達とぐちゃとろマッサージ</v>
      </c>
      <c r="G2291" s="67" t="str">
        <f>IFERROR(__xludf.DUMMYFUNCTION("""COMPUTED_VALUE"""),"1～2")</f>
        <v>1～2</v>
      </c>
      <c r="H2291" s="75" t="str">
        <f>IFERROR(__xludf.DUMMYFUNCTION("""COMPUTED_VALUE"""),"漫画：豆腐ピザ丸 原作：粗相")</f>
        <v>漫画：豆腐ピザ丸 原作：粗相</v>
      </c>
      <c r="I2291" s="75" t="str">
        <f>IFERROR(__xludf.DUMMYFUNCTION("""COMPUTED_VALUE"""),"TL")</f>
        <v>TL</v>
      </c>
      <c r="J2291" s="75"/>
      <c r="K2291" s="75"/>
      <c r="L2291" s="75" t="str">
        <f>IFERROR(__xludf.DUMMYFUNCTION("""COMPUTED_VALUE"""),"ブライト出版")</f>
        <v>ブライト出版</v>
      </c>
      <c r="M2291" s="94">
        <f>IFERROR(__xludf.DUMMYFUNCTION("""COMPUTED_VALUE"""),45611.0)</f>
        <v>45611</v>
      </c>
      <c r="N2291" s="59">
        <f>IFERROR(__xludf.DUMMYFUNCTION("""COMPUTED_VALUE"""),45716.0)</f>
        <v>45716</v>
      </c>
      <c r="O2291" s="75"/>
      <c r="P2291" s="80" t="str">
        <f>IFERROR(__xludf.DUMMYFUNCTION("""COMPUTED_VALUE"""),"可")</f>
        <v>可</v>
      </c>
      <c r="Q2291" s="72" t="str">
        <f>IFERROR(__xludf.DUMMYFUNCTION("""COMPUTED_VALUE"""),"がるまに作品の先行です&lt;BR&gt;※河上さん事前共有済&lt;BR&gt;通常版のフォルダをご使用ください")</f>
        <v>がるまに作品の先行です&lt;BR&gt;※河上さん事前共有済&lt;BR&gt;通常版のフォルダをご使用ください</v>
      </c>
      <c r="R2291" s="75"/>
      <c r="S2291" s="75" t="str">
        <f>IFERROR(__xludf.DUMMYFUNCTION("""COMPUTED_VALUE"""),"20241015_一晃社_関西弁男友達とぐちゃとろマッサージ")</f>
        <v>20241015_一晃社_関西弁男友達とぐちゃとろマッサージ</v>
      </c>
      <c r="T2291" s="75" t="str">
        <f>IFERROR(__xludf.DUMMYFUNCTION("""COMPUTED_VALUE"""),"格納済み")</f>
        <v>格納済み</v>
      </c>
      <c r="U2291" s="15" t="str">
        <f>IFERROR(__xludf.DUMMYFUNCTION("""COMPUTED_VALUE"""),"(C)豆腐ピザ丸・粗相／ブライト出版")</f>
        <v>(C)豆腐ピザ丸・粗相／ブライト出版</v>
      </c>
      <c r="V2291" s="8" t="str">
        <f>IFERROR(__xludf.DUMMYFUNCTION("""COMPUTED_VALUE"""),"「今からするのはマッサージじゃなくて、ただのセックスやから覚悟せぇよ」ブラック会社で働く伊藤奈緒は、毎日の残業続きで心も体もクタクタになっていた。ある日、そんな彼女を見かねた昔ながらの男友達・黒崎天佑から「マッサージしたろか?」と提案が。器用な指先でコリをほぐされ、体を癒され……ってあれ?いつの間にか手が際どいところに!?抵抗できないまま身体中を揉まれ、弾かれ、気がつけば敏感な場所がぐちゃぐちゃのとろとろに。実は昔からお互い恋心を抱えているものの、未だ打ち明けられていない2人。体とは裏腹に気持ちはすれ違い"&amp;"…。「ほんま素直やないなあ…お利口に言えるまでお前の好きなマッサージしたるわ」素直になれない関西男女のマッサージから始まるラブストーリー。※本作は豆腐ピザ丸・粗相による個人誌「関西弁男友達とぐちゃとろマッサージ」の電子書籍版です。同タイトルを加筆修正した内容となりますので、重複購入にお気をつけください")</f>
        <v>「今からするのはマッサージじゃなくて、ただのセックスやから覚悟せぇよ」ブラック会社で働く伊藤奈緒は、毎日の残業続きで心も体もクタクタになっていた。ある日、そんな彼女を見かねた昔ながらの男友達・黒崎天佑から「マッサージしたろか?」と提案が。器用な指先でコリをほぐされ、体を癒され……ってあれ?いつの間にか手が際どいところに!?抵抗できないまま身体中を揉まれ、弾かれ、気がつけば敏感な場所がぐちゃぐちゃのとろとろに。実は昔からお互い恋心を抱えているものの、未だ打ち明けられていない2人。体とは裏腹に気持ちはすれ違い…。「ほんま素直やないなあ…お利口に言えるまでお前の好きなマッサージしたるわ」素直になれない関西男女のマッサージから始まるラブストーリー。※本作は豆腐ピザ丸・粗相による個人誌「関西弁男友達とぐちゃとろマッサージ」の電子書籍版です。同タイトルを加筆修正した内容となりますので、重複購入にお気をつけください</v>
      </c>
      <c r="W2291" s="14"/>
      <c r="X2291" s="14" t="str">
        <f>IFERROR(__xludf.DUMMYFUNCTION("""COMPUTED_VALUE"""),"有")</f>
        <v>有</v>
      </c>
      <c r="Y2291" s="8" t="str">
        <f>IFERROR(__xludf.DUMMYFUNCTION("""COMPUTED_VALUE"""),"2025/2/28まで立ち読み増量P12まで")</f>
        <v>2025/2/28まで立ち読み増量P12まで</v>
      </c>
      <c r="Z2291" s="7"/>
      <c r="AA2291" s="7"/>
      <c r="AB2291" s="7"/>
    </row>
    <row r="2292" ht="15.75" customHeight="1">
      <c r="A2292" s="66">
        <f>IFERROR(__xludf.DUMMYFUNCTION("""COMPUTED_VALUE"""),4329.0)</f>
        <v>4329</v>
      </c>
      <c r="B2292" s="75" t="str">
        <f>IFERROR(__xludf.DUMMYFUNCTION("""COMPUTED_VALUE"""),"確定")</f>
        <v>確定</v>
      </c>
      <c r="C2292" s="68">
        <f>IFERROR(__xludf.DUMMYFUNCTION("""COMPUTED_VALUE"""),45580.0)</f>
        <v>45580</v>
      </c>
      <c r="D2292" s="68">
        <f>IFERROR(__xludf.DUMMYFUNCTION("""COMPUTED_VALUE"""),45580.0)</f>
        <v>45580</v>
      </c>
      <c r="E2292" s="60">
        <f>IFERROR(__xludf.DUMMYFUNCTION("""COMPUTED_VALUE"""),306513.0)</f>
        <v>306513</v>
      </c>
      <c r="F2292" s="60" t="str">
        <f>IFERROR(__xludf.DUMMYFUNCTION("""COMPUTED_VALUE"""),"関西弁男友達とぐちゃとろマッサージ【R18版】")</f>
        <v>関西弁男友達とぐちゃとろマッサージ【R18版】</v>
      </c>
      <c r="G2292" s="67" t="str">
        <f>IFERROR(__xludf.DUMMYFUNCTION("""COMPUTED_VALUE"""),"1～2")</f>
        <v>1～2</v>
      </c>
      <c r="H2292" s="75" t="str">
        <f>IFERROR(__xludf.DUMMYFUNCTION("""COMPUTED_VALUE"""),"漫画：豆腐ピザ丸 原作：粗相")</f>
        <v>漫画：豆腐ピザ丸 原作：粗相</v>
      </c>
      <c r="I2292" s="75" t="str">
        <f>IFERROR(__xludf.DUMMYFUNCTION("""COMPUTED_VALUE"""),"オトナ")</f>
        <v>オトナ</v>
      </c>
      <c r="J2292" s="75"/>
      <c r="K2292" s="75"/>
      <c r="L2292" s="75" t="str">
        <f>IFERROR(__xludf.DUMMYFUNCTION("""COMPUTED_VALUE"""),"ブライト出版")</f>
        <v>ブライト出版</v>
      </c>
      <c r="M2292" s="94">
        <f>IFERROR(__xludf.DUMMYFUNCTION("""COMPUTED_VALUE"""),45611.0)</f>
        <v>45611</v>
      </c>
      <c r="N2292" s="59">
        <f>IFERROR(__xludf.DUMMYFUNCTION("""COMPUTED_VALUE"""),45716.0)</f>
        <v>45716</v>
      </c>
      <c r="O2292" s="75"/>
      <c r="P2292" s="80" t="str">
        <f>IFERROR(__xludf.DUMMYFUNCTION("""COMPUTED_VALUE"""),"可")</f>
        <v>可</v>
      </c>
      <c r="Q2292" s="72" t="str">
        <f>IFERROR(__xludf.DUMMYFUNCTION("""COMPUTED_VALUE"""),"がるまに作品の先行です&lt;BR&gt;※河上さん事前共有済&lt;BR&gt;R版のフォルダをご使用ください")</f>
        <v>がるまに作品の先行です&lt;BR&gt;※河上さん事前共有済&lt;BR&gt;R版のフォルダをご使用ください</v>
      </c>
      <c r="R2292" s="75"/>
      <c r="S2292" s="75" t="str">
        <f>IFERROR(__xludf.DUMMYFUNCTION("""COMPUTED_VALUE"""),"20241015_一晃社_関西弁男友達とぐちゃとろマッサージ")</f>
        <v>20241015_一晃社_関西弁男友達とぐちゃとろマッサージ</v>
      </c>
      <c r="T2292" s="75" t="str">
        <f>IFERROR(__xludf.DUMMYFUNCTION("""COMPUTED_VALUE"""),"格納済み")</f>
        <v>格納済み</v>
      </c>
      <c r="U2292" s="15" t="str">
        <f>IFERROR(__xludf.DUMMYFUNCTION("""COMPUTED_VALUE"""),"(C)豆腐ピザ丸・粗相／ブライト出版")</f>
        <v>(C)豆腐ピザ丸・粗相／ブライト出版</v>
      </c>
      <c r="V2292" s="8" t="str">
        <f>IFERROR(__xludf.DUMMYFUNCTION("""COMPUTED_VALUE"""),"「今からするのはマッサージじゃなくて、ただのセックスやから覚悟せぇよ」ブラック会社で働く伊藤奈緒は、毎日の残業続きで心も体もクタクタになっていた。ある日、そんな彼女を見かねた昔ながらの男友達・黒崎天佑から「マッサージしたろか?」と提案が。器用な指先でコリをほぐされ、体を癒され……ってあれ?いつの間にか手が際どいところに!?抵抗できないまま身体中を揉まれ、弾かれ、気がつけば敏感な場所がぐちゃぐちゃのとろとろに。実は昔からお互い恋心を抱えているものの、未だ打ち明けられていない2人。体とは裏腹に気持ちはすれ違い"&amp;"…。「ほんま素直やないなあ…お利口に言えるまでお前の好きなマッサージしたるわ」素直になれない関西男女のマッサージから始まるラブストーリー。※本作は豆腐ピザ丸・粗相による個人誌「関西弁男友達とぐちゃとろマッサージ」の電子書籍版です。同タイトルを加筆修正した内容となりますので、重複購入にお気をつけください※本作は「【ラブチーク】関西弁男友達とぐちゃとろマッサージ」と同様の内容をR18バージョンで収録したものです")</f>
        <v>「今からするのはマッサージじゃなくて、ただのセックスやから覚悟せぇよ」ブラック会社で働く伊藤奈緒は、毎日の残業続きで心も体もクタクタになっていた。ある日、そんな彼女を見かねた昔ながらの男友達・黒崎天佑から「マッサージしたろか?」と提案が。器用な指先でコリをほぐされ、体を癒され……ってあれ?いつの間にか手が際どいところに!?抵抗できないまま身体中を揉まれ、弾かれ、気がつけば敏感な場所がぐちゃぐちゃのとろとろに。実は昔からお互い恋心を抱えているものの、未だ打ち明けられていない2人。体とは裏腹に気持ちはすれ違い…。「ほんま素直やないなあ…お利口に言えるまでお前の好きなマッサージしたるわ」素直になれない関西男女のマッサージから始まるラブストーリー。※本作は豆腐ピザ丸・粗相による個人誌「関西弁男友達とぐちゃとろマッサージ」の電子書籍版です。同タイトルを加筆修正した内容となりますので、重複購入にお気をつけください※本作は「【ラブチーク】関西弁男友達とぐちゃとろマッサージ」と同様の内容をR18バージョンで収録したものです</v>
      </c>
      <c r="W2292" s="14"/>
      <c r="X2292" s="14" t="str">
        <f>IFERROR(__xludf.DUMMYFUNCTION("""COMPUTED_VALUE"""),"有")</f>
        <v>有</v>
      </c>
      <c r="Y2292" s="8" t="str">
        <f>IFERROR(__xludf.DUMMYFUNCTION("""COMPUTED_VALUE"""),"2025/2/28まで立ち読み増量P12まで")</f>
        <v>2025/2/28まで立ち読み増量P12まで</v>
      </c>
      <c r="Z2292" s="7"/>
      <c r="AA2292" s="7"/>
      <c r="AB2292" s="7"/>
    </row>
    <row r="2293" ht="15.75" customHeight="1">
      <c r="A2293" s="76">
        <f>IFERROR(__xludf.DUMMYFUNCTION("""COMPUTED_VALUE"""),3805.0)</f>
        <v>3805</v>
      </c>
      <c r="B2293" s="108" t="str">
        <f>IFERROR(__xludf.DUMMYFUNCTION("""COMPUTED_VALUE"""),"確定")</f>
        <v>確定</v>
      </c>
      <c r="C2293" s="74">
        <f>IFERROR(__xludf.DUMMYFUNCTION("""COMPUTED_VALUE"""),45490.0)</f>
        <v>45490</v>
      </c>
      <c r="D2293" s="74">
        <f>IFERROR(__xludf.DUMMYFUNCTION("""COMPUTED_VALUE"""),45583.0)</f>
        <v>45583</v>
      </c>
      <c r="E2293" s="112">
        <f>IFERROR(__xludf.DUMMYFUNCTION("""COMPUTED_VALUE"""),306736.0)</f>
        <v>306736</v>
      </c>
      <c r="F2293" s="112" t="str">
        <f>IFERROR(__xludf.DUMMYFUNCTION("""COMPUTED_VALUE"""),"今日から使える異世界恋愛マニュアル")</f>
        <v>今日から使える異世界恋愛マニュアル</v>
      </c>
      <c r="G2293" s="69" t="str">
        <f>IFERROR(__xludf.DUMMYFUNCTION("""COMPUTED_VALUE"""),"1～3")</f>
        <v>1～3</v>
      </c>
      <c r="H2293" s="108" t="str">
        <f>IFERROR(__xludf.DUMMYFUNCTION("""COMPUTED_VALUE"""),"原作：マサイ 作画：黒須")</f>
        <v>原作：マサイ 作画：黒須</v>
      </c>
      <c r="I2293" s="108" t="str">
        <f>IFERROR(__xludf.DUMMYFUNCTION("""COMPUTED_VALUE"""),"青年")</f>
        <v>青年</v>
      </c>
      <c r="J2293" s="108"/>
      <c r="K2293" s="108"/>
      <c r="L2293" s="108" t="str">
        <f>IFERROR(__xludf.DUMMYFUNCTION("""COMPUTED_VALUE"""),"CLLENN")</f>
        <v>CLLENN</v>
      </c>
      <c r="M2293" s="115">
        <f>IFERROR(__xludf.DUMMYFUNCTION("""COMPUTED_VALUE"""),45621.0)</f>
        <v>45621</v>
      </c>
      <c r="N2293" s="59">
        <f>IFERROR(__xludf.DUMMYFUNCTION("""COMPUTED_VALUE"""),45682.0)</f>
        <v>45682</v>
      </c>
      <c r="O2293" s="108"/>
      <c r="P2293" s="110" t="str">
        <f>IFERROR(__xludf.DUMMYFUNCTION("""COMPUTED_VALUE"""),"可")</f>
        <v>可</v>
      </c>
      <c r="Q2293" s="108" t="str">
        <f>IFERROR(__xludf.DUMMYFUNCTION("""COMPUTED_VALUE"""),"レーベル名：GG-COMICS")</f>
        <v>レーベル名：GG-COMICS</v>
      </c>
      <c r="R2293" s="108" t="str">
        <f>IFERROR(__xludf.DUMMYFUNCTION("""COMPUTED_VALUE"""),"広告コミットOK(7/19)")</f>
        <v>広告コミットOK(7/19)</v>
      </c>
      <c r="S2293" s="108" t="str">
        <f>IFERROR(__xludf.DUMMYFUNCTION("""COMPUTED_VALUE"""),"20241017_CLLENN_今日から使える異世界恋愛マニュアル")</f>
        <v>20241017_CLLENN_今日から使える異世界恋愛マニュアル</v>
      </c>
      <c r="T2293" s="108" t="str">
        <f>IFERROR(__xludf.DUMMYFUNCTION("""COMPUTED_VALUE"""),"格納済み")</f>
        <v>格納済み</v>
      </c>
      <c r="U2293" s="15" t="str">
        <f>IFERROR(__xludf.DUMMYFUNCTION("""COMPUTED_VALUE"""),"©マサイ・黒須／CLLENN")</f>
        <v>©マサイ・黒須／CLLENN</v>
      </c>
      <c r="V2293" s="8" t="str">
        <f>IFERROR(__xludf.DUMMYFUNCTION("""COMPUTED_VALUE"""),"「好きです。僕と付き合ってください――。」主人公・伊勢崎春親（イセザキハルチカ）は、初恋の相手への告白の最中、異世界へと召喚されてしまう。召喚者は女神・クレモンティーヌ。彼女がハルチカに課したのは、魔王の呪いによって恋心を失ってしまった、次代の勇者パーティーの母となる7人の少女達を恋に落とすこと…！つまり、彼女たちを惚れさせることであった！！現実世界に戻り、告白の返事を聞くため、その使命を引き受けたハルチカ。初恋を実らせるため、あらゆる心理学を学び、恋愛マスターになった男による、異世界救済の恋物語が今始ま"&amp;"る――！！")</f>
        <v>「好きです。僕と付き合ってください――。」主人公・伊勢崎春親（イセザキハルチカ）は、初恋の相手への告白の最中、異世界へと召喚されてしまう。召喚者は女神・クレモンティーヌ。彼女がハルチカに課したのは、魔王の呪いによって恋心を失ってしまった、次代の勇者パーティーの母となる7人の少女達を恋に落とすこと…！つまり、彼女たちを惚れさせることであった！！現実世界に戻り、告白の返事を聞くため、その使命を引き受けたハルチカ。初恋を実らせるため、あらゆる心理学を学び、恋愛マスターになった男による、異世界救済の恋物語が今始まる――！！</v>
      </c>
      <c r="W2293" s="14"/>
      <c r="X2293" s="14" t="str">
        <f>IFERROR(__xludf.DUMMYFUNCTION("""COMPUTED_VALUE"""),"有")</f>
        <v>有</v>
      </c>
      <c r="Y2293" s="8" t="str">
        <f>IFERROR(__xludf.DUMMYFUNCTION("""COMPUTED_VALUE"""),"2024/12/8まで1巻無料")</f>
        <v>2024/12/8まで1巻無料</v>
      </c>
      <c r="Z2293" s="7"/>
      <c r="AA2293" s="7"/>
      <c r="AB2293" s="7"/>
    </row>
    <row r="2294" ht="15.75" customHeight="1">
      <c r="A2294" s="76">
        <f>IFERROR(__xludf.DUMMYFUNCTION("""COMPUTED_VALUE"""),4096.0)</f>
        <v>4096</v>
      </c>
      <c r="B2294" s="108" t="str">
        <f>IFERROR(__xludf.DUMMYFUNCTION("""COMPUTED_VALUE"""),"確定")</f>
        <v>確定</v>
      </c>
      <c r="C2294" s="74">
        <f>IFERROR(__xludf.DUMMYFUNCTION("""COMPUTED_VALUE"""),45540.0)</f>
        <v>45540</v>
      </c>
      <c r="D2294" s="74">
        <f>IFERROR(__xludf.DUMMYFUNCTION("""COMPUTED_VALUE"""),45583.0)</f>
        <v>45583</v>
      </c>
      <c r="E2294" s="112">
        <f>IFERROR(__xludf.DUMMYFUNCTION("""COMPUTED_VALUE"""),307493.0)</f>
        <v>307493</v>
      </c>
      <c r="F2294" s="112" t="str">
        <f>IFERROR(__xludf.DUMMYFUNCTION("""COMPUTED_VALUE"""),"よくばりだけど純情なので")</f>
        <v>よくばりだけど純情なので</v>
      </c>
      <c r="G2294" s="69" t="str">
        <f>IFERROR(__xludf.DUMMYFUNCTION("""COMPUTED_VALUE"""),"1～2")</f>
        <v>1～2</v>
      </c>
      <c r="H2294" s="108" t="str">
        <f>IFERROR(__xludf.DUMMYFUNCTION("""COMPUTED_VALUE"""),"奏井カナ")</f>
        <v>奏井カナ</v>
      </c>
      <c r="I2294" s="108" t="str">
        <f>IFERROR(__xludf.DUMMYFUNCTION("""COMPUTED_VALUE"""),"BL")</f>
        <v>BL</v>
      </c>
      <c r="J2294" s="108"/>
      <c r="K2294" s="108"/>
      <c r="L2294" s="108" t="str">
        <f>IFERROR(__xludf.DUMMYFUNCTION("""COMPUTED_VALUE"""),"CLLENN")</f>
        <v>CLLENN</v>
      </c>
      <c r="M2294" s="115">
        <f>IFERROR(__xludf.DUMMYFUNCTION("""COMPUTED_VALUE"""),45610.0)</f>
        <v>45610</v>
      </c>
      <c r="N2294" s="59">
        <f>IFERROR(__xludf.DUMMYFUNCTION("""COMPUTED_VALUE"""),45672.0)</f>
        <v>45672</v>
      </c>
      <c r="O2294" s="108"/>
      <c r="P2294" s="110" t="str">
        <f>IFERROR(__xludf.DUMMYFUNCTION("""COMPUTED_VALUE"""),"可")</f>
        <v>可</v>
      </c>
      <c r="Q2294" s="108" t="str">
        <f>IFERROR(__xludf.DUMMYFUNCTION("""COMPUTED_VALUE"""),"レーベル名：NuPu")</f>
        <v>レーベル名：NuPu</v>
      </c>
      <c r="R2294" s="108" t="str">
        <f>IFERROR(__xludf.DUMMYFUNCTION("""COMPUTED_VALUE"""),"広告コミットOK（9/10）")</f>
        <v>広告コミットOK（9/10）</v>
      </c>
      <c r="S2294" s="108" t="str">
        <f>IFERROR(__xludf.DUMMYFUNCTION("""COMPUTED_VALUE"""),"20241017_CLLENN_よくばりだけど純情なので")</f>
        <v>20241017_CLLENN_よくばりだけど純情なので</v>
      </c>
      <c r="T2294" s="108" t="str">
        <f>IFERROR(__xludf.DUMMYFUNCTION("""COMPUTED_VALUE"""),"格納済み")</f>
        <v>格納済み</v>
      </c>
      <c r="U2294" s="15" t="str">
        <f>IFERROR(__xludf.DUMMYFUNCTION("""COMPUTED_VALUE"""),"©奏井カナ/CLLENN")</f>
        <v>©奏井カナ/CLLENN</v>
      </c>
      <c r="V2294" s="8" t="str">
        <f>IFERROR(__xludf.DUMMYFUNCTION("""COMPUTED_VALUE"""),"「コレ、欲しかったんでしょう」…て、ナニ！？　夢の中でエッチした相手が、後ろから耳元で囁いて…これってもしかして正夢！！？ゲイの山岡 千隼(やまおか ちはや)は、田舎で猫と一緒に暮らしていたある日、隣家の解体工事現場で働くイケメン作業員・安藤 大河(あんどう たいが)と出会う。好みのタイプの大河のことが気になる千隼は、彼に抱かれる夢まで見てしまい――…。甘い囁きやとろとろにさせられるキス、強引だけど優しい愛撫。目が覚めたあと、そんなリアルでいやらしい夢に戸惑う千隼だったけど、まさかの大河が自宅にやってきて"&amp;"、夢の通りに急接近し…！？ガテン系年下イケメン×恋に臆病なゲイの、猫がきっかけで始まるハートフル・ラブ。")</f>
        <v>「コレ、欲しかったんでしょう」…て、ナニ！？　夢の中でエッチした相手が、後ろから耳元で囁いて…これってもしかして正夢！！？ゲイの山岡 千隼(やまおか ちはや)は、田舎で猫と一緒に暮らしていたある日、隣家の解体工事現場で働くイケメン作業員・安藤 大河(あんどう たいが)と出会う。好みのタイプの大河のことが気になる千隼は、彼に抱かれる夢まで見てしまい――…。甘い囁きやとろとろにさせられるキス、強引だけど優しい愛撫。目が覚めたあと、そんなリアルでいやらしい夢に戸惑う千隼だったけど、まさかの大河が自宅にやってきて、夢の通りに急接近し…！？ガテン系年下イケメン×恋に臆病なゲイの、猫がきっかけで始まるハートフル・ラブ。</v>
      </c>
      <c r="W2294" s="14"/>
      <c r="X2294" s="14" t="str">
        <f>IFERROR(__xludf.DUMMYFUNCTION("""COMPUTED_VALUE"""),"有")</f>
        <v>有</v>
      </c>
      <c r="Y2294" s="8" t="str">
        <f>IFERROR(__xludf.DUMMYFUNCTION("""COMPUTED_VALUE"""),"P10まで")</f>
        <v>P10まで</v>
      </c>
      <c r="Z2294" s="7"/>
      <c r="AA2294" s="7"/>
      <c r="AB2294" s="7"/>
    </row>
    <row r="2295" ht="15.75" customHeight="1">
      <c r="A2295" s="76">
        <f>IFERROR(__xludf.DUMMYFUNCTION("""COMPUTED_VALUE"""),4171.0)</f>
        <v>4171</v>
      </c>
      <c r="B2295" s="108" t="str">
        <f>IFERROR(__xludf.DUMMYFUNCTION("""COMPUTED_VALUE"""),"確定")</f>
        <v>確定</v>
      </c>
      <c r="C2295" s="74">
        <f>IFERROR(__xludf.DUMMYFUNCTION("""COMPUTED_VALUE"""),45555.0)</f>
        <v>45555</v>
      </c>
      <c r="D2295" s="74">
        <f>IFERROR(__xludf.DUMMYFUNCTION("""COMPUTED_VALUE"""),45583.0)</f>
        <v>45583</v>
      </c>
      <c r="E2295" s="112">
        <f>IFERROR(__xludf.DUMMYFUNCTION("""COMPUTED_VALUE"""),307489.0)</f>
        <v>307489</v>
      </c>
      <c r="F2295" s="112" t="str">
        <f>IFERROR(__xludf.DUMMYFUNCTION("""COMPUTED_VALUE"""),"婚前交渉いたしません！")</f>
        <v>婚前交渉いたしません！</v>
      </c>
      <c r="G2295" s="69" t="str">
        <f>IFERROR(__xludf.DUMMYFUNCTION("""COMPUTED_VALUE"""),"1～2")</f>
        <v>1～2</v>
      </c>
      <c r="H2295" s="108" t="str">
        <f>IFERROR(__xludf.DUMMYFUNCTION("""COMPUTED_VALUE"""),"寿江島ぽん")</f>
        <v>寿江島ぽん</v>
      </c>
      <c r="I2295" s="108" t="str">
        <f>IFERROR(__xludf.DUMMYFUNCTION("""COMPUTED_VALUE"""),"BL")</f>
        <v>BL</v>
      </c>
      <c r="J2295" s="108"/>
      <c r="K2295" s="108"/>
      <c r="L2295" s="108" t="str">
        <f>IFERROR(__xludf.DUMMYFUNCTION("""COMPUTED_VALUE"""),"CLLENN")</f>
        <v>CLLENN</v>
      </c>
      <c r="M2295" s="115">
        <f>IFERROR(__xludf.DUMMYFUNCTION("""COMPUTED_VALUE"""),45617.0)</f>
        <v>45617</v>
      </c>
      <c r="N2295" s="59">
        <f>IFERROR(__xludf.DUMMYFUNCTION("""COMPUTED_VALUE"""),45679.0)</f>
        <v>45679</v>
      </c>
      <c r="O2295" s="108"/>
      <c r="P2295" s="110" t="str">
        <f>IFERROR(__xludf.DUMMYFUNCTION("""COMPUTED_VALUE"""),"可")</f>
        <v>可</v>
      </c>
      <c r="Q2295" s="108" t="str">
        <f>IFERROR(__xludf.DUMMYFUNCTION("""COMPUTED_VALUE"""),"レーベル名：NuPu&lt;BR&gt;一途な童貞主人公×チャラ男のラブストーリです。新人作家ですが絵柄がきれいだったり、キャラ設定が魅力的な作品です。")</f>
        <v>レーベル名：NuPu&lt;BR&gt;一途な童貞主人公×チャラ男のラブストーリです。新人作家ですが絵柄がきれいだったり、キャラ設定が魅力的な作品です。</v>
      </c>
      <c r="R2295" s="108" t="str">
        <f>IFERROR(__xludf.DUMMYFUNCTION("""COMPUTED_VALUE"""),"広告コミットOK（9/25）")</f>
        <v>広告コミットOK（9/25）</v>
      </c>
      <c r="S2295" s="108" t="str">
        <f>IFERROR(__xludf.DUMMYFUNCTION("""COMPUTED_VALUE"""),"20241017_CLLENN_婚前交渉いたしません！")</f>
        <v>20241017_CLLENN_婚前交渉いたしません！</v>
      </c>
      <c r="T2295" s="108" t="str">
        <f>IFERROR(__xludf.DUMMYFUNCTION("""COMPUTED_VALUE"""),"格納済み")</f>
        <v>格納済み</v>
      </c>
      <c r="U2295" s="15" t="str">
        <f>IFERROR(__xludf.DUMMYFUNCTION("""COMPUTED_VALUE"""),"©寿江島ぽん/CLLENN")</f>
        <v>©寿江島ぽん/CLLENN</v>
      </c>
      <c r="V2295" s="8" t="str">
        <f>IFERROR(__xludf.DUMMYFUNCTION("""COMPUTED_VALUE"""),"「お前の童貞、奪っちゃおうかな」純潔ボーイ×誘い受けゆるビッチの、もだキュン同室生活スタート！たった一人の愛する人に身も心もすべて捧げる…そんな恋愛を夢見る大学生・松田純太は、ある日学内でも有名なイケメン王子・浅香悠真をストーカーから助けた――はずが、浅香にズボンを脱がされてそのまま咥えられ、イかされてしまう！そんな事件の直後、松田の暮らす学生寮に浅香も引っ越してきて２人は同室に…。逃げ場のない部屋、なぜか迫ってくる浅香。キラキラ王子の裏の顔に翻弄されっぱなしの松田は童貞を守りきれるのか――「男同士はノー"&amp;"カンってことで」って、そんなワケあるか！！")</f>
        <v>「お前の童貞、奪っちゃおうかな」純潔ボーイ×誘い受けゆるビッチの、もだキュン同室生活スタート！たった一人の愛する人に身も心もすべて捧げる…そんな恋愛を夢見る大学生・松田純太は、ある日学内でも有名なイケメン王子・浅香悠真をストーカーから助けた――はずが、浅香にズボンを脱がされてそのまま咥えられ、イかされてしまう！そんな事件の直後、松田の暮らす学生寮に浅香も引っ越してきて２人は同室に…。逃げ場のない部屋、なぜか迫ってくる浅香。キラキラ王子の裏の顔に翻弄されっぱなしの松田は童貞を守りきれるのか――「男同士はノーカンってことで」って、そんなワケあるか！！</v>
      </c>
      <c r="W2295" s="14"/>
      <c r="X2295" s="14" t="str">
        <f>IFERROR(__xludf.DUMMYFUNCTION("""COMPUTED_VALUE"""),"有")</f>
        <v>有</v>
      </c>
      <c r="Y2295" s="8" t="str">
        <f>IFERROR(__xludf.DUMMYFUNCTION("""COMPUTED_VALUE"""),"2024/12/4まで立ち読み増量P17まで")</f>
        <v>2024/12/4まで立ち読み増量P17まで</v>
      </c>
      <c r="Z2295" s="7"/>
      <c r="AA2295" s="7"/>
      <c r="AB2295" s="7"/>
    </row>
    <row r="2296" ht="15.75" customHeight="1">
      <c r="A2296" s="76">
        <f>IFERROR(__xludf.DUMMYFUNCTION("""COMPUTED_VALUE"""),4172.0)</f>
        <v>4172</v>
      </c>
      <c r="B2296" s="108" t="str">
        <f>IFERROR(__xludf.DUMMYFUNCTION("""COMPUTED_VALUE"""),"確定")</f>
        <v>確定</v>
      </c>
      <c r="C2296" s="74">
        <f>IFERROR(__xludf.DUMMYFUNCTION("""COMPUTED_VALUE"""),45555.0)</f>
        <v>45555</v>
      </c>
      <c r="D2296" s="74">
        <f>IFERROR(__xludf.DUMMYFUNCTION("""COMPUTED_VALUE"""),45587.0)</f>
        <v>45587</v>
      </c>
      <c r="E2296" s="112">
        <f>IFERROR(__xludf.DUMMYFUNCTION("""COMPUTED_VALUE"""),307491.0)</f>
        <v>307491</v>
      </c>
      <c r="F2296" s="112" t="str">
        <f>IFERROR(__xludf.DUMMYFUNCTION("""COMPUTED_VALUE"""),"カットくらいじゃ止められない")</f>
        <v>カットくらいじゃ止められない</v>
      </c>
      <c r="G2296" s="69" t="str">
        <f>IFERROR(__xludf.DUMMYFUNCTION("""COMPUTED_VALUE"""),"1～2")</f>
        <v>1～2</v>
      </c>
      <c r="H2296" s="108" t="str">
        <f>IFERROR(__xludf.DUMMYFUNCTION("""COMPUTED_VALUE"""),"陽葵ありん")</f>
        <v>陽葵ありん</v>
      </c>
      <c r="I2296" s="108" t="str">
        <f>IFERROR(__xludf.DUMMYFUNCTION("""COMPUTED_VALUE"""),"BL")</f>
        <v>BL</v>
      </c>
      <c r="J2296" s="108"/>
      <c r="K2296" s="108"/>
      <c r="L2296" s="108" t="str">
        <f>IFERROR(__xludf.DUMMYFUNCTION("""COMPUTED_VALUE"""),"CLLENN")</f>
        <v>CLLENN</v>
      </c>
      <c r="M2296" s="115">
        <f>IFERROR(__xludf.DUMMYFUNCTION("""COMPUTED_VALUE"""),45615.0)</f>
        <v>45615</v>
      </c>
      <c r="N2296" s="59">
        <f>IFERROR(__xludf.DUMMYFUNCTION("""COMPUTED_VALUE"""),45677.0)</f>
        <v>45677</v>
      </c>
      <c r="O2296" s="108"/>
      <c r="P2296" s="110" t="str">
        <f>IFERROR(__xludf.DUMMYFUNCTION("""COMPUTED_VALUE"""),"可")</f>
        <v>可</v>
      </c>
      <c r="Q2296" s="108" t="str">
        <f>IFERROR(__xludf.DUMMYFUNCTION("""COMPUTED_VALUE"""),"レーベル名：MooiComics&lt;BR&gt;過去作品のドラマ作品がちょうど2024年10月から配信開始になる作家先生の新作です。&lt;BR&gt;人気俳優×ゴリゴリマネージャーのラブストーリーです。")</f>
        <v>レーベル名：MooiComics&lt;BR&gt;過去作品のドラマ作品がちょうど2024年10月から配信開始になる作家先生の新作です。&lt;BR&gt;人気俳優×ゴリゴリマネージャーのラブストーリーです。</v>
      </c>
      <c r="R2296" s="108" t="str">
        <f>IFERROR(__xludf.DUMMYFUNCTION("""COMPUTED_VALUE"""),"広告コミットOK（9/25）")</f>
        <v>広告コミットOK（9/25）</v>
      </c>
      <c r="S2296" s="108" t="str">
        <f>IFERROR(__xludf.DUMMYFUNCTION("""COMPUTED_VALUE"""),"20241021_CLLENN_カットくらいじゃ止められない")</f>
        <v>20241021_CLLENN_カットくらいじゃ止められない</v>
      </c>
      <c r="T2296" s="108" t="str">
        <f>IFERROR(__xludf.DUMMYFUNCTION("""COMPUTED_VALUE"""),"格納済み")</f>
        <v>格納済み</v>
      </c>
      <c r="U2296" s="15" t="str">
        <f>IFERROR(__xludf.DUMMYFUNCTION("""COMPUTED_VALUE"""),"©陽葵ありん/CLLENN")</f>
        <v>©陽葵ありん/CLLENN</v>
      </c>
      <c r="V2296" s="8" t="str">
        <f>IFERROR(__xludf.DUMMYFUNCTION("""COMPUTED_VALUE"""),"『嘘だろ…こいつ相手にこんなに勃つなんてッ』今をときめくイケメン清純派俳優の侑里＜ゆうり＞。だが、実は「スタッフへの挨拶は無し！」「言うこと聞かない！」「激しい夜遊び！」なワガママ俳優だった。そんな彼に頭を抱える事務所の社長が、ある日新しいマネージャー・真壁＜まかべ＞を連れてくる。これまでのマネージャーと違い厳しい真壁にイラつく侑里は、夜遊びでのストレス発散の代わりとして「お前がセックスで満足させてくれんの？」とふっかける。これで少しはおとなしくなるかと思いきや 「それで夜遊びしなくなるなら、何回だって抱"&amp;"いてやるよ」と言われてしまい… 。イライラもドキドキも止まらないッ―――……!?!?【シゴ出来カタブツマネージャー×生意気売れっ子俳優】の素直になれない芸能ラブバトル！")</f>
        <v>『嘘だろ…こいつ相手にこんなに勃つなんてッ』今をときめくイケメン清純派俳優の侑里＜ゆうり＞。だが、実は「スタッフへの挨拶は無し！」「言うこと聞かない！」「激しい夜遊び！」なワガママ俳優だった。そんな彼に頭を抱える事務所の社長が、ある日新しいマネージャー・真壁＜まかべ＞を連れてくる。これまでのマネージャーと違い厳しい真壁にイラつく侑里は、夜遊びでのストレス発散の代わりとして「お前がセックスで満足させてくれんの？」とふっかける。これで少しはおとなしくなるかと思いきや 「それで夜遊びしなくなるなら、何回だって抱いてやるよ」と言われてしまい… 。イライラもドキドキも止まらないッ―――……!?!?【シゴ出来カタブツマネージャー×生意気売れっ子俳優】の素直になれない芸能ラブバトル！</v>
      </c>
      <c r="W2296" s="14"/>
      <c r="X2296" s="14" t="str">
        <f>IFERROR(__xludf.DUMMYFUNCTION("""COMPUTED_VALUE"""),"有")</f>
        <v>有</v>
      </c>
      <c r="Y2296" s="8" t="str">
        <f>IFERROR(__xludf.DUMMYFUNCTION("""COMPUTED_VALUE"""),"2024/12/2まで立ち読み増量P19まで")</f>
        <v>2024/12/2まで立ち読み増量P19まで</v>
      </c>
      <c r="Z2296" s="7"/>
      <c r="AA2296" s="7"/>
      <c r="AB2296" s="7"/>
    </row>
    <row r="2297" ht="15.75" customHeight="1">
      <c r="A2297" s="76">
        <f>IFERROR(__xludf.DUMMYFUNCTION("""COMPUTED_VALUE"""),4192.0)</f>
        <v>4192</v>
      </c>
      <c r="B2297" s="108" t="str">
        <f>IFERROR(__xludf.DUMMYFUNCTION("""COMPUTED_VALUE"""),"確定")</f>
        <v>確定</v>
      </c>
      <c r="C2297" s="74">
        <f>IFERROR(__xludf.DUMMYFUNCTION("""COMPUTED_VALUE"""),45562.0)</f>
        <v>45562</v>
      </c>
      <c r="D2297" s="74">
        <f>IFERROR(__xludf.DUMMYFUNCTION("""COMPUTED_VALUE"""),45583.0)</f>
        <v>45583</v>
      </c>
      <c r="E2297" s="112">
        <f>IFERROR(__xludf.DUMMYFUNCTION("""COMPUTED_VALUE"""),306526.0)</f>
        <v>306526</v>
      </c>
      <c r="F2297" s="112" t="str">
        <f>IFERROR(__xludf.DUMMYFUNCTION("""COMPUTED_VALUE"""),"「○○しないと出られない部屋」の管理人になりました")</f>
        <v>「○○しないと出られない部屋」の管理人になりました</v>
      </c>
      <c r="G2297" s="69" t="str">
        <f>IFERROR(__xludf.DUMMYFUNCTION("""COMPUTED_VALUE"""),"1～3")</f>
        <v>1～3</v>
      </c>
      <c r="H2297" s="108" t="str">
        <f>IFERROR(__xludf.DUMMYFUNCTION("""COMPUTED_VALUE"""),"民")</f>
        <v>民</v>
      </c>
      <c r="I2297" s="108" t="str">
        <f>IFERROR(__xludf.DUMMYFUNCTION("""COMPUTED_VALUE"""),"BL")</f>
        <v>BL</v>
      </c>
      <c r="J2297" s="108"/>
      <c r="K2297" s="108"/>
      <c r="L2297" s="108" t="str">
        <f>IFERROR(__xludf.DUMMYFUNCTION("""COMPUTED_VALUE"""),"フランス書院")</f>
        <v>フランス書院</v>
      </c>
      <c r="M2297" s="115">
        <f>IFERROR(__xludf.DUMMYFUNCTION("""COMPUTED_VALUE"""),45611.0)</f>
        <v>45611</v>
      </c>
      <c r="N2297" s="59">
        <f>IFERROR(__xludf.DUMMYFUNCTION("""COMPUTED_VALUE"""),45708.0)</f>
        <v>45708</v>
      </c>
      <c r="O2297" s="108"/>
      <c r="P2297" s="110" t="str">
        <f>IFERROR(__xludf.DUMMYFUNCTION("""COMPUTED_VALUE"""),"可")</f>
        <v>可</v>
      </c>
      <c r="Q2297" s="108" t="str">
        <f>IFERROR(__xludf.DUMMYFUNCTION("""COMPUTED_VALUE"""),"【注意】出版社からの追記ルールと外部出稿NGタイトルの「プランタン出版」様のルールを参照")</f>
        <v>【注意】出版社からの追記ルールと外部出稿NGタイトルの「プランタン出版」様のルールを参照</v>
      </c>
      <c r="R2297" s="108" t="str">
        <f>IFERROR(__xludf.DUMMYFUNCTION("""COMPUTED_VALUE"""),"広告コミットOK（10/1）")</f>
        <v>広告コミットOK（10/1）</v>
      </c>
      <c r="S2297" s="108" t="str">
        <f>IFERROR(__xludf.DUMMYFUNCTION("""COMPUTED_VALUE"""),"20241016_フランス書院_「○○しないと出られない部屋」の管理人になりました")</f>
        <v>20241016_フランス書院_「○○しないと出られない部屋」の管理人になりました</v>
      </c>
      <c r="T2297" s="108" t="str">
        <f>IFERROR(__xludf.DUMMYFUNCTION("""COMPUTED_VALUE"""),"格納済み")</f>
        <v>格納済み</v>
      </c>
      <c r="U2297" s="15" t="str">
        <f>IFERROR(__xludf.DUMMYFUNCTION("""COMPUTED_VALUE"""),"©民/プランタン出版")</f>
        <v>©民/プランタン出版</v>
      </c>
      <c r="V2297" s="8" t="str">
        <f>IFERROR(__xludf.DUMMYFUNCTION("""COMPUTED_VALUE"""),"ブラックどころか、ピンクな職場かよ
片想い中の上司・泉さんとふたりきり、日々悶々としながらモニターを監視する茨田。（オレも泉さんと○○しないと出られない部屋に入れたらなぁ……）って妄想してたら、本当に閉じ込められた!?　しかも怪しげな二人組に脅迫されて!?")</f>
        <v>ブラックどころか、ピンクな職場かよ
片想い中の上司・泉さんとふたりきり、日々悶々としながらモニターを監視する茨田。（オレも泉さんと○○しないと出られない部屋に入れたらなぁ……）って妄想してたら、本当に閉じ込められた!?　しかも怪しげな二人組に脅迫されて!?</v>
      </c>
      <c r="W2297" s="14"/>
      <c r="X2297" s="14" t="str">
        <f>IFERROR(__xludf.DUMMYFUNCTION("""COMPUTED_VALUE"""),"有")</f>
        <v>有</v>
      </c>
      <c r="Y2297" s="8" t="str">
        <f>IFERROR(__xludf.DUMMYFUNCTION("""COMPUTED_VALUE"""),"2025/2/20まで1巻無料")</f>
        <v>2025/2/20まで1巻無料</v>
      </c>
      <c r="Z2297" s="7"/>
      <c r="AA2297" s="7"/>
      <c r="AB2297" s="7"/>
    </row>
    <row r="2298" ht="15.75" customHeight="1">
      <c r="A2298" s="76">
        <f>IFERROR(__xludf.DUMMYFUNCTION("""COMPUTED_VALUE"""),4248.0)</f>
        <v>4248</v>
      </c>
      <c r="B2298" s="108" t="str">
        <f>IFERROR(__xludf.DUMMYFUNCTION("""COMPUTED_VALUE"""),"確定")</f>
        <v>確定</v>
      </c>
      <c r="C2298" s="74">
        <f>IFERROR(__xludf.DUMMYFUNCTION("""COMPUTED_VALUE"""),45569.0)</f>
        <v>45569</v>
      </c>
      <c r="D2298" s="74">
        <f>IFERROR(__xludf.DUMMYFUNCTION("""COMPUTED_VALUE"""),45588.0)</f>
        <v>45588</v>
      </c>
      <c r="E2298" s="112">
        <f>IFERROR(__xludf.DUMMYFUNCTION("""COMPUTED_VALUE"""),309887.0)</f>
        <v>309887</v>
      </c>
      <c r="F2298" s="112" t="str">
        <f>IFERROR(__xludf.DUMMYFUNCTION("""COMPUTED_VALUE"""),"推し配達員が都合が良すぎる！【単話版】")</f>
        <v>推し配達員が都合が良すぎる！【単話版】</v>
      </c>
      <c r="G2298" s="69" t="str">
        <f>IFERROR(__xludf.DUMMYFUNCTION("""COMPUTED_VALUE"""),"1～2")</f>
        <v>1～2</v>
      </c>
      <c r="H2298" s="108" t="str">
        <f>IFERROR(__xludf.DUMMYFUNCTION("""COMPUTED_VALUE"""),"魚屋ウオ")</f>
        <v>魚屋ウオ</v>
      </c>
      <c r="I2298" s="108" t="str">
        <f>IFERROR(__xludf.DUMMYFUNCTION("""COMPUTED_VALUE"""),"BL")</f>
        <v>BL</v>
      </c>
      <c r="J2298" s="108"/>
      <c r="K2298" s="108"/>
      <c r="L2298" s="108" t="str">
        <f>IFERROR(__xludf.DUMMYFUNCTION("""COMPUTED_VALUE"""),"マイクロマガジン社")</f>
        <v>マイクロマガジン社</v>
      </c>
      <c r="M2298" s="23">
        <f>IFERROR(__xludf.DUMMYFUNCTION("""COMPUTED_VALUE"""),45628.0)</f>
        <v>45628</v>
      </c>
      <c r="N2298" s="47">
        <f>IFERROR(__xludf.DUMMYFUNCTION("""COMPUTED_VALUE"""),45687.0)</f>
        <v>45687</v>
      </c>
      <c r="O2298" s="108"/>
      <c r="P2298" s="114" t="str">
        <f>IFERROR(__xludf.DUMMYFUNCTION("""COMPUTED_VALUE"""),"可")</f>
        <v>可</v>
      </c>
      <c r="Q2298" s="108"/>
      <c r="R2298" s="108" t="str">
        <f>IFERROR(__xludf.DUMMYFUNCTION("""COMPUTED_VALUE"""),"広告コミットOK(10/10)")</f>
        <v>広告コミットOK(10/10)</v>
      </c>
      <c r="S2298" s="108" t="str">
        <f>IFERROR(__xludf.DUMMYFUNCTION("""COMPUTED_VALUE"""),"20241017_マイクロマガジン_推し配達員が都合が良すぎる！")</f>
        <v>20241017_マイクロマガジン_推し配達員が都合が良すぎる！</v>
      </c>
      <c r="T2298" s="108" t="str">
        <f>IFERROR(__xludf.DUMMYFUNCTION("""COMPUTED_VALUE"""),"格納済み")</f>
        <v>格納済み</v>
      </c>
      <c r="U2298" s="15" t="str">
        <f>IFERROR(__xludf.DUMMYFUNCTION("""COMPUTED_VALUE"""),"（C）魚屋ウオ （C）マイクロマガジン社")</f>
        <v>（C）魚屋ウオ （C）マイクロマガジン社</v>
      </c>
      <c r="V2298" s="8" t="str">
        <f>IFERROR(__xludf.DUMMYFUNCTION("""COMPUTED_VALUE"""),"「こんなの夢か漫画でしかありえねぇだろ！！」
BL漫画家コノハルとして活動する鴻野春(こうの はる)には、
フードデリバリーの配達員に“推し”がいる。
推しに恋心まで抱くようになった春に……ある日、転機が訪れる。
いつもどおり彼が届けてくれた商品に紛れ込む著書のグッズ。
回収に現れた推しこと【トオルさん】は、
BLが好きで、春の漫画が好きで、受けが可愛いって……
さらに、マンガのえっち度UPを手伝いたいとまで言い出した！
こんなに都合が良いことってありえるの！？！？
イケメン"&amp;"ワンコ配達員×引きこもりBL漫画家の
ハッピー推し活ラブコメディスタート！
「俺、どうなっちゃうの～～～!!!」")</f>
        <v>「こんなの夢か漫画でしかありえねぇだろ！！」
BL漫画家コノハルとして活動する鴻野春(こうの はる)には、
フードデリバリーの配達員に“推し”がいる。
推しに恋心まで抱くようになった春に……ある日、転機が訪れる。
いつもどおり彼が届けてくれた商品に紛れ込む著書のグッズ。
回収に現れた推しこと【トオルさん】は、
BLが好きで、春の漫画が好きで、受けが可愛いって……
さらに、マンガのえっち度UPを手伝いたいとまで言い出した！
こんなに都合が良いことってありえるの！？！？
イケメンワンコ配達員×引きこもりBL漫画家の
ハッピー推し活ラブコメディスタート！
「俺、どうなっちゃうの～～～!!!」</v>
      </c>
      <c r="W2298" s="14"/>
      <c r="X2298" s="14" t="str">
        <f>IFERROR(__xludf.DUMMYFUNCTION("""COMPUTED_VALUE"""),"有")</f>
        <v>有</v>
      </c>
      <c r="Y2298" s="8" t="str">
        <f>IFERROR(__xludf.DUMMYFUNCTION("""COMPUTED_VALUE"""),"P16まで")</f>
        <v>P16まで</v>
      </c>
      <c r="Z2298" s="7"/>
      <c r="AA2298" s="7"/>
      <c r="AB2298" s="7"/>
    </row>
    <row r="2299" ht="15.75" customHeight="1">
      <c r="A2299" s="76">
        <f>IFERROR(__xludf.DUMMYFUNCTION("""COMPUTED_VALUE"""),4258.0)</f>
        <v>4258</v>
      </c>
      <c r="B2299" s="108" t="str">
        <f>IFERROR(__xludf.DUMMYFUNCTION("""COMPUTED_VALUE"""),"確定")</f>
        <v>確定</v>
      </c>
      <c r="C2299" s="74">
        <f>IFERROR(__xludf.DUMMYFUNCTION("""COMPUTED_VALUE"""),45572.0)</f>
        <v>45572</v>
      </c>
      <c r="D2299" s="74">
        <f>IFERROR(__xludf.DUMMYFUNCTION("""COMPUTED_VALUE"""),45588.0)</f>
        <v>45588</v>
      </c>
      <c r="E2299" s="112">
        <f>IFERROR(__xludf.DUMMYFUNCTION("""COMPUTED_VALUE"""),307246.0)</f>
        <v>307246</v>
      </c>
      <c r="F2299" s="112" t="str">
        <f>IFERROR(__xludf.DUMMYFUNCTION("""COMPUTED_VALUE"""),"運命の合図は匂いから【タテヨミ】")</f>
        <v>運命の合図は匂いから【タテヨミ】</v>
      </c>
      <c r="G2299" s="69" t="str">
        <f>IFERROR(__xludf.DUMMYFUNCTION("""COMPUTED_VALUE"""),"1～35")</f>
        <v>1～35</v>
      </c>
      <c r="H2299" s="108" t="str">
        <f>IFERROR(__xludf.DUMMYFUNCTION("""COMPUTED_VALUE"""),"キュリ/ダギョム")</f>
        <v>キュリ/ダギョム</v>
      </c>
      <c r="I2299" s="108" t="str">
        <f>IFERROR(__xludf.DUMMYFUNCTION("""COMPUTED_VALUE"""),"BL")</f>
        <v>BL</v>
      </c>
      <c r="J2299" s="108"/>
      <c r="K2299" s="108"/>
      <c r="L2299" s="108" t="str">
        <f>IFERROR(__xludf.DUMMYFUNCTION("""COMPUTED_VALUE"""),"PEANUTOON")</f>
        <v>PEANUTOON</v>
      </c>
      <c r="M2299" s="115">
        <f>IFERROR(__xludf.DUMMYFUNCTION("""COMPUTED_VALUE"""),45618.0)</f>
        <v>45618</v>
      </c>
      <c r="N2299" s="59">
        <f>IFERROR(__xludf.DUMMYFUNCTION("""COMPUTED_VALUE"""),45678.0)</f>
        <v>45678</v>
      </c>
      <c r="O2299" s="108"/>
      <c r="P2299" s="110" t="str">
        <f>IFERROR(__xludf.DUMMYFUNCTION("""COMPUTED_VALUE"""),"可")</f>
        <v>可</v>
      </c>
      <c r="Q2299" s="108" t="str">
        <f>IFERROR(__xludf.DUMMYFUNCTION("""COMPUTED_VALUE"""),"素材は15巻までのものでご制作いただけますと幸いです。&lt;BR&gt;(2～16)")</f>
        <v>素材は15巻までのものでご制作いただけますと幸いです。&lt;BR&gt;(2～16)</v>
      </c>
      <c r="R2299" s="108" t="str">
        <f>IFERROR(__xludf.DUMMYFUNCTION("""COMPUTED_VALUE"""),"広告コミットOK(10/18)")</f>
        <v>広告コミットOK(10/18)</v>
      </c>
      <c r="S2299" s="108" t="str">
        <f>IFERROR(__xludf.DUMMYFUNCTION("""COMPUTED_VALUE"""),"20241022_PEANUTOON_運命の合図は匂いから")</f>
        <v>20241022_PEANUTOON_運命の合図は匂いから</v>
      </c>
      <c r="T2299" s="113" t="str">
        <f>IFERROR(__xludf.DUMMYFUNCTION("""COMPUTED_VALUE"""),"格納済み")</f>
        <v>格納済み</v>
      </c>
      <c r="U2299" s="15" t="str">
        <f>IFERROR(__xludf.DUMMYFUNCTION("""COMPUTED_VALUE"""),"ⓒキュリ・ダギョム/ForReaders/peanutoon")</f>
        <v>ⓒキュリ・ダギョム/ForReaders/peanutoon</v>
      </c>
      <c r="V2299" s="8" t="str">
        <f>IFERROR(__xludf.DUMMYFUNCTION("""COMPUTED_VALUE"""),"「あなたとの行為に責任を取ると言ってるんです。しましょう、結婚。」
元恋人に「オメガとして物足りない」と言われ捨てられたソ・ユルハ。
新たなスタートを切るために故郷に戻るものの、帰郷の祝いで飲みすぎたあげく酔った勢いでどこかへ電話をかけてしまう……。
翌朝、生まれて初めてのヒートサイクルを迎えて理性を失った昨夜の恐ろしい記憶とともに目を覚ましたユルハ。
そこにはまだ温もりの残る空のベッドと、「再びお会いしに伺います」というメッセージだけが残されていた。
一目惚れしてユルハにプロポーズするベク・ド"&amp;"ジンと、そんなドジンに心が揺れ始めるユルハの物語。")</f>
        <v>「あなたとの行為に責任を取ると言ってるんです。しましょう、結婚。」
元恋人に「オメガとして物足りない」と言われ捨てられたソ・ユルハ。
新たなスタートを切るために故郷に戻るものの、帰郷の祝いで飲みすぎたあげく酔った勢いでどこかへ電話をかけてしまう……。
翌朝、生まれて初めてのヒートサイクルを迎えて理性を失った昨夜の恐ろしい記憶とともに目を覚ましたユルハ。
そこにはまだ温もりの残る空のベッドと、「再びお会いしに伺います」というメッセージだけが残されていた。
一目惚れしてユルハにプロポーズするベク・ドジンと、そんなドジンに心が揺れ始めるユルハの物語。</v>
      </c>
      <c r="W2299" s="14"/>
      <c r="X2299" s="14" t="str">
        <f>IFERROR(__xludf.DUMMYFUNCTION("""COMPUTED_VALUE"""),"有")</f>
        <v>有</v>
      </c>
      <c r="Y2299" s="8" t="str">
        <f>IFERROR(__xludf.DUMMYFUNCTION("""COMPUTED_VALUE"""),"2024/12/5まで1～7巻無料")</f>
        <v>2024/12/5まで1～7巻無料</v>
      </c>
      <c r="Z2299" s="7"/>
      <c r="AA2299" s="7"/>
      <c r="AB2299" s="7"/>
    </row>
    <row r="2300" ht="15.75" customHeight="1">
      <c r="A2300" s="76">
        <f>IFERROR(__xludf.DUMMYFUNCTION("""COMPUTED_VALUE"""),4289.0)</f>
        <v>4289</v>
      </c>
      <c r="B2300" s="108" t="str">
        <f>IFERROR(__xludf.DUMMYFUNCTION("""COMPUTED_VALUE"""),"確定")</f>
        <v>確定</v>
      </c>
      <c r="C2300" s="74">
        <f>IFERROR(__xludf.DUMMYFUNCTION("""COMPUTED_VALUE"""),45575.0)</f>
        <v>45575</v>
      </c>
      <c r="D2300" s="74">
        <f>IFERROR(__xludf.DUMMYFUNCTION("""COMPUTED_VALUE"""),45588.0)</f>
        <v>45588</v>
      </c>
      <c r="E2300" s="112">
        <f>IFERROR(__xludf.DUMMYFUNCTION("""COMPUTED_VALUE"""),307059.0)</f>
        <v>307059</v>
      </c>
      <c r="F2300" s="112" t="str">
        <f>IFERROR(__xludf.DUMMYFUNCTION("""COMPUTED_VALUE"""),"妊活契約で初めてを捧げたら、強引社長の独占欲を煽って溺愛されてます【分冊版】")</f>
        <v>妊活契約で初めてを捧げたら、強引社長の独占欲を煽って溺愛されてます【分冊版】</v>
      </c>
      <c r="G2300" s="69" t="str">
        <f>IFERROR(__xludf.DUMMYFUNCTION("""COMPUTED_VALUE"""),"1～3")</f>
        <v>1～3</v>
      </c>
      <c r="H2300" s="108" t="str">
        <f>IFERROR(__xludf.DUMMYFUNCTION("""COMPUTED_VALUE"""),"三枝シマ")</f>
        <v>三枝シマ</v>
      </c>
      <c r="I2300" s="108" t="str">
        <f>IFERROR(__xludf.DUMMYFUNCTION("""COMPUTED_VALUE"""),"女性")</f>
        <v>女性</v>
      </c>
      <c r="J2300" s="108"/>
      <c r="K2300" s="108"/>
      <c r="L2300" s="108" t="str">
        <f>IFERROR(__xludf.DUMMYFUNCTION("""COMPUTED_VALUE"""),"ハーパーコリンズ・ジャパン")</f>
        <v>ハーパーコリンズ・ジャパン</v>
      </c>
      <c r="M2300" s="115">
        <f>IFERROR(__xludf.DUMMYFUNCTION("""COMPUTED_VALUE"""),45615.0)</f>
        <v>45615</v>
      </c>
      <c r="N2300" s="59">
        <f>IFERROR(__xludf.DUMMYFUNCTION("""COMPUTED_VALUE"""),45676.0)</f>
        <v>45676</v>
      </c>
      <c r="O2300" s="108"/>
      <c r="P2300" s="114" t="str">
        <f>IFERROR(__xludf.DUMMYFUNCTION("""COMPUTED_VALUE"""),"可")</f>
        <v>可</v>
      </c>
      <c r="Q2300" s="108"/>
      <c r="R2300" s="108" t="str">
        <f>IFERROR(__xludf.DUMMYFUNCTION("""COMPUTED_VALUE"""),"広告コミットOK(10/11)")</f>
        <v>広告コミットOK(10/11)</v>
      </c>
      <c r="S2300" s="108" t="str">
        <f>IFERROR(__xludf.DUMMYFUNCTION("""COMPUTED_VALUE"""),"20241021_ハーパーコリンズ・ジャパン_妊活契約で初めてを捧げたら、強引社長の独占欲を煽って溺愛されてます【分冊版】")</f>
        <v>20241021_ハーパーコリンズ・ジャパン_妊活契約で初めてを捧げたら、強引社長の独占欲を煽って溺愛されてます【分冊版】</v>
      </c>
      <c r="T2300" s="108" t="str">
        <f>IFERROR(__xludf.DUMMYFUNCTION("""COMPUTED_VALUE"""),"格納済み")</f>
        <v>格納済み</v>
      </c>
      <c r="U2300" s="15" t="str">
        <f>IFERROR(__xludf.DUMMYFUNCTION("""COMPUTED_VALUE"""),"©三枝シマ・砂川雨路／ハーパーコリンズ・ジャパン")</f>
        <v>©三枝シマ・砂川雨路／ハーパーコリンズ・ジャパン</v>
      </c>
      <c r="V2300" s="8" t="str">
        <f>IFERROR(__xludf.DUMMYFUNCTION("""COMPUTED_VALUE"""),"恋愛経験ゼロなのにとろ甘な子作りが始まって…!?　極甘授かり愛
日々忙しく働き、実家の家計を支える小梅。とある理由で跡継ぎを欲しがっているハイスぺ社長・龍人から、彼の赤ちゃんを産むよう突然熱望され…!?　激しく動揺するも、このとんでもない依頼を条件付きで受け入れることに。恋愛経験ゼロなのに早速スタートした妊活で、普段は強引な龍人の態度が甘く一変。小梅は初めての愛と熱情を教え込まれて…！")</f>
        <v>恋愛経験ゼロなのにとろ甘な子作りが始まって…!?　極甘授かり愛
日々忙しく働き、実家の家計を支える小梅。とある理由で跡継ぎを欲しがっているハイスぺ社長・龍人から、彼の赤ちゃんを産むよう突然熱望され…!?　激しく動揺するも、このとんでもない依頼を条件付きで受け入れることに。恋愛経験ゼロなのに早速スタートした妊活で、普段は強引な龍人の態度が甘く一変。小梅は初めての愛と熱情を教え込まれて…！</v>
      </c>
      <c r="W2300" s="14"/>
      <c r="X2300" s="14" t="str">
        <f>IFERROR(__xludf.DUMMYFUNCTION("""COMPUTED_VALUE"""),"有")</f>
        <v>有</v>
      </c>
      <c r="Y2300" s="8" t="str">
        <f>IFERROR(__xludf.DUMMYFUNCTION("""COMPUTED_VALUE"""),"2024/12/2まで1巻無料")</f>
        <v>2024/12/2まで1巻無料</v>
      </c>
      <c r="Z2300" s="7"/>
      <c r="AA2300" s="7"/>
      <c r="AB2300" s="7"/>
    </row>
    <row r="2301" ht="15.75" customHeight="1">
      <c r="A2301" s="76">
        <f>IFERROR(__xludf.DUMMYFUNCTION("""COMPUTED_VALUE"""),4295.0)</f>
        <v>4295</v>
      </c>
      <c r="B2301" s="108" t="str">
        <f>IFERROR(__xludf.DUMMYFUNCTION("""COMPUTED_VALUE"""),"確定")</f>
        <v>確定</v>
      </c>
      <c r="C2301" s="74">
        <f>IFERROR(__xludf.DUMMYFUNCTION("""COMPUTED_VALUE"""),45575.0)</f>
        <v>45575</v>
      </c>
      <c r="D2301" s="74">
        <f>IFERROR(__xludf.DUMMYFUNCTION("""COMPUTED_VALUE"""),45588.0)</f>
        <v>45588</v>
      </c>
      <c r="E2301" s="112">
        <f>IFERROR(__xludf.DUMMYFUNCTION("""COMPUTED_VALUE"""),306522.0)</f>
        <v>306522</v>
      </c>
      <c r="F2301" s="112" t="str">
        <f>IFERROR(__xludf.DUMMYFUNCTION("""COMPUTED_VALUE"""),"今夜はあなたとできますか？")</f>
        <v>今夜はあなたとできますか？</v>
      </c>
      <c r="G2301" s="69" t="str">
        <f>IFERROR(__xludf.DUMMYFUNCTION("""COMPUTED_VALUE"""),"1～11")</f>
        <v>1～11</v>
      </c>
      <c r="H2301" s="108" t="str">
        <f>IFERROR(__xludf.DUMMYFUNCTION("""COMPUTED_VALUE"""),"吉田丸悠")</f>
        <v>吉田丸悠</v>
      </c>
      <c r="I2301" s="108" t="str">
        <f>IFERROR(__xludf.DUMMYFUNCTION("""COMPUTED_VALUE"""),"女性")</f>
        <v>女性</v>
      </c>
      <c r="J2301" s="108"/>
      <c r="K2301" s="108"/>
      <c r="L2301" s="108" t="str">
        <f>IFERROR(__xludf.DUMMYFUNCTION("""COMPUTED_VALUE"""),"ライブコミックス")</f>
        <v>ライブコミックス</v>
      </c>
      <c r="M2301" s="115">
        <f>IFERROR(__xludf.DUMMYFUNCTION("""COMPUTED_VALUE"""),45618.0)</f>
        <v>45618</v>
      </c>
      <c r="N2301" s="59">
        <f>IFERROR(__xludf.DUMMYFUNCTION("""COMPUTED_VALUE"""),45715.0)</f>
        <v>45715</v>
      </c>
      <c r="O2301" s="108"/>
      <c r="P2301" s="110" t="str">
        <f>IFERROR(__xludf.DUMMYFUNCTION("""COMPUTED_VALUE"""),"可")</f>
        <v>可</v>
      </c>
      <c r="Q2301" s="108" t="str">
        <f>IFERROR(__xludf.DUMMYFUNCTION("""COMPUTED_VALUE"""),"書店BookLiveからの2次先行作品です。&lt;BR&gt;1～9巻までの素材にて検討＆制作いただければと思います。")</f>
        <v>書店BookLiveからの2次先行作品です。&lt;BR&gt;1～9巻までの素材にて検討＆制作いただければと思います。</v>
      </c>
      <c r="R2301" s="108" t="str">
        <f>IFERROR(__xludf.DUMMYFUNCTION("""COMPUTED_VALUE"""),"広告コミットOK(10/16)")</f>
        <v>広告コミットOK(10/16)</v>
      </c>
      <c r="S2301" s="108" t="str">
        <f>IFERROR(__xludf.DUMMYFUNCTION("""COMPUTED_VALUE"""),"20241010_BookLive_今夜はあなたとできますか？")</f>
        <v>20241010_BookLive_今夜はあなたとできますか？</v>
      </c>
      <c r="T2301" s="108" t="str">
        <f>IFERROR(__xludf.DUMMYFUNCTION("""COMPUTED_VALUE"""),"格納済み")</f>
        <v>格納済み</v>
      </c>
      <c r="U2301" s="15" t="str">
        <f>IFERROR(__xludf.DUMMYFUNCTION("""COMPUTED_VALUE"""),"Ⓒ吉田丸悠/ライブコミックス")</f>
        <v>Ⓒ吉田丸悠/ライブコミックス</v>
      </c>
      <c r="V2301" s="8" t="str">
        <f>IFERROR(__xludf.DUMMYFUNCTION("""COMPUTED_VALUE"""),"『…いとなみ的な意味で、寝たいの』日野琴子は夫・誠也と結婚8年目。セックスもしばらくしてないけど、このまま友達みたいな関係でいい――。お互いそう思ってたハズだったのに、琴子がふと感じた「子どもが欲しい」という思いから、ふたりの関係は変化して…！？　夫婦カンケイに悩む女性たちの、ゆらぎゆらめくリアルライフ！")</f>
        <v>『…いとなみ的な意味で、寝たいの』日野琴子は夫・誠也と結婚8年目。セックスもしばらくしてないけど、このまま友達みたいな関係でいい――。お互いそう思ってたハズだったのに、琴子がふと感じた「子どもが欲しい」という思いから、ふたりの関係は変化して…！？　夫婦カンケイに悩む女性たちの、ゆらぎゆらめくリアルライフ！</v>
      </c>
      <c r="W2301" s="14"/>
      <c r="X2301" s="14" t="str">
        <f>IFERROR(__xludf.DUMMYFUNCTION("""COMPUTED_VALUE"""),"有")</f>
        <v>有</v>
      </c>
      <c r="Y2301" s="8" t="str">
        <f>IFERROR(__xludf.DUMMYFUNCTION("""COMPUTED_VALUE"""),"P8まで")</f>
        <v>P8まで</v>
      </c>
      <c r="Z2301" s="7"/>
      <c r="AA2301" s="7"/>
      <c r="AB2301" s="7"/>
    </row>
    <row r="2302" ht="15.75" customHeight="1">
      <c r="A2302" s="76">
        <f>IFERROR(__xludf.DUMMYFUNCTION("""COMPUTED_VALUE"""),4296.0)</f>
        <v>4296</v>
      </c>
      <c r="B2302" s="108" t="str">
        <f>IFERROR(__xludf.DUMMYFUNCTION("""COMPUTED_VALUE"""),"確定")</f>
        <v>確定</v>
      </c>
      <c r="C2302" s="74">
        <f>IFERROR(__xludf.DUMMYFUNCTION("""COMPUTED_VALUE"""),45575.0)</f>
        <v>45575</v>
      </c>
      <c r="D2302" s="74">
        <f>IFERROR(__xludf.DUMMYFUNCTION("""COMPUTED_VALUE"""),45588.0)</f>
        <v>45588</v>
      </c>
      <c r="E2302" s="112">
        <f>IFERROR(__xludf.DUMMYFUNCTION("""COMPUTED_VALUE"""),306523.0)</f>
        <v>306523</v>
      </c>
      <c r="F2302" s="112" t="str">
        <f>IFERROR(__xludf.DUMMYFUNCTION("""COMPUTED_VALUE"""),"初めてにこの愛は重すぎる")</f>
        <v>初めてにこの愛は重すぎる</v>
      </c>
      <c r="G2302" s="69" t="str">
        <f>IFERROR(__xludf.DUMMYFUNCTION("""COMPUTED_VALUE"""),"1～6")</f>
        <v>1～6</v>
      </c>
      <c r="H2302" s="108" t="str">
        <f>IFERROR(__xludf.DUMMYFUNCTION("""COMPUTED_VALUE"""),"きゆう")</f>
        <v>きゆう</v>
      </c>
      <c r="I2302" s="108" t="str">
        <f>IFERROR(__xludf.DUMMYFUNCTION("""COMPUTED_VALUE"""),"女性")</f>
        <v>女性</v>
      </c>
      <c r="J2302" s="108"/>
      <c r="K2302" s="108"/>
      <c r="L2302" s="108" t="str">
        <f>IFERROR(__xludf.DUMMYFUNCTION("""COMPUTED_VALUE"""),"ライブコミックス")</f>
        <v>ライブコミックス</v>
      </c>
      <c r="M2302" s="115">
        <f>IFERROR(__xludf.DUMMYFUNCTION("""COMPUTED_VALUE"""),45618.0)</f>
        <v>45618</v>
      </c>
      <c r="N2302" s="59">
        <f>IFERROR(__xludf.DUMMYFUNCTION("""COMPUTED_VALUE"""),45715.0)</f>
        <v>45715</v>
      </c>
      <c r="O2302" s="108"/>
      <c r="P2302" s="110" t="str">
        <f>IFERROR(__xludf.DUMMYFUNCTION("""COMPUTED_VALUE"""),"可")</f>
        <v>可</v>
      </c>
      <c r="Q2302" s="108" t="str">
        <f>IFERROR(__xludf.DUMMYFUNCTION("""COMPUTED_VALUE"""),"書店BookLiveからの二次先行です。&lt;BR&gt;1~5巻までの素材で検討＆制作をお願いします。")</f>
        <v>書店BookLiveからの二次先行です。&lt;BR&gt;1~5巻までの素材で検討＆制作をお願いします。</v>
      </c>
      <c r="R2302" s="108" t="str">
        <f>IFERROR(__xludf.DUMMYFUNCTION("""COMPUTED_VALUE"""),"広告コミットOK(10/16)")</f>
        <v>広告コミットOK(10/16)</v>
      </c>
      <c r="S2302" s="108" t="str">
        <f>IFERROR(__xludf.DUMMYFUNCTION("""COMPUTED_VALUE"""),"20241010_BookLive_初めてにこの愛は重すぎる")</f>
        <v>20241010_BookLive_初めてにこの愛は重すぎる</v>
      </c>
      <c r="T2302" s="108" t="str">
        <f>IFERROR(__xludf.DUMMYFUNCTION("""COMPUTED_VALUE"""),"格納済み")</f>
        <v>格納済み</v>
      </c>
      <c r="U2302" s="15" t="str">
        <f>IFERROR(__xludf.DUMMYFUNCTION("""COMPUTED_VALUE"""),"Ⓒきゆう/ライブコミックス")</f>
        <v>Ⓒきゆう/ライブコミックス</v>
      </c>
      <c r="V2302" s="8" t="str">
        <f>IFERROR(__xludf.DUMMYFUNCTION("""COMPUTED_VALUE"""),"蓮水梨央(26)は、職場のアパレルメーカーで「騎士(ナイト)」と呼ばれるイケメン女子。本心では「シンデレラのような女の子」に憧れながらも、自分のガラじゃない…と諦めていた。そんなある日、街で助けた謎のイケメン・篠宮が梨央の前に現れ「私の恋人になってください」と、いきなりの告白！　…これは、溺愛の予感!?コンプレックスを抱える女子と愛が重いイケメン男子が織り成す、ピュアでオトナなラブストーリー。")</f>
        <v>蓮水梨央(26)は、職場のアパレルメーカーで「騎士(ナイト)」と呼ばれるイケメン女子。本心では「シンデレラのような女の子」に憧れながらも、自分のガラじゃない…と諦めていた。そんなある日、街で助けた謎のイケメン・篠宮が梨央の前に現れ「私の恋人になってください」と、いきなりの告白！　…これは、溺愛の予感!?コンプレックスを抱える女子と愛が重いイケメン男子が織り成す、ピュアでオトナなラブストーリー。</v>
      </c>
      <c r="W2302" s="14"/>
      <c r="X2302" s="14" t="str">
        <f>IFERROR(__xludf.DUMMYFUNCTION("""COMPUTED_VALUE"""),"有")</f>
        <v>有</v>
      </c>
      <c r="Y2302" s="8" t="str">
        <f>IFERROR(__xludf.DUMMYFUNCTION("""COMPUTED_VALUE"""),"P9まで")</f>
        <v>P9まで</v>
      </c>
      <c r="Z2302" s="7"/>
      <c r="AA2302" s="7"/>
      <c r="AB2302" s="7"/>
    </row>
    <row r="2303" ht="15.75" customHeight="1">
      <c r="A2303" s="76">
        <f>IFERROR(__xludf.DUMMYFUNCTION("""COMPUTED_VALUE"""),4298.0)</f>
        <v>4298</v>
      </c>
      <c r="B2303" s="108" t="str">
        <f>IFERROR(__xludf.DUMMYFUNCTION("""COMPUTED_VALUE"""),"確定")</f>
        <v>確定</v>
      </c>
      <c r="C2303" s="74">
        <f>IFERROR(__xludf.DUMMYFUNCTION("""COMPUTED_VALUE"""),45575.0)</f>
        <v>45575</v>
      </c>
      <c r="D2303" s="74">
        <f>IFERROR(__xludf.DUMMYFUNCTION("""COMPUTED_VALUE"""),45588.0)</f>
        <v>45588</v>
      </c>
      <c r="E2303" s="112">
        <f>IFERROR(__xludf.DUMMYFUNCTION("""COMPUTED_VALUE"""),306895.0)</f>
        <v>306895</v>
      </c>
      <c r="F2303" s="112" t="str">
        <f>IFERROR(__xludf.DUMMYFUNCTION("""COMPUTED_VALUE"""),"石の心臓の婚約者～心を殺した侯爵子息が私と恋に落ちるまで～")</f>
        <v>石の心臓の婚約者～心を殺した侯爵子息が私と恋に落ちるまで～</v>
      </c>
      <c r="G2303" s="69" t="str">
        <f>IFERROR(__xludf.DUMMYFUNCTION("""COMPUTED_VALUE"""),"1～6")</f>
        <v>1～6</v>
      </c>
      <c r="H2303" s="108" t="str">
        <f>IFERROR(__xludf.DUMMYFUNCTION("""COMPUTED_VALUE"""),"佳山める")</f>
        <v>佳山める</v>
      </c>
      <c r="I2303" s="108" t="str">
        <f>IFERROR(__xludf.DUMMYFUNCTION("""COMPUTED_VALUE"""),"女性")</f>
        <v>女性</v>
      </c>
      <c r="J2303" s="108"/>
      <c r="K2303" s="108"/>
      <c r="L2303" s="108" t="str">
        <f>IFERROR(__xludf.DUMMYFUNCTION("""COMPUTED_VALUE"""),"ライブコミックス")</f>
        <v>ライブコミックス</v>
      </c>
      <c r="M2303" s="115">
        <f>IFERROR(__xludf.DUMMYFUNCTION("""COMPUTED_VALUE"""),45653.0)</f>
        <v>45653</v>
      </c>
      <c r="N2303" s="59">
        <f>IFERROR(__xludf.DUMMYFUNCTION("""COMPUTED_VALUE"""),45715.0)</f>
        <v>45715</v>
      </c>
      <c r="O2303" s="108"/>
      <c r="P2303" s="110" t="str">
        <f>IFERROR(__xludf.DUMMYFUNCTION("""COMPUTED_VALUE"""),"可")</f>
        <v>可</v>
      </c>
      <c r="Q2303" s="108" t="str">
        <f>IFERROR(__xludf.DUMMYFUNCTION("""COMPUTED_VALUE"""),"書店BookLiveからの二次先行です。&lt;BR&gt;1～4巻までの素材で検討＆制作いただければと思います。")</f>
        <v>書店BookLiveからの二次先行です。&lt;BR&gt;1～4巻までの素材で検討＆制作いただければと思います。</v>
      </c>
      <c r="R2303" s="108" t="str">
        <f>IFERROR(__xludf.DUMMYFUNCTION("""COMPUTED_VALUE"""),"広告コミットOK(10/17)")</f>
        <v>広告コミットOK(10/17)</v>
      </c>
      <c r="S2303" s="108" t="str">
        <f>IFERROR(__xludf.DUMMYFUNCTION("""COMPUTED_VALUE"""),"20241010_BookLive_石の心臓の婚約者～心を殺した侯爵子息が私と恋に落ちるまで～")</f>
        <v>20241010_BookLive_石の心臓の婚約者～心を殺した侯爵子息が私と恋に落ちるまで～</v>
      </c>
      <c r="T2303" s="108" t="str">
        <f>IFERROR(__xludf.DUMMYFUNCTION("""COMPUTED_VALUE"""),"格納済み")</f>
        <v>格納済み</v>
      </c>
      <c r="U2303" s="15" t="str">
        <f>IFERROR(__xludf.DUMMYFUNCTION("""COMPUTED_VALUE"""),"Ⓒ佳山める/ライブコミックス")</f>
        <v>Ⓒ佳山める/ライブコミックス</v>
      </c>
      <c r="V2303" s="8" t="str">
        <f>IFERROR(__xludf.DUMMYFUNCTION("""COMPUTED_VALUE"""),"「婚約者として　僕と一緒に来てほしい」他人の心の声が聞こえる力に悩み、信頼する師匠と静かに暮らしてきた少女・アイリ。ある日、人さらいに捕まりかけたところを、麗しい青年・レイに救われる。紳士的な彼にドキマギするアイリだけど、なんと彼だけは心の声が聞こえなくて……！？心を通わせ命をつなぐ、異世界ハートフル・ラブストーリー。")</f>
        <v>「婚約者として　僕と一緒に来てほしい」他人の心の声が聞こえる力に悩み、信頼する師匠と静かに暮らしてきた少女・アイリ。ある日、人さらいに捕まりかけたところを、麗しい青年・レイに救われる。紳士的な彼にドキマギするアイリだけど、なんと彼だけは心の声が聞こえなくて……！？心を通わせ命をつなぐ、異世界ハートフル・ラブストーリー。</v>
      </c>
      <c r="W2303" s="14"/>
      <c r="X2303" s="14" t="str">
        <f>IFERROR(__xludf.DUMMYFUNCTION("""COMPUTED_VALUE"""),"有")</f>
        <v>有</v>
      </c>
      <c r="Y2303" s="8" t="str">
        <f>IFERROR(__xludf.DUMMYFUNCTION("""COMPUTED_VALUE"""),"2025/2/27まで1～2巻無料")</f>
        <v>2025/2/27まで1～2巻無料</v>
      </c>
      <c r="Z2303" s="7"/>
      <c r="AA2303" s="7"/>
      <c r="AB2303" s="7"/>
    </row>
    <row r="2304" ht="15.75" customHeight="1">
      <c r="A2304" s="76">
        <f>IFERROR(__xludf.DUMMYFUNCTION("""COMPUTED_VALUE"""),4319.0)</f>
        <v>4319</v>
      </c>
      <c r="B2304" s="108" t="str">
        <f>IFERROR(__xludf.DUMMYFUNCTION("""COMPUTED_VALUE"""),"確定")</f>
        <v>確定</v>
      </c>
      <c r="C2304" s="74">
        <f>IFERROR(__xludf.DUMMYFUNCTION("""COMPUTED_VALUE"""),45576.0)</f>
        <v>45576</v>
      </c>
      <c r="D2304" s="74">
        <f>IFERROR(__xludf.DUMMYFUNCTION("""COMPUTED_VALUE"""),45588.0)</f>
        <v>45588</v>
      </c>
      <c r="E2304" s="112">
        <f>IFERROR(__xludf.DUMMYFUNCTION("""COMPUTED_VALUE"""),307998.0)</f>
        <v>307998</v>
      </c>
      <c r="F2304" s="112" t="str">
        <f>IFERROR(__xludf.DUMMYFUNCTION("""COMPUTED_VALUE"""),"転生インフルエンサーは偏屈魔法使いをバズらせたい【タテヨミ】")</f>
        <v>転生インフルエンサーは偏屈魔法使いをバズらせたい【タテヨミ】</v>
      </c>
      <c r="G2304" s="69" t="str">
        <f>IFERROR(__xludf.DUMMYFUNCTION("""COMPUTED_VALUE"""),"1～10")</f>
        <v>1～10</v>
      </c>
      <c r="H2304" s="108" t="str">
        <f>IFERROR(__xludf.DUMMYFUNCTION("""COMPUTED_VALUE"""),"原作：飯田真弓 作画：吉近イチ 脚本：浅生柚子")</f>
        <v>原作：飯田真弓 作画：吉近イチ 脚本：浅生柚子</v>
      </c>
      <c r="I2304" s="108" t="str">
        <f>IFERROR(__xludf.DUMMYFUNCTION("""COMPUTED_VALUE"""),"少女")</f>
        <v>少女</v>
      </c>
      <c r="J2304" s="108"/>
      <c r="K2304" s="108"/>
      <c r="L2304" s="108" t="str">
        <f>IFERROR(__xludf.DUMMYFUNCTION("""COMPUTED_VALUE"""),"ontembaar")</f>
        <v>ontembaar</v>
      </c>
      <c r="M2304" s="115">
        <f>IFERROR(__xludf.DUMMYFUNCTION("""COMPUTED_VALUE"""),45623.0)</f>
        <v>45623</v>
      </c>
      <c r="N2304" s="117">
        <f>IFERROR(__xludf.DUMMYFUNCTION("""COMPUTED_VALUE"""),45714.0)</f>
        <v>45714</v>
      </c>
      <c r="O2304" s="108"/>
      <c r="P2304" s="114" t="str">
        <f>IFERROR(__xludf.DUMMYFUNCTION("""COMPUTED_VALUE"""),"可")</f>
        <v>可</v>
      </c>
      <c r="Q2304" s="108"/>
      <c r="R2304" s="108" t="str">
        <f>IFERROR(__xludf.DUMMYFUNCTION("""COMPUTED_VALUE"""),"広告コミットOK（10/17）")</f>
        <v>広告コミットOK（10/17）</v>
      </c>
      <c r="S2304" s="108" t="str">
        <f>IFERROR(__xludf.DUMMYFUNCTION("""COMPUTED_VALUE"""),"20241021_ontembaar_転生インフルエンサーは偏屈魔法使いをバズらせたい【タテヨミ】")</f>
        <v>20241021_ontembaar_転生インフルエンサーは偏屈魔法使いをバズらせたい【タテヨミ】</v>
      </c>
      <c r="T2304" s="108" t="str">
        <f>IFERROR(__xludf.DUMMYFUNCTION("""COMPUTED_VALUE"""),"格納済み")</f>
        <v>格納済み</v>
      </c>
      <c r="U2304" s="15" t="str">
        <f>IFERROR(__xludf.DUMMYFUNCTION("""COMPUTED_VALUE"""),"(c)Seed Project/ontembaar")</f>
        <v>(c)Seed Project/ontembaar</v>
      </c>
      <c r="V2304" s="8" t="str">
        <f>IFERROR(__xludf.DUMMYFUNCTION("""COMPUTED_VALUE"""),"異世界転生したインフルエンサーが難題を次々解決！
インフルエンサーの寧々（ねね）は、理不尽な恨みで刺され意識不明に。目覚めるとそこは、魔法が使える異世界だった！
憧れの魔法を目の当たりにしてはしゃいでいると、不審者として兵士達に捕まりそうに。必死で逃げる寧々を助けたのは、フード姿の美青年・オーウェンだった。
戸惑う寧々にオーウェンは「お前が欲しい」と迫ってきて…!?
貴女をきっと元気にする！ ビタミンチャージのラブコメディ♡")</f>
        <v>異世界転生したインフルエンサーが難題を次々解決！
インフルエンサーの寧々（ねね）は、理不尽な恨みで刺され意識不明に。目覚めるとそこは、魔法が使える異世界だった！
憧れの魔法を目の当たりにしてはしゃいでいると、不審者として兵士達に捕まりそうに。必死で逃げる寧々を助けたのは、フード姿の美青年・オーウェンだった。
戸惑う寧々にオーウェンは「お前が欲しい」と迫ってきて…!?
貴女をきっと元気にする！ ビタミンチャージのラブコメディ♡</v>
      </c>
      <c r="W2304" s="14"/>
      <c r="X2304" s="14" t="str">
        <f>IFERROR(__xludf.DUMMYFUNCTION("""COMPUTED_VALUE"""),"有")</f>
        <v>有</v>
      </c>
      <c r="Y2304" s="8" t="str">
        <f>IFERROR(__xludf.DUMMYFUNCTION("""COMPUTED_VALUE"""),"1～2巻無料")</f>
        <v>1～2巻無料</v>
      </c>
      <c r="Z2304" s="7"/>
      <c r="AA2304" s="7"/>
      <c r="AB2304" s="7"/>
    </row>
    <row r="2305" ht="15.75" customHeight="1">
      <c r="A2305" s="76">
        <f>IFERROR(__xludf.DUMMYFUNCTION("""COMPUTED_VALUE"""),4320.0)</f>
        <v>4320</v>
      </c>
      <c r="B2305" s="108" t="str">
        <f>IFERROR(__xludf.DUMMYFUNCTION("""COMPUTED_VALUE"""),"確定")</f>
        <v>確定</v>
      </c>
      <c r="C2305" s="74">
        <f>IFERROR(__xludf.DUMMYFUNCTION("""COMPUTED_VALUE"""),45576.0)</f>
        <v>45576</v>
      </c>
      <c r="D2305" s="74">
        <f>IFERROR(__xludf.DUMMYFUNCTION("""COMPUTED_VALUE"""),45588.0)</f>
        <v>45588</v>
      </c>
      <c r="E2305" s="112">
        <f>IFERROR(__xludf.DUMMYFUNCTION("""COMPUTED_VALUE"""),307999.0)</f>
        <v>307999</v>
      </c>
      <c r="F2305" s="112" t="str">
        <f>IFERROR(__xludf.DUMMYFUNCTION("""COMPUTED_VALUE"""),"悪役お姫様は推しカプを結ばせるのに必死です【タテヨミ】")</f>
        <v>悪役お姫様は推しカプを結ばせるのに必死です【タテヨミ】</v>
      </c>
      <c r="G2305" s="69" t="str">
        <f>IFERROR(__xludf.DUMMYFUNCTION("""COMPUTED_VALUE"""),"1～10")</f>
        <v>1～10</v>
      </c>
      <c r="H2305" s="108" t="str">
        <f>IFERROR(__xludf.DUMMYFUNCTION("""COMPUTED_VALUE"""),"原作：ワタナベミオ 画：島くらげ")</f>
        <v>原作：ワタナベミオ 画：島くらげ</v>
      </c>
      <c r="I2305" s="108" t="str">
        <f>IFERROR(__xludf.DUMMYFUNCTION("""COMPUTED_VALUE"""),"少女")</f>
        <v>少女</v>
      </c>
      <c r="J2305" s="108"/>
      <c r="K2305" s="108"/>
      <c r="L2305" s="108" t="str">
        <f>IFERROR(__xludf.DUMMYFUNCTION("""COMPUTED_VALUE"""),"ontembaar")</f>
        <v>ontembaar</v>
      </c>
      <c r="M2305" s="115">
        <f>IFERROR(__xludf.DUMMYFUNCTION("""COMPUTED_VALUE"""),45623.0)</f>
        <v>45623</v>
      </c>
      <c r="N2305" s="117">
        <f>IFERROR(__xludf.DUMMYFUNCTION("""COMPUTED_VALUE"""),45714.0)</f>
        <v>45714</v>
      </c>
      <c r="O2305" s="108"/>
      <c r="P2305" s="114" t="str">
        <f>IFERROR(__xludf.DUMMYFUNCTION("""COMPUTED_VALUE"""),"可")</f>
        <v>可</v>
      </c>
      <c r="Q2305" s="108"/>
      <c r="R2305" s="108" t="str">
        <f>IFERROR(__xludf.DUMMYFUNCTION("""COMPUTED_VALUE"""),"広告コミットOK（10/17）")</f>
        <v>広告コミットOK（10/17）</v>
      </c>
      <c r="S2305" s="108" t="str">
        <f>IFERROR(__xludf.DUMMYFUNCTION("""COMPUTED_VALUE"""),"20241021_ontembaar_悪役お姫様は推しカプを結ばせるのに必死です【タテヨミ】")</f>
        <v>20241021_ontembaar_悪役お姫様は推しカプを結ばせるのに必死です【タテヨミ】</v>
      </c>
      <c r="T2305" s="108" t="str">
        <f>IFERROR(__xludf.DUMMYFUNCTION("""COMPUTED_VALUE"""),"格納済み")</f>
        <v>格納済み</v>
      </c>
      <c r="U2305" s="15" t="str">
        <f>IFERROR(__xludf.DUMMYFUNCTION("""COMPUTED_VALUE"""),"(c)Seed Project/Mayc")</f>
        <v>(c)Seed Project/Mayc</v>
      </c>
      <c r="V2305" s="8" t="str">
        <f>IFERROR(__xludf.DUMMYFUNCTION("""COMPUTED_VALUE"""),"和風ファンタジー乙女ゲーム『恋劇御所』にハマっていた女子高生が、マンホールに落ちて死亡し、その世界の悪役お姫様・胡姫（こひめ）に転生してしまった！
ゲームの主人公・天寧（あまね）とメイン攻略対象・煌大（こうだい）のカプ推しだけど、二人の恋を成就させると胡姫が破滅エンドに！
それを回避しながら二人を結ばせようと奮闘するが、隠し攻略対象も登場し、胡姫にまさかのハーレム展開!?")</f>
        <v>和風ファンタジー乙女ゲーム『恋劇御所』にハマっていた女子高生が、マンホールに落ちて死亡し、その世界の悪役お姫様・胡姫（こひめ）に転生してしまった！
ゲームの主人公・天寧（あまね）とメイン攻略対象・煌大（こうだい）のカプ推しだけど、二人の恋を成就させると胡姫が破滅エンドに！
それを回避しながら二人を結ばせようと奮闘するが、隠し攻略対象も登場し、胡姫にまさかのハーレム展開!?</v>
      </c>
      <c r="W2305" s="14"/>
      <c r="X2305" s="14" t="str">
        <f>IFERROR(__xludf.DUMMYFUNCTION("""COMPUTED_VALUE"""),"有")</f>
        <v>有</v>
      </c>
      <c r="Y2305" s="8" t="str">
        <f>IFERROR(__xludf.DUMMYFUNCTION("""COMPUTED_VALUE"""),"1～2巻無料")</f>
        <v>1～2巻無料</v>
      </c>
      <c r="Z2305" s="7"/>
      <c r="AA2305" s="7"/>
      <c r="AB2305" s="7"/>
    </row>
    <row r="2306" ht="15.75" customHeight="1">
      <c r="A2306" s="76">
        <f>IFERROR(__xludf.DUMMYFUNCTION("""COMPUTED_VALUE"""),4323.0)</f>
        <v>4323</v>
      </c>
      <c r="B2306" s="108" t="str">
        <f>IFERROR(__xludf.DUMMYFUNCTION("""COMPUTED_VALUE"""),"確定")</f>
        <v>確定</v>
      </c>
      <c r="C2306" s="74">
        <f>IFERROR(__xludf.DUMMYFUNCTION("""COMPUTED_VALUE"""),45580.0)</f>
        <v>45580</v>
      </c>
      <c r="D2306" s="74">
        <f>IFERROR(__xludf.DUMMYFUNCTION("""COMPUTED_VALUE"""),45588.0)</f>
        <v>45588</v>
      </c>
      <c r="E2306" s="116">
        <f>IFERROR(__xludf.DUMMYFUNCTION("""COMPUTED_VALUE"""),289234.0)</f>
        <v>289234</v>
      </c>
      <c r="F2306" s="112" t="str">
        <f>IFERROR(__xludf.DUMMYFUNCTION("""COMPUTED_VALUE"""),"リアル選択肢(フルカラー)")</f>
        <v>リアル選択肢(フルカラー)</v>
      </c>
      <c r="G2306" s="69" t="str">
        <f>IFERROR(__xludf.DUMMYFUNCTION("""COMPUTED_VALUE"""),"1～3")</f>
        <v>1～3</v>
      </c>
      <c r="H2306" s="108" t="str">
        <f>IFERROR(__xludf.DUMMYFUNCTION("""COMPUTED_VALUE"""),"オビ,Red-A")</f>
        <v>オビ,Red-A</v>
      </c>
      <c r="I2306" s="108" t="str">
        <f>IFERROR(__xludf.DUMMYFUNCTION("""COMPUTED_VALUE"""),"青年")</f>
        <v>青年</v>
      </c>
      <c r="J2306" s="108"/>
      <c r="K2306" s="108"/>
      <c r="L2306" s="108" t="str">
        <f>IFERROR(__xludf.DUMMYFUNCTION("""COMPUTED_VALUE"""),"シーモアコミックス")</f>
        <v>シーモアコミックス</v>
      </c>
      <c r="M2306" s="115">
        <f>IFERROR(__xludf.DUMMYFUNCTION("""COMPUTED_VALUE"""),45612.0)</f>
        <v>45612</v>
      </c>
      <c r="N2306" s="59">
        <f>IFERROR(__xludf.DUMMYFUNCTION("""COMPUTED_VALUE"""),45764.66666666667)</f>
        <v>45764.66667</v>
      </c>
      <c r="O2306" s="108"/>
      <c r="P2306" s="114" t="str">
        <f>IFERROR(__xludf.DUMMYFUNCTION("""COMPUTED_VALUE"""),"可")</f>
        <v>可</v>
      </c>
      <c r="Q2306" s="111"/>
      <c r="R2306" s="108"/>
      <c r="S2306" s="108" t="str">
        <f>IFERROR(__xludf.DUMMYFUNCTION("""COMPUTED_VALUE"""),"20241018_シーモアコミックス_リアル選択肢（フルカラー）")</f>
        <v>20241018_シーモアコミックス_リアル選択肢（フルカラー）</v>
      </c>
      <c r="T2306" s="108" t="str">
        <f>IFERROR(__xludf.DUMMYFUNCTION("""COMPUTED_VALUE"""),"格納済み")</f>
        <v>格納済み</v>
      </c>
      <c r="U2306" s="15" t="str">
        <f>IFERROR(__xludf.DUMMYFUNCTION("""COMPUTED_VALUE"""),"© オビ/Red-A/TOPCO/シーモアコミックス")</f>
        <v>© オビ/Red-A/TOPCO/シーモアコミックス</v>
      </c>
      <c r="V2306" s="8" t="str">
        <f>IFERROR(__xludf.DUMMYFUNCTION("""COMPUTED_VALUE"""),"俺は男子校出身で、女子と話すなんて夢のまた夢。だから対策に恋愛シミュレーションゲームを始めたんだ。これで女子との会話もバッチリ！…のはずが、現実じゃ全く使えない！だってゲームみたいに選択肢なんて出てこないじゃん！
現実でもあんな選択肢があったらなぁ…。なんてことを考えてたら、突然目の前に選択肢が登場！？焦りつつもドキドキしながら選んだ選択肢で俺の人生が急展開！ゲーム感覚で全てが手に入るかも…？
でも、選ぶたびに思わぬ展開が待っていて…。俺のリアルが選択肢ひとつでこんなに変わるなんて予想外！この不思議な"&amp;"選択肢で俺の青春大逆転ストーリーが始まる――！？【桃色エンジェル】")</f>
        <v>俺は男子校出身で、女子と話すなんて夢のまた夢。だから対策に恋愛シミュレーションゲームを始めたんだ。これで女子との会話もバッチリ！…のはずが、現実じゃ全く使えない！だってゲームみたいに選択肢なんて出てこないじゃん！
現実でもあんな選択肢があったらなぁ…。なんてことを考えてたら、突然目の前に選択肢が登場！？焦りつつもドキドキしながら選んだ選択肢で俺の人生が急展開！ゲーム感覚で全てが手に入るかも…？
でも、選ぶたびに思わぬ展開が待っていて…。俺のリアルが選択肢ひとつでこんなに変わるなんて予想外！この不思議な選択肢で俺の青春大逆転ストーリーが始まる――！？【桃色エンジェル】</v>
      </c>
      <c r="W2306" s="14"/>
      <c r="X2306" s="14" t="str">
        <f>IFERROR(__xludf.DUMMYFUNCTION("""COMPUTED_VALUE"""),"有")</f>
        <v>有</v>
      </c>
      <c r="Y2306" s="8" t="str">
        <f>IFERROR(__xludf.DUMMYFUNCTION("""COMPUTED_VALUE"""),"2024/12/20まで1巻無料")</f>
        <v>2024/12/20まで1巻無料</v>
      </c>
      <c r="Z2306" s="7"/>
      <c r="AA2306" s="7"/>
      <c r="AB2306" s="7"/>
    </row>
    <row r="2307" ht="15.75" customHeight="1">
      <c r="A2307" s="76">
        <f>IFERROR(__xludf.DUMMYFUNCTION("""COMPUTED_VALUE"""),4324.0)</f>
        <v>4324</v>
      </c>
      <c r="B2307" s="108" t="str">
        <f>IFERROR(__xludf.DUMMYFUNCTION("""COMPUTED_VALUE"""),"確定")</f>
        <v>確定</v>
      </c>
      <c r="C2307" s="74">
        <f>IFERROR(__xludf.DUMMYFUNCTION("""COMPUTED_VALUE"""),45580.0)</f>
        <v>45580</v>
      </c>
      <c r="D2307" s="74">
        <f>IFERROR(__xludf.DUMMYFUNCTION("""COMPUTED_VALUE"""),45588.0)</f>
        <v>45588</v>
      </c>
      <c r="E2307" s="116">
        <f>IFERROR(__xludf.DUMMYFUNCTION("""COMPUTED_VALUE"""),289235.0)</f>
        <v>289235</v>
      </c>
      <c r="F2307" s="112" t="str">
        <f>IFERROR(__xludf.DUMMYFUNCTION("""COMPUTED_VALUE"""),"リアル選択肢【タテヨミ】")</f>
        <v>リアル選択肢【タテヨミ】</v>
      </c>
      <c r="G2307" s="69" t="str">
        <f>IFERROR(__xludf.DUMMYFUNCTION("""COMPUTED_VALUE"""),"1～6")</f>
        <v>1～6</v>
      </c>
      <c r="H2307" s="108" t="str">
        <f>IFERROR(__xludf.DUMMYFUNCTION("""COMPUTED_VALUE"""),"オビ,Red-A")</f>
        <v>オビ,Red-A</v>
      </c>
      <c r="I2307" s="108" t="str">
        <f>IFERROR(__xludf.DUMMYFUNCTION("""COMPUTED_VALUE"""),"青年")</f>
        <v>青年</v>
      </c>
      <c r="J2307" s="108"/>
      <c r="K2307" s="108"/>
      <c r="L2307" s="108" t="str">
        <f>IFERROR(__xludf.DUMMYFUNCTION("""COMPUTED_VALUE"""),"シーモアコミックス")</f>
        <v>シーモアコミックス</v>
      </c>
      <c r="M2307" s="115">
        <f>IFERROR(__xludf.DUMMYFUNCTION("""COMPUTED_VALUE"""),45612.0)</f>
        <v>45612</v>
      </c>
      <c r="N2307" s="59">
        <f>IFERROR(__xludf.DUMMYFUNCTION("""COMPUTED_VALUE"""),45673.0)</f>
        <v>45673</v>
      </c>
      <c r="O2307" s="108"/>
      <c r="P2307" s="110" t="str">
        <f>IFERROR(__xludf.DUMMYFUNCTION("""COMPUTED_VALUE"""),"可")</f>
        <v>可</v>
      </c>
      <c r="Q2307" s="111" t="str">
        <f>IFERROR(__xludf.DUMMYFUNCTION("""COMPUTED_VALUE"""),"※コマサム等素材は「289234リアル選択肢（フルカラー）」のほうをお使いください。&lt;BR&gt;バナー制作はフルカラー版の素材を利用して問題ございません。")</f>
        <v>※コマサム等素材は「289234リアル選択肢（フルカラー）」のほうをお使いください。&lt;BR&gt;バナー制作はフルカラー版の素材を利用して問題ございません。</v>
      </c>
      <c r="R2307" s="108"/>
      <c r="S2307" s="108" t="str">
        <f>IFERROR(__xludf.DUMMYFUNCTION("""COMPUTED_VALUE"""),"20241018_シーモアコミックス_リアル選択肢【タテヨミ】")</f>
        <v>20241018_シーモアコミックス_リアル選択肢【タテヨミ】</v>
      </c>
      <c r="T2307" s="108" t="str">
        <f>IFERROR(__xludf.DUMMYFUNCTION("""COMPUTED_VALUE"""),"格納済み")</f>
        <v>格納済み</v>
      </c>
      <c r="U2307" s="15" t="str">
        <f>IFERROR(__xludf.DUMMYFUNCTION("""COMPUTED_VALUE"""),"© オビ/Red-A/TOPCO/シーモアコミックス")</f>
        <v>© オビ/Red-A/TOPCO/シーモアコミックス</v>
      </c>
      <c r="V2307" s="8" t="str">
        <f>IFERROR(__xludf.DUMMYFUNCTION("""COMPUTED_VALUE"""),"俺は男子校出身で、女子と話すなんて夢のまた夢。だから対策に恋愛シミュレーションゲームを始めたんだ。これで女子との会話もバッチリ！…のはずが、現実じゃ全く使えない！だってゲームみたいに選択肢なんて出てこないじゃん！
現実でもあんな選択肢があったらなぁ…。なんてことを考えてたら、突然目の前に選択肢が登場！？焦りつつもドキドキしながら選んだ選択肢で俺の人生が急展開！ゲーム感覚で全てが手に入るかも…？
でも、選ぶたびに思わぬ展開が待っていて…。俺のリアルが選択肢ひとつでこんなに変わるなんて予想外！この不思議な"&amp;"選択肢で俺の青春大逆転ストーリーが始まる――！？【桃色エンジェル】")</f>
        <v>俺は男子校出身で、女子と話すなんて夢のまた夢。だから対策に恋愛シミュレーションゲームを始めたんだ。これで女子との会話もバッチリ！…のはずが、現実じゃ全く使えない！だってゲームみたいに選択肢なんて出てこないじゃん！
現実でもあんな選択肢があったらなぁ…。なんてことを考えてたら、突然目の前に選択肢が登場！？焦りつつもドキドキしながら選んだ選択肢で俺の人生が急展開！ゲーム感覚で全てが手に入るかも…？
でも、選ぶたびに思わぬ展開が待っていて…。俺のリアルが選択肢ひとつでこんなに変わるなんて予想外！この不思議な選択肢で俺の青春大逆転ストーリーが始まる――！？【桃色エンジェル】</v>
      </c>
      <c r="W2307" s="14"/>
      <c r="X2307" s="14" t="str">
        <f>IFERROR(__xludf.DUMMYFUNCTION("""COMPUTED_VALUE"""),"有")</f>
        <v>有</v>
      </c>
      <c r="Y2307" s="8" t="str">
        <f>IFERROR(__xludf.DUMMYFUNCTION("""COMPUTED_VALUE"""),"2024/12/20まで1～2巻無料")</f>
        <v>2024/12/20まで1～2巻無料</v>
      </c>
      <c r="Z2307" s="7"/>
      <c r="AA2307" s="7"/>
      <c r="AB2307" s="7"/>
    </row>
    <row r="2308" ht="15.75" customHeight="1">
      <c r="A2308" s="76">
        <f>IFERROR(__xludf.DUMMYFUNCTION("""COMPUTED_VALUE"""),4325.0)</f>
        <v>4325</v>
      </c>
      <c r="B2308" s="108" t="str">
        <f>IFERROR(__xludf.DUMMYFUNCTION("""COMPUTED_VALUE"""),"確定")</f>
        <v>確定</v>
      </c>
      <c r="C2308" s="74">
        <f>IFERROR(__xludf.DUMMYFUNCTION("""COMPUTED_VALUE"""),45580.0)</f>
        <v>45580</v>
      </c>
      <c r="D2308" s="74">
        <f>IFERROR(__xludf.DUMMYFUNCTION("""COMPUTED_VALUE"""),45588.0)</f>
        <v>45588</v>
      </c>
      <c r="E2308" s="116">
        <f>IFERROR(__xludf.DUMMYFUNCTION("""COMPUTED_VALUE"""),290968.0)</f>
        <v>290968</v>
      </c>
      <c r="F2308" s="112" t="str">
        <f>IFERROR(__xludf.DUMMYFUNCTION("""COMPUTED_VALUE"""),"幽閉されていた不遇少女は吸血鬼貴族に愛される")</f>
        <v>幽閉されていた不遇少女は吸血鬼貴族に愛される</v>
      </c>
      <c r="G2308" s="69" t="str">
        <f>IFERROR(__xludf.DUMMYFUNCTION("""COMPUTED_VALUE"""),"1～3")</f>
        <v>1～3</v>
      </c>
      <c r="H2308" s="108" t="str">
        <f>IFERROR(__xludf.DUMMYFUNCTION("""COMPUTED_VALUE"""),"アポポ,小椋康平")</f>
        <v>アポポ,小椋康平</v>
      </c>
      <c r="I2308" s="108" t="str">
        <f>IFERROR(__xludf.DUMMYFUNCTION("""COMPUTED_VALUE"""),"少女")</f>
        <v>少女</v>
      </c>
      <c r="J2308" s="108"/>
      <c r="K2308" s="108"/>
      <c r="L2308" s="108" t="str">
        <f>IFERROR(__xludf.DUMMYFUNCTION("""COMPUTED_VALUE"""),"シーモアコミックス")</f>
        <v>シーモアコミックス</v>
      </c>
      <c r="M2308" s="115">
        <f>IFERROR(__xludf.DUMMYFUNCTION("""COMPUTED_VALUE"""),45612.0)</f>
        <v>45612</v>
      </c>
      <c r="N2308" s="59">
        <f>IFERROR(__xludf.DUMMYFUNCTION("""COMPUTED_VALUE"""),45764.66666666667)</f>
        <v>45764.66667</v>
      </c>
      <c r="O2308" s="108"/>
      <c r="P2308" s="114" t="str">
        <f>IFERROR(__xludf.DUMMYFUNCTION("""COMPUTED_VALUE"""),"可")</f>
        <v>可</v>
      </c>
      <c r="Q2308" s="111"/>
      <c r="R2308" s="108"/>
      <c r="S2308" s="108" t="str">
        <f>IFERROR(__xludf.DUMMYFUNCTION("""COMPUTED_VALUE"""),"20241018_シーモアコミックス_幽閉されていた不遇少女は吸血鬼貴族に愛される")</f>
        <v>20241018_シーモアコミックス_幽閉されていた不遇少女は吸血鬼貴族に愛される</v>
      </c>
      <c r="T2308" s="108" t="str">
        <f>IFERROR(__xludf.DUMMYFUNCTION("""COMPUTED_VALUE"""),"格納済み")</f>
        <v>格納済み</v>
      </c>
      <c r="U2308" s="15" t="str">
        <f>IFERROR(__xludf.DUMMYFUNCTION("""COMPUTED_VALUE"""),"© アポポ/小椋康平/シーモアコミックス")</f>
        <v>© アポポ/小椋康平/シーモアコミックス</v>
      </c>
      <c r="V2308" s="8" t="str">
        <f>IFERROR(__xludf.DUMMYFUNCTION("""COMPUTED_VALUE"""),"とある貴族の家系に生まれたアローラは、家族の誰からも愛されず、虐げられて育てられてきた。呪われし娘として屋敷の敷地内から外に出ることが許されないアローラは、一生家の中で誰にも知られず死んでいくのだと人生を諦めていた。
そんなある日、家族から溺愛されて育った妹のニーナに騙されて極寒の中、屋敷外に追い出され鍵を閉められて凍え死にそうになるアローラは寒さをしのぐため、偶然、みつけた教会の中へ入っていく――。そこで出会ったのは、この世のものとは思えないほど淡く美しい吸血鬼のノワールだった！
人生に絶望し、吸血"&amp;"によって殺されることを望むアローラに対して容赦なく彼女の血を吸うノワール。しかし彼は血を吸った瞬間にアローラの虜になり…？【恋するソワレ】")</f>
        <v>とある貴族の家系に生まれたアローラは、家族の誰からも愛されず、虐げられて育てられてきた。呪われし娘として屋敷の敷地内から外に出ることが許されないアローラは、一生家の中で誰にも知られず死んでいくのだと人生を諦めていた。
そんなある日、家族から溺愛されて育った妹のニーナに騙されて極寒の中、屋敷外に追い出され鍵を閉められて凍え死にそうになるアローラは寒さをしのぐため、偶然、みつけた教会の中へ入っていく――。そこで出会ったのは、この世のものとは思えないほど淡く美しい吸血鬼のノワールだった！
人生に絶望し、吸血によって殺されることを望むアローラに対して容赦なく彼女の血を吸うノワール。しかし彼は血を吸った瞬間にアローラの虜になり…？【恋するソワレ】</v>
      </c>
      <c r="W2308" s="14"/>
      <c r="X2308" s="14" t="str">
        <f>IFERROR(__xludf.DUMMYFUNCTION("""COMPUTED_VALUE"""),"有")</f>
        <v>有</v>
      </c>
      <c r="Y2308" s="8" t="str">
        <f>IFERROR(__xludf.DUMMYFUNCTION("""COMPUTED_VALUE"""),"2024/12/20まで1巻無料")</f>
        <v>2024/12/20まで1巻無料</v>
      </c>
      <c r="Z2308" s="7"/>
      <c r="AA2308" s="7"/>
      <c r="AB2308" s="7"/>
    </row>
    <row r="2309" ht="15.75" customHeight="1">
      <c r="A2309" s="76">
        <f>IFERROR(__xludf.DUMMYFUNCTION("""COMPUTED_VALUE"""),4326.0)</f>
        <v>4326</v>
      </c>
      <c r="B2309" s="108" t="str">
        <f>IFERROR(__xludf.DUMMYFUNCTION("""COMPUTED_VALUE"""),"確定")</f>
        <v>確定</v>
      </c>
      <c r="C2309" s="74">
        <f>IFERROR(__xludf.DUMMYFUNCTION("""COMPUTED_VALUE"""),45580.0)</f>
        <v>45580</v>
      </c>
      <c r="D2309" s="74">
        <f>IFERROR(__xludf.DUMMYFUNCTION("""COMPUTED_VALUE"""),45588.0)</f>
        <v>45588</v>
      </c>
      <c r="E2309" s="116">
        <f>IFERROR(__xludf.DUMMYFUNCTION("""COMPUTED_VALUE"""),295991.0)</f>
        <v>295991</v>
      </c>
      <c r="F2309" s="112" t="str">
        <f>IFERROR(__xludf.DUMMYFUNCTION("""COMPUTED_VALUE"""),"ダメ、恋だと錯覚しちゃう～年上バーテンダーの極甘テク～")</f>
        <v>ダメ、恋だと錯覚しちゃう～年上バーテンダーの極甘テク～</v>
      </c>
      <c r="G2309" s="69" t="str">
        <f>IFERROR(__xludf.DUMMYFUNCTION("""COMPUTED_VALUE"""),"1～3")</f>
        <v>1～3</v>
      </c>
      <c r="H2309" s="108" t="str">
        <f>IFERROR(__xludf.DUMMYFUNCTION("""COMPUTED_VALUE"""),"京橋こより")</f>
        <v>京橋こより</v>
      </c>
      <c r="I2309" s="108" t="str">
        <f>IFERROR(__xludf.DUMMYFUNCTION("""COMPUTED_VALUE"""),"TL")</f>
        <v>TL</v>
      </c>
      <c r="J2309" s="108"/>
      <c r="K2309" s="108"/>
      <c r="L2309" s="108" t="str">
        <f>IFERROR(__xludf.DUMMYFUNCTION("""COMPUTED_VALUE"""),"シーモアコミックス")</f>
        <v>シーモアコミックス</v>
      </c>
      <c r="M2309" s="115">
        <f>IFERROR(__xludf.DUMMYFUNCTION("""COMPUTED_VALUE"""),45612.0)</f>
        <v>45612</v>
      </c>
      <c r="N2309" s="59">
        <f>IFERROR(__xludf.DUMMYFUNCTION("""COMPUTED_VALUE"""),45673.0)</f>
        <v>45673</v>
      </c>
      <c r="O2309" s="108"/>
      <c r="P2309" s="110" t="str">
        <f>IFERROR(__xludf.DUMMYFUNCTION("""COMPUTED_VALUE"""),"可")</f>
        <v>可</v>
      </c>
      <c r="Q2309" s="111" t="str">
        <f>IFERROR(__xludf.DUMMYFUNCTION("""COMPUTED_VALUE"""),"レーベル：スキして?桃色日記")</f>
        <v>レーベル：スキして?桃色日記</v>
      </c>
      <c r="R2309" s="108"/>
      <c r="S2309" s="108" t="str">
        <f>IFERROR(__xludf.DUMMYFUNCTION("""COMPUTED_VALUE"""),"20241018_シーモアコミックス_ダメ、恋だと錯覚しちゃう～年上バーテンダーの極甘テク～")</f>
        <v>20241018_シーモアコミックス_ダメ、恋だと錯覚しちゃう～年上バーテンダーの極甘テク～</v>
      </c>
      <c r="T2309" s="108" t="str">
        <f>IFERROR(__xludf.DUMMYFUNCTION("""COMPUTED_VALUE"""),"格納済み")</f>
        <v>格納済み</v>
      </c>
      <c r="U2309" s="15" t="str">
        <f>IFERROR(__xludf.DUMMYFUNCTION("""COMPUTED_VALUE"""),"© 京橋こより/シーモアコミックス")</f>
        <v>© 京橋こより/シーモアコミックス</v>
      </c>
      <c r="V2309" s="8" t="str">
        <f>IFERROR(__xludf.DUMMYFUNCTION("""COMPUTED_VALUE"""),"「いつも自分でしてるのか？」悠吾さんは私の敏感なところを長い指でなぞりながら、意地悪く聞く。
軽く羞恥心をあおられながら「…たまに…」そう答えると、彼は私の足を大きく開かせて――!!?
週末前の金曜日、瑛麻は仕事のストレスを発散しようとバーに向かった。店内はイケメンバーテンダーのせいか女性のお客さんも多い。
気づけば他の客は皆帰り、悠吾と二人きりになった瑛麻は、ほろ酔いでふと本音をこぼしてしまう。お酒で発散しているのは仕事のストレスだけじゃなくて、アッチの欲望も…だと。悠吾はいたずらっぽく「俺な"&amp;"ら、その欲望、発散させてあげられると思うけど…？」と瑛麻の髪に触れて―――！
年上バーテンダーと大人の関係から始まる、刺激的で甘い恋!!【桃色日記】")</f>
        <v>「いつも自分でしてるのか？」悠吾さんは私の敏感なところを長い指でなぞりながら、意地悪く聞く。
軽く羞恥心をあおられながら「…たまに…」そう答えると、彼は私の足を大きく開かせて――!!?
週末前の金曜日、瑛麻は仕事のストレスを発散しようとバーに向かった。店内はイケメンバーテンダーのせいか女性のお客さんも多い。
気づけば他の客は皆帰り、悠吾と二人きりになった瑛麻は、ほろ酔いでふと本音をこぼしてしまう。お酒で発散しているのは仕事のストレスだけじゃなくて、アッチの欲望も…だと。悠吾はいたずらっぽく「俺なら、その欲望、発散させてあげられると思うけど…？」と瑛麻の髪に触れて―――！
年上バーテンダーと大人の関係から始まる、刺激的で甘い恋!!【桃色日記】</v>
      </c>
      <c r="W2309" s="14"/>
      <c r="X2309" s="14" t="str">
        <f>IFERROR(__xludf.DUMMYFUNCTION("""COMPUTED_VALUE"""),"有")</f>
        <v>有</v>
      </c>
      <c r="Y2309" s="8" t="str">
        <f>IFERROR(__xludf.DUMMYFUNCTION("""COMPUTED_VALUE"""),"2024/12/20まで1巻無料")</f>
        <v>2024/12/20まで1巻無料</v>
      </c>
      <c r="Z2309" s="7"/>
      <c r="AA2309" s="7"/>
      <c r="AB2309" s="7"/>
    </row>
    <row r="2310" ht="15.75" customHeight="1">
      <c r="A2310" s="76">
        <f>IFERROR(__xludf.DUMMYFUNCTION("""COMPUTED_VALUE"""),4332.0)</f>
        <v>4332</v>
      </c>
      <c r="B2310" s="108" t="str">
        <f>IFERROR(__xludf.DUMMYFUNCTION("""COMPUTED_VALUE"""),"確定")</f>
        <v>確定</v>
      </c>
      <c r="C2310" s="74">
        <f>IFERROR(__xludf.DUMMYFUNCTION("""COMPUTED_VALUE"""),45581.0)</f>
        <v>45581</v>
      </c>
      <c r="D2310" s="74">
        <f>IFERROR(__xludf.DUMMYFUNCTION("""COMPUTED_VALUE"""),45588.0)</f>
        <v>45588</v>
      </c>
      <c r="E2310" s="112">
        <f>IFERROR(__xludf.DUMMYFUNCTION("""COMPUTED_VALUE"""),306666.0)</f>
        <v>306666</v>
      </c>
      <c r="F2310" s="112" t="str">
        <f>IFERROR(__xludf.DUMMYFUNCTION("""COMPUTED_VALUE"""),"【18禁】彼女のお姉さんに堕とされる【フルカラー版】")</f>
        <v>【18禁】彼女のお姉さんに堕とされる【フルカラー版】</v>
      </c>
      <c r="G2310" s="69" t="str">
        <f>IFERROR(__xludf.DUMMYFUNCTION("""COMPUTED_VALUE"""),"1～2")</f>
        <v>1～2</v>
      </c>
      <c r="H2310" s="108" t="str">
        <f>IFERROR(__xludf.DUMMYFUNCTION("""COMPUTED_VALUE"""),"どうしょく/白フグ/もえまん")</f>
        <v>どうしょく/白フグ/もえまん</v>
      </c>
      <c r="I2310" s="108" t="str">
        <f>IFERROR(__xludf.DUMMYFUNCTION("""COMPUTED_VALUE"""),"オトナ")</f>
        <v>オトナ</v>
      </c>
      <c r="J2310" s="108"/>
      <c r="K2310" s="108"/>
      <c r="L2310" s="108" t="str">
        <f>IFERROR(__xludf.DUMMYFUNCTION("""COMPUTED_VALUE"""),"アド・グッド")</f>
        <v>アド・グッド</v>
      </c>
      <c r="M2310" s="115">
        <f>IFERROR(__xludf.DUMMYFUNCTION("""COMPUTED_VALUE"""),45625.0)</f>
        <v>45625</v>
      </c>
      <c r="N2310" s="59">
        <f>IFERROR(__xludf.DUMMYFUNCTION("""COMPUTED_VALUE"""),45715.0)</f>
        <v>45715</v>
      </c>
      <c r="O2310" s="108"/>
      <c r="P2310" s="114" t="str">
        <f>IFERROR(__xludf.DUMMYFUNCTION("""COMPUTED_VALUE"""),"可")</f>
        <v>可</v>
      </c>
      <c r="Q2310" s="108"/>
      <c r="R2310" s="108" t="str">
        <f>IFERROR(__xludf.DUMMYFUNCTION("""COMPUTED_VALUE"""),"広告コミットOK（10/18）")</f>
        <v>広告コミットOK（10/18）</v>
      </c>
      <c r="S2310" s="108" t="str">
        <f>IFERROR(__xludf.DUMMYFUNCTION("""COMPUTED_VALUE"""),"20241016_アド・グッド_【18禁】彼女のお姉さんに堕とされる【フルカラー版】")</f>
        <v>20241016_アド・グッド_【18禁】彼女のお姉さんに堕とされる【フルカラー版】</v>
      </c>
      <c r="T2310" s="108" t="str">
        <f>IFERROR(__xludf.DUMMYFUNCTION("""COMPUTED_VALUE"""),"格納済み")</f>
        <v>格納済み</v>
      </c>
      <c r="U2310" s="15" t="str">
        <f>IFERROR(__xludf.DUMMYFUNCTION("""COMPUTED_VALUE"""),"(C)どうしょく/白フグ/もえまんR")</f>
        <v>(C)どうしょく/白フグ/もえまんR</v>
      </c>
      <c r="V2310" s="8" t="str">
        <f>IFERROR(__xludf.DUMMYFUNCTION("""COMPUTED_VALUE"""),"彼女と付き合って初めてのおうちデート。そこで迎えたのはドエロい彼女のお姉さんだった。彼女が席を外し、リビングに二人きりになった俺とお姉さん。なんだかやけに距離が近いし、やらしい手つきで体を触ってきて…！？勃起に気づいたお姉さんは、からかうように手コキ、フェラをする。あまりの気持ちよさに我慢できず口内射精をしてしまう。初めての彼女とのおうちデートがなんでこんなことに…！？彼女からの手コキもフェラも、お姉さんとは全然違う。彼女が出かけた隙にやってきたお姉さんにまた誘惑された俺は…。エロ過ぎるお姉さんに我慢でき"&amp;"ず、中出しセ●クスを懇願してしまう！")</f>
        <v>彼女と付き合って初めてのおうちデート。そこで迎えたのはドエロい彼女のお姉さんだった。彼女が席を外し、リビングに二人きりになった俺とお姉さん。なんだかやけに距離が近いし、やらしい手つきで体を触ってきて…！？勃起に気づいたお姉さんは、からかうように手コキ、フェラをする。あまりの気持ちよさに我慢できず口内射精をしてしまう。初めての彼女とのおうちデートがなんでこんなことに…！？彼女からの手コキもフェラも、お姉さんとは全然違う。彼女が出かけた隙にやってきたお姉さんにまた誘惑された俺は…。エロ過ぎるお姉さんに我慢できず、中出しセ●クスを懇願してしまう！</v>
      </c>
      <c r="W2310" s="14"/>
      <c r="X2310" s="14" t="str">
        <f>IFERROR(__xludf.DUMMYFUNCTION("""COMPUTED_VALUE"""),"有")</f>
        <v>有</v>
      </c>
      <c r="Y2310" s="8" t="str">
        <f>IFERROR(__xludf.DUMMYFUNCTION("""COMPUTED_VALUE"""),"P11まで")</f>
        <v>P11まで</v>
      </c>
      <c r="Z2310" s="7"/>
      <c r="AA2310" s="7"/>
      <c r="AB2310" s="7"/>
    </row>
    <row r="2311" ht="15.75" customHeight="1">
      <c r="A2311" s="76">
        <f>IFERROR(__xludf.DUMMYFUNCTION("""COMPUTED_VALUE"""),4337.0)</f>
        <v>4337</v>
      </c>
      <c r="B2311" s="108" t="str">
        <f>IFERROR(__xludf.DUMMYFUNCTION("""COMPUTED_VALUE"""),"確定")</f>
        <v>確定</v>
      </c>
      <c r="C2311" s="74">
        <f>IFERROR(__xludf.DUMMYFUNCTION("""COMPUTED_VALUE"""),45581.0)</f>
        <v>45581</v>
      </c>
      <c r="D2311" s="74">
        <f>IFERROR(__xludf.DUMMYFUNCTION("""COMPUTED_VALUE"""),45588.0)</f>
        <v>45588</v>
      </c>
      <c r="E2311" s="112">
        <f>IFERROR(__xludf.DUMMYFUNCTION("""COMPUTED_VALUE"""),306923.0)</f>
        <v>306923</v>
      </c>
      <c r="F2311" s="112" t="str">
        <f>IFERROR(__xludf.DUMMYFUNCTION("""COMPUTED_VALUE"""),"スイッチ・オン【分冊版】")</f>
        <v>スイッチ・オン【分冊版】</v>
      </c>
      <c r="G2311" s="69" t="str">
        <f>IFERROR(__xludf.DUMMYFUNCTION("""COMPUTED_VALUE"""),"1～10")</f>
        <v>1～10</v>
      </c>
      <c r="H2311" s="108" t="str">
        <f>IFERROR(__xludf.DUMMYFUNCTION("""COMPUTED_VALUE"""),"KMH (作画), 皮 (脚色)	")</f>
        <v>KMH (作画), 皮 (脚色)	</v>
      </c>
      <c r="I2311" s="108" t="str">
        <f>IFERROR(__xludf.DUMMYFUNCTION("""COMPUTED_VALUE"""),"青年")</f>
        <v>青年</v>
      </c>
      <c r="J2311" s="108"/>
      <c r="K2311" s="108"/>
      <c r="L2311" s="108" t="str">
        <f>IFERROR(__xludf.DUMMYFUNCTION("""COMPUTED_VALUE"""),"リバース")</f>
        <v>リバース</v>
      </c>
      <c r="M2311" s="115">
        <f>IFERROR(__xludf.DUMMYFUNCTION("""COMPUTED_VALUE"""),45620.0)</f>
        <v>45620</v>
      </c>
      <c r="N2311" s="23">
        <f>IFERROR(__xludf.DUMMYFUNCTION("""COMPUTED_VALUE"""),45711.0)</f>
        <v>45711</v>
      </c>
      <c r="O2311" s="108"/>
      <c r="P2311" s="110" t="str">
        <f>IFERROR(__xludf.DUMMYFUNCTION("""COMPUTED_VALUE"""),"可")</f>
        <v>可</v>
      </c>
      <c r="Q2311" s="108" t="str">
        <f>IFERROR(__xludf.DUMMYFUNCTION("""COMPUTED_VALUE"""),"・お色気作品&lt;BR&gt;・Toomicsでは配信中。他は国内配信はシーモアのみ。&lt;BR&gt;10巻目までで制作お願いします")</f>
        <v>・お色気作品&lt;BR&gt;・Toomicsでは配信中。他は国内配信はシーモアのみ。&lt;BR&gt;10巻目までで制作お願いします</v>
      </c>
      <c r="R2311" s="108" t="str">
        <f>IFERROR(__xludf.DUMMYFUNCTION("""COMPUTED_VALUE"""),"広告コミットOK(10/18)")</f>
        <v>広告コミットOK(10/18)</v>
      </c>
      <c r="S2311" s="108" t="str">
        <f>IFERROR(__xludf.DUMMYFUNCTION("""COMPUTED_VALUE"""),"20241022_リバース_スイッチ・オン【分冊版】")</f>
        <v>20241022_リバース_スイッチ・オン【分冊版】</v>
      </c>
      <c r="T2311" s="113" t="str">
        <f>IFERROR(__xludf.DUMMYFUNCTION("""COMPUTED_VALUE"""),"格納済み")</f>
        <v>格納済み</v>
      </c>
      <c r="U2311" s="15" t="str">
        <f>IFERROR(__xludf.DUMMYFUNCTION("""COMPUTED_VALUE"""),"(c)KMH, 皮, Toomics / GO5	")</f>
        <v>(c)KMH, 皮, Toomics / GO5	</v>
      </c>
      <c r="V2311" s="8" t="str">
        <f>IFERROR(__xludf.DUMMYFUNCTION("""COMPUTED_VALUE"""),"偶然知った先輩の趣味によって180度変わった俺たちの仲…先輩は俺の言いなりですよ？")</f>
        <v>偶然知った先輩の趣味によって180度変わった俺たちの仲…先輩は俺の言いなりですよ？</v>
      </c>
      <c r="W2311" s="14"/>
      <c r="X2311" s="14" t="str">
        <f>IFERROR(__xludf.DUMMYFUNCTION("""COMPUTED_VALUE"""),"有")</f>
        <v>有</v>
      </c>
      <c r="Y2311" s="8" t="str">
        <f>IFERROR(__xludf.DUMMYFUNCTION("""COMPUTED_VALUE"""),"2024/12/7まで1～3巻無料")</f>
        <v>2024/12/7まで1～3巻無料</v>
      </c>
      <c r="Z2311" s="7"/>
      <c r="AA2311" s="7"/>
      <c r="AB2311" s="7"/>
    </row>
    <row r="2312" ht="15.75" customHeight="1">
      <c r="A2312" s="76">
        <f>IFERROR(__xludf.DUMMYFUNCTION("""COMPUTED_VALUE"""),4338.0)</f>
        <v>4338</v>
      </c>
      <c r="B2312" s="108" t="str">
        <f>IFERROR(__xludf.DUMMYFUNCTION("""COMPUTED_VALUE"""),"確定")</f>
        <v>確定</v>
      </c>
      <c r="C2312" s="74">
        <f>IFERROR(__xludf.DUMMYFUNCTION("""COMPUTED_VALUE"""),45581.0)</f>
        <v>45581</v>
      </c>
      <c r="D2312" s="74">
        <f>IFERROR(__xludf.DUMMYFUNCTION("""COMPUTED_VALUE"""),45588.0)</f>
        <v>45588</v>
      </c>
      <c r="E2312" s="112">
        <f>IFERROR(__xludf.DUMMYFUNCTION("""COMPUTED_VALUE"""),306916.0)</f>
        <v>306916</v>
      </c>
      <c r="F2312" s="112" t="str">
        <f>IFERROR(__xludf.DUMMYFUNCTION("""COMPUTED_VALUE"""),"ライブ配信で会いましょう【分冊版】")</f>
        <v>ライブ配信で会いましょう【分冊版】</v>
      </c>
      <c r="G2312" s="69" t="str">
        <f>IFERROR(__xludf.DUMMYFUNCTION("""COMPUTED_VALUE"""),"1～10")</f>
        <v>1～10</v>
      </c>
      <c r="H2312" s="108" t="str">
        <f>IFERROR(__xludf.DUMMYFUNCTION("""COMPUTED_VALUE"""),"ラドン (作画), レモンキャンディー (脚色)	")</f>
        <v>ラドン (作画), レモンキャンディー (脚色)	</v>
      </c>
      <c r="I2312" s="108" t="str">
        <f>IFERROR(__xludf.DUMMYFUNCTION("""COMPUTED_VALUE"""),"青年")</f>
        <v>青年</v>
      </c>
      <c r="J2312" s="108"/>
      <c r="K2312" s="108"/>
      <c r="L2312" s="108" t="str">
        <f>IFERROR(__xludf.DUMMYFUNCTION("""COMPUTED_VALUE"""),"リバース")</f>
        <v>リバース</v>
      </c>
      <c r="M2312" s="115">
        <f>IFERROR(__xludf.DUMMYFUNCTION("""COMPUTED_VALUE"""),45620.0)</f>
        <v>45620</v>
      </c>
      <c r="N2312" s="23">
        <f>IFERROR(__xludf.DUMMYFUNCTION("""COMPUTED_VALUE"""),45711.0)</f>
        <v>45711</v>
      </c>
      <c r="O2312" s="108"/>
      <c r="P2312" s="110" t="str">
        <f>IFERROR(__xludf.DUMMYFUNCTION("""COMPUTED_VALUE"""),"可")</f>
        <v>可</v>
      </c>
      <c r="Q2312" s="108" t="str">
        <f>IFERROR(__xludf.DUMMYFUNCTION("""COMPUTED_VALUE"""),"・お色気作品&lt;BR&gt;・Toomicsでは配信中。他は国内配信はシーモアのみ。&lt;BR&gt;10巻目までで制作お願いします")</f>
        <v>・お色気作品&lt;BR&gt;・Toomicsでは配信中。他は国内配信はシーモアのみ。&lt;BR&gt;10巻目までで制作お願いします</v>
      </c>
      <c r="R2312" s="108" t="str">
        <f>IFERROR(__xludf.DUMMYFUNCTION("""COMPUTED_VALUE"""),"広告コミットOK(10/18)")</f>
        <v>広告コミットOK(10/18)</v>
      </c>
      <c r="S2312" s="108" t="str">
        <f>IFERROR(__xludf.DUMMYFUNCTION("""COMPUTED_VALUE"""),"20241022_リバース_ライブ配信で会いましょう【分冊版】")</f>
        <v>20241022_リバース_ライブ配信で会いましょう【分冊版】</v>
      </c>
      <c r="T2312" s="113" t="str">
        <f>IFERROR(__xludf.DUMMYFUNCTION("""COMPUTED_VALUE"""),"格納済み")</f>
        <v>格納済み</v>
      </c>
      <c r="U2312" s="15" t="str">
        <f>IFERROR(__xludf.DUMMYFUNCTION("""COMPUTED_VALUE"""),"(c)ラドン, レモンキャンディー, Toomics / GO5	")</f>
        <v>(c)ラドン, レモンキャンディー, Toomics / GO5	</v>
      </c>
      <c r="V2312" s="8" t="str">
        <f>IFERROR(__xludf.DUMMYFUNCTION("""COMPUTED_VALUE"""),"専業動画配信者を夢見る俺が崩れた家で運命のパートナーに出会う！特別なライブ配信スタート")</f>
        <v>専業動画配信者を夢見る俺が崩れた家で運命のパートナーに出会う！特別なライブ配信スタート</v>
      </c>
      <c r="W2312" s="14"/>
      <c r="X2312" s="14" t="str">
        <f>IFERROR(__xludf.DUMMYFUNCTION("""COMPUTED_VALUE"""),"有")</f>
        <v>有</v>
      </c>
      <c r="Y2312" s="8" t="str">
        <f>IFERROR(__xludf.DUMMYFUNCTION("""COMPUTED_VALUE"""),"2024/12/7まで1～3巻無料")</f>
        <v>2024/12/7まで1～3巻無料</v>
      </c>
      <c r="Z2312" s="7"/>
      <c r="AA2312" s="7"/>
      <c r="AB2312" s="7"/>
    </row>
    <row r="2313" ht="15.75" customHeight="1">
      <c r="A2313" s="76">
        <f>IFERROR(__xludf.DUMMYFUNCTION("""COMPUTED_VALUE"""),4339.0)</f>
        <v>4339</v>
      </c>
      <c r="B2313" s="108" t="str">
        <f>IFERROR(__xludf.DUMMYFUNCTION("""COMPUTED_VALUE"""),"確定")</f>
        <v>確定</v>
      </c>
      <c r="C2313" s="74">
        <f>IFERROR(__xludf.DUMMYFUNCTION("""COMPUTED_VALUE"""),45581.0)</f>
        <v>45581</v>
      </c>
      <c r="D2313" s="74">
        <f>IFERROR(__xludf.DUMMYFUNCTION("""COMPUTED_VALUE"""),45588.0)</f>
        <v>45588</v>
      </c>
      <c r="E2313" s="112">
        <f>IFERROR(__xludf.DUMMYFUNCTION("""COMPUTED_VALUE"""),306915.0)</f>
        <v>306915</v>
      </c>
      <c r="F2313" s="112" t="str">
        <f>IFERROR(__xludf.DUMMYFUNCTION("""COMPUTED_VALUE"""),"このご時世に家庭教師【分冊版】")</f>
        <v>このご時世に家庭教師【分冊版】</v>
      </c>
      <c r="G2313" s="69" t="str">
        <f>IFERROR(__xludf.DUMMYFUNCTION("""COMPUTED_VALUE"""),"1～10")</f>
        <v>1～10</v>
      </c>
      <c r="H2313" s="108" t="str">
        <f>IFERROR(__xludf.DUMMYFUNCTION("""COMPUTED_VALUE"""),"ラドン (作画), LObeam (脚色)	")</f>
        <v>ラドン (作画), LObeam (脚色)	</v>
      </c>
      <c r="I2313" s="108" t="str">
        <f>IFERROR(__xludf.DUMMYFUNCTION("""COMPUTED_VALUE"""),"青年")</f>
        <v>青年</v>
      </c>
      <c r="J2313" s="108"/>
      <c r="K2313" s="108"/>
      <c r="L2313" s="108" t="str">
        <f>IFERROR(__xludf.DUMMYFUNCTION("""COMPUTED_VALUE"""),"リバース")</f>
        <v>リバース</v>
      </c>
      <c r="M2313" s="115">
        <f>IFERROR(__xludf.DUMMYFUNCTION("""COMPUTED_VALUE"""),45620.0)</f>
        <v>45620</v>
      </c>
      <c r="N2313" s="23">
        <f>IFERROR(__xludf.DUMMYFUNCTION("""COMPUTED_VALUE"""),45711.0)</f>
        <v>45711</v>
      </c>
      <c r="O2313" s="108"/>
      <c r="P2313" s="110" t="str">
        <f>IFERROR(__xludf.DUMMYFUNCTION("""COMPUTED_VALUE"""),"可")</f>
        <v>可</v>
      </c>
      <c r="Q2313" s="108" t="str">
        <f>IFERROR(__xludf.DUMMYFUNCTION("""COMPUTED_VALUE"""),"・お色気作品&lt;BR&gt;・Toomicsでは配信中。他は国内配信はシーモアのみ。&lt;BR&gt;10巻目までで制作お願いします")</f>
        <v>・お色気作品&lt;BR&gt;・Toomicsでは配信中。他は国内配信はシーモアのみ。&lt;BR&gt;10巻目までで制作お願いします</v>
      </c>
      <c r="R2313" s="108" t="str">
        <f>IFERROR(__xludf.DUMMYFUNCTION("""COMPUTED_VALUE"""),"広告コミットOK(10/18)")</f>
        <v>広告コミットOK(10/18)</v>
      </c>
      <c r="S2313" s="108" t="str">
        <f>IFERROR(__xludf.DUMMYFUNCTION("""COMPUTED_VALUE"""),"20241022_リバース_このご時世に家庭教師【分冊版】")</f>
        <v>20241022_リバース_このご時世に家庭教師【分冊版】</v>
      </c>
      <c r="T2313" s="113" t="str">
        <f>IFERROR(__xludf.DUMMYFUNCTION("""COMPUTED_VALUE"""),"格納済み")</f>
        <v>格納済み</v>
      </c>
      <c r="U2313" s="15" t="str">
        <f>IFERROR(__xludf.DUMMYFUNCTION("""COMPUTED_VALUE"""),"(c)ラドン, LObeam, Toomics / GO5	")</f>
        <v>(c)ラドン, LObeam, Toomics / GO5	</v>
      </c>
      <c r="V2313" s="8" t="str">
        <f>IFERROR(__xludf.DUMMYFUNCTION("""COMPUTED_VALUE"""),"このご時世、職場が廃業し、憂鬱な日々を過ごしていた俺に舞い込んだ…家庭教師の依頼！だけど教えるのは勉強だけでなく…？生徒の無防備な姿に俺、どうにかなっちゃいそう！")</f>
        <v>このご時世、職場が廃業し、憂鬱な日々を過ごしていた俺に舞い込んだ…家庭教師の依頼！だけど教えるのは勉強だけでなく…？生徒の無防備な姿に俺、どうにかなっちゃいそう！</v>
      </c>
      <c r="W2313" s="14"/>
      <c r="X2313" s="14" t="str">
        <f>IFERROR(__xludf.DUMMYFUNCTION("""COMPUTED_VALUE"""),"有")</f>
        <v>有</v>
      </c>
      <c r="Y2313" s="8" t="str">
        <f>IFERROR(__xludf.DUMMYFUNCTION("""COMPUTED_VALUE"""),"2024/12/7まで1～3巻無料")</f>
        <v>2024/12/7まで1～3巻無料</v>
      </c>
      <c r="Z2313" s="7"/>
      <c r="AA2313" s="7"/>
      <c r="AB2313" s="7"/>
    </row>
    <row r="2314" ht="15.75" customHeight="1">
      <c r="A2314" s="76">
        <f>IFERROR(__xludf.DUMMYFUNCTION("""COMPUTED_VALUE"""),4354.0)</f>
        <v>4354</v>
      </c>
      <c r="B2314" s="108" t="str">
        <f>IFERROR(__xludf.DUMMYFUNCTION("""COMPUTED_VALUE"""),"確定")</f>
        <v>確定</v>
      </c>
      <c r="C2314" s="74">
        <f>IFERROR(__xludf.DUMMYFUNCTION("""COMPUTED_VALUE"""),45583.0)</f>
        <v>45583</v>
      </c>
      <c r="D2314" s="74">
        <f>IFERROR(__xludf.DUMMYFUNCTION("""COMPUTED_VALUE"""),45583.0)</f>
        <v>45583</v>
      </c>
      <c r="E2314" s="112">
        <f>IFERROR(__xludf.DUMMYFUNCTION("""COMPUTED_VALUE"""),308505.0)</f>
        <v>308505</v>
      </c>
      <c r="F2314" s="112" t="str">
        <f>IFERROR(__xludf.DUMMYFUNCTION("""COMPUTED_VALUE"""),"最強は田舎農家のおっさんでした～最高ランクのドラゴンを駆除した結果、実力が世界にバレました～【分冊版】")</f>
        <v>最強は田舎農家のおっさんでした～最高ランクのドラゴンを駆除した結果、実力が世界にバレました～【分冊版】</v>
      </c>
      <c r="G2314" s="69" t="str">
        <f>IFERROR(__xludf.DUMMYFUNCTION("""COMPUTED_VALUE"""),"1～6")</f>
        <v>1～6</v>
      </c>
      <c r="H2314" s="108" t="str">
        <f>IFERROR(__xludf.DUMMYFUNCTION("""COMPUTED_VALUE"""),"原作：天池のぞむ / 漫画：如月謙一")</f>
        <v>原作：天池のぞむ / 漫画：如月謙一</v>
      </c>
      <c r="I2314" s="108" t="str">
        <f>IFERROR(__xludf.DUMMYFUNCTION("""COMPUTED_VALUE"""),"少年")</f>
        <v>少年</v>
      </c>
      <c r="J2314" s="108"/>
      <c r="K2314" s="108"/>
      <c r="L2314" s="108" t="str">
        <f>IFERROR(__xludf.DUMMYFUNCTION("""COMPUTED_VALUE"""),"スクウェア・エニックス")</f>
        <v>スクウェア・エニックス</v>
      </c>
      <c r="M2314" s="23">
        <f>IFERROR(__xludf.DUMMYFUNCTION("""COMPUTED_VALUE"""),45627.0)</f>
        <v>45627</v>
      </c>
      <c r="N2314" s="47">
        <f>IFERROR(__xludf.DUMMYFUNCTION("""COMPUTED_VALUE"""),45716.0)</f>
        <v>45716</v>
      </c>
      <c r="O2314" s="108"/>
      <c r="P2314" s="110" t="str">
        <f>IFERROR(__xludf.DUMMYFUNCTION("""COMPUTED_VALUE"""),"否")</f>
        <v>否</v>
      </c>
      <c r="Q2314" s="108" t="str">
        <f>IFERROR(__xludf.DUMMYFUNCTION("""COMPUTED_VALUE"""),"■男性強化施策案件&lt;BR&gt;事前に河上さんからコミット可頂いております")</f>
        <v>■男性強化施策案件&lt;BR&gt;事前に河上さんからコミット可頂いております</v>
      </c>
      <c r="R2314" s="108" t="str">
        <f>IFERROR(__xludf.DUMMYFUNCTION("""COMPUTED_VALUE"""),"広告コミットOK")</f>
        <v>広告コミットOK</v>
      </c>
      <c r="S2314" s="108" t="str">
        <f>IFERROR(__xludf.DUMMYFUNCTION("""COMPUTED_VALUE"""),"20241018_スクウェア・エニックス_最強は田舎農家のおっさんでした～最高ランクのドラゴンを駆除した結果、実力が世界にバレました～")</f>
        <v>20241018_スクウェア・エニックス_最強は田舎農家のおっさんでした～最高ランクのドラゴンを駆除した結果、実力が世界にバレました～</v>
      </c>
      <c r="T2314" s="108" t="str">
        <f>IFERROR(__xludf.DUMMYFUNCTION("""COMPUTED_VALUE"""),"格納済み")</f>
        <v>格納済み</v>
      </c>
      <c r="U2314" s="15" t="str">
        <f>IFERROR(__xludf.DUMMYFUNCTION("""COMPUTED_VALUE"""),"(C)Nozomu Amaike (C)Kenichi Kisaragi/SQUARE ENIX")</f>
        <v>(C)Nozomu Amaike (C)Kenichi Kisaragi/SQUARE ENIX</v>
      </c>
      <c r="V2314" s="8" t="str">
        <f>IFERROR(__xludf.DUMMYFUNCTION("""COMPUTED_VALUE"""),"【大剣おじさん動画配信で無双する！】
所属していた配信ギルドは集客目当てにゴーシュをクビにする動画を配信。貶められた彼は一人、村で農業動画を配信していた。その最中ドラゴンが出現！軽々駆除するもその様子が配信されてしまい視聴者は大騒ぎ！
※この商品は「最強は田舎農家のおっさんでした～最高ランクのドラゴンを駆除した結果、実力が世界にバレました～」を1話ごとに分冊したものです。
(C)Nozomu Amaike (C)2025 Kenichi Kisaragi")</f>
        <v>【大剣おじさん動画配信で無双する！】
所属していた配信ギルドは集客目当てにゴーシュをクビにする動画を配信。貶められた彼は一人、村で農業動画を配信していた。その最中ドラゴンが出現！軽々駆除するもその様子が配信されてしまい視聴者は大騒ぎ！
※この商品は「最強は田舎農家のおっさんでした～最高ランクのドラゴンを駆除した結果、実力が世界にバレました～」を1話ごとに分冊したものです。
(C)Nozomu Amaike (C)2025 Kenichi Kisaragi</v>
      </c>
      <c r="W2314" s="14"/>
      <c r="X2314" s="14" t="str">
        <f>IFERROR(__xludf.DUMMYFUNCTION("""COMPUTED_VALUE"""),"有")</f>
        <v>有</v>
      </c>
      <c r="Y2314" s="8" t="str">
        <f>IFERROR(__xludf.DUMMYFUNCTION("""COMPUTED_VALUE"""),"2025/2/28まで1巻無料")</f>
        <v>2025/2/28まで1巻無料</v>
      </c>
      <c r="Z2314" s="7"/>
      <c r="AA2314" s="7"/>
      <c r="AB2314" s="7"/>
    </row>
    <row r="2315" ht="15.75" customHeight="1">
      <c r="A2315" s="76">
        <f>IFERROR(__xludf.DUMMYFUNCTION("""COMPUTED_VALUE"""),4365.0)</f>
        <v>4365</v>
      </c>
      <c r="B2315" s="108" t="str">
        <f>IFERROR(__xludf.DUMMYFUNCTION("""COMPUTED_VALUE"""),"確定")</f>
        <v>確定</v>
      </c>
      <c r="C2315" s="74">
        <f>IFERROR(__xludf.DUMMYFUNCTION("""COMPUTED_VALUE"""),45586.0)</f>
        <v>45586</v>
      </c>
      <c r="D2315" s="74">
        <f>IFERROR(__xludf.DUMMYFUNCTION("""COMPUTED_VALUE"""),45587.0)</f>
        <v>45587</v>
      </c>
      <c r="E2315" s="112">
        <f>IFERROR(__xludf.DUMMYFUNCTION("""COMPUTED_VALUE"""),306707.0)</f>
        <v>306707</v>
      </c>
      <c r="F2315" s="112" t="str">
        <f>IFERROR(__xludf.DUMMYFUNCTION("""COMPUTED_VALUE"""),"金魚の屍骸は沼の底")</f>
        <v>金魚の屍骸は沼の底</v>
      </c>
      <c r="G2315" s="69" t="str">
        <f>IFERROR(__xludf.DUMMYFUNCTION("""COMPUTED_VALUE"""),"1～3")</f>
        <v>1～3</v>
      </c>
      <c r="H2315" s="108" t="str">
        <f>IFERROR(__xludf.DUMMYFUNCTION("""COMPUTED_VALUE"""),"閏あくあ┴蓮井子鹿┴parasite garden")</f>
        <v>閏あくあ┴蓮井子鹿┴parasite garden</v>
      </c>
      <c r="I2315" s="108" t="str">
        <f>IFERROR(__xludf.DUMMYFUNCTION("""COMPUTED_VALUE"""),"TL")</f>
        <v>TL</v>
      </c>
      <c r="J2315" s="108"/>
      <c r="K2315" s="108"/>
      <c r="L2315" s="108" t="str">
        <f>IFERROR(__xludf.DUMMYFUNCTION("""COMPUTED_VALUE"""),"クロスフォリオ出版")</f>
        <v>クロスフォリオ出版</v>
      </c>
      <c r="M2315" s="115">
        <f>IFERROR(__xludf.DUMMYFUNCTION("""COMPUTED_VALUE"""),45611.0)</f>
        <v>45611</v>
      </c>
      <c r="N2315" s="59">
        <f>IFERROR(__xludf.DUMMYFUNCTION("""COMPUTED_VALUE"""),45673.0)</f>
        <v>45673</v>
      </c>
      <c r="O2315" s="108"/>
      <c r="P2315" s="110" t="str">
        <f>IFERROR(__xludf.DUMMYFUNCTION("""COMPUTED_VALUE"""),"可")</f>
        <v>可</v>
      </c>
      <c r="Q2315" s="111" t="str">
        <f>IFERROR(__xludf.DUMMYFUNCTION("""COMPUTED_VALUE"""),"河上さん事前コミットの『parasite garden』作品です。")</f>
        <v>河上さん事前コミットの『parasite garden』作品です。</v>
      </c>
      <c r="R2315" s="108"/>
      <c r="S2315" s="108" t="str">
        <f>IFERROR(__xludf.DUMMYFUNCTION("""COMPUTED_VALUE"""),"20241021_BookLive_金魚の屍骸は沼の底")</f>
        <v>20241021_BookLive_金魚の屍骸は沼の底</v>
      </c>
      <c r="T2315" s="108" t="str">
        <f>IFERROR(__xludf.DUMMYFUNCTION("""COMPUTED_VALUE"""),"格納済み")</f>
        <v>格納済み</v>
      </c>
      <c r="U2315" s="15" t="str">
        <f>IFERROR(__xludf.DUMMYFUNCTION("""COMPUTED_VALUE"""),"(C)閏あくあ/蓮井子鹿/parasite garden/クロスフォリオ出版")</f>
        <v>(C)閏あくあ/蓮井子鹿/parasite garden/クロスフォリオ出版</v>
      </c>
      <c r="V2315" s="8" t="str">
        <f>IFERROR(__xludf.DUMMYFUNCTION("""COMPUTED_VALUE"""),"私には双子の弟がいた。名前は澄透(すみゆき)
スマートでとっても優しくて、格好良くて何でもできる完璧な弟。
一方私は、体も弱くてどんくさくて働くことすらできない。
幼い頃からずーっと弟に頼りっぱなし。
私……澄透の人生を奪ってる気がする。
昔からなんでも澄透にやってもらっていた
今だって生活の全てを澄透にやってもらっている。
だから、弟離れをして自立しようと思ったそれなのに――
「どうして、依存してくれないの?」
弟は、私を”姉”としてではなく”女”として愛し自分に依存さ"&amp;"せるように仕向けていた。
双子の弟の歪んだ愛が私を沼の底に引きずり込んで溺れさせていく――
※本作は閏あくあ、蓮井子鹿の個人誌作品の電子書籍版となります。【18ページ】")</f>
        <v>私には双子の弟がいた。名前は澄透(すみゆき)
スマートでとっても優しくて、格好良くて何でもできる完璧な弟。
一方私は、体も弱くてどんくさくて働くことすらできない。
幼い頃からずーっと弟に頼りっぱなし。
私……澄透の人生を奪ってる気がする。
昔からなんでも澄透にやってもらっていた
今だって生活の全てを澄透にやってもらっている。
だから、弟離れをして自立しようと思ったそれなのに――
「どうして、依存してくれないの?」
弟は、私を”姉”としてではなく”女”として愛し自分に依存させるように仕向けていた。
双子の弟の歪んだ愛が私を沼の底に引きずり込んで溺れさせていく――
※本作は閏あくあ、蓮井子鹿の個人誌作品の電子書籍版となります。【18ページ】</v>
      </c>
      <c r="W2315" s="14"/>
      <c r="X2315" s="14" t="str">
        <f>IFERROR(__xludf.DUMMYFUNCTION("""COMPUTED_VALUE"""),"有")</f>
        <v>有</v>
      </c>
      <c r="Y2315" s="8" t="str">
        <f>IFERROR(__xludf.DUMMYFUNCTION("""COMPUTED_VALUE"""),"P10まで")</f>
        <v>P10まで</v>
      </c>
      <c r="Z2315" s="7"/>
      <c r="AA2315" s="7"/>
      <c r="AB2315" s="7"/>
    </row>
    <row r="2316" ht="15.75" customHeight="1">
      <c r="A2316" s="76">
        <f>IFERROR(__xludf.DUMMYFUNCTION("""COMPUTED_VALUE"""),4366.0)</f>
        <v>4366</v>
      </c>
      <c r="B2316" s="108" t="str">
        <f>IFERROR(__xludf.DUMMYFUNCTION("""COMPUTED_VALUE"""),"確定")</f>
        <v>確定</v>
      </c>
      <c r="C2316" s="74">
        <f>IFERROR(__xludf.DUMMYFUNCTION("""COMPUTED_VALUE"""),45586.0)</f>
        <v>45586</v>
      </c>
      <c r="D2316" s="74">
        <f>IFERROR(__xludf.DUMMYFUNCTION("""COMPUTED_VALUE"""),45587.0)</f>
        <v>45587</v>
      </c>
      <c r="E2316" s="112">
        <f>IFERROR(__xludf.DUMMYFUNCTION("""COMPUTED_VALUE"""),306709.0)</f>
        <v>306709</v>
      </c>
      <c r="F2316" s="112" t="str">
        <f>IFERROR(__xludf.DUMMYFUNCTION("""COMPUTED_VALUE"""),"金魚の屍骸は沼の底【R版】")</f>
        <v>金魚の屍骸は沼の底【R版】</v>
      </c>
      <c r="G2316" s="69" t="str">
        <f>IFERROR(__xludf.DUMMYFUNCTION("""COMPUTED_VALUE"""),"1～3")</f>
        <v>1～3</v>
      </c>
      <c r="H2316" s="108" t="str">
        <f>IFERROR(__xludf.DUMMYFUNCTION("""COMPUTED_VALUE"""),"閏あくあ┴蓮井子鹿┴parasite garden")</f>
        <v>閏あくあ┴蓮井子鹿┴parasite garden</v>
      </c>
      <c r="I2316" s="108" t="str">
        <f>IFERROR(__xludf.DUMMYFUNCTION("""COMPUTED_VALUE"""),"オトナ")</f>
        <v>オトナ</v>
      </c>
      <c r="J2316" s="108"/>
      <c r="K2316" s="108"/>
      <c r="L2316" s="108" t="str">
        <f>IFERROR(__xludf.DUMMYFUNCTION("""COMPUTED_VALUE"""),"クロスフォリオ出版")</f>
        <v>クロスフォリオ出版</v>
      </c>
      <c r="M2316" s="115">
        <f>IFERROR(__xludf.DUMMYFUNCTION("""COMPUTED_VALUE"""),45611.0)</f>
        <v>45611</v>
      </c>
      <c r="N2316" s="59">
        <f>IFERROR(__xludf.DUMMYFUNCTION("""COMPUTED_VALUE"""),45673.0)</f>
        <v>45673</v>
      </c>
      <c r="O2316" s="108"/>
      <c r="P2316" s="110" t="str">
        <f>IFERROR(__xludf.DUMMYFUNCTION("""COMPUTED_VALUE"""),"可")</f>
        <v>可</v>
      </c>
      <c r="Q2316" s="111" t="str">
        <f>IFERROR(__xludf.DUMMYFUNCTION("""COMPUTED_VALUE"""),"河上さん事前コミットの『parasite garden』作品です。")</f>
        <v>河上さん事前コミットの『parasite garden』作品です。</v>
      </c>
      <c r="R2316" s="108"/>
      <c r="S2316" s="108" t="str">
        <f>IFERROR(__xludf.DUMMYFUNCTION("""COMPUTED_VALUE"""),"20241021_BookLive_金魚の屍骸は沼の底【R版】")</f>
        <v>20241021_BookLive_金魚の屍骸は沼の底【R版】</v>
      </c>
      <c r="T2316" s="108" t="str">
        <f>IFERROR(__xludf.DUMMYFUNCTION("""COMPUTED_VALUE"""),"格納済み")</f>
        <v>格納済み</v>
      </c>
      <c r="U2316" s="15" t="str">
        <f>IFERROR(__xludf.DUMMYFUNCTION("""COMPUTED_VALUE"""),"(C)閏あくあ/蓮井子鹿/parasite garden/クロスフォリオ出版")</f>
        <v>(C)閏あくあ/蓮井子鹿/parasite garden/クロスフォリオ出版</v>
      </c>
      <c r="V2316" s="8" t="str">
        <f>IFERROR(__xludf.DUMMYFUNCTION("""COMPUTED_VALUE"""),"私には双子の弟がいた。名前は澄透(すみゆき)
スマートでとっても優しくて、格好良くて何でもできる完璧な弟。
一方私は、体も弱くてどんくさくて働くことすらできない。
幼い頃からずーっと弟に頼りっぱなし。
私……澄透の人生を奪ってる気がする。
昔からなんでも澄透にやってもらっていた
今だって生活の全てを澄透にやってもらっている。
だから、弟離れをして自立しようと思ったそれなのに――
「どうして、依存してくれないの?」
弟は、私を”姉”としてではなく”女”として愛し自分に依存さ"&amp;"せるように仕向けていた。
双子の弟の歪んだ愛が私を沼の底に引きずり込んで溺れさせていく――
※本作は『金魚の死骸は沼の底』の修正をやや弱めたものです。内容に差異はありません。
※本作は閏あくあ、蓮井子鹿の個人誌作品の電子書籍版となります。【18ページ】
※本作は『金魚の屍骸は沼の底』の修正をやや弱めたものです。内容に差異はありません。")</f>
        <v>私には双子の弟がいた。名前は澄透(すみゆき)
スマートでとっても優しくて、格好良くて何でもできる完璧な弟。
一方私は、体も弱くてどんくさくて働くことすらできない。
幼い頃からずーっと弟に頼りっぱなし。
私……澄透の人生を奪ってる気がする。
昔からなんでも澄透にやってもらっていた
今だって生活の全てを澄透にやってもらっている。
だから、弟離れをして自立しようと思ったそれなのに――
「どうして、依存してくれないの?」
弟は、私を”姉”としてではなく”女”として愛し自分に依存させるように仕向けていた。
双子の弟の歪んだ愛が私を沼の底に引きずり込んで溺れさせていく――
※本作は『金魚の死骸は沼の底』の修正をやや弱めたものです。内容に差異はありません。
※本作は閏あくあ、蓮井子鹿の個人誌作品の電子書籍版となります。【18ページ】
※本作は『金魚の屍骸は沼の底』の修正をやや弱めたものです。内容に差異はありません。</v>
      </c>
      <c r="W2316" s="14"/>
      <c r="X2316" s="14" t="str">
        <f>IFERROR(__xludf.DUMMYFUNCTION("""COMPUTED_VALUE"""),"有")</f>
        <v>有</v>
      </c>
      <c r="Y2316" s="8" t="str">
        <f>IFERROR(__xludf.DUMMYFUNCTION("""COMPUTED_VALUE"""),"P10まで")</f>
        <v>P10まで</v>
      </c>
      <c r="Z2316" s="7"/>
      <c r="AA2316" s="7"/>
      <c r="AB2316" s="7"/>
    </row>
    <row r="2317" ht="15.75" customHeight="1">
      <c r="A2317" s="76">
        <f>IFERROR(__xludf.DUMMYFUNCTION("""COMPUTED_VALUE"""),4367.0)</f>
        <v>4367</v>
      </c>
      <c r="B2317" s="108" t="str">
        <f>IFERROR(__xludf.DUMMYFUNCTION("""COMPUTED_VALUE"""),"確定")</f>
        <v>確定</v>
      </c>
      <c r="C2317" s="74">
        <f>IFERROR(__xludf.DUMMYFUNCTION("""COMPUTED_VALUE"""),45586.0)</f>
        <v>45586</v>
      </c>
      <c r="D2317" s="74">
        <f>IFERROR(__xludf.DUMMYFUNCTION("""COMPUTED_VALUE"""),45587.0)</f>
        <v>45587</v>
      </c>
      <c r="E2317" s="116">
        <f>IFERROR(__xludf.DUMMYFUNCTION("""COMPUTED_VALUE"""),304141.0)</f>
        <v>304141</v>
      </c>
      <c r="F2317" s="112" t="str">
        <f>IFERROR(__xludf.DUMMYFUNCTION("""COMPUTED_VALUE"""),"社長令嬢復讐日記")</f>
        <v>社長令嬢復讐日記</v>
      </c>
      <c r="G2317" s="69" t="str">
        <f>IFERROR(__xludf.DUMMYFUNCTION("""COMPUTED_VALUE"""),"1～5")</f>
        <v>1～5</v>
      </c>
      <c r="H2317" s="108" t="str">
        <f>IFERROR(__xludf.DUMMYFUNCTION("""COMPUTED_VALUE"""),"1～39話：柞,wato,スズキユカリ,えんがわ,おとうふ
40話～： wato,日向ひこ,柞,スズキユカリ,えんがわ,おとうふ")</f>
        <v>1～39話：柞,wato,スズキユカリ,えんがわ,おとうふ
40話～： wato,日向ひこ,柞,スズキユカリ,えんがわ,おとうふ</v>
      </c>
      <c r="I2317" s="108" t="str">
        <f>IFERROR(__xludf.DUMMYFUNCTION("""COMPUTED_VALUE"""),"青年")</f>
        <v>青年</v>
      </c>
      <c r="J2317" s="108"/>
      <c r="K2317" s="108"/>
      <c r="L2317" s="108" t="str">
        <f>IFERROR(__xludf.DUMMYFUNCTION("""COMPUTED_VALUE"""),"シーモアコミックス（トレモア）")</f>
        <v>シーモアコミックス（トレモア）</v>
      </c>
      <c r="M2317" s="115">
        <f>IFERROR(__xludf.DUMMYFUNCTION("""COMPUTED_VALUE"""),45625.0)</f>
        <v>45625</v>
      </c>
      <c r="N2317" s="59">
        <f>IFERROR(__xludf.DUMMYFUNCTION("""COMPUTED_VALUE"""),45953.66666666667)</f>
        <v>45953.66667</v>
      </c>
      <c r="O2317" s="108"/>
      <c r="P2317" s="110" t="str">
        <f>IFERROR(__xludf.DUMMYFUNCTION("""COMPUTED_VALUE"""),"可")</f>
        <v>可</v>
      </c>
      <c r="Q2317" s="111" t="str">
        <f>IFERROR(__xludf.DUMMYFUNCTION("""COMPUTED_VALUE"""),"※TIFサイズが規定と違うものになります。&lt;BR&gt;1話：5433×7559&lt;BR&gt;2話：4630×6402&lt;BR&gt;3話：4630×6402&lt;BR&gt;4話：4630×6402&lt;BR&gt;5話：4630×6402")</f>
        <v>※TIFサイズが規定と違うものになります。&lt;BR&gt;1話：5433×7559&lt;BR&gt;2話：4630×6402&lt;BR&gt;3話：4630×6402&lt;BR&gt;4話：4630×6402&lt;BR&gt;5話：4630×6402</v>
      </c>
      <c r="R2317" s="108"/>
      <c r="S2317" s="108" t="str">
        <f>IFERROR(__xludf.DUMMYFUNCTION("""COMPUTED_VALUE"""),"20241021_シーモアコミックス_社長令嬢復讐日記")</f>
        <v>20241021_シーモアコミックス_社長令嬢復讐日記</v>
      </c>
      <c r="T2317" s="108" t="str">
        <f>IFERROR(__xludf.DUMMYFUNCTION("""COMPUTED_VALUE"""),"格納済み")</f>
        <v>格納済み</v>
      </c>
      <c r="U2317" s="15" t="str">
        <f>IFERROR(__xludf.DUMMYFUNCTION("""COMPUTED_VALUE"""),"1～39話：© wato/柞/スズキユカリ/えんがわ/おとうふ/シーモアコミックス
40話～：ⓒ wato/日向ひこ/柞/スズキユカリ/えんがわ/おとうふ/シーモアコミックス")</f>
        <v>1～39話：© wato/柞/スズキユカリ/えんがわ/おとうふ/シーモアコミックス
40話～：ⓒ wato/日向ひこ/柞/スズキユカリ/えんがわ/おとうふ/シーモアコミックス</v>
      </c>
      <c r="V2317" s="8" t="str">
        <f>IFERROR(__xludf.DUMMYFUNCTION("""COMPUTED_VALUE"""),"県内一の進学校に通うゆうたは、生徒会長を含む3人から日々悲惨ないじめにあっていた。いじめられながらも、自分を献身的に支えてくれる妹のために耐えていたが、その妹すらも彼らによって「壊され」てしまう。そんな中やってきた、謎の美女転校生「美玲」は、自分の使命である「世直し」を開始するというが――？")</f>
        <v>県内一の進学校に通うゆうたは、生徒会長を含む3人から日々悲惨ないじめにあっていた。いじめられながらも、自分を献身的に支えてくれる妹のために耐えていたが、その妹すらも彼らによって「壊され」てしまう。そんな中やってきた、謎の美女転校生「美玲」は、自分の使命である「世直し」を開始するというが――？</v>
      </c>
      <c r="W2317" s="14"/>
      <c r="X2317" s="14" t="str">
        <f>IFERROR(__xludf.DUMMYFUNCTION("""COMPUTED_VALUE"""),"有")</f>
        <v>有</v>
      </c>
      <c r="Y2317" s="8" t="str">
        <f>IFERROR(__xludf.DUMMYFUNCTION("""COMPUTED_VALUE"""),"2024/12/31まで1巻無料")</f>
        <v>2024/12/31まで1巻無料</v>
      </c>
      <c r="Z2317" s="7"/>
      <c r="AA2317" s="7"/>
      <c r="AB2317" s="7"/>
    </row>
    <row r="2318" ht="15.75" customHeight="1">
      <c r="A2318" s="76">
        <f>IFERROR(__xludf.DUMMYFUNCTION("""COMPUTED_VALUE"""),4369.0)</f>
        <v>4369</v>
      </c>
      <c r="B2318" s="108" t="str">
        <f>IFERROR(__xludf.DUMMYFUNCTION("""COMPUTED_VALUE"""),"確定")</f>
        <v>確定</v>
      </c>
      <c r="C2318" s="74">
        <f>IFERROR(__xludf.DUMMYFUNCTION("""COMPUTED_VALUE"""),45586.0)</f>
        <v>45586</v>
      </c>
      <c r="D2318" s="74">
        <f>IFERROR(__xludf.DUMMYFUNCTION("""COMPUTED_VALUE"""),45587.0)</f>
        <v>45587</v>
      </c>
      <c r="E2318" s="112">
        <f>IFERROR(__xludf.DUMMYFUNCTION("""COMPUTED_VALUE"""),305696.0)</f>
        <v>305696</v>
      </c>
      <c r="F2318" s="112" t="str">
        <f>IFERROR(__xludf.DUMMYFUNCTION("""COMPUTED_VALUE"""),"死に戻ったので、我慢はやめます！")</f>
        <v>死に戻ったので、我慢はやめます！</v>
      </c>
      <c r="G2318" s="69">
        <f>IFERROR(__xludf.DUMMYFUNCTION("""COMPUTED_VALUE"""),1.0)</f>
        <v>1</v>
      </c>
      <c r="H2318" s="108" t="str">
        <f>IFERROR(__xludf.DUMMYFUNCTION("""COMPUTED_VALUE"""),"七ツ河ほづみ⊥楢山幕府")</f>
        <v>七ツ河ほづみ⊥楢山幕府</v>
      </c>
      <c r="I2318" s="108" t="str">
        <f>IFERROR(__xludf.DUMMYFUNCTION("""COMPUTED_VALUE"""),"少女")</f>
        <v>少女</v>
      </c>
      <c r="J2318" s="108"/>
      <c r="K2318" s="108"/>
      <c r="L2318" s="108" t="str">
        <f>IFERROR(__xludf.DUMMYFUNCTION("""COMPUTED_VALUE"""),"笠倉出版社")</f>
        <v>笠倉出版社</v>
      </c>
      <c r="M2318" s="115">
        <f>IFERROR(__xludf.DUMMYFUNCTION("""COMPUTED_VALUE"""),45606.0)</f>
        <v>45606</v>
      </c>
      <c r="N2318" s="59">
        <f>IFERROR(__xludf.DUMMYFUNCTION("""COMPUTED_VALUE"""),45635.0)</f>
        <v>45635</v>
      </c>
      <c r="O2318" s="108"/>
      <c r="P2318" s="110" t="str">
        <f>IFERROR(__xludf.DUMMYFUNCTION("""COMPUTED_VALUE"""),"可")</f>
        <v>可</v>
      </c>
      <c r="Q2318" s="111" t="str">
        <f>IFERROR(__xludf.DUMMYFUNCTION("""COMPUTED_VALUE"""),"可能な範囲で出稿をお願いいたします。&lt;BR&gt;「どうやら死に戻ったようなので、今度こそ幸せを掴み取ってみせますわアンソロジーコミック 1巻」収録作品")</f>
        <v>可能な範囲で出稿をお願いいたします。&lt;BR&gt;「どうやら死に戻ったようなので、今度こそ幸せを掴み取ってみせますわアンソロジーコミック 1巻」収録作品</v>
      </c>
      <c r="R2318" s="108"/>
      <c r="S2318" s="108" t="str">
        <f>IFERROR(__xludf.DUMMYFUNCTION("""COMPUTED_VALUE"""),"20241021_笠倉出版社_死に戻ったので、我慢はやめます！")</f>
        <v>20241021_笠倉出版社_死に戻ったので、我慢はやめます！</v>
      </c>
      <c r="T2318" s="108" t="str">
        <f>IFERROR(__xludf.DUMMYFUNCTION("""COMPUTED_VALUE"""),"格納済み")</f>
        <v>格納済み</v>
      </c>
      <c r="U2318" s="15" t="str">
        <f>IFERROR(__xludf.DUMMYFUNCTION("""COMPUTED_VALUE"""),"©七ツ河ほづみ/楢山幕府/笠倉出版社")</f>
        <v>©七ツ河ほづみ/楢山幕府/笠倉出版社</v>
      </c>
      <c r="V2318" s="8" t="str">
        <f>IFERROR(__xludf.DUMMYFUNCTION("""COMPUTED_VALUE"""),"夫・ノエルから軽視されても、初夜に現れなくても、愛人がいても、母の教えの通りに我慢してきたリリ。精神的にも肉体的にも限界を迎え、死んだと思ったら嫁いだ翌日に時間が戻っていて…。今度こそ我慢はやめようと、まずは夫・ノエルへ初夜のことを問いただしに行くと、彼は顔を赤くして…!?※この作品は『どうやら死に戻ったようなので、今度こそ幸せを掴み取ってみせますわアンソロジーコミック』1巻に収録されているものと同一の内容を単話版として再編集したものです。重複購入にご注意ください。")</f>
        <v>夫・ノエルから軽視されても、初夜に現れなくても、愛人がいても、母の教えの通りに我慢してきたリリ。精神的にも肉体的にも限界を迎え、死んだと思ったら嫁いだ翌日に時間が戻っていて…。今度こそ我慢はやめようと、まずは夫・ノエルへ初夜のことを問いただしに行くと、彼は顔を赤くして…!?※この作品は『どうやら死に戻ったようなので、今度こそ幸せを掴み取ってみせますわアンソロジーコミック』1巻に収録されているものと同一の内容を単話版として再編集したものです。重複購入にご注意ください。</v>
      </c>
      <c r="W2318" s="14"/>
      <c r="X2318" s="14" t="str">
        <f>IFERROR(__xludf.DUMMYFUNCTION("""COMPUTED_VALUE"""),"有")</f>
        <v>有</v>
      </c>
      <c r="Y2318" s="8" t="str">
        <f>IFERROR(__xludf.DUMMYFUNCTION("""COMPUTED_VALUE"""),"P10まで")</f>
        <v>P10まで</v>
      </c>
      <c r="Z2318" s="7"/>
      <c r="AA2318" s="7"/>
      <c r="AB2318" s="7"/>
    </row>
    <row r="2319" ht="15.75" customHeight="1">
      <c r="A2319" s="76">
        <f>IFERROR(__xludf.DUMMYFUNCTION("""COMPUTED_VALUE"""),4372.0)</f>
        <v>4372</v>
      </c>
      <c r="B2319" s="108" t="str">
        <f>IFERROR(__xludf.DUMMYFUNCTION("""COMPUTED_VALUE"""),"確定")</f>
        <v>確定</v>
      </c>
      <c r="C2319" s="74">
        <f>IFERROR(__xludf.DUMMYFUNCTION("""COMPUTED_VALUE"""),45587.0)</f>
        <v>45587</v>
      </c>
      <c r="D2319" s="74">
        <f>IFERROR(__xludf.DUMMYFUNCTION("""COMPUTED_VALUE"""),45587.0)</f>
        <v>45587</v>
      </c>
      <c r="E2319" s="116">
        <f>IFERROR(__xludf.DUMMYFUNCTION("""COMPUTED_VALUE"""),285612.0)</f>
        <v>285612</v>
      </c>
      <c r="F2319" s="112" t="str">
        <f>IFERROR(__xludf.DUMMYFUNCTION("""COMPUTED_VALUE"""),"ぱい☆パニック ～イってはいけないVRの世界～(フルカラー)")</f>
        <v>ぱい☆パニック ～イってはいけないVRの世界～(フルカラー)</v>
      </c>
      <c r="G2319" s="69" t="str">
        <f>IFERROR(__xludf.DUMMYFUNCTION("""COMPUTED_VALUE"""),"1～3")</f>
        <v>1～3</v>
      </c>
      <c r="H2319" s="108" t="str">
        <f>IFERROR(__xludf.DUMMYFUNCTION("""COMPUTED_VALUE"""),"inkey,和泉万夜")</f>
        <v>inkey,和泉万夜</v>
      </c>
      <c r="I2319" s="108" t="str">
        <f>IFERROR(__xludf.DUMMYFUNCTION("""COMPUTED_VALUE"""),"青年")</f>
        <v>青年</v>
      </c>
      <c r="J2319" s="108"/>
      <c r="K2319" s="108"/>
      <c r="L2319" s="108" t="str">
        <f>IFERROR(__xludf.DUMMYFUNCTION("""COMPUTED_VALUE"""),"シーモアコミックス")</f>
        <v>シーモアコミックス</v>
      </c>
      <c r="M2319" s="115">
        <f>IFERROR(__xludf.DUMMYFUNCTION("""COMPUTED_VALUE"""),45619.0)</f>
        <v>45619</v>
      </c>
      <c r="N2319" s="59">
        <f>IFERROR(__xludf.DUMMYFUNCTION("""COMPUTED_VALUE"""),45771.66666666667)</f>
        <v>45771.66667</v>
      </c>
      <c r="O2319" s="108"/>
      <c r="P2319" s="114" t="str">
        <f>IFERROR(__xludf.DUMMYFUNCTION("""COMPUTED_VALUE"""),"可")</f>
        <v>可</v>
      </c>
      <c r="Q2319" s="111"/>
      <c r="R2319" s="108"/>
      <c r="S2319" s="108" t="str">
        <f>IFERROR(__xludf.DUMMYFUNCTION("""COMPUTED_VALUE"""),"20241021_シーモアコミックス_ぱい☆パニック ～イってはいけないVRの世界～（フルカラー）")</f>
        <v>20241021_シーモアコミックス_ぱい☆パニック ～イってはいけないVRの世界～（フルカラー）</v>
      </c>
      <c r="T2319" s="108" t="str">
        <f>IFERROR(__xludf.DUMMYFUNCTION("""COMPUTED_VALUE"""),"格納済み")</f>
        <v>格納済み</v>
      </c>
      <c r="U2319" s="15" t="str">
        <f>IFERROR(__xludf.DUMMYFUNCTION("""COMPUTED_VALUE"""),"© inkey/和泉万夜/シーモアコミックス")</f>
        <v>© inkey/和泉万夜/シーモアコミックス</v>
      </c>
      <c r="V2319" s="8" t="str">
        <f>IFERROR(__xludf.DUMMYFUNCTION("""COMPUTED_VALUE"""),"「ぱい☆パニック」シリーズの新作登場！マニアの間で伝説のクソゲーとされている『Panic of Paipai』。それを手に入れた主人公は、VRを装着して早速ログイン。しかし、サービス終了されているはずのそのゲームの中で、なぜか裸の美少女が登場！？しかもいきなり出されたクエストは「お前らエロいことしろ」だと！？このゲーム、いったいどうなってるんだ！？【桃色エンジェル】")</f>
        <v>「ぱい☆パニック」シリーズの新作登場！マニアの間で伝説のクソゲーとされている『Panic of Paipai』。それを手に入れた主人公は、VRを装着して早速ログイン。しかし、サービス終了されているはずのそのゲームの中で、なぜか裸の美少女が登場！？しかもいきなり出されたクエストは「お前らエロいことしろ」だと！？このゲーム、いったいどうなってるんだ！？【桃色エンジェル】</v>
      </c>
      <c r="W2319" s="14"/>
      <c r="X2319" s="14" t="str">
        <f>IFERROR(__xludf.DUMMYFUNCTION("""COMPUTED_VALUE"""),"有")</f>
        <v>有</v>
      </c>
      <c r="Y2319" s="8" t="str">
        <f>IFERROR(__xludf.DUMMYFUNCTION("""COMPUTED_VALUE"""),"2024/12/27まで1巻無料")</f>
        <v>2024/12/27まで1巻無料</v>
      </c>
      <c r="Z2319" s="7"/>
      <c r="AA2319" s="7"/>
      <c r="AB2319" s="7"/>
    </row>
    <row r="2320" ht="15.75" customHeight="1">
      <c r="A2320" s="76">
        <f>IFERROR(__xludf.DUMMYFUNCTION("""COMPUTED_VALUE"""),4373.0)</f>
        <v>4373</v>
      </c>
      <c r="B2320" s="108" t="str">
        <f>IFERROR(__xludf.DUMMYFUNCTION("""COMPUTED_VALUE"""),"確定")</f>
        <v>確定</v>
      </c>
      <c r="C2320" s="74">
        <f>IFERROR(__xludf.DUMMYFUNCTION("""COMPUTED_VALUE"""),45587.0)</f>
        <v>45587</v>
      </c>
      <c r="D2320" s="74">
        <f>IFERROR(__xludf.DUMMYFUNCTION("""COMPUTED_VALUE"""),45587.0)</f>
        <v>45587</v>
      </c>
      <c r="E2320" s="116">
        <f>IFERROR(__xludf.DUMMYFUNCTION("""COMPUTED_VALUE"""),292407.0)</f>
        <v>292407</v>
      </c>
      <c r="F2320" s="112" t="str">
        <f>IFERROR(__xludf.DUMMYFUNCTION("""COMPUTED_VALUE"""),"愛してはイケナイ")</f>
        <v>愛してはイケナイ</v>
      </c>
      <c r="G2320" s="69" t="str">
        <f>IFERROR(__xludf.DUMMYFUNCTION("""COMPUTED_VALUE"""),"1～3")</f>
        <v>1～3</v>
      </c>
      <c r="H2320" s="108" t="str">
        <f>IFERROR(__xludf.DUMMYFUNCTION("""COMPUTED_VALUE"""),"すた")</f>
        <v>すた</v>
      </c>
      <c r="I2320" s="108" t="str">
        <f>IFERROR(__xludf.DUMMYFUNCTION("""COMPUTED_VALUE"""),"BL")</f>
        <v>BL</v>
      </c>
      <c r="J2320" s="108"/>
      <c r="K2320" s="108"/>
      <c r="L2320" s="108" t="str">
        <f>IFERROR(__xludf.DUMMYFUNCTION("""COMPUTED_VALUE"""),"シーモアコミックス")</f>
        <v>シーモアコミックス</v>
      </c>
      <c r="M2320" s="115">
        <f>IFERROR(__xludf.DUMMYFUNCTION("""COMPUTED_VALUE"""),45619.0)</f>
        <v>45619</v>
      </c>
      <c r="N2320" s="59">
        <f>IFERROR(__xludf.DUMMYFUNCTION("""COMPUTED_VALUE"""),45771.66666666667)</f>
        <v>45771.66667</v>
      </c>
      <c r="O2320" s="108"/>
      <c r="P2320" s="114" t="str">
        <f>IFERROR(__xludf.DUMMYFUNCTION("""COMPUTED_VALUE"""),"可")</f>
        <v>可</v>
      </c>
      <c r="Q2320" s="111"/>
      <c r="R2320" s="108"/>
      <c r="S2320" s="108" t="str">
        <f>IFERROR(__xludf.DUMMYFUNCTION("""COMPUTED_VALUE"""),"20241021_シーモアコミックス_愛してはイケナイ")</f>
        <v>20241021_シーモアコミックス_愛してはイケナイ</v>
      </c>
      <c r="T2320" s="108" t="str">
        <f>IFERROR(__xludf.DUMMYFUNCTION("""COMPUTED_VALUE"""),"格納済み")</f>
        <v>格納済み</v>
      </c>
      <c r="U2320" s="15" t="str">
        <f>IFERROR(__xludf.DUMMYFUNCTION("""COMPUTED_VALUE"""),"© すた/シーモアコミックス")</f>
        <v>© すた/シーモアコミックス</v>
      </c>
      <c r="V2320" s="8" t="str">
        <f>IFERROR(__xludf.DUMMYFUNCTION("""COMPUTED_VALUE"""),"「オッサンが舐めろっつったら嬉しそうに舐めるんだよ」
元No.1ホストの伊藤春夜（いとうしゅんや）は、とある理由からメンズセラピー『zaddy（ザディ）』の面接を受ける。そこは、男性顧客相手に心と体の癒やしを提供する会員制の夜の店ーー。体験入店で初めて男の相手をすることになり、選ばれたのはNo.1セラピストの奏輔（そうすけ）だった。無精ひげを蓄えた冴えないオッサンが相手と知って反発を覚える春夜だったけれど…？
客とも同僚セラピストとも恋愛は禁止ーー初めてづくしのステップアップ・ラブ開幕！【フィカス】")</f>
        <v>「オッサンが舐めろっつったら嬉しそうに舐めるんだよ」
元No.1ホストの伊藤春夜（いとうしゅんや）は、とある理由からメンズセラピー『zaddy（ザディ）』の面接を受ける。そこは、男性顧客相手に心と体の癒やしを提供する会員制の夜の店ーー。体験入店で初めて男の相手をすることになり、選ばれたのはNo.1セラピストの奏輔（そうすけ）だった。無精ひげを蓄えた冴えないオッサンが相手と知って反発を覚える春夜だったけれど…？
客とも同僚セラピストとも恋愛は禁止ーー初めてづくしのステップアップ・ラブ開幕！【フィカス】</v>
      </c>
      <c r="W2320" s="14"/>
      <c r="X2320" s="14" t="str">
        <f>IFERROR(__xludf.DUMMYFUNCTION("""COMPUTED_VALUE"""),"有")</f>
        <v>有</v>
      </c>
      <c r="Y2320" s="8" t="str">
        <f>IFERROR(__xludf.DUMMYFUNCTION("""COMPUTED_VALUE"""),"2024/12/27まで1巻無料")</f>
        <v>2024/12/27まで1巻無料</v>
      </c>
      <c r="Z2320" s="7"/>
      <c r="AA2320" s="7"/>
      <c r="AB2320" s="7"/>
    </row>
    <row r="2321" ht="15.75" customHeight="1">
      <c r="A2321" s="76">
        <f>IFERROR(__xludf.DUMMYFUNCTION("""COMPUTED_VALUE"""),4374.0)</f>
        <v>4374</v>
      </c>
      <c r="B2321" s="108" t="str">
        <f>IFERROR(__xludf.DUMMYFUNCTION("""COMPUTED_VALUE"""),"確定")</f>
        <v>確定</v>
      </c>
      <c r="C2321" s="74">
        <f>IFERROR(__xludf.DUMMYFUNCTION("""COMPUTED_VALUE"""),45587.0)</f>
        <v>45587</v>
      </c>
      <c r="D2321" s="74">
        <f>IFERROR(__xludf.DUMMYFUNCTION("""COMPUTED_VALUE"""),45587.0)</f>
        <v>45587</v>
      </c>
      <c r="E2321" s="116">
        <f>IFERROR(__xludf.DUMMYFUNCTION("""COMPUTED_VALUE"""),294813.0)</f>
        <v>294813</v>
      </c>
      <c r="F2321" s="112" t="str">
        <f>IFERROR(__xludf.DUMMYFUNCTION("""COMPUTED_VALUE"""),"ふたりのαに娶られて")</f>
        <v>ふたりのαに娶られて</v>
      </c>
      <c r="G2321" s="69" t="str">
        <f>IFERROR(__xludf.DUMMYFUNCTION("""COMPUTED_VALUE"""),"1～6")</f>
        <v>1～6</v>
      </c>
      <c r="H2321" s="108" t="str">
        <f>IFERROR(__xludf.DUMMYFUNCTION("""COMPUTED_VALUE"""),"鈴代")</f>
        <v>鈴代</v>
      </c>
      <c r="I2321" s="108" t="str">
        <f>IFERROR(__xludf.DUMMYFUNCTION("""COMPUTED_VALUE"""),"BL")</f>
        <v>BL</v>
      </c>
      <c r="J2321" s="108"/>
      <c r="K2321" s="108"/>
      <c r="L2321" s="108" t="str">
        <f>IFERROR(__xludf.DUMMYFUNCTION("""COMPUTED_VALUE"""),"シーモアコミックス")</f>
        <v>シーモアコミックス</v>
      </c>
      <c r="M2321" s="115">
        <f>IFERROR(__xludf.DUMMYFUNCTION("""COMPUTED_VALUE"""),45619.0)</f>
        <v>45619</v>
      </c>
      <c r="N2321" s="59">
        <f>IFERROR(__xludf.DUMMYFUNCTION("""COMPUTED_VALUE"""),45771.66666666667)</f>
        <v>45771.66667</v>
      </c>
      <c r="O2321" s="108"/>
      <c r="P2321" s="114" t="str">
        <f>IFERROR(__xludf.DUMMYFUNCTION("""COMPUTED_VALUE"""),"可")</f>
        <v>可</v>
      </c>
      <c r="Q2321" s="111"/>
      <c r="R2321" s="108"/>
      <c r="S2321" s="108" t="str">
        <f>IFERROR(__xludf.DUMMYFUNCTION("""COMPUTED_VALUE"""),"20241021_シーモアコミックス_ふたりのαに娶られて")</f>
        <v>20241021_シーモアコミックス_ふたりのαに娶られて</v>
      </c>
      <c r="T2321" s="108" t="str">
        <f>IFERROR(__xludf.DUMMYFUNCTION("""COMPUTED_VALUE"""),"格納済み")</f>
        <v>格納済み</v>
      </c>
      <c r="U2321" s="15" t="str">
        <f>IFERROR(__xludf.DUMMYFUNCTION("""COMPUTED_VALUE"""),"© 鈴代/シーモアコミックス")</f>
        <v>© 鈴代/シーモアコミックス</v>
      </c>
      <c r="V2321" s="8" t="str">
        <f>IFERROR(__xludf.DUMMYFUNCTION("""COMPUTED_VALUE"""),"「どっちが先に番になるか、競争でもするか？」
20歳を迎えたΩの流星（りゅうせい）は、相性率が98％の自身の婚約者α・愛之介（あいのすけ）と結婚するため、初めて鑑（かがみ）家へやって来る。ところがそこには、彼の兄で同じくαの志穏（しおん）が待ち構えていた。そして相性率が100％の志穏と対峙し、初めての発情（ヒート）を経験することになりーー？
優しく愛情深い愛之介と俺様で独占欲の強い志穏――二人に翻弄される流星は、いったいどちらの番になるのかーー…。 鈴代が贈る、待望のオメガバースBLスタート！【本作品"&amp;"は他社より配信されていた「ふたりのαに娶られて」を一部加筆修正したものです。重複購入にご注意ください】【フィカス】")</f>
        <v>「どっちが先に番になるか、競争でもするか？」
20歳を迎えたΩの流星（りゅうせい）は、相性率が98％の自身の婚約者α・愛之介（あいのすけ）と結婚するため、初めて鑑（かがみ）家へやって来る。ところがそこには、彼の兄で同じくαの志穏（しおん）が待ち構えていた。そして相性率が100％の志穏と対峙し、初めての発情（ヒート）を経験することになりーー？
優しく愛情深い愛之介と俺様で独占欲の強い志穏――二人に翻弄される流星は、いったいどちらの番になるのかーー…。 鈴代が贈る、待望のオメガバースBLスタート！【本作品は他社より配信されていた「ふたりのαに娶られて」を一部加筆修正したものです。重複購入にご注意ください】【フィカス】</v>
      </c>
      <c r="W2321" s="14"/>
      <c r="X2321" s="14" t="str">
        <f>IFERROR(__xludf.DUMMYFUNCTION("""COMPUTED_VALUE"""),"有")</f>
        <v>有</v>
      </c>
      <c r="Y2321" s="8" t="str">
        <f>IFERROR(__xludf.DUMMYFUNCTION("""COMPUTED_VALUE"""),"2024/12/27まで1巻無料")</f>
        <v>2024/12/27まで1巻無料</v>
      </c>
      <c r="Z2321" s="7"/>
      <c r="AA2321" s="7"/>
      <c r="AB2321" s="7"/>
    </row>
    <row r="2322" ht="15.75" customHeight="1">
      <c r="A2322" s="76">
        <f>IFERROR(__xludf.DUMMYFUNCTION("""COMPUTED_VALUE"""),4377.0)</f>
        <v>4377</v>
      </c>
      <c r="B2322" s="108" t="str">
        <f>IFERROR(__xludf.DUMMYFUNCTION("""COMPUTED_VALUE"""),"確定")</f>
        <v>確定</v>
      </c>
      <c r="C2322" s="74">
        <f>IFERROR(__xludf.DUMMYFUNCTION("""COMPUTED_VALUE"""),45587.0)</f>
        <v>45587</v>
      </c>
      <c r="D2322" s="74">
        <f>IFERROR(__xludf.DUMMYFUNCTION("""COMPUTED_VALUE"""),45587.0)</f>
        <v>45587</v>
      </c>
      <c r="E2322" s="112">
        <f>IFERROR(__xludf.DUMMYFUNCTION("""COMPUTED_VALUE"""),306403.0)</f>
        <v>306403</v>
      </c>
      <c r="F2322" s="112" t="str">
        <f>IFERROR(__xludf.DUMMYFUNCTION("""COMPUTED_VALUE"""),"今世では、ひとりで生きようと思います。そのはずが…")</f>
        <v>今世では、ひとりで生きようと思います。そのはずが…</v>
      </c>
      <c r="G2322" s="69" t="str">
        <f>IFERROR(__xludf.DUMMYFUNCTION("""COMPUTED_VALUE"""),"1～3")</f>
        <v>1～3</v>
      </c>
      <c r="H2322" s="108" t="str">
        <f>IFERROR(__xludf.DUMMYFUNCTION("""COMPUTED_VALUE"""),"藤いちのせ/未知香")</f>
        <v>藤いちのせ/未知香</v>
      </c>
      <c r="I2322" s="108" t="str">
        <f>IFERROR(__xludf.DUMMYFUNCTION("""COMPUTED_VALUE"""),"少女")</f>
        <v>少女</v>
      </c>
      <c r="J2322" s="108"/>
      <c r="K2322" s="108"/>
      <c r="L2322" s="108" t="str">
        <f>IFERROR(__xludf.DUMMYFUNCTION("""COMPUTED_VALUE"""),"ファンギルド")</f>
        <v>ファンギルド</v>
      </c>
      <c r="M2322" s="115">
        <f>IFERROR(__xludf.DUMMYFUNCTION("""COMPUTED_VALUE"""),45617.0)</f>
        <v>45617</v>
      </c>
      <c r="N2322" s="59">
        <f>IFERROR(__xludf.DUMMYFUNCTION("""COMPUTED_VALUE"""),45672.0)</f>
        <v>45672</v>
      </c>
      <c r="O2322" s="108"/>
      <c r="P2322" s="110" t="str">
        <f>IFERROR(__xludf.DUMMYFUNCTION("""COMPUTED_VALUE"""),"可")</f>
        <v>可</v>
      </c>
      <c r="Q2322" s="111" t="str">
        <f>IFERROR(__xludf.DUMMYFUNCTION("""COMPUTED_VALUE"""),"『COMICスピラ』レーベル作品です。")</f>
        <v>『COMICスピラ』レーベル作品です。</v>
      </c>
      <c r="R2322" s="108"/>
      <c r="S2322" s="108" t="str">
        <f>IFERROR(__xludf.DUMMYFUNCTION("""COMPUTED_VALUE"""),"20241021_ファンギルド_今世では、ひとりで生きようと思います。そのはずが…")</f>
        <v>20241021_ファンギルド_今世では、ひとりで生きようと思います。そのはずが…</v>
      </c>
      <c r="T2322" s="108" t="str">
        <f>IFERROR(__xludf.DUMMYFUNCTION("""COMPUTED_VALUE"""),"格納済み")</f>
        <v>格納済み</v>
      </c>
      <c r="U2322" s="15" t="str">
        <f>IFERROR(__xludf.DUMMYFUNCTION("""COMPUTED_VALUE"""),"©藤いちのせ/未知香/ファンギルド")</f>
        <v>©藤いちのせ/未知香/ファンギルド</v>
      </c>
      <c r="V2322" s="8" t="str">
        <f>IFERROR(__xludf.DUMMYFUNCTION("""COMPUTED_VALUE"""),"「今度は自分のための人生を手に入れるのよ」侯爵令嬢マリーシャは魔術を全く使えず、家族から疎まれていた。そんな彼女にとって、婚約者であるハインリヒの存在が励みだった。だが、ハインリヒと義妹・カノリアの浮気を目撃したことをきっかけに、マリーシャは自分の前世が『黒聖女』だったことを思い出す。今度の人生は自分のために生きることを決め、逃げようとするマリーシャ。そんな彼女の前に苦しむセオドアが現れて…一人で生きていきたいマリーシャと彼女を手に入れたいセオドアの仮初の婚約者生活の行方はー！？")</f>
        <v>「今度は自分のための人生を手に入れるのよ」侯爵令嬢マリーシャは魔術を全く使えず、家族から疎まれていた。そんな彼女にとって、婚約者であるハインリヒの存在が励みだった。だが、ハインリヒと義妹・カノリアの浮気を目撃したことをきっかけに、マリーシャは自分の前世が『黒聖女』だったことを思い出す。今度の人生は自分のために生きることを決め、逃げようとするマリーシャ。そんな彼女の前に苦しむセオドアが現れて…一人で生きていきたいマリーシャと彼女を手に入れたいセオドアの仮初の婚約者生活の行方はー！？</v>
      </c>
      <c r="W2322" s="14"/>
      <c r="X2322" s="14" t="str">
        <f>IFERROR(__xludf.DUMMYFUNCTION("""COMPUTED_VALUE"""),"有")</f>
        <v>有</v>
      </c>
      <c r="Y2322" s="8" t="str">
        <f>IFERROR(__xludf.DUMMYFUNCTION("""COMPUTED_VALUE"""),"2024/12/4まで1巻無料")</f>
        <v>2024/12/4まで1巻無料</v>
      </c>
      <c r="Z2322" s="7"/>
      <c r="AA2322" s="7"/>
      <c r="AB2322" s="7"/>
    </row>
    <row r="2323" ht="15.75" customHeight="1">
      <c r="A2323" s="76">
        <f>IFERROR(__xludf.DUMMYFUNCTION("""COMPUTED_VALUE"""),4378.0)</f>
        <v>4378</v>
      </c>
      <c r="B2323" s="108" t="str">
        <f>IFERROR(__xludf.DUMMYFUNCTION("""COMPUTED_VALUE"""),"確定")</f>
        <v>確定</v>
      </c>
      <c r="C2323" s="74">
        <f>IFERROR(__xludf.DUMMYFUNCTION("""COMPUTED_VALUE"""),45587.0)</f>
        <v>45587</v>
      </c>
      <c r="D2323" s="74">
        <f>IFERROR(__xludf.DUMMYFUNCTION("""COMPUTED_VALUE"""),45587.0)</f>
        <v>45587</v>
      </c>
      <c r="E2323" s="112">
        <f>IFERROR(__xludf.DUMMYFUNCTION("""COMPUTED_VALUE"""),306534.0)</f>
        <v>306534</v>
      </c>
      <c r="F2323" s="112" t="str">
        <f>IFERROR(__xludf.DUMMYFUNCTION("""COMPUTED_VALUE"""),"ダメ男チャンネル～夢追う無職・SNS命男編～")</f>
        <v>ダメ男チャンネル～夢追う無職・SNS命男編～</v>
      </c>
      <c r="G2323" s="69" t="str">
        <f>IFERROR(__xludf.DUMMYFUNCTION("""COMPUTED_VALUE"""),"1~4")</f>
        <v>1~4</v>
      </c>
      <c r="H2323" s="108" t="str">
        <f>IFERROR(__xludf.DUMMYFUNCTION("""COMPUTED_VALUE"""),"柊みずか")</f>
        <v>柊みずか</v>
      </c>
      <c r="I2323" s="108" t="str">
        <f>IFERROR(__xludf.DUMMYFUNCTION("""COMPUTED_VALUE"""),"女性")</f>
        <v>女性</v>
      </c>
      <c r="J2323" s="108"/>
      <c r="K2323" s="108"/>
      <c r="L2323" s="108" t="str">
        <f>IFERROR(__xludf.DUMMYFUNCTION("""COMPUTED_VALUE"""),"ファンギルド")</f>
        <v>ファンギルド</v>
      </c>
      <c r="M2323" s="115">
        <f>IFERROR(__xludf.DUMMYFUNCTION("""COMPUTED_VALUE"""),45623.0)</f>
        <v>45623</v>
      </c>
      <c r="N2323" s="115">
        <f>IFERROR(__xludf.DUMMYFUNCTION("""COMPUTED_VALUE"""),45650.0)</f>
        <v>45650</v>
      </c>
      <c r="O2323" s="108"/>
      <c r="P2323" s="114" t="str">
        <f>IFERROR(__xludf.DUMMYFUNCTION("""COMPUTED_VALUE"""),"可")</f>
        <v>可</v>
      </c>
      <c r="Q2323" s="111"/>
      <c r="R2323" s="108"/>
      <c r="S2323" s="108" t="str">
        <f>IFERROR(__xludf.DUMMYFUNCTION("""COMPUTED_VALUE"""),"20241021_ファンギルド_ダメ男チャンネル～夢追う無職・SNS命男編～")</f>
        <v>20241021_ファンギルド_ダメ男チャンネル～夢追う無職・SNS命男編～</v>
      </c>
      <c r="T2323" s="108" t="str">
        <f>IFERROR(__xludf.DUMMYFUNCTION("""COMPUTED_VALUE"""),"格納済み")</f>
        <v>格納済み</v>
      </c>
      <c r="U2323" s="15" t="str">
        <f>IFERROR(__xludf.DUMMYFUNCTION("""COMPUTED_VALUE"""),"©柊みずか/ファンギルド")</f>
        <v>©柊みずか/ファンギルド</v>
      </c>
      <c r="V2323" s="8" t="str">
        <f>IFERROR(__xludf.DUMMYFUNCTION("""COMPUTED_VALUE"""),"夢追う無職にSNS命男――。身の毛もよだつダメ男をバッサバッサと切り捨てる、そんな痛快ラブコメディをどうぞ☆")</f>
        <v>夢追う無職にSNS命男――。身の毛もよだつダメ男をバッサバッサと切り捨てる、そんな痛快ラブコメディをどうぞ☆</v>
      </c>
      <c r="W2323" s="14"/>
      <c r="X2323" s="14" t="str">
        <f>IFERROR(__xludf.DUMMYFUNCTION("""COMPUTED_VALUE"""),"有")</f>
        <v>有</v>
      </c>
      <c r="Y2323" s="8" t="str">
        <f>IFERROR(__xludf.DUMMYFUNCTION("""COMPUTED_VALUE"""),"P7まで")</f>
        <v>P7まで</v>
      </c>
      <c r="Z2323" s="7"/>
      <c r="AA2323" s="7"/>
      <c r="AB2323" s="7"/>
    </row>
    <row r="2324" ht="15.75" customHeight="1">
      <c r="A2324" s="76">
        <f>IFERROR(__xludf.DUMMYFUNCTION("""COMPUTED_VALUE"""),4379.0)</f>
        <v>4379</v>
      </c>
      <c r="B2324" s="108" t="str">
        <f>IFERROR(__xludf.DUMMYFUNCTION("""COMPUTED_VALUE"""),"確定")</f>
        <v>確定</v>
      </c>
      <c r="C2324" s="74">
        <f>IFERROR(__xludf.DUMMYFUNCTION("""COMPUTED_VALUE"""),45587.0)</f>
        <v>45587</v>
      </c>
      <c r="D2324" s="74">
        <f>IFERROR(__xludf.DUMMYFUNCTION("""COMPUTED_VALUE"""),45587.0)</f>
        <v>45587</v>
      </c>
      <c r="E2324" s="112">
        <f>IFERROR(__xludf.DUMMYFUNCTION("""COMPUTED_VALUE"""),306407.0)</f>
        <v>306407</v>
      </c>
      <c r="F2324" s="112" t="str">
        <f>IFERROR(__xludf.DUMMYFUNCTION("""COMPUTED_VALUE"""),"無能と言われた聖女ですが、剣術で残虐辺境伯の役に立ちます！")</f>
        <v>無能と言われた聖女ですが、剣術で残虐辺境伯の役に立ちます！</v>
      </c>
      <c r="G2324" s="69">
        <f>IFERROR(__xludf.DUMMYFUNCTION("""COMPUTED_VALUE"""),1.0)</f>
        <v>1</v>
      </c>
      <c r="H2324" s="108" t="str">
        <f>IFERROR(__xludf.DUMMYFUNCTION("""COMPUTED_VALUE"""),"村乃まち")</f>
        <v>村乃まち</v>
      </c>
      <c r="I2324" s="108" t="str">
        <f>IFERROR(__xludf.DUMMYFUNCTION("""COMPUTED_VALUE"""),"少女")</f>
        <v>少女</v>
      </c>
      <c r="J2324" s="108"/>
      <c r="K2324" s="108"/>
      <c r="L2324" s="108" t="str">
        <f>IFERROR(__xludf.DUMMYFUNCTION("""COMPUTED_VALUE"""),"ファンギルド")</f>
        <v>ファンギルド</v>
      </c>
      <c r="M2324" s="115">
        <f>IFERROR(__xludf.DUMMYFUNCTION("""COMPUTED_VALUE"""),45617.0)</f>
        <v>45617</v>
      </c>
      <c r="N2324" s="115">
        <f>IFERROR(__xludf.DUMMYFUNCTION("""COMPUTED_VALUE"""),45644.0)</f>
        <v>45644</v>
      </c>
      <c r="O2324" s="108"/>
      <c r="P2324" s="110" t="str">
        <f>IFERROR(__xludf.DUMMYFUNCTION("""COMPUTED_VALUE"""),"可")</f>
        <v>可</v>
      </c>
      <c r="Q2324" s="111" t="str">
        <f>IFERROR(__xludf.DUMMYFUNCTION("""COMPUTED_VALUE"""),"『COMICスピラ』レーベル作品です。")</f>
        <v>『COMICスピラ』レーベル作品です。</v>
      </c>
      <c r="R2324" s="108"/>
      <c r="S2324" s="108" t="str">
        <f>IFERROR(__xludf.DUMMYFUNCTION("""COMPUTED_VALUE"""),"20241021_ファンギルド_無能と言われた聖女ですが、剣術で残虐辺境伯の役に立ちます！")</f>
        <v>20241021_ファンギルド_無能と言われた聖女ですが、剣術で残虐辺境伯の役に立ちます！</v>
      </c>
      <c r="T2324" s="108" t="str">
        <f>IFERROR(__xludf.DUMMYFUNCTION("""COMPUTED_VALUE"""),"格納済み")</f>
        <v>格納済み</v>
      </c>
      <c r="U2324" s="15" t="str">
        <f>IFERROR(__xludf.DUMMYFUNCTION("""COMPUTED_VALUE"""),"©村乃まち/ファンギルド")</f>
        <v>©村乃まち/ファンギルド</v>
      </c>
      <c r="V2324" s="8" t="str">
        <f>IFERROR(__xludf.DUMMYFUNCTION("""COMPUTED_VALUE"""),"代々聖女を輩出する伯爵家に生まれたナタリー。彼女は聖女の力はないものの、尊敬する姉や人々を守るため、騎士としての道を歩むことに決める。そんなある日、王家から『残虐辺境伯』の元に聖女を派遣しろと手紙が来て、姉の代わりにナタリーが向かうことになり―！？※本作は『一途に溺愛されて、幸せを掴み取ってみせますわ！異世界アンソロジーコミック 6巻』収録作品を再編集したものです。")</f>
        <v>代々聖女を輩出する伯爵家に生まれたナタリー。彼女は聖女の力はないものの、尊敬する姉や人々を守るため、騎士としての道を歩むことに決める。そんなある日、王家から『残虐辺境伯』の元に聖女を派遣しろと手紙が来て、姉の代わりにナタリーが向かうことになり―！？※本作は『一途に溺愛されて、幸せを掴み取ってみせますわ！異世界アンソロジーコミック 6巻』収録作品を再編集したものです。</v>
      </c>
      <c r="W2324" s="14"/>
      <c r="X2324" s="14" t="str">
        <f>IFERROR(__xludf.DUMMYFUNCTION("""COMPUTED_VALUE"""),"有")</f>
        <v>有</v>
      </c>
      <c r="Y2324" s="8" t="str">
        <f>IFERROR(__xludf.DUMMYFUNCTION("""COMPUTED_VALUE"""),"P7まで")</f>
        <v>P7まで</v>
      </c>
      <c r="Z2324" s="7"/>
      <c r="AA2324" s="7"/>
      <c r="AB2324" s="7"/>
    </row>
    <row r="2325" ht="15.75" customHeight="1">
      <c r="A2325" s="76">
        <f>IFERROR(__xludf.DUMMYFUNCTION("""COMPUTED_VALUE"""),4380.0)</f>
        <v>4380</v>
      </c>
      <c r="B2325" s="108" t="str">
        <f>IFERROR(__xludf.DUMMYFUNCTION("""COMPUTED_VALUE"""),"確定")</f>
        <v>確定</v>
      </c>
      <c r="C2325" s="74">
        <f>IFERROR(__xludf.DUMMYFUNCTION("""COMPUTED_VALUE"""),45587.0)</f>
        <v>45587</v>
      </c>
      <c r="D2325" s="74">
        <f>IFERROR(__xludf.DUMMYFUNCTION("""COMPUTED_VALUE"""),45587.0)</f>
        <v>45587</v>
      </c>
      <c r="E2325" s="112">
        <f>IFERROR(__xludf.DUMMYFUNCTION("""COMPUTED_VALUE"""),306404.0)</f>
        <v>306404</v>
      </c>
      <c r="F2325" s="112" t="str">
        <f>IFERROR(__xludf.DUMMYFUNCTION("""COMPUTED_VALUE"""),"辺境令息との合理的な婚約～婚約破棄された令嬢は、一途な愛を注がれる～")</f>
        <v>辺境令息との合理的な婚約～婚約破棄された令嬢は、一途な愛を注がれる～</v>
      </c>
      <c r="G2325" s="69">
        <f>IFERROR(__xludf.DUMMYFUNCTION("""COMPUTED_VALUE"""),1.0)</f>
        <v>1</v>
      </c>
      <c r="H2325" s="108" t="str">
        <f>IFERROR(__xludf.DUMMYFUNCTION("""COMPUTED_VALUE"""),"風見 まつり/咲倉未来")</f>
        <v>風見 まつり/咲倉未来</v>
      </c>
      <c r="I2325" s="108" t="str">
        <f>IFERROR(__xludf.DUMMYFUNCTION("""COMPUTED_VALUE"""),"少女")</f>
        <v>少女</v>
      </c>
      <c r="J2325" s="108"/>
      <c r="K2325" s="108"/>
      <c r="L2325" s="108" t="str">
        <f>IFERROR(__xludf.DUMMYFUNCTION("""COMPUTED_VALUE"""),"ファンギルド")</f>
        <v>ファンギルド</v>
      </c>
      <c r="M2325" s="115">
        <f>IFERROR(__xludf.DUMMYFUNCTION("""COMPUTED_VALUE"""),45617.0)</f>
        <v>45617</v>
      </c>
      <c r="N2325" s="115">
        <f>IFERROR(__xludf.DUMMYFUNCTION("""COMPUTED_VALUE"""),45644.0)</f>
        <v>45644</v>
      </c>
      <c r="O2325" s="108"/>
      <c r="P2325" s="110" t="str">
        <f>IFERROR(__xludf.DUMMYFUNCTION("""COMPUTED_VALUE"""),"可")</f>
        <v>可</v>
      </c>
      <c r="Q2325" s="111" t="str">
        <f>IFERROR(__xludf.DUMMYFUNCTION("""COMPUTED_VALUE"""),"『COMICスピラ』レーベル作品です。")</f>
        <v>『COMICスピラ』レーベル作品です。</v>
      </c>
      <c r="R2325" s="108"/>
      <c r="S2325" s="108" t="str">
        <f>IFERROR(__xludf.DUMMYFUNCTION("""COMPUTED_VALUE"""),"20241021_ファンギルド_辺境令息との合理的な婚約～婚約破棄された令嬢は、一途な愛を注がれる～")</f>
        <v>20241021_ファンギルド_辺境令息との合理的な婚約～婚約破棄された令嬢は、一途な愛を注がれる～</v>
      </c>
      <c r="T2325" s="108" t="str">
        <f>IFERROR(__xludf.DUMMYFUNCTION("""COMPUTED_VALUE"""),"格納済み")</f>
        <v>格納済み</v>
      </c>
      <c r="U2325" s="15" t="str">
        <f>IFERROR(__xludf.DUMMYFUNCTION("""COMPUTED_VALUE"""),"©風見 まつり/咲倉未来/ファンギルド")</f>
        <v>©風見 まつり/咲倉未来/ファンギルド</v>
      </c>
      <c r="V2325" s="8" t="str">
        <f>IFERROR(__xludf.DUMMYFUNCTION("""COMPUTED_VALUE"""),"卒業パーティー当日、第一王子から婚約破棄を言い渡されたマリエル。さらに第一王子は、マリエルに両家への婚約破棄の説得を協力させようとしていた。あまりの出来事に絶望するマリエルに、突然辺境令息であるディオンが婚約を申し込んできて――！？※本作は『一途に溺愛されて、幸せを掴み取ってみせますわ！異世界アンソロジーコミック 6巻』収録作品を再編集したものです。")</f>
        <v>卒業パーティー当日、第一王子から婚約破棄を言い渡されたマリエル。さらに第一王子は、マリエルに両家への婚約破棄の説得を協力させようとしていた。あまりの出来事に絶望するマリエルに、突然辺境令息であるディオンが婚約を申し込んできて――！？※本作は『一途に溺愛されて、幸せを掴み取ってみせますわ！異世界アンソロジーコミック 6巻』収録作品を再編集したものです。</v>
      </c>
      <c r="W2325" s="14"/>
      <c r="X2325" s="14" t="str">
        <f>IFERROR(__xludf.DUMMYFUNCTION("""COMPUTED_VALUE"""),"有")</f>
        <v>有</v>
      </c>
      <c r="Y2325" s="8" t="str">
        <f>IFERROR(__xludf.DUMMYFUNCTION("""COMPUTED_VALUE"""),"P7まで")</f>
        <v>P7まで</v>
      </c>
      <c r="Z2325" s="7"/>
      <c r="AA2325" s="7"/>
      <c r="AB2325" s="7"/>
    </row>
    <row r="2326" ht="15.75" customHeight="1">
      <c r="A2326" s="76">
        <f>IFERROR(__xludf.DUMMYFUNCTION("""COMPUTED_VALUE"""),4381.0)</f>
        <v>4381</v>
      </c>
      <c r="B2326" s="108" t="str">
        <f>IFERROR(__xludf.DUMMYFUNCTION("""COMPUTED_VALUE"""),"確定")</f>
        <v>確定</v>
      </c>
      <c r="C2326" s="74">
        <f>IFERROR(__xludf.DUMMYFUNCTION("""COMPUTED_VALUE"""),45587.0)</f>
        <v>45587</v>
      </c>
      <c r="D2326" s="74">
        <f>IFERROR(__xludf.DUMMYFUNCTION("""COMPUTED_VALUE"""),45587.0)</f>
        <v>45587</v>
      </c>
      <c r="E2326" s="112">
        <f>IFERROR(__xludf.DUMMYFUNCTION("""COMPUTED_VALUE"""),306402.0)</f>
        <v>306402</v>
      </c>
      <c r="F2326" s="112" t="str">
        <f>IFERROR(__xludf.DUMMYFUNCTION("""COMPUTED_VALUE"""),"惚れ薬からはじまる嘘つきな溺愛～次期侯爵の旦那様に愛することはないと言われました～")</f>
        <v>惚れ薬からはじまる嘘つきな溺愛～次期侯爵の旦那様に愛することはないと言われました～</v>
      </c>
      <c r="G2326" s="69">
        <f>IFERROR(__xludf.DUMMYFUNCTION("""COMPUTED_VALUE"""),1.0)</f>
        <v>1</v>
      </c>
      <c r="H2326" s="108" t="str">
        <f>IFERROR(__xludf.DUMMYFUNCTION("""COMPUTED_VALUE"""),"藍川さくら/楠結衣")</f>
        <v>藍川さくら/楠結衣</v>
      </c>
      <c r="I2326" s="108" t="str">
        <f>IFERROR(__xludf.DUMMYFUNCTION("""COMPUTED_VALUE"""),"少女")</f>
        <v>少女</v>
      </c>
      <c r="J2326" s="108"/>
      <c r="K2326" s="108"/>
      <c r="L2326" s="108" t="str">
        <f>IFERROR(__xludf.DUMMYFUNCTION("""COMPUTED_VALUE"""),"ファンギルド")</f>
        <v>ファンギルド</v>
      </c>
      <c r="M2326" s="115">
        <f>IFERROR(__xludf.DUMMYFUNCTION("""COMPUTED_VALUE"""),45617.0)</f>
        <v>45617</v>
      </c>
      <c r="N2326" s="115">
        <f>IFERROR(__xludf.DUMMYFUNCTION("""COMPUTED_VALUE"""),45644.0)</f>
        <v>45644</v>
      </c>
      <c r="O2326" s="108"/>
      <c r="P2326" s="110" t="str">
        <f>IFERROR(__xludf.DUMMYFUNCTION("""COMPUTED_VALUE"""),"可")</f>
        <v>可</v>
      </c>
      <c r="Q2326" s="111" t="str">
        <f>IFERROR(__xludf.DUMMYFUNCTION("""COMPUTED_VALUE"""),"『COMICスピラ』レーベル作品です。")</f>
        <v>『COMICスピラ』レーベル作品です。</v>
      </c>
      <c r="R2326" s="108"/>
      <c r="S2326" s="108" t="str">
        <f>IFERROR(__xludf.DUMMYFUNCTION("""COMPUTED_VALUE"""),"20241021_ファンギルド_惚れ薬からはじまる嘘つきな溺愛～次期侯爵の旦那様に愛することはないと言われました～")</f>
        <v>20241021_ファンギルド_惚れ薬からはじまる嘘つきな溺愛～次期侯爵の旦那様に愛することはないと言われました～</v>
      </c>
      <c r="T2326" s="108" t="str">
        <f>IFERROR(__xludf.DUMMYFUNCTION("""COMPUTED_VALUE"""),"格納済み")</f>
        <v>格納済み</v>
      </c>
      <c r="U2326" s="15" t="str">
        <f>IFERROR(__xludf.DUMMYFUNCTION("""COMPUTED_VALUE"""),"©藍川さくら/楠結衣/ファンギルド")</f>
        <v>©藍川さくら/楠結衣/ファンギルド</v>
      </c>
      <c r="V2326" s="8" t="str">
        <f>IFERROR(__xludf.DUMMYFUNCTION("""COMPUTED_VALUE"""),"「アリスを愛することはできない」新婚初夜、寝室にやってきた夫・アルフレッドにそう告げられてしまったアリス。ある日、ひょんなことから惚れ薬入りのクッキーを手に入れアルフレッドに食べさせると、夫の態度が一変…！？想像以上の溺愛に幸せを感じるアリスだったが、惚れ薬の危険性を知ってしまい―…？※この作品は『一途に溺愛されて、幸せを掴み取ってみせますわ！異世界アンソロジーコミック 6巻』に収録されている作品と同一の内容を単話版として再編集したものとなります。")</f>
        <v>「アリスを愛することはできない」新婚初夜、寝室にやってきた夫・アルフレッドにそう告げられてしまったアリス。ある日、ひょんなことから惚れ薬入りのクッキーを手に入れアルフレッドに食べさせると、夫の態度が一変…！？想像以上の溺愛に幸せを感じるアリスだったが、惚れ薬の危険性を知ってしまい―…？※この作品は『一途に溺愛されて、幸せを掴み取ってみせますわ！異世界アンソロジーコミック 6巻』に収録されている作品と同一の内容を単話版として再編集したものとなります。</v>
      </c>
      <c r="W2326" s="14"/>
      <c r="X2326" s="14" t="str">
        <f>IFERROR(__xludf.DUMMYFUNCTION("""COMPUTED_VALUE"""),"有")</f>
        <v>有</v>
      </c>
      <c r="Y2326" s="8" t="str">
        <f>IFERROR(__xludf.DUMMYFUNCTION("""COMPUTED_VALUE"""),"P7まで")</f>
        <v>P7まで</v>
      </c>
      <c r="Z2326" s="7"/>
      <c r="AA2326" s="7"/>
      <c r="AB2326" s="7"/>
    </row>
    <row r="2327" ht="15.75" customHeight="1">
      <c r="A2327" s="76">
        <f>IFERROR(__xludf.DUMMYFUNCTION("""COMPUTED_VALUE"""),4382.0)</f>
        <v>4382</v>
      </c>
      <c r="B2327" s="108" t="str">
        <f>IFERROR(__xludf.DUMMYFUNCTION("""COMPUTED_VALUE"""),"確定")</f>
        <v>確定</v>
      </c>
      <c r="C2327" s="74">
        <f>IFERROR(__xludf.DUMMYFUNCTION("""COMPUTED_VALUE"""),45587.0)</f>
        <v>45587</v>
      </c>
      <c r="D2327" s="74">
        <f>IFERROR(__xludf.DUMMYFUNCTION("""COMPUTED_VALUE"""),45587.0)</f>
        <v>45587</v>
      </c>
      <c r="E2327" s="112">
        <f>IFERROR(__xludf.DUMMYFUNCTION("""COMPUTED_VALUE"""),306408.0)</f>
        <v>306408</v>
      </c>
      <c r="F2327" s="112" t="str">
        <f>IFERROR(__xludf.DUMMYFUNCTION("""COMPUTED_VALUE"""),"友達の男爵令嬢に奪われ続けた結果、待っていたのは幸せでした")</f>
        <v>友達の男爵令嬢に奪われ続けた結果、待っていたのは幸せでした</v>
      </c>
      <c r="G2327" s="69">
        <f>IFERROR(__xludf.DUMMYFUNCTION("""COMPUTED_VALUE"""),1.0)</f>
        <v>1</v>
      </c>
      <c r="H2327" s="108" t="str">
        <f>IFERROR(__xludf.DUMMYFUNCTION("""COMPUTED_VALUE"""),"梅山ヒロチ/間咲正樹")</f>
        <v>梅山ヒロチ/間咲正樹</v>
      </c>
      <c r="I2327" s="108" t="str">
        <f>IFERROR(__xludf.DUMMYFUNCTION("""COMPUTED_VALUE"""),"少女")</f>
        <v>少女</v>
      </c>
      <c r="J2327" s="108"/>
      <c r="K2327" s="108"/>
      <c r="L2327" s="108" t="str">
        <f>IFERROR(__xludf.DUMMYFUNCTION("""COMPUTED_VALUE"""),"ファンギルド")</f>
        <v>ファンギルド</v>
      </c>
      <c r="M2327" s="115">
        <f>IFERROR(__xludf.DUMMYFUNCTION("""COMPUTED_VALUE"""),45617.0)</f>
        <v>45617</v>
      </c>
      <c r="N2327" s="115">
        <f>IFERROR(__xludf.DUMMYFUNCTION("""COMPUTED_VALUE"""),45644.0)</f>
        <v>45644</v>
      </c>
      <c r="O2327" s="108"/>
      <c r="P2327" s="110" t="str">
        <f>IFERROR(__xludf.DUMMYFUNCTION("""COMPUTED_VALUE"""),"可")</f>
        <v>可</v>
      </c>
      <c r="Q2327" s="111" t="str">
        <f>IFERROR(__xludf.DUMMYFUNCTION("""COMPUTED_VALUE"""),"『COMICスピラ』レーベル作品です。")</f>
        <v>『COMICスピラ』レーベル作品です。</v>
      </c>
      <c r="R2327" s="108"/>
      <c r="S2327" s="108" t="str">
        <f>IFERROR(__xludf.DUMMYFUNCTION("""COMPUTED_VALUE"""),"20241021_ファンギルド_友達の男爵令嬢に奪われ続けた結果、待っていたのは幸せでした")</f>
        <v>20241021_ファンギルド_友達の男爵令嬢に奪われ続けた結果、待っていたのは幸せでした</v>
      </c>
      <c r="T2327" s="108" t="str">
        <f>IFERROR(__xludf.DUMMYFUNCTION("""COMPUTED_VALUE"""),"格納済み")</f>
        <v>格納済み</v>
      </c>
      <c r="U2327" s="15" t="str">
        <f>IFERROR(__xludf.DUMMYFUNCTION("""COMPUTED_VALUE"""),"©梅山ヒロチ/間咲正樹/ファンギルド")</f>
        <v>©梅山ヒロチ/間咲正樹/ファンギルド</v>
      </c>
      <c r="V2327" s="8" t="str">
        <f>IFERROR(__xludf.DUMMYFUNCTION("""COMPUTED_VALUE"""),"気弱な伯爵令嬢シェリルは、友達の男爵令嬢ドリーから「私たちは友達でしょう？」と押し切られ、自分の気持ちを伝えられない日々を過ごしていた。もう一人の友達であるブレアに慰められながら懸命に過ごすシェリルだが、ついにドリーはシェリルの婚約者にまで手を出してきて―…？※この作品は『一途に溺愛されて、幸せを掴み取ってみせますわ！異世界アンソロジーコミック 6巻』に収録されている作品と同一の内容を単話版として再編集したものとなります。")</f>
        <v>気弱な伯爵令嬢シェリルは、友達の男爵令嬢ドリーから「私たちは友達でしょう？」と押し切られ、自分の気持ちを伝えられない日々を過ごしていた。もう一人の友達であるブレアに慰められながら懸命に過ごすシェリルだが、ついにドリーはシェリルの婚約者にまで手を出してきて―…？※この作品は『一途に溺愛されて、幸せを掴み取ってみせますわ！異世界アンソロジーコミック 6巻』に収録されている作品と同一の内容を単話版として再編集したものとなります。</v>
      </c>
      <c r="W2327" s="14"/>
      <c r="X2327" s="14" t="str">
        <f>IFERROR(__xludf.DUMMYFUNCTION("""COMPUTED_VALUE"""),"有")</f>
        <v>有</v>
      </c>
      <c r="Y2327" s="8" t="str">
        <f>IFERROR(__xludf.DUMMYFUNCTION("""COMPUTED_VALUE"""),"P7まで")</f>
        <v>P7まで</v>
      </c>
      <c r="Z2327" s="7"/>
      <c r="AA2327" s="7"/>
      <c r="AB2327" s="7"/>
    </row>
    <row r="2328" ht="15.75" customHeight="1">
      <c r="A2328" s="76">
        <f>IFERROR(__xludf.DUMMYFUNCTION("""COMPUTED_VALUE"""),4385.0)</f>
        <v>4385</v>
      </c>
      <c r="B2328" s="108" t="str">
        <f>IFERROR(__xludf.DUMMYFUNCTION("""COMPUTED_VALUE"""),"確定")</f>
        <v>確定</v>
      </c>
      <c r="C2328" s="74">
        <f>IFERROR(__xludf.DUMMYFUNCTION("""COMPUTED_VALUE"""),45587.0)</f>
        <v>45587</v>
      </c>
      <c r="D2328" s="74">
        <f>IFERROR(__xludf.DUMMYFUNCTION("""COMPUTED_VALUE"""),45588.0)</f>
        <v>45588</v>
      </c>
      <c r="E2328" s="112">
        <f>IFERROR(__xludf.DUMMYFUNCTION("""COMPUTED_VALUE"""),306755.0)</f>
        <v>306755</v>
      </c>
      <c r="F2328" s="112" t="str">
        <f>IFERROR(__xludf.DUMMYFUNCTION("""COMPUTED_VALUE"""),"恋する死神はバッドエンドを回避します【ページ版】")</f>
        <v>恋する死神はバッドエンドを回避します【ページ版】</v>
      </c>
      <c r="G2328" s="69" t="str">
        <f>IFERROR(__xludf.DUMMYFUNCTION("""COMPUTED_VALUE"""),"1～4")</f>
        <v>1～4</v>
      </c>
      <c r="H2328" s="108" t="str">
        <f>IFERROR(__xludf.DUMMYFUNCTION("""COMPUTED_VALUE"""),"弓家キョウコ/JAMTOON")</f>
        <v>弓家キョウコ/JAMTOON</v>
      </c>
      <c r="I2328" s="108" t="str">
        <f>IFERROR(__xludf.DUMMYFUNCTION("""COMPUTED_VALUE"""),"女性")</f>
        <v>女性</v>
      </c>
      <c r="J2328" s="108"/>
      <c r="K2328" s="108"/>
      <c r="L2328" s="108" t="str">
        <f>IFERROR(__xludf.DUMMYFUNCTION("""COMPUTED_VALUE"""),"ファンギルド")</f>
        <v>ファンギルド</v>
      </c>
      <c r="M2328" s="23">
        <f>IFERROR(__xludf.DUMMYFUNCTION("""COMPUTED_VALUE"""),45659.0)</f>
        <v>45659</v>
      </c>
      <c r="N2328" s="23">
        <f>IFERROR(__xludf.DUMMYFUNCTION("""COMPUTED_VALUE"""),45686.0)</f>
        <v>45686</v>
      </c>
      <c r="O2328" s="108"/>
      <c r="P2328" s="114" t="str">
        <f>IFERROR(__xludf.DUMMYFUNCTION("""COMPUTED_VALUE"""),"可")</f>
        <v>可</v>
      </c>
      <c r="Q2328" s="111"/>
      <c r="R2328" s="108"/>
      <c r="S2328" s="108" t="str">
        <f>IFERROR(__xludf.DUMMYFUNCTION("""COMPUTED_VALUE"""),"20241030_ファンギルド_恋する死神はバッドエンドを回避します")</f>
        <v>20241030_ファンギルド_恋する死神はバッドエンドを回避します</v>
      </c>
      <c r="T2328" s="108" t="str">
        <f>IFERROR(__xludf.DUMMYFUNCTION("""COMPUTED_VALUE"""),"格納済み")</f>
        <v>格納済み</v>
      </c>
      <c r="U2328" s="15" t="str">
        <f>IFERROR(__xludf.DUMMYFUNCTION("""COMPUTED_VALUE"""),"©Kyouko yuge/JAMTOON/FUNGUILD")</f>
        <v>©Kyouko yuge/JAMTOON/FUNGUILD</v>
      </c>
      <c r="V2328" s="8" t="str">
        <f>IFERROR(__xludf.DUMMYFUNCTION("""COMPUTED_VALUE"""),"「好きです、葉月さん。ずっとずっと前からーー」幼いころに両親を亡くし、天涯孤独の葉月。引き取られた家では邪魔者扱いされ、大人になってからは職場のいじめにパワハラ…。人生に絶望した葉月は、ある夜ふと魔が差して屋上から転落ーーしたところを、謎めいた男に助けられ突然の告白を受けてしまい！？その後も、葉月が【死にかける】たびに現れるその男の正体は…「僕は【死神】。あなたに迫る危険から守るために、ここにいます」死神？なのに、私を守る？この人いったい何を言ってるの！？混乱する葉月をよそに、【死神】は彼女と同棲すると言"&amp;"い出し！？死の運命を回避するための、あまあま溺愛生活スタート！！【「恋する死神はバッドエンドを回避します」の再編集版です。重複購入にご注意ください。】")</f>
        <v>「好きです、葉月さん。ずっとずっと前からーー」幼いころに両親を亡くし、天涯孤独の葉月。引き取られた家では邪魔者扱いされ、大人になってからは職場のいじめにパワハラ…。人生に絶望した葉月は、ある夜ふと魔が差して屋上から転落ーーしたところを、謎めいた男に助けられ突然の告白を受けてしまい！？その後も、葉月が【死にかける】たびに現れるその男の正体は…「僕は【死神】。あなたに迫る危険から守るために、ここにいます」死神？なのに、私を守る？この人いったい何を言ってるの！？混乱する葉月をよそに、【死神】は彼女と同棲すると言い出し！？死の運命を回避するための、あまあま溺愛生活スタート！！【「恋する死神はバッドエンドを回避します」の再編集版です。重複購入にご注意ください。】</v>
      </c>
      <c r="W2328" s="14"/>
      <c r="X2328" s="14" t="str">
        <f>IFERROR(__xludf.DUMMYFUNCTION("""COMPUTED_VALUE"""),"有")</f>
        <v>有</v>
      </c>
      <c r="Y2328" s="8" t="str">
        <f>IFERROR(__xludf.DUMMYFUNCTION("""COMPUTED_VALUE"""),"2025/1/29まで1巻無料")</f>
        <v>2025/1/29まで1巻無料</v>
      </c>
      <c r="Z2328" s="7"/>
      <c r="AA2328" s="7"/>
      <c r="AB2328" s="7"/>
    </row>
    <row r="2329" ht="15.75" customHeight="1">
      <c r="A2329" s="76">
        <f>IFERROR(__xludf.DUMMYFUNCTION("""COMPUTED_VALUE"""),4386.0)</f>
        <v>4386</v>
      </c>
      <c r="B2329" s="108" t="str">
        <f>IFERROR(__xludf.DUMMYFUNCTION("""COMPUTED_VALUE"""),"確定")</f>
        <v>確定</v>
      </c>
      <c r="C2329" s="74">
        <f>IFERROR(__xludf.DUMMYFUNCTION("""COMPUTED_VALUE"""),45587.0)</f>
        <v>45587</v>
      </c>
      <c r="D2329" s="74">
        <f>IFERROR(__xludf.DUMMYFUNCTION("""COMPUTED_VALUE"""),45588.0)</f>
        <v>45588</v>
      </c>
      <c r="E2329" s="112">
        <f>IFERROR(__xludf.DUMMYFUNCTION("""COMPUTED_VALUE"""),306765.0)</f>
        <v>306765</v>
      </c>
      <c r="F2329" s="112" t="str">
        <f>IFERROR(__xludf.DUMMYFUNCTION("""COMPUTED_VALUE"""),"華麗にざまぁして、幸せを掴み取ってみせますわ！異世界アンソロジーコミック")</f>
        <v>華麗にざまぁして、幸せを掴み取ってみせますわ！異世界アンソロジーコミック</v>
      </c>
      <c r="G2329" s="69">
        <f>IFERROR(__xludf.DUMMYFUNCTION("""COMPUTED_VALUE"""),1.0)</f>
        <v>1</v>
      </c>
      <c r="H2329" s="108" t="str">
        <f>IFERROR(__xludf.DUMMYFUNCTION("""COMPUTED_VALUE"""),"アンソロジー")</f>
        <v>アンソロジー</v>
      </c>
      <c r="I2329" s="108" t="str">
        <f>IFERROR(__xludf.DUMMYFUNCTION("""COMPUTED_VALUE"""),"少女")</f>
        <v>少女</v>
      </c>
      <c r="J2329" s="108"/>
      <c r="K2329" s="108"/>
      <c r="L2329" s="108" t="str">
        <f>IFERROR(__xludf.DUMMYFUNCTION("""COMPUTED_VALUE"""),"ファンギルド")</f>
        <v>ファンギルド</v>
      </c>
      <c r="M2329" s="115">
        <f>IFERROR(__xludf.DUMMYFUNCTION("""COMPUTED_VALUE"""),45617.0)</f>
        <v>45617</v>
      </c>
      <c r="N2329" s="59">
        <f>IFERROR(__xludf.DUMMYFUNCTION("""COMPUTED_VALUE"""),45672.0)</f>
        <v>45672</v>
      </c>
      <c r="O2329" s="108"/>
      <c r="P2329" s="114" t="str">
        <f>IFERROR(__xludf.DUMMYFUNCTION("""COMPUTED_VALUE"""),"可")</f>
        <v>可</v>
      </c>
      <c r="Q2329" s="111"/>
      <c r="R2329" s="108"/>
      <c r="S2329" s="108" t="str">
        <f>IFERROR(__xludf.DUMMYFUNCTION("""COMPUTED_VALUE"""),"20241021_ファンギルド_華麗にざまぁして、幸せを掴み取ってみせますわ！異世界アンソロジーコミック")</f>
        <v>20241021_ファンギルド_華麗にざまぁして、幸せを掴み取ってみせますわ！異世界アンソロジーコミック</v>
      </c>
      <c r="T2329" s="108" t="str">
        <f>IFERROR(__xludf.DUMMYFUNCTION("""COMPUTED_VALUE"""),"格納済み")</f>
        <v>格納済み</v>
      </c>
      <c r="U2329" s="15" t="str">
        <f>IFERROR(__xludf.DUMMYFUNCTION("""COMPUTED_VALUE"""),"©Syou Mizukaga/FUNGUILD")</f>
        <v>©Syou Mizukaga/FUNGUILD</v>
      </c>
      <c r="V2329" s="8" t="str">
        <f>IFERROR(__xludf.DUMMYFUNCTION("""COMPUTED_VALUE"""),"今ここで巡り合う爽快ざまぁアンソロジー！裏切り、虐げ、策略…陥れられたヒロインたちの快進撃が止まらない！？読み切り４作品を収録。＜収録作品＞カバーイラスト：水利硝／「『愛することはない』と言われましたので。」作画：もりこも　原作：亜逸／「ダレンは知らなかった～貴方のおかげで今は幸せです～」作画：神崎しおり　原作：まゆらん／「真実の愛症候群～婚約者に裏切られたので、全てお話させていただきます～」作画：真白なぎ　原作：はぐれメタボ／「婚約者を借りパクされましたが、もう返さなくて結構です」作画：かぼそい　原作："&amp;"辺野夏子")</f>
        <v>今ここで巡り合う爽快ざまぁアンソロジー！裏切り、虐げ、策略…陥れられたヒロインたちの快進撃が止まらない！？読み切り４作品を収録。＜収録作品＞カバーイラスト：水利硝／「『愛することはない』と言われましたので。」作画：もりこも　原作：亜逸／「ダレンは知らなかった～貴方のおかげで今は幸せです～」作画：神崎しおり　原作：まゆらん／「真実の愛症候群～婚約者に裏切られたので、全てお話させていただきます～」作画：真白なぎ　原作：はぐれメタボ／「婚約者を借りパクされましたが、もう返さなくて結構です」作画：かぼそい　原作：辺野夏子</v>
      </c>
      <c r="W2329" s="14"/>
      <c r="X2329" s="14" t="str">
        <f>IFERROR(__xludf.DUMMYFUNCTION("""COMPUTED_VALUE"""),"有")</f>
        <v>有</v>
      </c>
      <c r="Y2329" s="8" t="str">
        <f>IFERROR(__xludf.DUMMYFUNCTION("""COMPUTED_VALUE"""),"P20まで")</f>
        <v>P20まで</v>
      </c>
      <c r="Z2329" s="7"/>
      <c r="AA2329" s="7"/>
      <c r="AB2329" s="7"/>
    </row>
    <row r="2330" ht="15.75" customHeight="1">
      <c r="A2330" s="76">
        <f>IFERROR(__xludf.DUMMYFUNCTION("""COMPUTED_VALUE"""),4387.0)</f>
        <v>4387</v>
      </c>
      <c r="B2330" s="108" t="str">
        <f>IFERROR(__xludf.DUMMYFUNCTION("""COMPUTED_VALUE"""),"確定")</f>
        <v>確定</v>
      </c>
      <c r="C2330" s="74">
        <f>IFERROR(__xludf.DUMMYFUNCTION("""COMPUTED_VALUE"""),45587.0)</f>
        <v>45587</v>
      </c>
      <c r="D2330" s="74">
        <f>IFERROR(__xludf.DUMMYFUNCTION("""COMPUTED_VALUE"""),45588.0)</f>
        <v>45588</v>
      </c>
      <c r="E2330" s="112">
        <f>IFERROR(__xludf.DUMMYFUNCTION("""COMPUTED_VALUE"""),306756.0)</f>
        <v>306756</v>
      </c>
      <c r="F2330" s="112" t="str">
        <f>IFERROR(__xludf.DUMMYFUNCTION("""COMPUTED_VALUE"""),"マッドガール・リベンジ クズ同級生、全員殺します")</f>
        <v>マッドガール・リベンジ クズ同級生、全員殺します</v>
      </c>
      <c r="G2330" s="69" t="str">
        <f>IFERROR(__xludf.DUMMYFUNCTION("""COMPUTED_VALUE"""),"1～3")</f>
        <v>1～3</v>
      </c>
      <c r="H2330" s="108" t="str">
        <f>IFERROR(__xludf.DUMMYFUNCTION("""COMPUTED_VALUE"""),"断華ナオキ")</f>
        <v>断華ナオキ</v>
      </c>
      <c r="I2330" s="108" t="str">
        <f>IFERROR(__xludf.DUMMYFUNCTION("""COMPUTED_VALUE"""),"青年")</f>
        <v>青年</v>
      </c>
      <c r="J2330" s="108"/>
      <c r="K2330" s="108"/>
      <c r="L2330" s="108" t="str">
        <f>IFERROR(__xludf.DUMMYFUNCTION("""COMPUTED_VALUE"""),"ファンギルド")</f>
        <v>ファンギルド</v>
      </c>
      <c r="M2330" s="115">
        <f>IFERROR(__xludf.DUMMYFUNCTION("""COMPUTED_VALUE"""),45647.0)</f>
        <v>45647</v>
      </c>
      <c r="N2330" s="59">
        <f>IFERROR(__xludf.DUMMYFUNCTION("""COMPUTED_VALUE"""),45709.0)</f>
        <v>45709</v>
      </c>
      <c r="O2330" s="108"/>
      <c r="P2330" s="114" t="str">
        <f>IFERROR(__xludf.DUMMYFUNCTION("""COMPUTED_VALUE"""),"可")</f>
        <v>可</v>
      </c>
      <c r="Q2330" s="111"/>
      <c r="R2330" s="108"/>
      <c r="S2330" s="108" t="str">
        <f>IFERROR(__xludf.DUMMYFUNCTION("""COMPUTED_VALUE"""),"20241021_ファンギルド_マッドガール・リベンジ クズ同級生、全員殺します")</f>
        <v>20241021_ファンギルド_マッドガール・リベンジ クズ同級生、全員殺します</v>
      </c>
      <c r="T2330" s="108" t="str">
        <f>IFERROR(__xludf.DUMMYFUNCTION("""COMPUTED_VALUE"""),"格納済み")</f>
        <v>格納済み</v>
      </c>
      <c r="U2330" s="15" t="str">
        <f>IFERROR(__xludf.DUMMYFUNCTION("""COMPUTED_VALUE"""),"©断華ナオキ/ファンギルド")</f>
        <v>©断華ナオキ/ファンギルド</v>
      </c>
      <c r="V2330" s="8" t="str">
        <f>IFERROR(__xludf.DUMMYFUNCTION("""COMPUTED_VALUE"""),"クラスの問題児に頭を悩ませる高校教師・萩原。ある日、清楚な女子高生・葛城唯（かつらぎゆい）が転校してきたことで、萩原の日常が一変する。彼女が転校してきた目的は、ただ一つ…自殺した弟・神谷透（かみやとおる）の復讐を果たすこと―――。教師の萩原も、弟の透を救えなかったことで同罪とみなされ、復讐の共犯者に巻き込まれてしまって！？ マッドな女子高生がクズ生徒に鉄槌を下す、戦慄の復讐サスペンス！！")</f>
        <v>クラスの問題児に頭を悩ませる高校教師・萩原。ある日、清楚な女子高生・葛城唯（かつらぎゆい）が転校してきたことで、萩原の日常が一変する。彼女が転校してきた目的は、ただ一つ…自殺した弟・神谷透（かみやとおる）の復讐を果たすこと―――。教師の萩原も、弟の透を救えなかったことで同罪とみなされ、復讐の共犯者に巻き込まれてしまって！？ マッドな女子高生がクズ生徒に鉄槌を下す、戦慄の復讐サスペンス！！</v>
      </c>
      <c r="W2330" s="14"/>
      <c r="X2330" s="14" t="str">
        <f>IFERROR(__xludf.DUMMYFUNCTION("""COMPUTED_VALUE"""),"有")</f>
        <v>有</v>
      </c>
      <c r="Y2330" s="8" t="str">
        <f>IFERROR(__xludf.DUMMYFUNCTION("""COMPUTED_VALUE"""),"2025/2/21まで1巻無料")</f>
        <v>2025/2/21まで1巻無料</v>
      </c>
      <c r="Z2330" s="7"/>
      <c r="AA2330" s="7"/>
      <c r="AB2330" s="7"/>
    </row>
    <row r="2331" ht="15.75" customHeight="1">
      <c r="A2331" s="76">
        <f>IFERROR(__xludf.DUMMYFUNCTION("""COMPUTED_VALUE"""),4388.0)</f>
        <v>4388</v>
      </c>
      <c r="B2331" s="108" t="str">
        <f>IFERROR(__xludf.DUMMYFUNCTION("""COMPUTED_VALUE"""),"確定")</f>
        <v>確定</v>
      </c>
      <c r="C2331" s="74">
        <f>IFERROR(__xludf.DUMMYFUNCTION("""COMPUTED_VALUE"""),45587.0)</f>
        <v>45587</v>
      </c>
      <c r="D2331" s="74">
        <f>IFERROR(__xludf.DUMMYFUNCTION("""COMPUTED_VALUE"""),45588.0)</f>
        <v>45588</v>
      </c>
      <c r="E2331" s="112">
        <f>IFERROR(__xludf.DUMMYFUNCTION("""COMPUTED_VALUE"""),306760.0)</f>
        <v>306760</v>
      </c>
      <c r="F2331" s="112" t="str">
        <f>IFERROR(__xludf.DUMMYFUNCTION("""COMPUTED_VALUE"""),"パラサイコ 変な女に家族を乗っ取られました")</f>
        <v>パラサイコ 変な女に家族を乗っ取られました</v>
      </c>
      <c r="G2331" s="69" t="str">
        <f>IFERROR(__xludf.DUMMYFUNCTION("""COMPUTED_VALUE"""),"1～3")</f>
        <v>1～3</v>
      </c>
      <c r="H2331" s="108" t="str">
        <f>IFERROR(__xludf.DUMMYFUNCTION("""COMPUTED_VALUE"""),"沖田龍児")</f>
        <v>沖田龍児</v>
      </c>
      <c r="I2331" s="108" t="str">
        <f>IFERROR(__xludf.DUMMYFUNCTION("""COMPUTED_VALUE"""),"青年")</f>
        <v>青年</v>
      </c>
      <c r="J2331" s="108"/>
      <c r="K2331" s="108"/>
      <c r="L2331" s="108" t="str">
        <f>IFERROR(__xludf.DUMMYFUNCTION("""COMPUTED_VALUE"""),"ファンギルド")</f>
        <v>ファンギルド</v>
      </c>
      <c r="M2331" s="115">
        <f>IFERROR(__xludf.DUMMYFUNCTION("""COMPUTED_VALUE"""),45640.0)</f>
        <v>45640</v>
      </c>
      <c r="N2331" s="59">
        <f>IFERROR(__xludf.DUMMYFUNCTION("""COMPUTED_VALUE"""),45695.0)</f>
        <v>45695</v>
      </c>
      <c r="O2331" s="108"/>
      <c r="P2331" s="114" t="str">
        <f>IFERROR(__xludf.DUMMYFUNCTION("""COMPUTED_VALUE"""),"可")</f>
        <v>可</v>
      </c>
      <c r="Q2331" s="111"/>
      <c r="R2331" s="108"/>
      <c r="S2331" s="108" t="str">
        <f>IFERROR(__xludf.DUMMYFUNCTION("""COMPUTED_VALUE"""),"20241021_ファンギルド_パラサイコ 変な女に家族を乗っ取られました")</f>
        <v>20241021_ファンギルド_パラサイコ 変な女に家族を乗っ取られました</v>
      </c>
      <c r="T2331" s="108" t="str">
        <f>IFERROR(__xludf.DUMMYFUNCTION("""COMPUTED_VALUE"""),"格納済み")</f>
        <v>格納済み</v>
      </c>
      <c r="U2331" s="15" t="str">
        <f>IFERROR(__xludf.DUMMYFUNCTION("""COMPUTED_VALUE"""),"©沖田龍児/ファンギルド")</f>
        <v>©沖田龍児/ファンギルド</v>
      </c>
      <c r="V2331" s="8" t="str">
        <f>IFERROR(__xludf.DUMMYFUNCTION("""COMPUTED_VALUE"""),"家族に寄生《パラサイト》して、内側から侵食するヤバイ女《サイコパス》が暴れまわる、日常崩壊ホラーサスペンス！！！『死んだはずのブキミな女が生きていた…！？』ごく普通の主婦・吉崎友香（よしざきともか）の前に十数年ぶりに現れた、中学時代の同級生で虐められっ子の影沼史恵（かげぬまふみえ）。友香の家に上がり込んだ史恵は、娘・息子・夫・義母の心の隙間に忍び込み、親密な関係に！？やがて友香の母親という居場所まで史恵によって奪われて、家から追い出されてしまう。人生最大のピンチに陥った友香は、《パラサイコ・影沼史恵》を家"&amp;"から追い出して、大切な家族を救い出すことができるのか―――！？")</f>
        <v>家族に寄生《パラサイト》して、内側から侵食するヤバイ女《サイコパス》が暴れまわる、日常崩壊ホラーサスペンス！！！『死んだはずのブキミな女が生きていた…！？』ごく普通の主婦・吉崎友香（よしざきともか）の前に十数年ぶりに現れた、中学時代の同級生で虐められっ子の影沼史恵（かげぬまふみえ）。友香の家に上がり込んだ史恵は、娘・息子・夫・義母の心の隙間に忍び込み、親密な関係に！？やがて友香の母親という居場所まで史恵によって奪われて、家から追い出されてしまう。人生最大のピンチに陥った友香は、《パラサイコ・影沼史恵》を家から追い出して、大切な家族を救い出すことができるのか―――！？</v>
      </c>
      <c r="W2331" s="14"/>
      <c r="X2331" s="14" t="str">
        <f>IFERROR(__xludf.DUMMYFUNCTION("""COMPUTED_VALUE"""),"有")</f>
        <v>有</v>
      </c>
      <c r="Y2331" s="8" t="str">
        <f>IFERROR(__xludf.DUMMYFUNCTION("""COMPUTED_VALUE"""),"2025/2/7まで1巻無料")</f>
        <v>2025/2/7まで1巻無料</v>
      </c>
      <c r="Z2331" s="7"/>
      <c r="AA2331" s="7"/>
      <c r="AB2331" s="7"/>
    </row>
    <row r="2332" ht="15.75" customHeight="1">
      <c r="A2332" s="76">
        <f>IFERROR(__xludf.DUMMYFUNCTION("""COMPUTED_VALUE"""),4389.0)</f>
        <v>4389</v>
      </c>
      <c r="B2332" s="108" t="str">
        <f>IFERROR(__xludf.DUMMYFUNCTION("""COMPUTED_VALUE"""),"確定")</f>
        <v>確定</v>
      </c>
      <c r="C2332" s="74">
        <f>IFERROR(__xludf.DUMMYFUNCTION("""COMPUTED_VALUE"""),45587.0)</f>
        <v>45587</v>
      </c>
      <c r="D2332" s="74">
        <f>IFERROR(__xludf.DUMMYFUNCTION("""COMPUTED_VALUE"""),45588.0)</f>
        <v>45588</v>
      </c>
      <c r="E2332" s="112">
        <f>IFERROR(__xludf.DUMMYFUNCTION("""COMPUTED_VALUE"""),306764.0)</f>
        <v>306764</v>
      </c>
      <c r="F2332" s="112" t="str">
        <f>IFERROR(__xludf.DUMMYFUNCTION("""COMPUTED_VALUE"""),"「愛することはない」と言われましたので。")</f>
        <v>「愛することはない」と言われましたので。</v>
      </c>
      <c r="G2332" s="69">
        <f>IFERROR(__xludf.DUMMYFUNCTION("""COMPUTED_VALUE"""),1.0)</f>
        <v>1</v>
      </c>
      <c r="H2332" s="108" t="str">
        <f>IFERROR(__xludf.DUMMYFUNCTION("""COMPUTED_VALUE"""),"もりこも/亜逸")</f>
        <v>もりこも/亜逸</v>
      </c>
      <c r="I2332" s="113" t="str">
        <f>IFERROR(__xludf.DUMMYFUNCTION("""COMPUTED_VALUE"""),"女性")</f>
        <v>女性</v>
      </c>
      <c r="J2332" s="108"/>
      <c r="K2332" s="108"/>
      <c r="L2332" s="108" t="str">
        <f>IFERROR(__xludf.DUMMYFUNCTION("""COMPUTED_VALUE"""),"ファンギルド")</f>
        <v>ファンギルド</v>
      </c>
      <c r="M2332" s="115">
        <f>IFERROR(__xludf.DUMMYFUNCTION("""COMPUTED_VALUE"""),45645.0)</f>
        <v>45645</v>
      </c>
      <c r="N2332" s="59">
        <f>IFERROR(__xludf.DUMMYFUNCTION("""COMPUTED_VALUE"""),45672.0)</f>
        <v>45672</v>
      </c>
      <c r="O2332" s="108"/>
      <c r="P2332" s="110" t="str">
        <f>IFERROR(__xludf.DUMMYFUNCTION("""COMPUTED_VALUE"""),"可")</f>
        <v>可</v>
      </c>
      <c r="Q2332" s="111" t="str">
        <f>IFERROR(__xludf.DUMMYFUNCTION("""COMPUTED_VALUE"""),"『COMICスピラ』レーベル作品です。")</f>
        <v>『COMICスピラ』レーベル作品です。</v>
      </c>
      <c r="R2332" s="108"/>
      <c r="S2332" s="108" t="str">
        <f>IFERROR(__xludf.DUMMYFUNCTION("""COMPUTED_VALUE"""),"20241021_ファンギルド_「愛することはない」と言われましたので。")</f>
        <v>20241021_ファンギルド_「愛することはない」と言われましたので。</v>
      </c>
      <c r="T2332" s="108" t="str">
        <f>IFERROR(__xludf.DUMMYFUNCTION("""COMPUTED_VALUE"""),"格納済み")</f>
        <v>格納済み</v>
      </c>
      <c r="U2332" s="15" t="str">
        <f>IFERROR(__xludf.DUMMYFUNCTION("""COMPUTED_VALUE"""),"©もりこも/亜逸/ファンギルド")</f>
        <v>©もりこも/亜逸/ファンギルド</v>
      </c>
      <c r="V2332" s="8" t="str">
        <f>IFERROR(__xludf.DUMMYFUNCTION("""COMPUTED_VALUE"""),"たとえ政略結婚でも幸せな家族を築くことを諦めていなかった第三王女・エーリア。　しかし嫁がされた先で、夫となる相手に「貴様などただの付属品。愛することなどない」と言われてしまう。　このままでは幸せな人生などもってのほか。　そう気づいたエーリアは、状況を覆そうと一人で動き始める―…。　【※この作品は『華麗にざまぁして、幸せを掴み取ってみせますわ！異世界アンソロジーコミック　1巻』に収録されている作品と同一の内容を単話版として再編集したものです。】")</f>
        <v>たとえ政略結婚でも幸せな家族を築くことを諦めていなかった第三王女・エーリア。　しかし嫁がされた先で、夫となる相手に「貴様などただの付属品。愛することなどない」と言われてしまう。　このままでは幸せな人生などもってのほか。　そう気づいたエーリアは、状況を覆そうと一人で動き始める―…。　【※この作品は『華麗にざまぁして、幸せを掴み取ってみせますわ！異世界アンソロジーコミック　1巻』に収録されている作品と同一の内容を単話版として再編集したものです。】</v>
      </c>
      <c r="W2332" s="14"/>
      <c r="X2332" s="14" t="str">
        <f>IFERROR(__xludf.DUMMYFUNCTION("""COMPUTED_VALUE"""),"有")</f>
        <v>有</v>
      </c>
      <c r="Y2332" s="8" t="str">
        <f>IFERROR(__xludf.DUMMYFUNCTION("""COMPUTED_VALUE"""),"P9まで")</f>
        <v>P9まで</v>
      </c>
      <c r="Z2332" s="7"/>
      <c r="AA2332" s="7"/>
      <c r="AB2332" s="7"/>
    </row>
    <row r="2333" ht="15.75" customHeight="1">
      <c r="A2333" s="76">
        <f>IFERROR(__xludf.DUMMYFUNCTION("""COMPUTED_VALUE"""),4390.0)</f>
        <v>4390</v>
      </c>
      <c r="B2333" s="108" t="str">
        <f>IFERROR(__xludf.DUMMYFUNCTION("""COMPUTED_VALUE"""),"確定")</f>
        <v>確定</v>
      </c>
      <c r="C2333" s="74">
        <f>IFERROR(__xludf.DUMMYFUNCTION("""COMPUTED_VALUE"""),45587.0)</f>
        <v>45587</v>
      </c>
      <c r="D2333" s="74">
        <f>IFERROR(__xludf.DUMMYFUNCTION("""COMPUTED_VALUE"""),45588.0)</f>
        <v>45588</v>
      </c>
      <c r="E2333" s="112">
        <f>IFERROR(__xludf.DUMMYFUNCTION("""COMPUTED_VALUE"""),306763.0)</f>
        <v>306763</v>
      </c>
      <c r="F2333" s="112" t="str">
        <f>IFERROR(__xludf.DUMMYFUNCTION("""COMPUTED_VALUE"""),"ダレンは知らなかった～貴方のおかげで今は幸せです～")</f>
        <v>ダレンは知らなかった～貴方のおかげで今は幸せです～</v>
      </c>
      <c r="G2333" s="69">
        <f>IFERROR(__xludf.DUMMYFUNCTION("""COMPUTED_VALUE"""),1.0)</f>
        <v>1</v>
      </c>
      <c r="H2333" s="108" t="str">
        <f>IFERROR(__xludf.DUMMYFUNCTION("""COMPUTED_VALUE"""),"神崎しおり/まゆらん")</f>
        <v>神崎しおり/まゆらん</v>
      </c>
      <c r="I2333" s="108" t="str">
        <f>IFERROR(__xludf.DUMMYFUNCTION("""COMPUTED_VALUE"""),"少女")</f>
        <v>少女</v>
      </c>
      <c r="J2333" s="108"/>
      <c r="K2333" s="108"/>
      <c r="L2333" s="108" t="str">
        <f>IFERROR(__xludf.DUMMYFUNCTION("""COMPUTED_VALUE"""),"ファンギルド")</f>
        <v>ファンギルド</v>
      </c>
      <c r="M2333" s="115">
        <f>IFERROR(__xludf.DUMMYFUNCTION("""COMPUTED_VALUE"""),45645.0)</f>
        <v>45645</v>
      </c>
      <c r="N2333" s="59">
        <f>IFERROR(__xludf.DUMMYFUNCTION("""COMPUTED_VALUE"""),45672.0)</f>
        <v>45672</v>
      </c>
      <c r="O2333" s="108"/>
      <c r="P2333" s="110" t="str">
        <f>IFERROR(__xludf.DUMMYFUNCTION("""COMPUTED_VALUE"""),"可")</f>
        <v>可</v>
      </c>
      <c r="Q2333" s="111" t="str">
        <f>IFERROR(__xludf.DUMMYFUNCTION("""COMPUTED_VALUE"""),"『COMICスピラ』レーベル作品です。")</f>
        <v>『COMICスピラ』レーベル作品です。</v>
      </c>
      <c r="R2333" s="108"/>
      <c r="S2333" s="108" t="str">
        <f>IFERROR(__xludf.DUMMYFUNCTION("""COMPUTED_VALUE"""),"20241021_ファンギルド_ダレンは知らなかった～貴方のおかげで今は幸せです～")</f>
        <v>20241021_ファンギルド_ダレンは知らなかった～貴方のおかげで今は幸せです～</v>
      </c>
      <c r="T2333" s="108" t="str">
        <f>IFERROR(__xludf.DUMMYFUNCTION("""COMPUTED_VALUE"""),"格納済み")</f>
        <v>格納済み</v>
      </c>
      <c r="U2333" s="15" t="str">
        <f>IFERROR(__xludf.DUMMYFUNCTION("""COMPUTED_VALUE"""),"©神崎しおり/まゆらん/ファンギルド")</f>
        <v>©神崎しおり/まゆらん/ファンギルド</v>
      </c>
      <c r="V2333" s="8" t="str">
        <f>IFERROR(__xludf.DUMMYFUNCTION("""COMPUTED_VALUE"""),"「相手にするわけないだろ、あんなお荷物女」　幼馴染のダレンが自分の陰口を言っているのを聞いてしまったユア。　信じていたダレンに見下されていたことを知り、深く傷つくが…。　「このままじゃダメね。お荷物女を卒業しなきゃ」　国を離れて成長していくユアに対し、何も知らないダレンの行く末は―…。　【※この作品は『華麗にざまぁして、幸せを掴み取ってみせますわ！異世界アンソロジーコミック　1巻』に収録されている作品と同一の内容を単話版として再編集したものです。】")</f>
        <v>「相手にするわけないだろ、あんなお荷物女」　幼馴染のダレンが自分の陰口を言っているのを聞いてしまったユア。　信じていたダレンに見下されていたことを知り、深く傷つくが…。　「このままじゃダメね。お荷物女を卒業しなきゃ」　国を離れて成長していくユアに対し、何も知らないダレンの行く末は―…。　【※この作品は『華麗にざまぁして、幸せを掴み取ってみせますわ！異世界アンソロジーコミック　1巻』に収録されている作品と同一の内容を単話版として再編集したものです。】</v>
      </c>
      <c r="W2333" s="14"/>
      <c r="X2333" s="14" t="str">
        <f>IFERROR(__xludf.DUMMYFUNCTION("""COMPUTED_VALUE"""),"有")</f>
        <v>有</v>
      </c>
      <c r="Y2333" s="8" t="str">
        <f>IFERROR(__xludf.DUMMYFUNCTION("""COMPUTED_VALUE"""),"P9まで")</f>
        <v>P9まで</v>
      </c>
      <c r="Z2333" s="7"/>
      <c r="AA2333" s="7"/>
      <c r="AB2333" s="7"/>
    </row>
    <row r="2334" ht="15.75" customHeight="1">
      <c r="A2334" s="76">
        <f>IFERROR(__xludf.DUMMYFUNCTION("""COMPUTED_VALUE"""),4391.0)</f>
        <v>4391</v>
      </c>
      <c r="B2334" s="108" t="str">
        <f>IFERROR(__xludf.DUMMYFUNCTION("""COMPUTED_VALUE"""),"確定")</f>
        <v>確定</v>
      </c>
      <c r="C2334" s="74">
        <f>IFERROR(__xludf.DUMMYFUNCTION("""COMPUTED_VALUE"""),45587.0)</f>
        <v>45587</v>
      </c>
      <c r="D2334" s="74">
        <f>IFERROR(__xludf.DUMMYFUNCTION("""COMPUTED_VALUE"""),45588.0)</f>
        <v>45588</v>
      </c>
      <c r="E2334" s="112">
        <f>IFERROR(__xludf.DUMMYFUNCTION("""COMPUTED_VALUE"""),306762.0)</f>
        <v>306762</v>
      </c>
      <c r="F2334" s="112" t="str">
        <f>IFERROR(__xludf.DUMMYFUNCTION("""COMPUTED_VALUE"""),"真実の愛症候群～婚約者に裏切られたので、全てお話させていただきます～")</f>
        <v>真実の愛症候群～婚約者に裏切られたので、全てお話させていただきます～</v>
      </c>
      <c r="G2334" s="69">
        <f>IFERROR(__xludf.DUMMYFUNCTION("""COMPUTED_VALUE"""),1.0)</f>
        <v>1</v>
      </c>
      <c r="H2334" s="108" t="str">
        <f>IFERROR(__xludf.DUMMYFUNCTION("""COMPUTED_VALUE"""),"真白なぎ/はぐれメタボ")</f>
        <v>真白なぎ/はぐれメタボ</v>
      </c>
      <c r="I2334" s="113" t="str">
        <f>IFERROR(__xludf.DUMMYFUNCTION("""COMPUTED_VALUE"""),"女性")</f>
        <v>女性</v>
      </c>
      <c r="J2334" s="108"/>
      <c r="K2334" s="108"/>
      <c r="L2334" s="108" t="str">
        <f>IFERROR(__xludf.DUMMYFUNCTION("""COMPUTED_VALUE"""),"ファンギルド")</f>
        <v>ファンギルド</v>
      </c>
      <c r="M2334" s="115">
        <f>IFERROR(__xludf.DUMMYFUNCTION("""COMPUTED_VALUE"""),45645.0)</f>
        <v>45645</v>
      </c>
      <c r="N2334" s="59">
        <f>IFERROR(__xludf.DUMMYFUNCTION("""COMPUTED_VALUE"""),45672.0)</f>
        <v>45672</v>
      </c>
      <c r="O2334" s="108"/>
      <c r="P2334" s="110" t="str">
        <f>IFERROR(__xludf.DUMMYFUNCTION("""COMPUTED_VALUE"""),"可")</f>
        <v>可</v>
      </c>
      <c r="Q2334" s="111" t="str">
        <f>IFERROR(__xludf.DUMMYFUNCTION("""COMPUTED_VALUE"""),"『COMICスピラ』レーベル作品です。")</f>
        <v>『COMICスピラ』レーベル作品です。</v>
      </c>
      <c r="R2334" s="108"/>
      <c r="S2334" s="108" t="str">
        <f>IFERROR(__xludf.DUMMYFUNCTION("""COMPUTED_VALUE"""),"20241021_ファンギルド_真実の愛症候群～婚約者に裏切られたので、全てお話させていただきます～")</f>
        <v>20241021_ファンギルド_真実の愛症候群～婚約者に裏切られたので、全てお話させていただきます～</v>
      </c>
      <c r="T2334" s="108" t="str">
        <f>IFERROR(__xludf.DUMMYFUNCTION("""COMPUTED_VALUE"""),"格納済み")</f>
        <v>格納済み</v>
      </c>
      <c r="U2334" s="15" t="str">
        <f>IFERROR(__xludf.DUMMYFUNCTION("""COMPUTED_VALUE"""),"©真白なぎ/はぐれメタボ/ファンギルド")</f>
        <v>©真白なぎ/はぐれメタボ/ファンギルド</v>
      </c>
      <c r="V2334" s="8" t="str">
        <f>IFERROR(__xludf.DUMMYFUNCTION("""COMPUTED_VALUE"""),"魔導士のシャーロットは国王の命により、第二王子・ルーファスとの婚約が決まってしまった。ルーファスは女性関係の噂が絶えないぼんくら王子だが、案の定、シャーロットが仕事で国を留守にしている間に浮気相手の男爵令嬢を妊娠させてしまったようで――…。※この作品は『華麗にざまぁして、幸せを掴み取ってみせますわ！異世界アンソロジーコミック 1巻』に収録されている作品と同一の内容を単話版として再編集したものとなります。")</f>
        <v>魔導士のシャーロットは国王の命により、第二王子・ルーファスとの婚約が決まってしまった。ルーファスは女性関係の噂が絶えないぼんくら王子だが、案の定、シャーロットが仕事で国を留守にしている間に浮気相手の男爵令嬢を妊娠させてしまったようで――…。※この作品は『華麗にざまぁして、幸せを掴み取ってみせますわ！異世界アンソロジーコミック 1巻』に収録されている作品と同一の内容を単話版として再編集したものとなります。</v>
      </c>
      <c r="W2334" s="14"/>
      <c r="X2334" s="14" t="str">
        <f>IFERROR(__xludf.DUMMYFUNCTION("""COMPUTED_VALUE"""),"有")</f>
        <v>有</v>
      </c>
      <c r="Y2334" s="8" t="str">
        <f>IFERROR(__xludf.DUMMYFUNCTION("""COMPUTED_VALUE"""),"P7まで")</f>
        <v>P7まで</v>
      </c>
      <c r="Z2334" s="7"/>
      <c r="AA2334" s="7"/>
      <c r="AB2334" s="7"/>
    </row>
    <row r="2335" ht="15.75" customHeight="1">
      <c r="A2335" s="76">
        <f>IFERROR(__xludf.DUMMYFUNCTION("""COMPUTED_VALUE"""),4392.0)</f>
        <v>4392</v>
      </c>
      <c r="B2335" s="108" t="str">
        <f>IFERROR(__xludf.DUMMYFUNCTION("""COMPUTED_VALUE"""),"確定")</f>
        <v>確定</v>
      </c>
      <c r="C2335" s="74">
        <f>IFERROR(__xludf.DUMMYFUNCTION("""COMPUTED_VALUE"""),45587.0)</f>
        <v>45587</v>
      </c>
      <c r="D2335" s="74">
        <f>IFERROR(__xludf.DUMMYFUNCTION("""COMPUTED_VALUE"""),45588.0)</f>
        <v>45588</v>
      </c>
      <c r="E2335" s="112">
        <f>IFERROR(__xludf.DUMMYFUNCTION("""COMPUTED_VALUE"""),306761.0)</f>
        <v>306761</v>
      </c>
      <c r="F2335" s="112" t="str">
        <f>IFERROR(__xludf.DUMMYFUNCTION("""COMPUTED_VALUE"""),"婚約者を借りパクされましたが、もう返さなくて結構です")</f>
        <v>婚約者を借りパクされましたが、もう返さなくて結構です</v>
      </c>
      <c r="G2335" s="69">
        <f>IFERROR(__xludf.DUMMYFUNCTION("""COMPUTED_VALUE"""),1.0)</f>
        <v>1</v>
      </c>
      <c r="H2335" s="108" t="str">
        <f>IFERROR(__xludf.DUMMYFUNCTION("""COMPUTED_VALUE"""),"かぼそい/辺野夏子")</f>
        <v>かぼそい/辺野夏子</v>
      </c>
      <c r="I2335" s="108" t="str">
        <f>IFERROR(__xludf.DUMMYFUNCTION("""COMPUTED_VALUE"""),"少女")</f>
        <v>少女</v>
      </c>
      <c r="J2335" s="108"/>
      <c r="K2335" s="108"/>
      <c r="L2335" s="108" t="str">
        <f>IFERROR(__xludf.DUMMYFUNCTION("""COMPUTED_VALUE"""),"ファンギルド")</f>
        <v>ファンギルド</v>
      </c>
      <c r="M2335" s="115">
        <f>IFERROR(__xludf.DUMMYFUNCTION("""COMPUTED_VALUE"""),45645.0)</f>
        <v>45645</v>
      </c>
      <c r="N2335" s="59">
        <f>IFERROR(__xludf.DUMMYFUNCTION("""COMPUTED_VALUE"""),45672.0)</f>
        <v>45672</v>
      </c>
      <c r="O2335" s="108"/>
      <c r="P2335" s="110" t="str">
        <f>IFERROR(__xludf.DUMMYFUNCTION("""COMPUTED_VALUE"""),"可")</f>
        <v>可</v>
      </c>
      <c r="Q2335" s="111" t="str">
        <f>IFERROR(__xludf.DUMMYFUNCTION("""COMPUTED_VALUE"""),"『COMICスピラ』レーベル作品です。")</f>
        <v>『COMICスピラ』レーベル作品です。</v>
      </c>
      <c r="R2335" s="108"/>
      <c r="S2335" s="108" t="str">
        <f>IFERROR(__xludf.DUMMYFUNCTION("""COMPUTED_VALUE"""),"20241021_ファンギルド_婚約者を借りパクされましたが、もう返さなくて結構です")</f>
        <v>20241021_ファンギルド_婚約者を借りパクされましたが、もう返さなくて結構です</v>
      </c>
      <c r="T2335" s="108" t="str">
        <f>IFERROR(__xludf.DUMMYFUNCTION("""COMPUTED_VALUE"""),"格納済み")</f>
        <v>格納済み</v>
      </c>
      <c r="U2335" s="15" t="str">
        <f>IFERROR(__xludf.DUMMYFUNCTION("""COMPUTED_VALUE"""),"©かぼそい/辺野夏子/ファンギルド")</f>
        <v>©かぼそい/辺野夏子/ファンギルド</v>
      </c>
      <c r="V2335" s="8" t="str">
        <f>IFERROR(__xludf.DUMMYFUNCTION("""COMPUTED_VALUE"""),"「おねがぁい！ロナルド様を私に貸して！」　ある日、友人に「あなたの婚約者を貸してほしい」と頼まれた伯爵令嬢・エスカ。　婚約者を“貸す”なんて…と断ろうとしたエスカだが、心配しすぎだと笑う友人に押され、仕方なく了承してしまう。　――しかしエスカの悪い予感は的中。　友人は好き勝手し放題、それどころか、衝撃の一言を浴びせてきて…。【※この作品は『華麗にざまぁして、幸せを掴み取ってみせますわ！異世界アンソロジーコミック　1巻』に収録されている作品と同一の内容を単話版として再編集したものです。】")</f>
        <v>「おねがぁい！ロナルド様を私に貸して！」　ある日、友人に「あなたの婚約者を貸してほしい」と頼まれた伯爵令嬢・エスカ。　婚約者を“貸す”なんて…と断ろうとしたエスカだが、心配しすぎだと笑う友人に押され、仕方なく了承してしまう。　――しかしエスカの悪い予感は的中。　友人は好き勝手し放題、それどころか、衝撃の一言を浴びせてきて…。【※この作品は『華麗にざまぁして、幸せを掴み取ってみせますわ！異世界アンソロジーコミック　1巻』に収録されている作品と同一の内容を単話版として再編集したものです。】</v>
      </c>
      <c r="W2335" s="14"/>
      <c r="X2335" s="14" t="str">
        <f>IFERROR(__xludf.DUMMYFUNCTION("""COMPUTED_VALUE"""),"有")</f>
        <v>有</v>
      </c>
      <c r="Y2335" s="8" t="str">
        <f>IFERROR(__xludf.DUMMYFUNCTION("""COMPUTED_VALUE"""),"P8まで")</f>
        <v>P8まで</v>
      </c>
      <c r="Z2335" s="7"/>
      <c r="AA2335" s="7"/>
      <c r="AB2335" s="7"/>
    </row>
    <row r="2336" ht="15.75" customHeight="1">
      <c r="A2336" s="76">
        <f>IFERROR(__xludf.DUMMYFUNCTION("""COMPUTED_VALUE"""),4393.0)</f>
        <v>4393</v>
      </c>
      <c r="B2336" s="108" t="str">
        <f>IFERROR(__xludf.DUMMYFUNCTION("""COMPUTED_VALUE"""),"確定")</f>
        <v>確定</v>
      </c>
      <c r="C2336" s="74">
        <f>IFERROR(__xludf.DUMMYFUNCTION("""COMPUTED_VALUE"""),45587.0)</f>
        <v>45587</v>
      </c>
      <c r="D2336" s="74">
        <f>IFERROR(__xludf.DUMMYFUNCTION("""COMPUTED_VALUE"""),45588.0)</f>
        <v>45588</v>
      </c>
      <c r="E2336" s="112">
        <f>IFERROR(__xludf.DUMMYFUNCTION("""COMPUTED_VALUE"""),306757.0)</f>
        <v>306757</v>
      </c>
      <c r="F2336" s="112" t="str">
        <f>IFERROR(__xludf.DUMMYFUNCTION("""COMPUTED_VALUE"""),"捨てられた聖女は最強王子と暴君魔王に愛される【ページ版】")</f>
        <v>捨てられた聖女は最強王子と暴君魔王に愛される【ページ版】</v>
      </c>
      <c r="G2336" s="69" t="str">
        <f>IFERROR(__xludf.DUMMYFUNCTION("""COMPUTED_VALUE"""),"1～8")</f>
        <v>1～8</v>
      </c>
      <c r="H2336" s="108" t="str">
        <f>IFERROR(__xludf.DUMMYFUNCTION("""COMPUTED_VALUE"""),"ショコラ*/星乃みなみ")</f>
        <v>ショコラ*/星乃みなみ</v>
      </c>
      <c r="I2336" s="108" t="str">
        <f>IFERROR(__xludf.DUMMYFUNCTION("""COMPUTED_VALUE"""),"女性")</f>
        <v>女性</v>
      </c>
      <c r="J2336" s="108"/>
      <c r="K2336" s="108"/>
      <c r="L2336" s="108" t="str">
        <f>IFERROR(__xludf.DUMMYFUNCTION("""COMPUTED_VALUE"""),"ファンギルド")</f>
        <v>ファンギルド</v>
      </c>
      <c r="M2336" s="23">
        <f>IFERROR(__xludf.DUMMYFUNCTION("""COMPUTED_VALUE"""),45629.0)</f>
        <v>45629</v>
      </c>
      <c r="N2336" s="59">
        <f>IFERROR(__xludf.DUMMYFUNCTION("""COMPUTED_VALUE"""),45663.0)</f>
        <v>45663</v>
      </c>
      <c r="O2336" s="108"/>
      <c r="P2336" s="110" t="str">
        <f>IFERROR(__xludf.DUMMYFUNCTION("""COMPUTED_VALUE"""),"可")</f>
        <v>可</v>
      </c>
      <c r="Q2336" s="111" t="str">
        <f>IFERROR(__xludf.DUMMYFUNCTION("""COMPUTED_VALUE"""),"素材は1～6巻分でご制作いただければと思います。")</f>
        <v>素材は1～6巻分でご制作いただければと思います。</v>
      </c>
      <c r="R2336" s="108"/>
      <c r="S2336" s="108" t="str">
        <f>IFERROR(__xludf.DUMMYFUNCTION("""COMPUTED_VALUE"""),"20241021_ファンギルド_捨てられた聖女は最強王子と暴君魔王に愛される【ページ版】")</f>
        <v>20241021_ファンギルド_捨てられた聖女は最強王子と暴君魔王に愛される【ページ版】</v>
      </c>
      <c r="T2336" s="108" t="str">
        <f>IFERROR(__xludf.DUMMYFUNCTION("""COMPUTED_VALUE"""),"格納済み")</f>
        <v>格納済み</v>
      </c>
      <c r="U2336" s="15" t="str">
        <f>IFERROR(__xludf.DUMMYFUNCTION("""COMPUTED_VALUE"""),"©ショコラ*/星乃みなみ/JAMTOON")</f>
        <v>©ショコラ*/星乃みなみ/JAMTOON</v>
      </c>
      <c r="V2336" s="8" t="str">
        <f>IFERROR(__xludf.DUMMYFUNCTION("""COMPUTED_VALUE"""),"生まれた時から忌み嫌われ、「呪われた王女」として幽閉されて育ったイリスは、呪い封じのマスクを着けながら、生きる希望のない日々を送っていた。そして優秀な癒しの能力者である妹・ディアンヌの結婚に同行するも、危険な森で置き去りにされてしまう！魔物に襲われ、死を覚悟したところを助けてくれたのは、結婚相手であるレオン王子だった。そこから妹の身代わりとして始まった日々は発見と幸せの連続で…封じられていた能力が目覚め、レオンからの求愛を受け入れたとき、真の伴侶を名乗る魔王・ザイードに攫われてしまい…！？【「捨てられた聖"&amp;"女は最強王子と暴君魔王に愛される」の再編集版です。重複購入にご注意ください。】")</f>
        <v>生まれた時から忌み嫌われ、「呪われた王女」として幽閉されて育ったイリスは、呪い封じのマスクを着けながら、生きる希望のない日々を送っていた。そして優秀な癒しの能力者である妹・ディアンヌの結婚に同行するも、危険な森で置き去りにされてしまう！魔物に襲われ、死を覚悟したところを助けてくれたのは、結婚相手であるレオン王子だった。そこから妹の身代わりとして始まった日々は発見と幸せの連続で…封じられていた能力が目覚め、レオンからの求愛を受け入れたとき、真の伴侶を名乗る魔王・ザイードに攫われてしまい…！？【「捨てられた聖女は最強王子と暴君魔王に愛される」の再編集版です。重複購入にご注意ください。】</v>
      </c>
      <c r="W2336" s="14"/>
      <c r="X2336" s="14" t="str">
        <f>IFERROR(__xludf.DUMMYFUNCTION("""COMPUTED_VALUE"""),"有")</f>
        <v>有</v>
      </c>
      <c r="Y2336" s="8" t="str">
        <f>IFERROR(__xludf.DUMMYFUNCTION("""COMPUTED_VALUE"""),"2024/12/16まで1巻無料")</f>
        <v>2024/12/16まで1巻無料</v>
      </c>
      <c r="Z2336" s="7"/>
      <c r="AA2336" s="7"/>
      <c r="AB2336" s="7"/>
    </row>
    <row r="2337" ht="15.75" customHeight="1">
      <c r="A2337" s="76">
        <f>IFERROR(__xludf.DUMMYFUNCTION("""COMPUTED_VALUE"""),4394.0)</f>
        <v>4394</v>
      </c>
      <c r="B2337" s="108" t="str">
        <f>IFERROR(__xludf.DUMMYFUNCTION("""COMPUTED_VALUE"""),"確定")</f>
        <v>確定</v>
      </c>
      <c r="C2337" s="74">
        <f>IFERROR(__xludf.DUMMYFUNCTION("""COMPUTED_VALUE"""),45587.0)</f>
        <v>45587</v>
      </c>
      <c r="D2337" s="74">
        <f>IFERROR(__xludf.DUMMYFUNCTION("""COMPUTED_VALUE"""),45588.0)</f>
        <v>45588</v>
      </c>
      <c r="E2337" s="112">
        <f>IFERROR(__xludf.DUMMYFUNCTION("""COMPUTED_VALUE"""),306759.0)</f>
        <v>306759</v>
      </c>
      <c r="F2337" s="112" t="str">
        <f>IFERROR(__xludf.DUMMYFUNCTION("""COMPUTED_VALUE"""),"女弁護士がクズ野郎に制裁を加える件について")</f>
        <v>女弁護士がクズ野郎に制裁を加える件について</v>
      </c>
      <c r="G2337" s="69" t="str">
        <f>IFERROR(__xludf.DUMMYFUNCTION("""COMPUTED_VALUE"""),"1～4")</f>
        <v>1～4</v>
      </c>
      <c r="H2337" s="108" t="str">
        <f>IFERROR(__xludf.DUMMYFUNCTION("""COMPUTED_VALUE"""),"月嶋千黒")</f>
        <v>月嶋千黒</v>
      </c>
      <c r="I2337" s="108" t="str">
        <f>IFERROR(__xludf.DUMMYFUNCTION("""COMPUTED_VALUE"""),"女性")</f>
        <v>女性</v>
      </c>
      <c r="J2337" s="108"/>
      <c r="K2337" s="108"/>
      <c r="L2337" s="108" t="str">
        <f>IFERROR(__xludf.DUMMYFUNCTION("""COMPUTED_VALUE"""),"ファンギルド")</f>
        <v>ファンギルド</v>
      </c>
      <c r="M2337" s="59">
        <f>IFERROR(__xludf.DUMMYFUNCTION("""COMPUTED_VALUE"""),45665.0)</f>
        <v>45665</v>
      </c>
      <c r="N2337" s="59">
        <f>IFERROR(__xludf.DUMMYFUNCTION("""COMPUTED_VALUE"""),45699.0)</f>
        <v>45699</v>
      </c>
      <c r="O2337" s="108"/>
      <c r="P2337" s="114" t="str">
        <f>IFERROR(__xludf.DUMMYFUNCTION("""COMPUTED_VALUE"""),"可")</f>
        <v>可</v>
      </c>
      <c r="Q2337" s="111"/>
      <c r="R2337" s="108"/>
      <c r="S2337" s="108" t="str">
        <f>IFERROR(__xludf.DUMMYFUNCTION("""COMPUTED_VALUE"""),"20241021_ファンギルド_女弁護士がクズ野郎に制裁を加える件について")</f>
        <v>20241021_ファンギルド_女弁護士がクズ野郎に制裁を加える件について</v>
      </c>
      <c r="T2337" s="108" t="str">
        <f>IFERROR(__xludf.DUMMYFUNCTION("""COMPUTED_VALUE"""),"格納済み")</f>
        <v>格納済み</v>
      </c>
      <c r="U2337" s="15" t="str">
        <f>IFERROR(__xludf.DUMMYFUNCTION("""COMPUTED_VALUE"""),"©月嶋千黒/ファンギルド")</f>
        <v>©月嶋千黒/ファンギルド</v>
      </c>
      <c r="V2337" s="8" t="str">
        <f>IFERROR(__xludf.DUMMYFUNCTION("""COMPUTED_VALUE"""),"「クズ野郎の正体を暴いて、地獄に突き落としてやる！」。弁護士”土井たくみ”が、”悩み“を抱えた女性たちの問題を次々と解決！彼女自身の性格や行動は破天荒すぎるが、持ち前の義理と人情と情熱で彼女は難題を次々と解決していく。“女性” という不利な立場、生きにくさを感じている女性に対して、誠実に（時には誠実すぎるほどに）向き合う正義の弁護”土井たくみ ”。また、自分自身の抱えているトラウマも含めて、彼女自身も悩みつつも女性の敵をバッサバッサと成敗。そして、スカッとまるっと解決！弁護士”土井たくみ”が正義のために立"&amp;"ち上がる！")</f>
        <v>「クズ野郎の正体を暴いて、地獄に突き落としてやる！」。弁護士”土井たくみ”が、”悩み“を抱えた女性たちの問題を次々と解決！彼女自身の性格や行動は破天荒すぎるが、持ち前の義理と人情と情熱で彼女は難題を次々と解決していく。“女性” という不利な立場、生きにくさを感じている女性に対して、誠実に（時には誠実すぎるほどに）向き合う正義の弁護”土井たくみ ”。また、自分自身の抱えているトラウマも含めて、彼女自身も悩みつつも女性の敵をバッサバッサと成敗。そして、スカッとまるっと解決！弁護士”土井たくみ”が正義のために立ち上がる！</v>
      </c>
      <c r="W2337" s="14"/>
      <c r="X2337" s="14" t="str">
        <f>IFERROR(__xludf.DUMMYFUNCTION("""COMPUTED_VALUE"""),"有")</f>
        <v>有</v>
      </c>
      <c r="Y2337" s="8" t="str">
        <f>IFERROR(__xludf.DUMMYFUNCTION("""COMPUTED_VALUE"""),"2025/2/11まで1巻無料")</f>
        <v>2025/2/11まで1巻無料</v>
      </c>
      <c r="Z2337" s="7"/>
      <c r="AA2337" s="7"/>
      <c r="AB2337" s="7"/>
    </row>
    <row r="2338" ht="15.75" customHeight="1">
      <c r="A2338" s="76">
        <f>IFERROR(__xludf.DUMMYFUNCTION("""COMPUTED_VALUE"""),4395.0)</f>
        <v>4395</v>
      </c>
      <c r="B2338" s="108" t="str">
        <f>IFERROR(__xludf.DUMMYFUNCTION("""COMPUTED_VALUE"""),"確定")</f>
        <v>確定</v>
      </c>
      <c r="C2338" s="74">
        <f>IFERROR(__xludf.DUMMYFUNCTION("""COMPUTED_VALUE"""),45587.0)</f>
        <v>45587</v>
      </c>
      <c r="D2338" s="74">
        <f>IFERROR(__xludf.DUMMYFUNCTION("""COMPUTED_VALUE"""),45588.0)</f>
        <v>45588</v>
      </c>
      <c r="E2338" s="112">
        <f>IFERROR(__xludf.DUMMYFUNCTION("""COMPUTED_VALUE"""),306758.0)</f>
        <v>306758</v>
      </c>
      <c r="F2338" s="112" t="str">
        <f>IFERROR(__xludf.DUMMYFUNCTION("""COMPUTED_VALUE"""),"元カレの息子に一途に迫られてます【ページ版】")</f>
        <v>元カレの息子に一途に迫られてます【ページ版】</v>
      </c>
      <c r="G2338" s="69" t="str">
        <f>IFERROR(__xludf.DUMMYFUNCTION("""COMPUTED_VALUE"""),"1～5")</f>
        <v>1～5</v>
      </c>
      <c r="H2338" s="113" t="str">
        <f>IFERROR(__xludf.DUMMYFUNCTION("""COMPUTED_VALUE"""),"鳥屋,JAMTOON")</f>
        <v>鳥屋,JAMTOON</v>
      </c>
      <c r="I2338" s="108" t="str">
        <f>IFERROR(__xludf.DUMMYFUNCTION("""COMPUTED_VALUE"""),"女性")</f>
        <v>女性</v>
      </c>
      <c r="J2338" s="108"/>
      <c r="K2338" s="108"/>
      <c r="L2338" s="108" t="str">
        <f>IFERROR(__xludf.DUMMYFUNCTION("""COMPUTED_VALUE"""),"ファンギルド")</f>
        <v>ファンギルド</v>
      </c>
      <c r="M2338" s="115">
        <f>IFERROR(__xludf.DUMMYFUNCTION("""COMPUTED_VALUE"""),45637.0)</f>
        <v>45637</v>
      </c>
      <c r="N2338" s="59">
        <f>IFERROR(__xludf.DUMMYFUNCTION("""COMPUTED_VALUE"""),45664.0)</f>
        <v>45664</v>
      </c>
      <c r="O2338" s="108"/>
      <c r="P2338" s="114" t="str">
        <f>IFERROR(__xludf.DUMMYFUNCTION("""COMPUTED_VALUE"""),"可")</f>
        <v>可</v>
      </c>
      <c r="Q2338" s="111"/>
      <c r="R2338" s="108"/>
      <c r="S2338" s="108" t="str">
        <f>IFERROR(__xludf.DUMMYFUNCTION("""COMPUTED_VALUE"""),"20241021_ファンギルド_元カレの息子に一途に迫られてます【ページ版】")</f>
        <v>20241021_ファンギルド_元カレの息子に一途に迫られてます【ページ版】</v>
      </c>
      <c r="T2338" s="108" t="str">
        <f>IFERROR(__xludf.DUMMYFUNCTION("""COMPUTED_VALUE"""),"格納済み")</f>
        <v>格納済み</v>
      </c>
      <c r="U2338" s="15" t="str">
        <f>IFERROR(__xludf.DUMMYFUNCTION("""COMPUTED_VALUE"""),"©Aizawa Atsuko/Aoki Sorao/Toriya/JAMTOON/FUNGUILD")</f>
        <v>©Aizawa Atsuko/Aoki Sorao/Toriya/JAMTOON/FUNGUILD</v>
      </c>
      <c r="V2338" s="8" t="str">
        <f>IFERROR(__xludf.DUMMYFUNCTION("""COMPUTED_VALUE"""),"「心配しなくてもキスはしないよ…まだ、ね」仕事に生きるアパレル会社社長の美咲は、訳あって元カレ（クズ）の息子・葵を引き取ることになってしまう。複雑な関係ながら、葵を弟のように思い仲良く暮らしていたが...。「美咲さんが、好きだ」成長した葵に告白され、美咲の日々は一変する！『一回りも年下で、ましてや元カレの息子と恋愛なんて...絶対ダメ！！』そう思いつつも、葵の大人びた表情や一途な溺愛に翻弄され、なくしたはずの恋心が芽生え始め――。元カレの息子（20）×バリキャリ社長（35）が織りなす歳の差ラブストーリー！"&amp;"！【「元カレの息子に一途に迫られてます」の再編集版です。重複購入にご注意ください。】")</f>
        <v>「心配しなくてもキスはしないよ…まだ、ね」仕事に生きるアパレル会社社長の美咲は、訳あって元カレ（クズ）の息子・葵を引き取ることになってしまう。複雑な関係ながら、葵を弟のように思い仲良く暮らしていたが...。「美咲さんが、好きだ」成長した葵に告白され、美咲の日々は一変する！『一回りも年下で、ましてや元カレの息子と恋愛なんて...絶対ダメ！！』そう思いつつも、葵の大人びた表情や一途な溺愛に翻弄され、なくしたはずの恋心が芽生え始め――。元カレの息子（20）×バリキャリ社長（35）が織りなす歳の差ラブストーリー！！【「元カレの息子に一途に迫られてます」の再編集版です。重複購入にご注意ください。】</v>
      </c>
      <c r="W2338" s="14"/>
      <c r="X2338" s="14" t="str">
        <f>IFERROR(__xludf.DUMMYFUNCTION("""COMPUTED_VALUE"""),"有")</f>
        <v>有</v>
      </c>
      <c r="Y2338" s="8" t="str">
        <f>IFERROR(__xludf.DUMMYFUNCTION("""COMPUTED_VALUE"""),"2025/1/7まで1巻無料")</f>
        <v>2025/1/7まで1巻無料</v>
      </c>
      <c r="Z2338" s="7"/>
      <c r="AA2338" s="7"/>
      <c r="AB2338" s="7"/>
    </row>
    <row r="2339" ht="15.75" customHeight="1">
      <c r="A2339" s="76">
        <f>IFERROR(__xludf.DUMMYFUNCTION("""COMPUTED_VALUE"""),3707.0)</f>
        <v>3707</v>
      </c>
      <c r="B2339" s="69" t="str">
        <f>IFERROR(__xludf.DUMMYFUNCTION("""COMPUTED_VALUE"""),"確定")</f>
        <v>確定</v>
      </c>
      <c r="C2339" s="74">
        <f>IFERROR(__xludf.DUMMYFUNCTION("""COMPUTED_VALUE"""),45470.0)</f>
        <v>45470</v>
      </c>
      <c r="D2339" s="74">
        <f>IFERROR(__xludf.DUMMYFUNCTION("""COMPUTED_VALUE"""),45595.0)</f>
        <v>45595</v>
      </c>
      <c r="E2339" s="112">
        <f>IFERROR(__xludf.DUMMYFUNCTION("""COMPUTED_VALUE"""),310489.0)</f>
        <v>310489</v>
      </c>
      <c r="F2339" s="119" t="str">
        <f>IFERROR(__xludf.DUMMYFUNCTION("""COMPUTED_VALUE"""),"恋愛禁止シェアハウス")</f>
        <v>恋愛禁止シェアハウス</v>
      </c>
      <c r="G2339" s="69" t="str">
        <f>IFERROR(__xludf.DUMMYFUNCTION("""COMPUTED_VALUE"""),"1～5")</f>
        <v>1～5</v>
      </c>
      <c r="H2339" s="69" t="str">
        <f>IFERROR(__xludf.DUMMYFUNCTION("""COMPUTED_VALUE"""),"作画：智衣薫 原作：栞")</f>
        <v>作画：智衣薫 原作：栞</v>
      </c>
      <c r="I2339" s="69" t="str">
        <f>IFERROR(__xludf.DUMMYFUNCTION("""COMPUTED_VALUE"""),"女性")</f>
        <v>女性</v>
      </c>
      <c r="J2339" s="69"/>
      <c r="K2339" s="69"/>
      <c r="L2339" s="69" t="str">
        <f>IFERROR(__xludf.DUMMYFUNCTION("""COMPUTED_VALUE"""),"Bコミ")</f>
        <v>Bコミ</v>
      </c>
      <c r="M2339" s="59">
        <f>IFERROR(__xludf.DUMMYFUNCTION("""COMPUTED_VALUE"""),45669.0)</f>
        <v>45669</v>
      </c>
      <c r="N2339" s="47">
        <f>IFERROR(__xludf.DUMMYFUNCTION("""COMPUTED_VALUE"""),45759.0)</f>
        <v>45759</v>
      </c>
      <c r="O2339" s="69"/>
      <c r="P2339" s="114" t="str">
        <f>IFERROR(__xludf.DUMMYFUNCTION("""COMPUTED_VALUE"""),"可")</f>
        <v>可</v>
      </c>
      <c r="Q2339" s="69"/>
      <c r="R2339" s="69" t="str">
        <f>IFERROR(__xludf.DUMMYFUNCTION("""COMPUTED_VALUE"""),"広告コミットOK(7/1)")</f>
        <v>広告コミットOK(7/1)</v>
      </c>
      <c r="S2339" s="69" t="str">
        <f>IFERROR(__xludf.DUMMYFUNCTION("""COMPUTED_VALUE"""),"20241029_ブックマークジャパン_恋愛禁止シェアハウス")</f>
        <v>20241029_ブックマークジャパン_恋愛禁止シェアハウス</v>
      </c>
      <c r="T2339" s="69" t="str">
        <f>IFERROR(__xludf.DUMMYFUNCTION("""COMPUTED_VALUE"""),"納品済み")</f>
        <v>納品済み</v>
      </c>
      <c r="U2339" s="15" t="str">
        <f>IFERROR(__xludf.DUMMYFUNCTION("""COMPUTED_VALUE"""),"🄫智衣薫・栞 / Bコミ")</f>
        <v>🄫智衣薫・栞 / Bコミ</v>
      </c>
      <c r="V2339" s="8" t="str">
        <f>IFERROR(__xludf.DUMMYFUNCTION("""COMPUTED_VALUE"""),"「恋愛が絡むと、人はおかしくなるでしょう？」陽菜はちょっとズレてるけど前向きな性格で恋愛体質。気になる志紋はシェアハウスのオーナーでとても優しい人。だけど、恋愛には興味がないようで「僕を好きにならないで」と言われてしまう。一方、オーナーの弟・颯志は陽菜と志紋の仲を怪しみ、兄への当てつけから陽菜に急接近！愛する方が幸せなのか、愛される方が幸せなのか。一方通行の三角関係は一体どうなる！？")</f>
        <v>「恋愛が絡むと、人はおかしくなるでしょう？」陽菜はちょっとズレてるけど前向きな性格で恋愛体質。気になる志紋はシェアハウスのオーナーでとても優しい人。だけど、恋愛には興味がないようで「僕を好きにならないで」と言われてしまう。一方、オーナーの弟・颯志は陽菜と志紋の仲を怪しみ、兄への当てつけから陽菜に急接近！愛する方が幸せなのか、愛される方が幸せなのか。一方通行の三角関係は一体どうなる！？</v>
      </c>
      <c r="W2339" s="14"/>
      <c r="X2339" s="14" t="str">
        <f>IFERROR(__xludf.DUMMYFUNCTION("""COMPUTED_VALUE"""),"有")</f>
        <v>有</v>
      </c>
      <c r="Y2339" s="8" t="str">
        <f>IFERROR(__xludf.DUMMYFUNCTION("""COMPUTED_VALUE"""),"2025/1/27まで1巻無料")</f>
        <v>2025/1/27まで1巻無料</v>
      </c>
      <c r="Z2339" s="7"/>
      <c r="AA2339" s="7"/>
      <c r="AB2339" s="7"/>
    </row>
    <row r="2340" ht="15.75" customHeight="1">
      <c r="A2340" s="76">
        <f>IFERROR(__xludf.DUMMYFUNCTION("""COMPUTED_VALUE"""),3825.0)</f>
        <v>3825</v>
      </c>
      <c r="B2340" s="69" t="str">
        <f>IFERROR(__xludf.DUMMYFUNCTION("""COMPUTED_VALUE"""),"確定")</f>
        <v>確定</v>
      </c>
      <c r="C2340" s="74">
        <f>IFERROR(__xludf.DUMMYFUNCTION("""COMPUTED_VALUE"""),45495.0)</f>
        <v>45495</v>
      </c>
      <c r="D2340" s="74">
        <f>IFERROR(__xludf.DUMMYFUNCTION("""COMPUTED_VALUE"""),45590.0)</f>
        <v>45590</v>
      </c>
      <c r="E2340" s="112">
        <f>IFERROR(__xludf.DUMMYFUNCTION("""COMPUTED_VALUE"""),306357.0)</f>
        <v>306357</v>
      </c>
      <c r="F2340" s="119" t="str">
        <f>IFERROR(__xludf.DUMMYFUNCTION("""COMPUTED_VALUE"""),"赤の結婚【マイクロ】")</f>
        <v>赤の結婚【マイクロ】</v>
      </c>
      <c r="G2340" s="69" t="str">
        <f>IFERROR(__xludf.DUMMYFUNCTION("""COMPUTED_VALUE"""),"1～5")</f>
        <v>1～5</v>
      </c>
      <c r="H2340" s="69" t="str">
        <f>IFERROR(__xludf.DUMMYFUNCTION("""COMPUTED_VALUE"""),"羽柴みず┴兎山もなか")</f>
        <v>羽柴みず┴兎山もなか</v>
      </c>
      <c r="I2340" s="113" t="str">
        <f>IFERROR(__xludf.DUMMYFUNCTION("""COMPUTED_VALUE"""),"女性")</f>
        <v>女性</v>
      </c>
      <c r="J2340" s="69"/>
      <c r="K2340" s="69"/>
      <c r="L2340" s="69" t="str">
        <f>IFERROR(__xludf.DUMMYFUNCTION("""COMPUTED_VALUE"""),"小学館")</f>
        <v>小学館</v>
      </c>
      <c r="M2340" s="77">
        <f>IFERROR(__xludf.DUMMYFUNCTION("""COMPUTED_VALUE"""),45611.0)</f>
        <v>45611</v>
      </c>
      <c r="N2340" s="59">
        <f>IFERROR(__xludf.DUMMYFUNCTION("""COMPUTED_VALUE"""),45671.0)</f>
        <v>45671</v>
      </c>
      <c r="O2340" s="69"/>
      <c r="P2340" s="120" t="str">
        <f>IFERROR(__xludf.DUMMYFUNCTION("""COMPUTED_VALUE"""),"否")</f>
        <v>否</v>
      </c>
      <c r="Q2340" s="69" t="str">
        <f>IFERROR(__xludf.DUMMYFUNCTION("""COMPUTED_VALUE"""),"素材の1巻目を3巻に分割するとのことです。（2・3巻がそのまま4・5巻となる）")</f>
        <v>素材の1巻目を3巻に分割するとのことです。（2・3巻がそのまま4・5巻となる）</v>
      </c>
      <c r="R2340" s="69" t="str">
        <f>IFERROR(__xludf.DUMMYFUNCTION("""COMPUTED_VALUE"""),"広告コミットOK(7/26)")</f>
        <v>広告コミットOK(7/26)</v>
      </c>
      <c r="S2340" s="69" t="str">
        <f>IFERROR(__xludf.DUMMYFUNCTION("""COMPUTED_VALUE"""),"20241024_小学館_赤の結婚【マイクロ】")</f>
        <v>20241024_小学館_赤の結婚【マイクロ】</v>
      </c>
      <c r="T2340" s="69" t="str">
        <f>IFERROR(__xludf.DUMMYFUNCTION("""COMPUTED_VALUE"""),"格納済み")</f>
        <v>格納済み</v>
      </c>
      <c r="U2340" s="15" t="str">
        <f>IFERROR(__xludf.DUMMYFUNCTION("""COMPUTED_VALUE"""),"(C)羽柴みず・兎山もなか / 小学館")</f>
        <v>(C)羽柴みず・兎山もなか / 小学館</v>
      </c>
      <c r="V2340" s="8" t="str">
        <f>IFERROR(__xludf.DUMMYFUNCTION("""COMPUTED_VALUE"""),"愛か欺きか――天才詐欺師×女刑事、スリリングラブゲーム！　自身も婚約者に騙された過去を持つ、女刑事・鈴本冴架は、世間を賑わす“アカサギ”こと結婚詐欺師・梵恋太郎を絶対に自らの手で捕まえようと躍起になる日々。被害に遭った女性たちの事例を追って行くも色々な顔を見せる“梵”という男の輪郭に刑事として以上の興味を持ち始めてしまい――？次第に明かされる冴架自身の過去や変わりゆく梵との関係――詐欺師×女刑事の禁断のスリリングラブ、第１巻！")</f>
        <v>愛か欺きか――天才詐欺師×女刑事、スリリングラブゲーム！　自身も婚約者に騙された過去を持つ、女刑事・鈴本冴架は、世間を賑わす“アカサギ”こと結婚詐欺師・梵恋太郎を絶対に自らの手で捕まえようと躍起になる日々。被害に遭った女性たちの事例を追って行くも色々な顔を見せる“梵”という男の輪郭に刑事として以上の興味を持ち始めてしまい――？次第に明かされる冴架自身の過去や変わりゆく梵との関係――詐欺師×女刑事の禁断のスリリングラブ、第１巻！</v>
      </c>
      <c r="W2340" s="14"/>
      <c r="X2340" s="14" t="str">
        <f>IFERROR(__xludf.DUMMYFUNCTION("""COMPUTED_VALUE"""),"有")</f>
        <v>有</v>
      </c>
      <c r="Y2340" s="8" t="str">
        <f>IFERROR(__xludf.DUMMYFUNCTION("""COMPUTED_VALUE"""),"P11まで")</f>
        <v>P11まで</v>
      </c>
      <c r="Z2340" s="7"/>
      <c r="AA2340" s="7"/>
      <c r="AB2340" s="7"/>
    </row>
    <row r="2341" ht="15.75" customHeight="1">
      <c r="A2341" s="76">
        <f>IFERROR(__xludf.DUMMYFUNCTION("""COMPUTED_VALUE"""),4016.0)</f>
        <v>4016</v>
      </c>
      <c r="B2341" s="69" t="str">
        <f>IFERROR(__xludf.DUMMYFUNCTION("""COMPUTED_VALUE"""),"確定")</f>
        <v>確定</v>
      </c>
      <c r="C2341" s="74">
        <f>IFERROR(__xludf.DUMMYFUNCTION("""COMPUTED_VALUE"""),45525.0)</f>
        <v>45525</v>
      </c>
      <c r="D2341" s="74">
        <f>IFERROR(__xludf.DUMMYFUNCTION("""COMPUTED_VALUE"""),45595.0)</f>
        <v>45595</v>
      </c>
      <c r="E2341" s="112">
        <f>IFERROR(__xludf.DUMMYFUNCTION("""COMPUTED_VALUE"""),307535.0)</f>
        <v>307535</v>
      </c>
      <c r="F2341" s="119" t="str">
        <f>IFERROR(__xludf.DUMMYFUNCTION("""COMPUTED_VALUE"""),"鱗と鰓と肉")</f>
        <v>鱗と鰓と肉</v>
      </c>
      <c r="G2341" s="69">
        <f>IFERROR(__xludf.DUMMYFUNCTION("""COMPUTED_VALUE"""),1.0)</f>
        <v>1</v>
      </c>
      <c r="H2341" s="69" t="str">
        <f>IFERROR(__xludf.DUMMYFUNCTION("""COMPUTED_VALUE"""),"金魚鉢でめ")</f>
        <v>金魚鉢でめ</v>
      </c>
      <c r="I2341" s="69" t="str">
        <f>IFERROR(__xludf.DUMMYFUNCTION("""COMPUTED_VALUE"""),"女性")</f>
        <v>女性</v>
      </c>
      <c r="J2341" s="69"/>
      <c r="K2341" s="69"/>
      <c r="L2341" s="69" t="str">
        <f>IFERROR(__xludf.DUMMYFUNCTION("""COMPUTED_VALUE"""),"新潮社")</f>
        <v>新潮社</v>
      </c>
      <c r="M2341" s="23">
        <f>IFERROR(__xludf.DUMMYFUNCTION("""COMPUTED_VALUE"""),45635.0)</f>
        <v>45635</v>
      </c>
      <c r="N2341" s="73">
        <f>IFERROR(__xludf.DUMMYFUNCTION("""COMPUTED_VALUE"""),46021.0)</f>
        <v>46021</v>
      </c>
      <c r="O2341" s="69"/>
      <c r="P2341" s="120" t="str">
        <f>IFERROR(__xludf.DUMMYFUNCTION("""COMPUTED_VALUE"""),"可")</f>
        <v>可</v>
      </c>
      <c r="Q2341" s="69" t="str">
        <f>IFERROR(__xludf.DUMMYFUNCTION("""COMPUTED_VALUE"""),"※参考情報&lt;BR&gt;・牧師と人魚がおりなす【カニバリズム】ゴアファンタジー。&lt;BR&gt;・現時点では1話読み切りで予定しておりますが、反応が良ければ４話ほどの連作を想定しております。")</f>
        <v>※参考情報&lt;BR&gt;・牧師と人魚がおりなす【カニバリズム】ゴアファンタジー。&lt;BR&gt;・現時点では1話読み切りで予定しておりますが、反応が良ければ４話ほどの連作を想定しております。</v>
      </c>
      <c r="R2341" s="69" t="str">
        <f>IFERROR(__xludf.DUMMYFUNCTION("""COMPUTED_VALUE"""),"広告コミットＯＫ(8/27)")</f>
        <v>広告コミットＯＫ(8/27)</v>
      </c>
      <c r="S2341" s="69" t="str">
        <f>IFERROR(__xludf.DUMMYFUNCTION("""COMPUTED_VALUE"""),"20241029_新潮社_鱗と鰓と肉")</f>
        <v>20241029_新潮社_鱗と鰓と肉</v>
      </c>
      <c r="T2341" s="69" t="str">
        <f>IFERROR(__xludf.DUMMYFUNCTION("""COMPUTED_VALUE"""),"格納済み")</f>
        <v>格納済み</v>
      </c>
      <c r="U2341" s="15" t="str">
        <f>IFERROR(__xludf.DUMMYFUNCTION("""COMPUTED_VALUE"""),"©金魚鉢でめ／新潮社")</f>
        <v>©金魚鉢でめ／新潮社</v>
      </c>
      <c r="V2341" s="8" t="str">
        <f>IFERROR(__xludf.DUMMYFUNCTION("""COMPUTED_VALUE"""),"「大丈夫 私の肉を食べて…これであなたも……」神父が新しく赴任した協会には、神の奇跡と親しまれる「マリヤ」のミイラがありました。そこには毎日マリヤを見つめるだけの男の人がいました。神父は彼がとても気になり、声をかけたのです。彼は自分が人魚で、「マリヤ」を助けたいのだと言います。人魚に魅入られた神父が愛の先に見たものは……？　人間と人ならざる者の欲が織りなす、純情と邪念に満ちた物語――。")</f>
        <v>「大丈夫 私の肉を食べて…これであなたも……」神父が新しく赴任した協会には、神の奇跡と親しまれる「マリヤ」のミイラがありました。そこには毎日マリヤを見つめるだけの男の人がいました。神父は彼がとても気になり、声をかけたのです。彼は自分が人魚で、「マリヤ」を助けたいのだと言います。人魚に魅入られた神父が愛の先に見たものは……？　人間と人ならざる者の欲が織りなす、純情と邪念に満ちた物語――。</v>
      </c>
      <c r="W2341" s="14"/>
      <c r="X2341" s="14" t="str">
        <f>IFERROR(__xludf.DUMMYFUNCTION("""COMPUTED_VALUE"""),"有")</f>
        <v>有</v>
      </c>
      <c r="Y2341" s="8" t="str">
        <f>IFERROR(__xludf.DUMMYFUNCTION("""COMPUTED_VALUE"""),"P5まで")</f>
        <v>P5まで</v>
      </c>
      <c r="Z2341" s="7"/>
      <c r="AA2341" s="7"/>
      <c r="AB2341" s="7"/>
    </row>
    <row r="2342" ht="15.75" customHeight="1">
      <c r="A2342" s="76">
        <f>IFERROR(__xludf.DUMMYFUNCTION("""COMPUTED_VALUE"""),4120.0)</f>
        <v>4120</v>
      </c>
      <c r="B2342" s="69" t="str">
        <f>IFERROR(__xludf.DUMMYFUNCTION("""COMPUTED_VALUE"""),"確定")</f>
        <v>確定</v>
      </c>
      <c r="C2342" s="74">
        <f>IFERROR(__xludf.DUMMYFUNCTION("""COMPUTED_VALUE"""),45545.0)</f>
        <v>45545</v>
      </c>
      <c r="D2342" s="74">
        <f>IFERROR(__xludf.DUMMYFUNCTION("""COMPUTED_VALUE"""),45595.0)</f>
        <v>45595</v>
      </c>
      <c r="E2342" s="112">
        <f>IFERROR(__xludf.DUMMYFUNCTION("""COMPUTED_VALUE"""),308158.0)</f>
        <v>308158</v>
      </c>
      <c r="F2342" s="119" t="str">
        <f>IFERROR(__xludf.DUMMYFUNCTION("""COMPUTED_VALUE"""),"シャイな彼氏は酔ったらテクニシャン!?～初夜なのにイかされ続ける溺愛責め～")</f>
        <v>シャイな彼氏は酔ったらテクニシャン!?～初夜なのにイかされ続ける溺愛責め～</v>
      </c>
      <c r="G2342" s="69" t="str">
        <f>IFERROR(__xludf.DUMMYFUNCTION("""COMPUTED_VALUE"""),"1～2")</f>
        <v>1～2</v>
      </c>
      <c r="H2342" s="69" t="str">
        <f>IFERROR(__xludf.DUMMYFUNCTION("""COMPUTED_VALUE"""),"ぢぇいそん椎名")</f>
        <v>ぢぇいそん椎名</v>
      </c>
      <c r="I2342" s="69" t="str">
        <f>IFERROR(__xludf.DUMMYFUNCTION("""COMPUTED_VALUE"""),"オトナ")</f>
        <v>オトナ</v>
      </c>
      <c r="J2342" s="69"/>
      <c r="K2342" s="69"/>
      <c r="L2342" s="69" t="str">
        <f>IFERROR(__xludf.DUMMYFUNCTION("""COMPUTED_VALUE"""),"DEEPER-ZERO")</f>
        <v>DEEPER-ZERO</v>
      </c>
      <c r="M2342" s="77">
        <f>IFERROR(__xludf.DUMMYFUNCTION("""COMPUTED_VALUE"""),45625.0)</f>
        <v>45625</v>
      </c>
      <c r="N2342" s="59">
        <f>IFERROR(__xludf.DUMMYFUNCTION("""COMPUTED_VALUE"""),45687.0)</f>
        <v>45687</v>
      </c>
      <c r="O2342" s="69"/>
      <c r="P2342" s="120" t="str">
        <f>IFERROR(__xludf.DUMMYFUNCTION("""COMPUTED_VALUE"""),"可")</f>
        <v>可</v>
      </c>
      <c r="Q2342" s="69" t="str">
        <f>IFERROR(__xludf.DUMMYFUNCTION("""COMPUTED_VALUE"""),"レーベル：カゲキヤコミック&lt;BR&gt;前作は月販100万pt越えの月もありました。&lt;BR&gt;https://www.cmoa.jp/title/296831/")</f>
        <v>レーベル：カゲキヤコミック&lt;BR&gt;前作は月販100万pt越えの月もありました。&lt;BR&gt;https://www.cmoa.jp/title/296831/</v>
      </c>
      <c r="R2342" s="69" t="str">
        <f>IFERROR(__xludf.DUMMYFUNCTION("""COMPUTED_VALUE"""),"広告コミットOK(9/17)。")</f>
        <v>広告コミットOK(9/17)。</v>
      </c>
      <c r="S2342" s="69" t="str">
        <f>IFERROR(__xludf.DUMMYFUNCTION("""COMPUTED_VALUE"""),"20241029_DEEPER-ZERO_シャイな彼氏は酔ったらテクニシャン")</f>
        <v>20241029_DEEPER-ZERO_シャイな彼氏は酔ったらテクニシャン</v>
      </c>
      <c r="T2342" s="69" t="str">
        <f>IFERROR(__xludf.DUMMYFUNCTION("""COMPUTED_VALUE"""),"格納済み")</f>
        <v>格納済み</v>
      </c>
      <c r="U2342" s="15" t="str">
        <f>IFERROR(__xludf.DUMMYFUNCTION("""COMPUTED_VALUE"""),"©ぢぇいそん椎名/DEEPER-ZERO")</f>
        <v>©ぢぇいそん椎名/DEEPER-ZERO</v>
      </c>
      <c r="V2342" s="8" t="str">
        <f>IFERROR(__xludf.DUMMYFUNCTION("""COMPUTED_VALUE"""),"「ちょっと触っただけで、なんでワレメの外までぬるぬるしてるの？」――私のかっこいい彼氏、春（しゅん）は超シャイボーイ。付き合って1年も経つのに、いまだに頬にキスどまりな関係…。今日こそはエッチな雰囲気にしたい！ …と春とのお家デートに臨む私は、マッサージ作戦で彼を誘惑してみることに。狙いどおりに春は勃起してくれたんだけど…。――性欲皆無と思っていた彼氏は、お酒を飲んだら凄かった!? シャイな彼氏とシャイな私…うぶなカップルのラブラブHな物語。 ※この作品は同人誌『シャイボーイ春君は酔ったらテクニシャン?!"&amp;"～ク●トリスを解されて初エッチ～』／ぢぇいそん椎名の電子書籍版です。")</f>
        <v>「ちょっと触っただけで、なんでワレメの外までぬるぬるしてるの？」――私のかっこいい彼氏、春（しゅん）は超シャイボーイ。付き合って1年も経つのに、いまだに頬にキスどまりな関係…。今日こそはエッチな雰囲気にしたい！ …と春とのお家デートに臨む私は、マッサージ作戦で彼を誘惑してみることに。狙いどおりに春は勃起してくれたんだけど…。――性欲皆無と思っていた彼氏は、お酒を飲んだら凄かった!? シャイな彼氏とシャイな私…うぶなカップルのラブラブHな物語。 ※この作品は同人誌『シャイボーイ春君は酔ったらテクニシャン?!～ク●トリスを解されて初エッチ～』／ぢぇいそん椎名の電子書籍版です。</v>
      </c>
      <c r="W2342" s="14"/>
      <c r="X2342" s="14" t="str">
        <f>IFERROR(__xludf.DUMMYFUNCTION("""COMPUTED_VALUE"""),"有")</f>
        <v>有</v>
      </c>
      <c r="Y2342" s="8" t="str">
        <f>IFERROR(__xludf.DUMMYFUNCTION("""COMPUTED_VALUE"""),"2024/12/12まで立ち読み増量P21まで")</f>
        <v>2024/12/12まで立ち読み増量P21まで</v>
      </c>
      <c r="Z2342" s="7"/>
      <c r="AA2342" s="7"/>
      <c r="AB2342" s="7"/>
    </row>
    <row r="2343" ht="15.75" customHeight="1">
      <c r="A2343" s="76">
        <f>IFERROR(__xludf.DUMMYFUNCTION("""COMPUTED_VALUE"""),4129.0)</f>
        <v>4129</v>
      </c>
      <c r="B2343" s="69" t="str">
        <f>IFERROR(__xludf.DUMMYFUNCTION("""COMPUTED_VALUE"""),"確定")</f>
        <v>確定</v>
      </c>
      <c r="C2343" s="74">
        <f>IFERROR(__xludf.DUMMYFUNCTION("""COMPUTED_VALUE"""),45547.0)</f>
        <v>45547</v>
      </c>
      <c r="D2343" s="74">
        <f>IFERROR(__xludf.DUMMYFUNCTION("""COMPUTED_VALUE"""),45595.0)</f>
        <v>45595</v>
      </c>
      <c r="E2343" s="112">
        <f>IFERROR(__xludf.DUMMYFUNCTION("""COMPUTED_VALUE"""),307050.0)</f>
        <v>307050</v>
      </c>
      <c r="F2343" s="119" t="str">
        <f>IFERROR(__xludf.DUMMYFUNCTION("""COMPUTED_VALUE"""),"ガチムチ同僚と本気(マジ)イキえっち～密室オフィスで淫らなサビ残!?～《Lovelicot》")</f>
        <v>ガチムチ同僚と本気(マジ)イキえっち～密室オフィスで淫らなサビ残!?～《Lovelicot》</v>
      </c>
      <c r="G2343" s="69" t="str">
        <f>IFERROR(__xludf.DUMMYFUNCTION("""COMPUTED_VALUE"""),"1～2")</f>
        <v>1～2</v>
      </c>
      <c r="H2343" s="69" t="str">
        <f>IFERROR(__xludf.DUMMYFUNCTION("""COMPUTED_VALUE"""),"のん太郎のん次郎")</f>
        <v>のん太郎のん次郎</v>
      </c>
      <c r="I2343" s="69" t="str">
        <f>IFERROR(__xludf.DUMMYFUNCTION("""COMPUTED_VALUE"""),"TL")</f>
        <v>TL</v>
      </c>
      <c r="J2343" s="69"/>
      <c r="K2343" s="69"/>
      <c r="L2343" s="69" t="str">
        <f>IFERROR(__xludf.DUMMYFUNCTION("""COMPUTED_VALUE"""),"ガールスカウトコミックス")</f>
        <v>ガールスカウトコミックス</v>
      </c>
      <c r="M2343" s="77">
        <f>IFERROR(__xludf.DUMMYFUNCTION("""COMPUTED_VALUE"""),45614.0)</f>
        <v>45614</v>
      </c>
      <c r="N2343" s="59">
        <f>IFERROR(__xludf.DUMMYFUNCTION("""COMPUTED_VALUE"""),45705.0)</f>
        <v>45705</v>
      </c>
      <c r="O2343" s="69"/>
      <c r="P2343" s="120" t="str">
        <f>IFERROR(__xludf.DUMMYFUNCTION("""COMPUTED_VALUE"""),"可")</f>
        <v>可</v>
      </c>
      <c r="Q2343" s="69" t="str">
        <f>IFERROR(__xludf.DUMMYFUNCTION("""COMPUTED_VALUE"""),"レーベル名：Lovelicot")</f>
        <v>レーベル名：Lovelicot</v>
      </c>
      <c r="R2343" s="69" t="str">
        <f>IFERROR(__xludf.DUMMYFUNCTION("""COMPUTED_VALUE"""),"広告コミットOK(9/13)")</f>
        <v>広告コミットOK(9/13)</v>
      </c>
      <c r="S2343" s="69" t="str">
        <f>IFERROR(__xludf.DUMMYFUNCTION("""COMPUTED_VALUE"""),"20241024_ガールスカウトコミックス_ガチムチ同僚と本気(マジ)イキえっち")</f>
        <v>20241024_ガールスカウトコミックス_ガチムチ同僚と本気(マジ)イキえっち</v>
      </c>
      <c r="T2343" s="69" t="str">
        <f>IFERROR(__xludf.DUMMYFUNCTION("""COMPUTED_VALUE"""),"格納済み")</f>
        <v>格納済み</v>
      </c>
      <c r="U2343" s="15" t="str">
        <f>IFERROR(__xludf.DUMMYFUNCTION("""COMPUTED_VALUE"""),"(C)のん太郎のん次郎／ガールスカウトコミックス")</f>
        <v>(C)のん太郎のん次郎／ガールスカウトコミックス</v>
      </c>
      <c r="V2343" s="8" t="str">
        <f>IFERROR(__xludf.DUMMYFUNCTION("""COMPUTED_VALUE"""),"定時間際にトラブル発生し、残業確定となった
限界ギリギリOL・桐谷いくみ。
うなだれる彼女を尻目に
足早に退社していく会社の人達…。
そんな彼らの中で唯一手を差し伸べてくれたのは
同僚男性の稲葉だった。
二人きりのオフィスで作業しつつ
談笑していると、ふと恋愛話になり
彼氏がいないと嘆く彼女に
「俺は桐谷さんと付き合いたいですけどね」
と大胆に迫る稲葉。
脳内会議を繰り広げた結果
稲葉の告白を飲むことになったいくみだったが——…。
寸止め前戯に悶々ムラムラが止"&amp;"まらないッ…!!
硬派なガッチリ同僚に何度もイかされまくり…!!
NON STOP Office LOVE…
※本作はのん太郎のん次郎の個人誌作品の電子書籍版となります。")</f>
        <v>定時間際にトラブル発生し、残業確定となった
限界ギリギリOL・桐谷いくみ。
うなだれる彼女を尻目に
足早に退社していく会社の人達…。
そんな彼らの中で唯一手を差し伸べてくれたのは
同僚男性の稲葉だった。
二人きりのオフィスで作業しつつ
談笑していると、ふと恋愛話になり
彼氏がいないと嘆く彼女に
「俺は桐谷さんと付き合いたいですけどね」
と大胆に迫る稲葉。
脳内会議を繰り広げた結果
稲葉の告白を飲むことになったいくみだったが——…。
寸止め前戯に悶々ムラムラが止まらないッ…!!
硬派なガッチリ同僚に何度もイかされまくり…!!
NON STOP Office LOVE…
※本作はのん太郎のん次郎の個人誌作品の電子書籍版となります。</v>
      </c>
      <c r="W2343" s="14"/>
      <c r="X2343" s="14" t="str">
        <f>IFERROR(__xludf.DUMMYFUNCTION("""COMPUTED_VALUE"""),"有")</f>
        <v>有</v>
      </c>
      <c r="Y2343" s="8" t="str">
        <f>IFERROR(__xludf.DUMMYFUNCTION("""COMPUTED_VALUE"""),"2024/12/1まで立ち読み増量P12まで")</f>
        <v>2024/12/1まで立ち読み増量P12まで</v>
      </c>
      <c r="Z2343" s="7"/>
      <c r="AA2343" s="7"/>
      <c r="AB2343" s="7"/>
    </row>
    <row r="2344" ht="15.75" customHeight="1">
      <c r="A2344" s="76">
        <f>IFERROR(__xludf.DUMMYFUNCTION("""COMPUTED_VALUE"""),4168.0)</f>
        <v>4168</v>
      </c>
      <c r="B2344" s="69" t="str">
        <f>IFERROR(__xludf.DUMMYFUNCTION("""COMPUTED_VALUE"""),"確定")</f>
        <v>確定</v>
      </c>
      <c r="C2344" s="74">
        <f>IFERROR(__xludf.DUMMYFUNCTION("""COMPUTED_VALUE"""),45554.0)</f>
        <v>45554</v>
      </c>
      <c r="D2344" s="74">
        <f>IFERROR(__xludf.DUMMYFUNCTION("""COMPUTED_VALUE"""),45595.0)</f>
        <v>45595</v>
      </c>
      <c r="E2344" s="112">
        <f>IFERROR(__xludf.DUMMYFUNCTION("""COMPUTED_VALUE"""),307316.0)</f>
        <v>307316</v>
      </c>
      <c r="F2344" s="119" t="str">
        <f>IFERROR(__xludf.DUMMYFUNCTION("""COMPUTED_VALUE"""),"巫堕─妖祓いJK×同級生淫魔の雌堕ち契約─【R-18版】")</f>
        <v>巫堕─妖祓いJK×同級生淫魔の雌堕ち契約─【R-18版】</v>
      </c>
      <c r="G2344" s="69" t="str">
        <f>IFERROR(__xludf.DUMMYFUNCTION("""COMPUTED_VALUE"""),"1～4")</f>
        <v>1～4</v>
      </c>
      <c r="H2344" s="69" t="str">
        <f>IFERROR(__xludf.DUMMYFUNCTION("""COMPUTED_VALUE"""),"ジャギ岩")</f>
        <v>ジャギ岩</v>
      </c>
      <c r="I2344" s="69" t="str">
        <f>IFERROR(__xludf.DUMMYFUNCTION("""COMPUTED_VALUE"""),"オトナ")</f>
        <v>オトナ</v>
      </c>
      <c r="J2344" s="69"/>
      <c r="K2344" s="69"/>
      <c r="L2344" s="69" t="str">
        <f>IFERROR(__xludf.DUMMYFUNCTION("""COMPUTED_VALUE"""),"エイシス")</f>
        <v>エイシス</v>
      </c>
      <c r="M2344" s="23">
        <f>IFERROR(__xludf.DUMMYFUNCTION("""COMPUTED_VALUE"""),45627.0)</f>
        <v>45627</v>
      </c>
      <c r="N2344" s="59">
        <f>IFERROR(__xludf.DUMMYFUNCTION("""COMPUTED_VALUE"""),45722.0)</f>
        <v>45722</v>
      </c>
      <c r="O2344" s="69"/>
      <c r="P2344" s="120" t="str">
        <f>IFERROR(__xludf.DUMMYFUNCTION("""COMPUTED_VALUE"""),"可")</f>
        <v>可</v>
      </c>
      <c r="Q2344" s="69" t="str">
        <f>IFERROR(__xludf.DUMMYFUNCTION("""COMPUTED_VALUE"""),"同作品のTL分冊版（デジタル修正版）の同日配信です&lt;BR&gt;&lt;BR&gt;")</f>
        <v>同作品のTL分冊版（デジタル修正版）の同日配信です&lt;BR&gt;&lt;BR&gt;</v>
      </c>
      <c r="R2344" s="69" t="str">
        <f>IFERROR(__xludf.DUMMYFUNCTION("""COMPUTED_VALUE"""),"広告コミットOK（9/24）")</f>
        <v>広告コミットOK（9/24）</v>
      </c>
      <c r="S2344" s="69" t="str">
        <f>IFERROR(__xludf.DUMMYFUNCTION("""COMPUTED_VALUE"""),"20241028_エイシス_巫堕【R-18版】")</f>
        <v>20241028_エイシス_巫堕【R-18版】</v>
      </c>
      <c r="T2344" s="108" t="str">
        <f>IFERROR(__xludf.DUMMYFUNCTION("""COMPUTED_VALUE"""),"格納済み")</f>
        <v>格納済み</v>
      </c>
      <c r="U2344" s="15" t="str">
        <f>IFERROR(__xludf.DUMMYFUNCTION("""COMPUTED_VALUE"""),"(C)ジャギ岩/DLcomics        ")</f>
        <v>(C)ジャギ岩/DLcomics        </v>
      </c>
      <c r="V2344" s="8" t="str">
        <f>IFERROR(__xludf.DUMMYFUNCTION("""COMPUTED_VALUE"""),"【本作品は同人誌となります】
妖を祓う「巫(かんなぎ)」を代々務める一族の跡取り娘・まどか。
学校では完璧な優等生を演じつつも放課後は町の妖退治を行う日々だったが、
ある日妖に不意を突かれ襲われてしまう。
絶体絶命の彼女を救ったのは、遊び人として有名な同級生の少年だった。
その正体が上級の淫魔であることを明かした彼に
介抱としてホテルに連れ込まれるまどか。
体の自由が利かず朦朧とするなか全身を愛撫で蕩かされ、
ついには身体を拓かれてしまい一線を越えることに…
そして、今後"&amp;"の妖祓いに淫魔が協力する度に
まどかを抱いて霊力補給するという「式魔契約」を結ばされる。
「妖祓いの使命のために仕方なく」幾度も抱かれる中で、
まどかの体と心は少しずつ変化していき─…
※モテ男系長身男子×プライドの高い負けず嫌い女子
※濁音ハート喘ぎ/淫語/断面図/学校内での性描写/イマラチオ/メス堕ち　
※最初の方はやや無理やり系の描写/モブ妖の触手描写/男性向け的表現等含みます
製作者:強肉強食(ジャギ岩)
登場人物
神無木まどか(かんなぎ　まどか)
妖を祓う「巫"&amp;"」を代々務める家の跡取り娘。
現当主である父親の長期出張により、
当主代行として放課後は単独で町の妖を祓う活動をしている。
容姿端麗・文武両道で学校では清楚で控えめな優等生で通っているが、
本来の気性はプライドが高く負けず嫌い。
夢間(むま)
まどかの同級生でその正体は上級淫魔。
戦闘力も高く、厄介な妖を一撃で仕留める実力を持つ。
華やかな容姿で女性受けがよく彼の周囲には数人の取り巻き女子が居り、
校内では遊び人として有名。
日頃女子と遊んでいるにも拘らず同じ学年首席であることから"&amp;"、
まどかからは内心いけ好かないと思われている。
■総ページ数:16ページ")</f>
        <v>【本作品は同人誌となります】
妖を祓う「巫(かんなぎ)」を代々務める一族の跡取り娘・まどか。
学校では完璧な優等生を演じつつも放課後は町の妖退治を行う日々だったが、
ある日妖に不意を突かれ襲われてしまう。
絶体絶命の彼女を救ったのは、遊び人として有名な同級生の少年だった。
その正体が上級の淫魔であることを明かした彼に
介抱としてホテルに連れ込まれるまどか。
体の自由が利かず朦朧とするなか全身を愛撫で蕩かされ、
ついには身体を拓かれてしまい一線を越えることに…
そして、今後の妖祓いに淫魔が協力する度に
まどかを抱いて霊力補給するという「式魔契約」を結ばされる。
「妖祓いの使命のために仕方なく」幾度も抱かれる中で、
まどかの体と心は少しずつ変化していき─…
※モテ男系長身男子×プライドの高い負けず嫌い女子
※濁音ハート喘ぎ/淫語/断面図/学校内での性描写/イマラチオ/メス堕ち　
※最初の方はやや無理やり系の描写/モブ妖の触手描写/男性向け的表現等含みます
製作者:強肉強食(ジャギ岩)
登場人物
神無木まどか(かんなぎ　まどか)
妖を祓う「巫」を代々務める家の跡取り娘。
現当主である父親の長期出張により、
当主代行として放課後は単独で町の妖を祓う活動をしている。
容姿端麗・文武両道で学校では清楚で控えめな優等生で通っているが、
本来の気性はプライドが高く負けず嫌い。
夢間(むま)
まどかの同級生でその正体は上級淫魔。
戦闘力も高く、厄介な妖を一撃で仕留める実力を持つ。
華やかな容姿で女性受けがよく彼の周囲には数人の取り巻き女子が居り、
校内では遊び人として有名。
日頃女子と遊んでいるにも拘らず同じ学年首席であることから、
まどかからは内心いけ好かないと思われている。
■総ページ数:16ページ</v>
      </c>
      <c r="W2344" s="14"/>
      <c r="X2344" s="14" t="str">
        <f>IFERROR(__xludf.DUMMYFUNCTION("""COMPUTED_VALUE"""),"有")</f>
        <v>有</v>
      </c>
      <c r="Y2344" s="8" t="str">
        <f>IFERROR(__xludf.DUMMYFUNCTION("""COMPUTED_VALUE"""),"P8まで")</f>
        <v>P8まで</v>
      </c>
      <c r="Z2344" s="7"/>
      <c r="AA2344" s="7"/>
      <c r="AB2344" s="7"/>
    </row>
    <row r="2345" ht="15.75" customHeight="1">
      <c r="A2345" s="76">
        <f>IFERROR(__xludf.DUMMYFUNCTION("""COMPUTED_VALUE"""),4190.0)</f>
        <v>4190</v>
      </c>
      <c r="B2345" s="69" t="str">
        <f>IFERROR(__xludf.DUMMYFUNCTION("""COMPUTED_VALUE"""),"確定")</f>
        <v>確定</v>
      </c>
      <c r="C2345" s="74">
        <f>IFERROR(__xludf.DUMMYFUNCTION("""COMPUTED_VALUE"""),45562.0)</f>
        <v>45562</v>
      </c>
      <c r="D2345" s="74">
        <f>IFERROR(__xludf.DUMMYFUNCTION("""COMPUTED_VALUE"""),45590.0)</f>
        <v>45590</v>
      </c>
      <c r="E2345" s="112">
        <f>IFERROR(__xludf.DUMMYFUNCTION("""COMPUTED_VALUE"""),310049.0)</f>
        <v>310049</v>
      </c>
      <c r="F2345" s="119" t="str">
        <f>IFERROR(__xludf.DUMMYFUNCTION("""COMPUTED_VALUE"""),"虐げられた少女は鬼の帝から寵愛を受ける")</f>
        <v>虐げられた少女は鬼の帝から寵愛を受ける</v>
      </c>
      <c r="G2345" s="69" t="str">
        <f>IFERROR(__xludf.DUMMYFUNCTION("""COMPUTED_VALUE"""),"1～3")</f>
        <v>1～3</v>
      </c>
      <c r="H2345" s="69" t="str">
        <f>IFERROR(__xludf.DUMMYFUNCTION("""COMPUTED_VALUE"""),"著：アマハル 原作：夜桜ゆーり（エブリスタ）")</f>
        <v>著：アマハル 原作：夜桜ゆーり（エブリスタ）</v>
      </c>
      <c r="I2345" s="69" t="str">
        <f>IFERROR(__xludf.DUMMYFUNCTION("""COMPUTED_VALUE"""),"少女")</f>
        <v>少女</v>
      </c>
      <c r="J2345" s="69"/>
      <c r="K2345" s="69"/>
      <c r="L2345" s="69" t="str">
        <f>IFERROR(__xludf.DUMMYFUNCTION("""COMPUTED_VALUE"""),"ジャイブ")</f>
        <v>ジャイブ</v>
      </c>
      <c r="M2345" s="23">
        <f>IFERROR(__xludf.DUMMYFUNCTION("""COMPUTED_VALUE"""),45627.0)</f>
        <v>45627</v>
      </c>
      <c r="N2345" s="59">
        <f>IFERROR(__xludf.DUMMYFUNCTION("""COMPUTED_VALUE"""),45688.0)</f>
        <v>45688</v>
      </c>
      <c r="O2345" s="69"/>
      <c r="P2345" s="114" t="str">
        <f>IFERROR(__xludf.DUMMYFUNCTION("""COMPUTED_VALUE"""),"可")</f>
        <v>可</v>
      </c>
      <c r="Q2345" s="69"/>
      <c r="R2345" s="69" t="str">
        <f>IFERROR(__xludf.DUMMYFUNCTION("""COMPUTED_VALUE"""),"広告コミットOK(10/11)")</f>
        <v>広告コミットOK(10/11)</v>
      </c>
      <c r="S2345" s="69" t="str">
        <f>IFERROR(__xludf.DUMMYFUNCTION("""COMPUTED_VALUE"""),"20241024_ジャイブ_虐げられた少女は鬼の帝から寵愛を受ける")</f>
        <v>20241024_ジャイブ_虐げられた少女は鬼の帝から寵愛を受ける</v>
      </c>
      <c r="T2345" s="69" t="str">
        <f>IFERROR(__xludf.DUMMYFUNCTION("""COMPUTED_VALUE"""),"格納済み")</f>
        <v>格納済み</v>
      </c>
      <c r="U2345" s="15" t="str">
        <f>IFERROR(__xludf.DUMMYFUNCTION("""COMPUTED_VALUE"""),"(C)アマハル／夜桜ゆーり／エブリスタ・ネクストf Lian")</f>
        <v>(C)アマハル／夜桜ゆーり／エブリスタ・ネクストf Lian</v>
      </c>
      <c r="V2345" s="8" t="str">
        <f>IFERROR(__xludf.DUMMYFUNCTION("""COMPUTED_VALUE"""),"人と妖怪が共存する世界。妾の子として、家族から虐げられ育ってきた小春。しかし、妖怪を統べる王、鬼司宵に見初められ、彼の元に嫁ぐことに……。鬼司家で、今まで感じたことのなかったぬくもりや優しさを知り、生きる意味を理解していく小春。また宵も、彼女の純真さとやさしさに次第に本当に惹かれていく。しかし、妖怪の王に人間が嫁いだことを快く思わない妖怪たちも多く、小春はその身を狙われることになっていき――。
※本作品は小説投稿サイト「エブリスタ」で人気の「虐げられた少女は鬼の帝に寵愛を受ける」のコミカライズです。")</f>
        <v>人と妖怪が共存する世界。妾の子として、家族から虐げられ育ってきた小春。しかし、妖怪を統べる王、鬼司宵に見初められ、彼の元に嫁ぐことに……。鬼司家で、今まで感じたことのなかったぬくもりや優しさを知り、生きる意味を理解していく小春。また宵も、彼女の純真さとやさしさに次第に本当に惹かれていく。しかし、妖怪の王に人間が嫁いだことを快く思わない妖怪たちも多く、小春はその身を狙われることになっていき――。
※本作品は小説投稿サイト「エブリスタ」で人気の「虐げられた少女は鬼の帝に寵愛を受ける」のコミカライズです。</v>
      </c>
      <c r="W2345" s="14"/>
      <c r="X2345" s="14" t="str">
        <f>IFERROR(__xludf.DUMMYFUNCTION("""COMPUTED_VALUE"""),"有")</f>
        <v>有</v>
      </c>
      <c r="Y2345" s="8" t="str">
        <f>IFERROR(__xludf.DUMMYFUNCTION("""COMPUTED_VALUE"""),"1巻無料")</f>
        <v>1巻無料</v>
      </c>
      <c r="Z2345" s="7"/>
      <c r="AA2345" s="7"/>
      <c r="AB2345" s="7"/>
    </row>
    <row r="2346" ht="15.75" customHeight="1">
      <c r="A2346" s="76">
        <f>IFERROR(__xludf.DUMMYFUNCTION("""COMPUTED_VALUE"""),4201.0)</f>
        <v>4201</v>
      </c>
      <c r="B2346" s="69" t="str">
        <f>IFERROR(__xludf.DUMMYFUNCTION("""COMPUTED_VALUE"""),"確定")</f>
        <v>確定</v>
      </c>
      <c r="C2346" s="74">
        <f>IFERROR(__xludf.DUMMYFUNCTION("""COMPUTED_VALUE"""),45565.0)</f>
        <v>45565</v>
      </c>
      <c r="D2346" s="74">
        <f>IFERROR(__xludf.DUMMYFUNCTION("""COMPUTED_VALUE"""),45595.0)</f>
        <v>45595</v>
      </c>
      <c r="E2346" s="112">
        <f>IFERROR(__xludf.DUMMYFUNCTION("""COMPUTED_VALUE"""),307988.0)</f>
        <v>307988</v>
      </c>
      <c r="F2346" s="119" t="str">
        <f>IFERROR(__xludf.DUMMYFUNCTION("""COMPUTED_VALUE"""),"勘違い結婚 偽りの花嫁のはずが、なぜか竜王陛下に溺愛されてます⁉")</f>
        <v>勘違い結婚 偽りの花嫁のはずが、なぜか竜王陛下に溺愛されてます⁉</v>
      </c>
      <c r="G2346" s="69" t="str">
        <f>IFERROR(__xludf.DUMMYFUNCTION("""COMPUTED_VALUE"""),"1～3")</f>
        <v>1～3</v>
      </c>
      <c r="H2346" s="69" t="str">
        <f>IFERROR(__xludf.DUMMYFUNCTION("""COMPUTED_VALUE"""),"絹莢にえり/森下りんご")</f>
        <v>絹莢にえり/森下りんご</v>
      </c>
      <c r="I2346" s="69" t="str">
        <f>IFERROR(__xludf.DUMMYFUNCTION("""COMPUTED_VALUE"""),"少女")</f>
        <v>少女</v>
      </c>
      <c r="J2346" s="69"/>
      <c r="K2346" s="69"/>
      <c r="L2346" s="69" t="str">
        <f>IFERROR(__xludf.DUMMYFUNCTION("""COMPUTED_VALUE"""),"オーバーラップ")</f>
        <v>オーバーラップ</v>
      </c>
      <c r="M2346" s="77">
        <f>IFERROR(__xludf.DUMMYFUNCTION("""COMPUTED_VALUE"""),45623.0)</f>
        <v>45623</v>
      </c>
      <c r="N2346" s="73">
        <f>IFERROR(__xludf.DUMMYFUNCTION("""COMPUTED_VALUE"""),73050.0)</f>
        <v>73050</v>
      </c>
      <c r="O2346" s="69"/>
      <c r="P2346" s="114" t="str">
        <f>IFERROR(__xludf.DUMMYFUNCTION("""COMPUTED_VALUE"""),"否")</f>
        <v>否</v>
      </c>
      <c r="Q2346" s="69"/>
      <c r="R2346" s="69" t="str">
        <f>IFERROR(__xludf.DUMMYFUNCTION("""COMPUTED_VALUE"""),"広告コミットOK(10/4)")</f>
        <v>広告コミットOK(10/4)</v>
      </c>
      <c r="S2346" s="69" t="str">
        <f>IFERROR(__xludf.DUMMYFUNCTION("""COMPUTED_VALUE"""),"20241028‗オーバーラップ‗勘違い結婚")</f>
        <v>20241028‗オーバーラップ‗勘違い結婚</v>
      </c>
      <c r="T2346" s="69" t="str">
        <f>IFERROR(__xludf.DUMMYFUNCTION("""COMPUTED_VALUE"""),"格納済み")</f>
        <v>格納済み</v>
      </c>
      <c r="U2346" s="15" t="str">
        <f>IFERROR(__xludf.DUMMYFUNCTION("""COMPUTED_VALUE"""),"(c)絹莢にえり (c)森下りんご／オーバーラップ")</f>
        <v>(c)絹莢にえり (c)森下りんご／オーバーラップ</v>
      </c>
      <c r="V2346" s="8" t="str">
        <f>IFERROR(__xludf.DUMMYFUNCTION("""COMPUTED_VALUE"""),"弱小国グリレスの王女ミレーユ。行き遅れの彼女のもとに突然、大国ドレイクの王カインとの縁談が舞い込んでくる。実は彼が一目惚れした相手は妹であり、人違いの求婚だと発覚。しかし、父王の命で妹の身代わりとして嫁がされ、さらには隠していた顔をカインに見られる事態に――。罪を背負う覚悟を決めるミレーユだったが、なぜかその後も花嫁として大切にされて…!?")</f>
        <v>弱小国グリレスの王女ミレーユ。行き遅れの彼女のもとに突然、大国ドレイクの王カインとの縁談が舞い込んでくる。実は彼が一目惚れした相手は妹であり、人違いの求婚だと発覚。しかし、父王の命で妹の身代わりとして嫁がされ、さらには隠していた顔をカインに見られる事態に――。罪を背負う覚悟を決めるミレーユだったが、なぜかその後も花嫁として大切にされて…!?</v>
      </c>
      <c r="W2346" s="14"/>
      <c r="X2346" s="14" t="str">
        <f>IFERROR(__xludf.DUMMYFUNCTION("""COMPUTED_VALUE"""),"有")</f>
        <v>有</v>
      </c>
      <c r="Y2346" s="8" t="str">
        <f>IFERROR(__xludf.DUMMYFUNCTION("""COMPUTED_VALUE"""),"P25まで")</f>
        <v>P25まで</v>
      </c>
      <c r="Z2346" s="7"/>
      <c r="AA2346" s="7"/>
      <c r="AB2346" s="7"/>
    </row>
    <row r="2347" ht="15.75" customHeight="1">
      <c r="A2347" s="76">
        <f>IFERROR(__xludf.DUMMYFUNCTION("""COMPUTED_VALUE"""),4238.0)</f>
        <v>4238</v>
      </c>
      <c r="B2347" s="69" t="str">
        <f>IFERROR(__xludf.DUMMYFUNCTION("""COMPUTED_VALUE"""),"確定")</f>
        <v>確定</v>
      </c>
      <c r="C2347" s="74">
        <f>IFERROR(__xludf.DUMMYFUNCTION("""COMPUTED_VALUE"""),45568.0)</f>
        <v>45568</v>
      </c>
      <c r="D2347" s="74">
        <f>IFERROR(__xludf.DUMMYFUNCTION("""COMPUTED_VALUE"""),45595.0)</f>
        <v>45595</v>
      </c>
      <c r="E2347" s="112">
        <f>IFERROR(__xludf.DUMMYFUNCTION("""COMPUTED_VALUE"""),302662.0)</f>
        <v>302662</v>
      </c>
      <c r="F2347" s="121" t="str">
        <f>IFERROR(__xludf.DUMMYFUNCTION("""COMPUTED_VALUE"""),"守ってあげたい。-西八王子青春ラプソディー-")</f>
        <v>守ってあげたい。-西八王子青春ラプソディー-</v>
      </c>
      <c r="G2347" s="69" t="str">
        <f>IFERROR(__xludf.DUMMYFUNCTION("""COMPUTED_VALUE"""),"1～3")</f>
        <v>1～3</v>
      </c>
      <c r="H2347" s="69" t="str">
        <f>IFERROR(__xludf.DUMMYFUNCTION("""COMPUTED_VALUE"""),"柏屋コッコ")</f>
        <v>柏屋コッコ</v>
      </c>
      <c r="I2347" s="69" t="str">
        <f>IFERROR(__xludf.DUMMYFUNCTION("""COMPUTED_VALUE"""),"女性")</f>
        <v>女性</v>
      </c>
      <c r="J2347" s="69"/>
      <c r="K2347" s="69"/>
      <c r="L2347" s="69" t="str">
        <f>IFERROR(__xludf.DUMMYFUNCTION("""COMPUTED_VALUE"""),"ＦＯＤ")</f>
        <v>ＦＯＤ</v>
      </c>
      <c r="M2347" s="77">
        <f>IFERROR(__xludf.DUMMYFUNCTION("""COMPUTED_VALUE"""),45617.0)</f>
        <v>45617</v>
      </c>
      <c r="N2347" s="59">
        <f>IFERROR(__xludf.DUMMYFUNCTION("""COMPUTED_VALUE"""),45797.0)</f>
        <v>45797</v>
      </c>
      <c r="O2347" s="69"/>
      <c r="P2347" s="114" t="str">
        <f>IFERROR(__xludf.DUMMYFUNCTION("""COMPUTED_VALUE"""),"否")</f>
        <v>否</v>
      </c>
      <c r="Q2347" s="69"/>
      <c r="R2347" s="69" t="str">
        <f>IFERROR(__xludf.DUMMYFUNCTION("""COMPUTED_VALUE"""),"広告コミットOK(10/23)")</f>
        <v>広告コミットOK(10/23)</v>
      </c>
      <c r="S2347" s="69" t="str">
        <f>IFERROR(__xludf.DUMMYFUNCTION("""COMPUTED_VALUE"""),"20241028_FOD_守ってあげたい。～西八王子青春ラプソディ～")</f>
        <v>20241028_FOD_守ってあげたい。～西八王子青春ラプソディ～</v>
      </c>
      <c r="T2347" s="69" t="str">
        <f>IFERROR(__xludf.DUMMYFUNCTION("""COMPUTED_VALUE"""),"格納済み")</f>
        <v>格納済み</v>
      </c>
      <c r="U2347" s="15" t="str">
        <f>IFERROR(__xludf.DUMMYFUNCTION("""COMPUTED_VALUE"""),"(C)柏屋コッコ/FOD")</f>
        <v>(C)柏屋コッコ/FOD</v>
      </c>
      <c r="V2347" s="8" t="str">
        <f>IFERROR(__xludf.DUMMYFUNCTION("""COMPUTED_VALUE"""),"東京の西、住みやすい街・西八王子。主人公・シズコは地元の病院で看護師として働いている。小学校からの仲良し５人組は、社会人になっても関係は続いていたが、シズコの初恋の相手・マモルだけが都心に出てしまっていた。たくさんの思い出が詰まったこの街でシズコが再会したのは…？忘れられない青春を、トキメキをもう一度ーー！")</f>
        <v>東京の西、住みやすい街・西八王子。主人公・シズコは地元の病院で看護師として働いている。小学校からの仲良し５人組は、社会人になっても関係は続いていたが、シズコの初恋の相手・マモルだけが都心に出てしまっていた。たくさんの思い出が詰まったこの街でシズコが再会したのは…？忘れられない青春を、トキメキをもう一度ーー！</v>
      </c>
      <c r="W2347" s="14"/>
      <c r="X2347" s="14" t="str">
        <f>IFERROR(__xludf.DUMMYFUNCTION("""COMPUTED_VALUE"""),"有")</f>
        <v>有</v>
      </c>
      <c r="Y2347" s="8" t="str">
        <f>IFERROR(__xludf.DUMMYFUNCTION("""COMPUTED_VALUE"""),"1巻無料")</f>
        <v>1巻無料</v>
      </c>
      <c r="Z2347" s="7"/>
      <c r="AA2347" s="7"/>
      <c r="AB2347" s="7"/>
    </row>
    <row r="2348" ht="15.75" customHeight="1">
      <c r="A2348" s="76">
        <f>IFERROR(__xludf.DUMMYFUNCTION("""COMPUTED_VALUE"""),4240.0)</f>
        <v>4240</v>
      </c>
      <c r="B2348" s="69" t="str">
        <f>IFERROR(__xludf.DUMMYFUNCTION("""COMPUTED_VALUE"""),"確定")</f>
        <v>確定</v>
      </c>
      <c r="C2348" s="74">
        <f>IFERROR(__xludf.DUMMYFUNCTION("""COMPUTED_VALUE"""),45568.0)</f>
        <v>45568</v>
      </c>
      <c r="D2348" s="74">
        <f>IFERROR(__xludf.DUMMYFUNCTION("""COMPUTED_VALUE"""),45595.0)</f>
        <v>45595</v>
      </c>
      <c r="E2348" s="112">
        <f>IFERROR(__xludf.DUMMYFUNCTION("""COMPUTED_VALUE"""),302860.0)</f>
        <v>302860</v>
      </c>
      <c r="F2348" s="121" t="str">
        <f>IFERROR(__xludf.DUMMYFUNCTION("""COMPUTED_VALUE"""),"ボーノ！　100万円でレストランはじめちゃいました")</f>
        <v>ボーノ！　100万円でレストランはじめちゃいました</v>
      </c>
      <c r="G2348" s="69" t="str">
        <f>IFERROR(__xludf.DUMMYFUNCTION("""COMPUTED_VALUE"""),"1～3")</f>
        <v>1～3</v>
      </c>
      <c r="H2348" s="69" t="str">
        <f>IFERROR(__xludf.DUMMYFUNCTION("""COMPUTED_VALUE"""),"山田きんいち")</f>
        <v>山田きんいち</v>
      </c>
      <c r="I2348" s="69" t="str">
        <f>IFERROR(__xludf.DUMMYFUNCTION("""COMPUTED_VALUE"""),"青年")</f>
        <v>青年</v>
      </c>
      <c r="J2348" s="69"/>
      <c r="K2348" s="69"/>
      <c r="L2348" s="69" t="str">
        <f>IFERROR(__xludf.DUMMYFUNCTION("""COMPUTED_VALUE"""),"ＦＯＤ")</f>
        <v>ＦＯＤ</v>
      </c>
      <c r="M2348" s="77">
        <f>IFERROR(__xludf.DUMMYFUNCTION("""COMPUTED_VALUE"""),45617.0)</f>
        <v>45617</v>
      </c>
      <c r="N2348" s="59">
        <f>IFERROR(__xludf.DUMMYFUNCTION("""COMPUTED_VALUE"""),45797.0)</f>
        <v>45797</v>
      </c>
      <c r="O2348" s="69"/>
      <c r="P2348" s="114" t="str">
        <f>IFERROR(__xludf.DUMMYFUNCTION("""COMPUTED_VALUE"""),"否")</f>
        <v>否</v>
      </c>
      <c r="Q2348" s="69"/>
      <c r="R2348" s="69" t="str">
        <f>IFERROR(__xludf.DUMMYFUNCTION("""COMPUTED_VALUE"""),"広告コミットOK(10/7)")</f>
        <v>広告コミットOK(10/7)</v>
      </c>
      <c r="S2348" s="69" t="str">
        <f>IFERROR(__xludf.DUMMYFUNCTION("""COMPUTED_VALUE"""),"20241028_FOD_ボーノ！100万円でレストランはじめちゃいました")</f>
        <v>20241028_FOD_ボーノ！100万円でレストランはじめちゃいました</v>
      </c>
      <c r="T2348" s="69" t="str">
        <f>IFERROR(__xludf.DUMMYFUNCTION("""COMPUTED_VALUE"""),"格納済み")</f>
        <v>格納済み</v>
      </c>
      <c r="U2348" s="15" t="str">
        <f>IFERROR(__xludf.DUMMYFUNCTION("""COMPUTED_VALUE"""),"(C)山田きんいち/FOD")</f>
        <v>(C)山田きんいち/FOD</v>
      </c>
      <c r="V2348" s="8" t="str">
        <f>IFERROR(__xludf.DUMMYFUNCTION("""COMPUTED_VALUE"""),"天才料理人・リサコがレストランを開店するぞ！　ってどうしたらいいの？　料理は凄腕だけど、経営の方はイマイチ…？　100万円でオープンまでできるのか？　魅惑のイタリアン召し上がれ！　一流のシェフを目指してイタリアへ修業に渡ったリサコ。宮大工のおじいちゃんの知らせに緊急帰国するが…。")</f>
        <v>天才料理人・リサコがレストランを開店するぞ！　ってどうしたらいいの？　料理は凄腕だけど、経営の方はイマイチ…？　100万円でオープンまでできるのか？　魅惑のイタリアン召し上がれ！　一流のシェフを目指してイタリアへ修業に渡ったリサコ。宮大工のおじいちゃんの知らせに緊急帰国するが…。</v>
      </c>
      <c r="W2348" s="14"/>
      <c r="X2348" s="14" t="str">
        <f>IFERROR(__xludf.DUMMYFUNCTION("""COMPUTED_VALUE"""),"有")</f>
        <v>有</v>
      </c>
      <c r="Y2348" s="8" t="str">
        <f>IFERROR(__xludf.DUMMYFUNCTION("""COMPUTED_VALUE"""),"1巻無料")</f>
        <v>1巻無料</v>
      </c>
      <c r="Z2348" s="7"/>
      <c r="AA2348" s="7"/>
      <c r="AB2348" s="7"/>
    </row>
    <row r="2349" ht="15.75" customHeight="1">
      <c r="A2349" s="76">
        <f>IFERROR(__xludf.DUMMYFUNCTION("""COMPUTED_VALUE"""),4241.0)</f>
        <v>4241</v>
      </c>
      <c r="B2349" s="69" t="str">
        <f>IFERROR(__xludf.DUMMYFUNCTION("""COMPUTED_VALUE"""),"確定")</f>
        <v>確定</v>
      </c>
      <c r="C2349" s="74">
        <f>IFERROR(__xludf.DUMMYFUNCTION("""COMPUTED_VALUE"""),45568.0)</f>
        <v>45568</v>
      </c>
      <c r="D2349" s="74">
        <f>IFERROR(__xludf.DUMMYFUNCTION("""COMPUTED_VALUE"""),45595.0)</f>
        <v>45595</v>
      </c>
      <c r="E2349" s="112">
        <f>IFERROR(__xludf.DUMMYFUNCTION("""COMPUTED_VALUE"""),302661.0)</f>
        <v>302661</v>
      </c>
      <c r="F2349" s="121" t="str">
        <f>IFERROR(__xludf.DUMMYFUNCTION("""COMPUTED_VALUE"""),"溺愛偽装結婚 -嘘からはじまる運命の恋-")</f>
        <v>溺愛偽装結婚 -嘘からはじまる運命の恋-</v>
      </c>
      <c r="G2349" s="69" t="str">
        <f>IFERROR(__xludf.DUMMYFUNCTION("""COMPUTED_VALUE"""),"1～3")</f>
        <v>1～3</v>
      </c>
      <c r="H2349" s="69" t="str">
        <f>IFERROR(__xludf.DUMMYFUNCTION("""COMPUTED_VALUE"""),"海青")</f>
        <v>海青</v>
      </c>
      <c r="I2349" s="69" t="str">
        <f>IFERROR(__xludf.DUMMYFUNCTION("""COMPUTED_VALUE"""),"女性")</f>
        <v>女性</v>
      </c>
      <c r="J2349" s="69"/>
      <c r="K2349" s="69"/>
      <c r="L2349" s="69" t="str">
        <f>IFERROR(__xludf.DUMMYFUNCTION("""COMPUTED_VALUE"""),"ＦＯＤ")</f>
        <v>ＦＯＤ</v>
      </c>
      <c r="M2349" s="77">
        <f>IFERROR(__xludf.DUMMYFUNCTION("""COMPUTED_VALUE"""),45617.0)</f>
        <v>45617</v>
      </c>
      <c r="N2349" s="59">
        <f>IFERROR(__xludf.DUMMYFUNCTION("""COMPUTED_VALUE"""),45797.0)</f>
        <v>45797</v>
      </c>
      <c r="O2349" s="69"/>
      <c r="P2349" s="114" t="str">
        <f>IFERROR(__xludf.DUMMYFUNCTION("""COMPUTED_VALUE"""),"否")</f>
        <v>否</v>
      </c>
      <c r="Q2349" s="69"/>
      <c r="R2349" s="69" t="str">
        <f>IFERROR(__xludf.DUMMYFUNCTION("""COMPUTED_VALUE"""),"広告コミットOK(10/7）")</f>
        <v>広告コミットOK(10/7）</v>
      </c>
      <c r="S2349" s="69" t="str">
        <f>IFERROR(__xludf.DUMMYFUNCTION("""COMPUTED_VALUE"""),"20241028_FOD_溺愛偽装結婚 -嘘からはじまる運命の恋-")</f>
        <v>20241028_FOD_溺愛偽装結婚 -嘘からはじまる運命の恋-</v>
      </c>
      <c r="T2349" s="69" t="str">
        <f>IFERROR(__xludf.DUMMYFUNCTION("""COMPUTED_VALUE"""),"格納済み")</f>
        <v>格納済み</v>
      </c>
      <c r="U2349" s="15" t="str">
        <f>IFERROR(__xludf.DUMMYFUNCTION("""COMPUTED_VALUE"""),"(C)海青/FOD")</f>
        <v>(C)海青/FOD</v>
      </c>
      <c r="V2349" s="8" t="str">
        <f>IFERROR(__xludf.DUMMYFUNCTION("""COMPUTED_VALUE"""),"結婚式当日、憧れのウェディングドレスを身にまとい、幸せいっぱいの主人公・小紅。しかし、新郎の姿がまだ見えない。そこで渡された一通の手紙に書かれていた衝撃の真実。呆然とする小紅の前に現れたのはーー財閥の御曹司!? 初対面の２人のマリッジライフがはじまる！")</f>
        <v>結婚式当日、憧れのウェディングドレスを身にまとい、幸せいっぱいの主人公・小紅。しかし、新郎の姿がまだ見えない。そこで渡された一通の手紙に書かれていた衝撃の真実。呆然とする小紅の前に現れたのはーー財閥の御曹司!? 初対面の２人のマリッジライフがはじまる！</v>
      </c>
      <c r="W2349" s="14"/>
      <c r="X2349" s="14" t="str">
        <f>IFERROR(__xludf.DUMMYFUNCTION("""COMPUTED_VALUE"""),"有")</f>
        <v>有</v>
      </c>
      <c r="Y2349" s="8" t="str">
        <f>IFERROR(__xludf.DUMMYFUNCTION("""COMPUTED_VALUE"""),"1巻無料")</f>
        <v>1巻無料</v>
      </c>
      <c r="Z2349" s="7"/>
      <c r="AA2349" s="7"/>
      <c r="AB2349" s="7"/>
    </row>
    <row r="2350" ht="15.75" customHeight="1">
      <c r="A2350" s="76">
        <f>IFERROR(__xludf.DUMMYFUNCTION("""COMPUTED_VALUE"""),4244.0)</f>
        <v>4244</v>
      </c>
      <c r="B2350" s="69" t="str">
        <f>IFERROR(__xludf.DUMMYFUNCTION("""COMPUTED_VALUE"""),"確定")</f>
        <v>確定</v>
      </c>
      <c r="C2350" s="74">
        <f>IFERROR(__xludf.DUMMYFUNCTION("""COMPUTED_VALUE"""),45568.0)</f>
        <v>45568</v>
      </c>
      <c r="D2350" s="74">
        <f>IFERROR(__xludf.DUMMYFUNCTION("""COMPUTED_VALUE"""),45595.0)</f>
        <v>45595</v>
      </c>
      <c r="E2350" s="112">
        <f>IFERROR(__xludf.DUMMYFUNCTION("""COMPUTED_VALUE"""),302664.0)</f>
        <v>302664</v>
      </c>
      <c r="F2350" s="119" t="str">
        <f>IFERROR(__xludf.DUMMYFUNCTION("""COMPUTED_VALUE"""),"詩吟じませ！")</f>
        <v>詩吟じませ！</v>
      </c>
      <c r="G2350" s="69" t="str">
        <f>IFERROR(__xludf.DUMMYFUNCTION("""COMPUTED_VALUE"""),"1～3")</f>
        <v>1～3</v>
      </c>
      <c r="H2350" s="69" t="str">
        <f>IFERROR(__xludf.DUMMYFUNCTION("""COMPUTED_VALUE"""),"山基仮名")</f>
        <v>山基仮名</v>
      </c>
      <c r="I2350" s="69" t="str">
        <f>IFERROR(__xludf.DUMMYFUNCTION("""COMPUTED_VALUE"""),"女性")</f>
        <v>女性</v>
      </c>
      <c r="J2350" s="69"/>
      <c r="K2350" s="69"/>
      <c r="L2350" s="69" t="str">
        <f>IFERROR(__xludf.DUMMYFUNCTION("""COMPUTED_VALUE"""),"ＦＯＤ")</f>
        <v>ＦＯＤ</v>
      </c>
      <c r="M2350" s="77">
        <f>IFERROR(__xludf.DUMMYFUNCTION("""COMPUTED_VALUE"""),45617.0)</f>
        <v>45617</v>
      </c>
      <c r="N2350" s="59">
        <f>IFERROR(__xludf.DUMMYFUNCTION("""COMPUTED_VALUE"""),45797.0)</f>
        <v>45797</v>
      </c>
      <c r="O2350" s="69"/>
      <c r="P2350" s="114" t="str">
        <f>IFERROR(__xludf.DUMMYFUNCTION("""COMPUTED_VALUE"""),"否")</f>
        <v>否</v>
      </c>
      <c r="Q2350" s="69"/>
      <c r="R2350" s="69" t="str">
        <f>IFERROR(__xludf.DUMMYFUNCTION("""COMPUTED_VALUE"""),"広告コミットOK(10/8)")</f>
        <v>広告コミットOK(10/8)</v>
      </c>
      <c r="S2350" s="69" t="str">
        <f>IFERROR(__xludf.DUMMYFUNCTION("""COMPUTED_VALUE"""),"20241028_FOD_詩吟じませ！")</f>
        <v>20241028_FOD_詩吟じませ！</v>
      </c>
      <c r="T2350" s="69" t="str">
        <f>IFERROR(__xludf.DUMMYFUNCTION("""COMPUTED_VALUE"""),"格納済み")</f>
        <v>格納済み</v>
      </c>
      <c r="U2350" s="15" t="str">
        <f>IFERROR(__xludf.DUMMYFUNCTION("""COMPUTED_VALUE"""),"(C)山基仮名/ＦＯＤ")</f>
        <v>(C)山基仮名/ＦＯＤ</v>
      </c>
      <c r="V2350" s="8" t="str">
        <f>IFERROR(__xludf.DUMMYFUNCTION("""COMPUTED_VALUE"""),"詩吟教室を営む乙女は、経営難から抜け出すために生徒獲得に必死の毎日。恋に夢に自分のことにはおそろかで…そんな乙女も、28歳。ある日、元凶ともいうべき母親の薹子が突然帰ってきた。もう大人にならないといけないけど、消化しきれてない過去に乙女は母親とどう向き合うのか…。こじらせ大人女子の成長と恋の物語。")</f>
        <v>詩吟教室を営む乙女は、経営難から抜け出すために生徒獲得に必死の毎日。恋に夢に自分のことにはおそろかで…そんな乙女も、28歳。ある日、元凶ともいうべき母親の薹子が突然帰ってきた。もう大人にならないといけないけど、消化しきれてない過去に乙女は母親とどう向き合うのか…。こじらせ大人女子の成長と恋の物語。</v>
      </c>
      <c r="W2350" s="14"/>
      <c r="X2350" s="14" t="str">
        <f>IFERROR(__xludf.DUMMYFUNCTION("""COMPUTED_VALUE"""),"有")</f>
        <v>有</v>
      </c>
      <c r="Y2350" s="8" t="str">
        <f>IFERROR(__xludf.DUMMYFUNCTION("""COMPUTED_VALUE"""),"1巻無料")</f>
        <v>1巻無料</v>
      </c>
      <c r="Z2350" s="7"/>
      <c r="AA2350" s="7"/>
      <c r="AB2350" s="7"/>
    </row>
    <row r="2351" ht="15.75" customHeight="1">
      <c r="A2351" s="76">
        <f>IFERROR(__xludf.DUMMYFUNCTION("""COMPUTED_VALUE"""),4245.0)</f>
        <v>4245</v>
      </c>
      <c r="B2351" s="69" t="str">
        <f>IFERROR(__xludf.DUMMYFUNCTION("""COMPUTED_VALUE"""),"確定")</f>
        <v>確定</v>
      </c>
      <c r="C2351" s="74">
        <f>IFERROR(__xludf.DUMMYFUNCTION("""COMPUTED_VALUE"""),45568.0)</f>
        <v>45568</v>
      </c>
      <c r="D2351" s="74">
        <f>IFERROR(__xludf.DUMMYFUNCTION("""COMPUTED_VALUE"""),45595.0)</f>
        <v>45595</v>
      </c>
      <c r="E2351" s="112">
        <f>IFERROR(__xludf.DUMMYFUNCTION("""COMPUTED_VALUE"""),307727.0)</f>
        <v>307727</v>
      </c>
      <c r="F2351" s="119" t="str">
        <f>IFERROR(__xludf.DUMMYFUNCTION("""COMPUTED_VALUE"""),"ナルニア国物語 魔術師のおい")</f>
        <v>ナルニア国物語 魔術師のおい</v>
      </c>
      <c r="G2351" s="69" t="str">
        <f>IFERROR(__xludf.DUMMYFUNCTION("""COMPUTED_VALUE"""),"1～10")</f>
        <v>1～10</v>
      </c>
      <c r="H2351" s="69" t="str">
        <f>IFERROR(__xludf.DUMMYFUNCTION("""COMPUTED_VALUE"""),"玉樹庵（たまき・いおり）")</f>
        <v>玉樹庵（たまき・いおり）</v>
      </c>
      <c r="I2351" s="69" t="str">
        <f>IFERROR(__xludf.DUMMYFUNCTION("""COMPUTED_VALUE"""),"少年")</f>
        <v>少年</v>
      </c>
      <c r="J2351" s="69"/>
      <c r="K2351" s="69"/>
      <c r="L2351" s="69" t="str">
        <f>IFERROR(__xludf.DUMMYFUNCTION("""COMPUTED_VALUE"""),"ＦＯＤ")</f>
        <v>ＦＯＤ</v>
      </c>
      <c r="M2351" s="77">
        <f>IFERROR(__xludf.DUMMYFUNCTION("""COMPUTED_VALUE"""),45617.0)</f>
        <v>45617</v>
      </c>
      <c r="N2351" s="59">
        <f>IFERROR(__xludf.DUMMYFUNCTION("""COMPUTED_VALUE"""),45797.0)</f>
        <v>45797</v>
      </c>
      <c r="O2351" s="69"/>
      <c r="P2351" s="114" t="str">
        <f>IFERROR(__xludf.DUMMYFUNCTION("""COMPUTED_VALUE"""),"否")</f>
        <v>否</v>
      </c>
      <c r="Q2351" s="69"/>
      <c r="R2351" s="69" t="str">
        <f>IFERROR(__xludf.DUMMYFUNCTION("""COMPUTED_VALUE"""),"広告コミットOK(10/8)")</f>
        <v>広告コミットOK(10/8)</v>
      </c>
      <c r="S2351" s="69" t="str">
        <f>IFERROR(__xludf.DUMMYFUNCTION("""COMPUTED_VALUE"""),"20241025_FOD_ナルニア国物語")</f>
        <v>20241025_FOD_ナルニア国物語</v>
      </c>
      <c r="T2351" s="69" t="str">
        <f>IFERROR(__xludf.DUMMYFUNCTION("""COMPUTED_VALUE"""),"格納済み")</f>
        <v>格納済み</v>
      </c>
      <c r="U2351" s="15" t="str">
        <f>IFERROR(__xludf.DUMMYFUNCTION("""COMPUTED_VALUE"""),"(C)C・S・ルイス・土屋京子・玉樹庵/ＦＯＤ")</f>
        <v>(C)C・S・ルイス・土屋京子・玉樹庵/ＦＯＤ</v>
      </c>
      <c r="V2351" s="8" t="str">
        <f>IFERROR(__xludf.DUMMYFUNCTION("""COMPUTED_VALUE"""),"20世紀初頭のイギリス・ロンドン。ディゴリーとポリーはアンドリュー叔父さんの部屋に忍び込み、魔法の指輪を見つける。その指輪に触れたポリーは姿を消してしまう。異世界に送り込まれたというポリーをディゴリーは探し出せるのか？　冒険が今始まる――！　光文社新訳文庫刊「ナルニア国物語　魔術師のおい」をコミカライズしました。")</f>
        <v>20世紀初頭のイギリス・ロンドン。ディゴリーとポリーはアンドリュー叔父さんの部屋に忍び込み、魔法の指輪を見つける。その指輪に触れたポリーは姿を消してしまう。異世界に送り込まれたというポリーをディゴリーは探し出せるのか？　冒険が今始まる――！　光文社新訳文庫刊「ナルニア国物語　魔術師のおい」をコミカライズしました。</v>
      </c>
      <c r="W2351" s="14"/>
      <c r="X2351" s="14" t="str">
        <f>IFERROR(__xludf.DUMMYFUNCTION("""COMPUTED_VALUE"""),"有")</f>
        <v>有</v>
      </c>
      <c r="Y2351" s="8" t="str">
        <f>IFERROR(__xludf.DUMMYFUNCTION("""COMPUTED_VALUE"""),"1巻無料")</f>
        <v>1巻無料</v>
      </c>
      <c r="Z2351" s="7"/>
      <c r="AA2351" s="7"/>
      <c r="AB2351" s="7"/>
    </row>
    <row r="2352" ht="15.75" customHeight="1">
      <c r="A2352" s="76">
        <f>IFERROR(__xludf.DUMMYFUNCTION("""COMPUTED_VALUE"""),4270.0)</f>
        <v>4270</v>
      </c>
      <c r="B2352" s="69" t="str">
        <f>IFERROR(__xludf.DUMMYFUNCTION("""COMPUTED_VALUE"""),"確定")</f>
        <v>確定</v>
      </c>
      <c r="C2352" s="74">
        <f>IFERROR(__xludf.DUMMYFUNCTION("""COMPUTED_VALUE"""),45572.0)</f>
        <v>45572</v>
      </c>
      <c r="D2352" s="74">
        <f>IFERROR(__xludf.DUMMYFUNCTION("""COMPUTED_VALUE"""),45595.0)</f>
        <v>45595</v>
      </c>
      <c r="E2352" s="112">
        <f>IFERROR(__xludf.DUMMYFUNCTION("""COMPUTED_VALUE"""),307484.0)</f>
        <v>307484</v>
      </c>
      <c r="F2352" s="119" t="str">
        <f>IFERROR(__xludf.DUMMYFUNCTION("""COMPUTED_VALUE"""),"籠の中の私の復讐")</f>
        <v>籠の中の私の復讐</v>
      </c>
      <c r="G2352" s="69" t="str">
        <f>IFERROR(__xludf.DUMMYFUNCTION("""COMPUTED_VALUE"""),"1～5")</f>
        <v>1～5</v>
      </c>
      <c r="H2352" s="69" t="str">
        <f>IFERROR(__xludf.DUMMYFUNCTION("""COMPUTED_VALUE"""),"坂垣りえ")</f>
        <v>坂垣りえ</v>
      </c>
      <c r="I2352" s="69" t="str">
        <f>IFERROR(__xludf.DUMMYFUNCTION("""COMPUTED_VALUE"""),"女性")</f>
        <v>女性</v>
      </c>
      <c r="J2352" s="69"/>
      <c r="K2352" s="69"/>
      <c r="L2352" s="69" t="str">
        <f>IFERROR(__xludf.DUMMYFUNCTION("""COMPUTED_VALUE"""),"フェアベル")</f>
        <v>フェアベル</v>
      </c>
      <c r="M2352" s="77">
        <f>IFERROR(__xludf.DUMMYFUNCTION("""COMPUTED_VALUE"""),45626.0)</f>
        <v>45626</v>
      </c>
      <c r="N2352" s="59">
        <f>IFERROR(__xludf.DUMMYFUNCTION("""COMPUTED_VALUE"""),45688.0)</f>
        <v>45688</v>
      </c>
      <c r="O2352" s="69"/>
      <c r="P2352" s="114" t="str">
        <f>IFERROR(__xludf.DUMMYFUNCTION("""COMPUTED_VALUE"""),"可")</f>
        <v>可</v>
      </c>
      <c r="Q2352" s="69"/>
      <c r="R2352" s="69" t="str">
        <f>IFERROR(__xludf.DUMMYFUNCTION("""COMPUTED_VALUE"""),"広告コミットOK(10/9)")</f>
        <v>広告コミットOK(10/9)</v>
      </c>
      <c r="S2352" s="69" t="str">
        <f>IFERROR(__xludf.DUMMYFUNCTION("""COMPUTED_VALUE"""),"20241029_フェアベル_籠の中の私の復讐")</f>
        <v>20241029_フェアベル_籠の中の私の復讐</v>
      </c>
      <c r="T2352" s="69" t="str">
        <f>IFERROR(__xludf.DUMMYFUNCTION("""COMPUTED_VALUE"""),"格納済み")</f>
        <v>格納済み</v>
      </c>
      <c r="U2352" s="15" t="str">
        <f>IFERROR(__xludf.DUMMYFUNCTION("""COMPUTED_VALUE"""),"©坂垣りえ／フェアベル")</f>
        <v>©坂垣りえ／フェアベル</v>
      </c>
      <c r="V2352" s="8" t="str">
        <f>IFERROR(__xludf.DUMMYFUNCTION("""COMPUTED_VALUE"""),"＜デジタル連載第1話＞「私が愛した人は、妻を奴隷のように扱い不倫する男でした―。」近所でも評判の『理想の夫婦』の実態は…？大手商社に勤務し近所でも評判の優しい夫を盲目的に愛する妻の沙耶。しかし予想もしなかった夫の本当の姿に気付いたとき、『理想の夫婦』は歪み、幸せだった日常が、復讐にそまりはじめる―。夫の暴言と暴力におびえるだけだった妻が、自分の思い描く『理想の幸せ』を求め、がんじがらめの日常から抜け出そうともがくヒューマンドラマ!!")</f>
        <v>＜デジタル連載第1話＞「私が愛した人は、妻を奴隷のように扱い不倫する男でした―。」近所でも評判の『理想の夫婦』の実態は…？大手商社に勤務し近所でも評判の優しい夫を盲目的に愛する妻の沙耶。しかし予想もしなかった夫の本当の姿に気付いたとき、『理想の夫婦』は歪み、幸せだった日常が、復讐にそまりはじめる―。夫の暴言と暴力におびえるだけだった妻が、自分の思い描く『理想の幸せ』を求め、がんじがらめの日常から抜け出そうともがくヒューマンドラマ!!</v>
      </c>
      <c r="W2352" s="14"/>
      <c r="X2352" s="14" t="str">
        <f>IFERROR(__xludf.DUMMYFUNCTION("""COMPUTED_VALUE"""),"有")</f>
        <v>有</v>
      </c>
      <c r="Y2352" s="8" t="str">
        <f>IFERROR(__xludf.DUMMYFUNCTION("""COMPUTED_VALUE"""),"2025/1/31まで1巻無料")</f>
        <v>2025/1/31まで1巻無料</v>
      </c>
      <c r="Z2352" s="7"/>
      <c r="AA2352" s="7"/>
      <c r="AB2352" s="7"/>
    </row>
    <row r="2353" ht="15.75" customHeight="1">
      <c r="A2353" s="76">
        <f>IFERROR(__xludf.DUMMYFUNCTION("""COMPUTED_VALUE"""),4278.0)</f>
        <v>4278</v>
      </c>
      <c r="B2353" s="69" t="str">
        <f>IFERROR(__xludf.DUMMYFUNCTION("""COMPUTED_VALUE"""),"確定")</f>
        <v>確定</v>
      </c>
      <c r="C2353" s="74">
        <f>IFERROR(__xludf.DUMMYFUNCTION("""COMPUTED_VALUE"""),45574.0)</f>
        <v>45574</v>
      </c>
      <c r="D2353" s="74">
        <f>IFERROR(__xludf.DUMMYFUNCTION("""COMPUTED_VALUE"""),45590.0)</f>
        <v>45590</v>
      </c>
      <c r="E2353" s="112">
        <f>IFERROR(__xludf.DUMMYFUNCTION("""COMPUTED_VALUE"""),310224.0)</f>
        <v>310224</v>
      </c>
      <c r="F2353" s="121" t="str">
        <f>IFERROR(__xludf.DUMMYFUNCTION("""COMPUTED_VALUE"""),"操の契約")</f>
        <v>操の契約</v>
      </c>
      <c r="G2353" s="79" t="str">
        <f>IFERROR(__xludf.DUMMYFUNCTION("""COMPUTED_VALUE"""),"1～10")</f>
        <v>1～10</v>
      </c>
      <c r="H2353" s="69" t="str">
        <f>IFERROR(__xludf.DUMMYFUNCTION("""COMPUTED_VALUE"""),"山野内ユウ")</f>
        <v>山野内ユウ</v>
      </c>
      <c r="I2353" s="69" t="str">
        <f>IFERROR(__xludf.DUMMYFUNCTION("""COMPUTED_VALUE"""),"青年")</f>
        <v>青年</v>
      </c>
      <c r="J2353" s="69"/>
      <c r="K2353" s="69"/>
      <c r="L2353" s="69" t="str">
        <f>IFERROR(__xludf.DUMMYFUNCTION("""COMPUTED_VALUE"""),"集英社")</f>
        <v>集英社</v>
      </c>
      <c r="M2353" s="23">
        <f>IFERROR(__xludf.DUMMYFUNCTION("""COMPUTED_VALUE"""),45631.0)</f>
        <v>45631</v>
      </c>
      <c r="N2353" s="47">
        <f>IFERROR(__xludf.DUMMYFUNCTION("""COMPUTED_VALUE"""),45691.0)</f>
        <v>45691</v>
      </c>
      <c r="O2353" s="69"/>
      <c r="P2353" s="120" t="str">
        <f>IFERROR(__xludf.DUMMYFUNCTION("""COMPUTED_VALUE"""),"可")</f>
        <v>可</v>
      </c>
      <c r="Q2353" s="111" t="str">
        <f>IFERROR(__xludf.DUMMYFUNCTION("""COMPUTED_VALUE"""),"・シーモアからの提案、出稿コミット案件（植戸さん確認済み）&lt;BR&gt;・10/25 5話までの素材格納しました。6話以降は完成次第もらって共有いたします。&lt;BR&gt;・素材は10月中に6話までの本文データをいただけます")</f>
        <v>・シーモアからの提案、出稿コミット案件（植戸さん確認済み）&lt;BR&gt;・10/25 5話までの素材格納しました。6話以降は完成次第もらって共有いたします。&lt;BR&gt;・素材は10月中に6話までの本文データをいただけます</v>
      </c>
      <c r="R2353" s="79"/>
      <c r="S2353" s="69" t="str">
        <f>IFERROR(__xludf.DUMMYFUNCTION("""COMPUTED_VALUE"""),"20241111_集英社_操の契約")</f>
        <v>20241111_集英社_操の契約</v>
      </c>
      <c r="T2353" s="79" t="str">
        <f>IFERROR(__xludf.DUMMYFUNCTION("""COMPUTED_VALUE"""),"格納済み")</f>
        <v>格納済み</v>
      </c>
      <c r="U2353" s="15" t="str">
        <f>IFERROR(__xludf.DUMMYFUNCTION("""COMPUTED_VALUE"""),"(c)山野内ユウ／集英社	")</f>
        <v>(c)山野内ユウ／集英社	</v>
      </c>
      <c r="V2353" s="8" t="str">
        <f>IFERROR(__xludf.DUMMYFUNCTION("""COMPUTED_VALUE"""),"【デジタル限定週刊配信版第1話】妻のために尽くし続けた夫、大学教授の村元。しかし、妻は間男と情欲に耽り、生徒は誰一人彼を見ない。失意に沈む中、唯一彼に好意的な女子生徒・吉野操が優しく彼を抱きしめ…。目覚めると、彼の股間には硬く無機質な貞操帯が嵌められていた。鍵は彼女の手に。そして、始まる“被支配性活”―!!")</f>
        <v>【デジタル限定週刊配信版第1話】妻のために尽くし続けた夫、大学教授の村元。しかし、妻は間男と情欲に耽り、生徒は誰一人彼を見ない。失意に沈む中、唯一彼に好意的な女子生徒・吉野操が優しく彼を抱きしめ…。目覚めると、彼の股間には硬く無機質な貞操帯が嵌められていた。鍵は彼女の手に。そして、始まる“被支配性活”―!!</v>
      </c>
      <c r="W2353" s="14"/>
      <c r="X2353" s="14" t="str">
        <f>IFERROR(__xludf.DUMMYFUNCTION("""COMPUTED_VALUE"""),"有")</f>
        <v>有</v>
      </c>
      <c r="Y2353" s="8" t="str">
        <f>IFERROR(__xludf.DUMMYFUNCTION("""COMPUTED_VALUE"""),"2025/2/3まで1巻無料")</f>
        <v>2025/2/3まで1巻無料</v>
      </c>
      <c r="Z2353" s="7"/>
      <c r="AA2353" s="7"/>
      <c r="AB2353" s="7"/>
    </row>
    <row r="2354" ht="15.75" customHeight="1">
      <c r="A2354" s="76">
        <f>IFERROR(__xludf.DUMMYFUNCTION("""COMPUTED_VALUE"""),4282.0)</f>
        <v>4282</v>
      </c>
      <c r="B2354" s="69" t="str">
        <f>IFERROR(__xludf.DUMMYFUNCTION("""COMPUTED_VALUE"""),"確定")</f>
        <v>確定</v>
      </c>
      <c r="C2354" s="74">
        <f>IFERROR(__xludf.DUMMYFUNCTION("""COMPUTED_VALUE"""),45574.0)</f>
        <v>45574</v>
      </c>
      <c r="D2354" s="74">
        <f>IFERROR(__xludf.DUMMYFUNCTION("""COMPUTED_VALUE"""),45595.0)</f>
        <v>45595</v>
      </c>
      <c r="E2354" s="112">
        <f>IFERROR(__xludf.DUMMYFUNCTION("""COMPUTED_VALUE"""),306912.0)</f>
        <v>306912</v>
      </c>
      <c r="F2354" s="119" t="str">
        <f>IFERROR(__xludf.DUMMYFUNCTION("""COMPUTED_VALUE"""),"伯爵令嬢サラ・クローリアは今日も赤い糸を切る【分冊版】")</f>
        <v>伯爵令嬢サラ・クローリアは今日も赤い糸を切る【分冊版】</v>
      </c>
      <c r="G2354" s="69" t="str">
        <f>IFERROR(__xludf.DUMMYFUNCTION("""COMPUTED_VALUE"""),"1～2")</f>
        <v>1～2</v>
      </c>
      <c r="H2354" s="69" t="str">
        <f>IFERROR(__xludf.DUMMYFUNCTION("""COMPUTED_VALUE"""),"大橋キッカ")</f>
        <v>大橋キッカ</v>
      </c>
      <c r="I2354" s="69" t="str">
        <f>IFERROR(__xludf.DUMMYFUNCTION("""COMPUTED_VALUE"""),"女性")</f>
        <v>女性</v>
      </c>
      <c r="J2354" s="69"/>
      <c r="K2354" s="69"/>
      <c r="L2354" s="69" t="str">
        <f>IFERROR(__xludf.DUMMYFUNCTION("""COMPUTED_VALUE"""),"ハーパーコリンズ・ジャパン")</f>
        <v>ハーパーコリンズ・ジャパン</v>
      </c>
      <c r="M2354" s="77">
        <f>IFERROR(__xludf.DUMMYFUNCTION("""COMPUTED_VALUE"""),45618.0)</f>
        <v>45618</v>
      </c>
      <c r="N2354" s="59">
        <f>IFERROR(__xludf.DUMMYFUNCTION("""COMPUTED_VALUE"""),45679.0)</f>
        <v>45679</v>
      </c>
      <c r="O2354" s="69"/>
      <c r="P2354" s="114" t="str">
        <f>IFERROR(__xludf.DUMMYFUNCTION("""COMPUTED_VALUE"""),"可")</f>
        <v>可</v>
      </c>
      <c r="Q2354" s="69"/>
      <c r="R2354" s="69" t="str">
        <f>IFERROR(__xludf.DUMMYFUNCTION("""COMPUTED_VALUE"""),"広告コミットOK(10/11)")</f>
        <v>広告コミットOK(10/11)</v>
      </c>
      <c r="S2354" s="69" t="str">
        <f>IFERROR(__xludf.DUMMYFUNCTION("""COMPUTED_VALUE"""),"20241030_ハーパーコリンズ・ジャパン_伯爵令嬢サラ・クローリアは今日も赤い糸を切る【分冊版】")</f>
        <v>20241030_ハーパーコリンズ・ジャパン_伯爵令嬢サラ・クローリアは今日も赤い糸を切る【分冊版】</v>
      </c>
      <c r="T2354" s="69" t="str">
        <f>IFERROR(__xludf.DUMMYFUNCTION("""COMPUTED_VALUE"""),"格納済み")</f>
        <v>格納済み</v>
      </c>
      <c r="U2354" s="15" t="str">
        <f>IFERROR(__xludf.DUMMYFUNCTION("""COMPUTED_VALUE"""),"©大橋キッカ・百川 凛／ハーパーコリンズ・ジャパン")</f>
        <v>©大橋キッカ・百川 凛／ハーパーコリンズ・ジャパン</v>
      </c>
      <c r="V2354" s="8" t="str">
        <f>IFERROR(__xludf.DUMMYFUNCTION("""COMPUTED_VALUE"""),"俺の赤い糸、切られちゃった――!?
突然、赤い糸が見えるようになった騎士候補生のアレックス・ヒューバートは、その糸を切っている黒髪の美少女の存在を知る。
彼女は同じ学園に通う伯爵令嬢サラ・クローリア。
ハサミを持ち歩き、「邪魔だから」と言ってあっさり糸を切るサラは、《破局の魔女》と噂され、学園内で孤立した存在だった。
はじめはアレックスもサラの身勝手な行動に憤っていたが、実は訳ありの恋人たちの関係を断ち切っているようで……？
次第に素直ではないサラのことが気になり始め――!?")</f>
        <v>俺の赤い糸、切られちゃった――!?
突然、赤い糸が見えるようになった騎士候補生のアレックス・ヒューバートは、その糸を切っている黒髪の美少女の存在を知る。
彼女は同じ学園に通う伯爵令嬢サラ・クローリア。
ハサミを持ち歩き、「邪魔だから」と言ってあっさり糸を切るサラは、《破局の魔女》と噂され、学園内で孤立した存在だった。
はじめはアレックスもサラの身勝手な行動に憤っていたが、実は訳ありの恋人たちの関係を断ち切っているようで……？
次第に素直ではないサラのことが気になり始め――!?</v>
      </c>
      <c r="W2354" s="14"/>
      <c r="X2354" s="14" t="str">
        <f>IFERROR(__xludf.DUMMYFUNCTION("""COMPUTED_VALUE"""),"有")</f>
        <v>有</v>
      </c>
      <c r="Y2354" s="8" t="str">
        <f>IFERROR(__xludf.DUMMYFUNCTION("""COMPUTED_VALUE"""),"2024/12/5まで1巻無料")</f>
        <v>2024/12/5まで1巻無料</v>
      </c>
      <c r="Z2354" s="7"/>
      <c r="AA2354" s="7"/>
      <c r="AB2354" s="7"/>
    </row>
    <row r="2355" ht="15.75" customHeight="1">
      <c r="A2355" s="76">
        <f>IFERROR(__xludf.DUMMYFUNCTION("""COMPUTED_VALUE"""),4309.0)</f>
        <v>4309</v>
      </c>
      <c r="B2355" s="69" t="str">
        <f>IFERROR(__xludf.DUMMYFUNCTION("""COMPUTED_VALUE"""),"確定")</f>
        <v>確定</v>
      </c>
      <c r="C2355" s="74">
        <f>IFERROR(__xludf.DUMMYFUNCTION("""COMPUTED_VALUE"""),45576.0)</f>
        <v>45576</v>
      </c>
      <c r="D2355" s="74">
        <f>IFERROR(__xludf.DUMMYFUNCTION("""COMPUTED_VALUE"""),45595.0)</f>
        <v>45595</v>
      </c>
      <c r="E2355" s="112">
        <f>IFERROR(__xludf.DUMMYFUNCTION("""COMPUTED_VALUE"""),308476.0)</f>
        <v>308476</v>
      </c>
      <c r="F2355" s="119" t="str">
        <f>IFERROR(__xludf.DUMMYFUNCTION("""COMPUTED_VALUE"""),"純愛上等！")</f>
        <v>純愛上等！</v>
      </c>
      <c r="G2355" s="69" t="str">
        <f>IFERROR(__xludf.DUMMYFUNCTION("""COMPUTED_VALUE"""),"1～3")</f>
        <v>1～3</v>
      </c>
      <c r="H2355" s="69" t="str">
        <f>IFERROR(__xludf.DUMMYFUNCTION("""COMPUTED_VALUE"""),"七緒")</f>
        <v>七緒</v>
      </c>
      <c r="I2355" s="69" t="str">
        <f>IFERROR(__xludf.DUMMYFUNCTION("""COMPUTED_VALUE"""),"BL")</f>
        <v>BL</v>
      </c>
      <c r="J2355" s="69"/>
      <c r="K2355" s="69"/>
      <c r="L2355" s="69" t="str">
        <f>IFERROR(__xludf.DUMMYFUNCTION("""COMPUTED_VALUE"""),"SDP")</f>
        <v>SDP</v>
      </c>
      <c r="M2355" s="23">
        <f>IFERROR(__xludf.DUMMYFUNCTION("""COMPUTED_VALUE"""),45632.0)</f>
        <v>45632</v>
      </c>
      <c r="N2355" s="73">
        <f>IFERROR(__xludf.DUMMYFUNCTION("""COMPUTED_VALUE"""),45778.0)</f>
        <v>45778</v>
      </c>
      <c r="O2355" s="69"/>
      <c r="P2355" s="120" t="str">
        <f>IFERROR(__xludf.DUMMYFUNCTION("""COMPUTED_VALUE"""),"可")</f>
        <v>可</v>
      </c>
      <c r="Q2355" s="69" t="str">
        <f>IFERROR(__xludf.DUMMYFUNCTION("""COMPUTED_VALUE"""),"・2025年秋に映画化を予定しており、12月配信日にリリース予定&lt;BR&gt;・キャストは自社（スターダストプロモーション）で手配予定&lt;BR&gt; ※超特急とM! LK（ミルク）のメンバーで検討中とのこと&lt;BR&gt;・今後もメディア化セットでの先行提案を頂ける出版社です&lt;BR&gt;・初回配信話数時は1話無料を設定頂ける予定")</f>
        <v>・2025年秋に映画化を予定しており、12月配信日にリリース予定&lt;BR&gt;・キャストは自社（スターダストプロモーション）で手配予定&lt;BR&gt; ※超特急とM! LK（ミルク）のメンバーで検討中とのこと&lt;BR&gt;・今後もメディア化セットでの先行提案を頂ける出版社です&lt;BR&gt;・初回配信話数時は1話無料を設定頂ける予定</v>
      </c>
      <c r="R2355" s="69" t="str">
        <f>IFERROR(__xludf.DUMMYFUNCTION("""COMPUTED_VALUE"""),"広告コミットOK(10/16)")</f>
        <v>広告コミットOK(10/16)</v>
      </c>
      <c r="S2355" s="69" t="str">
        <f>IFERROR(__xludf.DUMMYFUNCTION("""COMPUTED_VALUE"""),"20241028_SDP_純愛上等！")</f>
        <v>20241028_SDP_純愛上等！</v>
      </c>
      <c r="T2355" s="69" t="str">
        <f>IFERROR(__xludf.DUMMYFUNCTION("""COMPUTED_VALUE"""),"格納済み")</f>
        <v>格納済み</v>
      </c>
      <c r="U2355" s="15" t="str">
        <f>IFERROR(__xludf.DUMMYFUNCTION("""COMPUTED_VALUE"""),"©七緒／BeSTAR comics")</f>
        <v>©七緒／BeSTAR comics</v>
      </c>
      <c r="V2355" s="8" t="str">
        <f>IFERROR(__xludf.DUMMYFUNCTION("""COMPUTED_VALUE"""),"紅桜高校の不良たちのアタマを張る亀井円（かめい・まどか）は、ただいま青春真っ只中！と思いきや、留年決定・恋愛も喧嘩も休戦中…と早くも枯れ気味の日々を送っていた。
しかしある日、ライバル・白岩高校のアタマを張る佐藤美鶴（さとう・みつる）が乗り込んできたことで状況が一変！なんと美鶴は、喧嘩ではなく、円の祖母が営む駄菓子屋の2階に下宿することになったと挨拶に来たのだった。
「紅白の鶴と亀」と呼ばれる2人の急接近に周りも大混乱。根っからのお兄ちゃん気質な円は距離を縮めようとするが、クールな美鶴の「本当の目的」"&amp;"はわからないままで…!?︎
一匹狼な年下ヤンキー攻×無邪気の裏にトラウマを隠すヤンキー受。
ヒリヒリするほど、不器用でピュアなヤンキーBLが開幕！")</f>
        <v>紅桜高校の不良たちのアタマを張る亀井円（かめい・まどか）は、ただいま青春真っ只中！と思いきや、留年決定・恋愛も喧嘩も休戦中…と早くも枯れ気味の日々を送っていた。
しかしある日、ライバル・白岩高校のアタマを張る佐藤美鶴（さとう・みつる）が乗り込んできたことで状況が一変！なんと美鶴は、喧嘩ではなく、円の祖母が営む駄菓子屋の2階に下宿することになったと挨拶に来たのだった。
「紅白の鶴と亀」と呼ばれる2人の急接近に周りも大混乱。根っからのお兄ちゃん気質な円は距離を縮めようとするが、クールな美鶴の「本当の目的」はわからないままで…!?︎
一匹狼な年下ヤンキー攻×無邪気の裏にトラウマを隠すヤンキー受。
ヒリヒリするほど、不器用でピュアなヤンキーBLが開幕！</v>
      </c>
      <c r="W2355" s="14"/>
      <c r="X2355" s="14" t="str">
        <f>IFERROR(__xludf.DUMMYFUNCTION("""COMPUTED_VALUE"""),"有")</f>
        <v>有</v>
      </c>
      <c r="Y2355" s="8" t="str">
        <f>IFERROR(__xludf.DUMMYFUNCTION("""COMPUTED_VALUE"""),"2025/5/1まで1巻無料")</f>
        <v>2025/5/1まで1巻無料</v>
      </c>
      <c r="Z2355" s="7"/>
      <c r="AA2355" s="7"/>
      <c r="AB2355" s="7"/>
    </row>
    <row r="2356" ht="15.75" customHeight="1">
      <c r="A2356" s="76">
        <f>IFERROR(__xludf.DUMMYFUNCTION("""COMPUTED_VALUE"""),4335.0)</f>
        <v>4335</v>
      </c>
      <c r="B2356" s="69" t="str">
        <f>IFERROR(__xludf.DUMMYFUNCTION("""COMPUTED_VALUE"""),"確定")</f>
        <v>確定</v>
      </c>
      <c r="C2356" s="74">
        <f>IFERROR(__xludf.DUMMYFUNCTION("""COMPUTED_VALUE"""),45581.0)</f>
        <v>45581</v>
      </c>
      <c r="D2356" s="74">
        <f>IFERROR(__xludf.DUMMYFUNCTION("""COMPUTED_VALUE"""),45595.0)</f>
        <v>45595</v>
      </c>
      <c r="E2356" s="112">
        <f>IFERROR(__xludf.DUMMYFUNCTION("""COMPUTED_VALUE"""),306922.0)</f>
        <v>306922</v>
      </c>
      <c r="F2356" s="119" t="str">
        <f>IFERROR(__xludf.DUMMYFUNCTION("""COMPUTED_VALUE"""),"僕に教えて【分冊版】")</f>
        <v>僕に教えて【分冊版】</v>
      </c>
      <c r="G2356" s="69" t="str">
        <f>IFERROR(__xludf.DUMMYFUNCTION("""COMPUTED_VALUE"""),"1～10")</f>
        <v>1～10</v>
      </c>
      <c r="H2356" s="69" t="str">
        <f>IFERROR(__xludf.DUMMYFUNCTION("""COMPUTED_VALUE"""),"アンドロメダ11")</f>
        <v>アンドロメダ11</v>
      </c>
      <c r="I2356" s="69" t="str">
        <f>IFERROR(__xludf.DUMMYFUNCTION("""COMPUTED_VALUE"""),"青年")</f>
        <v>青年</v>
      </c>
      <c r="J2356" s="69"/>
      <c r="K2356" s="69"/>
      <c r="L2356" s="69" t="str">
        <f>IFERROR(__xludf.DUMMYFUNCTION("""COMPUTED_VALUE"""),"リバース")</f>
        <v>リバース</v>
      </c>
      <c r="M2356" s="77">
        <f>IFERROR(__xludf.DUMMYFUNCTION("""COMPUTED_VALUE"""),45620.0)</f>
        <v>45620</v>
      </c>
      <c r="N2356" s="47">
        <f>IFERROR(__xludf.DUMMYFUNCTION("""COMPUTED_VALUE"""),45711.0)</f>
        <v>45711</v>
      </c>
      <c r="O2356" s="69"/>
      <c r="P2356" s="120" t="str">
        <f>IFERROR(__xludf.DUMMYFUNCTION("""COMPUTED_VALUE"""),"可")</f>
        <v>可</v>
      </c>
      <c r="Q2356" s="69" t="str">
        <f>IFERROR(__xludf.DUMMYFUNCTION("""COMPUTED_VALUE"""),"・お色気作品&lt;BR&gt;・Toomicsでは配信中。他は国内配信はシーモアのみ。")</f>
        <v>・お色気作品&lt;BR&gt;・Toomicsでは配信中。他は国内配信はシーモアのみ。</v>
      </c>
      <c r="R2356" s="69" t="str">
        <f>IFERROR(__xludf.DUMMYFUNCTION("""COMPUTED_VALUE"""),"広告コミットOK(10/18)")</f>
        <v>広告コミットOK(10/18)</v>
      </c>
      <c r="S2356" s="69" t="str">
        <f>IFERROR(__xludf.DUMMYFUNCTION("""COMPUTED_VALUE"""),"20241029_リバース_僕に教えて【分冊版】")</f>
        <v>20241029_リバース_僕に教えて【分冊版】</v>
      </c>
      <c r="T2356" s="69" t="str">
        <f>IFERROR(__xludf.DUMMYFUNCTION("""COMPUTED_VALUE"""),"格納済み")</f>
        <v>格納済み</v>
      </c>
      <c r="U2356" s="15" t="str">
        <f>IFERROR(__xludf.DUMMYFUNCTION("""COMPUTED_VALUE"""),"(c)アンドロメダ11, Toomics / GO5")</f>
        <v>(c)アンドロメダ11, Toomics / GO5</v>
      </c>
      <c r="V2356" s="8" t="str">
        <f>IFERROR(__xludf.DUMMYFUNCTION("""COMPUTED_VALUE"""),"10歳年上の美人な継母。完璧なのにどこかおかしい！どういうことか教えて、お母さん！")</f>
        <v>10歳年上の美人な継母。完璧なのにどこかおかしい！どういうことか教えて、お母さん！</v>
      </c>
      <c r="W2356" s="14"/>
      <c r="X2356" s="14" t="str">
        <f>IFERROR(__xludf.DUMMYFUNCTION("""COMPUTED_VALUE"""),"有")</f>
        <v>有</v>
      </c>
      <c r="Y2356" s="8" t="str">
        <f>IFERROR(__xludf.DUMMYFUNCTION("""COMPUTED_VALUE"""),"2024/12/7まで1～3巻無料")</f>
        <v>2024/12/7まで1～3巻無料</v>
      </c>
      <c r="Z2356" s="7"/>
      <c r="AA2356" s="7"/>
      <c r="AB2356" s="7"/>
    </row>
    <row r="2357" ht="15.75" customHeight="1">
      <c r="A2357" s="76">
        <f>IFERROR(__xludf.DUMMYFUNCTION("""COMPUTED_VALUE"""),4375.0)</f>
        <v>4375</v>
      </c>
      <c r="B2357" s="69" t="str">
        <f>IFERROR(__xludf.DUMMYFUNCTION("""COMPUTED_VALUE"""),"確定")</f>
        <v>確定</v>
      </c>
      <c r="C2357" s="74">
        <f>IFERROR(__xludf.DUMMYFUNCTION("""COMPUTED_VALUE"""),45587.0)</f>
        <v>45587</v>
      </c>
      <c r="D2357" s="74">
        <f>IFERROR(__xludf.DUMMYFUNCTION("""COMPUTED_VALUE"""),45590.0)</f>
        <v>45590</v>
      </c>
      <c r="E2357" s="116">
        <f>IFERROR(__xludf.DUMMYFUNCTION("""COMPUTED_VALUE"""),295488.0)</f>
        <v>295488</v>
      </c>
      <c r="F2357" s="119" t="str">
        <f>IFERROR(__xludf.DUMMYFUNCTION("""COMPUTED_VALUE"""),"強欲ゲーム(フルカラー)")</f>
        <v>強欲ゲーム(フルカラー)</v>
      </c>
      <c r="G2357" s="69" t="str">
        <f>IFERROR(__xludf.DUMMYFUNCTION("""COMPUTED_VALUE"""),"1～3")</f>
        <v>1～3</v>
      </c>
      <c r="H2357" s="69" t="str">
        <f>IFERROR(__xludf.DUMMYFUNCTION("""COMPUTED_VALUE"""),"Yeong Myo,ロマンサバ")</f>
        <v>Yeong Myo,ロマンサバ</v>
      </c>
      <c r="I2357" s="69" t="str">
        <f>IFERROR(__xludf.DUMMYFUNCTION("""COMPUTED_VALUE"""),"青年")</f>
        <v>青年</v>
      </c>
      <c r="J2357" s="69"/>
      <c r="K2357" s="69"/>
      <c r="L2357" s="69" t="str">
        <f>IFERROR(__xludf.DUMMYFUNCTION("""COMPUTED_VALUE"""),"シーモアコミックス")</f>
        <v>シーモアコミックス</v>
      </c>
      <c r="M2357" s="77">
        <f>IFERROR(__xludf.DUMMYFUNCTION("""COMPUTED_VALUE"""),45619.0)</f>
        <v>45619</v>
      </c>
      <c r="N2357" s="59">
        <f>IFERROR(__xludf.DUMMYFUNCTION("""COMPUTED_VALUE"""),45771.66666666667)</f>
        <v>45771.66667</v>
      </c>
      <c r="O2357" s="69"/>
      <c r="P2357" s="114" t="str">
        <f>IFERROR(__xludf.DUMMYFUNCTION("""COMPUTED_VALUE"""),"可")</f>
        <v>可</v>
      </c>
      <c r="Q2357" s="111"/>
      <c r="R2357" s="69"/>
      <c r="S2357" s="69" t="str">
        <f>IFERROR(__xludf.DUMMYFUNCTION("""COMPUTED_VALUE"""),"20241024_シーモアコミックス_強欲ゲーム（フルカラー）")</f>
        <v>20241024_シーモアコミックス_強欲ゲーム（フルカラー）</v>
      </c>
      <c r="T2357" s="69" t="str">
        <f>IFERROR(__xludf.DUMMYFUNCTION("""COMPUTED_VALUE"""),"格納済み")</f>
        <v>格納済み</v>
      </c>
      <c r="U2357" s="15" t="str">
        <f>IFERROR(__xludf.DUMMYFUNCTION("""COMPUTED_VALUE"""),"© Yeong Myo/ロマンサバ/TOPCO/シーモアコミックス")</f>
        <v>© Yeong Myo/ロマンサバ/TOPCO/シーモアコミックス</v>
      </c>
      <c r="V2357" s="8" t="str">
        <f>IFERROR(__xludf.DUMMYFUNCTION("""COMPUTED_VALUE"""),"仮想通貨で一攫千金を狙う俺・橘将吾は、ある日莫大な利益を得られる裏情報を手に入れた。絶好のチャンスを逃すまいと、まずはその資金となる種銭をかき集めるために、友人たちに片っ端から連絡を取って回る。そして、ようやく一人の友人が「稼げる場所」を紹介してくれることになった。そこはどこか得体の知れない妙な空気をまとった場所だったが、覚悟を決め「課題」をクリアし、一人の女性に気に入られることになる。そして、彼女からとある「ゲーム」の話を持ちかけられた。参加表明だけで200万円が支払われるという甘い誘いだったが、その怪"&amp;"しさに一旦は距離を置くことにした。ところが帰宅すると、借金取りが俺の居場所を突き止め待ち構えていた。脅されすぐに金を用意すると答えた俺は、例のゲームへの参加を決意する。いざ始まってみればこのゲームは一筋縄ではいかない。金を手に入れるために待ち受けていたのは、想像をはるかに超える「試練」だった。選択と生き残りの間で、果たして俺が掴むものは――。【桃色エンジェル】")</f>
        <v>仮想通貨で一攫千金を狙う俺・橘将吾は、ある日莫大な利益を得られる裏情報を手に入れた。絶好のチャンスを逃すまいと、まずはその資金となる種銭をかき集めるために、友人たちに片っ端から連絡を取って回る。そして、ようやく一人の友人が「稼げる場所」を紹介してくれることになった。そこはどこか得体の知れない妙な空気をまとった場所だったが、覚悟を決め「課題」をクリアし、一人の女性に気に入られることになる。そして、彼女からとある「ゲーム」の話を持ちかけられた。参加表明だけで200万円が支払われるという甘い誘いだったが、その怪しさに一旦は距離を置くことにした。ところが帰宅すると、借金取りが俺の居場所を突き止め待ち構えていた。脅されすぐに金を用意すると答えた俺は、例のゲームへの参加を決意する。いざ始まってみればこのゲームは一筋縄ではいかない。金を手に入れるために待ち受けていたのは、想像をはるかに超える「試練」だった。選択と生き残りの間で、果たして俺が掴むものは――。【桃色エンジェル】</v>
      </c>
      <c r="W2357" s="14"/>
      <c r="X2357" s="14" t="str">
        <f>IFERROR(__xludf.DUMMYFUNCTION("""COMPUTED_VALUE"""),"有")</f>
        <v>有</v>
      </c>
      <c r="Y2357" s="8" t="str">
        <f>IFERROR(__xludf.DUMMYFUNCTION("""COMPUTED_VALUE"""),"2024/12/27まで1巻無料")</f>
        <v>2024/12/27まで1巻無料</v>
      </c>
      <c r="Z2357" s="7"/>
      <c r="AA2357" s="7"/>
      <c r="AB2357" s="7"/>
    </row>
    <row r="2358" ht="15.75" customHeight="1">
      <c r="A2358" s="76">
        <f>IFERROR(__xludf.DUMMYFUNCTION("""COMPUTED_VALUE"""),4376.0)</f>
        <v>4376</v>
      </c>
      <c r="B2358" s="69" t="str">
        <f>IFERROR(__xludf.DUMMYFUNCTION("""COMPUTED_VALUE"""),"確定")</f>
        <v>確定</v>
      </c>
      <c r="C2358" s="74">
        <f>IFERROR(__xludf.DUMMYFUNCTION("""COMPUTED_VALUE"""),45587.0)</f>
        <v>45587</v>
      </c>
      <c r="D2358" s="74">
        <f>IFERROR(__xludf.DUMMYFUNCTION("""COMPUTED_VALUE"""),45590.0)</f>
        <v>45590</v>
      </c>
      <c r="E2358" s="116">
        <f>IFERROR(__xludf.DUMMYFUNCTION("""COMPUTED_VALUE"""),295489.0)</f>
        <v>295489</v>
      </c>
      <c r="F2358" s="119" t="str">
        <f>IFERROR(__xludf.DUMMYFUNCTION("""COMPUTED_VALUE"""),"強欲ゲーム【タテヨミ】")</f>
        <v>強欲ゲーム【タテヨミ】</v>
      </c>
      <c r="G2358" s="69" t="str">
        <f>IFERROR(__xludf.DUMMYFUNCTION("""COMPUTED_VALUE"""),"1～9")</f>
        <v>1～9</v>
      </c>
      <c r="H2358" s="69" t="str">
        <f>IFERROR(__xludf.DUMMYFUNCTION("""COMPUTED_VALUE"""),"Yeong Myo,ロマンサバ")</f>
        <v>Yeong Myo,ロマンサバ</v>
      </c>
      <c r="I2358" s="69" t="str">
        <f>IFERROR(__xludf.DUMMYFUNCTION("""COMPUTED_VALUE"""),"青年")</f>
        <v>青年</v>
      </c>
      <c r="J2358" s="69"/>
      <c r="K2358" s="69"/>
      <c r="L2358" s="69" t="str">
        <f>IFERROR(__xludf.DUMMYFUNCTION("""COMPUTED_VALUE"""),"シーモアコミックス")</f>
        <v>シーモアコミックス</v>
      </c>
      <c r="M2358" s="77">
        <f>IFERROR(__xludf.DUMMYFUNCTION("""COMPUTED_VALUE"""),45619.0)</f>
        <v>45619</v>
      </c>
      <c r="N2358" s="59">
        <f>IFERROR(__xludf.DUMMYFUNCTION("""COMPUTED_VALUE"""),45680.0)</f>
        <v>45680</v>
      </c>
      <c r="O2358" s="69"/>
      <c r="P2358" s="120" t="str">
        <f>IFERROR(__xludf.DUMMYFUNCTION("""COMPUTED_VALUE"""),"可")</f>
        <v>可</v>
      </c>
      <c r="Q2358" s="111" t="str">
        <f>IFERROR(__xludf.DUMMYFUNCTION("""COMPUTED_VALUE"""),"※コマサム等素材は「295488 強欲ゲーム（フルカラー）」のほうをお使いください。&lt;BR&gt;バナー制作はフルカラー版の素材を利用して問題ございません。&lt;BR&gt;")</f>
        <v>※コマサム等素材は「295488 強欲ゲーム（フルカラー）」のほうをお使いください。&lt;BR&gt;バナー制作はフルカラー版の素材を利用して問題ございません。&lt;BR&gt;</v>
      </c>
      <c r="R2358" s="69"/>
      <c r="S2358" s="69" t="str">
        <f>IFERROR(__xludf.DUMMYFUNCTION("""COMPUTED_VALUE"""),"20241021_シーモアコミックス_強欲ゲーム【タテヨミ】")</f>
        <v>20241021_シーモアコミックス_強欲ゲーム【タテヨミ】</v>
      </c>
      <c r="T2358" s="69" t="str">
        <f>IFERROR(__xludf.DUMMYFUNCTION("""COMPUTED_VALUE"""),"格納済み")</f>
        <v>格納済み</v>
      </c>
      <c r="U2358" s="15" t="str">
        <f>IFERROR(__xludf.DUMMYFUNCTION("""COMPUTED_VALUE"""),"© Yeong Myo/ロマンサバ/TOPCO/シーモアコミックス")</f>
        <v>© Yeong Myo/ロマンサバ/TOPCO/シーモアコミックス</v>
      </c>
      <c r="V2358" s="8" t="str">
        <f>IFERROR(__xludf.DUMMYFUNCTION("""COMPUTED_VALUE"""),"仮想通貨で一攫千金を狙う俺・橘将吾は、ある日莫大な利益を得られる裏情報を手に入れた。絶好のチャンスを逃すまいと、まずはその資金となる種銭をかき集めるために、友人たちに片っ端から連絡を取って回る。そして、ようやく一人の友人が「稼げる場所」を紹介してくれることになった。そこはどこか得体の知れない妙な空気をまとった場所だったが、覚悟を決め「課題」をクリアし、一人の女性に気に入られることになる。そして、彼女からとある「ゲーム」の話を持ちかけられた。参加表明だけで200万円が支払われるという甘い誘いだったが、その怪"&amp;"しさに一旦は距離を置くことにした。ところが帰宅すると、借金取りが俺の居場所を突き止め待ち構えていた。脅されすぐに金を用意すると答えた俺は、例のゲームへの参加を決意する。いざ始まってみればこのゲームは一筋縄ではいかない。金を手に入れるために待ち受けていたのは、想像をはるかに超える「試練」だった。選択と生き残りの間で、果たして俺が掴むものは――。【桃色エンジェル】")</f>
        <v>仮想通貨で一攫千金を狙う俺・橘将吾は、ある日莫大な利益を得られる裏情報を手に入れた。絶好のチャンスを逃すまいと、まずはその資金となる種銭をかき集めるために、友人たちに片っ端から連絡を取って回る。そして、ようやく一人の友人が「稼げる場所」を紹介してくれることになった。そこはどこか得体の知れない妙な空気をまとった場所だったが、覚悟を決め「課題」をクリアし、一人の女性に気に入られることになる。そして、彼女からとある「ゲーム」の話を持ちかけられた。参加表明だけで200万円が支払われるという甘い誘いだったが、その怪しさに一旦は距離を置くことにした。ところが帰宅すると、借金取りが俺の居場所を突き止め待ち構えていた。脅されすぐに金を用意すると答えた俺は、例のゲームへの参加を決意する。いざ始まってみればこのゲームは一筋縄ではいかない。金を手に入れるために待ち受けていたのは、想像をはるかに超える「試練」だった。選択と生き残りの間で、果たして俺が掴むものは――。【桃色エンジェル】</v>
      </c>
      <c r="W2358" s="14"/>
      <c r="X2358" s="14" t="str">
        <f>IFERROR(__xludf.DUMMYFUNCTION("""COMPUTED_VALUE"""),"有")</f>
        <v>有</v>
      </c>
      <c r="Y2358" s="8" t="str">
        <f>IFERROR(__xludf.DUMMYFUNCTION("""COMPUTED_VALUE"""),"2024/12/27まで1～3巻無料")</f>
        <v>2024/12/27まで1～3巻無料</v>
      </c>
      <c r="Z2358" s="7"/>
      <c r="AA2358" s="7"/>
      <c r="AB2358" s="7"/>
    </row>
    <row r="2359" ht="15.75" customHeight="1">
      <c r="A2359" s="76">
        <f>IFERROR(__xludf.DUMMYFUNCTION("""COMPUTED_VALUE"""),4404.0)</f>
        <v>4404</v>
      </c>
      <c r="B2359" s="69" t="str">
        <f>IFERROR(__xludf.DUMMYFUNCTION("""COMPUTED_VALUE"""),"確定")</f>
        <v>確定</v>
      </c>
      <c r="C2359" s="74">
        <f>IFERROR(__xludf.DUMMYFUNCTION("""COMPUTED_VALUE"""),45588.0)</f>
        <v>45588</v>
      </c>
      <c r="D2359" s="74">
        <f>IFERROR(__xludf.DUMMYFUNCTION("""COMPUTED_VALUE"""),45590.0)</f>
        <v>45590</v>
      </c>
      <c r="E2359" s="112">
        <f>IFERROR(__xludf.DUMMYFUNCTION("""COMPUTED_VALUE"""),307332.0)</f>
        <v>307332</v>
      </c>
      <c r="F2359" s="119" t="str">
        <f>IFERROR(__xludf.DUMMYFUNCTION("""COMPUTED_VALUE"""),"のらくらメルヒェン 連載版")</f>
        <v>のらくらメルヒェン 連載版</v>
      </c>
      <c r="G2359" s="69" t="str">
        <f>IFERROR(__xludf.DUMMYFUNCTION("""COMPUTED_VALUE"""),"1～3")</f>
        <v>1～3</v>
      </c>
      <c r="H2359" s="69" t="str">
        <f>IFERROR(__xludf.DUMMYFUNCTION("""COMPUTED_VALUE"""),"日之下あかめ")</f>
        <v>日之下あかめ</v>
      </c>
      <c r="I2359" s="79" t="str">
        <f>IFERROR(__xludf.DUMMYFUNCTION("""COMPUTED_VALUE"""),"青年")</f>
        <v>青年</v>
      </c>
      <c r="J2359" s="69"/>
      <c r="K2359" s="69"/>
      <c r="L2359" s="69" t="str">
        <f>IFERROR(__xludf.DUMMYFUNCTION("""COMPUTED_VALUE"""),"ブシロードワークス")</f>
        <v>ブシロードワークス</v>
      </c>
      <c r="M2359" s="59">
        <f>IFERROR(__xludf.DUMMYFUNCTION("""COMPUTED_VALUE"""),45604.0)</f>
        <v>45604</v>
      </c>
      <c r="N2359" s="77">
        <f>IFERROR(__xludf.DUMMYFUNCTION("""COMPUTED_VALUE"""),45638.0)</f>
        <v>45638</v>
      </c>
      <c r="O2359" s="69"/>
      <c r="P2359" s="114" t="str">
        <f>IFERROR(__xludf.DUMMYFUNCTION("""COMPUTED_VALUE"""),"可")</f>
        <v>可</v>
      </c>
      <c r="Q2359" s="111"/>
      <c r="R2359" s="69"/>
      <c r="S2359" s="69" t="str">
        <f>IFERROR(__xludf.DUMMYFUNCTION("""COMPUTED_VALUE"""),"20241023_ブシロードワークス_のらくらメルヒェン 連載版")</f>
        <v>20241023_ブシロードワークス_のらくらメルヒェン 連載版</v>
      </c>
      <c r="T2359" s="69" t="str">
        <f>IFERROR(__xludf.DUMMYFUNCTION("""COMPUTED_VALUE"""),"格納済み")</f>
        <v>格納済み</v>
      </c>
      <c r="U2359" s="15" t="str">
        <f>IFERROR(__xludf.DUMMYFUNCTION("""COMPUTED_VALUE"""),"(c)akame hinoshita / BUSHIROAD WORKS")</f>
        <v>(c)akame hinoshita / BUSHIROAD WORKS</v>
      </c>
      <c r="V2359" s="8" t="str">
        <f>IFERROR(__xludf.DUMMYFUNCTION("""COMPUTED_VALUE"""),"今か昔か、とある雪深い温泉郷。
アリス・白雪・ドロシーという3人の女の子が楽しく暮らしておりました。
ただ、この町、実はまぁ変なところでして……。
東西、東西。不安定に安定した、日常の御話。どうぞご覧あれ。")</f>
        <v>今か昔か、とある雪深い温泉郷。
アリス・白雪・ドロシーという3人の女の子が楽しく暮らしておりました。
ただ、この町、実はまぁ変なところでして……。
東西、東西。不安定に安定した、日常の御話。どうぞご覧あれ。</v>
      </c>
      <c r="W2359" s="14"/>
      <c r="X2359" s="14" t="str">
        <f>IFERROR(__xludf.DUMMYFUNCTION("""COMPUTED_VALUE"""),"有")</f>
        <v>有</v>
      </c>
      <c r="Y2359" s="8" t="str">
        <f>IFERROR(__xludf.DUMMYFUNCTION("""COMPUTED_VALUE"""),"P3まで")</f>
        <v>P3まで</v>
      </c>
      <c r="Z2359" s="7"/>
      <c r="AA2359" s="7"/>
      <c r="AB2359" s="7"/>
    </row>
    <row r="2360" ht="15.75" customHeight="1">
      <c r="A2360" s="76">
        <f>IFERROR(__xludf.DUMMYFUNCTION("""COMPUTED_VALUE"""),4405.0)</f>
        <v>4405</v>
      </c>
      <c r="B2360" s="69" t="str">
        <f>IFERROR(__xludf.DUMMYFUNCTION("""COMPUTED_VALUE"""),"確定")</f>
        <v>確定</v>
      </c>
      <c r="C2360" s="74">
        <f>IFERROR(__xludf.DUMMYFUNCTION("""COMPUTED_VALUE"""),45588.0)</f>
        <v>45588</v>
      </c>
      <c r="D2360" s="74">
        <f>IFERROR(__xludf.DUMMYFUNCTION("""COMPUTED_VALUE"""),45590.0)</f>
        <v>45590</v>
      </c>
      <c r="E2360" s="112">
        <f>IFERROR(__xludf.DUMMYFUNCTION("""COMPUTED_VALUE"""),307480.0)</f>
        <v>307480</v>
      </c>
      <c r="F2360" s="119" t="str">
        <f>IFERROR(__xludf.DUMMYFUNCTION("""COMPUTED_VALUE"""),"それは火に入る夏の虫")</f>
        <v>それは火に入る夏の虫</v>
      </c>
      <c r="G2360" s="69">
        <f>IFERROR(__xludf.DUMMYFUNCTION("""COMPUTED_VALUE"""),1.0)</f>
        <v>1</v>
      </c>
      <c r="H2360" s="69" t="str">
        <f>IFERROR(__xludf.DUMMYFUNCTION("""COMPUTED_VALUE"""),"おそまつ")</f>
        <v>おそまつ</v>
      </c>
      <c r="I2360" s="69" t="str">
        <f>IFERROR(__xludf.DUMMYFUNCTION("""COMPUTED_VALUE"""),"オトナ")</f>
        <v>オトナ</v>
      </c>
      <c r="J2360" s="69"/>
      <c r="K2360" s="69"/>
      <c r="L2360" s="69" t="str">
        <f>IFERROR(__xludf.DUMMYFUNCTION("""COMPUTED_VALUE"""),"ライトリーズン")</f>
        <v>ライトリーズン</v>
      </c>
      <c r="M2360" s="77">
        <f>IFERROR(__xludf.DUMMYFUNCTION("""COMPUTED_VALUE"""),45611.0)</f>
        <v>45611</v>
      </c>
      <c r="N2360" s="59">
        <f>IFERROR(__xludf.DUMMYFUNCTION("""COMPUTED_VALUE"""),45702.0)</f>
        <v>45702</v>
      </c>
      <c r="O2360" s="69"/>
      <c r="P2360" s="120" t="str">
        <f>IFERROR(__xludf.DUMMYFUNCTION("""COMPUTED_VALUE"""),"可")</f>
        <v>可</v>
      </c>
      <c r="Q2360" s="111" t="str">
        <f>IFERROR(__xludf.DUMMYFUNCTION("""COMPUTED_VALUE"""),"先行確定タイトルの校了済みデータ格納しております。&lt;BR&gt;可能であればぜひ出稿お願いします。")</f>
        <v>先行確定タイトルの校了済みデータ格納しております。&lt;BR&gt;可能であればぜひ出稿お願いします。</v>
      </c>
      <c r="R2360" s="69"/>
      <c r="S2360" s="69" t="str">
        <f>IFERROR(__xludf.DUMMYFUNCTION("""COMPUTED_VALUE"""),"20241023_ライトリーズン‗それは火に入る夏の虫")</f>
        <v>20241023_ライトリーズン‗それは火に入る夏の虫</v>
      </c>
      <c r="T2360" s="69" t="str">
        <f>IFERROR(__xludf.DUMMYFUNCTION("""COMPUTED_VALUE"""),"格納済み")</f>
        <v>格納済み</v>
      </c>
      <c r="U2360" s="15" t="str">
        <f>IFERROR(__xludf.DUMMYFUNCTION("""COMPUTED_VALUE"""),"(C)おそまつ/ライトリーズン")</f>
        <v>(C)おそまつ/ライトリーズン</v>
      </c>
      <c r="V2360" s="8" t="str">
        <f>IFERROR(__xludf.DUMMYFUNCTION("""COMPUTED_VALUE"""),"【本作品は同人誌です】
大学生の【蛍(けい)】は、ある雄に惹かれる。
見てるだけで良かったのに。
だってこれ以上は…食べることになってしまうから。
ページ数：32ページ")</f>
        <v>【本作品は同人誌です】
大学生の【蛍(けい)】は、ある雄に惹かれる。
見てるだけで良かったのに。
だってこれ以上は…食べることになってしまうから。
ページ数：32ページ</v>
      </c>
      <c r="W2360" s="14"/>
      <c r="X2360" s="14" t="str">
        <f>IFERROR(__xludf.DUMMYFUNCTION("""COMPUTED_VALUE"""),"有")</f>
        <v>有</v>
      </c>
      <c r="Y2360" s="8" t="str">
        <f>IFERROR(__xludf.DUMMYFUNCTION("""COMPUTED_VALUE"""),"P5まで")</f>
        <v>P5まで</v>
      </c>
      <c r="Z2360" s="7"/>
      <c r="AA2360" s="7"/>
      <c r="AB2360" s="7"/>
    </row>
    <row r="2361" ht="15.75" customHeight="1">
      <c r="A2361" s="76">
        <f>IFERROR(__xludf.DUMMYFUNCTION("""COMPUTED_VALUE"""),4406.0)</f>
        <v>4406</v>
      </c>
      <c r="B2361" s="69" t="str">
        <f>IFERROR(__xludf.DUMMYFUNCTION("""COMPUTED_VALUE"""),"確定")</f>
        <v>確定</v>
      </c>
      <c r="C2361" s="74">
        <f>IFERROR(__xludf.DUMMYFUNCTION("""COMPUTED_VALUE"""),45588.0)</f>
        <v>45588</v>
      </c>
      <c r="D2361" s="74">
        <f>IFERROR(__xludf.DUMMYFUNCTION("""COMPUTED_VALUE"""),45590.0)</f>
        <v>45590</v>
      </c>
      <c r="E2361" s="112">
        <f>IFERROR(__xludf.DUMMYFUNCTION("""COMPUTED_VALUE"""),307481.0)</f>
        <v>307481</v>
      </c>
      <c r="F2361" s="119" t="str">
        <f>IFERROR(__xludf.DUMMYFUNCTION("""COMPUTED_VALUE"""),"森下調は見られたい！")</f>
        <v>森下調は見られたい！</v>
      </c>
      <c r="G2361" s="69">
        <f>IFERROR(__xludf.DUMMYFUNCTION("""COMPUTED_VALUE"""),1.0)</f>
        <v>1</v>
      </c>
      <c r="H2361" s="69" t="str">
        <f>IFERROR(__xludf.DUMMYFUNCTION("""COMPUTED_VALUE"""),"おそまつ")</f>
        <v>おそまつ</v>
      </c>
      <c r="I2361" s="69" t="str">
        <f>IFERROR(__xludf.DUMMYFUNCTION("""COMPUTED_VALUE"""),"オトナ")</f>
        <v>オトナ</v>
      </c>
      <c r="J2361" s="69"/>
      <c r="K2361" s="69"/>
      <c r="L2361" s="69" t="str">
        <f>IFERROR(__xludf.DUMMYFUNCTION("""COMPUTED_VALUE"""),"ライトリーズン")</f>
        <v>ライトリーズン</v>
      </c>
      <c r="M2361" s="77">
        <f>IFERROR(__xludf.DUMMYFUNCTION("""COMPUTED_VALUE"""),45611.0)</f>
        <v>45611</v>
      </c>
      <c r="N2361" s="59">
        <f>IFERROR(__xludf.DUMMYFUNCTION("""COMPUTED_VALUE"""),45702.0)</f>
        <v>45702</v>
      </c>
      <c r="O2361" s="69"/>
      <c r="P2361" s="120" t="str">
        <f>IFERROR(__xludf.DUMMYFUNCTION("""COMPUTED_VALUE"""),"可")</f>
        <v>可</v>
      </c>
      <c r="Q2361" s="111" t="str">
        <f>IFERROR(__xludf.DUMMYFUNCTION("""COMPUTED_VALUE"""),"先行確定タイトルの校了済みデータ格納しております。&lt;BR&gt;可能であればぜひ出稿お願いします。")</f>
        <v>先行確定タイトルの校了済みデータ格納しております。&lt;BR&gt;可能であればぜひ出稿お願いします。</v>
      </c>
      <c r="R2361" s="69"/>
      <c r="S2361" s="69" t="str">
        <f>IFERROR(__xludf.DUMMYFUNCTION("""COMPUTED_VALUE"""),"20241023‗ライトリーズン‗森下調は見られたい！")</f>
        <v>20241023‗ライトリーズン‗森下調は見られたい！</v>
      </c>
      <c r="T2361" s="69" t="str">
        <f>IFERROR(__xludf.DUMMYFUNCTION("""COMPUTED_VALUE"""),"格納済み")</f>
        <v>格納済み</v>
      </c>
      <c r="U2361" s="15" t="str">
        <f>IFERROR(__xludf.DUMMYFUNCTION("""COMPUTED_VALUE"""),"(C)おそまつ/ライトリーズン")</f>
        <v>(C)おそまつ/ライトリーズン</v>
      </c>
      <c r="V2361" s="8" t="str">
        <f>IFERROR(__xludf.DUMMYFUNCTION("""COMPUTED_VALUE"""),"【本作品は同人誌です】
教え子「森下調」の自慰行為を偶然発見してしまい、それをネタに手伝いと称して様々なプレイをサポートする教師「宇野」。
ただセックスはせずサポートするだけ。
幾月が経ったころ、調の提案で学校内を緊縛でおさんぽすることに。
そして宇野は気付く、調しか見ていなかったことに。
ページ数：25ページ")</f>
        <v>【本作品は同人誌です】
教え子「森下調」の自慰行為を偶然発見してしまい、それをネタに手伝いと称して様々なプレイをサポートする教師「宇野」。
ただセックスはせずサポートするだけ。
幾月が経ったころ、調の提案で学校内を緊縛でおさんぽすることに。
そして宇野は気付く、調しか見ていなかったことに。
ページ数：25ページ</v>
      </c>
      <c r="W2361" s="14"/>
      <c r="X2361" s="14" t="str">
        <f>IFERROR(__xludf.DUMMYFUNCTION("""COMPUTED_VALUE"""),"有")</f>
        <v>有</v>
      </c>
      <c r="Y2361" s="8" t="str">
        <f>IFERROR(__xludf.DUMMYFUNCTION("""COMPUTED_VALUE"""),"P5まで")</f>
        <v>P5まで</v>
      </c>
      <c r="Z2361" s="7"/>
      <c r="AA2361" s="7"/>
      <c r="AB2361" s="7"/>
    </row>
    <row r="2362" ht="15.75" customHeight="1">
      <c r="A2362" s="76">
        <f>IFERROR(__xludf.DUMMYFUNCTION("""COMPUTED_VALUE"""),4407.0)</f>
        <v>4407</v>
      </c>
      <c r="B2362" s="69" t="str">
        <f>IFERROR(__xludf.DUMMYFUNCTION("""COMPUTED_VALUE"""),"確定")</f>
        <v>確定</v>
      </c>
      <c r="C2362" s="74">
        <f>IFERROR(__xludf.DUMMYFUNCTION("""COMPUTED_VALUE"""),45588.0)</f>
        <v>45588</v>
      </c>
      <c r="D2362" s="74">
        <f>IFERROR(__xludf.DUMMYFUNCTION("""COMPUTED_VALUE"""),45590.0)</f>
        <v>45590</v>
      </c>
      <c r="E2362" s="112">
        <f>IFERROR(__xludf.DUMMYFUNCTION("""COMPUTED_VALUE"""),307482.0)</f>
        <v>307482</v>
      </c>
      <c r="F2362" s="119" t="str">
        <f>IFERROR(__xludf.DUMMYFUNCTION("""COMPUTED_VALUE"""),"現代淫魔相手の3P研修は大変です！？")</f>
        <v>現代淫魔相手の3P研修は大変です！？</v>
      </c>
      <c r="G2362" s="69">
        <f>IFERROR(__xludf.DUMMYFUNCTION("""COMPUTED_VALUE"""),1.0)</f>
        <v>1</v>
      </c>
      <c r="H2362" s="69" t="str">
        <f>IFERROR(__xludf.DUMMYFUNCTION("""COMPUTED_VALUE"""),"七崎")</f>
        <v>七崎</v>
      </c>
      <c r="I2362" s="69" t="str">
        <f>IFERROR(__xludf.DUMMYFUNCTION("""COMPUTED_VALUE"""),"オトナ")</f>
        <v>オトナ</v>
      </c>
      <c r="J2362" s="69"/>
      <c r="K2362" s="69"/>
      <c r="L2362" s="69" t="str">
        <f>IFERROR(__xludf.DUMMYFUNCTION("""COMPUTED_VALUE"""),"ライトリーズン")</f>
        <v>ライトリーズン</v>
      </c>
      <c r="M2362" s="77">
        <f>IFERROR(__xludf.DUMMYFUNCTION("""COMPUTED_VALUE"""),45611.0)</f>
        <v>45611</v>
      </c>
      <c r="N2362" s="59">
        <f>IFERROR(__xludf.DUMMYFUNCTION("""COMPUTED_VALUE"""),45702.0)</f>
        <v>45702</v>
      </c>
      <c r="O2362" s="69"/>
      <c r="P2362" s="120" t="str">
        <f>IFERROR(__xludf.DUMMYFUNCTION("""COMPUTED_VALUE"""),"可")</f>
        <v>可</v>
      </c>
      <c r="Q2362" s="111" t="str">
        <f>IFERROR(__xludf.DUMMYFUNCTION("""COMPUTED_VALUE"""),"先行確定タイトルの校了済みデータ格納しております。&lt;BR&gt;可能であればぜひ出稿お願いします。")</f>
        <v>先行確定タイトルの校了済みデータ格納しております。&lt;BR&gt;可能であればぜひ出稿お願いします。</v>
      </c>
      <c r="R2362" s="69"/>
      <c r="S2362" s="69" t="str">
        <f>IFERROR(__xludf.DUMMYFUNCTION("""COMPUTED_VALUE"""),"20241023‗ライトリーズン‗現代淫魔相手の3P研修は大変です！？")</f>
        <v>20241023‗ライトリーズン‗現代淫魔相手の3P研修は大変です！？</v>
      </c>
      <c r="T2362" s="69" t="str">
        <f>IFERROR(__xludf.DUMMYFUNCTION("""COMPUTED_VALUE"""),"格納済み")</f>
        <v>格納済み</v>
      </c>
      <c r="U2362" s="15" t="str">
        <f>IFERROR(__xludf.DUMMYFUNCTION("""COMPUTED_VALUE"""),"(C)七崎/ライトリーズン")</f>
        <v>(C)七崎/ライトリーズン</v>
      </c>
      <c r="V2362" s="8" t="str">
        <f>IFERROR(__xludf.DUMMYFUNCTION("""COMPUTED_VALUE"""),"【本作品は同人誌です】
「こんなに簡単にイかされちゃうなんて…っ!」
淫魔たちは、かつては人間から恐れられていた存在だったが、今は人間社会にすっかり溶け込んで暮らしている。
そんな彼らがセラピストを務めているマッサージ店で、内勤の仕事を始めたばかりの沙良(さら)。
真面目に仕事に向きあい、店にも仕事にも馴染み始めたと思えた頃。
突如、とある「研修」を受けて欲しいと提案される。
仕事の延長であるはずの研修マッサージ。
ただしその内容は、店内ナンバーワンセラピストのロイと、新人セラピストのユ"&amp;"ウトとの淫魔2人を相手にした3Pだという。
期待と恥ずかしさを抱きながら、そんな研修を受けることになった沙良。
それは当然、事前に聞いていたマニュアル通りにはいかないようで、遥か昔に淫魔が恐れられていた理由を、身をもって知ることになる……。
●ページ数
本編45ページ")</f>
        <v>【本作品は同人誌です】
「こんなに簡単にイかされちゃうなんて…っ!」
淫魔たちは、かつては人間から恐れられていた存在だったが、今は人間社会にすっかり溶け込んで暮らしている。
そんな彼らがセラピストを務めているマッサージ店で、内勤の仕事を始めたばかりの沙良(さら)。
真面目に仕事に向きあい、店にも仕事にも馴染み始めたと思えた頃。
突如、とある「研修」を受けて欲しいと提案される。
仕事の延長であるはずの研修マッサージ。
ただしその内容は、店内ナンバーワンセラピストのロイと、新人セラピストのユウトとの淫魔2人を相手にした3Pだという。
期待と恥ずかしさを抱きながら、そんな研修を受けることになった沙良。
それは当然、事前に聞いていたマニュアル通りにはいかないようで、遥か昔に淫魔が恐れられていた理由を、身をもって知ることになる……。
●ページ数
本編45ページ</v>
      </c>
      <c r="W2362" s="14"/>
      <c r="X2362" s="14" t="str">
        <f>IFERROR(__xludf.DUMMYFUNCTION("""COMPUTED_VALUE"""),"有")</f>
        <v>有</v>
      </c>
      <c r="Y2362" s="8" t="str">
        <f>IFERROR(__xludf.DUMMYFUNCTION("""COMPUTED_VALUE"""),"P5まで")</f>
        <v>P5まで</v>
      </c>
      <c r="Z2362" s="7"/>
      <c r="AA2362" s="7"/>
      <c r="AB2362" s="7"/>
    </row>
    <row r="2363" ht="15.75" customHeight="1">
      <c r="A2363" s="76">
        <f>IFERROR(__xludf.DUMMYFUNCTION("""COMPUTED_VALUE"""),4418.0)</f>
        <v>4418</v>
      </c>
      <c r="B2363" s="69" t="str">
        <f>IFERROR(__xludf.DUMMYFUNCTION("""COMPUTED_VALUE"""),"確定")</f>
        <v>確定</v>
      </c>
      <c r="C2363" s="74">
        <f>IFERROR(__xludf.DUMMYFUNCTION("""COMPUTED_VALUE"""),45593.0)</f>
        <v>45593</v>
      </c>
      <c r="D2363" s="74">
        <f>IFERROR(__xludf.DUMMYFUNCTION("""COMPUTED_VALUE"""),45595.0)</f>
        <v>45595</v>
      </c>
      <c r="E2363" s="116">
        <f>IFERROR(__xludf.DUMMYFUNCTION("""COMPUTED_VALUE"""),294649.0)</f>
        <v>294649</v>
      </c>
      <c r="F2363" s="119" t="str">
        <f>IFERROR(__xludf.DUMMYFUNCTION("""COMPUTED_VALUE"""),"身代わり令嬢は人狼陛下の寵愛をうける")</f>
        <v>身代わり令嬢は人狼陛下の寵愛をうける</v>
      </c>
      <c r="G2363" s="69" t="str">
        <f>IFERROR(__xludf.DUMMYFUNCTION("""COMPUTED_VALUE"""),"1～3")</f>
        <v>1～3</v>
      </c>
      <c r="H2363" s="69" t="str">
        <f>IFERROR(__xludf.DUMMYFUNCTION("""COMPUTED_VALUE"""),"ミシュ,蛙田アメコ")</f>
        <v>ミシュ,蛙田アメコ</v>
      </c>
      <c r="I2363" s="69" t="str">
        <f>IFERROR(__xludf.DUMMYFUNCTION("""COMPUTED_VALUE"""),"少女")</f>
        <v>少女</v>
      </c>
      <c r="J2363" s="69"/>
      <c r="K2363" s="69"/>
      <c r="L2363" s="69" t="str">
        <f>IFERROR(__xludf.DUMMYFUNCTION("""COMPUTED_VALUE"""),"シーモアコミックス（トレモア）")</f>
        <v>シーモアコミックス（トレモア）</v>
      </c>
      <c r="M2363" s="23">
        <f>IFERROR(__xludf.DUMMYFUNCTION("""COMPUTED_VALUE"""),45632.0)</f>
        <v>45632</v>
      </c>
      <c r="N2363" s="59">
        <f>IFERROR(__xludf.DUMMYFUNCTION("""COMPUTED_VALUE"""),45785.0)</f>
        <v>45785</v>
      </c>
      <c r="O2363" s="69"/>
      <c r="P2363" s="114" t="str">
        <f>IFERROR(__xludf.DUMMYFUNCTION("""COMPUTED_VALUE"""),"可")</f>
        <v>可</v>
      </c>
      <c r="Q2363" s="111"/>
      <c r="R2363" s="69"/>
      <c r="S2363" s="69" t="str">
        <f>IFERROR(__xludf.DUMMYFUNCTION("""COMPUTED_VALUE"""),"20241028_シーモアコミックス_身代わり令嬢は人狼陛下の寵愛をうける")</f>
        <v>20241028_シーモアコミックス_身代わり令嬢は人狼陛下の寵愛をうける</v>
      </c>
      <c r="T2363" s="69" t="str">
        <f>IFERROR(__xludf.DUMMYFUNCTION("""COMPUTED_VALUE"""),"格納済み")</f>
        <v>格納済み</v>
      </c>
      <c r="U2363" s="15" t="str">
        <f>IFERROR(__xludf.DUMMYFUNCTION("""COMPUTED_VALUE"""),"© ミシュ/蛙田アメコ/シーモアコミックス")</f>
        <v>© ミシュ/蛙田アメコ/シーモアコミックス</v>
      </c>
      <c r="V2363" s="8" t="str">
        <f>IFERROR(__xludf.DUMMYFUNCTION("""COMPUTED_VALUE"""),"「俺の妃は、偽りのない女がいい──」義理の家族に虐げられ使用人同然の辺境貴族の養女ハイネは、忌み子である双子に産まれたことで捨てられた王女の片割れだった。ある晩、薬で眠らされて王宮に連れ戻されたハイネを待っていたのは、実の姉、ベルネリア王女だった。ベルネリアの身代わりとしてザハブ帝国の“人狼陛下”グエンの後宮に嫁ぐことになったハイネは、他人を信じず女嫌いなはずのグエンから珍しく興味を持たれて──！？")</f>
        <v>「俺の妃は、偽りのない女がいい──」義理の家族に虐げられ使用人同然の辺境貴族の養女ハイネは、忌み子である双子に産まれたことで捨てられた王女の片割れだった。ある晩、薬で眠らされて王宮に連れ戻されたハイネを待っていたのは、実の姉、ベルネリア王女だった。ベルネリアの身代わりとしてザハブ帝国の“人狼陛下”グエンの後宮に嫁ぐことになったハイネは、他人を信じず女嫌いなはずのグエンから珍しく興味を持たれて──！？</v>
      </c>
      <c r="W2363" s="14"/>
      <c r="X2363" s="14" t="str">
        <f>IFERROR(__xludf.DUMMYFUNCTION("""COMPUTED_VALUE"""),"有")</f>
        <v>有</v>
      </c>
      <c r="Y2363" s="8" t="str">
        <f>IFERROR(__xludf.DUMMYFUNCTION("""COMPUTED_VALUE"""),"2024/12/31まで1巻無料")</f>
        <v>2024/12/31まで1巻無料</v>
      </c>
      <c r="Z2363" s="7"/>
      <c r="AA2363" s="7"/>
      <c r="AB2363" s="7"/>
    </row>
    <row r="2364" ht="15.75" customHeight="1">
      <c r="A2364" s="76">
        <f>IFERROR(__xludf.DUMMYFUNCTION("""COMPUTED_VALUE"""),4419.0)</f>
        <v>4419</v>
      </c>
      <c r="B2364" s="69" t="str">
        <f>IFERROR(__xludf.DUMMYFUNCTION("""COMPUTED_VALUE"""),"確定")</f>
        <v>確定</v>
      </c>
      <c r="C2364" s="74">
        <f>IFERROR(__xludf.DUMMYFUNCTION("""COMPUTED_VALUE"""),45593.0)</f>
        <v>45593</v>
      </c>
      <c r="D2364" s="74">
        <f>IFERROR(__xludf.DUMMYFUNCTION("""COMPUTED_VALUE"""),45595.0)</f>
        <v>45595</v>
      </c>
      <c r="E2364" s="116">
        <f>IFERROR(__xludf.DUMMYFUNCTION("""COMPUTED_VALUE"""),290356.0)</f>
        <v>290356</v>
      </c>
      <c r="F2364" s="119" t="str">
        <f>IFERROR(__xludf.DUMMYFUNCTION("""COMPUTED_VALUE"""),"捨てられた侯爵令嬢は魂まで溺愛される")</f>
        <v>捨てられた侯爵令嬢は魂まで溺愛される</v>
      </c>
      <c r="G2364" s="69" t="str">
        <f>IFERROR(__xludf.DUMMYFUNCTION("""COMPUTED_VALUE"""),"1～3")</f>
        <v>1～3</v>
      </c>
      <c r="H2364" s="69" t="str">
        <f>IFERROR(__xludf.DUMMYFUNCTION("""COMPUTED_VALUE"""),"北神諒,林万里")</f>
        <v>北神諒,林万里</v>
      </c>
      <c r="I2364" s="69" t="str">
        <f>IFERROR(__xludf.DUMMYFUNCTION("""COMPUTED_VALUE"""),"少女")</f>
        <v>少女</v>
      </c>
      <c r="J2364" s="69"/>
      <c r="K2364" s="69"/>
      <c r="L2364" s="69" t="str">
        <f>IFERROR(__xludf.DUMMYFUNCTION("""COMPUTED_VALUE"""),"シーモアコミックス（トレモア）")</f>
        <v>シーモアコミックス（トレモア）</v>
      </c>
      <c r="M2364" s="23">
        <f>IFERROR(__xludf.DUMMYFUNCTION("""COMPUTED_VALUE"""),45632.0)</f>
        <v>45632</v>
      </c>
      <c r="N2364" s="59">
        <f>IFERROR(__xludf.DUMMYFUNCTION("""COMPUTED_VALUE"""),45785.0)</f>
        <v>45785</v>
      </c>
      <c r="O2364" s="69"/>
      <c r="P2364" s="114" t="str">
        <f>IFERROR(__xludf.DUMMYFUNCTION("""COMPUTED_VALUE"""),"可")</f>
        <v>可</v>
      </c>
      <c r="Q2364" s="111"/>
      <c r="R2364" s="69"/>
      <c r="S2364" s="69" t="str">
        <f>IFERROR(__xludf.DUMMYFUNCTION("""COMPUTED_VALUE"""),"20241028_シーモアコミックス_捨てられた侯爵令嬢は魂まで溺愛される")</f>
        <v>20241028_シーモアコミックス_捨てられた侯爵令嬢は魂まで溺愛される</v>
      </c>
      <c r="T2364" s="69" t="str">
        <f>IFERROR(__xludf.DUMMYFUNCTION("""COMPUTED_VALUE"""),"格納済み")</f>
        <v>格納済み</v>
      </c>
      <c r="U2364" s="15" t="str">
        <f>IFERROR(__xludf.DUMMYFUNCTION("""COMPUTED_VALUE"""),"© 北神諒/林万里/シーモアコミックス")</f>
        <v>© 北神諒/林万里/シーモアコミックス</v>
      </c>
      <c r="V2364" s="8" t="str">
        <f>IFERROR(__xludf.DUMMYFUNCTION("""COMPUTED_VALUE"""),"主人公のルチアは前妻の娘で侯爵家の中でも愛されずに育ってきた。唯一第二王子の婚約者として生きることだけでなんとか家の中での存在価値を保っていたが、第二王子は妹であるニーナの誘惑に負けてしまいルチアを裏切ってしまう。ニーナは妊娠し、結果ふたりの婚約が成立。ルチアが失意のどん底に落ちてしまったそんな時、王国で唯一の大公閣下がルチアの前に現れてーー？")</f>
        <v>主人公のルチアは前妻の娘で侯爵家の中でも愛されずに育ってきた。唯一第二王子の婚約者として生きることだけでなんとか家の中での存在価値を保っていたが、第二王子は妹であるニーナの誘惑に負けてしまいルチアを裏切ってしまう。ニーナは妊娠し、結果ふたりの婚約が成立。ルチアが失意のどん底に落ちてしまったそんな時、王国で唯一の大公閣下がルチアの前に現れてーー？</v>
      </c>
      <c r="W2364" s="14"/>
      <c r="X2364" s="14" t="str">
        <f>IFERROR(__xludf.DUMMYFUNCTION("""COMPUTED_VALUE"""),"有")</f>
        <v>有</v>
      </c>
      <c r="Y2364" s="8" t="str">
        <f>IFERROR(__xludf.DUMMYFUNCTION("""COMPUTED_VALUE"""),"2024/12/31まで1巻無料")</f>
        <v>2024/12/31まで1巻無料</v>
      </c>
      <c r="Z2364" s="7"/>
      <c r="AA2364" s="7"/>
      <c r="AB2364" s="7"/>
    </row>
    <row r="2365" ht="15.75" customHeight="1">
      <c r="A2365" s="76">
        <f>IFERROR(__xludf.DUMMYFUNCTION("""COMPUTED_VALUE"""),4420.0)</f>
        <v>4420</v>
      </c>
      <c r="B2365" s="69" t="str">
        <f>IFERROR(__xludf.DUMMYFUNCTION("""COMPUTED_VALUE"""),"確定")</f>
        <v>確定</v>
      </c>
      <c r="C2365" s="74">
        <f>IFERROR(__xludf.DUMMYFUNCTION("""COMPUTED_VALUE"""),45593.0)</f>
        <v>45593</v>
      </c>
      <c r="D2365" s="74">
        <f>IFERROR(__xludf.DUMMYFUNCTION("""COMPUTED_VALUE"""),45595.0)</f>
        <v>45595</v>
      </c>
      <c r="E2365" s="116">
        <f>IFERROR(__xludf.DUMMYFUNCTION("""COMPUTED_VALUE"""),291599.0)</f>
        <v>291599</v>
      </c>
      <c r="F2365" s="119" t="str">
        <f>IFERROR(__xludf.DUMMYFUNCTION("""COMPUTED_VALUE"""),"水神の許嫁")</f>
        <v>水神の許嫁</v>
      </c>
      <c r="G2365" s="69" t="str">
        <f>IFERROR(__xludf.DUMMYFUNCTION("""COMPUTED_VALUE"""),"1～3")</f>
        <v>1～3</v>
      </c>
      <c r="H2365" s="69" t="str">
        <f>IFERROR(__xludf.DUMMYFUNCTION("""COMPUTED_VALUE"""),"小日向ひまり,せあら里奈")</f>
        <v>小日向ひまり,せあら里奈</v>
      </c>
      <c r="I2365" s="69" t="str">
        <f>IFERROR(__xludf.DUMMYFUNCTION("""COMPUTED_VALUE"""),"少女")</f>
        <v>少女</v>
      </c>
      <c r="J2365" s="69"/>
      <c r="K2365" s="69"/>
      <c r="L2365" s="69" t="str">
        <f>IFERROR(__xludf.DUMMYFUNCTION("""COMPUTED_VALUE"""),"シーモアコミックス（トレモア）")</f>
        <v>シーモアコミックス（トレモア）</v>
      </c>
      <c r="M2365" s="23">
        <f>IFERROR(__xludf.DUMMYFUNCTION("""COMPUTED_VALUE"""),45632.0)</f>
        <v>45632</v>
      </c>
      <c r="N2365" s="59">
        <f>IFERROR(__xludf.DUMMYFUNCTION("""COMPUTED_VALUE"""),45785.0)</f>
        <v>45785</v>
      </c>
      <c r="O2365" s="69"/>
      <c r="P2365" s="114" t="str">
        <f>IFERROR(__xludf.DUMMYFUNCTION("""COMPUTED_VALUE"""),"可")</f>
        <v>可</v>
      </c>
      <c r="Q2365" s="111"/>
      <c r="R2365" s="69"/>
      <c r="S2365" s="69" t="str">
        <f>IFERROR(__xludf.DUMMYFUNCTION("""COMPUTED_VALUE"""),"20241028_シーモアコミックス_水神の許嫁")</f>
        <v>20241028_シーモアコミックス_水神の許嫁</v>
      </c>
      <c r="T2365" s="69" t="str">
        <f>IFERROR(__xludf.DUMMYFUNCTION("""COMPUTED_VALUE"""),"格納済み")</f>
        <v>格納済み</v>
      </c>
      <c r="U2365" s="15" t="str">
        <f>IFERROR(__xludf.DUMMYFUNCTION("""COMPUTED_VALUE"""),"© 小日向ひまり/せあら里奈/シーモアコミックス")</f>
        <v>© 小日向ひまり/せあら里奈/シーモアコミックス</v>
      </c>
      <c r="V2365" s="8" t="str">
        <f>IFERROR(__xludf.DUMMYFUNCTION("""COMPUTED_VALUE"""),"水神の力で繁栄し続ける花守家。その当主であった祖父が亡くなった後、相続人に選ばれたのは孤児である花香（はなか）だった。親戚中に蔑まれる中、唯一優しく接してくれるのは従兄弟で恋人の拓哉（たくや）のみ。辛い日々の中でも、拓哉が寄り添ってくれるだけで前を向ける――…。そう思っていたある日、花香は拓哉の裏切り行為を見てしまう。明かされる真実、絶望に打ちひしがれるそんな花香の目の前に現れたのは、夜に映える美しい人で…？")</f>
        <v>水神の力で繁栄し続ける花守家。その当主であった祖父が亡くなった後、相続人に選ばれたのは孤児である花香（はなか）だった。親戚中に蔑まれる中、唯一優しく接してくれるのは従兄弟で恋人の拓哉（たくや）のみ。辛い日々の中でも、拓哉が寄り添ってくれるだけで前を向ける――…。そう思っていたある日、花香は拓哉の裏切り行為を見てしまう。明かされる真実、絶望に打ちひしがれるそんな花香の目の前に現れたのは、夜に映える美しい人で…？</v>
      </c>
      <c r="W2365" s="14"/>
      <c r="X2365" s="14" t="str">
        <f>IFERROR(__xludf.DUMMYFUNCTION("""COMPUTED_VALUE"""),"有")</f>
        <v>有</v>
      </c>
      <c r="Y2365" s="8" t="str">
        <f>IFERROR(__xludf.DUMMYFUNCTION("""COMPUTED_VALUE"""),"2024/12/31まで1巻無料")</f>
        <v>2024/12/31まで1巻無料</v>
      </c>
      <c r="Z2365" s="7"/>
      <c r="AA2365" s="7"/>
      <c r="AB2365" s="7"/>
    </row>
    <row r="2366" ht="15.75" customHeight="1">
      <c r="A2366" s="76">
        <f>IFERROR(__xludf.DUMMYFUNCTION("""COMPUTED_VALUE"""),4422.0)</f>
        <v>4422</v>
      </c>
      <c r="B2366" s="69" t="str">
        <f>IFERROR(__xludf.DUMMYFUNCTION("""COMPUTED_VALUE"""),"確定")</f>
        <v>確定</v>
      </c>
      <c r="C2366" s="74">
        <f>IFERROR(__xludf.DUMMYFUNCTION("""COMPUTED_VALUE"""),45593.0)</f>
        <v>45593</v>
      </c>
      <c r="D2366" s="74">
        <f>IFERROR(__xludf.DUMMYFUNCTION("""COMPUTED_VALUE"""),45595.0)</f>
        <v>45595</v>
      </c>
      <c r="E2366" s="116">
        <f>IFERROR(__xludf.DUMMYFUNCTION("""COMPUTED_VALUE"""),290563.0)</f>
        <v>290563</v>
      </c>
      <c r="F2366" s="119" t="str">
        <f>IFERROR(__xludf.DUMMYFUNCTION("""COMPUTED_VALUE"""),"偽聖女の妹にすべてを奪われた私が本当の聖女でした")</f>
        <v>偽聖女の妹にすべてを奪われた私が本当の聖女でした</v>
      </c>
      <c r="G2366" s="69" t="str">
        <f>IFERROR(__xludf.DUMMYFUNCTION("""COMPUTED_VALUE"""),"1～3")</f>
        <v>1～3</v>
      </c>
      <c r="H2366" s="69" t="str">
        <f>IFERROR(__xludf.DUMMYFUNCTION("""COMPUTED_VALUE"""),"櫻井亜矢子,藍上イオタ")</f>
        <v>櫻井亜矢子,藍上イオタ</v>
      </c>
      <c r="I2366" s="69" t="str">
        <f>IFERROR(__xludf.DUMMYFUNCTION("""COMPUTED_VALUE"""),"少女")</f>
        <v>少女</v>
      </c>
      <c r="J2366" s="69"/>
      <c r="K2366" s="69"/>
      <c r="L2366" s="69" t="str">
        <f>IFERROR(__xludf.DUMMYFUNCTION("""COMPUTED_VALUE"""),"シーモアコミックス（トレモア）")</f>
        <v>シーモアコミックス（トレモア）</v>
      </c>
      <c r="M2366" s="23">
        <f>IFERROR(__xludf.DUMMYFUNCTION("""COMPUTED_VALUE"""),45632.0)</f>
        <v>45632</v>
      </c>
      <c r="N2366" s="59">
        <f>IFERROR(__xludf.DUMMYFUNCTION("""COMPUTED_VALUE"""),45785.0)</f>
        <v>45785</v>
      </c>
      <c r="O2366" s="69"/>
      <c r="P2366" s="114" t="str">
        <f>IFERROR(__xludf.DUMMYFUNCTION("""COMPUTED_VALUE"""),"可")</f>
        <v>可</v>
      </c>
      <c r="Q2366" s="111"/>
      <c r="R2366" s="69"/>
      <c r="S2366" s="69" t="str">
        <f>IFERROR(__xludf.DUMMYFUNCTION("""COMPUTED_VALUE"""),"20241028_シーモアコミックス_偽聖女の妹にすべてを奪われた私が本当の聖女でした")</f>
        <v>20241028_シーモアコミックス_偽聖女の妹にすべてを奪われた私が本当の聖女でした</v>
      </c>
      <c r="T2366" s="69" t="str">
        <f>IFERROR(__xludf.DUMMYFUNCTION("""COMPUTED_VALUE"""),"格納済み")</f>
        <v>格納済み</v>
      </c>
      <c r="U2366" s="15" t="str">
        <f>IFERROR(__xludf.DUMMYFUNCTION("""COMPUTED_VALUE"""),"© 櫻井亜矢子/藍上イオタ/シーモアコミックス")</f>
        <v>© 櫻井亜矢子/藍上イオタ/シーモアコミックス</v>
      </c>
      <c r="V2366" s="8" t="str">
        <f>IFERROR(__xludf.DUMMYFUNCTION("""COMPUTED_VALUE"""),"夢魔を退治できる夢解きの聖女として生まれた主人公アディヤ。しかし夢魔と結託した妹に力を奪われ、周囲に「能無し」と侮られている。巧みな妹の罠にはまり、周囲や家族からも虐げられ、婚約者には捨てられ、すべてを奪われる。だが小さいころ、夢の中で助けた男の子が帝国の皇子でーー？")</f>
        <v>夢魔を退治できる夢解きの聖女として生まれた主人公アディヤ。しかし夢魔と結託した妹に力を奪われ、周囲に「能無し」と侮られている。巧みな妹の罠にはまり、周囲や家族からも虐げられ、婚約者には捨てられ、すべてを奪われる。だが小さいころ、夢の中で助けた男の子が帝国の皇子でーー？</v>
      </c>
      <c r="W2366" s="14"/>
      <c r="X2366" s="14" t="str">
        <f>IFERROR(__xludf.DUMMYFUNCTION("""COMPUTED_VALUE"""),"有")</f>
        <v>有</v>
      </c>
      <c r="Y2366" s="8" t="str">
        <f>IFERROR(__xludf.DUMMYFUNCTION("""COMPUTED_VALUE"""),"2024/12/31まで1巻無料")</f>
        <v>2024/12/31まで1巻無料</v>
      </c>
      <c r="Z2366" s="7"/>
      <c r="AA2366" s="7"/>
      <c r="AB2366" s="7"/>
    </row>
    <row r="2367" ht="15.75" customHeight="1">
      <c r="A2367" s="76">
        <f>IFERROR(__xludf.DUMMYFUNCTION("""COMPUTED_VALUE"""),4436.0)</f>
        <v>4436</v>
      </c>
      <c r="B2367" s="69" t="str">
        <f>IFERROR(__xludf.DUMMYFUNCTION("""COMPUTED_VALUE"""),"確定")</f>
        <v>確定</v>
      </c>
      <c r="C2367" s="74">
        <f>IFERROR(__xludf.DUMMYFUNCTION("""COMPUTED_VALUE"""),45595.0)</f>
        <v>45595</v>
      </c>
      <c r="D2367" s="74">
        <f>IFERROR(__xludf.DUMMYFUNCTION("""COMPUTED_VALUE"""),45595.0)</f>
        <v>45595</v>
      </c>
      <c r="E2367" s="112">
        <f>IFERROR(__xludf.DUMMYFUNCTION("""COMPUTED_VALUE"""),306029.0)</f>
        <v>306029</v>
      </c>
      <c r="F2367" s="119" t="str">
        <f>IFERROR(__xludf.DUMMYFUNCTION("""COMPUTED_VALUE"""),"愛しすぎくらいがちょうどいい")</f>
        <v>愛しすぎくらいがちょうどいい</v>
      </c>
      <c r="G2367" s="69" t="str">
        <f>IFERROR(__xludf.DUMMYFUNCTION("""COMPUTED_VALUE"""),"1～3")</f>
        <v>1～3</v>
      </c>
      <c r="H2367" s="69" t="str">
        <f>IFERROR(__xludf.DUMMYFUNCTION("""COMPUTED_VALUE"""),"白石添")</f>
        <v>白石添</v>
      </c>
      <c r="I2367" s="69" t="str">
        <f>IFERROR(__xludf.DUMMYFUNCTION("""COMPUTED_VALUE"""),"BL")</f>
        <v>BL</v>
      </c>
      <c r="J2367" s="69"/>
      <c r="K2367" s="69"/>
      <c r="L2367" s="69" t="str">
        <f>IFERROR(__xludf.DUMMYFUNCTION("""COMPUTED_VALUE"""),"パチカ")</f>
        <v>パチカ</v>
      </c>
      <c r="M2367" s="77">
        <f>IFERROR(__xludf.DUMMYFUNCTION("""COMPUTED_VALUE"""),45611.0)</f>
        <v>45611</v>
      </c>
      <c r="N2367" s="77">
        <f>IFERROR(__xludf.DUMMYFUNCTION("""COMPUTED_VALUE"""),45639.0)</f>
        <v>45639</v>
      </c>
      <c r="O2367" s="69"/>
      <c r="P2367" s="120" t="str">
        <f>IFERROR(__xludf.DUMMYFUNCTION("""COMPUTED_VALUE"""),"可")</f>
        <v>可</v>
      </c>
      <c r="Q2367" s="111" t="str">
        <f>IFERROR(__xludf.DUMMYFUNCTION("""COMPUTED_VALUE"""),"コミックフェスタとの2社先行です。")</f>
        <v>コミックフェスタとの2社先行です。</v>
      </c>
      <c r="R2367" s="69"/>
      <c r="S2367" s="69" t="str">
        <f>IFERROR(__xludf.DUMMYFUNCTION("""COMPUTED_VALUE"""),"20241030_ウェイブ_愛しすぎくらいがちょうどいい")</f>
        <v>20241030_ウェイブ_愛しすぎくらいがちょうどいい</v>
      </c>
      <c r="T2367" s="69" t="str">
        <f>IFERROR(__xludf.DUMMYFUNCTION("""COMPUTED_VALUE"""),"格納済み")</f>
        <v>格納済み</v>
      </c>
      <c r="U2367" s="15" t="str">
        <f>IFERROR(__xludf.DUMMYFUNCTION("""COMPUTED_VALUE"""),"⒞白石添/パチカ")</f>
        <v>⒞白石添/パチカ</v>
      </c>
      <c r="V2367" s="8" t="str">
        <f>IFERROR(__xludf.DUMMYFUNCTION("""COMPUTED_VALUE"""),"「愛が重い同士、付き合わない？」溺愛ワンコ攻×ほだされ健気受の激愛カップル誕生！？愛が重すぎるゆえに振られ続けてきた大学生・恭。悩んでいたら、恋愛観がそっくりな同級生・蓮と出会う。週5でデート、ハグしながら就寝など、数々の激重エピソードを話してみると「俺らが付き合ったら、愛し合いすぎて溺れちゃうね」なんて甘く返されてしまう。弾む会話にお酒も進み、気づいたら――家でキスしあってた!?今までしたことない優しい口づけに思わず涙腺が緩むと、「愛される気持ちよさ教えてあげたい」と全身を愛でられて―…")</f>
        <v>「愛が重い同士、付き合わない？」溺愛ワンコ攻×ほだされ健気受の激愛カップル誕生！？愛が重すぎるゆえに振られ続けてきた大学生・恭。悩んでいたら、恋愛観がそっくりな同級生・蓮と出会う。週5でデート、ハグしながら就寝など、数々の激重エピソードを話してみると「俺らが付き合ったら、愛し合いすぎて溺れちゃうね」なんて甘く返されてしまう。弾む会話にお酒も進み、気づいたら――家でキスしあってた!?今までしたことない優しい口づけに思わず涙腺が緩むと、「愛される気持ちよさ教えてあげたい」と全身を愛でられて―…</v>
      </c>
      <c r="W2367" s="14"/>
      <c r="X2367" s="14" t="str">
        <f>IFERROR(__xludf.DUMMYFUNCTION("""COMPUTED_VALUE"""),"有")</f>
        <v>有</v>
      </c>
      <c r="Y2367" s="8" t="str">
        <f>IFERROR(__xludf.DUMMYFUNCTION("""COMPUTED_VALUE"""),"2024/11/28まで1巻無料")</f>
        <v>2024/11/28まで1巻無料</v>
      </c>
      <c r="Z2367" s="7"/>
      <c r="AA2367" s="7"/>
      <c r="AB2367" s="7"/>
    </row>
    <row r="2368" ht="15.75" customHeight="1">
      <c r="A2368" s="76">
        <f>IFERROR(__xludf.DUMMYFUNCTION("""COMPUTED_VALUE"""),3820.0)</f>
        <v>3820</v>
      </c>
      <c r="B2368" s="108" t="str">
        <f>IFERROR(__xludf.DUMMYFUNCTION("""COMPUTED_VALUE"""),"確定")</f>
        <v>確定</v>
      </c>
      <c r="C2368" s="74">
        <f>IFERROR(__xludf.DUMMYFUNCTION("""COMPUTED_VALUE"""),45492.0)</f>
        <v>45492</v>
      </c>
      <c r="D2368" s="74">
        <f>IFERROR(__xludf.DUMMYFUNCTION("""COMPUTED_VALUE"""),45601.0)</f>
        <v>45601</v>
      </c>
      <c r="E2368" s="112">
        <f>IFERROR(__xludf.DUMMYFUNCTION("""COMPUTED_VALUE"""),308507.0)</f>
        <v>308507</v>
      </c>
      <c r="F2368" s="112" t="str">
        <f>IFERROR(__xludf.DUMMYFUNCTION("""COMPUTED_VALUE"""),"ベル・プペーのスパダリ婚約～「好みじゃない」と言われた人形姫、我慢をやめたら皇子がデレデレになった。実に愛い！～（コミック）【分冊版】")</f>
        <v>ベル・プペーのスパダリ婚約～「好みじゃない」と言われた人形姫、我慢をやめたら皇子がデレデレになった。実に愛い！～（コミック）【分冊版】</v>
      </c>
      <c r="G2368" s="79" t="str">
        <f>IFERROR(__xludf.DUMMYFUNCTION("""COMPUTED_VALUE"""),"1～5")</f>
        <v>1～5</v>
      </c>
      <c r="H2368" s="108" t="str">
        <f>IFERROR(__xludf.DUMMYFUNCTION("""COMPUTED_VALUE"""),"原作：朝霧あさき 原作イラスト・漫画：セレン")</f>
        <v>原作：朝霧あさき 原作イラスト・漫画：セレン</v>
      </c>
      <c r="I2368" s="113" t="str">
        <f>IFERROR(__xludf.DUMMYFUNCTION("""COMPUTED_VALUE"""),"女性")</f>
        <v>女性</v>
      </c>
      <c r="J2368" s="108"/>
      <c r="K2368" s="108"/>
      <c r="L2368" s="108" t="str">
        <f>IFERROR(__xludf.DUMMYFUNCTION("""COMPUTED_VALUE"""),"スクウェア・エニックス")</f>
        <v>スクウェア・エニックス</v>
      </c>
      <c r="M2368" s="23">
        <f>IFERROR(__xludf.DUMMYFUNCTION("""COMPUTED_VALUE"""),45627.0)</f>
        <v>45627</v>
      </c>
      <c r="N2368" s="59">
        <f>IFERROR(__xludf.DUMMYFUNCTION("""COMPUTED_VALUE"""),45688.0)</f>
        <v>45688</v>
      </c>
      <c r="O2368" s="108"/>
      <c r="P2368" s="127" t="str">
        <f>IFERROR(__xludf.DUMMYFUNCTION("""COMPUTED_VALUE"""),"否")</f>
        <v>否</v>
      </c>
      <c r="Q2368" s="108" t="str">
        <f>IFERROR(__xludf.DUMMYFUNCTION("""COMPUTED_VALUE"""),"＜連載版の分冊版分割位置＞
分冊版１話　1-32p　※無料CP実施
分冊版２話　33-69p
分冊版３話　70-102p
分冊版４話　103-124p
分冊版５話　125-158p
＜初回配信スケジュール＞
分冊版1-5話　2024/12/1先行配信　2025/2/1他書店配信")</f>
        <v>＜連載版の分冊版分割位置＞
分冊版１話　1-32p　※無料CP実施
分冊版２話　33-69p
分冊版３話　70-102p
分冊版４話　103-124p
分冊版５話　125-158p
＜初回配信スケジュール＞
分冊版1-5話　2024/12/1先行配信　2025/2/1他書店配信</v>
      </c>
      <c r="R2368" s="108" t="str">
        <f>IFERROR(__xludf.DUMMYFUNCTION("""COMPUTED_VALUE"""),"広告コミットOK（7/24）")</f>
        <v>広告コミットOK（7/24）</v>
      </c>
      <c r="S2368" s="108" t="str">
        <f>IFERROR(__xludf.DUMMYFUNCTION("""COMPUTED_VALUE"""),"20241031_SQEX_ベル・プペーのスパダリ婚約～「好みじゃない」と言われた人形姫、我慢をやめたら皇子がデレデレになった。実に愛い！～（コミック）")</f>
        <v>20241031_SQEX_ベル・プペーのスパダリ婚約～「好みじゃない」と言われた人形姫、我慢をやめたら皇子がデレデレになった。実に愛い！～（コミック）</v>
      </c>
      <c r="T2368" s="108" t="str">
        <f>IFERROR(__xludf.DUMMYFUNCTION("""COMPUTED_VALUE"""),"格納済み")</f>
        <v>格納済み</v>
      </c>
      <c r="U2368" s="15" t="str">
        <f>IFERROR(__xludf.DUMMYFUNCTION("""COMPUTED_VALUE"""),"(C)Asaki Asagiri/SQUARE ENIX (C)selen/SQUARE ENIX")</f>
        <v>(C)Asaki Asagiri/SQUARE ENIX (C)selen/SQUARE ENIX</v>
      </c>
      <c r="V2368" s="8" t="str">
        <f>IFERROR(__xludf.DUMMYFUNCTION("""COMPUTED_VALUE"""),"【『どうせ捨てられるのなら、最後に好きにさせていただきます』のセレンが贈る、”逆・溺愛”ラブストーリー！】
『美しい人形（ベル・プペー）』のあだ名を持つ、公爵令嬢レティシア。儚げな容姿とは裏腹に、その本性は包容力と豪胆さを兼ね備えた屈指のスパダリであった。そんな彼女が、素行に難ありと噂される第二皇子ジルベールと婚約することになり――。無謬のスパダリ令嬢と、孤独で不器用な呪われし赤目の皇子。運命の二人が互いを想い添い遂げる、”逆・溺愛”ラブストーリー。
※この商品は「ベル・プペーのスパダリ婚約～「好みじ"&amp;"ゃない」と言われた人形姫、我慢をやめたら皇子がデレデレになった。実に愛い！～（コミック）」を1話ごとに分冊したものです。
(C)2025 Asaki Asagiri (C)2025 selen")</f>
        <v>【『どうせ捨てられるのなら、最後に好きにさせていただきます』のセレンが贈る、”逆・溺愛”ラブストーリー！】
『美しい人形（ベル・プペー）』のあだ名を持つ、公爵令嬢レティシア。儚げな容姿とは裏腹に、その本性は包容力と豪胆さを兼ね備えた屈指のスパダリであった。そんな彼女が、素行に難ありと噂される第二皇子ジルベールと婚約することになり――。無謬のスパダリ令嬢と、孤独で不器用な呪われし赤目の皇子。運命の二人が互いを想い添い遂げる、”逆・溺愛”ラブストーリー。
※この商品は「ベル・プペーのスパダリ婚約～「好みじゃない」と言われた人形姫、我慢をやめたら皇子がデレデレになった。実に愛い！～（コミック）」を1話ごとに分冊したものです。
(C)2025 Asaki Asagiri (C)2025 selen</v>
      </c>
      <c r="W2368" s="14"/>
      <c r="X2368" s="14" t="str">
        <f>IFERROR(__xludf.DUMMYFUNCTION("""COMPUTED_VALUE"""),"有")</f>
        <v>有</v>
      </c>
      <c r="Y2368" s="8" t="str">
        <f>IFERROR(__xludf.DUMMYFUNCTION("""COMPUTED_VALUE"""),"2025/1/31まで1巻無料")</f>
        <v>2025/1/31まで1巻無料</v>
      </c>
      <c r="Z2368" s="7"/>
      <c r="AA2368" s="7"/>
      <c r="AB2368" s="7"/>
    </row>
    <row r="2369" ht="15.75" customHeight="1">
      <c r="A2369" s="76">
        <f>IFERROR(__xludf.DUMMYFUNCTION("""COMPUTED_VALUE"""),4006.0)</f>
        <v>4006</v>
      </c>
      <c r="B2369" s="108" t="str">
        <f>IFERROR(__xludf.DUMMYFUNCTION("""COMPUTED_VALUE"""),"確定")</f>
        <v>確定</v>
      </c>
      <c r="C2369" s="74">
        <f>IFERROR(__xludf.DUMMYFUNCTION("""COMPUTED_VALUE"""),45524.0)</f>
        <v>45524</v>
      </c>
      <c r="D2369" s="74">
        <f>IFERROR(__xludf.DUMMYFUNCTION("""COMPUTED_VALUE"""),45597.0)</f>
        <v>45597</v>
      </c>
      <c r="E2369" s="112">
        <f>IFERROR(__xludf.DUMMYFUNCTION("""COMPUTED_VALUE"""),308159.0)</f>
        <v>308159</v>
      </c>
      <c r="F2369" s="112" t="str">
        <f>IFERROR(__xludf.DUMMYFUNCTION("""COMPUTED_VALUE"""),"敏感にされた私のカラダ～深夜に忍び寄る隣人からの睡眠開発～")</f>
        <v>敏感にされた私のカラダ～深夜に忍び寄る隣人からの睡眠開発～</v>
      </c>
      <c r="G2369" s="69" t="str">
        <f>IFERROR(__xludf.DUMMYFUNCTION("""COMPUTED_VALUE"""),"1～3")</f>
        <v>1～3</v>
      </c>
      <c r="H2369" s="108" t="str">
        <f>IFERROR(__xludf.DUMMYFUNCTION("""COMPUTED_VALUE"""),"林田花")</f>
        <v>林田花</v>
      </c>
      <c r="I2369" s="108" t="str">
        <f>IFERROR(__xludf.DUMMYFUNCTION("""COMPUTED_VALUE"""),"オトナ")</f>
        <v>オトナ</v>
      </c>
      <c r="J2369" s="108"/>
      <c r="K2369" s="108"/>
      <c r="L2369" s="108" t="str">
        <f>IFERROR(__xludf.DUMMYFUNCTION("""COMPUTED_VALUE"""),"DEEPER-ZERO")</f>
        <v>DEEPER-ZERO</v>
      </c>
      <c r="M2369" s="115">
        <f>IFERROR(__xludf.DUMMYFUNCTION("""COMPUTED_VALUE"""),45626.0)</f>
        <v>45626</v>
      </c>
      <c r="N2369" s="59">
        <f>IFERROR(__xludf.DUMMYFUNCTION("""COMPUTED_VALUE"""),45681.0)</f>
        <v>45681</v>
      </c>
      <c r="O2369" s="108"/>
      <c r="P2369" s="110" t="str">
        <f>IFERROR(__xludf.DUMMYFUNCTION("""COMPUTED_VALUE"""),"可")</f>
        <v>可</v>
      </c>
      <c r="Q2369" s="108" t="str">
        <f>IFERROR(__xludf.DUMMYFUNCTION("""COMPUTED_VALUE"""),"レーベル名：もえスタビースト&lt;BR&gt;がるまに同人フロアで8000DL越えの人気同人作品。&lt;BR&gt;作品内容的にTLフロア、オトナフロア両方のユーザーにリーチできるかなと推察しており、弊社既存2レーベルからそれぞれのレギュレーション版を展開しようと考えております！&lt;BR&gt;やや特殊な案件となり恐縮ですが、何卒よろしくお願いいたします。")</f>
        <v>レーベル名：もえスタビースト&lt;BR&gt;がるまに同人フロアで8000DL越えの人気同人作品。&lt;BR&gt;作品内容的にTLフロア、オトナフロア両方のユーザーにリーチできるかなと推察しており、弊社既存2レーベルからそれぞれのレギュレーション版を展開しようと考えております！&lt;BR&gt;やや特殊な案件となり恐縮ですが、何卒よろしくお願いいたします。</v>
      </c>
      <c r="R2369" s="108" t="str">
        <f>IFERROR(__xludf.DUMMYFUNCTION("""COMPUTED_VALUE"""),"広告コミットOK(8/27)")</f>
        <v>広告コミットOK(8/27)</v>
      </c>
      <c r="S2369" s="108" t="str">
        <f>IFERROR(__xludf.DUMMYFUNCTION("""COMPUTED_VALUE"""),"20241031_DEEPER-ZERO_敏感にされた私のカラダ")</f>
        <v>20241031_DEEPER-ZERO_敏感にされた私のカラダ</v>
      </c>
      <c r="T2369" s="108" t="str">
        <f>IFERROR(__xludf.DUMMYFUNCTION("""COMPUTED_VALUE"""),"格納済み")</f>
        <v>格納済み</v>
      </c>
      <c r="U2369" s="15" t="str">
        <f>IFERROR(__xludf.DUMMYFUNCTION("""COMPUTED_VALUE"""),"©林田花/DEEPER-ZERO")</f>
        <v>©林田花/DEEPER-ZERO</v>
      </c>
      <c r="V2369" s="8" t="str">
        <f>IFERROR(__xludf.DUMMYFUNCTION("""COMPUTED_VALUE"""),"「パンツ越しにク〇触っているだけでイっちゃった？」寝ている無防備で敏感なカラダ…熱く濡れたク〇をつままれたら…ダメっ気持ちいい、熟睡しているのに一晩中イキまくり!?　――おっとりとした性格のＯＬのまゆは、夜な夜な見知らぬ男性の逞しいチ〇コに気持ち良くされる夢を見て困っていた。毎朝、濡れ火照った自分のカラダを慰めるためにオナニーをして会社に遅れることもあって、どうにかしなくちゃ…と悩む日々。だけど、ここ最近、隣の家に住む親切なゆうまさんと出勤が一緒になることもあって癒される…今日も笑顔が爽やか♪　今日こそは"&amp;"変な夢を見ないで、ゆっくり眠りたいな。だけど、いつも急に睡魔に襲われるのは…なんでだろう？")</f>
        <v>「パンツ越しにク〇触っているだけでイっちゃった？」寝ている無防備で敏感なカラダ…熱く濡れたク〇をつままれたら…ダメっ気持ちいい、熟睡しているのに一晩中イキまくり!?　――おっとりとした性格のＯＬのまゆは、夜な夜な見知らぬ男性の逞しいチ〇コに気持ち良くされる夢を見て困っていた。毎朝、濡れ火照った自分のカラダを慰めるためにオナニーをして会社に遅れることもあって、どうにかしなくちゃ…と悩む日々。だけど、ここ最近、隣の家に住む親切なゆうまさんと出勤が一緒になることもあって癒される…今日も笑顔が爽やか♪　今日こそは変な夢を見ないで、ゆっくり眠りたいな。だけど、いつも急に睡魔に襲われるのは…なんでだろう？</v>
      </c>
      <c r="W2369" s="14"/>
      <c r="X2369" s="14" t="str">
        <f>IFERROR(__xludf.DUMMYFUNCTION("""COMPUTED_VALUE"""),"有")</f>
        <v>有</v>
      </c>
      <c r="Y2369" s="8" t="str">
        <f>IFERROR(__xludf.DUMMYFUNCTION("""COMPUTED_VALUE"""),"2024/12/30まで1巻無料")</f>
        <v>2024/12/30まで1巻無料</v>
      </c>
      <c r="Z2369" s="7"/>
      <c r="AA2369" s="7"/>
      <c r="AB2369" s="7"/>
    </row>
    <row r="2370" ht="15.75" customHeight="1">
      <c r="A2370" s="76">
        <f>IFERROR(__xludf.DUMMYFUNCTION("""COMPUTED_VALUE"""),4094.0)</f>
        <v>4094</v>
      </c>
      <c r="B2370" s="108" t="str">
        <f>IFERROR(__xludf.DUMMYFUNCTION("""COMPUTED_VALUE"""),"確定")</f>
        <v>確定</v>
      </c>
      <c r="C2370" s="74">
        <f>IFERROR(__xludf.DUMMYFUNCTION("""COMPUTED_VALUE"""),45540.0)</f>
        <v>45540</v>
      </c>
      <c r="D2370" s="74">
        <f>IFERROR(__xludf.DUMMYFUNCTION("""COMPUTED_VALUE"""),45602.0)</f>
        <v>45602</v>
      </c>
      <c r="E2370" s="112">
        <f>IFERROR(__xludf.DUMMYFUNCTION("""COMPUTED_VALUE"""),303104.0)</f>
        <v>303104</v>
      </c>
      <c r="F2370" s="112" t="str">
        <f>IFERROR(__xludf.DUMMYFUNCTION("""COMPUTED_VALUE"""),"暴君プレイラウンド")</f>
        <v>暴君プレイラウンド</v>
      </c>
      <c r="G2370" s="79" t="str">
        <f>IFERROR(__xludf.DUMMYFUNCTION("""COMPUTED_VALUE"""),"1～2")</f>
        <v>1～2</v>
      </c>
      <c r="H2370" s="108" t="str">
        <f>IFERROR(__xludf.DUMMYFUNCTION("""COMPUTED_VALUE"""),"もものき")</f>
        <v>もものき</v>
      </c>
      <c r="I2370" s="108" t="str">
        <f>IFERROR(__xludf.DUMMYFUNCTION("""COMPUTED_VALUE"""),"BL")</f>
        <v>BL</v>
      </c>
      <c r="J2370" s="108"/>
      <c r="K2370" s="108"/>
      <c r="L2370" s="108" t="str">
        <f>IFERROR(__xludf.DUMMYFUNCTION("""COMPUTED_VALUE"""),"東京漫画社")</f>
        <v>東京漫画社</v>
      </c>
      <c r="M2370" s="115">
        <f>IFERROR(__xludf.DUMMYFUNCTION("""COMPUTED_VALUE"""),45626.0)</f>
        <v>45626</v>
      </c>
      <c r="N2370" s="59">
        <f>IFERROR(__xludf.DUMMYFUNCTION("""COMPUTED_VALUE"""),45687.0)</f>
        <v>45687</v>
      </c>
      <c r="O2370" s="108"/>
      <c r="P2370" s="110" t="str">
        <f>IFERROR(__xludf.DUMMYFUNCTION("""COMPUTED_VALUE"""),"可")</f>
        <v>可</v>
      </c>
      <c r="Q2370" s="108" t="str">
        <f>IFERROR(__xludf.DUMMYFUNCTION("""COMPUTED_VALUE"""),"1話の試読増量、購入20%値引きを検討予定&lt;BR&gt;★校了済みデータ格納（11/5）実際の配信データはMDにて修正かけるので局部の修正が実際の配信より消しが薄くなっています")</f>
        <v>1話の試読増量、購入20%値引きを検討予定&lt;BR&gt;★校了済みデータ格納（11/5）実際の配信データはMDにて修正かけるので局部の修正が実際の配信より消しが薄くなっています</v>
      </c>
      <c r="R2370" s="108" t="str">
        <f>IFERROR(__xludf.DUMMYFUNCTION("""COMPUTED_VALUE"""),"広告コミットOK（9/9）")</f>
        <v>広告コミットOK（9/9）</v>
      </c>
      <c r="S2370" s="108" t="str">
        <f>IFERROR(__xludf.DUMMYFUNCTION("""COMPUTED_VALUE"""),"20241105_東京漫画社‗暴君プレイラウンド")</f>
        <v>20241105_東京漫画社‗暴君プレイラウンド</v>
      </c>
      <c r="T2370" s="108" t="str">
        <f>IFERROR(__xludf.DUMMYFUNCTION("""COMPUTED_VALUE"""),"格納済み")</f>
        <v>格納済み</v>
      </c>
      <c r="U2370" s="15" t="str">
        <f>IFERROR(__xludf.DUMMYFUNCTION("""COMPUTED_VALUE"""),"©もものき/東京漫画社")</f>
        <v>©もものき/東京漫画社</v>
      </c>
      <c r="V2370" s="8" t="str">
        <f>IFERROR(__xludf.DUMMYFUNCTION("""COMPUTED_VALUE"""),"無敵の総合格闘技王者・辰己は気に食わなかった。ジムに突然現れた高校生・皇に対戦で負けた上に、辰己に憧れていると言うのだ。悔しさのあまり家で嘆いていると、なぜか皇がそこにいて!?
さらにひょんなことからエッチなことをされてしまい…!?
ナマイキ高校生に翻弄される、過激バトルラブ!!
『Fig vol.69』に収録されているものと同じ内容になります。")</f>
        <v>無敵の総合格闘技王者・辰己は気に食わなかった。ジムに突然現れた高校生・皇に対戦で負けた上に、辰己に憧れていると言うのだ。悔しさのあまり家で嘆いていると、なぜか皇がそこにいて!?
さらにひょんなことからエッチなことをされてしまい…!?
ナマイキ高校生に翻弄される、過激バトルラブ!!
『Fig vol.69』に収録されているものと同じ内容になります。</v>
      </c>
      <c r="W2370" s="14"/>
      <c r="X2370" s="14" t="str">
        <f>IFERROR(__xludf.DUMMYFUNCTION("""COMPUTED_VALUE"""),"有")</f>
        <v>有</v>
      </c>
      <c r="Y2370" s="8" t="str">
        <f>IFERROR(__xludf.DUMMYFUNCTION("""COMPUTED_VALUE"""),"2025/1/30まで立ち読み増量P8まで")</f>
        <v>2025/1/30まで立ち読み増量P8まで</v>
      </c>
      <c r="Z2370" s="7"/>
      <c r="AA2370" s="7"/>
      <c r="AB2370" s="7"/>
    </row>
    <row r="2371" ht="15.75" customHeight="1">
      <c r="A2371" s="76">
        <f>IFERROR(__xludf.DUMMYFUNCTION("""COMPUTED_VALUE"""),4167.0)</f>
        <v>4167</v>
      </c>
      <c r="B2371" s="108" t="str">
        <f>IFERROR(__xludf.DUMMYFUNCTION("""COMPUTED_VALUE"""),"確定")</f>
        <v>確定</v>
      </c>
      <c r="C2371" s="74">
        <f>IFERROR(__xludf.DUMMYFUNCTION("""COMPUTED_VALUE"""),45554.0)</f>
        <v>45554</v>
      </c>
      <c r="D2371" s="74">
        <f>IFERROR(__xludf.DUMMYFUNCTION("""COMPUTED_VALUE"""),45601.0)</f>
        <v>45601</v>
      </c>
      <c r="E2371" s="112">
        <f>IFERROR(__xludf.DUMMYFUNCTION("""COMPUTED_VALUE"""),307835.0)</f>
        <v>307835</v>
      </c>
      <c r="F2371" s="124" t="str">
        <f>IFERROR(__xludf.DUMMYFUNCTION("""COMPUTED_VALUE"""),"【単話版】世界を救った最強勇者にストーカーされる村娘の話")</f>
        <v>【単話版】世界を救った最強勇者にストーカーされる村娘の話</v>
      </c>
      <c r="G2371" s="69" t="str">
        <f>IFERROR(__xludf.DUMMYFUNCTION("""COMPUTED_VALUE"""),"1～3")</f>
        <v>1～3</v>
      </c>
      <c r="H2371" s="108" t="str">
        <f>IFERROR(__xludf.DUMMYFUNCTION("""COMPUTED_VALUE"""),"潮里潤")</f>
        <v>潮里潤</v>
      </c>
      <c r="I2371" s="108" t="str">
        <f>IFERROR(__xludf.DUMMYFUNCTION("""COMPUTED_VALUE"""),"少女")</f>
        <v>少女</v>
      </c>
      <c r="J2371" s="108"/>
      <c r="K2371" s="108"/>
      <c r="L2371" s="108" t="str">
        <f>IFERROR(__xludf.DUMMYFUNCTION("""COMPUTED_VALUE"""),"TOブックス")</f>
        <v>TOブックス</v>
      </c>
      <c r="M2371" s="23">
        <f>IFERROR(__xludf.DUMMYFUNCTION("""COMPUTED_VALUE"""),45627.0)</f>
        <v>45627</v>
      </c>
      <c r="N2371" s="128">
        <f>IFERROR(__xludf.DUMMYFUNCTION("""COMPUTED_VALUE"""),45869.66666666667)</f>
        <v>45869.66667</v>
      </c>
      <c r="O2371" s="108"/>
      <c r="P2371" s="110" t="str">
        <f>IFERROR(__xludf.DUMMYFUNCTION("""COMPUTED_VALUE"""),"可")</f>
        <v>可</v>
      </c>
      <c r="Q2371" s="108" t="str">
        <f>IFERROR(__xludf.DUMMYFUNCTION("""COMPUTED_VALUE"""),"・版元さんからのおすすめコメント&lt;BR&gt;pixivで人気（1話目は2万いいね超え）のオリジナル漫画を弊社にて商業化。&lt;BR&gt;漫画：潮里潤&lt;BR&gt;「乙女ゲー世界はモブに厳しい世界です」&lt;BR&gt;（300万部シリーズ）コミカライズ担当
 ※広告好調の場合先行延長有")</f>
        <v>・版元さんからのおすすめコメント&lt;BR&gt;pixivで人気（1話目は2万いいね超え）のオリジナル漫画を弊社にて商業化。&lt;BR&gt;漫画：潮里潤&lt;BR&gt;「乙女ゲー世界はモブに厳しい世界です」&lt;BR&gt;（300万部シリーズ）コミカライズ担当
 ※広告好調の場合先行延長有</v>
      </c>
      <c r="R2371" s="108" t="str">
        <f>IFERROR(__xludf.DUMMYFUNCTION("""COMPUTED_VALUE"""),"広告コミットOK(9/20)。")</f>
        <v>広告コミットOK(9/20)。</v>
      </c>
      <c r="S2371" s="108" t="str">
        <f>IFERROR(__xludf.DUMMYFUNCTION("""COMPUTED_VALUE"""),"20241105_TOブックス_【単話版】世界を救った最強勇者にストーカーされる村娘の話")</f>
        <v>20241105_TOブックス_【単話版】世界を救った最強勇者にストーカーされる村娘の話</v>
      </c>
      <c r="T2371" s="108" t="str">
        <f>IFERROR(__xludf.DUMMYFUNCTION("""COMPUTED_VALUE"""),"格納済み")</f>
        <v>格納済み</v>
      </c>
      <c r="U2371" s="15" t="str">
        <f>IFERROR(__xludf.DUMMYFUNCTION("""COMPUTED_VALUE"""),"「世界を救った最強勇者にストーカーされる村娘の話」(C) Jun Shiosato")</f>
        <v>「世界を救った最強勇者にストーカーされる村娘の話」(C) Jun Shiosato</v>
      </c>
      <c r="V2371" s="8" t="str">
        <f>IFERROR(__xludf.DUMMYFUNCTION("""COMPUTED_VALUE"""),"「君が俺を殺すか、俺が君を堕とすか、勝負だね」
自由 VS. 強制結婚──ヤンデレ溺愛ファンタジー！
地味メガネの村娘フリージアは、なぜか人類の英雄・勇者アーヴィンに付きまとわれていた！？
周りに助けを求めても祝福されるばかり。
「外せない指輪」で求婚してくる彼から逃げて村を出るも「千里眼」で即バレした挙げ句、世界平和を人質にされ、デートすることに。
もはや、自分の手（でも戦闘力はカス...）で、彼を倒すしか道はない！
強くなるため、修行の旅を始めるが…？
「君が俺を殺すか、俺が君を堕と"&amp;"すか、勝負だね」
自由VS.強制結婚──ヤンデレ溺愛ファンタジー！")</f>
        <v>「君が俺を殺すか、俺が君を堕とすか、勝負だね」
自由 VS. 強制結婚──ヤンデレ溺愛ファンタジー！
地味メガネの村娘フリージアは、なぜか人類の英雄・勇者アーヴィンに付きまとわれていた！？
周りに助けを求めても祝福されるばかり。
「外せない指輪」で求婚してくる彼から逃げて村を出るも「千里眼」で即バレした挙げ句、世界平和を人質にされ、デートすることに。
もはや、自分の手（でも戦闘力はカス...）で、彼を倒すしか道はない！
強くなるため、修行の旅を始めるが…？
「君が俺を殺すか、俺が君を堕とすか、勝負だね」
自由VS.強制結婚──ヤンデレ溺愛ファンタジー！</v>
      </c>
      <c r="W2371" s="14"/>
      <c r="X2371" s="14" t="str">
        <f>IFERROR(__xludf.DUMMYFUNCTION("""COMPUTED_VALUE"""),"有")</f>
        <v>有</v>
      </c>
      <c r="Y2371" s="8" t="str">
        <f>IFERROR(__xludf.DUMMYFUNCTION("""COMPUTED_VALUE"""),"P6まで")</f>
        <v>P6まで</v>
      </c>
      <c r="Z2371" s="7"/>
      <c r="AA2371" s="7"/>
      <c r="AB2371" s="7"/>
    </row>
    <row r="2372" ht="15.75" customHeight="1">
      <c r="A2372" s="76">
        <f>IFERROR(__xludf.DUMMYFUNCTION("""COMPUTED_VALUE"""),4170.0)</f>
        <v>4170</v>
      </c>
      <c r="B2372" s="108" t="str">
        <f>IFERROR(__xludf.DUMMYFUNCTION("""COMPUTED_VALUE"""),"確定")</f>
        <v>確定</v>
      </c>
      <c r="C2372" s="74">
        <f>IFERROR(__xludf.DUMMYFUNCTION("""COMPUTED_VALUE"""),45555.0)</f>
        <v>45555</v>
      </c>
      <c r="D2372" s="74">
        <f>IFERROR(__xludf.DUMMYFUNCTION("""COMPUTED_VALUE"""),45597.0)</f>
        <v>45597</v>
      </c>
      <c r="E2372" s="112">
        <f>IFERROR(__xludf.DUMMYFUNCTION("""COMPUTED_VALUE"""),307492.0)</f>
        <v>307492</v>
      </c>
      <c r="F2372" s="112" t="str">
        <f>IFERROR(__xludf.DUMMYFUNCTION("""COMPUTED_VALUE"""),"出られない部屋で愛を囁いて")</f>
        <v>出られない部屋で愛を囁いて</v>
      </c>
      <c r="G2372" s="69" t="str">
        <f>IFERROR(__xludf.DUMMYFUNCTION("""COMPUTED_VALUE"""),"1～2")</f>
        <v>1～2</v>
      </c>
      <c r="H2372" s="108" t="str">
        <f>IFERROR(__xludf.DUMMYFUNCTION("""COMPUTED_VALUE"""),"あさひ")</f>
        <v>あさひ</v>
      </c>
      <c r="I2372" s="108" t="str">
        <f>IFERROR(__xludf.DUMMYFUNCTION("""COMPUTED_VALUE"""),"BL")</f>
        <v>BL</v>
      </c>
      <c r="J2372" s="108"/>
      <c r="K2372" s="108"/>
      <c r="L2372" s="108" t="str">
        <f>IFERROR(__xludf.DUMMYFUNCTION("""COMPUTED_VALUE"""),"CLLENN")</f>
        <v>CLLENN</v>
      </c>
      <c r="M2372" s="115">
        <f>IFERROR(__xludf.DUMMYFUNCTION("""COMPUTED_VALUE"""),45619.0)</f>
        <v>45619</v>
      </c>
      <c r="N2372" s="59">
        <f>IFERROR(__xludf.DUMMYFUNCTION("""COMPUTED_VALUE"""),45681.0)</f>
        <v>45681</v>
      </c>
      <c r="O2372" s="108"/>
      <c r="P2372" s="110" t="str">
        <f>IFERROR(__xludf.DUMMYFUNCTION("""COMPUTED_VALUE"""),"可")</f>
        <v>可</v>
      </c>
      <c r="Q2372" s="108" t="str">
        <f>IFERROR(__xludf.DUMMYFUNCTION("""COMPUTED_VALUE"""),"レーベル名：spicomi&lt;BR&gt;ネットで人気の「#○○しないと出れない部屋」をテーマにした作品です。商業ではベテランとして多くファンを獲得済みの先生です。&lt;BR&gt;今回初めて商業に挑戦してくださった作品です。")</f>
        <v>レーベル名：spicomi&lt;BR&gt;ネットで人気の「#○○しないと出れない部屋」をテーマにした作品です。商業ではベテランとして多くファンを獲得済みの先生です。&lt;BR&gt;今回初めて商業に挑戦してくださった作品です。</v>
      </c>
      <c r="R2372" s="108" t="str">
        <f>IFERROR(__xludf.DUMMYFUNCTION("""COMPUTED_VALUE"""),"広告コミットOK(9/26）")</f>
        <v>広告コミットOK(9/26）</v>
      </c>
      <c r="S2372" s="108" t="str">
        <f>IFERROR(__xludf.DUMMYFUNCTION("""COMPUTED_VALUE"""),"20241031_CLLENN_出られない部屋で愛を囁いて")</f>
        <v>20241031_CLLENN_出られない部屋で愛を囁いて</v>
      </c>
      <c r="T2372" s="108" t="str">
        <f>IFERROR(__xludf.DUMMYFUNCTION("""COMPUTED_VALUE"""),"格納済み")</f>
        <v>格納済み</v>
      </c>
      <c r="U2372" s="15" t="str">
        <f>IFERROR(__xludf.DUMMYFUNCTION("""COMPUTED_VALUE"""),"©あさひ/CLLENN")</f>
        <v>©あさひ/CLLENN</v>
      </c>
      <c r="V2372" s="8" t="str">
        <f>IFERROR(__xludf.DUMMYFUNCTION("""COMPUTED_VALUE"""),"心の声が聞こえたって、いいことなんてなかった。だけど彼から聞こえてくるのは――触れた相手の心の声が聞こえる“サトリ”の能力を持つ悟（さとる）。悟は、文武両道で学園の人気者である日和（ひより）に片想いをしているが、その能力のせいで積極的になれずにいた。そんなある日、ひょんなことから日和とともに真っ白な空間に閉じ込められてしまう。しかも、ここから出るには「×××」をしないといけなくて…！？【学園の王子様×サトリ男子】2人きりの密室空間で、芽生える気持ちは──？")</f>
        <v>心の声が聞こえたって、いいことなんてなかった。だけど彼から聞こえてくるのは――触れた相手の心の声が聞こえる“サトリ”の能力を持つ悟（さとる）。悟は、文武両道で学園の人気者である日和（ひより）に片想いをしているが、その能力のせいで積極的になれずにいた。そんなある日、ひょんなことから日和とともに真っ白な空間に閉じ込められてしまう。しかも、ここから出るには「×××」をしないといけなくて…！？【学園の王子様×サトリ男子】2人きりの密室空間で、芽生える気持ちは──？</v>
      </c>
      <c r="W2372" s="14"/>
      <c r="X2372" s="14" t="str">
        <f>IFERROR(__xludf.DUMMYFUNCTION("""COMPUTED_VALUE"""),"有")</f>
        <v>有</v>
      </c>
      <c r="Y2372" s="8" t="str">
        <f>IFERROR(__xludf.DUMMYFUNCTION("""COMPUTED_VALUE"""),"P10まで")</f>
        <v>P10まで</v>
      </c>
      <c r="Z2372" s="7"/>
      <c r="AA2372" s="7"/>
      <c r="AB2372" s="7"/>
    </row>
    <row r="2373" ht="15.75" customHeight="1">
      <c r="A2373" s="76">
        <f>IFERROR(__xludf.DUMMYFUNCTION("""COMPUTED_VALUE"""),4173.0)</f>
        <v>4173</v>
      </c>
      <c r="B2373" s="108" t="str">
        <f>IFERROR(__xludf.DUMMYFUNCTION("""COMPUTED_VALUE"""),"確定")</f>
        <v>確定</v>
      </c>
      <c r="C2373" s="74">
        <f>IFERROR(__xludf.DUMMYFUNCTION("""COMPUTED_VALUE"""),45555.0)</f>
        <v>45555</v>
      </c>
      <c r="D2373" s="74">
        <f>IFERROR(__xludf.DUMMYFUNCTION("""COMPUTED_VALUE"""),45602.0)</f>
        <v>45602</v>
      </c>
      <c r="E2373" s="112">
        <f>IFERROR(__xludf.DUMMYFUNCTION("""COMPUTED_VALUE"""),307465.0)</f>
        <v>307465</v>
      </c>
      <c r="F2373" s="112" t="str">
        <f>IFERROR(__xludf.DUMMYFUNCTION("""COMPUTED_VALUE"""),"ナースコールはセックスの合図～絶倫DQNの種〇けプレス～")</f>
        <v>ナースコールはセックスの合図～絶倫DQNの種〇けプレス～</v>
      </c>
      <c r="G2373" s="69" t="str">
        <f>IFERROR(__xludf.DUMMYFUNCTION("""COMPUTED_VALUE"""),"1～3")</f>
        <v>1～3</v>
      </c>
      <c r="H2373" s="108" t="str">
        <f>IFERROR(__xludf.DUMMYFUNCTION("""COMPUTED_VALUE"""),"ナニタ")</f>
        <v>ナニタ</v>
      </c>
      <c r="I2373" s="108" t="str">
        <f>IFERROR(__xludf.DUMMYFUNCTION("""COMPUTED_VALUE"""),"オトナ")</f>
        <v>オトナ</v>
      </c>
      <c r="J2373" s="108"/>
      <c r="K2373" s="108"/>
      <c r="L2373" s="108" t="str">
        <f>IFERROR(__xludf.DUMMYFUNCTION("""COMPUTED_VALUE"""),"DEEPER-ZERO")</f>
        <v>DEEPER-ZERO</v>
      </c>
      <c r="M2373" s="115">
        <f>IFERROR(__xludf.DUMMYFUNCTION("""COMPUTED_VALUE"""),45619.0)</f>
        <v>45619</v>
      </c>
      <c r="N2373" s="59">
        <f>IFERROR(__xludf.DUMMYFUNCTION("""COMPUTED_VALUE"""),45681.0)</f>
        <v>45681</v>
      </c>
      <c r="O2373" s="108"/>
      <c r="P2373" s="110" t="str">
        <f>IFERROR(__xludf.DUMMYFUNCTION("""COMPUTED_VALUE"""),"可")</f>
        <v>可</v>
      </c>
      <c r="Q2373" s="108" t="str">
        <f>IFERROR(__xludf.DUMMYFUNCTION("""COMPUTED_VALUE"""),"レーベル名：もえスタビースト")</f>
        <v>レーベル名：もえスタビースト</v>
      </c>
      <c r="R2373" s="108" t="str">
        <f>IFERROR(__xludf.DUMMYFUNCTION("""COMPUTED_VALUE"""),"広告コミットOK（9/30）")</f>
        <v>広告コミットOK（9/30）</v>
      </c>
      <c r="S2373" s="108" t="str">
        <f>IFERROR(__xludf.DUMMYFUNCTION("""COMPUTED_VALUE"""),"20241105_CLLENN_ナースコールはセックスの合図")</f>
        <v>20241105_CLLENN_ナースコールはセックスの合図</v>
      </c>
      <c r="T2373" s="108" t="str">
        <f>IFERROR(__xludf.DUMMYFUNCTION("""COMPUTED_VALUE"""),"格納済み")</f>
        <v>格納済み</v>
      </c>
      <c r="U2373" s="15" t="str">
        <f>IFERROR(__xludf.DUMMYFUNCTION("""COMPUTED_VALUE"""),"©ナニタ/DEEPER-ZERO")</f>
        <v>©ナニタ/DEEPER-ZERO</v>
      </c>
      <c r="V2373" s="8" t="str">
        <f>IFERROR(__xludf.DUMMYFUNCTION("""COMPUTED_VALUE"""),"「瑠美ちゃんのま○こ気持ちいぃ～。ナースよりフーゾクの方が向いてんじゃね？w」なんで……なんで私がこんなクズ男にっ！ ―― 桐野瑠美（28）は看護主任として日々の激務をこなしていた。ある日、彼女は溜まったストレスと性欲を発散するため、職場でこっそりオナニーをしてしまう。ひさびさの快楽で指が止まらなくなっていると「すげぇの撮れちゃったw」背後から声が聞こえてきた。そこには、手当たり次第に看護師に手を出す迷惑患者の志藤が。「これ、バレたらヤバいよね？w」彼は撮影した動画を桐野に見せ囁く。「今利き手骨折してて俺"&amp;"も溜まってんだよね～」――そして彼女にとって屈辱の日々が始まった。")</f>
        <v>「瑠美ちゃんのま○こ気持ちいぃ～。ナースよりフーゾクの方が向いてんじゃね？w」なんで……なんで私がこんなクズ男にっ！ ―― 桐野瑠美（28）は看護主任として日々の激務をこなしていた。ある日、彼女は溜まったストレスと性欲を発散するため、職場でこっそりオナニーをしてしまう。ひさびさの快楽で指が止まらなくなっていると「すげぇの撮れちゃったw」背後から声が聞こえてきた。そこには、手当たり次第に看護師に手を出す迷惑患者の志藤が。「これ、バレたらヤバいよね？w」彼は撮影した動画を桐野に見せ囁く。「今利き手骨折してて俺も溜まってんだよね～」――そして彼女にとって屈辱の日々が始まった。</v>
      </c>
      <c r="W2373" s="14"/>
      <c r="X2373" s="14" t="str">
        <f>IFERROR(__xludf.DUMMYFUNCTION("""COMPUTED_VALUE"""),"有")</f>
        <v>有</v>
      </c>
      <c r="Y2373" s="8" t="str">
        <f>IFERROR(__xludf.DUMMYFUNCTION("""COMPUTED_VALUE"""),"2024/12/23まで1巻無料")</f>
        <v>2024/12/23まで1巻無料</v>
      </c>
      <c r="Z2373" s="7"/>
      <c r="AA2373" s="7"/>
      <c r="AB2373" s="7"/>
    </row>
    <row r="2374" ht="15.75" customHeight="1">
      <c r="A2374" s="76">
        <f>IFERROR(__xludf.DUMMYFUNCTION("""COMPUTED_VALUE"""),4210.0)</f>
        <v>4210</v>
      </c>
      <c r="B2374" s="108" t="str">
        <f>IFERROR(__xludf.DUMMYFUNCTION("""COMPUTED_VALUE"""),"確定")</f>
        <v>確定</v>
      </c>
      <c r="C2374" s="74">
        <f>IFERROR(__xludf.DUMMYFUNCTION("""COMPUTED_VALUE"""),45566.0)</f>
        <v>45566</v>
      </c>
      <c r="D2374" s="74">
        <f>IFERROR(__xludf.DUMMYFUNCTION("""COMPUTED_VALUE"""),45602.0)</f>
        <v>45602</v>
      </c>
      <c r="E2374" s="112">
        <f>IFERROR(__xludf.DUMMYFUNCTION("""COMPUTED_VALUE"""),310494.0)</f>
        <v>310494</v>
      </c>
      <c r="F2374" s="112" t="str">
        <f>IFERROR(__xludf.DUMMYFUNCTION("""COMPUTED_VALUE"""),"男装騎士は王太子のお気に入り")</f>
        <v>男装騎士は王太子のお気に入り</v>
      </c>
      <c r="G2374" s="69" t="str">
        <f>IFERROR(__xludf.DUMMYFUNCTION("""COMPUTED_VALUE"""),"1～3")</f>
        <v>1～3</v>
      </c>
      <c r="H2374" s="108" t="str">
        <f>IFERROR(__xludf.DUMMYFUNCTION("""COMPUTED_VALUE"""),"原作：吉桜美貴 マンガ：ヤマダモカ")</f>
        <v>原作：吉桜美貴 マンガ：ヤマダモカ</v>
      </c>
      <c r="I2374" s="108" t="str">
        <f>IFERROR(__xludf.DUMMYFUNCTION("""COMPUTED_VALUE"""),"女性")</f>
        <v>女性</v>
      </c>
      <c r="J2374" s="108"/>
      <c r="K2374" s="108"/>
      <c r="L2374" s="108" t="str">
        <f>IFERROR(__xludf.DUMMYFUNCTION("""COMPUTED_VALUE"""),"アルファポリス")</f>
        <v>アルファポリス</v>
      </c>
      <c r="M2374" s="23">
        <f>IFERROR(__xludf.DUMMYFUNCTION("""COMPUTED_VALUE"""),45667.0)</f>
        <v>45667</v>
      </c>
      <c r="N2374" s="47">
        <f>IFERROR(__xludf.DUMMYFUNCTION("""COMPUTED_VALUE"""),45757.0)</f>
        <v>45757</v>
      </c>
      <c r="O2374" s="108"/>
      <c r="P2374" s="110" t="str">
        <f>IFERROR(__xludf.DUMMYFUNCTION("""COMPUTED_VALUE"""),"可")</f>
        <v>可</v>
      </c>
      <c r="Q2374" s="108" t="str">
        <f>IFERROR(__xludf.DUMMYFUNCTION("""COMPUTED_VALUE"""),"作家先生のアカウント&lt;BR&gt;吉桜美貴先生：https://x.com/beautifulnoble&lt;BR&gt;ヤマダモカ先生：https://x.com/syotamoka")</f>
        <v>作家先生のアカウント&lt;BR&gt;吉桜美貴先生：https://x.com/beautifulnoble&lt;BR&gt;ヤマダモカ先生：https://x.com/syotamoka</v>
      </c>
      <c r="R2374" s="108" t="str">
        <f>IFERROR(__xludf.DUMMYFUNCTION("""COMPUTED_VALUE"""),"広告コミットOK（10/3）")</f>
        <v>広告コミットOK（10/3）</v>
      </c>
      <c r="S2374" s="108" t="str">
        <f>IFERROR(__xludf.DUMMYFUNCTION("""COMPUTED_VALUE"""),"20241105_アルファポリス‗男装騎士は王太子のお気に入り")</f>
        <v>20241105_アルファポリス‗男装騎士は王太子のお気に入り</v>
      </c>
      <c r="T2374" s="108" t="str">
        <f>IFERROR(__xludf.DUMMYFUNCTION("""COMPUTED_VALUE"""),"格納済み")</f>
        <v>格納済み</v>
      </c>
      <c r="U2374" s="15" t="str">
        <f>IFERROR(__xludf.DUMMYFUNCTION("""COMPUTED_VALUE"""),"(C)吉桜美貴・ヤマダモカ／アルファポリス")</f>
        <v>(C)吉桜美貴・ヤマダモカ／アルファポリス</v>
      </c>
      <c r="V2374" s="8" t="str">
        <f>IFERROR(__xludf.DUMMYFUNCTION("""COMPUTED_VALUE"""),"双子の兄の代わりに王太子・ジークハルトの護衛任務についた男装騎士のアリーセ。
正体はバレていないはずなのに、ふとしたときに甘く急接近してくる殿下に、胸の高鳴りが止まらない。
一方のジークハルトも、アリーセに対して欲情してしまう自分に困惑して――…。
ふたりきりの特命任務はハラハラドキドキの連続!?
冷徹で完璧な殿下に寵愛の限りを尽くされるラブファンタジーが、待望のコミカライズ！")</f>
        <v>双子の兄の代わりに王太子・ジークハルトの護衛任務についた男装騎士のアリーセ。
正体はバレていないはずなのに、ふとしたときに甘く急接近してくる殿下に、胸の高鳴りが止まらない。
一方のジークハルトも、アリーセに対して欲情してしまう自分に困惑して――…。
ふたりきりの特命任務はハラハラドキドキの連続!?
冷徹で完璧な殿下に寵愛の限りを尽くされるラブファンタジーが、待望のコミカライズ！</v>
      </c>
      <c r="W2374" s="14"/>
      <c r="X2374" s="14" t="str">
        <f>IFERROR(__xludf.DUMMYFUNCTION("""COMPUTED_VALUE"""),"有")</f>
        <v>有</v>
      </c>
      <c r="Y2374" s="8" t="str">
        <f>IFERROR(__xludf.DUMMYFUNCTION("""COMPUTED_VALUE"""),"1巻無料")</f>
        <v>1巻無料</v>
      </c>
      <c r="Z2374" s="7"/>
      <c r="AA2374" s="7"/>
      <c r="AB2374" s="7"/>
    </row>
    <row r="2375" ht="15.75" customHeight="1">
      <c r="A2375" s="76">
        <f>IFERROR(__xludf.DUMMYFUNCTION("""COMPUTED_VALUE"""),4304.0)</f>
        <v>4304</v>
      </c>
      <c r="B2375" s="108" t="str">
        <f>IFERROR(__xludf.DUMMYFUNCTION("""COMPUTED_VALUE"""),"確定")</f>
        <v>確定</v>
      </c>
      <c r="C2375" s="74">
        <f>IFERROR(__xludf.DUMMYFUNCTION("""COMPUTED_VALUE"""),45576.0)</f>
        <v>45576</v>
      </c>
      <c r="D2375" s="74">
        <f>IFERROR(__xludf.DUMMYFUNCTION("""COMPUTED_VALUE"""),45602.0)</f>
        <v>45602</v>
      </c>
      <c r="E2375" s="112">
        <f>IFERROR(__xludf.DUMMYFUNCTION("""COMPUTED_VALUE"""),308506.0)</f>
        <v>308506</v>
      </c>
      <c r="F2375" s="112" t="str">
        <f>IFERROR(__xludf.DUMMYFUNCTION("""COMPUTED_VALUE"""),"ロンリー・ストレイ・ボーイ")</f>
        <v>ロンリー・ストレイ・ボーイ</v>
      </c>
      <c r="G2375" s="69" t="str">
        <f>IFERROR(__xludf.DUMMYFUNCTION("""COMPUTED_VALUE"""),"1～2")</f>
        <v>1～2</v>
      </c>
      <c r="H2375" s="108" t="str">
        <f>IFERROR(__xludf.DUMMYFUNCTION("""COMPUTED_VALUE"""),"守田五月")</f>
        <v>守田五月</v>
      </c>
      <c r="I2375" s="108" t="str">
        <f>IFERROR(__xludf.DUMMYFUNCTION("""COMPUTED_VALUE"""),"BL")</f>
        <v>BL</v>
      </c>
      <c r="J2375" s="108"/>
      <c r="K2375" s="108" t="str">
        <f>IFERROR(__xludf.DUMMYFUNCTION("""COMPUTED_VALUE"""),"NuPu")</f>
        <v>NuPu</v>
      </c>
      <c r="L2375" s="108" t="str">
        <f>IFERROR(__xludf.DUMMYFUNCTION("""COMPUTED_VALUE"""),"CLLENN")</f>
        <v>CLLENN</v>
      </c>
      <c r="M2375" s="23">
        <f>IFERROR(__xludf.DUMMYFUNCTION("""COMPUTED_VALUE"""),45631.0)</f>
        <v>45631</v>
      </c>
      <c r="N2375" s="59">
        <f>IFERROR(__xludf.DUMMYFUNCTION("""COMPUTED_VALUE"""),45693.0)</f>
        <v>45693</v>
      </c>
      <c r="O2375" s="108"/>
      <c r="P2375" s="114" t="str">
        <f>IFERROR(__xludf.DUMMYFUNCTION("""COMPUTED_VALUE"""),"可")</f>
        <v>可</v>
      </c>
      <c r="Q2375" s="108"/>
      <c r="R2375" s="108" t="str">
        <f>IFERROR(__xludf.DUMMYFUNCTION("""COMPUTED_VALUE"""),"広告コミットOK(10/15)")</f>
        <v>広告コミットOK(10/15)</v>
      </c>
      <c r="S2375" s="108" t="str">
        <f>IFERROR(__xludf.DUMMYFUNCTION("""COMPUTED_VALUE"""),"20241105_CLLENN_ロンリー・ストレイ・ボーイ")</f>
        <v>20241105_CLLENN_ロンリー・ストレイ・ボーイ</v>
      </c>
      <c r="T2375" s="108" t="str">
        <f>IFERROR(__xludf.DUMMYFUNCTION("""COMPUTED_VALUE"""),"格納済み")</f>
        <v>格納済み</v>
      </c>
      <c r="U2375" s="15" t="str">
        <f>IFERROR(__xludf.DUMMYFUNCTION("""COMPUTED_VALUE"""),"©守田五月/CLLENN")</f>
        <v>©守田五月/CLLENN</v>
      </c>
      <c r="V2375" s="8" t="str">
        <f>IFERROR(__xludf.DUMMYFUNCTION("""COMPUTED_VALUE"""),"【さっきも言ったけど、キスは特別。ね、もう一回…】やっぱりコイツ危険…！でも久しぶりのキスに思わず身体は反応してしまう。なんでこんな年下の子に惹き込まれそうになってんだ…！？――「お人好し」と呼ばれ、会社で良いようにこき使われている社畜サラリーマン、吉住尚（よしずみなお）。気付けば三十路前、仕事に疲れ刺激的な出会いを求めていたところに現れたのは……チンピラから逃げてきた青年・芹澤怜央（せりざわれお）だった！怜央に言いくるめられて、尚の家に泊めることになったものの、お礼にと身体の関係を迫られて！？はじめは年"&amp;"上として突き放せていたけど、だんだんと怜央に絆されている自分もいて…。野良犬系年下イケメン×お人好し社畜リーマンの絆され同居ラブ開幕！")</f>
        <v>【さっきも言ったけど、キスは特別。ね、もう一回…】やっぱりコイツ危険…！でも久しぶりのキスに思わず身体は反応してしまう。なんでこんな年下の子に惹き込まれそうになってんだ…！？――「お人好し」と呼ばれ、会社で良いようにこき使われている社畜サラリーマン、吉住尚（よしずみなお）。気付けば三十路前、仕事に疲れ刺激的な出会いを求めていたところに現れたのは……チンピラから逃げてきた青年・芹澤怜央（せりざわれお）だった！怜央に言いくるめられて、尚の家に泊めることになったものの、お礼にと身体の関係を迫られて！？はじめは年上として突き放せていたけど、だんだんと怜央に絆されている自分もいて…。野良犬系年下イケメン×お人好し社畜リーマンの絆され同居ラブ開幕！</v>
      </c>
      <c r="W2375" s="14"/>
      <c r="X2375" s="14" t="str">
        <f>IFERROR(__xludf.DUMMYFUNCTION("""COMPUTED_VALUE"""),"有")</f>
        <v>有</v>
      </c>
      <c r="Y2375" s="8" t="str">
        <f>IFERROR(__xludf.DUMMYFUNCTION("""COMPUTED_VALUE"""),"2024/12/18まで立ち読み増量P18まで")</f>
        <v>2024/12/18まで立ち読み増量P18まで</v>
      </c>
      <c r="Z2375" s="7"/>
      <c r="AA2375" s="7"/>
      <c r="AB2375" s="7"/>
    </row>
    <row r="2376" ht="15.75" customHeight="1">
      <c r="A2376" s="76">
        <f>IFERROR(__xludf.DUMMYFUNCTION("""COMPUTED_VALUE"""),4307.0)</f>
        <v>4307</v>
      </c>
      <c r="B2376" s="108" t="str">
        <f>IFERROR(__xludf.DUMMYFUNCTION("""COMPUTED_VALUE"""),"確定")</f>
        <v>確定</v>
      </c>
      <c r="C2376" s="74">
        <f>IFERROR(__xludf.DUMMYFUNCTION("""COMPUTED_VALUE"""),45576.0)</f>
        <v>45576</v>
      </c>
      <c r="D2376" s="74">
        <f>IFERROR(__xludf.DUMMYFUNCTION("""COMPUTED_VALUE"""),45602.0)</f>
        <v>45602</v>
      </c>
      <c r="E2376" s="112">
        <f>IFERROR(__xludf.DUMMYFUNCTION("""COMPUTED_VALUE"""),307393.0)</f>
        <v>307393</v>
      </c>
      <c r="F2376" s="112" t="str">
        <f>IFERROR(__xludf.DUMMYFUNCTION("""COMPUTED_VALUE"""),"なんか聞こえる")</f>
        <v>なんか聞こえる</v>
      </c>
      <c r="G2376" s="69" t="str">
        <f>IFERROR(__xludf.DUMMYFUNCTION("""COMPUTED_VALUE"""),"1～3")</f>
        <v>1～3</v>
      </c>
      <c r="H2376" s="108" t="str">
        <f>IFERROR(__xludf.DUMMYFUNCTION("""COMPUTED_VALUE"""),"にわの池")</f>
        <v>にわの池</v>
      </c>
      <c r="I2376" s="108" t="str">
        <f>IFERROR(__xludf.DUMMYFUNCTION("""COMPUTED_VALUE"""),"女性")</f>
        <v>女性</v>
      </c>
      <c r="J2376" s="108"/>
      <c r="K2376" s="108"/>
      <c r="L2376" s="108" t="str">
        <f>IFERROR(__xludf.DUMMYFUNCTION("""COMPUTED_VALUE"""),"CLLENN")</f>
        <v>CLLENN</v>
      </c>
      <c r="M2376" s="115">
        <f>IFERROR(__xludf.DUMMYFUNCTION("""COMPUTED_VALUE"""),45618.0)</f>
        <v>45618</v>
      </c>
      <c r="N2376" s="59">
        <f>IFERROR(__xludf.DUMMYFUNCTION("""COMPUTED_VALUE"""),45680.0)</f>
        <v>45680</v>
      </c>
      <c r="O2376" s="108"/>
      <c r="P2376" s="110" t="str">
        <f>IFERROR(__xludf.DUMMYFUNCTION("""COMPUTED_VALUE"""),"可")</f>
        <v>可</v>
      </c>
      <c r="Q2376" s="108" t="str">
        <f>IFERROR(__xludf.DUMMYFUNCTION("""COMPUTED_VALUE"""),"レーベル名：ropopo")</f>
        <v>レーベル名：ropopo</v>
      </c>
      <c r="R2376" s="108" t="str">
        <f>IFERROR(__xludf.DUMMYFUNCTION("""COMPUTED_VALUE"""),"広告コミットOK(10/11)")</f>
        <v>広告コミットOK(10/11)</v>
      </c>
      <c r="S2376" s="108" t="str">
        <f>IFERROR(__xludf.DUMMYFUNCTION("""COMPUTED_VALUE"""),"20241105_CLLENN_なんか聞こえる")</f>
        <v>20241105_CLLENN_なんか聞こえる</v>
      </c>
      <c r="T2376" s="108" t="str">
        <f>IFERROR(__xludf.DUMMYFUNCTION("""COMPUTED_VALUE"""),"格納済み")</f>
        <v>格納済み</v>
      </c>
      <c r="U2376" s="15" t="str">
        <f>IFERROR(__xludf.DUMMYFUNCTION("""COMPUTED_VALUE"""),"©にわの池/CLLENN")</f>
        <v>©にわの池/CLLENN</v>
      </c>
      <c r="V2376" s="8" t="str">
        <f>IFERROR(__xludf.DUMMYFUNCTION("""COMPUTED_VALUE"""),"なんか聞こえる…それが「もう会えない人の声」だったら――黒文町にある占いの館の占い師、ゆめは「よく当たる」と評判だった。その噂を聞いて押し掛けてきた男・神山は、ゆめの「能力」について強引に聞き出してきて…占いのたびに相談者の情報を教えてきた謎の声って幽霊の声なの！？混乱するゆめが連れられていった先はお祓いをしても収まらない「事故物件」で…！？ゆめにしか聞こえない幽霊の声。神山に促されて聞き取る霊たちの事情とは――この世に未練のあるワケあり霊たち。その伝えたかった言葉を聞き、最後の願いをかなえていく二人の心"&amp;"霊ヒューマンドラマ")</f>
        <v>なんか聞こえる…それが「もう会えない人の声」だったら――黒文町にある占いの館の占い師、ゆめは「よく当たる」と評判だった。その噂を聞いて押し掛けてきた男・神山は、ゆめの「能力」について強引に聞き出してきて…占いのたびに相談者の情報を教えてきた謎の声って幽霊の声なの！？混乱するゆめが連れられていった先はお祓いをしても収まらない「事故物件」で…！？ゆめにしか聞こえない幽霊の声。神山に促されて聞き取る霊たちの事情とは――この世に未練のあるワケあり霊たち。その伝えたかった言葉を聞き、最後の願いをかなえていく二人の心霊ヒューマンドラマ</v>
      </c>
      <c r="W2376" s="14"/>
      <c r="X2376" s="14" t="str">
        <f>IFERROR(__xludf.DUMMYFUNCTION("""COMPUTED_VALUE"""),"有")</f>
        <v>有</v>
      </c>
      <c r="Y2376" s="8" t="str">
        <f>IFERROR(__xludf.DUMMYFUNCTION("""COMPUTED_VALUE"""),"2024/12/5まで1巻無料")</f>
        <v>2024/12/5まで1巻無料</v>
      </c>
      <c r="Z2376" s="7"/>
      <c r="AA2376" s="7"/>
      <c r="AB2376" s="7"/>
    </row>
    <row r="2377" ht="15.75" customHeight="1">
      <c r="A2377" s="76">
        <f>IFERROR(__xludf.DUMMYFUNCTION("""COMPUTED_VALUE"""),4340.0)</f>
        <v>4340</v>
      </c>
      <c r="B2377" s="108" t="str">
        <f>IFERROR(__xludf.DUMMYFUNCTION("""COMPUTED_VALUE"""),"確定")</f>
        <v>確定</v>
      </c>
      <c r="C2377" s="74">
        <f>IFERROR(__xludf.DUMMYFUNCTION("""COMPUTED_VALUE"""),45581.0)</f>
        <v>45581</v>
      </c>
      <c r="D2377" s="74">
        <f>IFERROR(__xludf.DUMMYFUNCTION("""COMPUTED_VALUE"""),45596.0)</f>
        <v>45596</v>
      </c>
      <c r="E2377" s="112">
        <f>IFERROR(__xludf.DUMMYFUNCTION("""COMPUTED_VALUE"""),306917.0)</f>
        <v>306917</v>
      </c>
      <c r="F2377" s="112" t="str">
        <f>IFERROR(__xludf.DUMMYFUNCTION("""COMPUTED_VALUE"""),"ワケあり姉妹の恋模様【分冊版】")</f>
        <v>ワケあり姉妹の恋模様【分冊版】</v>
      </c>
      <c r="G2377" s="69" t="str">
        <f>IFERROR(__xludf.DUMMYFUNCTION("""COMPUTED_VALUE"""),"1～10")</f>
        <v>1～10</v>
      </c>
      <c r="H2377" s="108" t="str">
        <f>IFERROR(__xludf.DUMMYFUNCTION("""COMPUTED_VALUE"""),"ホロン, チームBY")</f>
        <v>ホロン, チームBY</v>
      </c>
      <c r="I2377" s="108" t="str">
        <f>IFERROR(__xludf.DUMMYFUNCTION("""COMPUTED_VALUE"""),"青年")</f>
        <v>青年</v>
      </c>
      <c r="J2377" s="108"/>
      <c r="K2377" s="108"/>
      <c r="L2377" s="108" t="str">
        <f>IFERROR(__xludf.DUMMYFUNCTION("""COMPUTED_VALUE"""),"リバース")</f>
        <v>リバース</v>
      </c>
      <c r="M2377" s="115">
        <f>IFERROR(__xludf.DUMMYFUNCTION("""COMPUTED_VALUE"""),45620.0)</f>
        <v>45620</v>
      </c>
      <c r="N2377" s="128">
        <f>IFERROR(__xludf.DUMMYFUNCTION("""COMPUTED_VALUE"""),45711.0)</f>
        <v>45711</v>
      </c>
      <c r="O2377" s="108"/>
      <c r="P2377" s="110" t="str">
        <f>IFERROR(__xludf.DUMMYFUNCTION("""COMPUTED_VALUE"""),"可")</f>
        <v>可</v>
      </c>
      <c r="Q2377" s="108" t="str">
        <f>IFERROR(__xludf.DUMMYFUNCTION("""COMPUTED_VALUE"""),"・お色気作品&lt;BR&gt;・Toomicsでは配信中。他は国内配信はシーモアのみ。")</f>
        <v>・お色気作品&lt;BR&gt;・Toomicsでは配信中。他は国内配信はシーモアのみ。</v>
      </c>
      <c r="R2377" s="108" t="str">
        <f>IFERROR(__xludf.DUMMYFUNCTION("""COMPUTED_VALUE"""),"広告コミットOK(10/22)")</f>
        <v>広告コミットOK(10/22)</v>
      </c>
      <c r="S2377" s="108" t="str">
        <f>IFERROR(__xludf.DUMMYFUNCTION("""COMPUTED_VALUE"""),"20241030_リバース_ワケあり姉妹の恋模様【分冊版】")</f>
        <v>20241030_リバース_ワケあり姉妹の恋模様【分冊版】</v>
      </c>
      <c r="T2377" s="108" t="str">
        <f>IFERROR(__xludf.DUMMYFUNCTION("""COMPUTED_VALUE"""),"格納済み")</f>
        <v>格納済み</v>
      </c>
      <c r="U2377" s="15" t="str">
        <f>IFERROR(__xludf.DUMMYFUNCTION("""COMPUTED_VALUE"""),"(c)ホロン, チームBY, Toomics / GO5")</f>
        <v>(c)ホロン, チームBY, Toomics / GO5</v>
      </c>
      <c r="V2377" s="8" t="str">
        <f>IFERROR(__xludf.DUMMYFUNCTION("""COMPUTED_VALUE"""),"大家の娘たちとひょんなきっかけで一夜を共にすることに！あんなにダサかった二人が…今は女に見えてくる…")</f>
        <v>大家の娘たちとひょんなきっかけで一夜を共にすることに！あんなにダサかった二人が…今は女に見えてくる…</v>
      </c>
      <c r="W2377" s="14"/>
      <c r="X2377" s="14" t="str">
        <f>IFERROR(__xludf.DUMMYFUNCTION("""COMPUTED_VALUE"""),"有")</f>
        <v>有</v>
      </c>
      <c r="Y2377" s="8" t="str">
        <f>IFERROR(__xludf.DUMMYFUNCTION("""COMPUTED_VALUE"""),"2024/12/7まで1～3巻無料")</f>
        <v>2024/12/7まで1～3巻無料</v>
      </c>
      <c r="Z2377" s="7"/>
      <c r="AA2377" s="7"/>
      <c r="AB2377" s="7"/>
    </row>
    <row r="2378" ht="15.75" customHeight="1">
      <c r="A2378" s="76">
        <f>IFERROR(__xludf.DUMMYFUNCTION("""COMPUTED_VALUE"""),4341.0)</f>
        <v>4341</v>
      </c>
      <c r="B2378" s="108" t="str">
        <f>IFERROR(__xludf.DUMMYFUNCTION("""COMPUTED_VALUE"""),"確定")</f>
        <v>確定</v>
      </c>
      <c r="C2378" s="74">
        <f>IFERROR(__xludf.DUMMYFUNCTION("""COMPUTED_VALUE"""),45581.0)</f>
        <v>45581</v>
      </c>
      <c r="D2378" s="74">
        <f>IFERROR(__xludf.DUMMYFUNCTION("""COMPUTED_VALUE"""),45596.0)</f>
        <v>45596</v>
      </c>
      <c r="E2378" s="112">
        <f>IFERROR(__xludf.DUMMYFUNCTION("""COMPUTED_VALUE"""),306918.0)</f>
        <v>306918</v>
      </c>
      <c r="F2378" s="112" t="str">
        <f>IFERROR(__xludf.DUMMYFUNCTION("""COMPUTED_VALUE"""),"召使い更生道【分冊版】")</f>
        <v>召使い更生道【分冊版】</v>
      </c>
      <c r="G2378" s="69" t="str">
        <f>IFERROR(__xludf.DUMMYFUNCTION("""COMPUTED_VALUE"""),"1～10")</f>
        <v>1～10</v>
      </c>
      <c r="H2378" s="108" t="str">
        <f>IFERROR(__xludf.DUMMYFUNCTION("""COMPUTED_VALUE"""),"ごぼう, ウンサ")</f>
        <v>ごぼう, ウンサ</v>
      </c>
      <c r="I2378" s="108" t="str">
        <f>IFERROR(__xludf.DUMMYFUNCTION("""COMPUTED_VALUE"""),"青年")</f>
        <v>青年</v>
      </c>
      <c r="J2378" s="108"/>
      <c r="K2378" s="108"/>
      <c r="L2378" s="108" t="str">
        <f>IFERROR(__xludf.DUMMYFUNCTION("""COMPUTED_VALUE"""),"リバース")</f>
        <v>リバース</v>
      </c>
      <c r="M2378" s="115">
        <f>IFERROR(__xludf.DUMMYFUNCTION("""COMPUTED_VALUE"""),45620.0)</f>
        <v>45620</v>
      </c>
      <c r="N2378" s="128">
        <f>IFERROR(__xludf.DUMMYFUNCTION("""COMPUTED_VALUE"""),45711.0)</f>
        <v>45711</v>
      </c>
      <c r="O2378" s="108"/>
      <c r="P2378" s="110" t="str">
        <f>IFERROR(__xludf.DUMMYFUNCTION("""COMPUTED_VALUE"""),"可")</f>
        <v>可</v>
      </c>
      <c r="Q2378" s="108" t="str">
        <f>IFERROR(__xludf.DUMMYFUNCTION("""COMPUTED_VALUE"""),"・お色気作品&lt;BR&gt;・Toomicsでは配信中。他は国内配信はシーモアのみ。")</f>
        <v>・お色気作品&lt;BR&gt;・Toomicsでは配信中。他は国内配信はシーモアのみ。</v>
      </c>
      <c r="R2378" s="108" t="str">
        <f>IFERROR(__xludf.DUMMYFUNCTION("""COMPUTED_VALUE"""),"広告コミットOK(10/22)")</f>
        <v>広告コミットOK(10/22)</v>
      </c>
      <c r="S2378" s="108" t="str">
        <f>IFERROR(__xludf.DUMMYFUNCTION("""COMPUTED_VALUE"""),"20241030_リバース_召使い更生道【分冊版】")</f>
        <v>20241030_リバース_召使い更生道【分冊版】</v>
      </c>
      <c r="T2378" s="108" t="str">
        <f>IFERROR(__xludf.DUMMYFUNCTION("""COMPUTED_VALUE"""),"格納済み")</f>
        <v>格納済み</v>
      </c>
      <c r="U2378" s="15" t="str">
        <f>IFERROR(__xludf.DUMMYFUNCTION("""COMPUTED_VALUE"""),"(c)ごぼう, ウンサ, Toomics / GO5")</f>
        <v>(c)ごぼう, ウンサ, Toomics / GO5</v>
      </c>
      <c r="V2378" s="8" t="str">
        <f>IFERROR(__xludf.DUMMYFUNCTION("""COMPUTED_VALUE"""),"数年ぶりに帰った田舎の家に住みついていた知らない女…｢あなたの召使いになります♡｣って本気で言ってる!?")</f>
        <v>数年ぶりに帰った田舎の家に住みついていた知らない女…｢あなたの召使いになります♡｣って本気で言ってる!?</v>
      </c>
      <c r="W2378" s="14"/>
      <c r="X2378" s="14" t="str">
        <f>IFERROR(__xludf.DUMMYFUNCTION("""COMPUTED_VALUE"""),"有")</f>
        <v>有</v>
      </c>
      <c r="Y2378" s="8" t="str">
        <f>IFERROR(__xludf.DUMMYFUNCTION("""COMPUTED_VALUE"""),"2024/12/7まで1～3巻無料")</f>
        <v>2024/12/7まで1～3巻無料</v>
      </c>
      <c r="Z2378" s="7"/>
      <c r="AA2378" s="7"/>
      <c r="AB2378" s="7"/>
    </row>
    <row r="2379" ht="15.75" customHeight="1">
      <c r="A2379" s="76">
        <f>IFERROR(__xludf.DUMMYFUNCTION("""COMPUTED_VALUE"""),4342.0)</f>
        <v>4342</v>
      </c>
      <c r="B2379" s="108" t="str">
        <f>IFERROR(__xludf.DUMMYFUNCTION("""COMPUTED_VALUE"""),"確定")</f>
        <v>確定</v>
      </c>
      <c r="C2379" s="74">
        <f>IFERROR(__xludf.DUMMYFUNCTION("""COMPUTED_VALUE"""),45581.0)</f>
        <v>45581</v>
      </c>
      <c r="D2379" s="74">
        <f>IFERROR(__xludf.DUMMYFUNCTION("""COMPUTED_VALUE"""),45596.0)</f>
        <v>45596</v>
      </c>
      <c r="E2379" s="112">
        <f>IFERROR(__xludf.DUMMYFUNCTION("""COMPUTED_VALUE"""),306919.0)</f>
        <v>306919</v>
      </c>
      <c r="F2379" s="112" t="str">
        <f>IFERROR(__xludf.DUMMYFUNCTION("""COMPUTED_VALUE"""),"罪と罰～すべては合意の上～【分冊版】")</f>
        <v>罪と罰～すべては合意の上～【分冊版】</v>
      </c>
      <c r="G2379" s="69" t="str">
        <f>IFERROR(__xludf.DUMMYFUNCTION("""COMPUTED_VALUE"""),"1～10")</f>
        <v>1～10</v>
      </c>
      <c r="H2379" s="108" t="str">
        <f>IFERROR(__xludf.DUMMYFUNCTION("""COMPUTED_VALUE"""),"チームオールドロック")</f>
        <v>チームオールドロック</v>
      </c>
      <c r="I2379" s="108" t="str">
        <f>IFERROR(__xludf.DUMMYFUNCTION("""COMPUTED_VALUE"""),"青年")</f>
        <v>青年</v>
      </c>
      <c r="J2379" s="108"/>
      <c r="K2379" s="108"/>
      <c r="L2379" s="108" t="str">
        <f>IFERROR(__xludf.DUMMYFUNCTION("""COMPUTED_VALUE"""),"リバース")</f>
        <v>リバース</v>
      </c>
      <c r="M2379" s="115">
        <f>IFERROR(__xludf.DUMMYFUNCTION("""COMPUTED_VALUE"""),45620.0)</f>
        <v>45620</v>
      </c>
      <c r="N2379" s="128">
        <f>IFERROR(__xludf.DUMMYFUNCTION("""COMPUTED_VALUE"""),45711.0)</f>
        <v>45711</v>
      </c>
      <c r="O2379" s="108"/>
      <c r="P2379" s="110" t="str">
        <f>IFERROR(__xludf.DUMMYFUNCTION("""COMPUTED_VALUE"""),"可")</f>
        <v>可</v>
      </c>
      <c r="Q2379" s="108" t="str">
        <f>IFERROR(__xludf.DUMMYFUNCTION("""COMPUTED_VALUE"""),"・お色気作品&lt;BR&gt;・Toomicsでは配信中。他は国内配信はシーモアのみ。")</f>
        <v>・お色気作品&lt;BR&gt;・Toomicsでは配信中。他は国内配信はシーモアのみ。</v>
      </c>
      <c r="R2379" s="108" t="str">
        <f>IFERROR(__xludf.DUMMYFUNCTION("""COMPUTED_VALUE"""),"広告コミットOK(10/22)")</f>
        <v>広告コミットOK(10/22)</v>
      </c>
      <c r="S2379" s="108" t="str">
        <f>IFERROR(__xludf.DUMMYFUNCTION("""COMPUTED_VALUE"""),"20241030_リバース_罪と罰～すべては合意の上～【分冊版】")</f>
        <v>20241030_リバース_罪と罰～すべては合意の上～【分冊版】</v>
      </c>
      <c r="T2379" s="108" t="str">
        <f>IFERROR(__xludf.DUMMYFUNCTION("""COMPUTED_VALUE"""),"格納済み")</f>
        <v>格納済み</v>
      </c>
      <c r="U2379" s="15" t="str">
        <f>IFERROR(__xludf.DUMMYFUNCTION("""COMPUTED_VALUE"""),"(c)チームオールドロック, Toomics / GO5")</f>
        <v>(c)チームオールドロック, Toomics / GO5</v>
      </c>
      <c r="V2379" s="8" t="str">
        <f>IFERROR(__xludf.DUMMYFUNCTION("""COMPUTED_VALUE"""),"高校時代にいじめてた太と突然の再会！立場が逆転し、ありえない命令にも従うしかなくて…")</f>
        <v>高校時代にいじめてた太と突然の再会！立場が逆転し、ありえない命令にも従うしかなくて…</v>
      </c>
      <c r="W2379" s="14"/>
      <c r="X2379" s="14" t="str">
        <f>IFERROR(__xludf.DUMMYFUNCTION("""COMPUTED_VALUE"""),"有")</f>
        <v>有</v>
      </c>
      <c r="Y2379" s="8" t="str">
        <f>IFERROR(__xludf.DUMMYFUNCTION("""COMPUTED_VALUE"""),"2024/12/7まで1～3巻無料")</f>
        <v>2024/12/7まで1～3巻無料</v>
      </c>
      <c r="Z2379" s="7"/>
      <c r="AA2379" s="7"/>
      <c r="AB2379" s="7"/>
    </row>
    <row r="2380" ht="15.75" customHeight="1">
      <c r="A2380" s="76">
        <f>IFERROR(__xludf.DUMMYFUNCTION("""COMPUTED_VALUE"""),4343.0)</f>
        <v>4343</v>
      </c>
      <c r="B2380" s="108" t="str">
        <f>IFERROR(__xludf.DUMMYFUNCTION("""COMPUTED_VALUE"""),"確定")</f>
        <v>確定</v>
      </c>
      <c r="C2380" s="74">
        <f>IFERROR(__xludf.DUMMYFUNCTION("""COMPUTED_VALUE"""),45581.0)</f>
        <v>45581</v>
      </c>
      <c r="D2380" s="74">
        <f>IFERROR(__xludf.DUMMYFUNCTION("""COMPUTED_VALUE"""),45596.0)</f>
        <v>45596</v>
      </c>
      <c r="E2380" s="112">
        <f>IFERROR(__xludf.DUMMYFUNCTION("""COMPUTED_VALUE"""),306920.0)</f>
        <v>306920</v>
      </c>
      <c r="F2380" s="112" t="str">
        <f>IFERROR(__xludf.DUMMYFUNCTION("""COMPUTED_VALUE"""),"小悪魔なお隣さん【分冊版】")</f>
        <v>小悪魔なお隣さん【分冊版】</v>
      </c>
      <c r="G2380" s="69" t="str">
        <f>IFERROR(__xludf.DUMMYFUNCTION("""COMPUTED_VALUE"""),"1～10")</f>
        <v>1～10</v>
      </c>
      <c r="H2380" s="108" t="str">
        <f>IFERROR(__xludf.DUMMYFUNCTION("""COMPUTED_VALUE"""),"ラドン, セムニ")</f>
        <v>ラドン, セムニ</v>
      </c>
      <c r="I2380" s="108" t="str">
        <f>IFERROR(__xludf.DUMMYFUNCTION("""COMPUTED_VALUE"""),"青年")</f>
        <v>青年</v>
      </c>
      <c r="J2380" s="108"/>
      <c r="K2380" s="108"/>
      <c r="L2380" s="108" t="str">
        <f>IFERROR(__xludf.DUMMYFUNCTION("""COMPUTED_VALUE"""),"リバース")</f>
        <v>リバース</v>
      </c>
      <c r="M2380" s="115">
        <f>IFERROR(__xludf.DUMMYFUNCTION("""COMPUTED_VALUE"""),45620.0)</f>
        <v>45620</v>
      </c>
      <c r="N2380" s="128">
        <f>IFERROR(__xludf.DUMMYFUNCTION("""COMPUTED_VALUE"""),45711.0)</f>
        <v>45711</v>
      </c>
      <c r="O2380" s="108"/>
      <c r="P2380" s="110" t="str">
        <f>IFERROR(__xludf.DUMMYFUNCTION("""COMPUTED_VALUE"""),"可")</f>
        <v>可</v>
      </c>
      <c r="Q2380" s="108" t="str">
        <f>IFERROR(__xludf.DUMMYFUNCTION("""COMPUTED_VALUE"""),"・お色気作品&lt;BR&gt;・Toomicsでは配信中。他は国内配信はシーモアのみ。")</f>
        <v>・お色気作品&lt;BR&gt;・Toomicsでは配信中。他は国内配信はシーモアのみ。</v>
      </c>
      <c r="R2380" s="108" t="str">
        <f>IFERROR(__xludf.DUMMYFUNCTION("""COMPUTED_VALUE"""),"広告コミットOK(10/22)")</f>
        <v>広告コミットOK(10/22)</v>
      </c>
      <c r="S2380" s="108" t="str">
        <f>IFERROR(__xludf.DUMMYFUNCTION("""COMPUTED_VALUE"""),"20241030_リバース_小悪魔なお隣さん【分冊版】")</f>
        <v>20241030_リバース_小悪魔なお隣さん【分冊版】</v>
      </c>
      <c r="T2380" s="108" t="str">
        <f>IFERROR(__xludf.DUMMYFUNCTION("""COMPUTED_VALUE"""),"格納済み")</f>
        <v>格納済み</v>
      </c>
      <c r="U2380" s="15" t="str">
        <f>IFERROR(__xludf.DUMMYFUNCTION("""COMPUTED_VALUE"""),"(c)ラドン, セムニ, Toomics / GO5")</f>
        <v>(c)ラドン, セムニ, Toomics / GO5</v>
      </c>
      <c r="V2380" s="8" t="str">
        <f>IFERROR(__xludf.DUMMYFUNCTION("""COMPUTED_VALUE"""),"家族のように過ごしてきたお隣の三姉妹。ある事件をきっかけにおかしな展開に!?")</f>
        <v>家族のように過ごしてきたお隣の三姉妹。ある事件をきっかけにおかしな展開に!?</v>
      </c>
      <c r="W2380" s="14"/>
      <c r="X2380" s="14" t="str">
        <f>IFERROR(__xludf.DUMMYFUNCTION("""COMPUTED_VALUE"""),"有")</f>
        <v>有</v>
      </c>
      <c r="Y2380" s="8" t="str">
        <f>IFERROR(__xludf.DUMMYFUNCTION("""COMPUTED_VALUE"""),"2024/12/7まで1～3巻無料")</f>
        <v>2024/12/7まで1～3巻無料</v>
      </c>
      <c r="Z2380" s="7"/>
      <c r="AA2380" s="7"/>
      <c r="AB2380" s="7"/>
    </row>
    <row r="2381" ht="15.75" customHeight="1">
      <c r="A2381" s="76">
        <f>IFERROR(__xludf.DUMMYFUNCTION("""COMPUTED_VALUE"""),4345.0)</f>
        <v>4345</v>
      </c>
      <c r="B2381" s="108" t="str">
        <f>IFERROR(__xludf.DUMMYFUNCTION("""COMPUTED_VALUE"""),"確定")</f>
        <v>確定</v>
      </c>
      <c r="C2381" s="74">
        <f>IFERROR(__xludf.DUMMYFUNCTION("""COMPUTED_VALUE"""),45582.0)</f>
        <v>45582</v>
      </c>
      <c r="D2381" s="74">
        <f>IFERROR(__xludf.DUMMYFUNCTION("""COMPUTED_VALUE"""),45601.0)</f>
        <v>45601</v>
      </c>
      <c r="E2381" s="112">
        <f>IFERROR(__xludf.DUMMYFUNCTION("""COMPUTED_VALUE"""),306748.0)</f>
        <v>306748</v>
      </c>
      <c r="F2381" s="112" t="str">
        <f>IFERROR(__xludf.DUMMYFUNCTION("""COMPUTED_VALUE"""),"めちゃモテ完璧彼氏のだらしない顔、私だけのもの")</f>
        <v>めちゃモテ完璧彼氏のだらしない顔、私だけのもの</v>
      </c>
      <c r="G2381" s="69" t="str">
        <f>IFERROR(__xludf.DUMMYFUNCTION("""COMPUTED_VALUE"""),"1～2")</f>
        <v>1～2</v>
      </c>
      <c r="H2381" s="108" t="str">
        <f>IFERROR(__xludf.DUMMYFUNCTION("""COMPUTED_VALUE"""),"なれはて┴THE猥談")</f>
        <v>なれはて┴THE猥談</v>
      </c>
      <c r="I2381" s="108" t="str">
        <f>IFERROR(__xludf.DUMMYFUNCTION("""COMPUTED_VALUE"""),"TL")</f>
        <v>TL</v>
      </c>
      <c r="J2381" s="108"/>
      <c r="K2381" s="108"/>
      <c r="L2381" s="108" t="str">
        <f>IFERROR(__xludf.DUMMYFUNCTION("""COMPUTED_VALUE"""),"クロスフォリオ出版")</f>
        <v>クロスフォリオ出版</v>
      </c>
      <c r="M2381" s="115">
        <f>IFERROR(__xludf.DUMMYFUNCTION("""COMPUTED_VALUE"""),45625.0)</f>
        <v>45625</v>
      </c>
      <c r="N2381" s="59">
        <f>IFERROR(__xludf.DUMMYFUNCTION("""COMPUTED_VALUE"""),45715.0)</f>
        <v>45715</v>
      </c>
      <c r="O2381" s="108"/>
      <c r="P2381" s="110" t="str">
        <f>IFERROR(__xludf.DUMMYFUNCTION("""COMPUTED_VALUE"""),"可")</f>
        <v>可</v>
      </c>
      <c r="Q2381" s="111" t="str">
        <f>IFERROR(__xludf.DUMMYFUNCTION("""COMPUTED_VALUE"""),"河上さん事前コミットの『THE猥談』レーベル作品です。")</f>
        <v>河上さん事前コミットの『THE猥談』レーベル作品です。</v>
      </c>
      <c r="R2381" s="108"/>
      <c r="S2381" s="108" t="str">
        <f>IFERROR(__xludf.DUMMYFUNCTION("""COMPUTED_VALUE"""),"20241105_BookLiveめちゃモテ完璧彼氏のだらしない顔、私だけのもの")</f>
        <v>20241105_BookLiveめちゃモテ完璧彼氏のだらしない顔、私だけのもの</v>
      </c>
      <c r="T2381" s="108" t="str">
        <f>IFERROR(__xludf.DUMMYFUNCTION("""COMPUTED_VALUE"""),"格納済み")</f>
        <v>格納済み</v>
      </c>
      <c r="U2381" s="15" t="str">
        <f>IFERROR(__xludf.DUMMYFUNCTION("""COMPUTED_VALUE"""),"(C)なれはて/THE猥談/クロスフォリオ出版")</f>
        <v>(C)なれはて/THE猥談/クロスフォリオ出版</v>
      </c>
      <c r="V2381" s="8" t="str">
        <f>IFERROR(__xludf.DUMMYFUNCTION("""COMPUTED_VALUE"""),"慎太郎は高身長・高学歴・将来有望で──…めちゃくちゃモテる。
そんな彼の、誰も知らない顔を知ってるのは彼女である私だけ。
乳首をつねられて、引っ掻かれて
喘いでる姿は普段の完璧な姿からは想像できない。
そして彼のものを焦らしながらゆっくり舐め上げて──…
私が優位のままでいられるのはここまで。
「焦らすんめっちゃ上手なったなぁ」
「ほんまはドMやのに」
ここからは豹変した彼氏と私の、SMリバーシブルセックスがはじまる─…
※本作はなれはて、THE猥談の個人誌作品の"&amp;"電子書籍版となります。【27ページ】")</f>
        <v>慎太郎は高身長・高学歴・将来有望で──…めちゃくちゃモテる。
そんな彼の、誰も知らない顔を知ってるのは彼女である私だけ。
乳首をつねられて、引っ掻かれて
喘いでる姿は普段の完璧な姿からは想像できない。
そして彼のものを焦らしながらゆっくり舐め上げて──…
私が優位のままでいられるのはここまで。
「焦らすんめっちゃ上手なったなぁ」
「ほんまはドMやのに」
ここからは豹変した彼氏と私の、SMリバーシブルセックスがはじまる─…
※本作はなれはて、THE猥談の個人誌作品の電子書籍版となります。【27ページ】</v>
      </c>
      <c r="W2381" s="14"/>
      <c r="X2381" s="14" t="str">
        <f>IFERROR(__xludf.DUMMYFUNCTION("""COMPUTED_VALUE"""),"有")</f>
        <v>有</v>
      </c>
      <c r="Y2381" s="8" t="str">
        <f>IFERROR(__xludf.DUMMYFUNCTION("""COMPUTED_VALUE"""),"P10まで")</f>
        <v>P10まで</v>
      </c>
      <c r="Z2381" s="7"/>
      <c r="AA2381" s="7"/>
      <c r="AB2381" s="7"/>
    </row>
    <row r="2382" ht="15.75" customHeight="1">
      <c r="A2382" s="76">
        <f>IFERROR(__xludf.DUMMYFUNCTION("""COMPUTED_VALUE"""),4346.0)</f>
        <v>4346</v>
      </c>
      <c r="B2382" s="108" t="str">
        <f>IFERROR(__xludf.DUMMYFUNCTION("""COMPUTED_VALUE"""),"確定")</f>
        <v>確定</v>
      </c>
      <c r="C2382" s="74">
        <f>IFERROR(__xludf.DUMMYFUNCTION("""COMPUTED_VALUE"""),45582.0)</f>
        <v>45582</v>
      </c>
      <c r="D2382" s="74">
        <f>IFERROR(__xludf.DUMMYFUNCTION("""COMPUTED_VALUE"""),45601.0)</f>
        <v>45601</v>
      </c>
      <c r="E2382" s="112">
        <f>IFERROR(__xludf.DUMMYFUNCTION("""COMPUTED_VALUE"""),306750.0)</f>
        <v>306750</v>
      </c>
      <c r="F2382" s="112" t="str">
        <f>IFERROR(__xludf.DUMMYFUNCTION("""COMPUTED_VALUE"""),"めちゃモテ完璧彼氏のだらしない顔、私だけのもの【R版】")</f>
        <v>めちゃモテ完璧彼氏のだらしない顔、私だけのもの【R版】</v>
      </c>
      <c r="G2382" s="69" t="str">
        <f>IFERROR(__xludf.DUMMYFUNCTION("""COMPUTED_VALUE"""),"1～2")</f>
        <v>1～2</v>
      </c>
      <c r="H2382" s="108" t="str">
        <f>IFERROR(__xludf.DUMMYFUNCTION("""COMPUTED_VALUE"""),"なれはて┴THE猥談")</f>
        <v>なれはて┴THE猥談</v>
      </c>
      <c r="I2382" s="108" t="str">
        <f>IFERROR(__xludf.DUMMYFUNCTION("""COMPUTED_VALUE"""),"オトナ")</f>
        <v>オトナ</v>
      </c>
      <c r="J2382" s="108"/>
      <c r="K2382" s="108"/>
      <c r="L2382" s="108" t="str">
        <f>IFERROR(__xludf.DUMMYFUNCTION("""COMPUTED_VALUE"""),"クロスフォリオ出版")</f>
        <v>クロスフォリオ出版</v>
      </c>
      <c r="M2382" s="115">
        <f>IFERROR(__xludf.DUMMYFUNCTION("""COMPUTED_VALUE"""),45625.0)</f>
        <v>45625</v>
      </c>
      <c r="N2382" s="59">
        <f>IFERROR(__xludf.DUMMYFUNCTION("""COMPUTED_VALUE"""),45715.0)</f>
        <v>45715</v>
      </c>
      <c r="O2382" s="108"/>
      <c r="P2382" s="110" t="str">
        <f>IFERROR(__xludf.DUMMYFUNCTION("""COMPUTED_VALUE"""),"可")</f>
        <v>可</v>
      </c>
      <c r="Q2382" s="111" t="str">
        <f>IFERROR(__xludf.DUMMYFUNCTION("""COMPUTED_VALUE"""),"河上さん事前コミットの『THE猥談』レーベル作品です。")</f>
        <v>河上さん事前コミットの『THE猥談』レーベル作品です。</v>
      </c>
      <c r="R2382" s="108"/>
      <c r="S2382" s="108" t="str">
        <f>IFERROR(__xludf.DUMMYFUNCTION("""COMPUTED_VALUE"""),"20241105_BookLive_めちゃモテ完璧彼氏のだらしない顔、私だけのもの【R版】")</f>
        <v>20241105_BookLive_めちゃモテ完璧彼氏のだらしない顔、私だけのもの【R版】</v>
      </c>
      <c r="T2382" s="108" t="str">
        <f>IFERROR(__xludf.DUMMYFUNCTION("""COMPUTED_VALUE"""),"格納済み")</f>
        <v>格納済み</v>
      </c>
      <c r="U2382" s="15" t="str">
        <f>IFERROR(__xludf.DUMMYFUNCTION("""COMPUTED_VALUE"""),"(C)なれはて/THE猥談/クロスフォリオ出版")</f>
        <v>(C)なれはて/THE猥談/クロスフォリオ出版</v>
      </c>
      <c r="V2382" s="8" t="str">
        <f>IFERROR(__xludf.DUMMYFUNCTION("""COMPUTED_VALUE"""),"慎太郎は高身長・高学歴・将来有望で──…めちゃくちゃモテる。
そんな彼の、誰も知らない顔を知ってるのは彼女である私だけ。
乳首をつねられて、引っ掻かれて
喘いでる姿は普段の完璧な姿からは想像できない。
そして彼のものを焦らしながらゆっくり舐め上げて──…
私が優位のままでいられるのはここまで。
「焦らすんめっちゃ上手なったなぁ」
「ほんまはドMやのに」
ここからは豹変した彼氏と私の、SMリバーシブルセックスがはじまる─…
※本作はなれはて、THE猥談の個人誌作品の電子"&amp;"書籍版となります。【27ページ】
※本作は『めちゃモテ完璧彼氏のだらしない顔、私だけのもの』の修正をやや弱めたものです。内容に差異はありません。")</f>
        <v>慎太郎は高身長・高学歴・将来有望で──…めちゃくちゃモテる。
そんな彼の、誰も知らない顔を知ってるのは彼女である私だけ。
乳首をつねられて、引っ掻かれて
喘いでる姿は普段の完璧な姿からは想像できない。
そして彼のものを焦らしながらゆっくり舐め上げて──…
私が優位のままでいられるのはここまで。
「焦らすんめっちゃ上手なったなぁ」
「ほんまはドMやのに」
ここからは豹変した彼氏と私の、SMリバーシブルセックスがはじまる─…
※本作はなれはて、THE猥談の個人誌作品の電子書籍版となります。【27ページ】
※本作は『めちゃモテ完璧彼氏のだらしない顔、私だけのもの』の修正をやや弱めたものです。内容に差異はありません。</v>
      </c>
      <c r="W2382" s="14"/>
      <c r="X2382" s="14" t="str">
        <f>IFERROR(__xludf.DUMMYFUNCTION("""COMPUTED_VALUE"""),"有")</f>
        <v>有</v>
      </c>
      <c r="Y2382" s="8" t="str">
        <f>IFERROR(__xludf.DUMMYFUNCTION("""COMPUTED_VALUE"""),"P10まで")</f>
        <v>P10まで</v>
      </c>
      <c r="Z2382" s="7"/>
      <c r="AA2382" s="7"/>
      <c r="AB2382" s="7"/>
    </row>
    <row r="2383" ht="15.75" customHeight="1">
      <c r="A2383" s="76">
        <f>IFERROR(__xludf.DUMMYFUNCTION("""COMPUTED_VALUE"""),4347.0)</f>
        <v>4347</v>
      </c>
      <c r="B2383" s="108" t="str">
        <f>IFERROR(__xludf.DUMMYFUNCTION("""COMPUTED_VALUE"""),"確定")</f>
        <v>確定</v>
      </c>
      <c r="C2383" s="74">
        <f>IFERROR(__xludf.DUMMYFUNCTION("""COMPUTED_VALUE"""),45582.0)</f>
        <v>45582</v>
      </c>
      <c r="D2383" s="74">
        <f>IFERROR(__xludf.DUMMYFUNCTION("""COMPUTED_VALUE"""),45601.0)</f>
        <v>45601</v>
      </c>
      <c r="E2383" s="112">
        <f>IFERROR(__xludf.DUMMYFUNCTION("""COMPUTED_VALUE"""),306749.0)</f>
        <v>306749</v>
      </c>
      <c r="F2383" s="112" t="str">
        <f>IFERROR(__xludf.DUMMYFUNCTION("""COMPUTED_VALUE"""),"僕と水戸坂は、今日だけ親友じゃない")</f>
        <v>僕と水戸坂は、今日だけ親友じゃない</v>
      </c>
      <c r="G2383" s="69" t="str">
        <f>IFERROR(__xludf.DUMMYFUNCTION("""COMPUTED_VALUE"""),"1～2")</f>
        <v>1～2</v>
      </c>
      <c r="H2383" s="108" t="str">
        <f>IFERROR(__xludf.DUMMYFUNCTION("""COMPUTED_VALUE"""),"大箕すず┴THE猥談")</f>
        <v>大箕すず┴THE猥談</v>
      </c>
      <c r="I2383" s="108" t="str">
        <f>IFERROR(__xludf.DUMMYFUNCTION("""COMPUTED_VALUE"""),"TL")</f>
        <v>TL</v>
      </c>
      <c r="J2383" s="108"/>
      <c r="K2383" s="108"/>
      <c r="L2383" s="108" t="str">
        <f>IFERROR(__xludf.DUMMYFUNCTION("""COMPUTED_VALUE"""),"クロスフォリオ出版")</f>
        <v>クロスフォリオ出版</v>
      </c>
      <c r="M2383" s="115">
        <f>IFERROR(__xludf.DUMMYFUNCTION("""COMPUTED_VALUE"""),45625.0)</f>
        <v>45625</v>
      </c>
      <c r="N2383" s="59">
        <f>IFERROR(__xludf.DUMMYFUNCTION("""COMPUTED_VALUE"""),45715.0)</f>
        <v>45715</v>
      </c>
      <c r="O2383" s="108"/>
      <c r="P2383" s="110" t="str">
        <f>IFERROR(__xludf.DUMMYFUNCTION("""COMPUTED_VALUE"""),"可")</f>
        <v>可</v>
      </c>
      <c r="Q2383" s="111" t="str">
        <f>IFERROR(__xludf.DUMMYFUNCTION("""COMPUTED_VALUE"""),"河上さん事前コミットの『THE猥談』レーベル作品です。")</f>
        <v>河上さん事前コミットの『THE猥談』レーベル作品です。</v>
      </c>
      <c r="R2383" s="108"/>
      <c r="S2383" s="108" t="str">
        <f>IFERROR(__xludf.DUMMYFUNCTION("""COMPUTED_VALUE"""),"20241105_BookLive僕と水戸坂は、今日だけ親友じゃない")</f>
        <v>20241105_BookLive僕と水戸坂は、今日だけ親友じゃない</v>
      </c>
      <c r="T2383" s="108" t="str">
        <f>IFERROR(__xludf.DUMMYFUNCTION("""COMPUTED_VALUE"""),"格納済み")</f>
        <v>格納済み</v>
      </c>
      <c r="U2383" s="15" t="str">
        <f>IFERROR(__xludf.DUMMYFUNCTION("""COMPUTED_VALUE"""),"(C)大箕すず/THE猥談/クロスフォリオ出版")</f>
        <v>(C)大箕すず/THE猥談/クロスフォリオ出版</v>
      </c>
      <c r="V2383" s="8" t="str">
        <f>IFERROR(__xludf.DUMMYFUNCTION("""COMPUTED_VALUE"""),"一彦とは、大学に入ってからずっと一緒にいる。
垢抜けない服に分厚いメガネ、くるくるの天パ。
なのにある日突然、髪型を変えた。
天パがサラサラになって、メガネはコンタクトに、服装も雰囲気も変わった。
そんな一彦からの好意を、
遠距離中の彼氏がいることを理由に、私はずっと気づかないふりをしている。
例え、浮気されていても。連絡を全部無視されていても。
「水戸坂は不満を抱えてるわけだし」
「恋人ならその不安を解消する義務があるはずです」
「水戸坂が遠慮するのはおかしい」
だか"&amp;"らそんなこと、弱ってる時に言わないで一彦─…。
いつもの飲み会からの帰り道。
酔った私を甲斐甲斐しく世話をする彼に魔が刺して言ってしまった。
「私のこと　好きなの?」
いつもみたいに、変な敬語で生意気な返事してよ。
「……そんなこと…聞かないでください……」
そう言って彼は、切ない顔をして私の手をひいてベッドに押し倒す。
これは、彼と”親友”ではなくなった一晩の話。
※本作は大箕すず、THE猥談の個人誌作品の電子書籍版となります。【22ページ】")</f>
        <v>一彦とは、大学に入ってからずっと一緒にいる。
垢抜けない服に分厚いメガネ、くるくるの天パ。
なのにある日突然、髪型を変えた。
天パがサラサラになって、メガネはコンタクトに、服装も雰囲気も変わった。
そんな一彦からの好意を、
遠距離中の彼氏がいることを理由に、私はずっと気づかないふりをしている。
例え、浮気されていても。連絡を全部無視されていても。
「水戸坂は不満を抱えてるわけだし」
「恋人ならその不安を解消する義務があるはずです」
「水戸坂が遠慮するのはおかしい」
だからそんなこと、弱ってる時に言わないで一彦─…。
いつもの飲み会からの帰り道。
酔った私を甲斐甲斐しく世話をする彼に魔が刺して言ってしまった。
「私のこと　好きなの?」
いつもみたいに、変な敬語で生意気な返事してよ。
「……そんなこと…聞かないでください……」
そう言って彼は、切ない顔をして私の手をひいてベッドに押し倒す。
これは、彼と”親友”ではなくなった一晩の話。
※本作は大箕すず、THE猥談の個人誌作品の電子書籍版となります。【22ページ】</v>
      </c>
      <c r="W2383" s="14"/>
      <c r="X2383" s="14" t="str">
        <f>IFERROR(__xludf.DUMMYFUNCTION("""COMPUTED_VALUE"""),"有")</f>
        <v>有</v>
      </c>
      <c r="Y2383" s="8" t="str">
        <f>IFERROR(__xludf.DUMMYFUNCTION("""COMPUTED_VALUE"""),"P16まで")</f>
        <v>P16まで</v>
      </c>
      <c r="Z2383" s="7"/>
      <c r="AA2383" s="7"/>
      <c r="AB2383" s="7"/>
    </row>
    <row r="2384" ht="15.75" customHeight="1">
      <c r="A2384" s="76">
        <f>IFERROR(__xludf.DUMMYFUNCTION("""COMPUTED_VALUE"""),4348.0)</f>
        <v>4348</v>
      </c>
      <c r="B2384" s="108" t="str">
        <f>IFERROR(__xludf.DUMMYFUNCTION("""COMPUTED_VALUE"""),"確定")</f>
        <v>確定</v>
      </c>
      <c r="C2384" s="74">
        <f>IFERROR(__xludf.DUMMYFUNCTION("""COMPUTED_VALUE"""),45582.0)</f>
        <v>45582</v>
      </c>
      <c r="D2384" s="74">
        <f>IFERROR(__xludf.DUMMYFUNCTION("""COMPUTED_VALUE"""),45601.0)</f>
        <v>45601</v>
      </c>
      <c r="E2384" s="112">
        <f>IFERROR(__xludf.DUMMYFUNCTION("""COMPUTED_VALUE"""),306751.0)</f>
        <v>306751</v>
      </c>
      <c r="F2384" s="112" t="str">
        <f>IFERROR(__xludf.DUMMYFUNCTION("""COMPUTED_VALUE"""),"僕と水戸坂は、今日だけ親友じゃない【R版】")</f>
        <v>僕と水戸坂は、今日だけ親友じゃない【R版】</v>
      </c>
      <c r="G2384" s="69" t="str">
        <f>IFERROR(__xludf.DUMMYFUNCTION("""COMPUTED_VALUE"""),"1～2")</f>
        <v>1～2</v>
      </c>
      <c r="H2384" s="108" t="str">
        <f>IFERROR(__xludf.DUMMYFUNCTION("""COMPUTED_VALUE"""),"大箕すず┴THE猥談")</f>
        <v>大箕すず┴THE猥談</v>
      </c>
      <c r="I2384" s="108" t="str">
        <f>IFERROR(__xludf.DUMMYFUNCTION("""COMPUTED_VALUE"""),"オトナ")</f>
        <v>オトナ</v>
      </c>
      <c r="J2384" s="108"/>
      <c r="K2384" s="108"/>
      <c r="L2384" s="108" t="str">
        <f>IFERROR(__xludf.DUMMYFUNCTION("""COMPUTED_VALUE"""),"クロスフォリオ出版")</f>
        <v>クロスフォリオ出版</v>
      </c>
      <c r="M2384" s="115">
        <f>IFERROR(__xludf.DUMMYFUNCTION("""COMPUTED_VALUE"""),45625.0)</f>
        <v>45625</v>
      </c>
      <c r="N2384" s="59">
        <f>IFERROR(__xludf.DUMMYFUNCTION("""COMPUTED_VALUE"""),45715.0)</f>
        <v>45715</v>
      </c>
      <c r="O2384" s="108"/>
      <c r="P2384" s="110" t="str">
        <f>IFERROR(__xludf.DUMMYFUNCTION("""COMPUTED_VALUE"""),"可")</f>
        <v>可</v>
      </c>
      <c r="Q2384" s="111" t="str">
        <f>IFERROR(__xludf.DUMMYFUNCTION("""COMPUTED_VALUE"""),"河上さん事前コミットの『THE猥談』レーベル作品です。")</f>
        <v>河上さん事前コミットの『THE猥談』レーベル作品です。</v>
      </c>
      <c r="R2384" s="108"/>
      <c r="S2384" s="108" t="str">
        <f>IFERROR(__xludf.DUMMYFUNCTION("""COMPUTED_VALUE"""),"20241105_BookLive僕と水戸坂は、今日だけ親友じゃない【R版】")</f>
        <v>20241105_BookLive僕と水戸坂は、今日だけ親友じゃない【R版】</v>
      </c>
      <c r="T2384" s="108" t="str">
        <f>IFERROR(__xludf.DUMMYFUNCTION("""COMPUTED_VALUE"""),"格納済み")</f>
        <v>格納済み</v>
      </c>
      <c r="U2384" s="15" t="str">
        <f>IFERROR(__xludf.DUMMYFUNCTION("""COMPUTED_VALUE"""),"(C)大箕すず/THE猥談/クロスフォリオ出版")</f>
        <v>(C)大箕すず/THE猥談/クロスフォリオ出版</v>
      </c>
      <c r="V2384" s="8" t="str">
        <f>IFERROR(__xludf.DUMMYFUNCTION("""COMPUTED_VALUE"""),"一彦とは、大学に入ってからずっと一緒にいる。
垢抜けない服に分厚いメガネ、くるくるの天パ。
なのにある日突然、髪型を変えた。
天パがサラサラになって、メガネはコンタクトに、服装も雰囲気も変わった。
そんな一彦からの好意を、
遠距離中の彼氏がいることを理由に、私はずっと気づかないふりをしている。
例え、浮気されていても。連絡を全部無視されていても。
「水戸坂は不満を抱えてるわけだし」
「恋人ならその不安を解消する義務があるはずです」
「水戸坂が遠慮するのはおかしい」
だか"&amp;"らそんなこと、弱ってる時に言わないで一彦─…。
いつもの飲み会からの帰り道。
酔った私を甲斐甲斐しく世話をする彼に魔が刺して言ってしまった。
「私のこと　好きなの?」
いつもみたいに、変な敬語で生意気な返事してよ。
「……そんなこと…聞かないでください……」
そう言って彼は、切ない顔をして私の手をひいてベッドに押し倒す。
これは、彼と”親友”ではなくなった一晩の話。
※本作は大箕すず、THE猥談の個人誌作品の電子書籍版となります。【22ページ】
※本作は『僕と水戸"&amp;"坂は、今日だけ親友じゃない』の修正をやや弱めたものです。内容に差異はありません。")</f>
        <v>一彦とは、大学に入ってからずっと一緒にいる。
垢抜けない服に分厚いメガネ、くるくるの天パ。
なのにある日突然、髪型を変えた。
天パがサラサラになって、メガネはコンタクトに、服装も雰囲気も変わった。
そんな一彦からの好意を、
遠距離中の彼氏がいることを理由に、私はずっと気づかないふりをしている。
例え、浮気されていても。連絡を全部無視されていても。
「水戸坂は不満を抱えてるわけだし」
「恋人ならその不安を解消する義務があるはずです」
「水戸坂が遠慮するのはおかしい」
だからそんなこと、弱ってる時に言わないで一彦─…。
いつもの飲み会からの帰り道。
酔った私を甲斐甲斐しく世話をする彼に魔が刺して言ってしまった。
「私のこと　好きなの?」
いつもみたいに、変な敬語で生意気な返事してよ。
「……そんなこと…聞かないでください……」
そう言って彼は、切ない顔をして私の手をひいてベッドに押し倒す。
これは、彼と”親友”ではなくなった一晩の話。
※本作は大箕すず、THE猥談の個人誌作品の電子書籍版となります。【22ページ】
※本作は『僕と水戸坂は、今日だけ親友じゃない』の修正をやや弱めたものです。内容に差異はありません。</v>
      </c>
      <c r="W2384" s="14"/>
      <c r="X2384" s="14" t="str">
        <f>IFERROR(__xludf.DUMMYFUNCTION("""COMPUTED_VALUE"""),"有")</f>
        <v>有</v>
      </c>
      <c r="Y2384" s="8" t="str">
        <f>IFERROR(__xludf.DUMMYFUNCTION("""COMPUTED_VALUE"""),"P16まで")</f>
        <v>P16まで</v>
      </c>
      <c r="Z2384" s="7"/>
      <c r="AA2384" s="7"/>
      <c r="AB2384" s="7"/>
    </row>
    <row r="2385" ht="15.75" customHeight="1">
      <c r="A2385" s="76">
        <f>IFERROR(__xludf.DUMMYFUNCTION("""COMPUTED_VALUE"""),4364.0)</f>
        <v>4364</v>
      </c>
      <c r="B2385" s="108" t="str">
        <f>IFERROR(__xludf.DUMMYFUNCTION("""COMPUTED_VALUE"""),"確定")</f>
        <v>確定</v>
      </c>
      <c r="C2385" s="74">
        <f>IFERROR(__xludf.DUMMYFUNCTION("""COMPUTED_VALUE"""),45586.0)</f>
        <v>45586</v>
      </c>
      <c r="D2385" s="74">
        <f>IFERROR(__xludf.DUMMYFUNCTION("""COMPUTED_VALUE"""),45602.0)</f>
        <v>45602</v>
      </c>
      <c r="E2385" s="112">
        <f>IFERROR(__xludf.DUMMYFUNCTION("""COMPUTED_VALUE"""),307943.0)</f>
        <v>307943</v>
      </c>
      <c r="F2385" s="112" t="str">
        <f>IFERROR(__xludf.DUMMYFUNCTION("""COMPUTED_VALUE"""),"オレサマ御曹司はスパダリ社長に淫されたい")</f>
        <v>オレサマ御曹司はスパダリ社長に淫されたい</v>
      </c>
      <c r="G2385" s="79" t="str">
        <f>IFERROR(__xludf.DUMMYFUNCTION("""COMPUTED_VALUE"""),"1～2")</f>
        <v>1～2</v>
      </c>
      <c r="H2385" s="108" t="str">
        <f>IFERROR(__xludf.DUMMYFUNCTION("""COMPUTED_VALUE"""),"ためいけ")</f>
        <v>ためいけ</v>
      </c>
      <c r="I2385" s="108" t="str">
        <f>IFERROR(__xludf.DUMMYFUNCTION("""COMPUTED_VALUE"""),"BL")</f>
        <v>BL</v>
      </c>
      <c r="J2385" s="108"/>
      <c r="K2385" s="108"/>
      <c r="L2385" s="108" t="str">
        <f>IFERROR(__xludf.DUMMYFUNCTION("""COMPUTED_VALUE"""),"東京漫画社")</f>
        <v>東京漫画社</v>
      </c>
      <c r="M2385" s="115">
        <f>IFERROR(__xludf.DUMMYFUNCTION("""COMPUTED_VALUE"""),45626.0)</f>
        <v>45626</v>
      </c>
      <c r="N2385" s="59">
        <f>IFERROR(__xludf.DUMMYFUNCTION("""COMPUTED_VALUE"""),45687.0)</f>
        <v>45687</v>
      </c>
      <c r="O2385" s="108"/>
      <c r="P2385" s="114" t="str">
        <f>IFERROR(__xludf.DUMMYFUNCTION("""COMPUTED_VALUE"""),"可")</f>
        <v>可</v>
      </c>
      <c r="Q2385" s="108"/>
      <c r="R2385" s="108" t="str">
        <f>IFERROR(__xludf.DUMMYFUNCTION("""COMPUTED_VALUE"""),"広告コミットOK（10/21）")</f>
        <v>広告コミットOK（10/21）</v>
      </c>
      <c r="S2385" s="108" t="str">
        <f>IFERROR(__xludf.DUMMYFUNCTION("""COMPUTED_VALUE"""),"20241105_東京漫画社_オレサマ御曹司はスパダリ社長に淫されたい")</f>
        <v>20241105_東京漫画社_オレサマ御曹司はスパダリ社長に淫されたい</v>
      </c>
      <c r="T2385" s="108" t="str">
        <f>IFERROR(__xludf.DUMMYFUNCTION("""COMPUTED_VALUE"""),"格納済み")</f>
        <v>格納済み</v>
      </c>
      <c r="U2385" s="15" t="str">
        <f>IFERROR(__xludf.DUMMYFUNCTION("""COMPUTED_VALUE"""),"©ためいけ/東京漫画社")</f>
        <v>©ためいけ/東京漫画社</v>
      </c>
      <c r="V2385" s="8" t="str">
        <f>IFERROR(__xludf.DUMMYFUNCTION("""COMPUTED_VALUE"""),"大企業の御曹司で次期社長と名高い高嶺は社内外で恐れられている存在だ。
そんな高嶺と幼馴染で10年恋人として付き合っている一ノ瀬は、高嶺と釣り合う男になるため会社を立ち上げ、仕事に打ち込んでいた。
充実した日々を送っていたが、一ノ瀬にはある悩みがあった。
それは高嶺が会社でも家でも誘惑してくること…！大胆に淫れる高嶺に、ダメだと思いながらも振り回されてしまうが…！？
『Fig vol.69』に収録されているものと同じ内容になります。")</f>
        <v>大企業の御曹司で次期社長と名高い高嶺は社内外で恐れられている存在だ。
そんな高嶺と幼馴染で10年恋人として付き合っている一ノ瀬は、高嶺と釣り合う男になるため会社を立ち上げ、仕事に打ち込んでいた。
充実した日々を送っていたが、一ノ瀬にはある悩みがあった。
それは高嶺が会社でも家でも誘惑してくること…！大胆に淫れる高嶺に、ダメだと思いながらも振り回されてしまうが…！？
『Fig vol.69』に収録されているものと同じ内容になります。</v>
      </c>
      <c r="W2385" s="14"/>
      <c r="X2385" s="14" t="str">
        <f>IFERROR(__xludf.DUMMYFUNCTION("""COMPUTED_VALUE"""),"有")</f>
        <v>有</v>
      </c>
      <c r="Y2385" s="8" t="str">
        <f>IFERROR(__xludf.DUMMYFUNCTION("""COMPUTED_VALUE"""),"2025/1/30まで立ち読み増量P7まで")</f>
        <v>2025/1/30まで立ち読み増量P7まで</v>
      </c>
      <c r="Z2385" s="7"/>
      <c r="AA2385" s="7"/>
      <c r="AB2385" s="7"/>
    </row>
    <row r="2386" ht="15.75" customHeight="1">
      <c r="A2386" s="76">
        <f>IFERROR(__xludf.DUMMYFUNCTION("""COMPUTED_VALUE"""),4370.0)</f>
        <v>4370</v>
      </c>
      <c r="B2386" s="108" t="str">
        <f>IFERROR(__xludf.DUMMYFUNCTION("""COMPUTED_VALUE"""),"確定")</f>
        <v>確定</v>
      </c>
      <c r="C2386" s="74">
        <f>IFERROR(__xludf.DUMMYFUNCTION("""COMPUTED_VALUE"""),45586.0)</f>
        <v>45586</v>
      </c>
      <c r="D2386" s="74">
        <f>IFERROR(__xludf.DUMMYFUNCTION("""COMPUTED_VALUE"""),45601.0)</f>
        <v>45601</v>
      </c>
      <c r="E2386" s="112">
        <f>IFERROR(__xludf.DUMMYFUNCTION("""COMPUTED_VALUE"""),309563.0)</f>
        <v>309563</v>
      </c>
      <c r="F2386" s="112" t="str">
        <f>IFERROR(__xludf.DUMMYFUNCTION("""COMPUTED_VALUE"""),"婚約破棄したい悪役令嬢ですがヤンデレ王太子に執愛されてます～甘すぎＲ展開なんて聞いてませんっ!!～")</f>
        <v>婚約破棄したい悪役令嬢ですがヤンデレ王太子に執愛されてます～甘すぎＲ展開なんて聞いてませんっ!!～</v>
      </c>
      <c r="G2386" s="69">
        <f>IFERROR(__xludf.DUMMYFUNCTION("""COMPUTED_VALUE"""),1.0)</f>
        <v>1</v>
      </c>
      <c r="H2386" s="108" t="str">
        <f>IFERROR(__xludf.DUMMYFUNCTION("""COMPUTED_VALUE"""),"高橋依摘")</f>
        <v>高橋依摘</v>
      </c>
      <c r="I2386" s="108" t="str">
        <f>IFERROR(__xludf.DUMMYFUNCTION("""COMPUTED_VALUE"""),"TL")</f>
        <v>TL</v>
      </c>
      <c r="J2386" s="108"/>
      <c r="K2386" s="108"/>
      <c r="L2386" s="108" t="str">
        <f>IFERROR(__xludf.DUMMYFUNCTION("""COMPUTED_VALUE"""),"ハーパーコリンズ・ジャパン")</f>
        <v>ハーパーコリンズ・ジャパン</v>
      </c>
      <c r="M2386" s="115">
        <f>IFERROR(__xludf.DUMMYFUNCTION("""COMPUTED_VALUE"""),45644.0)</f>
        <v>45644</v>
      </c>
      <c r="N2386" s="59">
        <f>IFERROR(__xludf.DUMMYFUNCTION("""COMPUTED_VALUE"""),45704.0)</f>
        <v>45704</v>
      </c>
      <c r="O2386" s="108"/>
      <c r="P2386" s="110" t="str">
        <f>IFERROR(__xludf.DUMMYFUNCTION("""COMPUTED_VALUE"""),"可")</f>
        <v>可</v>
      </c>
      <c r="Q2386" s="108" t="str">
        <f>IFERROR(__xludf.DUMMYFUNCTION("""COMPUTED_VALUE"""),"・TLレーベル：乙女ドルチェ・コミックス")</f>
        <v>・TLレーベル：乙女ドルチェ・コミックス</v>
      </c>
      <c r="R2386" s="108" t="str">
        <f>IFERROR(__xludf.DUMMYFUNCTION("""COMPUTED_VALUE"""),"広告コミットOK(10/24)")</f>
        <v>広告コミットOK(10/24)</v>
      </c>
      <c r="S2386" s="108" t="str">
        <f>IFERROR(__xludf.DUMMYFUNCTION("""COMPUTED_VALUE"""),"20241030_ハーパーコリンズ・ジャパン_婚約破棄したい悪役令嬢ですがヤンデレ王太子に執愛されてます～甘すぎＲ展開なんて聞いてませんっ!!～")</f>
        <v>20241030_ハーパーコリンズ・ジャパン_婚約破棄したい悪役令嬢ですがヤンデレ王太子に執愛されてます～甘すぎＲ展開なんて聞いてませんっ!!～</v>
      </c>
      <c r="T2386" s="108" t="str">
        <f>IFERROR(__xludf.DUMMYFUNCTION("""COMPUTED_VALUE"""),"格納済み")</f>
        <v>格納済み</v>
      </c>
      <c r="U2386" s="15" t="str">
        <f>IFERROR(__xludf.DUMMYFUNCTION("""COMPUTED_VALUE"""),"（C)高橋依摘・百門一新／ハーパーコリンズ・ジャパン")</f>
        <v>（C)高橋依摘・百門一新／ハーパーコリンズ・ジャパン</v>
      </c>
      <c r="V2386" s="8" t="str">
        <f>IFERROR(__xludf.DUMMYFUNCTION("""COMPUTED_VALUE"""),"「こすりあわせただけで…君は敏感すぎるだろう」
断罪待ちの悪役令嬢が愛されまくり!?
「初心なのに、君には男を惑わせる才があるようだ」――公爵令嬢シャルロットは、婚約者である王太子クラウディオの密会現場を目撃したショックで、自分が乙女ゲームの世界に転生したことに気づく。悲しい未来を悟り婚約破棄を申し出るが、彼に逆に押し倒されてしまい…！ 「中も敏感だな。うねって物欲しそうに動いている」甘い口づけと淫らな愛撫に蕩かされ、熱い眼差しで求められるたび、彼に愛されていると錯覚しそうになるシャルロット。この"&amp;"ままだとひどい未来が来るのはわかっているのに、クラウディオの元を離れられず!?")</f>
        <v>「こすりあわせただけで…君は敏感すぎるだろう」
断罪待ちの悪役令嬢が愛されまくり!?
「初心なのに、君には男を惑わせる才があるようだ」――公爵令嬢シャルロットは、婚約者である王太子クラウディオの密会現場を目撃したショックで、自分が乙女ゲームの世界に転生したことに気づく。悲しい未来を悟り婚約破棄を申し出るが、彼に逆に押し倒されてしまい…！ 「中も敏感だな。うねって物欲しそうに動いている」甘い口づけと淫らな愛撫に蕩かされ、熱い眼差しで求められるたび、彼に愛されていると錯覚しそうになるシャルロット。このままだとひどい未来が来るのはわかっているのに、クラウディオの元を離れられず!?</v>
      </c>
      <c r="W2386" s="14"/>
      <c r="X2386" s="14" t="str">
        <f>IFERROR(__xludf.DUMMYFUNCTION("""COMPUTED_VALUE"""),"有")</f>
        <v>有</v>
      </c>
      <c r="Y2386" s="8" t="str">
        <f>IFERROR(__xludf.DUMMYFUNCTION("""COMPUTED_VALUE"""),"2025/1/16まで立ち読み増量P44まで")</f>
        <v>2025/1/16まで立ち読み増量P44まで</v>
      </c>
      <c r="Z2386" s="7"/>
      <c r="AA2386" s="7"/>
      <c r="AB2386" s="7"/>
    </row>
    <row r="2387" ht="15.75" customHeight="1">
      <c r="A2387" s="76">
        <f>IFERROR(__xludf.DUMMYFUNCTION("""COMPUTED_VALUE"""),4371.0)</f>
        <v>4371</v>
      </c>
      <c r="B2387" s="108" t="str">
        <f>IFERROR(__xludf.DUMMYFUNCTION("""COMPUTED_VALUE"""),"確定")</f>
        <v>確定</v>
      </c>
      <c r="C2387" s="74">
        <f>IFERROR(__xludf.DUMMYFUNCTION("""COMPUTED_VALUE"""),45586.0)</f>
        <v>45586</v>
      </c>
      <c r="D2387" s="74">
        <f>IFERROR(__xludf.DUMMYFUNCTION("""COMPUTED_VALUE"""),45601.0)</f>
        <v>45601</v>
      </c>
      <c r="E2387" s="112">
        <f>IFERROR(__xludf.DUMMYFUNCTION("""COMPUTED_VALUE"""),309584.0)</f>
        <v>309584</v>
      </c>
      <c r="F2387" s="112" t="str">
        <f>IFERROR(__xludf.DUMMYFUNCTION("""COMPUTED_VALUE"""),"皇太子は身代わり姫に二度求愛する")</f>
        <v>皇太子は身代わり姫に二度求愛する</v>
      </c>
      <c r="G2387" s="69">
        <f>IFERROR(__xludf.DUMMYFUNCTION("""COMPUTED_VALUE"""),1.0)</f>
        <v>1</v>
      </c>
      <c r="H2387" s="108" t="str">
        <f>IFERROR(__xludf.DUMMYFUNCTION("""COMPUTED_VALUE"""),"あくた琳子")</f>
        <v>あくた琳子</v>
      </c>
      <c r="I2387" s="108" t="str">
        <f>IFERROR(__xludf.DUMMYFUNCTION("""COMPUTED_VALUE"""),"TL")</f>
        <v>TL</v>
      </c>
      <c r="J2387" s="108"/>
      <c r="K2387" s="108"/>
      <c r="L2387" s="108" t="str">
        <f>IFERROR(__xludf.DUMMYFUNCTION("""COMPUTED_VALUE"""),"ハーパーコリンズ・ジャパン")</f>
        <v>ハーパーコリンズ・ジャパン</v>
      </c>
      <c r="M2387" s="115">
        <f>IFERROR(__xludf.DUMMYFUNCTION("""COMPUTED_VALUE"""),45644.0)</f>
        <v>45644</v>
      </c>
      <c r="N2387" s="59">
        <f>IFERROR(__xludf.DUMMYFUNCTION("""COMPUTED_VALUE"""),45704.0)</f>
        <v>45704</v>
      </c>
      <c r="O2387" s="108"/>
      <c r="P2387" s="110" t="str">
        <f>IFERROR(__xludf.DUMMYFUNCTION("""COMPUTED_VALUE"""),"可")</f>
        <v>可</v>
      </c>
      <c r="Q2387" s="108" t="str">
        <f>IFERROR(__xludf.DUMMYFUNCTION("""COMPUTED_VALUE"""),"・TLレーベル：乙女ドルチェ・コミックス")</f>
        <v>・TLレーベル：乙女ドルチェ・コミックス</v>
      </c>
      <c r="R2387" s="108" t="str">
        <f>IFERROR(__xludf.DUMMYFUNCTION("""COMPUTED_VALUE"""),"広告コミットOK(10/24)")</f>
        <v>広告コミットOK(10/24)</v>
      </c>
      <c r="S2387" s="108" t="str">
        <f>IFERROR(__xludf.DUMMYFUNCTION("""COMPUTED_VALUE"""),"20241030_ハーパーコリンズ・ジャパン_皇太子は身代わり姫に二度求愛する")</f>
        <v>20241030_ハーパーコリンズ・ジャパン_皇太子は身代わり姫に二度求愛する</v>
      </c>
      <c r="T2387" s="108" t="str">
        <f>IFERROR(__xludf.DUMMYFUNCTION("""COMPUTED_VALUE"""),"格納済み")</f>
        <v>格納済み</v>
      </c>
      <c r="U2387" s="15" t="str">
        <f>IFERROR(__xludf.DUMMYFUNCTION("""COMPUTED_VALUE"""),"（C)あくた琳子・天条アンナ／ハーパーコリンズ・ジャパン")</f>
        <v>（C)あくた琳子・天条アンナ／ハーパーコリンズ・ジャパン</v>
      </c>
      <c r="V2387" s="8" t="str">
        <f>IFERROR(__xludf.DUMMYFUNCTION("""COMPUTED_VALUE"""),"「自分のものにしたいと思うのは男の性だろう」
いずれ別れる宿命なのに、カレの色に染め上げられて――
病のエレオノール姫に代わり、隣国の皇太子クラウディオに嫁ぐことになった男爵令嬢アリア。会うなり偽物だと見破られてしまったのにそのまま姫として結婚式を挙げ、初夜に臨むことに? 「君が可愛らしく喘ぐから、この有様だ」……いつわりの婚姻なのに熱く求められ、アリアは快楽に蕩かされてしまう。本物の姫と入れ替わる身なのに、クラウディオの執着は日に日に強くなり、時間も場所もわきまえず身体を重ねるようになる。アリア"&amp;"も彼のに真摯な思いに触れて恋に落ちていき――。")</f>
        <v>「自分のものにしたいと思うのは男の性だろう」
いずれ別れる宿命なのに、カレの色に染め上げられて――
病のエレオノール姫に代わり、隣国の皇太子クラウディオに嫁ぐことになった男爵令嬢アリア。会うなり偽物だと見破られてしまったのにそのまま姫として結婚式を挙げ、初夜に臨むことに? 「君が可愛らしく喘ぐから、この有様だ」……いつわりの婚姻なのに熱く求められ、アリアは快楽に蕩かされてしまう。本物の姫と入れ替わる身なのに、クラウディオの執着は日に日に強くなり、時間も場所もわきまえず身体を重ねるようになる。アリアも彼のに真摯な思いに触れて恋に落ちていき――。</v>
      </c>
      <c r="W2387" s="14"/>
      <c r="X2387" s="14" t="str">
        <f>IFERROR(__xludf.DUMMYFUNCTION("""COMPUTED_VALUE"""),"有")</f>
        <v>有</v>
      </c>
      <c r="Y2387" s="8" t="str">
        <f>IFERROR(__xludf.DUMMYFUNCTION("""COMPUTED_VALUE"""),"2025/1/16まで立ち読み増量P35まで")</f>
        <v>2025/1/16まで立ち読み増量P35まで</v>
      </c>
      <c r="Z2387" s="7"/>
      <c r="AA2387" s="7"/>
      <c r="AB2387" s="7"/>
    </row>
    <row r="2388" ht="15.75" customHeight="1">
      <c r="A2388" s="76">
        <f>IFERROR(__xludf.DUMMYFUNCTION("""COMPUTED_VALUE"""),4401.0)</f>
        <v>4401</v>
      </c>
      <c r="B2388" s="108" t="str">
        <f>IFERROR(__xludf.DUMMYFUNCTION("""COMPUTED_VALUE"""),"確定")</f>
        <v>確定</v>
      </c>
      <c r="C2388" s="74">
        <f>IFERROR(__xludf.DUMMYFUNCTION("""COMPUTED_VALUE"""),45588.0)</f>
        <v>45588</v>
      </c>
      <c r="D2388" s="74">
        <f>IFERROR(__xludf.DUMMYFUNCTION("""COMPUTED_VALUE"""),45601.0)</f>
        <v>45601</v>
      </c>
      <c r="E2388" s="112">
        <f>IFERROR(__xludf.DUMMYFUNCTION("""COMPUTED_VALUE"""),306978.0)</f>
        <v>306978</v>
      </c>
      <c r="F2388" s="112" t="str">
        <f>IFERROR(__xludf.DUMMYFUNCTION("""COMPUTED_VALUE"""),"ヘイシー ～野良ネコ保護観察 、失敗～【タテヨミ】")</f>
        <v>ヘイシー ～野良ネコ保護観察 、失敗～【タテヨミ】</v>
      </c>
      <c r="G2388" s="69" t="str">
        <f>IFERROR(__xludf.DUMMYFUNCTION("""COMPUTED_VALUE"""),"1～3")</f>
        <v>1～3</v>
      </c>
      <c r="H2388" s="113" t="str">
        <f>IFERROR(__xludf.DUMMYFUNCTION("""COMPUTED_VALUE"""),"Fuaya,Reshiku        ")</f>
        <v>Fuaya,Reshiku        </v>
      </c>
      <c r="I2388" s="108" t="str">
        <f>IFERROR(__xludf.DUMMYFUNCTION("""COMPUTED_VALUE"""),"BL")</f>
        <v>BL</v>
      </c>
      <c r="J2388" s="108"/>
      <c r="K2388" s="108"/>
      <c r="L2388" s="108" t="str">
        <f>IFERROR(__xludf.DUMMYFUNCTION("""COMPUTED_VALUE"""),"イルダコミックス")</f>
        <v>イルダコミックス</v>
      </c>
      <c r="M2388" s="115">
        <f>IFERROR(__xludf.DUMMYFUNCTION("""COMPUTED_VALUE"""),45620.0)</f>
        <v>45620</v>
      </c>
      <c r="N2388" s="59">
        <f>IFERROR(__xludf.DUMMYFUNCTION("""COMPUTED_VALUE"""),45711.0)</f>
        <v>45711</v>
      </c>
      <c r="O2388" s="108"/>
      <c r="P2388" s="110" t="str">
        <f>IFERROR(__xludf.DUMMYFUNCTION("""COMPUTED_VALUE"""),"可")</f>
        <v>可</v>
      </c>
      <c r="Q2388" s="108" t="str">
        <f>IFERROR(__xludf.DUMMYFUNCTION("""COMPUTED_VALUE"""),"レーベル名：BOOKCUBE")</f>
        <v>レーベル名：BOOKCUBE</v>
      </c>
      <c r="R2388" s="108" t="str">
        <f>IFERROR(__xludf.DUMMYFUNCTION("""COMPUTED_VALUE"""),"広告コミットOK（10/30）")</f>
        <v>広告コミットOK（10/30）</v>
      </c>
      <c r="S2388" s="108" t="str">
        <f>IFERROR(__xludf.DUMMYFUNCTION("""COMPUTED_VALUE"""),"20241031_イルダコミックス_先行３作品")</f>
        <v>20241031_イルダコミックス_先行３作品</v>
      </c>
      <c r="T2388" s="108" t="str">
        <f>IFERROR(__xludf.DUMMYFUNCTION("""COMPUTED_VALUE"""),"格納済み")</f>
        <v>格納済み</v>
      </c>
      <c r="U2388" s="15" t="str">
        <f>IFERROR(__xludf.DUMMYFUNCTION("""COMPUTED_VALUE"""),"(C)BOOKCUBE")</f>
        <v>(C)BOOKCUBE</v>
      </c>
      <c r="V2388" s="8" t="str">
        <f>IFERROR(__xludf.DUMMYFUNCTION("""COMPUTED_VALUE"""),"ワンナイトをした相手は、自分の担当管理対象だった──!?
前科者管理課課長のエジオは、今回の管理対象者を見て驚く。
まさか、こいつは昨日の──!!
昨日寝た相手こそが有力な容疑者「ヘイシー・リノティ」だったのだ。
ちょっと真面目過ぎる管理者×自由奔放に人を弄ぶ前科者のドタバタラブ！")</f>
        <v>ワンナイトをした相手は、自分の担当管理対象だった──!?
前科者管理課課長のエジオは、今回の管理対象者を見て驚く。
まさか、こいつは昨日の──!!
昨日寝た相手こそが有力な容疑者「ヘイシー・リノティ」だったのだ。
ちょっと真面目過ぎる管理者×自由奔放に人を弄ぶ前科者のドタバタラブ！</v>
      </c>
      <c r="W2388" s="14"/>
      <c r="X2388" s="14" t="str">
        <f>IFERROR(__xludf.DUMMYFUNCTION("""COMPUTED_VALUE"""),"有")</f>
        <v>有</v>
      </c>
      <c r="Y2388" s="8" t="str">
        <f>IFERROR(__xludf.DUMMYFUNCTION("""COMPUTED_VALUE"""),"2024/12/7まで1巻無料")</f>
        <v>2024/12/7まで1巻無料</v>
      </c>
      <c r="Z2388" s="7"/>
      <c r="AA2388" s="7"/>
      <c r="AB2388" s="7"/>
    </row>
    <row r="2389" ht="15.75" customHeight="1">
      <c r="A2389" s="76">
        <f>IFERROR(__xludf.DUMMYFUNCTION("""COMPUTED_VALUE"""),4402.0)</f>
        <v>4402</v>
      </c>
      <c r="B2389" s="108" t="str">
        <f>IFERROR(__xludf.DUMMYFUNCTION("""COMPUTED_VALUE"""),"確定")</f>
        <v>確定</v>
      </c>
      <c r="C2389" s="74">
        <f>IFERROR(__xludf.DUMMYFUNCTION("""COMPUTED_VALUE"""),45588.0)</f>
        <v>45588</v>
      </c>
      <c r="D2389" s="74">
        <f>IFERROR(__xludf.DUMMYFUNCTION("""COMPUTED_VALUE"""),45601.0)</f>
        <v>45601</v>
      </c>
      <c r="E2389" s="112">
        <f>IFERROR(__xludf.DUMMYFUNCTION("""COMPUTED_VALUE"""),306979.0)</f>
        <v>306979</v>
      </c>
      <c r="F2389" s="112" t="str">
        <f>IFERROR(__xludf.DUMMYFUNCTION("""COMPUTED_VALUE"""),"ポテ村のカモさん【タテヨミ】")</f>
        <v>ポテ村のカモさん【タテヨミ】</v>
      </c>
      <c r="G2389" s="69" t="str">
        <f>IFERROR(__xludf.DUMMYFUNCTION("""COMPUTED_VALUE"""),"1～3")</f>
        <v>1～3</v>
      </c>
      <c r="H2389" s="113" t="str">
        <f>IFERROR(__xludf.DUMMYFUNCTION("""COMPUTED_VALUE"""),"Dewangogoma Mumen")</f>
        <v>Dewangogoma Mumen</v>
      </c>
      <c r="I2389" s="108" t="str">
        <f>IFERROR(__xludf.DUMMYFUNCTION("""COMPUTED_VALUE"""),"BL")</f>
        <v>BL</v>
      </c>
      <c r="J2389" s="108"/>
      <c r="K2389" s="108"/>
      <c r="L2389" s="108" t="str">
        <f>IFERROR(__xludf.DUMMYFUNCTION("""COMPUTED_VALUE"""),"イルダコミックス")</f>
        <v>イルダコミックス</v>
      </c>
      <c r="M2389" s="115">
        <f>IFERROR(__xludf.DUMMYFUNCTION("""COMPUTED_VALUE"""),45620.0)</f>
        <v>45620</v>
      </c>
      <c r="N2389" s="59">
        <f>IFERROR(__xludf.DUMMYFUNCTION("""COMPUTED_VALUE"""),45711.0)</f>
        <v>45711</v>
      </c>
      <c r="O2389" s="108"/>
      <c r="P2389" s="110" t="str">
        <f>IFERROR(__xludf.DUMMYFUNCTION("""COMPUTED_VALUE"""),"可")</f>
        <v>可</v>
      </c>
      <c r="Q2389" s="108" t="str">
        <f>IFERROR(__xludf.DUMMYFUNCTION("""COMPUTED_VALUE"""),"レーベル名：BOOKCUBE")</f>
        <v>レーベル名：BOOKCUBE</v>
      </c>
      <c r="R2389" s="108" t="str">
        <f>IFERROR(__xludf.DUMMYFUNCTION("""COMPUTED_VALUE"""),"広告コミットOK（10/30）")</f>
        <v>広告コミットOK（10/30）</v>
      </c>
      <c r="S2389" s="108" t="str">
        <f>IFERROR(__xludf.DUMMYFUNCTION("""COMPUTED_VALUE"""),"20241031_イルダコミックス_先行３作品")</f>
        <v>20241031_イルダコミックス_先行３作品</v>
      </c>
      <c r="T2389" s="108" t="str">
        <f>IFERROR(__xludf.DUMMYFUNCTION("""COMPUTED_VALUE"""),"格納済み")</f>
        <v>格納済み</v>
      </c>
      <c r="U2389" s="15" t="str">
        <f>IFERROR(__xludf.DUMMYFUNCTION("""COMPUTED_VALUE"""),"(C)BOOKCUBE")</f>
        <v>(C)BOOKCUBE</v>
      </c>
      <c r="V2389" s="8" t="str">
        <f>IFERROR(__xludf.DUMMYFUNCTION("""COMPUTED_VALUE"""),"「まさか、お前全部飲んだのか──？」
田舎の村で詐欺まがいのサプリを売りつける、キ・ホンウ。
純真そうなアルファの独身男性、ソン・ギョンソにサプリを全て売りつけ安心していたら、全部飲んだ上にラットが来てしまい…!?")</f>
        <v>「まさか、お前全部飲んだのか──？」
田舎の村で詐欺まがいのサプリを売りつける、キ・ホンウ。
純真そうなアルファの独身男性、ソン・ギョンソにサプリを全て売りつけ安心していたら、全部飲んだ上にラットが来てしまい…!?</v>
      </c>
      <c r="W2389" s="14"/>
      <c r="X2389" s="14" t="str">
        <f>IFERROR(__xludf.DUMMYFUNCTION("""COMPUTED_VALUE"""),"有")</f>
        <v>有</v>
      </c>
      <c r="Y2389" s="8" t="str">
        <f>IFERROR(__xludf.DUMMYFUNCTION("""COMPUTED_VALUE"""),"2024/12/7まで1巻無料")</f>
        <v>2024/12/7まで1巻無料</v>
      </c>
      <c r="Z2389" s="7"/>
      <c r="AA2389" s="7"/>
      <c r="AB2389" s="7"/>
    </row>
    <row r="2390" ht="15.75" customHeight="1">
      <c r="A2390" s="76">
        <f>IFERROR(__xludf.DUMMYFUNCTION("""COMPUTED_VALUE"""),4403.0)</f>
        <v>4403</v>
      </c>
      <c r="B2390" s="108" t="str">
        <f>IFERROR(__xludf.DUMMYFUNCTION("""COMPUTED_VALUE"""),"確定")</f>
        <v>確定</v>
      </c>
      <c r="C2390" s="74">
        <f>IFERROR(__xludf.DUMMYFUNCTION("""COMPUTED_VALUE"""),45588.0)</f>
        <v>45588</v>
      </c>
      <c r="D2390" s="74">
        <f>IFERROR(__xludf.DUMMYFUNCTION("""COMPUTED_VALUE"""),45601.0)</f>
        <v>45601</v>
      </c>
      <c r="E2390" s="112">
        <f>IFERROR(__xludf.DUMMYFUNCTION("""COMPUTED_VALUE"""),306977.0)</f>
        <v>306977</v>
      </c>
      <c r="F2390" s="112" t="str">
        <f>IFERROR(__xludf.DUMMYFUNCTION("""COMPUTED_VALUE"""),"ヴィランの私的な秘密【タテヨミ】")</f>
        <v>ヴィランの私的な秘密【タテヨミ】</v>
      </c>
      <c r="G2390" s="69" t="str">
        <f>IFERROR(__xludf.DUMMYFUNCTION("""COMPUTED_VALUE"""),"1～3")</f>
        <v>1～3</v>
      </c>
      <c r="H2390" s="113" t="str">
        <f>IFERROR(__xludf.DUMMYFUNCTION("""COMPUTED_VALUE"""),"Dewangogoma Mumen")</f>
        <v>Dewangogoma Mumen</v>
      </c>
      <c r="I2390" s="108" t="str">
        <f>IFERROR(__xludf.DUMMYFUNCTION("""COMPUTED_VALUE"""),"BL")</f>
        <v>BL</v>
      </c>
      <c r="J2390" s="108"/>
      <c r="K2390" s="108"/>
      <c r="L2390" s="108" t="str">
        <f>IFERROR(__xludf.DUMMYFUNCTION("""COMPUTED_VALUE"""),"イルダコミックス")</f>
        <v>イルダコミックス</v>
      </c>
      <c r="M2390" s="115">
        <f>IFERROR(__xludf.DUMMYFUNCTION("""COMPUTED_VALUE"""),45620.0)</f>
        <v>45620</v>
      </c>
      <c r="N2390" s="59">
        <f>IFERROR(__xludf.DUMMYFUNCTION("""COMPUTED_VALUE"""),45711.0)</f>
        <v>45711</v>
      </c>
      <c r="O2390" s="108"/>
      <c r="P2390" s="110" t="str">
        <f>IFERROR(__xludf.DUMMYFUNCTION("""COMPUTED_VALUE"""),"可")</f>
        <v>可</v>
      </c>
      <c r="Q2390" s="108" t="str">
        <f>IFERROR(__xludf.DUMMYFUNCTION("""COMPUTED_VALUE"""),"レーベル名：BOOKCUBE")</f>
        <v>レーベル名：BOOKCUBE</v>
      </c>
      <c r="R2390" s="108" t="str">
        <f>IFERROR(__xludf.DUMMYFUNCTION("""COMPUTED_VALUE"""),"広告コミットOK（10/30）")</f>
        <v>広告コミットOK（10/30）</v>
      </c>
      <c r="S2390" s="108" t="str">
        <f>IFERROR(__xludf.DUMMYFUNCTION("""COMPUTED_VALUE"""),"20241031_イルダコミックス_先行３作品")</f>
        <v>20241031_イルダコミックス_先行３作品</v>
      </c>
      <c r="T2390" s="108" t="str">
        <f>IFERROR(__xludf.DUMMYFUNCTION("""COMPUTED_VALUE"""),"格納済み")</f>
        <v>格納済み</v>
      </c>
      <c r="U2390" s="15" t="str">
        <f>IFERROR(__xludf.DUMMYFUNCTION("""COMPUTED_VALUE"""),"(C)BOOKCUBE")</f>
        <v>(C)BOOKCUBE</v>
      </c>
      <c r="V2390" s="8" t="str">
        <f>IFERROR(__xludf.DUMMYFUNCTION("""COMPUTED_VALUE"""),"「さっき、俺に協力してくれって言ったよな？」
ある日、平和な都市に突如現れたヴィラン。
ただの善良な市民・テイトは、残業中にヴィランに襲われ捕まってしまう。
ヒーローが現れると妙に興奮するヴィランを見て、テイトはある提案をする…！")</f>
        <v>「さっき、俺に協力してくれって言ったよな？」
ある日、平和な都市に突如現れたヴィラン。
ただの善良な市民・テイトは、残業中にヴィランに襲われ捕まってしまう。
ヒーローが現れると妙に興奮するヴィランを見て、テイトはある提案をする…！</v>
      </c>
      <c r="W2390" s="14"/>
      <c r="X2390" s="14" t="str">
        <f>IFERROR(__xludf.DUMMYFUNCTION("""COMPUTED_VALUE"""),"有")</f>
        <v>有</v>
      </c>
      <c r="Y2390" s="8" t="str">
        <f>IFERROR(__xludf.DUMMYFUNCTION("""COMPUTED_VALUE"""),"2024/12/7まで1巻無料")</f>
        <v>2024/12/7まで1巻無料</v>
      </c>
      <c r="Z2390" s="7"/>
      <c r="AA2390" s="7"/>
      <c r="AB2390" s="7"/>
    </row>
    <row r="2391" ht="15.75" customHeight="1">
      <c r="A2391" s="76">
        <f>IFERROR(__xludf.DUMMYFUNCTION("""COMPUTED_VALUE"""),4408.0)</f>
        <v>4408</v>
      </c>
      <c r="B2391" s="108" t="str">
        <f>IFERROR(__xludf.DUMMYFUNCTION("""COMPUTED_VALUE"""),"確定")</f>
        <v>確定</v>
      </c>
      <c r="C2391" s="74">
        <f>IFERROR(__xludf.DUMMYFUNCTION("""COMPUTED_VALUE"""),45589.0)</f>
        <v>45589</v>
      </c>
      <c r="D2391" s="74">
        <f>IFERROR(__xludf.DUMMYFUNCTION("""COMPUTED_VALUE"""),45601.0)</f>
        <v>45601</v>
      </c>
      <c r="E2391" s="112">
        <f>IFERROR(__xludf.DUMMYFUNCTION("""COMPUTED_VALUE"""),308271.0)</f>
        <v>308271</v>
      </c>
      <c r="F2391" s="124" t="str">
        <f>IFERROR(__xludf.DUMMYFUNCTION("""COMPUTED_VALUE"""),"カースト逆転 エリート陰キャの執愛【タテヨミ】")</f>
        <v>カースト逆転 エリート陰キャの執愛【タテヨミ】</v>
      </c>
      <c r="G2391" s="69" t="str">
        <f>IFERROR(__xludf.DUMMYFUNCTION("""COMPUTED_VALUE"""),"1～10")</f>
        <v>1～10</v>
      </c>
      <c r="H2391" s="108" t="str">
        <f>IFERROR(__xludf.DUMMYFUNCTION("""COMPUTED_VALUE"""),"原作：大塚ユキ 作画：Hyen/13R 制作：una toon studio")</f>
        <v>原作：大塚ユキ 作画：Hyen/13R 制作：una toon studio</v>
      </c>
      <c r="I2391" s="108" t="str">
        <f>IFERROR(__xludf.DUMMYFUNCTION("""COMPUTED_VALUE"""),"BL")</f>
        <v>BL</v>
      </c>
      <c r="J2391" s="108"/>
      <c r="K2391" s="108"/>
      <c r="L2391" s="108" t="str">
        <f>IFERROR(__xludf.DUMMYFUNCTION("""COMPUTED_VALUE"""),"ontembaar")</f>
        <v>ontembaar</v>
      </c>
      <c r="M2391" s="115">
        <f>IFERROR(__xludf.DUMMYFUNCTION("""COMPUTED_VALUE"""),45623.0)</f>
        <v>45623</v>
      </c>
      <c r="N2391" s="117">
        <f>IFERROR(__xludf.DUMMYFUNCTION("""COMPUTED_VALUE"""),45714.0)</f>
        <v>45714</v>
      </c>
      <c r="O2391" s="108"/>
      <c r="P2391" s="114" t="str">
        <f>IFERROR(__xludf.DUMMYFUNCTION("""COMPUTED_VALUE"""),"可")</f>
        <v>可</v>
      </c>
      <c r="Q2391" s="108"/>
      <c r="R2391" s="108" t="str">
        <f>IFERROR(__xludf.DUMMYFUNCTION("""COMPUTED_VALUE"""),"広告コミットOK（10/24）")</f>
        <v>広告コミットOK（10/24）</v>
      </c>
      <c r="S2391" s="108" t="str">
        <f>IFERROR(__xludf.DUMMYFUNCTION("""COMPUTED_VALUE"""),"20241031_ontembaar_カースト逆転 エリート陰キャの執愛")</f>
        <v>20241031_ontembaar_カースト逆転 エリート陰キャの執愛</v>
      </c>
      <c r="T2391" s="108" t="str">
        <f>IFERROR(__xludf.DUMMYFUNCTION("""COMPUTED_VALUE"""),"格納済み")</f>
        <v>格納済み</v>
      </c>
      <c r="U2391" s="15" t="str">
        <f>IFERROR(__xludf.DUMMYFUNCTION("""COMPUTED_VALUE"""),"(c)Una Inc. / (c)Seed Project")</f>
        <v>(c)Una Inc. / (c)Seed Project</v>
      </c>
      <c r="V2391" s="8" t="str">
        <f>IFERROR(__xludf.DUMMYFUNCTION("""COMPUTED_VALUE"""),"高校時代はスクールカースト頂点で今はコンビニバイトのユ・ウヨンと、高校時代は目立たない陰キャで今は超エリートのチョン・ドフン。
同窓会で再会した2人はひょんなことから同居を始める。
正反対な2人。間違いだらけの愛の行方は―。")</f>
        <v>高校時代はスクールカースト頂点で今はコンビニバイトのユ・ウヨンと、高校時代は目立たない陰キャで今は超エリートのチョン・ドフン。
同窓会で再会した2人はひょんなことから同居を始める。
正反対な2人。間違いだらけの愛の行方は―。</v>
      </c>
      <c r="W2391" s="14"/>
      <c r="X2391" s="14" t="str">
        <f>IFERROR(__xludf.DUMMYFUNCTION("""COMPUTED_VALUE"""),"有")</f>
        <v>有</v>
      </c>
      <c r="Y2391" s="8" t="str">
        <f>IFERROR(__xludf.DUMMYFUNCTION("""COMPUTED_VALUE"""),"2025/2/26まで1～2巻無料
2025/1/26まで3巻無料")</f>
        <v>2025/2/26まで1～2巻無料
2025/1/26まで3巻無料</v>
      </c>
      <c r="Z2391" s="7"/>
      <c r="AA2391" s="7"/>
      <c r="AB2391" s="7"/>
    </row>
    <row r="2392" ht="15.75" customHeight="1">
      <c r="A2392" s="76">
        <f>IFERROR(__xludf.DUMMYFUNCTION("""COMPUTED_VALUE"""),4410.0)</f>
        <v>4410</v>
      </c>
      <c r="B2392" s="108" t="str">
        <f>IFERROR(__xludf.DUMMYFUNCTION("""COMPUTED_VALUE"""),"確定")</f>
        <v>確定</v>
      </c>
      <c r="C2392" s="74">
        <f>IFERROR(__xludf.DUMMYFUNCTION("""COMPUTED_VALUE"""),45590.0)</f>
        <v>45590</v>
      </c>
      <c r="D2392" s="74">
        <f>IFERROR(__xludf.DUMMYFUNCTION("""COMPUTED_VALUE"""),45601.0)</f>
        <v>45601</v>
      </c>
      <c r="E2392" s="112">
        <f>IFERROR(__xludf.DUMMYFUNCTION("""COMPUTED_VALUE"""),307712.0)</f>
        <v>307712</v>
      </c>
      <c r="F2392" s="112" t="str">
        <f>IFERROR(__xludf.DUMMYFUNCTION("""COMPUTED_VALUE"""),"里崎くんとだけはシたくない")</f>
        <v>里崎くんとだけはシたくない</v>
      </c>
      <c r="G2392" s="69" t="str">
        <f>IFERROR(__xludf.DUMMYFUNCTION("""COMPUTED_VALUE"""),"1～3")</f>
        <v>1～3</v>
      </c>
      <c r="H2392" s="108" t="str">
        <f>IFERROR(__xludf.DUMMYFUNCTION("""COMPUTED_VALUE"""),"原作∕野溝さやか ネーム∕さわだ 作画/⼀ノ瀬さと")</f>
        <v>原作∕野溝さやか ネーム∕さわだ 作画/⼀ノ瀬さと</v>
      </c>
      <c r="I2392" s="108" t="str">
        <f>IFERROR(__xludf.DUMMYFUNCTION("""COMPUTED_VALUE"""),"女性")</f>
        <v>女性</v>
      </c>
      <c r="J2392" s="108"/>
      <c r="K2392" s="108"/>
      <c r="L2392" s="108" t="str">
        <f>IFERROR(__xludf.DUMMYFUNCTION("""COMPUTED_VALUE"""),"taskey")</f>
        <v>taskey</v>
      </c>
      <c r="M2392" s="115">
        <f>IFERROR(__xludf.DUMMYFUNCTION("""COMPUTED_VALUE"""),45625.0)</f>
        <v>45625</v>
      </c>
      <c r="N2392" s="117">
        <f>IFERROR(__xludf.DUMMYFUNCTION("""COMPUTED_VALUE"""),45716.0)</f>
        <v>45716</v>
      </c>
      <c r="O2392" s="108"/>
      <c r="P2392" s="114" t="str">
        <f>IFERROR(__xludf.DUMMYFUNCTION("""COMPUTED_VALUE"""),"可")</f>
        <v>可</v>
      </c>
      <c r="Q2392" s="108"/>
      <c r="R2392" s="108" t="str">
        <f>IFERROR(__xludf.DUMMYFUNCTION("""COMPUTED_VALUE"""),"広告コミットOK（10/29）")</f>
        <v>広告コミットOK（10/29）</v>
      </c>
      <c r="S2392" s="108" t="str">
        <f>IFERROR(__xludf.DUMMYFUNCTION("""COMPUTED_VALUE"""),"20241030_taskey_里崎くんとだけはシたくない")</f>
        <v>20241030_taskey_里崎くんとだけはシたくない</v>
      </c>
      <c r="T2392" s="108" t="str">
        <f>IFERROR(__xludf.DUMMYFUNCTION("""COMPUTED_VALUE"""),"格納済み")</f>
        <v>格納済み</v>
      </c>
      <c r="U2392" s="15" t="str">
        <f>IFERROR(__xludf.DUMMYFUNCTION("""COMPUTED_VALUE"""),"©taskey 原作∕野溝さやか ネーム∕さわだ 作画/⼀ノ瀬さと")</f>
        <v>©taskey 原作∕野溝さやか ネーム∕さわだ 作画/⼀ノ瀬さと</v>
      </c>
      <c r="V2392" s="8" t="str">
        <f>IFERROR(__xludf.DUMMYFUNCTION("""COMPUTED_VALUE"""),"茉莉（29）は広告制作会社に勤めるキャリアウーマン。容姿端麗で、仕事の成績もトップ。誰もが憧れる高嶺の花の茉莉だったが、実は誰にも言えない秘密を抱えていた。——それは、もうすぐ30歳なのに”処女”であること。茉莉は未経験の自分を恥じ、SNSの匿名掲示板で相談しようとする。しかし、そんな行動を生意気な部下・里崎に目撃されてしまい——⁉︎")</f>
        <v>茉莉（29）は広告制作会社に勤めるキャリアウーマン。容姿端麗で、仕事の成績もトップ。誰もが憧れる高嶺の花の茉莉だったが、実は誰にも言えない秘密を抱えていた。——それは、もうすぐ30歳なのに”処女”であること。茉莉は未経験の自分を恥じ、SNSの匿名掲示板で相談しようとする。しかし、そんな行動を生意気な部下・里崎に目撃されてしまい——⁉︎</v>
      </c>
      <c r="W2392" s="14"/>
      <c r="X2392" s="14" t="str">
        <f>IFERROR(__xludf.DUMMYFUNCTION("""COMPUTED_VALUE"""),"有")</f>
        <v>有</v>
      </c>
      <c r="Y2392" s="8" t="str">
        <f>IFERROR(__xludf.DUMMYFUNCTION("""COMPUTED_VALUE"""),"2025/2/28まで1巻無料")</f>
        <v>2025/2/28まで1巻無料</v>
      </c>
      <c r="Z2392" s="7"/>
      <c r="AA2392" s="7"/>
      <c r="AB2392" s="7"/>
    </row>
    <row r="2393" ht="15.75" customHeight="1">
      <c r="A2393" s="76">
        <f>IFERROR(__xludf.DUMMYFUNCTION("""COMPUTED_VALUE"""),4411.0)</f>
        <v>4411</v>
      </c>
      <c r="B2393" s="108" t="str">
        <f>IFERROR(__xludf.DUMMYFUNCTION("""COMPUTED_VALUE"""),"確定")</f>
        <v>確定</v>
      </c>
      <c r="C2393" s="74">
        <f>IFERROR(__xludf.DUMMYFUNCTION("""COMPUTED_VALUE"""),45590.0)</f>
        <v>45590</v>
      </c>
      <c r="D2393" s="74">
        <f>IFERROR(__xludf.DUMMYFUNCTION("""COMPUTED_VALUE"""),45602.0)</f>
        <v>45602</v>
      </c>
      <c r="E2393" s="112">
        <f>IFERROR(__xludf.DUMMYFUNCTION("""COMPUTED_VALUE"""),307731.0)</f>
        <v>307731</v>
      </c>
      <c r="F2393" s="112" t="str">
        <f>IFERROR(__xludf.DUMMYFUNCTION("""COMPUTED_VALUE"""),"おやすみメリーくん")</f>
        <v>おやすみメリーくん</v>
      </c>
      <c r="G2393" s="69">
        <f>IFERROR(__xludf.DUMMYFUNCTION("""COMPUTED_VALUE"""),1.0)</f>
        <v>1</v>
      </c>
      <c r="H2393" s="108" t="str">
        <f>IFERROR(__xludf.DUMMYFUNCTION("""COMPUTED_VALUE"""),"三ツ矢凡人")</f>
        <v>三ツ矢凡人</v>
      </c>
      <c r="I2393" s="108" t="str">
        <f>IFERROR(__xludf.DUMMYFUNCTION("""COMPUTED_VALUE"""),"BL")</f>
        <v>BL</v>
      </c>
      <c r="J2393" s="108"/>
      <c r="K2393" s="108"/>
      <c r="L2393" s="108" t="str">
        <f>IFERROR(__xludf.DUMMYFUNCTION("""COMPUTED_VALUE"""),"東京漫画社")</f>
        <v>東京漫画社</v>
      </c>
      <c r="M2393" s="115">
        <f>IFERROR(__xludf.DUMMYFUNCTION("""COMPUTED_VALUE"""),45626.0)</f>
        <v>45626</v>
      </c>
      <c r="N2393" s="117">
        <f>IFERROR(__xludf.DUMMYFUNCTION("""COMPUTED_VALUE"""),45687.0)</f>
        <v>45687</v>
      </c>
      <c r="O2393" s="108"/>
      <c r="P2393" s="110" t="str">
        <f>IFERROR(__xludf.DUMMYFUNCTION("""COMPUTED_VALUE"""),"可")</f>
        <v>可</v>
      </c>
      <c r="Q2393" s="108" t="str">
        <f>IFERROR(__xludf.DUMMYFUNCTION("""COMPUTED_VALUE"""),"※5話程度で連載終了予定。その後はコミックス版の配信予定")</f>
        <v>※5話程度で連載終了予定。その後はコミックス版の配信予定</v>
      </c>
      <c r="R2393" s="108" t="str">
        <f>IFERROR(__xludf.DUMMYFUNCTION("""COMPUTED_VALUE"""),"広告コミットOK（10/29）")</f>
        <v>広告コミットOK（10/29）</v>
      </c>
      <c r="S2393" s="108" t="str">
        <f>IFERROR(__xludf.DUMMYFUNCTION("""COMPUTED_VALUE"""),"20241105_東京漫画社‗おやすみメリーくん")</f>
        <v>20241105_東京漫画社‗おやすみメリーくん</v>
      </c>
      <c r="T2393" s="108" t="str">
        <f>IFERROR(__xludf.DUMMYFUNCTION("""COMPUTED_VALUE"""),"格納済み")</f>
        <v>格納済み</v>
      </c>
      <c r="U2393" s="15" t="str">
        <f>IFERROR(__xludf.DUMMYFUNCTION("""COMPUTED_VALUE"""),"©三ツ矢凡人/東京漫画社")</f>
        <v>©三ツ矢凡人/東京漫画社</v>
      </c>
      <c r="V2393" s="8" t="str">
        <f>IFERROR(__xludf.DUMMYFUNCTION("""COMPUTED_VALUE"""),"お疲れMAXの社畜リーマンが頼んだ「癒しデリバリー」。やって来たのは究極に癒してくれるえっちで巨乳の……男の子?!?!
おっぱいの大きいお姉さんに優しく快眠に誘ってもらうはずが、自分より体格のいい男子に全身洗われちゃってパニック！
でもなんだかそのほわっとした雰囲気に、やわらかな雄っぱいに、何だかコカンがそわそわして…。
おおきい受けは、いいものです！
三ツ矢凡人が贈るえろとろヒーリングラブ！!
『Fig vol.70』に収録されているものと同じ内容になります。")</f>
        <v>お疲れMAXの社畜リーマンが頼んだ「癒しデリバリー」。やって来たのは究極に癒してくれるえっちで巨乳の……男の子?!?!
おっぱいの大きいお姉さんに優しく快眠に誘ってもらうはずが、自分より体格のいい男子に全身洗われちゃってパニック！
でもなんだかそのほわっとした雰囲気に、やわらかな雄っぱいに、何だかコカンがそわそわして…。
おおきい受けは、いいものです！
三ツ矢凡人が贈るえろとろヒーリングラブ！!
『Fig vol.70』に収録されているものと同じ内容になります。</v>
      </c>
      <c r="W2393" s="14"/>
      <c r="X2393" s="14" t="str">
        <f>IFERROR(__xludf.DUMMYFUNCTION("""COMPUTED_VALUE"""),"有")</f>
        <v>有</v>
      </c>
      <c r="Y2393" s="8" t="str">
        <f>IFERROR(__xludf.DUMMYFUNCTION("""COMPUTED_VALUE"""),"P5まで")</f>
        <v>P5まで</v>
      </c>
      <c r="Z2393" s="7"/>
      <c r="AA2393" s="7"/>
      <c r="AB2393" s="7"/>
    </row>
    <row r="2394" ht="15.75" customHeight="1">
      <c r="A2394" s="76">
        <f>IFERROR(__xludf.DUMMYFUNCTION("""COMPUTED_VALUE"""),4426.0)</f>
        <v>4426</v>
      </c>
      <c r="B2394" s="108" t="str">
        <f>IFERROR(__xludf.DUMMYFUNCTION("""COMPUTED_VALUE"""),"確定")</f>
        <v>確定</v>
      </c>
      <c r="C2394" s="74">
        <f>IFERROR(__xludf.DUMMYFUNCTION("""COMPUTED_VALUE"""),45594.0)</f>
        <v>45594</v>
      </c>
      <c r="D2394" s="74">
        <f>IFERROR(__xludf.DUMMYFUNCTION("""COMPUTED_VALUE"""),45601.0)</f>
        <v>45601</v>
      </c>
      <c r="E2394" s="112">
        <f>IFERROR(__xludf.DUMMYFUNCTION("""COMPUTED_VALUE"""),308167.0)</f>
        <v>308167</v>
      </c>
      <c r="F2394" s="112" t="str">
        <f>IFERROR(__xludf.DUMMYFUNCTION("""COMPUTED_VALUE"""),"王都霊薬ものがたり")</f>
        <v>王都霊薬ものがたり</v>
      </c>
      <c r="G2394" s="69" t="str">
        <f>IFERROR(__xludf.DUMMYFUNCTION("""COMPUTED_VALUE"""),"1～7")</f>
        <v>1～7</v>
      </c>
      <c r="H2394" s="108" t="str">
        <f>IFERROR(__xludf.DUMMYFUNCTION("""COMPUTED_VALUE"""),"神木啓┴アンブル編集部")</f>
        <v>神木啓┴アンブル編集部</v>
      </c>
      <c r="I2394" s="108" t="str">
        <f>IFERROR(__xludf.DUMMYFUNCTION("""COMPUTED_VALUE"""),"青年")</f>
        <v>青年</v>
      </c>
      <c r="J2394" s="108"/>
      <c r="K2394" s="108"/>
      <c r="L2394" s="108" t="str">
        <f>IFERROR(__xludf.DUMMYFUNCTION("""COMPUTED_VALUE"""),"ライブコミックス")</f>
        <v>ライブコミックス</v>
      </c>
      <c r="M2394" s="115">
        <f>IFERROR(__xludf.DUMMYFUNCTION("""COMPUTED_VALUE"""),45639.0)</f>
        <v>45639</v>
      </c>
      <c r="N2394" s="59">
        <f>IFERROR(__xludf.DUMMYFUNCTION("""COMPUTED_VALUE"""),45701.0)</f>
        <v>45701</v>
      </c>
      <c r="O2394" s="108"/>
      <c r="P2394" s="110" t="str">
        <f>IFERROR(__xludf.DUMMYFUNCTION("""COMPUTED_VALUE"""),"可")</f>
        <v>可</v>
      </c>
      <c r="Q2394" s="108" t="str">
        <f>IFERROR(__xludf.DUMMYFUNCTION("""COMPUTED_VALUE"""),"1~5巻までの内容で広告制作お願いします。")</f>
        <v>1~5巻までの内容で広告制作お願いします。</v>
      </c>
      <c r="R2394" s="108" t="str">
        <f>IFERROR(__xludf.DUMMYFUNCTION("""COMPUTED_VALUE"""),"広告コミットOK(10/31)")</f>
        <v>広告コミットOK(10/31)</v>
      </c>
      <c r="S2394" s="108" t="str">
        <f>IFERROR(__xludf.DUMMYFUNCTION("""COMPUTED_VALUE"""),"20241029_BookLive_王都霊薬ものがたり")</f>
        <v>20241029_BookLive_王都霊薬ものがたり</v>
      </c>
      <c r="T2394" s="108" t="str">
        <f>IFERROR(__xludf.DUMMYFUNCTION("""COMPUTED_VALUE"""),"格納済み")</f>
        <v>格納済み</v>
      </c>
      <c r="U2394" s="15" t="str">
        <f>IFERROR(__xludf.DUMMYFUNCTION("""COMPUTED_VALUE"""),"Ⓒ神木啓/ライブコミックス")</f>
        <v>Ⓒ神木啓/ライブコミックス</v>
      </c>
      <c r="V2394" s="8" t="str">
        <f>IFERROR(__xludf.DUMMYFUNCTION("""COMPUTED_VALUE"""),"どんな傷もたちまち癒やす魔法の薬、エリクサー。伝説やお伽話に語られる霊薬が、もし実在したら――？　訳あって引退した女騎士・ダーシャと優男の薬師・モイミール。偶然出会った二人はエリクサーのために意気投合、冒険の荒波へと身を投じるのであった。リタイア騎士と現役薬師が霊薬のために東奔西走！正統派にして王道のファンタジー冒険譚！！")</f>
        <v>どんな傷もたちまち癒やす魔法の薬、エリクサー。伝説やお伽話に語られる霊薬が、もし実在したら――？　訳あって引退した女騎士・ダーシャと優男の薬師・モイミール。偶然出会った二人はエリクサーのために意気投合、冒険の荒波へと身を投じるのであった。リタイア騎士と現役薬師が霊薬のために東奔西走！正統派にして王道のファンタジー冒険譚！！</v>
      </c>
      <c r="W2394" s="14"/>
      <c r="X2394" s="14" t="str">
        <f>IFERROR(__xludf.DUMMYFUNCTION("""COMPUTED_VALUE"""),"有")</f>
        <v>有</v>
      </c>
      <c r="Y2394" s="8" t="str">
        <f>IFERROR(__xludf.DUMMYFUNCTION("""COMPUTED_VALUE"""),"2024/12/31まで1～2巻無料")</f>
        <v>2024/12/31まで1～2巻無料</v>
      </c>
      <c r="Z2394" s="7"/>
      <c r="AA2394" s="7"/>
      <c r="AB2394" s="7"/>
    </row>
    <row r="2395" ht="15.75" customHeight="1">
      <c r="A2395" s="76">
        <f>IFERROR(__xludf.DUMMYFUNCTION("""COMPUTED_VALUE"""),4439.0)</f>
        <v>4439</v>
      </c>
      <c r="B2395" s="108" t="str">
        <f>IFERROR(__xludf.DUMMYFUNCTION("""COMPUTED_VALUE"""),"確定")</f>
        <v>確定</v>
      </c>
      <c r="C2395" s="74">
        <f>IFERROR(__xludf.DUMMYFUNCTION("""COMPUTED_VALUE"""),45595.0)</f>
        <v>45595</v>
      </c>
      <c r="D2395" s="74">
        <f>IFERROR(__xludf.DUMMYFUNCTION("""COMPUTED_VALUE"""),45596.0)</f>
        <v>45596</v>
      </c>
      <c r="E2395" s="112">
        <f>IFERROR(__xludf.DUMMYFUNCTION("""COMPUTED_VALUE"""),307483.0)</f>
        <v>307483</v>
      </c>
      <c r="F2395" s="112" t="str">
        <f>IFERROR(__xludf.DUMMYFUNCTION("""COMPUTED_VALUE"""),"しようよ、佐野くん！")</f>
        <v>しようよ、佐野くん！</v>
      </c>
      <c r="G2395" s="69" t="str">
        <f>IFERROR(__xludf.DUMMYFUNCTION("""COMPUTED_VALUE"""),"1～5")</f>
        <v>1～5</v>
      </c>
      <c r="H2395" s="108" t="str">
        <f>IFERROR(__xludf.DUMMYFUNCTION("""COMPUTED_VALUE"""),"菜乃ひる")</f>
        <v>菜乃ひる</v>
      </c>
      <c r="I2395" s="113" t="str">
        <f>IFERROR(__xludf.DUMMYFUNCTION("""COMPUTED_VALUE"""),"女性")</f>
        <v>女性</v>
      </c>
      <c r="J2395" s="108"/>
      <c r="K2395" s="108"/>
      <c r="L2395" s="108" t="str">
        <f>IFERROR(__xludf.DUMMYFUNCTION("""COMPUTED_VALUE"""),"集英社")</f>
        <v>集英社</v>
      </c>
      <c r="M2395" s="115">
        <f>IFERROR(__xludf.DUMMYFUNCTION("""COMPUTED_VALUE"""),45621.0)</f>
        <v>45621</v>
      </c>
      <c r="N2395" s="115">
        <f>IFERROR(__xludf.DUMMYFUNCTION("""COMPUTED_VALUE"""),45650.0)</f>
        <v>45650</v>
      </c>
      <c r="O2395" s="108"/>
      <c r="P2395" s="110" t="str">
        <f>IFERROR(__xludf.DUMMYFUNCTION("""COMPUTED_VALUE"""),"否")</f>
        <v>否</v>
      </c>
      <c r="Q2395" s="111" t="str">
        <f>IFERROR(__xludf.DUMMYFUNCTION("""COMPUTED_VALUE"""),"・レーベル名：マーガレットコミックスDIGITAL&lt;BR&gt;")</f>
        <v>・レーベル名：マーガレットコミックスDIGITAL&lt;BR&gt;</v>
      </c>
      <c r="R2395" s="108"/>
      <c r="S2395" s="108" t="str">
        <f>IFERROR(__xludf.DUMMYFUNCTION("""COMPUTED_VALUE"""),"20241030_集英社_しようよ、佐野くん！")</f>
        <v>20241030_集英社_しようよ、佐野くん！</v>
      </c>
      <c r="T2395" s="108" t="str">
        <f>IFERROR(__xludf.DUMMYFUNCTION("""COMPUTED_VALUE"""),"格納済み")</f>
        <v>格納済み</v>
      </c>
      <c r="U2395" s="15" t="str">
        <f>IFERROR(__xludf.DUMMYFUNCTION("""COMPUTED_VALUE"""),"(c)菜乃ひる／集英社")</f>
        <v>(c)菜乃ひる／集英社</v>
      </c>
      <c r="V2395" s="8" t="str">
        <f>IFERROR(__xludf.DUMMYFUNCTION("""COMPUTED_VALUE"""),"会社の大学生バイトはいけ好かないイケメン王子。きっと女の子を泣かせてきたに違いない！　ある日彼と一緒におしゃれなバーに…いい感じになっちゃって蓋を開けてみれば…童貞男子!?　一緒に大人の階段上りましょう！")</f>
        <v>会社の大学生バイトはいけ好かないイケメン王子。きっと女の子を泣かせてきたに違いない！　ある日彼と一緒におしゃれなバーに…いい感じになっちゃって蓋を開けてみれば…童貞男子!?　一緒に大人の階段上りましょう！</v>
      </c>
      <c r="W2395" s="14"/>
      <c r="X2395" s="14" t="str">
        <f>IFERROR(__xludf.DUMMYFUNCTION("""COMPUTED_VALUE"""),"有")</f>
        <v>有</v>
      </c>
      <c r="Y2395" s="8" t="str">
        <f>IFERROR(__xludf.DUMMYFUNCTION("""COMPUTED_VALUE"""),"2024/12/24まで1巻無料")</f>
        <v>2024/12/24まで1巻無料</v>
      </c>
      <c r="Z2395" s="7"/>
      <c r="AA2395" s="7"/>
      <c r="AB2395" s="7"/>
    </row>
    <row r="2396" ht="15.75" customHeight="1">
      <c r="A2396" s="76">
        <f>IFERROR(__xludf.DUMMYFUNCTION("""COMPUTED_VALUE"""),4441.0)</f>
        <v>4441</v>
      </c>
      <c r="B2396" s="108" t="str">
        <f>IFERROR(__xludf.DUMMYFUNCTION("""COMPUTED_VALUE"""),"確定")</f>
        <v>確定</v>
      </c>
      <c r="C2396" s="74">
        <f>IFERROR(__xludf.DUMMYFUNCTION("""COMPUTED_VALUE"""),45595.0)</f>
        <v>45595</v>
      </c>
      <c r="D2396" s="74">
        <f>IFERROR(__xludf.DUMMYFUNCTION("""COMPUTED_VALUE"""),45596.0)</f>
        <v>45596</v>
      </c>
      <c r="E2396" s="112">
        <f>IFERROR(__xludf.DUMMYFUNCTION("""COMPUTED_VALUE"""),307366.0)</f>
        <v>307366</v>
      </c>
      <c r="F2396" s="112" t="str">
        <f>IFERROR(__xludf.DUMMYFUNCTION("""COMPUTED_VALUE"""),"春待ちのめぶき")</f>
        <v>春待ちのめぶき</v>
      </c>
      <c r="G2396" s="69">
        <f>IFERROR(__xludf.DUMMYFUNCTION("""COMPUTED_VALUE"""),1.0)</f>
        <v>1</v>
      </c>
      <c r="H2396" s="108" t="str">
        <f>IFERROR(__xludf.DUMMYFUNCTION("""COMPUTED_VALUE"""),"藤好明")</f>
        <v>藤好明</v>
      </c>
      <c r="I2396" s="108" t="str">
        <f>IFERROR(__xludf.DUMMYFUNCTION("""COMPUTED_VALUE"""),"少女")</f>
        <v>少女</v>
      </c>
      <c r="J2396" s="108"/>
      <c r="K2396" s="108"/>
      <c r="L2396" s="108" t="str">
        <f>IFERROR(__xludf.DUMMYFUNCTION("""COMPUTED_VALUE"""),"集英社")</f>
        <v>集英社</v>
      </c>
      <c r="M2396" s="115">
        <f>IFERROR(__xludf.DUMMYFUNCTION("""COMPUTED_VALUE"""),45620.0)</f>
        <v>45620</v>
      </c>
      <c r="N2396" s="115">
        <f>IFERROR(__xludf.DUMMYFUNCTION("""COMPUTED_VALUE"""),45679.70833333333)</f>
        <v>45679.70833</v>
      </c>
      <c r="O2396" s="108"/>
      <c r="P2396" s="110" t="str">
        <f>IFERROR(__xludf.DUMMYFUNCTION("""COMPUTED_VALUE"""),"否")</f>
        <v>否</v>
      </c>
      <c r="Q2396" s="111" t="str">
        <f>IFERROR(__xludf.DUMMYFUNCTION("""COMPUTED_VALUE"""),"・レーベル名：マーガレットコミックスDIGITAL&lt;BR&gt;")</f>
        <v>・レーベル名：マーガレットコミックスDIGITAL&lt;BR&gt;</v>
      </c>
      <c r="R2396" s="108"/>
      <c r="S2396" s="108" t="str">
        <f>IFERROR(__xludf.DUMMYFUNCTION("""COMPUTED_VALUE"""),"20241030_集英社_春待ちのめぶき")</f>
        <v>20241030_集英社_春待ちのめぶき</v>
      </c>
      <c r="T2396" s="108" t="str">
        <f>IFERROR(__xludf.DUMMYFUNCTION("""COMPUTED_VALUE"""),"格納済み")</f>
        <v>格納済み</v>
      </c>
      <c r="U2396" s="15" t="str">
        <f>IFERROR(__xludf.DUMMYFUNCTION("""COMPUTED_VALUE"""),"(c)藤好明／集英社")</f>
        <v>(c)藤好明／集英社</v>
      </c>
      <c r="V2396" s="8" t="str">
        <f>IFERROR(__xludf.DUMMYFUNCTION("""COMPUTED_VALUE"""),"【恋って、こんなに痛いものなんだ】幼なじみの楽（らく）への恋心に気づいた芽吹。ところが彼の想い人は、ふたりの中学の時の副担任“由希ちゃん先生”だったと知り……!?　好きな人の幸せは、本当に自分の幸せ？　切ない気持ちが交錯する青春ストーリー！")</f>
        <v>【恋って、こんなに痛いものなんだ】幼なじみの楽（らく）への恋心に気づいた芽吹。ところが彼の想い人は、ふたりの中学の時の副担任“由希ちゃん先生”だったと知り……!?　好きな人の幸せは、本当に自分の幸せ？　切ない気持ちが交錯する青春ストーリー！</v>
      </c>
      <c r="W2396" s="14"/>
      <c r="X2396" s="14" t="str">
        <f>IFERROR(__xludf.DUMMYFUNCTION("""COMPUTED_VALUE"""),"有")</f>
        <v>有</v>
      </c>
      <c r="Y2396" s="8" t="str">
        <f>IFERROR(__xludf.DUMMYFUNCTION("""COMPUTED_VALUE"""),"2024/12/23まで立ち読み増量P88まで")</f>
        <v>2024/12/23まで立ち読み増量P88まで</v>
      </c>
      <c r="Z2396" s="7"/>
      <c r="AA2396" s="7"/>
      <c r="AB2396" s="7"/>
    </row>
    <row r="2397" ht="15.75" customHeight="1">
      <c r="A2397" s="76">
        <f>IFERROR(__xludf.DUMMYFUNCTION("""COMPUTED_VALUE"""),4442.0)</f>
        <v>4442</v>
      </c>
      <c r="B2397" s="108" t="str">
        <f>IFERROR(__xludf.DUMMYFUNCTION("""COMPUTED_VALUE"""),"確定")</f>
        <v>確定</v>
      </c>
      <c r="C2397" s="74">
        <f>IFERROR(__xludf.DUMMYFUNCTION("""COMPUTED_VALUE"""),45595.0)</f>
        <v>45595</v>
      </c>
      <c r="D2397" s="74">
        <f>IFERROR(__xludf.DUMMYFUNCTION("""COMPUTED_VALUE"""),45596.0)</f>
        <v>45596</v>
      </c>
      <c r="E2397" s="112">
        <f>IFERROR(__xludf.DUMMYFUNCTION("""COMPUTED_VALUE"""),307713.0)</f>
        <v>307713</v>
      </c>
      <c r="F2397" s="112" t="str">
        <f>IFERROR(__xludf.DUMMYFUNCTION("""COMPUTED_VALUE"""),"死に戻り花嫁の２度目の結婚生活～離婚宣言した旦那様が溺愛してきます～")</f>
        <v>死に戻り花嫁の２度目の結婚生活～離婚宣言した旦那様が溺愛してきます～</v>
      </c>
      <c r="G2397" s="69" t="str">
        <f>IFERROR(__xludf.DUMMYFUNCTION("""COMPUTED_VALUE"""),"1～3")</f>
        <v>1～3</v>
      </c>
      <c r="H2397" s="108" t="str">
        <f>IFERROR(__xludf.DUMMYFUNCTION("""COMPUTED_VALUE"""),"桔梗夕灯")</f>
        <v>桔梗夕灯</v>
      </c>
      <c r="I2397" s="108" t="str">
        <f>IFERROR(__xludf.DUMMYFUNCTION("""COMPUTED_VALUE"""),"女性")</f>
        <v>女性</v>
      </c>
      <c r="J2397" s="108"/>
      <c r="K2397" s="108"/>
      <c r="L2397" s="108" t="str">
        <f>IFERROR(__xludf.DUMMYFUNCTION("""COMPUTED_VALUE"""),"Bevy")</f>
        <v>Bevy</v>
      </c>
      <c r="M2397" s="23">
        <f>IFERROR(__xludf.DUMMYFUNCTION("""COMPUTED_VALUE"""),45627.0)</f>
        <v>45627</v>
      </c>
      <c r="N2397" s="59">
        <f>IFERROR(__xludf.DUMMYFUNCTION("""COMPUTED_VALUE"""),45715.0)</f>
        <v>45715</v>
      </c>
      <c r="O2397" s="108"/>
      <c r="P2397" s="110" t="str">
        <f>IFERROR(__xludf.DUMMYFUNCTION("""COMPUTED_VALUE"""),"可")</f>
        <v>可</v>
      </c>
      <c r="Q2397" s="111" t="str">
        <f>IFERROR(__xludf.DUMMYFUNCTION("""COMPUTED_VALUE"""),"協業作品です&lt;BR&gt;レーベル名： シーモア×hachico&lt;BR&gt;素材を3分割して1～3巻分として使用してください")</f>
        <v>協業作品です&lt;BR&gt;レーベル名： シーモア×hachico&lt;BR&gt;素材を3分割して1～3巻分として使用してください</v>
      </c>
      <c r="R2397" s="108"/>
      <c r="S2397" s="108" t="str">
        <f>IFERROR(__xludf.DUMMYFUNCTION("""COMPUTED_VALUE"""),"20241030_Bevy_死に戻り花嫁の２度目の結婚生活")</f>
        <v>20241030_Bevy_死に戻り花嫁の２度目の結婚生活</v>
      </c>
      <c r="T2397" s="108" t="str">
        <f>IFERROR(__xludf.DUMMYFUNCTION("""COMPUTED_VALUE"""),"格納済み")</f>
        <v>格納済み</v>
      </c>
      <c r="U2397" s="15" t="str">
        <f>IFERROR(__xludf.DUMMYFUNCTION("""COMPUTED_VALUE"""),"©桔梗夕灯/Bevy")</f>
        <v>©桔梗夕灯/Bevy</v>
      </c>
      <c r="V2397" s="8" t="str">
        <f>IFERROR(__xludf.DUMMYFUNCTION("""COMPUTED_VALUE"""),"愛のない政略結婚で王家に嫁いだ公爵令嬢のララ。ある日、賊に襲われ夫と共に死んで…気がつくと結婚前に戻っていた！？今度は死の運命を回避して夫に愛されたい！そう決意して数年、夫はまだ少しそっけないけど結婚生活は穏やかで…。だけど、ある日いきなり離婚を切り出されて。思わず妊娠していると嘘をつくと、夫がやたらと甘く接してくるようになり…。跡継ぎのためだと分かっていても、そんな優しくされたら勘違いしてしまう―。想定外すぎる方向に動き出した2度目の結婚生活。死に戻り花嫁の運命は―…。")</f>
        <v>愛のない政略結婚で王家に嫁いだ公爵令嬢のララ。ある日、賊に襲われ夫と共に死んで…気がつくと結婚前に戻っていた！？今度は死の運命を回避して夫に愛されたい！そう決意して数年、夫はまだ少しそっけないけど結婚生活は穏やかで…。だけど、ある日いきなり離婚を切り出されて。思わず妊娠していると嘘をつくと、夫がやたらと甘く接してくるようになり…。跡継ぎのためだと分かっていても、そんな優しくされたら勘違いしてしまう―。想定外すぎる方向に動き出した2度目の結婚生活。死に戻り花嫁の運命は―…。</v>
      </c>
      <c r="W2397" s="14"/>
      <c r="X2397" s="14" t="str">
        <f>IFERROR(__xludf.DUMMYFUNCTION("""COMPUTED_VALUE"""),"有")</f>
        <v>有</v>
      </c>
      <c r="Y2397" s="8" t="str">
        <f>IFERROR(__xludf.DUMMYFUNCTION("""COMPUTED_VALUE"""),"2025/2/27まで1巻無料")</f>
        <v>2025/2/27まで1巻無料</v>
      </c>
      <c r="Z2397" s="7"/>
      <c r="AA2397" s="7"/>
      <c r="AB2397" s="7"/>
    </row>
    <row r="2398" ht="15.75" customHeight="1">
      <c r="A2398" s="76">
        <f>IFERROR(__xludf.DUMMYFUNCTION("""COMPUTED_VALUE"""),4443.0)</f>
        <v>4443</v>
      </c>
      <c r="B2398" s="108" t="str">
        <f>IFERROR(__xludf.DUMMYFUNCTION("""COMPUTED_VALUE"""),"確定")</f>
        <v>確定</v>
      </c>
      <c r="C2398" s="74">
        <f>IFERROR(__xludf.DUMMYFUNCTION("""COMPUTED_VALUE"""),45595.0)</f>
        <v>45595</v>
      </c>
      <c r="D2398" s="74">
        <f>IFERROR(__xludf.DUMMYFUNCTION("""COMPUTED_VALUE"""),45596.0)</f>
        <v>45596</v>
      </c>
      <c r="E2398" s="116">
        <f>IFERROR(__xludf.DUMMYFUNCTION("""COMPUTED_VALUE"""),156822.0)</f>
        <v>156822</v>
      </c>
      <c r="F2398" s="112" t="str">
        <f>IFERROR(__xludf.DUMMYFUNCTION("""COMPUTED_VALUE"""),"忍べよ！ストーカー")</f>
        <v>忍べよ！ストーカー</v>
      </c>
      <c r="G2398" s="69">
        <f>IFERROR(__xludf.DUMMYFUNCTION("""COMPUTED_VALUE"""),2.0)</f>
        <v>2</v>
      </c>
      <c r="H2398" s="108" t="str">
        <f>IFERROR(__xludf.DUMMYFUNCTION("""COMPUTED_VALUE"""),"藤原旭")</f>
        <v>藤原旭</v>
      </c>
      <c r="I2398" s="108" t="str">
        <f>IFERROR(__xludf.DUMMYFUNCTION("""COMPUTED_VALUE"""),"BL")</f>
        <v>BL</v>
      </c>
      <c r="J2398" s="108"/>
      <c r="K2398" s="108"/>
      <c r="L2398" s="108" t="str">
        <f>IFERROR(__xludf.DUMMYFUNCTION("""COMPUTED_VALUE"""),"祥伝社")</f>
        <v>祥伝社</v>
      </c>
      <c r="M2398" s="115">
        <f>IFERROR(__xludf.DUMMYFUNCTION("""COMPUTED_VALUE"""),45647.0)</f>
        <v>45647</v>
      </c>
      <c r="N2398" s="115">
        <f>IFERROR(__xludf.DUMMYFUNCTION("""COMPUTED_VALUE"""),2958465.0)</f>
        <v>2958465</v>
      </c>
      <c r="O2398" s="108"/>
      <c r="P2398" s="110" t="str">
        <f>IFERROR(__xludf.DUMMYFUNCTION("""COMPUTED_VALUE"""),"可")</f>
        <v>可</v>
      </c>
      <c r="Q2398" s="111" t="str">
        <f>IFERROR(__xludf.DUMMYFUNCTION("""COMPUTED_VALUE"""),"シーモア限定BOOK作品です")</f>
        <v>シーモア限定BOOK作品です</v>
      </c>
      <c r="R2398" s="108"/>
      <c r="S2398" s="108" t="str">
        <f>IFERROR(__xludf.DUMMYFUNCTION("""COMPUTED_VALUE"""),"20241030_祥伝社_忍べよ！ストーカー番外編")</f>
        <v>20241030_祥伝社_忍べよ！ストーカー番外編</v>
      </c>
      <c r="T2398" s="108" t="str">
        <f>IFERROR(__xludf.DUMMYFUNCTION("""COMPUTED_VALUE"""),"格納済み")</f>
        <v>格納済み</v>
      </c>
      <c r="U2398" s="15" t="str">
        <f>IFERROR(__xludf.DUMMYFUNCTION("""COMPUTED_VALUE"""),"（C）藤原旭/祥伝社 on BLUE COMICS        ")</f>
        <v>（C）藤原旭/祥伝社 on BLUE COMICS        </v>
      </c>
      <c r="V2398" s="8" t="str">
        <f>IFERROR(__xludf.DUMMYFUNCTION("""COMPUTED_VALUE"""),"【電子限定！描き下ろしカラー特典ペーパー収録】「陰ながらお慕いしております…」いじらしさ爆発・忍び愛BL！
丹葉国（たんばこく）領主である獅之介（しのすけ）に助けられて以来、存在を悟られないよう、ひっそりと見守る日々を過ごしていた抜け忍の紅丸（べにまる）。しかし刺客から獅之介を守ったことで、しばらく屋敷に留まることに。堂々と傍に居ていいはずが、邪魔をするのは紅丸自身に染み付いた悲しきストーカーの習性…。ツッコミ不在の恋が今、始まる――。
一途な忍心が大暴走！スパダリ領主×スゴ腕忍者のぐいぐいラブ！")</f>
        <v>【電子限定！描き下ろしカラー特典ペーパー収録】「陰ながらお慕いしております…」いじらしさ爆発・忍び愛BL！
丹葉国（たんばこく）領主である獅之介（しのすけ）に助けられて以来、存在を悟られないよう、ひっそりと見守る日々を過ごしていた抜け忍の紅丸（べにまる）。しかし刺客から獅之介を守ったことで、しばらく屋敷に留まることに。堂々と傍に居ていいはずが、邪魔をするのは紅丸自身に染み付いた悲しきストーカーの習性…。ツッコミ不在の恋が今、始まる――。
一途な忍心が大暴走！スパダリ領主×スゴ腕忍者のぐいぐいラブ！</v>
      </c>
      <c r="W2398" s="14"/>
      <c r="X2398" s="14" t="str">
        <f>IFERROR(__xludf.DUMMYFUNCTION("""COMPUTED_VALUE"""),"有")</f>
        <v>有</v>
      </c>
      <c r="Y2398" s="8" t="str">
        <f>IFERROR(__xludf.DUMMYFUNCTION("""COMPUTED_VALUE"""),"2025/1/20まで立ち読み増量P25まで")</f>
        <v>2025/1/20まで立ち読み増量P25まで</v>
      </c>
      <c r="Z2398" s="7"/>
      <c r="AA2398" s="7"/>
      <c r="AB2398" s="7"/>
    </row>
    <row r="2399" ht="15.75" customHeight="1">
      <c r="A2399" s="76">
        <f>IFERROR(__xludf.DUMMYFUNCTION("""COMPUTED_VALUE"""),4444.0)</f>
        <v>4444</v>
      </c>
      <c r="B2399" s="108" t="str">
        <f>IFERROR(__xludf.DUMMYFUNCTION("""COMPUTED_VALUE"""),"確定")</f>
        <v>確定</v>
      </c>
      <c r="C2399" s="74">
        <f>IFERROR(__xludf.DUMMYFUNCTION("""COMPUTED_VALUE"""),45595.0)</f>
        <v>45595</v>
      </c>
      <c r="D2399" s="74">
        <f>IFERROR(__xludf.DUMMYFUNCTION("""COMPUTED_VALUE"""),45596.0)</f>
        <v>45596</v>
      </c>
      <c r="E2399" s="112">
        <f>IFERROR(__xludf.DUMMYFUNCTION("""COMPUTED_VALUE"""),309957.0)</f>
        <v>309957</v>
      </c>
      <c r="F2399" s="112" t="str">
        <f>IFERROR(__xludf.DUMMYFUNCTION("""COMPUTED_VALUE"""),"Re:Re:Re:プロポーズ")</f>
        <v>Re:Re:Re:プロポーズ</v>
      </c>
      <c r="G2399" s="69" t="str">
        <f>IFERROR(__xludf.DUMMYFUNCTION("""COMPUTED_VALUE"""),"1～3")</f>
        <v>1～3</v>
      </c>
      <c r="H2399" s="108" t="str">
        <f>IFERROR(__xludf.DUMMYFUNCTION("""COMPUTED_VALUE"""),"SHIHO")</f>
        <v>SHIHO</v>
      </c>
      <c r="I2399" s="108" t="str">
        <f>IFERROR(__xludf.DUMMYFUNCTION("""COMPUTED_VALUE"""),"女性")</f>
        <v>女性</v>
      </c>
      <c r="J2399" s="108"/>
      <c r="K2399" s="108"/>
      <c r="L2399" s="108" t="str">
        <f>IFERROR(__xludf.DUMMYFUNCTION("""COMPUTED_VALUE"""),"シュークリーム")</f>
        <v>シュークリーム</v>
      </c>
      <c r="M2399" s="59">
        <f>IFERROR(__xludf.DUMMYFUNCTION("""COMPUTED_VALUE"""),45658.0)</f>
        <v>45658</v>
      </c>
      <c r="N2399" s="47">
        <f>IFERROR(__xludf.DUMMYFUNCTION("""COMPUTED_VALUE"""),45688.0)</f>
        <v>45688</v>
      </c>
      <c r="O2399" s="108"/>
      <c r="P2399" s="114" t="str">
        <f>IFERROR(__xludf.DUMMYFUNCTION("""COMPUTED_VALUE"""),"可")</f>
        <v>可</v>
      </c>
      <c r="Q2399" s="111"/>
      <c r="R2399" s="108"/>
      <c r="S2399" s="108" t="str">
        <f>IFERROR(__xludf.DUMMYFUNCTION("""COMPUTED_VALUE"""),"20251030_シュークリーム_ReReReプロポーズ")</f>
        <v>20251030_シュークリーム_ReReReプロポーズ</v>
      </c>
      <c r="T2399" s="108" t="str">
        <f>IFERROR(__xludf.DUMMYFUNCTION("""COMPUTED_VALUE"""),"格納済み")</f>
        <v>格納済み</v>
      </c>
      <c r="U2399" s="15" t="str">
        <f>IFERROR(__xludf.DUMMYFUNCTION("""COMPUTED_VALUE"""),"（C）SHIHO/シュークリーム")</f>
        <v>（C）SHIHO/シュークリーム</v>
      </c>
      <c r="V2399" s="8" t="str">
        <f>IFERROR(__xludf.DUMMYFUNCTION("""COMPUTED_VALUE"""),"幼少期から優秀だった二ツ森巴は、その全能感が続くことなく30歳を目前にパワハラにより退職、恋愛も上手くいかず迷走していた。
30歳の誕生日、元同僚・千木良と譲ってもらった高級フレンチを食べた後、東京タワーを見にきた2人。そこで巴と幼い頃に結婚の約束をした、という美形と再会して――!?")</f>
        <v>幼少期から優秀だった二ツ森巴は、その全能感が続くことなく30歳を目前にパワハラにより退職、恋愛も上手くいかず迷走していた。
30歳の誕生日、元同僚・千木良と譲ってもらった高級フレンチを食べた後、東京タワーを見にきた2人。そこで巴と幼い頃に結婚の約束をした、という美形と再会して――!?</v>
      </c>
      <c r="W2399" s="14"/>
      <c r="X2399" s="14" t="str">
        <f>IFERROR(__xludf.DUMMYFUNCTION("""COMPUTED_VALUE"""),"有")</f>
        <v>有</v>
      </c>
      <c r="Y2399" s="8" t="str">
        <f>IFERROR(__xludf.DUMMYFUNCTION("""COMPUTED_VALUE"""),"P15まで")</f>
        <v>P15まで</v>
      </c>
      <c r="Z2399" s="7"/>
      <c r="AA2399" s="7"/>
      <c r="AB2399" s="7"/>
    </row>
    <row r="2400" ht="15.75" customHeight="1">
      <c r="A2400" s="76">
        <f>IFERROR(__xludf.DUMMYFUNCTION("""COMPUTED_VALUE"""),4445.0)</f>
        <v>4445</v>
      </c>
      <c r="B2400" s="108" t="str">
        <f>IFERROR(__xludf.DUMMYFUNCTION("""COMPUTED_VALUE"""),"確定")</f>
        <v>確定</v>
      </c>
      <c r="C2400" s="74">
        <f>IFERROR(__xludf.DUMMYFUNCTION("""COMPUTED_VALUE"""),45595.0)</f>
        <v>45595</v>
      </c>
      <c r="D2400" s="74">
        <f>IFERROR(__xludf.DUMMYFUNCTION("""COMPUTED_VALUE"""),45596.0)</f>
        <v>45596</v>
      </c>
      <c r="E2400" s="112">
        <f>IFERROR(__xludf.DUMMYFUNCTION("""COMPUTED_VALUE"""),308483.0)</f>
        <v>308483</v>
      </c>
      <c r="F2400" s="124" t="str">
        <f>IFERROR(__xludf.DUMMYFUNCTION("""COMPUTED_VALUE"""),"フタナリお嬢様シリーズ")</f>
        <v>フタナリお嬢様シリーズ</v>
      </c>
      <c r="G2400" s="69" t="str">
        <f>IFERROR(__xludf.DUMMYFUNCTION("""COMPUTED_VALUE"""),"1～5")</f>
        <v>1～5</v>
      </c>
      <c r="H2400" s="108" t="str">
        <f>IFERROR(__xludf.DUMMYFUNCTION("""COMPUTED_VALUE"""),"ラセン恐怖閣")</f>
        <v>ラセン恐怖閣</v>
      </c>
      <c r="I2400" s="108" t="str">
        <f>IFERROR(__xludf.DUMMYFUNCTION("""COMPUTED_VALUE"""),"TL")</f>
        <v>TL</v>
      </c>
      <c r="J2400" s="108"/>
      <c r="K2400" s="108"/>
      <c r="L2400" s="108" t="str">
        <f>IFERROR(__xludf.DUMMYFUNCTION("""COMPUTED_VALUE"""),"ナンバーナイン")</f>
        <v>ナンバーナイン</v>
      </c>
      <c r="M2400" s="23">
        <f>IFERROR(__xludf.DUMMYFUNCTION("""COMPUTED_VALUE"""),45632.0)</f>
        <v>45632</v>
      </c>
      <c r="N2400" s="59">
        <f>IFERROR(__xludf.DUMMYFUNCTION("""COMPUTED_VALUE"""),45693.0)</f>
        <v>45693</v>
      </c>
      <c r="O2400" s="108"/>
      <c r="P2400" s="110" t="str">
        <f>IFERROR(__xludf.DUMMYFUNCTION("""COMPUTED_VALUE"""),"可")</f>
        <v>可</v>
      </c>
      <c r="Q2400" s="111" t="str">
        <f>IFERROR(__xludf.DUMMYFUNCTION("""COMPUTED_VALUE"""),"広告コミットいただいている「わたくしはフタナリ伯爵令嬢ですものシリーズ【R-18版】」の全年齢版となります。")</f>
        <v>広告コミットいただいている「わたくしはフタナリ伯爵令嬢ですものシリーズ【R-18版】」の全年齢版となります。</v>
      </c>
      <c r="R2400" s="108"/>
      <c r="S2400" s="108" t="str">
        <f>IFERROR(__xludf.DUMMYFUNCTION("""COMPUTED_VALUE"""),"20241030_ナンバーナイン_わたくしはフタナリ伯爵令嬢ですものシリーズ")</f>
        <v>20241030_ナンバーナイン_わたくしはフタナリ伯爵令嬢ですものシリーズ</v>
      </c>
      <c r="T2400" s="108" t="str">
        <f>IFERROR(__xludf.DUMMYFUNCTION("""COMPUTED_VALUE"""),"格納済み")</f>
        <v>格納済み</v>
      </c>
      <c r="U2400" s="15" t="str">
        <f>IFERROR(__xludf.DUMMYFUNCTION("""COMPUTED_VALUE"""),"(C)ラセン恐怖閣/ナンバーナイン")</f>
        <v>(C)ラセン恐怖閣/ナンバーナイン</v>
      </c>
      <c r="V2400" s="8" t="str">
        <f>IFERROR(__xludf.DUMMYFUNCTION("""COMPUTED_VALUE"""),"「わたくしの下僕はエッチな献身が過ぎるのでは…!?」Sを演じる下僕のイキすぎた奉仕で、
朝からフルコースでイカされちゃう!?
後天的フタナリ(雌雄同体)である伯爵令嬢エミリー・トアルヴォは、立派な相続人となるべく日々奮闘中。
しかしエミリーには少々ポンコツなところがあり、男性器の扱いにいまだに慣れていなかった。
下僕上がりの冷静沈着な従者クライドに管理を任せているが、この日はいつもの奉仕では物足りなくて…?
【注意】
挿入行為はフタナリ女→男(逆転無し)です。
男(襲い受け)の奉仕が長め"&amp;"でフタナリ女(8割受け身)が責められている描写が中心です。
【プレイ/フェチ】
(男→フタ女)言葉責め、ハート喘ぎ、フェラ、手コキ、寸止め、足ピン、クリチンポ、乳首責め
(フタ女→男)逆アナル、お漏らし射精、中出し、メスイキ")</f>
        <v>「わたくしの下僕はエッチな献身が過ぎるのでは…!?」Sを演じる下僕のイキすぎた奉仕で、
朝からフルコースでイカされちゃう!?
後天的フタナリ(雌雄同体)である伯爵令嬢エミリー・トアルヴォは、立派な相続人となるべく日々奮闘中。
しかしエミリーには少々ポンコツなところがあり、男性器の扱いにいまだに慣れていなかった。
下僕上がりの冷静沈着な従者クライドに管理を任せているが、この日はいつもの奉仕では物足りなくて…?
【注意】
挿入行為はフタナリ女→男(逆転無し)です。
男(襲い受け)の奉仕が長めでフタナリ女(8割受け身)が責められている描写が中心です。
【プレイ/フェチ】
(男→フタ女)言葉責め、ハート喘ぎ、フェラ、手コキ、寸止め、足ピン、クリチンポ、乳首責め
(フタ女→男)逆アナル、お漏らし射精、中出し、メスイキ</v>
      </c>
      <c r="W2400" s="14"/>
      <c r="X2400" s="14" t="str">
        <f>IFERROR(__xludf.DUMMYFUNCTION("""COMPUTED_VALUE"""),"有")</f>
        <v>有</v>
      </c>
      <c r="Y2400" s="8" t="str">
        <f>IFERROR(__xludf.DUMMYFUNCTION("""COMPUTED_VALUE"""),"2024/12/10まで1巻無料")</f>
        <v>2024/12/10まで1巻無料</v>
      </c>
      <c r="Z2400" s="7"/>
      <c r="AA2400" s="7"/>
      <c r="AB2400" s="7"/>
    </row>
    <row r="2401" ht="15.75" customHeight="1">
      <c r="A2401" s="76">
        <f>IFERROR(__xludf.DUMMYFUNCTION("""COMPUTED_VALUE"""),4446.0)</f>
        <v>4446</v>
      </c>
      <c r="B2401" s="108" t="str">
        <f>IFERROR(__xludf.DUMMYFUNCTION("""COMPUTED_VALUE"""),"確定")</f>
        <v>確定</v>
      </c>
      <c r="C2401" s="74">
        <f>IFERROR(__xludf.DUMMYFUNCTION("""COMPUTED_VALUE"""),45596.0)</f>
        <v>45596</v>
      </c>
      <c r="D2401" s="74">
        <f>IFERROR(__xludf.DUMMYFUNCTION("""COMPUTED_VALUE"""),45601.0)</f>
        <v>45601</v>
      </c>
      <c r="E2401" s="116">
        <f>IFERROR(__xludf.DUMMYFUNCTION("""COMPUTED_VALUE"""),306658.0)</f>
        <v>306658</v>
      </c>
      <c r="F2401" s="112" t="str">
        <f>IFERROR(__xludf.DUMMYFUNCTION("""COMPUTED_VALUE"""),"60点の夫婦でいいのに")</f>
        <v>60点の夫婦でいいのに</v>
      </c>
      <c r="G2401" s="69" t="str">
        <f>IFERROR(__xludf.DUMMYFUNCTION("""COMPUTED_VALUE"""),"1～3")</f>
        <v>1～3</v>
      </c>
      <c r="H2401" s="108" t="str">
        <f>IFERROR(__xludf.DUMMYFUNCTION("""COMPUTED_VALUE"""),"トラ太郎,佐久間,となり,風沢氷花")</f>
        <v>トラ太郎,佐久間,となり,風沢氷花</v>
      </c>
      <c r="I2401" s="108" t="str">
        <f>IFERROR(__xludf.DUMMYFUNCTION("""COMPUTED_VALUE"""),"女性")</f>
        <v>女性</v>
      </c>
      <c r="J2401" s="108"/>
      <c r="K2401" s="108"/>
      <c r="L2401" s="108" t="str">
        <f>IFERROR(__xludf.DUMMYFUNCTION("""COMPUTED_VALUE"""),"シーモアコミックス（トレモア）")</f>
        <v>シーモアコミックス（トレモア）</v>
      </c>
      <c r="M2401" s="115">
        <f>IFERROR(__xludf.DUMMYFUNCTION("""COMPUTED_VALUE"""),45639.0)</f>
        <v>45639</v>
      </c>
      <c r="N2401" s="59">
        <f>IFERROR(__xludf.DUMMYFUNCTION("""COMPUTED_VALUE"""),45792.0)</f>
        <v>45792</v>
      </c>
      <c r="O2401" s="108"/>
      <c r="P2401" s="114" t="str">
        <f>IFERROR(__xludf.DUMMYFUNCTION("""COMPUTED_VALUE"""),"可")</f>
        <v>可</v>
      </c>
      <c r="Q2401" s="129"/>
      <c r="R2401" s="108"/>
      <c r="S2401" s="108" t="str">
        <f>IFERROR(__xludf.DUMMYFUNCTION("""COMPUTED_VALUE"""),"20241031_シーモアコミックス_60点の夫婦でいいのに")</f>
        <v>20241031_シーモアコミックス_60点の夫婦でいいのに</v>
      </c>
      <c r="T2401" s="108" t="str">
        <f>IFERROR(__xludf.DUMMYFUNCTION("""COMPUTED_VALUE"""),"格納済み")</f>
        <v>格納済み</v>
      </c>
      <c r="U2401" s="15" t="str">
        <f>IFERROR(__xludf.DUMMYFUNCTION("""COMPUTED_VALUE"""),"© トラ太郎/風沢氷花/シーモアコミックス")</f>
        <v>© トラ太郎/風沢氷花/シーモアコミックス</v>
      </c>
      <c r="V2401" s="8" t="str">
        <f>IFERROR(__xludf.DUMMYFUNCTION("""COMPUTED_VALUE"""),"「お前の主婦力20点」「もはや妻としての価値0点」――結婚してから態度が豹変したモラハラ夫・尚弥は、妻・沙紀の家事を点数で否定する。辛くても娘のために耐える沙紀。しかし、尚弥は同じマンション内の専業主婦・円佳を「100点の女」と褒めだして――しかも彼女は不倫相手だった。モラハラ夫とマウント女を制裁する、サレ妻の復讐劇！")</f>
        <v>「お前の主婦力20点」「もはや妻としての価値0点」――結婚してから態度が豹変したモラハラ夫・尚弥は、妻・沙紀の家事を点数で否定する。辛くても娘のために耐える沙紀。しかし、尚弥は同じマンション内の専業主婦・円佳を「100点の女」と褒めだして――しかも彼女は不倫相手だった。モラハラ夫とマウント女を制裁する、サレ妻の復讐劇！</v>
      </c>
      <c r="W2401" s="14"/>
      <c r="X2401" s="14" t="str">
        <f>IFERROR(__xludf.DUMMYFUNCTION("""COMPUTED_VALUE"""),"有")</f>
        <v>有</v>
      </c>
      <c r="Y2401" s="8" t="str">
        <f>IFERROR(__xludf.DUMMYFUNCTION("""COMPUTED_VALUE"""),"P16まで")</f>
        <v>P16まで</v>
      </c>
      <c r="Z2401" s="7"/>
      <c r="AA2401" s="7"/>
      <c r="AB2401" s="7"/>
    </row>
    <row r="2402" ht="15.75" customHeight="1">
      <c r="A2402" s="76">
        <f>IFERROR(__xludf.DUMMYFUNCTION("""COMPUTED_VALUE"""),4452.0)</f>
        <v>4452</v>
      </c>
      <c r="B2402" s="108" t="str">
        <f>IFERROR(__xludf.DUMMYFUNCTION("""COMPUTED_VALUE"""),"確定")</f>
        <v>確定</v>
      </c>
      <c r="C2402" s="74">
        <f>IFERROR(__xludf.DUMMYFUNCTION("""COMPUTED_VALUE"""),45596.0)</f>
        <v>45596</v>
      </c>
      <c r="D2402" s="74">
        <f>IFERROR(__xludf.DUMMYFUNCTION("""COMPUTED_VALUE"""),45597.0)</f>
        <v>45597</v>
      </c>
      <c r="E2402" s="112">
        <f>IFERROR(__xludf.DUMMYFUNCTION("""COMPUTED_VALUE"""),307317.0)</f>
        <v>307317</v>
      </c>
      <c r="F2402" s="112" t="str">
        <f>IFERROR(__xludf.DUMMYFUNCTION("""COMPUTED_VALUE"""),"巫堕─妖祓いJK×同級生淫魔の雌堕ち契約─【デジタル修正版】")</f>
        <v>巫堕─妖祓いJK×同級生淫魔の雌堕ち契約─【デジタル修正版】</v>
      </c>
      <c r="G2402" s="69" t="str">
        <f>IFERROR(__xludf.DUMMYFUNCTION("""COMPUTED_VALUE"""),"1～4")</f>
        <v>1～4</v>
      </c>
      <c r="H2402" s="108" t="str">
        <f>IFERROR(__xludf.DUMMYFUNCTION("""COMPUTED_VALUE"""),"ジャギ岩")</f>
        <v>ジャギ岩</v>
      </c>
      <c r="I2402" s="108" t="str">
        <f>IFERROR(__xludf.DUMMYFUNCTION("""COMPUTED_VALUE"""),"TL")</f>
        <v>TL</v>
      </c>
      <c r="J2402" s="108"/>
      <c r="K2402" s="108"/>
      <c r="L2402" s="108" t="str">
        <f>IFERROR(__xludf.DUMMYFUNCTION("""COMPUTED_VALUE"""),"エイシス")</f>
        <v>エイシス</v>
      </c>
      <c r="M2402" s="23">
        <f>IFERROR(__xludf.DUMMYFUNCTION("""COMPUTED_VALUE"""),45627.0)</f>
        <v>45627</v>
      </c>
      <c r="N2402" s="59">
        <f>IFERROR(__xludf.DUMMYFUNCTION("""COMPUTED_VALUE"""),45722.0)</f>
        <v>45722</v>
      </c>
      <c r="O2402" s="108"/>
      <c r="P2402" s="110" t="str">
        <f>IFERROR(__xludf.DUMMYFUNCTION("""COMPUTED_VALUE"""),"可")</f>
        <v>可</v>
      </c>
      <c r="Q2402" s="111" t="str">
        <f>IFERROR(__xludf.DUMMYFUNCTION("""COMPUTED_VALUE"""),"がるまに&lt;BR&gt;オトナ版配信あり")</f>
        <v>がるまに&lt;BR&gt;オトナ版配信あり</v>
      </c>
      <c r="R2402" s="108"/>
      <c r="S2402" s="108" t="str">
        <f>IFERROR(__xludf.DUMMYFUNCTION("""COMPUTED_VALUE"""),"20241031_エイシス_巫堕─【デジタル修正版】")</f>
        <v>20241031_エイシス_巫堕─【デジタル修正版】</v>
      </c>
      <c r="T2402" s="108" t="str">
        <f>IFERROR(__xludf.DUMMYFUNCTION("""COMPUTED_VALUE"""),"格納済み")</f>
        <v>格納済み</v>
      </c>
      <c r="U2402" s="15" t="str">
        <f>IFERROR(__xludf.DUMMYFUNCTION("""COMPUTED_VALUE"""),"(C)ジャギ岩/GirlsCREATIVE")</f>
        <v>(C)ジャギ岩/GirlsCREATIVE</v>
      </c>
      <c r="V2402" s="8" t="str">
        <f>IFERROR(__xludf.DUMMYFUNCTION("""COMPUTED_VALUE"""),"【本作品は同人誌となります】
妖を祓う「巫(かんなぎ)」を代々務める一族の跡取り娘・まどか。
学校では完璧な優等生を演じつつも放課後は町の妖退治を行う日々だったが、
ある日妖に不意を突かれ襲われてしまう。
絶体絶命の彼女を救ったのは、遊び人として有名な同級生の少年だった。
その正体が上級の淫魔であることを明かした彼に
介抱としてホテルに連れ込まれるまどか。
体の自由が利かず朦朧とするなか全身を愛撫で蕩かされ、
ついには身体を拓かれてしまい一線を越えることに…
そして、今後"&amp;"の妖祓いに淫魔が協力する度に
まどかを抱いて霊力補給するという「式魔契約」を結ばされる。
「妖祓いの使命のために仕方なく」幾度も抱かれる中で、
まどかの体と心は少しずつ変化していき─…
※モテ男系長身男子×プライドの高い負けず嫌い女子
製作者:強肉強食(ジャギ岩)
登場人物
神無木まどか(かんなぎ　まどか)
妖を祓う「巫」を代々務める家の跡取り娘。
現当主である父親の長期出張により、
当主代行として放課後は単独で町の妖を祓う活動をしている。
容姿端麗・文武両道で学校で"&amp;"は清楚で控えめな優等生で通っているが、
本来の気性はプライドが高く負けず嫌い。
夢間(むま)
まどかの同級生でその正体は上級淫魔。
戦闘力も高く、厄介な妖を一撃で仕留める実力を持つ。
華やかな容姿で女性受けがよく彼の周囲には数人の取り巻き女子が居り、
校内では遊び人として有名。
日頃女子と遊んでいるにも拘らず同じ学年首席であることから、
まどかからは内心いけ好かないと思われている。
■総ページ数:16ページ")</f>
        <v>【本作品は同人誌となります】
妖を祓う「巫(かんなぎ)」を代々務める一族の跡取り娘・まどか。
学校では完璧な優等生を演じつつも放課後は町の妖退治を行う日々だったが、
ある日妖に不意を突かれ襲われてしまう。
絶体絶命の彼女を救ったのは、遊び人として有名な同級生の少年だった。
その正体が上級の淫魔であることを明かした彼に
介抱としてホテルに連れ込まれるまどか。
体の自由が利かず朦朧とするなか全身を愛撫で蕩かされ、
ついには身体を拓かれてしまい一線を越えることに…
そして、今後の妖祓いに淫魔が協力する度に
まどかを抱いて霊力補給するという「式魔契約」を結ばされる。
「妖祓いの使命のために仕方なく」幾度も抱かれる中で、
まどかの体と心は少しずつ変化していき─…
※モテ男系長身男子×プライドの高い負けず嫌い女子
製作者:強肉強食(ジャギ岩)
登場人物
神無木まどか(かんなぎ　まどか)
妖を祓う「巫」を代々務める家の跡取り娘。
現当主である父親の長期出張により、
当主代行として放課後は単独で町の妖を祓う活動をしている。
容姿端麗・文武両道で学校では清楚で控えめな優等生で通っているが、
本来の気性はプライドが高く負けず嫌い。
夢間(むま)
まどかの同級生でその正体は上級淫魔。
戦闘力も高く、厄介な妖を一撃で仕留める実力を持つ。
華やかな容姿で女性受けがよく彼の周囲には数人の取り巻き女子が居り、
校内では遊び人として有名。
日頃女子と遊んでいるにも拘らず同じ学年首席であることから、
まどかからは内心いけ好かないと思われている。
■総ページ数:16ページ</v>
      </c>
      <c r="W2402" s="14"/>
      <c r="X2402" s="14" t="str">
        <f>IFERROR(__xludf.DUMMYFUNCTION("""COMPUTED_VALUE"""),"有")</f>
        <v>有</v>
      </c>
      <c r="Y2402" s="8" t="str">
        <f>IFERROR(__xludf.DUMMYFUNCTION("""COMPUTED_VALUE"""),"P8まで")</f>
        <v>P8まで</v>
      </c>
      <c r="Z2402" s="7"/>
      <c r="AA2402" s="7"/>
      <c r="AB2402" s="7"/>
    </row>
    <row r="2403" ht="15.75" customHeight="1">
      <c r="A2403" s="76">
        <f>IFERROR(__xludf.DUMMYFUNCTION("""COMPUTED_VALUE"""),4453.0)</f>
        <v>4453</v>
      </c>
      <c r="B2403" s="108" t="str">
        <f>IFERROR(__xludf.DUMMYFUNCTION("""COMPUTED_VALUE"""),"確定")</f>
        <v>確定</v>
      </c>
      <c r="C2403" s="74">
        <f>IFERROR(__xludf.DUMMYFUNCTION("""COMPUTED_VALUE"""),45597.0)</f>
        <v>45597</v>
      </c>
      <c r="D2403" s="74">
        <f>IFERROR(__xludf.DUMMYFUNCTION("""COMPUTED_VALUE"""),45597.0)</f>
        <v>45597</v>
      </c>
      <c r="E2403" s="112">
        <f>IFERROR(__xludf.DUMMYFUNCTION("""COMPUTED_VALUE"""),308237.0)</f>
        <v>308237</v>
      </c>
      <c r="F2403" s="112" t="str">
        <f>IFERROR(__xludf.DUMMYFUNCTION("""COMPUTED_VALUE"""),"無慈悲な軍人様と忌み子の私の禁断婚")</f>
        <v>無慈悲な軍人様と忌み子の私の禁断婚</v>
      </c>
      <c r="G2403" s="69" t="str">
        <f>IFERROR(__xludf.DUMMYFUNCTION("""COMPUTED_VALUE"""),"1～3")</f>
        <v>1～3</v>
      </c>
      <c r="H2403" s="108" t="str">
        <f>IFERROR(__xludf.DUMMYFUNCTION("""COMPUTED_VALUE"""),"ののはらやえ")</f>
        <v>ののはらやえ</v>
      </c>
      <c r="I2403" s="113" t="str">
        <f>IFERROR(__xludf.DUMMYFUNCTION("""COMPUTED_VALUE"""),"少女")</f>
        <v>少女</v>
      </c>
      <c r="J2403" s="108"/>
      <c r="K2403" s="108"/>
      <c r="L2403" s="108" t="str">
        <f>IFERROR(__xludf.DUMMYFUNCTION("""COMPUTED_VALUE"""),"forcs")</f>
        <v>forcs</v>
      </c>
      <c r="M2403" s="115">
        <f>IFERROR(__xludf.DUMMYFUNCTION("""COMPUTED_VALUE"""),45639.0)</f>
        <v>45639</v>
      </c>
      <c r="N2403" s="59">
        <f>IFERROR(__xludf.DUMMYFUNCTION("""COMPUTED_VALUE"""),45722.0)</f>
        <v>45722</v>
      </c>
      <c r="O2403" s="108"/>
      <c r="P2403" s="110" t="str">
        <f>IFERROR(__xludf.DUMMYFUNCTION("""COMPUTED_VALUE"""),"可")</f>
        <v>可</v>
      </c>
      <c r="Q2403" s="108" t="str">
        <f>IFERROR(__xludf.DUMMYFUNCTION("""COMPUTED_VALUE"""),"協業作品です。&lt;BR&gt;レーベル名：シーモア×.FiZZ&lt;BR&gt;3巻目までご使用ください")</f>
        <v>協業作品です。&lt;BR&gt;レーベル名：シーモア×.FiZZ&lt;BR&gt;3巻目までご使用ください</v>
      </c>
      <c r="R2403" s="108"/>
      <c r="S2403" s="108" t="str">
        <f>IFERROR(__xludf.DUMMYFUNCTION("""COMPUTED_VALUE"""),"20241101_forcs_協業_無慈悲な軍人様と忌み子の私の禁断婚")</f>
        <v>20241101_forcs_協業_無慈悲な軍人様と忌み子の私の禁断婚</v>
      </c>
      <c r="T2403" s="108" t="str">
        <f>IFERROR(__xludf.DUMMYFUNCTION("""COMPUTED_VALUE"""),"格納済み")</f>
        <v>格納済み</v>
      </c>
      <c r="U2403" s="15" t="str">
        <f>IFERROR(__xludf.DUMMYFUNCTION("""COMPUTED_VALUE"""),"(C)ののはらやえ/forcs")</f>
        <v>(C)ののはらやえ/forcs</v>
      </c>
      <c r="V2403" s="8" t="str">
        <f>IFERROR(__xludf.DUMMYFUNCTION("""COMPUTED_VALUE"""),"「俺の妻を迎えにきた」
冷徹無慈悲と噂される軍人との結婚…先の見えない未来に不安を感じながら見合いの席に参加すると、
そこには想像とは真逆の精悍で凛々しい青年が立っていた――。
老舗呉服屋で望まれずに生まれた天涯孤独の娘・すず。
使用人として扱われ一族からも虐げられ、さらには自分本意な従妹にも蔑まれながら日々息をひそめて生きていた。
そんなある日、軍から持ち掛けられた見合いに身代わりとして出るように従妹から命令され…
身代わりから始まる“禁断”の和風浪漫ラブストーリー。")</f>
        <v>「俺の妻を迎えにきた」
冷徹無慈悲と噂される軍人との結婚…先の見えない未来に不安を感じながら見合いの席に参加すると、
そこには想像とは真逆の精悍で凛々しい青年が立っていた――。
老舗呉服屋で望まれずに生まれた天涯孤独の娘・すず。
使用人として扱われ一族からも虐げられ、さらには自分本意な従妹にも蔑まれながら日々息をひそめて生きていた。
そんなある日、軍から持ち掛けられた見合いに身代わりとして出るように従妹から命令され…
身代わりから始まる“禁断”の和風浪漫ラブストーリー。</v>
      </c>
      <c r="W2403" s="14"/>
      <c r="X2403" s="14" t="str">
        <f>IFERROR(__xludf.DUMMYFUNCTION("""COMPUTED_VALUE"""),"有")</f>
        <v>有</v>
      </c>
      <c r="Y2403" s="8" t="str">
        <f>IFERROR(__xludf.DUMMYFUNCTION("""COMPUTED_VALUE"""),"2024/12/31まで立ち読み増量P18まで")</f>
        <v>2024/12/31まで立ち読み増量P18まで</v>
      </c>
      <c r="Z2403" s="7"/>
      <c r="AA2403" s="7"/>
      <c r="AB2403" s="7"/>
    </row>
    <row r="2404" ht="15.75" customHeight="1">
      <c r="A2404" s="66">
        <f>IFERROR(__xludf.DUMMYFUNCTION("""COMPUTED_VALUE"""),3456.0)</f>
        <v>3456</v>
      </c>
      <c r="B2404" s="67" t="str">
        <f>IFERROR(__xludf.DUMMYFUNCTION("""COMPUTED_VALUE"""),"確定")</f>
        <v>確定</v>
      </c>
      <c r="C2404" s="68">
        <f>IFERROR(__xludf.DUMMYFUNCTION("""COMPUTED_VALUE"""),45432.0)</f>
        <v>45432</v>
      </c>
      <c r="D2404" s="68">
        <f>IFERROR(__xludf.DUMMYFUNCTION("""COMPUTED_VALUE"""),45607.0)</f>
        <v>45607</v>
      </c>
      <c r="E2404" s="60">
        <f>IFERROR(__xludf.DUMMYFUNCTION("""COMPUTED_VALUE"""),303257.0)</f>
        <v>303257</v>
      </c>
      <c r="F2404" s="61" t="str">
        <f>IFERROR(__xludf.DUMMYFUNCTION("""COMPUTED_VALUE"""),"神域の巫女〜無能のフリをして、今日も平和に過ごします〜【単話版】")</f>
        <v>神域の巫女〜無能のフリをして、今日も平和に過ごします〜【単話版】</v>
      </c>
      <c r="G2404" s="67" t="str">
        <f>IFERROR(__xludf.DUMMYFUNCTION("""COMPUTED_VALUE"""),"1～8")</f>
        <v>1～8</v>
      </c>
      <c r="H2404" s="67" t="str">
        <f>IFERROR(__xludf.DUMMYFUNCTION("""COMPUTED_VALUE"""),"おだやか")</f>
        <v>おだやか</v>
      </c>
      <c r="I2404" s="67" t="str">
        <f>IFERROR(__xludf.DUMMYFUNCTION("""COMPUTED_VALUE"""),"少年")</f>
        <v>少年</v>
      </c>
      <c r="J2404" s="67"/>
      <c r="K2404" s="67"/>
      <c r="L2404" s="67" t="str">
        <f>IFERROR(__xludf.DUMMYFUNCTION("""COMPUTED_VALUE"""),"コミックルーム")</f>
        <v>コミックルーム</v>
      </c>
      <c r="M2404" s="85">
        <f>IFERROR(__xludf.DUMMYFUNCTION("""COMPUTED_VALUE"""),45641.0)</f>
        <v>45641</v>
      </c>
      <c r="N2404" s="66" t="str">
        <f>IFERROR(__xludf.DUMMYFUNCTION("""COMPUTED_VALUE"""),"3ヶ月以上")</f>
        <v>3ヶ月以上</v>
      </c>
      <c r="O2404" s="67"/>
      <c r="P2404" s="70" t="str">
        <f>IFERROR(__xludf.DUMMYFUNCTION("""COMPUTED_VALUE"""),"可")</f>
        <v>可</v>
      </c>
      <c r="Q2404" s="30" t="str">
        <f>IFERROR(__xludf.DUMMYFUNCTION("""COMPUTED_VALUE"""),"・コミックルームとしてかなり力を入れている作品のため、最も広告の反応が作れそうな巻数で配信したいとのことです。&lt;BR&gt;・すでに配信開始していますが、話数がたまるまで待機でした。12/15、サイト内でのほぼ全巻無料キャンペーン終了後に広告出稿を開始したいと思います（河上さんと会話済み）。記載の「先行配信開始日」はその意図です。")</f>
        <v>・コミックルームとしてかなり力を入れている作品のため、最も広告の反応が作れそうな巻数で配信したいとのことです。&lt;BR&gt;・すでに配信開始していますが、話数がたまるまで待機でした。12/15、サイト内でのほぼ全巻無料キャンペーン終了後に広告出稿を開始したいと思います（河上さんと会話済み）。記載の「先行配信開始日」はその意図です。</v>
      </c>
      <c r="R2404" s="67"/>
      <c r="S2404" s="130" t="str">
        <f>IFERROR(__xludf.DUMMYFUNCTION("""COMPUTED_VALUE"""),"20241108_コミックルーム_神域の巫女")</f>
        <v>20241108_コミックルーム_神域の巫女</v>
      </c>
      <c r="T2404" s="130" t="str">
        <f>IFERROR(__xludf.DUMMYFUNCTION("""COMPUTED_VALUE"""),"格納済み")</f>
        <v>格納済み</v>
      </c>
      <c r="U2404" s="15" t="str">
        <f>IFERROR(__xludf.DUMMYFUNCTION("""COMPUTED_VALUE"""),"(c)おだやか／COMIC ROOM")</f>
        <v>(c)おだやか／COMIC ROOM</v>
      </c>
      <c r="V2404" s="8" t="str">
        <f>IFERROR(__xludf.DUMMYFUNCTION("""COMPUTED_VALUE"""),"金鳳神社――国を守る金鳳凰を祀る神社で代々仕える神職者の家に生まれた神谷美咲。
巫女として修行を重ねる日々だが、不器用さゆえ父や兄から「家の恥」と蔑まれていた。
しかし、そんな彼女は家族すら知らない特別な力を隠していた。
それは、霊力を自在に操る超希少異能力「神域」。その圧倒的な力を持ちながら、力を家族に利用されることを恐れた美咲は無能を装い自らの自由を追い求める。
最強の巫女による痛快無比な和風ファンタジーバトル、開幕！")</f>
        <v>金鳳神社――国を守る金鳳凰を祀る神社で代々仕える神職者の家に生まれた神谷美咲。
巫女として修行を重ねる日々だが、不器用さゆえ父や兄から「家の恥」と蔑まれていた。
しかし、そんな彼女は家族すら知らない特別な力を隠していた。
それは、霊力を自在に操る超希少異能力「神域」。その圧倒的な力を持ちながら、力を家族に利用されることを恐れた美咲は無能を装い自らの自由を追い求める。
最強の巫女による痛快無比な和風ファンタジーバトル、開幕！</v>
      </c>
      <c r="W2404" s="8"/>
      <c r="X2404" s="8"/>
      <c r="Y2404" s="8"/>
      <c r="Z2404" s="7"/>
      <c r="AA2404" s="7"/>
      <c r="AB2404" s="7"/>
    </row>
    <row r="2405" ht="15.75" customHeight="1">
      <c r="A2405" s="66">
        <f>IFERROR(__xludf.DUMMYFUNCTION("""COMPUTED_VALUE"""),3477.0)</f>
        <v>3477</v>
      </c>
      <c r="B2405" s="67" t="str">
        <f>IFERROR(__xludf.DUMMYFUNCTION("""COMPUTED_VALUE"""),"確定")</f>
        <v>確定</v>
      </c>
      <c r="C2405" s="68">
        <f>IFERROR(__xludf.DUMMYFUNCTION("""COMPUTED_VALUE"""),45433.0)</f>
        <v>45433</v>
      </c>
      <c r="D2405" s="68">
        <f>IFERROR(__xludf.DUMMYFUNCTION("""COMPUTED_VALUE"""),45609.0)</f>
        <v>45609</v>
      </c>
      <c r="E2405" s="60">
        <f>IFERROR(__xludf.DUMMYFUNCTION("""COMPUTED_VALUE"""),307533.0)</f>
        <v>307533</v>
      </c>
      <c r="F2405" s="61" t="str">
        <f>IFERROR(__xludf.DUMMYFUNCTION("""COMPUTED_VALUE"""),"【単話版】君の総てを壊すまで")</f>
        <v>【単話版】君の総てを壊すまで</v>
      </c>
      <c r="G2405" s="67" t="str">
        <f>IFERROR(__xludf.DUMMYFUNCTION("""COMPUTED_VALUE"""),"1～3")</f>
        <v>1～3</v>
      </c>
      <c r="H2405" s="67" t="str">
        <f>IFERROR(__xludf.DUMMYFUNCTION("""COMPUTED_VALUE"""),"牛男")</f>
        <v>牛男</v>
      </c>
      <c r="I2405" s="67" t="str">
        <f>IFERROR(__xludf.DUMMYFUNCTION("""COMPUTED_VALUE"""),"BL")</f>
        <v>BL</v>
      </c>
      <c r="J2405" s="67"/>
      <c r="K2405" s="67"/>
      <c r="L2405" s="67" t="str">
        <f>IFERROR(__xludf.DUMMYFUNCTION("""COMPUTED_VALUE"""),"新潮社")</f>
        <v>新潮社</v>
      </c>
      <c r="M2405" s="23">
        <f>IFERROR(__xludf.DUMMYFUNCTION("""COMPUTED_VALUE"""),45635.0)</f>
        <v>45635</v>
      </c>
      <c r="N2405" s="89">
        <f>IFERROR(__xludf.DUMMYFUNCTION("""COMPUTED_VALUE"""),46021.0)</f>
        <v>46021</v>
      </c>
      <c r="O2405" s="67"/>
      <c r="P2405" s="70" t="str">
        <f>IFERROR(__xludf.DUMMYFUNCTION("""COMPUTED_VALUE"""),"可")</f>
        <v>可</v>
      </c>
      <c r="Q2405" s="30" t="str">
        <f>IFERROR(__xludf.DUMMYFUNCTION("""COMPUTED_VALUE"""),"※コピーライトについて&lt;BR&gt;「神﨑新」は一般作品での名義で、今回BL作品用の名義として「牛男」を使用いたします。")</f>
        <v>※コピーライトについて&lt;BR&gt;「神﨑新」は一般作品での名義で、今回BL作品用の名義として「牛男」を使用いたします。</v>
      </c>
      <c r="R2405" s="67"/>
      <c r="S2405" s="130" t="str">
        <f>IFERROR(__xludf.DUMMYFUNCTION("""COMPUTED_VALUE"""),"20241112_新潮社_君の総てを壊すまで")</f>
        <v>20241112_新潮社_君の総てを壊すまで</v>
      </c>
      <c r="T2405" s="130" t="str">
        <f>IFERROR(__xludf.DUMMYFUNCTION("""COMPUTED_VALUE"""),"格納済み")</f>
        <v>格納済み</v>
      </c>
      <c r="U2405" s="15" t="str">
        <f>IFERROR(__xludf.DUMMYFUNCTION("""COMPUTED_VALUE"""),"(C)牛男／新潮社")</f>
        <v>(C)牛男／新潮社</v>
      </c>
      <c r="V2405" s="8" t="str">
        <f>IFERROR(__xludf.DUMMYFUNCTION("""COMPUTED_VALUE"""),"「光瑠の総てを俺にちょうだい」恋を絆とするなら、愛とは業である――。日本有数の大企業、藤塚製薬の御曹司・光瑠は、だれもが羨む生活を送っていた。美しい容姿、麗しい妻、豊かな資産、欠けているものがあるとするなら、この優秀な遺伝子を継ぐ【命】――。だがそれは、一生満たされることのない幻。だって光瑠はゲイだから。子を渇望する妻を蔑ろに、男遊びに明け暮れる。それが彼の日常だった。妹の夫と出会うまでは――。")</f>
        <v>「光瑠の総てを俺にちょうだい」恋を絆とするなら、愛とは業である――。日本有数の大企業、藤塚製薬の御曹司・光瑠は、だれもが羨む生活を送っていた。美しい容姿、麗しい妻、豊かな資産、欠けているものがあるとするなら、この優秀な遺伝子を継ぐ【命】――。だがそれは、一生満たされることのない幻。だって光瑠はゲイだから。子を渇望する妻を蔑ろに、男遊びに明け暮れる。それが彼の日常だった。妹の夫と出会うまでは――。</v>
      </c>
      <c r="W2405" s="14"/>
      <c r="X2405" s="14" t="str">
        <f>IFERROR(__xludf.DUMMYFUNCTION("""COMPUTED_VALUE"""),"有")</f>
        <v>有</v>
      </c>
      <c r="Y2405" s="8" t="str">
        <f>IFERROR(__xludf.DUMMYFUNCTION("""COMPUTED_VALUE"""),"P5まで")</f>
        <v>P5まで</v>
      </c>
      <c r="Z2405" s="7"/>
      <c r="AA2405" s="7"/>
      <c r="AB2405" s="7"/>
    </row>
    <row r="2406" ht="15.75" customHeight="1">
      <c r="A2406" s="66">
        <f>IFERROR(__xludf.DUMMYFUNCTION("""COMPUTED_VALUE"""),3997.0)</f>
        <v>3997</v>
      </c>
      <c r="B2406" s="67" t="str">
        <f>IFERROR(__xludf.DUMMYFUNCTION("""COMPUTED_VALUE"""),"確定")</f>
        <v>確定</v>
      </c>
      <c r="C2406" s="68">
        <f>IFERROR(__xludf.DUMMYFUNCTION("""COMPUTED_VALUE"""),45523.0)</f>
        <v>45523</v>
      </c>
      <c r="D2406" s="68">
        <f>IFERROR(__xludf.DUMMYFUNCTION("""COMPUTED_VALUE"""),45609.0)</f>
        <v>45609</v>
      </c>
      <c r="E2406" s="60">
        <f>IFERROR(__xludf.DUMMYFUNCTION("""COMPUTED_VALUE"""),307295.0)</f>
        <v>307295</v>
      </c>
      <c r="F2406" s="61" t="str">
        <f>IFERROR(__xludf.DUMMYFUNCTION("""COMPUTED_VALUE"""),"身代わり皇帝の憂鬱～後宮の侍女ですが、入れ替わった皇帝に全てを押しつけられています～　【連載版】")</f>
        <v>身代わり皇帝の憂鬱～後宮の侍女ですが、入れ替わった皇帝に全てを押しつけられています～　【連載版】</v>
      </c>
      <c r="G2406" s="67" t="str">
        <f>IFERROR(__xludf.DUMMYFUNCTION("""COMPUTED_VALUE"""),"1～4")</f>
        <v>1～4</v>
      </c>
      <c r="H2406" s="67" t="str">
        <f>IFERROR(__xludf.DUMMYFUNCTION("""COMPUTED_VALUE"""),"コミック：桂 実 原作：松田詩依 キャラクター原案：NiKrome")</f>
        <v>コミック：桂 実 原作：松田詩依 キャラクター原案：NiKrome</v>
      </c>
      <c r="I2406" s="67" t="str">
        <f>IFERROR(__xludf.DUMMYFUNCTION("""COMPUTED_VALUE"""),"少女")</f>
        <v>少女</v>
      </c>
      <c r="J2406" s="67"/>
      <c r="K2406" s="67"/>
      <c r="L2406" s="67" t="str">
        <f>IFERROR(__xludf.DUMMYFUNCTION("""COMPUTED_VALUE"""),"一迅社")</f>
        <v>一迅社</v>
      </c>
      <c r="M2406" s="23">
        <f>IFERROR(__xludf.DUMMYFUNCTION("""COMPUTED_VALUE"""),45627.0)</f>
        <v>45627</v>
      </c>
      <c r="N2406" s="85">
        <f>IFERROR(__xludf.DUMMYFUNCTION("""COMPUTED_VALUE"""),45657.0)</f>
        <v>45657</v>
      </c>
      <c r="O2406" s="67"/>
      <c r="P2406" s="71" t="str">
        <f>IFERROR(__xludf.DUMMYFUNCTION("""COMPUTED_VALUE"""),"否")</f>
        <v>否</v>
      </c>
      <c r="Q2406" s="30"/>
      <c r="R2406" s="67"/>
      <c r="S2406" s="130" t="str">
        <f>IFERROR(__xludf.DUMMYFUNCTION("""COMPUTED_VALUE"""),"20241113_一迅社_身代わり皇帝の憂鬱～後宮の侍女ですが、入れ替わった皇帝に全てを押しつけられています～")</f>
        <v>20241113_一迅社_身代わり皇帝の憂鬱～後宮の侍女ですが、入れ替わった皇帝に全てを押しつけられています～</v>
      </c>
      <c r="T2406" s="130" t="str">
        <f>IFERROR(__xludf.DUMMYFUNCTION("""COMPUTED_VALUE"""),"格納済み")</f>
        <v>格納済み</v>
      </c>
      <c r="U2406" s="15" t="str">
        <f>IFERROR(__xludf.DUMMYFUNCTION("""COMPUTED_VALUE"""),"(C)桂実／一迅社／松田詩依・NiKrome／小学館")</f>
        <v>(C)桂実／一迅社／松田詩依・NiKrome／小学館</v>
      </c>
      <c r="V2406" s="8" t="str">
        <f>IFERROR(__xludf.DUMMYFUNCTION("""COMPUTED_VALUE"""),"田舎貴族の娘・白麗霞は、朝陽国の妃候補・静蘭に仕える後宮の侍女。仲春の満月の夜、後宮の池に落ちかけた皇帝・天陽を助けようとして一緒に池に落ち、ふたたび目覚めたとき、ふたりの中身が入れ替わっていたのだった。解決方法として提示された「次の満月の夜にもう一度ふたりで池に落ちてみる」を実行するまでの間、実際に中身が入れ替わった状態で生活をすることに！元々は貰い事故で皇帝（中身）になった麗霞だったが、皇后である秀雅が強すぎるせいで、天陽自身は妃候補たちにナメられていることがわかった。これを改善すべく乗りだした麗霞は"&amp;"「皇后ぎゃふん計画」を立案するが……？【本商品は単話コンテンツとなります。単行本版と収録内容が異なる場合がございます。漫画内の告知等は過去のものとなりますので、ご注意ください。】")</f>
        <v>田舎貴族の娘・白麗霞は、朝陽国の妃候補・静蘭に仕える後宮の侍女。仲春の満月の夜、後宮の池に落ちかけた皇帝・天陽を助けようとして一緒に池に落ち、ふたたび目覚めたとき、ふたりの中身が入れ替わっていたのだった。解決方法として提示された「次の満月の夜にもう一度ふたりで池に落ちてみる」を実行するまでの間、実際に中身が入れ替わった状態で生活をすることに！元々は貰い事故で皇帝（中身）になった麗霞だったが、皇后である秀雅が強すぎるせいで、天陽自身は妃候補たちにナメられていることがわかった。これを改善すべく乗りだした麗霞は「皇后ぎゃふん計画」を立案するが……？【本商品は単話コンテンツとなります。単行本版と収録内容が異なる場合がございます。漫画内の告知等は過去のものとなりますので、ご注意ください。】</v>
      </c>
      <c r="W2406" s="14"/>
      <c r="X2406" s="14" t="str">
        <f>IFERROR(__xludf.DUMMYFUNCTION("""COMPUTED_VALUE"""),"有")</f>
        <v>有</v>
      </c>
      <c r="Y2406" s="8" t="str">
        <f>IFERROR(__xludf.DUMMYFUNCTION("""COMPUTED_VALUE"""),"2024/12/31まで立ち読み増量P88まで")</f>
        <v>2024/12/31まで立ち読み増量P88まで</v>
      </c>
      <c r="Z2406" s="7"/>
      <c r="AA2406" s="7"/>
      <c r="AB2406" s="7"/>
    </row>
    <row r="2407" ht="15.75" customHeight="1">
      <c r="A2407" s="66">
        <f>IFERROR(__xludf.DUMMYFUNCTION("""COMPUTED_VALUE"""),4154.0)</f>
        <v>4154</v>
      </c>
      <c r="B2407" s="67" t="str">
        <f>IFERROR(__xludf.DUMMYFUNCTION("""COMPUTED_VALUE"""),"確定")</f>
        <v>確定</v>
      </c>
      <c r="C2407" s="68">
        <f>IFERROR(__xludf.DUMMYFUNCTION("""COMPUTED_VALUE"""),45553.0)</f>
        <v>45553</v>
      </c>
      <c r="D2407" s="68">
        <f>IFERROR(__xludf.DUMMYFUNCTION("""COMPUTED_VALUE"""),45609.0)</f>
        <v>45609</v>
      </c>
      <c r="E2407" s="60">
        <f>IFERROR(__xludf.DUMMYFUNCTION("""COMPUTED_VALUE"""),307536.0)</f>
        <v>307536</v>
      </c>
      <c r="F2407" s="61" t="str">
        <f>IFERROR(__xludf.DUMMYFUNCTION("""COMPUTED_VALUE"""),"Kの支配者")</f>
        <v>Kの支配者</v>
      </c>
      <c r="G2407" s="67" t="str">
        <f>IFERROR(__xludf.DUMMYFUNCTION("""COMPUTED_VALUE"""),"1～2")</f>
        <v>1～2</v>
      </c>
      <c r="H2407" s="67" t="str">
        <f>IFERROR(__xludf.DUMMYFUNCTION("""COMPUTED_VALUE"""),"奥田枠")</f>
        <v>奥田枠</v>
      </c>
      <c r="I2407" s="67" t="str">
        <f>IFERROR(__xludf.DUMMYFUNCTION("""COMPUTED_VALUE"""),"BL")</f>
        <v>BL</v>
      </c>
      <c r="J2407" s="67"/>
      <c r="K2407" s="67"/>
      <c r="L2407" s="67" t="str">
        <f>IFERROR(__xludf.DUMMYFUNCTION("""COMPUTED_VALUE"""),"新潮社")</f>
        <v>新潮社</v>
      </c>
      <c r="M2407" s="23">
        <f>IFERROR(__xludf.DUMMYFUNCTION("""COMPUTED_VALUE"""),45635.0)</f>
        <v>45635</v>
      </c>
      <c r="N2407" s="89">
        <f>IFERROR(__xludf.DUMMYFUNCTION("""COMPUTED_VALUE"""),45756.66666666667)</f>
        <v>45756.66667</v>
      </c>
      <c r="O2407" s="67"/>
      <c r="P2407" s="131" t="str">
        <f>IFERROR(__xludf.DUMMYFUNCTION("""COMPUTED_VALUE"""),"可")</f>
        <v>可</v>
      </c>
      <c r="Q2407" s="30" t="str">
        <f>IFERROR(__xludf.DUMMYFUNCTION("""COMPUTED_VALUE"""),"別ジャンルは「モリエサトシ」で執筆")</f>
        <v>別ジャンルは「モリエサトシ」で執筆</v>
      </c>
      <c r="R2407" s="67"/>
      <c r="S2407" s="130" t="str">
        <f>IFERROR(__xludf.DUMMYFUNCTION("""COMPUTED_VALUE"""),"20241112_新潮社_Kの支配者")</f>
        <v>20241112_新潮社_Kの支配者</v>
      </c>
      <c r="T2407" s="130" t="str">
        <f>IFERROR(__xludf.DUMMYFUNCTION("""COMPUTED_VALUE"""),"格納済み")</f>
        <v>格納済み</v>
      </c>
      <c r="U2407" s="15" t="str">
        <f>IFERROR(__xludf.DUMMYFUNCTION("""COMPUTED_VALUE"""),"(C)奥田枠／新潮社")</f>
        <v>(C)奥田枠／新潮社</v>
      </c>
      <c r="V2407" s="8" t="str">
        <f>IFERROR(__xludf.DUMMYFUNCTION("""COMPUTED_VALUE"""),"ある資産家の息子Kが死んだ。順風満帆に生きてきたKの死に疑問を抱いた警察は、重要参考人として、Kの自殺を通報した坂滝晃を召喚する。調査の過程で明らかになった、二人の淫らで歪な関係とは――。誰にも理解されなくても、この関係は祝福でした。")</f>
        <v>ある資産家の息子Kが死んだ。順風満帆に生きてきたKの死に疑問を抱いた警察は、重要参考人として、Kの自殺を通報した坂滝晃を召喚する。調査の過程で明らかになった、二人の淫らで歪な関係とは――。誰にも理解されなくても、この関係は祝福でした。</v>
      </c>
      <c r="W2407" s="14"/>
      <c r="X2407" s="14" t="str">
        <f>IFERROR(__xludf.DUMMYFUNCTION("""COMPUTED_VALUE"""),"有")</f>
        <v>有</v>
      </c>
      <c r="Y2407" s="8" t="str">
        <f>IFERROR(__xludf.DUMMYFUNCTION("""COMPUTED_VALUE"""),"P5まで")</f>
        <v>P5まで</v>
      </c>
      <c r="Z2407" s="7"/>
      <c r="AA2407" s="7"/>
      <c r="AB2407" s="7"/>
    </row>
    <row r="2408" ht="15.75" customHeight="1">
      <c r="A2408" s="66">
        <f>IFERROR(__xludf.DUMMYFUNCTION("""COMPUTED_VALUE"""),4187.0)</f>
        <v>4187</v>
      </c>
      <c r="B2408" s="67" t="str">
        <f>IFERROR(__xludf.DUMMYFUNCTION("""COMPUTED_VALUE"""),"確定")</f>
        <v>確定</v>
      </c>
      <c r="C2408" s="68">
        <f>IFERROR(__xludf.DUMMYFUNCTION("""COMPUTED_VALUE"""),45561.0)</f>
        <v>45561</v>
      </c>
      <c r="D2408" s="68">
        <f>IFERROR(__xludf.DUMMYFUNCTION("""COMPUTED_VALUE"""),45604.0)</f>
        <v>45604</v>
      </c>
      <c r="E2408" s="60">
        <f>IFERROR(__xludf.DUMMYFUNCTION("""COMPUTED_VALUE"""),308283.0)</f>
        <v>308283</v>
      </c>
      <c r="F2408" s="61" t="str">
        <f>IFERROR(__xludf.DUMMYFUNCTION("""COMPUTED_VALUE"""),"呪われた辺境伯は聖女の愛に救われる")</f>
        <v>呪われた辺境伯は聖女の愛に救われる</v>
      </c>
      <c r="G2408" s="67" t="str">
        <f>IFERROR(__xludf.DUMMYFUNCTION("""COMPUTED_VALUE"""),"1～3")</f>
        <v>1～3</v>
      </c>
      <c r="H2408" s="67" t="str">
        <f>IFERROR(__xludf.DUMMYFUNCTION("""COMPUTED_VALUE"""),"あまぐり,たかおみきよ")</f>
        <v>あまぐり,たかおみきよ</v>
      </c>
      <c r="I2408" s="67" t="str">
        <f>IFERROR(__xludf.DUMMYFUNCTION("""COMPUTED_VALUE"""),"TL")</f>
        <v>TL</v>
      </c>
      <c r="J2408" s="67"/>
      <c r="K2408" s="67"/>
      <c r="L2408" s="67" t="str">
        <f>IFERROR(__xludf.DUMMYFUNCTION("""COMPUTED_VALUE"""),"Freedia")</f>
        <v>Freedia</v>
      </c>
      <c r="M2408" s="85">
        <f>IFERROR(__xludf.DUMMYFUNCTION("""COMPUTED_VALUE"""),45646.0)</f>
        <v>45646</v>
      </c>
      <c r="N2408" s="59">
        <f>IFERROR(__xludf.DUMMYFUNCTION("""COMPUTED_VALUE"""),45736.0)</f>
        <v>45736</v>
      </c>
      <c r="O2408" s="67"/>
      <c r="P2408" s="70" t="str">
        <f>IFERROR(__xludf.DUMMYFUNCTION("""COMPUTED_VALUE"""),"可")</f>
        <v>可</v>
      </c>
      <c r="Q2408" s="30" t="str">
        <f>IFERROR(__xludf.DUMMYFUNCTION("""COMPUTED_VALUE"""),"レーベル名：Freedia comics&lt;BR&gt;")</f>
        <v>レーベル名：Freedia comics&lt;BR&gt;</v>
      </c>
      <c r="R2408" s="67"/>
      <c r="S2408" s="130" t="str">
        <f>IFERROR(__xludf.DUMMYFUNCTION("""COMPUTED_VALUE"""),"20241107_Freedia_呪われた辺境伯は聖女の愛に救われる")</f>
        <v>20241107_Freedia_呪われた辺境伯は聖女の愛に救われる</v>
      </c>
      <c r="T2408" s="130" t="str">
        <f>IFERROR(__xludf.DUMMYFUNCTION("""COMPUTED_VALUE"""),"格納済み")</f>
        <v>格納済み</v>
      </c>
      <c r="U2408" s="15" t="str">
        <f>IFERROR(__xludf.DUMMYFUNCTION("""COMPUTED_VALUE"""),"©あまぐり・たかおみきよ/Freedia")</f>
        <v>©あまぐり・たかおみきよ/Freedia</v>
      </c>
      <c r="V2408" s="8" t="str">
        <f>IFERROR(__xludf.DUMMYFUNCTION("""COMPUTED_VALUE"""),"「私は貴方を救いたい。たとえ貴方の呪いが、私を蝕もうと…」
浄化の力で街の人々を癒す聖女・レーナは、その存在を疎ましく思う貴族の企みにより、 “呪われた辺境伯”アルベルトと結婚することに…。
「お前を愛するつもりはない」
冷たい態度とは相反するアルベルトの優しい指先に翻弄され、体の奥から乱されるレーナ。
限界を迎えたその時、浄化の光が2人を包み込んで…！？
呪いにより心を閉ざした辺境伯×愛と浄化の力を持つ聖女のドラマチックラブストーリー開幕！")</f>
        <v>「私は貴方を救いたい。たとえ貴方の呪いが、私を蝕もうと…」
浄化の力で街の人々を癒す聖女・レーナは、その存在を疎ましく思う貴族の企みにより、 “呪われた辺境伯”アルベルトと結婚することに…。
「お前を愛するつもりはない」
冷たい態度とは相反するアルベルトの優しい指先に翻弄され、体の奥から乱されるレーナ。
限界を迎えたその時、浄化の光が2人を包み込んで…！？
呪いにより心を閉ざした辺境伯×愛と浄化の力を持つ聖女のドラマチックラブストーリー開幕！</v>
      </c>
      <c r="W2408" s="14"/>
      <c r="X2408" s="14" t="str">
        <f>IFERROR(__xludf.DUMMYFUNCTION("""COMPUTED_VALUE"""),"有")</f>
        <v>有</v>
      </c>
      <c r="Y2408" s="8" t="str">
        <f>IFERROR(__xludf.DUMMYFUNCTION("""COMPUTED_VALUE"""),"2025/6/19まで1巻無料
2025/3/20まで立ち読み増量P11まで")</f>
        <v>2025/6/19まで1巻無料
2025/3/20まで立ち読み増量P11まで</v>
      </c>
      <c r="Z2408" s="7"/>
      <c r="AA2408" s="7"/>
      <c r="AB2408" s="7"/>
    </row>
    <row r="2409" ht="15.75" customHeight="1">
      <c r="A2409" s="66">
        <f>IFERROR(__xludf.DUMMYFUNCTION("""COMPUTED_VALUE"""),4237.0)</f>
        <v>4237</v>
      </c>
      <c r="B2409" s="67" t="str">
        <f>IFERROR(__xludf.DUMMYFUNCTION("""COMPUTED_VALUE"""),"確定")</f>
        <v>確定</v>
      </c>
      <c r="C2409" s="68">
        <f>IFERROR(__xludf.DUMMYFUNCTION("""COMPUTED_VALUE"""),45568.0)</f>
        <v>45568</v>
      </c>
      <c r="D2409" s="68">
        <f>IFERROR(__xludf.DUMMYFUNCTION("""COMPUTED_VALUE"""),45604.0)</f>
        <v>45604</v>
      </c>
      <c r="E2409" s="60">
        <f>IFERROR(__xludf.DUMMYFUNCTION("""COMPUTED_VALUE"""),302660.0)</f>
        <v>302660</v>
      </c>
      <c r="F2409" s="90" t="str">
        <f>IFERROR(__xludf.DUMMYFUNCTION("""COMPUTED_VALUE"""),"ほろ苦と溺あま")</f>
        <v>ほろ苦と溺あま</v>
      </c>
      <c r="G2409" s="67" t="str">
        <f>IFERROR(__xludf.DUMMYFUNCTION("""COMPUTED_VALUE"""),"1～3")</f>
        <v>1～3</v>
      </c>
      <c r="H2409" s="67" t="str">
        <f>IFERROR(__xludf.DUMMYFUNCTION("""COMPUTED_VALUE"""),"ふるかわしおり")</f>
        <v>ふるかわしおり</v>
      </c>
      <c r="I2409" s="67" t="str">
        <f>IFERROR(__xludf.DUMMYFUNCTION("""COMPUTED_VALUE"""),"女性")</f>
        <v>女性</v>
      </c>
      <c r="J2409" s="67"/>
      <c r="K2409" s="67"/>
      <c r="L2409" s="67" t="str">
        <f>IFERROR(__xludf.DUMMYFUNCTION("""COMPUTED_VALUE"""),"ＦＯＤ")</f>
        <v>ＦＯＤ</v>
      </c>
      <c r="M2409" s="85">
        <f>IFERROR(__xludf.DUMMYFUNCTION("""COMPUTED_VALUE"""),45617.0)</f>
        <v>45617</v>
      </c>
      <c r="N2409" s="59">
        <f>IFERROR(__xludf.DUMMYFUNCTION("""COMPUTED_VALUE"""),45797.0)</f>
        <v>45797</v>
      </c>
      <c r="O2409" s="67"/>
      <c r="P2409" s="71" t="str">
        <f>IFERROR(__xludf.DUMMYFUNCTION("""COMPUTED_VALUE"""),"否")</f>
        <v>否</v>
      </c>
      <c r="Q2409" s="30"/>
      <c r="R2409" s="67"/>
      <c r="S2409" s="130" t="str">
        <f>IFERROR(__xludf.DUMMYFUNCTION("""COMPUTED_VALUE"""),"20241107_FOD_ほろ苦と溺あま")</f>
        <v>20241107_FOD_ほろ苦と溺あま</v>
      </c>
      <c r="T2409" s="132" t="str">
        <f>IFERROR(__xludf.DUMMYFUNCTION("""COMPUTED_VALUE"""),"格納済み")</f>
        <v>格納済み</v>
      </c>
      <c r="U2409" s="15" t="str">
        <f>IFERROR(__xludf.DUMMYFUNCTION("""COMPUTED_VALUE"""),"(C)ふるかわしおり/FOD	")</f>
        <v>(C)ふるかわしおり/FOD	</v>
      </c>
      <c r="V2409" s="8" t="str">
        <f>IFERROR(__xludf.DUMMYFUNCTION("""COMPUTED_VALUE"""),"恋をするなら、年上男子を想うちょっと苦い恋？　年下男子に想われる甘い恋？　それともーー…。苦くて甘い胸キュンラブストーリーを！　アラサー女子・雨宮蘭は大学生の弟・大樹と東京で２人暮らし。弟の幼なじみ・つばきとは家族同然の付き合いをしている。蘭は広告代理店で働き、彼氏もいて、仕事も恋も順調な日々。ただ、その恋には秘密があって…？")</f>
        <v>恋をするなら、年上男子を想うちょっと苦い恋？　年下男子に想われる甘い恋？　それともーー…。苦くて甘い胸キュンラブストーリーを！　アラサー女子・雨宮蘭は大学生の弟・大樹と東京で２人暮らし。弟の幼なじみ・つばきとは家族同然の付き合いをしている。蘭は広告代理店で働き、彼氏もいて、仕事も恋も順調な日々。ただ、その恋には秘密があって…？</v>
      </c>
      <c r="W2409" s="14"/>
      <c r="X2409" s="14" t="str">
        <f>IFERROR(__xludf.DUMMYFUNCTION("""COMPUTED_VALUE"""),"有")</f>
        <v>有</v>
      </c>
      <c r="Y2409" s="8" t="str">
        <f>IFERROR(__xludf.DUMMYFUNCTION("""COMPUTED_VALUE"""),"1巻無料")</f>
        <v>1巻無料</v>
      </c>
      <c r="Z2409" s="7"/>
      <c r="AA2409" s="7"/>
      <c r="AB2409" s="7"/>
    </row>
    <row r="2410" ht="15.75" customHeight="1">
      <c r="A2410" s="66">
        <f>IFERROR(__xludf.DUMMYFUNCTION("""COMPUTED_VALUE"""),4239.0)</f>
        <v>4239</v>
      </c>
      <c r="B2410" s="67" t="str">
        <f>IFERROR(__xludf.DUMMYFUNCTION("""COMPUTED_VALUE"""),"確定")</f>
        <v>確定</v>
      </c>
      <c r="C2410" s="68">
        <f>IFERROR(__xludf.DUMMYFUNCTION("""COMPUTED_VALUE"""),45568.0)</f>
        <v>45568</v>
      </c>
      <c r="D2410" s="68">
        <f>IFERROR(__xludf.DUMMYFUNCTION("""COMPUTED_VALUE"""),45608.0)</f>
        <v>45608</v>
      </c>
      <c r="E2410" s="60">
        <f>IFERROR(__xludf.DUMMYFUNCTION("""COMPUTED_VALUE"""),302665.0)</f>
        <v>302665</v>
      </c>
      <c r="F2410" s="61" t="str">
        <f>IFERROR(__xludf.DUMMYFUNCTION("""COMPUTED_VALUE"""),"天使からの伝言-春日まなの助産師ノート-")</f>
        <v>天使からの伝言-春日まなの助産師ノート-</v>
      </c>
      <c r="G2410" s="67" t="str">
        <f>IFERROR(__xludf.DUMMYFUNCTION("""COMPUTED_VALUE"""),"1～3")</f>
        <v>1～3</v>
      </c>
      <c r="H2410" s="67" t="str">
        <f>IFERROR(__xludf.DUMMYFUNCTION("""COMPUTED_VALUE"""),"佐藤タイセイ")</f>
        <v>佐藤タイセイ</v>
      </c>
      <c r="I2410" s="67" t="str">
        <f>IFERROR(__xludf.DUMMYFUNCTION("""COMPUTED_VALUE"""),"女性")</f>
        <v>女性</v>
      </c>
      <c r="J2410" s="67"/>
      <c r="K2410" s="67"/>
      <c r="L2410" s="67" t="str">
        <f>IFERROR(__xludf.DUMMYFUNCTION("""COMPUTED_VALUE"""),"ＦＯＤ")</f>
        <v>ＦＯＤ</v>
      </c>
      <c r="M2410" s="85">
        <f>IFERROR(__xludf.DUMMYFUNCTION("""COMPUTED_VALUE"""),45617.0)</f>
        <v>45617</v>
      </c>
      <c r="N2410" s="59">
        <f>IFERROR(__xludf.DUMMYFUNCTION("""COMPUTED_VALUE"""),45797.0)</f>
        <v>45797</v>
      </c>
      <c r="O2410" s="67"/>
      <c r="P2410" s="71" t="str">
        <f>IFERROR(__xludf.DUMMYFUNCTION("""COMPUTED_VALUE"""),"否")</f>
        <v>否</v>
      </c>
      <c r="Q2410" s="30"/>
      <c r="R2410" s="67"/>
      <c r="S2410" s="130" t="str">
        <f>IFERROR(__xludf.DUMMYFUNCTION("""COMPUTED_VALUE"""),"20241107_FOD_天使からの伝言-春日まなの助産師ノート-")</f>
        <v>20241107_FOD_天使からの伝言-春日まなの助産師ノート-</v>
      </c>
      <c r="T2410" s="132" t="str">
        <f>IFERROR(__xludf.DUMMYFUNCTION("""COMPUTED_VALUE"""),"格納済み")</f>
        <v>格納済み</v>
      </c>
      <c r="U2410" s="15" t="str">
        <f>IFERROR(__xludf.DUMMYFUNCTION("""COMPUTED_VALUE"""),"(C)佐藤タイセイ/信田朋嗣/小林照弘/FOD")</f>
        <v>(C)佐藤タイセイ/信田朋嗣/小林照弘/FOD</v>
      </c>
      <c r="V2410" s="8" t="str">
        <f>IFERROR(__xludf.DUMMYFUNCTION("""COMPUTED_VALUE"""),"助産師は妊娠から産後まで長いお付き合い。妊婦さんの不安や悩みに寄り添います。助産師の春日まなはシングルマザー。母親のつぎと娘のはなと３人暮らし。まなは元・アイドルで現役時代に得た人の力を信じ、妊婦さんとの仕事に活かして保健センターに勤務している。今日は娘・はなの誕生日。お祝いの約束をしたまなだが…。")</f>
        <v>助産師は妊娠から産後まで長いお付き合い。妊婦さんの不安や悩みに寄り添います。助産師の春日まなはシングルマザー。母親のつぎと娘のはなと３人暮らし。まなは元・アイドルで現役時代に得た人の力を信じ、妊婦さんとの仕事に活かして保健センターに勤務している。今日は娘・はなの誕生日。お祝いの約束をしたまなだが…。</v>
      </c>
      <c r="W2410" s="14"/>
      <c r="X2410" s="14" t="str">
        <f>IFERROR(__xludf.DUMMYFUNCTION("""COMPUTED_VALUE"""),"有")</f>
        <v>有</v>
      </c>
      <c r="Y2410" s="8" t="str">
        <f>IFERROR(__xludf.DUMMYFUNCTION("""COMPUTED_VALUE"""),"1巻無料")</f>
        <v>1巻無料</v>
      </c>
      <c r="Z2410" s="7"/>
      <c r="AA2410" s="7"/>
      <c r="AB2410" s="7"/>
    </row>
    <row r="2411" ht="15.75" customHeight="1">
      <c r="A2411" s="66">
        <f>IFERROR(__xludf.DUMMYFUNCTION("""COMPUTED_VALUE"""),4242.0)</f>
        <v>4242</v>
      </c>
      <c r="B2411" s="67" t="str">
        <f>IFERROR(__xludf.DUMMYFUNCTION("""COMPUTED_VALUE"""),"確定")</f>
        <v>確定</v>
      </c>
      <c r="C2411" s="68">
        <f>IFERROR(__xludf.DUMMYFUNCTION("""COMPUTED_VALUE"""),45568.0)</f>
        <v>45568</v>
      </c>
      <c r="D2411" s="68">
        <f>IFERROR(__xludf.DUMMYFUNCTION("""COMPUTED_VALUE"""),45604.0)</f>
        <v>45604</v>
      </c>
      <c r="E2411" s="60">
        <f>IFERROR(__xludf.DUMMYFUNCTION("""COMPUTED_VALUE"""),302663.0)</f>
        <v>302663</v>
      </c>
      <c r="F2411" s="61" t="str">
        <f>IFERROR(__xludf.DUMMYFUNCTION("""COMPUTED_VALUE"""),"笑う門にはユウキ来る！-零次と優希の百年荘備忘録-")</f>
        <v>笑う門にはユウキ来る！-零次と優希の百年荘備忘録-</v>
      </c>
      <c r="G2411" s="67" t="str">
        <f>IFERROR(__xludf.DUMMYFUNCTION("""COMPUTED_VALUE"""),"1～3")</f>
        <v>1～3</v>
      </c>
      <c r="H2411" s="67" t="str">
        <f>IFERROR(__xludf.DUMMYFUNCTION("""COMPUTED_VALUE"""),"古瀬勝也")</f>
        <v>古瀬勝也</v>
      </c>
      <c r="I2411" s="78" t="str">
        <f>IFERROR(__xludf.DUMMYFUNCTION("""COMPUTED_VALUE"""),"少女")</f>
        <v>少女</v>
      </c>
      <c r="J2411" s="67"/>
      <c r="K2411" s="67"/>
      <c r="L2411" s="67" t="str">
        <f>IFERROR(__xludf.DUMMYFUNCTION("""COMPUTED_VALUE"""),"ＦＯＤ")</f>
        <v>ＦＯＤ</v>
      </c>
      <c r="M2411" s="85">
        <f>IFERROR(__xludf.DUMMYFUNCTION("""COMPUTED_VALUE"""),45617.0)</f>
        <v>45617</v>
      </c>
      <c r="N2411" s="59">
        <f>IFERROR(__xludf.DUMMYFUNCTION("""COMPUTED_VALUE"""),45797.0)</f>
        <v>45797</v>
      </c>
      <c r="O2411" s="67"/>
      <c r="P2411" s="71" t="str">
        <f>IFERROR(__xludf.DUMMYFUNCTION("""COMPUTED_VALUE"""),"否")</f>
        <v>否</v>
      </c>
      <c r="Q2411" s="30"/>
      <c r="R2411" s="67"/>
      <c r="S2411" s="130" t="str">
        <f>IFERROR(__xludf.DUMMYFUNCTION("""COMPUTED_VALUE"""),"20241107_FOD_笑う門にはユウキ来る！-零次と優希の百年荘備忘録-")</f>
        <v>20241107_FOD_笑う門にはユウキ来る！-零次と優希の百年荘備忘録-</v>
      </c>
      <c r="T2411" s="132" t="str">
        <f>IFERROR(__xludf.DUMMYFUNCTION("""COMPUTED_VALUE"""),"格納済み")</f>
        <v>格納済み</v>
      </c>
      <c r="U2411" s="15" t="str">
        <f>IFERROR(__xludf.DUMMYFUNCTION("""COMPUTED_VALUE"""),"(C)古瀬勝也/FOD")</f>
        <v>(C)古瀬勝也/FOD</v>
      </c>
      <c r="V2411" s="8" t="str">
        <f>IFERROR(__xludf.DUMMYFUNCTION("""COMPUTED_VALUE"""),"東京・日本橋のとある場所にある集合住宅「百年荘」。大家の零次は時間通りの計画的な規則正しい生活を送る変わり者。そこへ新たな入居者・優希が上京してくる。零次の生活が優希のせいで狂い始めるが、優希はおかまいなし。優希にはある目的がありーー？百年荘の住民たちと繰り広げるドタバタラブコメディ開幕！")</f>
        <v>東京・日本橋のとある場所にある集合住宅「百年荘」。大家の零次は時間通りの計画的な規則正しい生活を送る変わり者。そこへ新たな入居者・優希が上京してくる。零次の生活が優希のせいで狂い始めるが、優希はおかまいなし。優希にはある目的がありーー？百年荘の住民たちと繰り広げるドタバタラブコメディ開幕！</v>
      </c>
      <c r="W2411" s="14"/>
      <c r="X2411" s="14" t="str">
        <f>IFERROR(__xludf.DUMMYFUNCTION("""COMPUTED_VALUE"""),"有")</f>
        <v>有</v>
      </c>
      <c r="Y2411" s="8" t="str">
        <f>IFERROR(__xludf.DUMMYFUNCTION("""COMPUTED_VALUE"""),"1巻無料")</f>
        <v>1巻無料</v>
      </c>
      <c r="Z2411" s="7"/>
      <c r="AA2411" s="7"/>
      <c r="AB2411" s="7"/>
    </row>
    <row r="2412" ht="15.75" customHeight="1">
      <c r="A2412" s="66">
        <f>IFERROR(__xludf.DUMMYFUNCTION("""COMPUTED_VALUE"""),4243.0)</f>
        <v>4243</v>
      </c>
      <c r="B2412" s="67" t="str">
        <f>IFERROR(__xludf.DUMMYFUNCTION("""COMPUTED_VALUE"""),"確定")</f>
        <v>確定</v>
      </c>
      <c r="C2412" s="68">
        <f>IFERROR(__xludf.DUMMYFUNCTION("""COMPUTED_VALUE"""),45568.0)</f>
        <v>45568</v>
      </c>
      <c r="D2412" s="68">
        <f>IFERROR(__xludf.DUMMYFUNCTION("""COMPUTED_VALUE"""),45604.0)</f>
        <v>45604</v>
      </c>
      <c r="E2412" s="60">
        <f>IFERROR(__xludf.DUMMYFUNCTION("""COMPUTED_VALUE"""),302859.0)</f>
        <v>302859</v>
      </c>
      <c r="F2412" s="61" t="str">
        <f>IFERROR(__xludf.DUMMYFUNCTION("""COMPUTED_VALUE"""),"日本なにわ国")</f>
        <v>日本なにわ国</v>
      </c>
      <c r="G2412" s="67" t="str">
        <f>IFERROR(__xludf.DUMMYFUNCTION("""COMPUTED_VALUE"""),"1～2")</f>
        <v>1～2</v>
      </c>
      <c r="H2412" s="67" t="str">
        <f>IFERROR(__xludf.DUMMYFUNCTION("""COMPUTED_VALUE"""),"高岩ヨシヒロ")</f>
        <v>高岩ヨシヒロ</v>
      </c>
      <c r="I2412" s="78" t="str">
        <f>IFERROR(__xludf.DUMMYFUNCTION("""COMPUTED_VALUE"""),"青年")</f>
        <v>青年</v>
      </c>
      <c r="J2412" s="67"/>
      <c r="K2412" s="67"/>
      <c r="L2412" s="67" t="str">
        <f>IFERROR(__xludf.DUMMYFUNCTION("""COMPUTED_VALUE"""),"ＦＯＤ")</f>
        <v>ＦＯＤ</v>
      </c>
      <c r="M2412" s="85">
        <f>IFERROR(__xludf.DUMMYFUNCTION("""COMPUTED_VALUE"""),45617.0)</f>
        <v>45617</v>
      </c>
      <c r="N2412" s="59">
        <f>IFERROR(__xludf.DUMMYFUNCTION("""COMPUTED_VALUE"""),45797.0)</f>
        <v>45797</v>
      </c>
      <c r="O2412" s="67"/>
      <c r="P2412" s="71" t="str">
        <f>IFERROR(__xludf.DUMMYFUNCTION("""COMPUTED_VALUE"""),"否")</f>
        <v>否</v>
      </c>
      <c r="Q2412" s="30"/>
      <c r="R2412" s="67"/>
      <c r="S2412" s="130" t="str">
        <f>IFERROR(__xludf.DUMMYFUNCTION("""COMPUTED_VALUE"""),"20241107_FOD_日本なにわ国")</f>
        <v>20241107_FOD_日本なにわ国</v>
      </c>
      <c r="T2412" s="132" t="str">
        <f>IFERROR(__xludf.DUMMYFUNCTION("""COMPUTED_VALUE"""),"格納済み")</f>
        <v>格納済み</v>
      </c>
      <c r="U2412" s="15" t="str">
        <f>IFERROR(__xludf.DUMMYFUNCTION("""COMPUTED_VALUE"""),"(C)高岩ヨシヒロ/FOD       ")</f>
        <v>(C)高岩ヨシヒロ/FOD       </v>
      </c>
      <c r="V2412" s="8" t="str">
        <f>IFERROR(__xludf.DUMMYFUNCTION("""COMPUTED_VALUE"""),"近未来の日本ーー。不法入国の移民が増え、近隣国からの威嚇に怯える日々…。国家存続の、国民の安全を守ため、立ち上がったのは大阪！？　大阪本社からの呼び出しに千葉県から新幹線で大阪へ向かうエンジニアの中島凡人。改札を抜けようとすると何故かパスポートを求められる。状況を飲み込めない凡人はどうなるーー？")</f>
        <v>近未来の日本ーー。不法入国の移民が増え、近隣国からの威嚇に怯える日々…。国家存続の、国民の安全を守ため、立ち上がったのは大阪！？　大阪本社からの呼び出しに千葉県から新幹線で大阪へ向かうエンジニアの中島凡人。改札を抜けようとすると何故かパスポートを求められる。状況を飲み込めない凡人はどうなるーー？</v>
      </c>
      <c r="W2412" s="14"/>
      <c r="X2412" s="14" t="str">
        <f>IFERROR(__xludf.DUMMYFUNCTION("""COMPUTED_VALUE"""),"有")</f>
        <v>有</v>
      </c>
      <c r="Y2412" s="8" t="str">
        <f>IFERROR(__xludf.DUMMYFUNCTION("""COMPUTED_VALUE"""),"1巻無料")</f>
        <v>1巻無料</v>
      </c>
      <c r="Z2412" s="7"/>
      <c r="AA2412" s="7"/>
      <c r="AB2412" s="7"/>
    </row>
    <row r="2413" ht="15.75" customHeight="1">
      <c r="A2413" s="66">
        <f>IFERROR(__xludf.DUMMYFUNCTION("""COMPUTED_VALUE"""),4249.0)</f>
        <v>4249</v>
      </c>
      <c r="B2413" s="67" t="str">
        <f>IFERROR(__xludf.DUMMYFUNCTION("""COMPUTED_VALUE"""),"確定")</f>
        <v>確定</v>
      </c>
      <c r="C2413" s="68">
        <f>IFERROR(__xludf.DUMMYFUNCTION("""COMPUTED_VALUE"""),45569.0)</f>
        <v>45569</v>
      </c>
      <c r="D2413" s="68">
        <f>IFERROR(__xludf.DUMMYFUNCTION("""COMPUTED_VALUE"""),45608.0)</f>
        <v>45608</v>
      </c>
      <c r="E2413" s="60">
        <f>IFERROR(__xludf.DUMMYFUNCTION("""COMPUTED_VALUE"""),308151.0)</f>
        <v>308151</v>
      </c>
      <c r="F2413" s="61" t="str">
        <f>IFERROR(__xludf.DUMMYFUNCTION("""COMPUTED_VALUE"""),"後輩の千木良くんは私の狂愛者")</f>
        <v>後輩の千木良くんは私の狂愛者</v>
      </c>
      <c r="G2413" s="67" t="str">
        <f>IFERROR(__xludf.DUMMYFUNCTION("""COMPUTED_VALUE"""),"1～3")</f>
        <v>1～3</v>
      </c>
      <c r="H2413" s="67" t="str">
        <f>IFERROR(__xludf.DUMMYFUNCTION("""COMPUTED_VALUE"""),"引田ロング/七原みさ")</f>
        <v>引田ロング/七原みさ</v>
      </c>
      <c r="I2413" s="67" t="str">
        <f>IFERROR(__xludf.DUMMYFUNCTION("""COMPUTED_VALUE"""),"TL")</f>
        <v>TL</v>
      </c>
      <c r="J2413" s="67"/>
      <c r="K2413" s="67"/>
      <c r="L2413" s="67" t="str">
        <f>IFERROR(__xludf.DUMMYFUNCTION("""COMPUTED_VALUE"""),"渋谷六花舎")</f>
        <v>渋谷六花舎</v>
      </c>
      <c r="M2413" s="47">
        <f>IFERROR(__xludf.DUMMYFUNCTION("""COMPUTED_VALUE"""),45632.0)</f>
        <v>45632</v>
      </c>
      <c r="N2413" s="59">
        <f>IFERROR(__xludf.DUMMYFUNCTION("""COMPUTED_VALUE"""),45721.0)</f>
        <v>45721</v>
      </c>
      <c r="O2413" s="67"/>
      <c r="P2413" s="70" t="str">
        <f>IFERROR(__xludf.DUMMYFUNCTION("""COMPUTED_VALUE"""),"可")</f>
        <v>可</v>
      </c>
      <c r="Q2413" s="30" t="str">
        <f>IFERROR(__xludf.DUMMYFUNCTION("""COMPUTED_VALUE"""),"レーベル名：lou lou")</f>
        <v>レーベル名：lou lou</v>
      </c>
      <c r="R2413" s="67"/>
      <c r="S2413" s="130" t="str">
        <f>IFERROR(__xludf.DUMMYFUNCTION("""COMPUTED_VALUE"""),"20241111_渋谷六花舎_後輩の千木良くん")</f>
        <v>20241111_渋谷六花舎_後輩の千木良くん</v>
      </c>
      <c r="T2413" s="130" t="str">
        <f>IFERROR(__xludf.DUMMYFUNCTION("""COMPUTED_VALUE"""),"格納済み")</f>
        <v>格納済み</v>
      </c>
      <c r="U2413" s="15" t="str">
        <f>IFERROR(__xludf.DUMMYFUNCTION("""COMPUTED_VALUE"""),"(C)引田ロング/七原みさ/lou lou")</f>
        <v>(C)引田ロング/七原みさ/lou lou</v>
      </c>
      <c r="V2413" s="8" t="str">
        <f>IFERROR(__xludf.DUMMYFUNCTION("""COMPUTED_VALUE"""),"「どうしてあなたは俺を夢中にさせるんですか…頭おかしくなりそう…」
最近入社してきた 千木良くんは、仕事もできて顔もものすごく良い。
平凡なOLの私を慕ってくれて、悪い気はしてなかった。
ある日の仕事終わり、千木良くんに突然告白される。
うーん…憧れと恋を混同しちゃってるんじゃないの…?
そう思ったけど、あまりにも押しが強いから、ついOKしてしまう。
でも、私は気がついてなかった、
彼の、煮えたぎるような　” 狂愛 ”　に───
「”美咲さん”にたどり着いたのは俺だけだから」
"&amp;"
イッても、イッても、彼の執着が止まらない…!!!
どうして私を追っていたの…?
知り合ったばかりの私に執拗に恋をする、彼の正体は…")</f>
        <v>「どうしてあなたは俺を夢中にさせるんですか…頭おかしくなりそう…」
最近入社してきた 千木良くんは、仕事もできて顔もものすごく良い。
平凡なOLの私を慕ってくれて、悪い気はしてなかった。
ある日の仕事終わり、千木良くんに突然告白される。
うーん…憧れと恋を混同しちゃってるんじゃないの…?
そう思ったけど、あまりにも押しが強いから、ついOKしてしまう。
でも、私は気がついてなかった、
彼の、煮えたぎるような　” 狂愛 ”　に───
「”美咲さん”にたどり着いたのは俺だけだから」
イッても、イッても、彼の執着が止まらない…!!!
どうして私を追っていたの…?
知り合ったばかりの私に執拗に恋をする、彼の正体は…</v>
      </c>
      <c r="W2413" s="14"/>
      <c r="X2413" s="14" t="str">
        <f>IFERROR(__xludf.DUMMYFUNCTION("""COMPUTED_VALUE"""),"有")</f>
        <v>有</v>
      </c>
      <c r="Y2413" s="8" t="str">
        <f>IFERROR(__xludf.DUMMYFUNCTION("""COMPUTED_VALUE"""),"P14まで")</f>
        <v>P14まで</v>
      </c>
      <c r="Z2413" s="7"/>
      <c r="AA2413" s="7"/>
      <c r="AB2413" s="7"/>
    </row>
    <row r="2414" ht="15.75" customHeight="1">
      <c r="A2414" s="66">
        <f>IFERROR(__xludf.DUMMYFUNCTION("""COMPUTED_VALUE"""),4274.0)</f>
        <v>4274</v>
      </c>
      <c r="B2414" s="67" t="str">
        <f>IFERROR(__xludf.DUMMYFUNCTION("""COMPUTED_VALUE"""),"確定")</f>
        <v>確定</v>
      </c>
      <c r="C2414" s="68">
        <f>IFERROR(__xludf.DUMMYFUNCTION("""COMPUTED_VALUE"""),45573.0)</f>
        <v>45573</v>
      </c>
      <c r="D2414" s="68">
        <f>IFERROR(__xludf.DUMMYFUNCTION("""COMPUTED_VALUE"""),45608.0)</f>
        <v>45608</v>
      </c>
      <c r="E2414" s="60">
        <f>IFERROR(__xludf.DUMMYFUNCTION("""COMPUTED_VALUE"""),309931.0)</f>
        <v>309931</v>
      </c>
      <c r="F2414" s="61" t="str">
        <f>IFERROR(__xludf.DUMMYFUNCTION("""COMPUTED_VALUE"""),"関西弁幼馴染の溺愛は黒くて重い 強引な舌先でハジメテを甘くすすられて…")</f>
        <v>関西弁幼馴染の溺愛は黒くて重い 強引な舌先でハジメテを甘くすすられて…</v>
      </c>
      <c r="G2414" s="67" t="str">
        <f>IFERROR(__xludf.DUMMYFUNCTION("""COMPUTED_VALUE"""),"1～3")</f>
        <v>1～3</v>
      </c>
      <c r="H2414" s="67" t="str">
        <f>IFERROR(__xludf.DUMMYFUNCTION("""COMPUTED_VALUE"""),"@R")</f>
        <v>@R</v>
      </c>
      <c r="I2414" s="67" t="str">
        <f>IFERROR(__xludf.DUMMYFUNCTION("""COMPUTED_VALUE"""),"TL")</f>
        <v>TL</v>
      </c>
      <c r="J2414" s="67"/>
      <c r="K2414" s="67"/>
      <c r="L2414" s="67" t="str">
        <f>IFERROR(__xludf.DUMMYFUNCTION("""COMPUTED_VALUE"""),"渋谷六花舎")</f>
        <v>渋谷六花舎</v>
      </c>
      <c r="M2414" s="85">
        <f>IFERROR(__xludf.DUMMYFUNCTION("""COMPUTED_VALUE"""),45653.0)</f>
        <v>45653</v>
      </c>
      <c r="N2414" s="23">
        <f>IFERROR(__xludf.DUMMYFUNCTION("""COMPUTED_VALUE"""),45742.0)</f>
        <v>45742</v>
      </c>
      <c r="O2414" s="67"/>
      <c r="P2414" s="70" t="str">
        <f>IFERROR(__xludf.DUMMYFUNCTION("""COMPUTED_VALUE"""),"可")</f>
        <v>可</v>
      </c>
      <c r="Q2414" s="30" t="str">
        <f>IFERROR(__xludf.DUMMYFUNCTION("""COMPUTED_VALUE"""),"レーベル名：lou lou")</f>
        <v>レーベル名：lou lou</v>
      </c>
      <c r="R2414" s="67"/>
      <c r="S2414" s="130" t="str">
        <f>IFERROR(__xludf.DUMMYFUNCTION("""COMPUTED_VALUE"""),"20241127_再納品_渋谷六花舎_関西弁幼馴染（修正版）")</f>
        <v>20241127_再納品_渋谷六花舎_関西弁幼馴染（修正版）</v>
      </c>
      <c r="T2414" s="130" t="str">
        <f>IFERROR(__xludf.DUMMYFUNCTION("""COMPUTED_VALUE"""),"格納済み")</f>
        <v>格納済み</v>
      </c>
      <c r="U2414" s="15" t="str">
        <f>IFERROR(__xludf.DUMMYFUNCTION("""COMPUTED_VALUE"""),"(C)@R/lou lou")</f>
        <v>(C)@R/lou lou</v>
      </c>
      <c r="V2414" s="8" t="str">
        <f>IFERROR(__xludf.DUMMYFUNCTION("""COMPUTED_VALUE"""),"「俺の20年分の想い 身体に教えたるわ」強引な舌先で濡れたアソコを優しくなぞって、舐めて、啜られて…。───アラサーOL・東郷ハナの悩みは、人生で一度も「恋人」ができたことがないこと。その原因は、関西弁を話す過保護な幼馴染・黒瀬三郎の存在。恋愛したいと溢すハナに「俺にしとけばええやん」と提案する三郎だったが、ハナは咄嗟に「三郎は家族みたいなもの」と答えてしまい…？「ハナの初めて 俺にちょうだい」身体中を大きな舌が這いまわって、こんなゾクゾクする感覚知らない…っ！───片想いを拗らせた狂犬幼馴染の20年分の"&amp;"執着が暴走する…！")</f>
        <v>「俺の20年分の想い 身体に教えたるわ」強引な舌先で濡れたアソコを優しくなぞって、舐めて、啜られて…。───アラサーOL・東郷ハナの悩みは、人生で一度も「恋人」ができたことがないこと。その原因は、関西弁を話す過保護な幼馴染・黒瀬三郎の存在。恋愛したいと溢すハナに「俺にしとけばええやん」と提案する三郎だったが、ハナは咄嗟に「三郎は家族みたいなもの」と答えてしまい…？「ハナの初めて 俺にちょうだい」身体中を大きな舌が這いまわって、こんなゾクゾクする感覚知らない…っ！───片想いを拗らせた狂犬幼馴染の20年分の執着が暴走する…！</v>
      </c>
      <c r="W2414" s="14"/>
      <c r="X2414" s="14" t="str">
        <f>IFERROR(__xludf.DUMMYFUNCTION("""COMPUTED_VALUE"""),"有")</f>
        <v>有</v>
      </c>
      <c r="Y2414" s="8" t="str">
        <f>IFERROR(__xludf.DUMMYFUNCTION("""COMPUTED_VALUE"""),"P10まで")</f>
        <v>P10まで</v>
      </c>
      <c r="Z2414" s="7"/>
      <c r="AA2414" s="7"/>
      <c r="AB2414" s="7"/>
    </row>
    <row r="2415" ht="15.75" customHeight="1">
      <c r="A2415" s="66">
        <f>IFERROR(__xludf.DUMMYFUNCTION("""COMPUTED_VALUE"""),4277.0)</f>
        <v>4277</v>
      </c>
      <c r="B2415" s="67" t="str">
        <f>IFERROR(__xludf.DUMMYFUNCTION("""COMPUTED_VALUE"""),"確定")</f>
        <v>確定</v>
      </c>
      <c r="C2415" s="68">
        <f>IFERROR(__xludf.DUMMYFUNCTION("""COMPUTED_VALUE"""),45574.0)</f>
        <v>45574</v>
      </c>
      <c r="D2415" s="68">
        <f>IFERROR(__xludf.DUMMYFUNCTION("""COMPUTED_VALUE"""),45608.0)</f>
        <v>45608</v>
      </c>
      <c r="E2415" s="60">
        <f>IFERROR(__xludf.DUMMYFUNCTION("""COMPUTED_VALUE"""),309294.0)</f>
        <v>309294</v>
      </c>
      <c r="F2415" s="61" t="str">
        <f>IFERROR(__xludf.DUMMYFUNCTION("""COMPUTED_VALUE"""),"noicomi高嶺の花宮くんとぼっちな彼女")</f>
        <v>noicomi高嶺の花宮くんとぼっちな彼女</v>
      </c>
      <c r="G2415" s="67" t="str">
        <f>IFERROR(__xludf.DUMMYFUNCTION("""COMPUTED_VALUE"""),"1～5")</f>
        <v>1～5</v>
      </c>
      <c r="H2415" s="67" t="str">
        <f>IFERROR(__xludf.DUMMYFUNCTION("""COMPUTED_VALUE"""),"岩ちか（作画）、丸井とまと（原作）")</f>
        <v>岩ちか（作画）、丸井とまと（原作）</v>
      </c>
      <c r="I2415" s="67" t="str">
        <f>IFERROR(__xludf.DUMMYFUNCTION("""COMPUTED_VALUE"""),"少女")</f>
        <v>少女</v>
      </c>
      <c r="J2415" s="67"/>
      <c r="K2415" s="67"/>
      <c r="L2415" s="67" t="str">
        <f>IFERROR(__xludf.DUMMYFUNCTION("""COMPUTED_VALUE"""),"スターツ出版")</f>
        <v>スターツ出版</v>
      </c>
      <c r="M2415" s="85">
        <f>IFERROR(__xludf.DUMMYFUNCTION("""COMPUTED_VALUE"""),45639.0)</f>
        <v>45639</v>
      </c>
      <c r="N2415" s="23">
        <f>IFERROR(__xludf.DUMMYFUNCTION("""COMPUTED_VALUE"""),45701.0)</f>
        <v>45701</v>
      </c>
      <c r="O2415" s="67"/>
      <c r="P2415" s="70" t="str">
        <f>IFERROR(__xludf.DUMMYFUNCTION("""COMPUTED_VALUE"""),"可")</f>
        <v>可</v>
      </c>
      <c r="Q2415" s="30" t="str">
        <f>IFERROR(__xludf.DUMMYFUNCTION("""COMPUTED_VALUE"""),"・シーモアからの提案、出稿コミット案件（河上さん確認済み）&lt;BR&gt;・2025/1/10に6話配信&lt;BR&gt;・単行本1巻も同時に先行配信開始")</f>
        <v>・シーモアからの提案、出稿コミット案件（河上さん確認済み）&lt;BR&gt;・2025/1/10に6話配信&lt;BR&gt;・単行本1巻も同時に先行配信開始</v>
      </c>
      <c r="R2415" s="67"/>
      <c r="S2415" s="130" t="str">
        <f>IFERROR(__xludf.DUMMYFUNCTION("""COMPUTED_VALUE"""),"20241112_スターツ出版_noicomi高嶺の花宮くんとぼっちな彼女")</f>
        <v>20241112_スターツ出版_noicomi高嶺の花宮くんとぼっちな彼女</v>
      </c>
      <c r="T2415" s="130" t="str">
        <f>IFERROR(__xludf.DUMMYFUNCTION("""COMPUTED_VALUE"""),"格納済み")</f>
        <v>格納済み</v>
      </c>
      <c r="U2415" s="15" t="str">
        <f>IFERROR(__xludf.DUMMYFUNCTION("""COMPUTED_VALUE"""),"（C）Chika Iwa・Tomato Marui/スターツ出版")</f>
        <v>（C）Chika Iwa・Tomato Marui/スターツ出版</v>
      </c>
      <c r="V2415" s="8" t="str">
        <f>IFERROR(__xludf.DUMMYFUNCTION("""COMPUTED_VALUE"""),"笑顔を作るのが苦手な真白は、友達を作るべく奮闘しているけど固い笑顔が原因で失敗続き。
そんなある日、バイト先に現れたのは、学校では眩しい笑顔を振りまく花宮くん。しかし、彼は「マジでだりぃ――」と言い放ち、不機嫌そのもので!?
学校では裏の顔とは全く違う笑顔を作れる彼のことを尊敬した真白は、彼に笑顔の特訓をお願いすることに。笑顔を教わる中で2人の距離は少しずつ縮まっていって――？
思わず応援したくなる！笑顔が苦手なぼっち女子×学校１の人気男子の正反対な２人が織りなす凹凸青春ラブストーリー！"&amp;"(この作品は電子コミック誌noicomi vol.128に収録されています。重複購入にご注意ください)")</f>
        <v>笑顔を作るのが苦手な真白は、友達を作るべく奮闘しているけど固い笑顔が原因で失敗続き。
そんなある日、バイト先に現れたのは、学校では眩しい笑顔を振りまく花宮くん。しかし、彼は「マジでだりぃ――」と言い放ち、不機嫌そのもので!?
学校では裏の顔とは全く違う笑顔を作れる彼のことを尊敬した真白は、彼に笑顔の特訓をお願いすることに。笑顔を教わる中で2人の距離は少しずつ縮まっていって――？
思わず応援したくなる！笑顔が苦手なぼっち女子×学校１の人気男子の正反対な２人が織りなす凹凸青春ラブストーリー！(この作品は電子コミック誌noicomi vol.128に収録されています。重複購入にご注意ください)</v>
      </c>
      <c r="W2415" s="14"/>
      <c r="X2415" s="14" t="str">
        <f>IFERROR(__xludf.DUMMYFUNCTION("""COMPUTED_VALUE"""),"有")</f>
        <v>有</v>
      </c>
      <c r="Y2415" s="8" t="str">
        <f>IFERROR(__xludf.DUMMYFUNCTION("""COMPUTED_VALUE"""),"2025/2/13まで1巻無料")</f>
        <v>2025/2/13まで1巻無料</v>
      </c>
      <c r="Z2415" s="7"/>
      <c r="AA2415" s="7"/>
      <c r="AB2415" s="7"/>
    </row>
    <row r="2416" ht="15.75" customHeight="1">
      <c r="A2416" s="66">
        <f>IFERROR(__xludf.DUMMYFUNCTION("""COMPUTED_VALUE"""),4336.0)</f>
        <v>4336</v>
      </c>
      <c r="B2416" s="67" t="str">
        <f>IFERROR(__xludf.DUMMYFUNCTION("""COMPUTED_VALUE"""),"確定")</f>
        <v>確定</v>
      </c>
      <c r="C2416" s="68">
        <f>IFERROR(__xludf.DUMMYFUNCTION("""COMPUTED_VALUE"""),45581.0)</f>
        <v>45581</v>
      </c>
      <c r="D2416" s="68">
        <f>IFERROR(__xludf.DUMMYFUNCTION("""COMPUTED_VALUE"""),45609.0)</f>
        <v>45609</v>
      </c>
      <c r="E2416" s="60">
        <f>IFERROR(__xludf.DUMMYFUNCTION("""COMPUTED_VALUE"""),307199.0)</f>
        <v>307199</v>
      </c>
      <c r="F2416" s="61" t="str">
        <f>IFERROR(__xludf.DUMMYFUNCTION("""COMPUTED_VALUE"""),"イントゥ・ザ・カルト ―宗教村潜入３０日―")</f>
        <v>イントゥ・ザ・カルト ―宗教村潜入３０日―</v>
      </c>
      <c r="G2416" s="67" t="str">
        <f>IFERROR(__xludf.DUMMYFUNCTION("""COMPUTED_VALUE"""),"1～7")</f>
        <v>1～7</v>
      </c>
      <c r="H2416" s="67" t="str">
        <f>IFERROR(__xludf.DUMMYFUNCTION("""COMPUTED_VALUE"""),"原作：降川浩史／作画：shirioretombo")</f>
        <v>原作：降川浩史／作画：shirioretombo</v>
      </c>
      <c r="I2416" s="67" t="str">
        <f>IFERROR(__xludf.DUMMYFUNCTION("""COMPUTED_VALUE"""),"青年")</f>
        <v>青年</v>
      </c>
      <c r="J2416" s="67"/>
      <c r="K2416" s="67"/>
      <c r="L2416" s="67" t="str">
        <f>IFERROR(__xludf.DUMMYFUNCTION("""COMPUTED_VALUE"""),"GANMA!")</f>
        <v>GANMA!</v>
      </c>
      <c r="M2416" s="23">
        <f>IFERROR(__xludf.DUMMYFUNCTION("""COMPUTED_VALUE"""),45627.0)</f>
        <v>45627</v>
      </c>
      <c r="N2416" s="47">
        <f>IFERROR(__xludf.DUMMYFUNCTION("""COMPUTED_VALUE"""),45688.0)</f>
        <v>45688</v>
      </c>
      <c r="O2416" s="67"/>
      <c r="P2416" s="70" t="str">
        <f>IFERROR(__xludf.DUMMYFUNCTION("""COMPUTED_VALUE"""),"否")</f>
        <v>否</v>
      </c>
      <c r="Q2416" s="30" t="str">
        <f>IFERROR(__xludf.DUMMYFUNCTION("""COMPUTED_VALUE"""),"Huluと共同製作作品でございます。映像化決まっていませ&lt;BR&gt;んが、映像化を視野にいれた作品でござます。")</f>
        <v>Huluと共同製作作品でございます。映像化決まっていませ&lt;BR&gt;んが、映像化を視野にいれた作品でござます。</v>
      </c>
      <c r="R2416" s="67"/>
      <c r="S2416" s="130" t="str">
        <f>IFERROR(__xludf.DUMMYFUNCTION("""COMPUTED_VALUE"""),"20241113_GANMA!_イントゥ・ザ・カルト ―宗教村潜入３０日―")</f>
        <v>20241113_GANMA!_イントゥ・ザ・カルト ―宗教村潜入３０日―</v>
      </c>
      <c r="T2416" s="130" t="str">
        <f>IFERROR(__xludf.DUMMYFUNCTION("""COMPUTED_VALUE"""),"格納済み")</f>
        <v>格納済み</v>
      </c>
      <c r="U2416" s="15" t="str">
        <f>IFERROR(__xludf.DUMMYFUNCTION("""COMPUTED_VALUE"""),"Ⓒ原作：降川浩史／作画：shirioretombo／ＨＪホールディングス・COMICSMART INC.")</f>
        <v>Ⓒ原作：降川浩史／作画：shirioretombo／ＨＪホールディングス・COMICSMART INC.</v>
      </c>
      <c r="V2416" s="8" t="str">
        <f>IFERROR(__xludf.DUMMYFUNCTION("""COMPUTED_VALUE"""),"主人公の潜入先は毎日信者が一名必ず死ぬカルト教団だった。 命を懸けたサバイバルサスペンスが今始まる。（著者名：降川浩史・shirioretombo）")</f>
        <v>主人公の潜入先は毎日信者が一名必ず死ぬカルト教団だった。 命を懸けたサバイバルサスペンスが今始まる。（著者名：降川浩史・shirioretombo）</v>
      </c>
      <c r="W2416" s="14"/>
      <c r="X2416" s="14" t="str">
        <f>IFERROR(__xludf.DUMMYFUNCTION("""COMPUTED_VALUE"""),"有")</f>
        <v>有</v>
      </c>
      <c r="Y2416" s="8" t="str">
        <f>IFERROR(__xludf.DUMMYFUNCTION("""COMPUTED_VALUE"""),"2025/2/28まで1～2巻無料")</f>
        <v>2025/2/28まで1～2巻無料</v>
      </c>
      <c r="Z2416" s="7"/>
      <c r="AA2416" s="7"/>
      <c r="AB2416" s="7"/>
    </row>
    <row r="2417" ht="15.75" customHeight="1">
      <c r="A2417" s="66">
        <f>IFERROR(__xludf.DUMMYFUNCTION("""COMPUTED_VALUE"""),4356.0)</f>
        <v>4356</v>
      </c>
      <c r="B2417" s="67" t="str">
        <f>IFERROR(__xludf.DUMMYFUNCTION("""COMPUTED_VALUE"""),"確定")</f>
        <v>確定</v>
      </c>
      <c r="C2417" s="68">
        <f>IFERROR(__xludf.DUMMYFUNCTION("""COMPUTED_VALUE"""),45583.0)</f>
        <v>45583</v>
      </c>
      <c r="D2417" s="68">
        <f>IFERROR(__xludf.DUMMYFUNCTION("""COMPUTED_VALUE"""),45608.0)</f>
        <v>45608</v>
      </c>
      <c r="E2417" s="60">
        <f>IFERROR(__xludf.DUMMYFUNCTION("""COMPUTED_VALUE"""),310767.0)</f>
        <v>310767</v>
      </c>
      <c r="F2417" s="61" t="str">
        <f>IFERROR(__xludf.DUMMYFUNCTION("""COMPUTED_VALUE"""),"仕事人間な伯爵令嬢は氷の宰相様の愛を見誤っている【単話版】")</f>
        <v>仕事人間な伯爵令嬢は氷の宰相様の愛を見誤っている【単話版】</v>
      </c>
      <c r="G2417" s="67" t="str">
        <f>IFERROR(__xludf.DUMMYFUNCTION("""COMPUTED_VALUE"""),"1～3")</f>
        <v>1～3</v>
      </c>
      <c r="H2417" s="67" t="str">
        <f>IFERROR(__xludf.DUMMYFUNCTION("""COMPUTED_VALUE"""),"mako/杓子ねこ")</f>
        <v>mako/杓子ねこ</v>
      </c>
      <c r="I2417" s="67" t="str">
        <f>IFERROR(__xludf.DUMMYFUNCTION("""COMPUTED_VALUE"""),"少女")</f>
        <v>少女</v>
      </c>
      <c r="J2417" s="67"/>
      <c r="K2417" s="67"/>
      <c r="L2417" s="67" t="str">
        <f>IFERROR(__xludf.DUMMYFUNCTION("""COMPUTED_VALUE"""),"オーバーラップ")</f>
        <v>オーバーラップ</v>
      </c>
      <c r="M2417" s="85">
        <f>IFERROR(__xludf.DUMMYFUNCTION("""COMPUTED_VALUE"""),45637.0)</f>
        <v>45637</v>
      </c>
      <c r="N2417" s="89">
        <f>IFERROR(__xludf.DUMMYFUNCTION("""COMPUTED_VALUE"""),73050.0)</f>
        <v>73050</v>
      </c>
      <c r="O2417" s="67"/>
      <c r="P2417" s="71" t="str">
        <f>IFERROR(__xludf.DUMMYFUNCTION("""COMPUTED_VALUE"""),"否")</f>
        <v>否</v>
      </c>
      <c r="Q2417" s="30"/>
      <c r="R2417" s="67"/>
      <c r="S2417" s="130" t="str">
        <f>IFERROR(__xludf.DUMMYFUNCTION("""COMPUTED_VALUE"""),"20241112_オーバーラップ‗仕事人間な伯爵令嬢は氷の宰相様の愛を見誤っている")</f>
        <v>20241112_オーバーラップ‗仕事人間な伯爵令嬢は氷の宰相様の愛を見誤っている</v>
      </c>
      <c r="T2417" s="130" t="str">
        <f>IFERROR(__xludf.DUMMYFUNCTION("""COMPUTED_VALUE"""),"格納済み")</f>
        <v>格納済み</v>
      </c>
      <c r="U2417" s="15" t="str">
        <f>IFERROR(__xludf.DUMMYFUNCTION("""COMPUTED_VALUE"""),"(c)mako (c)杓子ねこ／オーバーラップ")</f>
        <v>(c)mako (c)杓子ねこ／オーバーラップ</v>
      </c>
      <c r="V2417" s="8" t="str">
        <f>IFERROR(__xludf.DUMMYFUNCTION("""COMPUTED_VALUE"""),"伯爵令嬢ながらも仕事一筋なオリヴィアは、“氷の宰相”と恐れられる仕事の鬼・アーサーの補佐官として、日夜尋常ではない業務をこなしていた。アーサーに恋心を抱きながらも、不釣り合いの恋だと気持ちに蓋をしていたオリヴィアだったが、突然彼から求婚される！ しかも、仕事のためなら(？)と二つ返事で引き受けてしまい……!?")</f>
        <v>伯爵令嬢ながらも仕事一筋なオリヴィアは、“氷の宰相”と恐れられる仕事の鬼・アーサーの補佐官として、日夜尋常ではない業務をこなしていた。アーサーに恋心を抱きながらも、不釣り合いの恋だと気持ちに蓋をしていたオリヴィアだったが、突然彼から求婚される！ しかも、仕事のためなら(？)と二つ返事で引き受けてしまい……!?</v>
      </c>
      <c r="W2417" s="14"/>
      <c r="X2417" s="14" t="str">
        <f>IFERROR(__xludf.DUMMYFUNCTION("""COMPUTED_VALUE"""),"有")</f>
        <v>有</v>
      </c>
      <c r="Y2417" s="8" t="str">
        <f>IFERROR(__xludf.DUMMYFUNCTION("""COMPUTED_VALUE"""),"2025/3/10まで1巻無料")</f>
        <v>2025/3/10まで1巻無料</v>
      </c>
      <c r="Z2417" s="7"/>
      <c r="AA2417" s="7"/>
      <c r="AB2417" s="7"/>
    </row>
    <row r="2418" ht="15.75" customHeight="1">
      <c r="A2418" s="66">
        <f>IFERROR(__xludf.DUMMYFUNCTION("""COMPUTED_VALUE"""),4358.0)</f>
        <v>4358</v>
      </c>
      <c r="B2418" s="67" t="str">
        <f>IFERROR(__xludf.DUMMYFUNCTION("""COMPUTED_VALUE"""),"確定")</f>
        <v>確定</v>
      </c>
      <c r="C2418" s="68">
        <f>IFERROR(__xludf.DUMMYFUNCTION("""COMPUTED_VALUE"""),45586.0)</f>
        <v>45586</v>
      </c>
      <c r="D2418" s="68">
        <f>IFERROR(__xludf.DUMMYFUNCTION("""COMPUTED_VALUE"""),45608.0)</f>
        <v>45608</v>
      </c>
      <c r="E2418" s="60">
        <f>IFERROR(__xludf.DUMMYFUNCTION("""COMPUTED_VALUE"""),308573.0)</f>
        <v>308573</v>
      </c>
      <c r="F2418" s="61" t="str">
        <f>IFERROR(__xludf.DUMMYFUNCTION("""COMPUTED_VALUE"""),"転生したらアレが大きかった-家でも学校でも、女の子が誘惑してくる！？-")</f>
        <v>転生したらアレが大きかった-家でも学校でも、女の子が誘惑してくる！？-</v>
      </c>
      <c r="G2418" s="67" t="str">
        <f>IFERROR(__xludf.DUMMYFUNCTION("""COMPUTED_VALUE"""),"1～2")</f>
        <v>1～2</v>
      </c>
      <c r="H2418" s="67" t="str">
        <f>IFERROR(__xludf.DUMMYFUNCTION("""COMPUTED_VALUE"""),"へびの津まさき")</f>
        <v>へびの津まさき</v>
      </c>
      <c r="I2418" s="67" t="str">
        <f>IFERROR(__xludf.DUMMYFUNCTION("""COMPUTED_VALUE"""),"オトナ")</f>
        <v>オトナ</v>
      </c>
      <c r="J2418" s="67"/>
      <c r="K2418" s="67"/>
      <c r="L2418" s="67" t="str">
        <f>IFERROR(__xludf.DUMMYFUNCTION("""COMPUTED_VALUE"""),"キャスコミ")</f>
        <v>キャスコミ</v>
      </c>
      <c r="M2418" s="23">
        <f>IFERROR(__xludf.DUMMYFUNCTION("""COMPUTED_VALUE"""),45632.0)</f>
        <v>45632</v>
      </c>
      <c r="N2418" s="23">
        <f>IFERROR(__xludf.DUMMYFUNCTION("""COMPUTED_VALUE"""),45694.0)</f>
        <v>45694</v>
      </c>
      <c r="O2418" s="67"/>
      <c r="P2418" s="70" t="str">
        <f>IFERROR(__xludf.DUMMYFUNCTION("""COMPUTED_VALUE"""),"可")</f>
        <v>可</v>
      </c>
      <c r="Q2418" s="30" t="str">
        <f>IFERROR(__xludf.DUMMYFUNCTION("""COMPUTED_VALUE"""),"・先行期間中の試読増量可能&lt;BR&gt;・3巻目も2か月先行を頂ける予定です。&lt;BR&gt;⇒「2025/01/03~2025/03/06」")</f>
        <v>・先行期間中の試読増量可能&lt;BR&gt;・3巻目も2か月先行を頂ける予定です。&lt;BR&gt;⇒「2025/01/03~2025/03/06」</v>
      </c>
      <c r="R2418" s="67"/>
      <c r="S2418" s="130" t="str">
        <f>IFERROR(__xludf.DUMMYFUNCTION("""COMPUTED_VALUE"""),"20241107_キャスコミ_転生したらアレが大きかった-家でも学校でも、女の子が誘惑してくる！？-")</f>
        <v>20241107_キャスコミ_転生したらアレが大きかった-家でも学校でも、女の子が誘惑してくる！？-</v>
      </c>
      <c r="T2418" s="130" t="str">
        <f>IFERROR(__xludf.DUMMYFUNCTION("""COMPUTED_VALUE"""),"格納済み")</f>
        <v>格納済み</v>
      </c>
      <c r="U2418" s="15" t="str">
        <f>IFERROR(__xludf.DUMMYFUNCTION("""COMPUTED_VALUE"""),"©へびの津まさき")</f>
        <v>©へびの津まさき</v>
      </c>
      <c r="V2418" s="8" t="str">
        <f>IFERROR(__xludf.DUMMYFUNCTION("""COMPUTED_VALUE"""),"子猫を助けて車に轢かれた俺は気付いたら…
引きこもり男子（佐伯和馬）に転生していた！？
しかもこいつのカラダめちゃくちゃナニがでかかった！！
和馬のことを心配して様子を見に来てくれた近所のお姉さんもこいつのナニをみて興奮してしまったのかきもちよくしてほしいと迫ってくる！！
俺のカラダじゃないのにこんなことしてもいいのか？なんて一瞬迷いもしたが彼女のエロいおっぱいを…そしてあそこを見てそんなこと一気に吹き飛んでしまう！！
トラックに轢かれたり、知らない引きこもり男子に転生したりと踏"&amp;"んだり蹴ったりなんだから…
俺だって少しは楽しんでもいいよな？")</f>
        <v>子猫を助けて車に轢かれた俺は気付いたら…
引きこもり男子（佐伯和馬）に転生していた！？
しかもこいつのカラダめちゃくちゃナニがでかかった！！
和馬のことを心配して様子を見に来てくれた近所のお姉さんもこいつのナニをみて興奮してしまったのかきもちよくしてほしいと迫ってくる！！
俺のカラダじゃないのにこんなことしてもいいのか？なんて一瞬迷いもしたが彼女のエロいおっぱいを…そしてあそこを見てそんなこと一気に吹き飛んでしまう！！
トラックに轢かれたり、知らない引きこもり男子に転生したりと踏んだり蹴ったりなんだから…
俺だって少しは楽しんでもいいよな？</v>
      </c>
      <c r="W2418" s="14"/>
      <c r="X2418" s="14" t="str">
        <f>IFERROR(__xludf.DUMMYFUNCTION("""COMPUTED_VALUE"""),"有")</f>
        <v>有</v>
      </c>
      <c r="Y2418" s="8" t="str">
        <f>IFERROR(__xludf.DUMMYFUNCTION("""COMPUTED_VALUE"""),"2025/2/6まで立ち読み増量
1巻P16まで
2巻P11まで")</f>
        <v>2025/2/6まで立ち読み増量
1巻P16まで
2巻P11まで</v>
      </c>
      <c r="Z2418" s="7"/>
      <c r="AA2418" s="7"/>
      <c r="AB2418" s="7"/>
    </row>
    <row r="2419" ht="15.75" customHeight="1">
      <c r="A2419" s="66">
        <f>IFERROR(__xludf.DUMMYFUNCTION("""COMPUTED_VALUE"""),4423.0)</f>
        <v>4423</v>
      </c>
      <c r="B2419" s="67" t="str">
        <f>IFERROR(__xludf.DUMMYFUNCTION("""COMPUTED_VALUE"""),"確定")</f>
        <v>確定</v>
      </c>
      <c r="C2419" s="68">
        <f>IFERROR(__xludf.DUMMYFUNCTION("""COMPUTED_VALUE"""),45593.0)</f>
        <v>45593</v>
      </c>
      <c r="D2419" s="68">
        <f>IFERROR(__xludf.DUMMYFUNCTION("""COMPUTED_VALUE"""),45604.0)</f>
        <v>45604</v>
      </c>
      <c r="E2419" s="60">
        <f>IFERROR(__xludf.DUMMYFUNCTION("""COMPUTED_VALUE"""),309643.0)</f>
        <v>309643</v>
      </c>
      <c r="F2419" s="61" t="str">
        <f>IFERROR(__xludf.DUMMYFUNCTION("""COMPUTED_VALUE"""),"親友からの溺愛宣言～10年分、本気でいくから覚悟して～")</f>
        <v>親友からの溺愛宣言～10年分、本気でいくから覚悟して～</v>
      </c>
      <c r="G2419" s="67" t="str">
        <f>IFERROR(__xludf.DUMMYFUNCTION("""COMPUTED_VALUE"""),"1～3")</f>
        <v>1～3</v>
      </c>
      <c r="H2419" s="67" t="str">
        <f>IFERROR(__xludf.DUMMYFUNCTION("""COMPUTED_VALUE"""),"ハルムラ 朝貴 テラーノベル")</f>
        <v>ハルムラ 朝貴 テラーノベル</v>
      </c>
      <c r="I2419" s="67" t="str">
        <f>IFERROR(__xludf.DUMMYFUNCTION("""COMPUTED_VALUE"""),"女性")</f>
        <v>女性</v>
      </c>
      <c r="J2419" s="67"/>
      <c r="K2419" s="67"/>
      <c r="L2419" s="67" t="str">
        <f>IFERROR(__xludf.DUMMYFUNCTION("""COMPUTED_VALUE"""),"快感倶楽部")</f>
        <v>快感倶楽部</v>
      </c>
      <c r="M2419" s="85">
        <f>IFERROR(__xludf.DUMMYFUNCTION("""COMPUTED_VALUE"""),45652.0)</f>
        <v>45652</v>
      </c>
      <c r="N2419" s="23">
        <f>IFERROR(__xludf.DUMMYFUNCTION("""COMPUTED_VALUE"""),45741.0)</f>
        <v>45741</v>
      </c>
      <c r="O2419" s="67"/>
      <c r="P2419" s="71" t="str">
        <f>IFERROR(__xludf.DUMMYFUNCTION("""COMPUTED_VALUE"""),"可")</f>
        <v>可</v>
      </c>
      <c r="Q2419" s="30"/>
      <c r="R2419" s="67"/>
      <c r="S2419" s="9" t="str">
        <f>IFERROR(__xludf.DUMMYFUNCTION("""COMPUTED_VALUE"""),"20241107_サード・ライン・ネクスト_親友からの溺愛宣言")</f>
        <v>20241107_サード・ライン・ネクスト_親友からの溺愛宣言</v>
      </c>
      <c r="T2419" s="130"/>
      <c r="U2419" s="107" t="str">
        <f>IFERROR(__xludf.DUMMYFUNCTION("""COMPUTED_VALUE"""),"©ハルムラ/朝貴/テラーノベル/ナニイロ")</f>
        <v>©ハルムラ/朝貴/テラーノベル/ナニイロ</v>
      </c>
      <c r="V2419" s="8" t="str">
        <f>IFERROR(__xludf.DUMMYFUNCTION("""COMPUTED_VALUE"""),"「俺と結婚してくれないか」――30歳、独身。恋人に浮気され最低最悪の誕生日をヤケ酒で流し込む瑞希にプロポーズしてきたのは、大学の同級生であり職場の同期でもある総一朗で…！？いつも傍にいてくれた親友からの告白に戸惑いを隠せない瑞希だったが、総一朗からの甘い言葉と真剣な眼差しに思わずときめいてしまい…※この作品は原作「涙が恋に変わるまで」をコミカライズしています。")</f>
        <v>「俺と結婚してくれないか」――30歳、独身。恋人に浮気され最低最悪の誕生日をヤケ酒で流し込む瑞希にプロポーズしてきたのは、大学の同級生であり職場の同期でもある総一朗で…！？いつも傍にいてくれた親友からの告白に戸惑いを隠せない瑞希だったが、総一朗からの甘い言葉と真剣な眼差しに思わずときめいてしまい…※この作品は原作「涙が恋に変わるまで」をコミカライズしています。</v>
      </c>
      <c r="W2419" s="14"/>
      <c r="X2419" s="14" t="str">
        <f>IFERROR(__xludf.DUMMYFUNCTION("""COMPUTED_VALUE"""),"有")</f>
        <v>有</v>
      </c>
      <c r="Y2419" s="8" t="str">
        <f>IFERROR(__xludf.DUMMYFUNCTION("""COMPUTED_VALUE"""),"2025/1/8まで1巻無料")</f>
        <v>2025/1/8まで1巻無料</v>
      </c>
      <c r="Z2419" s="7"/>
      <c r="AA2419" s="7"/>
      <c r="AB2419" s="7"/>
    </row>
    <row r="2420" ht="15.75" customHeight="1">
      <c r="A2420" s="66">
        <f>IFERROR(__xludf.DUMMYFUNCTION("""COMPUTED_VALUE"""),4434.0)</f>
        <v>4434</v>
      </c>
      <c r="B2420" s="67" t="str">
        <f>IFERROR(__xludf.DUMMYFUNCTION("""COMPUTED_VALUE"""),"確定")</f>
        <v>確定</v>
      </c>
      <c r="C2420" s="68">
        <f>IFERROR(__xludf.DUMMYFUNCTION("""COMPUTED_VALUE"""),45594.0)</f>
        <v>45594</v>
      </c>
      <c r="D2420" s="68">
        <f>IFERROR(__xludf.DUMMYFUNCTION("""COMPUTED_VALUE"""),45608.0)</f>
        <v>45608</v>
      </c>
      <c r="E2420" s="60">
        <f>IFERROR(__xludf.DUMMYFUNCTION("""COMPUTED_VALUE"""),309307.0)</f>
        <v>309307</v>
      </c>
      <c r="F2420" s="61" t="str">
        <f>IFERROR(__xludf.DUMMYFUNCTION("""COMPUTED_VALUE"""),"最推しは灯台下暮らし【マイクロ】")</f>
        <v>最推しは灯台下暮らし【マイクロ】</v>
      </c>
      <c r="G2420" s="67" t="str">
        <f>IFERROR(__xludf.DUMMYFUNCTION("""COMPUTED_VALUE"""),"1～4")</f>
        <v>1～4</v>
      </c>
      <c r="H2420" s="67" t="str">
        <f>IFERROR(__xludf.DUMMYFUNCTION("""COMPUTED_VALUE"""),"井上栞")</f>
        <v>井上栞</v>
      </c>
      <c r="I2420" s="78" t="str">
        <f>IFERROR(__xludf.DUMMYFUNCTION("""COMPUTED_VALUE"""),"女性")</f>
        <v>女性</v>
      </c>
      <c r="J2420" s="67"/>
      <c r="K2420" s="67"/>
      <c r="L2420" s="67" t="str">
        <f>IFERROR(__xludf.DUMMYFUNCTION("""COMPUTED_VALUE"""),"小学館")</f>
        <v>小学館</v>
      </c>
      <c r="M2420" s="85">
        <f>IFERROR(__xludf.DUMMYFUNCTION("""COMPUTED_VALUE"""),45641.0)</f>
        <v>45641</v>
      </c>
      <c r="N2420" s="47">
        <f>IFERROR(__xludf.DUMMYFUNCTION("""COMPUTED_VALUE"""),45702.0)</f>
        <v>45702</v>
      </c>
      <c r="O2420" s="67"/>
      <c r="P2420" s="70" t="str">
        <f>IFERROR(__xludf.DUMMYFUNCTION("""COMPUTED_VALUE"""),"否")</f>
        <v>否</v>
      </c>
      <c r="Q2420" s="30" t="str">
        <f>IFERROR(__xludf.DUMMYFUNCTION("""COMPUTED_VALUE"""),"ページ単位ですと1話が13P前後ですので、&lt;BR&gt;マイクロ配信時は2話まとめて1巻とする予定とのことです。&lt;BR&gt;▼小学館さんより推しコメント&lt;BR&gt;現在、Sho-Comi編集部のTikTok（https://www.tiktok.com/@shocomi1）にて連載中です。&lt;BR&gt;作家個人でもTikTokを運用しており、こちらはフォロワー数が19.4万人います。&lt;BR&gt;■井上栞氏のTikTok&lt;BR&gt;https://www.tiktok.com/@inoue_shiorin")</f>
        <v>ページ単位ですと1話が13P前後ですので、&lt;BR&gt;マイクロ配信時は2話まとめて1巻とする予定とのことです。&lt;BR&gt;▼小学館さんより推しコメント&lt;BR&gt;現在、Sho-Comi編集部のTikTok（https://www.tiktok.com/@shocomi1）にて連載中です。&lt;BR&gt;作家個人でもTikTokを運用しており、こちらはフォロワー数が19.4万人います。&lt;BR&gt;■井上栞氏のTikTok&lt;BR&gt;https://www.tiktok.com/@inoue_shiorin</v>
      </c>
      <c r="R2420" s="67"/>
      <c r="S2420" s="130" t="str">
        <f>IFERROR(__xludf.DUMMYFUNCTION("""COMPUTED_VALUE"""),"20251111_小学館_最推しは灯台下暮らし【マイクロ】")</f>
        <v>20251111_小学館_最推しは灯台下暮らし【マイクロ】</v>
      </c>
      <c r="T2420" s="130" t="str">
        <f>IFERROR(__xludf.DUMMYFUNCTION("""COMPUTED_VALUE"""),"格納済み")</f>
        <v>格納済み</v>
      </c>
      <c r="U2420" s="15" t="str">
        <f>IFERROR(__xludf.DUMMYFUNCTION("""COMPUTED_VALUE"""),"(C)井上栞 / 小学館")</f>
        <v>(C)井上栞 / 小学館</v>
      </c>
      <c r="V2420" s="8" t="str">
        <f>IFERROR(__xludf.DUMMYFUNCTION("""COMPUTED_VALUE"""),"３年つき合って、同棲していた彼女に浮気された利仁は、最推しの配信をみてシェアハウスへの入居を決意！入居すると、そこにはなんと最推しご本人登場！！？だけど利仁は、通常モードの最推しの存在に全然気が付かなくて・・・
TikTokでフォロワー１９・５万人・５４７万いいね獲得のバズり中作家の最旬連載！！")</f>
        <v>３年つき合って、同棲していた彼女に浮気された利仁は、最推しの配信をみてシェアハウスへの入居を決意！入居すると、そこにはなんと最推しご本人登場！！？だけど利仁は、通常モードの最推しの存在に全然気が付かなくて・・・
TikTokでフォロワー１９・５万人・５４７万いいね獲得のバズり中作家の最旬連載！！</v>
      </c>
      <c r="W2420" s="14"/>
      <c r="X2420" s="14" t="str">
        <f>IFERROR(__xludf.DUMMYFUNCTION("""COMPUTED_VALUE"""),"有")</f>
        <v>有</v>
      </c>
      <c r="Y2420" s="8" t="str">
        <f>IFERROR(__xludf.DUMMYFUNCTION("""COMPUTED_VALUE"""),"2025/2/14まで1巻無料")</f>
        <v>2025/2/14まで1巻無料</v>
      </c>
      <c r="Z2420" s="7"/>
      <c r="AA2420" s="7"/>
      <c r="AB2420" s="7"/>
    </row>
    <row r="2421" ht="15.75" customHeight="1">
      <c r="A2421" s="66">
        <f>IFERROR(__xludf.DUMMYFUNCTION("""COMPUTED_VALUE"""),4437.0)</f>
        <v>4437</v>
      </c>
      <c r="B2421" s="67" t="str">
        <f>IFERROR(__xludf.DUMMYFUNCTION("""COMPUTED_VALUE"""),"確定")</f>
        <v>確定</v>
      </c>
      <c r="C2421" s="68">
        <f>IFERROR(__xludf.DUMMYFUNCTION("""COMPUTED_VALUE"""),45595.0)</f>
        <v>45595</v>
      </c>
      <c r="D2421" s="68">
        <f>IFERROR(__xludf.DUMMYFUNCTION("""COMPUTED_VALUE"""),45608.0)</f>
        <v>45608</v>
      </c>
      <c r="E2421" s="60">
        <f>IFERROR(__xludf.DUMMYFUNCTION("""COMPUTED_VALUE"""),308482.0)</f>
        <v>308482</v>
      </c>
      <c r="F2421" s="61" t="str">
        <f>IFERROR(__xludf.DUMMYFUNCTION("""COMPUTED_VALUE"""),"ワンルームTAさん【タテヨミ】")</f>
        <v>ワンルームTAさん【タテヨミ】</v>
      </c>
      <c r="G2421" s="67" t="str">
        <f>IFERROR(__xludf.DUMMYFUNCTION("""COMPUTED_VALUE"""),"1～30")</f>
        <v>1～30</v>
      </c>
      <c r="H2421" s="67" t="str">
        <f>IFERROR(__xludf.DUMMYFUNCTION("""COMPUTED_VALUE"""),"ジブン")</f>
        <v>ジブン</v>
      </c>
      <c r="I2421" s="67" t="str">
        <f>IFERROR(__xludf.DUMMYFUNCTION("""COMPUTED_VALUE"""),"BL")</f>
        <v>BL</v>
      </c>
      <c r="J2421" s="67"/>
      <c r="K2421" s="67"/>
      <c r="L2421" s="67" t="str">
        <f>IFERROR(__xludf.DUMMYFUNCTION("""COMPUTED_VALUE"""),"PEANUTOON")</f>
        <v>PEANUTOON</v>
      </c>
      <c r="M2421" s="23">
        <f>IFERROR(__xludf.DUMMYFUNCTION("""COMPUTED_VALUE"""),45632.0)</f>
        <v>45632</v>
      </c>
      <c r="N2421" s="23">
        <f>IFERROR(__xludf.DUMMYFUNCTION("""COMPUTED_VALUE"""),45694.0)</f>
        <v>45694</v>
      </c>
      <c r="O2421" s="67"/>
      <c r="P2421" s="71" t="str">
        <f>IFERROR(__xludf.DUMMYFUNCTION("""COMPUTED_VALUE"""),"可")</f>
        <v>可</v>
      </c>
      <c r="Q2421" s="30"/>
      <c r="R2421" s="67"/>
      <c r="S2421" s="130" t="str">
        <f>IFERROR(__xludf.DUMMYFUNCTION("""COMPUTED_VALUE"""),"20241107_PEANUTOON_ワンルームTAさん【タテヨミ】")</f>
        <v>20241107_PEANUTOON_ワンルームTAさん【タテヨミ】</v>
      </c>
      <c r="T2421" s="132" t="str">
        <f>IFERROR(__xludf.DUMMYFUNCTION("""COMPUTED_VALUE"""),"格納済み")</f>
        <v>格納済み</v>
      </c>
      <c r="U2421" s="15" t="str">
        <f>IFERROR(__xludf.DUMMYFUNCTION("""COMPUTED_VALUE"""),"ⓒジブン/ForReaders/peanutoon")</f>
        <v>ⓒジブン/ForReaders/peanutoon</v>
      </c>
      <c r="V2421" s="8" t="str">
        <f>IFERROR(__xludf.DUMMYFUNCTION("""COMPUTED_VALUE"""),"無表情で無口なTAさん、どこか神秘的な雰囲気が気になって告白したのに……。
いざワンルームで同棲を始めてみたら、この人、ただの陰キャぼっちなだけだった！
学校では内気でクールなのに、家ではまるで犬みたいに跳び跳ねてはしゃいだり、エクソシストごっこと言いながら四つん這いで部屋中を走り回ったり…ちっともじっとしていられない落ち着きのなさ。
期待してた姿とは違ったけど、なぜかそんなTAさんを嫌いになれない！
「俺はただ、ジンヒョンさんのことをもっと知りたいんです。」
果たして、このワンルーム生活にロマ"&amp;"ンスは訪れるのか？")</f>
        <v>無表情で無口なTAさん、どこか神秘的な雰囲気が気になって告白したのに……。
いざワンルームで同棲を始めてみたら、この人、ただの陰キャぼっちなだけだった！
学校では内気でクールなのに、家ではまるで犬みたいに跳び跳ねてはしゃいだり、エクソシストごっこと言いながら四つん這いで部屋中を走り回ったり…ちっともじっとしていられない落ち着きのなさ。
期待してた姿とは違ったけど、なぜかそんなTAさんを嫌いになれない！
「俺はただ、ジンヒョンさんのことをもっと知りたいんです。」
果たして、このワンルーム生活にロマンスは訪れるのか？</v>
      </c>
      <c r="W2421" s="14"/>
      <c r="X2421" s="14" t="str">
        <f>IFERROR(__xludf.DUMMYFUNCTION("""COMPUTED_VALUE"""),"有")</f>
        <v>有</v>
      </c>
      <c r="Y2421" s="8" t="str">
        <f>IFERROR(__xludf.DUMMYFUNCTION("""COMPUTED_VALUE"""),"2024/12/19まで1～10巻無料")</f>
        <v>2024/12/19まで1～10巻無料</v>
      </c>
      <c r="Z2421" s="7"/>
      <c r="AA2421" s="7"/>
      <c r="AB2421" s="7"/>
    </row>
    <row r="2422" ht="15.75" customHeight="1">
      <c r="A2422" s="133">
        <f>IFERROR(__xludf.DUMMYFUNCTION("""COMPUTED_VALUE"""),4438.0)</f>
        <v>4438</v>
      </c>
      <c r="B2422" s="134" t="str">
        <f>IFERROR(__xludf.DUMMYFUNCTION("""COMPUTED_VALUE"""),"確定")</f>
        <v>確定</v>
      </c>
      <c r="C2422" s="135">
        <f>IFERROR(__xludf.DUMMYFUNCTION("""COMPUTED_VALUE"""),45595.0)</f>
        <v>45595</v>
      </c>
      <c r="D2422" s="135">
        <f>IFERROR(__xludf.DUMMYFUNCTION("""COMPUTED_VALUE"""),45608.0)</f>
        <v>45608</v>
      </c>
      <c r="E2422" s="136">
        <f>IFERROR(__xludf.DUMMYFUNCTION("""COMPUTED_VALUE"""),310684.0)</f>
        <v>310684</v>
      </c>
      <c r="F2422" s="134" t="str">
        <f>IFERROR(__xludf.DUMMYFUNCTION("""COMPUTED_VALUE"""),"算木はトッケビの夢を見る【タテヨミ】")</f>
        <v>算木はトッケビの夢を見る【タテヨミ】</v>
      </c>
      <c r="G2422" s="134" t="str">
        <f>IFERROR(__xludf.DUMMYFUNCTION("""COMPUTED_VALUE"""),"1～30")</f>
        <v>1～30</v>
      </c>
      <c r="H2422" s="134" t="str">
        <f>IFERROR(__xludf.DUMMYFUNCTION("""COMPUTED_VALUE"""),"LAPIS")</f>
        <v>LAPIS</v>
      </c>
      <c r="I2422" s="134" t="str">
        <f>IFERROR(__xludf.DUMMYFUNCTION("""COMPUTED_VALUE"""),"BL")</f>
        <v>BL</v>
      </c>
      <c r="J2422" s="134"/>
      <c r="K2422" s="134"/>
      <c r="L2422" s="134" t="str">
        <f>IFERROR(__xludf.DUMMYFUNCTION("""COMPUTED_VALUE"""),"PEANUTOON")</f>
        <v>PEANUTOON</v>
      </c>
      <c r="M2422" s="137">
        <f>IFERROR(__xludf.DUMMYFUNCTION("""COMPUTED_VALUE"""),45660.0)</f>
        <v>45660</v>
      </c>
      <c r="N2422" s="137">
        <f>IFERROR(__xludf.DUMMYFUNCTION("""COMPUTED_VALUE"""),45719.0)</f>
        <v>45719</v>
      </c>
      <c r="O2422" s="134"/>
      <c r="P2422" s="138" t="str">
        <f>IFERROR(__xludf.DUMMYFUNCTION("""COMPUTED_VALUE"""),"可")</f>
        <v>可</v>
      </c>
      <c r="Q2422" s="139" t="str">
        <f>IFERROR(__xludf.DUMMYFUNCTION("""COMPUTED_VALUE"""),"フォルダ内の「2」が「1巻目」となります&lt;BR&gt;2～30で制作のほどよろしくお願い致します。")</f>
        <v>フォルダ内の「2」が「1巻目」となります&lt;BR&gt;2～30で制作のほどよろしくお願い致します。</v>
      </c>
      <c r="R2422" s="134"/>
      <c r="S2422" s="140" t="str">
        <f>IFERROR(__xludf.DUMMYFUNCTION("""COMPUTED_VALUE"""),"20241108_PEANUTOON_算木はトッケビの夢を見る【タテヨミ】")</f>
        <v>20241108_PEANUTOON_算木はトッケビの夢を見る【タテヨミ】</v>
      </c>
      <c r="T2422" s="141"/>
      <c r="U2422" s="142" t="str">
        <f>IFERROR(__xludf.DUMMYFUNCTION("""COMPUTED_VALUE"""),"© LAPIS / レジンコミックス")</f>
        <v>© LAPIS / レジンコミックス</v>
      </c>
      <c r="V2422" s="143" t="str">
        <f>IFERROR(__xludf.DUMMYFUNCTION("""COMPUTED_VALUE"""),"幼い頃に受けた呪いの影響で、バケモノを狩りながらかろうじて生き延びているジュ・ミンチャン。
ある日、家族同然に信頼しているクォンリョムから「ある大物のバケモノ」をおびき出してほしいとの依頼を受ける。
「ついに戻ってきたのか、キム・ソホ！」
依頼対象は自分をキム・ソホと呼び、執着してくる奇妙なトッケビ、ビファン。
彼によって痛覚を共有する呪縛術をかけられてしまったミンチャンはこのトッケビを倒し普通の生活を手に入れることができるのか？")</f>
        <v>幼い頃に受けた呪いの影響で、バケモノを狩りながらかろうじて生き延びているジュ・ミンチャン。
ある日、家族同然に信頼しているクォンリョムから「ある大物のバケモノ」をおびき出してほしいとの依頼を受ける。
「ついに戻ってきたのか、キム・ソホ！」
依頼対象は自分をキム・ソホと呼び、執着してくる奇妙なトッケビ、ビファン。
彼によって痛覚を共有する呪縛術をかけられてしまったミンチャンはこのトッケビを倒し普通の生活を手に入れることができるのか？</v>
      </c>
      <c r="W2422" s="144"/>
      <c r="X2422" s="144" t="str">
        <f>IFERROR(__xludf.DUMMYFUNCTION("""COMPUTED_VALUE"""),"有")</f>
        <v>有</v>
      </c>
      <c r="Y2422" s="143" t="str">
        <f>IFERROR(__xludf.DUMMYFUNCTION("""COMPUTED_VALUE"""),"1～6巻無料")</f>
        <v>1～6巻無料</v>
      </c>
      <c r="Z2422" s="145"/>
      <c r="AA2422" s="145"/>
      <c r="AB2422" s="145"/>
    </row>
    <row r="2423" ht="15.75" customHeight="1">
      <c r="A2423" s="66">
        <f>IFERROR(__xludf.DUMMYFUNCTION("""COMPUTED_VALUE"""),4454.0)</f>
        <v>4454</v>
      </c>
      <c r="B2423" s="67" t="str">
        <f>IFERROR(__xludf.DUMMYFUNCTION("""COMPUTED_VALUE"""),"確定")</f>
        <v>確定</v>
      </c>
      <c r="C2423" s="68">
        <f>IFERROR(__xludf.DUMMYFUNCTION("""COMPUTED_VALUE"""),45601.0)</f>
        <v>45601</v>
      </c>
      <c r="D2423" s="68">
        <f>IFERROR(__xludf.DUMMYFUNCTION("""COMPUTED_VALUE"""),45608.0)</f>
        <v>45608</v>
      </c>
      <c r="E2423" s="100">
        <f>IFERROR(__xludf.DUMMYFUNCTION("""COMPUTED_VALUE"""),282190.0)</f>
        <v>282190</v>
      </c>
      <c r="F2423" s="61" t="str">
        <f>IFERROR(__xludf.DUMMYFUNCTION("""COMPUTED_VALUE"""),"ベッドルームで朝食を～私をダメにする激甘男子と同居中～")</f>
        <v>ベッドルームで朝食を～私をダメにする激甘男子と同居中～</v>
      </c>
      <c r="G2423" s="67" t="str">
        <f>IFERROR(__xludf.DUMMYFUNCTION("""COMPUTED_VALUE"""),"1～3")</f>
        <v>1～3</v>
      </c>
      <c r="H2423" s="67" t="str">
        <f>IFERROR(__xludf.DUMMYFUNCTION("""COMPUTED_VALUE"""),"吾味屋ハチ")</f>
        <v>吾味屋ハチ</v>
      </c>
      <c r="I2423" s="67" t="str">
        <f>IFERROR(__xludf.DUMMYFUNCTION("""COMPUTED_VALUE"""),"女性")</f>
        <v>女性</v>
      </c>
      <c r="J2423" s="67"/>
      <c r="K2423" s="67"/>
      <c r="L2423" s="67" t="str">
        <f>IFERROR(__xludf.DUMMYFUNCTION("""COMPUTED_VALUE"""),"シーモアコミックス")</f>
        <v>シーモアコミックス</v>
      </c>
      <c r="M2423" s="23">
        <f>IFERROR(__xludf.DUMMYFUNCTION("""COMPUTED_VALUE"""),45633.0)</f>
        <v>45633</v>
      </c>
      <c r="N2423" s="23">
        <f>IFERROR(__xludf.DUMMYFUNCTION("""COMPUTED_VALUE"""),45694.0)</f>
        <v>45694</v>
      </c>
      <c r="O2423" s="67"/>
      <c r="P2423" s="70" t="str">
        <f>IFERROR(__xludf.DUMMYFUNCTION("""COMPUTED_VALUE"""),"可")</f>
        <v>可</v>
      </c>
      <c r="Q2423" s="30" t="str">
        <f>IFERROR(__xludf.DUMMYFUNCTION("""COMPUTED_VALUE"""),"レーベル：スキして?桃色日記")</f>
        <v>レーベル：スキして?桃色日記</v>
      </c>
      <c r="R2423" s="67"/>
      <c r="S2423" s="130" t="str">
        <f>IFERROR(__xludf.DUMMYFUNCTION("""COMPUTED_VALUE"""),"20241108_シーモアコミックス_ベッドルームで朝食を～私をダメにする激甘男子と同居中～")</f>
        <v>20241108_シーモアコミックス_ベッドルームで朝食を～私をダメにする激甘男子と同居中～</v>
      </c>
      <c r="T2423" s="130" t="str">
        <f>IFERROR(__xludf.DUMMYFUNCTION("""COMPUTED_VALUE"""),"格納済み")</f>
        <v>格納済み</v>
      </c>
      <c r="U2423" s="15" t="str">
        <f>IFERROR(__xludf.DUMMYFUNCTION("""COMPUTED_VALUE"""),"© 吾味屋ハチ/シーモアコミックス")</f>
        <v>© 吾味屋ハチ/シーモアコミックス</v>
      </c>
      <c r="V2423" s="8" t="str">
        <f>IFERROR(__xludf.DUMMYFUNCTION("""COMPUTED_VALUE"""),"「一緒に暮らすって話…もしかして忘れちゃいましたか？」
女子校育ちの朝陽（あさひ）は、真面目に仕事に取り組む生活を送っていたら…気づけば恋愛未経験のまま33歳の誕生日を迎えてしまう。ひょんなことから10個以上も年下の大学生・遥（はるか）と知り合い、酔った勢いでベッドイン!? しかも朝目覚めると、遥に衝撃の一言を告げられて!? 年下なのに包容力のある彼に身も心もトロトロに甘やかされちゃう同居LOVEスタート☆【桃色日記】")</f>
        <v>「一緒に暮らすって話…もしかして忘れちゃいましたか？」
女子校育ちの朝陽（あさひ）は、真面目に仕事に取り組む生活を送っていたら…気づけば恋愛未経験のまま33歳の誕生日を迎えてしまう。ひょんなことから10個以上も年下の大学生・遥（はるか）と知り合い、酔った勢いでベッドイン!? しかも朝目覚めると、遥に衝撃の一言を告げられて!? 年下なのに包容力のある彼に身も心もトロトロに甘やかされちゃう同居LOVEスタート☆【桃色日記】</v>
      </c>
      <c r="W2423" s="14"/>
      <c r="X2423" s="14" t="str">
        <f>IFERROR(__xludf.DUMMYFUNCTION("""COMPUTED_VALUE"""),"有")</f>
        <v>有</v>
      </c>
      <c r="Y2423" s="8" t="str">
        <f>IFERROR(__xludf.DUMMYFUNCTION("""COMPUTED_VALUE"""),"2025/1/3まで1巻無料")</f>
        <v>2025/1/3まで1巻無料</v>
      </c>
      <c r="Z2423" s="7"/>
      <c r="AA2423" s="7"/>
      <c r="AB2423" s="7"/>
    </row>
    <row r="2424" ht="15.75" customHeight="1">
      <c r="A2424" s="66">
        <f>IFERROR(__xludf.DUMMYFUNCTION("""COMPUTED_VALUE"""),4455.0)</f>
        <v>4455</v>
      </c>
      <c r="B2424" s="67" t="str">
        <f>IFERROR(__xludf.DUMMYFUNCTION("""COMPUTED_VALUE"""),"確定")</f>
        <v>確定</v>
      </c>
      <c r="C2424" s="68">
        <f>IFERROR(__xludf.DUMMYFUNCTION("""COMPUTED_VALUE"""),45601.0)</f>
        <v>45601</v>
      </c>
      <c r="D2424" s="68">
        <f>IFERROR(__xludf.DUMMYFUNCTION("""COMPUTED_VALUE"""),45608.0)</f>
        <v>45608</v>
      </c>
      <c r="E2424" s="100">
        <f>IFERROR(__xludf.DUMMYFUNCTION("""COMPUTED_VALUE"""),294012.0)</f>
        <v>294012</v>
      </c>
      <c r="F2424" s="61" t="str">
        <f>IFERROR(__xludf.DUMMYFUNCTION("""COMPUTED_VALUE"""),"こちら「運」命の恋ですか？")</f>
        <v>こちら「運」命の恋ですか？</v>
      </c>
      <c r="G2424" s="67" t="str">
        <f>IFERROR(__xludf.DUMMYFUNCTION("""COMPUTED_VALUE"""),"1～4")</f>
        <v>1～4</v>
      </c>
      <c r="H2424" s="67" t="str">
        <f>IFERROR(__xludf.DUMMYFUNCTION("""COMPUTED_VALUE"""),"橘えいこ")</f>
        <v>橘えいこ</v>
      </c>
      <c r="I2424" s="67" t="str">
        <f>IFERROR(__xludf.DUMMYFUNCTION("""COMPUTED_VALUE"""),"少女")</f>
        <v>少女</v>
      </c>
      <c r="J2424" s="67"/>
      <c r="K2424" s="67"/>
      <c r="L2424" s="67" t="str">
        <f>IFERROR(__xludf.DUMMYFUNCTION("""COMPUTED_VALUE"""),"シーモアコミックス")</f>
        <v>シーモアコミックス</v>
      </c>
      <c r="M2424" s="23">
        <f>IFERROR(__xludf.DUMMYFUNCTION("""COMPUTED_VALUE"""),45633.0)</f>
        <v>45633</v>
      </c>
      <c r="N2424" s="23">
        <f>IFERROR(__xludf.DUMMYFUNCTION("""COMPUTED_VALUE"""),45694.0)</f>
        <v>45694</v>
      </c>
      <c r="O2424" s="67"/>
      <c r="P2424" s="71" t="str">
        <f>IFERROR(__xludf.DUMMYFUNCTION("""COMPUTED_VALUE"""),"可")</f>
        <v>可</v>
      </c>
      <c r="Q2424" s="30"/>
      <c r="R2424" s="67"/>
      <c r="S2424" s="130" t="str">
        <f>IFERROR(__xludf.DUMMYFUNCTION("""COMPUTED_VALUE"""),"20241105_シーモアコミックス_こちら「運」命の恋ですか？")</f>
        <v>20241105_シーモアコミックス_こちら「運」命の恋ですか？</v>
      </c>
      <c r="T2424" s="130" t="str">
        <f>IFERROR(__xludf.DUMMYFUNCTION("""COMPUTED_VALUE"""),"格納済み")</f>
        <v>格納済み</v>
      </c>
      <c r="U2424" s="15" t="str">
        <f>IFERROR(__xludf.DUMMYFUNCTION("""COMPUTED_VALUE"""),"© 橘えいこ/シーモアコミックス")</f>
        <v>© 橘えいこ/シーモアコミックス</v>
      </c>
      <c r="V2424" s="8" t="str">
        <f>IFERROR(__xludf.DUMMYFUNCTION("""COMPUTED_VALUE"""),"私、音無幸(おとなしさち)は毎日不幸な目にあい続け、早26年。もはや「どうせ私なんて」が口癖になってしまった私の前に現れたのは、「強運」を持った男!? 福永勝利(ふくながしょうり)なんて、名前からして勝ち組のこの男は、まさに私とは正反対。なのに何故か私のことを気にかけてくれて…!? 「笑ってたら運が向いてきたろ」まるで太陽みたいな勝利くんと一緒にいたら本当に不幸が逃げていきそうな気がする。不幸だらけの人生、この出会いが私の「運」命を変えてくれる――…!? 【恋するソワレ】")</f>
        <v>私、音無幸(おとなしさち)は毎日不幸な目にあい続け、早26年。もはや「どうせ私なんて」が口癖になってしまった私の前に現れたのは、「強運」を持った男!? 福永勝利(ふくながしょうり)なんて、名前からして勝ち組のこの男は、まさに私とは正反対。なのに何故か私のことを気にかけてくれて…!? 「笑ってたら運が向いてきたろ」まるで太陽みたいな勝利くんと一緒にいたら本当に不幸が逃げていきそうな気がする。不幸だらけの人生、この出会いが私の「運」命を変えてくれる――…!? 【恋するソワレ】</v>
      </c>
      <c r="W2424" s="14"/>
      <c r="X2424" s="14" t="str">
        <f>IFERROR(__xludf.DUMMYFUNCTION("""COMPUTED_VALUE"""),"有")</f>
        <v>有</v>
      </c>
      <c r="Y2424" s="8" t="str">
        <f>IFERROR(__xludf.DUMMYFUNCTION("""COMPUTED_VALUE"""),"2025/1/3まで1巻無料")</f>
        <v>2025/1/3まで1巻無料</v>
      </c>
      <c r="Z2424" s="7"/>
      <c r="AA2424" s="7"/>
      <c r="AB2424" s="7"/>
    </row>
    <row r="2425" ht="15.75" customHeight="1">
      <c r="A2425" s="66">
        <f>IFERROR(__xludf.DUMMYFUNCTION("""COMPUTED_VALUE"""),4470.0)</f>
        <v>4470</v>
      </c>
      <c r="B2425" s="67" t="str">
        <f>IFERROR(__xludf.DUMMYFUNCTION("""COMPUTED_VALUE"""),"確定")</f>
        <v>確定</v>
      </c>
      <c r="C2425" s="68">
        <f>IFERROR(__xludf.DUMMYFUNCTION("""COMPUTED_VALUE"""),45603.0)</f>
        <v>45603</v>
      </c>
      <c r="D2425" s="68">
        <f>IFERROR(__xludf.DUMMYFUNCTION("""COMPUTED_VALUE"""),45604.0)</f>
        <v>45604</v>
      </c>
      <c r="E2425" s="60">
        <f>IFERROR(__xludf.DUMMYFUNCTION("""COMPUTED_VALUE"""),307495.0)</f>
        <v>307495</v>
      </c>
      <c r="F2425" s="61" t="str">
        <f>IFERROR(__xludf.DUMMYFUNCTION("""COMPUTED_VALUE"""),"お金を払うので初めての彼氏になってください")</f>
        <v>お金を払うので初めての彼氏になってください</v>
      </c>
      <c r="G2425" s="67" t="str">
        <f>IFERROR(__xludf.DUMMYFUNCTION("""COMPUTED_VALUE"""),"1～4")</f>
        <v>1～4</v>
      </c>
      <c r="H2425" s="67" t="str">
        <f>IFERROR(__xludf.DUMMYFUNCTION("""COMPUTED_VALUE"""),"江真コウキ")</f>
        <v>江真コウキ</v>
      </c>
      <c r="I2425" s="78" t="str">
        <f>IFERROR(__xludf.DUMMYFUNCTION("""COMPUTED_VALUE"""),"女性")</f>
        <v>女性</v>
      </c>
      <c r="J2425" s="67"/>
      <c r="K2425" s="67"/>
      <c r="L2425" s="67" t="str">
        <f>IFERROR(__xludf.DUMMYFUNCTION("""COMPUTED_VALUE"""),"一迅社")</f>
        <v>一迅社</v>
      </c>
      <c r="M2425" s="23">
        <f>IFERROR(__xludf.DUMMYFUNCTION("""COMPUTED_VALUE"""),45632.0)</f>
        <v>45632</v>
      </c>
      <c r="N2425" s="23">
        <f>IFERROR(__xludf.DUMMYFUNCTION("""COMPUTED_VALUE"""),45722.0)</f>
        <v>45722</v>
      </c>
      <c r="O2425" s="67"/>
      <c r="P2425" s="70" t="str">
        <f>IFERROR(__xludf.DUMMYFUNCTION("""COMPUTED_VALUE"""),"可")</f>
        <v>可</v>
      </c>
      <c r="Q2425" s="30" t="str">
        <f>IFERROR(__xludf.DUMMYFUNCTION("""COMPUTED_VALUE"""),"・協業レーベル『echo』の作品です。")</f>
        <v>・協業レーベル『echo』の作品です。</v>
      </c>
      <c r="R2425" s="67"/>
      <c r="S2425" s="130" t="str">
        <f>IFERROR(__xludf.DUMMYFUNCTION("""COMPUTED_VALUE"""),"20241107_一迅社_お金を払うので初めての彼氏になってください_01-04")</f>
        <v>20241107_一迅社_お金を払うので初めての彼氏になってください_01-04</v>
      </c>
      <c r="T2425" s="130" t="str">
        <f>IFERROR(__xludf.DUMMYFUNCTION("""COMPUTED_VALUE"""),"格納済み")</f>
        <v>格納済み</v>
      </c>
      <c r="U2425" s="15" t="str">
        <f>IFERROR(__xludf.DUMMYFUNCTION("""COMPUTED_VALUE"""),"(C)江真コウキ／一迅社")</f>
        <v>(C)江真コウキ／一迅社</v>
      </c>
      <c r="V2425" s="8" t="str">
        <f>IFERROR(__xludf.DUMMYFUNCTION("""COMPUTED_VALUE"""),"親が敷いたレールを歩くだけの人生……ついにお見合い相手までも決められてしまった社長令嬢の佐藤華。知らない誰かのものになる前に、一度だけ、自分自身が願ったことをしてみてもいいだろうか──。そんな彼女がとった行動は、なんと「好きな人をお金で買う」こと!?　相手は「お金さえ払えばなんでもしてくれる」と噂の、社内の異端児・椎名京介。叶わない恋心を秘めて、人生最後の思い出作り──のはずが、2人の関係は思わぬ方向に進んでいき……？")</f>
        <v>親が敷いたレールを歩くだけの人生……ついにお見合い相手までも決められてしまった社長令嬢の佐藤華。知らない誰かのものになる前に、一度だけ、自分自身が願ったことをしてみてもいいだろうか──。そんな彼女がとった行動は、なんと「好きな人をお金で買う」こと!?　相手は「お金さえ払えばなんでもしてくれる」と噂の、社内の異端児・椎名京介。叶わない恋心を秘めて、人生最後の思い出作り──のはずが、2人の関係は思わぬ方向に進んでいき……？</v>
      </c>
      <c r="W2425" s="14"/>
      <c r="X2425" s="14" t="str">
        <f>IFERROR(__xludf.DUMMYFUNCTION("""COMPUTED_VALUE"""),"有")</f>
        <v>有</v>
      </c>
      <c r="Y2425" s="8" t="str">
        <f>IFERROR(__xludf.DUMMYFUNCTION("""COMPUTED_VALUE"""),"2025/3/6まで1巻無料")</f>
        <v>2025/3/6まで1巻無料</v>
      </c>
      <c r="Z2425" s="7"/>
      <c r="AA2425" s="7"/>
      <c r="AB2425" s="7"/>
    </row>
    <row r="2426" ht="15.75" customHeight="1">
      <c r="A2426" s="66">
        <f>IFERROR(__xludf.DUMMYFUNCTION("""COMPUTED_VALUE"""),4472.0)</f>
        <v>4472</v>
      </c>
      <c r="B2426" s="67" t="str">
        <f>IFERROR(__xludf.DUMMYFUNCTION("""COMPUTED_VALUE"""),"確定")</f>
        <v>確定</v>
      </c>
      <c r="C2426" s="68">
        <f>IFERROR(__xludf.DUMMYFUNCTION("""COMPUTED_VALUE"""),45603.0)</f>
        <v>45603</v>
      </c>
      <c r="D2426" s="68">
        <f>IFERROR(__xludf.DUMMYFUNCTION("""COMPUTED_VALUE"""),45604.0)</f>
        <v>45604</v>
      </c>
      <c r="E2426" s="60">
        <f>IFERROR(__xludf.DUMMYFUNCTION("""COMPUTED_VALUE"""),308253.0)</f>
        <v>308253</v>
      </c>
      <c r="F2426" s="61" t="str">
        <f>IFERROR(__xludf.DUMMYFUNCTION("""COMPUTED_VALUE"""),"記憶喪失の悪役令嬢は、攻略対象のヤンデレお義兄様から逃げられない")</f>
        <v>記憶喪失の悪役令嬢は、攻略対象のヤンデレお義兄様から逃げられない</v>
      </c>
      <c r="G2426" s="67">
        <f>IFERROR(__xludf.DUMMYFUNCTION("""COMPUTED_VALUE"""),1.0)</f>
        <v>1</v>
      </c>
      <c r="H2426" s="67" t="str">
        <f>IFERROR(__xludf.DUMMYFUNCTION("""COMPUTED_VALUE"""),"桂実/瑞音")</f>
        <v>桂実/瑞音</v>
      </c>
      <c r="I2426" s="67" t="str">
        <f>IFERROR(__xludf.DUMMYFUNCTION("""COMPUTED_VALUE"""),"少女")</f>
        <v>少女</v>
      </c>
      <c r="J2426" s="67"/>
      <c r="K2426" s="67"/>
      <c r="L2426" s="67" t="str">
        <f>IFERROR(__xludf.DUMMYFUNCTION("""COMPUTED_VALUE"""),"ファンギルド")</f>
        <v>ファンギルド</v>
      </c>
      <c r="M2426" s="23">
        <f>IFERROR(__xludf.DUMMYFUNCTION("""COMPUTED_VALUE"""),45673.0)</f>
        <v>45673</v>
      </c>
      <c r="N2426" s="23">
        <f>IFERROR(__xludf.DUMMYFUNCTION("""COMPUTED_VALUE"""),45707.0)</f>
        <v>45707</v>
      </c>
      <c r="O2426" s="67"/>
      <c r="P2426" s="70" t="str">
        <f>IFERROR(__xludf.DUMMYFUNCTION("""COMPUTED_VALUE"""),"可")</f>
        <v>可</v>
      </c>
      <c r="Q2426" s="30" t="str">
        <f>IFERROR(__xludf.DUMMYFUNCTION("""COMPUTED_VALUE"""),"『COMICスピラ』レーベル作品です。")</f>
        <v>『COMICスピラ』レーベル作品です。</v>
      </c>
      <c r="R2426" s="78"/>
      <c r="S2426" s="130" t="str">
        <f>IFERROR(__xludf.DUMMYFUNCTION("""COMPUTED_VALUE"""),"20250108_ファンギルド_記憶喪失の悪役令嬢は、攻略対象のヤンデレお義兄様から逃げられない	")</f>
        <v>20250108_ファンギルド_記憶喪失の悪役令嬢は、攻略対象のヤンデレお義兄様から逃げられない	</v>
      </c>
      <c r="T2426" s="130" t="str">
        <f>IFERROR(__xludf.DUMMYFUNCTION("""COMPUTED_VALUE"""),"格納済み")</f>
        <v>格納済み</v>
      </c>
      <c r="U2426" s="15" t="str">
        <f>IFERROR(__xludf.DUMMYFUNCTION("""COMPUTED_VALUE"""),"©桂実/瑞音/ファンギルド")</f>
        <v>©桂実/瑞音/ファンギルド</v>
      </c>
      <c r="V2426" s="8" t="str">
        <f>IFERROR(__xludf.DUMMYFUNCTION("""COMPUTED_VALUE"""),"高熱で倒れ、目が覚めたらすべての記憶を無くしていた公爵令嬢レティシア。婚約者のレイモン殿下から男爵令嬢のリゼットを紹介された時…この世界が乙女ゲームの世界であり、レティシアはヒロインであるリゼットをいじめる悪役令嬢だったことを思い出す。婚約破棄された挙げ句、賊に襲われ死ぬ未来を回避するため、レティシアはリゼットとは関わらず静かに過ごすことを決意。そんな中、レティシアにゲーム内の設定では犬猿の仲だった義兄・クロウィズが何故か迫ってきて……。「あれ、そういえばクロウィズってヤンデレキャラだったような……？」知"&amp;"らず知らずにヤンデレ気質の義兄に囲われている記憶喪失の悪役令嬢は無事断罪を回避できるのかーー！？※本作は『一途に溺愛されて、幸せを掴み取ってみせますわ！異世界アンソロジーコミック ７巻』収録作品を再編集したものです。")</f>
        <v>高熱で倒れ、目が覚めたらすべての記憶を無くしていた公爵令嬢レティシア。婚約者のレイモン殿下から男爵令嬢のリゼットを紹介された時…この世界が乙女ゲームの世界であり、レティシアはヒロインであるリゼットをいじめる悪役令嬢だったことを思い出す。婚約破棄された挙げ句、賊に襲われ死ぬ未来を回避するため、レティシアはリゼットとは関わらず静かに過ごすことを決意。そんな中、レティシアにゲーム内の設定では犬猿の仲だった義兄・クロウィズが何故か迫ってきて……。「あれ、そういえばクロウィズってヤンデレキャラだったような……？」知らず知らずにヤンデレ気質の義兄に囲われている記憶喪失の悪役令嬢は無事断罪を回避できるのかーー！？※本作は『一途に溺愛されて、幸せを掴み取ってみせますわ！異世界アンソロジーコミック ７巻』収録作品を再編集したものです。</v>
      </c>
      <c r="W2426" s="14"/>
      <c r="X2426" s="14" t="str">
        <f>IFERROR(__xludf.DUMMYFUNCTION("""COMPUTED_VALUE"""),"有")</f>
        <v>有</v>
      </c>
      <c r="Y2426" s="8" t="str">
        <f>IFERROR(__xludf.DUMMYFUNCTION("""COMPUTED_VALUE"""),"P11まで")</f>
        <v>P11まで</v>
      </c>
      <c r="Z2426" s="7"/>
      <c r="AA2426" s="7"/>
      <c r="AB2426" s="7"/>
    </row>
    <row r="2427" ht="15.75" customHeight="1">
      <c r="A2427" s="66">
        <f>IFERROR(__xludf.DUMMYFUNCTION("""COMPUTED_VALUE"""),4473.0)</f>
        <v>4473</v>
      </c>
      <c r="B2427" s="67" t="str">
        <f>IFERROR(__xludf.DUMMYFUNCTION("""COMPUTED_VALUE"""),"確定")</f>
        <v>確定</v>
      </c>
      <c r="C2427" s="68">
        <f>IFERROR(__xludf.DUMMYFUNCTION("""COMPUTED_VALUE"""),45603.0)</f>
        <v>45603</v>
      </c>
      <c r="D2427" s="68">
        <f>IFERROR(__xludf.DUMMYFUNCTION("""COMPUTED_VALUE"""),45604.0)</f>
        <v>45604</v>
      </c>
      <c r="E2427" s="60">
        <f>IFERROR(__xludf.DUMMYFUNCTION("""COMPUTED_VALUE"""),308252.0)</f>
        <v>308252</v>
      </c>
      <c r="F2427" s="61" t="str">
        <f>IFERROR(__xludf.DUMMYFUNCTION("""COMPUTED_VALUE"""),"余命宣告からはじまる婚約者様との最期の一年")</f>
        <v>余命宣告からはじまる婚約者様との最期の一年</v>
      </c>
      <c r="G2427" s="67">
        <f>IFERROR(__xludf.DUMMYFUNCTION("""COMPUTED_VALUE"""),1.0)</f>
        <v>1</v>
      </c>
      <c r="H2427" s="67" t="str">
        <f>IFERROR(__xludf.DUMMYFUNCTION("""COMPUTED_VALUE"""),"八橋はち/海野はな")</f>
        <v>八橋はち/海野はな</v>
      </c>
      <c r="I2427" s="67" t="str">
        <f>IFERROR(__xludf.DUMMYFUNCTION("""COMPUTED_VALUE"""),"少女")</f>
        <v>少女</v>
      </c>
      <c r="J2427" s="67"/>
      <c r="K2427" s="67"/>
      <c r="L2427" s="67" t="str">
        <f>IFERROR(__xludf.DUMMYFUNCTION("""COMPUTED_VALUE"""),"ファンギルド")</f>
        <v>ファンギルド</v>
      </c>
      <c r="M2427" s="23">
        <f>IFERROR(__xludf.DUMMYFUNCTION("""COMPUTED_VALUE"""),45673.0)</f>
        <v>45673</v>
      </c>
      <c r="N2427" s="47">
        <f>IFERROR(__xludf.DUMMYFUNCTION("""COMPUTED_VALUE"""),45763.0)</f>
        <v>45763</v>
      </c>
      <c r="O2427" s="67"/>
      <c r="P2427" s="70" t="str">
        <f>IFERROR(__xludf.DUMMYFUNCTION("""COMPUTED_VALUE"""),"可")</f>
        <v>可</v>
      </c>
      <c r="Q2427" s="30" t="str">
        <f>IFERROR(__xludf.DUMMYFUNCTION("""COMPUTED_VALUE"""),"『COMICスピラ』レーベル作品です。")</f>
        <v>『COMICスピラ』レーベル作品です。</v>
      </c>
      <c r="R2427" s="67"/>
      <c r="S2427" s="130" t="str">
        <f>IFERROR(__xludf.DUMMYFUNCTION("""COMPUTED_VALUE"""),"20241107_ファンギルド_余命宣告からはじまる婚約者様との最期の一年")</f>
        <v>20241107_ファンギルド_余命宣告からはじまる婚約者様との最期の一年</v>
      </c>
      <c r="T2427" s="130" t="str">
        <f>IFERROR(__xludf.DUMMYFUNCTION("""COMPUTED_VALUE"""),"格納済み")</f>
        <v>格納済み</v>
      </c>
      <c r="U2427" s="15" t="str">
        <f>IFERROR(__xludf.DUMMYFUNCTION("""COMPUTED_VALUE"""),"©八橋はち/海野はな/ファンギルド")</f>
        <v>©八橋はち/海野はな/ファンギルド</v>
      </c>
      <c r="V2427" s="8" t="str">
        <f>IFERROR(__xludf.DUMMYFUNCTION("""COMPUTED_VALUE"""),"余命一年の呪いを受けたソフィは余生を好きに生きようと婚約者であるローレンツに婚約解消を申し込む。冷え切っていた関係だったはずなのに、ローレンツはなぜか婚約解消を受け入れず―…？余命宣告からはじまる、ふたりの男女の切ないラブストーリー。※この作品は『一途に溺愛されて、幸せを掴み取ってみせますわ！異世界アンソロジーコミック 7巻』に収録されている作品と同一の内容を単話版として再編集したものとなります。")</f>
        <v>余命一年の呪いを受けたソフィは余生を好きに生きようと婚約者であるローレンツに婚約解消を申し込む。冷え切っていた関係だったはずなのに、ローレンツはなぜか婚約解消を受け入れず―…？余命宣告からはじまる、ふたりの男女の切ないラブストーリー。※この作品は『一途に溺愛されて、幸せを掴み取ってみせますわ！異世界アンソロジーコミック 7巻』に収録されている作品と同一の内容を単話版として再編集したものとなります。</v>
      </c>
      <c r="W2427" s="14"/>
      <c r="X2427" s="14" t="str">
        <f>IFERROR(__xludf.DUMMYFUNCTION("""COMPUTED_VALUE"""),"有")</f>
        <v>有</v>
      </c>
      <c r="Y2427" s="8" t="str">
        <f>IFERROR(__xludf.DUMMYFUNCTION("""COMPUTED_VALUE"""),"P7まで")</f>
        <v>P7まで</v>
      </c>
      <c r="Z2427" s="7"/>
      <c r="AA2427" s="7"/>
      <c r="AB2427" s="7"/>
    </row>
    <row r="2428" ht="15.75" customHeight="1">
      <c r="A2428" s="66">
        <f>IFERROR(__xludf.DUMMYFUNCTION("""COMPUTED_VALUE"""),4474.0)</f>
        <v>4474</v>
      </c>
      <c r="B2428" s="67" t="str">
        <f>IFERROR(__xludf.DUMMYFUNCTION("""COMPUTED_VALUE"""),"確定")</f>
        <v>確定</v>
      </c>
      <c r="C2428" s="68">
        <f>IFERROR(__xludf.DUMMYFUNCTION("""COMPUTED_VALUE"""),45603.0)</f>
        <v>45603</v>
      </c>
      <c r="D2428" s="68">
        <f>IFERROR(__xludf.DUMMYFUNCTION("""COMPUTED_VALUE"""),45604.0)</f>
        <v>45604</v>
      </c>
      <c r="E2428" s="60">
        <f>IFERROR(__xludf.DUMMYFUNCTION("""COMPUTED_VALUE"""),308254.0)</f>
        <v>308254</v>
      </c>
      <c r="F2428" s="61" t="str">
        <f>IFERROR(__xludf.DUMMYFUNCTION("""COMPUTED_VALUE"""),"すべてを諦めた地味令嬢は若き氷帝の寵愛を受ける")</f>
        <v>すべてを諦めた地味令嬢は若き氷帝の寵愛を受ける</v>
      </c>
      <c r="G2428" s="67">
        <f>IFERROR(__xludf.DUMMYFUNCTION("""COMPUTED_VALUE"""),1.0)</f>
        <v>1</v>
      </c>
      <c r="H2428" s="67" t="str">
        <f>IFERROR(__xludf.DUMMYFUNCTION("""COMPUTED_VALUE"""),"捺未/柴野いずみ")</f>
        <v>捺未/柴野いずみ</v>
      </c>
      <c r="I2428" s="67" t="str">
        <f>IFERROR(__xludf.DUMMYFUNCTION("""COMPUTED_VALUE"""),"少女")</f>
        <v>少女</v>
      </c>
      <c r="J2428" s="67"/>
      <c r="K2428" s="67"/>
      <c r="L2428" s="67" t="str">
        <f>IFERROR(__xludf.DUMMYFUNCTION("""COMPUTED_VALUE"""),"ファンギルド")</f>
        <v>ファンギルド</v>
      </c>
      <c r="M2428" s="23">
        <f>IFERROR(__xludf.DUMMYFUNCTION("""COMPUTED_VALUE"""),45673.0)</f>
        <v>45673</v>
      </c>
      <c r="N2428" s="23">
        <f>IFERROR(__xludf.DUMMYFUNCTION("""COMPUTED_VALUE"""),45707.0)</f>
        <v>45707</v>
      </c>
      <c r="O2428" s="67"/>
      <c r="P2428" s="70" t="str">
        <f>IFERROR(__xludf.DUMMYFUNCTION("""COMPUTED_VALUE"""),"可")</f>
        <v>可</v>
      </c>
      <c r="Q2428" s="30" t="str">
        <f>IFERROR(__xludf.DUMMYFUNCTION("""COMPUTED_VALUE"""),"『COMICスピラ』レーベル作品です。")</f>
        <v>『COMICスピラ』レーベル作品です。</v>
      </c>
      <c r="R2428" s="67"/>
      <c r="S2428" s="130" t="str">
        <f>IFERROR(__xludf.DUMMYFUNCTION("""COMPUTED_VALUE"""),"20241107_ファンギルド_すべてを諦めた地味令嬢は若き氷帝の寵愛を受ける")</f>
        <v>20241107_ファンギルド_すべてを諦めた地味令嬢は若き氷帝の寵愛を受ける</v>
      </c>
      <c r="T2428" s="130" t="str">
        <f>IFERROR(__xludf.DUMMYFUNCTION("""COMPUTED_VALUE"""),"格納済み")</f>
        <v>格納済み</v>
      </c>
      <c r="U2428" s="15" t="str">
        <f>IFERROR(__xludf.DUMMYFUNCTION("""COMPUTED_VALUE"""),"©捺未/柴野いずみ/ファンギルド")</f>
        <v>©捺未/柴野いずみ/ファンギルド</v>
      </c>
      <c r="V2428" s="8" t="str">
        <f>IFERROR(__xludf.DUMMYFUNCTION("""COMPUTED_VALUE"""),"父親から政略結婚の道具としか見られず、王太子妃になるための努力をひたすらに続けていた公爵令嬢フェアルザは、ある日婚約者であるキウェテル殿下から身に覚えのない罪で婚約破棄を告げられてしまう。醜聞を何より嫌う父は利用価値がなくなった自分を殺すだろう…。全てを諦めたフェアルザの元に現れたのは、『氷帝』と呼ばれる隣国の皇帝で――？愛を知らない孤独な地味令嬢×若き氷の皇帝の溺愛ラブロマンス※本作は『一途に溺愛されて、幸せを掴み取ってみせますわ！異世界アンソロジーコミック ７巻』収録作品を再編集したものです。")</f>
        <v>父親から政略結婚の道具としか見られず、王太子妃になるための努力をひたすらに続けていた公爵令嬢フェアルザは、ある日婚約者であるキウェテル殿下から身に覚えのない罪で婚約破棄を告げられてしまう。醜聞を何より嫌う父は利用価値がなくなった自分を殺すだろう…。全てを諦めたフェアルザの元に現れたのは、『氷帝』と呼ばれる隣国の皇帝で――？愛を知らない孤独な地味令嬢×若き氷の皇帝の溺愛ラブロマンス※本作は『一途に溺愛されて、幸せを掴み取ってみせますわ！異世界アンソロジーコミック ７巻』収録作品を再編集したものです。</v>
      </c>
      <c r="W2428" s="14"/>
      <c r="X2428" s="14" t="str">
        <f>IFERROR(__xludf.DUMMYFUNCTION("""COMPUTED_VALUE"""),"有")</f>
        <v>有</v>
      </c>
      <c r="Y2428" s="8" t="str">
        <f>IFERROR(__xludf.DUMMYFUNCTION("""COMPUTED_VALUE"""),"P14まで")</f>
        <v>P14まで</v>
      </c>
      <c r="Z2428" s="7"/>
      <c r="AA2428" s="7"/>
      <c r="AB2428" s="7"/>
    </row>
    <row r="2429" ht="15.75" customHeight="1">
      <c r="A2429" s="66">
        <f>IFERROR(__xludf.DUMMYFUNCTION("""COMPUTED_VALUE"""),4475.0)</f>
        <v>4475</v>
      </c>
      <c r="B2429" s="67" t="str">
        <f>IFERROR(__xludf.DUMMYFUNCTION("""COMPUTED_VALUE"""),"確定")</f>
        <v>確定</v>
      </c>
      <c r="C2429" s="68">
        <f>IFERROR(__xludf.DUMMYFUNCTION("""COMPUTED_VALUE"""),45603.0)</f>
        <v>45603</v>
      </c>
      <c r="D2429" s="68">
        <f>IFERROR(__xludf.DUMMYFUNCTION("""COMPUTED_VALUE"""),45604.0)</f>
        <v>45604</v>
      </c>
      <c r="E2429" s="60">
        <f>IFERROR(__xludf.DUMMYFUNCTION("""COMPUTED_VALUE"""),308256.0)</f>
        <v>308256</v>
      </c>
      <c r="F2429" s="61" t="str">
        <f>IFERROR(__xludf.DUMMYFUNCTION("""COMPUTED_VALUE"""),"催眠魔法にかかった次期伯爵様が私のことを好きだと勘違いしています")</f>
        <v>催眠魔法にかかった次期伯爵様が私のことを好きだと勘違いしています</v>
      </c>
      <c r="G2429" s="67">
        <f>IFERROR(__xludf.DUMMYFUNCTION("""COMPUTED_VALUE"""),1.0)</f>
        <v>1</v>
      </c>
      <c r="H2429" s="67" t="str">
        <f>IFERROR(__xludf.DUMMYFUNCTION("""COMPUTED_VALUE"""),"古森ふみ/大森樹")</f>
        <v>古森ふみ/大森樹</v>
      </c>
      <c r="I2429" s="67" t="str">
        <f>IFERROR(__xludf.DUMMYFUNCTION("""COMPUTED_VALUE"""),"少女")</f>
        <v>少女</v>
      </c>
      <c r="J2429" s="67"/>
      <c r="K2429" s="67"/>
      <c r="L2429" s="67" t="str">
        <f>IFERROR(__xludf.DUMMYFUNCTION("""COMPUTED_VALUE"""),"ファンギルド")</f>
        <v>ファンギルド</v>
      </c>
      <c r="M2429" s="85">
        <f>IFERROR(__xludf.DUMMYFUNCTION("""COMPUTED_VALUE"""),45645.0)</f>
        <v>45645</v>
      </c>
      <c r="N2429" s="23">
        <f>IFERROR(__xludf.DUMMYFUNCTION("""COMPUTED_VALUE"""),45672.0)</f>
        <v>45672</v>
      </c>
      <c r="O2429" s="67"/>
      <c r="P2429" s="70" t="str">
        <f>IFERROR(__xludf.DUMMYFUNCTION("""COMPUTED_VALUE"""),"可")</f>
        <v>可</v>
      </c>
      <c r="Q2429" s="30" t="str">
        <f>IFERROR(__xludf.DUMMYFUNCTION("""COMPUTED_VALUE"""),"『COMICスピラ』レーベル作品です。")</f>
        <v>『COMICスピラ』レーベル作品です。</v>
      </c>
      <c r="R2429" s="67"/>
      <c r="S2429" s="130" t="str">
        <f>IFERROR(__xludf.DUMMYFUNCTION("""COMPUTED_VALUE"""),"20241107_ファンギルド_催眠魔法にかかった次期伯爵様が私のことを好きだと勘違いしています")</f>
        <v>20241107_ファンギルド_催眠魔法にかかった次期伯爵様が私のことを好きだと勘違いしています</v>
      </c>
      <c r="T2429" s="130" t="str">
        <f>IFERROR(__xludf.DUMMYFUNCTION("""COMPUTED_VALUE"""),"格納済み")</f>
        <v>格納済み</v>
      </c>
      <c r="U2429" s="15" t="str">
        <f>IFERROR(__xludf.DUMMYFUNCTION("""COMPUTED_VALUE"""),"©古森ふみ/大森樹/ファンギルド")</f>
        <v>©古森ふみ/大森樹/ファンギルド</v>
      </c>
      <c r="V2429" s="8" t="str">
        <f>IFERROR(__xludf.DUMMYFUNCTION("""COMPUTED_VALUE"""),"「ターニャ、愛してる」　怪しげな魔法の本を見つけ、その中の “相手を好きになる魔法” を幼馴染のルカーシュにかけることになったターニャ。　本当にかかるのかしら…と半信半疑だったものの、ルカーシュの態度が急変！どうやら本当に催眠魔法にかかってしまったようで！？　甘く溺愛してくるルカーシュに動揺が隠せないターニャは、なんとか催眠魔法を解こうとするが……。「魔法なんかじゃない、俺はずっとターニャが好きだったんだ」　【※この作品は『一途に溺愛されて、幸せを掴み取ってみせますわ！異世界アンソロジーコミック　7巻』に"&amp;"収録されている作品と同一の内容を単話版として再編集したものです。】")</f>
        <v>「ターニャ、愛してる」　怪しげな魔法の本を見つけ、その中の “相手を好きになる魔法” を幼馴染のルカーシュにかけることになったターニャ。　本当にかかるのかしら…と半信半疑だったものの、ルカーシュの態度が急変！どうやら本当に催眠魔法にかかってしまったようで！？　甘く溺愛してくるルカーシュに動揺が隠せないターニャは、なんとか催眠魔法を解こうとするが……。「魔法なんかじゃない、俺はずっとターニャが好きだったんだ」　【※この作品は『一途に溺愛されて、幸せを掴み取ってみせますわ！異世界アンソロジーコミック　7巻』に収録されている作品と同一の内容を単話版として再編集したものです。】</v>
      </c>
      <c r="W2429" s="14"/>
      <c r="X2429" s="14" t="str">
        <f>IFERROR(__xludf.DUMMYFUNCTION("""COMPUTED_VALUE"""),"有")</f>
        <v>有</v>
      </c>
      <c r="Y2429" s="8" t="str">
        <f>IFERROR(__xludf.DUMMYFUNCTION("""COMPUTED_VALUE"""),"P8まで")</f>
        <v>P8まで</v>
      </c>
      <c r="Z2429" s="7"/>
      <c r="AA2429" s="7"/>
      <c r="AB2429" s="7"/>
    </row>
    <row r="2430" ht="15.75" customHeight="1">
      <c r="A2430" s="66">
        <f>IFERROR(__xludf.DUMMYFUNCTION("""COMPUTED_VALUE"""),4482.0)</f>
        <v>4482</v>
      </c>
      <c r="B2430" s="67" t="str">
        <f>IFERROR(__xludf.DUMMYFUNCTION("""COMPUTED_VALUE"""),"確定")</f>
        <v>確定</v>
      </c>
      <c r="C2430" s="68">
        <f>IFERROR(__xludf.DUMMYFUNCTION("""COMPUTED_VALUE"""),45604.0)</f>
        <v>45604</v>
      </c>
      <c r="D2430" s="68">
        <f>IFERROR(__xludf.DUMMYFUNCTION("""COMPUTED_VALUE"""),45607.0)</f>
        <v>45607</v>
      </c>
      <c r="E2430" s="60">
        <f>IFERROR(__xludf.DUMMYFUNCTION("""COMPUTED_VALUE"""),308834.0)</f>
        <v>308834</v>
      </c>
      <c r="F2430" s="61" t="str">
        <f>IFERROR(__xludf.DUMMYFUNCTION("""COMPUTED_VALUE"""),"年老いた私でも愛してくださいますか？〜魔女にかけられた私の呪いが解けるまで〜")</f>
        <v>年老いた私でも愛してくださいますか？〜魔女にかけられた私の呪いが解けるまで〜</v>
      </c>
      <c r="G2430" s="67" t="str">
        <f>IFERROR(__xludf.DUMMYFUNCTION("""COMPUTED_VALUE"""),"1～2")</f>
        <v>1～2</v>
      </c>
      <c r="H2430" s="67" t="str">
        <f>IFERROR(__xludf.DUMMYFUNCTION("""COMPUTED_VALUE"""),"天野観香恵／COMIC ROOM	")</f>
        <v>天野観香恵／COMIC ROOM	</v>
      </c>
      <c r="I2430" s="67" t="str">
        <f>IFERROR(__xludf.DUMMYFUNCTION("""COMPUTED_VALUE"""),"女性")</f>
        <v>女性</v>
      </c>
      <c r="J2430" s="67"/>
      <c r="K2430" s="67"/>
      <c r="L2430" s="67" t="str">
        <f>IFERROR(__xludf.DUMMYFUNCTION("""COMPUTED_VALUE"""),"コミックルーム")</f>
        <v>コミックルーム</v>
      </c>
      <c r="M2430" s="85">
        <f>IFERROR(__xludf.DUMMYFUNCTION("""COMPUTED_VALUE"""),45641.0)</f>
        <v>45641</v>
      </c>
      <c r="N2430" s="23">
        <f>IFERROR(__xludf.DUMMYFUNCTION("""COMPUTED_VALUE"""),45730.0)</f>
        <v>45730</v>
      </c>
      <c r="O2430" s="67"/>
      <c r="P2430" s="71" t="str">
        <f>IFERROR(__xludf.DUMMYFUNCTION("""COMPUTED_VALUE"""),"可")</f>
        <v>可</v>
      </c>
      <c r="Q2430" s="30"/>
      <c r="R2430" s="67"/>
      <c r="S2430" s="130" t="str">
        <f>IFERROR(__xludf.DUMMYFUNCTION("""COMPUTED_VALUE"""),"20241108_コミックルーム_年老いた私でも愛してくださいますか？〜魔女にかけられた私の呪いが解けるまで〜")</f>
        <v>20241108_コミックルーム_年老いた私でも愛してくださいますか？〜魔女にかけられた私の呪いが解けるまで〜</v>
      </c>
      <c r="T2430" s="130" t="str">
        <f>IFERROR(__xludf.DUMMYFUNCTION("""COMPUTED_VALUE"""),"格納済み")</f>
        <v>格納済み</v>
      </c>
      <c r="U2430" s="15" t="str">
        <f>IFERROR(__xludf.DUMMYFUNCTION("""COMPUTED_VALUE"""),"(c)天野観香恵／COMIC ROOM")</f>
        <v>(c)天野観香恵／COMIC ROOM</v>
      </c>
      <c r="V2430" s="8" t="str">
        <f>IFERROR(__xludf.DUMMYFUNCTION("""COMPUTED_VALUE"""),"父親が魔女と交わした契約の代償として、若さを奪われてしまった侯爵令嬢・セレナ。家族の繁栄のため、自らを犠牲にしたセレナだったが、そんな彼女を家族は疎み、見放し、ついには妹の嫁ぎ先に従者として同行することを命じる。
嫁ぎ先でも妹の冷たい仕打ちに耐えるセレナだったが、そんな彼女に心を寄せてくれる存在が現れる。それは、妹の婚約者であるレイオン公爵。彼と交流に希望を見出すセレナだったが、レイオンは妹の将来の夫。さらに呪いがセレナの体を蝕びはじめ、ついにセレナは倒れてしまい…？
※この作品の1・2巻は『溺れるほ"&amp;"ど愛されて、幸せになってみせますわ！アンソロジーコミック10巻』の収録作品です。重複購入にご注意ください。")</f>
        <v>父親が魔女と交わした契約の代償として、若さを奪われてしまった侯爵令嬢・セレナ。家族の繁栄のため、自らを犠牲にしたセレナだったが、そんな彼女を家族は疎み、見放し、ついには妹の嫁ぎ先に従者として同行することを命じる。
嫁ぎ先でも妹の冷たい仕打ちに耐えるセレナだったが、そんな彼女に心を寄せてくれる存在が現れる。それは、妹の婚約者であるレイオン公爵。彼と交流に希望を見出すセレナだったが、レイオンは妹の将来の夫。さらに呪いがセレナの体を蝕びはじめ、ついにセレナは倒れてしまい…？
※この作品の1・2巻は『溺れるほど愛されて、幸せになってみせますわ！アンソロジーコミック10巻』の収録作品です。重複購入にご注意ください。</v>
      </c>
      <c r="W2430" s="14"/>
      <c r="X2430" s="14" t="str">
        <f>IFERROR(__xludf.DUMMYFUNCTION("""COMPUTED_VALUE"""),"有")</f>
        <v>有</v>
      </c>
      <c r="Y2430" s="8" t="str">
        <f>IFERROR(__xludf.DUMMYFUNCTION("""COMPUTED_VALUE"""),"P13まで")</f>
        <v>P13まで</v>
      </c>
      <c r="Z2430" s="7"/>
      <c r="AA2430" s="7"/>
      <c r="AB2430" s="7"/>
    </row>
    <row r="2431" ht="15.75" customHeight="1">
      <c r="A2431" s="66">
        <f>IFERROR(__xludf.DUMMYFUNCTION("""COMPUTED_VALUE"""),4483.0)</f>
        <v>4483</v>
      </c>
      <c r="B2431" s="67" t="str">
        <f>IFERROR(__xludf.DUMMYFUNCTION("""COMPUTED_VALUE"""),"確定")</f>
        <v>確定</v>
      </c>
      <c r="C2431" s="68">
        <f>IFERROR(__xludf.DUMMYFUNCTION("""COMPUTED_VALUE"""),45604.0)</f>
        <v>45604</v>
      </c>
      <c r="D2431" s="68">
        <f>IFERROR(__xludf.DUMMYFUNCTION("""COMPUTED_VALUE"""),45607.0)</f>
        <v>45607</v>
      </c>
      <c r="E2431" s="60">
        <f>IFERROR(__xludf.DUMMYFUNCTION("""COMPUTED_VALUE"""),308835.0)</f>
        <v>308835</v>
      </c>
      <c r="F2431" s="61" t="str">
        <f>IFERROR(__xludf.DUMMYFUNCTION("""COMPUTED_VALUE"""),"食べさせすぎて婚約破棄！？令嬢アリスは新たなレシピで彼の溺愛を取り戻します")</f>
        <v>食べさせすぎて婚約破棄！？令嬢アリスは新たなレシピで彼の溺愛を取り戻します</v>
      </c>
      <c r="G2431" s="67" t="str">
        <f>IFERROR(__xludf.DUMMYFUNCTION("""COMPUTED_VALUE"""),"1～2")</f>
        <v>1～2</v>
      </c>
      <c r="H2431" s="67" t="str">
        <f>IFERROR(__xludf.DUMMYFUNCTION("""COMPUTED_VALUE"""),"もりお／COMIC ROOM")</f>
        <v>もりお／COMIC ROOM</v>
      </c>
      <c r="I2431" s="67" t="str">
        <f>IFERROR(__xludf.DUMMYFUNCTION("""COMPUTED_VALUE"""),"女性")</f>
        <v>女性</v>
      </c>
      <c r="J2431" s="67"/>
      <c r="K2431" s="67"/>
      <c r="L2431" s="67" t="str">
        <f>IFERROR(__xludf.DUMMYFUNCTION("""COMPUTED_VALUE"""),"コミックルーム")</f>
        <v>コミックルーム</v>
      </c>
      <c r="M2431" s="85">
        <f>IFERROR(__xludf.DUMMYFUNCTION("""COMPUTED_VALUE"""),45641.0)</f>
        <v>45641</v>
      </c>
      <c r="N2431" s="23">
        <f>IFERROR(__xludf.DUMMYFUNCTION("""COMPUTED_VALUE"""),45730.0)</f>
        <v>45730</v>
      </c>
      <c r="O2431" s="67"/>
      <c r="P2431" s="71" t="str">
        <f>IFERROR(__xludf.DUMMYFUNCTION("""COMPUTED_VALUE"""),"可")</f>
        <v>可</v>
      </c>
      <c r="Q2431" s="30"/>
      <c r="R2431" s="67"/>
      <c r="S2431" s="130" t="str">
        <f>IFERROR(__xludf.DUMMYFUNCTION("""COMPUTED_VALUE"""),"20241108_コミックルーム_食べさせすぎて婚約破棄！？令嬢アリスは新たなレシピで彼の溺愛を取り戻します")</f>
        <v>20241108_コミックルーム_食べさせすぎて婚約破棄！？令嬢アリスは新たなレシピで彼の溺愛を取り戻します</v>
      </c>
      <c r="T2431" s="130" t="str">
        <f>IFERROR(__xludf.DUMMYFUNCTION("""COMPUTED_VALUE"""),"格納済み")</f>
        <v>格納済み</v>
      </c>
      <c r="U2431" s="15" t="str">
        <f>IFERROR(__xludf.DUMMYFUNCTION("""COMPUTED_VALUE"""),"(c)もりお／COMIC ROOM")</f>
        <v>(c)もりお／COMIC ROOM</v>
      </c>
      <c r="V2431" s="8" t="str">
        <f>IFERROR(__xludf.DUMMYFUNCTION("""COMPUTED_VALUE"""),"伯爵令嬢のアリスは、婚約者・レオンの喜ぶ顔が見たい一心で、日々大量の料理を作ってはレオンに振る舞っていた。その結果、レオンの体重は日々右肩上がり。激太りしたにも関わらずまだレオンに食べさせようとするアリスは、ついに婚約破棄を言い渡されてしまう。
ショックで料理をやめたアリスだったが、父の体調不良を機に料理を再開。そして、「本当に相手を喜ばせる」とは何かに気付いていく。そんな折り、アリスの元に「レオンが倒れた」と連絡が届き…！？
※この作品の1・2巻は『溺れるほど愛されて、幸せになってみせますわ！アンソ"&amp;"ロジーコミック10巻』の収録作品です。重複購入にご注意ください。")</f>
        <v>伯爵令嬢のアリスは、婚約者・レオンの喜ぶ顔が見たい一心で、日々大量の料理を作ってはレオンに振る舞っていた。その結果、レオンの体重は日々右肩上がり。激太りしたにも関わらずまだレオンに食べさせようとするアリスは、ついに婚約破棄を言い渡されてしまう。
ショックで料理をやめたアリスだったが、父の体調不良を機に料理を再開。そして、「本当に相手を喜ばせる」とは何かに気付いていく。そんな折り、アリスの元に「レオンが倒れた」と連絡が届き…！？
※この作品の1・2巻は『溺れるほど愛されて、幸せになってみせますわ！アンソロジーコミック10巻』の収録作品です。重複購入にご注意ください。</v>
      </c>
      <c r="W2431" s="14"/>
      <c r="X2431" s="14" t="str">
        <f>IFERROR(__xludf.DUMMYFUNCTION("""COMPUTED_VALUE"""),"有")</f>
        <v>有</v>
      </c>
      <c r="Y2431" s="8" t="str">
        <f>IFERROR(__xludf.DUMMYFUNCTION("""COMPUTED_VALUE"""),"P8まで")</f>
        <v>P8まで</v>
      </c>
      <c r="Z2431" s="7"/>
      <c r="AA2431" s="7"/>
      <c r="AB2431" s="7"/>
    </row>
    <row r="2432" ht="15.75" customHeight="1">
      <c r="A2432" s="66">
        <f>IFERROR(__xludf.DUMMYFUNCTION("""COMPUTED_VALUE"""),4484.0)</f>
        <v>4484</v>
      </c>
      <c r="B2432" s="67" t="str">
        <f>IFERROR(__xludf.DUMMYFUNCTION("""COMPUTED_VALUE"""),"確定")</f>
        <v>確定</v>
      </c>
      <c r="C2432" s="68">
        <f>IFERROR(__xludf.DUMMYFUNCTION("""COMPUTED_VALUE"""),45604.0)</f>
        <v>45604</v>
      </c>
      <c r="D2432" s="68">
        <f>IFERROR(__xludf.DUMMYFUNCTION("""COMPUTED_VALUE"""),45607.0)</f>
        <v>45607</v>
      </c>
      <c r="E2432" s="60">
        <f>IFERROR(__xludf.DUMMYFUNCTION("""COMPUTED_VALUE"""),308836.0)</f>
        <v>308836</v>
      </c>
      <c r="F2432" s="61" t="str">
        <f>IFERROR(__xludf.DUMMYFUNCTION("""COMPUTED_VALUE"""),"王太子妃の返り咲き〜悔いるがいい、私と婚約破棄したことを〜")</f>
        <v>王太子妃の返り咲き〜悔いるがいい、私と婚約破棄したことを〜</v>
      </c>
      <c r="G2432" s="67" t="str">
        <f>IFERROR(__xludf.DUMMYFUNCTION("""COMPUTED_VALUE"""),"1～2")</f>
        <v>1～2</v>
      </c>
      <c r="H2432" s="67" t="str">
        <f>IFERROR(__xludf.DUMMYFUNCTION("""COMPUTED_VALUE"""),"サイハラナオ／COMIC ROOM")</f>
        <v>サイハラナオ／COMIC ROOM</v>
      </c>
      <c r="I2432" s="67" t="str">
        <f>IFERROR(__xludf.DUMMYFUNCTION("""COMPUTED_VALUE"""),"女性")</f>
        <v>女性</v>
      </c>
      <c r="J2432" s="67"/>
      <c r="K2432" s="67"/>
      <c r="L2432" s="67" t="str">
        <f>IFERROR(__xludf.DUMMYFUNCTION("""COMPUTED_VALUE"""),"コミックルーム")</f>
        <v>コミックルーム</v>
      </c>
      <c r="M2432" s="85">
        <f>IFERROR(__xludf.DUMMYFUNCTION("""COMPUTED_VALUE"""),45641.0)</f>
        <v>45641</v>
      </c>
      <c r="N2432" s="23">
        <f>IFERROR(__xludf.DUMMYFUNCTION("""COMPUTED_VALUE"""),45730.0)</f>
        <v>45730</v>
      </c>
      <c r="O2432" s="67"/>
      <c r="P2432" s="71" t="str">
        <f>IFERROR(__xludf.DUMMYFUNCTION("""COMPUTED_VALUE"""),"可")</f>
        <v>可</v>
      </c>
      <c r="Q2432" s="30"/>
      <c r="R2432" s="67"/>
      <c r="S2432" s="130" t="str">
        <f>IFERROR(__xludf.DUMMYFUNCTION("""COMPUTED_VALUE"""),"20241108_コミックルーム_王太子妃の返り咲き〜悔いるがいい、私と婚約破棄したことを〜")</f>
        <v>20241108_コミックルーム_王太子妃の返り咲き〜悔いるがいい、私と婚約破棄したことを〜</v>
      </c>
      <c r="T2432" s="130" t="str">
        <f>IFERROR(__xludf.DUMMYFUNCTION("""COMPUTED_VALUE"""),"格納済み")</f>
        <v>格納済み</v>
      </c>
      <c r="U2432" s="15" t="str">
        <f>IFERROR(__xludf.DUMMYFUNCTION("""COMPUTED_VALUE"""),"(c)サイハラナオ／COMIC ROOM")</f>
        <v>(c)サイハラナオ／COMIC ROOM</v>
      </c>
      <c r="V2432" s="8" t="str">
        <f>IFERROR(__xludf.DUMMYFUNCTION("""COMPUTED_VALUE"""),"公爵令嬢・アンの通う学園では、奇妙な出来事が続いていた。それは、毎年開かれる創立記念パーティで、誰かが必ず婚約破棄されてしまうこと。今年は自分が婚約破棄されるのではないかと令嬢たちが怯える中、なんとアンが、婚約者である王太子から婚約破棄を言い渡されてしまう。
突然のことに嘆き悲しむアン。そんな彼女の元に、第二王子・イグニスから励ましの手紙が届くようになる。手紙をきっかけに近づいた二人は、この「連続婚約破棄事件」に隠された真実を追い始める——。
王太子妃の地位を奪われたアンの、再び返り咲くための逆転劇が"&amp;"今、始まる！
※この作品の1・2巻は『溺れるほど愛されて、幸せになってみせますわ！アンソロジーコミック10巻』の収録作品です。重複購入にご注意ください。")</f>
        <v>公爵令嬢・アンの通う学園では、奇妙な出来事が続いていた。それは、毎年開かれる創立記念パーティで、誰かが必ず婚約破棄されてしまうこと。今年は自分が婚約破棄されるのではないかと令嬢たちが怯える中、なんとアンが、婚約者である王太子から婚約破棄を言い渡されてしまう。
突然のことに嘆き悲しむアン。そんな彼女の元に、第二王子・イグニスから励ましの手紙が届くようになる。手紙をきっかけに近づいた二人は、この「連続婚約破棄事件」に隠された真実を追い始める——。
王太子妃の地位を奪われたアンの、再び返り咲くための逆転劇が今、始まる！
※この作品の1・2巻は『溺れるほど愛されて、幸せになってみせますわ！アンソロジーコミック10巻』の収録作品です。重複購入にご注意ください。</v>
      </c>
      <c r="W2432" s="14"/>
      <c r="X2432" s="14" t="str">
        <f>IFERROR(__xludf.DUMMYFUNCTION("""COMPUTED_VALUE"""),"有")</f>
        <v>有</v>
      </c>
      <c r="Y2432" s="8" t="str">
        <f>IFERROR(__xludf.DUMMYFUNCTION("""COMPUTED_VALUE"""),"P8まで")</f>
        <v>P8まで</v>
      </c>
      <c r="Z2432" s="7"/>
      <c r="AA2432" s="7"/>
      <c r="AB2432" s="7"/>
    </row>
    <row r="2433" ht="15.75" customHeight="1">
      <c r="A2433" s="66">
        <f>IFERROR(__xludf.DUMMYFUNCTION("""COMPUTED_VALUE"""),4494.0)</f>
        <v>4494</v>
      </c>
      <c r="B2433" s="67" t="str">
        <f>IFERROR(__xludf.DUMMYFUNCTION("""COMPUTED_VALUE"""),"確定")</f>
        <v>確定</v>
      </c>
      <c r="C2433" s="68">
        <f>IFERROR(__xludf.DUMMYFUNCTION("""COMPUTED_VALUE"""),45607.0)</f>
        <v>45607</v>
      </c>
      <c r="D2433" s="68">
        <f>IFERROR(__xludf.DUMMYFUNCTION("""COMPUTED_VALUE"""),45608.0)</f>
        <v>45608</v>
      </c>
      <c r="E2433" s="60">
        <f>IFERROR(__xludf.DUMMYFUNCTION("""COMPUTED_VALUE"""),311256.0)</f>
        <v>311256</v>
      </c>
      <c r="F2433" s="61" t="str">
        <f>IFERROR(__xludf.DUMMYFUNCTION("""COMPUTED_VALUE"""),"【分冊版】甘い恋は星ふる夜に")</f>
        <v>【分冊版】甘い恋は星ふる夜に</v>
      </c>
      <c r="G2433" s="67" t="str">
        <f>IFERROR(__xludf.DUMMYFUNCTION("""COMPUTED_VALUE"""),"1～8")</f>
        <v>1～8</v>
      </c>
      <c r="H2433" s="67" t="str">
        <f>IFERROR(__xludf.DUMMYFUNCTION("""COMPUTED_VALUE"""),"名奈島なも")</f>
        <v>名奈島なも</v>
      </c>
      <c r="I2433" s="46" t="str">
        <f>IFERROR(__xludf.DUMMYFUNCTION("""COMPUTED_VALUE"""),"少女")</f>
        <v>少女</v>
      </c>
      <c r="J2433" s="67"/>
      <c r="K2433" s="67"/>
      <c r="L2433" s="67" t="str">
        <f>IFERROR(__xludf.DUMMYFUNCTION("""COMPUTED_VALUE"""),"Seasons")</f>
        <v>Seasons</v>
      </c>
      <c r="M2433" s="85">
        <f>IFERROR(__xludf.DUMMYFUNCTION("""COMPUTED_VALUE"""),45646.0)</f>
        <v>45646</v>
      </c>
      <c r="N2433" s="47">
        <f>IFERROR(__xludf.DUMMYFUNCTION("""COMPUTED_VALUE"""),45735.0)</f>
        <v>45735</v>
      </c>
      <c r="O2433" s="67"/>
      <c r="P2433" s="71" t="str">
        <f>IFERROR(__xludf.DUMMYFUNCTION("""COMPUTED_VALUE"""),"可")</f>
        <v>可</v>
      </c>
      <c r="Q2433" s="30"/>
      <c r="R2433" s="67"/>
      <c r="S2433" s="130" t="str">
        <f>IFERROR(__xludf.DUMMYFUNCTION("""COMPUTED_VALUE"""),"20241105_Seasons_甘い恋は星降る夜に")</f>
        <v>20241105_Seasons_甘い恋は星降る夜に</v>
      </c>
      <c r="T2433" s="130" t="str">
        <f>IFERROR(__xludf.DUMMYFUNCTION("""COMPUTED_VALUE"""),"格納済み")</f>
        <v>格納済み</v>
      </c>
      <c r="U2433" s="15" t="str">
        <f>IFERROR(__xludf.DUMMYFUNCTION("""COMPUTED_VALUE"""),"(C)名奈島なも／文藝春秋")</f>
        <v>(C)名奈島なも／文藝春秋</v>
      </c>
      <c r="V2433" s="8" t="str">
        <f>IFERROR(__xludf.DUMMYFUNCTION("""COMPUTED_VALUE"""),"【癒され度120％ラブコメ】始動！！? 職場で「ゴミ担当」呼ばわりされるひよりの前に現れたのは、「不思議系」年下イケメン！？ ダウナー癒し系の彼がひよりを助けるのには、理由があって――？【第１話収録】")</f>
        <v>【癒され度120％ラブコメ】始動！！? 職場で「ゴミ担当」呼ばわりされるひよりの前に現れたのは、「不思議系」年下イケメン！？ ダウナー癒し系の彼がひよりを助けるのには、理由があって――？【第１話収録】</v>
      </c>
      <c r="W2433" s="14"/>
      <c r="X2433" s="14" t="str">
        <f>IFERROR(__xludf.DUMMYFUNCTION("""COMPUTED_VALUE"""),"有")</f>
        <v>有</v>
      </c>
      <c r="Y2433" s="8" t="str">
        <f>IFERROR(__xludf.DUMMYFUNCTION("""COMPUTED_VALUE"""),"2024/12/26まで1～3巻無料")</f>
        <v>2024/12/26まで1～3巻無料</v>
      </c>
      <c r="Z2433" s="7"/>
      <c r="AA2433" s="7"/>
      <c r="AB2433" s="7"/>
    </row>
    <row r="2434" ht="15.75" customHeight="1">
      <c r="A2434" s="66">
        <f>IFERROR(__xludf.DUMMYFUNCTION("""COMPUTED_VALUE"""),4502.0)</f>
        <v>4502</v>
      </c>
      <c r="B2434" s="67" t="str">
        <f>IFERROR(__xludf.DUMMYFUNCTION("""COMPUTED_VALUE"""),"確定")</f>
        <v>確定</v>
      </c>
      <c r="C2434" s="68">
        <f>IFERROR(__xludf.DUMMYFUNCTION("""COMPUTED_VALUE"""),45608.0)</f>
        <v>45608</v>
      </c>
      <c r="D2434" s="68">
        <f>IFERROR(__xludf.DUMMYFUNCTION("""COMPUTED_VALUE"""),45608.0)</f>
        <v>45608</v>
      </c>
      <c r="E2434" s="100">
        <f>IFERROR(__xludf.DUMMYFUNCTION("""COMPUTED_VALUE"""),290567.0)</f>
        <v>290567</v>
      </c>
      <c r="F2434" s="61" t="str">
        <f>IFERROR(__xludf.DUMMYFUNCTION("""COMPUTED_VALUE"""),"溺愛系のぬいぐるみに迫られて困っています")</f>
        <v>溺愛系のぬいぐるみに迫られて困っています</v>
      </c>
      <c r="G2434" s="67" t="str">
        <f>IFERROR(__xludf.DUMMYFUNCTION("""COMPUTED_VALUE"""),"1～3")</f>
        <v>1～3</v>
      </c>
      <c r="H2434" s="67" t="str">
        <f>IFERROR(__xludf.DUMMYFUNCTION("""COMPUTED_VALUE"""),"湯裸")</f>
        <v>湯裸</v>
      </c>
      <c r="I2434" s="67" t="str">
        <f>IFERROR(__xludf.DUMMYFUNCTION("""COMPUTED_VALUE"""),"BL")</f>
        <v>BL</v>
      </c>
      <c r="J2434" s="67"/>
      <c r="K2434" s="67"/>
      <c r="L2434" s="67" t="str">
        <f>IFERROR(__xludf.DUMMYFUNCTION("""COMPUTED_VALUE"""),"シーモアコミックス")</f>
        <v>シーモアコミックス</v>
      </c>
      <c r="M2434" s="85">
        <f>IFERROR(__xludf.DUMMYFUNCTION("""COMPUTED_VALUE"""),45640.0)</f>
        <v>45640</v>
      </c>
      <c r="N2434" s="23">
        <f>IFERROR(__xludf.DUMMYFUNCTION("""COMPUTED_VALUE"""),45792.66666666667)</f>
        <v>45792.66667</v>
      </c>
      <c r="O2434" s="67"/>
      <c r="P2434" s="71" t="str">
        <f>IFERROR(__xludf.DUMMYFUNCTION("""COMPUTED_VALUE"""),"可")</f>
        <v>可</v>
      </c>
      <c r="Q2434" s="30"/>
      <c r="R2434" s="67"/>
      <c r="S2434" s="130" t="str">
        <f>IFERROR(__xludf.DUMMYFUNCTION("""COMPUTED_VALUE"""),"20241112_シーモアコミックス_溺愛系のぬいぐるみに迫られて困っています")</f>
        <v>20241112_シーモアコミックス_溺愛系のぬいぐるみに迫られて困っています</v>
      </c>
      <c r="T2434" s="130" t="str">
        <f>IFERROR(__xludf.DUMMYFUNCTION("""COMPUTED_VALUE"""),"格納済み")</f>
        <v>格納済み</v>
      </c>
      <c r="U2434" s="15" t="str">
        <f>IFERROR(__xludf.DUMMYFUNCTION("""COMPUTED_VALUE"""),"© 湯裸/シーモアコミックス")</f>
        <v>© 湯裸/シーモアコミックス</v>
      </c>
      <c r="V2434" s="8" t="str">
        <f>IFERROR(__xludf.DUMMYFUNCTION("""COMPUTED_VALUE"""),"金属加工工場に住み込みで働いている須々木謙太郎（すずきけんたろう）は、上司からのパワハラに限界を感じていた。そこで、同僚から教えてもらった副業（ゲーム配信）を始めたのだが、世の中はそんなに甘くはなく、登録者は二桁止まり、再生数も数えるほど…収益化さえもできていなかった。そんなある日、ふとした思いつきで、ぬいぐるみを使ったとある降霊術の生配信をすることに。子供の頃からの相棒・ぬいぐるみのくまきちを使い、初の顔出し生配信でその様子を実況していると物音が…？ なんと、自分しかいないはずの部屋の中に、筋骨隆々なマ"&amp;"ッチョメンが!!!?ケモ耳しっぽの大男×悩める子羊青年のステップアップ・ラブ（？）開幕♪【フィカス】")</f>
        <v>金属加工工場に住み込みで働いている須々木謙太郎（すずきけんたろう）は、上司からのパワハラに限界を感じていた。そこで、同僚から教えてもらった副業（ゲーム配信）を始めたのだが、世の中はそんなに甘くはなく、登録者は二桁止まり、再生数も数えるほど…収益化さえもできていなかった。そんなある日、ふとした思いつきで、ぬいぐるみを使ったとある降霊術の生配信をすることに。子供の頃からの相棒・ぬいぐるみのくまきちを使い、初の顔出し生配信でその様子を実況していると物音が…？ なんと、自分しかいないはずの部屋の中に、筋骨隆々なマッチョメンが!!!?ケモ耳しっぽの大男×悩める子羊青年のステップアップ・ラブ（？）開幕♪【フィカス】</v>
      </c>
      <c r="W2434" s="14"/>
      <c r="X2434" s="14" t="str">
        <f>IFERROR(__xludf.DUMMYFUNCTION("""COMPUTED_VALUE"""),"有")</f>
        <v>有</v>
      </c>
      <c r="Y2434" s="8" t="str">
        <f>IFERROR(__xludf.DUMMYFUNCTION("""COMPUTED_VALUE"""),"P7まで")</f>
        <v>P7まで</v>
      </c>
      <c r="Z2434" s="7"/>
      <c r="AA2434" s="7"/>
      <c r="AB2434" s="7"/>
    </row>
    <row r="2435" ht="15.75" customHeight="1">
      <c r="A2435" s="66">
        <f>IFERROR(__xludf.DUMMYFUNCTION("""COMPUTED_VALUE"""),4529.0)</f>
        <v>4529</v>
      </c>
      <c r="B2435" s="75" t="str">
        <f>IFERROR(__xludf.DUMMYFUNCTION("""COMPUTED_VALUE"""),"確定")</f>
        <v>確定</v>
      </c>
      <c r="C2435" s="68">
        <f>IFERROR(__xludf.DUMMYFUNCTION("""COMPUTED_VALUE"""),45401.0)</f>
        <v>45401</v>
      </c>
      <c r="D2435" s="68">
        <f>IFERROR(__xludf.DUMMYFUNCTION("""COMPUTED_VALUE"""),45610.0)</f>
        <v>45610</v>
      </c>
      <c r="E2435" s="100">
        <f>IFERROR(__xludf.DUMMYFUNCTION("""COMPUTED_VALUE"""),310454.0)</f>
        <v>310454</v>
      </c>
      <c r="F2435" s="146" t="str">
        <f>IFERROR(__xludf.DUMMYFUNCTION("""COMPUTED_VALUE"""),"恋愛は来世がんばるつもりが、転生先で婚約破棄されました【単話売】")</f>
        <v>恋愛は来世がんばるつもりが、転生先で婚約破棄されました【単話売】</v>
      </c>
      <c r="G2435" s="67" t="str">
        <f>IFERROR(__xludf.DUMMYFUNCTION("""COMPUTED_VALUE"""),"1～3")</f>
        <v>1～3</v>
      </c>
      <c r="H2435" s="147" t="str">
        <f>IFERROR(__xludf.DUMMYFUNCTION("""COMPUTED_VALUE"""),"葉村しいね/柊一葉/ザネリ")</f>
        <v>葉村しいね/柊一葉/ザネリ</v>
      </c>
      <c r="I2435" s="147" t="str">
        <f>IFERROR(__xludf.DUMMYFUNCTION("""COMPUTED_VALUE"""),"少女")</f>
        <v>少女</v>
      </c>
      <c r="J2435" s="87"/>
      <c r="K2435" s="87"/>
      <c r="L2435" s="75" t="str">
        <f>IFERROR(__xludf.DUMMYFUNCTION("""COMPUTED_VALUE"""),"ジュリアンパブリッシング")</f>
        <v>ジュリアンパブリッシング</v>
      </c>
      <c r="M2435" s="23">
        <f>IFERROR(__xludf.DUMMYFUNCTION("""COMPUTED_VALUE"""),45667.0)</f>
        <v>45667</v>
      </c>
      <c r="N2435" s="47">
        <f>IFERROR(__xludf.DUMMYFUNCTION("""COMPUTED_VALUE"""),45729.0)</f>
        <v>45729</v>
      </c>
      <c r="O2435" s="75"/>
      <c r="P2435" s="80" t="str">
        <f>IFERROR(__xludf.DUMMYFUNCTION("""COMPUTED_VALUE"""),"否")</f>
        <v>否</v>
      </c>
      <c r="Q2435" s="75"/>
      <c r="R2435" s="75" t="str">
        <f>IFERROR(__xludf.DUMMYFUNCTION("""COMPUTED_VALUE"""),"コミットOK")</f>
        <v>コミットOK</v>
      </c>
      <c r="S2435" s="87" t="str">
        <f>IFERROR(__xludf.DUMMYFUNCTION("""COMPUTED_VALUE"""),"20241114_ジュリアンパブリッシング_恋愛は来世がんばるつもりが、転生先で婚約破棄されました【単話売】")</f>
        <v>20241114_ジュリアンパブリッシング_恋愛は来世がんばるつもりが、転生先で婚約破棄されました【単話売】</v>
      </c>
      <c r="T2435" s="75"/>
      <c r="U2435" s="15" t="str">
        <f>IFERROR(__xludf.DUMMYFUNCTION("""COMPUTED_VALUE"""),"(C)葉村しいね/柊一葉/ザネリ/ジュリアンパブリッシング")</f>
        <v>(C)葉村しいね/柊一葉/ザネリ/ジュリアンパブリッシング</v>
      </c>
      <c r="V2435" s="8" t="str">
        <f>IFERROR(__xludf.DUMMYFUNCTION("""COMPUTED_VALUE"""),"前世で恋愛願望ゼロの枯れ女子だった伯爵令嬢ユスティーナは、恋愛の神に「生涯の伴侶を見つけなければ人生無限ループ」という転生恋愛修行を課されてしまう。それなのに、せっかく捕まえた婚約者には浮気されてあっさり婚約破棄。このままでは無限ループ必至！　崖っぷちなユスティーナが出会ったのは、次期侯爵で騎士のヴァルト。「恋愛なんてくだらない」そう吐き捨てた彼に、ユスティーナは即逆プロポーズ！　契約結婚の約束を取りつけ、これでミッションクリア☆と浮かれるが……神が黙っているはずもなく!?　恋愛音痴たちの仁義なきすれ違い"&amp;"ラブコメディ、コミカライズでもポンコツMAXでお届け！")</f>
        <v>前世で恋愛願望ゼロの枯れ女子だった伯爵令嬢ユスティーナは、恋愛の神に「生涯の伴侶を見つけなければ人生無限ループ」という転生恋愛修行を課されてしまう。それなのに、せっかく捕まえた婚約者には浮気されてあっさり婚約破棄。このままでは無限ループ必至！　崖っぷちなユスティーナが出会ったのは、次期侯爵で騎士のヴァルト。「恋愛なんてくだらない」そう吐き捨てた彼に、ユスティーナは即逆プロポーズ！　契約結婚の約束を取りつけ、これでミッションクリア☆と浮かれるが……神が黙っているはずもなく!?　恋愛音痴たちの仁義なきすれ違いラブコメディ、コミカライズでもポンコツMAXでお届け！</v>
      </c>
      <c r="W2435" s="14"/>
      <c r="X2435" s="14" t="str">
        <f>IFERROR(__xludf.DUMMYFUNCTION("""COMPUTED_VALUE"""),"有")</f>
        <v>有</v>
      </c>
      <c r="Y2435" s="8" t="str">
        <f>IFERROR(__xludf.DUMMYFUNCTION("""COMPUTED_VALUE"""),"P15まで")</f>
        <v>P15まで</v>
      </c>
      <c r="Z2435" s="7"/>
      <c r="AA2435" s="7"/>
      <c r="AB2435" s="7"/>
    </row>
    <row r="2436" ht="15.75" customHeight="1">
      <c r="A2436" s="66">
        <f>IFERROR(__xludf.DUMMYFUNCTION("""COMPUTED_VALUE"""),3894.0)</f>
        <v>3894</v>
      </c>
      <c r="B2436" s="75" t="str">
        <f>IFERROR(__xludf.DUMMYFUNCTION("""COMPUTED_VALUE"""),"確定")</f>
        <v>確定</v>
      </c>
      <c r="C2436" s="68">
        <f>IFERROR(__xludf.DUMMYFUNCTION("""COMPUTED_VALUE"""),45504.0)</f>
        <v>45504</v>
      </c>
      <c r="D2436" s="68">
        <f>IFERROR(__xludf.DUMMYFUNCTION("""COMPUTED_VALUE"""),45616.0)</f>
        <v>45616</v>
      </c>
      <c r="E2436" s="100">
        <f>IFERROR(__xludf.DUMMYFUNCTION("""COMPUTED_VALUE"""),310838.0)</f>
        <v>310838</v>
      </c>
      <c r="F2436" s="146" t="str">
        <f>IFERROR(__xludf.DUMMYFUNCTION("""COMPUTED_VALUE"""),"公爵家は義兄が継げばいい～ポンコツ令嬢の悪女計画～")</f>
        <v>公爵家は義兄が継げばいい～ポンコツ令嬢の悪女計画～</v>
      </c>
      <c r="G2436" s="75" t="str">
        <f>IFERROR(__xludf.DUMMYFUNCTION("""COMPUTED_VALUE"""),"1～3")</f>
        <v>1～3</v>
      </c>
      <c r="H2436" s="147" t="str">
        <f>IFERROR(__xludf.DUMMYFUNCTION("""COMPUTED_VALUE"""),"九重ヤエ")</f>
        <v>九重ヤエ</v>
      </c>
      <c r="I2436" s="147" t="str">
        <f>IFERROR(__xludf.DUMMYFUNCTION("""COMPUTED_VALUE"""),"少女")</f>
        <v>少女</v>
      </c>
      <c r="J2436" s="87"/>
      <c r="K2436" s="87"/>
      <c r="L2436" s="75" t="str">
        <f>IFERROR(__xludf.DUMMYFUNCTION("""COMPUTED_VALUE"""),"リブレ")</f>
        <v>リブレ</v>
      </c>
      <c r="M2436" s="23">
        <f>IFERROR(__xludf.DUMMYFUNCTION("""COMPUTED_VALUE"""),45666.0)</f>
        <v>45666</v>
      </c>
      <c r="N2436" s="23">
        <f>IFERROR(__xludf.DUMMYFUNCTION("""COMPUTED_VALUE"""),45721.0)</f>
        <v>45721</v>
      </c>
      <c r="O2436" s="75"/>
      <c r="P2436" s="71" t="str">
        <f>IFERROR(__xludf.DUMMYFUNCTION("""COMPUTED_VALUE"""),"可")</f>
        <v>可</v>
      </c>
      <c r="Q2436" s="75"/>
      <c r="R2436" s="75" t="str">
        <f>IFERROR(__xludf.DUMMYFUNCTION("""COMPUTED_VALUE"""),"コミットOK")</f>
        <v>コミットOK</v>
      </c>
      <c r="S2436" s="9" t="str">
        <f>IFERROR(__xludf.DUMMYFUNCTION("""COMPUTED_VALUE"""),"20241113_リブレ_公爵家は義兄が継げばいい～ポンコツ令嬢の悪女計画～")</f>
        <v>20241113_リブレ_公爵家は義兄が継げばいい～ポンコツ令嬢の悪女計画～</v>
      </c>
      <c r="T2436" s="75"/>
      <c r="U2436" s="107" t="str">
        <f>IFERROR(__xludf.DUMMYFUNCTION("""COMPUTED_VALUE"""),"(C)九重ヤエ・雪兎ざっく/libre")</f>
        <v>(C)九重ヤエ・雪兎ざっく/libre</v>
      </c>
      <c r="V2436" s="8" t="str">
        <f>IFERROR(__xludf.DUMMYFUNCTION("""COMPUTED_VALUE"""),"「お義兄様のために…今日から悪女になります！」
公爵家の令嬢・アデールは、寡黙な義兄・エドワードに密かな恋心を抱いていた。
だが社交界デビュー直前のある日、エドワードが公爵家を継ぐ条件が【アデールとの婚約】だと知る。
――そんな婚約、お義兄様が可哀想だわ！
そこでアデールは、とんでもない計画を立てることに…
◆悪女計画◆
（1）わがままな悪女になる
（2）私が公爵家を追放される
（3）無事に婚約破棄＆公爵家はお義兄様が継ぐ！
天然ポンコツ令嬢・アデールが、お義兄様への愛のため"&amp;"“悪女の演技”に奮闘するうち、なぜか王太子との三角関係も始まって…!?
華麗なるすれ違いラブコメディ開幕!!")</f>
        <v>「お義兄様のために…今日から悪女になります！」
公爵家の令嬢・アデールは、寡黙な義兄・エドワードに密かな恋心を抱いていた。
だが社交界デビュー直前のある日、エドワードが公爵家を継ぐ条件が【アデールとの婚約】だと知る。
――そんな婚約、お義兄様が可哀想だわ！
そこでアデールは、とんでもない計画を立てることに…
◆悪女計画◆
（1）わがままな悪女になる
（2）私が公爵家を追放される
（3）無事に婚約破棄＆公爵家はお義兄様が継ぐ！
天然ポンコツ令嬢・アデールが、お義兄様への愛のため“悪女の演技”に奮闘するうち、なぜか王太子との三角関係も始まって…!?
華麗なるすれ違いラブコメディ開幕!!</v>
      </c>
      <c r="W2436" s="14"/>
      <c r="X2436" s="14" t="str">
        <f>IFERROR(__xludf.DUMMYFUNCTION("""COMPUTED_VALUE"""),"有")</f>
        <v>有</v>
      </c>
      <c r="Y2436" s="8" t="str">
        <f>IFERROR(__xludf.DUMMYFUNCTION("""COMPUTED_VALUE"""),"P6まで")</f>
        <v>P6まで</v>
      </c>
      <c r="Z2436" s="7"/>
      <c r="AA2436" s="7"/>
      <c r="AB2436" s="7"/>
    </row>
    <row r="2437" ht="15.75" customHeight="1">
      <c r="A2437" s="66">
        <f>IFERROR(__xludf.DUMMYFUNCTION("""COMPUTED_VALUE"""),3897.0)</f>
        <v>3897</v>
      </c>
      <c r="B2437" s="75" t="str">
        <f>IFERROR(__xludf.DUMMYFUNCTION("""COMPUTED_VALUE"""),"確定")</f>
        <v>確定</v>
      </c>
      <c r="C2437" s="68">
        <f>IFERROR(__xludf.DUMMYFUNCTION("""COMPUTED_VALUE"""),45504.0)</f>
        <v>45504</v>
      </c>
      <c r="D2437" s="68">
        <f>IFERROR(__xludf.DUMMYFUNCTION("""COMPUTED_VALUE"""),45616.0)</f>
        <v>45616</v>
      </c>
      <c r="E2437" s="100">
        <f>IFERROR(__xludf.DUMMYFUNCTION("""COMPUTED_VALUE"""),309562.0)</f>
        <v>309562</v>
      </c>
      <c r="F2437" s="146" t="str">
        <f>IFERROR(__xludf.DUMMYFUNCTION("""COMPUTED_VALUE"""),"契約蜜婚～冷徹な御曹司に溺愛されています～【分冊版】")</f>
        <v>契約蜜婚～冷徹な御曹司に溺愛されています～【分冊版】</v>
      </c>
      <c r="G2437" s="75" t="str">
        <f>IFERROR(__xludf.DUMMYFUNCTION("""COMPUTED_VALUE"""),"1～3")</f>
        <v>1～3</v>
      </c>
      <c r="H2437" s="147" t="str">
        <f>IFERROR(__xludf.DUMMYFUNCTION("""COMPUTED_VALUE"""),"松尾しより,西條六花")</f>
        <v>松尾しより,西條六花</v>
      </c>
      <c r="I2437" s="147" t="str">
        <f>IFERROR(__xludf.DUMMYFUNCTION("""COMPUTED_VALUE"""),"女性")</f>
        <v>女性</v>
      </c>
      <c r="J2437" s="87"/>
      <c r="K2437" s="87"/>
      <c r="L2437" s="75" t="str">
        <f>IFERROR(__xludf.DUMMYFUNCTION("""COMPUTED_VALUE"""),"ハーパーコリンズ・ジャパン")</f>
        <v>ハーパーコリンズ・ジャパン</v>
      </c>
      <c r="M2437" s="85">
        <f>IFERROR(__xludf.DUMMYFUNCTION("""COMPUTED_VALUE"""),45645.0)</f>
        <v>45645</v>
      </c>
      <c r="N2437" s="23">
        <f>IFERROR(__xludf.DUMMYFUNCTION("""COMPUTED_VALUE"""),45706.0)</f>
        <v>45706</v>
      </c>
      <c r="O2437" s="75"/>
      <c r="P2437" s="71" t="str">
        <f>IFERROR(__xludf.DUMMYFUNCTION("""COMPUTED_VALUE"""),"否")</f>
        <v>否</v>
      </c>
      <c r="Q2437" s="75"/>
      <c r="R2437" s="75" t="str">
        <f>IFERROR(__xludf.DUMMYFUNCTION("""COMPUTED_VALUE"""),"コミットOK")</f>
        <v>コミットOK</v>
      </c>
      <c r="S2437" s="9" t="str">
        <f>IFERROR(__xludf.DUMMYFUNCTION("""COMPUTED_VALUE"""),"20241119_ハーパーコリンズ・ジャパン_契約蜜婚～冷徹な御曹司に溺愛されています～【分冊版】")</f>
        <v>20241119_ハーパーコリンズ・ジャパン_契約蜜婚～冷徹な御曹司に溺愛されています～【分冊版】</v>
      </c>
      <c r="T2437" s="75"/>
      <c r="U2437" s="107" t="str">
        <f>IFERROR(__xludf.DUMMYFUNCTION("""COMPUTED_VALUE"""),"©松尾しより・西條六花／ハーパーコリンズ・ジャパン")</f>
        <v>©松尾しより・西條六花／ハーパーコリンズ・ジャパン</v>
      </c>
      <c r="V2437" s="8" t="str">
        <f>IFERROR(__xludf.DUMMYFUNCTION("""COMPUTED_VALUE"""),"期間限定の夫婦。平凡な私が契約結婚をするなんて――
意地悪な義母と、その甥から逃げ出した穂乃花は上司の諏訪に「１年だけの契約結婚をしないか？」と提案される。諏訪の豪華なマンションで同居を始めるが、なんと彼は創業者一族の御曹司!?　会社では冷たいけれど、ふたりきりになると別人のように優しい。強い力に守られる心地よさを初めて知った穂乃花は、恋心を抱いてしまい…。")</f>
        <v>期間限定の夫婦。平凡な私が契約結婚をするなんて――
意地悪な義母と、その甥から逃げ出した穂乃花は上司の諏訪に「１年だけの契約結婚をしないか？」と提案される。諏訪の豪華なマンションで同居を始めるが、なんと彼は創業者一族の御曹司!?　会社では冷たいけれど、ふたりきりになると別人のように優しい。強い力に守られる心地よさを初めて知った穂乃花は、恋心を抱いてしまい…。</v>
      </c>
      <c r="W2437" s="14"/>
      <c r="X2437" s="14" t="str">
        <f>IFERROR(__xludf.DUMMYFUNCTION("""COMPUTED_VALUE"""),"有")</f>
        <v>有</v>
      </c>
      <c r="Y2437" s="8" t="str">
        <f>IFERROR(__xludf.DUMMYFUNCTION("""COMPUTED_VALUE"""),"2025/1/1まで1巻無料")</f>
        <v>2025/1/1まで1巻無料</v>
      </c>
      <c r="Z2437" s="7"/>
      <c r="AA2437" s="7"/>
      <c r="AB2437" s="7"/>
    </row>
    <row r="2438" ht="15.75" customHeight="1">
      <c r="A2438" s="66">
        <f>IFERROR(__xludf.DUMMYFUNCTION("""COMPUTED_VALUE"""),4053.0)</f>
        <v>4053</v>
      </c>
      <c r="B2438" s="75" t="str">
        <f>IFERROR(__xludf.DUMMYFUNCTION("""COMPUTED_VALUE"""),"確定")</f>
        <v>確定</v>
      </c>
      <c r="C2438" s="68">
        <f>IFERROR(__xludf.DUMMYFUNCTION("""COMPUTED_VALUE"""),45531.0)</f>
        <v>45531</v>
      </c>
      <c r="D2438" s="68">
        <f>IFERROR(__xludf.DUMMYFUNCTION("""COMPUTED_VALUE"""),45616.0)</f>
        <v>45616</v>
      </c>
      <c r="E2438" s="100">
        <f>IFERROR(__xludf.DUMMYFUNCTION("""COMPUTED_VALUE"""),310009.0)</f>
        <v>310009</v>
      </c>
      <c r="F2438" s="146" t="str">
        <f>IFERROR(__xludf.DUMMYFUNCTION("""COMPUTED_VALUE"""),"寝ている間に溺愛彼氏が愛撫してきます【分冊版】")</f>
        <v>寝ている間に溺愛彼氏が愛撫してきます【分冊版】</v>
      </c>
      <c r="G2438" s="75" t="str">
        <f>IFERROR(__xludf.DUMMYFUNCTION("""COMPUTED_VALUE"""),"1～2")</f>
        <v>1～2</v>
      </c>
      <c r="H2438" s="147" t="str">
        <f>IFERROR(__xludf.DUMMYFUNCTION("""COMPUTED_VALUE"""),"藍田まろやか")</f>
        <v>藍田まろやか</v>
      </c>
      <c r="I2438" s="147" t="str">
        <f>IFERROR(__xludf.DUMMYFUNCTION("""COMPUTED_VALUE"""),"TL")</f>
        <v>TL</v>
      </c>
      <c r="J2438" s="87"/>
      <c r="K2438" s="87"/>
      <c r="L2438" s="75" t="str">
        <f>IFERROR(__xludf.DUMMYFUNCTION("""COMPUTED_VALUE"""),"ナンバーナイン")</f>
        <v>ナンバーナイン</v>
      </c>
      <c r="M2438" s="23">
        <f>IFERROR(__xludf.DUMMYFUNCTION("""COMPUTED_VALUE"""),45632.0)</f>
        <v>45632</v>
      </c>
      <c r="N2438" s="23">
        <f>IFERROR(__xludf.DUMMYFUNCTION("""COMPUTED_VALUE"""),45693.0)</f>
        <v>45693</v>
      </c>
      <c r="O2438" s="75"/>
      <c r="P2438" s="71" t="str">
        <f>IFERROR(__xludf.DUMMYFUNCTION("""COMPUTED_VALUE"""),"可")</f>
        <v>可</v>
      </c>
      <c r="Q2438" s="75"/>
      <c r="R2438" s="75" t="str">
        <f>IFERROR(__xludf.DUMMYFUNCTION("""COMPUTED_VALUE"""),"コミットOK")</f>
        <v>コミットOK</v>
      </c>
      <c r="S2438" s="75" t="str">
        <f>IFERROR(__xludf.DUMMYFUNCTION("""COMPUTED_VALUE"""),"20241118_ナンバーナイン_寝ている間に溺愛彼氏が愛撫してきます【分冊版】")</f>
        <v>20241118_ナンバーナイン_寝ている間に溺愛彼氏が愛撫してきます【分冊版】</v>
      </c>
      <c r="T2438" s="75" t="str">
        <f>IFERROR(__xludf.DUMMYFUNCTION("""COMPUTED_VALUE"""),"格納済み")</f>
        <v>格納済み</v>
      </c>
      <c r="U2438" s="15" t="str">
        <f>IFERROR(__xludf.DUMMYFUNCTION("""COMPUTED_VALUE"""),"(C)藍田まろやか/ナンバーナイン")</f>
        <v>(C)藍田まろやか/ナンバーナイン</v>
      </c>
      <c r="V2438" s="8" t="str">
        <f>IFERROR(__xludf.DUMMYFUNCTION("""COMPUTED_VALUE"""),"※本作は同人誌です
【あらすじ】
元カレに身体だけを都合よく求められたことが
心の傷になっている皆瀬愛架(みなせ あいか)。
幼馴染で今は恋人の都築類(つづき るい)は
そんな愛架の心の傷に触れないように
付き合ってから半年間、一切手を出さずにいた。
でも類は実は彼女が眠った後に――――
「好きだよ、愛架…
　舌柔らかい…はやくチューしたかった…」
「今日もぐっすり寝てて… かわいいよ」
―――そう、
類は寝ている愛架を毎晩、密かに愛撫しているのだった。
"&amp;"
――――――――――――――――――――――――――
【含まれる要素】
睡眠○ / キス / 溺愛 / 手マン / クンニ / 中出し / 断面図 etc...")</f>
        <v>※本作は同人誌です
【あらすじ】
元カレに身体だけを都合よく求められたことが
心の傷になっている皆瀬愛架(みなせ あいか)。
幼馴染で今は恋人の都築類(つづき るい)は
そんな愛架の心の傷に触れないように
付き合ってから半年間、一切手を出さずにいた。
でも類は実は彼女が眠った後に――――
「好きだよ、愛架…
　舌柔らかい…はやくチューしたかった…」
「今日もぐっすり寝てて… かわいいよ」
―――そう、
類は寝ている愛架を毎晩、密かに愛撫しているのだった。
――――――――――――――――――――――――――
【含まれる要素】
睡眠○ / キス / 溺愛 / 手マン / クンニ / 中出し / 断面図 etc...</v>
      </c>
      <c r="W2438" s="14"/>
      <c r="X2438" s="14" t="str">
        <f>IFERROR(__xludf.DUMMYFUNCTION("""COMPUTED_VALUE"""),"有")</f>
        <v>有</v>
      </c>
      <c r="Y2438" s="8" t="str">
        <f>IFERROR(__xludf.DUMMYFUNCTION("""COMPUTED_VALUE"""),"1巻無料")</f>
        <v>1巻無料</v>
      </c>
      <c r="Z2438" s="7"/>
      <c r="AA2438" s="7"/>
      <c r="AB2438" s="7"/>
    </row>
    <row r="2439" ht="15.75" customHeight="1">
      <c r="A2439" s="66">
        <f>IFERROR(__xludf.DUMMYFUNCTION("""COMPUTED_VALUE"""),4054.0)</f>
        <v>4054</v>
      </c>
      <c r="B2439" s="75" t="str">
        <f>IFERROR(__xludf.DUMMYFUNCTION("""COMPUTED_VALUE"""),"確定")</f>
        <v>確定</v>
      </c>
      <c r="C2439" s="68">
        <f>IFERROR(__xludf.DUMMYFUNCTION("""COMPUTED_VALUE"""),45531.0)</f>
        <v>45531</v>
      </c>
      <c r="D2439" s="68">
        <f>IFERROR(__xludf.DUMMYFUNCTION("""COMPUTED_VALUE"""),45616.0)</f>
        <v>45616</v>
      </c>
      <c r="E2439" s="100">
        <f>IFERROR(__xludf.DUMMYFUNCTION("""COMPUTED_VALUE"""),310673.0)</f>
        <v>310673</v>
      </c>
      <c r="F2439" s="146" t="str">
        <f>IFERROR(__xludf.DUMMYFUNCTION("""COMPUTED_VALUE"""),"忠犬執事に教わるオナニー講座〜令嬢はクソ真面目な執事に獣交尾で堕とされたい〜 【分冊版】")</f>
        <v>忠犬執事に教わるオナニー講座〜令嬢はクソ真面目な執事に獣交尾で堕とされたい〜 【分冊版】</v>
      </c>
      <c r="G2439" s="75" t="str">
        <f>IFERROR(__xludf.DUMMYFUNCTION("""COMPUTED_VALUE"""),"1～4")</f>
        <v>1～4</v>
      </c>
      <c r="H2439" s="147" t="str">
        <f>IFERROR(__xludf.DUMMYFUNCTION("""COMPUTED_VALUE"""),"藍田まろやか")</f>
        <v>藍田まろやか</v>
      </c>
      <c r="I2439" s="147" t="str">
        <f>IFERROR(__xludf.DUMMYFUNCTION("""COMPUTED_VALUE"""),"TL")</f>
        <v>TL</v>
      </c>
      <c r="J2439" s="87"/>
      <c r="K2439" s="87"/>
      <c r="L2439" s="75" t="str">
        <f>IFERROR(__xludf.DUMMYFUNCTION("""COMPUTED_VALUE"""),"ナンバーナイン")</f>
        <v>ナンバーナイン</v>
      </c>
      <c r="M2439" s="85">
        <f>IFERROR(__xludf.DUMMYFUNCTION("""COMPUTED_VALUE"""),45639.0)</f>
        <v>45639</v>
      </c>
      <c r="N2439" s="23">
        <f>IFERROR(__xludf.DUMMYFUNCTION("""COMPUTED_VALUE"""),45700.0)</f>
        <v>45700</v>
      </c>
      <c r="O2439" s="75"/>
      <c r="P2439" s="71" t="str">
        <f>IFERROR(__xludf.DUMMYFUNCTION("""COMPUTED_VALUE"""),"可")</f>
        <v>可</v>
      </c>
      <c r="Q2439" s="75"/>
      <c r="R2439" s="75" t="str">
        <f>IFERROR(__xludf.DUMMYFUNCTION("""COMPUTED_VALUE"""),"コミットOK")</f>
        <v>コミットOK</v>
      </c>
      <c r="S2439" s="75" t="str">
        <f>IFERROR(__xludf.DUMMYFUNCTION("""COMPUTED_VALUE"""),"20241118_ナンバーナイン_忠犬執事に教わるオナニー講座〜令嬢はクソ真面目な執事に獣交尾で堕とされたい〜 【分冊版】")</f>
        <v>20241118_ナンバーナイン_忠犬執事に教わるオナニー講座〜令嬢はクソ真面目な執事に獣交尾で堕とされたい〜 【分冊版】</v>
      </c>
      <c r="T2439" s="75" t="str">
        <f>IFERROR(__xludf.DUMMYFUNCTION("""COMPUTED_VALUE"""),"格納済み")</f>
        <v>格納済み</v>
      </c>
      <c r="U2439" s="15" t="str">
        <f>IFERROR(__xludf.DUMMYFUNCTION("""COMPUTED_VALUE"""),"(C)藍田まろやか/ナンバーナイン")</f>
        <v>(C)藍田まろやか/ナンバーナイン</v>
      </c>
      <c r="V2439" s="8" t="str">
        <f>IFERROR(__xludf.DUMMYFUNCTION("""COMPUTED_VALUE"""),"※本作は同人誌です
【あらすじ】
伯爵家令嬢のアリカ・ヴァートルは
獣人の執事であるジルに密かに好意を寄せている。
そんなアリカが趣味の恋愛小説を読んでいると、
そこに書いてあったのは——————…
“理性を失った彼は怒張した肉棒を濡れた秘部に押し当てる。”
“獣人のセックスは人間のソレとは違う。
　暴力的で、野性的で、本能的。まるで動物の交尾だ。”
実はその小説は獣人×人間の官能小説で——————?
それからジルとのえっちな妄想が頭から離れなくなり
なに"&amp;"も手につかなくなったアリカ。
執事ジルに不調を問い詰められ、
観念して理由を話すと…
「………失礼いたしました。
　お嬢様のお悩みにも気がつけずなんたる不覚」
「お嬢様のその状態は生理現象として恥ずかしいことではありません。
　私にお任せください。オナニーを覚えましょう」
大好きな真面目執事に指示を受け、
アリカは初めて膣の刺激を体験することになるのだった———…
――――――――――――――――――――――――――
【含まれる要素】
オナニーレクチャ"&amp;"ー / 手マン / クリ責め / 潮吹き / 中出し / 断面図 / 処女喪失 / 交尾
【仕様】
本文21P")</f>
        <v>※本作は同人誌です
【あらすじ】
伯爵家令嬢のアリカ・ヴァートルは
獣人の執事であるジルに密かに好意を寄せている。
そんなアリカが趣味の恋愛小説を読んでいると、
そこに書いてあったのは——————…
“理性を失った彼は怒張した肉棒を濡れた秘部に押し当てる。”
“獣人のセックスは人間のソレとは違う。
　暴力的で、野性的で、本能的。まるで動物の交尾だ。”
実はその小説は獣人×人間の官能小説で——————?
それからジルとのえっちな妄想が頭から離れなくなり
なにも手につかなくなったアリカ。
執事ジルに不調を問い詰められ、
観念して理由を話すと…
「………失礼いたしました。
　お嬢様のお悩みにも気がつけずなんたる不覚」
「お嬢様のその状態は生理現象として恥ずかしいことではありません。
　私にお任せください。オナニーを覚えましょう」
大好きな真面目執事に指示を受け、
アリカは初めて膣の刺激を体験することになるのだった———…
――――――――――――――――――――――――――
【含まれる要素】
オナニーレクチャー / 手マン / クリ責め / 潮吹き / 中出し / 断面図 / 処女喪失 / 交尾
【仕様】
本文21P</v>
      </c>
      <c r="W2439" s="14"/>
      <c r="X2439" s="14" t="str">
        <f>IFERROR(__xludf.DUMMYFUNCTION("""COMPUTED_VALUE"""),"有")</f>
        <v>有</v>
      </c>
      <c r="Y2439" s="8" t="str">
        <f>IFERROR(__xludf.DUMMYFUNCTION("""COMPUTED_VALUE"""),"1巻無料")</f>
        <v>1巻無料</v>
      </c>
      <c r="Z2439" s="7"/>
      <c r="AA2439" s="7"/>
      <c r="AB2439" s="7"/>
    </row>
    <row r="2440" ht="15.75" customHeight="1">
      <c r="A2440" s="66">
        <f>IFERROR(__xludf.DUMMYFUNCTION("""COMPUTED_VALUE"""),4068.0)</f>
        <v>4068</v>
      </c>
      <c r="B2440" s="75" t="str">
        <f>IFERROR(__xludf.DUMMYFUNCTION("""COMPUTED_VALUE"""),"確定")</f>
        <v>確定</v>
      </c>
      <c r="C2440" s="68">
        <f>IFERROR(__xludf.DUMMYFUNCTION("""COMPUTED_VALUE"""),45537.0)</f>
        <v>45537</v>
      </c>
      <c r="D2440" s="68">
        <f>IFERROR(__xludf.DUMMYFUNCTION("""COMPUTED_VALUE"""),45616.0)</f>
        <v>45616</v>
      </c>
      <c r="E2440" s="100">
        <f>IFERROR(__xludf.DUMMYFUNCTION("""COMPUTED_VALUE"""),305386.0)</f>
        <v>305386</v>
      </c>
      <c r="F2440" s="146" t="str">
        <f>IFERROR(__xludf.DUMMYFUNCTION("""COMPUTED_VALUE"""),"裏垢女子、撮ってみた 【分冊版】")</f>
        <v>裏垢女子、撮ってみた 【分冊版】</v>
      </c>
      <c r="G2440" s="75" t="str">
        <f>IFERROR(__xludf.DUMMYFUNCTION("""COMPUTED_VALUE"""),"1～2")</f>
        <v>1～2</v>
      </c>
      <c r="H2440" s="147" t="str">
        <f>IFERROR(__xludf.DUMMYFUNCTION("""COMPUTED_VALUE"""),"でぃけぇ＆とうかりり")</f>
        <v>でぃけぇ＆とうかりり</v>
      </c>
      <c r="I2440" s="147" t="str">
        <f>IFERROR(__xludf.DUMMYFUNCTION("""COMPUTED_VALUE"""),"青年")</f>
        <v>青年</v>
      </c>
      <c r="J2440" s="87"/>
      <c r="K2440" s="87"/>
      <c r="L2440" s="75" t="str">
        <f>IFERROR(__xludf.DUMMYFUNCTION("""COMPUTED_VALUE"""),"一迅社")</f>
        <v>一迅社</v>
      </c>
      <c r="M2440" s="85">
        <f>IFERROR(__xludf.DUMMYFUNCTION("""COMPUTED_VALUE"""),45651.0)</f>
        <v>45651</v>
      </c>
      <c r="N2440" s="47">
        <f>IFERROR(__xludf.DUMMYFUNCTION("""COMPUTED_VALUE"""),45681.0)</f>
        <v>45681</v>
      </c>
      <c r="O2440" s="75"/>
      <c r="P2440" s="80" t="str">
        <f>IFERROR(__xludf.DUMMYFUNCTION("""COMPUTED_VALUE"""),"可")</f>
        <v>可</v>
      </c>
      <c r="Q2440" s="75" t="str">
        <f>IFERROR(__xludf.DUMMYFUNCTION("""COMPUTED_VALUE"""),"・アンソロジー掲載作品です。（1～3話それぞれがアンソロジーに掲載されます。）&lt;BR&gt;・2～3月頃に3話出る可能性あり")</f>
        <v>・アンソロジー掲載作品です。（1～3話それぞれがアンソロジーに掲載されます。）&lt;BR&gt;・2～3月頃に3話出る可能性あり</v>
      </c>
      <c r="R2440" s="75" t="str">
        <f>IFERROR(__xludf.DUMMYFUNCTION("""COMPUTED_VALUE"""),"コミットOK")</f>
        <v>コミットOK</v>
      </c>
      <c r="S2440" s="75" t="str">
        <f>IFERROR(__xludf.DUMMYFUNCTION("""COMPUTED_VALUE"""),"20231119_一迅社_裏垢女子、撮ってみた")</f>
        <v>20231119_一迅社_裏垢女子、撮ってみた</v>
      </c>
      <c r="T2440" s="75" t="str">
        <f>IFERROR(__xludf.DUMMYFUNCTION("""COMPUTED_VALUE"""),"格納済み")</f>
        <v>格納済み</v>
      </c>
      <c r="U2440" s="15" t="str">
        <f>IFERROR(__xludf.DUMMYFUNCTION("""COMPUTED_VALUE"""),"(C)でぃけぇ・とうかりり／一迅社")</f>
        <v>(C)でぃけぇ・とうかりり／一迅社</v>
      </c>
      <c r="V2440" s="8" t="str">
        <f>IFERROR(__xludf.DUMMYFUNCTION("""COMPUTED_VALUE"""),"カメラ好きで地味な僕が、密かに憧れているのはクラスカースト上位のギャル・一ノ瀬さん。モデルみたいに綺麗で頭も良くて、友達もたくさん……。そんな彼女から「裏垢用の写真を撮って」と頼まれ、まさかの家入り浸り生活がスタート!? どんどん過激になっていく撮影内容……これ本当に大丈夫!? （※この作品は『ギャルがオタクの家に入り浸ってエッチに沼るアンソロジーコミック』に収録された内容と同じものです。重複購入にご注意ください。）")</f>
        <v>カメラ好きで地味な僕が、密かに憧れているのはクラスカースト上位のギャル・一ノ瀬さん。モデルみたいに綺麗で頭も良くて、友達もたくさん……。そんな彼女から「裏垢用の写真を撮って」と頼まれ、まさかの家入り浸り生活がスタート!? どんどん過激になっていく撮影内容……これ本当に大丈夫!? （※この作品は『ギャルがオタクの家に入り浸ってエッチに沼るアンソロジーコミック』に収録された内容と同じものです。重複購入にご注意ください。）</v>
      </c>
      <c r="W2440" s="14"/>
      <c r="X2440" s="14" t="str">
        <f>IFERROR(__xludf.DUMMYFUNCTION("""COMPUTED_VALUE"""),"有")</f>
        <v>有</v>
      </c>
      <c r="Y2440" s="8" t="str">
        <f>IFERROR(__xludf.DUMMYFUNCTION("""COMPUTED_VALUE"""),"2025/1/24まで立ち読み増量P13まで")</f>
        <v>2025/1/24まで立ち読み増量P13まで</v>
      </c>
      <c r="Z2440" s="7"/>
      <c r="AA2440" s="7"/>
      <c r="AB2440" s="7"/>
    </row>
    <row r="2441" ht="15.75" customHeight="1">
      <c r="A2441" s="66">
        <f>IFERROR(__xludf.DUMMYFUNCTION("""COMPUTED_VALUE"""),4135.0)</f>
        <v>4135</v>
      </c>
      <c r="B2441" s="75" t="str">
        <f>IFERROR(__xludf.DUMMYFUNCTION("""COMPUTED_VALUE"""),"確定")</f>
        <v>確定</v>
      </c>
      <c r="C2441" s="68">
        <f>IFERROR(__xludf.DUMMYFUNCTION("""COMPUTED_VALUE"""),45548.0)</f>
        <v>45548</v>
      </c>
      <c r="D2441" s="68">
        <f>IFERROR(__xludf.DUMMYFUNCTION("""COMPUTED_VALUE"""),45615.0)</f>
        <v>45615</v>
      </c>
      <c r="E2441" s="100">
        <f>IFERROR(__xludf.DUMMYFUNCTION("""COMPUTED_VALUE"""),310801.0)</f>
        <v>310801</v>
      </c>
      <c r="F2441" s="146" t="str">
        <f>IFERROR(__xludf.DUMMYFUNCTION("""COMPUTED_VALUE"""),"今から、親友やめようか。～腐れ縁同僚は甘い快楽で私を壊す～")</f>
        <v>今から、親友やめようか。～腐れ縁同僚は甘い快楽で私を壊す～</v>
      </c>
      <c r="G2441" s="75" t="str">
        <f>IFERROR(__xludf.DUMMYFUNCTION("""COMPUTED_VALUE"""),"1～2")</f>
        <v>1～2</v>
      </c>
      <c r="H2441" s="147" t="str">
        <f>IFERROR(__xludf.DUMMYFUNCTION("""COMPUTED_VALUE"""),"につやまにつこ")</f>
        <v>につやまにつこ</v>
      </c>
      <c r="I2441" s="147" t="str">
        <f>IFERROR(__xludf.DUMMYFUNCTION("""COMPUTED_VALUE"""),"TL")</f>
        <v>TL</v>
      </c>
      <c r="J2441" s="75"/>
      <c r="K2441" s="75" t="str">
        <f>IFERROR(__xludf.DUMMYFUNCTION("""COMPUTED_VALUE"""),"乙女チック")</f>
        <v>乙女チック</v>
      </c>
      <c r="L2441" s="75" t="str">
        <f>IFERROR(__xludf.DUMMYFUNCTION("""COMPUTED_VALUE"""),"CLLENN")</f>
        <v>CLLENN</v>
      </c>
      <c r="M2441" s="23">
        <f>IFERROR(__xludf.DUMMYFUNCTION("""COMPUTED_VALUE"""),45661.0)</f>
        <v>45661</v>
      </c>
      <c r="N2441" s="23">
        <f>IFERROR(__xludf.DUMMYFUNCTION("""COMPUTED_VALUE"""),45716.0)</f>
        <v>45716</v>
      </c>
      <c r="O2441" s="75"/>
      <c r="P2441" s="71" t="str">
        <f>IFERROR(__xludf.DUMMYFUNCTION("""COMPUTED_VALUE"""),"可")</f>
        <v>可</v>
      </c>
      <c r="Q2441" s="75"/>
      <c r="R2441" s="75" t="str">
        <f>IFERROR(__xludf.DUMMYFUNCTION("""COMPUTED_VALUE"""),"コミットOK")</f>
        <v>コミットOK</v>
      </c>
      <c r="S2441" s="75" t="str">
        <f>IFERROR(__xludf.DUMMYFUNCTION("""COMPUTED_VALUE"""),"20241211_CLLENN_今から、親友やめようか。～腐れ縁同僚は甘い快楽で私を壊す～	")</f>
        <v>20241211_CLLENN_今から、親友やめようか。～腐れ縁同僚は甘い快楽で私を壊す～	</v>
      </c>
      <c r="T2441" s="75" t="str">
        <f>IFERROR(__xludf.DUMMYFUNCTION("""COMPUTED_VALUE"""),"格納済み")</f>
        <v>格納済み</v>
      </c>
      <c r="U2441" s="15" t="str">
        <f>IFERROR(__xludf.DUMMYFUNCTION("""COMPUTED_VALUE"""),"(C)につやまにつこ/CLLENN")</f>
        <v>(C)につやまにつこ/CLLENN</v>
      </c>
      <c r="V2441" s="8" t="str">
        <f>IFERROR(__xludf.DUMMYFUNCTION("""COMPUTED_VALUE"""),"「今から、友だちやめようか」相手は親友なのに、身体の火照りが止まらない――OL・ひまりは性欲が強いのが悩み。そのせいで歴代彼氏とも破局し続け、すっかりトラウマ＆欲求不満に。大学時代からの友人兼会社の同僚・和巳に愚痴っているうち、酔った勢いで“満足するまで抱かれてみたい”と暴露しちゃって…!?「じゃあ…俺で試してみる？」初めて見るオトコの顔に胸が高鳴る。キスも肌に触れる手つきも優しくて、期待して疼くアソコを舐められたら、声が我慢できない…っ。快感責めでイかされまくって、キモチイイことしか考えられなくて、和巳"&amp;"の大きいのでナカを満たされたら――もう、親友じゃいられない…！")</f>
        <v>「今から、友だちやめようか」相手は親友なのに、身体の火照りが止まらない――OL・ひまりは性欲が強いのが悩み。そのせいで歴代彼氏とも破局し続け、すっかりトラウマ＆欲求不満に。大学時代からの友人兼会社の同僚・和巳に愚痴っているうち、酔った勢いで“満足するまで抱かれてみたい”と暴露しちゃって…!?「じゃあ…俺で試してみる？」初めて見るオトコの顔に胸が高鳴る。キスも肌に触れる手つきも優しくて、期待して疼くアソコを舐められたら、声が我慢できない…っ。快感責めでイかされまくって、キモチイイことしか考えられなくて、和巳の大きいのでナカを満たされたら――もう、親友じゃいられない…！</v>
      </c>
      <c r="W2441" s="14"/>
      <c r="X2441" s="14" t="str">
        <f>IFERROR(__xludf.DUMMYFUNCTION("""COMPUTED_VALUE"""),"有")</f>
        <v>有</v>
      </c>
      <c r="Y2441" s="8" t="str">
        <f>IFERROR(__xludf.DUMMYFUNCTION("""COMPUTED_VALUE"""),"2025/2/4まで立ち読み増量P21まで")</f>
        <v>2025/2/4まで立ち読み増量P21まで</v>
      </c>
      <c r="Z2441" s="7"/>
      <c r="AA2441" s="7"/>
      <c r="AB2441" s="7"/>
    </row>
    <row r="2442" ht="15.75" customHeight="1">
      <c r="A2442" s="66">
        <f>IFERROR(__xludf.DUMMYFUNCTION("""COMPUTED_VALUE"""),4136.0)</f>
        <v>4136</v>
      </c>
      <c r="B2442" s="75" t="str">
        <f>IFERROR(__xludf.DUMMYFUNCTION("""COMPUTED_VALUE"""),"確定")</f>
        <v>確定</v>
      </c>
      <c r="C2442" s="68">
        <f>IFERROR(__xludf.DUMMYFUNCTION("""COMPUTED_VALUE"""),45548.0)</f>
        <v>45548</v>
      </c>
      <c r="D2442" s="68">
        <f>IFERROR(__xludf.DUMMYFUNCTION("""COMPUTED_VALUE"""),45616.0)</f>
        <v>45616</v>
      </c>
      <c r="E2442" s="100">
        <f>IFERROR(__xludf.DUMMYFUNCTION("""COMPUTED_VALUE"""),309943.0)</f>
        <v>309943</v>
      </c>
      <c r="F2442" s="146" t="str">
        <f>IFERROR(__xludf.DUMMYFUNCTION("""COMPUTED_VALUE"""),"花に劣情 ～後宮妃候補は護衛の深い愛に沈む～")</f>
        <v>花に劣情 ～後宮妃候補は護衛の深い愛に沈む～</v>
      </c>
      <c r="G2442" s="75" t="str">
        <f>IFERROR(__xludf.DUMMYFUNCTION("""COMPUTED_VALUE"""),"1～2")</f>
        <v>1～2</v>
      </c>
      <c r="H2442" s="147" t="str">
        <f>IFERROR(__xludf.DUMMYFUNCTION("""COMPUTED_VALUE"""),"楚かにこ／青井千寿")</f>
        <v>楚かにこ／青井千寿</v>
      </c>
      <c r="I2442" s="147" t="str">
        <f>IFERROR(__xludf.DUMMYFUNCTION("""COMPUTED_VALUE"""),"TL")</f>
        <v>TL</v>
      </c>
      <c r="J2442" s="75"/>
      <c r="K2442" s="75" t="str">
        <f>IFERROR(__xludf.DUMMYFUNCTION("""COMPUTED_VALUE"""),"乙女チック")</f>
        <v>乙女チック</v>
      </c>
      <c r="L2442" s="75" t="str">
        <f>IFERROR(__xludf.DUMMYFUNCTION("""COMPUTED_VALUE"""),"CLLENN")</f>
        <v>CLLENN</v>
      </c>
      <c r="M2442" s="85">
        <f>IFERROR(__xludf.DUMMYFUNCTION("""COMPUTED_VALUE"""),45654.0)</f>
        <v>45654</v>
      </c>
      <c r="N2442" s="23">
        <f>IFERROR(__xludf.DUMMYFUNCTION("""COMPUTED_VALUE"""),45709.0)</f>
        <v>45709</v>
      </c>
      <c r="O2442" s="75"/>
      <c r="P2442" s="71" t="str">
        <f>IFERROR(__xludf.DUMMYFUNCTION("""COMPUTED_VALUE"""),"可")</f>
        <v>可</v>
      </c>
      <c r="Q2442" s="75"/>
      <c r="R2442" s="75" t="str">
        <f>IFERROR(__xludf.DUMMYFUNCTION("""COMPUTED_VALUE"""),"コミットOK")</f>
        <v>コミットOK</v>
      </c>
      <c r="S2442" s="75" t="str">
        <f>IFERROR(__xludf.DUMMYFUNCTION("""COMPUTED_VALUE"""),"20241118_CLLENN_花に劣情 ～後宮妃候補は護衛の深い愛に沈む～")</f>
        <v>20241118_CLLENN_花に劣情 ～後宮妃候補は護衛の深い愛に沈む～</v>
      </c>
      <c r="T2442" s="75" t="str">
        <f>IFERROR(__xludf.DUMMYFUNCTION("""COMPUTED_VALUE"""),"格納済み")</f>
        <v>格納済み</v>
      </c>
      <c r="U2442" s="15" t="str">
        <f>IFERROR(__xludf.DUMMYFUNCTION("""COMPUTED_VALUE"""),"(C)楚かにこ・青井千寿/CLLENN")</f>
        <v>(C)楚かにこ・青井千寿/CLLENN</v>
      </c>
      <c r="V2442" s="8" t="str">
        <f>IFERROR(__xludf.DUMMYFUNCTION("""COMPUTED_VALUE"""),"「私はあなたを離しはしない」長く骨ばった指がやわい部分を刺激して、やらしい水音が響く。理不尽な目に遭っているのに、もっと、なんて…私どうしちゃったの!?――名家の娘である七里香は、型にはまらぬ天真爛漫なお嬢様。長年自分の護衛を務めてきた尖晶が結婚するという報に、彼の幸せを願って任を解くと申し出た。が、とたんに彼の様子が不穏になり…体を押さえ込まれて!? 「私を手放すと言うなら、その前に男がいかに危険か思い知ればいい」怒り含みの淫らな囁き。無遠慮に体をひらかれ、ナカを掻き撫でられて、快楽を教え込まれてゆく。"&amp;"――あなたを失うくらいなら我が命などいらぬのです。身分の差に翻弄される、背徳と重愛の中華ロマンス!!")</f>
        <v>「私はあなたを離しはしない」長く骨ばった指がやわい部分を刺激して、やらしい水音が響く。理不尽な目に遭っているのに、もっと、なんて…私どうしちゃったの!?――名家の娘である七里香は、型にはまらぬ天真爛漫なお嬢様。長年自分の護衛を務めてきた尖晶が結婚するという報に、彼の幸せを願って任を解くと申し出た。が、とたんに彼の様子が不穏になり…体を押さえ込まれて!? 「私を手放すと言うなら、その前に男がいかに危険か思い知ればいい」怒り含みの淫らな囁き。無遠慮に体をひらかれ、ナカを掻き撫でられて、快楽を教え込まれてゆく。――あなたを失うくらいなら我が命などいらぬのです。身分の差に翻弄される、背徳と重愛の中華ロマンス!!</v>
      </c>
      <c r="W2442" s="14"/>
      <c r="X2442" s="14" t="str">
        <f>IFERROR(__xludf.DUMMYFUNCTION("""COMPUTED_VALUE"""),"有")</f>
        <v>有</v>
      </c>
      <c r="Y2442" s="8" t="str">
        <f>IFERROR(__xludf.DUMMYFUNCTION("""COMPUTED_VALUE"""),"P10まで")</f>
        <v>P10まで</v>
      </c>
      <c r="Z2442" s="7"/>
      <c r="AA2442" s="7"/>
      <c r="AB2442" s="7"/>
    </row>
    <row r="2443" ht="15.75" customHeight="1">
      <c r="A2443" s="66">
        <f>IFERROR(__xludf.DUMMYFUNCTION("""COMPUTED_VALUE"""),4160.0)</f>
        <v>4160</v>
      </c>
      <c r="B2443" s="75" t="str">
        <f>IFERROR(__xludf.DUMMYFUNCTION("""COMPUTED_VALUE"""),"確定")</f>
        <v>確定</v>
      </c>
      <c r="C2443" s="68">
        <f>IFERROR(__xludf.DUMMYFUNCTION("""COMPUTED_VALUE"""),45554.0)</f>
        <v>45554</v>
      </c>
      <c r="D2443" s="68">
        <f>IFERROR(__xludf.DUMMYFUNCTION("""COMPUTED_VALUE"""),45611.0)</f>
        <v>45611</v>
      </c>
      <c r="E2443" s="100">
        <f>IFERROR(__xludf.DUMMYFUNCTION("""COMPUTED_VALUE"""),310899.0)</f>
        <v>310899</v>
      </c>
      <c r="F2443" s="146" t="str">
        <f>IFERROR(__xludf.DUMMYFUNCTION("""COMPUTED_VALUE"""),"あなたと私の、偽装婚約～幼馴染と契約したら溺愛ルートに入りました～【分冊版】")</f>
        <v>あなたと私の、偽装婚約～幼馴染と契約したら溺愛ルートに入りました～【分冊版】</v>
      </c>
      <c r="G2443" s="75" t="str">
        <f>IFERROR(__xludf.DUMMYFUNCTION("""COMPUTED_VALUE"""),"1～3")</f>
        <v>1～3</v>
      </c>
      <c r="H2443" s="147" t="str">
        <f>IFERROR(__xludf.DUMMYFUNCTION("""COMPUTED_VALUE"""),"扇レンナ 相良なほ")</f>
        <v>扇レンナ 相良なほ</v>
      </c>
      <c r="I2443" s="147" t="str">
        <f>IFERROR(__xludf.DUMMYFUNCTION("""COMPUTED_VALUE"""),"女性")</f>
        <v>女性</v>
      </c>
      <c r="J2443" s="87"/>
      <c r="K2443" s="87"/>
      <c r="L2443" s="75" t="str">
        <f>IFERROR(__xludf.DUMMYFUNCTION("""COMPUTED_VALUE"""),"Amazia")</f>
        <v>Amazia</v>
      </c>
      <c r="M2443" s="85">
        <f>IFERROR(__xludf.DUMMYFUNCTION("""COMPUTED_VALUE"""),45651.0)</f>
        <v>45651</v>
      </c>
      <c r="N2443" s="23">
        <f>IFERROR(__xludf.DUMMYFUNCTION("""COMPUTED_VALUE"""),45740.0)</f>
        <v>45740</v>
      </c>
      <c r="O2443" s="75"/>
      <c r="P2443" s="80" t="str">
        <f>IFERROR(__xludf.DUMMYFUNCTION("""COMPUTED_VALUE"""),"否")</f>
        <v>否</v>
      </c>
      <c r="Q2443" s="75" t="str">
        <f>IFERROR(__xludf.DUMMYFUNCTION("""COMPUTED_VALUE"""),"こちらAmaziaの自社サイトマンガBANG!との数社先行となります。")</f>
        <v>こちらAmaziaの自社サイトマンガBANG!との数社先行となります。</v>
      </c>
      <c r="R2443" s="75" t="str">
        <f>IFERROR(__xludf.DUMMYFUNCTION("""COMPUTED_VALUE"""),"コミットOK")</f>
        <v>コミットOK</v>
      </c>
      <c r="S2443" s="75" t="str">
        <f>IFERROR(__xludf.DUMMYFUNCTION("""COMPUTED_VALUE"""),"20241114_Amazia‗あなたと私の、偽装婚約～幼馴染と契約したら溺愛ルートに入りました～")</f>
        <v>20241114_Amazia‗あなたと私の、偽装婚約～幼馴染と契約したら溺愛ルートに入りました～</v>
      </c>
      <c r="T2443" s="75" t="str">
        <f>IFERROR(__xludf.DUMMYFUNCTION("""COMPUTED_VALUE"""),"格納済み")</f>
        <v>格納済み</v>
      </c>
      <c r="U2443" s="15" t="str">
        <f>IFERROR(__xludf.DUMMYFUNCTION("""COMPUTED_VALUE"""),"©扇レンナ/相良なほ/everystar/Amazia,inc")</f>
        <v>©扇レンナ/相良なほ/everystar/Amazia,inc</v>
      </c>
      <c r="V2443" s="8" t="str">
        <f>IFERROR(__xludf.DUMMYFUNCTION("""COMPUTED_VALUE"""),"貧乏な男爵家に生まれたフランチェスカは、家への援助を手に入れるために名門伯爵家の令息であるアルバーノと結婚した。 だが、アルバーノはフランチェスカの容姿にしか興味がなく人間性を無視した扱いをしてくる。 しかも、沢山の愛人を外に作り開き直る典型的なモラハラDV夫だった。
アルバーノから虐げられ人生を諦めかけていた時、 フランチェスカは馬車の事故で死亡する——。
しかし死んだはずのフランチェスカは、気が付いたら婚約する前に時間が戻っていた。 「もう二度と、あんな思いはしたくない！」 その一心で、フランチェ"&amp;"スカは仲違いをして疎遠になっていた幼馴染の騎士、ライモンドと偽装婚約をする。
1度目の人生では犬猿の仲だったのに、予想もしない溺愛ルートに突入して——！？
両片思いケンカップルのやり直しラブストーリー開幕！")</f>
        <v>貧乏な男爵家に生まれたフランチェスカは、家への援助を手に入れるために名門伯爵家の令息であるアルバーノと結婚した。 だが、アルバーノはフランチェスカの容姿にしか興味がなく人間性を無視した扱いをしてくる。 しかも、沢山の愛人を外に作り開き直る典型的なモラハラDV夫だった。
アルバーノから虐げられ人生を諦めかけていた時、 フランチェスカは馬車の事故で死亡する——。
しかし死んだはずのフランチェスカは、気が付いたら婚約する前に時間が戻っていた。 「もう二度と、あんな思いはしたくない！」 その一心で、フランチェスカは仲違いをして疎遠になっていた幼馴染の騎士、ライモンドと偽装婚約をする。
1度目の人生では犬猿の仲だったのに、予想もしない溺愛ルートに突入して——！？
両片思いケンカップルのやり直しラブストーリー開幕！</v>
      </c>
      <c r="W2443" s="14"/>
      <c r="X2443" s="14" t="str">
        <f>IFERROR(__xludf.DUMMYFUNCTION("""COMPUTED_VALUE"""),"有")</f>
        <v>有</v>
      </c>
      <c r="Y2443" s="8" t="str">
        <f>IFERROR(__xludf.DUMMYFUNCTION("""COMPUTED_VALUE"""),"P5まで")</f>
        <v>P5まで</v>
      </c>
      <c r="Z2443" s="7"/>
      <c r="AA2443" s="7"/>
      <c r="AB2443" s="7"/>
    </row>
    <row r="2444" ht="15.75" customHeight="1">
      <c r="A2444" s="66">
        <f>IFERROR(__xludf.DUMMYFUNCTION("""COMPUTED_VALUE"""),4186.0)</f>
        <v>4186</v>
      </c>
      <c r="B2444" s="75" t="str">
        <f>IFERROR(__xludf.DUMMYFUNCTION("""COMPUTED_VALUE"""),"確定")</f>
        <v>確定</v>
      </c>
      <c r="C2444" s="68">
        <f>IFERROR(__xludf.DUMMYFUNCTION("""COMPUTED_VALUE"""),45561.0)</f>
        <v>45561</v>
      </c>
      <c r="D2444" s="68">
        <f>IFERROR(__xludf.DUMMYFUNCTION("""COMPUTED_VALUE"""),45615.0)</f>
        <v>45615</v>
      </c>
      <c r="E2444" s="100">
        <f>IFERROR(__xludf.DUMMYFUNCTION("""COMPUTED_VALUE"""),312024.0)</f>
        <v>312024</v>
      </c>
      <c r="F2444" s="146" t="str">
        <f>IFERROR(__xludf.DUMMYFUNCTION("""COMPUTED_VALUE"""),"愛だけ知らない")</f>
        <v>愛だけ知らない</v>
      </c>
      <c r="G2444" s="75" t="str">
        <f>IFERROR(__xludf.DUMMYFUNCTION("""COMPUTED_VALUE"""),"1～4")</f>
        <v>1～4</v>
      </c>
      <c r="H2444" s="147" t="str">
        <f>IFERROR(__xludf.DUMMYFUNCTION("""COMPUTED_VALUE"""),"山本カエル")</f>
        <v>山本カエル</v>
      </c>
      <c r="I2444" s="147" t="str">
        <f>IFERROR(__xludf.DUMMYFUNCTION("""COMPUTED_VALUE"""),"女性")</f>
        <v>女性</v>
      </c>
      <c r="J2444" s="75"/>
      <c r="K2444" s="75" t="str">
        <f>IFERROR(__xludf.DUMMYFUNCTION("""COMPUTED_VALUE"""),"マーガレットコミックスDIGITAL")</f>
        <v>マーガレットコミックスDIGITAL</v>
      </c>
      <c r="L2444" s="75" t="str">
        <f>IFERROR(__xludf.DUMMYFUNCTION("""COMPUTED_VALUE"""),"集英社")</f>
        <v>集英社</v>
      </c>
      <c r="M2444" s="23">
        <f>IFERROR(__xludf.DUMMYFUNCTION("""COMPUTED_VALUE"""),45662.0)</f>
        <v>45662</v>
      </c>
      <c r="N2444" s="23">
        <f>IFERROR(__xludf.DUMMYFUNCTION("""COMPUTED_VALUE"""),45716.0)</f>
        <v>45716</v>
      </c>
      <c r="O2444" s="75"/>
      <c r="P2444" s="80" t="str">
        <f>IFERROR(__xludf.DUMMYFUNCTION("""COMPUTED_VALUE"""),"否")</f>
        <v>否</v>
      </c>
      <c r="Q2444" s="75" t="str">
        <f>IFERROR(__xludf.DUMMYFUNCTION("""COMPUTED_VALUE"""),"・集英社様の中でも「かなり面白いのでなんとか売りたい」と気合の入っている作品です。&lt;BR&gt;・すでに集英社様に先行の提案をしている書店があり、数社先行となります。")</f>
        <v>・集英社様の中でも「かなり面白いのでなんとか売りたい」と気合の入っている作品です。&lt;BR&gt;・すでに集英社様に先行の提案をしている書店があり、数社先行となります。</v>
      </c>
      <c r="R2444" s="75" t="str">
        <f>IFERROR(__xludf.DUMMYFUNCTION("""COMPUTED_VALUE"""),"コミットOK")</f>
        <v>コミットOK</v>
      </c>
      <c r="S2444" s="9" t="str">
        <f>IFERROR(__xludf.DUMMYFUNCTION("""COMPUTED_VALUE"""),"20241118_集英社_愛だけ知らない")</f>
        <v>20241118_集英社_愛だけ知らない</v>
      </c>
      <c r="T2444" s="75"/>
      <c r="U2444" s="107" t="str">
        <f>IFERROR(__xludf.DUMMYFUNCTION("""COMPUTED_VALUE"""),"(c)山本カエル／集英社")</f>
        <v>(c)山本カエル／集英社</v>
      </c>
      <c r="V2444" s="8" t="str">
        <f>IFERROR(__xludf.DUMMYFUNCTION("""COMPUTED_VALUE"""),"金が全てのキャバ嬢・深蒼は、クズと名乗る客の卓につく。クズはある理由で、深蒼の太客・福持の情報を得に来ていた。クズの意外な正体とは!?　愛を知らない男女の危険な物語、開幕！")</f>
        <v>金が全てのキャバ嬢・深蒼は、クズと名乗る客の卓につく。クズはある理由で、深蒼の太客・福持の情報を得に来ていた。クズの意外な正体とは!?　愛を知らない男女の危険な物語、開幕！</v>
      </c>
      <c r="W2444" s="14"/>
      <c r="X2444" s="14" t="str">
        <f>IFERROR(__xludf.DUMMYFUNCTION("""COMPUTED_VALUE"""),"有")</f>
        <v>有</v>
      </c>
      <c r="Y2444" s="8" t="str">
        <f>IFERROR(__xludf.DUMMYFUNCTION("""COMPUTED_VALUE"""),"2025/2/4まで1巻無料")</f>
        <v>2025/2/4まで1巻無料</v>
      </c>
      <c r="Z2444" s="7"/>
      <c r="AA2444" s="7"/>
      <c r="AB2444" s="7"/>
    </row>
    <row r="2445" ht="15.75" customHeight="1">
      <c r="A2445" s="66">
        <f>IFERROR(__xludf.DUMMYFUNCTION("""COMPUTED_VALUE"""),4213.0)</f>
        <v>4213</v>
      </c>
      <c r="B2445" s="75" t="str">
        <f>IFERROR(__xludf.DUMMYFUNCTION("""COMPUTED_VALUE"""),"確定")</f>
        <v>確定</v>
      </c>
      <c r="C2445" s="68">
        <f>IFERROR(__xludf.DUMMYFUNCTION("""COMPUTED_VALUE"""),45566.0)</f>
        <v>45566</v>
      </c>
      <c r="D2445" s="68">
        <f>IFERROR(__xludf.DUMMYFUNCTION("""COMPUTED_VALUE"""),45616.0)</f>
        <v>45616</v>
      </c>
      <c r="E2445" s="100">
        <f>IFERROR(__xludf.DUMMYFUNCTION("""COMPUTED_VALUE"""),307473.0)</f>
        <v>307473</v>
      </c>
      <c r="F2445" s="146" t="str">
        <f>IFERROR(__xludf.DUMMYFUNCTION("""COMPUTED_VALUE"""),"怖い女 ～好き、嫌い、許さない～ 分冊版")</f>
        <v>怖い女 ～好き、嫌い、許さない～ 分冊版</v>
      </c>
      <c r="G2445" s="75" t="str">
        <f>IFERROR(__xludf.DUMMYFUNCTION("""COMPUTED_VALUE"""),"1～4")</f>
        <v>1～4</v>
      </c>
      <c r="H2445" s="147" t="str">
        <f>IFERROR(__xludf.DUMMYFUNCTION("""COMPUTED_VALUE"""),"作画：岡峯 有衣子 原作：成瀬 ちはや")</f>
        <v>作画：岡峯 有衣子 原作：成瀬 ちはや</v>
      </c>
      <c r="I2445" s="147" t="str">
        <f>IFERROR(__xludf.DUMMYFUNCTION("""COMPUTED_VALUE"""),"女性")</f>
        <v>女性</v>
      </c>
      <c r="J2445" s="87"/>
      <c r="K2445" s="87"/>
      <c r="L2445" s="75" t="str">
        <f>IFERROR(__xludf.DUMMYFUNCTION("""COMPUTED_VALUE"""),"講談社")</f>
        <v>講談社</v>
      </c>
      <c r="M2445" s="85">
        <f>IFERROR(__xludf.DUMMYFUNCTION("""COMPUTED_VALUE"""),45651.0)</f>
        <v>45651</v>
      </c>
      <c r="N2445" s="23">
        <f>IFERROR(__xludf.DUMMYFUNCTION("""COMPUTED_VALUE"""),45740.0)</f>
        <v>45740</v>
      </c>
      <c r="O2445" s="75"/>
      <c r="P2445" s="80" t="str">
        <f>IFERROR(__xludf.DUMMYFUNCTION("""COMPUTED_VALUE"""),"可")</f>
        <v>可</v>
      </c>
      <c r="Q2445" s="75" t="str">
        <f>IFERROR(__xludf.DUMMYFUNCTION("""COMPUTED_VALUE"""),"※4話目が遅れているため1～3話で制作進めてください")</f>
        <v>※4話目が遅れているため1～3話で制作進めてください</v>
      </c>
      <c r="R2445" s="75" t="str">
        <f>IFERROR(__xludf.DUMMYFUNCTION("""COMPUTED_VALUE"""),"コミットOK")</f>
        <v>コミットOK</v>
      </c>
      <c r="S2445" s="75" t="str">
        <f>IFERROR(__xludf.DUMMYFUNCTION("""COMPUTED_VALUE"""),"20241119‗講談社‗怖い女")</f>
        <v>20241119‗講談社‗怖い女</v>
      </c>
      <c r="T2445" s="75" t="str">
        <f>IFERROR(__xludf.DUMMYFUNCTION("""COMPUTED_VALUE"""),"格納済み")</f>
        <v>格納済み</v>
      </c>
      <c r="U2445" s="15" t="str">
        <f>IFERROR(__xludf.DUMMYFUNCTION("""COMPUTED_VALUE"""),"©成瀬ちはや・岡峯有衣子／講談社")</f>
        <v>©成瀬ちはや・岡峯有衣子／講談社</v>
      </c>
      <c r="V2445" s="8" t="str">
        <f>IFERROR(__xludf.DUMMYFUNCTION("""COMPUTED_VALUE"""),"サラリーマンの康太は、妻の史恵との順風満帆の新婚生活で幸せいっぱいだった。ーー数年前に捨てた元カノ・桜子が、目の前に現れるまでは。
妻の兄の婚約者として家族に入り込んで、康太に近づいてくる桜子の目的とは…！？
クズ男たちに贈る、女たちのドロドロ仕返し復讐オムニバス・ストーリー！！
【第1話　桜子編　最悪の再会】")</f>
        <v>サラリーマンの康太は、妻の史恵との順風満帆の新婚生活で幸せいっぱいだった。ーー数年前に捨てた元カノ・桜子が、目の前に現れるまでは。
妻の兄の婚約者として家族に入り込んで、康太に近づいてくる桜子の目的とは…！？
クズ男たちに贈る、女たちのドロドロ仕返し復讐オムニバス・ストーリー！！
【第1話　桜子編　最悪の再会】</v>
      </c>
      <c r="W2445" s="14"/>
      <c r="X2445" s="14" t="str">
        <f>IFERROR(__xludf.DUMMYFUNCTION("""COMPUTED_VALUE"""),"有")</f>
        <v>有</v>
      </c>
      <c r="Y2445" s="8" t="str">
        <f>IFERROR(__xludf.DUMMYFUNCTION("""COMPUTED_VALUE"""),"2025/3/25まで1巻無料")</f>
        <v>2025/3/25まで1巻無料</v>
      </c>
      <c r="Z2445" s="7"/>
      <c r="AA2445" s="7"/>
      <c r="AB2445" s="7"/>
    </row>
    <row r="2446" ht="15.75" customHeight="1">
      <c r="A2446" s="66">
        <f>IFERROR(__xludf.DUMMYFUNCTION("""COMPUTED_VALUE"""),4250.0)</f>
        <v>4250</v>
      </c>
      <c r="B2446" s="75" t="str">
        <f>IFERROR(__xludf.DUMMYFUNCTION("""COMPUTED_VALUE"""),"確定")</f>
        <v>確定</v>
      </c>
      <c r="C2446" s="68">
        <f>IFERROR(__xludf.DUMMYFUNCTION("""COMPUTED_VALUE"""),45569.0)</f>
        <v>45569</v>
      </c>
      <c r="D2446" s="68">
        <f>IFERROR(__xludf.DUMMYFUNCTION("""COMPUTED_VALUE"""),45616.0)</f>
        <v>45616</v>
      </c>
      <c r="E2446" s="100">
        <f>IFERROR(__xludf.DUMMYFUNCTION("""COMPUTED_VALUE"""),310419.0)</f>
        <v>310419</v>
      </c>
      <c r="F2446" s="146" t="str">
        <f>IFERROR(__xludf.DUMMYFUNCTION("""COMPUTED_VALUE"""),"好きが溢れていいワケないだろ【タテヨミ】")</f>
        <v>好きが溢れていいワケないだろ【タテヨミ】</v>
      </c>
      <c r="G2446" s="75" t="str">
        <f>IFERROR(__xludf.DUMMYFUNCTION("""COMPUTED_VALUE"""),"1～10")</f>
        <v>1～10</v>
      </c>
      <c r="H2446" s="147" t="str">
        <f>IFERROR(__xludf.DUMMYFUNCTION("""COMPUTED_VALUE"""),"LOCKER ROOM・透巳ジロー・藻䖸もぎ・マチダモモカ・TKT・AZMAX ゆーり・たかぴ")</f>
        <v>LOCKER ROOM・透巳ジロー・藻䖸もぎ・マチダモモカ・TKT・AZMAX ゆーり・たかぴ</v>
      </c>
      <c r="I2446" s="147" t="str">
        <f>IFERROR(__xludf.DUMMYFUNCTION("""COMPUTED_VALUE"""),"BL")</f>
        <v>BL</v>
      </c>
      <c r="J2446" s="87"/>
      <c r="K2446" s="87"/>
      <c r="L2446" s="75" t="str">
        <f>IFERROR(__xludf.DUMMYFUNCTION("""COMPUTED_VALUE"""),"LOCKER ROOM")</f>
        <v>LOCKER ROOM</v>
      </c>
      <c r="M2446" s="85">
        <f>IFERROR(__xludf.DUMMYFUNCTION("""COMPUTED_VALUE"""),45643.0)</f>
        <v>45643</v>
      </c>
      <c r="N2446" s="23">
        <f>IFERROR(__xludf.DUMMYFUNCTION("""COMPUTED_VALUE"""),45755.0)</f>
        <v>45755</v>
      </c>
      <c r="O2446" s="75"/>
      <c r="P2446" s="71" t="str">
        <f>IFERROR(__xludf.DUMMYFUNCTION("""COMPUTED_VALUE"""),"可")</f>
        <v>可</v>
      </c>
      <c r="Q2446" s="75"/>
      <c r="R2446" s="75" t="str">
        <f>IFERROR(__xludf.DUMMYFUNCTION("""COMPUTED_VALUE"""),"コミットOK")</f>
        <v>コミットOK</v>
      </c>
      <c r="S2446" s="75" t="str">
        <f>IFERROR(__xludf.DUMMYFUNCTION("""COMPUTED_VALUE"""),"20241119_LOCKER ROOM_好きが溢れていいワケないだろ【タテヨミ】")</f>
        <v>20241119_LOCKER ROOM_好きが溢れていいワケないだろ【タテヨミ】</v>
      </c>
      <c r="T2446" s="75" t="str">
        <f>IFERROR(__xludf.DUMMYFUNCTION("""COMPUTED_VALUE"""),"格納済み")</f>
        <v>格納済み</v>
      </c>
      <c r="U2446" s="15" t="str">
        <f>IFERROR(__xludf.DUMMYFUNCTION("""COMPUTED_VALUE"""),"(c)Pikalo")</f>
        <v>(c)Pikalo</v>
      </c>
      <c r="V2446" s="8" t="str">
        <f>IFERROR(__xludf.DUMMYFUNCTION("""COMPUTED_VALUE"""),"学生生活の9割を部活動に注ぐことを国の取り組みとして承認された競争率5000倍のスーパーエリート高校「光星学園」。
学園は「運動部」を中心とするアスレチックコースと「文化部」を中心とするアカデミックコースの２つで構成されている。
玄河 璃紅と城崎 碧央はコースの歴代代表の中でも特に優秀で、良きライバルとして火花を散らしていたが、実はこの二人、お互い相手に好意を抱いていた。
しかし、この学園では３つの禁忌があり、違反したものは即日退学が言い渡される。「部活動の無所属」「喧嘩」そして───「恋愛」だ。
"&amp;"
果たしてこの恋はバレてしまうのか、それとも ────？")</f>
        <v>学生生活の9割を部活動に注ぐことを国の取り組みとして承認された競争率5000倍のスーパーエリート高校「光星学園」。
学園は「運動部」を中心とするアスレチックコースと「文化部」を中心とするアカデミックコースの２つで構成されている。
玄河 璃紅と城崎 碧央はコースの歴代代表の中でも特に優秀で、良きライバルとして火花を散らしていたが、実はこの二人、お互い相手に好意を抱いていた。
しかし、この学園では３つの禁忌があり、違反したものは即日退学が言い渡される。「部活動の無所属」「喧嘩」そして───「恋愛」だ。
果たしてこの恋はバレてしまうのか、それとも ────？</v>
      </c>
      <c r="W2446" s="14"/>
      <c r="X2446" s="14" t="str">
        <f>IFERROR(__xludf.DUMMYFUNCTION("""COMPUTED_VALUE"""),"有")</f>
        <v>有</v>
      </c>
      <c r="Y2446" s="8" t="str">
        <f>IFERROR(__xludf.DUMMYFUNCTION("""COMPUTED_VALUE"""),"1～3巻無料")</f>
        <v>1～3巻無料</v>
      </c>
      <c r="Z2446" s="7"/>
      <c r="AA2446" s="7"/>
      <c r="AB2446" s="7"/>
    </row>
    <row r="2447" ht="15.75" customHeight="1">
      <c r="A2447" s="66">
        <f>IFERROR(__xludf.DUMMYFUNCTION("""COMPUTED_VALUE"""),4294.0)</f>
        <v>4294</v>
      </c>
      <c r="B2447" s="75" t="str">
        <f>IFERROR(__xludf.DUMMYFUNCTION("""COMPUTED_VALUE"""),"確定")</f>
        <v>確定</v>
      </c>
      <c r="C2447" s="68">
        <f>IFERROR(__xludf.DUMMYFUNCTION("""COMPUTED_VALUE"""),45575.0)</f>
        <v>45575</v>
      </c>
      <c r="D2447" s="68">
        <f>IFERROR(__xludf.DUMMYFUNCTION("""COMPUTED_VALUE"""),45614.0)</f>
        <v>45614</v>
      </c>
      <c r="E2447" s="100">
        <f>IFERROR(__xludf.DUMMYFUNCTION("""COMPUTED_VALUE"""),311565.0)</f>
        <v>311565</v>
      </c>
      <c r="F2447" s="146" t="str">
        <f>IFERROR(__xludf.DUMMYFUNCTION("""COMPUTED_VALUE"""),"異世界ハーレムループ～繰り返される1日から脱出する為に抱きまくります～")</f>
        <v>異世界ハーレムループ～繰り返される1日から脱出する為に抱きまくります～</v>
      </c>
      <c r="G2447" s="75" t="str">
        <f>IFERROR(__xludf.DUMMYFUNCTION("""COMPUTED_VALUE"""),"1～3")</f>
        <v>1～3</v>
      </c>
      <c r="H2447" s="147" t="str">
        <f>IFERROR(__xludf.DUMMYFUNCTION("""COMPUTED_VALUE"""),"原作：マサイ 作画：卯雑ムゾウ")</f>
        <v>原作：マサイ 作画：卯雑ムゾウ</v>
      </c>
      <c r="I2447" s="147" t="str">
        <f>IFERROR(__xludf.DUMMYFUNCTION("""COMPUTED_VALUE"""),"青年")</f>
        <v>青年</v>
      </c>
      <c r="J2447" s="87"/>
      <c r="K2447" s="87"/>
      <c r="L2447" s="75" t="str">
        <f>IFERROR(__xludf.DUMMYFUNCTION("""COMPUTED_VALUE"""),"CLLENN")</f>
        <v>CLLENN</v>
      </c>
      <c r="M2447" s="47">
        <f>IFERROR(__xludf.DUMMYFUNCTION("""COMPUTED_VALUE"""),45688.0)</f>
        <v>45688</v>
      </c>
      <c r="N2447" s="47">
        <f>IFERROR(__xludf.DUMMYFUNCTION("""COMPUTED_VALUE"""),45747.0)</f>
        <v>45747</v>
      </c>
      <c r="O2447" s="75"/>
      <c r="P2447" s="80" t="str">
        <f>IFERROR(__xludf.DUMMYFUNCTION("""COMPUTED_VALUE"""),"可")</f>
        <v>可</v>
      </c>
      <c r="Q2447" s="75"/>
      <c r="R2447" s="75" t="str">
        <f>IFERROR(__xludf.DUMMYFUNCTION("""COMPUTED_VALUE"""),"コミットOK")</f>
        <v>コミットOK</v>
      </c>
      <c r="S2447" s="75" t="str">
        <f>IFERROR(__xludf.DUMMYFUNCTION("""COMPUTED_VALUE"""),"20241216_CLLENN_異世界ハーレムループ～繰り返される1日から脱出する為に抱きまくります～")</f>
        <v>20241216_CLLENN_異世界ハーレムループ～繰り返される1日から脱出する為に抱きまくります～</v>
      </c>
      <c r="T2447" s="75" t="str">
        <f>IFERROR(__xludf.DUMMYFUNCTION("""COMPUTED_VALUE"""),"格納済み")</f>
        <v>格納済み</v>
      </c>
      <c r="U2447" s="15" t="str">
        <f>IFERROR(__xludf.DUMMYFUNCTION("""COMPUTED_VALUE"""),"Ⓒマサイ・蒼井遊美/CLLENN")</f>
        <v>Ⓒマサイ・蒼井遊美/CLLENN</v>
      </c>
      <c r="V2447" s="8" t="str">
        <f>IFERROR(__xludf.DUMMYFUNCTION("""COMPUTED_VALUE"""),"レオ・ジールは冒険者になるべく、魔王が住む大迷宮を中心に成立した町・インスブルクへと辿り着く。魔王像崩落に巻き込まれ意識を失ったレオは、自分が不慮の死を遂げた日本人・平瀬佳人の転生者である事を思い出す。悲惨な前世を繰り返さぬ為に冒険者としての成功を決意したレオは、活動的に1日を過ごし明日を楽しみに眠りにつく。しかし、レオが目を覚ますと再び魔王像が崩落する瞬間へと移動していた。そこから起きる出来事は全て「昨日経験した事」と同じであり、レオは1日がループしている事に気付くのであった…！果たしてレオの運命は？『"&amp;"ループ脱出の為に女の子と×××せよ』ちょっとH×タイムループ×異世界ファンタジー開幕!!")</f>
        <v>レオ・ジールは冒険者になるべく、魔王が住む大迷宮を中心に成立した町・インスブルクへと辿り着く。魔王像崩落に巻き込まれ意識を失ったレオは、自分が不慮の死を遂げた日本人・平瀬佳人の転生者である事を思い出す。悲惨な前世を繰り返さぬ為に冒険者としての成功を決意したレオは、活動的に1日を過ごし明日を楽しみに眠りにつく。しかし、レオが目を覚ますと再び魔王像が崩落する瞬間へと移動していた。そこから起きる出来事は全て「昨日経験した事」と同じであり、レオは1日がループしている事に気付くのであった…！果たしてレオの運命は？『ループ脱出の為に女の子と×××せよ』ちょっとH×タイムループ×異世界ファンタジー開幕!!</v>
      </c>
      <c r="W2447" s="14"/>
      <c r="X2447" s="14" t="str">
        <f>IFERROR(__xludf.DUMMYFUNCTION("""COMPUTED_VALUE"""),"有")</f>
        <v>有</v>
      </c>
      <c r="Y2447" s="8" t="str">
        <f>IFERROR(__xludf.DUMMYFUNCTION("""COMPUTED_VALUE"""),"P10まで")</f>
        <v>P10まで</v>
      </c>
      <c r="Z2447" s="7"/>
      <c r="AA2447" s="7"/>
      <c r="AB2447" s="7"/>
    </row>
    <row r="2448" ht="15.75" customHeight="1">
      <c r="A2448" s="66">
        <f>IFERROR(__xludf.DUMMYFUNCTION("""COMPUTED_VALUE"""),4308.0)</f>
        <v>4308</v>
      </c>
      <c r="B2448" s="75" t="str">
        <f>IFERROR(__xludf.DUMMYFUNCTION("""COMPUTED_VALUE"""),"確定")</f>
        <v>確定</v>
      </c>
      <c r="C2448" s="68">
        <f>IFERROR(__xludf.DUMMYFUNCTION("""COMPUTED_VALUE"""),45576.0)</f>
        <v>45576</v>
      </c>
      <c r="D2448" s="68">
        <f>IFERROR(__xludf.DUMMYFUNCTION("""COMPUTED_VALUE"""),45615.0)</f>
        <v>45615</v>
      </c>
      <c r="E2448" s="100">
        <f>IFERROR(__xludf.DUMMYFUNCTION("""COMPUTED_VALUE"""),309652.0)</f>
        <v>309652</v>
      </c>
      <c r="F2448" s="146" t="str">
        <f>IFERROR(__xludf.DUMMYFUNCTION("""COMPUTED_VALUE"""),"異世界で推しの溺愛が止まりません!転移したらめっちゃ愛されヒロインでした【短編】")</f>
        <v>異世界で推しの溺愛が止まりません!転移したらめっちゃ愛されヒロインでした【短編】</v>
      </c>
      <c r="G2448" s="75" t="str">
        <f>IFERROR(__xludf.DUMMYFUNCTION("""COMPUTED_VALUE"""),"1～3")</f>
        <v>1～3</v>
      </c>
      <c r="H2448" s="148" t="str">
        <f>IFERROR(__xludf.DUMMYFUNCTION("""COMPUTED_VALUE"""),"キリエあやめ,藍井恵        ")</f>
        <v>キリエあやめ,藍井恵        </v>
      </c>
      <c r="I2448" s="148" t="str">
        <f>IFERROR(__xludf.DUMMYFUNCTION("""COMPUTED_VALUE"""),"女性")</f>
        <v>女性</v>
      </c>
      <c r="J2448" s="87"/>
      <c r="K2448" s="87"/>
      <c r="L2448" s="75" t="str">
        <f>IFERROR(__xludf.DUMMYFUNCTION("""COMPUTED_VALUE"""),"竹書房")</f>
        <v>竹書房</v>
      </c>
      <c r="M2448" s="59">
        <f>IFERROR(__xludf.DUMMYFUNCTION("""COMPUTED_VALUE"""),45658.0)</f>
        <v>45658</v>
      </c>
      <c r="N2448" s="23">
        <f>IFERROR(__xludf.DUMMYFUNCTION("""COMPUTED_VALUE"""),45716.0)</f>
        <v>45716</v>
      </c>
      <c r="O2448" s="75"/>
      <c r="P2448" s="71" t="str">
        <f>IFERROR(__xludf.DUMMYFUNCTION("""COMPUTED_VALUE"""),"否")</f>
        <v>否</v>
      </c>
      <c r="Q2448" s="75"/>
      <c r="R2448" s="75" t="str">
        <f>IFERROR(__xludf.DUMMYFUNCTION("""COMPUTED_VALUE"""),"コミットNG")</f>
        <v>コミットNG</v>
      </c>
      <c r="S2448" s="75" t="str">
        <f>IFERROR(__xludf.DUMMYFUNCTION("""COMPUTED_VALUE"""),"20241119_竹書房_異世界で推しの溺愛が止まりません!転移したらめっちゃ愛されヒロインでした【短編】")</f>
        <v>20241119_竹書房_異世界で推しの溺愛が止まりません!転移したらめっちゃ愛されヒロインでした【短編】</v>
      </c>
      <c r="T2448" s="75" t="str">
        <f>IFERROR(__xludf.DUMMYFUNCTION("""COMPUTED_VALUE"""),"格納済み")</f>
        <v>格納済み</v>
      </c>
      <c r="U2448" s="15" t="str">
        <f>IFERROR(__xludf.DUMMYFUNCTION("""COMPUTED_VALUE"""),"(c) 藍井恵・キリエあやめ／竹書房")</f>
        <v>(c) 藍井恵・キリエあやめ／竹書房</v>
      </c>
      <c r="V2448" s="8" t="str">
        <f>IFERROR(__xludf.DUMMYFUNCTION("""COMPUTED_VALUE"""),"母を亡くし職場でもセクハラ被害にあうリサ。そんな彼女の心の支えはアニメ「神々の暁」の人気キャラクター・ファーガルだった。しかし最新話でまさかの死!!!! 推しの急な退場に『こんな悲しみまみれの世界にいたくない――』と心の底から願った彼女の前にいきなりファティスと名乗るファーガルそっくりな男性が現れて―――!?")</f>
        <v>母を亡くし職場でもセクハラ被害にあうリサ。そんな彼女の心の支えはアニメ「神々の暁」の人気キャラクター・ファーガルだった。しかし最新話でまさかの死!!!! 推しの急な退場に『こんな悲しみまみれの世界にいたくない――』と心の底から願った彼女の前にいきなりファティスと名乗るファーガルそっくりな男性が現れて―――!?</v>
      </c>
      <c r="W2448" s="14"/>
      <c r="X2448" s="14" t="str">
        <f>IFERROR(__xludf.DUMMYFUNCTION("""COMPUTED_VALUE"""),"有")</f>
        <v>有</v>
      </c>
      <c r="Y2448" s="8" t="str">
        <f>IFERROR(__xludf.DUMMYFUNCTION("""COMPUTED_VALUE"""),"P6まで")</f>
        <v>P6まで</v>
      </c>
      <c r="Z2448" s="7"/>
      <c r="AA2448" s="7"/>
      <c r="AB2448" s="7"/>
    </row>
    <row r="2449" ht="15.75" customHeight="1">
      <c r="A2449" s="66">
        <f>IFERROR(__xludf.DUMMYFUNCTION("""COMPUTED_VALUE"""),4310.0)</f>
        <v>4310</v>
      </c>
      <c r="B2449" s="75" t="str">
        <f>IFERROR(__xludf.DUMMYFUNCTION("""COMPUTED_VALUE"""),"確定")</f>
        <v>確定</v>
      </c>
      <c r="C2449" s="68">
        <f>IFERROR(__xludf.DUMMYFUNCTION("""COMPUTED_VALUE"""),45576.0)</f>
        <v>45576</v>
      </c>
      <c r="D2449" s="68">
        <f>IFERROR(__xludf.DUMMYFUNCTION("""COMPUTED_VALUE"""),45616.0)</f>
        <v>45616</v>
      </c>
      <c r="E2449" s="100">
        <f>IFERROR(__xludf.DUMMYFUNCTION("""COMPUTED_VALUE"""),309793.0)</f>
        <v>309793</v>
      </c>
      <c r="F2449" s="146" t="str">
        <f>IFERROR(__xludf.DUMMYFUNCTION("""COMPUTED_VALUE"""),"クール系店員さんをお持ち帰りしちゃった話")</f>
        <v>クール系店員さんをお持ち帰りしちゃった話</v>
      </c>
      <c r="G2449" s="75" t="str">
        <f>IFERROR(__xludf.DUMMYFUNCTION("""COMPUTED_VALUE"""),"1～2")</f>
        <v>1～2</v>
      </c>
      <c r="H2449" s="147" t="str">
        <f>IFERROR(__xludf.DUMMYFUNCTION("""COMPUTED_VALUE"""),"SigMart／SigMa")</f>
        <v>SigMart／SigMa</v>
      </c>
      <c r="I2449" s="147" t="str">
        <f>IFERROR(__xludf.DUMMYFUNCTION("""COMPUTED_VALUE"""),"アダルトマンガ")</f>
        <v>アダルトマンガ</v>
      </c>
      <c r="J2449" s="87"/>
      <c r="K2449" s="87"/>
      <c r="L2449" s="75" t="str">
        <f>IFERROR(__xludf.DUMMYFUNCTION("""COMPUTED_VALUE"""),"ナイトコミック")</f>
        <v>ナイトコミック</v>
      </c>
      <c r="M2449" s="85">
        <f>IFERROR(__xludf.DUMMYFUNCTION("""COMPUTED_VALUE"""),45653.0)</f>
        <v>45653</v>
      </c>
      <c r="N2449" s="23">
        <f>IFERROR(__xludf.DUMMYFUNCTION("""COMPUTED_VALUE"""),45715.0)</f>
        <v>45715</v>
      </c>
      <c r="O2449" s="75"/>
      <c r="P2449" s="80" t="str">
        <f>IFERROR(__xludf.DUMMYFUNCTION("""COMPUTED_VALUE"""),"可")</f>
        <v>可</v>
      </c>
      <c r="Q2449" s="75" t="str">
        <f>IFERROR(__xludf.DUMMYFUNCTION("""COMPUTED_VALUE"""),"先行期間中の試読増量が可能とのことです。&lt;BR&gt;もしその他要望があればご連絡ください。")</f>
        <v>先行期間中の試読増量が可能とのことです。&lt;BR&gt;もしその他要望があればご連絡ください。</v>
      </c>
      <c r="R2449" s="75" t="str">
        <f>IFERROR(__xludf.DUMMYFUNCTION("""COMPUTED_VALUE"""),"コミットOK")</f>
        <v>コミットOK</v>
      </c>
      <c r="S2449" s="75" t="str">
        <f>IFERROR(__xludf.DUMMYFUNCTION("""COMPUTED_VALUE"""),"20241011_ナイトコミック_クール系店員さんをお持ち帰りしちゃった話")</f>
        <v>20241011_ナイトコミック_クール系店員さんをお持ち帰りしちゃった話</v>
      </c>
      <c r="T2449" s="75" t="str">
        <f>IFERROR(__xludf.DUMMYFUNCTION("""COMPUTED_VALUE"""),"格納済み")</f>
        <v>格納済み</v>
      </c>
      <c r="U2449" s="15" t="str">
        <f>IFERROR(__xludf.DUMMYFUNCTION("""COMPUTED_VALUE"""),"©SigMart／SigMa")</f>
        <v>©SigMart／SigMa</v>
      </c>
      <c r="V2449" s="8" t="str">
        <f>IFERROR(__xludf.DUMMYFUNCTION("""COMPUTED_VALUE"""),"近所のカフェで働いている、クール系のかわいい店員さん。「店内でお召し上がりですか？お持ち帰りですか？」いつものように聞いてくるお姉さんに、つい魔が差してお姉さんをお持ち帰りしたいと言ってしまった…！やってしまったと後悔したのもつかの間、なんとお持ち帰りに成功してしまい───！？お持ち帰りセックスは、即ホテル。濃厚なキスを交わすとお姉さんはムラムラしてしまったらしく、好きにしていいよ？とおっぱいを取り出して…。しっとり柔らかいおっぱいにむしゃぶりつくと、お姉さんはじれったそうに「挿れて…？」と…。ヤりたい放"&amp;"題店員さんの発情が止まらない…！！")</f>
        <v>近所のカフェで働いている、クール系のかわいい店員さん。「店内でお召し上がりですか？お持ち帰りですか？」いつものように聞いてくるお姉さんに、つい魔が差してお姉さんをお持ち帰りしたいと言ってしまった…！やってしまったと後悔したのもつかの間、なんとお持ち帰りに成功してしまい───！？お持ち帰りセックスは、即ホテル。濃厚なキスを交わすとお姉さんはムラムラしてしまったらしく、好きにしていいよ？とおっぱいを取り出して…。しっとり柔らかいおっぱいにむしゃぶりつくと、お姉さんはじれったそうに「挿れて…？」と…。ヤりたい放題店員さんの発情が止まらない…！！</v>
      </c>
      <c r="W2449" s="14"/>
      <c r="X2449" s="14" t="str">
        <f>IFERROR(__xludf.DUMMYFUNCTION("""COMPUTED_VALUE"""),"有")</f>
        <v>有</v>
      </c>
      <c r="Y2449" s="8" t="str">
        <f>IFERROR(__xludf.DUMMYFUNCTION("""COMPUTED_VALUE"""),"2025/2/27まで立ち読み増量
1巻目P16まで
2巻目P11まで")</f>
        <v>2025/2/27まで立ち読み増量
1巻目P16まで
2巻目P11まで</v>
      </c>
      <c r="Z2449" s="7"/>
      <c r="AA2449" s="7"/>
      <c r="AB2449" s="7"/>
    </row>
    <row r="2450" ht="15.75" customHeight="1">
      <c r="A2450" s="66">
        <f>IFERROR(__xludf.DUMMYFUNCTION("""COMPUTED_VALUE"""),4317.0)</f>
        <v>4317</v>
      </c>
      <c r="B2450" s="75" t="str">
        <f>IFERROR(__xludf.DUMMYFUNCTION("""COMPUTED_VALUE"""),"確定")</f>
        <v>確定</v>
      </c>
      <c r="C2450" s="68">
        <f>IFERROR(__xludf.DUMMYFUNCTION("""COMPUTED_VALUE"""),45576.0)</f>
        <v>45576</v>
      </c>
      <c r="D2450" s="68">
        <f>IFERROR(__xludf.DUMMYFUNCTION("""COMPUTED_VALUE"""),45615.0)</f>
        <v>45615</v>
      </c>
      <c r="E2450" s="100">
        <f>IFERROR(__xludf.DUMMYFUNCTION("""COMPUTED_VALUE"""),310227.0)</f>
        <v>310227</v>
      </c>
      <c r="F2450" s="146" t="str">
        <f>IFERROR(__xludf.DUMMYFUNCTION("""COMPUTED_VALUE"""),"偽聖女の人生は聖騎士に甘く塗り替えられる")</f>
        <v>偽聖女の人生は聖騎士に甘く塗り替えられる</v>
      </c>
      <c r="G2450" s="75" t="str">
        <f>IFERROR(__xludf.DUMMYFUNCTION("""COMPUTED_VALUE"""),"1～3")</f>
        <v>1～3</v>
      </c>
      <c r="H2450" s="147" t="str">
        <f>IFERROR(__xludf.DUMMYFUNCTION("""COMPUTED_VALUE"""),"作画：染作 原作：正海春人")</f>
        <v>作画：染作 原作：正海春人</v>
      </c>
      <c r="I2450" s="147" t="str">
        <f>IFERROR(__xludf.DUMMYFUNCTION("""COMPUTED_VALUE"""),"女性")</f>
        <v>女性</v>
      </c>
      <c r="J2450" s="87"/>
      <c r="K2450" s="87"/>
      <c r="L2450" s="75" t="str">
        <f>IFERROR(__xludf.DUMMYFUNCTION("""COMPUTED_VALUE"""),"DPNブックス")</f>
        <v>DPNブックス</v>
      </c>
      <c r="M2450" s="85">
        <f>IFERROR(__xludf.DUMMYFUNCTION("""COMPUTED_VALUE"""),45648.0)</f>
        <v>45648</v>
      </c>
      <c r="N2450" s="23">
        <f>IFERROR(__xludf.DUMMYFUNCTION("""COMPUTED_VALUE"""),45709.0)</f>
        <v>45709</v>
      </c>
      <c r="O2450" s="75"/>
      <c r="P2450" s="71" t="str">
        <f>IFERROR(__xludf.DUMMYFUNCTION("""COMPUTED_VALUE"""),"可")</f>
        <v>可</v>
      </c>
      <c r="Q2450" s="75"/>
      <c r="R2450" s="75" t="str">
        <f>IFERROR(__xludf.DUMMYFUNCTION("""COMPUTED_VALUE"""),"コミットOK")</f>
        <v>コミットOK</v>
      </c>
      <c r="S2450" s="75" t="str">
        <f>IFERROR(__xludf.DUMMYFUNCTION("""COMPUTED_VALUE"""),"20241119②_DPNブックス_偽聖女の人生は聖騎士に甘く塗り替えられる")</f>
        <v>20241119②_DPNブックス_偽聖女の人生は聖騎士に甘く塗り替えられる</v>
      </c>
      <c r="T2450" s="75" t="str">
        <f>IFERROR(__xludf.DUMMYFUNCTION("""COMPUTED_VALUE"""),"格納済み")</f>
        <v>格納済み</v>
      </c>
      <c r="U2450" s="15" t="str">
        <f>IFERROR(__xludf.DUMMYFUNCTION("""COMPUTED_VALUE"""),"(c)染作・正海春人／DPNブックス")</f>
        <v>(c)染作・正海春人／DPNブックス</v>
      </c>
      <c r="V2450" s="8" t="str">
        <f>IFERROR(__xludf.DUMMYFUNCTION("""COMPUTED_VALUE"""),"ソフィアは治癒能力を少しだけ持っていることにより、義父に「聖女」として活動することを強要されていた。しかしある日、この世界は前世で好きだったゲームの世界ということを思い出す。ゲームでは聖女を騙った罪で処刑されるキャラである自身の未来をなんとか回避しようとした矢先、義父がゲームの登場キャラ聖騎士・ラウルとの婚約を取り付けてきて―――！？")</f>
        <v>ソフィアは治癒能力を少しだけ持っていることにより、義父に「聖女」として活動することを強要されていた。しかしある日、この世界は前世で好きだったゲームの世界ということを思い出す。ゲームでは聖女を騙った罪で処刑されるキャラである自身の未来をなんとか回避しようとした矢先、義父がゲームの登場キャラ聖騎士・ラウルとの婚約を取り付けてきて―――！？</v>
      </c>
      <c r="W2450" s="14"/>
      <c r="X2450" s="14" t="str">
        <f>IFERROR(__xludf.DUMMYFUNCTION("""COMPUTED_VALUE"""),"有")</f>
        <v>有</v>
      </c>
      <c r="Y2450" s="8" t="str">
        <f>IFERROR(__xludf.DUMMYFUNCTION("""COMPUTED_VALUE"""),"2025/2/21まで1巻無料")</f>
        <v>2025/2/21まで1巻無料</v>
      </c>
      <c r="Z2450" s="7"/>
      <c r="AA2450" s="7"/>
      <c r="AB2450" s="7"/>
    </row>
    <row r="2451" ht="15.75" customHeight="1">
      <c r="A2451" s="66">
        <f>IFERROR(__xludf.DUMMYFUNCTION("""COMPUTED_VALUE"""),4362.0)</f>
        <v>4362</v>
      </c>
      <c r="B2451" s="75" t="str">
        <f>IFERROR(__xludf.DUMMYFUNCTION("""COMPUTED_VALUE"""),"確定")</f>
        <v>確定</v>
      </c>
      <c r="C2451" s="68">
        <f>IFERROR(__xludf.DUMMYFUNCTION("""COMPUTED_VALUE"""),45586.0)</f>
        <v>45586</v>
      </c>
      <c r="D2451" s="68">
        <f>IFERROR(__xludf.DUMMYFUNCTION("""COMPUTED_VALUE"""),45616.0)</f>
        <v>45616</v>
      </c>
      <c r="E2451" s="100">
        <f>IFERROR(__xludf.DUMMYFUNCTION("""COMPUTED_VALUE"""),308742.0)</f>
        <v>308742</v>
      </c>
      <c r="F2451" s="146" t="str">
        <f>IFERROR(__xludf.DUMMYFUNCTION("""COMPUTED_VALUE"""),"これはただの食事だからっ！【棒消し修正版】")</f>
        <v>これはただの食事だからっ！【棒消し修正版】</v>
      </c>
      <c r="G2451" s="75" t="str">
        <f>IFERROR(__xludf.DUMMYFUNCTION("""COMPUTED_VALUE"""),"1～3")</f>
        <v>1～3</v>
      </c>
      <c r="H2451" s="147" t="str">
        <f>IFERROR(__xludf.DUMMYFUNCTION("""COMPUTED_VALUE"""),"だにまる")</f>
        <v>だにまる</v>
      </c>
      <c r="I2451" s="147" t="str">
        <f>IFERROR(__xludf.DUMMYFUNCTION("""COMPUTED_VALUE"""),"オトナ")</f>
        <v>オトナ</v>
      </c>
      <c r="J2451" s="87"/>
      <c r="K2451" s="87"/>
      <c r="L2451" s="75" t="str">
        <f>IFERROR(__xludf.DUMMYFUNCTION("""COMPUTED_VALUE"""),"ナンバーナイン")</f>
        <v>ナンバーナイン</v>
      </c>
      <c r="M2451" s="85">
        <f>IFERROR(__xludf.DUMMYFUNCTION("""COMPUTED_VALUE"""),45646.0)</f>
        <v>45646</v>
      </c>
      <c r="N2451" s="23">
        <f>IFERROR(__xludf.DUMMYFUNCTION("""COMPUTED_VALUE"""),45709.0)</f>
        <v>45709</v>
      </c>
      <c r="O2451" s="75"/>
      <c r="P2451" s="71" t="str">
        <f>IFERROR(__xludf.DUMMYFUNCTION("""COMPUTED_VALUE"""),"可")</f>
        <v>可</v>
      </c>
      <c r="Q2451" s="75"/>
      <c r="R2451" s="75" t="str">
        <f>IFERROR(__xludf.DUMMYFUNCTION("""COMPUTED_VALUE"""),"コミットOK")</f>
        <v>コミットOK</v>
      </c>
      <c r="S2451" s="75" t="str">
        <f>IFERROR(__xludf.DUMMYFUNCTION("""COMPUTED_VALUE"""),"20241118_ナンバーナイン_これはただの食事だからっ！【棒消し修正版】")</f>
        <v>20241118_ナンバーナイン_これはただの食事だからっ！【棒消し修正版】</v>
      </c>
      <c r="T2451" s="75" t="str">
        <f>IFERROR(__xludf.DUMMYFUNCTION("""COMPUTED_VALUE"""),"格納済み")</f>
        <v>格納済み</v>
      </c>
      <c r="U2451" s="15" t="str">
        <f>IFERROR(__xludf.DUMMYFUNCTION("""COMPUTED_VALUE"""),"(C)だにまる/ナンバーナイン")</f>
        <v>(C)だにまる/ナンバーナイン</v>
      </c>
      <c r="V2451" s="8" t="str">
        <f>IFERROR(__xludf.DUMMYFUNCTION("""COMPUTED_VALUE"""),"■あらすじ
サキュバスと人間が当たり前に共存する社会で暮らす「夢乃 舞夜」。
いつでもどこでも都合のいい相手と食事（セックス）する愛嬌たっぷりなサキュバス友達の千花とは異なり、雑なセックスへの嫌悪から固定の相手を作らず発情期のみ食事をするクールなサキュバス。
ある日クラスの地味陰キャ「飯島」に告白されたことが転機に！
食事目的の事務的中出しのつもりが、実は相性抜群で……？！
14ページ")</f>
        <v>■あらすじ
サキュバスと人間が当たり前に共存する社会で暮らす「夢乃 舞夜」。
いつでもどこでも都合のいい相手と食事（セックス）する愛嬌たっぷりなサキュバス友達の千花とは異なり、雑なセックスへの嫌悪から固定の相手を作らず発情期のみ食事をするクールなサキュバス。
ある日クラスの地味陰キャ「飯島」に告白されたことが転機に！
食事目的の事務的中出しのつもりが、実は相性抜群で……？！
14ページ</v>
      </c>
      <c r="W2451" s="14"/>
      <c r="X2451" s="14" t="str">
        <f>IFERROR(__xludf.DUMMYFUNCTION("""COMPUTED_VALUE"""),"有")</f>
        <v>有</v>
      </c>
      <c r="Y2451" s="8" t="str">
        <f>IFERROR(__xludf.DUMMYFUNCTION("""COMPUTED_VALUE"""),"2025/1/5まで1巻無料")</f>
        <v>2025/1/5まで1巻無料</v>
      </c>
      <c r="Z2451" s="7"/>
      <c r="AA2451" s="7"/>
      <c r="AB2451" s="7"/>
    </row>
    <row r="2452" ht="15.75" customHeight="1">
      <c r="A2452" s="66">
        <f>IFERROR(__xludf.DUMMYFUNCTION("""COMPUTED_VALUE"""),4363.0)</f>
        <v>4363</v>
      </c>
      <c r="B2452" s="75" t="str">
        <f>IFERROR(__xludf.DUMMYFUNCTION("""COMPUTED_VALUE"""),"確定")</f>
        <v>確定</v>
      </c>
      <c r="C2452" s="68">
        <f>IFERROR(__xludf.DUMMYFUNCTION("""COMPUTED_VALUE"""),45586.0)</f>
        <v>45586</v>
      </c>
      <c r="D2452" s="68">
        <f>IFERROR(__xludf.DUMMYFUNCTION("""COMPUTED_VALUE"""),45616.0)</f>
        <v>45616</v>
      </c>
      <c r="E2452" s="100">
        <f>IFERROR(__xludf.DUMMYFUNCTION("""COMPUTED_VALUE"""),308484.0)</f>
        <v>308484</v>
      </c>
      <c r="F2452" s="146" t="str">
        <f>IFERROR(__xludf.DUMMYFUNCTION("""COMPUTED_VALUE"""),"フタナリお嬢様シリーズ【R-18版】")</f>
        <v>フタナリお嬢様シリーズ【R-18版】</v>
      </c>
      <c r="G2452" s="75" t="str">
        <f>IFERROR(__xludf.DUMMYFUNCTION("""COMPUTED_VALUE"""),"1～5")</f>
        <v>1～5</v>
      </c>
      <c r="H2452" s="147" t="str">
        <f>IFERROR(__xludf.DUMMYFUNCTION("""COMPUTED_VALUE"""),"ラセン恐怖閣")</f>
        <v>ラセン恐怖閣</v>
      </c>
      <c r="I2452" s="148" t="str">
        <f>IFERROR(__xludf.DUMMYFUNCTION("""COMPUTED_VALUE"""),"アダルト")</f>
        <v>アダルト</v>
      </c>
      <c r="J2452" s="87"/>
      <c r="K2452" s="87"/>
      <c r="L2452" s="75" t="str">
        <f>IFERROR(__xludf.DUMMYFUNCTION("""COMPUTED_VALUE"""),"ナンバーナイン")</f>
        <v>ナンバーナイン</v>
      </c>
      <c r="M2452" s="23">
        <f>IFERROR(__xludf.DUMMYFUNCTION("""COMPUTED_VALUE"""),45632.0)</f>
        <v>45632</v>
      </c>
      <c r="N2452" s="23">
        <f>IFERROR(__xludf.DUMMYFUNCTION("""COMPUTED_VALUE"""),45693.0)</f>
        <v>45693</v>
      </c>
      <c r="O2452" s="75"/>
      <c r="P2452" s="80" t="str">
        <f>IFERROR(__xludf.DUMMYFUNCTION("""COMPUTED_VALUE"""),"可")</f>
        <v>可</v>
      </c>
      <c r="Q2452" s="75" t="str">
        <f>IFERROR(__xludf.DUMMYFUNCTION("""COMPUTED_VALUE"""),"・TLレーベル名：なし")</f>
        <v>・TLレーベル名：なし</v>
      </c>
      <c r="R2452" s="75" t="str">
        <f>IFERROR(__xludf.DUMMYFUNCTION("""COMPUTED_VALUE"""),"コミットOK")</f>
        <v>コミットOK</v>
      </c>
      <c r="S2452" s="75" t="str">
        <f>IFERROR(__xludf.DUMMYFUNCTION("""COMPUTED_VALUE"""),"20241118_ナンバーナイン_フタナリお嬢様シリーズ【R-18版】")</f>
        <v>20241118_ナンバーナイン_フタナリお嬢様シリーズ【R-18版】</v>
      </c>
      <c r="T2452" s="75" t="str">
        <f>IFERROR(__xludf.DUMMYFUNCTION("""COMPUTED_VALUE"""),"格納済み")</f>
        <v>格納済み</v>
      </c>
      <c r="U2452" s="15" t="str">
        <f>IFERROR(__xludf.DUMMYFUNCTION("""COMPUTED_VALUE"""),"(C)ラセン恐怖閣/ナンバーナイン")</f>
        <v>(C)ラセン恐怖閣/ナンバーナイン</v>
      </c>
      <c r="V2452" s="8" t="str">
        <f>IFERROR(__xludf.DUMMYFUNCTION("""COMPUTED_VALUE"""),"「わたくしの下僕はエッチな献身が過ぎるのでは…!?」Sを演じる下僕のイキすぎた奉仕で、
朝からフルコースでイカされちゃう!?
後天的フタナリ(雌雄同体)である伯爵令嬢エミリー・トアルヴォは、立派な相続人となるべく日々奮闘中。
しかしエミリーには少々ポンコツなところがあり、男性器の扱いにいまだに慣れていなかった。
下僕上がりの冷静沈着な従者クライドに管理を任せているが、この日はいつもの奉仕では物足りなくて…?
【注意】
挿入行為はフタナリ女→男(逆転無し)です。男(襲い受け)の奉仕が長めで
"&amp;"
フタナリ女(8割受け身)が責められている描写が中心です。
【プレイ/フェチ】
(男→フタ女)言葉責め、ハート喘ぎ、フェラ、手コキ、寸止め、足ピン、クリチンポ、乳首責め
(フタ女→男)逆アナル、お漏らし射精、中出し、メスイキ
全20ページ
※こちらは18禁版です。通常版との重複購入にお気を付けください※")</f>
        <v>「わたくしの下僕はエッチな献身が過ぎるのでは…!?」Sを演じる下僕のイキすぎた奉仕で、
朝からフルコースでイカされちゃう!?
後天的フタナリ(雌雄同体)である伯爵令嬢エミリー・トアルヴォは、立派な相続人となるべく日々奮闘中。
しかしエミリーには少々ポンコツなところがあり、男性器の扱いにいまだに慣れていなかった。
下僕上がりの冷静沈着な従者クライドに管理を任せているが、この日はいつもの奉仕では物足りなくて…?
【注意】
挿入行為はフタナリ女→男(逆転無し)です。男(襲い受け)の奉仕が長めで
フタナリ女(8割受け身)が責められている描写が中心です。
【プレイ/フェチ】
(男→フタ女)言葉責め、ハート喘ぎ、フェラ、手コキ、寸止め、足ピン、クリチンポ、乳首責め
(フタ女→男)逆アナル、お漏らし射精、中出し、メスイキ
全20ページ
※こちらは18禁版です。通常版との重複購入にお気を付けください※</v>
      </c>
      <c r="W2452" s="14"/>
      <c r="X2452" s="14" t="str">
        <f>IFERROR(__xludf.DUMMYFUNCTION("""COMPUTED_VALUE"""),"有")</f>
        <v>有</v>
      </c>
      <c r="Y2452" s="8" t="str">
        <f>IFERROR(__xludf.DUMMYFUNCTION("""COMPUTED_VALUE"""),"2024/12/20まで1巻無料")</f>
        <v>2024/12/20まで1巻無料</v>
      </c>
      <c r="Z2452" s="7"/>
      <c r="AA2452" s="7"/>
      <c r="AB2452" s="7"/>
    </row>
    <row r="2453" ht="15.75" customHeight="1">
      <c r="A2453" s="66">
        <f>IFERROR(__xludf.DUMMYFUNCTION("""COMPUTED_VALUE"""),4368.0)</f>
        <v>4368</v>
      </c>
      <c r="B2453" s="75" t="str">
        <f>IFERROR(__xludf.DUMMYFUNCTION("""COMPUTED_VALUE"""),"確定")</f>
        <v>確定</v>
      </c>
      <c r="C2453" s="68">
        <f>IFERROR(__xludf.DUMMYFUNCTION("""COMPUTED_VALUE"""),45586.0)</f>
        <v>45586</v>
      </c>
      <c r="D2453" s="68">
        <f>IFERROR(__xludf.DUMMYFUNCTION("""COMPUTED_VALUE"""),45616.0)</f>
        <v>45616</v>
      </c>
      <c r="E2453" s="100">
        <f>IFERROR(__xludf.DUMMYFUNCTION("""COMPUTED_VALUE"""),311276.0)</f>
        <v>311276</v>
      </c>
      <c r="F2453" s="146" t="str">
        <f>IFERROR(__xludf.DUMMYFUNCTION("""COMPUTED_VALUE"""),"私はシンデレラに殺された［ばら売り］")</f>
        <v>私はシンデレラに殺された［ばら売り］</v>
      </c>
      <c r="G2453" s="75" t="str">
        <f>IFERROR(__xludf.DUMMYFUNCTION("""COMPUTED_VALUE"""),"1～5")</f>
        <v>1～5</v>
      </c>
      <c r="H2453" s="147" t="str">
        <f>IFERROR(__xludf.DUMMYFUNCTION("""COMPUTED_VALUE"""),"楠木薫")</f>
        <v>楠木薫</v>
      </c>
      <c r="I2453" s="147" t="str">
        <f>IFERROR(__xludf.DUMMYFUNCTION("""COMPUTED_VALUE"""),"少女")</f>
        <v>少女</v>
      </c>
      <c r="J2453" s="75"/>
      <c r="K2453" s="75" t="str">
        <f>IFERROR(__xludf.DUMMYFUNCTION("""COMPUTED_VALUE"""),"花とゆめ")</f>
        <v>花とゆめ</v>
      </c>
      <c r="L2453" s="75" t="str">
        <f>IFERROR(__xludf.DUMMYFUNCTION("""COMPUTED_VALUE"""),"白泉社")</f>
        <v>白泉社</v>
      </c>
      <c r="M2453" s="23">
        <f>IFERROR(__xludf.DUMMYFUNCTION("""COMPUTED_VALUE"""),45677.0)</f>
        <v>45677</v>
      </c>
      <c r="N2453" s="23">
        <f>IFERROR(__xludf.DUMMYFUNCTION("""COMPUTED_VALUE"""),45764.0)</f>
        <v>45764</v>
      </c>
      <c r="O2453" s="75"/>
      <c r="P2453" s="80" t="str">
        <f>IFERROR(__xludf.DUMMYFUNCTION("""COMPUTED_VALUE"""),"可")</f>
        <v>可</v>
      </c>
      <c r="Q2453" s="72" t="str">
        <f>IFERROR(__xludf.DUMMYFUNCTION("""COMPUTED_VALUE"""),"河上さん事前コミット済み")</f>
        <v>河上さん事前コミット済み</v>
      </c>
      <c r="R2453" s="75"/>
      <c r="S2453" s="75" t="str">
        <f>IFERROR(__xludf.DUMMYFUNCTION("""COMPUTED_VALUE"""),"20241115_白泉社_私はシンデレラに殺された")</f>
        <v>20241115_白泉社_私はシンデレラに殺された</v>
      </c>
      <c r="T2453" s="75" t="str">
        <f>IFERROR(__xludf.DUMMYFUNCTION("""COMPUTED_VALUE"""),"格納済み")</f>
        <v>格納済み</v>
      </c>
      <c r="U2453" s="15" t="str">
        <f>IFERROR(__xludf.DUMMYFUNCTION("""COMPUTED_VALUE"""),"(C)楠木薫/白泉社")</f>
        <v>(C)楠木薫/白泉社</v>
      </c>
      <c r="V2453" s="8" t="str">
        <f>IFERROR(__xludf.DUMMYFUNCTION("""COMPUTED_VALUE"""),"【第1話】「なぜこの子の本性に気付かなかったんだろう　もう一度過去に戻れたら――」優しく可愛らしい義妹・シンデレラと家族仲睦まじく暮らしていたシャーロット。けれどある日国王暗殺の犯人とされ、処刑されてしまう。無実の罪を彼女に着せたのは、ほかでもないシンデレラだった――。後悔と恐怖に苛まれながら死んだはずのシャーロット。しかし再び目を覚まし、自分が殺される前の世界に死に戻ってきて…!?　妹へ復讐を誓う限界ループ・サスペンス！！")</f>
        <v>【第1話】「なぜこの子の本性に気付かなかったんだろう　もう一度過去に戻れたら――」優しく可愛らしい義妹・シンデレラと家族仲睦まじく暮らしていたシャーロット。けれどある日国王暗殺の犯人とされ、処刑されてしまう。無実の罪を彼女に着せたのは、ほかでもないシンデレラだった――。後悔と恐怖に苛まれながら死んだはずのシャーロット。しかし再び目を覚まし、自分が殺される前の世界に死に戻ってきて…!?　妹へ復讐を誓う限界ループ・サスペンス！！</v>
      </c>
      <c r="W2453" s="14"/>
      <c r="X2453" s="14" t="str">
        <f>IFERROR(__xludf.DUMMYFUNCTION("""COMPUTED_VALUE"""),"有")</f>
        <v>有</v>
      </c>
      <c r="Y2453" s="8" t="str">
        <f>IFERROR(__xludf.DUMMYFUNCTION("""COMPUTED_VALUE"""),"2025/1/31まで1巻無料")</f>
        <v>2025/1/31まで1巻無料</v>
      </c>
      <c r="Z2453" s="7"/>
      <c r="AA2453" s="7"/>
      <c r="AB2453" s="7"/>
    </row>
    <row r="2454" ht="15.75" customHeight="1">
      <c r="A2454" s="66">
        <f>IFERROR(__xludf.DUMMYFUNCTION("""COMPUTED_VALUE"""),4412.0)</f>
        <v>4412</v>
      </c>
      <c r="B2454" s="75" t="str">
        <f>IFERROR(__xludf.DUMMYFUNCTION("""COMPUTED_VALUE"""),"確定")</f>
        <v>確定</v>
      </c>
      <c r="C2454" s="68">
        <f>IFERROR(__xludf.DUMMYFUNCTION("""COMPUTED_VALUE"""),45590.0)</f>
        <v>45590</v>
      </c>
      <c r="D2454" s="68">
        <f>IFERROR(__xludf.DUMMYFUNCTION("""COMPUTED_VALUE"""),45615.0)</f>
        <v>45615</v>
      </c>
      <c r="E2454" s="100">
        <f>IFERROR(__xludf.DUMMYFUNCTION("""COMPUTED_VALUE"""),310641.0)</f>
        <v>310641</v>
      </c>
      <c r="F2454" s="146" t="str">
        <f>IFERROR(__xludf.DUMMYFUNCTION("""COMPUTED_VALUE"""),"まっくろでにがい～婚前浮気～")</f>
        <v>まっくろでにがい～婚前浮気～</v>
      </c>
      <c r="G2454" s="75" t="str">
        <f>IFERROR(__xludf.DUMMYFUNCTION("""COMPUTED_VALUE"""),"1～3")</f>
        <v>1～3</v>
      </c>
      <c r="H2454" s="147" t="str">
        <f>IFERROR(__xludf.DUMMYFUNCTION("""COMPUTED_VALUE"""),"原作：貞ユリナ 漫画：桜井ゆき")</f>
        <v>原作：貞ユリナ 漫画：桜井ゆき</v>
      </c>
      <c r="I2454" s="147" t="str">
        <f>IFERROR(__xludf.DUMMYFUNCTION("""COMPUTED_VALUE"""),"女性")</f>
        <v>女性</v>
      </c>
      <c r="J2454" s="87"/>
      <c r="K2454" s="87"/>
      <c r="L2454" s="75" t="str">
        <f>IFERROR(__xludf.DUMMYFUNCTION("""COMPUTED_VALUE"""),"主婦の友社")</f>
        <v>主婦の友社</v>
      </c>
      <c r="M2454" s="85">
        <f>IFERROR(__xludf.DUMMYFUNCTION("""COMPUTED_VALUE"""),45646.0)</f>
        <v>45646</v>
      </c>
      <c r="N2454" s="47">
        <f>IFERROR(__xludf.DUMMYFUNCTION("""COMPUTED_VALUE"""),45827.0)</f>
        <v>45827</v>
      </c>
      <c r="O2454" s="75"/>
      <c r="P2454" s="80" t="str">
        <f>IFERROR(__xludf.DUMMYFUNCTION("""COMPUTED_VALUE"""),"可")</f>
        <v>可</v>
      </c>
      <c r="Q2454" s="75" t="str">
        <f>IFERROR(__xludf.DUMMYFUNCTION("""COMPUTED_VALUE"""),"・冒頭話無料で調整可能")</f>
        <v>・冒頭話無料で調整可能</v>
      </c>
      <c r="R2454" s="75" t="str">
        <f>IFERROR(__xludf.DUMMYFUNCTION("""COMPUTED_VALUE"""),"コミットOK")</f>
        <v>コミットOK</v>
      </c>
      <c r="S2454" s="75" t="str">
        <f>IFERROR(__xludf.DUMMYFUNCTION("""COMPUTED_VALUE"""),"20241114_主婦の友社_まっくろでにがい")</f>
        <v>20241114_主婦の友社_まっくろでにがい</v>
      </c>
      <c r="T2454" s="75" t="str">
        <f>IFERROR(__xludf.DUMMYFUNCTION("""COMPUTED_VALUE"""),"格納済み")</f>
        <v>格納済み</v>
      </c>
      <c r="U2454" s="15" t="str">
        <f>IFERROR(__xludf.DUMMYFUNCTION("""COMPUTED_VALUE"""),"(c)桜井ゆき・貞ユリナ／イマジカインフォス")</f>
        <v>(c)桜井ゆき・貞ユリナ／イマジカインフォス</v>
      </c>
      <c r="V2454" s="8" t="str">
        <f>IFERROR(__xludf.DUMMYFUNCTION("""COMPUTED_VALUE"""),"妊娠発覚＆結婚目前の幸せ満開の主人公だが、夫の社内不倫が発覚。不倫を揉み消そうとする会社と不倫夫への制裁物語。
社内恋愛の末、妊娠が発覚し結婚目前の主人公。
真っ白なドレスに身を包みしあわせいっぱいの結婚式を挙げて、順風満帆な結婚生活を送る準備をしていた主人公だったが…と思いきや、結婚直前で夫の社内不倫が発覚。しかも、夫の不倫の相手は社内の若手社員だった。
会社に対応を求めるが、会社だは不倫が蔓延っており、上層部が不倫の事実をもみ消してしまう。
主人公は退社覚悟で不倫した夫へ制裁を下すために動"&amp;"き出す…。
不倫夫へ制裁を下すまでの復讐劇を鮮やかに描く！")</f>
        <v>妊娠発覚＆結婚目前の幸せ満開の主人公だが、夫の社内不倫が発覚。不倫を揉み消そうとする会社と不倫夫への制裁物語。
社内恋愛の末、妊娠が発覚し結婚目前の主人公。
真っ白なドレスに身を包みしあわせいっぱいの結婚式を挙げて、順風満帆な結婚生活を送る準備をしていた主人公だったが…と思いきや、結婚直前で夫の社内不倫が発覚。しかも、夫の不倫の相手は社内の若手社員だった。
会社に対応を求めるが、会社だは不倫が蔓延っており、上層部が不倫の事実をもみ消してしまう。
主人公は退社覚悟で不倫した夫へ制裁を下すために動き出す…。
不倫夫へ制裁を下すまでの復讐劇を鮮やかに描く！</v>
      </c>
      <c r="W2454" s="14"/>
      <c r="X2454" s="14" t="str">
        <f>IFERROR(__xludf.DUMMYFUNCTION("""COMPUTED_VALUE"""),"有")</f>
        <v>有</v>
      </c>
      <c r="Y2454" s="8" t="str">
        <f>IFERROR(__xludf.DUMMYFUNCTION("""COMPUTED_VALUE"""),"2025/6/19まで1～2巻無料")</f>
        <v>2025/6/19まで1～2巻無料</v>
      </c>
      <c r="Z2454" s="7"/>
      <c r="AA2454" s="7"/>
      <c r="AB2454" s="7"/>
    </row>
    <row r="2455" ht="15.75" customHeight="1">
      <c r="A2455" s="66">
        <f>IFERROR(__xludf.DUMMYFUNCTION("""COMPUTED_VALUE"""),4413.0)</f>
        <v>4413</v>
      </c>
      <c r="B2455" s="75" t="str">
        <f>IFERROR(__xludf.DUMMYFUNCTION("""COMPUTED_VALUE"""),"確定")</f>
        <v>確定</v>
      </c>
      <c r="C2455" s="68">
        <f>IFERROR(__xludf.DUMMYFUNCTION("""COMPUTED_VALUE"""),45590.0)</f>
        <v>45590</v>
      </c>
      <c r="D2455" s="68">
        <f>IFERROR(__xludf.DUMMYFUNCTION("""COMPUTED_VALUE"""),45616.0)</f>
        <v>45616</v>
      </c>
      <c r="E2455" s="100">
        <f>IFERROR(__xludf.DUMMYFUNCTION("""COMPUTED_VALUE"""),310221.0)</f>
        <v>310221</v>
      </c>
      <c r="F2455" s="146" t="str">
        <f>IFERROR(__xludf.DUMMYFUNCTION("""COMPUTED_VALUE"""),"帝都はいから婚物語")</f>
        <v>帝都はいから婚物語</v>
      </c>
      <c r="G2455" s="75" t="str">
        <f>IFERROR(__xludf.DUMMYFUNCTION("""COMPUTED_VALUE"""),"1～6")</f>
        <v>1～6</v>
      </c>
      <c r="H2455" s="147" t="str">
        <f>IFERROR(__xludf.DUMMYFUNCTION("""COMPUTED_VALUE"""),"原作：綾城まめ／漫画：来栖千依")</f>
        <v>原作：綾城まめ／漫画：来栖千依</v>
      </c>
      <c r="I2455" s="148" t="str">
        <f>IFERROR(__xludf.DUMMYFUNCTION("""COMPUTED_VALUE"""),"女性")</f>
        <v>女性</v>
      </c>
      <c r="J2455" s="87"/>
      <c r="K2455" s="87"/>
      <c r="L2455" s="75" t="str">
        <f>IFERROR(__xludf.DUMMYFUNCTION("""COMPUTED_VALUE"""),"主婦の友社")</f>
        <v>主婦の友社</v>
      </c>
      <c r="M2455" s="85">
        <f>IFERROR(__xludf.DUMMYFUNCTION("""COMPUTED_VALUE"""),45646.0)</f>
        <v>45646</v>
      </c>
      <c r="N2455" s="47">
        <f>IFERROR(__xludf.DUMMYFUNCTION("""COMPUTED_VALUE"""),45827.0)</f>
        <v>45827</v>
      </c>
      <c r="O2455" s="75"/>
      <c r="P2455" s="80" t="str">
        <f>IFERROR(__xludf.DUMMYFUNCTION("""COMPUTED_VALUE"""),"否")</f>
        <v>否</v>
      </c>
      <c r="Q2455" s="75" t="str">
        <f>IFERROR(__xludf.DUMMYFUNCTION("""COMPUTED_VALUE"""),"ポプラ社小説新人賞ピュアフル部門賞受賞の『帝都はいから婚物語』のコミカライズ化です。&lt;BR&gt;1～3話を2分割して1～6巻分")</f>
        <v>ポプラ社小説新人賞ピュアフル部門賞受賞の『帝都はいから婚物語』のコミカライズ化です。&lt;BR&gt;1～3話を2分割して1～6巻分</v>
      </c>
      <c r="R2455" s="75" t="str">
        <f>IFERROR(__xludf.DUMMYFUNCTION("""COMPUTED_VALUE"""),"コミットOK")</f>
        <v>コミットOK</v>
      </c>
      <c r="S2455" s="75" t="str">
        <f>IFERROR(__xludf.DUMMYFUNCTION("""COMPUTED_VALUE"""),"20241119_主婦の友社_帝都はいから婚物語")</f>
        <v>20241119_主婦の友社_帝都はいから婚物語</v>
      </c>
      <c r="T2455" s="75" t="str">
        <f>IFERROR(__xludf.DUMMYFUNCTION("""COMPUTED_VALUE"""),"格納済み")</f>
        <v>格納済み</v>
      </c>
      <c r="U2455" s="15" t="str">
        <f>IFERROR(__xludf.DUMMYFUNCTION("""COMPUTED_VALUE"""),"(c)綾城まめ・来栖千依／イマジカインフォス")</f>
        <v>(c)綾城まめ・来栖千依／イマジカインフォス</v>
      </c>
      <c r="V2455" s="8" t="str">
        <f>IFERROR(__xludf.DUMMYFUNCTION("""COMPUTED_VALUE"""),"ポプラ社小説新人賞ピュアフル部門賞受賞の大人気作品『帝都はいから婚物語』をコミカライズ化！
ポプラ社小説新人賞ピュアフル部門賞受賞の大人気作品『帝都はいから婚物語』をコミカライズ化！
時は大正。観劇の好きな女学生、萩原杏は骨董好きの父親がつくった借金の形に、華族の神楽坂子爵家、次男・真との縁談を進められそうになっていた。が、見合い時に「男と肩を並べて働きたい」と口走ったのを当主・空太郎に聞かれ、帝華少年歌劇団の支配人に任命される。けれど、その経営は火の車。さらに、巷を賑わせる”怪盗ファントム”"&amp;"から劇団トップの星宮カレンを狙う脅迫状が届いて――。最初は杏を認めなかった真だが、だんだんとひらめきで謎を解いていく彼女に惹かれていく。はねっかえりの女学生×御曹司のキケンな恋の行く末は!?
綾城 まめ（アヤシロマメ）：2020年 少年画報社様 サムライねこぱんち花の陣 『はるのゆめ』で商業デビュー。2022年1月15日発売 ハルタ増刊テラン2022 WINTER号『乙女椿の庭』読み切り掲載。")</f>
        <v>ポプラ社小説新人賞ピュアフル部門賞受賞の大人気作品『帝都はいから婚物語』をコミカライズ化！
ポプラ社小説新人賞ピュアフル部門賞受賞の大人気作品『帝都はいから婚物語』をコミカライズ化！
時は大正。観劇の好きな女学生、萩原杏は骨董好きの父親がつくった借金の形に、華族の神楽坂子爵家、次男・真との縁談を進められそうになっていた。が、見合い時に「男と肩を並べて働きたい」と口走ったのを当主・空太郎に聞かれ、帝華少年歌劇団の支配人に任命される。けれど、その経営は火の車。さらに、巷を賑わせる”怪盗ファントム”から劇団トップの星宮カレンを狙う脅迫状が届いて――。最初は杏を認めなかった真だが、だんだんとひらめきで謎を解いていく彼女に惹かれていく。はねっかえりの女学生×御曹司のキケンな恋の行く末は!?
綾城 まめ（アヤシロマメ）：2020年 少年画報社様 サムライねこぱんち花の陣 『はるのゆめ』で商業デビュー。2022年1月15日発売 ハルタ増刊テラン2022 WINTER号『乙女椿の庭』読み切り掲載。</v>
      </c>
      <c r="W2455" s="14"/>
      <c r="X2455" s="14" t="str">
        <f>IFERROR(__xludf.DUMMYFUNCTION("""COMPUTED_VALUE"""),"有")</f>
        <v>有</v>
      </c>
      <c r="Y2455" s="8" t="str">
        <f>IFERROR(__xludf.DUMMYFUNCTION("""COMPUTED_VALUE"""),"2025/6/19まで1～4巻無料")</f>
        <v>2025/6/19まで1～4巻無料</v>
      </c>
      <c r="Z2455" s="7"/>
      <c r="AA2455" s="7"/>
      <c r="AB2455" s="7"/>
    </row>
    <row r="2456" ht="15.75" customHeight="1">
      <c r="A2456" s="66">
        <f>IFERROR(__xludf.DUMMYFUNCTION("""COMPUTED_VALUE"""),4414.0)</f>
        <v>4414</v>
      </c>
      <c r="B2456" s="75" t="str">
        <f>IFERROR(__xludf.DUMMYFUNCTION("""COMPUTED_VALUE"""),"確定")</f>
        <v>確定</v>
      </c>
      <c r="C2456" s="68">
        <f>IFERROR(__xludf.DUMMYFUNCTION("""COMPUTED_VALUE"""),45590.0)</f>
        <v>45590</v>
      </c>
      <c r="D2456" s="68">
        <f>IFERROR(__xludf.DUMMYFUNCTION("""COMPUTED_VALUE"""),45616.0)</f>
        <v>45616</v>
      </c>
      <c r="E2456" s="100">
        <f>IFERROR(__xludf.DUMMYFUNCTION("""COMPUTED_VALUE"""),310642.0)</f>
        <v>310642</v>
      </c>
      <c r="F2456" s="146" t="str">
        <f>IFERROR(__xludf.DUMMYFUNCTION("""COMPUTED_VALUE"""),"逆襲のマスクガールズ")</f>
        <v>逆襲のマスクガールズ</v>
      </c>
      <c r="G2456" s="75" t="str">
        <f>IFERROR(__xludf.DUMMYFUNCTION("""COMPUTED_VALUE"""),"1～6")</f>
        <v>1～6</v>
      </c>
      <c r="H2456" s="147" t="str">
        <f>IFERROR(__xludf.DUMMYFUNCTION("""COMPUTED_VALUE"""),"ロコヰ")</f>
        <v>ロコヰ</v>
      </c>
      <c r="I2456" s="148" t="str">
        <f>IFERROR(__xludf.DUMMYFUNCTION("""COMPUTED_VALUE"""),"青年")</f>
        <v>青年</v>
      </c>
      <c r="J2456" s="87"/>
      <c r="K2456" s="87"/>
      <c r="L2456" s="75" t="str">
        <f>IFERROR(__xludf.DUMMYFUNCTION("""COMPUTED_VALUE"""),"主婦の友社")</f>
        <v>主婦の友社</v>
      </c>
      <c r="M2456" s="85">
        <f>IFERROR(__xludf.DUMMYFUNCTION("""COMPUTED_VALUE"""),45646.0)</f>
        <v>45646</v>
      </c>
      <c r="N2456" s="47">
        <f>IFERROR(__xludf.DUMMYFUNCTION("""COMPUTED_VALUE"""),45827.0)</f>
        <v>45827</v>
      </c>
      <c r="O2456" s="75"/>
      <c r="P2456" s="80" t="str">
        <f>IFERROR(__xludf.DUMMYFUNCTION("""COMPUTED_VALUE"""),"否")</f>
        <v>否</v>
      </c>
      <c r="Q2456" s="75" t="str">
        <f>IFERROR(__xludf.DUMMYFUNCTION("""COMPUTED_VALUE"""),"1～3話を2分割して1～6巻分")</f>
        <v>1～3話を2分割して1～6巻分</v>
      </c>
      <c r="R2456" s="75" t="str">
        <f>IFERROR(__xludf.DUMMYFUNCTION("""COMPUTED_VALUE"""),"コミットOK")</f>
        <v>コミットOK</v>
      </c>
      <c r="S2456" s="75" t="str">
        <f>IFERROR(__xludf.DUMMYFUNCTION("""COMPUTED_VALUE"""),"20241119_主婦の友社_逆襲のマスクガールズ")</f>
        <v>20241119_主婦の友社_逆襲のマスクガールズ</v>
      </c>
      <c r="T2456" s="75" t="str">
        <f>IFERROR(__xludf.DUMMYFUNCTION("""COMPUTED_VALUE"""),"格納済み")</f>
        <v>格納済み</v>
      </c>
      <c r="U2456" s="15" t="str">
        <f>IFERROR(__xludf.DUMMYFUNCTION("""COMPUTED_VALUE"""),"(c)ロコヰ／イマジカインフォス")</f>
        <v>(c)ロコヰ／イマジカインフォス</v>
      </c>
      <c r="V2456" s="8" t="str">
        <f>IFERROR(__xludf.DUMMYFUNCTION("""COMPUTED_VALUE"""),"謎の生命体に襲われた地球で、生命維持装置である特殊なマスクをつけた少女たちが地球を守る最後の戦いに挑む......!
謎の生命体に襲われた近未来の地球。
突然街が霧で覆われ、霧の中に潜む化け物たちが人間たちに襲いかかった。
学校から帰宅中だったレイは人々がモンスターに襲われている光景を見て、必死に家に逃げ帰る。
しかし、家ではすでに両親も襲われていた……。
父親が研究していた謎のマスクを無意識に手に取るレイ。
不思議な力を手に入れて霧のなかのモンスターたちと戦う道を選んだレイは、やがて4人"&amp;"の仲間を見つけて地球を守る最後の戦いに挑む......!")</f>
        <v>謎の生命体に襲われた地球で、生命維持装置である特殊なマスクをつけた少女たちが地球を守る最後の戦いに挑む......!
謎の生命体に襲われた近未来の地球。
突然街が霧で覆われ、霧の中に潜む化け物たちが人間たちに襲いかかった。
学校から帰宅中だったレイは人々がモンスターに襲われている光景を見て、必死に家に逃げ帰る。
しかし、家ではすでに両親も襲われていた……。
父親が研究していた謎のマスクを無意識に手に取るレイ。
不思議な力を手に入れて霧のなかのモンスターたちと戦う道を選んだレイは、やがて4人の仲間を見つけて地球を守る最後の戦いに挑む......!</v>
      </c>
      <c r="W2456" s="14"/>
      <c r="X2456" s="14" t="str">
        <f>IFERROR(__xludf.DUMMYFUNCTION("""COMPUTED_VALUE"""),"有")</f>
        <v>有</v>
      </c>
      <c r="Y2456" s="8" t="str">
        <f>IFERROR(__xludf.DUMMYFUNCTION("""COMPUTED_VALUE"""),"2025/6/19まで1～4巻無料")</f>
        <v>2025/6/19まで1～4巻無料</v>
      </c>
      <c r="Z2456" s="7"/>
      <c r="AA2456" s="7"/>
      <c r="AB2456" s="7"/>
    </row>
    <row r="2457" ht="15.75" customHeight="1">
      <c r="A2457" s="66">
        <f>IFERROR(__xludf.DUMMYFUNCTION("""COMPUTED_VALUE"""),4464.0)</f>
        <v>4464</v>
      </c>
      <c r="B2457" s="75" t="str">
        <f>IFERROR(__xludf.DUMMYFUNCTION("""COMPUTED_VALUE"""),"確定")</f>
        <v>確定</v>
      </c>
      <c r="C2457" s="68">
        <f>IFERROR(__xludf.DUMMYFUNCTION("""COMPUTED_VALUE"""),45602.0)</f>
        <v>45602</v>
      </c>
      <c r="D2457" s="68">
        <f>IFERROR(__xludf.DUMMYFUNCTION("""COMPUTED_VALUE"""),45610.0)</f>
        <v>45610</v>
      </c>
      <c r="E2457" s="100">
        <f>IFERROR(__xludf.DUMMYFUNCTION("""COMPUTED_VALUE"""),309285.0)</f>
        <v>309285</v>
      </c>
      <c r="F2457" s="146" t="str">
        <f>IFERROR(__xludf.DUMMYFUNCTION("""COMPUTED_VALUE"""),"カノジョは俺にかみつきたい【マイクロ】")</f>
        <v>カノジョは俺にかみつきたい【マイクロ】</v>
      </c>
      <c r="G2457" s="75" t="str">
        <f>IFERROR(__xludf.DUMMYFUNCTION("""COMPUTED_VALUE"""),"1～4")</f>
        <v>1～4</v>
      </c>
      <c r="H2457" s="147" t="str">
        <f>IFERROR(__xludf.DUMMYFUNCTION("""COMPUTED_VALUE"""),"浅野あや")</f>
        <v>浅野あや</v>
      </c>
      <c r="I2457" s="148" t="str">
        <f>IFERROR(__xludf.DUMMYFUNCTION("""COMPUTED_VALUE"""),"女性")</f>
        <v>女性</v>
      </c>
      <c r="J2457" s="87"/>
      <c r="K2457" s="87"/>
      <c r="L2457" s="75" t="str">
        <f>IFERROR(__xludf.DUMMYFUNCTION("""COMPUTED_VALUE"""),"小学館")</f>
        <v>小学館</v>
      </c>
      <c r="M2457" s="23">
        <f>IFERROR(__xludf.DUMMYFUNCTION("""COMPUTED_VALUE"""),45631.0)</f>
        <v>45631</v>
      </c>
      <c r="N2457" s="47">
        <f>IFERROR(__xludf.DUMMYFUNCTION("""COMPUTED_VALUE"""),45692.0)</f>
        <v>45692</v>
      </c>
      <c r="O2457" s="75"/>
      <c r="P2457" s="80" t="str">
        <f>IFERROR(__xludf.DUMMYFUNCTION("""COMPUTED_VALUE"""),"否")</f>
        <v>否</v>
      </c>
      <c r="Q2457" s="75" t="str">
        <f>IFERROR(__xludf.DUMMYFUNCTION("""COMPUTED_VALUE"""),"『ねぇ先生、知らないの？』『女神に恋した男たち』など連載実績のある浅野あや先生の新連載となります！")</f>
        <v>『ねぇ先生、知らないの？』『女神に恋した男たち』など連載実績のある浅野あや先生の新連載となります！</v>
      </c>
      <c r="R2457" s="75" t="str">
        <f>IFERROR(__xludf.DUMMYFUNCTION("""COMPUTED_VALUE"""),"コミットOK")</f>
        <v>コミットOK</v>
      </c>
      <c r="S2457" s="75" t="str">
        <f>IFERROR(__xludf.DUMMYFUNCTION("""COMPUTED_VALUE"""),"20241114_小学館_カノジョは俺にかみつきたい")</f>
        <v>20241114_小学館_カノジョは俺にかみつきたい</v>
      </c>
      <c r="T2457" s="75" t="str">
        <f>IFERROR(__xludf.DUMMYFUNCTION("""COMPUTED_VALUE"""),"格納済み")</f>
        <v>格納済み</v>
      </c>
      <c r="U2457" s="15" t="str">
        <f>IFERROR(__xludf.DUMMYFUNCTION("""COMPUTED_VALUE"""),"(C)浅野あや / 小学館")</f>
        <v>(C)浅野あや / 小学館</v>
      </c>
      <c r="V2457" s="8" t="str">
        <f>IFERROR(__xludf.DUMMYFUNCTION("""COMPUTED_VALUE"""),"アパレル会社のプレスの部署に配属された杏那。大好きな洋服たちに囲まれて、最高のオフィス生活が始まる・・・と思ったら、上司が誰にでも「可愛い」と言う最低なチャラ男で！？シゴデキって言うけどこの上司、めっちゃむかつくんですけど――！！
男嫌い女子×チャラ男上司　オシャレでポップな新感覚・オフィスラブ！！")</f>
        <v>アパレル会社のプレスの部署に配属された杏那。大好きな洋服たちに囲まれて、最高のオフィス生活が始まる・・・と思ったら、上司が誰にでも「可愛い」と言う最低なチャラ男で！？シゴデキって言うけどこの上司、めっちゃむかつくんですけど――！！
男嫌い女子×チャラ男上司　オシャレでポップな新感覚・オフィスラブ！！</v>
      </c>
      <c r="W2457" s="14"/>
      <c r="X2457" s="14" t="str">
        <f>IFERROR(__xludf.DUMMYFUNCTION("""COMPUTED_VALUE"""),"有")</f>
        <v>有</v>
      </c>
      <c r="Y2457" s="8" t="str">
        <f>IFERROR(__xludf.DUMMYFUNCTION("""COMPUTED_VALUE"""),"2025/2/4まで1巻無料")</f>
        <v>2025/2/4まで1巻無料</v>
      </c>
      <c r="Z2457" s="7"/>
      <c r="AA2457" s="7"/>
      <c r="AB2457" s="7"/>
    </row>
    <row r="2458" ht="15.75" customHeight="1">
      <c r="A2458" s="66">
        <f>IFERROR(__xludf.DUMMYFUNCTION("""COMPUTED_VALUE"""),4477.0)</f>
        <v>4477</v>
      </c>
      <c r="B2458" s="75" t="str">
        <f>IFERROR(__xludf.DUMMYFUNCTION("""COMPUTED_VALUE"""),"確定")</f>
        <v>確定</v>
      </c>
      <c r="C2458" s="68">
        <f>IFERROR(__xludf.DUMMYFUNCTION("""COMPUTED_VALUE"""),45604.0)</f>
        <v>45604</v>
      </c>
      <c r="D2458" s="68">
        <f>IFERROR(__xludf.DUMMYFUNCTION("""COMPUTED_VALUE"""),45616.0)</f>
        <v>45616</v>
      </c>
      <c r="E2458" s="100">
        <f>IFERROR(__xludf.DUMMYFUNCTION("""COMPUTED_VALUE"""),310662.0)</f>
        <v>310662</v>
      </c>
      <c r="F2458" s="146" t="str">
        <f>IFERROR(__xludf.DUMMYFUNCTION("""COMPUTED_VALUE"""),"召使い令嬢は国境を越え、敵国の公爵騎士様に溺愛される（単話版）")</f>
        <v>召使い令嬢は国境を越え、敵国の公爵騎士様に溺愛される（単話版）</v>
      </c>
      <c r="G2458" s="75" t="str">
        <f>IFERROR(__xludf.DUMMYFUNCTION("""COMPUTED_VALUE"""),"1～9")</f>
        <v>1～9</v>
      </c>
      <c r="H2458" s="147" t="str">
        <f>IFERROR(__xludf.DUMMYFUNCTION("""COMPUTED_VALUE"""),"ネコピ・ザ・キャット 青季ふゆ")</f>
        <v>ネコピ・ザ・キャット 青季ふゆ</v>
      </c>
      <c r="I2458" s="147" t="str">
        <f>IFERROR(__xludf.DUMMYFUNCTION("""COMPUTED_VALUE"""),"女性")</f>
        <v>女性</v>
      </c>
      <c r="J2458" s="87"/>
      <c r="K2458" s="87"/>
      <c r="L2458" s="75" t="str">
        <f>IFERROR(__xludf.DUMMYFUNCTION("""COMPUTED_VALUE"""),"フレックスコミックス")</f>
        <v>フレックスコミックス</v>
      </c>
      <c r="M2458" s="85">
        <f>IFERROR(__xludf.DUMMYFUNCTION("""COMPUTED_VALUE"""),45639.0)</f>
        <v>45639</v>
      </c>
      <c r="N2458" s="68">
        <f>IFERROR(__xludf.DUMMYFUNCTION("""COMPUTED_VALUE"""),45700.0)</f>
        <v>45700</v>
      </c>
      <c r="O2458" s="75"/>
      <c r="P2458" s="80" t="str">
        <f>IFERROR(__xludf.DUMMYFUNCTION("""COMPUTED_VALUE"""),"否")</f>
        <v>否</v>
      </c>
      <c r="Q2458" s="75" t="str">
        <f>IFERROR(__xludf.DUMMYFUNCTION("""COMPUTED_VALUE"""),"■配信スケジュール&lt;BR&gt;・初回配信予定日：12/13&lt;BR&gt;└1～9話…12/13&lt;BR&gt; 10話…12/18&lt;BR&gt; 11話…1/8&lt;BR&gt; 12話…2/12&lt;BR&gt;&lt;BR&gt;■コピーライトについて&lt;BR&gt;「青季ふゆ」「ネコピ・ザ・キャット／フレックスコミックス」の間に半角アキがありますのでご注意ください。")</f>
        <v>■配信スケジュール&lt;BR&gt;・初回配信予定日：12/13&lt;BR&gt;└1～9話…12/13&lt;BR&gt; 10話…12/18&lt;BR&gt; 11話…1/8&lt;BR&gt; 12話…2/12&lt;BR&gt;&lt;BR&gt;■コピーライトについて&lt;BR&gt;「青季ふゆ」「ネコピ・ザ・キャット／フレックスコミックス」の間に半角アキがありますのでご注意ください。</v>
      </c>
      <c r="R2458" s="75" t="str">
        <f>IFERROR(__xludf.DUMMYFUNCTION("""COMPUTED_VALUE"""),"コミットOK")</f>
        <v>コミットOK</v>
      </c>
      <c r="S2458" s="75" t="str">
        <f>IFERROR(__xludf.DUMMYFUNCTION("""COMPUTED_VALUE"""),"20241108_フレックスコミックス_召使い令嬢は国境を越え、敵国の公爵騎士様に溺愛される（単話版）")</f>
        <v>20241108_フレックスコミックス_召使い令嬢は国境を越え、敵国の公爵騎士様に溺愛される（単話版）</v>
      </c>
      <c r="T2458" s="75" t="str">
        <f>IFERROR(__xludf.DUMMYFUNCTION("""COMPUTED_VALUE"""),"格納済み")</f>
        <v>格納済み</v>
      </c>
      <c r="U2458" s="15" t="str">
        <f>IFERROR(__xludf.DUMMYFUNCTION("""COMPUTED_VALUE"""),"(C)青季ふゆ (C)ネコピ・ザ・キャット／フレックスコミックス")</f>
        <v>(C)青季ふゆ (C)ネコピ・ザ・キャット／フレックスコミックス</v>
      </c>
      <c r="V2458" s="8" t="str">
        <f>IFERROR(__xludf.DUMMYFUNCTION("""COMPUTED_VALUE"""),"敵国の厳格な公爵騎士×ひたむきな令嬢の国境を越える極上ラブ・ロマンス！ 辺境伯令嬢のシャーリーは家族から虐げられる日々。ついには義理の妹に殺されそうになり、敵対している隣国に踏み入ってしまう。「極悪残忍と噂の敵国、容易には帰してもらえない。それに…帰る場所もない」途方に暮れていると敵国の公爵騎士・オリバーとの婚約を提案されて!?（C）ネコピ・ザ・キャット（C）青季ふゆ／フレックスコミックス")</f>
        <v>敵国の厳格な公爵騎士×ひたむきな令嬢の国境を越える極上ラブ・ロマンス！ 辺境伯令嬢のシャーリーは家族から虐げられる日々。ついには義理の妹に殺されそうになり、敵対している隣国に踏み入ってしまう。「極悪残忍と噂の敵国、容易には帰してもらえない。それに…帰る場所もない」途方に暮れていると敵国の公爵騎士・オリバーとの婚約を提案されて!?（C）ネコピ・ザ・キャット（C）青季ふゆ／フレックスコミックス</v>
      </c>
      <c r="W2458" s="14"/>
      <c r="X2458" s="14" t="str">
        <f>IFERROR(__xludf.DUMMYFUNCTION("""COMPUTED_VALUE"""),"有")</f>
        <v>有</v>
      </c>
      <c r="Y2458" s="8" t="str">
        <f>IFERROR(__xludf.DUMMYFUNCTION("""COMPUTED_VALUE"""),"2025/2/12まで1～2巻無料")</f>
        <v>2025/2/12まで1～2巻無料</v>
      </c>
      <c r="Z2458" s="7"/>
      <c r="AA2458" s="7"/>
      <c r="AB2458" s="7"/>
    </row>
    <row r="2459" ht="15.75" customHeight="1">
      <c r="A2459" s="66">
        <f>IFERROR(__xludf.DUMMYFUNCTION("""COMPUTED_VALUE"""),4485.0)</f>
        <v>4485</v>
      </c>
      <c r="B2459" s="75" t="str">
        <f>IFERROR(__xludf.DUMMYFUNCTION("""COMPUTED_VALUE"""),"確定")</f>
        <v>確定</v>
      </c>
      <c r="C2459" s="68">
        <f>IFERROR(__xludf.DUMMYFUNCTION("""COMPUTED_VALUE"""),45604.0)</f>
        <v>45604</v>
      </c>
      <c r="D2459" s="68">
        <f>IFERROR(__xludf.DUMMYFUNCTION("""COMPUTED_VALUE"""),45615.0)</f>
        <v>45615</v>
      </c>
      <c r="E2459" s="100">
        <f>IFERROR(__xludf.DUMMYFUNCTION("""COMPUTED_VALUE"""),311341.0)</f>
        <v>311341</v>
      </c>
      <c r="F2459" s="146" t="str">
        <f>IFERROR(__xludf.DUMMYFUNCTION("""COMPUTED_VALUE"""),"お前を殺るまで何度でも【単話版】")</f>
        <v>お前を殺るまで何度でも【単話版】</v>
      </c>
      <c r="G2459" s="75" t="str">
        <f>IFERROR(__xludf.DUMMYFUNCTION("""COMPUTED_VALUE"""),"1～3")</f>
        <v>1～3</v>
      </c>
      <c r="H2459" s="147" t="str">
        <f>IFERROR(__xludf.DUMMYFUNCTION("""COMPUTED_VALUE"""),"阪口ナオミ")</f>
        <v>阪口ナオミ</v>
      </c>
      <c r="I2459" s="147" t="str">
        <f>IFERROR(__xludf.DUMMYFUNCTION("""COMPUTED_VALUE"""),"女性")</f>
        <v>女性</v>
      </c>
      <c r="J2459" s="87"/>
      <c r="K2459" s="87"/>
      <c r="L2459" s="75" t="str">
        <f>IFERROR(__xludf.DUMMYFUNCTION("""COMPUTED_VALUE"""),"マイクロマガジン社")</f>
        <v>マイクロマガジン社</v>
      </c>
      <c r="M2459" s="85">
        <f>IFERROR(__xludf.DUMMYFUNCTION("""COMPUTED_VALUE"""),45653.0)</f>
        <v>45653</v>
      </c>
      <c r="N2459" s="68">
        <f>IFERROR(__xludf.DUMMYFUNCTION("""COMPUTED_VALUE"""),45742.0)</f>
        <v>45742</v>
      </c>
      <c r="O2459" s="75"/>
      <c r="P2459" s="71" t="str">
        <f>IFERROR(__xludf.DUMMYFUNCTION("""COMPUTED_VALUE"""),"可")</f>
        <v>可</v>
      </c>
      <c r="Q2459" s="75"/>
      <c r="R2459" s="75" t="str">
        <f>IFERROR(__xludf.DUMMYFUNCTION("""COMPUTED_VALUE"""),"コミットOK")</f>
        <v>コミットOK</v>
      </c>
      <c r="S2459" s="75" t="str">
        <f>IFERROR(__xludf.DUMMYFUNCTION("""COMPUTED_VALUE"""),"20241118_マイクロマガジン_お前を殺るまで何度でも")</f>
        <v>20241118_マイクロマガジン_お前を殺るまで何度でも</v>
      </c>
      <c r="T2459" s="75" t="str">
        <f>IFERROR(__xludf.DUMMYFUNCTION("""COMPUTED_VALUE"""),"格納済み")</f>
        <v>格納済み</v>
      </c>
      <c r="U2459" s="15" t="str">
        <f>IFERROR(__xludf.DUMMYFUNCTION("""COMPUTED_VALUE"""),"（C）阪口ナオミ （C）マイクロマガジン社")</f>
        <v>（C）阪口ナオミ （C）マイクロマガジン社</v>
      </c>
      <c r="V2459" s="8" t="str">
        <f>IFERROR(__xludf.DUMMYFUNCTION("""COMPUTED_VALUE"""),"蕪木鈴は何者か連れ去られてビルから落とされた。
死に瀕する中、彼女の心を占めていたのは夫をひき逃げして殺した女への復讐心。
そんな彼女が目を覚ますと、別人の顔になっていた。
あの女の娘・緑川礼香に移り変わっていた鈴は、この身体で復讐を果たすために動き始める。")</f>
        <v>蕪木鈴は何者か連れ去られてビルから落とされた。
死に瀕する中、彼女の心を占めていたのは夫をひき逃げして殺した女への復讐心。
そんな彼女が目を覚ますと、別人の顔になっていた。
あの女の娘・緑川礼香に移り変わっていた鈴は、この身体で復讐を果たすために動き始める。</v>
      </c>
      <c r="W2459" s="14"/>
      <c r="X2459" s="14" t="str">
        <f>IFERROR(__xludf.DUMMYFUNCTION("""COMPUTED_VALUE"""),"有")</f>
        <v>有</v>
      </c>
      <c r="Y2459" s="8" t="str">
        <f>IFERROR(__xludf.DUMMYFUNCTION("""COMPUTED_VALUE"""),"P13まで")</f>
        <v>P13まで</v>
      </c>
      <c r="Z2459" s="7"/>
      <c r="AA2459" s="7"/>
      <c r="AB2459" s="7"/>
    </row>
    <row r="2460" ht="15.75" customHeight="1">
      <c r="A2460" s="66">
        <f>IFERROR(__xludf.DUMMYFUNCTION("""COMPUTED_VALUE"""),4499.0)</f>
        <v>4499</v>
      </c>
      <c r="B2460" s="75" t="str">
        <f>IFERROR(__xludf.DUMMYFUNCTION("""COMPUTED_VALUE"""),"確定")</f>
        <v>確定</v>
      </c>
      <c r="C2460" s="68">
        <f>IFERROR(__xludf.DUMMYFUNCTION("""COMPUTED_VALUE"""),45608.0)</f>
        <v>45608</v>
      </c>
      <c r="D2460" s="68">
        <f>IFERROR(__xludf.DUMMYFUNCTION("""COMPUTED_VALUE"""),45616.0)</f>
        <v>45616</v>
      </c>
      <c r="E2460" s="100">
        <f>IFERROR(__xludf.DUMMYFUNCTION("""COMPUTED_VALUE"""),277014.0)</f>
        <v>277014</v>
      </c>
      <c r="F2460" s="146" t="str">
        <f>IFERROR(__xludf.DUMMYFUNCTION("""COMPUTED_VALUE"""),"監獄島")</f>
        <v>監獄島</v>
      </c>
      <c r="G2460" s="75" t="str">
        <f>IFERROR(__xludf.DUMMYFUNCTION("""COMPUTED_VALUE"""),"1～3")</f>
        <v>1～3</v>
      </c>
      <c r="H2460" s="147" t="str">
        <f>IFERROR(__xludf.DUMMYFUNCTION("""COMPUTED_VALUE"""),"近藤令")</f>
        <v>近藤令</v>
      </c>
      <c r="I2460" s="147" t="str">
        <f>IFERROR(__xludf.DUMMYFUNCTION("""COMPUTED_VALUE"""),"青年マンガ")</f>
        <v>青年マンガ</v>
      </c>
      <c r="J2460" s="87"/>
      <c r="K2460" s="87"/>
      <c r="L2460" s="75" t="str">
        <f>IFERROR(__xludf.DUMMYFUNCTION("""COMPUTED_VALUE"""),"シーモアコミックス")</f>
        <v>シーモアコミックス</v>
      </c>
      <c r="M2460" s="85">
        <f>IFERROR(__xludf.DUMMYFUNCTION("""COMPUTED_VALUE"""),45640.0)</f>
        <v>45640</v>
      </c>
      <c r="N2460" s="23">
        <f>IFERROR(__xludf.DUMMYFUNCTION("""COMPUTED_VALUE"""),45792.66666666667)</f>
        <v>45792.66667</v>
      </c>
      <c r="O2460" s="75"/>
      <c r="P2460" s="71" t="str">
        <f>IFERROR(__xludf.DUMMYFUNCTION("""COMPUTED_VALUE"""),"可")</f>
        <v>可</v>
      </c>
      <c r="Q2460" s="72"/>
      <c r="R2460" s="75"/>
      <c r="S2460" s="75" t="str">
        <f>IFERROR(__xludf.DUMMYFUNCTION("""COMPUTED_VALUE"""),"20241115_シーモアコミックス_監獄島")</f>
        <v>20241115_シーモアコミックス_監獄島</v>
      </c>
      <c r="T2460" s="75" t="str">
        <f>IFERROR(__xludf.DUMMYFUNCTION("""COMPUTED_VALUE"""),"格納済み")</f>
        <v>格納済み</v>
      </c>
      <c r="U2460" s="15" t="str">
        <f>IFERROR(__xludf.DUMMYFUNCTION("""COMPUTED_VALUE"""),"© 近藤令/シーモアコミックス")</f>
        <v>© 近藤令/シーモアコミックス</v>
      </c>
      <c r="V2460" s="8" t="str">
        <f>IFERROR(__xludf.DUMMYFUNCTION("""COMPUTED_VALUE"""),"極悪犯ばかりを収容する島がある、それは日本の西端に位置して「監獄島」と呼ばれていたーー
経済の悪化と犯罪件数の増加で、国民の疲弊と憎悪が蔓延する日本、そこで提案されたのが監獄島だった。それは広大な孤島で受刑者が税金に依らず自活するという、自治と自由を謳った刑務所だった。しかしそこに配属された新人刑務官、富沢の見たものとはーー！【ズズズキュン！】")</f>
        <v>極悪犯ばかりを収容する島がある、それは日本の西端に位置して「監獄島」と呼ばれていたーー
経済の悪化と犯罪件数の増加で、国民の疲弊と憎悪が蔓延する日本、そこで提案されたのが監獄島だった。それは広大な孤島で受刑者が税金に依らず自活するという、自治と自由を謳った刑務所だった。しかしそこに配属された新人刑務官、富沢の見たものとはーー！【ズズズキュン！】</v>
      </c>
      <c r="W2460" s="14"/>
      <c r="X2460" s="14" t="str">
        <f>IFERROR(__xludf.DUMMYFUNCTION("""COMPUTED_VALUE"""),"有")</f>
        <v>有</v>
      </c>
      <c r="Y2460" s="8" t="str">
        <f>IFERROR(__xludf.DUMMYFUNCTION("""COMPUTED_VALUE"""),"2025/1/10まで1巻無料")</f>
        <v>2025/1/10まで1巻無料</v>
      </c>
      <c r="Z2460" s="7"/>
      <c r="AA2460" s="7"/>
      <c r="AB2460" s="7"/>
    </row>
    <row r="2461" ht="15.75" customHeight="1">
      <c r="A2461" s="66">
        <f>IFERROR(__xludf.DUMMYFUNCTION("""COMPUTED_VALUE"""),4500.0)</f>
        <v>4500</v>
      </c>
      <c r="B2461" s="75" t="str">
        <f>IFERROR(__xludf.DUMMYFUNCTION("""COMPUTED_VALUE"""),"確定")</f>
        <v>確定</v>
      </c>
      <c r="C2461" s="68">
        <f>IFERROR(__xludf.DUMMYFUNCTION("""COMPUTED_VALUE"""),45608.0)</f>
        <v>45608</v>
      </c>
      <c r="D2461" s="68">
        <f>IFERROR(__xludf.DUMMYFUNCTION("""COMPUTED_VALUE"""),45616.0)</f>
        <v>45616</v>
      </c>
      <c r="E2461" s="100">
        <f>IFERROR(__xludf.DUMMYFUNCTION("""COMPUTED_VALUE"""),288116.0)</f>
        <v>288116</v>
      </c>
      <c r="F2461" s="146" t="str">
        <f>IFERROR(__xludf.DUMMYFUNCTION("""COMPUTED_VALUE"""),"隣のピカソくん")</f>
        <v>隣のピカソくん</v>
      </c>
      <c r="G2461" s="75" t="str">
        <f>IFERROR(__xludf.DUMMYFUNCTION("""COMPUTED_VALUE"""),"1～3")</f>
        <v>1～3</v>
      </c>
      <c r="H2461" s="147" t="str">
        <f>IFERROR(__xludf.DUMMYFUNCTION("""COMPUTED_VALUE"""),"真田ちか")</f>
        <v>真田ちか</v>
      </c>
      <c r="I2461" s="147" t="str">
        <f>IFERROR(__xludf.DUMMYFUNCTION("""COMPUTED_VALUE"""),"少女マンガ")</f>
        <v>少女マンガ</v>
      </c>
      <c r="J2461" s="87"/>
      <c r="K2461" s="87"/>
      <c r="L2461" s="75" t="str">
        <f>IFERROR(__xludf.DUMMYFUNCTION("""COMPUTED_VALUE"""),"シーモアコミックス")</f>
        <v>シーモアコミックス</v>
      </c>
      <c r="M2461" s="85">
        <f>IFERROR(__xludf.DUMMYFUNCTION("""COMPUTED_VALUE"""),45640.0)</f>
        <v>45640</v>
      </c>
      <c r="N2461" s="23">
        <f>IFERROR(__xludf.DUMMYFUNCTION("""COMPUTED_VALUE"""),45701.0)</f>
        <v>45701</v>
      </c>
      <c r="O2461" s="75"/>
      <c r="P2461" s="71" t="str">
        <f>IFERROR(__xludf.DUMMYFUNCTION("""COMPUTED_VALUE"""),"可")</f>
        <v>可</v>
      </c>
      <c r="Q2461" s="72"/>
      <c r="R2461" s="75"/>
      <c r="S2461" s="75" t="str">
        <f>IFERROR(__xludf.DUMMYFUNCTION("""COMPUTED_VALUE"""),"20241115_シーモアコミックス_隣のピカソくん")</f>
        <v>20241115_シーモアコミックス_隣のピカソくん</v>
      </c>
      <c r="T2461" s="75" t="str">
        <f>IFERROR(__xludf.DUMMYFUNCTION("""COMPUTED_VALUE"""),"格納済み")</f>
        <v>格納済み</v>
      </c>
      <c r="U2461" s="15" t="str">
        <f>IFERROR(__xludf.DUMMYFUNCTION("""COMPUTED_VALUE"""),"© 真田ちか/シーモアコミックス")</f>
        <v>© 真田ちか/シーモアコミックス</v>
      </c>
      <c r="V2461" s="8" t="str">
        <f>IFERROR(__xludf.DUMMYFUNCTION("""COMPUTED_VALUE"""),"アート系男子の生態はお隣なのにまるで異世界！ 人生の色が変わる年下ラブ☆
会計士として働く千晶の毎日は仕事・仕事・仕事！ 帰り道で見上げる夜空はいつも真っ黒だ。淡々と過ぎる毎日を最近ちょっとだけ乱していくのは、隣に引っ越してきた男の子。深夜に徘徊しているし、変なにおいがするし、いわゆる不良なのかと思っていたけれど──。【恋するソワレ】")</f>
        <v>アート系男子の生態はお隣なのにまるで異世界！ 人生の色が変わる年下ラブ☆
会計士として働く千晶の毎日は仕事・仕事・仕事！ 帰り道で見上げる夜空はいつも真っ黒だ。淡々と過ぎる毎日を最近ちょっとだけ乱していくのは、隣に引っ越してきた男の子。深夜に徘徊しているし、変なにおいがするし、いわゆる不良なのかと思っていたけれど──。【恋するソワレ】</v>
      </c>
      <c r="W2461" s="14"/>
      <c r="X2461" s="14" t="str">
        <f>IFERROR(__xludf.DUMMYFUNCTION("""COMPUTED_VALUE"""),"有")</f>
        <v>有</v>
      </c>
      <c r="Y2461" s="8" t="str">
        <f>IFERROR(__xludf.DUMMYFUNCTION("""COMPUTED_VALUE"""),"2025/1/10まで1巻無料")</f>
        <v>2025/1/10まで1巻無料</v>
      </c>
      <c r="Z2461" s="7"/>
      <c r="AA2461" s="7"/>
      <c r="AB2461" s="7"/>
    </row>
    <row r="2462" ht="15.75" customHeight="1">
      <c r="A2462" s="66">
        <f>IFERROR(__xludf.DUMMYFUNCTION("""COMPUTED_VALUE"""),4501.0)</f>
        <v>4501</v>
      </c>
      <c r="B2462" s="75" t="str">
        <f>IFERROR(__xludf.DUMMYFUNCTION("""COMPUTED_VALUE"""),"確定")</f>
        <v>確定</v>
      </c>
      <c r="C2462" s="68">
        <f>IFERROR(__xludf.DUMMYFUNCTION("""COMPUTED_VALUE"""),45608.0)</f>
        <v>45608</v>
      </c>
      <c r="D2462" s="68">
        <f>IFERROR(__xludf.DUMMYFUNCTION("""COMPUTED_VALUE"""),45616.0)</f>
        <v>45616</v>
      </c>
      <c r="E2462" s="100">
        <f>IFERROR(__xludf.DUMMYFUNCTION("""COMPUTED_VALUE"""),289016.0)</f>
        <v>289016</v>
      </c>
      <c r="F2462" s="146" t="str">
        <f>IFERROR(__xludf.DUMMYFUNCTION("""COMPUTED_VALUE"""),"クール上司と溺愛初夜")</f>
        <v>クール上司と溺愛初夜</v>
      </c>
      <c r="G2462" s="75">
        <f>IFERROR(__xludf.DUMMYFUNCTION("""COMPUTED_VALUE"""),1.0)</f>
        <v>1</v>
      </c>
      <c r="H2462" s="147" t="str">
        <f>IFERROR(__xludf.DUMMYFUNCTION("""COMPUTED_VALUE"""),"おうしみつ")</f>
        <v>おうしみつ</v>
      </c>
      <c r="I2462" s="147" t="str">
        <f>IFERROR(__xludf.DUMMYFUNCTION("""COMPUTED_VALUE"""),"TLコミック")</f>
        <v>TLコミック</v>
      </c>
      <c r="J2462" s="75"/>
      <c r="K2462" s="75" t="str">
        <f>IFERROR(__xludf.DUMMYFUNCTION("""COMPUTED_VALUE"""),"スキして?桃色日記")</f>
        <v>スキして?桃色日記</v>
      </c>
      <c r="L2462" s="75" t="str">
        <f>IFERROR(__xludf.DUMMYFUNCTION("""COMPUTED_VALUE"""),"シーモアコミックス")</f>
        <v>シーモアコミックス</v>
      </c>
      <c r="M2462" s="85">
        <f>IFERROR(__xludf.DUMMYFUNCTION("""COMPUTED_VALUE"""),45640.0)</f>
        <v>45640</v>
      </c>
      <c r="N2462" s="23">
        <f>IFERROR(__xludf.DUMMYFUNCTION("""COMPUTED_VALUE"""),45701.0)</f>
        <v>45701</v>
      </c>
      <c r="O2462" s="75"/>
      <c r="P2462" s="80" t="str">
        <f>IFERROR(__xludf.DUMMYFUNCTION("""COMPUTED_VALUE"""),"可")</f>
        <v>可</v>
      </c>
      <c r="Q2462" s="72" t="str">
        <f>IFERROR(__xludf.DUMMYFUNCTION("""COMPUTED_VALUE"""),"※読み切り作品のため1巻のみですが出稿お願いします")</f>
        <v>※読み切り作品のため1巻のみですが出稿お願いします</v>
      </c>
      <c r="R2462" s="75"/>
      <c r="S2462" s="75" t="str">
        <f>IFERROR(__xludf.DUMMYFUNCTION("""COMPUTED_VALUE"""),"20241115_シーモアコミックス_クール上司と溺愛初夜")</f>
        <v>20241115_シーモアコミックス_クール上司と溺愛初夜</v>
      </c>
      <c r="T2462" s="75" t="str">
        <f>IFERROR(__xludf.DUMMYFUNCTION("""COMPUTED_VALUE"""),"格納済み")</f>
        <v>格納済み</v>
      </c>
      <c r="U2462" s="15" t="str">
        <f>IFERROR(__xludf.DUMMYFUNCTION("""COMPUTED_VALUE"""),"© おうしみつ/シーモアコミックス")</f>
        <v>© おうしみつ/シーモアコミックス</v>
      </c>
      <c r="V2462" s="8" t="str">
        <f>IFERROR(__xludf.DUMMYFUNCTION("""COMPUTED_VALUE"""),"クールでみんなから怖がられている須藤課長とお付き合い中の私。本当は優しい課長の素顔に惹かれたけど、いつまでたってもキスどころか手も繋がない…。もしかして、優しくて私の告白を断れなかっただけ!?今日こそは課長の本心を聞きたくて勇気を出したら…!?【桃色日記】")</f>
        <v>クールでみんなから怖がられている須藤課長とお付き合い中の私。本当は優しい課長の素顔に惹かれたけど、いつまでたってもキスどころか手も繋がない…。もしかして、優しくて私の告白を断れなかっただけ!?今日こそは課長の本心を聞きたくて勇気を出したら…!?【桃色日記】</v>
      </c>
      <c r="W2462" s="14"/>
      <c r="X2462" s="14" t="str">
        <f>IFERROR(__xludf.DUMMYFUNCTION("""COMPUTED_VALUE"""),"有")</f>
        <v>有</v>
      </c>
      <c r="Y2462" s="8" t="str">
        <f>IFERROR(__xludf.DUMMYFUNCTION("""COMPUTED_VALUE"""),"P9まで")</f>
        <v>P9まで</v>
      </c>
      <c r="Z2462" s="7"/>
      <c r="AA2462" s="7"/>
      <c r="AB2462" s="7"/>
    </row>
    <row r="2463" ht="15.75" customHeight="1">
      <c r="A2463" s="66">
        <f>IFERROR(__xludf.DUMMYFUNCTION("""COMPUTED_VALUE"""),4507.0)</f>
        <v>4507</v>
      </c>
      <c r="B2463" s="75" t="str">
        <f>IFERROR(__xludf.DUMMYFUNCTION("""COMPUTED_VALUE"""),"確定")</f>
        <v>確定</v>
      </c>
      <c r="C2463" s="68">
        <f>IFERROR(__xludf.DUMMYFUNCTION("""COMPUTED_VALUE"""),45609.0)</f>
        <v>45609</v>
      </c>
      <c r="D2463" s="68">
        <f>IFERROR(__xludf.DUMMYFUNCTION("""COMPUTED_VALUE"""),45614.0)</f>
        <v>45614</v>
      </c>
      <c r="E2463" s="100">
        <f>IFERROR(__xludf.DUMMYFUNCTION("""COMPUTED_VALUE"""),308837.0)</f>
        <v>308837</v>
      </c>
      <c r="F2463" s="146" t="str">
        <f>IFERROR(__xludf.DUMMYFUNCTION("""COMPUTED_VALUE"""),"偽りの花嫁は冷血公爵様に溺愛される。")</f>
        <v>偽りの花嫁は冷血公爵様に溺愛される。</v>
      </c>
      <c r="G2463" s="75" t="str">
        <f>IFERROR(__xludf.DUMMYFUNCTION("""COMPUTED_VALUE"""),"1～2")</f>
        <v>1～2</v>
      </c>
      <c r="H2463" s="75" t="str">
        <f>IFERROR(__xludf.DUMMYFUNCTION("""COMPUTED_VALUE"""),"よしづかまやこ／COMIC ROOM")</f>
        <v>よしづかまやこ／COMIC ROOM</v>
      </c>
      <c r="I2463" s="75" t="str">
        <f>IFERROR(__xludf.DUMMYFUNCTION("""COMPUTED_VALUE"""),"女性")</f>
        <v>女性</v>
      </c>
      <c r="J2463" s="87"/>
      <c r="K2463" s="87"/>
      <c r="L2463" s="75" t="str">
        <f>IFERROR(__xludf.DUMMYFUNCTION("""COMPUTED_VALUE"""),"コミックルーム")</f>
        <v>コミックルーム</v>
      </c>
      <c r="M2463" s="85">
        <f>IFERROR(__xludf.DUMMYFUNCTION("""COMPUTED_VALUE"""),45641.0)</f>
        <v>45641</v>
      </c>
      <c r="N2463" s="23">
        <f>IFERROR(__xludf.DUMMYFUNCTION("""COMPUTED_VALUE"""),45730.0)</f>
        <v>45730</v>
      </c>
      <c r="O2463" s="75"/>
      <c r="P2463" s="71" t="str">
        <f>IFERROR(__xludf.DUMMYFUNCTION("""COMPUTED_VALUE"""),"可")</f>
        <v>可</v>
      </c>
      <c r="Q2463" s="72"/>
      <c r="R2463" s="75"/>
      <c r="S2463" s="75" t="str">
        <f>IFERROR(__xludf.DUMMYFUNCTION("""COMPUTED_VALUE"""),"20241113_コミックルーム_偽りの花嫁は冷血公爵様に溺愛される。")</f>
        <v>20241113_コミックルーム_偽りの花嫁は冷血公爵様に溺愛される。</v>
      </c>
      <c r="T2463" s="75" t="str">
        <f>IFERROR(__xludf.DUMMYFUNCTION("""COMPUTED_VALUE"""),"格納済み")</f>
        <v>格納済み</v>
      </c>
      <c r="U2463" s="15" t="str">
        <f>IFERROR(__xludf.DUMMYFUNCTION("""COMPUTED_VALUE"""),"(c)よしづかまやこ／COMIC ROOM")</f>
        <v>(c)よしづかまやこ／COMIC ROOM</v>
      </c>
      <c r="V2463" s="8" t="str">
        <f>IFERROR(__xludf.DUMMYFUNCTION("""COMPUTED_VALUE"""),"男爵令嬢のセラは、両親に嫌われ、奴隷のように扱われる日々を過ごしていた。両親は可愛く愛想の良い妹を好み、大人しく地味なセラのことが気に食わなかったのだ。家族から除け者にされたセラは、ついには妹の身代わりとして、冷酷無慈悲と噂の公爵令息・ヴィクターの元に嫁ぐよう両親に命じられる。
ヴィクターは噂に違わぬ冷えた男で、妻となったセラの言葉は全て無視。挨拶一つ返さない。なのになぜか、セラのためにパーティを開いたり、貢物をしたりと、気にかけるようなそぶりを時折見せて…？
※この作品の1・2巻は『溺れるほど愛され"&amp;"て、幸せになってみせますわ！アンソロジーコミック10巻』の収録作品です。重複購入にご注意ください。")</f>
        <v>男爵令嬢のセラは、両親に嫌われ、奴隷のように扱われる日々を過ごしていた。両親は可愛く愛想の良い妹を好み、大人しく地味なセラのことが気に食わなかったのだ。家族から除け者にされたセラは、ついには妹の身代わりとして、冷酷無慈悲と噂の公爵令息・ヴィクターの元に嫁ぐよう両親に命じられる。
ヴィクターは噂に違わぬ冷えた男で、妻となったセラの言葉は全て無視。挨拶一つ返さない。なのになぜか、セラのためにパーティを開いたり、貢物をしたりと、気にかけるようなそぶりを時折見せて…？
※この作品の1・2巻は『溺れるほど愛されて、幸せになってみせますわ！アンソロジーコミック10巻』の収録作品です。重複購入にご注意ください。</v>
      </c>
      <c r="W2463" s="14"/>
      <c r="X2463" s="14" t="str">
        <f>IFERROR(__xludf.DUMMYFUNCTION("""COMPUTED_VALUE"""),"有")</f>
        <v>有</v>
      </c>
      <c r="Y2463" s="8" t="str">
        <f>IFERROR(__xludf.DUMMYFUNCTION("""COMPUTED_VALUE"""),"P12まで")</f>
        <v>P12まで</v>
      </c>
      <c r="Z2463" s="7"/>
      <c r="AA2463" s="7"/>
      <c r="AB2463" s="7"/>
    </row>
    <row r="2464" ht="15.75" customHeight="1">
      <c r="A2464" s="66">
        <f>IFERROR(__xludf.DUMMYFUNCTION("""COMPUTED_VALUE"""),4509.0)</f>
        <v>4509</v>
      </c>
      <c r="B2464" s="75" t="str">
        <f>IFERROR(__xludf.DUMMYFUNCTION("""COMPUTED_VALUE"""),"確定")</f>
        <v>確定</v>
      </c>
      <c r="C2464" s="68">
        <f>IFERROR(__xludf.DUMMYFUNCTION("""COMPUTED_VALUE"""),45609.0)</f>
        <v>45609</v>
      </c>
      <c r="D2464" s="68">
        <f>IFERROR(__xludf.DUMMYFUNCTION("""COMPUTED_VALUE"""),45614.0)</f>
        <v>45614</v>
      </c>
      <c r="E2464" s="100">
        <f>IFERROR(__xludf.DUMMYFUNCTION("""COMPUTED_VALUE"""),289701.0)</f>
        <v>289701</v>
      </c>
      <c r="F2464" s="146" t="str">
        <f>IFERROR(__xludf.DUMMYFUNCTION("""COMPUTED_VALUE"""),"桜舞う庭で、君と")</f>
        <v>桜舞う庭で、君と</v>
      </c>
      <c r="G2464" s="75" t="str">
        <f>IFERROR(__xludf.DUMMYFUNCTION("""COMPUTED_VALUE"""),"1～3")</f>
        <v>1～3</v>
      </c>
      <c r="H2464" s="75" t="str">
        <f>IFERROR(__xludf.DUMMYFUNCTION("""COMPUTED_VALUE"""),"椎葉きのこ,水野沙彰")</f>
        <v>椎葉きのこ,水野沙彰</v>
      </c>
      <c r="I2464" s="75" t="str">
        <f>IFERROR(__xludf.DUMMYFUNCTION("""COMPUTED_VALUE"""),"少女マンガ")</f>
        <v>少女マンガ</v>
      </c>
      <c r="J2464" s="87"/>
      <c r="K2464" s="87"/>
      <c r="L2464" s="75" t="str">
        <f>IFERROR(__xludf.DUMMYFUNCTION("""COMPUTED_VALUE"""),"シーモアコミックス（トレモア）")</f>
        <v>シーモアコミックス（トレモア）</v>
      </c>
      <c r="M2464" s="23">
        <f>IFERROR(__xludf.DUMMYFUNCTION("""COMPUTED_VALUE"""),45660.0)</f>
        <v>45660</v>
      </c>
      <c r="N2464" s="23">
        <f>IFERROR(__xludf.DUMMYFUNCTION("""COMPUTED_VALUE"""),45813.0)</f>
        <v>45813</v>
      </c>
      <c r="O2464" s="75"/>
      <c r="P2464" s="71" t="str">
        <f>IFERROR(__xludf.DUMMYFUNCTION("""COMPUTED_VALUE"""),"可")</f>
        <v>可</v>
      </c>
      <c r="Q2464" s="72"/>
      <c r="R2464" s="75"/>
      <c r="S2464" s="75" t="str">
        <f>IFERROR(__xludf.DUMMYFUNCTION("""COMPUTED_VALUE"""),"20241113_シーモアコミックス_桜舞う庭で、君と")</f>
        <v>20241113_シーモアコミックス_桜舞う庭で、君と</v>
      </c>
      <c r="T2464" s="75" t="str">
        <f>IFERROR(__xludf.DUMMYFUNCTION("""COMPUTED_VALUE"""),"格納済み")</f>
        <v>格納済み</v>
      </c>
      <c r="U2464" s="15" t="str">
        <f>IFERROR(__xludf.DUMMYFUNCTION("""COMPUTED_VALUE"""),"© 椎葉きのこ/水野沙彰/シーモアコミックス")</f>
        <v>© 椎葉きのこ/水野沙彰/シーモアコミックス</v>
      </c>
      <c r="V2464" s="8" t="str">
        <f>IFERROR(__xludf.DUMMYFUNCTION("""COMPUTED_VALUE"""),"「見つけた。俺の春だ──」帝国一の大財閥である主鷹司家。その邸には全ての四季が存在する特別な庭があり、帝都を悪しき蟲から護る結界の役割を担っている。その庭は、四季を司る四大家から選ばれた管理人達によって管理されていた。幼い頃に両親を亡くし、四大家の一つである春咲本家に引き取られることになった日桜。本家の娘に虐げられ、使用人以下の扱いを受けていた日桜は、ある日、父親の形見のヴァイオリンを弾いたことで運命が一変する。命の危機から救ってくれた大きな手が、日桜を拾い上げる。「お前だけだ。お前だけが、俺を……」新た"&amp;"な場所での幸福な出会いが、日桜の人生を彩っていく──。")</f>
        <v>「見つけた。俺の春だ──」帝国一の大財閥である主鷹司家。その邸には全ての四季が存在する特別な庭があり、帝都を悪しき蟲から護る結界の役割を担っている。その庭は、四季を司る四大家から選ばれた管理人達によって管理されていた。幼い頃に両親を亡くし、四大家の一つである春咲本家に引き取られることになった日桜。本家の娘に虐げられ、使用人以下の扱いを受けていた日桜は、ある日、父親の形見のヴァイオリンを弾いたことで運命が一変する。命の危機から救ってくれた大きな手が、日桜を拾い上げる。「お前だけだ。お前だけが、俺を……」新たな場所での幸福な出会いが、日桜の人生を彩っていく──。</v>
      </c>
      <c r="W2464" s="14"/>
      <c r="X2464" s="14" t="str">
        <f>IFERROR(__xludf.DUMMYFUNCTION("""COMPUTED_VALUE"""),"有")</f>
        <v>有</v>
      </c>
      <c r="Y2464" s="8" t="str">
        <f>IFERROR(__xludf.DUMMYFUNCTION("""COMPUTED_VALUE"""),"2024/12/31まで1巻無料")</f>
        <v>2024/12/31まで1巻無料</v>
      </c>
      <c r="Z2464" s="7"/>
      <c r="AA2464" s="7"/>
      <c r="AB2464" s="7"/>
    </row>
    <row r="2465" ht="15.75" customHeight="1">
      <c r="A2465" s="66">
        <f>IFERROR(__xludf.DUMMYFUNCTION("""COMPUTED_VALUE"""),4510.0)</f>
        <v>4510</v>
      </c>
      <c r="B2465" s="75" t="str">
        <f>IFERROR(__xludf.DUMMYFUNCTION("""COMPUTED_VALUE"""),"確定")</f>
        <v>確定</v>
      </c>
      <c r="C2465" s="68">
        <f>IFERROR(__xludf.DUMMYFUNCTION("""COMPUTED_VALUE"""),45609.0)</f>
        <v>45609</v>
      </c>
      <c r="D2465" s="68">
        <f>IFERROR(__xludf.DUMMYFUNCTION("""COMPUTED_VALUE"""),45614.0)</f>
        <v>45614</v>
      </c>
      <c r="E2465" s="100">
        <f>IFERROR(__xludf.DUMMYFUNCTION("""COMPUTED_VALUE"""),298749.0)</f>
        <v>298749</v>
      </c>
      <c r="F2465" s="146" t="str">
        <f>IFERROR(__xludf.DUMMYFUNCTION("""COMPUTED_VALUE"""),"バツ×～復讐の幼馴染～")</f>
        <v>バツ×～復讐の幼馴染～</v>
      </c>
      <c r="G2465" s="75" t="str">
        <f>IFERROR(__xludf.DUMMYFUNCTION("""COMPUTED_VALUE"""),"1～3")</f>
        <v>1～3</v>
      </c>
      <c r="H2465" s="75" t="str">
        <f>IFERROR(__xludf.DUMMYFUNCTION("""COMPUTED_VALUE"""),"よしむら香月,TJ16,鳳翔雨月")</f>
        <v>よしむら香月,TJ16,鳳翔雨月</v>
      </c>
      <c r="I2465" s="75" t="str">
        <f>IFERROR(__xludf.DUMMYFUNCTION("""COMPUTED_VALUE"""),"青年マンガ")</f>
        <v>青年マンガ</v>
      </c>
      <c r="J2465" s="87"/>
      <c r="K2465" s="87"/>
      <c r="L2465" s="75" t="str">
        <f>IFERROR(__xludf.DUMMYFUNCTION("""COMPUTED_VALUE"""),"シーモアコミックス（トレモア）")</f>
        <v>シーモアコミックス（トレモア）</v>
      </c>
      <c r="M2465" s="85">
        <f>IFERROR(__xludf.DUMMYFUNCTION("""COMPUTED_VALUE"""),45653.0)</f>
        <v>45653</v>
      </c>
      <c r="N2465" s="23">
        <f>IFERROR(__xludf.DUMMYFUNCTION("""COMPUTED_VALUE"""),45806.0)</f>
        <v>45806</v>
      </c>
      <c r="O2465" s="75"/>
      <c r="P2465" s="71" t="str">
        <f>IFERROR(__xludf.DUMMYFUNCTION("""COMPUTED_VALUE"""),"可")</f>
        <v>可</v>
      </c>
      <c r="Q2465" s="72"/>
      <c r="R2465" s="75"/>
      <c r="S2465" s="75" t="str">
        <f>IFERROR(__xludf.DUMMYFUNCTION("""COMPUTED_VALUE"""),"20241113_シーモアコミックス_バツ×～復讐の幼馴染～")</f>
        <v>20241113_シーモアコミックス_バツ×～復讐の幼馴染～</v>
      </c>
      <c r="T2465" s="75" t="str">
        <f>IFERROR(__xludf.DUMMYFUNCTION("""COMPUTED_VALUE"""),"格納済み")</f>
        <v>格納済み</v>
      </c>
      <c r="U2465" s="15" t="str">
        <f>IFERROR(__xludf.DUMMYFUNCTION("""COMPUTED_VALUE"""),"© よしむら香月/TJ16/鳳翔雨月/シーモアコミックス")</f>
        <v>© よしむら香月/TJ16/鳳翔雨月/シーモアコミックス</v>
      </c>
      <c r="V2465" s="8" t="str">
        <f>IFERROR(__xludf.DUMMYFUNCTION("""COMPUTED_VALUE"""),"高校の卒業式の日、大倉智の幼馴染で恋人でもある小川栄一が、校舎から飛び降りた。彼は一命を取り留めるも植物状態に……。それから2年、大学生になった智は、栄一が残した日記の望みを叶えるために彼を陥れた人物たちと接触し！？ 期限は1年、復讐を誓った彼女の孤独な闘いが静かに幕を開ける――！")</f>
        <v>高校の卒業式の日、大倉智の幼馴染で恋人でもある小川栄一が、校舎から飛び降りた。彼は一命を取り留めるも植物状態に……。それから2年、大学生になった智は、栄一が残した日記の望みを叶えるために彼を陥れた人物たちと接触し！？ 期限は1年、復讐を誓った彼女の孤独な闘いが静かに幕を開ける――！</v>
      </c>
      <c r="W2465" s="14"/>
      <c r="X2465" s="14" t="str">
        <f>IFERROR(__xludf.DUMMYFUNCTION("""COMPUTED_VALUE"""),"有")</f>
        <v>有</v>
      </c>
      <c r="Y2465" s="8" t="str">
        <f>IFERROR(__xludf.DUMMYFUNCTION("""COMPUTED_VALUE"""),"2024/12/31まで1巻無料")</f>
        <v>2024/12/31まで1巻無料</v>
      </c>
      <c r="Z2465" s="7"/>
      <c r="AA2465" s="7"/>
      <c r="AB2465" s="7"/>
    </row>
    <row r="2466" ht="15.75" customHeight="1">
      <c r="A2466" s="66">
        <f>IFERROR(__xludf.DUMMYFUNCTION("""COMPUTED_VALUE"""),4513.0)</f>
        <v>4513</v>
      </c>
      <c r="B2466" s="75" t="str">
        <f>IFERROR(__xludf.DUMMYFUNCTION("""COMPUTED_VALUE"""),"確定")</f>
        <v>確定</v>
      </c>
      <c r="C2466" s="68">
        <f>IFERROR(__xludf.DUMMYFUNCTION("""COMPUTED_VALUE"""),45610.0)</f>
        <v>45610</v>
      </c>
      <c r="D2466" s="68">
        <f>IFERROR(__xludf.DUMMYFUNCTION("""COMPUTED_VALUE"""),45610.0)</f>
        <v>45610</v>
      </c>
      <c r="E2466" s="100">
        <f>IFERROR(__xludf.DUMMYFUNCTION("""COMPUTED_VALUE"""),204858.0)</f>
        <v>204858</v>
      </c>
      <c r="F2466" s="146" t="str">
        <f>IFERROR(__xludf.DUMMYFUNCTION("""COMPUTED_VALUE"""),"セックスアンフレンド【合冊版】")</f>
        <v>セックスアンフレンド【合冊版】</v>
      </c>
      <c r="G2466" s="75" t="str">
        <f>IFERROR(__xludf.DUMMYFUNCTION("""COMPUTED_VALUE"""),"3（シーモア限定BOOK）")</f>
        <v>3（シーモア限定BOOK）</v>
      </c>
      <c r="H2466" s="75" t="str">
        <f>IFERROR(__xludf.DUMMYFUNCTION("""COMPUTED_VALUE"""),"相野ココ")</f>
        <v>相野ココ</v>
      </c>
      <c r="I2466" s="75" t="str">
        <f>IFERROR(__xludf.DUMMYFUNCTION("""COMPUTED_VALUE"""),"BLコミック")</f>
        <v>BLコミック</v>
      </c>
      <c r="J2466" s="87"/>
      <c r="K2466" s="87"/>
      <c r="L2466" s="75" t="str">
        <f>IFERROR(__xludf.DUMMYFUNCTION("""COMPUTED_VALUE"""),"Bコミ")</f>
        <v>Bコミ</v>
      </c>
      <c r="M2466" s="85">
        <f>IFERROR(__xludf.DUMMYFUNCTION("""COMPUTED_VALUE"""),45647.0)</f>
        <v>45647</v>
      </c>
      <c r="N2466" s="85">
        <f>IFERROR(__xludf.DUMMYFUNCTION("""COMPUTED_VALUE"""),2958465.0)</f>
        <v>2958465</v>
      </c>
      <c r="O2466" s="75"/>
      <c r="P2466" s="80" t="str">
        <f>IFERROR(__xludf.DUMMYFUNCTION("""COMPUTED_VALUE"""),"可")</f>
        <v>可</v>
      </c>
      <c r="Q2466" s="72" t="str">
        <f>IFERROR(__xludf.DUMMYFUNCTION("""COMPUTED_VALUE"""),"シーモア限定BOOK、12/21（第8弾）配信分となります。")</f>
        <v>シーモア限定BOOK、12/21（第8弾）配信分となります。</v>
      </c>
      <c r="R2466" s="75"/>
      <c r="S2466" s="75" t="str">
        <f>IFERROR(__xludf.DUMMYFUNCTION("""COMPUTED_VALUE"""),"20241114_ブックマークジャパン株式会社_セックスアンフレンド【合冊版】")</f>
        <v>20241114_ブックマークジャパン株式会社_セックスアンフレンド【合冊版】</v>
      </c>
      <c r="T2466" s="75" t="str">
        <f>IFERROR(__xludf.DUMMYFUNCTION("""COMPUTED_VALUE"""),"格納済み")</f>
        <v>格納済み</v>
      </c>
      <c r="U2466" s="15" t="str">
        <f>IFERROR(__xludf.DUMMYFUNCTION("""COMPUTED_VALUE"""),"＠相野ココ / Bコミ")</f>
        <v>＠相野ココ / Bコミ</v>
      </c>
      <c r="V2466" s="8" t="str">
        <f>IFERROR(__xludf.DUMMYFUNCTION("""COMPUTED_VALUE"""),"「俺はあいつに、ゲイにされた─」明るく楽しいみんなの人気者・実祥（みさき）の人生を、たった一度のキスで大きく変えてしまった親友・朝日（あさひ）。朝日にキスされながらペ●スを揉まれた事で、高校生の実祥は自分がゲイである事を自覚してしまうが、その直後に朝日と絶縁してしまう。数年後、男遊びを繰り返しながら日陰で生きていた実祥は、ひょんな事で朝日に再会する。自分の人生を壊した男が目の前に現れた事で、実祥は忘れていた怒りを思い出し──【1～9話収録】")</f>
        <v>「俺はあいつに、ゲイにされた─」明るく楽しいみんなの人気者・実祥（みさき）の人生を、たった一度のキスで大きく変えてしまった親友・朝日（あさひ）。朝日にキスされながらペ●スを揉まれた事で、高校生の実祥は自分がゲイである事を自覚してしまうが、その直後に朝日と絶縁してしまう。数年後、男遊びを繰り返しながら日陰で生きていた実祥は、ひょんな事で朝日に再会する。自分の人生を壊した男が目の前に現れた事で、実祥は忘れていた怒りを思い出し──【1～9話収録】</v>
      </c>
      <c r="W2466" s="14"/>
      <c r="X2466" s="14" t="str">
        <f>IFERROR(__xludf.DUMMYFUNCTION("""COMPUTED_VALUE"""),"有")</f>
        <v>有</v>
      </c>
      <c r="Y2466" s="8" t="str">
        <f>IFERROR(__xludf.DUMMYFUNCTION("""COMPUTED_VALUE"""),"2025/1/20まで立ち読み増量P66まで")</f>
        <v>2025/1/20まで立ち読み増量P66まで</v>
      </c>
      <c r="Z2466" s="7"/>
      <c r="AA2466" s="7"/>
      <c r="AB2466" s="7"/>
    </row>
    <row r="2467" ht="15.75" customHeight="1">
      <c r="A2467" s="66">
        <f>IFERROR(__xludf.DUMMYFUNCTION("""COMPUTED_VALUE"""),4514.0)</f>
        <v>4514</v>
      </c>
      <c r="B2467" s="75" t="str">
        <f>IFERROR(__xludf.DUMMYFUNCTION("""COMPUTED_VALUE"""),"確定")</f>
        <v>確定</v>
      </c>
      <c r="C2467" s="68">
        <f>IFERROR(__xludf.DUMMYFUNCTION("""COMPUTED_VALUE"""),45610.0)</f>
        <v>45610</v>
      </c>
      <c r="D2467" s="68">
        <f>IFERROR(__xludf.DUMMYFUNCTION("""COMPUTED_VALUE"""),45614.0)</f>
        <v>45614</v>
      </c>
      <c r="E2467" s="100">
        <f>IFERROR(__xludf.DUMMYFUNCTION("""COMPUTED_VALUE"""),266030.0)</f>
        <v>266030</v>
      </c>
      <c r="F2467" s="146" t="str">
        <f>IFERROR(__xludf.DUMMYFUNCTION("""COMPUTED_VALUE"""),"冬すぎて桜【タテヨミ】")</f>
        <v>冬すぎて桜【タテヨミ】</v>
      </c>
      <c r="G2467" s="75">
        <f>IFERROR(__xludf.DUMMYFUNCTION("""COMPUTED_VALUE"""),153.0)</f>
        <v>153</v>
      </c>
      <c r="H2467" s="75" t="str">
        <f>IFERROR(__xludf.DUMMYFUNCTION("""COMPUTED_VALUE"""),"Bamwoo")</f>
        <v>Bamwoo</v>
      </c>
      <c r="I2467" s="75" t="str">
        <f>IFERROR(__xludf.DUMMYFUNCTION("""COMPUTED_VALUE"""),"BLコミック")</f>
        <v>BLコミック</v>
      </c>
      <c r="J2467" s="87"/>
      <c r="K2467" s="87"/>
      <c r="L2467" s="75" t="str">
        <f>IFERROR(__xludf.DUMMYFUNCTION("""COMPUTED_VALUE"""),"comico")</f>
        <v>comico</v>
      </c>
      <c r="M2467" s="85">
        <f>IFERROR(__xludf.DUMMYFUNCTION("""COMPUTED_VALUE"""),45647.0)</f>
        <v>45647</v>
      </c>
      <c r="N2467" s="85">
        <f>IFERROR(__xludf.DUMMYFUNCTION("""COMPUTED_VALUE"""),45138.66666666667)</f>
        <v>45138.66667</v>
      </c>
      <c r="O2467" s="75"/>
      <c r="P2467" s="80" t="str">
        <f>IFERROR(__xludf.DUMMYFUNCTION("""COMPUTED_VALUE"""),"可")</f>
        <v>可</v>
      </c>
      <c r="Q2467" s="72" t="str">
        <f>IFERROR(__xludf.DUMMYFUNCTION("""COMPUTED_VALUE"""),"「シーモア限定BOOK」作品です。")</f>
        <v>「シーモア限定BOOK」作品です。</v>
      </c>
      <c r="R2467" s="75"/>
      <c r="S2467" s="75" t="str">
        <f>IFERROR(__xludf.DUMMYFUNCTION("""COMPUTED_VALUE"""),"20241114_comico_冬すぎて桜")</f>
        <v>20241114_comico_冬すぎて桜</v>
      </c>
      <c r="T2467" s="75" t="str">
        <f>IFERROR(__xludf.DUMMYFUNCTION("""COMPUTED_VALUE"""),"格納済み")</f>
        <v>格納済み</v>
      </c>
      <c r="U2467" s="15" t="str">
        <f>IFERROR(__xludf.DUMMYFUNCTION("""COMPUTED_VALUE"""),"(C) Bamwoo / Polarfox")</f>
        <v>(C) Bamwoo / Polarfox</v>
      </c>
      <c r="V2467" s="8" t="str">
        <f>IFERROR(__xludf.DUMMYFUNCTION("""COMPUTED_VALUE"""),"幼い頃から仲が良かった澄春と悠真。しかし…。「澄春と兄弟になんかなりたくない！」悠真の家族と一緒に暮らすようになったある日、澄春は突然悠真にそう言われ、二人は距離を置くようになってしまう。「悠真は俺のこと嫌ってるんだ…」そう思っていた澄春だが、ある出来事をきっかけに二人は再び急接近することになる。果たして二人の間に、春は来るのだろうか？")</f>
        <v>幼い頃から仲が良かった澄春と悠真。しかし…。「澄春と兄弟になんかなりたくない！」悠真の家族と一緒に暮らすようになったある日、澄春は突然悠真にそう言われ、二人は距離を置くようになってしまう。「悠真は俺のこと嫌ってるんだ…」そう思っていた澄春だが、ある出来事をきっかけに二人は再び急接近することになる。果たして二人の間に、春は来るのだろうか？</v>
      </c>
      <c r="W2467" s="14"/>
      <c r="X2467" s="14" t="str">
        <f>IFERROR(__xludf.DUMMYFUNCTION("""COMPUTED_VALUE"""),"有")</f>
        <v>有</v>
      </c>
      <c r="Y2467" s="8" t="str">
        <f>IFERROR(__xludf.DUMMYFUNCTION("""COMPUTED_VALUE"""),"1～3巻無料")</f>
        <v>1～3巻無料</v>
      </c>
      <c r="Z2467" s="7"/>
      <c r="AA2467" s="7"/>
      <c r="AB2467" s="7"/>
    </row>
    <row r="2468" ht="15.75" customHeight="1">
      <c r="A2468" s="66">
        <f>IFERROR(__xludf.DUMMYFUNCTION("""COMPUTED_VALUE"""),4516.0)</f>
        <v>4516</v>
      </c>
      <c r="B2468" s="75" t="str">
        <f>IFERROR(__xludf.DUMMYFUNCTION("""COMPUTED_VALUE"""),"確定")</f>
        <v>確定</v>
      </c>
      <c r="C2468" s="68">
        <f>IFERROR(__xludf.DUMMYFUNCTION("""COMPUTED_VALUE"""),45611.0)</f>
        <v>45611</v>
      </c>
      <c r="D2468" s="68">
        <f>IFERROR(__xludf.DUMMYFUNCTION("""COMPUTED_VALUE"""),45614.0)</f>
        <v>45614</v>
      </c>
      <c r="E2468" s="100">
        <f>IFERROR(__xludf.DUMMYFUNCTION("""COMPUTED_VALUE"""),164165.0)</f>
        <v>164165</v>
      </c>
      <c r="F2468" s="146" t="str">
        <f>IFERROR(__xludf.DUMMYFUNCTION("""COMPUTED_VALUE"""),"烏ヶ丘Don’t be shy！！【電子単行本】")</f>
        <v>烏ヶ丘Don’t be shy！！【電子単行本】</v>
      </c>
      <c r="G2468" s="75">
        <f>IFERROR(__xludf.DUMMYFUNCTION("""COMPUTED_VALUE"""),3.0)</f>
        <v>3</v>
      </c>
      <c r="H2468" s="75" t="str">
        <f>IFERROR(__xludf.DUMMYFUNCTION("""COMPUTED_VALUE"""),"夕倉アキ")</f>
        <v>夕倉アキ</v>
      </c>
      <c r="I2468" s="75" t="str">
        <f>IFERROR(__xludf.DUMMYFUNCTION("""COMPUTED_VALUE"""),"BLコミック")</f>
        <v>BLコミック</v>
      </c>
      <c r="J2468" s="87"/>
      <c r="K2468" s="87"/>
      <c r="L2468" s="75" t="str">
        <f>IFERROR(__xludf.DUMMYFUNCTION("""COMPUTED_VALUE"""),"秋田書店")</f>
        <v>秋田書店</v>
      </c>
      <c r="M2468" s="85">
        <f>IFERROR(__xludf.DUMMYFUNCTION("""COMPUTED_VALUE"""),45647.0)</f>
        <v>45647</v>
      </c>
      <c r="N2468" s="85">
        <f>IFERROR(__xludf.DUMMYFUNCTION("""COMPUTED_VALUE"""),2958465.0)</f>
        <v>2958465</v>
      </c>
      <c r="O2468" s="75"/>
      <c r="P2468" s="80" t="str">
        <f>IFERROR(__xludf.DUMMYFUNCTION("""COMPUTED_VALUE"""),"可")</f>
        <v>可</v>
      </c>
      <c r="Q2468" s="72" t="str">
        <f>IFERROR(__xludf.DUMMYFUNCTION("""COMPUTED_VALUE"""),"「シーモア限定BOOK」作品です。&lt;BR&gt;よろしくお願いいたします。")</f>
        <v>「シーモア限定BOOK」作品です。&lt;BR&gt;よろしくお願いいたします。</v>
      </c>
      <c r="R2468" s="75"/>
      <c r="S2468" s="75" t="str">
        <f>IFERROR(__xludf.DUMMYFUNCTION("""COMPUTED_VALUE"""),"20241115_秋田書店_烏ヶ丘Don't_be_shyシーモア限定")</f>
        <v>20241115_秋田書店_烏ヶ丘Don't_be_shyシーモア限定</v>
      </c>
      <c r="T2468" s="75" t="str">
        <f>IFERROR(__xludf.DUMMYFUNCTION("""COMPUTED_VALUE"""),"格納済み")</f>
        <v>格納済み</v>
      </c>
      <c r="U2468" s="15" t="str">
        <f>IFERROR(__xludf.DUMMYFUNCTION("""COMPUTED_VALUE"""),"(C)夕倉アキ（秋田書店）")</f>
        <v>(C)夕倉アキ（秋田書店）</v>
      </c>
      <c r="V2468" s="8" t="str">
        <f>IFERROR(__xludf.DUMMYFUNCTION("""COMPUTED_VALUE"""),"烏ヶ丘イーストサイドを守る防犯チーム「VOICE」のリーダー・出原想は、ライバルチーム「烏会」の代表で犬猿の仲の榛馬鉄二に恋していることに気づいてしまい…!? 心うらはら♪限界ポーカーフェイス!!　二面性身悶えヴァーサス・ロマンス!! ※こちらは巻末に電子版のみの特典ペーパーがついています。")</f>
        <v>烏ヶ丘イーストサイドを守る防犯チーム「VOICE」のリーダー・出原想は、ライバルチーム「烏会」の代表で犬猿の仲の榛馬鉄二に恋していることに気づいてしまい…!? 心うらはら♪限界ポーカーフェイス!!　二面性身悶えヴァーサス・ロマンス!! ※こちらは巻末に電子版のみの特典ペーパーがついています。</v>
      </c>
      <c r="W2468" s="14"/>
      <c r="X2468" s="14" t="str">
        <f>IFERROR(__xludf.DUMMYFUNCTION("""COMPUTED_VALUE"""),"有")</f>
        <v>有</v>
      </c>
      <c r="Y2468" s="8" t="str">
        <f>IFERROR(__xludf.DUMMYFUNCTION("""COMPUTED_VALUE"""),"2024/12/29まで立ち読み増量P80まで")</f>
        <v>2024/12/29まで立ち読み増量P80まで</v>
      </c>
      <c r="Z2468" s="7"/>
      <c r="AA2468" s="7"/>
      <c r="AB2468" s="7"/>
    </row>
    <row r="2469" ht="15.75" customHeight="1">
      <c r="A2469" s="66">
        <f>IFERROR(__xludf.DUMMYFUNCTION("""COMPUTED_VALUE"""),4517.0)</f>
        <v>4517</v>
      </c>
      <c r="B2469" s="75" t="str">
        <f>IFERROR(__xludf.DUMMYFUNCTION("""COMPUTED_VALUE"""),"確定")</f>
        <v>確定</v>
      </c>
      <c r="C2469" s="68">
        <f>IFERROR(__xludf.DUMMYFUNCTION("""COMPUTED_VALUE"""),45614.0)</f>
        <v>45614</v>
      </c>
      <c r="D2469" s="68">
        <f>IFERROR(__xludf.DUMMYFUNCTION("""COMPUTED_VALUE"""),45614.0)</f>
        <v>45614</v>
      </c>
      <c r="E2469" s="100">
        <f>IFERROR(__xludf.DUMMYFUNCTION("""COMPUTED_VALUE"""),209502.0)</f>
        <v>209502</v>
      </c>
      <c r="F2469" s="146" t="str">
        <f>IFERROR(__xludf.DUMMYFUNCTION("""COMPUTED_VALUE"""),"カム トゥ ハンド【単行本版(シーモア限定描き下ろし付)】")</f>
        <v>カム トゥ ハンド【単行本版(シーモア限定描き下ろし付)】</v>
      </c>
      <c r="G2469" s="75" t="str">
        <f>IFERROR(__xludf.DUMMYFUNCTION("""COMPUTED_VALUE"""),"3（シーモア限定BOOK）")</f>
        <v>3（シーモア限定BOOK）</v>
      </c>
      <c r="H2469" s="75" t="str">
        <f>IFERROR(__xludf.DUMMYFUNCTION("""COMPUTED_VALUE"""),"世")</f>
        <v>世</v>
      </c>
      <c r="I2469" s="75" t="str">
        <f>IFERROR(__xludf.DUMMYFUNCTION("""COMPUTED_VALUE"""),"BL")</f>
        <v>BL</v>
      </c>
      <c r="J2469" s="75"/>
      <c r="K2469" s="75" t="str">
        <f>IFERROR(__xludf.DUMMYFUNCTION("""COMPUTED_VALUE"""),"mimosa")</f>
        <v>mimosa</v>
      </c>
      <c r="L2469" s="75" t="str">
        <f>IFERROR(__xludf.DUMMYFUNCTION("""COMPUTED_VALUE"""),"リイド社")</f>
        <v>リイド社</v>
      </c>
      <c r="M2469" s="85">
        <f>IFERROR(__xludf.DUMMYFUNCTION("""COMPUTED_VALUE"""),45647.0)</f>
        <v>45647</v>
      </c>
      <c r="N2469" s="85">
        <f>IFERROR(__xludf.DUMMYFUNCTION("""COMPUTED_VALUE"""),2958465.0)</f>
        <v>2958465</v>
      </c>
      <c r="O2469" s="75"/>
      <c r="P2469" s="80" t="str">
        <f>IFERROR(__xludf.DUMMYFUNCTION("""COMPUTED_VALUE"""),"可")</f>
        <v>可</v>
      </c>
      <c r="Q2469" s="75" t="str">
        <f>IFERROR(__xludf.DUMMYFUNCTION("""COMPUTED_VALUE"""),"シーモア限定BOOK、12/21（第8弾）配信分となります。")</f>
        <v>シーモア限定BOOK、12/21（第8弾）配信分となります。</v>
      </c>
      <c r="R2469" s="75" t="str">
        <f>IFERROR(__xludf.DUMMYFUNCTION("""COMPUTED_VALUE"""),"コミットOK")</f>
        <v>コミットOK</v>
      </c>
      <c r="S2469" s="75" t="str">
        <f>IFERROR(__xludf.DUMMYFUNCTION("""COMPUTED_VALUE"""),"20241118_シーモア限定BOOK_リイド社_カムトゥハンド")</f>
        <v>20241118_シーモア限定BOOK_リイド社_カムトゥハンド</v>
      </c>
      <c r="T2469" s="75" t="str">
        <f>IFERROR(__xludf.DUMMYFUNCTION("""COMPUTED_VALUE"""),"格納済み")</f>
        <v>格納済み</v>
      </c>
      <c r="U2469" s="15" t="str">
        <f>IFERROR(__xludf.DUMMYFUNCTION("""COMPUTED_VALUE"""),"(C)世/リイド社")</f>
        <v>(C)世/リイド社</v>
      </c>
      <c r="V2469" s="8" t="str">
        <f>IFERROR(__xludf.DUMMYFUNCTION("""COMPUTED_VALUE"""),"「二度目の恋」なんてすると思ってなかった。過労がたたり雪道で倒れてしまった高校教諭の美晴を助けてくれたのは、タトゥースタジオの店長・嵐だった。初めて見るタトゥーに驚いた美晴は嵐に対して思わず失礼な反応をしてしまう。後日改めてお礼を伝えに店へ行くと、嵐は仕事で多忙な美晴のことを優しく気遣ってくれた。同い年ということもあり少しずつ仲良くなる中で嵐に惹かれていく美晴。だけど同時に、小さな違和感を抱いて── 5ページの描き下ろし漫画を収録したシーモア限定版！ ※電子版はmimosa本誌掲載時のカラーページをカラー"&amp;"のまま収録しています。")</f>
        <v>「二度目の恋」なんてすると思ってなかった。過労がたたり雪道で倒れてしまった高校教諭の美晴を助けてくれたのは、タトゥースタジオの店長・嵐だった。初めて見るタトゥーに驚いた美晴は嵐に対して思わず失礼な反応をしてしまう。後日改めてお礼を伝えに店へ行くと、嵐は仕事で多忙な美晴のことを優しく気遣ってくれた。同い年ということもあり少しずつ仲良くなる中で嵐に惹かれていく美晴。だけど同時に、小さな違和感を抱いて── 5ページの描き下ろし漫画を収録したシーモア限定版！ ※電子版はmimosa本誌掲載時のカラーページをカラーのまま収録しています。</v>
      </c>
      <c r="W2469" s="14"/>
      <c r="X2469" s="14" t="str">
        <f>IFERROR(__xludf.DUMMYFUNCTION("""COMPUTED_VALUE"""),"有")</f>
        <v>有</v>
      </c>
      <c r="Y2469" s="8" t="str">
        <f>IFERROR(__xludf.DUMMYFUNCTION("""COMPUTED_VALUE"""),"2025/1/20まで立ち読み増量P61まで")</f>
        <v>2025/1/20まで立ち読み増量P61まで</v>
      </c>
      <c r="Z2469" s="7"/>
      <c r="AA2469" s="7"/>
      <c r="AB2469" s="7"/>
    </row>
    <row r="2470" ht="15.75" customHeight="1">
      <c r="A2470" s="66">
        <f>IFERROR(__xludf.DUMMYFUNCTION("""COMPUTED_VALUE"""),4524.0)</f>
        <v>4524</v>
      </c>
      <c r="B2470" s="75" t="str">
        <f>IFERROR(__xludf.DUMMYFUNCTION("""COMPUTED_VALUE"""),"確定")</f>
        <v>確定</v>
      </c>
      <c r="C2470" s="68">
        <f>IFERROR(__xludf.DUMMYFUNCTION("""COMPUTED_VALUE"""),45615.0)</f>
        <v>45615</v>
      </c>
      <c r="D2470" s="68">
        <f>IFERROR(__xludf.DUMMYFUNCTION("""COMPUTED_VALUE"""),45615.0)</f>
        <v>45615</v>
      </c>
      <c r="E2470" s="100">
        <f>IFERROR(__xludf.DUMMYFUNCTION("""COMPUTED_VALUE"""),290565.0)</f>
        <v>290565</v>
      </c>
      <c r="F2470" s="146" t="str">
        <f>IFERROR(__xludf.DUMMYFUNCTION("""COMPUTED_VALUE"""),"オネエ上司、夜は野獣～とろとろ同居生活")</f>
        <v>オネエ上司、夜は野獣～とろとろ同居生活</v>
      </c>
      <c r="G2470" s="75" t="str">
        <f>IFERROR(__xludf.DUMMYFUNCTION("""COMPUTED_VALUE"""),"1～3")</f>
        <v>1～3</v>
      </c>
      <c r="H2470" s="75" t="str">
        <f>IFERROR(__xludf.DUMMYFUNCTION("""COMPUTED_VALUE"""),"秋桜結,あゆみ凛,PRISMstudio")</f>
        <v>秋桜結,あゆみ凛,PRISMstudio</v>
      </c>
      <c r="I2470" s="75" t="str">
        <f>IFERROR(__xludf.DUMMYFUNCTION("""COMPUTED_VALUE"""),"TLコミック")</f>
        <v>TLコミック</v>
      </c>
      <c r="J2470" s="75"/>
      <c r="K2470" s="75" t="str">
        <f>IFERROR(__xludf.DUMMYFUNCTION("""COMPUTED_VALUE"""),"スキして?桃色日記")</f>
        <v>スキして?桃色日記</v>
      </c>
      <c r="L2470" s="75" t="str">
        <f>IFERROR(__xludf.DUMMYFUNCTION("""COMPUTED_VALUE"""),"シーモアコミックス")</f>
        <v>シーモアコミックス</v>
      </c>
      <c r="M2470" s="85">
        <f>IFERROR(__xludf.DUMMYFUNCTION("""COMPUTED_VALUE"""),45647.0)</f>
        <v>45647</v>
      </c>
      <c r="N2470" s="23">
        <f>IFERROR(__xludf.DUMMYFUNCTION("""COMPUTED_VALUE"""),45799.66666666667)</f>
        <v>45799.66667</v>
      </c>
      <c r="O2470" s="75"/>
      <c r="P2470" s="71" t="str">
        <f>IFERROR(__xludf.DUMMYFUNCTION("""COMPUTED_VALUE"""),"可")</f>
        <v>可</v>
      </c>
      <c r="Q2470" s="72"/>
      <c r="R2470" s="75"/>
      <c r="S2470" s="75" t="str">
        <f>IFERROR(__xludf.DUMMYFUNCTION("""COMPUTED_VALUE"""),"20241119_シーモアコミックス_オネエ上司、夜は野獣～とろとろ同居生活")</f>
        <v>20241119_シーモアコミックス_オネエ上司、夜は野獣～とろとろ同居生活</v>
      </c>
      <c r="T2470" s="83" t="str">
        <f>IFERROR(__xludf.DUMMYFUNCTION("""COMPUTED_VALUE"""),"格納済み")</f>
        <v>格納済み</v>
      </c>
      <c r="U2470" s="15" t="str">
        <f>IFERROR(__xludf.DUMMYFUNCTION("""COMPUTED_VALUE"""),"© 秋桜結/あゆみ凛/PRISMstudio/シーモアコミックス")</f>
        <v>© 秋桜結/あゆみ凛/PRISMstudio/シーモアコミックス</v>
      </c>
      <c r="V2470" s="8" t="str">
        <f>IFERROR(__xludf.DUMMYFUNCTION("""COMPUTED_VALUE"""),"「酒グセ悪くないですか!?」
男が好きなはずのオネエな課長となら、ひとつ屋根の下だって大丈夫だよね！と思ったのに酔った課長に突然キスされ…押し倒されて…!?
家事と節約が趣味の舞子(まいこ)は、アパートの退去期限が迫り困っているところを、憧れの熊谷(くまがい)課長の家に家政婦として引っ越すことに！
熊谷課長は仕事もできるし部下思いでイケメン!!まさに歩く女子の理想のイケメンだけど実はオネエで一緒に暮らしてた『彼』が出ていったらしい。女は恋愛対象じゃないってことは失恋確定だけど、一緒に暮らしても問題な"&amp;"い…そう思っていたのにこれはもしかして私のこと元カレ（？）と間違えてる!?
課長は男の人が好きなんじゃないの――…!?【桃色日記】")</f>
        <v>「酒グセ悪くないですか!?」
男が好きなはずのオネエな課長となら、ひとつ屋根の下だって大丈夫だよね！と思ったのに酔った課長に突然キスされ…押し倒されて…!?
家事と節約が趣味の舞子(まいこ)は、アパートの退去期限が迫り困っているところを、憧れの熊谷(くまがい)課長の家に家政婦として引っ越すことに！
熊谷課長は仕事もできるし部下思いでイケメン!!まさに歩く女子の理想のイケメンだけど実はオネエで一緒に暮らしてた『彼』が出ていったらしい。女は恋愛対象じゃないってことは失恋確定だけど、一緒に暮らしても問題ない…そう思っていたのにこれはもしかして私のこと元カレ（？）と間違えてる!?
課長は男の人が好きなんじゃないの――…!?【桃色日記】</v>
      </c>
      <c r="W2470" s="14"/>
      <c r="X2470" s="14" t="str">
        <f>IFERROR(__xludf.DUMMYFUNCTION("""COMPUTED_VALUE"""),"有")</f>
        <v>有</v>
      </c>
      <c r="Y2470" s="8" t="str">
        <f>IFERROR(__xludf.DUMMYFUNCTION("""COMPUTED_VALUE"""),"2025/1/17まで1巻無料")</f>
        <v>2025/1/17まで1巻無料</v>
      </c>
      <c r="Z2470" s="7"/>
      <c r="AA2470" s="7"/>
      <c r="AB2470" s="7"/>
    </row>
    <row r="2471" ht="15.75" customHeight="1">
      <c r="A2471" s="66">
        <f>IFERROR(__xludf.DUMMYFUNCTION("""COMPUTED_VALUE"""),4525.0)</f>
        <v>4525</v>
      </c>
      <c r="B2471" s="75" t="str">
        <f>IFERROR(__xludf.DUMMYFUNCTION("""COMPUTED_VALUE"""),"確定")</f>
        <v>確定</v>
      </c>
      <c r="C2471" s="68">
        <f>IFERROR(__xludf.DUMMYFUNCTION("""COMPUTED_VALUE"""),45615.0)</f>
        <v>45615</v>
      </c>
      <c r="D2471" s="68">
        <f>IFERROR(__xludf.DUMMYFUNCTION("""COMPUTED_VALUE"""),45615.0)</f>
        <v>45615</v>
      </c>
      <c r="E2471" s="100">
        <f>IFERROR(__xludf.DUMMYFUNCTION("""COMPUTED_VALUE"""),295480.0)</f>
        <v>295480</v>
      </c>
      <c r="F2471" s="146" t="str">
        <f>IFERROR(__xludf.DUMMYFUNCTION("""COMPUTED_VALUE"""),"S級ダンジョンの女主人は悪魔にも勇者にも溺愛される(フルカラー)")</f>
        <v>S級ダンジョンの女主人は悪魔にも勇者にも溺愛される(フルカラー)</v>
      </c>
      <c r="G2471" s="75" t="str">
        <f>IFERROR(__xludf.DUMMYFUNCTION("""COMPUTED_VALUE"""),"1～10")</f>
        <v>1～10</v>
      </c>
      <c r="H2471" s="75" t="str">
        <f>IFERROR(__xludf.DUMMYFUNCTION("""COMPUTED_VALUE"""),"ハド,チェ・ドクグ,ジョンア")</f>
        <v>ハド,チェ・ドクグ,ジョンア</v>
      </c>
      <c r="I2471" s="75" t="str">
        <f>IFERROR(__xludf.DUMMYFUNCTION("""COMPUTED_VALUE"""),"女性マンガ")</f>
        <v>女性マンガ</v>
      </c>
      <c r="J2471" s="87"/>
      <c r="K2471" s="87"/>
      <c r="L2471" s="75" t="str">
        <f>IFERROR(__xludf.DUMMYFUNCTION("""COMPUTED_VALUE"""),"シーモアコミックス")</f>
        <v>シーモアコミックス</v>
      </c>
      <c r="M2471" s="85">
        <f>IFERROR(__xludf.DUMMYFUNCTION("""COMPUTED_VALUE"""),45647.0)</f>
        <v>45647</v>
      </c>
      <c r="N2471" s="23">
        <f>IFERROR(__xludf.DUMMYFUNCTION("""COMPUTED_VALUE"""),45799.66666666667)</f>
        <v>45799.66667</v>
      </c>
      <c r="O2471" s="75"/>
      <c r="P2471" s="71" t="str">
        <f>IFERROR(__xludf.DUMMYFUNCTION("""COMPUTED_VALUE"""),"可")</f>
        <v>可</v>
      </c>
      <c r="Q2471" s="72"/>
      <c r="R2471" s="75"/>
      <c r="S2471" s="75" t="str">
        <f>IFERROR(__xludf.DUMMYFUNCTION("""COMPUTED_VALUE"""),"20241119_シーモアコミックス_S級ダンジョンの女主人は悪魔にも勇者にも溺愛される（フルカラー）")</f>
        <v>20241119_シーモアコミックス_S級ダンジョンの女主人は悪魔にも勇者にも溺愛される（フルカラー）</v>
      </c>
      <c r="T2471" s="75" t="str">
        <f>IFERROR(__xludf.DUMMYFUNCTION("""COMPUTED_VALUE"""),"格納済み")</f>
        <v>格納済み</v>
      </c>
      <c r="U2471" s="15" t="str">
        <f>IFERROR(__xludf.DUMMYFUNCTION("""COMPUTED_VALUE"""),"© ハド/ジョンア/チェ・ドクグ/Daewon C.I. Inc./シーモアコミックス")</f>
        <v>© ハド/ジョンア/チェ・ドクグ/Daewon C.I. Inc./シーモアコミックス</v>
      </c>
      <c r="V2471" s="8" t="str">
        <f>IFERROR(__xludf.DUMMYFUNCTION("""COMPUTED_VALUE"""),"「彼女の本命は自分だ！」と顔のイイ悪魔や勇者達に愛されながら、
ランク底辺のF級ダンジョンをS級にすることができるのか――!?
働かず、ぐうたら過ごしていたサキュバス・アデライデ。
そのため所属していた連合から追放され、お金も住む場所もなくなり、命の危機…!?だったが、幸運なことに祖父が遺してくれたダンジョンを相続できることに！
ダンジョンマスターになれば、一生楽して暮らせると思いきや、まさかの借金まみれの底辺ダンジョンだった…。
さらにサキュバスは生きていくために誰かの精気を“キス”してもらう"&amp;"必要があって――!?
俺様系悪魔、完璧な管理人、儚げな勇者…異種族とのラブストーリー×ダンジョン再建、ここに開幕！
【恋するソワレ】")</f>
        <v>「彼女の本命は自分だ！」と顔のイイ悪魔や勇者達に愛されながら、
ランク底辺のF級ダンジョンをS級にすることができるのか――!?
働かず、ぐうたら過ごしていたサキュバス・アデライデ。
そのため所属していた連合から追放され、お金も住む場所もなくなり、命の危機…!?だったが、幸運なことに祖父が遺してくれたダンジョンを相続できることに！
ダンジョンマスターになれば、一生楽して暮らせると思いきや、まさかの借金まみれの底辺ダンジョンだった…。
さらにサキュバスは生きていくために誰かの精気を“キス”してもらう必要があって――!?
俺様系悪魔、完璧な管理人、儚げな勇者…異種族とのラブストーリー×ダンジョン再建、ここに開幕！
【恋するソワレ】</v>
      </c>
      <c r="W2471" s="14"/>
      <c r="X2471" s="14" t="str">
        <f>IFERROR(__xludf.DUMMYFUNCTION("""COMPUTED_VALUE"""),"有")</f>
        <v>有</v>
      </c>
      <c r="Y2471" s="8" t="str">
        <f>IFERROR(__xludf.DUMMYFUNCTION("""COMPUTED_VALUE"""),"P17まで")</f>
        <v>P17まで</v>
      </c>
      <c r="Z2471" s="7"/>
      <c r="AA2471" s="7"/>
      <c r="AB2471" s="7"/>
    </row>
    <row r="2472" ht="15.75" customHeight="1">
      <c r="A2472" s="66">
        <f>IFERROR(__xludf.DUMMYFUNCTION("""COMPUTED_VALUE"""),4526.0)</f>
        <v>4526</v>
      </c>
      <c r="B2472" s="75" t="str">
        <f>IFERROR(__xludf.DUMMYFUNCTION("""COMPUTED_VALUE"""),"確定")</f>
        <v>確定</v>
      </c>
      <c r="C2472" s="68">
        <f>IFERROR(__xludf.DUMMYFUNCTION("""COMPUTED_VALUE"""),45615.0)</f>
        <v>45615</v>
      </c>
      <c r="D2472" s="68">
        <f>IFERROR(__xludf.DUMMYFUNCTION("""COMPUTED_VALUE"""),45615.0)</f>
        <v>45615</v>
      </c>
      <c r="E2472" s="100">
        <f>IFERROR(__xludf.DUMMYFUNCTION("""COMPUTED_VALUE"""),295481.0)</f>
        <v>295481</v>
      </c>
      <c r="F2472" s="146" t="str">
        <f>IFERROR(__xludf.DUMMYFUNCTION("""COMPUTED_VALUE"""),"S級ダンジョンの女主人は悪魔にも勇者にも溺愛される【タテヨミ】")</f>
        <v>S級ダンジョンの女主人は悪魔にも勇者にも溺愛される【タテヨミ】</v>
      </c>
      <c r="G2472" s="75" t="str">
        <f>IFERROR(__xludf.DUMMYFUNCTION("""COMPUTED_VALUE"""),"1～20")</f>
        <v>1～20</v>
      </c>
      <c r="H2472" s="75" t="str">
        <f>IFERROR(__xludf.DUMMYFUNCTION("""COMPUTED_VALUE"""),"ハド,チェ・ドクグ,ジョンア")</f>
        <v>ハド,チェ・ドクグ,ジョンア</v>
      </c>
      <c r="I2472" s="75" t="str">
        <f>IFERROR(__xludf.DUMMYFUNCTION("""COMPUTED_VALUE"""),"女性マンガ")</f>
        <v>女性マンガ</v>
      </c>
      <c r="J2472" s="87"/>
      <c r="K2472" s="87"/>
      <c r="L2472" s="75" t="str">
        <f>IFERROR(__xludf.DUMMYFUNCTION("""COMPUTED_VALUE"""),"シーモアコミックス")</f>
        <v>シーモアコミックス</v>
      </c>
      <c r="M2472" s="85">
        <f>IFERROR(__xludf.DUMMYFUNCTION("""COMPUTED_VALUE"""),45647.0)</f>
        <v>45647</v>
      </c>
      <c r="N2472" s="23">
        <f>IFERROR(__xludf.DUMMYFUNCTION("""COMPUTED_VALUE"""),45799.66666666667)</f>
        <v>45799.66667</v>
      </c>
      <c r="O2472" s="75"/>
      <c r="P2472" s="80" t="str">
        <f>IFERROR(__xludf.DUMMYFUNCTION("""COMPUTED_VALUE"""),"可")</f>
        <v>可</v>
      </c>
      <c r="Q2472" s="72" t="str">
        <f>IFERROR(__xludf.DUMMYFUNCTION("""COMPUTED_VALUE"""),"※コマサム等素材は「295480 S級ダンジョンの女主人は悪魔にも勇者にも溺愛される（フルカラー）」のほうをお使いください。&lt;BR&gt;バナー制作はフルカラー版の素材を利用して問題ございません。")</f>
        <v>※コマサム等素材は「295480 S級ダンジョンの女主人は悪魔にも勇者にも溺愛される（フルカラー）」のほうをお使いください。&lt;BR&gt;バナー制作はフルカラー版の素材を利用して問題ございません。</v>
      </c>
      <c r="R2472" s="75"/>
      <c r="S2472" s="75" t="str">
        <f>IFERROR(__xludf.DUMMYFUNCTION("""COMPUTED_VALUE"""),"20241119_シーモアコミックス_S級ダンジョンの女主人は悪魔にも勇者にも溺愛される【タテヨミ】")</f>
        <v>20241119_シーモアコミックス_S級ダンジョンの女主人は悪魔にも勇者にも溺愛される【タテヨミ】</v>
      </c>
      <c r="T2472" s="75" t="str">
        <f>IFERROR(__xludf.DUMMYFUNCTION("""COMPUTED_VALUE"""),"格納済み")</f>
        <v>格納済み</v>
      </c>
      <c r="U2472" s="15" t="str">
        <f>IFERROR(__xludf.DUMMYFUNCTION("""COMPUTED_VALUE"""),"© ハド/ジョンア/チェ・ドクグ/Daewon C.I. Inc./シーモアコミックス")</f>
        <v>© ハド/ジョンア/チェ・ドクグ/Daewon C.I. Inc./シーモアコミックス</v>
      </c>
      <c r="V2472" s="8" t="str">
        <f>IFERROR(__xludf.DUMMYFUNCTION("""COMPUTED_VALUE"""),"「彼女の本命は自分だ！」と顔のイイ悪魔や勇者達に愛されながら、
ランク底辺のF級ダンジョンをS級にすることができるのか――!?
働かず、ぐうたら過ごしていたサキュバス・アデライデ。
そのため所属していた連合から追放され、お金も住む場所もなくなり、命の危機…!?だったが、幸運なことに祖父が遺してくれたダンジョンを相続できることに！
ダンジョンマスターになれば、一生楽して暮らせると思いきや、まさかの借金まみれの底辺ダンジョンだった…。
さらにサキュバスは生きていくために誰かの精気を“キス”してもらう"&amp;"必要があって――!?
俺様系悪魔、完璧な管理人、儚げな勇者…異種族とのラブストーリー×ダンジョン再建、ここに開幕！
【恋するソワレ】")</f>
        <v>「彼女の本命は自分だ！」と顔のイイ悪魔や勇者達に愛されながら、
ランク底辺のF級ダンジョンをS級にすることができるのか――!?
働かず、ぐうたら過ごしていたサキュバス・アデライデ。
そのため所属していた連合から追放され、お金も住む場所もなくなり、命の危機…!?だったが、幸運なことに祖父が遺してくれたダンジョンを相続できることに！
ダンジョンマスターになれば、一生楽して暮らせると思いきや、まさかの借金まみれの底辺ダンジョンだった…。
さらにサキュバスは生きていくために誰かの精気を“キス”してもらう必要があって――!?
俺様系悪魔、完璧な管理人、儚げな勇者…異種族とのラブストーリー×ダンジョン再建、ここに開幕！
【恋するソワレ】</v>
      </c>
      <c r="W2472" s="14"/>
      <c r="X2472" s="14" t="str">
        <f>IFERROR(__xludf.DUMMYFUNCTION("""COMPUTED_VALUE"""),"有")</f>
        <v>有</v>
      </c>
      <c r="Y2472" s="8" t="str">
        <f>IFERROR(__xludf.DUMMYFUNCTION("""COMPUTED_VALUE"""),"1巻無料")</f>
        <v>1巻無料</v>
      </c>
      <c r="Z2472" s="7"/>
      <c r="AA2472" s="7"/>
      <c r="AB2472" s="7"/>
    </row>
    <row r="2473" ht="15.75" customHeight="1">
      <c r="A2473" s="76">
        <f>IFERROR(__xludf.DUMMYFUNCTION("""COMPUTED_VALUE"""),3683.0)</f>
        <v>3683</v>
      </c>
      <c r="B2473" s="69" t="str">
        <f>IFERROR(__xludf.DUMMYFUNCTION("""COMPUTED_VALUE"""),"確定")</f>
        <v>確定</v>
      </c>
      <c r="C2473" s="74">
        <f>IFERROR(__xludf.DUMMYFUNCTION("""COMPUTED_VALUE"""),45468.0)</f>
        <v>45468</v>
      </c>
      <c r="D2473" s="74">
        <f>IFERROR(__xludf.DUMMYFUNCTION("""COMPUTED_VALUE"""),45618.0)</f>
        <v>45618</v>
      </c>
      <c r="E2473" s="112">
        <f>IFERROR(__xludf.DUMMYFUNCTION("""COMPUTED_VALUE"""),309805.0)</f>
        <v>309805</v>
      </c>
      <c r="F2473" s="119" t="str">
        <f>IFERROR(__xludf.DUMMYFUNCTION("""COMPUTED_VALUE"""),"帝国東雲婚姻譚")</f>
        <v>帝国東雲婚姻譚</v>
      </c>
      <c r="G2473" s="69" t="str">
        <f>IFERROR(__xludf.DUMMYFUNCTION("""COMPUTED_VALUE"""),"1～3")</f>
        <v>1～3</v>
      </c>
      <c r="H2473" s="69" t="str">
        <f>IFERROR(__xludf.DUMMYFUNCTION("""COMPUTED_VALUE"""),"芝よしはる")</f>
        <v>芝よしはる</v>
      </c>
      <c r="I2473" s="69" t="str">
        <f>IFERROR(__xludf.DUMMYFUNCTION("""COMPUTED_VALUE"""),"BL")</f>
        <v>BL</v>
      </c>
      <c r="J2473" s="67"/>
      <c r="K2473" s="67" t="str">
        <f>IFERROR(__xludf.DUMMYFUNCTION("""COMPUTED_VALUE"""),"ふゅーじょんぷろだくと")</f>
        <v>ふゅーじょんぷろだくと</v>
      </c>
      <c r="L2473" s="67" t="str">
        <f>IFERROR(__xludf.DUMMYFUNCTION("""COMPUTED_VALUE"""),"ふゅーじょんぷろだくと")</f>
        <v>ふゅーじょんぷろだくと</v>
      </c>
      <c r="M2473" s="85">
        <f>IFERROR(__xludf.DUMMYFUNCTION("""COMPUTED_VALUE"""),45652.0)</f>
        <v>45652</v>
      </c>
      <c r="N2473" s="23">
        <f>IFERROR(__xludf.DUMMYFUNCTION("""COMPUTED_VALUE"""),45714.0)</f>
        <v>45714</v>
      </c>
      <c r="O2473" s="67"/>
      <c r="P2473" s="71" t="str">
        <f>IFERROR(__xludf.DUMMYFUNCTION("""COMPUTED_VALUE"""),"可")</f>
        <v>可</v>
      </c>
      <c r="Q2473" s="67"/>
      <c r="R2473" s="67" t="str">
        <f>IFERROR(__xludf.DUMMYFUNCTION("""COMPUTED_VALUE"""),"コミットOK")</f>
        <v>コミットOK</v>
      </c>
      <c r="S2473" s="67" t="str">
        <f>IFERROR(__xludf.DUMMYFUNCTION("""COMPUTED_VALUE"""),"20241121_ふゅーじょんぷろだくと_帝国東雲婚姻譚1-3tif")</f>
        <v>20241121_ふゅーじょんぷろだくと_帝国東雲婚姻譚1-3tif</v>
      </c>
      <c r="T2473" s="67" t="str">
        <f>IFERROR(__xludf.DUMMYFUNCTION("""COMPUTED_VALUE"""),"格納済み")</f>
        <v>格納済み</v>
      </c>
      <c r="U2473" s="15" t="str">
        <f>IFERROR(__xludf.DUMMYFUNCTION("""COMPUTED_VALUE"""),"『帝国東雲婚姻譚』©︎芝よしはる／FUSION PRODUCT")</f>
        <v>『帝国東雲婚姻譚』©︎芝よしはる／FUSION PRODUCT</v>
      </c>
      <c r="V2473" s="8" t="str">
        <f>IFERROR(__xludf.DUMMYFUNCTION("""COMPUTED_VALUE"""),"【子作り。それは一族の発展と継続のため古今東西、当主に課せられた義務である。】ーー時は……帝国歴七九一年。特殊な能力“気術”を持つ者が生まれ、能力者は軍務に服し国を繁栄させた。貴族たちは気術の素質がある家同士で婚姻し後継ぎを作ることが当然とされ、帝国は能力者を絶やさないため男でも妊娠できる薬を開発。陸軍大尉・樺嶋 丞眞（かばしま しょうま）は突然父に縁談が決まったことを伝えられる。相手は海軍の軟派男と有名な瀧尾 知夏（たきお ちか）。突然の縁談にくわえ、海軍の軽薄な男など言語道断……！敵意をあらわにする丞"&amp;"眞を煽るように知夏は子作りについて挑発してきてーー。褌姿は垂涎必至。奇奇怪怪な軍人BL、ここに開幕！！孕むのはーーだれだ？※本作品は電子書籍版『BABY vol.67α』にも掲載しております。重複購入にお気をつけください。")</f>
        <v>【子作り。それは一族の発展と継続のため古今東西、当主に課せられた義務である。】ーー時は……帝国歴七九一年。特殊な能力“気術”を持つ者が生まれ、能力者は軍務に服し国を繁栄させた。貴族たちは気術の素質がある家同士で婚姻し後継ぎを作ることが当然とされ、帝国は能力者を絶やさないため男でも妊娠できる薬を開発。陸軍大尉・樺嶋 丞眞（かばしま しょうま）は突然父に縁談が決まったことを伝えられる。相手は海軍の軟派男と有名な瀧尾 知夏（たきお ちか）。突然の縁談にくわえ、海軍の軽薄な男など言語道断……！敵意をあらわにする丞眞を煽るように知夏は子作りについて挑発してきてーー。褌姿は垂涎必至。奇奇怪怪な軍人BL、ここに開幕！！孕むのはーーだれだ？※本作品は電子書籍版『BABY vol.67α』にも掲載しております。重複購入にお気をつけください。</v>
      </c>
      <c r="W2473" s="14"/>
      <c r="X2473" s="14" t="str">
        <f>IFERROR(__xludf.DUMMYFUNCTION("""COMPUTED_VALUE"""),"有")</f>
        <v>有</v>
      </c>
      <c r="Y2473" s="8" t="str">
        <f>IFERROR(__xludf.DUMMYFUNCTION("""COMPUTED_VALUE"""),"P10まで")</f>
        <v>P10まで</v>
      </c>
      <c r="Z2473" s="7"/>
      <c r="AA2473" s="7"/>
      <c r="AB2473" s="7"/>
    </row>
    <row r="2474" ht="15.75" customHeight="1">
      <c r="A2474" s="76">
        <f>IFERROR(__xludf.DUMMYFUNCTION("""COMPUTED_VALUE"""),3905.0)</f>
        <v>3905</v>
      </c>
      <c r="B2474" s="69" t="str">
        <f>IFERROR(__xludf.DUMMYFUNCTION("""COMPUTED_VALUE"""),"確定")</f>
        <v>確定</v>
      </c>
      <c r="C2474" s="74">
        <f>IFERROR(__xludf.DUMMYFUNCTION("""COMPUTED_VALUE"""),45505.0)</f>
        <v>45505</v>
      </c>
      <c r="D2474" s="74">
        <f>IFERROR(__xludf.DUMMYFUNCTION("""COMPUTED_VALUE"""),45622.0)</f>
        <v>45622</v>
      </c>
      <c r="E2474" s="112">
        <f>IFERROR(__xludf.DUMMYFUNCTION("""COMPUTED_VALUE"""),309821.0)</f>
        <v>309821</v>
      </c>
      <c r="F2474" s="119" t="str">
        <f>IFERROR(__xludf.DUMMYFUNCTION("""COMPUTED_VALUE"""),"発情契約はじめます！～人生2周目、松丸課長とモフモフタイム～【単話】")</f>
        <v>発情契約はじめます！～人生2周目、松丸課長とモフモフタイム～【単話】</v>
      </c>
      <c r="G2474" s="69" t="str">
        <f>IFERROR(__xludf.DUMMYFUNCTION("""COMPUTED_VALUE"""),"1～2")</f>
        <v>1～2</v>
      </c>
      <c r="H2474" s="69" t="str">
        <f>IFERROR(__xludf.DUMMYFUNCTION("""COMPUTED_VALUE"""),"東ぺちこ")</f>
        <v>東ぺちこ</v>
      </c>
      <c r="I2474" s="69" t="str">
        <f>IFERROR(__xludf.DUMMYFUNCTION("""COMPUTED_VALUE"""),"TL")</f>
        <v>TL</v>
      </c>
      <c r="J2474" s="67"/>
      <c r="K2474" s="67" t="str">
        <f>IFERROR(__xludf.DUMMYFUNCTION("""COMPUTED_VALUE"""),"ミンティ")</f>
        <v>ミンティ</v>
      </c>
      <c r="L2474" s="67" t="str">
        <f>IFERROR(__xludf.DUMMYFUNCTION("""COMPUTED_VALUE"""),"オークラ出版")</f>
        <v>オークラ出版</v>
      </c>
      <c r="M2474" s="85">
        <f>IFERROR(__xludf.DUMMYFUNCTION("""COMPUTED_VALUE"""),45653.0)</f>
        <v>45653</v>
      </c>
      <c r="N2474" s="23">
        <f>IFERROR(__xludf.DUMMYFUNCTION("""COMPUTED_VALUE"""),45680.0)</f>
        <v>45680</v>
      </c>
      <c r="O2474" s="67"/>
      <c r="P2474" s="70" t="str">
        <f>IFERROR(__xludf.DUMMYFUNCTION("""COMPUTED_VALUE"""),"可")</f>
        <v>可</v>
      </c>
      <c r="Q2474" s="67" t="str">
        <f>IFERROR(__xludf.DUMMYFUNCTION("""COMPUTED_VALUE"""),"・刊行ペース：隔月配信予定")</f>
        <v>・刊行ペース：隔月配信予定</v>
      </c>
      <c r="R2474" s="67" t="str">
        <f>IFERROR(__xludf.DUMMYFUNCTION("""COMPUTED_VALUE"""),"コミットNG")</f>
        <v>コミットNG</v>
      </c>
      <c r="S2474" s="67" t="str">
        <f>IFERROR(__xludf.DUMMYFUNCTION("""COMPUTED_VALUE"""),"20241122_オークラ出版_発情契約はじめます！～人生2周目、松丸課長とモフモフタイム～【単話】")</f>
        <v>20241122_オークラ出版_発情契約はじめます！～人生2周目、松丸課長とモフモフタイム～【単話】</v>
      </c>
      <c r="T2474" s="67" t="str">
        <f>IFERROR(__xludf.DUMMYFUNCTION("""COMPUTED_VALUE"""),"格納済み")</f>
        <v>格納済み</v>
      </c>
      <c r="U2474" s="15" t="str">
        <f>IFERROR(__xludf.DUMMYFUNCTION("""COMPUTED_VALUE"""),"(C)東ぺちこ・白湯屋/オークラ出版 ミンティ")</f>
        <v>(C)東ぺちこ・白湯屋/オークラ出版 ミンティ</v>
      </c>
      <c r="V2474" s="8" t="str">
        <f>IFERROR(__xludf.DUMMYFUNCTION("""COMPUTED_VALUE"""),"「円山くん…私を押しのけてくれ…っ」誰もいないオフィスで突然発情した課長から押し倒されたうえ、大きなアソコでグリグリと刺激されてしまい…。
欲望むき出しに激しく擦りつけられるたび…力が入らない！―――獣人と人間が共存した世界で、OLとして働く円山朝陽。
ところが、ひょんなことから人間世界で悲痛な最期を遂げた前世の記憶が甦り、転生して並行世界にいることを知ることに。
大の猫好きであったことから、猫耳にフワフワしっぽを持つ猫人族の松丸課長のことを急に意識してしまう。
そんなある日、忘れ物を取りに夜のオ"&amp;"フィスに向かうと、そこには様子がおかしい松丸課長がいて…。
助けようとした途端、その場に押し倒されてしまい…！　
紳士でクールな発情持ちの猫人課長と猫をこよなく愛するOLの二人が織りなす、ラブキュンストーリーが開幕!!")</f>
        <v>「円山くん…私を押しのけてくれ…っ」誰もいないオフィスで突然発情した課長から押し倒されたうえ、大きなアソコでグリグリと刺激されてしまい…。
欲望むき出しに激しく擦りつけられるたび…力が入らない！―――獣人と人間が共存した世界で、OLとして働く円山朝陽。
ところが、ひょんなことから人間世界で悲痛な最期を遂げた前世の記憶が甦り、転生して並行世界にいることを知ることに。
大の猫好きであったことから、猫耳にフワフワしっぽを持つ猫人族の松丸課長のことを急に意識してしまう。
そんなある日、忘れ物を取りに夜のオフィスに向かうと、そこには様子がおかしい松丸課長がいて…。
助けようとした途端、その場に押し倒されてしまい…！　
紳士でクールな発情持ちの猫人課長と猫をこよなく愛するOLの二人が織りなす、ラブキュンストーリーが開幕!!</v>
      </c>
      <c r="W2474" s="14"/>
      <c r="X2474" s="14" t="str">
        <f>IFERROR(__xludf.DUMMYFUNCTION("""COMPUTED_VALUE"""),"有")</f>
        <v>有</v>
      </c>
      <c r="Y2474" s="8" t="str">
        <f>IFERROR(__xludf.DUMMYFUNCTION("""COMPUTED_VALUE"""),"P8まで")</f>
        <v>P8まで</v>
      </c>
      <c r="Z2474" s="7"/>
      <c r="AA2474" s="7"/>
      <c r="AB2474" s="7"/>
    </row>
    <row r="2475" ht="15.75" customHeight="1">
      <c r="A2475" s="76">
        <f>IFERROR(__xludf.DUMMYFUNCTION("""COMPUTED_VALUE"""),4088.0)</f>
        <v>4088</v>
      </c>
      <c r="B2475" s="69" t="str">
        <f>IFERROR(__xludf.DUMMYFUNCTION("""COMPUTED_VALUE"""),"確定")</f>
        <v>確定</v>
      </c>
      <c r="C2475" s="74">
        <f>IFERROR(__xludf.DUMMYFUNCTION("""COMPUTED_VALUE"""),45539.0)</f>
        <v>45539</v>
      </c>
      <c r="D2475" s="74">
        <f>IFERROR(__xludf.DUMMYFUNCTION("""COMPUTED_VALUE"""),45623.0)</f>
        <v>45623</v>
      </c>
      <c r="E2475" s="112">
        <f>IFERROR(__xludf.DUMMYFUNCTION("""COMPUTED_VALUE"""),306025.0)</f>
        <v>306025</v>
      </c>
      <c r="F2475" s="119" t="str">
        <f>IFERROR(__xludf.DUMMYFUNCTION("""COMPUTED_VALUE"""),"最強の騎士に転生したはずが暴君に陵辱されています【タテヨミ】")</f>
        <v>最強の騎士に転生したはずが暴君に陵辱されています【タテヨミ】</v>
      </c>
      <c r="G2475" s="69" t="str">
        <f>IFERROR(__xludf.DUMMYFUNCTION("""COMPUTED_VALUE"""),"1～10")</f>
        <v>1～10</v>
      </c>
      <c r="H2475" s="69" t="str">
        <f>IFERROR(__xludf.DUMMYFUNCTION("""COMPUTED_VALUE"""),"原作：愁堂れな")</f>
        <v>原作：愁堂れな</v>
      </c>
      <c r="I2475" s="69" t="str">
        <f>IFERROR(__xludf.DUMMYFUNCTION("""COMPUTED_VALUE"""),"BL")</f>
        <v>BL</v>
      </c>
      <c r="J2475" s="87"/>
      <c r="K2475" s="87"/>
      <c r="L2475" s="67" t="str">
        <f>IFERROR(__xludf.DUMMYFUNCTION("""COMPUTED_VALUE"""),"幻冬舎コミックス")</f>
        <v>幻冬舎コミックス</v>
      </c>
      <c r="M2475" s="23">
        <f>IFERROR(__xludf.DUMMYFUNCTION("""COMPUTED_VALUE"""),45630.0)</f>
        <v>45630</v>
      </c>
      <c r="N2475" s="23">
        <f>IFERROR(__xludf.DUMMYFUNCTION("""COMPUTED_VALUE"""),2958465.0)</f>
        <v>2958465</v>
      </c>
      <c r="O2475" s="67"/>
      <c r="P2475" s="70" t="str">
        <f>IFERROR(__xludf.DUMMYFUNCTION("""COMPUTED_VALUE"""),"可")</f>
        <v>可</v>
      </c>
      <c r="Q2475" s="67" t="str">
        <f>IFERROR(__xludf.DUMMYFUNCTION("""COMPUTED_VALUE"""),"・冒頭3話は無料（価格0円）予定です&lt;BR&gt;・原作小説「穢された聖域 最強の騎士に転生したはずが暴君に陵辱されています」（愁堂れな）をタテヨミ化した作品となります&lt;BR&gt;https://www.cmoa.jp/title/1101373017/")</f>
        <v>・冒頭3話は無料（価格0円）予定です&lt;BR&gt;・原作小説「穢された聖域 最強の騎士に転生したはずが暴君に陵辱されています」（愁堂れな）をタテヨミ化した作品となります&lt;BR&gt;https://www.cmoa.jp/title/1101373017/</v>
      </c>
      <c r="R2475" s="67" t="str">
        <f>IFERROR(__xludf.DUMMYFUNCTION("""COMPUTED_VALUE"""),"コミットOK")</f>
        <v>コミットOK</v>
      </c>
      <c r="S2475" s="87" t="str">
        <f>IFERROR(__xludf.DUMMYFUNCTION("""COMPUTED_VALUE"""),"20241126_幻冬舎コミックス_最強の騎士に転生したはずが暴君に陵辱されています_2")</f>
        <v>20241126_幻冬舎コミックス_最強の騎士に転生したはずが暴君に陵辱されています_2</v>
      </c>
      <c r="T2475" s="67"/>
      <c r="U2475" s="15" t="str">
        <f>IFERROR(__xludf.DUMMYFUNCTION("""COMPUTED_VALUE"""),"(C)愁堂れな・カペイン／幻冬舎コミックス・TOKIFUDE・DNP")</f>
        <v>(C)愁堂れな・カペイン／幻冬舎コミックス・TOKIFUDE・DNP</v>
      </c>
      <c r="V2475" s="8" t="str">
        <f>IFERROR(__xludf.DUMMYFUNCTION("""COMPUTED_VALUE"""),"人見知りで気弱な清水龍一は、ゲームが好きなオタク大学生。ある日、出かけた先でヤクザの抗争に巻き込まれ、若頭の神代とともに命を落としてしまう。ところが、目が覚めるとそこは異世界で目の前には銀髪の美少女が眠っており、龍一も金髪碧眼の美青年になっていた。なんと目の前の美少女に見えた彼は少年かつ一緒に死んだ神代で、ともに異世界転生してしまっていたのだ！　どうやらここは龍一が生前にプレイしていた陵辱系ファンタジーBLゲームの世界で、龍一は「最強の騎士」リュカ、神代は「聖女」クリスティーンに転生していた。ゲームの展開"&amp;"では聖女が皇帝ネウロに陵辱されてしまうはずだったが、騎士リュカこと龍一が襲われてしまう。ショックを受ける龍一だったが、ゲームでは描かれていなかったネウロの孤独や優しさを知って次第に惹かれていき…!?
ルチル文庫大人気作「穢された聖域 最強の騎士に転生したはずが暴君に陵辱されています」にオリジナルエピソードを加え、ウェブトゥーン化！")</f>
        <v>人見知りで気弱な清水龍一は、ゲームが好きなオタク大学生。ある日、出かけた先でヤクザの抗争に巻き込まれ、若頭の神代とともに命を落としてしまう。ところが、目が覚めるとそこは異世界で目の前には銀髪の美少女が眠っており、龍一も金髪碧眼の美青年になっていた。なんと目の前の美少女に見えた彼は少年かつ一緒に死んだ神代で、ともに異世界転生してしまっていたのだ！　どうやらここは龍一が生前にプレイしていた陵辱系ファンタジーBLゲームの世界で、龍一は「最強の騎士」リュカ、神代は「聖女」クリスティーンに転生していた。ゲームの展開では聖女が皇帝ネウロに陵辱されてしまうはずだったが、騎士リュカこと龍一が襲われてしまう。ショックを受ける龍一だったが、ゲームでは描かれていなかったネウロの孤独や優しさを知って次第に惹かれていき…!?
ルチル文庫大人気作「穢された聖域 最強の騎士に転生したはずが暴君に陵辱されています」にオリジナルエピソードを加え、ウェブトゥーン化！</v>
      </c>
      <c r="W2475" s="14"/>
      <c r="X2475" s="14" t="str">
        <f>IFERROR(__xludf.DUMMYFUNCTION("""COMPUTED_VALUE"""),"有")</f>
        <v>有</v>
      </c>
      <c r="Y2475" s="8" t="str">
        <f>IFERROR(__xludf.DUMMYFUNCTION("""COMPUTED_VALUE"""),"1～3巻無料")</f>
        <v>1～3巻無料</v>
      </c>
      <c r="Z2475" s="7"/>
      <c r="AA2475" s="7"/>
      <c r="AB2475" s="7"/>
    </row>
    <row r="2476" ht="15.75" customHeight="1">
      <c r="A2476" s="76">
        <f>IFERROR(__xludf.DUMMYFUNCTION("""COMPUTED_VALUE"""),4092.0)</f>
        <v>4092</v>
      </c>
      <c r="B2476" s="69" t="str">
        <f>IFERROR(__xludf.DUMMYFUNCTION("""COMPUTED_VALUE"""),"確定")</f>
        <v>確定</v>
      </c>
      <c r="C2476" s="74">
        <f>IFERROR(__xludf.DUMMYFUNCTION("""COMPUTED_VALUE"""),45539.0)</f>
        <v>45539</v>
      </c>
      <c r="D2476" s="74">
        <f>IFERROR(__xludf.DUMMYFUNCTION("""COMPUTED_VALUE"""),45623.0)</f>
        <v>45623</v>
      </c>
      <c r="E2476" s="112">
        <f>IFERROR(__xludf.DUMMYFUNCTION("""COMPUTED_VALUE"""),308862.0)</f>
        <v>308862</v>
      </c>
      <c r="F2476" s="119" t="str">
        <f>IFERROR(__xludf.DUMMYFUNCTION("""COMPUTED_VALUE"""),"王子様を育てる恋のシナリオ")</f>
        <v>王子様を育てる恋のシナリオ</v>
      </c>
      <c r="G2476" s="69" t="str">
        <f>IFERROR(__xludf.DUMMYFUNCTION("""COMPUTED_VALUE"""),"1～3")</f>
        <v>1～3</v>
      </c>
      <c r="H2476" s="69" t="str">
        <f>IFERROR(__xludf.DUMMYFUNCTION("""COMPUTED_VALUE"""),"作画：IS 原作：雨庭有沙")</f>
        <v>作画：IS 原作：雨庭有沙</v>
      </c>
      <c r="I2476" s="69" t="str">
        <f>IFERROR(__xludf.DUMMYFUNCTION("""COMPUTED_VALUE"""),"女性")</f>
        <v>女性</v>
      </c>
      <c r="J2476" s="87"/>
      <c r="K2476" s="87"/>
      <c r="L2476" s="67" t="str">
        <f>IFERROR(__xludf.DUMMYFUNCTION("""COMPUTED_VALUE"""),"DPNブックス")</f>
        <v>DPNブックス</v>
      </c>
      <c r="M2476" s="85">
        <f>IFERROR(__xludf.DUMMYFUNCTION("""COMPUTED_VALUE"""),45636.0)</f>
        <v>45636</v>
      </c>
      <c r="N2476" s="23">
        <f>IFERROR(__xludf.DUMMYFUNCTION("""COMPUTED_VALUE"""),45725.70833333333)</f>
        <v>45725.70833</v>
      </c>
      <c r="O2476" s="67"/>
      <c r="P2476" s="71" t="str">
        <f>IFERROR(__xludf.DUMMYFUNCTION("""COMPUTED_VALUE"""),"可")</f>
        <v>可</v>
      </c>
      <c r="Q2476" s="67"/>
      <c r="R2476" s="67" t="str">
        <f>IFERROR(__xludf.DUMMYFUNCTION("""COMPUTED_VALUE"""),"コミットOK")</f>
        <v>コミットOK</v>
      </c>
      <c r="S2476" s="67" t="str">
        <f>IFERROR(__xludf.DUMMYFUNCTION("""COMPUTED_VALUE"""),"20241126_DPNブックス_王子様を育てる恋のシナリオ")</f>
        <v>20241126_DPNブックス_王子様を育てる恋のシナリオ</v>
      </c>
      <c r="T2476" s="67" t="str">
        <f>IFERROR(__xludf.DUMMYFUNCTION("""COMPUTED_VALUE"""),"格納済み")</f>
        <v>格納済み</v>
      </c>
      <c r="U2476" s="15" t="str">
        <f>IFERROR(__xludf.DUMMYFUNCTION("""COMPUTED_VALUE"""),"(c)IS・雨庭有沙／DPNブックス")</f>
        <v>(c)IS・雨庭有沙／DPNブックス</v>
      </c>
      <c r="V2476" s="8" t="str">
        <f>IFERROR(__xludf.DUMMYFUNCTION("""COMPUTED_VALUE"""),"努力家でバリキャリの冬野ゆかり（30）は、容姿端麗で仕事ができる完璧人間と評判だが、その期待を裏切らないよう人に合わせてしまうことに悩んでもいた。同じ会社に勤める和田とは5年交際中で、結婚秒読みだと噂されていたが、突然和田から「結婚を見据えている新しい恋人ができた」と振られてしまう。意気消沈のまま入ったレストランで男女のトラブルを目撃し、また落ち込むゆかりだが、帰路で先ほどのトラブルの渦中にいた男性に遭遇。思わず声をかけ話を聞いてみると、アヤトと名乗る彼は「自分には中身がない。それを隠すために誰にでも優し"&amp;"くしてトラブルを起こしてしまう」と悩んでいた。女性にかけられたスープで汚れていたアヤトを心配したゆかりは銭湯に行こうと提案。湯上りで綺麗な身なりになった彼はとんでもない美青年で、これはモテるのも納得だと思うゆかり。外見や取り繕った自分ではなく中身を見てほしいという共通の悩みがあるということに気がついたゆかりはふたりで協力し、お互いを磨いていこうと提案して――！？悩める二人の成長ラブストーリー！")</f>
        <v>努力家でバリキャリの冬野ゆかり（30）は、容姿端麗で仕事ができる完璧人間と評判だが、その期待を裏切らないよう人に合わせてしまうことに悩んでもいた。同じ会社に勤める和田とは5年交際中で、結婚秒読みだと噂されていたが、突然和田から「結婚を見据えている新しい恋人ができた」と振られてしまう。意気消沈のまま入ったレストランで男女のトラブルを目撃し、また落ち込むゆかりだが、帰路で先ほどのトラブルの渦中にいた男性に遭遇。思わず声をかけ話を聞いてみると、アヤトと名乗る彼は「自分には中身がない。それを隠すために誰にでも優しくしてトラブルを起こしてしまう」と悩んでいた。女性にかけられたスープで汚れていたアヤトを心配したゆかりは銭湯に行こうと提案。湯上りで綺麗な身なりになった彼はとんでもない美青年で、これはモテるのも納得だと思うゆかり。外見や取り繕った自分ではなく中身を見てほしいという共通の悩みがあるということに気がついたゆかりはふたりで協力し、お互いを磨いていこうと提案して――！？悩める二人の成長ラブストーリー！</v>
      </c>
      <c r="W2476" s="14"/>
      <c r="X2476" s="14" t="str">
        <f>IFERROR(__xludf.DUMMYFUNCTION("""COMPUTED_VALUE"""),"有")</f>
        <v>有</v>
      </c>
      <c r="Y2476" s="8" t="str">
        <f>IFERROR(__xludf.DUMMYFUNCTION("""COMPUTED_VALUE"""),"2025/2/9まで1巻無料")</f>
        <v>2025/2/9まで1巻無料</v>
      </c>
      <c r="Z2476" s="7"/>
      <c r="AA2476" s="7"/>
      <c r="AB2476" s="7"/>
    </row>
    <row r="2477" ht="15.75" customHeight="1">
      <c r="A2477" s="76">
        <f>IFERROR(__xludf.DUMMYFUNCTION("""COMPUTED_VALUE"""),4191.0)</f>
        <v>4191</v>
      </c>
      <c r="B2477" s="69" t="str">
        <f>IFERROR(__xludf.DUMMYFUNCTION("""COMPUTED_VALUE"""),"確定")</f>
        <v>確定</v>
      </c>
      <c r="C2477" s="74">
        <f>IFERROR(__xludf.DUMMYFUNCTION("""COMPUTED_VALUE"""),45562.0)</f>
        <v>45562</v>
      </c>
      <c r="D2477" s="74">
        <f>IFERROR(__xludf.DUMMYFUNCTION("""COMPUTED_VALUE"""),45622.0)</f>
        <v>45622</v>
      </c>
      <c r="E2477" s="112">
        <f>IFERROR(__xludf.DUMMYFUNCTION("""COMPUTED_VALUE"""),309288.0)</f>
        <v>309288</v>
      </c>
      <c r="F2477" s="119" t="str">
        <f>IFERROR(__xludf.DUMMYFUNCTION("""COMPUTED_VALUE"""),"復讐の天秤―お前が選んだ地獄に堕ちろ―")</f>
        <v>復讐の天秤―お前が選んだ地獄に堕ちろ―</v>
      </c>
      <c r="G2477" s="69" t="str">
        <f>IFERROR(__xludf.DUMMYFUNCTION("""COMPUTED_VALUE"""),"1～3")</f>
        <v>1～3</v>
      </c>
      <c r="H2477" s="69" t="str">
        <f>IFERROR(__xludf.DUMMYFUNCTION("""COMPUTED_VALUE"""),"蒼沼シズマ")</f>
        <v>蒼沼シズマ</v>
      </c>
      <c r="I2477" s="69" t="str">
        <f>IFERROR(__xludf.DUMMYFUNCTION("""COMPUTED_VALUE"""),"青年")</f>
        <v>青年</v>
      </c>
      <c r="J2477" s="87"/>
      <c r="K2477" s="87"/>
      <c r="L2477" s="67" t="str">
        <f>IFERROR(__xludf.DUMMYFUNCTION("""COMPUTED_VALUE"""),"wwwave comics")</f>
        <v>wwwave comics</v>
      </c>
      <c r="M2477" s="85">
        <f>IFERROR(__xludf.DUMMYFUNCTION("""COMPUTED_VALUE"""),45646.0)</f>
        <v>45646</v>
      </c>
      <c r="N2477" s="47">
        <f>IFERROR(__xludf.DUMMYFUNCTION("""COMPUTED_VALUE"""),45702.70833333333)</f>
        <v>45702.70833</v>
      </c>
      <c r="O2477" s="67"/>
      <c r="P2477" s="71" t="str">
        <f>IFERROR(__xludf.DUMMYFUNCTION("""COMPUTED_VALUE"""),"可")</f>
        <v>可</v>
      </c>
      <c r="Q2477" s="72"/>
      <c r="R2477" s="67"/>
      <c r="S2477" s="67" t="str">
        <f>IFERROR(__xludf.DUMMYFUNCTION("""COMPUTED_VALUE"""),"20241125_ウェイブ_復讐の天秤―お前が選んだ地獄に堕ちろ―")</f>
        <v>20241125_ウェイブ_復讐の天秤―お前が選んだ地獄に堕ちろ―</v>
      </c>
      <c r="T2477" s="67" t="str">
        <f>IFERROR(__xludf.DUMMYFUNCTION("""COMPUTED_VALUE"""),"格納済み")</f>
        <v>格納済み</v>
      </c>
      <c r="U2477" s="15" t="str">
        <f>IFERROR(__xludf.DUMMYFUNCTION("""COMPUTED_VALUE"""),"🄫蒼沼シズマ／wwwave comics")</f>
        <v>🄫蒼沼シズマ／wwwave comics</v>
      </c>
      <c r="V2477" s="8" t="str">
        <f>IFERROR(__xludf.DUMMYFUNCTION("""COMPUTED_VALUE"""),"「俺と母さんが見た地獄をアイツらにも選ばせてやる！」愛する人を守って死ぬか、自分が死ぬか。復讐の天秤はどちらに傾く？――過酷ないじめを受けていた志郎。意を決していじめっ子たちに立ち向かい、そして打ち勝った…。ところがある日、母親から衝撃的な一言が告げられる。「おなかに赤ちゃんができましたよ」いじめっ子たちは志郎の代わりに母親を弄んでいただけだった。真実を知った志郎は、赤ちゃんの父親かもしれないいじめっ子たちに復讐することを決意する…！")</f>
        <v>「俺と母さんが見た地獄をアイツらにも選ばせてやる！」愛する人を守って死ぬか、自分が死ぬか。復讐の天秤はどちらに傾く？――過酷ないじめを受けていた志郎。意を決していじめっ子たちに立ち向かい、そして打ち勝った…。ところがある日、母親から衝撃的な一言が告げられる。「おなかに赤ちゃんができましたよ」いじめっ子たちは志郎の代わりに母親を弄んでいただけだった。真実を知った志郎は、赤ちゃんの父親かもしれないいじめっ子たちに復讐することを決意する…！</v>
      </c>
      <c r="W2477" s="14"/>
      <c r="X2477" s="14" t="str">
        <f>IFERROR(__xludf.DUMMYFUNCTION("""COMPUTED_VALUE"""),"有")</f>
        <v>有</v>
      </c>
      <c r="Y2477" s="8" t="str">
        <f>IFERROR(__xludf.DUMMYFUNCTION("""COMPUTED_VALUE"""),"2025/1/2まで1巻無料")</f>
        <v>2025/1/2まで1巻無料</v>
      </c>
      <c r="Z2477" s="7"/>
      <c r="AA2477" s="7"/>
      <c r="AB2477" s="7"/>
    </row>
    <row r="2478" ht="15.75" customHeight="1">
      <c r="A2478" s="76">
        <f>IFERROR(__xludf.DUMMYFUNCTION("""COMPUTED_VALUE"""),4224.0)</f>
        <v>4224</v>
      </c>
      <c r="B2478" s="69" t="str">
        <f>IFERROR(__xludf.DUMMYFUNCTION("""COMPUTED_VALUE"""),"確定")</f>
        <v>確定</v>
      </c>
      <c r="C2478" s="74">
        <f>IFERROR(__xludf.DUMMYFUNCTION("""COMPUTED_VALUE"""),45567.0)</f>
        <v>45567</v>
      </c>
      <c r="D2478" s="74">
        <f>IFERROR(__xludf.DUMMYFUNCTION("""COMPUTED_VALUE"""),45622.0)</f>
        <v>45622</v>
      </c>
      <c r="E2478" s="112">
        <f>IFERROR(__xludf.DUMMYFUNCTION("""COMPUTED_VALUE"""),308235.0)</f>
        <v>308235</v>
      </c>
      <c r="F2478" s="119" t="str">
        <f>IFERROR(__xludf.DUMMYFUNCTION("""COMPUTED_VALUE"""),"上手くなるので俺と付き合ってくれますか?")</f>
        <v>上手くなるので俺と付き合ってくれますか?</v>
      </c>
      <c r="G2478" s="69" t="str">
        <f>IFERROR(__xludf.DUMMYFUNCTION("""COMPUTED_VALUE"""),"1～3")</f>
        <v>1～3</v>
      </c>
      <c r="H2478" s="69" t="str">
        <f>IFERROR(__xludf.DUMMYFUNCTION("""COMPUTED_VALUE"""),"めんたい")</f>
        <v>めんたい</v>
      </c>
      <c r="I2478" s="69" t="str">
        <f>IFERROR(__xludf.DUMMYFUNCTION("""COMPUTED_VALUE"""),"TL")</f>
        <v>TL</v>
      </c>
      <c r="J2478" s="67"/>
      <c r="K2478" s="67" t="str">
        <f>IFERROR(__xludf.DUMMYFUNCTION("""COMPUTED_VALUE"""),"恋愛ショコラ")</f>
        <v>恋愛ショコラ</v>
      </c>
      <c r="L2478" s="67" t="str">
        <f>IFERROR(__xludf.DUMMYFUNCTION("""COMPUTED_VALUE"""),"forcs")</f>
        <v>forcs</v>
      </c>
      <c r="M2478" s="23">
        <f>IFERROR(__xludf.DUMMYFUNCTION("""COMPUTED_VALUE"""),45632.0)</f>
        <v>45632</v>
      </c>
      <c r="N2478" s="23">
        <f>IFERROR(__xludf.DUMMYFUNCTION("""COMPUTED_VALUE"""),45722.0)</f>
        <v>45722</v>
      </c>
      <c r="O2478" s="67"/>
      <c r="P2478" s="70" t="str">
        <f>IFERROR(__xludf.DUMMYFUNCTION("""COMPUTED_VALUE"""),"可")</f>
        <v>可</v>
      </c>
      <c r="Q2478" s="67" t="str">
        <f>IFERROR(__xludf.DUMMYFUNCTION("""COMPUTED_VALUE"""),"TL版とオトナ版の2作品を先行希望です。&lt;BR&gt;※格納資料はオトナ版(黒塗り前)となっておりますが、内容は同じです。&lt;BR&gt;素材格納が遅れたため、出稿可能なタイミングでお願いします。&lt;BR&gt;★シーモア様推しポイント ★&lt;BR&gt;幼馴染年下童貞モノという、TLユーザーに好まれやすい属性は抑えつつ、エロ描写が得意な作家のため濃厚なエッチシーンが魅力のタイトルです。&lt;BR&gt;特に男女の身体の描写と体格差や、エッチの体位・カメラアングルに迫力があり、昨今人気傾向のある「男性向けアダルト」の表現手法も取られています。&lt;"&amp;"BR&gt;ヒーローの可愛さや一生懸命な魅力はもちろん、ヒロインも女性から好かれやすい愛嬌があるキャラクターなので応援したくなるカップルです。")</f>
        <v>TL版とオトナ版の2作品を先行希望です。&lt;BR&gt;※格納資料はオトナ版(黒塗り前)となっておりますが、内容は同じです。&lt;BR&gt;素材格納が遅れたため、出稿可能なタイミングでお願いします。&lt;BR&gt;★シーモア様推しポイント ★&lt;BR&gt;幼馴染年下童貞モノという、TLユーザーに好まれやすい属性は抑えつつ、エロ描写が得意な作家のため濃厚なエッチシーンが魅力のタイトルです。&lt;BR&gt;特に男女の身体の描写と体格差や、エッチの体位・カメラアングルに迫力があり、昨今人気傾向のある「男性向けアダルト」の表現手法も取られています。&lt;BR&gt;ヒーローの可愛さや一生懸命な魅力はもちろん、ヒロインも女性から好かれやすい愛嬌があるキャラクターなので応援したくなるカップルです。</v>
      </c>
      <c r="R2478" s="67" t="str">
        <f>IFERROR(__xludf.DUMMYFUNCTION("""COMPUTED_VALUE"""),"コミットOK")</f>
        <v>コミットOK</v>
      </c>
      <c r="S2478" s="67" t="str">
        <f>IFERROR(__xludf.DUMMYFUNCTION("""COMPUTED_VALUE"""),"20241126_forcs_上手くなるので俺と付き合ってくれますか？_全年齢版")</f>
        <v>20241126_forcs_上手くなるので俺と付き合ってくれますか？_全年齢版</v>
      </c>
      <c r="T2478" s="67" t="str">
        <f>IFERROR(__xludf.DUMMYFUNCTION("""COMPUTED_VALUE"""),"格納済み")</f>
        <v>格納済み</v>
      </c>
      <c r="U2478" s="15" t="str">
        <f>IFERROR(__xludf.DUMMYFUNCTION("""COMPUTED_VALUE"""),"©めんたい/forcs")</f>
        <v>©めんたい/forcs</v>
      </c>
      <c r="V2478" s="8" t="str">
        <f>IFERROR(__xludf.DUMMYFUNCTION("""COMPUTED_VALUE"""),"オーダースーツ専門店で働く苗村杏里。
幼馴染で大学生・白水彰から成人式スーツづくりを引き受けるも8年ぶりの再会が楽しみで仕方ない。
一方、彰は男らしくなったのに相変わらず弟扱いされて不満げ。
「俺、もう杏里ちゃんのかわいい弟じゃないからね」採寸の隙を見て感情を爆発させた彰だったが実は未経験。それでも乗り越えたい彰は想いをエッチで全力体現するも、杏里には”可愛い”と映ってしまい･･･。
まるで愛情表現が苦手なくせに大好きなのがダダ漏れな大型犬男子！？
そんな悩める彰を前に杏里も恋を自覚し始めるが─"&amp;"─？")</f>
        <v>オーダースーツ専門店で働く苗村杏里。
幼馴染で大学生・白水彰から成人式スーツづくりを引き受けるも8年ぶりの再会が楽しみで仕方ない。
一方、彰は男らしくなったのに相変わらず弟扱いされて不満げ。
「俺、もう杏里ちゃんのかわいい弟じゃないからね」採寸の隙を見て感情を爆発させた彰だったが実は未経験。それでも乗り越えたい彰は想いをエッチで全力体現するも、杏里には”可愛い”と映ってしまい･･･。
まるで愛情表現が苦手なくせに大好きなのがダダ漏れな大型犬男子！？
そんな悩める彰を前に杏里も恋を自覚し始めるが──？</v>
      </c>
      <c r="W2478" s="14"/>
      <c r="X2478" s="14" t="str">
        <f>IFERROR(__xludf.DUMMYFUNCTION("""COMPUTED_VALUE"""),"有")</f>
        <v>有</v>
      </c>
      <c r="Y2478" s="8" t="str">
        <f>IFERROR(__xludf.DUMMYFUNCTION("""COMPUTED_VALUE"""),"P15まで")</f>
        <v>P15まで</v>
      </c>
      <c r="Z2478" s="7"/>
      <c r="AA2478" s="7"/>
      <c r="AB2478" s="7"/>
    </row>
    <row r="2479" ht="15.75" customHeight="1">
      <c r="A2479" s="76">
        <f>IFERROR(__xludf.DUMMYFUNCTION("""COMPUTED_VALUE"""),4275.0)</f>
        <v>4275</v>
      </c>
      <c r="B2479" s="69" t="str">
        <f>IFERROR(__xludf.DUMMYFUNCTION("""COMPUTED_VALUE"""),"確定")</f>
        <v>確定</v>
      </c>
      <c r="C2479" s="74">
        <f>IFERROR(__xludf.DUMMYFUNCTION("""COMPUTED_VALUE"""),45573.0)</f>
        <v>45573</v>
      </c>
      <c r="D2479" s="74">
        <f>IFERROR(__xludf.DUMMYFUNCTION("""COMPUTED_VALUE"""),45618.0)</f>
        <v>45618</v>
      </c>
      <c r="E2479" s="112">
        <f>IFERROR(__xludf.DUMMYFUNCTION("""COMPUTED_VALUE"""),309953.0)</f>
        <v>309953</v>
      </c>
      <c r="F2479" s="119" t="str">
        <f>IFERROR(__xludf.DUMMYFUNCTION("""COMPUTED_VALUE"""),"好きって言ったの嘘〜元カレ幼馴染と甘く乱れた溺愛生活に耐えられません！")</f>
        <v>好きって言ったの嘘〜元カレ幼馴染と甘く乱れた溺愛生活に耐えられません！</v>
      </c>
      <c r="G2479" s="69" t="str">
        <f>IFERROR(__xludf.DUMMYFUNCTION("""COMPUTED_VALUE"""),"1～3")</f>
        <v>1～3</v>
      </c>
      <c r="H2479" s="69" t="str">
        <f>IFERROR(__xludf.DUMMYFUNCTION("""COMPUTED_VALUE"""),"お牛/イシクロ/神壽おるた/loulou編集部")</f>
        <v>お牛/イシクロ/神壽おるた/loulou編集部</v>
      </c>
      <c r="I2479" s="69" t="str">
        <f>IFERROR(__xludf.DUMMYFUNCTION("""COMPUTED_VALUE"""),"TL")</f>
        <v>TL</v>
      </c>
      <c r="J2479" s="67"/>
      <c r="K2479" s="67" t="str">
        <f>IFERROR(__xludf.DUMMYFUNCTION("""COMPUTED_VALUE"""),"lou lou")</f>
        <v>lou lou</v>
      </c>
      <c r="L2479" s="67" t="str">
        <f>IFERROR(__xludf.DUMMYFUNCTION("""COMPUTED_VALUE"""),"渋谷六花舎")</f>
        <v>渋谷六花舎</v>
      </c>
      <c r="M2479" s="23">
        <f>IFERROR(__xludf.DUMMYFUNCTION("""COMPUTED_VALUE"""),45659.0)</f>
        <v>45659</v>
      </c>
      <c r="N2479" s="23">
        <f>IFERROR(__xludf.DUMMYFUNCTION("""COMPUTED_VALUE"""),45748.0)</f>
        <v>45748</v>
      </c>
      <c r="O2479" s="67"/>
      <c r="P2479" s="71" t="str">
        <f>IFERROR(__xludf.DUMMYFUNCTION("""COMPUTED_VALUE"""),"可")</f>
        <v>可</v>
      </c>
      <c r="Q2479" s="67"/>
      <c r="R2479" s="67" t="str">
        <f>IFERROR(__xludf.DUMMYFUNCTION("""COMPUTED_VALUE"""),"コミットOK")</f>
        <v>コミットOK</v>
      </c>
      <c r="S2479" s="67" t="str">
        <f>IFERROR(__xludf.DUMMYFUNCTION("""COMPUTED_VALUE"""),"20241121_渋谷六花舎_好きって言ったの嘘。")</f>
        <v>20241121_渋谷六花舎_好きって言ったの嘘。</v>
      </c>
      <c r="T2479" s="67" t="str">
        <f>IFERROR(__xludf.DUMMYFUNCTION("""COMPUTED_VALUE"""),"格納済み")</f>
        <v>格納済み</v>
      </c>
      <c r="U2479" s="15" t="str">
        <f>IFERROR(__xludf.DUMMYFUNCTION("""COMPUTED_VALUE"""),"(C)お牛/イシクロ/神壽おるた/lou lou")</f>
        <v>(C)お牛/イシクロ/神壽おるた/lou lou</v>
      </c>
      <c r="V2479" s="8" t="str">
        <f>IFERROR(__xludf.DUMMYFUNCTION("""COMPUTED_VALUE"""),"「夢なら何してもいいよね」
大好きな元カレとのエッチな夢だった、はずなのに…こんなキス知らない…！
彼の長い指が奥まで入って…夢なのにイかされる…！？
学生当時に付き合っていた彼・立花晴翔に振られ、2度と恋愛しないと決めたあの日から上京して10年───
セカンド処女を貫いていた碓氷あきらは、会社の転勤で地元へ移動した矢先、家を失う。
途方に暮れていると偶然元カレの立花晴翔と再会してしまい…！？
心配してくる彼の気持ちを利用して家に泊まるが…本当は別れてもずっと彼のことが大好きで…。
"&amp;"寝落ちから目覚めたら彼に優しくベッドまで運ばれ、私のことを振ったヤツがこんなに優しいはずがない…
夢の中なら何をしても許される…そんな思いでキスをしたら…ねっとり優しく強引な舌が絡んで、夢なのに体が熱いなんて…！")</f>
        <v>「夢なら何してもいいよね」
大好きな元カレとのエッチな夢だった、はずなのに…こんなキス知らない…！
彼の長い指が奥まで入って…夢なのにイかされる…！？
学生当時に付き合っていた彼・立花晴翔に振られ、2度と恋愛しないと決めたあの日から上京して10年───
セカンド処女を貫いていた碓氷あきらは、会社の転勤で地元へ移動した矢先、家を失う。
途方に暮れていると偶然元カレの立花晴翔と再会してしまい…！？
心配してくる彼の気持ちを利用して家に泊まるが…本当は別れてもずっと彼のことが大好きで…。
寝落ちから目覚めたら彼に優しくベッドまで運ばれ、私のことを振ったヤツがこんなに優しいはずがない…
夢の中なら何をしても許される…そんな思いでキスをしたら…ねっとり優しく強引な舌が絡んで、夢なのに体が熱いなんて…！</v>
      </c>
      <c r="W2479" s="14"/>
      <c r="X2479" s="14" t="str">
        <f>IFERROR(__xludf.DUMMYFUNCTION("""COMPUTED_VALUE"""),"有")</f>
        <v>有</v>
      </c>
      <c r="Y2479" s="8" t="str">
        <f>IFERROR(__xludf.DUMMYFUNCTION("""COMPUTED_VALUE"""),"2025/1/16まで1巻無料")</f>
        <v>2025/1/16まで1巻無料</v>
      </c>
      <c r="Z2479" s="7"/>
      <c r="AA2479" s="7"/>
      <c r="AB2479" s="7"/>
    </row>
    <row r="2480" ht="15.75" customHeight="1">
      <c r="A2480" s="76">
        <f>IFERROR(__xludf.DUMMYFUNCTION("""COMPUTED_VALUE"""),4303.0)</f>
        <v>4303</v>
      </c>
      <c r="B2480" s="69" t="str">
        <f>IFERROR(__xludf.DUMMYFUNCTION("""COMPUTED_VALUE"""),"確定")</f>
        <v>確定</v>
      </c>
      <c r="C2480" s="74">
        <f>IFERROR(__xludf.DUMMYFUNCTION("""COMPUTED_VALUE"""),45576.0)</f>
        <v>45576</v>
      </c>
      <c r="D2480" s="74">
        <f>IFERROR(__xludf.DUMMYFUNCTION("""COMPUTED_VALUE"""),45617.0)</f>
        <v>45617</v>
      </c>
      <c r="E2480" s="112">
        <f>IFERROR(__xludf.DUMMYFUNCTION("""COMPUTED_VALUE"""),309303.0)</f>
        <v>309303</v>
      </c>
      <c r="F2480" s="119" t="str">
        <f>IFERROR(__xludf.DUMMYFUNCTION("""COMPUTED_VALUE"""),"大きくなったボクをみて？")</f>
        <v>大きくなったボクをみて？</v>
      </c>
      <c r="G2480" s="69" t="str">
        <f>IFERROR(__xludf.DUMMYFUNCTION("""COMPUTED_VALUE"""),"1～2")</f>
        <v>1～2</v>
      </c>
      <c r="H2480" s="69" t="str">
        <f>IFERROR(__xludf.DUMMYFUNCTION("""COMPUTED_VALUE"""),"錫田はいいろ")</f>
        <v>錫田はいいろ</v>
      </c>
      <c r="I2480" s="69" t="str">
        <f>IFERROR(__xludf.DUMMYFUNCTION("""COMPUTED_VALUE"""),"BL")</f>
        <v>BL</v>
      </c>
      <c r="J2480" s="67"/>
      <c r="K2480" s="67" t="str">
        <f>IFERROR(__xludf.DUMMYFUNCTION("""COMPUTED_VALUE"""),"MooiComics")</f>
        <v>MooiComics</v>
      </c>
      <c r="L2480" s="67" t="str">
        <f>IFERROR(__xludf.DUMMYFUNCTION("""COMPUTED_VALUE"""),"CLLENN")</f>
        <v>CLLENN</v>
      </c>
      <c r="M2480" s="85">
        <f>IFERROR(__xludf.DUMMYFUNCTION("""COMPUTED_VALUE"""),45643.0)</f>
        <v>45643</v>
      </c>
      <c r="N2480" s="23">
        <f>IFERROR(__xludf.DUMMYFUNCTION("""COMPUTED_VALUE"""),45705.0)</f>
        <v>45705</v>
      </c>
      <c r="O2480" s="67"/>
      <c r="P2480" s="71" t="str">
        <f>IFERROR(__xludf.DUMMYFUNCTION("""COMPUTED_VALUE"""),"可")</f>
        <v>可</v>
      </c>
      <c r="Q2480" s="67"/>
      <c r="R2480" s="67" t="str">
        <f>IFERROR(__xludf.DUMMYFUNCTION("""COMPUTED_VALUE"""),"コミットOK")</f>
        <v>コミットOK</v>
      </c>
      <c r="S2480" s="67" t="str">
        <f>IFERROR(__xludf.DUMMYFUNCTION("""COMPUTED_VALUE"""),"20241121_CLLENN_大きくなったボクをみて？")</f>
        <v>20241121_CLLENN_大きくなったボクをみて？</v>
      </c>
      <c r="T2480" s="67" t="str">
        <f>IFERROR(__xludf.DUMMYFUNCTION("""COMPUTED_VALUE"""),"格納済み")</f>
        <v>格納済み</v>
      </c>
      <c r="U2480" s="15" t="str">
        <f>IFERROR(__xludf.DUMMYFUNCTION("""COMPUTED_VALUE"""),"©錫田はいいろ/CLLENN")</f>
        <v>©錫田はいいろ/CLLENN</v>
      </c>
      <c r="V2480" s="8" t="str">
        <f>IFERROR(__xludf.DUMMYFUNCTION("""COMPUTED_VALUE"""),"「えっちの相手、俺じゃだめ？」ずっと弟みたいに思ってたやつに“かわいい”って口説かれて、浮かれるなんて……。充樹＜みつき＞と緒澄＜おすみ＞はお隣さん同士。緒澄が幼い頃に引っ越してきて以来、充樹は寂しがりやな彼を可愛がってきたがーーベッドに潜りこんできたり、お風呂に付いてきたりと、成長しても緒澄の甘えっぷりは加速するばかり！恋人を作る暇もなく、出会いに飢えていた充樹は、アプリに登録することに。やっと一人遊びとおさらばできると思ったのに、えっちなプロフ画を撮ろうとしているところを見られてしまいーー！？【独占欲"&amp;"MAXな甘えたイケメン×ほだされ系なお隣のお兄さん】の一途で一生懸命な年の差ラブ！")</f>
        <v>「えっちの相手、俺じゃだめ？」ずっと弟みたいに思ってたやつに“かわいい”って口説かれて、浮かれるなんて……。充樹＜みつき＞と緒澄＜おすみ＞はお隣さん同士。緒澄が幼い頃に引っ越してきて以来、充樹は寂しがりやな彼を可愛がってきたがーーベッドに潜りこんできたり、お風呂に付いてきたりと、成長しても緒澄の甘えっぷりは加速するばかり！恋人を作る暇もなく、出会いに飢えていた充樹は、アプリに登録することに。やっと一人遊びとおさらばできると思ったのに、えっちなプロフ画を撮ろうとしているところを見られてしまいーー！？【独占欲MAXな甘えたイケメン×ほだされ系なお隣のお兄さん】の一途で一生懸命な年の差ラブ！</v>
      </c>
      <c r="W2480" s="14"/>
      <c r="X2480" s="14" t="str">
        <f>IFERROR(__xludf.DUMMYFUNCTION("""COMPUTED_VALUE"""),"有")</f>
        <v>有</v>
      </c>
      <c r="Y2480" s="8" t="str">
        <f>IFERROR(__xludf.DUMMYFUNCTION("""COMPUTED_VALUE"""),"2024/12/30まで立ち読み増量P20まで")</f>
        <v>2024/12/30まで立ち読み増量P20まで</v>
      </c>
      <c r="Z2480" s="7"/>
      <c r="AA2480" s="7"/>
      <c r="AB2480" s="7"/>
    </row>
    <row r="2481" ht="15.75" customHeight="1">
      <c r="A2481" s="76">
        <f>IFERROR(__xludf.DUMMYFUNCTION("""COMPUTED_VALUE"""),4305.0)</f>
        <v>4305</v>
      </c>
      <c r="B2481" s="69" t="str">
        <f>IFERROR(__xludf.DUMMYFUNCTION("""COMPUTED_VALUE"""),"確定")</f>
        <v>確定</v>
      </c>
      <c r="C2481" s="74">
        <f>IFERROR(__xludf.DUMMYFUNCTION("""COMPUTED_VALUE"""),45576.0)</f>
        <v>45576</v>
      </c>
      <c r="D2481" s="74">
        <f>IFERROR(__xludf.DUMMYFUNCTION("""COMPUTED_VALUE"""),45617.0)</f>
        <v>45617</v>
      </c>
      <c r="E2481" s="112">
        <f>IFERROR(__xludf.DUMMYFUNCTION("""COMPUTED_VALUE"""),309304.0)</f>
        <v>309304</v>
      </c>
      <c r="F2481" s="119" t="str">
        <f>IFERROR(__xludf.DUMMYFUNCTION("""COMPUTED_VALUE"""),"神も仏も見てないスキに")</f>
        <v>神も仏も見てないスキに</v>
      </c>
      <c r="G2481" s="69" t="str">
        <f>IFERROR(__xludf.DUMMYFUNCTION("""COMPUTED_VALUE"""),"1～2")</f>
        <v>1～2</v>
      </c>
      <c r="H2481" s="69" t="str">
        <f>IFERROR(__xludf.DUMMYFUNCTION("""COMPUTED_VALUE"""),"金尾都")</f>
        <v>金尾都</v>
      </c>
      <c r="I2481" s="69" t="str">
        <f>IFERROR(__xludf.DUMMYFUNCTION("""COMPUTED_VALUE"""),"BL")</f>
        <v>BL</v>
      </c>
      <c r="J2481" s="67"/>
      <c r="K2481" s="67" t="str">
        <f>IFERROR(__xludf.DUMMYFUNCTION("""COMPUTED_VALUE"""),"MooiComics")</f>
        <v>MooiComics</v>
      </c>
      <c r="L2481" s="67" t="str">
        <f>IFERROR(__xludf.DUMMYFUNCTION("""COMPUTED_VALUE"""),"CLLENN")</f>
        <v>CLLENN</v>
      </c>
      <c r="M2481" s="85">
        <f>IFERROR(__xludf.DUMMYFUNCTION("""COMPUTED_VALUE"""),45643.0)</f>
        <v>45643</v>
      </c>
      <c r="N2481" s="23">
        <f>IFERROR(__xludf.DUMMYFUNCTION("""COMPUTED_VALUE"""),45705.0)</f>
        <v>45705</v>
      </c>
      <c r="O2481" s="67"/>
      <c r="P2481" s="71" t="str">
        <f>IFERROR(__xludf.DUMMYFUNCTION("""COMPUTED_VALUE"""),"可")</f>
        <v>可</v>
      </c>
      <c r="Q2481" s="67"/>
      <c r="R2481" s="67" t="str">
        <f>IFERROR(__xludf.DUMMYFUNCTION("""COMPUTED_VALUE"""),"コミットOK")</f>
        <v>コミットOK</v>
      </c>
      <c r="S2481" s="67" t="str">
        <f>IFERROR(__xludf.DUMMYFUNCTION("""COMPUTED_VALUE"""),"20241121_CLLENN_神も仏も見てないスキに")</f>
        <v>20241121_CLLENN_神も仏も見てないスキに</v>
      </c>
      <c r="T2481" s="67" t="str">
        <f>IFERROR(__xludf.DUMMYFUNCTION("""COMPUTED_VALUE"""),"格納済み")</f>
        <v>格納済み</v>
      </c>
      <c r="U2481" s="15" t="str">
        <f>IFERROR(__xludf.DUMMYFUNCTION("""COMPUTED_VALUE"""),"©金尾都/CLLENN")</f>
        <v>©金尾都/CLLENN</v>
      </c>
      <c r="V2481" s="8" t="str">
        <f>IFERROR(__xludf.DUMMYFUNCTION("""COMPUTED_VALUE"""),"『ジンジンしちゃうから ちくびだめ…ッ』 教会の息子でイケメン大学生の一実＜かずみ＞は、ある日大学の飲み会で、苦手な女子に囲まれ困っていた。いつも通りだからと我慢していると、同じ大学で寺の息子・隆晴＜たかはる＞に豪快に助けられる。お互いの家業による親近感から交流を持つようになっていたふたり。そんな中、訪れた一実の家で隆晴が発見したあるモノによって、誰も知らない一実のヒミツがばれてしまう！それに動揺した一実は「俺のこと、もしいけるならいっそ抱いて…！」と勢いで口走ってしまい…。慌てて取り繕うが、隆晴の反応は"&amp;"予想外のもので――――!?!?【心も体もデカくて漢気あふれる寺の息子×奥手でむっつり美人な教会の息子】これって友だち……なの!?家業も性格も違うふたりの、型破りで禁じられ…てない？大学生ラブコメディ!!")</f>
        <v>『ジンジンしちゃうから ちくびだめ…ッ』 教会の息子でイケメン大学生の一実＜かずみ＞は、ある日大学の飲み会で、苦手な女子に囲まれ困っていた。いつも通りだからと我慢していると、同じ大学で寺の息子・隆晴＜たかはる＞に豪快に助けられる。お互いの家業による親近感から交流を持つようになっていたふたり。そんな中、訪れた一実の家で隆晴が発見したあるモノによって、誰も知らない一実のヒミツがばれてしまう！それに動揺した一実は「俺のこと、もしいけるならいっそ抱いて…！」と勢いで口走ってしまい…。慌てて取り繕うが、隆晴の反応は予想外のもので――――!?!?【心も体もデカくて漢気あふれる寺の息子×奥手でむっつり美人な教会の息子】これって友だち……なの!?家業も性格も違うふたりの、型破りで禁じられ…てない？大学生ラブコメディ!!</v>
      </c>
      <c r="W2481" s="14"/>
      <c r="X2481" s="14" t="str">
        <f>IFERROR(__xludf.DUMMYFUNCTION("""COMPUTED_VALUE"""),"有")</f>
        <v>有</v>
      </c>
      <c r="Y2481" s="8" t="str">
        <f>IFERROR(__xludf.DUMMYFUNCTION("""COMPUTED_VALUE"""),"2024/12/30まで立ち読み増量P22まで")</f>
        <v>2024/12/30まで立ち読み増量P22まで</v>
      </c>
      <c r="Z2481" s="7"/>
      <c r="AA2481" s="7"/>
      <c r="AB2481" s="7"/>
    </row>
    <row r="2482" ht="15.75" customHeight="1">
      <c r="A2482" s="76">
        <f>IFERROR(__xludf.DUMMYFUNCTION("""COMPUTED_VALUE"""),4311.0)</f>
        <v>4311</v>
      </c>
      <c r="B2482" s="69" t="str">
        <f>IFERROR(__xludf.DUMMYFUNCTION("""COMPUTED_VALUE"""),"確定")</f>
        <v>確定</v>
      </c>
      <c r="C2482" s="74">
        <f>IFERROR(__xludf.DUMMYFUNCTION("""COMPUTED_VALUE"""),45576.0)</f>
        <v>45576</v>
      </c>
      <c r="D2482" s="74">
        <f>IFERROR(__xludf.DUMMYFUNCTION("""COMPUTED_VALUE"""),45622.0)</f>
        <v>45622</v>
      </c>
      <c r="E2482" s="112">
        <f>IFERROR(__xludf.DUMMYFUNCTION("""COMPUTED_VALUE"""),307146.0)</f>
        <v>307146</v>
      </c>
      <c r="F2482" s="119" t="str">
        <f>IFERROR(__xludf.DUMMYFUNCTION("""COMPUTED_VALUE"""),"【単話版】ボクはニセモノノキミに恋をする")</f>
        <v>【単話版】ボクはニセモノノキミに恋をする</v>
      </c>
      <c r="G2482" s="69" t="str">
        <f>IFERROR(__xludf.DUMMYFUNCTION("""COMPUTED_VALUE"""),"1～2")</f>
        <v>1～2</v>
      </c>
      <c r="H2482" s="69" t="str">
        <f>IFERROR(__xludf.DUMMYFUNCTION("""COMPUTED_VALUE"""),"稍日向")</f>
        <v>稍日向</v>
      </c>
      <c r="I2482" s="69" t="str">
        <f>IFERROR(__xludf.DUMMYFUNCTION("""COMPUTED_VALUE"""),"青年")</f>
        <v>青年</v>
      </c>
      <c r="J2482" s="87"/>
      <c r="K2482" s="87"/>
      <c r="L2482" s="67" t="str">
        <f>IFERROR(__xludf.DUMMYFUNCTION("""COMPUTED_VALUE"""),"ジーオーティー")</f>
        <v>ジーオーティー</v>
      </c>
      <c r="M2482" s="23">
        <f>IFERROR(__xludf.DUMMYFUNCTION("""COMPUTED_VALUE"""),45627.0)</f>
        <v>45627</v>
      </c>
      <c r="N2482" s="23">
        <f>IFERROR(__xludf.DUMMYFUNCTION("""COMPUTED_VALUE"""),45688.0)</f>
        <v>45688</v>
      </c>
      <c r="O2482" s="67"/>
      <c r="P2482" s="71" t="str">
        <f>IFERROR(__xludf.DUMMYFUNCTION("""COMPUTED_VALUE"""),"可")</f>
        <v>可</v>
      </c>
      <c r="Q2482" s="67"/>
      <c r="R2482" s="67" t="str">
        <f>IFERROR(__xludf.DUMMYFUNCTION("""COMPUTED_VALUE"""),"コミットOK")</f>
        <v>コミットOK</v>
      </c>
      <c r="S2482" s="67" t="str">
        <f>IFERROR(__xludf.DUMMYFUNCTION("""COMPUTED_VALUE"""),"20241011_ジーオーティー_【単話版】ボクはニセモノノキミに恋をする")</f>
        <v>20241011_ジーオーティー_【単話版】ボクはニセモノノキミに恋をする</v>
      </c>
      <c r="T2482" s="67" t="str">
        <f>IFERROR(__xludf.DUMMYFUNCTION("""COMPUTED_VALUE"""),"格納済み")</f>
        <v>格納済み</v>
      </c>
      <c r="U2482" s="15" t="str">
        <f>IFERROR(__xludf.DUMMYFUNCTION("""COMPUTED_VALUE"""),"©稍日向／ジーオーティー")</f>
        <v>©稍日向／ジーオーティー</v>
      </c>
      <c r="V2482" s="8" t="str">
        <f>IFERROR(__xludf.DUMMYFUNCTION("""COMPUTED_VALUE"""),"片田舎で暮らす昴と幼馴染の咲耶。仲の良い二人だが、咲夜は幼い頃”神隠し”に遭い行方不明となっていた…。その後、程なく帰ってきた彼女とその後も平穏な日常を過ごしていた昴だが、時折見せる咲耶の不可解な行動が気に掛かりーー。
稀代のストーリーテラー”稍日向”が送る、新基軸ミステリーラブコメ始動☆")</f>
        <v>片田舎で暮らす昴と幼馴染の咲耶。仲の良い二人だが、咲夜は幼い頃”神隠し”に遭い行方不明となっていた…。その後、程なく帰ってきた彼女とその後も平穏な日常を過ごしていた昴だが、時折見せる咲耶の不可解な行動が気に掛かりーー。
稀代のストーリーテラー”稍日向”が送る、新基軸ミステリーラブコメ始動☆</v>
      </c>
      <c r="W2482" s="14"/>
      <c r="X2482" s="14" t="str">
        <f>IFERROR(__xludf.DUMMYFUNCTION("""COMPUTED_VALUE"""),"有")</f>
        <v>有</v>
      </c>
      <c r="Y2482" s="8" t="str">
        <f>IFERROR(__xludf.DUMMYFUNCTION("""COMPUTED_VALUE"""),"P4まで")</f>
        <v>P4まで</v>
      </c>
      <c r="Z2482" s="7"/>
      <c r="AA2482" s="7"/>
      <c r="AB2482" s="7"/>
    </row>
    <row r="2483" ht="15.75" customHeight="1">
      <c r="A2483" s="76">
        <f>IFERROR(__xludf.DUMMYFUNCTION("""COMPUTED_VALUE"""),4312.0)</f>
        <v>4312</v>
      </c>
      <c r="B2483" s="69" t="str">
        <f>IFERROR(__xludf.DUMMYFUNCTION("""COMPUTED_VALUE"""),"確定")</f>
        <v>確定</v>
      </c>
      <c r="C2483" s="74">
        <f>IFERROR(__xludf.DUMMYFUNCTION("""COMPUTED_VALUE"""),45576.0)</f>
        <v>45576</v>
      </c>
      <c r="D2483" s="74">
        <f>IFERROR(__xludf.DUMMYFUNCTION("""COMPUTED_VALUE"""),45622.0)</f>
        <v>45622</v>
      </c>
      <c r="E2483" s="112">
        <f>IFERROR(__xludf.DUMMYFUNCTION("""COMPUTED_VALUE"""),307147.0)</f>
        <v>307147</v>
      </c>
      <c r="F2483" s="119" t="str">
        <f>IFERROR(__xludf.DUMMYFUNCTION("""COMPUTED_VALUE"""),"【単話版】マグロメイドがしこたまえっち！")</f>
        <v>【単話版】マグロメイドがしこたまえっち！</v>
      </c>
      <c r="G2483" s="69" t="str">
        <f>IFERROR(__xludf.DUMMYFUNCTION("""COMPUTED_VALUE"""),"1～2")</f>
        <v>1～2</v>
      </c>
      <c r="H2483" s="69" t="str">
        <f>IFERROR(__xludf.DUMMYFUNCTION("""COMPUTED_VALUE"""),"牡丹もちと")</f>
        <v>牡丹もちと</v>
      </c>
      <c r="I2483" s="69" t="str">
        <f>IFERROR(__xludf.DUMMYFUNCTION("""COMPUTED_VALUE"""),"青年")</f>
        <v>青年</v>
      </c>
      <c r="J2483" s="87"/>
      <c r="K2483" s="87"/>
      <c r="L2483" s="67" t="str">
        <f>IFERROR(__xludf.DUMMYFUNCTION("""COMPUTED_VALUE"""),"ジーオーティー")</f>
        <v>ジーオーティー</v>
      </c>
      <c r="M2483" s="23">
        <f>IFERROR(__xludf.DUMMYFUNCTION("""COMPUTED_VALUE"""),45627.0)</f>
        <v>45627</v>
      </c>
      <c r="N2483" s="23">
        <f>IFERROR(__xludf.DUMMYFUNCTION("""COMPUTED_VALUE"""),45688.0)</f>
        <v>45688</v>
      </c>
      <c r="O2483" s="67"/>
      <c r="P2483" s="71" t="str">
        <f>IFERROR(__xludf.DUMMYFUNCTION("""COMPUTED_VALUE"""),"可")</f>
        <v>可</v>
      </c>
      <c r="Q2483" s="67"/>
      <c r="R2483" s="67" t="str">
        <f>IFERROR(__xludf.DUMMYFUNCTION("""COMPUTED_VALUE"""),"コミットNG")</f>
        <v>コミットNG</v>
      </c>
      <c r="S2483" s="67" t="str">
        <f>IFERROR(__xludf.DUMMYFUNCTION("""COMPUTED_VALUE"""),"20241011_ジーオーティー_【単話版】マグロメイドがしこたまえっち！")</f>
        <v>20241011_ジーオーティー_【単話版】マグロメイドがしこたまえっち！</v>
      </c>
      <c r="T2483" s="67" t="str">
        <f>IFERROR(__xludf.DUMMYFUNCTION("""COMPUTED_VALUE"""),"格納済み")</f>
        <v>格納済み</v>
      </c>
      <c r="U2483" s="15" t="str">
        <f>IFERROR(__xludf.DUMMYFUNCTION("""COMPUTED_VALUE"""),"©牡丹もちと／ジーオーティー")</f>
        <v>©牡丹もちと／ジーオーティー</v>
      </c>
      <c r="V2483" s="8" t="str">
        <f>IFERROR(__xludf.DUMMYFUNCTION("""COMPUTED_VALUE"""),"とある家に住む有路諒一(あるじ　りょういち)の元には、真黒(まぐろ)さんというメイドが住み込みで働いていた。
しかし、真黒さんはメイドとしての仕事は完璧なのだが、どうやら距離感がバグっていて下ネタをガンガンぶっ込んでくるタイプで━━！？
そんな可愛いメイドさんとの日常生活を描いた、煩悩VS理性のドタバタギャグラブコメディ☆
※本作は人気同人シリーズの一般連載版です。
本番シーンが見たい方は同人版を要チェック！！")</f>
        <v>とある家に住む有路諒一(あるじ　りょういち)の元には、真黒(まぐろ)さんというメイドが住み込みで働いていた。
しかし、真黒さんはメイドとしての仕事は完璧なのだが、どうやら距離感がバグっていて下ネタをガンガンぶっ込んでくるタイプで━━！？
そんな可愛いメイドさんとの日常生活を描いた、煩悩VS理性のドタバタギャグラブコメディ☆
※本作は人気同人シリーズの一般連載版です。
本番シーンが見たい方は同人版を要チェック！！</v>
      </c>
      <c r="W2483" s="14"/>
      <c r="X2483" s="14" t="str">
        <f>IFERROR(__xludf.DUMMYFUNCTION("""COMPUTED_VALUE"""),"有")</f>
        <v>有</v>
      </c>
      <c r="Y2483" s="8" t="str">
        <f>IFERROR(__xludf.DUMMYFUNCTION("""COMPUTED_VALUE"""),"P4まで")</f>
        <v>P4まで</v>
      </c>
      <c r="Z2483" s="7"/>
      <c r="AA2483" s="7"/>
      <c r="AB2483" s="7"/>
    </row>
    <row r="2484" ht="15.75" customHeight="1">
      <c r="A2484" s="76">
        <f>IFERROR(__xludf.DUMMYFUNCTION("""COMPUTED_VALUE"""),4318.0)</f>
        <v>4318</v>
      </c>
      <c r="B2484" s="69" t="str">
        <f>IFERROR(__xludf.DUMMYFUNCTION("""COMPUTED_VALUE"""),"確定")</f>
        <v>確定</v>
      </c>
      <c r="C2484" s="74">
        <f>IFERROR(__xludf.DUMMYFUNCTION("""COMPUTED_VALUE"""),45576.0)</f>
        <v>45576</v>
      </c>
      <c r="D2484" s="74">
        <f>IFERROR(__xludf.DUMMYFUNCTION("""COMPUTED_VALUE"""),45623.0)</f>
        <v>45623</v>
      </c>
      <c r="E2484" s="112">
        <f>IFERROR(__xludf.DUMMYFUNCTION("""COMPUTED_VALUE"""),308861.0)</f>
        <v>308861</v>
      </c>
      <c r="F2484" s="119" t="str">
        <f>IFERROR(__xludf.DUMMYFUNCTION("""COMPUTED_VALUE"""),"バツイチアラサーは執着弁護士に溺愛される")</f>
        <v>バツイチアラサーは執着弁護士に溺愛される</v>
      </c>
      <c r="G2484" s="69" t="str">
        <f>IFERROR(__xludf.DUMMYFUNCTION("""COMPUTED_VALUE"""),"1～3")</f>
        <v>1～3</v>
      </c>
      <c r="H2484" s="69" t="str">
        <f>IFERROR(__xludf.DUMMYFUNCTION("""COMPUTED_VALUE"""),"作画：しましえみ 原作：風華弓弦")</f>
        <v>作画：しましえみ 原作：風華弓弦</v>
      </c>
      <c r="I2484" s="69" t="str">
        <f>IFERROR(__xludf.DUMMYFUNCTION("""COMPUTED_VALUE"""),"女性")</f>
        <v>女性</v>
      </c>
      <c r="J2484" s="87"/>
      <c r="K2484" s="87"/>
      <c r="L2484" s="67" t="str">
        <f>IFERROR(__xludf.DUMMYFUNCTION("""COMPUTED_VALUE"""),"DPNブックス")</f>
        <v>DPNブックス</v>
      </c>
      <c r="M2484" s="85">
        <f>IFERROR(__xludf.DUMMYFUNCTION("""COMPUTED_VALUE"""),45636.0)</f>
        <v>45636</v>
      </c>
      <c r="N2484" s="23">
        <f>IFERROR(__xludf.DUMMYFUNCTION("""COMPUTED_VALUE"""),45666.0)</f>
        <v>45666</v>
      </c>
      <c r="O2484" s="67"/>
      <c r="P2484" s="71" t="str">
        <f>IFERROR(__xludf.DUMMYFUNCTION("""COMPUTED_VALUE"""),"可")</f>
        <v>可</v>
      </c>
      <c r="Q2484" s="67"/>
      <c r="R2484" s="67" t="str">
        <f>IFERROR(__xludf.DUMMYFUNCTION("""COMPUTED_VALUE"""),"コミットNG")</f>
        <v>コミットNG</v>
      </c>
      <c r="S2484" s="67" t="str">
        <f>IFERROR(__xludf.DUMMYFUNCTION("""COMPUTED_VALUE"""),"20241126_DPNブックス_バツイチアラサーは執着弁護士に溺愛される")</f>
        <v>20241126_DPNブックス_バツイチアラサーは執着弁護士に溺愛される</v>
      </c>
      <c r="T2484" s="67" t="str">
        <f>IFERROR(__xludf.DUMMYFUNCTION("""COMPUTED_VALUE"""),"格納済み")</f>
        <v>格納済み</v>
      </c>
      <c r="U2484" s="15" t="str">
        <f>IFERROR(__xludf.DUMMYFUNCTION("""COMPUTED_VALUE"""),"(c)しましえみ・風華弓弦／DPNブックス")</f>
        <v>(c)しましえみ・風華弓弦／DPNブックス</v>
      </c>
      <c r="V2484" s="8" t="str">
        <f>IFERROR(__xludf.DUMMYFUNCTION("""COMPUTED_VALUE"""),"社内結婚をした夫・賢太から一方的に離婚を突きつけられた夏希。賢太は家を出ていき、会社でも無視され、話し合いもままならないなか、ある日夏希のもとに夫の不倫を匂わすメールが差出人不明で送られてくる。別居しているマンションに向かうと見知らぬ女とキスしている賢太の姿が──。ショックを受けて車道に飛び出した夏希を助けてくれたのは、数日前にも盗撮事件で助けてくれたイケメン弁護士・時田だった。時田は夏希に「どんな問題でも解決してみせます。その代わり──」と言い出し…？")</f>
        <v>社内結婚をした夫・賢太から一方的に離婚を突きつけられた夏希。賢太は家を出ていき、会社でも無視され、話し合いもままならないなか、ある日夏希のもとに夫の不倫を匂わすメールが差出人不明で送られてくる。別居しているマンションに向かうと見知らぬ女とキスしている賢太の姿が──。ショックを受けて車道に飛び出した夏希を助けてくれたのは、数日前にも盗撮事件で助けてくれたイケメン弁護士・時田だった。時田は夏希に「どんな問題でも解決してみせます。その代わり──」と言い出し…？</v>
      </c>
      <c r="W2484" s="14"/>
      <c r="X2484" s="14" t="str">
        <f>IFERROR(__xludf.DUMMYFUNCTION("""COMPUTED_VALUE"""),"有")</f>
        <v>有</v>
      </c>
      <c r="Y2484" s="8" t="str">
        <f>IFERROR(__xludf.DUMMYFUNCTION("""COMPUTED_VALUE"""),"2025/1/9まで1巻無料")</f>
        <v>2025/1/9まで1巻無料</v>
      </c>
      <c r="Z2484" s="7"/>
      <c r="AA2484" s="7"/>
      <c r="AB2484" s="7"/>
    </row>
    <row r="2485" ht="15.75" customHeight="1">
      <c r="A2485" s="76">
        <f>IFERROR(__xludf.DUMMYFUNCTION("""COMPUTED_VALUE"""),4330.0)</f>
        <v>4330</v>
      </c>
      <c r="B2485" s="69" t="str">
        <f>IFERROR(__xludf.DUMMYFUNCTION("""COMPUTED_VALUE"""),"確定")</f>
        <v>確定</v>
      </c>
      <c r="C2485" s="74">
        <f>IFERROR(__xludf.DUMMYFUNCTION("""COMPUTED_VALUE"""),45581.0)</f>
        <v>45581</v>
      </c>
      <c r="D2485" s="74">
        <f>IFERROR(__xludf.DUMMYFUNCTION("""COMPUTED_VALUE"""),45622.0)</f>
        <v>45622</v>
      </c>
      <c r="E2485" s="112">
        <f>IFERROR(__xludf.DUMMYFUNCTION("""COMPUTED_VALUE"""),308233.0)</f>
        <v>308233</v>
      </c>
      <c r="F2485" s="119" t="str">
        <f>IFERROR(__xludf.DUMMYFUNCTION("""COMPUTED_VALUE"""),"上手くなるので俺と付き合ってくれますか?【R18版】")</f>
        <v>上手くなるので俺と付き合ってくれますか?【R18版】</v>
      </c>
      <c r="G2485" s="69" t="str">
        <f>IFERROR(__xludf.DUMMYFUNCTION("""COMPUTED_VALUE"""),"1～3")</f>
        <v>1～3</v>
      </c>
      <c r="H2485" s="69" t="str">
        <f>IFERROR(__xludf.DUMMYFUNCTION("""COMPUTED_VALUE"""),"めんたい")</f>
        <v>めんたい</v>
      </c>
      <c r="I2485" s="69" t="str">
        <f>IFERROR(__xludf.DUMMYFUNCTION("""COMPUTED_VALUE"""),"オトナ")</f>
        <v>オトナ</v>
      </c>
      <c r="J2485" s="67"/>
      <c r="K2485" s="67" t="str">
        <f>IFERROR(__xludf.DUMMYFUNCTION("""COMPUTED_VALUE"""),"ガチコミ")</f>
        <v>ガチコミ</v>
      </c>
      <c r="L2485" s="67" t="str">
        <f>IFERROR(__xludf.DUMMYFUNCTION("""COMPUTED_VALUE"""),"forcs")</f>
        <v>forcs</v>
      </c>
      <c r="M2485" s="23">
        <f>IFERROR(__xludf.DUMMYFUNCTION("""COMPUTED_VALUE"""),45632.0)</f>
        <v>45632</v>
      </c>
      <c r="N2485" s="23">
        <f>IFERROR(__xludf.DUMMYFUNCTION("""COMPUTED_VALUE"""),45722.0)</f>
        <v>45722</v>
      </c>
      <c r="O2485" s="67"/>
      <c r="P2485" s="70" t="str">
        <f>IFERROR(__xludf.DUMMYFUNCTION("""COMPUTED_VALUE"""),"可")</f>
        <v>可</v>
      </c>
      <c r="Q2485" s="67" t="str">
        <f>IFERROR(__xludf.DUMMYFUNCTION("""COMPUTED_VALUE"""),"4224 でTL版を登録しております。&lt;BR&gt;オトナ版は白塗り修正がやや薄いバージョンとなっております。&lt;BR&gt;素材格納が遅れたため、出稿可能なタイミングでお願いします。")</f>
        <v>4224 でTL版を登録しております。&lt;BR&gt;オトナ版は白塗り修正がやや薄いバージョンとなっております。&lt;BR&gt;素材格納が遅れたため、出稿可能なタイミングでお願いします。</v>
      </c>
      <c r="R2485" s="67" t="str">
        <f>IFERROR(__xludf.DUMMYFUNCTION("""COMPUTED_VALUE"""),"コミットOK")</f>
        <v>コミットOK</v>
      </c>
      <c r="S2485" s="67" t="str">
        <f>IFERROR(__xludf.DUMMYFUNCTION("""COMPUTED_VALUE"""),"20241126_forcs_上手くなるので俺と付き合ってくれますか？_R18版")</f>
        <v>20241126_forcs_上手くなるので俺と付き合ってくれますか？_R18版</v>
      </c>
      <c r="T2485" s="67" t="str">
        <f>IFERROR(__xludf.DUMMYFUNCTION("""COMPUTED_VALUE"""),"格納済み")</f>
        <v>格納済み</v>
      </c>
      <c r="U2485" s="15" t="str">
        <f>IFERROR(__xludf.DUMMYFUNCTION("""COMPUTED_VALUE"""),"(C)めんたい/forcs")</f>
        <v>(C)めんたい/forcs</v>
      </c>
      <c r="V2485" s="8" t="str">
        <f>IFERROR(__xludf.DUMMYFUNCTION("""COMPUTED_VALUE"""),"オーダースーツ専門店で働く苗村杏里。
幼馴染で大学生・白水彰から成人式スーツづくりを引き受けるも8年ぶりの再会が楽しみで仕方ない。
一方、彰は男らしくなったのに相変わらず弟扱いされて不満げ。
「俺、もう杏里ちゃんのかわいい弟じゃないからね」採寸の隙を見て感情を爆発させた彰だったが実は未経験。それでも乗り越えたい彰は想いをエッチで全力体現するも、杏里には”可愛い”と映ってしまい･･･。
まるで愛情表現が苦手なくせに大好きなのがダダ漏れな大型犬男子！？
そんな悩める彰を前に杏里も恋を自覚し始めるが─"&amp;"─？
※こちらは同一タイトルのR18版です。重複購入にご注意ください。")</f>
        <v>オーダースーツ専門店で働く苗村杏里。
幼馴染で大学生・白水彰から成人式スーツづくりを引き受けるも8年ぶりの再会が楽しみで仕方ない。
一方、彰は男らしくなったのに相変わらず弟扱いされて不満げ。
「俺、もう杏里ちゃんのかわいい弟じゃないからね」採寸の隙を見て感情を爆発させた彰だったが実は未経験。それでも乗り越えたい彰は想いをエッチで全力体現するも、杏里には”可愛い”と映ってしまい･･･。
まるで愛情表現が苦手なくせに大好きなのがダダ漏れな大型犬男子！？
そんな悩める彰を前に杏里も恋を自覚し始めるが──？
※こちらは同一タイトルのR18版です。重複購入にご注意ください。</v>
      </c>
      <c r="W2485" s="14"/>
      <c r="X2485" s="14" t="str">
        <f>IFERROR(__xludf.DUMMYFUNCTION("""COMPUTED_VALUE"""),"有")</f>
        <v>有</v>
      </c>
      <c r="Y2485" s="8" t="str">
        <f>IFERROR(__xludf.DUMMYFUNCTION("""COMPUTED_VALUE"""),"P15まで")</f>
        <v>P15まで</v>
      </c>
      <c r="Z2485" s="7"/>
      <c r="AA2485" s="7"/>
      <c r="AB2485" s="7"/>
    </row>
    <row r="2486" ht="15.75" customHeight="1">
      <c r="A2486" s="76">
        <f>IFERROR(__xludf.DUMMYFUNCTION("""COMPUTED_VALUE"""),4344.0)</f>
        <v>4344</v>
      </c>
      <c r="B2486" s="69" t="str">
        <f>IFERROR(__xludf.DUMMYFUNCTION("""COMPUTED_VALUE"""),"確定")</f>
        <v>確定</v>
      </c>
      <c r="C2486" s="74">
        <f>IFERROR(__xludf.DUMMYFUNCTION("""COMPUTED_VALUE"""),45582.0)</f>
        <v>45582</v>
      </c>
      <c r="D2486" s="74">
        <f>IFERROR(__xludf.DUMMYFUNCTION("""COMPUTED_VALUE"""),45623.0)</f>
        <v>45623</v>
      </c>
      <c r="E2486" s="112">
        <f>IFERROR(__xludf.DUMMYFUNCTION("""COMPUTED_VALUE"""),311858.0)</f>
        <v>311858</v>
      </c>
      <c r="F2486" s="119" t="str">
        <f>IFERROR(__xludf.DUMMYFUNCTION("""COMPUTED_VALUE"""),"祓魔師は淫魔に今日も愛されます")</f>
        <v>祓魔師は淫魔に今日も愛されます</v>
      </c>
      <c r="G2486" s="69" t="str">
        <f>IFERROR(__xludf.DUMMYFUNCTION("""COMPUTED_VALUE"""),"1～3")</f>
        <v>1～3</v>
      </c>
      <c r="H2486" s="69" t="str">
        <f>IFERROR(__xludf.DUMMYFUNCTION("""COMPUTED_VALUE"""),"都鳥すみぃ")</f>
        <v>都鳥すみぃ</v>
      </c>
      <c r="I2486" s="79" t="str">
        <f>IFERROR(__xludf.DUMMYFUNCTION("""COMPUTED_VALUE"""),"女性")</f>
        <v>女性</v>
      </c>
      <c r="J2486" s="67"/>
      <c r="K2486" s="67" t="str">
        <f>IFERROR(__xludf.DUMMYFUNCTION("""COMPUTED_VALUE"""),"DEDEDE")</f>
        <v>DEDEDE</v>
      </c>
      <c r="L2486" s="67" t="str">
        <f>IFERROR(__xludf.DUMMYFUNCTION("""COMPUTED_VALUE"""),"CLLENN")</f>
        <v>CLLENN</v>
      </c>
      <c r="M2486" s="59">
        <f>IFERROR(__xludf.DUMMYFUNCTION("""COMPUTED_VALUE"""),45669.0)</f>
        <v>45669</v>
      </c>
      <c r="N2486" s="23">
        <f>IFERROR(__xludf.DUMMYFUNCTION("""COMPUTED_VALUE"""),45731.0)</f>
        <v>45731</v>
      </c>
      <c r="O2486" s="67"/>
      <c r="P2486" s="71" t="str">
        <f>IFERROR(__xludf.DUMMYFUNCTION("""COMPUTED_VALUE"""),"可")</f>
        <v>可</v>
      </c>
      <c r="Q2486" s="67"/>
      <c r="R2486" s="67" t="str">
        <f>IFERROR(__xludf.DUMMYFUNCTION("""COMPUTED_VALUE"""),"コミットOK")</f>
        <v>コミットOK</v>
      </c>
      <c r="S2486" s="67" t="str">
        <f>IFERROR(__xludf.DUMMYFUNCTION("""COMPUTED_VALUE"""),"20241126_CLLENN_祓魔師は淫魔に今日も愛されます")</f>
        <v>20241126_CLLENN_祓魔師は淫魔に今日も愛されます</v>
      </c>
      <c r="T2486" s="67" t="str">
        <f>IFERROR(__xludf.DUMMYFUNCTION("""COMPUTED_VALUE"""),"格納済み")</f>
        <v>格納済み</v>
      </c>
      <c r="U2486" s="15" t="str">
        <f>IFERROR(__xludf.DUMMYFUNCTION("""COMPUTED_VALUE"""),"(C)都鳥すみぃ/CLLENN")</f>
        <v>(C)都鳥すみぃ/CLLENN</v>
      </c>
      <c r="V2486" s="8" t="str">
        <f>IFERROR(__xludf.DUMMYFUNCTION("""COMPUTED_VALUE"""),"「ねぇ俺と取引しない――？」イケメン淫魔に持ち掛けられた禁断の契約。絶対に受け入れちゃいけないのに、火照った身体は彼を求めてしまい…。――街中の女性が最強淫魔のナギに虜にされ、淫紋をつけられる事件が発生。エクソシストであるすみれは彼の討伐に向かうも、形勢逆転！ 激しいキスと愛撫に、全身とろとろに溶かされてしまう。淫魔の唾液には特殊な効果があって、絶対倒す！という意志に反してすみれは濡れ濡れに。ロザリオの力でなんとか逃げ切るも、初めての快感が忘れられない…。次々と襲いかかる絶倫インキュバスのテクが、男を知ら"&amp;"ない清純エクソシストを翻弄。「私のカラダ、どうなっちゃうの―！？」")</f>
        <v>「ねぇ俺と取引しない――？」イケメン淫魔に持ち掛けられた禁断の契約。絶対に受け入れちゃいけないのに、火照った身体は彼を求めてしまい…。――街中の女性が最強淫魔のナギに虜にされ、淫紋をつけられる事件が発生。エクソシストであるすみれは彼の討伐に向かうも、形勢逆転！ 激しいキスと愛撫に、全身とろとろに溶かされてしまう。淫魔の唾液には特殊な効果があって、絶対倒す！という意志に反してすみれは濡れ濡れに。ロザリオの力でなんとか逃げ切るも、初めての快感が忘れられない…。次々と襲いかかる絶倫インキュバスのテクが、男を知らない清純エクソシストを翻弄。「私のカラダ、どうなっちゃうの―！？」</v>
      </c>
      <c r="W2486" s="14"/>
      <c r="X2486" s="14" t="str">
        <f>IFERROR(__xludf.DUMMYFUNCTION("""COMPUTED_VALUE"""),"有")</f>
        <v>有</v>
      </c>
      <c r="Y2486" s="8" t="str">
        <f>IFERROR(__xludf.DUMMYFUNCTION("""COMPUTED_VALUE"""),"2025/1/25まで1巻無料")</f>
        <v>2025/1/25まで1巻無料</v>
      </c>
      <c r="Z2486" s="7"/>
      <c r="AA2486" s="7"/>
      <c r="AB2486" s="7"/>
    </row>
    <row r="2487" ht="15.75" customHeight="1">
      <c r="A2487" s="76">
        <f>IFERROR(__xludf.DUMMYFUNCTION("""COMPUTED_VALUE"""),4351.0)</f>
        <v>4351</v>
      </c>
      <c r="B2487" s="69" t="str">
        <f>IFERROR(__xludf.DUMMYFUNCTION("""COMPUTED_VALUE"""),"確定")</f>
        <v>確定</v>
      </c>
      <c r="C2487" s="74">
        <f>IFERROR(__xludf.DUMMYFUNCTION("""COMPUTED_VALUE"""),45582.0)</f>
        <v>45582</v>
      </c>
      <c r="D2487" s="74">
        <f>IFERROR(__xludf.DUMMYFUNCTION("""COMPUTED_VALUE"""),45623.0)</f>
        <v>45623</v>
      </c>
      <c r="E2487" s="112">
        <f>IFERROR(__xludf.DUMMYFUNCTION("""COMPUTED_VALUE"""),310234.0)</f>
        <v>310234</v>
      </c>
      <c r="F2487" s="119" t="str">
        <f>IFERROR(__xludf.DUMMYFUNCTION("""COMPUTED_VALUE"""),"魅了の魔法が解けたので。【単話版】")</f>
        <v>魅了の魔法が解けたので。【単話版】</v>
      </c>
      <c r="G2487" s="69" t="str">
        <f>IFERROR(__xludf.DUMMYFUNCTION("""COMPUTED_VALUE"""),"1～5")</f>
        <v>1～5</v>
      </c>
      <c r="H2487" s="69" t="str">
        <f>IFERROR(__xludf.DUMMYFUNCTION("""COMPUTED_VALUE"""),"いづ宮・遠野")</f>
        <v>いづ宮・遠野</v>
      </c>
      <c r="I2487" s="69" t="str">
        <f>IFERROR(__xludf.DUMMYFUNCTION("""COMPUTED_VALUE"""),"女性")</f>
        <v>女性</v>
      </c>
      <c r="J2487" s="87"/>
      <c r="K2487" s="87"/>
      <c r="L2487" s="67" t="str">
        <f>IFERROR(__xludf.DUMMYFUNCTION("""COMPUTED_VALUE"""),"デジタルカタパルト（デジカタ編集部）")</f>
        <v>デジタルカタパルト（デジカタ編集部）</v>
      </c>
      <c r="M2487" s="23">
        <f>IFERROR(__xludf.DUMMYFUNCTION("""COMPUTED_VALUE"""),45661.0)</f>
        <v>45661</v>
      </c>
      <c r="N2487" s="23">
        <f>IFERROR(__xludf.DUMMYFUNCTION("""COMPUTED_VALUE"""),45690.0)</f>
        <v>45690</v>
      </c>
      <c r="O2487" s="67"/>
      <c r="P2487" s="70" t="str">
        <f>IFERROR(__xludf.DUMMYFUNCTION("""COMPUTED_VALUE"""),"可")</f>
        <v>可</v>
      </c>
      <c r="Q2487" s="67" t="str">
        <f>IFERROR(__xludf.DUMMYFUNCTION("""COMPUTED_VALUE"""),"初回配信話数は5話ですが4話分素材で制作お願いいたします。")</f>
        <v>初回配信話数は5話ですが4話分素材で制作お願いいたします。</v>
      </c>
      <c r="R2487" s="67" t="str">
        <f>IFERROR(__xludf.DUMMYFUNCTION("""COMPUTED_VALUE"""),"コミットOK")</f>
        <v>コミットOK</v>
      </c>
      <c r="S2487" s="67" t="str">
        <f>IFERROR(__xludf.DUMMYFUNCTION("""COMPUTED_VALUE"""),"20241126_デジタルカタパルト_魅了の魔法が解けたので。")</f>
        <v>20241126_デジタルカタパルト_魅了の魔法が解けたので。</v>
      </c>
      <c r="T2487" s="67" t="str">
        <f>IFERROR(__xludf.DUMMYFUNCTION("""COMPUTED_VALUE"""),"格納済み")</f>
        <v>格納済み</v>
      </c>
      <c r="U2487" s="15" t="str">
        <f>IFERROR(__xludf.DUMMYFUNCTION("""COMPUTED_VALUE"""),"©いづ宮・遠野/デジカタ編集部")</f>
        <v>©いづ宮・遠野/デジカタ編集部</v>
      </c>
      <c r="V2487" s="8" t="str">
        <f>IFERROR(__xludf.DUMMYFUNCTION("""COMPUTED_VALUE"""),"【第11回ネット小説大賞コミックシナリオ賞作品】婚約者の王太子に最近、羽虫の如く平民のイルゼが付きまとっている。由々しき事態だ。イルゼを排除すべく、階段で突き落そうとした瞬間、王太子への好意が消え去った。よく考えると王太子の人間性は最悪で、おまけに『魅了の魔法』をかけられていた。精神的ショックにより心の中の【転生者】が目覚めた。かくして、ウィロウの逃亡劇＆王太子への復讐が幕を開けるのであった！")</f>
        <v>【第11回ネット小説大賞コミックシナリオ賞作品】婚約者の王太子に最近、羽虫の如く平民のイルゼが付きまとっている。由々しき事態だ。イルゼを排除すべく、階段で突き落そうとした瞬間、王太子への好意が消え去った。よく考えると王太子の人間性は最悪で、おまけに『魅了の魔法』をかけられていた。精神的ショックにより心の中の【転生者】が目覚めた。かくして、ウィロウの逃亡劇＆王太子への復讐が幕を開けるのであった！</v>
      </c>
      <c r="W2487" s="14"/>
      <c r="X2487" s="14" t="str">
        <f>IFERROR(__xludf.DUMMYFUNCTION("""COMPUTED_VALUE"""),"有")</f>
        <v>有</v>
      </c>
      <c r="Y2487" s="8" t="str">
        <f>IFERROR(__xludf.DUMMYFUNCTION("""COMPUTED_VALUE"""),"P12まで")</f>
        <v>P12まで</v>
      </c>
      <c r="Z2487" s="7"/>
      <c r="AA2487" s="7"/>
      <c r="AB2487" s="7"/>
    </row>
    <row r="2488" ht="15.75" customHeight="1">
      <c r="A2488" s="76">
        <f>IFERROR(__xludf.DUMMYFUNCTION("""COMPUTED_VALUE"""),4352.0)</f>
        <v>4352</v>
      </c>
      <c r="B2488" s="69" t="str">
        <f>IFERROR(__xludf.DUMMYFUNCTION("""COMPUTED_VALUE"""),"確定")</f>
        <v>確定</v>
      </c>
      <c r="C2488" s="74">
        <f>IFERROR(__xludf.DUMMYFUNCTION("""COMPUTED_VALUE"""),45582.0)</f>
        <v>45582</v>
      </c>
      <c r="D2488" s="74">
        <f>IFERROR(__xludf.DUMMYFUNCTION("""COMPUTED_VALUE"""),45622.0)</f>
        <v>45622</v>
      </c>
      <c r="E2488" s="112">
        <f>IFERROR(__xludf.DUMMYFUNCTION("""COMPUTED_VALUE"""),307642.0)</f>
        <v>307642</v>
      </c>
      <c r="F2488" s="119" t="str">
        <f>IFERROR(__xludf.DUMMYFUNCTION("""COMPUTED_VALUE"""),"呪われ竜騎士様との約束～冤罪で国を追われた孤独な魔術師は隣国で溺愛される～【分冊版】")</f>
        <v>呪われ竜騎士様との約束～冤罪で国を追われた孤独な魔術師は隣国で溺愛される～【分冊版】</v>
      </c>
      <c r="G2488" s="69" t="str">
        <f>IFERROR(__xludf.DUMMYFUNCTION("""COMPUTED_VALUE"""),"1～3")</f>
        <v>1～3</v>
      </c>
      <c r="H2488" s="69" t="str">
        <f>IFERROR(__xludf.DUMMYFUNCTION("""COMPUTED_VALUE"""),"作画：氷月 原作：佐倉百")</f>
        <v>作画：氷月 原作：佐倉百</v>
      </c>
      <c r="I2488" s="69" t="str">
        <f>IFERROR(__xludf.DUMMYFUNCTION("""COMPUTED_VALUE"""),"少女マンガ")</f>
        <v>少女マンガ</v>
      </c>
      <c r="J2488" s="67"/>
      <c r="K2488" s="67" t="str">
        <f>IFERROR(__xludf.DUMMYFUNCTION("""COMPUTED_VALUE"""),"Niμ")</f>
        <v>Niμ</v>
      </c>
      <c r="L2488" s="67" t="str">
        <f>IFERROR(__xludf.DUMMYFUNCTION("""COMPUTED_VALUE"""),"笠倉出版社")</f>
        <v>笠倉出版社</v>
      </c>
      <c r="M2488" s="85">
        <f>IFERROR(__xludf.DUMMYFUNCTION("""COMPUTED_VALUE"""),45636.0)</f>
        <v>45636</v>
      </c>
      <c r="N2488" s="23">
        <f>IFERROR(__xludf.DUMMYFUNCTION("""COMPUTED_VALUE"""),45725.0)</f>
        <v>45725</v>
      </c>
      <c r="O2488" s="67"/>
      <c r="P2488" s="70" t="str">
        <f>IFERROR(__xludf.DUMMYFUNCTION("""COMPUTED_VALUE"""),"可")</f>
        <v>可</v>
      </c>
      <c r="Q2488" s="67" t="str">
        <f>IFERROR(__xludf.DUMMYFUNCTION("""COMPUTED_VALUE"""),"広告素材納品が遅れたので可能なタイミングで出稿お願いします。&lt;BR&gt;～補足～&lt;BR&gt;・佐倉百先生既刊：&lt;BR&gt; https://www.cmoa.jp/search/author/164441/&lt;BR&gt;・本作は同月12月18日に配信の下記NiμNOVELS原作のコミカライズ作品となります。&lt;BR&gt; 【12/18配信（NiμNOVELS）】&lt;BR&gt; ・呪われ竜騎士様との約束～冤罪で国を追われた孤独な魔術師は隣国で溺愛される&lt;BR&gt;～【電子限定特典付き】&lt;BR&gt; 著者：佐倉百 イラストレーター：SNC キャラ"&amp;"クター原案：氷月&lt;BR&gt;・本作は独占先行配信となりますので、先行してのpixiv配信はございません。")</f>
        <v>広告素材納品が遅れたので可能なタイミングで出稿お願いします。&lt;BR&gt;～補足～&lt;BR&gt;・佐倉百先生既刊：&lt;BR&gt; https://www.cmoa.jp/search/author/164441/&lt;BR&gt;・本作は同月12月18日に配信の下記NiμNOVELS原作のコミカライズ作品となります。&lt;BR&gt; 【12/18配信（NiμNOVELS）】&lt;BR&gt; ・呪われ竜騎士様との約束～冤罪で国を追われた孤独な魔術師は隣国で溺愛される&lt;BR&gt;～【電子限定特典付き】&lt;BR&gt; 著者：佐倉百 イラストレーター：SNC キャラクター原案：氷月&lt;BR&gt;・本作は独占先行配信となりますので、先行してのpixiv配信はございません。</v>
      </c>
      <c r="R2488" s="67" t="str">
        <f>IFERROR(__xludf.DUMMYFUNCTION("""COMPUTED_VALUE"""),"コミットOK")</f>
        <v>コミットOK</v>
      </c>
      <c r="S2488" s="67" t="str">
        <f>IFERROR(__xludf.DUMMYFUNCTION("""COMPUTED_VALUE"""),"20241126_笠倉出版社_呪われ竜騎士様との約束～冤罪で国を追われた孤独な魔術師は隣国で溺愛される～【分冊版】")</f>
        <v>20241126_笠倉出版社_呪われ竜騎士様との約束～冤罪で国を追われた孤独な魔術師は隣国で溺愛される～【分冊版】</v>
      </c>
      <c r="T2488" s="67" t="str">
        <f>IFERROR(__xludf.DUMMYFUNCTION("""COMPUTED_VALUE"""),"格納済み")</f>
        <v>格納済み</v>
      </c>
      <c r="U2488" s="15" t="str">
        <f>IFERROR(__xludf.DUMMYFUNCTION("""COMPUTED_VALUE"""),"©氷月・佐倉百/笠倉出版社")</f>
        <v>©氷月・佐倉百/笠倉出版社</v>
      </c>
      <c r="V2488" s="8" t="str">
        <f>IFERROR(__xludf.DUMMYFUNCTION("""COMPUTED_VALUE"""),"魔術研究所で働くエレオノーラは、同僚や先輩たちからいつも仕事や雑用を押し付けられる毎日。身寄りのない孤児でコネもない彼女を周囲は馬鹿にしていたのだ。そんなある日、傷だらけで呪いを掛けられた黒い羽トカゲを拾い手当てをしたエレン。助けた羽トカゲとの生活は、仕事で疲れ切っていた彼女にとって日々の癒し。しかし、楽しい日常は薬草の横流しという冤罪をかけられたことで崩れてしまい――！")</f>
        <v>魔術研究所で働くエレオノーラは、同僚や先輩たちからいつも仕事や雑用を押し付けられる毎日。身寄りのない孤児でコネもない彼女を周囲は馬鹿にしていたのだ。そんなある日、傷だらけで呪いを掛けられた黒い羽トカゲを拾い手当てをしたエレン。助けた羽トカゲとの生活は、仕事で疲れ切っていた彼女にとって日々の癒し。しかし、楽しい日常は薬草の横流しという冤罪をかけられたことで崩れてしまい――！</v>
      </c>
      <c r="W2488" s="14"/>
      <c r="X2488" s="14" t="str">
        <f>IFERROR(__xludf.DUMMYFUNCTION("""COMPUTED_VALUE"""),"有")</f>
        <v>有</v>
      </c>
      <c r="Y2488" s="8" t="str">
        <f>IFERROR(__xludf.DUMMYFUNCTION("""COMPUTED_VALUE"""),"2024/12/23まで1巻無料")</f>
        <v>2024/12/23まで1巻無料</v>
      </c>
      <c r="Z2488" s="7"/>
      <c r="AA2488" s="7"/>
      <c r="AB2488" s="7"/>
    </row>
    <row r="2489" ht="15.75" customHeight="1">
      <c r="A2489" s="76">
        <f>IFERROR(__xludf.DUMMYFUNCTION("""COMPUTED_VALUE"""),4396.0)</f>
        <v>4396</v>
      </c>
      <c r="B2489" s="69" t="str">
        <f>IFERROR(__xludf.DUMMYFUNCTION("""COMPUTED_VALUE"""),"確定")</f>
        <v>確定</v>
      </c>
      <c r="C2489" s="74">
        <f>IFERROR(__xludf.DUMMYFUNCTION("""COMPUTED_VALUE"""),45588.0)</f>
        <v>45588</v>
      </c>
      <c r="D2489" s="74">
        <f>IFERROR(__xludf.DUMMYFUNCTION("""COMPUTED_VALUE"""),45622.0)</f>
        <v>45622</v>
      </c>
      <c r="E2489" s="112">
        <f>IFERROR(__xludf.DUMMYFUNCTION("""COMPUTED_VALUE"""),310900.0)</f>
        <v>310900</v>
      </c>
      <c r="F2489" s="119" t="str">
        <f>IFERROR(__xludf.DUMMYFUNCTION("""COMPUTED_VALUE"""),"婚約者から「平民を愛人にしたい」と言われた私－お飾りの妻は嫌なので「真実の愛」と共に破滅させます－【分冊版】")</f>
        <v>婚約者から「平民を愛人にしたい」と言われた私－お飾りの妻は嫌なので「真実の愛」と共に破滅させます－【分冊版】</v>
      </c>
      <c r="G2489" s="69" t="str">
        <f>IFERROR(__xludf.DUMMYFUNCTION("""COMPUTED_VALUE"""),"1～4")</f>
        <v>1～4</v>
      </c>
      <c r="H2489" s="69" t="str">
        <f>IFERROR(__xludf.DUMMYFUNCTION("""COMPUTED_VALUE"""),"原作：参谷しのぶ 漫画：カコイミスコ")</f>
        <v>原作：参谷しのぶ 漫画：カコイミスコ</v>
      </c>
      <c r="I2489" s="69" t="str">
        <f>IFERROR(__xludf.DUMMYFUNCTION("""COMPUTED_VALUE"""),"女性")</f>
        <v>女性</v>
      </c>
      <c r="J2489" s="87"/>
      <c r="K2489" s="87"/>
      <c r="L2489" s="67" t="str">
        <f>IFERROR(__xludf.DUMMYFUNCTION("""COMPUTED_VALUE"""),"Amazia")</f>
        <v>Amazia</v>
      </c>
      <c r="M2489" s="85">
        <f>IFERROR(__xludf.DUMMYFUNCTION("""COMPUTED_VALUE"""),45651.0)</f>
        <v>45651</v>
      </c>
      <c r="N2489" s="23">
        <f>IFERROR(__xludf.DUMMYFUNCTION("""COMPUTED_VALUE"""),45740.0)</f>
        <v>45740</v>
      </c>
      <c r="O2489" s="67"/>
      <c r="P2489" s="71" t="str">
        <f>IFERROR(__xludf.DUMMYFUNCTION("""COMPUTED_VALUE"""),"否")</f>
        <v>否</v>
      </c>
      <c r="Q2489" s="67"/>
      <c r="R2489" s="67" t="str">
        <f>IFERROR(__xludf.DUMMYFUNCTION("""COMPUTED_VALUE"""),"コミットOK")</f>
        <v>コミットOK</v>
      </c>
      <c r="S2489" s="67" t="str">
        <f>IFERROR(__xludf.DUMMYFUNCTION("""COMPUTED_VALUE"""),"20241125_Amazia‗婚約者から平民を愛人にしたいと言われました")</f>
        <v>20241125_Amazia‗婚約者から平民を愛人にしたいと言われました</v>
      </c>
      <c r="T2489" s="67" t="str">
        <f>IFERROR(__xludf.DUMMYFUNCTION("""COMPUTED_VALUE"""),"格納済み")</f>
        <v>格納済み</v>
      </c>
      <c r="U2489" s="15" t="str">
        <f>IFERROR(__xludf.DUMMYFUNCTION("""COMPUTED_VALUE"""),"©参谷しのぶ・カコイミスコ/ Amazia, inc.")</f>
        <v>©参谷しのぶ・カコイミスコ/ Amazia, inc.</v>
      </c>
      <c r="V2489" s="8" t="str">
        <f>IFERROR(__xludf.DUMMYFUNCTION("""COMPUTED_VALUE"""),"「君とお腹の子供を幸せにしてみせる」婚約者の裏切りを聞かされた私は、復讐の宴へと歩み出す…!!――公爵令嬢イブリンは、許嫁バーナードの冷淡さに悩む日々。原因が平民女性との浮気だと判明すると、微笑みで本心を隠しながら、二人を地獄に落とす計画を立て始める…！イブリンを溺愛する王太子・フレデリックの支援も加わるなか、最後に彼女が手にした「真実の愛」とは…!?")</f>
        <v>「君とお腹の子供を幸せにしてみせる」婚約者の裏切りを聞かされた私は、復讐の宴へと歩み出す…!!――公爵令嬢イブリンは、許嫁バーナードの冷淡さに悩む日々。原因が平民女性との浮気だと判明すると、微笑みで本心を隠しながら、二人を地獄に落とす計画を立て始める…！イブリンを溺愛する王太子・フレデリックの支援も加わるなか、最後に彼女が手にした「真実の愛」とは…!?</v>
      </c>
      <c r="W2489" s="14"/>
      <c r="X2489" s="14" t="str">
        <f>IFERROR(__xludf.DUMMYFUNCTION("""COMPUTED_VALUE"""),"有")</f>
        <v>有</v>
      </c>
      <c r="Y2489" s="8" t="str">
        <f>IFERROR(__xludf.DUMMYFUNCTION("""COMPUTED_VALUE"""),"2025/3/24まで1巻無料")</f>
        <v>2025/3/24まで1巻無料</v>
      </c>
      <c r="Z2489" s="7"/>
      <c r="AA2489" s="7"/>
      <c r="AB2489" s="7"/>
    </row>
    <row r="2490" ht="15.75" customHeight="1">
      <c r="A2490" s="76">
        <f>IFERROR(__xludf.DUMMYFUNCTION("""COMPUTED_VALUE"""),4421.0)</f>
        <v>4421</v>
      </c>
      <c r="B2490" s="69" t="str">
        <f>IFERROR(__xludf.DUMMYFUNCTION("""COMPUTED_VALUE"""),"確定")</f>
        <v>確定</v>
      </c>
      <c r="C2490" s="74">
        <f>IFERROR(__xludf.DUMMYFUNCTION("""COMPUTED_VALUE"""),45593.0)</f>
        <v>45593</v>
      </c>
      <c r="D2490" s="74">
        <f>IFERROR(__xludf.DUMMYFUNCTION("""COMPUTED_VALUE"""),45622.0)</f>
        <v>45622</v>
      </c>
      <c r="E2490" s="112">
        <f>IFERROR(__xludf.DUMMYFUNCTION("""COMPUTED_VALUE"""),310242.0)</f>
        <v>310242</v>
      </c>
      <c r="F2490" s="119" t="str">
        <f>IFERROR(__xludf.DUMMYFUNCTION("""COMPUTED_VALUE"""),"ラブ・シェア・ライフ～ノンケの俺がタチネコに挟まれ3Pエッチ⁉～")</f>
        <v>ラブ・シェア・ライフ～ノンケの俺がタチネコに挟まれ3Pエッチ⁉～</v>
      </c>
      <c r="G2490" s="69" t="str">
        <f>IFERROR(__xludf.DUMMYFUNCTION("""COMPUTED_VALUE"""),"1～2")</f>
        <v>1～2</v>
      </c>
      <c r="H2490" s="69" t="str">
        <f>IFERROR(__xludf.DUMMYFUNCTION("""COMPUTED_VALUE"""),"仁美晴真")</f>
        <v>仁美晴真</v>
      </c>
      <c r="I2490" s="69" t="str">
        <f>IFERROR(__xludf.DUMMYFUNCTION("""COMPUTED_VALUE"""),"BL")</f>
        <v>BL</v>
      </c>
      <c r="J2490" s="67"/>
      <c r="K2490" s="67" t="str">
        <f>IFERROR(__xludf.DUMMYFUNCTION("""COMPUTED_VALUE"""),"NuPu")</f>
        <v>NuPu</v>
      </c>
      <c r="L2490" s="67" t="str">
        <f>IFERROR(__xludf.DUMMYFUNCTION("""COMPUTED_VALUE"""),"CLLENN")</f>
        <v>CLLENN</v>
      </c>
      <c r="M2490" s="85">
        <f>IFERROR(__xludf.DUMMYFUNCTION("""COMPUTED_VALUE"""),45652.0)</f>
        <v>45652</v>
      </c>
      <c r="N2490" s="23">
        <f>IFERROR(__xludf.DUMMYFUNCTION("""COMPUTED_VALUE"""),45714.0)</f>
        <v>45714</v>
      </c>
      <c r="O2490" s="67"/>
      <c r="P2490" s="71" t="str">
        <f>IFERROR(__xludf.DUMMYFUNCTION("""COMPUTED_VALUE"""),"可")</f>
        <v>可</v>
      </c>
      <c r="Q2490" s="67"/>
      <c r="R2490" s="67" t="str">
        <f>IFERROR(__xludf.DUMMYFUNCTION("""COMPUTED_VALUE"""),"コミットNG")</f>
        <v>コミットNG</v>
      </c>
      <c r="S2490" s="67" t="str">
        <f>IFERROR(__xludf.DUMMYFUNCTION("""COMPUTED_VALUE"""),"20241125_CLLENN_ラブ・シェア・ライフ～ノンケの俺がタチネコに挟まれ3Pエッチ⁉～")</f>
        <v>20241125_CLLENN_ラブ・シェア・ライフ～ノンケの俺がタチネコに挟まれ3Pエッチ⁉～</v>
      </c>
      <c r="T2490" s="67" t="str">
        <f>IFERROR(__xludf.DUMMYFUNCTION("""COMPUTED_VALUE"""),"格納済み")</f>
        <v>格納済み</v>
      </c>
      <c r="U2490" s="15" t="str">
        <f>IFERROR(__xludf.DUMMYFUNCTION("""COMPUTED_VALUE"""),"(C)仁美晴真/CLLENN")</f>
        <v>(C)仁美晴真/CLLENN</v>
      </c>
      <c r="V2490" s="8" t="str">
        <f>IFERROR(__xludf.DUMMYFUNCTION("""COMPUTED_VALUE"""),"「俺はノンケのはずなのに前も後ろも気持ちよくておかしくなる…！」イケメン男子２人から攻められまくり３Ｐエッチ！？――大学進学を機に上京してきた乙木稜生(おとぎいっせい）が入居したのは、ヤリモク男子が集まるシェアハウス！？住人でタチの葵（あおい）と同じくネコの衣月（いつき）から強引に迫られてピンチ！人に頼まれると断れない性格につけ込まれ…両方から脱がされ、口でイカされ、お尻の穴を解されトロトロに…初めてなのに、ぐっしょり濡れて、ナカまで熱くて　なんだよ、コレっ…！挿れて挿れられの未知の快楽に溺れてしまい――"&amp;"！クールなバリタチ×お人好しノンケ×天真爛漫バリネコの３Ｐシェアライフ！！")</f>
        <v>「俺はノンケのはずなのに前も後ろも気持ちよくておかしくなる…！」イケメン男子２人から攻められまくり３Ｐエッチ！？――大学進学を機に上京してきた乙木稜生(おとぎいっせい）が入居したのは、ヤリモク男子が集まるシェアハウス！？住人でタチの葵（あおい）と同じくネコの衣月（いつき）から強引に迫られてピンチ！人に頼まれると断れない性格につけ込まれ…両方から脱がされ、口でイカされ、お尻の穴を解されトロトロに…初めてなのに、ぐっしょり濡れて、ナカまで熱くて　なんだよ、コレっ…！挿れて挿れられの未知の快楽に溺れてしまい――！クールなバリタチ×お人好しノンケ×天真爛漫バリネコの３Ｐシェアライフ！！</v>
      </c>
      <c r="W2490" s="14"/>
      <c r="X2490" s="14" t="str">
        <f>IFERROR(__xludf.DUMMYFUNCTION("""COMPUTED_VALUE"""),"有")</f>
        <v>有</v>
      </c>
      <c r="Y2490" s="8" t="str">
        <f>IFERROR(__xludf.DUMMYFUNCTION("""COMPUTED_VALUE"""),"2025/1/8まで立ち読み増量P13まで")</f>
        <v>2025/1/8まで立ち読み増量P13まで</v>
      </c>
      <c r="Z2490" s="7"/>
      <c r="AA2490" s="7"/>
      <c r="AB2490" s="7"/>
    </row>
    <row r="2491" ht="15.75" customHeight="1">
      <c r="A2491" s="76">
        <f>IFERROR(__xludf.DUMMYFUNCTION("""COMPUTED_VALUE"""),4440.0)</f>
        <v>4440</v>
      </c>
      <c r="B2491" s="69" t="str">
        <f>IFERROR(__xludf.DUMMYFUNCTION("""COMPUTED_VALUE"""),"確定")</f>
        <v>確定</v>
      </c>
      <c r="C2491" s="74">
        <f>IFERROR(__xludf.DUMMYFUNCTION("""COMPUTED_VALUE"""),45595.0)</f>
        <v>45595</v>
      </c>
      <c r="D2491" s="74">
        <f>IFERROR(__xludf.DUMMYFUNCTION("""COMPUTED_VALUE"""),45618.0)</f>
        <v>45618</v>
      </c>
      <c r="E2491" s="112">
        <f>IFERROR(__xludf.DUMMYFUNCTION("""COMPUTED_VALUE"""),309364.0)</f>
        <v>309364</v>
      </c>
      <c r="F2491" s="119" t="str">
        <f>IFERROR(__xludf.DUMMYFUNCTION("""COMPUTED_VALUE"""),"お飾り聖女のはずが、真の力に目覚めたようです THE COMIC【分冊版】")</f>
        <v>お飾り聖女のはずが、真の力に目覚めたようです THE COMIC【分冊版】</v>
      </c>
      <c r="G2491" s="69" t="str">
        <f>IFERROR(__xludf.DUMMYFUNCTION("""COMPUTED_VALUE"""),"1～4")</f>
        <v>1～4</v>
      </c>
      <c r="H2491" s="69" t="str">
        <f>IFERROR(__xludf.DUMMYFUNCTION("""COMPUTED_VALUE"""),"杓子ねこ 漫画：武田みか キャラクター原案：ボダックス")</f>
        <v>杓子ねこ 漫画：武田みか キャラクター原案：ボダックス</v>
      </c>
      <c r="I2491" s="69" t="str">
        <f>IFERROR(__xludf.DUMMYFUNCTION("""COMPUTED_VALUE"""),"少女マンガ")</f>
        <v>少女マンガ</v>
      </c>
      <c r="J2491" s="87"/>
      <c r="K2491" s="87"/>
      <c r="L2491" s="67" t="str">
        <f>IFERROR(__xludf.DUMMYFUNCTION("""COMPUTED_VALUE"""),"マッグガーデン")</f>
        <v>マッグガーデン</v>
      </c>
      <c r="M2491" s="85">
        <f>IFERROR(__xludf.DUMMYFUNCTION("""COMPUTED_VALUE"""),45646.0)</f>
        <v>45646</v>
      </c>
      <c r="N2491" s="23">
        <f>IFERROR(__xludf.DUMMYFUNCTION("""COMPUTED_VALUE"""),45729.0)</f>
        <v>45729</v>
      </c>
      <c r="O2491" s="67"/>
      <c r="P2491" s="71" t="str">
        <f>IFERROR(__xludf.DUMMYFUNCTION("""COMPUTED_VALUE"""),"可")</f>
        <v>可</v>
      </c>
      <c r="Q2491" s="67"/>
      <c r="R2491" s="67" t="str">
        <f>IFERROR(__xludf.DUMMYFUNCTION("""COMPUTED_VALUE"""),"コミットOK")</f>
        <v>コミットOK</v>
      </c>
      <c r="S2491" s="67" t="str">
        <f>IFERROR(__xludf.DUMMYFUNCTION("""COMPUTED_VALUE"""),"20241121_マッグガーデン_お飾り聖女のはずが、真の力に目覚めたようです THE COMIC")</f>
        <v>20241121_マッグガーデン_お飾り聖女のはずが、真の力に目覚めたようです THE COMIC</v>
      </c>
      <c r="T2491" s="67" t="str">
        <f>IFERROR(__xludf.DUMMYFUNCTION("""COMPUTED_VALUE"""),"格納済み")</f>
        <v>格納済み</v>
      </c>
      <c r="U2491" s="15" t="str">
        <f>IFERROR(__xludf.DUMMYFUNCTION("""COMPUTED_VALUE"""),"(C)Shakushineko (C)武田みか/MAG Garden")</f>
        <v>(C)Shakushineko (C)武田みか/MAG Garden</v>
      </c>
      <c r="V2491" s="8" t="str">
        <f>IFERROR(__xludf.DUMMYFUNCTION("""COMPUTED_VALUE"""),"かつて、精霊の加護と聖女の活躍により繁栄したエルバート王国。――幾ばくかの時が経ち、精霊を祀る神殿に聖女の姿はなかった。聖女に代わり、務めを任されているのは「お飾り聖女」のシルフィア。彼女は神殿に閉じ込められ、本当の聖女に虐げられながらも、直向きに聖女の代理を務めているのだった……。そんなある日彼女の前に突然、精霊たちが現れ――!?【第1話収録】")</f>
        <v>かつて、精霊の加護と聖女の活躍により繁栄したエルバート王国。――幾ばくかの時が経ち、精霊を祀る神殿に聖女の姿はなかった。聖女に代わり、務めを任されているのは「お飾り聖女」のシルフィア。彼女は神殿に閉じ込められ、本当の聖女に虐げられながらも、直向きに聖女の代理を務めているのだった……。そんなある日彼女の前に突然、精霊たちが現れ――!?【第1話収録】</v>
      </c>
      <c r="W2491" s="14"/>
      <c r="X2491" s="14" t="str">
        <f>IFERROR(__xludf.DUMMYFUNCTION("""COMPUTED_VALUE"""),"有")</f>
        <v>有</v>
      </c>
      <c r="Y2491" s="8" t="str">
        <f>IFERROR(__xludf.DUMMYFUNCTION("""COMPUTED_VALUE"""),"P5まで")</f>
        <v>P5まで</v>
      </c>
      <c r="Z2491" s="7"/>
      <c r="AA2491" s="7"/>
      <c r="AB2491" s="7"/>
    </row>
    <row r="2492" ht="15.75" customHeight="1">
      <c r="A2492" s="76">
        <f>IFERROR(__xludf.DUMMYFUNCTION("""COMPUTED_VALUE"""),4448.0)</f>
        <v>4448</v>
      </c>
      <c r="B2492" s="69" t="str">
        <f>IFERROR(__xludf.DUMMYFUNCTION("""COMPUTED_VALUE"""),"確定")</f>
        <v>確定</v>
      </c>
      <c r="C2492" s="74">
        <f>IFERROR(__xludf.DUMMYFUNCTION("""COMPUTED_VALUE"""),45596.0)</f>
        <v>45596</v>
      </c>
      <c r="D2492" s="74">
        <f>IFERROR(__xludf.DUMMYFUNCTION("""COMPUTED_VALUE"""),45618.0)</f>
        <v>45618</v>
      </c>
      <c r="E2492" s="112">
        <f>IFERROR(__xludf.DUMMYFUNCTION("""COMPUTED_VALUE"""),311445.0)</f>
        <v>311445</v>
      </c>
      <c r="F2492" s="119" t="str">
        <f>IFERROR(__xludf.DUMMYFUNCTION("""COMPUTED_VALUE"""),"第五皇女の成り上がり！ 捨てられ皇女、皇帝になります（分冊版）")</f>
        <v>第五皇女の成り上がり！ 捨てられ皇女、皇帝になります（分冊版）</v>
      </c>
      <c r="G2492" s="69" t="str">
        <f>IFERROR(__xludf.DUMMYFUNCTION("""COMPUTED_VALUE"""),"1～3")</f>
        <v>1～3</v>
      </c>
      <c r="H2492" s="69" t="str">
        <f>IFERROR(__xludf.DUMMYFUNCTION("""COMPUTED_VALUE"""),"安崎羽美/漫画 清家未森/原作")</f>
        <v>安崎羽美/漫画 清家未森/原作</v>
      </c>
      <c r="I2492" s="69" t="str">
        <f>IFERROR(__xludf.DUMMYFUNCTION("""COMPUTED_VALUE"""),"女性")</f>
        <v>女性</v>
      </c>
      <c r="J2492" s="87"/>
      <c r="K2492" s="87"/>
      <c r="L2492" s="67" t="str">
        <f>IFERROR(__xludf.DUMMYFUNCTION("""COMPUTED_VALUE"""),"アルファポリス")</f>
        <v>アルファポリス</v>
      </c>
      <c r="M2492" s="85">
        <f>IFERROR(__xludf.DUMMYFUNCTION("""COMPUTED_VALUE"""),45649.0)</f>
        <v>45649</v>
      </c>
      <c r="N2492" s="47">
        <f>IFERROR(__xludf.DUMMYFUNCTION("""COMPUTED_VALUE"""),45743.0)</f>
        <v>45743</v>
      </c>
      <c r="O2492" s="67"/>
      <c r="P2492" s="71" t="str">
        <f>IFERROR(__xludf.DUMMYFUNCTION("""COMPUTED_VALUE"""),"否")</f>
        <v>否</v>
      </c>
      <c r="Q2492" s="67"/>
      <c r="R2492" s="67" t="str">
        <f>IFERROR(__xludf.DUMMYFUNCTION("""COMPUTED_VALUE"""),"コミットNG")</f>
        <v>コミットNG</v>
      </c>
      <c r="S2492" s="67" t="str">
        <f>IFERROR(__xludf.DUMMYFUNCTION("""COMPUTED_VALUE"""),"20241122_アルファポリス‗第五皇女の成り上がり！ 捨てられ皇女、皇帝になります")</f>
        <v>20241122_アルファポリス‗第五皇女の成り上がり！ 捨てられ皇女、皇帝になります</v>
      </c>
      <c r="T2492" s="67" t="str">
        <f>IFERROR(__xludf.DUMMYFUNCTION("""COMPUTED_VALUE"""),"格納済み")</f>
        <v>格納済み</v>
      </c>
      <c r="U2492" s="15" t="str">
        <f>IFERROR(__xludf.DUMMYFUNCTION("""COMPUTED_VALUE"""),"（C）清家未森・安崎羽美（鳴海マイカ）／アルファポリス")</f>
        <v>（C）清家未森・安崎羽美（鳴海マイカ）／アルファポリス</v>
      </c>
      <c r="V2492" s="8" t="str">
        <f>IFERROR(__xludf.DUMMYFUNCTION("""COMPUTED_VALUE"""),"大国・ツェルバキア帝国の皇宮の外れにある”亡霊屋敷”――新緑の宮。寂れてボロボロの屋敷には、父である皇帝に見捨てられた第五皇女・ユーゼリカが住んでいた。母も亡くなり後ろ盾のない彼女は日々倹約に励み、母の遺した領地の経営に勤しんでいた。そんなある日、皇帝から突如「皇太子選抜戦を行う」と通達が入る。驚くユーゼリカだったけれど、皇帝になれば自分たちを蔑ろにした父に復讐ができる――そう考え、選抜戦に立候補することに！　条件は「三年間で財を築き、国を豊かにすること」。武力で富を築く時代は終わった。そう思うユーゼリカ"&amp;"は人材育成に目を付け、“ある計画”を実行することにして……？　見捨てられた皇女の大逆転成り上がりファンタジー、ここに開幕！！")</f>
        <v>大国・ツェルバキア帝国の皇宮の外れにある”亡霊屋敷”――新緑の宮。寂れてボロボロの屋敷には、父である皇帝に見捨てられた第五皇女・ユーゼリカが住んでいた。母も亡くなり後ろ盾のない彼女は日々倹約に励み、母の遺した領地の経営に勤しんでいた。そんなある日、皇帝から突如「皇太子選抜戦を行う」と通達が入る。驚くユーゼリカだったけれど、皇帝になれば自分たちを蔑ろにした父に復讐ができる――そう考え、選抜戦に立候補することに！　条件は「三年間で財を築き、国を豊かにすること」。武力で富を築く時代は終わった。そう思うユーゼリカは人材育成に目を付け、“ある計画”を実行することにして……？　見捨てられた皇女の大逆転成り上がりファンタジー、ここに開幕！！</v>
      </c>
      <c r="W2492" s="14"/>
      <c r="X2492" s="14" t="str">
        <f>IFERROR(__xludf.DUMMYFUNCTION("""COMPUTED_VALUE"""),"有")</f>
        <v>有</v>
      </c>
      <c r="Y2492" s="8" t="str">
        <f>IFERROR(__xludf.DUMMYFUNCTION("""COMPUTED_VALUE"""),"2025/1/5まで1巻無料")</f>
        <v>2025/1/5まで1巻無料</v>
      </c>
      <c r="Z2492" s="7"/>
      <c r="AA2492" s="7"/>
      <c r="AB2492" s="7"/>
    </row>
    <row r="2493" ht="15.75" customHeight="1">
      <c r="A2493" s="76">
        <f>IFERROR(__xludf.DUMMYFUNCTION("""COMPUTED_VALUE"""),4449.0)</f>
        <v>4449</v>
      </c>
      <c r="B2493" s="69" t="str">
        <f>IFERROR(__xludf.DUMMYFUNCTION("""COMPUTED_VALUE"""),"確定")</f>
        <v>確定</v>
      </c>
      <c r="C2493" s="74">
        <f>IFERROR(__xludf.DUMMYFUNCTION("""COMPUTED_VALUE"""),45596.0)</f>
        <v>45596</v>
      </c>
      <c r="D2493" s="74">
        <f>IFERROR(__xludf.DUMMYFUNCTION("""COMPUTED_VALUE"""),45617.0)</f>
        <v>45617</v>
      </c>
      <c r="E2493" s="112">
        <f>IFERROR(__xludf.DUMMYFUNCTION("""COMPUTED_VALUE"""),311444.0)</f>
        <v>311444</v>
      </c>
      <c r="F2493" s="119" t="str">
        <f>IFERROR(__xludf.DUMMYFUNCTION("""COMPUTED_VALUE"""),"死んだ王妃は二度目の人生を楽しみます ーお飾りの王妃は必要ないのでしょう？ー")</f>
        <v>死んだ王妃は二度目の人生を楽しみます ーお飾りの王妃は必要ないのでしょう？ー</v>
      </c>
      <c r="G2493" s="69" t="str">
        <f>IFERROR(__xludf.DUMMYFUNCTION("""COMPUTED_VALUE"""),"1～4")</f>
        <v>1～4</v>
      </c>
      <c r="H2493" s="69" t="str">
        <f>IFERROR(__xludf.DUMMYFUNCTION("""COMPUTED_VALUE"""),"あまさかえで/漫画 なか/原作")</f>
        <v>あまさかえで/漫画 なか/原作</v>
      </c>
      <c r="I2493" s="69" t="str">
        <f>IFERROR(__xludf.DUMMYFUNCTION("""COMPUTED_VALUE"""),"女性")</f>
        <v>女性</v>
      </c>
      <c r="J2493" s="87"/>
      <c r="K2493" s="87"/>
      <c r="L2493" s="67" t="str">
        <f>IFERROR(__xludf.DUMMYFUNCTION("""COMPUTED_VALUE"""),"アルファポリス")</f>
        <v>アルファポリス</v>
      </c>
      <c r="M2493" s="85">
        <f>IFERROR(__xludf.DUMMYFUNCTION("""COMPUTED_VALUE"""),45649.0)</f>
        <v>45649</v>
      </c>
      <c r="N2493" s="47">
        <f>IFERROR(__xludf.DUMMYFUNCTION("""COMPUTED_VALUE"""),45743.0)</f>
        <v>45743</v>
      </c>
      <c r="O2493" s="67"/>
      <c r="P2493" s="71" t="str">
        <f>IFERROR(__xludf.DUMMYFUNCTION("""COMPUTED_VALUE"""),"否")</f>
        <v>否</v>
      </c>
      <c r="Q2493" s="67"/>
      <c r="R2493" s="67" t="str">
        <f>IFERROR(__xludf.DUMMYFUNCTION("""COMPUTED_VALUE"""),"コミットOK")</f>
        <v>コミットOK</v>
      </c>
      <c r="S2493" s="67" t="str">
        <f>IFERROR(__xludf.DUMMYFUNCTION("""COMPUTED_VALUE"""),"20241121_アルファポリス_死んだ王妃は二度目の人生を楽しみます ーお飾りの王妃は必要ないのでしょう？ー")</f>
        <v>20241121_アルファポリス_死んだ王妃は二度目の人生を楽しみます ーお飾りの王妃は必要ないのでしょう？ー</v>
      </c>
      <c r="T2493" s="67" t="str">
        <f>IFERROR(__xludf.DUMMYFUNCTION("""COMPUTED_VALUE"""),"格納済み")</f>
        <v>格納済み</v>
      </c>
      <c r="U2493" s="15" t="str">
        <f>IFERROR(__xludf.DUMMYFUNCTION("""COMPUTED_VALUE"""),"（C）なか・あまさかえで／アルファポリス")</f>
        <v>（C）なか・あまさかえで／アルファポリス</v>
      </c>
      <c r="V2493" s="8" t="str">
        <f>IFERROR(__xludf.DUMMYFUNCTION("""COMPUTED_VALUE"""),"「死んでくれたほうがいいみたい」使用人の会話が病床に伏した王妃カーティアの胸をえぐる。今や国王の愛は側妃に向けられており、カーティアに求められるのは政務をこなすことのみ。彼のために人生を捧げてきた結果がこれか…後悔を抱きながら人生を終えたカーティアだったが、目覚めると三年前に時が巻き戻っていて!?　せっかく与えられた二度目の人生、だがこのままでは三年後に再び病で命を落とすかもしれない。残された時間は多くないならば、自分のために生きよう！　そう決めたカーティアは、王妃の立場を投げ捨てて余命三年の人生を謳歌し"&amp;"ようとするけれど――")</f>
        <v>「死んでくれたほうがいいみたい」使用人の会話が病床に伏した王妃カーティアの胸をえぐる。今や国王の愛は側妃に向けられており、カーティアに求められるのは政務をこなすことのみ。彼のために人生を捧げてきた結果がこれか…後悔を抱きながら人生を終えたカーティアだったが、目覚めると三年前に時が巻き戻っていて!?　せっかく与えられた二度目の人生、だがこのままでは三年後に再び病で命を落とすかもしれない。残された時間は多くないならば、自分のために生きよう！　そう決めたカーティアは、王妃の立場を投げ捨てて余命三年の人生を謳歌しようとするけれど――</v>
      </c>
      <c r="W2493" s="14"/>
      <c r="X2493" s="14" t="str">
        <f>IFERROR(__xludf.DUMMYFUNCTION("""COMPUTED_VALUE"""),"有")</f>
        <v>有</v>
      </c>
      <c r="Y2493" s="8" t="str">
        <f>IFERROR(__xludf.DUMMYFUNCTION("""COMPUTED_VALUE"""),"1巻無料")</f>
        <v>1巻無料</v>
      </c>
      <c r="Z2493" s="7"/>
      <c r="AA2493" s="7"/>
      <c r="AB2493" s="7"/>
    </row>
    <row r="2494" ht="15.75" customHeight="1">
      <c r="A2494" s="76">
        <f>IFERROR(__xludf.DUMMYFUNCTION("""COMPUTED_VALUE"""),4450.0)</f>
        <v>4450</v>
      </c>
      <c r="B2494" s="69" t="str">
        <f>IFERROR(__xludf.DUMMYFUNCTION("""COMPUTED_VALUE"""),"確定")</f>
        <v>確定</v>
      </c>
      <c r="C2494" s="74">
        <f>IFERROR(__xludf.DUMMYFUNCTION("""COMPUTED_VALUE"""),45596.0)</f>
        <v>45596</v>
      </c>
      <c r="D2494" s="74">
        <f>IFERROR(__xludf.DUMMYFUNCTION("""COMPUTED_VALUE"""),45617.0)</f>
        <v>45617</v>
      </c>
      <c r="E2494" s="112">
        <f>IFERROR(__xludf.DUMMYFUNCTION("""COMPUTED_VALUE"""),311446.0)</f>
        <v>311446</v>
      </c>
      <c r="F2494" s="119" t="str">
        <f>IFERROR(__xludf.DUMMYFUNCTION("""COMPUTED_VALUE"""),"愛されない花嫁は初夜を一人で過ごす（分冊版）")</f>
        <v>愛されない花嫁は初夜を一人で過ごす（分冊版）</v>
      </c>
      <c r="G2494" s="69" t="str">
        <f>IFERROR(__xludf.DUMMYFUNCTION("""COMPUTED_VALUE"""),"1～3")</f>
        <v>1～3</v>
      </c>
      <c r="H2494" s="69" t="str">
        <f>IFERROR(__xludf.DUMMYFUNCTION("""COMPUTED_VALUE"""),"森本マチ/漫画 リオール/原作")</f>
        <v>森本マチ/漫画 リオール/原作</v>
      </c>
      <c r="I2494" s="69" t="str">
        <f>IFERROR(__xludf.DUMMYFUNCTION("""COMPUTED_VALUE"""),"女性")</f>
        <v>女性</v>
      </c>
      <c r="J2494" s="87"/>
      <c r="K2494" s="87"/>
      <c r="L2494" s="67" t="str">
        <f>IFERROR(__xludf.DUMMYFUNCTION("""COMPUTED_VALUE"""),"アルファポリス")</f>
        <v>アルファポリス</v>
      </c>
      <c r="M2494" s="85">
        <f>IFERROR(__xludf.DUMMYFUNCTION("""COMPUTED_VALUE"""),45649.0)</f>
        <v>45649</v>
      </c>
      <c r="N2494" s="23">
        <f>IFERROR(__xludf.DUMMYFUNCTION("""COMPUTED_VALUE"""),45743.0)</f>
        <v>45743</v>
      </c>
      <c r="O2494" s="67"/>
      <c r="P2494" s="71" t="str">
        <f>IFERROR(__xludf.DUMMYFUNCTION("""COMPUTED_VALUE"""),"否")</f>
        <v>否</v>
      </c>
      <c r="Q2494" s="67"/>
      <c r="R2494" s="67" t="str">
        <f>IFERROR(__xludf.DUMMYFUNCTION("""COMPUTED_VALUE"""),"コミットOK")</f>
        <v>コミットOK</v>
      </c>
      <c r="S2494" s="67" t="str">
        <f>IFERROR(__xludf.DUMMYFUNCTION("""COMPUTED_VALUE"""),"20241121_アルファポリス_愛されない花嫁は初夜を一人で過ごす")</f>
        <v>20241121_アルファポリス_愛されない花嫁は初夜を一人で過ごす</v>
      </c>
      <c r="T2494" s="67" t="str">
        <f>IFERROR(__xludf.DUMMYFUNCTION("""COMPUTED_VALUE"""),"格納済み")</f>
        <v>格納済み</v>
      </c>
      <c r="U2494" s="15" t="str">
        <f>IFERROR(__xludf.DUMMYFUNCTION("""COMPUTED_VALUE"""),"（C）リオール・森本マチ／アルファポリス")</f>
        <v>（C）リオール・森本マチ／アルファポリス</v>
      </c>
      <c r="V2494" s="8" t="str">
        <f>IFERROR(__xludf.DUMMYFUNCTION("""COMPUTED_VALUE"""),"「お前を妻と思わないし、愛することもない」と夫から宣言され、初夜をたった一人で過ごすことになってしまったアルビナ。屈辱的な仕打ちの挙句、なんと夫はアルビナの妹と浮気関係にあり彼女を本気で愛していると告げてくる。あまりの内容に絶望しつつも、夫と妹に絶望を味わわせるべく彼らへの復讐を決意する！　――私の心を踏みにじった愚か者たちには相応の罰がふさわしいわ。復讐を誓った彼女は慎重かつ着実に、彼らの破滅までのシナリオを描き始めて…！？　それぞれの想いが交錯する鮮烈で美しい復讐劇、衝撃のコミカライズ！！")</f>
        <v>「お前を妻と思わないし、愛することもない」と夫から宣言され、初夜をたった一人で過ごすことになってしまったアルビナ。屈辱的な仕打ちの挙句、なんと夫はアルビナの妹と浮気関係にあり彼女を本気で愛していると告げてくる。あまりの内容に絶望しつつも、夫と妹に絶望を味わわせるべく彼らへの復讐を決意する！　――私の心を踏みにじった愚か者たちには相応の罰がふさわしいわ。復讐を誓った彼女は慎重かつ着実に、彼らの破滅までのシナリオを描き始めて…！？　それぞれの想いが交錯する鮮烈で美しい復讐劇、衝撃のコミカライズ！！</v>
      </c>
      <c r="W2494" s="14"/>
      <c r="X2494" s="14" t="str">
        <f>IFERROR(__xludf.DUMMYFUNCTION("""COMPUTED_VALUE"""),"有")</f>
        <v>有</v>
      </c>
      <c r="Y2494" s="8" t="str">
        <f>IFERROR(__xludf.DUMMYFUNCTION("""COMPUTED_VALUE"""),"1巻無料")</f>
        <v>1巻無料</v>
      </c>
      <c r="Z2494" s="7"/>
      <c r="AA2494" s="7"/>
      <c r="AB2494" s="7"/>
    </row>
    <row r="2495" ht="15.75" customHeight="1">
      <c r="A2495" s="76">
        <f>IFERROR(__xludf.DUMMYFUNCTION("""COMPUTED_VALUE"""),4476.0)</f>
        <v>4476</v>
      </c>
      <c r="B2495" s="69" t="str">
        <f>IFERROR(__xludf.DUMMYFUNCTION("""COMPUTED_VALUE"""),"確定")</f>
        <v>確定</v>
      </c>
      <c r="C2495" s="74">
        <f>IFERROR(__xludf.DUMMYFUNCTION("""COMPUTED_VALUE"""),45603.0)</f>
        <v>45603</v>
      </c>
      <c r="D2495" s="74">
        <f>IFERROR(__xludf.DUMMYFUNCTION("""COMPUTED_VALUE"""),45617.0)</f>
        <v>45617</v>
      </c>
      <c r="E2495" s="112">
        <f>IFERROR(__xludf.DUMMYFUNCTION("""COMPUTED_VALUE"""),310745.0)</f>
        <v>310745</v>
      </c>
      <c r="F2495" s="119" t="str">
        <f>IFERROR(__xludf.DUMMYFUNCTION("""COMPUTED_VALUE"""),"もてあましてる、千里くん")</f>
        <v>もてあましてる、千里くん</v>
      </c>
      <c r="G2495" s="69" t="str">
        <f>IFERROR(__xludf.DUMMYFUNCTION("""COMPUTED_VALUE"""),"1～3")</f>
        <v>1～3</v>
      </c>
      <c r="H2495" s="69" t="str">
        <f>IFERROR(__xludf.DUMMYFUNCTION("""COMPUTED_VALUE"""),"大島ニコラ")</f>
        <v>大島ニコラ</v>
      </c>
      <c r="I2495" s="69" t="str">
        <f>IFERROR(__xludf.DUMMYFUNCTION("""COMPUTED_VALUE"""),"BL")</f>
        <v>BL</v>
      </c>
      <c r="J2495" s="87"/>
      <c r="K2495" s="87"/>
      <c r="L2495" s="67" t="str">
        <f>IFERROR(__xludf.DUMMYFUNCTION("""COMPUTED_VALUE"""),"ガラン")</f>
        <v>ガラン</v>
      </c>
      <c r="M2495" s="85">
        <f>IFERROR(__xludf.DUMMYFUNCTION("""COMPUTED_VALUE"""),45637.0)</f>
        <v>45637</v>
      </c>
      <c r="N2495" s="23">
        <f>IFERROR(__xludf.DUMMYFUNCTION("""COMPUTED_VALUE"""),45819.0)</f>
        <v>45819</v>
      </c>
      <c r="O2495" s="67"/>
      <c r="P2495" s="71" t="str">
        <f>IFERROR(__xludf.DUMMYFUNCTION("""COMPUTED_VALUE"""),"可")</f>
        <v>可</v>
      </c>
      <c r="Q2495" s="67"/>
      <c r="R2495" s="67" t="str">
        <f>IFERROR(__xludf.DUMMYFUNCTION("""COMPUTED_VALUE"""),"コミットOK")</f>
        <v>コミットOK</v>
      </c>
      <c r="S2495" s="67" t="str">
        <f>IFERROR(__xludf.DUMMYFUNCTION("""COMPUTED_VALUE"""),"20241121_ガラン‗もてあましてる、千里くん")</f>
        <v>20241121_ガラン‗もてあましてる、千里くん</v>
      </c>
      <c r="T2495" s="67" t="str">
        <f>IFERROR(__xludf.DUMMYFUNCTION("""COMPUTED_VALUE"""),"格納済み")</f>
        <v>格納済み</v>
      </c>
      <c r="U2495" s="15" t="str">
        <f>IFERROR(__xludf.DUMMYFUNCTION("""COMPUTED_VALUE"""),"©大島ニコラ／Boys Shangri-La")</f>
        <v>©大島ニコラ／Boys Shangri-La</v>
      </c>
      <c r="V2495" s="8" t="str">
        <f>IFERROR(__xludf.DUMMYFUNCTION("""COMPUTED_VALUE"""),"「今夜はとことんイってみようか」
色気スパダリ絶倫攻×体育会系ピュア絶倫受のすれ違いセフレ関係スタート!?
少女漫画に憧れるピュアな大学生の千里（せんり）の悩み、それは性欲をもてあましていること。
サッカー部を怪我で引退してからは、他で発散も出来ずに悶々とする日々を送っていた。
そんな千里の憧れの人は、イケメンで色気を振り撒く魔性のオトコ・響介（きょうすけ）先輩。
ある日、飲み会中にこっそりと先輩をオカズにヌいているところを本人に目撃されてしまう。
終わった、と絶望したのも束の間、「ーー続けて"&amp;"？」と衝撃のお誘いが!?")</f>
        <v>「今夜はとことんイってみようか」
色気スパダリ絶倫攻×体育会系ピュア絶倫受のすれ違いセフレ関係スタート!?
少女漫画に憧れるピュアな大学生の千里（せんり）の悩み、それは性欲をもてあましていること。
サッカー部を怪我で引退してからは、他で発散も出来ずに悶々とする日々を送っていた。
そんな千里の憧れの人は、イケメンで色気を振り撒く魔性のオトコ・響介（きょうすけ）先輩。
ある日、飲み会中にこっそりと先輩をオカズにヌいているところを本人に目撃されてしまう。
終わった、と絶望したのも束の間、「ーー続けて？」と衝撃のお誘いが!?</v>
      </c>
      <c r="W2495" s="14"/>
      <c r="X2495" s="14" t="str">
        <f>IFERROR(__xludf.DUMMYFUNCTION("""COMPUTED_VALUE"""),"有")</f>
        <v>有</v>
      </c>
      <c r="Y2495" s="8" t="str">
        <f>IFERROR(__xludf.DUMMYFUNCTION("""COMPUTED_VALUE"""),"1巻無料")</f>
        <v>1巻無料</v>
      </c>
      <c r="Z2495" s="7"/>
      <c r="AA2495" s="7"/>
      <c r="AB2495" s="7"/>
    </row>
    <row r="2496" ht="15.75" customHeight="1">
      <c r="A2496" s="76">
        <f>IFERROR(__xludf.DUMMYFUNCTION("""COMPUTED_VALUE"""),4486.0)</f>
        <v>4486</v>
      </c>
      <c r="B2496" s="69" t="str">
        <f>IFERROR(__xludf.DUMMYFUNCTION("""COMPUTED_VALUE"""),"確定")</f>
        <v>確定</v>
      </c>
      <c r="C2496" s="74">
        <f>IFERROR(__xludf.DUMMYFUNCTION("""COMPUTED_VALUE"""),45604.0)</f>
        <v>45604</v>
      </c>
      <c r="D2496" s="74">
        <f>IFERROR(__xludf.DUMMYFUNCTION("""COMPUTED_VALUE"""),45618.0)</f>
        <v>45618</v>
      </c>
      <c r="E2496" s="112">
        <f>IFERROR(__xludf.DUMMYFUNCTION("""COMPUTED_VALUE"""),312627.0)</f>
        <v>312627</v>
      </c>
      <c r="F2496" s="119" t="str">
        <f>IFERROR(__xludf.DUMMYFUNCTION("""COMPUTED_VALUE"""),"悪女が騎士の狂愛から逃れる方法")</f>
        <v>悪女が騎士の狂愛から逃れる方法</v>
      </c>
      <c r="G2496" s="69" t="str">
        <f>IFERROR(__xludf.DUMMYFUNCTION("""COMPUTED_VALUE"""),"1～3")</f>
        <v>1～3</v>
      </c>
      <c r="H2496" s="69" t="str">
        <f>IFERROR(__xludf.DUMMYFUNCTION("""COMPUTED_VALUE"""),"岬三月／大雨")</f>
        <v>岬三月／大雨</v>
      </c>
      <c r="I2496" s="69" t="str">
        <f>IFERROR(__xludf.DUMMYFUNCTION("""COMPUTED_VALUE"""),"女性")</f>
        <v>女性</v>
      </c>
      <c r="J2496" s="67"/>
      <c r="K2496" s="67" t="str">
        <f>IFERROR(__xludf.DUMMYFUNCTION("""COMPUTED_VALUE"""),"COMIC stella")</f>
        <v>COMIC stella</v>
      </c>
      <c r="L2496" s="67" t="str">
        <f>IFERROR(__xludf.DUMMYFUNCTION("""COMPUTED_VALUE"""),"COMIC stella")</f>
        <v>COMIC stella</v>
      </c>
      <c r="M2496" s="23">
        <f>IFERROR(__xludf.DUMMYFUNCTION("""COMPUTED_VALUE"""),45666.0)</f>
        <v>45666</v>
      </c>
      <c r="N2496" s="23">
        <f>IFERROR(__xludf.DUMMYFUNCTION("""COMPUTED_VALUE"""),45755.0)</f>
        <v>45755</v>
      </c>
      <c r="O2496" s="67"/>
      <c r="P2496" s="71" t="str">
        <f>IFERROR(__xludf.DUMMYFUNCTION("""COMPUTED_VALUE"""),"可")</f>
        <v>可</v>
      </c>
      <c r="Q2496" s="67"/>
      <c r="R2496" s="67" t="str">
        <f>IFERROR(__xludf.DUMMYFUNCTION("""COMPUTED_VALUE"""),"コミットOK")</f>
        <v>コミットOK</v>
      </c>
      <c r="S2496" s="67" t="str">
        <f>IFERROR(__xludf.DUMMYFUNCTION("""COMPUTED_VALUE"""),"20241225_COMIC stella_修正_悪女が騎士の狂愛から逃れる方法")</f>
        <v>20241225_COMIC stella_修正_悪女が騎士の狂愛から逃れる方法</v>
      </c>
      <c r="T2496" s="78" t="str">
        <f>IFERROR(__xludf.DUMMYFUNCTION("""COMPUTED_VALUE"""),"格納済み")</f>
        <v>格納済み</v>
      </c>
      <c r="U2496" s="15" t="str">
        <f>IFERROR(__xludf.DUMMYFUNCTION("""COMPUTED_VALUE"""),"（C）岬三月・大雨／COMIC stella	")</f>
        <v>（C）岬三月・大雨／COMIC stella	</v>
      </c>
      <c r="V2496" s="8" t="str">
        <f>IFERROR(__xludf.DUMMYFUNCTION("""COMPUTED_VALUE"""),"【ヤンデレ騎士に愛されすぎて殺される運命──!?】
気付くと恋愛小説の悪役令嬢・ヴィクトリアに転生していた主人公。
彼女の末路は、自分に仕える騎士であるカインに殺されるというもの──魅了魔法をかけられたカインは彼女を盲目的に愛しており、最終的にはその愛が暴走してしまうのだ。その上、愛するヴィクトリアの中身が転生した別人だと気付かれたら絶対にただではすまない…！
死の未来を避けるため、悪役令嬢のフリをしながら魅了魔法を解くことを決意するヴィクトリア。しかし、当初は恐ろしく感じていたカインの視線が徐々に"&amp;"甘くなっていき──!?")</f>
        <v>【ヤンデレ騎士に愛されすぎて殺される運命──!?】
気付くと恋愛小説の悪役令嬢・ヴィクトリアに転生していた主人公。
彼女の末路は、自分に仕える騎士であるカインに殺されるというもの──魅了魔法をかけられたカインは彼女を盲目的に愛しており、最終的にはその愛が暴走してしまうのだ。その上、愛するヴィクトリアの中身が転生した別人だと気付かれたら絶対にただではすまない…！
死の未来を避けるため、悪役令嬢のフリをしながら魅了魔法を解くことを決意するヴィクトリア。しかし、当初は恐ろしく感じていたカインの視線が徐々に甘くなっていき──!?</v>
      </c>
      <c r="W2496" s="14"/>
      <c r="X2496" s="14" t="str">
        <f>IFERROR(__xludf.DUMMYFUNCTION("""COMPUTED_VALUE"""),"有")</f>
        <v>有</v>
      </c>
      <c r="Y2496" s="8" t="str">
        <f>IFERROR(__xludf.DUMMYFUNCTION("""COMPUTED_VALUE"""),"2025/1/26まで1巻無料")</f>
        <v>2025/1/26まで1巻無料</v>
      </c>
      <c r="Z2496" s="7"/>
      <c r="AA2496" s="7"/>
      <c r="AB2496" s="7"/>
    </row>
    <row r="2497" ht="15.75" customHeight="1">
      <c r="A2497" s="76">
        <f>IFERROR(__xludf.DUMMYFUNCTION("""COMPUTED_VALUE"""),4492.0)</f>
        <v>4492</v>
      </c>
      <c r="B2497" s="69" t="str">
        <f>IFERROR(__xludf.DUMMYFUNCTION("""COMPUTED_VALUE"""),"確定")</f>
        <v>確定</v>
      </c>
      <c r="C2497" s="74">
        <f>IFERROR(__xludf.DUMMYFUNCTION("""COMPUTED_VALUE"""),45604.0)</f>
        <v>45604</v>
      </c>
      <c r="D2497" s="74">
        <f>IFERROR(__xludf.DUMMYFUNCTION("""COMPUTED_VALUE"""),45618.0)</f>
        <v>45618</v>
      </c>
      <c r="E2497" s="112">
        <f>IFERROR(__xludf.DUMMYFUNCTION("""COMPUTED_VALUE"""),309952.0)</f>
        <v>309952</v>
      </c>
      <c r="F2497" s="119" t="str">
        <f>IFERROR(__xludf.DUMMYFUNCTION("""COMPUTED_VALUE"""),"氷の魔女は婚前交渉禁止です！～溺愛旦那様に甘く奪われる初夜")</f>
        <v>氷の魔女は婚前交渉禁止です！～溺愛旦那様に甘く奪われる初夜</v>
      </c>
      <c r="G2497" s="69">
        <f>IFERROR(__xludf.DUMMYFUNCTION("""COMPUTED_VALUE"""),1.0)</f>
        <v>1</v>
      </c>
      <c r="H2497" s="69" t="str">
        <f>IFERROR(__xludf.DUMMYFUNCTION("""COMPUTED_VALUE"""),"七咲でら")</f>
        <v>七咲でら</v>
      </c>
      <c r="I2497" s="69" t="str">
        <f>IFERROR(__xludf.DUMMYFUNCTION("""COMPUTED_VALUE"""),"TL")</f>
        <v>TL</v>
      </c>
      <c r="J2497" s="67"/>
      <c r="K2497" s="67" t="str">
        <f>IFERROR(__xludf.DUMMYFUNCTION("""COMPUTED_VALUE"""),"lou lou")</f>
        <v>lou lou</v>
      </c>
      <c r="L2497" s="67" t="str">
        <f>IFERROR(__xludf.DUMMYFUNCTION("""COMPUTED_VALUE"""),"渋谷六花舎")</f>
        <v>渋谷六花舎</v>
      </c>
      <c r="M2497" s="23">
        <f>IFERROR(__xludf.DUMMYFUNCTION("""COMPUTED_VALUE"""),45659.0)</f>
        <v>45659</v>
      </c>
      <c r="N2497" s="23">
        <f>IFERROR(__xludf.DUMMYFUNCTION("""COMPUTED_VALUE"""),45748.0)</f>
        <v>45748</v>
      </c>
      <c r="O2497" s="67"/>
      <c r="P2497" s="71" t="str">
        <f>IFERROR(__xludf.DUMMYFUNCTION("""COMPUTED_VALUE"""),"可")</f>
        <v>可</v>
      </c>
      <c r="Q2497" s="67"/>
      <c r="R2497" s="67" t="str">
        <f>IFERROR(__xludf.DUMMYFUNCTION("""COMPUTED_VALUE"""),"コミットOK")</f>
        <v>コミットOK</v>
      </c>
      <c r="S2497" s="67" t="str">
        <f>IFERROR(__xludf.DUMMYFUNCTION("""COMPUTED_VALUE"""),"20241121_渋谷六花舎_氷の魔女は婚前交渉禁止です！")</f>
        <v>20241121_渋谷六花舎_氷の魔女は婚前交渉禁止です！</v>
      </c>
      <c r="T2497" s="67" t="str">
        <f>IFERROR(__xludf.DUMMYFUNCTION("""COMPUTED_VALUE"""),"格納済み")</f>
        <v>格納済み</v>
      </c>
      <c r="U2497" s="15" t="str">
        <f>IFERROR(__xludf.DUMMYFUNCTION("""COMPUTED_VALUE"""),"(C)七咲でら/lou lou")</f>
        <v>(C)七咲でら/lou lou</v>
      </c>
      <c r="V2497" s="8" t="str">
        <f>IFERROR(__xludf.DUMMYFUNCTION("""COMPUTED_VALUE"""),"“氷の魔女”と恐れられる冷徹な令嬢 セレネと
学園の人気者、第二王子 ウィルヘルト。
一見正反対だけど、実は、ウィルの溺愛が強めな相思相愛カップル。
そんな2人は学園の卒業式で、主席として壇上に立つが…セレネの身体が熱く火照って！？
実は、ウィルに憧れる女子たちに一服盛られており、
控室に逃げ込むも、セレネの身体を支配する甘い疼きが止まらない！
解除魔法も効かなくて、発散させるしかないけど──
＜婚前交渉禁止＞を約束していたから、キスしかしたことがない……！！
──確かに「もっと触って」と"&amp;"は言ったけど…！何回イかせる気よ…！
彼女を大切に抱きたいのに、可愛すぎて止まらない。
溺愛旦那様に甘く激しく愛される──！
※アンソロジーコミック『悪役令嬢は旦那様に溺愛されて困ってます。 ファンタジーTLアンソロジー』にも収録されています。重複購入にご注意ください。")</f>
        <v>“氷の魔女”と恐れられる冷徹な令嬢 セレネと
学園の人気者、第二王子 ウィルヘルト。
一見正反対だけど、実は、ウィルの溺愛が強めな相思相愛カップル。
そんな2人は学園の卒業式で、主席として壇上に立つが…セレネの身体が熱く火照って！？
実は、ウィルに憧れる女子たちに一服盛られており、
控室に逃げ込むも、セレネの身体を支配する甘い疼きが止まらない！
解除魔法も効かなくて、発散させるしかないけど──
＜婚前交渉禁止＞を約束していたから、キスしかしたことがない……！！
──確かに「もっと触って」とは言ったけど…！何回イかせる気よ…！
彼女を大切に抱きたいのに、可愛すぎて止まらない。
溺愛旦那様に甘く激しく愛される──！
※アンソロジーコミック『悪役令嬢は旦那様に溺愛されて困ってます。 ファンタジーTLアンソロジー』にも収録されています。重複購入にご注意ください。</v>
      </c>
      <c r="W2497" s="14"/>
      <c r="X2497" s="14" t="str">
        <f>IFERROR(__xludf.DUMMYFUNCTION("""COMPUTED_VALUE"""),"有")</f>
        <v>有</v>
      </c>
      <c r="Y2497" s="8" t="str">
        <f>IFERROR(__xludf.DUMMYFUNCTION("""COMPUTED_VALUE"""),"2025/1/16まで立ち読み増量P10まで")</f>
        <v>2025/1/16まで立ち読み増量P10まで</v>
      </c>
      <c r="Z2497" s="7"/>
      <c r="AA2497" s="7"/>
      <c r="AB2497" s="7"/>
    </row>
    <row r="2498" ht="15.75" customHeight="1">
      <c r="A2498" s="76">
        <f>IFERROR(__xludf.DUMMYFUNCTION("""COMPUTED_VALUE"""),4493.0)</f>
        <v>4493</v>
      </c>
      <c r="B2498" s="69" t="str">
        <f>IFERROR(__xludf.DUMMYFUNCTION("""COMPUTED_VALUE"""),"確定")</f>
        <v>確定</v>
      </c>
      <c r="C2498" s="74">
        <f>IFERROR(__xludf.DUMMYFUNCTION("""COMPUTED_VALUE"""),45607.0)</f>
        <v>45607</v>
      </c>
      <c r="D2498" s="74">
        <f>IFERROR(__xludf.DUMMYFUNCTION("""COMPUTED_VALUE"""),45622.0)</f>
        <v>45622</v>
      </c>
      <c r="E2498" s="112">
        <f>IFERROR(__xludf.DUMMYFUNCTION("""COMPUTED_VALUE"""),309954.0)</f>
        <v>309954</v>
      </c>
      <c r="F2498" s="119" t="str">
        <f>IFERROR(__xludf.DUMMYFUNCTION("""COMPUTED_VALUE"""),"私の夫は殺人犯")</f>
        <v>私の夫は殺人犯</v>
      </c>
      <c r="G2498" s="69" t="str">
        <f>IFERROR(__xludf.DUMMYFUNCTION("""COMPUTED_VALUE"""),"1～3")</f>
        <v>1～3</v>
      </c>
      <c r="H2498" s="69" t="str">
        <f>IFERROR(__xludf.DUMMYFUNCTION("""COMPUTED_VALUE"""),"月森雅子")</f>
        <v>月森雅子</v>
      </c>
      <c r="I2498" s="69" t="str">
        <f>IFERROR(__xludf.DUMMYFUNCTION("""COMPUTED_VALUE"""),"女性")</f>
        <v>女性</v>
      </c>
      <c r="J2498" s="87"/>
      <c r="K2498" s="87"/>
      <c r="L2498" s="67" t="str">
        <f>IFERROR(__xludf.DUMMYFUNCTION("""COMPUTED_VALUE"""),"グループ・ゼロ")</f>
        <v>グループ・ゼロ</v>
      </c>
      <c r="M2498" s="23">
        <f>IFERROR(__xludf.DUMMYFUNCTION("""COMPUTED_VALUE"""),45659.0)</f>
        <v>45659</v>
      </c>
      <c r="N2498" s="23">
        <f>IFERROR(__xludf.DUMMYFUNCTION("""COMPUTED_VALUE"""),45718.0)</f>
        <v>45718</v>
      </c>
      <c r="O2498" s="67"/>
      <c r="P2498" s="71" t="str">
        <f>IFERROR(__xludf.DUMMYFUNCTION("""COMPUTED_VALUE"""),"可")</f>
        <v>可</v>
      </c>
      <c r="Q2498" s="67"/>
      <c r="R2498" s="67" t="str">
        <f>IFERROR(__xludf.DUMMYFUNCTION("""COMPUTED_VALUE"""),"コミットOK")</f>
        <v>コミットOK</v>
      </c>
      <c r="S2498" s="67" t="str">
        <f>IFERROR(__xludf.DUMMYFUNCTION("""COMPUTED_VALUE"""),"20241122_グループ・ゼロ_私の夫は殺人犯1-3_広告作成用データ")</f>
        <v>20241122_グループ・ゼロ_私の夫は殺人犯1-3_広告作成用データ</v>
      </c>
      <c r="T2498" s="67" t="str">
        <f>IFERROR(__xludf.DUMMYFUNCTION("""COMPUTED_VALUE"""),"格納済み")</f>
        <v>格納済み</v>
      </c>
      <c r="U2498" s="15" t="str">
        <f>IFERROR(__xludf.DUMMYFUNCTION("""COMPUTED_VALUE"""),"C)月森雅子/グループ・ゼロ")</f>
        <v>C)月森雅子/グループ・ゼロ</v>
      </c>
      <c r="V2498" s="8" t="str">
        <f>IFERROR(__xludf.DUMMYFUNCTION("""COMPUTED_VALUE"""),"「あなたの夫は殺人犯です」幸せな結婚生活を送っていた妻・美穂子と夫・理人（りひと）の元に一通の手紙が届く。19xx年9月某日、公民館に集まった住民たちを包丁で無差別に殺害する凄惨な事件があった。未成年による少年の犯行だったが、その殺人鬼である〝少年Ａ〟が夫だというのだ。手紙が届いたのをきっかけに優しかった理人はしだいに変わっていき、近所からの嫌がらせもエスカレートしていく…。夫・理人は本当に〝少年Ａ〟なのか──…!?
テラーノベルのオリジナル人気小説「私の夫は殺人犯」がついにコミカライズ!!")</f>
        <v>「あなたの夫は殺人犯です」幸せな結婚生活を送っていた妻・美穂子と夫・理人（りひと）の元に一通の手紙が届く。19xx年9月某日、公民館に集まった住民たちを包丁で無差別に殺害する凄惨な事件があった。未成年による少年の犯行だったが、その殺人鬼である〝少年Ａ〟が夫だというのだ。手紙が届いたのをきっかけに優しかった理人はしだいに変わっていき、近所からの嫌がらせもエスカレートしていく…。夫・理人は本当に〝少年Ａ〟なのか──…!?
テラーノベルのオリジナル人気小説「私の夫は殺人犯」がついにコミカライズ!!</v>
      </c>
      <c r="W2498" s="14"/>
      <c r="X2498" s="14" t="str">
        <f>IFERROR(__xludf.DUMMYFUNCTION("""COMPUTED_VALUE"""),"有")</f>
        <v>有</v>
      </c>
      <c r="Y2498" s="8" t="str">
        <f>IFERROR(__xludf.DUMMYFUNCTION("""COMPUTED_VALUE"""),"2025/3/2まで1巻無料")</f>
        <v>2025/3/2まで1巻無料</v>
      </c>
      <c r="Z2498" s="7"/>
      <c r="AA2498" s="7"/>
      <c r="AB2498" s="7"/>
    </row>
    <row r="2499" ht="15.75" customHeight="1">
      <c r="A2499" s="76">
        <f>IFERROR(__xludf.DUMMYFUNCTION("""COMPUTED_VALUE"""),4498.0)</f>
        <v>4498</v>
      </c>
      <c r="B2499" s="69" t="str">
        <f>IFERROR(__xludf.DUMMYFUNCTION("""COMPUTED_VALUE"""),"確定")</f>
        <v>確定</v>
      </c>
      <c r="C2499" s="74">
        <f>IFERROR(__xludf.DUMMYFUNCTION("""COMPUTED_VALUE"""),45607.0)</f>
        <v>45607</v>
      </c>
      <c r="D2499" s="74">
        <f>IFERROR(__xludf.DUMMYFUNCTION("""COMPUTED_VALUE"""),45622.0)</f>
        <v>45622</v>
      </c>
      <c r="E2499" s="112">
        <f>IFERROR(__xludf.DUMMYFUNCTION("""COMPUTED_VALUE"""),310443.0)</f>
        <v>310443</v>
      </c>
      <c r="F2499" s="119" t="str">
        <f>IFERROR(__xludf.DUMMYFUNCTION("""COMPUTED_VALUE"""),"月夜のミシン工房【分冊版】")</f>
        <v>月夜のミシン工房【分冊版】</v>
      </c>
      <c r="G2499" s="69" t="str">
        <f>IFERROR(__xludf.DUMMYFUNCTION("""COMPUTED_VALUE"""),"1～3")</f>
        <v>1～3</v>
      </c>
      <c r="H2499" s="69" t="str">
        <f>IFERROR(__xludf.DUMMYFUNCTION("""COMPUTED_VALUE"""),"伊藤悶")</f>
        <v>伊藤悶</v>
      </c>
      <c r="I2499" s="79" t="str">
        <f>IFERROR(__xludf.DUMMYFUNCTION("""COMPUTED_VALUE"""),"少女")</f>
        <v>少女</v>
      </c>
      <c r="J2499" s="87"/>
      <c r="K2499" s="87"/>
      <c r="L2499" s="67" t="str">
        <f>IFERROR(__xludf.DUMMYFUNCTION("""COMPUTED_VALUE"""),"ハーパーコリンズ・ジャパン")</f>
        <v>ハーパーコリンズ・ジャパン</v>
      </c>
      <c r="M2499" s="23">
        <f>IFERROR(__xludf.DUMMYFUNCTION("""COMPUTED_VALUE"""),45667.0)</f>
        <v>45667</v>
      </c>
      <c r="N2499" s="23">
        <f>IFERROR(__xludf.DUMMYFUNCTION("""COMPUTED_VALUE"""),45729.0)</f>
        <v>45729</v>
      </c>
      <c r="O2499" s="67"/>
      <c r="P2499" s="70" t="str">
        <f>IFERROR(__xludf.DUMMYFUNCTION("""COMPUTED_VALUE"""),"可")</f>
        <v>可</v>
      </c>
      <c r="Q2499" s="67" t="str">
        <f>IFERROR(__xludf.DUMMYFUNCTION("""COMPUTED_VALUE"""),"&lt;BR&gt;")</f>
        <v>&lt;BR&gt;</v>
      </c>
      <c r="R2499" s="67" t="str">
        <f>IFERROR(__xludf.DUMMYFUNCTION("""COMPUTED_VALUE"""),"コミットNG")</f>
        <v>コミットNG</v>
      </c>
      <c r="S2499" s="67" t="str">
        <f>IFERROR(__xludf.DUMMYFUNCTION("""COMPUTED_VALUE"""),"20241125_ハーパーコリンズ・ジャパン_月夜のミシン工房【分冊版】")</f>
        <v>20241125_ハーパーコリンズ・ジャパン_月夜のミシン工房【分冊版】</v>
      </c>
      <c r="T2499" s="67" t="str">
        <f>IFERROR(__xludf.DUMMYFUNCTION("""COMPUTED_VALUE"""),"格納済み")</f>
        <v>格納済み</v>
      </c>
      <c r="U2499" s="15" t="str">
        <f>IFERROR(__xludf.DUMMYFUNCTION("""COMPUTED_VALUE"""),"（C)伊藤 悶／ハーパーコリンズ・ジャパン")</f>
        <v>（C)伊藤 悶／ハーパーコリンズ・ジャパン</v>
      </c>
      <c r="V2499" s="8" t="str">
        <f>IFERROR(__xludf.DUMMYFUNCTION("""COMPUTED_VALUE"""),"足踏みミシンが時を越えて、奇跡を起こす摩訶不思議恋物語
オーダーメイドの仕立て屋を目指していた美緒は、人並みはずれて不器用なばっかりに夢破れ、今はコールセンターで働いている。満月なのにあやしい雷鳴が轟く夜、ドーンという大音響とともに突然目の前に現れたのはレガムという古めかしい服を着た男。はるか昔から飛ばされてきたという彼と引き換えに、幼なじみの幸司はなぜかミシンの中に入ってしまい…!?")</f>
        <v>足踏みミシンが時を越えて、奇跡を起こす摩訶不思議恋物語
オーダーメイドの仕立て屋を目指していた美緒は、人並みはずれて不器用なばっかりに夢破れ、今はコールセンターで働いている。満月なのにあやしい雷鳴が轟く夜、ドーンという大音響とともに突然目の前に現れたのはレガムという古めかしい服を着た男。はるか昔から飛ばされてきたという彼と引き換えに、幼なじみの幸司はなぜかミシンの中に入ってしまい…!?</v>
      </c>
      <c r="W2499" s="14"/>
      <c r="X2499" s="14" t="str">
        <f>IFERROR(__xludf.DUMMYFUNCTION("""COMPUTED_VALUE"""),"有")</f>
        <v>有</v>
      </c>
      <c r="Y2499" s="8" t="str">
        <f>IFERROR(__xludf.DUMMYFUNCTION("""COMPUTED_VALUE"""),"2025/1/23まで1巻無料")</f>
        <v>2025/1/23まで1巻無料</v>
      </c>
      <c r="Z2499" s="7"/>
      <c r="AA2499" s="7"/>
      <c r="AB2499" s="7"/>
    </row>
    <row r="2500" ht="15.75" customHeight="1">
      <c r="A2500" s="76">
        <f>IFERROR(__xludf.DUMMYFUNCTION("""COMPUTED_VALUE"""),4504.0)</f>
        <v>4504</v>
      </c>
      <c r="B2500" s="69" t="str">
        <f>IFERROR(__xludf.DUMMYFUNCTION("""COMPUTED_VALUE"""),"確定")</f>
        <v>確定</v>
      </c>
      <c r="C2500" s="74">
        <f>IFERROR(__xludf.DUMMYFUNCTION("""COMPUTED_VALUE"""),45608.0)</f>
        <v>45608</v>
      </c>
      <c r="D2500" s="74">
        <f>IFERROR(__xludf.DUMMYFUNCTION("""COMPUTED_VALUE"""),45622.0)</f>
        <v>45622</v>
      </c>
      <c r="E2500" s="112">
        <f>IFERROR(__xludf.DUMMYFUNCTION("""COMPUTED_VALUE"""),311260.0)</f>
        <v>311260</v>
      </c>
      <c r="F2500" s="119" t="str">
        <f>IFERROR(__xludf.DUMMYFUNCTION("""COMPUTED_VALUE"""),"溺愛フライトプラン")</f>
        <v>溺愛フライトプラン</v>
      </c>
      <c r="G2500" s="69" t="str">
        <f>IFERROR(__xludf.DUMMYFUNCTION("""COMPUTED_VALUE"""),"1～2")</f>
        <v>1～2</v>
      </c>
      <c r="H2500" s="69" t="str">
        <f>IFERROR(__xludf.DUMMYFUNCTION("""COMPUTED_VALUE"""),"宮野川ゆきたろ")</f>
        <v>宮野川ゆきたろ</v>
      </c>
      <c r="I2500" s="69" t="str">
        <f>IFERROR(__xludf.DUMMYFUNCTION("""COMPUTED_VALUE"""),"BL")</f>
        <v>BL</v>
      </c>
      <c r="J2500" s="67"/>
      <c r="K2500" s="67" t="str">
        <f>IFERROR(__xludf.DUMMYFUNCTION("""COMPUTED_VALUE"""),"NuPu")</f>
        <v>NuPu</v>
      </c>
      <c r="L2500" s="67" t="str">
        <f>IFERROR(__xludf.DUMMYFUNCTION("""COMPUTED_VALUE"""),"CLLENN")</f>
        <v>CLLENN</v>
      </c>
      <c r="M2500" s="23">
        <f>IFERROR(__xludf.DUMMYFUNCTION("""COMPUTED_VALUE"""),45659.0)</f>
        <v>45659</v>
      </c>
      <c r="N2500" s="23">
        <f>IFERROR(__xludf.DUMMYFUNCTION("""COMPUTED_VALUE"""),45721.0)</f>
        <v>45721</v>
      </c>
      <c r="O2500" s="67"/>
      <c r="P2500" s="70" t="str">
        <f>IFERROR(__xludf.DUMMYFUNCTION("""COMPUTED_VALUE"""),"可")</f>
        <v>可</v>
      </c>
      <c r="Q2500" s="67" t="str">
        <f>IFERROR(__xludf.DUMMYFUNCTION("""COMPUTED_VALUE"""),"【出版社よりコメント】BLと一般（大島幸也名義）で活躍中の作家さんです。&lt;BR&gt;爆モテイケメン同期と交際経験0のピュア受けの溺愛フライトラブ作品です。&lt;BR&gt;受けの泣き顔や、攻めのイケ顔アップなど、広告で惹きになりそうなコマもありますのでご検討お願いいたします。")</f>
        <v>【出版社よりコメント】BLと一般（大島幸也名義）で活躍中の作家さんです。&lt;BR&gt;爆モテイケメン同期と交際経験0のピュア受けの溺愛フライトラブ作品です。&lt;BR&gt;受けの泣き顔や、攻めのイケ顔アップなど、広告で惹きになりそうなコマもありますのでご検討お願いいたします。</v>
      </c>
      <c r="R2500" s="67" t="str">
        <f>IFERROR(__xludf.DUMMYFUNCTION("""COMPUTED_VALUE"""),"コミットOK")</f>
        <v>コミットOK</v>
      </c>
      <c r="S2500" s="67" t="str">
        <f>IFERROR(__xludf.DUMMYFUNCTION("""COMPUTED_VALUE"""),"20241125_CLLENN_溺愛フライトプラン")</f>
        <v>20241125_CLLENN_溺愛フライトプラン</v>
      </c>
      <c r="T2500" s="67" t="str">
        <f>IFERROR(__xludf.DUMMYFUNCTION("""COMPUTED_VALUE"""),"格納済み")</f>
        <v>格納済み</v>
      </c>
      <c r="U2500" s="15" t="str">
        <f>IFERROR(__xludf.DUMMYFUNCTION("""COMPUTED_VALUE"""),"(C)宮野川ゆきたろ/CLLENN")</f>
        <v>(C)宮野川ゆきたろ/CLLENN</v>
      </c>
      <c r="V2500" s="8" t="str">
        <f>IFERROR(__xludf.DUMMYFUNCTION("""COMPUTED_VALUE"""),"「嫌なこと忘れられるくらい気持ちよくするから」熱い手でお互いのモノが擦れるたびに、いやらしい水音が重なる。初めての感覚に乱されて――CAの氷鋏（ひばさみ）は、超奥手ゆえになかなか告白できず、成就しない恋愛を繰り返していた。後輩への失恋を機に、殻を破ろうとゲイバーに赴くが……そこには同期で激モテイケメンパイロットの紙枝（かみえだ）がいて!?思惑がバレた勢いで失恋の痛みをぶつけたら、なぜか紙枝とキスをすることに！優しく濃厚な口づけに身も心もとろけていく…抱きしめられた腕の中が心地良いけど、この恋も叶わないから"&amp;"、好きになっちゃいけないんだ……イケメンパイロット×奥手なCAの甘いフライトが始まる！")</f>
        <v>「嫌なこと忘れられるくらい気持ちよくするから」熱い手でお互いのモノが擦れるたびに、いやらしい水音が重なる。初めての感覚に乱されて――CAの氷鋏（ひばさみ）は、超奥手ゆえになかなか告白できず、成就しない恋愛を繰り返していた。後輩への失恋を機に、殻を破ろうとゲイバーに赴くが……そこには同期で激モテイケメンパイロットの紙枝（かみえだ）がいて!?思惑がバレた勢いで失恋の痛みをぶつけたら、なぜか紙枝とキスをすることに！優しく濃厚な口づけに身も心もとろけていく…抱きしめられた腕の中が心地良いけど、この恋も叶わないから、好きになっちゃいけないんだ……イケメンパイロット×奥手なCAの甘いフライトが始まる！</v>
      </c>
      <c r="W2500" s="14"/>
      <c r="X2500" s="14" t="str">
        <f>IFERROR(__xludf.DUMMYFUNCTION("""COMPUTED_VALUE"""),"有")</f>
        <v>有</v>
      </c>
      <c r="Y2500" s="8" t="str">
        <f>IFERROR(__xludf.DUMMYFUNCTION("""COMPUTED_VALUE"""),"2025/1/15まで立ち読み増量P12まで")</f>
        <v>2025/1/15まで立ち読み増量P12まで</v>
      </c>
      <c r="Z2500" s="7"/>
      <c r="AA2500" s="7"/>
      <c r="AB2500" s="7"/>
    </row>
    <row r="2501" ht="15.75" customHeight="1">
      <c r="A2501" s="76">
        <f>IFERROR(__xludf.DUMMYFUNCTION("""COMPUTED_VALUE"""),4506.0)</f>
        <v>4506</v>
      </c>
      <c r="B2501" s="69" t="str">
        <f>IFERROR(__xludf.DUMMYFUNCTION("""COMPUTED_VALUE"""),"確定")</f>
        <v>確定</v>
      </c>
      <c r="C2501" s="74">
        <f>IFERROR(__xludf.DUMMYFUNCTION("""COMPUTED_VALUE"""),45608.0)</f>
        <v>45608</v>
      </c>
      <c r="D2501" s="74">
        <f>IFERROR(__xludf.DUMMYFUNCTION("""COMPUTED_VALUE"""),45622.0)</f>
        <v>45622</v>
      </c>
      <c r="E2501" s="109">
        <f>IFERROR(__xludf.DUMMYFUNCTION("""COMPUTED_VALUE"""),317483.0)</f>
        <v>317483</v>
      </c>
      <c r="F2501" s="149" t="str">
        <f>IFERROR(__xludf.DUMMYFUNCTION("""COMPUTED_VALUE"""),"あなたの未練叶えます")</f>
        <v>あなたの未練叶えます</v>
      </c>
      <c r="G2501" s="69" t="str">
        <f>IFERROR(__xludf.DUMMYFUNCTION("""COMPUTED_VALUE"""),"1～2")</f>
        <v>1～2</v>
      </c>
      <c r="H2501" s="69" t="str">
        <f>IFERROR(__xludf.DUMMYFUNCTION("""COMPUTED_VALUE"""),"ハヅキハチ")</f>
        <v>ハヅキハチ</v>
      </c>
      <c r="I2501" s="69" t="str">
        <f>IFERROR(__xludf.DUMMYFUNCTION("""COMPUTED_VALUE"""),"BL")</f>
        <v>BL</v>
      </c>
      <c r="J2501" s="67"/>
      <c r="K2501" s="67" t="str">
        <f>IFERROR(__xludf.DUMMYFUNCTION("""COMPUTED_VALUE"""),"NuPu")</f>
        <v>NuPu</v>
      </c>
      <c r="L2501" s="67" t="str">
        <f>IFERROR(__xludf.DUMMYFUNCTION("""COMPUTED_VALUE"""),"CLLENN")</f>
        <v>CLLENN</v>
      </c>
      <c r="M2501" s="150">
        <f>IFERROR(__xludf.DUMMYFUNCTION("""COMPUTED_VALUE"""),45736.0)</f>
        <v>45736</v>
      </c>
      <c r="N2501" s="47">
        <f>IFERROR(__xludf.DUMMYFUNCTION("""COMPUTED_VALUE"""),45798.0)</f>
        <v>45798</v>
      </c>
      <c r="O2501" s="67"/>
      <c r="P2501" s="70" t="str">
        <f>IFERROR(__xludf.DUMMYFUNCTION("""COMPUTED_VALUE"""),"可")</f>
        <v>可</v>
      </c>
      <c r="Q2501" s="67" t="str">
        <f>IFERROR(__xludf.DUMMYFUNCTION("""COMPUTED_VALUE"""),"必要情報は配信から一ヶ月前目途に受領予定。
【出版社よりコメント】
商業デビューの作品となります。
霊媒能力持ち神主×慰霊碑を壊しちゃった裏垢男子が
行為で霊魂を浄化していくお話です。
テーマがはっきりとしており、行為シーン以外も充実しているため、出稿面の選択肢を広く持てるかなと考えております。")</f>
        <v>必要情報は配信から一ヶ月前目途に受領予定。
【出版社よりコメント】
商業デビューの作品となります。
霊媒能力持ち神主×慰霊碑を壊しちゃった裏垢男子が
行為で霊魂を浄化していくお話です。
テーマがはっきりとしており、行為シーン以外も充実しているため、出稿面の選択肢を広く持てるかなと考えております。</v>
      </c>
      <c r="R2501" s="67" t="str">
        <f>IFERROR(__xludf.DUMMYFUNCTION("""COMPUTED_VALUE"""),"コミットOK")</f>
        <v>コミットOK</v>
      </c>
      <c r="S2501" s="67" t="str">
        <f>IFERROR(__xludf.DUMMYFUNCTION("""COMPUTED_VALUE"""),"20241126_CLLENN_性癖成就！？～あなたの未練叶えます～")</f>
        <v>20241126_CLLENN_性癖成就！？～あなたの未練叶えます～</v>
      </c>
      <c r="T2501" s="67" t="str">
        <f>IFERROR(__xludf.DUMMYFUNCTION("""COMPUTED_VALUE"""),"格納済み")</f>
        <v>格納済み</v>
      </c>
      <c r="U2501" s="15" t="str">
        <f>IFERROR(__xludf.DUMMYFUNCTION("""COMPUTED_VALUE"""),"Ⓒハヅキハチ/CLLENN")</f>
        <v>Ⓒハヅキハチ/CLLENN</v>
      </c>
      <c r="V2501" s="8" t="str">
        <f>IFERROR(__xludf.DUMMYFUNCTION("""COMPUTED_VALUE"""),"「俺にできることならしてやりてえと思うんだよ――例えそれが特殊なプレイでも…！」霊媒神主×裏アカビッチ男子、えっちなお清めプレイで悪霊退散！！裏アカ男子の月（ルナ）は、しつこいワンナイト相手から逃れるため神社に忍びこみ、小さな石碑を壊してしまう。実はその石碑には“やり残した特殊プレイがある”という、えっちな未練を抱えた霊魂たちが祀られていた…！封印が解けてこのままでは怨霊が世に放たれてしまう、そうなる前に霊魂を浄化しなければ――。神主であり霊媒能力がある陽介（ようすけ）は自身に霊を憑依させ、月と共にえっち"&amp;"なプレイをして霊の望みを叶えることに！？")</f>
        <v>「俺にできることならしてやりてえと思うんだよ――例えそれが特殊なプレイでも…！」霊媒神主×裏アカビッチ男子、えっちなお清めプレイで悪霊退散！！裏アカ男子の月（ルナ）は、しつこいワンナイト相手から逃れるため神社に忍びこみ、小さな石碑を壊してしまう。実はその石碑には“やり残した特殊プレイがある”という、えっちな未練を抱えた霊魂たちが祀られていた…！封印が解けてこのままでは怨霊が世に放たれてしまう、そうなる前に霊魂を浄化しなければ――。神主であり霊媒能力がある陽介（ようすけ）は自身に霊を憑依させ、月と共にえっちなプレイをして霊の望みを叶えることに！？</v>
      </c>
      <c r="W2501" s="14"/>
      <c r="X2501" s="14" t="str">
        <f>IFERROR(__xludf.DUMMYFUNCTION("""COMPUTED_VALUE"""),"有")</f>
        <v>有</v>
      </c>
      <c r="Y2501" s="8" t="str">
        <f>IFERROR(__xludf.DUMMYFUNCTION("""COMPUTED_VALUE"""),"2025/4/2まで1巻立ち読み増量（P15まで）")</f>
        <v>2025/4/2まで1巻立ち読み増量（P15まで）</v>
      </c>
      <c r="Z2501" s="7"/>
      <c r="AA2501" s="7"/>
      <c r="AB2501" s="7"/>
    </row>
    <row r="2502" ht="15.75" customHeight="1">
      <c r="A2502" s="76">
        <f>IFERROR(__xludf.DUMMYFUNCTION("""COMPUTED_VALUE"""),4511.0)</f>
        <v>4511</v>
      </c>
      <c r="B2502" s="69" t="str">
        <f>IFERROR(__xludf.DUMMYFUNCTION("""COMPUTED_VALUE"""),"確定")</f>
        <v>確定</v>
      </c>
      <c r="C2502" s="74">
        <f>IFERROR(__xludf.DUMMYFUNCTION("""COMPUTED_VALUE"""),45610.0)</f>
        <v>45610</v>
      </c>
      <c r="D2502" s="74">
        <f>IFERROR(__xludf.DUMMYFUNCTION("""COMPUTED_VALUE"""),45621.0)</f>
        <v>45621</v>
      </c>
      <c r="E2502" s="112">
        <f>IFERROR(__xludf.DUMMYFUNCTION("""COMPUTED_VALUE"""),310444.0)</f>
        <v>310444</v>
      </c>
      <c r="F2502" s="119" t="str">
        <f>IFERROR(__xludf.DUMMYFUNCTION("""COMPUTED_VALUE"""),"終端街の昇降機守")</f>
        <v>終端街の昇降機守</v>
      </c>
      <c r="G2502" s="69" t="str">
        <f>IFERROR(__xludf.DUMMYFUNCTION("""COMPUTED_VALUE"""),"1～6")</f>
        <v>1～6</v>
      </c>
      <c r="H2502" s="69" t="str">
        <f>IFERROR(__xludf.DUMMYFUNCTION("""COMPUTED_VALUE"""),"結月さくら┴グルナ編集部")</f>
        <v>結月さくら┴グルナ編集部</v>
      </c>
      <c r="I2502" s="69" t="str">
        <f>IFERROR(__xludf.DUMMYFUNCTION("""COMPUTED_VALUE"""),"女性")</f>
        <v>女性</v>
      </c>
      <c r="J2502" s="87"/>
      <c r="K2502" s="87"/>
      <c r="L2502" s="67" t="str">
        <f>IFERROR(__xludf.DUMMYFUNCTION("""COMPUTED_VALUE"""),"ライブコミックス")</f>
        <v>ライブコミックス</v>
      </c>
      <c r="M2502" s="23">
        <f>IFERROR(__xludf.DUMMYFUNCTION("""COMPUTED_VALUE"""),45667.0)</f>
        <v>45667</v>
      </c>
      <c r="N2502" s="23">
        <f>IFERROR(__xludf.DUMMYFUNCTION("""COMPUTED_VALUE"""),45743.0)</f>
        <v>45743</v>
      </c>
      <c r="O2502" s="67"/>
      <c r="P2502" s="70" t="str">
        <f>IFERROR(__xludf.DUMMYFUNCTION("""COMPUTED_VALUE"""),"可")</f>
        <v>可</v>
      </c>
      <c r="Q2502" s="67" t="str">
        <f>IFERROR(__xludf.DUMMYFUNCTION("""COMPUTED_VALUE"""),"書店BookLiveからの二次先行です。&lt;BR&gt;素材は1~5巻分で検討＆制作お願いします。")</f>
        <v>書店BookLiveからの二次先行です。&lt;BR&gt;素材は1~5巻分で検討＆制作お願いします。</v>
      </c>
      <c r="R2502" s="67" t="str">
        <f>IFERROR(__xludf.DUMMYFUNCTION("""COMPUTED_VALUE"""),"コミットOK")</f>
        <v>コミットOK</v>
      </c>
      <c r="S2502" s="67" t="str">
        <f>IFERROR(__xludf.DUMMYFUNCTION("""COMPUTED_VALUE"""),"20241114_BookLive_終端街の昇降機守")</f>
        <v>20241114_BookLive_終端街の昇降機守</v>
      </c>
      <c r="T2502" s="67" t="str">
        <f>IFERROR(__xludf.DUMMYFUNCTION("""COMPUTED_VALUE"""),"格納済み")</f>
        <v>格納済み</v>
      </c>
      <c r="U2502" s="15" t="str">
        <f>IFERROR(__xludf.DUMMYFUNCTION("""COMPUTED_VALUE"""),"Ⓒ結月さくら/ライブコミックス")</f>
        <v>Ⓒ結月さくら/ライブコミックス</v>
      </c>
      <c r="V2502" s="8" t="str">
        <f>IFERROR(__xludf.DUMMYFUNCTION("""COMPUTED_VALUE"""),"「死者の国へようこそ、お嬢さん」事故で命を落とした就活生のトアは、なぜか見知らぬエレベーターの中で目を覚ます。混乱するトアの到着を乗降場で待っていたのは、自らを“昇降機守”と名乗る謎の青年・トウカ。トウカは、トアが“次の世界”へ向かうためにはあることをしなければならないと語り……？自覚なき死者の生きる国“終端街”へようこそ――。結月さくらがいざなう、想い絡み合うヒューマン・ファンタジー。（第１話収録）")</f>
        <v>「死者の国へようこそ、お嬢さん」事故で命を落とした就活生のトアは、なぜか見知らぬエレベーターの中で目を覚ます。混乱するトアの到着を乗降場で待っていたのは、自らを“昇降機守”と名乗る謎の青年・トウカ。トウカは、トアが“次の世界”へ向かうためにはあることをしなければならないと語り……？自覚なき死者の生きる国“終端街”へようこそ――。結月さくらがいざなう、想い絡み合うヒューマン・ファンタジー。（第１話収録）</v>
      </c>
      <c r="W2502" s="14"/>
      <c r="X2502" s="14" t="str">
        <f>IFERROR(__xludf.DUMMYFUNCTION("""COMPUTED_VALUE"""),"有")</f>
        <v>有</v>
      </c>
      <c r="Y2502" s="8" t="str">
        <f>IFERROR(__xludf.DUMMYFUNCTION("""COMPUTED_VALUE"""),"2025/3/27まで1巻無料
2025/1/23まで立ち読み増量P20まで")</f>
        <v>2025/3/27まで1巻無料
2025/1/23まで立ち読み増量P20まで</v>
      </c>
      <c r="Z2502" s="7"/>
      <c r="AA2502" s="7"/>
      <c r="AB2502" s="7"/>
    </row>
    <row r="2503" ht="15.75" customHeight="1">
      <c r="A2503" s="76">
        <f>IFERROR(__xludf.DUMMYFUNCTION("""COMPUTED_VALUE"""),4512.0)</f>
        <v>4512</v>
      </c>
      <c r="B2503" s="69" t="str">
        <f>IFERROR(__xludf.DUMMYFUNCTION("""COMPUTED_VALUE"""),"確定")</f>
        <v>確定</v>
      </c>
      <c r="C2503" s="74">
        <f>IFERROR(__xludf.DUMMYFUNCTION("""COMPUTED_VALUE"""),45610.0)</f>
        <v>45610</v>
      </c>
      <c r="D2503" s="74">
        <f>IFERROR(__xludf.DUMMYFUNCTION("""COMPUTED_VALUE"""),45621.0)</f>
        <v>45621</v>
      </c>
      <c r="E2503" s="112">
        <f>IFERROR(__xludf.DUMMYFUNCTION("""COMPUTED_VALUE"""),310144.0)</f>
        <v>310144</v>
      </c>
      <c r="F2503" s="119" t="str">
        <f>IFERROR(__xludf.DUMMYFUNCTION("""COMPUTED_VALUE"""),"好きなら縛って？～絶対ない！と思ってた幼なじみに性癖暴かれちゃいました")</f>
        <v>好きなら縛って？～絶対ない！と思ってた幼なじみに性癖暴かれちゃいました</v>
      </c>
      <c r="G2503" s="69" t="str">
        <f>IFERROR(__xludf.DUMMYFUNCTION("""COMPUTED_VALUE"""),"1～3")</f>
        <v>1～3</v>
      </c>
      <c r="H2503" s="69" t="str">
        <f>IFERROR(__xludf.DUMMYFUNCTION("""COMPUTED_VALUE"""),"鳥生ヘリコ")</f>
        <v>鳥生ヘリコ</v>
      </c>
      <c r="I2503" s="69" t="str">
        <f>IFERROR(__xludf.DUMMYFUNCTION("""COMPUTED_VALUE"""),"TL")</f>
        <v>TL</v>
      </c>
      <c r="J2503" s="67"/>
      <c r="K2503" s="67" t="str">
        <f>IFERROR(__xludf.DUMMYFUNCTION("""COMPUTED_VALUE"""),"ズレット！")</f>
        <v>ズレット！</v>
      </c>
      <c r="L2503" s="67" t="str">
        <f>IFERROR(__xludf.DUMMYFUNCTION("""COMPUTED_VALUE"""),"ライブコミックス")</f>
        <v>ライブコミックス</v>
      </c>
      <c r="M2503" s="23">
        <f>IFERROR(__xludf.DUMMYFUNCTION("""COMPUTED_VALUE"""),45660.0)</f>
        <v>45660</v>
      </c>
      <c r="N2503" s="23">
        <f>IFERROR(__xludf.DUMMYFUNCTION("""COMPUTED_VALUE"""),45722.0)</f>
        <v>45722</v>
      </c>
      <c r="O2503" s="67"/>
      <c r="P2503" s="70" t="str">
        <f>IFERROR(__xludf.DUMMYFUNCTION("""COMPUTED_VALUE"""),"可")</f>
        <v>可</v>
      </c>
      <c r="Q2503" s="67" t="str">
        <f>IFERROR(__xludf.DUMMYFUNCTION("""COMPUTED_VALUE"""),"書店BookLiveとの2社先行です。")</f>
        <v>書店BookLiveとの2社先行です。</v>
      </c>
      <c r="R2503" s="67" t="str">
        <f>IFERROR(__xludf.DUMMYFUNCTION("""COMPUTED_VALUE"""),"コミットOK")</f>
        <v>コミットOK</v>
      </c>
      <c r="S2503" s="67" t="str">
        <f>IFERROR(__xludf.DUMMYFUNCTION("""COMPUTED_VALUE"""),"20241114_BookLive_好きなら縛って？～絶対ない！と思ってた幼なじみに性癖暴かれちゃいました")</f>
        <v>20241114_BookLive_好きなら縛って？～絶対ない！と思ってた幼なじみに性癖暴かれちゃいました</v>
      </c>
      <c r="T2503" s="67" t="str">
        <f>IFERROR(__xludf.DUMMYFUNCTION("""COMPUTED_VALUE"""),"格納済み")</f>
        <v>格納済み</v>
      </c>
      <c r="U2503" s="15" t="str">
        <f>IFERROR(__xludf.DUMMYFUNCTION("""COMPUTED_VALUE"""),"Ⓒ鳥生ヘリコ/ライブコミックス")</f>
        <v>Ⓒ鳥生ヘリコ/ライブコミックス</v>
      </c>
      <c r="V2503" s="8" t="str">
        <f>IFERROR(__xludf.DUMMYFUNCTION("""COMPUTED_VALUE"""),"「まさか、汐里がこんな性癖だっとはな」心も身体もぎゅっと縛られて、オクがきゅんきゅんしちゃう…っ。身動きが取れないまま、男友達にグズグズになるまで舐められて――。――長谷部（はせべ）汐里（しおり）は、仕事もプライベートも超ストイック。何事もきっちりこなしたいわけは、幼少期からの「束縛」願望があるからで…！？　いつか誰かに縛ってもらえないかなと、こっそり「なわ」を持ち歩いている。節制しがちな汐里のストレス発散は、幼なじみの琳太郎とグダグダ飲むこと☆　腐れ縁でなんでも言い合える男友達だけど、優しすぎてちょっと"&amp;"頼りない。そんなある日、酔っぱらってカバンの中身をぶちまけ…琳太郎にヒミツがばれてしまい！？　「俺が汐里を縛ってやるよ」首筋にかかる熱い息、肌をなぞる無骨な指先…！　いつも優しい琳太郎の、見たことないオスの顔にドキドキする――縛られて抵抗できない背徳感に、汐里の身体はどんどん気持ちよくなっちゃって…っ。一途で不器用な優男（筋肉質）×縛られたいムッツリOLの、幼なじみフェチばれラブコメ☆")</f>
        <v>「まさか、汐里がこんな性癖だっとはな」心も身体もぎゅっと縛られて、オクがきゅんきゅんしちゃう…っ。身動きが取れないまま、男友達にグズグズになるまで舐められて――。――長谷部（はせべ）汐里（しおり）は、仕事もプライベートも超ストイック。何事もきっちりこなしたいわけは、幼少期からの「束縛」願望があるからで…！？　いつか誰かに縛ってもらえないかなと、こっそり「なわ」を持ち歩いている。節制しがちな汐里のストレス発散は、幼なじみの琳太郎とグダグダ飲むこと☆　腐れ縁でなんでも言い合える男友達だけど、優しすぎてちょっと頼りない。そんなある日、酔っぱらってカバンの中身をぶちまけ…琳太郎にヒミツがばれてしまい！？　「俺が汐里を縛ってやるよ」首筋にかかる熱い息、肌をなぞる無骨な指先…！　いつも優しい琳太郎の、見たことないオスの顔にドキドキする――縛られて抵抗できない背徳感に、汐里の身体はどんどん気持ちよくなっちゃって…っ。一途で不器用な優男（筋肉質）×縛られたいムッツリOLの、幼なじみフェチばれラブコメ☆</v>
      </c>
      <c r="W2503" s="14"/>
      <c r="X2503" s="14" t="str">
        <f>IFERROR(__xludf.DUMMYFUNCTION("""COMPUTED_VALUE"""),"有")</f>
        <v>有</v>
      </c>
      <c r="Y2503" s="8" t="str">
        <f>IFERROR(__xludf.DUMMYFUNCTION("""COMPUTED_VALUE"""),"P5まで")</f>
        <v>P5まで</v>
      </c>
      <c r="Z2503" s="7"/>
      <c r="AA2503" s="7"/>
      <c r="AB2503" s="7"/>
    </row>
    <row r="2504" ht="15.75" customHeight="1">
      <c r="A2504" s="76">
        <f>IFERROR(__xludf.DUMMYFUNCTION("""COMPUTED_VALUE"""),4520.0)</f>
        <v>4520</v>
      </c>
      <c r="B2504" s="69" t="str">
        <f>IFERROR(__xludf.DUMMYFUNCTION("""COMPUTED_VALUE"""),"確定")</f>
        <v>確定</v>
      </c>
      <c r="C2504" s="74">
        <f>IFERROR(__xludf.DUMMYFUNCTION("""COMPUTED_VALUE"""),45614.0)</f>
        <v>45614</v>
      </c>
      <c r="D2504" s="74">
        <f>IFERROR(__xludf.DUMMYFUNCTION("""COMPUTED_VALUE"""),45623.0)</f>
        <v>45623</v>
      </c>
      <c r="E2504" s="112">
        <f>IFERROR(__xludf.DUMMYFUNCTION("""COMPUTED_VALUE"""),310937.0)</f>
        <v>310937</v>
      </c>
      <c r="F2504" s="119" t="str">
        <f>IFERROR(__xludf.DUMMYFUNCTION("""COMPUTED_VALUE"""),"こじらせ兄（※夫）が再プロポーズ！？ ～あの日助けた幼い兄妹が、怒濤の勢いで恩返ししてきます～")</f>
        <v>こじらせ兄（※夫）が再プロポーズ！？ ～あの日助けた幼い兄妹が、怒濤の勢いで恩返ししてきます～</v>
      </c>
      <c r="G2504" s="69" t="str">
        <f>IFERROR(__xludf.DUMMYFUNCTION("""COMPUTED_VALUE"""),"1～3")</f>
        <v>1～3</v>
      </c>
      <c r="H2504" s="69" t="str">
        <f>IFERROR(__xludf.DUMMYFUNCTION("""COMPUTED_VALUE"""),"原作：新高 作画：みんみぼうや キャラクターデザイン：羽おり")</f>
        <v>原作：新高 作画：みんみぼうや キャラクターデザイン：羽おり</v>
      </c>
      <c r="I2504" s="69" t="str">
        <f>IFERROR(__xludf.DUMMYFUNCTION("""COMPUTED_VALUE"""),"少女")</f>
        <v>少女</v>
      </c>
      <c r="J2504" s="67"/>
      <c r="K2504" s="67" t="str">
        <f>IFERROR(__xludf.DUMMYFUNCTION("""COMPUTED_VALUE"""),"株式会社Evolution")</f>
        <v>株式会社Evolution</v>
      </c>
      <c r="L2504" s="67" t="str">
        <f>IFERROR(__xludf.DUMMYFUNCTION("""COMPUTED_VALUE"""),"株式会社Evolution")</f>
        <v>株式会社Evolution</v>
      </c>
      <c r="M2504" s="23">
        <f>IFERROR(__xludf.DUMMYFUNCTION("""COMPUTED_VALUE"""),45660.0)</f>
        <v>45660</v>
      </c>
      <c r="N2504" s="47">
        <f>IFERROR(__xludf.DUMMYFUNCTION("""COMPUTED_VALUE"""),45687.0)</f>
        <v>45687</v>
      </c>
      <c r="O2504" s="67"/>
      <c r="P2504" s="71" t="str">
        <f>IFERROR(__xludf.DUMMYFUNCTION("""COMPUTED_VALUE"""),"否")</f>
        <v>否</v>
      </c>
      <c r="Q2504" s="67"/>
      <c r="R2504" s="67" t="str">
        <f>IFERROR(__xludf.DUMMYFUNCTION("""COMPUTED_VALUE"""),"コミットOK")</f>
        <v>コミットOK</v>
      </c>
      <c r="S2504" s="67" t="str">
        <f>IFERROR(__xludf.DUMMYFUNCTION("""COMPUTED_VALUE"""),"20241126_株式会社Evolution_こじらせ兄（※夫）が再プロポーズ! ～あの日助けた幼い兄妹が、怒濤の勢いで恩返ししてきます～")</f>
        <v>20241126_株式会社Evolution_こじらせ兄（※夫）が再プロポーズ! ～あの日助けた幼い兄妹が、怒濤の勢いで恩返ししてきます～</v>
      </c>
      <c r="T2504" s="67" t="str">
        <f>IFERROR(__xludf.DUMMYFUNCTION("""COMPUTED_VALUE"""),"格納済み")</f>
        <v>格納済み</v>
      </c>
      <c r="U2504" s="15" t="str">
        <f>IFERROR(__xludf.DUMMYFUNCTION("""COMPUTED_VALUE"""),"© 新高/みんみぼうや/羽おり/EVOパブリッシング")</f>
        <v>© 新高/みんみぼうや/羽おり/EVOパブリッシング</v>
      </c>
      <c r="V2504" s="8" t="str">
        <f>IFERROR(__xludf.DUMMYFUNCTION("""COMPUTED_VALUE"""),"「――あああああああああ怖っ!! 嘘でしょ怖い！ 貴族怖すぎなんですけどおおおおおっ!!」衝撃の事実を聞き、レナは堪らず叫んだ。国内でも人気の若きドレス職人であるレナ・シュナイダーはお得意様のアネッテ夫人に勧められ渋々お見合いをすることに。お見合い相手のエリアス伯爵令息に会うとまさかの15歳・未成年!? さらにはお見合いという名の「身売り」を兄妹共に義両親から強いられているという、衝撃的な事実を目の当たりにしてしまう！ 彼らを保護するため契約上エリアスと結婚し、兄妹を引き取ることにしたレナ。成人するまで彼"&amp;"らを保護し、エリアスの婚期が来たら離婚しようとしていたはずが――!?")</f>
        <v>「――あああああああああ怖っ!! 嘘でしょ怖い！ 貴族怖すぎなんですけどおおおおおっ!!」衝撃の事実を聞き、レナは堪らず叫んだ。国内でも人気の若きドレス職人であるレナ・シュナイダーはお得意様のアネッテ夫人に勧められ渋々お見合いをすることに。お見合い相手のエリアス伯爵令息に会うとまさかの15歳・未成年!? さらにはお見合いという名の「身売り」を兄妹共に義両親から強いられているという、衝撃的な事実を目の当たりにしてしまう！ 彼らを保護するため契約上エリアスと結婚し、兄妹を引き取ることにしたレナ。成人するまで彼らを保護し、エリアスの婚期が来たら離婚しようとしていたはずが――!?</v>
      </c>
      <c r="W2504" s="14"/>
      <c r="X2504" s="14" t="str">
        <f>IFERROR(__xludf.DUMMYFUNCTION("""COMPUTED_VALUE"""),"有")</f>
        <v>有</v>
      </c>
      <c r="Y2504" s="8" t="str">
        <f>IFERROR(__xludf.DUMMYFUNCTION("""COMPUTED_VALUE"""),"2025/1/30まで1巻無料")</f>
        <v>2025/1/30まで1巻無料</v>
      </c>
      <c r="Z2504" s="7"/>
      <c r="AA2504" s="7"/>
      <c r="AB2504" s="7"/>
    </row>
    <row r="2505" ht="15.75" customHeight="1">
      <c r="A2505" s="76">
        <f>IFERROR(__xludf.DUMMYFUNCTION("""COMPUTED_VALUE"""),4530.0)</f>
        <v>4530</v>
      </c>
      <c r="B2505" s="69" t="str">
        <f>IFERROR(__xludf.DUMMYFUNCTION("""COMPUTED_VALUE"""),"確定")</f>
        <v>確定</v>
      </c>
      <c r="C2505" s="74">
        <f>IFERROR(__xludf.DUMMYFUNCTION("""COMPUTED_VALUE"""),45616.0)</f>
        <v>45616</v>
      </c>
      <c r="D2505" s="74">
        <f>IFERROR(__xludf.DUMMYFUNCTION("""COMPUTED_VALUE"""),45622.0)</f>
        <v>45622</v>
      </c>
      <c r="E2505" s="112">
        <f>IFERROR(__xludf.DUMMYFUNCTION("""COMPUTED_VALUE"""),308609.0)</f>
        <v>308609</v>
      </c>
      <c r="F2505" s="119" t="str">
        <f>IFERROR(__xludf.DUMMYFUNCTION("""COMPUTED_VALUE"""),"運命の恋シバ")</f>
        <v>運命の恋シバ</v>
      </c>
      <c r="G2505" s="69" t="str">
        <f>IFERROR(__xludf.DUMMYFUNCTION("""COMPUTED_VALUE"""),"1～3")</f>
        <v>1～3</v>
      </c>
      <c r="H2505" s="69" t="str">
        <f>IFERROR(__xludf.DUMMYFUNCTION("""COMPUTED_VALUE"""),"羽毛")</f>
        <v>羽毛</v>
      </c>
      <c r="I2505" s="69" t="str">
        <f>IFERROR(__xludf.DUMMYFUNCTION("""COMPUTED_VALUE"""),"BL")</f>
        <v>BL</v>
      </c>
      <c r="J2505" s="67"/>
      <c r="K2505" s="67" t="str">
        <f>IFERROR(__xludf.DUMMYFUNCTION("""COMPUTED_VALUE"""),"Tulle")</f>
        <v>Tulle</v>
      </c>
      <c r="L2505" s="67" t="str">
        <f>IFERROR(__xludf.DUMMYFUNCTION("""COMPUTED_VALUE"""),"ブライト出版")</f>
        <v>ブライト出版</v>
      </c>
      <c r="M2505" s="85">
        <f>IFERROR(__xludf.DUMMYFUNCTION("""COMPUTED_VALUE"""),45640.0)</f>
        <v>45640</v>
      </c>
      <c r="N2505" s="47">
        <f>IFERROR(__xludf.DUMMYFUNCTION("""COMPUTED_VALUE"""),45730.0)</f>
        <v>45730</v>
      </c>
      <c r="O2505" s="67"/>
      <c r="P2505" s="70" t="str">
        <f>IFERROR(__xludf.DUMMYFUNCTION("""COMPUTED_VALUE"""),"可")</f>
        <v>可</v>
      </c>
      <c r="Q2505" s="67" t="str">
        <f>IFERROR(__xludf.DUMMYFUNCTION("""COMPUTED_VALUE"""),"先行期間3カ月ですので配信日難しくても移行で出していただけると幸いです。")</f>
        <v>先行期間3カ月ですので配信日難しくても移行で出していただけると幸いです。</v>
      </c>
      <c r="R2505" s="67" t="str">
        <f>IFERROR(__xludf.DUMMYFUNCTION("""COMPUTED_VALUE"""),"コミットOK")</f>
        <v>コミットOK</v>
      </c>
      <c r="S2505" s="67" t="str">
        <f>IFERROR(__xludf.DUMMYFUNCTION("""COMPUTED_VALUE"""),"20241120_一晃社_ 運命の恋シバ")</f>
        <v>20241120_一晃社_ 運命の恋シバ</v>
      </c>
      <c r="T2505" s="67" t="str">
        <f>IFERROR(__xludf.DUMMYFUNCTION("""COMPUTED_VALUE"""),"格納済み")</f>
        <v>格納済み</v>
      </c>
      <c r="U2505" s="15" t="str">
        <f>IFERROR(__xludf.DUMMYFUNCTION("""COMPUTED_VALUE"""),"(C)羽毛/ブライト出版")</f>
        <v>(C)羽毛/ブライト出版</v>
      </c>
      <c r="V2505" s="8" t="str">
        <f>IFERROR(__xludf.DUMMYFUNCTION("""COMPUTED_VALUE"""),"「僕と番になれば毎日モフり放題ですよ」先祖返りαからの求愛はもっふもふ！Ωでありながら発情期なし184センチの長躯を持つ神戸 蓮（かんべ れん）。Ωらしさとは無縁の毎日を過ごしていたが、ある日αの芦名 北斗（あしな ほくと）から熱烈に告白される。芦名は先祖返りという特殊な体質を持つαで、常人が持ち得ない特殊な能力を持つ代わりに、疲れるとシバ犬になってしまう。神戸は芦名からの突然の求愛に戸惑いを隠せないが、愛くるしいシバ犬姿に抗いきれなくて…オメガバースだけど治安は良好！シバ犬に絆されて癒される溺愛オメガバ"&amp;"ース！")</f>
        <v>「僕と番になれば毎日モフり放題ですよ」先祖返りαからの求愛はもっふもふ！Ωでありながら発情期なし184センチの長躯を持つ神戸 蓮（かんべ れん）。Ωらしさとは無縁の毎日を過ごしていたが、ある日αの芦名 北斗（あしな ほくと）から熱烈に告白される。芦名は先祖返りという特殊な体質を持つαで、常人が持ち得ない特殊な能力を持つ代わりに、疲れるとシバ犬になってしまう。神戸は芦名からの突然の求愛に戸惑いを隠せないが、愛くるしいシバ犬姿に抗いきれなくて…オメガバースだけど治安は良好！シバ犬に絆されて癒される溺愛オメガバース！</v>
      </c>
      <c r="W2505" s="14"/>
      <c r="X2505" s="14" t="str">
        <f>IFERROR(__xludf.DUMMYFUNCTION("""COMPUTED_VALUE"""),"有")</f>
        <v>有</v>
      </c>
      <c r="Y2505" s="8" t="str">
        <f>IFERROR(__xludf.DUMMYFUNCTION("""COMPUTED_VALUE"""),"P9まで")</f>
        <v>P9まで</v>
      </c>
      <c r="Z2505" s="7"/>
      <c r="AA2505" s="7"/>
      <c r="AB2505" s="7"/>
    </row>
    <row r="2506" ht="15.75" customHeight="1">
      <c r="A2506" s="76">
        <f>IFERROR(__xludf.DUMMYFUNCTION("""COMPUTED_VALUE"""),4531.0)</f>
        <v>4531</v>
      </c>
      <c r="B2506" s="69" t="str">
        <f>IFERROR(__xludf.DUMMYFUNCTION("""COMPUTED_VALUE"""),"確定")</f>
        <v>確定</v>
      </c>
      <c r="C2506" s="74">
        <f>IFERROR(__xludf.DUMMYFUNCTION("""COMPUTED_VALUE"""),45616.0)</f>
        <v>45616</v>
      </c>
      <c r="D2506" s="74">
        <f>IFERROR(__xludf.DUMMYFUNCTION("""COMPUTED_VALUE"""),45622.0)</f>
        <v>45622</v>
      </c>
      <c r="E2506" s="112">
        <f>IFERROR(__xludf.DUMMYFUNCTION("""COMPUTED_VALUE"""),308786.0)</f>
        <v>308786</v>
      </c>
      <c r="F2506" s="119" t="str">
        <f>IFERROR(__xludf.DUMMYFUNCTION("""COMPUTED_VALUE"""),"【ラブチーク】教育係は容赦がない～感じの悪いイケメン上司と不感症OLの耽溺性交治療～")</f>
        <v>【ラブチーク】教育係は容赦がない～感じの悪いイケメン上司と不感症OLの耽溺性交治療～</v>
      </c>
      <c r="G2506" s="69" t="str">
        <f>IFERROR(__xludf.DUMMYFUNCTION("""COMPUTED_VALUE"""),"1～3")</f>
        <v>1～3</v>
      </c>
      <c r="H2506" s="69" t="str">
        <f>IFERROR(__xludf.DUMMYFUNCTION("""COMPUTED_VALUE"""),"梓沢あこ")</f>
        <v>梓沢あこ</v>
      </c>
      <c r="I2506" s="69" t="str">
        <f>IFERROR(__xludf.DUMMYFUNCTION("""COMPUTED_VALUE"""),"TL")</f>
        <v>TL</v>
      </c>
      <c r="J2506" s="67"/>
      <c r="K2506" s="67" t="str">
        <f>IFERROR(__xludf.DUMMYFUNCTION("""COMPUTED_VALUE"""),"ラブチーク")</f>
        <v>ラブチーク</v>
      </c>
      <c r="L2506" s="67" t="str">
        <f>IFERROR(__xludf.DUMMYFUNCTION("""COMPUTED_VALUE"""),"ブライト出版")</f>
        <v>ブライト出版</v>
      </c>
      <c r="M2506" s="85">
        <f>IFERROR(__xludf.DUMMYFUNCTION("""COMPUTED_VALUE"""),45644.0)</f>
        <v>45644</v>
      </c>
      <c r="N2506" s="23">
        <f>IFERROR(__xludf.DUMMYFUNCTION("""COMPUTED_VALUE"""),45747.0)</f>
        <v>45747</v>
      </c>
      <c r="O2506" s="67"/>
      <c r="P2506" s="70" t="str">
        <f>IFERROR(__xludf.DUMMYFUNCTION("""COMPUTED_VALUE"""),"可")</f>
        <v>可</v>
      </c>
      <c r="Q2506" s="67" t="str">
        <f>IFERROR(__xludf.DUMMYFUNCTION("""COMPUTED_VALUE"""),"先行期間3カ月以上ですので配信日難しくても付近からで出していただけると幸いです。")</f>
        <v>先行期間3カ月以上ですので配信日難しくても付近からで出していただけると幸いです。</v>
      </c>
      <c r="R2506" s="67" t="str">
        <f>IFERROR(__xludf.DUMMYFUNCTION("""COMPUTED_VALUE"""),"コミットOK")</f>
        <v>コミットOK</v>
      </c>
      <c r="S2506" s="67" t="str">
        <f>IFERROR(__xludf.DUMMYFUNCTION("""COMPUTED_VALUE"""),"20241120_一晃社_教育係は容赦がない～感じの悪いイケメン上司と不感症OLの耽溺性交治療～")</f>
        <v>20241120_一晃社_教育係は容赦がない～感じの悪いイケメン上司と不感症OLの耽溺性交治療～</v>
      </c>
      <c r="T2506" s="67" t="str">
        <f>IFERROR(__xludf.DUMMYFUNCTION("""COMPUTED_VALUE"""),"格納済み")</f>
        <v>格納済み</v>
      </c>
      <c r="U2506" s="15" t="str">
        <f>IFERROR(__xludf.DUMMYFUNCTION("""COMPUTED_VALUE"""),"(C)梓沢あこ／ブライト出版")</f>
        <v>(C)梓沢あこ／ブライト出版</v>
      </c>
      <c r="V2506" s="8" t="str">
        <f>IFERROR(__xludf.DUMMYFUNCTION("""COMPUTED_VALUE"""),"「ちゃんと気持ちよくなってるじゃん」不感症に悩むOLの夏下 初乃（なつもと はつの）。誰にも打ち明けることができずにいたが、SNSで悩み相談を受けているEDの男性に思い切ってDMを送ってみた。しかしその男性は職場の先輩・折原 冬冴（おりはら とうご）で！？あのモテモテで仕事のできる折原さんがED…男の「オレ上手いよ」はもう信じないって決めてたけど、有言実行・完璧主義の折原さんに「気持ちいい体験してみるか？」なんて色気たっぷりに言われたらーー！")</f>
        <v>「ちゃんと気持ちよくなってるじゃん」不感症に悩むOLの夏下 初乃（なつもと はつの）。誰にも打ち明けることができずにいたが、SNSで悩み相談を受けているEDの男性に思い切ってDMを送ってみた。しかしその男性は職場の先輩・折原 冬冴（おりはら とうご）で！？あのモテモテで仕事のできる折原さんがED…男の「オレ上手いよ」はもう信じないって決めてたけど、有言実行・完璧主義の折原さんに「気持ちいい体験してみるか？」なんて色気たっぷりに言われたらーー！</v>
      </c>
      <c r="W2506" s="14"/>
      <c r="X2506" s="14" t="str">
        <f>IFERROR(__xludf.DUMMYFUNCTION("""COMPUTED_VALUE"""),"有")</f>
        <v>有</v>
      </c>
      <c r="Y2506" s="8" t="str">
        <f>IFERROR(__xludf.DUMMYFUNCTION("""COMPUTED_VALUE"""),"2024/12/31まで1巻無料")</f>
        <v>2024/12/31まで1巻無料</v>
      </c>
      <c r="Z2506" s="7"/>
      <c r="AA2506" s="7"/>
      <c r="AB2506" s="7"/>
    </row>
    <row r="2507" ht="15.75" customHeight="1">
      <c r="A2507" s="76">
        <f>IFERROR(__xludf.DUMMYFUNCTION("""COMPUTED_VALUE"""),4556.0)</f>
        <v>4556</v>
      </c>
      <c r="B2507" s="69" t="str">
        <f>IFERROR(__xludf.DUMMYFUNCTION("""COMPUTED_VALUE"""),"確定")</f>
        <v>確定</v>
      </c>
      <c r="C2507" s="74">
        <f>IFERROR(__xludf.DUMMYFUNCTION("""COMPUTED_VALUE"""),45621.0)</f>
        <v>45621</v>
      </c>
      <c r="D2507" s="74">
        <f>IFERROR(__xludf.DUMMYFUNCTION("""COMPUTED_VALUE"""),45622.0)</f>
        <v>45622</v>
      </c>
      <c r="E2507" s="116">
        <f>IFERROR(__xludf.DUMMYFUNCTION("""COMPUTED_VALUE"""),263627.0)</f>
        <v>263627</v>
      </c>
      <c r="F2507" s="119" t="str">
        <f>IFERROR(__xludf.DUMMYFUNCTION("""COMPUTED_VALUE"""),"オジサマと甘熟交際、はじめます。")</f>
        <v>オジサマと甘熟交際、はじめます。</v>
      </c>
      <c r="G2507" s="69" t="str">
        <f>IFERROR(__xludf.DUMMYFUNCTION("""COMPUTED_VALUE"""),"1～3")</f>
        <v>1～3</v>
      </c>
      <c r="H2507" s="69" t="str">
        <f>IFERROR(__xludf.DUMMYFUNCTION("""COMPUTED_VALUE"""),"Remi")</f>
        <v>Remi</v>
      </c>
      <c r="I2507" s="69" t="str">
        <f>IFERROR(__xludf.DUMMYFUNCTION("""COMPUTED_VALUE"""),"女性マンガ")</f>
        <v>女性マンガ</v>
      </c>
      <c r="J2507" s="67"/>
      <c r="K2507" s="67" t="str">
        <f>IFERROR(__xludf.DUMMYFUNCTION("""COMPUTED_VALUE"""),"スキして?桃色日記")</f>
        <v>スキして?桃色日記</v>
      </c>
      <c r="L2507" s="67" t="str">
        <f>IFERROR(__xludf.DUMMYFUNCTION("""COMPUTED_VALUE"""),"シーモアコミックス")</f>
        <v>シーモアコミックス</v>
      </c>
      <c r="M2507" s="85">
        <f>IFERROR(__xludf.DUMMYFUNCTION("""COMPUTED_VALUE"""),45654.0)</f>
        <v>45654</v>
      </c>
      <c r="N2507" s="23">
        <f>IFERROR(__xludf.DUMMYFUNCTION("""COMPUTED_VALUE"""),45715.0)</f>
        <v>45715</v>
      </c>
      <c r="O2507" s="67"/>
      <c r="P2507" s="71" t="str">
        <f>IFERROR(__xludf.DUMMYFUNCTION("""COMPUTED_VALUE"""),"可")</f>
        <v>可</v>
      </c>
      <c r="Q2507" s="72"/>
      <c r="R2507" s="67"/>
      <c r="S2507" s="67" t="str">
        <f>IFERROR(__xludf.DUMMYFUNCTION("""COMPUTED_VALUE"""),"20241125_シーモアコミックス_オジサマと甘熟交際、はじめます。")</f>
        <v>20241125_シーモアコミックス_オジサマと甘熟交際、はじめます。</v>
      </c>
      <c r="T2507" s="67" t="str">
        <f>IFERROR(__xludf.DUMMYFUNCTION("""COMPUTED_VALUE"""),"格納済み")</f>
        <v>格納済み</v>
      </c>
      <c r="U2507" s="15" t="str">
        <f>IFERROR(__xludf.DUMMYFUNCTION("""COMPUTED_VALUE"""),"© Remi/シーモアコミックス")</f>
        <v>© Remi/シーモアコミックス</v>
      </c>
      <c r="V2507" s="8" t="str">
        <f>IFERROR(__xludf.DUMMYFUNCTION("""COMPUTED_VALUE"""),"極度の口下手ゆえまわりと馴染めず、ぼっちOLとして過ごす玲花の唯一の楽しみは、スイーツを食べること。ある日 人事部部長の蜜村さんとスイーツの話で盛り上がり、スイーツ仲間に!? オトナで優しくて、包容力のある蜜村さんに癒やされる玲花。次第に、クリームを舐める仕草や甘い香りのする広い胸にドキドキ・ムラムラが止まらなくなって…!?【桃色日記】")</f>
        <v>極度の口下手ゆえまわりと馴染めず、ぼっちOLとして過ごす玲花の唯一の楽しみは、スイーツを食べること。ある日 人事部部長の蜜村さんとスイーツの話で盛り上がり、スイーツ仲間に!? オトナで優しくて、包容力のある蜜村さんに癒やされる玲花。次第に、クリームを舐める仕草や甘い香りのする広い胸にドキドキ・ムラムラが止まらなくなって…!?【桃色日記】</v>
      </c>
      <c r="W2507" s="14"/>
      <c r="X2507" s="14" t="str">
        <f>IFERROR(__xludf.DUMMYFUNCTION("""COMPUTED_VALUE"""),"有")</f>
        <v>有</v>
      </c>
      <c r="Y2507" s="8" t="str">
        <f>IFERROR(__xludf.DUMMYFUNCTION("""COMPUTED_VALUE"""),"P15まで")</f>
        <v>P15まで</v>
      </c>
      <c r="Z2507" s="7"/>
      <c r="AA2507" s="7"/>
      <c r="AB2507" s="7"/>
    </row>
    <row r="2508" ht="15.75" customHeight="1">
      <c r="A2508" s="76">
        <f>IFERROR(__xludf.DUMMYFUNCTION("""COMPUTED_VALUE"""),4558.0)</f>
        <v>4558</v>
      </c>
      <c r="B2508" s="69" t="str">
        <f>IFERROR(__xludf.DUMMYFUNCTION("""COMPUTED_VALUE"""),"確定")</f>
        <v>確定</v>
      </c>
      <c r="C2508" s="74">
        <f>IFERROR(__xludf.DUMMYFUNCTION("""COMPUTED_VALUE"""),45621.0)</f>
        <v>45621</v>
      </c>
      <c r="D2508" s="74">
        <f>IFERROR(__xludf.DUMMYFUNCTION("""COMPUTED_VALUE"""),45622.0)</f>
        <v>45622</v>
      </c>
      <c r="E2508" s="116">
        <f>IFERROR(__xludf.DUMMYFUNCTION("""COMPUTED_VALUE"""),301285.0)</f>
        <v>301285</v>
      </c>
      <c r="F2508" s="119" t="str">
        <f>IFERROR(__xludf.DUMMYFUNCTION("""COMPUTED_VALUE"""),"奪う男(フルカラー)")</f>
        <v>奪う男(フルカラー)</v>
      </c>
      <c r="G2508" s="69" t="str">
        <f>IFERROR(__xludf.DUMMYFUNCTION("""COMPUTED_VALUE"""),"1～3")</f>
        <v>1～3</v>
      </c>
      <c r="H2508" s="69" t="str">
        <f>IFERROR(__xludf.DUMMYFUNCTION("""COMPUTED_VALUE"""),"ツルマメ")</f>
        <v>ツルマメ</v>
      </c>
      <c r="I2508" s="69" t="str">
        <f>IFERROR(__xludf.DUMMYFUNCTION("""COMPUTED_VALUE"""),"青年マンガ")</f>
        <v>青年マンガ</v>
      </c>
      <c r="J2508" s="87"/>
      <c r="K2508" s="87"/>
      <c r="L2508" s="67" t="str">
        <f>IFERROR(__xludf.DUMMYFUNCTION("""COMPUTED_VALUE"""),"シーモアコミックス")</f>
        <v>シーモアコミックス</v>
      </c>
      <c r="M2508" s="85">
        <f>IFERROR(__xludf.DUMMYFUNCTION("""COMPUTED_VALUE"""),45654.0)</f>
        <v>45654</v>
      </c>
      <c r="N2508" s="47">
        <f>IFERROR(__xludf.DUMMYFUNCTION("""COMPUTED_VALUE"""),45806.0)</f>
        <v>45806</v>
      </c>
      <c r="O2508" s="67"/>
      <c r="P2508" s="71" t="str">
        <f>IFERROR(__xludf.DUMMYFUNCTION("""COMPUTED_VALUE"""),"可")</f>
        <v>可</v>
      </c>
      <c r="Q2508" s="72"/>
      <c r="R2508" s="67"/>
      <c r="S2508" s="67" t="str">
        <f>IFERROR(__xludf.DUMMYFUNCTION("""COMPUTED_VALUE"""),"20241125_シーモアコミックス_奪う男（フルカラー）")</f>
        <v>20241125_シーモアコミックス_奪う男（フルカラー）</v>
      </c>
      <c r="T2508" s="67" t="str">
        <f>IFERROR(__xludf.DUMMYFUNCTION("""COMPUTED_VALUE"""),"格納済み")</f>
        <v>格納済み</v>
      </c>
      <c r="U2508" s="15" t="str">
        <f>IFERROR(__xludf.DUMMYFUNCTION("""COMPUTED_VALUE"""),"© ツルマメ/TOPCO/シーモアコミックス")</f>
        <v>© ツルマメ/TOPCO/シーモアコミックス</v>
      </c>
      <c r="V2508" s="8" t="str">
        <f>IFERROR(__xludf.DUMMYFUNCTION("""COMPUTED_VALUE"""),"「根こそぎ奪え」早瀬俊彦は友人たちと立ち上げた投資会社の失敗の責任を負い、事態が落ち着いたら迎えに来るという言葉を信じて中国へと逃げ延びた…しかし逃亡者として惨めな生活を送っていたある日、友人たちのテレビやSNSで幸せそうに生活を送る姿を見つけて気づいてしまった。「僕は…騙されていたんだ…」俊彦は謎の詐欺師スリと出会い復讐を決意する！【桃色エンジェル】")</f>
        <v>「根こそぎ奪え」早瀬俊彦は友人たちと立ち上げた投資会社の失敗の責任を負い、事態が落ち着いたら迎えに来るという言葉を信じて中国へと逃げ延びた…しかし逃亡者として惨めな生活を送っていたある日、友人たちのテレビやSNSで幸せそうに生活を送る姿を見つけて気づいてしまった。「僕は…騙されていたんだ…」俊彦は謎の詐欺師スリと出会い復讐を決意する！【桃色エンジェル】</v>
      </c>
      <c r="W2508" s="14"/>
      <c r="X2508" s="14" t="str">
        <f>IFERROR(__xludf.DUMMYFUNCTION("""COMPUTED_VALUE"""),"有")</f>
        <v>有</v>
      </c>
      <c r="Y2508" s="8" t="str">
        <f>IFERROR(__xludf.DUMMYFUNCTION("""COMPUTED_VALUE"""),"2025/1/24まで1巻無料")</f>
        <v>2025/1/24まで1巻無料</v>
      </c>
      <c r="Z2508" s="7"/>
      <c r="AA2508" s="7"/>
      <c r="AB2508" s="7"/>
    </row>
    <row r="2509" ht="15.75" customHeight="1">
      <c r="A2509" s="76">
        <f>IFERROR(__xludf.DUMMYFUNCTION("""COMPUTED_VALUE"""),4559.0)</f>
        <v>4559</v>
      </c>
      <c r="B2509" s="69" t="str">
        <f>IFERROR(__xludf.DUMMYFUNCTION("""COMPUTED_VALUE"""),"確定")</f>
        <v>確定</v>
      </c>
      <c r="C2509" s="74">
        <f>IFERROR(__xludf.DUMMYFUNCTION("""COMPUTED_VALUE"""),45621.0)</f>
        <v>45621</v>
      </c>
      <c r="D2509" s="74">
        <f>IFERROR(__xludf.DUMMYFUNCTION("""COMPUTED_VALUE"""),45622.0)</f>
        <v>45622</v>
      </c>
      <c r="E2509" s="116">
        <f>IFERROR(__xludf.DUMMYFUNCTION("""COMPUTED_VALUE"""),301286.0)</f>
        <v>301286</v>
      </c>
      <c r="F2509" s="119" t="str">
        <f>IFERROR(__xludf.DUMMYFUNCTION("""COMPUTED_VALUE"""),"奪う男【タテヨミ】")</f>
        <v>奪う男【タテヨミ】</v>
      </c>
      <c r="G2509" s="69" t="str">
        <f>IFERROR(__xludf.DUMMYFUNCTION("""COMPUTED_VALUE"""),"1～6")</f>
        <v>1～6</v>
      </c>
      <c r="H2509" s="69" t="str">
        <f>IFERROR(__xludf.DUMMYFUNCTION("""COMPUTED_VALUE"""),"ツルマメ")</f>
        <v>ツルマメ</v>
      </c>
      <c r="I2509" s="69" t="str">
        <f>IFERROR(__xludf.DUMMYFUNCTION("""COMPUTED_VALUE"""),"青年マンガ")</f>
        <v>青年マンガ</v>
      </c>
      <c r="J2509" s="87"/>
      <c r="K2509" s="87"/>
      <c r="L2509" s="67" t="str">
        <f>IFERROR(__xludf.DUMMYFUNCTION("""COMPUTED_VALUE"""),"シーモアコミックス")</f>
        <v>シーモアコミックス</v>
      </c>
      <c r="M2509" s="85">
        <f>IFERROR(__xludf.DUMMYFUNCTION("""COMPUTED_VALUE"""),45654.0)</f>
        <v>45654</v>
      </c>
      <c r="N2509" s="47">
        <f>IFERROR(__xludf.DUMMYFUNCTION("""COMPUTED_VALUE"""),45806.0)</f>
        <v>45806</v>
      </c>
      <c r="O2509" s="67"/>
      <c r="P2509" s="70" t="str">
        <f>IFERROR(__xludf.DUMMYFUNCTION("""COMPUTED_VALUE"""),"可")</f>
        <v>可</v>
      </c>
      <c r="Q2509" s="72" t="str">
        <f>IFERROR(__xludf.DUMMYFUNCTION("""COMPUTED_VALUE"""),"※コマサム等素材は「301285奪う男（フルカラー）」のほうをお使いください。&lt;BR&gt;バナー制作はフルカラー版の素材を利用して問題ございません。")</f>
        <v>※コマサム等素材は「301285奪う男（フルカラー）」のほうをお使いください。&lt;BR&gt;バナー制作はフルカラー版の素材を利用して問題ございません。</v>
      </c>
      <c r="R2509" s="67"/>
      <c r="S2509" s="67" t="str">
        <f>IFERROR(__xludf.DUMMYFUNCTION("""COMPUTED_VALUE"""),"20241125_シーモアコミックス_奪う男【タテヨミ】")</f>
        <v>20241125_シーモアコミックス_奪う男【タテヨミ】</v>
      </c>
      <c r="T2509" s="67" t="str">
        <f>IFERROR(__xludf.DUMMYFUNCTION("""COMPUTED_VALUE"""),"格納済み")</f>
        <v>格納済み</v>
      </c>
      <c r="U2509" s="15" t="str">
        <f>IFERROR(__xludf.DUMMYFUNCTION("""COMPUTED_VALUE"""),"© ツルマメ/TOPCO/シーモアコミックス")</f>
        <v>© ツルマメ/TOPCO/シーモアコミックス</v>
      </c>
      <c r="V2509" s="8" t="str">
        <f>IFERROR(__xludf.DUMMYFUNCTION("""COMPUTED_VALUE"""),"「根こそぎ奪え」早瀬俊彦は友人たちと立ち上げた投資会社の失敗の責任を負い、事態が落ち着いたら迎えに来るという言葉を信じて中国へと逃げ延びた…しかし逃亡者として惨めな生活を送っていたある日、友人たちのテレビやSNSで幸せそうに生活を送る姿を見つけて気づいてしまった。「僕は…騙されていたんだ…」俊彦は謎の詐欺師スリと出会い復讐を決意する！【桃色エンジェル】")</f>
        <v>「根こそぎ奪え」早瀬俊彦は友人たちと立ち上げた投資会社の失敗の責任を負い、事態が落ち着いたら迎えに来るという言葉を信じて中国へと逃げ延びた…しかし逃亡者として惨めな生活を送っていたある日、友人たちのテレビやSNSで幸せそうに生活を送る姿を見つけて気づいてしまった。「僕は…騙されていたんだ…」俊彦は謎の詐欺師スリと出会い復讐を決意する！【桃色エンジェル】</v>
      </c>
      <c r="W2509" s="14"/>
      <c r="X2509" s="14" t="str">
        <f>IFERROR(__xludf.DUMMYFUNCTION("""COMPUTED_VALUE"""),"有")</f>
        <v>有</v>
      </c>
      <c r="Y2509" s="8" t="str">
        <f>IFERROR(__xludf.DUMMYFUNCTION("""COMPUTED_VALUE"""),"2025/1/24まで1～2巻無料")</f>
        <v>2025/1/24まで1～2巻無料</v>
      </c>
      <c r="Z2509" s="7"/>
      <c r="AA2509" s="7"/>
      <c r="AB2509" s="7"/>
    </row>
    <row r="2510" ht="15.75" customHeight="1">
      <c r="A2510" s="76">
        <f>IFERROR(__xludf.DUMMYFUNCTION("""COMPUTED_VALUE"""),4560.0)</f>
        <v>4560</v>
      </c>
      <c r="B2510" s="69" t="str">
        <f>IFERROR(__xludf.DUMMYFUNCTION("""COMPUTED_VALUE"""),"確定")</f>
        <v>確定</v>
      </c>
      <c r="C2510" s="74">
        <f>IFERROR(__xludf.DUMMYFUNCTION("""COMPUTED_VALUE"""),45621.0)</f>
        <v>45621</v>
      </c>
      <c r="D2510" s="74">
        <f>IFERROR(__xludf.DUMMYFUNCTION("""COMPUTED_VALUE"""),45622.0)</f>
        <v>45622</v>
      </c>
      <c r="E2510" s="116">
        <f>IFERROR(__xludf.DUMMYFUNCTION("""COMPUTED_VALUE"""),301287.0)</f>
        <v>301287</v>
      </c>
      <c r="F2510" s="119" t="str">
        <f>IFERROR(__xludf.DUMMYFUNCTION("""COMPUTED_VALUE"""),"恋人契約～幼なじみと淫らな20日間～(フルカラー)")</f>
        <v>恋人契約～幼なじみと淫らな20日間～(フルカラー)</v>
      </c>
      <c r="G2510" s="69" t="str">
        <f>IFERROR(__xludf.DUMMYFUNCTION("""COMPUTED_VALUE"""),"1～4")</f>
        <v>1～4</v>
      </c>
      <c r="H2510" s="69" t="str">
        <f>IFERROR(__xludf.DUMMYFUNCTION("""COMPUTED_VALUE"""),"UO,0.S")</f>
        <v>UO,0.S</v>
      </c>
      <c r="I2510" s="69" t="str">
        <f>IFERROR(__xludf.DUMMYFUNCTION("""COMPUTED_VALUE"""),"女性マンガ")</f>
        <v>女性マンガ</v>
      </c>
      <c r="J2510" s="67"/>
      <c r="K2510" s="67" t="str">
        <f>IFERROR(__xludf.DUMMYFUNCTION("""COMPUTED_VALUE"""),"リア×ロマ,スキして?桃色日記")</f>
        <v>リア×ロマ,スキして?桃色日記</v>
      </c>
      <c r="L2510" s="67" t="str">
        <f>IFERROR(__xludf.DUMMYFUNCTION("""COMPUTED_VALUE"""),"シーモアコミックス")</f>
        <v>シーモアコミックス</v>
      </c>
      <c r="M2510" s="85">
        <f>IFERROR(__xludf.DUMMYFUNCTION("""COMPUTED_VALUE"""),45654.0)</f>
        <v>45654</v>
      </c>
      <c r="N2510" s="47">
        <f>IFERROR(__xludf.DUMMYFUNCTION("""COMPUTED_VALUE"""),45806.0)</f>
        <v>45806</v>
      </c>
      <c r="O2510" s="67"/>
      <c r="P2510" s="71" t="str">
        <f>IFERROR(__xludf.DUMMYFUNCTION("""COMPUTED_VALUE"""),"可")</f>
        <v>可</v>
      </c>
      <c r="Q2510" s="72"/>
      <c r="R2510" s="67"/>
      <c r="S2510" s="67" t="str">
        <f>IFERROR(__xludf.DUMMYFUNCTION("""COMPUTED_VALUE"""),"20241125_シーモアコミックス_恋人契約～幼なじみと淫らな20日間～（フルカラー）")</f>
        <v>20241125_シーモアコミックス_恋人契約～幼なじみと淫らな20日間～（フルカラー）</v>
      </c>
      <c r="T2510" s="67" t="str">
        <f>IFERROR(__xludf.DUMMYFUNCTION("""COMPUTED_VALUE"""),"格納済み")</f>
        <v>格納済み</v>
      </c>
      <c r="U2510" s="15" t="str">
        <f>IFERROR(__xludf.DUMMYFUNCTION("""COMPUTED_VALUE"""),"© UO/0.S/ミスターブルー/シーモアコミックス")</f>
        <v>© UO/0.S/ミスターブルー/シーモアコミックス</v>
      </c>
      <c r="V2510" s="8" t="str">
        <f>IFERROR(__xludf.DUMMYFUNCTION("""COMPUTED_VALUE"""),"「体の相性もふくめてチャンスをくれないかな？」
小説家・戸野田楓は初めて官能小説にチャレンジするも、性教育の教材と笑われた！幼なじみの黒岩湊人に居酒屋で愚痴った夜、二人はついに一線を越えてしまい、これまで苦手だったSEXが気持ちいいことに気づく…！
大学時代の初体験が散々で何度か彼氏はできるもSEXで失敗続き。そんな楓に長年片想いを隠し続けた奥手の湊人は長年抱えてた楓への想いを告白すると楓はある提案をする。「考える時間として20日間の恋人契約はどうかな？」【リア×ロマ in スキして?桃色日記】")</f>
        <v>「体の相性もふくめてチャンスをくれないかな？」
小説家・戸野田楓は初めて官能小説にチャレンジするも、性教育の教材と笑われた！幼なじみの黒岩湊人に居酒屋で愚痴った夜、二人はついに一線を越えてしまい、これまで苦手だったSEXが気持ちいいことに気づく…！
大学時代の初体験が散々で何度か彼氏はできるもSEXで失敗続き。そんな楓に長年片想いを隠し続けた奥手の湊人は長年抱えてた楓への想いを告白すると楓はある提案をする。「考える時間として20日間の恋人契約はどうかな？」【リア×ロマ in スキして?桃色日記】</v>
      </c>
      <c r="W2510" s="14"/>
      <c r="X2510" s="14" t="str">
        <f>IFERROR(__xludf.DUMMYFUNCTION("""COMPUTED_VALUE"""),"有")</f>
        <v>有</v>
      </c>
      <c r="Y2510" s="8" t="str">
        <f>IFERROR(__xludf.DUMMYFUNCTION("""COMPUTED_VALUE"""),"P10まで")</f>
        <v>P10まで</v>
      </c>
      <c r="Z2510" s="7"/>
      <c r="AA2510" s="7"/>
      <c r="AB2510" s="7"/>
    </row>
    <row r="2511" ht="15.75" customHeight="1">
      <c r="A2511" s="76">
        <f>IFERROR(__xludf.DUMMYFUNCTION("""COMPUTED_VALUE"""),4561.0)</f>
        <v>4561</v>
      </c>
      <c r="B2511" s="69" t="str">
        <f>IFERROR(__xludf.DUMMYFUNCTION("""COMPUTED_VALUE"""),"確定")</f>
        <v>確定</v>
      </c>
      <c r="C2511" s="74">
        <f>IFERROR(__xludf.DUMMYFUNCTION("""COMPUTED_VALUE"""),45621.0)</f>
        <v>45621</v>
      </c>
      <c r="D2511" s="74">
        <f>IFERROR(__xludf.DUMMYFUNCTION("""COMPUTED_VALUE"""),45622.0)</f>
        <v>45622</v>
      </c>
      <c r="E2511" s="116">
        <f>IFERROR(__xludf.DUMMYFUNCTION("""COMPUTED_VALUE"""),301288.0)</f>
        <v>301288</v>
      </c>
      <c r="F2511" s="119" t="str">
        <f>IFERROR(__xludf.DUMMYFUNCTION("""COMPUTED_VALUE"""),"恋人契約～幼なじみと淫らな20日間～【タテヨミ】")</f>
        <v>恋人契約～幼なじみと淫らな20日間～【タテヨミ】</v>
      </c>
      <c r="G2511" s="69" t="str">
        <f>IFERROR(__xludf.DUMMYFUNCTION("""COMPUTED_VALUE"""),"1～12")</f>
        <v>1～12</v>
      </c>
      <c r="H2511" s="69" t="str">
        <f>IFERROR(__xludf.DUMMYFUNCTION("""COMPUTED_VALUE"""),"UO,0.S")</f>
        <v>UO,0.S</v>
      </c>
      <c r="I2511" s="69" t="str">
        <f>IFERROR(__xludf.DUMMYFUNCTION("""COMPUTED_VALUE"""),"女性マンガ")</f>
        <v>女性マンガ</v>
      </c>
      <c r="J2511" s="67"/>
      <c r="K2511" s="67" t="str">
        <f>IFERROR(__xludf.DUMMYFUNCTION("""COMPUTED_VALUE"""),"リア×ロマ,スキして?桃色日記")</f>
        <v>リア×ロマ,スキして?桃色日記</v>
      </c>
      <c r="L2511" s="67" t="str">
        <f>IFERROR(__xludf.DUMMYFUNCTION("""COMPUTED_VALUE"""),"シーモアコミックス")</f>
        <v>シーモアコミックス</v>
      </c>
      <c r="M2511" s="85">
        <f>IFERROR(__xludf.DUMMYFUNCTION("""COMPUTED_VALUE"""),45654.0)</f>
        <v>45654</v>
      </c>
      <c r="N2511" s="47">
        <f>IFERROR(__xludf.DUMMYFUNCTION("""COMPUTED_VALUE"""),45806.0)</f>
        <v>45806</v>
      </c>
      <c r="O2511" s="67"/>
      <c r="P2511" s="70" t="str">
        <f>IFERROR(__xludf.DUMMYFUNCTION("""COMPUTED_VALUE"""),"可")</f>
        <v>可</v>
      </c>
      <c r="Q2511" s="72" t="str">
        <f>IFERROR(__xludf.DUMMYFUNCTION("""COMPUTED_VALUE"""),"※コマサム等素材は「301287恋人契約～幼なじみと淫らな20日間～（フルカラー）」のほうをお使いください。&lt;BR&gt;バナー制作はフルカラー版の素材を利用して問題ございません。")</f>
        <v>※コマサム等素材は「301287恋人契約～幼なじみと淫らな20日間～（フルカラー）」のほうをお使いください。&lt;BR&gt;バナー制作はフルカラー版の素材を利用して問題ございません。</v>
      </c>
      <c r="R2511" s="67"/>
      <c r="S2511" s="67" t="str">
        <f>IFERROR(__xludf.DUMMYFUNCTION("""COMPUTED_VALUE"""),"20241125_シーモアコミックス_恋人契約～幼なじみと淫らな20日間～【タテヨミ】")</f>
        <v>20241125_シーモアコミックス_恋人契約～幼なじみと淫らな20日間～【タテヨミ】</v>
      </c>
      <c r="T2511" s="67" t="str">
        <f>IFERROR(__xludf.DUMMYFUNCTION("""COMPUTED_VALUE"""),"格納済み")</f>
        <v>格納済み</v>
      </c>
      <c r="U2511" s="15" t="str">
        <f>IFERROR(__xludf.DUMMYFUNCTION("""COMPUTED_VALUE"""),"© UO/0.S/ミスターブルー/シーモアコミックス")</f>
        <v>© UO/0.S/ミスターブルー/シーモアコミックス</v>
      </c>
      <c r="V2511" s="8" t="str">
        <f>IFERROR(__xludf.DUMMYFUNCTION("""COMPUTED_VALUE"""),"「体の相性もふくめてチャンスをくれないかな？」
小説家・戸野田楓は初めて官能小説にチャレンジするも、性教育の教材と笑われた！幼なじみの黒岩湊人に居酒屋で愚痴った夜、二人はついに一線を越えてしまい、これまで苦手だったSEXが気持ちいいことに気づく…！
大学時代の初体験が散々で何度か彼氏はできるもSEXで失敗続き。そんな楓に長年片想いを隠し続けた奥手の湊人は長年抱えてた楓への想いを告白すると楓はある提案をする。「考える時間として20日間の恋人契約はどうかな？」【リア×ロマ in スキして?桃色日記】")</f>
        <v>「体の相性もふくめてチャンスをくれないかな？」
小説家・戸野田楓は初めて官能小説にチャレンジするも、性教育の教材と笑われた！幼なじみの黒岩湊人に居酒屋で愚痴った夜、二人はついに一線を越えてしまい、これまで苦手だったSEXが気持ちいいことに気づく…！
大学時代の初体験が散々で何度か彼氏はできるもSEXで失敗続き。そんな楓に長年片想いを隠し続けた奥手の湊人は長年抱えてた楓への想いを告白すると楓はある提案をする。「考える時間として20日間の恋人契約はどうかな？」【リア×ロマ in スキして?桃色日記】</v>
      </c>
      <c r="W2511" s="14"/>
      <c r="X2511" s="14" t="str">
        <f>IFERROR(__xludf.DUMMYFUNCTION("""COMPUTED_VALUE"""),"有")</f>
        <v>有</v>
      </c>
      <c r="Y2511" s="8" t="str">
        <f>IFERROR(__xludf.DUMMYFUNCTION("""COMPUTED_VALUE"""),"1巻無料")</f>
        <v>1巻無料</v>
      </c>
      <c r="Z2511" s="7"/>
      <c r="AA2511" s="7"/>
      <c r="AB2511" s="7"/>
    </row>
    <row r="2512" ht="15.75" customHeight="1">
      <c r="A2512" s="76">
        <f>IFERROR(__xludf.DUMMYFUNCTION("""COMPUTED_VALUE"""),4563.0)</f>
        <v>4563</v>
      </c>
      <c r="B2512" s="69" t="str">
        <f>IFERROR(__xludf.DUMMYFUNCTION("""COMPUTED_VALUE"""),"確定")</f>
        <v>確定</v>
      </c>
      <c r="C2512" s="74">
        <f>IFERROR(__xludf.DUMMYFUNCTION("""COMPUTED_VALUE"""),45621.0)</f>
        <v>45621</v>
      </c>
      <c r="D2512" s="74">
        <f>IFERROR(__xludf.DUMMYFUNCTION("""COMPUTED_VALUE"""),45622.0)</f>
        <v>45622</v>
      </c>
      <c r="E2512" s="112">
        <f>IFERROR(__xludf.DUMMYFUNCTION("""COMPUTED_VALUE"""),310466.0)</f>
        <v>310466</v>
      </c>
      <c r="F2512" s="119" t="str">
        <f>IFERROR(__xludf.DUMMYFUNCTION("""COMPUTED_VALUE"""),"ダメ男チャンネル～アプリで出会ったダメ男・自称メンヘラ製造機・男尊女卑男編～")</f>
        <v>ダメ男チャンネル～アプリで出会ったダメ男・自称メンヘラ製造機・男尊女卑男編～</v>
      </c>
      <c r="G2512" s="69" t="str">
        <f>IFERROR(__xludf.DUMMYFUNCTION("""COMPUTED_VALUE"""),"1～4")</f>
        <v>1～4</v>
      </c>
      <c r="H2512" s="69" t="str">
        <f>IFERROR(__xludf.DUMMYFUNCTION("""COMPUTED_VALUE"""),"花守めいら")</f>
        <v>花守めいら</v>
      </c>
      <c r="I2512" s="69" t="str">
        <f>IFERROR(__xludf.DUMMYFUNCTION("""COMPUTED_VALUE"""),"女性")</f>
        <v>女性</v>
      </c>
      <c r="J2512" s="87"/>
      <c r="K2512" s="87"/>
      <c r="L2512" s="67" t="str">
        <f>IFERROR(__xludf.DUMMYFUNCTION("""COMPUTED_VALUE"""),"ファンギルド")</f>
        <v>ファンギルド</v>
      </c>
      <c r="M2512" s="23">
        <f>IFERROR(__xludf.DUMMYFUNCTION("""COMPUTED_VALUE"""),45679.0)</f>
        <v>45679</v>
      </c>
      <c r="N2512" s="23">
        <f>IFERROR(__xludf.DUMMYFUNCTION("""COMPUTED_VALUE"""),45713.0)</f>
        <v>45713</v>
      </c>
      <c r="O2512" s="67"/>
      <c r="P2512" s="71" t="str">
        <f>IFERROR(__xludf.DUMMYFUNCTION("""COMPUTED_VALUE"""),"可")</f>
        <v>可</v>
      </c>
      <c r="Q2512" s="72"/>
      <c r="R2512" s="67"/>
      <c r="S2512" s="67" t="str">
        <f>IFERROR(__xludf.DUMMYFUNCTION("""COMPUTED_VALUE"""),"20241125_ファンギルド_ダメ男チャンネル～アプリで出会ったダメ男・自称メンヘラ製造機・男尊女卑男編～")</f>
        <v>20241125_ファンギルド_ダメ男チャンネル～アプリで出会ったダメ男・自称メンヘラ製造機・男尊女卑男編～</v>
      </c>
      <c r="T2512" s="67" t="str">
        <f>IFERROR(__xludf.DUMMYFUNCTION("""COMPUTED_VALUE"""),"格納済み")</f>
        <v>格納済み</v>
      </c>
      <c r="U2512" s="15" t="str">
        <f>IFERROR(__xludf.DUMMYFUNCTION("""COMPUTED_VALUE"""),"©花守めいら/ファンギルド")</f>
        <v>©花守めいら/ファンギルド</v>
      </c>
      <c r="V2512" s="8" t="str">
        <f>IFERROR(__xludf.DUMMYFUNCTION("""COMPUTED_VALUE"""),"アプリで出会ったダメ男、自称メンヘラ製造機、ダメ男の古典・男尊女卑――!!!身の毛もよだつダメ男をバッサバッサと切り捨てる、そんな痛快ラブコメディをどうぞ☆")</f>
        <v>アプリで出会ったダメ男、自称メンヘラ製造機、ダメ男の古典・男尊女卑――!!!身の毛もよだつダメ男をバッサバッサと切り捨てる、そんな痛快ラブコメディをどうぞ☆</v>
      </c>
      <c r="W2512" s="14"/>
      <c r="X2512" s="14" t="str">
        <f>IFERROR(__xludf.DUMMYFUNCTION("""COMPUTED_VALUE"""),"有")</f>
        <v>有</v>
      </c>
      <c r="Y2512" s="8" t="str">
        <f>IFERROR(__xludf.DUMMYFUNCTION("""COMPUTED_VALUE"""),"P7まで")</f>
        <v>P7まで</v>
      </c>
      <c r="Z2512" s="7"/>
      <c r="AA2512" s="7"/>
      <c r="AB2512" s="7"/>
    </row>
    <row r="2513" ht="15.75" customHeight="1">
      <c r="A2513" s="76">
        <f>IFERROR(__xludf.DUMMYFUNCTION("""COMPUTED_VALUE"""),4564.0)</f>
        <v>4564</v>
      </c>
      <c r="B2513" s="69" t="str">
        <f>IFERROR(__xludf.DUMMYFUNCTION("""COMPUTED_VALUE"""),"確定")</f>
        <v>確定</v>
      </c>
      <c r="C2513" s="74">
        <f>IFERROR(__xludf.DUMMYFUNCTION("""COMPUTED_VALUE"""),45621.0)</f>
        <v>45621</v>
      </c>
      <c r="D2513" s="74">
        <f>IFERROR(__xludf.DUMMYFUNCTION("""COMPUTED_VALUE"""),45622.0)</f>
        <v>45622</v>
      </c>
      <c r="E2513" s="112">
        <f>IFERROR(__xludf.DUMMYFUNCTION("""COMPUTED_VALUE"""),310467.0)</f>
        <v>310467</v>
      </c>
      <c r="F2513" s="119" t="str">
        <f>IFERROR(__xludf.DUMMYFUNCTION("""COMPUTED_VALUE"""),"婚約破棄されたらエリート御曹司の義弟に娶られました")</f>
        <v>婚約破棄されたらエリート御曹司の義弟に娶られました</v>
      </c>
      <c r="G2513" s="69" t="str">
        <f>IFERROR(__xludf.DUMMYFUNCTION("""COMPUTED_VALUE"""),"1～3")</f>
        <v>1～3</v>
      </c>
      <c r="H2513" s="69" t="str">
        <f>IFERROR(__xludf.DUMMYFUNCTION("""COMPUTED_VALUE"""),"岡さくら/翼うみ")</f>
        <v>岡さくら/翼うみ</v>
      </c>
      <c r="I2513" s="69" t="str">
        <f>IFERROR(__xludf.DUMMYFUNCTION("""COMPUTED_VALUE"""),"女性")</f>
        <v>女性</v>
      </c>
      <c r="J2513" s="87"/>
      <c r="K2513" s="87"/>
      <c r="L2513" s="67" t="str">
        <f>IFERROR(__xludf.DUMMYFUNCTION("""COMPUTED_VALUE"""),"ファンギルド")</f>
        <v>ファンギルド</v>
      </c>
      <c r="M2513" s="23">
        <f>IFERROR(__xludf.DUMMYFUNCTION("""COMPUTED_VALUE"""),45679.0)</f>
        <v>45679</v>
      </c>
      <c r="N2513" s="23">
        <f>IFERROR(__xludf.DUMMYFUNCTION("""COMPUTED_VALUE"""),45713.0)</f>
        <v>45713</v>
      </c>
      <c r="O2513" s="67"/>
      <c r="P2513" s="71" t="str">
        <f>IFERROR(__xludf.DUMMYFUNCTION("""COMPUTED_VALUE"""),"可")</f>
        <v>可</v>
      </c>
      <c r="Q2513" s="72"/>
      <c r="R2513" s="67"/>
      <c r="S2513" s="67" t="str">
        <f>IFERROR(__xludf.DUMMYFUNCTION("""COMPUTED_VALUE"""),"20221125_ファンギルド_婚約破棄されたらエリート御曹司の義弟に娶られました")</f>
        <v>20221125_ファンギルド_婚約破棄されたらエリート御曹司の義弟に娶られました</v>
      </c>
      <c r="T2513" s="67" t="str">
        <f>IFERROR(__xludf.DUMMYFUNCTION("""COMPUTED_VALUE"""),"格納済み")</f>
        <v>格納済み</v>
      </c>
      <c r="U2513" s="15" t="str">
        <f>IFERROR(__xludf.DUMMYFUNCTION("""COMPUTED_VALUE"""),"©岡さくら/翼うみ/ファンギルド")</f>
        <v>©岡さくら/翼うみ/ファンギルド</v>
      </c>
      <c r="V2513" s="8" t="str">
        <f>IFERROR(__xludf.DUMMYFUNCTION("""COMPUTED_VALUE"""),"「俺は妃乃のこと、姉と思ったことは一度もない」――三年付き合った彼氏にプロポーズされ、充実した人生を送っていたOL・妃乃（きの）。ある日、可愛がっていた後輩と彼氏の浮気現場に遭遇して、あっさり振られてしまう。さらに仕事まで奪われて…。人生どん底の妃乃の前に現れたのは、義理の弟・皇輝（こうき）だった。「妃乃、俺と結婚しない？」突然のプロポーズに驚く妃乃。強引な義弟に押されて、偽装夫婦としての生活が始まるが――。")</f>
        <v>「俺は妃乃のこと、姉と思ったことは一度もない」――三年付き合った彼氏にプロポーズされ、充実した人生を送っていたOL・妃乃（きの）。ある日、可愛がっていた後輩と彼氏の浮気現場に遭遇して、あっさり振られてしまう。さらに仕事まで奪われて…。人生どん底の妃乃の前に現れたのは、義理の弟・皇輝（こうき）だった。「妃乃、俺と結婚しない？」突然のプロポーズに驚く妃乃。強引な義弟に押されて、偽装夫婦としての生活が始まるが――。</v>
      </c>
      <c r="W2513" s="14"/>
      <c r="X2513" s="14" t="str">
        <f>IFERROR(__xludf.DUMMYFUNCTION("""COMPUTED_VALUE"""),"有")</f>
        <v>有</v>
      </c>
      <c r="Y2513" s="8" t="str">
        <f>IFERROR(__xludf.DUMMYFUNCTION("""COMPUTED_VALUE"""),"2025/2/4まで1巻無料")</f>
        <v>2025/2/4まで1巻無料</v>
      </c>
      <c r="Z2513" s="7"/>
      <c r="AA2513" s="7"/>
      <c r="AB2513" s="7"/>
    </row>
    <row r="2514" ht="15.75" customHeight="1">
      <c r="A2514" s="76">
        <f>IFERROR(__xludf.DUMMYFUNCTION("""COMPUTED_VALUE"""),4565.0)</f>
        <v>4565</v>
      </c>
      <c r="B2514" s="69" t="str">
        <f>IFERROR(__xludf.DUMMYFUNCTION("""COMPUTED_VALUE"""),"確定")</f>
        <v>確定</v>
      </c>
      <c r="C2514" s="74">
        <f>IFERROR(__xludf.DUMMYFUNCTION("""COMPUTED_VALUE"""),45621.0)</f>
        <v>45621</v>
      </c>
      <c r="D2514" s="74">
        <f>IFERROR(__xludf.DUMMYFUNCTION("""COMPUTED_VALUE"""),45622.0)</f>
        <v>45622</v>
      </c>
      <c r="E2514" s="112">
        <f>IFERROR(__xludf.DUMMYFUNCTION("""COMPUTED_VALUE"""),310468.0)</f>
        <v>310468</v>
      </c>
      <c r="F2514" s="119" t="str">
        <f>IFERROR(__xludf.DUMMYFUNCTION("""COMPUTED_VALUE"""),"血祀り村～さぁ、一緒に信仰しましょう～")</f>
        <v>血祀り村～さぁ、一緒に信仰しましょう～</v>
      </c>
      <c r="G2514" s="69" t="str">
        <f>IFERROR(__xludf.DUMMYFUNCTION("""COMPUTED_VALUE"""),"1～3")</f>
        <v>1～3</v>
      </c>
      <c r="H2514" s="69" t="str">
        <f>IFERROR(__xludf.DUMMYFUNCTION("""COMPUTED_VALUE"""),"樹生ナト")</f>
        <v>樹生ナト</v>
      </c>
      <c r="I2514" s="69" t="str">
        <f>IFERROR(__xludf.DUMMYFUNCTION("""COMPUTED_VALUE"""),"青年")</f>
        <v>青年</v>
      </c>
      <c r="J2514" s="87"/>
      <c r="K2514" s="87"/>
      <c r="L2514" s="67" t="str">
        <f>IFERROR(__xludf.DUMMYFUNCTION("""COMPUTED_VALUE"""),"ファンギルド")</f>
        <v>ファンギルド</v>
      </c>
      <c r="M2514" s="23">
        <f>IFERROR(__xludf.DUMMYFUNCTION("""COMPUTED_VALUE"""),45668.0)</f>
        <v>45668</v>
      </c>
      <c r="N2514" s="23">
        <f>IFERROR(__xludf.DUMMYFUNCTION("""COMPUTED_VALUE"""),45786.66666666667)</f>
        <v>45786.66667</v>
      </c>
      <c r="O2514" s="67"/>
      <c r="P2514" s="71" t="str">
        <f>IFERROR(__xludf.DUMMYFUNCTION("""COMPUTED_VALUE"""),"可")</f>
        <v>可</v>
      </c>
      <c r="Q2514" s="72"/>
      <c r="R2514" s="67"/>
      <c r="S2514" s="67" t="str">
        <f>IFERROR(__xludf.DUMMYFUNCTION("""COMPUTED_VALUE"""),"20221125_ファンギルド_血祀り村～さぁ、一緒に信仰しましょう～")</f>
        <v>20221125_ファンギルド_血祀り村～さぁ、一緒に信仰しましょう～</v>
      </c>
      <c r="T2514" s="67" t="str">
        <f>IFERROR(__xludf.DUMMYFUNCTION("""COMPUTED_VALUE"""),"格納済み")</f>
        <v>格納済み</v>
      </c>
      <c r="U2514" s="15" t="str">
        <f>IFERROR(__xludf.DUMMYFUNCTION("""COMPUTED_VALUE"""),"©樹生ナト/ファンギルド")</f>
        <v>©樹生ナト/ファンギルド</v>
      </c>
      <c r="V2514" s="8" t="str">
        <f>IFERROR(__xludf.DUMMYFUNCTION("""COMPUTED_VALUE"""),"娘の静養のため、山奥の「万歳村」へ引っ越してきたシングルファザーの桐崎悟（きりさき・さとる）。村の人々は一家を温かく迎え入れる。しかし、この村の真の姿は土着の神・千手様を熱烈に信仰するカルト村だった…！村人たちは、千住様に血を捧げれば不老長寿になると信じており――!?「もっとだ…もっと血が必要だ」信仰と狂気に満ちた戦慄のホラーサスペンスが開幕!!")</f>
        <v>娘の静養のため、山奥の「万歳村」へ引っ越してきたシングルファザーの桐崎悟（きりさき・さとる）。村の人々は一家を温かく迎え入れる。しかし、この村の真の姿は土着の神・千手様を熱烈に信仰するカルト村だった…！村人たちは、千住様に血を捧げれば不老長寿になると信じており――!?「もっとだ…もっと血が必要だ」信仰と狂気に満ちた戦慄のホラーサスペンスが開幕!!</v>
      </c>
      <c r="W2514" s="14"/>
      <c r="X2514" s="14" t="str">
        <f>IFERROR(__xludf.DUMMYFUNCTION("""COMPUTED_VALUE"""),"有")</f>
        <v>有</v>
      </c>
      <c r="Y2514" s="8" t="str">
        <f>IFERROR(__xludf.DUMMYFUNCTION("""COMPUTED_VALUE"""),"2025/1/24まで1巻無料")</f>
        <v>2025/1/24まで1巻無料</v>
      </c>
      <c r="Z2514" s="7"/>
      <c r="AA2514" s="7"/>
      <c r="AB2514" s="7"/>
    </row>
    <row r="2515" ht="15.75" customHeight="1">
      <c r="A2515" s="76">
        <f>IFERROR(__xludf.DUMMYFUNCTION("""COMPUTED_VALUE"""),4575.0)</f>
        <v>4575</v>
      </c>
      <c r="B2515" s="69" t="str">
        <f>IFERROR(__xludf.DUMMYFUNCTION("""COMPUTED_VALUE"""),"確定")</f>
        <v>確定</v>
      </c>
      <c r="C2515" s="74">
        <f>IFERROR(__xludf.DUMMYFUNCTION("""COMPUTED_VALUE"""),45622.0)</f>
        <v>45622</v>
      </c>
      <c r="D2515" s="74">
        <f>IFERROR(__xludf.DUMMYFUNCTION("""COMPUTED_VALUE"""),45623.0)</f>
        <v>45623</v>
      </c>
      <c r="E2515" s="116">
        <f>IFERROR(__xludf.DUMMYFUNCTION("""COMPUTED_VALUE"""),306354.0)</f>
        <v>306354</v>
      </c>
      <c r="F2515" s="119" t="str">
        <f>IFERROR(__xludf.DUMMYFUNCTION("""COMPUTED_VALUE"""),"推しの妹に転生してしまったので、最凶の悪女になってお兄様を独占することにいたします(話売り)")</f>
        <v>推しの妹に転生してしまったので、最凶の悪女になってお兄様を独占することにいたします(話売り)</v>
      </c>
      <c r="G2515" s="69" t="str">
        <f>IFERROR(__xludf.DUMMYFUNCTION("""COMPUTED_VALUE"""),"1～4")</f>
        <v>1～4</v>
      </c>
      <c r="H2515" s="69" t="str">
        <f>IFERROR(__xludf.DUMMYFUNCTION("""COMPUTED_VALUE"""),"イツカぬくもり,瀬戸玲")</f>
        <v>イツカぬくもり,瀬戸玲</v>
      </c>
      <c r="I2515" s="69" t="str">
        <f>IFERROR(__xludf.DUMMYFUNCTION("""COMPUTED_VALUE"""),"女性マンガ")</f>
        <v>女性マンガ</v>
      </c>
      <c r="J2515" s="87"/>
      <c r="K2515" s="87"/>
      <c r="L2515" s="67" t="str">
        <f>IFERROR(__xludf.DUMMYFUNCTION("""COMPUTED_VALUE"""),"秋田書店")</f>
        <v>秋田書店</v>
      </c>
      <c r="M2515" s="85">
        <f>IFERROR(__xludf.DUMMYFUNCTION("""COMPUTED_VALUE"""),45587.0)</f>
        <v>45587</v>
      </c>
      <c r="N2515" s="68">
        <f>IFERROR(__xludf.DUMMYFUNCTION("""COMPUTED_VALUE"""),45648.70833333333)</f>
        <v>45648.70833</v>
      </c>
      <c r="O2515" s="67"/>
      <c r="P2515" s="70" t="str">
        <f>IFERROR(__xludf.DUMMYFUNCTION("""COMPUTED_VALUE"""),"否")</f>
        <v>否</v>
      </c>
      <c r="Q2515" s="67" t="str">
        <f>IFERROR(__xludf.DUMMYFUNCTION("""COMPUTED_VALUE"""),"すみません、こちら配信日確認ステータスで止まっており、10/22で配信が開始をされておりました。&lt;BR&gt;こちらから出稿前提で先行提案させていただいており、&lt;BR&gt;最短可能日にて、出稿ご調整お願いできますでしょうか。。。")</f>
        <v>すみません、こちら配信日確認ステータスで止まっており、10/22で配信が開始をされておりました。&lt;BR&gt;こちらから出稿前提で先行提案させていただいており、&lt;BR&gt;最短可能日にて、出稿ご調整お願いできますでしょうか。。。</v>
      </c>
      <c r="R2515" s="67" t="str">
        <f>IFERROR(__xludf.DUMMYFUNCTION("""COMPUTED_VALUE"""),"コミットOK")</f>
        <v>コミットOK</v>
      </c>
      <c r="S2515" s="67" t="str">
        <f>IFERROR(__xludf.DUMMYFUNCTION("""COMPUTED_VALUE"""),"20241126_秋田書店様_推しの妹に転生してしまったので、最凶の悪女になってお兄様を独占することにいたします(話売り)")</f>
        <v>20241126_秋田書店様_推しの妹に転生してしまったので、最凶の悪女になってお兄様を独占することにいたします(話売り)</v>
      </c>
      <c r="T2515" s="67" t="str">
        <f>IFERROR(__xludf.DUMMYFUNCTION("""COMPUTED_VALUE"""),"格納済み")</f>
        <v>格納済み</v>
      </c>
      <c r="U2515" s="15" t="str">
        <f>IFERROR(__xludf.DUMMYFUNCTION("""COMPUTED_VALUE"""),"(C)瀬戸玲・イツカぬくもり（秋田書店）")</f>
        <v>(C)瀬戸玲・イツカぬくもり（秋田書店）</v>
      </c>
      <c r="V2515" s="8" t="str">
        <f>IFERROR(__xludf.DUMMYFUNCTION("""COMPUTED_VALUE"""),"小説に登場する悪役侯爵・ノインに恋する雨宮渚を待ち受けていたのは死…のはずが、彼の妹・フラウに転生!?血の繋がりがなくても、兄妹の恋愛が禁じられたこの世界。愛するノインを誰にも渡さないため、“悪役令嬢・フラウ”として「全ての恋愛フラグをへし折って差し上げます！」")</f>
        <v>小説に登場する悪役侯爵・ノインに恋する雨宮渚を待ち受けていたのは死…のはずが、彼の妹・フラウに転生!?血の繋がりがなくても、兄妹の恋愛が禁じられたこの世界。愛するノインを誰にも渡さないため、“悪役令嬢・フラウ”として「全ての恋愛フラグをへし折って差し上げます！」</v>
      </c>
      <c r="W2515" s="14"/>
      <c r="X2515" s="14" t="str">
        <f>IFERROR(__xludf.DUMMYFUNCTION("""COMPUTED_VALUE"""),"有")</f>
        <v>有</v>
      </c>
      <c r="Y2515" s="8" t="str">
        <f>IFERROR(__xludf.DUMMYFUNCTION("""COMPUTED_VALUE"""),"2024/12/22まで1巻無料")</f>
        <v>2024/12/22まで1巻無料</v>
      </c>
      <c r="Z2515" s="7"/>
      <c r="AA2515" s="7"/>
      <c r="AB2515" s="7"/>
    </row>
    <row r="2516" ht="15.75" customHeight="1">
      <c r="A2516" s="26">
        <f>IFERROR(__xludf.DUMMYFUNCTION("""COMPUTED_VALUE"""),3437.0)</f>
        <v>3437</v>
      </c>
      <c r="B2516" s="22" t="str">
        <f>IFERROR(__xludf.DUMMYFUNCTION("""COMPUTED_VALUE"""),"確定")</f>
        <v>確定</v>
      </c>
      <c r="C2516" s="28">
        <f>IFERROR(__xludf.DUMMYFUNCTION("""COMPUTED_VALUE"""),45429.0)</f>
        <v>45429</v>
      </c>
      <c r="D2516" s="28">
        <f>IFERROR(__xludf.DUMMYFUNCTION("""COMPUTED_VALUE"""),45630.0)</f>
        <v>45630</v>
      </c>
      <c r="E2516" s="100">
        <f>IFERROR(__xludf.DUMMYFUNCTION("""COMPUTED_VALUE"""),311255.0)</f>
        <v>311255</v>
      </c>
      <c r="F2516" s="61" t="str">
        <f>IFERROR(__xludf.DUMMYFUNCTION("""COMPUTED_VALUE"""),"まことの恋をするものは")</f>
        <v>まことの恋をするものは</v>
      </c>
      <c r="G2516" s="20" t="str">
        <f>IFERROR(__xludf.DUMMYFUNCTION("""COMPUTED_VALUE"""),"1～4")</f>
        <v>1～4</v>
      </c>
      <c r="H2516" s="22" t="str">
        <f>IFERROR(__xludf.DUMMYFUNCTION("""COMPUTED_VALUE"""),"るかな")</f>
        <v>るかな</v>
      </c>
      <c r="I2516" s="22" t="str">
        <f>IFERROR(__xludf.DUMMYFUNCTION("""COMPUTED_VALUE"""),"少女")</f>
        <v>少女</v>
      </c>
      <c r="J2516" s="22"/>
      <c r="K2516" s="22"/>
      <c r="L2516" s="22" t="str">
        <f>IFERROR(__xludf.DUMMYFUNCTION("""COMPUTED_VALUE"""),"講談社")</f>
        <v>講談社</v>
      </c>
      <c r="M2516" s="33">
        <f>IFERROR(__xludf.DUMMYFUNCTION("""COMPUTED_VALUE"""),45651.0)</f>
        <v>45651</v>
      </c>
      <c r="N2516" s="23">
        <f>IFERROR(__xludf.DUMMYFUNCTION("""COMPUTED_VALUE"""),45740.0)</f>
        <v>45740</v>
      </c>
      <c r="O2516" s="20"/>
      <c r="P2516" s="34" t="str">
        <f>IFERROR(__xludf.DUMMYFUNCTION("""COMPUTED_VALUE"""),"否")</f>
        <v>否</v>
      </c>
      <c r="Q2516" s="31" t="str">
        <f>IFERROR(__xludf.DUMMYFUNCTION("""COMPUTED_VALUE"""),"こちらも4話目のデータが間に合っておらず、1～3話分の内容で出稿いただけますでしょうか？")</f>
        <v>こちらも4話目のデータが間に合っておらず、1～3話分の内容で出稿いただけますでしょうか？</v>
      </c>
      <c r="R2516" s="22" t="str">
        <f>IFERROR(__xludf.DUMMYFUNCTION("""COMPUTED_VALUE"""),"コミットOK")</f>
        <v>コミットOK</v>
      </c>
      <c r="S2516" s="22" t="str">
        <f>IFERROR(__xludf.DUMMYFUNCTION("""COMPUTED_VALUE"""),"20241211_講談社‗まことの恋を知るものは	")</f>
        <v>20241211_講談社‗まことの恋を知るものは	</v>
      </c>
      <c r="T2516" s="22" t="str">
        <f>IFERROR(__xludf.DUMMYFUNCTION("""COMPUTED_VALUE"""),"格納済み")</f>
        <v>格納済み</v>
      </c>
      <c r="U2516" s="15" t="str">
        <f>IFERROR(__xludf.DUMMYFUNCTION("""COMPUTED_VALUE"""),"Ⓒるかな/講談社")</f>
        <v>Ⓒるかな/講談社</v>
      </c>
      <c r="V2516" s="8" t="str">
        <f>IFERROR(__xludf.DUMMYFUNCTION("""COMPUTED_VALUE"""),"東京の大学に通うため上京した七瀬（ななせ）。キラキラのキャンパスライフを夢見ていたのに友達作りに失敗して、ひとりぼっちで大学生活を送ることに…。そんなある日、同じ講義を受けていて気になっていた哲学科の檜山（ひやま）先輩と話すように！檜山先輩に強く惹かれる七瀬の運命の夏がはじまる…！【Episode１「雨上がりの太陽よりも」を収録】")</f>
        <v>東京の大学に通うため上京した七瀬（ななせ）。キラキラのキャンパスライフを夢見ていたのに友達作りに失敗して、ひとりぼっちで大学生活を送ることに…。そんなある日、同じ講義を受けていて気になっていた哲学科の檜山（ひやま）先輩と話すように！檜山先輩に強く惹かれる七瀬の運命の夏がはじまる…！【Episode１「雨上がりの太陽よりも」を収録】</v>
      </c>
      <c r="W2516" s="14"/>
      <c r="X2516" s="14" t="str">
        <f>IFERROR(__xludf.DUMMYFUNCTION("""COMPUTED_VALUE"""),"有")</f>
        <v>有</v>
      </c>
      <c r="Y2516" s="8" t="str">
        <f>IFERROR(__xludf.DUMMYFUNCTION("""COMPUTED_VALUE"""),"P10まで")</f>
        <v>P10まで</v>
      </c>
      <c r="Z2516" s="7"/>
      <c r="AA2516" s="7"/>
      <c r="AB2516" s="7"/>
    </row>
    <row r="2517" ht="15.75" customHeight="1">
      <c r="A2517" s="26">
        <f>IFERROR(__xludf.DUMMYFUNCTION("""COMPUTED_VALUE"""),3438.0)</f>
        <v>3438</v>
      </c>
      <c r="B2517" s="22" t="str">
        <f>IFERROR(__xludf.DUMMYFUNCTION("""COMPUTED_VALUE"""),"確定")</f>
        <v>確定</v>
      </c>
      <c r="C2517" s="28">
        <f>IFERROR(__xludf.DUMMYFUNCTION("""COMPUTED_VALUE"""),45429.0)</f>
        <v>45429</v>
      </c>
      <c r="D2517" s="28">
        <f>IFERROR(__xludf.DUMMYFUNCTION("""COMPUTED_VALUE"""),45630.0)</f>
        <v>45630</v>
      </c>
      <c r="E2517" s="100">
        <f>IFERROR(__xludf.DUMMYFUNCTION("""COMPUTED_VALUE"""),311254.0)</f>
        <v>311254</v>
      </c>
      <c r="F2517" s="61" t="str">
        <f>IFERROR(__xludf.DUMMYFUNCTION("""COMPUTED_VALUE"""),"身を焦がすほどの愛を知れ　ベツフレプチ")</f>
        <v>身を焦がすほどの愛を知れ　ベツフレプチ</v>
      </c>
      <c r="G2517" s="20" t="str">
        <f>IFERROR(__xludf.DUMMYFUNCTION("""COMPUTED_VALUE"""),"1～4")</f>
        <v>1～4</v>
      </c>
      <c r="H2517" s="22" t="str">
        <f>IFERROR(__xludf.DUMMYFUNCTION("""COMPUTED_VALUE"""),"杏野まこ")</f>
        <v>杏野まこ</v>
      </c>
      <c r="I2517" s="22" t="str">
        <f>IFERROR(__xludf.DUMMYFUNCTION("""COMPUTED_VALUE"""),"少女")</f>
        <v>少女</v>
      </c>
      <c r="J2517" s="22"/>
      <c r="K2517" s="22"/>
      <c r="L2517" s="22" t="str">
        <f>IFERROR(__xludf.DUMMYFUNCTION("""COMPUTED_VALUE"""),"講談社")</f>
        <v>講談社</v>
      </c>
      <c r="M2517" s="33">
        <f>IFERROR(__xludf.DUMMYFUNCTION("""COMPUTED_VALUE"""),45651.0)</f>
        <v>45651</v>
      </c>
      <c r="N2517" s="23">
        <f>IFERROR(__xludf.DUMMYFUNCTION("""COMPUTED_VALUE"""),45740.0)</f>
        <v>45740</v>
      </c>
      <c r="O2517" s="20"/>
      <c r="P2517" s="34" t="str">
        <f>IFERROR(__xludf.DUMMYFUNCTION("""COMPUTED_VALUE"""),"否")</f>
        <v>否</v>
      </c>
      <c r="Q2517" s="31"/>
      <c r="R2517" s="22" t="str">
        <f>IFERROR(__xludf.DUMMYFUNCTION("""COMPUTED_VALUE"""),"コミットOK")</f>
        <v>コミットOK</v>
      </c>
      <c r="S2517" s="22" t="str">
        <f>IFERROR(__xludf.DUMMYFUNCTION("""COMPUTED_VALUE"""),"20241211_講談社‗身を焦がすほどの愛を知れ")</f>
        <v>20241211_講談社‗身を焦がすほどの愛を知れ</v>
      </c>
      <c r="T2517" s="22" t="str">
        <f>IFERROR(__xludf.DUMMYFUNCTION("""COMPUTED_VALUE"""),"格納済み")</f>
        <v>格納済み</v>
      </c>
      <c r="U2517" s="15" t="str">
        <f>IFERROR(__xludf.DUMMYFUNCTION("""COMPUTED_VALUE"""),"Ⓒ杏野まこ/講談社")</f>
        <v>Ⓒ杏野まこ/講談社</v>
      </c>
      <c r="V2517" s="8" t="str">
        <f>IFERROR(__xludf.DUMMYFUNCTION("""COMPUTED_VALUE"""),"未羽は隣の家の年上幼なじみ・蘭くんが好き。一方、蘭くんの弟・恋（れん）は、チャラくて女遊びも激しくて恋愛対象外！　のはずだったけど、未羽が辛い時に助けに来てくれたり、勘違いするようなセリフを言ってきたり、最近心をかき乱してくるのはなんで！？　でも、そんな恋の本性は、未羽を手に入れるためだったら何でも利用してしまう“闇深すぎる”性格で…！？　愛がいびつな闇パリピ男子との幼なじみラブ！【第1話「10年越しの片想い」を収録】")</f>
        <v>未羽は隣の家の年上幼なじみ・蘭くんが好き。一方、蘭くんの弟・恋（れん）は、チャラくて女遊びも激しくて恋愛対象外！　のはずだったけど、未羽が辛い時に助けに来てくれたり、勘違いするようなセリフを言ってきたり、最近心をかき乱してくるのはなんで！？　でも、そんな恋の本性は、未羽を手に入れるためだったら何でも利用してしまう“闇深すぎる”性格で…！？　愛がいびつな闇パリピ男子との幼なじみラブ！【第1話「10年越しの片想い」を収録】</v>
      </c>
      <c r="W2517" s="14"/>
      <c r="X2517" s="14" t="str">
        <f>IFERROR(__xludf.DUMMYFUNCTION("""COMPUTED_VALUE"""),"有")</f>
        <v>有</v>
      </c>
      <c r="Y2517" s="8" t="str">
        <f>IFERROR(__xludf.DUMMYFUNCTION("""COMPUTED_VALUE"""),"2025/6/24まで1巻無料")</f>
        <v>2025/6/24まで1巻無料</v>
      </c>
      <c r="Z2517" s="7"/>
      <c r="AA2517" s="7"/>
      <c r="AB2517" s="7"/>
    </row>
    <row r="2518" ht="15.75" customHeight="1">
      <c r="A2518" s="26">
        <f>IFERROR(__xludf.DUMMYFUNCTION("""COMPUTED_VALUE"""),4218.0)</f>
        <v>4218</v>
      </c>
      <c r="B2518" s="22" t="str">
        <f>IFERROR(__xludf.DUMMYFUNCTION("""COMPUTED_VALUE"""),"確定")</f>
        <v>確定</v>
      </c>
      <c r="C2518" s="28">
        <f>IFERROR(__xludf.DUMMYFUNCTION("""COMPUTED_VALUE"""),45567.0)</f>
        <v>45567</v>
      </c>
      <c r="D2518" s="28">
        <f>IFERROR(__xludf.DUMMYFUNCTION("""COMPUTED_VALUE"""),45630.0)</f>
        <v>45630</v>
      </c>
      <c r="E2518" s="100">
        <f>IFERROR(__xludf.DUMMYFUNCTION("""COMPUTED_VALUE"""),310491.0)</f>
        <v>310491</v>
      </c>
      <c r="F2518" s="61" t="str">
        <f>IFERROR(__xludf.DUMMYFUNCTION("""COMPUTED_VALUE"""),"公爵様、悪妻の私はもう放っておいてください【連載版】")</f>
        <v>公爵様、悪妻の私はもう放っておいてください【連載版】</v>
      </c>
      <c r="G2518" s="20" t="str">
        <f>IFERROR(__xludf.DUMMYFUNCTION("""COMPUTED_VALUE"""),"1～3")</f>
        <v>1～3</v>
      </c>
      <c r="H2518" s="22" t="str">
        <f>IFERROR(__xludf.DUMMYFUNCTION("""COMPUTED_VALUE"""),"桜乃みか;琴子")</f>
        <v>桜乃みか;琴子</v>
      </c>
      <c r="I2518" s="22" t="str">
        <f>IFERROR(__xludf.DUMMYFUNCTION("""COMPUTED_VALUE"""),"少女")</f>
        <v>少女</v>
      </c>
      <c r="J2518" s="22"/>
      <c r="K2518" s="22" t="str">
        <f>IFERROR(__xludf.DUMMYFUNCTION("""COMPUTED_VALUE"""),"ZERO-SUMコミックス")</f>
        <v>ZERO-SUMコミックス</v>
      </c>
      <c r="L2518" s="22" t="str">
        <f>IFERROR(__xludf.DUMMYFUNCTION("""COMPUTED_VALUE"""),"一迅社")</f>
        <v>一迅社</v>
      </c>
      <c r="M2518" s="23">
        <f>IFERROR(__xludf.DUMMYFUNCTION("""COMPUTED_VALUE"""),45671.0)</f>
        <v>45671</v>
      </c>
      <c r="N2518" s="23">
        <f>IFERROR(__xludf.DUMMYFUNCTION("""COMPUTED_VALUE"""),45806.66666666667)</f>
        <v>45806.66667</v>
      </c>
      <c r="O2518" s="20"/>
      <c r="P2518" s="34" t="str">
        <f>IFERROR(__xludf.DUMMYFUNCTION("""COMPUTED_VALUE"""),"可")</f>
        <v>可</v>
      </c>
      <c r="Q2518" s="31" t="str">
        <f>IFERROR(__xludf.DUMMYFUNCTION("""COMPUTED_VALUE"""),"・作画、原作量著者とも実績がり、テーマ的にも期待値の高い新作です。（原作は「即退場したい脇役なのに、寝取ってしまった王子様が逃がしてくれません」の先生と同じです。）&lt;BR&gt;・広告を意識して作られた作品で、フォルダ内の作品資料におすすめコマの記載もあります。ご参照ください。")</f>
        <v>・作画、原作量著者とも実績がり、テーマ的にも期待値の高い新作です。（原作は「即退場したい脇役なのに、寝取ってしまった王子様が逃がしてくれません」の先生と同じです。）&lt;BR&gt;・広告を意識して作られた作品で、フォルダ内の作品資料におすすめコマの記載もあります。ご参照ください。</v>
      </c>
      <c r="R2518" s="22" t="str">
        <f>IFERROR(__xludf.DUMMYFUNCTION("""COMPUTED_VALUE"""),"コミットOK")</f>
        <v>コミットOK</v>
      </c>
      <c r="S2518" s="22" t="str">
        <f>IFERROR(__xludf.DUMMYFUNCTION("""COMPUTED_VALUE"""),"20241203_一迅社_公爵様、悪妻の私はもう放っておいてください　【連載版】")</f>
        <v>20241203_一迅社_公爵様、悪妻の私はもう放っておいてください　【連載版】</v>
      </c>
      <c r="T2518" s="22" t="str">
        <f>IFERROR(__xludf.DUMMYFUNCTION("""COMPUTED_VALUE"""),"格納済み")</f>
        <v>格納済み</v>
      </c>
      <c r="U2518" s="15" t="str">
        <f>IFERROR(__xludf.DUMMYFUNCTION("""COMPUTED_VALUE"""),"(C)桜乃みか・琴子／一迅社")</f>
        <v>(C)桜乃みか・琴子／一迅社</v>
      </c>
      <c r="V2518" s="8" t="str">
        <f>IFERROR(__xludf.DUMMYFUNCTION("""COMPUTED_VALUE"""),"「今日も朝まで付き合ってくださいね、俺の奥さん？」悪妻に転生したはずなのに、どうして愛おしそうな目で見てくるの――!?ある日気づいたら、昔読んだ小説の悪妻キャラ・イルゼになっていた。主人公のギルバートとヒロインの仲を邪魔するイルゼの結末は、娼館落ちという悲惨なもの。本来の展開を変えるべく、イルゼはギルバートとの円満離婚を思い立つ。悲惨な結末さえ回避すればこの世界も楽しめるかも！なんて考えていた矢先、ギルバートが寝室に現れて!?「その泣き顔は悪くない」「せいぜいそのまま嫌がるフリをしていてください」踏んだり"&amp;"蹴ったり抱かれたり(?)で散々なイルゼとクールなドS公爵の恋模様にときめき必至のラブコメディ！【本商品は単話コンテンツとなります。単行本版と収録内容が異なる場合がございます。漫画内の告知等は過去のものとなりますので、ご注意ください。】")</f>
        <v>「今日も朝まで付き合ってくださいね、俺の奥さん？」悪妻に転生したはずなのに、どうして愛おしそうな目で見てくるの――!?ある日気づいたら、昔読んだ小説の悪妻キャラ・イルゼになっていた。主人公のギルバートとヒロインの仲を邪魔するイルゼの結末は、娼館落ちという悲惨なもの。本来の展開を変えるべく、イルゼはギルバートとの円満離婚を思い立つ。悲惨な結末さえ回避すればこの世界も楽しめるかも！なんて考えていた矢先、ギルバートが寝室に現れて!?「その泣き顔は悪くない」「せいぜいそのまま嫌がるフリをしていてください」踏んだり蹴ったり抱かれたり(?)で散々なイルゼとクールなドS公爵の恋模様にときめき必至のラブコメディ！【本商品は単話コンテンツとなります。単行本版と収録内容が異なる場合がございます。漫画内の告知等は過去のものとなりますので、ご注意ください。】</v>
      </c>
      <c r="W2518" s="14"/>
      <c r="X2518" s="14" t="str">
        <f>IFERROR(__xludf.DUMMYFUNCTION("""COMPUTED_VALUE"""),"有")</f>
        <v>有</v>
      </c>
      <c r="Y2518" s="8" t="str">
        <f>IFERROR(__xludf.DUMMYFUNCTION("""COMPUTED_VALUE"""),"P10まで")</f>
        <v>P10まで</v>
      </c>
      <c r="Z2518" s="7"/>
      <c r="AA2518" s="7"/>
      <c r="AB2518" s="7"/>
    </row>
    <row r="2519" ht="15.75" customHeight="1">
      <c r="A2519" s="26">
        <f>IFERROR(__xludf.DUMMYFUNCTION("""COMPUTED_VALUE"""),4260.0)</f>
        <v>4260</v>
      </c>
      <c r="B2519" s="22" t="str">
        <f>IFERROR(__xludf.DUMMYFUNCTION("""COMPUTED_VALUE"""),"確定")</f>
        <v>確定</v>
      </c>
      <c r="C2519" s="28">
        <f>IFERROR(__xludf.DUMMYFUNCTION("""COMPUTED_VALUE"""),45572.0)</f>
        <v>45572</v>
      </c>
      <c r="D2519" s="28">
        <f>IFERROR(__xludf.DUMMYFUNCTION("""COMPUTED_VALUE"""),45630.0)</f>
        <v>45630</v>
      </c>
      <c r="E2519" s="100">
        <f>IFERROR(__xludf.DUMMYFUNCTION("""COMPUTED_VALUE"""),310201.0)</f>
        <v>310201</v>
      </c>
      <c r="F2519" s="61" t="str">
        <f>IFERROR(__xludf.DUMMYFUNCTION("""COMPUTED_VALUE"""),"ひとりエッチは浮気に入りますか？～可愛いカレとイジワルえっち～")</f>
        <v>ひとりエッチは浮気に入りますか？～可愛いカレとイジワルえっち～</v>
      </c>
      <c r="G2519" s="20">
        <f>IFERROR(__xludf.DUMMYFUNCTION("""COMPUTED_VALUE"""),1.0)</f>
        <v>1</v>
      </c>
      <c r="H2519" s="22" t="str">
        <f>IFERROR(__xludf.DUMMYFUNCTION("""COMPUTED_VALUE"""),"宇二シカ")</f>
        <v>宇二シカ</v>
      </c>
      <c r="I2519" s="22" t="str">
        <f>IFERROR(__xludf.DUMMYFUNCTION("""COMPUTED_VALUE"""),"TL")</f>
        <v>TL</v>
      </c>
      <c r="J2519" s="22"/>
      <c r="K2519" s="22" t="str">
        <f>IFERROR(__xludf.DUMMYFUNCTION("""COMPUTED_VALUE"""),"LOVEBITES")</f>
        <v>LOVEBITES</v>
      </c>
      <c r="L2519" s="22" t="str">
        <f>IFERROR(__xludf.DUMMYFUNCTION("""COMPUTED_VALUE"""),"一迅社")</f>
        <v>一迅社</v>
      </c>
      <c r="M2519" s="59">
        <f>IFERROR(__xludf.DUMMYFUNCTION("""COMPUTED_VALUE"""),45658.0)</f>
        <v>45658</v>
      </c>
      <c r="N2519" s="59">
        <f>IFERROR(__xludf.DUMMYFUNCTION("""COMPUTED_VALUE"""),45688.0)</f>
        <v>45688</v>
      </c>
      <c r="O2519" s="20"/>
      <c r="P2519" s="34" t="str">
        <f>IFERROR(__xludf.DUMMYFUNCTION("""COMPUTED_VALUE"""),"可")</f>
        <v>可</v>
      </c>
      <c r="Q2519" s="31" t="str">
        <f>IFERROR(__xludf.DUMMYFUNCTION("""COMPUTED_VALUE"""),"・「いつから抱く側だと思ってたの？～可愛いカレをめちゃくちゃにシたい！女攻めアンソロジー～」https://www.cmoa.jp/title/282949/　の2巻として配信されるコンテンツのばら売りとなります。アンソロジーも先行です。&lt;BR&gt;※なるべくリリース日に間に合わせてほしいが1/6～1/12の間に広告開始がずれ込むのは出版社許容済み")</f>
        <v>・「いつから抱く側だと思ってたの？～可愛いカレをめちゃくちゃにシたい！女攻めアンソロジー～」https://www.cmoa.jp/title/282949/　の2巻として配信されるコンテンツのばら売りとなります。アンソロジーも先行です。&lt;BR&gt;※なるべくリリース日に間に合わせてほしいが1/6～1/12の間に広告開始がずれ込むのは出版社許容済み</v>
      </c>
      <c r="R2519" s="22" t="str">
        <f>IFERROR(__xludf.DUMMYFUNCTION("""COMPUTED_VALUE"""),"コミットOK")</f>
        <v>コミットOK</v>
      </c>
      <c r="S2519" s="22" t="str">
        <f>IFERROR(__xludf.DUMMYFUNCTION("""COMPUTED_VALUE"""),"20241203_一迅社_ひとりエッチは浮気に入りますか？～可愛いカレとイジワルえっち～")</f>
        <v>20241203_一迅社_ひとりエッチは浮気に入りますか？～可愛いカレとイジワルえっち～</v>
      </c>
      <c r="T2519" s="22" t="str">
        <f>IFERROR(__xludf.DUMMYFUNCTION("""COMPUTED_VALUE"""),"格納済み")</f>
        <v>格納済み</v>
      </c>
      <c r="U2519" s="15" t="str">
        <f>IFERROR(__xludf.DUMMYFUNCTION("""COMPUTED_VALUE"""),"(C)宇二シカ／一迅社")</f>
        <v>(C)宇二シカ／一迅社</v>
      </c>
      <c r="V2519" s="8" t="str">
        <f>IFERROR(__xludf.DUMMYFUNCTION("""COMPUTED_VALUE"""),"早く駒ちゃんに×××してほしい…。――ある日、駒子が帰宅すると、彼氏の良太がおもちゃを持ってどんよりしていて…!?※この作品は『いつから抱く側だと思ってたの？～可愛いカレをめちゃくちゃにシたい！女攻めアンソロジー2～』収録作品と同一の内容を単話版として再編集したものとなります。")</f>
        <v>早く駒ちゃんに×××してほしい…。――ある日、駒子が帰宅すると、彼氏の良太がおもちゃを持ってどんよりしていて…!?※この作品は『いつから抱く側だと思ってたの？～可愛いカレをめちゃくちゃにシたい！女攻めアンソロジー2～』収録作品と同一の内容を単話版として再編集したものとなります。</v>
      </c>
      <c r="W2519" s="14"/>
      <c r="X2519" s="14" t="str">
        <f>IFERROR(__xludf.DUMMYFUNCTION("""COMPUTED_VALUE"""),"有")</f>
        <v>有</v>
      </c>
      <c r="Y2519" s="8" t="str">
        <f>IFERROR(__xludf.DUMMYFUNCTION("""COMPUTED_VALUE"""),"P6まで")</f>
        <v>P6まで</v>
      </c>
      <c r="Z2519" s="7"/>
      <c r="AA2519" s="7"/>
      <c r="AB2519" s="7"/>
    </row>
    <row r="2520" ht="15.75" customHeight="1">
      <c r="A2520" s="26">
        <f>IFERROR(__xludf.DUMMYFUNCTION("""COMPUTED_VALUE"""),4261.0)</f>
        <v>4261</v>
      </c>
      <c r="B2520" s="22" t="str">
        <f>IFERROR(__xludf.DUMMYFUNCTION("""COMPUTED_VALUE"""),"確定")</f>
        <v>確定</v>
      </c>
      <c r="C2520" s="28">
        <f>IFERROR(__xludf.DUMMYFUNCTION("""COMPUTED_VALUE"""),45572.0)</f>
        <v>45572</v>
      </c>
      <c r="D2520" s="28">
        <f>IFERROR(__xludf.DUMMYFUNCTION("""COMPUTED_VALUE"""),45630.0)</f>
        <v>45630</v>
      </c>
      <c r="E2520" s="100">
        <f>IFERROR(__xludf.DUMMYFUNCTION("""COMPUTED_VALUE"""),310204.0)</f>
        <v>310204</v>
      </c>
      <c r="F2520" s="61" t="str">
        <f>IFERROR(__xludf.DUMMYFUNCTION("""COMPUTED_VALUE"""),"可愛い彼氏のメイドコス")</f>
        <v>可愛い彼氏のメイドコス</v>
      </c>
      <c r="G2520" s="20">
        <f>IFERROR(__xludf.DUMMYFUNCTION("""COMPUTED_VALUE"""),1.0)</f>
        <v>1</v>
      </c>
      <c r="H2520" s="22" t="str">
        <f>IFERROR(__xludf.DUMMYFUNCTION("""COMPUTED_VALUE"""),"塩原しのぎ")</f>
        <v>塩原しのぎ</v>
      </c>
      <c r="I2520" s="22" t="str">
        <f>IFERROR(__xludf.DUMMYFUNCTION("""COMPUTED_VALUE"""),"TL")</f>
        <v>TL</v>
      </c>
      <c r="J2520" s="22"/>
      <c r="K2520" s="22" t="str">
        <f>IFERROR(__xludf.DUMMYFUNCTION("""COMPUTED_VALUE"""),"LOVEBITES")</f>
        <v>LOVEBITES</v>
      </c>
      <c r="L2520" s="22" t="str">
        <f>IFERROR(__xludf.DUMMYFUNCTION("""COMPUTED_VALUE"""),"一迅社")</f>
        <v>一迅社</v>
      </c>
      <c r="M2520" s="59">
        <f>IFERROR(__xludf.DUMMYFUNCTION("""COMPUTED_VALUE"""),45658.0)</f>
        <v>45658</v>
      </c>
      <c r="N2520" s="59">
        <f>IFERROR(__xludf.DUMMYFUNCTION("""COMPUTED_VALUE"""),45688.0)</f>
        <v>45688</v>
      </c>
      <c r="O2520" s="20"/>
      <c r="P2520" s="34" t="str">
        <f>IFERROR(__xludf.DUMMYFUNCTION("""COMPUTED_VALUE"""),"可")</f>
        <v>可</v>
      </c>
      <c r="Q2520" s="31" t="str">
        <f>IFERROR(__xludf.DUMMYFUNCTION("""COMPUTED_VALUE"""),"・「いつから抱く側だと思ってたの？～可愛いカレをめちゃくちゃにシたい！女攻めアンソロジー～」https://www.cmoa.jp/title/282949/　の2巻として配信されるコンテンツのばら売りとなります。アンソロジーも先行です。&lt;BR&gt;※なるべくリリース日に間に合わせてほしいが1/6～1/12の間に広告開始がずれ込むのは出版社許容済み")</f>
        <v>・「いつから抱く側だと思ってたの？～可愛いカレをめちゃくちゃにシたい！女攻めアンソロジー～」https://www.cmoa.jp/title/282949/　の2巻として配信されるコンテンツのばら売りとなります。アンソロジーも先行です。&lt;BR&gt;※なるべくリリース日に間に合わせてほしいが1/6～1/12の間に広告開始がずれ込むのは出版社許容済み</v>
      </c>
      <c r="R2520" s="22" t="str">
        <f>IFERROR(__xludf.DUMMYFUNCTION("""COMPUTED_VALUE"""),"コミットOK")</f>
        <v>コミットOK</v>
      </c>
      <c r="S2520" s="22" t="str">
        <f>IFERROR(__xludf.DUMMYFUNCTION("""COMPUTED_VALUE"""),"20241203_一迅社_可愛い彼氏のメイドコス")</f>
        <v>20241203_一迅社_可愛い彼氏のメイドコス</v>
      </c>
      <c r="T2520" s="22" t="str">
        <f>IFERROR(__xludf.DUMMYFUNCTION("""COMPUTED_VALUE"""),"格納済み")</f>
        <v>格納済み</v>
      </c>
      <c r="U2520" s="15" t="str">
        <f>IFERROR(__xludf.DUMMYFUNCTION("""COMPUTED_VALUE"""),"(C)塩原しのぎ／一迅社")</f>
        <v>(C)塩原しのぎ／一迅社</v>
      </c>
      <c r="V2520" s="8" t="str">
        <f>IFERROR(__xludf.DUMMYFUNCTION("""COMPUTED_VALUE"""),"ご奉仕したらこんなになっちゃったの？――彼女である曜子のスマホにメイド姿の風俗のお兄さんの写真があるのを見つけてしまった修二。そんな修二が固めた決意とは…?※この作品は『いつから抱く側だと思ってたの？～可愛いカレをめちゃくちゃにシたい！女攻めアンソロジー2～』収録作品と同一の内容を単話版として再編集したものとなります。")</f>
        <v>ご奉仕したらこんなになっちゃったの？――彼女である曜子のスマホにメイド姿の風俗のお兄さんの写真があるのを見つけてしまった修二。そんな修二が固めた決意とは…?※この作品は『いつから抱く側だと思ってたの？～可愛いカレをめちゃくちゃにシたい！女攻めアンソロジー2～』収録作品と同一の内容を単話版として再編集したものとなります。</v>
      </c>
      <c r="W2520" s="14"/>
      <c r="X2520" s="14" t="str">
        <f>IFERROR(__xludf.DUMMYFUNCTION("""COMPUTED_VALUE"""),"有")</f>
        <v>有</v>
      </c>
      <c r="Y2520" s="8" t="str">
        <f>IFERROR(__xludf.DUMMYFUNCTION("""COMPUTED_VALUE"""),"P5まで")</f>
        <v>P5まで</v>
      </c>
      <c r="Z2520" s="7"/>
      <c r="AA2520" s="7"/>
      <c r="AB2520" s="7"/>
    </row>
    <row r="2521" ht="15.75" customHeight="1">
      <c r="A2521" s="26">
        <f>IFERROR(__xludf.DUMMYFUNCTION("""COMPUTED_VALUE"""),4263.0)</f>
        <v>4263</v>
      </c>
      <c r="B2521" s="22" t="str">
        <f>IFERROR(__xludf.DUMMYFUNCTION("""COMPUTED_VALUE"""),"確定")</f>
        <v>確定</v>
      </c>
      <c r="C2521" s="28">
        <f>IFERROR(__xludf.DUMMYFUNCTION("""COMPUTED_VALUE"""),45572.0)</f>
        <v>45572</v>
      </c>
      <c r="D2521" s="28">
        <f>IFERROR(__xludf.DUMMYFUNCTION("""COMPUTED_VALUE"""),45630.0)</f>
        <v>45630</v>
      </c>
      <c r="E2521" s="100">
        <f>IFERROR(__xludf.DUMMYFUNCTION("""COMPUTED_VALUE"""),310203.0)</f>
        <v>310203</v>
      </c>
      <c r="F2521" s="61" t="str">
        <f>IFERROR(__xludf.DUMMYFUNCTION("""COMPUTED_VALUE"""),"ビーマイベイビー、一之瀬くん！")</f>
        <v>ビーマイベイビー、一之瀬くん！</v>
      </c>
      <c r="G2521" s="20">
        <f>IFERROR(__xludf.DUMMYFUNCTION("""COMPUTED_VALUE"""),1.0)</f>
        <v>1</v>
      </c>
      <c r="H2521" s="22" t="str">
        <f>IFERROR(__xludf.DUMMYFUNCTION("""COMPUTED_VALUE"""),"今井ささる")</f>
        <v>今井ささる</v>
      </c>
      <c r="I2521" s="22" t="str">
        <f>IFERROR(__xludf.DUMMYFUNCTION("""COMPUTED_VALUE"""),"TL")</f>
        <v>TL</v>
      </c>
      <c r="J2521" s="22"/>
      <c r="K2521" s="22" t="str">
        <f>IFERROR(__xludf.DUMMYFUNCTION("""COMPUTED_VALUE"""),"LOVEBITES")</f>
        <v>LOVEBITES</v>
      </c>
      <c r="L2521" s="22" t="str">
        <f>IFERROR(__xludf.DUMMYFUNCTION("""COMPUTED_VALUE"""),"一迅社")</f>
        <v>一迅社</v>
      </c>
      <c r="M2521" s="59">
        <f>IFERROR(__xludf.DUMMYFUNCTION("""COMPUTED_VALUE"""),45658.0)</f>
        <v>45658</v>
      </c>
      <c r="N2521" s="59">
        <f>IFERROR(__xludf.DUMMYFUNCTION("""COMPUTED_VALUE"""),45688.0)</f>
        <v>45688</v>
      </c>
      <c r="O2521" s="20"/>
      <c r="P2521" s="34" t="str">
        <f>IFERROR(__xludf.DUMMYFUNCTION("""COMPUTED_VALUE"""),"可")</f>
        <v>可</v>
      </c>
      <c r="Q2521" s="31" t="str">
        <f>IFERROR(__xludf.DUMMYFUNCTION("""COMPUTED_VALUE"""),"・「いつから抱く側だと思ってたの？～可愛いカレをめちゃくちゃにシたい！女攻めアンソロジー～」https://www.cmoa.jp/title/282949/　の2巻として配信されるコンテンツのばら売りとなります。アンソロジーも先行です。&lt;BR&gt;※なるべくリリース日に間に合わせてほしいが1/6～1/12の間に広告開始がずれ込むのは出版社許容済み")</f>
        <v>・「いつから抱く側だと思ってたの？～可愛いカレをめちゃくちゃにシたい！女攻めアンソロジー～」https://www.cmoa.jp/title/282949/　の2巻として配信されるコンテンツのばら売りとなります。アンソロジーも先行です。&lt;BR&gt;※なるべくリリース日に間に合わせてほしいが1/6～1/12の間に広告開始がずれ込むのは出版社許容済み</v>
      </c>
      <c r="R2521" s="22" t="str">
        <f>IFERROR(__xludf.DUMMYFUNCTION("""COMPUTED_VALUE"""),"コミットOK")</f>
        <v>コミットOK</v>
      </c>
      <c r="S2521" s="22" t="str">
        <f>IFERROR(__xludf.DUMMYFUNCTION("""COMPUTED_VALUE"""),"20241203_一迅社_ビーマイベイビー、一之瀬くん！")</f>
        <v>20241203_一迅社_ビーマイベイビー、一之瀬くん！</v>
      </c>
      <c r="T2521" s="22" t="str">
        <f>IFERROR(__xludf.DUMMYFUNCTION("""COMPUTED_VALUE"""),"格納済み")</f>
        <v>格納済み</v>
      </c>
      <c r="U2521" s="15" t="str">
        <f>IFERROR(__xludf.DUMMYFUNCTION("""COMPUTED_VALUE"""),"(C)今井ささる／一迅社")</f>
        <v>(C)今井ささる／一迅社</v>
      </c>
      <c r="V2521" s="8" t="str">
        <f>IFERROR(__xludf.DUMMYFUNCTION("""COMPUTED_VALUE"""),"よーくん、腰へこへこしてるよ？――ぼっちを回避するべく、彼女探しをしていた一之瀬くんは、いつも眠そうにしているねねちゃんに一目惚れして…?※この作品は『いつから抱く側だと思ってたの？～可愛いカレをめちゃくちゃにシたい！女攻めアンソロジー2～』収録作品と同一の内容を単話版として再編集したものとなります。")</f>
        <v>よーくん、腰へこへこしてるよ？――ぼっちを回避するべく、彼女探しをしていた一之瀬くんは、いつも眠そうにしているねねちゃんに一目惚れして…?※この作品は『いつから抱く側だと思ってたの？～可愛いカレをめちゃくちゃにシたい！女攻めアンソロジー2～』収録作品と同一の内容を単話版として再編集したものとなります。</v>
      </c>
      <c r="W2521" s="14"/>
      <c r="X2521" s="14" t="str">
        <f>IFERROR(__xludf.DUMMYFUNCTION("""COMPUTED_VALUE"""),"有")</f>
        <v>有</v>
      </c>
      <c r="Y2521" s="8" t="str">
        <f>IFERROR(__xludf.DUMMYFUNCTION("""COMPUTED_VALUE"""),"P7まで")</f>
        <v>P7まで</v>
      </c>
      <c r="Z2521" s="7"/>
      <c r="AA2521" s="7"/>
      <c r="AB2521" s="7"/>
    </row>
    <row r="2522" ht="15.75" customHeight="1">
      <c r="A2522" s="26">
        <f>IFERROR(__xludf.DUMMYFUNCTION("""COMPUTED_VALUE"""),4264.0)</f>
        <v>4264</v>
      </c>
      <c r="B2522" s="22" t="str">
        <f>IFERROR(__xludf.DUMMYFUNCTION("""COMPUTED_VALUE"""),"確定")</f>
        <v>確定</v>
      </c>
      <c r="C2522" s="28">
        <f>IFERROR(__xludf.DUMMYFUNCTION("""COMPUTED_VALUE"""),45572.0)</f>
        <v>45572</v>
      </c>
      <c r="D2522" s="28">
        <f>IFERROR(__xludf.DUMMYFUNCTION("""COMPUTED_VALUE"""),45630.0)</f>
        <v>45630</v>
      </c>
      <c r="E2522" s="100">
        <f>IFERROR(__xludf.DUMMYFUNCTION("""COMPUTED_VALUE"""),310205.0)</f>
        <v>310205</v>
      </c>
      <c r="F2522" s="61" t="str">
        <f>IFERROR(__xludf.DUMMYFUNCTION("""COMPUTED_VALUE"""),"師匠が結婚してくれないので既成事実を作ります")</f>
        <v>師匠が結婚してくれないので既成事実を作ります</v>
      </c>
      <c r="G2522" s="20">
        <f>IFERROR(__xludf.DUMMYFUNCTION("""COMPUTED_VALUE"""),1.0)</f>
        <v>1</v>
      </c>
      <c r="H2522" s="22" t="str">
        <f>IFERROR(__xludf.DUMMYFUNCTION("""COMPUTED_VALUE"""),"藍川")</f>
        <v>藍川</v>
      </c>
      <c r="I2522" s="22" t="str">
        <f>IFERROR(__xludf.DUMMYFUNCTION("""COMPUTED_VALUE"""),"TL")</f>
        <v>TL</v>
      </c>
      <c r="J2522" s="22"/>
      <c r="K2522" s="22" t="str">
        <f>IFERROR(__xludf.DUMMYFUNCTION("""COMPUTED_VALUE"""),"LOVEBITES")</f>
        <v>LOVEBITES</v>
      </c>
      <c r="L2522" s="22" t="str">
        <f>IFERROR(__xludf.DUMMYFUNCTION("""COMPUTED_VALUE"""),"一迅社")</f>
        <v>一迅社</v>
      </c>
      <c r="M2522" s="59">
        <f>IFERROR(__xludf.DUMMYFUNCTION("""COMPUTED_VALUE"""),45658.0)</f>
        <v>45658</v>
      </c>
      <c r="N2522" s="59">
        <f>IFERROR(__xludf.DUMMYFUNCTION("""COMPUTED_VALUE"""),45688.0)</f>
        <v>45688</v>
      </c>
      <c r="O2522" s="20"/>
      <c r="P2522" s="34" t="str">
        <f>IFERROR(__xludf.DUMMYFUNCTION("""COMPUTED_VALUE"""),"可")</f>
        <v>可</v>
      </c>
      <c r="Q2522" s="31" t="str">
        <f>IFERROR(__xludf.DUMMYFUNCTION("""COMPUTED_VALUE"""),"・「いつから抱く側だと思ってたの？～可愛いカレをめちゃくちゃにシたい！女攻めアンソロジー～」https://www.cmoa.jp/title/282949/　の2巻として配信されるコンテンツのばら売りとなります。アンソロジーも先行です。&lt;BR&gt;※なるべくリリース日に間に合わせてほしいが1/6～1/12の間に広告開始がずれ込むのは出版社許容済み")</f>
        <v>・「いつから抱く側だと思ってたの？～可愛いカレをめちゃくちゃにシたい！女攻めアンソロジー～」https://www.cmoa.jp/title/282949/　の2巻として配信されるコンテンツのばら売りとなります。アンソロジーも先行です。&lt;BR&gt;※なるべくリリース日に間に合わせてほしいが1/6～1/12の間に広告開始がずれ込むのは出版社許容済み</v>
      </c>
      <c r="R2522" s="22" t="str">
        <f>IFERROR(__xludf.DUMMYFUNCTION("""COMPUTED_VALUE"""),"コミットOK")</f>
        <v>コミットOK</v>
      </c>
      <c r="S2522" s="22" t="str">
        <f>IFERROR(__xludf.DUMMYFUNCTION("""COMPUTED_VALUE"""),"20241203_一迅社_師匠が結婚してくれないので既成事実を作ります")</f>
        <v>20241203_一迅社_師匠が結婚してくれないので既成事実を作ります</v>
      </c>
      <c r="T2522" s="22" t="str">
        <f>IFERROR(__xludf.DUMMYFUNCTION("""COMPUTED_VALUE"""),"格納済み")</f>
        <v>格納済み</v>
      </c>
      <c r="U2522" s="15" t="str">
        <f>IFERROR(__xludf.DUMMYFUNCTION("""COMPUTED_VALUE"""),"(C)藍川／一迅社")</f>
        <v>(C)藍川／一迅社</v>
      </c>
      <c r="V2522" s="8" t="str">
        <f>IFERROR(__xludf.DUMMYFUNCTION("""COMPUTED_VALUE"""),"今日は全部出しきってもらいますから――出世した愛弟子が訪ねてきたかと思えば、突然求婚してきて…!?※この作品は『いつから抱く側だと思ってたの？～可愛いカレをめちゃくちゃにシたい！女攻めアンソロジー2～』収録作品と同一の内容を単話版として再編集したものとなります。")</f>
        <v>今日は全部出しきってもらいますから――出世した愛弟子が訪ねてきたかと思えば、突然求婚してきて…!?※この作品は『いつから抱く側だと思ってたの？～可愛いカレをめちゃくちゃにシたい！女攻めアンソロジー2～』収録作品と同一の内容を単話版として再編集したものとなります。</v>
      </c>
      <c r="W2522" s="14"/>
      <c r="X2522" s="14" t="str">
        <f>IFERROR(__xludf.DUMMYFUNCTION("""COMPUTED_VALUE"""),"有")</f>
        <v>有</v>
      </c>
      <c r="Y2522" s="8" t="str">
        <f>IFERROR(__xludf.DUMMYFUNCTION("""COMPUTED_VALUE"""),"P8まで")</f>
        <v>P8まで</v>
      </c>
      <c r="Z2522" s="7"/>
      <c r="AA2522" s="7"/>
      <c r="AB2522" s="7"/>
    </row>
    <row r="2523" ht="15.75" customHeight="1">
      <c r="A2523" s="26">
        <f>IFERROR(__xludf.DUMMYFUNCTION("""COMPUTED_VALUE"""),4357.0)</f>
        <v>4357</v>
      </c>
      <c r="B2523" s="22" t="str">
        <f>IFERROR(__xludf.DUMMYFUNCTION("""COMPUTED_VALUE"""),"確定")</f>
        <v>確定</v>
      </c>
      <c r="C2523" s="28">
        <f>IFERROR(__xludf.DUMMYFUNCTION("""COMPUTED_VALUE"""),45583.0)</f>
        <v>45583</v>
      </c>
      <c r="D2523" s="28">
        <f>IFERROR(__xludf.DUMMYFUNCTION("""COMPUTED_VALUE"""),45629.0)</f>
        <v>45629</v>
      </c>
      <c r="E2523" s="100">
        <f>IFERROR(__xludf.DUMMYFUNCTION("""COMPUTED_VALUE"""),308467.0)</f>
        <v>308467</v>
      </c>
      <c r="F2523" s="61" t="str">
        <f>IFERROR(__xludf.DUMMYFUNCTION("""COMPUTED_VALUE"""),"『縁結び令嬢』がモテ王子の婚活を手伝ったら、なぜか口説かれているのですが!?")</f>
        <v>『縁結び令嬢』がモテ王子の婚活を手伝ったら、なぜか口説かれているのですが!?</v>
      </c>
      <c r="G2523" s="20" t="str">
        <f>IFERROR(__xludf.DUMMYFUNCTION("""COMPUTED_VALUE"""),"1～3")</f>
        <v>1～3</v>
      </c>
      <c r="H2523" s="22" t="str">
        <f>IFERROR(__xludf.DUMMYFUNCTION("""COMPUTED_VALUE"""),"藍羽")</f>
        <v>藍羽</v>
      </c>
      <c r="I2523" s="22" t="str">
        <f>IFERROR(__xludf.DUMMYFUNCTION("""COMPUTED_VALUE"""),"女性マンガ")</f>
        <v>女性マンガ</v>
      </c>
      <c r="J2523" s="22"/>
      <c r="K2523" s="22"/>
      <c r="L2523" s="22" t="str">
        <f>IFERROR(__xludf.DUMMYFUNCTION("""COMPUTED_VALUE"""),"プランタン出版")</f>
        <v>プランタン出版</v>
      </c>
      <c r="M2523" s="23">
        <f>IFERROR(__xludf.DUMMYFUNCTION("""COMPUTED_VALUE"""),45632.0)</f>
        <v>45632</v>
      </c>
      <c r="N2523" s="23">
        <f>IFERROR(__xludf.DUMMYFUNCTION("""COMPUTED_VALUE"""),45722.0)</f>
        <v>45722</v>
      </c>
      <c r="O2523" s="20"/>
      <c r="P2523" s="32" t="str">
        <f>IFERROR(__xludf.DUMMYFUNCTION("""COMPUTED_VALUE"""),"可")</f>
        <v>可</v>
      </c>
      <c r="Q2523" s="31"/>
      <c r="R2523" s="22" t="str">
        <f>IFERROR(__xludf.DUMMYFUNCTION("""COMPUTED_VALUE"""),"コミットOK")</f>
        <v>コミットOK</v>
      </c>
      <c r="S2523" s="22" t="str">
        <f>IFERROR(__xludf.DUMMYFUNCTION("""COMPUTED_VALUE"""),"20241203_フランス書院_『縁結び令嬢』がモテ王子の婚活を手伝ったら、なぜか口説かれているのですが！？")</f>
        <v>20241203_フランス書院_『縁結び令嬢』がモテ王子の婚活を手伝ったら、なぜか口説かれているのですが！？</v>
      </c>
      <c r="T2523" s="22" t="str">
        <f>IFERROR(__xludf.DUMMYFUNCTION("""COMPUTED_VALUE"""),"格納済み")</f>
        <v>格納済み</v>
      </c>
      <c r="U2523" s="15" t="str">
        <f>IFERROR(__xludf.DUMMYFUNCTION("""COMPUTED_VALUE"""),"(C)藍羽／ナツ／プランタン出版")</f>
        <v>(C)藍羽／ナツ／プランタン出版</v>
      </c>
      <c r="V2523" s="8" t="str">
        <f>IFERROR(__xludf.DUMMYFUNCTION("""COMPUTED_VALUE"""),"『童貞』の心の声が聞こえてしまうノエル。悲痛な片恋の叫びを無視できず、男女の仲を取り持つうちに、社交界では『縁結び令嬢』と呼ばれていた。
ノエルの評判を聞きつけた王妃様から、美形のモテ王子・リュカの婚活の手伝いを頼まれることに。遊び人と噂の彼だが、近付くと心の声が聞こえてきて…！
ノエルには隠し事ができないと知ったリュカは、本当は女性が苦手なのだと打ち明ける。そして自分に下心なく接するノエルに段々と心を開いていく。一方、彼のまっすぐな優しさに触れるうちに、ノエルには友情以上の感情が芽生えてしまう。
"&amp;"この気持ちは絶対に知られちゃいけない。言えない想いを胸に秘めたノエルの恋の行方は…？")</f>
        <v>『童貞』の心の声が聞こえてしまうノエル。悲痛な片恋の叫びを無視できず、男女の仲を取り持つうちに、社交界では『縁結び令嬢』と呼ばれていた。
ノエルの評判を聞きつけた王妃様から、美形のモテ王子・リュカの婚活の手伝いを頼まれることに。遊び人と噂の彼だが、近付くと心の声が聞こえてきて…！
ノエルには隠し事ができないと知ったリュカは、本当は女性が苦手なのだと打ち明ける。そして自分に下心なく接するノエルに段々と心を開いていく。一方、彼のまっすぐな優しさに触れるうちに、ノエルには友情以上の感情が芽生えてしまう。
この気持ちは絶対に知られちゃいけない。言えない想いを胸に秘めたノエルの恋の行方は…？</v>
      </c>
      <c r="W2523" s="14"/>
      <c r="X2523" s="14" t="str">
        <f>IFERROR(__xludf.DUMMYFUNCTION("""COMPUTED_VALUE"""),"有")</f>
        <v>有</v>
      </c>
      <c r="Y2523" s="8" t="str">
        <f>IFERROR(__xludf.DUMMYFUNCTION("""COMPUTED_VALUE"""),"2025/3/6まで1巻無料")</f>
        <v>2025/3/6まで1巻無料</v>
      </c>
      <c r="Z2523" s="7"/>
      <c r="AA2523" s="7"/>
      <c r="AB2523" s="7"/>
    </row>
    <row r="2524" ht="15.75" customHeight="1">
      <c r="A2524" s="26">
        <f>IFERROR(__xludf.DUMMYFUNCTION("""COMPUTED_VALUE"""),4359.0)</f>
        <v>4359</v>
      </c>
      <c r="B2524" s="22" t="str">
        <f>IFERROR(__xludf.DUMMYFUNCTION("""COMPUTED_VALUE"""),"確定")</f>
        <v>確定</v>
      </c>
      <c r="C2524" s="28">
        <f>IFERROR(__xludf.DUMMYFUNCTION("""COMPUTED_VALUE"""),45586.0)</f>
        <v>45586</v>
      </c>
      <c r="D2524" s="28">
        <f>IFERROR(__xludf.DUMMYFUNCTION("""COMPUTED_VALUE"""),45629.0)</f>
        <v>45629</v>
      </c>
      <c r="E2524" s="100">
        <f>IFERROR(__xludf.DUMMYFUNCTION("""COMPUTED_VALUE"""),311145.0)</f>
        <v>311145</v>
      </c>
      <c r="F2524" s="61" t="str">
        <f>IFERROR(__xludf.DUMMYFUNCTION("""COMPUTED_VALUE"""),"紫陽花の散ル頃に")</f>
        <v>紫陽花の散ル頃に</v>
      </c>
      <c r="G2524" s="20">
        <f>IFERROR(__xludf.DUMMYFUNCTION("""COMPUTED_VALUE"""),1.0)</f>
        <v>1</v>
      </c>
      <c r="H2524" s="22" t="str">
        <f>IFERROR(__xludf.DUMMYFUNCTION("""COMPUTED_VALUE"""),"武田弘光")</f>
        <v>武田弘光</v>
      </c>
      <c r="I2524" s="22" t="str">
        <f>IFERROR(__xludf.DUMMYFUNCTION("""COMPUTED_VALUE"""),"アダルトマンガ")</f>
        <v>アダルトマンガ</v>
      </c>
      <c r="J2524" s="22"/>
      <c r="K2524" s="22"/>
      <c r="L2524" s="22" t="str">
        <f>IFERROR(__xludf.DUMMYFUNCTION("""COMPUTED_VALUE"""),"ナンバーナイン")</f>
        <v>ナンバーナイン</v>
      </c>
      <c r="M2524" s="33">
        <f>IFERROR(__xludf.DUMMYFUNCTION("""COMPUTED_VALUE"""),45646.0)</f>
        <v>45646</v>
      </c>
      <c r="N2524" s="23">
        <f>IFERROR(__xludf.DUMMYFUNCTION("""COMPUTED_VALUE"""),45709.0)</f>
        <v>45709</v>
      </c>
      <c r="O2524" s="20"/>
      <c r="P2524" s="32" t="str">
        <f>IFERROR(__xludf.DUMMYFUNCTION("""COMPUTED_VALUE"""),"可")</f>
        <v>可</v>
      </c>
      <c r="Q2524" s="31"/>
      <c r="R2524" s="22" t="str">
        <f>IFERROR(__xludf.DUMMYFUNCTION("""COMPUTED_VALUE"""),"コミットOK")</f>
        <v>コミットOK</v>
      </c>
      <c r="S2524" s="22" t="str">
        <f>IFERROR(__xludf.DUMMYFUNCTION("""COMPUTED_VALUE"""),"20241202_ナンバーナイン_紫陽花の散る頃に")</f>
        <v>20241202_ナンバーナイン_紫陽花の散る頃に</v>
      </c>
      <c r="T2524" s="22" t="str">
        <f>IFERROR(__xludf.DUMMYFUNCTION("""COMPUTED_VALUE"""),"格納済み")</f>
        <v>格納済み</v>
      </c>
      <c r="U2524" s="15" t="str">
        <f>IFERROR(__xludf.DUMMYFUNCTION("""COMPUTED_VALUE"""),"(C)武田弘光/ナンバーナイン")</f>
        <v>(C)武田弘光/ナンバーナイン</v>
      </c>
      <c r="V2524" s="8" t="str">
        <f>IFERROR(__xludf.DUMMYFUNCTION("""COMPUTED_VALUE"""),"年上の幼馴染であり、彼女でもあるナツ姉。
順風満帆のイチャラブカップルと思いきや、彼女には自分以外にも身体を許す浮気相手がいた。
イケないとは分かりつつも、浮気相手の逞しいチ○ポと激しいセックスの快感に抗えない彼女。
爆乳ドスケベな幼馴染がヨガりまくる、背徳的オリジナル寝取られ。
41ページ
サークル:真珠貝/作画:武田弘光")</f>
        <v>年上の幼馴染であり、彼女でもあるナツ姉。
順風満帆のイチャラブカップルと思いきや、彼女には自分以外にも身体を許す浮気相手がいた。
イケないとは分かりつつも、浮気相手の逞しいチ○ポと激しいセックスの快感に抗えない彼女。
爆乳ドスケベな幼馴染がヨガりまくる、背徳的オリジナル寝取られ。
41ページ
サークル:真珠貝/作画:武田弘光</v>
      </c>
      <c r="W2524" s="14"/>
      <c r="X2524" s="14" t="str">
        <f>IFERROR(__xludf.DUMMYFUNCTION("""COMPUTED_VALUE"""),"有")</f>
        <v>有</v>
      </c>
      <c r="Y2524" s="8" t="str">
        <f>IFERROR(__xludf.DUMMYFUNCTION("""COMPUTED_VALUE"""),"P7まで")</f>
        <v>P7まで</v>
      </c>
      <c r="Z2524" s="7"/>
      <c r="AA2524" s="7"/>
      <c r="AB2524" s="7"/>
    </row>
    <row r="2525" ht="15.75" customHeight="1">
      <c r="A2525" s="26">
        <f>IFERROR(__xludf.DUMMYFUNCTION("""COMPUTED_VALUE"""),4360.0)</f>
        <v>4360</v>
      </c>
      <c r="B2525" s="22" t="str">
        <f>IFERROR(__xludf.DUMMYFUNCTION("""COMPUTED_VALUE"""),"確定")</f>
        <v>確定</v>
      </c>
      <c r="C2525" s="28">
        <f>IFERROR(__xludf.DUMMYFUNCTION("""COMPUTED_VALUE"""),45586.0)</f>
        <v>45586</v>
      </c>
      <c r="D2525" s="28">
        <f>IFERROR(__xludf.DUMMYFUNCTION("""COMPUTED_VALUE"""),45629.0)</f>
        <v>45629</v>
      </c>
      <c r="E2525" s="100">
        <f>IFERROR(__xludf.DUMMYFUNCTION("""COMPUTED_VALUE"""),308750.0)</f>
        <v>308750</v>
      </c>
      <c r="F2525" s="61" t="str">
        <f>IFERROR(__xludf.DUMMYFUNCTION("""COMPUTED_VALUE"""),"茜ハ摘マレ染メラレル")</f>
        <v>茜ハ摘マレ染メラレル</v>
      </c>
      <c r="G2525" s="20" t="str">
        <f>IFERROR(__xludf.DUMMYFUNCTION("""COMPUTED_VALUE"""),"1～2")</f>
        <v>1～2</v>
      </c>
      <c r="H2525" s="22" t="str">
        <f>IFERROR(__xludf.DUMMYFUNCTION("""COMPUTED_VALUE"""),"武田弘光")</f>
        <v>武田弘光</v>
      </c>
      <c r="I2525" s="22" t="str">
        <f>IFERROR(__xludf.DUMMYFUNCTION("""COMPUTED_VALUE"""),"アダルトマンガ")</f>
        <v>アダルトマンガ</v>
      </c>
      <c r="J2525" s="22"/>
      <c r="K2525" s="22"/>
      <c r="L2525" s="22" t="str">
        <f>IFERROR(__xludf.DUMMYFUNCTION("""COMPUTED_VALUE"""),"ナンバーナイン")</f>
        <v>ナンバーナイン</v>
      </c>
      <c r="M2525" s="33">
        <f>IFERROR(__xludf.DUMMYFUNCTION("""COMPUTED_VALUE"""),45646.0)</f>
        <v>45646</v>
      </c>
      <c r="N2525" s="23">
        <f>IFERROR(__xludf.DUMMYFUNCTION("""COMPUTED_VALUE"""),45709.0)</f>
        <v>45709</v>
      </c>
      <c r="O2525" s="20"/>
      <c r="P2525" s="32" t="str">
        <f>IFERROR(__xludf.DUMMYFUNCTION("""COMPUTED_VALUE"""),"可")</f>
        <v>可</v>
      </c>
      <c r="Q2525" s="31"/>
      <c r="R2525" s="22" t="str">
        <f>IFERROR(__xludf.DUMMYFUNCTION("""COMPUTED_VALUE"""),"コミットOK")</f>
        <v>コミットOK</v>
      </c>
      <c r="S2525" s="22" t="str">
        <f>IFERROR(__xludf.DUMMYFUNCTION("""COMPUTED_VALUE"""),"20241202_ナンバーナイン_茜ハ摘マレ染メラレル")</f>
        <v>20241202_ナンバーナイン_茜ハ摘マレ染メラレル</v>
      </c>
      <c r="T2525" s="22" t="str">
        <f>IFERROR(__xludf.DUMMYFUNCTION("""COMPUTED_VALUE"""),"格納済み")</f>
        <v>格納済み</v>
      </c>
      <c r="U2525" s="15" t="str">
        <f>IFERROR(__xludf.DUMMYFUNCTION("""COMPUTED_VALUE"""),"(C)武田弘光/ナンバーナイン")</f>
        <v>(C)武田弘光/ナンバーナイン</v>
      </c>
      <c r="V2525" s="8" t="str">
        <f>IFERROR(__xludf.DUMMYFUNCTION("""COMPUTED_VALUE"""),"恋人をレギュラーにする為・・・監督の言いなりになって、エロ奉仕をする女子マネージャーの茜。
しかし、ノーパンブルマ越しのスマタで感じてしまう茜、必死に言い繕うも見抜かれ、
更に調教は進みネコミミを着けてパイズリさせられ、遂には生ハメエッチにヨガリ狂ってしまう！？
爆乳美少女マネージャーが快楽堕ち、だらしなく乱れる痴態をたっぷりお楽しみ下さい♪
37ページ")</f>
        <v>恋人をレギュラーにする為・・・監督の言いなりになって、エロ奉仕をする女子マネージャーの茜。
しかし、ノーパンブルマ越しのスマタで感じてしまう茜、必死に言い繕うも見抜かれ、
更に調教は進みネコミミを着けてパイズリさせられ、遂には生ハメエッチにヨガリ狂ってしまう！？
爆乳美少女マネージャーが快楽堕ち、だらしなく乱れる痴態をたっぷりお楽しみ下さい♪
37ページ</v>
      </c>
      <c r="W2525" s="14"/>
      <c r="X2525" s="14" t="str">
        <f>IFERROR(__xludf.DUMMYFUNCTION("""COMPUTED_VALUE"""),"有")</f>
        <v>有</v>
      </c>
      <c r="Y2525" s="8" t="str">
        <f>IFERROR(__xludf.DUMMYFUNCTION("""COMPUTED_VALUE"""),"P7まで")</f>
        <v>P7まで</v>
      </c>
      <c r="Z2525" s="7"/>
      <c r="AA2525" s="7"/>
      <c r="AB2525" s="7"/>
    </row>
    <row r="2526" ht="15.75" customHeight="1">
      <c r="A2526" s="26">
        <f>IFERROR(__xludf.DUMMYFUNCTION("""COMPUTED_VALUE"""),4361.0)</f>
        <v>4361</v>
      </c>
      <c r="B2526" s="22" t="str">
        <f>IFERROR(__xludf.DUMMYFUNCTION("""COMPUTED_VALUE"""),"確定")</f>
        <v>確定</v>
      </c>
      <c r="C2526" s="28">
        <f>IFERROR(__xludf.DUMMYFUNCTION("""COMPUTED_VALUE"""),45586.0)</f>
        <v>45586</v>
      </c>
      <c r="D2526" s="28">
        <f>IFERROR(__xludf.DUMMYFUNCTION("""COMPUTED_VALUE"""),45629.0)</f>
        <v>45629</v>
      </c>
      <c r="E2526" s="100">
        <f>IFERROR(__xludf.DUMMYFUNCTION("""COMPUTED_VALUE"""),308744.0)</f>
        <v>308744</v>
      </c>
      <c r="F2526" s="61" t="str">
        <f>IFERROR(__xludf.DUMMYFUNCTION("""COMPUTED_VALUE"""),"向日葵ハ夜ニ咲ク")</f>
        <v>向日葵ハ夜ニ咲ク</v>
      </c>
      <c r="G2526" s="20" t="str">
        <f>IFERROR(__xludf.DUMMYFUNCTION("""COMPUTED_VALUE"""),"１")</f>
        <v>１</v>
      </c>
      <c r="H2526" s="22" t="str">
        <f>IFERROR(__xludf.DUMMYFUNCTION("""COMPUTED_VALUE"""),"武田弘光")</f>
        <v>武田弘光</v>
      </c>
      <c r="I2526" s="22" t="str">
        <f>IFERROR(__xludf.DUMMYFUNCTION("""COMPUTED_VALUE"""),"アダルトマンガ")</f>
        <v>アダルトマンガ</v>
      </c>
      <c r="J2526" s="22"/>
      <c r="K2526" s="22"/>
      <c r="L2526" s="22" t="str">
        <f>IFERROR(__xludf.DUMMYFUNCTION("""COMPUTED_VALUE"""),"ナンバーナイン")</f>
        <v>ナンバーナイン</v>
      </c>
      <c r="M2526" s="33">
        <f>IFERROR(__xludf.DUMMYFUNCTION("""COMPUTED_VALUE"""),45646.0)</f>
        <v>45646</v>
      </c>
      <c r="N2526" s="23">
        <f>IFERROR(__xludf.DUMMYFUNCTION("""COMPUTED_VALUE"""),45709.0)</f>
        <v>45709</v>
      </c>
      <c r="O2526" s="20"/>
      <c r="P2526" s="32" t="str">
        <f>IFERROR(__xludf.DUMMYFUNCTION("""COMPUTED_VALUE"""),"可")</f>
        <v>可</v>
      </c>
      <c r="Q2526" s="31"/>
      <c r="R2526" s="22" t="str">
        <f>IFERROR(__xludf.DUMMYFUNCTION("""COMPUTED_VALUE"""),"コミットOK")</f>
        <v>コミットOK</v>
      </c>
      <c r="S2526" s="22" t="str">
        <f>IFERROR(__xludf.DUMMYFUNCTION("""COMPUTED_VALUE"""),"20241202_ナンバーナイン_向日葵ハ夜ニ咲ク")</f>
        <v>20241202_ナンバーナイン_向日葵ハ夜ニ咲ク</v>
      </c>
      <c r="T2526" s="22" t="str">
        <f>IFERROR(__xludf.DUMMYFUNCTION("""COMPUTED_VALUE"""),"格納済み")</f>
        <v>格納済み</v>
      </c>
      <c r="U2526" s="15" t="str">
        <f>IFERROR(__xludf.DUMMYFUNCTION("""COMPUTED_VALUE"""),"(C)武田弘光/ナンバーナイン")</f>
        <v>(C)武田弘光/ナンバーナイン</v>
      </c>
      <c r="V2526" s="8" t="str">
        <f>IFERROR(__xludf.DUMMYFUNCTION("""COMPUTED_VALUE"""),"人妻・陽里は、夫の仕事のミスを揉み消す交換条件の為、
夫の会社の社長秘書となり「三ヶ月の間、社長の性処理をする」ことになってしまう。
じっくりと仕込まれていくうちに、気丈な妻が身も心も快楽に堕ちていく…。
艶めかしい寝取られ劇！
本文44p/DL版だけの特典として、キャラクター設定資料も収録！")</f>
        <v>人妻・陽里は、夫の仕事のミスを揉み消す交換条件の為、
夫の会社の社長秘書となり「三ヶ月の間、社長の性処理をする」ことになってしまう。
じっくりと仕込まれていくうちに、気丈な妻が身も心も快楽に堕ちていく…。
艶めかしい寝取られ劇！
本文44p/DL版だけの特典として、キャラクター設定資料も収録！</v>
      </c>
      <c r="W2526" s="14"/>
      <c r="X2526" s="14" t="str">
        <f>IFERROR(__xludf.DUMMYFUNCTION("""COMPUTED_VALUE"""),"有")</f>
        <v>有</v>
      </c>
      <c r="Y2526" s="8" t="str">
        <f>IFERROR(__xludf.DUMMYFUNCTION("""COMPUTED_VALUE"""),"P15まで")</f>
        <v>P15まで</v>
      </c>
      <c r="Z2526" s="7"/>
      <c r="AA2526" s="7"/>
      <c r="AB2526" s="7"/>
    </row>
    <row r="2527" ht="15.75" customHeight="1">
      <c r="A2527" s="26">
        <f>IFERROR(__xludf.DUMMYFUNCTION("""COMPUTED_VALUE"""),4398.0)</f>
        <v>4398</v>
      </c>
      <c r="B2527" s="22" t="str">
        <f>IFERROR(__xludf.DUMMYFUNCTION("""COMPUTED_VALUE"""),"確定")</f>
        <v>確定</v>
      </c>
      <c r="C2527" s="28">
        <f>IFERROR(__xludf.DUMMYFUNCTION("""COMPUTED_VALUE"""),45588.0)</f>
        <v>45588</v>
      </c>
      <c r="D2527" s="28">
        <f>IFERROR(__xludf.DUMMYFUNCTION("""COMPUTED_VALUE"""),45630.0)</f>
        <v>45630</v>
      </c>
      <c r="E2527" s="100">
        <f>IFERROR(__xludf.DUMMYFUNCTION("""COMPUTED_VALUE"""),310795.0)</f>
        <v>310795</v>
      </c>
      <c r="F2527" s="61" t="str">
        <f>IFERROR(__xludf.DUMMYFUNCTION("""COMPUTED_VALUE"""),"君が制服を脱いだら 【連載版】")</f>
        <v>君が制服を脱いだら 【連載版】</v>
      </c>
      <c r="G2527" s="20" t="str">
        <f>IFERROR(__xludf.DUMMYFUNCTION("""COMPUTED_VALUE"""),"1～3")</f>
        <v>1～3</v>
      </c>
      <c r="H2527" s="22" t="str">
        <f>IFERROR(__xludf.DUMMYFUNCTION("""COMPUTED_VALUE"""),"原作：筏葛　 マンガ：まな")</f>
        <v>原作：筏葛　 マンガ：まな</v>
      </c>
      <c r="I2527" s="46" t="str">
        <f>IFERROR(__xludf.DUMMYFUNCTION("""COMPUTED_VALUE"""),"青年")</f>
        <v>青年</v>
      </c>
      <c r="J2527" s="22"/>
      <c r="K2527" s="22" t="str">
        <f>IFERROR(__xludf.DUMMYFUNCTION("""COMPUTED_VALUE"""),"comic HOWL")</f>
        <v>comic HOWL</v>
      </c>
      <c r="L2527" s="22" t="str">
        <f>IFERROR(__xludf.DUMMYFUNCTION("""COMPUTED_VALUE"""),"一迅社")</f>
        <v>一迅社</v>
      </c>
      <c r="M2527" s="23">
        <f>IFERROR(__xludf.DUMMYFUNCTION("""COMPUTED_VALUE"""),45673.0)</f>
        <v>45673</v>
      </c>
      <c r="N2527" s="23">
        <f>IFERROR(__xludf.DUMMYFUNCTION("""COMPUTED_VALUE"""),45703.0)</f>
        <v>45703</v>
      </c>
      <c r="O2527" s="20"/>
      <c r="P2527" s="34" t="str">
        <f>IFERROR(__xludf.DUMMYFUNCTION("""COMPUTED_VALUE"""),"可")</f>
        <v>可</v>
      </c>
      <c r="Q2527" s="31" t="str">
        <f>IFERROR(__xludf.DUMMYFUNCTION("""COMPUTED_VALUE"""),"・著者の過去作は下記の通り&lt;BR&gt;　原作：筏葛（宝島社文庫「一番遠くて、近いあいつ。」の筏田かつら氏と同著者となります※漫画原作の場合別名義となるため）&lt;BR&gt;　マンガ：まな（REX「朝焼けは黄金色　THE IDOLM@STER」）")</f>
        <v>・著者の過去作は下記の通り&lt;BR&gt;　原作：筏葛（宝島社文庫「一番遠くて、近いあいつ。」の筏田かつら氏と同著者となります※漫画原作の場合別名義となるため）&lt;BR&gt;　マンガ：まな（REX「朝焼けは黄金色　THE IDOLM@STER」）</v>
      </c>
      <c r="R2527" s="22" t="str">
        <f>IFERROR(__xludf.DUMMYFUNCTION("""COMPUTED_VALUE"""),"コミットOK")</f>
        <v>コミットOK</v>
      </c>
      <c r="S2527" s="22" t="str">
        <f>IFERROR(__xludf.DUMMYFUNCTION("""COMPUTED_VALUE"""),"20250108_一迅社_君が制服を脱いだら	")</f>
        <v>20250108_一迅社_君が制服を脱いだら	</v>
      </c>
      <c r="T2527" s="22" t="str">
        <f>IFERROR(__xludf.DUMMYFUNCTION("""COMPUTED_VALUE"""),"格納済み")</f>
        <v>格納済み</v>
      </c>
      <c r="U2527" s="15" t="str">
        <f>IFERROR(__xludf.DUMMYFUNCTION("""COMPUTED_VALUE"""),"(C)筏葛・まな／一迅社")</f>
        <v>(C)筏葛・まな／一迅社</v>
      </c>
      <c r="V2527" s="8" t="str">
        <f>IFERROR(__xludf.DUMMYFUNCTION("""COMPUTED_VALUE"""),"筏葛「一番遠くて、近いあいつ。～君に恋をするなんて、ありえないはずだった～」×まな「朝焼けは黄金色　THE IDOLM@STER」顔は強面・中身はおっさん（おっかさん）にしか見えない高校一年生・小津一平は、あざとくて可愛くて腹黒な女子大生・弥生が偶然に出会い、勘違いが勘違いを呼び、恋してしまった――。　【本商品は単話コンテンツとなります。単行本版と収録内容が異なる場合がございます。漫画内の告知等は過去のものとなりますので、ご注意ください。】")</f>
        <v>筏葛「一番遠くて、近いあいつ。～君に恋をするなんて、ありえないはずだった～」×まな「朝焼けは黄金色　THE IDOLM@STER」顔は強面・中身はおっさん（おっかさん）にしか見えない高校一年生・小津一平は、あざとくて可愛くて腹黒な女子大生・弥生が偶然に出会い、勘違いが勘違いを呼び、恋してしまった――。　【本商品は単話コンテンツとなります。単行本版と収録内容が異なる場合がございます。漫画内の告知等は過去のものとなりますので、ご注意ください。】</v>
      </c>
      <c r="W2527" s="14"/>
      <c r="X2527" s="14" t="str">
        <f>IFERROR(__xludf.DUMMYFUNCTION("""COMPUTED_VALUE"""),"有")</f>
        <v>有</v>
      </c>
      <c r="Y2527" s="8" t="str">
        <f>IFERROR(__xludf.DUMMYFUNCTION("""COMPUTED_VALUE"""),"P15まで")</f>
        <v>P15まで</v>
      </c>
      <c r="Z2527" s="7"/>
      <c r="AA2527" s="7"/>
      <c r="AB2527" s="7"/>
    </row>
    <row r="2528" ht="15.75" customHeight="1">
      <c r="A2528" s="26">
        <f>IFERROR(__xludf.DUMMYFUNCTION("""COMPUTED_VALUE"""),4417.0)</f>
        <v>4417</v>
      </c>
      <c r="B2528" s="22" t="str">
        <f>IFERROR(__xludf.DUMMYFUNCTION("""COMPUTED_VALUE"""),"確定")</f>
        <v>確定</v>
      </c>
      <c r="C2528" s="28">
        <f>IFERROR(__xludf.DUMMYFUNCTION("""COMPUTED_VALUE"""),45593.0)</f>
        <v>45593</v>
      </c>
      <c r="D2528" s="28">
        <f>IFERROR(__xludf.DUMMYFUNCTION("""COMPUTED_VALUE"""),45630.0)</f>
        <v>45630</v>
      </c>
      <c r="E2528" s="100">
        <f>IFERROR(__xludf.DUMMYFUNCTION("""COMPUTED_VALUE"""),311040.0)</f>
        <v>311040</v>
      </c>
      <c r="F2528" s="61" t="str">
        <f>IFERROR(__xludf.DUMMYFUNCTION("""COMPUTED_VALUE"""),"ナニかがアソコを触ってル～金縛りでめちゃくちゃにイカされた話～")</f>
        <v>ナニかがアソコを触ってル～金縛りでめちゃくちゃにイカされた話～</v>
      </c>
      <c r="G2528" s="20" t="str">
        <f>IFERROR(__xludf.DUMMYFUNCTION("""COMPUTED_VALUE"""),"1～3")</f>
        <v>1～3</v>
      </c>
      <c r="H2528" s="22" t="str">
        <f>IFERROR(__xludf.DUMMYFUNCTION("""COMPUTED_VALUE"""),"Y子")</f>
        <v>Y子</v>
      </c>
      <c r="I2528" s="22" t="str">
        <f>IFERROR(__xludf.DUMMYFUNCTION("""COMPUTED_VALUE"""),"アダルトマンガ")</f>
        <v>アダルトマンガ</v>
      </c>
      <c r="J2528" s="22"/>
      <c r="K2528" s="22" t="str">
        <f>IFERROR(__xludf.DUMMYFUNCTION("""COMPUTED_VALUE"""),"カゲキヤコミック")</f>
        <v>カゲキヤコミック</v>
      </c>
      <c r="L2528" s="22" t="str">
        <f>IFERROR(__xludf.DUMMYFUNCTION("""COMPUTED_VALUE"""),"DEEPER-ZERO")</f>
        <v>DEEPER-ZERO</v>
      </c>
      <c r="M2528" s="33">
        <f>IFERROR(__xludf.DUMMYFUNCTION("""COMPUTED_VALUE"""),45653.0)</f>
        <v>45653</v>
      </c>
      <c r="N2528" s="23">
        <f>IFERROR(__xludf.DUMMYFUNCTION("""COMPUTED_VALUE"""),45715.0)</f>
        <v>45715</v>
      </c>
      <c r="O2528" s="20"/>
      <c r="P2528" s="32" t="str">
        <f>IFERROR(__xludf.DUMMYFUNCTION("""COMPUTED_VALUE"""),"可")</f>
        <v>可</v>
      </c>
      <c r="Q2528" s="31"/>
      <c r="R2528" s="22" t="str">
        <f>IFERROR(__xludf.DUMMYFUNCTION("""COMPUTED_VALUE"""),"コミットOK")</f>
        <v>コミットOK</v>
      </c>
      <c r="S2528" s="22" t="str">
        <f>IFERROR(__xludf.DUMMYFUNCTION("""COMPUTED_VALUE"""),"20241203_CLLENN_ナニかがアソコを触ってル～金縛りでめちゃくちゃにイカされた話～(1)(2)(3)")</f>
        <v>20241203_CLLENN_ナニかがアソコを触ってル～金縛りでめちゃくちゃにイカされた話～(1)(2)(3)</v>
      </c>
      <c r="T2528" s="22" t="str">
        <f>IFERROR(__xludf.DUMMYFUNCTION("""COMPUTED_VALUE"""),"格納済み")</f>
        <v>格納済み</v>
      </c>
      <c r="U2528" s="15" t="str">
        <f>IFERROR(__xludf.DUMMYFUNCTION("""COMPUTED_VALUE"""),"ⒸY子/DEEPER-ZERO")</f>
        <v>ⒸY子/DEEPER-ZERO</v>
      </c>
      <c r="V2528" s="8" t="str">
        <f>IFERROR(__xludf.DUMMYFUNCTION("""COMPUTED_VALUE"""),"「なんなのコイツら…これって夢だよね？」自分の部屋で寝ていたはずが、いつの間にか私は男たちに囲まれていた。男たちの顔はモヤがかかってはっきり見えない。戸惑う私にお構いなく、男たちは●●や●●●●●を愛撫し始める。私は指ひとつ動かせず、声も出せない。くちゅくちゅくちゅ…敏感なトコを延々と責められ、次第に嫌悪感を快感が上回ってくる。「やだやだぁ…変な奴らに●●される！」――目が覚めると、私はいつものベッドの上にいた。「なんだやっぱり夢か…」下半身に違和感を感じて確認すると…●●●●したみたいに●●●が濡れてい"&amp;"る。「うわっ最悪！」慌てて着替える私。しかし、この体験は悪夢の始まりでしかなかった…。")</f>
        <v>「なんなのコイツら…これって夢だよね？」自分の部屋で寝ていたはずが、いつの間にか私は男たちに囲まれていた。男たちの顔はモヤがかかってはっきり見えない。戸惑う私にお構いなく、男たちは●●や●●●●●を愛撫し始める。私は指ひとつ動かせず、声も出せない。くちゅくちゅくちゅ…敏感なトコを延々と責められ、次第に嫌悪感を快感が上回ってくる。「やだやだぁ…変な奴らに●●される！」――目が覚めると、私はいつものベッドの上にいた。「なんだやっぱり夢か…」下半身に違和感を感じて確認すると…●●●●したみたいに●●●が濡れている。「うわっ最悪！」慌てて着替える私。しかし、この体験は悪夢の始まりでしかなかった…。</v>
      </c>
      <c r="W2528" s="14"/>
      <c r="X2528" s="14" t="str">
        <f>IFERROR(__xludf.DUMMYFUNCTION("""COMPUTED_VALUE"""),"有")</f>
        <v>有</v>
      </c>
      <c r="Y2528" s="8" t="str">
        <f>IFERROR(__xludf.DUMMYFUNCTION("""COMPUTED_VALUE"""),"P10まで")</f>
        <v>P10まで</v>
      </c>
      <c r="Z2528" s="7"/>
      <c r="AA2528" s="7"/>
      <c r="AB2528" s="7"/>
    </row>
    <row r="2529" ht="15.75" customHeight="1">
      <c r="A2529" s="26">
        <f>IFERROR(__xludf.DUMMYFUNCTION("""COMPUTED_VALUE"""),4459.0)</f>
        <v>4459</v>
      </c>
      <c r="B2529" s="22" t="str">
        <f>IFERROR(__xludf.DUMMYFUNCTION("""COMPUTED_VALUE"""),"確定")</f>
        <v>確定</v>
      </c>
      <c r="C2529" s="28">
        <f>IFERROR(__xludf.DUMMYFUNCTION("""COMPUTED_VALUE"""),45601.0)</f>
        <v>45601</v>
      </c>
      <c r="D2529" s="28">
        <f>IFERROR(__xludf.DUMMYFUNCTION("""COMPUTED_VALUE"""),45624.0)</f>
        <v>45624</v>
      </c>
      <c r="E2529" s="100">
        <f>IFERROR(__xludf.DUMMYFUNCTION("""COMPUTED_VALUE"""),310804.0)</f>
        <v>310804</v>
      </c>
      <c r="F2529" s="61" t="str">
        <f>IFERROR(__xludf.DUMMYFUNCTION("""COMPUTED_VALUE"""),"俺じゃダメ？")</f>
        <v>俺じゃダメ？</v>
      </c>
      <c r="G2529" s="20" t="str">
        <f>IFERROR(__xludf.DUMMYFUNCTION("""COMPUTED_VALUE"""),"1～3")</f>
        <v>1～3</v>
      </c>
      <c r="H2529" s="22" t="str">
        <f>IFERROR(__xludf.DUMMYFUNCTION("""COMPUTED_VALUE"""),"海本あきら")</f>
        <v>海本あきら</v>
      </c>
      <c r="I2529" s="22" t="str">
        <f>IFERROR(__xludf.DUMMYFUNCTION("""COMPUTED_VALUE"""),"TL")</f>
        <v>TL</v>
      </c>
      <c r="J2529" s="22"/>
      <c r="K2529" s="22" t="str">
        <f>IFERROR(__xludf.DUMMYFUNCTION("""COMPUTED_VALUE"""),"恋愛ショコラ")</f>
        <v>恋愛ショコラ</v>
      </c>
      <c r="L2529" s="22" t="str">
        <f>IFERROR(__xludf.DUMMYFUNCTION("""COMPUTED_VALUE"""),"forcs")</f>
        <v>forcs</v>
      </c>
      <c r="M2529" s="59">
        <f>IFERROR(__xludf.DUMMYFUNCTION("""COMPUTED_VALUE"""),45665.0)</f>
        <v>45665</v>
      </c>
      <c r="N2529" s="59">
        <f>IFERROR(__xludf.DUMMYFUNCTION("""COMPUTED_VALUE"""),45722.0)</f>
        <v>45722</v>
      </c>
      <c r="O2529" s="20"/>
      <c r="P2529" s="34" t="str">
        <f>IFERROR(__xludf.DUMMYFUNCTION("""COMPUTED_VALUE"""),"可")</f>
        <v>可</v>
      </c>
      <c r="Q2529" s="31" t="str">
        <f>IFERROR(__xludf.DUMMYFUNCTION("""COMPUTED_VALUE"""),"ヒーロー側のモノローグで展開される、リベンジ・タイムスリップTL作品です。&lt;BR&gt;「ダメンズ」が徐々に自己成長を遂げるというTLの中では珍しいストーリーに、続きが気になってしまうユーザーも多いかと思います。&lt;BR&gt;ヒーローの分かりやすい心理描写と、喜怒哀楽な性格も愛され要素があり、広告シーンで切り取りやすいコマも多数ございます。")</f>
        <v>ヒーロー側のモノローグで展開される、リベンジ・タイムスリップTL作品です。&lt;BR&gt;「ダメンズ」が徐々に自己成長を遂げるというTLの中では珍しいストーリーに、続きが気になってしまうユーザーも多いかと思います。&lt;BR&gt;ヒーローの分かりやすい心理描写と、喜怒哀楽な性格も愛され要素があり、広告シーンで切り取りやすいコマも多数ございます。</v>
      </c>
      <c r="R2529" s="22" t="str">
        <f>IFERROR(__xludf.DUMMYFUNCTION("""COMPUTED_VALUE"""),"コミットOK")</f>
        <v>コミットOK</v>
      </c>
      <c r="S2529" s="22" t="str">
        <f>IFERROR(__xludf.DUMMYFUNCTION("""COMPUTED_VALUE"""),"20241128_forcs_俺じゃダメ？")</f>
        <v>20241128_forcs_俺じゃダメ？</v>
      </c>
      <c r="T2529" s="22" t="str">
        <f>IFERROR(__xludf.DUMMYFUNCTION("""COMPUTED_VALUE"""),"格納済み")</f>
        <v>格納済み</v>
      </c>
      <c r="U2529" s="15" t="str">
        <f>IFERROR(__xludf.DUMMYFUNCTION("""COMPUTED_VALUE"""),"Ⓒ海本あきら/forcs")</f>
        <v>Ⓒ海本あきら/forcs</v>
      </c>
      <c r="V2529" s="8" t="str">
        <f>IFERROR(__xludf.DUMMYFUNCTION("""COMPUTED_VALUE"""),"大好きな幼馴染の結婚式…隣にいるのは俺じゃなかった。
幼馴染のはると常に一緒で世話を焼いてもらう日々を過ごしていたキヨ。
このまま結婚できる…と油断していたせいで、いつの間にか職場のライバル・桐山にはるを取られてしまう。
結婚式の夜、後悔と絶望で酒におぼれたキヨが目を覚ますと…１年前にタイムスリップしていて―！？
もう一度やり直すチャンスを前に、キヨは今度こそはるに振り向いてもらうため奮闘する…！
「俺ははるを誰にも奪われたくない…！」
果たして未来は変えられるのか！？
一途な愛で突っ走"&amp;"るポンコツイケメン×癒し系幼馴染のタイムスリップ・ラブストーリー！")</f>
        <v>大好きな幼馴染の結婚式…隣にいるのは俺じゃなかった。
幼馴染のはると常に一緒で世話を焼いてもらう日々を過ごしていたキヨ。
このまま結婚できる…と油断していたせいで、いつの間にか職場のライバル・桐山にはるを取られてしまう。
結婚式の夜、後悔と絶望で酒におぼれたキヨが目を覚ますと…１年前にタイムスリップしていて―！？
もう一度やり直すチャンスを前に、キヨは今度こそはるに振り向いてもらうため奮闘する…！
「俺ははるを誰にも奪われたくない…！」
果たして未来は変えられるのか！？
一途な愛で突っ走るポンコツイケメン×癒し系幼馴染のタイムスリップ・ラブストーリー！</v>
      </c>
      <c r="W2529" s="14"/>
      <c r="X2529" s="14" t="str">
        <f>IFERROR(__xludf.DUMMYFUNCTION("""COMPUTED_VALUE"""),"有")</f>
        <v>有</v>
      </c>
      <c r="Y2529" s="8" t="str">
        <f>IFERROR(__xludf.DUMMYFUNCTION("""COMPUTED_VALUE"""),"P15まで")</f>
        <v>P15まで</v>
      </c>
      <c r="Z2529" s="7"/>
      <c r="AA2529" s="7"/>
      <c r="AB2529" s="7"/>
    </row>
    <row r="2530" ht="15.75" customHeight="1">
      <c r="A2530" s="26">
        <f>IFERROR(__xludf.DUMMYFUNCTION("""COMPUTED_VALUE"""),4468.0)</f>
        <v>4468</v>
      </c>
      <c r="B2530" s="22" t="str">
        <f>IFERROR(__xludf.DUMMYFUNCTION("""COMPUTED_VALUE"""),"確定")</f>
        <v>確定</v>
      </c>
      <c r="C2530" s="28">
        <f>IFERROR(__xludf.DUMMYFUNCTION("""COMPUTED_VALUE"""),45603.0)</f>
        <v>45603</v>
      </c>
      <c r="D2530" s="28">
        <f>IFERROR(__xludf.DUMMYFUNCTION("""COMPUTED_VALUE"""),45630.0)</f>
        <v>45630</v>
      </c>
      <c r="E2530" s="100">
        <f>IFERROR(__xludf.DUMMYFUNCTION("""COMPUTED_VALUE"""),311855.0)</f>
        <v>311855</v>
      </c>
      <c r="F2530" s="61" t="str">
        <f>IFERROR(__xludf.DUMMYFUNCTION("""COMPUTED_VALUE"""),"エッチの練習相手だった幼なじみに恋人ができた")</f>
        <v>エッチの練習相手だった幼なじみに恋人ができた</v>
      </c>
      <c r="G2530" s="20" t="str">
        <f>IFERROR(__xludf.DUMMYFUNCTION("""COMPUTED_VALUE"""),"1～3")</f>
        <v>1～3</v>
      </c>
      <c r="H2530" s="22" t="str">
        <f>IFERROR(__xludf.DUMMYFUNCTION("""COMPUTED_VALUE"""),"南波")</f>
        <v>南波</v>
      </c>
      <c r="I2530" s="22" t="str">
        <f>IFERROR(__xludf.DUMMYFUNCTION("""COMPUTED_VALUE"""),"アダルトマンガ")</f>
        <v>アダルトマンガ</v>
      </c>
      <c r="J2530" s="22"/>
      <c r="K2530" s="22" t="str">
        <f>IFERROR(__xludf.DUMMYFUNCTION("""COMPUTED_VALUE"""),"もえスタビースト")</f>
        <v>もえスタビースト</v>
      </c>
      <c r="L2530" s="22" t="str">
        <f>IFERROR(__xludf.DUMMYFUNCTION("""COMPUTED_VALUE"""),"DEEPER-ZERO")</f>
        <v>DEEPER-ZERO</v>
      </c>
      <c r="M2530" s="59">
        <f>IFERROR(__xludf.DUMMYFUNCTION("""COMPUTED_VALUE"""),45668.0)</f>
        <v>45668</v>
      </c>
      <c r="N2530" s="59">
        <f>IFERROR(__xludf.DUMMYFUNCTION("""COMPUTED_VALUE"""),45723.0)</f>
        <v>45723</v>
      </c>
      <c r="O2530" s="20"/>
      <c r="P2530" s="32" t="str">
        <f>IFERROR(__xludf.DUMMYFUNCTION("""COMPUTED_VALUE"""),"可")</f>
        <v>可</v>
      </c>
      <c r="Q2530" s="31"/>
      <c r="R2530" s="22" t="str">
        <f>IFERROR(__xludf.DUMMYFUNCTION("""COMPUTED_VALUE"""),"コミットOK")</f>
        <v>コミットOK</v>
      </c>
      <c r="S2530" s="22" t="str">
        <f>IFERROR(__xludf.DUMMYFUNCTION("""COMPUTED_VALUE"""),"20241203_CLLENN_エッチの練習相手だった幼なじみに恋人ができた(1-3)")</f>
        <v>20241203_CLLENN_エッチの練習相手だった幼なじみに恋人ができた(1-3)</v>
      </c>
      <c r="T2530" s="22" t="str">
        <f>IFERROR(__xludf.DUMMYFUNCTION("""COMPUTED_VALUE"""),"格納済み")</f>
        <v>格納済み</v>
      </c>
      <c r="U2530" s="15" t="str">
        <f>IFERROR(__xludf.DUMMYFUNCTION("""COMPUTED_VALUE"""),"Ⓒ南波/DEEPER-ZERO")</f>
        <v>Ⓒ南波/DEEPER-ZERO</v>
      </c>
      <c r="V2530" s="8" t="str">
        <f>IFERROR(__xludf.DUMMYFUNCTION("""COMPUTED_VALUE"""),"「私には、何してもいいよ」そう言うと、こーちゃんの●●●●が一段と速くなる。いまにも●●しそうな●●●●●●●が、何度も何度も私の●●を打ちつける。こーちゃんと私は強く抱き合って、●を絡め合って、そして……。――私とこーちゃんは幼馴染。いつからか私たちは、恋人ができるまでという条件で●●●の“練習”をするようになっていた。この関係がずっと続くのかな…なんて私は思っていたけど、最近、こーちゃんに年下の可愛い彼女ができて…。そんなある日、放課後の教室に私がひとりでいると、部活を抜けたこーちゃんがやって来て、●"&amp;"●した●●●●●を見せてきた。それは、私にだけわかる”練習”の合図だった…。")</f>
        <v>「私には、何してもいいよ」そう言うと、こーちゃんの●●●●が一段と速くなる。いまにも●●しそうな●●●●●●●が、何度も何度も私の●●を打ちつける。こーちゃんと私は強く抱き合って、●を絡め合って、そして……。――私とこーちゃんは幼馴染。いつからか私たちは、恋人ができるまでという条件で●●●の“練習”をするようになっていた。この関係がずっと続くのかな…なんて私は思っていたけど、最近、こーちゃんに年下の可愛い彼女ができて…。そんなある日、放課後の教室に私がひとりでいると、部活を抜けたこーちゃんがやって来て、●●した●●●●●を見せてきた。それは、私にだけわかる”練習”の合図だった…。</v>
      </c>
      <c r="W2530" s="14"/>
      <c r="X2530" s="14" t="str">
        <f>IFERROR(__xludf.DUMMYFUNCTION("""COMPUTED_VALUE"""),"有")</f>
        <v>有</v>
      </c>
      <c r="Y2530" s="8" t="str">
        <f>IFERROR(__xludf.DUMMYFUNCTION("""COMPUTED_VALUE"""),"2025/2/11まで1巻無料")</f>
        <v>2025/2/11まで1巻無料</v>
      </c>
      <c r="Z2530" s="7"/>
      <c r="AA2530" s="7"/>
      <c r="AB2530" s="7"/>
    </row>
    <row r="2531" ht="15.75" customHeight="1">
      <c r="A2531" s="26">
        <f>IFERROR(__xludf.DUMMYFUNCTION("""COMPUTED_VALUE"""),4469.0)</f>
        <v>4469</v>
      </c>
      <c r="B2531" s="22" t="str">
        <f>IFERROR(__xludf.DUMMYFUNCTION("""COMPUTED_VALUE"""),"確定")</f>
        <v>確定</v>
      </c>
      <c r="C2531" s="28">
        <f>IFERROR(__xludf.DUMMYFUNCTION("""COMPUTED_VALUE"""),45603.0)</f>
        <v>45603</v>
      </c>
      <c r="D2531" s="28">
        <f>IFERROR(__xludf.DUMMYFUNCTION("""COMPUTED_VALUE"""),45630.0)</f>
        <v>45630</v>
      </c>
      <c r="E2531" s="100">
        <f>IFERROR(__xludf.DUMMYFUNCTION("""COMPUTED_VALUE"""),311454.0)</f>
        <v>311454</v>
      </c>
      <c r="F2531" s="61" t="str">
        <f>IFERROR(__xludf.DUMMYFUNCTION("""COMPUTED_VALUE"""),"初恋αが放してくれない")</f>
        <v>初恋αが放してくれない</v>
      </c>
      <c r="G2531" s="20" t="str">
        <f>IFERROR(__xludf.DUMMYFUNCTION("""COMPUTED_VALUE"""),"1～2")</f>
        <v>1～2</v>
      </c>
      <c r="H2531" s="22" t="str">
        <f>IFERROR(__xludf.DUMMYFUNCTION("""COMPUTED_VALUE"""),"鳥肌こっこ")</f>
        <v>鳥肌こっこ</v>
      </c>
      <c r="I2531" s="22" t="str">
        <f>IFERROR(__xludf.DUMMYFUNCTION("""COMPUTED_VALUE"""),"BL")</f>
        <v>BL</v>
      </c>
      <c r="J2531" s="22"/>
      <c r="K2531" s="22" t="str">
        <f>IFERROR(__xludf.DUMMYFUNCTION("""COMPUTED_VALUE"""),"NuPu")</f>
        <v>NuPu</v>
      </c>
      <c r="L2531" s="22" t="str">
        <f>IFERROR(__xludf.DUMMYFUNCTION("""COMPUTED_VALUE"""),"CLLENN")</f>
        <v>CLLENN</v>
      </c>
      <c r="M2531" s="59">
        <f>IFERROR(__xludf.DUMMYFUNCTION("""COMPUTED_VALUE"""),45680.0)</f>
        <v>45680</v>
      </c>
      <c r="N2531" s="59">
        <f>IFERROR(__xludf.DUMMYFUNCTION("""COMPUTED_VALUE"""),45742.0)</f>
        <v>45742</v>
      </c>
      <c r="O2531" s="20"/>
      <c r="P2531" s="32" t="str">
        <f>IFERROR(__xludf.DUMMYFUNCTION("""COMPUTED_VALUE"""),"可")</f>
        <v>可</v>
      </c>
      <c r="Q2531" s="31"/>
      <c r="R2531" s="22" t="str">
        <f>IFERROR(__xludf.DUMMYFUNCTION("""COMPUTED_VALUE"""),"コミットOK")</f>
        <v>コミットOK</v>
      </c>
      <c r="S2531" s="22" t="str">
        <f>IFERROR(__xludf.DUMMYFUNCTION("""COMPUTED_VALUE"""),"20241203_CLLENN_初恋αが放してくれない")</f>
        <v>20241203_CLLENN_初恋αが放してくれない</v>
      </c>
      <c r="T2531" s="22" t="str">
        <f>IFERROR(__xludf.DUMMYFUNCTION("""COMPUTED_VALUE"""),"格納済み")</f>
        <v>格納済み</v>
      </c>
      <c r="U2531" s="15" t="str">
        <f>IFERROR(__xludf.DUMMYFUNCTION("""COMPUTED_VALUE"""),"Ⓒ鳥肌こっこ/CLLENN")</f>
        <v>Ⓒ鳥肌こっこ/CLLENN</v>
      </c>
      <c r="V2531" s="8" t="str">
        <f>IFERROR(__xludf.DUMMYFUNCTION("""COMPUTED_VALUE"""),"『放っといてほしいのに、お前に触れられたくてたまらない…』ーーΩであることを隠し、αとして学園生活を送る空澄(あおと)。どうにかバレずに過ごせていたが、ある日突然初めてのヒートが来て…!?空澄はΩ特有のフェロモンと火照った身体を鎮めようと空き教室に逃げ込んだものの、よりによって犬猿の仲で幼馴染のα・海斗(かいと)に見つかってしまう。1番知られたくなかった相手に秘密がバレた上に恥ずかしい姿を見られて最悪な気分なのに、身体は刺激を求めていて…？必死に突き放そうとするも、海斗は真剣な表情で「放っておけるわけない"&amp;"だろ」と迫りーーカリスマ愛執α×努力家強気Ωの身も心もとけ合うオメガバースBL")</f>
        <v>『放っといてほしいのに、お前に触れられたくてたまらない…』ーーΩであることを隠し、αとして学園生活を送る空澄(あおと)。どうにかバレずに過ごせていたが、ある日突然初めてのヒートが来て…!?空澄はΩ特有のフェロモンと火照った身体を鎮めようと空き教室に逃げ込んだものの、よりによって犬猿の仲で幼馴染のα・海斗(かいと)に見つかってしまう。1番知られたくなかった相手に秘密がバレた上に恥ずかしい姿を見られて最悪な気分なのに、身体は刺激を求めていて…？必死に突き放そうとするも、海斗は真剣な表情で「放っておけるわけないだろ」と迫りーーカリスマ愛執α×努力家強気Ωの身も心もとけ合うオメガバースBL</v>
      </c>
      <c r="W2531" s="14"/>
      <c r="X2531" s="14" t="str">
        <f>IFERROR(__xludf.DUMMYFUNCTION("""COMPUTED_VALUE"""),"有")</f>
        <v>有</v>
      </c>
      <c r="Y2531" s="8" t="str">
        <f>IFERROR(__xludf.DUMMYFUNCTION("""COMPUTED_VALUE"""),"2025/2/5まで立ち読み増量P17まで")</f>
        <v>2025/2/5まで立ち読み増量P17まで</v>
      </c>
      <c r="Z2531" s="7"/>
      <c r="AA2531" s="7"/>
      <c r="AB2531" s="7"/>
    </row>
    <row r="2532" ht="15.75" customHeight="1">
      <c r="A2532" s="26">
        <f>IFERROR(__xludf.DUMMYFUNCTION("""COMPUTED_VALUE"""),4555.0)</f>
        <v>4555</v>
      </c>
      <c r="B2532" s="22" t="str">
        <f>IFERROR(__xludf.DUMMYFUNCTION("""COMPUTED_VALUE"""),"確定")</f>
        <v>確定</v>
      </c>
      <c r="C2532" s="28">
        <f>IFERROR(__xludf.DUMMYFUNCTION("""COMPUTED_VALUE"""),45621.0)</f>
        <v>45621</v>
      </c>
      <c r="D2532" s="28">
        <f>IFERROR(__xludf.DUMMYFUNCTION("""COMPUTED_VALUE"""),45630.0)</f>
        <v>45630</v>
      </c>
      <c r="E2532" s="100">
        <f>IFERROR(__xludf.DUMMYFUNCTION("""COMPUTED_VALUE"""),311695.0)</f>
        <v>311695</v>
      </c>
      <c r="F2532" s="61" t="str">
        <f>IFERROR(__xludf.DUMMYFUNCTION("""COMPUTED_VALUE"""),"片田舎のおっさん、剣聖になる外伝　はじまりの魔法剣士")</f>
        <v>片田舎のおっさん、剣聖になる外伝　はじまりの魔法剣士</v>
      </c>
      <c r="G2532" s="20" t="str">
        <f>IFERROR(__xludf.DUMMYFUNCTION("""COMPUTED_VALUE"""),"1～3")</f>
        <v>1～3</v>
      </c>
      <c r="H2532" s="22" t="str">
        <f>IFERROR(__xludf.DUMMYFUNCTION("""COMPUTED_VALUE"""),"原作/佐賀崎しげる 原作/鍋島テツヒロ 作画/空路 恵 構成/渡辺 樹")</f>
        <v>原作/佐賀崎しげる 原作/鍋島テツヒロ 作画/空路 恵 構成/渡辺 樹</v>
      </c>
      <c r="I2532" s="22" t="str">
        <f>IFERROR(__xludf.DUMMYFUNCTION("""COMPUTED_VALUE"""),"少年")</f>
        <v>少年</v>
      </c>
      <c r="J2532" s="22"/>
      <c r="K2532" s="22"/>
      <c r="L2532" s="22" t="str">
        <f>IFERROR(__xludf.DUMMYFUNCTION("""COMPUTED_VALUE"""),"スクウェア・エニックス")</f>
        <v>スクウェア・エニックス</v>
      </c>
      <c r="M2532" s="59">
        <f>IFERROR(__xludf.DUMMYFUNCTION("""COMPUTED_VALUE"""),45658.0)</f>
        <v>45658</v>
      </c>
      <c r="N2532" s="59">
        <f>IFERROR(__xludf.DUMMYFUNCTION("""COMPUTED_VALUE"""),45688.0)</f>
        <v>45688</v>
      </c>
      <c r="O2532" s="20"/>
      <c r="P2532" s="34" t="str">
        <f>IFERROR(__xludf.DUMMYFUNCTION("""COMPUTED_VALUE"""),"否")</f>
        <v>否</v>
      </c>
      <c r="Q2532" s="31" t="str">
        <f>IFERROR(__xludf.DUMMYFUNCTION("""COMPUTED_VALUE"""),"現在、秋田書店から配信中の「片田舎のおっさん～」のスピンオフ作品にあたるコミックです。")</f>
        <v>現在、秋田書店から配信中の「片田舎のおっさん～」のスピンオフ作品にあたるコミックです。</v>
      </c>
      <c r="R2532" s="22" t="str">
        <f>IFERROR(__xludf.DUMMYFUNCTION("""COMPUTED_VALUE"""),"コミットOK")</f>
        <v>コミットOK</v>
      </c>
      <c r="S2532" s="22" t="str">
        <f>IFERROR(__xludf.DUMMYFUNCTION("""COMPUTED_VALUE"""),"20241125_スクウェア・エニックス_片田舎のおっさん剣聖になる外伝はじまりの魔法剣士")</f>
        <v>20241125_スクウェア・エニックス_片田舎のおっさん剣聖になる外伝はじまりの魔法剣士</v>
      </c>
      <c r="T2532" s="22" t="str">
        <f>IFERROR(__xludf.DUMMYFUNCTION("""COMPUTED_VALUE"""),"格納済み")</f>
        <v>格納済み</v>
      </c>
      <c r="U2532" s="15" t="str">
        <f>IFERROR(__xludf.DUMMYFUNCTION("""COMPUTED_VALUE"""),"(C)Shigeru Sagazaki/SQUARE ENIX (C)Tetsuhiro Nabeshima/SQUARE ENIX (C)Megumu Soramichi/SQUARE ENIX (C)Itsuki Watanabe/SQUARE ENIX")</f>
        <v>(C)Shigeru Sagazaki/SQUARE ENIX (C)Tetsuhiro Nabeshima/SQUARE ENIX (C)Megumu Soramichi/SQUARE ENIX (C)Itsuki Watanabe/SQUARE ENIX</v>
      </c>
      <c r="V2532" s="8" t="str">
        <f>IFERROR(__xludf.DUMMYFUNCTION("""COMPUTED_VALUE"""),"【SQEXノベル発の大ヒットタイトル、初の公式外伝コミカライズ!!】
SQEXノベル発の大ヒットタイトル、「片田舎のおっさん、剣聖になる　～ただの田舎の剣術師範だったのに、大成した弟子たちが俺を放ってくれない件～」の初の公式外伝コミカライズ!!レベリス王国の片田舎・ビデン村の剣術道場で師範をするベリル・ガーデナントの元に、一人の少女が入門する。少女の名はフィッセル・ハーベラー。負けず嫌いで誰よりも稽古を重ね努力する彼女は、道場の中でもめきめきと頭角を現してゆくが、同時に魔術の力にも目覚めて…。これは、剣"&amp;"聖に憧れた少女が剣と魔法で高みを目指す物語。
※この商品は「片田舎のおっさん、剣聖になる外伝　はじまりの魔法剣士」を1話ごとに分冊したものです。
(C)2025 Shigeru Sagazaki (C)2025 Tetsuhiro Nabeshima (C)2025 Megumu Soramichi (C)2025 Itsuki Watanabe")</f>
        <v>【SQEXノベル発の大ヒットタイトル、初の公式外伝コミカライズ!!】
SQEXノベル発の大ヒットタイトル、「片田舎のおっさん、剣聖になる　～ただの田舎の剣術師範だったのに、大成した弟子たちが俺を放ってくれない件～」の初の公式外伝コミカライズ!!レベリス王国の片田舎・ビデン村の剣術道場で師範をするベリル・ガーデナントの元に、一人の少女が入門する。少女の名はフィッセル・ハーベラー。負けず嫌いで誰よりも稽古を重ね努力する彼女は、道場の中でもめきめきと頭角を現してゆくが、同時に魔術の力にも目覚めて…。これは、剣聖に憧れた少女が剣と魔法で高みを目指す物語。
※この商品は「片田舎のおっさん、剣聖になる外伝　はじまりの魔法剣士」を1話ごとに分冊したものです。
(C)2025 Shigeru Sagazaki (C)2025 Tetsuhiro Nabeshima (C)2025 Megumu Soramichi (C)2025 Itsuki Watanabe</v>
      </c>
      <c r="W2532" s="14"/>
      <c r="X2532" s="14" t="str">
        <f>IFERROR(__xludf.DUMMYFUNCTION("""COMPUTED_VALUE"""),"有")</f>
        <v>有</v>
      </c>
      <c r="Y2532" s="8" t="str">
        <f>IFERROR(__xludf.DUMMYFUNCTION("""COMPUTED_VALUE"""),"2025/1/31まで1巻無料")</f>
        <v>2025/1/31まで1巻無料</v>
      </c>
      <c r="Z2532" s="7"/>
      <c r="AA2532" s="7"/>
      <c r="AB2532" s="7"/>
    </row>
    <row r="2533" ht="15.75" customHeight="1">
      <c r="A2533" s="26">
        <f>IFERROR(__xludf.DUMMYFUNCTION("""COMPUTED_VALUE"""),4557.0)</f>
        <v>4557</v>
      </c>
      <c r="B2533" s="22" t="str">
        <f>IFERROR(__xludf.DUMMYFUNCTION("""COMPUTED_VALUE"""),"確定")</f>
        <v>確定</v>
      </c>
      <c r="C2533" s="28">
        <f>IFERROR(__xludf.DUMMYFUNCTION("""COMPUTED_VALUE"""),45621.0)</f>
        <v>45621</v>
      </c>
      <c r="D2533" s="28">
        <f>IFERROR(__xludf.DUMMYFUNCTION("""COMPUTED_VALUE"""),45625.0)</f>
        <v>45625</v>
      </c>
      <c r="E2533" s="100">
        <f>IFERROR(__xludf.DUMMYFUNCTION("""COMPUTED_VALUE"""),272187.0)</f>
        <v>272187</v>
      </c>
      <c r="F2533" s="61" t="str">
        <f>IFERROR(__xludf.DUMMYFUNCTION("""COMPUTED_VALUE"""),"灰と天外")</f>
        <v>灰と天外</v>
      </c>
      <c r="G2533" s="20" t="str">
        <f>IFERROR(__xludf.DUMMYFUNCTION("""COMPUTED_VALUE"""),"1～3")</f>
        <v>1～3</v>
      </c>
      <c r="H2533" s="22" t="str">
        <f>IFERROR(__xludf.DUMMYFUNCTION("""COMPUTED_VALUE"""),"松平徹")</f>
        <v>松平徹</v>
      </c>
      <c r="I2533" s="22" t="str">
        <f>IFERROR(__xludf.DUMMYFUNCTION("""COMPUTED_VALUE"""),"BLコミック")</f>
        <v>BLコミック</v>
      </c>
      <c r="J2533" s="22"/>
      <c r="K2533" s="22"/>
      <c r="L2533" s="22" t="str">
        <f>IFERROR(__xludf.DUMMYFUNCTION("""COMPUTED_VALUE"""),"シーモアコミックス")</f>
        <v>シーモアコミックス</v>
      </c>
      <c r="M2533" s="33">
        <f>IFERROR(__xludf.DUMMYFUNCTION("""COMPUTED_VALUE"""),45654.0)</f>
        <v>45654</v>
      </c>
      <c r="N2533" s="23">
        <f>IFERROR(__xludf.DUMMYFUNCTION("""COMPUTED_VALUE"""),45715.0)</f>
        <v>45715</v>
      </c>
      <c r="O2533" s="20"/>
      <c r="P2533" s="32" t="str">
        <f>IFERROR(__xludf.DUMMYFUNCTION("""COMPUTED_VALUE"""),"可")</f>
        <v>可</v>
      </c>
      <c r="Q2533" s="30"/>
      <c r="R2533" s="22"/>
      <c r="S2533" s="22" t="str">
        <f>IFERROR(__xludf.DUMMYFUNCTION("""COMPUTED_VALUE"""),"20241127_シーモアコミックス_灰と天外")</f>
        <v>20241127_シーモアコミックス_灰と天外</v>
      </c>
      <c r="T2533" s="22" t="str">
        <f>IFERROR(__xludf.DUMMYFUNCTION("""COMPUTED_VALUE"""),"格納済み")</f>
        <v>格納済み</v>
      </c>
      <c r="U2533" s="15" t="str">
        <f>IFERROR(__xludf.DUMMYFUNCTION("""COMPUTED_VALUE"""),"© 松平徹/シーモアコミックス")</f>
        <v>© 松平徹/シーモアコミックス</v>
      </c>
      <c r="V2533" s="8" t="str">
        <f>IFERROR(__xludf.DUMMYFUNCTION("""COMPUTED_VALUE"""),"「灰」色の名前を持って家出をした。雨宿り先に選んだ建物には不愛想で無口な男がいて、撮影モデルになるように言われた。「白」色のシャツに着替えさせられ、その様子をミステリアスな瞳でファインダーから覗かれる。レンズ越しにあばかれた身体は、シャッターが切られるたびに高揚していって――。【フィカス】")</f>
        <v>「灰」色の名前を持って家出をした。雨宿り先に選んだ建物には不愛想で無口な男がいて、撮影モデルになるように言われた。「白」色のシャツに着替えさせられ、その様子をミステリアスな瞳でファインダーから覗かれる。レンズ越しにあばかれた身体は、シャッターが切られるたびに高揚していって――。【フィカス】</v>
      </c>
      <c r="W2533" s="14"/>
      <c r="X2533" s="14" t="str">
        <f>IFERROR(__xludf.DUMMYFUNCTION("""COMPUTED_VALUE"""),"有")</f>
        <v>有</v>
      </c>
      <c r="Y2533" s="8" t="str">
        <f>IFERROR(__xludf.DUMMYFUNCTION("""COMPUTED_VALUE"""),"P17まで")</f>
        <v>P17まで</v>
      </c>
      <c r="Z2533" s="7"/>
      <c r="AA2533" s="7"/>
      <c r="AB2533" s="7"/>
    </row>
    <row r="2534" ht="15.75" customHeight="1">
      <c r="A2534" s="26">
        <f>IFERROR(__xludf.DUMMYFUNCTION("""COMPUTED_VALUE"""),4580.0)</f>
        <v>4580</v>
      </c>
      <c r="B2534" s="22" t="str">
        <f>IFERROR(__xludf.DUMMYFUNCTION("""COMPUTED_VALUE"""),"確定")</f>
        <v>確定</v>
      </c>
      <c r="C2534" s="28">
        <f>IFERROR(__xludf.DUMMYFUNCTION("""COMPUTED_VALUE"""),45624.0)</f>
        <v>45624</v>
      </c>
      <c r="D2534" s="28">
        <f>IFERROR(__xludf.DUMMYFUNCTION("""COMPUTED_VALUE"""),45625.0)</f>
        <v>45625</v>
      </c>
      <c r="E2534" s="100">
        <f>IFERROR(__xludf.DUMMYFUNCTION("""COMPUTED_VALUE"""),129048.0)</f>
        <v>129048</v>
      </c>
      <c r="F2534" s="61" t="str">
        <f>IFERROR(__xludf.DUMMYFUNCTION("""COMPUTED_VALUE"""),"オレとあたしと新世界")</f>
        <v>オレとあたしと新世界</v>
      </c>
      <c r="G2534" s="20">
        <f>IFERROR(__xludf.DUMMYFUNCTION("""COMPUTED_VALUE"""),7.0)</f>
        <v>7</v>
      </c>
      <c r="H2534" s="22" t="str">
        <f>IFERROR(__xludf.DUMMYFUNCTION("""COMPUTED_VALUE"""),"古宇田エン")</f>
        <v>古宇田エン</v>
      </c>
      <c r="I2534" s="22" t="str">
        <f>IFERROR(__xludf.DUMMYFUNCTION("""COMPUTED_VALUE"""),"BLマンガ")</f>
        <v>BLマンガ</v>
      </c>
      <c r="J2534" s="22"/>
      <c r="K2534" s="22" t="str">
        <f>IFERROR(__xludf.DUMMYFUNCTION("""COMPUTED_VALUE"""),"enigma comics")</f>
        <v>enigma comics</v>
      </c>
      <c r="L2534" s="22" t="str">
        <f>IFERROR(__xludf.DUMMYFUNCTION("""COMPUTED_VALUE"""),"オークラ出版")</f>
        <v>オークラ出版</v>
      </c>
      <c r="M2534" s="33">
        <f>IFERROR(__xludf.DUMMYFUNCTION("""COMPUTED_VALUE"""),45647.0)</f>
        <v>45647</v>
      </c>
      <c r="N2534" s="33">
        <f>IFERROR(__xludf.DUMMYFUNCTION("""COMPUTED_VALUE"""),2958465.0)</f>
        <v>2958465</v>
      </c>
      <c r="O2534" s="20"/>
      <c r="P2534" s="34" t="str">
        <f>IFERROR(__xludf.DUMMYFUNCTION("""COMPUTED_VALUE"""),"可")</f>
        <v>可</v>
      </c>
      <c r="Q2534" s="30" t="str">
        <f>IFERROR(__xludf.DUMMYFUNCTION("""COMPUTED_VALUE"""),"「シーモア限定BOOK」作品です。&lt;BR&gt;よろしくお願いいたします。")</f>
        <v>「シーモア限定BOOK」作品です。&lt;BR&gt;よろしくお願いいたします。</v>
      </c>
      <c r="R2534" s="22"/>
      <c r="S2534" s="22" t="str">
        <f>IFERROR(__xludf.DUMMYFUNCTION("""COMPUTED_VALUE"""),"20241128_オークラ出版_オレとあたしと新世界 特別篇【シーモア限定BOOK】")</f>
        <v>20241128_オークラ出版_オレとあたしと新世界 特別篇【シーモア限定BOOK】</v>
      </c>
      <c r="T2534" s="22" t="str">
        <f>IFERROR(__xludf.DUMMYFUNCTION("""COMPUTED_VALUE"""),"格納済み")</f>
        <v>格納済み</v>
      </c>
      <c r="U2534" s="15" t="str">
        <f>IFERROR(__xludf.DUMMYFUNCTION("""COMPUTED_VALUE"""),"(C)古宇田エン/オークラ出版 enigma")</f>
        <v>(C)古宇田エン/オークラ出版 enigma</v>
      </c>
      <c r="V2534" s="8" t="str">
        <f>IFERROR(__xludf.DUMMYFUNCTION("""COMPUTED_VALUE"""),"しのぶが店子をやっているゲイバーに、同僚につれられてやってきたマコト。どう見ても外国人にしか見えないその風貌に興味を抱いたしのぶだが、オネエとノンケではそもそも恋が始まるきっかけすら見えなかった。そんなある日、マコトが店に血まみれであらわれて…！？")</f>
        <v>しのぶが店子をやっているゲイバーに、同僚につれられてやってきたマコト。どう見ても外国人にしか見えないその風貌に興味を抱いたしのぶだが、オネエとノンケではそもそも恋が始まるきっかけすら見えなかった。そんなある日、マコトが店に血まみれであらわれて…！？</v>
      </c>
      <c r="W2534" s="14"/>
      <c r="X2534" s="14" t="str">
        <f>IFERROR(__xludf.DUMMYFUNCTION("""COMPUTED_VALUE"""),"有")</f>
        <v>有</v>
      </c>
      <c r="Y2534" s="8" t="str">
        <f>IFERROR(__xludf.DUMMYFUNCTION("""COMPUTED_VALUE"""),"2025/1/20まで1巻無料")</f>
        <v>2025/1/20まで1巻無料</v>
      </c>
      <c r="Z2534" s="7"/>
      <c r="AA2534" s="7"/>
      <c r="AB2534" s="7"/>
    </row>
    <row r="2535" ht="15.75" customHeight="1">
      <c r="A2535" s="26">
        <f>IFERROR(__xludf.DUMMYFUNCTION("""COMPUTED_VALUE"""),4583.0)</f>
        <v>4583</v>
      </c>
      <c r="B2535" s="22" t="str">
        <f>IFERROR(__xludf.DUMMYFUNCTION("""COMPUTED_VALUE"""),"確定")</f>
        <v>確定</v>
      </c>
      <c r="C2535" s="28">
        <f>IFERROR(__xludf.DUMMYFUNCTION("""COMPUTED_VALUE"""),45624.0)</f>
        <v>45624</v>
      </c>
      <c r="D2535" s="28">
        <f>IFERROR(__xludf.DUMMYFUNCTION("""COMPUTED_VALUE"""),45625.0)</f>
        <v>45625</v>
      </c>
      <c r="E2535" s="100">
        <f>IFERROR(__xludf.DUMMYFUNCTION("""COMPUTED_VALUE"""),311089.0)</f>
        <v>311089</v>
      </c>
      <c r="F2535" s="61" t="str">
        <f>IFERROR(__xludf.DUMMYFUNCTION("""COMPUTED_VALUE"""),"王子は私の前でだけ子犬系なんですが普段とのギャップにやられています！")</f>
        <v>王子は私の前でだけ子犬系なんですが普段とのギャップにやられています！</v>
      </c>
      <c r="G2535" s="20" t="str">
        <f>IFERROR(__xludf.DUMMYFUNCTION("""COMPUTED_VALUE"""),"1～2")</f>
        <v>1～2</v>
      </c>
      <c r="H2535" s="22" t="str">
        <f>IFERROR(__xludf.DUMMYFUNCTION("""COMPUTED_VALUE"""),"米田マリコ／COMIC ROOM")</f>
        <v>米田マリコ／COMIC ROOM</v>
      </c>
      <c r="I2535" s="22" t="str">
        <f>IFERROR(__xludf.DUMMYFUNCTION("""COMPUTED_VALUE"""),"女性")</f>
        <v>女性</v>
      </c>
      <c r="J2535" s="22"/>
      <c r="K2535" s="22" t="str">
        <f>IFERROR(__xludf.DUMMYFUNCTION("""COMPUTED_VALUE"""),"COMIC MOON")</f>
        <v>COMIC MOON</v>
      </c>
      <c r="L2535" s="22" t="str">
        <f>IFERROR(__xludf.DUMMYFUNCTION("""COMPUTED_VALUE"""),"コミックルーム")</f>
        <v>コミックルーム</v>
      </c>
      <c r="M2535" s="23">
        <f>IFERROR(__xludf.DUMMYFUNCTION("""COMPUTED_VALUE"""),45672.0)</f>
        <v>45672</v>
      </c>
      <c r="N2535" s="23">
        <f>IFERROR(__xludf.DUMMYFUNCTION("""COMPUTED_VALUE"""),45761.0)</f>
        <v>45761</v>
      </c>
      <c r="O2535" s="20"/>
      <c r="P2535" s="32" t="str">
        <f>IFERROR(__xludf.DUMMYFUNCTION("""COMPUTED_VALUE"""),"可")</f>
        <v>可</v>
      </c>
      <c r="Q2535" s="30"/>
      <c r="R2535" s="22"/>
      <c r="S2535" s="22" t="str">
        <f>IFERROR(__xludf.DUMMYFUNCTION("""COMPUTED_VALUE"""),"20241128_コミックルーム_王子は私の前でだけ子犬系なんですが普段とのギャップにやられています！")</f>
        <v>20241128_コミックルーム_王子は私の前でだけ子犬系なんですが普段とのギャップにやられています！</v>
      </c>
      <c r="T2535" s="22" t="str">
        <f>IFERROR(__xludf.DUMMYFUNCTION("""COMPUTED_VALUE"""),"格納済み")</f>
        <v>格納済み</v>
      </c>
      <c r="U2535" s="15" t="str">
        <f>IFERROR(__xludf.DUMMYFUNCTION("""COMPUTED_VALUE"""),"(c)米田マリコ／COMIC ROOM")</f>
        <v>(c)米田マリコ／COMIC ROOM</v>
      </c>
      <c r="V2535" s="8" t="str">
        <f>IFERROR(__xludf.DUMMYFUNCTION("""COMPUTED_VALUE"""),"伯爵令嬢のカトリーナは、幼い頃から妹のルシアに一方的に憎まれていた。
そして玩具や洋服、友人や両親の愛情、そして婚約者まで、ルシアはあらゆる策略でカトリーナから全てを奪っていった。
絶望の最中、彼女を救ったのは、森で触れ合う動物たち。人よりも心が通じ合えると感じ癒されていたカトリーナの前に、鷹飼いの訓練で森に訪れていた青年マーカスが現れる。
カトリーナは戸惑いながらも、動物を通して二人は心を通わせるようになり、惹かれていく。
だが、それを知った妹ルシアはまたしても動き始め・・・！？
※この作品の"&amp;"1・2巻は『溺れるほど愛されて、幸せになってみせますわ！アンソロジーコミック11巻』の収録作品です。重複購入にご注意ください。")</f>
        <v>伯爵令嬢のカトリーナは、幼い頃から妹のルシアに一方的に憎まれていた。
そして玩具や洋服、友人や両親の愛情、そして婚約者まで、ルシアはあらゆる策略でカトリーナから全てを奪っていった。
絶望の最中、彼女を救ったのは、森で触れ合う動物たち。人よりも心が通じ合えると感じ癒されていたカトリーナの前に、鷹飼いの訓練で森に訪れていた青年マーカスが現れる。
カトリーナは戸惑いながらも、動物を通して二人は心を通わせるようになり、惹かれていく。
だが、それを知った妹ルシアはまたしても動き始め・・・！？
※この作品の1・2巻は『溺れるほど愛されて、幸せになってみせますわ！アンソロジーコミック11巻』の収録作品です。重複購入にご注意ください。</v>
      </c>
      <c r="W2535" s="14"/>
      <c r="X2535" s="14" t="str">
        <f>IFERROR(__xludf.DUMMYFUNCTION("""COMPUTED_VALUE"""),"有")</f>
        <v>有</v>
      </c>
      <c r="Y2535" s="8" t="str">
        <f>IFERROR(__xludf.DUMMYFUNCTION("""COMPUTED_VALUE"""),"P13まで")</f>
        <v>P13まで</v>
      </c>
      <c r="Z2535" s="7"/>
      <c r="AA2535" s="7"/>
      <c r="AB2535" s="7"/>
    </row>
    <row r="2536" ht="15.75" customHeight="1">
      <c r="A2536" s="26">
        <f>IFERROR(__xludf.DUMMYFUNCTION("""COMPUTED_VALUE"""),4585.0)</f>
        <v>4585</v>
      </c>
      <c r="B2536" s="22" t="str">
        <f>IFERROR(__xludf.DUMMYFUNCTION("""COMPUTED_VALUE"""),"確定")</f>
        <v>確定</v>
      </c>
      <c r="C2536" s="28">
        <f>IFERROR(__xludf.DUMMYFUNCTION("""COMPUTED_VALUE"""),45624.0)</f>
        <v>45624</v>
      </c>
      <c r="D2536" s="28">
        <f>IFERROR(__xludf.DUMMYFUNCTION("""COMPUTED_VALUE"""),45625.0)</f>
        <v>45625</v>
      </c>
      <c r="E2536" s="100">
        <f>IFERROR(__xludf.DUMMYFUNCTION("""COMPUTED_VALUE"""),311090.0)</f>
        <v>311090</v>
      </c>
      <c r="F2536" s="61" t="str">
        <f>IFERROR(__xludf.DUMMYFUNCTION("""COMPUTED_VALUE"""),"婚約破棄され傷物になった私を、王太子様は猛烈に愛してくださいます。")</f>
        <v>婚約破棄され傷物になった私を、王太子様は猛烈に愛してくださいます。</v>
      </c>
      <c r="G2536" s="20" t="str">
        <f>IFERROR(__xludf.DUMMYFUNCTION("""COMPUTED_VALUE"""),"1～2")</f>
        <v>1～2</v>
      </c>
      <c r="H2536" s="22" t="str">
        <f>IFERROR(__xludf.DUMMYFUNCTION("""COMPUTED_VALUE"""),"夏空あめ／COMIC ROOM")</f>
        <v>夏空あめ／COMIC ROOM</v>
      </c>
      <c r="I2536" s="22" t="str">
        <f>IFERROR(__xludf.DUMMYFUNCTION("""COMPUTED_VALUE"""),"女性")</f>
        <v>女性</v>
      </c>
      <c r="J2536" s="22"/>
      <c r="K2536" s="22" t="str">
        <f>IFERROR(__xludf.DUMMYFUNCTION("""COMPUTED_VALUE"""),"COMIC MOON")</f>
        <v>COMIC MOON</v>
      </c>
      <c r="L2536" s="22" t="str">
        <f>IFERROR(__xludf.DUMMYFUNCTION("""COMPUTED_VALUE"""),"コミックルーム")</f>
        <v>コミックルーム</v>
      </c>
      <c r="M2536" s="23">
        <f>IFERROR(__xludf.DUMMYFUNCTION("""COMPUTED_VALUE"""),45672.0)</f>
        <v>45672</v>
      </c>
      <c r="N2536" s="23">
        <f>IFERROR(__xludf.DUMMYFUNCTION("""COMPUTED_VALUE"""),45761.0)</f>
        <v>45761</v>
      </c>
      <c r="O2536" s="20"/>
      <c r="P2536" s="32" t="str">
        <f>IFERROR(__xludf.DUMMYFUNCTION("""COMPUTED_VALUE"""),"可")</f>
        <v>可</v>
      </c>
      <c r="Q2536" s="30"/>
      <c r="R2536" s="22"/>
      <c r="S2536" s="22" t="str">
        <f>IFERROR(__xludf.DUMMYFUNCTION("""COMPUTED_VALUE"""),"20241128_コミックルーム_婚約破棄され傷物になった私を、王太子様は猛烈に愛してくださいます。")</f>
        <v>20241128_コミックルーム_婚約破棄され傷物になった私を、王太子様は猛烈に愛してくださいます。</v>
      </c>
      <c r="T2536" s="22" t="str">
        <f>IFERROR(__xludf.DUMMYFUNCTION("""COMPUTED_VALUE"""),"格納済み")</f>
        <v>格納済み</v>
      </c>
      <c r="U2536" s="15" t="str">
        <f>IFERROR(__xludf.DUMMYFUNCTION("""COMPUTED_VALUE"""),"(c)夏空あめ／COMIC ROOM")</f>
        <v>(c)夏空あめ／COMIC ROOM</v>
      </c>
      <c r="V2536" s="8" t="str">
        <f>IFERROR(__xludf.DUMMYFUNCTION("""COMPUTED_VALUE"""),"侯爵令嬢イライザは、公爵令息のフィリップと婚約していた。
しかしある時、色気のある大人の女性が好きだからと別の女性に乗り換えられてしまう。
理不尽な婚約破棄にも関わらず、イライザは社交界で「傷物令嬢」と陰口を言われる扱いを受け、塞ぎ込んでしまった。
そんな彼女の元に、幼いころ住んでいた隣国の王太子から突然縁談の手紙が届く。
10年ぶりに見る華やかな町並みと盛大な歓迎。
次第に、イライザの心は鮮やかさを取り戻していった。
ところが、イライザにはこの国にどうしても忘れられない人がいるようで・・・？"&amp;"
※この作品の1・2巻は『溺れるほど愛されて、幸せになってみせますわ！アンソロジーコミック11巻』の収録作品です。重複購入にご注意ください。")</f>
        <v>侯爵令嬢イライザは、公爵令息のフィリップと婚約していた。
しかしある時、色気のある大人の女性が好きだからと別の女性に乗り換えられてしまう。
理不尽な婚約破棄にも関わらず、イライザは社交界で「傷物令嬢」と陰口を言われる扱いを受け、塞ぎ込んでしまった。
そんな彼女の元に、幼いころ住んでいた隣国の王太子から突然縁談の手紙が届く。
10年ぶりに見る華やかな町並みと盛大な歓迎。
次第に、イライザの心は鮮やかさを取り戻していった。
ところが、イライザにはこの国にどうしても忘れられない人がいるようで・・・？
※この作品の1・2巻は『溺れるほど愛されて、幸せになってみせますわ！アンソロジーコミック11巻』の収録作品です。重複購入にご注意ください。</v>
      </c>
      <c r="W2536" s="14"/>
      <c r="X2536" s="14" t="str">
        <f>IFERROR(__xludf.DUMMYFUNCTION("""COMPUTED_VALUE"""),"有")</f>
        <v>有</v>
      </c>
      <c r="Y2536" s="8" t="str">
        <f>IFERROR(__xludf.DUMMYFUNCTION("""COMPUTED_VALUE"""),"P9まで")</f>
        <v>P9まで</v>
      </c>
      <c r="Z2536" s="7"/>
      <c r="AA2536" s="7"/>
      <c r="AB2536" s="7"/>
    </row>
    <row r="2537" ht="15.75" customHeight="1">
      <c r="A2537" s="26">
        <f>IFERROR(__xludf.DUMMYFUNCTION("""COMPUTED_VALUE"""),4586.0)</f>
        <v>4586</v>
      </c>
      <c r="B2537" s="22" t="str">
        <f>IFERROR(__xludf.DUMMYFUNCTION("""COMPUTED_VALUE"""),"確定")</f>
        <v>確定</v>
      </c>
      <c r="C2537" s="28">
        <f>IFERROR(__xludf.DUMMYFUNCTION("""COMPUTED_VALUE"""),45624.0)</f>
        <v>45624</v>
      </c>
      <c r="D2537" s="28">
        <f>IFERROR(__xludf.DUMMYFUNCTION("""COMPUTED_VALUE"""),45625.0)</f>
        <v>45625</v>
      </c>
      <c r="E2537" s="100">
        <f>IFERROR(__xludf.DUMMYFUNCTION("""COMPUTED_VALUE"""),311091.0)</f>
        <v>311091</v>
      </c>
      <c r="F2537" s="61" t="str">
        <f>IFERROR(__xludf.DUMMYFUNCTION("""COMPUTED_VALUE"""),"婚約破棄されたので、温室に引きこもらせていただきます。こちらのことはどうぞお構いなく。")</f>
        <v>婚約破棄されたので、温室に引きこもらせていただきます。こちらのことはどうぞお構いなく。</v>
      </c>
      <c r="G2537" s="20" t="str">
        <f>IFERROR(__xludf.DUMMYFUNCTION("""COMPUTED_VALUE"""),"1～2")</f>
        <v>1～2</v>
      </c>
      <c r="H2537" s="22" t="str">
        <f>IFERROR(__xludf.DUMMYFUNCTION("""COMPUTED_VALUE"""),"acca／COMIC ROOM")</f>
        <v>acca／COMIC ROOM</v>
      </c>
      <c r="I2537" s="22" t="str">
        <f>IFERROR(__xludf.DUMMYFUNCTION("""COMPUTED_VALUE"""),"女性")</f>
        <v>女性</v>
      </c>
      <c r="J2537" s="22"/>
      <c r="K2537" s="22" t="str">
        <f>IFERROR(__xludf.DUMMYFUNCTION("""COMPUTED_VALUE"""),"COMIC MOON")</f>
        <v>COMIC MOON</v>
      </c>
      <c r="L2537" s="22" t="str">
        <f>IFERROR(__xludf.DUMMYFUNCTION("""COMPUTED_VALUE"""),"コミックルーム")</f>
        <v>コミックルーム</v>
      </c>
      <c r="M2537" s="23">
        <f>IFERROR(__xludf.DUMMYFUNCTION("""COMPUTED_VALUE"""),45672.0)</f>
        <v>45672</v>
      </c>
      <c r="N2537" s="23">
        <f>IFERROR(__xludf.DUMMYFUNCTION("""COMPUTED_VALUE"""),45761.0)</f>
        <v>45761</v>
      </c>
      <c r="O2537" s="20"/>
      <c r="P2537" s="32" t="str">
        <f>IFERROR(__xludf.DUMMYFUNCTION("""COMPUTED_VALUE"""),"可")</f>
        <v>可</v>
      </c>
      <c r="Q2537" s="30"/>
      <c r="R2537" s="22"/>
      <c r="S2537" s="22" t="str">
        <f>IFERROR(__xludf.DUMMYFUNCTION("""COMPUTED_VALUE"""),"20241128_コミックルーム_婚約破棄されたので、温室に引きこもらせていただきます。こちらのことはどうぞお構いなく。")</f>
        <v>20241128_コミックルーム_婚約破棄されたので、温室に引きこもらせていただきます。こちらのことはどうぞお構いなく。</v>
      </c>
      <c r="T2537" s="22" t="str">
        <f>IFERROR(__xludf.DUMMYFUNCTION("""COMPUTED_VALUE"""),"格納済み")</f>
        <v>格納済み</v>
      </c>
      <c r="U2537" s="15" t="str">
        <f>IFERROR(__xludf.DUMMYFUNCTION("""COMPUTED_VALUE"""),"(c)acca／COMIC ROOM")</f>
        <v>(c)acca／COMIC ROOM</v>
      </c>
      <c r="V2537" s="8" t="str">
        <f>IFERROR(__xludf.DUMMYFUNCTION("""COMPUTED_VALUE"""),"エーメリー伯爵家の令嬢コルネリアは、母親の病気を治すため薬草の研究に没頭していた。
しかし、いつも土まみれの姿は社交界で「庭師令嬢」と揶揄され、ついには婚約者のランドルフ侯爵令息からも別れを告げられてしまう。
嘆き悲しむコルネリア。そんな彼女の元に突如現れたのは、手傷を負った王国騎士ヴィクトル。
薬草でたちまち傷を治してみせたコルネリアは感謝と賞賛の言葉をもらい、再び前を向き歩き始めた。
ところが、そこに別れたはずの元婚約者ランドルフが現れ、怪しげな提案を持ちかけてきて・・・？
※この作品の1・"&amp;"2巻は『溺れるほど愛されて、幸せになってみせますわ！アンソロジーコミック11巻』の収録作品です。重複購入にご注意ください。")</f>
        <v>エーメリー伯爵家の令嬢コルネリアは、母親の病気を治すため薬草の研究に没頭していた。
しかし、いつも土まみれの姿は社交界で「庭師令嬢」と揶揄され、ついには婚約者のランドルフ侯爵令息からも別れを告げられてしまう。
嘆き悲しむコルネリア。そんな彼女の元に突如現れたのは、手傷を負った王国騎士ヴィクトル。
薬草でたちまち傷を治してみせたコルネリアは感謝と賞賛の言葉をもらい、再び前を向き歩き始めた。
ところが、そこに別れたはずの元婚約者ランドルフが現れ、怪しげな提案を持ちかけてきて・・・？
※この作品の1・2巻は『溺れるほど愛されて、幸せになってみせますわ！アンソロジーコミック11巻』の収録作品です。重複購入にご注意ください。</v>
      </c>
      <c r="W2537" s="14"/>
      <c r="X2537" s="14" t="str">
        <f>IFERROR(__xludf.DUMMYFUNCTION("""COMPUTED_VALUE"""),"有")</f>
        <v>有</v>
      </c>
      <c r="Y2537" s="8" t="str">
        <f>IFERROR(__xludf.DUMMYFUNCTION("""COMPUTED_VALUE"""),"P9まで")</f>
        <v>P9まで</v>
      </c>
      <c r="Z2537" s="7"/>
      <c r="AA2537" s="7"/>
      <c r="AB2537" s="7"/>
    </row>
    <row r="2538" ht="15.75" customHeight="1">
      <c r="A2538" s="26">
        <f>IFERROR(__xludf.DUMMYFUNCTION("""COMPUTED_VALUE"""),4587.0)</f>
        <v>4587</v>
      </c>
      <c r="B2538" s="22" t="str">
        <f>IFERROR(__xludf.DUMMYFUNCTION("""COMPUTED_VALUE"""),"確定")</f>
        <v>確定</v>
      </c>
      <c r="C2538" s="28">
        <f>IFERROR(__xludf.DUMMYFUNCTION("""COMPUTED_VALUE"""),45624.0)</f>
        <v>45624</v>
      </c>
      <c r="D2538" s="28">
        <f>IFERROR(__xludf.DUMMYFUNCTION("""COMPUTED_VALUE"""),45625.0)</f>
        <v>45625</v>
      </c>
      <c r="E2538" s="100">
        <f>IFERROR(__xludf.DUMMYFUNCTION("""COMPUTED_VALUE"""),311092.0)</f>
        <v>311092</v>
      </c>
      <c r="F2538" s="61" t="str">
        <f>IFERROR(__xludf.DUMMYFUNCTION("""COMPUTED_VALUE"""),"灰かぶり令嬢に転生しましたが、計略を練って冷酷夫を虜にします！")</f>
        <v>灰かぶり令嬢に転生しましたが、計略を練って冷酷夫を虜にします！</v>
      </c>
      <c r="G2538" s="20" t="str">
        <f>IFERROR(__xludf.DUMMYFUNCTION("""COMPUTED_VALUE"""),"1～4")</f>
        <v>1～4</v>
      </c>
      <c r="H2538" s="22" t="str">
        <f>IFERROR(__xludf.DUMMYFUNCTION("""COMPUTED_VALUE"""),"緑茶粒／COMIC ROOM")</f>
        <v>緑茶粒／COMIC ROOM</v>
      </c>
      <c r="I2538" s="22" t="str">
        <f>IFERROR(__xludf.DUMMYFUNCTION("""COMPUTED_VALUE"""),"女性")</f>
        <v>女性</v>
      </c>
      <c r="J2538" s="22"/>
      <c r="K2538" s="22" t="str">
        <f>IFERROR(__xludf.DUMMYFUNCTION("""COMPUTED_VALUE"""),"COMIC MOON")</f>
        <v>COMIC MOON</v>
      </c>
      <c r="L2538" s="22" t="str">
        <f>IFERROR(__xludf.DUMMYFUNCTION("""COMPUTED_VALUE"""),"コミックルーム")</f>
        <v>コミックルーム</v>
      </c>
      <c r="M2538" s="23">
        <f>IFERROR(__xludf.DUMMYFUNCTION("""COMPUTED_VALUE"""),45672.0)</f>
        <v>45672</v>
      </c>
      <c r="N2538" s="23">
        <f>IFERROR(__xludf.DUMMYFUNCTION("""COMPUTED_VALUE"""),45761.0)</f>
        <v>45761</v>
      </c>
      <c r="O2538" s="20"/>
      <c r="P2538" s="32" t="str">
        <f>IFERROR(__xludf.DUMMYFUNCTION("""COMPUTED_VALUE"""),"可")</f>
        <v>可</v>
      </c>
      <c r="Q2538" s="30"/>
      <c r="R2538" s="22"/>
      <c r="S2538" s="22" t="str">
        <f>IFERROR(__xludf.DUMMYFUNCTION("""COMPUTED_VALUE"""),"20241128_コミックルーム_灰かぶり令嬢に転生しましたが、計略を練って冷酷夫を虜にします！")</f>
        <v>20241128_コミックルーム_灰かぶり令嬢に転生しましたが、計略を練って冷酷夫を虜にします！</v>
      </c>
      <c r="T2538" s="22" t="str">
        <f>IFERROR(__xludf.DUMMYFUNCTION("""COMPUTED_VALUE"""),"格納済み")</f>
        <v>格納済み</v>
      </c>
      <c r="U2538" s="15" t="str">
        <f>IFERROR(__xludf.DUMMYFUNCTION("""COMPUTED_VALUE"""),"(c)緑茶粒／COMIC ROOM")</f>
        <v>(c)緑茶粒／COMIC ROOM</v>
      </c>
      <c r="V2538" s="8" t="str">
        <f>IFERROR(__xludf.DUMMYFUNCTION("""COMPUTED_VALUE"""),"ボロ雑巾のような擦り切れた服を着ている彼女こそが、悲劇の令嬢アンジュである。
彼女は今日も、継母とその娘に虐げられ、痩せ細った身体になりながらも生き延びていた。
しかしある日、彼女は突如として思い出す。自分が小説世界に転生しているということを！！
見た目は令嬢、中身は元35歳OLとなった令嬢アンジュは、最悪のバッドエンドを回避するため、喪女として生きてきた知識と経験を生かし最高のハッピーエンドを掴む決心をする！
波瀾万丈な大逆転溺愛物語、ここに開幕──────！！
※この作品の1・2・3・4巻は"&amp;"『溺れるほど愛されて、幸せになってみせますわ！アンソロジーコミック11巻』の収録作品です。重複購入にご注意ください。")</f>
        <v>ボロ雑巾のような擦り切れた服を着ている彼女こそが、悲劇の令嬢アンジュである。
彼女は今日も、継母とその娘に虐げられ、痩せ細った身体になりながらも生き延びていた。
しかしある日、彼女は突如として思い出す。自分が小説世界に転生しているということを！！
見た目は令嬢、中身は元35歳OLとなった令嬢アンジュは、最悪のバッドエンドを回避するため、喪女として生きてきた知識と経験を生かし最高のハッピーエンドを掴む決心をする！
波瀾万丈な大逆転溺愛物語、ここに開幕──────！！
※この作品の1・2・3・4巻は『溺れるほど愛されて、幸せになってみせますわ！アンソロジーコミック11巻』の収録作品です。重複購入にご注意ください。</v>
      </c>
      <c r="W2538" s="14"/>
      <c r="X2538" s="14" t="str">
        <f>IFERROR(__xludf.DUMMYFUNCTION("""COMPUTED_VALUE"""),"有")</f>
        <v>有</v>
      </c>
      <c r="Y2538" s="8" t="str">
        <f>IFERROR(__xludf.DUMMYFUNCTION("""COMPUTED_VALUE"""),"P13まで")</f>
        <v>P13まで</v>
      </c>
      <c r="Z2538" s="7"/>
      <c r="AA2538" s="7"/>
      <c r="AB2538" s="7"/>
    </row>
    <row r="2539" ht="15.75" customHeight="1">
      <c r="A2539" s="26">
        <f>IFERROR(__xludf.DUMMYFUNCTION("""COMPUTED_VALUE"""),4593.0)</f>
        <v>4593</v>
      </c>
      <c r="B2539" s="22" t="str">
        <f>IFERROR(__xludf.DUMMYFUNCTION("""COMPUTED_VALUE"""),"確定")</f>
        <v>確定</v>
      </c>
      <c r="C2539" s="28">
        <f>IFERROR(__xludf.DUMMYFUNCTION("""COMPUTED_VALUE"""),45625.0)</f>
        <v>45625</v>
      </c>
      <c r="D2539" s="28">
        <f>IFERROR(__xludf.DUMMYFUNCTION("""COMPUTED_VALUE"""),45629.0)</f>
        <v>45629</v>
      </c>
      <c r="E2539" s="100">
        <f>IFERROR(__xludf.DUMMYFUNCTION("""COMPUTED_VALUE"""),295482.0)</f>
        <v>295482</v>
      </c>
      <c r="F2539" s="61" t="str">
        <f>IFERROR(__xludf.DUMMYFUNCTION("""COMPUTED_VALUE"""),"ドラマチック・リビドー(フルカラー)")</f>
        <v>ドラマチック・リビドー(フルカラー)</v>
      </c>
      <c r="G2539" s="20" t="str">
        <f>IFERROR(__xludf.DUMMYFUNCTION("""COMPUTED_VALUE"""),"1～6")</f>
        <v>1～6</v>
      </c>
      <c r="H2539" s="22" t="str">
        <f>IFERROR(__xludf.DUMMYFUNCTION("""COMPUTED_VALUE"""),"chaegoo")</f>
        <v>chaegoo</v>
      </c>
      <c r="I2539" s="22" t="str">
        <f>IFERROR(__xludf.DUMMYFUNCTION("""COMPUTED_VALUE"""),"BLマンガ")</f>
        <v>BLマンガ</v>
      </c>
      <c r="J2539" s="22"/>
      <c r="K2539" s="22"/>
      <c r="L2539" s="22" t="str">
        <f>IFERROR(__xludf.DUMMYFUNCTION("""COMPUTED_VALUE"""),"シーモアコミックス")</f>
        <v>シーモアコミックス</v>
      </c>
      <c r="M2539" s="23">
        <f>IFERROR(__xludf.DUMMYFUNCTION("""COMPUTED_VALUE"""),45661.0)</f>
        <v>45661</v>
      </c>
      <c r="N2539" s="23">
        <f>IFERROR(__xludf.DUMMYFUNCTION("""COMPUTED_VALUE"""),45722.0)</f>
        <v>45722</v>
      </c>
      <c r="O2539" s="20"/>
      <c r="P2539" s="32" t="str">
        <f>IFERROR(__xludf.DUMMYFUNCTION("""COMPUTED_VALUE"""),"可")</f>
        <v>可</v>
      </c>
      <c r="Q2539" s="30"/>
      <c r="R2539" s="22"/>
      <c r="S2539" s="22" t="str">
        <f>IFERROR(__xludf.DUMMYFUNCTION("""COMPUTED_VALUE"""),"20241129_シーモアコミックス_ドラマチック・リビドー（フルカラー）")</f>
        <v>20241129_シーモアコミックス_ドラマチック・リビドー（フルカラー）</v>
      </c>
      <c r="T2539" s="22" t="str">
        <f>IFERROR(__xludf.DUMMYFUNCTION("""COMPUTED_VALUE"""),"格納済み")</f>
        <v>格納済み</v>
      </c>
      <c r="U2539" s="15" t="str">
        <f>IFERROR(__xludf.DUMMYFUNCTION("""COMPUTED_VALUE"""),"© chaegoo/WisdomHouse/シーモアコミックス")</f>
        <v>© chaegoo/WisdomHouse/シーモアコミックス</v>
      </c>
      <c r="V2539" s="8" t="str">
        <f>IFERROR(__xludf.DUMMYFUNCTION("""COMPUTED_VALUE"""),"「僕はドラマみたいな恋がしたいんだ」
陽斗の恋人・泉樹にはあるヤバい性癖がある。いつでも陽斗は、泉樹が設定したドラマの役を演じなければならなくて、今はヒモ男の役!? 演じるのは別にいいけど…問題は今回のドラマ、なぜかキス以上は拒まれて、陽斗は欲求不満。早く泉樹を抱きたくて、ついにーー!?
お医者さん、ワイルド筋肉など、赤面シチュで甘い溺愛が止まらない…！
【フィカス】")</f>
        <v>「僕はドラマみたいな恋がしたいんだ」
陽斗の恋人・泉樹にはあるヤバい性癖がある。いつでも陽斗は、泉樹が設定したドラマの役を演じなければならなくて、今はヒモ男の役!? 演じるのは別にいいけど…問題は今回のドラマ、なぜかキス以上は拒まれて、陽斗は欲求不満。早く泉樹を抱きたくて、ついにーー!?
お医者さん、ワイルド筋肉など、赤面シチュで甘い溺愛が止まらない…！
【フィカス】</v>
      </c>
      <c r="W2539" s="14"/>
      <c r="X2539" s="14" t="str">
        <f>IFERROR(__xludf.DUMMYFUNCTION("""COMPUTED_VALUE"""),"有")</f>
        <v>有</v>
      </c>
      <c r="Y2539" s="8" t="str">
        <f>IFERROR(__xludf.DUMMYFUNCTION("""COMPUTED_VALUE"""),"2025/1/31まで1巻無料")</f>
        <v>2025/1/31まで1巻無料</v>
      </c>
      <c r="Z2539" s="7"/>
      <c r="AA2539" s="7"/>
      <c r="AB2539" s="7"/>
    </row>
    <row r="2540" ht="15.75" customHeight="1">
      <c r="A2540" s="26">
        <f>IFERROR(__xludf.DUMMYFUNCTION("""COMPUTED_VALUE"""),4594.0)</f>
        <v>4594</v>
      </c>
      <c r="B2540" s="22" t="str">
        <f>IFERROR(__xludf.DUMMYFUNCTION("""COMPUTED_VALUE"""),"確定")</f>
        <v>確定</v>
      </c>
      <c r="C2540" s="28">
        <f>IFERROR(__xludf.DUMMYFUNCTION("""COMPUTED_VALUE"""),45625.0)</f>
        <v>45625</v>
      </c>
      <c r="D2540" s="28">
        <f>IFERROR(__xludf.DUMMYFUNCTION("""COMPUTED_VALUE"""),45629.0)</f>
        <v>45629</v>
      </c>
      <c r="E2540" s="100">
        <f>IFERROR(__xludf.DUMMYFUNCTION("""COMPUTED_VALUE"""),295483.0)</f>
        <v>295483</v>
      </c>
      <c r="F2540" s="61" t="str">
        <f>IFERROR(__xludf.DUMMYFUNCTION("""COMPUTED_VALUE"""),"ドラマチック・リビドー【タテヨミ】")</f>
        <v>ドラマチック・リビドー【タテヨミ】</v>
      </c>
      <c r="G2540" s="20" t="str">
        <f>IFERROR(__xludf.DUMMYFUNCTION("""COMPUTED_VALUE"""),"1～18")</f>
        <v>1～18</v>
      </c>
      <c r="H2540" s="22" t="str">
        <f>IFERROR(__xludf.DUMMYFUNCTION("""COMPUTED_VALUE"""),"chaegoo")</f>
        <v>chaegoo</v>
      </c>
      <c r="I2540" s="22" t="str">
        <f>IFERROR(__xludf.DUMMYFUNCTION("""COMPUTED_VALUE"""),"BLマンガ")</f>
        <v>BLマンガ</v>
      </c>
      <c r="J2540" s="22"/>
      <c r="K2540" s="22"/>
      <c r="L2540" s="22" t="str">
        <f>IFERROR(__xludf.DUMMYFUNCTION("""COMPUTED_VALUE"""),"シーモアコミックス")</f>
        <v>シーモアコミックス</v>
      </c>
      <c r="M2540" s="23">
        <f>IFERROR(__xludf.DUMMYFUNCTION("""COMPUTED_VALUE"""),45661.0)</f>
        <v>45661</v>
      </c>
      <c r="N2540" s="23">
        <f>IFERROR(__xludf.DUMMYFUNCTION("""COMPUTED_VALUE"""),45722.0)</f>
        <v>45722</v>
      </c>
      <c r="O2540" s="20"/>
      <c r="P2540" s="34" t="str">
        <f>IFERROR(__xludf.DUMMYFUNCTION("""COMPUTED_VALUE"""),"可")</f>
        <v>可</v>
      </c>
      <c r="Q2540" s="30" t="str">
        <f>IFERROR(__xludf.DUMMYFUNCTION("""COMPUTED_VALUE"""),"※コマサム等素材は「295482ドラマチック・リビドー（フルカラー）」のほうをお使いください。&lt;BR&gt;バナー制作はフルカラー版の素材を利用して問題ございません。")</f>
        <v>※コマサム等素材は「295482ドラマチック・リビドー（フルカラー）」のほうをお使いください。&lt;BR&gt;バナー制作はフルカラー版の素材を利用して問題ございません。</v>
      </c>
      <c r="R2540" s="22"/>
      <c r="S2540" s="22" t="str">
        <f>IFERROR(__xludf.DUMMYFUNCTION("""COMPUTED_VALUE"""),"20241129_シーモアコミックス_ドラマチック・リビドー【タテヨミ】")</f>
        <v>20241129_シーモアコミックス_ドラマチック・リビドー【タテヨミ】</v>
      </c>
      <c r="T2540" s="22" t="str">
        <f>IFERROR(__xludf.DUMMYFUNCTION("""COMPUTED_VALUE"""),"格納済み")</f>
        <v>格納済み</v>
      </c>
      <c r="U2540" s="15" t="str">
        <f>IFERROR(__xludf.DUMMYFUNCTION("""COMPUTED_VALUE"""),"© chaegoo/WisdomHouse/シーモアコミックス")</f>
        <v>© chaegoo/WisdomHouse/シーモアコミックス</v>
      </c>
      <c r="V2540" s="8" t="str">
        <f>IFERROR(__xludf.DUMMYFUNCTION("""COMPUTED_VALUE"""),"「僕はドラマみたいな恋がしたいんだ」
陽斗の恋人・泉樹にはあるヤバい性癖がある。いつでも陽斗は、泉樹が設定したドラマの役を演じなければならなくて、今はヒモ男の役!? 演じるのは別にいいけど…問題は今回のドラマ、なぜかキス以上は拒まれて、陽斗は欲求不満。早く泉樹を抱きたくて、ついにーー!?
お医者さん、ワイルド筋肉など、赤面シチュで甘い溺愛が止まらない…！
【フィカス】")</f>
        <v>「僕はドラマみたいな恋がしたいんだ」
陽斗の恋人・泉樹にはあるヤバい性癖がある。いつでも陽斗は、泉樹が設定したドラマの役を演じなければならなくて、今はヒモ男の役!? 演じるのは別にいいけど…問題は今回のドラマ、なぜかキス以上は拒まれて、陽斗は欲求不満。早く泉樹を抱きたくて、ついにーー!?
お医者さん、ワイルド筋肉など、赤面シチュで甘い溺愛が止まらない…！
【フィカス】</v>
      </c>
      <c r="W2540" s="14"/>
      <c r="X2540" s="14" t="str">
        <f>IFERROR(__xludf.DUMMYFUNCTION("""COMPUTED_VALUE"""),"有")</f>
        <v>有</v>
      </c>
      <c r="Y2540" s="8" t="str">
        <f>IFERROR(__xludf.DUMMYFUNCTION("""COMPUTED_VALUE"""),"2025/1/31まで1～3巻無料")</f>
        <v>2025/1/31まで1～3巻無料</v>
      </c>
      <c r="Z2540" s="7"/>
      <c r="AA2540" s="7"/>
      <c r="AB2540" s="7"/>
    </row>
    <row r="2541" ht="15.75" customHeight="1">
      <c r="A2541" s="26">
        <f>IFERROR(__xludf.DUMMYFUNCTION("""COMPUTED_VALUE"""),4595.0)</f>
        <v>4595</v>
      </c>
      <c r="B2541" s="22" t="str">
        <f>IFERROR(__xludf.DUMMYFUNCTION("""COMPUTED_VALUE"""),"確定")</f>
        <v>確定</v>
      </c>
      <c r="C2541" s="28">
        <f>IFERROR(__xludf.DUMMYFUNCTION("""COMPUTED_VALUE"""),45625.0)</f>
        <v>45625</v>
      </c>
      <c r="D2541" s="28">
        <f>IFERROR(__xludf.DUMMYFUNCTION("""COMPUTED_VALUE"""),45629.0)</f>
        <v>45629</v>
      </c>
      <c r="E2541" s="100">
        <f>IFERROR(__xludf.DUMMYFUNCTION("""COMPUTED_VALUE"""),297510.0)</f>
        <v>297510</v>
      </c>
      <c r="F2541" s="61" t="str">
        <f>IFERROR(__xludf.DUMMYFUNCTION("""COMPUTED_VALUE"""),"嘘つき葉月くんは溺愛を我慢できない")</f>
        <v>嘘つき葉月くんは溺愛を我慢できない</v>
      </c>
      <c r="G2541" s="20" t="str">
        <f>IFERROR(__xludf.DUMMYFUNCTION("""COMPUTED_VALUE"""),"1～3")</f>
        <v>1～3</v>
      </c>
      <c r="H2541" s="22" t="str">
        <f>IFERROR(__xludf.DUMMYFUNCTION("""COMPUTED_VALUE"""),"松本ウル子")</f>
        <v>松本ウル子</v>
      </c>
      <c r="I2541" s="22" t="str">
        <f>IFERROR(__xludf.DUMMYFUNCTION("""COMPUTED_VALUE"""),"女性マンガ")</f>
        <v>女性マンガ</v>
      </c>
      <c r="J2541" s="22"/>
      <c r="K2541" s="22" t="str">
        <f>IFERROR(__xludf.DUMMYFUNCTION("""COMPUTED_VALUE"""),"スキして?桃色日記")</f>
        <v>スキして?桃色日記</v>
      </c>
      <c r="L2541" s="22" t="str">
        <f>IFERROR(__xludf.DUMMYFUNCTION("""COMPUTED_VALUE"""),"シーモアコミックス")</f>
        <v>シーモアコミックス</v>
      </c>
      <c r="M2541" s="23">
        <f>IFERROR(__xludf.DUMMYFUNCTION("""COMPUTED_VALUE"""),45661.0)</f>
        <v>45661</v>
      </c>
      <c r="N2541" s="23">
        <f>IFERROR(__xludf.DUMMYFUNCTION("""COMPUTED_VALUE"""),45813.66666666667)</f>
        <v>45813.66667</v>
      </c>
      <c r="O2541" s="20"/>
      <c r="P2541" s="32" t="str">
        <f>IFERROR(__xludf.DUMMYFUNCTION("""COMPUTED_VALUE"""),"可")</f>
        <v>可</v>
      </c>
      <c r="Q2541" s="30"/>
      <c r="R2541" s="22"/>
      <c r="S2541" s="22" t="str">
        <f>IFERROR(__xludf.DUMMYFUNCTION("""COMPUTED_VALUE"""),"20241129_シーモアコミックス_嘘つき葉月くんは溺愛を我慢できない")</f>
        <v>20241129_シーモアコミックス_嘘つき葉月くんは溺愛を我慢できない</v>
      </c>
      <c r="T2541" s="22" t="str">
        <f>IFERROR(__xludf.DUMMYFUNCTION("""COMPUTED_VALUE"""),"格納済み")</f>
        <v>格納済み</v>
      </c>
      <c r="U2541" s="15" t="str">
        <f>IFERROR(__xludf.DUMMYFUNCTION("""COMPUTED_VALUE"""),"© 松本ウル子/シーモアコミックス")</f>
        <v>© 松本ウル子/シーモアコミックス</v>
      </c>
      <c r="V2541" s="8" t="str">
        <f>IFERROR(__xludf.DUMMYFUNCTION("""COMPUTED_VALUE"""),"「唇、甘いのかな。確かめていい？」
陰キャな綾野千花は、会社で人気の葉月翔馬にずっと片思い中。ある日、自分を虐めている木村が、葉月に賭けの罰ゲームで綾野に告白しろと言ってるのを立ち聞きしてしまう!?
「俺ね。綾野が好きだよ」
葉月からの告白に、罰ゲームだとわかっていても、好きすぎて断れずOKしたら、彼からの溺愛が甘すぎて止まらない…！ どうしよう一ヵ月限定のお付き合いなのに!?
【桃色日記】")</f>
        <v>「唇、甘いのかな。確かめていい？」
陰キャな綾野千花は、会社で人気の葉月翔馬にずっと片思い中。ある日、自分を虐めている木村が、葉月に賭けの罰ゲームで綾野に告白しろと言ってるのを立ち聞きしてしまう!?
「俺ね。綾野が好きだよ」
葉月からの告白に、罰ゲームだとわかっていても、好きすぎて断れずOKしたら、彼からの溺愛が甘すぎて止まらない…！ どうしよう一ヵ月限定のお付き合いなのに!?
【桃色日記】</v>
      </c>
      <c r="W2541" s="14"/>
      <c r="X2541" s="14" t="str">
        <f>IFERROR(__xludf.DUMMYFUNCTION("""COMPUTED_VALUE"""),"有")</f>
        <v>有</v>
      </c>
      <c r="Y2541" s="8" t="str">
        <f>IFERROR(__xludf.DUMMYFUNCTION("""COMPUTED_VALUE"""),"2025/1/31まで1巻無料")</f>
        <v>2025/1/31まで1巻無料</v>
      </c>
      <c r="Z2541" s="7"/>
      <c r="AA2541" s="7"/>
      <c r="AB2541" s="7"/>
    </row>
    <row r="2542" ht="15.75" customHeight="1">
      <c r="A2542" s="26">
        <f>IFERROR(__xludf.DUMMYFUNCTION("""COMPUTED_VALUE"""),4606.0)</f>
        <v>4606</v>
      </c>
      <c r="B2542" s="22" t="str">
        <f>IFERROR(__xludf.DUMMYFUNCTION("""COMPUTED_VALUE"""),"確定")</f>
        <v>確定</v>
      </c>
      <c r="C2542" s="28">
        <f>IFERROR(__xludf.DUMMYFUNCTION("""COMPUTED_VALUE"""),45629.0)</f>
        <v>45629</v>
      </c>
      <c r="D2542" s="28">
        <f>IFERROR(__xludf.DUMMYFUNCTION("""COMPUTED_VALUE"""),45629.0)</f>
        <v>45629</v>
      </c>
      <c r="E2542" s="100">
        <f>IFERROR(__xludf.DUMMYFUNCTION("""COMPUTED_VALUE"""),311726.0)</f>
        <v>311726</v>
      </c>
      <c r="F2542" s="61" t="str">
        <f>IFERROR(__xludf.DUMMYFUNCTION("""COMPUTED_VALUE"""),"【ラブチーク】梓先輩の歪な執愛で堕とされる")</f>
        <v>【ラブチーク】梓先輩の歪な執愛で堕とされる</v>
      </c>
      <c r="G2542" s="20">
        <f>IFERROR(__xludf.DUMMYFUNCTION("""COMPUTED_VALUE"""),1.0)</f>
        <v>1</v>
      </c>
      <c r="H2542" s="22" t="str">
        <f>IFERROR(__xludf.DUMMYFUNCTION("""COMPUTED_VALUE"""),"海里")</f>
        <v>海里</v>
      </c>
      <c r="I2542" s="22" t="str">
        <f>IFERROR(__xludf.DUMMYFUNCTION("""COMPUTED_VALUE"""),"TL")</f>
        <v>TL</v>
      </c>
      <c r="J2542" s="22"/>
      <c r="K2542" s="22" t="str">
        <f>IFERROR(__xludf.DUMMYFUNCTION("""COMPUTED_VALUE"""),"ラブチーク")</f>
        <v>ラブチーク</v>
      </c>
      <c r="L2542" s="22" t="str">
        <f>IFERROR(__xludf.DUMMYFUNCTION("""COMPUTED_VALUE"""),"ブライト出版")</f>
        <v>ブライト出版</v>
      </c>
      <c r="M2542" s="23">
        <f>IFERROR(__xludf.DUMMYFUNCTION("""COMPUTED_VALUE"""),45674.0)</f>
        <v>45674</v>
      </c>
      <c r="N2542" s="47">
        <f>IFERROR(__xludf.DUMMYFUNCTION("""COMPUTED_VALUE"""),45747.0)</f>
        <v>45747</v>
      </c>
      <c r="O2542" s="20"/>
      <c r="P2542" s="34" t="str">
        <f>IFERROR(__xludf.DUMMYFUNCTION("""COMPUTED_VALUE"""),"可")</f>
        <v>可</v>
      </c>
      <c r="Q2542" s="31" t="str">
        <f>IFERROR(__xludf.DUMMYFUNCTION("""COMPUTED_VALUE"""),"河上さんにてコミットOKで回答いただいております")</f>
        <v>河上さんにてコミットOKで回答いただいております</v>
      </c>
      <c r="R2542" s="22" t="str">
        <f>IFERROR(__xludf.DUMMYFUNCTION("""COMPUTED_VALUE"""),"コミットOK")</f>
        <v>コミットOK</v>
      </c>
      <c r="S2542" s="22" t="str">
        <f>IFERROR(__xludf.DUMMYFUNCTION("""COMPUTED_VALUE"""),"20241203_一晃社_【ラブチーク】梓先輩の歪な執愛で堕とされる")</f>
        <v>20241203_一晃社_【ラブチーク】梓先輩の歪な執愛で堕とされる</v>
      </c>
      <c r="T2542" s="22" t="str">
        <f>IFERROR(__xludf.DUMMYFUNCTION("""COMPUTED_VALUE"""),"格納済み")</f>
        <v>格納済み</v>
      </c>
      <c r="U2542" s="15" t="str">
        <f>IFERROR(__xludf.DUMMYFUNCTION("""COMPUTED_VALUE"""),"(C)海里／ブライト出版")</f>
        <v>(C)海里／ブライト出版</v>
      </c>
      <c r="V2542" s="8" t="str">
        <f>IFERROR(__xludf.DUMMYFUNCTION("""COMPUTED_VALUE"""),"「あはっ…僕の舌で、“僕”でイったんだ…！」ぐちゃぐちゃにぬかるんだアソコを梓の熱い舌でかきまぜられて処女の体は強引にひらかれ絶望と快楽に堕ちていくーー寺門由芽と一ノ瀬梓は同じ大学に通う仲の良い先輩後輩。だけど、由芽への想いが行きすぎてストーカーをしていることは誰にも言えない秘密。そんなある日、梓は由芽の家の鍵を拾い、バイト中の由芽の家にこっそりあがってしまい…？")</f>
        <v>「あはっ…僕の舌で、“僕”でイったんだ…！」ぐちゃぐちゃにぬかるんだアソコを梓の熱い舌でかきまぜられて処女の体は強引にひらかれ絶望と快楽に堕ちていくーー寺門由芽と一ノ瀬梓は同じ大学に通う仲の良い先輩後輩。だけど、由芽への想いが行きすぎてストーカーをしていることは誰にも言えない秘密。そんなある日、梓は由芽の家の鍵を拾い、バイト中の由芽の家にこっそりあがってしまい…？</v>
      </c>
      <c r="W2542" s="14"/>
      <c r="X2542" s="14" t="str">
        <f>IFERROR(__xludf.DUMMYFUNCTION("""COMPUTED_VALUE"""),"有")</f>
        <v>有</v>
      </c>
      <c r="Y2542" s="8" t="str">
        <f>IFERROR(__xludf.DUMMYFUNCTION("""COMPUTED_VALUE"""),"2025/3/31まで立ち読み増量P20まで")</f>
        <v>2025/3/31まで立ち読み増量P20まで</v>
      </c>
      <c r="Z2542" s="7"/>
      <c r="AA2542" s="7"/>
      <c r="AB2542" s="7"/>
    </row>
    <row r="2543" ht="15.75" customHeight="1">
      <c r="A2543" s="26">
        <f>IFERROR(__xludf.DUMMYFUNCTION("""COMPUTED_VALUE"""),4607.0)</f>
        <v>4607</v>
      </c>
      <c r="B2543" s="22" t="str">
        <f>IFERROR(__xludf.DUMMYFUNCTION("""COMPUTED_VALUE"""),"確定")</f>
        <v>確定</v>
      </c>
      <c r="C2543" s="28">
        <f>IFERROR(__xludf.DUMMYFUNCTION("""COMPUTED_VALUE"""),45629.0)</f>
        <v>45629</v>
      </c>
      <c r="D2543" s="28">
        <f>IFERROR(__xludf.DUMMYFUNCTION("""COMPUTED_VALUE"""),45629.0)</f>
        <v>45629</v>
      </c>
      <c r="E2543" s="100">
        <f>IFERROR(__xludf.DUMMYFUNCTION("""COMPUTED_VALUE"""),307959.0)</f>
        <v>307959</v>
      </c>
      <c r="F2543" s="61" t="str">
        <f>IFERROR(__xludf.DUMMYFUNCTION("""COMPUTED_VALUE"""),"溺れる熱にふれないで")</f>
        <v>溺れる熱にふれないで</v>
      </c>
      <c r="G2543" s="20">
        <f>IFERROR(__xludf.DUMMYFUNCTION("""COMPUTED_VALUE"""),1.0)</f>
        <v>1</v>
      </c>
      <c r="H2543" s="22" t="str">
        <f>IFERROR(__xludf.DUMMYFUNCTION("""COMPUTED_VALUE"""),"青木らき")</f>
        <v>青木らき</v>
      </c>
      <c r="I2543" s="22" t="str">
        <f>IFERROR(__xludf.DUMMYFUNCTION("""COMPUTED_VALUE"""),"BLマンガ")</f>
        <v>BLマンガ</v>
      </c>
      <c r="J2543" s="22"/>
      <c r="K2543" s="22"/>
      <c r="L2543" s="22" t="str">
        <f>IFERROR(__xludf.DUMMYFUNCTION("""COMPUTED_VALUE"""),"アメイロ")</f>
        <v>アメイロ</v>
      </c>
      <c r="M2543" s="23">
        <f>IFERROR(__xludf.DUMMYFUNCTION("""COMPUTED_VALUE"""),45632.0)</f>
        <v>45632</v>
      </c>
      <c r="N2543" s="23">
        <f>IFERROR(__xludf.DUMMYFUNCTION("""COMPUTED_VALUE"""),45659.0)</f>
        <v>45659</v>
      </c>
      <c r="O2543" s="20"/>
      <c r="P2543" s="32" t="str">
        <f>IFERROR(__xludf.DUMMYFUNCTION("""COMPUTED_VALUE"""),"可")</f>
        <v>可</v>
      </c>
      <c r="Q2543" s="30"/>
      <c r="R2543" s="22"/>
      <c r="S2543" s="22" t="str">
        <f>IFERROR(__xludf.DUMMYFUNCTION("""COMPUTED_VALUE"""),"20241203_シュークリーム_溺れる熱にふれないで")</f>
        <v>20241203_シュークリーム_溺れる熱にふれないで</v>
      </c>
      <c r="T2543" s="22" t="str">
        <f>IFERROR(__xludf.DUMMYFUNCTION("""COMPUTED_VALUE"""),"格納済み")</f>
        <v>格納済み</v>
      </c>
      <c r="U2543" s="15" t="str">
        <f>IFERROR(__xludf.DUMMYFUNCTION("""COMPUTED_VALUE"""),"⒞青木らき/シュークリーム")</f>
        <v>⒞青木らき/シュークリーム</v>
      </c>
      <c r="V2543" s="8" t="str">
        <f>IFERROR(__xludf.DUMMYFUNCTION("""COMPUTED_VALUE"""),"【実はドSな王子系優等生×敏感体質なツンデレ一匹狼】
フェチきゅんたっぷり!! ヒミツの開発性春ラブ！
バイト漬けが祟り、留年の危機に瀕したダウナーDK・糸倉(いとくら)は、
いけ好かない“クラスの王子サマ”こと、学級委員長の瀬戸(せと)に
家庭教師をしてもらうことになる。
嫌々ながら、勉強のために瀬戸を家に招き入れる糸倉だったが、
ひょんなことから瀬戸の手が耳に触れた途端、
自分のものとは思えないほど甘い声が溢れてしまい…！？
「ヤなのに、声出ちゃうんだ」
容赦ない愛撫"&amp;"がもたらす快感に、ビクビクと震えるカラダ。
抗いたくても、どうしようもなくトロけてしまって――？")</f>
        <v>【実はドSな王子系優等生×敏感体質なツンデレ一匹狼】
フェチきゅんたっぷり!! ヒミツの開発性春ラブ！
バイト漬けが祟り、留年の危機に瀕したダウナーDK・糸倉(いとくら)は、
いけ好かない“クラスの王子サマ”こと、学級委員長の瀬戸(せと)に
家庭教師をしてもらうことになる。
嫌々ながら、勉強のために瀬戸を家に招き入れる糸倉だったが、
ひょんなことから瀬戸の手が耳に触れた途端、
自分のものとは思えないほど甘い声が溢れてしまい…！？
「ヤなのに、声出ちゃうんだ」
容赦ない愛撫がもたらす快感に、ビクビクと震えるカラダ。
抗いたくても、どうしようもなくトロけてしまって――？</v>
      </c>
      <c r="W2543" s="14"/>
      <c r="X2543" s="14" t="str">
        <f>IFERROR(__xludf.DUMMYFUNCTION("""COMPUTED_VALUE"""),"有")</f>
        <v>有</v>
      </c>
      <c r="Y2543" s="8" t="str">
        <f>IFERROR(__xludf.DUMMYFUNCTION("""COMPUTED_VALUE"""),"P14まで")</f>
        <v>P14まで</v>
      </c>
      <c r="Z2543" s="7"/>
      <c r="AA2543" s="7"/>
      <c r="AB2543" s="7"/>
    </row>
    <row r="2544" ht="15.75" customHeight="1">
      <c r="A2544" s="26">
        <f>IFERROR(__xludf.DUMMYFUNCTION("""COMPUTED_VALUE"""),4612.0)</f>
        <v>4612</v>
      </c>
      <c r="B2544" s="22" t="str">
        <f>IFERROR(__xludf.DUMMYFUNCTION("""COMPUTED_VALUE"""),"確定")</f>
        <v>確定</v>
      </c>
      <c r="C2544" s="28">
        <f>IFERROR(__xludf.DUMMYFUNCTION("""COMPUTED_VALUE"""),45629.0)</f>
        <v>45629</v>
      </c>
      <c r="D2544" s="28">
        <f>IFERROR(__xludf.DUMMYFUNCTION("""COMPUTED_VALUE"""),45630.0)</f>
        <v>45630</v>
      </c>
      <c r="E2544" s="100">
        <f>IFERROR(__xludf.DUMMYFUNCTION("""COMPUTED_VALUE"""),310202.0)</f>
        <v>310202</v>
      </c>
      <c r="F2544" s="61" t="str">
        <f>IFERROR(__xludf.DUMMYFUNCTION("""COMPUTED_VALUE"""),"やっぱり乳首が好きですか？～兄の友だちにナイショのお世話～")</f>
        <v>やっぱり乳首が好きですか？～兄の友だちにナイショのお世話～</v>
      </c>
      <c r="G2544" s="20">
        <f>IFERROR(__xludf.DUMMYFUNCTION("""COMPUTED_VALUE"""),1.0)</f>
        <v>1</v>
      </c>
      <c r="H2544" s="22" t="str">
        <f>IFERROR(__xludf.DUMMYFUNCTION("""COMPUTED_VALUE"""),"夏都みや")</f>
        <v>夏都みや</v>
      </c>
      <c r="I2544" s="22" t="str">
        <f>IFERROR(__xludf.DUMMYFUNCTION("""COMPUTED_VALUE"""),"TL")</f>
        <v>TL</v>
      </c>
      <c r="J2544" s="22"/>
      <c r="K2544" s="22" t="str">
        <f>IFERROR(__xludf.DUMMYFUNCTION("""COMPUTED_VALUE"""),"LOVEBITES")</f>
        <v>LOVEBITES</v>
      </c>
      <c r="L2544" s="22" t="str">
        <f>IFERROR(__xludf.DUMMYFUNCTION("""COMPUTED_VALUE"""),"一迅社")</f>
        <v>一迅社</v>
      </c>
      <c r="M2544" s="59">
        <f>IFERROR(__xludf.DUMMYFUNCTION("""COMPUTED_VALUE"""),45658.0)</f>
        <v>45658</v>
      </c>
      <c r="N2544" s="59">
        <f>IFERROR(__xludf.DUMMYFUNCTION("""COMPUTED_VALUE"""),45688.0)</f>
        <v>45688</v>
      </c>
      <c r="O2544" s="20"/>
      <c r="P2544" s="32" t="str">
        <f>IFERROR(__xludf.DUMMYFUNCTION("""COMPUTED_VALUE"""),"可")</f>
        <v>可</v>
      </c>
      <c r="Q2544" s="30"/>
      <c r="R2544" s="22"/>
      <c r="S2544" s="22" t="str">
        <f>IFERROR(__xludf.DUMMYFUNCTION("""COMPUTED_VALUE"""),"20241203_一迅社_やっぱり乳首が好きですか？～兄の友だちにナイショのお世話～")</f>
        <v>20241203_一迅社_やっぱり乳首が好きですか？～兄の友だちにナイショのお世話～</v>
      </c>
      <c r="T2544" s="22" t="str">
        <f>IFERROR(__xludf.DUMMYFUNCTION("""COMPUTED_VALUE"""),"格納済み")</f>
        <v>格納済み</v>
      </c>
      <c r="U2544" s="15" t="str">
        <f>IFERROR(__xludf.DUMMYFUNCTION("""COMPUTED_VALUE"""),"(C)夏都みや／一迅社")</f>
        <v>(C)夏都みや／一迅社</v>
      </c>
      <c r="V2544" s="8" t="str">
        <f>IFERROR(__xludf.DUMMYFUNCTION("""COMPUTED_VALUE"""),"あんまり喋ってたら、隣のお兄ちゃん起きちゃいますよ？――兄と同棲する玲は、ある日、兄の友人で片想いの相手でもある晴太の湯上がりに鉢合わせてしまって…!?※この作品は『いつから抱く側だと思ってたの？～可愛いカレをめちゃくちゃにシたい！女攻めアンソロジー2～』収録作品と同一の内容を単話版として再編集したものとなります。")</f>
        <v>あんまり喋ってたら、隣のお兄ちゃん起きちゃいますよ？――兄と同棲する玲は、ある日、兄の友人で片想いの相手でもある晴太の湯上がりに鉢合わせてしまって…!?※この作品は『いつから抱く側だと思ってたの？～可愛いカレをめちゃくちゃにシたい！女攻めアンソロジー2～』収録作品と同一の内容を単話版として再編集したものとなります。</v>
      </c>
      <c r="W2544" s="14"/>
      <c r="X2544" s="14" t="str">
        <f>IFERROR(__xludf.DUMMYFUNCTION("""COMPUTED_VALUE"""),"有")</f>
        <v>有</v>
      </c>
      <c r="Y2544" s="8" t="str">
        <f>IFERROR(__xludf.DUMMYFUNCTION("""COMPUTED_VALUE"""),"P7まで")</f>
        <v>P7まで</v>
      </c>
      <c r="Z2544" s="7"/>
      <c r="AA2544" s="7"/>
      <c r="AB2544" s="7"/>
    </row>
    <row r="2545" ht="15.75" customHeight="1">
      <c r="A2545" s="26">
        <f>IFERROR(__xludf.DUMMYFUNCTION("""COMPUTED_VALUE"""),4613.0)</f>
        <v>4613</v>
      </c>
      <c r="B2545" s="22" t="str">
        <f>IFERROR(__xludf.DUMMYFUNCTION("""COMPUTED_VALUE"""),"確定")</f>
        <v>確定</v>
      </c>
      <c r="C2545" s="28">
        <f>IFERROR(__xludf.DUMMYFUNCTION("""COMPUTED_VALUE"""),45629.0)</f>
        <v>45629</v>
      </c>
      <c r="D2545" s="28">
        <f>IFERROR(__xludf.DUMMYFUNCTION("""COMPUTED_VALUE"""),45630.0)</f>
        <v>45630</v>
      </c>
      <c r="E2545" s="100">
        <f>IFERROR(__xludf.DUMMYFUNCTION("""COMPUTED_VALUE"""),310360.0)</f>
        <v>310360</v>
      </c>
      <c r="F2545" s="61" t="str">
        <f>IFERROR(__xludf.DUMMYFUNCTION("""COMPUTED_VALUE"""),"天国イこうね？　限界社畜カレシの限界絶頂")</f>
        <v>天国イこうね？　限界社畜カレシの限界絶頂</v>
      </c>
      <c r="G2545" s="20">
        <f>IFERROR(__xludf.DUMMYFUNCTION("""COMPUTED_VALUE"""),1.0)</f>
        <v>1</v>
      </c>
      <c r="H2545" s="22" t="str">
        <f>IFERROR(__xludf.DUMMYFUNCTION("""COMPUTED_VALUE"""),"パノプティコン後藤")</f>
        <v>パノプティコン後藤</v>
      </c>
      <c r="I2545" s="22" t="str">
        <f>IFERROR(__xludf.DUMMYFUNCTION("""COMPUTED_VALUE"""),"TL")</f>
        <v>TL</v>
      </c>
      <c r="J2545" s="22"/>
      <c r="K2545" s="22" t="str">
        <f>IFERROR(__xludf.DUMMYFUNCTION("""COMPUTED_VALUE"""),"LOVEBITES")</f>
        <v>LOVEBITES</v>
      </c>
      <c r="L2545" s="22" t="str">
        <f>IFERROR(__xludf.DUMMYFUNCTION("""COMPUTED_VALUE"""),"一迅社")</f>
        <v>一迅社</v>
      </c>
      <c r="M2545" s="59">
        <f>IFERROR(__xludf.DUMMYFUNCTION("""COMPUTED_VALUE"""),45658.0)</f>
        <v>45658</v>
      </c>
      <c r="N2545" s="59">
        <f>IFERROR(__xludf.DUMMYFUNCTION("""COMPUTED_VALUE"""),45688.0)</f>
        <v>45688</v>
      </c>
      <c r="O2545" s="20"/>
      <c r="P2545" s="32" t="str">
        <f>IFERROR(__xludf.DUMMYFUNCTION("""COMPUTED_VALUE"""),"可")</f>
        <v>可</v>
      </c>
      <c r="Q2545" s="30"/>
      <c r="R2545" s="22"/>
      <c r="S2545" s="22" t="str">
        <f>IFERROR(__xludf.DUMMYFUNCTION("""COMPUTED_VALUE"""),"20241203_一迅社_天国イこうね？　限界社畜カレシの限界絶頂")</f>
        <v>20241203_一迅社_天国イこうね？　限界社畜カレシの限界絶頂</v>
      </c>
      <c r="T2545" s="22" t="str">
        <f>IFERROR(__xludf.DUMMYFUNCTION("""COMPUTED_VALUE"""),"格納済み")</f>
        <v>格納済み</v>
      </c>
      <c r="U2545" s="15" t="str">
        <f>IFERROR(__xludf.DUMMYFUNCTION("""COMPUTED_VALUE"""),"(C)パノプティコン後藤／一迅社")</f>
        <v>(C)パノプティコン後藤／一迅社</v>
      </c>
      <c r="V2545" s="8" t="str">
        <f>IFERROR(__xludf.DUMMYFUNCTION("""COMPUTED_VALUE"""),"いいよ。いーっぱいイかせてあげるから――いつも仕事が忙しい彼氏の洸太郎にエナジードリンクを差し入れした里奈。実はそのエナジードリンクがとんでもない代物で…!?※この作品は『いつから抱く側だと思ってたの？～可愛いカレをめちゃくちゃにシたい！女攻めアンソロジー2～』収録作品と同一の内容を単話版として再編集したものとなります。")</f>
        <v>いいよ。いーっぱいイかせてあげるから――いつも仕事が忙しい彼氏の洸太郎にエナジードリンクを差し入れした里奈。実はそのエナジードリンクがとんでもない代物で…!?※この作品は『いつから抱く側だと思ってたの？～可愛いカレをめちゃくちゃにシたい！女攻めアンソロジー2～』収録作品と同一の内容を単話版として再編集したものとなります。</v>
      </c>
      <c r="W2545" s="14"/>
      <c r="X2545" s="14" t="str">
        <f>IFERROR(__xludf.DUMMYFUNCTION("""COMPUTED_VALUE"""),"有")</f>
        <v>有</v>
      </c>
      <c r="Y2545" s="8" t="str">
        <f>IFERROR(__xludf.DUMMYFUNCTION("""COMPUTED_VALUE"""),"P7まで")</f>
        <v>P7まで</v>
      </c>
      <c r="Z2545" s="7"/>
      <c r="AA2545" s="7"/>
      <c r="AB2545" s="7"/>
    </row>
    <row r="2546" ht="15.75" customHeight="1">
      <c r="A2546" s="66">
        <f>IFERROR(__xludf.DUMMYFUNCTION("""COMPUTED_VALUE"""),3945.0)</f>
        <v>3945</v>
      </c>
      <c r="B2546" s="67" t="str">
        <f>IFERROR(__xludf.DUMMYFUNCTION("""COMPUTED_VALUE"""),"確定")</f>
        <v>確定</v>
      </c>
      <c r="C2546" s="68">
        <f>IFERROR(__xludf.DUMMYFUNCTION("""COMPUTED_VALUE"""),45512.0)</f>
        <v>45512</v>
      </c>
      <c r="D2546" s="68">
        <f>IFERROR(__xludf.DUMMYFUNCTION("""COMPUTED_VALUE"""),45705.0)</f>
        <v>45705</v>
      </c>
      <c r="E2546" s="31">
        <f>IFERROR(__xludf.DUMMYFUNCTION("""COMPUTED_VALUE"""),314597.0)</f>
        <v>314597</v>
      </c>
      <c r="F2546" s="22" t="str">
        <f>IFERROR(__xludf.DUMMYFUNCTION("""COMPUTED_VALUE"""),"【分冊版】幸せになりたいマサムネ君")</f>
        <v>【分冊版】幸せになりたいマサムネ君</v>
      </c>
      <c r="G2546" s="67" t="str">
        <f>IFERROR(__xludf.DUMMYFUNCTION("""COMPUTED_VALUE"""),"1～5")</f>
        <v>1～5</v>
      </c>
      <c r="H2546" s="67" t="str">
        <f>IFERROR(__xludf.DUMMYFUNCTION("""COMPUTED_VALUE"""),"ヨネマイ")</f>
        <v>ヨネマイ</v>
      </c>
      <c r="I2546" s="67" t="str">
        <f>IFERROR(__xludf.DUMMYFUNCTION("""COMPUTED_VALUE"""),"女性")</f>
        <v>女性</v>
      </c>
      <c r="J2546" s="87"/>
      <c r="K2546" s="87"/>
      <c r="L2546" s="67" t="str">
        <f>IFERROR(__xludf.DUMMYFUNCTION("""COMPUTED_VALUE"""),"Seasons")</f>
        <v>Seasons</v>
      </c>
      <c r="M2546" s="68">
        <f>IFERROR(__xludf.DUMMYFUNCTION("""COMPUTED_VALUE"""),45716.0)</f>
        <v>45716</v>
      </c>
      <c r="N2546" s="68">
        <f>IFERROR(__xludf.DUMMYFUNCTION("""COMPUTED_VALUE"""),45896.66666666667)</f>
        <v>45896.66667</v>
      </c>
      <c r="O2546" s="67"/>
      <c r="P2546" s="70" t="str">
        <f>IFERROR(__xludf.DUMMYFUNCTION("""COMPUTED_VALUE"""),"可")</f>
        <v>可</v>
      </c>
      <c r="Q2546" s="67" t="str">
        <f>IFERROR(__xludf.DUMMYFUNCTION("""COMPUTED_VALUE"""),"・4話までの素材をいただいたので、先んじて格納しました。5話の納品時期確認中です。")</f>
        <v>・4話までの素材をいただいたので、先んじて格納しました。5話の納品時期確認中です。</v>
      </c>
      <c r="R2546" s="67" t="str">
        <f>IFERROR(__xludf.DUMMYFUNCTION("""COMPUTED_VALUE"""),"コミットOK")</f>
        <v>コミットOK</v>
      </c>
      <c r="S2546" s="67" t="str">
        <f>IFERROR(__xludf.DUMMYFUNCTION("""COMPUTED_VALUE"""),"20241211_Seasons_幸せになりたいマサムネ君        ")</f>
        <v>20241211_Seasons_幸せになりたいマサムネ君        </v>
      </c>
      <c r="T2546" s="78" t="str">
        <f>IFERROR(__xludf.DUMMYFUNCTION("""COMPUTED_VALUE"""),"格納済み")</f>
        <v>格納済み</v>
      </c>
      <c r="U2546" s="15" t="str">
        <f>IFERROR(__xludf.DUMMYFUNCTION("""COMPUTED_VALUE"""),"『【分冊版】幸せになりたいマサムネ君』(C)ヨネマイ／文藝春秋")</f>
        <v>『【分冊版】幸せになりたいマサムネ君』(C)ヨネマイ／文藝春秋</v>
      </c>
      <c r="V2546" s="8" t="str">
        <f>IFERROR(__xludf.DUMMYFUNCTION("""COMPUTED_VALUE"""),"もうすぐ付き合って10年の彼女がいるマサムネ君（26） 最近、彼女の様子がおかしい？ 「彼女が居なくなったら、どうなってしまうんだろう」 不安に駆られたマサムネ君は、相席バーに向かって……？【第1話収録】")</f>
        <v>もうすぐ付き合って10年の彼女がいるマサムネ君（26） 最近、彼女の様子がおかしい？ 「彼女が居なくなったら、どうなってしまうんだろう」 不安に駆られたマサムネ君は、相席バーに向かって……？【第1話収録】</v>
      </c>
      <c r="W2546" s="14"/>
      <c r="X2546" s="14" t="str">
        <f>IFERROR(__xludf.DUMMYFUNCTION("""COMPUTED_VALUE"""),"有")</f>
        <v>有</v>
      </c>
      <c r="Y2546" s="8" t="str">
        <f>IFERROR(__xludf.DUMMYFUNCTION("""COMPUTED_VALUE"""),"2025/3/6まで1～2巻無料")</f>
        <v>2025/3/6まで1～2巻無料</v>
      </c>
      <c r="Z2546" s="7"/>
      <c r="AA2546" s="7"/>
      <c r="AB2546" s="7"/>
    </row>
    <row r="2547" ht="15.75" customHeight="1">
      <c r="A2547" s="66">
        <f>IFERROR(__xludf.DUMMYFUNCTION("""COMPUTED_VALUE"""),3955.0)</f>
        <v>3955</v>
      </c>
      <c r="B2547" s="67" t="str">
        <f>IFERROR(__xludf.DUMMYFUNCTION("""COMPUTED_VALUE"""),"確定")</f>
        <v>確定</v>
      </c>
      <c r="C2547" s="68">
        <f>IFERROR(__xludf.DUMMYFUNCTION("""COMPUTED_VALUE"""),45513.0)</f>
        <v>45513</v>
      </c>
      <c r="D2547" s="68">
        <f>IFERROR(__xludf.DUMMYFUNCTION("""COMPUTED_VALUE"""),45636.0)</f>
        <v>45636</v>
      </c>
      <c r="E2547" s="60">
        <f>IFERROR(__xludf.DUMMYFUNCTION("""COMPUTED_VALUE"""),311877.0)</f>
        <v>311877</v>
      </c>
      <c r="F2547" s="61" t="str">
        <f>IFERROR(__xludf.DUMMYFUNCTION("""COMPUTED_VALUE"""),"元戦闘用奴隷ですが、助けてくれた竜人は番だそうです。【分冊版】")</f>
        <v>元戦闘用奴隷ですが、助けてくれた竜人は番だそうです。【分冊版】</v>
      </c>
      <c r="G2547" s="67" t="str">
        <f>IFERROR(__xludf.DUMMYFUNCTION("""COMPUTED_VALUE"""),"1～6")</f>
        <v>1～6</v>
      </c>
      <c r="H2547" s="67" t="str">
        <f>IFERROR(__xludf.DUMMYFUNCTION("""COMPUTED_VALUE"""),"原作：早瀬黒絵・絵：城キイコ")</f>
        <v>原作：早瀬黒絵・絵：城キイコ</v>
      </c>
      <c r="I2547" s="67" t="str">
        <f>IFERROR(__xludf.DUMMYFUNCTION("""COMPUTED_VALUE"""),"女性")</f>
        <v>女性</v>
      </c>
      <c r="J2547" s="87"/>
      <c r="K2547" s="87"/>
      <c r="L2547" s="67" t="str">
        <f>IFERROR(__xludf.DUMMYFUNCTION("""COMPUTED_VALUE"""),"マンガボックス")</f>
        <v>マンガボックス</v>
      </c>
      <c r="M2547" s="23">
        <f>IFERROR(__xludf.DUMMYFUNCTION("""COMPUTED_VALUE"""),45673.0)</f>
        <v>45673</v>
      </c>
      <c r="N2547" s="23">
        <f>IFERROR(__xludf.DUMMYFUNCTION("""COMPUTED_VALUE"""),45853.66666666667)</f>
        <v>45853.66667</v>
      </c>
      <c r="O2547" s="67"/>
      <c r="P2547" s="71" t="str">
        <f>IFERROR(__xludf.DUMMYFUNCTION("""COMPUTED_VALUE"""),"可")</f>
        <v>可</v>
      </c>
      <c r="Q2547" s="67"/>
      <c r="R2547" s="67" t="str">
        <f>IFERROR(__xludf.DUMMYFUNCTION("""COMPUTED_VALUE"""),"コミットOK")</f>
        <v>コミットOK</v>
      </c>
      <c r="S2547" s="67" t="str">
        <f>IFERROR(__xludf.DUMMYFUNCTION("""COMPUTED_VALUE"""),"20241210_マンガボックス_元戦闘用奴隷ですが、助けてくれた竜人は番だそうです。")</f>
        <v>20241210_マンガボックス_元戦闘用奴隷ですが、助けてくれた竜人は番だそうです。</v>
      </c>
      <c r="T2547" s="67" t="str">
        <f>IFERROR(__xludf.DUMMYFUNCTION("""COMPUTED_VALUE"""),"格納済み")</f>
        <v>格納済み</v>
      </c>
      <c r="U2547" s="15" t="str">
        <f>IFERROR(__xludf.DUMMYFUNCTION("""COMPUTED_VALUE"""),"(C)早瀬黒絵・城キイコ/マンガボックス")</f>
        <v>(C)早瀬黒絵・城キイコ/マンガボックス</v>
      </c>
      <c r="V2547" s="8" t="str">
        <f>IFERROR(__xludf.DUMMYFUNCTION("""COMPUTED_VALUE"""),"ユイは戦闘用奴隷として戦うだけの悲惨な毎日を過ごしていた。ある日、警備隊として闘技場の摘発に向かった竜人のセレスト。戦う彼女の姿をひと目見て、神が定めた運命の相手【番】だと気付き──？奇跡的な出会いによって、二人の運命が今交わりだす…！")</f>
        <v>ユイは戦闘用奴隷として戦うだけの悲惨な毎日を過ごしていた。ある日、警備隊として闘技場の摘発に向かった竜人のセレスト。戦う彼女の姿をひと目見て、神が定めた運命の相手【番】だと気付き──？奇跡的な出会いによって、二人の運命が今交わりだす…！</v>
      </c>
      <c r="W2547" s="14"/>
      <c r="X2547" s="14" t="str">
        <f>IFERROR(__xludf.DUMMYFUNCTION("""COMPUTED_VALUE"""),"有")</f>
        <v>有</v>
      </c>
      <c r="Y2547" s="8" t="str">
        <f>IFERROR(__xludf.DUMMYFUNCTION("""COMPUTED_VALUE"""),"P20まで")</f>
        <v>P20まで</v>
      </c>
      <c r="Z2547" s="7"/>
      <c r="AA2547" s="7"/>
      <c r="AB2547" s="7"/>
    </row>
    <row r="2548" ht="15.75" customHeight="1">
      <c r="A2548" s="66">
        <f>IFERROR(__xludf.DUMMYFUNCTION("""COMPUTED_VALUE"""),4465.0)</f>
        <v>4465</v>
      </c>
      <c r="B2548" s="67" t="str">
        <f>IFERROR(__xludf.DUMMYFUNCTION("""COMPUTED_VALUE"""),"確定")</f>
        <v>確定</v>
      </c>
      <c r="C2548" s="68">
        <f>IFERROR(__xludf.DUMMYFUNCTION("""COMPUTED_VALUE"""),45602.0)</f>
        <v>45602</v>
      </c>
      <c r="D2548" s="68">
        <f>IFERROR(__xludf.DUMMYFUNCTION("""COMPUTED_VALUE"""),45636.0)</f>
        <v>45636</v>
      </c>
      <c r="E2548" s="60">
        <f>IFERROR(__xludf.DUMMYFUNCTION("""COMPUTED_VALUE"""),311611.0)</f>
        <v>311611</v>
      </c>
      <c r="F2548" s="61" t="str">
        <f>IFERROR(__xludf.DUMMYFUNCTION("""COMPUTED_VALUE"""),"社長、お慕い申し上げます。【マイクロ】")</f>
        <v>社長、お慕い申し上げます。【マイクロ】</v>
      </c>
      <c r="G2548" s="67" t="str">
        <f>IFERROR(__xludf.DUMMYFUNCTION("""COMPUTED_VALUE"""),"1～4")</f>
        <v>1～4</v>
      </c>
      <c r="H2548" s="67" t="str">
        <f>IFERROR(__xludf.DUMMYFUNCTION("""COMPUTED_VALUE"""),"市原ゆうき")</f>
        <v>市原ゆうき</v>
      </c>
      <c r="I2548" s="78" t="str">
        <f>IFERROR(__xludf.DUMMYFUNCTION("""COMPUTED_VALUE"""),"女性")</f>
        <v>女性</v>
      </c>
      <c r="J2548" s="67"/>
      <c r="K2548" s="67" t="str">
        <f>IFERROR(__xludf.DUMMYFUNCTION("""COMPUTED_VALUE"""),"プチコミック")</f>
        <v>プチコミック</v>
      </c>
      <c r="L2548" s="67" t="str">
        <f>IFERROR(__xludf.DUMMYFUNCTION("""COMPUTED_VALUE"""),"小学館")</f>
        <v>小学館</v>
      </c>
      <c r="M2548" s="59">
        <f>IFERROR(__xludf.DUMMYFUNCTION("""COMPUTED_VALUE"""),45665.0)</f>
        <v>45665</v>
      </c>
      <c r="N2548" s="47">
        <f>IFERROR(__xludf.DUMMYFUNCTION("""COMPUTED_VALUE"""),45723.0)</f>
        <v>45723</v>
      </c>
      <c r="O2548" s="67"/>
      <c r="P2548" s="70" t="str">
        <f>IFERROR(__xludf.DUMMYFUNCTION("""COMPUTED_VALUE"""),"否")</f>
        <v>否</v>
      </c>
      <c r="Q2548" s="67" t="str">
        <f>IFERROR(__xludf.DUMMYFUNCTION("""COMPUTED_VALUE"""),"▼小学館さんより&lt;BR&gt;以前先行をいただいた、『生涯きみにはかなわない』の&lt;BR&gt;市原ゆうき先生の最新作となっております。&lt;BR&gt;クールな社長と庶民派部下ヒロインの身分差恋愛もので、&lt;BR&gt;冷徹に見える社長の可愛いギャップが広告に映えるのではないかと考えております！")</f>
        <v>▼小学館さんより&lt;BR&gt;以前先行をいただいた、『生涯きみにはかなわない』の&lt;BR&gt;市原ゆうき先生の最新作となっております。&lt;BR&gt;クールな社長と庶民派部下ヒロインの身分差恋愛もので、&lt;BR&gt;冷徹に見える社長の可愛いギャップが広告に映えるのではないかと考えております！</v>
      </c>
      <c r="R2548" s="67" t="str">
        <f>IFERROR(__xludf.DUMMYFUNCTION("""COMPUTED_VALUE"""),"コミットOK")</f>
        <v>コミットOK</v>
      </c>
      <c r="S2548" s="67" t="str">
        <f>IFERROR(__xludf.DUMMYFUNCTION("""COMPUTED_VALUE"""),"20241205_小学館_社長、お慕い申し上げます。【マイクロ】")</f>
        <v>20241205_小学館_社長、お慕い申し上げます。【マイクロ】</v>
      </c>
      <c r="T2548" s="67" t="str">
        <f>IFERROR(__xludf.DUMMYFUNCTION("""COMPUTED_VALUE"""),"格納済み")</f>
        <v>格納済み</v>
      </c>
      <c r="U2548" s="15" t="str">
        <f>IFERROR(__xludf.DUMMYFUNCTION("""COMPUTED_VALUE"""),"(C)市原ゆうき / 小学館")</f>
        <v>(C)市原ゆうき / 小学館</v>
      </c>
      <c r="V2548" s="8" t="str">
        <f>IFERROR(__xludf.DUMMYFUNCTION("""COMPUTED_VALUE"""),"クールなはずの社長の愛、ダダ漏れ中！！！
ホテルキョウゴクの社長・涼介に昔助けてもらった恩を返すため、秘書として働く咲。ついに社長付の秘書になるが、クールでいつも冷静なはずの社長が咲を見るたびおかしな行動をとりはじめて…！？
人気すぎて即連載延長決定▽溺愛系ラブコメディ！")</f>
        <v>クールなはずの社長の愛、ダダ漏れ中！！！
ホテルキョウゴクの社長・涼介に昔助けてもらった恩を返すため、秘書として働く咲。ついに社長付の秘書になるが、クールでいつも冷静なはずの社長が咲を見るたびおかしな行動をとりはじめて…！？
人気すぎて即連載延長決定▽溺愛系ラブコメディ！</v>
      </c>
      <c r="W2548" s="14"/>
      <c r="X2548" s="14" t="str">
        <f>IFERROR(__xludf.DUMMYFUNCTION("""COMPUTED_VALUE"""),"有")</f>
        <v>有</v>
      </c>
      <c r="Y2548" s="8" t="str">
        <f>IFERROR(__xludf.DUMMYFUNCTION("""COMPUTED_VALUE"""),"P15まで")</f>
        <v>P15まで</v>
      </c>
      <c r="Z2548" s="7"/>
      <c r="AA2548" s="7"/>
      <c r="AB2548" s="7"/>
    </row>
    <row r="2549" ht="15.75" customHeight="1">
      <c r="A2549" s="66">
        <f>IFERROR(__xludf.DUMMYFUNCTION("""COMPUTED_VALUE"""),4515.0)</f>
        <v>4515</v>
      </c>
      <c r="B2549" s="67" t="str">
        <f>IFERROR(__xludf.DUMMYFUNCTION("""COMPUTED_VALUE"""),"確定")</f>
        <v>確定</v>
      </c>
      <c r="C2549" s="68">
        <f>IFERROR(__xludf.DUMMYFUNCTION("""COMPUTED_VALUE"""),45610.0)</f>
        <v>45610</v>
      </c>
      <c r="D2549" s="68">
        <f>IFERROR(__xludf.DUMMYFUNCTION("""COMPUTED_VALUE"""),45636.0)</f>
        <v>45636</v>
      </c>
      <c r="E2549" s="60">
        <f>IFERROR(__xludf.DUMMYFUNCTION("""COMPUTED_VALUE"""),310486.0)</f>
        <v>310486</v>
      </c>
      <c r="F2549" s="61" t="str">
        <f>IFERROR(__xludf.DUMMYFUNCTION("""COMPUTED_VALUE"""),"悠くん、お姉ちゃんとアソばない？？【コマカ】")</f>
        <v>悠くん、お姉ちゃんとアソばない？？【コマカ】</v>
      </c>
      <c r="G2549" s="78" t="str">
        <f>IFERROR(__xludf.DUMMYFUNCTION("""COMPUTED_VALUE"""),"1～2")</f>
        <v>1～2</v>
      </c>
      <c r="H2549" s="67" t="str">
        <f>IFERROR(__xludf.DUMMYFUNCTION("""COMPUTED_VALUE"""),"有馬紘一")</f>
        <v>有馬紘一</v>
      </c>
      <c r="I2549" s="67" t="str">
        <f>IFERROR(__xludf.DUMMYFUNCTION("""COMPUTED_VALUE"""),"アダルトマンガ")</f>
        <v>アダルトマンガ</v>
      </c>
      <c r="J2549" s="87"/>
      <c r="K2549" s="87"/>
      <c r="L2549" s="67" t="str">
        <f>IFERROR(__xludf.DUMMYFUNCTION("""COMPUTED_VALUE"""),"ナイトコミック")</f>
        <v>ナイトコミック</v>
      </c>
      <c r="M2549" s="23">
        <f>IFERROR(__xludf.DUMMYFUNCTION("""COMPUTED_VALUE"""),45667.0)</f>
        <v>45667</v>
      </c>
      <c r="N2549" s="23">
        <f>IFERROR(__xludf.DUMMYFUNCTION("""COMPUTED_VALUE"""),45729.0)</f>
        <v>45729</v>
      </c>
      <c r="O2549" s="67"/>
      <c r="P2549" s="71" t="str">
        <f>IFERROR(__xludf.DUMMYFUNCTION("""COMPUTED_VALUE"""),"可")</f>
        <v>可</v>
      </c>
      <c r="Q2549" s="67"/>
      <c r="R2549" s="67" t="str">
        <f>IFERROR(__xludf.DUMMYFUNCTION("""COMPUTED_VALUE"""),"コミットOK")</f>
        <v>コミットOK</v>
      </c>
      <c r="S2549" s="67" t="str">
        <f>IFERROR(__xludf.DUMMYFUNCTION("""COMPUTED_VALUE"""),"20241114_ナイトコミック_悠くん、お姉ちゃんとアソばない？？【コマカ】")</f>
        <v>20241114_ナイトコミック_悠くん、お姉ちゃんとアソばない？？【コマカ】</v>
      </c>
      <c r="T2549" s="67" t="str">
        <f>IFERROR(__xludf.DUMMYFUNCTION("""COMPUTED_VALUE"""),"格納済み")</f>
        <v>格納済み</v>
      </c>
      <c r="U2549" s="15" t="str">
        <f>IFERROR(__xludf.DUMMYFUNCTION("""COMPUTED_VALUE"""),"Ⓒ有馬紘一")</f>
        <v>Ⓒ有馬紘一</v>
      </c>
      <c r="V2549" s="8" t="str">
        <f>IFERROR(__xludf.DUMMYFUNCTION("""COMPUTED_VALUE"""),"ある日主人公 悠（ゆう）が家に帰ると、いじわるで嫌いな姉・渚とその友達、絵里奈と沙智が騒いでいた。挨拶だけ済ませ部屋に行こうとする悠だったが姉に捕まり結局パシられることに…。「これだから年上の女は…」と悠が愚痴りながらジュースを買っていると、背後にさっきいた姉の友達の絵里奈が。警戒していると優しく声を掛けてくれた。その様子に悠は「ウチの姉とは大違いだ」と感動していた…のだが、その後絵里奈からのスキンシップは距離も近くて仲良くなる程Hになっていく！トイレで姉たちに隠れて乳首を弄られ手コキされたり追撃お掃除フ"&amp;"ェラまでされちゃって…！このまま最後までシちゃうのかと思ったら、絵里奈さんは「また後でね♪」と部屋に戻ってしまい…。また後…もんもんとしていると、絵里奈さんはなんともう一人の姉友を連れて部屋に現れて…！？
※本作品は「悠くん、お姉ちゃんとアソばない？？」のコマカット版となっています。")</f>
        <v>ある日主人公 悠（ゆう）が家に帰ると、いじわるで嫌いな姉・渚とその友達、絵里奈と沙智が騒いでいた。挨拶だけ済ませ部屋に行こうとする悠だったが姉に捕まり結局パシられることに…。「これだから年上の女は…」と悠が愚痴りながらジュースを買っていると、背後にさっきいた姉の友達の絵里奈が。警戒していると優しく声を掛けてくれた。その様子に悠は「ウチの姉とは大違いだ」と感動していた…のだが、その後絵里奈からのスキンシップは距離も近くて仲良くなる程Hになっていく！トイレで姉たちに隠れて乳首を弄られ手コキされたり追撃お掃除フェラまでされちゃって…！このまま最後までシちゃうのかと思ったら、絵里奈さんは「また後でね♪」と部屋に戻ってしまい…。また後…もんもんとしていると、絵里奈さんはなんともう一人の姉友を連れて部屋に現れて…！？
※本作品は「悠くん、お姉ちゃんとアソばない？？」のコマカット版となっています。</v>
      </c>
      <c r="W2549" s="14"/>
      <c r="X2549" s="14" t="str">
        <f>IFERROR(__xludf.DUMMYFUNCTION("""COMPUTED_VALUE"""),"有")</f>
        <v>有</v>
      </c>
      <c r="Y2549" s="8" t="str">
        <f>IFERROR(__xludf.DUMMYFUNCTION("""COMPUTED_VALUE"""),"2025/1/23まで立ち読み増量
１巻P29まで
２巻P11まで")</f>
        <v>2025/1/23まで立ち読み増量
１巻P29まで
２巻P11まで</v>
      </c>
      <c r="Z2549" s="7"/>
      <c r="AA2549" s="7"/>
      <c r="AB2549" s="7"/>
    </row>
    <row r="2550" ht="15.75" customHeight="1">
      <c r="A2550" s="66">
        <f>IFERROR(__xludf.DUMMYFUNCTION("""COMPUTED_VALUE"""),4518.0)</f>
        <v>4518</v>
      </c>
      <c r="B2550" s="67" t="str">
        <f>IFERROR(__xludf.DUMMYFUNCTION("""COMPUTED_VALUE"""),"確定")</f>
        <v>確定</v>
      </c>
      <c r="C2550" s="68">
        <f>IFERROR(__xludf.DUMMYFUNCTION("""COMPUTED_VALUE"""),45614.0)</f>
        <v>45614</v>
      </c>
      <c r="D2550" s="68">
        <f>IFERROR(__xludf.DUMMYFUNCTION("""COMPUTED_VALUE"""),45636.0)</f>
        <v>45636</v>
      </c>
      <c r="E2550" s="60">
        <f>IFERROR(__xludf.DUMMYFUNCTION("""COMPUTED_VALUE"""),311462.0)</f>
        <v>311462</v>
      </c>
      <c r="F2550" s="61" t="str">
        <f>IFERROR(__xludf.DUMMYFUNCTION("""COMPUTED_VALUE"""),"汝隣人を愛せよ～再会した幼馴染がアソコの奥まで執着してくる～【TL版】")</f>
        <v>汝隣人を愛せよ～再会した幼馴染がアソコの奥まで執着してくる～【TL版】</v>
      </c>
      <c r="G2550" s="67" t="str">
        <f>IFERROR(__xludf.DUMMYFUNCTION("""COMPUTED_VALUE"""),"1～3")</f>
        <v>1～3</v>
      </c>
      <c r="H2550" s="67" t="str">
        <f>IFERROR(__xludf.DUMMYFUNCTION("""COMPUTED_VALUE"""),"紅碧")</f>
        <v>紅碧</v>
      </c>
      <c r="I2550" s="67" t="str">
        <f>IFERROR(__xludf.DUMMYFUNCTION("""COMPUTED_VALUE"""),"TL")</f>
        <v>TL</v>
      </c>
      <c r="J2550" s="67"/>
      <c r="K2550" s="67" t="str">
        <f>IFERROR(__xludf.DUMMYFUNCTION("""COMPUTED_VALUE"""),"ズレット！")</f>
        <v>ズレット！</v>
      </c>
      <c r="L2550" s="67" t="str">
        <f>IFERROR(__xludf.DUMMYFUNCTION("""COMPUTED_VALUE"""),"ライブコミックス")</f>
        <v>ライブコミックス</v>
      </c>
      <c r="M2550" s="23">
        <f>IFERROR(__xludf.DUMMYFUNCTION("""COMPUTED_VALUE"""),45681.0)</f>
        <v>45681</v>
      </c>
      <c r="N2550" s="23">
        <f>IFERROR(__xludf.DUMMYFUNCTION("""COMPUTED_VALUE"""),45750.0)</f>
        <v>45750</v>
      </c>
      <c r="O2550" s="67"/>
      <c r="P2550" s="70" t="str">
        <f>IFERROR(__xludf.DUMMYFUNCTION("""COMPUTED_VALUE"""),"可")</f>
        <v>可</v>
      </c>
      <c r="Q2550" s="67" t="str">
        <f>IFERROR(__xludf.DUMMYFUNCTION("""COMPUTED_VALUE"""),"BookLiveとの2社先行です。&lt;BR&gt;")</f>
        <v>BookLiveとの2社先行です。&lt;BR&gt;</v>
      </c>
      <c r="R2550" s="67" t="str">
        <f>IFERROR(__xludf.DUMMYFUNCTION("""COMPUTED_VALUE"""),"コミットOK")</f>
        <v>コミットOK</v>
      </c>
      <c r="S2550" s="67" t="str">
        <f>IFERROR(__xludf.DUMMYFUNCTION("""COMPUTED_VALUE"""),"20241205_BookLive_汝隣人を愛せよ～再会した幼馴染がアソコの奥まで執着してくる～")</f>
        <v>20241205_BookLive_汝隣人を愛せよ～再会した幼馴染がアソコの奥まで執着してくる～</v>
      </c>
      <c r="T2550" s="67" t="str">
        <f>IFERROR(__xludf.DUMMYFUNCTION("""COMPUTED_VALUE"""),"格納済み")</f>
        <v>格納済み</v>
      </c>
      <c r="U2550" s="15" t="str">
        <f>IFERROR(__xludf.DUMMYFUNCTION("""COMPUTED_VALUE"""),"Ⓒ紅碧/ライブコミックス")</f>
        <v>Ⓒ紅碧/ライブコミックス</v>
      </c>
      <c r="V2550" s="8" t="str">
        <f>IFERROR(__xludf.DUMMYFUNCTION("""COMPUTED_VALUE"""),"鴛鴦キミコ20歳、大学に通いつつ居酒屋バイトに精を出す華の大学生！…が、浮いた話はひとつもない。そんなある日。暫く会っていなかった幼馴染・目白コウスケに突然声をかけられ、一緒に飲むことに!?かつてコウスケに恋をしていたキミコは、何かとだらしない彼の世話を焼いていたものの眼中にないと察していた。しかし、再会した幼馴染はなんだか距離感が近く…飲み屋なのに体に触れてきて…!?※本作は、KATTS『汝隣人を愛せよ～再会した幼馴染がアソコの奥まで執着してくる～（１）【R版】』と修正は異なりますが、内容に差異はござい"&amp;"ません。重複購入にご注意ください。")</f>
        <v>鴛鴦キミコ20歳、大学に通いつつ居酒屋バイトに精を出す華の大学生！…が、浮いた話はひとつもない。そんなある日。暫く会っていなかった幼馴染・目白コウスケに突然声をかけられ、一緒に飲むことに!?かつてコウスケに恋をしていたキミコは、何かとだらしない彼の世話を焼いていたものの眼中にないと察していた。しかし、再会した幼馴染はなんだか距離感が近く…飲み屋なのに体に触れてきて…!?※本作は、KATTS『汝隣人を愛せよ～再会した幼馴染がアソコの奥まで執着してくる～（１）【R版】』と修正は異なりますが、内容に差異はございません。重複購入にご注意ください。</v>
      </c>
      <c r="W2550" s="14"/>
      <c r="X2550" s="14" t="str">
        <f>IFERROR(__xludf.DUMMYFUNCTION("""COMPUTED_VALUE"""),"有")</f>
        <v>有</v>
      </c>
      <c r="Y2550" s="8" t="str">
        <f>IFERROR(__xludf.DUMMYFUNCTION("""COMPUTED_VALUE"""),"2025/4/3まで1巻無料")</f>
        <v>2025/4/3まで1巻無料</v>
      </c>
      <c r="Z2550" s="7"/>
      <c r="AA2550" s="7"/>
      <c r="AB2550" s="7"/>
    </row>
    <row r="2551" ht="15.75" customHeight="1">
      <c r="A2551" s="66">
        <f>IFERROR(__xludf.DUMMYFUNCTION("""COMPUTED_VALUE"""),4519.0)</f>
        <v>4519</v>
      </c>
      <c r="B2551" s="67" t="str">
        <f>IFERROR(__xludf.DUMMYFUNCTION("""COMPUTED_VALUE"""),"確定")</f>
        <v>確定</v>
      </c>
      <c r="C2551" s="68">
        <f>IFERROR(__xludf.DUMMYFUNCTION("""COMPUTED_VALUE"""),45614.0)</f>
        <v>45614</v>
      </c>
      <c r="D2551" s="68">
        <f>IFERROR(__xludf.DUMMYFUNCTION("""COMPUTED_VALUE"""),45636.0)</f>
        <v>45636</v>
      </c>
      <c r="E2551" s="60">
        <f>IFERROR(__xludf.DUMMYFUNCTION("""COMPUTED_VALUE"""),311463.0)</f>
        <v>311463</v>
      </c>
      <c r="F2551" s="61" t="str">
        <f>IFERROR(__xludf.DUMMYFUNCTION("""COMPUTED_VALUE"""),"汝隣人を愛せよ～再会した幼馴染がアソコの奥まで執着してくる～【R版】")</f>
        <v>汝隣人を愛せよ～再会した幼馴染がアソコの奥まで執着してくる～【R版】</v>
      </c>
      <c r="G2551" s="67" t="str">
        <f>IFERROR(__xludf.DUMMYFUNCTION("""COMPUTED_VALUE"""),"1～3")</f>
        <v>1～3</v>
      </c>
      <c r="H2551" s="67" t="str">
        <f>IFERROR(__xludf.DUMMYFUNCTION("""COMPUTED_VALUE"""),"紅碧")</f>
        <v>紅碧</v>
      </c>
      <c r="I2551" s="67" t="str">
        <f>IFERROR(__xludf.DUMMYFUNCTION("""COMPUTED_VALUE"""),"アダルトマンガ")</f>
        <v>アダルトマンガ</v>
      </c>
      <c r="J2551" s="67"/>
      <c r="K2551" s="67" t="str">
        <f>IFERROR(__xludf.DUMMYFUNCTION("""COMPUTED_VALUE"""),"KATTS")</f>
        <v>KATTS</v>
      </c>
      <c r="L2551" s="67" t="str">
        <f>IFERROR(__xludf.DUMMYFUNCTION("""COMPUTED_VALUE"""),"KATTS")</f>
        <v>KATTS</v>
      </c>
      <c r="M2551" s="23">
        <f>IFERROR(__xludf.DUMMYFUNCTION("""COMPUTED_VALUE"""),45681.0)</f>
        <v>45681</v>
      </c>
      <c r="N2551" s="23">
        <f>IFERROR(__xludf.DUMMYFUNCTION("""COMPUTED_VALUE"""),45750.0)</f>
        <v>45750</v>
      </c>
      <c r="O2551" s="67"/>
      <c r="P2551" s="70" t="str">
        <f>IFERROR(__xludf.DUMMYFUNCTION("""COMPUTED_VALUE"""),"可")</f>
        <v>可</v>
      </c>
      <c r="Q2551" s="67" t="str">
        <f>IFERROR(__xludf.DUMMYFUNCTION("""COMPUTED_VALUE"""),"BookLiveとの2社先行です。")</f>
        <v>BookLiveとの2社先行です。</v>
      </c>
      <c r="R2551" s="67" t="str">
        <f>IFERROR(__xludf.DUMMYFUNCTION("""COMPUTED_VALUE"""),"コミットOK")</f>
        <v>コミットOK</v>
      </c>
      <c r="S2551" s="67" t="str">
        <f>IFERROR(__xludf.DUMMYFUNCTION("""COMPUTED_VALUE"""),"20241205_BookLive_汝隣人を愛せよ～再会した幼馴染がアソコの奥まで執着してくる～【R版】")</f>
        <v>20241205_BookLive_汝隣人を愛せよ～再会した幼馴染がアソコの奥まで執着してくる～【R版】</v>
      </c>
      <c r="T2551" s="67" t="str">
        <f>IFERROR(__xludf.DUMMYFUNCTION("""COMPUTED_VALUE"""),"格納済み")</f>
        <v>格納済み</v>
      </c>
      <c r="U2551" s="15" t="str">
        <f>IFERROR(__xludf.DUMMYFUNCTION("""COMPUTED_VALUE"""),"Ⓒ紅碧/KATTS")</f>
        <v>Ⓒ紅碧/KATTS</v>
      </c>
      <c r="V2551" s="8" t="str">
        <f>IFERROR(__xludf.DUMMYFUNCTION("""COMPUTED_VALUE"""),"鴛鴦キミコ20歳、大学に通いつつ居酒屋バイトに精を出す華の大学生！…が、浮いた話はひとつもない。そんなある日。暫く会っていなかった幼馴染・目白コウスケに突然声をかけられ、一緒に飲むことに!?かつてコウスケに恋をしていたキミコは、何かとだらしない彼の世話を焼いていたものの眼中にないと察していた。しかし、再会した幼馴染はなんだか距離感が近く…飲み屋なのに体に触れてきて…!?※本作は、ズレット！『汝隣人を愛せよ～再会した幼馴染がアソコの奥まで執着してくる～ （１）【TL版】』の修正をやや弱めたものです。内容に差"&amp;"異はありませんので、重複購入にご注意ください。")</f>
        <v>鴛鴦キミコ20歳、大学に通いつつ居酒屋バイトに精を出す華の大学生！…が、浮いた話はひとつもない。そんなある日。暫く会っていなかった幼馴染・目白コウスケに突然声をかけられ、一緒に飲むことに!?かつてコウスケに恋をしていたキミコは、何かとだらしない彼の世話を焼いていたものの眼中にないと察していた。しかし、再会した幼馴染はなんだか距離感が近く…飲み屋なのに体に触れてきて…!?※本作は、ズレット！『汝隣人を愛せよ～再会した幼馴染がアソコの奥まで執着してくる～ （１）【TL版】』の修正をやや弱めたものです。内容に差異はありませんので、重複購入にご注意ください。</v>
      </c>
      <c r="W2551" s="14"/>
      <c r="X2551" s="14" t="str">
        <f>IFERROR(__xludf.DUMMYFUNCTION("""COMPUTED_VALUE"""),"有")</f>
        <v>有</v>
      </c>
      <c r="Y2551" s="8" t="str">
        <f>IFERROR(__xludf.DUMMYFUNCTION("""COMPUTED_VALUE"""),"2025/4/3まで1巻無料")</f>
        <v>2025/4/3まで1巻無料</v>
      </c>
      <c r="Z2551" s="7"/>
      <c r="AA2551" s="7"/>
      <c r="AB2551" s="7"/>
    </row>
    <row r="2552" ht="15.75" customHeight="1">
      <c r="A2552" s="66">
        <f>IFERROR(__xludf.DUMMYFUNCTION("""COMPUTED_VALUE"""),4523.0)</f>
        <v>4523</v>
      </c>
      <c r="B2552" s="67" t="str">
        <f>IFERROR(__xludf.DUMMYFUNCTION("""COMPUTED_VALUE"""),"確定")</f>
        <v>確定</v>
      </c>
      <c r="C2552" s="68">
        <f>IFERROR(__xludf.DUMMYFUNCTION("""COMPUTED_VALUE"""),45614.0)</f>
        <v>45614</v>
      </c>
      <c r="D2552" s="68">
        <f>IFERROR(__xludf.DUMMYFUNCTION("""COMPUTED_VALUE"""),45636.0)</f>
        <v>45636</v>
      </c>
      <c r="E2552" s="60">
        <f>IFERROR(__xludf.DUMMYFUNCTION("""COMPUTED_VALUE"""),311934.0)</f>
        <v>311934</v>
      </c>
      <c r="F2552" s="61" t="str">
        <f>IFERROR(__xludf.DUMMYFUNCTION("""COMPUTED_VALUE"""),"はりあいとはじらい")</f>
        <v>はりあいとはじらい</v>
      </c>
      <c r="G2552" s="67" t="str">
        <f>IFERROR(__xludf.DUMMYFUNCTION("""COMPUTED_VALUE"""),"1～2")</f>
        <v>1～2</v>
      </c>
      <c r="H2552" s="67" t="str">
        <f>IFERROR(__xludf.DUMMYFUNCTION("""COMPUTED_VALUE"""),"いけがみ小5")</f>
        <v>いけがみ小5</v>
      </c>
      <c r="I2552" s="67" t="str">
        <f>IFERROR(__xludf.DUMMYFUNCTION("""COMPUTED_VALUE"""),"BL")</f>
        <v>BL</v>
      </c>
      <c r="J2552" s="87"/>
      <c r="K2552" s="87"/>
      <c r="L2552" s="67" t="str">
        <f>IFERROR(__xludf.DUMMYFUNCTION("""COMPUTED_VALUE"""),"東京漫画社")</f>
        <v>東京漫画社</v>
      </c>
      <c r="M2552" s="23">
        <f>IFERROR(__xludf.DUMMYFUNCTION("""COMPUTED_VALUE"""),45688.0)</f>
        <v>45688</v>
      </c>
      <c r="N2552" s="47">
        <f>IFERROR(__xludf.DUMMYFUNCTION("""COMPUTED_VALUE"""),45746.0)</f>
        <v>45746</v>
      </c>
      <c r="O2552" s="67"/>
      <c r="P2552" s="70" t="str">
        <f>IFERROR(__xludf.DUMMYFUNCTION("""COMPUTED_VALUE"""),"可")</f>
        <v>可</v>
      </c>
      <c r="Q2552" s="67" t="str">
        <f>IFERROR(__xludf.DUMMYFUNCTION("""COMPUTED_VALUE"""),"・1話の試読増量、購入20%値引きを検討&lt;BR&gt;・素材納品が間に合わないため、1話分の素材で制作願います&lt;BR&gt;")</f>
        <v>・1話の試読増量、購入20%値引きを検討&lt;BR&gt;・素材納品が間に合わないため、1話分の素材で制作願います&lt;BR&gt;</v>
      </c>
      <c r="R2552" s="67" t="str">
        <f>IFERROR(__xludf.DUMMYFUNCTION("""COMPUTED_VALUE"""),"コミットNG")</f>
        <v>コミットNG</v>
      </c>
      <c r="S2552" s="67" t="str">
        <f>IFERROR(__xludf.DUMMYFUNCTION("""COMPUTED_VALUE"""),"20241205_東京漫画社_はりあいとはじらい")</f>
        <v>20241205_東京漫画社_はりあいとはじらい</v>
      </c>
      <c r="T2552" s="67" t="str">
        <f>IFERROR(__xludf.DUMMYFUNCTION("""COMPUTED_VALUE"""),"格納済み")</f>
        <v>格納済み</v>
      </c>
      <c r="U2552" s="15" t="str">
        <f>IFERROR(__xludf.DUMMYFUNCTION("""COMPUTED_VALUE"""),"Ⓒいけがみ小5/東京漫画社")</f>
        <v>Ⓒいけがみ小5/東京漫画社</v>
      </c>
      <c r="V2552" s="8" t="str">
        <f>IFERROR(__xludf.DUMMYFUNCTION("""COMPUTED_VALUE"""),"鍼灸院を営む古賀は、昔施術を担当していた飛羽と再会!プロレスラーになった飛羽は立派に成長していたけれど、昔と変わらず懐いてくれご飯へ行ったり親密な仲に。それどころか飛羽に煽られ、思わず…!?
『Fig vol.70』に収録されているものと同じ内容になります。")</f>
        <v>鍼灸院を営む古賀は、昔施術を担当していた飛羽と再会!プロレスラーになった飛羽は立派に成長していたけれど、昔と変わらず懐いてくれご飯へ行ったり親密な仲に。それどころか飛羽に煽られ、思わず…!?
『Fig vol.70』に収録されているものと同じ内容になります。</v>
      </c>
      <c r="W2552" s="14"/>
      <c r="X2552" s="14" t="str">
        <f>IFERROR(__xludf.DUMMYFUNCTION("""COMPUTED_VALUE"""),"有")</f>
        <v>有</v>
      </c>
      <c r="Y2552" s="8" t="str">
        <f>IFERROR(__xludf.DUMMYFUNCTION("""COMPUTED_VALUE"""),"P5まで")</f>
        <v>P5まで</v>
      </c>
      <c r="Z2552" s="7"/>
      <c r="AA2552" s="7"/>
      <c r="AB2552" s="7"/>
    </row>
    <row r="2553" ht="15.75" customHeight="1">
      <c r="A2553" s="66">
        <f>IFERROR(__xludf.DUMMYFUNCTION("""COMPUTED_VALUE"""),4553.0)</f>
        <v>4553</v>
      </c>
      <c r="B2553" s="67" t="str">
        <f>IFERROR(__xludf.DUMMYFUNCTION("""COMPUTED_VALUE"""),"確定")</f>
        <v>確定</v>
      </c>
      <c r="C2553" s="68">
        <f>IFERROR(__xludf.DUMMYFUNCTION("""COMPUTED_VALUE"""),45618.0)</f>
        <v>45618</v>
      </c>
      <c r="D2553" s="68">
        <f>IFERROR(__xludf.DUMMYFUNCTION("""COMPUTED_VALUE"""),45636.0)</f>
        <v>45636</v>
      </c>
      <c r="E2553" s="60">
        <f>IFERROR(__xludf.DUMMYFUNCTION("""COMPUTED_VALUE"""),311725.0)</f>
        <v>311725</v>
      </c>
      <c r="F2553" s="61" t="str">
        <f>IFERROR(__xludf.DUMMYFUNCTION("""COMPUTED_VALUE"""),"【ラブチーク】ドS社長はドM秘書をいじめたい～オフィスでぬれとろ玩具レビュー～")</f>
        <v>【ラブチーク】ドS社長はドM秘書をいじめたい～オフィスでぬれとろ玩具レビュー～</v>
      </c>
      <c r="G2553" s="67" t="str">
        <f>IFERROR(__xludf.DUMMYFUNCTION("""COMPUTED_VALUE"""),"1～3")</f>
        <v>1～3</v>
      </c>
      <c r="H2553" s="67" t="str">
        <f>IFERROR(__xludf.DUMMYFUNCTION("""COMPUTED_VALUE"""),"小此木葉っぱ")</f>
        <v>小此木葉っぱ</v>
      </c>
      <c r="I2553" s="67" t="str">
        <f>IFERROR(__xludf.DUMMYFUNCTION("""COMPUTED_VALUE"""),"TL")</f>
        <v>TL</v>
      </c>
      <c r="J2553" s="67"/>
      <c r="K2553" s="67" t="str">
        <f>IFERROR(__xludf.DUMMYFUNCTION("""COMPUTED_VALUE"""),"ラブチーク")</f>
        <v>ラブチーク</v>
      </c>
      <c r="L2553" s="67" t="str">
        <f>IFERROR(__xludf.DUMMYFUNCTION("""COMPUTED_VALUE"""),"ブライト出版")</f>
        <v>ブライト出版</v>
      </c>
      <c r="M2553" s="23">
        <f>IFERROR(__xludf.DUMMYFUNCTION("""COMPUTED_VALUE"""),45674.0)</f>
        <v>45674</v>
      </c>
      <c r="N2553" s="23">
        <f>IFERROR(__xludf.DUMMYFUNCTION("""COMPUTED_VALUE"""),45777.0)</f>
        <v>45777</v>
      </c>
      <c r="O2553" s="67"/>
      <c r="P2553" s="71" t="str">
        <f>IFERROR(__xludf.DUMMYFUNCTION("""COMPUTED_VALUE"""),"可")</f>
        <v>可</v>
      </c>
      <c r="Q2553" s="67"/>
      <c r="R2553" s="67" t="str">
        <f>IFERROR(__xludf.DUMMYFUNCTION("""COMPUTED_VALUE"""),"コミットOK")</f>
        <v>コミットOK</v>
      </c>
      <c r="S2553" s="67" t="str">
        <f>IFERROR(__xludf.DUMMYFUNCTION("""COMPUTED_VALUE"""),"20241206_一晃社_ドS社長はドM秘書をいじめたい～オフィスでぬれとろ玩具レビュー～")</f>
        <v>20241206_一晃社_ドS社長はドM秘書をいじめたい～オフィスでぬれとろ玩具レビュー～</v>
      </c>
      <c r="T2553" s="67" t="str">
        <f>IFERROR(__xludf.DUMMYFUNCTION("""COMPUTED_VALUE"""),"格納済み")</f>
        <v>格納済み</v>
      </c>
      <c r="U2553" s="15" t="str">
        <f>IFERROR(__xludf.DUMMYFUNCTION("""COMPUTED_VALUE"""),"(C)小此木葉っぱ/ブライト出版")</f>
        <v>(C)小此木葉っぱ/ブライト出版</v>
      </c>
      <c r="V2553" s="8" t="str">
        <f>IFERROR(__xludf.DUMMYFUNCTION("""COMPUTED_VALUE"""),"“出迎えてくれた橘社長は爽やかで優しいイケメン！？”ブラック企業から転職が叶い、本日からこの会社で瀬戸千鶴・秘書を始めます…！！仕事のしやすい環境が整った会社だったが、デスクに堂々と並べられるバイブやローターにはまだ慣れない日々。そう、大人の玩具を制作する会社に入ったのだ。社内で行われる玩具の試作レビューをすることになったのに孤独な１人身では完璧なレポは書けない…。悩んでいた時に社長に提案され、手を借りて完璧なレビューをすることに…！？優しい笑顔に隠れ、ドSに豹変する社長の責め方にイキっぱなしで止められな"&amp;"い…！！")</f>
        <v>“出迎えてくれた橘社長は爽やかで優しいイケメン！？”ブラック企業から転職が叶い、本日からこの会社で瀬戸千鶴・秘書を始めます…！！仕事のしやすい環境が整った会社だったが、デスクに堂々と並べられるバイブやローターにはまだ慣れない日々。そう、大人の玩具を制作する会社に入ったのだ。社内で行われる玩具の試作レビューをすることになったのに孤独な１人身では完璧なレポは書けない…。悩んでいた時に社長に提案され、手を借りて完璧なレビューをすることに…！？優しい笑顔に隠れ、ドSに豹変する社長の責め方にイキっぱなしで止められない…！！</v>
      </c>
      <c r="W2553" s="14"/>
      <c r="X2553" s="14" t="str">
        <f>IFERROR(__xludf.DUMMYFUNCTION("""COMPUTED_VALUE"""),"有")</f>
        <v>有</v>
      </c>
      <c r="Y2553" s="8" t="str">
        <f>IFERROR(__xludf.DUMMYFUNCTION("""COMPUTED_VALUE"""),"2025/1/30まで1巻無料")</f>
        <v>2025/1/30まで1巻無料</v>
      </c>
      <c r="Z2553" s="7"/>
      <c r="AA2553" s="7"/>
      <c r="AB2553" s="7"/>
    </row>
    <row r="2554" ht="15.75" customHeight="1">
      <c r="A2554" s="66">
        <f>IFERROR(__xludf.DUMMYFUNCTION("""COMPUTED_VALUE"""),4576.0)</f>
        <v>4576</v>
      </c>
      <c r="B2554" s="67" t="str">
        <f>IFERROR(__xludf.DUMMYFUNCTION("""COMPUTED_VALUE"""),"確定")</f>
        <v>確定</v>
      </c>
      <c r="C2554" s="68">
        <f>IFERROR(__xludf.DUMMYFUNCTION("""COMPUTED_VALUE"""),45623.0)</f>
        <v>45623</v>
      </c>
      <c r="D2554" s="68">
        <f>IFERROR(__xludf.DUMMYFUNCTION("""COMPUTED_VALUE"""),45637.0)</f>
        <v>45637</v>
      </c>
      <c r="E2554" s="60">
        <f>IFERROR(__xludf.DUMMYFUNCTION("""COMPUTED_VALUE"""),311263.0)</f>
        <v>311263</v>
      </c>
      <c r="F2554" s="61" t="str">
        <f>IFERROR(__xludf.DUMMYFUNCTION("""COMPUTED_VALUE"""),"最強異端の植物使い 連載版")</f>
        <v>最強異端の植物使い 連載版</v>
      </c>
      <c r="G2554" s="67" t="str">
        <f>IFERROR(__xludf.DUMMYFUNCTION("""COMPUTED_VALUE"""),"1～3")</f>
        <v>1～3</v>
      </c>
      <c r="H2554" s="78" t="str">
        <f>IFERROR(__xludf.DUMMYFUNCTION("""COMPUTED_VALUE"""),"かん奈,匈歌ハトリ,福寿草真")</f>
        <v>かん奈,匈歌ハトリ,福寿草真</v>
      </c>
      <c r="I2554" s="78" t="str">
        <f>IFERROR(__xludf.DUMMYFUNCTION("""COMPUTED_VALUE"""),"青年")</f>
        <v>青年</v>
      </c>
      <c r="J2554" s="87"/>
      <c r="K2554" s="87"/>
      <c r="L2554" s="67" t="str">
        <f>IFERROR(__xludf.DUMMYFUNCTION("""COMPUTED_VALUE"""),"ブシロードワークス")</f>
        <v>ブシロードワークス</v>
      </c>
      <c r="M2554" s="23">
        <f>IFERROR(__xludf.DUMMYFUNCTION("""COMPUTED_VALUE"""),45667.0)</f>
        <v>45667</v>
      </c>
      <c r="N2554" s="23">
        <f>IFERROR(__xludf.DUMMYFUNCTION("""COMPUTED_VALUE"""),45729.0)</f>
        <v>45729</v>
      </c>
      <c r="O2554" s="67"/>
      <c r="P2554" s="70" t="str">
        <f>IFERROR(__xludf.DUMMYFUNCTION("""COMPUTED_VALUE"""),"可")</f>
        <v>可</v>
      </c>
      <c r="Q2554" s="67" t="str">
        <f>IFERROR(__xludf.DUMMYFUNCTION("""COMPUTED_VALUE"""),"※実績見合いで2025/04/07までの約3か月間先行可")</f>
        <v>※実績見合いで2025/04/07までの約3か月間先行可</v>
      </c>
      <c r="R2554" s="67" t="str">
        <f>IFERROR(__xludf.DUMMYFUNCTION("""COMPUTED_VALUE"""),"コミットOK")</f>
        <v>コミットOK</v>
      </c>
      <c r="S2554" s="67" t="str">
        <f>IFERROR(__xludf.DUMMYFUNCTION("""COMPUTED_VALUE"""),"20241211_ブシロードワークス_最強異端の植物使い 連載版")</f>
        <v>20241211_ブシロードワークス_最強異端の植物使い 連載版</v>
      </c>
      <c r="T2554" s="67" t="str">
        <f>IFERROR(__xludf.DUMMYFUNCTION("""COMPUTED_VALUE"""),"格納済み")</f>
        <v>格納済み</v>
      </c>
      <c r="U2554" s="15" t="str">
        <f>IFERROR(__xludf.DUMMYFUNCTION("""COMPUTED_VALUE"""),"Ⓒかん奈 ⒸFukujyu Sohma ⒸBUSHIROAD WORKS")</f>
        <v>Ⓒかん奈 ⒸFukujyu Sohma ⒸBUSHIROAD WORKS</v>
      </c>
      <c r="V2554" s="8" t="str">
        <f>IFERROR(__xludf.DUMMYFUNCTION("""COMPUTED_VALUE"""),"異世界へ転生した主人公「レフト」が与えられたギフトは「植物図鑑」、雑草を召喚するだけの能力だった。
しかし恩恵には隠された真の能力が……!?　ユニークギフトを駆使し、最強の植物使いへとなる物語！")</f>
        <v>異世界へ転生した主人公「レフト」が与えられたギフトは「植物図鑑」、雑草を召喚するだけの能力だった。
しかし恩恵には隠された真の能力が……!?　ユニークギフトを駆使し、最強の植物使いへとなる物語！</v>
      </c>
      <c r="W2554" s="14"/>
      <c r="X2554" s="14" t="str">
        <f>IFERROR(__xludf.DUMMYFUNCTION("""COMPUTED_VALUE"""),"有")</f>
        <v>有</v>
      </c>
      <c r="Y2554" s="8" t="str">
        <f>IFERROR(__xludf.DUMMYFUNCTION("""COMPUTED_VALUE"""),"2025/3/13まで1巻無料")</f>
        <v>2025/3/13まで1巻無料</v>
      </c>
      <c r="Z2554" s="7"/>
      <c r="AA2554" s="7"/>
      <c r="AB2554" s="7"/>
    </row>
    <row r="2555" ht="15.75" customHeight="1">
      <c r="A2555" s="66">
        <f>IFERROR(__xludf.DUMMYFUNCTION("""COMPUTED_VALUE"""),4590.0)</f>
        <v>4590</v>
      </c>
      <c r="B2555" s="67" t="str">
        <f>IFERROR(__xludf.DUMMYFUNCTION("""COMPUTED_VALUE"""),"確定")</f>
        <v>確定</v>
      </c>
      <c r="C2555" s="68">
        <f>IFERROR(__xludf.DUMMYFUNCTION("""COMPUTED_VALUE"""),45625.0)</f>
        <v>45625</v>
      </c>
      <c r="D2555" s="68">
        <f>IFERROR(__xludf.DUMMYFUNCTION("""COMPUTED_VALUE"""),45637.0)</f>
        <v>45637</v>
      </c>
      <c r="E2555" s="60">
        <f>IFERROR(__xludf.DUMMYFUNCTION("""COMPUTED_VALUE"""),312320.0)</f>
        <v>312320</v>
      </c>
      <c r="F2555" s="61" t="str">
        <f>IFERROR(__xludf.DUMMYFUNCTION("""COMPUTED_VALUE"""),"ノンケ女、レズビアン人妻にNTRます。【白抜き修正版】")</f>
        <v>ノンケ女、レズビアン人妻にNTRます。【白抜き修正版】</v>
      </c>
      <c r="G2555" s="67" t="str">
        <f>IFERROR(__xludf.DUMMYFUNCTION("""COMPUTED_VALUE"""),"1～3")</f>
        <v>1～3</v>
      </c>
      <c r="H2555" s="67" t="str">
        <f>IFERROR(__xludf.DUMMYFUNCTION("""COMPUTED_VALUE"""),"かみしまあきら")</f>
        <v>かみしまあきら</v>
      </c>
      <c r="I2555" s="67" t="str">
        <f>IFERROR(__xludf.DUMMYFUNCTION("""COMPUTED_VALUE"""),"女性⇒TL（2025/3/19）")</f>
        <v>女性⇒TL（2025/3/19）</v>
      </c>
      <c r="J2555" s="87"/>
      <c r="K2555" s="87"/>
      <c r="L2555" s="67" t="str">
        <f>IFERROR(__xludf.DUMMYFUNCTION("""COMPUTED_VALUE"""),"ナンバーナイン")</f>
        <v>ナンバーナイン</v>
      </c>
      <c r="M2555" s="23">
        <f>IFERROR(__xludf.DUMMYFUNCTION("""COMPUTED_VALUE"""),45667.0)</f>
        <v>45667</v>
      </c>
      <c r="N2555" s="23">
        <f>IFERROR(__xludf.DUMMYFUNCTION("""COMPUTED_VALUE"""),45817.66666666667)</f>
        <v>45817.66667</v>
      </c>
      <c r="O2555" s="67"/>
      <c r="P2555" s="71" t="str">
        <f>IFERROR(__xludf.DUMMYFUNCTION("""COMPUTED_VALUE"""),"可")</f>
        <v>可</v>
      </c>
      <c r="Q2555" s="67"/>
      <c r="R2555" s="67" t="str">
        <f>IFERROR(__xludf.DUMMYFUNCTION("""COMPUTED_VALUE"""),"コミットOK")</f>
        <v>コミットOK</v>
      </c>
      <c r="S2555" s="67" t="str">
        <f>IFERROR(__xludf.DUMMYFUNCTION("""COMPUTED_VALUE"""),"20241210_ナンバーナイン_ノンケ女、レズビアン人妻にNTRます。【白抜き修正版】")</f>
        <v>20241210_ナンバーナイン_ノンケ女、レズビアン人妻にNTRます。【白抜き修正版】</v>
      </c>
      <c r="T2555" s="67" t="str">
        <f>IFERROR(__xludf.DUMMYFUNCTION("""COMPUTED_VALUE"""),"格納済み")</f>
        <v>格納済み</v>
      </c>
      <c r="U2555" s="15" t="str">
        <f>IFERROR(__xludf.DUMMYFUNCTION("""COMPUTED_VALUE"""),"(C)かみしまあきら/ナンバーナイン")</f>
        <v>(C)かみしまあきら/ナンバーナイン</v>
      </c>
      <c r="V2555" s="8" t="str">
        <f>IFERROR(__xludf.DUMMYFUNCTION("""COMPUTED_VALUE"""),"【白抜き修正版】【ぺニバン使用】【男性性的絡みなし】
美女におっぱいを揉んで欲しい願望がある不動産営業マンのノンケ女、新菜咲。
自分はレズではないと思っていたが、ある日美人人妻一名燁を接客することになり、咲は彼氏とレス中に燁に開花される。
旦那がいる燁、彼氏がいる咲。二人の恋の行方を描いた創作同人シリーズとなります。
男性向け＆女性向け。NTRではありますが百合ハピエンです。【全25ページ】")</f>
        <v>【白抜き修正版】【ぺニバン使用】【男性性的絡みなし】
美女におっぱいを揉んで欲しい願望がある不動産営業マンのノンケ女、新菜咲。
自分はレズではないと思っていたが、ある日美人人妻一名燁を接客することになり、咲は彼氏とレス中に燁に開花される。
旦那がいる燁、彼氏がいる咲。二人の恋の行方を描いた創作同人シリーズとなります。
男性向け＆女性向け。NTRではありますが百合ハピエンです。【全25ページ】</v>
      </c>
      <c r="W2555" s="14"/>
      <c r="X2555" s="14" t="str">
        <f>IFERROR(__xludf.DUMMYFUNCTION("""COMPUTED_VALUE"""),"有")</f>
        <v>有</v>
      </c>
      <c r="Y2555" s="8" t="str">
        <f>IFERROR(__xludf.DUMMYFUNCTION("""COMPUTED_VALUE"""),"1巻無料")</f>
        <v>1巻無料</v>
      </c>
      <c r="Z2555" s="7"/>
      <c r="AA2555" s="7"/>
      <c r="AB2555" s="7"/>
    </row>
    <row r="2556" ht="15.75" customHeight="1">
      <c r="A2556" s="66">
        <f>IFERROR(__xludf.DUMMYFUNCTION("""COMPUTED_VALUE"""),4591.0)</f>
        <v>4591</v>
      </c>
      <c r="B2556" s="67" t="str">
        <f>IFERROR(__xludf.DUMMYFUNCTION("""COMPUTED_VALUE"""),"確定")</f>
        <v>確定</v>
      </c>
      <c r="C2556" s="68">
        <f>IFERROR(__xludf.DUMMYFUNCTION("""COMPUTED_VALUE"""),45625.0)</f>
        <v>45625</v>
      </c>
      <c r="D2556" s="68">
        <f>IFERROR(__xludf.DUMMYFUNCTION("""COMPUTED_VALUE"""),45637.0)</f>
        <v>45637</v>
      </c>
      <c r="E2556" s="60">
        <f>IFERROR(__xludf.DUMMYFUNCTION("""COMPUTED_VALUE"""),312367.0)</f>
        <v>312367</v>
      </c>
      <c r="F2556" s="61" t="str">
        <f>IFERROR(__xludf.DUMMYFUNCTION("""COMPUTED_VALUE"""),"ノンケ女、レズビアン人妻にNTRます。【棒消し修正版】")</f>
        <v>ノンケ女、レズビアン人妻にNTRます。【棒消し修正版】</v>
      </c>
      <c r="G2556" s="67" t="str">
        <f>IFERROR(__xludf.DUMMYFUNCTION("""COMPUTED_VALUE"""),"1～3")</f>
        <v>1～3</v>
      </c>
      <c r="H2556" s="67" t="str">
        <f>IFERROR(__xludf.DUMMYFUNCTION("""COMPUTED_VALUE"""),"かみしまあきら")</f>
        <v>かみしまあきら</v>
      </c>
      <c r="I2556" s="67" t="str">
        <f>IFERROR(__xludf.DUMMYFUNCTION("""COMPUTED_VALUE"""),"アダルトマンガ")</f>
        <v>アダルトマンガ</v>
      </c>
      <c r="J2556" s="87"/>
      <c r="K2556" s="87"/>
      <c r="L2556" s="67" t="str">
        <f>IFERROR(__xludf.DUMMYFUNCTION("""COMPUTED_VALUE"""),"ナンバーナイン")</f>
        <v>ナンバーナイン</v>
      </c>
      <c r="M2556" s="23">
        <f>IFERROR(__xludf.DUMMYFUNCTION("""COMPUTED_VALUE"""),45667.0)</f>
        <v>45667</v>
      </c>
      <c r="N2556" s="23">
        <f>IFERROR(__xludf.DUMMYFUNCTION("""COMPUTED_VALUE"""),45817.66666666667)</f>
        <v>45817.66667</v>
      </c>
      <c r="O2556" s="67"/>
      <c r="P2556" s="71" t="str">
        <f>IFERROR(__xludf.DUMMYFUNCTION("""COMPUTED_VALUE"""),"可")</f>
        <v>可</v>
      </c>
      <c r="Q2556" s="67"/>
      <c r="R2556" s="67" t="str">
        <f>IFERROR(__xludf.DUMMYFUNCTION("""COMPUTED_VALUE"""),"コミットOK")</f>
        <v>コミットOK</v>
      </c>
      <c r="S2556" s="67" t="str">
        <f>IFERROR(__xludf.DUMMYFUNCTION("""COMPUTED_VALUE"""),"20241210_ナンバーナイン_ノンケ女、レズビアン人妻にNTRます。【棒消し修正版】")</f>
        <v>20241210_ナンバーナイン_ノンケ女、レズビアン人妻にNTRます。【棒消し修正版】</v>
      </c>
      <c r="T2556" s="67" t="str">
        <f>IFERROR(__xludf.DUMMYFUNCTION("""COMPUTED_VALUE"""),"格納済み")</f>
        <v>格納済み</v>
      </c>
      <c r="U2556" s="15" t="str">
        <f>IFERROR(__xludf.DUMMYFUNCTION("""COMPUTED_VALUE"""),"(C)かみしまあきら/ナンバーナイン")</f>
        <v>(C)かみしまあきら/ナンバーナイン</v>
      </c>
      <c r="V2556" s="8" t="str">
        <f>IFERROR(__xludf.DUMMYFUNCTION("""COMPUTED_VALUE"""),"【棒消し修正版】【ぺニバン使用】【男性性的絡みなし】
美女におっぱいを揉んで欲しい願望がある不動産営業マンのノンケ女、新菜咲。
自分はレズではないと思っていたが、ある日美人人妻一名燁を接客することになり、咲は彼氏とレス中に燁に開花される。
旦那がいる燁、彼氏がいる咲。二人の恋の行方を描いた創作同人シリーズとなります。
男性向け＆女性向け。NTRではありますが百合ハピエンです。【全25ページ】")</f>
        <v>【棒消し修正版】【ぺニバン使用】【男性性的絡みなし】
美女におっぱいを揉んで欲しい願望がある不動産営業マンのノンケ女、新菜咲。
自分はレズではないと思っていたが、ある日美人人妻一名燁を接客することになり、咲は彼氏とレス中に燁に開花される。
旦那がいる燁、彼氏がいる咲。二人の恋の行方を描いた創作同人シリーズとなります。
男性向け＆女性向け。NTRではありますが百合ハピエンです。【全25ページ】</v>
      </c>
      <c r="W2556" s="14"/>
      <c r="X2556" s="14" t="str">
        <f>IFERROR(__xludf.DUMMYFUNCTION("""COMPUTED_VALUE"""),"有")</f>
        <v>有</v>
      </c>
      <c r="Y2556" s="8" t="str">
        <f>IFERROR(__xludf.DUMMYFUNCTION("""COMPUTED_VALUE"""),"1巻無料")</f>
        <v>1巻無料</v>
      </c>
      <c r="Z2556" s="7"/>
      <c r="AA2556" s="7"/>
      <c r="AB2556" s="7"/>
    </row>
    <row r="2557" ht="15.75" customHeight="1">
      <c r="A2557" s="66">
        <f>IFERROR(__xludf.DUMMYFUNCTION("""COMPUTED_VALUE"""),4596.0)</f>
        <v>4596</v>
      </c>
      <c r="B2557" s="67" t="str">
        <f>IFERROR(__xludf.DUMMYFUNCTION("""COMPUTED_VALUE"""),"確定")</f>
        <v>確定</v>
      </c>
      <c r="C2557" s="68">
        <f>IFERROR(__xludf.DUMMYFUNCTION("""COMPUTED_VALUE"""),45625.0)</f>
        <v>45625</v>
      </c>
      <c r="D2557" s="68">
        <f>IFERROR(__xludf.DUMMYFUNCTION("""COMPUTED_VALUE"""),45636.0)</f>
        <v>45636</v>
      </c>
      <c r="E2557" s="60">
        <f>IFERROR(__xludf.DUMMYFUNCTION("""COMPUTED_VALUE"""),311678.0)</f>
        <v>311678</v>
      </c>
      <c r="F2557" s="61" t="str">
        <f>IFERROR(__xludf.DUMMYFUNCTION("""COMPUTED_VALUE"""),"煉獄病棟～白衣の献身ご奉仕から逃げられない～")</f>
        <v>煉獄病棟～白衣の献身ご奉仕から逃げられない～</v>
      </c>
      <c r="G2557" s="67" t="str">
        <f>IFERROR(__xludf.DUMMYFUNCTION("""COMPUTED_VALUE"""),"1～6")</f>
        <v>1～6</v>
      </c>
      <c r="H2557" s="67" t="str">
        <f>IFERROR(__xludf.DUMMYFUNCTION("""COMPUTED_VALUE"""),"浦瀬しおじ")</f>
        <v>浦瀬しおじ</v>
      </c>
      <c r="I2557" s="67" t="str">
        <f>IFERROR(__xludf.DUMMYFUNCTION("""COMPUTED_VALUE"""),"青年")</f>
        <v>青年</v>
      </c>
      <c r="J2557" s="87"/>
      <c r="K2557" s="87"/>
      <c r="L2557" s="67" t="str">
        <f>IFERROR(__xludf.DUMMYFUNCTION("""COMPUTED_VALUE"""),"ライブコミックス")</f>
        <v>ライブコミックス</v>
      </c>
      <c r="M2557" s="23">
        <f>IFERROR(__xludf.DUMMYFUNCTION("""COMPUTED_VALUE"""),45702.0)</f>
        <v>45702</v>
      </c>
      <c r="N2557" s="23">
        <f>IFERROR(__xludf.DUMMYFUNCTION("""COMPUTED_VALUE"""),45771.0)</f>
        <v>45771</v>
      </c>
      <c r="O2557" s="67"/>
      <c r="P2557" s="70" t="str">
        <f>IFERROR(__xludf.DUMMYFUNCTION("""COMPUTED_VALUE"""),"可")</f>
        <v>可</v>
      </c>
      <c r="Q2557" s="67" t="str">
        <f>IFERROR(__xludf.DUMMYFUNCTION("""COMPUTED_VALUE"""),"BookLiveからの2次先行です。&lt;BR&gt;素材は1～4巻分で検討＆ご制作をお願いします。")</f>
        <v>BookLiveからの2次先行です。&lt;BR&gt;素材は1～4巻分で検討＆ご制作をお願いします。</v>
      </c>
      <c r="R2557" s="67" t="str">
        <f>IFERROR(__xludf.DUMMYFUNCTION("""COMPUTED_VALUE"""),"コミットOK")</f>
        <v>コミットOK</v>
      </c>
      <c r="S2557" s="67" t="str">
        <f>IFERROR(__xludf.DUMMYFUNCTION("""COMPUTED_VALUE"""),"20241129_BookLive_煉獄病棟～白衣の献身ご奉仕から逃げられない～")</f>
        <v>20241129_BookLive_煉獄病棟～白衣の献身ご奉仕から逃げられない～</v>
      </c>
      <c r="T2557" s="67" t="str">
        <f>IFERROR(__xludf.DUMMYFUNCTION("""COMPUTED_VALUE"""),"格納済み")</f>
        <v>格納済み</v>
      </c>
      <c r="U2557" s="15" t="str">
        <f>IFERROR(__xludf.DUMMYFUNCTION("""COMPUTED_VALUE"""),"Ⓒ浦瀬しおじ/ライブコミックス")</f>
        <v>Ⓒ浦瀬しおじ/ライブコミックス</v>
      </c>
      <c r="V2557" s="8" t="str">
        <f>IFERROR(__xludf.DUMMYFUNCTION("""COMPUTED_VALUE"""),"この病院は何かがおかしい…？自転車の事故で入院した杉田拓海。その病院では看護婦の介護が手厚く、食事や入浴の補助、果ては性欲処理までしてくれる夢のようなところだった。その過剰なまでの介護に拓海はずっとここに入院していいと思えたそんな時、数年前に同じ病院で死んだはずの姉、彩と再会する…。")</f>
        <v>この病院は何かがおかしい…？自転車の事故で入院した杉田拓海。その病院では看護婦の介護が手厚く、食事や入浴の補助、果ては性欲処理までしてくれる夢のようなところだった。その過剰なまでの介護に拓海はずっとここに入院していいと思えたそんな時、数年前に同じ病院で死んだはずの姉、彩と再会する…。</v>
      </c>
      <c r="W2557" s="14"/>
      <c r="X2557" s="14" t="str">
        <f>IFERROR(__xludf.DUMMYFUNCTION("""COMPUTED_VALUE"""),"有")</f>
        <v>有</v>
      </c>
      <c r="Y2557" s="8" t="str">
        <f>IFERROR(__xludf.DUMMYFUNCTION("""COMPUTED_VALUE"""),"P15まで")</f>
        <v>P15まで</v>
      </c>
      <c r="Z2557" s="7"/>
      <c r="AA2557" s="7"/>
      <c r="AB2557" s="7"/>
    </row>
    <row r="2558" ht="15.75" customHeight="1">
      <c r="A2558" s="66">
        <f>IFERROR(__xludf.DUMMYFUNCTION("""COMPUTED_VALUE"""),4601.0)</f>
        <v>4601</v>
      </c>
      <c r="B2558" s="67" t="str">
        <f>IFERROR(__xludf.DUMMYFUNCTION("""COMPUTED_VALUE"""),"確定")</f>
        <v>確定</v>
      </c>
      <c r="C2558" s="68">
        <f>IFERROR(__xludf.DUMMYFUNCTION("""COMPUTED_VALUE"""),45625.0)</f>
        <v>45625</v>
      </c>
      <c r="D2558" s="68">
        <f>IFERROR(__xludf.DUMMYFUNCTION("""COMPUTED_VALUE"""),45636.0)</f>
        <v>45636</v>
      </c>
      <c r="E2558" s="60">
        <f>IFERROR(__xludf.DUMMYFUNCTION("""COMPUTED_VALUE"""),310780.0)</f>
        <v>310780</v>
      </c>
      <c r="F2558" s="61" t="str">
        <f>IFERROR(__xludf.DUMMYFUNCTION("""COMPUTED_VALUE"""),"ほぼ全裸の母さんにマッサージするフリして挿入した")</f>
        <v>ほぼ全裸の母さんにマッサージするフリして挿入した</v>
      </c>
      <c r="G2558" s="67" t="str">
        <f>IFERROR(__xludf.DUMMYFUNCTION("""COMPUTED_VALUE"""),"1～2")</f>
        <v>1～2</v>
      </c>
      <c r="H2558" s="67" t="str">
        <f>IFERROR(__xludf.DUMMYFUNCTION("""COMPUTED_VALUE"""),"ふわとろおぱんちゅケーキ")</f>
        <v>ふわとろおぱんちゅケーキ</v>
      </c>
      <c r="I2558" s="67" t="str">
        <f>IFERROR(__xludf.DUMMYFUNCTION("""COMPUTED_VALUE"""),"アダルトマンガ")</f>
        <v>アダルトマンガ</v>
      </c>
      <c r="J2558" s="87"/>
      <c r="K2558" s="87"/>
      <c r="L2558" s="67" t="str">
        <f>IFERROR(__xludf.DUMMYFUNCTION("""COMPUTED_VALUE"""),"ナイトコミック")</f>
        <v>ナイトコミック</v>
      </c>
      <c r="M2558" s="23">
        <f>IFERROR(__xludf.DUMMYFUNCTION("""COMPUTED_VALUE"""),45674.0)</f>
        <v>45674</v>
      </c>
      <c r="N2558" s="23">
        <f>IFERROR(__xludf.DUMMYFUNCTION("""COMPUTED_VALUE"""),45736.0)</f>
        <v>45736</v>
      </c>
      <c r="O2558" s="67"/>
      <c r="P2558" s="70" t="str">
        <f>IFERROR(__xludf.DUMMYFUNCTION("""COMPUTED_VALUE"""),"可")</f>
        <v>可</v>
      </c>
      <c r="Q2558" s="67" t="str">
        <f>IFERROR(__xludf.DUMMYFUNCTION("""COMPUTED_VALUE"""),"・先行期間中の試読増量が可能です&lt;BR&gt;・素材は2巻目までご使用ください&lt;BR&gt;・以下配信スケジュール&lt;BR&gt;1巻 2025/01/17 ～ 2025/03/20&lt;BR&gt;2巻 2025/01/17 ～ 2025/03/20&lt;BR&gt;3巻 2025/02/21 ～ 2025/04/17&lt;BR&gt;4巻 2025/03/21 ～ 2025/05/15")</f>
        <v>・先行期間中の試読増量が可能です&lt;BR&gt;・素材は2巻目までご使用ください&lt;BR&gt;・以下配信スケジュール&lt;BR&gt;1巻 2025/01/17 ～ 2025/03/20&lt;BR&gt;2巻 2025/01/17 ～ 2025/03/20&lt;BR&gt;3巻 2025/02/21 ～ 2025/04/17&lt;BR&gt;4巻 2025/03/21 ～ 2025/05/15</v>
      </c>
      <c r="R2558" s="67" t="str">
        <f>IFERROR(__xludf.DUMMYFUNCTION("""COMPUTED_VALUE"""),"コミットOK")</f>
        <v>コミットOK</v>
      </c>
      <c r="S2558" s="67" t="str">
        <f>IFERROR(__xludf.DUMMYFUNCTION("""COMPUTED_VALUE"""),"20241127_ナイトコミック_ほぼ全裸の母さんにマッサージするフリして挿入した")</f>
        <v>20241127_ナイトコミック_ほぼ全裸の母さんにマッサージするフリして挿入した</v>
      </c>
      <c r="T2558" s="67" t="str">
        <f>IFERROR(__xludf.DUMMYFUNCTION("""COMPUTED_VALUE"""),"格納済み")</f>
        <v>格納済み</v>
      </c>
      <c r="U2558" s="15" t="str">
        <f>IFERROR(__xludf.DUMMYFUNCTION("""COMPUTED_VALUE"""),"Ⓒふわとろおぱんちゅケーキ")</f>
        <v>Ⓒふわとろおぱんちゅケーキ</v>
      </c>
      <c r="V2558" s="8" t="str">
        <f>IFERROR(__xludf.DUMMYFUNCTION("""COMPUTED_VALUE"""),"マッサージの専門学校に通う俺にはやってみたいことがあった。それは…薄着の状態のお母さんをマッサージすること！風呂の入り際に声をかけ、マッサージの練習台になってもらえないか頼むと、お母さんは渋りながらもOKしてくれた。フリーターでぶらぶらしていた俺に少しでも協力したい母心…はまんまと利用されてしまうのだけど、背中からハミでる横乳にもボリュームたっぷりのお尻も、そしてパンティをずらすと少しだけ見えるお〇んこも、俺の股間をいきり立たせる。こんなの、マッサージだけで終われるはずないって…！！")</f>
        <v>マッサージの専門学校に通う俺にはやってみたいことがあった。それは…薄着の状態のお母さんをマッサージすること！風呂の入り際に声をかけ、マッサージの練習台になってもらえないか頼むと、お母さんは渋りながらもOKしてくれた。フリーターでぶらぶらしていた俺に少しでも協力したい母心…はまんまと利用されてしまうのだけど、背中からハミでる横乳にもボリュームたっぷりのお尻も、そしてパンティをずらすと少しだけ見えるお〇んこも、俺の股間をいきり立たせる。こんなの、マッサージだけで終われるはずないって…！！</v>
      </c>
      <c r="W2558" s="14"/>
      <c r="X2558" s="14" t="str">
        <f>IFERROR(__xludf.DUMMYFUNCTION("""COMPUTED_VALUE"""),"有")</f>
        <v>有</v>
      </c>
      <c r="Y2558" s="8" t="str">
        <f>IFERROR(__xludf.DUMMYFUNCTION("""COMPUTED_VALUE"""),"2025/5/15まで立ち読み増量
１巻P22まで
２巻P10まで")</f>
        <v>2025/5/15まで立ち読み増量
１巻P22まで
２巻P10まで</v>
      </c>
      <c r="Z2558" s="7"/>
      <c r="AA2558" s="7"/>
      <c r="AB2558" s="7"/>
    </row>
    <row r="2559" ht="15.75" customHeight="1">
      <c r="A2559" s="66">
        <f>IFERROR(__xludf.DUMMYFUNCTION("""COMPUTED_VALUE"""),4602.0)</f>
        <v>4602</v>
      </c>
      <c r="B2559" s="67" t="str">
        <f>IFERROR(__xludf.DUMMYFUNCTION("""COMPUTED_VALUE"""),"確定")</f>
        <v>確定</v>
      </c>
      <c r="C2559" s="68">
        <f>IFERROR(__xludf.DUMMYFUNCTION("""COMPUTED_VALUE"""),45625.0)</f>
        <v>45625</v>
      </c>
      <c r="D2559" s="68">
        <f>IFERROR(__xludf.DUMMYFUNCTION("""COMPUTED_VALUE"""),45636.0)</f>
        <v>45636</v>
      </c>
      <c r="E2559" s="60">
        <f>IFERROR(__xludf.DUMMYFUNCTION("""COMPUTED_VALUE"""),311433.0)</f>
        <v>311433</v>
      </c>
      <c r="F2559" s="61" t="str">
        <f>IFERROR(__xludf.DUMMYFUNCTION("""COMPUTED_VALUE"""),"ギャギャギャ・ギャル・ハーレム")</f>
        <v>ギャギャギャ・ギャル・ハーレム</v>
      </c>
      <c r="G2559" s="67" t="str">
        <f>IFERROR(__xludf.DUMMYFUNCTION("""COMPUTED_VALUE"""),"1～2")</f>
        <v>1～2</v>
      </c>
      <c r="H2559" s="67" t="str">
        <f>IFERROR(__xludf.DUMMYFUNCTION("""COMPUTED_VALUE"""),"X36丸ボックス")</f>
        <v>X36丸ボックス</v>
      </c>
      <c r="I2559" s="67" t="str">
        <f>IFERROR(__xludf.DUMMYFUNCTION("""COMPUTED_VALUE"""),"アダルトマンガ")</f>
        <v>アダルトマンガ</v>
      </c>
      <c r="J2559" s="87"/>
      <c r="K2559" s="87"/>
      <c r="L2559" s="67" t="str">
        <f>IFERROR(__xludf.DUMMYFUNCTION("""COMPUTED_VALUE"""),"ナイトコミック")</f>
        <v>ナイトコミック</v>
      </c>
      <c r="M2559" s="23">
        <f>IFERROR(__xludf.DUMMYFUNCTION("""COMPUTED_VALUE"""),45681.0)</f>
        <v>45681</v>
      </c>
      <c r="N2559" s="23">
        <f>IFERROR(__xludf.DUMMYFUNCTION("""COMPUTED_VALUE"""),45743.0)</f>
        <v>45743</v>
      </c>
      <c r="O2559" s="67"/>
      <c r="P2559" s="70" t="str">
        <f>IFERROR(__xludf.DUMMYFUNCTION("""COMPUTED_VALUE"""),"可")</f>
        <v>可</v>
      </c>
      <c r="Q2559" s="67" t="str">
        <f>IFERROR(__xludf.DUMMYFUNCTION("""COMPUTED_VALUE"""),"先行期間中の試読増量が可能です&lt;BR&gt;素材は2巻目までご使用ください&lt;BR&gt;以下、配信スケジュールです。&lt;BR&gt;1巻 2025/01/24 ～ 2025/03/27&lt;BR&gt;2巻 2025/01/24 ～ 2025/03/27&lt;BR&gt;3巻 2025/02/28 ～ 2025/04/24")</f>
        <v>先行期間中の試読増量が可能です&lt;BR&gt;素材は2巻目までご使用ください&lt;BR&gt;以下、配信スケジュールです。&lt;BR&gt;1巻 2025/01/24 ～ 2025/03/27&lt;BR&gt;2巻 2025/01/24 ～ 2025/03/27&lt;BR&gt;3巻 2025/02/28 ～ 2025/04/24</v>
      </c>
      <c r="R2559" s="67" t="str">
        <f>IFERROR(__xludf.DUMMYFUNCTION("""COMPUTED_VALUE"""),"コミットOK")</f>
        <v>コミットOK</v>
      </c>
      <c r="S2559" s="67" t="str">
        <f>IFERROR(__xludf.DUMMYFUNCTION("""COMPUTED_VALUE"""),"20241127_ナイトコミック_ギャギャギャ・ギャル・ハーレム")</f>
        <v>20241127_ナイトコミック_ギャギャギャ・ギャル・ハーレム</v>
      </c>
      <c r="T2559" s="67" t="str">
        <f>IFERROR(__xludf.DUMMYFUNCTION("""COMPUTED_VALUE"""),"格納済み")</f>
        <v>格納済み</v>
      </c>
      <c r="U2559" s="15" t="str">
        <f>IFERROR(__xludf.DUMMYFUNCTION("""COMPUTED_VALUE"""),"ⒸX36丸ボックス")</f>
        <v>ⒸX36丸ボックス</v>
      </c>
      <c r="V2559" s="8" t="str">
        <f>IFERROR(__xludf.DUMMYFUNCTION("""COMPUTED_VALUE"""),"実家からの手紙で母親の再婚を知り、いつの間にか義理の妹たちができていたことを知らされる主人公。義妹、しかも双子でギャル！は、競泳の強豪校に入学するらしく、家が近いというただ一点の理由で、突然主人公の家に押しかけてきた！姉のエリカも妹のアキラも、競泳で鍛えたプリプリのボディを惜しげもなく晒し主人公はドギマギする日々。だが無事にやり過ごしていけると思っていた。姉のエリカが部屋を訪れるまでは…。ありえないほど密着されて、健康的で卑猥なカラダを押し付けられたらアソコがおっきくなってしまうのは避けられなかった。エリ"&amp;"カは笑って俺のち〇ぽにむしゃぶりついてきて…！？")</f>
        <v>実家からの手紙で母親の再婚を知り、いつの間にか義理の妹たちができていたことを知らされる主人公。義妹、しかも双子でギャル！は、競泳の強豪校に入学するらしく、家が近いというただ一点の理由で、突然主人公の家に押しかけてきた！姉のエリカも妹のアキラも、競泳で鍛えたプリプリのボディを惜しげもなく晒し主人公はドギマギする日々。だが無事にやり過ごしていけると思っていた。姉のエリカが部屋を訪れるまでは…。ありえないほど密着されて、健康的で卑猥なカラダを押し付けられたらアソコがおっきくなってしまうのは避けられなかった。エリカは笑って俺のち〇ぽにむしゃぶりついてきて…！？</v>
      </c>
      <c r="W2559" s="14"/>
      <c r="X2559" s="14" t="str">
        <f>IFERROR(__xludf.DUMMYFUNCTION("""COMPUTED_VALUE"""),"有")</f>
        <v>有</v>
      </c>
      <c r="Y2559" s="8" t="str">
        <f>IFERROR(__xludf.DUMMYFUNCTION("""COMPUTED_VALUE"""),"2025/4/24まで立ち読み増量
１巻P17まで
２巻P11まで")</f>
        <v>2025/4/24まで立ち読み増量
１巻P17まで
２巻P11まで</v>
      </c>
      <c r="Z2559" s="7"/>
      <c r="AA2559" s="7"/>
      <c r="AB2559" s="7"/>
    </row>
    <row r="2560" ht="15.75" customHeight="1">
      <c r="A2560" s="66">
        <f>IFERROR(__xludf.DUMMYFUNCTION("""COMPUTED_VALUE"""),4603.0)</f>
        <v>4603</v>
      </c>
      <c r="B2560" s="67" t="str">
        <f>IFERROR(__xludf.DUMMYFUNCTION("""COMPUTED_VALUE"""),"確定")</f>
        <v>確定</v>
      </c>
      <c r="C2560" s="68">
        <f>IFERROR(__xludf.DUMMYFUNCTION("""COMPUTED_VALUE"""),45625.0)</f>
        <v>45625</v>
      </c>
      <c r="D2560" s="68">
        <f>IFERROR(__xludf.DUMMYFUNCTION("""COMPUTED_VALUE"""),45636.0)</f>
        <v>45636</v>
      </c>
      <c r="E2560" s="60">
        <f>IFERROR(__xludf.DUMMYFUNCTION("""COMPUTED_VALUE"""),311867.0)</f>
        <v>311867</v>
      </c>
      <c r="F2560" s="61" t="str">
        <f>IFERROR(__xludf.DUMMYFUNCTION("""COMPUTED_VALUE"""),"だらしないギャルにお金を貸してヤらせてもらう生活")</f>
        <v>だらしないギャルにお金を貸してヤらせてもらう生活</v>
      </c>
      <c r="G2560" s="67" t="str">
        <f>IFERROR(__xludf.DUMMYFUNCTION("""COMPUTED_VALUE"""),"1～2")</f>
        <v>1～2</v>
      </c>
      <c r="H2560" s="67" t="str">
        <f>IFERROR(__xludf.DUMMYFUNCTION("""COMPUTED_VALUE"""),"雨暈郁太")</f>
        <v>雨暈郁太</v>
      </c>
      <c r="I2560" s="67" t="str">
        <f>IFERROR(__xludf.DUMMYFUNCTION("""COMPUTED_VALUE"""),"アダルトマンガ")</f>
        <v>アダルトマンガ</v>
      </c>
      <c r="J2560" s="87"/>
      <c r="K2560" s="87"/>
      <c r="L2560" s="67" t="str">
        <f>IFERROR(__xludf.DUMMYFUNCTION("""COMPUTED_VALUE"""),"ナイトコミック")</f>
        <v>ナイトコミック</v>
      </c>
      <c r="M2560" s="23">
        <f>IFERROR(__xludf.DUMMYFUNCTION("""COMPUTED_VALUE"""),45660.0)</f>
        <v>45660</v>
      </c>
      <c r="N2560" s="23">
        <f>IFERROR(__xludf.DUMMYFUNCTION("""COMPUTED_VALUE"""),45722.0)</f>
        <v>45722</v>
      </c>
      <c r="O2560" s="67"/>
      <c r="P2560" s="70" t="str">
        <f>IFERROR(__xludf.DUMMYFUNCTION("""COMPUTED_VALUE"""),"可")</f>
        <v>可</v>
      </c>
      <c r="Q2560" s="67" t="str">
        <f>IFERROR(__xludf.DUMMYFUNCTION("""COMPUTED_VALUE"""),"先行期間中の試読増量が可能です")</f>
        <v>先行期間中の試読増量が可能です</v>
      </c>
      <c r="R2560" s="67" t="str">
        <f>IFERROR(__xludf.DUMMYFUNCTION("""COMPUTED_VALUE"""),"コミットOK")</f>
        <v>コミットOK</v>
      </c>
      <c r="S2560" s="67" t="str">
        <f>IFERROR(__xludf.DUMMYFUNCTION("""COMPUTED_VALUE"""),"20241127_ナイトコミック_だらしないギャルにお金を貸してヤらせてもらう生活")</f>
        <v>20241127_ナイトコミック_だらしないギャルにお金を貸してヤらせてもらう生活</v>
      </c>
      <c r="T2560" s="67" t="str">
        <f>IFERROR(__xludf.DUMMYFUNCTION("""COMPUTED_VALUE"""),"格納済み")</f>
        <v>格納済み</v>
      </c>
      <c r="U2560" s="15" t="str">
        <f>IFERROR(__xludf.DUMMYFUNCTION("""COMPUTED_VALUE"""),"Ⓒ雨暈郁太")</f>
        <v>Ⓒ雨暈郁太</v>
      </c>
      <c r="V2560" s="8" t="str">
        <f>IFERROR(__xludf.DUMMYFUNCTION("""COMPUTED_VALUE"""),"隣に住む釘本ミナは、酒とたばことギャンブルが好きなちょっとだらしないギャル。本来なら俺のような陰キャとは無縁のはずだが、なぜそんな彼女と関わりがあるのかというと、そこにはある理由があった。それは、俺がミナさんにお金を貸す代わりに彼女にエッチなことをしてもらっている関係だということ。今日もお金を借りに来たミナさんは、早速激しいフェラをし始めて、俺はすぐにイってしまった。しかし、キスですぐに復活すると、次はミナさんのナカに…。でも、深ーいキスをされ、乳首を弄られながらのセックスに、俺はまたすぐ限界を迎えそうで"&amp;"…！？")</f>
        <v>隣に住む釘本ミナは、酒とたばことギャンブルが好きなちょっとだらしないギャル。本来なら俺のような陰キャとは無縁のはずだが、なぜそんな彼女と関わりがあるのかというと、そこにはある理由があった。それは、俺がミナさんにお金を貸す代わりに彼女にエッチなことをしてもらっている関係だということ。今日もお金を借りに来たミナさんは、早速激しいフェラをし始めて、俺はすぐにイってしまった。しかし、キスですぐに復活すると、次はミナさんのナカに…。でも、深ーいキスをされ、乳首を弄られながらのセックスに、俺はまたすぐ限界を迎えそうで…！？</v>
      </c>
      <c r="W2560" s="14"/>
      <c r="X2560" s="14" t="str">
        <f>IFERROR(__xludf.DUMMYFUNCTION("""COMPUTED_VALUE"""),"有")</f>
        <v>有</v>
      </c>
      <c r="Y2560" s="8" t="str">
        <f>IFERROR(__xludf.DUMMYFUNCTION("""COMPUTED_VALUE"""),"2025/3/6まで立ち読み増量
１巻P14まで
２巻P8まで")</f>
        <v>2025/3/6まで立ち読み増量
１巻P14まで
２巻P8まで</v>
      </c>
      <c r="Z2560" s="7"/>
      <c r="AA2560" s="7"/>
      <c r="AB2560" s="7"/>
    </row>
    <row r="2561" ht="15.75" customHeight="1">
      <c r="A2561" s="66">
        <f>IFERROR(__xludf.DUMMYFUNCTION("""COMPUTED_VALUE"""),4614.0)</f>
        <v>4614</v>
      </c>
      <c r="B2561" s="67" t="str">
        <f>IFERROR(__xludf.DUMMYFUNCTION("""COMPUTED_VALUE"""),"確定")</f>
        <v>確定</v>
      </c>
      <c r="C2561" s="68">
        <f>IFERROR(__xludf.DUMMYFUNCTION("""COMPUTED_VALUE"""),45629.0)</f>
        <v>45629</v>
      </c>
      <c r="D2561" s="68">
        <f>IFERROR(__xludf.DUMMYFUNCTION("""COMPUTED_VALUE"""),45636.0)</f>
        <v>45636</v>
      </c>
      <c r="E2561" s="60">
        <f>IFERROR(__xludf.DUMMYFUNCTION("""COMPUTED_VALUE"""),311708.0)</f>
        <v>311708</v>
      </c>
      <c r="F2561" s="61" t="str">
        <f>IFERROR(__xludf.DUMMYFUNCTION("""COMPUTED_VALUE"""),"愛しき未来に黒い剣を")</f>
        <v>愛しき未来に黒い剣を</v>
      </c>
      <c r="G2561" s="67">
        <f>IFERROR(__xludf.DUMMYFUNCTION("""COMPUTED_VALUE"""),1.0)</f>
        <v>1</v>
      </c>
      <c r="H2561" s="67" t="str">
        <f>IFERROR(__xludf.DUMMYFUNCTION("""COMPUTED_VALUE"""),"柊木メイ")</f>
        <v>柊木メイ</v>
      </c>
      <c r="I2561" s="67" t="str">
        <f>IFERROR(__xludf.DUMMYFUNCTION("""COMPUTED_VALUE"""),"BL")</f>
        <v>BL</v>
      </c>
      <c r="J2561" s="67"/>
      <c r="K2561" s="67" t="str">
        <f>IFERROR(__xludf.DUMMYFUNCTION("""COMPUTED_VALUE"""),"Cab")</f>
        <v>Cab</v>
      </c>
      <c r="L2561" s="67" t="str">
        <f>IFERROR(__xludf.DUMMYFUNCTION("""COMPUTED_VALUE"""),"東京漫画社")</f>
        <v>東京漫画社</v>
      </c>
      <c r="M2561" s="23">
        <f>IFERROR(__xludf.DUMMYFUNCTION("""COMPUTED_VALUE"""),45667.0)</f>
        <v>45667</v>
      </c>
      <c r="N2561" s="23">
        <f>IFERROR(__xludf.DUMMYFUNCTION("""COMPUTED_VALUE"""),45729.0)</f>
        <v>45729</v>
      </c>
      <c r="O2561" s="67"/>
      <c r="P2561" s="71" t="str">
        <f>IFERROR(__xludf.DUMMYFUNCTION("""COMPUTED_VALUE"""),"可")</f>
        <v>可</v>
      </c>
      <c r="Q2561" s="67"/>
      <c r="R2561" s="67" t="str">
        <f>IFERROR(__xludf.DUMMYFUNCTION("""COMPUTED_VALUE"""),"コミットOK")</f>
        <v>コミットOK</v>
      </c>
      <c r="S2561" s="67" t="str">
        <f>IFERROR(__xludf.DUMMYFUNCTION("""COMPUTED_VALUE"""),"20241209_東京漫画社_愛しき未来に黒い剣を")</f>
        <v>20241209_東京漫画社_愛しき未来に黒い剣を</v>
      </c>
      <c r="T2561" s="67" t="str">
        <f>IFERROR(__xludf.DUMMYFUNCTION("""COMPUTED_VALUE"""),"格納済み")</f>
        <v>格納済み</v>
      </c>
      <c r="U2561" s="15" t="str">
        <f>IFERROR(__xludf.DUMMYFUNCTION("""COMPUTED_VALUE"""),"Ⓒ柊木メイ/東京漫画社")</f>
        <v>Ⓒ柊木メイ/東京漫画社</v>
      </c>
      <c r="V2561" s="8" t="str">
        <f>IFERROR(__xludf.DUMMYFUNCTION("""COMPUTED_VALUE"""),"王子として国のために尽くすルカスと、ルカスの専属騎士として忠実なリヒト。
幼い頃からリヒトに想いを寄せていたルカスだったが立場上告げられるわけもなく、18歳で結婚する未来しかなかった。
しかし予想外の裏切りに遭いリヒトが目の前で殺され……。
（※本電子作品は『Cab vol.95』に収録されているものと同じ内容になります。）")</f>
        <v>王子として国のために尽くすルカスと、ルカスの専属騎士として忠実なリヒト。
幼い頃からリヒトに想いを寄せていたルカスだったが立場上告げられるわけもなく、18歳で結婚する未来しかなかった。
しかし予想外の裏切りに遭いリヒトが目の前で殺され……。
（※本電子作品は『Cab vol.95』に収録されているものと同じ内容になります。）</v>
      </c>
      <c r="W2561" s="14"/>
      <c r="X2561" s="14" t="str">
        <f>IFERROR(__xludf.DUMMYFUNCTION("""COMPUTED_VALUE"""),"有")</f>
        <v>有</v>
      </c>
      <c r="Y2561" s="8" t="str">
        <f>IFERROR(__xludf.DUMMYFUNCTION("""COMPUTED_VALUE"""),"P5まで")</f>
        <v>P5まで</v>
      </c>
      <c r="Z2561" s="7"/>
      <c r="AA2561" s="7"/>
      <c r="AB2561" s="7"/>
    </row>
    <row r="2562" ht="15.75" customHeight="1">
      <c r="A2562" s="66">
        <f>IFERROR(__xludf.DUMMYFUNCTION("""COMPUTED_VALUE"""),4618.0)</f>
        <v>4618</v>
      </c>
      <c r="B2562" s="67" t="str">
        <f>IFERROR(__xludf.DUMMYFUNCTION("""COMPUTED_VALUE"""),"確定")</f>
        <v>確定</v>
      </c>
      <c r="C2562" s="68">
        <f>IFERROR(__xludf.DUMMYFUNCTION("""COMPUTED_VALUE"""),45630.0)</f>
        <v>45630</v>
      </c>
      <c r="D2562" s="68">
        <f>IFERROR(__xludf.DUMMYFUNCTION("""COMPUTED_VALUE"""),45632.0)</f>
        <v>45632</v>
      </c>
      <c r="E2562" s="60">
        <f>IFERROR(__xludf.DUMMYFUNCTION("""COMPUTED_VALUE"""),311066.0)</f>
        <v>311066</v>
      </c>
      <c r="F2562" s="61" t="str">
        <f>IFERROR(__xludf.DUMMYFUNCTION("""COMPUTED_VALUE"""),"追放された（元）聖女、愛が重いお隣さんに迫られ中")</f>
        <v>追放された（元）聖女、愛が重いお隣さんに迫られ中</v>
      </c>
      <c r="G2562" s="67" t="str">
        <f>IFERROR(__xludf.DUMMYFUNCTION("""COMPUTED_VALUE"""),"1～5")</f>
        <v>1～5</v>
      </c>
      <c r="H2562" s="67" t="str">
        <f>IFERROR(__xludf.DUMMYFUNCTION("""COMPUTED_VALUE"""),"原作／久瀬まりか 漫画／セカイメグル")</f>
        <v>原作／久瀬まりか 漫画／セカイメグル</v>
      </c>
      <c r="I2562" s="67" t="str">
        <f>IFERROR(__xludf.DUMMYFUNCTION("""COMPUTED_VALUE"""),"少女")</f>
        <v>少女</v>
      </c>
      <c r="J2562" s="67"/>
      <c r="K2562" s="67" t="str">
        <f>IFERROR(__xludf.DUMMYFUNCTION("""COMPUTED_VALUE"""),"コミックシーモア × comic フローリア")</f>
        <v>コミックシーモア × comic フローリア</v>
      </c>
      <c r="L2562" s="67" t="str">
        <f>IFERROR(__xludf.DUMMYFUNCTION("""COMPUTED_VALUE"""),"taskey")</f>
        <v>taskey</v>
      </c>
      <c r="M2562" s="59">
        <f>IFERROR(__xludf.DUMMYFUNCTION("""COMPUTED_VALUE"""),45669.0)</f>
        <v>45669</v>
      </c>
      <c r="N2562" s="23">
        <f>IFERROR(__xludf.DUMMYFUNCTION("""COMPUTED_VALUE"""),45758.0)</f>
        <v>45758</v>
      </c>
      <c r="O2562" s="67"/>
      <c r="P2562" s="70" t="str">
        <f>IFERROR(__xludf.DUMMYFUNCTION("""COMPUTED_VALUE"""),"否")</f>
        <v>否</v>
      </c>
      <c r="Q2562" s="72" t="str">
        <f>IFERROR(__xludf.DUMMYFUNCTION("""COMPUTED_VALUE"""),"協業作品となります。&lt;BR&gt;※先行期間半年可能か交渉中→状況を見て６か月交渉&lt;BR&gt;・協業レーベル：コミックシーモア × comic フローリア")</f>
        <v>協業作品となります。&lt;BR&gt;※先行期間半年可能か交渉中→状況を見て６か月交渉&lt;BR&gt;・協業レーベル：コミックシーモア × comic フローリア</v>
      </c>
      <c r="R2562" s="67"/>
      <c r="S2562" s="67" t="str">
        <f>IFERROR(__xludf.DUMMYFUNCTION("""COMPUTED_VALUE"""),"20241204_taskey_追放された（元）聖女、愛が重いお隣さんに迫られ中【協業作品】")</f>
        <v>20241204_taskey_追放された（元）聖女、愛が重いお隣さんに迫られ中【協業作品】</v>
      </c>
      <c r="T2562" s="67" t="str">
        <f>IFERROR(__xludf.DUMMYFUNCTION("""COMPUTED_VALUE"""),"格納済み")</f>
        <v>格納済み</v>
      </c>
      <c r="U2562" s="15" t="str">
        <f>IFERROR(__xludf.DUMMYFUNCTION("""COMPUTED_VALUE"""),"Ⓒ︎taskey 原作／久瀬まりか 漫画／セカイメグル")</f>
        <v>Ⓒ︎taskey 原作／久瀬まりか 漫画／セカイメグル</v>
      </c>
      <c r="V2562" s="8" t="str">
        <f>IFERROR(__xludf.DUMMYFUNCTION("""COMPUTED_VALUE"""),"歌で天候を変える奇跡の一族・エインズワース家に生まれたリシェ。しかし、リシェは家族の中で唯一能力が使えない異端児だった。優秀な従姉と比較され、虐げられてきたリシェは婚約者すら従姉に奪われ、王都から追放されてしまう。ほんの僅かなお金と荷物を手に、リシェは辺境の地で新生活を始める。そんな中で出会った美形の隣人・ヴィルは、何故かリシェを気にかけており——？　追放令嬢×訳アリお隣さんのラブロマンス開幕！")</f>
        <v>歌で天候を変える奇跡の一族・エインズワース家に生まれたリシェ。しかし、リシェは家族の中で唯一能力が使えない異端児だった。優秀な従姉と比較され、虐げられてきたリシェは婚約者すら従姉に奪われ、王都から追放されてしまう。ほんの僅かなお金と荷物を手に、リシェは辺境の地で新生活を始める。そんな中で出会った美形の隣人・ヴィルは、何故かリシェを気にかけており——？　追放令嬢×訳アリお隣さんのラブロマンス開幕！</v>
      </c>
      <c r="W2562" s="14"/>
      <c r="X2562" s="14" t="str">
        <f>IFERROR(__xludf.DUMMYFUNCTION("""COMPUTED_VALUE"""),"有")</f>
        <v>有</v>
      </c>
      <c r="Y2562" s="8" t="str">
        <f>IFERROR(__xludf.DUMMYFUNCTION("""COMPUTED_VALUE"""),"1～2巻無料")</f>
        <v>1～2巻無料</v>
      </c>
      <c r="Z2562" s="7"/>
      <c r="AA2562" s="7"/>
      <c r="AB2562" s="7"/>
    </row>
    <row r="2563" ht="15.75" customHeight="1">
      <c r="A2563" s="66">
        <f>IFERROR(__xludf.DUMMYFUNCTION("""COMPUTED_VALUE"""),4619.0)</f>
        <v>4619</v>
      </c>
      <c r="B2563" s="67" t="str">
        <f>IFERROR(__xludf.DUMMYFUNCTION("""COMPUTED_VALUE"""),"確定")</f>
        <v>確定</v>
      </c>
      <c r="C2563" s="68">
        <f>IFERROR(__xludf.DUMMYFUNCTION("""COMPUTED_VALUE"""),45631.0)</f>
        <v>45631</v>
      </c>
      <c r="D2563" s="68">
        <f>IFERROR(__xludf.DUMMYFUNCTION("""COMPUTED_VALUE"""),45632.0)</f>
        <v>45632</v>
      </c>
      <c r="E2563" s="60">
        <f>IFERROR(__xludf.DUMMYFUNCTION("""COMPUTED_VALUE"""),309934.0)</f>
        <v>309934</v>
      </c>
      <c r="F2563" s="61" t="str">
        <f>IFERROR(__xludf.DUMMYFUNCTION("""COMPUTED_VALUE"""),"超超超好きな彼女のおっぱいをまだ知らない")</f>
        <v>超超超好きな彼女のおっぱいをまだ知らない</v>
      </c>
      <c r="G2563" s="67" t="str">
        <f>IFERROR(__xludf.DUMMYFUNCTION("""COMPUTED_VALUE"""),"1～2")</f>
        <v>1～2</v>
      </c>
      <c r="H2563" s="67" t="str">
        <f>IFERROR(__xludf.DUMMYFUNCTION("""COMPUTED_VALUE"""),"イゲドアハ┴THE猥談")</f>
        <v>イゲドアハ┴THE猥談</v>
      </c>
      <c r="I2563" s="67" t="str">
        <f>IFERROR(__xludf.DUMMYFUNCTION("""COMPUTED_VALUE"""),"TL")</f>
        <v>TL</v>
      </c>
      <c r="J2563" s="67"/>
      <c r="K2563" s="67" t="str">
        <f>IFERROR(__xludf.DUMMYFUNCTION("""COMPUTED_VALUE"""),"THE猥談")</f>
        <v>THE猥談</v>
      </c>
      <c r="L2563" s="67" t="str">
        <f>IFERROR(__xludf.DUMMYFUNCTION("""COMPUTED_VALUE"""),"クロスフォリオ出版")</f>
        <v>クロスフォリオ出版</v>
      </c>
      <c r="M2563" s="85">
        <f>IFERROR(__xludf.DUMMYFUNCTION("""COMPUTED_VALUE"""),45653.0)</f>
        <v>45653</v>
      </c>
      <c r="N2563" s="23">
        <f>IFERROR(__xludf.DUMMYFUNCTION("""COMPUTED_VALUE"""),45771.66666666667)</f>
        <v>45771.66667</v>
      </c>
      <c r="O2563" s="67"/>
      <c r="P2563" s="71" t="str">
        <f>IFERROR(__xludf.DUMMYFUNCTION("""COMPUTED_VALUE"""),"可")</f>
        <v>可</v>
      </c>
      <c r="Q2563" s="72"/>
      <c r="R2563" s="67"/>
      <c r="S2563" s="67" t="str">
        <f>IFERROR(__xludf.DUMMYFUNCTION("""COMPUTED_VALUE"""),"20241205_BookLive_超超超好きな彼女のおっぱいをまだ知らない")</f>
        <v>20241205_BookLive_超超超好きな彼女のおっぱいをまだ知らない</v>
      </c>
      <c r="T2563" s="67" t="str">
        <f>IFERROR(__xludf.DUMMYFUNCTION("""COMPUTED_VALUE"""),"格納済み")</f>
        <v>格納済み</v>
      </c>
      <c r="U2563" s="15" t="str">
        <f>IFERROR(__xludf.DUMMYFUNCTION("""COMPUTED_VALUE"""),"(C)イゲドアハ/THE猥談/クロスフォリオ出版")</f>
        <v>(C)イゲドアハ/THE猥談/クロスフォリオ出版</v>
      </c>
      <c r="V2563" s="8" t="str">
        <f>IFERROR(__xludf.DUMMYFUNCTION("""COMPUTED_VALUE"""),"遊んでばかりの俺ももうすぐアラサー。
そろそろ真面目に恋愛するか、と思って出会ったのが年下の叶緒(かお)ちゃん。
かわいくて、賢くて、優しいし話も合う。
3回目のデート、終電終わり、2人でホテルへ。
心から誓うが、ヤリモクではない。
でも、これはもう… そういうことだ!!
「晴人さん良い人だと思ってましたけど　恋人でもない人にキスしようとする人だったんですね」
「私そういう軽い人無理です」
あれ…こんなハズじゃ…。
渾身の誠意を込めた謝罪、土下座、そして告白。
結果"&amp;"、3ヶ月エッチ禁止の条件付きで付き合うことになった。
正直最初は不安でしかなかったのだが…
叶緒ちゃんとの時間は新鮮で、一緒に過ごせば過ごすほど大好きになっていってー…
3ヶ月経過。
エッチしたい、それ以上にもっともっと大事にしたい。
手を出して、嫌われたくない…。
さらに2ヶ月経過。
いまだに手を出せない俺は
超超超好きな叶緒ちゃんのおっぱいを知らないままに、性欲を持て余したモンスターと化したー…。
※本作はイゲドアハ、THE猥談の個人誌作品の電子書籍版となります。【2"&amp;"8ページ】")</f>
        <v>遊んでばかりの俺ももうすぐアラサー。
そろそろ真面目に恋愛するか、と思って出会ったのが年下の叶緒(かお)ちゃん。
かわいくて、賢くて、優しいし話も合う。
3回目のデート、終電終わり、2人でホテルへ。
心から誓うが、ヤリモクではない。
でも、これはもう… そういうことだ!!
「晴人さん良い人だと思ってましたけど　恋人でもない人にキスしようとする人だったんですね」
「私そういう軽い人無理です」
あれ…こんなハズじゃ…。
渾身の誠意を込めた謝罪、土下座、そして告白。
結果、3ヶ月エッチ禁止の条件付きで付き合うことになった。
正直最初は不安でしかなかったのだが…
叶緒ちゃんとの時間は新鮮で、一緒に過ごせば過ごすほど大好きになっていってー…
3ヶ月経過。
エッチしたい、それ以上にもっともっと大事にしたい。
手を出して、嫌われたくない…。
さらに2ヶ月経過。
いまだに手を出せない俺は
超超超好きな叶緒ちゃんのおっぱいを知らないままに、性欲を持て余したモンスターと化したー…。
※本作はイゲドアハ、THE猥談の個人誌作品の電子書籍版となります。【28ページ】</v>
      </c>
      <c r="W2563" s="14"/>
      <c r="X2563" s="14" t="str">
        <f>IFERROR(__xludf.DUMMYFUNCTION("""COMPUTED_VALUE"""),"有")</f>
        <v>有</v>
      </c>
      <c r="Y2563" s="8" t="str">
        <f>IFERROR(__xludf.DUMMYFUNCTION("""COMPUTED_VALUE"""),"P14まで")</f>
        <v>P14まで</v>
      </c>
      <c r="Z2563" s="7"/>
      <c r="AA2563" s="7"/>
      <c r="AB2563" s="7"/>
    </row>
    <row r="2564" ht="15.75" customHeight="1">
      <c r="A2564" s="66">
        <f>IFERROR(__xludf.DUMMYFUNCTION("""COMPUTED_VALUE"""),4620.0)</f>
        <v>4620</v>
      </c>
      <c r="B2564" s="67" t="str">
        <f>IFERROR(__xludf.DUMMYFUNCTION("""COMPUTED_VALUE"""),"確定")</f>
        <v>確定</v>
      </c>
      <c r="C2564" s="68">
        <f>IFERROR(__xludf.DUMMYFUNCTION("""COMPUTED_VALUE"""),45631.0)</f>
        <v>45631</v>
      </c>
      <c r="D2564" s="68">
        <f>IFERROR(__xludf.DUMMYFUNCTION("""COMPUTED_VALUE"""),45632.0)</f>
        <v>45632</v>
      </c>
      <c r="E2564" s="60">
        <f>IFERROR(__xludf.DUMMYFUNCTION("""COMPUTED_VALUE"""),309914.0)</f>
        <v>309914</v>
      </c>
      <c r="F2564" s="61" t="str">
        <f>IFERROR(__xludf.DUMMYFUNCTION("""COMPUTED_VALUE"""),"超超超好きな彼女のおっぱいをまだ知らない【R版】")</f>
        <v>超超超好きな彼女のおっぱいをまだ知らない【R版】</v>
      </c>
      <c r="G2564" s="67" t="str">
        <f>IFERROR(__xludf.DUMMYFUNCTION("""COMPUTED_VALUE"""),"1～2")</f>
        <v>1～2</v>
      </c>
      <c r="H2564" s="67" t="str">
        <f>IFERROR(__xludf.DUMMYFUNCTION("""COMPUTED_VALUE"""),"イゲドアハ┴THE猥談")</f>
        <v>イゲドアハ┴THE猥談</v>
      </c>
      <c r="I2564" s="67" t="str">
        <f>IFERROR(__xludf.DUMMYFUNCTION("""COMPUTED_VALUE"""),"アダルトマンガ")</f>
        <v>アダルトマンガ</v>
      </c>
      <c r="J2564" s="67"/>
      <c r="K2564" s="67" t="str">
        <f>IFERROR(__xludf.DUMMYFUNCTION("""COMPUTED_VALUE"""),"THE猥談")</f>
        <v>THE猥談</v>
      </c>
      <c r="L2564" s="67" t="str">
        <f>IFERROR(__xludf.DUMMYFUNCTION("""COMPUTED_VALUE"""),"クロスフォリオ出版")</f>
        <v>クロスフォリオ出版</v>
      </c>
      <c r="M2564" s="85">
        <f>IFERROR(__xludf.DUMMYFUNCTION("""COMPUTED_VALUE"""),45653.0)</f>
        <v>45653</v>
      </c>
      <c r="N2564" s="23">
        <f>IFERROR(__xludf.DUMMYFUNCTION("""COMPUTED_VALUE"""),45771.66666666667)</f>
        <v>45771.66667</v>
      </c>
      <c r="O2564" s="67"/>
      <c r="P2564" s="71" t="str">
        <f>IFERROR(__xludf.DUMMYFUNCTION("""COMPUTED_VALUE"""),"可")</f>
        <v>可</v>
      </c>
      <c r="Q2564" s="72"/>
      <c r="R2564" s="67"/>
      <c r="S2564" s="67" t="str">
        <f>IFERROR(__xludf.DUMMYFUNCTION("""COMPUTED_VALUE"""),"20241205_BookLive_超超超好きな彼女のおっぱいをまだ知らない【R版】")</f>
        <v>20241205_BookLive_超超超好きな彼女のおっぱいをまだ知らない【R版】</v>
      </c>
      <c r="T2564" s="67" t="str">
        <f>IFERROR(__xludf.DUMMYFUNCTION("""COMPUTED_VALUE"""),"格納済み")</f>
        <v>格納済み</v>
      </c>
      <c r="U2564" s="15" t="str">
        <f>IFERROR(__xludf.DUMMYFUNCTION("""COMPUTED_VALUE"""),"(C)イゲドアハ/THE猥談/クロスフォリオ出版")</f>
        <v>(C)イゲドアハ/THE猥談/クロスフォリオ出版</v>
      </c>
      <c r="V2564" s="8" t="str">
        <f>IFERROR(__xludf.DUMMYFUNCTION("""COMPUTED_VALUE"""),"遊んでばかりの俺ももうすぐアラサー。
そろそろ真面目に恋愛するか、と思って出会ったのが年下の叶緒(かお)ちゃん。
かわいくて、賢くて、優しいし話も合う。
3回目のデート、終電終わり、2人でホテルへ。
心から誓うが、ヤリモクではない。
でも、これはもう… そういうことだ!!
「晴人さん良い人だと思ってましたけど　恋人でもない人にキスしようとする人だったんですね」
「私そういう軽い人無理です」
あれ…こんなハズじゃ…。
渾身の誠意を込めた謝罪、土下座、そして告白。
結果"&amp;"、3ヶ月エッチ禁止の条件付きで付き合うことになった。
正直最初は不安でしかなかったのだが…
叶緒ちゃんとの時間は新鮮で、一緒に過ごせば過ごすほど大好きになっていってー…
3ヶ月経過。
エッチしたい、それ以上にもっともっと大事にしたい。
手を出して、嫌われたくない…。
さらに2ヶ月経過。
いまだに手を出せない俺は
超超超好きな叶緒ちゃんのおっぱいを知らないままに、性欲を持て余したモンスターと化したー…。
※本作はイゲドアハ、THE猥談の個人誌作品の電子書籍版となります。【28ペ"&amp;"ージ】
※本作は『超超超好きな彼女のおっぱいをまだ知らない』の修正をやや弱めたものです。内容に差異はありません。")</f>
        <v>遊んでばかりの俺ももうすぐアラサー。
そろそろ真面目に恋愛するか、と思って出会ったのが年下の叶緒(かお)ちゃん。
かわいくて、賢くて、優しいし話も合う。
3回目のデート、終電終わり、2人でホテルへ。
心から誓うが、ヤリモクではない。
でも、これはもう… そういうことだ!!
「晴人さん良い人だと思ってましたけど　恋人でもない人にキスしようとする人だったんですね」
「私そういう軽い人無理です」
あれ…こんなハズじゃ…。
渾身の誠意を込めた謝罪、土下座、そして告白。
結果、3ヶ月エッチ禁止の条件付きで付き合うことになった。
正直最初は不安でしかなかったのだが…
叶緒ちゃんとの時間は新鮮で、一緒に過ごせば過ごすほど大好きになっていってー…
3ヶ月経過。
エッチしたい、それ以上にもっともっと大事にしたい。
手を出して、嫌われたくない…。
さらに2ヶ月経過。
いまだに手を出せない俺は
超超超好きな叶緒ちゃんのおっぱいを知らないままに、性欲を持て余したモンスターと化したー…。
※本作はイゲドアハ、THE猥談の個人誌作品の電子書籍版となります。【28ページ】
※本作は『超超超好きな彼女のおっぱいをまだ知らない』の修正をやや弱めたものです。内容に差異はありません。</v>
      </c>
      <c r="W2564" s="14"/>
      <c r="X2564" s="14" t="str">
        <f>IFERROR(__xludf.DUMMYFUNCTION("""COMPUTED_VALUE"""),"有")</f>
        <v>有</v>
      </c>
      <c r="Y2564" s="8" t="str">
        <f>IFERROR(__xludf.DUMMYFUNCTION("""COMPUTED_VALUE"""),"P14まで")</f>
        <v>P14まで</v>
      </c>
      <c r="Z2564" s="7"/>
      <c r="AA2564" s="7"/>
      <c r="AB2564" s="7"/>
    </row>
    <row r="2565" ht="15.75" customHeight="1">
      <c r="A2565" s="66">
        <f>IFERROR(__xludf.DUMMYFUNCTION("""COMPUTED_VALUE"""),4621.0)</f>
        <v>4621</v>
      </c>
      <c r="B2565" s="67" t="str">
        <f>IFERROR(__xludf.DUMMYFUNCTION("""COMPUTED_VALUE"""),"確定")</f>
        <v>確定</v>
      </c>
      <c r="C2565" s="68">
        <f>IFERROR(__xludf.DUMMYFUNCTION("""COMPUTED_VALUE"""),45631.0)</f>
        <v>45631</v>
      </c>
      <c r="D2565" s="68">
        <f>IFERROR(__xludf.DUMMYFUNCTION("""COMPUTED_VALUE"""),45632.0)</f>
        <v>45632</v>
      </c>
      <c r="E2565" s="60">
        <f>IFERROR(__xludf.DUMMYFUNCTION("""COMPUTED_VALUE"""),309932.0)</f>
        <v>309932</v>
      </c>
      <c r="F2565" s="61" t="str">
        <f>IFERROR(__xludf.DUMMYFUNCTION("""COMPUTED_VALUE"""),"奥手な元彼 宇田真尋になんで私が攻められてんの??")</f>
        <v>奥手な元彼 宇田真尋になんで私が攻められてんの??</v>
      </c>
      <c r="G2565" s="67" t="str">
        <f>IFERROR(__xludf.DUMMYFUNCTION("""COMPUTED_VALUE"""),"1～2")</f>
        <v>1～2</v>
      </c>
      <c r="H2565" s="67" t="str">
        <f>IFERROR(__xludf.DUMMYFUNCTION("""COMPUTED_VALUE"""),"すす┴THE猥談")</f>
        <v>すす┴THE猥談</v>
      </c>
      <c r="I2565" s="67" t="str">
        <f>IFERROR(__xludf.DUMMYFUNCTION("""COMPUTED_VALUE"""),"TL")</f>
        <v>TL</v>
      </c>
      <c r="J2565" s="67"/>
      <c r="K2565" s="67" t="str">
        <f>IFERROR(__xludf.DUMMYFUNCTION("""COMPUTED_VALUE"""),"THE猥談")</f>
        <v>THE猥談</v>
      </c>
      <c r="L2565" s="67" t="str">
        <f>IFERROR(__xludf.DUMMYFUNCTION("""COMPUTED_VALUE"""),"クロスフォリオ出版")</f>
        <v>クロスフォリオ出版</v>
      </c>
      <c r="M2565" s="85">
        <f>IFERROR(__xludf.DUMMYFUNCTION("""COMPUTED_VALUE"""),45653.0)</f>
        <v>45653</v>
      </c>
      <c r="N2565" s="23">
        <f>IFERROR(__xludf.DUMMYFUNCTION("""COMPUTED_VALUE"""),45743.0)</f>
        <v>45743</v>
      </c>
      <c r="O2565" s="67"/>
      <c r="P2565" s="71" t="str">
        <f>IFERROR(__xludf.DUMMYFUNCTION("""COMPUTED_VALUE"""),"可")</f>
        <v>可</v>
      </c>
      <c r="Q2565" s="72"/>
      <c r="R2565" s="67"/>
      <c r="S2565" s="67" t="str">
        <f>IFERROR(__xludf.DUMMYFUNCTION("""COMPUTED_VALUE"""),"20241205_BookLive_奥手な元彼 宇田真尋になんで私が攻められてんの")</f>
        <v>20241205_BookLive_奥手な元彼 宇田真尋になんで私が攻められてんの</v>
      </c>
      <c r="T2565" s="67" t="str">
        <f>IFERROR(__xludf.DUMMYFUNCTION("""COMPUTED_VALUE"""),"格納済み")</f>
        <v>格納済み</v>
      </c>
      <c r="U2565" s="15" t="str">
        <f>IFERROR(__xludf.DUMMYFUNCTION("""COMPUTED_VALUE"""),"(C)すす/THE猥談/クロスフォリオ出版")</f>
        <v>(C)すす/THE猥談/クロスフォリオ出版</v>
      </c>
      <c r="V2565" s="8" t="str">
        <f>IFERROR(__xludf.DUMMYFUNCTION("""COMPUTED_VALUE"""),"大学の夏休みを使って、地元に帰省した。
徒歩20分かかるコンビニ、1時間に1本の電車。
ただあるのはただっ広い畑だけのつまらない田舎町。
早く東京へ戻りたかったのに、高校時代の元彼・宇田と遭遇してしまった。
その場の流れで宇田の親友も交えて、3人で飲むことに。
親友は早々に酔い潰れてすぐにダウン。
元彼と部屋で二人きりってなんか……気まずいというか。
宇田の服も髪も大学生っぽくなってるし、昔とはちょっと変わってて。
高校の時は目立つ方でもなかったし、彼氏と言ってもキス止まりの奥"&amp;"手だったのに。
別れた後、知らない女の人としたんだろうな。
宇田のくせに生意気。
だから、ちょっとからかうくらい…いいよね?
わざと顔を寄せると、逆に宇田の方からキスされて……
「りなちゃんはさあ、全然変わってないね」
あの頃、奥手だったはずの宇田はもういない。
すぐそばで親友が寝ているのに、宇田の攻める手は止まらなくてー…。
※本作はすす、THE猥談の個人誌作品の電子書籍版となります。【21ページ】")</f>
        <v>大学の夏休みを使って、地元に帰省した。
徒歩20分かかるコンビニ、1時間に1本の電車。
ただあるのはただっ広い畑だけのつまらない田舎町。
早く東京へ戻りたかったのに、高校時代の元彼・宇田と遭遇してしまった。
その場の流れで宇田の親友も交えて、3人で飲むことに。
親友は早々に酔い潰れてすぐにダウン。
元彼と部屋で二人きりってなんか……気まずいというか。
宇田の服も髪も大学生っぽくなってるし、昔とはちょっと変わってて。
高校の時は目立つ方でもなかったし、彼氏と言ってもキス止まりの奥手だったのに。
別れた後、知らない女の人としたんだろうな。
宇田のくせに生意気。
だから、ちょっとからかうくらい…いいよね?
わざと顔を寄せると、逆に宇田の方からキスされて……
「りなちゃんはさあ、全然変わってないね」
あの頃、奥手だったはずの宇田はもういない。
すぐそばで親友が寝ているのに、宇田の攻める手は止まらなくてー…。
※本作はすす、THE猥談の個人誌作品の電子書籍版となります。【21ページ】</v>
      </c>
      <c r="W2565" s="14"/>
      <c r="X2565" s="14" t="str">
        <f>IFERROR(__xludf.DUMMYFUNCTION("""COMPUTED_VALUE"""),"有")</f>
        <v>有</v>
      </c>
      <c r="Y2565" s="8" t="str">
        <f>IFERROR(__xludf.DUMMYFUNCTION("""COMPUTED_VALUE"""),"P10まで")</f>
        <v>P10まで</v>
      </c>
      <c r="Z2565" s="7"/>
      <c r="AA2565" s="7"/>
      <c r="AB2565" s="7"/>
    </row>
    <row r="2566" ht="15.75" customHeight="1">
      <c r="A2566" s="66">
        <f>IFERROR(__xludf.DUMMYFUNCTION("""COMPUTED_VALUE"""),4622.0)</f>
        <v>4622</v>
      </c>
      <c r="B2566" s="67" t="str">
        <f>IFERROR(__xludf.DUMMYFUNCTION("""COMPUTED_VALUE"""),"確定")</f>
        <v>確定</v>
      </c>
      <c r="C2566" s="68">
        <f>IFERROR(__xludf.DUMMYFUNCTION("""COMPUTED_VALUE"""),45631.0)</f>
        <v>45631</v>
      </c>
      <c r="D2566" s="68">
        <f>IFERROR(__xludf.DUMMYFUNCTION("""COMPUTED_VALUE"""),45632.0)</f>
        <v>45632</v>
      </c>
      <c r="E2566" s="60">
        <f>IFERROR(__xludf.DUMMYFUNCTION("""COMPUTED_VALUE"""),309912.0)</f>
        <v>309912</v>
      </c>
      <c r="F2566" s="61" t="str">
        <f>IFERROR(__xludf.DUMMYFUNCTION("""COMPUTED_VALUE"""),"奥手な元彼 宇田真尋になんで私が攻められてんの??【R版】")</f>
        <v>奥手な元彼 宇田真尋になんで私が攻められてんの??【R版】</v>
      </c>
      <c r="G2566" s="67" t="str">
        <f>IFERROR(__xludf.DUMMYFUNCTION("""COMPUTED_VALUE"""),"1～2")</f>
        <v>1～2</v>
      </c>
      <c r="H2566" s="67" t="str">
        <f>IFERROR(__xludf.DUMMYFUNCTION("""COMPUTED_VALUE"""),"すす┴THE猥談")</f>
        <v>すす┴THE猥談</v>
      </c>
      <c r="I2566" s="67" t="str">
        <f>IFERROR(__xludf.DUMMYFUNCTION("""COMPUTED_VALUE"""),"アダルトマンガ")</f>
        <v>アダルトマンガ</v>
      </c>
      <c r="J2566" s="67"/>
      <c r="K2566" s="67" t="str">
        <f>IFERROR(__xludf.DUMMYFUNCTION("""COMPUTED_VALUE"""),"THE猥談")</f>
        <v>THE猥談</v>
      </c>
      <c r="L2566" s="67" t="str">
        <f>IFERROR(__xludf.DUMMYFUNCTION("""COMPUTED_VALUE"""),"クロスフォリオ出版")</f>
        <v>クロスフォリオ出版</v>
      </c>
      <c r="M2566" s="85">
        <f>IFERROR(__xludf.DUMMYFUNCTION("""COMPUTED_VALUE"""),45653.0)</f>
        <v>45653</v>
      </c>
      <c r="N2566" s="23">
        <f>IFERROR(__xludf.DUMMYFUNCTION("""COMPUTED_VALUE"""),45743.0)</f>
        <v>45743</v>
      </c>
      <c r="O2566" s="67"/>
      <c r="P2566" s="71" t="str">
        <f>IFERROR(__xludf.DUMMYFUNCTION("""COMPUTED_VALUE"""),"可")</f>
        <v>可</v>
      </c>
      <c r="Q2566" s="72"/>
      <c r="R2566" s="67"/>
      <c r="S2566" s="67" t="str">
        <f>IFERROR(__xludf.DUMMYFUNCTION("""COMPUTED_VALUE"""),"20241205_BookLive_奥手な元彼 宇田真尋になんで私が攻められてんの【R版】")</f>
        <v>20241205_BookLive_奥手な元彼 宇田真尋になんで私が攻められてんの【R版】</v>
      </c>
      <c r="T2566" s="67" t="str">
        <f>IFERROR(__xludf.DUMMYFUNCTION("""COMPUTED_VALUE"""),"格納済み")</f>
        <v>格納済み</v>
      </c>
      <c r="U2566" s="15" t="str">
        <f>IFERROR(__xludf.DUMMYFUNCTION("""COMPUTED_VALUE"""),"(C)すす/THE猥談/クロスフォリオ出版")</f>
        <v>(C)すす/THE猥談/クロスフォリオ出版</v>
      </c>
      <c r="V2566" s="8" t="str">
        <f>IFERROR(__xludf.DUMMYFUNCTION("""COMPUTED_VALUE"""),"大学の夏休みを使って、地元に帰省した。
徒歩20分かかるコンビニ、1時間に1本の電車。
ただあるのはただっ広い畑だけのつまらない田舎町。
早く東京へ戻りたかったのに、高校時代の元彼・宇田と遭遇してしまった。
その場の流れで宇田の親友も交えて、3人で飲むことに。
親友は早々に酔い潰れてすぐにダウン。
元彼と部屋で二人きりってなんか……気まずいというか。
宇田の服も髪も大学生っぽくなってるし、昔とはちょっと変わってて。
高校の時は目立つ方でもなかったし、彼氏と言ってもキス止まりの奥"&amp;"手だったのに。
別れた後、知らない女の人としたんだろうな。
宇田のくせに生意気。
だから、ちょっとからかうくらい…いいよね?
わざと顔を寄せると、逆に宇田の方からキスされて……
「りなちゃんはさあ、全然変わってないね」
あの頃、奥手だったはずの宇田はもういない。
すぐそばで親友が寝ているのに、宇田の攻める手は止まらなくてー…。
※本作はすす、THE猥談の個人誌作品の電子書籍版となります。【21ページ】
本作は『奥手な元彼 宇田真尋になんで私が攻められてんの??』の修正"&amp;"をやや弱めたものです。内容に差異はありません。")</f>
        <v>大学の夏休みを使って、地元に帰省した。
徒歩20分かかるコンビニ、1時間に1本の電車。
ただあるのはただっ広い畑だけのつまらない田舎町。
早く東京へ戻りたかったのに、高校時代の元彼・宇田と遭遇してしまった。
その場の流れで宇田の親友も交えて、3人で飲むことに。
親友は早々に酔い潰れてすぐにダウン。
元彼と部屋で二人きりってなんか……気まずいというか。
宇田の服も髪も大学生っぽくなってるし、昔とはちょっと変わってて。
高校の時は目立つ方でもなかったし、彼氏と言ってもキス止まりの奥手だったのに。
別れた後、知らない女の人としたんだろうな。
宇田のくせに生意気。
だから、ちょっとからかうくらい…いいよね?
わざと顔を寄せると、逆に宇田の方からキスされて……
「りなちゃんはさあ、全然変わってないね」
あの頃、奥手だったはずの宇田はもういない。
すぐそばで親友が寝ているのに、宇田の攻める手は止まらなくてー…。
※本作はすす、THE猥談の個人誌作品の電子書籍版となります。【21ページ】
本作は『奥手な元彼 宇田真尋になんで私が攻められてんの??』の修正をやや弱めたものです。内容に差異はありません。</v>
      </c>
      <c r="W2566" s="14"/>
      <c r="X2566" s="14" t="str">
        <f>IFERROR(__xludf.DUMMYFUNCTION("""COMPUTED_VALUE"""),"有")</f>
        <v>有</v>
      </c>
      <c r="Y2566" s="8" t="str">
        <f>IFERROR(__xludf.DUMMYFUNCTION("""COMPUTED_VALUE"""),"P10まで")</f>
        <v>P10まで</v>
      </c>
      <c r="Z2566" s="7"/>
      <c r="AA2566" s="7"/>
      <c r="AB2566" s="7"/>
    </row>
    <row r="2567" ht="15.75" customHeight="1">
      <c r="A2567" s="66">
        <f>IFERROR(__xludf.DUMMYFUNCTION("""COMPUTED_VALUE"""),4623.0)</f>
        <v>4623</v>
      </c>
      <c r="B2567" s="67" t="str">
        <f>IFERROR(__xludf.DUMMYFUNCTION("""COMPUTED_VALUE"""),"確定")</f>
        <v>確定</v>
      </c>
      <c r="C2567" s="68">
        <f>IFERROR(__xludf.DUMMYFUNCTION("""COMPUTED_VALUE"""),45631.0)</f>
        <v>45631</v>
      </c>
      <c r="D2567" s="68">
        <f>IFERROR(__xludf.DUMMYFUNCTION("""COMPUTED_VALUE"""),45632.0)</f>
        <v>45632</v>
      </c>
      <c r="E2567" s="60">
        <f>IFERROR(__xludf.DUMMYFUNCTION("""COMPUTED_VALUE"""),309933.0)</f>
        <v>309933</v>
      </c>
      <c r="F2567" s="61" t="str">
        <f>IFERROR(__xludf.DUMMYFUNCTION("""COMPUTED_VALUE"""),"顔面100点のすぐるくんと絶頂禁止子作りえっち")</f>
        <v>顔面100点のすぐるくんと絶頂禁止子作りえっち</v>
      </c>
      <c r="G2567" s="67" t="str">
        <f>IFERROR(__xludf.DUMMYFUNCTION("""COMPUTED_VALUE"""),"1～2")</f>
        <v>1～2</v>
      </c>
      <c r="H2567" s="67" t="str">
        <f>IFERROR(__xludf.DUMMYFUNCTION("""COMPUTED_VALUE"""),"だほおぢ┴THE猥談")</f>
        <v>だほおぢ┴THE猥談</v>
      </c>
      <c r="I2567" s="67" t="str">
        <f>IFERROR(__xludf.DUMMYFUNCTION("""COMPUTED_VALUE"""),"TL")</f>
        <v>TL</v>
      </c>
      <c r="J2567" s="67"/>
      <c r="K2567" s="67" t="str">
        <f>IFERROR(__xludf.DUMMYFUNCTION("""COMPUTED_VALUE"""),"THE猥談")</f>
        <v>THE猥談</v>
      </c>
      <c r="L2567" s="67" t="str">
        <f>IFERROR(__xludf.DUMMYFUNCTION("""COMPUTED_VALUE"""),"クロスフォリオ出版")</f>
        <v>クロスフォリオ出版</v>
      </c>
      <c r="M2567" s="85">
        <f>IFERROR(__xludf.DUMMYFUNCTION("""COMPUTED_VALUE"""),45653.0)</f>
        <v>45653</v>
      </c>
      <c r="N2567" s="23">
        <f>IFERROR(__xludf.DUMMYFUNCTION("""COMPUTED_VALUE"""),45743.0)</f>
        <v>45743</v>
      </c>
      <c r="O2567" s="67"/>
      <c r="P2567" s="71" t="str">
        <f>IFERROR(__xludf.DUMMYFUNCTION("""COMPUTED_VALUE"""),"可")</f>
        <v>可</v>
      </c>
      <c r="Q2567" s="72"/>
      <c r="R2567" s="67"/>
      <c r="S2567" s="67" t="str">
        <f>IFERROR(__xludf.DUMMYFUNCTION("""COMPUTED_VALUE"""),"20241205_BookLive_顔面100点のすぐるくんと絶頂禁止子作りえっち")</f>
        <v>20241205_BookLive_顔面100点のすぐるくんと絶頂禁止子作りえっち</v>
      </c>
      <c r="T2567" s="67" t="str">
        <f>IFERROR(__xludf.DUMMYFUNCTION("""COMPUTED_VALUE"""),"格納済み")</f>
        <v>格納済み</v>
      </c>
      <c r="U2567" s="15" t="str">
        <f>IFERROR(__xludf.DUMMYFUNCTION("""COMPUTED_VALUE"""),"(C)だほおぢ/THE猥談/クロスフォリオ出版")</f>
        <v>(C)だほおぢ/THE猥談/クロスフォリオ出版</v>
      </c>
      <c r="V2567" s="8" t="str">
        <f>IFERROR(__xludf.DUMMYFUNCTION("""COMPUTED_VALUE"""),"夫の顔が好きすぎる。
でも顔以外は壊滅的。
世間知らずだし、家事も全然できないし…　だけど全部、顔がいいから許せた。
「ひーちゃん、女の子が欲しいときは、女性側がイかない方がいいらしいよ」
育児も落ち着いてきて、なんとなく2人目は女の子がいいね、だなんて話をしていたとき、
真面目な顔で夫が言い始める。
膣内がアルカリ性とかなんとか……本当なの?
呆れている間にも、するすると服を脱がしてくる夫。
「ひーちゃん、今日は絶対にイかないで」
真剣な夫の目に流されて、深いキ"&amp;"スを受け入れてしまう。
…無理だって。
だって私、毎回イっちゃうのにーー……。
※本作はだほおぢ、THE猥談の個人誌作品の電子書籍版となります。【26ページ】")</f>
        <v>夫の顔が好きすぎる。
でも顔以外は壊滅的。
世間知らずだし、家事も全然できないし…　だけど全部、顔がいいから許せた。
「ひーちゃん、女の子が欲しいときは、女性側がイかない方がいいらしいよ」
育児も落ち着いてきて、なんとなく2人目は女の子がいいね、だなんて話をしていたとき、
真面目な顔で夫が言い始める。
膣内がアルカリ性とかなんとか……本当なの?
呆れている間にも、するすると服を脱がしてくる夫。
「ひーちゃん、今日は絶対にイかないで」
真剣な夫の目に流されて、深いキスを受け入れてしまう。
…無理だって。
だって私、毎回イっちゃうのにーー……。
※本作はだほおぢ、THE猥談の個人誌作品の電子書籍版となります。【26ページ】</v>
      </c>
      <c r="W2567" s="14"/>
      <c r="X2567" s="14" t="str">
        <f>IFERROR(__xludf.DUMMYFUNCTION("""COMPUTED_VALUE"""),"有")</f>
        <v>有</v>
      </c>
      <c r="Y2567" s="8" t="str">
        <f>IFERROR(__xludf.DUMMYFUNCTION("""COMPUTED_VALUE"""),"P14まで")</f>
        <v>P14まで</v>
      </c>
      <c r="Z2567" s="7"/>
      <c r="AA2567" s="7"/>
      <c r="AB2567" s="7"/>
    </row>
    <row r="2568" ht="15.75" customHeight="1">
      <c r="A2568" s="66">
        <f>IFERROR(__xludf.DUMMYFUNCTION("""COMPUTED_VALUE"""),4624.0)</f>
        <v>4624</v>
      </c>
      <c r="B2568" s="67" t="str">
        <f>IFERROR(__xludf.DUMMYFUNCTION("""COMPUTED_VALUE"""),"確定")</f>
        <v>確定</v>
      </c>
      <c r="C2568" s="68">
        <f>IFERROR(__xludf.DUMMYFUNCTION("""COMPUTED_VALUE"""),45631.0)</f>
        <v>45631</v>
      </c>
      <c r="D2568" s="68">
        <f>IFERROR(__xludf.DUMMYFUNCTION("""COMPUTED_VALUE"""),45632.0)</f>
        <v>45632</v>
      </c>
      <c r="E2568" s="60">
        <f>IFERROR(__xludf.DUMMYFUNCTION("""COMPUTED_VALUE"""),309913.0)</f>
        <v>309913</v>
      </c>
      <c r="F2568" s="61" t="str">
        <f>IFERROR(__xludf.DUMMYFUNCTION("""COMPUTED_VALUE"""),"顔面100点のすぐるくんと絶頂禁止子作りえっち【R版】")</f>
        <v>顔面100点のすぐるくんと絶頂禁止子作りえっち【R版】</v>
      </c>
      <c r="G2568" s="67" t="str">
        <f>IFERROR(__xludf.DUMMYFUNCTION("""COMPUTED_VALUE"""),"1～2")</f>
        <v>1～2</v>
      </c>
      <c r="H2568" s="67" t="str">
        <f>IFERROR(__xludf.DUMMYFUNCTION("""COMPUTED_VALUE"""),"だほおぢ┴THE猥談")</f>
        <v>だほおぢ┴THE猥談</v>
      </c>
      <c r="I2568" s="67" t="str">
        <f>IFERROR(__xludf.DUMMYFUNCTION("""COMPUTED_VALUE"""),"アダルトマンガ")</f>
        <v>アダルトマンガ</v>
      </c>
      <c r="J2568" s="67"/>
      <c r="K2568" s="67" t="str">
        <f>IFERROR(__xludf.DUMMYFUNCTION("""COMPUTED_VALUE"""),"THE猥談")</f>
        <v>THE猥談</v>
      </c>
      <c r="L2568" s="67" t="str">
        <f>IFERROR(__xludf.DUMMYFUNCTION("""COMPUTED_VALUE"""),"クロスフォリオ出版")</f>
        <v>クロスフォリオ出版</v>
      </c>
      <c r="M2568" s="85">
        <f>IFERROR(__xludf.DUMMYFUNCTION("""COMPUTED_VALUE"""),45653.0)</f>
        <v>45653</v>
      </c>
      <c r="N2568" s="23">
        <f>IFERROR(__xludf.DUMMYFUNCTION("""COMPUTED_VALUE"""),45743.0)</f>
        <v>45743</v>
      </c>
      <c r="O2568" s="67"/>
      <c r="P2568" s="71" t="str">
        <f>IFERROR(__xludf.DUMMYFUNCTION("""COMPUTED_VALUE"""),"可")</f>
        <v>可</v>
      </c>
      <c r="Q2568" s="72"/>
      <c r="R2568" s="67"/>
      <c r="S2568" s="67" t="str">
        <f>IFERROR(__xludf.DUMMYFUNCTION("""COMPUTED_VALUE"""),"20241205_BookLive_顔面100点のすぐるくんと絶頂禁止子作りえっち【R版】")</f>
        <v>20241205_BookLive_顔面100点のすぐるくんと絶頂禁止子作りえっち【R版】</v>
      </c>
      <c r="T2568" s="67" t="str">
        <f>IFERROR(__xludf.DUMMYFUNCTION("""COMPUTED_VALUE"""),"格納済み")</f>
        <v>格納済み</v>
      </c>
      <c r="U2568" s="15" t="str">
        <f>IFERROR(__xludf.DUMMYFUNCTION("""COMPUTED_VALUE"""),"(C)だほおぢ/THE猥談/クロスフォリオ出版")</f>
        <v>(C)だほおぢ/THE猥談/クロスフォリオ出版</v>
      </c>
      <c r="V2568" s="8" t="str">
        <f>IFERROR(__xludf.DUMMYFUNCTION("""COMPUTED_VALUE"""),"夫の顔が好きすぎる。
でも顔以外は壊滅的。
世間知らずだし、家事も全然できないし…　だけど全部、顔がいいから許せた。
「ひーちゃん、女の子が欲しいときは、女性側がイかない方がいいらしいよ」
育児も落ち着いてきて、なんとなく2人目は女の子がいいね、だなんて話をしていたとき、
真面目な顔で夫が言い始める。
膣内がアルカリ性とかなんとか……本当なの?
呆れている間にも、するすると服を脱がしてくる夫。
「ひーちゃん、今日は絶対にイかないで」
真剣な夫の目に流されて、深いキ"&amp;"スを受け入れてしまう。
…無理だって。
だって私、毎回イっちゃうのにーー……。
※本作はだほおぢ、THE猥談の個人誌作品の電子書籍版となります。【26ページ】
※本作は『顔面100点のすぐるくんと絶頂禁止子作りえっち』の修正をやや弱めたものです。内容に差異はありません。")</f>
        <v>夫の顔が好きすぎる。
でも顔以外は壊滅的。
世間知らずだし、家事も全然できないし…　だけど全部、顔がいいから許せた。
「ひーちゃん、女の子が欲しいときは、女性側がイかない方がいいらしいよ」
育児も落ち着いてきて、なんとなく2人目は女の子がいいね、だなんて話をしていたとき、
真面目な顔で夫が言い始める。
膣内がアルカリ性とかなんとか……本当なの?
呆れている間にも、するすると服を脱がしてくる夫。
「ひーちゃん、今日は絶対にイかないで」
真剣な夫の目に流されて、深いキスを受け入れてしまう。
…無理だって。
だって私、毎回イっちゃうのにーー……。
※本作はだほおぢ、THE猥談の個人誌作品の電子書籍版となります。【26ページ】
※本作は『顔面100点のすぐるくんと絶頂禁止子作りえっち』の修正をやや弱めたものです。内容に差異はありません。</v>
      </c>
      <c r="W2568" s="14"/>
      <c r="X2568" s="14" t="str">
        <f>IFERROR(__xludf.DUMMYFUNCTION("""COMPUTED_VALUE"""),"有")</f>
        <v>有</v>
      </c>
      <c r="Y2568" s="8" t="str">
        <f>IFERROR(__xludf.DUMMYFUNCTION("""COMPUTED_VALUE"""),"P14まで")</f>
        <v>P14まで</v>
      </c>
      <c r="Z2568" s="7"/>
      <c r="AA2568" s="7"/>
      <c r="AB2568" s="7"/>
    </row>
    <row r="2569" ht="15.75" customHeight="1">
      <c r="A2569" s="66">
        <f>IFERROR(__xludf.DUMMYFUNCTION("""COMPUTED_VALUE"""),4625.0)</f>
        <v>4625</v>
      </c>
      <c r="B2569" s="67" t="str">
        <f>IFERROR(__xludf.DUMMYFUNCTION("""COMPUTED_VALUE"""),"確定")</f>
        <v>確定</v>
      </c>
      <c r="C2569" s="68">
        <f>IFERROR(__xludf.DUMMYFUNCTION("""COMPUTED_VALUE"""),45631.0)</f>
        <v>45631</v>
      </c>
      <c r="D2569" s="68">
        <f>IFERROR(__xludf.DUMMYFUNCTION("""COMPUTED_VALUE"""),45632.0)</f>
        <v>45632</v>
      </c>
      <c r="E2569" s="60">
        <f>IFERROR(__xludf.DUMMYFUNCTION("""COMPUTED_VALUE"""),311705.0)</f>
        <v>311705</v>
      </c>
      <c r="F2569" s="61" t="str">
        <f>IFERROR(__xludf.DUMMYFUNCTION("""COMPUTED_VALUE"""),"ヒバリくんのΩ")</f>
        <v>ヒバリくんのΩ</v>
      </c>
      <c r="G2569" s="67" t="str">
        <f>IFERROR(__xludf.DUMMYFUNCTION("""COMPUTED_VALUE"""),"1～2")</f>
        <v>1～2</v>
      </c>
      <c r="H2569" s="67" t="str">
        <f>IFERROR(__xludf.DUMMYFUNCTION("""COMPUTED_VALUE"""),"ゴロイチ")</f>
        <v>ゴロイチ</v>
      </c>
      <c r="I2569" s="67" t="str">
        <f>IFERROR(__xludf.DUMMYFUNCTION("""COMPUTED_VALUE"""),"BL")</f>
        <v>BL</v>
      </c>
      <c r="J2569" s="87"/>
      <c r="K2569" s="87"/>
      <c r="L2569" s="67" t="str">
        <f>IFERROR(__xludf.DUMMYFUNCTION("""COMPUTED_VALUE"""),"東京漫画社")</f>
        <v>東京漫画社</v>
      </c>
      <c r="M2569" s="23">
        <f>IFERROR(__xludf.DUMMYFUNCTION("""COMPUTED_VALUE"""),45667.0)</f>
        <v>45667</v>
      </c>
      <c r="N2569" s="23">
        <f>IFERROR(__xludf.DUMMYFUNCTION("""COMPUTED_VALUE"""),45729.0)</f>
        <v>45729</v>
      </c>
      <c r="O2569" s="67"/>
      <c r="P2569" s="70" t="str">
        <f>IFERROR(__xludf.DUMMYFUNCTION("""COMPUTED_VALUE"""),"可")</f>
        <v>可</v>
      </c>
      <c r="Q2569" s="72" t="str">
        <f>IFERROR(__xludf.DUMMYFUNCTION("""COMPUTED_VALUE"""),"可能であれば出稿お願いいたします。&lt;BR&gt;また、初回配信話数は1-2話ですが、素材提供が間に合わず1話分の素材だけ格納しております。&lt;BR&gt;よろしくお願いいたします。")</f>
        <v>可能であれば出稿お願いいたします。&lt;BR&gt;また、初回配信話数は1-2話ですが、素材提供が間に合わず1話分の素材だけ格納しております。&lt;BR&gt;よろしくお願いいたします。</v>
      </c>
      <c r="R2569" s="67"/>
      <c r="S2569" s="67" t="str">
        <f>IFERROR(__xludf.DUMMYFUNCTION("""COMPUTED_VALUE"""),"20241205_東京漫画社_ヒバリくんのΩ")</f>
        <v>20241205_東京漫画社_ヒバリくんのΩ</v>
      </c>
      <c r="T2569" s="67" t="str">
        <f>IFERROR(__xludf.DUMMYFUNCTION("""COMPUTED_VALUE"""),"格納済み")</f>
        <v>格納済み</v>
      </c>
      <c r="U2569" s="15" t="str">
        <f>IFERROR(__xludf.DUMMYFUNCTION("""COMPUTED_VALUE"""),"Ⓒゴロイチ/東京漫画社")</f>
        <v>Ⓒゴロイチ/東京漫画社</v>
      </c>
      <c r="V2569" s="8" t="str">
        <f>IFERROR(__xludf.DUMMYFUNCTION("""COMPUTED_VALUE"""),"今まで一度も発情期がきたことがなかったΩの玲央。
喧嘩が強くΩらしからぬ態度に周りから一目置かれる存在だったが、ある日玲央の噂を聞きつけたαの大学生が近付いてくる。
強引に家へ連れ込まれ、今まで感じたことがないαの強烈なフェロモンに戸惑うが、その気配は家の中にいた別の少年から発されており…？
（※本電子作品は『Cab vol.94』に収録されているものと同じ内容になります。）")</f>
        <v>今まで一度も発情期がきたことがなかったΩの玲央。
喧嘩が強くΩらしからぬ態度に周りから一目置かれる存在だったが、ある日玲央の噂を聞きつけたαの大学生が近付いてくる。
強引に家へ連れ込まれ、今まで感じたことがないαの強烈なフェロモンに戸惑うが、その気配は家の中にいた別の少年から発されており…？
（※本電子作品は『Cab vol.94』に収録されているものと同じ内容になります。）</v>
      </c>
      <c r="W2569" s="14"/>
      <c r="X2569" s="14" t="str">
        <f>IFERROR(__xludf.DUMMYFUNCTION("""COMPUTED_VALUE"""),"有")</f>
        <v>有</v>
      </c>
      <c r="Y2569" s="8" t="str">
        <f>IFERROR(__xludf.DUMMYFUNCTION("""COMPUTED_VALUE"""),"2025/3/10まで立ち読み増量P12まで")</f>
        <v>2025/3/10まで立ち読み増量P12まで</v>
      </c>
      <c r="Z2569" s="7"/>
      <c r="AA2569" s="7"/>
      <c r="AB2569" s="7"/>
    </row>
    <row r="2570" ht="15.75" customHeight="1">
      <c r="A2570" s="66">
        <f>IFERROR(__xludf.DUMMYFUNCTION("""COMPUTED_VALUE"""),4644.0)</f>
        <v>4644</v>
      </c>
      <c r="B2570" s="67" t="str">
        <f>IFERROR(__xludf.DUMMYFUNCTION("""COMPUTED_VALUE"""),"確定")</f>
        <v>確定</v>
      </c>
      <c r="C2570" s="68">
        <f>IFERROR(__xludf.DUMMYFUNCTION("""COMPUTED_VALUE"""),45632.0)</f>
        <v>45632</v>
      </c>
      <c r="D2570" s="68">
        <f>IFERROR(__xludf.DUMMYFUNCTION("""COMPUTED_VALUE"""),45636.0)</f>
        <v>45636</v>
      </c>
      <c r="E2570" s="100">
        <f>IFERROR(__xludf.DUMMYFUNCTION("""COMPUTED_VALUE"""),283600.0)</f>
        <v>283600</v>
      </c>
      <c r="F2570" s="61" t="str">
        <f>IFERROR(__xludf.DUMMYFUNCTION("""COMPUTED_VALUE"""),"酸いも甘いも分け合って－恋に疲れた私たち－")</f>
        <v>酸いも甘いも分け合って－恋に疲れた私たち－</v>
      </c>
      <c r="G2570" s="67" t="str">
        <f>IFERROR(__xludf.DUMMYFUNCTION("""COMPUTED_VALUE"""),"1～3")</f>
        <v>1～3</v>
      </c>
      <c r="H2570" s="67" t="str">
        <f>IFERROR(__xludf.DUMMYFUNCTION("""COMPUTED_VALUE"""),"あまねさくら")</f>
        <v>あまねさくら</v>
      </c>
      <c r="I2570" s="67" t="str">
        <f>IFERROR(__xludf.DUMMYFUNCTION("""COMPUTED_VALUE"""),"女性マンガ")</f>
        <v>女性マンガ</v>
      </c>
      <c r="J2570" s="87"/>
      <c r="K2570" s="87"/>
      <c r="L2570" s="67" t="str">
        <f>IFERROR(__xludf.DUMMYFUNCTION("""COMPUTED_VALUE"""),"シーモアコミックス")</f>
        <v>シーモアコミックス</v>
      </c>
      <c r="M2570" s="23">
        <f>IFERROR(__xludf.DUMMYFUNCTION("""COMPUTED_VALUE"""),45668.0)</f>
        <v>45668</v>
      </c>
      <c r="N2570" s="23">
        <f>IFERROR(__xludf.DUMMYFUNCTION("""COMPUTED_VALUE"""),45729.0)</f>
        <v>45729</v>
      </c>
      <c r="O2570" s="67"/>
      <c r="P2570" s="71" t="str">
        <f>IFERROR(__xludf.DUMMYFUNCTION("""COMPUTED_VALUE"""),"可")</f>
        <v>可</v>
      </c>
      <c r="Q2570" s="72"/>
      <c r="R2570" s="67"/>
      <c r="S2570" s="67" t="str">
        <f>IFERROR(__xludf.DUMMYFUNCTION("""COMPUTED_VALUE"""),"20241206_シーモアコミックス_酸いも甘いも分け合って－恋に疲れた私たち－")</f>
        <v>20241206_シーモアコミックス_酸いも甘いも分け合って－恋に疲れた私たち－</v>
      </c>
      <c r="T2570" s="67" t="str">
        <f>IFERROR(__xludf.DUMMYFUNCTION("""COMPUTED_VALUE"""),"格納済み")</f>
        <v>格納済み</v>
      </c>
      <c r="U2570" s="15" t="str">
        <f>IFERROR(__xludf.DUMMYFUNCTION("""COMPUTED_VALUE"""),"© あまねさくら/シーモアコミックス")</f>
        <v>© あまねさくら/シーモアコミックス</v>
      </c>
      <c r="V2570" s="8" t="str">
        <f>IFERROR(__xludf.DUMMYFUNCTION("""COMPUTED_VALUE"""),"価値観真逆同士の女子二人、共同生活始めます──。
七宮睦(ななみや むつみ)は就職を機にルームシェアを始める。そこで出会った同居人のケイは不摂生気味なWebライター。
生活リズムも価値観もまったく異なり初日からややギスギス気味な二人だが…。
“恋愛周りがやや不安!?”な睦＆“鋭いコトバにサバサバ態度”なケイ、そんな二人の共同生活や如何に…!!
日常の酸いも甘いも、喜怒哀楽すべてを分け合う新生活が始まる──。【恋するソワレ】")</f>
        <v>価値観真逆同士の女子二人、共同生活始めます──。
七宮睦(ななみや むつみ)は就職を機にルームシェアを始める。そこで出会った同居人のケイは不摂生気味なWebライター。
生活リズムも価値観もまったく異なり初日からややギスギス気味な二人だが…。
“恋愛周りがやや不安!?”な睦＆“鋭いコトバにサバサバ態度”なケイ、そんな二人の共同生活や如何に…!!
日常の酸いも甘いも、喜怒哀楽すべてを分け合う新生活が始まる──。【恋するソワレ】</v>
      </c>
      <c r="W2570" s="14"/>
      <c r="X2570" s="14" t="str">
        <f>IFERROR(__xludf.DUMMYFUNCTION("""COMPUTED_VALUE"""),"有")</f>
        <v>有</v>
      </c>
      <c r="Y2570" s="8" t="str">
        <f>IFERROR(__xludf.DUMMYFUNCTION("""COMPUTED_VALUE"""),"2025/2/7まで1巻無料")</f>
        <v>2025/2/7まで1巻無料</v>
      </c>
      <c r="Z2570" s="7"/>
      <c r="AA2570" s="7"/>
      <c r="AB2570" s="7"/>
    </row>
    <row r="2571" ht="15.75" customHeight="1">
      <c r="A2571" s="66">
        <f>IFERROR(__xludf.DUMMYFUNCTION("""COMPUTED_VALUE"""),4645.0)</f>
        <v>4645</v>
      </c>
      <c r="B2571" s="67" t="str">
        <f>IFERROR(__xludf.DUMMYFUNCTION("""COMPUTED_VALUE"""),"確定")</f>
        <v>確定</v>
      </c>
      <c r="C2571" s="68">
        <f>IFERROR(__xludf.DUMMYFUNCTION("""COMPUTED_VALUE"""),45632.0)</f>
        <v>45632</v>
      </c>
      <c r="D2571" s="68">
        <f>IFERROR(__xludf.DUMMYFUNCTION("""COMPUTED_VALUE"""),45636.0)</f>
        <v>45636</v>
      </c>
      <c r="E2571" s="100">
        <f>IFERROR(__xludf.DUMMYFUNCTION("""COMPUTED_VALUE"""),290566.0)</f>
        <v>290566</v>
      </c>
      <c r="F2571" s="61" t="str">
        <f>IFERROR(__xludf.DUMMYFUNCTION("""COMPUTED_VALUE"""),"嘘つきヤクザは奪いつくしたい～甘い支配に濡れる蜜夜")</f>
        <v>嘘つきヤクザは奪いつくしたい～甘い支配に濡れる蜜夜</v>
      </c>
      <c r="G2571" s="67" t="str">
        <f>IFERROR(__xludf.DUMMYFUNCTION("""COMPUTED_VALUE"""),"1～3")</f>
        <v>1～3</v>
      </c>
      <c r="H2571" s="67" t="str">
        <f>IFERROR(__xludf.DUMMYFUNCTION("""COMPUTED_VALUE"""),"ネリタ,石川奈々生,PRISMstudio")</f>
        <v>ネリタ,石川奈々生,PRISMstudio</v>
      </c>
      <c r="I2571" s="67" t="str">
        <f>IFERROR(__xludf.DUMMYFUNCTION("""COMPUTED_VALUE"""),"TLマンガ")</f>
        <v>TLマンガ</v>
      </c>
      <c r="J2571" s="67"/>
      <c r="K2571" s="67" t="str">
        <f>IFERROR(__xludf.DUMMYFUNCTION("""COMPUTED_VALUE"""),"スキして?桃色日記")</f>
        <v>スキして?桃色日記</v>
      </c>
      <c r="L2571" s="67" t="str">
        <f>IFERROR(__xludf.DUMMYFUNCTION("""COMPUTED_VALUE"""),"シーモアコミックス")</f>
        <v>シーモアコミックス</v>
      </c>
      <c r="M2571" s="23">
        <f>IFERROR(__xludf.DUMMYFUNCTION("""COMPUTED_VALUE"""),45668.0)</f>
        <v>45668</v>
      </c>
      <c r="N2571" s="23">
        <f>IFERROR(__xludf.DUMMYFUNCTION("""COMPUTED_VALUE"""),45729.0)</f>
        <v>45729</v>
      </c>
      <c r="O2571" s="67"/>
      <c r="P2571" s="71" t="str">
        <f>IFERROR(__xludf.DUMMYFUNCTION("""COMPUTED_VALUE"""),"可")</f>
        <v>可</v>
      </c>
      <c r="Q2571" s="72"/>
      <c r="R2571" s="67"/>
      <c r="S2571" s="67" t="str">
        <f>IFERROR(__xludf.DUMMYFUNCTION("""COMPUTED_VALUE"""),"20241206_シーモアコミックス_嘘つきヤクザは奪いつくしたい～甘い支配に濡れる蜜夜")</f>
        <v>20241206_シーモアコミックス_嘘つきヤクザは奪いつくしたい～甘い支配に濡れる蜜夜</v>
      </c>
      <c r="T2571" s="67" t="str">
        <f>IFERROR(__xludf.DUMMYFUNCTION("""COMPUTED_VALUE"""),"格納済み")</f>
        <v>格納済み</v>
      </c>
      <c r="U2571" s="15" t="str">
        <f>IFERROR(__xludf.DUMMYFUNCTION("""COMPUTED_VALUE"""),"© ネリタ/石川奈々生/PRISMstudio/シーモアコミックス")</f>
        <v>© ネリタ/石川奈々生/PRISMstudio/シーモアコミックス</v>
      </c>
      <c r="V2571" s="8" t="str">
        <f>IFERROR(__xludf.DUMMYFUNCTION("""COMPUTED_VALUE"""),"「どうなっても知らないからな」「教えてやるよ その身体に――…」
社長の一人娘として何不自由なく過ごしてきた大学生の麗華(れいか)だったが、ヤクザに会社を乗っとられた父は失踪、母も心労のため倒れてしまう。転落人生でも家族のため、失踪した父の手がかりをつかむため、そして母と生活していくお金のために、ホステスのエリカとして夜の世界に飛び込む！
早速来店したヤクザ・相川組の若頭に近づこうとするのだが側近のヤマトに邪魔される。なおも食い下がる麗華をホテルへ連れて行き――…!?
真相をつかむためならヤクザを誘"&amp;"惑して、私の初めてだって利用できる――…！【桃色日記】")</f>
        <v>「どうなっても知らないからな」「教えてやるよ その身体に――…」
社長の一人娘として何不自由なく過ごしてきた大学生の麗華(れいか)だったが、ヤクザに会社を乗っとられた父は失踪、母も心労のため倒れてしまう。転落人生でも家族のため、失踪した父の手がかりをつかむため、そして母と生活していくお金のために、ホステスのエリカとして夜の世界に飛び込む！
早速来店したヤクザ・相川組の若頭に近づこうとするのだが側近のヤマトに邪魔される。なおも食い下がる麗華をホテルへ連れて行き――…!?
真相をつかむためならヤクザを誘惑して、私の初めてだって利用できる――…！【桃色日記】</v>
      </c>
      <c r="W2571" s="14"/>
      <c r="X2571" s="14" t="str">
        <f>IFERROR(__xludf.DUMMYFUNCTION("""COMPUTED_VALUE"""),"有")</f>
        <v>有</v>
      </c>
      <c r="Y2571" s="8" t="str">
        <f>IFERROR(__xludf.DUMMYFUNCTION("""COMPUTED_VALUE"""),"2025/2/7まで1巻無料")</f>
        <v>2025/2/7まで1巻無料</v>
      </c>
      <c r="Z2571" s="7"/>
      <c r="AA2571" s="7"/>
      <c r="AB2571" s="7"/>
    </row>
    <row r="2572" ht="15.75" customHeight="1">
      <c r="A2572" s="66">
        <f>IFERROR(__xludf.DUMMYFUNCTION("""COMPUTED_VALUE"""),4646.0)</f>
        <v>4646</v>
      </c>
      <c r="B2572" s="67" t="str">
        <f>IFERROR(__xludf.DUMMYFUNCTION("""COMPUTED_VALUE"""),"確定")</f>
        <v>確定</v>
      </c>
      <c r="C2572" s="68">
        <f>IFERROR(__xludf.DUMMYFUNCTION("""COMPUTED_VALUE"""),45632.0)</f>
        <v>45632</v>
      </c>
      <c r="D2572" s="68">
        <f>IFERROR(__xludf.DUMMYFUNCTION("""COMPUTED_VALUE"""),45636.0)</f>
        <v>45636</v>
      </c>
      <c r="E2572" s="100">
        <f>IFERROR(__xludf.DUMMYFUNCTION("""COMPUTED_VALUE"""),294814.0)</f>
        <v>294814</v>
      </c>
      <c r="F2572" s="61" t="str">
        <f>IFERROR(__xludf.DUMMYFUNCTION("""COMPUTED_VALUE"""),"今日も五十嵐くんが尊いオタク")</f>
        <v>今日も五十嵐くんが尊いオタク</v>
      </c>
      <c r="G2572" s="67" t="str">
        <f>IFERROR(__xludf.DUMMYFUNCTION("""COMPUTED_VALUE"""),"1～3")</f>
        <v>1～3</v>
      </c>
      <c r="H2572" s="67" t="str">
        <f>IFERROR(__xludf.DUMMYFUNCTION("""COMPUTED_VALUE"""),"デストロイ")</f>
        <v>デストロイ</v>
      </c>
      <c r="I2572" s="67" t="str">
        <f>IFERROR(__xludf.DUMMYFUNCTION("""COMPUTED_VALUE"""),"BLマンガ")</f>
        <v>BLマンガ</v>
      </c>
      <c r="J2572" s="87"/>
      <c r="K2572" s="87"/>
      <c r="L2572" s="67" t="str">
        <f>IFERROR(__xludf.DUMMYFUNCTION("""COMPUTED_VALUE"""),"シーモアコミックス")</f>
        <v>シーモアコミックス</v>
      </c>
      <c r="M2572" s="23">
        <f>IFERROR(__xludf.DUMMYFUNCTION("""COMPUTED_VALUE"""),45668.0)</f>
        <v>45668</v>
      </c>
      <c r="N2572" s="23">
        <f>IFERROR(__xludf.DUMMYFUNCTION("""COMPUTED_VALUE"""),45813.66666666667)</f>
        <v>45813.66667</v>
      </c>
      <c r="O2572" s="67"/>
      <c r="P2572" s="71" t="str">
        <f>IFERROR(__xludf.DUMMYFUNCTION("""COMPUTED_VALUE"""),"可")</f>
        <v>可</v>
      </c>
      <c r="Q2572" s="72"/>
      <c r="R2572" s="67"/>
      <c r="S2572" s="67" t="str">
        <f>IFERROR(__xludf.DUMMYFUNCTION("""COMPUTED_VALUE"""),"20241206_シーモアコミックス_今日も五十嵐くんが尊いオタク")</f>
        <v>20241206_シーモアコミックス_今日も五十嵐くんが尊いオタク</v>
      </c>
      <c r="T2572" s="67" t="str">
        <f>IFERROR(__xludf.DUMMYFUNCTION("""COMPUTED_VALUE"""),"格納済み")</f>
        <v>格納済み</v>
      </c>
      <c r="U2572" s="15" t="str">
        <f>IFERROR(__xludf.DUMMYFUNCTION("""COMPUTED_VALUE"""),"© デストロイ/シーモアコミックス")</f>
        <v>© デストロイ/シーモアコミックス</v>
      </c>
      <c r="V2572" s="8" t="str">
        <f>IFERROR(__xludf.DUMMYFUNCTION("""COMPUTED_VALUE"""),"「ごめん、顔…あんまりよくなくて…」「いや…っ、むしろ…いい」
そんなこと言われた後に優しくキスされたら、もう何も考えられない――…
友達が恋人を作っていく中、20歳になっても未だにそういった経験のない市川は焦りついにマッチングアプリに手を出すことに!!幸運にもすぐにマッチングし待ち合わせ場所に向かうとそこにはクラスの一軍イケメン・五十嵐くんがいて…!?どうにか逃げ出そうとするもなぜかホテルまで来てしまう展開になり…陰キャオタクくんの暴走青春ピュアラブストーリー開幕です!!【フィカス】")</f>
        <v>「ごめん、顔…あんまりよくなくて…」「いや…っ、むしろ…いい」
そんなこと言われた後に優しくキスされたら、もう何も考えられない――…
友達が恋人を作っていく中、20歳になっても未だにそういった経験のない市川は焦りついにマッチングアプリに手を出すことに!!幸運にもすぐにマッチングし待ち合わせ場所に向かうとそこにはクラスの一軍イケメン・五十嵐くんがいて…!?どうにか逃げ出そうとするもなぜかホテルまで来てしまう展開になり…陰キャオタクくんの暴走青春ピュアラブストーリー開幕です!!【フィカス】</v>
      </c>
      <c r="W2572" s="14"/>
      <c r="X2572" s="14" t="str">
        <f>IFERROR(__xludf.DUMMYFUNCTION("""COMPUTED_VALUE"""),"有")</f>
        <v>有</v>
      </c>
      <c r="Y2572" s="8" t="str">
        <f>IFERROR(__xludf.DUMMYFUNCTION("""COMPUTED_VALUE"""),"2025/2/7まで1巻無料")</f>
        <v>2025/2/7まで1巻無料</v>
      </c>
      <c r="Z2572" s="7"/>
      <c r="AA2572" s="7"/>
      <c r="AB2572" s="7"/>
    </row>
    <row r="2573" ht="15.75" customHeight="1">
      <c r="A2573" s="66">
        <f>IFERROR(__xludf.DUMMYFUNCTION("""COMPUTED_VALUE"""),4647.0)</f>
        <v>4647</v>
      </c>
      <c r="B2573" s="67" t="str">
        <f>IFERROR(__xludf.DUMMYFUNCTION("""COMPUTED_VALUE"""),"確定")</f>
        <v>確定</v>
      </c>
      <c r="C2573" s="68">
        <f>IFERROR(__xludf.DUMMYFUNCTION("""COMPUTED_VALUE"""),45632.0)</f>
        <v>45632</v>
      </c>
      <c r="D2573" s="68">
        <f>IFERROR(__xludf.DUMMYFUNCTION("""COMPUTED_VALUE"""),45636.0)</f>
        <v>45636</v>
      </c>
      <c r="E2573" s="100">
        <f>IFERROR(__xludf.DUMMYFUNCTION("""COMPUTED_VALUE"""),301071.0)</f>
        <v>301071</v>
      </c>
      <c r="F2573" s="61" t="str">
        <f>IFERROR(__xludf.DUMMYFUNCTION("""COMPUTED_VALUE"""),"男性恐怖症と恋")</f>
        <v>男性恐怖症と恋</v>
      </c>
      <c r="G2573" s="67" t="str">
        <f>IFERROR(__xludf.DUMMYFUNCTION("""COMPUTED_VALUE"""),"1～3")</f>
        <v>1～3</v>
      </c>
      <c r="H2573" s="67" t="str">
        <f>IFERROR(__xludf.DUMMYFUNCTION("""COMPUTED_VALUE"""),"萱乃童")</f>
        <v>萱乃童</v>
      </c>
      <c r="I2573" s="67" t="str">
        <f>IFERROR(__xludf.DUMMYFUNCTION("""COMPUTED_VALUE"""),"女性マンガ")</f>
        <v>女性マンガ</v>
      </c>
      <c r="J2573" s="87"/>
      <c r="K2573" s="87"/>
      <c r="L2573" s="67" t="str">
        <f>IFERROR(__xludf.DUMMYFUNCTION("""COMPUTED_VALUE"""),"シーモアコミックス")</f>
        <v>シーモアコミックス</v>
      </c>
      <c r="M2573" s="23">
        <f>IFERROR(__xludf.DUMMYFUNCTION("""COMPUTED_VALUE"""),45668.0)</f>
        <v>45668</v>
      </c>
      <c r="N2573" s="23">
        <f>IFERROR(__xludf.DUMMYFUNCTION("""COMPUTED_VALUE"""),45729.0)</f>
        <v>45729</v>
      </c>
      <c r="O2573" s="67"/>
      <c r="P2573" s="71" t="str">
        <f>IFERROR(__xludf.DUMMYFUNCTION("""COMPUTED_VALUE"""),"可")</f>
        <v>可</v>
      </c>
      <c r="Q2573" s="72"/>
      <c r="R2573" s="67"/>
      <c r="S2573" s="67" t="str">
        <f>IFERROR(__xludf.DUMMYFUNCTION("""COMPUTED_VALUE"""),"20241206_シーモアコミックス_男性恐怖症と恋")</f>
        <v>20241206_シーモアコミックス_男性恐怖症と恋</v>
      </c>
      <c r="T2573" s="67" t="str">
        <f>IFERROR(__xludf.DUMMYFUNCTION("""COMPUTED_VALUE"""),"格納済み")</f>
        <v>格納済み</v>
      </c>
      <c r="U2573" s="15" t="str">
        <f>IFERROR(__xludf.DUMMYFUNCTION("""COMPUTED_VALUE"""),"© 萱乃童/シーモアコミックス")</f>
        <v>© 萱乃童/シーモアコミックス</v>
      </c>
      <c r="V2573" s="8" t="str">
        <f>IFERROR(__xludf.DUMMYFUNCTION("""COMPUTED_VALUE"""),"「男の人が怖い……!!」そんな私が、恋をした――!!?
子どもの頃の体験がきっかけで男性恐怖症に悩む千恵は、女性ばかりの職場を選び、男性恐怖症であることを周囲に隠して息をひそめるように生活していた。恋愛も結婚も自分にはできない、他の多くの人のように生きられない自分に、ままならない思いを抱えていた千恵だったが、ある日、ひとりの男性と出会う。彼もまた、異性への恐怖心に悩んだ経験がある人だった。男性に対して芽生えた初めての感情に戸惑いながらも、その思いを胸に強くなろうと思うが…!?【恋するソワレ＋】")</f>
        <v>「男の人が怖い……!!」そんな私が、恋をした――!!?
子どもの頃の体験がきっかけで男性恐怖症に悩む千恵は、女性ばかりの職場を選び、男性恐怖症であることを周囲に隠して息をひそめるように生活していた。恋愛も結婚も自分にはできない、他の多くの人のように生きられない自分に、ままならない思いを抱えていた千恵だったが、ある日、ひとりの男性と出会う。彼もまた、異性への恐怖心に悩んだ経験がある人だった。男性に対して芽生えた初めての感情に戸惑いながらも、その思いを胸に強くなろうと思うが…!?【恋するソワレ＋】</v>
      </c>
      <c r="W2573" s="14"/>
      <c r="X2573" s="14" t="str">
        <f>IFERROR(__xludf.DUMMYFUNCTION("""COMPUTED_VALUE"""),"有")</f>
        <v>有</v>
      </c>
      <c r="Y2573" s="8" t="str">
        <f>IFERROR(__xludf.DUMMYFUNCTION("""COMPUTED_VALUE"""),"2025/2/7まで1巻無料")</f>
        <v>2025/2/7まで1巻無料</v>
      </c>
      <c r="Z2573" s="7"/>
      <c r="AA2573" s="7"/>
      <c r="AB2573" s="7"/>
    </row>
    <row r="2574" ht="15.75" customHeight="1">
      <c r="A2574" s="66">
        <f>IFERROR(__xludf.DUMMYFUNCTION("""COMPUTED_VALUE"""),4648.0)</f>
        <v>4648</v>
      </c>
      <c r="B2574" s="67" t="str">
        <f>IFERROR(__xludf.DUMMYFUNCTION("""COMPUTED_VALUE"""),"確定")</f>
        <v>確定</v>
      </c>
      <c r="C2574" s="68">
        <f>IFERROR(__xludf.DUMMYFUNCTION("""COMPUTED_VALUE"""),45632.0)</f>
        <v>45632</v>
      </c>
      <c r="D2574" s="68">
        <f>IFERROR(__xludf.DUMMYFUNCTION("""COMPUTED_VALUE"""),45636.0)</f>
        <v>45636</v>
      </c>
      <c r="E2574" s="100">
        <f>IFERROR(__xludf.DUMMYFUNCTION("""COMPUTED_VALUE"""),305087.0)</f>
        <v>305087</v>
      </c>
      <c r="F2574" s="61" t="str">
        <f>IFERROR(__xludf.DUMMYFUNCTION("""COMPUTED_VALUE"""),"いとしいあのコと暮らしたい")</f>
        <v>いとしいあのコと暮らしたい</v>
      </c>
      <c r="G2574" s="67">
        <f>IFERROR(__xludf.DUMMYFUNCTION("""COMPUTED_VALUE"""),1.0)</f>
        <v>1</v>
      </c>
      <c r="H2574" s="67" t="str">
        <f>IFERROR(__xludf.DUMMYFUNCTION("""COMPUTED_VALUE"""),"あまとい")</f>
        <v>あまとい</v>
      </c>
      <c r="I2574" s="67" t="str">
        <f>IFERROR(__xludf.DUMMYFUNCTION("""COMPUTED_VALUE"""),"BLマンガ")</f>
        <v>BLマンガ</v>
      </c>
      <c r="J2574" s="87"/>
      <c r="K2574" s="87"/>
      <c r="L2574" s="67" t="str">
        <f>IFERROR(__xludf.DUMMYFUNCTION("""COMPUTED_VALUE"""),"シーモアコミックス")</f>
        <v>シーモアコミックス</v>
      </c>
      <c r="M2574" s="23">
        <f>IFERROR(__xludf.DUMMYFUNCTION("""COMPUTED_VALUE"""),45668.0)</f>
        <v>45668</v>
      </c>
      <c r="N2574" s="23">
        <f>IFERROR(__xludf.DUMMYFUNCTION("""COMPUTED_VALUE"""),45821.66666666667)</f>
        <v>45821.66667</v>
      </c>
      <c r="O2574" s="67"/>
      <c r="P2574" s="70" t="str">
        <f>IFERROR(__xludf.DUMMYFUNCTION("""COMPUTED_VALUE"""),"可")</f>
        <v>可</v>
      </c>
      <c r="Q2574" s="72" t="str">
        <f>IFERROR(__xludf.DUMMYFUNCTION("""COMPUTED_VALUE"""),"※読み切り作品のため1巻のみですが出稿お願いします")</f>
        <v>※読み切り作品のため1巻のみですが出稿お願いします</v>
      </c>
      <c r="R2574" s="67"/>
      <c r="S2574" s="67" t="str">
        <f>IFERROR(__xludf.DUMMYFUNCTION("""COMPUTED_VALUE"""),"20241206_シーモアコミックス_いとしいあのコと暮らしたい")</f>
        <v>20241206_シーモアコミックス_いとしいあのコと暮らしたい</v>
      </c>
      <c r="T2574" s="67" t="str">
        <f>IFERROR(__xludf.DUMMYFUNCTION("""COMPUTED_VALUE"""),"格納済み")</f>
        <v>格納済み</v>
      </c>
      <c r="U2574" s="15" t="str">
        <f>IFERROR(__xludf.DUMMYFUNCTION("""COMPUTED_VALUE"""),"© あまとい/シーモアコミックス")</f>
        <v>© あまとい/シーモアコミックス</v>
      </c>
      <c r="V2574" s="8" t="str">
        <f>IFERROR(__xludf.DUMMYFUNCTION("""COMPUTED_VALUE"""),"エリート社会人×へたれ大学生←溺愛アンドロイド!? 近未来サンドイッチラブストーリー☆
大学生の百生（ももき）の家に届いた大きな箱。そこに収められていたのは、百が長年片想いをしている幼馴染・千歳（ちとせ）そっくりのアンドロイドだった。人のためにつくられたアンドロイドは、百生が千歳にしてほしいことを昼も夜も与えてくれる。心地よさを注がれるほど、満たされない欲のかたちが浮き彫りになって…!?【フィカス】")</f>
        <v>エリート社会人×へたれ大学生←溺愛アンドロイド!? 近未来サンドイッチラブストーリー☆
大学生の百生（ももき）の家に届いた大きな箱。そこに収められていたのは、百が長年片想いをしている幼馴染・千歳（ちとせ）そっくりのアンドロイドだった。人のためにつくられたアンドロイドは、百生が千歳にしてほしいことを昼も夜も与えてくれる。心地よさを注がれるほど、満たされない欲のかたちが浮き彫りになって…!?【フィカス】</v>
      </c>
      <c r="W2574" s="14"/>
      <c r="X2574" s="14" t="str">
        <f>IFERROR(__xludf.DUMMYFUNCTION("""COMPUTED_VALUE"""),"有")</f>
        <v>有</v>
      </c>
      <c r="Y2574" s="8" t="str">
        <f>IFERROR(__xludf.DUMMYFUNCTION("""COMPUTED_VALUE"""),"P10まで")</f>
        <v>P10まで</v>
      </c>
      <c r="Z2574" s="7"/>
      <c r="AA2574" s="7"/>
      <c r="AB2574" s="7"/>
    </row>
    <row r="2575" ht="15.75" customHeight="1">
      <c r="A2575" s="66">
        <f>IFERROR(__xludf.DUMMYFUNCTION("""COMPUTED_VALUE"""),4651.0)</f>
        <v>4651</v>
      </c>
      <c r="B2575" s="67" t="str">
        <f>IFERROR(__xludf.DUMMYFUNCTION("""COMPUTED_VALUE"""),"確定")</f>
        <v>確定</v>
      </c>
      <c r="C2575" s="68">
        <f>IFERROR(__xludf.DUMMYFUNCTION("""COMPUTED_VALUE"""),45632.0)</f>
        <v>45632</v>
      </c>
      <c r="D2575" s="68">
        <f>IFERROR(__xludf.DUMMYFUNCTION("""COMPUTED_VALUE"""),45636.0)</f>
        <v>45636</v>
      </c>
      <c r="E2575" s="100">
        <f>IFERROR(__xludf.DUMMYFUNCTION("""COMPUTED_VALUE"""),306021.0)</f>
        <v>306021</v>
      </c>
      <c r="F2575" s="61" t="str">
        <f>IFERROR(__xludf.DUMMYFUNCTION("""COMPUTED_VALUE"""),"雛名はシてあげたい！～アナタの復讐、引き受けます～")</f>
        <v>雛名はシてあげたい！～アナタの復讐、引き受けます～</v>
      </c>
      <c r="G2575" s="67" t="str">
        <f>IFERROR(__xludf.DUMMYFUNCTION("""COMPUTED_VALUE"""),"1～3")</f>
        <v>1～3</v>
      </c>
      <c r="H2575" s="67" t="str">
        <f>IFERROR(__xludf.DUMMYFUNCTION("""COMPUTED_VALUE"""),"渚うか,まちだりつ,MoonKOKi,寺松ナオ,天野うずめ")</f>
        <v>渚うか,まちだりつ,MoonKOKi,寺松ナオ,天野うずめ</v>
      </c>
      <c r="I2575" s="78" t="str">
        <f>IFERROR(__xludf.DUMMYFUNCTION("""COMPUTED_VALUE"""),"青年マンガ")</f>
        <v>青年マンガ</v>
      </c>
      <c r="J2575" s="67"/>
      <c r="K2575" s="67" t="str">
        <f>IFERROR(__xludf.DUMMYFUNCTION("""COMPUTED_VALUE"""),"トレモア・スプラッシュ,トレモアcollection")</f>
        <v>トレモア・スプラッシュ,トレモアcollection</v>
      </c>
      <c r="L2575" s="67" t="str">
        <f>IFERROR(__xludf.DUMMYFUNCTION("""COMPUTED_VALUE"""),"シーモアコミックス（トレモア）")</f>
        <v>シーモアコミックス（トレモア）</v>
      </c>
      <c r="M2575" s="23">
        <f>IFERROR(__xludf.DUMMYFUNCTION("""COMPUTED_VALUE"""),45688.0)</f>
        <v>45688</v>
      </c>
      <c r="N2575" s="23">
        <f>IFERROR(__xludf.DUMMYFUNCTION("""COMPUTED_VALUE"""),45841.0)</f>
        <v>45841</v>
      </c>
      <c r="O2575" s="67"/>
      <c r="P2575" s="71" t="str">
        <f>IFERROR(__xludf.DUMMYFUNCTION("""COMPUTED_VALUE"""),"可")</f>
        <v>可</v>
      </c>
      <c r="Q2575" s="72"/>
      <c r="R2575" s="67"/>
      <c r="S2575" s="67" t="str">
        <f>IFERROR(__xludf.DUMMYFUNCTION("""COMPUTED_VALUE"""),"20241206_シーモアコミックス_雛名は○したい！～アナタの復讐、引き受けます～")</f>
        <v>20241206_シーモアコミックス_雛名は○したい！～アナタの復讐、引き受けます～</v>
      </c>
      <c r="T2575" s="67" t="str">
        <f>IFERROR(__xludf.DUMMYFUNCTION("""COMPUTED_VALUE"""),"格納済み")</f>
        <v>格納済み</v>
      </c>
      <c r="U2575" s="15" t="str">
        <f>IFERROR(__xludf.DUMMYFUNCTION("""COMPUTED_VALUE"""),"Ⓒ 渚うか/まちだりつ/MoonKOKi/寺松ナオ/天野うずめ/シーモアコミックス")</f>
        <v>Ⓒ 渚うか/まちだりつ/MoonKOKi/寺松ナオ/天野うずめ/シーモアコミックス</v>
      </c>
      <c r="V2575" s="8" t="str">
        <f>IFERROR(__xludf.DUMMYFUNCTION("""COMPUTED_VALUE"""),"たくまは学園でいじめを受けていた。相手は学園のカリスマ三人、アンナ・ユウヤ・カリン。精神的にも肉体的にも痛めつけられる中、追い討ちをかけるようにたくまの父が謎の自殺を図る。そこにはどうやらこの三人が関わっているようで…？絶望に暮れる彼のもとに現れたのは謎の女性・雛名（ひな）。「私にお手伝いできることはありますか？」彼女の言葉から三人への復讐が始まる！")</f>
        <v>たくまは学園でいじめを受けていた。相手は学園のカリスマ三人、アンナ・ユウヤ・カリン。精神的にも肉体的にも痛めつけられる中、追い討ちをかけるようにたくまの父が謎の自殺を図る。そこにはどうやらこの三人が関わっているようで…？絶望に暮れる彼のもとに現れたのは謎の女性・雛名（ひな）。「私にお手伝いできることはありますか？」彼女の言葉から三人への復讐が始まる！</v>
      </c>
      <c r="W2575" s="14"/>
      <c r="X2575" s="14" t="str">
        <f>IFERROR(__xludf.DUMMYFUNCTION("""COMPUTED_VALUE"""),"有")</f>
        <v>有</v>
      </c>
      <c r="Y2575" s="8" t="str">
        <f>IFERROR(__xludf.DUMMYFUNCTION("""COMPUTED_VALUE"""),"2025/2/28まで1巻無料")</f>
        <v>2025/2/28まで1巻無料</v>
      </c>
      <c r="Z2575" s="7"/>
      <c r="AA2575" s="7"/>
      <c r="AB2575" s="7"/>
    </row>
    <row r="2576" ht="15.75" customHeight="1">
      <c r="A2576" s="66">
        <f>IFERROR(__xludf.DUMMYFUNCTION("""COMPUTED_VALUE"""),4652.0)</f>
        <v>4652</v>
      </c>
      <c r="B2576" s="67" t="str">
        <f>IFERROR(__xludf.DUMMYFUNCTION("""COMPUTED_VALUE"""),"確定")</f>
        <v>確定</v>
      </c>
      <c r="C2576" s="68">
        <f>IFERROR(__xludf.DUMMYFUNCTION("""COMPUTED_VALUE"""),45632.0)</f>
        <v>45632</v>
      </c>
      <c r="D2576" s="68">
        <f>IFERROR(__xludf.DUMMYFUNCTION("""COMPUTED_VALUE"""),45636.0)</f>
        <v>45636</v>
      </c>
      <c r="E2576" s="100">
        <f>IFERROR(__xludf.DUMMYFUNCTION("""COMPUTED_VALUE"""),286068.0)</f>
        <v>286068</v>
      </c>
      <c r="F2576" s="61" t="str">
        <f>IFERROR(__xludf.DUMMYFUNCTION("""COMPUTED_VALUE"""),"鞘と刀の契り婚 ～無能な巫女は最強の刀神に溺愛される～")</f>
        <v>鞘と刀の契り婚 ～無能な巫女は最強の刀神に溺愛される～</v>
      </c>
      <c r="G2576" s="67" t="str">
        <f>IFERROR(__xludf.DUMMYFUNCTION("""COMPUTED_VALUE"""),"1～3")</f>
        <v>1～3</v>
      </c>
      <c r="H2576" s="67" t="str">
        <f>IFERROR(__xludf.DUMMYFUNCTION("""COMPUTED_VALUE"""),"さわきいるか")</f>
        <v>さわきいるか</v>
      </c>
      <c r="I2576" s="67" t="str">
        <f>IFERROR(__xludf.DUMMYFUNCTION("""COMPUTED_VALUE"""),"少女マンガ")</f>
        <v>少女マンガ</v>
      </c>
      <c r="J2576" s="67"/>
      <c r="K2576" s="67" t="str">
        <f>IFERROR(__xludf.DUMMYFUNCTION("""COMPUTED_VALUE"""),"トレモア・ロマンス,トレモアcollection")</f>
        <v>トレモア・ロマンス,トレモアcollection</v>
      </c>
      <c r="L2576" s="67" t="str">
        <f>IFERROR(__xludf.DUMMYFUNCTION("""COMPUTED_VALUE"""),"シーモアコミックス（トレモア）")</f>
        <v>シーモアコミックス（トレモア）</v>
      </c>
      <c r="M2576" s="23">
        <f>IFERROR(__xludf.DUMMYFUNCTION("""COMPUTED_VALUE"""),45695.0)</f>
        <v>45695</v>
      </c>
      <c r="N2576" s="23">
        <f>IFERROR(__xludf.DUMMYFUNCTION("""COMPUTED_VALUE"""),45848.0)</f>
        <v>45848</v>
      </c>
      <c r="O2576" s="67"/>
      <c r="P2576" s="71" t="str">
        <f>IFERROR(__xludf.DUMMYFUNCTION("""COMPUTED_VALUE"""),"可")</f>
        <v>可</v>
      </c>
      <c r="Q2576" s="72"/>
      <c r="R2576" s="67"/>
      <c r="S2576" s="67" t="str">
        <f>IFERROR(__xludf.DUMMYFUNCTION("""COMPUTED_VALUE"""),"20241206_シーモアコミックス_鞘と刀の契り婚 ～無能な巫女は最強の刀神に溺愛される～")</f>
        <v>20241206_シーモアコミックス_鞘と刀の契り婚 ～無能な巫女は最強の刀神に溺愛される～</v>
      </c>
      <c r="T2576" s="67" t="str">
        <f>IFERROR(__xludf.DUMMYFUNCTION("""COMPUTED_VALUE"""),"格納済み")</f>
        <v>格納済み</v>
      </c>
      <c r="U2576" s="15" t="str">
        <f>IFERROR(__xludf.DUMMYFUNCTION("""COMPUTED_VALUE"""),"Ⓒ さわきいるか/シーモアコミックス")</f>
        <v>Ⓒ さわきいるか/シーモアコミックス</v>
      </c>
      <c r="V2576" s="8" t="str">
        <f>IFERROR(__xludf.DUMMYFUNCTION("""COMPUTED_VALUE"""),"人間と魔物が共存する世界…。神の刀を操る『刀命(かたなのみこと)』と、その刀に神力をこめる『鞘巫女(さやみこ)』は力を合わせて共に魔物を祓い、永きに渡り人々に崇められてきた。咲季(さき)はその鞘巫女の能力を受け継ぐ一族の現当主長女として産まれたが、一族の中で唯一力を持たない無能な鞘巫女と蔑まれ、優秀な妹と比べられながら不遇な扱いを受けてきた。そんな中でも只一人の理解者であった亡き祖母の言葉を胸に懸命に生きてきたが、ある日、妹の策略により魔物に襲われてしまう。突如訪れた危機。あわやのところで助けに入ったのは"&amp;"最強の刀命と名高い優(すぐる)だった。優との出会いにより、咲季の運命の歯車が動き出す―。")</f>
        <v>人間と魔物が共存する世界…。神の刀を操る『刀命(かたなのみこと)』と、その刀に神力をこめる『鞘巫女(さやみこ)』は力を合わせて共に魔物を祓い、永きに渡り人々に崇められてきた。咲季(さき)はその鞘巫女の能力を受け継ぐ一族の現当主長女として産まれたが、一族の中で唯一力を持たない無能な鞘巫女と蔑まれ、優秀な妹と比べられながら不遇な扱いを受けてきた。そんな中でも只一人の理解者であった亡き祖母の言葉を胸に懸命に生きてきたが、ある日、妹の策略により魔物に襲われてしまう。突如訪れた危機。あわやのところで助けに入ったのは最強の刀命と名高い優(すぐる)だった。優との出会いにより、咲季の運命の歯車が動き出す―。</v>
      </c>
      <c r="W2576" s="14"/>
      <c r="X2576" s="14" t="str">
        <f>IFERROR(__xludf.DUMMYFUNCTION("""COMPUTED_VALUE"""),"有")</f>
        <v>有</v>
      </c>
      <c r="Y2576" s="8" t="str">
        <f>IFERROR(__xludf.DUMMYFUNCTION("""COMPUTED_VALUE"""),"2025/2/28まで1巻無料")</f>
        <v>2025/2/28まで1巻無料</v>
      </c>
      <c r="Z2576" s="7"/>
      <c r="AA2576" s="7"/>
      <c r="AB2576" s="7"/>
    </row>
    <row r="2577" ht="15.75" customHeight="1">
      <c r="A2577" s="66">
        <f>IFERROR(__xludf.DUMMYFUNCTION("""COMPUTED_VALUE"""),4661.0)</f>
        <v>4661</v>
      </c>
      <c r="B2577" s="67" t="str">
        <f>IFERROR(__xludf.DUMMYFUNCTION("""COMPUTED_VALUE"""),"確定")</f>
        <v>確定</v>
      </c>
      <c r="C2577" s="68">
        <f>IFERROR(__xludf.DUMMYFUNCTION("""COMPUTED_VALUE"""),45636.0)</f>
        <v>45636</v>
      </c>
      <c r="D2577" s="68">
        <f>IFERROR(__xludf.DUMMYFUNCTION("""COMPUTED_VALUE"""),45636.0)</f>
        <v>45636</v>
      </c>
      <c r="E2577" s="60">
        <f>IFERROR(__xludf.DUMMYFUNCTION("""COMPUTED_VALUE"""),309948.0)</f>
        <v>309948</v>
      </c>
      <c r="F2577" s="61" t="str">
        <f>IFERROR(__xludf.DUMMYFUNCTION("""COMPUTED_VALUE"""),"キャラメルビターなデイズ")</f>
        <v>キャラメルビターなデイズ</v>
      </c>
      <c r="G2577" s="67">
        <f>IFERROR(__xludf.DUMMYFUNCTION("""COMPUTED_VALUE"""),1.0)</f>
        <v>1</v>
      </c>
      <c r="H2577" s="67" t="str">
        <f>IFERROR(__xludf.DUMMYFUNCTION("""COMPUTED_VALUE"""),"カキネ")</f>
        <v>カキネ</v>
      </c>
      <c r="I2577" s="78" t="str">
        <f>IFERROR(__xludf.DUMMYFUNCTION("""COMPUTED_VALUE"""),"BL")</f>
        <v>BL</v>
      </c>
      <c r="J2577" s="67"/>
      <c r="K2577" s="67" t="str">
        <f>IFERROR(__xludf.DUMMYFUNCTION("""COMPUTED_VALUE"""),"マーガレットコミックスDIGITAL")</f>
        <v>マーガレットコミックスDIGITAL</v>
      </c>
      <c r="L2577" s="67" t="str">
        <f>IFERROR(__xludf.DUMMYFUNCTION("""COMPUTED_VALUE"""),"集英社")</f>
        <v>集英社</v>
      </c>
      <c r="M2577" s="85">
        <f>IFERROR(__xludf.DUMMYFUNCTION("""COMPUTED_VALUE"""),45655.0)</f>
        <v>45655</v>
      </c>
      <c r="N2577" s="59">
        <f>IFERROR(__xludf.DUMMYFUNCTION("""COMPUTED_VALUE"""),45680.0)</f>
        <v>45680</v>
      </c>
      <c r="O2577" s="67"/>
      <c r="P2577" s="71" t="str">
        <f>IFERROR(__xludf.DUMMYFUNCTION("""COMPUTED_VALUE"""),"否")</f>
        <v>否</v>
      </c>
      <c r="Q2577" s="72"/>
      <c r="R2577" s="67"/>
      <c r="S2577" s="67" t="str">
        <f>IFERROR(__xludf.DUMMYFUNCTION("""COMPUTED_VALUE"""),"20241210_集英社_キャラメルビターなデイズ")</f>
        <v>20241210_集英社_キャラメルビターなデイズ</v>
      </c>
      <c r="T2577" s="67" t="str">
        <f>IFERROR(__xludf.DUMMYFUNCTION("""COMPUTED_VALUE"""),"格納済み")</f>
        <v>格納済み</v>
      </c>
      <c r="U2577" s="15" t="str">
        <f>IFERROR(__xludf.DUMMYFUNCTION("""COMPUTED_VALUE"""),"(c)カキネ／集英社")</f>
        <v>(c)カキネ／集英社</v>
      </c>
      <c r="V2577" s="8" t="str">
        <f>IFERROR(__xludf.DUMMYFUNCTION("""COMPUTED_VALUE"""),"集英社“君恋”が贈るボーイズ・ラブ！　万福町商店街で生まれ育った仲間内において長男ポジの澄遥。誰もが認める好青年だが、それは家庭環境のせいで悩みや責任を一人で抱え込み、「いい子でなければ」と思い詰めた結果だった。そんな澄遥と、次男ポジな葛の間には、拗れた感情と秘密があって…？")</f>
        <v>集英社“君恋”が贈るボーイズ・ラブ！　万福町商店街で生まれ育った仲間内において長男ポジの澄遥。誰もが認める好青年だが、それは家庭環境のせいで悩みや責任を一人で抱え込み、「いい子でなければ」と思い詰めた結果だった。そんな澄遥と、次男ポジな葛の間には、拗れた感情と秘密があって…？</v>
      </c>
      <c r="W2577" s="14"/>
      <c r="X2577" s="14" t="str">
        <f>IFERROR(__xludf.DUMMYFUNCTION("""COMPUTED_VALUE"""),"有")</f>
        <v>有</v>
      </c>
      <c r="Y2577" s="8" t="str">
        <f>IFERROR(__xludf.DUMMYFUNCTION("""COMPUTED_VALUE"""),"P26まで")</f>
        <v>P26まで</v>
      </c>
      <c r="Z2577" s="7"/>
      <c r="AA2577" s="7"/>
      <c r="AB2577" s="7"/>
    </row>
    <row r="2578" ht="15.75" customHeight="1">
      <c r="A2578" s="66">
        <f>IFERROR(__xludf.DUMMYFUNCTION("""COMPUTED_VALUE"""),4662.0)</f>
        <v>4662</v>
      </c>
      <c r="B2578" s="67" t="str">
        <f>IFERROR(__xludf.DUMMYFUNCTION("""COMPUTED_VALUE"""),"確定")</f>
        <v>確定</v>
      </c>
      <c r="C2578" s="68">
        <f>IFERROR(__xludf.DUMMYFUNCTION("""COMPUTED_VALUE"""),45636.0)</f>
        <v>45636</v>
      </c>
      <c r="D2578" s="68">
        <f>IFERROR(__xludf.DUMMYFUNCTION("""COMPUTED_VALUE"""),45636.0)</f>
        <v>45636</v>
      </c>
      <c r="E2578" s="60">
        <f>IFERROR(__xludf.DUMMYFUNCTION("""COMPUTED_VALUE"""),309950.0)</f>
        <v>309950</v>
      </c>
      <c r="F2578" s="61" t="str">
        <f>IFERROR(__xludf.DUMMYFUNCTION("""COMPUTED_VALUE"""),"夜明けまではここにいて")</f>
        <v>夜明けまではここにいて</v>
      </c>
      <c r="G2578" s="67">
        <f>IFERROR(__xludf.DUMMYFUNCTION("""COMPUTED_VALUE"""),1.0)</f>
        <v>1</v>
      </c>
      <c r="H2578" s="67" t="str">
        <f>IFERROR(__xludf.DUMMYFUNCTION("""COMPUTED_VALUE"""),"大空あいか")</f>
        <v>大空あいか</v>
      </c>
      <c r="I2578" s="67" t="str">
        <f>IFERROR(__xludf.DUMMYFUNCTION("""COMPUTED_VALUE"""),"少女")</f>
        <v>少女</v>
      </c>
      <c r="J2578" s="67"/>
      <c r="K2578" s="67" t="str">
        <f>IFERROR(__xludf.DUMMYFUNCTION("""COMPUTED_VALUE"""),"マーガレットコミックスDIGITAL")</f>
        <v>マーガレットコミックスDIGITAL</v>
      </c>
      <c r="L2578" s="67" t="str">
        <f>IFERROR(__xludf.DUMMYFUNCTION("""COMPUTED_VALUE"""),"集英社")</f>
        <v>集英社</v>
      </c>
      <c r="M2578" s="85">
        <f>IFERROR(__xludf.DUMMYFUNCTION("""COMPUTED_VALUE"""),45655.0)</f>
        <v>45655</v>
      </c>
      <c r="N2578" s="59">
        <f>IFERROR(__xludf.DUMMYFUNCTION("""COMPUTED_VALUE"""),45679.0)</f>
        <v>45679</v>
      </c>
      <c r="O2578" s="67"/>
      <c r="P2578" s="71" t="str">
        <f>IFERROR(__xludf.DUMMYFUNCTION("""COMPUTED_VALUE"""),"否")</f>
        <v>否</v>
      </c>
      <c r="Q2578" s="72"/>
      <c r="R2578" s="67"/>
      <c r="S2578" s="67" t="str">
        <f>IFERROR(__xludf.DUMMYFUNCTION("""COMPUTED_VALUE"""),"20241210_集英社_夜明けまではここにいて")</f>
        <v>20241210_集英社_夜明けまではここにいて</v>
      </c>
      <c r="T2578" s="67" t="str">
        <f>IFERROR(__xludf.DUMMYFUNCTION("""COMPUTED_VALUE"""),"格納済み")</f>
        <v>格納済み</v>
      </c>
      <c r="U2578" s="15" t="str">
        <f>IFERROR(__xludf.DUMMYFUNCTION("""COMPUTED_VALUE"""),"(c)大空あいか／集英社")</f>
        <v>(c)大空あいか／集英社</v>
      </c>
      <c r="V2578" s="8" t="str">
        <f>IFERROR(__xludf.DUMMYFUNCTION("""COMPUTED_VALUE"""),"【あなたがいなくなるなら朝は来なくていい】高校まで片道2時間。同級生はたったふたり。田舎で暮らす花に、はじめてできた“お隣さん”は、活動休止中の国民的アイドル!?　『別冊マーガレット』で大好評を収めた秘密のお隣さんラブ！　たっぷり描きおろしページも収録♪")</f>
        <v>【あなたがいなくなるなら朝は来なくていい】高校まで片道2時間。同級生はたったふたり。田舎で暮らす花に、はじめてできた“お隣さん”は、活動休止中の国民的アイドル!?　『別冊マーガレット』で大好評を収めた秘密のお隣さんラブ！　たっぷり描きおろしページも収録♪</v>
      </c>
      <c r="W2578" s="14"/>
      <c r="X2578" s="14" t="str">
        <f>IFERROR(__xludf.DUMMYFUNCTION("""COMPUTED_VALUE"""),"有")</f>
        <v>有</v>
      </c>
      <c r="Y2578" s="8" t="str">
        <f>IFERROR(__xludf.DUMMYFUNCTION("""COMPUTED_VALUE"""),"P43まで")</f>
        <v>P43まで</v>
      </c>
      <c r="Z2578" s="7"/>
      <c r="AA2578" s="7"/>
      <c r="AB2578" s="7"/>
    </row>
    <row r="2579" ht="15.75" customHeight="1">
      <c r="A2579" s="66">
        <f>IFERROR(__xludf.DUMMYFUNCTION("""COMPUTED_VALUE"""),4663.0)</f>
        <v>4663</v>
      </c>
      <c r="B2579" s="67" t="str">
        <f>IFERROR(__xludf.DUMMYFUNCTION("""COMPUTED_VALUE"""),"確定")</f>
        <v>確定</v>
      </c>
      <c r="C2579" s="68">
        <f>IFERROR(__xludf.DUMMYFUNCTION("""COMPUTED_VALUE"""),45636.0)</f>
        <v>45636</v>
      </c>
      <c r="D2579" s="68">
        <f>IFERROR(__xludf.DUMMYFUNCTION("""COMPUTED_VALUE"""),45636.0)</f>
        <v>45636</v>
      </c>
      <c r="E2579" s="60">
        <f>IFERROR(__xludf.DUMMYFUNCTION("""COMPUTED_VALUE"""),312000.0)</f>
        <v>312000</v>
      </c>
      <c r="F2579" s="61" t="str">
        <f>IFERROR(__xludf.DUMMYFUNCTION("""COMPUTED_VALUE"""),"『後悔してる』って、ご勝手にどうぞ！ あなたがいなくて、こちらは幸せですから")</f>
        <v>『後悔してる』って、ご勝手にどうぞ！ あなたがいなくて、こちらは幸せですから</v>
      </c>
      <c r="G2579" s="67" t="str">
        <f>IFERROR(__xludf.DUMMYFUNCTION("""COMPUTED_VALUE"""),"1～3")</f>
        <v>1～3</v>
      </c>
      <c r="H2579" s="67" t="str">
        <f>IFERROR(__xludf.DUMMYFUNCTION("""COMPUTED_VALUE"""),"漫画：朝葉ゆき／原作：瑞貴")</f>
        <v>漫画：朝葉ゆき／原作：瑞貴</v>
      </c>
      <c r="I2579" s="67" t="str">
        <f>IFERROR(__xludf.DUMMYFUNCTION("""COMPUTED_VALUE"""),"女性")</f>
        <v>女性</v>
      </c>
      <c r="J2579" s="67"/>
      <c r="K2579" s="67" t="str">
        <f>IFERROR(__xludf.DUMMYFUNCTION("""COMPUTED_VALUE"""),"異世界マーガレット")</f>
        <v>異世界マーガレット</v>
      </c>
      <c r="L2579" s="67" t="str">
        <f>IFERROR(__xludf.DUMMYFUNCTION("""COMPUTED_VALUE"""),"集英社")</f>
        <v>集英社</v>
      </c>
      <c r="M2579" s="59">
        <f>IFERROR(__xludf.DUMMYFUNCTION("""COMPUTED_VALUE"""),45658.0)</f>
        <v>45658</v>
      </c>
      <c r="N2579" s="59">
        <f>IFERROR(__xludf.DUMMYFUNCTION("""COMPUTED_VALUE"""),45688.0)</f>
        <v>45688</v>
      </c>
      <c r="O2579" s="67"/>
      <c r="P2579" s="71" t="str">
        <f>IFERROR(__xludf.DUMMYFUNCTION("""COMPUTED_VALUE"""),"否")</f>
        <v>否</v>
      </c>
      <c r="Q2579" s="72"/>
      <c r="R2579" s="67"/>
      <c r="S2579" s="67" t="str">
        <f>IFERROR(__xludf.DUMMYFUNCTION("""COMPUTED_VALUE"""),"20241210_集英社_『後悔してる』って、ご勝手にどうぞ！ あなたがいなくて、こちらは幸せですから")</f>
        <v>20241210_集英社_『後悔してる』って、ご勝手にどうぞ！ あなたがいなくて、こちらは幸せですから</v>
      </c>
      <c r="T2579" s="67" t="str">
        <f>IFERROR(__xludf.DUMMYFUNCTION("""COMPUTED_VALUE"""),"格納済み")</f>
        <v>格納済み</v>
      </c>
      <c r="U2579" s="15" t="str">
        <f>IFERROR(__xludf.DUMMYFUNCTION("""COMPUTED_VALUE"""),"(c)朝葉ゆき・瑞貴／集英社")</f>
        <v>(c)朝葉ゆき・瑞貴／集英社</v>
      </c>
      <c r="V2579" s="8" t="str">
        <f>IFERROR(__xludf.DUMMYFUNCTION("""COMPUTED_VALUE"""),"アリアナは奇妙な未来視で幼馴染と婚約者を助け続けたが、誤解から悪女とされ婚約破棄されてしまう。動揺する中、再び婚約者の危機を察知したアリアナは、彼を庇い、階段から落ちてしまった。気を失っている間にアリアナは、日本人女性として暮らしていたことを思い出し、乙女ゲームの悪役令嬢に転生したことを理解する。そして目覚めると、当時の推しキャラだったブライアン公爵のルートに入っていて――？")</f>
        <v>アリアナは奇妙な未来視で幼馴染と婚約者を助け続けたが、誤解から悪女とされ婚約破棄されてしまう。動揺する中、再び婚約者の危機を察知したアリアナは、彼を庇い、階段から落ちてしまった。気を失っている間にアリアナは、日本人女性として暮らしていたことを思い出し、乙女ゲームの悪役令嬢に転生したことを理解する。そして目覚めると、当時の推しキャラだったブライアン公爵のルートに入っていて――？</v>
      </c>
      <c r="W2579" s="14"/>
      <c r="X2579" s="14" t="str">
        <f>IFERROR(__xludf.DUMMYFUNCTION("""COMPUTED_VALUE"""),"有")</f>
        <v>有</v>
      </c>
      <c r="Y2579" s="8" t="str">
        <f>IFERROR(__xludf.DUMMYFUNCTION("""COMPUTED_VALUE"""),"2025/131まで1巻無料")</f>
        <v>2025/131まで1巻無料</v>
      </c>
      <c r="Z2579" s="7"/>
      <c r="AA2579" s="7"/>
      <c r="AB2579" s="7"/>
    </row>
    <row r="2580" ht="15.75" customHeight="1">
      <c r="A2580" s="66">
        <f>IFERROR(__xludf.DUMMYFUNCTION("""COMPUTED_VALUE"""),4664.0)</f>
        <v>4664</v>
      </c>
      <c r="B2580" s="67" t="str">
        <f>IFERROR(__xludf.DUMMYFUNCTION("""COMPUTED_VALUE"""),"確定")</f>
        <v>確定</v>
      </c>
      <c r="C2580" s="68">
        <f>IFERROR(__xludf.DUMMYFUNCTION("""COMPUTED_VALUE"""),45636.0)</f>
        <v>45636</v>
      </c>
      <c r="D2580" s="68">
        <f>IFERROR(__xludf.DUMMYFUNCTION("""COMPUTED_VALUE"""),45636.0)</f>
        <v>45636</v>
      </c>
      <c r="E2580" s="60">
        <f>IFERROR(__xludf.DUMMYFUNCTION("""COMPUTED_VALUE"""),312001.0)</f>
        <v>312001</v>
      </c>
      <c r="F2580" s="61" t="str">
        <f>IFERROR(__xludf.DUMMYFUNCTION("""COMPUTED_VALUE"""),"身代わり乙女は王の腕に囚われる")</f>
        <v>身代わり乙女は王の腕に囚われる</v>
      </c>
      <c r="G2580" s="67" t="str">
        <f>IFERROR(__xludf.DUMMYFUNCTION("""COMPUTED_VALUE"""),"1～3")</f>
        <v>1～3</v>
      </c>
      <c r="H2580" s="67" t="str">
        <f>IFERROR(__xludf.DUMMYFUNCTION("""COMPUTED_VALUE"""),"あまおう紅,海老ながれ")</f>
        <v>あまおう紅,海老ながれ</v>
      </c>
      <c r="I2580" s="67" t="str">
        <f>IFERROR(__xludf.DUMMYFUNCTION("""COMPUTED_VALUE"""),"女性")</f>
        <v>女性</v>
      </c>
      <c r="J2580" s="67"/>
      <c r="K2580" s="67" t="str">
        <f>IFERROR(__xludf.DUMMYFUNCTION("""COMPUTED_VALUE"""),"異世界マーガレット")</f>
        <v>異世界マーガレット</v>
      </c>
      <c r="L2580" s="67" t="str">
        <f>IFERROR(__xludf.DUMMYFUNCTION("""COMPUTED_VALUE"""),"集英社")</f>
        <v>集英社</v>
      </c>
      <c r="M2580" s="59">
        <f>IFERROR(__xludf.DUMMYFUNCTION("""COMPUTED_VALUE"""),45658.0)</f>
        <v>45658</v>
      </c>
      <c r="N2580" s="59">
        <f>IFERROR(__xludf.DUMMYFUNCTION("""COMPUTED_VALUE"""),45688.0)</f>
        <v>45688</v>
      </c>
      <c r="O2580" s="67"/>
      <c r="P2580" s="71" t="str">
        <f>IFERROR(__xludf.DUMMYFUNCTION("""COMPUTED_VALUE"""),"否")</f>
        <v>否</v>
      </c>
      <c r="Q2580" s="72"/>
      <c r="R2580" s="67"/>
      <c r="S2580" s="67" t="str">
        <f>IFERROR(__xludf.DUMMYFUNCTION("""COMPUTED_VALUE"""),"20241210_集英社_身代わり乙女は王の腕に囚われる")</f>
        <v>20241210_集英社_身代わり乙女は王の腕に囚われる</v>
      </c>
      <c r="T2580" s="67" t="str">
        <f>IFERROR(__xludf.DUMMYFUNCTION("""COMPUTED_VALUE"""),"格納済み")</f>
        <v>格納済み</v>
      </c>
      <c r="U2580" s="15" t="str">
        <f>IFERROR(__xludf.DUMMYFUNCTION("""COMPUTED_VALUE"""),"(c)海老ながれ・あまおう紅／集英社")</f>
        <v>(c)海老ながれ・あまおう紅／集英社</v>
      </c>
      <c r="V2580" s="8" t="str">
        <f>IFERROR(__xludf.DUMMYFUNCTION("""COMPUTED_VALUE"""),"【お姉さまの身代わりとして愛されているとしても…】国王グレンの婚約者であるヨゼーファは、とある秘密を抱えていた。グレンはかつて、ヨゼーファの姉パトリシアと婚約していたが、パトリシアは突然自死してしまう。姉の死の真相を知るヨゼーファは、もしそれをグレンに知られてしまうと自分が捨てられると思っていて…？")</f>
        <v>【お姉さまの身代わりとして愛されているとしても…】国王グレンの婚約者であるヨゼーファは、とある秘密を抱えていた。グレンはかつて、ヨゼーファの姉パトリシアと婚約していたが、パトリシアは突然自死してしまう。姉の死の真相を知るヨゼーファは、もしそれをグレンに知られてしまうと自分が捨てられると思っていて…？</v>
      </c>
      <c r="W2580" s="14"/>
      <c r="X2580" s="14" t="str">
        <f>IFERROR(__xludf.DUMMYFUNCTION("""COMPUTED_VALUE"""),"有")</f>
        <v>有</v>
      </c>
      <c r="Y2580" s="8" t="str">
        <f>IFERROR(__xludf.DUMMYFUNCTION("""COMPUTED_VALUE"""),"2025/131まで1巻無料")</f>
        <v>2025/131まで1巻無料</v>
      </c>
      <c r="Z2580" s="7"/>
      <c r="AA2580" s="7"/>
      <c r="AB2580" s="7"/>
    </row>
    <row r="2581" ht="15.75" customHeight="1">
      <c r="A2581" s="66">
        <f>IFERROR(__xludf.DUMMYFUNCTION("""COMPUTED_VALUE"""),4665.0)</f>
        <v>4665</v>
      </c>
      <c r="B2581" s="67" t="str">
        <f>IFERROR(__xludf.DUMMYFUNCTION("""COMPUTED_VALUE"""),"確定")</f>
        <v>確定</v>
      </c>
      <c r="C2581" s="68">
        <f>IFERROR(__xludf.DUMMYFUNCTION("""COMPUTED_VALUE"""),45636.0)</f>
        <v>45636</v>
      </c>
      <c r="D2581" s="68">
        <f>IFERROR(__xludf.DUMMYFUNCTION("""COMPUTED_VALUE"""),45636.0)</f>
        <v>45636</v>
      </c>
      <c r="E2581" s="60">
        <f>IFERROR(__xludf.DUMMYFUNCTION("""COMPUTED_VALUE"""),311999.0)</f>
        <v>311999</v>
      </c>
      <c r="F2581" s="61" t="str">
        <f>IFERROR(__xludf.DUMMYFUNCTION("""COMPUTED_VALUE"""),"α王の運命～王妃候補の護衛のはずが王の番になりました～")</f>
        <v>α王の運命～王妃候補の護衛のはずが王の番になりました～</v>
      </c>
      <c r="G2581" s="67" t="str">
        <f>IFERROR(__xludf.DUMMYFUNCTION("""COMPUTED_VALUE"""),"1～3")</f>
        <v>1～3</v>
      </c>
      <c r="H2581" s="67" t="str">
        <f>IFERROR(__xludf.DUMMYFUNCTION("""COMPUTED_VALUE"""),"上原有紗,カヅキハルカ（エブリスタ）")</f>
        <v>上原有紗,カヅキハルカ（エブリスタ）</v>
      </c>
      <c r="I2581" s="67" t="str">
        <f>IFERROR(__xludf.DUMMYFUNCTION("""COMPUTED_VALUE"""),"BL")</f>
        <v>BL</v>
      </c>
      <c r="J2581" s="67"/>
      <c r="K2581" s="67" t="str">
        <f>IFERROR(__xludf.DUMMYFUNCTION("""COMPUTED_VALUE"""),"異世界マーガレット")</f>
        <v>異世界マーガレット</v>
      </c>
      <c r="L2581" s="67" t="str">
        <f>IFERROR(__xludf.DUMMYFUNCTION("""COMPUTED_VALUE"""),"集英社")</f>
        <v>集英社</v>
      </c>
      <c r="M2581" s="59">
        <f>IFERROR(__xludf.DUMMYFUNCTION("""COMPUTED_VALUE"""),45658.0)</f>
        <v>45658</v>
      </c>
      <c r="N2581" s="59">
        <f>IFERROR(__xludf.DUMMYFUNCTION("""COMPUTED_VALUE"""),45688.0)</f>
        <v>45688</v>
      </c>
      <c r="O2581" s="67"/>
      <c r="P2581" s="71" t="str">
        <f>IFERROR(__xludf.DUMMYFUNCTION("""COMPUTED_VALUE"""),"否")</f>
        <v>否</v>
      </c>
      <c r="Q2581" s="72"/>
      <c r="R2581" s="67"/>
      <c r="S2581" s="67" t="str">
        <f>IFERROR(__xludf.DUMMYFUNCTION("""COMPUTED_VALUE"""),"20241210_集英社_α王の運命～王妃候補の護衛のはずが王の番になりました～")</f>
        <v>20241210_集英社_α王の運命～王妃候補の護衛のはずが王の番になりました～</v>
      </c>
      <c r="T2581" s="67" t="str">
        <f>IFERROR(__xludf.DUMMYFUNCTION("""COMPUTED_VALUE"""),"格納済み")</f>
        <v>格納済み</v>
      </c>
      <c r="U2581" s="15" t="str">
        <f>IFERROR(__xludf.DUMMYFUNCTION("""COMPUTED_VALUE"""),"(C)上原有紗・カヅキハルカ（エブリスタ）／集英社")</f>
        <v>(C)上原有紗・カヅキハルカ（エブリスタ）／集英社</v>
      </c>
      <c r="V2581" s="8" t="str">
        <f>IFERROR(__xludf.DUMMYFUNCTION("""COMPUTED_VALUE"""),"名門アルト―伯爵家に平凡なβとして生まれたエヴァンは、αの優秀な兄弟たちと同じく騎士を目指して士官学校で鍛錬を重ねていた。しかし、士官学校を訪れた王太子・アレクシスと目が合った瞬間、突然発情し、エヴァンはΩであることが発覚する。同級生に襲われかけたところを王太子に救われたエヴァンは、後に王宮へ呼ばれ、王妃候補たちの護衛役を任される。護衛という名目ながら、次第に王太子から寵愛されるようになり――。　※本作品は小説投稿サイト「エブリスタ」で人気の「王の運命は後宮で王妃候補の護衛をしていました。」のコミカライズ"&amp;"です。")</f>
        <v>名門アルト―伯爵家に平凡なβとして生まれたエヴァンは、αの優秀な兄弟たちと同じく騎士を目指して士官学校で鍛錬を重ねていた。しかし、士官学校を訪れた王太子・アレクシスと目が合った瞬間、突然発情し、エヴァンはΩであることが発覚する。同級生に襲われかけたところを王太子に救われたエヴァンは、後に王宮へ呼ばれ、王妃候補たちの護衛役を任される。護衛という名目ながら、次第に王太子から寵愛されるようになり――。　※本作品は小説投稿サイト「エブリスタ」で人気の「王の運命は後宮で王妃候補の護衛をしていました。」のコミカライズです。</v>
      </c>
      <c r="W2581" s="14"/>
      <c r="X2581" s="14" t="str">
        <f>IFERROR(__xludf.DUMMYFUNCTION("""COMPUTED_VALUE"""),"有")</f>
        <v>有</v>
      </c>
      <c r="Y2581" s="8" t="str">
        <f>IFERROR(__xludf.DUMMYFUNCTION("""COMPUTED_VALUE"""),"2025/131まで1巻無料")</f>
        <v>2025/131まで1巻無料</v>
      </c>
      <c r="Z2581" s="7"/>
      <c r="AA2581" s="7"/>
      <c r="AB2581" s="7"/>
    </row>
    <row r="2582" ht="15.75" customHeight="1">
      <c r="A2582" s="66">
        <f>IFERROR(__xludf.DUMMYFUNCTION("""COMPUTED_VALUE"""),4666.0)</f>
        <v>4666</v>
      </c>
      <c r="B2582" s="67" t="str">
        <f>IFERROR(__xludf.DUMMYFUNCTION("""COMPUTED_VALUE"""),"確定")</f>
        <v>確定</v>
      </c>
      <c r="C2582" s="68">
        <f>IFERROR(__xludf.DUMMYFUNCTION("""COMPUTED_VALUE"""),45636.0)</f>
        <v>45636</v>
      </c>
      <c r="D2582" s="68">
        <f>IFERROR(__xludf.DUMMYFUNCTION("""COMPUTED_VALUE"""),45636.0)</f>
        <v>45636</v>
      </c>
      <c r="E2582" s="60">
        <f>IFERROR(__xludf.DUMMYFUNCTION("""COMPUTED_VALUE"""),311997.0)</f>
        <v>311997</v>
      </c>
      <c r="F2582" s="61" t="str">
        <f>IFERROR(__xludf.DUMMYFUNCTION("""COMPUTED_VALUE"""),"マイリアルドレス 分冊版")</f>
        <v>マイリアルドレス 分冊版</v>
      </c>
      <c r="G2582" s="67" t="str">
        <f>IFERROR(__xludf.DUMMYFUNCTION("""COMPUTED_VALUE"""),"1～7")</f>
        <v>1～7</v>
      </c>
      <c r="H2582" s="67" t="str">
        <f>IFERROR(__xludf.DUMMYFUNCTION("""COMPUTED_VALUE"""),"碧")</f>
        <v>碧</v>
      </c>
      <c r="I2582" s="67" t="str">
        <f>IFERROR(__xludf.DUMMYFUNCTION("""COMPUTED_VALUE"""),"女性")</f>
        <v>女性</v>
      </c>
      <c r="J2582" s="67"/>
      <c r="K2582" s="67" t="str">
        <f>IFERROR(__xludf.DUMMYFUNCTION("""COMPUTED_VALUE"""),"マーガレットコミックスDIGITAL")</f>
        <v>マーガレットコミックスDIGITAL</v>
      </c>
      <c r="L2582" s="67" t="str">
        <f>IFERROR(__xludf.DUMMYFUNCTION("""COMPUTED_VALUE"""),"集英社")</f>
        <v>集英社</v>
      </c>
      <c r="M2582" s="59">
        <f>IFERROR(__xludf.DUMMYFUNCTION("""COMPUTED_VALUE"""),45658.0)</f>
        <v>45658</v>
      </c>
      <c r="N2582" s="68">
        <f>IFERROR(__xludf.DUMMYFUNCTION("""COMPUTED_VALUE"""),45688.0)</f>
        <v>45688</v>
      </c>
      <c r="O2582" s="67"/>
      <c r="P2582" s="71" t="str">
        <f>IFERROR(__xludf.DUMMYFUNCTION("""COMPUTED_VALUE"""),"否")</f>
        <v>否</v>
      </c>
      <c r="Q2582" s="72"/>
      <c r="R2582" s="67"/>
      <c r="S2582" s="67" t="str">
        <f>IFERROR(__xludf.DUMMYFUNCTION("""COMPUTED_VALUE"""),"20241210_集英社_マイリアルドレス 分冊版")</f>
        <v>20241210_集英社_マイリアルドレス 分冊版</v>
      </c>
      <c r="T2582" s="67" t="str">
        <f>IFERROR(__xludf.DUMMYFUNCTION("""COMPUTED_VALUE"""),"格納済み")</f>
        <v>格納済み</v>
      </c>
      <c r="U2582" s="15" t="str">
        <f>IFERROR(__xludf.DUMMYFUNCTION("""COMPUTED_VALUE"""),"(c)碧／集英社")</f>
        <v>(c)碧／集英社</v>
      </c>
      <c r="V2582" s="8" t="str">
        <f>IFERROR(__xludf.DUMMYFUNCTION("""COMPUTED_VALUE"""),"「あなたらしく輝く一着を届けたい。」新進気鋭のアパレルブランドオーナー・絃は、老舗百貨店で念願のポップアップ出店を果たす。理想に燃えるが、お直し部署の“王子”八木原に何かと小言を言われ…!?")</f>
        <v>「あなたらしく輝く一着を届けたい。」新進気鋭のアパレルブランドオーナー・絃は、老舗百貨店で念願のポップアップ出店を果たす。理想に燃えるが、お直し部署の“王子”八木原に何かと小言を言われ…!?</v>
      </c>
      <c r="W2582" s="14"/>
      <c r="X2582" s="14" t="str">
        <f>IFERROR(__xludf.DUMMYFUNCTION("""COMPUTED_VALUE"""),"有")</f>
        <v>有</v>
      </c>
      <c r="Y2582" s="8" t="str">
        <f>IFERROR(__xludf.DUMMYFUNCTION("""COMPUTED_VALUE"""),"2025/1/31まで1巻無料")</f>
        <v>2025/1/31まで1巻無料</v>
      </c>
      <c r="Z2582" s="7"/>
      <c r="AA2582" s="7"/>
      <c r="AB2582" s="7"/>
    </row>
    <row r="2583" ht="15.75" customHeight="1">
      <c r="A2583" s="66">
        <f>IFERROR(__xludf.DUMMYFUNCTION("""COMPUTED_VALUE"""),4667.0)</f>
        <v>4667</v>
      </c>
      <c r="B2583" s="67" t="str">
        <f>IFERROR(__xludf.DUMMYFUNCTION("""COMPUTED_VALUE"""),"確定")</f>
        <v>確定</v>
      </c>
      <c r="C2583" s="68">
        <f>IFERROR(__xludf.DUMMYFUNCTION("""COMPUTED_VALUE"""),45636.0)</f>
        <v>45636</v>
      </c>
      <c r="D2583" s="68">
        <f>IFERROR(__xludf.DUMMYFUNCTION("""COMPUTED_VALUE"""),45637.0)</f>
        <v>45637</v>
      </c>
      <c r="E2583" s="60">
        <f>IFERROR(__xludf.DUMMYFUNCTION("""COMPUTED_VALUE"""),308300.0)</f>
        <v>308300</v>
      </c>
      <c r="F2583" s="61" t="str">
        <f>IFERROR(__xludf.DUMMYFUNCTION("""COMPUTED_VALUE"""),"花葬痕をなぞる")</f>
        <v>花葬痕をなぞる</v>
      </c>
      <c r="G2583" s="67" t="str">
        <f>IFERROR(__xludf.DUMMYFUNCTION("""COMPUTED_VALUE"""),"1～4")</f>
        <v>1～4</v>
      </c>
      <c r="H2583" s="67" t="str">
        <f>IFERROR(__xludf.DUMMYFUNCTION("""COMPUTED_VALUE"""),"コムラ┴蓮井子鹿┴parasite garden")</f>
        <v>コムラ┴蓮井子鹿┴parasite garden</v>
      </c>
      <c r="I2583" s="67" t="str">
        <f>IFERROR(__xludf.DUMMYFUNCTION("""COMPUTED_VALUE"""),"TL")</f>
        <v>TL</v>
      </c>
      <c r="J2583" s="67"/>
      <c r="K2583" s="67" t="str">
        <f>IFERROR(__xludf.DUMMYFUNCTION("""COMPUTED_VALUE"""),"BLIC-TL")</f>
        <v>BLIC-TL</v>
      </c>
      <c r="L2583" s="67" t="str">
        <f>IFERROR(__xludf.DUMMYFUNCTION("""COMPUTED_VALUE"""),"クロスフォリオ出版")</f>
        <v>クロスフォリオ出版</v>
      </c>
      <c r="M2583" s="85">
        <f>IFERROR(__xludf.DUMMYFUNCTION("""COMPUTED_VALUE"""),45646.0)</f>
        <v>45646</v>
      </c>
      <c r="N2583" s="68">
        <f>IFERROR(__xludf.DUMMYFUNCTION("""COMPUTED_VALUE"""),45708.0)</f>
        <v>45708</v>
      </c>
      <c r="O2583" s="67"/>
      <c r="P2583" s="70" t="str">
        <f>IFERROR(__xludf.DUMMYFUNCTION("""COMPUTED_VALUE"""),"可")</f>
        <v>可</v>
      </c>
      <c r="Q2583" s="72" t="str">
        <f>IFERROR(__xludf.DUMMYFUNCTION("""COMPUTED_VALUE"""),"parasite garden作品です。")</f>
        <v>parasite garden作品です。</v>
      </c>
      <c r="R2583" s="67"/>
      <c r="S2583" s="67" t="str">
        <f>IFERROR(__xludf.DUMMYFUNCTION("""COMPUTED_VALUE"""),"20241210_BookLive_花葬痕をなぞる")</f>
        <v>20241210_BookLive_花葬痕をなぞる</v>
      </c>
      <c r="T2583" s="67" t="str">
        <f>IFERROR(__xludf.DUMMYFUNCTION("""COMPUTED_VALUE"""),"格納済み")</f>
        <v>格納済み</v>
      </c>
      <c r="U2583" s="15" t="str">
        <f>IFERROR(__xludf.DUMMYFUNCTION("""COMPUTED_VALUE"""),"(c)コムラ/蓮井子鹿/parasite garden/クロスフォリオ出版")</f>
        <v>(c)コムラ/蓮井子鹿/parasite garden/クロスフォリオ出版</v>
      </c>
      <c r="V2583" s="8" t="str">
        <f>IFERROR(__xludf.DUMMYFUNCTION("""COMPUTED_VALUE"""),"自由が欲しかった。
あんな窮屈な鳥籠の中みたいな生活、少しも望んでなかったんだから。
幼い頃、母親が再婚して由緒正しい家柄「百合宮」のご令嬢となった貴方。
庶民として暮らしてきた貴方は百合宮の家の窮屈な暮らしに慣れることはなく鬱屈とした不自由な生活を送っていた。
それだけならまだ仕方のないことと諦められたが、貴方に異常なまでに執着しとある理由で逆らえないのをいいことにやりたい放題してくる執事「百鬼宗一」に恐怖と嫌悪を覚えて家にいても心が休まらなかった……
大人になった貴方は耐えに耐えかね"&amp;"て家出を決行する。
見事に成功し、地方都市の片隅で偽名を使って自立して働きやっと「自由」を手に入れた。
そのはずだったのにある日帰宅すると百鬼がいて――。
※本作はコムラ、蓮井子鹿の個人誌作品の電子書籍版となります。【25ページ】")</f>
        <v>自由が欲しかった。
あんな窮屈な鳥籠の中みたいな生活、少しも望んでなかったんだから。
幼い頃、母親が再婚して由緒正しい家柄「百合宮」のご令嬢となった貴方。
庶民として暮らしてきた貴方は百合宮の家の窮屈な暮らしに慣れることはなく鬱屈とした不自由な生活を送っていた。
それだけならまだ仕方のないことと諦められたが、貴方に異常なまでに執着しとある理由で逆らえないのをいいことにやりたい放題してくる執事「百鬼宗一」に恐怖と嫌悪を覚えて家にいても心が休まらなかった……
大人になった貴方は耐えに耐えかねて家出を決行する。
見事に成功し、地方都市の片隅で偽名を使って自立して働きやっと「自由」を手に入れた。
そのはずだったのにある日帰宅すると百鬼がいて――。
※本作はコムラ、蓮井子鹿の個人誌作品の電子書籍版となります。【25ページ】</v>
      </c>
      <c r="W2583" s="14"/>
      <c r="X2583" s="14" t="str">
        <f>IFERROR(__xludf.DUMMYFUNCTION("""COMPUTED_VALUE"""),"有")</f>
        <v>有</v>
      </c>
      <c r="Y2583" s="8" t="str">
        <f>IFERROR(__xludf.DUMMYFUNCTION("""COMPUTED_VALUE"""),"2025/1/9まで1巻無料")</f>
        <v>2025/1/9まで1巻無料</v>
      </c>
      <c r="Z2583" s="7"/>
      <c r="AA2583" s="7"/>
      <c r="AB2583" s="7"/>
    </row>
    <row r="2584" ht="15.75" customHeight="1">
      <c r="A2584" s="66">
        <f>IFERROR(__xludf.DUMMYFUNCTION("""COMPUTED_VALUE"""),4668.0)</f>
        <v>4668</v>
      </c>
      <c r="B2584" s="67" t="str">
        <f>IFERROR(__xludf.DUMMYFUNCTION("""COMPUTED_VALUE"""),"確定")</f>
        <v>確定</v>
      </c>
      <c r="C2584" s="68">
        <f>IFERROR(__xludf.DUMMYFUNCTION("""COMPUTED_VALUE"""),45636.0)</f>
        <v>45636</v>
      </c>
      <c r="D2584" s="68">
        <f>IFERROR(__xludf.DUMMYFUNCTION("""COMPUTED_VALUE"""),45637.0)</f>
        <v>45637</v>
      </c>
      <c r="E2584" s="60">
        <f>IFERROR(__xludf.DUMMYFUNCTION("""COMPUTED_VALUE"""),311876.0)</f>
        <v>311876</v>
      </c>
      <c r="F2584" s="61" t="str">
        <f>IFERROR(__xludf.DUMMYFUNCTION("""COMPUTED_VALUE"""),"元戦闘用奴隷ですが、助けてくれた竜人は番だそうです。")</f>
        <v>元戦闘用奴隷ですが、助けてくれた竜人は番だそうです。</v>
      </c>
      <c r="G2584" s="67">
        <f>IFERROR(__xludf.DUMMYFUNCTION("""COMPUTED_VALUE"""),1.0)</f>
        <v>1</v>
      </c>
      <c r="H2584" s="67" t="str">
        <f>IFERROR(__xludf.DUMMYFUNCTION("""COMPUTED_VALUE"""),"原作：早瀬黒絵・絵：城キイコ")</f>
        <v>原作：早瀬黒絵・絵：城キイコ</v>
      </c>
      <c r="I2584" s="67" t="str">
        <f>IFERROR(__xludf.DUMMYFUNCTION("""COMPUTED_VALUE"""),"女性")</f>
        <v>女性</v>
      </c>
      <c r="J2584" s="87"/>
      <c r="K2584" s="87"/>
      <c r="L2584" s="67" t="str">
        <f>IFERROR(__xludf.DUMMYFUNCTION("""COMPUTED_VALUE"""),"マンガボックス")</f>
        <v>マンガボックス</v>
      </c>
      <c r="M2584" s="23">
        <f>IFERROR(__xludf.DUMMYFUNCTION("""COMPUTED_VALUE"""),45673.0)</f>
        <v>45673</v>
      </c>
      <c r="N2584" s="68">
        <f>IFERROR(__xludf.DUMMYFUNCTION("""COMPUTED_VALUE"""),45853.66666666667)</f>
        <v>45853.66667</v>
      </c>
      <c r="O2584" s="67"/>
      <c r="P2584" s="70" t="str">
        <f>IFERROR(__xludf.DUMMYFUNCTION("""COMPUTED_VALUE"""),"否")</f>
        <v>否</v>
      </c>
      <c r="Q2584" s="72" t="str">
        <f>IFERROR(__xludf.DUMMYFUNCTION("""COMPUTED_VALUE"""),"3955(分冊版)でコミットいただいた作品の単行本版も先行いただきました。&lt;BR&gt;出稿するのは恐らく分冊版になるとお伝え済。分冊版１～５話分が単行本収録となります")</f>
        <v>3955(分冊版)でコミットいただいた作品の単行本版も先行いただきました。&lt;BR&gt;出稿するのは恐らく分冊版になるとお伝え済。分冊版１～５話分が単行本収録となります</v>
      </c>
      <c r="R2584" s="67"/>
      <c r="S2584" s="67" t="str">
        <f>IFERROR(__xludf.DUMMYFUNCTION("""COMPUTED_VALUE"""),"20241213_マンガボックス_元戦闘用奴隷ですが、助けてくれた竜人は番だそうです。（単行本）	")</f>
        <v>20241213_マンガボックス_元戦闘用奴隷ですが、助けてくれた竜人は番だそうです。（単行本）	</v>
      </c>
      <c r="T2584" s="75" t="str">
        <f>IFERROR(__xludf.DUMMYFUNCTION("""COMPUTED_VALUE"""),"格納済み")</f>
        <v>格納済み</v>
      </c>
      <c r="U2584" s="15" t="str">
        <f>IFERROR(__xludf.DUMMYFUNCTION("""COMPUTED_VALUE"""),"(C)早瀬黒絵・城キイコ/マンガボックス")</f>
        <v>(C)早瀬黒絵・城キイコ/マンガボックス</v>
      </c>
      <c r="V2584" s="8" t="str">
        <f>IFERROR(__xludf.DUMMYFUNCTION("""COMPUTED_VALUE"""),"ユイは戦闘用奴隷として戦うだけの悲惨な毎日を過ごしていた。ある日、警備隊として闘技場の摘発に向かった竜人のセレスト。戦う彼女の姿をひと目見て、神が定めた運命の相手【番】だと気付き──？奇跡的な出会いによって、二人の運命が今交わりだす…！")</f>
        <v>ユイは戦闘用奴隷として戦うだけの悲惨な毎日を過ごしていた。ある日、警備隊として闘技場の摘発に向かった竜人のセレスト。戦う彼女の姿をひと目見て、神が定めた運命の相手【番】だと気付き──？奇跡的な出会いによって、二人の運命が今交わりだす…！</v>
      </c>
      <c r="W2584" s="14"/>
      <c r="X2584" s="14" t="str">
        <f>IFERROR(__xludf.DUMMYFUNCTION("""COMPUTED_VALUE"""),"有")</f>
        <v>有</v>
      </c>
      <c r="Y2584" s="8" t="str">
        <f>IFERROR(__xludf.DUMMYFUNCTION("""COMPUTED_VALUE"""),"P32まで")</f>
        <v>P32まで</v>
      </c>
      <c r="Z2584" s="7"/>
      <c r="AA2584" s="7"/>
      <c r="AB2584" s="7"/>
    </row>
    <row r="2585" ht="15.75" customHeight="1">
      <c r="A2585" s="66">
        <f>IFERROR(__xludf.DUMMYFUNCTION("""COMPUTED_VALUE"""),4672.0)</f>
        <v>4672</v>
      </c>
      <c r="B2585" s="67" t="str">
        <f>IFERROR(__xludf.DUMMYFUNCTION("""COMPUTED_VALUE"""),"確定")</f>
        <v>確定</v>
      </c>
      <c r="C2585" s="68">
        <f>IFERROR(__xludf.DUMMYFUNCTION("""COMPUTED_VALUE"""),45637.0)</f>
        <v>45637</v>
      </c>
      <c r="D2585" s="68">
        <f>IFERROR(__xludf.DUMMYFUNCTION("""COMPUTED_VALUE"""),45637.0)</f>
        <v>45637</v>
      </c>
      <c r="E2585" s="60">
        <f>IFERROR(__xludf.DUMMYFUNCTION("""COMPUTED_VALUE"""),308297.0)</f>
        <v>308297</v>
      </c>
      <c r="F2585" s="61" t="str">
        <f>IFERROR(__xludf.DUMMYFUNCTION("""COMPUTED_VALUE"""),"花葬痕をなぞる【R版】")</f>
        <v>花葬痕をなぞる【R版】</v>
      </c>
      <c r="G2585" s="67" t="str">
        <f>IFERROR(__xludf.DUMMYFUNCTION("""COMPUTED_VALUE"""),"1～4")</f>
        <v>1～4</v>
      </c>
      <c r="H2585" s="67" t="str">
        <f>IFERROR(__xludf.DUMMYFUNCTION("""COMPUTED_VALUE"""),"コムラ┴蓮井子鹿┴parasite garden")</f>
        <v>コムラ┴蓮井子鹿┴parasite garden</v>
      </c>
      <c r="I2585" s="67" t="str">
        <f>IFERROR(__xludf.DUMMYFUNCTION("""COMPUTED_VALUE"""),"アダルトマンガ")</f>
        <v>アダルトマンガ</v>
      </c>
      <c r="J2585" s="67"/>
      <c r="K2585" s="67" t="str">
        <f>IFERROR(__xludf.DUMMYFUNCTION("""COMPUTED_VALUE"""),"BLIC-TL")</f>
        <v>BLIC-TL</v>
      </c>
      <c r="L2585" s="67" t="str">
        <f>IFERROR(__xludf.DUMMYFUNCTION("""COMPUTED_VALUE"""),"クロスフォリオ出版")</f>
        <v>クロスフォリオ出版</v>
      </c>
      <c r="M2585" s="85">
        <f>IFERROR(__xludf.DUMMYFUNCTION("""COMPUTED_VALUE"""),45646.0)</f>
        <v>45646</v>
      </c>
      <c r="N2585" s="68">
        <f>IFERROR(__xludf.DUMMYFUNCTION("""COMPUTED_VALUE"""),45708.0)</f>
        <v>45708</v>
      </c>
      <c r="O2585" s="67"/>
      <c r="P2585" s="70" t="str">
        <f>IFERROR(__xludf.DUMMYFUNCTION("""COMPUTED_VALUE"""),"可")</f>
        <v>可</v>
      </c>
      <c r="Q2585" s="72" t="str">
        <f>IFERROR(__xludf.DUMMYFUNCTION("""COMPUTED_VALUE"""),"parasite garden作品です。")</f>
        <v>parasite garden作品です。</v>
      </c>
      <c r="R2585" s="67"/>
      <c r="S2585" s="67" t="str">
        <f>IFERROR(__xludf.DUMMYFUNCTION("""COMPUTED_VALUE"""),"20241210_BookLive_花葬痕をなぞる【R版】")</f>
        <v>20241210_BookLive_花葬痕をなぞる【R版】</v>
      </c>
      <c r="T2585" s="67" t="str">
        <f>IFERROR(__xludf.DUMMYFUNCTION("""COMPUTED_VALUE"""),"格納済み")</f>
        <v>格納済み</v>
      </c>
      <c r="U2585" s="15" t="str">
        <f>IFERROR(__xludf.DUMMYFUNCTION("""COMPUTED_VALUE"""),"(c)コムラ/蓮井子鹿/parasite garden/クロスフォリオ出版")</f>
        <v>(c)コムラ/蓮井子鹿/parasite garden/クロスフォリオ出版</v>
      </c>
      <c r="V2585" s="8" t="str">
        <f>IFERROR(__xludf.DUMMYFUNCTION("""COMPUTED_VALUE"""),"自由が欲しかった。
あんな窮屈な鳥籠の中みたいな生活、少しも望んでなかったんだから。
幼い頃、母親が再婚して由緒正しい家柄「百合宮」のご令嬢となった貴方。
庶民として暮らしてきた貴方は百合宮の家の窮屈な暮らしに慣れることはなく鬱屈とした不自由な生活を送っていた。
それだけならまだ仕方のないことと諦められたが、貴方に異常なまでに執着しとある理由で逆らえないのをいいことにやりたい放題してくる執事「百鬼宗一」に恐怖と嫌悪を覚えて家にいても心が休まらなかった……
大人になった貴方は耐えに耐えかね"&amp;"て家出を決行する。
見事に成功し、地方都市の片隅で偽名を使って自立して働きやっと「自由」を手に入れた。
そのはずだったのにある日帰宅すると百鬼がいて――。
※本作はコムラ、蓮井子鹿の個人誌作品の電子書籍版となります。【25ページ】
※本作は『花葬痕をなぞる』の修正をやや弱めたものです。内容に差異はありません。")</f>
        <v>自由が欲しかった。
あんな窮屈な鳥籠の中みたいな生活、少しも望んでなかったんだから。
幼い頃、母親が再婚して由緒正しい家柄「百合宮」のご令嬢となった貴方。
庶民として暮らしてきた貴方は百合宮の家の窮屈な暮らしに慣れることはなく鬱屈とした不自由な生活を送っていた。
それだけならまだ仕方のないことと諦められたが、貴方に異常なまでに執着しとある理由で逆らえないのをいいことにやりたい放題してくる執事「百鬼宗一」に恐怖と嫌悪を覚えて家にいても心が休まらなかった……
大人になった貴方は耐えに耐えかねて家出を決行する。
見事に成功し、地方都市の片隅で偽名を使って自立して働きやっと「自由」を手に入れた。
そのはずだったのにある日帰宅すると百鬼がいて――。
※本作はコムラ、蓮井子鹿の個人誌作品の電子書籍版となります。【25ページ】
※本作は『花葬痕をなぞる』の修正をやや弱めたものです。内容に差異はありません。</v>
      </c>
      <c r="W2585" s="14"/>
      <c r="X2585" s="14" t="str">
        <f>IFERROR(__xludf.DUMMYFUNCTION("""COMPUTED_VALUE"""),"有")</f>
        <v>有</v>
      </c>
      <c r="Y2585" s="8" t="str">
        <f>IFERROR(__xludf.DUMMYFUNCTION("""COMPUTED_VALUE"""),"P13まで")</f>
        <v>P13まで</v>
      </c>
      <c r="Z2585" s="7"/>
      <c r="AA2585" s="7"/>
      <c r="AB2585" s="7"/>
    </row>
    <row r="2586" ht="15.75" customHeight="1">
      <c r="A2586" s="66">
        <f>IFERROR(__xludf.DUMMYFUNCTION("""COMPUTED_VALUE"""),4333.0)</f>
        <v>4333</v>
      </c>
      <c r="B2586" s="75" t="str">
        <f>IFERROR(__xludf.DUMMYFUNCTION("""COMPUTED_VALUE"""),"確定")</f>
        <v>確定</v>
      </c>
      <c r="C2586" s="68">
        <f>IFERROR(__xludf.DUMMYFUNCTION("""COMPUTED_VALUE"""),45581.0)</f>
        <v>45581</v>
      </c>
      <c r="D2586" s="68">
        <f>IFERROR(__xludf.DUMMYFUNCTION("""COMPUTED_VALUE"""),45642.0)</f>
        <v>45642</v>
      </c>
      <c r="E2586" s="60">
        <f>IFERROR(__xludf.DUMMYFUNCTION("""COMPUTED_VALUE"""),311598.0)</f>
        <v>311598</v>
      </c>
      <c r="F2586" s="60" t="str">
        <f>IFERROR(__xludf.DUMMYFUNCTION("""COMPUTED_VALUE"""),"【単話版】これが最後の×××かも")</f>
        <v>【単話版】これが最後の×××かも</v>
      </c>
      <c r="G2586" s="75" t="str">
        <f>IFERROR(__xludf.DUMMYFUNCTION("""COMPUTED_VALUE"""),"1～4")</f>
        <v>1～4</v>
      </c>
      <c r="H2586" s="75" t="str">
        <f>IFERROR(__xludf.DUMMYFUNCTION("""COMPUTED_VALUE"""),"ねじがなめた")</f>
        <v>ねじがなめた</v>
      </c>
      <c r="I2586" s="75" t="str">
        <f>IFERROR(__xludf.DUMMYFUNCTION("""COMPUTED_VALUE"""),"女性")</f>
        <v>女性</v>
      </c>
      <c r="J2586" s="87"/>
      <c r="K2586" s="87"/>
      <c r="L2586" s="75" t="str">
        <f>IFERROR(__xludf.DUMMYFUNCTION("""COMPUTED_VALUE"""),"新潮社")</f>
        <v>新潮社</v>
      </c>
      <c r="M2586" s="23">
        <f>IFERROR(__xludf.DUMMYFUNCTION("""COMPUTED_VALUE"""),45682.0)</f>
        <v>45682</v>
      </c>
      <c r="N2586" s="23">
        <f>IFERROR(__xludf.DUMMYFUNCTION("""COMPUTED_VALUE"""),46021.0)</f>
        <v>46021</v>
      </c>
      <c r="O2586" s="75"/>
      <c r="P2586" s="80" t="str">
        <f>IFERROR(__xludf.DUMMYFUNCTION("""COMPUTED_VALUE"""),"可")</f>
        <v>可</v>
      </c>
      <c r="Q2586" s="75" t="str">
        <f>IFERROR(__xludf.DUMMYFUNCTION("""COMPUTED_VALUE"""),"3巻目までで制作お願いします")</f>
        <v>3巻目までで制作お願いします</v>
      </c>
      <c r="R2586" s="75" t="str">
        <f>IFERROR(__xludf.DUMMYFUNCTION("""COMPUTED_VALUE"""),"コミットOK")</f>
        <v>コミットOK</v>
      </c>
      <c r="S2586" s="75" t="str">
        <f>IFERROR(__xludf.DUMMYFUNCTION("""COMPUTED_VALUE"""),"20241212_新潮社_これが最後の✘✘✘かも")</f>
        <v>20241212_新潮社_これが最後の✘✘✘かも</v>
      </c>
      <c r="T2586" s="75" t="str">
        <f>IFERROR(__xludf.DUMMYFUNCTION("""COMPUTED_VALUE"""),"格納済み")</f>
        <v>格納済み</v>
      </c>
      <c r="U2586" s="15" t="str">
        <f>IFERROR(__xludf.DUMMYFUNCTION("""COMPUTED_VALUE"""),"Ⓒねじがなめた／新潮社")</f>
        <v>Ⓒねじがなめた／新潮社</v>
      </c>
      <c r="V2586" s="8" t="str">
        <f>IFERROR(__xludf.DUMMYFUNCTION("""COMPUTED_VALUE"""),"30代女性の性をリアルに描くオムニバスストーリー！　第1エピソード「ひとりでいきていくふたり」→佐野美嘉子は35歳、独身。彼氏はもう10年はいない。仕事仲間は既婚者が多いけど、べつに死ぬ気で出会いを求めているわけではない。あまり結婚も子供も興味ないし、一人で生きていけるし……。そんな彼女の前に現れたのは、チャラめな営業・橋元。「孤独死上等」とのたまう彼に興味を持った美嘉子だが……!?")</f>
        <v>30代女性の性をリアルに描くオムニバスストーリー！　第1エピソード「ひとりでいきていくふたり」→佐野美嘉子は35歳、独身。彼氏はもう10年はいない。仕事仲間は既婚者が多いけど、べつに死ぬ気で出会いを求めているわけではない。あまり結婚も子供も興味ないし、一人で生きていけるし……。そんな彼女の前に現れたのは、チャラめな営業・橋元。「孤独死上等」とのたまう彼に興味を持った美嘉子だが……!?</v>
      </c>
      <c r="W2586" s="14"/>
      <c r="X2586" s="14" t="str">
        <f>IFERROR(__xludf.DUMMYFUNCTION("""COMPUTED_VALUE"""),"有")</f>
        <v>有</v>
      </c>
      <c r="Y2586" s="8" t="str">
        <f>IFERROR(__xludf.DUMMYFUNCTION("""COMPUTED_VALUE"""),"2025/2/7まで1巻無料")</f>
        <v>2025/2/7まで1巻無料</v>
      </c>
      <c r="Z2586" s="7"/>
      <c r="AA2586" s="7"/>
      <c r="AB2586" s="7"/>
    </row>
    <row r="2587" ht="15.75" customHeight="1">
      <c r="A2587" s="66">
        <f>IFERROR(__xludf.DUMMYFUNCTION("""COMPUTED_VALUE"""),4462.0)</f>
        <v>4462</v>
      </c>
      <c r="B2587" s="75" t="str">
        <f>IFERROR(__xludf.DUMMYFUNCTION("""COMPUTED_VALUE"""),"確定")</f>
        <v>確定</v>
      </c>
      <c r="C2587" s="68">
        <f>IFERROR(__xludf.DUMMYFUNCTION("""COMPUTED_VALUE"""),45601.0)</f>
        <v>45601</v>
      </c>
      <c r="D2587" s="68">
        <f>IFERROR(__xludf.DUMMYFUNCTION("""COMPUTED_VALUE"""),45642.0)</f>
        <v>45642</v>
      </c>
      <c r="E2587" s="60">
        <f>IFERROR(__xludf.DUMMYFUNCTION("""COMPUTED_VALUE"""),311374.0)</f>
        <v>311374</v>
      </c>
      <c r="F2587" s="60" t="str">
        <f>IFERROR(__xludf.DUMMYFUNCTION("""COMPUTED_VALUE"""),"涼くんは誰に抱かれたい？")</f>
        <v>涼くんは誰に抱かれたい？</v>
      </c>
      <c r="G2587" s="75" t="str">
        <f>IFERROR(__xludf.DUMMYFUNCTION("""COMPUTED_VALUE"""),"1～2")</f>
        <v>1～2</v>
      </c>
      <c r="H2587" s="75" t="str">
        <f>IFERROR(__xludf.DUMMYFUNCTION("""COMPUTED_VALUE"""),"三田ロジ")</f>
        <v>三田ロジ</v>
      </c>
      <c r="I2587" s="75" t="str">
        <f>IFERROR(__xludf.DUMMYFUNCTION("""COMPUTED_VALUE"""),"BL")</f>
        <v>BL</v>
      </c>
      <c r="J2587" s="75"/>
      <c r="K2587" s="75" t="str">
        <f>IFERROR(__xludf.DUMMYFUNCTION("""COMPUTED_VALUE"""),"MooiComics")</f>
        <v>MooiComics</v>
      </c>
      <c r="L2587" s="75" t="str">
        <f>IFERROR(__xludf.DUMMYFUNCTION("""COMPUTED_VALUE"""),"CLLENN")</f>
        <v>CLLENN</v>
      </c>
      <c r="M2587" s="23">
        <f>IFERROR(__xludf.DUMMYFUNCTION("""COMPUTED_VALUE"""),45678.0)</f>
        <v>45678</v>
      </c>
      <c r="N2587" s="23">
        <f>IFERROR(__xludf.DUMMYFUNCTION("""COMPUTED_VALUE"""),45733.0)</f>
        <v>45733</v>
      </c>
      <c r="O2587" s="75"/>
      <c r="P2587" s="71" t="str">
        <f>IFERROR(__xludf.DUMMYFUNCTION("""COMPUTED_VALUE"""),"可")</f>
        <v>可</v>
      </c>
      <c r="Q2587" s="75"/>
      <c r="R2587" s="75" t="str">
        <f>IFERROR(__xludf.DUMMYFUNCTION("""COMPUTED_VALUE"""),"コミットOK")</f>
        <v>コミットOK</v>
      </c>
      <c r="S2587" s="75" t="str">
        <f>IFERROR(__xludf.DUMMYFUNCTION("""COMPUTED_VALUE"""),"20241216_CLLENN_涼くんは誰に抱かれたい？")</f>
        <v>20241216_CLLENN_涼くんは誰に抱かれたい？</v>
      </c>
      <c r="T2587" s="75" t="str">
        <f>IFERROR(__xludf.DUMMYFUNCTION("""COMPUTED_VALUE"""),"格納済み")</f>
        <v>格納済み</v>
      </c>
      <c r="U2587" s="15" t="str">
        <f>IFERROR(__xludf.DUMMYFUNCTION("""COMPUTED_VALUE"""),"Ⓒ三田ロジ/CLLENN")</f>
        <v>Ⓒ三田ロジ/CLLENN</v>
      </c>
      <c r="V2587" s="8" t="str">
        <f>IFERROR(__xludf.DUMMYFUNCTION("""COMPUTED_VALUE"""),"『俺も一度でいいから抱かれたい…!!』【陽キャ人気出張ホスト？】×【浮気された抱かれたいタチ】の溺愛ほだされ大学生BL!!同じ大学の彼氏と付き合って二年になる涼＜りょう＞には悩みがあった。それは、タチをしているが本当は「抱かれたい願望」があること！ 悶々とした気持ちを抱え過ごしていたある日、自宅に帰ると彼氏は浮気の真っ最中!! しかも、あんなにお願いしてもダメだった「タチ」をやっているなんてっ!!! すぐに別れを告げ、やけ酒をしていた涼は酔った勢いで一番人気の出張ホストを呼ぶことに。だが、やって来たのは同"&amp;"じ大学で元カレの友人でもある結城＜ゆうき＞で――。「俺なら涼くんが満足するまで抱いて離さないけどな」となぜかグイグイ迫られ……!?")</f>
        <v>『俺も一度でいいから抱かれたい…!!』【陽キャ人気出張ホスト？】×【浮気された抱かれたいタチ】の溺愛ほだされ大学生BL!!同じ大学の彼氏と付き合って二年になる涼＜りょう＞には悩みがあった。それは、タチをしているが本当は「抱かれたい願望」があること！ 悶々とした気持ちを抱え過ごしていたある日、自宅に帰ると彼氏は浮気の真っ最中!! しかも、あんなにお願いしてもダメだった「タチ」をやっているなんてっ!!! すぐに別れを告げ、やけ酒をしていた涼は酔った勢いで一番人気の出張ホストを呼ぶことに。だが、やって来たのは同じ大学で元カレの友人でもある結城＜ゆうき＞で――。「俺なら涼くんが満足するまで抱いて離さないけどな」となぜかグイグイ迫られ……!?</v>
      </c>
      <c r="W2587" s="14"/>
      <c r="X2587" s="14" t="str">
        <f>IFERROR(__xludf.DUMMYFUNCTION("""COMPUTED_VALUE"""),"有")</f>
        <v>有</v>
      </c>
      <c r="Y2587" s="8" t="str">
        <f>IFERROR(__xludf.DUMMYFUNCTION("""COMPUTED_VALUE"""),"2025/2/3まで立ち読み増量P16まで")</f>
        <v>2025/2/3まで立ち読み増量P16まで</v>
      </c>
      <c r="Z2587" s="7"/>
      <c r="AA2587" s="7"/>
      <c r="AB2587" s="7"/>
    </row>
    <row r="2588" ht="15.75" customHeight="1">
      <c r="A2588" s="66">
        <f>IFERROR(__xludf.DUMMYFUNCTION("""COMPUTED_VALUE"""),4467.0)</f>
        <v>4467</v>
      </c>
      <c r="B2588" s="75" t="str">
        <f>IFERROR(__xludf.DUMMYFUNCTION("""COMPUTED_VALUE"""),"確定")</f>
        <v>確定</v>
      </c>
      <c r="C2588" s="68">
        <f>IFERROR(__xludf.DUMMYFUNCTION("""COMPUTED_VALUE"""),45603.0)</f>
        <v>45603</v>
      </c>
      <c r="D2588" s="68">
        <f>IFERROR(__xludf.DUMMYFUNCTION("""COMPUTED_VALUE"""),45642.0)</f>
        <v>45642</v>
      </c>
      <c r="E2588" s="60">
        <f>IFERROR(__xludf.DUMMYFUNCTION("""COMPUTED_VALUE"""),311375.0)</f>
        <v>311375</v>
      </c>
      <c r="F2588" s="60" t="str">
        <f>IFERROR(__xludf.DUMMYFUNCTION("""COMPUTED_VALUE"""),"ムケなきゃ恋は始まらない！？")</f>
        <v>ムケなきゃ恋は始まらない！？</v>
      </c>
      <c r="G2588" s="75" t="str">
        <f>IFERROR(__xludf.DUMMYFUNCTION("""COMPUTED_VALUE"""),"1～2")</f>
        <v>1～2</v>
      </c>
      <c r="H2588" s="75" t="str">
        <f>IFERROR(__xludf.DUMMYFUNCTION("""COMPUTED_VALUE"""),"いちい")</f>
        <v>いちい</v>
      </c>
      <c r="I2588" s="75" t="str">
        <f>IFERROR(__xludf.DUMMYFUNCTION("""COMPUTED_VALUE"""),"BL")</f>
        <v>BL</v>
      </c>
      <c r="J2588" s="83"/>
      <c r="K2588" s="83" t="str">
        <f>IFERROR(__xludf.DUMMYFUNCTION("""COMPUTED_VALUE"""),"MooiComics")</f>
        <v>MooiComics</v>
      </c>
      <c r="L2588" s="75" t="str">
        <f>IFERROR(__xludf.DUMMYFUNCTION("""COMPUTED_VALUE"""),"CLLENN")</f>
        <v>CLLENN</v>
      </c>
      <c r="M2588" s="23">
        <f>IFERROR(__xludf.DUMMYFUNCTION("""COMPUTED_VALUE"""),45678.0)</f>
        <v>45678</v>
      </c>
      <c r="N2588" s="23">
        <f>IFERROR(__xludf.DUMMYFUNCTION("""COMPUTED_VALUE"""),45733.0)</f>
        <v>45733</v>
      </c>
      <c r="O2588" s="75"/>
      <c r="P2588" s="71" t="str">
        <f>IFERROR(__xludf.DUMMYFUNCTION("""COMPUTED_VALUE"""),"可")</f>
        <v>可</v>
      </c>
      <c r="Q2588" s="75"/>
      <c r="R2588" s="75" t="str">
        <f>IFERROR(__xludf.DUMMYFUNCTION("""COMPUTED_VALUE"""),"コミットOK")</f>
        <v>コミットOK</v>
      </c>
      <c r="S2588" s="75" t="str">
        <f>IFERROR(__xludf.DUMMYFUNCTION("""COMPUTED_VALUE"""),"20241216_CLLENN_ムケなきゃ恋は始まらない！？")</f>
        <v>20241216_CLLENN_ムケなきゃ恋は始まらない！？</v>
      </c>
      <c r="T2588" s="75" t="str">
        <f>IFERROR(__xludf.DUMMYFUNCTION("""COMPUTED_VALUE"""),"格納済み")</f>
        <v>格納済み</v>
      </c>
      <c r="U2588" s="15" t="str">
        <f>IFERROR(__xludf.DUMMYFUNCTION("""COMPUTED_VALUE"""),"Ⓒいちい/CLLENN")</f>
        <v>Ⓒいちい/CLLENN</v>
      </c>
      <c r="V2588" s="8" t="str">
        <f>IFERROR(__xludf.DUMMYFUNCTION("""COMPUTED_VALUE"""),"「どうしたら宇川みたいになれるんだ！」最強クラスのビジュアルを持つ大学生・三國（みくに）には、誰にも言えないコンプレックスがあった――。それは、”アレ”が可愛く皮をかぶっていて、未使用であること。唯一の弱点を克服したいと悩むも、ルームメイトで幼馴染の宇川（うかわ）に秘密がバレてしまう。彼はかつて三國のブツを見て「かわいいね」と言い放った因縁の相手だが、立派なブツの持ち主で――！？渋々、彼からとある手ほどきを受けることになるが…。「なんだよコレっ…自分でする時と全然違う……！」ヒミツの快感レッスンから始まる"&amp;"【オタク陰キャ×ちょろカワ陽キャ】のドタバタラブコメ！")</f>
        <v>「どうしたら宇川みたいになれるんだ！」最強クラスのビジュアルを持つ大学生・三國（みくに）には、誰にも言えないコンプレックスがあった――。それは、”アレ”が可愛く皮をかぶっていて、未使用であること。唯一の弱点を克服したいと悩むも、ルームメイトで幼馴染の宇川（うかわ）に秘密がバレてしまう。彼はかつて三國のブツを見て「かわいいね」と言い放った因縁の相手だが、立派なブツの持ち主で――！？渋々、彼からとある手ほどきを受けることになるが…。「なんだよコレっ…自分でする時と全然違う……！」ヒミツの快感レッスンから始まる【オタク陰キャ×ちょろカワ陽キャ】のドタバタラブコメ！</v>
      </c>
      <c r="W2588" s="14"/>
      <c r="X2588" s="14" t="str">
        <f>IFERROR(__xludf.DUMMYFUNCTION("""COMPUTED_VALUE"""),"有")</f>
        <v>有</v>
      </c>
      <c r="Y2588" s="8" t="str">
        <f>IFERROR(__xludf.DUMMYFUNCTION("""COMPUTED_VALUE"""),"2025/2/3まで立ち読み増量P19まで")</f>
        <v>2025/2/3まで立ち読み増量P19まで</v>
      </c>
      <c r="Z2588" s="7"/>
      <c r="AA2588" s="7"/>
      <c r="AB2588" s="7"/>
    </row>
    <row r="2589" ht="15.75" customHeight="1">
      <c r="A2589" s="66">
        <f>IFERROR(__xludf.DUMMYFUNCTION("""COMPUTED_VALUE"""),4479.0)</f>
        <v>4479</v>
      </c>
      <c r="B2589" s="75" t="str">
        <f>IFERROR(__xludf.DUMMYFUNCTION("""COMPUTED_VALUE"""),"確定")</f>
        <v>確定</v>
      </c>
      <c r="C2589" s="68">
        <f>IFERROR(__xludf.DUMMYFUNCTION("""COMPUTED_VALUE"""),45604.0)</f>
        <v>45604</v>
      </c>
      <c r="D2589" s="68">
        <f>IFERROR(__xludf.DUMMYFUNCTION("""COMPUTED_VALUE"""),45644.0)</f>
        <v>45644</v>
      </c>
      <c r="E2589" s="60">
        <f>IFERROR(__xludf.DUMMYFUNCTION("""COMPUTED_VALUE"""),312848.0)</f>
        <v>312848</v>
      </c>
      <c r="F2589" s="60" t="str">
        <f>IFERROR(__xludf.DUMMYFUNCTION("""COMPUTED_VALUE"""),"もふもふの神様と旅に出ます。神殿には二度と戻りません！（コミック）")</f>
        <v>もふもふの神様と旅に出ます。神殿には二度と戻りません！（コミック）</v>
      </c>
      <c r="G2589" s="75" t="str">
        <f>IFERROR(__xludf.DUMMYFUNCTION("""COMPUTED_VALUE"""),"1～6")</f>
        <v>1～6</v>
      </c>
      <c r="H2589" s="75" t="str">
        <f>IFERROR(__xludf.DUMMYFUNCTION("""COMPUTED_VALUE"""),"ゆんける/四季葉 /むらき")</f>
        <v>ゆんける/四季葉 /むらき</v>
      </c>
      <c r="I2589" s="75" t="str">
        <f>IFERROR(__xludf.DUMMYFUNCTION("""COMPUTED_VALUE"""),"少女マンガ")</f>
        <v>少女マンガ</v>
      </c>
      <c r="J2589" s="87"/>
      <c r="K2589" s="87"/>
      <c r="L2589" s="75" t="str">
        <f>IFERROR(__xludf.DUMMYFUNCTION("""COMPUTED_VALUE"""),"Tugikuru Corp.")</f>
        <v>Tugikuru Corp.</v>
      </c>
      <c r="M2589" s="23">
        <f>IFERROR(__xludf.DUMMYFUNCTION("""COMPUTED_VALUE"""),45695.0)</f>
        <v>45695</v>
      </c>
      <c r="N2589" s="23">
        <f>IFERROR(__xludf.DUMMYFUNCTION("""COMPUTED_VALUE"""),45784.0)</f>
        <v>45784</v>
      </c>
      <c r="O2589" s="75"/>
      <c r="P2589" s="71" t="str">
        <f>IFERROR(__xludf.DUMMYFUNCTION("""COMPUTED_VALUE"""),"可")</f>
        <v>可</v>
      </c>
      <c r="Q2589" s="75"/>
      <c r="R2589" s="75" t="str">
        <f>IFERROR(__xludf.DUMMYFUNCTION("""COMPUTED_VALUE"""),"コミットOK")</f>
        <v>コミットOK</v>
      </c>
      <c r="S2589" s="75" t="str">
        <f>IFERROR(__xludf.DUMMYFUNCTION("""COMPUTED_VALUE"""),"20241213_SBクリエイティブ_もふもふの神様と旅に出ます")</f>
        <v>20241213_SBクリエイティブ_もふもふの神様と旅に出ます</v>
      </c>
      <c r="T2589" s="75" t="str">
        <f>IFERROR(__xludf.DUMMYFUNCTION("""COMPUTED_VALUE"""),"格納済み")</f>
        <v>格納済み</v>
      </c>
      <c r="U2589" s="15" t="str">
        <f>IFERROR(__xludf.DUMMYFUNCTION("""COMPUTED_VALUE"""),"(c)Yunkeru,You Shiki/Tugikuru Corp.")</f>
        <v>(c)Yunkeru,You Shiki/Tugikuru Corp.</v>
      </c>
      <c r="V2589" s="8" t="str">
        <f>IFERROR(__xludf.DUMMYFUNCTION("""COMPUTED_VALUE"""),"ティアは神殿で働く身寄りのない下働きの少女。神殿では聖女様からいびられ、他の人たちからも冷遇される日々を送っていた。
ある日、濡れ衣を着せられて神殿から追い出されてしまい、行く当てもなく途方に暮れていると、ふさふさの白い毛をした大きな狼が姿を現し……！？
ふとしたことでもふもふの神様の加護を受け、聖女の資格を得たティア。
でもあんな神殿など戻りたくもなく、神様と一緒に旅に出ることにした。
もふもふの神様と元気な少女が旅する、ほっこりファンタジー開幕！")</f>
        <v>ティアは神殿で働く身寄りのない下働きの少女。神殿では聖女様からいびられ、他の人たちからも冷遇される日々を送っていた。
ある日、濡れ衣を着せられて神殿から追い出されてしまい、行く当てもなく途方に暮れていると、ふさふさの白い毛をした大きな狼が姿を現し……！？
ふとしたことでもふもふの神様の加護を受け、聖女の資格を得たティア。
でもあんな神殿など戻りたくもなく、神様と一緒に旅に出ることにした。
もふもふの神様と元気な少女が旅する、ほっこりファンタジー開幕！</v>
      </c>
      <c r="W2589" s="14"/>
      <c r="X2589" s="14" t="str">
        <f>IFERROR(__xludf.DUMMYFUNCTION("""COMPUTED_VALUE"""),"有")</f>
        <v>有</v>
      </c>
      <c r="Y2589" s="8" t="str">
        <f>IFERROR(__xludf.DUMMYFUNCTION("""COMPUTED_VALUE"""),"1～3巻無料")</f>
        <v>1～3巻無料</v>
      </c>
      <c r="Z2589" s="7"/>
      <c r="AA2589" s="7"/>
      <c r="AB2589" s="7"/>
    </row>
    <row r="2590" ht="15.75" customHeight="1">
      <c r="A2590" s="66">
        <f>IFERROR(__xludf.DUMMYFUNCTION("""COMPUTED_VALUE"""),4489.0)</f>
        <v>4489</v>
      </c>
      <c r="B2590" s="75" t="str">
        <f>IFERROR(__xludf.DUMMYFUNCTION("""COMPUTED_VALUE"""),"確定")</f>
        <v>確定</v>
      </c>
      <c r="C2590" s="68">
        <f>IFERROR(__xludf.DUMMYFUNCTION("""COMPUTED_VALUE"""),45604.0)</f>
        <v>45604</v>
      </c>
      <c r="D2590" s="68">
        <f>IFERROR(__xludf.DUMMYFUNCTION("""COMPUTED_VALUE"""),45642.0)</f>
        <v>45642</v>
      </c>
      <c r="E2590" s="60">
        <f>IFERROR(__xludf.DUMMYFUNCTION("""COMPUTED_VALUE"""),311687.0)</f>
        <v>311687</v>
      </c>
      <c r="F2590" s="60" t="str">
        <f>IFERROR(__xludf.DUMMYFUNCTION("""COMPUTED_VALUE"""),"泥酔絶倫ち〇ぽで最高のエッチ！「酔っちゃってんなら、もう、いいよね…」")</f>
        <v>泥酔絶倫ち〇ぽで最高のエッチ！「酔っちゃってんなら、もう、いいよね…」</v>
      </c>
      <c r="G2590" s="67">
        <f>IFERROR(__xludf.DUMMYFUNCTION("""COMPUTED_VALUE"""),1.0)</f>
        <v>1</v>
      </c>
      <c r="H2590" s="75" t="str">
        <f>IFERROR(__xludf.DUMMYFUNCTION("""COMPUTED_VALUE"""),"出海うに┴味野ひらき┴あおいせな┴がれきのやま┴やくもきなこ┴星人┴足腰ガクガク言わし太郎┴磨鞘一佳")</f>
        <v>出海うに┴味野ひらき┴あおいせな┴がれきのやま┴やくもきなこ┴星人┴足腰ガクガク言わし太郎┴磨鞘一佳</v>
      </c>
      <c r="I2590" s="75" t="str">
        <f>IFERROR(__xludf.DUMMYFUNCTION("""COMPUTED_VALUE"""),"アダルトマンガ")</f>
        <v>アダルトマンガ</v>
      </c>
      <c r="J2590" s="87"/>
      <c r="K2590" s="87"/>
      <c r="L2590" s="75" t="str">
        <f>IFERROR(__xludf.DUMMYFUNCTION("""COMPUTED_VALUE"""),"ガールスカウトコミックス")</f>
        <v>ガールスカウトコミックス</v>
      </c>
      <c r="M2590" s="23">
        <f>IFERROR(__xludf.DUMMYFUNCTION("""COMPUTED_VALUE"""),45687.0)</f>
        <v>45687</v>
      </c>
      <c r="N2590" s="23">
        <f>IFERROR(__xludf.DUMMYFUNCTION("""COMPUTED_VALUE"""),45776.0)</f>
        <v>45776</v>
      </c>
      <c r="O2590" s="75"/>
      <c r="P2590" s="71" t="str">
        <f>IFERROR(__xludf.DUMMYFUNCTION("""COMPUTED_VALUE"""),"可")</f>
        <v>可</v>
      </c>
      <c r="Q2590" s="75"/>
      <c r="R2590" s="75" t="str">
        <f>IFERROR(__xludf.DUMMYFUNCTION("""COMPUTED_VALUE"""),"コミットOK")</f>
        <v>コミットOK</v>
      </c>
      <c r="S2590" s="75" t="str">
        <f>IFERROR(__xludf.DUMMYFUNCTION("""COMPUTED_VALUE"""),"20241212_ガールスカウトコミックス_泥酔絶倫ち〇ぽ")</f>
        <v>20241212_ガールスカウトコミックス_泥酔絶倫ち〇ぽ</v>
      </c>
      <c r="T2590" s="75" t="str">
        <f>IFERROR(__xludf.DUMMYFUNCTION("""COMPUTED_VALUE"""),"格納済み")</f>
        <v>格納済み</v>
      </c>
      <c r="U2590" s="15" t="str">
        <f>IFERROR(__xludf.DUMMYFUNCTION("""COMPUTED_VALUE"""),"(C)出海うに┴味野ひらき┴あおいせな┴かどたがれき┴やくもきなこ┴星人┴足腰ガクガク言わし太郎┴磨鞘一佳／ガールスカウトコミックス")</f>
        <v>(C)出海うに┴味野ひらき┴あおいせな┴かどたがれき┴やくもきなこ┴星人┴足腰ガクガク言わし太郎┴磨鞘一佳／ガールスカウトコミックス</v>
      </c>
      <c r="V2590" s="8" t="str">
        <f>IFERROR(__xludf.DUMMYFUNCTION("""COMPUTED_VALUE"""),"「…なんでうちらキスしてんの？」彼氏にフられるたびに慰めてくれる親友の蓮見。男女の関係もなく最高の友達だったはずが…酔いから覚めると蓮見にキスされていた！「なにコレ！ずっときもちいいとこっあたってるぅ～」理性が飛んだ絶倫ち●ぽは桁外れのきもちよさで…！出海うにを筆頭に、あおいせな、がれきのやま、やくもきなこ、星人、足腰ガクガク言わし太郎、磨鞘一佳、味野ひらきという豪華人気作家が描く泥酔アンソロジー！")</f>
        <v>「…なんでうちらキスしてんの？」彼氏にフられるたびに慰めてくれる親友の蓮見。男女の関係もなく最高の友達だったはずが…酔いから覚めると蓮見にキスされていた！「なにコレ！ずっときもちいいとこっあたってるぅ～」理性が飛んだ絶倫ち●ぽは桁外れのきもちよさで…！出海うにを筆頭に、あおいせな、がれきのやま、やくもきなこ、星人、足腰ガクガク言わし太郎、磨鞘一佳、味野ひらきという豪華人気作家が描く泥酔アンソロジー！</v>
      </c>
      <c r="W2590" s="14"/>
      <c r="X2590" s="14" t="str">
        <f>IFERROR(__xludf.DUMMYFUNCTION("""COMPUTED_VALUE"""),"有")</f>
        <v>有</v>
      </c>
      <c r="Y2590" s="8" t="str">
        <f>IFERROR(__xludf.DUMMYFUNCTION("""COMPUTED_VALUE"""),"P19まで")</f>
        <v>P19まで</v>
      </c>
      <c r="Z2590" s="7"/>
      <c r="AA2590" s="7"/>
      <c r="AB2590" s="7"/>
    </row>
    <row r="2591" ht="15.75" customHeight="1">
      <c r="A2591" s="66">
        <f>IFERROR(__xludf.DUMMYFUNCTION("""COMPUTED_VALUE"""),4505.0)</f>
        <v>4505</v>
      </c>
      <c r="B2591" s="75" t="str">
        <f>IFERROR(__xludf.DUMMYFUNCTION("""COMPUTED_VALUE"""),"確定")</f>
        <v>確定</v>
      </c>
      <c r="C2591" s="68">
        <f>IFERROR(__xludf.DUMMYFUNCTION("""COMPUTED_VALUE"""),45608.0)</f>
        <v>45608</v>
      </c>
      <c r="D2591" s="68">
        <f>IFERROR(__xludf.DUMMYFUNCTION("""COMPUTED_VALUE"""),45642.0)</f>
        <v>45642</v>
      </c>
      <c r="E2591" s="60">
        <f>IFERROR(__xludf.DUMMYFUNCTION("""COMPUTED_VALUE"""),311453.0)</f>
        <v>311453</v>
      </c>
      <c r="F2591" s="60" t="str">
        <f>IFERROR(__xludf.DUMMYFUNCTION("""COMPUTED_VALUE"""),"恋のはじまりを教えてよ")</f>
        <v>恋のはじまりを教えてよ</v>
      </c>
      <c r="G2591" s="75" t="str">
        <f>IFERROR(__xludf.DUMMYFUNCTION("""COMPUTED_VALUE"""),"1～2")</f>
        <v>1～2</v>
      </c>
      <c r="H2591" s="75" t="str">
        <f>IFERROR(__xludf.DUMMYFUNCTION("""COMPUTED_VALUE"""),"佐藤こむぎ")</f>
        <v>佐藤こむぎ</v>
      </c>
      <c r="I2591" s="75" t="str">
        <f>IFERROR(__xludf.DUMMYFUNCTION("""COMPUTED_VALUE"""),"BL")</f>
        <v>BL</v>
      </c>
      <c r="J2591" s="75"/>
      <c r="K2591" s="75" t="str">
        <f>IFERROR(__xludf.DUMMYFUNCTION("""COMPUTED_VALUE"""),"NuPu")</f>
        <v>NuPu</v>
      </c>
      <c r="L2591" s="75" t="str">
        <f>IFERROR(__xludf.DUMMYFUNCTION("""COMPUTED_VALUE"""),"CLLENN")</f>
        <v>CLLENN</v>
      </c>
      <c r="M2591" s="23">
        <f>IFERROR(__xludf.DUMMYFUNCTION("""COMPUTED_VALUE"""),45680.0)</f>
        <v>45680</v>
      </c>
      <c r="N2591" s="23">
        <f>IFERROR(__xludf.DUMMYFUNCTION("""COMPUTED_VALUE"""),45742.0)</f>
        <v>45742</v>
      </c>
      <c r="O2591" s="75"/>
      <c r="P2591" s="80" t="str">
        <f>IFERROR(__xludf.DUMMYFUNCTION("""COMPUTED_VALUE"""),"可")</f>
        <v>可</v>
      </c>
      <c r="Q2591" s="75" t="str">
        <f>IFERROR(__xludf.DUMMYFUNCTION("""COMPUTED_VALUE"""),"【出版社よりコメント】&lt;BR&gt;大学にいるモテモテのイケメン攻めとモテテクを教えてほしい天然流され受けのキャンパスラブ。&lt;BR&gt;キャッチーな二人の出会いのシーンから、情に厚く優しい受けのトロ顔展開など広告利用しやすいのではないかと思います。")</f>
        <v>【出版社よりコメント】&lt;BR&gt;大学にいるモテモテのイケメン攻めとモテテクを教えてほしい天然流され受けのキャンパスラブ。&lt;BR&gt;キャッチーな二人の出会いのシーンから、情に厚く優しい受けのトロ顔展開など広告利用しやすいのではないかと思います。</v>
      </c>
      <c r="R2591" s="75" t="str">
        <f>IFERROR(__xludf.DUMMYFUNCTION("""COMPUTED_VALUE"""),"コミットOK")</f>
        <v>コミットOK</v>
      </c>
      <c r="S2591" s="75" t="str">
        <f>IFERROR(__xludf.DUMMYFUNCTION("""COMPUTED_VALUE"""),"20241216_CLLENN_恋のはじまりを教えてよ")</f>
        <v>20241216_CLLENN_恋のはじまりを教えてよ</v>
      </c>
      <c r="T2591" s="75" t="str">
        <f>IFERROR(__xludf.DUMMYFUNCTION("""COMPUTED_VALUE"""),"格納済み")</f>
        <v>格納済み</v>
      </c>
      <c r="U2591" s="15" t="str">
        <f>IFERROR(__xludf.DUMMYFUNCTION("""COMPUTED_VALUE"""),"Ⓒ佐藤こむぎ/CLLENN")</f>
        <v>Ⓒ佐藤こむぎ/CLLENN</v>
      </c>
      <c r="V2591" s="8" t="str">
        <f>IFERROR(__xludf.DUMMYFUNCTION("""COMPUTED_VALUE"""),"「キスもその先も教えてあげる」モテる秘訣が知りたかっただけなのに、敏感なところを刺激され、気づけば蕩かされていて――！？今年こそは彼女を作ろうと意気込んでいたまひろは、男友達には先を越されてしまいヤケになっていた。そんなある日、同じ大学のモテ男・白井にとある交換条件でモテる秘訣を教えてもらうことになる。ところが喜ぶまひろに、白井はいきなりキスをしてきて――！？身体の奥が熱くなるキスや、それ以上のコト。初めてのことにとまどうまひろだったけど…。")</f>
        <v>「キスもその先も教えてあげる」モテる秘訣が知りたかっただけなのに、敏感なところを刺激され、気づけば蕩かされていて――！？今年こそは彼女を作ろうと意気込んでいたまひろは、男友達には先を越されてしまいヤケになっていた。そんなある日、同じ大学のモテ男・白井にとある交換条件でモテる秘訣を教えてもらうことになる。ところが喜ぶまひろに、白井はいきなりキスをしてきて――！？身体の奥が熱くなるキスや、それ以上のコト。初めてのことにとまどうまひろだったけど…。</v>
      </c>
      <c r="W2591" s="14"/>
      <c r="X2591" s="14" t="str">
        <f>IFERROR(__xludf.DUMMYFUNCTION("""COMPUTED_VALUE"""),"有")</f>
        <v>有</v>
      </c>
      <c r="Y2591" s="8" t="str">
        <f>IFERROR(__xludf.DUMMYFUNCTION("""COMPUTED_VALUE"""),"2025/2/5まで立ち読み増量P20まで")</f>
        <v>2025/2/5まで立ち読み増量P20まで</v>
      </c>
      <c r="Z2591" s="7"/>
      <c r="AA2591" s="7"/>
      <c r="AB2591" s="7"/>
    </row>
    <row r="2592" ht="15.75" customHeight="1">
      <c r="A2592" s="66">
        <f>IFERROR(__xludf.DUMMYFUNCTION("""COMPUTED_VALUE"""),4527.0)</f>
        <v>4527</v>
      </c>
      <c r="B2592" s="75" t="str">
        <f>IFERROR(__xludf.DUMMYFUNCTION("""COMPUTED_VALUE"""),"確定")</f>
        <v>確定</v>
      </c>
      <c r="C2592" s="68">
        <f>IFERROR(__xludf.DUMMYFUNCTION("""COMPUTED_VALUE"""),45615.0)</f>
        <v>45615</v>
      </c>
      <c r="D2592" s="68">
        <f>IFERROR(__xludf.DUMMYFUNCTION("""COMPUTED_VALUE"""),45642.0)</f>
        <v>45642</v>
      </c>
      <c r="E2592" s="60">
        <f>IFERROR(__xludf.DUMMYFUNCTION("""COMPUTED_VALUE"""),311352.0)</f>
        <v>311352</v>
      </c>
      <c r="F2592" s="60" t="str">
        <f>IFERROR(__xludf.DUMMYFUNCTION("""COMPUTED_VALUE"""),"偏愛αはアイを乞う")</f>
        <v>偏愛αはアイを乞う</v>
      </c>
      <c r="G2592" s="75" t="str">
        <f>IFERROR(__xludf.DUMMYFUNCTION("""COMPUTED_VALUE"""),"1～2")</f>
        <v>1～2</v>
      </c>
      <c r="H2592" s="75" t="str">
        <f>IFERROR(__xludf.DUMMYFUNCTION("""COMPUTED_VALUE"""),"里南とか")</f>
        <v>里南とか</v>
      </c>
      <c r="I2592" s="75" t="str">
        <f>IFERROR(__xludf.DUMMYFUNCTION("""COMPUTED_VALUE"""),"BL")</f>
        <v>BL</v>
      </c>
      <c r="J2592" s="75"/>
      <c r="K2592" s="75" t="str">
        <f>IFERROR(__xludf.DUMMYFUNCTION("""COMPUTED_VALUE"""),"spicomi")</f>
        <v>spicomi</v>
      </c>
      <c r="L2592" s="75" t="str">
        <f>IFERROR(__xludf.DUMMYFUNCTION("""COMPUTED_VALUE"""),"CLLENN")</f>
        <v>CLLENN</v>
      </c>
      <c r="M2592" s="23">
        <f>IFERROR(__xludf.DUMMYFUNCTION("""COMPUTED_VALUE"""),45675.0)</f>
        <v>45675</v>
      </c>
      <c r="N2592" s="23">
        <f>IFERROR(__xludf.DUMMYFUNCTION("""COMPUTED_VALUE"""),45737.0)</f>
        <v>45737</v>
      </c>
      <c r="O2592" s="75"/>
      <c r="P2592" s="71" t="str">
        <f>IFERROR(__xludf.DUMMYFUNCTION("""COMPUTED_VALUE"""),"可")</f>
        <v>可</v>
      </c>
      <c r="Q2592" s="75"/>
      <c r="R2592" s="75" t="str">
        <f>IFERROR(__xludf.DUMMYFUNCTION("""COMPUTED_VALUE"""),"コミットOK")</f>
        <v>コミットOK</v>
      </c>
      <c r="S2592" s="75" t="str">
        <f>IFERROR(__xludf.DUMMYFUNCTION("""COMPUTED_VALUE"""),"20241211_CLLENN_偏愛αはアイを乞う／里南とか")</f>
        <v>20241211_CLLENN_偏愛αはアイを乞う／里南とか</v>
      </c>
      <c r="T2592" s="75" t="str">
        <f>IFERROR(__xludf.DUMMYFUNCTION("""COMPUTED_VALUE"""),"格納済み")</f>
        <v>格納済み</v>
      </c>
      <c r="U2592" s="15" t="str">
        <f>IFERROR(__xludf.DUMMYFUNCTION("""COMPUTED_VALUE"""),"Ⓒ里南とか/CLLENN")</f>
        <v>Ⓒ里南とか/CLLENN</v>
      </c>
      <c r="V2592" s="8" t="str">
        <f>IFERROR(__xludf.DUMMYFUNCTION("""COMPUTED_VALUE"""),"笹良善葵(ささらよしき)は学生時代、αの親友に欲情してしまったことをきっかけに、自身のバース性を嫌悪していた。ある日、ヒートを迎えた善葵だったが、Ωであることを隠すために普段から強い抑制剤を服用していたせいで薬が効かず、友人から教えられた『Ω専用のお店』を利用することに…。そこで出会ったセラピストの『むつき』に優しく蕩けさせられ──。不思議な雰囲気のむつきに、少しずつ身も心も開いていく善葵だったが、むつきにはとある思惑があり……？この出会いは偶然…？それとも──")</f>
        <v>笹良善葵(ささらよしき)は学生時代、αの親友に欲情してしまったことをきっかけに、自身のバース性を嫌悪していた。ある日、ヒートを迎えた善葵だったが、Ωであることを隠すために普段から強い抑制剤を服用していたせいで薬が効かず、友人から教えられた『Ω専用のお店』を利用することに…。そこで出会ったセラピストの『むつき』に優しく蕩けさせられ──。不思議な雰囲気のむつきに、少しずつ身も心も開いていく善葵だったが、むつきにはとある思惑があり……？この出会いは偶然…？それとも──</v>
      </c>
      <c r="W2592" s="14"/>
      <c r="X2592" s="14" t="str">
        <f>IFERROR(__xludf.DUMMYFUNCTION("""COMPUTED_VALUE"""),"有")</f>
        <v>有</v>
      </c>
      <c r="Y2592" s="8" t="str">
        <f>IFERROR(__xludf.DUMMYFUNCTION("""COMPUTED_VALUE"""),"2025/1/31まで立ち読み増量P18まで")</f>
        <v>2025/1/31まで立ち読み増量P18まで</v>
      </c>
      <c r="Z2592" s="7"/>
      <c r="AA2592" s="7"/>
      <c r="AB2592" s="7"/>
    </row>
    <row r="2593" ht="15.75" customHeight="1">
      <c r="A2593" s="66">
        <f>IFERROR(__xludf.DUMMYFUNCTION("""COMPUTED_VALUE"""),4579.0)</f>
        <v>4579</v>
      </c>
      <c r="B2593" s="75" t="str">
        <f>IFERROR(__xludf.DUMMYFUNCTION("""COMPUTED_VALUE"""),"確定")</f>
        <v>確定</v>
      </c>
      <c r="C2593" s="68">
        <f>IFERROR(__xludf.DUMMYFUNCTION("""COMPUTED_VALUE"""),45624.0)</f>
        <v>45624</v>
      </c>
      <c r="D2593" s="68">
        <f>IFERROR(__xludf.DUMMYFUNCTION("""COMPUTED_VALUE"""),45642.0)</f>
        <v>45642</v>
      </c>
      <c r="E2593" s="60">
        <f>IFERROR(__xludf.DUMMYFUNCTION("""COMPUTED_VALUE"""),311604.0)</f>
        <v>311604</v>
      </c>
      <c r="F2593" s="60" t="str">
        <f>IFERROR(__xludf.DUMMYFUNCTION("""COMPUTED_VALUE"""),"【単話版】酒蔵かもし婚")</f>
        <v>【単話版】酒蔵かもし婚</v>
      </c>
      <c r="G2593" s="75" t="str">
        <f>IFERROR(__xludf.DUMMYFUNCTION("""COMPUTED_VALUE"""),"1～4")</f>
        <v>1～4</v>
      </c>
      <c r="H2593" s="75" t="str">
        <f>IFERROR(__xludf.DUMMYFUNCTION("""COMPUTED_VALUE"""),"菅原じょにえる 監修：増田晶文")</f>
        <v>菅原じょにえる 監修：増田晶文</v>
      </c>
      <c r="I2593" s="75" t="str">
        <f>IFERROR(__xludf.DUMMYFUNCTION("""COMPUTED_VALUE"""),"青年")</f>
        <v>青年</v>
      </c>
      <c r="J2593" s="75"/>
      <c r="K2593" s="75" t="str">
        <f>IFERROR(__xludf.DUMMYFUNCTION("""COMPUTED_VALUE"""),"くらげバンチ")</f>
        <v>くらげバンチ</v>
      </c>
      <c r="L2593" s="75" t="str">
        <f>IFERROR(__xludf.DUMMYFUNCTION("""COMPUTED_VALUE"""),"新潮社")</f>
        <v>新潮社</v>
      </c>
      <c r="M2593" s="23">
        <f>IFERROR(__xludf.DUMMYFUNCTION("""COMPUTED_VALUE"""),45682.0)</f>
        <v>45682</v>
      </c>
      <c r="N2593" s="23">
        <f>IFERROR(__xludf.DUMMYFUNCTION("""COMPUTED_VALUE"""),46021.0)</f>
        <v>46021</v>
      </c>
      <c r="O2593" s="75"/>
      <c r="P2593" s="80" t="str">
        <f>IFERROR(__xludf.DUMMYFUNCTION("""COMPUTED_VALUE"""),"可")</f>
        <v>可</v>
      </c>
      <c r="Q2593" s="75" t="str">
        <f>IFERROR(__xludf.DUMMYFUNCTION("""COMPUTED_VALUE"""),"3巻目までで制作お願いします")</f>
        <v>3巻目までで制作お願いします</v>
      </c>
      <c r="R2593" s="75" t="str">
        <f>IFERROR(__xludf.DUMMYFUNCTION("""COMPUTED_VALUE"""),"コミットOK")</f>
        <v>コミットOK</v>
      </c>
      <c r="S2593" s="75" t="str">
        <f>IFERROR(__xludf.DUMMYFUNCTION("""COMPUTED_VALUE"""),"20241212_新潮社_酒蔵かもし婚")</f>
        <v>20241212_新潮社_酒蔵かもし婚</v>
      </c>
      <c r="T2593" s="75" t="str">
        <f>IFERROR(__xludf.DUMMYFUNCTION("""COMPUTED_VALUE"""),"格納済み")</f>
        <v>格納済み</v>
      </c>
      <c r="U2593" s="15" t="str">
        <f>IFERROR(__xludf.DUMMYFUNCTION("""COMPUTED_VALUE"""),"Ⓒ菅原じょにえる／新潮社")</f>
        <v>Ⓒ菅原じょにえる／新潮社</v>
      </c>
      <c r="V2593" s="8" t="str">
        <f>IFERROR(__xludf.DUMMYFUNCTION("""COMPUTED_VALUE"""),"専業主夫志望の松田元気は、婚活に勤しむも連戦連敗。そんな折、婚活パーティでひと際目をひく女性・涼と出会う。涼に惹かれた元気は、酒の力を借りて勢いでプロポーズ！　しかし酒に弱い元気はそのまま気絶してしまい、目覚めた場所はなんと涼の実家だった。混乱する元気をよそに、自分の親族に元気を婚約者だと紹介した涼はつづけて「彼を鮎原酒造の次期蔵元にしたい」と宣言して!?")</f>
        <v>専業主夫志望の松田元気は、婚活に勤しむも連戦連敗。そんな折、婚活パーティでひと際目をひく女性・涼と出会う。涼に惹かれた元気は、酒の力を借りて勢いでプロポーズ！　しかし酒に弱い元気はそのまま気絶してしまい、目覚めた場所はなんと涼の実家だった。混乱する元気をよそに、自分の親族に元気を婚約者だと紹介した涼はつづけて「彼を鮎原酒造の次期蔵元にしたい」と宣言して!?</v>
      </c>
      <c r="W2593" s="14"/>
      <c r="X2593" s="14" t="str">
        <f>IFERROR(__xludf.DUMMYFUNCTION("""COMPUTED_VALUE"""),"有")</f>
        <v>有</v>
      </c>
      <c r="Y2593" s="8" t="str">
        <f>IFERROR(__xludf.DUMMYFUNCTION("""COMPUTED_VALUE"""),"2025/2/7まで1巻無料")</f>
        <v>2025/2/7まで1巻無料</v>
      </c>
      <c r="Z2593" s="7"/>
      <c r="AA2593" s="7"/>
      <c r="AB2593" s="7"/>
    </row>
    <row r="2594" ht="15.75" customHeight="1">
      <c r="A2594" s="66">
        <f>IFERROR(__xludf.DUMMYFUNCTION("""COMPUTED_VALUE"""),4592.0)</f>
        <v>4592</v>
      </c>
      <c r="B2594" s="75" t="str">
        <f>IFERROR(__xludf.DUMMYFUNCTION("""COMPUTED_VALUE"""),"確定")</f>
        <v>確定</v>
      </c>
      <c r="C2594" s="68">
        <f>IFERROR(__xludf.DUMMYFUNCTION("""COMPUTED_VALUE"""),45625.0)</f>
        <v>45625</v>
      </c>
      <c r="D2594" s="68">
        <f>IFERROR(__xludf.DUMMYFUNCTION("""COMPUTED_VALUE"""),45643.0)</f>
        <v>45643</v>
      </c>
      <c r="E2594" s="60">
        <f>IFERROR(__xludf.DUMMYFUNCTION("""COMPUTED_VALUE"""),312624.0)</f>
        <v>312624</v>
      </c>
      <c r="F2594" s="60" t="str">
        <f>IFERROR(__xludf.DUMMYFUNCTION("""COMPUTED_VALUE"""),"Mの後継者")</f>
        <v>Mの後継者</v>
      </c>
      <c r="G2594" s="75" t="str">
        <f>IFERROR(__xludf.DUMMYFUNCTION("""COMPUTED_VALUE"""),"1～3")</f>
        <v>1～3</v>
      </c>
      <c r="H2594" s="75" t="str">
        <f>IFERROR(__xludf.DUMMYFUNCTION("""COMPUTED_VALUE"""),"池上ナオ/中津功介")</f>
        <v>池上ナオ/中津功介</v>
      </c>
      <c r="I2594" s="75" t="str">
        <f>IFERROR(__xludf.DUMMYFUNCTION("""COMPUTED_VALUE"""),"青年")</f>
        <v>青年</v>
      </c>
      <c r="J2594" s="75"/>
      <c r="K2594" s="75" t="str">
        <f>IFERROR(__xludf.DUMMYFUNCTION("""COMPUTED_VALUE"""),"ゼットコミックス")</f>
        <v>ゼットコミックス</v>
      </c>
      <c r="L2594" s="75" t="str">
        <f>IFERROR(__xludf.DUMMYFUNCTION("""COMPUTED_VALUE"""),"グループ・ゼロ")</f>
        <v>グループ・ゼロ</v>
      </c>
      <c r="M2594" s="23">
        <f>IFERROR(__xludf.DUMMYFUNCTION("""COMPUTED_VALUE"""),45689.0)</f>
        <v>45689</v>
      </c>
      <c r="N2594" s="23">
        <f>IFERROR(__xludf.DUMMYFUNCTION("""COMPUTED_VALUE"""),45778.66666666667)</f>
        <v>45778.66667</v>
      </c>
      <c r="O2594" s="75"/>
      <c r="P2594" s="71" t="str">
        <f>IFERROR(__xludf.DUMMYFUNCTION("""COMPUTED_VALUE"""),"可")</f>
        <v>可</v>
      </c>
      <c r="Q2594" s="75"/>
      <c r="R2594" s="75" t="str">
        <f>IFERROR(__xludf.DUMMYFUNCTION("""COMPUTED_VALUE"""),"コミットOK")</f>
        <v>コミットOK</v>
      </c>
      <c r="S2594" s="75" t="str">
        <f>IFERROR(__xludf.DUMMYFUNCTION("""COMPUTED_VALUE"""),"20250121_グループ・ゼロ_Mの後継者")</f>
        <v>20250121_グループ・ゼロ_Mの後継者</v>
      </c>
      <c r="T2594" s="75" t="str">
        <f>IFERROR(__xludf.DUMMYFUNCTION("""COMPUTED_VALUE"""),"格納済み")</f>
        <v>格納済み</v>
      </c>
      <c r="U2594" s="15" t="str">
        <f>IFERROR(__xludf.DUMMYFUNCTION("""COMPUTED_VALUE"""),"C)池上ナオ／中津功介／グループ・ゼロ")</f>
        <v>C)池上ナオ／中津功介／グループ・ゼロ</v>
      </c>
      <c r="V2594" s="8" t="str">
        <f>IFERROR(__xludf.DUMMYFUNCTION("""COMPUTED_VALUE"""),"「あんたがノロマなせいで蒸れてるんだから、早く舐めてキレイにしろ！」どこにいっても常にいじめられて生きてきたフリーターの青年・黒部蒼司（くろべそうじ）は今日もバイト先の女上司に足の指を舐めさせられていた。真面目に慎ましく生きていても、不幸の連鎖は止まらない。そんなある日、蒼司を捨てた父親と再会。「この世界で最も重要なのは頭脳でも体力でもない、地位だ」と教えられる。一夜にして、大企業の跡取り候補になる蒼司。金と権力を手にした男が過去の借りを返すため、ひとりひとりを地獄へと墜としていく、凄惨な復讐ストーリー開"&amp;"幕──！")</f>
        <v>「あんたがノロマなせいで蒸れてるんだから、早く舐めてキレイにしろ！」どこにいっても常にいじめられて生きてきたフリーターの青年・黒部蒼司（くろべそうじ）は今日もバイト先の女上司に足の指を舐めさせられていた。真面目に慎ましく生きていても、不幸の連鎖は止まらない。そんなある日、蒼司を捨てた父親と再会。「この世界で最も重要なのは頭脳でも体力でもない、地位だ」と教えられる。一夜にして、大企業の跡取り候補になる蒼司。金と権力を手にした男が過去の借りを返すため、ひとりひとりを地獄へと墜としていく、凄惨な復讐ストーリー開幕──！</v>
      </c>
      <c r="W2594" s="14"/>
      <c r="X2594" s="14" t="str">
        <f>IFERROR(__xludf.DUMMYFUNCTION("""COMPUTED_VALUE"""),"有")</f>
        <v>有</v>
      </c>
      <c r="Y2594" s="8" t="str">
        <f>IFERROR(__xludf.DUMMYFUNCTION("""COMPUTED_VALUE"""),"2025/4/1まで1巻無料")</f>
        <v>2025/4/1まで1巻無料</v>
      </c>
      <c r="Z2594" s="7"/>
      <c r="AA2594" s="7"/>
      <c r="AB2594" s="7"/>
    </row>
    <row r="2595" ht="15.75" customHeight="1">
      <c r="A2595" s="66">
        <f>IFERROR(__xludf.DUMMYFUNCTION("""COMPUTED_VALUE"""),4605.0)</f>
        <v>4605</v>
      </c>
      <c r="B2595" s="75" t="str">
        <f>IFERROR(__xludf.DUMMYFUNCTION("""COMPUTED_VALUE"""),"確定")</f>
        <v>確定</v>
      </c>
      <c r="C2595" s="68">
        <f>IFERROR(__xludf.DUMMYFUNCTION("""COMPUTED_VALUE"""),45629.0)</f>
        <v>45629</v>
      </c>
      <c r="D2595" s="68">
        <f>IFERROR(__xludf.DUMMYFUNCTION("""COMPUTED_VALUE"""),45644.0)</f>
        <v>45644</v>
      </c>
      <c r="E2595" s="31">
        <f>IFERROR(__xludf.DUMMYFUNCTION("""COMPUTED_VALUE"""),314324.0)</f>
        <v>314324</v>
      </c>
      <c r="F2595" s="31" t="str">
        <f>IFERROR(__xludf.DUMMYFUNCTION("""COMPUTED_VALUE"""),"発情乙女とクズ騎士 ～エッチな呪いが解けません!?～")</f>
        <v>発情乙女とクズ騎士 ～エッチな呪いが解けません!?～</v>
      </c>
      <c r="G2595" s="75" t="str">
        <f>IFERROR(__xludf.DUMMYFUNCTION("""COMPUTED_VALUE"""),"1～3")</f>
        <v>1～3</v>
      </c>
      <c r="H2595" s="75" t="str">
        <f>IFERROR(__xludf.DUMMYFUNCTION("""COMPUTED_VALUE"""),"しばさき南月・天真夜")</f>
        <v>しばさき南月・天真夜</v>
      </c>
      <c r="I2595" s="75" t="str">
        <f>IFERROR(__xludf.DUMMYFUNCTION("""COMPUTED_VALUE"""),"TL")</f>
        <v>TL</v>
      </c>
      <c r="J2595" s="75"/>
      <c r="K2595" s="75" t="str">
        <f>IFERROR(__xludf.DUMMYFUNCTION("""COMPUTED_VALUE"""),"e乙蜜コミックス")</f>
        <v>e乙蜜コミックス</v>
      </c>
      <c r="L2595" s="75" t="str">
        <f>IFERROR(__xludf.DUMMYFUNCTION("""COMPUTED_VALUE"""),"リブレ")</f>
        <v>リブレ</v>
      </c>
      <c r="M2595" s="23">
        <f>IFERROR(__xludf.DUMMYFUNCTION("""COMPUTED_VALUE"""),45708.0)</f>
        <v>45708</v>
      </c>
      <c r="N2595" s="23">
        <f>IFERROR(__xludf.DUMMYFUNCTION("""COMPUTED_VALUE"""),45763.0)</f>
        <v>45763</v>
      </c>
      <c r="O2595" s="75"/>
      <c r="P2595" s="71" t="str">
        <f>IFERROR(__xludf.DUMMYFUNCTION("""COMPUTED_VALUE"""),"可")</f>
        <v>可</v>
      </c>
      <c r="Q2595" s="75"/>
      <c r="R2595" s="75" t="str">
        <f>IFERROR(__xludf.DUMMYFUNCTION("""COMPUTED_VALUE"""),"コミットOK")</f>
        <v>コミットOK</v>
      </c>
      <c r="S2595" s="75" t="str">
        <f>IFERROR(__xludf.DUMMYFUNCTION("""COMPUTED_VALUE"""),"20241217_リブレ_発情乙女とクズ騎士")</f>
        <v>20241217_リブレ_発情乙女とクズ騎士</v>
      </c>
      <c r="T2595" s="75" t="str">
        <f>IFERROR(__xludf.DUMMYFUNCTION("""COMPUTED_VALUE"""),"格納済み")</f>
        <v>格納済み</v>
      </c>
      <c r="U2595" s="15" t="str">
        <f>IFERROR(__xludf.DUMMYFUNCTION("""COMPUTED_VALUE"""),"(C)しばさき南月・天真夜/libre")</f>
        <v>(C)しばさき南月・天真夜/libre</v>
      </c>
      <c r="V2595" s="8" t="str">
        <f>IFERROR(__xludf.DUMMYFUNCTION("""COMPUTED_VALUE"""),"「結婚しちゃう？　そしたらもっと気持ちいいことしたげるよ」
発情の呪いを抑えるため、クズ騎士様に何度もイかされて!?
ある日、魔物に襲われたアリシアは、筆頭騎士のカイムに助けられ、彼に求婚するが、婚約者がすでにいると断られてしまう。
5年後。カイムが婚約解消したと知ったアリシアは、カイムを探しに王都へ。だが再会したカイムは、昔の高潔な騎士ではなく、すっかり落ちぶれてクズ人間になっていて!?
ショックを受けてたら、何者かにさらわれ発情する呪いをかけられてしまい!?
【一途な乙女】と【クズな騎士"&amp;"】の溺愛ラブロマンス！")</f>
        <v>「結婚しちゃう？　そしたらもっと気持ちいいことしたげるよ」
発情の呪いを抑えるため、クズ騎士様に何度もイかされて!?
ある日、魔物に襲われたアリシアは、筆頭騎士のカイムに助けられ、彼に求婚するが、婚約者がすでにいると断られてしまう。
5年後。カイムが婚約解消したと知ったアリシアは、カイムを探しに王都へ。だが再会したカイムは、昔の高潔な騎士ではなく、すっかり落ちぶれてクズ人間になっていて!?
ショックを受けてたら、何者かにさらわれ発情する呪いをかけられてしまい!?
【一途な乙女】と【クズな騎士】の溺愛ラブロマンス！</v>
      </c>
      <c r="W2595" s="14"/>
      <c r="X2595" s="14" t="str">
        <f>IFERROR(__xludf.DUMMYFUNCTION("""COMPUTED_VALUE"""),"有")</f>
        <v>有</v>
      </c>
      <c r="Y2595" s="8" t="str">
        <f>IFERROR(__xludf.DUMMYFUNCTION("""COMPUTED_VALUE"""),"2025/2/28まで1巻無料")</f>
        <v>2025/2/28まで1巻無料</v>
      </c>
      <c r="Z2595" s="7"/>
      <c r="AA2595" s="7"/>
      <c r="AB2595" s="7"/>
    </row>
    <row r="2596" ht="15.75" customHeight="1">
      <c r="A2596" s="66">
        <f>IFERROR(__xludf.DUMMYFUNCTION("""COMPUTED_VALUE"""),4643.0)</f>
        <v>4643</v>
      </c>
      <c r="B2596" s="75" t="str">
        <f>IFERROR(__xludf.DUMMYFUNCTION("""COMPUTED_VALUE"""),"確定")</f>
        <v>確定</v>
      </c>
      <c r="C2596" s="68">
        <f>IFERROR(__xludf.DUMMYFUNCTION("""COMPUTED_VALUE"""),45632.0)</f>
        <v>45632</v>
      </c>
      <c r="D2596" s="68">
        <f>IFERROR(__xludf.DUMMYFUNCTION("""COMPUTED_VALUE"""),45642.0)</f>
        <v>45642</v>
      </c>
      <c r="E2596" s="60">
        <f>IFERROR(__xludf.DUMMYFUNCTION("""COMPUTED_VALUE"""),312774.0)</f>
        <v>312774</v>
      </c>
      <c r="F2596" s="60" t="str">
        <f>IFERROR(__xludf.DUMMYFUNCTION("""COMPUTED_VALUE"""),"白薔薇に蝶のくちづけ")</f>
        <v>白薔薇に蝶のくちづけ</v>
      </c>
      <c r="G2596" s="75" t="str">
        <f>IFERROR(__xludf.DUMMYFUNCTION("""COMPUTED_VALUE"""),"1～3")</f>
        <v>1～3</v>
      </c>
      <c r="H2596" s="75" t="str">
        <f>IFERROR(__xludf.DUMMYFUNCTION("""COMPUTED_VALUE"""),"上田倫子")</f>
        <v>上田倫子</v>
      </c>
      <c r="I2596" s="75" t="str">
        <f>IFERROR(__xludf.DUMMYFUNCTION("""COMPUTED_VALUE"""),"女性")</f>
        <v>女性</v>
      </c>
      <c r="J2596" s="87"/>
      <c r="K2596" s="87"/>
      <c r="L2596" s="75" t="str">
        <f>IFERROR(__xludf.DUMMYFUNCTION("""COMPUTED_VALUE"""),"集英社")</f>
        <v>集英社</v>
      </c>
      <c r="M2596" s="23">
        <f>IFERROR(__xludf.DUMMYFUNCTION("""COMPUTED_VALUE"""),45682.0)</f>
        <v>45682</v>
      </c>
      <c r="N2596" s="23">
        <f>IFERROR(__xludf.DUMMYFUNCTION("""COMPUTED_VALUE"""),45712.0)</f>
        <v>45712</v>
      </c>
      <c r="O2596" s="75"/>
      <c r="P2596" s="80" t="str">
        <f>IFERROR(__xludf.DUMMYFUNCTION("""COMPUTED_VALUE"""),"否")</f>
        <v>否</v>
      </c>
      <c r="Q2596" s="75" t="str">
        <f>IFERROR(__xludf.DUMMYFUNCTION("""COMPUTED_VALUE"""),"・『抱かれた棘と甘い吐息』『裸足でバラを踏め 』ほかで実績のある作家さんの最新作です。
・初回配信は1～3巻ですが、素材は7巻分までいただいております。それぞれの配信日はフォルダ内にテキストメモで入れております。広告配信日に合わせて素材をご活用ください。
・レーベルロゴ不要")</f>
        <v>・『抱かれた棘と甘い吐息』『裸足でバラを踏め 』ほかで実績のある作家さんの最新作です。
・初回配信は1～3巻ですが、素材は7巻分までいただいております。それぞれの配信日はフォルダ内にテキストメモで入れております。広告配信日に合わせて素材をご活用ください。
・レーベルロゴ不要</v>
      </c>
      <c r="R2596" s="75" t="str">
        <f>IFERROR(__xludf.DUMMYFUNCTION("""COMPUTED_VALUE"""),"コミットOK")</f>
        <v>コミットOK</v>
      </c>
      <c r="S2596" s="75" t="str">
        <f>IFERROR(__xludf.DUMMYFUNCTION("""COMPUTED_VALUE"""),"20241212_集英社_白薔薇に蝶のくちづけ")</f>
        <v>20241212_集英社_白薔薇に蝶のくちづけ</v>
      </c>
      <c r="T2596" s="75" t="str">
        <f>IFERROR(__xludf.DUMMYFUNCTION("""COMPUTED_VALUE"""),"格納済み")</f>
        <v>格納済み</v>
      </c>
      <c r="U2596" s="15" t="str">
        <f>IFERROR(__xludf.DUMMYFUNCTION("""COMPUTED_VALUE"""),"(c)上田倫子／集英社")</f>
        <v>(c)上田倫子／集英社</v>
      </c>
      <c r="V2596" s="8" t="str">
        <f>IFERROR(__xludf.DUMMYFUNCTION("""COMPUTED_VALUE"""),"時は大正。華族の令嬢、綾小路蝶子は日々退屈していた。政略結婚した夫は愛人の家に通い結婚生活は破綻。倦怠を吹き飛ばすため、蝶子は「娼夫」を買う決意をする。約束のホテルに現れたのは、若く麗しい少年、玲央。緊張する蝶子に玲央は指一本で蝶子を快感に導いてしまう。妖艶な言葉と愛撫に身を委ねるうちに、蝶子は自らが変わっていくのを感じる。より自由に、より美しく。蝶子は気高く淫らに自らを開花させていく。")</f>
        <v>時は大正。華族の令嬢、綾小路蝶子は日々退屈していた。政略結婚した夫は愛人の家に通い結婚生活は破綻。倦怠を吹き飛ばすため、蝶子は「娼夫」を買う決意をする。約束のホテルに現れたのは、若く麗しい少年、玲央。緊張する蝶子に玲央は指一本で蝶子を快感に導いてしまう。妖艶な言葉と愛撫に身を委ねるうちに、蝶子は自らが変わっていくのを感じる。より自由に、より美しく。蝶子は気高く淫らに自らを開花させていく。</v>
      </c>
      <c r="W2596" s="14"/>
      <c r="X2596" s="14" t="str">
        <f>IFERROR(__xludf.DUMMYFUNCTION("""COMPUTED_VALUE"""),"有")</f>
        <v>有</v>
      </c>
      <c r="Y2596" s="8" t="str">
        <f>IFERROR(__xludf.DUMMYFUNCTION("""COMPUTED_VALUE"""),"2025/2/24まで1巻無料")</f>
        <v>2025/2/24まで1巻無料</v>
      </c>
      <c r="Z2596" s="7"/>
      <c r="AA2596" s="7"/>
      <c r="AB2596" s="7"/>
    </row>
    <row r="2597" ht="15.75" customHeight="1">
      <c r="A2597" s="66">
        <f>IFERROR(__xludf.DUMMYFUNCTION("""COMPUTED_VALUE"""),4656.0)</f>
        <v>4656</v>
      </c>
      <c r="B2597" s="75" t="str">
        <f>IFERROR(__xludf.DUMMYFUNCTION("""COMPUTED_VALUE"""),"確定")</f>
        <v>確定</v>
      </c>
      <c r="C2597" s="68">
        <f>IFERROR(__xludf.DUMMYFUNCTION("""COMPUTED_VALUE"""),45635.0)</f>
        <v>45635</v>
      </c>
      <c r="D2597" s="68">
        <f>IFERROR(__xludf.DUMMYFUNCTION("""COMPUTED_VALUE"""),45644.0)</f>
        <v>45644</v>
      </c>
      <c r="E2597" s="60">
        <f>IFERROR(__xludf.DUMMYFUNCTION("""COMPUTED_VALUE"""),312233.0)</f>
        <v>312233</v>
      </c>
      <c r="F2597" s="60" t="str">
        <f>IFERROR(__xludf.DUMMYFUNCTION("""COMPUTED_VALUE"""),"身代わり侯爵令嬢セレスティアの初恋【単話版】")</f>
        <v>身代わり侯爵令嬢セレスティアの初恋【単話版】</v>
      </c>
      <c r="G2597" s="75" t="str">
        <f>IFERROR(__xludf.DUMMYFUNCTION("""COMPUTED_VALUE"""),"1～5")</f>
        <v>1～5</v>
      </c>
      <c r="H2597" s="75" t="str">
        <f>IFERROR(__xludf.DUMMYFUNCTION("""COMPUTED_VALUE"""),"都木ねこ・染井由乃")</f>
        <v>都木ねこ・染井由乃</v>
      </c>
      <c r="I2597" s="75" t="str">
        <f>IFERROR(__xludf.DUMMYFUNCTION("""COMPUTED_VALUE"""),"女性")</f>
        <v>女性</v>
      </c>
      <c r="J2597" s="87"/>
      <c r="K2597" s="87"/>
      <c r="L2597" s="75" t="str">
        <f>IFERROR(__xludf.DUMMYFUNCTION("""COMPUTED_VALUE"""),"デジタルカタパルト（デジカタ編集部）")</f>
        <v>デジタルカタパルト（デジカタ編集部）</v>
      </c>
      <c r="M2597" s="23">
        <f>IFERROR(__xludf.DUMMYFUNCTION("""COMPUTED_VALUE"""),45682.0)</f>
        <v>45682</v>
      </c>
      <c r="N2597" s="23">
        <f>IFERROR(__xludf.DUMMYFUNCTION("""COMPUTED_VALUE"""),45772.0)</f>
        <v>45772</v>
      </c>
      <c r="O2597" s="75"/>
      <c r="P2597" s="71" t="str">
        <f>IFERROR(__xludf.DUMMYFUNCTION("""COMPUTED_VALUE"""),"可")</f>
        <v>可</v>
      </c>
      <c r="Q2597" s="75"/>
      <c r="R2597" s="75" t="str">
        <f>IFERROR(__xludf.DUMMYFUNCTION("""COMPUTED_VALUE"""),"コミットOK")</f>
        <v>コミットOK</v>
      </c>
      <c r="S2597" s="75" t="str">
        <f>IFERROR(__xludf.DUMMYFUNCTION("""COMPUTED_VALUE"""),"20241216_デジタルカタパルト_身代わり侯爵令嬢セレスティアの初恋")</f>
        <v>20241216_デジタルカタパルト_身代わり侯爵令嬢セレスティアの初恋</v>
      </c>
      <c r="T2597" s="75" t="str">
        <f>IFERROR(__xludf.DUMMYFUNCTION("""COMPUTED_VALUE"""),"格納済み")</f>
        <v>格納済み</v>
      </c>
      <c r="U2597" s="15" t="str">
        <f>IFERROR(__xludf.DUMMYFUNCTION("""COMPUTED_VALUE"""),"Ⓒ都木ねこ・染井由乃/デジカタ編集部")</f>
        <v>Ⓒ都木ねこ・染井由乃/デジカタ編集部</v>
      </c>
      <c r="V2597" s="8" t="str">
        <f>IFERROR(__xludf.DUMMYFUNCTION("""COMPUTED_VALUE"""),"侯爵家の令嬢セレスティアは、領地への援助の代わりに彼女を嫌うエルドレッドと婚約を結ぶことを決意する。しかし、妹を失い心を病んでいた彼は、セレスティアを忘れ妹として扱うようになった。次第にエルドレッドに惹かれるセレスティアだが、ある事故をきっかけにエルドレッドは幻覚から目を覚ますことになる。これは、叶うはずのない初恋の身を引こうとする令嬢と、彼女の心を得ようとする王子様の、すれ違いの恋の物語。")</f>
        <v>侯爵家の令嬢セレスティアは、領地への援助の代わりに彼女を嫌うエルドレッドと婚約を結ぶことを決意する。しかし、妹を失い心を病んでいた彼は、セレスティアを忘れ妹として扱うようになった。次第にエルドレッドに惹かれるセレスティアだが、ある事故をきっかけにエルドレッドは幻覚から目を覚ますことになる。これは、叶うはずのない初恋の身を引こうとする令嬢と、彼女の心を得ようとする王子様の、すれ違いの恋の物語。</v>
      </c>
      <c r="W2597" s="14"/>
      <c r="X2597" s="14" t="str">
        <f>IFERROR(__xludf.DUMMYFUNCTION("""COMPUTED_VALUE"""),"有")</f>
        <v>有</v>
      </c>
      <c r="Y2597" s="8" t="str">
        <f>IFERROR(__xludf.DUMMYFUNCTION("""COMPUTED_VALUE"""),"2025/4/25まで1巻無料")</f>
        <v>2025/4/25まで1巻無料</v>
      </c>
      <c r="Z2597" s="7"/>
      <c r="AA2597" s="7"/>
      <c r="AB2597" s="7"/>
    </row>
    <row r="2598" ht="15.75" customHeight="1">
      <c r="A2598" s="66">
        <f>IFERROR(__xludf.DUMMYFUNCTION("""COMPUTED_VALUE"""),4673.0)</f>
        <v>4673</v>
      </c>
      <c r="B2598" s="75" t="str">
        <f>IFERROR(__xludf.DUMMYFUNCTION("""COMPUTED_VALUE"""),"確定")</f>
        <v>確定</v>
      </c>
      <c r="C2598" s="68">
        <f>IFERROR(__xludf.DUMMYFUNCTION("""COMPUTED_VALUE"""),45637.0)</f>
        <v>45637</v>
      </c>
      <c r="D2598" s="68">
        <f>IFERROR(__xludf.DUMMYFUNCTION("""COMPUTED_VALUE"""),45642.0)</f>
        <v>45642</v>
      </c>
      <c r="E2598" s="100">
        <f>IFERROR(__xludf.DUMMYFUNCTION("""COMPUTED_VALUE"""),252921.0)</f>
        <v>252921</v>
      </c>
      <c r="F2598" s="60" t="str">
        <f>IFERROR(__xludf.DUMMYFUNCTION("""COMPUTED_VALUE"""),"イケメン家政夫、拾いました。")</f>
        <v>イケメン家政夫、拾いました。</v>
      </c>
      <c r="G2598" s="75" t="str">
        <f>IFERROR(__xludf.DUMMYFUNCTION("""COMPUTED_VALUE"""),"1～3")</f>
        <v>1～3</v>
      </c>
      <c r="H2598" s="75" t="str">
        <f>IFERROR(__xludf.DUMMYFUNCTION("""COMPUTED_VALUE"""),"四十川優,志音")</f>
        <v>四十川優,志音</v>
      </c>
      <c r="I2598" s="75" t="str">
        <f>IFERROR(__xludf.DUMMYFUNCTION("""COMPUTED_VALUE"""),"女性マンガ")</f>
        <v>女性マンガ</v>
      </c>
      <c r="J2598" s="75"/>
      <c r="K2598" s="75" t="str">
        <f>IFERROR(__xludf.DUMMYFUNCTION("""COMPUTED_VALUE"""),"トレモア・リアルラブ,トレモアcollection")</f>
        <v>トレモア・リアルラブ,トレモアcollection</v>
      </c>
      <c r="L2598" s="75" t="str">
        <f>IFERROR(__xludf.DUMMYFUNCTION("""COMPUTED_VALUE"""),"シーモアコミックス（トレモア）")</f>
        <v>シーモアコミックス（トレモア）</v>
      </c>
      <c r="M2598" s="23">
        <f>IFERROR(__xludf.DUMMYFUNCTION("""COMPUTED_VALUE"""),45702.0)</f>
        <v>45702</v>
      </c>
      <c r="N2598" s="23">
        <f>IFERROR(__xludf.DUMMYFUNCTION("""COMPUTED_VALUE"""),45855.0)</f>
        <v>45855</v>
      </c>
      <c r="O2598" s="75"/>
      <c r="P2598" s="71" t="str">
        <f>IFERROR(__xludf.DUMMYFUNCTION("""COMPUTED_VALUE"""),"可")</f>
        <v>可</v>
      </c>
      <c r="Q2598" s="72"/>
      <c r="R2598" s="75"/>
      <c r="S2598" s="75" t="str">
        <f>IFERROR(__xludf.DUMMYFUNCTION("""COMPUTED_VALUE"""),"20241213_シーモアコミックス_イケメン家政夫、拾いました。")</f>
        <v>20241213_シーモアコミックス_イケメン家政夫、拾いました。</v>
      </c>
      <c r="T2598" s="75" t="str">
        <f>IFERROR(__xludf.DUMMYFUNCTION("""COMPUTED_VALUE"""),"格納済み")</f>
        <v>格納済み</v>
      </c>
      <c r="U2598" s="15" t="str">
        <f>IFERROR(__xludf.DUMMYFUNCTION("""COMPUTED_VALUE"""),"Ⓒ 四十川優/志音/シーモアコミックス")</f>
        <v>Ⓒ 四十川優/志音/シーモアコミックス</v>
      </c>
      <c r="V2598" s="8" t="str">
        <f>IFERROR(__xludf.DUMMYFUNCTION("""COMPUTED_VALUE"""),"仕事に夢中になりすぎて、長年付き合った彼氏にフラれてしまった美咲。失意の中帰っていると、10歳年下の幼馴染・楓と久しぶりに再会する。弟のような存在だった楓が作ってくれたシチューがあたたかくて安心して、思わず涙してしまう美咲に楓は、専属の家政夫になると申し出て…。甘やかし上手な年下の彼との、年の差恋愛の行方は――？")</f>
        <v>仕事に夢中になりすぎて、長年付き合った彼氏にフラれてしまった美咲。失意の中帰っていると、10歳年下の幼馴染・楓と久しぶりに再会する。弟のような存在だった楓が作ってくれたシチューがあたたかくて安心して、思わず涙してしまう美咲に楓は、専属の家政夫になると申し出て…。甘やかし上手な年下の彼との、年の差恋愛の行方は――？</v>
      </c>
      <c r="W2598" s="14"/>
      <c r="X2598" s="14" t="str">
        <f>IFERROR(__xludf.DUMMYFUNCTION("""COMPUTED_VALUE"""),"有")</f>
        <v>有</v>
      </c>
      <c r="Y2598" s="8" t="str">
        <f>IFERROR(__xludf.DUMMYFUNCTION("""COMPUTED_VALUE"""),"P13まで")</f>
        <v>P13まで</v>
      </c>
      <c r="Z2598" s="7"/>
      <c r="AA2598" s="7"/>
      <c r="AB2598" s="7"/>
    </row>
    <row r="2599" ht="15.75" customHeight="1">
      <c r="A2599" s="66">
        <f>IFERROR(__xludf.DUMMYFUNCTION("""COMPUTED_VALUE"""),4682.0)</f>
        <v>4682</v>
      </c>
      <c r="B2599" s="75" t="str">
        <f>IFERROR(__xludf.DUMMYFUNCTION("""COMPUTED_VALUE"""),"確定")</f>
        <v>確定</v>
      </c>
      <c r="C2599" s="68">
        <f>IFERROR(__xludf.DUMMYFUNCTION("""COMPUTED_VALUE"""),45639.0)</f>
        <v>45639</v>
      </c>
      <c r="D2599" s="68">
        <f>IFERROR(__xludf.DUMMYFUNCTION("""COMPUTED_VALUE"""),45639.0)</f>
        <v>45639</v>
      </c>
      <c r="E2599" s="66">
        <f>IFERROR(__xludf.DUMMYFUNCTION("""COMPUTED_VALUE"""),307968.0)</f>
        <v>307968</v>
      </c>
      <c r="F2599" s="75" t="str">
        <f>IFERROR(__xludf.DUMMYFUNCTION("""COMPUTED_VALUE"""),"呪われた花嫁～ご当主様の愛は呪縛のように甘くて重い～")</f>
        <v>呪われた花嫁～ご当主様の愛は呪縛のように甘くて重い～</v>
      </c>
      <c r="G2599" s="75" t="str">
        <f>IFERROR(__xludf.DUMMYFUNCTION("""COMPUTED_VALUE"""),"1～5")</f>
        <v>1～5</v>
      </c>
      <c r="H2599" s="75" t="str">
        <f>IFERROR(__xludf.DUMMYFUNCTION("""COMPUTED_VALUE"""),"草野ライス")</f>
        <v>草野ライス</v>
      </c>
      <c r="I2599" s="75" t="str">
        <f>IFERROR(__xludf.DUMMYFUNCTION("""COMPUTED_VALUE"""),"女性マンガ")</f>
        <v>女性マンガ</v>
      </c>
      <c r="J2599" s="75"/>
      <c r="K2599" s="75" t="str">
        <f>IFERROR(__xludf.DUMMYFUNCTION("""COMPUTED_VALUE"""),"シーモア×アラモード")</f>
        <v>シーモア×アラモード</v>
      </c>
      <c r="L2599" s="75" t="str">
        <f>IFERROR(__xludf.DUMMYFUNCTION("""COMPUTED_VALUE"""),"ライドオン")</f>
        <v>ライドオン</v>
      </c>
      <c r="M2599" s="23">
        <f>IFERROR(__xludf.DUMMYFUNCTION("""COMPUTED_VALUE"""),45632.0)</f>
        <v>45632</v>
      </c>
      <c r="N2599" s="23">
        <f>IFERROR(__xludf.DUMMYFUNCTION("""COMPUTED_VALUE"""),45814.0)</f>
        <v>45814</v>
      </c>
      <c r="O2599" s="75"/>
      <c r="P2599" s="80" t="str">
        <f>IFERROR(__xludf.DUMMYFUNCTION("""COMPUTED_VALUE"""),"可")</f>
        <v>可</v>
      </c>
      <c r="Q2599" s="72" t="str">
        <f>IFERROR(__xludf.DUMMYFUNCTION("""COMPUTED_VALUE"""),"申し訳ありません。協業レーベルですがCMSの登録が漏れておりました。可能な日からで良いのでなる早でご対応いただけますと幸いです。。！")</f>
        <v>申し訳ありません。協業レーベルですがCMSの登録が漏れておりました。可能な日からで良いのでなる早でご対応いただけますと幸いです。。！</v>
      </c>
      <c r="R2599" s="75"/>
      <c r="S2599" s="75" t="str">
        <f>IFERROR(__xludf.DUMMYFUNCTION("""COMPUTED_VALUE"""),"20241213_ライドオン_呪われた花嫁")</f>
        <v>20241213_ライドオン_呪われた花嫁</v>
      </c>
      <c r="T2599" s="75" t="str">
        <f>IFERROR(__xludf.DUMMYFUNCTION("""COMPUTED_VALUE"""),"格納済み")</f>
        <v>格納済み</v>
      </c>
      <c r="U2599" s="15" t="str">
        <f>IFERROR(__xludf.DUMMYFUNCTION("""COMPUTED_VALUE"""),"(C)草野ライス/ライドオン")</f>
        <v>(C)草野ライス/ライドオン</v>
      </c>
      <c r="V2599" s="8" t="str">
        <f>IFERROR(__xludf.DUMMYFUNCTION("""COMPUTED_VALUE"""),"「やっと見つけた…俺の花嫁――」
婚約者が相次いで不審な突然死を遂げ、「死神」と噂される撫子（なでしこ）。
養家である貴族・西園寺家の両親からは疎まれ、義妹からは見下され、世間からも心無い噂話の的にされ、どこにも居場所のない生活を送っていた。
そんな撫子のもとに、若き実業家の当主・梗一郎（きょういちろう）との縁談が持ちかけられる。
顔合わせの場では冷たく振る舞っていた梗一郎だが、婚礼の日、撫子に見せた表情は意外なもので…。
さらにその夜、梗一郎の口から彼の「稼業」が明かされて…？")</f>
        <v>「やっと見つけた…俺の花嫁――」
婚約者が相次いで不審な突然死を遂げ、「死神」と噂される撫子（なでしこ）。
養家である貴族・西園寺家の両親からは疎まれ、義妹からは見下され、世間からも心無い噂話の的にされ、どこにも居場所のない生活を送っていた。
そんな撫子のもとに、若き実業家の当主・梗一郎（きょういちろう）との縁談が持ちかけられる。
顔合わせの場では冷たく振る舞っていた梗一郎だが、婚礼の日、撫子に見せた表情は意外なもので…。
さらにその夜、梗一郎の口から彼の「稼業」が明かされて…？</v>
      </c>
      <c r="W2599" s="14"/>
      <c r="X2599" s="14" t="str">
        <f>IFERROR(__xludf.DUMMYFUNCTION("""COMPUTED_VALUE"""),"有")</f>
        <v>有</v>
      </c>
      <c r="Y2599" s="8" t="str">
        <f>IFERROR(__xludf.DUMMYFUNCTION("""COMPUTED_VALUE"""),"2025/2/28まで1巻無料")</f>
        <v>2025/2/28まで1巻無料</v>
      </c>
      <c r="Z2599" s="7"/>
      <c r="AA2599" s="7"/>
      <c r="AB2599" s="7"/>
    </row>
    <row r="2600" ht="15.75" customHeight="1">
      <c r="A2600" s="66">
        <f>IFERROR(__xludf.DUMMYFUNCTION("""COMPUTED_VALUE"""),4683.0)</f>
        <v>4683</v>
      </c>
      <c r="B2600" s="75" t="str">
        <f>IFERROR(__xludf.DUMMYFUNCTION("""COMPUTED_VALUE"""),"確定")</f>
        <v>確定</v>
      </c>
      <c r="C2600" s="68">
        <f>IFERROR(__xludf.DUMMYFUNCTION("""COMPUTED_VALUE"""),45639.0)</f>
        <v>45639</v>
      </c>
      <c r="D2600" s="68">
        <f>IFERROR(__xludf.DUMMYFUNCTION("""COMPUTED_VALUE"""),45639.0)</f>
        <v>45639</v>
      </c>
      <c r="E2600" s="66">
        <f>IFERROR(__xludf.DUMMYFUNCTION("""COMPUTED_VALUE"""),307969.0)</f>
        <v>307969</v>
      </c>
      <c r="F2600" s="75" t="str">
        <f>IFERROR(__xludf.DUMMYFUNCTION("""COMPUTED_VALUE"""),"リアルな恋はお隣から～年下男子の甘い取引～")</f>
        <v>リアルな恋はお隣から～年下男子の甘い取引～</v>
      </c>
      <c r="G2600" s="75" t="str">
        <f>IFERROR(__xludf.DUMMYFUNCTION("""COMPUTED_VALUE"""),"1～5")</f>
        <v>1～5</v>
      </c>
      <c r="H2600" s="75" t="str">
        <f>IFERROR(__xludf.DUMMYFUNCTION("""COMPUTED_VALUE"""),"野々原いちご,地由")</f>
        <v>野々原いちご,地由</v>
      </c>
      <c r="I2600" s="75" t="str">
        <f>IFERROR(__xludf.DUMMYFUNCTION("""COMPUTED_VALUE"""),"女性マンガ")</f>
        <v>女性マンガ</v>
      </c>
      <c r="J2600" s="75"/>
      <c r="K2600" s="75" t="str">
        <f>IFERROR(__xludf.DUMMYFUNCTION("""COMPUTED_VALUE"""),"シーモア×アラモード")</f>
        <v>シーモア×アラモード</v>
      </c>
      <c r="L2600" s="75" t="str">
        <f>IFERROR(__xludf.DUMMYFUNCTION("""COMPUTED_VALUE"""),"ライドオン")</f>
        <v>ライドオン</v>
      </c>
      <c r="M2600" s="23">
        <f>IFERROR(__xludf.DUMMYFUNCTION("""COMPUTED_VALUE"""),45632.0)</f>
        <v>45632</v>
      </c>
      <c r="N2600" s="59">
        <f>IFERROR(__xludf.DUMMYFUNCTION("""COMPUTED_VALUE"""),45814.0)</f>
        <v>45814</v>
      </c>
      <c r="O2600" s="75"/>
      <c r="P2600" s="80" t="str">
        <f>IFERROR(__xludf.DUMMYFUNCTION("""COMPUTED_VALUE"""),"可")</f>
        <v>可</v>
      </c>
      <c r="Q2600" s="72" t="str">
        <f>IFERROR(__xludf.DUMMYFUNCTION("""COMPUTED_VALUE"""),"申し訳ありません。協業レーベル作品ですがCMSの登録が漏れておりました。可能な限りなるはやで出稿いただけますと幸いです。。！")</f>
        <v>申し訳ありません。協業レーベル作品ですがCMSの登録が漏れておりました。可能な限りなるはやで出稿いただけますと幸いです。。！</v>
      </c>
      <c r="R2600" s="75"/>
      <c r="S2600" s="75" t="str">
        <f>IFERROR(__xludf.DUMMYFUNCTION("""COMPUTED_VALUE"""),"20241213_ライドオン_リアルな恋はお隣から")</f>
        <v>20241213_ライドオン_リアルな恋はお隣から</v>
      </c>
      <c r="T2600" s="75" t="str">
        <f>IFERROR(__xludf.DUMMYFUNCTION("""COMPUTED_VALUE"""),"格納済み")</f>
        <v>格納済み</v>
      </c>
      <c r="U2600" s="15" t="str">
        <f>IFERROR(__xludf.DUMMYFUNCTION("""COMPUTED_VALUE"""),"(C)地由/野々原いちご/ライドオン")</f>
        <v>(C)地由/野々原いちご/ライドオン</v>
      </c>
      <c r="V2600" s="8" t="str">
        <f>IFERROR(__xludf.DUMMYFUNCTION("""COMPUTED_VALUE"""),"「黙ってる代わりに、俺とつき合ってよ！」
8歳下のお隣さんが恋愛初心者の私に突きつけた「条件」はまさかの…!?
――アパレル企業本社で働く30歳のもも。
彼氏ができたことは高校時代に1回だけ、キスもその先も未経験ながら、実は官能小説家「稲森くるみ」として密かに人気を博している。
作家活動ができていることに喜びは感じつつも、2つの仕事に追われる多忙さ、経験不足を想像力と努力で補う執筆スタイル、友人や同僚たちと比べて変化も成長もないように思える自身の現状に悩んでいた。
ところが、自分が「稲森くるみ」"&amp;"であることをマンションの隣人・紫苑（しおん）に知られてしまったことから、ももの日常は思いもよらなかった方向へ動き出し…!?")</f>
        <v>「黙ってる代わりに、俺とつき合ってよ！」
8歳下のお隣さんが恋愛初心者の私に突きつけた「条件」はまさかの…!?
――アパレル企業本社で働く30歳のもも。
彼氏ができたことは高校時代に1回だけ、キスもその先も未経験ながら、実は官能小説家「稲森くるみ」として密かに人気を博している。
作家活動ができていることに喜びは感じつつも、2つの仕事に追われる多忙さ、経験不足を想像力と努力で補う執筆スタイル、友人や同僚たちと比べて変化も成長もないように思える自身の現状に悩んでいた。
ところが、自分が「稲森くるみ」であることをマンションの隣人・紫苑（しおん）に知られてしまったことから、ももの日常は思いもよらなかった方向へ動き出し…!?</v>
      </c>
      <c r="W2600" s="14"/>
      <c r="X2600" s="14" t="str">
        <f>IFERROR(__xludf.DUMMYFUNCTION("""COMPUTED_VALUE"""),"有")</f>
        <v>有</v>
      </c>
      <c r="Y2600" s="8" t="str">
        <f>IFERROR(__xludf.DUMMYFUNCTION("""COMPUTED_VALUE"""),"2025/2/28まで1巻無料")</f>
        <v>2025/2/28まで1巻無料</v>
      </c>
      <c r="Z2600" s="7"/>
      <c r="AA2600" s="7"/>
      <c r="AB2600" s="7"/>
    </row>
    <row r="2601" ht="15.75" customHeight="1">
      <c r="A2601" s="66">
        <f>IFERROR(__xludf.DUMMYFUNCTION("""COMPUTED_VALUE"""),4684.0)</f>
        <v>4684</v>
      </c>
      <c r="B2601" s="75" t="str">
        <f>IFERROR(__xludf.DUMMYFUNCTION("""COMPUTED_VALUE"""),"確定")</f>
        <v>確定</v>
      </c>
      <c r="C2601" s="68">
        <f>IFERROR(__xludf.DUMMYFUNCTION("""COMPUTED_VALUE"""),45642.0)</f>
        <v>45642</v>
      </c>
      <c r="D2601" s="68">
        <f>IFERROR(__xludf.DUMMYFUNCTION("""COMPUTED_VALUE"""),45644.0)</f>
        <v>45644</v>
      </c>
      <c r="E2601" s="60">
        <f>IFERROR(__xludf.DUMMYFUNCTION("""COMPUTED_VALUE"""),312277.0)</f>
        <v>312277</v>
      </c>
      <c r="F2601" s="60" t="str">
        <f>IFERROR(__xludf.DUMMYFUNCTION("""COMPUTED_VALUE"""),"藍沢響は笑わない【単話版】")</f>
        <v>藍沢響は笑わない【単話版】</v>
      </c>
      <c r="G2601" s="75" t="str">
        <f>IFERROR(__xludf.DUMMYFUNCTION("""COMPUTED_VALUE"""),"1～3")</f>
        <v>1～3</v>
      </c>
      <c r="H2601" s="75" t="str">
        <f>IFERROR(__xludf.DUMMYFUNCTION("""COMPUTED_VALUE"""),"原作：橘しづき 作画：cojomo")</f>
        <v>原作：橘しづき 作画：cojomo</v>
      </c>
      <c r="I2601" s="75" t="str">
        <f>IFERROR(__xludf.DUMMYFUNCTION("""COMPUTED_VALUE"""),"女性")</f>
        <v>女性</v>
      </c>
      <c r="J2601" s="75"/>
      <c r="K2601" s="75" t="str">
        <f>IFERROR(__xludf.DUMMYFUNCTION("""COMPUTED_VALUE"""),"urakoi")</f>
        <v>urakoi</v>
      </c>
      <c r="L2601" s="75" t="str">
        <f>IFERROR(__xludf.DUMMYFUNCTION("""COMPUTED_VALUE"""),"日本文芸社")</f>
        <v>日本文芸社</v>
      </c>
      <c r="M2601" s="23">
        <f>IFERROR(__xludf.DUMMYFUNCTION("""COMPUTED_VALUE"""),45677.0)</f>
        <v>45677</v>
      </c>
      <c r="N2601" s="59">
        <f>IFERROR(__xludf.DUMMYFUNCTION("""COMPUTED_VALUE"""),46079.70833333333)</f>
        <v>46079.70833</v>
      </c>
      <c r="O2601" s="75"/>
      <c r="P2601" s="71" t="str">
        <f>IFERROR(__xludf.DUMMYFUNCTION("""COMPUTED_VALUE"""),"可")</f>
        <v>可</v>
      </c>
      <c r="Q2601" s="72"/>
      <c r="R2601" s="75"/>
      <c r="S2601" s="75" t="str">
        <f>IFERROR(__xludf.DUMMYFUNCTION("""COMPUTED_VALUE"""),"20241216_日本文芸社_藍沢響は笑わない")</f>
        <v>20241216_日本文芸社_藍沢響は笑わない</v>
      </c>
      <c r="T2601" s="75" t="str">
        <f>IFERROR(__xludf.DUMMYFUNCTION("""COMPUTED_VALUE"""),"格納済み")</f>
        <v>格納済み</v>
      </c>
      <c r="U2601" s="15" t="str">
        <f>IFERROR(__xludf.DUMMYFUNCTION("""COMPUTED_VALUE"""),"(c)橘しづき・cojomo/日本文芸社")</f>
        <v>(c)橘しづき・cojomo/日本文芸社</v>
      </c>
      <c r="V2601" s="8" t="str">
        <f>IFERROR(__xludf.DUMMYFUNCTION("""COMPUTED_VALUE"""),"長年の夢だった看護師として、仕事に打ち込む椎名（しいな）ひなの。
しかし、彼女には幼い頃から“幽霊が視える”という秘密があった…！
周囲に知られないよう、院内に現れる幽霊をやり過ごす中、
同じ病棟に勤める医師の藍沢響（あいざわきょう）に、
幽霊と遭遇するところを偶然見られてしまい…！？
オカルティック・ゾクキュンストーリー！！")</f>
        <v>長年の夢だった看護師として、仕事に打ち込む椎名（しいな）ひなの。
しかし、彼女には幼い頃から“幽霊が視える”という秘密があった…！
周囲に知られないよう、院内に現れる幽霊をやり過ごす中、
同じ病棟に勤める医師の藍沢響（あいざわきょう）に、
幽霊と遭遇するところを偶然見られてしまい…！？
オカルティック・ゾクキュンストーリー！！</v>
      </c>
      <c r="W2601" s="14"/>
      <c r="X2601" s="14" t="str">
        <f>IFERROR(__xludf.DUMMYFUNCTION("""COMPUTED_VALUE"""),"有")</f>
        <v>有</v>
      </c>
      <c r="Y2601" s="8" t="str">
        <f>IFERROR(__xludf.DUMMYFUNCTION("""COMPUTED_VALUE"""),"2025/2/2まで1巻無料")</f>
        <v>2025/2/2まで1巻無料</v>
      </c>
      <c r="Z2601" s="7"/>
      <c r="AA2601" s="7"/>
      <c r="AB2601" s="7"/>
    </row>
    <row r="2602" ht="15.75" customHeight="1">
      <c r="A2602" s="66">
        <f>IFERROR(__xludf.DUMMYFUNCTION("""COMPUTED_VALUE"""),4686.0)</f>
        <v>4686</v>
      </c>
      <c r="B2602" s="75" t="str">
        <f>IFERROR(__xludf.DUMMYFUNCTION("""COMPUTED_VALUE"""),"確定")</f>
        <v>確定</v>
      </c>
      <c r="C2602" s="68">
        <f>IFERROR(__xludf.DUMMYFUNCTION("""COMPUTED_VALUE"""),45642.0)</f>
        <v>45642</v>
      </c>
      <c r="D2602" s="68">
        <f>IFERROR(__xludf.DUMMYFUNCTION("""COMPUTED_VALUE"""),45644.0)</f>
        <v>45644</v>
      </c>
      <c r="E2602" s="60">
        <f>IFERROR(__xludf.DUMMYFUNCTION("""COMPUTED_VALUE"""),311603.0)</f>
        <v>311603</v>
      </c>
      <c r="F2602" s="60" t="str">
        <f>IFERROR(__xludf.DUMMYFUNCTION("""COMPUTED_VALUE"""),"【単話版】徳川埋蔵金はアメリカにござる")</f>
        <v>【単話版】徳川埋蔵金はアメリカにござる</v>
      </c>
      <c r="G2602" s="75" t="str">
        <f>IFERROR(__xludf.DUMMYFUNCTION("""COMPUTED_VALUE"""),"1～9")</f>
        <v>1～9</v>
      </c>
      <c r="H2602" s="75" t="str">
        <f>IFERROR(__xludf.DUMMYFUNCTION("""COMPUTED_VALUE"""),"大柿ロクロウ")</f>
        <v>大柿ロクロウ</v>
      </c>
      <c r="I2602" s="75" t="str">
        <f>IFERROR(__xludf.DUMMYFUNCTION("""COMPUTED_VALUE"""),"青年")</f>
        <v>青年</v>
      </c>
      <c r="J2602" s="87"/>
      <c r="K2602" s="87"/>
      <c r="L2602" s="75" t="str">
        <f>IFERROR(__xludf.DUMMYFUNCTION("""COMPUTED_VALUE"""),"新潮社")</f>
        <v>新潮社</v>
      </c>
      <c r="M2602" s="23">
        <f>IFERROR(__xludf.DUMMYFUNCTION("""COMPUTED_VALUE"""),45682.0)</f>
        <v>45682</v>
      </c>
      <c r="N2602" s="47">
        <f>IFERROR(__xludf.DUMMYFUNCTION("""COMPUTED_VALUE"""),45712.0)</f>
        <v>45712</v>
      </c>
      <c r="O2602" s="75"/>
      <c r="P2602" s="80" t="str">
        <f>IFERROR(__xludf.DUMMYFUNCTION("""COMPUTED_VALUE"""),"否")</f>
        <v>否</v>
      </c>
      <c r="Q2602" s="72" t="str">
        <f>IFERROR(__xludf.DUMMYFUNCTION("""COMPUTED_VALUE"""),"男性ジャンル強化作品。河上さん連携済み。&lt;BR&gt;冒頭無料は1～2話です。&lt;BR&gt;初回配信話数は「1-9巻」ですが、素材が間に合わないので「1-7巻」で制作をお願いします。")</f>
        <v>男性ジャンル強化作品。河上さん連携済み。&lt;BR&gt;冒頭無料は1～2話です。&lt;BR&gt;初回配信話数は「1-9巻」ですが、素材が間に合わないので「1-7巻」で制作をお願いします。</v>
      </c>
      <c r="R2602" s="75"/>
      <c r="S2602" s="75" t="str">
        <f>IFERROR(__xludf.DUMMYFUNCTION("""COMPUTED_VALUE"""),"20241216_新潮社_徳川埋蔵金はアメリカにござる")</f>
        <v>20241216_新潮社_徳川埋蔵金はアメリカにござる</v>
      </c>
      <c r="T2602" s="75" t="str">
        <f>IFERROR(__xludf.DUMMYFUNCTION("""COMPUTED_VALUE"""),"格納済み")</f>
        <v>格納済み</v>
      </c>
      <c r="U2602" s="15" t="str">
        <f>IFERROR(__xludf.DUMMYFUNCTION("""COMPUTED_VALUE"""),"Ⓒ大柿ロクロウ／新潮社")</f>
        <v>Ⓒ大柿ロクロウ／新潮社</v>
      </c>
      <c r="V2602" s="8" t="str">
        <f>IFERROR(__xludf.DUMMYFUNCTION("""COMPUTED_VALUE"""),"時は享保、徳川吉宗の治世。幕府は財政危機に陥っていた。この事態を打開する切り札、それは家康が残した莫大な『徳川埋蔵金』！　その在り処が示された地図を手に『忍びの虎次郎』が向かうのは、未だ国はなく先住民族と移民が割拠する新大陸アメリカであった！　そこで出会った先住民族の女と埋蔵金に数奇なつながりがあり……。未開のアメリカを舞台に、歴史には語られないもうひとつのゴールドラッシュが始まる!!!!")</f>
        <v>時は享保、徳川吉宗の治世。幕府は財政危機に陥っていた。この事態を打開する切り札、それは家康が残した莫大な『徳川埋蔵金』！　その在り処が示された地図を手に『忍びの虎次郎』が向かうのは、未だ国はなく先住民族と移民が割拠する新大陸アメリカであった！　そこで出会った先住民族の女と埋蔵金に数奇なつながりがあり……。未開のアメリカを舞台に、歴史には語られないもうひとつのゴールドラッシュが始まる!!!!</v>
      </c>
      <c r="W2602" s="14"/>
      <c r="X2602" s="14" t="str">
        <f>IFERROR(__xludf.DUMMYFUNCTION("""COMPUTED_VALUE"""),"有")</f>
        <v>有</v>
      </c>
      <c r="Y2602" s="8" t="str">
        <f>IFERROR(__xludf.DUMMYFUNCTION("""COMPUTED_VALUE"""),"2025/2/7まで1～2巻無料")</f>
        <v>2025/2/7まで1～2巻無料</v>
      </c>
      <c r="Z2602" s="7"/>
      <c r="AA2602" s="7"/>
      <c r="AB2602" s="7"/>
    </row>
    <row r="2603" ht="15.75" customHeight="1">
      <c r="A2603" s="26">
        <f>IFERROR(__xludf.DUMMYFUNCTION("""COMPUTED_VALUE"""),4293.0)</f>
        <v>4293</v>
      </c>
      <c r="B2603" s="75" t="str">
        <f>IFERROR(__xludf.DUMMYFUNCTION("""COMPUTED_VALUE"""),"確定")</f>
        <v>確定</v>
      </c>
      <c r="C2603" s="68">
        <f>IFERROR(__xludf.DUMMYFUNCTION("""COMPUTED_VALUE"""),45575.0)</f>
        <v>45575</v>
      </c>
      <c r="D2603" s="68">
        <f>IFERROR(__xludf.DUMMYFUNCTION("""COMPUTED_VALUE"""),45650.0)</f>
        <v>45650</v>
      </c>
      <c r="E2603" s="100">
        <f>IFERROR(__xludf.DUMMYFUNCTION("""COMPUTED_VALUE"""),311356.0)</f>
        <v>311356</v>
      </c>
      <c r="F2603" s="61" t="str">
        <f>IFERROR(__xludf.DUMMYFUNCTION("""COMPUTED_VALUE"""),"花嫁契約～御曹司に愛されすぎて、偽り婚を拒否できません～【分冊版】")</f>
        <v>花嫁契約～御曹司に愛されすぎて、偽り婚を拒否できません～【分冊版】</v>
      </c>
      <c r="G2603" s="75" t="str">
        <f>IFERROR(__xludf.DUMMYFUNCTION("""COMPUTED_VALUE"""),"1～3")</f>
        <v>1～3</v>
      </c>
      <c r="H2603" s="22" t="str">
        <f>IFERROR(__xludf.DUMMYFUNCTION("""COMPUTED_VALUE"""),"日向野ジュン,はとり美里")</f>
        <v>日向野ジュン,はとり美里</v>
      </c>
      <c r="I2603" s="75" t="str">
        <f>IFERROR(__xludf.DUMMYFUNCTION("""COMPUTED_VALUE"""),"女性")</f>
        <v>女性</v>
      </c>
      <c r="J2603" s="22"/>
      <c r="K2603" s="22"/>
      <c r="L2603" s="22" t="str">
        <f>IFERROR(__xludf.DUMMYFUNCTION("""COMPUTED_VALUE"""),"ハーパーコリンズ・ジャパン
")</f>
        <v>ハーパーコリンズ・ジャパン
</v>
      </c>
      <c r="M2603" s="59">
        <f>IFERROR(__xludf.DUMMYFUNCTION("""COMPUTED_VALUE"""),45677.0)</f>
        <v>45677</v>
      </c>
      <c r="N2603" s="59">
        <f>IFERROR(__xludf.DUMMYFUNCTION("""COMPUTED_VALUE"""),45734.0)</f>
        <v>45734</v>
      </c>
      <c r="O2603" s="75"/>
      <c r="P2603" s="32" t="str">
        <f>IFERROR(__xludf.DUMMYFUNCTION("""COMPUTED_VALUE"""),"可")</f>
        <v>可</v>
      </c>
      <c r="Q2603" s="9"/>
      <c r="R2603" s="22"/>
      <c r="S2603" s="75" t="str">
        <f>IFERROR(__xludf.DUMMYFUNCTION("""COMPUTED_VALUE"""),"20241220_ハーパーコリンズ・ジャパン様_花嫁契約～御曹司に愛されすぎて、偽り婚を拒否できません～【分冊版】
")</f>
        <v>20241220_ハーパーコリンズ・ジャパン様_花嫁契約～御曹司に愛されすぎて、偽り婚を拒否できません～【分冊版】
</v>
      </c>
      <c r="T2603" s="22" t="str">
        <f>IFERROR(__xludf.DUMMYFUNCTION("""COMPUTED_VALUE"""),"格納済み")</f>
        <v>格納済み</v>
      </c>
      <c r="U2603" s="107" t="str">
        <f>IFERROR(__xludf.DUMMYFUNCTION("""COMPUTED_VALUE"""),"Ⓒはとり美里・日向野ジュン／ハーパーコリンズ・ジャパン
")</f>
        <v>Ⓒはとり美里・日向野ジュン／ハーパーコリンズ・ジャパン
</v>
      </c>
      <c r="V2603" s="8" t="str">
        <f>IFERROR(__xludf.DUMMYFUNCTION("""COMPUTED_VALUE"""),"出会ってすぐにプロポーズなんて!?　でも…偽りの関係は本物の恋に?
「俺と結婚してほしい」婚活パーティーで出会った彼から突然のお願い。いつか王子様からプロポーズを…と夢見ていた瀬利だったが、南条訓との偽装婚約に巻き込まれることになった。だけど、同居が始まるや否や彼の強引すぎるアプローチに胸のドキドキが止まらない。しかも、実は彼は大企業の御曹司で…!?　そんな心をかき乱す甘い彼との生活は幸せだけど、偽りからスタートした関係に本物の想いが芽生えて――。")</f>
        <v>出会ってすぐにプロポーズなんて!?　でも…偽りの関係は本物の恋に?
「俺と結婚してほしい」婚活パーティーで出会った彼から突然のお願い。いつか王子様からプロポーズを…と夢見ていた瀬利だったが、南条訓との偽装婚約に巻き込まれることになった。だけど、同居が始まるや否や彼の強引すぎるアプローチに胸のドキドキが止まらない。しかも、実は彼は大企業の御曹司で…!?　そんな心をかき乱す甘い彼との生活は幸せだけど、偽りからスタートした関係に本物の想いが芽生えて――。</v>
      </c>
      <c r="W2603" s="14"/>
      <c r="X2603" s="14" t="str">
        <f>IFERROR(__xludf.DUMMYFUNCTION("""COMPUTED_VALUE"""),"有")</f>
        <v>有</v>
      </c>
      <c r="Y2603" s="8" t="str">
        <f>IFERROR(__xludf.DUMMYFUNCTION("""COMPUTED_VALUE"""),"P8まで")</f>
        <v>P8まで</v>
      </c>
      <c r="Z2603" s="7"/>
      <c r="AA2603" s="7"/>
      <c r="AB2603" s="7"/>
    </row>
    <row r="2604" ht="15.75" customHeight="1">
      <c r="A2604" s="26">
        <f>IFERROR(__xludf.DUMMYFUNCTION("""COMPUTED_VALUE"""),4353.0)</f>
        <v>4353</v>
      </c>
      <c r="B2604" s="75" t="str">
        <f>IFERROR(__xludf.DUMMYFUNCTION("""COMPUTED_VALUE"""),"確定")</f>
        <v>確定</v>
      </c>
      <c r="C2604" s="68">
        <f>IFERROR(__xludf.DUMMYFUNCTION("""COMPUTED_VALUE"""),45582.0)</f>
        <v>45582</v>
      </c>
      <c r="D2604" s="68">
        <f>IFERROR(__xludf.DUMMYFUNCTION("""COMPUTED_VALUE"""),45649.0)</f>
        <v>45649</v>
      </c>
      <c r="E2604" s="100">
        <f>IFERROR(__xludf.DUMMYFUNCTION("""COMPUTED_VALUE"""),312003.0)</f>
        <v>312003</v>
      </c>
      <c r="F2604" s="61" t="str">
        <f>IFERROR(__xludf.DUMMYFUNCTION("""COMPUTED_VALUE"""),"匠サマは暴きたい～輪廻に甘噛み～【マイクロ】
")</f>
        <v>匠サマは暴きたい～輪廻に甘噛み～【マイクロ】
</v>
      </c>
      <c r="G2604" s="75" t="str">
        <f>IFERROR(__xludf.DUMMYFUNCTION("""COMPUTED_VALUE"""),"1～5")</f>
        <v>1～5</v>
      </c>
      <c r="H2604" s="22" t="str">
        <f>IFERROR(__xludf.DUMMYFUNCTION("""COMPUTED_VALUE"""),"悠妃りゅう
")</f>
        <v>悠妃りゅう
</v>
      </c>
      <c r="I2604" s="75" t="str">
        <f>IFERROR(__xludf.DUMMYFUNCTION("""COMPUTED_VALUE"""),"女性")</f>
        <v>女性</v>
      </c>
      <c r="J2604" s="22"/>
      <c r="K2604" s="22"/>
      <c r="L2604" s="22" t="str">
        <f>IFERROR(__xludf.DUMMYFUNCTION("""COMPUTED_VALUE"""),"小学館
")</f>
        <v>小学館
</v>
      </c>
      <c r="M2604" s="59">
        <f>IFERROR(__xludf.DUMMYFUNCTION("""COMPUTED_VALUE"""),45667.0)</f>
        <v>45667</v>
      </c>
      <c r="N2604" s="59">
        <f>IFERROR(__xludf.DUMMYFUNCTION("""COMPUTED_VALUE"""),45725.0)</f>
        <v>45725</v>
      </c>
      <c r="O2604" s="75"/>
      <c r="P2604" s="34" t="str">
        <f>IFERROR(__xludf.DUMMYFUNCTION("""COMPUTED_VALUE"""),"否")</f>
        <v>否</v>
      </c>
      <c r="Q2604" s="75" t="str">
        <f>IFERROR(__xludf.DUMMYFUNCTION("""COMPUTED_VALUE"""),"『はじめてのケダモノ』の作家様の新作です！")</f>
        <v>『はじめてのケダモノ』の作家様の新作です！</v>
      </c>
      <c r="R2604" s="22" t="str">
        <f>IFERROR(__xludf.DUMMYFUNCTION("""COMPUTED_VALUE"""),"コミットOK")</f>
        <v>コミットOK</v>
      </c>
      <c r="S2604" s="75" t="str">
        <f>IFERROR(__xludf.DUMMYFUNCTION("""COMPUTED_VALUE"""),"20241220_小学館_匠サマは暴きたい～輪廻に甘噛み～【マイクロ】
")</f>
        <v>20241220_小学館_匠サマは暴きたい～輪廻に甘噛み～【マイクロ】
</v>
      </c>
      <c r="T2604" s="22" t="str">
        <f>IFERROR(__xludf.DUMMYFUNCTION("""COMPUTED_VALUE"""),"格納済み")</f>
        <v>格納済み</v>
      </c>
      <c r="U2604" s="15" t="str">
        <f>IFERROR(__xludf.DUMMYFUNCTION("""COMPUTED_VALUE"""),"(C)悠妃りゅう / 小学館
")</f>
        <v>(C)悠妃りゅう / 小学館
</v>
      </c>
      <c r="V2604" s="8" t="str">
        <f>IFERROR(__xludf.DUMMYFUNCTION("""COMPUTED_VALUE"""),"「過去」を読み、「今」を変える力を持つ鑑定士・宇賀神匠（うがじんたくみ）。その手法は肉体の接触・・・。ミステリアスなこの異能者にＪＫ清夜（きよ）が邂逅したとき、前世と現世の恋と宿命が動き出す！")</f>
        <v>「過去」を読み、「今」を変える力を持つ鑑定士・宇賀神匠（うがじんたくみ）。その手法は肉体の接触・・・。ミステリアスなこの異能者にＪＫ清夜（きよ）が邂逅したとき、前世と現世の恋と宿命が動き出す！</v>
      </c>
      <c r="W2604" s="14"/>
      <c r="X2604" s="14" t="str">
        <f>IFERROR(__xludf.DUMMYFUNCTION("""COMPUTED_VALUE"""),"有")</f>
        <v>有</v>
      </c>
      <c r="Y2604" s="8" t="str">
        <f>IFERROR(__xludf.DUMMYFUNCTION("""COMPUTED_VALUE"""),"2025/3/9まで1巻無料")</f>
        <v>2025/3/9まで1巻無料</v>
      </c>
      <c r="Z2604" s="7"/>
      <c r="AA2604" s="7"/>
      <c r="AB2604" s="7"/>
    </row>
    <row r="2605" ht="15.75" customHeight="1">
      <c r="A2605" s="26">
        <f>IFERROR(__xludf.DUMMYFUNCTION("""COMPUTED_VALUE"""),4409.0)</f>
        <v>4409</v>
      </c>
      <c r="B2605" s="75" t="str">
        <f>IFERROR(__xludf.DUMMYFUNCTION("""COMPUTED_VALUE"""),"確定")</f>
        <v>確定</v>
      </c>
      <c r="C2605" s="68">
        <f>IFERROR(__xludf.DUMMYFUNCTION("""COMPUTED_VALUE"""),45589.0)</f>
        <v>45589</v>
      </c>
      <c r="D2605" s="68">
        <f>IFERROR(__xludf.DUMMYFUNCTION("""COMPUTED_VALUE"""),45650.0)</f>
        <v>45650</v>
      </c>
      <c r="E2605" s="100">
        <f>IFERROR(__xludf.DUMMYFUNCTION("""COMPUTED_VALUE"""),311426.0)</f>
        <v>311426</v>
      </c>
      <c r="F2605" s="61" t="str">
        <f>IFERROR(__xludf.DUMMYFUNCTION("""COMPUTED_VALUE"""),"運命とは言わせない
")</f>
        <v>運命とは言わせない
</v>
      </c>
      <c r="G2605" s="20" t="str">
        <f>IFERROR(__xludf.DUMMYFUNCTION("""COMPUTED_VALUE"""),"1～2")</f>
        <v>1～2</v>
      </c>
      <c r="H2605" s="22" t="str">
        <f>IFERROR(__xludf.DUMMYFUNCTION("""COMPUTED_VALUE"""),"原作：春密まつり／漫画：阿路乃もと
")</f>
        <v>原作：春密まつり／漫画：阿路乃もと
</v>
      </c>
      <c r="I2605" s="75" t="str">
        <f>IFERROR(__xludf.DUMMYFUNCTION("""COMPUTED_VALUE"""),"BL")</f>
        <v>BL</v>
      </c>
      <c r="J2605" s="22"/>
      <c r="K2605" s="22"/>
      <c r="L2605" s="22" t="str">
        <f>IFERROR(__xludf.DUMMYFUNCTION("""COMPUTED_VALUE"""),"Freedia
")</f>
        <v>Freedia
</v>
      </c>
      <c r="M2605" s="59">
        <f>IFERROR(__xludf.DUMMYFUNCTION("""COMPUTED_VALUE"""),45681.0)</f>
        <v>45681</v>
      </c>
      <c r="N2605" s="59">
        <f>IFERROR(__xludf.DUMMYFUNCTION("""COMPUTED_VALUE"""),45770.0)</f>
        <v>45770</v>
      </c>
      <c r="O2605" s="75"/>
      <c r="P2605" s="32" t="str">
        <f>IFERROR(__xludf.DUMMYFUNCTION("""COMPUTED_VALUE"""),"可")</f>
        <v>可</v>
      </c>
      <c r="Q2605" s="75"/>
      <c r="R2605" s="22" t="str">
        <f>IFERROR(__xludf.DUMMYFUNCTION("""COMPUTED_VALUE"""),"コミットOK")</f>
        <v>コミットOK</v>
      </c>
      <c r="S2605" s="75" t="str">
        <f>IFERROR(__xludf.DUMMYFUNCTION("""COMPUTED_VALUE"""),"20241217_freedia_運命とは言わせない1-2話_EPUBデータ
")</f>
        <v>20241217_freedia_運命とは言わせない1-2話_EPUBデータ
</v>
      </c>
      <c r="T2605" s="22" t="str">
        <f>IFERROR(__xludf.DUMMYFUNCTION("""COMPUTED_VALUE"""),"格納済み")</f>
        <v>格納済み</v>
      </c>
      <c r="U2605" s="15" t="str">
        <f>IFERROR(__xludf.DUMMYFUNCTION("""COMPUTED_VALUE"""),"Ⓒ阿路乃もと・春密まつり/Freedia
")</f>
        <v>Ⓒ阿路乃もと・春密まつり/Freedia
</v>
      </c>
      <c r="V2605" s="8" t="str">
        <f>IFERROR(__xludf.DUMMYFUNCTION("""COMPUTED_VALUE"""),"政府により抑制剤開発が進められ、バース性がコントロール可能な社会——
オメガの社会的地位も向上しつつある中、アルファだらけの警視庁で働く佐倉透矢（Ω）。
オメガ特有の色気と眉目秀麗な見た目、身に付けた処世術により様々な場所への潜入捜査を得意としている。
そんな透矢が次の任務として言い渡されたのは、日本進出を目論む組織犯罪集団の調査だった。
調査対象とされている東雲アサヒへ接触を試みた透矢は、アサヒを一目見た瞬間「発情期（ヒート）」を起こしてしまい…
抑制剤の進歩により番すら少なくなりつつある世の"&amp;"中で、よりにもよって都市伝説級の『運命の番』に出会ってしまった透矢は、
運命に抗うのかその身を委ねてしまうのか――？")</f>
        <v>政府により抑制剤開発が進められ、バース性がコントロール可能な社会——
オメガの社会的地位も向上しつつある中、アルファだらけの警視庁で働く佐倉透矢（Ω）。
オメガ特有の色気と眉目秀麗な見た目、身に付けた処世術により様々な場所への潜入捜査を得意としている。
そんな透矢が次の任務として言い渡されたのは、日本進出を目論む組織犯罪集団の調査だった。
調査対象とされている東雲アサヒへ接触を試みた透矢は、アサヒを一目見た瞬間「発情期（ヒート）」を起こしてしまい…
抑制剤の進歩により番すら少なくなりつつある世の中で、よりにもよって都市伝説級の『運命の番』に出会ってしまった透矢は、
運命に抗うのかその身を委ねてしまうのか――？</v>
      </c>
      <c r="W2605" s="14"/>
      <c r="X2605" s="14" t="str">
        <f>IFERROR(__xludf.DUMMYFUNCTION("""COMPUTED_VALUE"""),"有")</f>
        <v>有</v>
      </c>
      <c r="Y2605" s="8" t="str">
        <f>IFERROR(__xludf.DUMMYFUNCTION("""COMPUTED_VALUE"""),"2025/4/23まで1巻無料")</f>
        <v>2025/4/23まで1巻無料</v>
      </c>
      <c r="Z2605" s="7"/>
      <c r="AA2605" s="7"/>
      <c r="AB2605" s="7"/>
    </row>
    <row r="2606" ht="15.75" customHeight="1">
      <c r="A2606" s="26">
        <f>IFERROR(__xludf.DUMMYFUNCTION("""COMPUTED_VALUE"""),4432.0)</f>
        <v>4432</v>
      </c>
      <c r="B2606" s="75" t="str">
        <f>IFERROR(__xludf.DUMMYFUNCTION("""COMPUTED_VALUE"""),"確定")</f>
        <v>確定</v>
      </c>
      <c r="C2606" s="68">
        <f>IFERROR(__xludf.DUMMYFUNCTION("""COMPUTED_VALUE"""),45594.0)</f>
        <v>45594</v>
      </c>
      <c r="D2606" s="68">
        <f>IFERROR(__xludf.DUMMYFUNCTION("""COMPUTED_VALUE"""),45650.0)</f>
        <v>45650</v>
      </c>
      <c r="E2606" s="100">
        <f>IFERROR(__xludf.DUMMYFUNCTION("""COMPUTED_VALUE"""),312573.0)</f>
        <v>312573</v>
      </c>
      <c r="F2606" s="90" t="str">
        <f>IFERROR(__xludf.DUMMYFUNCTION("""COMPUTED_VALUE"""),"乞わずにはいられない【全年齢版】【タテヨミ】")</f>
        <v>乞わずにはいられない【全年齢版】【タテヨミ】</v>
      </c>
      <c r="G2606" s="75" t="str">
        <f>IFERROR(__xludf.DUMMYFUNCTION("""COMPUTED_VALUE"""),"1～15")</f>
        <v>1～15</v>
      </c>
      <c r="H2606" s="22" t="str">
        <f>IFERROR(__xludf.DUMMYFUNCTION("""COMPUTED_VALUE"""),"原作：Libenia 文：Irene 作画：Leeseo, Studio DAM
")</f>
        <v>原作：Libenia 文：Irene 作画：Leeseo, Studio DAM
</v>
      </c>
      <c r="I2606" s="75" t="str">
        <f>IFERROR(__xludf.DUMMYFUNCTION("""COMPUTED_VALUE"""),"TL")</f>
        <v>TL</v>
      </c>
      <c r="J2606" s="22"/>
      <c r="K2606" s="22"/>
      <c r="L2606" s="22" t="str">
        <f>IFERROR(__xludf.DUMMYFUNCTION("""COMPUTED_VALUE"""),"主婦の友社
")</f>
        <v>主婦の友社
</v>
      </c>
      <c r="M2606" s="59">
        <f>IFERROR(__xludf.DUMMYFUNCTION("""COMPUTED_VALUE"""),45679.0)</f>
        <v>45679</v>
      </c>
      <c r="N2606" s="47">
        <f>IFERROR(__xludf.DUMMYFUNCTION("""COMPUTED_VALUE"""),45769.0)</f>
        <v>45769</v>
      </c>
      <c r="O2606" s="75"/>
      <c r="P2606" s="32" t="str">
        <f>IFERROR(__xludf.DUMMYFUNCTION("""COMPUTED_VALUE"""),"可")</f>
        <v>可</v>
      </c>
      <c r="Q2606" s="75"/>
      <c r="R2606" s="22" t="str">
        <f>IFERROR(__xludf.DUMMYFUNCTION("""COMPUTED_VALUE"""),"コミットOK")</f>
        <v>コミットOK</v>
      </c>
      <c r="S2606" s="75" t="str">
        <f>IFERROR(__xludf.DUMMYFUNCTION("""COMPUTED_VALUE"""),"20241224_主婦の友社_乞わずにはいられない
")</f>
        <v>20241224_主婦の友社_乞わずにはいられない
</v>
      </c>
      <c r="T2606" s="22" t="str">
        <f>IFERROR(__xludf.DUMMYFUNCTION("""COMPUTED_VALUE"""),"格納済み")</f>
        <v>格納済み</v>
      </c>
      <c r="U2606" s="15" t="str">
        <f>IFERROR(__xludf.DUMMYFUNCTION("""COMPUTED_VALUE"""),"ⓒLibenia / Irene, Leeseo, Studio DAM / Jaedam &amp; DIKY
")</f>
        <v>ⓒLibenia / Irene, Leeseo, Studio DAM / Jaedam &amp; DIKY
</v>
      </c>
      <c r="V2606" s="8" t="str">
        <f>IFERROR(__xludf.DUMMYFUNCTION("""COMPUTED_VALUE"""),"王国西部司令部国内情報課レオン・ウィンストン大尉。優雅で高貴な容貌とは違い、彼は反軍に残忍な拷問で「ケンプトンの吸血鬼」と呼ばれた。味方と敵軍の両方に羨望の対象であり呪いの対象だった彼にとって、拷問室のメイド、サリー・ブリストールは彼を刺激する欲望の対象だった。平凡で特別なこともない女なのに…どうして彼女の血のにおいに発情するのだろうか。まるで反軍に対する怒りみたいに。疑問は長続きしなかった。反乱軍のスパイの口から彼女の名前が飛び出した瞬間、彼は気づいた。これ以上自分の暴力的な欲望を抑える必要はないと。「"&amp;"サリー、いや、グレイス」生きたければ私に乞うってみろ。知らないだろう？願ったら聞いてくれるかも。グレイスはそんな彼にしがみつきながら考えた。いつかあなたを惨めな格好にしてあげたい。その時私に乞うってみて。あなたが得るのは後悔になるから。")</f>
        <v>王国西部司令部国内情報課レオン・ウィンストン大尉。優雅で高貴な容貌とは違い、彼は反軍に残忍な拷問で「ケンプトンの吸血鬼」と呼ばれた。味方と敵軍の両方に羨望の対象であり呪いの対象だった彼にとって、拷問室のメイド、サリー・ブリストールは彼を刺激する欲望の対象だった。平凡で特別なこともない女なのに…どうして彼女の血のにおいに発情するのだろうか。まるで反軍に対する怒りみたいに。疑問は長続きしなかった。反乱軍のスパイの口から彼女の名前が飛び出した瞬間、彼は気づいた。これ以上自分の暴力的な欲望を抑える必要はないと。「サリー、いや、グレイス」生きたければ私に乞うってみろ。知らないだろう？願ったら聞いてくれるかも。グレイスはそんな彼にしがみつきながら考えた。いつかあなたを惨めな格好にしてあげたい。その時私に乞うってみて。あなたが得るのは後悔になるから。</v>
      </c>
      <c r="W2606" s="14"/>
      <c r="X2606" s="14" t="str">
        <f>IFERROR(__xludf.DUMMYFUNCTION("""COMPUTED_VALUE"""),"有")</f>
        <v>有</v>
      </c>
      <c r="Y2606" s="8" t="str">
        <f>IFERROR(__xludf.DUMMYFUNCTION("""COMPUTED_VALUE"""),"1～3巻無料")</f>
        <v>1～3巻無料</v>
      </c>
      <c r="Z2606" s="7"/>
      <c r="AA2606" s="7"/>
      <c r="AB2606" s="7"/>
    </row>
    <row r="2607" ht="15.75" customHeight="1">
      <c r="A2607" s="26">
        <f>IFERROR(__xludf.DUMMYFUNCTION("""COMPUTED_VALUE"""),4433.0)</f>
        <v>4433</v>
      </c>
      <c r="B2607" s="75" t="str">
        <f>IFERROR(__xludf.DUMMYFUNCTION("""COMPUTED_VALUE"""),"確定")</f>
        <v>確定</v>
      </c>
      <c r="C2607" s="68">
        <f>IFERROR(__xludf.DUMMYFUNCTION("""COMPUTED_VALUE"""),45594.0)</f>
        <v>45594</v>
      </c>
      <c r="D2607" s="68">
        <f>IFERROR(__xludf.DUMMYFUNCTION("""COMPUTED_VALUE"""),45611.0)</f>
        <v>45611</v>
      </c>
      <c r="E2607" s="100">
        <f>IFERROR(__xludf.DUMMYFUNCTION("""COMPUTED_VALUE"""),312004.0)</f>
        <v>312004</v>
      </c>
      <c r="F2607" s="61" t="str">
        <f>IFERROR(__xludf.DUMMYFUNCTION("""COMPUTED_VALUE"""),"お針子令嬢と氷の伯爵の白い結婚【単話】
")</f>
        <v>お針子令嬢と氷の伯爵の白い結婚【単話】
</v>
      </c>
      <c r="G2607" s="75" t="str">
        <f>IFERROR(__xludf.DUMMYFUNCTION("""COMPUTED_VALUE"""),"1～5")</f>
        <v>1～5</v>
      </c>
      <c r="H2607" s="22" t="str">
        <f>IFERROR(__xludf.DUMMYFUNCTION("""COMPUTED_VALUE"""),"漫画：サザメ漬け　原作：岩上 翠
")</f>
        <v>漫画：サザメ漬け　原作：岩上 翠
</v>
      </c>
      <c r="I2607" s="83" t="str">
        <f>IFERROR(__xludf.DUMMYFUNCTION("""COMPUTED_VALUE"""),"女性")</f>
        <v>女性</v>
      </c>
      <c r="J2607" s="22"/>
      <c r="K2607" s="22"/>
      <c r="L2607" s="22" t="str">
        <f>IFERROR(__xludf.DUMMYFUNCTION("""COMPUTED_VALUE"""),"小学館
")</f>
        <v>小学館
</v>
      </c>
      <c r="M2607" s="59">
        <f>IFERROR(__xludf.DUMMYFUNCTION("""COMPUTED_VALUE"""),45674.0)</f>
        <v>45674</v>
      </c>
      <c r="N2607" s="47">
        <f>IFERROR(__xludf.DUMMYFUNCTION("""COMPUTED_VALUE"""),45733.0)</f>
        <v>45733</v>
      </c>
      <c r="O2607" s="75"/>
      <c r="P2607" s="34" t="str">
        <f>IFERROR(__xludf.DUMMYFUNCTION("""COMPUTED_VALUE"""),"否")</f>
        <v>否</v>
      </c>
      <c r="Q2607" s="75" t="str">
        <f>IFERROR(__xludf.DUMMYFUNCTION("""COMPUTED_VALUE"""),"▼小学館さんより推しコメント&lt;BR&gt;「小説家になろう」の同名小説を原作としたコミカライズ作品です。妹に婚約者を奪われ、その後イケメンに契約結婚を申し込まれる…というストーリーで、しっかりヒット要素が入った作品に仕上がっています。主人公は裁縫好きという設定で、異世界和菓子やアラサーブックカフェ同様に、対象読者の共感しやすい趣味を持つキャラクターです。カラーイラストも綺麗なので、書影やバナーで目を引くのではと思います。&lt;BR&gt;来年2月or3月に単行本1巻を配信予定です
")</f>
        <v>▼小学館さんより推しコメント&lt;BR&gt;「小説家になろう」の同名小説を原作としたコミカライズ作品です。妹に婚約者を奪われ、その後イケメンに契約結婚を申し込まれる…というストーリーで、しっかりヒット要素が入った作品に仕上がっています。主人公は裁縫好きという設定で、異世界和菓子やアラサーブックカフェ同様に、対象読者の共感しやすい趣味を持つキャラクターです。カラーイラストも綺麗なので、書影やバナーで目を引くのではと思います。&lt;BR&gt;来年2月or3月に単行本1巻を配信予定です
</v>
      </c>
      <c r="R2607" s="22" t="str">
        <f>IFERROR(__xludf.DUMMYFUNCTION("""COMPUTED_VALUE"""),"コミットOK")</f>
        <v>コミットOK</v>
      </c>
      <c r="S2607" s="75" t="str">
        <f>IFERROR(__xludf.DUMMYFUNCTION("""COMPUTED_VALUE"""),"20241211_小学館_お針子令嬢と氷の伯爵の白い結婚【単話】")</f>
        <v>20241211_小学館_お針子令嬢と氷の伯爵の白い結婚【単話】</v>
      </c>
      <c r="T2607" s="22" t="str">
        <f>IFERROR(__xludf.DUMMYFUNCTION("""COMPUTED_VALUE"""),"格納済み")</f>
        <v>格納済み</v>
      </c>
      <c r="U2607" s="15" t="str">
        <f>IFERROR(__xludf.DUMMYFUNCTION("""COMPUTED_VALUE"""),"(C)岩上翠・サザメ漬け / 小学館")</f>
        <v>(C)岩上翠・サザメ漬け / 小学館</v>
      </c>
      <c r="V2607" s="8" t="str">
        <f>IFERROR(__xludf.DUMMYFUNCTION("""COMPUTED_VALUE"""),"無能と誹られ、妹に婚約者を奪われてしまったお針子令嬢のサラ。
失意に沈むサラの前に現れたのは、冷徹と噂される氷の伯爵アレクシスだった。
彼から“白い結婚”を提案されたサラは、心機一転、契約上の新婚生活をスタートすることに。
大好きな刺繍に打ち込み、アレクシスの心根の優しさに包まれて幸せな日々を送るサラ。アレクシスに対する想いは、やがて本物の愛へと変わっていく。
さらに、サラの刺繍に秘められた力が、周囲の人々の運命すら変えていき――")</f>
        <v>無能と誹られ、妹に婚約者を奪われてしまったお針子令嬢のサラ。
失意に沈むサラの前に現れたのは、冷徹と噂される氷の伯爵アレクシスだった。
彼から“白い結婚”を提案されたサラは、心機一転、契約上の新婚生活をスタートすることに。
大好きな刺繍に打ち込み、アレクシスの心根の優しさに包まれて幸せな日々を送るサラ。アレクシスに対する想いは、やがて本物の愛へと変わっていく。
さらに、サラの刺繍に秘められた力が、周囲の人々の運命すら変えていき――</v>
      </c>
      <c r="W2607" s="14"/>
      <c r="X2607" s="14" t="str">
        <f>IFERROR(__xludf.DUMMYFUNCTION("""COMPUTED_VALUE"""),"有")</f>
        <v>有</v>
      </c>
      <c r="Y2607" s="8" t="str">
        <f>IFERROR(__xludf.DUMMYFUNCTION("""COMPUTED_VALUE"""),"P35まで")</f>
        <v>P35まで</v>
      </c>
      <c r="Z2607" s="7"/>
      <c r="AA2607" s="7"/>
      <c r="AB2607" s="7"/>
    </row>
    <row r="2608" ht="15.75" customHeight="1">
      <c r="A2608" s="26">
        <f>IFERROR(__xludf.DUMMYFUNCTION("""COMPUTED_VALUE"""),4466.0)</f>
        <v>4466</v>
      </c>
      <c r="B2608" s="75" t="str">
        <f>IFERROR(__xludf.DUMMYFUNCTION("""COMPUTED_VALUE"""),"確定")</f>
        <v>確定</v>
      </c>
      <c r="C2608" s="68">
        <f>IFERROR(__xludf.DUMMYFUNCTION("""COMPUTED_VALUE"""),45603.0)</f>
        <v>45603</v>
      </c>
      <c r="D2608" s="68">
        <f>IFERROR(__xludf.DUMMYFUNCTION("""COMPUTED_VALUE"""),45651.0)</f>
        <v>45651</v>
      </c>
      <c r="E2608" s="100">
        <f>IFERROR(__xludf.DUMMYFUNCTION("""COMPUTED_VALUE"""),312777.0)</f>
        <v>312777</v>
      </c>
      <c r="F2608" s="61" t="str">
        <f>IFERROR(__xludf.DUMMYFUNCTION("""COMPUTED_VALUE"""),"恋するリップ・ティント 分冊版")</f>
        <v>恋するリップ・ティント 分冊版</v>
      </c>
      <c r="G2608" s="75" t="str">
        <f>IFERROR(__xludf.DUMMYFUNCTION("""COMPUTED_VALUE"""),"1～5")</f>
        <v>1～5</v>
      </c>
      <c r="H2608" s="22" t="str">
        <f>IFERROR(__xludf.DUMMYFUNCTION("""COMPUTED_VALUE"""),"楠なな
")</f>
        <v>楠なな
</v>
      </c>
      <c r="I2608" s="22" t="str">
        <f>IFERROR(__xludf.DUMMYFUNCTION("""COMPUTED_VALUE"""),"少女")</f>
        <v>少女</v>
      </c>
      <c r="J2608" s="46"/>
      <c r="K2608" s="46" t="str">
        <f>IFERROR(__xludf.DUMMYFUNCTION("""COMPUTED_VALUE"""),"マーガレットコミックスDIGITAL")</f>
        <v>マーガレットコミックスDIGITAL</v>
      </c>
      <c r="L2608" s="22" t="str">
        <f>IFERROR(__xludf.DUMMYFUNCTION("""COMPUTED_VALUE"""),"集英社
")</f>
        <v>集英社
</v>
      </c>
      <c r="M2608" s="59">
        <f>IFERROR(__xludf.DUMMYFUNCTION("""COMPUTED_VALUE"""),45683.0)</f>
        <v>45683</v>
      </c>
      <c r="N2608" s="59">
        <f>IFERROR(__xludf.DUMMYFUNCTION("""COMPUTED_VALUE"""),45770.66666666667)</f>
        <v>45770.66667</v>
      </c>
      <c r="O2608" s="75"/>
      <c r="P2608" s="34" t="str">
        <f>IFERROR(__xludf.DUMMYFUNCTION("""COMPUTED_VALUE"""),"否")</f>
        <v>否</v>
      </c>
      <c r="Q2608" s="75" t="str">
        <f>IFERROR(__xludf.DUMMYFUNCTION("""COMPUTED_VALUE"""),"・単行本1巻も同時配信（先行）です
")</f>
        <v>・単行本1巻も同時配信（先行）です
</v>
      </c>
      <c r="R2608" s="22" t="str">
        <f>IFERROR(__xludf.DUMMYFUNCTION("""COMPUTED_VALUE"""),"コミットOK")</f>
        <v>コミットOK</v>
      </c>
      <c r="S2608" s="75" t="str">
        <f>IFERROR(__xludf.DUMMYFUNCTION("""COMPUTED_VALUE"""),"20241225_集英社_恋するリップ・ティント
")</f>
        <v>20241225_集英社_恋するリップ・ティント
</v>
      </c>
      <c r="T2608" s="22" t="str">
        <f>IFERROR(__xludf.DUMMYFUNCTION("""COMPUTED_VALUE"""),"格納済み")</f>
        <v>格納済み</v>
      </c>
      <c r="U2608" s="15" t="str">
        <f>IFERROR(__xludf.DUMMYFUNCTION("""COMPUTED_VALUE"""),"(c)楠なな／集英社
")</f>
        <v>(c)楠なな／集英社
</v>
      </c>
      <c r="V2608" s="8" t="str">
        <f>IFERROR(__xludf.DUMMYFUNCTION("""COMPUTED_VALUE"""),"高校1年生の都本あこはカワイくなるために、リップを塗り絶賛メイクを練習中♪　でもメイク力はまだまだで、厚塗りリップのまま校内を歩いていると、愛川遥巳先輩とぶつかってしまった！　遥巳先輩はSNSのヘアカット動画で100万回再生されるほどの超絶イケメン！　なのにその遥巳先輩にぶつかり、服にキスマークをつけてしまう始末…。あこは謝ろうとしますが、その服を脱いだ遥巳先輩から「その服いらないから捨てておいて」と冷徹に言われてしまいます。最悪な出会いから始まった2人。先に動き出したのはあこからのようですが…？　※この"&amp;"コミックスは『恋するリップ・ティント』1巻1話と同じ内容です。重複購入にご注意ください。")</f>
        <v>高校1年生の都本あこはカワイくなるために、リップを塗り絶賛メイクを練習中♪　でもメイク力はまだまだで、厚塗りリップのまま校内を歩いていると、愛川遥巳先輩とぶつかってしまった！　遥巳先輩はSNSのヘアカット動画で100万回再生されるほどの超絶イケメン！　なのにその遥巳先輩にぶつかり、服にキスマークをつけてしまう始末…。あこは謝ろうとしますが、その服を脱いだ遥巳先輩から「その服いらないから捨てておいて」と冷徹に言われてしまいます。最悪な出会いから始まった2人。先に動き出したのはあこからのようですが…？　※このコミックスは『恋するリップ・ティント』1巻1話と同じ内容です。重複購入にご注意ください。</v>
      </c>
      <c r="W2608" s="14"/>
      <c r="X2608" s="14" t="str">
        <f>IFERROR(__xludf.DUMMYFUNCTION("""COMPUTED_VALUE"""),"有")</f>
        <v>有</v>
      </c>
      <c r="Y2608" s="8" t="str">
        <f>IFERROR(__xludf.DUMMYFUNCTION("""COMPUTED_VALUE"""),"P14まで")</f>
        <v>P14まで</v>
      </c>
      <c r="Z2608" s="7"/>
      <c r="AA2608" s="7"/>
      <c r="AB2608" s="7"/>
    </row>
    <row r="2609" ht="15.75" customHeight="1">
      <c r="A2609" s="26">
        <f>IFERROR(__xludf.DUMMYFUNCTION("""COMPUTED_VALUE"""),4528.0)</f>
        <v>4528</v>
      </c>
      <c r="B2609" s="75" t="str">
        <f>IFERROR(__xludf.DUMMYFUNCTION("""COMPUTED_VALUE"""),"確定")</f>
        <v>確定</v>
      </c>
      <c r="C2609" s="68">
        <f>IFERROR(__xludf.DUMMYFUNCTION("""COMPUTED_VALUE"""),45616.0)</f>
        <v>45616</v>
      </c>
      <c r="D2609" s="68">
        <f>IFERROR(__xludf.DUMMYFUNCTION("""COMPUTED_VALUE"""),45650.0)</f>
        <v>45650</v>
      </c>
      <c r="E2609" s="100">
        <f>IFERROR(__xludf.DUMMYFUNCTION("""COMPUTED_VALUE"""),312464.0)</f>
        <v>312464</v>
      </c>
      <c r="F2609" s="61" t="str">
        <f>IFERROR(__xludf.DUMMYFUNCTION("""COMPUTED_VALUE"""),"極上エリートは敏感体質な彼女にご執心。～とろける愛撫のイキすぎ快感レッスン
")</f>
        <v>極上エリートは敏感体質な彼女にご執心。～とろける愛撫のイキすぎ快感レッスン
</v>
      </c>
      <c r="G2609" s="20" t="str">
        <f>IFERROR(__xludf.DUMMYFUNCTION("""COMPUTED_VALUE"""),"1～2")</f>
        <v>1～2</v>
      </c>
      <c r="H2609" s="22" t="str">
        <f>IFERROR(__xludf.DUMMYFUNCTION("""COMPUTED_VALUE"""),"一場あいみ
")</f>
        <v>一場あいみ
</v>
      </c>
      <c r="I2609" s="75" t="str">
        <f>IFERROR(__xludf.DUMMYFUNCTION("""COMPUTED_VALUE"""),"TL")</f>
        <v>TL</v>
      </c>
      <c r="J2609" s="22"/>
      <c r="K2609" s="22" t="str">
        <f>IFERROR(__xludf.DUMMYFUNCTION("""COMPUTED_VALUE"""),"ラブパルフェ
")</f>
        <v>ラブパルフェ
</v>
      </c>
      <c r="L2609" s="22" t="str">
        <f>IFERROR(__xludf.DUMMYFUNCTION("""COMPUTED_VALUE"""),"オーバーラップ
")</f>
        <v>オーバーラップ
</v>
      </c>
      <c r="M2609" s="59">
        <f>IFERROR(__xludf.DUMMYFUNCTION("""COMPUTED_VALUE"""),45689.0)</f>
        <v>45689</v>
      </c>
      <c r="N2609" s="59">
        <f>IFERROR(__xludf.DUMMYFUNCTION("""COMPUTED_VALUE"""),45747.0)</f>
        <v>45747</v>
      </c>
      <c r="O2609" s="75"/>
      <c r="P2609" s="32" t="str">
        <f>IFERROR(__xludf.DUMMYFUNCTION("""COMPUTED_VALUE"""),"可")</f>
        <v>可</v>
      </c>
      <c r="Q2609" s="75"/>
      <c r="R2609" s="22" t="str">
        <f>IFERROR(__xludf.DUMMYFUNCTION("""COMPUTED_VALUE"""),"コミットOK")</f>
        <v>コミットOK</v>
      </c>
      <c r="S2609" s="75" t="str">
        <f>IFERROR(__xludf.DUMMYFUNCTION("""COMPUTED_VALUE"""),"20241223‗オーバーラップ‗極上エリートは敏感体質な彼女にご執心。～とろける愛撫のイキすぎ快感レッスン
")</f>
        <v>20241223‗オーバーラップ‗極上エリートは敏感体質な彼女にご執心。～とろける愛撫のイキすぎ快感レッスン
</v>
      </c>
      <c r="T2609" s="22" t="str">
        <f>IFERROR(__xludf.DUMMYFUNCTION("""COMPUTED_VALUE"""),"格納済み")</f>
        <v>格納済み</v>
      </c>
      <c r="U2609" s="15" t="str">
        <f>IFERROR(__xludf.DUMMYFUNCTION("""COMPUTED_VALUE"""),"(c)一場あいみ／オーバーラップ
")</f>
        <v>(c)一場あいみ／オーバーラップ
</v>
      </c>
      <c r="V2609" s="8" t="str">
        <f>IFERROR(__xludf.DUMMYFUNCTION("""COMPUTED_VALUE"""),"「言ったでしょ？ たくさん気持ちよくしてあげるって…」
熱くて甘い指と舌で優しく愛撫されて…
「俺に任せて欲しい」一番奥までむさぼられて気持ちよすぎるっ…！
カフェ店員の優衣（ゆい）は超敏感体質で、感じすぎちゃうカラダがコンプレックス。
これまでの恋愛はうまくいかなかったけど、常連客のエリートサラリーマン・翔梧（しょうご）に片思い中。
いつも忙しそうなカレは、顔もカラダもかっこよくて、頼りになって――。
そんなカレに自分の体質について打ち明けると、真剣なまなざしを向けられて!?
「俺の前では"&amp;"声を我慢しなくていいから…」
ハジメテなのに本気で抱かれてイキすぎちゃうっ…！
※本書は「ラブパルフェVOL.76-2」に収録されています。重複購入にご注意ください。")</f>
        <v>「言ったでしょ？ たくさん気持ちよくしてあげるって…」
熱くて甘い指と舌で優しく愛撫されて…
「俺に任せて欲しい」一番奥までむさぼられて気持ちよすぎるっ…！
カフェ店員の優衣（ゆい）は超敏感体質で、感じすぎちゃうカラダがコンプレックス。
これまでの恋愛はうまくいかなかったけど、常連客のエリートサラリーマン・翔梧（しょうご）に片思い中。
いつも忙しそうなカレは、顔もカラダもかっこよくて、頼りになって――。
そんなカレに自分の体質について打ち明けると、真剣なまなざしを向けられて!?
「俺の前では声を我慢しなくていいから…」
ハジメテなのに本気で抱かれてイキすぎちゃうっ…！
※本書は「ラブパルフェVOL.76-2」に収録されています。重複購入にご注意ください。</v>
      </c>
      <c r="W2609" s="14"/>
      <c r="X2609" s="14" t="str">
        <f>IFERROR(__xludf.DUMMYFUNCTION("""COMPUTED_VALUE"""),"有")</f>
        <v>有</v>
      </c>
      <c r="Y2609" s="8" t="str">
        <f>IFERROR(__xludf.DUMMYFUNCTION("""COMPUTED_VALUE"""),"P10まで")</f>
        <v>P10まで</v>
      </c>
      <c r="Z2609" s="7"/>
      <c r="AA2609" s="7"/>
      <c r="AB2609" s="7"/>
    </row>
    <row r="2610" ht="15.75" customHeight="1">
      <c r="A2610" s="26">
        <f>IFERROR(__xludf.DUMMYFUNCTION("""COMPUTED_VALUE"""),4532.0)</f>
        <v>4532</v>
      </c>
      <c r="B2610" s="75" t="str">
        <f>IFERROR(__xludf.DUMMYFUNCTION("""COMPUTED_VALUE"""),"確定")</f>
        <v>確定</v>
      </c>
      <c r="C2610" s="68">
        <f>IFERROR(__xludf.DUMMYFUNCTION("""COMPUTED_VALUE"""),45616.0)</f>
        <v>45616</v>
      </c>
      <c r="D2610" s="68">
        <f>IFERROR(__xludf.DUMMYFUNCTION("""COMPUTED_VALUE"""),45650.0)</f>
        <v>45650</v>
      </c>
      <c r="E2610" s="100">
        <f>IFERROR(__xludf.DUMMYFUNCTION("""COMPUTED_VALUE"""),312459.0)</f>
        <v>312459</v>
      </c>
      <c r="F2610" s="61" t="str">
        <f>IFERROR(__xludf.DUMMYFUNCTION("""COMPUTED_VALUE"""),"隠れ執着幼なじみは私を溺愛したい 〜初めて、俺に奪わせて")</f>
        <v>隠れ執着幼なじみは私を溺愛したい 〜初めて、俺に奪わせて</v>
      </c>
      <c r="G2610" s="75" t="str">
        <f>IFERROR(__xludf.DUMMYFUNCTION("""COMPUTED_VALUE"""),"1～3")</f>
        <v>1～3</v>
      </c>
      <c r="H2610" s="22" t="str">
        <f>IFERROR(__xludf.DUMMYFUNCTION("""COMPUTED_VALUE"""),"保田ほた
")</f>
        <v>保田ほた
</v>
      </c>
      <c r="I2610" s="75" t="str">
        <f>IFERROR(__xludf.DUMMYFUNCTION("""COMPUTED_VALUE"""),"TL")</f>
        <v>TL</v>
      </c>
      <c r="J2610" s="22"/>
      <c r="K2610" s="22" t="str">
        <f>IFERROR(__xludf.DUMMYFUNCTION("""COMPUTED_VALUE"""),"lou lou
")</f>
        <v>lou lou
</v>
      </c>
      <c r="L2610" s="22" t="str">
        <f>IFERROR(__xludf.DUMMYFUNCTION("""COMPUTED_VALUE"""),"渋谷六花舎
")</f>
        <v>渋谷六花舎
</v>
      </c>
      <c r="M2610" s="59">
        <f>IFERROR(__xludf.DUMMYFUNCTION("""COMPUTED_VALUE"""),45689.0)</f>
        <v>45689</v>
      </c>
      <c r="N2610" s="59">
        <f>IFERROR(__xludf.DUMMYFUNCTION("""COMPUTED_VALUE"""),45777.0)</f>
        <v>45777</v>
      </c>
      <c r="O2610" s="75"/>
      <c r="P2610" s="32" t="str">
        <f>IFERROR(__xludf.DUMMYFUNCTION("""COMPUTED_VALUE"""),"可")</f>
        <v>可</v>
      </c>
      <c r="Q2610" s="75"/>
      <c r="R2610" s="22" t="str">
        <f>IFERROR(__xludf.DUMMYFUNCTION("""COMPUTED_VALUE"""),"コミットOK")</f>
        <v>コミットOK</v>
      </c>
      <c r="S2610" s="75" t="str">
        <f>IFERROR(__xludf.DUMMYFUNCTION("""COMPUTED_VALUE"""),"20241224_渋谷六花舎_隠れ執着幼なじみは私を溺愛したい
")</f>
        <v>20241224_渋谷六花舎_隠れ執着幼なじみは私を溺愛したい
</v>
      </c>
      <c r="T2610" s="22" t="str">
        <f>IFERROR(__xludf.DUMMYFUNCTION("""COMPUTED_VALUE"""),"格納済み")</f>
        <v>格納済み</v>
      </c>
      <c r="U2610" s="15" t="str">
        <f>IFERROR(__xludf.DUMMYFUNCTION("""COMPUTED_VALUE"""),"（C）保田ほた/lou lou
")</f>
        <v>（C）保田ほた/lou lou
</v>
      </c>
      <c r="V2610" s="8" t="str">
        <f>IFERROR(__xludf.DUMMYFUNCTION("""COMPUTED_VALUE"""),"一途で愛が重い”幼馴染”に、初めてのカラダを熱く、甘く、とろかされて――「鏡花の初めて 全部俺じゃダメ？」
OL・鏡花は、恋愛漫画が大好きな、こじらせ処女。男性慣れのためにレンタル彼氏を利用するも、やってきたのは幼馴染で同僚の楓で！？楓は地味で無愛想なはずなのに、理想の彼氏になりきってくれた。「本当の彼氏とだったらお泊まりルート確定なのにな～」冗談で呟くと――「俺じゃ嫌？」初めて見る楓のオトコの表情。唇に、胸に、首筋に触れられて、舐められて…初めての快感は苦しくなるほど気持ちいい…とろとろに溶けたカラダ"&amp;"もイキ顔も見られちゃって…ただの”幼馴染”には戻れない。")</f>
        <v>一途で愛が重い”幼馴染”に、初めてのカラダを熱く、甘く、とろかされて――「鏡花の初めて 全部俺じゃダメ？」
OL・鏡花は、恋愛漫画が大好きな、こじらせ処女。男性慣れのためにレンタル彼氏を利用するも、やってきたのは幼馴染で同僚の楓で！？楓は地味で無愛想なはずなのに、理想の彼氏になりきってくれた。「本当の彼氏とだったらお泊まりルート確定なのにな～」冗談で呟くと――「俺じゃ嫌？」初めて見る楓のオトコの表情。唇に、胸に、首筋に触れられて、舐められて…初めての快感は苦しくなるほど気持ちいい…とろとろに溶けたカラダもイキ顔も見られちゃって…ただの”幼馴染”には戻れない。</v>
      </c>
      <c r="W2610" s="14"/>
      <c r="X2610" s="14" t="str">
        <f>IFERROR(__xludf.DUMMYFUNCTION("""COMPUTED_VALUE"""),"有")</f>
        <v>有</v>
      </c>
      <c r="Y2610" s="8" t="str">
        <f>IFERROR(__xludf.DUMMYFUNCTION("""COMPUTED_VALUE"""),"2025/2/17まで1巻無料")</f>
        <v>2025/2/17まで1巻無料</v>
      </c>
      <c r="Z2610" s="7"/>
      <c r="AA2610" s="7"/>
      <c r="AB2610" s="7"/>
    </row>
    <row r="2611" ht="15.75" customHeight="1">
      <c r="A2611" s="26">
        <f>IFERROR(__xludf.DUMMYFUNCTION("""COMPUTED_VALUE"""),4551.0)</f>
        <v>4551</v>
      </c>
      <c r="B2611" s="75" t="str">
        <f>IFERROR(__xludf.DUMMYFUNCTION("""COMPUTED_VALUE"""),"確定")</f>
        <v>確定</v>
      </c>
      <c r="C2611" s="68">
        <f>IFERROR(__xludf.DUMMYFUNCTION("""COMPUTED_VALUE"""),45618.0)</f>
        <v>45618</v>
      </c>
      <c r="D2611" s="68">
        <f>IFERROR(__xludf.DUMMYFUNCTION("""COMPUTED_VALUE"""),45650.0)</f>
        <v>45650</v>
      </c>
      <c r="E2611" s="100">
        <f>IFERROR(__xludf.DUMMYFUNCTION("""COMPUTED_VALUE"""),311610.0)</f>
        <v>311610</v>
      </c>
      <c r="F2611" s="61" t="str">
        <f>IFERROR(__xludf.DUMMYFUNCTION("""COMPUTED_VALUE"""),"暗がりメイドと溺愛君主 ～愛を知らない武闘派侍女はとろける蜜を注がれる～
")</f>
        <v>暗がりメイドと溺愛君主 ～愛を知らない武闘派侍女はとろける蜜を注がれる～
</v>
      </c>
      <c r="G2611" s="75" t="str">
        <f>IFERROR(__xludf.DUMMYFUNCTION("""COMPUTED_VALUE"""),"1～3")</f>
        <v>1～3</v>
      </c>
      <c r="H2611" s="22" t="str">
        <f>IFERROR(__xludf.DUMMYFUNCTION("""COMPUTED_VALUE"""),"高橋依摘
")</f>
        <v>高橋依摘
</v>
      </c>
      <c r="I2611" s="75" t="str">
        <f>IFERROR(__xludf.DUMMYFUNCTION("""COMPUTED_VALUE"""),"TL")</f>
        <v>TL</v>
      </c>
      <c r="J2611" s="22"/>
      <c r="K2611" s="22" t="str">
        <f>IFERROR(__xludf.DUMMYFUNCTION("""COMPUTED_VALUE"""),"メルト
")</f>
        <v>メルト
</v>
      </c>
      <c r="L2611" s="22" t="str">
        <f>IFERROR(__xludf.DUMMYFUNCTION("""COMPUTED_VALUE"""),"小学館
")</f>
        <v>小学館
</v>
      </c>
      <c r="M2611" s="59">
        <f>IFERROR(__xludf.DUMMYFUNCTION("""COMPUTED_VALUE"""),45665.0)</f>
        <v>45665</v>
      </c>
      <c r="N2611" s="23">
        <f>IFERROR(__xludf.DUMMYFUNCTION("""COMPUTED_VALUE"""),45715.0)</f>
        <v>45715</v>
      </c>
      <c r="O2611" s="75"/>
      <c r="P2611" s="32" t="str">
        <f>IFERROR(__xludf.DUMMYFUNCTION("""COMPUTED_VALUE"""),"可")</f>
        <v>可</v>
      </c>
      <c r="Q2611" s="75"/>
      <c r="R2611" s="22" t="str">
        <f>IFERROR(__xludf.DUMMYFUNCTION("""COMPUTED_VALUE"""),"コミットOK")</f>
        <v>コミットOK</v>
      </c>
      <c r="S2611" s="75" t="str">
        <f>IFERROR(__xludf.DUMMYFUNCTION("""COMPUTED_VALUE"""),"20241224_小学館_暗がりメイドと溺愛君主 ～愛を知らない武闘派侍女はとろける蜜を注がれる～
")</f>
        <v>20241224_小学館_暗がりメイドと溺愛君主 ～愛を知らない武闘派侍女はとろける蜜を注がれる～
</v>
      </c>
      <c r="T2611" s="22" t="str">
        <f>IFERROR(__xludf.DUMMYFUNCTION("""COMPUTED_VALUE"""),"格納済み")</f>
        <v>格納済み</v>
      </c>
      <c r="U2611" s="15" t="str">
        <f>IFERROR(__xludf.DUMMYFUNCTION("""COMPUTED_VALUE"""),"(C)高橋依摘 / 小学館
")</f>
        <v>(C)高橋依摘 / 小学館
</v>
      </c>
      <c r="V2611" s="8" t="str">
        <f>IFERROR(__xludf.DUMMYFUNCTION("""COMPUTED_VALUE"""),"甘い目線で合図を送られ――「専属メイドの仕事といえば《お戯れ》だよ？」■ジェシカは貴族の私生児。虐げられ、自分を《醜く愚かで不要な存在》と信じ込みながら育つなか、生き延びるために見よう見まねであらゆるサバイバル能力を身に着けてきた。ある日生家を追い出されたジェシカは、さる高貴な人物の私邸で住み込み労働することに。だが、襲撃してきた逆賊たちをひとりで撃退したことで、屋敷の主人付きの護衛メイドに大抜擢される。しかも屋敷の主は、なんとこの国の第一王子・ウィル様だった!?!?　私なんかが、王子様の専属メイド!?　"&amp;"そんなウィル様から命じられたのは、初めて経験する《男女のいとなみ》で…――「夜伽って、こんなに気持ちよくてふわふわするものだったの…？」")</f>
        <v>甘い目線で合図を送られ――「専属メイドの仕事といえば《お戯れ》だよ？」■ジェシカは貴族の私生児。虐げられ、自分を《醜く愚かで不要な存在》と信じ込みながら育つなか、生き延びるために見よう見まねであらゆるサバイバル能力を身に着けてきた。ある日生家を追い出されたジェシカは、さる高貴な人物の私邸で住み込み労働することに。だが、襲撃してきた逆賊たちをひとりで撃退したことで、屋敷の主人付きの護衛メイドに大抜擢される。しかも屋敷の主は、なんとこの国の第一王子・ウィル様だった!?!?　私なんかが、王子様の専属メイド!?　そんなウィル様から命じられたのは、初めて経験する《男女のいとなみ》で…――「夜伽って、こんなに気持ちよくてふわふわするものだったの…？」</v>
      </c>
      <c r="W2611" s="14"/>
      <c r="X2611" s="14" t="str">
        <f>IFERROR(__xludf.DUMMYFUNCTION("""COMPUTED_VALUE"""),"有")</f>
        <v>有</v>
      </c>
      <c r="Y2611" s="8" t="str">
        <f>IFERROR(__xludf.DUMMYFUNCTION("""COMPUTED_VALUE"""),"P6まで")</f>
        <v>P6まで</v>
      </c>
      <c r="Z2611" s="7"/>
      <c r="AA2611" s="7"/>
      <c r="AB2611" s="7"/>
    </row>
    <row r="2612" ht="15.75" customHeight="1">
      <c r="A2612" s="26">
        <f>IFERROR(__xludf.DUMMYFUNCTION("""COMPUTED_VALUE"""),4554.0)</f>
        <v>4554</v>
      </c>
      <c r="B2612" s="75" t="str">
        <f>IFERROR(__xludf.DUMMYFUNCTION("""COMPUTED_VALUE"""),"確定")</f>
        <v>確定</v>
      </c>
      <c r="C2612" s="68">
        <f>IFERROR(__xludf.DUMMYFUNCTION("""COMPUTED_VALUE"""),45621.0)</f>
        <v>45621</v>
      </c>
      <c r="D2612" s="68">
        <f>IFERROR(__xludf.DUMMYFUNCTION("""COMPUTED_VALUE"""),45650.0)</f>
        <v>45650</v>
      </c>
      <c r="E2612" s="100">
        <f>IFERROR(__xludf.DUMMYFUNCTION("""COMPUTED_VALUE"""),311474.0)</f>
        <v>311474</v>
      </c>
      <c r="F2612" s="61" t="str">
        <f>IFERROR(__xludf.DUMMYFUNCTION("""COMPUTED_VALUE"""),"蔦桜～浮世絵蔦重恋慕譚～
")</f>
        <v>蔦桜～浮世絵蔦重恋慕譚～
</v>
      </c>
      <c r="G2612" s="75" t="str">
        <f>IFERROR(__xludf.DUMMYFUNCTION("""COMPUTED_VALUE"""),"1～6")</f>
        <v>1～6</v>
      </c>
      <c r="H2612" s="22" t="str">
        <f>IFERROR(__xludf.DUMMYFUNCTION("""COMPUTED_VALUE"""),"原作：古川美幸　作画：睦乃むつお　構成：双葉あおい
")</f>
        <v>原作：古川美幸　作画：睦乃むつお　構成：双葉あおい
</v>
      </c>
      <c r="I2612" s="75" t="str">
        <f>IFERROR(__xludf.DUMMYFUNCTION("""COMPUTED_VALUE"""),"BL")</f>
        <v>BL</v>
      </c>
      <c r="J2612" s="22"/>
      <c r="K2612" s="22"/>
      <c r="L2612" s="22" t="str">
        <f>IFERROR(__xludf.DUMMYFUNCTION("""COMPUTED_VALUE"""),"パルソラ
")</f>
        <v>パルソラ
</v>
      </c>
      <c r="M2612" s="59">
        <f>IFERROR(__xludf.DUMMYFUNCTION("""COMPUTED_VALUE"""),45688.0)</f>
        <v>45688</v>
      </c>
      <c r="N2612" s="47">
        <f>IFERROR(__xludf.DUMMYFUNCTION("""COMPUTED_VALUE"""),45777.0)</f>
        <v>45777</v>
      </c>
      <c r="O2612" s="75"/>
      <c r="P2612" s="32" t="str">
        <f>IFERROR(__xludf.DUMMYFUNCTION("""COMPUTED_VALUE"""),"可")</f>
        <v>可</v>
      </c>
      <c r="Q2612" s="31"/>
      <c r="R2612" s="22" t="str">
        <f>IFERROR(__xludf.DUMMYFUNCTION("""COMPUTED_VALUE"""),"コミットNG
")</f>
        <v>コミットNG
</v>
      </c>
      <c r="S2612" s="75" t="str">
        <f>IFERROR(__xludf.DUMMYFUNCTION("""COMPUTED_VALUE"""),"20241223_パルソラ‗蔦桜～浮世絵蔦重恋慕譚～
")</f>
        <v>20241223_パルソラ‗蔦桜～浮世絵蔦重恋慕譚～
</v>
      </c>
      <c r="T2612" s="22" t="str">
        <f>IFERROR(__xludf.DUMMYFUNCTION("""COMPUTED_VALUE"""),"格納済み")</f>
        <v>格納済み</v>
      </c>
      <c r="U2612" s="15" t="str">
        <f>IFERROR(__xludf.DUMMYFUNCTION("""COMPUTED_VALUE"""),"ⓒ古川美幸・睦乃むつお/Parsola Inc
")</f>
        <v>ⓒ古川美幸・睦乃むつお/Parsola Inc
</v>
      </c>
      <c r="V2612" s="8" t="str">
        <f>IFERROR(__xludf.DUMMYFUNCTION("""COMPUTED_VALUE"""),"「俺の手を取れ、お小姓」 大河ドラマで一躍脚光を浴びる稀代の版元・蔦屋重三郎と、謎に包まれた浮世絵師・東洲斎写楽が織りなす、運命の恋物語が、ここに始まる。 時は江戸。吉原で書店を営む蔦屋重三郎の元へ、侍に連れられ、美しい小姓がやってくる。 小姓が侍に凌辱されているのを目撃した重三郎は、小姓を侍の魔の手から救うため、行動を起こす。 それはただの哀れみか、それとも――。 蔦重×写楽の恋を描く、新解釈江戸BL！")</f>
        <v>「俺の手を取れ、お小姓」 大河ドラマで一躍脚光を浴びる稀代の版元・蔦屋重三郎と、謎に包まれた浮世絵師・東洲斎写楽が織りなす、運命の恋物語が、ここに始まる。 時は江戸。吉原で書店を営む蔦屋重三郎の元へ、侍に連れられ、美しい小姓がやってくる。 小姓が侍に凌辱されているのを目撃した重三郎は、小姓を侍の魔の手から救うため、行動を起こす。 それはただの哀れみか、それとも――。 蔦重×写楽の恋を描く、新解釈江戸BL！</v>
      </c>
      <c r="W2612" s="14"/>
      <c r="X2612" s="14" t="str">
        <f>IFERROR(__xludf.DUMMYFUNCTION("""COMPUTED_VALUE"""),"有")</f>
        <v>有</v>
      </c>
      <c r="Y2612" s="8" t="str">
        <f>IFERROR(__xludf.DUMMYFUNCTION("""COMPUTED_VALUE"""),"2025/4/30まで1～4巻無料")</f>
        <v>2025/4/30まで1～4巻無料</v>
      </c>
      <c r="Z2612" s="7"/>
      <c r="AA2612" s="7"/>
      <c r="AB2612" s="7"/>
    </row>
    <row r="2613" ht="15.75" customHeight="1">
      <c r="A2613" s="26">
        <f>IFERROR(__xludf.DUMMYFUNCTION("""COMPUTED_VALUE"""),4578.0)</f>
        <v>4578</v>
      </c>
      <c r="B2613" s="75" t="str">
        <f>IFERROR(__xludf.DUMMYFUNCTION("""COMPUTED_VALUE"""),"確定")</f>
        <v>確定</v>
      </c>
      <c r="C2613" s="68">
        <f>IFERROR(__xludf.DUMMYFUNCTION("""COMPUTED_VALUE"""),45623.0)</f>
        <v>45623</v>
      </c>
      <c r="D2613" s="68">
        <f>IFERROR(__xludf.DUMMYFUNCTION("""COMPUTED_VALUE"""),45650.0)</f>
        <v>45650</v>
      </c>
      <c r="E2613" s="100">
        <f>IFERROR(__xludf.DUMMYFUNCTION("""COMPUTED_VALUE"""),312465.0)</f>
        <v>312465</v>
      </c>
      <c r="F2613" s="61" t="str">
        <f>IFERROR(__xludf.DUMMYFUNCTION("""COMPUTED_VALUE"""),"【ラブパルフェ】碧斗くんの執愛は甘くて重い～年上幼なじみと濡れエロ同棲生活")</f>
        <v>【ラブパルフェ】碧斗くんの執愛は甘くて重い～年上幼なじみと濡れエロ同棲生活</v>
      </c>
      <c r="G2613" s="20" t="str">
        <f>IFERROR(__xludf.DUMMYFUNCTION("""COMPUTED_VALUE"""),"1～2")</f>
        <v>1～2</v>
      </c>
      <c r="H2613" s="22" t="str">
        <f>IFERROR(__xludf.DUMMYFUNCTION("""COMPUTED_VALUE"""),"ひづきはるか
")</f>
        <v>ひづきはるか
</v>
      </c>
      <c r="I2613" s="75" t="str">
        <f>IFERROR(__xludf.DUMMYFUNCTION("""COMPUTED_VALUE"""),"TL")</f>
        <v>TL</v>
      </c>
      <c r="J2613" s="22"/>
      <c r="K2613" s="22" t="str">
        <f>IFERROR(__xludf.DUMMYFUNCTION("""COMPUTED_VALUE"""),"ラブパルフェ
")</f>
        <v>ラブパルフェ
</v>
      </c>
      <c r="L2613" s="22" t="str">
        <f>IFERROR(__xludf.DUMMYFUNCTION("""COMPUTED_VALUE"""),"オーバーラップ
")</f>
        <v>オーバーラップ
</v>
      </c>
      <c r="M2613" s="59">
        <f>IFERROR(__xludf.DUMMYFUNCTION("""COMPUTED_VALUE"""),45689.0)</f>
        <v>45689</v>
      </c>
      <c r="N2613" s="47">
        <f>IFERROR(__xludf.DUMMYFUNCTION("""COMPUTED_VALUE"""),45747.0)</f>
        <v>45747</v>
      </c>
      <c r="O2613" s="75"/>
      <c r="P2613" s="32" t="str">
        <f>IFERROR(__xludf.DUMMYFUNCTION("""COMPUTED_VALUE"""),"可")</f>
        <v>可</v>
      </c>
      <c r="Q2613" s="75"/>
      <c r="R2613" s="22" t="str">
        <f>IFERROR(__xludf.DUMMYFUNCTION("""COMPUTED_VALUE"""),"コミットOK")</f>
        <v>コミットOK</v>
      </c>
      <c r="S2613" s="75" t="str">
        <f>IFERROR(__xludf.DUMMYFUNCTION("""COMPUTED_VALUE"""),"20241223‗オーバーラップ‗碧斗くんの執愛は甘くて重い～年上幼なじみと濡れエロ同棲生活
")</f>
        <v>20241223‗オーバーラップ‗碧斗くんの執愛は甘くて重い～年上幼なじみと濡れエロ同棲生活
</v>
      </c>
      <c r="T2613" s="22" t="str">
        <f>IFERROR(__xludf.DUMMYFUNCTION("""COMPUTED_VALUE"""),"格納済み")</f>
        <v>格納済み</v>
      </c>
      <c r="U2613" s="15" t="str">
        <f>IFERROR(__xludf.DUMMYFUNCTION("""COMPUTED_VALUE"""),"(c)ひづきはるか／オーバーラップ
")</f>
        <v>(c)ひづきはるか／オーバーラップ
</v>
      </c>
      <c r="V2613" s="8" t="str">
        <f>IFERROR(__xludf.DUMMYFUNCTION("""COMPUTED_VALUE"""),"「そんな可愛い顔されたら、我慢できない」
27歳の舞夏（まいか）は仕事のかたわら婚活中。本当は14年前の初恋が未だに忘れられないけど、そろそろけじめを付けなきゃ…！ そんな中、親の勧めでお見合いに参加したら、相手はまさかの初恋のカレで…!?
外資系企業のエリートサラリーマンになったカレに、「俺のこと、結婚相手として考えてほしい」真剣な瞳で見つめられ、入籍前のお試し期間として同棲を始めることに――！
そして迎えた初夜、14年分の愛情をたっぷり込められた愛撫でトロトロになるまで責められて…！ 一番深いト"&amp;"コロでつながる幸せに、何度もイくのが止められない…っ！
年上エリート幼馴染に溺愛されすぎるラブ甘デイズ☆
※本書は「ラブパルフェVOL.79-2」に収録されています。重複購入にご注意ください。")</f>
        <v>「そんな可愛い顔されたら、我慢できない」
27歳の舞夏（まいか）は仕事のかたわら婚活中。本当は14年前の初恋が未だに忘れられないけど、そろそろけじめを付けなきゃ…！ そんな中、親の勧めでお見合いに参加したら、相手はまさかの初恋のカレで…!?
外資系企業のエリートサラリーマンになったカレに、「俺のこと、結婚相手として考えてほしい」真剣な瞳で見つめられ、入籍前のお試し期間として同棲を始めることに――！
そして迎えた初夜、14年分の愛情をたっぷり込められた愛撫でトロトロになるまで責められて…！ 一番深いトコロでつながる幸せに、何度もイくのが止められない…っ！
年上エリート幼馴染に溺愛されすぎるラブ甘デイズ☆
※本書は「ラブパルフェVOL.79-2」に収録されています。重複購入にご注意ください。</v>
      </c>
      <c r="W2613" s="14"/>
      <c r="X2613" s="14" t="str">
        <f>IFERROR(__xludf.DUMMYFUNCTION("""COMPUTED_VALUE"""),"有")</f>
        <v>有</v>
      </c>
      <c r="Y2613" s="8" t="str">
        <f>IFERROR(__xludf.DUMMYFUNCTION("""COMPUTED_VALUE"""),"P10まで")</f>
        <v>P10まで</v>
      </c>
      <c r="Z2613" s="7"/>
      <c r="AA2613" s="7"/>
      <c r="AB2613" s="7"/>
    </row>
    <row r="2614" ht="15.75" customHeight="1">
      <c r="A2614" s="26">
        <f>IFERROR(__xludf.DUMMYFUNCTION("""COMPUTED_VALUE"""),4638.0)</f>
        <v>4638</v>
      </c>
      <c r="B2614" s="75" t="str">
        <f>IFERROR(__xludf.DUMMYFUNCTION("""COMPUTED_VALUE"""),"確定")</f>
        <v>確定</v>
      </c>
      <c r="C2614" s="68">
        <f>IFERROR(__xludf.DUMMYFUNCTION("""COMPUTED_VALUE"""),45632.0)</f>
        <v>45632</v>
      </c>
      <c r="D2614" s="68">
        <f>IFERROR(__xludf.DUMMYFUNCTION("""COMPUTED_VALUE"""),45650.0)</f>
        <v>45650</v>
      </c>
      <c r="E2614" s="100">
        <f>IFERROR(__xludf.DUMMYFUNCTION("""COMPUTED_VALUE"""),311268.0)</f>
        <v>311268</v>
      </c>
      <c r="F2614" s="61" t="str">
        <f>IFERROR(__xludf.DUMMYFUNCTION("""COMPUTED_VALUE"""),"暴君騎士は不遜で無骨でときどき甘い
")</f>
        <v>暴君騎士は不遜で無骨でときどき甘い
</v>
      </c>
      <c r="G2614" s="20" t="str">
        <f>IFERROR(__xludf.DUMMYFUNCTION("""COMPUTED_VALUE"""),"1～9")</f>
        <v>1～9</v>
      </c>
      <c r="H2614" s="22" t="str">
        <f>IFERROR(__xludf.DUMMYFUNCTION("""COMPUTED_VALUE"""),"鶴/桜戯つかさ/奏多えい
")</f>
        <v>鶴/桜戯つかさ/奏多えい
</v>
      </c>
      <c r="I2614" s="75" t="str">
        <f>IFERROR(__xludf.DUMMYFUNCTION("""COMPUTED_VALUE"""),"女性")</f>
        <v>女性</v>
      </c>
      <c r="J2614" s="22"/>
      <c r="K2614" s="22" t="str">
        <f>IFERROR(__xludf.DUMMYFUNCTION("""COMPUTED_VALUE"""),"Haute Couture
")</f>
        <v>Haute Couture
</v>
      </c>
      <c r="L2614" s="22" t="str">
        <f>IFERROR(__xludf.DUMMYFUNCTION("""COMPUTED_VALUE"""),"ガラン
")</f>
        <v>ガラン
</v>
      </c>
      <c r="M2614" s="59">
        <f>IFERROR(__xludf.DUMMYFUNCTION("""COMPUTED_VALUE"""),45665.0)</f>
        <v>45665</v>
      </c>
      <c r="N2614" s="59">
        <f>IFERROR(__xludf.DUMMYFUNCTION("""COMPUTED_VALUE"""),45756.0)</f>
        <v>45756</v>
      </c>
      <c r="O2614" s="75"/>
      <c r="P2614" s="34" t="str">
        <f>IFERROR(__xludf.DUMMYFUNCTION("""COMPUTED_VALUE"""),"否")</f>
        <v>否</v>
      </c>
      <c r="Q2614" s="75" t="str">
        <f>IFERROR(__xludf.DUMMYFUNCTION("""COMPUTED_VALUE"""),"1～3巻無料施策実施予定
")</f>
        <v>1～3巻無料施策実施予定
</v>
      </c>
      <c r="R2614" s="22" t="str">
        <f>IFERROR(__xludf.DUMMYFUNCTION("""COMPUTED_VALUE"""),"コミットOK")</f>
        <v>コミットOK</v>
      </c>
      <c r="S2614" s="75" t="str">
        <f>IFERROR(__xludf.DUMMYFUNCTION("""COMPUTED_VALUE"""),"20241206_ガラン_暴君騎士は不遜で無骨でときどき甘い
")</f>
        <v>20241206_ガラン_暴君騎士は不遜で無骨でときどき甘い
</v>
      </c>
      <c r="T2614" s="22" t="str">
        <f>IFERROR(__xludf.DUMMYFUNCTION("""COMPUTED_VALUE"""),"格納済み")</f>
        <v>格納済み</v>
      </c>
      <c r="U2614" s="15" t="str">
        <f>IFERROR(__xludf.DUMMYFUNCTION("""COMPUTED_VALUE"""),"鶴･桜戯つかさ･奏多えい／Haute Couture
")</f>
        <v>鶴･桜戯つかさ･奏多えい／Haute Couture
</v>
      </c>
      <c r="V2614" s="8" t="str">
        <f>IFERROR(__xludf.DUMMYFUNCTION("""COMPUTED_VALUE"""),"『暴君騎士』ジェラルドと『至誠の王子』アベル。真逆の男性ふたりから結婚を申し込まれた令嬢・クラリスは、もちろん優しいアベルを選び、幸せな生活を送っていた。しかしその後、ジェラルドが王国に反乱を起こし、クラリスは命を落としてしまう。ところが次の瞬間、目を覚ますと、なぜか結婚前に時が巻き戻っていた！死に戻りの能力を手に入れたクラリスは、アベルを救うべく反乱を止めようとするがその度に失敗を繰り返す。歴史を変える最後の手段として、決死の覚悟でジェラルドの妻になるクラリスだったが、夫になった暴君騎士は意外な表情を見"&amp;"せてきて…？")</f>
        <v>『暴君騎士』ジェラルドと『至誠の王子』アベル。真逆の男性ふたりから結婚を申し込まれた令嬢・クラリスは、もちろん優しいアベルを選び、幸せな生活を送っていた。しかしその後、ジェラルドが王国に反乱を起こし、クラリスは命を落としてしまう。ところが次の瞬間、目を覚ますと、なぜか結婚前に時が巻き戻っていた！死に戻りの能力を手に入れたクラリスは、アベルを救うべく反乱を止めようとするがその度に失敗を繰り返す。歴史を変える最後の手段として、決死の覚悟でジェラルドの妻になるクラリスだったが、夫になった暴君騎士は意外な表情を見せてきて…？</v>
      </c>
      <c r="W2614" s="14"/>
      <c r="X2614" s="14" t="str">
        <f>IFERROR(__xludf.DUMMYFUNCTION("""COMPUTED_VALUE"""),"有")</f>
        <v>有</v>
      </c>
      <c r="Y2614" s="8" t="str">
        <f>IFERROR(__xludf.DUMMYFUNCTION("""COMPUTED_VALUE"""),"1～3巻無料")</f>
        <v>1～3巻無料</v>
      </c>
      <c r="Z2614" s="7"/>
      <c r="AA2614" s="7"/>
      <c r="AB2614" s="7"/>
    </row>
    <row r="2615" ht="15.75" customHeight="1">
      <c r="A2615" s="26">
        <f>IFERROR(__xludf.DUMMYFUNCTION("""COMPUTED_VALUE"""),4639.0)</f>
        <v>4639</v>
      </c>
      <c r="B2615" s="75" t="str">
        <f>IFERROR(__xludf.DUMMYFUNCTION("""COMPUTED_VALUE"""),"確定")</f>
        <v>確定</v>
      </c>
      <c r="C2615" s="68">
        <f>IFERROR(__xludf.DUMMYFUNCTION("""COMPUTED_VALUE"""),45632.0)</f>
        <v>45632</v>
      </c>
      <c r="D2615" s="68">
        <f>IFERROR(__xludf.DUMMYFUNCTION("""COMPUTED_VALUE"""),45650.0)</f>
        <v>45650</v>
      </c>
      <c r="E2615" s="100">
        <f>IFERROR(__xludf.DUMMYFUNCTION("""COMPUTED_VALUE"""),312319.0)</f>
        <v>312319</v>
      </c>
      <c r="F2615" s="61" t="str">
        <f>IFERROR(__xludf.DUMMYFUNCTION("""COMPUTED_VALUE"""),"綺麗で無敵でふしだらで大大大大だーい好き！
")</f>
        <v>綺麗で無敵でふしだらで大大大大だーい好き！
</v>
      </c>
      <c r="G2615" s="75" t="str">
        <f>IFERROR(__xludf.DUMMYFUNCTION("""COMPUTED_VALUE"""),"1～3")</f>
        <v>1～3</v>
      </c>
      <c r="H2615" s="22" t="str">
        <f>IFERROR(__xludf.DUMMYFUNCTION("""COMPUTED_VALUE"""),"志方ぺるこ
")</f>
        <v>志方ぺるこ
</v>
      </c>
      <c r="I2615" s="75" t="str">
        <f>IFERROR(__xludf.DUMMYFUNCTION("""COMPUTED_VALUE"""),"BL")</f>
        <v>BL</v>
      </c>
      <c r="J2615" s="22"/>
      <c r="K2615" s="22" t="str">
        <f>IFERROR(__xludf.DUMMYFUNCTION("""COMPUTED_VALUE"""),"Boys Shangri-La
")</f>
        <v>Boys Shangri-La
</v>
      </c>
      <c r="L2615" s="22" t="str">
        <f>IFERROR(__xludf.DUMMYFUNCTION("""COMPUTED_VALUE"""),"ガラン
")</f>
        <v>ガラン
</v>
      </c>
      <c r="M2615" s="59">
        <f>IFERROR(__xludf.DUMMYFUNCTION("""COMPUTED_VALUE"""),45665.0)</f>
        <v>45665</v>
      </c>
      <c r="N2615" s="59">
        <f>IFERROR(__xludf.DUMMYFUNCTION("""COMPUTED_VALUE"""),45847.0)</f>
        <v>45847</v>
      </c>
      <c r="O2615" s="75"/>
      <c r="P2615" s="34" t="str">
        <f>IFERROR(__xludf.DUMMYFUNCTION("""COMPUTED_VALUE"""),"可")</f>
        <v>可</v>
      </c>
      <c r="Q2615" s="31" t="str">
        <f>IFERROR(__xludf.DUMMYFUNCTION("""COMPUTED_VALUE"""),"1巻目無料施策実施予定
")</f>
        <v>1巻目無料施策実施予定
</v>
      </c>
      <c r="R2615" s="22" t="str">
        <f>IFERROR(__xludf.DUMMYFUNCTION("""COMPUTED_VALUE"""),"コミットNG
")</f>
        <v>コミットNG
</v>
      </c>
      <c r="S2615" s="75" t="str">
        <f>IFERROR(__xludf.DUMMYFUNCTION("""COMPUTED_VALUE"""),"20241206_ガラン_綺麗で無敵でふしだらで大大大大だーい好き！
")</f>
        <v>20241206_ガラン_綺麗で無敵でふしだらで大大大大だーい好き！
</v>
      </c>
      <c r="T2615" s="22" t="str">
        <f>IFERROR(__xludf.DUMMYFUNCTION("""COMPUTED_VALUE"""),"格納済み")</f>
        <v>格納済み</v>
      </c>
      <c r="U2615" s="15" t="str">
        <f>IFERROR(__xludf.DUMMYFUNCTION("""COMPUTED_VALUE"""),"志方ぺるこ／Boys Shangri-La
")</f>
        <v>志方ぺるこ／Boys Shangri-La
</v>
      </c>
      <c r="V2615" s="8" t="str">
        <f>IFERROR(__xludf.DUMMYFUNCTION("""COMPUTED_VALUE"""),"島育ちのピュアなヤンキーくんが好きになったのは…都会帰りのビッチで危険なおにいさん!?
毎日喧嘩に明け暮れる不良・相良アキ。ある日、他校の生徒に追われて駆け込んだ島の診療所で、医師の八重樫カズキと出会う。カズキもまた、かつて伝説の番長として名を馳せていた人物だった。カズキに憧れるアキは、頻繁に診療所に通うようになるが、田舎の診療所に似つかわしくないカズキの美貌と色気に、次第に心を奪われていく。好きが止まらない暴走ワンコ×実は超ビッチな美人センセーの恋の行方は!?")</f>
        <v>島育ちのピュアなヤンキーくんが好きになったのは…都会帰りのビッチで危険なおにいさん!?
毎日喧嘩に明け暮れる不良・相良アキ。ある日、他校の生徒に追われて駆け込んだ島の診療所で、医師の八重樫カズキと出会う。カズキもまた、かつて伝説の番長として名を馳せていた人物だった。カズキに憧れるアキは、頻繁に診療所に通うようになるが、田舎の診療所に似つかわしくないカズキの美貌と色気に、次第に心を奪われていく。好きが止まらない暴走ワンコ×実は超ビッチな美人センセーの恋の行方は!?</v>
      </c>
      <c r="W2615" s="14"/>
      <c r="X2615" s="14" t="str">
        <f>IFERROR(__xludf.DUMMYFUNCTION("""COMPUTED_VALUE"""),"有")</f>
        <v>有</v>
      </c>
      <c r="Y2615" s="8" t="str">
        <f>IFERROR(__xludf.DUMMYFUNCTION("""COMPUTED_VALUE"""),"1巻無料")</f>
        <v>1巻無料</v>
      </c>
      <c r="Z2615" s="7"/>
      <c r="AA2615" s="7"/>
      <c r="AB2615" s="7"/>
    </row>
    <row r="2616" ht="15.75" customHeight="1">
      <c r="A2616" s="26">
        <f>IFERROR(__xludf.DUMMYFUNCTION("""COMPUTED_VALUE"""),4650.0)</f>
        <v>4650</v>
      </c>
      <c r="B2616" s="75" t="str">
        <f>IFERROR(__xludf.DUMMYFUNCTION("""COMPUTED_VALUE"""),"確定")</f>
        <v>確定</v>
      </c>
      <c r="C2616" s="68">
        <f>IFERROR(__xludf.DUMMYFUNCTION("""COMPUTED_VALUE"""),45632.0)</f>
        <v>45632</v>
      </c>
      <c r="D2616" s="68">
        <f>IFERROR(__xludf.DUMMYFUNCTION("""COMPUTED_VALUE"""),45650.0)</f>
        <v>45650</v>
      </c>
      <c r="E2616" s="100">
        <f>IFERROR(__xludf.DUMMYFUNCTION("""COMPUTED_VALUE"""),314397.0)</f>
        <v>314397</v>
      </c>
      <c r="F2616" s="61" t="str">
        <f>IFERROR(__xludf.DUMMYFUNCTION("""COMPUTED_VALUE"""),"クズな夫には淫らで最高の復讐を【タテヨミ】
")</f>
        <v>クズな夫には淫らで最高の復讐を【タテヨミ】
</v>
      </c>
      <c r="G2616" s="75" t="str">
        <f>IFERROR(__xludf.DUMMYFUNCTION("""COMPUTED_VALUE"""),"1～20")</f>
        <v>1～20</v>
      </c>
      <c r="H2616" s="22" t="str">
        <f>IFERROR(__xludf.DUMMYFUNCTION("""COMPUTED_VALUE"""),"風原KZBR, 綾瀬まの, 茶川すみ
")</f>
        <v>風原KZBR, 綾瀬まの, 茶川すみ
</v>
      </c>
      <c r="I2616" s="75" t="str">
        <f>IFERROR(__xludf.DUMMYFUNCTION("""COMPUTED_VALUE"""),"女性")</f>
        <v>女性</v>
      </c>
      <c r="J2616" s="22"/>
      <c r="K2616" s="22"/>
      <c r="L2616" s="22" t="str">
        <f>IFERROR(__xludf.DUMMYFUNCTION("""COMPUTED_VALUE"""),"NHN comico
")</f>
        <v>NHN comico
</v>
      </c>
      <c r="M2616" s="59">
        <f>IFERROR(__xludf.DUMMYFUNCTION("""COMPUTED_VALUE"""),45688.0)</f>
        <v>45688</v>
      </c>
      <c r="N2616" s="47">
        <f>IFERROR(__xludf.DUMMYFUNCTION("""COMPUTED_VALUE"""),45777.0)</f>
        <v>45777</v>
      </c>
      <c r="O2616" s="75"/>
      <c r="P2616" s="34" t="str">
        <f>IFERROR(__xludf.DUMMYFUNCTION("""COMPUTED_VALUE"""),"可")</f>
        <v>可</v>
      </c>
      <c r="Q2616" s="75" t="str">
        <f>IFERROR(__xludf.DUMMYFUNCTION("""COMPUTED_VALUE"""),"書店comicoからの2次先行です。&lt;BR&gt;15巻目までで制作お願いします
")</f>
        <v>書店comicoからの2次先行です。&lt;BR&gt;15巻目までで制作お願いします
</v>
      </c>
      <c r="R2616" s="22" t="str">
        <f>IFERROR(__xludf.DUMMYFUNCTION("""COMPUTED_VALUE"""),"コミットOK")</f>
        <v>コミットOK</v>
      </c>
      <c r="S2616" s="75" t="str">
        <f>IFERROR(__xludf.DUMMYFUNCTION("""COMPUTED_VALUE"""),"20241220_NHN comico_クズな夫には淫らで最高の復讐を
")</f>
        <v>20241220_NHN comico_クズな夫には淫らで最高の復讐を
</v>
      </c>
      <c r="T2616" s="22" t="str">
        <f>IFERROR(__xludf.DUMMYFUNCTION("""COMPUTED_VALUE"""),"格納済み")</f>
        <v>格納済み</v>
      </c>
      <c r="U2616" s="15" t="str">
        <f>IFERROR(__xludf.DUMMYFUNCTION("""COMPUTED_VALUE"""),"Ⓒ風原KZBR・綾瀬まの・茶川すみ/Studio comico
")</f>
        <v>Ⓒ風原KZBR・綾瀬まの・茶川すみ/Studio comico
</v>
      </c>
      <c r="V2616" s="8" t="str">
        <f>IFERROR(__xludf.DUMMYFUNCTION("""COMPUTED_VALUE"""),"「復讐は熟れた蜜の味がする――」 美貌の伯爵子息・ヘヴンの妻となった、子爵令嬢・セレナ。しかし、幼き日の初恋相手との結婚生活は、幸せとは程遠いものだった。ヘヴンはセレナを愚鈍で平凡な女だと罵り、夫婦の営みは義務的で身勝手な子作り行為のみ。更には不倫にまで手を染めたヘヴンに、セレナは復讐を決意する。彼女が選んだ復讐は、「誰にも言えないような方法」で夫のプライドを打ち砕くことだった。憎しみと恋心の中で揺れるセレナと、クズに成り果てたヘヴン。 二人の愛憎の行く末は――？2023年にcomico×ガブリエラブック"&amp;"ス×ムーンライトノベルズの共同開催コンテスト「ロマンスファンタジー漫画原作大賞」にて準大賞を受賞した作品が待望のコミカライズ！")</f>
        <v>「復讐は熟れた蜜の味がする――」 美貌の伯爵子息・ヘヴンの妻となった、子爵令嬢・セレナ。しかし、幼き日の初恋相手との結婚生活は、幸せとは程遠いものだった。ヘヴンはセレナを愚鈍で平凡な女だと罵り、夫婦の営みは義務的で身勝手な子作り行為のみ。更には不倫にまで手を染めたヘヴンに、セレナは復讐を決意する。彼女が選んだ復讐は、「誰にも言えないような方法」で夫のプライドを打ち砕くことだった。憎しみと恋心の中で揺れるセレナと、クズに成り果てたヘヴン。 二人の愛憎の行く末は――？2023年にcomico×ガブリエラブックス×ムーンライトノベルズの共同開催コンテスト「ロマンスファンタジー漫画原作大賞」にて準大賞を受賞した作品が待望のコミカライズ！</v>
      </c>
      <c r="W2616" s="14"/>
      <c r="X2616" s="14" t="str">
        <f>IFERROR(__xludf.DUMMYFUNCTION("""COMPUTED_VALUE"""),"有")</f>
        <v>有</v>
      </c>
      <c r="Y2616" s="8" t="str">
        <f>IFERROR(__xludf.DUMMYFUNCTION("""COMPUTED_VALUE"""),"1～2巻無料")</f>
        <v>1～2巻無料</v>
      </c>
      <c r="Z2616" s="7"/>
      <c r="AA2616" s="7"/>
      <c r="AB2616" s="7"/>
    </row>
    <row r="2617" ht="15.75" customHeight="1">
      <c r="A2617" s="26">
        <f>IFERROR(__xludf.DUMMYFUNCTION("""COMPUTED_VALUE"""),4658.0)</f>
        <v>4658</v>
      </c>
      <c r="B2617" s="75" t="str">
        <f>IFERROR(__xludf.DUMMYFUNCTION("""COMPUTED_VALUE"""),"確定")</f>
        <v>確定</v>
      </c>
      <c r="C2617" s="68">
        <f>IFERROR(__xludf.DUMMYFUNCTION("""COMPUTED_VALUE"""),45635.0)</f>
        <v>45635</v>
      </c>
      <c r="D2617" s="68">
        <f>IFERROR(__xludf.DUMMYFUNCTION("""COMPUTED_VALUE"""),45650.0)</f>
        <v>45650</v>
      </c>
      <c r="E2617" s="100">
        <f>IFERROR(__xludf.DUMMYFUNCTION("""COMPUTED_VALUE"""),312235.0)</f>
        <v>312235</v>
      </c>
      <c r="F2617" s="61" t="str">
        <f>IFERROR(__xludf.DUMMYFUNCTION("""COMPUTED_VALUE"""),"モブ用心棒のはずですが、年下帝国外交官（アイドル）様の執着（溺愛）に翻弄されています【単話版】")</f>
        <v>モブ用心棒のはずですが、年下帝国外交官（アイドル）様の執着（溺愛）に翻弄されています【単話版】</v>
      </c>
      <c r="G2617" s="75" t="str">
        <f>IFERROR(__xludf.DUMMYFUNCTION("""COMPUTED_VALUE"""),"1～4")</f>
        <v>1～4</v>
      </c>
      <c r="H2617" s="22" t="str">
        <f>IFERROR(__xludf.DUMMYFUNCTION("""COMPUTED_VALUE"""),"矢後ゆう・昆野うみ
")</f>
        <v>矢後ゆう・昆野うみ
</v>
      </c>
      <c r="I2617" s="83" t="str">
        <f>IFERROR(__xludf.DUMMYFUNCTION("""COMPUTED_VALUE"""),"TLマンガ")</f>
        <v>TLマンガ</v>
      </c>
      <c r="J2617" s="22"/>
      <c r="K2617" s="22"/>
      <c r="L2617" s="22" t="str">
        <f>IFERROR(__xludf.DUMMYFUNCTION("""COMPUTED_VALUE"""),"デジタルカタパルト（デジカタ編集部）
")</f>
        <v>デジタルカタパルト（デジカタ編集部）
</v>
      </c>
      <c r="M2617" s="59">
        <f>IFERROR(__xludf.DUMMYFUNCTION("""COMPUTED_VALUE"""),45688.0)</f>
        <v>45688</v>
      </c>
      <c r="N2617" s="59">
        <f>IFERROR(__xludf.DUMMYFUNCTION("""COMPUTED_VALUE"""),45778.0)</f>
        <v>45778</v>
      </c>
      <c r="O2617" s="75"/>
      <c r="P2617" s="32" t="str">
        <f>IFERROR(__xludf.DUMMYFUNCTION("""COMPUTED_VALUE"""),"可")</f>
        <v>可</v>
      </c>
      <c r="Q2617" s="75"/>
      <c r="R2617" s="22" t="str">
        <f>IFERROR(__xludf.DUMMYFUNCTION("""COMPUTED_VALUE"""),"コミットOK")</f>
        <v>コミットOK</v>
      </c>
      <c r="S2617" s="75" t="str">
        <f>IFERROR(__xludf.DUMMYFUNCTION("""COMPUTED_VALUE"""),"20241224_デジタルカタパルト_モブ用心棒のはずですが、年下帝国外交官（アイドル）様の執着（溺愛）に翻弄されています
")</f>
        <v>20241224_デジタルカタパルト_モブ用心棒のはずですが、年下帝国外交官（アイドル）様の執着（溺愛）に翻弄されています
</v>
      </c>
      <c r="T2617" s="22" t="str">
        <f>IFERROR(__xludf.DUMMYFUNCTION("""COMPUTED_VALUE"""),"格納済み")</f>
        <v>格納済み</v>
      </c>
      <c r="U2617" s="15" t="str">
        <f>IFERROR(__xludf.DUMMYFUNCTION("""COMPUTED_VALUE"""),"Ⓒ矢後ゆう・昆野うみ/デジカタ編集部
")</f>
        <v>Ⓒ矢後ゆう・昆野うみ/デジカタ編集部
</v>
      </c>
      <c r="V2617" s="8" t="str">
        <f>IFERROR(__xludf.DUMMYFUNCTION("""COMPUTED_VALUE"""),"命と引き換えに奴隷となることを誓わされた凄腕用心棒ライラと、演奏家兼外交官として敵国をまわるルーカス。詐欺師にも負けない饒舌さと、女に困ることのない容姿を持ち合わせながら、なぜかルーカスは美人ではないアラサーのライラに、性処理まで求め‥？女用心棒×年下美形外交官の主従恋愛開幕！！")</f>
        <v>命と引き換えに奴隷となることを誓わされた凄腕用心棒ライラと、演奏家兼外交官として敵国をまわるルーカス。詐欺師にも負けない饒舌さと、女に困ることのない容姿を持ち合わせながら、なぜかルーカスは美人ではないアラサーのライラに、性処理まで求め‥？女用心棒×年下美形外交官の主従恋愛開幕！！</v>
      </c>
      <c r="W2617" s="14"/>
      <c r="X2617" s="14" t="str">
        <f>IFERROR(__xludf.DUMMYFUNCTION("""COMPUTED_VALUE"""),"有")</f>
        <v>有</v>
      </c>
      <c r="Y2617" s="8" t="str">
        <f>IFERROR(__xludf.DUMMYFUNCTION("""COMPUTED_VALUE"""),"2025/5/1まで1巻無料")</f>
        <v>2025/5/1まで1巻無料</v>
      </c>
      <c r="Z2617" s="7"/>
      <c r="AA2617" s="7"/>
      <c r="AB2617" s="7"/>
    </row>
    <row r="2618" ht="15.75" customHeight="1">
      <c r="A2618" s="26">
        <f>IFERROR(__xludf.DUMMYFUNCTION("""COMPUTED_VALUE"""),4689.0)</f>
        <v>4689</v>
      </c>
      <c r="B2618" s="75" t="str">
        <f>IFERROR(__xludf.DUMMYFUNCTION("""COMPUTED_VALUE"""),"確定")</f>
        <v>確定</v>
      </c>
      <c r="C2618" s="68">
        <f>IFERROR(__xludf.DUMMYFUNCTION("""COMPUTED_VALUE"""),45644.0)</f>
        <v>45644</v>
      </c>
      <c r="D2618" s="68">
        <f>IFERROR(__xludf.DUMMYFUNCTION("""COMPUTED_VALUE"""),45650.0)</f>
        <v>45650</v>
      </c>
      <c r="E2618" s="100">
        <f>IFERROR(__xludf.DUMMYFUNCTION("""COMPUTED_VALUE"""),313151.0)</f>
        <v>313151</v>
      </c>
      <c r="F2618" s="61" t="str">
        <f>IFERROR(__xludf.DUMMYFUNCTION("""COMPUTED_VALUE"""),"ヤン先輩はひとりで生きていけない【分冊版】")</f>
        <v>ヤン先輩はひとりで生きていけない【分冊版】</v>
      </c>
      <c r="G2618" s="75" t="str">
        <f>IFERROR(__xludf.DUMMYFUNCTION("""COMPUTED_VALUE"""),"1～4")</f>
        <v>1～4</v>
      </c>
      <c r="H2618" s="22" t="str">
        <f>IFERROR(__xludf.DUMMYFUNCTION("""COMPUTED_VALUE"""),"soon茶")</f>
        <v>soon茶</v>
      </c>
      <c r="I2618" s="22" t="str">
        <f>IFERROR(__xludf.DUMMYFUNCTION("""COMPUTED_VALUE"""),"少女")</f>
        <v>少女</v>
      </c>
      <c r="J2618" s="22"/>
      <c r="K2618" s="22"/>
      <c r="L2618" s="22" t="str">
        <f>IFERROR(__xludf.DUMMYFUNCTION("""COMPUTED_VALUE"""),"スクウェア・エニックス
")</f>
        <v>スクウェア・エニックス
</v>
      </c>
      <c r="M2618" s="59">
        <f>IFERROR(__xludf.DUMMYFUNCTION("""COMPUTED_VALUE"""),45689.0)</f>
        <v>45689</v>
      </c>
      <c r="N2618" s="59">
        <f>IFERROR(__xludf.DUMMYFUNCTION("""COMPUTED_VALUE"""),45747.0)</f>
        <v>45747</v>
      </c>
      <c r="O2618" s="75"/>
      <c r="P2618" s="34" t="str">
        <f>IFERROR(__xludf.DUMMYFUNCTION("""COMPUTED_VALUE"""),"否")</f>
        <v>否</v>
      </c>
      <c r="Q2618" s="75" t="str">
        <f>IFERROR(__xludf.DUMMYFUNCTION("""COMPUTED_VALUE"""),"河上さんとコミット可で連携済み
")</f>
        <v>河上さんとコミット可で連携済み
</v>
      </c>
      <c r="R2618" s="22" t="str">
        <f>IFERROR(__xludf.DUMMYFUNCTION("""COMPUTED_VALUE"""),"コミットOK")</f>
        <v>コミットOK</v>
      </c>
      <c r="S2618" s="75" t="str">
        <f>IFERROR(__xludf.DUMMYFUNCTION("""COMPUTED_VALUE"""),"241213_スクウェア・エニックス_ヤン先輩はひとりで生きていけない
")</f>
        <v>241213_スクウェア・エニックス_ヤン先輩はひとりで生きていけない
</v>
      </c>
      <c r="T2618" s="22" t="str">
        <f>IFERROR(__xludf.DUMMYFUNCTION("""COMPUTED_VALUE"""),"格納済み")</f>
        <v>格納済み</v>
      </c>
      <c r="U2618" s="15" t="str">
        <f>IFERROR(__xludf.DUMMYFUNCTION("""COMPUTED_VALUE"""),"(C)sooncha/SQUARE ENIX
")</f>
        <v>(C)sooncha/SQUARE ENIX
</v>
      </c>
      <c r="V2618" s="8" t="str">
        <f>IFERROR(__xludf.DUMMYFUNCTION("""COMPUTED_VALUE"""),"【この中国人男子から目が離せません！】
真面目で努力家な女子大生・優雨はなんでも卒なくこなすけど男子からは「可愛げない」と言われがち。誰かの一番になるには、こんな自分を変えないとダメなのか――。そんな悩みを抱える中、中国人留学生のヤン先輩に出会う。美形で一見ひとあたりも良い彼だが、ある日優雨は彼の秘密を知ってしまい!?しっかりもの女子大生と子犬系中国人男子のビジネスの関係から始まるピュアラブストーリー！
※この商品は「ヤン先輩はひとりで生きていけない」を1話ごとに分冊したものです。
(C)2025 "&amp;"sooncha")</f>
        <v>【この中国人男子から目が離せません！】
真面目で努力家な女子大生・優雨はなんでも卒なくこなすけど男子からは「可愛げない」と言われがち。誰かの一番になるには、こんな自分を変えないとダメなのか――。そんな悩みを抱える中、中国人留学生のヤン先輩に出会う。美形で一見ひとあたりも良い彼だが、ある日優雨は彼の秘密を知ってしまい!?しっかりもの女子大生と子犬系中国人男子のビジネスの関係から始まるピュアラブストーリー！
※この商品は「ヤン先輩はひとりで生きていけない」を1話ごとに分冊したものです。
(C)2025 sooncha</v>
      </c>
      <c r="W2618" s="14"/>
      <c r="X2618" s="14" t="str">
        <f>IFERROR(__xludf.DUMMYFUNCTION("""COMPUTED_VALUE"""),"有")</f>
        <v>有</v>
      </c>
      <c r="Y2618" s="8" t="str">
        <f>IFERROR(__xludf.DUMMYFUNCTION("""COMPUTED_VALUE"""),"2025/3/31まで1巻無料")</f>
        <v>2025/3/31まで1巻無料</v>
      </c>
      <c r="Z2618" s="7"/>
      <c r="AA2618" s="7"/>
      <c r="AB2618" s="7"/>
    </row>
    <row r="2619" ht="15.75" customHeight="1">
      <c r="A2619" s="26">
        <f>IFERROR(__xludf.DUMMYFUNCTION("""COMPUTED_VALUE"""),4691.0)</f>
        <v>4691</v>
      </c>
      <c r="B2619" s="75" t="str">
        <f>IFERROR(__xludf.DUMMYFUNCTION("""COMPUTED_VALUE"""),"確定")</f>
        <v>確定</v>
      </c>
      <c r="C2619" s="68">
        <f>IFERROR(__xludf.DUMMYFUNCTION("""COMPUTED_VALUE"""),45645.0)</f>
        <v>45645</v>
      </c>
      <c r="D2619" s="68">
        <f>IFERROR(__xludf.DUMMYFUNCTION("""COMPUTED_VALUE"""),45650.0)</f>
        <v>45650</v>
      </c>
      <c r="E2619" s="100">
        <f>IFERROR(__xludf.DUMMYFUNCTION("""COMPUTED_VALUE"""),315403.0)</f>
        <v>315403</v>
      </c>
      <c r="F2619" s="61" t="str">
        <f>IFERROR(__xludf.DUMMYFUNCTION("""COMPUTED_VALUE"""),"おやすみ、なみだくん")</f>
        <v>おやすみ、なみだくん</v>
      </c>
      <c r="G2619" s="75">
        <f>IFERROR(__xludf.DUMMYFUNCTION("""COMPUTED_VALUE"""),1.0)</f>
        <v>1</v>
      </c>
      <c r="H2619" s="22" t="str">
        <f>IFERROR(__xludf.DUMMYFUNCTION("""COMPUTED_VALUE"""),"JANMN
")</f>
        <v>JANMN
</v>
      </c>
      <c r="I2619" s="75" t="str">
        <f>IFERROR(__xludf.DUMMYFUNCTION("""COMPUTED_VALUE"""),"BL")</f>
        <v>BL</v>
      </c>
      <c r="J2619" s="22"/>
      <c r="K2619" s="22"/>
      <c r="L2619" s="22" t="str">
        <f>IFERROR(__xludf.DUMMYFUNCTION("""COMPUTED_VALUE"""),"リブレ
")</f>
        <v>リブレ
</v>
      </c>
      <c r="M2619" s="59">
        <f>IFERROR(__xludf.DUMMYFUNCTION("""COMPUTED_VALUE"""),45717.0)</f>
        <v>45717</v>
      </c>
      <c r="N2619" s="59">
        <f>IFERROR(__xludf.DUMMYFUNCTION("""COMPUTED_VALUE"""),45747.0)</f>
        <v>45747</v>
      </c>
      <c r="O2619" s="75"/>
      <c r="P2619" s="34" t="str">
        <f>IFERROR(__xludf.DUMMYFUNCTION("""COMPUTED_VALUE"""),"可")</f>
        <v>可</v>
      </c>
      <c r="Q2619" s="75" t="str">
        <f>IFERROR(__xludf.DUMMYFUNCTION("""COMPUTED_VALUE"""),"ソルからの先行＆出稿提案希望タイトルでOKいただいたものです。&lt;BR&gt;単行本なので格納している素材7話で1巻分です
")</f>
        <v>ソルからの先行＆出稿提案希望タイトルでOKいただいたものです。&lt;BR&gt;単行本なので格納している素材7話で1巻分です
</v>
      </c>
      <c r="R2619" s="22" t="str">
        <f>IFERROR(__xludf.DUMMYFUNCTION("""COMPUTED_VALUE"""),"コミットOK")</f>
        <v>コミットOK</v>
      </c>
      <c r="S2619" s="75" t="str">
        <f>IFERROR(__xludf.DUMMYFUNCTION("""COMPUTED_VALUE"""),"20241219_リブレ_おやすみ、なみだくん
")</f>
        <v>20241219_リブレ_おやすみ、なみだくん
</v>
      </c>
      <c r="T2619" s="22" t="str">
        <f>IFERROR(__xludf.DUMMYFUNCTION("""COMPUTED_VALUE"""),"格納済み")</f>
        <v>格納済み</v>
      </c>
      <c r="U2619" s="15" t="str">
        <f>IFERROR(__xludf.DUMMYFUNCTION("""COMPUTED_VALUE"""),"ⒸJANMN/libre
")</f>
        <v>ⒸJANMN/libre
</v>
      </c>
      <c r="V2619" s="8" t="str">
        <f>IFERROR(__xludf.DUMMYFUNCTION("""COMPUTED_VALUE"""),"『泣いてる顔 世界一好きだな。だって僕の前でしか泣けないんだもんね』
しごできサラリーマンの阿知葉は、高校時代の“知り合い”である佐波に仕事で偶然再会――した途端に、
阿知葉の涙が止まらなくなってしまった！
あることから性格もひねくれて泣けなくなった阿知葉が、本当に佐波を見るだけでいつどんなときでも涙が出てしまうのだ。
しかも佐波は飄々と阿知葉をからかいながら、まるで阿知葉を口説くようなそぶりで…？
涙とともに、心と身体が溶かされていく。
最後は執着えっちで泣かせる純愛リーマン"&amp;"BL！
電子限定描き下ろしマンガ1Pも収録。")</f>
        <v>『泣いてる顔 世界一好きだな。だって僕の前でしか泣けないんだもんね』
しごできサラリーマンの阿知葉は、高校時代の“知り合い”である佐波に仕事で偶然再会――した途端に、
阿知葉の涙が止まらなくなってしまった！
あることから性格もひねくれて泣けなくなった阿知葉が、本当に佐波を見るだけでいつどんなときでも涙が出てしまうのだ。
しかも佐波は飄々と阿知葉をからかいながら、まるで阿知葉を口説くようなそぶりで…？
涙とともに、心と身体が溶かされていく。
最後は執着えっちで泣かせる純愛リーマンBL！
電子限定描き下ろしマンガ1Pも収録。</v>
      </c>
      <c r="W2619" s="14"/>
      <c r="X2619" s="14" t="str">
        <f>IFERROR(__xludf.DUMMYFUNCTION("""COMPUTED_VALUE"""),"有")</f>
        <v>有</v>
      </c>
      <c r="Y2619" s="8" t="str">
        <f>IFERROR(__xludf.DUMMYFUNCTION("""COMPUTED_VALUE"""),"P29まで")</f>
        <v>P29まで</v>
      </c>
      <c r="Z2619" s="7"/>
      <c r="AA2619" s="7"/>
      <c r="AB2619" s="7"/>
    </row>
    <row r="2620" ht="15.75" customHeight="1">
      <c r="A2620" s="26">
        <f>IFERROR(__xludf.DUMMYFUNCTION("""COMPUTED_VALUE"""),4693.0)</f>
        <v>4693</v>
      </c>
      <c r="B2620" s="75" t="str">
        <f>IFERROR(__xludf.DUMMYFUNCTION("""COMPUTED_VALUE"""),"確定")</f>
        <v>確定</v>
      </c>
      <c r="C2620" s="68">
        <f>IFERROR(__xludf.DUMMYFUNCTION("""COMPUTED_VALUE"""),45646.0)</f>
        <v>45646</v>
      </c>
      <c r="D2620" s="68">
        <f>IFERROR(__xludf.DUMMYFUNCTION("""COMPUTED_VALUE"""),45650.0)</f>
        <v>45650</v>
      </c>
      <c r="E2620" s="100">
        <f>IFERROR(__xludf.DUMMYFUNCTION("""COMPUTED_VALUE"""),312374.0)</f>
        <v>312374</v>
      </c>
      <c r="F2620" s="61" t="str">
        <f>IFERROR(__xludf.DUMMYFUNCTION("""COMPUTED_VALUE"""),"13年目の執着婚")</f>
        <v>13年目の執着婚</v>
      </c>
      <c r="G2620" s="75" t="str">
        <f>IFERROR(__xludf.DUMMYFUNCTION("""COMPUTED_VALUE"""),"1～4")</f>
        <v>1～4</v>
      </c>
      <c r="H2620" s="22" t="str">
        <f>IFERROR(__xludf.DUMMYFUNCTION("""COMPUTED_VALUE"""),"magari
")</f>
        <v>magari
</v>
      </c>
      <c r="I2620" s="75" t="str">
        <f>IFERROR(__xludf.DUMMYFUNCTION("""COMPUTED_VALUE"""),"女性")</f>
        <v>女性</v>
      </c>
      <c r="J2620" s="22"/>
      <c r="K2620" s="22" t="str">
        <f>IFERROR(__xludf.DUMMYFUNCTION("""COMPUTED_VALUE"""),"シーモア×チェリッシュ
")</f>
        <v>シーモア×チェリッシュ
</v>
      </c>
      <c r="L2620" s="22" t="str">
        <f>IFERROR(__xludf.DUMMYFUNCTION("""COMPUTED_VALUE"""),"ファンギルド
")</f>
        <v>ファンギルド
</v>
      </c>
      <c r="M2620" s="59">
        <f>IFERROR(__xludf.DUMMYFUNCTION("""COMPUTED_VALUE"""),45700.0)</f>
        <v>45700</v>
      </c>
      <c r="N2620" s="59">
        <f>IFERROR(__xludf.DUMMYFUNCTION("""COMPUTED_VALUE"""),45790.0)</f>
        <v>45790</v>
      </c>
      <c r="O2620" s="75"/>
      <c r="P2620" s="34" t="str">
        <f>IFERROR(__xludf.DUMMYFUNCTION("""COMPUTED_VALUE"""),"可")</f>
        <v>可</v>
      </c>
      <c r="Q2620" s="30" t="str">
        <f>IFERROR(__xludf.DUMMYFUNCTION("""COMPUTED_VALUE"""),"3巻目までで制作お願いします
")</f>
        <v>3巻目までで制作お願いします
</v>
      </c>
      <c r="R2620" s="22"/>
      <c r="S2620" s="75" t="str">
        <f>IFERROR(__xludf.DUMMYFUNCTION("""COMPUTED_VALUE"""),"20241220_ファンギルド_13年目の執着婚
")</f>
        <v>20241220_ファンギルド_13年目の執着婚
</v>
      </c>
      <c r="T2620" s="22" t="str">
        <f>IFERROR(__xludf.DUMMYFUNCTION("""COMPUTED_VALUE"""),"格納済み")</f>
        <v>格納済み</v>
      </c>
      <c r="U2620" s="15" t="str">
        <f>IFERROR(__xludf.DUMMYFUNCTION("""COMPUTED_VALUE"""),"Ⓒmagari/FUNGUILD")</f>
        <v>Ⓒmagari/FUNGUILD</v>
      </c>
      <c r="V2620" s="8" t="str">
        <f>IFERROR(__xludf.DUMMYFUNCTION("""COMPUTED_VALUE"""),"拒絶したかと思えば独占欲をにじませ抱きしめる…ねえ、どっちが本当のあなたなの？建設会社のお嬢様・高坂瑠佳は会社同士の縁を繋ぐため、13年ぶりに会う幼なじみ・御影瑞紀と政略結婚をすることに。愛のない結婚とはいえ一緒にいるうちに何か芽生えれば――そんな瑠佳の淡い期待は、再会した瑞紀の冷たい視線と声色に打ち砕かれてしまう。「この結婚に、期待なんてしない」そう決めて夫婦生活に臨む瑠佳。しかしそんな瑠佳を見つめる瑞紀の瞳には執着と熱情が揺れていて――。13年、せき止められた愛が止まらない…結婚から始まるドラマチック"&amp;"ラブ。")</f>
        <v>拒絶したかと思えば独占欲をにじませ抱きしめる…ねえ、どっちが本当のあなたなの？建設会社のお嬢様・高坂瑠佳は会社同士の縁を繋ぐため、13年ぶりに会う幼なじみ・御影瑞紀と政略結婚をすることに。愛のない結婚とはいえ一緒にいるうちに何か芽生えれば――そんな瑠佳の淡い期待は、再会した瑞紀の冷たい視線と声色に打ち砕かれてしまう。「この結婚に、期待なんてしない」そう決めて夫婦生活に臨む瑠佳。しかしそんな瑠佳を見つめる瑞紀の瞳には執着と熱情が揺れていて――。13年、せき止められた愛が止まらない…結婚から始まるドラマチックラブ。</v>
      </c>
      <c r="W2620" s="14"/>
      <c r="X2620" s="14" t="str">
        <f>IFERROR(__xludf.DUMMYFUNCTION("""COMPUTED_VALUE"""),"有")</f>
        <v>有</v>
      </c>
      <c r="Y2620" s="8" t="str">
        <f>IFERROR(__xludf.DUMMYFUNCTION("""COMPUTED_VALUE"""),"2025/2/25まで1巻無料")</f>
        <v>2025/2/25まで1巻無料</v>
      </c>
      <c r="Z2620" s="7"/>
      <c r="AA2620" s="7"/>
      <c r="AB2620" s="7"/>
    </row>
    <row r="2621" ht="15.75" customHeight="1">
      <c r="A2621" s="26">
        <f>IFERROR(__xludf.DUMMYFUNCTION("""COMPUTED_VALUE"""),4694.0)</f>
        <v>4694</v>
      </c>
      <c r="B2621" s="75" t="str">
        <f>IFERROR(__xludf.DUMMYFUNCTION("""COMPUTED_VALUE"""),"確定")</f>
        <v>確定</v>
      </c>
      <c r="C2621" s="68">
        <f>IFERROR(__xludf.DUMMYFUNCTION("""COMPUTED_VALUE"""),45646.0)</f>
        <v>45646</v>
      </c>
      <c r="D2621" s="68">
        <f>IFERROR(__xludf.DUMMYFUNCTION("""COMPUTED_VALUE"""),45650.0)</f>
        <v>45650</v>
      </c>
      <c r="E2621" s="100">
        <f>IFERROR(__xludf.DUMMYFUNCTION("""COMPUTED_VALUE"""),312454.0)</f>
        <v>312454</v>
      </c>
      <c r="F2621" s="61" t="str">
        <f>IFERROR(__xludf.DUMMYFUNCTION("""COMPUTED_VALUE"""),"社長の妻
")</f>
        <v>社長の妻
</v>
      </c>
      <c r="G2621" s="75" t="str">
        <f>IFERROR(__xludf.DUMMYFUNCTION("""COMPUTED_VALUE"""),"1～4")</f>
        <v>1～4</v>
      </c>
      <c r="H2621" s="22" t="str">
        <f>IFERROR(__xludf.DUMMYFUNCTION("""COMPUTED_VALUE"""),"onjeom,gladiator&amp;hongsi")</f>
        <v>onjeom,gladiator&amp;hongsi</v>
      </c>
      <c r="I2621" s="75" t="str">
        <f>IFERROR(__xludf.DUMMYFUNCTION("""COMPUTED_VALUE"""),"青年")</f>
        <v>青年</v>
      </c>
      <c r="J2621" s="22"/>
      <c r="K2621" s="22" t="str">
        <f>IFERROR(__xludf.DUMMYFUNCTION("""COMPUTED_VALUE"""),"シーモア×Rush!
")</f>
        <v>シーモア×Rush!
</v>
      </c>
      <c r="L2621" s="22" t="str">
        <f>IFERROR(__xludf.DUMMYFUNCTION("""COMPUTED_VALUE"""),"Rush!
")</f>
        <v>Rush!
</v>
      </c>
      <c r="M2621" s="59">
        <f>IFERROR(__xludf.DUMMYFUNCTION("""COMPUTED_VALUE"""),45695.0)</f>
        <v>45695</v>
      </c>
      <c r="N2621" s="59">
        <f>IFERROR(__xludf.DUMMYFUNCTION("""COMPUTED_VALUE"""),45778.0)</f>
        <v>45778</v>
      </c>
      <c r="O2621" s="75"/>
      <c r="P2621" s="32" t="str">
        <f>IFERROR(__xludf.DUMMYFUNCTION("""COMPUTED_VALUE"""),"可")</f>
        <v>可</v>
      </c>
      <c r="Q2621" s="30"/>
      <c r="R2621" s="22"/>
      <c r="S2621" s="75" t="str">
        <f>IFERROR(__xludf.DUMMYFUNCTION("""COMPUTED_VALUE"""),"20241220_ファンギルド_社長の妻
")</f>
        <v>20241220_ファンギルド_社長の妻
</v>
      </c>
      <c r="T2621" s="22" t="str">
        <f>IFERROR(__xludf.DUMMYFUNCTION("""COMPUTED_VALUE"""),"格納済み")</f>
        <v>格納済み</v>
      </c>
      <c r="U2621" s="15" t="str">
        <f>IFERROR(__xludf.DUMMYFUNCTION("""COMPUTED_VALUE"""),"Ⓒgladiator&amp;hongsi/onjeom/TOPTOON
")</f>
        <v>Ⓒgladiator&amp;hongsi/onjeom/TOPTOON
</v>
      </c>
      <c r="V2621" s="8" t="str">
        <f>IFERROR(__xludf.DUMMYFUNCTION("""COMPUTED_VALUE"""),"家族の治療費のため、仕方なく会社の金を横領している遊佐。罪悪感はあるものの習慣的に横領を繰り返していたある日、正体不明の人物からメッセージが届く。【横領した事をバラされたくなければ、48時間以内に会社の中でセックスをしろ】とんでもない要求に戸惑うが、どこから見ているか分からない人物の言葉に逆らえず、深夜の会社で同僚と一線を越える事に…。これで大丈夫だと思ったのも束の間、更なる要求が届く――【次は”社長の妻”とセックスしろ】")</f>
        <v>家族の治療費のため、仕方なく会社の金を横領している遊佐。罪悪感はあるものの習慣的に横領を繰り返していたある日、正体不明の人物からメッセージが届く。【横領した事をバラされたくなければ、48時間以内に会社の中でセックスをしろ】とんでもない要求に戸惑うが、どこから見ているか分からない人物の言葉に逆らえず、深夜の会社で同僚と一線を越える事に…。これで大丈夫だと思ったのも束の間、更なる要求が届く――【次は”社長の妻”とセックスしろ】</v>
      </c>
      <c r="W2621" s="14"/>
      <c r="X2621" s="14" t="str">
        <f>IFERROR(__xludf.DUMMYFUNCTION("""COMPUTED_VALUE"""),"有")</f>
        <v>有</v>
      </c>
      <c r="Y2621" s="8" t="str">
        <f>IFERROR(__xludf.DUMMYFUNCTION("""COMPUTED_VALUE"""),"2025/2/27まで1巻無料")</f>
        <v>2025/2/27まで1巻無料</v>
      </c>
      <c r="Z2621" s="7"/>
      <c r="AA2621" s="7"/>
      <c r="AB2621" s="7"/>
    </row>
    <row r="2622" ht="15.75" customHeight="1">
      <c r="A2622" s="26">
        <f>IFERROR(__xludf.DUMMYFUNCTION("""COMPUTED_VALUE"""),4695.0)</f>
        <v>4695</v>
      </c>
      <c r="B2622" s="75" t="str">
        <f>IFERROR(__xludf.DUMMYFUNCTION("""COMPUTED_VALUE"""),"確定")</f>
        <v>確定</v>
      </c>
      <c r="C2622" s="68">
        <f>IFERROR(__xludf.DUMMYFUNCTION("""COMPUTED_VALUE"""),45646.0)</f>
        <v>45646</v>
      </c>
      <c r="D2622" s="68">
        <f>IFERROR(__xludf.DUMMYFUNCTION("""COMPUTED_VALUE"""),45650.0)</f>
        <v>45650</v>
      </c>
      <c r="E2622" s="100">
        <f>IFERROR(__xludf.DUMMYFUNCTION("""COMPUTED_VALUE"""),311378.0)</f>
        <v>311378</v>
      </c>
      <c r="F2622" s="61" t="str">
        <f>IFERROR(__xludf.DUMMYFUNCTION("""COMPUTED_VALUE"""),"10億婚～キズもの花嫁が愛されるまで～
")</f>
        <v>10億婚～キズもの花嫁が愛されるまで～
</v>
      </c>
      <c r="G2622" s="75" t="str">
        <f>IFERROR(__xludf.DUMMYFUNCTION("""COMPUTED_VALUE"""),"1～3")</f>
        <v>1～3</v>
      </c>
      <c r="H2622" s="22" t="str">
        <f>IFERROR(__xludf.DUMMYFUNCTION("""COMPUTED_VALUE"""),"裏山或
")</f>
        <v>裏山或
</v>
      </c>
      <c r="I2622" s="75" t="str">
        <f>IFERROR(__xludf.DUMMYFUNCTION("""COMPUTED_VALUE"""),"女性")</f>
        <v>女性</v>
      </c>
      <c r="J2622" s="22"/>
      <c r="K2622" s="22"/>
      <c r="L2622" s="22" t="str">
        <f>IFERROR(__xludf.DUMMYFUNCTION("""COMPUTED_VALUE"""),"ファンギルド
")</f>
        <v>ファンギルド
</v>
      </c>
      <c r="M2622" s="59">
        <f>IFERROR(__xludf.DUMMYFUNCTION("""COMPUTED_VALUE"""),45679.0)</f>
        <v>45679</v>
      </c>
      <c r="N2622" s="59">
        <f>IFERROR(__xludf.DUMMYFUNCTION("""COMPUTED_VALUE"""),45713.0)</f>
        <v>45713</v>
      </c>
      <c r="O2622" s="75"/>
      <c r="P2622" s="32" t="str">
        <f>IFERROR(__xludf.DUMMYFUNCTION("""COMPUTED_VALUE"""),"可")</f>
        <v>可</v>
      </c>
      <c r="Q2622" s="30"/>
      <c r="R2622" s="22"/>
      <c r="S2622" s="75" t="str">
        <f>IFERROR(__xludf.DUMMYFUNCTION("""COMPUTED_VALUE"""),"20241220_ファンギルド_10億婚～キズもの花嫁が愛されるまで～
")</f>
        <v>20241220_ファンギルド_10億婚～キズもの花嫁が愛されるまで～
</v>
      </c>
      <c r="T2622" s="22" t="str">
        <f>IFERROR(__xludf.DUMMYFUNCTION("""COMPUTED_VALUE"""),"格納済み")</f>
        <v>格納済み</v>
      </c>
      <c r="U2622" s="15" t="str">
        <f>IFERROR(__xludf.DUMMYFUNCTION("""COMPUTED_VALUE"""),"Ⓒ裏山或/ファンギルド
")</f>
        <v>Ⓒ裏山或/ファンギルド
</v>
      </c>
      <c r="V2622" s="8" t="str">
        <f>IFERROR(__xludf.DUMMYFUNCTION("""COMPUTED_VALUE"""),"「10億出しましょう、香澄との結婚を条件に」代々続く老舗企業のご令嬢として生まれた浅倉香澄。しかしある日、父親から業績不振と借金で経営が苦しくなっていることを知らされる。そんな会社を買い取ろうと名乗り出たのは、若きやり手社長の冠宗弥。しかも彼が挙げた条件は「香澄との結婚」で――!?会社のためなら…そう自身を奮い立たせる香澄だったが、彼女にはどうしても一歩踏み出せないワケがあって…。「香澄に醜いところなんてない、俺は余すことなくキスできるよ」ただのビジネスとしての結婚のはずなのに、どうしてそんなに優しいの―"&amp;"―？彼の熱い唇に凍った心が解かされる、愛され花嫁のシンデレラ・ラブストーリー。")</f>
        <v>「10億出しましょう、香澄との結婚を条件に」代々続く老舗企業のご令嬢として生まれた浅倉香澄。しかしある日、父親から業績不振と借金で経営が苦しくなっていることを知らされる。そんな会社を買い取ろうと名乗り出たのは、若きやり手社長の冠宗弥。しかも彼が挙げた条件は「香澄との結婚」で――!?会社のためなら…そう自身を奮い立たせる香澄だったが、彼女にはどうしても一歩踏み出せないワケがあって…。「香澄に醜いところなんてない、俺は余すことなくキスできるよ」ただのビジネスとしての結婚のはずなのに、どうしてそんなに優しいの――？彼の熱い唇に凍った心が解かされる、愛され花嫁のシンデレラ・ラブストーリー。</v>
      </c>
      <c r="W2622" s="14"/>
      <c r="X2622" s="14" t="str">
        <f>IFERROR(__xludf.DUMMYFUNCTION("""COMPUTED_VALUE"""),"有")</f>
        <v>有</v>
      </c>
      <c r="Y2622" s="8" t="str">
        <f>IFERROR(__xludf.DUMMYFUNCTION("""COMPUTED_VALUE"""),"2025/2/4まで1巻無料")</f>
        <v>2025/2/4まで1巻無料</v>
      </c>
      <c r="Z2622" s="7"/>
      <c r="AA2622" s="7"/>
      <c r="AB2622" s="7"/>
    </row>
    <row r="2623" ht="15.75" customHeight="1">
      <c r="A2623" s="26">
        <f>IFERROR(__xludf.DUMMYFUNCTION("""COMPUTED_VALUE"""),4696.0)</f>
        <v>4696</v>
      </c>
      <c r="B2623" s="75" t="str">
        <f>IFERROR(__xludf.DUMMYFUNCTION("""COMPUTED_VALUE"""),"確定")</f>
        <v>確定</v>
      </c>
      <c r="C2623" s="68">
        <f>IFERROR(__xludf.DUMMYFUNCTION("""COMPUTED_VALUE"""),45646.0)</f>
        <v>45646</v>
      </c>
      <c r="D2623" s="68">
        <f>IFERROR(__xludf.DUMMYFUNCTION("""COMPUTED_VALUE"""),45650.0)</f>
        <v>45650</v>
      </c>
      <c r="E2623" s="100">
        <f>IFERROR(__xludf.DUMMYFUNCTION("""COMPUTED_VALUE"""),312386.0)</f>
        <v>312386</v>
      </c>
      <c r="F2623" s="61" t="str">
        <f>IFERROR(__xludf.DUMMYFUNCTION("""COMPUTED_VALUE"""),"カノジョの性績向上！
")</f>
        <v>カノジョの性績向上！
</v>
      </c>
      <c r="G2623" s="75" t="str">
        <f>IFERROR(__xludf.DUMMYFUNCTION("""COMPUTED_VALUE"""),"1～4")</f>
        <v>1～4</v>
      </c>
      <c r="H2623" s="22" t="str">
        <f>IFERROR(__xludf.DUMMYFUNCTION("""COMPUTED_VALUE"""),"HongBanJang,picaroon,KimMin98")</f>
        <v>HongBanJang,picaroon,KimMin98</v>
      </c>
      <c r="I2623" s="75" t="str">
        <f>IFERROR(__xludf.DUMMYFUNCTION("""COMPUTED_VALUE"""),"青年")</f>
        <v>青年</v>
      </c>
      <c r="J2623" s="22"/>
      <c r="K2623" s="22"/>
      <c r="L2623" s="22" t="str">
        <f>IFERROR(__xludf.DUMMYFUNCTION("""COMPUTED_VALUE"""),"Rush!
")</f>
        <v>Rush!
</v>
      </c>
      <c r="M2623" s="59">
        <f>IFERROR(__xludf.DUMMYFUNCTION("""COMPUTED_VALUE"""),45695.0)</f>
        <v>45695</v>
      </c>
      <c r="N2623" s="59">
        <f>IFERROR(__xludf.DUMMYFUNCTION("""COMPUTED_VALUE"""),45722.0)</f>
        <v>45722</v>
      </c>
      <c r="O2623" s="75"/>
      <c r="P2623" s="32" t="str">
        <f>IFERROR(__xludf.DUMMYFUNCTION("""COMPUTED_VALUE"""),"可")</f>
        <v>可</v>
      </c>
      <c r="Q2623" s="30"/>
      <c r="R2623" s="22"/>
      <c r="S2623" s="75" t="str">
        <f>IFERROR(__xludf.DUMMYFUNCTION("""COMPUTED_VALUE"""),"20241220_ファンギルド_カノジョの性績向上！
")</f>
        <v>20241220_ファンギルド_カノジョの性績向上！
</v>
      </c>
      <c r="T2623" s="22" t="str">
        <f>IFERROR(__xludf.DUMMYFUNCTION("""COMPUTED_VALUE"""),"格納済み")</f>
        <v>格納済み</v>
      </c>
      <c r="U2623" s="15" t="str">
        <f>IFERROR(__xludf.DUMMYFUNCTION("""COMPUTED_VALUE"""),"ⒸHongBanJang/picaroon/KimMin98/TOPTOON
")</f>
        <v>ⒸHongBanJang/picaroon/KimMin98/TOPTOON
</v>
      </c>
      <c r="V2623" s="8" t="str">
        <f>IFERROR(__xludf.DUMMYFUNCTION("""COMPUTED_VALUE"""),"――学生会長の秘密の仕事は、女子大生たちの性績向上!?留学を終え晴れて大学に復学した神崎律。待っていたのは楽しいキャンパスライフ…ではなかった。強制的に学生会の会長に任命された挙句、メンバーも次々と辞めて行く始末。そんなある日、学生会の倉庫から不思議なタブレットを見付けた律。そのタブレットには、女子学生たちに秘密の指導を行えるプログラムがインストールされていて…？")</f>
        <v>――学生会長の秘密の仕事は、女子大生たちの性績向上!?留学を終え晴れて大学に復学した神崎律。待っていたのは楽しいキャンパスライフ…ではなかった。強制的に学生会の会長に任命された挙句、メンバーも次々と辞めて行く始末。そんなある日、学生会の倉庫から不思議なタブレットを見付けた律。そのタブレットには、女子学生たちに秘密の指導を行えるプログラムがインストールされていて…？</v>
      </c>
      <c r="W2623" s="14"/>
      <c r="X2623" s="14" t="str">
        <f>IFERROR(__xludf.DUMMYFUNCTION("""COMPUTED_VALUE"""),"有")</f>
        <v>有</v>
      </c>
      <c r="Y2623" s="8" t="str">
        <f>IFERROR(__xludf.DUMMYFUNCTION("""COMPUTED_VALUE"""),"2025/2/27まで1巻無料")</f>
        <v>2025/2/27まで1巻無料</v>
      </c>
      <c r="Z2623" s="7"/>
      <c r="AA2623" s="7"/>
      <c r="AB2623" s="7"/>
    </row>
    <row r="2624" ht="15.75" customHeight="1">
      <c r="A2624" s="26">
        <f>IFERROR(__xludf.DUMMYFUNCTION("""COMPUTED_VALUE"""),4697.0)</f>
        <v>4697</v>
      </c>
      <c r="B2624" s="75" t="str">
        <f>IFERROR(__xludf.DUMMYFUNCTION("""COMPUTED_VALUE"""),"確定")</f>
        <v>確定</v>
      </c>
      <c r="C2624" s="68">
        <f>IFERROR(__xludf.DUMMYFUNCTION("""COMPUTED_VALUE"""),45646.0)</f>
        <v>45646</v>
      </c>
      <c r="D2624" s="68">
        <f>IFERROR(__xludf.DUMMYFUNCTION("""COMPUTED_VALUE"""),45650.0)</f>
        <v>45650</v>
      </c>
      <c r="E2624" s="100">
        <f>IFERROR(__xludf.DUMMYFUNCTION("""COMPUTED_VALUE"""),313699.0)</f>
        <v>313699</v>
      </c>
      <c r="F2624" s="61" t="str">
        <f>IFERROR(__xludf.DUMMYFUNCTION("""COMPUTED_VALUE"""),"キノドクサマ【ページ版】
")</f>
        <v>キノドクサマ【ページ版】
</v>
      </c>
      <c r="G2624" s="67" t="str">
        <f>IFERROR(__xludf.DUMMYFUNCTION("""COMPUTED_VALUE"""),"1～10")</f>
        <v>1～10</v>
      </c>
      <c r="H2624" s="22" t="str">
        <f>IFERROR(__xludf.DUMMYFUNCTION("""COMPUTED_VALUE"""),"JAMTOON,ひさいあゆみ")</f>
        <v>JAMTOON,ひさいあゆみ</v>
      </c>
      <c r="I2624" s="75" t="str">
        <f>IFERROR(__xludf.DUMMYFUNCTION("""COMPUTED_VALUE"""),"青年")</f>
        <v>青年</v>
      </c>
      <c r="J2624" s="22"/>
      <c r="K2624" s="22"/>
      <c r="L2624" s="22" t="str">
        <f>IFERROR(__xludf.DUMMYFUNCTION("""COMPUTED_VALUE"""),"ファンギルド
")</f>
        <v>ファンギルド
</v>
      </c>
      <c r="M2624" s="59">
        <f>IFERROR(__xludf.DUMMYFUNCTION("""COMPUTED_VALUE"""),45703.0)</f>
        <v>45703</v>
      </c>
      <c r="N2624" s="59">
        <f>IFERROR(__xludf.DUMMYFUNCTION("""COMPUTED_VALUE"""),45733.0)</f>
        <v>45733</v>
      </c>
      <c r="O2624" s="75"/>
      <c r="P2624" s="34" t="str">
        <f>IFERROR(__xludf.DUMMYFUNCTION("""COMPUTED_VALUE"""),"可")</f>
        <v>可</v>
      </c>
      <c r="Q2624" s="30" t="str">
        <f>IFERROR(__xludf.DUMMYFUNCTION("""COMPUTED_VALUE"""),"他書店でタテヨミ先行の版面版です
")</f>
        <v>他書店でタテヨミ先行の版面版です
</v>
      </c>
      <c r="R2624" s="22"/>
      <c r="S2624" s="75" t="str">
        <f>IFERROR(__xludf.DUMMYFUNCTION("""COMPUTED_VALUE"""),"20241220_ファンギルド_キノドクサマ
")</f>
        <v>20241220_ファンギルド_キノドクサマ
</v>
      </c>
      <c r="T2624" s="22" t="str">
        <f>IFERROR(__xludf.DUMMYFUNCTION("""COMPUTED_VALUE"""),"格納済み")</f>
        <v>格納済み</v>
      </c>
      <c r="U2624" s="15" t="str">
        <f>IFERROR(__xludf.DUMMYFUNCTION("""COMPUTED_VALUE"""),"ⒸHisai Ayumi/JAMTOON/FUNGUILD
")</f>
        <v>ⒸHisai Ayumi/JAMTOON/FUNGUILD
</v>
      </c>
      <c r="V2624" s="8" t="str">
        <f>IFERROR(__xludf.DUMMYFUNCTION("""COMPUTED_VALUE"""),"映画研究サークルに所属する理（さとし）は、撮影旅行のため仲間とともに人里離れた『樹毒村(きのどくむら)』を訪れる。この村にはある【信仰】があった――『キノドク様』と呼ばれる人形に祈れば、どんな願いも叶う――。理が止めるのも聞かず、遊びで祈りを捧げるサークルメンバー。すると、祈るそばから次々と願いが現実になっていく！！金・女・美貌…どんな醜い欲望も叶える『キノドク様』に、メンバーは次第に心身を蝕まれ、ついに【変化】しはじめる！？仲間の異常事態に、理は村人に助けを求めるが――戦慄の因習ホラー開幕！！【「キノド"&amp;"クサマ」の再編集版です。重複購入にご注意ください。】")</f>
        <v>映画研究サークルに所属する理（さとし）は、撮影旅行のため仲間とともに人里離れた『樹毒村(きのどくむら)』を訪れる。この村にはある【信仰】があった――『キノドク様』と呼ばれる人形に祈れば、どんな願いも叶う――。理が止めるのも聞かず、遊びで祈りを捧げるサークルメンバー。すると、祈るそばから次々と願いが現実になっていく！！金・女・美貌…どんな醜い欲望も叶える『キノドク様』に、メンバーは次第に心身を蝕まれ、ついに【変化】しはじめる！？仲間の異常事態に、理は村人に助けを求めるが――戦慄の因習ホラー開幕！！【「キノドクサマ」の再編集版です。重複購入にご注意ください。】</v>
      </c>
      <c r="W2624" s="14"/>
      <c r="X2624" s="14" t="str">
        <f>IFERROR(__xludf.DUMMYFUNCTION("""COMPUTED_VALUE"""),"有")</f>
        <v>有</v>
      </c>
      <c r="Y2624" s="8" t="str">
        <f>IFERROR(__xludf.DUMMYFUNCTION("""COMPUTED_VALUE"""),"2025/2/28まで1～2巻無料")</f>
        <v>2025/2/28まで1～2巻無料</v>
      </c>
      <c r="Z2624" s="7"/>
      <c r="AA2624" s="7"/>
      <c r="AB2624" s="7"/>
    </row>
    <row r="2625" ht="15.75" customHeight="1">
      <c r="A2625" s="26">
        <f>IFERROR(__xludf.DUMMYFUNCTION("""COMPUTED_VALUE"""),4698.0)</f>
        <v>4698</v>
      </c>
      <c r="B2625" s="75" t="str">
        <f>IFERROR(__xludf.DUMMYFUNCTION("""COMPUTED_VALUE"""),"確定")</f>
        <v>確定</v>
      </c>
      <c r="C2625" s="68">
        <f>IFERROR(__xludf.DUMMYFUNCTION("""COMPUTED_VALUE"""),45646.0)</f>
        <v>45646</v>
      </c>
      <c r="D2625" s="68">
        <f>IFERROR(__xludf.DUMMYFUNCTION("""COMPUTED_VALUE"""),45650.0)</f>
        <v>45650</v>
      </c>
      <c r="E2625" s="100">
        <f>IFERROR(__xludf.DUMMYFUNCTION("""COMPUTED_VALUE"""),312389.0)</f>
        <v>312389</v>
      </c>
      <c r="F2625" s="61" t="str">
        <f>IFERROR(__xludf.DUMMYFUNCTION("""COMPUTED_VALUE"""),"バッドファーザー～酒狂い親父に復讐を～")</f>
        <v>バッドファーザー～酒狂い親父に復讐を～</v>
      </c>
      <c r="G2625" s="67">
        <f>IFERROR(__xludf.DUMMYFUNCTION("""COMPUTED_VALUE"""),1.0)</f>
        <v>1</v>
      </c>
      <c r="H2625" s="22" t="str">
        <f>IFERROR(__xludf.DUMMYFUNCTION("""COMPUTED_VALUE"""),"民谷剛
")</f>
        <v>民谷剛
</v>
      </c>
      <c r="I2625" s="75" t="str">
        <f>IFERROR(__xludf.DUMMYFUNCTION("""COMPUTED_VALUE"""),"青年")</f>
        <v>青年</v>
      </c>
      <c r="J2625" s="22"/>
      <c r="K2625" s="22"/>
      <c r="L2625" s="22" t="str">
        <f>IFERROR(__xludf.DUMMYFUNCTION("""COMPUTED_VALUE"""),"ファンギルド
")</f>
        <v>ファンギルド
</v>
      </c>
      <c r="M2625" s="59">
        <f>IFERROR(__xludf.DUMMYFUNCTION("""COMPUTED_VALUE"""),45682.0)</f>
        <v>45682</v>
      </c>
      <c r="N2625" s="59">
        <f>IFERROR(__xludf.DUMMYFUNCTION("""COMPUTED_VALUE"""),45709.0)</f>
        <v>45709</v>
      </c>
      <c r="O2625" s="75"/>
      <c r="P2625" s="34" t="str">
        <f>IFERROR(__xludf.DUMMYFUNCTION("""COMPUTED_VALUE"""),"可")</f>
        <v>可</v>
      </c>
      <c r="Q2625" s="30" t="str">
        <f>IFERROR(__xludf.DUMMYFUNCTION("""COMPUTED_VALUE"""),"「復讐宣言～やられた恨みは100倍返し～」(https://www.cmoa.jp/title/301492/)のアンソロジーの切り出し作品です。&lt;BR&gt;読者様の反応が良ければ連載化も前向きに検討いたしますので、ぜひよろしくお願いいたします！
")</f>
        <v>「復讐宣言～やられた恨みは100倍返し～」(https://www.cmoa.jp/title/301492/)のアンソロジーの切り出し作品です。&lt;BR&gt;読者様の反応が良ければ連載化も前向きに検討いたしますので、ぜひよろしくお願いいたします！
</v>
      </c>
      <c r="R2625" s="22"/>
      <c r="S2625" s="75" t="str">
        <f>IFERROR(__xludf.DUMMYFUNCTION("""COMPUTED_VALUE"""),"20241220_ファンギルド_バッドファーザー～酒狂い親父に復讐を～
")</f>
        <v>20241220_ファンギルド_バッドファーザー～酒狂い親父に復讐を～
</v>
      </c>
      <c r="T2625" s="22" t="str">
        <f>IFERROR(__xludf.DUMMYFUNCTION("""COMPUTED_VALUE"""),"格納済み")</f>
        <v>格納済み</v>
      </c>
      <c r="U2625" s="15" t="str">
        <f>IFERROR(__xludf.DUMMYFUNCTION("""COMPUTED_VALUE"""),"Ⓒ民谷剛/ファンギルド
")</f>
        <v>Ⓒ民谷剛/ファンギルド
</v>
      </c>
      <c r="V2625" s="8" t="str">
        <f>IFERROR(__xludf.DUMMYFUNCTION("""COMPUTED_VALUE"""),"父親のアルコール依存症が原因で多額の借金を抱え、貧しい生活を送る圭太。妹・莉央の学費と父親のグループホーム代を工面するため、若い身ながら毎日懸命に働いていた。そんな中、父親の病状が回復し、家族3人で再び一緒に暮らせるという知らせが届く。明るい未来への希望に胸を膨らませる圭太だったが、その期待は無情にも裏切られる。待ち受けていたのは、圭太が想像もしなかった最悪の結末だった―――。※本作は「復讐宣言～やられた恨みは100倍返し～2巻」に収録されています。重複購入にお気を付けください。")</f>
        <v>父親のアルコール依存症が原因で多額の借金を抱え、貧しい生活を送る圭太。妹・莉央の学費と父親のグループホーム代を工面するため、若い身ながら毎日懸命に働いていた。そんな中、父親の病状が回復し、家族3人で再び一緒に暮らせるという知らせが届く。明るい未来への希望に胸を膨らませる圭太だったが、その期待は無情にも裏切られる。待ち受けていたのは、圭太が想像もしなかった最悪の結末だった―――。※本作は「復讐宣言～やられた恨みは100倍返し～2巻」に収録されています。重複購入にお気を付けください。</v>
      </c>
      <c r="W2625" s="14"/>
      <c r="X2625" s="14" t="str">
        <f>IFERROR(__xludf.DUMMYFUNCTION("""COMPUTED_VALUE"""),"有")</f>
        <v>有</v>
      </c>
      <c r="Y2625" s="8" t="str">
        <f>IFERROR(__xludf.DUMMYFUNCTION("""COMPUTED_VALUE"""),"P5まで")</f>
        <v>P5まで</v>
      </c>
      <c r="Z2625" s="7"/>
      <c r="AA2625" s="7"/>
      <c r="AB2625" s="7"/>
    </row>
    <row r="2626" ht="15.75" customHeight="1">
      <c r="A2626" s="26">
        <f>IFERROR(__xludf.DUMMYFUNCTION("""COMPUTED_VALUE"""),4699.0)</f>
        <v>4699</v>
      </c>
      <c r="B2626" s="75" t="str">
        <f>IFERROR(__xludf.DUMMYFUNCTION("""COMPUTED_VALUE"""),"確定")</f>
        <v>確定</v>
      </c>
      <c r="C2626" s="68">
        <f>IFERROR(__xludf.DUMMYFUNCTION("""COMPUTED_VALUE"""),45646.0)</f>
        <v>45646</v>
      </c>
      <c r="D2626" s="68">
        <f>IFERROR(__xludf.DUMMYFUNCTION("""COMPUTED_VALUE"""),45650.0)</f>
        <v>45650</v>
      </c>
      <c r="E2626" s="100">
        <f>IFERROR(__xludf.DUMMYFUNCTION("""COMPUTED_VALUE"""),312385.0)</f>
        <v>312385</v>
      </c>
      <c r="F2626" s="61" t="str">
        <f>IFERROR(__xludf.DUMMYFUNCTION("""COMPUTED_VALUE"""),"王のΩ～冷酷αはたったひとりの運命を寵愛する～
")</f>
        <v>王のΩ～冷酷αはたったひとりの運命を寵愛する～
</v>
      </c>
      <c r="G2626" s="20" t="str">
        <f>IFERROR(__xludf.DUMMYFUNCTION("""COMPUTED_VALUE"""),"1～2")</f>
        <v>1～2</v>
      </c>
      <c r="H2626" s="22" t="str">
        <f>IFERROR(__xludf.DUMMYFUNCTION("""COMPUTED_VALUE"""),"塩おにんこ/華野宮子
")</f>
        <v>塩おにんこ/華野宮子
</v>
      </c>
      <c r="I2626" s="75" t="str">
        <f>IFERROR(__xludf.DUMMYFUNCTION("""COMPUTED_VALUE"""),"TL")</f>
        <v>TL</v>
      </c>
      <c r="J2626" s="22"/>
      <c r="K2626" s="22" t="str">
        <f>IFERROR(__xludf.DUMMYFUNCTION("""COMPUTED_VALUE"""),"ラブきゅんコミック
")</f>
        <v>ラブきゅんコミック
</v>
      </c>
      <c r="L2626" s="22" t="str">
        <f>IFERROR(__xludf.DUMMYFUNCTION("""COMPUTED_VALUE"""),"モバイルメディアリサーチ
")</f>
        <v>モバイルメディアリサーチ
</v>
      </c>
      <c r="M2626" s="59">
        <f>IFERROR(__xludf.DUMMYFUNCTION("""COMPUTED_VALUE"""),45689.0)</f>
        <v>45689</v>
      </c>
      <c r="N2626" s="59">
        <f>IFERROR(__xludf.DUMMYFUNCTION("""COMPUTED_VALUE"""),45716.0)</f>
        <v>45716</v>
      </c>
      <c r="O2626" s="75"/>
      <c r="P2626" s="32" t="str">
        <f>IFERROR(__xludf.DUMMYFUNCTION("""COMPUTED_VALUE"""),"可")</f>
        <v>可</v>
      </c>
      <c r="Q2626" s="30"/>
      <c r="R2626" s="22"/>
      <c r="S2626" s="75" t="str">
        <f>IFERROR(__xludf.DUMMYFUNCTION("""COMPUTED_VALUE"""),"20241220_ファンギルド_王のΩ～冷酷αはたったひとりの運命を寵愛する～
")</f>
        <v>20241220_ファンギルド_王のΩ～冷酷αはたったひとりの運命を寵愛する～
</v>
      </c>
      <c r="T2626" s="22" t="str">
        <f>IFERROR(__xludf.DUMMYFUNCTION("""COMPUTED_VALUE"""),"格納済み")</f>
        <v>格納済み</v>
      </c>
      <c r="U2626" s="15" t="str">
        <f>IFERROR(__xludf.DUMMYFUNCTION("""COMPUTED_VALUE"""),"Ⓒ塩おにんこ/華野宮子/モバイルメディアリサーチ
")</f>
        <v>Ⓒ塩おにんこ/華野宮子/モバイルメディアリサーチ
</v>
      </c>
      <c r="V2626" s="8" t="str">
        <f>IFERROR(__xludf.DUMMYFUNCTION("""COMPUTED_VALUE"""),"「こんな支配欲を煽る状態で外には出せない…」全身を丁寧に愛撫されて…触れられたところから、気持ち良くて、熱くて、死んじゃいそう――会社員の莉子はある日突然、見たことのない世界に迷い込んでしまう。そこに現れたのは絵に描いたように素敵で男らしい王子様。彼のそばにいるだけでなぜか身体が熱く疼き、これまで体験したことのないような強い発情が。はしたないとわかっていても、自ら彼を求めてしまって…？さらに、発情を抑えるにはアルファの精をナカに注ぎ込まなければいけないと知り――『王のオメガ』とは何なのか。本能と運命が渦巻"&amp;"く、本格異世界オメガバースTL。")</f>
        <v>「こんな支配欲を煽る状態で外には出せない…」全身を丁寧に愛撫されて…触れられたところから、気持ち良くて、熱くて、死んじゃいそう――会社員の莉子はある日突然、見たことのない世界に迷い込んでしまう。そこに現れたのは絵に描いたように素敵で男らしい王子様。彼のそばにいるだけでなぜか身体が熱く疼き、これまで体験したことのないような強い発情が。はしたないとわかっていても、自ら彼を求めてしまって…？さらに、発情を抑えるにはアルファの精をナカに注ぎ込まなければいけないと知り――『王のオメガ』とは何なのか。本能と運命が渦巻く、本格異世界オメガバースTL。</v>
      </c>
      <c r="W2626" s="14"/>
      <c r="X2626" s="14" t="str">
        <f>IFERROR(__xludf.DUMMYFUNCTION("""COMPUTED_VALUE"""),"有")</f>
        <v>有</v>
      </c>
      <c r="Y2626" s="8" t="str">
        <f>IFERROR(__xludf.DUMMYFUNCTION("""COMPUTED_VALUE"""),"2025/2/14まで立ち読み増量P21まで")</f>
        <v>2025/2/14まで立ち読み増量P21まで</v>
      </c>
      <c r="Z2626" s="7"/>
      <c r="AA2626" s="7"/>
      <c r="AB2626" s="7"/>
    </row>
    <row r="2627" ht="15.75" customHeight="1">
      <c r="A2627" s="26">
        <f>IFERROR(__xludf.DUMMYFUNCTION("""COMPUTED_VALUE"""),4700.0)</f>
        <v>4700</v>
      </c>
      <c r="B2627" s="75" t="str">
        <f>IFERROR(__xludf.DUMMYFUNCTION("""COMPUTED_VALUE"""),"確定")</f>
        <v>確定</v>
      </c>
      <c r="C2627" s="68">
        <f>IFERROR(__xludf.DUMMYFUNCTION("""COMPUTED_VALUE"""),45646.0)</f>
        <v>45646</v>
      </c>
      <c r="D2627" s="68">
        <f>IFERROR(__xludf.DUMMYFUNCTION("""COMPUTED_VALUE"""),45650.0)</f>
        <v>45650</v>
      </c>
      <c r="E2627" s="100">
        <f>IFERROR(__xludf.DUMMYFUNCTION("""COMPUTED_VALUE"""),311561.0)</f>
        <v>311561</v>
      </c>
      <c r="F2627" s="61" t="str">
        <f>IFERROR(__xludf.DUMMYFUNCTION("""COMPUTED_VALUE"""),"初音くんの声で甘くイジワルに堕とされて
")</f>
        <v>初音くんの声で甘くイジワルに堕とされて
</v>
      </c>
      <c r="G2627" s="67" t="str">
        <f>IFERROR(__xludf.DUMMYFUNCTION("""COMPUTED_VALUE"""),"1～3")</f>
        <v>1～3</v>
      </c>
      <c r="H2627" s="22" t="str">
        <f>IFERROR(__xludf.DUMMYFUNCTION("""COMPUTED_VALUE"""),"玄野さわ
")</f>
        <v>玄野さわ
</v>
      </c>
      <c r="I2627" s="75" t="str">
        <f>IFERROR(__xludf.DUMMYFUNCTION("""COMPUTED_VALUE"""),"TL")</f>
        <v>TL</v>
      </c>
      <c r="J2627" s="22"/>
      <c r="K2627" s="22" t="str">
        <f>IFERROR(__xludf.DUMMYFUNCTION("""COMPUTED_VALUE"""),"ラブきゅんコミック
")</f>
        <v>ラブきゅんコミック
</v>
      </c>
      <c r="L2627" s="22" t="str">
        <f>IFERROR(__xludf.DUMMYFUNCTION("""COMPUTED_VALUE"""),"モバイルメディアリサーチ
")</f>
        <v>モバイルメディアリサーチ
</v>
      </c>
      <c r="M2627" s="59">
        <f>IFERROR(__xludf.DUMMYFUNCTION("""COMPUTED_VALUE"""),45688.0)</f>
        <v>45688</v>
      </c>
      <c r="N2627" s="59">
        <f>IFERROR(__xludf.DUMMYFUNCTION("""COMPUTED_VALUE"""),45715.0)</f>
        <v>45715</v>
      </c>
      <c r="O2627" s="75"/>
      <c r="P2627" s="32" t="str">
        <f>IFERROR(__xludf.DUMMYFUNCTION("""COMPUTED_VALUE"""),"可")</f>
        <v>可</v>
      </c>
      <c r="Q2627" s="30"/>
      <c r="R2627" s="22"/>
      <c r="S2627" s="75" t="str">
        <f>IFERROR(__xludf.DUMMYFUNCTION("""COMPUTED_VALUE"""),"20241220_ファンギルド_初音くんの声で甘くイジワルに堕とされて
")</f>
        <v>20241220_ファンギルド_初音くんの声で甘くイジワルに堕とされて
</v>
      </c>
      <c r="T2627" s="22" t="str">
        <f>IFERROR(__xludf.DUMMYFUNCTION("""COMPUTED_VALUE"""),"格納済み")</f>
        <v>格納済み</v>
      </c>
      <c r="U2627" s="15" t="str">
        <f>IFERROR(__xludf.DUMMYFUNCTION("""COMPUTED_VALUE"""),"Ⓒ玄野さわ/モバイルメディアリサーチ
")</f>
        <v>Ⓒ玄野さわ/モバイルメディアリサーチ
</v>
      </c>
      <c r="V2627" s="8" t="str">
        <f>IFERROR(__xludf.DUMMYFUNCTION("""COMPUTED_VALUE"""),"真面目で仕事熱心なOL・紬（つむぎ）には、誰にも言えない秘密がある。それは、仲良しの同期・初音（はつね）の声を聞くだけで、下着がびしょ濡れになるほどの“声フェチ”だということ。本人にバレたら絶対引かれちゃうと、話しかけられる度にドキドキしていた。ところがある晩、初音に「俺の声、好きだよな？」と迫られ…唇を奪われてしまう。さらに耳元で「この声でエロいセリフ、聞いてみたくない？」と囁かれ…！？ どうしよう、こんなの断れない…トロトロなのがバレちゃう――。")</f>
        <v>真面目で仕事熱心なOL・紬（つむぎ）には、誰にも言えない秘密がある。それは、仲良しの同期・初音（はつね）の声を聞くだけで、下着がびしょ濡れになるほどの“声フェチ”だということ。本人にバレたら絶対引かれちゃうと、話しかけられる度にドキドキしていた。ところがある晩、初音に「俺の声、好きだよな？」と迫られ…唇を奪われてしまう。さらに耳元で「この声でエロいセリフ、聞いてみたくない？」と囁かれ…！？ どうしよう、こんなの断れない…トロトロなのがバレちゃう――。</v>
      </c>
      <c r="W2627" s="14"/>
      <c r="X2627" s="14" t="str">
        <f>IFERROR(__xludf.DUMMYFUNCTION("""COMPUTED_VALUE"""),"有")</f>
        <v>有</v>
      </c>
      <c r="Y2627" s="8" t="str">
        <f>IFERROR(__xludf.DUMMYFUNCTION("""COMPUTED_VALUE"""),"2025/2/13まで1巻無料")</f>
        <v>2025/2/13まで1巻無料</v>
      </c>
      <c r="Z2627" s="7"/>
      <c r="AA2627" s="7"/>
      <c r="AB2627" s="7"/>
    </row>
    <row r="2628" ht="15.75" customHeight="1">
      <c r="A2628" s="26">
        <f>IFERROR(__xludf.DUMMYFUNCTION("""COMPUTED_VALUE"""),4701.0)</f>
        <v>4701</v>
      </c>
      <c r="B2628" s="75" t="str">
        <f>IFERROR(__xludf.DUMMYFUNCTION("""COMPUTED_VALUE"""),"確定")</f>
        <v>確定</v>
      </c>
      <c r="C2628" s="68">
        <f>IFERROR(__xludf.DUMMYFUNCTION("""COMPUTED_VALUE"""),45646.0)</f>
        <v>45646</v>
      </c>
      <c r="D2628" s="68">
        <f>IFERROR(__xludf.DUMMYFUNCTION("""COMPUTED_VALUE"""),45650.0)</f>
        <v>45650</v>
      </c>
      <c r="E2628" s="100">
        <f>IFERROR(__xludf.DUMMYFUNCTION("""COMPUTED_VALUE"""),312381.0)</f>
        <v>312381</v>
      </c>
      <c r="F2628" s="61" t="str">
        <f>IFERROR(__xludf.DUMMYFUNCTION("""COMPUTED_VALUE"""),"笑う復讐鬼〜サイコパスの抹殺、引き受けます〜
")</f>
        <v>笑う復讐鬼〜サイコパスの抹殺、引き受けます〜
</v>
      </c>
      <c r="G2628" s="67" t="str">
        <f>IFERROR(__xludf.DUMMYFUNCTION("""COMPUTED_VALUE"""),"1～3")</f>
        <v>1～3</v>
      </c>
      <c r="H2628" s="22" t="str">
        <f>IFERROR(__xludf.DUMMYFUNCTION("""COMPUTED_VALUE"""),"オオヒラ航多
")</f>
        <v>オオヒラ航多
</v>
      </c>
      <c r="I2628" s="75" t="str">
        <f>IFERROR(__xludf.DUMMYFUNCTION("""COMPUTED_VALUE"""),"青年")</f>
        <v>青年</v>
      </c>
      <c r="J2628" s="22"/>
      <c r="K2628" s="22"/>
      <c r="L2628" s="22" t="str">
        <f>IFERROR(__xludf.DUMMYFUNCTION("""COMPUTED_VALUE"""),"ファンギルド
")</f>
        <v>ファンギルド
</v>
      </c>
      <c r="M2628" s="59">
        <f>IFERROR(__xludf.DUMMYFUNCTION("""COMPUTED_VALUE"""),45689.0)</f>
        <v>45689</v>
      </c>
      <c r="N2628" s="59">
        <f>IFERROR(__xludf.DUMMYFUNCTION("""COMPUTED_VALUE"""),45786.66666666667)</f>
        <v>45786.66667</v>
      </c>
      <c r="O2628" s="75"/>
      <c r="P2628" s="34" t="str">
        <f>IFERROR(__xludf.DUMMYFUNCTION("""COMPUTED_VALUE"""),"可")</f>
        <v>可</v>
      </c>
      <c r="Q2628" s="30" t="str">
        <f>IFERROR(__xludf.DUMMYFUNCTION("""COMPUTED_VALUE"""),"「復讐宣言～やられた恨みは100倍返し～」(https://www.cmoa.jp/title/301492/)のアンソロジーの切り出し作品です。&lt;BR&gt;読者様の反応が良ければ連載化も前向きに検討いたしますので、ぜひよろしくお願いいたします！&lt;BR&gt;⇒3巻目の31ページ目までが読み切り分となります。&lt;BR&gt;　3巻目32ページ以降は使用不可でお願いします
")</f>
        <v>「復讐宣言～やられた恨みは100倍返し～」(https://www.cmoa.jp/title/301492/)のアンソロジーの切り出し作品です。&lt;BR&gt;読者様の反応が良ければ連載化も前向きに検討いたしますので、ぜひよろしくお願いいたします！&lt;BR&gt;⇒3巻目の31ページ目までが読み切り分となります。&lt;BR&gt;　3巻目32ページ以降は使用不可でお願いします
</v>
      </c>
      <c r="R2628" s="22"/>
      <c r="S2628" s="75" t="str">
        <f>IFERROR(__xludf.DUMMYFUNCTION("""COMPUTED_VALUE"""),"20241220_ファンギルド_笑う復讐鬼〜サイコパスの抹殺、引き受けます〜
")</f>
        <v>20241220_ファンギルド_笑う復讐鬼〜サイコパスの抹殺、引き受けます〜
</v>
      </c>
      <c r="T2628" s="22" t="str">
        <f>IFERROR(__xludf.DUMMYFUNCTION("""COMPUTED_VALUE"""),"格納済み")</f>
        <v>格納済み</v>
      </c>
      <c r="U2628" s="15" t="str">
        <f>IFERROR(__xludf.DUMMYFUNCTION("""COMPUTED_VALUE"""),"Ⓒオオヒラ航多/ファンギルド
")</f>
        <v>Ⓒオオヒラ航多/ファンギルド
</v>
      </c>
      <c r="V2628" s="8" t="str">
        <f>IFERROR(__xludf.DUMMYFUNCTION("""COMPUTED_VALUE"""),"法で裁き切れなかった猟奇的犯罪者への復讐劇、いざ開幕！！売れないお笑い芸人、茨木（いばらき）と阿久良（あくら）。彼らには、もう一つの顔がある。それは、復讐代行人としてサイコパスの抹殺をしていること。理不尽な理由で大切な人を奪われた依頼人たちの恨みを晴らすべく、2人は最高の復讐ネタを作り上げる。依頼人たちはまた心から笑える日がくるのか!?")</f>
        <v>法で裁き切れなかった猟奇的犯罪者への復讐劇、いざ開幕！！売れないお笑い芸人、茨木（いばらき）と阿久良（あくら）。彼らには、もう一つの顔がある。それは、復讐代行人としてサイコパスの抹殺をしていること。理不尽な理由で大切な人を奪われた依頼人たちの恨みを晴らすべく、2人は最高の復讐ネタを作り上げる。依頼人たちはまた心から笑える日がくるのか!?</v>
      </c>
      <c r="W2628" s="14"/>
      <c r="X2628" s="14" t="str">
        <f>IFERROR(__xludf.DUMMYFUNCTION("""COMPUTED_VALUE"""),"有")</f>
        <v>有</v>
      </c>
      <c r="Y2628" s="8" t="str">
        <f>IFERROR(__xludf.DUMMYFUNCTION("""COMPUTED_VALUE"""),"2025/2/14まで1巻無料")</f>
        <v>2025/2/14まで1巻無料</v>
      </c>
      <c r="Z2628" s="7"/>
      <c r="AA2628" s="7"/>
      <c r="AB2628" s="7"/>
    </row>
    <row r="2629" ht="15.75" customHeight="1">
      <c r="A2629" s="26">
        <f>IFERROR(__xludf.DUMMYFUNCTION("""COMPUTED_VALUE"""),4702.0)</f>
        <v>4702</v>
      </c>
      <c r="B2629" s="75" t="str">
        <f>IFERROR(__xludf.DUMMYFUNCTION("""COMPUTED_VALUE"""),"確定")</f>
        <v>確定</v>
      </c>
      <c r="C2629" s="68">
        <f>IFERROR(__xludf.DUMMYFUNCTION("""COMPUTED_VALUE"""),45646.0)</f>
        <v>45646</v>
      </c>
      <c r="D2629" s="68">
        <f>IFERROR(__xludf.DUMMYFUNCTION("""COMPUTED_VALUE"""),45650.0)</f>
        <v>45650</v>
      </c>
      <c r="E2629" s="100">
        <f>IFERROR(__xludf.DUMMYFUNCTION("""COMPUTED_VALUE"""),313473.0)</f>
        <v>313473</v>
      </c>
      <c r="F2629" s="61" t="str">
        <f>IFERROR(__xludf.DUMMYFUNCTION("""COMPUTED_VALUE"""),"推しのためなら死ねる【ページ版】
")</f>
        <v>推しのためなら死ねる【ページ版】
</v>
      </c>
      <c r="G2629" s="67" t="str">
        <f>IFERROR(__xludf.DUMMYFUNCTION("""COMPUTED_VALUE"""),"1～5")</f>
        <v>1～5</v>
      </c>
      <c r="H2629" s="22" t="str">
        <f>IFERROR(__xludf.DUMMYFUNCTION("""COMPUTED_VALUE"""),"株式会社favary/四軒隣/Stella
")</f>
        <v>株式会社favary/四軒隣/Stella
</v>
      </c>
      <c r="I2629" s="75" t="str">
        <f>IFERROR(__xludf.DUMMYFUNCTION("""COMPUTED_VALUE"""),"女性")</f>
        <v>女性</v>
      </c>
      <c r="J2629" s="22"/>
      <c r="K2629" s="22"/>
      <c r="L2629" s="22" t="str">
        <f>IFERROR(__xludf.DUMMYFUNCTION("""COMPUTED_VALUE"""),"ファンギルド
")</f>
        <v>ファンギルド
</v>
      </c>
      <c r="M2629" s="59">
        <f>IFERROR(__xludf.DUMMYFUNCTION("""COMPUTED_VALUE"""),45694.0)</f>
        <v>45694</v>
      </c>
      <c r="N2629" s="59">
        <f>IFERROR(__xludf.DUMMYFUNCTION("""COMPUTED_VALUE"""),45721.0)</f>
        <v>45721</v>
      </c>
      <c r="O2629" s="75"/>
      <c r="P2629" s="34" t="str">
        <f>IFERROR(__xludf.DUMMYFUNCTION("""COMPUTED_VALUE"""),"可")</f>
        <v>可</v>
      </c>
      <c r="Q2629" s="30" t="str">
        <f>IFERROR(__xludf.DUMMYFUNCTION("""COMPUTED_VALUE"""),"1～4巻分でバナー制作お願いします。
")</f>
        <v>1～4巻分でバナー制作お願いします。
</v>
      </c>
      <c r="R2629" s="22"/>
      <c r="S2629" s="75" t="str">
        <f>IFERROR(__xludf.DUMMYFUNCTION("""COMPUTED_VALUE"""),"20241220_ファンギルド_推しのためなら死ねる
")</f>
        <v>20241220_ファンギルド_推しのためなら死ねる
</v>
      </c>
      <c r="T2629" s="22" t="str">
        <f>IFERROR(__xludf.DUMMYFUNCTION("""COMPUTED_VALUE"""),"格納済み")</f>
        <v>格納済み</v>
      </c>
      <c r="U2629" s="15" t="str">
        <f>IFERROR(__xludf.DUMMYFUNCTION("""COMPUTED_VALUE"""),"Ⓒfavary Inc/YonkenTonari/Stella/JAMTOON/FUNGUILD
")</f>
        <v>Ⓒfavary Inc/YonkenTonari/Stella/JAMTOON/FUNGUILD
</v>
      </c>
      <c r="V2629" s="8" t="str">
        <f>IFERROR(__xludf.DUMMYFUNCTION("""COMPUTED_VALUE"""),"「私だけが、蒼くんをスターにできる…この【能力】があれば――！」OLの智佐の『推し』は、若手俳優の仁木 蒼。限られた給料の中からチケットやグッズを買い、ささやかに彼を応援する平凡な日々を楽しんでいた。そんなある日、偶然街中で蒼と遭遇した智佐。ふらふらと車道に出た彼をとっさにかばおうとするが、蒼もろとも大型トラックに轢かれてしまう！！――次の瞬間、気づくと智佐は街の雑踏に立っていた。時刻は、蒼に遭遇する直前…「私、死んだはずなのに…時間が巻き戻ってる！？」突然目覚めた能力で蒼の命を救った智佐は、この力を使っ"&amp;"て彼をスターダムにのし上がらせる、禁断の【推し活】に溺れていく――！！")</f>
        <v>「私だけが、蒼くんをスターにできる…この【能力】があれば――！」OLの智佐の『推し』は、若手俳優の仁木 蒼。限られた給料の中からチケットやグッズを買い、ささやかに彼を応援する平凡な日々を楽しんでいた。そんなある日、偶然街中で蒼と遭遇した智佐。ふらふらと車道に出た彼をとっさにかばおうとするが、蒼もろとも大型トラックに轢かれてしまう！！――次の瞬間、気づくと智佐は街の雑踏に立っていた。時刻は、蒼に遭遇する直前…「私、死んだはずなのに…時間が巻き戻ってる！？」突然目覚めた能力で蒼の命を救った智佐は、この力を使って彼をスターダムにのし上がらせる、禁断の【推し活】に溺れていく――！！</v>
      </c>
      <c r="W2629" s="14"/>
      <c r="X2629" s="14" t="str">
        <f>IFERROR(__xludf.DUMMYFUNCTION("""COMPUTED_VALUE"""),"有")</f>
        <v>有</v>
      </c>
      <c r="Y2629" s="8" t="str">
        <f>IFERROR(__xludf.DUMMYFUNCTION("""COMPUTED_VALUE"""),"2025/2/19まで1巻無料")</f>
        <v>2025/2/19まで1巻無料</v>
      </c>
      <c r="Z2629" s="7"/>
      <c r="AA2629" s="7"/>
      <c r="AB2629" s="7"/>
    </row>
    <row r="2630" ht="15.75" customHeight="1">
      <c r="A2630" s="26">
        <f>IFERROR(__xludf.DUMMYFUNCTION("""COMPUTED_VALUE"""),4703.0)</f>
        <v>4703</v>
      </c>
      <c r="B2630" s="75" t="str">
        <f>IFERROR(__xludf.DUMMYFUNCTION("""COMPUTED_VALUE"""),"確定")</f>
        <v>確定</v>
      </c>
      <c r="C2630" s="68">
        <f>IFERROR(__xludf.DUMMYFUNCTION("""COMPUTED_VALUE"""),45646.0)</f>
        <v>45646</v>
      </c>
      <c r="D2630" s="68">
        <f>IFERROR(__xludf.DUMMYFUNCTION("""COMPUTED_VALUE"""),45650.0)</f>
        <v>45650</v>
      </c>
      <c r="E2630" s="100">
        <f>IFERROR(__xludf.DUMMYFUNCTION("""COMPUTED_VALUE"""),312387.0)</f>
        <v>312387</v>
      </c>
      <c r="F2630" s="61" t="str">
        <f>IFERROR(__xludf.DUMMYFUNCTION("""COMPUTED_VALUE"""),"先輩の身体を「俺」とのSEXで上書きします。
")</f>
        <v>先輩の身体を「俺」とのSEXで上書きします。
</v>
      </c>
      <c r="G2630" s="67" t="str">
        <f>IFERROR(__xludf.DUMMYFUNCTION("""COMPUTED_VALUE"""),"1～3")</f>
        <v>1～3</v>
      </c>
      <c r="H2630" s="22" t="str">
        <f>IFERROR(__xludf.DUMMYFUNCTION("""COMPUTED_VALUE"""),"しばさき南月/七原みさ
")</f>
        <v>しばさき南月/七原みさ
</v>
      </c>
      <c r="I2630" s="75" t="str">
        <f>IFERROR(__xludf.DUMMYFUNCTION("""COMPUTED_VALUE"""),"TL")</f>
        <v>TL</v>
      </c>
      <c r="J2630" s="22"/>
      <c r="K2630" s="22" t="str">
        <f>IFERROR(__xludf.DUMMYFUNCTION("""COMPUTED_VALUE"""),"ラブきゅんコミック
")</f>
        <v>ラブきゅんコミック
</v>
      </c>
      <c r="L2630" s="22" t="str">
        <f>IFERROR(__xludf.DUMMYFUNCTION("""COMPUTED_VALUE"""),"モバイルメディアリサーチ
")</f>
        <v>モバイルメディアリサーチ
</v>
      </c>
      <c r="M2630" s="59">
        <f>IFERROR(__xludf.DUMMYFUNCTION("""COMPUTED_VALUE"""),45696.0)</f>
        <v>45696</v>
      </c>
      <c r="N2630" s="59">
        <f>IFERROR(__xludf.DUMMYFUNCTION("""COMPUTED_VALUE"""),45723.0)</f>
        <v>45723</v>
      </c>
      <c r="O2630" s="75"/>
      <c r="P2630" s="34" t="str">
        <f>IFERROR(__xludf.DUMMYFUNCTION("""COMPUTED_VALUE"""),"可")</f>
        <v>可</v>
      </c>
      <c r="Q2630" s="30" t="str">
        <f>IFERROR(__xludf.DUMMYFUNCTION("""COMPUTED_VALUE"""),"1～2巻分でバナー制作お願いします。
")</f>
        <v>1～2巻分でバナー制作お願いします。
</v>
      </c>
      <c r="R2630" s="22"/>
      <c r="S2630" s="75" t="str">
        <f>IFERROR(__xludf.DUMMYFUNCTION("""COMPUTED_VALUE"""),"20241220_ファンギルド_先輩の身体を俺とのSEXで上書きします。
")</f>
        <v>20241220_ファンギルド_先輩の身体を俺とのSEXで上書きします。
</v>
      </c>
      <c r="T2630" s="22" t="str">
        <f>IFERROR(__xludf.DUMMYFUNCTION("""COMPUTED_VALUE"""),"格納済み")</f>
        <v>格納済み</v>
      </c>
      <c r="U2630" s="15" t="str">
        <f>IFERROR(__xludf.DUMMYFUNCTION("""COMPUTED_VALUE"""),"Ⓒしばさき南月/七原みさ/モバイルメディアリサーチ
")</f>
        <v>Ⓒしばさき南月/七原みさ/モバイルメディアリサーチ
</v>
      </c>
      <c r="V2630" s="8" t="str">
        <f>IFERROR(__xludf.DUMMYFUNCTION("""COMPUTED_VALUE"""),"「俺が“優秀な後輩”だからって油断した？──それを狙ってたけど」会社で毎度突っかかる生意気後輩と一線を越えるなんて…っ会社員の結衣子（ゆいこ）は30歳の誕生日を彼氏と過ごすはずが、浮気が発覚してしまう…自暴自棄で性感マッサージを予約するが、家に来たのは同じ会社の後輩、阿久津（あくつ）だった!?「気持ちよくなって彼氏を忘れましょう」いきなりキスで舌を絡みながら、身体を触れ始めてきた。「先輩の身体、上書きして俺に覚え込ませます」愛されてると勘違いするほど丁寧に指と舌でナカをほぐし、逃がさないよう奥まで突き上げ"&amp;"る…！阿久津が何を考えているか分からないけれど、結衣子は熱い視線で阿久津を追ってしまう…")</f>
        <v>「俺が“優秀な後輩”だからって油断した？──それを狙ってたけど」会社で毎度突っかかる生意気後輩と一線を越えるなんて…っ会社員の結衣子（ゆいこ）は30歳の誕生日を彼氏と過ごすはずが、浮気が発覚してしまう…自暴自棄で性感マッサージを予約するが、家に来たのは同じ会社の後輩、阿久津（あくつ）だった!?「気持ちよくなって彼氏を忘れましょう」いきなりキスで舌を絡みながら、身体を触れ始めてきた。「先輩の身体、上書きして俺に覚え込ませます」愛されてると勘違いするほど丁寧に指と舌でナカをほぐし、逃がさないよう奥まで突き上げる…！阿久津が何を考えているか分からないけれど、結衣子は熱い視線で阿久津を追ってしまう…</v>
      </c>
      <c r="W2630" s="14"/>
      <c r="X2630" s="14" t="str">
        <f>IFERROR(__xludf.DUMMYFUNCTION("""COMPUTED_VALUE"""),"有")</f>
        <v>有</v>
      </c>
      <c r="Y2630" s="8" t="str">
        <f>IFERROR(__xludf.DUMMYFUNCTION("""COMPUTED_VALUE"""),"2025/2/21まで1巻無料")</f>
        <v>2025/2/21まで1巻無料</v>
      </c>
      <c r="Z2630" s="7"/>
      <c r="AA2630" s="7"/>
      <c r="AB2630" s="7"/>
    </row>
    <row r="2631" ht="15.75" customHeight="1">
      <c r="A2631" s="26">
        <f>IFERROR(__xludf.DUMMYFUNCTION("""COMPUTED_VALUE"""),4704.0)</f>
        <v>4704</v>
      </c>
      <c r="B2631" s="75" t="str">
        <f>IFERROR(__xludf.DUMMYFUNCTION("""COMPUTED_VALUE"""),"確定")</f>
        <v>確定</v>
      </c>
      <c r="C2631" s="68">
        <f>IFERROR(__xludf.DUMMYFUNCTION("""COMPUTED_VALUE"""),45646.0)</f>
        <v>45646</v>
      </c>
      <c r="D2631" s="68">
        <f>IFERROR(__xludf.DUMMYFUNCTION("""COMPUTED_VALUE"""),45650.0)</f>
        <v>45650</v>
      </c>
      <c r="E2631" s="100">
        <f>IFERROR(__xludf.DUMMYFUNCTION("""COMPUTED_VALUE"""),312390.0)</f>
        <v>312390</v>
      </c>
      <c r="F2631" s="61" t="str">
        <f>IFERROR(__xludf.DUMMYFUNCTION("""COMPUTED_VALUE"""),"殿下は今日も真実の愛を見つけたらしいですね（笑）
")</f>
        <v>殿下は今日も真実の愛を見つけたらしいですね（笑）
</v>
      </c>
      <c r="G2631" s="67">
        <f>IFERROR(__xludf.DUMMYFUNCTION("""COMPUTED_VALUE"""),1.0)</f>
        <v>1</v>
      </c>
      <c r="H2631" s="22" t="str">
        <f>IFERROR(__xludf.DUMMYFUNCTION("""COMPUTED_VALUE"""),"福田深/黒須夜雨子
")</f>
        <v>福田深/黒須夜雨子
</v>
      </c>
      <c r="I2631" s="22" t="str">
        <f>IFERROR(__xludf.DUMMYFUNCTION("""COMPUTED_VALUE"""),"少女")</f>
        <v>少女</v>
      </c>
      <c r="J2631" s="22"/>
      <c r="K2631" s="22" t="str">
        <f>IFERROR(__xludf.DUMMYFUNCTION("""COMPUTED_VALUE"""),"comicスピラ
")</f>
        <v>comicスピラ
</v>
      </c>
      <c r="L2631" s="22" t="str">
        <f>IFERROR(__xludf.DUMMYFUNCTION("""COMPUTED_VALUE"""),"ファンギルド
")</f>
        <v>ファンギルド
</v>
      </c>
      <c r="M2631" s="59">
        <f>IFERROR(__xludf.DUMMYFUNCTION("""COMPUTED_VALUE"""),45708.0)</f>
        <v>45708</v>
      </c>
      <c r="N2631" s="59">
        <f>IFERROR(__xludf.DUMMYFUNCTION("""COMPUTED_VALUE"""),45735.0)</f>
        <v>45735</v>
      </c>
      <c r="O2631" s="75"/>
      <c r="P2631" s="32" t="str">
        <f>IFERROR(__xludf.DUMMYFUNCTION("""COMPUTED_VALUE"""),"可")</f>
        <v>可</v>
      </c>
      <c r="Q2631" s="30"/>
      <c r="R2631" s="22"/>
      <c r="S2631" s="75" t="str">
        <f>IFERROR(__xludf.DUMMYFUNCTION("""COMPUTED_VALUE"""),"20241220_ファンギルド_殿下は今日も真実の愛を見つけたらしいですね（笑）
")</f>
        <v>20241220_ファンギルド_殿下は今日も真実の愛を見つけたらしいですね（笑）
</v>
      </c>
      <c r="T2631" s="22" t="str">
        <f>IFERROR(__xludf.DUMMYFUNCTION("""COMPUTED_VALUE"""),"格納済み")</f>
        <v>格納済み</v>
      </c>
      <c r="U2631" s="15" t="str">
        <f>IFERROR(__xludf.DUMMYFUNCTION("""COMPUTED_VALUE"""),"Ⓒ福田深/黒須夜雨子/ファンギルド
")</f>
        <v>Ⓒ福田深/黒須夜雨子/ファンギルド
</v>
      </c>
      <c r="V2631" s="8" t="str">
        <f>IFERROR(__xludf.DUMMYFUNCTION("""COMPUTED_VALUE"""),"愛人は二人まで、婚約時の契約書にはそう明記したはず―…。侯爵令嬢のアリーチェは、婚約者である第三王子のオルランドの女たらしの性格に嫌気がさし、行動を改めるよう話し合いの場を設けた。しかし、オルランドから飛び出した言葉は、到底信じられないもので―…？※この作品は『華麗にざまぁして、幸せを掴み取ってみせますわ！異世界アンソロジーコミック 1巻』に収録されている作品と同一の内容を単話版として再編集したものとなります。")</f>
        <v>愛人は二人まで、婚約時の契約書にはそう明記したはず―…。侯爵令嬢のアリーチェは、婚約者である第三王子のオルランドの女たらしの性格に嫌気がさし、行動を改めるよう話し合いの場を設けた。しかし、オルランドから飛び出した言葉は、到底信じられないもので―…？※この作品は『華麗にざまぁして、幸せを掴み取ってみせますわ！異世界アンソロジーコミック 1巻』に収録されている作品と同一の内容を単話版として再編集したものとなります。</v>
      </c>
      <c r="W2631" s="14"/>
      <c r="X2631" s="14" t="str">
        <f>IFERROR(__xludf.DUMMYFUNCTION("""COMPUTED_VALUE"""),"有")</f>
        <v>有</v>
      </c>
      <c r="Y2631" s="8" t="str">
        <f>IFERROR(__xludf.DUMMYFUNCTION("""COMPUTED_VALUE"""),"P7まで")</f>
        <v>P7まで</v>
      </c>
      <c r="Z2631" s="7"/>
      <c r="AA2631" s="7"/>
      <c r="AB2631" s="7"/>
    </row>
    <row r="2632" ht="15.75" customHeight="1">
      <c r="A2632" s="26">
        <f>IFERROR(__xludf.DUMMYFUNCTION("""COMPUTED_VALUE"""),4705.0)</f>
        <v>4705</v>
      </c>
      <c r="B2632" s="75" t="str">
        <f>IFERROR(__xludf.DUMMYFUNCTION("""COMPUTED_VALUE"""),"確定")</f>
        <v>確定</v>
      </c>
      <c r="C2632" s="68">
        <f>IFERROR(__xludf.DUMMYFUNCTION("""COMPUTED_VALUE"""),45646.0)</f>
        <v>45646</v>
      </c>
      <c r="D2632" s="68">
        <f>IFERROR(__xludf.DUMMYFUNCTION("""COMPUTED_VALUE"""),45650.0)</f>
        <v>45650</v>
      </c>
      <c r="E2632" s="100">
        <f>IFERROR(__xludf.DUMMYFUNCTION("""COMPUTED_VALUE"""),312391.0)</f>
        <v>312391</v>
      </c>
      <c r="F2632" s="61" t="str">
        <f>IFERROR(__xludf.DUMMYFUNCTION("""COMPUTED_VALUE"""),"毒姑へ極刑を～娘を亡くした母の裁き～")</f>
        <v>毒姑へ極刑を～娘を亡くした母の裁き～</v>
      </c>
      <c r="G2632" s="67">
        <f>IFERROR(__xludf.DUMMYFUNCTION("""COMPUTED_VALUE"""),1.0)</f>
        <v>1</v>
      </c>
      <c r="H2632" s="22" t="str">
        <f>IFERROR(__xludf.DUMMYFUNCTION("""COMPUTED_VALUE"""),"高井唯人
")</f>
        <v>高井唯人
</v>
      </c>
      <c r="I2632" s="75" t="str">
        <f>IFERROR(__xludf.DUMMYFUNCTION("""COMPUTED_VALUE"""),"青年")</f>
        <v>青年</v>
      </c>
      <c r="J2632" s="22"/>
      <c r="K2632" s="22"/>
      <c r="L2632" s="22" t="str">
        <f>IFERROR(__xludf.DUMMYFUNCTION("""COMPUTED_VALUE"""),"ファンギルド
")</f>
        <v>ファンギルド
</v>
      </c>
      <c r="M2632" s="59">
        <f>IFERROR(__xludf.DUMMYFUNCTION("""COMPUTED_VALUE"""),45682.0)</f>
        <v>45682</v>
      </c>
      <c r="N2632" s="59">
        <f>IFERROR(__xludf.DUMMYFUNCTION("""COMPUTED_VALUE"""),45772.66666666667)</f>
        <v>45772.66667</v>
      </c>
      <c r="O2632" s="75"/>
      <c r="P2632" s="32" t="str">
        <f>IFERROR(__xludf.DUMMYFUNCTION("""COMPUTED_VALUE"""),"可")</f>
        <v>可</v>
      </c>
      <c r="Q2632" s="30"/>
      <c r="R2632" s="22"/>
      <c r="S2632" s="75" t="str">
        <f>IFERROR(__xludf.DUMMYFUNCTION("""COMPUTED_VALUE"""),"20241220_ファンギルド_毒姑へ極刑を～娘を亡くした母の裁き～
")</f>
        <v>20241220_ファンギルド_毒姑へ極刑を～娘を亡くした母の裁き～
</v>
      </c>
      <c r="T2632" s="22" t="str">
        <f>IFERROR(__xludf.DUMMYFUNCTION("""COMPUTED_VALUE"""),"格納済み")</f>
        <v>格納済み</v>
      </c>
      <c r="U2632" s="15" t="str">
        <f>IFERROR(__xludf.DUMMYFUNCTION("""COMPUTED_VALUE"""),"Ⓒ高井唯人/ファンギルド
")</f>
        <v>Ⓒ高井唯人/ファンギルド
</v>
      </c>
      <c r="V2632" s="8" t="str">
        <f>IFERROR(__xludf.DUMMYFUNCTION("""COMPUTED_VALUE"""),"娘のすずを何よりも大切に思い、育児は大変だが幸せな日々を送っていた響子。しかし、その幸福は同居する姑の存在によって絶望のどん底に落とされる。姑は「躾」と称し、すずに厳しい指導を繰り返すが、その指導は虐待と呼ぶほかないほどの過酷さに変わっていった。さらに、姑がすずを虐待する裏には、誰も想像し得ない驚くべき理由が隠されていて……？※本作は「復讐宣言～やられた恨みは100倍返し～2巻」に収録されています。重複購入にお気を付けください。")</f>
        <v>娘のすずを何よりも大切に思い、育児は大変だが幸せな日々を送っていた響子。しかし、その幸福は同居する姑の存在によって絶望のどん底に落とされる。姑は「躾」と称し、すずに厳しい指導を繰り返すが、その指導は虐待と呼ぶほかないほどの過酷さに変わっていった。さらに、姑がすずを虐待する裏には、誰も想像し得ない驚くべき理由が隠されていて……？※本作は「復讐宣言～やられた恨みは100倍返し～2巻」に収録されています。重複購入にお気を付けください。</v>
      </c>
      <c r="W2632" s="14"/>
      <c r="X2632" s="14" t="str">
        <f>IFERROR(__xludf.DUMMYFUNCTION("""COMPUTED_VALUE"""),"有")</f>
        <v>有</v>
      </c>
      <c r="Y2632" s="8" t="str">
        <f>IFERROR(__xludf.DUMMYFUNCTION("""COMPUTED_VALUE"""),"P3まで")</f>
        <v>P3まで</v>
      </c>
      <c r="Z2632" s="7"/>
      <c r="AA2632" s="7"/>
      <c r="AB2632" s="7"/>
    </row>
    <row r="2633" ht="15.75" customHeight="1">
      <c r="A2633" s="26">
        <f>IFERROR(__xludf.DUMMYFUNCTION("""COMPUTED_VALUE"""),4706.0)</f>
        <v>4706</v>
      </c>
      <c r="B2633" s="75" t="str">
        <f>IFERROR(__xludf.DUMMYFUNCTION("""COMPUTED_VALUE"""),"確定")</f>
        <v>確定</v>
      </c>
      <c r="C2633" s="68">
        <f>IFERROR(__xludf.DUMMYFUNCTION("""COMPUTED_VALUE"""),45646.0)</f>
        <v>45646</v>
      </c>
      <c r="D2633" s="68">
        <f>IFERROR(__xludf.DUMMYFUNCTION("""COMPUTED_VALUE"""),45650.0)</f>
        <v>45650</v>
      </c>
      <c r="E2633" s="26">
        <f>IFERROR(__xludf.DUMMYFUNCTION("""COMPUTED_VALUE"""),312388.0)</f>
        <v>312388</v>
      </c>
      <c r="F2633" s="22" t="str">
        <f>IFERROR(__xludf.DUMMYFUNCTION("""COMPUTED_VALUE"""),"彼女より好きって言って。")</f>
        <v>彼女より好きって言って。</v>
      </c>
      <c r="G2633" s="67" t="str">
        <f>IFERROR(__xludf.DUMMYFUNCTION("""COMPUTED_VALUE"""),"1～3")</f>
        <v>1～3</v>
      </c>
      <c r="H2633" s="22" t="str">
        <f>IFERROR(__xludf.DUMMYFUNCTION("""COMPUTED_VALUE"""),"あめみくろ
")</f>
        <v>あめみくろ
</v>
      </c>
      <c r="I2633" s="75" t="str">
        <f>IFERROR(__xludf.DUMMYFUNCTION("""COMPUTED_VALUE"""),"青年")</f>
        <v>青年</v>
      </c>
      <c r="J2633" s="22"/>
      <c r="K2633" s="22"/>
      <c r="L2633" s="22" t="str">
        <f>IFERROR(__xludf.DUMMYFUNCTION("""COMPUTED_VALUE"""),"Rush!")</f>
        <v>Rush!</v>
      </c>
      <c r="M2633" s="59">
        <f>IFERROR(__xludf.DUMMYFUNCTION("""COMPUTED_VALUE"""),45716.0)</f>
        <v>45716</v>
      </c>
      <c r="N2633" s="59">
        <f>IFERROR(__xludf.DUMMYFUNCTION("""COMPUTED_VALUE"""),45799.66666666667)</f>
        <v>45799.66667</v>
      </c>
      <c r="O2633" s="75"/>
      <c r="P2633" s="32" t="str">
        <f>IFERROR(__xludf.DUMMYFUNCTION("""COMPUTED_VALUE"""),"可")</f>
        <v>可</v>
      </c>
      <c r="Q2633" s="30"/>
      <c r="R2633" s="22"/>
      <c r="S2633" s="75" t="str">
        <f>IFERROR(__xludf.DUMMYFUNCTION("""COMPUTED_VALUE"""),"20241220_ファンギルド_彼女より好きって言って。
")</f>
        <v>20241220_ファンギルド_彼女より好きって言って。
</v>
      </c>
      <c r="T2633" s="22" t="str">
        <f>IFERROR(__xludf.DUMMYFUNCTION("""COMPUTED_VALUE"""),"格納済み")</f>
        <v>格納済み</v>
      </c>
      <c r="U2633" s="15" t="str">
        <f>IFERROR(__xludf.DUMMYFUNCTION("""COMPUTED_VALUE"""),"©あめみくろ")</f>
        <v>©あめみくろ</v>
      </c>
      <c r="V2633" s="8" t="str">
        <f>IFERROR(__xludf.DUMMYFUNCTION("""COMPUTED_VALUE"""),"【七海ちゃんより好きって言ったら、いれていいよ…？】高校時代の元カノ・琴音と悲劇的な別れ方をした将暉は、心のどこかに空白を抱えながらも今カノ・七海や友人にも恵まれ、ほどほどの大学生活を送っていた。そんなある日サークルの飲み会に参加すると、”新しく入った二年の子”を紹介される。奇麗な黒髪、吸い込まれそうな蒼い瞳…。そこに座っていたのは、ずっと探していた元カノの琴音だった…。SNSで大人気作家・あめみくろが紡ぐ泥沼の三角背徳劇、開幕！")</f>
        <v>【七海ちゃんより好きって言ったら、いれていいよ…？】高校時代の元カノ・琴音と悲劇的な別れ方をした将暉は、心のどこかに空白を抱えながらも今カノ・七海や友人にも恵まれ、ほどほどの大学生活を送っていた。そんなある日サークルの飲み会に参加すると、”新しく入った二年の子”を紹介される。奇麗な黒髪、吸い込まれそうな蒼い瞳…。そこに座っていたのは、ずっと探していた元カノの琴音だった…。SNSで大人気作家・あめみくろが紡ぐ泥沼の三角背徳劇、開幕！</v>
      </c>
      <c r="W2633" s="14"/>
      <c r="X2633" s="14" t="str">
        <f>IFERROR(__xludf.DUMMYFUNCTION("""COMPUTED_VALUE"""),"有")</f>
        <v>有</v>
      </c>
      <c r="Y2633" s="8" t="str">
        <f>IFERROR(__xludf.DUMMYFUNCTION("""COMPUTED_VALUE"""),"3/27まで1巻無料")</f>
        <v>3/27まで1巻無料</v>
      </c>
      <c r="Z2633" s="7"/>
      <c r="AA2633" s="7"/>
      <c r="AB2633" s="7"/>
    </row>
    <row r="2634" ht="15.75" customHeight="1">
      <c r="A2634" s="26">
        <f>IFERROR(__xludf.DUMMYFUNCTION("""COMPUTED_VALUE"""),4707.0)</f>
        <v>4707</v>
      </c>
      <c r="B2634" s="75" t="str">
        <f>IFERROR(__xludf.DUMMYFUNCTION("""COMPUTED_VALUE"""),"確定")</f>
        <v>確定</v>
      </c>
      <c r="C2634" s="68">
        <f>IFERROR(__xludf.DUMMYFUNCTION("""COMPUTED_VALUE"""),45646.0)</f>
        <v>45646</v>
      </c>
      <c r="D2634" s="68">
        <f>IFERROR(__xludf.DUMMYFUNCTION("""COMPUTED_VALUE"""),45650.0)</f>
        <v>45650</v>
      </c>
      <c r="E2634" s="100">
        <f>IFERROR(__xludf.DUMMYFUNCTION("""COMPUTED_VALUE"""),312382.0)</f>
        <v>312382</v>
      </c>
      <c r="F2634" s="61" t="str">
        <f>IFERROR(__xludf.DUMMYFUNCTION("""COMPUTED_VALUE"""),"平等の楽園 ～村の掟は、みんな一緒で差別なし～
")</f>
        <v>平等の楽園 ～村の掟は、みんな一緒で差別なし～
</v>
      </c>
      <c r="G2634" s="67" t="str">
        <f>IFERROR(__xludf.DUMMYFUNCTION("""COMPUTED_VALUE"""),"1～3")</f>
        <v>1～3</v>
      </c>
      <c r="H2634" s="22" t="str">
        <f>IFERROR(__xludf.DUMMYFUNCTION("""COMPUTED_VALUE"""),"みかどみすこ
")</f>
        <v>みかどみすこ
</v>
      </c>
      <c r="I2634" s="75" t="str">
        <f>IFERROR(__xludf.DUMMYFUNCTION("""COMPUTED_VALUE"""),"青年")</f>
        <v>青年</v>
      </c>
      <c r="J2634" s="22"/>
      <c r="K2634" s="22"/>
      <c r="L2634" s="22" t="str">
        <f>IFERROR(__xludf.DUMMYFUNCTION("""COMPUTED_VALUE"""),"ファンギルド
")</f>
        <v>ファンギルド
</v>
      </c>
      <c r="M2634" s="59">
        <f>IFERROR(__xludf.DUMMYFUNCTION("""COMPUTED_VALUE"""),45703.0)</f>
        <v>45703</v>
      </c>
      <c r="N2634" s="59">
        <f>IFERROR(__xludf.DUMMYFUNCTION("""COMPUTED_VALUE"""),45786.66666666667)</f>
        <v>45786.66667</v>
      </c>
      <c r="O2634" s="75"/>
      <c r="P2634" s="32" t="str">
        <f>IFERROR(__xludf.DUMMYFUNCTION("""COMPUTED_VALUE"""),"可")</f>
        <v>可</v>
      </c>
      <c r="Q2634" s="30"/>
      <c r="R2634" s="22"/>
      <c r="S2634" s="75" t="str">
        <f>IFERROR(__xludf.DUMMYFUNCTION("""COMPUTED_VALUE"""),"20241220_ファンギルド_平等の楽園
")</f>
        <v>20241220_ファンギルド_平等の楽園
</v>
      </c>
      <c r="T2634" s="22" t="str">
        <f>IFERROR(__xludf.DUMMYFUNCTION("""COMPUTED_VALUE"""),"格納済み")</f>
        <v>格納済み</v>
      </c>
      <c r="U2634" s="15" t="str">
        <f>IFERROR(__xludf.DUMMYFUNCTION("""COMPUTED_VALUE"""),"Ⓒみかどみすこ/ファンギルド
")</f>
        <v>Ⓒみかどみすこ/ファンギルド
</v>
      </c>
      <c r="V2634" s="8" t="str">
        <f>IFERROR(__xludf.DUMMYFUNCTION("""COMPUTED_VALUE"""),"「この村、何かおかしい…」―――虐めで引きこもりになった高校生・中野渉（なかのわたる）は、両親と3人で田舎に引っ越しをする。移住先は、心に傷を負った人たちが集まる、優しさに溢れる楽園のような村。しかし本当は、村人たちと“家族”になるために“性行為”をするカルト村だった…！？")</f>
        <v>「この村、何かおかしい…」―――虐めで引きこもりになった高校生・中野渉（なかのわたる）は、両親と3人で田舎に引っ越しをする。移住先は、心に傷を負った人たちが集まる、優しさに溢れる楽園のような村。しかし本当は、村人たちと“家族”になるために“性行為”をするカルト村だった…！？</v>
      </c>
      <c r="W2634" s="14"/>
      <c r="X2634" s="14" t="str">
        <f>IFERROR(__xludf.DUMMYFUNCTION("""COMPUTED_VALUE"""),"有")</f>
        <v>有</v>
      </c>
      <c r="Y2634" s="8" t="str">
        <f>IFERROR(__xludf.DUMMYFUNCTION("""COMPUTED_VALUE"""),"2025/4/11まで1巻無料")</f>
        <v>2025/4/11まで1巻無料</v>
      </c>
      <c r="Z2634" s="7"/>
      <c r="AA2634" s="7"/>
      <c r="AB2634" s="7"/>
    </row>
    <row r="2635" ht="15.75" customHeight="1">
      <c r="A2635" s="26">
        <f>IFERROR(__xludf.DUMMYFUNCTION("""COMPUTED_VALUE"""),4708.0)</f>
        <v>4708</v>
      </c>
      <c r="B2635" s="75" t="str">
        <f>IFERROR(__xludf.DUMMYFUNCTION("""COMPUTED_VALUE"""),"確定")</f>
        <v>確定</v>
      </c>
      <c r="C2635" s="68">
        <f>IFERROR(__xludf.DUMMYFUNCTION("""COMPUTED_VALUE"""),45646.0)</f>
        <v>45646</v>
      </c>
      <c r="D2635" s="68">
        <f>IFERROR(__xludf.DUMMYFUNCTION("""COMPUTED_VALUE"""),45650.0)</f>
        <v>45650</v>
      </c>
      <c r="E2635" s="100">
        <f>IFERROR(__xludf.DUMMYFUNCTION("""COMPUTED_VALUE"""),312383.0)</f>
        <v>312383</v>
      </c>
      <c r="F2635" s="61" t="str">
        <f>IFERROR(__xludf.DUMMYFUNCTION("""COMPUTED_VALUE"""),"無慈悲な皇帝の愛玩寵妃―おわらぬ快楽、閨に響くは乱れ声―
")</f>
        <v>無慈悲な皇帝の愛玩寵妃―おわらぬ快楽、閨に響くは乱れ声―
</v>
      </c>
      <c r="G2635" s="75" t="str">
        <f>IFERROR(__xludf.DUMMYFUNCTION("""COMPUTED_VALUE"""),"1～3")</f>
        <v>1～3</v>
      </c>
      <c r="H2635" s="22" t="str">
        <f>IFERROR(__xludf.DUMMYFUNCTION("""COMPUTED_VALUE"""),"蜜野このみ
")</f>
        <v>蜜野このみ
</v>
      </c>
      <c r="I2635" s="75" t="str">
        <f>IFERROR(__xludf.DUMMYFUNCTION("""COMPUTED_VALUE"""),"TL")</f>
        <v>TL</v>
      </c>
      <c r="J2635" s="22"/>
      <c r="K2635" s="22" t="str">
        <f>IFERROR(__xludf.DUMMYFUNCTION("""COMPUTED_VALUE"""),"ラブきゅんコミック
")</f>
        <v>ラブきゅんコミック
</v>
      </c>
      <c r="L2635" s="22" t="str">
        <f>IFERROR(__xludf.DUMMYFUNCTION("""COMPUTED_VALUE"""),"モバイルメディアリサーチ
")</f>
        <v>モバイルメディアリサーチ
</v>
      </c>
      <c r="M2635" s="59">
        <f>IFERROR(__xludf.DUMMYFUNCTION("""COMPUTED_VALUE"""),45710.0)</f>
        <v>45710</v>
      </c>
      <c r="N2635" s="59">
        <f>IFERROR(__xludf.DUMMYFUNCTION("""COMPUTED_VALUE"""),45772.0)</f>
        <v>45772</v>
      </c>
      <c r="O2635" s="75"/>
      <c r="P2635" s="32" t="str">
        <f>IFERROR(__xludf.DUMMYFUNCTION("""COMPUTED_VALUE"""),"可")</f>
        <v>可</v>
      </c>
      <c r="Q2635" s="30"/>
      <c r="R2635" s="22"/>
      <c r="S2635" s="75" t="str">
        <f>IFERROR(__xludf.DUMMYFUNCTION("""COMPUTED_VALUE"""),"20241220_ファンギルド_無慈悲な皇帝の愛玩寵妃―おわらぬ快楽、閨に響くは乱れ声―
")</f>
        <v>20241220_ファンギルド_無慈悲な皇帝の愛玩寵妃―おわらぬ快楽、閨に響くは乱れ声―
</v>
      </c>
      <c r="T2635" s="22" t="str">
        <f>IFERROR(__xludf.DUMMYFUNCTION("""COMPUTED_VALUE"""),"格納済み")</f>
        <v>格納済み</v>
      </c>
      <c r="U2635" s="15" t="str">
        <f>IFERROR(__xludf.DUMMYFUNCTION("""COMPUTED_VALUE"""),"Ⓒ蜜野このみ/モバイルメディアリサーチ
")</f>
        <v>Ⓒ蜜野このみ/モバイルメディアリサーチ
</v>
      </c>
      <c r="V2635" s="8" t="str">
        <f>IFERROR(__xludf.DUMMYFUNCTION("""COMPUTED_VALUE"""),"「こうして何度も、俺に犯されてるんだよ…」見られたことも触れられたこともない所を、熱い舌でえぐられて、逃げられない──国を統一する皇帝、斎悠淵(さい・ゆうえん)は残酷で無情な者だと恐れられていた。ある日、蒼（そう）の国からひとりの姫君・翆鈴（すいりん）が皇帝の妃候補として、後宮へ訪れる。彼女の目的は、貧困状況である蒼の国を救うために、皇帝を始末することだった。身体で皇帝に迫る翆鈴だが、逆に捕らわれてしまい暗殺失敗…しかし皇帝は翆鈴の美しさに惹かれて「玩具になれ」と命じる。逃げ場もなく毎日抱かれる皇帝の汗と"&amp;"匂い、快感の声…全身に染み込んでいき、知らぬ間に堕ちていく中華系ラブロンス──")</f>
        <v>「こうして何度も、俺に犯されてるんだよ…」見られたことも触れられたこともない所を、熱い舌でえぐられて、逃げられない──国を統一する皇帝、斎悠淵(さい・ゆうえん)は残酷で無情な者だと恐れられていた。ある日、蒼（そう）の国からひとりの姫君・翆鈴（すいりん）が皇帝の妃候補として、後宮へ訪れる。彼女の目的は、貧困状況である蒼の国を救うために、皇帝を始末することだった。身体で皇帝に迫る翆鈴だが、逆に捕らわれてしまい暗殺失敗…しかし皇帝は翆鈴の美しさに惹かれて「玩具になれ」と命じる。逃げ場もなく毎日抱かれる皇帝の汗と匂い、快感の声…全身に染み込んでいき、知らぬ間に堕ちていく中華系ラブロンス──</v>
      </c>
      <c r="W2635" s="14"/>
      <c r="X2635" s="14" t="str">
        <f>IFERROR(__xludf.DUMMYFUNCTION("""COMPUTED_VALUE"""),"有")</f>
        <v>有</v>
      </c>
      <c r="Y2635" s="8" t="str">
        <f>IFERROR(__xludf.DUMMYFUNCTION("""COMPUTED_VALUE"""),"2025/4/25まで1巻無料")</f>
        <v>2025/4/25まで1巻無料</v>
      </c>
      <c r="Z2635" s="7"/>
      <c r="AA2635" s="7"/>
      <c r="AB2635" s="7"/>
    </row>
    <row r="2636" ht="15.75" customHeight="1">
      <c r="A2636" s="26">
        <f>IFERROR(__xludf.DUMMYFUNCTION("""COMPUTED_VALUE"""),4714.0)</f>
        <v>4714</v>
      </c>
      <c r="B2636" s="75" t="str">
        <f>IFERROR(__xludf.DUMMYFUNCTION("""COMPUTED_VALUE"""),"確定")</f>
        <v>確定</v>
      </c>
      <c r="C2636" s="68">
        <f>IFERROR(__xludf.DUMMYFUNCTION("""COMPUTED_VALUE"""),45650.0)</f>
        <v>45650</v>
      </c>
      <c r="D2636" s="68">
        <f>IFERROR(__xludf.DUMMYFUNCTION("""COMPUTED_VALUE"""),45650.0)</f>
        <v>45650</v>
      </c>
      <c r="E2636" s="100">
        <f>IFERROR(__xludf.DUMMYFUNCTION("""COMPUTED_VALUE"""),162918.0)</f>
        <v>162918</v>
      </c>
      <c r="F2636" s="61" t="str">
        <f>IFERROR(__xludf.DUMMYFUNCTION("""COMPUTED_VALUE"""),"佐々木先生はドクター失格
")</f>
        <v>佐々木先生はドクター失格
</v>
      </c>
      <c r="G2636" s="75" t="str">
        <f>IFERROR(__xludf.DUMMYFUNCTION("""COMPUTED_VALUE"""),"1～3")</f>
        <v>1～3</v>
      </c>
      <c r="H2636" s="22" t="str">
        <f>IFERROR(__xludf.DUMMYFUNCTION("""COMPUTED_VALUE"""),"水月コウ
")</f>
        <v>水月コウ
</v>
      </c>
      <c r="I2636" s="75" t="str">
        <f>IFERROR(__xludf.DUMMYFUNCTION("""COMPUTED_VALUE"""),"BL")</f>
        <v>BL</v>
      </c>
      <c r="J2636" s="22"/>
      <c r="K2636" s="22"/>
      <c r="L2636" s="22" t="str">
        <f>IFERROR(__xludf.DUMMYFUNCTION("""COMPUTED_VALUE"""),"シーモアコミックス
")</f>
        <v>シーモアコミックス
</v>
      </c>
      <c r="M2636" s="59">
        <f>IFERROR(__xludf.DUMMYFUNCTION("""COMPUTED_VALUE"""),45682.0)</f>
        <v>45682</v>
      </c>
      <c r="N2636" s="59">
        <f>IFERROR(__xludf.DUMMYFUNCTION("""COMPUTED_VALUE"""),45743.0)</f>
        <v>45743</v>
      </c>
      <c r="O2636" s="75"/>
      <c r="P2636" s="32" t="str">
        <f>IFERROR(__xludf.DUMMYFUNCTION("""COMPUTED_VALUE"""),"可")</f>
        <v>可</v>
      </c>
      <c r="Q2636" s="30"/>
      <c r="R2636" s="22"/>
      <c r="S2636" s="75" t="str">
        <f>IFERROR(__xludf.DUMMYFUNCTION("""COMPUTED_VALUE"""),"20241224_シーモアコミックス_佐々木先生はドクター失格
")</f>
        <v>20241224_シーモアコミックス_佐々木先生はドクター失格
</v>
      </c>
      <c r="T2636" s="22" t="str">
        <f>IFERROR(__xludf.DUMMYFUNCTION("""COMPUTED_VALUE"""),"格納済み")</f>
        <v>格納済み</v>
      </c>
      <c r="U2636" s="15" t="str">
        <f>IFERROR(__xludf.DUMMYFUNCTION("""COMPUTED_VALUE"""),"© 水月コウ/シーモアコミックス
")</f>
        <v>© 水月コウ/シーモアコミックス
</v>
      </c>
      <c r="V2636" s="8" t="str">
        <f>IFERROR(__xludf.DUMMYFUNCTION("""COMPUTED_VALUE"""),"俺のこと忘れちゃったの―――？
佐々木先生の元に入った1本の電話…、それは幼い頃から可愛がってきた光稀が交通事故で救急搬送されたという連絡だった。可愛くて愛おしいだけじゃない、その笑顔に、無邪気に懐いてくれる姿に、恋をした相手。顔面蒼白で駆けつけるも、命に別状はないことが分かり胸をなでおろす佐々木先生。だけど目をさました光稀は佐々木先生の記憶を失っていて、さらには付き添いの男から衝撃的な話を突き付けられ――？【フィカス】")</f>
        <v>俺のこと忘れちゃったの―――？
佐々木先生の元に入った1本の電話…、それは幼い頃から可愛がってきた光稀が交通事故で救急搬送されたという連絡だった。可愛くて愛おしいだけじゃない、その笑顔に、無邪気に懐いてくれる姿に、恋をした相手。顔面蒼白で駆けつけるも、命に別状はないことが分かり胸をなでおろす佐々木先生。だけど目をさました光稀は佐々木先生の記憶を失っていて、さらには付き添いの男から衝撃的な話を突き付けられ――？【フィカス】</v>
      </c>
      <c r="W2636" s="14"/>
      <c r="X2636" s="14" t="str">
        <f>IFERROR(__xludf.DUMMYFUNCTION("""COMPUTED_VALUE"""),"有")</f>
        <v>有</v>
      </c>
      <c r="Y2636" s="8" t="str">
        <f>IFERROR(__xludf.DUMMYFUNCTION("""COMPUTED_VALUE"""),"P17まで")</f>
        <v>P17まで</v>
      </c>
      <c r="Z2636" s="7"/>
      <c r="AA2636" s="7"/>
      <c r="AB2636" s="7"/>
    </row>
    <row r="2637" ht="15.75" customHeight="1">
      <c r="A2637" s="26">
        <f>IFERROR(__xludf.DUMMYFUNCTION("""COMPUTED_VALUE"""),4716.0)</f>
        <v>4716</v>
      </c>
      <c r="B2637" s="75" t="str">
        <f>IFERROR(__xludf.DUMMYFUNCTION("""COMPUTED_VALUE"""),"確定")</f>
        <v>確定</v>
      </c>
      <c r="C2637" s="68">
        <f>IFERROR(__xludf.DUMMYFUNCTION("""COMPUTED_VALUE"""),45650.0)</f>
        <v>45650</v>
      </c>
      <c r="D2637" s="68">
        <f>IFERROR(__xludf.DUMMYFUNCTION("""COMPUTED_VALUE"""),45650.0)</f>
        <v>45650</v>
      </c>
      <c r="E2637" s="100">
        <f>IFERROR(__xludf.DUMMYFUNCTION("""COMPUTED_VALUE"""),278815.0)</f>
        <v>278815</v>
      </c>
      <c r="F2637" s="61" t="str">
        <f>IFERROR(__xludf.DUMMYFUNCTION("""COMPUTED_VALUE"""),"限界OL、恋がしたくてタイムスリップしました。")</f>
        <v>限界OL、恋がしたくてタイムスリップしました。</v>
      </c>
      <c r="G2637" s="75" t="str">
        <f>IFERROR(__xludf.DUMMYFUNCTION("""COMPUTED_VALUE"""),"1～3")</f>
        <v>1～3</v>
      </c>
      <c r="H2637" s="22" t="str">
        <f>IFERROR(__xludf.DUMMYFUNCTION("""COMPUTED_VALUE"""),"櫻井まり
")</f>
        <v>櫻井まり
</v>
      </c>
      <c r="I2637" s="22" t="str">
        <f>IFERROR(__xludf.DUMMYFUNCTION("""COMPUTED_VALUE"""),"少女")</f>
        <v>少女</v>
      </c>
      <c r="J2637" s="22"/>
      <c r="K2637" s="22"/>
      <c r="L2637" s="22" t="str">
        <f>IFERROR(__xludf.DUMMYFUNCTION("""COMPUTED_VALUE"""),"シーモアコミックス
")</f>
        <v>シーモアコミックス
</v>
      </c>
      <c r="M2637" s="59">
        <f>IFERROR(__xludf.DUMMYFUNCTION("""COMPUTED_VALUE"""),45682.0)</f>
        <v>45682</v>
      </c>
      <c r="N2637" s="59">
        <f>IFERROR(__xludf.DUMMYFUNCTION("""COMPUTED_VALUE"""),45834.66666666667)</f>
        <v>45834.66667</v>
      </c>
      <c r="O2637" s="75"/>
      <c r="P2637" s="32" t="str">
        <f>IFERROR(__xludf.DUMMYFUNCTION("""COMPUTED_VALUE"""),"可")</f>
        <v>可</v>
      </c>
      <c r="Q2637" s="30"/>
      <c r="R2637" s="22"/>
      <c r="S2637" s="75" t="str">
        <f>IFERROR(__xludf.DUMMYFUNCTION("""COMPUTED_VALUE"""),"20241224_シーモアコミックス_限界OL、恋がしたくてタイムスリップしました。
")</f>
        <v>20241224_シーモアコミックス_限界OL、恋がしたくてタイムスリップしました。
</v>
      </c>
      <c r="T2637" s="22" t="str">
        <f>IFERROR(__xludf.DUMMYFUNCTION("""COMPUTED_VALUE"""),"格納済み")</f>
        <v>格納済み</v>
      </c>
      <c r="U2637" s="15" t="str">
        <f>IFERROR(__xludf.DUMMYFUNCTION("""COMPUTED_VALUE"""),"© 櫻井まり/シーモアコミックス
")</f>
        <v>© 櫻井まり/シーモアコミックス
</v>
      </c>
      <c r="V2637" s="8" t="str">
        <f>IFERROR(__xludf.DUMMYFUNCTION("""COMPUTED_VALUE"""),"限界OL、タイムスリップして幸せな恋をゲットします!!?
高崎みなみ（35）、婚活連敗中。ある夜、残業で会社に戻る途中、車にひかれてしまい…目覚めると13年前にタイムスリップしていた!? 見た目はお肌ピチピチ、中身は人生の酸いも甘いも経験したみなみは婚活チート――この私が選び放題!? 婚活パーティーでモテモテで浮かれていたみなみだけど…男性は結局私の見た目しか見ていないの？ひょんなことから知り合った年下のバーテンダー・流川と交流を深めていくなか、忘れられない男性と再会して…!?【恋するソワレ】")</f>
        <v>限界OL、タイムスリップして幸せな恋をゲットします!!?
高崎みなみ（35）、婚活連敗中。ある夜、残業で会社に戻る途中、車にひかれてしまい…目覚めると13年前にタイムスリップしていた!? 見た目はお肌ピチピチ、中身は人生の酸いも甘いも経験したみなみは婚活チート――この私が選び放題!? 婚活パーティーでモテモテで浮かれていたみなみだけど…男性は結局私の見た目しか見ていないの？ひょんなことから知り合った年下のバーテンダー・流川と交流を深めていくなか、忘れられない男性と再会して…!?【恋するソワレ】</v>
      </c>
      <c r="W2637" s="14"/>
      <c r="X2637" s="14" t="str">
        <f>IFERROR(__xludf.DUMMYFUNCTION("""COMPUTED_VALUE"""),"有")</f>
        <v>有</v>
      </c>
      <c r="Y2637" s="8" t="str">
        <f>IFERROR(__xludf.DUMMYFUNCTION("""COMPUTED_VALUE"""),"P11まで")</f>
        <v>P11まで</v>
      </c>
      <c r="Z2637" s="7"/>
      <c r="AA2637" s="7"/>
      <c r="AB2637" s="7"/>
    </row>
    <row r="2638" ht="15.75" customHeight="1">
      <c r="A2638" s="26">
        <f>IFERROR(__xludf.DUMMYFUNCTION("""COMPUTED_VALUE"""),4717.0)</f>
        <v>4717</v>
      </c>
      <c r="B2638" s="75" t="str">
        <f>IFERROR(__xludf.DUMMYFUNCTION("""COMPUTED_VALUE"""),"確定")</f>
        <v>確定</v>
      </c>
      <c r="C2638" s="68">
        <f>IFERROR(__xludf.DUMMYFUNCTION("""COMPUTED_VALUE"""),45650.0)</f>
        <v>45650</v>
      </c>
      <c r="D2638" s="68">
        <f>IFERROR(__xludf.DUMMYFUNCTION("""COMPUTED_VALUE"""),45650.0)</f>
        <v>45650</v>
      </c>
      <c r="E2638" s="100">
        <f>IFERROR(__xludf.DUMMYFUNCTION("""COMPUTED_VALUE"""),296743.0)</f>
        <v>296743</v>
      </c>
      <c r="F2638" s="61" t="str">
        <f>IFERROR(__xludf.DUMMYFUNCTION("""COMPUTED_VALUE"""),"夫に不倫をお願いされました
")</f>
        <v>夫に不倫をお願いされました
</v>
      </c>
      <c r="G2638" s="75" t="str">
        <f>IFERROR(__xludf.DUMMYFUNCTION("""COMPUTED_VALUE"""),"1～4")</f>
        <v>1～4</v>
      </c>
      <c r="H2638" s="22" t="str">
        <f>IFERROR(__xludf.DUMMYFUNCTION("""COMPUTED_VALUE"""),"中家ヨシタカ
")</f>
        <v>中家ヨシタカ
</v>
      </c>
      <c r="I2638" s="75" t="str">
        <f>IFERROR(__xludf.DUMMYFUNCTION("""COMPUTED_VALUE"""),"女性")</f>
        <v>女性</v>
      </c>
      <c r="J2638" s="22"/>
      <c r="K2638" s="22"/>
      <c r="L2638" s="22" t="str">
        <f>IFERROR(__xludf.DUMMYFUNCTION("""COMPUTED_VALUE"""),"シーモアコミックス
")</f>
        <v>シーモアコミックス
</v>
      </c>
      <c r="M2638" s="59">
        <f>IFERROR(__xludf.DUMMYFUNCTION("""COMPUTED_VALUE"""),45682.0)</f>
        <v>45682</v>
      </c>
      <c r="N2638" s="59">
        <f>IFERROR(__xludf.DUMMYFUNCTION("""COMPUTED_VALUE"""),45834.66666666667)</f>
        <v>45834.66667</v>
      </c>
      <c r="O2638" s="75"/>
      <c r="P2638" s="32" t="str">
        <f>IFERROR(__xludf.DUMMYFUNCTION("""COMPUTED_VALUE"""),"可")</f>
        <v>可</v>
      </c>
      <c r="Q2638" s="30"/>
      <c r="R2638" s="22"/>
      <c r="S2638" s="75" t="str">
        <f>IFERROR(__xludf.DUMMYFUNCTION("""COMPUTED_VALUE"""),"20241224_シーモアコミックス_夫に不倫をお願いされました
")</f>
        <v>20241224_シーモアコミックス_夫に不倫をお願いされました
</v>
      </c>
      <c r="T2638" s="22" t="str">
        <f>IFERROR(__xludf.DUMMYFUNCTION("""COMPUTED_VALUE"""),"格納済み")</f>
        <v>格納済み</v>
      </c>
      <c r="U2638" s="15" t="str">
        <f>IFERROR(__xludf.DUMMYFUNCTION("""COMPUTED_VALUE"""),"© 中家ヨシタカ/シーモアコミックス
")</f>
        <v>© 中家ヨシタカ/シーモアコミックス
</v>
      </c>
      <c r="V2638" s="8" t="str">
        <f>IFERROR(__xludf.DUMMYFUNCTION("""COMPUTED_VALUE"""),"心は家庭で、体は《外》で、充実させる。そんなことホントに可能なの？ 笑えて怒って共感する、妻と夫のリアルラブ☆
私は花恵、育休中の主婦だ。家族は夫と娘一人。夫は激務で1歳児ワンオペは仕方がない。でも、どこにも行けない、誰にも会えない。それなのに、もう2年もレス！ 大げんかの末、したい私に夫が出した提案は「外で解消してきてよ」だった。円満な家庭のために、夫公認で相手をさがすことになって…!?【恋するソワレ＋】")</f>
        <v>心は家庭で、体は《外》で、充実させる。そんなことホントに可能なの？ 笑えて怒って共感する、妻と夫のリアルラブ☆
私は花恵、育休中の主婦だ。家族は夫と娘一人。夫は激務で1歳児ワンオペは仕方がない。でも、どこにも行けない、誰にも会えない。それなのに、もう2年もレス！ 大げんかの末、したい私に夫が出した提案は「外で解消してきてよ」だった。円満な家庭のために、夫公認で相手をさがすことになって…!?【恋するソワレ＋】</v>
      </c>
      <c r="W2638" s="14"/>
      <c r="X2638" s="14" t="str">
        <f>IFERROR(__xludf.DUMMYFUNCTION("""COMPUTED_VALUE"""),"有")</f>
        <v>有</v>
      </c>
      <c r="Y2638" s="8" t="str">
        <f>IFERROR(__xludf.DUMMYFUNCTION("""COMPUTED_VALUE"""),"P7まで")</f>
        <v>P7まで</v>
      </c>
      <c r="Z2638" s="7"/>
      <c r="AA2638" s="7"/>
      <c r="AB2638" s="7"/>
    </row>
    <row r="2639" ht="15.75" customHeight="1">
      <c r="A2639" s="26">
        <f>IFERROR(__xludf.DUMMYFUNCTION("""COMPUTED_VALUE"""),4719.0)</f>
        <v>4719</v>
      </c>
      <c r="B2639" s="75" t="str">
        <f>IFERROR(__xludf.DUMMYFUNCTION("""COMPUTED_VALUE"""),"確定")</f>
        <v>確定</v>
      </c>
      <c r="C2639" s="68">
        <f>IFERROR(__xludf.DUMMYFUNCTION("""COMPUTED_VALUE"""),45650.0)</f>
        <v>45650</v>
      </c>
      <c r="D2639" s="68">
        <f>IFERROR(__xludf.DUMMYFUNCTION("""COMPUTED_VALUE"""),45650.0)</f>
        <v>45650</v>
      </c>
      <c r="E2639" s="100">
        <f>IFERROR(__xludf.DUMMYFUNCTION("""COMPUTED_VALUE"""),312778.0)</f>
        <v>312778</v>
      </c>
      <c r="F2639" s="61" t="str">
        <f>IFERROR(__xludf.DUMMYFUNCTION("""COMPUTED_VALUE"""),"春と１００人のダーリン")</f>
        <v>春と１００人のダーリン</v>
      </c>
      <c r="G2639" s="67">
        <f>IFERROR(__xludf.DUMMYFUNCTION("""COMPUTED_VALUE"""),1.0)</f>
        <v>1</v>
      </c>
      <c r="H2639" s="22" t="str">
        <f>IFERROR(__xludf.DUMMYFUNCTION("""COMPUTED_VALUE"""),"五月さつき
")</f>
        <v>五月さつき
</v>
      </c>
      <c r="I2639" s="22" t="str">
        <f>IFERROR(__xludf.DUMMYFUNCTION("""COMPUTED_VALUE"""),"少女")</f>
        <v>少女</v>
      </c>
      <c r="J2639" s="22"/>
      <c r="K2639" s="22" t="str">
        <f>IFERROR(__xludf.DUMMYFUNCTION("""COMPUTED_VALUE"""),"マーガレットコミックスDIGITAL
")</f>
        <v>マーガレットコミックスDIGITAL
</v>
      </c>
      <c r="L2639" s="22" t="str">
        <f>IFERROR(__xludf.DUMMYFUNCTION("""COMPUTED_VALUE"""),"集英社
")</f>
        <v>集英社
</v>
      </c>
      <c r="M2639" s="59">
        <f>IFERROR(__xludf.DUMMYFUNCTION("""COMPUTED_VALUE"""),45683.0)</f>
        <v>45683</v>
      </c>
      <c r="N2639" s="59">
        <f>IFERROR(__xludf.DUMMYFUNCTION("""COMPUTED_VALUE"""),45712.0)</f>
        <v>45712</v>
      </c>
      <c r="O2639" s="75"/>
      <c r="P2639" s="34" t="str">
        <f>IFERROR(__xludf.DUMMYFUNCTION("""COMPUTED_VALUE"""),"否")</f>
        <v>否</v>
      </c>
      <c r="Q2639" s="30" t="str">
        <f>IFERROR(__xludf.DUMMYFUNCTION("""COMPUTED_VALUE"""),"・単巻完結です
")</f>
        <v>・単巻完結です
</v>
      </c>
      <c r="R2639" s="22"/>
      <c r="S2639" s="75" t="str">
        <f>IFERROR(__xludf.DUMMYFUNCTION("""COMPUTED_VALUE"""),"20241224_集英社_春と100人のダーリン
")</f>
        <v>20241224_集英社_春と100人のダーリン
</v>
      </c>
      <c r="T2639" s="22" t="str">
        <f>IFERROR(__xludf.DUMMYFUNCTION("""COMPUTED_VALUE"""),"格納済み")</f>
        <v>格納済み</v>
      </c>
      <c r="U2639" s="15" t="str">
        <f>IFERROR(__xludf.DUMMYFUNCTION("""COMPUTED_VALUE"""),"(c)五月さつき／集英社
")</f>
        <v>(c)五月さつき／集英社
</v>
      </c>
      <c r="V2639" s="8" t="str">
        <f>IFERROR(__xludf.DUMMYFUNCTION("""COMPUTED_VALUE"""),"【どんな男子も好きだけどキライ!?】惚れっぽくて両想いになるのは得意なのに、付き合った人数はいまだ0人のハル。今度こそ運命の恋が私を待っている……はず！　雷に打たれて恋に落ちまくって東奔西走、ブレーキ外れっぱなしのノンストップラブコメ！")</f>
        <v>【どんな男子も好きだけどキライ!?】惚れっぽくて両想いになるのは得意なのに、付き合った人数はいまだ0人のハル。今度こそ運命の恋が私を待っている……はず！　雷に打たれて恋に落ちまくって東奔西走、ブレーキ外れっぱなしのノンストップラブコメ！</v>
      </c>
      <c r="W2639" s="14"/>
      <c r="X2639" s="14" t="str">
        <f>IFERROR(__xludf.DUMMYFUNCTION("""COMPUTED_VALUE"""),"有")</f>
        <v>有</v>
      </c>
      <c r="Y2639" s="8" t="str">
        <f>IFERROR(__xludf.DUMMYFUNCTION("""COMPUTED_VALUE"""),"2025/2/25まで立ち読み増量P80まで")</f>
        <v>2025/2/25まで立ち読み増量P80まで</v>
      </c>
      <c r="Z2639" s="7"/>
      <c r="AA2639" s="7"/>
      <c r="AB2639" s="7"/>
    </row>
    <row r="2640" ht="15.75" customHeight="1">
      <c r="A2640" s="66">
        <f>IFERROR(__xludf.DUMMYFUNCTION("""COMPUTED_VALUE"""),4109.0)</f>
        <v>4109</v>
      </c>
      <c r="B2640" s="75" t="str">
        <f>IFERROR(__xludf.DUMMYFUNCTION("""COMPUTED_VALUE"""),"確定")</f>
        <v>確定</v>
      </c>
      <c r="C2640" s="68">
        <f>IFERROR(__xludf.DUMMYFUNCTION("""COMPUTED_VALUE"""),45544.0)</f>
        <v>45544</v>
      </c>
      <c r="D2640" s="68">
        <f>IFERROR(__xludf.DUMMYFUNCTION("""COMPUTED_VALUE"""),45652.0)</f>
        <v>45652</v>
      </c>
      <c r="E2640" s="60">
        <f>IFERROR(__xludf.DUMMYFUNCTION("""COMPUTED_VALUE"""),312005.0)</f>
        <v>312005</v>
      </c>
      <c r="F2640" s="60" t="str">
        <f>IFERROR(__xludf.DUMMYFUNCTION("""COMPUTED_VALUE"""),"異世界で溺愛はビギナーです！ ー無自覚な聖女とエリート辺境伯の恋するスローライフー【マイクロ】")</f>
        <v>異世界で溺愛はビギナーです！ ー無自覚な聖女とエリート辺境伯の恋するスローライフー【マイクロ】</v>
      </c>
      <c r="G2640" s="75" t="str">
        <f>IFERROR(__xludf.DUMMYFUNCTION("""COMPUTED_VALUE"""),"1～3")</f>
        <v>1～3</v>
      </c>
      <c r="H2640" s="75" t="str">
        <f>IFERROR(__xludf.DUMMYFUNCTION("""COMPUTED_VALUE"""),"原作：柚原テイル 作画：えりんご")</f>
        <v>原作：柚原テイル 作画：えりんご</v>
      </c>
      <c r="I2640" s="75" t="str">
        <f>IFERROR(__xludf.DUMMYFUNCTION("""COMPUTED_VALUE"""),"女性")</f>
        <v>女性</v>
      </c>
      <c r="J2640" s="87"/>
      <c r="K2640" s="87"/>
      <c r="L2640" s="75" t="str">
        <f>IFERROR(__xludf.DUMMYFUNCTION("""COMPUTED_VALUE"""),"小学館")</f>
        <v>小学館</v>
      </c>
      <c r="M2640" s="23">
        <f>IFERROR(__xludf.DUMMYFUNCTION("""COMPUTED_VALUE"""),45677.0)</f>
        <v>45677</v>
      </c>
      <c r="N2640" s="59">
        <f>IFERROR(__xludf.DUMMYFUNCTION("""COMPUTED_VALUE"""),45735.0)</f>
        <v>45735</v>
      </c>
      <c r="O2640" s="75"/>
      <c r="P2640" s="71" t="str">
        <f>IFERROR(__xludf.DUMMYFUNCTION("""COMPUTED_VALUE"""),"否")</f>
        <v>否</v>
      </c>
      <c r="Q2640" s="75"/>
      <c r="R2640" s="75" t="str">
        <f>IFERROR(__xludf.DUMMYFUNCTION("""COMPUTED_VALUE"""),"コミットOK")</f>
        <v>コミットOK</v>
      </c>
      <c r="S2640" s="75" t="str">
        <f>IFERROR(__xludf.DUMMYFUNCTION("""COMPUTED_VALUE"""),"20241226_小学館_異世界で溺愛はビギナーです！ ー無自覚な聖女とエリート辺境伯の恋するスローライフー【マイクロ】")</f>
        <v>20241226_小学館_異世界で溺愛はビギナーです！ ー無自覚な聖女とエリート辺境伯の恋するスローライフー【マイクロ】</v>
      </c>
      <c r="T2640" s="75" t="str">
        <f>IFERROR(__xludf.DUMMYFUNCTION("""COMPUTED_VALUE"""),"格納済み")</f>
        <v>格納済み</v>
      </c>
      <c r="U2640" s="15" t="str">
        <f>IFERROR(__xludf.DUMMYFUNCTION("""COMPUTED_VALUE"""),"(C)柚原テイル・えりんご / 小学館")</f>
        <v>(C)柚原テイル・えりんご / 小学館</v>
      </c>
      <c r="V2640" s="8" t="str">
        <f>IFERROR(__xludf.DUMMYFUNCTION("""COMPUTED_VALUE"""),"ブラック企業で失敗だらけの人生を送るマリナは、ある日突如聖女召喚されて異世界へ！！だけど、まさかの魔力ヨワヨワの「じゃない方聖女」で・・・初めての異世界でまた失敗はできないと決意したマリナは、勇気を出して静かな場所でのひとり暮らしを希望するけど・・・！？
異世界が初めての方にも、異世界が大好きな方へも、全ての異世界ファンに送る恋するスローライフ！！")</f>
        <v>ブラック企業で失敗だらけの人生を送るマリナは、ある日突如聖女召喚されて異世界へ！！だけど、まさかの魔力ヨワヨワの「じゃない方聖女」で・・・初めての異世界でまた失敗はできないと決意したマリナは、勇気を出して静かな場所でのひとり暮らしを希望するけど・・・！？
異世界が初めての方にも、異世界が大好きな方へも、全ての異世界ファンに送る恋するスローライフ！！</v>
      </c>
      <c r="W2640" s="14"/>
      <c r="X2640" s="14" t="str">
        <f>IFERROR(__xludf.DUMMYFUNCTION("""COMPUTED_VALUE"""),"有")</f>
        <v>有</v>
      </c>
      <c r="Y2640" s="8" t="str">
        <f>IFERROR(__xludf.DUMMYFUNCTION("""COMPUTED_VALUE"""),"2025/3/19まで1巻無料")</f>
        <v>2025/3/19まで1巻無料</v>
      </c>
      <c r="Z2640" s="7"/>
      <c r="AA2640" s="7"/>
      <c r="AB2640" s="7"/>
    </row>
    <row r="2641" ht="15.75" customHeight="1">
      <c r="A2641" s="66">
        <f>IFERROR(__xludf.DUMMYFUNCTION("""COMPUTED_VALUE"""),4179.0)</f>
        <v>4179</v>
      </c>
      <c r="B2641" s="75" t="str">
        <f>IFERROR(__xludf.DUMMYFUNCTION("""COMPUTED_VALUE"""),"確定")</f>
        <v>確定</v>
      </c>
      <c r="C2641" s="68">
        <f>IFERROR(__xludf.DUMMYFUNCTION("""COMPUTED_VALUE"""),45555.0)</f>
        <v>45555</v>
      </c>
      <c r="D2641" s="68">
        <f>IFERROR(__xludf.DUMMYFUNCTION("""COMPUTED_VALUE"""),45663.0)</f>
        <v>45663</v>
      </c>
      <c r="E2641" s="60">
        <f>IFERROR(__xludf.DUMMYFUNCTION("""COMPUTED_VALUE"""),310794.0)</f>
        <v>310794</v>
      </c>
      <c r="F2641" s="60" t="str">
        <f>IFERROR(__xludf.DUMMYFUNCTION("""COMPUTED_VALUE"""),"イチャつくのに邪魔だからとパーティ追放されました！～それなら不労所得目指して賃貸経営いたします～ 【連載版】")</f>
        <v>イチャつくのに邪魔だからとパーティ追放されました！～それなら不労所得目指して賃貸経営いたします～ 【連載版】</v>
      </c>
      <c r="G2641" s="75" t="str">
        <f>IFERROR(__xludf.DUMMYFUNCTION("""COMPUTED_VALUE"""),"1～3")</f>
        <v>1～3</v>
      </c>
      <c r="H2641" s="75" t="str">
        <f>IFERROR(__xludf.DUMMYFUNCTION("""COMPUTED_VALUE"""),"原作：桃月とと 作画：しゃるもん")</f>
        <v>原作：桃月とと 作画：しゃるもん</v>
      </c>
      <c r="I2641" s="75" t="str">
        <f>IFERROR(__xludf.DUMMYFUNCTION("""COMPUTED_VALUE"""),"少女")</f>
        <v>少女</v>
      </c>
      <c r="J2641" s="75"/>
      <c r="K2641" s="75" t="str">
        <f>IFERROR(__xludf.DUMMYFUNCTION("""COMPUTED_VALUE"""),"comic LAKE")</f>
        <v>comic LAKE</v>
      </c>
      <c r="L2641" s="75" t="str">
        <f>IFERROR(__xludf.DUMMYFUNCTION("""COMPUTED_VALUE"""),"一迅社")</f>
        <v>一迅社</v>
      </c>
      <c r="M2641" s="23">
        <f>IFERROR(__xludf.DUMMYFUNCTION("""COMPUTED_VALUE"""),45674.0)</f>
        <v>45674</v>
      </c>
      <c r="N2641" s="23">
        <f>IFERROR(__xludf.DUMMYFUNCTION("""COMPUTED_VALUE"""),45704.0)</f>
        <v>45704</v>
      </c>
      <c r="O2641" s="75"/>
      <c r="P2641" s="71" t="str">
        <f>IFERROR(__xludf.DUMMYFUNCTION("""COMPUTED_VALUE"""),"可")</f>
        <v>可</v>
      </c>
      <c r="Q2641" s="75"/>
      <c r="R2641" s="75" t="str">
        <f>IFERROR(__xludf.DUMMYFUNCTION("""COMPUTED_VALUE"""),"コミットOK")</f>
        <v>コミットOK</v>
      </c>
      <c r="S2641" s="75" t="str">
        <f>IFERROR(__xludf.DUMMYFUNCTION("""COMPUTED_VALUE"""),"20250106_一迅社_イチャつくのに邪魔だからとパーティ追放されました！～それなら不労所得目指して賃貸経営いたします～ 【連載版】")</f>
        <v>20250106_一迅社_イチャつくのに邪魔だからとパーティ追放されました！～それなら不労所得目指して賃貸経営いたします～ 【連載版】</v>
      </c>
      <c r="T2641" s="75" t="str">
        <f>IFERROR(__xludf.DUMMYFUNCTION("""COMPUTED_VALUE"""),"格納済み")</f>
        <v>格納済み</v>
      </c>
      <c r="U2641" s="15" t="str">
        <f>IFERROR(__xludf.DUMMYFUNCTION("""COMPUTED_VALUE"""),"(c)しゃるもん・桃月とと・桧野ひなこ／一迅社")</f>
        <v>(c)しゃるもん・桃月とと・桧野ひなこ／一迅社</v>
      </c>
      <c r="V2641" s="8" t="str">
        <f>IFERROR(__xludf.DUMMYFUNCTION("""COMPUTED_VALUE"""),"「悪いがトリシア、このパーティを抜けてもらいたい」男１女２のパーティで自分以外がカップルになり、パーティを追放された回復師のトリシア。慰謝料代わりに受け取ったパーティ預金で冒険者向けの賃貸経営を計画することに。腐れ縁のＳ級冒険者ルークとともに秘密のスキル【リセット】を駆使して、前世からの夢である「不労所得」を目指すのんびり賃貸経営ファンタジー！　【本商品は単話コンテンツとなります。単行本版と収録内容が異なる場合がございます。漫画内の告知等は過去のものとなりますので、ご注意ください。】")</f>
        <v>「悪いがトリシア、このパーティを抜けてもらいたい」男１女２のパーティで自分以外がカップルになり、パーティを追放された回復師のトリシア。慰謝料代わりに受け取ったパーティ預金で冒険者向けの賃貸経営を計画することに。腐れ縁のＳ級冒険者ルークとともに秘密のスキル【リセット】を駆使して、前世からの夢である「不労所得」を目指すのんびり賃貸経営ファンタジー！　【本商品は単話コンテンツとなります。単行本版と収録内容が異なる場合がございます。漫画内の告知等は過去のものとなりますので、ご注意ください。】</v>
      </c>
      <c r="W2641" s="14"/>
      <c r="X2641" s="14" t="str">
        <f>IFERROR(__xludf.DUMMYFUNCTION("""COMPUTED_VALUE"""),"有")</f>
        <v>有</v>
      </c>
      <c r="Y2641" s="8" t="str">
        <f>IFERROR(__xludf.DUMMYFUNCTION("""COMPUTED_VALUE"""),"2025/2/16まで1巻無料")</f>
        <v>2025/2/16まで1巻無料</v>
      </c>
      <c r="Z2641" s="7"/>
      <c r="AA2641" s="7"/>
      <c r="AB2641" s="7"/>
    </row>
    <row r="2642" ht="15.75" customHeight="1">
      <c r="A2642" s="66">
        <f>IFERROR(__xludf.DUMMYFUNCTION("""COMPUTED_VALUE"""),4306.0)</f>
        <v>4306</v>
      </c>
      <c r="B2642" s="75" t="str">
        <f>IFERROR(__xludf.DUMMYFUNCTION("""COMPUTED_VALUE"""),"確定")</f>
        <v>確定</v>
      </c>
      <c r="C2642" s="68">
        <f>IFERROR(__xludf.DUMMYFUNCTION("""COMPUTED_VALUE"""),45576.0)</f>
        <v>45576</v>
      </c>
      <c r="D2642" s="68">
        <f>IFERROR(__xludf.DUMMYFUNCTION("""COMPUTED_VALUE"""),45664.0)</f>
        <v>45664</v>
      </c>
      <c r="E2642" s="60">
        <f>IFERROR(__xludf.DUMMYFUNCTION("""COMPUTED_VALUE"""),310490.0)</f>
        <v>310490</v>
      </c>
      <c r="F2642" s="60" t="str">
        <f>IFERROR(__xludf.DUMMYFUNCTION("""COMPUTED_VALUE"""),"にえみこ 【連載版】")</f>
        <v>にえみこ 【連載版】</v>
      </c>
      <c r="G2642" s="75" t="str">
        <f>IFERROR(__xludf.DUMMYFUNCTION("""COMPUTED_VALUE"""),"1～4")</f>
        <v>1～4</v>
      </c>
      <c r="H2642" s="75" t="str">
        <f>IFERROR(__xludf.DUMMYFUNCTION("""COMPUTED_VALUE"""),"アラスカぱん")</f>
        <v>アラスカぱん</v>
      </c>
      <c r="I2642" s="75" t="str">
        <f>IFERROR(__xludf.DUMMYFUNCTION("""COMPUTED_VALUE"""),"少女")</f>
        <v>少女</v>
      </c>
      <c r="J2642" s="87"/>
      <c r="K2642" s="87"/>
      <c r="L2642" s="75" t="str">
        <f>IFERROR(__xludf.DUMMYFUNCTION("""COMPUTED_VALUE"""),"一迅社")</f>
        <v>一迅社</v>
      </c>
      <c r="M2642" s="23">
        <f>IFERROR(__xludf.DUMMYFUNCTION("""COMPUTED_VALUE"""),45689.0)</f>
        <v>45689</v>
      </c>
      <c r="N2642" s="23">
        <f>IFERROR(__xludf.DUMMYFUNCTION("""COMPUTED_VALUE"""),45716.0)</f>
        <v>45716</v>
      </c>
      <c r="O2642" s="75"/>
      <c r="P2642" s="80" t="str">
        <f>IFERROR(__xludf.DUMMYFUNCTION("""COMPUTED_VALUE"""),"可")</f>
        <v>可</v>
      </c>
      <c r="Q2642" s="75" t="str">
        <f>IFERROR(__xludf.DUMMYFUNCTION("""COMPUTED_VALUE"""),"・ソルマーレから提案の広告コミット案件です（河上さん確認済み）")</f>
        <v>・ソルマーレから提案の広告コミット案件です（河上さん確認済み）</v>
      </c>
      <c r="R2642" s="75" t="str">
        <f>IFERROR(__xludf.DUMMYFUNCTION("""COMPUTED_VALUE"""),"コミットOK")</f>
        <v>コミットOK</v>
      </c>
      <c r="S2642" s="75" t="str">
        <f>IFERROR(__xludf.DUMMYFUNCTION("""COMPUTED_VALUE"""),"20250106_一迅社_にえみこ 【連載版】")</f>
        <v>20250106_一迅社_にえみこ 【連載版】</v>
      </c>
      <c r="T2642" s="75" t="str">
        <f>IFERROR(__xludf.DUMMYFUNCTION("""COMPUTED_VALUE"""),"格納済み")</f>
        <v>格納済み</v>
      </c>
      <c r="U2642" s="15" t="str">
        <f>IFERROR(__xludf.DUMMYFUNCTION("""COMPUTED_VALUE"""),"(C)アラスカぱん／一迅社")</f>
        <v>(C)アラスカぱん／一迅社</v>
      </c>
      <c r="V2642" s="8" t="str">
        <f>IFERROR(__xludf.DUMMYFUNCTION("""COMPUTED_VALUE"""),"巫女の家系に生まれ、普通の人には見えない“ヘンなもの”が視える女子高生の矢ヶ為墨香。優秀な妹と常に比べられ、スペアとして扱われる日々に嫌気がさしていた彼女だが、ある日 家の慣習でもある「満月の夜のお祈り」の最中に封じられていた妖が解き放たれ、大ピンチに！そこへ現れたのは、落ちこぼれの墨香を“贄姫”と呼ぶ謎の妖で――!?【本商品は単話コンテンツとなります。単行本版と収録内容が異なる場合がございます。漫画内の告知等は過去のものとなりますので、ご注意ください。】")</f>
        <v>巫女の家系に生まれ、普通の人には見えない“ヘンなもの”が視える女子高生の矢ヶ為墨香。優秀な妹と常に比べられ、スペアとして扱われる日々に嫌気がさしていた彼女だが、ある日 家の慣習でもある「満月の夜のお祈り」の最中に封じられていた妖が解き放たれ、大ピンチに！そこへ現れたのは、落ちこぼれの墨香を“贄姫”と呼ぶ謎の妖で――!?【本商品は単話コンテンツとなります。単行本版と収録内容が異なる場合がございます。漫画内の告知等は過去のものとなりますので、ご注意ください。】</v>
      </c>
      <c r="W2642" s="14"/>
      <c r="X2642" s="14" t="str">
        <f>IFERROR(__xludf.DUMMYFUNCTION("""COMPUTED_VALUE"""),"有")</f>
        <v>有</v>
      </c>
      <c r="Y2642" s="8" t="str">
        <f>IFERROR(__xludf.DUMMYFUNCTION("""COMPUTED_VALUE"""),"2025/2/28まで1巻無料")</f>
        <v>2025/2/28まで1巻無料</v>
      </c>
      <c r="Z2642" s="7"/>
      <c r="AA2642" s="7"/>
      <c r="AB2642" s="7"/>
    </row>
    <row r="2643" ht="15.75" customHeight="1">
      <c r="A2643" s="66">
        <f>IFERROR(__xludf.DUMMYFUNCTION("""COMPUTED_VALUE"""),4397.0)</f>
        <v>4397</v>
      </c>
      <c r="B2643" s="75" t="str">
        <f>IFERROR(__xludf.DUMMYFUNCTION("""COMPUTED_VALUE"""),"確定")</f>
        <v>確定</v>
      </c>
      <c r="C2643" s="68">
        <f>IFERROR(__xludf.DUMMYFUNCTION("""COMPUTED_VALUE"""),45588.0)</f>
        <v>45588</v>
      </c>
      <c r="D2643" s="68">
        <f>IFERROR(__xludf.DUMMYFUNCTION("""COMPUTED_VALUE"""),45665.0)</f>
        <v>45665</v>
      </c>
      <c r="E2643" s="60">
        <f>IFERROR(__xludf.DUMMYFUNCTION("""COMPUTED_VALUE"""),313017.0)</f>
        <v>313017</v>
      </c>
      <c r="F2643" s="60" t="str">
        <f>IFERROR(__xludf.DUMMYFUNCTION("""COMPUTED_VALUE"""),"琉球バッカニア 【連載版】")</f>
        <v>琉球バッカニア 【連載版】</v>
      </c>
      <c r="G2643" s="75" t="str">
        <f>IFERROR(__xludf.DUMMYFUNCTION("""COMPUTED_VALUE"""),"1～7")</f>
        <v>1～7</v>
      </c>
      <c r="H2643" s="75" t="str">
        <f>IFERROR(__xludf.DUMMYFUNCTION("""COMPUTED_VALUE"""),"原作：カミツキレイニー 漫画：土井 那羽")</f>
        <v>原作：カミツキレイニー 漫画：土井 那羽</v>
      </c>
      <c r="I2643" s="75" t="str">
        <f>IFERROR(__xludf.DUMMYFUNCTION("""COMPUTED_VALUE"""),"青年")</f>
        <v>青年</v>
      </c>
      <c r="J2643" s="87"/>
      <c r="K2643" s="87"/>
      <c r="L2643" s="75" t="str">
        <f>IFERROR(__xludf.DUMMYFUNCTION("""COMPUTED_VALUE"""),"一迅社")</f>
        <v>一迅社</v>
      </c>
      <c r="M2643" s="23">
        <f>IFERROR(__xludf.DUMMYFUNCTION("""COMPUTED_VALUE"""),45704.0)</f>
        <v>45704</v>
      </c>
      <c r="N2643" s="59">
        <f>IFERROR(__xludf.DUMMYFUNCTION("""COMPUTED_VALUE"""),45792.66666666667)</f>
        <v>45792.66667</v>
      </c>
      <c r="O2643" s="75"/>
      <c r="P2643" s="80" t="str">
        <f>IFERROR(__xludf.DUMMYFUNCTION("""COMPUTED_VALUE"""),"可")</f>
        <v>可</v>
      </c>
      <c r="Q2643" s="75" t="str">
        <f>IFERROR(__xludf.DUMMYFUNCTION("""COMPUTED_VALUE"""),"・著者の過去作は下記のとおりです。&lt;BR&gt;原作：カミツキレイニー（ガガガ文庫「魔女と猟犬」）&lt;BR&gt;漫画：土井 那羽（週刊少年マガジン「KIMURA×CLASS」）")</f>
        <v>・著者の過去作は下記のとおりです。&lt;BR&gt;原作：カミツキレイニー（ガガガ文庫「魔女と猟犬」）&lt;BR&gt;漫画：土井 那羽（週刊少年マガジン「KIMURA×CLASS」）</v>
      </c>
      <c r="R2643" s="75" t="str">
        <f>IFERROR(__xludf.DUMMYFUNCTION("""COMPUTED_VALUE"""),"コミットOK")</f>
        <v>コミットOK</v>
      </c>
      <c r="S2643" s="75" t="str">
        <f>IFERROR(__xludf.DUMMYFUNCTION("""COMPUTED_VALUE"""),"20250107_一迅社_琉球バッカニア")</f>
        <v>20250107_一迅社_琉球バッカニア</v>
      </c>
      <c r="T2643" s="75" t="str">
        <f>IFERROR(__xludf.DUMMYFUNCTION("""COMPUTED_VALUE"""),"格納済み")</f>
        <v>格納済み</v>
      </c>
      <c r="U2643" s="15" t="str">
        <f>IFERROR(__xludf.DUMMYFUNCTION("""COMPUTED_VALUE"""),"(C)カミツキレイニー・土井那羽／一迅社")</f>
        <v>(C)カミツキレイニー・土井那羽／一迅社</v>
      </c>
      <c r="V2643" s="8" t="str">
        <f>IFERROR(__xludf.DUMMYFUNCTION("""COMPUTED_VALUE"""),"時は幕末、黒船来航に揺れ、あらゆる猛者が覇権を争う激動の時代――日本。没落した元琉球士族の波名城武太は、那覇で病気の母親を支えながら、生きるために盗人として貧しい生活を送っていた。そんな中、日本のとある島に伝説の海賊が遺した国を揺るがすほどの莫大な財宝が眠るとの噂が…。武太は薩摩の謀略によりあらぬ罪を着せられたことをきっかけに、強者ひしめく財宝争奪戦に巻き込まれることに…！！すべてを失った青年が天命に贖い、己の怒りの刃で新たな運命を斬り開く――！！裏切り、欲望、陰謀が絡み合う人生一発逆転を賭けたゴールドラ"&amp;"ッシュサバイバルがいま幕を開ける――。　【本商品は単話コンテンツとなります。単行本版と収録内容が異なる場合がございます。漫画内の告知等は過去のものとなりますので、ご注意ください。】")</f>
        <v>時は幕末、黒船来航に揺れ、あらゆる猛者が覇権を争う激動の時代――日本。没落した元琉球士族の波名城武太は、那覇で病気の母親を支えながら、生きるために盗人として貧しい生活を送っていた。そんな中、日本のとある島に伝説の海賊が遺した国を揺るがすほどの莫大な財宝が眠るとの噂が…。武太は薩摩の謀略によりあらぬ罪を着せられたことをきっかけに、強者ひしめく財宝争奪戦に巻き込まれることに…！！すべてを失った青年が天命に贖い、己の怒りの刃で新たな運命を斬り開く――！！裏切り、欲望、陰謀が絡み合う人生一発逆転を賭けたゴールドラッシュサバイバルがいま幕を開ける――。　【本商品は単話コンテンツとなります。単行本版と収録内容が異なる場合がございます。漫画内の告知等は過去のものとなりますので、ご注意ください。】</v>
      </c>
      <c r="W2643" s="14"/>
      <c r="X2643" s="14" t="str">
        <f>IFERROR(__xludf.DUMMYFUNCTION("""COMPUTED_VALUE"""),"有")</f>
        <v>有</v>
      </c>
      <c r="Y2643" s="8" t="str">
        <f>IFERROR(__xludf.DUMMYFUNCTION("""COMPUTED_VALUE"""),"P9まで")</f>
        <v>P9まで</v>
      </c>
      <c r="Z2643" s="7"/>
      <c r="AA2643" s="7"/>
      <c r="AB2643" s="7"/>
    </row>
    <row r="2644" ht="15.75" customHeight="1">
      <c r="A2644" s="66">
        <f>IFERROR(__xludf.DUMMYFUNCTION("""COMPUTED_VALUE"""),4400.0)</f>
        <v>4400</v>
      </c>
      <c r="B2644" s="75" t="str">
        <f>IFERROR(__xludf.DUMMYFUNCTION("""COMPUTED_VALUE"""),"確定")</f>
        <v>確定</v>
      </c>
      <c r="C2644" s="68">
        <f>IFERROR(__xludf.DUMMYFUNCTION("""COMPUTED_VALUE"""),45588.0)</f>
        <v>45588</v>
      </c>
      <c r="D2644" s="68">
        <f>IFERROR(__xludf.DUMMYFUNCTION("""COMPUTED_VALUE"""),45664.0)</f>
        <v>45664</v>
      </c>
      <c r="E2644" s="60">
        <f>IFERROR(__xludf.DUMMYFUNCTION("""COMPUTED_VALUE"""),313016.0)</f>
        <v>313016</v>
      </c>
      <c r="F2644" s="60" t="str">
        <f>IFERROR(__xludf.DUMMYFUNCTION("""COMPUTED_VALUE"""),"今宵、狼神様と契約夫婦になりまして 【連載版】")</f>
        <v>今宵、狼神様と契約夫婦になりまして 【連載版】</v>
      </c>
      <c r="G2644" s="75" t="str">
        <f>IFERROR(__xludf.DUMMYFUNCTION("""COMPUTED_VALUE"""),"1～3")</f>
        <v>1～3</v>
      </c>
      <c r="H2644" s="75" t="str">
        <f>IFERROR(__xludf.DUMMYFUNCTION("""COMPUTED_VALUE"""),"原作：三沢ケイ 作画：丹野しろ")</f>
        <v>原作：三沢ケイ 作画：丹野しろ</v>
      </c>
      <c r="I2644" s="75" t="str">
        <f>IFERROR(__xludf.DUMMYFUNCTION("""COMPUTED_VALUE"""),"少女")</f>
        <v>少女</v>
      </c>
      <c r="J2644" s="87"/>
      <c r="K2644" s="87"/>
      <c r="L2644" s="75" t="str">
        <f>IFERROR(__xludf.DUMMYFUNCTION("""COMPUTED_VALUE"""),"一迅社")</f>
        <v>一迅社</v>
      </c>
      <c r="M2644" s="23">
        <f>IFERROR(__xludf.DUMMYFUNCTION("""COMPUTED_VALUE"""),45702.0)</f>
        <v>45702</v>
      </c>
      <c r="N2644" s="59">
        <f>IFERROR(__xludf.DUMMYFUNCTION("""COMPUTED_VALUE"""),45729.0)</f>
        <v>45729</v>
      </c>
      <c r="O2644" s="75"/>
      <c r="P2644" s="80" t="str">
        <f>IFERROR(__xludf.DUMMYFUNCTION("""COMPUTED_VALUE"""),"可")</f>
        <v>可</v>
      </c>
      <c r="Q2644" s="75" t="str">
        <f>IFERROR(__xludf.DUMMYFUNCTION("""COMPUTED_VALUE"""),"・スターツ出版原作の和風あやかし×溺愛ラブファンタジーコミカライズ企画&lt;BR&gt;・1～3巻で制作お願いします")</f>
        <v>・スターツ出版原作の和風あやかし×溺愛ラブファンタジーコミカライズ企画&lt;BR&gt;・1～3巻で制作お願いします</v>
      </c>
      <c r="R2644" s="75" t="str">
        <f>IFERROR(__xludf.DUMMYFUNCTION("""COMPUTED_VALUE"""),"コミットOK")</f>
        <v>コミットOK</v>
      </c>
      <c r="S2644" s="75" t="str">
        <f>IFERROR(__xludf.DUMMYFUNCTION("""COMPUTED_VALUE"""),"20250106_一迅社_今宵、狼神様と契約夫婦になりまして")</f>
        <v>20250106_一迅社_今宵、狼神様と契約夫婦になりまして</v>
      </c>
      <c r="T2644" s="75" t="str">
        <f>IFERROR(__xludf.DUMMYFUNCTION("""COMPUTED_VALUE"""),"格納済み")</f>
        <v>格納済み</v>
      </c>
      <c r="U2644" s="15" t="str">
        <f>IFERROR(__xludf.DUMMYFUNCTION("""COMPUTED_VALUE"""),"(C)丹野しろ／一迅社 (C)三沢ケイ・條／スターツ出版")</f>
        <v>(C)丹野しろ／一迅社 (C)三沢ケイ・條／スターツ出版</v>
      </c>
      <c r="V2644" s="8" t="str">
        <f>IFERROR(__xludf.DUMMYFUNCTION("""COMPUTED_VALUE"""),"新山陽茉莉には、ある秘密がある。それは、人ならざる者が見えるということ。ある日の帰り道、悪霊と化した死者──邪鬼に襲われた陽茉莉は、上司である相澤礼也にピンチを救ってもらい、実は相澤は、「狼神」と人間の半妖なのだと打ち明けられる。このままだとまた邪鬼に襲われると告げられて怯える陽茉莉に、相澤は「守ってやるから俺の花嫁になれ」と交換条件の契約同居を持ちかけてきて……！?溺愛×もふもふ、秘密の同居生活スタート！　【本商品は単話コンテンツとなります。単行本版と収録内容が異なる場合がございます。漫画内の告知等は過"&amp;"去のものとなりますので、ご注意ください。】")</f>
        <v>新山陽茉莉には、ある秘密がある。それは、人ならざる者が見えるということ。ある日の帰り道、悪霊と化した死者──邪鬼に襲われた陽茉莉は、上司である相澤礼也にピンチを救ってもらい、実は相澤は、「狼神」と人間の半妖なのだと打ち明けられる。このままだとまた邪鬼に襲われると告げられて怯える陽茉莉に、相澤は「守ってやるから俺の花嫁になれ」と交換条件の契約同居を持ちかけてきて……！?溺愛×もふもふ、秘密の同居生活スタート！　【本商品は単話コンテンツとなります。単行本版と収録内容が異なる場合がございます。漫画内の告知等は過去のものとなりますので、ご注意ください。】</v>
      </c>
      <c r="W2644" s="14"/>
      <c r="X2644" s="14" t="str">
        <f>IFERROR(__xludf.DUMMYFUNCTION("""COMPUTED_VALUE"""),"有")</f>
        <v>有</v>
      </c>
      <c r="Y2644" s="8" t="str">
        <f>IFERROR(__xludf.DUMMYFUNCTION("""COMPUTED_VALUE"""),"P9まで")</f>
        <v>P9まで</v>
      </c>
      <c r="Z2644" s="7"/>
      <c r="AA2644" s="7"/>
      <c r="AB2644" s="7"/>
    </row>
    <row r="2645" ht="15.75" customHeight="1">
      <c r="A2645" s="66">
        <f>IFERROR(__xludf.DUMMYFUNCTION("""COMPUTED_VALUE"""),4562.0)</f>
        <v>4562</v>
      </c>
      <c r="B2645" s="75" t="str">
        <f>IFERROR(__xludf.DUMMYFUNCTION("""COMPUTED_VALUE"""),"確定")</f>
        <v>確定</v>
      </c>
      <c r="C2645" s="68">
        <f>IFERROR(__xludf.DUMMYFUNCTION("""COMPUTED_VALUE"""),45621.0)</f>
        <v>45621</v>
      </c>
      <c r="D2645" s="68">
        <f>IFERROR(__xludf.DUMMYFUNCTION("""COMPUTED_VALUE"""),45665.0)</f>
        <v>45665</v>
      </c>
      <c r="E2645" s="60">
        <f>IFERROR(__xludf.DUMMYFUNCTION("""COMPUTED_VALUE"""),311110.0)</f>
        <v>311110</v>
      </c>
      <c r="F2645" s="60" t="str">
        <f>IFERROR(__xludf.DUMMYFUNCTION("""COMPUTED_VALUE"""),"3月の霹靂［1話売り］")</f>
        <v>3月の霹靂［1話売り］</v>
      </c>
      <c r="G2645" s="75" t="str">
        <f>IFERROR(__xludf.DUMMYFUNCTION("""COMPUTED_VALUE"""),"1～4")</f>
        <v>1～4</v>
      </c>
      <c r="H2645" s="75" t="str">
        <f>IFERROR(__xludf.DUMMYFUNCTION("""COMPUTED_VALUE"""),"池ジュン子")</f>
        <v>池ジュン子</v>
      </c>
      <c r="I2645" s="75" t="str">
        <f>IFERROR(__xludf.DUMMYFUNCTION("""COMPUTED_VALUE"""),"少女")</f>
        <v>少女</v>
      </c>
      <c r="J2645" s="75"/>
      <c r="K2645" s="75" t="str">
        <f>IFERROR(__xludf.DUMMYFUNCTION("""COMPUTED_VALUE"""),"LaLa")</f>
        <v>LaLa</v>
      </c>
      <c r="L2645" s="75" t="str">
        <f>IFERROR(__xludf.DUMMYFUNCTION("""COMPUTED_VALUE"""),"白泉社")</f>
        <v>白泉社</v>
      </c>
      <c r="M2645" s="23">
        <f>IFERROR(__xludf.DUMMYFUNCTION("""COMPUTED_VALUE"""),45674.0)</f>
        <v>45674</v>
      </c>
      <c r="N2645" s="59">
        <f>IFERROR(__xludf.DUMMYFUNCTION("""COMPUTED_VALUE"""),45737.0)</f>
        <v>45737</v>
      </c>
      <c r="O2645" s="75"/>
      <c r="P2645" s="80" t="str">
        <f>IFERROR(__xludf.DUMMYFUNCTION("""COMPUTED_VALUE"""),"否")</f>
        <v>否</v>
      </c>
      <c r="Q2645" s="75" t="str">
        <f>IFERROR(__xludf.DUMMYFUNCTION("""COMPUTED_VALUE"""),"「末永くよろしくお願いします」の先生の新作です！&lt;BR&gt;https://www.cmoa.jp/title/204326/")</f>
        <v>「末永くよろしくお願いします」の先生の新作です！&lt;BR&gt;https://www.cmoa.jp/title/204326/</v>
      </c>
      <c r="R2645" s="75" t="str">
        <f>IFERROR(__xludf.DUMMYFUNCTION("""COMPUTED_VALUE"""),"コミットOK")</f>
        <v>コミットOK</v>
      </c>
      <c r="S2645" s="75" t="str">
        <f>IFERROR(__xludf.DUMMYFUNCTION("""COMPUTED_VALUE"""),"20250107_白泉社_3月の霹靂")</f>
        <v>20250107_白泉社_3月の霹靂</v>
      </c>
      <c r="T2645" s="75" t="str">
        <f>IFERROR(__xludf.DUMMYFUNCTION("""COMPUTED_VALUE"""),"格納済み")</f>
        <v>格納済み</v>
      </c>
      <c r="U2645" s="15" t="str">
        <f>IFERROR(__xludf.DUMMYFUNCTION("""COMPUTED_VALUE"""),"⒞池ジュン子/白泉社")</f>
        <v>⒞池ジュン子/白泉社</v>
      </c>
      <c r="V2645" s="8" t="str">
        <f>IFERROR(__xludf.DUMMYFUNCTION("""COMPUTED_VALUE"""),"≪10年ぶりに再会した幼馴染がなんかヤバい!?≫事故に遭い留年し、二度目の高校１年生となった依のもとに、かつて弟のように可愛がっていた幼馴染の彌生が現れる。小さく可愛かった彌生は超イケメンに成長しており、さらに結婚の約束をしたと依に迫ってきて…!?(この話は、【電子版】LaLaDX 7月号（2024年）に収録されています。)")</f>
        <v>≪10年ぶりに再会した幼馴染がなんかヤバい!?≫事故に遭い留年し、二度目の高校１年生となった依のもとに、かつて弟のように可愛がっていた幼馴染の彌生が現れる。小さく可愛かった彌生は超イケメンに成長しており、さらに結婚の約束をしたと依に迫ってきて…!?(この話は、【電子版】LaLaDX 7月号（2024年）に収録されています。)</v>
      </c>
      <c r="W2645" s="14"/>
      <c r="X2645" s="14" t="str">
        <f>IFERROR(__xludf.DUMMYFUNCTION("""COMPUTED_VALUE"""),"有")</f>
        <v>有</v>
      </c>
      <c r="Y2645" s="8" t="str">
        <f>IFERROR(__xludf.DUMMYFUNCTION("""COMPUTED_VALUE"""),"2025/3/21まで1巻無料")</f>
        <v>2025/3/21まで1巻無料</v>
      </c>
      <c r="Z2645" s="7"/>
      <c r="AA2645" s="7"/>
      <c r="AB2645" s="7"/>
    </row>
    <row r="2646" ht="15.75" customHeight="1">
      <c r="A2646" s="66">
        <f>IFERROR(__xludf.DUMMYFUNCTION("""COMPUTED_VALUE"""),4581.0)</f>
        <v>4581</v>
      </c>
      <c r="B2646" s="75" t="str">
        <f>IFERROR(__xludf.DUMMYFUNCTION("""COMPUTED_VALUE"""),"確定")</f>
        <v>確定</v>
      </c>
      <c r="C2646" s="68">
        <f>IFERROR(__xludf.DUMMYFUNCTION("""COMPUTED_VALUE"""),45624.0)</f>
        <v>45624</v>
      </c>
      <c r="D2646" s="68">
        <f>IFERROR(__xludf.DUMMYFUNCTION("""COMPUTED_VALUE"""),45664.0)</f>
        <v>45664</v>
      </c>
      <c r="E2646" s="60">
        <f>IFERROR(__xludf.DUMMYFUNCTION("""COMPUTED_VALUE"""),312637.0)</f>
        <v>312637</v>
      </c>
      <c r="F2646" s="60" t="str">
        <f>IFERROR(__xludf.DUMMYFUNCTION("""COMPUTED_VALUE"""),"夜明けを焦がす星々 【連載版】")</f>
        <v>夜明けを焦がす星々 【連載版】</v>
      </c>
      <c r="G2646" s="75" t="str">
        <f>IFERROR(__xludf.DUMMYFUNCTION("""COMPUTED_VALUE"""),"1～6")</f>
        <v>1～6</v>
      </c>
      <c r="H2646" s="75" t="str">
        <f>IFERROR(__xludf.DUMMYFUNCTION("""COMPUTED_VALUE"""),"氷凪")</f>
        <v>氷凪</v>
      </c>
      <c r="I2646" s="75" t="str">
        <f>IFERROR(__xludf.DUMMYFUNCTION("""COMPUTED_VALUE"""),"少女")</f>
        <v>少女</v>
      </c>
      <c r="J2646" s="75"/>
      <c r="K2646" s="75" t="str">
        <f>IFERROR(__xludf.DUMMYFUNCTION("""COMPUTED_VALUE"""),"ZERO-SUMコミックス")</f>
        <v>ZERO-SUMコミックス</v>
      </c>
      <c r="L2646" s="75" t="str">
        <f>IFERROR(__xludf.DUMMYFUNCTION("""COMPUTED_VALUE"""),"一迅社")</f>
        <v>一迅社</v>
      </c>
      <c r="M2646" s="23">
        <f>IFERROR(__xludf.DUMMYFUNCTION("""COMPUTED_VALUE"""),45689.0)</f>
        <v>45689</v>
      </c>
      <c r="N2646" s="23">
        <f>IFERROR(__xludf.DUMMYFUNCTION("""COMPUTED_VALUE"""),45716.0)</f>
        <v>45716</v>
      </c>
      <c r="O2646" s="75"/>
      <c r="P2646" s="80" t="str">
        <f>IFERROR(__xludf.DUMMYFUNCTION("""COMPUTED_VALUE"""),"可")</f>
        <v>可</v>
      </c>
      <c r="Q2646" s="75" t="str">
        <f>IFERROR(__xludf.DUMMYFUNCTION("""COMPUTED_VALUE"""),"中華風異世界ファンタジー。イケメンキャラの友情を描いているので、一部BLファンも取り込めそうです。
・1～5巻は「Comic ZERO-SUM (コミック ゼロサム)」本誌から本文データを転用してください。")</f>
        <v>中華風異世界ファンタジー。イケメンキャラの友情を描いているので、一部BLファンも取り込めそうです。
・1～5巻は「Comic ZERO-SUM (コミック ゼロサム)」本誌から本文データを転用してください。</v>
      </c>
      <c r="R2646" s="75" t="str">
        <f>IFERROR(__xludf.DUMMYFUNCTION("""COMPUTED_VALUE"""),"コミットOK")</f>
        <v>コミットOK</v>
      </c>
      <c r="S2646" s="75" t="str">
        <f>IFERROR(__xludf.DUMMYFUNCTION("""COMPUTED_VALUE"""),"20250106_一迅社_夜明けを焦がす星々 【連載版】")</f>
        <v>20250106_一迅社_夜明けを焦がす星々 【連載版】</v>
      </c>
      <c r="T2646" s="75" t="str">
        <f>IFERROR(__xludf.DUMMYFUNCTION("""COMPUTED_VALUE"""),"格納済み")</f>
        <v>格納済み</v>
      </c>
      <c r="U2646" s="15" t="str">
        <f>IFERROR(__xludf.DUMMYFUNCTION("""COMPUTED_VALUE"""),"(C)氷凪／一迅社")</f>
        <v>(C)氷凪／一迅社</v>
      </c>
      <c r="V2646" s="8" t="str">
        <f>IFERROR(__xludf.DUMMYFUNCTION("""COMPUTED_VALUE"""),"一方的に縁を切られていた幼馴染の香助と久々に再会した高校生の鐘斗は、川に落ちそうになっている猫を助けようとしたところで自身が彼と共に川に落ちてしまう。目が覚めると見知らぬ場所におり、何とか帰ろうとする鐘斗だが、香助の様子がどうもおかしくて――？さらに、見たこともない服に身を包んだ集団に襲われ香助が連れ去られたことで、二人は離れ離れになってしまい――…異世界なのに、なぜか懐かしさを感じる不思議な場所で、幼馴染を探しながら過去の秘密を明らかにする中華ファンタジー！【本商品は単話コンテンツとなります。単行本版と"&amp;"収録内容が異なる場合がございます。漫画内の告知等は過去のものとなりますので、ご注意ください。】")</f>
        <v>一方的に縁を切られていた幼馴染の香助と久々に再会した高校生の鐘斗は、川に落ちそうになっている猫を助けようとしたところで自身が彼と共に川に落ちてしまう。目が覚めると見知らぬ場所におり、何とか帰ろうとする鐘斗だが、香助の様子がどうもおかしくて――？さらに、見たこともない服に身を包んだ集団に襲われ香助が連れ去られたことで、二人は離れ離れになってしまい――…異世界なのに、なぜか懐かしさを感じる不思議な場所で、幼馴染を探しながら過去の秘密を明らかにする中華ファンタジー！【本商品は単話コンテンツとなります。単行本版と収録内容が異なる場合がございます。漫画内の告知等は過去のものとなりますので、ご注意ください。】</v>
      </c>
      <c r="W2646" s="14"/>
      <c r="X2646" s="14" t="str">
        <f>IFERROR(__xludf.DUMMYFUNCTION("""COMPUTED_VALUE"""),"有")</f>
        <v>有</v>
      </c>
      <c r="Y2646" s="8" t="str">
        <f>IFERROR(__xludf.DUMMYFUNCTION("""COMPUTED_VALUE"""),"2025/2/28まで1巻無料")</f>
        <v>2025/2/28まで1巻無料</v>
      </c>
      <c r="Z2646" s="7"/>
      <c r="AA2646" s="7"/>
      <c r="AB2646" s="7"/>
    </row>
    <row r="2647" ht="15.75" customHeight="1">
      <c r="A2647" s="66">
        <f>IFERROR(__xludf.DUMMYFUNCTION("""COMPUTED_VALUE"""),4584.0)</f>
        <v>4584</v>
      </c>
      <c r="B2647" s="75" t="str">
        <f>IFERROR(__xludf.DUMMYFUNCTION("""COMPUTED_VALUE"""),"確定")</f>
        <v>確定</v>
      </c>
      <c r="C2647" s="68">
        <f>IFERROR(__xludf.DUMMYFUNCTION("""COMPUTED_VALUE"""),45624.0)</f>
        <v>45624</v>
      </c>
      <c r="D2647" s="68">
        <f>IFERROR(__xludf.DUMMYFUNCTION("""COMPUTED_VALUE"""),45664.0)</f>
        <v>45664</v>
      </c>
      <c r="E2647" s="60">
        <f>IFERROR(__xludf.DUMMYFUNCTION("""COMPUTED_VALUE"""),314838.0)</f>
        <v>314838</v>
      </c>
      <c r="F2647" s="60" t="str">
        <f>IFERROR(__xludf.DUMMYFUNCTION("""COMPUTED_VALUE"""),"ぎゅって もっと、つないで")</f>
        <v>ぎゅって もっと、つないで</v>
      </c>
      <c r="G2647" s="75" t="str">
        <f>IFERROR(__xludf.DUMMYFUNCTION("""COMPUTED_VALUE"""),"1～2")</f>
        <v>1～2</v>
      </c>
      <c r="H2647" s="75" t="str">
        <f>IFERROR(__xludf.DUMMYFUNCTION("""COMPUTED_VALUE"""),"つなしや季夏")</f>
        <v>つなしや季夏</v>
      </c>
      <c r="I2647" s="75" t="str">
        <f>IFERROR(__xludf.DUMMYFUNCTION("""COMPUTED_VALUE"""),"BL")</f>
        <v>BL</v>
      </c>
      <c r="J2647" s="75"/>
      <c r="K2647" s="75" t="str">
        <f>IFERROR(__xludf.DUMMYFUNCTION("""COMPUTED_VALUE"""),"MooiComics")</f>
        <v>MooiComics</v>
      </c>
      <c r="L2647" s="75" t="str">
        <f>IFERROR(__xludf.DUMMYFUNCTION("""COMPUTED_VALUE"""),"CLLENN")</f>
        <v>CLLENN</v>
      </c>
      <c r="M2647" s="23">
        <f>IFERROR(__xludf.DUMMYFUNCTION("""COMPUTED_VALUE"""),45706.0)</f>
        <v>45706</v>
      </c>
      <c r="N2647" s="59">
        <f>IFERROR(__xludf.DUMMYFUNCTION("""COMPUTED_VALUE"""),45761.0)</f>
        <v>45761</v>
      </c>
      <c r="O2647" s="75"/>
      <c r="P2647" s="80" t="str">
        <f>IFERROR(__xludf.DUMMYFUNCTION("""COMPUTED_VALUE"""),"可")</f>
        <v>可</v>
      </c>
      <c r="Q2647" s="75" t="str">
        <f>IFERROR(__xludf.DUMMYFUNCTION("""COMPUTED_VALUE"""),"【出版社よりコメント】すでに商業デビュー済み作家さんの新作です。絵柄がきれいな方で、アダルト等の広告で展開しやすいのではと考えております。&lt;BR&gt;・作家過去作&lt;BR&gt;https://www.cmoa.jp/title/295190/")</f>
        <v>【出版社よりコメント】すでに商業デビュー済み作家さんの新作です。絵柄がきれいな方で、アダルト等の広告で展開しやすいのではと考えております。&lt;BR&gt;・作家過去作&lt;BR&gt;https://www.cmoa.jp/title/295190/</v>
      </c>
      <c r="R2647" s="75" t="str">
        <f>IFERROR(__xludf.DUMMYFUNCTION("""COMPUTED_VALUE"""),"コミットOK")</f>
        <v>コミットOK</v>
      </c>
      <c r="S2647" s="75" t="str">
        <f>IFERROR(__xludf.DUMMYFUNCTION("""COMPUTED_VALUE"""),"20241226_CLLENN_ぎゅって もっと、つないで")</f>
        <v>20241226_CLLENN_ぎゅって もっと、つないで</v>
      </c>
      <c r="T2647" s="75" t="str">
        <f>IFERROR(__xludf.DUMMYFUNCTION("""COMPUTED_VALUE"""),"格納済み")</f>
        <v>格納済み</v>
      </c>
      <c r="U2647" s="15" t="str">
        <f>IFERROR(__xludf.DUMMYFUNCTION("""COMPUTED_VALUE"""),"Ⓒつなしや季夏/CLLENN")</f>
        <v>Ⓒつなしや季夏/CLLENN</v>
      </c>
      <c r="V2647" s="8" t="str">
        <f>IFERROR(__xludf.DUMMYFUNCTION("""COMPUTED_VALUE"""),"火災で突然住む所を失った朝陽＜あさひ＞は、暗闇に怯えていた――。それは彼が、暗所で発情してしまう特異体質の持ち主だから。案の定、体がどんどん熱くなり発情していく…。堪えきれずに座り込んでいたところ、通りがかった大学助教の宵吾＜しょうご＞に助けられる。彼の家に着いたものの欲求が抑えられず、その場で朝陽はひとりではじめてしまう――。翌日、昨晩のことを思い出し「普段なら発情状態のときの記憶はないのに、なぜ彼のことは覚えているんだろう…？」と不思議に思いながらも、住む場所とお金のために何でも屋のバイトに応募をする"&amp;"。依頼主を訪れると―――!?【人間学を研究する堅物大学助教×暗所発情症な人好きフリーター】研究者と研究対象の発情実験BL！")</f>
        <v>火災で突然住む所を失った朝陽＜あさひ＞は、暗闇に怯えていた――。それは彼が、暗所で発情してしまう特異体質の持ち主だから。案の定、体がどんどん熱くなり発情していく…。堪えきれずに座り込んでいたところ、通りがかった大学助教の宵吾＜しょうご＞に助けられる。彼の家に着いたものの欲求が抑えられず、その場で朝陽はひとりではじめてしまう――。翌日、昨晩のことを思い出し「普段なら発情状態のときの記憶はないのに、なぜ彼のことは覚えているんだろう…？」と不思議に思いながらも、住む場所とお金のために何でも屋のバイトに応募をする。依頼主を訪れると―――!?【人間学を研究する堅物大学助教×暗所発情症な人好きフリーター】研究者と研究対象の発情実験BL！</v>
      </c>
      <c r="W2647" s="14"/>
      <c r="X2647" s="14" t="str">
        <f>IFERROR(__xludf.DUMMYFUNCTION("""COMPUTED_VALUE"""),"有")</f>
        <v>有</v>
      </c>
      <c r="Y2647" s="8" t="str">
        <f>IFERROR(__xludf.DUMMYFUNCTION("""COMPUTED_VALUE"""),"2025/3/3まで立ち読み増量P17まで")</f>
        <v>2025/3/3まで立ち読み増量P17まで</v>
      </c>
      <c r="Z2647" s="7"/>
      <c r="AA2647" s="7"/>
      <c r="AB2647" s="7"/>
    </row>
    <row r="2648" ht="15.75" customHeight="1">
      <c r="A2648" s="66">
        <f>IFERROR(__xludf.DUMMYFUNCTION("""COMPUTED_VALUE"""),4588.0)</f>
        <v>4588</v>
      </c>
      <c r="B2648" s="75" t="str">
        <f>IFERROR(__xludf.DUMMYFUNCTION("""COMPUTED_VALUE"""),"確定")</f>
        <v>確定</v>
      </c>
      <c r="C2648" s="68">
        <f>IFERROR(__xludf.DUMMYFUNCTION("""COMPUTED_VALUE"""),45624.0)</f>
        <v>45624</v>
      </c>
      <c r="D2648" s="68">
        <f>IFERROR(__xludf.DUMMYFUNCTION("""COMPUTED_VALUE"""),45664.0)</f>
        <v>45664</v>
      </c>
      <c r="E2648" s="60">
        <f>IFERROR(__xludf.DUMMYFUNCTION("""COMPUTED_VALUE"""),314839.0)</f>
        <v>314839</v>
      </c>
      <c r="F2648" s="82" t="str">
        <f>IFERROR(__xludf.DUMMYFUNCTION("""COMPUTED_VALUE"""),"ふたりよがりなメルティチャーム")</f>
        <v>ふたりよがりなメルティチャーム</v>
      </c>
      <c r="G2648" s="75" t="str">
        <f>IFERROR(__xludf.DUMMYFUNCTION("""COMPUTED_VALUE"""),"1～2")</f>
        <v>1～2</v>
      </c>
      <c r="H2648" s="75" t="str">
        <f>IFERROR(__xludf.DUMMYFUNCTION("""COMPUTED_VALUE"""),"花森玉子")</f>
        <v>花森玉子</v>
      </c>
      <c r="I2648" s="75" t="str">
        <f>IFERROR(__xludf.DUMMYFUNCTION("""COMPUTED_VALUE"""),"BL")</f>
        <v>BL</v>
      </c>
      <c r="J2648" s="75"/>
      <c r="K2648" s="75" t="str">
        <f>IFERROR(__xludf.DUMMYFUNCTION("""COMPUTED_VALUE"""),"MooiComics")</f>
        <v>MooiComics</v>
      </c>
      <c r="L2648" s="75" t="str">
        <f>IFERROR(__xludf.DUMMYFUNCTION("""COMPUTED_VALUE"""),"CLLENN")</f>
        <v>CLLENN</v>
      </c>
      <c r="M2648" s="23">
        <f>IFERROR(__xludf.DUMMYFUNCTION("""COMPUTED_VALUE"""),45706.0)</f>
        <v>45706</v>
      </c>
      <c r="N2648" s="59">
        <f>IFERROR(__xludf.DUMMYFUNCTION("""COMPUTED_VALUE"""),45761.0)</f>
        <v>45761</v>
      </c>
      <c r="O2648" s="75"/>
      <c r="P2648" s="80" t="str">
        <f>IFERROR(__xludf.DUMMYFUNCTION("""COMPUTED_VALUE"""),"可")</f>
        <v>可</v>
      </c>
      <c r="Q2648" s="75" t="str">
        <f>IFERROR(__xludf.DUMMYFUNCTION("""COMPUTED_VALUE"""),"【出版社よりコメント】コチラの作品、前作がヒットした花森先生の新作ということもあり、社内でも非常に期待値が高い1作となっております。「星の聖人」の編集チームということもあり、ファンタジーで先生のファンも喜ぶ絵柄になっております。ぜひ前向きにご検討頂けますと幸いです。")</f>
        <v>【出版社よりコメント】コチラの作品、前作がヒットした花森先生の新作ということもあり、社内でも非常に期待値が高い1作となっております。「星の聖人」の編集チームということもあり、ファンタジーで先生のファンも喜ぶ絵柄になっております。ぜひ前向きにご検討頂けますと幸いです。</v>
      </c>
      <c r="R2648" s="75" t="str">
        <f>IFERROR(__xludf.DUMMYFUNCTION("""COMPUTED_VALUE"""),"コミットOK")</f>
        <v>コミットOK</v>
      </c>
      <c r="S2648" s="75" t="str">
        <f>IFERROR(__xludf.DUMMYFUNCTION("""COMPUTED_VALUE"""),"20250106_CLLENN_ふたりよがりなメルティチャーム")</f>
        <v>20250106_CLLENN_ふたりよがりなメルティチャーム</v>
      </c>
      <c r="T2648" s="75" t="str">
        <f>IFERROR(__xludf.DUMMYFUNCTION("""COMPUTED_VALUE"""),"格納済み")</f>
        <v>格納済み</v>
      </c>
      <c r="U2648" s="15" t="str">
        <f>IFERROR(__xludf.DUMMYFUNCTION("""COMPUTED_VALUE"""),"Ⓒ花森玉子/CLLENN")</f>
        <v>Ⓒ花森玉子/CLLENN</v>
      </c>
      <c r="V2648" s="8" t="str">
        <f>IFERROR(__xludf.DUMMYFUNCTION("""COMPUTED_VALUE"""),"「あれ、俺いま、なんでこいつとキスしてるんだーー！？」ここはとある魔法学園。イヌ族のイヴはバディ選考の儀式に胸を躍らせていた。いよいよイヴのバディ発表ーーしかし、読み上げられたその名に騒然とする周囲の人たち。それもそのはず、選ばれたのは不穏な噂がある秀才・オオカミ族のアウラだった！（あいつって一体何者なんだ？）と悩みつつも仲良くなろうと歩み寄るイヴに「お前とは話し合う気がない」と冷たく言い放つアウラ。言い方キツいし、魔法も正反対で相性最悪……こんなやつと同部屋のバディ生活やっていけんのか！？【ミステリアス"&amp;"な孤高の一匹狼×天真爛漫な元気ワンコ】のもふもふケンカップルバディBLスタート！！")</f>
        <v>「あれ、俺いま、なんでこいつとキスしてるんだーー！？」ここはとある魔法学園。イヌ族のイヴはバディ選考の儀式に胸を躍らせていた。いよいよイヴのバディ発表ーーしかし、読み上げられたその名に騒然とする周囲の人たち。それもそのはず、選ばれたのは不穏な噂がある秀才・オオカミ族のアウラだった！（あいつって一体何者なんだ？）と悩みつつも仲良くなろうと歩み寄るイヴに「お前とは話し合う気がない」と冷たく言い放つアウラ。言い方キツいし、魔法も正反対で相性最悪……こんなやつと同部屋のバディ生活やっていけんのか！？【ミステリアスな孤高の一匹狼×天真爛漫な元気ワンコ】のもふもふケンカップルバディBLスタート！！</v>
      </c>
      <c r="W2648" s="14"/>
      <c r="X2648" s="14" t="str">
        <f>IFERROR(__xludf.DUMMYFUNCTION("""COMPUTED_VALUE"""),"有")</f>
        <v>有</v>
      </c>
      <c r="Y2648" s="8" t="str">
        <f>IFERROR(__xludf.DUMMYFUNCTION("""COMPUTED_VALUE"""),"2025/3/3まで立ち読み増量P18まで")</f>
        <v>2025/3/3まで立ち読み増量P18まで</v>
      </c>
      <c r="Z2648" s="7"/>
      <c r="AA2648" s="7"/>
      <c r="AB2648" s="7"/>
    </row>
    <row r="2649" ht="15.75" customHeight="1">
      <c r="A2649" s="66">
        <f>IFERROR(__xludf.DUMMYFUNCTION("""COMPUTED_VALUE"""),4598.0)</f>
        <v>4598</v>
      </c>
      <c r="B2649" s="75" t="str">
        <f>IFERROR(__xludf.DUMMYFUNCTION("""COMPUTED_VALUE"""),"確定")</f>
        <v>確定</v>
      </c>
      <c r="C2649" s="68">
        <f>IFERROR(__xludf.DUMMYFUNCTION("""COMPUTED_VALUE"""),45625.0)</f>
        <v>45625</v>
      </c>
      <c r="D2649" s="68">
        <f>IFERROR(__xludf.DUMMYFUNCTION("""COMPUTED_VALUE"""),45664.0)</f>
        <v>45664</v>
      </c>
      <c r="E2649" s="60">
        <f>IFERROR(__xludf.DUMMYFUNCTION("""COMPUTED_VALUE"""),312879.0)</f>
        <v>312879</v>
      </c>
      <c r="F2649" s="60" t="str">
        <f>IFERROR(__xludf.DUMMYFUNCTION("""COMPUTED_VALUE"""),"あの夜、社長の子供を授かりました")</f>
        <v>あの夜、社長の子供を授かりました</v>
      </c>
      <c r="G2649" s="75" t="str">
        <f>IFERROR(__xludf.DUMMYFUNCTION("""COMPUTED_VALUE"""),"1～5")</f>
        <v>1～5</v>
      </c>
      <c r="H2649" s="75" t="str">
        <f>IFERROR(__xludf.DUMMYFUNCTION("""COMPUTED_VALUE"""),"夏野水分┴peep┴城宮えす┴taskey STUDIO")</f>
        <v>夏野水分┴peep┴城宮えす┴taskey STUDIO</v>
      </c>
      <c r="I2649" s="75" t="str">
        <f>IFERROR(__xludf.DUMMYFUNCTION("""COMPUTED_VALUE"""),"女性")</f>
        <v>女性</v>
      </c>
      <c r="J2649" s="75"/>
      <c r="K2649" s="75" t="str">
        <f>IFERROR(__xludf.DUMMYFUNCTION("""COMPUTED_VALUE"""),"シーモア×恋とカシス")</f>
        <v>シーモア×恋とカシス</v>
      </c>
      <c r="L2649" s="75" t="str">
        <f>IFERROR(__xludf.DUMMYFUNCTION("""COMPUTED_VALUE"""),"taskey")</f>
        <v>taskey</v>
      </c>
      <c r="M2649" s="23">
        <f>IFERROR(__xludf.DUMMYFUNCTION("""COMPUTED_VALUE"""),45683.0)</f>
        <v>45683</v>
      </c>
      <c r="N2649" s="94">
        <f>IFERROR(__xludf.DUMMYFUNCTION("""COMPUTED_VALUE"""),2958465.0)</f>
        <v>2958465</v>
      </c>
      <c r="O2649" s="75"/>
      <c r="P2649" s="80" t="str">
        <f>IFERROR(__xludf.DUMMYFUNCTION("""COMPUTED_VALUE"""),"否")</f>
        <v>否</v>
      </c>
      <c r="Q2649" s="72" t="str">
        <f>IFERROR(__xludf.DUMMYFUNCTION("""COMPUTED_VALUE"""),"協業作品です。")</f>
        <v>協業作品です。</v>
      </c>
      <c r="R2649" s="75"/>
      <c r="S2649" s="75" t="str">
        <f>IFERROR(__xludf.DUMMYFUNCTION("""COMPUTED_VALUE"""),"20250106_taskey_あの夜、社長の子供を授かりました")</f>
        <v>20250106_taskey_あの夜、社長の子供を授かりました</v>
      </c>
      <c r="T2649" s="75" t="str">
        <f>IFERROR(__xludf.DUMMYFUNCTION("""COMPUTED_VALUE"""),"格納済み")</f>
        <v>格納済み</v>
      </c>
      <c r="U2649" s="15" t="str">
        <f>IFERROR(__xludf.DUMMYFUNCTION("""COMPUTED_VALUE"""),"Ⓒ︎taskey 原作／夏野水分 漫画／城宮えす")</f>
        <v>Ⓒ︎taskey 原作／夏野水分 漫画／城宮えす</v>
      </c>
      <c r="V2649" s="8" t="str">
        <f>IFERROR(__xludf.DUMMYFUNCTION("""COMPUTED_VALUE"""),"アパレルEC企業に勤める栞里は、付き合って3周年の日に恋人・恵一に浮気され、別れを告げられる。失意の中、バーで出会った一人の男性。栞里は彼の真摯な態度に絆され、一夜を共に過ごしてしまう。もう二度と会わないものと思っていたが——なんと彼は、栞里たちの会社の新社長として現れる。さらに、あの一夜のせいで彼の子を——！？")</f>
        <v>アパレルEC企業に勤める栞里は、付き合って3周年の日に恋人・恵一に浮気され、別れを告げられる。失意の中、バーで出会った一人の男性。栞里は彼の真摯な態度に絆され、一夜を共に過ごしてしまう。もう二度と会わないものと思っていたが——なんと彼は、栞里たちの会社の新社長として現れる。さらに、あの一夜のせいで彼の子を——！？</v>
      </c>
      <c r="W2649" s="14"/>
      <c r="X2649" s="14" t="str">
        <f>IFERROR(__xludf.DUMMYFUNCTION("""COMPUTED_VALUE"""),"有")</f>
        <v>有</v>
      </c>
      <c r="Y2649" s="8" t="str">
        <f>IFERROR(__xludf.DUMMYFUNCTION("""COMPUTED_VALUE"""),"2025/2/28まで1～2巻無料")</f>
        <v>2025/2/28まで1～2巻無料</v>
      </c>
      <c r="Z2649" s="7"/>
      <c r="AA2649" s="7"/>
      <c r="AB2649" s="7"/>
    </row>
    <row r="2650" ht="15.75" customHeight="1">
      <c r="A2650" s="66">
        <f>IFERROR(__xludf.DUMMYFUNCTION("""COMPUTED_VALUE"""),4599.0)</f>
        <v>4599</v>
      </c>
      <c r="B2650" s="75" t="str">
        <f>IFERROR(__xludf.DUMMYFUNCTION("""COMPUTED_VALUE"""),"確定")</f>
        <v>確定</v>
      </c>
      <c r="C2650" s="68">
        <f>IFERROR(__xludf.DUMMYFUNCTION("""COMPUTED_VALUE"""),45625.0)</f>
        <v>45625</v>
      </c>
      <c r="D2650" s="68">
        <f>IFERROR(__xludf.DUMMYFUNCTION("""COMPUTED_VALUE"""),45664.0)</f>
        <v>45664</v>
      </c>
      <c r="E2650" s="60">
        <f>IFERROR(__xludf.DUMMYFUNCTION("""COMPUTED_VALUE"""),311257.0)</f>
        <v>311257</v>
      </c>
      <c r="F2650" s="60" t="str">
        <f>IFERROR(__xludf.DUMMYFUNCTION("""COMPUTED_VALUE"""),"さよなら恋愛、また来てウブ恋")</f>
        <v>さよなら恋愛、また来てウブ恋</v>
      </c>
      <c r="G2650" s="75" t="str">
        <f>IFERROR(__xludf.DUMMYFUNCTION("""COMPUTED_VALUE"""),"1～3")</f>
        <v>1～3</v>
      </c>
      <c r="H2650" s="75" t="str">
        <f>IFERROR(__xludf.DUMMYFUNCTION("""COMPUTED_VALUE"""),"にぎやかな公")</f>
        <v>にぎやかな公</v>
      </c>
      <c r="I2650" s="75" t="str">
        <f>IFERROR(__xludf.DUMMYFUNCTION("""COMPUTED_VALUE"""),"女性")</f>
        <v>女性</v>
      </c>
      <c r="J2650" s="75"/>
      <c r="K2650" s="75" t="str">
        <f>IFERROR(__xludf.DUMMYFUNCTION("""COMPUTED_VALUE"""),"オンリーリップス")</f>
        <v>オンリーリップス</v>
      </c>
      <c r="L2650" s="75" t="str">
        <f>IFERROR(__xludf.DUMMYFUNCTION("""COMPUTED_VALUE"""),"集英社")</f>
        <v>集英社</v>
      </c>
      <c r="M2650" s="23">
        <f>IFERROR(__xludf.DUMMYFUNCTION("""COMPUTED_VALUE"""),45680.0)</f>
        <v>45680</v>
      </c>
      <c r="N2650" s="23">
        <f>IFERROR(__xludf.DUMMYFUNCTION("""COMPUTED_VALUE"""),45738.0)</f>
        <v>45738</v>
      </c>
      <c r="O2650" s="75"/>
      <c r="P2650" s="80" t="str">
        <f>IFERROR(__xludf.DUMMYFUNCTION("""COMPUTED_VALUE"""),"否")</f>
        <v>否</v>
      </c>
      <c r="Q2650" s="75" t="str">
        <f>IFERROR(__xludf.DUMMYFUNCTION("""COMPUTED_VALUE"""),"レーベルロゴ不要")</f>
        <v>レーベルロゴ不要</v>
      </c>
      <c r="R2650" s="75" t="str">
        <f>IFERROR(__xludf.DUMMYFUNCTION("""COMPUTED_VALUE"""),"コミットOK")</f>
        <v>コミットOK</v>
      </c>
      <c r="S2650" s="75" t="str">
        <f>IFERROR(__xludf.DUMMYFUNCTION("""COMPUTED_VALUE"""),"20241227_集英社_さよなら恋愛、また来てウブ恋")</f>
        <v>20241227_集英社_さよなら恋愛、また来てウブ恋</v>
      </c>
      <c r="T2650" s="75" t="str">
        <f>IFERROR(__xludf.DUMMYFUNCTION("""COMPUTED_VALUE"""),"格納済み")</f>
        <v>格納済み</v>
      </c>
      <c r="U2650" s="15" t="str">
        <f>IFERROR(__xludf.DUMMYFUNCTION("""COMPUTED_VALUE"""),"(c)にぎやかな公／集英社クリエイティブ")</f>
        <v>(c)にぎやかな公／集英社クリエイティブ</v>
      </c>
      <c r="V2650" s="8" t="str">
        <f>IFERROR(__xludf.DUMMYFUNCTION("""COMPUTED_VALUE"""),"「あなたの時間を俺に少しだけ分けてくれませんか？」　イケメンだけどヒモ状態の彼氏・透（とおる）と同棲中のモモ。大学時代からの付き合いでお互いに27歳になり、そろそろ結婚も考えたいけれど、無職の透を養っている現状ではかなり厳しかった。そんな中、会社の飲み会でいつものように「クズ彼氏とは別れなさい」と同僚に説教されていると、敏腕営業マンと名高い東（あずま）がやって来て…？　先が見えない恋愛に「好き」の気持ちも見失い、思い悩むアラサー女子の等身大ラブストーリー！")</f>
        <v>「あなたの時間を俺に少しだけ分けてくれませんか？」　イケメンだけどヒモ状態の彼氏・透（とおる）と同棲中のモモ。大学時代からの付き合いでお互いに27歳になり、そろそろ結婚も考えたいけれど、無職の透を養っている現状ではかなり厳しかった。そんな中、会社の飲み会でいつものように「クズ彼氏とは別れなさい」と同僚に説教されていると、敏腕営業マンと名高い東（あずま）がやって来て…？　先が見えない恋愛に「好き」の気持ちも見失い、思い悩むアラサー女子の等身大ラブストーリー！</v>
      </c>
      <c r="W2650" s="14"/>
      <c r="X2650" s="14" t="str">
        <f>IFERROR(__xludf.DUMMYFUNCTION("""COMPUTED_VALUE"""),"有")</f>
        <v>有</v>
      </c>
      <c r="Y2650" s="8" t="str">
        <f>IFERROR(__xludf.DUMMYFUNCTION("""COMPUTED_VALUE"""),"P12まで")</f>
        <v>P12まで</v>
      </c>
      <c r="Z2650" s="7"/>
      <c r="AA2650" s="7"/>
      <c r="AB2650" s="7"/>
    </row>
    <row r="2651" ht="15.75" customHeight="1">
      <c r="A2651" s="66">
        <f>IFERROR(__xludf.DUMMYFUNCTION("""COMPUTED_VALUE"""),4609.0)</f>
        <v>4609</v>
      </c>
      <c r="B2651" s="75" t="str">
        <f>IFERROR(__xludf.DUMMYFUNCTION("""COMPUTED_VALUE"""),"確定")</f>
        <v>確定</v>
      </c>
      <c r="C2651" s="68">
        <f>IFERROR(__xludf.DUMMYFUNCTION("""COMPUTED_VALUE"""),45629.0)</f>
        <v>45629</v>
      </c>
      <c r="D2651" s="68">
        <f>IFERROR(__xludf.DUMMYFUNCTION("""COMPUTED_VALUE"""),45664.0)</f>
        <v>45664</v>
      </c>
      <c r="E2651" s="60">
        <f>IFERROR(__xludf.DUMMYFUNCTION("""COMPUTED_VALUE"""),313562.0)</f>
        <v>313562</v>
      </c>
      <c r="F2651" s="60" t="str">
        <f>IFERROR(__xludf.DUMMYFUNCTION("""COMPUTED_VALUE"""),"ペン先と初心なキス")</f>
        <v>ペン先と初心なキス</v>
      </c>
      <c r="G2651" s="75" t="str">
        <f>IFERROR(__xludf.DUMMYFUNCTION("""COMPUTED_VALUE"""),"1～2")</f>
        <v>1～2</v>
      </c>
      <c r="H2651" s="75" t="str">
        <f>IFERROR(__xludf.DUMMYFUNCTION("""COMPUTED_VALUE"""),"うな茶")</f>
        <v>うな茶</v>
      </c>
      <c r="I2651" s="75" t="str">
        <f>IFERROR(__xludf.DUMMYFUNCTION("""COMPUTED_VALUE"""),"BL")</f>
        <v>BL</v>
      </c>
      <c r="J2651" s="75"/>
      <c r="K2651" s="75" t="str">
        <f>IFERROR(__xludf.DUMMYFUNCTION("""COMPUTED_VALUE"""),"NuPu")</f>
        <v>NuPu</v>
      </c>
      <c r="L2651" s="75" t="str">
        <f>IFERROR(__xludf.DUMMYFUNCTION("""COMPUTED_VALUE"""),"CLLENN")</f>
        <v>CLLENN</v>
      </c>
      <c r="M2651" s="23">
        <f>IFERROR(__xludf.DUMMYFUNCTION("""COMPUTED_VALUE"""),45694.0)</f>
        <v>45694</v>
      </c>
      <c r="N2651" s="59">
        <f>IFERROR(__xludf.DUMMYFUNCTION("""COMPUTED_VALUE"""),45756.0)</f>
        <v>45756</v>
      </c>
      <c r="O2651" s="75"/>
      <c r="P2651" s="80" t="str">
        <f>IFERROR(__xludf.DUMMYFUNCTION("""COMPUTED_VALUE"""),"可")</f>
        <v>可</v>
      </c>
      <c r="Q2651" s="75" t="str">
        <f>IFERROR(__xludf.DUMMYFUNCTION("""COMPUTED_VALUE"""),"少女漫画家×ファンのBLになっております。かわいらしい展開とうぶなHシーンが魅力の作品です。")</f>
        <v>少女漫画家×ファンのBLになっております。かわいらしい展開とうぶなHシーンが魅力の作品です。</v>
      </c>
      <c r="R2651" s="75" t="str">
        <f>IFERROR(__xludf.DUMMYFUNCTION("""COMPUTED_VALUE"""),"コミットOK")</f>
        <v>コミットOK</v>
      </c>
      <c r="S2651" s="75" t="str">
        <f>IFERROR(__xludf.DUMMYFUNCTION("""COMPUTED_VALUE"""),"20241226_CLLENN_ペン先と初心なキス")</f>
        <v>20241226_CLLENN_ペン先と初心なキス</v>
      </c>
      <c r="T2651" s="75" t="str">
        <f>IFERROR(__xludf.DUMMYFUNCTION("""COMPUTED_VALUE"""),"格納済み")</f>
        <v>格納済み</v>
      </c>
      <c r="U2651" s="15" t="str">
        <f>IFERROR(__xludf.DUMMYFUNCTION("""COMPUTED_VALUE"""),"Ⓒうな茶/CLLENN")</f>
        <v>Ⓒうな茶/CLLENN</v>
      </c>
      <c r="V2651" s="8" t="str">
        <f>IFERROR(__xludf.DUMMYFUNCTION("""COMPUTED_VALUE"""),"恋愛が苦手な少女漫画家×処女を捨てたい純情大学生のエッチな協力関係！？身体から始まる初心ラブコメ！人気少女漫画家の冬琉（ふゆる）は、エッチシーンを描くための実戦経験を積もうと、ゲイ向けマッチングアプリで知り合った相手と会うことになった。しかし待ち合わせ場所に現れた楓和（ふわ）は冬琉の大ファンで…！？予定通りホテルに向かうと、慣れていると思っていた楓和から突然、「処女ってめんどくさいですよね…？」と打ち明けられる。好きな人に抱いてもらうため、処女を捨てようとしている健気な楓和に胸を打たれた冬琉は、自分の素性"&amp;"を明かし…。仕事のために経験を積みたい冬琉と、好きな人のために処女を捨てたい楓和…お互いの目的のため、ふたりはエッチな協力関係を結ぶことに――！！！でも挿入までは前途多難で！？")</f>
        <v>恋愛が苦手な少女漫画家×処女を捨てたい純情大学生のエッチな協力関係！？身体から始まる初心ラブコメ！人気少女漫画家の冬琉（ふゆる）は、エッチシーンを描くための実戦経験を積もうと、ゲイ向けマッチングアプリで知り合った相手と会うことになった。しかし待ち合わせ場所に現れた楓和（ふわ）は冬琉の大ファンで…！？予定通りホテルに向かうと、慣れていると思っていた楓和から突然、「処女ってめんどくさいですよね…？」と打ち明けられる。好きな人に抱いてもらうため、処女を捨てようとしている健気な楓和に胸を打たれた冬琉は、自分の素性を明かし…。仕事のために経験を積みたい冬琉と、好きな人のために処女を捨てたい楓和…お互いの目的のため、ふたりはエッチな協力関係を結ぶことに――！！！でも挿入までは前途多難で！？</v>
      </c>
      <c r="W2651" s="14"/>
      <c r="X2651" s="14" t="str">
        <f>IFERROR(__xludf.DUMMYFUNCTION("""COMPUTED_VALUE"""),"有")</f>
        <v>有</v>
      </c>
      <c r="Y2651" s="8" t="str">
        <f>IFERROR(__xludf.DUMMYFUNCTION("""COMPUTED_VALUE"""),"2025/2/19まで立ち読み増量P15まで")</f>
        <v>2025/2/19まで立ち読み増量P15まで</v>
      </c>
      <c r="Z2651" s="7"/>
      <c r="AA2651" s="7"/>
      <c r="AB2651" s="7"/>
    </row>
    <row r="2652" ht="15.75" customHeight="1">
      <c r="A2652" s="66">
        <f>IFERROR(__xludf.DUMMYFUNCTION("""COMPUTED_VALUE"""),4610.0)</f>
        <v>4610</v>
      </c>
      <c r="B2652" s="75" t="str">
        <f>IFERROR(__xludf.DUMMYFUNCTION("""COMPUTED_VALUE"""),"確定")</f>
        <v>確定</v>
      </c>
      <c r="C2652" s="68">
        <f>IFERROR(__xludf.DUMMYFUNCTION("""COMPUTED_VALUE"""),45629.0)</f>
        <v>45629</v>
      </c>
      <c r="D2652" s="68">
        <f>IFERROR(__xludf.DUMMYFUNCTION("""COMPUTED_VALUE"""),45664.0)</f>
        <v>45664</v>
      </c>
      <c r="E2652" s="60">
        <f>IFERROR(__xludf.DUMMYFUNCTION("""COMPUTED_VALUE"""),313547.0)</f>
        <v>313547</v>
      </c>
      <c r="F2652" s="60" t="str">
        <f>IFERROR(__xludf.DUMMYFUNCTION("""COMPUTED_VALUE"""),"きまぐれミルクティー")</f>
        <v>きまぐれミルクティー</v>
      </c>
      <c r="G2652" s="75" t="str">
        <f>IFERROR(__xludf.DUMMYFUNCTION("""COMPUTED_VALUE"""),"1～2")</f>
        <v>1～2</v>
      </c>
      <c r="H2652" s="75" t="str">
        <f>IFERROR(__xludf.DUMMYFUNCTION("""COMPUTED_VALUE"""),"crim")</f>
        <v>crim</v>
      </c>
      <c r="I2652" s="75" t="str">
        <f>IFERROR(__xludf.DUMMYFUNCTION("""COMPUTED_VALUE"""),"BL")</f>
        <v>BL</v>
      </c>
      <c r="J2652" s="75"/>
      <c r="K2652" s="75" t="str">
        <f>IFERROR(__xludf.DUMMYFUNCTION("""COMPUTED_VALUE"""),"NuPu")</f>
        <v>NuPu</v>
      </c>
      <c r="L2652" s="75" t="str">
        <f>IFERROR(__xludf.DUMMYFUNCTION("""COMPUTED_VALUE"""),"CLLENN")</f>
        <v>CLLENN</v>
      </c>
      <c r="M2652" s="23">
        <f>IFERROR(__xludf.DUMMYFUNCTION("""COMPUTED_VALUE"""),45694.0)</f>
        <v>45694</v>
      </c>
      <c r="N2652" s="59">
        <f>IFERROR(__xludf.DUMMYFUNCTION("""COMPUTED_VALUE"""),45756.0)</f>
        <v>45756</v>
      </c>
      <c r="O2652" s="75"/>
      <c r="P2652" s="80" t="str">
        <f>IFERROR(__xludf.DUMMYFUNCTION("""COMPUTED_VALUE"""),"可")</f>
        <v>可</v>
      </c>
      <c r="Q2652" s="75" t="str">
        <f>IFERROR(__xludf.DUMMYFUNCTION("""COMPUTED_VALUE"""),"Xでのフォロワーが1万6000人もすでにいらっしゃり、同人やpixivでかなり認知度の高い先生の商業作品です。かわいらしくてポップな世界観の絵柄と心理描写が丁寧に描かれた作品です。&lt;BR&gt;こちらもNuPu編集部期待の1作ですので、前向きにご検討頂けますと幸いです。よろしくお願いします。")</f>
        <v>Xでのフォロワーが1万6000人もすでにいらっしゃり、同人やpixivでかなり認知度の高い先生の商業作品です。かわいらしくてポップな世界観の絵柄と心理描写が丁寧に描かれた作品です。&lt;BR&gt;こちらもNuPu編集部期待の1作ですので、前向きにご検討頂けますと幸いです。よろしくお願いします。</v>
      </c>
      <c r="R2652" s="75" t="str">
        <f>IFERROR(__xludf.DUMMYFUNCTION("""COMPUTED_VALUE"""),"コミットOK")</f>
        <v>コミットOK</v>
      </c>
      <c r="S2652" s="75" t="str">
        <f>IFERROR(__xludf.DUMMYFUNCTION("""COMPUTED_VALUE"""),"20250106_CLLENN_きまぐれミルクティー")</f>
        <v>20250106_CLLENN_きまぐれミルクティー</v>
      </c>
      <c r="T2652" s="75" t="str">
        <f>IFERROR(__xludf.DUMMYFUNCTION("""COMPUTED_VALUE"""),"格納済み")</f>
        <v>格納済み</v>
      </c>
      <c r="U2652" s="15" t="str">
        <f>IFERROR(__xludf.DUMMYFUNCTION("""COMPUTED_VALUE"""),"Ⓒcrim/CLLENN")</f>
        <v>Ⓒcrim/CLLENN</v>
      </c>
      <c r="V2652" s="8" t="str">
        <f>IFERROR(__xludf.DUMMYFUNCTION("""COMPUTED_VALUE"""),"「こんなの、可愛いって思っちゃいますよ」求めるまま深く口づける。自分には何もない。それでも、先生に選ばれたいと思ってしまった――。デザイナーの専門学校に通う和樹は、デザインに面白みは感じているものの、いまいち馴染めず、付き合っている彼女とも上手くいかず、甘いミルクティーだけを心の支えとして日々過ごしていた。ある日、口が悪く苦手だと思っていた非常勤講師の村木に、自分の制作物を褒められ、それをきっかけに彼のことが気になり始める。そんな時、彼女に突然別れを告げられ…。傷心の和樹は村木の前で酔いつぶれ、そのまま彼"&amp;"の家で――…!?真っすぐで朗らかな生徒×不器用な専門講師の、甘くてビターなラブストーリー。")</f>
        <v>「こんなの、可愛いって思っちゃいますよ」求めるまま深く口づける。自分には何もない。それでも、先生に選ばれたいと思ってしまった――。デザイナーの専門学校に通う和樹は、デザインに面白みは感じているものの、いまいち馴染めず、付き合っている彼女とも上手くいかず、甘いミルクティーだけを心の支えとして日々過ごしていた。ある日、口が悪く苦手だと思っていた非常勤講師の村木に、自分の制作物を褒められ、それをきっかけに彼のことが気になり始める。そんな時、彼女に突然別れを告げられ…。傷心の和樹は村木の前で酔いつぶれ、そのまま彼の家で――…!?真っすぐで朗らかな生徒×不器用な専門講師の、甘くてビターなラブストーリー。</v>
      </c>
      <c r="W2652" s="14"/>
      <c r="X2652" s="14" t="str">
        <f>IFERROR(__xludf.DUMMYFUNCTION("""COMPUTED_VALUE"""),"有")</f>
        <v>有</v>
      </c>
      <c r="Y2652" s="8" t="str">
        <f>IFERROR(__xludf.DUMMYFUNCTION("""COMPUTED_VALUE"""),"2025/2/19まで立ち読み増量P24まで")</f>
        <v>2025/2/19まで立ち読み増量P24まで</v>
      </c>
      <c r="Z2652" s="7"/>
      <c r="AA2652" s="7"/>
      <c r="AB2652" s="7"/>
    </row>
    <row r="2653" ht="15.75" customHeight="1">
      <c r="A2653" s="66">
        <f>IFERROR(__xludf.DUMMYFUNCTION("""COMPUTED_VALUE"""),4655.0)</f>
        <v>4655</v>
      </c>
      <c r="B2653" s="75" t="str">
        <f>IFERROR(__xludf.DUMMYFUNCTION("""COMPUTED_VALUE"""),"確定")</f>
        <v>確定</v>
      </c>
      <c r="C2653" s="68">
        <f>IFERROR(__xludf.DUMMYFUNCTION("""COMPUTED_VALUE"""),45635.0)</f>
        <v>45635</v>
      </c>
      <c r="D2653" s="68">
        <f>IFERROR(__xludf.DUMMYFUNCTION("""COMPUTED_VALUE"""),45652.0)</f>
        <v>45652</v>
      </c>
      <c r="E2653" s="60">
        <f>IFERROR(__xludf.DUMMYFUNCTION("""COMPUTED_VALUE"""),311935.0)</f>
        <v>311935</v>
      </c>
      <c r="F2653" s="60" t="str">
        <f>IFERROR(__xludf.DUMMYFUNCTION("""COMPUTED_VALUE"""),"ネトゲ廃人の異世界転生記 拳王とよばれた最強の拳が使えないので、1日8時間こん棒を振ることからはじめた【分冊版】")</f>
        <v>ネトゲ廃人の異世界転生記 拳王とよばれた最強の拳が使えないので、1日8時間こん棒を振ることからはじめた【分冊版】</v>
      </c>
      <c r="G2653" s="75" t="str">
        <f>IFERROR(__xludf.DUMMYFUNCTION("""COMPUTED_VALUE"""),"1～7")</f>
        <v>1～7</v>
      </c>
      <c r="H2653" s="75" t="str">
        <f>IFERROR(__xludf.DUMMYFUNCTION("""COMPUTED_VALUE"""),"原作 陽和 漫画 雑賀ゆうき キャラクター原案 ヤミーゴ")</f>
        <v>原作 陽和 漫画 雑賀ゆうき キャラクター原案 ヤミーゴ</v>
      </c>
      <c r="I2653" s="75" t="str">
        <f>IFERROR(__xludf.DUMMYFUNCTION("""COMPUTED_VALUE"""),"少年")</f>
        <v>少年</v>
      </c>
      <c r="J2653" s="87"/>
      <c r="K2653" s="87"/>
      <c r="L2653" s="75" t="str">
        <f>IFERROR(__xludf.DUMMYFUNCTION("""COMPUTED_VALUE"""),"マンガボックス")</f>
        <v>マンガボックス</v>
      </c>
      <c r="M2653" s="23">
        <f>IFERROR(__xludf.DUMMYFUNCTION("""COMPUTED_VALUE"""),45688.0)</f>
        <v>45688</v>
      </c>
      <c r="N2653" s="59">
        <f>IFERROR(__xludf.DUMMYFUNCTION("""COMPUTED_VALUE"""),45869.66666666667)</f>
        <v>45869.66667</v>
      </c>
      <c r="O2653" s="75"/>
      <c r="P2653" s="80" t="str">
        <f>IFERROR(__xludf.DUMMYFUNCTION("""COMPUTED_VALUE"""),"可")</f>
        <v>可</v>
      </c>
      <c r="Q2653" s="75" t="str">
        <f>IFERROR(__xludf.DUMMYFUNCTION("""COMPUTED_VALUE"""),"・初回配信７話ですが、７話目の素材が遅くなるため６話分の素材でのクリエイティブ制作をお願いいたします。&lt;BR&gt;・版元さんより↓&lt;BR&gt;・担当編集曰く「広告を作る際は3話後半のスキル鑑定のシーンがおすすめ」とのことでしたので、一応ご共有させていただきます。&lt;BR&gt;※上記シーンで広告を制作いただかなくても問題ございません！")</f>
        <v>・初回配信７話ですが、７話目の素材が遅くなるため６話分の素材でのクリエイティブ制作をお願いいたします。&lt;BR&gt;・版元さんより↓&lt;BR&gt;・担当編集曰く「広告を作る際は3話後半のスキル鑑定のシーンがおすすめ」とのことでしたので、一応ご共有させていただきます。&lt;BR&gt;※上記シーンで広告を制作いただかなくても問題ございません！</v>
      </c>
      <c r="R2653" s="75" t="str">
        <f>IFERROR(__xludf.DUMMYFUNCTION("""COMPUTED_VALUE"""),"コミットOK")</f>
        <v>コミットOK</v>
      </c>
      <c r="S2653" s="75" t="str">
        <f>IFERROR(__xludf.DUMMYFUNCTION("""COMPUTED_VALUE"""),"20241225_マンガボックス_ネトゲ廃人の異世界転生記 拳王とよばれた最強の拳が使えないので、1日8時間こん棒を振ることからはじめた")</f>
        <v>20241225_マンガボックス_ネトゲ廃人の異世界転生記 拳王とよばれた最強の拳が使えないので、1日8時間こん棒を振ることからはじめた</v>
      </c>
      <c r="T2653" s="75" t="str">
        <f>IFERROR(__xludf.DUMMYFUNCTION("""COMPUTED_VALUE"""),"格納済み")</f>
        <v>格納済み</v>
      </c>
      <c r="U2653" s="15" t="str">
        <f>IFERROR(__xludf.DUMMYFUNCTION("""COMPUTED_VALUE"""),"Ⓒ雑賀ゆうき・陽和/マンガボックス")</f>
        <v>Ⓒ雑賀ゆうき・陽和/マンガボックス</v>
      </c>
      <c r="V2653" s="8" t="str">
        <f>IFERROR(__xludf.DUMMYFUNCTION("""COMPUTED_VALUE"""),"【第8回ネット小説大賞受賞作、待望のコミカライズ！】VRMMORPG内で”拳王”として最強の座に君臨していた一也がゲーム世界に転生！ 重火器がモノ言う世界で、アナログ武器と拳、そして彼だけが知るゲーム知識で再び最強を目指す、ネトゲ廃人ファンタジー！")</f>
        <v>【第8回ネット小説大賞受賞作、待望のコミカライズ！】VRMMORPG内で”拳王”として最強の座に君臨していた一也がゲーム世界に転生！ 重火器がモノ言う世界で、アナログ武器と拳、そして彼だけが知るゲーム知識で再び最強を目指す、ネトゲ廃人ファンタジー！</v>
      </c>
      <c r="W2653" s="14"/>
      <c r="X2653" s="14" t="str">
        <f>IFERROR(__xludf.DUMMYFUNCTION("""COMPUTED_VALUE"""),"有")</f>
        <v>有</v>
      </c>
      <c r="Y2653" s="8" t="str">
        <f>IFERROR(__xludf.DUMMYFUNCTION("""COMPUTED_VALUE"""),"P21まで")</f>
        <v>P21まで</v>
      </c>
      <c r="Z2653" s="7"/>
      <c r="AA2653" s="7"/>
      <c r="AB2653" s="7"/>
    </row>
    <row r="2654" ht="15.75" customHeight="1">
      <c r="A2654" s="66">
        <f>IFERROR(__xludf.DUMMYFUNCTION("""COMPUTED_VALUE"""),4676.0)</f>
        <v>4676</v>
      </c>
      <c r="B2654" s="75" t="str">
        <f>IFERROR(__xludf.DUMMYFUNCTION("""COMPUTED_VALUE"""),"確定")</f>
        <v>確定</v>
      </c>
      <c r="C2654" s="68">
        <f>IFERROR(__xludf.DUMMYFUNCTION("""COMPUTED_VALUE"""),45638.0)</f>
        <v>45638</v>
      </c>
      <c r="D2654" s="68">
        <f>IFERROR(__xludf.DUMMYFUNCTION("""COMPUTED_VALUE"""),45665.0)</f>
        <v>45665</v>
      </c>
      <c r="E2654" s="60">
        <f>IFERROR(__xludf.DUMMYFUNCTION("""COMPUTED_VALUE"""),314390.0)</f>
        <v>314390</v>
      </c>
      <c r="F2654" s="60" t="str">
        <f>IFERROR(__xludf.DUMMYFUNCTION("""COMPUTED_VALUE"""),"愛着人形")</f>
        <v>愛着人形</v>
      </c>
      <c r="G2654" s="75" t="str">
        <f>IFERROR(__xludf.DUMMYFUNCTION("""COMPUTED_VALUE"""),"1～25")</f>
        <v>1～25</v>
      </c>
      <c r="H2654" s="75" t="str">
        <f>IFERROR(__xludf.DUMMYFUNCTION("""COMPUTED_VALUE"""),"Nabit、Bak seong-hye、Om")</f>
        <v>Nabit、Bak seong-hye、Om</v>
      </c>
      <c r="I2654" s="75" t="str">
        <f>IFERROR(__xludf.DUMMYFUNCTION("""COMPUTED_VALUE"""),"BL")</f>
        <v>BL</v>
      </c>
      <c r="J2654" s="75"/>
      <c r="K2654" s="75" t="str">
        <f>IFERROR(__xludf.DUMMYFUNCTION("""COMPUTED_VALUE"""),"Goody Studio")</f>
        <v>Goody Studio</v>
      </c>
      <c r="L2654" s="75" t="str">
        <f>IFERROR(__xludf.DUMMYFUNCTION("""COMPUTED_VALUE"""),"Rakuten Content Central")</f>
        <v>Rakuten Content Central</v>
      </c>
      <c r="M2654" s="23">
        <f>IFERROR(__xludf.DUMMYFUNCTION("""COMPUTED_VALUE"""),45686.0)</f>
        <v>45686</v>
      </c>
      <c r="N2654" s="23">
        <f>IFERROR(__xludf.DUMMYFUNCTION("""COMPUTED_VALUE"""),45775.0)</f>
        <v>45775</v>
      </c>
      <c r="O2654" s="75"/>
      <c r="P2654" s="80" t="str">
        <f>IFERROR(__xludf.DUMMYFUNCTION("""COMPUTED_VALUE"""),"可")</f>
        <v>可</v>
      </c>
      <c r="Q2654" s="75" t="str">
        <f>IFERROR(__xludf.DUMMYFUNCTION("""COMPUTED_VALUE"""),"楽天の二次先行です。&lt;BR&gt;楽天では広告好調だったようです。&lt;BR&gt;素材フォルダにR19版とR15版がございますが、R19版でご検討、広告制作お願いいたします。")</f>
        <v>楽天の二次先行です。&lt;BR&gt;楽天では広告好調だったようです。&lt;BR&gt;素材フォルダにR19版とR15版がございますが、R19版でご検討、広告制作お願いいたします。</v>
      </c>
      <c r="R2654" s="75" t="str">
        <f>IFERROR(__xludf.DUMMYFUNCTION("""COMPUTED_VALUE"""),"コミットOK")</f>
        <v>コミットOK</v>
      </c>
      <c r="S2654" s="75" t="str">
        <f>IFERROR(__xludf.DUMMYFUNCTION("""COMPUTED_VALUE"""),"20250107_Rakuten_愛着人形")</f>
        <v>20250107_Rakuten_愛着人形</v>
      </c>
      <c r="T2654" s="75" t="str">
        <f>IFERROR(__xludf.DUMMYFUNCTION("""COMPUTED_VALUE"""),"格納済み")</f>
        <v>格納済み</v>
      </c>
      <c r="U2654" s="15" t="str">
        <f>IFERROR(__xludf.DUMMYFUNCTION("""COMPUTED_VALUE"""),"ⓒ2024.Goodystudio.All rights reserved.")</f>
        <v>ⓒ2024.Goodystudio.All rights reserved.</v>
      </c>
      <c r="V2654" s="8" t="str">
        <f>IFERROR(__xludf.DUMMYFUNCTION("""COMPUTED_VALUE"""),"重度の不眠症で１人では眠れない斗亜は、甥の住み込みの家庭教師としてやってきた大学生、翔馬と勘違いから寝てしまう。
気まずさ満点で始まった同居生活だったが、意外と心地よくて……？")</f>
        <v>重度の不眠症で１人では眠れない斗亜は、甥の住み込みの家庭教師としてやってきた大学生、翔馬と勘違いから寝てしまう。
気まずさ満点で始まった同居生活だったが、意外と心地よくて……？</v>
      </c>
      <c r="W2654" s="14"/>
      <c r="X2654" s="14" t="str">
        <f>IFERROR(__xludf.DUMMYFUNCTION("""COMPUTED_VALUE"""),"有")</f>
        <v>有</v>
      </c>
      <c r="Y2654" s="8" t="str">
        <f>IFERROR(__xludf.DUMMYFUNCTION("""COMPUTED_VALUE"""),"1～3巻無料")</f>
        <v>1～3巻無料</v>
      </c>
      <c r="Z2654" s="7"/>
      <c r="AA2654" s="7"/>
      <c r="AB2654" s="7"/>
    </row>
    <row r="2655" ht="15.75" customHeight="1">
      <c r="A2655" s="66">
        <f>IFERROR(__xludf.DUMMYFUNCTION("""COMPUTED_VALUE"""),4713.0)</f>
        <v>4713</v>
      </c>
      <c r="B2655" s="75" t="str">
        <f>IFERROR(__xludf.DUMMYFUNCTION("""COMPUTED_VALUE"""),"確定")</f>
        <v>確定</v>
      </c>
      <c r="C2655" s="68">
        <f>IFERROR(__xludf.DUMMYFUNCTION("""COMPUTED_VALUE"""),45650.0)</f>
        <v>45650</v>
      </c>
      <c r="D2655" s="68">
        <f>IFERROR(__xludf.DUMMYFUNCTION("""COMPUTED_VALUE"""),45665.0)</f>
        <v>45665</v>
      </c>
      <c r="E2655" s="60">
        <f>IFERROR(__xludf.DUMMYFUNCTION("""COMPUTED_VALUE"""),313573.0)</f>
        <v>313573</v>
      </c>
      <c r="F2655" s="60" t="str">
        <f>IFERROR(__xludf.DUMMYFUNCTION("""COMPUTED_VALUE"""),"王妃のプライド【単話売】")</f>
        <v>王妃のプライド【単話売】</v>
      </c>
      <c r="G2655" s="75" t="str">
        <f>IFERROR(__xludf.DUMMYFUNCTION("""COMPUTED_VALUE"""),"1～3")</f>
        <v>1～3</v>
      </c>
      <c r="H2655" s="75" t="str">
        <f>IFERROR(__xludf.DUMMYFUNCTION("""COMPUTED_VALUE"""),"著者 たけなかみき/原作 市尾彩佳/キャラクター原案 氷堂れん")</f>
        <v>著者 たけなかみき/原作 市尾彩佳/キャラクター原案 氷堂れん</v>
      </c>
      <c r="I2655" s="75" t="str">
        <f>IFERROR(__xludf.DUMMYFUNCTION("""COMPUTED_VALUE"""),"少女")</f>
        <v>少女</v>
      </c>
      <c r="J2655" s="87"/>
      <c r="K2655" s="87"/>
      <c r="L2655" s="75" t="str">
        <f>IFERROR(__xludf.DUMMYFUNCTION("""COMPUTED_VALUE"""),"ジュリアンパブリッシング")</f>
        <v>ジュリアンパブリッシング</v>
      </c>
      <c r="M2655" s="23">
        <f>IFERROR(__xludf.DUMMYFUNCTION("""COMPUTED_VALUE"""),45688.0)</f>
        <v>45688</v>
      </c>
      <c r="N2655" s="23">
        <f>IFERROR(__xludf.DUMMYFUNCTION("""COMPUTED_VALUE"""),45777.0)</f>
        <v>45777</v>
      </c>
      <c r="O2655" s="75"/>
      <c r="P2655" s="80" t="str">
        <f>IFERROR(__xludf.DUMMYFUNCTION("""COMPUTED_VALUE"""),"否")</f>
        <v>否</v>
      </c>
      <c r="Q2655" s="75" t="str">
        <f>IFERROR(__xludf.DUMMYFUNCTION("""COMPUTED_VALUE"""),"SBクリエイティブ様で、原作ノベルからのコミック化となります！いつものタテヨミ→版面化ではなく、オリジナルのコミックとのことで、特に本作品に注力したとのことで、是非出稿検討お願いしたいです、、、、！！！")</f>
        <v>SBクリエイティブ様で、原作ノベルからのコミック化となります！いつものタテヨミ→版面化ではなく、オリジナルのコミックとのことで、特に本作品に注力したとのことで、是非出稿検討お願いしたいです、、、、！！！</v>
      </c>
      <c r="R2655" s="75" t="str">
        <f>IFERROR(__xludf.DUMMYFUNCTION("""COMPUTED_VALUE"""),"コミットOK")</f>
        <v>コミットOK</v>
      </c>
      <c r="S2655" s="75" t="str">
        <f>IFERROR(__xludf.DUMMYFUNCTION("""COMPUTED_VALUE"""),"20250107_SBクリエイティブ_王妃のプライド")</f>
        <v>20250107_SBクリエイティブ_王妃のプライド</v>
      </c>
      <c r="T2655" s="75" t="str">
        <f>IFERROR(__xludf.DUMMYFUNCTION("""COMPUTED_VALUE"""),"格納済み")</f>
        <v>格納済み</v>
      </c>
      <c r="U2655" s="15" t="str">
        <f>IFERROR(__xludf.DUMMYFUNCTION("""COMPUTED_VALUE"""),"Ⓒたけなかみき/市尾彩佳/氷堂れん/ジュリアンパブリッシング")</f>
        <v>Ⓒたけなかみき/市尾彩佳/氷堂れん/ジュリアンパブリッシング</v>
      </c>
      <c r="V2655" s="8" t="str">
        <f>IFERROR(__xludf.DUMMYFUNCTION("""COMPUTED_VALUE"""),"「貴方と褥を共にするつもりはありません」同盟締結の証として、12歳で隣国アシュケルドの王・カーライルに嫁いだティルダ。王妃として国に尽くすと決意するが、幼きティルダを待ち受けていたのは、夫・カーライルのあからさまな拒絶と、屈辱と苦難に満ちた日々だった。亡き母の教えを心の支えに、己の矜持を守るため、ティルダは「夫たる王に、決して身体は許さない」と誓いを立てる。ムーンライトノベルズ累計ページビュー1500万越えの大人気作品が、満を持してのコミカライズ。")</f>
        <v>「貴方と褥を共にするつもりはありません」同盟締結の証として、12歳で隣国アシュケルドの王・カーライルに嫁いだティルダ。王妃として国に尽くすと決意するが、幼きティルダを待ち受けていたのは、夫・カーライルのあからさまな拒絶と、屈辱と苦難に満ちた日々だった。亡き母の教えを心の支えに、己の矜持を守るため、ティルダは「夫たる王に、決して身体は許さない」と誓いを立てる。ムーンライトノベルズ累計ページビュー1500万越えの大人気作品が、満を持してのコミカライズ。</v>
      </c>
      <c r="W2655" s="14"/>
      <c r="X2655" s="14" t="str">
        <f>IFERROR(__xludf.DUMMYFUNCTION("""COMPUTED_VALUE"""),"有")</f>
        <v>有</v>
      </c>
      <c r="Y2655" s="8" t="str">
        <f>IFERROR(__xludf.DUMMYFUNCTION("""COMPUTED_VALUE"""),"2025/2/13まで1巻無料")</f>
        <v>2025/2/13まで1巻無料</v>
      </c>
      <c r="Z2655" s="7"/>
      <c r="AA2655" s="7"/>
      <c r="AB2655" s="7"/>
    </row>
    <row r="2656" ht="15.75" customHeight="1">
      <c r="A2656" s="66">
        <f>IFERROR(__xludf.DUMMYFUNCTION("""COMPUTED_VALUE"""),4729.0)</f>
        <v>4729</v>
      </c>
      <c r="B2656" s="75" t="str">
        <f>IFERROR(__xludf.DUMMYFUNCTION("""COMPUTED_VALUE"""),"確定")</f>
        <v>確定</v>
      </c>
      <c r="C2656" s="68">
        <f>IFERROR(__xludf.DUMMYFUNCTION("""COMPUTED_VALUE"""),45652.0)</f>
        <v>45652</v>
      </c>
      <c r="D2656" s="68">
        <f>IFERROR(__xludf.DUMMYFUNCTION("""COMPUTED_VALUE"""),45652.0)</f>
        <v>45652</v>
      </c>
      <c r="E2656" s="100">
        <f>IFERROR(__xludf.DUMMYFUNCTION("""COMPUTED_VALUE"""),294652.0)</f>
        <v>294652</v>
      </c>
      <c r="F2656" s="60" t="str">
        <f>IFERROR(__xludf.DUMMYFUNCTION("""COMPUTED_VALUE"""),"あの頃の君より、ずっと好き")</f>
        <v>あの頃の君より、ずっと好き</v>
      </c>
      <c r="G2656" s="75" t="str">
        <f>IFERROR(__xludf.DUMMYFUNCTION("""COMPUTED_VALUE"""),"1～4")</f>
        <v>1～4</v>
      </c>
      <c r="H2656" s="75" t="str">
        <f>IFERROR(__xludf.DUMMYFUNCTION("""COMPUTED_VALUE"""),"Motioka,安理由香")</f>
        <v>Motioka,安理由香</v>
      </c>
      <c r="I2656" s="75" t="str">
        <f>IFERROR(__xludf.DUMMYFUNCTION("""COMPUTED_VALUE"""),"女性マンガ")</f>
        <v>女性マンガ</v>
      </c>
      <c r="J2656" s="87"/>
      <c r="K2656" s="87"/>
      <c r="L2656" s="75" t="str">
        <f>IFERROR(__xludf.DUMMYFUNCTION("""COMPUTED_VALUE"""),"シーモアコミックス")</f>
        <v>シーモアコミックス</v>
      </c>
      <c r="M2656" s="23">
        <f>IFERROR(__xludf.DUMMYFUNCTION("""COMPUTED_VALUE"""),45689.0)</f>
        <v>45689</v>
      </c>
      <c r="N2656" s="59">
        <f>IFERROR(__xludf.DUMMYFUNCTION("""COMPUTED_VALUE"""),45841.66666666667)</f>
        <v>45841.66667</v>
      </c>
      <c r="O2656" s="75"/>
      <c r="P2656" s="71" t="str">
        <f>IFERROR(__xludf.DUMMYFUNCTION("""COMPUTED_VALUE"""),"可")</f>
        <v>可</v>
      </c>
      <c r="Q2656" s="72"/>
      <c r="R2656" s="75"/>
      <c r="S2656" s="75" t="str">
        <f>IFERROR(__xludf.DUMMYFUNCTION("""COMPUTED_VALUE"""),"20241226_シーモアコミックス_あの頃の君より、ずっと好き")</f>
        <v>20241226_シーモアコミックス_あの頃の君より、ずっと好き</v>
      </c>
      <c r="T2656" s="75" t="str">
        <f>IFERROR(__xludf.DUMMYFUNCTION("""COMPUTED_VALUE"""),"格納済み")</f>
        <v>格納済み</v>
      </c>
      <c r="U2656" s="15" t="str">
        <f>IFERROR(__xludf.DUMMYFUNCTION("""COMPUTED_VALUE"""),"© Motioka/安理由香/シーモアコミックス")</f>
        <v>© Motioka/安理由香/シーモアコミックス</v>
      </c>
      <c r="V2656" s="8" t="str">
        <f>IFERROR(__xludf.DUMMYFUNCTION("""COMPUTED_VALUE"""),"「あの頃、オレの気持ちに気づいてた？」
高校時代に片思いしてた同級生の将と、10年ぶりに再会した雛子。昔はぶっきらぼうだった彼がモテる大人の男になり、さらっと何度も雛子に好意を伝えてくるから、全てにドキドキしてしまう!?
好き…。手つなぎたい。さわりたい。再会の恋は、あの頃よりもっと甘く不器用でーー!? 大人のむずキュンラブ！【恋するソワレ】")</f>
        <v>「あの頃、オレの気持ちに気づいてた？」
高校時代に片思いしてた同級生の将と、10年ぶりに再会した雛子。昔はぶっきらぼうだった彼がモテる大人の男になり、さらっと何度も雛子に好意を伝えてくるから、全てにドキドキしてしまう!?
好き…。手つなぎたい。さわりたい。再会の恋は、あの頃よりもっと甘く不器用でーー!? 大人のむずキュンラブ！【恋するソワレ】</v>
      </c>
      <c r="W2656" s="14"/>
      <c r="X2656" s="14" t="str">
        <f>IFERROR(__xludf.DUMMYFUNCTION("""COMPUTED_VALUE"""),"有")</f>
        <v>有</v>
      </c>
      <c r="Y2656" s="8" t="str">
        <f>IFERROR(__xludf.DUMMYFUNCTION("""COMPUTED_VALUE"""),"2025/2/28まで1巻無料")</f>
        <v>2025/2/28まで1巻無料</v>
      </c>
      <c r="Z2656" s="7"/>
      <c r="AA2656" s="7"/>
      <c r="AB2656" s="7"/>
    </row>
    <row r="2657" ht="15.75" customHeight="1">
      <c r="A2657" s="66">
        <f>IFERROR(__xludf.DUMMYFUNCTION("""COMPUTED_VALUE"""),4730.0)</f>
        <v>4730</v>
      </c>
      <c r="B2657" s="75" t="str">
        <f>IFERROR(__xludf.DUMMYFUNCTION("""COMPUTED_VALUE"""),"確定")</f>
        <v>確定</v>
      </c>
      <c r="C2657" s="68">
        <f>IFERROR(__xludf.DUMMYFUNCTION("""COMPUTED_VALUE"""),45652.0)</f>
        <v>45652</v>
      </c>
      <c r="D2657" s="68">
        <f>IFERROR(__xludf.DUMMYFUNCTION("""COMPUTED_VALUE"""),45652.0)</f>
        <v>45652</v>
      </c>
      <c r="E2657" s="100">
        <f>IFERROR(__xludf.DUMMYFUNCTION("""COMPUTED_VALUE"""),306017.0)</f>
        <v>306017</v>
      </c>
      <c r="F2657" s="60" t="str">
        <f>IFERROR(__xludf.DUMMYFUNCTION("""COMPUTED_VALUE"""),"シッターさん、秘密厳守はゼッタイです！")</f>
        <v>シッターさん、秘密厳守はゼッタイです！</v>
      </c>
      <c r="G2657" s="75" t="str">
        <f>IFERROR(__xludf.DUMMYFUNCTION("""COMPUTED_VALUE"""),"1～7")</f>
        <v>1～7</v>
      </c>
      <c r="H2657" s="75" t="str">
        <f>IFERROR(__xludf.DUMMYFUNCTION("""COMPUTED_VALUE"""),"甘野まよ")</f>
        <v>甘野まよ</v>
      </c>
      <c r="I2657" s="75" t="str">
        <f>IFERROR(__xludf.DUMMYFUNCTION("""COMPUTED_VALUE"""),"女性マンガ")</f>
        <v>女性マンガ</v>
      </c>
      <c r="J2657" s="75"/>
      <c r="K2657" s="75" t="str">
        <f>IFERROR(__xludf.DUMMYFUNCTION("""COMPUTED_VALUE"""),"スキして?桃色日記")</f>
        <v>スキして?桃色日記</v>
      </c>
      <c r="L2657" s="75" t="str">
        <f>IFERROR(__xludf.DUMMYFUNCTION("""COMPUTED_VALUE"""),"シーモアコミックス")</f>
        <v>シーモアコミックス</v>
      </c>
      <c r="M2657" s="23">
        <f>IFERROR(__xludf.DUMMYFUNCTION("""COMPUTED_VALUE"""),45689.0)</f>
        <v>45689</v>
      </c>
      <c r="N2657" s="59">
        <f>IFERROR(__xludf.DUMMYFUNCTION("""COMPUTED_VALUE"""),45750.0)</f>
        <v>45750</v>
      </c>
      <c r="O2657" s="75"/>
      <c r="P2657" s="71" t="str">
        <f>IFERROR(__xludf.DUMMYFUNCTION("""COMPUTED_VALUE"""),"可")</f>
        <v>可</v>
      </c>
      <c r="Q2657" s="72"/>
      <c r="R2657" s="75"/>
      <c r="S2657" s="75" t="str">
        <f>IFERROR(__xludf.DUMMYFUNCTION("""COMPUTED_VALUE"""),"20241226_シーモアコミックス_シッターさん、秘密厳守はゼッタイです！")</f>
        <v>20241226_シーモアコミックス_シッターさん、秘密厳守はゼッタイです！</v>
      </c>
      <c r="T2657" s="75" t="str">
        <f>IFERROR(__xludf.DUMMYFUNCTION("""COMPUTED_VALUE"""),"格納済み")</f>
        <v>格納済み</v>
      </c>
      <c r="U2657" s="15" t="str">
        <f>IFERROR(__xludf.DUMMYFUNCTION("""COMPUTED_VALUE"""),"© 甘野まよ/シーモアコミックス")</f>
        <v>© 甘野まよ/シーモアコミックス</v>
      </c>
      <c r="V2657" s="8" t="str">
        <f>IFERROR(__xludf.DUMMYFUNCTION("""COMPUTED_VALUE"""),"『雇用条件は、雇い主に惚れないこと!?』ベビーシッターの仕事をしながら、趣味のゲーム＆推し活にいそしむ由羽。ある日 新しいバイト先で出会ったのは、黒マスク・サングラス姿の超超超超怪しい男…！ その男・松岡春樹はなんと雇い主で、「必ず守って貰いたいことがある…俺に惚れないことだ」なんてトンデモ発言をしてきた。ドン引きする由羽だったが、天使のように可愛い子供・壮馬と高額報酬に釣られてバイト継続を決意。しかし、ふとしたキッカケで松岡が人気上昇中のイケメン俳優だと知り――？ イケメン俳優＆天使な子供の溺愛サンドイ"&amp;"ッチ!? 胸キュン満載シッターデイズ☆【本作品は他社より配信されていた「シッターさん、秘密厳守はゼッタイです！」を一部加筆修正したものです。重複購入にご注意ください】【桃色日記】")</f>
        <v>『雇用条件は、雇い主に惚れないこと!?』ベビーシッターの仕事をしながら、趣味のゲーム＆推し活にいそしむ由羽。ある日 新しいバイト先で出会ったのは、黒マスク・サングラス姿の超超超超怪しい男…！ その男・松岡春樹はなんと雇い主で、「必ず守って貰いたいことがある…俺に惚れないことだ」なんてトンデモ発言をしてきた。ドン引きする由羽だったが、天使のように可愛い子供・壮馬と高額報酬に釣られてバイト継続を決意。しかし、ふとしたキッカケで松岡が人気上昇中のイケメン俳優だと知り――？ イケメン俳優＆天使な子供の溺愛サンドイッチ!? 胸キュン満載シッターデイズ☆【本作品は他社より配信されていた「シッターさん、秘密厳守はゼッタイです！」を一部加筆修正したものです。重複購入にご注意ください】【桃色日記】</v>
      </c>
      <c r="W2657" s="14"/>
      <c r="X2657" s="14" t="str">
        <f>IFERROR(__xludf.DUMMYFUNCTION("""COMPUTED_VALUE"""),"有")</f>
        <v>有</v>
      </c>
      <c r="Y2657" s="8" t="str">
        <f>IFERROR(__xludf.DUMMYFUNCTION("""COMPUTED_VALUE"""),"2025/2/28まで1巻無料")</f>
        <v>2025/2/28まで1巻無料</v>
      </c>
      <c r="Z2657" s="7"/>
      <c r="AA2657" s="7"/>
      <c r="AB2657" s="7"/>
    </row>
    <row r="2658" ht="15.75" customHeight="1">
      <c r="A2658" s="66">
        <f>IFERROR(__xludf.DUMMYFUNCTION("""COMPUTED_VALUE"""),4731.0)</f>
        <v>4731</v>
      </c>
      <c r="B2658" s="75" t="str">
        <f>IFERROR(__xludf.DUMMYFUNCTION("""COMPUTED_VALUE"""),"確定")</f>
        <v>確定</v>
      </c>
      <c r="C2658" s="68">
        <f>IFERROR(__xludf.DUMMYFUNCTION("""COMPUTED_VALUE"""),45652.0)</f>
        <v>45652</v>
      </c>
      <c r="D2658" s="68">
        <f>IFERROR(__xludf.DUMMYFUNCTION("""COMPUTED_VALUE"""),45664.0)</f>
        <v>45664</v>
      </c>
      <c r="E2658" s="100">
        <f>IFERROR(__xludf.DUMMYFUNCTION("""COMPUTED_VALUE"""),310373.0)</f>
        <v>310373</v>
      </c>
      <c r="F2658" s="60" t="str">
        <f>IFERROR(__xludf.DUMMYFUNCTION("""COMPUTED_VALUE"""),"お憑かれですが××すれば怖くない!【分冊版】")</f>
        <v>お憑かれですが××すれば怖くない!【分冊版】</v>
      </c>
      <c r="G2658" s="67">
        <f>IFERROR(__xludf.DUMMYFUNCTION("""COMPUTED_VALUE"""),1.0)</f>
        <v>1</v>
      </c>
      <c r="H2658" s="75" t="str">
        <f>IFERROR(__xludf.DUMMYFUNCTION("""COMPUTED_VALUE"""),"あんだ")</f>
        <v>あんだ</v>
      </c>
      <c r="I2658" s="75" t="str">
        <f>IFERROR(__xludf.DUMMYFUNCTION("""COMPUTED_VALUE"""),"BLマンガ")</f>
        <v>BLマンガ</v>
      </c>
      <c r="J2658" s="75"/>
      <c r="K2658" s="75" t="str">
        <f>IFERROR(__xludf.DUMMYFUNCTION("""COMPUTED_VALUE"""),"equal")</f>
        <v>equal</v>
      </c>
      <c r="L2658" s="75" t="str">
        <f>IFERROR(__xludf.DUMMYFUNCTION("""COMPUTED_VALUE"""),"笠倉出版社")</f>
        <v>笠倉出版社</v>
      </c>
      <c r="M2658" s="23">
        <f>IFERROR(__xludf.DUMMYFUNCTION("""COMPUTED_VALUE"""),45667.0)</f>
        <v>45667</v>
      </c>
      <c r="N2658" s="47">
        <f>IFERROR(__xludf.DUMMYFUNCTION("""COMPUTED_VALUE"""),45701.0)</f>
        <v>45701</v>
      </c>
      <c r="O2658" s="75"/>
      <c r="P2658" s="80" t="str">
        <f>IFERROR(__xludf.DUMMYFUNCTION("""COMPUTED_VALUE"""),"可")</f>
        <v>可</v>
      </c>
      <c r="Q2658" s="72" t="str">
        <f>IFERROR(__xludf.DUMMYFUNCTION("""COMPUTED_VALUE"""),"配信までの期日も短いので、可能な範囲で出稿お願いします。")</f>
        <v>配信までの期日も短いので、可能な範囲で出稿お願いします。</v>
      </c>
      <c r="R2658" s="75"/>
      <c r="S2658" s="75" t="str">
        <f>IFERROR(__xludf.DUMMYFUNCTION("""COMPUTED_VALUE"""),"20241226_笠倉出版社_お憑かれですが××すれば怖くない！【分冊版】 1話")</f>
        <v>20241226_笠倉出版社_お憑かれですが××すれば怖くない！【分冊版】 1話</v>
      </c>
      <c r="T2658" s="75" t="str">
        <f>IFERROR(__xludf.DUMMYFUNCTION("""COMPUTED_VALUE"""),"格納済み")</f>
        <v>格納済み</v>
      </c>
      <c r="U2658" s="15" t="str">
        <f>IFERROR(__xludf.DUMMYFUNCTION("""COMPUTED_VALUE"""),"Ⓒあんだ/笠倉出版社")</f>
        <v>Ⓒあんだ/笠倉出版社</v>
      </c>
      <c r="V2658" s="8" t="str">
        <f>IFERROR(__xludf.DUMMYFUNCTION("""COMPUTED_VALUE"""),"「えっちするか」「なんでですか！？」中学から一緒の柊と緒方は先輩後輩で、大学も同じ。ある日、自分の部屋で心霊現象が起こると伝えると、面白がった緒方は部屋に遊びに来ると言い出した。実は緒方へ好意を持っていた柊は、長い片想いをこじらせた結果ストーカー気質になっていた。そのため部屋は緒方の隠し撮りだらけで見せられたものではない。なんとか普通の部屋に戻したもののバレることを恐れ帰ってもらおうと思ったのに恐れていた心霊現象が…！しかも怖がる柊を前に「気持ちいいことしたら幽霊出ていくかも」と緒方がとんでもないことを言"&amp;"い出して――！？※本作品はWEB雑誌「equal」に収録されています。重複購入にご注意ください。")</f>
        <v>「えっちするか」「なんでですか！？」中学から一緒の柊と緒方は先輩後輩で、大学も同じ。ある日、自分の部屋で心霊現象が起こると伝えると、面白がった緒方は部屋に遊びに来ると言い出した。実は緒方へ好意を持っていた柊は、長い片想いをこじらせた結果ストーカー気質になっていた。そのため部屋は緒方の隠し撮りだらけで見せられたものではない。なんとか普通の部屋に戻したもののバレることを恐れ帰ってもらおうと思ったのに恐れていた心霊現象が…！しかも怖がる柊を前に「気持ちいいことしたら幽霊出ていくかも」と緒方がとんでもないことを言い出して――！？※本作品はWEB雑誌「equal」に収録されています。重複購入にご注意ください。</v>
      </c>
      <c r="W2658" s="14"/>
      <c r="X2658" s="14" t="str">
        <f>IFERROR(__xludf.DUMMYFUNCTION("""COMPUTED_VALUE"""),"有")</f>
        <v>有</v>
      </c>
      <c r="Y2658" s="8" t="str">
        <f>IFERROR(__xludf.DUMMYFUNCTION("""COMPUTED_VALUE"""),"P6まで")</f>
        <v>P6まで</v>
      </c>
      <c r="Z2658" s="7"/>
      <c r="AA2658" s="7"/>
      <c r="AB2658" s="7"/>
    </row>
    <row r="2659" ht="15.75" customHeight="1">
      <c r="A2659" s="66">
        <f>IFERROR(__xludf.DUMMYFUNCTION("""COMPUTED_VALUE"""),4736.0)</f>
        <v>4736</v>
      </c>
      <c r="B2659" s="75" t="str">
        <f>IFERROR(__xludf.DUMMYFUNCTION("""COMPUTED_VALUE"""),"確定")</f>
        <v>確定</v>
      </c>
      <c r="C2659" s="68">
        <f>IFERROR(__xludf.DUMMYFUNCTION("""COMPUTED_VALUE"""),45653.0)</f>
        <v>45653</v>
      </c>
      <c r="D2659" s="68">
        <f>IFERROR(__xludf.DUMMYFUNCTION("""COMPUTED_VALUE"""),45664.0)</f>
        <v>45664</v>
      </c>
      <c r="E2659" s="100">
        <f>IFERROR(__xludf.DUMMYFUNCTION("""COMPUTED_VALUE"""),309644.0)</f>
        <v>309644</v>
      </c>
      <c r="F2659" s="60" t="str">
        <f>IFERROR(__xludf.DUMMYFUNCTION("""COMPUTED_VALUE"""),"社畜マフィアと愛玩ウサギ～不本意ですが、種付け交尾にメス堕ちしました～")</f>
        <v>社畜マフィアと愛玩ウサギ～不本意ですが、種付け交尾にメス堕ちしました～</v>
      </c>
      <c r="G2659" s="75" t="str">
        <f>IFERROR(__xludf.DUMMYFUNCTION("""COMPUTED_VALUE"""),"1～3")</f>
        <v>1～3</v>
      </c>
      <c r="H2659" s="75" t="str">
        <f>IFERROR(__xludf.DUMMYFUNCTION("""COMPUTED_VALUE"""),"小此木葉っぱ")</f>
        <v>小此木葉っぱ</v>
      </c>
      <c r="I2659" s="75" t="str">
        <f>IFERROR(__xludf.DUMMYFUNCTION("""COMPUTED_VALUE"""),"TLマンガ")</f>
        <v>TLマンガ</v>
      </c>
      <c r="J2659" s="75"/>
      <c r="K2659" s="75" t="str">
        <f>IFERROR(__xludf.DUMMYFUNCTION("""COMPUTED_VALUE"""),"re:belle")</f>
        <v>re:belle</v>
      </c>
      <c r="L2659" s="75" t="str">
        <f>IFERROR(__xludf.DUMMYFUNCTION("""COMPUTED_VALUE"""),"CLAPコミックス")</f>
        <v>CLAPコミックス</v>
      </c>
      <c r="M2659" s="94">
        <f>IFERROR(__xludf.DUMMYFUNCTION("""COMPUTED_VALUE"""),45652.0)</f>
        <v>45652</v>
      </c>
      <c r="N2659" s="59">
        <f>IFERROR(__xludf.DUMMYFUNCTION("""COMPUTED_VALUE"""),45742.0)</f>
        <v>45742</v>
      </c>
      <c r="O2659" s="75"/>
      <c r="P2659" s="80" t="str">
        <f>IFERROR(__xludf.DUMMYFUNCTION("""COMPUTED_VALUE"""),"可")</f>
        <v>可</v>
      </c>
      <c r="Q2659" s="72" t="str">
        <f>IFERROR(__xludf.DUMMYFUNCTION("""COMPUTED_VALUE"""),"12/26配信開始作品ですが、3カ月先行なので可能であれば出稿よろしくお願いいたします。")</f>
        <v>12/26配信開始作品ですが、3カ月先行なので可能であれば出稿よろしくお願いいたします。</v>
      </c>
      <c r="R2659" s="75"/>
      <c r="S2659" s="75" t="str">
        <f>IFERROR(__xludf.DUMMYFUNCTION("""COMPUTED_VALUE"""),"20241227_CLAPコミックス_社畜マフィアと愛玩ウサギ～不本意ですが、種付け交尾にメス堕ちしました～")</f>
        <v>20241227_CLAPコミックス_社畜マフィアと愛玩ウサギ～不本意ですが、種付け交尾にメス堕ちしました～</v>
      </c>
      <c r="T2659" s="75" t="str">
        <f>IFERROR(__xludf.DUMMYFUNCTION("""COMPUTED_VALUE"""),"格納済み")</f>
        <v>格納済み</v>
      </c>
      <c r="U2659" s="15" t="str">
        <f>IFERROR(__xludf.DUMMYFUNCTION("""COMPUTED_VALUE"""),"小此木葉っぱ／CLAPコミックス")</f>
        <v>小此木葉っぱ／CLAPコミックス</v>
      </c>
      <c r="V2659" s="8" t="str">
        <f>IFERROR(__xludf.DUMMYFUNCTION("""COMPUTED_VALUE"""),"「その最高品質のカラダでしっかり癒してもらおうか」
乱暴に扱われると思ったのに…とろけるようなキスから始まって、巧みな愛撫と甘い囁きにカラダの奥がじんと痺れていく。実践のエッチってこんなに違うものなの…？それとも、「この男」だから…？
――これは、治安の悪い近未来のお話。愛玩用の（元）高級ペット獣人ジュナは気に入らない客の検品から逃げに逃げ、結果売れ残ってしまっている。
……だって、ペットだって幸せになりたい。癒す相手は自分で選びたい、から。
だけど、《街》を牛耳るマフィアの一味に強引"&amp;"に売り払われてしまう。そこに居たのは人相の悪い黒ずくめの大男・島津。
「お前を飼うつもりはない。返品だ」
島津はジュナに興味を示さない。高級ペットの矜持をかけてその気にさせようと挑発するが逆に翻弄されてしまう!?
【お疲れ気味の悪党島津】×【売れ残り獣人ジュナ】
二人の奇妙な共同生活、はじまる！")</f>
        <v>「その最高品質のカラダでしっかり癒してもらおうか」
乱暴に扱われると思ったのに…とろけるようなキスから始まって、巧みな愛撫と甘い囁きにカラダの奥がじんと痺れていく。実践のエッチってこんなに違うものなの…？それとも、「この男」だから…？
――これは、治安の悪い近未来のお話。愛玩用の（元）高級ペット獣人ジュナは気に入らない客の検品から逃げに逃げ、結果売れ残ってしまっている。
……だって、ペットだって幸せになりたい。癒す相手は自分で選びたい、から。
だけど、《街》を牛耳るマフィアの一味に強引に売り払われてしまう。そこに居たのは人相の悪い黒ずくめの大男・島津。
「お前を飼うつもりはない。返品だ」
島津はジュナに興味を示さない。高級ペットの矜持をかけてその気にさせようと挑発するが逆に翻弄されてしまう!?
【お疲れ気味の悪党島津】×【売れ残り獣人ジュナ】
二人の奇妙な共同生活、はじまる！</v>
      </c>
      <c r="W2659" s="14"/>
      <c r="X2659" s="14" t="str">
        <f>IFERROR(__xludf.DUMMYFUNCTION("""COMPUTED_VALUE"""),"有")</f>
        <v>有</v>
      </c>
      <c r="Y2659" s="8" t="str">
        <f>IFERROR(__xludf.DUMMYFUNCTION("""COMPUTED_VALUE"""),"P15まで")</f>
        <v>P15まで</v>
      </c>
      <c r="Z2659" s="7"/>
      <c r="AA2659" s="7"/>
      <c r="AB2659" s="7"/>
    </row>
    <row r="2660" ht="15.75" customHeight="1">
      <c r="A2660" s="66">
        <f>IFERROR(__xludf.DUMMYFUNCTION("""COMPUTED_VALUE"""),4737.0)</f>
        <v>4737</v>
      </c>
      <c r="B2660" s="75" t="str">
        <f>IFERROR(__xludf.DUMMYFUNCTION("""COMPUTED_VALUE"""),"確定")</f>
        <v>確定</v>
      </c>
      <c r="C2660" s="68">
        <f>IFERROR(__xludf.DUMMYFUNCTION("""COMPUTED_VALUE"""),45653.0)</f>
        <v>45653</v>
      </c>
      <c r="D2660" s="68">
        <f>IFERROR(__xludf.DUMMYFUNCTION("""COMPUTED_VALUE"""),45664.0)</f>
        <v>45664</v>
      </c>
      <c r="E2660" s="100">
        <f>IFERROR(__xludf.DUMMYFUNCTION("""COMPUTED_VALUE"""),309645.0)</f>
        <v>309645</v>
      </c>
      <c r="F2660" s="60" t="str">
        <f>IFERROR(__xludf.DUMMYFUNCTION("""COMPUTED_VALUE"""),"この愛は、真夜中限定～房中術士と最上の秘め事～")</f>
        <v>この愛は、真夜中限定～房中術士と最上の秘め事～</v>
      </c>
      <c r="G2660" s="75" t="str">
        <f>IFERROR(__xludf.DUMMYFUNCTION("""COMPUTED_VALUE"""),"1～3")</f>
        <v>1～3</v>
      </c>
      <c r="H2660" s="75" t="str">
        <f>IFERROR(__xludf.DUMMYFUNCTION("""COMPUTED_VALUE"""),"栗原")</f>
        <v>栗原</v>
      </c>
      <c r="I2660" s="75" t="str">
        <f>IFERROR(__xludf.DUMMYFUNCTION("""COMPUTED_VALUE"""),"TLマンガ")</f>
        <v>TLマンガ</v>
      </c>
      <c r="J2660" s="75"/>
      <c r="K2660" s="75" t="str">
        <f>IFERROR(__xludf.DUMMYFUNCTION("""COMPUTED_VALUE"""),"re:belle")</f>
        <v>re:belle</v>
      </c>
      <c r="L2660" s="75" t="str">
        <f>IFERROR(__xludf.DUMMYFUNCTION("""COMPUTED_VALUE"""),"CLAPコミックス")</f>
        <v>CLAPコミックス</v>
      </c>
      <c r="M2660" s="94">
        <f>IFERROR(__xludf.DUMMYFUNCTION("""COMPUTED_VALUE"""),45652.0)</f>
        <v>45652</v>
      </c>
      <c r="N2660" s="59">
        <f>IFERROR(__xludf.DUMMYFUNCTION("""COMPUTED_VALUE"""),45742.0)</f>
        <v>45742</v>
      </c>
      <c r="O2660" s="75"/>
      <c r="P2660" s="80" t="str">
        <f>IFERROR(__xludf.DUMMYFUNCTION("""COMPUTED_VALUE"""),"可")</f>
        <v>可</v>
      </c>
      <c r="Q2660" s="72" t="str">
        <f>IFERROR(__xludf.DUMMYFUNCTION("""COMPUTED_VALUE"""),"12/26配信開始作品ですが、3カ月先行なので可能であれば出稿よろしくお願いいたします。")</f>
        <v>12/26配信開始作品ですが、3カ月先行なので可能であれば出稿よろしくお願いいたします。</v>
      </c>
      <c r="R2660" s="75"/>
      <c r="S2660" s="75" t="str">
        <f>IFERROR(__xludf.DUMMYFUNCTION("""COMPUTED_VALUE"""),"20241227_CLAPコミックス_この愛は、真夜中限定～房中術士と最上の秘め事～")</f>
        <v>20241227_CLAPコミックス_この愛は、真夜中限定～房中術士と最上の秘め事～</v>
      </c>
      <c r="T2660" s="75" t="str">
        <f>IFERROR(__xludf.DUMMYFUNCTION("""COMPUTED_VALUE"""),"格納済み")</f>
        <v>格納済み</v>
      </c>
      <c r="U2660" s="15" t="str">
        <f>IFERROR(__xludf.DUMMYFUNCTION("""COMPUTED_VALUE"""),"栗原／CLAPコミックス")</f>
        <v>栗原／CLAPコミックス</v>
      </c>
      <c r="V2660" s="8" t="str">
        <f>IFERROR(__xludf.DUMMYFUNCTION("""COMPUTED_VALUE"""),"「俺と性交しないと君は死ぬ」
生命の危機を脱するためとはいえ、知らない男に抱かれるなんて…。
天涯孤独な保育士・明里は過労で倒れ、《マヨナカ》という異世界に迷い込む。そこはずっと夜の静かで不思議な世界。そこでノワールと名乗る謎の男に救われる。
元の世界に戻るため体内に不足している《気》を満たす必要あると知らされて…。
「君を満足させるように努力する」
止めどなくやってくる快楽の波、全身に甘い電撃が駆け巡る。
…セックスがこんなに気持ちいいなんて知らなかった。
【美形の房中術士"&amp;"】×【天涯孤独の保育士】
カラダからはじまる!? 東洋異世界ラブ・ファンタジー！")</f>
        <v>「俺と性交しないと君は死ぬ」
生命の危機を脱するためとはいえ、知らない男に抱かれるなんて…。
天涯孤独な保育士・明里は過労で倒れ、《マヨナカ》という異世界に迷い込む。そこはずっと夜の静かで不思議な世界。そこでノワールと名乗る謎の男に救われる。
元の世界に戻るため体内に不足している《気》を満たす必要あると知らされて…。
「君を満足させるように努力する」
止めどなくやってくる快楽の波、全身に甘い電撃が駆け巡る。
…セックスがこんなに気持ちいいなんて知らなかった。
【美形の房中術士】×【天涯孤独の保育士】
カラダからはじまる!? 東洋異世界ラブ・ファンタジー！</v>
      </c>
      <c r="W2660" s="14"/>
      <c r="X2660" s="14" t="str">
        <f>IFERROR(__xludf.DUMMYFUNCTION("""COMPUTED_VALUE"""),"有")</f>
        <v>有</v>
      </c>
      <c r="Y2660" s="8" t="str">
        <f>IFERROR(__xludf.DUMMYFUNCTION("""COMPUTED_VALUE"""),"P12まで")</f>
        <v>P12まで</v>
      </c>
      <c r="Z2660" s="7"/>
      <c r="AA2660" s="7"/>
      <c r="AB2660" s="7"/>
    </row>
    <row r="2661" ht="15.75" customHeight="1">
      <c r="A2661" s="66">
        <f>IFERROR(__xludf.DUMMYFUNCTION("""COMPUTED_VALUE"""),4738.0)</f>
        <v>4738</v>
      </c>
      <c r="B2661" s="75" t="str">
        <f>IFERROR(__xludf.DUMMYFUNCTION("""COMPUTED_VALUE"""),"確定")</f>
        <v>確定</v>
      </c>
      <c r="C2661" s="68">
        <f>IFERROR(__xludf.DUMMYFUNCTION("""COMPUTED_VALUE"""),45653.0)</f>
        <v>45653</v>
      </c>
      <c r="D2661" s="68">
        <f>IFERROR(__xludf.DUMMYFUNCTION("""COMPUTED_VALUE"""),45664.0)</f>
        <v>45664</v>
      </c>
      <c r="E2661" s="100">
        <f>IFERROR(__xludf.DUMMYFUNCTION("""COMPUTED_VALUE"""),309646.0)</f>
        <v>309646</v>
      </c>
      <c r="F2661" s="60" t="str">
        <f>IFERROR(__xludf.DUMMYFUNCTION("""COMPUTED_VALUE"""),"オオカミ王子の発情お世話係～甘咬み求愛からは逃げられない!?～")</f>
        <v>オオカミ王子の発情お世話係～甘咬み求愛からは逃げられない!?～</v>
      </c>
      <c r="G2661" s="75" t="str">
        <f>IFERROR(__xludf.DUMMYFUNCTION("""COMPUTED_VALUE"""),"1～3")</f>
        <v>1～3</v>
      </c>
      <c r="H2661" s="75" t="str">
        <f>IFERROR(__xludf.DUMMYFUNCTION("""COMPUTED_VALUE"""),"権田原,茜たま")</f>
        <v>権田原,茜たま</v>
      </c>
      <c r="I2661" s="75" t="str">
        <f>IFERROR(__xludf.DUMMYFUNCTION("""COMPUTED_VALUE"""),"女性マンガ")</f>
        <v>女性マンガ</v>
      </c>
      <c r="J2661" s="75"/>
      <c r="K2661" s="75" t="str">
        <f>IFERROR(__xludf.DUMMYFUNCTION("""COMPUTED_VALUE"""),"re:belle")</f>
        <v>re:belle</v>
      </c>
      <c r="L2661" s="75" t="str">
        <f>IFERROR(__xludf.DUMMYFUNCTION("""COMPUTED_VALUE"""),"CLAPコミックス")</f>
        <v>CLAPコミックス</v>
      </c>
      <c r="M2661" s="94">
        <f>IFERROR(__xludf.DUMMYFUNCTION("""COMPUTED_VALUE"""),45652.0)</f>
        <v>45652</v>
      </c>
      <c r="N2661" s="59">
        <f>IFERROR(__xludf.DUMMYFUNCTION("""COMPUTED_VALUE"""),45742.0)</f>
        <v>45742</v>
      </c>
      <c r="O2661" s="75"/>
      <c r="P2661" s="80" t="str">
        <f>IFERROR(__xludf.DUMMYFUNCTION("""COMPUTED_VALUE"""),"可")</f>
        <v>可</v>
      </c>
      <c r="Q2661" s="72" t="str">
        <f>IFERROR(__xludf.DUMMYFUNCTION("""COMPUTED_VALUE"""),"12/26配信開始作品ですが、3カ月先行なので可能であれば出稿よろしくお願いいたします。&lt;BR&gt;")</f>
        <v>12/26配信開始作品ですが、3カ月先行なので可能であれば出稿よろしくお願いいたします。&lt;BR&gt;</v>
      </c>
      <c r="R2661" s="75"/>
      <c r="S2661" s="75" t="str">
        <f>IFERROR(__xludf.DUMMYFUNCTION("""COMPUTED_VALUE"""),"20241227_CLAPコミックス_オオカミ王子の発情お世話係～甘咬み求愛からは逃げられない！？～")</f>
        <v>20241227_CLAPコミックス_オオカミ王子の発情お世話係～甘咬み求愛からは逃げられない！？～</v>
      </c>
      <c r="T2661" s="75" t="str">
        <f>IFERROR(__xludf.DUMMYFUNCTION("""COMPUTED_VALUE"""),"格納済み")</f>
        <v>格納済み</v>
      </c>
      <c r="U2661" s="15" t="str">
        <f>IFERROR(__xludf.DUMMYFUNCTION("""COMPUTED_VALUE"""),"権田原・茜たま／CLAPコミックス")</f>
        <v>権田原・茜たま／CLAPコミックス</v>
      </c>
      <c r="V2661" s="8" t="str">
        <f>IFERROR(__xludf.DUMMYFUNCTION("""COMPUTED_VALUE"""),"「…俺から離れてくれ。どうすることもできないんだ」
狼神の祝福を受け建国された伝説を持つ美しく豊かなクロニス王国。
貧乏男爵令嬢ソフィアは家族と領民のために条件の良い嫁ぎ先を見つけないといけない。その為に王城の夜会まで来たけれど広い城で迷子になってしまう。そんな最中に見つけた小部屋、何かが壊れるような大きな物音に、重く閉ざされた扉を開けると――この国の王太子レヴァンが囚われの身になっていて!?
レヴァンを助けるため必死で拘束具を外すが、途端強い力で組み敷かれる。視線の先には鋭く輝きを放つ黄金"&amp;"の双眸。苦し気に伏せられる目蓋、切ない吐息、鋭い牙。どうしても目を離すことができない。
すべてを受け入れることを決めたとき、ふたりの運命は動き出す――…。
【国家機密を知ってしまった貧乏令嬢】×【気高く孤独な王太子殿下】
ロイヤルシークレット・ラブ")</f>
        <v>「…俺から離れてくれ。どうすることもできないんだ」
狼神の祝福を受け建国された伝説を持つ美しく豊かなクロニス王国。
貧乏男爵令嬢ソフィアは家族と領民のために条件の良い嫁ぎ先を見つけないといけない。その為に王城の夜会まで来たけれど広い城で迷子になってしまう。そんな最中に見つけた小部屋、何かが壊れるような大きな物音に、重く閉ざされた扉を開けると――この国の王太子レヴァンが囚われの身になっていて!?
レヴァンを助けるため必死で拘束具を外すが、途端強い力で組み敷かれる。視線の先には鋭く輝きを放つ黄金の双眸。苦し気に伏せられる目蓋、切ない吐息、鋭い牙。どうしても目を離すことができない。
すべてを受け入れることを決めたとき、ふたりの運命は動き出す――…。
【国家機密を知ってしまった貧乏令嬢】×【気高く孤独な王太子殿下】
ロイヤルシークレット・ラブ</v>
      </c>
      <c r="W2661" s="14"/>
      <c r="X2661" s="14" t="str">
        <f>IFERROR(__xludf.DUMMYFUNCTION("""COMPUTED_VALUE"""),"有")</f>
        <v>有</v>
      </c>
      <c r="Y2661" s="8" t="str">
        <f>IFERROR(__xludf.DUMMYFUNCTION("""COMPUTED_VALUE"""),"P13まで")</f>
        <v>P13まで</v>
      </c>
      <c r="Z2661" s="7"/>
      <c r="AA2661" s="7"/>
      <c r="AB2661" s="7"/>
    </row>
    <row r="2662" ht="15.75" customHeight="1">
      <c r="A2662" s="66">
        <f>IFERROR(__xludf.DUMMYFUNCTION("""COMPUTED_VALUE"""),4739.0)</f>
        <v>4739</v>
      </c>
      <c r="B2662" s="75" t="str">
        <f>IFERROR(__xludf.DUMMYFUNCTION("""COMPUTED_VALUE"""),"確定")</f>
        <v>確定</v>
      </c>
      <c r="C2662" s="68">
        <f>IFERROR(__xludf.DUMMYFUNCTION("""COMPUTED_VALUE"""),45653.0)</f>
        <v>45653</v>
      </c>
      <c r="D2662" s="68">
        <f>IFERROR(__xludf.DUMMYFUNCTION("""COMPUTED_VALUE"""),45664.0)</f>
        <v>45664</v>
      </c>
      <c r="E2662" s="60">
        <f>IFERROR(__xludf.DUMMYFUNCTION("""COMPUTED_VALUE"""),313014.0)</f>
        <v>313014</v>
      </c>
      <c r="F2662" s="60" t="str">
        <f>IFERROR(__xludf.DUMMYFUNCTION("""COMPUTED_VALUE"""),"ヨゴレた夫～白衣の天使に復讐を～")</f>
        <v>ヨゴレた夫～白衣の天使に復讐を～</v>
      </c>
      <c r="G2662" s="75" t="str">
        <f>IFERROR(__xludf.DUMMYFUNCTION("""COMPUTED_VALUE"""),"1～4")</f>
        <v>1～4</v>
      </c>
      <c r="H2662" s="75" t="str">
        <f>IFERROR(__xludf.DUMMYFUNCTION("""COMPUTED_VALUE"""),"秋生のぞみ")</f>
        <v>秋生のぞみ</v>
      </c>
      <c r="I2662" s="75" t="str">
        <f>IFERROR(__xludf.DUMMYFUNCTION("""COMPUTED_VALUE"""),"女性")</f>
        <v>女性</v>
      </c>
      <c r="J2662" s="75"/>
      <c r="K2662" s="75" t="str">
        <f>IFERROR(__xludf.DUMMYFUNCTION("""COMPUTED_VALUE"""),"echo")</f>
        <v>echo</v>
      </c>
      <c r="L2662" s="75" t="str">
        <f>IFERROR(__xludf.DUMMYFUNCTION("""COMPUTED_VALUE"""),"一迅社")</f>
        <v>一迅社</v>
      </c>
      <c r="M2662" s="59">
        <f>IFERROR(__xludf.DUMMYFUNCTION("""COMPUTED_VALUE"""),45695.0)</f>
        <v>45695</v>
      </c>
      <c r="N2662" s="59">
        <f>IFERROR(__xludf.DUMMYFUNCTION("""COMPUTED_VALUE"""),45778.0)</f>
        <v>45778</v>
      </c>
      <c r="O2662" s="75"/>
      <c r="P2662" s="80" t="str">
        <f>IFERROR(__xludf.DUMMYFUNCTION("""COMPUTED_VALUE"""),"可")</f>
        <v>可</v>
      </c>
      <c r="Q2662" s="75" t="str">
        <f>IFERROR(__xludf.DUMMYFUNCTION("""COMPUTED_VALUE"""),"・協業レーベルの作品です。")</f>
        <v>・協業レーベルの作品です。</v>
      </c>
      <c r="R2662" s="75" t="str">
        <f>IFERROR(__xludf.DUMMYFUNCTION("""COMPUTED_VALUE"""),"コミットOK")</f>
        <v>コミットOK</v>
      </c>
      <c r="S2662" s="75" t="str">
        <f>IFERROR(__xludf.DUMMYFUNCTION("""COMPUTED_VALUE"""),"20241227_一迅社_ヨゴレた夫～白衣の天使に復讐を～")</f>
        <v>20241227_一迅社_ヨゴレた夫～白衣の天使に復讐を～</v>
      </c>
      <c r="T2662" s="75" t="str">
        <f>IFERROR(__xludf.DUMMYFUNCTION("""COMPUTED_VALUE"""),"格納済み")</f>
        <v>格納済み</v>
      </c>
      <c r="U2662" s="15" t="str">
        <f>IFERROR(__xludf.DUMMYFUNCTION("""COMPUTED_VALUE"""),"(c)秋生のぞみ／一迅社")</f>
        <v>(c)秋生のぞみ／一迅社</v>
      </c>
      <c r="V2662" s="8" t="str">
        <f>IFERROR(__xludf.DUMMYFUNCTION("""COMPUTED_VALUE"""),"専業主婦の美咲は、夫・智の素っ気ない態度に不満を抱きつつも、娘の恵と家族3人で幸せな日々が続くと思っていた。しかしある日、美咲は事故に遭い入院することに。怪我をしてもなお、美咲に素っ気なく、美人看護師にデレデレする夫。退院し、久々に帰宅した美咲は、怪我をしているから一緒にお風呂に入って補助してほしいと夫に頼む。しかし、夫は何故か頑なに服を脱がず――")</f>
        <v>専業主婦の美咲は、夫・智の素っ気ない態度に不満を抱きつつも、娘の恵と家族3人で幸せな日々が続くと思っていた。しかしある日、美咲は事故に遭い入院することに。怪我をしてもなお、美咲に素っ気なく、美人看護師にデレデレする夫。退院し、久々に帰宅した美咲は、怪我をしているから一緒にお風呂に入って補助してほしいと夫に頼む。しかし、夫は何故か頑なに服を脱がず――</v>
      </c>
      <c r="W2662" s="14"/>
      <c r="X2662" s="14" t="str">
        <f>IFERROR(__xludf.DUMMYFUNCTION("""COMPUTED_VALUE"""),"有")</f>
        <v>有</v>
      </c>
      <c r="Y2662" s="8" t="str">
        <f>IFERROR(__xludf.DUMMYFUNCTION("""COMPUTED_VALUE"""),"P7まで")</f>
        <v>P7まで</v>
      </c>
      <c r="Z2662" s="7"/>
      <c r="AA2662" s="7"/>
      <c r="AB2662" s="7"/>
    </row>
    <row r="2663" ht="15.75" customHeight="1">
      <c r="A2663" s="66">
        <f>IFERROR(__xludf.DUMMYFUNCTION("""COMPUTED_VALUE"""),4740.0)</f>
        <v>4740</v>
      </c>
      <c r="B2663" s="75" t="str">
        <f>IFERROR(__xludf.DUMMYFUNCTION("""COMPUTED_VALUE"""),"確定")</f>
        <v>確定</v>
      </c>
      <c r="C2663" s="68">
        <f>IFERROR(__xludf.DUMMYFUNCTION("""COMPUTED_VALUE"""),45653.0)</f>
        <v>45653</v>
      </c>
      <c r="D2663" s="68">
        <f>IFERROR(__xludf.DUMMYFUNCTION("""COMPUTED_VALUE"""),45664.0)</f>
        <v>45664</v>
      </c>
      <c r="E2663" s="60">
        <f>IFERROR(__xludf.DUMMYFUNCTION("""COMPUTED_VALUE"""),313015.0)</f>
        <v>313015</v>
      </c>
      <c r="F2663" s="60" t="str">
        <f>IFERROR(__xludf.DUMMYFUNCTION("""COMPUTED_VALUE"""),"薔薇侯爵の運命の花嫁～呪いの侯爵は追放令嬢を手放さない～")</f>
        <v>薔薇侯爵の運命の花嫁～呪いの侯爵は追放令嬢を手放さない～</v>
      </c>
      <c r="G2663" s="75" t="str">
        <f>IFERROR(__xludf.DUMMYFUNCTION("""COMPUTED_VALUE"""),"1～5")</f>
        <v>1～5</v>
      </c>
      <c r="H2663" s="75" t="str">
        <f>IFERROR(__xludf.DUMMYFUNCTION("""COMPUTED_VALUE"""),"遊喜くま")</f>
        <v>遊喜くま</v>
      </c>
      <c r="I2663" s="75" t="str">
        <f>IFERROR(__xludf.DUMMYFUNCTION("""COMPUTED_VALUE"""),"少女")</f>
        <v>少女</v>
      </c>
      <c r="J2663" s="75"/>
      <c r="K2663" s="75" t="str">
        <f>IFERROR(__xludf.DUMMYFUNCTION("""COMPUTED_VALUE"""),"echo")</f>
        <v>echo</v>
      </c>
      <c r="L2663" s="75" t="str">
        <f>IFERROR(__xludf.DUMMYFUNCTION("""COMPUTED_VALUE"""),"一迅社")</f>
        <v>一迅社</v>
      </c>
      <c r="M2663" s="59">
        <f>IFERROR(__xludf.DUMMYFUNCTION("""COMPUTED_VALUE"""),45695.0)</f>
        <v>45695</v>
      </c>
      <c r="N2663" s="59">
        <f>IFERROR(__xludf.DUMMYFUNCTION("""COMPUTED_VALUE"""),45778.0)</f>
        <v>45778</v>
      </c>
      <c r="O2663" s="75"/>
      <c r="P2663" s="80" t="str">
        <f>IFERROR(__xludf.DUMMYFUNCTION("""COMPUTED_VALUE"""),"可")</f>
        <v>可</v>
      </c>
      <c r="Q2663" s="75" t="str">
        <f>IFERROR(__xludf.DUMMYFUNCTION("""COMPUTED_VALUE"""),"・協業レーベル作品です。")</f>
        <v>・協業レーベル作品です。</v>
      </c>
      <c r="R2663" s="75" t="str">
        <f>IFERROR(__xludf.DUMMYFUNCTION("""COMPUTED_VALUE"""),"コミットOK")</f>
        <v>コミットOK</v>
      </c>
      <c r="S2663" s="75" t="str">
        <f>IFERROR(__xludf.DUMMYFUNCTION("""COMPUTED_VALUE"""),"20241227_一迅社_薔薇侯爵の運命の花嫁～呪いの侯爵は追放令嬢を手放さない～")</f>
        <v>20241227_一迅社_薔薇侯爵の運命の花嫁～呪いの侯爵は追放令嬢を手放さない～</v>
      </c>
      <c r="T2663" s="75" t="str">
        <f>IFERROR(__xludf.DUMMYFUNCTION("""COMPUTED_VALUE"""),"格納済み")</f>
        <v>格納済み</v>
      </c>
      <c r="U2663" s="15" t="str">
        <f>IFERROR(__xludf.DUMMYFUNCTION("""COMPUTED_VALUE"""),"(c)遊喜くま／一迅社")</f>
        <v>(c)遊喜くま／一迅社</v>
      </c>
      <c r="V2663" s="8" t="str">
        <f>IFERROR(__xludf.DUMMYFUNCTION("""COMPUTED_VALUE"""),"継母からの虐げを受け、納屋で暮らすよう強いられていたアイリス。ある日継母から「薔薇侯爵」と呼ばれるグレイソン侯爵家へ嫁ぐよう言われる。しかしグレイソン侯爵家には「幾度も娘が送られ、誰一人返ってこない」「送られた娘は広大な領地に咲く薔薇の養分にされる」など黒い噂が後を絶たなかった。心の支えだった義弟に挨拶もさせてもらえないまま追い出されたアイリスは、グレイソン家に到着し無理やり馬車から降ろされ、寒さや空腹から気を失ってしまった。そんなアイリスを助けてくれたのは、悪名高い「薔薇侯爵」で――?")</f>
        <v>継母からの虐げを受け、納屋で暮らすよう強いられていたアイリス。ある日継母から「薔薇侯爵」と呼ばれるグレイソン侯爵家へ嫁ぐよう言われる。しかしグレイソン侯爵家には「幾度も娘が送られ、誰一人返ってこない」「送られた娘は広大な領地に咲く薔薇の養分にされる」など黒い噂が後を絶たなかった。心の支えだった義弟に挨拶もさせてもらえないまま追い出されたアイリスは、グレイソン家に到着し無理やり馬車から降ろされ、寒さや空腹から気を失ってしまった。そんなアイリスを助けてくれたのは、悪名高い「薔薇侯爵」で――?</v>
      </c>
      <c r="W2663" s="14"/>
      <c r="X2663" s="14" t="str">
        <f>IFERROR(__xludf.DUMMYFUNCTION("""COMPUTED_VALUE"""),"有")</f>
        <v>有</v>
      </c>
      <c r="Y2663" s="8" t="str">
        <f>IFERROR(__xludf.DUMMYFUNCTION("""COMPUTED_VALUE"""),"P8まで")</f>
        <v>P8まで</v>
      </c>
      <c r="Z2663" s="7"/>
      <c r="AA2663" s="7"/>
      <c r="AB2663" s="7"/>
    </row>
    <row r="2664" ht="15.75" customHeight="1">
      <c r="A2664" s="66">
        <f>IFERROR(__xludf.DUMMYFUNCTION("""COMPUTED_VALUE"""),4744.0)</f>
        <v>4744</v>
      </c>
      <c r="B2664" s="75" t="str">
        <f>IFERROR(__xludf.DUMMYFUNCTION("""COMPUTED_VALUE"""),"確定")</f>
        <v>確定</v>
      </c>
      <c r="C2664" s="68">
        <f>IFERROR(__xludf.DUMMYFUNCTION("""COMPUTED_VALUE"""),45663.0)</f>
        <v>45663</v>
      </c>
      <c r="D2664" s="68">
        <f>IFERROR(__xludf.DUMMYFUNCTION("""COMPUTED_VALUE"""),45664.0)</f>
        <v>45664</v>
      </c>
      <c r="E2664" s="60">
        <f>IFERROR(__xludf.DUMMYFUNCTION("""COMPUTED_VALUE"""),312955.0)</f>
        <v>312955</v>
      </c>
      <c r="F2664" s="60" t="str">
        <f>IFERROR(__xludf.DUMMYFUNCTION("""COMPUTED_VALUE"""),"セックスじゃないからセーフです！～憧れの幼なじみと言い訳だらけの同棲契約～")</f>
        <v>セックスじゃないからセーフです！～憧れの幼なじみと言い訳だらけの同棲契約～</v>
      </c>
      <c r="G2664" s="75" t="str">
        <f>IFERROR(__xludf.DUMMYFUNCTION("""COMPUTED_VALUE"""),"1～3")</f>
        <v>1～3</v>
      </c>
      <c r="H2664" s="75" t="str">
        <f>IFERROR(__xludf.DUMMYFUNCTION("""COMPUTED_VALUE"""),"清海いお")</f>
        <v>清海いお</v>
      </c>
      <c r="I2664" s="75" t="str">
        <f>IFERROR(__xludf.DUMMYFUNCTION("""COMPUTED_VALUE"""),"TL")</f>
        <v>TL</v>
      </c>
      <c r="J2664" s="75"/>
      <c r="K2664" s="75" t="str">
        <f>IFERROR(__xludf.DUMMYFUNCTION("""COMPUTED_VALUE"""),"LOVEBITES")</f>
        <v>LOVEBITES</v>
      </c>
      <c r="L2664" s="75" t="str">
        <f>IFERROR(__xludf.DUMMYFUNCTION("""COMPUTED_VALUE"""),"一迅社")</f>
        <v>一迅社</v>
      </c>
      <c r="M2664" s="59">
        <f>IFERROR(__xludf.DUMMYFUNCTION("""COMPUTED_VALUE"""),45695.0)</f>
        <v>45695</v>
      </c>
      <c r="N2664" s="59">
        <f>IFERROR(__xludf.DUMMYFUNCTION("""COMPUTED_VALUE"""),45722.0)</f>
        <v>45722</v>
      </c>
      <c r="O2664" s="75"/>
      <c r="P2664" s="71" t="str">
        <f>IFERROR(__xludf.DUMMYFUNCTION("""COMPUTED_VALUE"""),"可")</f>
        <v>可</v>
      </c>
      <c r="Q2664" s="72"/>
      <c r="R2664" s="75"/>
      <c r="S2664" s="75" t="str">
        <f>IFERROR(__xludf.DUMMYFUNCTION("""COMPUTED_VALUE"""),"20250106_一迅社_セックスじゃないからセーフです！～憧れの幼なじみと言い訳だらけの同棲契約～")</f>
        <v>20250106_一迅社_セックスじゃないからセーフです！～憧れの幼なじみと言い訳だらけの同棲契約～</v>
      </c>
      <c r="T2664" s="75" t="str">
        <f>IFERROR(__xludf.DUMMYFUNCTION("""COMPUTED_VALUE"""),"格納済み")</f>
        <v>格納済み</v>
      </c>
      <c r="U2664" s="15" t="str">
        <f>IFERROR(__xludf.DUMMYFUNCTION("""COMPUTED_VALUE"""),"(C)清海いお／一迅社")</f>
        <v>(C)清海いお／一迅社</v>
      </c>
      <c r="V2664" s="8" t="str">
        <f>IFERROR(__xludf.DUMMYFUNCTION("""COMPUTED_VALUE"""),"これって本当にセックスじゃない――んだよね…!?――長尾すずは、ようやく就職できた会社が倒産となり、再び無職となってしまう。仕事なし、恋人なしで母親からも小言を言われ続け実家の居心地も悪く思っていた中、幼なじみの宗一郎から、同棲と恋人のふりをすることを提案され……！？　憧れの幼なじみとの契約同棲生活！")</f>
        <v>これって本当にセックスじゃない――んだよね…!?――長尾すずは、ようやく就職できた会社が倒産となり、再び無職となってしまう。仕事なし、恋人なしで母親からも小言を言われ続け実家の居心地も悪く思っていた中、幼なじみの宗一郎から、同棲と恋人のふりをすることを提案され……！？　憧れの幼なじみとの契約同棲生活！</v>
      </c>
      <c r="W2664" s="14"/>
      <c r="X2664" s="14" t="str">
        <f>IFERROR(__xludf.DUMMYFUNCTION("""COMPUTED_VALUE"""),"有")</f>
        <v>有</v>
      </c>
      <c r="Y2664" s="8" t="str">
        <f>IFERROR(__xludf.DUMMYFUNCTION("""COMPUTED_VALUE"""),"2025/3/6まで1巻無料")</f>
        <v>2025/3/6まで1巻無料</v>
      </c>
      <c r="Z2664" s="7"/>
      <c r="AA2664" s="7"/>
      <c r="AB2664" s="7"/>
    </row>
    <row r="2665" ht="15.75" customHeight="1">
      <c r="A2665" s="66">
        <f>IFERROR(__xludf.DUMMYFUNCTION("""COMPUTED_VALUE"""),4745.0)</f>
        <v>4745</v>
      </c>
      <c r="B2665" s="75" t="str">
        <f>IFERROR(__xludf.DUMMYFUNCTION("""COMPUTED_VALUE"""),"確定")</f>
        <v>確定</v>
      </c>
      <c r="C2665" s="68">
        <f>IFERROR(__xludf.DUMMYFUNCTION("""COMPUTED_VALUE"""),45663.0)</f>
        <v>45663</v>
      </c>
      <c r="D2665" s="68">
        <f>IFERROR(__xludf.DUMMYFUNCTION("""COMPUTED_VALUE"""),45664.0)</f>
        <v>45664</v>
      </c>
      <c r="E2665" s="60">
        <f>IFERROR(__xludf.DUMMYFUNCTION("""COMPUTED_VALUE"""),312956.0)</f>
        <v>312956</v>
      </c>
      <c r="F2665" s="60" t="str">
        <f>IFERROR(__xludf.DUMMYFUNCTION("""COMPUTED_VALUE"""),"舌先からとろける契約～えっちな式神は私限定の色情狂～")</f>
        <v>舌先からとろける契約～えっちな式神は私限定の色情狂～</v>
      </c>
      <c r="G2665" s="75" t="str">
        <f>IFERROR(__xludf.DUMMYFUNCTION("""COMPUTED_VALUE"""),"1～3")</f>
        <v>1～3</v>
      </c>
      <c r="H2665" s="75" t="str">
        <f>IFERROR(__xludf.DUMMYFUNCTION("""COMPUTED_VALUE"""),"夜長.")</f>
        <v>夜長.</v>
      </c>
      <c r="I2665" s="75" t="str">
        <f>IFERROR(__xludf.DUMMYFUNCTION("""COMPUTED_VALUE"""),"TL")</f>
        <v>TL</v>
      </c>
      <c r="J2665" s="75"/>
      <c r="K2665" s="75" t="str">
        <f>IFERROR(__xludf.DUMMYFUNCTION("""COMPUTED_VALUE"""),"LOVEBITES")</f>
        <v>LOVEBITES</v>
      </c>
      <c r="L2665" s="75" t="str">
        <f>IFERROR(__xludf.DUMMYFUNCTION("""COMPUTED_VALUE"""),"一迅社")</f>
        <v>一迅社</v>
      </c>
      <c r="M2665" s="59">
        <f>IFERROR(__xludf.DUMMYFUNCTION("""COMPUTED_VALUE"""),45695.0)</f>
        <v>45695</v>
      </c>
      <c r="N2665" s="59">
        <f>IFERROR(__xludf.DUMMYFUNCTION("""COMPUTED_VALUE"""),45722.0)</f>
        <v>45722</v>
      </c>
      <c r="O2665" s="75"/>
      <c r="P2665" s="71" t="str">
        <f>IFERROR(__xludf.DUMMYFUNCTION("""COMPUTED_VALUE"""),"可")</f>
        <v>可</v>
      </c>
      <c r="Q2665" s="72"/>
      <c r="R2665" s="75"/>
      <c r="S2665" s="75" t="str">
        <f>IFERROR(__xludf.DUMMYFUNCTION("""COMPUTED_VALUE"""),"20250106_一迅社_舌先からとろける契約～えっちな式神は私限定の色情狂～")</f>
        <v>20250106_一迅社_舌先からとろける契約～えっちな式神は私限定の色情狂～</v>
      </c>
      <c r="T2665" s="75" t="str">
        <f>IFERROR(__xludf.DUMMYFUNCTION("""COMPUTED_VALUE"""),"格納済み")</f>
        <v>格納済み</v>
      </c>
      <c r="U2665" s="15" t="str">
        <f>IFERROR(__xludf.DUMMYFUNCTION("""COMPUTED_VALUE"""),"(C)夜長.／一迅社")</f>
        <v>(C)夜長.／一迅社</v>
      </c>
      <c r="V2665" s="8" t="str">
        <f>IFERROR(__xludf.DUMMYFUNCTION("""COMPUTED_VALUE"""),"落ちこぼれ陰陽師の神谷祈は、二十歳の誕生日に、強力な式神の召喚に成功する。しかし、召喚で霊力のほとんどを使い切った祈は倒れてしまい……。式神の朧は、祈に霊力を分け与えると言い――「選べ。私の血液か体液か」そう言って、朧はキスしてきて……！？――ついに召喚した式神は超絶エロ魔人でした！")</f>
        <v>落ちこぼれ陰陽師の神谷祈は、二十歳の誕生日に、強力な式神の召喚に成功する。しかし、召喚で霊力のほとんどを使い切った祈は倒れてしまい……。式神の朧は、祈に霊力を分け与えると言い――「選べ。私の血液か体液か」そう言って、朧はキスしてきて……！？――ついに召喚した式神は超絶エロ魔人でした！</v>
      </c>
      <c r="W2665" s="14"/>
      <c r="X2665" s="14" t="str">
        <f>IFERROR(__xludf.DUMMYFUNCTION("""COMPUTED_VALUE"""),"有")</f>
        <v>有</v>
      </c>
      <c r="Y2665" s="8" t="str">
        <f>IFERROR(__xludf.DUMMYFUNCTION("""COMPUTED_VALUE"""),"2025/3/6まで1巻無料")</f>
        <v>2025/3/6まで1巻無料</v>
      </c>
      <c r="Z2665" s="7"/>
      <c r="AA2665" s="7"/>
      <c r="AB2665" s="7"/>
    </row>
    <row r="2666" ht="15.75" customHeight="1">
      <c r="A2666" s="66">
        <f>IFERROR(__xludf.DUMMYFUNCTION("""COMPUTED_VALUE"""),4751.0)</f>
        <v>4751</v>
      </c>
      <c r="B2666" s="75" t="str">
        <f>IFERROR(__xludf.DUMMYFUNCTION("""COMPUTED_VALUE"""),"確定")</f>
        <v>確定</v>
      </c>
      <c r="C2666" s="68">
        <f>IFERROR(__xludf.DUMMYFUNCTION("""COMPUTED_VALUE"""),45664.0)</f>
        <v>45664</v>
      </c>
      <c r="D2666" s="68">
        <f>IFERROR(__xludf.DUMMYFUNCTION("""COMPUTED_VALUE"""),45664.0)</f>
        <v>45664</v>
      </c>
      <c r="E2666" s="100">
        <f>IFERROR(__xludf.DUMMYFUNCTION("""COMPUTED_VALUE"""),301064.0)</f>
        <v>301064</v>
      </c>
      <c r="F2666" s="60" t="str">
        <f>IFERROR(__xludf.DUMMYFUNCTION("""COMPUTED_VALUE"""),"今夜23時 コインランドリーで、同期のアイツと")</f>
        <v>今夜23時 コインランドリーで、同期のアイツと</v>
      </c>
      <c r="G2666" s="75" t="str">
        <f>IFERROR(__xludf.DUMMYFUNCTION("""COMPUTED_VALUE"""),"1～4")</f>
        <v>1～4</v>
      </c>
      <c r="H2666" s="75" t="str">
        <f>IFERROR(__xludf.DUMMYFUNCTION("""COMPUTED_VALUE"""),"南志都")</f>
        <v>南志都</v>
      </c>
      <c r="I2666" s="75" t="str">
        <f>IFERROR(__xludf.DUMMYFUNCTION("""COMPUTED_VALUE"""),"TLマンガ")</f>
        <v>TLマンガ</v>
      </c>
      <c r="J2666" s="75"/>
      <c r="K2666" s="75" t="str">
        <f>IFERROR(__xludf.DUMMYFUNCTION("""COMPUTED_VALUE"""),"スキして?桃色日記")</f>
        <v>スキして?桃色日記</v>
      </c>
      <c r="L2666" s="75" t="str">
        <f>IFERROR(__xludf.DUMMYFUNCTION("""COMPUTED_VALUE"""),"シーモアコミックス")</f>
        <v>シーモアコミックス</v>
      </c>
      <c r="M2666" s="59">
        <f>IFERROR(__xludf.DUMMYFUNCTION("""COMPUTED_VALUE"""),45696.0)</f>
        <v>45696</v>
      </c>
      <c r="N2666" s="59">
        <f>IFERROR(__xludf.DUMMYFUNCTION("""COMPUTED_VALUE"""),45848.66666666667)</f>
        <v>45848.66667</v>
      </c>
      <c r="O2666" s="75"/>
      <c r="P2666" s="71" t="str">
        <f>IFERROR(__xludf.DUMMYFUNCTION("""COMPUTED_VALUE"""),"可")</f>
        <v>可</v>
      </c>
      <c r="Q2666" s="72"/>
      <c r="R2666" s="75"/>
      <c r="S2666" s="75" t="str">
        <f>IFERROR(__xludf.DUMMYFUNCTION("""COMPUTED_VALUE"""),"20250107_シーモアコミックス_今夜23時 コインランドリーで、同期のアイツと")</f>
        <v>20250107_シーモアコミックス_今夜23時 コインランドリーで、同期のアイツと</v>
      </c>
      <c r="T2666" s="75" t="str">
        <f>IFERROR(__xludf.DUMMYFUNCTION("""COMPUTED_VALUE"""),"格納済み")</f>
        <v>格納済み</v>
      </c>
      <c r="U2666" s="15" t="str">
        <f>IFERROR(__xludf.DUMMYFUNCTION("""COMPUTED_VALUE"""),"© 南志都/シーモアコミックス")</f>
        <v>© 南志都/シーモアコミックス</v>
      </c>
      <c r="V2666" s="8" t="str">
        <f>IFERROR(__xludf.DUMMYFUNCTION("""COMPUTED_VALUE"""),"同期でムカつく奴なのに…キスが、ふれる手が、やさしすぎてとろけそう…――同期の百瀬は仕事はできるけど何かにつけてマウントを取ってきたり、私の推しキャラ・カブカブを馬鹿にしてきたり嫌な奴！そう思ってたのに真夜中のコインランドリーで会った百瀬には大きな秘密があって…!?【桃色日記】")</f>
        <v>同期でムカつく奴なのに…キスが、ふれる手が、やさしすぎてとろけそう…――同期の百瀬は仕事はできるけど何かにつけてマウントを取ってきたり、私の推しキャラ・カブカブを馬鹿にしてきたり嫌な奴！そう思ってたのに真夜中のコインランドリーで会った百瀬には大きな秘密があって…!?【桃色日記】</v>
      </c>
      <c r="W2666" s="14"/>
      <c r="X2666" s="14" t="str">
        <f>IFERROR(__xludf.DUMMYFUNCTION("""COMPUTED_VALUE"""),"有")</f>
        <v>有</v>
      </c>
      <c r="Y2666" s="8" t="str">
        <f>IFERROR(__xludf.DUMMYFUNCTION("""COMPUTED_VALUE"""),"2025/3/7まで1巻無料")</f>
        <v>2025/3/7まで1巻無料</v>
      </c>
      <c r="Z2666" s="7"/>
      <c r="AA2666" s="7"/>
      <c r="AB2666" s="7"/>
    </row>
    <row r="2667" ht="15.75" customHeight="1">
      <c r="A2667" s="66">
        <f>IFERROR(__xludf.DUMMYFUNCTION("""COMPUTED_VALUE"""),4301.0)</f>
        <v>4301</v>
      </c>
      <c r="B2667" s="67" t="str">
        <f>IFERROR(__xludf.DUMMYFUNCTION("""COMPUTED_VALUE"""),"確定")</f>
        <v>確定</v>
      </c>
      <c r="C2667" s="68">
        <f>IFERROR(__xludf.DUMMYFUNCTION("""COMPUTED_VALUE"""),45575.0)</f>
        <v>45575</v>
      </c>
      <c r="D2667" s="68">
        <f>IFERROR(__xludf.DUMMYFUNCTION("""COMPUTED_VALUE"""),45671.0)</f>
        <v>45671</v>
      </c>
      <c r="E2667" s="60">
        <f>IFERROR(__xludf.DUMMYFUNCTION("""COMPUTED_VALUE"""),312670.0)</f>
        <v>312670</v>
      </c>
      <c r="F2667" s="90" t="str">
        <f>IFERROR(__xludf.DUMMYFUNCTION("""COMPUTED_VALUE"""),"経費で不倫する夫の人生を壊してもいいですか？")</f>
        <v>経費で不倫する夫の人生を壊してもいいですか？</v>
      </c>
      <c r="G2667" s="67" t="str">
        <f>IFERROR(__xludf.DUMMYFUNCTION("""COMPUTED_VALUE"""),"1～3")</f>
        <v>1～3</v>
      </c>
      <c r="H2667" s="67" t="str">
        <f>IFERROR(__xludf.DUMMYFUNCTION("""COMPUTED_VALUE"""),"みこまる")</f>
        <v>みこまる</v>
      </c>
      <c r="I2667" s="67" t="str">
        <f>IFERROR(__xludf.DUMMYFUNCTION("""COMPUTED_VALUE"""),"女性")</f>
        <v>女性</v>
      </c>
      <c r="J2667" s="87"/>
      <c r="K2667" s="87"/>
      <c r="L2667" s="67" t="str">
        <f>IFERROR(__xludf.DUMMYFUNCTION("""COMPUTED_VALUE"""),"飛鳥新社")</f>
        <v>飛鳥新社</v>
      </c>
      <c r="M2667" s="23">
        <f>IFERROR(__xludf.DUMMYFUNCTION("""COMPUTED_VALUE"""),45688.0)</f>
        <v>45688</v>
      </c>
      <c r="N2667" s="59">
        <f>IFERROR(__xludf.DUMMYFUNCTION("""COMPUTED_VALUE"""),45777.0)</f>
        <v>45777</v>
      </c>
      <c r="O2667" s="67"/>
      <c r="P2667" s="71" t="str">
        <f>IFERROR(__xludf.DUMMYFUNCTION("""COMPUTED_VALUE"""),"否")</f>
        <v>否</v>
      </c>
      <c r="Q2667" s="67"/>
      <c r="R2667" s="67" t="str">
        <f>IFERROR(__xludf.DUMMYFUNCTION("""COMPUTED_VALUE"""),"コミットOK")</f>
        <v>コミットOK</v>
      </c>
      <c r="S2667" s="67" t="str">
        <f>IFERROR(__xludf.DUMMYFUNCTION("""COMPUTED_VALUE"""),"20250108_飛鳥新社_経費で不倫する夫の人生を壊してもいいですか？")</f>
        <v>20250108_飛鳥新社_経費で不倫する夫の人生を壊してもいいですか？</v>
      </c>
      <c r="T2667" s="67" t="str">
        <f>IFERROR(__xludf.DUMMYFUNCTION("""COMPUTED_VALUE"""),"格納済み")</f>
        <v>格納済み</v>
      </c>
      <c r="U2667" s="15" t="str">
        <f>IFERROR(__xludf.DUMMYFUNCTION("""COMPUTED_VALUE"""),"©みこまる/飛鳥新社")</f>
        <v>©みこまる/飛鳥新社</v>
      </c>
      <c r="V2667" s="8" t="str">
        <f>IFERROR(__xludf.DUMMYFUNCTION("""COMPUTED_VALUE"""),"社内結婚をした夫が、社内不倫をしていたら、どうしますか？
大手飲料メーカーの経理部で働く日下部唯は、同じ会社の先輩であった夫・徹と結婚して3年目。ある日、唯は夫の経費精算に不正を見つけてしまい……？　新卒の部下と経費を使って不倫をし、実家の義母にも会わせていることが発覚。
社内不倫をする夫から、すべてを奪うため、証拠を追い求めるサレ妻の復讐ストーリー。")</f>
        <v>社内結婚をした夫が、社内不倫をしていたら、どうしますか？
大手飲料メーカーの経理部で働く日下部唯は、同じ会社の先輩であった夫・徹と結婚して3年目。ある日、唯は夫の経費精算に不正を見つけてしまい……？　新卒の部下と経費を使って不倫をし、実家の義母にも会わせていることが発覚。
社内不倫をする夫から、すべてを奪うため、証拠を追い求めるサレ妻の復讐ストーリー。</v>
      </c>
      <c r="W2667" s="14"/>
      <c r="X2667" s="14" t="str">
        <f>IFERROR(__xludf.DUMMYFUNCTION("""COMPUTED_VALUE"""),"有")</f>
        <v>有</v>
      </c>
      <c r="Y2667" s="8" t="str">
        <f>IFERROR(__xludf.DUMMYFUNCTION("""COMPUTED_VALUE"""),"2025/4/30まで1巻無料")</f>
        <v>2025/4/30まで1巻無料</v>
      </c>
      <c r="Z2667" s="7"/>
      <c r="AA2667" s="7"/>
      <c r="AB2667" s="7"/>
    </row>
    <row r="2668" ht="15.75" customHeight="1">
      <c r="A2668" s="66">
        <f>IFERROR(__xludf.DUMMYFUNCTION("""COMPUTED_VALUE"""),4355.0)</f>
        <v>4355</v>
      </c>
      <c r="B2668" s="67" t="str">
        <f>IFERROR(__xludf.DUMMYFUNCTION("""COMPUTED_VALUE"""),"確定")</f>
        <v>確定</v>
      </c>
      <c r="C2668" s="68">
        <f>IFERROR(__xludf.DUMMYFUNCTION("""COMPUTED_VALUE"""),45583.0)</f>
        <v>45583</v>
      </c>
      <c r="D2668" s="68">
        <f>IFERROR(__xludf.DUMMYFUNCTION("""COMPUTED_VALUE"""),45671.0)</f>
        <v>45671</v>
      </c>
      <c r="E2668" s="60">
        <f>IFERROR(__xludf.DUMMYFUNCTION("""COMPUTED_VALUE"""),311479.0)</f>
        <v>311479</v>
      </c>
      <c r="F2668" s="61" t="str">
        <f>IFERROR(__xludf.DUMMYFUNCTION("""COMPUTED_VALUE"""),"地雷男にサヨナラ〜娘に就活させない束縛彼氏とシタ夫〜")</f>
        <v>地雷男にサヨナラ〜娘に就活させない束縛彼氏とシタ夫〜</v>
      </c>
      <c r="G2668" s="67" t="str">
        <f>IFERROR(__xludf.DUMMYFUNCTION("""COMPUTED_VALUE"""),"1～3")</f>
        <v>1～3</v>
      </c>
      <c r="H2668" s="67" t="str">
        <f>IFERROR(__xludf.DUMMYFUNCTION("""COMPUTED_VALUE"""),"作画：入絵優／原作：希虹")</f>
        <v>作画：入絵優／原作：希虹</v>
      </c>
      <c r="I2668" s="67" t="str">
        <f>IFERROR(__xludf.DUMMYFUNCTION("""COMPUTED_VALUE"""),"女性")</f>
        <v>女性</v>
      </c>
      <c r="J2668" s="87"/>
      <c r="K2668" s="87"/>
      <c r="L2668" s="67" t="str">
        <f>IFERROR(__xludf.DUMMYFUNCTION("""COMPUTED_VALUE"""),"飛鳥新社")</f>
        <v>飛鳥新社</v>
      </c>
      <c r="M2668" s="23">
        <f>IFERROR(__xludf.DUMMYFUNCTION("""COMPUTED_VALUE"""),45688.0)</f>
        <v>45688</v>
      </c>
      <c r="N2668" s="59">
        <f>IFERROR(__xludf.DUMMYFUNCTION("""COMPUTED_VALUE"""),45777.0)</f>
        <v>45777</v>
      </c>
      <c r="O2668" s="67"/>
      <c r="P2668" s="71" t="str">
        <f>IFERROR(__xludf.DUMMYFUNCTION("""COMPUTED_VALUE"""),"否")</f>
        <v>否</v>
      </c>
      <c r="Q2668" s="67"/>
      <c r="R2668" s="67" t="str">
        <f>IFERROR(__xludf.DUMMYFUNCTION("""COMPUTED_VALUE"""),"コミットOK")</f>
        <v>コミットOK</v>
      </c>
      <c r="S2668" s="67" t="str">
        <f>IFERROR(__xludf.DUMMYFUNCTION("""COMPUTED_VALUE"""),"20250108_飛鳥新社_地雷男にサヨナラ〜娘に就活させない束縛彼氏とシタ夫〜")</f>
        <v>20250108_飛鳥新社_地雷男にサヨナラ〜娘に就活させない束縛彼氏とシタ夫〜</v>
      </c>
      <c r="T2668" s="67" t="str">
        <f>IFERROR(__xludf.DUMMYFUNCTION("""COMPUTED_VALUE"""),"格納済み")</f>
        <v>格納済み</v>
      </c>
      <c r="U2668" s="15" t="str">
        <f>IFERROR(__xludf.DUMMYFUNCTION("""COMPUTED_VALUE"""),"ⒸYu Irie,Kiko/Asukashinsha")</f>
        <v>ⒸYu Irie,Kiko/Asukashinsha</v>
      </c>
      <c r="V2668" s="8" t="str">
        <f>IFERROR(__xludf.DUMMYFUNCTION("""COMPUTED_VALUE"""),"九州の地方都市で暮らす梅田恵(45)は、大学３年生の娘・凛(21)が就活をせずに、32歳の彼氏と卒業後に結婚すると突然言い出し、頭を抱える。国立大学に進学し、今まで頑張ってきたのに勿体ないと説得をするも「いい学校に通わせたかったのはお母さんたち！私が望んだ訳じゃないっ!!」と両親の学歴と就職のコンプレックスを、娘で解消しようとしていると、言い返されてしまう。
自分だけでは手に負えず、夫の英之(45)に相談してみるも、凛の問題は任せたと頼りにならない。さらに凛が恵美の学歴をバカにしたところは当たっていると"&amp;"、耳を疑う言葉を言われてしまい…!?")</f>
        <v>九州の地方都市で暮らす梅田恵(45)は、大学３年生の娘・凛(21)が就活をせずに、32歳の彼氏と卒業後に結婚すると突然言い出し、頭を抱える。国立大学に進学し、今まで頑張ってきたのに勿体ないと説得をするも「いい学校に通わせたかったのはお母さんたち！私が望んだ訳じゃないっ!!」と両親の学歴と就職のコンプレックスを、娘で解消しようとしていると、言い返されてしまう。
自分だけでは手に負えず、夫の英之(45)に相談してみるも、凛の問題は任せたと頼りにならない。さらに凛が恵美の学歴をバカにしたところは当たっていると、耳を疑う言葉を言われてしまい…!?</v>
      </c>
      <c r="W2668" s="14"/>
      <c r="X2668" s="14" t="str">
        <f>IFERROR(__xludf.DUMMYFUNCTION("""COMPUTED_VALUE"""),"有")</f>
        <v>有</v>
      </c>
      <c r="Y2668" s="8" t="str">
        <f>IFERROR(__xludf.DUMMYFUNCTION("""COMPUTED_VALUE"""),"2025/4/30まで1巻無料")</f>
        <v>2025/4/30まで1巻無料</v>
      </c>
      <c r="Z2668" s="7"/>
      <c r="AA2668" s="7"/>
      <c r="AB2668" s="7"/>
    </row>
    <row r="2669" ht="15.75" customHeight="1">
      <c r="A2669" s="66">
        <f>IFERROR(__xludf.DUMMYFUNCTION("""COMPUTED_VALUE"""),4522.0)</f>
        <v>4522</v>
      </c>
      <c r="B2669" s="67" t="str">
        <f>IFERROR(__xludf.DUMMYFUNCTION("""COMPUTED_VALUE"""),"確定")</f>
        <v>確定</v>
      </c>
      <c r="C2669" s="68">
        <f>IFERROR(__xludf.DUMMYFUNCTION("""COMPUTED_VALUE"""),45614.0)</f>
        <v>45614</v>
      </c>
      <c r="D2669" s="68">
        <f>IFERROR(__xludf.DUMMYFUNCTION("""COMPUTED_VALUE"""),45672.0)</f>
        <v>45672</v>
      </c>
      <c r="E2669" s="60">
        <f>IFERROR(__xludf.DUMMYFUNCTION("""COMPUTED_VALUE"""),314017.0)</f>
        <v>314017</v>
      </c>
      <c r="F2669" s="61" t="str">
        <f>IFERROR(__xludf.DUMMYFUNCTION("""COMPUTED_VALUE"""),"ウチに帰って婚活します【マイクロ】")</f>
        <v>ウチに帰って婚活します【マイクロ】</v>
      </c>
      <c r="G2669" s="67" t="str">
        <f>IFERROR(__xludf.DUMMYFUNCTION("""COMPUTED_VALUE"""),"1～3")</f>
        <v>1～3</v>
      </c>
      <c r="H2669" s="67" t="str">
        <f>IFERROR(__xludf.DUMMYFUNCTION("""COMPUTED_VALUE"""),"逆巻詩音")</f>
        <v>逆巻詩音</v>
      </c>
      <c r="I2669" s="78" t="str">
        <f>IFERROR(__xludf.DUMMYFUNCTION("""COMPUTED_VALUE"""),"女性")</f>
        <v>女性</v>
      </c>
      <c r="J2669" s="67"/>
      <c r="K2669" s="67" t="str">
        <f>IFERROR(__xludf.DUMMYFUNCTION("""COMPUTED_VALUE"""),"フラワーコミックス")</f>
        <v>フラワーコミックス</v>
      </c>
      <c r="L2669" s="67" t="str">
        <f>IFERROR(__xludf.DUMMYFUNCTION("""COMPUTED_VALUE"""),"小学館")</f>
        <v>小学館</v>
      </c>
      <c r="M2669" s="23">
        <f>IFERROR(__xludf.DUMMYFUNCTION("""COMPUTED_VALUE"""),45693.0)</f>
        <v>45693</v>
      </c>
      <c r="N2669" s="59">
        <f>IFERROR(__xludf.DUMMYFUNCTION("""COMPUTED_VALUE"""),45751.0)</f>
        <v>45751</v>
      </c>
      <c r="O2669" s="67"/>
      <c r="P2669" s="70" t="str">
        <f>IFERROR(__xludf.DUMMYFUNCTION("""COMPUTED_VALUE"""),"否")</f>
        <v>否</v>
      </c>
      <c r="Q2669" s="67" t="str">
        <f>IFERROR(__xludf.DUMMYFUNCTION("""COMPUTED_VALUE"""),"「Cheese!×CanCam」とのコラボで婚活シェアハウスマンガとなります。女性4人×男性4人の男女8人での共同生活を経てパートナーを見つける企画が軸となっており、2話ほどで主人公が変わるオムニバス作品です。&lt;BR&gt;（『私たちが恋する理由』https://www.cmoa.jp/title/294665/）などをベンチマークとしているとのこと）&lt;BR&gt;「CanCam.jp」でも紹介記事が公開されております。&lt;BR&gt;参考：https://cancam.jp/archives/1530286&lt;BR&gt;・先行配"&amp;"信終了日：初回２か月、続話１か月予定")</f>
        <v>「Cheese!×CanCam」とのコラボで婚活シェアハウスマンガとなります。女性4人×男性4人の男女8人での共同生活を経てパートナーを見つける企画が軸となっており、2話ほどで主人公が変わるオムニバス作品です。&lt;BR&gt;（『私たちが恋する理由』https://www.cmoa.jp/title/294665/）などをベンチマークとしているとのこと）&lt;BR&gt;「CanCam.jp」でも紹介記事が公開されております。&lt;BR&gt;参考：https://cancam.jp/archives/1530286&lt;BR&gt;・先行配信終了日：初回２か月、続話１か月予定</v>
      </c>
      <c r="R2669" s="67" t="str">
        <f>IFERROR(__xludf.DUMMYFUNCTION("""COMPUTED_VALUE"""),"コミットOK")</f>
        <v>コミットOK</v>
      </c>
      <c r="S2669" s="67" t="str">
        <f>IFERROR(__xludf.DUMMYFUNCTION("""COMPUTED_VALUE"""),"20250108_小学館_ウチに帰って婚活します【マイクロ】")</f>
        <v>20250108_小学館_ウチに帰って婚活します【マイクロ】</v>
      </c>
      <c r="T2669" s="67" t="str">
        <f>IFERROR(__xludf.DUMMYFUNCTION("""COMPUTED_VALUE"""),"格納済み")</f>
        <v>格納済み</v>
      </c>
      <c r="U2669" s="15" t="str">
        <f>IFERROR(__xludf.DUMMYFUNCTION("""COMPUTED_VALUE"""),"(C)逆巻詩音 / 小学館")</f>
        <v>(C)逆巻詩音 / 小学館</v>
      </c>
      <c r="V2669" s="8" t="str">
        <f>IFERROR(__xludf.DUMMYFUNCTION("""COMPUTED_VALUE"""),"女性ファッション誌がプロデュースする婚活シェアハウス。８人の男女が年齢と職業を明かさずに、３ヶ月間の共同生活を送り結婚相手を見つける。仕事が忙しくて婚活が長続きしないから、手軽に婚活してみたくて、ラブラブな両親に憧れて…など、シェアハウスに集った理由は人それぞれ。”ひとりでも生きていけるけど、隣に誰かいたらって思う時はない？”『CanCam.jp』で大反響連載中の、等身大の恋愛オムニバスシリーズ!!")</f>
        <v>女性ファッション誌がプロデュースする婚活シェアハウス。８人の男女が年齢と職業を明かさずに、３ヶ月間の共同生活を送り結婚相手を見つける。仕事が忙しくて婚活が長続きしないから、手軽に婚活してみたくて、ラブラブな両親に憧れて…など、シェアハウスに集った理由は人それぞれ。”ひとりでも生きていけるけど、隣に誰かいたらって思う時はない？”『CanCam.jp』で大反響連載中の、等身大の恋愛オムニバスシリーズ!!</v>
      </c>
      <c r="W2669" s="14"/>
      <c r="X2669" s="14" t="str">
        <f>IFERROR(__xludf.DUMMYFUNCTION("""COMPUTED_VALUE"""),"有")</f>
        <v>有</v>
      </c>
      <c r="Y2669" s="8" t="str">
        <f>IFERROR(__xludf.DUMMYFUNCTION("""COMPUTED_VALUE"""),"P30まで")</f>
        <v>P30まで</v>
      </c>
      <c r="Z2669" s="7"/>
      <c r="AA2669" s="7"/>
      <c r="AB2669" s="7"/>
    </row>
    <row r="2670" ht="15.75" customHeight="1">
      <c r="A2670" s="66">
        <f>IFERROR(__xludf.DUMMYFUNCTION("""COMPUTED_VALUE"""),4552.0)</f>
        <v>4552</v>
      </c>
      <c r="B2670" s="67" t="str">
        <f>IFERROR(__xludf.DUMMYFUNCTION("""COMPUTED_VALUE"""),"確定")</f>
        <v>確定</v>
      </c>
      <c r="C2670" s="68">
        <f>IFERROR(__xludf.DUMMYFUNCTION("""COMPUTED_VALUE"""),45618.0)</f>
        <v>45618</v>
      </c>
      <c r="D2670" s="68">
        <f>IFERROR(__xludf.DUMMYFUNCTION("""COMPUTED_VALUE"""),45671.0)</f>
        <v>45671</v>
      </c>
      <c r="E2670" s="60">
        <f>IFERROR(__xludf.DUMMYFUNCTION("""COMPUTED_VALUE"""),313154.0)</f>
        <v>313154</v>
      </c>
      <c r="F2670" s="61" t="str">
        <f>IFERROR(__xludf.DUMMYFUNCTION("""COMPUTED_VALUE"""),"大衆食堂悪役令嬢～婚約破棄されたので食堂を開いたら癒やしの力が開花しました～")</f>
        <v>大衆食堂悪役令嬢～婚約破棄されたので食堂を開いたら癒やしの力が開花しました～</v>
      </c>
      <c r="G2670" s="67" t="str">
        <f>IFERROR(__xludf.DUMMYFUNCTION("""COMPUTED_VALUE"""),"1～3")</f>
        <v>1～3</v>
      </c>
      <c r="H2670" s="67" t="str">
        <f>IFERROR(__xludf.DUMMYFUNCTION("""COMPUTED_VALUE"""),"八月ヤ子/束原ミヤコ")</f>
        <v>八月ヤ子/束原ミヤコ</v>
      </c>
      <c r="I2670" s="67" t="str">
        <f>IFERROR(__xludf.DUMMYFUNCTION("""COMPUTED_VALUE"""),"少女")</f>
        <v>少女</v>
      </c>
      <c r="J2670" s="87"/>
      <c r="K2670" s="87"/>
      <c r="L2670" s="67" t="str">
        <f>IFERROR(__xludf.DUMMYFUNCTION("""COMPUTED_VALUE"""),"オーバーラップ")</f>
        <v>オーバーラップ</v>
      </c>
      <c r="M2670" s="23">
        <f>IFERROR(__xludf.DUMMYFUNCTION("""COMPUTED_VALUE"""),45679.0)</f>
        <v>45679</v>
      </c>
      <c r="N2670" s="68">
        <f>IFERROR(__xludf.DUMMYFUNCTION("""COMPUTED_VALUE"""),73050.0)</f>
        <v>73050</v>
      </c>
      <c r="O2670" s="67"/>
      <c r="P2670" s="71" t="str">
        <f>IFERROR(__xludf.DUMMYFUNCTION("""COMPUTED_VALUE"""),"否")</f>
        <v>否</v>
      </c>
      <c r="Q2670" s="67"/>
      <c r="R2670" s="67" t="str">
        <f>IFERROR(__xludf.DUMMYFUNCTION("""COMPUTED_VALUE"""),"コミットOK")</f>
        <v>コミットOK</v>
      </c>
      <c r="S2670" s="67" t="str">
        <f>IFERROR(__xludf.DUMMYFUNCTION("""COMPUTED_VALUE"""),"20250114_オーバーラップ‗大衆食堂悪役令嬢～婚約破棄されたので食堂を開いたら癒やしの力が開花しました～")</f>
        <v>20250114_オーバーラップ‗大衆食堂悪役令嬢～婚約破棄されたので食堂を開いたら癒やしの力が開花しました～</v>
      </c>
      <c r="T2670" s="67" t="str">
        <f>IFERROR(__xludf.DUMMYFUNCTION("""COMPUTED_VALUE"""),"格納済み")</f>
        <v>格納済み</v>
      </c>
      <c r="U2670" s="15" t="str">
        <f>IFERROR(__xludf.DUMMYFUNCTION("""COMPUTED_VALUE"""),"(c)八月ヤ子 (c)束原ミヤコ／オーバーラップ")</f>
        <v>(c)八月ヤ子 (c)束原ミヤコ／オーバーラップ</v>
      </c>
      <c r="V2670" s="8" t="str">
        <f>IFERROR(__xludf.DUMMYFUNCTION("""COMPUTED_VALUE"""),"神官家に生まれたリディアは、魔力を持たずに生まれたことで家族から“要らない子”として虐げられていた。そして、婚約破棄をきっかけに彼女は家を出奔し、第二の人生を送るため【大衆食堂ロベリア】をオープン！傷ついた過去へのトラウマから、恨みつらみを込めながら料理を作る日々。すると、なぜかリディアの料理は「癒やしのごはん」と皆から大人気になり!?")</f>
        <v>神官家に生まれたリディアは、魔力を持たずに生まれたことで家族から“要らない子”として虐げられていた。そして、婚約破棄をきっかけに彼女は家を出奔し、第二の人生を送るため【大衆食堂ロベリア】をオープン！傷ついた過去へのトラウマから、恨みつらみを込めながら料理を作る日々。すると、なぜかリディアの料理は「癒やしのごはん」と皆から大人気になり!?</v>
      </c>
      <c r="W2670" s="14"/>
      <c r="X2670" s="14" t="str">
        <f>IFERROR(__xludf.DUMMYFUNCTION("""COMPUTED_VALUE"""),"有")</f>
        <v>有</v>
      </c>
      <c r="Y2670" s="8" t="str">
        <f>IFERROR(__xludf.DUMMYFUNCTION("""COMPUTED_VALUE"""),"P16まで")</f>
        <v>P16まで</v>
      </c>
      <c r="Z2670" s="7"/>
      <c r="AA2670" s="7"/>
      <c r="AB2670" s="7"/>
    </row>
    <row r="2671" ht="15.75" customHeight="1">
      <c r="A2671" s="66">
        <f>IFERROR(__xludf.DUMMYFUNCTION("""COMPUTED_VALUE"""),4634.0)</f>
        <v>4634</v>
      </c>
      <c r="B2671" s="67" t="str">
        <f>IFERROR(__xludf.DUMMYFUNCTION("""COMPUTED_VALUE"""),"確定")</f>
        <v>確定</v>
      </c>
      <c r="C2671" s="68">
        <f>IFERROR(__xludf.DUMMYFUNCTION("""COMPUTED_VALUE"""),45631.0)</f>
        <v>45631</v>
      </c>
      <c r="D2671" s="68">
        <f>IFERROR(__xludf.DUMMYFUNCTION("""COMPUTED_VALUE"""),45671.0)</f>
        <v>45671</v>
      </c>
      <c r="E2671" s="60">
        <f>IFERROR(__xludf.DUMMYFUNCTION("""COMPUTED_VALUE"""),314018.0)</f>
        <v>314018</v>
      </c>
      <c r="F2671" s="61" t="str">
        <f>IFERROR(__xludf.DUMMYFUNCTION("""COMPUTED_VALUE"""),"ふたりぐらし奇譚～中華的浪漫物語～【マイクロ】")</f>
        <v>ふたりぐらし奇譚～中華的浪漫物語～【マイクロ】</v>
      </c>
      <c r="G2671" s="67" t="str">
        <f>IFERROR(__xludf.DUMMYFUNCTION("""COMPUTED_VALUE"""),"1〜3")</f>
        <v>1〜3</v>
      </c>
      <c r="H2671" s="67" t="str">
        <f>IFERROR(__xludf.DUMMYFUNCTION("""COMPUTED_VALUE"""),"西町セツオ")</f>
        <v>西町セツオ</v>
      </c>
      <c r="I2671" s="78" t="str">
        <f>IFERROR(__xludf.DUMMYFUNCTION("""COMPUTED_VALUE"""),"女性")</f>
        <v>女性</v>
      </c>
      <c r="J2671" s="67"/>
      <c r="K2671" s="67" t="str">
        <f>IFERROR(__xludf.DUMMYFUNCTION("""COMPUTED_VALUE"""),"フラワーコミックス")</f>
        <v>フラワーコミックス</v>
      </c>
      <c r="L2671" s="67" t="str">
        <f>IFERROR(__xludf.DUMMYFUNCTION("""COMPUTED_VALUE"""),"小学館")</f>
        <v>小学館</v>
      </c>
      <c r="M2671" s="23">
        <f>IFERROR(__xludf.DUMMYFUNCTION("""COMPUTED_VALUE"""),45693.0)</f>
        <v>45693</v>
      </c>
      <c r="N2671" s="59">
        <f>IFERROR(__xludf.DUMMYFUNCTION("""COMPUTED_VALUE"""),45751.0)</f>
        <v>45751</v>
      </c>
      <c r="O2671" s="67"/>
      <c r="P2671" s="70" t="str">
        <f>IFERROR(__xludf.DUMMYFUNCTION("""COMPUTED_VALUE"""),"否")</f>
        <v>否</v>
      </c>
      <c r="Q2671" s="67" t="str">
        <f>IFERROR(__xludf.DUMMYFUNCTION("""COMPUTED_VALUE"""),"「プレミアCheese!」にて連載中の中華風ラブコメディーです。&lt;BR&gt;・先行配信終了日：続話は1か月予定")</f>
        <v>「プレミアCheese!」にて連載中の中華風ラブコメディーです。&lt;BR&gt;・先行配信終了日：続話は1か月予定</v>
      </c>
      <c r="R2671" s="67" t="str">
        <f>IFERROR(__xludf.DUMMYFUNCTION("""COMPUTED_VALUE"""),"コミットOK")</f>
        <v>コミットOK</v>
      </c>
      <c r="S2671" s="67" t="str">
        <f>IFERROR(__xludf.DUMMYFUNCTION("""COMPUTED_VALUE"""),"20250108_小学館_ふたりぐらし奇譚～中華的浪漫物語～【マイクロ】")</f>
        <v>20250108_小学館_ふたりぐらし奇譚～中華的浪漫物語～【マイクロ】</v>
      </c>
      <c r="T2671" s="67" t="str">
        <f>IFERROR(__xludf.DUMMYFUNCTION("""COMPUTED_VALUE"""),"格納済み")</f>
        <v>格納済み</v>
      </c>
      <c r="U2671" s="15" t="str">
        <f>IFERROR(__xludf.DUMMYFUNCTION("""COMPUTED_VALUE"""),"(C)西町セツオ / 小学館")</f>
        <v>(C)西町セツオ / 小学館</v>
      </c>
      <c r="V2671" s="8" t="str">
        <f>IFERROR(__xludf.DUMMYFUNCTION("""COMPUTED_VALUE"""),"スーパーセレブなヤン家の御曹司・ヤンロンのもとへ家事能力ゼロのミステリアス少女・ソンユンが押しかけてきた！？前代未聞の不可思議同居生活の行方は！？")</f>
        <v>スーパーセレブなヤン家の御曹司・ヤンロンのもとへ家事能力ゼロのミステリアス少女・ソンユンが押しかけてきた！？前代未聞の不可思議同居生活の行方は！？</v>
      </c>
      <c r="W2671" s="14"/>
      <c r="X2671" s="14" t="str">
        <f>IFERROR(__xludf.DUMMYFUNCTION("""COMPUTED_VALUE"""),"有")</f>
        <v>有</v>
      </c>
      <c r="Y2671" s="8" t="str">
        <f>IFERROR(__xludf.DUMMYFUNCTION("""COMPUTED_VALUE"""),"P23まで")</f>
        <v>P23まで</v>
      </c>
      <c r="Z2671" s="7"/>
      <c r="AA2671" s="7"/>
      <c r="AB2671" s="7"/>
    </row>
    <row r="2672" ht="15.75" customHeight="1">
      <c r="A2672" s="66">
        <f>IFERROR(__xludf.DUMMYFUNCTION("""COMPUTED_VALUE"""),4687.0)</f>
        <v>4687</v>
      </c>
      <c r="B2672" s="67" t="str">
        <f>IFERROR(__xludf.DUMMYFUNCTION("""COMPUTED_VALUE"""),"確定")</f>
        <v>確定</v>
      </c>
      <c r="C2672" s="68">
        <f>IFERROR(__xludf.DUMMYFUNCTION("""COMPUTED_VALUE"""),45643.0)</f>
        <v>45643</v>
      </c>
      <c r="D2672" s="68">
        <f>IFERROR(__xludf.DUMMYFUNCTION("""COMPUTED_VALUE"""),45671.0)</f>
        <v>45671</v>
      </c>
      <c r="E2672" s="60">
        <f>IFERROR(__xludf.DUMMYFUNCTION("""COMPUTED_VALUE"""),314016.0)</f>
        <v>314016</v>
      </c>
      <c r="F2672" s="61" t="str">
        <f>IFERROR(__xludf.DUMMYFUNCTION("""COMPUTED_VALUE"""),"麗しの皇帝陛下の運命の花嫁に選ばれてしまったのですが、まだ仕事がしたいので秘密です！【単話版】")</f>
        <v>麗しの皇帝陛下の運命の花嫁に選ばれてしまったのですが、まだ仕事がしたいので秘密です！【単話版】</v>
      </c>
      <c r="G2672" s="67" t="str">
        <f>IFERROR(__xludf.DUMMYFUNCTION("""COMPUTED_VALUE"""),"1～3")</f>
        <v>1～3</v>
      </c>
      <c r="H2672" s="67" t="str">
        <f>IFERROR(__xludf.DUMMYFUNCTION("""COMPUTED_VALUE"""),"𠮷田しゃけ/田山歩")</f>
        <v>𠮷田しゃけ/田山歩</v>
      </c>
      <c r="I2672" s="78" t="str">
        <f>IFERROR(__xludf.DUMMYFUNCTION("""COMPUTED_VALUE"""),"少女")</f>
        <v>少女</v>
      </c>
      <c r="J2672" s="87"/>
      <c r="K2672" s="87"/>
      <c r="L2672" s="67" t="str">
        <f>IFERROR(__xludf.DUMMYFUNCTION("""COMPUTED_VALUE"""),"オーバーラップ")</f>
        <v>オーバーラップ</v>
      </c>
      <c r="M2672" s="59">
        <f>IFERROR(__xludf.DUMMYFUNCTION("""COMPUTED_VALUE"""),45700.0)</f>
        <v>45700</v>
      </c>
      <c r="N2672" s="47">
        <f>IFERROR(__xludf.DUMMYFUNCTION("""COMPUTED_VALUE"""),73050.0)</f>
        <v>73050</v>
      </c>
      <c r="O2672" s="67"/>
      <c r="P2672" s="80" t="str">
        <f>IFERROR(__xludf.DUMMYFUNCTION("""COMPUTED_VALUE"""),"否")</f>
        <v>否</v>
      </c>
      <c r="Q2672" s="67" t="str">
        <f>IFERROR(__xludf.DUMMYFUNCTION("""COMPUTED_VALUE"""),"※吉田しゃけ先生の「吉」は 環境依存文字のため注意
　詳細は素材フォルダ内メモ参照")</f>
        <v>※吉田しゃけ先生の「吉」は 環境依存文字のため注意
　詳細は素材フォルダ内メモ参照</v>
      </c>
      <c r="R2672" s="67" t="str">
        <f>IFERROR(__xludf.DUMMYFUNCTION("""COMPUTED_VALUE"""),"コミットOK")</f>
        <v>コミットOK</v>
      </c>
      <c r="S2672" s="67" t="str">
        <f>IFERROR(__xludf.DUMMYFUNCTION("""COMPUTED_VALUE"""),"20250109‗オーバーラップ‗麗しの皇帝陛下の運命の花嫁に選ばれてしまったのですが、まだ仕事がしたいので秘密です！")</f>
        <v>20250109‗オーバーラップ‗麗しの皇帝陛下の運命の花嫁に選ばれてしまったのですが、まだ仕事がしたいので秘密です！</v>
      </c>
      <c r="T2672" s="67" t="str">
        <f>IFERROR(__xludf.DUMMYFUNCTION("""COMPUTED_VALUE"""),"格納済み")</f>
        <v>格納済み</v>
      </c>
      <c r="U2672" s="15" t="str">
        <f>IFERROR(__xludf.DUMMYFUNCTION("""COMPUTED_VALUE"""),"(c)𠮷田しゃけ (c)田山歩／オーバーラップ")</f>
        <v>(c)𠮷田しゃけ (c)田山歩／オーバーラップ</v>
      </c>
      <c r="V2672" s="8" t="str">
        <f>IFERROR(__xludf.DUMMYFUNCTION("""COMPUTED_VALUE"""),"宮廷薬師・ティアンナは人々を救うため、日々仕事に励んでいた。努力が認められ昇進を果たした矢先、彼女の体に“特別な印”が現れる。それは皇帝サフィールの“運命の花嫁”であることを示すもので……!? 花嫁の捜索が宮廷を挙げて行われる中、薬師の仕事をしたいと願うティアンナは正体を隠すことを決意。だが、あろう事かティアンナは多忙を極めるサフィール専属のお薬係に任命されてしまい――…。")</f>
        <v>宮廷薬師・ティアンナは人々を救うため、日々仕事に励んでいた。努力が認められ昇進を果たした矢先、彼女の体に“特別な印”が現れる。それは皇帝サフィールの“運命の花嫁”であることを示すもので……!? 花嫁の捜索が宮廷を挙げて行われる中、薬師の仕事をしたいと願うティアンナは正体を隠すことを決意。だが、あろう事かティアンナは多忙を極めるサフィール専属のお薬係に任命されてしまい――…。</v>
      </c>
      <c r="W2672" s="14"/>
      <c r="X2672" s="14" t="str">
        <f>IFERROR(__xludf.DUMMYFUNCTION("""COMPUTED_VALUE"""),"有")</f>
        <v>有</v>
      </c>
      <c r="Y2672" s="8" t="str">
        <f>IFERROR(__xludf.DUMMYFUNCTION("""COMPUTED_VALUE"""),"2025/5/11まで1巻無料")</f>
        <v>2025/5/11まで1巻無料</v>
      </c>
      <c r="Z2672" s="7"/>
      <c r="AA2672" s="7"/>
      <c r="AB2672" s="7"/>
    </row>
    <row r="2673" ht="15.75" customHeight="1">
      <c r="A2673" s="66">
        <f>IFERROR(__xludf.DUMMYFUNCTION("""COMPUTED_VALUE"""),4688.0)</f>
        <v>4688</v>
      </c>
      <c r="B2673" s="67" t="str">
        <f>IFERROR(__xludf.DUMMYFUNCTION("""COMPUTED_VALUE"""),"確定")</f>
        <v>確定</v>
      </c>
      <c r="C2673" s="68">
        <f>IFERROR(__xludf.DUMMYFUNCTION("""COMPUTED_VALUE"""),45643.0)</f>
        <v>45643</v>
      </c>
      <c r="D2673" s="68">
        <f>IFERROR(__xludf.DUMMYFUNCTION("""COMPUTED_VALUE"""),45671.0)</f>
        <v>45671</v>
      </c>
      <c r="E2673" s="60">
        <f>IFERROR(__xludf.DUMMYFUNCTION("""COMPUTED_VALUE"""),314015.0)</f>
        <v>314015</v>
      </c>
      <c r="F2673" s="61" t="str">
        <f>IFERROR(__xludf.DUMMYFUNCTION("""COMPUTED_VALUE"""),"ウィズレイン王国物語 ～竜が花嫁～【単話版】")</f>
        <v>ウィズレイン王国物語 ～竜が花嫁～【単話版】</v>
      </c>
      <c r="G2673" s="67" t="str">
        <f>IFERROR(__xludf.DUMMYFUNCTION("""COMPUTED_VALUE"""),"1～3")</f>
        <v>1～3</v>
      </c>
      <c r="H2673" s="67" t="str">
        <f>IFERROR(__xludf.DUMMYFUNCTION("""COMPUTED_VALUE"""),"すぎの/雨傘ヒョウゴ")</f>
        <v>すぎの/雨傘ヒョウゴ</v>
      </c>
      <c r="I2673" s="78" t="str">
        <f>IFERROR(__xludf.DUMMYFUNCTION("""COMPUTED_VALUE"""),"少女")</f>
        <v>少女</v>
      </c>
      <c r="J2673" s="87"/>
      <c r="K2673" s="87"/>
      <c r="L2673" s="67" t="str">
        <f>IFERROR(__xludf.DUMMYFUNCTION("""COMPUTED_VALUE"""),"オーバーラップ")</f>
        <v>オーバーラップ</v>
      </c>
      <c r="M2673" s="59">
        <f>IFERROR(__xludf.DUMMYFUNCTION("""COMPUTED_VALUE"""),45700.0)</f>
        <v>45700</v>
      </c>
      <c r="N2673" s="47">
        <f>IFERROR(__xludf.DUMMYFUNCTION("""COMPUTED_VALUE"""),45832.66666666667)</f>
        <v>45832.66667</v>
      </c>
      <c r="O2673" s="67"/>
      <c r="P2673" s="71" t="str">
        <f>IFERROR(__xludf.DUMMYFUNCTION("""COMPUTED_VALUE"""),"否")</f>
        <v>否</v>
      </c>
      <c r="Q2673" s="67"/>
      <c r="R2673" s="67" t="str">
        <f>IFERROR(__xludf.DUMMYFUNCTION("""COMPUTED_VALUE"""),"コミットOK")</f>
        <v>コミットOK</v>
      </c>
      <c r="S2673" s="67" t="str">
        <f>IFERROR(__xludf.DUMMYFUNCTION("""COMPUTED_VALUE"""),"20250109_オーバーラップ‗ウィズレイン王国物語～竜が花嫁～")</f>
        <v>20250109_オーバーラップ‗ウィズレイン王国物語～竜が花嫁～</v>
      </c>
      <c r="T2673" s="67" t="str">
        <f>IFERROR(__xludf.DUMMYFUNCTION("""COMPUTED_VALUE"""),"格納済み")</f>
        <v>格納済み</v>
      </c>
      <c r="U2673" s="15" t="str">
        <f>IFERROR(__xludf.DUMMYFUNCTION("""COMPUTED_VALUE"""),"(c)すぎの (c)雨傘ヒョウゴ／オーバーラップ")</f>
        <v>(c)すぎの (c)雨傘ヒョウゴ／オーバーラップ</v>
      </c>
      <c r="V2673" s="8" t="str">
        <f>IFERROR(__xludf.DUMMYFUNCTION("""COMPUTED_VALUE"""),"男爵家の養子である少女エルナは虐げられる日々の中で、自身の前世が国を守護した竜だったことを思い出す。かつて勇者を背に乗せ冒険した記憶を胸に王宮に出向くと、エルナは若き国王クロスと邂逅。その瞬間、エルナは彼が勇者の生まれ変わりだと気付き――。")</f>
        <v>男爵家の養子である少女エルナは虐げられる日々の中で、自身の前世が国を守護した竜だったことを思い出す。かつて勇者を背に乗せ冒険した記憶を胸に王宮に出向くと、エルナは若き国王クロスと邂逅。その瞬間、エルナは彼が勇者の生まれ変わりだと気付き――。</v>
      </c>
      <c r="W2673" s="14"/>
      <c r="X2673" s="14" t="str">
        <f>IFERROR(__xludf.DUMMYFUNCTION("""COMPUTED_VALUE"""),"有")</f>
        <v>有</v>
      </c>
      <c r="Y2673" s="8" t="str">
        <f>IFERROR(__xludf.DUMMYFUNCTION("""COMPUTED_VALUE"""),"2025/5/11まで1巻無料")</f>
        <v>2025/5/11まで1巻無料</v>
      </c>
      <c r="Z2673" s="7"/>
      <c r="AA2673" s="7"/>
      <c r="AB2673" s="7"/>
    </row>
    <row r="2674" ht="15.75" customHeight="1">
      <c r="A2674" s="66">
        <f>IFERROR(__xludf.DUMMYFUNCTION("""COMPUTED_VALUE"""),4709.0)</f>
        <v>4709</v>
      </c>
      <c r="B2674" s="67" t="str">
        <f>IFERROR(__xludf.DUMMYFUNCTION("""COMPUTED_VALUE"""),"確定")</f>
        <v>確定</v>
      </c>
      <c r="C2674" s="68">
        <f>IFERROR(__xludf.DUMMYFUNCTION("""COMPUTED_VALUE"""),45649.0)</f>
        <v>45649</v>
      </c>
      <c r="D2674" s="68">
        <f>IFERROR(__xludf.DUMMYFUNCTION("""COMPUTED_VALUE"""),45671.0)</f>
        <v>45671</v>
      </c>
      <c r="E2674" s="60">
        <f>IFERROR(__xludf.DUMMYFUNCTION("""COMPUTED_VALUE"""),316383.0)</f>
        <v>316383</v>
      </c>
      <c r="F2674" s="61" t="str">
        <f>IFERROR(__xludf.DUMMYFUNCTION("""COMPUTED_VALUE"""),"新聞記者ヴィルヘルミナ（分冊版）")</f>
        <v>新聞記者ヴィルヘルミナ（分冊版）</v>
      </c>
      <c r="G2674" s="67" t="str">
        <f>IFERROR(__xludf.DUMMYFUNCTION("""COMPUTED_VALUE"""),"1～4")</f>
        <v>1～4</v>
      </c>
      <c r="H2674" s="67" t="str">
        <f>IFERROR(__xludf.DUMMYFUNCTION("""COMPUTED_VALUE"""),"のゆ")</f>
        <v>のゆ</v>
      </c>
      <c r="I2674" s="78" t="str">
        <f>IFERROR(__xludf.DUMMYFUNCTION("""COMPUTED_VALUE"""),"青年")</f>
        <v>青年</v>
      </c>
      <c r="J2674" s="87"/>
      <c r="K2674" s="87"/>
      <c r="L2674" s="67" t="str">
        <f>IFERROR(__xludf.DUMMYFUNCTION("""COMPUTED_VALUE"""),"アルファポリス")</f>
        <v>アルファポリス</v>
      </c>
      <c r="M2674" s="59">
        <f>IFERROR(__xludf.DUMMYFUNCTION("""COMPUTED_VALUE"""),45706.0)</f>
        <v>45706</v>
      </c>
      <c r="N2674" s="47">
        <f>IFERROR(__xludf.DUMMYFUNCTION("""COMPUTED_VALUE"""),45823.0)</f>
        <v>45823</v>
      </c>
      <c r="O2674" s="67"/>
      <c r="P2674" s="71" t="str">
        <f>IFERROR(__xludf.DUMMYFUNCTION("""COMPUTED_VALUE"""),"否")</f>
        <v>否</v>
      </c>
      <c r="Q2674" s="67"/>
      <c r="R2674" s="67" t="str">
        <f>IFERROR(__xludf.DUMMYFUNCTION("""COMPUTED_VALUE"""),"コミットOK")</f>
        <v>コミットOK</v>
      </c>
      <c r="S2674" s="67" t="str">
        <f>IFERROR(__xludf.DUMMYFUNCTION("""COMPUTED_VALUE"""),"20250109_アルファポリス_新聞記者ヴィルヘルミナ")</f>
        <v>20250109_アルファポリス_新聞記者ヴィルヘルミナ</v>
      </c>
      <c r="T2674" s="67" t="str">
        <f>IFERROR(__xludf.DUMMYFUNCTION("""COMPUTED_VALUE"""),"格納済み")</f>
        <v>格納済み</v>
      </c>
      <c r="U2674" s="15" t="str">
        <f>IFERROR(__xludf.DUMMYFUNCTION("""COMPUTED_VALUE"""),"（C）のゆ／アルファポリス")</f>
        <v>（C）のゆ／アルファポリス</v>
      </c>
      <c r="V2674" s="8" t="str">
        <f>IFERROR(__xludf.DUMMYFUNCTION("""COMPUTED_VALUE"""),"「このあいだの疫病の原因知ってる？ 魔女の呪いですって……」　大陸で幾度も猛威をふるった疫病が、終息したばかりの16世紀ドイツ風ファンタジー世界。帝国自由都市ヴェルバーデンで暮らすミーナは、知り合いの印刷工房が最近発行しはじめた「新聞」に興味津々。七年前に魔女狩りで母を失った彼女は、人々に事実を正確に伝えることの重要性を誰よりも強く感じていた。　そんなある日彼女は、魔女が疫病をばら撒いたという不穏な噂を耳にする。ふだんは善良な市民が、迷信やデマに踊らされない社会を創るため……、ミーナは自ら新聞記者になるこ"&amp;"とを決意する。　行動力抜群、けれども技術と経験が圧倒的に足りない新米記者が、悪意のない噂や無責任な流言が交錯するアフターパンデミックの時代を奔る！")</f>
        <v>「このあいだの疫病の原因知ってる？ 魔女の呪いですって……」　大陸で幾度も猛威をふるった疫病が、終息したばかりの16世紀ドイツ風ファンタジー世界。帝国自由都市ヴェルバーデンで暮らすミーナは、知り合いの印刷工房が最近発行しはじめた「新聞」に興味津々。七年前に魔女狩りで母を失った彼女は、人々に事実を正確に伝えることの重要性を誰よりも強く感じていた。　そんなある日彼女は、魔女が疫病をばら撒いたという不穏な噂を耳にする。ふだんは善良な市民が、迷信やデマに踊らされない社会を創るため……、ミーナは自ら新聞記者になることを決意する。　行動力抜群、けれども技術と経験が圧倒的に足りない新米記者が、悪意のない噂や無責任な流言が交錯するアフターパンデミックの時代を奔る！</v>
      </c>
      <c r="W2674" s="14"/>
      <c r="X2674" s="14" t="str">
        <f>IFERROR(__xludf.DUMMYFUNCTION("""COMPUTED_VALUE"""),"有")</f>
        <v>有</v>
      </c>
      <c r="Y2674" s="8" t="str">
        <f>IFERROR(__xludf.DUMMYFUNCTION("""COMPUTED_VALUE"""),"1巻無料")</f>
        <v>1巻無料</v>
      </c>
      <c r="Z2674" s="7"/>
      <c r="AA2674" s="7"/>
      <c r="AB2674" s="7"/>
    </row>
    <row r="2675" ht="15.75" customHeight="1">
      <c r="A2675" s="66">
        <f>IFERROR(__xludf.DUMMYFUNCTION("""COMPUTED_VALUE"""),4727.0)</f>
        <v>4727</v>
      </c>
      <c r="B2675" s="67" t="str">
        <f>IFERROR(__xludf.DUMMYFUNCTION("""COMPUTED_VALUE"""),"確定")</f>
        <v>確定</v>
      </c>
      <c r="C2675" s="68">
        <f>IFERROR(__xludf.DUMMYFUNCTION("""COMPUTED_VALUE"""),45651.0)</f>
        <v>45651</v>
      </c>
      <c r="D2675" s="68">
        <f>IFERROR(__xludf.DUMMYFUNCTION("""COMPUTED_VALUE"""),45671.0)</f>
        <v>45671</v>
      </c>
      <c r="E2675" s="60">
        <f>IFERROR(__xludf.DUMMYFUNCTION("""COMPUTED_VALUE"""),315035.0)</f>
        <v>315035</v>
      </c>
      <c r="F2675" s="61" t="str">
        <f>IFERROR(__xludf.DUMMYFUNCTION("""COMPUTED_VALUE"""),"まだ蜜月には早すぎる～攫われ花嫁は強引な金獅子王の寵愛に困惑中～")</f>
        <v>まだ蜜月には早すぎる～攫われ花嫁は強引な金獅子王の寵愛に困惑中～</v>
      </c>
      <c r="G2675" s="67">
        <f>IFERROR(__xludf.DUMMYFUNCTION("""COMPUTED_VALUE"""),1.0)</f>
        <v>1</v>
      </c>
      <c r="H2675" s="67" t="str">
        <f>IFERROR(__xludf.DUMMYFUNCTION("""COMPUTED_VALUE"""),"浜田理枝子")</f>
        <v>浜田理枝子</v>
      </c>
      <c r="I2675" s="67" t="str">
        <f>IFERROR(__xludf.DUMMYFUNCTION("""COMPUTED_VALUE"""),"TL")</f>
        <v>TL</v>
      </c>
      <c r="J2675" s="67"/>
      <c r="K2675" s="67" t="str">
        <f>IFERROR(__xludf.DUMMYFUNCTION("""COMPUTED_VALUE"""),"乙女ドルチェ・コミックス")</f>
        <v>乙女ドルチェ・コミックス</v>
      </c>
      <c r="L2675" s="67" t="str">
        <f>IFERROR(__xludf.DUMMYFUNCTION("""COMPUTED_VALUE"""),"ハーパーコリンズ・ジャパン")</f>
        <v>ハーパーコリンズ・ジャパン</v>
      </c>
      <c r="M2675" s="59">
        <f>IFERROR(__xludf.DUMMYFUNCTION("""COMPUTED_VALUE"""),45705.0)</f>
        <v>45705</v>
      </c>
      <c r="N2675" s="23">
        <f>IFERROR(__xludf.DUMMYFUNCTION("""COMPUTED_VALUE"""),45764.0)</f>
        <v>45764</v>
      </c>
      <c r="O2675" s="67"/>
      <c r="P2675" s="70" t="str">
        <f>IFERROR(__xludf.DUMMYFUNCTION("""COMPUTED_VALUE"""),"可")</f>
        <v>可</v>
      </c>
      <c r="Q2675" s="67" t="str">
        <f>IFERROR(__xludf.DUMMYFUNCTION("""COMPUTED_VALUE"""),"1巻完結")</f>
        <v>1巻完結</v>
      </c>
      <c r="R2675" s="67" t="str">
        <f>IFERROR(__xludf.DUMMYFUNCTION("""COMPUTED_VALUE"""),"コミットOK")</f>
        <v>コミットOK</v>
      </c>
      <c r="S2675" s="67" t="str">
        <f>IFERROR(__xludf.DUMMYFUNCTION("""COMPUTED_VALUE"""),"20250108_ハーパーコリンズ・ジャパン_まだ蜜月には早すぎる～攫われ花嫁は強引な金獅子王の寵愛に困惑中～")</f>
        <v>20250108_ハーパーコリンズ・ジャパン_まだ蜜月には早すぎる～攫われ花嫁は強引な金獅子王の寵愛に困惑中～</v>
      </c>
      <c r="T2675" s="67" t="str">
        <f>IFERROR(__xludf.DUMMYFUNCTION("""COMPUTED_VALUE"""),"格納済み")</f>
        <v>格納済み</v>
      </c>
      <c r="U2675" s="15" t="str">
        <f>IFERROR(__xludf.DUMMYFUNCTION("""COMPUTED_VALUE"""),"（C)浜田理枝子・宇奈月香／ハーパーコリンズ・ジャパン")</f>
        <v>（C)浜田理枝子・宇奈月香／ハーパーコリンズ・ジャパン</v>
      </c>
      <c r="V2675" s="8" t="str">
        <f>IFERROR(__xludf.DUMMYFUNCTION("""COMPUTED_VALUE"""),"「まだだ、もっとだ。もっと快感に溺れろ」
大国の王、攫った花嫁を愛しつくす！
「祖国を救いたければ我が物になれ」容赦なく与え続けられる快感に、何も考えられず溺れて――……。腐敗した王家を中から変えるため、父に命じられ王太子の許嫁となった公爵令嬢のラシェル。しかし結婚式当日、隣の大国の王アシュラフに突然攫われ、彼の寵姫にされてしまう！　尊大で傲慢に見えたアシュラフだが、父に切り捨てられたと悲しむラシェルの心に寄り添い、優しく愛を注ぐ。 ラシェルも彼に惹かれていくものの、実はアシュラフはずっと前から彼"&amp;"女のことを知っており、花嫁に迎えたのも理由があって――!?")</f>
        <v>「まだだ、もっとだ。もっと快感に溺れろ」
大国の王、攫った花嫁を愛しつくす！
「祖国を救いたければ我が物になれ」容赦なく与え続けられる快感に、何も考えられず溺れて――……。腐敗した王家を中から変えるため、父に命じられ王太子の許嫁となった公爵令嬢のラシェル。しかし結婚式当日、隣の大国の王アシュラフに突然攫われ、彼の寵姫にされてしまう！　尊大で傲慢に見えたアシュラフだが、父に切り捨てられたと悲しむラシェルの心に寄り添い、優しく愛を注ぐ。 ラシェルも彼に惹かれていくものの、実はアシュラフはずっと前から彼女のことを知っており、花嫁に迎えたのも理由があって――!?</v>
      </c>
      <c r="W2675" s="14"/>
      <c r="X2675" s="14" t="str">
        <f>IFERROR(__xludf.DUMMYFUNCTION("""COMPUTED_VALUE"""),"有")</f>
        <v>有</v>
      </c>
      <c r="Y2675" s="8" t="str">
        <f>IFERROR(__xludf.DUMMYFUNCTION("""COMPUTED_VALUE"""),"2025/3/17まで立ち読み増量P39まで")</f>
        <v>2025/3/17まで立ち読み増量P39まで</v>
      </c>
      <c r="Z2675" s="7"/>
      <c r="AA2675" s="7"/>
      <c r="AB2675" s="7"/>
    </row>
    <row r="2676" ht="15.75" customHeight="1">
      <c r="A2676" s="66">
        <f>IFERROR(__xludf.DUMMYFUNCTION("""COMPUTED_VALUE"""),4750.0)</f>
        <v>4750</v>
      </c>
      <c r="B2676" s="67" t="str">
        <f>IFERROR(__xludf.DUMMYFUNCTION("""COMPUTED_VALUE"""),"確定")</f>
        <v>確定</v>
      </c>
      <c r="C2676" s="68">
        <f>IFERROR(__xludf.DUMMYFUNCTION("""COMPUTED_VALUE"""),45664.0)</f>
        <v>45664</v>
      </c>
      <c r="D2676" s="68">
        <f>IFERROR(__xludf.DUMMYFUNCTION("""COMPUTED_VALUE"""),45671.0)</f>
        <v>45671</v>
      </c>
      <c r="E2676" s="100">
        <f>IFERROR(__xludf.DUMMYFUNCTION("""COMPUTED_VALUE"""),295989.0)</f>
        <v>295989</v>
      </c>
      <c r="F2676" s="61" t="str">
        <f>IFERROR(__xludf.DUMMYFUNCTION("""COMPUTED_VALUE"""),"眼鏡のまま、キミと寝たい。")</f>
        <v>眼鏡のまま、キミと寝たい。</v>
      </c>
      <c r="G2676" s="67" t="str">
        <f>IFERROR(__xludf.DUMMYFUNCTION("""COMPUTED_VALUE"""),"1～6")</f>
        <v>1～6</v>
      </c>
      <c r="H2676" s="67" t="str">
        <f>IFERROR(__xludf.DUMMYFUNCTION("""COMPUTED_VALUE"""),"桃ノ木みのむし")</f>
        <v>桃ノ木みのむし</v>
      </c>
      <c r="I2676" s="67" t="str">
        <f>IFERROR(__xludf.DUMMYFUNCTION("""COMPUTED_VALUE"""),"BLマンガ")</f>
        <v>BLマンガ</v>
      </c>
      <c r="J2676" s="87"/>
      <c r="K2676" s="87"/>
      <c r="L2676" s="67" t="str">
        <f>IFERROR(__xludf.DUMMYFUNCTION("""COMPUTED_VALUE"""),"シーモアコミックス")</f>
        <v>シーモアコミックス</v>
      </c>
      <c r="M2676" s="59">
        <f>IFERROR(__xludf.DUMMYFUNCTION("""COMPUTED_VALUE"""),45696.0)</f>
        <v>45696</v>
      </c>
      <c r="N2676" s="59">
        <f>IFERROR(__xludf.DUMMYFUNCTION("""COMPUTED_VALUE"""),45757.0)</f>
        <v>45757</v>
      </c>
      <c r="O2676" s="67"/>
      <c r="P2676" s="71" t="str">
        <f>IFERROR(__xludf.DUMMYFUNCTION("""COMPUTED_VALUE"""),"可")</f>
        <v>可</v>
      </c>
      <c r="Q2676" s="72"/>
      <c r="R2676" s="67"/>
      <c r="S2676" s="67" t="str">
        <f>IFERROR(__xludf.DUMMYFUNCTION("""COMPUTED_VALUE"""),"20250110_シーモアコミックス_眼鏡のまま、キミと寝たい。")</f>
        <v>20250110_シーモアコミックス_眼鏡のまま、キミと寝たい。</v>
      </c>
      <c r="T2676" s="67" t="str">
        <f>IFERROR(__xludf.DUMMYFUNCTION("""COMPUTED_VALUE"""),"格納済み")</f>
        <v>格納済み</v>
      </c>
      <c r="U2676" s="15" t="str">
        <f>IFERROR(__xludf.DUMMYFUNCTION("""COMPUTED_VALUE"""),"© 桃ノ木みのむし/シーモアコミックス")</f>
        <v>© 桃ノ木みのむし/シーモアコミックス</v>
      </c>
      <c r="V2676" s="8" t="str">
        <f>IFERROR(__xludf.DUMMYFUNCTION("""COMPUTED_VALUE"""),"眼鏡フェチな眼鏡職人兼ヒモ男・詩音(しおん)は、寄生していたメガネ美女宅を追い出され、職場で寝泊まり生活中。ある夜、店の前で行き倒れていたビン底眼鏡のモサいリーマン・天野(あまの)を拾った詩音。ダサい眼鏡が許せなくて、試作品を装着させたら…なんだかムラムラくる色っぽいインテリメガネに大変身!!
「アンタ、自分の作ったメガネに発情する変態なんだな」天野のビジュアルに欲情し、節操のないカラダが大暴走してしまって!?!? 変人エリート・リーマン×眼鏡フェチのヒモ男のフェティッシュ・ラブコメディ♪【本作品は他社"&amp;"より配信されていた「眼鏡のまま、キミと寝たい。」を一部加筆修正したものです。重複購入にご注意ください】【フィカス】")</f>
        <v>眼鏡フェチな眼鏡職人兼ヒモ男・詩音(しおん)は、寄生していたメガネ美女宅を追い出され、職場で寝泊まり生活中。ある夜、店の前で行き倒れていたビン底眼鏡のモサいリーマン・天野(あまの)を拾った詩音。ダサい眼鏡が許せなくて、試作品を装着させたら…なんだかムラムラくる色っぽいインテリメガネに大変身!!
「アンタ、自分の作ったメガネに発情する変態なんだな」天野のビジュアルに欲情し、節操のないカラダが大暴走してしまって!?!? 変人エリート・リーマン×眼鏡フェチのヒモ男のフェティッシュ・ラブコメディ♪【本作品は他社より配信されていた「眼鏡のまま、キミと寝たい。」を一部加筆修正したものです。重複購入にご注意ください】【フィカス】</v>
      </c>
      <c r="W2676" s="14"/>
      <c r="X2676" s="14" t="str">
        <f>IFERROR(__xludf.DUMMYFUNCTION("""COMPUTED_VALUE"""),"有")</f>
        <v>有</v>
      </c>
      <c r="Y2676" s="8" t="str">
        <f>IFERROR(__xludf.DUMMYFUNCTION("""COMPUTED_VALUE"""),"2025/3/7まで1～2巻無料")</f>
        <v>2025/3/7まで1～2巻無料</v>
      </c>
      <c r="Z2676" s="7"/>
      <c r="AA2676" s="7"/>
      <c r="AB2676" s="7"/>
    </row>
    <row r="2677" ht="15.75" customHeight="1">
      <c r="A2677" s="66">
        <f>IFERROR(__xludf.DUMMYFUNCTION("""COMPUTED_VALUE"""),4752.0)</f>
        <v>4752</v>
      </c>
      <c r="B2677" s="67" t="str">
        <f>IFERROR(__xludf.DUMMYFUNCTION("""COMPUTED_VALUE"""),"確定")</f>
        <v>確定</v>
      </c>
      <c r="C2677" s="68">
        <f>IFERROR(__xludf.DUMMYFUNCTION("""COMPUTED_VALUE"""),45664.0)</f>
        <v>45664</v>
      </c>
      <c r="D2677" s="68">
        <f>IFERROR(__xludf.DUMMYFUNCTION("""COMPUTED_VALUE"""),45671.0)</f>
        <v>45671</v>
      </c>
      <c r="E2677" s="100">
        <f>IFERROR(__xludf.DUMMYFUNCTION("""COMPUTED_VALUE"""),306975.0)</f>
        <v>306975</v>
      </c>
      <c r="F2677" s="61" t="str">
        <f>IFERROR(__xludf.DUMMYFUNCTION("""COMPUTED_VALUE"""),"宇宙が終わるまでに恋したい")</f>
        <v>宇宙が終わるまでに恋したい</v>
      </c>
      <c r="G2677" s="67" t="str">
        <f>IFERROR(__xludf.DUMMYFUNCTION("""COMPUTED_VALUE"""),"1～3")</f>
        <v>1～3</v>
      </c>
      <c r="H2677" s="67" t="str">
        <f>IFERROR(__xludf.DUMMYFUNCTION("""COMPUTED_VALUE"""),"瀬川葵,浅田悠介")</f>
        <v>瀬川葵,浅田悠介</v>
      </c>
      <c r="I2677" s="67" t="str">
        <f>IFERROR(__xludf.DUMMYFUNCTION("""COMPUTED_VALUE"""),"少女マンガ")</f>
        <v>少女マンガ</v>
      </c>
      <c r="J2677" s="87"/>
      <c r="K2677" s="87"/>
      <c r="L2677" s="67" t="str">
        <f>IFERROR(__xludf.DUMMYFUNCTION("""COMPUTED_VALUE"""),"シーモアコミックス")</f>
        <v>シーモアコミックス</v>
      </c>
      <c r="M2677" s="59">
        <f>IFERROR(__xludf.DUMMYFUNCTION("""COMPUTED_VALUE"""),45696.0)</f>
        <v>45696</v>
      </c>
      <c r="N2677" s="59">
        <f>IFERROR(__xludf.DUMMYFUNCTION("""COMPUTED_VALUE"""),45848.66666666667)</f>
        <v>45848.66667</v>
      </c>
      <c r="O2677" s="67"/>
      <c r="P2677" s="71" t="str">
        <f>IFERROR(__xludf.DUMMYFUNCTION("""COMPUTED_VALUE"""),"可")</f>
        <v>可</v>
      </c>
      <c r="Q2677" s="72"/>
      <c r="R2677" s="67"/>
      <c r="S2677" s="67" t="str">
        <f>IFERROR(__xludf.DUMMYFUNCTION("""COMPUTED_VALUE"""),"20250110_シーモアコミックス_宇宙が終わるまでに恋したい")</f>
        <v>20250110_シーモアコミックス_宇宙が終わるまでに恋したい</v>
      </c>
      <c r="T2677" s="67" t="str">
        <f>IFERROR(__xludf.DUMMYFUNCTION("""COMPUTED_VALUE"""),"格納済み")</f>
        <v>格納済み</v>
      </c>
      <c r="U2677" s="15" t="str">
        <f>IFERROR(__xludf.DUMMYFUNCTION("""COMPUTED_VALUE"""),"© 瀬川葵/浅田悠介/KADOKAWA/シーモアコミックス")</f>
        <v>© 瀬川葵/浅田悠介/KADOKAWA/シーモアコミックス</v>
      </c>
      <c r="V2677" s="8" t="str">
        <f>IFERROR(__xludf.DUMMYFUNCTION("""COMPUTED_VALUE"""),"孤独が怖くて泣いた夜があるすべての女の子を、もう絶対に一人にしない──。大ヒット『わたしは愛される実験をはじめた。』のベニコが帰ってきた☆ 「恋愛認知学」が貴女を幸せな女性に変える！
大学生のアカリのスマホを震わせるのは、友達からの幸せ報告。おめでとうって喜びたいけど、どうしてもモヤモヤする。「友達はみんな彼氏ができていくのに、どうして私にはなんにもないの!?」待っていればいつか運命の人が現れるはず。だって私はメイクや服装に気を遣ってるし、勉強も頑張ってるし、パワースポットにも行っているし！ でも、"&amp;"やっと誘われたデートはサイアクの思い出になってしまった。このまま私、ずっと独りぼっちかもしれない。自暴自棄になるアカリの目の前に現れた謎の心理学講師・ベニコ。ベニコの恋愛レッスンでアカリの人生は大きく変わり始めて…!?
SNSでカリスマ的人気を誇る恋愛コラムニスト・催眠心理療法士の浅田悠介による『恋が叶うQ&amp;A』も毎話収録！ 読むだけで愛される、共感度100％の恋愛ストーリー【恋するソワレ】")</f>
        <v>孤独が怖くて泣いた夜があるすべての女の子を、もう絶対に一人にしない──。大ヒット『わたしは愛される実験をはじめた。』のベニコが帰ってきた☆ 「恋愛認知学」が貴女を幸せな女性に変える！
大学生のアカリのスマホを震わせるのは、友達からの幸せ報告。おめでとうって喜びたいけど、どうしてもモヤモヤする。「友達はみんな彼氏ができていくのに、どうして私にはなんにもないの!?」待っていればいつか運命の人が現れるはず。だって私はメイクや服装に気を遣ってるし、勉強も頑張ってるし、パワースポットにも行っているし！ でも、やっと誘われたデートはサイアクの思い出になってしまった。このまま私、ずっと独りぼっちかもしれない。自暴自棄になるアカリの目の前に現れた謎の心理学講師・ベニコ。ベニコの恋愛レッスンでアカリの人生は大きく変わり始めて…!?
SNSでカリスマ的人気を誇る恋愛コラムニスト・催眠心理療法士の浅田悠介による『恋が叶うQ&amp;A』も毎話収録！ 読むだけで愛される、共感度100％の恋愛ストーリー【恋するソワレ】</v>
      </c>
      <c r="W2677" s="14"/>
      <c r="X2677" s="14" t="str">
        <f>IFERROR(__xludf.DUMMYFUNCTION("""COMPUTED_VALUE"""),"有")</f>
        <v>有</v>
      </c>
      <c r="Y2677" s="8" t="str">
        <f>IFERROR(__xludf.DUMMYFUNCTION("""COMPUTED_VALUE"""),"2025/3/7まで1巻無料")</f>
        <v>2025/3/7まで1巻無料</v>
      </c>
      <c r="Z2677" s="7"/>
      <c r="AA2677" s="7"/>
      <c r="AB2677" s="7"/>
    </row>
    <row r="2678" ht="15.75" customHeight="1">
      <c r="A2678" s="66">
        <f>IFERROR(__xludf.DUMMYFUNCTION("""COMPUTED_VALUE"""),4755.0)</f>
        <v>4755</v>
      </c>
      <c r="B2678" s="67" t="str">
        <f>IFERROR(__xludf.DUMMYFUNCTION("""COMPUTED_VALUE"""),"確定")</f>
        <v>確定</v>
      </c>
      <c r="C2678" s="68">
        <f>IFERROR(__xludf.DUMMYFUNCTION("""COMPUTED_VALUE"""),45664.0)</f>
        <v>45664</v>
      </c>
      <c r="D2678" s="68">
        <f>IFERROR(__xludf.DUMMYFUNCTION("""COMPUTED_VALUE"""),45671.0)</f>
        <v>45671</v>
      </c>
      <c r="E2678" s="60">
        <f>IFERROR(__xludf.DUMMYFUNCTION("""COMPUTED_VALUE"""),313668.0)</f>
        <v>313668</v>
      </c>
      <c r="F2678" s="61" t="str">
        <f>IFERROR(__xludf.DUMMYFUNCTION("""COMPUTED_VALUE"""),"氷の貴公子なのに過保護すぎです！～ひとりでキャンプしていたら異世界で山の神になってしまった件～")</f>
        <v>氷の貴公子なのに過保護すぎです！～ひとりでキャンプしていたら異世界で山の神になってしまった件～</v>
      </c>
      <c r="G2678" s="67" t="str">
        <f>IFERROR(__xludf.DUMMYFUNCTION("""COMPUTED_VALUE"""),"1～3")</f>
        <v>1～3</v>
      </c>
      <c r="H2678" s="67" t="str">
        <f>IFERROR(__xludf.DUMMYFUNCTION("""COMPUTED_VALUE"""),"著者：倉地よね 原作者：小山内慧夢")</f>
        <v>著者：倉地よね 原作者：小山内慧夢</v>
      </c>
      <c r="I2678" s="78" t="str">
        <f>IFERROR(__xludf.DUMMYFUNCTION("""COMPUTED_VALUE"""),"少女マンガ")</f>
        <v>少女マンガ</v>
      </c>
      <c r="J2678" s="87"/>
      <c r="K2678" s="87"/>
      <c r="L2678" s="67" t="str">
        <f>IFERROR(__xludf.DUMMYFUNCTION("""COMPUTED_VALUE"""),"夢中文庫")</f>
        <v>夢中文庫</v>
      </c>
      <c r="M2678" s="23">
        <f>IFERROR(__xludf.DUMMYFUNCTION("""COMPUTED_VALUE"""),45689.0)</f>
        <v>45689</v>
      </c>
      <c r="N2678" s="59">
        <f>IFERROR(__xludf.DUMMYFUNCTION("""COMPUTED_VALUE"""),45778.0)</f>
        <v>45778</v>
      </c>
      <c r="O2678" s="67"/>
      <c r="P2678" s="70" t="str">
        <f>IFERROR(__xludf.DUMMYFUNCTION("""COMPUTED_VALUE"""),"可")</f>
        <v>可</v>
      </c>
      <c r="Q2678" s="67" t="str">
        <f>IFERROR(__xludf.DUMMYFUNCTION("""COMPUTED_VALUE"""),"・配信日まで1ヶ月を切っていますが、出稿で先行期間3ヶ月でいただけますので、ご検討いただけますと幸いです…！")</f>
        <v>・配信日まで1ヶ月を切っていますが、出稿で先行期間3ヶ月でいただけますので、ご検討いただけますと幸いです…！</v>
      </c>
      <c r="R2678" s="67" t="str">
        <f>IFERROR(__xludf.DUMMYFUNCTION("""COMPUTED_VALUE"""),"コミットOK")</f>
        <v>コミットOK</v>
      </c>
      <c r="S2678" s="67" t="str">
        <f>IFERROR(__xludf.DUMMYFUNCTION("""COMPUTED_VALUE"""),"20250109_夢中文庫_氷の貴公子なのに過保護すぎです！～ひとりでキャンプしていたら異世界で山の神になってしまった件～")</f>
        <v>20250109_夢中文庫_氷の貴公子なのに過保護すぎです！～ひとりでキャンプしていたら異世界で山の神になってしまった件～</v>
      </c>
      <c r="T2678" s="67" t="str">
        <f>IFERROR(__xludf.DUMMYFUNCTION("""COMPUTED_VALUE"""),"格納済み")</f>
        <v>格納済み</v>
      </c>
      <c r="U2678" s="15" t="str">
        <f>IFERROR(__xludf.DUMMYFUNCTION("""COMPUTED_VALUE"""),"(C)倉地よね/小山内慧夢/ゆめこみ")</f>
        <v>(C)倉地よね/小山内慧夢/ゆめこみ</v>
      </c>
      <c r="V2678" s="8" t="str">
        <f>IFERROR(__xludf.DUMMYFUNCTION("""COMPUTED_VALUE"""),"ソロキャンプをしに山へ出かけた恵は、不運にも悪質キャンパーたちに絡まれ崖から転落。奇跡的に命拾いしたものの、もと来た道が分からなくなってしまった。やっとの思いで一軒の家を見つけるが、現代の日本とは思えないファンシーな雰囲気。
「いったいここはどこなの――？」
住人から叫び声をあげられ、思わず逃げてしまった恵のもとへ、今度は何やら騒がしい声が近づいてくる。正体は甲冑を着た集団だった！　住人から通報を受けたらしい彼らに追い詰められ、恵は絶対絶命の状況……かと思いきや、青い瞳の金髪イケメンから優しく声をかけ"&amp;"られて…？")</f>
        <v>ソロキャンプをしに山へ出かけた恵は、不運にも悪質キャンパーたちに絡まれ崖から転落。奇跡的に命拾いしたものの、もと来た道が分からなくなってしまった。やっとの思いで一軒の家を見つけるが、現代の日本とは思えないファンシーな雰囲気。
「いったいここはどこなの――？」
住人から叫び声をあげられ、思わず逃げてしまった恵のもとへ、今度は何やら騒がしい声が近づいてくる。正体は甲冑を着た集団だった！　住人から通報を受けたらしい彼らに追い詰められ、恵は絶対絶命の状況……かと思いきや、青い瞳の金髪イケメンから優しく声をかけられて…？</v>
      </c>
      <c r="W2678" s="14"/>
      <c r="X2678" s="14" t="str">
        <f>IFERROR(__xludf.DUMMYFUNCTION("""COMPUTED_VALUE"""),"有")</f>
        <v>有</v>
      </c>
      <c r="Y2678" s="8" t="str">
        <f>IFERROR(__xludf.DUMMYFUNCTION("""COMPUTED_VALUE"""),"2025/2/14まで1巻無料")</f>
        <v>2025/2/14まで1巻無料</v>
      </c>
      <c r="Z2678" s="7"/>
      <c r="AA2678" s="7"/>
      <c r="AB2678" s="7"/>
    </row>
    <row r="2679" ht="15.75" customHeight="1">
      <c r="A2679" s="66">
        <f>IFERROR(__xludf.DUMMYFUNCTION("""COMPUTED_VALUE"""),4774.0)</f>
        <v>4774</v>
      </c>
      <c r="B2679" s="67" t="str">
        <f>IFERROR(__xludf.DUMMYFUNCTION("""COMPUTED_VALUE"""),"確定")</f>
        <v>確定</v>
      </c>
      <c r="C2679" s="68">
        <f>IFERROR(__xludf.DUMMYFUNCTION("""COMPUTED_VALUE"""),45665.0)</f>
        <v>45665</v>
      </c>
      <c r="D2679" s="68">
        <f>IFERROR(__xludf.DUMMYFUNCTION("""COMPUTED_VALUE"""),45671.0)</f>
        <v>45671</v>
      </c>
      <c r="E2679" s="60">
        <f>IFERROR(__xludf.DUMMYFUNCTION("""COMPUTED_VALUE"""),312455.0)</f>
        <v>312455</v>
      </c>
      <c r="F2679" s="61" t="str">
        <f>IFERROR(__xludf.DUMMYFUNCTION("""COMPUTED_VALUE"""),"私たちの恋には期限がある")</f>
        <v>私たちの恋には期限がある</v>
      </c>
      <c r="G2679" s="67" t="str">
        <f>IFERROR(__xludf.DUMMYFUNCTION("""COMPUTED_VALUE"""),"1～3")</f>
        <v>1～3</v>
      </c>
      <c r="H2679" s="67" t="str">
        <f>IFERROR(__xludf.DUMMYFUNCTION("""COMPUTED_VALUE"""),"風沢氷花/トラ太郎/SORAJIMA")</f>
        <v>風沢氷花/トラ太郎/SORAJIMA</v>
      </c>
      <c r="I2679" s="67" t="str">
        <f>IFERROR(__xludf.DUMMYFUNCTION("""COMPUTED_VALUE"""),"女性")</f>
        <v>女性</v>
      </c>
      <c r="J2679" s="87"/>
      <c r="K2679" s="87"/>
      <c r="L2679" s="67" t="str">
        <f>IFERROR(__xludf.DUMMYFUNCTION("""COMPUTED_VALUE"""),"SORAJIMA")</f>
        <v>SORAJIMA</v>
      </c>
      <c r="M2679" s="23">
        <f>IFERROR(__xludf.DUMMYFUNCTION("""COMPUTED_VALUE"""),45688.0)</f>
        <v>45688</v>
      </c>
      <c r="N2679" s="59">
        <f>IFERROR(__xludf.DUMMYFUNCTION("""COMPUTED_VALUE"""),45777.0)</f>
        <v>45777</v>
      </c>
      <c r="O2679" s="67"/>
      <c r="P2679" s="71" t="str">
        <f>IFERROR(__xludf.DUMMYFUNCTION("""COMPUTED_VALUE"""),"可")</f>
        <v>可</v>
      </c>
      <c r="Q2679" s="72"/>
      <c r="R2679" s="67"/>
      <c r="S2679" s="67" t="str">
        <f>IFERROR(__xludf.DUMMYFUNCTION("""COMPUTED_VALUE"""),"20250108_SORAJIMA_私たちの恋には期限がある")</f>
        <v>20250108_SORAJIMA_私たちの恋には期限がある</v>
      </c>
      <c r="T2679" s="67" t="str">
        <f>IFERROR(__xludf.DUMMYFUNCTION("""COMPUTED_VALUE"""),"格納済み")</f>
        <v>格納済み</v>
      </c>
      <c r="U2679" s="15" t="str">
        <f>IFERROR(__xludf.DUMMYFUNCTION("""COMPUTED_VALUE"""),"(c)風沢氷花/トラ太郎/SORAJIMA")</f>
        <v>(c)風沢氷花/トラ太郎/SORAJIMA</v>
      </c>
      <c r="V2679" s="8" t="str">
        <f>IFERROR(__xludf.DUMMYFUNCTION("""COMPUTED_VALUE"""),"「セックスの賞味期限は3回」――久野璃子26歳、セフレは4人。沼る恋をして壊れたくないから、ひとりの男とは3回までしかセックスしない。そんな彼女は、マッチングアプリで知り合ったフリーカメラマンの怜に心も体も溺れていく。「4回目もしたい？」「俺の彼女にしてあげる」しかし、怜には女の影があって――生きづらさを感じながら【期限付きの恋】をする女性たちのほろ苦いラブストーリー。")</f>
        <v>「セックスの賞味期限は3回」――久野璃子26歳、セフレは4人。沼る恋をして壊れたくないから、ひとりの男とは3回までしかセックスしない。そんな彼女は、マッチングアプリで知り合ったフリーカメラマンの怜に心も体も溺れていく。「4回目もしたい？」「俺の彼女にしてあげる」しかし、怜には女の影があって――生きづらさを感じながら【期限付きの恋】をする女性たちのほろ苦いラブストーリー。</v>
      </c>
      <c r="W2679" s="14"/>
      <c r="X2679" s="14" t="str">
        <f>IFERROR(__xludf.DUMMYFUNCTION("""COMPUTED_VALUE"""),"有")</f>
        <v>有</v>
      </c>
      <c r="Y2679" s="8" t="str">
        <f>IFERROR(__xludf.DUMMYFUNCTION("""COMPUTED_VALUE"""),"P6まで")</f>
        <v>P6まで</v>
      </c>
      <c r="Z2679" s="7"/>
      <c r="AA2679" s="7"/>
      <c r="AB2679" s="7"/>
    </row>
    <row r="2680" ht="15.75" customHeight="1">
      <c r="A2680" s="66">
        <f>IFERROR(__xludf.DUMMYFUNCTION("""COMPUTED_VALUE"""),4776.0)</f>
        <v>4776</v>
      </c>
      <c r="B2680" s="67" t="str">
        <f>IFERROR(__xludf.DUMMYFUNCTION("""COMPUTED_VALUE"""),"確定")</f>
        <v>確定</v>
      </c>
      <c r="C2680" s="68">
        <f>IFERROR(__xludf.DUMMYFUNCTION("""COMPUTED_VALUE"""),45667.0)</f>
        <v>45667</v>
      </c>
      <c r="D2680" s="68">
        <f>IFERROR(__xludf.DUMMYFUNCTION("""COMPUTED_VALUE"""),45671.0)</f>
        <v>45671</v>
      </c>
      <c r="E2680" s="60">
        <f>IFERROR(__xludf.DUMMYFUNCTION("""COMPUTED_VALUE"""),313489.0)</f>
        <v>313489</v>
      </c>
      <c r="F2680" s="61" t="str">
        <f>IFERROR(__xludf.DUMMYFUNCTION("""COMPUTED_VALUE"""),"偽装婚約だと思ったら、イケメン御曹司に愛されました。")</f>
        <v>偽装婚約だと思ったら、イケメン御曹司に愛されました。</v>
      </c>
      <c r="G2680" s="67" t="str">
        <f>IFERROR(__xludf.DUMMYFUNCTION("""COMPUTED_VALUE"""),"1～4")</f>
        <v>1～4</v>
      </c>
      <c r="H2680" s="67" t="str">
        <f>IFERROR(__xludf.DUMMYFUNCTION("""COMPUTED_VALUE"""),"琴里奏")</f>
        <v>琴里奏</v>
      </c>
      <c r="I2680" s="67" t="str">
        <f>IFERROR(__xludf.DUMMYFUNCTION("""COMPUTED_VALUE"""),"女性")</f>
        <v>女性</v>
      </c>
      <c r="J2680" s="87"/>
      <c r="K2680" s="87"/>
      <c r="L2680" s="67" t="str">
        <f>IFERROR(__xludf.DUMMYFUNCTION("""COMPUTED_VALUE"""),"ファンギルド")</f>
        <v>ファンギルド</v>
      </c>
      <c r="M2680" s="59">
        <f>IFERROR(__xludf.DUMMYFUNCTION("""COMPUTED_VALUE"""),45714.0)</f>
        <v>45714</v>
      </c>
      <c r="N2680" s="59">
        <f>IFERROR(__xludf.DUMMYFUNCTION("""COMPUTED_VALUE"""),45741.0)</f>
        <v>45741</v>
      </c>
      <c r="O2680" s="67"/>
      <c r="P2680" s="71" t="str">
        <f>IFERROR(__xludf.DUMMYFUNCTION("""COMPUTED_VALUE"""),"可")</f>
        <v>可</v>
      </c>
      <c r="Q2680" s="72"/>
      <c r="R2680" s="67"/>
      <c r="S2680" s="67" t="str">
        <f>IFERROR(__xludf.DUMMYFUNCTION("""COMPUTED_VALUE"""),"20250110_ファンギルド_偽装婚約だと思ったら、イケメン御曹司に愛されました。")</f>
        <v>20250110_ファンギルド_偽装婚約だと思ったら、イケメン御曹司に愛されました。</v>
      </c>
      <c r="T2680" s="67" t="str">
        <f>IFERROR(__xludf.DUMMYFUNCTION("""COMPUTED_VALUE"""),"格納済み")</f>
        <v>格納済み</v>
      </c>
      <c r="U2680" s="15" t="str">
        <f>IFERROR(__xludf.DUMMYFUNCTION("""COMPUTED_VALUE"""),"Ⓒ琴里奏/ファンギルド")</f>
        <v>Ⓒ琴里奏/ファンギルド</v>
      </c>
      <c r="V2680" s="8" t="str">
        <f>IFERROR(__xludf.DUMMYFUNCTION("""COMPUTED_VALUE"""),"ホテル勤めの千紗（ちさ）は、長く付き合っていた彼氏に振られ、さらに住む家も同時に失い絶望的になる。その現場の千紗を見て手を差し伸べたのは、御曹司と名乗る謎の男、鷹崎（たかさき）。一見親切そうなイケメン、だけど軽い彼の口ぶりや態度にますます怪しさを感じる。そして突然、衣食住提供するから嘘の婚約者を演じてほしいと提案され…!?意地悪だけど甘々に愛するイケメン御曹司と期間限定の偽装婚約ストーリー。")</f>
        <v>ホテル勤めの千紗（ちさ）は、長く付き合っていた彼氏に振られ、さらに住む家も同時に失い絶望的になる。その現場の千紗を見て手を差し伸べたのは、御曹司と名乗る謎の男、鷹崎（たかさき）。一見親切そうなイケメン、だけど軽い彼の口ぶりや態度にますます怪しさを感じる。そして突然、衣食住提供するから嘘の婚約者を演じてほしいと提案され…!?意地悪だけど甘々に愛するイケメン御曹司と期間限定の偽装婚約ストーリー。</v>
      </c>
      <c r="W2680" s="14"/>
      <c r="X2680" s="14" t="str">
        <f>IFERROR(__xludf.DUMMYFUNCTION("""COMPUTED_VALUE"""),"有")</f>
        <v>有</v>
      </c>
      <c r="Y2680" s="8" t="str">
        <f>IFERROR(__xludf.DUMMYFUNCTION("""COMPUTED_VALUE"""),"2025/3/11まで1巻無料")</f>
        <v>2025/3/11まで1巻無料</v>
      </c>
      <c r="Z2680" s="7"/>
      <c r="AA2680" s="7"/>
      <c r="AB2680" s="7"/>
    </row>
    <row r="2681" ht="15.75" customHeight="1">
      <c r="A2681" s="66">
        <f>IFERROR(__xludf.DUMMYFUNCTION("""COMPUTED_VALUE"""),4777.0)</f>
        <v>4777</v>
      </c>
      <c r="B2681" s="67" t="str">
        <f>IFERROR(__xludf.DUMMYFUNCTION("""COMPUTED_VALUE"""),"確定")</f>
        <v>確定</v>
      </c>
      <c r="C2681" s="68">
        <f>IFERROR(__xludf.DUMMYFUNCTION("""COMPUTED_VALUE"""),45667.0)</f>
        <v>45667</v>
      </c>
      <c r="D2681" s="68">
        <f>IFERROR(__xludf.DUMMYFUNCTION("""COMPUTED_VALUE"""),45671.0)</f>
        <v>45671</v>
      </c>
      <c r="E2681" s="60">
        <f>IFERROR(__xludf.DUMMYFUNCTION("""COMPUTED_VALUE"""),313490.0)</f>
        <v>313490</v>
      </c>
      <c r="F2681" s="61" t="str">
        <f>IFERROR(__xludf.DUMMYFUNCTION("""COMPUTED_VALUE"""),"「兄貴の横で絶頂するって、どんな気持ち？」～人妻を一晩中イかせ続ける義弟の絶倫セックス")</f>
        <v>「兄貴の横で絶頂するって、どんな気持ち？」～人妻を一晩中イかせ続ける義弟の絶倫セックス</v>
      </c>
      <c r="G2681" s="67" t="str">
        <f>IFERROR(__xludf.DUMMYFUNCTION("""COMPUTED_VALUE"""),"1～3")</f>
        <v>1～3</v>
      </c>
      <c r="H2681" s="67" t="str">
        <f>IFERROR(__xludf.DUMMYFUNCTION("""COMPUTED_VALUE"""),"やまとみゆ")</f>
        <v>やまとみゆ</v>
      </c>
      <c r="I2681" s="67" t="str">
        <f>IFERROR(__xludf.DUMMYFUNCTION("""COMPUTED_VALUE"""),"アダルトマンガ")</f>
        <v>アダルトマンガ</v>
      </c>
      <c r="J2681" s="87"/>
      <c r="K2681" s="87"/>
      <c r="L2681" s="67" t="str">
        <f>IFERROR(__xludf.DUMMYFUNCTION("""COMPUTED_VALUE"""),"モバイルメディアリサーチ")</f>
        <v>モバイルメディアリサーチ</v>
      </c>
      <c r="M2681" s="23">
        <f>IFERROR(__xludf.DUMMYFUNCTION("""COMPUTED_VALUE"""),45702.0)</f>
        <v>45702</v>
      </c>
      <c r="N2681" s="59">
        <f>IFERROR(__xludf.DUMMYFUNCTION("""COMPUTED_VALUE"""),45729.0)</f>
        <v>45729</v>
      </c>
      <c r="O2681" s="67"/>
      <c r="P2681" s="71" t="str">
        <f>IFERROR(__xludf.DUMMYFUNCTION("""COMPUTED_VALUE"""),"可")</f>
        <v>可</v>
      </c>
      <c r="Q2681" s="72"/>
      <c r="R2681" s="67"/>
      <c r="S2681" s="67" t="str">
        <f>IFERROR(__xludf.DUMMYFUNCTION("""COMPUTED_VALUE"""),"20250110_ファンギルド_兄貴の横で絶頂するって、どんな気持ち？～人妻を一晩中イかせ続ける義弟の絶倫セックス")</f>
        <v>20250110_ファンギルド_兄貴の横で絶頂するって、どんな気持ち？～人妻を一晩中イかせ続ける義弟の絶倫セックス</v>
      </c>
      <c r="T2681" s="67" t="str">
        <f>IFERROR(__xludf.DUMMYFUNCTION("""COMPUTED_VALUE"""),"格納済み")</f>
        <v>格納済み</v>
      </c>
      <c r="U2681" s="15" t="str">
        <f>IFERROR(__xludf.DUMMYFUNCTION("""COMPUTED_VALUE"""),"Ⓒやまとみゆ/モバイルメディアリサーチ")</f>
        <v>Ⓒやまとみゆ/モバイルメディアリサーチ</v>
      </c>
      <c r="V2681" s="8" t="str">
        <f>IFERROR(__xludf.DUMMYFUNCTION("""COMPUTED_VALUE"""),"「夫が眠っている隣で義弟に襲われてるのに…私、感じちゃってる…！」――円満な夫婦生活を営んでいた新妻・由紀子。ある日、夫から弟・悟が居候することになったと告げられ、突然 3 人の同居生活が始まる。その夜、久しぶりのセックスを楽しみにしていた由紀子だったが、早漏な夫はすぐに果て、性欲が解消されずに終わってしまう。夫が隣で寝息を立てる中、満たされない由紀子はオナニーに夢中になっていると、突然悟が目の前に現れて――！？「兄貴じゃ満足できないんだろ？」と既に濡れてしまった穴を強引に指でグチョグチョに愛撫され、感じ"&amp;"てしまう由紀子。声を出せない状況の中で、極度に敏感になってしまったぐしょ濡れ穴に、夫よりも大きいモノを勢いよく挿入され…！？")</f>
        <v>「夫が眠っている隣で義弟に襲われてるのに…私、感じちゃってる…！」――円満な夫婦生活を営んでいた新妻・由紀子。ある日、夫から弟・悟が居候することになったと告げられ、突然 3 人の同居生活が始まる。その夜、久しぶりのセックスを楽しみにしていた由紀子だったが、早漏な夫はすぐに果て、性欲が解消されずに終わってしまう。夫が隣で寝息を立てる中、満たされない由紀子はオナニーに夢中になっていると、突然悟が目の前に現れて――！？「兄貴じゃ満足できないんだろ？」と既に濡れてしまった穴を強引に指でグチョグチョに愛撫され、感じてしまう由紀子。声を出せない状況の中で、極度に敏感になってしまったぐしょ濡れ穴に、夫よりも大きいモノを勢いよく挿入され…！？</v>
      </c>
      <c r="W2681" s="14"/>
      <c r="X2681" s="14" t="str">
        <f>IFERROR(__xludf.DUMMYFUNCTION("""COMPUTED_VALUE"""),"有")</f>
        <v>有</v>
      </c>
      <c r="Y2681" s="8" t="str">
        <f>IFERROR(__xludf.DUMMYFUNCTION("""COMPUTED_VALUE"""),"2025/2/27まで1巻無料")</f>
        <v>2025/2/27まで1巻無料</v>
      </c>
      <c r="Z2681" s="7"/>
      <c r="AA2681" s="7"/>
      <c r="AB2681" s="7"/>
    </row>
    <row r="2682" ht="15.75" customHeight="1">
      <c r="A2682" s="66">
        <f>IFERROR(__xludf.DUMMYFUNCTION("""COMPUTED_VALUE"""),4778.0)</f>
        <v>4778</v>
      </c>
      <c r="B2682" s="67" t="str">
        <f>IFERROR(__xludf.DUMMYFUNCTION("""COMPUTED_VALUE"""),"確定")</f>
        <v>確定</v>
      </c>
      <c r="C2682" s="68">
        <f>IFERROR(__xludf.DUMMYFUNCTION("""COMPUTED_VALUE"""),45667.0)</f>
        <v>45667</v>
      </c>
      <c r="D2682" s="68">
        <f>IFERROR(__xludf.DUMMYFUNCTION("""COMPUTED_VALUE"""),45671.0)</f>
        <v>45671</v>
      </c>
      <c r="E2682" s="60">
        <f>IFERROR(__xludf.DUMMYFUNCTION("""COMPUTED_VALUE"""),315546.0)</f>
        <v>315546</v>
      </c>
      <c r="F2682" s="61" t="str">
        <f>IFERROR(__xludf.DUMMYFUNCTION("""COMPUTED_VALUE"""),"月森くんの純愛と狂愛")</f>
        <v>月森くんの純愛と狂愛</v>
      </c>
      <c r="G2682" s="67" t="str">
        <f>IFERROR(__xludf.DUMMYFUNCTION("""COMPUTED_VALUE"""),"1～4")</f>
        <v>1～4</v>
      </c>
      <c r="H2682" s="67" t="str">
        <f>IFERROR(__xludf.DUMMYFUNCTION("""COMPUTED_VALUE"""),"もずくマコ")</f>
        <v>もずくマコ</v>
      </c>
      <c r="I2682" s="67" t="str">
        <f>IFERROR(__xludf.DUMMYFUNCTION("""COMPUTED_VALUE"""),"女性")</f>
        <v>女性</v>
      </c>
      <c r="J2682" s="87"/>
      <c r="K2682" s="87"/>
      <c r="L2682" s="67" t="str">
        <f>IFERROR(__xludf.DUMMYFUNCTION("""COMPUTED_VALUE"""),"ファンギルド")</f>
        <v>ファンギルド</v>
      </c>
      <c r="M2682" s="23">
        <f>IFERROR(__xludf.DUMMYFUNCTION("""COMPUTED_VALUE"""),45720.0)</f>
        <v>45720</v>
      </c>
      <c r="N2682" s="23">
        <f>IFERROR(__xludf.DUMMYFUNCTION("""COMPUTED_VALUE"""),45747.0)</f>
        <v>45747</v>
      </c>
      <c r="O2682" s="67"/>
      <c r="P2682" s="70" t="str">
        <f>IFERROR(__xludf.DUMMYFUNCTION("""COMPUTED_VALUE"""),"可")</f>
        <v>可</v>
      </c>
      <c r="Q2682" s="72" t="str">
        <f>IFERROR(__xludf.DUMMYFUNCTION("""COMPUTED_VALUE"""),"他社でタテヨミを先行配信した作品の【版面版】です。")</f>
        <v>他社でタテヨミを先行配信した作品の【版面版】です。</v>
      </c>
      <c r="R2682" s="67"/>
      <c r="S2682" s="67" t="str">
        <f>IFERROR(__xludf.DUMMYFUNCTION("""COMPUTED_VALUE"""),"20250110_ファンギルド_月森くんの純愛と狂愛")</f>
        <v>20250110_ファンギルド_月森くんの純愛と狂愛</v>
      </c>
      <c r="T2682" s="67" t="str">
        <f>IFERROR(__xludf.DUMMYFUNCTION("""COMPUTED_VALUE"""),"格納済み")</f>
        <v>格納済み</v>
      </c>
      <c r="U2682" s="15" t="str">
        <f>IFERROR(__xludf.DUMMYFUNCTION("""COMPUTED_VALUE"""),"ⒸMako Mozuku /JAMTOON/FUNGUILD")</f>
        <v>ⒸMako Mozuku /JAMTOON/FUNGUILD</v>
      </c>
      <c r="V2682" s="8" t="str">
        <f>IFERROR(__xludf.DUMMYFUNCTION("""COMPUTED_VALUE"""),"スクールカウンセラーのまひるは事故で高校卒業以降の記憶を失ってしまう。そんな彼女の前に現れたのは高校の頃、別れたはずの元カレ・月森。社会人になってから再会し、ふたりは再び恋人になったという。「記憶が戻るよう、俺が全力でサポートするから」月森に甘々に溺愛される同棲生活が始まり癒されていくまひる。しかし彼の優しさの裏に時折感じる違和感…。『この人は本当に私の知ってる月森くんなの？』そんな時、まひるの手元に一通のメモが──。『彼は危険 すぐにこの家から出ろ』その日から月森の愛情に狂気的なものが見え始め──！？【"&amp;"「月森くんの純愛と狂愛」の再編集版です。重複購入にご注意ください。】")</f>
        <v>スクールカウンセラーのまひるは事故で高校卒業以降の記憶を失ってしまう。そんな彼女の前に現れたのは高校の頃、別れたはずの元カレ・月森。社会人になってから再会し、ふたりは再び恋人になったという。「記憶が戻るよう、俺が全力でサポートするから」月森に甘々に溺愛される同棲生活が始まり癒されていくまひる。しかし彼の優しさの裏に時折感じる違和感…。『この人は本当に私の知ってる月森くんなの？』そんな時、まひるの手元に一通のメモが──。『彼は危険 すぐにこの家から出ろ』その日から月森の愛情に狂気的なものが見え始め──！？【「月森くんの純愛と狂愛」の再編集版です。重複購入にご注意ください。】</v>
      </c>
      <c r="W2682" s="14"/>
      <c r="X2682" s="14" t="str">
        <f>IFERROR(__xludf.DUMMYFUNCTION("""COMPUTED_VALUE"""),"有")</f>
        <v>有</v>
      </c>
      <c r="Y2682" s="8" t="str">
        <f>IFERROR(__xludf.DUMMYFUNCTION("""COMPUTED_VALUE"""),"2025/3/19まで1巻無料")</f>
        <v>2025/3/19まで1巻無料</v>
      </c>
      <c r="Z2682" s="7"/>
      <c r="AA2682" s="7"/>
      <c r="AB2682" s="7"/>
    </row>
    <row r="2683" ht="15.75" customHeight="1">
      <c r="A2683" s="66">
        <f>IFERROR(__xludf.DUMMYFUNCTION("""COMPUTED_VALUE"""),4779.0)</f>
        <v>4779</v>
      </c>
      <c r="B2683" s="67" t="str">
        <f>IFERROR(__xludf.DUMMYFUNCTION("""COMPUTED_VALUE"""),"確定")</f>
        <v>確定</v>
      </c>
      <c r="C2683" s="68">
        <f>IFERROR(__xludf.DUMMYFUNCTION("""COMPUTED_VALUE"""),45667.0)</f>
        <v>45667</v>
      </c>
      <c r="D2683" s="68">
        <f>IFERROR(__xludf.DUMMYFUNCTION("""COMPUTED_VALUE"""),45671.0)</f>
        <v>45671</v>
      </c>
      <c r="E2683" s="60">
        <f>IFERROR(__xludf.DUMMYFUNCTION("""COMPUTED_VALUE"""),313492.0)</f>
        <v>313492</v>
      </c>
      <c r="F2683" s="61" t="str">
        <f>IFERROR(__xludf.DUMMYFUNCTION("""COMPUTED_VALUE"""),"種落とし村～掟は強制ハーレム～")</f>
        <v>種落とし村～掟は強制ハーレム～</v>
      </c>
      <c r="G2683" s="67" t="str">
        <f>IFERROR(__xludf.DUMMYFUNCTION("""COMPUTED_VALUE"""),"1～3")</f>
        <v>1～3</v>
      </c>
      <c r="H2683" s="67" t="str">
        <f>IFERROR(__xludf.DUMMYFUNCTION("""COMPUTED_VALUE"""),"みや中みえ")</f>
        <v>みや中みえ</v>
      </c>
      <c r="I2683" s="67" t="str">
        <f>IFERROR(__xludf.DUMMYFUNCTION("""COMPUTED_VALUE"""),"青年")</f>
        <v>青年</v>
      </c>
      <c r="J2683" s="87"/>
      <c r="K2683" s="87"/>
      <c r="L2683" s="67" t="str">
        <f>IFERROR(__xludf.DUMMYFUNCTION("""COMPUTED_VALUE"""),"ファンギルド")</f>
        <v>ファンギルド</v>
      </c>
      <c r="M2683" s="59">
        <f>IFERROR(__xludf.DUMMYFUNCTION("""COMPUTED_VALUE"""),45703.0)</f>
        <v>45703</v>
      </c>
      <c r="N2683" s="59">
        <f>IFERROR(__xludf.DUMMYFUNCTION("""COMPUTED_VALUE"""),45758.0)</f>
        <v>45758</v>
      </c>
      <c r="O2683" s="67"/>
      <c r="P2683" s="71" t="str">
        <f>IFERROR(__xludf.DUMMYFUNCTION("""COMPUTED_VALUE"""),"可")</f>
        <v>可</v>
      </c>
      <c r="Q2683" s="72"/>
      <c r="R2683" s="67"/>
      <c r="S2683" s="67" t="str">
        <f>IFERROR(__xludf.DUMMYFUNCTION("""COMPUTED_VALUE"""),"20250110_ファンギルド_種落とし村～掟は強制ハーレム～")</f>
        <v>20250110_ファンギルド_種落とし村～掟は強制ハーレム～</v>
      </c>
      <c r="T2683" s="67" t="str">
        <f>IFERROR(__xludf.DUMMYFUNCTION("""COMPUTED_VALUE"""),"格納済み")</f>
        <v>格納済み</v>
      </c>
      <c r="U2683" s="15" t="str">
        <f>IFERROR(__xludf.DUMMYFUNCTION("""COMPUTED_VALUE"""),"Ⓒみや中みえ/ファンギルド")</f>
        <v>Ⓒみや中みえ/ファンギルド</v>
      </c>
      <c r="V2683" s="8" t="str">
        <f>IFERROR(__xludf.DUMMYFUNCTION("""COMPUTED_VALUE"""),"女しかいない村に、男は俺1人だけ――大学生の佑太は恋人の千緒とドライブデートをしていたが、道に迷ってしまい“カミカクシ峠”という集落で1泊することに。困っていた佑太たちは旅館を営む美女に優しくもてなされる。しかし、この村のおかしな掟の存在を知ってしまい…!? 禁断のハーレム村サスペンス開幕――!!")</f>
        <v>女しかいない村に、男は俺1人だけ――大学生の佑太は恋人の千緒とドライブデートをしていたが、道に迷ってしまい“カミカクシ峠”という集落で1泊することに。困っていた佑太たちは旅館を営む美女に優しくもてなされる。しかし、この村のおかしな掟の存在を知ってしまい…!? 禁断のハーレム村サスペンス開幕――!!</v>
      </c>
      <c r="W2683" s="14"/>
      <c r="X2683" s="14" t="str">
        <f>IFERROR(__xludf.DUMMYFUNCTION("""COMPUTED_VALUE"""),"有")</f>
        <v>有</v>
      </c>
      <c r="Y2683" s="8" t="str">
        <f>IFERROR(__xludf.DUMMYFUNCTION("""COMPUTED_VALUE"""),"2025/2/28まで1巻無料")</f>
        <v>2025/2/28まで1巻無料</v>
      </c>
      <c r="Z2683" s="7"/>
      <c r="AA2683" s="7"/>
      <c r="AB2683" s="7"/>
    </row>
    <row r="2684" ht="15.75" customHeight="1">
      <c r="A2684" s="66">
        <f>IFERROR(__xludf.DUMMYFUNCTION("""COMPUTED_VALUE"""),4780.0)</f>
        <v>4780</v>
      </c>
      <c r="B2684" s="67" t="str">
        <f>IFERROR(__xludf.DUMMYFUNCTION("""COMPUTED_VALUE"""),"確定")</f>
        <v>確定</v>
      </c>
      <c r="C2684" s="68">
        <f>IFERROR(__xludf.DUMMYFUNCTION("""COMPUTED_VALUE"""),45667.0)</f>
        <v>45667</v>
      </c>
      <c r="D2684" s="68">
        <f>IFERROR(__xludf.DUMMYFUNCTION("""COMPUTED_VALUE"""),45671.0)</f>
        <v>45671</v>
      </c>
      <c r="E2684" s="60">
        <f>IFERROR(__xludf.DUMMYFUNCTION("""COMPUTED_VALUE"""),313493.0)</f>
        <v>313493</v>
      </c>
      <c r="F2684" s="61" t="str">
        <f>IFERROR(__xludf.DUMMYFUNCTION("""COMPUTED_VALUE"""),"花嫁の座を奪われた忌み姫は楽しい亡命生活はじめます！")</f>
        <v>花嫁の座を奪われた忌み姫は楽しい亡命生活はじめます！</v>
      </c>
      <c r="G2684" s="67" t="str">
        <f>IFERROR(__xludf.DUMMYFUNCTION("""COMPUTED_VALUE"""),"1～3")</f>
        <v>1～3</v>
      </c>
      <c r="H2684" s="67" t="str">
        <f>IFERROR(__xludf.DUMMYFUNCTION("""COMPUTED_VALUE"""),"古知屋/長月おと")</f>
        <v>古知屋/長月おと</v>
      </c>
      <c r="I2684" s="67" t="str">
        <f>IFERROR(__xludf.DUMMYFUNCTION("""COMPUTED_VALUE"""),"少女")</f>
        <v>少女</v>
      </c>
      <c r="J2684" s="87"/>
      <c r="K2684" s="87"/>
      <c r="L2684" s="67" t="str">
        <f>IFERROR(__xludf.DUMMYFUNCTION("""COMPUTED_VALUE"""),"ファンギルド")</f>
        <v>ファンギルド</v>
      </c>
      <c r="M2684" s="59">
        <f>IFERROR(__xludf.DUMMYFUNCTION("""COMPUTED_VALUE"""),45708.0)</f>
        <v>45708</v>
      </c>
      <c r="N2684" s="59">
        <f>IFERROR(__xludf.DUMMYFUNCTION("""COMPUTED_VALUE"""),45763.0)</f>
        <v>45763</v>
      </c>
      <c r="O2684" s="67"/>
      <c r="P2684" s="71" t="str">
        <f>IFERROR(__xludf.DUMMYFUNCTION("""COMPUTED_VALUE"""),"可")</f>
        <v>可</v>
      </c>
      <c r="Q2684" s="72"/>
      <c r="R2684" s="67"/>
      <c r="S2684" s="67" t="str">
        <f>IFERROR(__xludf.DUMMYFUNCTION("""COMPUTED_VALUE"""),"20250110_ファンギルド_花嫁の座を奪われた忌み姫は楽しい亡命生活はじめます！")</f>
        <v>20250110_ファンギルド_花嫁の座を奪われた忌み姫は楽しい亡命生活はじめます！</v>
      </c>
      <c r="T2684" s="67" t="str">
        <f>IFERROR(__xludf.DUMMYFUNCTION("""COMPUTED_VALUE"""),"格納済み")</f>
        <v>格納済み</v>
      </c>
      <c r="U2684" s="15" t="str">
        <f>IFERROR(__xludf.DUMMYFUNCTION("""COMPUTED_VALUE"""),"Ⓒ古知屋/長月おと/ファンギルド")</f>
        <v>Ⓒ古知屋/長月おと/ファンギルド</v>
      </c>
      <c r="V2684" s="8" t="str">
        <f>IFERROR(__xludf.DUMMYFUNCTION("""COMPUTED_VALUE"""),"「姫様、私の代わりに死んでくださいな」メーダ王国の末姫・レティーシャは、忌み嫌われた痣を持つせいで虐げられその姿を隠されていた。姫の影武者として雇われた容姿がそっくりの少女・リズが代わりに華やかな表舞台に立ち、レティーシャはその陰で雑用を回される日々ーー。しかしある日、神の啓示と一致した痣を持つレティーシャに隣国の皇太子との縁談が舞い込んでくる。輿入れの時がやってきて生まれて初めて見る外の世界に目を輝かせるレティーシャだったが、羨んだリズの画策によって花嫁の座を奪われてしまう…！命まで狙われることとなった"&amp;"レティーシャを救ったのは、なにやら訳アリそうな魔術師様でーー？")</f>
        <v>「姫様、私の代わりに死んでくださいな」メーダ王国の末姫・レティーシャは、忌み嫌われた痣を持つせいで虐げられその姿を隠されていた。姫の影武者として雇われた容姿がそっくりの少女・リズが代わりに華やかな表舞台に立ち、レティーシャはその陰で雑用を回される日々ーー。しかしある日、神の啓示と一致した痣を持つレティーシャに隣国の皇太子との縁談が舞い込んでくる。輿入れの時がやってきて生まれて初めて見る外の世界に目を輝かせるレティーシャだったが、羨んだリズの画策によって花嫁の座を奪われてしまう…！命まで狙われることとなったレティーシャを救ったのは、なにやら訳アリそうな魔術師様でーー？</v>
      </c>
      <c r="W2684" s="14"/>
      <c r="X2684" s="14" t="str">
        <f>IFERROR(__xludf.DUMMYFUNCTION("""COMPUTED_VALUE"""),"有")</f>
        <v>有</v>
      </c>
      <c r="Y2684" s="8" t="str">
        <f>IFERROR(__xludf.DUMMYFUNCTION("""COMPUTED_VALUE"""),"2025/3/5まで1巻無料")</f>
        <v>2025/3/5まで1巻無料</v>
      </c>
      <c r="Z2684" s="7"/>
      <c r="AA2684" s="7"/>
      <c r="AB2684" s="7"/>
    </row>
    <row r="2685" ht="15.75" customHeight="1">
      <c r="A2685" s="66">
        <f>IFERROR(__xludf.DUMMYFUNCTION("""COMPUTED_VALUE"""),4781.0)</f>
        <v>4781</v>
      </c>
      <c r="B2685" s="67" t="str">
        <f>IFERROR(__xludf.DUMMYFUNCTION("""COMPUTED_VALUE"""),"確定")</f>
        <v>確定</v>
      </c>
      <c r="C2685" s="68">
        <f>IFERROR(__xludf.DUMMYFUNCTION("""COMPUTED_VALUE"""),45667.0)</f>
        <v>45667</v>
      </c>
      <c r="D2685" s="68">
        <f>IFERROR(__xludf.DUMMYFUNCTION("""COMPUTED_VALUE"""),45671.0)</f>
        <v>45671</v>
      </c>
      <c r="E2685" s="60">
        <f>IFERROR(__xludf.DUMMYFUNCTION("""COMPUTED_VALUE"""),313500.0)</f>
        <v>313500</v>
      </c>
      <c r="F2685" s="61" t="str">
        <f>IFERROR(__xludf.DUMMYFUNCTION("""COMPUTED_VALUE"""),"偽装カレシは一途に私を離さない")</f>
        <v>偽装カレシは一途に私を離さない</v>
      </c>
      <c r="G2685" s="67" t="str">
        <f>IFERROR(__xludf.DUMMYFUNCTION("""COMPUTED_VALUE"""),"1～4")</f>
        <v>1～4</v>
      </c>
      <c r="H2685" s="67" t="str">
        <f>IFERROR(__xludf.DUMMYFUNCTION("""COMPUTED_VALUE"""),"仲乃古ノ華")</f>
        <v>仲乃古ノ華</v>
      </c>
      <c r="I2685" s="67" t="str">
        <f>IFERROR(__xludf.DUMMYFUNCTION("""COMPUTED_VALUE"""),"女性")</f>
        <v>女性</v>
      </c>
      <c r="J2685" s="87"/>
      <c r="K2685" s="87"/>
      <c r="L2685" s="67" t="str">
        <f>IFERROR(__xludf.DUMMYFUNCTION("""COMPUTED_VALUE"""),"ファンギルド")</f>
        <v>ファンギルド</v>
      </c>
      <c r="M2685" s="59">
        <f>IFERROR(__xludf.DUMMYFUNCTION("""COMPUTED_VALUE"""),45700.0)</f>
        <v>45700</v>
      </c>
      <c r="N2685" s="59">
        <f>IFERROR(__xludf.DUMMYFUNCTION("""COMPUTED_VALUE"""),45763.0)</f>
        <v>45763</v>
      </c>
      <c r="O2685" s="67"/>
      <c r="P2685" s="71" t="str">
        <f>IFERROR(__xludf.DUMMYFUNCTION("""COMPUTED_VALUE"""),"可")</f>
        <v>可</v>
      </c>
      <c r="Q2685" s="72"/>
      <c r="R2685" s="67"/>
      <c r="S2685" s="67" t="str">
        <f>IFERROR(__xludf.DUMMYFUNCTION("""COMPUTED_VALUE"""),"20250110_ファンギルド_偽装カレシは一途に私を離さない")</f>
        <v>20250110_ファンギルド_偽装カレシは一途に私を離さない</v>
      </c>
      <c r="T2685" s="67" t="str">
        <f>IFERROR(__xludf.DUMMYFUNCTION("""COMPUTED_VALUE"""),"格納済み")</f>
        <v>格納済み</v>
      </c>
      <c r="U2685" s="15" t="str">
        <f>IFERROR(__xludf.DUMMYFUNCTION("""COMPUTED_VALUE"""),"Ⓒ仲乃古ノ華/ファンギルド")</f>
        <v>Ⓒ仲乃古ノ華/ファンギルド</v>
      </c>
      <c r="V2685" s="8" t="str">
        <f>IFERROR(__xludf.DUMMYFUNCTION("""COMPUTED_VALUE"""),"容姿端麗でその仕事ぶりからも社内で一目置かれている澪。学生の頃からモテる彼女は、異性からの告白を断る口実に幼馴染の直澄に恋人のフリを頼んだ。2人は周りにバレないよう偽装恋人の関係を続け、あれよあれよと気づけば10年ーー…これ以上彼を縛り付けてはいけないと澪が別れを切り出すと、今まで弟のように思っていた直澄は意外な一面を見せてーー？「まだこのままの関係でいたいんだけど」恋に奥手なバリキャリ女子×一途な年下男子、10年分の恋心が動き出す社会人ピュアラブストーリー！")</f>
        <v>容姿端麗でその仕事ぶりからも社内で一目置かれている澪。学生の頃からモテる彼女は、異性からの告白を断る口実に幼馴染の直澄に恋人のフリを頼んだ。2人は周りにバレないよう偽装恋人の関係を続け、あれよあれよと気づけば10年ーー…これ以上彼を縛り付けてはいけないと澪が別れを切り出すと、今まで弟のように思っていた直澄は意外な一面を見せてーー？「まだこのままの関係でいたいんだけど」恋に奥手なバリキャリ女子×一途な年下男子、10年分の恋心が動き出す社会人ピュアラブストーリー！</v>
      </c>
      <c r="W2685" s="14"/>
      <c r="X2685" s="14" t="str">
        <f>IFERROR(__xludf.DUMMYFUNCTION("""COMPUTED_VALUE"""),"有")</f>
        <v>有</v>
      </c>
      <c r="Y2685" s="8" t="str">
        <f>IFERROR(__xludf.DUMMYFUNCTION("""COMPUTED_VALUE"""),"2025/2/25まで1巻無料")</f>
        <v>2025/2/25まで1巻無料</v>
      </c>
      <c r="Z2685" s="7"/>
      <c r="AA2685" s="7"/>
      <c r="AB2685" s="7"/>
    </row>
    <row r="2686" ht="15.75" customHeight="1">
      <c r="A2686" s="66">
        <f>IFERROR(__xludf.DUMMYFUNCTION("""COMPUTED_VALUE"""),4782.0)</f>
        <v>4782</v>
      </c>
      <c r="B2686" s="67" t="str">
        <f>IFERROR(__xludf.DUMMYFUNCTION("""COMPUTED_VALUE"""),"確定")</f>
        <v>確定</v>
      </c>
      <c r="C2686" s="68">
        <f>IFERROR(__xludf.DUMMYFUNCTION("""COMPUTED_VALUE"""),45667.0)</f>
        <v>45667</v>
      </c>
      <c r="D2686" s="68">
        <f>IFERROR(__xludf.DUMMYFUNCTION("""COMPUTED_VALUE"""),45671.0)</f>
        <v>45671</v>
      </c>
      <c r="E2686" s="31">
        <f>IFERROR(__xludf.DUMMYFUNCTION("""COMPUTED_VALUE"""),313501.0)</f>
        <v>313501</v>
      </c>
      <c r="F2686" s="22" t="str">
        <f>IFERROR(__xludf.DUMMYFUNCTION("""COMPUTED_VALUE"""),"遊戯の美学～人違いですが冷徹貴族に躾けられてます～")</f>
        <v>遊戯の美学～人違いですが冷徹貴族に躾けられてます～</v>
      </c>
      <c r="G2686" s="67" t="str">
        <f>IFERROR(__xludf.DUMMYFUNCTION("""COMPUTED_VALUE"""),"1～4")</f>
        <v>1～4</v>
      </c>
      <c r="H2686" s="67" t="str">
        <f>IFERROR(__xludf.DUMMYFUNCTION("""COMPUTED_VALUE"""),"Jyun,Bap full")</f>
        <v>Jyun,Bap full</v>
      </c>
      <c r="I2686" s="67" t="str">
        <f>IFERROR(__xludf.DUMMYFUNCTION("""COMPUTED_VALUE"""),"女性")</f>
        <v>女性</v>
      </c>
      <c r="J2686" s="87"/>
      <c r="K2686" s="87"/>
      <c r="L2686" s="67" t="str">
        <f>IFERROR(__xludf.DUMMYFUNCTION("""COMPUTED_VALUE"""),"Rush!")</f>
        <v>Rush!</v>
      </c>
      <c r="M2686" s="47">
        <f>IFERROR(__xludf.DUMMYFUNCTION("""COMPUTED_VALUE"""),45730.0)</f>
        <v>45730</v>
      </c>
      <c r="N2686" s="47">
        <f>IFERROR(__xludf.DUMMYFUNCTION("""COMPUTED_VALUE"""),45757.0)</f>
        <v>45757</v>
      </c>
      <c r="O2686" s="67"/>
      <c r="P2686" s="71" t="str">
        <f>IFERROR(__xludf.DUMMYFUNCTION("""COMPUTED_VALUE"""),"可")</f>
        <v>可</v>
      </c>
      <c r="Q2686" s="72"/>
      <c r="R2686" s="67"/>
      <c r="S2686" s="67" t="str">
        <f>IFERROR(__xludf.DUMMYFUNCTION("""COMPUTED_VALUE"""),"20250110_ファンギルド_遊戯の美学～人違いですが冷徹貴族に躾けられてます～")</f>
        <v>20250110_ファンギルド_遊戯の美学～人違いですが冷徹貴族に躾けられてます～</v>
      </c>
      <c r="T2686" s="67" t="str">
        <f>IFERROR(__xludf.DUMMYFUNCTION("""COMPUTED_VALUE"""),"格納済み")</f>
        <v>格納済み</v>
      </c>
      <c r="U2686" s="15" t="str">
        <f>IFERROR(__xludf.DUMMYFUNCTION("""COMPUTED_VALUE"""),"ⒸBap full/Jyun")</f>
        <v>ⒸBap full/Jyun</v>
      </c>
      <c r="V2686" s="8" t="str">
        <f>IFERROR(__xludf.DUMMYFUNCTION("""COMPUTED_VALUE"""),"一族存続のため、とある貴族とお見合いをする事になったソルディ家令嬢のナディア。このお見合いで必ず相手に気に入ってもらわなくてはならないナディアは、相手のどんな要望も受け入れる覚悟でいた。いい人でありますように…そう願う彼女の前に現れた見合い相手のユーリは、期待に反してとても冷たい印象。それでも…と会話を続けるが、突然無茶な要求を言い渡されてしまう。「ただ俺に身を任せればいい」突然の出来事に戸惑いつつも、彼の言葉と行動に次第に堕ちていくナディア――。全ては家のため…そう思っていたが、2人の出会いには大きな誤"&amp;"解があり――!?")</f>
        <v>一族存続のため、とある貴族とお見合いをする事になったソルディ家令嬢のナディア。このお見合いで必ず相手に気に入ってもらわなくてはならないナディアは、相手のどんな要望も受け入れる覚悟でいた。いい人でありますように…そう願う彼女の前に現れた見合い相手のユーリは、期待に反してとても冷たい印象。それでも…と会話を続けるが、突然無茶な要求を言い渡されてしまう。「ただ俺に身を任せればいい」突然の出来事に戸惑いつつも、彼の言葉と行動に次第に堕ちていくナディア――。全ては家のため…そう思っていたが、2人の出会いには大きな誤解があり――!?</v>
      </c>
      <c r="W2686" s="14"/>
      <c r="X2686" s="14" t="str">
        <f>IFERROR(__xludf.DUMMYFUNCTION("""COMPUTED_VALUE"""),"有")</f>
        <v>有</v>
      </c>
      <c r="Y2686" s="8" t="str">
        <f>IFERROR(__xludf.DUMMYFUNCTION("""COMPUTED_VALUE"""),"2025/4/10まで1巻無料")</f>
        <v>2025/4/10まで1巻無料</v>
      </c>
      <c r="Z2686" s="7"/>
      <c r="AA2686" s="7"/>
      <c r="AB2686" s="7"/>
    </row>
    <row r="2687" ht="15.75" customHeight="1">
      <c r="A2687" s="66">
        <f>IFERROR(__xludf.DUMMYFUNCTION("""COMPUTED_VALUE"""),4783.0)</f>
        <v>4783</v>
      </c>
      <c r="B2687" s="67" t="str">
        <f>IFERROR(__xludf.DUMMYFUNCTION("""COMPUTED_VALUE"""),"確定")</f>
        <v>確定</v>
      </c>
      <c r="C2687" s="68">
        <f>IFERROR(__xludf.DUMMYFUNCTION("""COMPUTED_VALUE"""),45667.0)</f>
        <v>45667</v>
      </c>
      <c r="D2687" s="68">
        <f>IFERROR(__xludf.DUMMYFUNCTION("""COMPUTED_VALUE"""),45671.0)</f>
        <v>45671</v>
      </c>
      <c r="E2687" s="31">
        <f>IFERROR(__xludf.DUMMYFUNCTION("""COMPUTED_VALUE"""),315815.0)</f>
        <v>315815</v>
      </c>
      <c r="F2687" s="22" t="str">
        <f>IFERROR(__xludf.DUMMYFUNCTION("""COMPUTED_VALUE"""),"孤島の男装姫～御曹司ハレムで溺愛されて")</f>
        <v>孤島の男装姫～御曹司ハレムで溺愛されて</v>
      </c>
      <c r="G2687" s="67" t="str">
        <f>IFERROR(__xludf.DUMMYFUNCTION("""COMPUTED_VALUE"""),"1～4")</f>
        <v>1～4</v>
      </c>
      <c r="H2687" s="67" t="str">
        <f>IFERROR(__xludf.DUMMYFUNCTION("""COMPUTED_VALUE"""),"一城咲ルイ")</f>
        <v>一城咲ルイ</v>
      </c>
      <c r="I2687" s="67" t="str">
        <f>IFERROR(__xludf.DUMMYFUNCTION("""COMPUTED_VALUE"""),"女性")</f>
        <v>女性</v>
      </c>
      <c r="J2687" s="87"/>
      <c r="K2687" s="87"/>
      <c r="L2687" s="67" t="str">
        <f>IFERROR(__xludf.DUMMYFUNCTION("""COMPUTED_VALUE"""),"ファンギルド")</f>
        <v>ファンギルド</v>
      </c>
      <c r="M2687" s="23">
        <f>IFERROR(__xludf.DUMMYFUNCTION("""COMPUTED_VALUE"""),45722.0)</f>
        <v>45722</v>
      </c>
      <c r="N2687" s="23">
        <f>IFERROR(__xludf.DUMMYFUNCTION("""COMPUTED_VALUE"""),45756.0)</f>
        <v>45756</v>
      </c>
      <c r="O2687" s="67"/>
      <c r="P2687" s="71" t="str">
        <f>IFERROR(__xludf.DUMMYFUNCTION("""COMPUTED_VALUE"""),"可")</f>
        <v>可</v>
      </c>
      <c r="Q2687" s="72"/>
      <c r="R2687" s="151"/>
      <c r="S2687" s="67" t="str">
        <f>IFERROR(__xludf.DUMMYFUNCTION("""COMPUTED_VALUE"""),"20250124_ファンギルド_孤島の男装姫～御曹司ハレムで溺愛されて")</f>
        <v>20250124_ファンギルド_孤島の男装姫～御曹司ハレムで溺愛されて</v>
      </c>
      <c r="T2687" s="67" t="str">
        <f>IFERROR(__xludf.DUMMYFUNCTION("""COMPUTED_VALUE"""),"格納済み")</f>
        <v>格納済み</v>
      </c>
      <c r="U2687" s="15" t="str">
        <f>IFERROR(__xludf.DUMMYFUNCTION("""COMPUTED_VALUE"""),"ⒸRui Ichikizaki/JAMTOON/FUNGUILD")</f>
        <v>ⒸRui Ichikizaki/JAMTOON/FUNGUILD</v>
      </c>
      <c r="V2687" s="8" t="str">
        <f>IFERROR(__xludf.DUMMYFUNCTION("""COMPUTED_VALUE"""),"「私は女なんか嫌いだ！　女性としても生きたくない！」見た目は「イケメン男」。世間的にも「男」として見られている女性。それゆえに「男を演じ続ける女」。過去のトラウマもあり、彼女も「男としての人生」を受け入れている。その上、生まれも上流階級。跡取りとして育てられ、世間にも「男」として認識されていた。そんな彼女が、エリートばかりが集まる孤島、「エリート養成機関」に入学。周りはエリート男性、そしてイケメンばかり。男として入学したものの、次第に女としての正体もバレてしまう。同時に彼女の内面でも「女性性」が出てきてし"&amp;"まい…。ざわつく学内。イケメン男性と、本当にエスタブリッシュで洗練されたエリート男性に囲まれ、今まで抑えていた「女性」としての素顔が出てきてしまい、ついに禁断の恋が…。")</f>
        <v>「私は女なんか嫌いだ！　女性としても生きたくない！」見た目は「イケメン男」。世間的にも「男」として見られている女性。それゆえに「男を演じ続ける女」。過去のトラウマもあり、彼女も「男としての人生」を受け入れている。その上、生まれも上流階級。跡取りとして育てられ、世間にも「男」として認識されていた。そんな彼女が、エリートばかりが集まる孤島、「エリート養成機関」に入学。周りはエリート男性、そしてイケメンばかり。男として入学したものの、次第に女としての正体もバレてしまう。同時に彼女の内面でも「女性性」が出てきてしまい…。ざわつく学内。イケメン男性と、本当にエスタブリッシュで洗練されたエリート男性に囲まれ、今まで抑えていた「女性」としての素顔が出てきてしまい、ついに禁断の恋が…。</v>
      </c>
      <c r="W2687" s="14"/>
      <c r="X2687" s="14" t="str">
        <f>IFERROR(__xludf.DUMMYFUNCTION("""COMPUTED_VALUE"""),"有")</f>
        <v>有</v>
      </c>
      <c r="Y2687" s="8" t="str">
        <f>IFERROR(__xludf.DUMMYFUNCTION("""COMPUTED_VALUE"""),"2025/3/19まで1巻無料")</f>
        <v>2025/3/19まで1巻無料</v>
      </c>
      <c r="Z2687" s="7"/>
      <c r="AA2687" s="7"/>
      <c r="AB2687" s="7"/>
    </row>
    <row r="2688" ht="15.75" customHeight="1">
      <c r="A2688" s="66">
        <f>IFERROR(__xludf.DUMMYFUNCTION("""COMPUTED_VALUE"""),4784.0)</f>
        <v>4784</v>
      </c>
      <c r="B2688" s="67" t="str">
        <f>IFERROR(__xludf.DUMMYFUNCTION("""COMPUTED_VALUE"""),"確定")</f>
        <v>確定</v>
      </c>
      <c r="C2688" s="68">
        <f>IFERROR(__xludf.DUMMYFUNCTION("""COMPUTED_VALUE"""),45667.0)</f>
        <v>45667</v>
      </c>
      <c r="D2688" s="68">
        <f>IFERROR(__xludf.DUMMYFUNCTION("""COMPUTED_VALUE"""),45671.0)</f>
        <v>45671</v>
      </c>
      <c r="E2688" s="31">
        <f>IFERROR(__xludf.DUMMYFUNCTION("""COMPUTED_VALUE"""),313503.0)</f>
        <v>313503</v>
      </c>
      <c r="F2688" s="22" t="str">
        <f>IFERROR(__xludf.DUMMYFUNCTION("""COMPUTED_VALUE"""),"落ちこぼれ魔術師ですが、呪われた騎士団長様に治療（キス）をすることになりました。")</f>
        <v>落ちこぼれ魔術師ですが、呪われた騎士団長様に治療（キス）をすることになりました。</v>
      </c>
      <c r="G2688" s="67">
        <f>IFERROR(__xludf.DUMMYFUNCTION("""COMPUTED_VALUE"""),1.0)</f>
        <v>1</v>
      </c>
      <c r="H2688" s="67" t="str">
        <f>IFERROR(__xludf.DUMMYFUNCTION("""COMPUTED_VALUE"""),"梛十澪／柴野いずみ")</f>
        <v>梛十澪／柴野いずみ</v>
      </c>
      <c r="I2688" s="67" t="str">
        <f>IFERROR(__xludf.DUMMYFUNCTION("""COMPUTED_VALUE"""),"少女")</f>
        <v>少女</v>
      </c>
      <c r="J2688" s="87"/>
      <c r="K2688" s="87"/>
      <c r="L2688" s="67" t="str">
        <f>IFERROR(__xludf.DUMMYFUNCTION("""COMPUTED_VALUE"""),"ファンギルド")</f>
        <v>ファンギルド</v>
      </c>
      <c r="M2688" s="23">
        <f>IFERROR(__xludf.DUMMYFUNCTION("""COMPUTED_VALUE"""),45722.0)</f>
        <v>45722</v>
      </c>
      <c r="N2688" s="23">
        <f>IFERROR(__xludf.DUMMYFUNCTION("""COMPUTED_VALUE"""),45749.0)</f>
        <v>45749</v>
      </c>
      <c r="O2688" s="67"/>
      <c r="P2688" s="70" t="str">
        <f>IFERROR(__xludf.DUMMYFUNCTION("""COMPUTED_VALUE"""),"可")</f>
        <v>可</v>
      </c>
      <c r="Q2688" s="72" t="str">
        <f>IFERROR(__xludf.DUMMYFUNCTION("""COMPUTED_VALUE"""),"comicスピラのアンソロジーの切り出し作品です")</f>
        <v>comicスピラのアンソロジーの切り出し作品です</v>
      </c>
      <c r="R2688" s="67"/>
      <c r="S2688" s="67" t="str">
        <f>IFERROR(__xludf.DUMMYFUNCTION("""COMPUTED_VALUE"""),"20250110_ファンギルド_落ちこぼれ魔術師ですが、呪われた騎士団長様に治療（キス）をすることになりました。")</f>
        <v>20250110_ファンギルド_落ちこぼれ魔術師ですが、呪われた騎士団長様に治療（キス）をすることになりました。</v>
      </c>
      <c r="T2688" s="67" t="str">
        <f>IFERROR(__xludf.DUMMYFUNCTION("""COMPUTED_VALUE"""),"格納済み")</f>
        <v>格納済み</v>
      </c>
      <c r="U2688" s="15" t="str">
        <f>IFERROR(__xludf.DUMMYFUNCTION("""COMPUTED_VALUE"""),"Ⓒ梛十澪/柴野いずみ/ファンギルド")</f>
        <v>Ⓒ梛十澪/柴野いずみ/ファンギルド</v>
      </c>
      <c r="V2688" s="8" t="str">
        <f>IFERROR(__xludf.DUMMYFUNCTION("""COMPUTED_VALUE"""),"”魔力欠乏症”という病にかかった騎士団長のエミリアンを救うため、魔術師団から任命されたのは落ちこぼれ魔術師と揶揄されるホリーだった。初めての任務に心を奮い立たせるホリーだが、治療にはなんと口づけによる魔力譲渡が必要で――…！？※この作品は『一途に溺愛されて、幸せを掴み取ってみせますわ！異世界アンソロジーコミック 8巻』に収録されている作品と同一の内容を単話版として再編集したものとなります。")</f>
        <v>”魔力欠乏症”という病にかかった騎士団長のエミリアンを救うため、魔術師団から任命されたのは落ちこぼれ魔術師と揶揄されるホリーだった。初めての任務に心を奮い立たせるホリーだが、治療にはなんと口づけによる魔力譲渡が必要で――…！？※この作品は『一途に溺愛されて、幸せを掴み取ってみせますわ！異世界アンソロジーコミック 8巻』に収録されている作品と同一の内容を単話版として再編集したものとなります。</v>
      </c>
      <c r="W2688" s="14"/>
      <c r="X2688" s="14" t="str">
        <f>IFERROR(__xludf.DUMMYFUNCTION("""COMPUTED_VALUE"""),"有")</f>
        <v>有</v>
      </c>
      <c r="Y2688" s="8" t="str">
        <f>IFERROR(__xludf.DUMMYFUNCTION("""COMPUTED_VALUE"""),"P7まで")</f>
        <v>P7まで</v>
      </c>
      <c r="Z2688" s="7"/>
      <c r="AA2688" s="7"/>
      <c r="AB2688" s="7"/>
    </row>
    <row r="2689" ht="15.75" customHeight="1">
      <c r="A2689" s="66">
        <f>IFERROR(__xludf.DUMMYFUNCTION("""COMPUTED_VALUE"""),4785.0)</f>
        <v>4785</v>
      </c>
      <c r="B2689" s="67" t="str">
        <f>IFERROR(__xludf.DUMMYFUNCTION("""COMPUTED_VALUE"""),"確定")</f>
        <v>確定</v>
      </c>
      <c r="C2689" s="68">
        <f>IFERROR(__xludf.DUMMYFUNCTION("""COMPUTED_VALUE"""),45667.0)</f>
        <v>45667</v>
      </c>
      <c r="D2689" s="68">
        <f>IFERROR(__xludf.DUMMYFUNCTION("""COMPUTED_VALUE"""),45671.0)</f>
        <v>45671</v>
      </c>
      <c r="E2689" s="31">
        <f>IFERROR(__xludf.DUMMYFUNCTION("""COMPUTED_VALUE"""),313504.0)</f>
        <v>313504</v>
      </c>
      <c r="F2689" s="22" t="str">
        <f>IFERROR(__xludf.DUMMYFUNCTION("""COMPUTED_VALUE"""),"「優秀すぎて鼻につく」と婚約破棄された公爵令嬢は弟殿下に執着される")</f>
        <v>「優秀すぎて鼻につく」と婚約破棄された公爵令嬢は弟殿下に執着される</v>
      </c>
      <c r="G2689" s="67">
        <f>IFERROR(__xludf.DUMMYFUNCTION("""COMPUTED_VALUE"""),1.0)</f>
        <v>1</v>
      </c>
      <c r="H2689" s="67" t="str">
        <f>IFERROR(__xludf.DUMMYFUNCTION("""COMPUTED_VALUE"""),"えすえいち／杓子ねこ")</f>
        <v>えすえいち／杓子ねこ</v>
      </c>
      <c r="I2689" s="67" t="str">
        <f>IFERROR(__xludf.DUMMYFUNCTION("""COMPUTED_VALUE"""),"少女")</f>
        <v>少女</v>
      </c>
      <c r="J2689" s="87"/>
      <c r="K2689" s="87"/>
      <c r="L2689" s="67" t="str">
        <f>IFERROR(__xludf.DUMMYFUNCTION("""COMPUTED_VALUE"""),"ファンギルド")</f>
        <v>ファンギルド</v>
      </c>
      <c r="M2689" s="23">
        <f>IFERROR(__xludf.DUMMYFUNCTION("""COMPUTED_VALUE"""),45722.0)</f>
        <v>45722</v>
      </c>
      <c r="N2689" s="23">
        <f>IFERROR(__xludf.DUMMYFUNCTION("""COMPUTED_VALUE"""),45749.0)</f>
        <v>45749</v>
      </c>
      <c r="O2689" s="67"/>
      <c r="P2689" s="70" t="str">
        <f>IFERROR(__xludf.DUMMYFUNCTION("""COMPUTED_VALUE"""),"可")</f>
        <v>可</v>
      </c>
      <c r="Q2689" s="72" t="str">
        <f>IFERROR(__xludf.DUMMYFUNCTION("""COMPUTED_VALUE"""),"comicスピラのアンソロジーの切り出し作品です")</f>
        <v>comicスピラのアンソロジーの切り出し作品です</v>
      </c>
      <c r="R2689" s="67"/>
      <c r="S2689" s="67" t="str">
        <f>IFERROR(__xludf.DUMMYFUNCTION("""COMPUTED_VALUE"""),"20250110_ファンギルド_優秀すぎて鼻につくと婚約破棄された公爵令嬢は弟殿下に執着される")</f>
        <v>20250110_ファンギルド_優秀すぎて鼻につくと婚約破棄された公爵令嬢は弟殿下に執着される</v>
      </c>
      <c r="T2689" s="67" t="str">
        <f>IFERROR(__xludf.DUMMYFUNCTION("""COMPUTED_VALUE"""),"格納済み")</f>
        <v>格納済み</v>
      </c>
      <c r="U2689" s="15" t="str">
        <f>IFERROR(__xludf.DUMMYFUNCTION("""COMPUTED_VALUE"""),"Ⓒえすえいち/杓子ねこ/ファンギルド")</f>
        <v>Ⓒえすえいち/杓子ねこ/ファンギルド</v>
      </c>
      <c r="V2689" s="8" t="str">
        <f>IFERROR(__xludf.DUMMYFUNCTION("""COMPUTED_VALUE"""),"公爵令嬢のソフィアは厳しい教育を経て誰もが認める完璧な淑女になったが、婚約者のギルバードは優秀な彼女が気に食わず冷たい態度をとる。そんな彼に悩むソフィアにギルバードの弟で第二王子のルイスがアドバイスをするのだが…。※この作品は『一途に溺愛されて、幸せを掴み取ってみせますわ！異世界アンソロジーコミック 8巻』に収録されている作品と同一の内容を単話版として再編集したものとなります。")</f>
        <v>公爵令嬢のソフィアは厳しい教育を経て誰もが認める完璧な淑女になったが、婚約者のギルバードは優秀な彼女が気に食わず冷たい態度をとる。そんな彼に悩むソフィアにギルバードの弟で第二王子のルイスがアドバイスをするのだが…。※この作品は『一途に溺愛されて、幸せを掴み取ってみせますわ！異世界アンソロジーコミック 8巻』に収録されている作品と同一の内容を単話版として再編集したものとなります。</v>
      </c>
      <c r="W2689" s="14"/>
      <c r="X2689" s="14" t="str">
        <f>IFERROR(__xludf.DUMMYFUNCTION("""COMPUTED_VALUE"""),"有")</f>
        <v>有</v>
      </c>
      <c r="Y2689" s="8" t="str">
        <f>IFERROR(__xludf.DUMMYFUNCTION("""COMPUTED_VALUE"""),"P7まで")</f>
        <v>P7まで</v>
      </c>
      <c r="Z2689" s="7"/>
      <c r="AA2689" s="7"/>
      <c r="AB2689" s="7"/>
    </row>
    <row r="2690" ht="15.75" customHeight="1">
      <c r="A2690" s="66">
        <f>IFERROR(__xludf.DUMMYFUNCTION("""COMPUTED_VALUE"""),4786.0)</f>
        <v>4786</v>
      </c>
      <c r="B2690" s="67" t="str">
        <f>IFERROR(__xludf.DUMMYFUNCTION("""COMPUTED_VALUE"""),"確定")</f>
        <v>確定</v>
      </c>
      <c r="C2690" s="68">
        <f>IFERROR(__xludf.DUMMYFUNCTION("""COMPUTED_VALUE"""),45667.0)</f>
        <v>45667</v>
      </c>
      <c r="D2690" s="68">
        <f>IFERROR(__xludf.DUMMYFUNCTION("""COMPUTED_VALUE"""),45671.0)</f>
        <v>45671</v>
      </c>
      <c r="E2690" s="31">
        <f>IFERROR(__xludf.DUMMYFUNCTION("""COMPUTED_VALUE"""),313505.0)</f>
        <v>313505</v>
      </c>
      <c r="F2690" s="22" t="str">
        <f>IFERROR(__xludf.DUMMYFUNCTION("""COMPUTED_VALUE"""),"おしゃべり令嬢と心が読める王子様")</f>
        <v>おしゃべり令嬢と心が読める王子様</v>
      </c>
      <c r="G2690" s="67">
        <f>IFERROR(__xludf.DUMMYFUNCTION("""COMPUTED_VALUE"""),1.0)</f>
        <v>1</v>
      </c>
      <c r="H2690" s="67" t="str">
        <f>IFERROR(__xludf.DUMMYFUNCTION("""COMPUTED_VALUE"""),"ひのすばる/夕立悠理")</f>
        <v>ひのすばる/夕立悠理</v>
      </c>
      <c r="I2690" s="67" t="str">
        <f>IFERROR(__xludf.DUMMYFUNCTION("""COMPUTED_VALUE"""),"少女")</f>
        <v>少女</v>
      </c>
      <c r="J2690" s="87"/>
      <c r="K2690" s="87"/>
      <c r="L2690" s="67" t="str">
        <f>IFERROR(__xludf.DUMMYFUNCTION("""COMPUTED_VALUE"""),"ファンギルド")</f>
        <v>ファンギルド</v>
      </c>
      <c r="M2690" s="23">
        <f>IFERROR(__xludf.DUMMYFUNCTION("""COMPUTED_VALUE"""),45736.0)</f>
        <v>45736</v>
      </c>
      <c r="N2690" s="59">
        <f>IFERROR(__xludf.DUMMYFUNCTION("""COMPUTED_VALUE"""),45763.0)</f>
        <v>45763</v>
      </c>
      <c r="O2690" s="67"/>
      <c r="P2690" s="70" t="str">
        <f>IFERROR(__xludf.DUMMYFUNCTION("""COMPUTED_VALUE"""),"可")</f>
        <v>可</v>
      </c>
      <c r="Q2690" s="72" t="str">
        <f>IFERROR(__xludf.DUMMYFUNCTION("""COMPUTED_VALUE"""),"comicスピラのアンソロジーの切り出し作品です")</f>
        <v>comicスピラのアンソロジーの切り出し作品です</v>
      </c>
      <c r="R2690" s="67"/>
      <c r="S2690" s="67" t="str">
        <f>IFERROR(__xludf.DUMMYFUNCTION("""COMPUTED_VALUE"""),"20250110_ファンギルド_おしゃべり令嬢と心が読める王子様")</f>
        <v>20250110_ファンギルド_おしゃべり令嬢と心が読める王子様</v>
      </c>
      <c r="T2690" s="67" t="str">
        <f>IFERROR(__xludf.DUMMYFUNCTION("""COMPUTED_VALUE"""),"格納済み")</f>
        <v>格納済み</v>
      </c>
      <c r="U2690" s="15" t="str">
        <f>IFERROR(__xludf.DUMMYFUNCTION("""COMPUTED_VALUE"""),"Ⓒひのすばる/夕立悠理/ファンギルド")</f>
        <v>Ⓒひのすばる/夕立悠理/ファンギルド</v>
      </c>
      <c r="V2690" s="8" t="str">
        <f>IFERROR(__xludf.DUMMYFUNCTION("""COMPUTED_VALUE"""),"心が読むことが出来る青い瞳は凶兆の印ー。そんな青い瞳を持つ第四王子・セオドアの婚約者になった侯爵令嬢・キャロル。青い瞳のせいで虐げられているセオドアの理解者になろうと努力をするキャロルだったが、ある日セオドアが他の女性と寄り添っているところを目撃してしまう。さらにその女性も青い瞳の持ち主で、「自分だけがセオドアの唯一の理解者になれる」と話してきて…。※本作は『一途に溺愛されて、幸せを掴み取ってみせますわ！異世界アンソロジーコミック 8巻』収録作品を再編集したものです。")</f>
        <v>心が読むことが出来る青い瞳は凶兆の印ー。そんな青い瞳を持つ第四王子・セオドアの婚約者になった侯爵令嬢・キャロル。青い瞳のせいで虐げられているセオドアの理解者になろうと努力をするキャロルだったが、ある日セオドアが他の女性と寄り添っているところを目撃してしまう。さらにその女性も青い瞳の持ち主で、「自分だけがセオドアの唯一の理解者になれる」と話してきて…。※本作は『一途に溺愛されて、幸せを掴み取ってみせますわ！異世界アンソロジーコミック 8巻』収録作品を再編集したものです。</v>
      </c>
      <c r="W2690" s="14"/>
      <c r="X2690" s="14" t="str">
        <f>IFERROR(__xludf.DUMMYFUNCTION("""COMPUTED_VALUE"""),"有")</f>
        <v>有</v>
      </c>
      <c r="Y2690" s="8" t="str">
        <f>IFERROR(__xludf.DUMMYFUNCTION("""COMPUTED_VALUE"""),"P7まで")</f>
        <v>P7まで</v>
      </c>
      <c r="Z2690" s="7"/>
      <c r="AA2690" s="7"/>
      <c r="AB2690" s="7"/>
    </row>
    <row r="2691" ht="15.75" customHeight="1">
      <c r="A2691" s="66">
        <f>IFERROR(__xludf.DUMMYFUNCTION("""COMPUTED_VALUE"""),4787.0)</f>
        <v>4787</v>
      </c>
      <c r="B2691" s="67" t="str">
        <f>IFERROR(__xludf.DUMMYFUNCTION("""COMPUTED_VALUE"""),"確定")</f>
        <v>確定</v>
      </c>
      <c r="C2691" s="68">
        <f>IFERROR(__xludf.DUMMYFUNCTION("""COMPUTED_VALUE"""),45667.0)</f>
        <v>45667</v>
      </c>
      <c r="D2691" s="68">
        <f>IFERROR(__xludf.DUMMYFUNCTION("""COMPUTED_VALUE"""),45671.0)</f>
        <v>45671</v>
      </c>
      <c r="E2691" s="31">
        <f>IFERROR(__xludf.DUMMYFUNCTION("""COMPUTED_VALUE"""),313506.0)</f>
        <v>313506</v>
      </c>
      <c r="F2691" s="22" t="str">
        <f>IFERROR(__xludf.DUMMYFUNCTION("""COMPUTED_VALUE"""),"失礼ながら婚約者様、貴方の目は節穴ですか？")</f>
        <v>失礼ながら婚約者様、貴方の目は節穴ですか？</v>
      </c>
      <c r="G2691" s="67">
        <f>IFERROR(__xludf.DUMMYFUNCTION("""COMPUTED_VALUE"""),1.0)</f>
        <v>1</v>
      </c>
      <c r="H2691" s="67" t="str">
        <f>IFERROR(__xludf.DUMMYFUNCTION("""COMPUTED_VALUE"""),"ましろ/瑪々子")</f>
        <v>ましろ/瑪々子</v>
      </c>
      <c r="I2691" s="67" t="str">
        <f>IFERROR(__xludf.DUMMYFUNCTION("""COMPUTED_VALUE"""),"少女")</f>
        <v>少女</v>
      </c>
      <c r="J2691" s="87"/>
      <c r="K2691" s="87"/>
      <c r="L2691" s="67" t="str">
        <f>IFERROR(__xludf.DUMMYFUNCTION("""COMPUTED_VALUE"""),"ファンギルド")</f>
        <v>ファンギルド</v>
      </c>
      <c r="M2691" s="23">
        <f>IFERROR(__xludf.DUMMYFUNCTION("""COMPUTED_VALUE"""),45736.0)</f>
        <v>45736</v>
      </c>
      <c r="N2691" s="59">
        <f>IFERROR(__xludf.DUMMYFUNCTION("""COMPUTED_VALUE"""),45763.0)</f>
        <v>45763</v>
      </c>
      <c r="O2691" s="67"/>
      <c r="P2691" s="70" t="str">
        <f>IFERROR(__xludf.DUMMYFUNCTION("""COMPUTED_VALUE"""),"可")</f>
        <v>可</v>
      </c>
      <c r="Q2691" s="72" t="str">
        <f>IFERROR(__xludf.DUMMYFUNCTION("""COMPUTED_VALUE"""),"comicスピラのアンソロジーの切り出し作品です")</f>
        <v>comicスピラのアンソロジーの切り出し作品です</v>
      </c>
      <c r="R2691" s="67"/>
      <c r="S2691" s="67" t="str">
        <f>IFERROR(__xludf.DUMMYFUNCTION("""COMPUTED_VALUE"""),"20250110_ファンギルド_失礼ながら婚約者様、貴方の目は節穴ですか？")</f>
        <v>20250110_ファンギルド_失礼ながら婚約者様、貴方の目は節穴ですか？</v>
      </c>
      <c r="T2691" s="67" t="str">
        <f>IFERROR(__xludf.DUMMYFUNCTION("""COMPUTED_VALUE"""),"格納済み")</f>
        <v>格納済み</v>
      </c>
      <c r="U2691" s="15" t="str">
        <f>IFERROR(__xludf.DUMMYFUNCTION("""COMPUTED_VALUE"""),"Ⓒましろ/瑪々子/ファンギルド")</f>
        <v>Ⓒましろ/瑪々子/ファンギルド</v>
      </c>
      <c r="V2691" s="8" t="str">
        <f>IFERROR(__xludf.DUMMYFUNCTION("""COMPUTED_VALUE"""),"「君との婚約は破棄させてほしい」婚約者である伯爵令息・ウェズリーから婚約破棄を宣言された子爵令嬢・スカーレット。理由を尋ねるとウェズリーは【レティ】という女性に夢中だという。しかし、【レティ】の正体は想像もしない人物でー…！？※本作は『華麗にざまぁして、幸せを掴み取ってみせますわ！異世界アンソロジーコミック 2巻』収録作品を再編集したものです。")</f>
        <v>「君との婚約は破棄させてほしい」婚約者である伯爵令息・ウェズリーから婚約破棄を宣言された子爵令嬢・スカーレット。理由を尋ねるとウェズリーは【レティ】という女性に夢中だという。しかし、【レティ】の正体は想像もしない人物でー…！？※本作は『華麗にざまぁして、幸せを掴み取ってみせますわ！異世界アンソロジーコミック 2巻』収録作品を再編集したものです。</v>
      </c>
      <c r="W2691" s="14"/>
      <c r="X2691" s="14" t="str">
        <f>IFERROR(__xludf.DUMMYFUNCTION("""COMPUTED_VALUE"""),"有")</f>
        <v>有</v>
      </c>
      <c r="Y2691" s="8" t="str">
        <f>IFERROR(__xludf.DUMMYFUNCTION("""COMPUTED_VALUE"""),"P7まで")</f>
        <v>P7まで</v>
      </c>
      <c r="Z2691" s="7"/>
      <c r="AA2691" s="7"/>
      <c r="AB2691" s="7"/>
    </row>
    <row r="2692" ht="15.75" customHeight="1">
      <c r="A2692" s="66">
        <f>IFERROR(__xludf.DUMMYFUNCTION("""COMPUTED_VALUE"""),4788.0)</f>
        <v>4788</v>
      </c>
      <c r="B2692" s="67" t="str">
        <f>IFERROR(__xludf.DUMMYFUNCTION("""COMPUTED_VALUE"""),"確定")</f>
        <v>確定</v>
      </c>
      <c r="C2692" s="68">
        <f>IFERROR(__xludf.DUMMYFUNCTION("""COMPUTED_VALUE"""),45667.0)</f>
        <v>45667</v>
      </c>
      <c r="D2692" s="68">
        <f>IFERROR(__xludf.DUMMYFUNCTION("""COMPUTED_VALUE"""),45671.0)</f>
        <v>45671</v>
      </c>
      <c r="E2692" s="31">
        <f>IFERROR(__xludf.DUMMYFUNCTION("""COMPUTED_VALUE"""),313507.0)</f>
        <v>313507</v>
      </c>
      <c r="F2692" s="22" t="str">
        <f>IFERROR(__xludf.DUMMYFUNCTION("""COMPUTED_VALUE"""),"ラジオストーム")</f>
        <v>ラジオストーム</v>
      </c>
      <c r="G2692" s="67" t="str">
        <f>IFERROR(__xludf.DUMMYFUNCTION("""COMPUTED_VALUE"""),"1～4")</f>
        <v>1～4</v>
      </c>
      <c r="H2692" s="67" t="str">
        <f>IFERROR(__xludf.DUMMYFUNCTION("""COMPUTED_VALUE"""),"Team S&amp;S")</f>
        <v>Team S&amp;S</v>
      </c>
      <c r="I2692" s="67" t="str">
        <f>IFERROR(__xludf.DUMMYFUNCTION("""COMPUTED_VALUE"""),"BL")</f>
        <v>BL</v>
      </c>
      <c r="J2692" s="87"/>
      <c r="K2692" s="87"/>
      <c r="L2692" s="67" t="str">
        <f>IFERROR(__xludf.DUMMYFUNCTION("""COMPUTED_VALUE"""),"Rush!")</f>
        <v>Rush!</v>
      </c>
      <c r="M2692" s="59">
        <f>IFERROR(__xludf.DUMMYFUNCTION("""COMPUTED_VALUE"""),45709.0)</f>
        <v>45709</v>
      </c>
      <c r="N2692" s="23">
        <f>IFERROR(__xludf.DUMMYFUNCTION("""COMPUTED_VALUE"""),45736.0)</f>
        <v>45736</v>
      </c>
      <c r="O2692" s="67"/>
      <c r="P2692" s="71" t="str">
        <f>IFERROR(__xludf.DUMMYFUNCTION("""COMPUTED_VALUE"""),"可")</f>
        <v>可</v>
      </c>
      <c r="Q2692" s="72"/>
      <c r="R2692" s="67"/>
      <c r="S2692" s="67" t="str">
        <f>IFERROR(__xludf.DUMMYFUNCTION("""COMPUTED_VALUE"""),"20250110_ファンギルド_ラジオストーム")</f>
        <v>20250110_ファンギルド_ラジオストーム</v>
      </c>
      <c r="T2692" s="67" t="str">
        <f>IFERROR(__xludf.DUMMYFUNCTION("""COMPUTED_VALUE"""),"格納済み")</f>
        <v>格納済み</v>
      </c>
      <c r="U2692" s="15" t="str">
        <f>IFERROR(__xludf.DUMMYFUNCTION("""COMPUTED_VALUE"""),"ⒸTeam S&amp;S/Polarfox")</f>
        <v>ⒸTeam S&amp;S/Polarfox</v>
      </c>
      <c r="V2692" s="8" t="str">
        <f>IFERROR(__xludf.DUMMYFUNCTION("""COMPUTED_VALUE"""),"一部の若者が〈コア〉と呼ばれる特殊能力を保有し、戦争が日常にある世界。この世界で彼らは兵器としての利用価値を見出され、政府管轄の学校に集められ優遇された生活を保障される。しかし、大した特徴のない〈コア〉を持つサクは同級生たちに馬鹿にされ息苦しい日々を送っていた。そんなある日、サクは学校外で前代未聞の疫病が蔓延しているという噂を耳にする。〈コア〉の対となる存在〈発信者〉を探し出さなければサク自身の命も危ない…そう告げられたサクは旅に出ることに。そうしてサクは、冷徹で不愛想な青年リマと出会い…。――これは戦火"&amp;"と病が暗い影を落とす世界で、運命で結ばれた二人が紡ぐ救済の物語。")</f>
        <v>一部の若者が〈コア〉と呼ばれる特殊能力を保有し、戦争が日常にある世界。この世界で彼らは兵器としての利用価値を見出され、政府管轄の学校に集められ優遇された生活を保障される。しかし、大した特徴のない〈コア〉を持つサクは同級生たちに馬鹿にされ息苦しい日々を送っていた。そんなある日、サクは学校外で前代未聞の疫病が蔓延しているという噂を耳にする。〈コア〉の対となる存在〈発信者〉を探し出さなければサク自身の命も危ない…そう告げられたサクは旅に出ることに。そうしてサクは、冷徹で不愛想な青年リマと出会い…。――これは戦火と病が暗い影を落とす世界で、運命で結ばれた二人が紡ぐ救済の物語。</v>
      </c>
      <c r="W2692" s="14"/>
      <c r="X2692" s="14" t="str">
        <f>IFERROR(__xludf.DUMMYFUNCTION("""COMPUTED_VALUE"""),"有")</f>
        <v>有</v>
      </c>
      <c r="Y2692" s="8" t="str">
        <f>IFERROR(__xludf.DUMMYFUNCTION("""COMPUTED_VALUE"""),"2025/3/20まで1巻無料")</f>
        <v>2025/3/20まで1巻無料</v>
      </c>
      <c r="Z2692" s="7"/>
      <c r="AA2692" s="7"/>
      <c r="AB2692" s="7"/>
    </row>
    <row r="2693" ht="15.75" customHeight="1">
      <c r="A2693" s="66">
        <f>IFERROR(__xludf.DUMMYFUNCTION("""COMPUTED_VALUE"""),4789.0)</f>
        <v>4789</v>
      </c>
      <c r="B2693" s="67" t="str">
        <f>IFERROR(__xludf.DUMMYFUNCTION("""COMPUTED_VALUE"""),"確定")</f>
        <v>確定</v>
      </c>
      <c r="C2693" s="68">
        <f>IFERROR(__xludf.DUMMYFUNCTION("""COMPUTED_VALUE"""),45667.0)</f>
        <v>45667</v>
      </c>
      <c r="D2693" s="68">
        <f>IFERROR(__xludf.DUMMYFUNCTION("""COMPUTED_VALUE"""),45671.0)</f>
        <v>45671</v>
      </c>
      <c r="E2693" s="75">
        <f>IFERROR(__xludf.DUMMYFUNCTION("""COMPUTED_VALUE"""),310133.0)</f>
        <v>310133</v>
      </c>
      <c r="F2693" s="67" t="str">
        <f>IFERROR(__xludf.DUMMYFUNCTION("""COMPUTED_VALUE"""),"地上げ屋に復讐を ～愛する妻を亡くした男～")</f>
        <v>地上げ屋に復讐を ～愛する妻を亡くした男～</v>
      </c>
      <c r="G2693" s="67">
        <f>IFERROR(__xludf.DUMMYFUNCTION("""COMPUTED_VALUE"""),1.0)</f>
        <v>1</v>
      </c>
      <c r="H2693" s="67" t="str">
        <f>IFERROR(__xludf.DUMMYFUNCTION("""COMPUTED_VALUE"""),"北岡朋")</f>
        <v>北岡朋</v>
      </c>
      <c r="I2693" s="67" t="str">
        <f>IFERROR(__xludf.DUMMYFUNCTION("""COMPUTED_VALUE"""),"青年")</f>
        <v>青年</v>
      </c>
      <c r="J2693" s="87"/>
      <c r="K2693" s="87"/>
      <c r="L2693" s="67" t="str">
        <f>IFERROR(__xludf.DUMMYFUNCTION("""COMPUTED_VALUE"""),"ファンギルド")</f>
        <v>ファンギルド</v>
      </c>
      <c r="M2693" s="23">
        <f>IFERROR(__xludf.DUMMYFUNCTION("""COMPUTED_VALUE"""),45682.0)</f>
        <v>45682</v>
      </c>
      <c r="N2693" s="23">
        <f>IFERROR(__xludf.DUMMYFUNCTION("""COMPUTED_VALUE"""),45709.0)</f>
        <v>45709</v>
      </c>
      <c r="O2693" s="67"/>
      <c r="P2693" s="70" t="str">
        <f>IFERROR(__xludf.DUMMYFUNCTION("""COMPUTED_VALUE"""),"可")</f>
        <v>可</v>
      </c>
      <c r="Q2693" s="72" t="str">
        <f>IFERROR(__xludf.DUMMYFUNCTION("""COMPUTED_VALUE"""),"「復讐宣言～やられた恨みは100倍返し～」(https://www.cmoa.jp/title/301492/)のアンソロジーの切り出し作品です。")</f>
        <v>「復讐宣言～やられた恨みは100倍返し～」(https://www.cmoa.jp/title/301492/)のアンソロジーの切り出し作品です。</v>
      </c>
      <c r="R2693" s="67"/>
      <c r="S2693" s="67" t="str">
        <f>IFERROR(__xludf.DUMMYFUNCTION("""COMPUTED_VALUE"""),"20250110_ファンギルド_地上げ屋に復讐を ～愛する妻を亡くした男～")</f>
        <v>20250110_ファンギルド_地上げ屋に復讐を ～愛する妻を亡くした男～</v>
      </c>
      <c r="T2693" s="67" t="str">
        <f>IFERROR(__xludf.DUMMYFUNCTION("""COMPUTED_VALUE"""),"格納済み")</f>
        <v>格納済み</v>
      </c>
      <c r="U2693" s="15" t="str">
        <f>IFERROR(__xludf.DUMMYFUNCTION("""COMPUTED_VALUE"""),"Ⓒ北岡朋/ファンギルド")</f>
        <v>Ⓒ北岡朋/ファンギルド</v>
      </c>
      <c r="V2693" s="8" t="str">
        <f>IFERROR(__xludf.DUMMYFUNCTION("""COMPUTED_VALUE"""),"花田将吾（67）は、認知症の妻・良枝と平穏な日常を過ごしていた。ある日、突然現れた悪徳不動産屋によって、40年住んだ自宅を『地上げ』に遭ってしまう。花田夫妻は半グレの嫌がらせに耐え続け、心身ともに疲弊していった。しかし、自宅を奪われると「妻の認知症が進み、取り返しのつかないことになってしまう」と、将吾は一人で必死に戦っていたが、良枝を襲ったとある事件をきっかけに、将吾は絶望し、命を賭けた復讐を決行する。※本作は「復讐宣言～やられた恨みは100倍返し～2巻」に収録されています。重複購入にお気を付けください。")</f>
        <v>花田将吾（67）は、認知症の妻・良枝と平穏な日常を過ごしていた。ある日、突然現れた悪徳不動産屋によって、40年住んだ自宅を『地上げ』に遭ってしまう。花田夫妻は半グレの嫌がらせに耐え続け、心身ともに疲弊していった。しかし、自宅を奪われると「妻の認知症が進み、取り返しのつかないことになってしまう」と、将吾は一人で必死に戦っていたが、良枝を襲ったとある事件をきっかけに、将吾は絶望し、命を賭けた復讐を決行する。※本作は「復讐宣言～やられた恨みは100倍返し～2巻」に収録されています。重複購入にお気を付けください。</v>
      </c>
      <c r="W2693" s="14"/>
      <c r="X2693" s="14" t="str">
        <f>IFERROR(__xludf.DUMMYFUNCTION("""COMPUTED_VALUE"""),"有")</f>
        <v>有</v>
      </c>
      <c r="Y2693" s="8" t="str">
        <f>IFERROR(__xludf.DUMMYFUNCTION("""COMPUTED_VALUE"""),"1～20P")</f>
        <v>1～20P</v>
      </c>
      <c r="Z2693" s="7"/>
      <c r="AA2693" s="7"/>
      <c r="AB2693" s="7"/>
    </row>
    <row r="2694" ht="15.75" customHeight="1">
      <c r="A2694" s="66">
        <f>IFERROR(__xludf.DUMMYFUNCTION("""COMPUTED_VALUE"""),4790.0)</f>
        <v>4790</v>
      </c>
      <c r="B2694" s="67" t="str">
        <f>IFERROR(__xludf.DUMMYFUNCTION("""COMPUTED_VALUE"""),"確定")</f>
        <v>確定</v>
      </c>
      <c r="C2694" s="68">
        <f>IFERROR(__xludf.DUMMYFUNCTION("""COMPUTED_VALUE"""),45667.0)</f>
        <v>45667</v>
      </c>
      <c r="D2694" s="68">
        <f>IFERROR(__xludf.DUMMYFUNCTION("""COMPUTED_VALUE"""),45671.0)</f>
        <v>45671</v>
      </c>
      <c r="E2694" s="75">
        <f>IFERROR(__xludf.DUMMYFUNCTION("""COMPUTED_VALUE"""),310135.0)</f>
        <v>310135</v>
      </c>
      <c r="F2694" s="67" t="str">
        <f>IFERROR(__xludf.DUMMYFUNCTION("""COMPUTED_VALUE"""),"復讐ナマ配信～いじめ動画、暴露します～")</f>
        <v>復讐ナマ配信～いじめ動画、暴露します～</v>
      </c>
      <c r="G2694" s="67">
        <f>IFERROR(__xludf.DUMMYFUNCTION("""COMPUTED_VALUE"""),1.0)</f>
        <v>1</v>
      </c>
      <c r="H2694" s="67" t="str">
        <f>IFERROR(__xludf.DUMMYFUNCTION("""COMPUTED_VALUE"""),"青山六郎")</f>
        <v>青山六郎</v>
      </c>
      <c r="I2694" s="67" t="str">
        <f>IFERROR(__xludf.DUMMYFUNCTION("""COMPUTED_VALUE"""),"青年")</f>
        <v>青年</v>
      </c>
      <c r="J2694" s="87"/>
      <c r="K2694" s="87"/>
      <c r="L2694" s="67" t="str">
        <f>IFERROR(__xludf.DUMMYFUNCTION("""COMPUTED_VALUE"""),"ファンギルド")</f>
        <v>ファンギルド</v>
      </c>
      <c r="M2694" s="23">
        <f>IFERROR(__xludf.DUMMYFUNCTION("""COMPUTED_VALUE"""),45682.0)</f>
        <v>45682</v>
      </c>
      <c r="N2694" s="23">
        <f>IFERROR(__xludf.DUMMYFUNCTION("""COMPUTED_VALUE"""),45709.0)</f>
        <v>45709</v>
      </c>
      <c r="O2694" s="67"/>
      <c r="P2694" s="70" t="str">
        <f>IFERROR(__xludf.DUMMYFUNCTION("""COMPUTED_VALUE"""),"可")</f>
        <v>可</v>
      </c>
      <c r="Q2694" s="72" t="str">
        <f>IFERROR(__xludf.DUMMYFUNCTION("""COMPUTED_VALUE"""),"「復讐宣言～やられた恨みは100倍返し～」(https://www.cmoa.jp/title/301492/)のアンソロジーの切り出し作品です")</f>
        <v>「復讐宣言～やられた恨みは100倍返し～」(https://www.cmoa.jp/title/301492/)のアンソロジーの切り出し作品です</v>
      </c>
      <c r="R2694" s="67"/>
      <c r="S2694" s="67" t="str">
        <f>IFERROR(__xludf.DUMMYFUNCTION("""COMPUTED_VALUE"""),"20250110_ファンギルド_復讐ナマ配信～いじめ動画、暴露します～")</f>
        <v>20250110_ファンギルド_復讐ナマ配信～いじめ動画、暴露します～</v>
      </c>
      <c r="T2694" s="67" t="str">
        <f>IFERROR(__xludf.DUMMYFUNCTION("""COMPUTED_VALUE"""),"格納済み")</f>
        <v>格納済み</v>
      </c>
      <c r="U2694" s="15" t="str">
        <f>IFERROR(__xludf.DUMMYFUNCTION("""COMPUTED_VALUE"""),"Ⓒ青山六郎/ファンギルド")</f>
        <v>Ⓒ青山六郎/ファンギルド</v>
      </c>
      <c r="V2694" s="8" t="str">
        <f>IFERROR(__xludf.DUMMYFUNCTION("""COMPUTED_VALUE"""),"女子高生の陽菜（ひな）は、動画撮影と称して同級生の人気インフルエンサー美堂伶（びどうれい）に凄惨ないじめを受けていた。限界を迎えた陽菜は、学校の屋上から飛び降り自殺を図るが……。寸でのところで、親友の直（すなお）に助けられる。親友を追い詰めた美堂伶に、SNSを使って華麗に復讐してやる!!※本作は「復讐宣言～やられた恨みは100倍返し～2巻」に収録されています。重複購入にお気を付けください。")</f>
        <v>女子高生の陽菜（ひな）は、動画撮影と称して同級生の人気インフルエンサー美堂伶（びどうれい）に凄惨ないじめを受けていた。限界を迎えた陽菜は、学校の屋上から飛び降り自殺を図るが……。寸でのところで、親友の直（すなお）に助けられる。親友を追い詰めた美堂伶に、SNSを使って華麗に復讐してやる!!※本作は「復讐宣言～やられた恨みは100倍返し～2巻」に収録されています。重複購入にお気を付けください。</v>
      </c>
      <c r="W2694" s="14"/>
      <c r="X2694" s="14" t="str">
        <f>IFERROR(__xludf.DUMMYFUNCTION("""COMPUTED_VALUE"""),"有")</f>
        <v>有</v>
      </c>
      <c r="Y2694" s="8" t="str">
        <f>IFERROR(__xludf.DUMMYFUNCTION("""COMPUTED_VALUE"""),"1～7P")</f>
        <v>1～7P</v>
      </c>
      <c r="Z2694" s="7"/>
      <c r="AA2694" s="7"/>
      <c r="AB2694" s="7"/>
    </row>
    <row r="2695" ht="15.75" customHeight="1">
      <c r="A2695" s="66">
        <f>IFERROR(__xludf.DUMMYFUNCTION("""COMPUTED_VALUE"""),4791.0)</f>
        <v>4791</v>
      </c>
      <c r="B2695" s="67" t="str">
        <f>IFERROR(__xludf.DUMMYFUNCTION("""COMPUTED_VALUE"""),"確定")</f>
        <v>確定</v>
      </c>
      <c r="C2695" s="68">
        <f>IFERROR(__xludf.DUMMYFUNCTION("""COMPUTED_VALUE"""),45667.0)</f>
        <v>45667</v>
      </c>
      <c r="D2695" s="68">
        <f>IFERROR(__xludf.DUMMYFUNCTION("""COMPUTED_VALUE"""),45671.0)</f>
        <v>45671</v>
      </c>
      <c r="E2695" s="75">
        <f>IFERROR(__xludf.DUMMYFUNCTION("""COMPUTED_VALUE"""),310134.0)</f>
        <v>310134</v>
      </c>
      <c r="F2695" s="67" t="str">
        <f>IFERROR(__xludf.DUMMYFUNCTION("""COMPUTED_VALUE"""),"マネーの屑 父の無念を晴らしてやる")</f>
        <v>マネーの屑 父の無念を晴らしてやる</v>
      </c>
      <c r="G2695" s="67">
        <f>IFERROR(__xludf.DUMMYFUNCTION("""COMPUTED_VALUE"""),1.0)</f>
        <v>1</v>
      </c>
      <c r="H2695" s="67" t="str">
        <f>IFERROR(__xludf.DUMMYFUNCTION("""COMPUTED_VALUE"""),"滝沢いづみ")</f>
        <v>滝沢いづみ</v>
      </c>
      <c r="I2695" s="67" t="str">
        <f>IFERROR(__xludf.DUMMYFUNCTION("""COMPUTED_VALUE"""),"青年")</f>
        <v>青年</v>
      </c>
      <c r="J2695" s="87"/>
      <c r="K2695" s="87"/>
      <c r="L2695" s="67" t="str">
        <f>IFERROR(__xludf.DUMMYFUNCTION("""COMPUTED_VALUE"""),"ファンギルド")</f>
        <v>ファンギルド</v>
      </c>
      <c r="M2695" s="23">
        <f>IFERROR(__xludf.DUMMYFUNCTION("""COMPUTED_VALUE"""),45682.0)</f>
        <v>45682</v>
      </c>
      <c r="N2695" s="23">
        <f>IFERROR(__xludf.DUMMYFUNCTION("""COMPUTED_VALUE"""),45709.0)</f>
        <v>45709</v>
      </c>
      <c r="O2695" s="67"/>
      <c r="P2695" s="70" t="str">
        <f>IFERROR(__xludf.DUMMYFUNCTION("""COMPUTED_VALUE"""),"可")</f>
        <v>可</v>
      </c>
      <c r="Q2695" s="72" t="str">
        <f>IFERROR(__xludf.DUMMYFUNCTION("""COMPUTED_VALUE"""),"「復讐宣言～やられた恨みは100倍返し～」(https://www.cmoa.jp/title/301492/)のアンソロジーの切り出し作品です")</f>
        <v>「復讐宣言～やられた恨みは100倍返し～」(https://www.cmoa.jp/title/301492/)のアンソロジーの切り出し作品です</v>
      </c>
      <c r="R2695" s="67"/>
      <c r="S2695" s="67" t="str">
        <f>IFERROR(__xludf.DUMMYFUNCTION("""COMPUTED_VALUE"""),"20250110_ファンギルド_マネーの屑 父の無念を晴らしてやる")</f>
        <v>20250110_ファンギルド_マネーの屑 父の無念を晴らしてやる</v>
      </c>
      <c r="T2695" s="67" t="str">
        <f>IFERROR(__xludf.DUMMYFUNCTION("""COMPUTED_VALUE"""),"格納済み")</f>
        <v>格納済み</v>
      </c>
      <c r="U2695" s="15" t="str">
        <f>IFERROR(__xludf.DUMMYFUNCTION("""COMPUTED_VALUE"""),"Ⓒ滝沢いづみ/ファンギルド")</f>
        <v>Ⓒ滝沢いづみ/ファンギルド</v>
      </c>
      <c r="V2695" s="8" t="str">
        <f>IFERROR(__xludf.DUMMYFUNCTION("""COMPUTED_VALUE"""),"「絶対に許さないからな―――！！」高校生の戸川ナオトは、病気の父に負担を掛けられないと大学進学を諦めた。息子の気持ちを知っている父は、進学を諦めさせたくないと無理をして働いていた。そんなある日、父の前に現れた昔の同僚・小田巻充。東京で事業が成功したという小田巻の投資話に乗せられて、父は全財産を失ってしまい、さらに大事なお金を失ったショックで心臓病が悪化して亡くなってしまう。「騙されるほうが悪いんだよ」善人を騙して嘲笑う小田巻を地獄に落とすため、ナオトは復讐を決意する。※本作は「復讐宣言～やられた恨みは10"&amp;"0倍返し～2巻」に収録されています。重複購入にお気を付けください。")</f>
        <v>「絶対に許さないからな―――！！」高校生の戸川ナオトは、病気の父に負担を掛けられないと大学進学を諦めた。息子の気持ちを知っている父は、進学を諦めさせたくないと無理をして働いていた。そんなある日、父の前に現れた昔の同僚・小田巻充。東京で事業が成功したという小田巻の投資話に乗せられて、父は全財産を失ってしまい、さらに大事なお金を失ったショックで心臓病が悪化して亡くなってしまう。「騙されるほうが悪いんだよ」善人を騙して嘲笑う小田巻を地獄に落とすため、ナオトは復讐を決意する。※本作は「復讐宣言～やられた恨みは100倍返し～2巻」に収録されています。重複購入にお気を付けください。</v>
      </c>
      <c r="W2695" s="14"/>
      <c r="X2695" s="14" t="str">
        <f>IFERROR(__xludf.DUMMYFUNCTION("""COMPUTED_VALUE"""),"有")</f>
        <v>有</v>
      </c>
      <c r="Y2695" s="8" t="str">
        <f>IFERROR(__xludf.DUMMYFUNCTION("""COMPUTED_VALUE"""),"1～17P")</f>
        <v>1～17P</v>
      </c>
      <c r="Z2695" s="7"/>
      <c r="AA2695" s="7"/>
      <c r="AB2695" s="7"/>
    </row>
    <row r="2696" ht="15.75" customHeight="1">
      <c r="A2696" s="66">
        <f>IFERROR(__xludf.DUMMYFUNCTION("""COMPUTED_VALUE"""),4793.0)</f>
        <v>4793</v>
      </c>
      <c r="B2696" s="67" t="str">
        <f>IFERROR(__xludf.DUMMYFUNCTION("""COMPUTED_VALUE"""),"確定")</f>
        <v>確定</v>
      </c>
      <c r="C2696" s="68">
        <f>IFERROR(__xludf.DUMMYFUNCTION("""COMPUTED_VALUE"""),45671.0)</f>
        <v>45671</v>
      </c>
      <c r="D2696" s="68">
        <f>IFERROR(__xludf.DUMMYFUNCTION("""COMPUTED_VALUE"""),45671.0)</f>
        <v>45671</v>
      </c>
      <c r="E2696" s="60">
        <f>IFERROR(__xludf.DUMMYFUNCTION("""COMPUTED_VALUE"""),314321.0)</f>
        <v>314321</v>
      </c>
      <c r="F2696" s="61" t="str">
        <f>IFERROR(__xludf.DUMMYFUNCTION("""COMPUTED_VALUE"""),"断罪＝エロトラップダンジョン!? ～悪役令嬢に転生したら冤罪で追放されたので攻略対象のアサシンと踏破します～")</f>
        <v>断罪＝エロトラップダンジョン!? ～悪役令嬢に転生したら冤罪で追放されたので攻略対象のアサシンと踏破します～</v>
      </c>
      <c r="G2696" s="67" t="str">
        <f>IFERROR(__xludf.DUMMYFUNCTION("""COMPUTED_VALUE"""),"1～3")</f>
        <v>1～3</v>
      </c>
      <c r="H2696" s="67" t="str">
        <f>IFERROR(__xludf.DUMMYFUNCTION("""COMPUTED_VALUE"""),"桃宮ちょこ")</f>
        <v>桃宮ちょこ</v>
      </c>
      <c r="I2696" s="67" t="str">
        <f>IFERROR(__xludf.DUMMYFUNCTION("""COMPUTED_VALUE"""),"TL")</f>
        <v>TL</v>
      </c>
      <c r="J2696" s="67"/>
      <c r="K2696" s="67" t="str">
        <f>IFERROR(__xludf.DUMMYFUNCTION("""COMPUTED_VALUE"""),"BABY G-Side")</f>
        <v>BABY G-Side</v>
      </c>
      <c r="L2696" s="67" t="str">
        <f>IFERROR(__xludf.DUMMYFUNCTION("""COMPUTED_VALUE"""),"ふゅーじょんぷろだくと")</f>
        <v>ふゅーじょんぷろだくと</v>
      </c>
      <c r="M2696" s="59">
        <f>IFERROR(__xludf.DUMMYFUNCTION("""COMPUTED_VALUE"""),45708.0)</f>
        <v>45708</v>
      </c>
      <c r="N2696" s="23">
        <f>IFERROR(__xludf.DUMMYFUNCTION("""COMPUTED_VALUE"""),45769.0)</f>
        <v>45769</v>
      </c>
      <c r="O2696" s="67"/>
      <c r="P2696" s="71" t="str">
        <f>IFERROR(__xludf.DUMMYFUNCTION("""COMPUTED_VALUE"""),"可")</f>
        <v>可</v>
      </c>
      <c r="Q2696" s="67"/>
      <c r="R2696" s="67" t="str">
        <f>IFERROR(__xludf.DUMMYFUNCTION("""COMPUTED_VALUE"""),"コミットOK")</f>
        <v>コミットOK</v>
      </c>
      <c r="S2696" s="67" t="str">
        <f>IFERROR(__xludf.DUMMYFUNCTION("""COMPUTED_VALUE"""),"20250108_ふゅーじょんぷろだくと_断罪エロトラップダンジョン")</f>
        <v>20250108_ふゅーじょんぷろだくと_断罪エロトラップダンジョン</v>
      </c>
      <c r="T2696" s="67" t="str">
        <f>IFERROR(__xludf.DUMMYFUNCTION("""COMPUTED_VALUE"""),"格納済み")</f>
        <v>格納済み</v>
      </c>
      <c r="U2696" s="15" t="str">
        <f>IFERROR(__xludf.DUMMYFUNCTION("""COMPUTED_VALUE"""),"『断罪＝エロトラップダンジョン!? ～悪役令嬢に転生したら冤罪で追放されたので攻略対象のアサシンと踏破します～』Ⓒ︎桃宮ちょこ／FUSION PRODUCT")</f>
        <v>『断罪＝エロトラップダンジョン!? ～悪役令嬢に転生したら冤罪で追放されたので攻略対象のアサシンと踏破します～』Ⓒ︎桃宮ちょこ／FUSION PRODUCT</v>
      </c>
      <c r="V2696" s="8" t="str">
        <f>IFERROR(__xludf.DUMMYFUNCTION("""COMPUTED_VALUE"""),"【乙女ゲーVSエロゲー】乙女ゲーム『追憶のフェアリーテイル』の悪役令嬢・ダイアナに憑依転生した、ゲーム三昧の冴えないOL。しかも転生直後に身に覚えのない罪で断罪され、なぜか“ダンジョン”へ追放されてしまった！悪役令嬢の自分を監視するため同行することになったゲームの攻略対象・グレイと共にダンジョン攻略へ向け協力することになるが…。そこで襲ってきたのはエロゲーに出てくるような、ぬるぬるの触手。まさかここ、エロトラップ系のダンジョンですかーー！？")</f>
        <v>【乙女ゲーVSエロゲー】乙女ゲーム『追憶のフェアリーテイル』の悪役令嬢・ダイアナに憑依転生した、ゲーム三昧の冴えないOL。しかも転生直後に身に覚えのない罪で断罪され、なぜか“ダンジョン”へ追放されてしまった！悪役令嬢の自分を監視するため同行することになったゲームの攻略対象・グレイと共にダンジョン攻略へ向け協力することになるが…。そこで襲ってきたのはエロゲーに出てくるような、ぬるぬるの触手。まさかここ、エロトラップ系のダンジョンですかーー！？</v>
      </c>
      <c r="W2696" s="14"/>
      <c r="X2696" s="14" t="str">
        <f>IFERROR(__xludf.DUMMYFUNCTION("""COMPUTED_VALUE"""),"有")</f>
        <v>有</v>
      </c>
      <c r="Y2696" s="8" t="str">
        <f>IFERROR(__xludf.DUMMYFUNCTION("""COMPUTED_VALUE"""),"2025/3/5まで1巻無料")</f>
        <v>2025/3/5まで1巻無料</v>
      </c>
      <c r="Z2696" s="7"/>
      <c r="AA2696" s="7"/>
      <c r="AB2696" s="7"/>
    </row>
    <row r="2697" ht="15.75" customHeight="1">
      <c r="A2697" s="66">
        <f>IFERROR(__xludf.DUMMYFUNCTION("""COMPUTED_VALUE"""),4794.0)</f>
        <v>4794</v>
      </c>
      <c r="B2697" s="67" t="str">
        <f>IFERROR(__xludf.DUMMYFUNCTION("""COMPUTED_VALUE"""),"確定")</f>
        <v>確定</v>
      </c>
      <c r="C2697" s="68">
        <f>IFERROR(__xludf.DUMMYFUNCTION("""COMPUTED_VALUE"""),45671.0)</f>
        <v>45671</v>
      </c>
      <c r="D2697" s="68">
        <f>IFERROR(__xludf.DUMMYFUNCTION("""COMPUTED_VALUE"""),45672.0)</f>
        <v>45672</v>
      </c>
      <c r="E2697" s="60">
        <f>IFERROR(__xludf.DUMMYFUNCTION("""COMPUTED_VALUE"""),313996.0)</f>
        <v>313996</v>
      </c>
      <c r="F2697" s="61" t="str">
        <f>IFERROR(__xludf.DUMMYFUNCTION("""COMPUTED_VALUE"""),"お世話させていただきます！ 犬猫保護施設の奮闘記【単話】")</f>
        <v>お世話させていただきます！ 犬猫保護施設の奮闘記【単話】</v>
      </c>
      <c r="G2697" s="67" t="str">
        <f>IFERROR(__xludf.DUMMYFUNCTION("""COMPUTED_VALUE"""),"1～3")</f>
        <v>1～3</v>
      </c>
      <c r="H2697" s="67" t="str">
        <f>IFERROR(__xludf.DUMMYFUNCTION("""COMPUTED_VALUE"""),"漫画／オノユウリ、原案／塩田妙玄")</f>
        <v>漫画／オノユウリ、原案／塩田妙玄</v>
      </c>
      <c r="I2697" s="67" t="str">
        <f>IFERROR(__xludf.DUMMYFUNCTION("""COMPUTED_VALUE"""),"女性")</f>
        <v>女性</v>
      </c>
      <c r="J2697" s="87"/>
      <c r="K2697" s="87"/>
      <c r="L2697" s="67" t="str">
        <f>IFERROR(__xludf.DUMMYFUNCTION("""COMPUTED_VALUE"""),"朝日新聞出版")</f>
        <v>朝日新聞出版</v>
      </c>
      <c r="M2697" s="23">
        <f>IFERROR(__xludf.DUMMYFUNCTION("""COMPUTED_VALUE"""),45687.0)</f>
        <v>45687</v>
      </c>
      <c r="N2697" s="23">
        <f>IFERROR(__xludf.DUMMYFUNCTION("""COMPUTED_VALUE"""),45777.0)</f>
        <v>45777</v>
      </c>
      <c r="O2697" s="67"/>
      <c r="P2697" s="70" t="str">
        <f>IFERROR(__xludf.DUMMYFUNCTION("""COMPUTED_VALUE"""),"可")</f>
        <v>可</v>
      </c>
      <c r="Q2697" s="72" t="str">
        <f>IFERROR(__xludf.DUMMYFUNCTION("""COMPUTED_VALUE"""),"先行確約のため、確定処理しております。")</f>
        <v>先行確約のため、確定処理しております。</v>
      </c>
      <c r="R2697" s="67"/>
      <c r="S2697" s="67" t="str">
        <f>IFERROR(__xludf.DUMMYFUNCTION("""COMPUTED_VALUE"""),"20250114_朝日新聞出版_お世話させていただきます！ 犬猫保護施設の奮闘記【単話】")</f>
        <v>20250114_朝日新聞出版_お世話させていただきます！ 犬猫保護施設の奮闘記【単話】</v>
      </c>
      <c r="T2697" s="67" t="str">
        <f>IFERROR(__xludf.DUMMYFUNCTION("""COMPUTED_VALUE"""),"格納済み")</f>
        <v>格納済み</v>
      </c>
      <c r="U2697" s="15" t="str">
        <f>IFERROR(__xludf.DUMMYFUNCTION("""COMPUTED_VALUE"""),"(C) オノ ユウリ・塩田 妙玄／朝日新聞出版")</f>
        <v>(C) オノ ユウリ・塩田 妙玄／朝日新聞出版</v>
      </c>
      <c r="V2697" s="8" t="str">
        <f>IFERROR(__xludf.DUMMYFUNCTION("""COMPUTED_VALUE"""),"森の中にある動物保護施設でボランティアをする妙玄さん。
動物たちをお世話する毎日は朝から晩までハードでハプニングだらけ！
その奮闘の様子を「ごはんやり」「看病とお世話」「重症猫を保護」
「保健所から犬を引き取る」「病気・病院」「老猫の介護」などのシーンごとに紹介。
今注目を集める「保護猫」「保護犬」の活動。
実在する保護施設の活動を通して、愛情あふれるその現場を
涙あり、笑いありのコミカルなタッチで描いたエッセイコミック！")</f>
        <v>森の中にある動物保護施設でボランティアをする妙玄さん。
動物たちをお世話する毎日は朝から晩までハードでハプニングだらけ！
その奮闘の様子を「ごはんやり」「看病とお世話」「重症猫を保護」
「保健所から犬を引き取る」「病気・病院」「老猫の介護」などのシーンごとに紹介。
今注目を集める「保護猫」「保護犬」の活動。
実在する保護施設の活動を通して、愛情あふれるその現場を
涙あり、笑いありのコミカルなタッチで描いたエッセイコミック！</v>
      </c>
      <c r="W2697" s="14"/>
      <c r="X2697" s="14" t="str">
        <f>IFERROR(__xludf.DUMMYFUNCTION("""COMPUTED_VALUE"""),"有")</f>
        <v>有</v>
      </c>
      <c r="Y2697" s="8" t="str">
        <f>IFERROR(__xludf.DUMMYFUNCTION("""COMPUTED_VALUE"""),"2025/4/30まで1巻無料")</f>
        <v>2025/4/30まで1巻無料</v>
      </c>
      <c r="Z2697" s="7"/>
      <c r="AA2697" s="7"/>
      <c r="AB2697" s="7"/>
    </row>
    <row r="2698" ht="15.75" customHeight="1">
      <c r="A2698" s="66">
        <f>IFERROR(__xludf.DUMMYFUNCTION("""COMPUTED_VALUE"""),4795.0)</f>
        <v>4795</v>
      </c>
      <c r="B2698" s="67" t="str">
        <f>IFERROR(__xludf.DUMMYFUNCTION("""COMPUTED_VALUE"""),"確定")</f>
        <v>確定</v>
      </c>
      <c r="C2698" s="68">
        <f>IFERROR(__xludf.DUMMYFUNCTION("""COMPUTED_VALUE"""),45671.0)</f>
        <v>45671</v>
      </c>
      <c r="D2698" s="68">
        <f>IFERROR(__xludf.DUMMYFUNCTION("""COMPUTED_VALUE"""),45671.0)</f>
        <v>45671</v>
      </c>
      <c r="E2698" s="60">
        <f>IFERROR(__xludf.DUMMYFUNCTION("""COMPUTED_VALUE"""),314492.0)</f>
        <v>314492</v>
      </c>
      <c r="F2698" s="61" t="str">
        <f>IFERROR(__xludf.DUMMYFUNCTION("""COMPUTED_VALUE"""),"溺愛は復讐のあとで 無能力巫女と運命のつがい")</f>
        <v>溺愛は復讐のあとで 無能力巫女と運命のつがい</v>
      </c>
      <c r="G2698" s="67" t="str">
        <f>IFERROR(__xludf.DUMMYFUNCTION("""COMPUTED_VALUE"""),"1～3")</f>
        <v>1～3</v>
      </c>
      <c r="H2698" s="67" t="str">
        <f>IFERROR(__xludf.DUMMYFUNCTION("""COMPUTED_VALUE"""),"松元陽")</f>
        <v>松元陽</v>
      </c>
      <c r="I2698" s="67" t="str">
        <f>IFERROR(__xludf.DUMMYFUNCTION("""COMPUTED_VALUE"""),"女性")</f>
        <v>女性</v>
      </c>
      <c r="J2698" s="67"/>
      <c r="K2698" s="67" t="str">
        <f>IFERROR(__xludf.DUMMYFUNCTION("""COMPUTED_VALUE"""),"異世界マーガレット")</f>
        <v>異世界マーガレット</v>
      </c>
      <c r="L2698" s="67" t="str">
        <f>IFERROR(__xludf.DUMMYFUNCTION("""COMPUTED_VALUE"""),"集英社")</f>
        <v>集英社</v>
      </c>
      <c r="M2698" s="23">
        <f>IFERROR(__xludf.DUMMYFUNCTION("""COMPUTED_VALUE"""),45689.0)</f>
        <v>45689</v>
      </c>
      <c r="N2698" s="59">
        <f>IFERROR(__xludf.DUMMYFUNCTION("""COMPUTED_VALUE"""),45716.0)</f>
        <v>45716</v>
      </c>
      <c r="O2698" s="67"/>
      <c r="P2698" s="71" t="str">
        <f>IFERROR(__xludf.DUMMYFUNCTION("""COMPUTED_VALUE"""),"否")</f>
        <v>否</v>
      </c>
      <c r="Q2698" s="72"/>
      <c r="R2698" s="67"/>
      <c r="S2698" s="67" t="str">
        <f>IFERROR(__xludf.DUMMYFUNCTION("""COMPUTED_VALUE"""),"20250114_集英社_溺愛は復讐のあとで 無能力巫女と運命のつがい")</f>
        <v>20250114_集英社_溺愛は復讐のあとで 無能力巫女と運命のつがい</v>
      </c>
      <c r="T2698" s="67" t="str">
        <f>IFERROR(__xludf.DUMMYFUNCTION("""COMPUTED_VALUE"""),"格納済み")</f>
        <v>格納済み</v>
      </c>
      <c r="U2698" s="15" t="str">
        <f>IFERROR(__xludf.DUMMYFUNCTION("""COMPUTED_VALUE"""),"(c)松元陽／集英社")</f>
        <v>(c)松元陽／集英社</v>
      </c>
      <c r="V2698" s="8" t="str">
        <f>IFERROR(__xludf.DUMMYFUNCTION("""COMPUTED_VALUE"""),"特別な力で国を護るハク一族当主の娘・明琳は、無能力でつがいのいない役立たず。産まれたときから守護獣・泰虎と共に生き、“魂のつがい”を求めていたが、いっこうに現れることはなかった。しかし明琳は修行を怠らず「自分にできること」を探し続けていた…。そんなある日、ハク家の住む邸宅が燃やされ、母親が鬼に殺されてしまう。傷を負った明琳を連れて山へ逃げる泰虎が、衛士龍将軍を見つけ、強制的に“明琳のつがい”にしてしまった！　魂と魂が結ばれ、出会ったばかりなのに自然と「ひとつになりたい」と感じてしまう二人は――？")</f>
        <v>特別な力で国を護るハク一族当主の娘・明琳は、無能力でつがいのいない役立たず。産まれたときから守護獣・泰虎と共に生き、“魂のつがい”を求めていたが、いっこうに現れることはなかった。しかし明琳は修行を怠らず「自分にできること」を探し続けていた…。そんなある日、ハク家の住む邸宅が燃やされ、母親が鬼に殺されてしまう。傷を負った明琳を連れて山へ逃げる泰虎が、衛士龍将軍を見つけ、強制的に“明琳のつがい”にしてしまった！　魂と魂が結ばれ、出会ったばかりなのに自然と「ひとつになりたい」と感じてしまう二人は――？</v>
      </c>
      <c r="W2698" s="14"/>
      <c r="X2698" s="14" t="str">
        <f>IFERROR(__xludf.DUMMYFUNCTION("""COMPUTED_VALUE"""),"有")</f>
        <v>有</v>
      </c>
      <c r="Y2698" s="8" t="str">
        <f>IFERROR(__xludf.DUMMYFUNCTION("""COMPUTED_VALUE"""),"2025/2/28まで1巻無料")</f>
        <v>2025/2/28まで1巻無料</v>
      </c>
      <c r="Z2698" s="7"/>
      <c r="AA2698" s="7"/>
      <c r="AB2698" s="7"/>
    </row>
    <row r="2699" ht="15.75" customHeight="1">
      <c r="A2699" s="66">
        <f>IFERROR(__xludf.DUMMYFUNCTION("""COMPUTED_VALUE"""),4796.0)</f>
        <v>4796</v>
      </c>
      <c r="B2699" s="67" t="str">
        <f>IFERROR(__xludf.DUMMYFUNCTION("""COMPUTED_VALUE"""),"確定")</f>
        <v>確定</v>
      </c>
      <c r="C2699" s="68">
        <f>IFERROR(__xludf.DUMMYFUNCTION("""COMPUTED_VALUE"""),45671.0)</f>
        <v>45671</v>
      </c>
      <c r="D2699" s="68">
        <f>IFERROR(__xludf.DUMMYFUNCTION("""COMPUTED_VALUE"""),45671.0)</f>
        <v>45671</v>
      </c>
      <c r="E2699" s="60">
        <f>IFERROR(__xludf.DUMMYFUNCTION("""COMPUTED_VALUE"""),314526.0)</f>
        <v>314526</v>
      </c>
      <c r="F2699" s="61" t="str">
        <f>IFERROR(__xludf.DUMMYFUNCTION("""COMPUTED_VALUE"""),"イケメン課長はにゃん子に夢中")</f>
        <v>イケメン課長はにゃん子に夢中</v>
      </c>
      <c r="G2699" s="67" t="str">
        <f>IFERROR(__xludf.DUMMYFUNCTION("""COMPUTED_VALUE"""),"1～3")</f>
        <v>1～3</v>
      </c>
      <c r="H2699" s="67" t="str">
        <f>IFERROR(__xludf.DUMMYFUNCTION("""COMPUTED_VALUE"""),"ボルテージ,美名森タンデュ")</f>
        <v>ボルテージ,美名森タンデュ</v>
      </c>
      <c r="I2699" s="67" t="str">
        <f>IFERROR(__xludf.DUMMYFUNCTION("""COMPUTED_VALUE"""),"少女")</f>
        <v>少女</v>
      </c>
      <c r="J2699" s="67"/>
      <c r="K2699" s="67" t="str">
        <f>IFERROR(__xludf.DUMMYFUNCTION("""COMPUTED_VALUE"""),"マーガレットコミックスDIGITAL")</f>
        <v>マーガレットコミックスDIGITAL</v>
      </c>
      <c r="L2699" s="67" t="str">
        <f>IFERROR(__xludf.DUMMYFUNCTION("""COMPUTED_VALUE"""),"集英社")</f>
        <v>集英社</v>
      </c>
      <c r="M2699" s="59">
        <f>IFERROR(__xludf.DUMMYFUNCTION("""COMPUTED_VALUE"""),45696.0)</f>
        <v>45696</v>
      </c>
      <c r="N2699" s="59">
        <f>IFERROR(__xludf.DUMMYFUNCTION("""COMPUTED_VALUE"""),45723.0)</f>
        <v>45723</v>
      </c>
      <c r="O2699" s="67"/>
      <c r="P2699" s="71" t="str">
        <f>IFERROR(__xludf.DUMMYFUNCTION("""COMPUTED_VALUE"""),"否")</f>
        <v>否</v>
      </c>
      <c r="Q2699" s="72"/>
      <c r="R2699" s="67"/>
      <c r="S2699" s="67" t="str">
        <f>IFERROR(__xludf.DUMMYFUNCTION("""COMPUTED_VALUE"""),"20250114_集英社_イケメン課長はにゃん子に夢中")</f>
        <v>20250114_集英社_イケメン課長はにゃん子に夢中</v>
      </c>
      <c r="T2699" s="67" t="str">
        <f>IFERROR(__xludf.DUMMYFUNCTION("""COMPUTED_VALUE"""),"格納済み")</f>
        <v>格納済み</v>
      </c>
      <c r="U2699" s="15" t="str">
        <f>IFERROR(__xludf.DUMMYFUNCTION("""COMPUTED_VALUE"""),"(c)美名森タンデュ・ボルテージ／集英社")</f>
        <v>(c)美名森タンデュ・ボルテージ／集英社</v>
      </c>
      <c r="V2699" s="8" t="str">
        <f>IFERROR(__xludf.DUMMYFUNCTION("""COMPUTED_VALUE"""),"経営企画課に異動したばかりの青木さくらは、厳しいと評判の月代課長の下で働くことに。同僚たちは皆、課長を怖がっているが、さくらには彼に対して密かに特別な想いがあった。入社当時、猫にデレデレな月代課長の姿を偶然目撃し、その意外な一面に惹かれたのだ。異動後間も無く行われた歓迎会の後、酔って意識がぼんやりしていたさくらは、月代課長に送ってもらうことになったのだが――ふと気がつくと、月代課長と刺激的なキスを交わしていて…？")</f>
        <v>経営企画課に異動したばかりの青木さくらは、厳しいと評判の月代課長の下で働くことに。同僚たちは皆、課長を怖がっているが、さくらには彼に対して密かに特別な想いがあった。入社当時、猫にデレデレな月代課長の姿を偶然目撃し、その意外な一面に惹かれたのだ。異動後間も無く行われた歓迎会の後、酔って意識がぼんやりしていたさくらは、月代課長に送ってもらうことになったのだが――ふと気がつくと、月代課長と刺激的なキスを交わしていて…？</v>
      </c>
      <c r="W2699" s="14"/>
      <c r="X2699" s="14" t="str">
        <f>IFERROR(__xludf.DUMMYFUNCTION("""COMPUTED_VALUE"""),"有")</f>
        <v>有</v>
      </c>
      <c r="Y2699" s="8" t="str">
        <f>IFERROR(__xludf.DUMMYFUNCTION("""COMPUTED_VALUE"""),"2025/3/7まで1巻無料")</f>
        <v>2025/3/7まで1巻無料</v>
      </c>
      <c r="Z2699" s="7"/>
      <c r="AA2699" s="7"/>
      <c r="AB2699" s="7"/>
    </row>
    <row r="2700" ht="15.75" customHeight="1">
      <c r="A2700" s="66">
        <f>IFERROR(__xludf.DUMMYFUNCTION("""COMPUTED_VALUE"""),4799.0)</f>
        <v>4799</v>
      </c>
      <c r="B2700" s="67" t="str">
        <f>IFERROR(__xludf.DUMMYFUNCTION("""COMPUTED_VALUE"""),"確定")</f>
        <v>確定</v>
      </c>
      <c r="C2700" s="68">
        <f>IFERROR(__xludf.DUMMYFUNCTION("""COMPUTED_VALUE"""),45671.0)</f>
        <v>45671</v>
      </c>
      <c r="D2700" s="68">
        <f>IFERROR(__xludf.DUMMYFUNCTION("""COMPUTED_VALUE"""),45672.0)</f>
        <v>45672</v>
      </c>
      <c r="E2700" s="60">
        <f>IFERROR(__xludf.DUMMYFUNCTION("""COMPUTED_VALUE"""),313698.0)</f>
        <v>313698</v>
      </c>
      <c r="F2700" s="61" t="str">
        <f>IFERROR(__xludf.DUMMYFUNCTION("""COMPUTED_VALUE"""),"浮気されたので婚約は破棄します！～３０日で見つける理想の婚約者～")</f>
        <v>浮気されたので婚約は破棄します！～３０日で見つける理想の婚約者～</v>
      </c>
      <c r="G2700" s="67" t="str">
        <f>IFERROR(__xludf.DUMMYFUNCTION("""COMPUTED_VALUE"""),"1～2")</f>
        <v>1～2</v>
      </c>
      <c r="H2700" s="67" t="str">
        <f>IFERROR(__xludf.DUMMYFUNCTION("""COMPUTED_VALUE"""),"岸本悠希／COMIC ROOM")</f>
        <v>岸本悠希／COMIC ROOM</v>
      </c>
      <c r="I2700" s="67" t="str">
        <f>IFERROR(__xludf.DUMMYFUNCTION("""COMPUTED_VALUE"""),"女性")</f>
        <v>女性</v>
      </c>
      <c r="J2700" s="67"/>
      <c r="K2700" s="67" t="str">
        <f>IFERROR(__xludf.DUMMYFUNCTION("""COMPUTED_VALUE"""),"COMIC MOON")</f>
        <v>COMIC MOON</v>
      </c>
      <c r="L2700" s="67" t="str">
        <f>IFERROR(__xludf.DUMMYFUNCTION("""COMPUTED_VALUE"""),"コミックルーム")</f>
        <v>コミックルーム</v>
      </c>
      <c r="M2700" s="59">
        <f>IFERROR(__xludf.DUMMYFUNCTION("""COMPUTED_VALUE"""),45703.0)</f>
        <v>45703</v>
      </c>
      <c r="N2700" s="59">
        <f>IFERROR(__xludf.DUMMYFUNCTION("""COMPUTED_VALUE"""),45791.0)</f>
        <v>45791</v>
      </c>
      <c r="O2700" s="67"/>
      <c r="P2700" s="70" t="str">
        <f>IFERROR(__xludf.DUMMYFUNCTION("""COMPUTED_VALUE"""),"可")</f>
        <v>可</v>
      </c>
      <c r="Q2700" s="72" t="str">
        <f>IFERROR(__xludf.DUMMYFUNCTION("""COMPUTED_VALUE"""),"・アンソロジーのばら売り作品です。")</f>
        <v>・アンソロジーのばら売り作品です。</v>
      </c>
      <c r="R2700" s="67"/>
      <c r="S2700" s="67" t="str">
        <f>IFERROR(__xludf.DUMMYFUNCTION("""COMPUTED_VALUE"""),"20250114_コミックルーム_浮気されたので婚約は破棄します！～３０日で見つける理想の婚約者～")</f>
        <v>20250114_コミックルーム_浮気されたので婚約は破棄します！～３０日で見つける理想の婚約者～</v>
      </c>
      <c r="T2700" s="67" t="str">
        <f>IFERROR(__xludf.DUMMYFUNCTION("""COMPUTED_VALUE"""),"格納済み")</f>
        <v>格納済み</v>
      </c>
      <c r="U2700" s="15" t="str">
        <f>IFERROR(__xludf.DUMMYFUNCTION("""COMPUTED_VALUE"""),"(c)岸本悠希／COMIC ROOM")</f>
        <v>(c)岸本悠希／COMIC ROOM</v>
      </c>
      <c r="V2700" s="8" t="str">
        <f>IFERROR(__xludf.DUMMYFUNCTION("""COMPUTED_VALUE"""),"男爵令嬢エリナは、婚約者の衝撃的な浮気現場を目撃し、その場で婚約破棄を言い渡した。
しかし、家の将来を憂う父からは同情もなく、「３０日以内に新たな婚約者を見つけよ」と厳命されてしまう。
夜会に足を運ぶも、理想の相手は見つからず途方に暮れるエリナ。
そんな彼女に手を差し伸べたのは、夜会の主催者であり、厳格な紳士として知られる伯爵令息アレックスだった。
「君にふさわしい相手を、私が見繕ってあげよう」
彼の申し出を受け、理想の婚約者を探し始めるエリナ。
しかし、なんとアレックスも婚約者に浮気されてい"&amp;"ることが発覚し、婚約者探しは思わぬ方向へ──！？
本当の感情に気づいた時、運命の歯車が動き出す。
裏切りから始まる至極のラブロマンスをご覧あれ！
※本作品の１・２巻は『溺れるほど愛されて、幸せになってみせますわ！アンソロジーコミック12巻』の収録作品です。重複購入にご注意ください。")</f>
        <v>男爵令嬢エリナは、婚約者の衝撃的な浮気現場を目撃し、その場で婚約破棄を言い渡した。
しかし、家の将来を憂う父からは同情もなく、「３０日以内に新たな婚約者を見つけよ」と厳命されてしまう。
夜会に足を運ぶも、理想の相手は見つからず途方に暮れるエリナ。
そんな彼女に手を差し伸べたのは、夜会の主催者であり、厳格な紳士として知られる伯爵令息アレックスだった。
「君にふさわしい相手を、私が見繕ってあげよう」
彼の申し出を受け、理想の婚約者を探し始めるエリナ。
しかし、なんとアレックスも婚約者に浮気されていることが発覚し、婚約者探しは思わぬ方向へ──！？
本当の感情に気づいた時、運命の歯車が動き出す。
裏切りから始まる至極のラブロマンスをご覧あれ！
※本作品の１・２巻は『溺れるほど愛されて、幸せになってみせますわ！アンソロジーコミック12巻』の収録作品です。重複購入にご注意ください。</v>
      </c>
      <c r="W2700" s="14"/>
      <c r="X2700" s="14" t="str">
        <f>IFERROR(__xludf.DUMMYFUNCTION("""COMPUTED_VALUE"""),"有")</f>
        <v>有</v>
      </c>
      <c r="Y2700" s="8" t="str">
        <f>IFERROR(__xludf.DUMMYFUNCTION("""COMPUTED_VALUE"""),"P9まで")</f>
        <v>P9まで</v>
      </c>
      <c r="Z2700" s="7"/>
      <c r="AA2700" s="7"/>
      <c r="AB2700" s="7"/>
    </row>
    <row r="2701" ht="15.75" customHeight="1">
      <c r="A2701" s="66">
        <f>IFERROR(__xludf.DUMMYFUNCTION("""COMPUTED_VALUE"""),4801.0)</f>
        <v>4801</v>
      </c>
      <c r="B2701" s="67" t="str">
        <f>IFERROR(__xludf.DUMMYFUNCTION("""COMPUTED_VALUE"""),"確定")</f>
        <v>確定</v>
      </c>
      <c r="C2701" s="68">
        <f>IFERROR(__xludf.DUMMYFUNCTION("""COMPUTED_VALUE"""),45671.0)</f>
        <v>45671</v>
      </c>
      <c r="D2701" s="68">
        <f>IFERROR(__xludf.DUMMYFUNCTION("""COMPUTED_VALUE"""),45672.0)</f>
        <v>45672</v>
      </c>
      <c r="E2701" s="60">
        <f>IFERROR(__xludf.DUMMYFUNCTION("""COMPUTED_VALUE"""),313700.0)</f>
        <v>313700</v>
      </c>
      <c r="F2701" s="61" t="str">
        <f>IFERROR(__xludf.DUMMYFUNCTION("""COMPUTED_VALUE"""),"遅咲き令嬢は、王国一の魔法使いからの溺愛で返り咲く")</f>
        <v>遅咲き令嬢は、王国一の魔法使いからの溺愛で返り咲く</v>
      </c>
      <c r="G2701" s="67" t="str">
        <f>IFERROR(__xludf.DUMMYFUNCTION("""COMPUTED_VALUE"""),"1～2")</f>
        <v>1～2</v>
      </c>
      <c r="H2701" s="67" t="str">
        <f>IFERROR(__xludf.DUMMYFUNCTION("""COMPUTED_VALUE"""),"フェイ／COMIC ROOM")</f>
        <v>フェイ／COMIC ROOM</v>
      </c>
      <c r="I2701" s="67" t="str">
        <f>IFERROR(__xludf.DUMMYFUNCTION("""COMPUTED_VALUE"""),"女性")</f>
        <v>女性</v>
      </c>
      <c r="J2701" s="67"/>
      <c r="K2701" s="67" t="str">
        <f>IFERROR(__xludf.DUMMYFUNCTION("""COMPUTED_VALUE"""),"COMIC MOON")</f>
        <v>COMIC MOON</v>
      </c>
      <c r="L2701" s="67" t="str">
        <f>IFERROR(__xludf.DUMMYFUNCTION("""COMPUTED_VALUE"""),"コミックルーム")</f>
        <v>コミックルーム</v>
      </c>
      <c r="M2701" s="59">
        <f>IFERROR(__xludf.DUMMYFUNCTION("""COMPUTED_VALUE"""),45703.0)</f>
        <v>45703</v>
      </c>
      <c r="N2701" s="59">
        <f>IFERROR(__xludf.DUMMYFUNCTION("""COMPUTED_VALUE"""),45791.0)</f>
        <v>45791</v>
      </c>
      <c r="O2701" s="67"/>
      <c r="P2701" s="70" t="str">
        <f>IFERROR(__xludf.DUMMYFUNCTION("""COMPUTED_VALUE"""),"可")</f>
        <v>可</v>
      </c>
      <c r="Q2701" s="72" t="str">
        <f>IFERROR(__xludf.DUMMYFUNCTION("""COMPUTED_VALUE"""),"・アンソロジーのばら売りです")</f>
        <v>・アンソロジーのばら売りです</v>
      </c>
      <c r="R2701" s="67"/>
      <c r="S2701" s="67" t="str">
        <f>IFERROR(__xludf.DUMMYFUNCTION("""COMPUTED_VALUE"""),"20250114_コミックルーム_遅咲き令嬢は、王国一の魔法使いからの溺愛で返り咲く")</f>
        <v>20250114_コミックルーム_遅咲き令嬢は、王国一の魔法使いからの溺愛で返り咲く</v>
      </c>
      <c r="T2701" s="67" t="str">
        <f>IFERROR(__xludf.DUMMYFUNCTION("""COMPUTED_VALUE"""),"格納済み")</f>
        <v>格納済み</v>
      </c>
      <c r="U2701" s="15" t="str">
        <f>IFERROR(__xludf.DUMMYFUNCTION("""COMPUTED_VALUE"""),"(c)フェイ／COMIC ROOM")</f>
        <v>(c)フェイ／COMIC ROOM</v>
      </c>
      <c r="V2701" s="8" t="str">
        <f>IFERROR(__xludf.DUMMYFUNCTION("""COMPUTED_VALUE"""),"魔法の才能がすべてを決める国で、突然魔法が使えなくなった令嬢・キャサリン。
婚約者のアルベールからも見放され、通っている学校の退学処分も迫る絶体絶命の状況。
そんな彼女の前に現れたのは、天才魔法使いとなった幼馴染・レオだった。「俺が魔法を取り戻す手伝いをしてやる」
懸命な特訓の末、ついに魔法が使えるようになったキャサリン。
だが、”魔法の才能”ではなく、彼女自身の”心”に新たな問題が見つかり・・・！？
偽りの婚約、抑えてきた想い、そして新たな未来へ──。
運命に引き寄せられた二人の、魔法よりも"&amp;"ミラクルなラブストーリー！
※本作品の１・２巻は『溺れるほど愛されて、幸せになってみせますわ！アンソロジーコミック12巻』の収録作品です。重複購入にご注意ください。")</f>
        <v>魔法の才能がすべてを決める国で、突然魔法が使えなくなった令嬢・キャサリン。
婚約者のアルベールからも見放され、通っている学校の退学処分も迫る絶体絶命の状況。
そんな彼女の前に現れたのは、天才魔法使いとなった幼馴染・レオだった。「俺が魔法を取り戻す手伝いをしてやる」
懸命な特訓の末、ついに魔法が使えるようになったキャサリン。
だが、”魔法の才能”ではなく、彼女自身の”心”に新たな問題が見つかり・・・！？
偽りの婚約、抑えてきた想い、そして新たな未来へ──。
運命に引き寄せられた二人の、魔法よりもミラクルなラブストーリー！
※本作品の１・２巻は『溺れるほど愛されて、幸せになってみせますわ！アンソロジーコミック12巻』の収録作品です。重複購入にご注意ください。</v>
      </c>
      <c r="W2701" s="14"/>
      <c r="X2701" s="14" t="str">
        <f>IFERROR(__xludf.DUMMYFUNCTION("""COMPUTED_VALUE"""),"有")</f>
        <v>有</v>
      </c>
      <c r="Y2701" s="8" t="str">
        <f>IFERROR(__xludf.DUMMYFUNCTION("""COMPUTED_VALUE"""),"P10まで")</f>
        <v>P10まで</v>
      </c>
      <c r="Z2701" s="7"/>
      <c r="AA2701" s="7"/>
      <c r="AB2701" s="7"/>
    </row>
    <row r="2702" ht="15.75" customHeight="1">
      <c r="A2702" s="66">
        <f>IFERROR(__xludf.DUMMYFUNCTION("""COMPUTED_VALUE"""),4803.0)</f>
        <v>4803</v>
      </c>
      <c r="B2702" s="67" t="str">
        <f>IFERROR(__xludf.DUMMYFUNCTION("""COMPUTED_VALUE"""),"確定")</f>
        <v>確定</v>
      </c>
      <c r="C2702" s="68">
        <f>IFERROR(__xludf.DUMMYFUNCTION("""COMPUTED_VALUE"""),45671.0)</f>
        <v>45671</v>
      </c>
      <c r="D2702" s="68">
        <f>IFERROR(__xludf.DUMMYFUNCTION("""COMPUTED_VALUE"""),45672.0)</f>
        <v>45672</v>
      </c>
      <c r="E2702" s="60">
        <f>IFERROR(__xludf.DUMMYFUNCTION("""COMPUTED_VALUE"""),313701.0)</f>
        <v>313701</v>
      </c>
      <c r="F2702" s="61" t="str">
        <f>IFERROR(__xludf.DUMMYFUNCTION("""COMPUTED_VALUE"""),"ドSで野獣、時々、紳士〜偽物令嬢と冷遇された私ですが、一途な愛で幸せになります〜")</f>
        <v>ドSで野獣、時々、紳士〜偽物令嬢と冷遇された私ですが、一途な愛で幸せになります〜</v>
      </c>
      <c r="G2702" s="67" t="str">
        <f>IFERROR(__xludf.DUMMYFUNCTION("""COMPUTED_VALUE"""),"1～2")</f>
        <v>1～2</v>
      </c>
      <c r="H2702" s="67" t="str">
        <f>IFERROR(__xludf.DUMMYFUNCTION("""COMPUTED_VALUE"""),"キイロイホウ／COMIC ROOM")</f>
        <v>キイロイホウ／COMIC ROOM</v>
      </c>
      <c r="I2702" s="67" t="str">
        <f>IFERROR(__xludf.DUMMYFUNCTION("""COMPUTED_VALUE"""),"女性")</f>
        <v>女性</v>
      </c>
      <c r="J2702" s="67"/>
      <c r="K2702" s="67" t="str">
        <f>IFERROR(__xludf.DUMMYFUNCTION("""COMPUTED_VALUE"""),"COMIC MOON")</f>
        <v>COMIC MOON</v>
      </c>
      <c r="L2702" s="67" t="str">
        <f>IFERROR(__xludf.DUMMYFUNCTION("""COMPUTED_VALUE"""),"コミックルーム")</f>
        <v>コミックルーム</v>
      </c>
      <c r="M2702" s="59">
        <f>IFERROR(__xludf.DUMMYFUNCTION("""COMPUTED_VALUE"""),45703.0)</f>
        <v>45703</v>
      </c>
      <c r="N2702" s="59">
        <f>IFERROR(__xludf.DUMMYFUNCTION("""COMPUTED_VALUE"""),45791.0)</f>
        <v>45791</v>
      </c>
      <c r="O2702" s="67"/>
      <c r="P2702" s="70" t="str">
        <f>IFERROR(__xludf.DUMMYFUNCTION("""COMPUTED_VALUE"""),"可")</f>
        <v>可</v>
      </c>
      <c r="Q2702" s="72" t="str">
        <f>IFERROR(__xludf.DUMMYFUNCTION("""COMPUTED_VALUE"""),"・アンソロジーのばら売りです")</f>
        <v>・アンソロジーのばら売りです</v>
      </c>
      <c r="R2702" s="67"/>
      <c r="S2702" s="67" t="str">
        <f>IFERROR(__xludf.DUMMYFUNCTION("""COMPUTED_VALUE"""),"20250114_コミックルーム_ドSで野獣、時々、紳士〜偽物令嬢と冷遇された私ですが、一途な愛で幸せになります〜")</f>
        <v>20250114_コミックルーム_ドSで野獣、時々、紳士〜偽物令嬢と冷遇された私ですが、一途な愛で幸せになります〜</v>
      </c>
      <c r="T2702" s="67" t="str">
        <f>IFERROR(__xludf.DUMMYFUNCTION("""COMPUTED_VALUE"""),"格納済み")</f>
        <v>格納済み</v>
      </c>
      <c r="U2702" s="15" t="str">
        <f>IFERROR(__xludf.DUMMYFUNCTION("""COMPUTED_VALUE"""),"(c)キイロイホウ／COMIC ROOM")</f>
        <v>(c)キイロイホウ／COMIC ROOM</v>
      </c>
      <c r="V2702" s="8" t="str">
        <f>IFERROR(__xludf.DUMMYFUNCTION("""COMPUTED_VALUE"""),"名門リグランド王宮学院に通う男爵令嬢のクララベル。
彼女の家は商人あがりで、「男爵」はお金で買った爵位。
そんな彼女を「偽物令嬢」だと、周囲の生徒たちは罵っていた。
それでも、クララベルは家業を通して、貧しい人が食べ物に困らない世界を実現させたいと、必死に勉学に勤しみ続ける。
そんなある時、クララベルはレオナルド王子から突然婚約を申し込まれた。
しかし、その婚約は愛情ではなく、彼女を利用するためだけの理不尽な契約結婚で・・・！？
傲慢で俺様なレオナルド王子。
翻弄されながらも夢を追い求める偽"&amp;"物令嬢クララベル。ドS？野獣？！時々・・・溺愛！？
偽物令嬢の大・逆・転ラブストーリー！
※本作品の１・２巻は『溺れるほど愛されて、幸せになってみせますわ！アンソロジーコミック12巻』の収録作品です。重複購入にご注意ください。")</f>
        <v>名門リグランド王宮学院に通う男爵令嬢のクララベル。
彼女の家は商人あがりで、「男爵」はお金で買った爵位。
そんな彼女を「偽物令嬢」だと、周囲の生徒たちは罵っていた。
それでも、クララベルは家業を通して、貧しい人が食べ物に困らない世界を実現させたいと、必死に勉学に勤しみ続ける。
そんなある時、クララベルはレオナルド王子から突然婚約を申し込まれた。
しかし、その婚約は愛情ではなく、彼女を利用するためだけの理不尽な契約結婚で・・・！？
傲慢で俺様なレオナルド王子。
翻弄されながらも夢を追い求める偽物令嬢クララベル。ドS？野獣？！時々・・・溺愛！？
偽物令嬢の大・逆・転ラブストーリー！
※本作品の１・２巻は『溺れるほど愛されて、幸せになってみせますわ！アンソロジーコミック12巻』の収録作品です。重複購入にご注意ください。</v>
      </c>
      <c r="W2702" s="14"/>
      <c r="X2702" s="14" t="str">
        <f>IFERROR(__xludf.DUMMYFUNCTION("""COMPUTED_VALUE"""),"有")</f>
        <v>有</v>
      </c>
      <c r="Y2702" s="8" t="str">
        <f>IFERROR(__xludf.DUMMYFUNCTION("""COMPUTED_VALUE"""),"P8まで")</f>
        <v>P8まで</v>
      </c>
      <c r="Z2702" s="7"/>
      <c r="AA2702" s="7"/>
      <c r="AB2702" s="7"/>
    </row>
    <row r="2703" ht="15.75" customHeight="1">
      <c r="A2703" s="66">
        <f>IFERROR(__xludf.DUMMYFUNCTION("""COMPUTED_VALUE"""),4805.0)</f>
        <v>4805</v>
      </c>
      <c r="B2703" s="67" t="str">
        <f>IFERROR(__xludf.DUMMYFUNCTION("""COMPUTED_VALUE"""),"確定")</f>
        <v>確定</v>
      </c>
      <c r="C2703" s="68">
        <f>IFERROR(__xludf.DUMMYFUNCTION("""COMPUTED_VALUE"""),45671.0)</f>
        <v>45671</v>
      </c>
      <c r="D2703" s="68">
        <f>IFERROR(__xludf.DUMMYFUNCTION("""COMPUTED_VALUE"""),45672.0)</f>
        <v>45672</v>
      </c>
      <c r="E2703" s="60">
        <f>IFERROR(__xludf.DUMMYFUNCTION("""COMPUTED_VALUE"""),313702.0)</f>
        <v>313702</v>
      </c>
      <c r="F2703" s="61" t="str">
        <f>IFERROR(__xludf.DUMMYFUNCTION("""COMPUTED_VALUE"""),"全てを奪われた令嬢は、そのドレスに報復を纏う")</f>
        <v>全てを奪われた令嬢は、そのドレスに報復を纏う</v>
      </c>
      <c r="G2703" s="67" t="str">
        <f>IFERROR(__xludf.DUMMYFUNCTION("""COMPUTED_VALUE"""),"1～2")</f>
        <v>1～2</v>
      </c>
      <c r="H2703" s="67" t="str">
        <f>IFERROR(__xludf.DUMMYFUNCTION("""COMPUTED_VALUE"""),"鹿ノ子もよう／COMIC ROOM")</f>
        <v>鹿ノ子もよう／COMIC ROOM</v>
      </c>
      <c r="I2703" s="67" t="str">
        <f>IFERROR(__xludf.DUMMYFUNCTION("""COMPUTED_VALUE"""),"女性")</f>
        <v>女性</v>
      </c>
      <c r="J2703" s="67"/>
      <c r="K2703" s="67" t="str">
        <f>IFERROR(__xludf.DUMMYFUNCTION("""COMPUTED_VALUE"""),"COMIC MOON")</f>
        <v>COMIC MOON</v>
      </c>
      <c r="L2703" s="67" t="str">
        <f>IFERROR(__xludf.DUMMYFUNCTION("""COMPUTED_VALUE"""),"コミックルーム")</f>
        <v>コミックルーム</v>
      </c>
      <c r="M2703" s="59">
        <f>IFERROR(__xludf.DUMMYFUNCTION("""COMPUTED_VALUE"""),45703.0)</f>
        <v>45703</v>
      </c>
      <c r="N2703" s="59">
        <f>IFERROR(__xludf.DUMMYFUNCTION("""COMPUTED_VALUE"""),45791.0)</f>
        <v>45791</v>
      </c>
      <c r="O2703" s="67"/>
      <c r="P2703" s="70" t="str">
        <f>IFERROR(__xludf.DUMMYFUNCTION("""COMPUTED_VALUE"""),"可")</f>
        <v>可</v>
      </c>
      <c r="Q2703" s="72" t="str">
        <f>IFERROR(__xludf.DUMMYFUNCTION("""COMPUTED_VALUE"""),"・アンソロジーのばら売りです")</f>
        <v>・アンソロジーのばら売りです</v>
      </c>
      <c r="R2703" s="67"/>
      <c r="S2703" s="67" t="str">
        <f>IFERROR(__xludf.DUMMYFUNCTION("""COMPUTED_VALUE"""),"20250114_コミックルーム_全てを奪われた令嬢は、そのドレスに報復を纏う")</f>
        <v>20250114_コミックルーム_全てを奪われた令嬢は、そのドレスに報復を纏う</v>
      </c>
      <c r="T2703" s="67" t="str">
        <f>IFERROR(__xludf.DUMMYFUNCTION("""COMPUTED_VALUE"""),"格納済み")</f>
        <v>格納済み</v>
      </c>
      <c r="U2703" s="15" t="str">
        <f>IFERROR(__xludf.DUMMYFUNCTION("""COMPUTED_VALUE"""),"(c)鹿ノ子もよう／COMIC ROOM")</f>
        <v>(c)鹿ノ子もよう／COMIC ROOM</v>
      </c>
      <c r="V2703" s="8" t="str">
        <f>IFERROR(__xludf.DUMMYFUNCTION("""COMPUTED_VALUE"""),"今、社交界で最も注目を集める令嬢・シャーロット。
彼女は子爵家の生まれながら、卓越したデザインセンスと独創的なファッションで王侯貴族たちを魅了し、多くの称賛を集めていた。
しかしある日突然、身に覚えのない悪評が広まり、社交界から追放されてしまう。
婚約も破棄され、絶望に沈む彼女の元に現れたのは、実業家を名乗る青年・オリバー。
「君の才能を信じている。私と共に、未来を取り戻そう」
彼に導かれ、シャーロットは再び歩き出す。
だが、その背後には彼女を陥れた黒幕が・・・！？
奪われた矜持、絶望の淵で"&amp;"シャーロットのドレスが報復に染まる時、幸せを掴み取る逆転ロマンスがここに幕をあける！！
※本作品の１・２巻は『溺れるほど愛されて、幸せになってみせますわ！アンソロジーコミック12巻』の収録作品です。重複購入にご注意ください。")</f>
        <v>今、社交界で最も注目を集める令嬢・シャーロット。
彼女は子爵家の生まれながら、卓越したデザインセンスと独創的なファッションで王侯貴族たちを魅了し、多くの称賛を集めていた。
しかしある日突然、身に覚えのない悪評が広まり、社交界から追放されてしまう。
婚約も破棄され、絶望に沈む彼女の元に現れたのは、実業家を名乗る青年・オリバー。
「君の才能を信じている。私と共に、未来を取り戻そう」
彼に導かれ、シャーロットは再び歩き出す。
だが、その背後には彼女を陥れた黒幕が・・・！？
奪われた矜持、絶望の淵でシャーロットのドレスが報復に染まる時、幸せを掴み取る逆転ロマンスがここに幕をあける！！
※本作品の１・２巻は『溺れるほど愛されて、幸せになってみせますわ！アンソロジーコミック12巻』の収録作品です。重複購入にご注意ください。</v>
      </c>
      <c r="W2703" s="14"/>
      <c r="X2703" s="14" t="str">
        <f>IFERROR(__xludf.DUMMYFUNCTION("""COMPUTED_VALUE"""),"有")</f>
        <v>有</v>
      </c>
      <c r="Y2703" s="8" t="str">
        <f>IFERROR(__xludf.DUMMYFUNCTION("""COMPUTED_VALUE"""),"P11まで")</f>
        <v>P11まで</v>
      </c>
      <c r="Z2703" s="7"/>
      <c r="AA2703" s="7"/>
      <c r="AB2703" s="7"/>
    </row>
    <row r="2704" ht="15.75" customHeight="1">
      <c r="A2704" s="26">
        <f>IFERROR(__xludf.DUMMYFUNCTION("""COMPUTED_VALUE"""),3884.0)</f>
        <v>3884</v>
      </c>
      <c r="B2704" s="22" t="str">
        <f>IFERROR(__xludf.DUMMYFUNCTION("""COMPUTED_VALUE"""),"確定")</f>
        <v>確定</v>
      </c>
      <c r="C2704" s="28">
        <f>IFERROR(__xludf.DUMMYFUNCTION("""COMPUTED_VALUE"""),45503.0)</f>
        <v>45503</v>
      </c>
      <c r="D2704" s="28">
        <f>IFERROR(__xludf.DUMMYFUNCTION("""COMPUTED_VALUE"""),45677.0)</f>
        <v>45677</v>
      </c>
      <c r="E2704" s="100">
        <f>IFERROR(__xludf.DUMMYFUNCTION("""COMPUTED_VALUE"""),314515.0)</f>
        <v>314515</v>
      </c>
      <c r="F2704" s="61" t="str">
        <f>IFERROR(__xludf.DUMMYFUNCTION("""COMPUTED_VALUE"""),"不器用なわたしがワケあり上司に恋をして【分冊版】")</f>
        <v>不器用なわたしがワケあり上司に恋をして【分冊版】</v>
      </c>
      <c r="G2704" s="20" t="str">
        <f>IFERROR(__xludf.DUMMYFUNCTION("""COMPUTED_VALUE"""),"1～5")</f>
        <v>1～5</v>
      </c>
      <c r="H2704" s="22" t="str">
        <f>IFERROR(__xludf.DUMMYFUNCTION("""COMPUTED_VALUE"""),"鈴白ゆか")</f>
        <v>鈴白ゆか</v>
      </c>
      <c r="I2704" s="22" t="str">
        <f>IFERROR(__xludf.DUMMYFUNCTION("""COMPUTED_VALUE"""),"女性")</f>
        <v>女性</v>
      </c>
      <c r="J2704" s="22"/>
      <c r="K2704" s="22"/>
      <c r="L2704" s="22" t="str">
        <f>IFERROR(__xludf.DUMMYFUNCTION("""COMPUTED_VALUE"""),"マンガボックス")</f>
        <v>マンガボックス</v>
      </c>
      <c r="M2704" s="59">
        <f>IFERROR(__xludf.DUMMYFUNCTION("""COMPUTED_VALUE"""),45704.0)</f>
        <v>45704</v>
      </c>
      <c r="N2704" s="59">
        <f>IFERROR(__xludf.DUMMYFUNCTION("""COMPUTED_VALUE"""),45792.0)</f>
        <v>45792</v>
      </c>
      <c r="O2704" s="20"/>
      <c r="P2704" s="32" t="str">
        <f>IFERROR(__xludf.DUMMYFUNCTION("""COMPUTED_VALUE"""),"否")</f>
        <v>否</v>
      </c>
      <c r="Q2704" s="31"/>
      <c r="R2704" s="22" t="str">
        <f>IFERROR(__xludf.DUMMYFUNCTION("""COMPUTED_VALUE"""),"コミットOK")</f>
        <v>コミットOK</v>
      </c>
      <c r="S2704" s="22" t="str">
        <f>IFERROR(__xludf.DUMMYFUNCTION("""COMPUTED_VALUE"""),"20250115_マンガボックス_不器用なわたしがワケあり上司に恋をして")</f>
        <v>20250115_マンガボックス_不器用なわたしがワケあり上司に恋をして</v>
      </c>
      <c r="T2704" s="22" t="str">
        <f>IFERROR(__xludf.DUMMYFUNCTION("""COMPUTED_VALUE"""),"格納済み")</f>
        <v>格納済み</v>
      </c>
      <c r="U2704" s="15" t="str">
        <f>IFERROR(__xludf.DUMMYFUNCTION("""COMPUTED_VALUE"""),"鈴白ゆか/マンガボックス")</f>
        <v>鈴白ゆか/マンガボックス</v>
      </c>
      <c r="V2704" s="8" t="str">
        <f>IFERROR(__xludf.DUMMYFUNCTION("""COMPUTED_VALUE"""),"「14歳上の上司と恋愛はない」真面目女子・入江京子(24歳)は、そう断言した。その上司とは片倉課長（38歳）。笑わないカタブツ男──だと思っていたのに、京子には笑顔と優しい言葉をかけてくれて…!? 真面目で不器用な二人の年の差恋愛、スタート！")</f>
        <v>「14歳上の上司と恋愛はない」真面目女子・入江京子(24歳)は、そう断言した。その上司とは片倉課長（38歳）。笑わないカタブツ男──だと思っていたのに、京子には笑顔と優しい言葉をかけてくれて…!? 真面目で不器用な二人の年の差恋愛、スタート！</v>
      </c>
      <c r="W2704" s="14"/>
      <c r="X2704" s="14" t="str">
        <f>IFERROR(__xludf.DUMMYFUNCTION("""COMPUTED_VALUE"""),"有")</f>
        <v>有</v>
      </c>
      <c r="Y2704" s="8" t="str">
        <f>IFERROR(__xludf.DUMMYFUNCTION("""COMPUTED_VALUE"""),"2025/3/8まで1巻無料")</f>
        <v>2025/3/8まで1巻無料</v>
      </c>
      <c r="Z2704" s="7"/>
      <c r="AA2704" s="7"/>
      <c r="AB2704" s="7"/>
    </row>
    <row r="2705" ht="15.75" customHeight="1">
      <c r="A2705" s="26">
        <f>IFERROR(__xludf.DUMMYFUNCTION("""COMPUTED_VALUE"""),4457.0)</f>
        <v>4457</v>
      </c>
      <c r="B2705" s="22" t="str">
        <f>IFERROR(__xludf.DUMMYFUNCTION("""COMPUTED_VALUE"""),"確定")</f>
        <v>確定</v>
      </c>
      <c r="C2705" s="28">
        <f>IFERROR(__xludf.DUMMYFUNCTION("""COMPUTED_VALUE"""),45601.0)</f>
        <v>45601</v>
      </c>
      <c r="D2705" s="28">
        <f>IFERROR(__xludf.DUMMYFUNCTION("""COMPUTED_VALUE"""),45677.0)</f>
        <v>45677</v>
      </c>
      <c r="E2705" s="100">
        <f>IFERROR(__xludf.DUMMYFUNCTION("""COMPUTED_VALUE"""),314945.0)</f>
        <v>314945</v>
      </c>
      <c r="F2705" s="61" t="str">
        <f>IFERROR(__xludf.DUMMYFUNCTION("""COMPUTED_VALUE"""),"役目を果たした日陰の勇者は、辺境で自由に生きていきます【分冊版】")</f>
        <v>役目を果たした日陰の勇者は、辺境で自由に生きていきます【分冊版】</v>
      </c>
      <c r="G2705" s="20" t="str">
        <f>IFERROR(__xludf.DUMMYFUNCTION("""COMPUTED_VALUE"""),"1～5")</f>
        <v>1～5</v>
      </c>
      <c r="H2705" s="22" t="str">
        <f>IFERROR(__xludf.DUMMYFUNCTION("""COMPUTED_VALUE"""),"船野真帆（作画）、丘野優（原作）、布施龍太（キャラクター原案）")</f>
        <v>船野真帆（作画）、丘野優（原作）、布施龍太（キャラクター原案）</v>
      </c>
      <c r="I2705" s="22" t="str">
        <f>IFERROR(__xludf.DUMMYFUNCTION("""COMPUTED_VALUE"""),"少年")</f>
        <v>少年</v>
      </c>
      <c r="J2705" s="22"/>
      <c r="K2705" s="22" t="str">
        <f>IFERROR(__xludf.DUMMYFUNCTION("""COMPUTED_VALUE"""),"グラストＣＯＭＩＣＳ")</f>
        <v>グラストＣＯＭＩＣＳ</v>
      </c>
      <c r="L2705" s="22" t="str">
        <f>IFERROR(__xludf.DUMMYFUNCTION("""COMPUTED_VALUE"""),"スターツ出版")</f>
        <v>スターツ出版</v>
      </c>
      <c r="M2705" s="59">
        <f>IFERROR(__xludf.DUMMYFUNCTION("""COMPUTED_VALUE"""),45709.0)</f>
        <v>45709</v>
      </c>
      <c r="N2705" s="59">
        <f>IFERROR(__xludf.DUMMYFUNCTION("""COMPUTED_VALUE"""),45771.0)</f>
        <v>45771</v>
      </c>
      <c r="O2705" s="20"/>
      <c r="P2705" s="34" t="str">
        <f>IFERROR(__xludf.DUMMYFUNCTION("""COMPUTED_VALUE"""),"可")</f>
        <v>可</v>
      </c>
      <c r="Q2705" s="30" t="str">
        <f>IFERROR(__xludf.DUMMYFUNCTION("""COMPUTED_VALUE"""),"・ソルマーレからの提案出稿コミット案件&lt;BR&gt;・内容はグラスト（82号 P3～）掲載&lt;BR&gt;　https://www.cmoa.jp/title/223176/vol/82/")</f>
        <v>・ソルマーレからの提案出稿コミット案件&lt;BR&gt;・内容はグラスト（82号 P3～）掲載&lt;BR&gt;　https://www.cmoa.jp/title/223176/vol/82/</v>
      </c>
      <c r="R2705" s="22"/>
      <c r="S2705" s="22" t="str">
        <f>IFERROR(__xludf.DUMMYFUNCTION("""COMPUTED_VALUE"""),"20250115_スターツ出版_役目を果たした日陰の勇者は、辺境で自由に生きていきます")</f>
        <v>20250115_スターツ出版_役目を果たした日陰の勇者は、辺境で自由に生きていきます</v>
      </c>
      <c r="T2705" s="22" t="str">
        <f>IFERROR(__xludf.DUMMYFUNCTION("""COMPUTED_VALUE"""),"格納済み")</f>
        <v>格納済み</v>
      </c>
      <c r="U2705" s="15" t="str">
        <f>IFERROR(__xludf.DUMMYFUNCTION("""COMPUTED_VALUE"""),"（Ｃ）Maho Funeno・Yu Okano/スターツ出版")</f>
        <v>（Ｃ）Maho Funeno・Yu Okano/スターツ出版</v>
      </c>
      <c r="V2705" s="8" t="str">
        <f>IFERROR(__xludf.DUMMYFUNCTION("""COMPUTED_VALUE"""),"王子率いる勇者パーティーの荷物持ちでありながら、単独で魔王を討伐したクレイ。しかし、その功績はこれからの国を担う王子に譲り、邪魔になりたくない彼は姿を消した。
ただの村人に戻ったクレイが向かったのは、誰もが開拓を諦めた辺境の地獄――“辺獄”。【鑑定】と【模倣】のスキルで勇者パーティーの技術を吸収した彼は、怪物ひしめく未開の地を自由に切り拓いていく。
だが、異次元の強さを誇るクレイを、元仲間も敵も…周りが放っておくはずがなく――!? 引退した真の勇者が挑む、辺境開拓ファンタジー（この作品は電子コミック誌"&amp;"comicグラスト82号に収録されています。重複購入にご注意ください）")</f>
        <v>王子率いる勇者パーティーの荷物持ちでありながら、単独で魔王を討伐したクレイ。しかし、その功績はこれからの国を担う王子に譲り、邪魔になりたくない彼は姿を消した。
ただの村人に戻ったクレイが向かったのは、誰もが開拓を諦めた辺境の地獄――“辺獄”。【鑑定】と【模倣】のスキルで勇者パーティーの技術を吸収した彼は、怪物ひしめく未開の地を自由に切り拓いていく。
だが、異次元の強さを誇るクレイを、元仲間も敵も…周りが放っておくはずがなく――!? 引退した真の勇者が挑む、辺境開拓ファンタジー（この作品は電子コミック誌comicグラスト82号に収録されています。重複購入にご注意ください）</v>
      </c>
      <c r="W2705" s="14"/>
      <c r="X2705" s="14" t="str">
        <f>IFERROR(__xludf.DUMMYFUNCTION("""COMPUTED_VALUE"""),"有")</f>
        <v>有</v>
      </c>
      <c r="Y2705" s="8" t="str">
        <f>IFERROR(__xludf.DUMMYFUNCTION("""COMPUTED_VALUE"""),"2025/4/24まで1巻無料")</f>
        <v>2025/4/24まで1巻無料</v>
      </c>
      <c r="Z2705" s="7"/>
      <c r="AA2705" s="7"/>
      <c r="AB2705" s="7"/>
    </row>
    <row r="2706" ht="15.75" customHeight="1">
      <c r="A2706" s="26">
        <f>IFERROR(__xludf.DUMMYFUNCTION("""COMPUTED_VALUE"""),4577.0)</f>
        <v>4577</v>
      </c>
      <c r="B2706" s="22" t="str">
        <f>IFERROR(__xludf.DUMMYFUNCTION("""COMPUTED_VALUE"""),"確定")</f>
        <v>確定</v>
      </c>
      <c r="C2706" s="28">
        <f>IFERROR(__xludf.DUMMYFUNCTION("""COMPUTED_VALUE"""),45623.0)</f>
        <v>45623</v>
      </c>
      <c r="D2706" s="28">
        <f>IFERROR(__xludf.DUMMYFUNCTION("""COMPUTED_VALUE"""),45672.0)</f>
        <v>45672</v>
      </c>
      <c r="E2706" s="26">
        <f>IFERROR(__xludf.DUMMYFUNCTION("""COMPUTED_VALUE"""),315809.0)</f>
        <v>315809</v>
      </c>
      <c r="F2706" s="22" t="str">
        <f>IFERROR(__xludf.DUMMYFUNCTION("""COMPUTED_VALUE"""),"恋の片道切符【タテヨミ】")</f>
        <v>恋の片道切符【タテヨミ】</v>
      </c>
      <c r="G2706" s="20" t="str">
        <f>IFERROR(__xludf.DUMMYFUNCTION("""COMPUTED_VALUE"""),"1～5")</f>
        <v>1～5</v>
      </c>
      <c r="H2706" s="22" t="str">
        <f>IFERROR(__xludf.DUMMYFUNCTION("""COMPUTED_VALUE"""),"梁阿渣（原作：木原音瀬）")</f>
        <v>梁阿渣（原作：木原音瀬）</v>
      </c>
      <c r="I2706" s="22" t="str">
        <f>IFERROR(__xludf.DUMMYFUNCTION("""COMPUTED_VALUE"""),"BL")</f>
        <v>BL</v>
      </c>
      <c r="J2706" s="22"/>
      <c r="K2706" s="22"/>
      <c r="L2706" s="22" t="str">
        <f>IFERROR(__xludf.DUMMYFUNCTION("""COMPUTED_VALUE"""),"リブレ")</f>
        <v>リブレ</v>
      </c>
      <c r="M2706" s="59">
        <f>IFERROR(__xludf.DUMMYFUNCTION("""COMPUTED_VALUE"""),45721.0)</f>
        <v>45721</v>
      </c>
      <c r="N2706" s="23">
        <f>IFERROR(__xludf.DUMMYFUNCTION("""COMPUTED_VALUE"""),45783.0)</f>
        <v>45783</v>
      </c>
      <c r="O2706" s="20"/>
      <c r="P2706" s="34" t="str">
        <f>IFERROR(__xludf.DUMMYFUNCTION("""COMPUTED_VALUE"""),"可")</f>
        <v>可</v>
      </c>
      <c r="Q2706" s="31" t="str">
        <f>IFERROR(__xludf.DUMMYFUNCTION("""COMPUTED_VALUE"""),"・プロローグ～4話まで
話数：全38話（プロローグ、番外編2話含む）
■おすすめポイント
BLノベル界で圧倒的な評価を受ける木原音瀬先生の
小説ビーボーイに掲載された単行本未収録短編小説のコミカライズです。
作画の梁先生のウェイボのフォロワー数は180万人！
　└リブレ作品では「BL自由帳 萌え大解放 アンソロジー」に執筆いただいております
・アダルト媒体でもコピーライト「（C）梁阿渣/木原音瀬/燃也文化/libre」で問題ございません。")</f>
        <v>・プロローグ～4話まで
話数：全38話（プロローグ、番外編2話含む）
■おすすめポイント
BLノベル界で圧倒的な評価を受ける木原音瀬先生の
小説ビーボーイに掲載された単行本未収録短編小説のコミカライズです。
作画の梁先生のウェイボのフォロワー数は180万人！
　└リブレ作品では「BL自由帳 萌え大解放 アンソロジー」に執筆いただいております
・アダルト媒体でもコピーライト「（C）梁阿渣/木原音瀬/燃也文化/libre」で問題ございません。</v>
      </c>
      <c r="R2706" s="22" t="str">
        <f>IFERROR(__xludf.DUMMYFUNCTION("""COMPUTED_VALUE"""),"コミットOK")</f>
        <v>コミットOK</v>
      </c>
      <c r="S2706" s="22" t="str">
        <f>IFERROR(__xludf.DUMMYFUNCTION("""COMPUTED_VALUE"""),"20250115_リブレ_恋の片道切符【タテヨミ】")</f>
        <v>20250115_リブレ_恋の片道切符【タテヨミ】</v>
      </c>
      <c r="T2706" s="22" t="str">
        <f>IFERROR(__xludf.DUMMYFUNCTION("""COMPUTED_VALUE"""),"格納済み")</f>
        <v>格納済み</v>
      </c>
      <c r="U2706" s="15" t="str">
        <f>IFERROR(__xludf.DUMMYFUNCTION("""COMPUTED_VALUE"""),"Ⓒ梁阿渣/木原音瀬/燃也文化/libre")</f>
        <v>Ⓒ梁阿渣/木原音瀬/燃也文化/libre</v>
      </c>
      <c r="V2706" s="8" t="str">
        <f>IFERROR(__xludf.DUMMYFUNCTION("""COMPUTED_VALUE"""),"俳優・千光士薫（せんこうじ かおる）が目覚めると、となりに男がいた。
どうやら昨夜、酔ったいきおいで、大ファンを名のるその男・イワンと交わったらしい。
至近距離にあるその顔をみて千光士は驚愕した。
彫の深い顔立ち、真っ白な肌、金色の髪の毛――どこをどう見ても『純外国産』だった。
（どうして、こういう状況になったのか…
　細身で和風な可愛い系男子が好きなのに…）
おまけに一回も使ったことのない秘穴を開通させられてしまっていた!!
「昨日は夢を見ているようでし"&amp;"た…
ずっと憧れていて、雲の上の人だから一生言葉を交わすこともないだろうと思っていた人と、
愛し合ってるなんて」
この京都育ちのドイツ人・イワンは、なんと童貞で、千光士が初めての人だった。
イワンの熱意に押されて、そのまま付き合うことになってしまうのだが――!?")</f>
        <v>俳優・千光士薫（せんこうじ かおる）が目覚めると、となりに男がいた。
どうやら昨夜、酔ったいきおいで、大ファンを名のるその男・イワンと交わったらしい。
至近距離にあるその顔をみて千光士は驚愕した。
彫の深い顔立ち、真っ白な肌、金色の髪の毛――どこをどう見ても『純外国産』だった。
（どうして、こういう状況になったのか…
　細身で和風な可愛い系男子が好きなのに…）
おまけに一回も使ったことのない秘穴を開通させられてしまっていた!!
「昨日は夢を見ているようでした…
ずっと憧れていて、雲の上の人だから一生言葉を交わすこともないだろうと思っていた人と、
愛し合ってるなんて」
この京都育ちのドイツ人・イワンは、なんと童貞で、千光士が初めての人だった。
イワンの熱意に押されて、そのまま付き合うことになってしまうのだが――!?</v>
      </c>
      <c r="W2706" s="14"/>
      <c r="X2706" s="14" t="str">
        <f>IFERROR(__xludf.DUMMYFUNCTION("""COMPUTED_VALUE"""),"有")</f>
        <v>有</v>
      </c>
      <c r="Y2706" s="8" t="str">
        <f>IFERROR(__xludf.DUMMYFUNCTION("""COMPUTED_VALUE"""),"1~2巻無料")</f>
        <v>1~2巻無料</v>
      </c>
      <c r="Z2706" s="7"/>
      <c r="AA2706" s="7"/>
      <c r="AB2706" s="7"/>
    </row>
    <row r="2707" ht="15.75" customHeight="1">
      <c r="A2707" s="26">
        <f>IFERROR(__xludf.DUMMYFUNCTION("""COMPUTED_VALUE"""),4589.0)</f>
        <v>4589</v>
      </c>
      <c r="B2707" s="22" t="str">
        <f>IFERROR(__xludf.DUMMYFUNCTION("""COMPUTED_VALUE"""),"確定")</f>
        <v>確定</v>
      </c>
      <c r="C2707" s="28">
        <f>IFERROR(__xludf.DUMMYFUNCTION("""COMPUTED_VALUE"""),45624.0)</f>
        <v>45624</v>
      </c>
      <c r="D2707" s="28">
        <f>IFERROR(__xludf.DUMMYFUNCTION("""COMPUTED_VALUE"""),45678.0)</f>
        <v>45678</v>
      </c>
      <c r="E2707" s="100">
        <f>IFERROR(__xludf.DUMMYFUNCTION("""COMPUTED_VALUE"""),311612.0)</f>
        <v>311612</v>
      </c>
      <c r="F2707" s="61" t="str">
        <f>IFERROR(__xludf.DUMMYFUNCTION("""COMPUTED_VALUE"""),"浮気に仁義なんてないっ！～嘘つきの婚約者を見返します～")</f>
        <v>浮気に仁義なんてないっ！～嘘つきの婚約者を見返します～</v>
      </c>
      <c r="G2707" s="20" t="str">
        <f>IFERROR(__xludf.DUMMYFUNCTION("""COMPUTED_VALUE"""),"1～3")</f>
        <v>1～3</v>
      </c>
      <c r="H2707" s="22" t="str">
        <f>IFERROR(__xludf.DUMMYFUNCTION("""COMPUTED_VALUE"""),"漫画：ななみことり  原作：猫とろ")</f>
        <v>漫画：ななみことり  原作：猫とろ</v>
      </c>
      <c r="I2707" s="22" t="str">
        <f>IFERROR(__xludf.DUMMYFUNCTION("""COMPUTED_VALUE"""),"女性マンガ")</f>
        <v>女性マンガ</v>
      </c>
      <c r="J2707" s="22"/>
      <c r="K2707" s="22" t="str">
        <f>IFERROR(__xludf.DUMMYFUNCTION("""COMPUTED_VALUE"""),"コミックアラカルト")</f>
        <v>コミックアラカルト</v>
      </c>
      <c r="L2707" s="22" t="str">
        <f>IFERROR(__xludf.DUMMYFUNCTION("""COMPUTED_VALUE"""),"コミックアラカルト")</f>
        <v>コミックアラカルト</v>
      </c>
      <c r="M2707" s="23">
        <f>IFERROR(__xludf.DUMMYFUNCTION("""COMPUTED_VALUE"""),45681.0)</f>
        <v>45681</v>
      </c>
      <c r="N2707" s="59">
        <f>IFERROR(__xludf.DUMMYFUNCTION("""COMPUTED_VALUE"""),45770.0)</f>
        <v>45770</v>
      </c>
      <c r="O2707" s="20"/>
      <c r="P2707" s="32" t="str">
        <f>IFERROR(__xludf.DUMMYFUNCTION("""COMPUTED_VALUE"""),"可")</f>
        <v>可</v>
      </c>
      <c r="Q2707" s="31"/>
      <c r="R2707" s="22" t="str">
        <f>IFERROR(__xludf.DUMMYFUNCTION("""COMPUTED_VALUE"""),"コミットOK")</f>
        <v>コミットOK</v>
      </c>
      <c r="S2707" s="22" t="str">
        <f>IFERROR(__xludf.DUMMYFUNCTION("""COMPUTED_VALUE"""),"20241203_サード・ライン・ネクスト_浮気に仁義なんてないっ！～嘘つきの婚約者を見返します～")</f>
        <v>20241203_サード・ライン・ネクスト_浮気に仁義なんてないっ！～嘘つきの婚約者を見返します～</v>
      </c>
      <c r="T2707" s="22" t="str">
        <f>IFERROR(__xludf.DUMMYFUNCTION("""COMPUTED_VALUE"""),"格納済み")</f>
        <v>格納済み</v>
      </c>
      <c r="U2707" s="15" t="str">
        <f>IFERROR(__xludf.DUMMYFUNCTION("""COMPUTED_VALUE"""),"（C）ななみことり （C）猫とろ （C）SANKYO （C）デジタルアトラクション")</f>
        <v>（C）ななみことり （C）猫とろ （C）SANKYO （C）デジタルアトラクション</v>
      </c>
      <c r="V2707" s="8" t="str">
        <f>IFERROR(__xludf.DUMMYFUNCTION("""COMPUTED_VALUE"""),"「あなたの婚約者は、僕の婚約者と浮気しています」と突然現れたオタク風の男から告げられる。愛する人との順風満帆な日々が、嘘にまみれた偽りの日々だった事を知り、協力して不貞した二人を見返すための策謀を巡らせるのだが…。オタク風の男かと思いきやその正体は!? 歪んだ愛への罰は!? 新たな出会いが運命を大きく変えることに――。※本作品は小説投稿サイト「エブリスタ」で大人気の「婚約者に浮気されたので見返します！」のコミカライズです。")</f>
        <v>「あなたの婚約者は、僕の婚約者と浮気しています」と突然現れたオタク風の男から告げられる。愛する人との順風満帆な日々が、嘘にまみれた偽りの日々だった事を知り、協力して不貞した二人を見返すための策謀を巡らせるのだが…。オタク風の男かと思いきやその正体は!? 歪んだ愛への罰は!? 新たな出会いが運命を大きく変えることに――。※本作品は小説投稿サイト「エブリスタ」で大人気の「婚約者に浮気されたので見返します！」のコミカライズです。</v>
      </c>
      <c r="W2707" s="14"/>
      <c r="X2707" s="14" t="str">
        <f>IFERROR(__xludf.DUMMYFUNCTION("""COMPUTED_VALUE"""),"有")</f>
        <v>有</v>
      </c>
      <c r="Y2707" s="8" t="str">
        <f>IFERROR(__xludf.DUMMYFUNCTION("""COMPUTED_VALUE"""),"2025/2/6まで1巻無料")</f>
        <v>2025/2/6まで1巻無料</v>
      </c>
      <c r="Z2707" s="7"/>
      <c r="AA2707" s="7"/>
      <c r="AB2707" s="7"/>
    </row>
    <row r="2708" ht="15.75" customHeight="1">
      <c r="A2708" s="26">
        <f>IFERROR(__xludf.DUMMYFUNCTION("""COMPUTED_VALUE"""),4616.0)</f>
        <v>4616</v>
      </c>
      <c r="B2708" s="22" t="str">
        <f>IFERROR(__xludf.DUMMYFUNCTION("""COMPUTED_VALUE"""),"確定")</f>
        <v>確定</v>
      </c>
      <c r="C2708" s="28">
        <f>IFERROR(__xludf.DUMMYFUNCTION("""COMPUTED_VALUE"""),45630.0)</f>
        <v>45630</v>
      </c>
      <c r="D2708" s="28">
        <f>IFERROR(__xludf.DUMMYFUNCTION("""COMPUTED_VALUE"""),45677.0)</f>
        <v>45677</v>
      </c>
      <c r="E2708" s="100">
        <f>IFERROR(__xludf.DUMMYFUNCTION("""COMPUTED_VALUE"""),315156.0)</f>
        <v>315156</v>
      </c>
      <c r="F2708" s="61" t="str">
        <f>IFERROR(__xludf.DUMMYFUNCTION("""COMPUTED_VALUE"""),"もぬけの黒［ばら売り］［DRUNK!］")</f>
        <v>もぬけの黒［ばら売り］［DRUNK!］</v>
      </c>
      <c r="G2708" s="20" t="str">
        <f>IFERROR(__xludf.DUMMYFUNCTION("""COMPUTED_VALUE"""),"1～3")</f>
        <v>1～3</v>
      </c>
      <c r="H2708" s="22" t="str">
        <f>IFERROR(__xludf.DUMMYFUNCTION("""COMPUTED_VALUE"""),"七成行")</f>
        <v>七成行</v>
      </c>
      <c r="I2708" s="22" t="str">
        <f>IFERROR(__xludf.DUMMYFUNCTION("""COMPUTED_VALUE"""),"BL")</f>
        <v>BL</v>
      </c>
      <c r="J2708" s="22"/>
      <c r="K2708" s="22" t="str">
        <f>IFERROR(__xludf.DUMMYFUNCTION("""COMPUTED_VALUE"""),"DRUNK!")</f>
        <v>DRUNK!</v>
      </c>
      <c r="L2708" s="22" t="str">
        <f>IFERROR(__xludf.DUMMYFUNCTION("""COMPUTED_VALUE"""),"白泉社")</f>
        <v>白泉社</v>
      </c>
      <c r="M2708" s="59">
        <f>IFERROR(__xludf.DUMMYFUNCTION("""COMPUTED_VALUE"""),45714.0)</f>
        <v>45714</v>
      </c>
      <c r="N2708" s="59">
        <f>IFERROR(__xludf.DUMMYFUNCTION("""COMPUTED_VALUE"""),45804.66666666667)</f>
        <v>45804.66667</v>
      </c>
      <c r="O2708" s="20"/>
      <c r="P2708" s="34" t="str">
        <f>IFERROR(__xludf.DUMMYFUNCTION("""COMPUTED_VALUE"""),"可")</f>
        <v>可</v>
      </c>
      <c r="Q2708" s="31" t="str">
        <f>IFERROR(__xludf.DUMMYFUNCTION("""COMPUTED_VALUE"""),"1～2巻分でご制作お願いします。")</f>
        <v>1～2巻分でご制作お願いします。</v>
      </c>
      <c r="R2708" s="22" t="str">
        <f>IFERROR(__xludf.DUMMYFUNCTION("""COMPUTED_VALUE"""),"コミットOK")</f>
        <v>コミットOK</v>
      </c>
      <c r="S2708" s="22" t="str">
        <f>IFERROR(__xludf.DUMMYFUNCTION("""COMPUTED_VALUE"""),"20250117_白泉社_もぬけの黒")</f>
        <v>20250117_白泉社_もぬけの黒</v>
      </c>
      <c r="T2708" s="22" t="str">
        <f>IFERROR(__xludf.DUMMYFUNCTION("""COMPUTED_VALUE"""),"格納済み")</f>
        <v>格納済み</v>
      </c>
      <c r="U2708" s="15" t="str">
        <f>IFERROR(__xludf.DUMMYFUNCTION("""COMPUTED_VALUE"""),"Ⓒ七成行／白泉社")</f>
        <v>Ⓒ七成行／白泉社</v>
      </c>
      <c r="V2708" s="8" t="str">
        <f>IFERROR(__xludf.DUMMYFUNCTION("""COMPUTED_VALUE"""),"ある日、ヘビが恩返しにやって来た―。鉄平は会社帰りに、見知らぬ男性がネズミを食べている姿を目撃してしまう。驚き逃げ帰る鉄平だったが、彼は部屋の中まで侵入してきた上に、ヘビに姿を変えるのだった。彼は鉄平が数日前に助けた大蛇で、恩返しに来たのだと言う。追い出そうとする鉄平に反して、大蛇は人懐っこく迫ってきて…？　天真爛漫な大蛇×本音が言えないサラリーマンの、恩返しからはじまる異種間ラブ。（50P）")</f>
        <v>ある日、ヘビが恩返しにやって来た―。鉄平は会社帰りに、見知らぬ男性がネズミを食べている姿を目撃してしまう。驚き逃げ帰る鉄平だったが、彼は部屋の中まで侵入してきた上に、ヘビに姿を変えるのだった。彼は鉄平が数日前に助けた大蛇で、恩返しに来たのだと言う。追い出そうとする鉄平に反して、大蛇は人懐っこく迫ってきて…？　天真爛漫な大蛇×本音が言えないサラリーマンの、恩返しからはじまる異種間ラブ。（50P）</v>
      </c>
      <c r="W2708" s="14"/>
      <c r="X2708" s="14" t="str">
        <f>IFERROR(__xludf.DUMMYFUNCTION("""COMPUTED_VALUE"""),"有")</f>
        <v>有</v>
      </c>
      <c r="Y2708" s="8" t="str">
        <f>IFERROR(__xludf.DUMMYFUNCTION("""COMPUTED_VALUE"""),"P16まで")</f>
        <v>P16まで</v>
      </c>
      <c r="Z2708" s="7"/>
      <c r="AA2708" s="7"/>
      <c r="AB2708" s="7"/>
    </row>
    <row r="2709" ht="15.75" customHeight="1">
      <c r="A2709" s="26">
        <f>IFERROR(__xludf.DUMMYFUNCTION("""COMPUTED_VALUE"""),4636.0)</f>
        <v>4636</v>
      </c>
      <c r="B2709" s="22" t="str">
        <f>IFERROR(__xludf.DUMMYFUNCTION("""COMPUTED_VALUE"""),"確定")</f>
        <v>確定</v>
      </c>
      <c r="C2709" s="28">
        <f>IFERROR(__xludf.DUMMYFUNCTION("""COMPUTED_VALUE"""),45631.0)</f>
        <v>45631</v>
      </c>
      <c r="D2709" s="28">
        <f>IFERROR(__xludf.DUMMYFUNCTION("""COMPUTED_VALUE"""),45677.0)</f>
        <v>45677</v>
      </c>
      <c r="E2709" s="100">
        <f>IFERROR(__xludf.DUMMYFUNCTION("""COMPUTED_VALUE"""),314393.0)</f>
        <v>314393</v>
      </c>
      <c r="F2709" s="61" t="str">
        <f>IFERROR(__xludf.DUMMYFUNCTION("""COMPUTED_VALUE"""),"3LDK猫と虎つき。【マイクロ】")</f>
        <v>3LDK猫と虎つき。【マイクロ】</v>
      </c>
      <c r="G2709" s="20" t="str">
        <f>IFERROR(__xludf.DUMMYFUNCTION("""COMPUTED_VALUE"""),"1〜5")</f>
        <v>1〜5</v>
      </c>
      <c r="H2709" s="22" t="str">
        <f>IFERROR(__xludf.DUMMYFUNCTION("""COMPUTED_VALUE"""),"新めぐみ")</f>
        <v>新めぐみ</v>
      </c>
      <c r="I2709" s="22" t="str">
        <f>IFERROR(__xludf.DUMMYFUNCTION("""COMPUTED_VALUE"""),"女性")</f>
        <v>女性</v>
      </c>
      <c r="J2709" s="22"/>
      <c r="K2709" s="22"/>
      <c r="L2709" s="22" t="str">
        <f>IFERROR(__xludf.DUMMYFUNCTION("""COMPUTED_VALUE"""),"小学館")</f>
        <v>小学館</v>
      </c>
      <c r="M2709" s="59">
        <f>IFERROR(__xludf.DUMMYFUNCTION("""COMPUTED_VALUE"""),45695.0)</f>
        <v>45695</v>
      </c>
      <c r="N2709" s="23">
        <f>IFERROR(__xludf.DUMMYFUNCTION("""COMPUTED_VALUE"""),45784.0)</f>
        <v>45784</v>
      </c>
      <c r="O2709" s="20"/>
      <c r="P2709" s="34" t="str">
        <f>IFERROR(__xludf.DUMMYFUNCTION("""COMPUTED_VALUE"""),"否")</f>
        <v>否</v>
      </c>
      <c r="Q2709" s="31" t="str">
        <f>IFERROR(__xludf.DUMMYFUNCTION("""COMPUTED_VALUE"""),"ヒロインと2人の男子による
シェアハウスを舞台にしたトライアングル同居ラブ作品です！絵がきれいで広告に映えるシーンもたくさんありますのでご検討よろしくお願いいたします！
※全6巻予定
（6巻目以降も続けられる終わり方になっているので、
売上が好調なようであれば、7巻目以降の配信の可能性もございます。）")</f>
        <v>ヒロインと2人の男子による
シェアハウスを舞台にしたトライアングル同居ラブ作品です！絵がきれいで広告に映えるシーンもたくさんありますのでご検討よろしくお願いいたします！
※全6巻予定
（6巻目以降も続けられる終わり方になっているので、
売上が好調なようであれば、7巻目以降の配信の可能性もございます。）</v>
      </c>
      <c r="R2709" s="22" t="str">
        <f>IFERROR(__xludf.DUMMYFUNCTION("""COMPUTED_VALUE"""),"コミットOK")</f>
        <v>コミットOK</v>
      </c>
      <c r="S2709" s="22" t="str">
        <f>IFERROR(__xludf.DUMMYFUNCTION("""COMPUTED_VALUE"""),"20250116_小学館_3LDK猫と虎つき。【マイクロ】")</f>
        <v>20250116_小学館_3LDK猫と虎つき。【マイクロ】</v>
      </c>
      <c r="T2709" s="22" t="str">
        <f>IFERROR(__xludf.DUMMYFUNCTION("""COMPUTED_VALUE"""),"格納済み")</f>
        <v>格納済み</v>
      </c>
      <c r="U2709" s="15" t="str">
        <f>IFERROR(__xludf.DUMMYFUNCTION("""COMPUTED_VALUE"""),"(C)新めぐみ / 小学館")</f>
        <v>(C)新めぐみ / 小学館</v>
      </c>
      <c r="V2709" s="8" t="str">
        <f>IFERROR(__xludf.DUMMYFUNCTION("""COMPUTED_VALUE"""),"「そんな困ってるならウチ住む？」
真面目に生きているのに不運続きな理央（りお）は、アクシデントで家無しに…。片想いしている同期・宮尾（みやお）に同居を提案され、舞い上がる理央だけど…！？すべての幸せになりたい女子に送る、はちゃめちゃトライアングル同居ラブ新連載！")</f>
        <v>「そんな困ってるならウチ住む？」
真面目に生きているのに不運続きな理央（りお）は、アクシデントで家無しに…。片想いしている同期・宮尾（みやお）に同居を提案され、舞い上がる理央だけど…！？すべての幸せになりたい女子に送る、はちゃめちゃトライアングル同居ラブ新連載！</v>
      </c>
      <c r="W2709" s="14"/>
      <c r="X2709" s="14" t="str">
        <f>IFERROR(__xludf.DUMMYFUNCTION("""COMPUTED_VALUE"""),"有")</f>
        <v>有</v>
      </c>
      <c r="Y2709" s="8" t="str">
        <f>IFERROR(__xludf.DUMMYFUNCTION("""COMPUTED_VALUE"""),"2025/5/6まで1巻無料")</f>
        <v>2025/5/6まで1巻無料</v>
      </c>
      <c r="Z2709" s="7"/>
      <c r="AA2709" s="7"/>
      <c r="AB2709" s="7"/>
    </row>
    <row r="2710" ht="15.75" customHeight="1">
      <c r="A2710" s="26">
        <f>IFERROR(__xludf.DUMMYFUNCTION("""COMPUTED_VALUE"""),4669.0)</f>
        <v>4669</v>
      </c>
      <c r="B2710" s="22" t="str">
        <f>IFERROR(__xludf.DUMMYFUNCTION("""COMPUTED_VALUE"""),"確定")</f>
        <v>確定</v>
      </c>
      <c r="C2710" s="28">
        <f>IFERROR(__xludf.DUMMYFUNCTION("""COMPUTED_VALUE"""),45636.0)</f>
        <v>45636</v>
      </c>
      <c r="D2710" s="28">
        <f>IFERROR(__xludf.DUMMYFUNCTION("""COMPUTED_VALUE"""),45677.0)</f>
        <v>45677</v>
      </c>
      <c r="E2710" s="100">
        <f>IFERROR(__xludf.DUMMYFUNCTION("""COMPUTED_VALUE"""),314735.0)</f>
        <v>314735</v>
      </c>
      <c r="F2710" s="61" t="str">
        <f>IFERROR(__xludf.DUMMYFUNCTION("""COMPUTED_VALUE"""),"呪われ王子は転生魔女にだけえっちな野獣化します…！？")</f>
        <v>呪われ王子は転生魔女にだけえっちな野獣化します…！？</v>
      </c>
      <c r="G2710" s="20" t="str">
        <f>IFERROR(__xludf.DUMMYFUNCTION("""COMPUTED_VALUE"""),"1～2")</f>
        <v>1～2</v>
      </c>
      <c r="H2710" s="22" t="str">
        <f>IFERROR(__xludf.DUMMYFUNCTION("""COMPUTED_VALUE"""),"長門えりか")</f>
        <v>長門えりか</v>
      </c>
      <c r="I2710" s="22" t="str">
        <f>IFERROR(__xludf.DUMMYFUNCTION("""COMPUTED_VALUE"""),"TL")</f>
        <v>TL</v>
      </c>
      <c r="J2710" s="22"/>
      <c r="K2710" s="22" t="str">
        <f>IFERROR(__xludf.DUMMYFUNCTION("""COMPUTED_VALUE"""),"乙女チック")</f>
        <v>乙女チック</v>
      </c>
      <c r="L2710" s="22" t="str">
        <f>IFERROR(__xludf.DUMMYFUNCTION("""COMPUTED_VALUE"""),"CLLENN")</f>
        <v>CLLENN</v>
      </c>
      <c r="M2710" s="59">
        <f>IFERROR(__xludf.DUMMYFUNCTION("""COMPUTED_VALUE"""),45710.0)</f>
        <v>45710</v>
      </c>
      <c r="N2710" s="59">
        <f>IFERROR(__xludf.DUMMYFUNCTION("""COMPUTED_VALUE"""),45772.0)</f>
        <v>45772</v>
      </c>
      <c r="O2710" s="20"/>
      <c r="P2710" s="32" t="str">
        <f>IFERROR(__xludf.DUMMYFUNCTION("""COMPUTED_VALUE"""),"可")</f>
        <v>可</v>
      </c>
      <c r="Q2710" s="31"/>
      <c r="R2710" s="22" t="str">
        <f>IFERROR(__xludf.DUMMYFUNCTION("""COMPUTED_VALUE"""),"コミットOK")</f>
        <v>コミットOK</v>
      </c>
      <c r="S2710" s="22" t="str">
        <f>IFERROR(__xludf.DUMMYFUNCTION("""COMPUTED_VALUE"""),"20250116_CLLENN_呪われ王子は転生魔女にだけえっちな野獣化します…！？")</f>
        <v>20250116_CLLENN_呪われ王子は転生魔女にだけえっちな野獣化します…！？</v>
      </c>
      <c r="T2710" s="22" t="str">
        <f>IFERROR(__xludf.DUMMYFUNCTION("""COMPUTED_VALUE"""),"格納済み")</f>
        <v>格納済み</v>
      </c>
      <c r="U2710" s="15" t="str">
        <f>IFERROR(__xludf.DUMMYFUNCTION("""COMPUTED_VALUE"""),"Ⓒ長門えりか/CLLENN")</f>
        <v>Ⓒ長門えりか/CLLENN</v>
      </c>
      <c r="V2710" s="8" t="str">
        <f>IFERROR(__xludf.DUMMYFUNCTION("""COMPUTED_VALUE"""),"「運命？そんなものは知らない」理性を失った彼に貪られ、熱くなるカラダ。「愛してる」だなんて、ゲームの展開と全然違う…『魔女』と『野獣』が結ばれるはずないのに…！―階段から落ちて乙女ゲームの世界に転生した私は、悪役・ヴィルヌーブになっていた。処刑ルートだけは回避して…なんて考えていると、攻略対象の王子・ラベートに抱かれてしまい!?月夜の晩に理性をなくし、野獣化する呪いをかけられている彼――魔女の私が恋しても、呪いは解いてあげられないのに…綺麗な顔に甘く囁かれ、敏感なトコロを弄られたら、快感には抗えなくて…!"&amp;"?こんな運命ありえないのに、逃げられないっ!!")</f>
        <v>「運命？そんなものは知らない」理性を失った彼に貪られ、熱くなるカラダ。「愛してる」だなんて、ゲームの展開と全然違う…『魔女』と『野獣』が結ばれるはずないのに…！―階段から落ちて乙女ゲームの世界に転生した私は、悪役・ヴィルヌーブになっていた。処刑ルートだけは回避して…なんて考えていると、攻略対象の王子・ラベートに抱かれてしまい!?月夜の晩に理性をなくし、野獣化する呪いをかけられている彼――魔女の私が恋しても、呪いは解いてあげられないのに…綺麗な顔に甘く囁かれ、敏感なトコロを弄られたら、快感には抗えなくて…!?こんな運命ありえないのに、逃げられないっ!!</v>
      </c>
      <c r="W2710" s="14"/>
      <c r="X2710" s="14" t="str">
        <f>IFERROR(__xludf.DUMMYFUNCTION("""COMPUTED_VALUE"""),"有")</f>
        <v>有</v>
      </c>
      <c r="Y2710" s="8" t="str">
        <f>IFERROR(__xludf.DUMMYFUNCTION("""COMPUTED_VALUE"""),"2025/3/21まで立ち読み増量P16まで")</f>
        <v>2025/3/21まで立ち読み増量P16まで</v>
      </c>
      <c r="Z2710" s="7"/>
      <c r="AA2710" s="7"/>
      <c r="AB2710" s="7"/>
    </row>
    <row r="2711" ht="15.75" customHeight="1">
      <c r="A2711" s="26">
        <f>IFERROR(__xludf.DUMMYFUNCTION("""COMPUTED_VALUE"""),4675.0)</f>
        <v>4675</v>
      </c>
      <c r="B2711" s="22" t="str">
        <f>IFERROR(__xludf.DUMMYFUNCTION("""COMPUTED_VALUE"""),"確定")</f>
        <v>確定</v>
      </c>
      <c r="C2711" s="28">
        <f>IFERROR(__xludf.DUMMYFUNCTION("""COMPUTED_VALUE"""),45638.0)</f>
        <v>45638</v>
      </c>
      <c r="D2711" s="28">
        <f>IFERROR(__xludf.DUMMYFUNCTION("""COMPUTED_VALUE"""),45677.0)</f>
        <v>45677</v>
      </c>
      <c r="E2711" s="100">
        <f>IFERROR(__xludf.DUMMYFUNCTION("""COMPUTED_VALUE"""),312980.0)</f>
        <v>312980</v>
      </c>
      <c r="F2711" s="61" t="str">
        <f>IFERROR(__xludf.DUMMYFUNCTION("""COMPUTED_VALUE"""),"溺愛フランベ～社長は味見がやめられない～《Lovelicot》")</f>
        <v>溺愛フランベ～社長は味見がやめられない～《Lovelicot》</v>
      </c>
      <c r="G2711" s="20" t="str">
        <f>IFERROR(__xludf.DUMMYFUNCTION("""COMPUTED_VALUE"""),"1～2")</f>
        <v>1～2</v>
      </c>
      <c r="H2711" s="22" t="str">
        <f>IFERROR(__xludf.DUMMYFUNCTION("""COMPUTED_VALUE"""),"本間ねぶそく")</f>
        <v>本間ねぶそく</v>
      </c>
      <c r="I2711" s="22" t="str">
        <f>IFERROR(__xludf.DUMMYFUNCTION("""COMPUTED_VALUE"""),"TL")</f>
        <v>TL</v>
      </c>
      <c r="J2711" s="22"/>
      <c r="K2711" s="22" t="str">
        <f>IFERROR(__xludf.DUMMYFUNCTION("""COMPUTED_VALUE"""),"Lovelicot")</f>
        <v>Lovelicot</v>
      </c>
      <c r="L2711" s="22" t="str">
        <f>IFERROR(__xludf.DUMMYFUNCTION("""COMPUTED_VALUE"""),"ガールスカウトコミックス")</f>
        <v>ガールスカウトコミックス</v>
      </c>
      <c r="M2711" s="59">
        <f>IFERROR(__xludf.DUMMYFUNCTION("""COMPUTED_VALUE"""),45706.0)</f>
        <v>45706</v>
      </c>
      <c r="N2711" s="47">
        <f>IFERROR(__xludf.DUMMYFUNCTION("""COMPUTED_VALUE"""),45794.0)</f>
        <v>45794</v>
      </c>
      <c r="O2711" s="20"/>
      <c r="P2711" s="32" t="str">
        <f>IFERROR(__xludf.DUMMYFUNCTION("""COMPUTED_VALUE"""),"可")</f>
        <v>可</v>
      </c>
      <c r="Q2711" s="31"/>
      <c r="R2711" s="22" t="str">
        <f>IFERROR(__xludf.DUMMYFUNCTION("""COMPUTED_VALUE"""),"コミットOK")</f>
        <v>コミットOK</v>
      </c>
      <c r="S2711" s="22" t="str">
        <f>IFERROR(__xludf.DUMMYFUNCTION("""COMPUTED_VALUE"""),"20250120_ガールスカウトコミックス_溺愛フランベ〜社長は味見がやめられない〜")</f>
        <v>20250120_ガールスカウトコミックス_溺愛フランベ〜社長は味見がやめられない〜</v>
      </c>
      <c r="T2711" s="22" t="str">
        <f>IFERROR(__xludf.DUMMYFUNCTION("""COMPUTED_VALUE"""),"格納済み")</f>
        <v>格納済み</v>
      </c>
      <c r="U2711" s="15" t="str">
        <f>IFERROR(__xludf.DUMMYFUNCTION("""COMPUTED_VALUE"""),"(C)本間ねぶそく／ガールスカウトコミックス")</f>
        <v>(C)本間ねぶそく／ガールスカウトコミックス</v>
      </c>
      <c r="V2711" s="8" t="str">
        <f>IFERROR(__xludf.DUMMYFUNCTION("""COMPUTED_VALUE"""),"「あんず。ごめんね、俺もイかせて」
社長とこんなことしたらクビになっちゃうのに…頭がフワフワして、我慢できない──！
同棲中の恋人に浮気され、彼氏も家も失った佐藤あんず。社員食堂でも社長・角谷礼に生クリームをぶちまけ、社長室に呼び出され──これってもしやクビの危機…!?
ビクビクしていたあんずだが、予想は外れ、甘いもの好きとSNS運用の腕を買われ会社の広報を依頼される。ついでに新居が決まるまでの間は社長宅で住み込みの家政婦として働くことに…！
混乱しながらも仕事を終えたあんずに、「今まで使ったお金"&amp;"を返して」と元カレが迫る。礼が現れ、二度と姿を見せるなと追い払い、あんずの心は揺り動かされる──。
社長宅で早速広報の仕事にとりかかるあんず。洋酒入りスイーツを勧めたら礼は卒倒!?あれ…もしかして社長ってお酒にめちゃくちゃ弱い…!?!?
ワンナイトからはじまる、秘密の同棲オフィスラブストーリー！")</f>
        <v>「あんず。ごめんね、俺もイかせて」
社長とこんなことしたらクビになっちゃうのに…頭がフワフワして、我慢できない──！
同棲中の恋人に浮気され、彼氏も家も失った佐藤あんず。社員食堂でも社長・角谷礼に生クリームをぶちまけ、社長室に呼び出され──これってもしやクビの危機…!?
ビクビクしていたあんずだが、予想は外れ、甘いもの好きとSNS運用の腕を買われ会社の広報を依頼される。ついでに新居が決まるまでの間は社長宅で住み込みの家政婦として働くことに…！
混乱しながらも仕事を終えたあんずに、「今まで使ったお金を返して」と元カレが迫る。礼が現れ、二度と姿を見せるなと追い払い、あんずの心は揺り動かされる──。
社長宅で早速広報の仕事にとりかかるあんず。洋酒入りスイーツを勧めたら礼は卒倒!?あれ…もしかして社長ってお酒にめちゃくちゃ弱い…!?!?
ワンナイトからはじまる、秘密の同棲オフィスラブストーリー！</v>
      </c>
      <c r="W2711" s="14"/>
      <c r="X2711" s="14" t="str">
        <f>IFERROR(__xludf.DUMMYFUNCTION("""COMPUTED_VALUE"""),"有")</f>
        <v>有</v>
      </c>
      <c r="Y2711" s="8" t="str">
        <f>IFERROR(__xludf.DUMMYFUNCTION("""COMPUTED_VALUE"""),"2025/3/3まで立ち読み増量P25まで")</f>
        <v>2025/3/3まで立ち読み増量P25まで</v>
      </c>
      <c r="Z2711" s="7"/>
      <c r="AA2711" s="7"/>
      <c r="AB2711" s="7"/>
    </row>
    <row r="2712" ht="15.75" customHeight="1">
      <c r="A2712" s="26">
        <f>IFERROR(__xludf.DUMMYFUNCTION("""COMPUTED_VALUE"""),4715.0)</f>
        <v>4715</v>
      </c>
      <c r="B2712" s="22" t="str">
        <f>IFERROR(__xludf.DUMMYFUNCTION("""COMPUTED_VALUE"""),"確定")</f>
        <v>確定</v>
      </c>
      <c r="C2712" s="28">
        <f>IFERROR(__xludf.DUMMYFUNCTION("""COMPUTED_VALUE"""),45650.0)</f>
        <v>45650</v>
      </c>
      <c r="D2712" s="28">
        <f>IFERROR(__xludf.DUMMYFUNCTION("""COMPUTED_VALUE"""),45677.0)</f>
        <v>45677</v>
      </c>
      <c r="E2712" s="100">
        <f>IFERROR(__xludf.DUMMYFUNCTION("""COMPUTED_VALUE"""),313581.0)</f>
        <v>313581</v>
      </c>
      <c r="F2712" s="61" t="str">
        <f>IFERROR(__xludf.DUMMYFUNCTION("""COMPUTED_VALUE"""),"私をだめにする三人の男たち【単話売】")</f>
        <v>私をだめにする三人の男たち【単話売】</v>
      </c>
      <c r="G2712" s="20" t="str">
        <f>IFERROR(__xludf.DUMMYFUNCTION("""COMPUTED_VALUE"""),"1～3")</f>
        <v>1～3</v>
      </c>
      <c r="H2712" s="22" t="str">
        <f>IFERROR(__xludf.DUMMYFUNCTION("""COMPUTED_VALUE"""),"ミズ┴月見カオル")</f>
        <v>ミズ┴月見カオル</v>
      </c>
      <c r="I2712" s="46" t="str">
        <f>IFERROR(__xludf.DUMMYFUNCTION("""COMPUTED_VALUE"""),"女性")</f>
        <v>女性</v>
      </c>
      <c r="J2712" s="22"/>
      <c r="K2712" s="22"/>
      <c r="L2712" s="22" t="str">
        <f>IFERROR(__xludf.DUMMYFUNCTION("""COMPUTED_VALUE"""),"ジュリアンパブリッシング")</f>
        <v>ジュリアンパブリッシング</v>
      </c>
      <c r="M2712" s="23">
        <f>IFERROR(__xludf.DUMMYFUNCTION("""COMPUTED_VALUE"""),45688.0)</f>
        <v>45688</v>
      </c>
      <c r="N2712" s="23">
        <f>IFERROR(__xludf.DUMMYFUNCTION("""COMPUTED_VALUE"""),45715.0)</f>
        <v>45715</v>
      </c>
      <c r="O2712" s="20"/>
      <c r="P2712" s="34" t="str">
        <f>IFERROR(__xludf.DUMMYFUNCTION("""COMPUTED_VALUE"""),"否")</f>
        <v>否</v>
      </c>
      <c r="Q2712" s="31" t="str">
        <f>IFERROR(__xludf.DUMMYFUNCTION("""COMPUTED_VALUE"""),"・こちら数社先行（おそらくピッコマ等）となります。")</f>
        <v>・こちら数社先行（おそらくピッコマ等）となります。</v>
      </c>
      <c r="R2712" s="22" t="str">
        <f>IFERROR(__xludf.DUMMYFUNCTION("""COMPUTED_VALUE"""),"コミットNG")</f>
        <v>コミットNG</v>
      </c>
      <c r="S2712" s="22" t="str">
        <f>IFERROR(__xludf.DUMMYFUNCTION("""COMPUTED_VALUE"""),"20250110_SBクリエイティブ_私をだめにする三人の男たち")</f>
        <v>20250110_SBクリエイティブ_私をだめにする三人の男たち</v>
      </c>
      <c r="T2712" s="22" t="str">
        <f>IFERROR(__xludf.DUMMYFUNCTION("""COMPUTED_VALUE"""),"格納済み")</f>
        <v>格納済み</v>
      </c>
      <c r="U2712" s="15" t="str">
        <f>IFERROR(__xludf.DUMMYFUNCTION("""COMPUTED_VALUE"""),"Ⓒミズ/月見カオル/ジュリアンパブリッシング")</f>
        <v>Ⓒミズ/月見カオル/ジュリアンパブリッシング</v>
      </c>
      <c r="V2712" s="8" t="str">
        <f>IFERROR(__xludf.DUMMYFUNCTION("""COMPUTED_VALUE"""),"「彼がいないと生きていけない」愛していた男を手放してしまったトラウマから、抜け出せずにいる真部希美（28歳）。「恋愛はこりごり」「波風を立てずに生きていきたい」そう思っていたのに…。とあるトラブルがきっかけでトラウマに引きずり込まれそうなとき、救いの手を差し伸べてくれたのは、上司の三木蒼だった。でも、三木には妻がいる……。そんなある日、部下の犀川倫太郎から思わぬ提案をされ――。だめな男たちに翻弄される、だめな女の話。")</f>
        <v>「彼がいないと生きていけない」愛していた男を手放してしまったトラウマから、抜け出せずにいる真部希美（28歳）。「恋愛はこりごり」「波風を立てずに生きていきたい」そう思っていたのに…。とあるトラブルがきっかけでトラウマに引きずり込まれそうなとき、救いの手を差し伸べてくれたのは、上司の三木蒼だった。でも、三木には妻がいる……。そんなある日、部下の犀川倫太郎から思わぬ提案をされ――。だめな男たちに翻弄される、だめな女の話。</v>
      </c>
      <c r="W2712" s="14"/>
      <c r="X2712" s="14" t="str">
        <f>IFERROR(__xludf.DUMMYFUNCTION("""COMPUTED_VALUE"""),"有")</f>
        <v>有</v>
      </c>
      <c r="Y2712" s="8" t="str">
        <f>IFERROR(__xludf.DUMMYFUNCTION("""COMPUTED_VALUE"""),"2025/2/13まで1巻無料")</f>
        <v>2025/2/13まで1巻無料</v>
      </c>
      <c r="Z2712" s="7"/>
      <c r="AA2712" s="7"/>
      <c r="AB2712" s="7"/>
    </row>
    <row r="2713" ht="15.75" customHeight="1">
      <c r="A2713" s="26">
        <f>IFERROR(__xludf.DUMMYFUNCTION("""COMPUTED_VALUE"""),4728.0)</f>
        <v>4728</v>
      </c>
      <c r="B2713" s="22" t="str">
        <f>IFERROR(__xludf.DUMMYFUNCTION("""COMPUTED_VALUE"""),"確定")</f>
        <v>確定</v>
      </c>
      <c r="C2713" s="28">
        <f>IFERROR(__xludf.DUMMYFUNCTION("""COMPUTED_VALUE"""),45651.0)</f>
        <v>45651</v>
      </c>
      <c r="D2713" s="28">
        <f>IFERROR(__xludf.DUMMYFUNCTION("""COMPUTED_VALUE"""),45677.0)</f>
        <v>45677</v>
      </c>
      <c r="E2713" s="100">
        <f>IFERROR(__xludf.DUMMYFUNCTION("""COMPUTED_VALUE"""),315034.0)</f>
        <v>315034</v>
      </c>
      <c r="F2713" s="61" t="str">
        <f>IFERROR(__xludf.DUMMYFUNCTION("""COMPUTED_VALUE"""),"お飾り女王は隣国王子の熱愛に溺れる～運命の再会は政略結婚で～")</f>
        <v>お飾り女王は隣国王子の熱愛に溺れる～運命の再会は政略結婚で～</v>
      </c>
      <c r="G2713" s="20">
        <f>IFERROR(__xludf.DUMMYFUNCTION("""COMPUTED_VALUE"""),1.0)</f>
        <v>1</v>
      </c>
      <c r="H2713" s="22" t="str">
        <f>IFERROR(__xludf.DUMMYFUNCTION("""COMPUTED_VALUE"""),"ひなたみわ")</f>
        <v>ひなたみわ</v>
      </c>
      <c r="I2713" s="22" t="str">
        <f>IFERROR(__xludf.DUMMYFUNCTION("""COMPUTED_VALUE"""),"TL")</f>
        <v>TL</v>
      </c>
      <c r="J2713" s="22"/>
      <c r="K2713" s="22" t="str">
        <f>IFERROR(__xludf.DUMMYFUNCTION("""COMPUTED_VALUE"""),"乙女ドルチェ・コミックス")</f>
        <v>乙女ドルチェ・コミックス</v>
      </c>
      <c r="L2713" s="22" t="str">
        <f>IFERROR(__xludf.DUMMYFUNCTION("""COMPUTED_VALUE"""),"ハーパーコリンズ・ジャパン")</f>
        <v>ハーパーコリンズ・ジャパン</v>
      </c>
      <c r="M2713" s="59">
        <f>IFERROR(__xludf.DUMMYFUNCTION("""COMPUTED_VALUE"""),45705.0)</f>
        <v>45705</v>
      </c>
      <c r="N2713" s="23">
        <f>IFERROR(__xludf.DUMMYFUNCTION("""COMPUTED_VALUE"""),45764.0)</f>
        <v>45764</v>
      </c>
      <c r="O2713" s="20"/>
      <c r="P2713" s="34" t="str">
        <f>IFERROR(__xludf.DUMMYFUNCTION("""COMPUTED_VALUE"""),"可")</f>
        <v>可</v>
      </c>
      <c r="Q2713" s="31" t="str">
        <f>IFERROR(__xludf.DUMMYFUNCTION("""COMPUTED_VALUE"""),"1巻完結")</f>
        <v>1巻完結</v>
      </c>
      <c r="R2713" s="22" t="str">
        <f>IFERROR(__xludf.DUMMYFUNCTION("""COMPUTED_VALUE"""),"コミットOK")</f>
        <v>コミットOK</v>
      </c>
      <c r="S2713" s="22" t="str">
        <f>IFERROR(__xludf.DUMMYFUNCTION("""COMPUTED_VALUE"""),"20250108_ハーパーコリンズ・ジャパン_お飾り女王は隣国王子の熱愛に溺れる～運命の再会は政略結婚で～")</f>
        <v>20250108_ハーパーコリンズ・ジャパン_お飾り女王は隣国王子の熱愛に溺れる～運命の再会は政略結婚で～</v>
      </c>
      <c r="T2713" s="22" t="str">
        <f>IFERROR(__xludf.DUMMYFUNCTION("""COMPUTED_VALUE"""),"格納済み")</f>
        <v>格納済み</v>
      </c>
      <c r="U2713" s="15" t="str">
        <f>IFERROR(__xludf.DUMMYFUNCTION("""COMPUTED_VALUE"""),"（C)ひなたみわ・西條六花／ハーパーコリンズ・ジャパン")</f>
        <v>（C)ひなたみわ・西條六花／ハーパーコリンズ・ジャパン</v>
      </c>
      <c r="V2713" s="8" t="str">
        <f>IFERROR(__xludf.DUMMYFUNCTION("""COMPUTED_VALUE"""),"心優しき無垢な女王　×　敵対国の冷徹王子
政略結婚から始まる溺愛夫婦生活――
「感じているのか、君を憎んでいる男に抱かれて…」彼は復讐のために私を抱いた…なのに身体は甘い快感に溺れて――。急逝した兄の跡を継いで、19歳の若さで突然女王となったアレクシア。敵対する連合国から和平条件として送り込まれた政略結婚の相手は、3年前恋に落ちるも引き離された初恋相手の隣国王子・レオンだった。運命的な再会…ところが彼はアレクシアに裏切られたと誤解して彼女を憎んでいた。義務的に妻を抱く、冷たい瞳のレオン。その行為に"&amp;"愛などない、わかっていても愛しい人への想いは抑えきれず…。")</f>
        <v>心優しき無垢な女王　×　敵対国の冷徹王子
政略結婚から始まる溺愛夫婦生活――
「感じているのか、君を憎んでいる男に抱かれて…」彼は復讐のために私を抱いた…なのに身体は甘い快感に溺れて――。急逝した兄の跡を継いで、19歳の若さで突然女王となったアレクシア。敵対する連合国から和平条件として送り込まれた政略結婚の相手は、3年前恋に落ちるも引き離された初恋相手の隣国王子・レオンだった。運命的な再会…ところが彼はアレクシアに裏切られたと誤解して彼女を憎んでいた。義務的に妻を抱く、冷たい瞳のレオン。その行為に愛などない、わかっていても愛しい人への想いは抑えきれず…。</v>
      </c>
      <c r="W2713" s="14"/>
      <c r="X2713" s="14" t="str">
        <f>IFERROR(__xludf.DUMMYFUNCTION("""COMPUTED_VALUE"""),"有")</f>
        <v>有</v>
      </c>
      <c r="Y2713" s="8" t="str">
        <f>IFERROR(__xludf.DUMMYFUNCTION("""COMPUTED_VALUE"""),"2025/3/17まで立ち読み増量P47まで")</f>
        <v>2025/3/17まで立ち読み増量P47まで</v>
      </c>
      <c r="Z2713" s="7"/>
      <c r="AA2713" s="7"/>
      <c r="AB2713" s="7"/>
    </row>
    <row r="2714" ht="15.75" customHeight="1">
      <c r="A2714" s="26">
        <f>IFERROR(__xludf.DUMMYFUNCTION("""COMPUTED_VALUE"""),4749.0)</f>
        <v>4749</v>
      </c>
      <c r="B2714" s="22" t="str">
        <f>IFERROR(__xludf.DUMMYFUNCTION("""COMPUTED_VALUE"""),"確定")</f>
        <v>確定</v>
      </c>
      <c r="C2714" s="28">
        <f>IFERROR(__xludf.DUMMYFUNCTION("""COMPUTED_VALUE"""),45663.0)</f>
        <v>45663</v>
      </c>
      <c r="D2714" s="28">
        <f>IFERROR(__xludf.DUMMYFUNCTION("""COMPUTED_VALUE"""),45678.0)</f>
        <v>45678</v>
      </c>
      <c r="E2714" s="100">
        <f>IFERROR(__xludf.DUMMYFUNCTION("""COMPUTED_VALUE"""),314807.0)</f>
        <v>314807</v>
      </c>
      <c r="F2714" s="61" t="str">
        <f>IFERROR(__xludf.DUMMYFUNCTION("""COMPUTED_VALUE"""),"次期侯爵様が暇乞いを許さない【R-18版】")</f>
        <v>次期侯爵様が暇乞いを許さない【R-18版】</v>
      </c>
      <c r="G2714" s="20" t="str">
        <f>IFERROR(__xludf.DUMMYFUNCTION("""COMPUTED_VALUE"""),"1～7")</f>
        <v>1～7</v>
      </c>
      <c r="H2714" s="22" t="str">
        <f>IFERROR(__xludf.DUMMYFUNCTION("""COMPUTED_VALUE"""),"喪みつ")</f>
        <v>喪みつ</v>
      </c>
      <c r="I2714" s="22" t="str">
        <f>IFERROR(__xludf.DUMMYFUNCTION("""COMPUTED_VALUE"""),"アダルトマンガ")</f>
        <v>アダルトマンガ</v>
      </c>
      <c r="J2714" s="22"/>
      <c r="K2714" s="22" t="str">
        <f>IFERROR(__xludf.DUMMYFUNCTION("""COMPUTED_VALUE"""),"無し")</f>
        <v>無し</v>
      </c>
      <c r="L2714" s="22" t="str">
        <f>IFERROR(__xludf.DUMMYFUNCTION("""COMPUTED_VALUE"""),"ナンバーナイン")</f>
        <v>ナンバーナイン</v>
      </c>
      <c r="M2714" s="59">
        <f>IFERROR(__xludf.DUMMYFUNCTION("""COMPUTED_VALUE"""),45709.0)</f>
        <v>45709</v>
      </c>
      <c r="N2714" s="23">
        <f>IFERROR(__xludf.DUMMYFUNCTION("""COMPUTED_VALUE"""),45767.0)</f>
        <v>45767</v>
      </c>
      <c r="O2714" s="20"/>
      <c r="P2714" s="32" t="str">
        <f>IFERROR(__xludf.DUMMYFUNCTION("""COMPUTED_VALUE"""),"可")</f>
        <v>可</v>
      </c>
      <c r="Q2714" s="31"/>
      <c r="R2714" s="22" t="str">
        <f>IFERROR(__xludf.DUMMYFUNCTION("""COMPUTED_VALUE"""),"コミットOK")</f>
        <v>コミットOK</v>
      </c>
      <c r="S2714" s="22" t="str">
        <f>IFERROR(__xludf.DUMMYFUNCTION("""COMPUTED_VALUE"""),"20250117_ナンバーナイン_次期侯爵様が暇乞いを許さない【R-18版】")</f>
        <v>20250117_ナンバーナイン_次期侯爵様が暇乞いを許さない【R-18版】</v>
      </c>
      <c r="T2714" s="22" t="str">
        <f>IFERROR(__xludf.DUMMYFUNCTION("""COMPUTED_VALUE"""),"格納済み")</f>
        <v>格納済み</v>
      </c>
      <c r="U2714" s="15" t="str">
        <f>IFERROR(__xludf.DUMMYFUNCTION("""COMPUTED_VALUE"""),"(C)喪みつ/ナンバーナイン")</f>
        <v>(C)喪みつ/ナンバーナイン</v>
      </c>
      <c r="V2714" s="8" t="str">
        <f>IFERROR(__xludf.DUMMYFUNCTION("""COMPUTED_VALUE"""),"※本作は同タイトルのR-18版です。重複購入にご注意ください。
とある貴族の娘は侯爵家の使用人になり、そこで侯爵の嫡男である少年ミケルと出会った。
時が経ち、ある日夜会から帰ってきたミケルに好意を告げられるも、それを拒絶した使用人。
するとミケルから相談を持ち掛けられた。
「…実は僕は女性が苦手なんだ。だから女性に慣れるために協力してくれないか?」
それならば…と二つ返事で了承するも次に告げられた言葉は…
「じゃあ服を脱いで」「全部」
口実を作りミケルは使用人に卑猥な"&amp;"要求をするようになる。
本文22ページ（全年齢版と同一内容）")</f>
        <v>※本作は同タイトルのR-18版です。重複購入にご注意ください。
とある貴族の娘は侯爵家の使用人になり、そこで侯爵の嫡男である少年ミケルと出会った。
時が経ち、ある日夜会から帰ってきたミケルに好意を告げられるも、それを拒絶した使用人。
するとミケルから相談を持ち掛けられた。
「…実は僕は女性が苦手なんだ。だから女性に慣れるために協力してくれないか?」
それならば…と二つ返事で了承するも次に告げられた言葉は…
「じゃあ服を脱いで」「全部」
口実を作りミケルは使用人に卑猥な要求をするようになる。
本文22ページ（全年齢版と同一内容）</v>
      </c>
      <c r="W2714" s="14"/>
      <c r="X2714" s="14" t="str">
        <f>IFERROR(__xludf.DUMMYFUNCTION("""COMPUTED_VALUE"""),"有")</f>
        <v>有</v>
      </c>
      <c r="Y2714" s="8" t="str">
        <f>IFERROR(__xludf.DUMMYFUNCTION("""COMPUTED_VALUE"""),"1巻無料")</f>
        <v>1巻無料</v>
      </c>
      <c r="Z2714" s="7"/>
      <c r="AA2714" s="7"/>
      <c r="AB2714" s="7"/>
    </row>
    <row r="2715" ht="15.75" customHeight="1">
      <c r="A2715" s="26">
        <f>IFERROR(__xludf.DUMMYFUNCTION("""COMPUTED_VALUE"""),4766.0)</f>
        <v>4766</v>
      </c>
      <c r="B2715" s="22" t="str">
        <f>IFERROR(__xludf.DUMMYFUNCTION("""COMPUTED_VALUE"""),"確定")</f>
        <v>確定</v>
      </c>
      <c r="C2715" s="28">
        <f>IFERROR(__xludf.DUMMYFUNCTION("""COMPUTED_VALUE"""),45665.0)</f>
        <v>45665</v>
      </c>
      <c r="D2715" s="28">
        <f>IFERROR(__xludf.DUMMYFUNCTION("""COMPUTED_VALUE"""),45678.0)</f>
        <v>45678</v>
      </c>
      <c r="E2715" s="26">
        <f>IFERROR(__xludf.DUMMYFUNCTION("""COMPUTED_VALUE"""),315223.0)</f>
        <v>315223</v>
      </c>
      <c r="F2715" s="22" t="str">
        <f>IFERROR(__xludf.DUMMYFUNCTION("""COMPUTED_VALUE"""),"妄想以上の恋を今だけ")</f>
        <v>妄想以上の恋を今だけ</v>
      </c>
      <c r="G2715" s="20" t="str">
        <f>IFERROR(__xludf.DUMMYFUNCTION("""COMPUTED_VALUE"""),"1～11")</f>
        <v>1～11</v>
      </c>
      <c r="H2715" s="22" t="str">
        <f>IFERROR(__xludf.DUMMYFUNCTION("""COMPUTED_VALUE"""),"宇賀ミユキ┴エトワール編集部")</f>
        <v>宇賀ミユキ┴エトワール編集部</v>
      </c>
      <c r="I2715" s="22" t="str">
        <f>IFERROR(__xludf.DUMMYFUNCTION("""COMPUTED_VALUE"""),"女性")</f>
        <v>女性</v>
      </c>
      <c r="J2715" s="22"/>
      <c r="K2715" s="22"/>
      <c r="L2715" s="22" t="str">
        <f>IFERROR(__xludf.DUMMYFUNCTION("""COMPUTED_VALUE"""),"ライブコミックス")</f>
        <v>ライブコミックス</v>
      </c>
      <c r="M2715" s="59">
        <f>IFERROR(__xludf.DUMMYFUNCTION("""COMPUTED_VALUE"""),45716.0)</f>
        <v>45716</v>
      </c>
      <c r="N2715" s="23">
        <f>IFERROR(__xludf.DUMMYFUNCTION("""COMPUTED_VALUE"""),45799.0)</f>
        <v>45799</v>
      </c>
      <c r="O2715" s="20"/>
      <c r="P2715" s="34" t="str">
        <f>IFERROR(__xludf.DUMMYFUNCTION("""COMPUTED_VALUE"""),"可")</f>
        <v>可</v>
      </c>
      <c r="Q2715" s="31" t="str">
        <f>IFERROR(__xludf.DUMMYFUNCTION("""COMPUTED_VALUE"""),"書店BookLiveからの2次先行です&lt;BR&gt;1～10巻分の素材でバナー制作をお願いします。&lt;BR&gt;配信から3か月間1~2巻無料を合わせて実施するでOKもらえましたので出稿お願いします")</f>
        <v>書店BookLiveからの2次先行です&lt;BR&gt;1～10巻分の素材でバナー制作をお願いします。&lt;BR&gt;配信から3か月間1~2巻無料を合わせて実施するでOKもらえましたので出稿お願いします</v>
      </c>
      <c r="R2715" s="22" t="str">
        <f>IFERROR(__xludf.DUMMYFUNCTION("""COMPUTED_VALUE"""),"コミットOK")</f>
        <v>コミットOK</v>
      </c>
      <c r="S2715" s="22" t="str">
        <f>IFERROR(__xludf.DUMMYFUNCTION("""COMPUTED_VALUE"""),"20250107_BookLive_妄想以上の恋を今だけ")</f>
        <v>20250107_BookLive_妄想以上の恋を今だけ</v>
      </c>
      <c r="T2715" s="22" t="str">
        <f>IFERROR(__xludf.DUMMYFUNCTION("""COMPUTED_VALUE"""),"格納済み")</f>
        <v>格納済み</v>
      </c>
      <c r="U2715" s="15" t="str">
        <f>IFERROR(__xludf.DUMMYFUNCTION("""COMPUTED_VALUE"""),"(C)宇賀ミユキ/ライブコミックス")</f>
        <v>(C)宇賀ミユキ/ライブコミックス</v>
      </c>
      <c r="V2715" s="8" t="str">
        <f>IFERROR(__xludf.DUMMYFUNCTION("""COMPUTED_VALUE"""),"美人OLの神尾美里(27)は、男性耐性ゼロながらも恋愛ごとには興味津々。”妄想彼氏”とのイチャラブ妄想日記をSNSに投稿するのが趣味――だけど、同期のキラキラ男子・日野くんにうっかりバレてしまって！？どういうわけか日野くんが彼氏、美里が彼女の”カップルごっこ”が成立。この恋はやがて”妄想以上”に発展するのか――？ヘタレ男子と妄想系女子のむずきゅんラブコメ、スタート！")</f>
        <v>美人OLの神尾美里(27)は、男性耐性ゼロながらも恋愛ごとには興味津々。”妄想彼氏”とのイチャラブ妄想日記をSNSに投稿するのが趣味――だけど、同期のキラキラ男子・日野くんにうっかりバレてしまって！？どういうわけか日野くんが彼氏、美里が彼女の”カップルごっこ”が成立。この恋はやがて”妄想以上”に発展するのか――？ヘタレ男子と妄想系女子のむずきゅんラブコメ、スタート！</v>
      </c>
      <c r="W2715" s="14"/>
      <c r="X2715" s="14" t="str">
        <f>IFERROR(__xludf.DUMMYFUNCTION("""COMPUTED_VALUE"""),"有")</f>
        <v>有</v>
      </c>
      <c r="Y2715" s="8" t="str">
        <f>IFERROR(__xludf.DUMMYFUNCTION("""COMPUTED_VALUE"""),"5/22まで2巻無料")</f>
        <v>5/22まで2巻無料</v>
      </c>
      <c r="Z2715" s="7"/>
      <c r="AA2715" s="7"/>
      <c r="AB2715" s="7"/>
    </row>
    <row r="2716" ht="15.75" customHeight="1">
      <c r="A2716" s="26">
        <f>IFERROR(__xludf.DUMMYFUNCTION("""COMPUTED_VALUE"""),4767.0)</f>
        <v>4767</v>
      </c>
      <c r="B2716" s="22" t="str">
        <f>IFERROR(__xludf.DUMMYFUNCTION("""COMPUTED_VALUE"""),"確定")</f>
        <v>確定</v>
      </c>
      <c r="C2716" s="28">
        <f>IFERROR(__xludf.DUMMYFUNCTION("""COMPUTED_VALUE"""),45665.0)</f>
        <v>45665</v>
      </c>
      <c r="D2716" s="28">
        <f>IFERROR(__xludf.DUMMYFUNCTION("""COMPUTED_VALUE"""),45678.0)</f>
        <v>45678</v>
      </c>
      <c r="E2716" s="100">
        <f>IFERROR(__xludf.DUMMYFUNCTION("""COMPUTED_VALUE"""),313184.0)</f>
        <v>313184</v>
      </c>
      <c r="F2716" s="61" t="str">
        <f>IFERROR(__xludf.DUMMYFUNCTION("""COMPUTED_VALUE"""),"オカルティックVSキス")</f>
        <v>オカルティックVSキス</v>
      </c>
      <c r="G2716" s="20" t="str">
        <f>IFERROR(__xludf.DUMMYFUNCTION("""COMPUTED_VALUE"""),"1～2")</f>
        <v>1～2</v>
      </c>
      <c r="H2716" s="22" t="str">
        <f>IFERROR(__xludf.DUMMYFUNCTION("""COMPUTED_VALUE"""),"34番地┴アスティル編集部")</f>
        <v>34番地┴アスティル編集部</v>
      </c>
      <c r="I2716" s="22" t="str">
        <f>IFERROR(__xludf.DUMMYFUNCTION("""COMPUTED_VALUE"""),"BL")</f>
        <v>BL</v>
      </c>
      <c r="J2716" s="22"/>
      <c r="K2716" s="22"/>
      <c r="L2716" s="22" t="str">
        <f>IFERROR(__xludf.DUMMYFUNCTION("""COMPUTED_VALUE"""),"ライブコミックス")</f>
        <v>ライブコミックス</v>
      </c>
      <c r="M2716" s="23">
        <f>IFERROR(__xludf.DUMMYFUNCTION("""COMPUTED_VALUE"""),45693.0)</f>
        <v>45693</v>
      </c>
      <c r="N2716" s="23">
        <f>IFERROR(__xludf.DUMMYFUNCTION("""COMPUTED_VALUE"""),45762.0)</f>
        <v>45762</v>
      </c>
      <c r="O2716" s="20"/>
      <c r="P2716" s="34" t="str">
        <f>IFERROR(__xludf.DUMMYFUNCTION("""COMPUTED_VALUE"""),"可")</f>
        <v>可</v>
      </c>
      <c r="Q2716" s="31" t="str">
        <f>IFERROR(__xludf.DUMMYFUNCTION("""COMPUTED_VALUE"""),"書店BookLiveからの二次先行")</f>
        <v>書店BookLiveからの二次先行</v>
      </c>
      <c r="R2716" s="22" t="str">
        <f>IFERROR(__xludf.DUMMYFUNCTION("""COMPUTED_VALUE"""),"コミットOK")</f>
        <v>コミットOK</v>
      </c>
      <c r="S2716" s="22" t="str">
        <f>IFERROR(__xludf.DUMMYFUNCTION("""COMPUTED_VALUE"""),"20250120_BookLive_オカルティックVSキス")</f>
        <v>20250120_BookLive_オカルティックVSキス</v>
      </c>
      <c r="T2716" s="22" t="str">
        <f>IFERROR(__xludf.DUMMYFUNCTION("""COMPUTED_VALUE"""),"格納済み")</f>
        <v>格納済み</v>
      </c>
      <c r="U2716" s="15" t="str">
        <f>IFERROR(__xludf.DUMMYFUNCTION("""COMPUTED_VALUE"""),"(C)34番地/ライブコミックス")</f>
        <v>(C)34番地/ライブコミックス</v>
      </c>
      <c r="V2716" s="8" t="str">
        <f>IFERROR(__xludf.DUMMYFUNCTION("""COMPUTED_VALUE"""),"大学３年生の鳳悠生（おおとり はるき）と、同じ大学に通うオカルトサークル代表の羽衣石雅（ういし みやび）は自他共に認める犬猿の仲。元々は仲が良い幼馴染だったが、雅がオカルトにハマったことをきっかけに、リアリストの悠生とは対立するようになってしまった。ある日、悠生は”呪いの指輪”を手に入れた雅に「オカルトの力を証明する」と勝負を挑まれる。オカルトなんて迷信だと証明し、雅の目を覚まさせるため、悠生は雅とふたりで呪いの指輪をはめてみることに！すると突然、ふたりの身体が熱くほてり始め――「この身体の疼き…間違いな"&amp;"く発情している!!」呪いの発動に喜ぶ雅だったが、呪いを解くには…セックスするしかなくて！？！？《スピ系御曹司×ひねくれ片思い幼馴染》巻き込まれセックス除霊から始まるハイテンションこじらせラブ！！")</f>
        <v>大学３年生の鳳悠生（おおとり はるき）と、同じ大学に通うオカルトサークル代表の羽衣石雅（ういし みやび）は自他共に認める犬猿の仲。元々は仲が良い幼馴染だったが、雅がオカルトにハマったことをきっかけに、リアリストの悠生とは対立するようになってしまった。ある日、悠生は”呪いの指輪”を手に入れた雅に「オカルトの力を証明する」と勝負を挑まれる。オカルトなんて迷信だと証明し、雅の目を覚まさせるため、悠生は雅とふたりで呪いの指輪をはめてみることに！すると突然、ふたりの身体が熱くほてり始め――「この身体の疼き…間違いなく発情している!!」呪いの発動に喜ぶ雅だったが、呪いを解くには…セックスするしかなくて！？！？《スピ系御曹司×ひねくれ片思い幼馴染》巻き込まれセックス除霊から始まるハイテンションこじらせラブ！！</v>
      </c>
      <c r="W2716" s="14"/>
      <c r="X2716" s="14" t="str">
        <f>IFERROR(__xludf.DUMMYFUNCTION("""COMPUTED_VALUE"""),"有")</f>
        <v>有</v>
      </c>
      <c r="Y2716" s="8" t="str">
        <f>IFERROR(__xludf.DUMMYFUNCTION("""COMPUTED_VALUE"""),"2025/3/4まで立ち読み増量P19まで")</f>
        <v>2025/3/4まで立ち読み増量P19まで</v>
      </c>
      <c r="Z2716" s="7"/>
      <c r="AA2716" s="7"/>
      <c r="AB2716" s="7"/>
    </row>
    <row r="2717" ht="15.75" customHeight="1">
      <c r="A2717" s="26">
        <f>IFERROR(__xludf.DUMMYFUNCTION("""COMPUTED_VALUE"""),4811.0)</f>
        <v>4811</v>
      </c>
      <c r="B2717" s="22" t="str">
        <f>IFERROR(__xludf.DUMMYFUNCTION("""COMPUTED_VALUE"""),"確定")</f>
        <v>確定</v>
      </c>
      <c r="C2717" s="28">
        <f>IFERROR(__xludf.DUMMYFUNCTION("""COMPUTED_VALUE"""),45672.0)</f>
        <v>45672</v>
      </c>
      <c r="D2717" s="28">
        <f>IFERROR(__xludf.DUMMYFUNCTION("""COMPUTED_VALUE"""),45672.0)</f>
        <v>45672</v>
      </c>
      <c r="E2717" s="100">
        <f>IFERROR(__xludf.DUMMYFUNCTION("""COMPUTED_VALUE"""),315036.0)</f>
        <v>315036</v>
      </c>
      <c r="F2717" s="61" t="str">
        <f>IFERROR(__xludf.DUMMYFUNCTION("""COMPUTED_VALUE"""),"汐風と竜のすみか［1話売り］")</f>
        <v>汐風と竜のすみか［1話売り］</v>
      </c>
      <c r="G2717" s="20" t="str">
        <f>IFERROR(__xludf.DUMMYFUNCTION("""COMPUTED_VALUE"""),"1～4")</f>
        <v>1～4</v>
      </c>
      <c r="H2717" s="22" t="str">
        <f>IFERROR(__xludf.DUMMYFUNCTION("""COMPUTED_VALUE"""),"縞あさと")</f>
        <v>縞あさと</v>
      </c>
      <c r="I2717" s="22" t="str">
        <f>IFERROR(__xludf.DUMMYFUNCTION("""COMPUTED_VALUE"""),"少女")</f>
        <v>少女</v>
      </c>
      <c r="J2717" s="22"/>
      <c r="K2717" s="22" t="str">
        <f>IFERROR(__xludf.DUMMYFUNCTION("""COMPUTED_VALUE"""),"LaLa")</f>
        <v>LaLa</v>
      </c>
      <c r="L2717" s="22" t="str">
        <f>IFERROR(__xludf.DUMMYFUNCTION("""COMPUTED_VALUE"""),"白泉社")</f>
        <v>白泉社</v>
      </c>
      <c r="M2717" s="59">
        <f>IFERROR(__xludf.DUMMYFUNCTION("""COMPUTED_VALUE"""),45704.0)</f>
        <v>45704</v>
      </c>
      <c r="N2717" s="59">
        <f>IFERROR(__xludf.DUMMYFUNCTION("""COMPUTED_VALUE"""),45772.0)</f>
        <v>45772</v>
      </c>
      <c r="O2717" s="20"/>
      <c r="P2717" s="34" t="str">
        <f>IFERROR(__xludf.DUMMYFUNCTION("""COMPUTED_VALUE"""),"否")</f>
        <v>否</v>
      </c>
      <c r="Q2717" s="31" t="str">
        <f>IFERROR(__xludf.DUMMYFUNCTION("""COMPUTED_VALUE"""),"河上さんへ事前コミット済みの作品です。&lt;BR&gt;1~3話分で出稿バナー制作をお願いします。。！")</f>
        <v>河上さんへ事前コミット済みの作品です。&lt;BR&gt;1~3話分で出稿バナー制作をお願いします。。！</v>
      </c>
      <c r="R2717" s="22" t="str">
        <f>IFERROR(__xludf.DUMMYFUNCTION("""COMPUTED_VALUE"""),"コミットOK")</f>
        <v>コミットOK</v>
      </c>
      <c r="S2717" s="22" t="str">
        <f>IFERROR(__xludf.DUMMYFUNCTION("""COMPUTED_VALUE"""),"20250115_白泉社_汐風と竜のすみか")</f>
        <v>20250115_白泉社_汐風と竜のすみか</v>
      </c>
      <c r="T2717" s="22" t="str">
        <f>IFERROR(__xludf.DUMMYFUNCTION("""COMPUTED_VALUE"""),"格納済み")</f>
        <v>格納済み</v>
      </c>
      <c r="U2717" s="15" t="str">
        <f>IFERROR(__xludf.DUMMYFUNCTION("""COMPUTED_VALUE"""),"⒞縞あさと/白泉社")</f>
        <v>⒞縞あさと/白泉社</v>
      </c>
      <c r="V2717" s="8" t="str">
        <f>IFERROR(__xludf.DUMMYFUNCTION("""COMPUTED_VALUE"""),"【同居人は、竜人の少年でした】父を亡くした瑞花は叔父に引き取られ、竜人伝説のある街に引っ越すことに。新天地でうまくやろうと意気込む瑞花だったが、叔父の家に下宿している“竜人”の少年・天辰に突き放されてしまい…？失くした少女と異形の少年、不器用なふたりの少し不思議な同居生活がいま始まる――…(この話は、【電子版】LaLa 12月号（2024年）に収録されています。)")</f>
        <v>【同居人は、竜人の少年でした】父を亡くした瑞花は叔父に引き取られ、竜人伝説のある街に引っ越すことに。新天地でうまくやろうと意気込む瑞花だったが、叔父の家に下宿している“竜人”の少年・天辰に突き放されてしまい…？失くした少女と異形の少年、不器用なふたりの少し不思議な同居生活がいま始まる――…(この話は、【電子版】LaLa 12月号（2024年）に収録されています。)</v>
      </c>
      <c r="W2717" s="14"/>
      <c r="X2717" s="14" t="str">
        <f>IFERROR(__xludf.DUMMYFUNCTION("""COMPUTED_VALUE"""),"有")</f>
        <v>有</v>
      </c>
      <c r="Y2717" s="8" t="str">
        <f>IFERROR(__xludf.DUMMYFUNCTION("""COMPUTED_VALUE"""),"2025/3/9まで1巻無料")</f>
        <v>2025/3/9まで1巻無料</v>
      </c>
      <c r="Z2717" s="7"/>
      <c r="AA2717" s="7"/>
      <c r="AB2717" s="7"/>
    </row>
    <row r="2718" ht="15.75" customHeight="1">
      <c r="A2718" s="26">
        <f>IFERROR(__xludf.DUMMYFUNCTION("""COMPUTED_VALUE"""),4812.0)</f>
        <v>4812</v>
      </c>
      <c r="B2718" s="22" t="str">
        <f>IFERROR(__xludf.DUMMYFUNCTION("""COMPUTED_VALUE"""),"確定")</f>
        <v>確定</v>
      </c>
      <c r="C2718" s="28">
        <f>IFERROR(__xludf.DUMMYFUNCTION("""COMPUTED_VALUE"""),45672.0)</f>
        <v>45672</v>
      </c>
      <c r="D2718" s="28">
        <f>IFERROR(__xludf.DUMMYFUNCTION("""COMPUTED_VALUE"""),45677.0)</f>
        <v>45677</v>
      </c>
      <c r="E2718" s="100">
        <f>IFERROR(__xludf.DUMMYFUNCTION("""COMPUTED_VALUE"""),314947.0)</f>
        <v>314947</v>
      </c>
      <c r="F2718" s="61" t="str">
        <f>IFERROR(__xludf.DUMMYFUNCTION("""COMPUTED_VALUE"""),"クズくんVSハニトラちゃん")</f>
        <v>クズくんVSハニトラちゃん</v>
      </c>
      <c r="G2718" s="20" t="str">
        <f>IFERROR(__xludf.DUMMYFUNCTION("""COMPUTED_VALUE"""),"1～3")</f>
        <v>1～3</v>
      </c>
      <c r="H2718" s="22" t="str">
        <f>IFERROR(__xludf.DUMMYFUNCTION("""COMPUTED_VALUE"""),"niko/")</f>
        <v>niko/</v>
      </c>
      <c r="I2718" s="46" t="str">
        <f>IFERROR(__xludf.DUMMYFUNCTION("""COMPUTED_VALUE"""),"少女")</f>
        <v>少女</v>
      </c>
      <c r="J2718" s="22"/>
      <c r="K2718" s="22"/>
      <c r="L2718" s="22" t="str">
        <f>IFERROR(__xludf.DUMMYFUNCTION("""COMPUTED_VALUE"""),"ライドオン")</f>
        <v>ライドオン</v>
      </c>
      <c r="M2718" s="59">
        <f>IFERROR(__xludf.DUMMYFUNCTION("""COMPUTED_VALUE"""),45697.0)</f>
        <v>45697</v>
      </c>
      <c r="N2718" s="59">
        <f>IFERROR(__xludf.DUMMYFUNCTION("""COMPUTED_VALUE"""),45785.0)</f>
        <v>45785</v>
      </c>
      <c r="O2718" s="20"/>
      <c r="P2718" s="32" t="str">
        <f>IFERROR(__xludf.DUMMYFUNCTION("""COMPUTED_VALUE"""),"可")</f>
        <v>可</v>
      </c>
      <c r="Q2718" s="30"/>
      <c r="R2718" s="22"/>
      <c r="S2718" s="22" t="str">
        <f>IFERROR(__xludf.DUMMYFUNCTION("""COMPUTED_VALUE"""),"20250115_ライドオン_クズくんVSハニトラちゃん")</f>
        <v>20250115_ライドオン_クズくんVSハニトラちゃん</v>
      </c>
      <c r="T2718" s="22" t="str">
        <f>IFERROR(__xludf.DUMMYFUNCTION("""COMPUTED_VALUE"""),"格納済み")</f>
        <v>格納済み</v>
      </c>
      <c r="U2718" s="15" t="str">
        <f>IFERROR(__xludf.DUMMYFUNCTION("""COMPUTED_VALUE"""),"(C)niko/AMUSE CREATIVE STUDIO")</f>
        <v>(C)niko/AMUSE CREATIVE STUDIO</v>
      </c>
      <c r="V2718" s="8" t="str">
        <f>IFERROR(__xludf.DUMMYFUNCTION("""COMPUTED_VALUE"""),"「俺に寝取れない女はいない。」―――――そんなクズ発言を信条とし、
自他共に認めるクズ中のクズ・流生（るい）。
今日もいつも通り、彼氏持ちの女子大生・杏子（あんず）を寝取ったが………なんか今回は、いつもと違う!?
弱みを握って強請ろうとする前に、杏子の方からカフェデートに誘ってきたり、
おうちデートがしたいと言ってきたり、と熱烈なラブアタックの嵐！
これまでの女子たちと全く違う杏子からのアプローチにペースを狂わされていくクズ男。
そして、いつしか可愛い彼女からの本気の想いが伝わって、気づけば彼"&amp;"は彼女のことを――。
だが、彼女のラブアタックには訳があって……!?
少女マンガ初!? 禁断のNTRからはじまる超純情ラブゲーム★")</f>
        <v>「俺に寝取れない女はいない。」―――――そんなクズ発言を信条とし、
自他共に認めるクズ中のクズ・流生（るい）。
今日もいつも通り、彼氏持ちの女子大生・杏子（あんず）を寝取ったが………なんか今回は、いつもと違う!?
弱みを握って強請ろうとする前に、杏子の方からカフェデートに誘ってきたり、
おうちデートがしたいと言ってきたり、と熱烈なラブアタックの嵐！
これまでの女子たちと全く違う杏子からのアプローチにペースを狂わされていくクズ男。
そして、いつしか可愛い彼女からの本気の想いが伝わって、気づけば彼は彼女のことを――。
だが、彼女のラブアタックには訳があって……!?
少女マンガ初!? 禁断のNTRからはじまる超純情ラブゲーム★</v>
      </c>
      <c r="W2718" s="14"/>
      <c r="X2718" s="14" t="str">
        <f>IFERROR(__xludf.DUMMYFUNCTION("""COMPUTED_VALUE"""),"有")</f>
        <v>有</v>
      </c>
      <c r="Y2718" s="8" t="str">
        <f>IFERROR(__xludf.DUMMYFUNCTION("""COMPUTED_VALUE"""),"2025/5/8まで1巻無料")</f>
        <v>2025/5/8まで1巻無料</v>
      </c>
      <c r="Z2718" s="7"/>
      <c r="AA2718" s="7"/>
      <c r="AB2718" s="7"/>
    </row>
    <row r="2719" ht="15.75" customHeight="1">
      <c r="A2719" s="26">
        <f>IFERROR(__xludf.DUMMYFUNCTION("""COMPUTED_VALUE"""),4818.0)</f>
        <v>4818</v>
      </c>
      <c r="B2719" s="22" t="str">
        <f>IFERROR(__xludf.DUMMYFUNCTION("""COMPUTED_VALUE"""),"確定")</f>
        <v>確定</v>
      </c>
      <c r="C2719" s="28">
        <f>IFERROR(__xludf.DUMMYFUNCTION("""COMPUTED_VALUE"""),45673.0)</f>
        <v>45673</v>
      </c>
      <c r="D2719" s="28">
        <f>IFERROR(__xludf.DUMMYFUNCTION("""COMPUTED_VALUE"""),45677.0)</f>
        <v>45677</v>
      </c>
      <c r="E2719" s="26">
        <f>IFERROR(__xludf.DUMMYFUNCTION("""COMPUTED_VALUE"""),316143.0)</f>
        <v>316143</v>
      </c>
      <c r="F2719" s="22" t="str">
        <f>IFERROR(__xludf.DUMMYFUNCTION("""COMPUTED_VALUE"""),"インスタントボーイフレンド［ばら売り］")</f>
        <v>インスタントボーイフレンド［ばら売り］</v>
      </c>
      <c r="G2719" s="20" t="str">
        <f>IFERROR(__xludf.DUMMYFUNCTION("""COMPUTED_VALUE"""),"1～4")</f>
        <v>1～4</v>
      </c>
      <c r="H2719" s="22" t="str">
        <f>IFERROR(__xludf.DUMMYFUNCTION("""COMPUTED_VALUE"""),"楠渚")</f>
        <v>楠渚</v>
      </c>
      <c r="I2719" s="22" t="str">
        <f>IFERROR(__xludf.DUMMYFUNCTION("""COMPUTED_VALUE"""),"BL")</f>
        <v>BL</v>
      </c>
      <c r="J2719" s="22"/>
      <c r="K2719" s="22" t="str">
        <f>IFERROR(__xludf.DUMMYFUNCTION("""COMPUTED_VALUE"""),"マンガPark")</f>
        <v>マンガPark</v>
      </c>
      <c r="L2719" s="22" t="str">
        <f>IFERROR(__xludf.DUMMYFUNCTION("""COMPUTED_VALUE"""),"白泉社")</f>
        <v>白泉社</v>
      </c>
      <c r="M2719" s="59">
        <f>IFERROR(__xludf.DUMMYFUNCTION("""COMPUTED_VALUE"""),45724.0)</f>
        <v>45724</v>
      </c>
      <c r="N2719" s="23">
        <f>IFERROR(__xludf.DUMMYFUNCTION("""COMPUTED_VALUE"""),45786.0)</f>
        <v>45786</v>
      </c>
      <c r="O2719" s="20"/>
      <c r="P2719" s="32" t="str">
        <f>IFERROR(__xludf.DUMMYFUNCTION("""COMPUTED_VALUE"""),"可")</f>
        <v>可</v>
      </c>
      <c r="Q2719" s="30"/>
      <c r="R2719" s="22"/>
      <c r="S2719" s="22" t="str">
        <f>IFERROR(__xludf.DUMMYFUNCTION("""COMPUTED_VALUE"""),"20250120_白泉社_インスタントボーイフレンド")</f>
        <v>20250120_白泉社_インスタントボーイフレンド</v>
      </c>
      <c r="T2719" s="22" t="str">
        <f>IFERROR(__xludf.DUMMYFUNCTION("""COMPUTED_VALUE"""),"格納済み")</f>
        <v>格納済み</v>
      </c>
      <c r="U2719" s="15" t="str">
        <f>IFERROR(__xludf.DUMMYFUNCTION("""COMPUTED_VALUE"""),"Ⓒ楠渚/白泉社")</f>
        <v>Ⓒ楠渚/白泉社</v>
      </c>
      <c r="V2719" s="8" t="str">
        <f>IFERROR(__xludf.DUMMYFUNCTION("""COMPUTED_VALUE"""),"「お湯につけて3分 あなたを癒してくれる素敵なボーイフレンドが現れます」そんな説明文のついた謎のグッズを職場の先輩から押し付けられた佐々木。家に帰ってよく見ると入浴剤だったことにホッとし、早速お風呂で使ってみることに。しばらくして風呂場の扉を開けるとそこには全裸の男の子が──!?")</f>
        <v>「お湯につけて3分 あなたを癒してくれる素敵なボーイフレンドが現れます」そんな説明文のついた謎のグッズを職場の先輩から押し付けられた佐々木。家に帰ってよく見ると入浴剤だったことにホッとし、早速お風呂で使ってみることに。しばらくして風呂場の扉を開けるとそこには全裸の男の子が──!?</v>
      </c>
      <c r="W2719" s="14"/>
      <c r="X2719" s="14" t="str">
        <f>IFERROR(__xludf.DUMMYFUNCTION("""COMPUTED_VALUE"""),"有")</f>
        <v>有</v>
      </c>
      <c r="Y2719" s="8" t="str">
        <f>IFERROR(__xludf.DUMMYFUNCTION("""COMPUTED_VALUE"""),"2025/3/21まで1巻無料")</f>
        <v>2025/3/21まで1巻無料</v>
      </c>
      <c r="Z2719" s="7"/>
      <c r="AA2719" s="7"/>
      <c r="AB2719" s="7"/>
    </row>
    <row r="2720" ht="15.75" customHeight="1">
      <c r="A2720" s="26">
        <f>IFERROR(__xludf.DUMMYFUNCTION("""COMPUTED_VALUE"""),4819.0)</f>
        <v>4819</v>
      </c>
      <c r="B2720" s="22" t="str">
        <f>IFERROR(__xludf.DUMMYFUNCTION("""COMPUTED_VALUE"""),"確定")</f>
        <v>確定</v>
      </c>
      <c r="C2720" s="28">
        <f>IFERROR(__xludf.DUMMYFUNCTION("""COMPUTED_VALUE"""),45673.0)</f>
        <v>45673</v>
      </c>
      <c r="D2720" s="28">
        <f>IFERROR(__xludf.DUMMYFUNCTION("""COMPUTED_VALUE"""),45678.0)</f>
        <v>45678</v>
      </c>
      <c r="E2720" s="26">
        <f>IFERROR(__xludf.DUMMYFUNCTION("""COMPUTED_VALUE"""),316166.0)</f>
        <v>316166</v>
      </c>
      <c r="F2720" s="22" t="str">
        <f>IFERROR(__xludf.DUMMYFUNCTION("""COMPUTED_VALUE"""),"だから、離婚しようと思います［ばら売り］")</f>
        <v>だから、離婚しようと思います［ばら売り］</v>
      </c>
      <c r="G2720" s="20" t="str">
        <f>IFERROR(__xludf.DUMMYFUNCTION("""COMPUTED_VALUE"""),"1～4")</f>
        <v>1～4</v>
      </c>
      <c r="H2720" s="22" t="str">
        <f>IFERROR(__xludf.DUMMYFUNCTION("""COMPUTED_VALUE"""),"漫画：来見田／原作：狭山ひびき")</f>
        <v>漫画：来見田／原作：狭山ひびき</v>
      </c>
      <c r="I2720" s="22" t="str">
        <f>IFERROR(__xludf.DUMMYFUNCTION("""COMPUTED_VALUE"""),"少女")</f>
        <v>少女</v>
      </c>
      <c r="J2720" s="22"/>
      <c r="K2720" s="22" t="str">
        <f>IFERROR(__xludf.DUMMYFUNCTION("""COMPUTED_VALUE"""),"マンガPark")</f>
        <v>マンガPark</v>
      </c>
      <c r="L2720" s="22" t="str">
        <f>IFERROR(__xludf.DUMMYFUNCTION("""COMPUTED_VALUE"""),"白泉社")</f>
        <v>白泉社</v>
      </c>
      <c r="M2720" s="59">
        <f>IFERROR(__xludf.DUMMYFUNCTION("""COMPUTED_VALUE"""),45724.0)</f>
        <v>45724</v>
      </c>
      <c r="N2720" s="23">
        <f>IFERROR(__xludf.DUMMYFUNCTION("""COMPUTED_VALUE"""),45786.0)</f>
        <v>45786</v>
      </c>
      <c r="O2720" s="20"/>
      <c r="P2720" s="32" t="str">
        <f>IFERROR(__xludf.DUMMYFUNCTION("""COMPUTED_VALUE"""),"可")</f>
        <v>可</v>
      </c>
      <c r="Q2720" s="30"/>
      <c r="R2720" s="22"/>
      <c r="S2720" s="22" t="str">
        <f>IFERROR(__xludf.DUMMYFUNCTION("""COMPUTED_VALUE"""),"20250121_白泉社_だから、離婚しようと思います［ばら売り］")</f>
        <v>20250121_白泉社_だから、離婚しようと思います［ばら売り］</v>
      </c>
      <c r="T2720" s="22" t="str">
        <f>IFERROR(__xludf.DUMMYFUNCTION("""COMPUTED_VALUE"""),"格納済み")</f>
        <v>格納済み</v>
      </c>
      <c r="U2720" s="15" t="str">
        <f>IFERROR(__xludf.DUMMYFUNCTION("""COMPUTED_VALUE"""),"Ⓒ来見田・狭山ひびき／白泉社")</f>
        <v>Ⓒ来見田・狭山ひびき／白泉社</v>
      </c>
      <c r="V2720" s="8" t="str">
        <f>IFERROR(__xludf.DUMMYFUNCTION("""COMPUTED_VALUE"""),"【第1話】「だからね、離婚しようと思うの。私、いまだに旦那様の顔を知らないんだもの」　家の借金のカタに、イアン・ノーテック公爵に嫁いだ主人公のティーゼ・ノーテック。だが、夫・イアンはティーゼを徹底的に避け続け、彼らは顔を会わせないまま5年の月日が経ってしまう。ついに我慢の限界を迎えたティーゼは夫との離婚のため、借金の返済を決意する。そのために出された仕事はなんとイアンの友人・サーヴァン男爵の×××を直すこと…!?　ティーゼの前に姿を現さない夫・イアンの秘密とは…？　そしてティーゼは無事（？）離婚できるのか"&amp;"!?　訳アリ男爵（？）×お飾り公爵夫人のじれったすれ違いロマンス！")</f>
        <v>【第1話】「だからね、離婚しようと思うの。私、いまだに旦那様の顔を知らないんだもの」　家の借金のカタに、イアン・ノーテック公爵に嫁いだ主人公のティーゼ・ノーテック。だが、夫・イアンはティーゼを徹底的に避け続け、彼らは顔を会わせないまま5年の月日が経ってしまう。ついに我慢の限界を迎えたティーゼは夫との離婚のため、借金の返済を決意する。そのために出された仕事はなんとイアンの友人・サーヴァン男爵の×××を直すこと…!?　ティーゼの前に姿を現さない夫・イアンの秘密とは…？　そしてティーゼは無事（？）離婚できるのか!?　訳アリ男爵（？）×お飾り公爵夫人のじれったすれ違いロマンス！</v>
      </c>
      <c r="W2720" s="14"/>
      <c r="X2720" s="14" t="str">
        <f>IFERROR(__xludf.DUMMYFUNCTION("""COMPUTED_VALUE"""),"有")</f>
        <v>有</v>
      </c>
      <c r="Y2720" s="8" t="str">
        <f>IFERROR(__xludf.DUMMYFUNCTION("""COMPUTED_VALUE"""),"2025/3/21まで1巻無料")</f>
        <v>2025/3/21まで1巻無料</v>
      </c>
      <c r="Z2720" s="7"/>
      <c r="AA2720" s="7"/>
      <c r="AB2720" s="7"/>
    </row>
    <row r="2721" ht="15.75" customHeight="1">
      <c r="A2721" s="26">
        <f>IFERROR(__xludf.DUMMYFUNCTION("""COMPUTED_VALUE"""),4820.0)</f>
        <v>4820</v>
      </c>
      <c r="B2721" s="22" t="str">
        <f>IFERROR(__xludf.DUMMYFUNCTION("""COMPUTED_VALUE"""),"確定")</f>
        <v>確定</v>
      </c>
      <c r="C2721" s="28">
        <f>IFERROR(__xludf.DUMMYFUNCTION("""COMPUTED_VALUE"""),45673.0)</f>
        <v>45673</v>
      </c>
      <c r="D2721" s="28">
        <f>IFERROR(__xludf.DUMMYFUNCTION("""COMPUTED_VALUE"""),45678.0)</f>
        <v>45678</v>
      </c>
      <c r="E2721" s="26">
        <f>IFERROR(__xludf.DUMMYFUNCTION("""COMPUTED_VALUE"""),316142.0)</f>
        <v>316142</v>
      </c>
      <c r="F2721" s="22" t="str">
        <f>IFERROR(__xludf.DUMMYFUNCTION("""COMPUTED_VALUE"""),"食べごろまでもう少し［ばら売り］")</f>
        <v>食べごろまでもう少し［ばら売り］</v>
      </c>
      <c r="G2721" s="20" t="str">
        <f>IFERROR(__xludf.DUMMYFUNCTION("""COMPUTED_VALUE"""),"1～3")</f>
        <v>1～3</v>
      </c>
      <c r="H2721" s="22" t="str">
        <f>IFERROR(__xludf.DUMMYFUNCTION("""COMPUTED_VALUE"""),"あきぞー")</f>
        <v>あきぞー</v>
      </c>
      <c r="I2721" s="22" t="str">
        <f>IFERROR(__xludf.DUMMYFUNCTION("""COMPUTED_VALUE"""),"BL")</f>
        <v>BL</v>
      </c>
      <c r="J2721" s="22"/>
      <c r="K2721" s="22" t="str">
        <f>IFERROR(__xludf.DUMMYFUNCTION("""COMPUTED_VALUE"""),"マンガPark")</f>
        <v>マンガPark</v>
      </c>
      <c r="L2721" s="22" t="str">
        <f>IFERROR(__xludf.DUMMYFUNCTION("""COMPUTED_VALUE"""),"白泉社")</f>
        <v>白泉社</v>
      </c>
      <c r="M2721" s="59">
        <f>IFERROR(__xludf.DUMMYFUNCTION("""COMPUTED_VALUE"""),45724.0)</f>
        <v>45724</v>
      </c>
      <c r="N2721" s="23">
        <f>IFERROR(__xludf.DUMMYFUNCTION("""COMPUTED_VALUE"""),45786.0)</f>
        <v>45786</v>
      </c>
      <c r="O2721" s="20"/>
      <c r="P2721" s="32" t="str">
        <f>IFERROR(__xludf.DUMMYFUNCTION("""COMPUTED_VALUE"""),"可")</f>
        <v>可</v>
      </c>
      <c r="Q2721" s="30"/>
      <c r="R2721" s="22"/>
      <c r="S2721" s="22" t="str">
        <f>IFERROR(__xludf.DUMMYFUNCTION("""COMPUTED_VALUE"""),"20250121_白泉社_食べごろまでもう少し［ばら売り］")</f>
        <v>20250121_白泉社_食べごろまでもう少し［ばら売り］</v>
      </c>
      <c r="T2721" s="22" t="str">
        <f>IFERROR(__xludf.DUMMYFUNCTION("""COMPUTED_VALUE"""),"格納済み")</f>
        <v>格納済み</v>
      </c>
      <c r="U2721" s="15" t="str">
        <f>IFERROR(__xludf.DUMMYFUNCTION("""COMPUTED_VALUE"""),"Ⓒあきぞー/白泉社")</f>
        <v>Ⓒあきぞー/白泉社</v>
      </c>
      <c r="V2721" s="8" t="str">
        <f>IFERROR(__xludf.DUMMYFUNCTION("""COMPUTED_VALUE"""),"【第1話】“フォークに触られるとケーキは快楽を感じる”　同僚の杉原が骨折してしまい、完治するまで同居での介抱を引き受けることになったサラリーマンの宮瀬。共同生活初日、偶然肌が触れたとたん体に甘い感覚が走り、杉原がフォーク属性で宮瀬がケーキ属性だったことが判明する。誰にも言えなかったが長い間不感症に悩んでいた宮瀬は快楽に抵抗できず、そのまま杉原との体込みでの関係が始まって…!?　期間限定同居ケーキバースBL開幕！")</f>
        <v>【第1話】“フォークに触られるとケーキは快楽を感じる”　同僚の杉原が骨折してしまい、完治するまで同居での介抱を引き受けることになったサラリーマンの宮瀬。共同生活初日、偶然肌が触れたとたん体に甘い感覚が走り、杉原がフォーク属性で宮瀬がケーキ属性だったことが判明する。誰にも言えなかったが長い間不感症に悩んでいた宮瀬は快楽に抵抗できず、そのまま杉原との体込みでの関係が始まって…!?　期間限定同居ケーキバースBL開幕！</v>
      </c>
      <c r="W2721" s="14"/>
      <c r="X2721" s="14" t="str">
        <f>IFERROR(__xludf.DUMMYFUNCTION("""COMPUTED_VALUE"""),"有")</f>
        <v>有</v>
      </c>
      <c r="Y2721" s="8" t="str">
        <f>IFERROR(__xludf.DUMMYFUNCTION("""COMPUTED_VALUE"""),"2025/3/21まで1巻無料")</f>
        <v>2025/3/21まで1巻無料</v>
      </c>
      <c r="Z2721" s="7"/>
      <c r="AA2721" s="7"/>
      <c r="AB2721" s="7"/>
    </row>
    <row r="2722" ht="15.75" customHeight="1">
      <c r="A2722" s="26">
        <f>IFERROR(__xludf.DUMMYFUNCTION("""COMPUTED_VALUE"""),4823.0)</f>
        <v>4823</v>
      </c>
      <c r="B2722" s="22" t="str">
        <f>IFERROR(__xludf.DUMMYFUNCTION("""COMPUTED_VALUE"""),"確定")</f>
        <v>確定</v>
      </c>
      <c r="C2722" s="28">
        <f>IFERROR(__xludf.DUMMYFUNCTION("""COMPUTED_VALUE"""),45674.0)</f>
        <v>45674</v>
      </c>
      <c r="D2722" s="28">
        <f>IFERROR(__xludf.DUMMYFUNCTION("""COMPUTED_VALUE"""),45677.0)</f>
        <v>45677</v>
      </c>
      <c r="E2722" s="100">
        <f>IFERROR(__xludf.DUMMYFUNCTION("""COMPUTED_VALUE"""),315409.0)</f>
        <v>315409</v>
      </c>
      <c r="F2722" s="61" t="str">
        <f>IFERROR(__xludf.DUMMYFUNCTION("""COMPUTED_VALUE"""),"ヤンデレ甥にメス堕ちした人妻～子宮が火照る執着愛撫～（フルカラー）")</f>
        <v>ヤンデレ甥にメス堕ちした人妻～子宮が火照る執着愛撫～（フルカラー）</v>
      </c>
      <c r="G2722" s="20" t="str">
        <f>IFERROR(__xludf.DUMMYFUNCTION("""COMPUTED_VALUE"""),"1～2")</f>
        <v>1～2</v>
      </c>
      <c r="H2722" s="22" t="str">
        <f>IFERROR(__xludf.DUMMYFUNCTION("""COMPUTED_VALUE"""),"空見")</f>
        <v>空見</v>
      </c>
      <c r="I2722" s="22" t="str">
        <f>IFERROR(__xludf.DUMMYFUNCTION("""COMPUTED_VALUE"""),"アダルトマンガ")</f>
        <v>アダルトマンガ</v>
      </c>
      <c r="J2722" s="22"/>
      <c r="K2722" s="22"/>
      <c r="L2722" s="22" t="str">
        <f>IFERROR(__xludf.DUMMYFUNCTION("""COMPUTED_VALUE"""),"セ・キララ文庫")</f>
        <v>セ・キララ文庫</v>
      </c>
      <c r="M2722" s="59">
        <f>IFERROR(__xludf.DUMMYFUNCTION("""COMPUTED_VALUE"""),45702.0)</f>
        <v>45702</v>
      </c>
      <c r="N2722" s="59">
        <f>IFERROR(__xludf.DUMMYFUNCTION("""COMPUTED_VALUE"""),45729.0)</f>
        <v>45729</v>
      </c>
      <c r="O2722" s="20"/>
      <c r="P2722" s="32" t="str">
        <f>IFERROR(__xludf.DUMMYFUNCTION("""COMPUTED_VALUE"""),"可")</f>
        <v>可</v>
      </c>
      <c r="Q2722" s="30"/>
      <c r="R2722" s="22"/>
      <c r="S2722" s="22" t="str">
        <f>IFERROR(__xludf.DUMMYFUNCTION("""COMPUTED_VALUE"""),"20250117_ライドオン_ヤンデレ甥にメス堕ちした人妻～子宮が火照る執着愛撫～（フルカラー）")</f>
        <v>20250117_ライドオン_ヤンデレ甥にメス堕ちした人妻～子宮が火照る執着愛撫～（フルカラー）</v>
      </c>
      <c r="T2722" s="22" t="str">
        <f>IFERROR(__xludf.DUMMYFUNCTION("""COMPUTED_VALUE"""),"格納済み")</f>
        <v>格納済み</v>
      </c>
      <c r="U2722" s="15" t="str">
        <f>IFERROR(__xludf.DUMMYFUNCTION("""COMPUTED_VALUE"""),"Ⓒ空見/セ・キララ文庫")</f>
        <v>Ⓒ空見/セ・キララ文庫</v>
      </c>
      <c r="V2722" s="8" t="str">
        <f>IFERROR(__xludf.DUMMYFUNCTION("""COMPUTED_VALUE"""),"法事で旦那の実家に帰省した晩、甥の紘が寝室に入ってきたと思いきや、予期せぬセックスをしてしまう。
昼間はどこかジトッ…とした雰囲気で、高身長イケメンなのは変わらないけど、かつて私に懐いて可愛かった頃とはだいぶ雰囲気が違い残念だったのだが、どうやら旦那に嫉妬していたらしい…
旦那を見ても酔ってて起きる気配はない。
「叔父さんより俺の方が絶対に聖奈さんのこと好きだ！」
旦那が寝てる隣で紘はそう言いながら汗だくで腰を打ちつける。
久しぶりに女として求められ、思わず何度もイってしまった―"&amp;"―
翌朝、平然としている彼を見てアレは悪い夢だったんだと一人落ち着かせようとしていると、旦那から紘がしばらく我が家に居候することになったと話を聞かされて…!?")</f>
        <v>法事で旦那の実家に帰省した晩、甥の紘が寝室に入ってきたと思いきや、予期せぬセックスをしてしまう。
昼間はどこかジトッ…とした雰囲気で、高身長イケメンなのは変わらないけど、かつて私に懐いて可愛かった頃とはだいぶ雰囲気が違い残念だったのだが、どうやら旦那に嫉妬していたらしい…
旦那を見ても酔ってて起きる気配はない。
「叔父さんより俺の方が絶対に聖奈さんのこと好きだ！」
旦那が寝てる隣で紘はそう言いながら汗だくで腰を打ちつける。
久しぶりに女として求められ、思わず何度もイってしまった――
翌朝、平然としている彼を見てアレは悪い夢だったんだと一人落ち着かせようとしていると、旦那から紘がしばらく我が家に居候することになったと話を聞かされて…!?</v>
      </c>
      <c r="W2722" s="14"/>
      <c r="X2722" s="14" t="str">
        <f>IFERROR(__xludf.DUMMYFUNCTION("""COMPUTED_VALUE"""),"有")</f>
        <v>有</v>
      </c>
      <c r="Y2722" s="8" t="str">
        <f>IFERROR(__xludf.DUMMYFUNCTION("""COMPUTED_VALUE"""),"P11まで")</f>
        <v>P11まで</v>
      </c>
      <c r="Z2722" s="7"/>
      <c r="AA2722" s="7"/>
      <c r="AB2722" s="7"/>
    </row>
    <row r="2723" ht="15.75" customHeight="1">
      <c r="A2723" s="26">
        <f>IFERROR(__xludf.DUMMYFUNCTION("""COMPUTED_VALUE"""),4824.0)</f>
        <v>4824</v>
      </c>
      <c r="B2723" s="22" t="str">
        <f>IFERROR(__xludf.DUMMYFUNCTION("""COMPUTED_VALUE"""),"確定")</f>
        <v>確定</v>
      </c>
      <c r="C2723" s="28">
        <f>IFERROR(__xludf.DUMMYFUNCTION("""COMPUTED_VALUE"""),45674.0)</f>
        <v>45674</v>
      </c>
      <c r="D2723" s="28">
        <f>IFERROR(__xludf.DUMMYFUNCTION("""COMPUTED_VALUE"""),45677.0)</f>
        <v>45677</v>
      </c>
      <c r="E2723" s="100">
        <f>IFERROR(__xludf.DUMMYFUNCTION("""COMPUTED_VALUE"""),298748.0)</f>
        <v>298748</v>
      </c>
      <c r="F2723" s="61" t="str">
        <f>IFERROR(__xludf.DUMMYFUNCTION("""COMPUTED_VALUE"""),"壊職代行")</f>
        <v>壊職代行</v>
      </c>
      <c r="G2723" s="20" t="str">
        <f>IFERROR(__xludf.DUMMYFUNCTION("""COMPUTED_VALUE"""),"1～3")</f>
        <v>1～3</v>
      </c>
      <c r="H2723" s="22" t="str">
        <f>IFERROR(__xludf.DUMMYFUNCTION("""COMPUTED_VALUE"""),"もちづきひいろ,田田田田")</f>
        <v>もちづきひいろ,田田田田</v>
      </c>
      <c r="I2723" s="22" t="str">
        <f>IFERROR(__xludf.DUMMYFUNCTION("""COMPUTED_VALUE"""),"青年マンガ")</f>
        <v>青年マンガ</v>
      </c>
      <c r="J2723" s="22"/>
      <c r="K2723" s="22" t="str">
        <f>IFERROR(__xludf.DUMMYFUNCTION("""COMPUTED_VALUE"""),"トレモア・スプラッシュ,トレモアcollection")</f>
        <v>トレモア・スプラッシュ,トレモアcollection</v>
      </c>
      <c r="L2723" s="22" t="str">
        <f>IFERROR(__xludf.DUMMYFUNCTION("""COMPUTED_VALUE"""),"シーモアコミックス（トレモア）")</f>
        <v>シーモアコミックス（トレモア）</v>
      </c>
      <c r="M2723" s="59">
        <f>IFERROR(__xludf.DUMMYFUNCTION("""COMPUTED_VALUE"""),45716.0)</f>
        <v>45716</v>
      </c>
      <c r="N2723" s="59">
        <f>IFERROR(__xludf.DUMMYFUNCTION("""COMPUTED_VALUE"""),46227.66666666667)</f>
        <v>46227.66667</v>
      </c>
      <c r="O2723" s="20"/>
      <c r="P2723" s="32" t="str">
        <f>IFERROR(__xludf.DUMMYFUNCTION("""COMPUTED_VALUE"""),"可")</f>
        <v>可</v>
      </c>
      <c r="Q2723" s="30"/>
      <c r="R2723" s="22"/>
      <c r="S2723" s="22" t="str">
        <f>IFERROR(__xludf.DUMMYFUNCTION("""COMPUTED_VALUE"""),"20250117_シーモアコミックス_壊職代行")</f>
        <v>20250117_シーモアコミックス_壊職代行</v>
      </c>
      <c r="T2723" s="22" t="str">
        <f>IFERROR(__xludf.DUMMYFUNCTION("""COMPUTED_VALUE"""),"格納済み")</f>
        <v>格納済み</v>
      </c>
      <c r="U2723" s="15" t="str">
        <f>IFERROR(__xludf.DUMMYFUNCTION("""COMPUTED_VALUE"""),"Ⓒ もちづきひいろ/田田田田/シーモアコミックス")</f>
        <v>Ⓒ もちづきひいろ/田田田田/シーモアコミックス</v>
      </c>
      <c r="V2723" s="8" t="str">
        <f>IFERROR(__xludf.DUMMYFUNCTION("""COMPUTED_VALUE"""),"不動産営業会社フマホームで働く鈴木（すずき）は、パワハラや労働基準法違反が日常的に行われるブラック企業ぶりに耐え兼ね、退職を決意する。3ヵ月後の退職が認められるが、翌日からいじめ同然の扱いを受け身も心もボロボロになり、さらに社長の策略でミスを起こすように仕向けられ、多額の賠償金を請求されてしまう。絶望する鈴木の前に静香（しずか）という女性が現れる。「壊職代行」業者を名乗る彼女は、「ブラック企業やブラック上司、代わりに『壊』します」と宣言し――？")</f>
        <v>不動産営業会社フマホームで働く鈴木（すずき）は、パワハラや労働基準法違反が日常的に行われるブラック企業ぶりに耐え兼ね、退職を決意する。3ヵ月後の退職が認められるが、翌日からいじめ同然の扱いを受け身も心もボロボロになり、さらに社長の策略でミスを起こすように仕向けられ、多額の賠償金を請求されてしまう。絶望する鈴木の前に静香（しずか）という女性が現れる。「壊職代行」業者を名乗る彼女は、「ブラック企業やブラック上司、代わりに『壊』します」と宣言し――？</v>
      </c>
      <c r="W2723" s="14"/>
      <c r="X2723" s="14" t="str">
        <f>IFERROR(__xludf.DUMMYFUNCTION("""COMPUTED_VALUE"""),"有")</f>
        <v>有</v>
      </c>
      <c r="Y2723" s="8" t="str">
        <f>IFERROR(__xludf.DUMMYFUNCTION("""COMPUTED_VALUE"""),"2025/12/31まで1巻無料")</f>
        <v>2025/12/31まで1巻無料</v>
      </c>
      <c r="Z2723" s="7"/>
      <c r="AA2723" s="7"/>
      <c r="AB2723" s="7"/>
    </row>
    <row r="2724" ht="15.75" customHeight="1">
      <c r="A2724" s="26">
        <f>IFERROR(__xludf.DUMMYFUNCTION("""COMPUTED_VALUE"""),4825.0)</f>
        <v>4825</v>
      </c>
      <c r="B2724" s="22" t="str">
        <f>IFERROR(__xludf.DUMMYFUNCTION("""COMPUTED_VALUE"""),"確定")</f>
        <v>確定</v>
      </c>
      <c r="C2724" s="28">
        <f>IFERROR(__xludf.DUMMYFUNCTION("""COMPUTED_VALUE"""),45674.0)</f>
        <v>45674</v>
      </c>
      <c r="D2724" s="28">
        <f>IFERROR(__xludf.DUMMYFUNCTION("""COMPUTED_VALUE"""),45677.0)</f>
        <v>45677</v>
      </c>
      <c r="E2724" s="100">
        <f>IFERROR(__xludf.DUMMYFUNCTION("""COMPUTED_VALUE"""),287431.0)</f>
        <v>287431</v>
      </c>
      <c r="F2724" s="61" t="str">
        <f>IFERROR(__xludf.DUMMYFUNCTION("""COMPUTED_VALUE"""),"目玉焼きにはソースか？醤油か？(フルカラー)")</f>
        <v>目玉焼きにはソースか？醤油か？(フルカラー)</v>
      </c>
      <c r="G2724" s="20" t="str">
        <f>IFERROR(__xludf.DUMMYFUNCTION("""COMPUTED_VALUE"""),"1～3")</f>
        <v>1～3</v>
      </c>
      <c r="H2724" s="22" t="str">
        <f>IFERROR(__xludf.DUMMYFUNCTION("""COMPUTED_VALUE"""),"ししちふ蓉,あおなまさお")</f>
        <v>ししちふ蓉,あおなまさお</v>
      </c>
      <c r="I2724" s="22" t="str">
        <f>IFERROR(__xludf.DUMMYFUNCTION("""COMPUTED_VALUE"""),"青年マンガ")</f>
        <v>青年マンガ</v>
      </c>
      <c r="J2724" s="22"/>
      <c r="K2724" s="22" t="str">
        <f>IFERROR(__xludf.DUMMYFUNCTION("""COMPUTED_VALUE"""),"トレモア・スプラッシュ,トレモアcollection")</f>
        <v>トレモア・スプラッシュ,トレモアcollection</v>
      </c>
      <c r="L2724" s="22" t="str">
        <f>IFERROR(__xludf.DUMMYFUNCTION("""COMPUTED_VALUE"""),"シーモアコミックス（トレモア）")</f>
        <v>シーモアコミックス（トレモア）</v>
      </c>
      <c r="M2724" s="59">
        <f>IFERROR(__xludf.DUMMYFUNCTION("""COMPUTED_VALUE"""),45716.0)</f>
        <v>45716</v>
      </c>
      <c r="N2724" s="59">
        <f>IFERROR(__xludf.DUMMYFUNCTION("""COMPUTED_VALUE"""),45869.0)</f>
        <v>45869</v>
      </c>
      <c r="O2724" s="20"/>
      <c r="P2724" s="32" t="str">
        <f>IFERROR(__xludf.DUMMYFUNCTION("""COMPUTED_VALUE"""),"可")</f>
        <v>可</v>
      </c>
      <c r="Q2724" s="30"/>
      <c r="R2724" s="22"/>
      <c r="S2724" s="22" t="str">
        <f>IFERROR(__xludf.DUMMYFUNCTION("""COMPUTED_VALUE"""),"20250117_シーモアコミックス_目玉焼きにはソースか？醤油か？(フルカラー)")</f>
        <v>20250117_シーモアコミックス_目玉焼きにはソースか？醤油か？(フルカラー)</v>
      </c>
      <c r="T2724" s="22" t="str">
        <f>IFERROR(__xludf.DUMMYFUNCTION("""COMPUTED_VALUE"""),"格納済み")</f>
        <v>格納済み</v>
      </c>
      <c r="U2724" s="15" t="str">
        <f>IFERROR(__xludf.DUMMYFUNCTION("""COMPUTED_VALUE"""),"Ⓒ ししちふ蓉/あおなまさお/シーモアコミックス")</f>
        <v>Ⓒ ししちふ蓉/あおなまさお/シーモアコミックス</v>
      </c>
      <c r="V2724" s="8" t="str">
        <f>IFERROR(__xludf.DUMMYFUNCTION("""COMPUTED_VALUE"""),"レトロゲームショップでアルバイトをするさえない学生・江口駆（えぐちかける）は、ショップで不審な動きをしているお客さんに声をかけようとしたとき、いきなりギャルに腕を締め上げられてしまう。さんざんな目に遭った駆だが、それこそが彼の日常を大きく変えるきっかけだった!! 双子の美女と奥手な青年が織りなす、1+1+1のラブコメディ。")</f>
        <v>レトロゲームショップでアルバイトをするさえない学生・江口駆（えぐちかける）は、ショップで不審な動きをしているお客さんに声をかけようとしたとき、いきなりギャルに腕を締め上げられてしまう。さんざんな目に遭った駆だが、それこそが彼の日常を大きく変えるきっかけだった!! 双子の美女と奥手な青年が織りなす、1+1+1のラブコメディ。</v>
      </c>
      <c r="W2724" s="14"/>
      <c r="X2724" s="14" t="str">
        <f>IFERROR(__xludf.DUMMYFUNCTION("""COMPUTED_VALUE"""),"有")</f>
        <v>有</v>
      </c>
      <c r="Y2724" s="8" t="str">
        <f>IFERROR(__xludf.DUMMYFUNCTION("""COMPUTED_VALUE"""),"2025/3/15まで1巻無料")</f>
        <v>2025/3/15まで1巻無料</v>
      </c>
      <c r="Z2724" s="7"/>
      <c r="AA2724" s="7"/>
      <c r="AB2724" s="7"/>
    </row>
    <row r="2725" ht="15.75" customHeight="1">
      <c r="A2725" s="26">
        <f>IFERROR(__xludf.DUMMYFUNCTION("""COMPUTED_VALUE"""),4826.0)</f>
        <v>4826</v>
      </c>
      <c r="B2725" s="22" t="str">
        <f>IFERROR(__xludf.DUMMYFUNCTION("""COMPUTED_VALUE"""),"確定")</f>
        <v>確定</v>
      </c>
      <c r="C2725" s="28">
        <f>IFERROR(__xludf.DUMMYFUNCTION("""COMPUTED_VALUE"""),45674.0)</f>
        <v>45674</v>
      </c>
      <c r="D2725" s="28">
        <f>IFERROR(__xludf.DUMMYFUNCTION("""COMPUTED_VALUE"""),45677.0)</f>
        <v>45677</v>
      </c>
      <c r="E2725" s="100">
        <f>IFERROR(__xludf.DUMMYFUNCTION("""COMPUTED_VALUE"""),290355.0)</f>
        <v>290355</v>
      </c>
      <c r="F2725" s="61" t="str">
        <f>IFERROR(__xludf.DUMMYFUNCTION("""COMPUTED_VALUE"""),"小悪魔系天使は今日もいじわる")</f>
        <v>小悪魔系天使は今日もいじわる</v>
      </c>
      <c r="G2725" s="20" t="str">
        <f>IFERROR(__xludf.DUMMYFUNCTION("""COMPUTED_VALUE"""),"1～3")</f>
        <v>1～3</v>
      </c>
      <c r="H2725" s="22" t="str">
        <f>IFERROR(__xludf.DUMMYFUNCTION("""COMPUTED_VALUE"""),"はいしま潮路,るった,江部野ハム")</f>
        <v>はいしま潮路,るった,江部野ハム</v>
      </c>
      <c r="I2725" s="22" t="str">
        <f>IFERROR(__xludf.DUMMYFUNCTION("""COMPUTED_VALUE"""),"青年マンガ")</f>
        <v>青年マンガ</v>
      </c>
      <c r="J2725" s="22"/>
      <c r="K2725" s="22" t="str">
        <f>IFERROR(__xludf.DUMMYFUNCTION("""COMPUTED_VALUE"""),"トレモア・スプラッシュ,トレモアcollection")</f>
        <v>トレモア・スプラッシュ,トレモアcollection</v>
      </c>
      <c r="L2725" s="22" t="str">
        <f>IFERROR(__xludf.DUMMYFUNCTION("""COMPUTED_VALUE"""),"シーモアコミックス（トレモア）")</f>
        <v>シーモアコミックス（トレモア）</v>
      </c>
      <c r="M2725" s="59">
        <f>IFERROR(__xludf.DUMMYFUNCTION("""COMPUTED_VALUE"""),45716.0)</f>
        <v>45716</v>
      </c>
      <c r="N2725" s="59">
        <f>IFERROR(__xludf.DUMMYFUNCTION("""COMPUTED_VALUE"""),45869.0)</f>
        <v>45869</v>
      </c>
      <c r="O2725" s="20"/>
      <c r="P2725" s="32" t="str">
        <f>IFERROR(__xludf.DUMMYFUNCTION("""COMPUTED_VALUE"""),"可")</f>
        <v>可</v>
      </c>
      <c r="Q2725" s="30"/>
      <c r="R2725" s="22"/>
      <c r="S2725" s="22" t="str">
        <f>IFERROR(__xludf.DUMMYFUNCTION("""COMPUTED_VALUE"""),"20250117_シーモアコミックス_小悪魔系天使は今日もいじわる")</f>
        <v>20250117_シーモアコミックス_小悪魔系天使は今日もいじわる</v>
      </c>
      <c r="T2725" s="22" t="str">
        <f>IFERROR(__xludf.DUMMYFUNCTION("""COMPUTED_VALUE"""),"格納済み")</f>
        <v>格納済み</v>
      </c>
      <c r="U2725" s="15" t="str">
        <f>IFERROR(__xludf.DUMMYFUNCTION("""COMPUTED_VALUE"""),"Ⓒ はいしま潮路/るった/江部野ハム/シーモアコミックス")</f>
        <v>Ⓒ はいしま潮路/るった/江部野ハム/シーモアコミックス</v>
      </c>
      <c r="V2725" s="8" t="str">
        <f>IFERROR(__xludf.DUMMYFUNCTION("""COMPUTED_VALUE"""),"彼女いない歴＝年齢の冴えない大学生・山野浩太（やまのこうた）は、カップルを羨みながら地味な大学生活を送っている。新年度、新入生たちが華やかなサークルに入部していく中、浩太の所属するSF研究部には今年も入部希望者が現れない。「どうせ俺には楽しい未来なんて…」卑屈になっていたその時、誰もが憧れる大学のアイドル・音羽エリカ（おとはえりか）が入部する。浩太は「ついに運命の出会いが訪れた！」と喜ぶが、その夜バイト終わりに、清楚なイメージとは真逆の知られざるエリカの一面を目撃してしまう。浩太は慌てるが、酔ったエリカは"&amp;"その手を引いてホテルに誘って――。")</f>
        <v>彼女いない歴＝年齢の冴えない大学生・山野浩太（やまのこうた）は、カップルを羨みながら地味な大学生活を送っている。新年度、新入生たちが華やかなサークルに入部していく中、浩太の所属するSF研究部には今年も入部希望者が現れない。「どうせ俺には楽しい未来なんて…」卑屈になっていたその時、誰もが憧れる大学のアイドル・音羽エリカ（おとはえりか）が入部する。浩太は「ついに運命の出会いが訪れた！」と喜ぶが、その夜バイト終わりに、清楚なイメージとは真逆の知られざるエリカの一面を目撃してしまう。浩太は慌てるが、酔ったエリカはその手を引いてホテルに誘って――。</v>
      </c>
      <c r="W2725" s="14"/>
      <c r="X2725" s="14" t="str">
        <f>IFERROR(__xludf.DUMMYFUNCTION("""COMPUTED_VALUE"""),"有")</f>
        <v>有</v>
      </c>
      <c r="Y2725" s="8" t="str">
        <f>IFERROR(__xludf.DUMMYFUNCTION("""COMPUTED_VALUE"""),"2025/12/31まで1巻無料")</f>
        <v>2025/12/31まで1巻無料</v>
      </c>
      <c r="Z2725" s="7"/>
      <c r="AA2725" s="7"/>
      <c r="AB2725" s="7"/>
    </row>
    <row r="2726" ht="15.75" customHeight="1">
      <c r="A2726" s="26">
        <f>IFERROR(__xludf.DUMMYFUNCTION("""COMPUTED_VALUE"""),4827.0)</f>
        <v>4827</v>
      </c>
      <c r="B2726" s="22" t="str">
        <f>IFERROR(__xludf.DUMMYFUNCTION("""COMPUTED_VALUE"""),"確定")</f>
        <v>確定</v>
      </c>
      <c r="C2726" s="28">
        <f>IFERROR(__xludf.DUMMYFUNCTION("""COMPUTED_VALUE"""),45674.0)</f>
        <v>45674</v>
      </c>
      <c r="D2726" s="28">
        <f>IFERROR(__xludf.DUMMYFUNCTION("""COMPUTED_VALUE"""),45677.0)</f>
        <v>45677</v>
      </c>
      <c r="E2726" s="100">
        <f>IFERROR(__xludf.DUMMYFUNCTION("""COMPUTED_VALUE"""),314493.0)</f>
        <v>314493</v>
      </c>
      <c r="F2726" s="61" t="str">
        <f>IFERROR(__xludf.DUMMYFUNCTION("""COMPUTED_VALUE"""),"王子様は淫魔の取り替えっ子でした 貞淑な令嬢をダメにするニョロの誘惑")</f>
        <v>王子様は淫魔の取り替えっ子でした 貞淑な令嬢をダメにするニョロの誘惑</v>
      </c>
      <c r="G2726" s="20" t="str">
        <f>IFERROR(__xludf.DUMMYFUNCTION("""COMPUTED_VALUE"""),"1～3")</f>
        <v>1～3</v>
      </c>
      <c r="H2726" s="22" t="str">
        <f>IFERROR(__xludf.DUMMYFUNCTION("""COMPUTED_VALUE"""),"漫画：霜月かいり／原作：あまおう紅／キャラクター原案：のどさわ")</f>
        <v>漫画：霜月かいり／原作：あまおう紅／キャラクター原案：のどさわ</v>
      </c>
      <c r="I2726" s="22" t="str">
        <f>IFERROR(__xludf.DUMMYFUNCTION("""COMPUTED_VALUE"""),"女性")</f>
        <v>女性</v>
      </c>
      <c r="J2726" s="22"/>
      <c r="K2726" s="22" t="str">
        <f>IFERROR(__xludf.DUMMYFUNCTION("""COMPUTED_VALUE"""),"異世界マーガレット")</f>
        <v>異世界マーガレット</v>
      </c>
      <c r="L2726" s="22" t="str">
        <f>IFERROR(__xludf.DUMMYFUNCTION("""COMPUTED_VALUE"""),"集英社")</f>
        <v>集英社</v>
      </c>
      <c r="M2726" s="23">
        <f>IFERROR(__xludf.DUMMYFUNCTION("""COMPUTED_VALUE"""),45689.0)</f>
        <v>45689</v>
      </c>
      <c r="N2726" s="23">
        <f>IFERROR(__xludf.DUMMYFUNCTION("""COMPUTED_VALUE"""),45777.66666666667)</f>
        <v>45777.66667</v>
      </c>
      <c r="O2726" s="20"/>
      <c r="P2726" s="32" t="str">
        <f>IFERROR(__xludf.DUMMYFUNCTION("""COMPUTED_VALUE"""),"否")</f>
        <v>否</v>
      </c>
      <c r="Q2726" s="30"/>
      <c r="R2726" s="22"/>
      <c r="S2726" s="22" t="str">
        <f>IFERROR(__xludf.DUMMYFUNCTION("""COMPUTED_VALUE"""),"20250117_集英社_王子様は淫魔の取り替えっ子でした")</f>
        <v>20250117_集英社_王子様は淫魔の取り替えっ子でした</v>
      </c>
      <c r="T2726" s="22" t="str">
        <f>IFERROR(__xludf.DUMMYFUNCTION("""COMPUTED_VALUE"""),"格納済み")</f>
        <v>格納済み</v>
      </c>
      <c r="U2726" s="15" t="str">
        <f>IFERROR(__xludf.DUMMYFUNCTION("""COMPUTED_VALUE"""),"(C)霜月かいり・あまおう紅／集英社")</f>
        <v>(C)霜月かいり・あまおう紅／集英社</v>
      </c>
      <c r="V2726" s="8" t="str">
        <f>IFERROR(__xludf.DUMMYFUNCTION("""COMPUTED_VALUE"""),"地味で堅物な没落貴族令嬢・レティシアは年頃になっても嫁の行き先が決まらず焦っていた。そんな彼女にはエセルバートという幼馴染みがいる。彼は王子のうえ美男子でモテモテ。そのため次から次へ付き合う女性を変える浮気男だと言われている。顔を合わせるたびに行き遅れのレティシアに恋愛指南をしてくるエセルを憎々しく思いながらも、どこか心惹かれる彼女だが、自分とエセルは縁がないと思い込んでおり…!?　王子様のエロスあふれる淫力に堅物令嬢は抗えるのか!?")</f>
        <v>地味で堅物な没落貴族令嬢・レティシアは年頃になっても嫁の行き先が決まらず焦っていた。そんな彼女にはエセルバートという幼馴染みがいる。彼は王子のうえ美男子でモテモテ。そのため次から次へ付き合う女性を変える浮気男だと言われている。顔を合わせるたびに行き遅れのレティシアに恋愛指南をしてくるエセルを憎々しく思いながらも、どこか心惹かれる彼女だが、自分とエセルは縁がないと思い込んでおり…!?　王子様のエロスあふれる淫力に堅物令嬢は抗えるのか!?</v>
      </c>
      <c r="W2726" s="14"/>
      <c r="X2726" s="14" t="str">
        <f>IFERROR(__xludf.DUMMYFUNCTION("""COMPUTED_VALUE"""),"有")</f>
        <v>有</v>
      </c>
      <c r="Y2726" s="8" t="str">
        <f>IFERROR(__xludf.DUMMYFUNCTION("""COMPUTED_VALUE"""),"2025/2/28まで1巻無料")</f>
        <v>2025/2/28まで1巻無料</v>
      </c>
      <c r="Z2726" s="7"/>
      <c r="AA2726" s="7"/>
      <c r="AB2726" s="7"/>
    </row>
    <row r="2727" ht="15.75" customHeight="1">
      <c r="A2727" s="26">
        <f>IFERROR(__xludf.DUMMYFUNCTION("""COMPUTED_VALUE"""),4843.0)</f>
        <v>4843</v>
      </c>
      <c r="B2727" s="22" t="str">
        <f>IFERROR(__xludf.DUMMYFUNCTION("""COMPUTED_VALUE"""),"確定")</f>
        <v>確定</v>
      </c>
      <c r="C2727" s="28">
        <f>IFERROR(__xludf.DUMMYFUNCTION("""COMPUTED_VALUE"""),45677.0)</f>
        <v>45677</v>
      </c>
      <c r="D2727" s="28">
        <f>IFERROR(__xludf.DUMMYFUNCTION("""COMPUTED_VALUE"""),45679.0)</f>
        <v>45679</v>
      </c>
      <c r="E2727" s="26">
        <f>IFERROR(__xludf.DUMMYFUNCTION("""COMPUTED_VALUE"""),315226.0)</f>
        <v>315226</v>
      </c>
      <c r="F2727" s="22" t="str">
        <f>IFERROR(__xludf.DUMMYFUNCTION("""COMPUTED_VALUE"""),"シンママパパカツ～職場の女子とアプリで出会ったら～")</f>
        <v>シンママパパカツ～職場の女子とアプリで出会ったら～</v>
      </c>
      <c r="G2727" s="20" t="str">
        <f>IFERROR(__xludf.DUMMYFUNCTION("""COMPUTED_VALUE"""),"1～8")</f>
        <v>1～8</v>
      </c>
      <c r="H2727" s="22" t="str">
        <f>IFERROR(__xludf.DUMMYFUNCTION("""COMPUTED_VALUE"""),"すぺしゃるじー┴チンジャオ娘")</f>
        <v>すぺしゃるじー┴チンジャオ娘</v>
      </c>
      <c r="I2727" s="22" t="str">
        <f>IFERROR(__xludf.DUMMYFUNCTION("""COMPUTED_VALUE"""),"アダルトマンガ")</f>
        <v>アダルトマンガ</v>
      </c>
      <c r="J2727" s="46"/>
      <c r="K2727" s="22"/>
      <c r="L2727" s="22" t="str">
        <f>IFERROR(__xludf.DUMMYFUNCTION("""COMPUTED_VALUE"""),"KATTS")</f>
        <v>KATTS</v>
      </c>
      <c r="M2727" s="59">
        <f>IFERROR(__xludf.DUMMYFUNCTION("""COMPUTED_VALUE"""),45716.0)</f>
        <v>45716</v>
      </c>
      <c r="N2727" s="23">
        <f>IFERROR(__xludf.DUMMYFUNCTION("""COMPUTED_VALUE"""),45804.0)</f>
        <v>45804</v>
      </c>
      <c r="O2727" s="20"/>
      <c r="P2727" s="34" t="str">
        <f>IFERROR(__xludf.DUMMYFUNCTION("""COMPUTED_VALUE"""),"可")</f>
        <v>可</v>
      </c>
      <c r="Q2727" s="31" t="str">
        <f>IFERROR(__xludf.DUMMYFUNCTION("""COMPUTED_VALUE"""),"BookLiveからの2次先行です。")</f>
        <v>BookLiveからの2次先行です。</v>
      </c>
      <c r="R2727" s="22" t="str">
        <f>IFERROR(__xludf.DUMMYFUNCTION("""COMPUTED_VALUE"""),"コミットOK")</f>
        <v>コミットOK</v>
      </c>
      <c r="S2727" s="22" t="str">
        <f>IFERROR(__xludf.DUMMYFUNCTION("""COMPUTED_VALUE"""),"20250120_BookLive_シンママパパカツ～職場の女子とアプリで出会ったら～")</f>
        <v>20250120_BookLive_シンママパパカツ～職場の女子とアプリで出会ったら～</v>
      </c>
      <c r="T2727" s="22" t="str">
        <f>IFERROR(__xludf.DUMMYFUNCTION("""COMPUTED_VALUE"""),"格納済み")</f>
        <v>格納済み</v>
      </c>
      <c r="U2727" s="15" t="str">
        <f>IFERROR(__xludf.DUMMYFUNCTION("""COMPUTED_VALUE"""),"ⒸKATTS")</f>
        <v>ⒸKATTS</v>
      </c>
      <c r="V2727" s="8" t="str">
        <f>IFERROR(__xludf.DUMMYFUNCTION("""COMPUTED_VALUE"""),"「パパ活なら…息子を寝かせた後に稼げるので」
「お願いです…会社には黙っていてください」
アプリで偶然マッチングしたパパ活女子（23歳）
彼女はシングルマザーであり…なんと会社の後輩だった！？
数ヶ月前から同じ職場で働いている契約社員の吉沢遥。
真面目なしっかりものだが、地味で化粧っ気がなく少し不愛想。
でもよく見ると可愛くて、まだ20代前半なのに胸もお尻も子持ち人妻クラス。
もしあんな若い女子と付き合えたら…
あの身体に好き放題セクハラができたら…
などといつも妄想していた30代後半素人童貞サラ"&amp;"リーマン。
しかしこのコンプライアンスの時代、職場の年下女性に手が出せるはずもなく。
欲望のはけ口として、試しにパパ活アプリを使ってみた結果。
眼の前に現れたのは、男好きのする衣装に身を包んだ吉沢遥本人だった。
「わかりました…そこのホテルでいいですか？」
はたして、パパ活から始まる恋もあるのか。")</f>
        <v>「パパ活なら…息子を寝かせた後に稼げるので」
「お願いです…会社には黙っていてください」
アプリで偶然マッチングしたパパ活女子（23歳）
彼女はシングルマザーであり…なんと会社の後輩だった！？
数ヶ月前から同じ職場で働いている契約社員の吉沢遥。
真面目なしっかりものだが、地味で化粧っ気がなく少し不愛想。
でもよく見ると可愛くて、まだ20代前半なのに胸もお尻も子持ち人妻クラス。
もしあんな若い女子と付き合えたら…
あの身体に好き放題セクハラができたら…
などといつも妄想していた30代後半素人童貞サラリーマン。
しかしこのコンプライアンスの時代、職場の年下女性に手が出せるはずもなく。
欲望のはけ口として、試しにパパ活アプリを使ってみた結果。
眼の前に現れたのは、男好きのする衣装に身を包んだ吉沢遥本人だった。
「わかりました…そこのホテルでいいですか？」
はたして、パパ活から始まる恋もあるのか。</v>
      </c>
      <c r="W2727" s="14"/>
      <c r="X2727" s="14" t="str">
        <f>IFERROR(__xludf.DUMMYFUNCTION("""COMPUTED_VALUE"""),"有")</f>
        <v>有</v>
      </c>
      <c r="Y2727" s="8" t="str">
        <f>IFERROR(__xludf.DUMMYFUNCTION("""COMPUTED_VALUE"""),"5/27まで1巻無料")</f>
        <v>5/27まで1巻無料</v>
      </c>
      <c r="Z2727" s="7"/>
      <c r="AA2727" s="7"/>
      <c r="AB2727" s="7"/>
    </row>
    <row r="2728" ht="15.75" customHeight="1">
      <c r="A2728" s="26">
        <f>IFERROR(__xludf.DUMMYFUNCTION("""COMPUTED_VALUE"""),4847.0)</f>
        <v>4847</v>
      </c>
      <c r="B2728" s="22" t="str">
        <f>IFERROR(__xludf.DUMMYFUNCTION("""COMPUTED_VALUE"""),"確定")</f>
        <v>確定</v>
      </c>
      <c r="C2728" s="28">
        <f>IFERROR(__xludf.DUMMYFUNCTION("""COMPUTED_VALUE"""),45677.0)</f>
        <v>45677</v>
      </c>
      <c r="D2728" s="28">
        <f>IFERROR(__xludf.DUMMYFUNCTION("""COMPUTED_VALUE"""),45679.0)</f>
        <v>45679</v>
      </c>
      <c r="E2728" s="26">
        <f>IFERROR(__xludf.DUMMYFUNCTION("""COMPUTED_VALUE"""),318210.0)</f>
        <v>318210</v>
      </c>
      <c r="F2728" s="22" t="str">
        <f>IFERROR(__xludf.DUMMYFUNCTION("""COMPUTED_VALUE"""),"辺境のお風呂屋さん、ハーレムになる～山奥にある寂れた温泉の効能がチートすぎて女冒険者に大人気な件～")</f>
        <v>辺境のお風呂屋さん、ハーレムになる～山奥にある寂れた温泉の効能がチートすぎて女冒険者に大人気な件～</v>
      </c>
      <c r="G2728" s="20" t="str">
        <f>IFERROR(__xludf.DUMMYFUNCTION("""COMPUTED_VALUE"""),"1～8")</f>
        <v>1～8</v>
      </c>
      <c r="H2728" s="22" t="str">
        <f>IFERROR(__xludf.DUMMYFUNCTION("""COMPUTED_VALUE"""),"吉村竜巻")</f>
        <v>吉村竜巻</v>
      </c>
      <c r="I2728" s="22" t="str">
        <f>IFERROR(__xludf.DUMMYFUNCTION("""COMPUTED_VALUE"""),"青年")</f>
        <v>青年</v>
      </c>
      <c r="J2728" s="22"/>
      <c r="K2728" s="22"/>
      <c r="L2728" s="22" t="str">
        <f>IFERROR(__xludf.DUMMYFUNCTION("""COMPUTED_VALUE"""),"ライブコミックス")</f>
        <v>ライブコミックス</v>
      </c>
      <c r="M2728" s="59">
        <f>IFERROR(__xludf.DUMMYFUNCTION("""COMPUTED_VALUE"""),45744.0)</f>
        <v>45744</v>
      </c>
      <c r="N2728" s="23">
        <f>IFERROR(__xludf.DUMMYFUNCTION("""COMPUTED_VALUE"""),45799.0)</f>
        <v>45799</v>
      </c>
      <c r="O2728" s="20"/>
      <c r="P2728" s="34" t="str">
        <f>IFERROR(__xludf.DUMMYFUNCTION("""COMPUTED_VALUE"""),"可")</f>
        <v>可</v>
      </c>
      <c r="Q2728" s="31" t="str">
        <f>IFERROR(__xludf.DUMMYFUNCTION("""COMPUTED_VALUE"""),"BookLiveからの2次先行です。&lt;BR&gt;1～6巻にてご検討＆ご制作をお願いします。")</f>
        <v>BookLiveからの2次先行です。&lt;BR&gt;1～6巻にてご検討＆ご制作をお願いします。</v>
      </c>
      <c r="R2728" s="22" t="str">
        <f>IFERROR(__xludf.DUMMYFUNCTION("""COMPUTED_VALUE"""),"コミットOK")</f>
        <v>コミットOK</v>
      </c>
      <c r="S2728" s="22" t="str">
        <f>IFERROR(__xludf.DUMMYFUNCTION("""COMPUTED_VALUE"""),"20250120_BookLive_辺境のお風呂屋さん、ハーレムになる～山奥にある寂れた温泉の効能がチートすぎて女冒険者に大人気な件～")</f>
        <v>20250120_BookLive_辺境のお風呂屋さん、ハーレムになる～山奥にある寂れた温泉の効能がチートすぎて女冒険者に大人気な件～</v>
      </c>
      <c r="T2728" s="22" t="str">
        <f>IFERROR(__xludf.DUMMYFUNCTION("""COMPUTED_VALUE"""),"格納済み")</f>
        <v>格納済み</v>
      </c>
      <c r="U2728" s="15" t="str">
        <f>IFERROR(__xludf.DUMMYFUNCTION("""COMPUTED_VALUE"""),"Ⓒ吉村竜巻/ライブコミックス")</f>
        <v>Ⓒ吉村竜巻/ライブコミックス</v>
      </c>
      <c r="V2728" s="8" t="str">
        <f>IFERROR(__xludf.DUMMYFUNCTION("""COMPUTED_VALUE"""),"お風呂チートで女冒険者を癒して強くして…お礼に混浴えっちし放題！？
山奥の村にある寂れた温泉を管理している青年・リオはスキルを使いながら湯成分を調節していた。
しかし昔から何気なく使っていたスキルには温泉にチート級の効能を付与してしまうことが判明！？
その噂を聞いた様々な種族の女冒険者たちが集まってくるがその温泉には性欲を高める成分も含まれていて…。
異世界温泉ハーレムここに開幕！！")</f>
        <v>お風呂チートで女冒険者を癒して強くして…お礼に混浴えっちし放題！？
山奥の村にある寂れた温泉を管理している青年・リオはスキルを使いながら湯成分を調節していた。
しかし昔から何気なく使っていたスキルには温泉にチート級の効能を付与してしまうことが判明！？
その噂を聞いた様々な種族の女冒険者たちが集まってくるがその温泉には性欲を高める成分も含まれていて…。
異世界温泉ハーレムここに開幕！！</v>
      </c>
      <c r="W2728" s="14"/>
      <c r="X2728" s="14" t="str">
        <f>IFERROR(__xludf.DUMMYFUNCTION("""COMPUTED_VALUE"""),"有")</f>
        <v>有</v>
      </c>
      <c r="Y2728" s="8" t="str">
        <f>IFERROR(__xludf.DUMMYFUNCTION("""COMPUTED_VALUE"""),"2025/5/22まで1~2巻無料")</f>
        <v>2025/5/22まで1~2巻無料</v>
      </c>
      <c r="Z2728" s="7"/>
      <c r="AA2728" s="7"/>
      <c r="AB2728" s="7"/>
    </row>
    <row r="2729" ht="15.75" customHeight="1">
      <c r="A2729" s="26">
        <f>IFERROR(__xludf.DUMMYFUNCTION("""COMPUTED_VALUE"""),4848.0)</f>
        <v>4848</v>
      </c>
      <c r="B2729" s="22" t="str">
        <f>IFERROR(__xludf.DUMMYFUNCTION("""COMPUTED_VALUE"""),"確定")</f>
        <v>確定</v>
      </c>
      <c r="C2729" s="28">
        <f>IFERROR(__xludf.DUMMYFUNCTION("""COMPUTED_VALUE"""),45677.0)</f>
        <v>45677</v>
      </c>
      <c r="D2729" s="28">
        <f>IFERROR(__xludf.DUMMYFUNCTION("""COMPUTED_VALUE"""),45679.0)</f>
        <v>45679</v>
      </c>
      <c r="E2729" s="26">
        <f>IFERROR(__xludf.DUMMYFUNCTION("""COMPUTED_VALUE"""),315282.0)</f>
        <v>315282</v>
      </c>
      <c r="F2729" s="22" t="str">
        <f>IFERROR(__xludf.DUMMYFUNCTION("""COMPUTED_VALUE"""),"あゝ、ゴミクズどもよ。")</f>
        <v>あゝ、ゴミクズどもよ。</v>
      </c>
      <c r="G2729" s="20" t="str">
        <f>IFERROR(__xludf.DUMMYFUNCTION("""COMPUTED_VALUE"""),"1～6")</f>
        <v>1～6</v>
      </c>
      <c r="H2729" s="22" t="str">
        <f>IFERROR(__xludf.DUMMYFUNCTION("""COMPUTED_VALUE"""),"椎野イトウ")</f>
        <v>椎野イトウ</v>
      </c>
      <c r="I2729" s="22" t="str">
        <f>IFERROR(__xludf.DUMMYFUNCTION("""COMPUTED_VALUE"""),"青年")</f>
        <v>青年</v>
      </c>
      <c r="J2729" s="22"/>
      <c r="K2729" s="22"/>
      <c r="L2729" s="22" t="str">
        <f>IFERROR(__xludf.DUMMYFUNCTION("""COMPUTED_VALUE"""),"ライブコミックス")</f>
        <v>ライブコミックス</v>
      </c>
      <c r="M2729" s="59">
        <f>IFERROR(__xludf.DUMMYFUNCTION("""COMPUTED_VALUE"""),45716.0)</f>
        <v>45716</v>
      </c>
      <c r="N2729" s="23">
        <f>IFERROR(__xludf.DUMMYFUNCTION("""COMPUTED_VALUE"""),45799.0)</f>
        <v>45799</v>
      </c>
      <c r="O2729" s="20"/>
      <c r="P2729" s="34" t="str">
        <f>IFERROR(__xludf.DUMMYFUNCTION("""COMPUTED_VALUE"""),"可")</f>
        <v>可</v>
      </c>
      <c r="Q2729" s="31" t="str">
        <f>IFERROR(__xludf.DUMMYFUNCTION("""COMPUTED_VALUE"""),"BookLiveからの2次先行です。&lt;BR&gt;1~5巻の内容にてご検討＆ご制作お願いします。")</f>
        <v>BookLiveからの2次先行です。&lt;BR&gt;1~5巻の内容にてご検討＆ご制作お願いします。</v>
      </c>
      <c r="R2729" s="22" t="str">
        <f>IFERROR(__xludf.DUMMYFUNCTION("""COMPUTED_VALUE"""),"コミットOK")</f>
        <v>コミットOK</v>
      </c>
      <c r="S2729" s="22" t="str">
        <f>IFERROR(__xludf.DUMMYFUNCTION("""COMPUTED_VALUE"""),"20250120_BookLive_あゝ、ゴミクズどもよ。")</f>
        <v>20250120_BookLive_あゝ、ゴミクズどもよ。</v>
      </c>
      <c r="T2729" s="22" t="str">
        <f>IFERROR(__xludf.DUMMYFUNCTION("""COMPUTED_VALUE"""),"格納済み")</f>
        <v>格納済み</v>
      </c>
      <c r="U2729" s="15" t="str">
        <f>IFERROR(__xludf.DUMMYFUNCTION("""COMPUTED_VALUE"""),"Ⓒ椎野イトウ/ライブコミックス")</f>
        <v>Ⓒ椎野イトウ/ライブコミックス</v>
      </c>
      <c r="V2729" s="8" t="str">
        <f>IFERROR(__xludf.DUMMYFUNCTION("""COMPUTED_VALUE"""),"「絶対社会復帰してみせる！」「絶対社会復帰なんてさせない！」ブラック企業で社畜を極める会社員・五味かすみには、無職の同居人・葛田メオがいる。ギャンブル癖があり、食うものも買えない葛田を養い、必要とされることでどん底の自己肯定感を満たす。五味にとってめくるめく同居生活が続く…はずが、葛田が社会復帰を画策し始め！？実は片想い中で早く自立して告白をしたい男と、共依存関係の彼を手放したくない女の同居ラブコメディ！！")</f>
        <v>「絶対社会復帰してみせる！」「絶対社会復帰なんてさせない！」ブラック企業で社畜を極める会社員・五味かすみには、無職の同居人・葛田メオがいる。ギャンブル癖があり、食うものも買えない葛田を養い、必要とされることでどん底の自己肯定感を満たす。五味にとってめくるめく同居生活が続く…はずが、葛田が社会復帰を画策し始め！？実は片想い中で早く自立して告白をしたい男と、共依存関係の彼を手放したくない女の同居ラブコメディ！！</v>
      </c>
      <c r="W2729" s="14"/>
      <c r="X2729" s="14" t="str">
        <f>IFERROR(__xludf.DUMMYFUNCTION("""COMPUTED_VALUE"""),"有")</f>
        <v>有</v>
      </c>
      <c r="Y2729" s="8" t="str">
        <f>IFERROR(__xludf.DUMMYFUNCTION("""COMPUTED_VALUE"""),"5/22まで2巻無料")</f>
        <v>5/22まで2巻無料</v>
      </c>
      <c r="Z2729" s="7"/>
      <c r="AA2729" s="7"/>
      <c r="AB2729" s="7"/>
    </row>
    <row r="2730" ht="15.75" customHeight="1">
      <c r="A2730" s="26">
        <f>IFERROR(__xludf.DUMMYFUNCTION("""COMPUTED_VALUE"""),4859.0)</f>
        <v>4859</v>
      </c>
      <c r="B2730" s="22" t="str">
        <f>IFERROR(__xludf.DUMMYFUNCTION("""COMPUTED_VALUE"""),"確定")</f>
        <v>確定</v>
      </c>
      <c r="C2730" s="28">
        <f>IFERROR(__xludf.DUMMYFUNCTION("""COMPUTED_VALUE"""),45677.0)</f>
        <v>45677</v>
      </c>
      <c r="D2730" s="28">
        <f>IFERROR(__xludf.DUMMYFUNCTION("""COMPUTED_VALUE"""),45678.0)</f>
        <v>45678</v>
      </c>
      <c r="E2730" s="100">
        <f>IFERROR(__xludf.DUMMYFUNCTION("""COMPUTED_VALUE"""),314623.0)</f>
        <v>314623</v>
      </c>
      <c r="F2730" s="61" t="str">
        <f>IFERROR(__xludf.DUMMYFUNCTION("""COMPUTED_VALUE"""),"転生したら没落貴族だったので、【呪言】を極めて家族を救います")</f>
        <v>転生したら没落貴族だったので、【呪言】を極めて家族を救います</v>
      </c>
      <c r="G2730" s="20" t="str">
        <f>IFERROR(__xludf.DUMMYFUNCTION("""COMPUTED_VALUE"""),"1～5")</f>
        <v>1～5</v>
      </c>
      <c r="H2730" s="22" t="str">
        <f>IFERROR(__xludf.DUMMYFUNCTION("""COMPUTED_VALUE"""),"アマセケイ/メソポ・たみあ")</f>
        <v>アマセケイ/メソポ・たみあ</v>
      </c>
      <c r="I2730" s="22" t="str">
        <f>IFERROR(__xludf.DUMMYFUNCTION("""COMPUTED_VALUE"""),"少年")</f>
        <v>少年</v>
      </c>
      <c r="J2730" s="22"/>
      <c r="K2730" s="22"/>
      <c r="L2730" s="22" t="str">
        <f>IFERROR(__xludf.DUMMYFUNCTION("""COMPUTED_VALUE"""),"ファンギルド")</f>
        <v>ファンギルド</v>
      </c>
      <c r="M2730" s="59">
        <f>IFERROR(__xludf.DUMMYFUNCTION("""COMPUTED_VALUE"""),45710.0)</f>
        <v>45710</v>
      </c>
      <c r="N2730" s="23">
        <f>IFERROR(__xludf.DUMMYFUNCTION("""COMPUTED_VALUE"""),45737.0)</f>
        <v>45737</v>
      </c>
      <c r="O2730" s="20"/>
      <c r="P2730" s="32" t="str">
        <f>IFERROR(__xludf.DUMMYFUNCTION("""COMPUTED_VALUE"""),"可")</f>
        <v>可</v>
      </c>
      <c r="Q2730" s="30"/>
      <c r="R2730" s="22"/>
      <c r="S2730" s="22" t="str">
        <f>IFERROR(__xludf.DUMMYFUNCTION("""COMPUTED_VALUE"""),"20250120_ファンギルド_転生したら没落貴族だったので、【呪言】を極めて家族を救います")</f>
        <v>20250120_ファンギルド_転生したら没落貴族だったので、【呪言】を極めて家族を救います</v>
      </c>
      <c r="T2730" s="22" t="str">
        <f>IFERROR(__xludf.DUMMYFUNCTION("""COMPUTED_VALUE"""),"格納済み")</f>
        <v>格納済み</v>
      </c>
      <c r="U2730" s="15" t="str">
        <f>IFERROR(__xludf.DUMMYFUNCTION("""COMPUTED_VALUE"""),"Ⓒアマセケイ/メソポ・たみあ/ファンギルド")</f>
        <v>Ⓒアマセケイ/メソポ・たみあ/ファンギルド</v>
      </c>
      <c r="V2730" s="8" t="str">
        <f>IFERROR(__xludf.DUMMYFUNCTION("""COMPUTED_VALUE"""),"「没落したこの家の危機を救えるのは、僕が持つ【呪言】しかない!!」社畜のサラリーマンはゲームプレイ中に命を落とし、強大な魔力を秘めたスプリングフィールド・リッドとして転生した。温かく優しい家族のもとで貴族として悠々自適の生活を楽しみにしていたが…。スプリングフィールド家は100年の間、魔術持ちの子供が生まなかったことにより貴族としての立場が危うくなっていた没落貴族だった…！前世とは違い、愛情を注いで育ててくれる家族の力になりたい！そのとき、リッド特有の魔術【呪言】が開花する！スプリングフィールド家を再興す"&amp;"るため、リッドの計画が動き出す！")</f>
        <v>「没落したこの家の危機を救えるのは、僕が持つ【呪言】しかない!!」社畜のサラリーマンはゲームプレイ中に命を落とし、強大な魔力を秘めたスプリングフィールド・リッドとして転生した。温かく優しい家族のもとで貴族として悠々自適の生活を楽しみにしていたが…。スプリングフィールド家は100年の間、魔術持ちの子供が生まなかったことにより貴族としての立場が危うくなっていた没落貴族だった…！前世とは違い、愛情を注いで育ててくれる家族の力になりたい！そのとき、リッド特有の魔術【呪言】が開花する！スプリングフィールド家を再興するため、リッドの計画が動き出す！</v>
      </c>
      <c r="W2730" s="14"/>
      <c r="X2730" s="14" t="str">
        <f>IFERROR(__xludf.DUMMYFUNCTION("""COMPUTED_VALUE"""),"有")</f>
        <v>有</v>
      </c>
      <c r="Y2730" s="8" t="str">
        <f>IFERROR(__xludf.DUMMYFUNCTION("""COMPUTED_VALUE"""),"2025/3/7まで1巻無料")</f>
        <v>2025/3/7まで1巻無料</v>
      </c>
      <c r="Z2730" s="7"/>
      <c r="AA2730" s="7"/>
      <c r="AB2730" s="7"/>
    </row>
    <row r="2731" ht="15.75" customHeight="1">
      <c r="A2731" s="26">
        <f>IFERROR(__xludf.DUMMYFUNCTION("""COMPUTED_VALUE"""),4861.0)</f>
        <v>4861</v>
      </c>
      <c r="B2731" s="22" t="str">
        <f>IFERROR(__xludf.DUMMYFUNCTION("""COMPUTED_VALUE"""),"確定")</f>
        <v>確定</v>
      </c>
      <c r="C2731" s="28">
        <f>IFERROR(__xludf.DUMMYFUNCTION("""COMPUTED_VALUE"""),45677.0)</f>
        <v>45677</v>
      </c>
      <c r="D2731" s="28">
        <f>IFERROR(__xludf.DUMMYFUNCTION("""COMPUTED_VALUE"""),45678.0)</f>
        <v>45678</v>
      </c>
      <c r="E2731" s="100">
        <f>IFERROR(__xludf.DUMMYFUNCTION("""COMPUTED_VALUE"""),315860.0)</f>
        <v>315860</v>
      </c>
      <c r="F2731" s="61" t="str">
        <f>IFERROR(__xludf.DUMMYFUNCTION("""COMPUTED_VALUE"""),"サイコ先生【タテヨミ】")</f>
        <v>サイコ先生【タテヨミ】</v>
      </c>
      <c r="G2731" s="20" t="str">
        <f>IFERROR(__xludf.DUMMYFUNCTION("""COMPUTED_VALUE"""),"1～10")</f>
        <v>1～10</v>
      </c>
      <c r="H2731" s="22" t="str">
        <f>IFERROR(__xludf.DUMMYFUNCTION("""COMPUTED_VALUE"""),"村尾ミオ・あおきよ")</f>
        <v>村尾ミオ・あおきよ</v>
      </c>
      <c r="I2731" s="22" t="str">
        <f>IFERROR(__xludf.DUMMYFUNCTION("""COMPUTED_VALUE"""),"青年")</f>
        <v>青年</v>
      </c>
      <c r="J2731" s="22"/>
      <c r="K2731" s="22"/>
      <c r="L2731" s="22" t="str">
        <f>IFERROR(__xludf.DUMMYFUNCTION("""COMPUTED_VALUE"""),"日本文芸社")</f>
        <v>日本文芸社</v>
      </c>
      <c r="M2731" s="59">
        <f>IFERROR(__xludf.DUMMYFUNCTION("""COMPUTED_VALUE"""),45712.0)</f>
        <v>45712</v>
      </c>
      <c r="N2731" s="23">
        <f>IFERROR(__xludf.DUMMYFUNCTION("""COMPUTED_VALUE"""),45800.0)</f>
        <v>45800</v>
      </c>
      <c r="O2731" s="20"/>
      <c r="P2731" s="32" t="str">
        <f>IFERROR(__xludf.DUMMYFUNCTION("""COMPUTED_VALUE"""),"可")</f>
        <v>可</v>
      </c>
      <c r="Q2731" s="30"/>
      <c r="R2731" s="22"/>
      <c r="S2731" s="22" t="str">
        <f>IFERROR(__xludf.DUMMYFUNCTION("""COMPUTED_VALUE"""),"20250120_日本文芸社_サイコ先生【タテヨミ】")</f>
        <v>20250120_日本文芸社_サイコ先生【タテヨミ】</v>
      </c>
      <c r="T2731" s="22" t="str">
        <f>IFERROR(__xludf.DUMMYFUNCTION("""COMPUTED_VALUE"""),"格納済み")</f>
        <v>格納済み</v>
      </c>
      <c r="U2731" s="15" t="str">
        <f>IFERROR(__xludf.DUMMYFUNCTION("""COMPUTED_VALUE"""),"(c)村尾ミオ・あおきよ/日本文芸社")</f>
        <v>(c)村尾ミオ・あおきよ/日本文芸社</v>
      </c>
      <c r="V2731" s="8" t="str">
        <f>IFERROR(__xludf.DUMMYFUNCTION("""COMPUTED_VALUE"""),"まさか担任教師がサイコパスだったなんて…！！
心優しき高校生・ヒロユキは、
生徒からイジメられていた担任の彩子先生を心配し、みんなを注意した。
その行為が彩子先生のサイコパスな心に火をつけるとも知らずに――。
教師でありながら、教え子のヒロユキに夢中になるサイコ先生！
その想いは次第にエスカレートして…
ヒロユキと仲のよい女生徒を襲い、更にはヒロユキを――。
教師の狂気の愛が生徒の日常を壊してゆく！
戦慄のスクール・スリラー！！")</f>
        <v>まさか担任教師がサイコパスだったなんて…！！
心優しき高校生・ヒロユキは、
生徒からイジメられていた担任の彩子先生を心配し、みんなを注意した。
その行為が彩子先生のサイコパスな心に火をつけるとも知らずに――。
教師でありながら、教え子のヒロユキに夢中になるサイコ先生！
その想いは次第にエスカレートして…
ヒロユキと仲のよい女生徒を襲い、更にはヒロユキを――。
教師の狂気の愛が生徒の日常を壊してゆく！
戦慄のスクール・スリラー！！</v>
      </c>
      <c r="W2731" s="14"/>
      <c r="X2731" s="14" t="str">
        <f>IFERROR(__xludf.DUMMYFUNCTION("""COMPUTED_VALUE"""),"有")</f>
        <v>有</v>
      </c>
      <c r="Y2731" s="8" t="str">
        <f>IFERROR(__xludf.DUMMYFUNCTION("""COMPUTED_VALUE"""),"1～2巻無料")</f>
        <v>1～2巻無料</v>
      </c>
      <c r="Z2731" s="7"/>
      <c r="AA2731" s="7"/>
      <c r="AB2731" s="7"/>
    </row>
    <row r="2732" ht="15.75" customHeight="1">
      <c r="A2732" s="26">
        <f>IFERROR(__xludf.DUMMYFUNCTION("""COMPUTED_VALUE"""),4862.0)</f>
        <v>4862</v>
      </c>
      <c r="B2732" s="22" t="str">
        <f>IFERROR(__xludf.DUMMYFUNCTION("""COMPUTED_VALUE"""),"確定")</f>
        <v>確定</v>
      </c>
      <c r="C2732" s="28">
        <f>IFERROR(__xludf.DUMMYFUNCTION("""COMPUTED_VALUE"""),45677.0)</f>
        <v>45677</v>
      </c>
      <c r="D2732" s="28">
        <f>IFERROR(__xludf.DUMMYFUNCTION("""COMPUTED_VALUE"""),45678.0)</f>
        <v>45678</v>
      </c>
      <c r="E2732" s="100">
        <f>IFERROR(__xludf.DUMMYFUNCTION("""COMPUTED_VALUE"""),312915.0)</f>
        <v>312915</v>
      </c>
      <c r="F2732" s="61" t="str">
        <f>IFERROR(__xludf.DUMMYFUNCTION("""COMPUTED_VALUE"""),"恋する転生政務官はハッピーエンドの夢を見る【単話版】")</f>
        <v>恋する転生政務官はハッピーエンドの夢を見る【単話版】</v>
      </c>
      <c r="G2732" s="20" t="str">
        <f>IFERROR(__xludf.DUMMYFUNCTION("""COMPUTED_VALUE"""),"1～3")</f>
        <v>1～3</v>
      </c>
      <c r="H2732" s="22" t="str">
        <f>IFERROR(__xludf.DUMMYFUNCTION("""COMPUTED_VALUE"""),"斎藤リューセイ")</f>
        <v>斎藤リューセイ</v>
      </c>
      <c r="I2732" s="22" t="str">
        <f>IFERROR(__xludf.DUMMYFUNCTION("""COMPUTED_VALUE"""),"女性")</f>
        <v>女性</v>
      </c>
      <c r="J2732" s="22"/>
      <c r="K2732" s="22" t="str">
        <f>IFERROR(__xludf.DUMMYFUNCTION("""COMPUTED_VALUE"""),"urakoi")</f>
        <v>urakoi</v>
      </c>
      <c r="L2732" s="22" t="str">
        <f>IFERROR(__xludf.DUMMYFUNCTION("""COMPUTED_VALUE"""),"日本文芸社")</f>
        <v>日本文芸社</v>
      </c>
      <c r="M2732" s="59">
        <f>IFERROR(__xludf.DUMMYFUNCTION("""COMPUTED_VALUE"""),45708.0)</f>
        <v>45708</v>
      </c>
      <c r="N2732" s="23">
        <f>IFERROR(__xludf.DUMMYFUNCTION("""COMPUTED_VALUE"""),45797.0)</f>
        <v>45797</v>
      </c>
      <c r="O2732" s="20"/>
      <c r="P2732" s="32" t="str">
        <f>IFERROR(__xludf.DUMMYFUNCTION("""COMPUTED_VALUE"""),"可")</f>
        <v>可</v>
      </c>
      <c r="Q2732" s="30"/>
      <c r="R2732" s="22"/>
      <c r="S2732" s="22" t="str">
        <f>IFERROR(__xludf.DUMMYFUNCTION("""COMPUTED_VALUE"""),"20250117_日本文芸社_恋する転生政務官はハッピーエンドの夢を見る1～3話校了済pdf")</f>
        <v>20250117_日本文芸社_恋する転生政務官はハッピーエンドの夢を見る1～3話校了済pdf</v>
      </c>
      <c r="T2732" s="22" t="str">
        <f>IFERROR(__xludf.DUMMYFUNCTION("""COMPUTED_VALUE"""),"格納済み")</f>
        <v>格納済み</v>
      </c>
      <c r="U2732" s="15" t="str">
        <f>IFERROR(__xludf.DUMMYFUNCTION("""COMPUTED_VALUE"""),"(c)斎藤リューセイ/日本文芸社")</f>
        <v>(c)斎藤リューセイ/日本文芸社</v>
      </c>
      <c r="V2732" s="8" t="str">
        <f>IFERROR(__xludf.DUMMYFUNCTION("""COMPUTED_VALUE"""),"読書好きの少女フェルシアナは、階段から落ちそうになったところを青年に助けられた。彼は幼い頃に会ったきりだった名家の長男ユート・イストリアで、後日なぜか婚約を申し込まれる。求婚の理由は謎であるものの、彼女はその申し出を受けることに。
婚約後、少しずつ交流を重ねていく二人だが、クールな政務官であるユートに彼女はドキドキさせられっぱなし。しかしユートには秘密があるようで――。
――実は、ここはゲーム『ユートピア』の世界で、ユートは転生者だった！
転生前からフェルシアナが大好きだったユートは、自分のこと"&amp;"を好きになってもらおうとゲームの知識をフル活用して……!?　一途で不器用なラブファンタジー!!")</f>
        <v>読書好きの少女フェルシアナは、階段から落ちそうになったところを青年に助けられた。彼は幼い頃に会ったきりだった名家の長男ユート・イストリアで、後日なぜか婚約を申し込まれる。求婚の理由は謎であるものの、彼女はその申し出を受けることに。
婚約後、少しずつ交流を重ねていく二人だが、クールな政務官であるユートに彼女はドキドキさせられっぱなし。しかしユートには秘密があるようで――。
――実は、ここはゲーム『ユートピア』の世界で、ユートは転生者だった！
転生前からフェルシアナが大好きだったユートは、自分のことを好きになってもらおうとゲームの知識をフル活用して……!?　一途で不器用なラブファンタジー!!</v>
      </c>
      <c r="W2732" s="14"/>
      <c r="X2732" s="14" t="str">
        <f>IFERROR(__xludf.DUMMYFUNCTION("""COMPUTED_VALUE"""),"有")</f>
        <v>有</v>
      </c>
      <c r="Y2732" s="8" t="str">
        <f>IFERROR(__xludf.DUMMYFUNCTION("""COMPUTED_VALUE"""),"2025/3/5まで1巻無料")</f>
        <v>2025/3/5まで1巻無料</v>
      </c>
      <c r="Z2732" s="7"/>
      <c r="AA2732" s="7"/>
      <c r="AB2732" s="7"/>
    </row>
    <row r="2733" ht="15.75" customHeight="1">
      <c r="A2733" s="26">
        <f>IFERROR(__xludf.DUMMYFUNCTION("""COMPUTED_VALUE"""),4863.0)</f>
        <v>4863</v>
      </c>
      <c r="B2733" s="22" t="str">
        <f>IFERROR(__xludf.DUMMYFUNCTION("""COMPUTED_VALUE"""),"確定")</f>
        <v>確定</v>
      </c>
      <c r="C2733" s="28">
        <f>IFERROR(__xludf.DUMMYFUNCTION("""COMPUTED_VALUE"""),45678.0)</f>
        <v>45678</v>
      </c>
      <c r="D2733" s="28">
        <f>IFERROR(__xludf.DUMMYFUNCTION("""COMPUTED_VALUE"""),45678.0)</f>
        <v>45678</v>
      </c>
      <c r="E2733" s="100">
        <f>IFERROR(__xludf.DUMMYFUNCTION("""COMPUTED_VALUE"""),294651.0)</f>
        <v>294651</v>
      </c>
      <c r="F2733" s="61" t="str">
        <f>IFERROR(__xludf.DUMMYFUNCTION("""COMPUTED_VALUE"""),"抜かりある二人")</f>
        <v>抜かりある二人</v>
      </c>
      <c r="G2733" s="20" t="str">
        <f>IFERROR(__xludf.DUMMYFUNCTION("""COMPUTED_VALUE"""),"1～3")</f>
        <v>1～3</v>
      </c>
      <c r="H2733" s="22" t="str">
        <f>IFERROR(__xludf.DUMMYFUNCTION("""COMPUTED_VALUE"""),"花織亘")</f>
        <v>花織亘</v>
      </c>
      <c r="I2733" s="22" t="str">
        <f>IFERROR(__xludf.DUMMYFUNCTION("""COMPUTED_VALUE"""),"女性マンガ")</f>
        <v>女性マンガ</v>
      </c>
      <c r="J2733" s="22"/>
      <c r="K2733" s="22"/>
      <c r="L2733" s="22" t="str">
        <f>IFERROR(__xludf.DUMMYFUNCTION("""COMPUTED_VALUE"""),"シーモアコミックス")</f>
        <v>シーモアコミックス</v>
      </c>
      <c r="M2733" s="59">
        <f>IFERROR(__xludf.DUMMYFUNCTION("""COMPUTED_VALUE"""),45710.0)</f>
        <v>45710</v>
      </c>
      <c r="N2733" s="23">
        <f>IFERROR(__xludf.DUMMYFUNCTION("""COMPUTED_VALUE"""),45771.0)</f>
        <v>45771</v>
      </c>
      <c r="O2733" s="20"/>
      <c r="P2733" s="34" t="str">
        <f>IFERROR(__xludf.DUMMYFUNCTION("""COMPUTED_VALUE"""),"可")</f>
        <v>可</v>
      </c>
      <c r="Q2733" s="30" t="str">
        <f>IFERROR(__xludf.DUMMYFUNCTION("""COMPUTED_VALUE"""),"&lt;BR&gt;")</f>
        <v>&lt;BR&gt;</v>
      </c>
      <c r="R2733" s="22"/>
      <c r="S2733" s="22" t="str">
        <f>IFERROR(__xludf.DUMMYFUNCTION("""COMPUTED_VALUE"""),"20250121_シーモアコミックス_抜かりある二人")</f>
        <v>20250121_シーモアコミックス_抜かりある二人</v>
      </c>
      <c r="T2733" s="22" t="str">
        <f>IFERROR(__xludf.DUMMYFUNCTION("""COMPUTED_VALUE"""),"格納済み")</f>
        <v>格納済み</v>
      </c>
      <c r="U2733" s="15" t="str">
        <f>IFERROR(__xludf.DUMMYFUNCTION("""COMPUTED_VALUE"""),"© 花織亘/シーモアコミックス")</f>
        <v>© 花織亘/シーモアコミックス</v>
      </c>
      <c r="V2733" s="8" t="str">
        <f>IFERROR(__xludf.DUMMYFUNCTION("""COMPUTED_VALUE"""),"都会に出てきて3年の会社員・双葉（ふたば）は自他共に認める【ドジ】で、がんばりが空回りする毎日を送っている。
ある日、行きつけの喫茶店で誤ってコーヒーをこぼすドジをやらかしてしまった双葉が自己嫌悪におちいっていると、目の前に一人の男性が現れる。
右手にモップ、盛大に濡れた服を着た彼もまた【ドジ】であった。
抜かり“ありすぎる”二人のほんわか優しいラブストーリー【恋するソワレ＋】")</f>
        <v>都会に出てきて3年の会社員・双葉（ふたば）は自他共に認める【ドジ】で、がんばりが空回りする毎日を送っている。
ある日、行きつけの喫茶店で誤ってコーヒーをこぼすドジをやらかしてしまった双葉が自己嫌悪におちいっていると、目の前に一人の男性が現れる。
右手にモップ、盛大に濡れた服を着た彼もまた【ドジ】であった。
抜かり“ありすぎる”二人のほんわか優しいラブストーリー【恋するソワレ＋】</v>
      </c>
      <c r="W2733" s="14"/>
      <c r="X2733" s="14" t="str">
        <f>IFERROR(__xludf.DUMMYFUNCTION("""COMPUTED_VALUE"""),"有")</f>
        <v>有</v>
      </c>
      <c r="Y2733" s="8" t="str">
        <f>IFERROR(__xludf.DUMMYFUNCTION("""COMPUTED_VALUE"""),"2025/3/21まで1巻無料")</f>
        <v>2025/3/21まで1巻無料</v>
      </c>
      <c r="Z2733" s="7"/>
      <c r="AA2733" s="7"/>
      <c r="AB2733" s="7"/>
    </row>
    <row r="2734" ht="15.75" customHeight="1">
      <c r="A2734" s="26">
        <f>IFERROR(__xludf.DUMMYFUNCTION("""COMPUTED_VALUE"""),4864.0)</f>
        <v>4864</v>
      </c>
      <c r="B2734" s="22" t="str">
        <f>IFERROR(__xludf.DUMMYFUNCTION("""COMPUTED_VALUE"""),"確定")</f>
        <v>確定</v>
      </c>
      <c r="C2734" s="28">
        <f>IFERROR(__xludf.DUMMYFUNCTION("""COMPUTED_VALUE"""),45678.0)</f>
        <v>45678</v>
      </c>
      <c r="D2734" s="28">
        <f>IFERROR(__xludf.DUMMYFUNCTION("""COMPUTED_VALUE"""),45678.0)</f>
        <v>45678</v>
      </c>
      <c r="E2734" s="100">
        <f>IFERROR(__xludf.DUMMYFUNCTION("""COMPUTED_VALUE"""),302734.0)</f>
        <v>302734</v>
      </c>
      <c r="F2734" s="61" t="str">
        <f>IFERROR(__xludf.DUMMYFUNCTION("""COMPUTED_VALUE"""),"ハメるスクラッチ(フルカラー)")</f>
        <v>ハメるスクラッチ(フルカラー)</v>
      </c>
      <c r="G2734" s="20" t="str">
        <f>IFERROR(__xludf.DUMMYFUNCTION("""COMPUTED_VALUE"""),"1～3")</f>
        <v>1～3</v>
      </c>
      <c r="H2734" s="22" t="str">
        <f>IFERROR(__xludf.DUMMYFUNCTION("""COMPUTED_VALUE"""),"Aamong,ボッキ城")</f>
        <v>Aamong,ボッキ城</v>
      </c>
      <c r="I2734" s="22" t="str">
        <f>IFERROR(__xludf.DUMMYFUNCTION("""COMPUTED_VALUE"""),"青年マンガ")</f>
        <v>青年マンガ</v>
      </c>
      <c r="J2734" s="22"/>
      <c r="K2734" s="22"/>
      <c r="L2734" s="22" t="str">
        <f>IFERROR(__xludf.DUMMYFUNCTION("""COMPUTED_VALUE"""),"シーモアコミックス")</f>
        <v>シーモアコミックス</v>
      </c>
      <c r="M2734" s="59">
        <f>IFERROR(__xludf.DUMMYFUNCTION("""COMPUTED_VALUE"""),45710.0)</f>
        <v>45710</v>
      </c>
      <c r="N2734" s="23">
        <f>IFERROR(__xludf.DUMMYFUNCTION("""COMPUTED_VALUE"""),45862.66666666667)</f>
        <v>45862.66667</v>
      </c>
      <c r="O2734" s="20"/>
      <c r="P2734" s="32" t="str">
        <f>IFERROR(__xludf.DUMMYFUNCTION("""COMPUTED_VALUE"""),"可")</f>
        <v>可</v>
      </c>
      <c r="Q2734" s="30"/>
      <c r="R2734" s="22"/>
      <c r="S2734" s="22" t="str">
        <f>IFERROR(__xludf.DUMMYFUNCTION("""COMPUTED_VALUE"""),"20250121_シーモアコミックス_ハメるスクラッチ（フルカラー）")</f>
        <v>20250121_シーモアコミックス_ハメるスクラッチ（フルカラー）</v>
      </c>
      <c r="T2734" s="22" t="str">
        <f>IFERROR(__xludf.DUMMYFUNCTION("""COMPUTED_VALUE"""),"格納済み")</f>
        <v>格納済み</v>
      </c>
      <c r="U2734" s="15" t="str">
        <f>IFERROR(__xludf.DUMMYFUNCTION("""COMPUTED_VALUE"""),"© Aamong/ボッキ城/TOPCO/シーモアコミックス")</f>
        <v>© Aamong/ボッキ城/TOPCO/シーモアコミックス</v>
      </c>
      <c r="V2734" s="8" t="str">
        <f>IFERROR(__xludf.DUMMYFUNCTION("""COMPUTED_VALUE"""),"「これ買って後悔した人は一人もいなかったので」
冴えない人生に一発逆転を狙いたい剛力元気。ある日、立ち寄ったコンビニで見慣れぬスクラッチを買うことになる。
そのスクラッチを使った途端…！女上司、憧れの同級生、近所に住むシングルマザー…常識では考えられない魅惑の女性たちをハメまくり、元気はスクラッチに疑問を持ちつつも、その効果にハマっていく…
常識外れのエロ博打ストーリー始動！！【桃色エンジェル】")</f>
        <v>「これ買って後悔した人は一人もいなかったので」
冴えない人生に一発逆転を狙いたい剛力元気。ある日、立ち寄ったコンビニで見慣れぬスクラッチを買うことになる。
そのスクラッチを使った途端…！女上司、憧れの同級生、近所に住むシングルマザー…常識では考えられない魅惑の女性たちをハメまくり、元気はスクラッチに疑問を持ちつつも、その効果にハマっていく…
常識外れのエロ博打ストーリー始動！！【桃色エンジェル】</v>
      </c>
      <c r="W2734" s="14"/>
      <c r="X2734" s="14" t="str">
        <f>IFERROR(__xludf.DUMMYFUNCTION("""COMPUTED_VALUE"""),"有")</f>
        <v>有</v>
      </c>
      <c r="Y2734" s="8" t="str">
        <f>IFERROR(__xludf.DUMMYFUNCTION("""COMPUTED_VALUE"""),"2025/3/21まで1巻無料")</f>
        <v>2025/3/21まで1巻無料</v>
      </c>
      <c r="Z2734" s="7"/>
      <c r="AA2734" s="7"/>
      <c r="AB2734" s="7"/>
    </row>
    <row r="2735" ht="15.75" customHeight="1">
      <c r="A2735" s="26">
        <f>IFERROR(__xludf.DUMMYFUNCTION("""COMPUTED_VALUE"""),4865.0)</f>
        <v>4865</v>
      </c>
      <c r="B2735" s="22" t="str">
        <f>IFERROR(__xludf.DUMMYFUNCTION("""COMPUTED_VALUE"""),"確定")</f>
        <v>確定</v>
      </c>
      <c r="C2735" s="28">
        <f>IFERROR(__xludf.DUMMYFUNCTION("""COMPUTED_VALUE"""),45678.0)</f>
        <v>45678</v>
      </c>
      <c r="D2735" s="28">
        <f>IFERROR(__xludf.DUMMYFUNCTION("""COMPUTED_VALUE"""),45678.0)</f>
        <v>45678</v>
      </c>
      <c r="E2735" s="100">
        <f>IFERROR(__xludf.DUMMYFUNCTION("""COMPUTED_VALUE"""),302735.0)</f>
        <v>302735</v>
      </c>
      <c r="F2735" s="61" t="str">
        <f>IFERROR(__xludf.DUMMYFUNCTION("""COMPUTED_VALUE"""),"ハメるスクラッチ【タテヨミ】")</f>
        <v>ハメるスクラッチ【タテヨミ】</v>
      </c>
      <c r="G2735" s="20" t="str">
        <f>IFERROR(__xludf.DUMMYFUNCTION("""COMPUTED_VALUE"""),"1～9")</f>
        <v>1～9</v>
      </c>
      <c r="H2735" s="22" t="str">
        <f>IFERROR(__xludf.DUMMYFUNCTION("""COMPUTED_VALUE"""),"Aamong,ボッキ城")</f>
        <v>Aamong,ボッキ城</v>
      </c>
      <c r="I2735" s="22" t="str">
        <f>IFERROR(__xludf.DUMMYFUNCTION("""COMPUTED_VALUE"""),"青年マンガ")</f>
        <v>青年マンガ</v>
      </c>
      <c r="J2735" s="22"/>
      <c r="K2735" s="22"/>
      <c r="L2735" s="22" t="str">
        <f>IFERROR(__xludf.DUMMYFUNCTION("""COMPUTED_VALUE"""),"シーモアコミックス")</f>
        <v>シーモアコミックス</v>
      </c>
      <c r="M2735" s="59">
        <f>IFERROR(__xludf.DUMMYFUNCTION("""COMPUTED_VALUE"""),45710.0)</f>
        <v>45710</v>
      </c>
      <c r="N2735" s="23">
        <f>IFERROR(__xludf.DUMMYFUNCTION("""COMPUTED_VALUE"""),45862.66666666667)</f>
        <v>45862.66667</v>
      </c>
      <c r="O2735" s="20"/>
      <c r="P2735" s="34" t="str">
        <f>IFERROR(__xludf.DUMMYFUNCTION("""COMPUTED_VALUE"""),"可")</f>
        <v>可</v>
      </c>
      <c r="Q2735" s="30" t="str">
        <f>IFERROR(__xludf.DUMMYFUNCTION("""COMPUTED_VALUE"""),"※コマサム等素材は「302734　ハメるスクラッチ&lt;BR&gt;（フルカラー）」のほうをお使いください。&lt;BR&gt;バナー制作はフルカラー版の素材を利用して問題ございません。&lt;BR&gt;")</f>
        <v>※コマサム等素材は「302734　ハメるスクラッチ&lt;BR&gt;（フルカラー）」のほうをお使いください。&lt;BR&gt;バナー制作はフルカラー版の素材を利用して問題ございません。&lt;BR&gt;</v>
      </c>
      <c r="R2735" s="22"/>
      <c r="S2735" s="22" t="str">
        <f>IFERROR(__xludf.DUMMYFUNCTION("""COMPUTED_VALUE"""),"20250121_シーモアコミックス_ハメるスクラッチ【タテヨミ】")</f>
        <v>20250121_シーモアコミックス_ハメるスクラッチ【タテヨミ】</v>
      </c>
      <c r="T2735" s="22" t="str">
        <f>IFERROR(__xludf.DUMMYFUNCTION("""COMPUTED_VALUE"""),"格納済み")</f>
        <v>格納済み</v>
      </c>
      <c r="U2735" s="15" t="str">
        <f>IFERROR(__xludf.DUMMYFUNCTION("""COMPUTED_VALUE"""),"© Aamong/ボッキ城/TOPCO/シーモアコミックス")</f>
        <v>© Aamong/ボッキ城/TOPCO/シーモアコミックス</v>
      </c>
      <c r="V2735" s="8" t="str">
        <f>IFERROR(__xludf.DUMMYFUNCTION("""COMPUTED_VALUE"""),"「これ買って後悔した人は一人もいなかったので」
冴えない人生に一発逆転を狙いたい剛力元気。ある日、立ち寄ったコンビニで見慣れぬスクラッチを買うことになる。
そのスクラッチを使った途端…！女上司、憧れの同級生、近所に住むシングルマザー…常識では考えられない魅惑の女性たちをハメまくり、元気はスクラッチに疑問を持ちつつも、その効果にハマっていく…
常識外れのエロ博打ストーリー始動！！【桃色エンジェル】")</f>
        <v>「これ買って後悔した人は一人もいなかったので」
冴えない人生に一発逆転を狙いたい剛力元気。ある日、立ち寄ったコンビニで見慣れぬスクラッチを買うことになる。
そのスクラッチを使った途端…！女上司、憧れの同級生、近所に住むシングルマザー…常識では考えられない魅惑の女性たちをハメまくり、元気はスクラッチに疑問を持ちつつも、その効果にハマっていく…
常識外れのエロ博打ストーリー始動！！【桃色エンジェル】</v>
      </c>
      <c r="W2735" s="14"/>
      <c r="X2735" s="14" t="str">
        <f>IFERROR(__xludf.DUMMYFUNCTION("""COMPUTED_VALUE"""),"有")</f>
        <v>有</v>
      </c>
      <c r="Y2735" s="8" t="str">
        <f>IFERROR(__xludf.DUMMYFUNCTION("""COMPUTED_VALUE"""),"2025/3/21まで1～3巻無料")</f>
        <v>2025/3/21まで1～3巻無料</v>
      </c>
      <c r="Z2735" s="7"/>
      <c r="AA2735" s="7"/>
      <c r="AB2735" s="7"/>
    </row>
    <row r="2736" ht="15.75" customHeight="1">
      <c r="A2736" s="26">
        <f>IFERROR(__xludf.DUMMYFUNCTION("""COMPUTED_VALUE"""),4875.0)</f>
        <v>4875</v>
      </c>
      <c r="B2736" s="22" t="str">
        <f>IFERROR(__xludf.DUMMYFUNCTION("""COMPUTED_VALUE"""),"確定")</f>
        <v>確定</v>
      </c>
      <c r="C2736" s="28">
        <f>IFERROR(__xludf.DUMMYFUNCTION("""COMPUTED_VALUE"""),45678.0)</f>
        <v>45678</v>
      </c>
      <c r="D2736" s="28">
        <f>IFERROR(__xludf.DUMMYFUNCTION("""COMPUTED_VALUE"""),45679.0)</f>
        <v>45679</v>
      </c>
      <c r="E2736" s="100">
        <f>IFERROR(__xludf.DUMMYFUNCTION("""COMPUTED_VALUE"""),313680.0)</f>
        <v>313680</v>
      </c>
      <c r="F2736" s="61" t="str">
        <f>IFERROR(__xludf.DUMMYFUNCTION("""COMPUTED_VALUE"""),"【ラブチーク】ここで逢ったか、初恋め～7年ぶりに再会した幼馴染の不器用な執着愛～")</f>
        <v>【ラブチーク】ここで逢ったか、初恋め～7年ぶりに再会した幼馴染の不器用な執着愛～</v>
      </c>
      <c r="G2736" s="152" t="str">
        <f>IFERROR(__xludf.DUMMYFUNCTION("""COMPUTED_VALUE"""),"1～3")</f>
        <v>1～3</v>
      </c>
      <c r="H2736" s="22" t="str">
        <f>IFERROR(__xludf.DUMMYFUNCTION("""COMPUTED_VALUE"""),"きりゅ～")</f>
        <v>きりゅ～</v>
      </c>
      <c r="I2736" s="22" t="str">
        <f>IFERROR(__xludf.DUMMYFUNCTION("""COMPUTED_VALUE"""),"TL")</f>
        <v>TL</v>
      </c>
      <c r="J2736" s="22"/>
      <c r="K2736" s="22" t="str">
        <f>IFERROR(__xludf.DUMMYFUNCTION("""COMPUTED_VALUE"""),"ラブチーク")</f>
        <v>ラブチーク</v>
      </c>
      <c r="L2736" s="22" t="str">
        <f>IFERROR(__xludf.DUMMYFUNCTION("""COMPUTED_VALUE"""),"ブライト出版")</f>
        <v>ブライト出版</v>
      </c>
      <c r="M2736" s="59">
        <f>IFERROR(__xludf.DUMMYFUNCTION("""COMPUTED_VALUE"""),45702.0)</f>
        <v>45702</v>
      </c>
      <c r="N2736" s="59">
        <f>IFERROR(__xludf.DUMMYFUNCTION("""COMPUTED_VALUE"""),45869.66666666667)</f>
        <v>45869.66667</v>
      </c>
      <c r="O2736" s="20"/>
      <c r="P2736" s="32" t="str">
        <f>IFERROR(__xludf.DUMMYFUNCTION("""COMPUTED_VALUE"""),"可")</f>
        <v>可</v>
      </c>
      <c r="Q2736" s="31"/>
      <c r="R2736" s="22" t="str">
        <f>IFERROR(__xludf.DUMMYFUNCTION("""COMPUTED_VALUE"""),"コミットOK")</f>
        <v>コミットOK</v>
      </c>
      <c r="S2736" s="22" t="str">
        <f>IFERROR(__xludf.DUMMYFUNCTION("""COMPUTED_VALUE"""),"20250121_一晃社_【ラブチーク】ここで逢ったか、初恋め～7年ぶりに再会した幼馴染の不器用な執着愛～")</f>
        <v>20250121_一晃社_【ラブチーク】ここで逢ったか、初恋め～7年ぶりに再会した幼馴染の不器用な執着愛～</v>
      </c>
      <c r="T2736" s="22" t="str">
        <f>IFERROR(__xludf.DUMMYFUNCTION("""COMPUTED_VALUE"""),"格納済み")</f>
        <v>格納済み</v>
      </c>
      <c r="U2736" s="15" t="str">
        <f>IFERROR(__xludf.DUMMYFUNCTION("""COMPUTED_VALUE"""),"(C)きりゅ～/ブライト出版")</f>
        <v>(C)きりゅ～/ブライト出版</v>
      </c>
      <c r="V2736" s="8" t="str">
        <f>IFERROR(__xludf.DUMMYFUNCTION("""COMPUTED_VALUE"""),"「これからもっとやらしいことすんのに」地元に戻ってきたOLのかざねは居酒屋で7年ぶりに幼馴染のハルに再会。高校時代はずっと一緒にいたのに、久しぶりに会ったらまたちょっと逞しくなってる気がする。2人で飲み直すことになり、酔った勢いで「まだ処女を捨てられない」と打ち明けると「じゃあ俺とする？」と提案されてーー。悪ガキだったハルの指は太くて男らしくて、優しく触られるとゾクゾクが止まらない。ずっと好きだったから一度くらい、いいよね…？")</f>
        <v>「これからもっとやらしいことすんのに」地元に戻ってきたOLのかざねは居酒屋で7年ぶりに幼馴染のハルに再会。高校時代はずっと一緒にいたのに、久しぶりに会ったらまたちょっと逞しくなってる気がする。2人で飲み直すことになり、酔った勢いで「まだ処女を捨てられない」と打ち明けると「じゃあ俺とする？」と提案されてーー。悪ガキだったハルの指は太くて男らしくて、優しく触られるとゾクゾクが止まらない。ずっと好きだったから一度くらい、いいよね…？</v>
      </c>
      <c r="W2736" s="14"/>
      <c r="X2736" s="14" t="str">
        <f>IFERROR(__xludf.DUMMYFUNCTION("""COMPUTED_VALUE"""),"有")</f>
        <v>有</v>
      </c>
      <c r="Y2736" s="8" t="str">
        <f>IFERROR(__xludf.DUMMYFUNCTION("""COMPUTED_VALUE"""),"P9まで")</f>
        <v>P9まで</v>
      </c>
      <c r="Z2736" s="7"/>
      <c r="AA2736" s="7"/>
      <c r="AB2736" s="7"/>
    </row>
    <row r="2737" ht="15.75" customHeight="1">
      <c r="A2737" s="153">
        <f>IFERROR(__xludf.DUMMYFUNCTION("""COMPUTED_VALUE"""),4156.0)</f>
        <v>4156</v>
      </c>
      <c r="B2737" s="152" t="str">
        <f>IFERROR(__xludf.DUMMYFUNCTION("""COMPUTED_VALUE"""),"確定")</f>
        <v>確定</v>
      </c>
      <c r="C2737" s="154">
        <f>IFERROR(__xludf.DUMMYFUNCTION("""COMPUTED_VALUE"""),45553.0)</f>
        <v>45553</v>
      </c>
      <c r="D2737" s="154">
        <f>IFERROR(__xludf.DUMMYFUNCTION("""COMPUTED_VALUE"""),45685.0)</f>
        <v>45685</v>
      </c>
      <c r="E2737" s="155">
        <f>IFERROR(__xludf.DUMMYFUNCTION("""COMPUTED_VALUE"""),307534.0)</f>
        <v>307534</v>
      </c>
      <c r="F2737" s="156" t="str">
        <f>IFERROR(__xludf.DUMMYFUNCTION("""COMPUTED_VALUE"""),"【単話版】射干玉の夢")</f>
        <v>【単話版】射干玉の夢</v>
      </c>
      <c r="G2737" s="152" t="str">
        <f>IFERROR(__xludf.DUMMYFUNCTION("""COMPUTED_VALUE"""),"1～3")</f>
        <v>1～3</v>
      </c>
      <c r="H2737" s="152" t="str">
        <f>IFERROR(__xludf.DUMMYFUNCTION("""COMPUTED_VALUE"""),"ジヨンヌ")</f>
        <v>ジヨンヌ</v>
      </c>
      <c r="I2737" s="152" t="str">
        <f>IFERROR(__xludf.DUMMYFUNCTION("""COMPUTED_VALUE"""),"BL")</f>
        <v>BL</v>
      </c>
      <c r="J2737" s="157"/>
      <c r="K2737" s="157"/>
      <c r="L2737" s="152" t="str">
        <f>IFERROR(__xludf.DUMMYFUNCTION("""COMPUTED_VALUE"""),"新潮社")</f>
        <v>新潮社</v>
      </c>
      <c r="M2737" s="59">
        <f>IFERROR(__xludf.DUMMYFUNCTION("""COMPUTED_VALUE"""),45703.0)</f>
        <v>45703</v>
      </c>
      <c r="N2737" s="47">
        <f>IFERROR(__xludf.DUMMYFUNCTION("""COMPUTED_VALUE"""),46021.0)</f>
        <v>46021</v>
      </c>
      <c r="O2737" s="69"/>
      <c r="P2737" s="120" t="str">
        <f>IFERROR(__xludf.DUMMYFUNCTION("""COMPUTED_VALUE"""),"可")</f>
        <v>可</v>
      </c>
      <c r="Q2737" s="69" t="str">
        <f>IFERROR(__xludf.DUMMYFUNCTION("""COMPUTED_VALUE"""),"・1、2話は既に配信済みで3話（2話後編）配信の2/15から先行期間3か月&lt;BR&gt;https://www.cmoa.jp/title/307534/&lt;BR&gt;・格納素材も2/15配信分の続刊分を格納")</f>
        <v>・1、2話は既に配信済みで3話（2話後編）配信の2/15から先行期間3か月&lt;BR&gt;https://www.cmoa.jp/title/307534/&lt;BR&gt;・格納素材も2/15配信分の続刊分を格納</v>
      </c>
      <c r="R2737" s="152" t="str">
        <f>IFERROR(__xludf.DUMMYFUNCTION("""COMPUTED_VALUE"""),"コミットOK")</f>
        <v>コミットOK</v>
      </c>
      <c r="S2737" s="152" t="str">
        <f>IFERROR(__xludf.DUMMYFUNCTION("""COMPUTED_VALUE"""),"20250128_新潮社_射干玉の夢")</f>
        <v>20250128_新潮社_射干玉の夢</v>
      </c>
      <c r="T2737" s="152" t="str">
        <f>IFERROR(__xludf.DUMMYFUNCTION("""COMPUTED_VALUE"""),"格納済み")</f>
        <v>格納済み</v>
      </c>
      <c r="U2737" s="15" t="str">
        <f>IFERROR(__xludf.DUMMYFUNCTION("""COMPUTED_VALUE"""),"(C)ジヨンヌ／新潮社")</f>
        <v>(C)ジヨンヌ／新潮社</v>
      </c>
      <c r="V2737" s="8" t="str">
        <f>IFERROR(__xludf.DUMMYFUNCTION("""COMPUTED_VALUE"""),"ヒトには誰にでも洞がある。飛ぶ鳥を落とす勢いの人気小説家・干塚の新担当となった僕。初めて会った先生は、本人の作品からうける印象とは真逆の、とげとげしく気難しい退廃的な印象で少し怖い。特に、弟子の若い青年に対する態度ときたら殊更に可笑しく……。弟子と小説家の情は爛れ、捩れ、やがて芳しく満つる――。")</f>
        <v>ヒトには誰にでも洞がある。飛ぶ鳥を落とす勢いの人気小説家・干塚の新担当となった僕。初めて会った先生は、本人の作品からうける印象とは真逆の、とげとげしく気難しい退廃的な印象で少し怖い。特に、弟子の若い青年に対する態度ときたら殊更に可笑しく……。弟子と小説家の情は爛れ、捩れ、やがて芳しく満つる――。</v>
      </c>
      <c r="W2737" s="14"/>
      <c r="X2737" s="14" t="str">
        <f>IFERROR(__xludf.DUMMYFUNCTION("""COMPUTED_VALUE"""),"有")</f>
        <v>有</v>
      </c>
      <c r="Y2737" s="8" t="str">
        <f>IFERROR(__xludf.DUMMYFUNCTION("""COMPUTED_VALUE"""),"2025/2/28まで1巻無料")</f>
        <v>2025/2/28まで1巻無料</v>
      </c>
      <c r="Z2737" s="7"/>
      <c r="AA2737" s="7"/>
      <c r="AB2737" s="7"/>
    </row>
    <row r="2738" ht="15.75" customHeight="1">
      <c r="A2738" s="153">
        <f>IFERROR(__xludf.DUMMYFUNCTION("""COMPUTED_VALUE"""),4451.0)</f>
        <v>4451</v>
      </c>
      <c r="B2738" s="152" t="str">
        <f>IFERROR(__xludf.DUMMYFUNCTION("""COMPUTED_VALUE"""),"確定")</f>
        <v>確定</v>
      </c>
      <c r="C2738" s="154">
        <f>IFERROR(__xludf.DUMMYFUNCTION("""COMPUTED_VALUE"""),45596.0)</f>
        <v>45596</v>
      </c>
      <c r="D2738" s="154">
        <f>IFERROR(__xludf.DUMMYFUNCTION("""COMPUTED_VALUE"""),45685.0)</f>
        <v>45685</v>
      </c>
      <c r="E2738" s="158">
        <f>IFERROR(__xludf.DUMMYFUNCTION("""COMPUTED_VALUE"""),315499.0)</f>
        <v>315499</v>
      </c>
      <c r="F2738" s="159" t="str">
        <f>IFERROR(__xludf.DUMMYFUNCTION("""COMPUTED_VALUE"""),"ここは私の邸です。そろそろ出て行ってくれます？")</f>
        <v>ここは私の邸です。そろそろ出て行ってくれます？</v>
      </c>
      <c r="G2738" s="152" t="str">
        <f>IFERROR(__xludf.DUMMYFUNCTION("""COMPUTED_VALUE"""),"1～4")</f>
        <v>1～4</v>
      </c>
      <c r="H2738" s="152" t="str">
        <f>IFERROR(__xludf.DUMMYFUNCTION("""COMPUTED_VALUE"""),"ナツキシホ/漫画 藍川みいな/原作")</f>
        <v>ナツキシホ/漫画 藍川みいな/原作</v>
      </c>
      <c r="I2738" s="152" t="str">
        <f>IFERROR(__xludf.DUMMYFUNCTION("""COMPUTED_VALUE"""),"女性")</f>
        <v>女性</v>
      </c>
      <c r="J2738" s="157"/>
      <c r="K2738" s="157"/>
      <c r="L2738" s="152" t="str">
        <f>IFERROR(__xludf.DUMMYFUNCTION("""COMPUTED_VALUE"""),"アルファポリス")</f>
        <v>アルファポリス</v>
      </c>
      <c r="M2738" s="59">
        <f>IFERROR(__xludf.DUMMYFUNCTION("""COMPUTED_VALUE"""),45716.0)</f>
        <v>45716</v>
      </c>
      <c r="N2738" s="59">
        <f>IFERROR(__xludf.DUMMYFUNCTION("""COMPUTED_VALUE"""),45834.0)</f>
        <v>45834</v>
      </c>
      <c r="O2738" s="69"/>
      <c r="P2738" s="114" t="str">
        <f>IFERROR(__xludf.DUMMYFUNCTION("""COMPUTED_VALUE"""),"否")</f>
        <v>否</v>
      </c>
      <c r="Q2738" s="69"/>
      <c r="R2738" s="152" t="str">
        <f>IFERROR(__xludf.DUMMYFUNCTION("""COMPUTED_VALUE"""),"コミットOK")</f>
        <v>コミットOK</v>
      </c>
      <c r="S2738" s="152" t="str">
        <f>IFERROR(__xludf.DUMMYFUNCTION("""COMPUTED_VALUE"""),"20250128‗アルファポリス‗ここは私の邸です。そろそろ出て行ってくれます？")</f>
        <v>20250128‗アルファポリス‗ここは私の邸です。そろそろ出て行ってくれます？</v>
      </c>
      <c r="T2738" s="152" t="str">
        <f>IFERROR(__xludf.DUMMYFUNCTION("""COMPUTED_VALUE"""),"格納済み")</f>
        <v>格納済み</v>
      </c>
      <c r="U2738" s="15" t="str">
        <f>IFERROR(__xludf.DUMMYFUNCTION("""COMPUTED_VALUE"""),"（C）藍川みいな・ナツキシホ／アルファポリス")</f>
        <v>（C）藍川みいな・ナツキシホ／アルファポリス</v>
      </c>
      <c r="V2738" s="8" t="str">
        <f>IFERROR(__xludf.DUMMYFUNCTION("""COMPUTED_VALUE"""),"十七歳の侯爵令嬢のマリッサは、両親亡きあと我が物顔で邸にやってきた叔父一家に復讐を計画していた。十八歳の誕生日がくれば爵位が自分に戻る……。マリッサを虐げてきた彼らに盛大な復讐をするべく、その日まで家でも学校でもいじめに耐えてきた。そんな中、婚約者のデリオルから一方的に婚約を破棄される。聞けば、デリオルは叔父の娘で義妹・ロクサーヌを愛していて、彼女を運命の人だと思っているらしい。デリオルのことをちっとも好きになれないマリッサは、婚約破棄を歓迎。叔父一家と一緒に彼もざまあしてさしあげましょう！　そう心に誓う"&amp;"彼女だが、その強い心と裏腹に、彼女の体は長年の虐げられ生活でやせ細っていた。そんな姿を見かねた学園の同級生で国の第三王子のレイドが、婚約破棄をきっかけにマリッサに寄り添ってきて……")</f>
        <v>十七歳の侯爵令嬢のマリッサは、両親亡きあと我が物顔で邸にやってきた叔父一家に復讐を計画していた。十八歳の誕生日がくれば爵位が自分に戻る……。マリッサを虐げてきた彼らに盛大な復讐をするべく、その日まで家でも学校でもいじめに耐えてきた。そんな中、婚約者のデリオルから一方的に婚約を破棄される。聞けば、デリオルは叔父の娘で義妹・ロクサーヌを愛していて、彼女を運命の人だと思っているらしい。デリオルのことをちっとも好きになれないマリッサは、婚約破棄を歓迎。叔父一家と一緒に彼もざまあしてさしあげましょう！　そう心に誓う彼女だが、その強い心と裏腹に、彼女の体は長年の虐げられ生活でやせ細っていた。そんな姿を見かねた学園の同級生で国の第三王子のレイドが、婚約破棄をきっかけにマリッサに寄り添ってきて……</v>
      </c>
      <c r="W2738" s="14"/>
      <c r="X2738" s="14" t="str">
        <f>IFERROR(__xludf.DUMMYFUNCTION("""COMPUTED_VALUE"""),"有")</f>
        <v>有</v>
      </c>
      <c r="Y2738" s="8" t="str">
        <f>IFERROR(__xludf.DUMMYFUNCTION("""COMPUTED_VALUE"""),"1巻無料")</f>
        <v>1巻無料</v>
      </c>
      <c r="Z2738" s="7"/>
      <c r="AA2738" s="7"/>
      <c r="AB2738" s="7"/>
    </row>
    <row r="2739" ht="15.75" customHeight="1">
      <c r="A2739" s="153">
        <f>IFERROR(__xludf.DUMMYFUNCTION("""COMPUTED_VALUE"""),4495.0)</f>
        <v>4495</v>
      </c>
      <c r="B2739" s="152" t="str">
        <f>IFERROR(__xludf.DUMMYFUNCTION("""COMPUTED_VALUE"""),"確定")</f>
        <v>確定</v>
      </c>
      <c r="C2739" s="154">
        <f>IFERROR(__xludf.DUMMYFUNCTION("""COMPUTED_VALUE"""),45607.0)</f>
        <v>45607</v>
      </c>
      <c r="D2739" s="154">
        <f>IFERROR(__xludf.DUMMYFUNCTION("""COMPUTED_VALUE"""),45686.0)</f>
        <v>45686</v>
      </c>
      <c r="E2739" s="158">
        <f>IFERROR(__xludf.DUMMYFUNCTION("""COMPUTED_VALUE"""),315952.0)</f>
        <v>315952</v>
      </c>
      <c r="F2739" s="159" t="str">
        <f>IFERROR(__xludf.DUMMYFUNCTION("""COMPUTED_VALUE"""),"「下剋上」…のはずだろが！")</f>
        <v>「下剋上」…のはずだろが！</v>
      </c>
      <c r="G2739" s="152" t="str">
        <f>IFERROR(__xludf.DUMMYFUNCTION("""COMPUTED_VALUE"""),"1～2")</f>
        <v>1～2</v>
      </c>
      <c r="H2739" s="152" t="str">
        <f>IFERROR(__xludf.DUMMYFUNCTION("""COMPUTED_VALUE"""),"あずまやまんぢゅう")</f>
        <v>あずまやまんぢゅう</v>
      </c>
      <c r="I2739" s="152" t="str">
        <f>IFERROR(__xludf.DUMMYFUNCTION("""COMPUTED_VALUE"""),"BL")</f>
        <v>BL</v>
      </c>
      <c r="J2739" s="152"/>
      <c r="K2739" s="160" t="str">
        <f>IFERROR(__xludf.DUMMYFUNCTION("""COMPUTED_VALUE"""),"NuPu")</f>
        <v>NuPu</v>
      </c>
      <c r="L2739" s="152" t="str">
        <f>IFERROR(__xludf.DUMMYFUNCTION("""COMPUTED_VALUE"""),"CLLENN")</f>
        <v>CLLENN</v>
      </c>
      <c r="M2739" s="59">
        <f>IFERROR(__xludf.DUMMYFUNCTION("""COMPUTED_VALUE"""),45722.0)</f>
        <v>45722</v>
      </c>
      <c r="N2739" s="74">
        <f>IFERROR(__xludf.DUMMYFUNCTION("""COMPUTED_VALUE"""),45784.0)</f>
        <v>45784</v>
      </c>
      <c r="O2739" s="69"/>
      <c r="P2739" s="114" t="str">
        <f>IFERROR(__xludf.DUMMYFUNCTION("""COMPUTED_VALUE"""),"可")</f>
        <v>可</v>
      </c>
      <c r="Q2739" s="69"/>
      <c r="R2739" s="152" t="str">
        <f>IFERROR(__xludf.DUMMYFUNCTION("""COMPUTED_VALUE"""),"コミットOK")</f>
        <v>コミットOK</v>
      </c>
      <c r="S2739" s="152" t="str">
        <f>IFERROR(__xludf.DUMMYFUNCTION("""COMPUTED_VALUE"""),"20250128_CLLENN_「下剋上」…のはずだろが！")</f>
        <v>20250128_CLLENN_「下剋上」…のはずだろが！</v>
      </c>
      <c r="T2739" s="152" t="str">
        <f>IFERROR(__xludf.DUMMYFUNCTION("""COMPUTED_VALUE"""),"格納済み")</f>
        <v>格納済み</v>
      </c>
      <c r="U2739" s="15" t="str">
        <f>IFERROR(__xludf.DUMMYFUNCTION("""COMPUTED_VALUE"""),"Ⓒあずまやまんぢゅう/CLLENN")</f>
        <v>Ⓒあずまやまんぢゅう/CLLENN</v>
      </c>
      <c r="V2739" s="8" t="str">
        <f>IFERROR(__xludf.DUMMYFUNCTION("""COMPUTED_VALUE"""),"「こいつ…感じやすすぎだろっ腹立つ!!」――努力だけでエリート階級まで這い上がった諜報員の八雲(やぐも)は天才気質で年下の同僚、霧(ムー)に対抗心を燃やしていた。ある時、二人で犯罪組織の潜入捜査をすることになり嫌気がさしていた八雲だが、女装した霧の妙な演技を見てムラムラしてしまう。紆余曲折を経て目的のブツを回収しこれで任務完了かと思いきや、なんとトラブルでブツが霧のお尻の穴から抜けなくなって…!?　イラ立ちが爆発した八雲が霧の尻を思い切りひっぱたくと彼の中のマゾ性が覚醒し…？　ドS負けず嫌い×ドM天然天才"&amp;"肌のドタバタ犬猿ラブコメディ！")</f>
        <v>「こいつ…感じやすすぎだろっ腹立つ!!」――努力だけでエリート階級まで這い上がった諜報員の八雲(やぐも)は天才気質で年下の同僚、霧(ムー)に対抗心を燃やしていた。ある時、二人で犯罪組織の潜入捜査をすることになり嫌気がさしていた八雲だが、女装した霧の妙な演技を見てムラムラしてしまう。紆余曲折を経て目的のブツを回収しこれで任務完了かと思いきや、なんとトラブルでブツが霧のお尻の穴から抜けなくなって…!?　イラ立ちが爆発した八雲が霧の尻を思い切りひっぱたくと彼の中のマゾ性が覚醒し…？　ドS負けず嫌い×ドM天然天才肌のドタバタ犬猿ラブコメディ！</v>
      </c>
      <c r="W2739" s="14"/>
      <c r="X2739" s="14" t="str">
        <f>IFERROR(__xludf.DUMMYFUNCTION("""COMPUTED_VALUE"""),"有")</f>
        <v>有</v>
      </c>
      <c r="Y2739" s="8" t="str">
        <f>IFERROR(__xludf.DUMMYFUNCTION("""COMPUTED_VALUE"""),"P17まで立ち読み増量
（2025/3/19まで）")</f>
        <v>P17まで立ち読み増量
（2025/3/19まで）</v>
      </c>
      <c r="Z2739" s="7"/>
      <c r="AA2739" s="7"/>
      <c r="AB2739" s="7"/>
    </row>
    <row r="2740" ht="15.75" customHeight="1">
      <c r="A2740" s="153">
        <f>IFERROR(__xludf.DUMMYFUNCTION("""COMPUTED_VALUE"""),4497.0)</f>
        <v>4497</v>
      </c>
      <c r="B2740" s="152" t="str">
        <f>IFERROR(__xludf.DUMMYFUNCTION("""COMPUTED_VALUE"""),"確定")</f>
        <v>確定</v>
      </c>
      <c r="C2740" s="154">
        <f>IFERROR(__xludf.DUMMYFUNCTION("""COMPUTED_VALUE"""),45607.0)</f>
        <v>45607</v>
      </c>
      <c r="D2740" s="154">
        <f>IFERROR(__xludf.DUMMYFUNCTION("""COMPUTED_VALUE"""),45681.0)</f>
        <v>45681</v>
      </c>
      <c r="E2740" s="155">
        <f>IFERROR(__xludf.DUMMYFUNCTION("""COMPUTED_VALUE"""),312988.0)</f>
        <v>312988</v>
      </c>
      <c r="F2740" s="156" t="str">
        <f>IFERROR(__xludf.DUMMYFUNCTION("""COMPUTED_VALUE"""),"失恋堂～魔女へのお支払いは、失った恋で～【分冊版】")</f>
        <v>失恋堂～魔女へのお支払いは、失った恋で～【分冊版】</v>
      </c>
      <c r="G2740" s="152" t="str">
        <f>IFERROR(__xludf.DUMMYFUNCTION("""COMPUTED_VALUE"""),"1～2")</f>
        <v>1～2</v>
      </c>
      <c r="H2740" s="161" t="str">
        <f>IFERROR(__xludf.DUMMYFUNCTION("""COMPUTED_VALUE"""),"桐坂真生,リコピン")</f>
        <v>桐坂真生,リコピン</v>
      </c>
      <c r="I2740" s="152" t="str">
        <f>IFERROR(__xludf.DUMMYFUNCTION("""COMPUTED_VALUE"""),"女性")</f>
        <v>女性</v>
      </c>
      <c r="J2740" s="157"/>
      <c r="K2740" s="157"/>
      <c r="L2740" s="152" t="str">
        <f>IFERROR(__xludf.DUMMYFUNCTION("""COMPUTED_VALUE"""),"ハーパーコリンズ・ジャパン")</f>
        <v>ハーパーコリンズ・ジャパン</v>
      </c>
      <c r="M2740" s="59">
        <f>IFERROR(__xludf.DUMMYFUNCTION("""COMPUTED_VALUE"""),45709.0)</f>
        <v>45709</v>
      </c>
      <c r="N2740" s="59">
        <f>IFERROR(__xludf.DUMMYFUNCTION("""COMPUTED_VALUE"""),45769.0)</f>
        <v>45769</v>
      </c>
      <c r="O2740" s="69"/>
      <c r="P2740" s="114" t="str">
        <f>IFERROR(__xludf.DUMMYFUNCTION("""COMPUTED_VALUE"""),"可")</f>
        <v>可</v>
      </c>
      <c r="Q2740" s="69"/>
      <c r="R2740" s="152" t="str">
        <f>IFERROR(__xludf.DUMMYFUNCTION("""COMPUTED_VALUE"""),"コミットOK")</f>
        <v>コミットOK</v>
      </c>
      <c r="S2740" s="152" t="str">
        <f>IFERROR(__xludf.DUMMYFUNCTION("""COMPUTED_VALUE"""),"20250124_ハーパーコリンズ・ジャパン_失恋堂～魔女へのお支払いは、失った恋で～")</f>
        <v>20250124_ハーパーコリンズ・ジャパン_失恋堂～魔女へのお支払いは、失った恋で～</v>
      </c>
      <c r="T2740" s="152" t="str">
        <f>IFERROR(__xludf.DUMMYFUNCTION("""COMPUTED_VALUE"""),"格納済み")</f>
        <v>格納済み</v>
      </c>
      <c r="U2740" s="15" t="str">
        <f>IFERROR(__xludf.DUMMYFUNCTION("""COMPUTED_VALUE"""),"Ⓒ桐坂真生・リコピン／ハーパーコリンズ・ジャパン")</f>
        <v>Ⓒ桐坂真生・リコピン／ハーパーコリンズ・ジャパン</v>
      </c>
      <c r="V2740" s="8" t="str">
        <f>IFERROR(__xludf.DUMMYFUNCTION("""COMPUTED_VALUE"""),"失った恋の代わりに、貴女なら何を願う――？
「失恋堂」――砕けた恋の欠片の代わりに望みを叶えてくれるという、不思議な魔女と使い魔の黒い猫がいる不思議なお店。
これは、ある王立学園を舞台に、恋が破れた貴族令嬢達が新たな夢と希望を見つけ、そして棄てられた愚かな男達の後悔を描く物語。
ある女性が引き金となったいくつもの婚約破棄の終結点はいったい……？")</f>
        <v>失った恋の代わりに、貴女なら何を願う――？
「失恋堂」――砕けた恋の欠片の代わりに望みを叶えてくれるという、不思議な魔女と使い魔の黒い猫がいる不思議なお店。
これは、ある王立学園を舞台に、恋が破れた貴族令嬢達が新たな夢と希望を見つけ、そして棄てられた愚かな男達の後悔を描く物語。
ある女性が引き金となったいくつもの婚約破棄の終結点はいったい……？</v>
      </c>
      <c r="W2740" s="14"/>
      <c r="X2740" s="14" t="str">
        <f>IFERROR(__xludf.DUMMYFUNCTION("""COMPUTED_VALUE"""),"有")</f>
        <v>有</v>
      </c>
      <c r="Y2740" s="8" t="str">
        <f>IFERROR(__xludf.DUMMYFUNCTION("""COMPUTED_VALUE"""),"2025/3/6まで1巻無料")</f>
        <v>2025/3/6まで1巻無料</v>
      </c>
      <c r="Z2740" s="7"/>
      <c r="AA2740" s="7"/>
      <c r="AB2740" s="7"/>
    </row>
    <row r="2741" ht="15.75" customHeight="1">
      <c r="A2741" s="153">
        <f>IFERROR(__xludf.DUMMYFUNCTION("""COMPUTED_VALUE"""),4521.0)</f>
        <v>4521</v>
      </c>
      <c r="B2741" s="152" t="str">
        <f>IFERROR(__xludf.DUMMYFUNCTION("""COMPUTED_VALUE"""),"確定")</f>
        <v>確定</v>
      </c>
      <c r="C2741" s="154">
        <f>IFERROR(__xludf.DUMMYFUNCTION("""COMPUTED_VALUE"""),45614.0)</f>
        <v>45614</v>
      </c>
      <c r="D2741" s="154">
        <f>IFERROR(__xludf.DUMMYFUNCTION("""COMPUTED_VALUE"""),45685.0)</f>
        <v>45685</v>
      </c>
      <c r="E2741" s="162">
        <f>IFERROR(__xludf.DUMMYFUNCTION("""COMPUTED_VALUE"""),313098.0)</f>
        <v>313098</v>
      </c>
      <c r="F2741" s="156" t="str">
        <f>IFERROR(__xludf.DUMMYFUNCTION("""COMPUTED_VALUE"""),"今度こそ幸せになりたくて離婚を決意したところ、無表情な旦那様が「愛してる」と言ってきました。")</f>
        <v>今度こそ幸せになりたくて離婚を決意したところ、無表情な旦那様が「愛してる」と言ってきました。</v>
      </c>
      <c r="G2741" s="152" t="str">
        <f>IFERROR(__xludf.DUMMYFUNCTION("""COMPUTED_VALUE"""),"1～2")</f>
        <v>1～2</v>
      </c>
      <c r="H2741" s="152" t="str">
        <f>IFERROR(__xludf.DUMMYFUNCTION("""COMPUTED_VALUE"""),"三枝えま,くまのみ鮭,香月深亜")</f>
        <v>三枝えま,くまのみ鮭,香月深亜</v>
      </c>
      <c r="I2741" s="152" t="str">
        <f>IFERROR(__xludf.DUMMYFUNCTION("""COMPUTED_VALUE"""),"少女マンガ")</f>
        <v>少女マンガ</v>
      </c>
      <c r="J2741" s="157"/>
      <c r="K2741" s="157"/>
      <c r="L2741" s="152" t="str">
        <f>IFERROR(__xludf.DUMMYFUNCTION("""COMPUTED_VALUE"""),"EVOパブリッシング")</f>
        <v>EVOパブリッシング</v>
      </c>
      <c r="M2741" s="23">
        <f>IFERROR(__xludf.DUMMYFUNCTION("""COMPUTED_VALUE"""),45688.0)</f>
        <v>45688</v>
      </c>
      <c r="N2741" s="23">
        <f>IFERROR(__xludf.DUMMYFUNCTION("""COMPUTED_VALUE"""),45777.0)</f>
        <v>45777</v>
      </c>
      <c r="O2741" s="69"/>
      <c r="P2741" s="114" t="str">
        <f>IFERROR(__xludf.DUMMYFUNCTION("""COMPUTED_VALUE"""),"否")</f>
        <v>否</v>
      </c>
      <c r="Q2741" s="69"/>
      <c r="R2741" s="152" t="str">
        <f>IFERROR(__xludf.DUMMYFUNCTION("""COMPUTED_VALUE"""),"コミットOK")</f>
        <v>コミットOK</v>
      </c>
      <c r="S2741" s="152" t="str">
        <f>IFERROR(__xludf.DUMMYFUNCTION("""COMPUTED_VALUE"""),"20241115_株式会社Evolution_今度こそ幸せになりたくて離婚を決意したところ、無表情な旦那様が「愛してる」と言ってきました。")</f>
        <v>20241115_株式会社Evolution_今度こそ幸せになりたくて離婚を決意したところ、無表情な旦那様が「愛してる」と言ってきました。</v>
      </c>
      <c r="T2741" s="152" t="str">
        <f>IFERROR(__xludf.DUMMYFUNCTION("""COMPUTED_VALUE"""),"格納済み")</f>
        <v>格納済み</v>
      </c>
      <c r="U2741" s="15" t="str">
        <f>IFERROR(__xludf.DUMMYFUNCTION("""COMPUTED_VALUE"""),"Ⓒ香月深亜/三枝えま/くまのみ鮭/EVOパブリッシング")</f>
        <v>Ⓒ香月深亜/三枝えま/くまのみ鮭/EVOパブリッシング</v>
      </c>
      <c r="V2741" s="8" t="str">
        <f>IFERROR(__xludf.DUMMYFUNCTION("""COMPUTED_VALUE"""),"セレーナ・ハミルトンは財政が厳しい子爵家を支えるため、『白銀の氷騎士』の異名を持つ次期騎士団長候補のアーサー・シュトラウスと結婚することに！ 政略結婚で出会った二人だが、お見合い時には話題が一切無く、終了。更には結婚を決めた理由をアーサーに尋ねてみたところ「他の令嬢達と比べ、うるさくなかった」という衝撃の理由を打ち明けられてしまう…――！ お飾りの夫人になることを憂鬱な気持ちで受け止めたまま、結婚してしまうセレーナ。――10年後、セレーナは大病に罹り命を落としてしまう。死の間際には、本気で彼との離婚を考え"&amp;"たあの日のことを思い出していた。すると、死んだはずのセレーナは目を覚まし、10年前のあの日に回帰していて!?")</f>
        <v>セレーナ・ハミルトンは財政が厳しい子爵家を支えるため、『白銀の氷騎士』の異名を持つ次期騎士団長候補のアーサー・シュトラウスと結婚することに！ 政略結婚で出会った二人だが、お見合い時には話題が一切無く、終了。更には結婚を決めた理由をアーサーに尋ねてみたところ「他の令嬢達と比べ、うるさくなかった」という衝撃の理由を打ち明けられてしまう…――！ お飾りの夫人になることを憂鬱な気持ちで受け止めたまま、結婚してしまうセレーナ。――10年後、セレーナは大病に罹り命を落としてしまう。死の間際には、本気で彼との離婚を考えたあの日のことを思い出していた。すると、死んだはずのセレーナは目を覚まし、10年前のあの日に回帰していて!?</v>
      </c>
      <c r="W2741" s="14"/>
      <c r="X2741" s="14" t="str">
        <f>IFERROR(__xludf.DUMMYFUNCTION("""COMPUTED_VALUE"""),"有")</f>
        <v>有</v>
      </c>
      <c r="Y2741" s="8" t="str">
        <f>IFERROR(__xludf.DUMMYFUNCTION("""COMPUTED_VALUE"""),"2025/2/28まで1巻無料")</f>
        <v>2025/2/28まで1巻無料</v>
      </c>
      <c r="Z2741" s="7"/>
      <c r="AA2741" s="7"/>
      <c r="AB2741" s="7"/>
    </row>
    <row r="2742" ht="15.75" customHeight="1">
      <c r="A2742" s="153">
        <f>IFERROR(__xludf.DUMMYFUNCTION("""COMPUTED_VALUE"""),4635.0)</f>
        <v>4635</v>
      </c>
      <c r="B2742" s="152" t="str">
        <f>IFERROR(__xludf.DUMMYFUNCTION("""COMPUTED_VALUE"""),"確定")</f>
        <v>確定</v>
      </c>
      <c r="C2742" s="154">
        <f>IFERROR(__xludf.DUMMYFUNCTION("""COMPUTED_VALUE"""),45631.0)</f>
        <v>45631</v>
      </c>
      <c r="D2742" s="154">
        <f>IFERROR(__xludf.DUMMYFUNCTION("""COMPUTED_VALUE"""),45686.0)</f>
        <v>45686</v>
      </c>
      <c r="E2742" s="163">
        <f>IFERROR(__xludf.DUMMYFUNCTION("""COMPUTED_VALUE"""),314631.0)</f>
        <v>314631</v>
      </c>
      <c r="F2742" s="152" t="str">
        <f>IFERROR(__xludf.DUMMYFUNCTION("""COMPUTED_VALUE"""),"キミガイルセカイ【マイクロ】")</f>
        <v>キミガイルセカイ【マイクロ】</v>
      </c>
      <c r="G2742" s="152" t="str">
        <f>IFERROR(__xludf.DUMMYFUNCTION("""COMPUTED_VALUE"""),"1〜6")</f>
        <v>1〜6</v>
      </c>
      <c r="H2742" s="152" t="str">
        <f>IFERROR(__xludf.DUMMYFUNCTION("""COMPUTED_VALUE"""),"三つ葉優雨")</f>
        <v>三つ葉優雨</v>
      </c>
      <c r="I2742" s="152" t="str">
        <f>IFERROR(__xludf.DUMMYFUNCTION("""COMPUTED_VALUE"""),"少女")</f>
        <v>少女</v>
      </c>
      <c r="J2742" s="152"/>
      <c r="K2742" s="152" t="str">
        <f>IFERROR(__xludf.DUMMYFUNCTION("""COMPUTED_VALUE"""),"ベツフラ")</f>
        <v>ベツフラ</v>
      </c>
      <c r="L2742" s="152" t="str">
        <f>IFERROR(__xludf.DUMMYFUNCTION("""COMPUTED_VALUE"""),"小学館")</f>
        <v>小学館</v>
      </c>
      <c r="M2742" s="59">
        <f>IFERROR(__xludf.DUMMYFUNCTION("""COMPUTED_VALUE"""),45713.0)</f>
        <v>45713</v>
      </c>
      <c r="N2742" s="23">
        <f>IFERROR(__xludf.DUMMYFUNCTION("""COMPUTED_VALUE"""),45771.0)</f>
        <v>45771</v>
      </c>
      <c r="O2742" s="69"/>
      <c r="P2742" s="120" t="str">
        <f>IFERROR(__xludf.DUMMYFUNCTION("""COMPUTED_VALUE"""),"否")</f>
        <v>否</v>
      </c>
      <c r="Q2742" s="69" t="str">
        <f>IFERROR(__xludf.DUMMYFUNCTION("""COMPUTED_VALUE"""),"「ベツフラ」にて連載中で『僕と魔女についての備忘録』の三つ葉優雨氏による新作です。&lt;BR&gt;今作は事故で亡くなったはずの恋人が生きている世界に迷い込むパラレルワールドラブストーリーです。")</f>
        <v>「ベツフラ」にて連載中で『僕と魔女についての備忘録』の三つ葉優雨氏による新作です。&lt;BR&gt;今作は事故で亡くなったはずの恋人が生きている世界に迷い込むパラレルワールドラブストーリーです。</v>
      </c>
      <c r="R2742" s="152" t="str">
        <f>IFERROR(__xludf.DUMMYFUNCTION("""COMPUTED_VALUE"""),"コミットOK")</f>
        <v>コミットOK</v>
      </c>
      <c r="S2742" s="152" t="str">
        <f>IFERROR(__xludf.DUMMYFUNCTION("""COMPUTED_VALUE"""),"20250128_小学館_キミガイルセカイ【マイクロ】")</f>
        <v>20250128_小学館_キミガイルセカイ【マイクロ】</v>
      </c>
      <c r="T2742" s="152" t="str">
        <f>IFERROR(__xludf.DUMMYFUNCTION("""COMPUTED_VALUE"""),"格納済み")</f>
        <v>格納済み</v>
      </c>
      <c r="U2742" s="15" t="str">
        <f>IFERROR(__xludf.DUMMYFUNCTION("""COMPUTED_VALUE"""),"(C)三つ葉優雨 / 小学館")</f>
        <v>(C)三つ葉優雨 / 小学館</v>
      </c>
      <c r="V2742" s="8" t="str">
        <f>IFERROR(__xludf.DUMMYFUNCTION("""COMPUTED_VALUE"""),"生きていることと死んでいることに大差はない。どっちでもいい、なんでもいい――風花と出会うまではそんな色のない世界に生きていた黒男。風花とつき合うことで心の温度を知ったように感じていた黒男だったが、ある出来事をきっかけに風花を失うことになる。風花を失った世界で絶望に暮れる黒男だけど、不思議な猫についていくうちにもうひとつの世界に迷い込む。そこは風花がいる世界で――？？もしもキミに出会っていなければ、もしもあの時キミを失わなければ、もしもキミともう一度会えたなら――人生にその“もしも”があったなら…？？ファン"&amp;"タジックパラレルワールドラブ第１話。")</f>
        <v>生きていることと死んでいることに大差はない。どっちでもいい、なんでもいい――風花と出会うまではそんな色のない世界に生きていた黒男。風花とつき合うことで心の温度を知ったように感じていた黒男だったが、ある出来事をきっかけに風花を失うことになる。風花を失った世界で絶望に暮れる黒男だけど、不思議な猫についていくうちにもうひとつの世界に迷い込む。そこは風花がいる世界で――？？もしもキミに出会っていなければ、もしもあの時キミを失わなければ、もしもキミともう一度会えたなら――人生にその“もしも”があったなら…？？ファンタジックパラレルワールドラブ第１話。</v>
      </c>
      <c r="W2742" s="14"/>
      <c r="X2742" s="14" t="str">
        <f>IFERROR(__xludf.DUMMYFUNCTION("""COMPUTED_VALUE"""),"有")</f>
        <v>有</v>
      </c>
      <c r="Y2742" s="8" t="str">
        <f>IFERROR(__xludf.DUMMYFUNCTION("""COMPUTED_VALUE"""),"
2025/4/24まで1巻無料
")</f>
        <v>
2025/4/24まで1巻無料
</v>
      </c>
      <c r="Z2742" s="7"/>
      <c r="AA2742" s="7"/>
      <c r="AB2742" s="7"/>
    </row>
    <row r="2743" ht="15.75" customHeight="1">
      <c r="A2743" s="153">
        <f>IFERROR(__xludf.DUMMYFUNCTION("""COMPUTED_VALUE"""),4653.0)</f>
        <v>4653</v>
      </c>
      <c r="B2743" s="152" t="str">
        <f>IFERROR(__xludf.DUMMYFUNCTION("""COMPUTED_VALUE"""),"確定")</f>
        <v>確定</v>
      </c>
      <c r="C2743" s="154">
        <f>IFERROR(__xludf.DUMMYFUNCTION("""COMPUTED_VALUE"""),45635.0)</f>
        <v>45635</v>
      </c>
      <c r="D2743" s="154">
        <f>IFERROR(__xludf.DUMMYFUNCTION("""COMPUTED_VALUE"""),45685.0)</f>
        <v>45685</v>
      </c>
      <c r="E2743" s="155">
        <f>IFERROR(__xludf.DUMMYFUNCTION("""COMPUTED_VALUE"""),314711.0)</f>
        <v>314711</v>
      </c>
      <c r="F2743" s="156" t="str">
        <f>IFERROR(__xludf.DUMMYFUNCTION("""COMPUTED_VALUE"""),"悪銭の花唄 連載版")</f>
        <v>悪銭の花唄 連載版</v>
      </c>
      <c r="G2743" s="152" t="str">
        <f>IFERROR(__xludf.DUMMYFUNCTION("""COMPUTED_VALUE"""),"1～5")</f>
        <v>1～5</v>
      </c>
      <c r="H2743" s="152" t="str">
        <f>IFERROR(__xludf.DUMMYFUNCTION("""COMPUTED_VALUE"""),"原作：渡辺瑛心、漫画：津上昌也")</f>
        <v>原作：渡辺瑛心、漫画：津上昌也</v>
      </c>
      <c r="I2743" s="152" t="str">
        <f>IFERROR(__xludf.DUMMYFUNCTION("""COMPUTED_VALUE"""),"青年")</f>
        <v>青年</v>
      </c>
      <c r="J2743" s="157"/>
      <c r="K2743" s="157"/>
      <c r="L2743" s="152" t="str">
        <f>IFERROR(__xludf.DUMMYFUNCTION("""COMPUTED_VALUE"""),"ブシロードワークス")</f>
        <v>ブシロードワークス</v>
      </c>
      <c r="M2743" s="59">
        <f>IFERROR(__xludf.DUMMYFUNCTION("""COMPUTED_VALUE"""),45716.0)</f>
        <v>45716</v>
      </c>
      <c r="N2743" s="23">
        <f>IFERROR(__xludf.DUMMYFUNCTION("""COMPUTED_VALUE"""),45771.0)</f>
        <v>45771</v>
      </c>
      <c r="O2743" s="69"/>
      <c r="P2743" s="120" t="str">
        <f>IFERROR(__xludf.DUMMYFUNCTION("""COMPUTED_VALUE"""),"否")</f>
        <v>否</v>
      </c>
      <c r="Q2743" s="69" t="str">
        <f>IFERROR(__xludf.DUMMYFUNCTION("""COMPUTED_VALUE"""),"今後の続話についても「毎月第4金曜更新分→翌々月第4金曜前日まで先行」")</f>
        <v>今後の続話についても「毎月第4金曜更新分→翌々月第4金曜前日まで先行」</v>
      </c>
      <c r="R2743" s="152" t="str">
        <f>IFERROR(__xludf.DUMMYFUNCTION("""COMPUTED_VALUE"""),"コミットOK")</f>
        <v>コミットOK</v>
      </c>
      <c r="S2743" s="152" t="str">
        <f>IFERROR(__xludf.DUMMYFUNCTION("""COMPUTED_VALUE"""),"20250127_ブシロードワークス_悪銭の花唄 連載版")</f>
        <v>20250127_ブシロードワークス_悪銭の花唄 連載版</v>
      </c>
      <c r="T2743" s="152" t="str">
        <f>IFERROR(__xludf.DUMMYFUNCTION("""COMPUTED_VALUE"""),"格納済み")</f>
        <v>格納済み</v>
      </c>
      <c r="U2743" s="15" t="str">
        <f>IFERROR(__xludf.DUMMYFUNCTION("""COMPUTED_VALUE"""),"ⒸMasaya Tsugami / Eishin Watanabe ⒸBUSHIROAD WORKS")</f>
        <v>ⒸMasaya Tsugami / Eishin Watanabe ⒸBUSHIROAD WORKS</v>
      </c>
      <c r="V2743" s="8" t="str">
        <f>IFERROR(__xludf.DUMMYFUNCTION("""COMPUTED_VALUE"""),"「ようこそ幸せの世界へ」。理不尽に仕事をクビになり絶望の淵にいた敷島は、偶然再会した初恋相手から誘われたセミナーに参加することになる……。「幸せ」を求めた男が辿り着く先は——。")</f>
        <v>「ようこそ幸せの世界へ」。理不尽に仕事をクビになり絶望の淵にいた敷島は、偶然再会した初恋相手から誘われたセミナーに参加することになる……。「幸せ」を求めた男が辿り着く先は——。</v>
      </c>
      <c r="W2743" s="14"/>
      <c r="X2743" s="14" t="str">
        <f>IFERROR(__xludf.DUMMYFUNCTION("""COMPUTED_VALUE"""),"有")</f>
        <v>有</v>
      </c>
      <c r="Y2743" s="8" t="str">
        <f>IFERROR(__xludf.DUMMYFUNCTION("""COMPUTED_VALUE"""),"4/24まで3巻無料")</f>
        <v>4/24まで3巻無料</v>
      </c>
      <c r="Z2743" s="7"/>
      <c r="AA2743" s="7"/>
      <c r="AB2743" s="7"/>
    </row>
    <row r="2744" ht="15.75" customHeight="1">
      <c r="A2744" s="153">
        <f>IFERROR(__xludf.DUMMYFUNCTION("""COMPUTED_VALUE"""),4654.0)</f>
        <v>4654</v>
      </c>
      <c r="B2744" s="152" t="str">
        <f>IFERROR(__xludf.DUMMYFUNCTION("""COMPUTED_VALUE"""),"確定")</f>
        <v>確定</v>
      </c>
      <c r="C2744" s="154">
        <f>IFERROR(__xludf.DUMMYFUNCTION("""COMPUTED_VALUE"""),45635.0)</f>
        <v>45635</v>
      </c>
      <c r="D2744" s="154">
        <f>IFERROR(__xludf.DUMMYFUNCTION("""COMPUTED_VALUE"""),45685.0)</f>
        <v>45685</v>
      </c>
      <c r="E2744" s="155">
        <f>IFERROR(__xludf.DUMMYFUNCTION("""COMPUTED_VALUE"""),312931.0)</f>
        <v>312931</v>
      </c>
      <c r="F2744" s="156" t="str">
        <f>IFERROR(__xludf.DUMMYFUNCTION("""COMPUTED_VALUE"""),"粟野さんちのお嫁さん～契約からはじまる溺愛新婚生活～【分冊版】")</f>
        <v>粟野さんちのお嫁さん～契約からはじまる溺愛新婚生活～【分冊版】</v>
      </c>
      <c r="G2744" s="152" t="str">
        <f>IFERROR(__xludf.DUMMYFUNCTION("""COMPUTED_VALUE"""),"1～3")</f>
        <v>1～3</v>
      </c>
      <c r="H2744" s="152" t="str">
        <f>IFERROR(__xludf.DUMMYFUNCTION("""COMPUTED_VALUE"""),"ぷぷ田どん⊥さくら蒼")</f>
        <v>ぷぷ田どん⊥さくら蒼</v>
      </c>
      <c r="I2744" s="152" t="str">
        <f>IFERROR(__xludf.DUMMYFUNCTION("""COMPUTED_VALUE"""),"TL")</f>
        <v>TL</v>
      </c>
      <c r="J2744" s="152"/>
      <c r="K2744" s="152" t="str">
        <f>IFERROR(__xludf.DUMMYFUNCTION("""COMPUTED_VALUE"""),"ラブチュコラ")</f>
        <v>ラブチュコラ</v>
      </c>
      <c r="L2744" s="152" t="str">
        <f>IFERROR(__xludf.DUMMYFUNCTION("""COMPUTED_VALUE"""),"笠倉出版社")</f>
        <v>笠倉出版社</v>
      </c>
      <c r="M2744" s="23">
        <f>IFERROR(__xludf.DUMMYFUNCTION("""COMPUTED_VALUE"""),45694.0)</f>
        <v>45694</v>
      </c>
      <c r="N2744" s="23">
        <f>IFERROR(__xludf.DUMMYFUNCTION("""COMPUTED_VALUE"""),45753.0)</f>
        <v>45753</v>
      </c>
      <c r="O2744" s="69"/>
      <c r="P2744" s="120" t="str">
        <f>IFERROR(__xludf.DUMMYFUNCTION("""COMPUTED_VALUE"""),"可")</f>
        <v>可</v>
      </c>
      <c r="Q2744" s="69" t="str">
        <f>IFERROR(__xludf.DUMMYFUNCTION("""COMPUTED_VALUE"""),"可能な範囲で出稿お願いいたします。")</f>
        <v>可能な範囲で出稿お願いいたします。</v>
      </c>
      <c r="R2744" s="152" t="str">
        <f>IFERROR(__xludf.DUMMYFUNCTION("""COMPUTED_VALUE"""),"コミットNG")</f>
        <v>コミットNG</v>
      </c>
      <c r="S2744" s="152" t="str">
        <f>IFERROR(__xludf.DUMMYFUNCTION("""COMPUTED_VALUE"""),"20250128_笠倉出版社_粟野さんちのお嫁さん～契約からはじまる溺愛新婚生活～【分冊版】")</f>
        <v>20250128_笠倉出版社_粟野さんちのお嫁さん～契約からはじまる溺愛新婚生活～【分冊版】</v>
      </c>
      <c r="T2744" s="152" t="str">
        <f>IFERROR(__xludf.DUMMYFUNCTION("""COMPUTED_VALUE"""),"格納済み")</f>
        <v>格納済み</v>
      </c>
      <c r="U2744" s="15" t="str">
        <f>IFERROR(__xludf.DUMMYFUNCTION("""COMPUTED_VALUE"""),"Ⓒぷぷ田どん・さくら蒼/笠倉出版社")</f>
        <v>Ⓒぷぷ田どん・さくら蒼/笠倉出版社</v>
      </c>
      <c r="V2744" s="8" t="str">
        <f>IFERROR(__xludf.DUMMYFUNCTION("""COMPUTED_VALUE"""),"「俺　ずっと鈴菜を甘やかしてあげたかった」幼い頃は小さくて可愛かった彼に、全身とろとろに蕩けるまで愛撫されてる…。お腹の奥まで熱いので満たされて、こんなので責められたら気持ちよすぎて変になっちゃうッ――…麦倉鈴菜、本日10年勤めた会社を退職しました。…私の業績に嫉妬した部下に不始末を押しつけられたあげく、あらぬ噂まで流され孤立無援になったから。仕事は大好きだったけど悔いはない！ 田舎に帰ってゆっくりしよう、なんて考えてたら幼馴染みで農家の柾が、たくさんの野菜を持って駆けつけてくれた。久しぶりの再会と柾の成"&amp;"長ぶりが嬉しくて、恋人の有無を訊ねると…「俺が好きなの鈴菜だけど」とキスされて――…逞しくなった幼馴染の、甘くて重たい愛に翻弄されちゃう！？偽装プロポーズに見せかけた、溺愛あまあま新婚生活。")</f>
        <v>「俺　ずっと鈴菜を甘やかしてあげたかった」幼い頃は小さくて可愛かった彼に、全身とろとろに蕩けるまで愛撫されてる…。お腹の奥まで熱いので満たされて、こんなので責められたら気持ちよすぎて変になっちゃうッ――…麦倉鈴菜、本日10年勤めた会社を退職しました。…私の業績に嫉妬した部下に不始末を押しつけられたあげく、あらぬ噂まで流され孤立無援になったから。仕事は大好きだったけど悔いはない！ 田舎に帰ってゆっくりしよう、なんて考えてたら幼馴染みで農家の柾が、たくさんの野菜を持って駆けつけてくれた。久しぶりの再会と柾の成長ぶりが嬉しくて、恋人の有無を訊ねると…「俺が好きなの鈴菜だけど」とキスされて――…逞しくなった幼馴染の、甘くて重たい愛に翻弄されちゃう！？偽装プロポーズに見せかけた、溺愛あまあま新婚生活。</v>
      </c>
      <c r="W2744" s="14"/>
      <c r="X2744" s="14" t="str">
        <f>IFERROR(__xludf.DUMMYFUNCTION("""COMPUTED_VALUE"""),"有")</f>
        <v>有</v>
      </c>
      <c r="Y2744" s="8" t="str">
        <f>IFERROR(__xludf.DUMMYFUNCTION("""COMPUTED_VALUE"""),"2025/2/19まで1巻無料")</f>
        <v>2025/2/19まで1巻無料</v>
      </c>
      <c r="Z2744" s="7"/>
      <c r="AA2744" s="7"/>
      <c r="AB2744" s="7"/>
    </row>
    <row r="2745" ht="15.75" customHeight="1">
      <c r="A2745" s="153">
        <f>IFERROR(__xludf.DUMMYFUNCTION("""COMPUTED_VALUE"""),4660.0)</f>
        <v>4660</v>
      </c>
      <c r="B2745" s="152" t="str">
        <f>IFERROR(__xludf.DUMMYFUNCTION("""COMPUTED_VALUE"""),"確定")</f>
        <v>確定</v>
      </c>
      <c r="C2745" s="154">
        <f>IFERROR(__xludf.DUMMYFUNCTION("""COMPUTED_VALUE"""),45636.0)</f>
        <v>45636</v>
      </c>
      <c r="D2745" s="154">
        <f>IFERROR(__xludf.DUMMYFUNCTION("""COMPUTED_VALUE"""),45685.0)</f>
        <v>45685</v>
      </c>
      <c r="E2745" s="155">
        <f>IFERROR(__xludf.DUMMYFUNCTION("""COMPUTED_VALUE"""),307294.0)</f>
        <v>307294</v>
      </c>
      <c r="F2745" s="156" t="str">
        <f>IFERROR(__xludf.DUMMYFUNCTION("""COMPUTED_VALUE"""),"あやかし華族の妖狐令嬢、陰陽師と政略結婚する【連載版】")</f>
        <v>あやかし華族の妖狐令嬢、陰陽師と政略結婚する【連載版】</v>
      </c>
      <c r="G2745" s="152" t="str">
        <f>IFERROR(__xludf.DUMMYFUNCTION("""COMPUTED_VALUE"""),"1～4")</f>
        <v>1～4</v>
      </c>
      <c r="H2745" s="152" t="str">
        <f>IFERROR(__xludf.DUMMYFUNCTION("""COMPUTED_VALUE"""),"漫画：芳川カズ／原作：江本マシメサ／キャラクター原案：桜花舞")</f>
        <v>漫画：芳川カズ／原作：江本マシメサ／キャラクター原案：桜花舞</v>
      </c>
      <c r="I2745" s="152" t="str">
        <f>IFERROR(__xludf.DUMMYFUNCTION("""COMPUTED_VALUE"""),"女性")</f>
        <v>女性</v>
      </c>
      <c r="J2745" s="157"/>
      <c r="K2745" s="157"/>
      <c r="L2745" s="152" t="str">
        <f>IFERROR(__xludf.DUMMYFUNCTION("""COMPUTED_VALUE"""),"一迅社")</f>
        <v>一迅社</v>
      </c>
      <c r="M2745" s="23">
        <f>IFERROR(__xludf.DUMMYFUNCTION("""COMPUTED_VALUE"""),45627.0)</f>
        <v>45627</v>
      </c>
      <c r="N2745" s="77">
        <f>IFERROR(__xludf.DUMMYFUNCTION("""COMPUTED_VALUE"""),45657.0)</f>
        <v>45657</v>
      </c>
      <c r="O2745" s="69"/>
      <c r="P2745" s="120" t="str">
        <f>IFERROR(__xludf.DUMMYFUNCTION("""COMPUTED_VALUE"""),"可")</f>
        <v>可</v>
      </c>
      <c r="Q2745" s="69" t="str">
        <f>IFERROR(__xludf.DUMMYFUNCTION("""COMPUTED_VALUE"""),"4月より全書店含め単行本が出ていたので、単話版が単行本を超えるタイミング(8巻目配信の3/14より)で2話無料キャンペーンとともに出稿をお願いいたします。（河上さん事前相談済み）")</f>
        <v>4月より全書店含め単行本が出ていたので、単話版が単行本を超えるタイミング(8巻目配信の3/14より)で2話無料キャンペーンとともに出稿をお願いいたします。（河上さん事前相談済み）</v>
      </c>
      <c r="R2745" s="152" t="str">
        <f>IFERROR(__xludf.DUMMYFUNCTION("""COMPUTED_VALUE"""),"コミットOK")</f>
        <v>コミットOK</v>
      </c>
      <c r="S2745" s="152" t="str">
        <f>IFERROR(__xludf.DUMMYFUNCTION("""COMPUTED_VALUE"""),"20241211_一迅社_あやかし華族の妖狐令嬢、陰陽師と政略結婚する（7～9話）")</f>
        <v>20241211_一迅社_あやかし華族の妖狐令嬢、陰陽師と政略結婚する（7～9話）</v>
      </c>
      <c r="T2745" s="152" t="str">
        <f>IFERROR(__xludf.DUMMYFUNCTION("""COMPUTED_VALUE"""),"格納済み")</f>
        <v>格納済み</v>
      </c>
      <c r="U2745" s="15" t="str">
        <f>IFERROR(__xludf.DUMMYFUNCTION("""COMPUTED_VALUE"""),"(C)江本マシメサ・桜花舞／集英社　(C)芳川カズ／一迅社")</f>
        <v>(C)江本マシメサ・桜花舞／集英社　(C)芳川カズ／一迅社</v>
      </c>
      <c r="V2745" s="8" t="str">
        <f>IFERROR(__xludf.DUMMYFUNCTION("""COMPUTED_VALUE"""),"集英社オレンジ文庫の大人気シリーズを公式コミカライズ！ 千年以上も昔、街にはあやかしたちがはびこり、襲われた人たちの亡骸が道ばたに転がっているのも珍しくないという、秩序が存在しない時代があった。しかし御上が陰陽師にあやかしを退治するよう命じたことから、あやかしたちは表舞台から姿を消した。そして時は移ろい、老舗料亭の名店“花むしろ”を営む華族・蓮水家に縁談が舞い込んだ。相手は帝都で御上の信任も厚い歴史ある祁答院家の当主・伊月。なぜか妻にと望まれたのは、正妻の子である妹ではなく、妾腹の長女・瀬那。父は名家との"&amp;"繋がりが出来ると喜んでいるが、この婚姻には大きな問題があった。蓮水家は人にまぎれて暮らすあやかし・妖狐の家系で、祁答院家は天敵・陰陽師の家系なのだ！ 正体がバレたら退治される!? 緊張の新婚生活が始まった！ 【本商品は単話コンテンツとなります。単行本版と収録内容が異なる場合がございます。漫画内の告知等は過去のものとなりますので、ご注意ください。】")</f>
        <v>集英社オレンジ文庫の大人気シリーズを公式コミカライズ！ 千年以上も昔、街にはあやかしたちがはびこり、襲われた人たちの亡骸が道ばたに転がっているのも珍しくないという、秩序が存在しない時代があった。しかし御上が陰陽師にあやかしを退治するよう命じたことから、あやかしたちは表舞台から姿を消した。そして時は移ろい、老舗料亭の名店“花むしろ”を営む華族・蓮水家に縁談が舞い込んだ。相手は帝都で御上の信任も厚い歴史ある祁答院家の当主・伊月。なぜか妻にと望まれたのは、正妻の子である妹ではなく、妾腹の長女・瀬那。父は名家との繋がりが出来ると喜んでいるが、この婚姻には大きな問題があった。蓮水家は人にまぎれて暮らすあやかし・妖狐の家系で、祁答院家は天敵・陰陽師の家系なのだ！ 正体がバレたら退治される!? 緊張の新婚生活が始まった！ 【本商品は単話コンテンツとなります。単行本版と収録内容が異なる場合がございます。漫画内の告知等は過去のものとなりますので、ご注意ください。】</v>
      </c>
      <c r="W2745" s="14"/>
      <c r="X2745" s="14" t="str">
        <f>IFERROR(__xludf.DUMMYFUNCTION("""COMPUTED_VALUE"""),"有")</f>
        <v>有</v>
      </c>
      <c r="Y2745" s="8" t="str">
        <f>IFERROR(__xludf.DUMMYFUNCTION("""COMPUTED_VALUE"""),"P9まで")</f>
        <v>P9まで</v>
      </c>
      <c r="Z2745" s="7"/>
      <c r="AA2745" s="7"/>
      <c r="AB2745" s="7"/>
    </row>
    <row r="2746" ht="15.75" customHeight="1">
      <c r="A2746" s="153">
        <f>IFERROR(__xludf.DUMMYFUNCTION("""COMPUTED_VALUE"""),4678.0)</f>
        <v>4678</v>
      </c>
      <c r="B2746" s="152" t="str">
        <f>IFERROR(__xludf.DUMMYFUNCTION("""COMPUTED_VALUE"""),"確定")</f>
        <v>確定</v>
      </c>
      <c r="C2746" s="154">
        <f>IFERROR(__xludf.DUMMYFUNCTION("""COMPUTED_VALUE"""),45639.0)</f>
        <v>45639</v>
      </c>
      <c r="D2746" s="154">
        <f>IFERROR(__xludf.DUMMYFUNCTION("""COMPUTED_VALUE"""),45686.0)</f>
        <v>45686</v>
      </c>
      <c r="E2746" s="158">
        <f>IFERROR(__xludf.DUMMYFUNCTION("""COMPUTED_VALUE"""),315175.0)</f>
        <v>315175</v>
      </c>
      <c r="F2746" s="159" t="str">
        <f>IFERROR(__xludf.DUMMYFUNCTION("""COMPUTED_VALUE"""),"偏食吸血鬼はおあずけ中【マイクロ】")</f>
        <v>偏食吸血鬼はおあずけ中【マイクロ】</v>
      </c>
      <c r="G2746" s="152" t="str">
        <f>IFERROR(__xludf.DUMMYFUNCTION("""COMPUTED_VALUE"""),"1～5")</f>
        <v>1～5</v>
      </c>
      <c r="H2746" s="152" t="str">
        <f>IFERROR(__xludf.DUMMYFUNCTION("""COMPUTED_VALUE"""),"杉しっぽ")</f>
        <v>杉しっぽ</v>
      </c>
      <c r="I2746" s="152" t="str">
        <f>IFERROR(__xludf.DUMMYFUNCTION("""COMPUTED_VALUE"""),"女性")</f>
        <v>女性</v>
      </c>
      <c r="J2746" s="157"/>
      <c r="K2746" s="157"/>
      <c r="L2746" s="152" t="str">
        <f>IFERROR(__xludf.DUMMYFUNCTION("""COMPUTED_VALUE"""),"小学館")</f>
        <v>小学館</v>
      </c>
      <c r="M2746" s="59">
        <f>IFERROR(__xludf.DUMMYFUNCTION("""COMPUTED_VALUE"""),45716.0)</f>
        <v>45716</v>
      </c>
      <c r="N2746" s="59">
        <f>IFERROR(__xludf.DUMMYFUNCTION("""COMPUTED_VALUE"""),45774.0)</f>
        <v>45774</v>
      </c>
      <c r="O2746" s="69"/>
      <c r="P2746" s="120" t="str">
        <f>IFERROR(__xludf.DUMMYFUNCTION("""COMPUTED_VALUE"""),"可")</f>
        <v>可</v>
      </c>
      <c r="Q2746" s="69" t="str">
        <f>IFERROR(__xludf.DUMMYFUNCTION("""COMPUTED_VALUE"""),"人間の血を喰らい生活をする吸血鬼一家に生まれながら、&lt;BR&gt;吸血行為に強い抵抗感を持つ雪夜は雪夜付の女中である加代だけはこれまで知らなかった”疼き”を感じる。&lt;BR&gt;「クズとケモ耳」の杉しっぽ氏が描く禁断ラブストーリーです！&lt;BR&gt;・1巻目を1～2巻に分割&lt;BR&gt;・１巻目素材は「偏食吸血鬼 修正1話」をご使用ください")</f>
        <v>人間の血を喰らい生活をする吸血鬼一家に生まれながら、&lt;BR&gt;吸血行為に強い抵抗感を持つ雪夜は雪夜付の女中である加代だけはこれまで知らなかった”疼き”を感じる。&lt;BR&gt;「クズとケモ耳」の杉しっぽ氏が描く禁断ラブストーリーです！&lt;BR&gt;・1巻目を1～2巻に分割&lt;BR&gt;・１巻目素材は「偏食吸血鬼 修正1話」をご使用ください</v>
      </c>
      <c r="R2746" s="152" t="str">
        <f>IFERROR(__xludf.DUMMYFUNCTION("""COMPUTED_VALUE"""),"コミットOK")</f>
        <v>コミットOK</v>
      </c>
      <c r="S2746" s="152" t="str">
        <f>IFERROR(__xludf.DUMMYFUNCTION("""COMPUTED_VALUE"""),"20250120_小学館_偏食吸血鬼はおあずけ中【マイクロ】")</f>
        <v>20250120_小学館_偏食吸血鬼はおあずけ中【マイクロ】</v>
      </c>
      <c r="T2746" s="152" t="str">
        <f>IFERROR(__xludf.DUMMYFUNCTION("""COMPUTED_VALUE"""),"格納済み")</f>
        <v>格納済み</v>
      </c>
      <c r="U2746" s="15" t="str">
        <f>IFERROR(__xludf.DUMMYFUNCTION("""COMPUTED_VALUE"""),"(C)杉しっぽ / 小学館")</f>
        <v>(C)杉しっぽ / 小学館</v>
      </c>
      <c r="V2746" s="8" t="str">
        <f>IFERROR(__xludf.DUMMYFUNCTION("""COMPUTED_VALUE"""),"狂おしいほど　君を喰べたい…
吸血鬼の家系に生まれながら、吸血行為を受け入れられずにいた雪夜。
だけど“彼女”のまっすぐな瞳に見つめられると、これまで感じたことのない疼きが…
「クズとケモ耳」の杉しっぽが贈る最上級の偏愛×溺愛ファンタジー。")</f>
        <v>狂おしいほど　君を喰べたい…
吸血鬼の家系に生まれながら、吸血行為を受け入れられずにいた雪夜。
だけど“彼女”のまっすぐな瞳に見つめられると、これまで感じたことのない疼きが…
「クズとケモ耳」の杉しっぽが贈る最上級の偏愛×溺愛ファンタジー。</v>
      </c>
      <c r="W2746" s="14"/>
      <c r="X2746" s="14" t="str">
        <f>IFERROR(__xludf.DUMMYFUNCTION("""COMPUTED_VALUE"""),"有")</f>
        <v>有</v>
      </c>
      <c r="Y2746" s="8" t="str">
        <f>IFERROR(__xludf.DUMMYFUNCTION("""COMPUTED_VALUE"""),"4/27まで1巻無料")</f>
        <v>4/27まで1巻無料</v>
      </c>
      <c r="Z2746" s="7"/>
      <c r="AA2746" s="7"/>
      <c r="AB2746" s="7"/>
    </row>
    <row r="2747" ht="15.75" customHeight="1">
      <c r="A2747" s="153">
        <f>IFERROR(__xludf.DUMMYFUNCTION("""COMPUTED_VALUE"""),4710.0)</f>
        <v>4710</v>
      </c>
      <c r="B2747" s="152" t="str">
        <f>IFERROR(__xludf.DUMMYFUNCTION("""COMPUTED_VALUE"""),"確定")</f>
        <v>確定</v>
      </c>
      <c r="C2747" s="154">
        <f>IFERROR(__xludf.DUMMYFUNCTION("""COMPUTED_VALUE"""),45649.0)</f>
        <v>45649</v>
      </c>
      <c r="D2747" s="154">
        <f>IFERROR(__xludf.DUMMYFUNCTION("""COMPUTED_VALUE"""),45685.0)</f>
        <v>45685</v>
      </c>
      <c r="E2747" s="158">
        <f>IFERROR(__xludf.DUMMYFUNCTION("""COMPUTED_VALUE"""),315445.0)</f>
        <v>315445</v>
      </c>
      <c r="F2747" s="159" t="str">
        <f>IFERROR(__xludf.DUMMYFUNCTION("""COMPUTED_VALUE"""),"【ラブパルフェ】溺愛上司の指先は、極甘でイジワル。～本気で抱かれる濡れトロ蜜夜")</f>
        <v>【ラブパルフェ】溺愛上司の指先は、極甘でイジワル。～本気で抱かれる濡れトロ蜜夜</v>
      </c>
      <c r="G2747" s="152" t="str">
        <f>IFERROR(__xludf.DUMMYFUNCTION("""COMPUTED_VALUE"""),"1～2")</f>
        <v>1～2</v>
      </c>
      <c r="H2747" s="152" t="str">
        <f>IFERROR(__xludf.DUMMYFUNCTION("""COMPUTED_VALUE"""),"KARUTO")</f>
        <v>KARUTO</v>
      </c>
      <c r="I2747" s="152" t="str">
        <f>IFERROR(__xludf.DUMMYFUNCTION("""COMPUTED_VALUE"""),"TL")</f>
        <v>TL</v>
      </c>
      <c r="J2747" s="152"/>
      <c r="K2747" s="152" t="str">
        <f>IFERROR(__xludf.DUMMYFUNCTION("""COMPUTED_VALUE"""),"ラブパルフェ")</f>
        <v>ラブパルフェ</v>
      </c>
      <c r="L2747" s="152" t="str">
        <f>IFERROR(__xludf.DUMMYFUNCTION("""COMPUTED_VALUE"""),"オーバーラップ")</f>
        <v>オーバーラップ</v>
      </c>
      <c r="M2747" s="59">
        <f>IFERROR(__xludf.DUMMYFUNCTION("""COMPUTED_VALUE"""),45717.0)</f>
        <v>45717</v>
      </c>
      <c r="N2747" s="23">
        <f>IFERROR(__xludf.DUMMYFUNCTION("""COMPUTED_VALUE"""),45777.0)</f>
        <v>45777</v>
      </c>
      <c r="O2747" s="69"/>
      <c r="P2747" s="114" t="str">
        <f>IFERROR(__xludf.DUMMYFUNCTION("""COMPUTED_VALUE"""),"可")</f>
        <v>可</v>
      </c>
      <c r="Q2747" s="69"/>
      <c r="R2747" s="152" t="str">
        <f>IFERROR(__xludf.DUMMYFUNCTION("""COMPUTED_VALUE"""),"コミットOK")</f>
        <v>コミットOK</v>
      </c>
      <c r="S2747" s="152" t="str">
        <f>IFERROR(__xludf.DUMMYFUNCTION("""COMPUTED_VALUE"""),"20250122_オーバーラップ‗溺愛上司の指先は、極甘でイジワル。～本気で抱かれる濡れトロ蜜夜")</f>
        <v>20250122_オーバーラップ‗溺愛上司の指先は、極甘でイジワル。～本気で抱かれる濡れトロ蜜夜</v>
      </c>
      <c r="T2747" s="152" t="str">
        <f>IFERROR(__xludf.DUMMYFUNCTION("""COMPUTED_VALUE"""),"格納済み")</f>
        <v>格納済み</v>
      </c>
      <c r="U2747" s="15" t="str">
        <f>IFERROR(__xludf.DUMMYFUNCTION("""COMPUTED_VALUE"""),"ⒸKARUTO／オーバーラップ")</f>
        <v>ⒸKARUTO／オーバーラップ</v>
      </c>
      <c r="V2747" s="8" t="str">
        <f>IFERROR(__xludf.DUMMYFUNCTION("""COMPUTED_VALUE"""),"「まだイッちゃダメ　もっと楽しまないと勿体無いよ」
26歳の沙耶（さや）は、交際経験がないことがコンプレックス。友人たちには恋人がいたり、結婚していたり…。私だってエッチなことしてみたい!! 勢いで女性用風俗の予約を取った翌日、待ち合わせ場所にいたのはスタイルのいいイケメンで――！
ホテルに着いた後、真剣な顔のカレにアツい舌と指で思いっきり愛撫され、一番奥まで責められて…！ キスもエッチもハジメテなのに、恋人みたいに甘く激しく抱かれて、イきすぎちゃうっ…!!
濃厚えっちの翌朝、風俗店から連絡が。沙耶がキャ"&amp;"ストと間違えてホテルに連れ込んだのは、まさかの一般人!? 人違いに動揺してから2週間後、あの日のイケメンが上司として同じ会社に転職してきて――！
※本書は「ラブパルフェVOL.77-2」に収録されています。重複購入にご注意ください。")</f>
        <v>「まだイッちゃダメ　もっと楽しまないと勿体無いよ」
26歳の沙耶（さや）は、交際経験がないことがコンプレックス。友人たちには恋人がいたり、結婚していたり…。私だってエッチなことしてみたい!! 勢いで女性用風俗の予約を取った翌日、待ち合わせ場所にいたのはスタイルのいいイケメンで――！
ホテルに着いた後、真剣な顔のカレにアツい舌と指で思いっきり愛撫され、一番奥まで責められて…！ キスもエッチもハジメテなのに、恋人みたいに甘く激しく抱かれて、イきすぎちゃうっ…!!
濃厚えっちの翌朝、風俗店から連絡が。沙耶がキャストと間違えてホテルに連れ込んだのは、まさかの一般人!? 人違いに動揺してから2週間後、あの日のイケメンが上司として同じ会社に転職してきて――！
※本書は「ラブパルフェVOL.77-2」に収録されています。重複購入にご注意ください。</v>
      </c>
      <c r="W2747" s="14"/>
      <c r="X2747" s="14" t="str">
        <f>IFERROR(__xludf.DUMMYFUNCTION("""COMPUTED_VALUE"""),"有")</f>
        <v>有</v>
      </c>
      <c r="Y2747" s="8" t="str">
        <f>IFERROR(__xludf.DUMMYFUNCTION("""COMPUTED_VALUE"""),"立ち読み増量（3/14まで）
P16まで")</f>
        <v>立ち読み増量（3/14まで）
P16まで</v>
      </c>
      <c r="Z2747" s="7"/>
      <c r="AA2747" s="7"/>
      <c r="AB2747" s="7"/>
    </row>
    <row r="2748" ht="15.75" customHeight="1">
      <c r="A2748" s="153">
        <f>IFERROR(__xludf.DUMMYFUNCTION("""COMPUTED_VALUE"""),4711.0)</f>
        <v>4711</v>
      </c>
      <c r="B2748" s="152" t="str">
        <f>IFERROR(__xludf.DUMMYFUNCTION("""COMPUTED_VALUE"""),"確定")</f>
        <v>確定</v>
      </c>
      <c r="C2748" s="154">
        <f>IFERROR(__xludf.DUMMYFUNCTION("""COMPUTED_VALUE"""),45649.0)</f>
        <v>45649</v>
      </c>
      <c r="D2748" s="154">
        <f>IFERROR(__xludf.DUMMYFUNCTION("""COMPUTED_VALUE"""),45685.0)</f>
        <v>45685</v>
      </c>
      <c r="E2748" s="158">
        <f>IFERROR(__xludf.DUMMYFUNCTION("""COMPUTED_VALUE"""),315444.0)</f>
        <v>315444</v>
      </c>
      <c r="F2748" s="159" t="str">
        <f>IFERROR(__xludf.DUMMYFUNCTION("""COMPUTED_VALUE"""),"【ラブパルフェ】執着×絶倫ヤクザと奥で絶頂イキ乱れH～気持ちよすぎて腰が何度も疼いちゃう…っ")</f>
        <v>【ラブパルフェ】執着×絶倫ヤクザと奥で絶頂イキ乱れH～気持ちよすぎて腰が何度も疼いちゃう…っ</v>
      </c>
      <c r="G2748" s="152" t="str">
        <f>IFERROR(__xludf.DUMMYFUNCTION("""COMPUTED_VALUE"""),"1～2")</f>
        <v>1～2</v>
      </c>
      <c r="H2748" s="152" t="str">
        <f>IFERROR(__xludf.DUMMYFUNCTION("""COMPUTED_VALUE"""),"冴木ぽてり")</f>
        <v>冴木ぽてり</v>
      </c>
      <c r="I2748" s="152" t="str">
        <f>IFERROR(__xludf.DUMMYFUNCTION("""COMPUTED_VALUE"""),"TL")</f>
        <v>TL</v>
      </c>
      <c r="J2748" s="152"/>
      <c r="K2748" s="152" t="str">
        <f>IFERROR(__xludf.DUMMYFUNCTION("""COMPUTED_VALUE"""),"ラブパルフェ")</f>
        <v>ラブパルフェ</v>
      </c>
      <c r="L2748" s="152" t="str">
        <f>IFERROR(__xludf.DUMMYFUNCTION("""COMPUTED_VALUE"""),"オーバーラップ")</f>
        <v>オーバーラップ</v>
      </c>
      <c r="M2748" s="59">
        <f>IFERROR(__xludf.DUMMYFUNCTION("""COMPUTED_VALUE"""),45717.0)</f>
        <v>45717</v>
      </c>
      <c r="N2748" s="23">
        <f>IFERROR(__xludf.DUMMYFUNCTION("""COMPUTED_VALUE"""),45777.0)</f>
        <v>45777</v>
      </c>
      <c r="O2748" s="69"/>
      <c r="P2748" s="114" t="str">
        <f>IFERROR(__xludf.DUMMYFUNCTION("""COMPUTED_VALUE"""),"可")</f>
        <v>可</v>
      </c>
      <c r="Q2748" s="69"/>
      <c r="R2748" s="152" t="str">
        <f>IFERROR(__xludf.DUMMYFUNCTION("""COMPUTED_VALUE"""),"コミットOK")</f>
        <v>コミットOK</v>
      </c>
      <c r="S2748" s="152" t="str">
        <f>IFERROR(__xludf.DUMMYFUNCTION("""COMPUTED_VALUE"""),"20250122_オーバーラップ‗執着×絶倫ヤクザと奥で絶頂イキ乱れH～気持ちよすぎて腰が何度も疼いちゃう…っ")</f>
        <v>20250122_オーバーラップ‗執着×絶倫ヤクザと奥で絶頂イキ乱れH～気持ちよすぎて腰が何度も疼いちゃう…っ</v>
      </c>
      <c r="T2748" s="152" t="str">
        <f>IFERROR(__xludf.DUMMYFUNCTION("""COMPUTED_VALUE"""),"格納済み")</f>
        <v>格納済み</v>
      </c>
      <c r="U2748" s="15" t="str">
        <f>IFERROR(__xludf.DUMMYFUNCTION("""COMPUTED_VALUE"""),"Ⓒ冴木ぽてり／オーバーラップ")</f>
        <v>Ⓒ冴木ぽてり／オーバーラップ</v>
      </c>
      <c r="V2748" s="8" t="str">
        <f>IFERROR(__xludf.DUMMYFUNCTION("""COMPUTED_VALUE"""),"「乳首だけでイっちゃった？ 漏らしたみたいになってる」
ある日突然、弁護士に呼び出されて向かうと、連絡不通だった父が実はヤクザの組長で…!?
父亡き後に継ぐかどうかを問いただされて――
そこへ現れた若頭の薫（かおる）に気に入られ、彼に激しく抱かれることに…
熱いオスで奥まで突かれて、感じすぎちゃう…！
「イキまくっちゃったね」
絶倫で強引だけど、溺愛で執着が強い彼に、とろとろに愛されまくる極道ラブ！
※本書は「ラブパルフェVOL.81-1」に収録されています。重複購入にご注意ください。")</f>
        <v>「乳首だけでイっちゃった？ 漏らしたみたいになってる」
ある日突然、弁護士に呼び出されて向かうと、連絡不通だった父が実はヤクザの組長で…!?
父亡き後に継ぐかどうかを問いただされて――
そこへ現れた若頭の薫（かおる）に気に入られ、彼に激しく抱かれることに…
熱いオスで奥まで突かれて、感じすぎちゃう…！
「イキまくっちゃったね」
絶倫で強引だけど、溺愛で執着が強い彼に、とろとろに愛されまくる極道ラブ！
※本書は「ラブパルフェVOL.81-1」に収録されています。重複購入にご注意ください。</v>
      </c>
      <c r="W2748" s="14"/>
      <c r="X2748" s="14" t="str">
        <f>IFERROR(__xludf.DUMMYFUNCTION("""COMPUTED_VALUE"""),"有")</f>
        <v>有</v>
      </c>
      <c r="Y2748" s="8" t="str">
        <f>IFERROR(__xludf.DUMMYFUNCTION("""COMPUTED_VALUE"""),"立ち読み増量（3/14まで）
P16まで")</f>
        <v>立ち読み増量（3/14まで）
P16まで</v>
      </c>
      <c r="Z2748" s="7"/>
      <c r="AA2748" s="7"/>
      <c r="AB2748" s="7"/>
    </row>
    <row r="2749" ht="15.75" customHeight="1">
      <c r="A2749" s="153">
        <f>IFERROR(__xludf.DUMMYFUNCTION("""COMPUTED_VALUE"""),4718.0)</f>
        <v>4718</v>
      </c>
      <c r="B2749" s="152" t="str">
        <f>IFERROR(__xludf.DUMMYFUNCTION("""COMPUTED_VALUE"""),"確定")</f>
        <v>確定</v>
      </c>
      <c r="C2749" s="154">
        <f>IFERROR(__xludf.DUMMYFUNCTION("""COMPUTED_VALUE"""),45650.0)</f>
        <v>45650</v>
      </c>
      <c r="D2749" s="154">
        <f>IFERROR(__xludf.DUMMYFUNCTION("""COMPUTED_VALUE"""),45681.0)</f>
        <v>45681</v>
      </c>
      <c r="E2749" s="155">
        <f>IFERROR(__xludf.DUMMYFUNCTION("""COMPUTED_VALUE"""),313582.0)</f>
        <v>313582</v>
      </c>
      <c r="F2749" s="156" t="str">
        <f>IFERROR(__xludf.DUMMYFUNCTION("""COMPUTED_VALUE"""),"軍人殿下と異世界奴隷")</f>
        <v>軍人殿下と異世界奴隷</v>
      </c>
      <c r="G2749" s="152" t="str">
        <f>IFERROR(__xludf.DUMMYFUNCTION("""COMPUTED_VALUE"""),"1～3")</f>
        <v>1～3</v>
      </c>
      <c r="H2749" s="152" t="str">
        <f>IFERROR(__xludf.DUMMYFUNCTION("""COMPUTED_VALUE"""),"Yukari 原作・森川茉里")</f>
        <v>Yukari 原作・森川茉里</v>
      </c>
      <c r="I2749" s="152" t="str">
        <f>IFERROR(__xludf.DUMMYFUNCTION("""COMPUTED_VALUE"""),"少女")</f>
        <v>少女</v>
      </c>
      <c r="J2749" s="157"/>
      <c r="K2749" s="157"/>
      <c r="L2749" s="152" t="str">
        <f>IFERROR(__xludf.DUMMYFUNCTION("""COMPUTED_VALUE"""),"ジュリアンパブリッシング")</f>
        <v>ジュリアンパブリッシング</v>
      </c>
      <c r="M2749" s="23">
        <f>IFERROR(__xludf.DUMMYFUNCTION("""COMPUTED_VALUE"""),45688.0)</f>
        <v>45688</v>
      </c>
      <c r="N2749" s="23">
        <f>IFERROR(__xludf.DUMMYFUNCTION("""COMPUTED_VALUE"""),45715.0)</f>
        <v>45715</v>
      </c>
      <c r="O2749" s="69"/>
      <c r="P2749" s="120" t="str">
        <f>IFERROR(__xludf.DUMMYFUNCTION("""COMPUTED_VALUE"""),"否")</f>
        <v>否</v>
      </c>
      <c r="Q2749" s="69" t="str">
        <f>IFERROR(__xludf.DUMMYFUNCTION("""COMPUTED_VALUE"""),"・こちらのタイトルは数社先行（おそらくピッコマ等）となります。&lt;BR&gt;・準備でき次第の出稿で問題ございません。")</f>
        <v>・こちらのタイトルは数社先行（おそらくピッコマ等）となります。&lt;BR&gt;・準備でき次第の出稿で問題ございません。</v>
      </c>
      <c r="R2749" s="152" t="str">
        <f>IFERROR(__xludf.DUMMYFUNCTION("""COMPUTED_VALUE"""),"コミットNG")</f>
        <v>コミットNG</v>
      </c>
      <c r="S2749" s="152" t="str">
        <f>IFERROR(__xludf.DUMMYFUNCTION("""COMPUTED_VALUE"""),"20250124_SBクリエイティブ_軍人殿下と異世界奴隷")</f>
        <v>20250124_SBクリエイティブ_軍人殿下と異世界奴隷</v>
      </c>
      <c r="T2749" s="152" t="str">
        <f>IFERROR(__xludf.DUMMYFUNCTION("""COMPUTED_VALUE"""),"格納済み")</f>
        <v>格納済み</v>
      </c>
      <c r="U2749" s="15" t="str">
        <f>IFERROR(__xludf.DUMMYFUNCTION("""COMPUTED_VALUE"""),"ⒸYukari/森川茉里/ジュリアンパブリッシング")</f>
        <v>ⒸYukari/森川茉里/ジュリアンパブリッシング</v>
      </c>
      <c r="V2749" s="8" t="str">
        <f>IFERROR(__xludf.DUMMYFUNCTION("""COMPUTED_VALUE"""),"合コン帰りに突然見知らぬ世界に堕ちた田中有紗。その世界では、魔力を持たない異世界人は、奴隷になるしかない――。残酷な事実を突きつけられ、抵抗する間もなく売り飛ばされた有紗は、第二王子・ディートハルトの愛玩奴隷として差し出される。「お前相手なら手加減いらないってことだよ」愛を知らない軍人殿下の、歪な寵愛に翻弄される有紗の運命は！？")</f>
        <v>合コン帰りに突然見知らぬ世界に堕ちた田中有紗。その世界では、魔力を持たない異世界人は、奴隷になるしかない――。残酷な事実を突きつけられ、抵抗する間もなく売り飛ばされた有紗は、第二王子・ディートハルトの愛玩奴隷として差し出される。「お前相手なら手加減いらないってことだよ」愛を知らない軍人殿下の、歪な寵愛に翻弄される有紗の運命は！？</v>
      </c>
      <c r="W2749" s="14"/>
      <c r="X2749" s="14" t="str">
        <f>IFERROR(__xludf.DUMMYFUNCTION("""COMPUTED_VALUE"""),"有")</f>
        <v>有</v>
      </c>
      <c r="Y2749" s="8" t="str">
        <f>IFERROR(__xludf.DUMMYFUNCTION("""COMPUTED_VALUE"""),"2025/2/13まで1巻無料")</f>
        <v>2025/2/13まで1巻無料</v>
      </c>
      <c r="Z2749" s="7"/>
      <c r="AA2749" s="7"/>
      <c r="AB2749" s="7"/>
    </row>
    <row r="2750" ht="15.75" customHeight="1">
      <c r="A2750" s="153">
        <f>IFERROR(__xludf.DUMMYFUNCTION("""COMPUTED_VALUE"""),4722.0)</f>
        <v>4722</v>
      </c>
      <c r="B2750" s="152" t="str">
        <f>IFERROR(__xludf.DUMMYFUNCTION("""COMPUTED_VALUE"""),"確定")</f>
        <v>確定</v>
      </c>
      <c r="C2750" s="154">
        <f>IFERROR(__xludf.DUMMYFUNCTION("""COMPUTED_VALUE"""),45650.0)</f>
        <v>45650</v>
      </c>
      <c r="D2750" s="154">
        <f>IFERROR(__xludf.DUMMYFUNCTION("""COMPUTED_VALUE"""),45685.0)</f>
        <v>45685</v>
      </c>
      <c r="E2750" s="155">
        <f>IFERROR(__xludf.DUMMYFUNCTION("""COMPUTED_VALUE"""),313018.0)</f>
        <v>313018</v>
      </c>
      <c r="F2750" s="156" t="str">
        <f>IFERROR(__xludf.DUMMYFUNCTION("""COMPUTED_VALUE"""),"アラサー処女のエリさんが抱かれるまでと抱かれたあと")</f>
        <v>アラサー処女のエリさんが抱かれるまでと抱かれたあと</v>
      </c>
      <c r="G2750" s="152" t="str">
        <f>IFERROR(__xludf.DUMMYFUNCTION("""COMPUTED_VALUE"""),"1～2")</f>
        <v>1～2</v>
      </c>
      <c r="H2750" s="152" t="str">
        <f>IFERROR(__xludf.DUMMYFUNCTION("""COMPUTED_VALUE"""),"著者：鳥居ヨシツナ")</f>
        <v>著者：鳥居ヨシツナ</v>
      </c>
      <c r="I2750" s="164" t="str">
        <f>IFERROR(__xludf.DUMMYFUNCTION("""COMPUTED_VALUE"""),"アダルトマンガ")</f>
        <v>アダルトマンガ</v>
      </c>
      <c r="J2750" s="165"/>
      <c r="K2750" s="166"/>
      <c r="L2750" s="152" t="str">
        <f>IFERROR(__xludf.DUMMYFUNCTION("""COMPUTED_VALUE"""),"ナイトコミック")</f>
        <v>ナイトコミック</v>
      </c>
      <c r="M2750" s="59">
        <f>IFERROR(__xludf.DUMMYFUNCTION("""COMPUTED_VALUE"""),45702.0)</f>
        <v>45702</v>
      </c>
      <c r="N2750" s="59">
        <f>IFERROR(__xludf.DUMMYFUNCTION("""COMPUTED_VALUE"""),45757.0)</f>
        <v>45757</v>
      </c>
      <c r="O2750" s="69"/>
      <c r="P2750" s="120" t="str">
        <f>IFERROR(__xludf.DUMMYFUNCTION("""COMPUTED_VALUE"""),"可")</f>
        <v>可</v>
      </c>
      <c r="Q2750" s="69" t="str">
        <f>IFERROR(__xludf.DUMMYFUNCTION("""COMPUTED_VALUE"""),"1～2巻目のみ素材使用OK")</f>
        <v>1～2巻目のみ素材使用OK</v>
      </c>
      <c r="R2750" s="152" t="str">
        <f>IFERROR(__xludf.DUMMYFUNCTION("""COMPUTED_VALUE"""),"コミットOK")</f>
        <v>コミットOK</v>
      </c>
      <c r="S2750" s="152" t="str">
        <f>IFERROR(__xludf.DUMMYFUNCTION("""COMPUTED_VALUE"""),"20241223_ナイトコミック_アラサー処女のエリさんが抱かれるまでと抱かれたあと")</f>
        <v>20241223_ナイトコミック_アラサー処女のエリさんが抱かれるまでと抱かれたあと</v>
      </c>
      <c r="T2750" s="152" t="str">
        <f>IFERROR(__xludf.DUMMYFUNCTION("""COMPUTED_VALUE"""),"格納済み")</f>
        <v>格納済み</v>
      </c>
      <c r="U2750" s="15" t="str">
        <f>IFERROR(__xludf.DUMMYFUNCTION("""COMPUTED_VALUE"""),"Ⓒ鳥居ヨシツナ")</f>
        <v>Ⓒ鳥居ヨシツナ</v>
      </c>
      <c r="V2750" s="8" t="str">
        <f>IFERROR(__xludf.DUMMYFUNCTION("""COMPUTED_VALUE"""),"ある日、証券会社の営業を務める千早は、外回りの途中で教会に立ち寄り、そこで教会のシスターをしているエリと出会う。懺悔室に案内された千早が仕事に関する悩みを打ち明けると、エリもまた自分の悩みを話し始める。それは、友人が結婚や出産をして幸せを見出す一方で、聖女に誓いを立てて貞操を守り続けた自分の5年間に意味があるのかというものだった。千早も私もまずは自分を幸せにするべきだと熱く語るエリだったが、途中からいやらしい手つきで千早の手を触り始める。そして、「私と一発ヤりませんか」という衝撃の一言まで飛び出して…！？")</f>
        <v>ある日、証券会社の営業を務める千早は、外回りの途中で教会に立ち寄り、そこで教会のシスターをしているエリと出会う。懺悔室に案内された千早が仕事に関する悩みを打ち明けると、エリもまた自分の悩みを話し始める。それは、友人が結婚や出産をして幸せを見出す一方で、聖女に誓いを立てて貞操を守り続けた自分の5年間に意味があるのかというものだった。千早も私もまずは自分を幸せにするべきだと熱く語るエリだったが、途中からいやらしい手つきで千早の手を触り始める。そして、「私と一発ヤりませんか」という衝撃の一言まで飛び出して…！？</v>
      </c>
      <c r="W2750" s="14"/>
      <c r="X2750" s="14" t="str">
        <f>IFERROR(__xludf.DUMMYFUNCTION("""COMPUTED_VALUE"""),"有")</f>
        <v>有</v>
      </c>
      <c r="Y2750" s="8" t="str">
        <f>IFERROR(__xludf.DUMMYFUNCTION("""COMPUTED_VALUE"""),"2025/2/27まで立ち読み増量
1巻P26まで
2巻P12まで")</f>
        <v>2025/2/27まで立ち読み増量
1巻P26まで
2巻P12まで</v>
      </c>
      <c r="Z2750" s="7"/>
      <c r="AA2750" s="7"/>
      <c r="AB2750" s="7"/>
    </row>
    <row r="2751" ht="15.75" customHeight="1">
      <c r="A2751" s="153">
        <f>IFERROR(__xludf.DUMMYFUNCTION("""COMPUTED_VALUE"""),4723.0)</f>
        <v>4723</v>
      </c>
      <c r="B2751" s="152" t="str">
        <f>IFERROR(__xludf.DUMMYFUNCTION("""COMPUTED_VALUE"""),"確定")</f>
        <v>確定</v>
      </c>
      <c r="C2751" s="154">
        <f>IFERROR(__xludf.DUMMYFUNCTION("""COMPUTED_VALUE"""),45650.0)</f>
        <v>45650</v>
      </c>
      <c r="D2751" s="154">
        <f>IFERROR(__xludf.DUMMYFUNCTION("""COMPUTED_VALUE"""),45685.0)</f>
        <v>45685</v>
      </c>
      <c r="E2751" s="158">
        <f>IFERROR(__xludf.DUMMYFUNCTION("""COMPUTED_VALUE"""),313019.0)</f>
        <v>313019</v>
      </c>
      <c r="F2751" s="159" t="str">
        <f>IFERROR(__xludf.DUMMYFUNCTION("""COMPUTED_VALUE"""),"元ヤンママが自らの体で息子二人に施す性教育！")</f>
        <v>元ヤンママが自らの体で息子二人に施す性教育！</v>
      </c>
      <c r="G2751" s="152" t="str">
        <f>IFERROR(__xludf.DUMMYFUNCTION("""COMPUTED_VALUE"""),"1～2")</f>
        <v>1～2</v>
      </c>
      <c r="H2751" s="152" t="str">
        <f>IFERROR(__xludf.DUMMYFUNCTION("""COMPUTED_VALUE"""),"ほよよ")</f>
        <v>ほよよ</v>
      </c>
      <c r="I2751" s="164" t="str">
        <f>IFERROR(__xludf.DUMMYFUNCTION("""COMPUTED_VALUE"""),"アダルトマンガ")</f>
        <v>アダルトマンガ</v>
      </c>
      <c r="J2751" s="165"/>
      <c r="K2751" s="166"/>
      <c r="L2751" s="152" t="str">
        <f>IFERROR(__xludf.DUMMYFUNCTION("""COMPUTED_VALUE"""),"ナイトコミック")</f>
        <v>ナイトコミック</v>
      </c>
      <c r="M2751" s="59">
        <f>IFERROR(__xludf.DUMMYFUNCTION("""COMPUTED_VALUE"""),45716.0)</f>
        <v>45716</v>
      </c>
      <c r="N2751" s="59">
        <f>IFERROR(__xludf.DUMMYFUNCTION("""COMPUTED_VALUE"""),45771.0)</f>
        <v>45771</v>
      </c>
      <c r="O2751" s="69"/>
      <c r="P2751" s="114" t="str">
        <f>IFERROR(__xludf.DUMMYFUNCTION("""COMPUTED_VALUE"""),"可")</f>
        <v>可</v>
      </c>
      <c r="Q2751" s="69"/>
      <c r="R2751" s="152" t="str">
        <f>IFERROR(__xludf.DUMMYFUNCTION("""COMPUTED_VALUE"""),"コミットOK")</f>
        <v>コミットOK</v>
      </c>
      <c r="S2751" s="152" t="str">
        <f>IFERROR(__xludf.DUMMYFUNCTION("""COMPUTED_VALUE"""),"20241223_ナイトコミック_元ヤンママが自らの体で息子二人に施す性教育！")</f>
        <v>20241223_ナイトコミック_元ヤンママが自らの体で息子二人に施す性教育！</v>
      </c>
      <c r="T2751" s="152" t="str">
        <f>IFERROR(__xludf.DUMMYFUNCTION("""COMPUTED_VALUE"""),"格納済み")</f>
        <v>格納済み</v>
      </c>
      <c r="U2751" s="15" t="str">
        <f>IFERROR(__xludf.DUMMYFUNCTION("""COMPUTED_VALUE"""),"Ⓒほよよ")</f>
        <v>Ⓒほよよ</v>
      </c>
      <c r="V2751" s="8" t="str">
        <f>IFERROR(__xludf.DUMMYFUNCTION("""COMPUTED_VALUE"""),"矢島 きみこ（42歳）、元ヤンで二人の息子を持つ母親。未婚のまま独り身で、苦労しながらも、長男は一流企業 次男は一流大学へと二人の息子を立派に育て上げる。ある日リビングで掃除をしていると自分の胸に息子の視線を感じる。「お前母さんの胸を見てただろ！」と詰め寄ると、実は会社でどうも童貞なんじゃないかと疑われバカにされたと言い出す…。女性と付き合えない理由はセックスのやり方がわからず恥をかきたくないからだと言う。「母さんにお願いなんだけどオレにセックスのやり方を教えて！」そう息子に言われた元ヤンママ きみこの取"&amp;"った行動は…？
母親が自らの体で息子達に")</f>
        <v>矢島 きみこ（42歳）、元ヤンで二人の息子を持つ母親。未婚のまま独り身で、苦労しながらも、長男は一流企業 次男は一流大学へと二人の息子を立派に育て上げる。ある日リビングで掃除をしていると自分の胸に息子の視線を感じる。「お前母さんの胸を見てただろ！」と詰め寄ると、実は会社でどうも童貞なんじゃないかと疑われバカにされたと言い出す…。女性と付き合えない理由はセックスのやり方がわからず恥をかきたくないからだと言う。「母さんにお願いなんだけどオレにセックスのやり方を教えて！」そう息子に言われた元ヤンママ きみこの取った行動は…？
母親が自らの体で息子達に</v>
      </c>
      <c r="W2751" s="14"/>
      <c r="X2751" s="14" t="str">
        <f>IFERROR(__xludf.DUMMYFUNCTION("""COMPUTED_VALUE"""),"有")</f>
        <v>有</v>
      </c>
      <c r="Y2751" s="8" t="str">
        <f>IFERROR(__xludf.DUMMYFUNCTION("""COMPUTED_VALUE"""),"3/13まで立ち読み増量
1巻：P18まで
2巻：P9まで")</f>
        <v>3/13まで立ち読み増量
1巻：P18まで
2巻：P9まで</v>
      </c>
      <c r="Z2751" s="7"/>
      <c r="AA2751" s="7"/>
      <c r="AB2751" s="7"/>
    </row>
    <row r="2752" ht="15.75" customHeight="1">
      <c r="A2752" s="153">
        <f>IFERROR(__xludf.DUMMYFUNCTION("""COMPUTED_VALUE"""),4743.0)</f>
        <v>4743</v>
      </c>
      <c r="B2752" s="152" t="str">
        <f>IFERROR(__xludf.DUMMYFUNCTION("""COMPUTED_VALUE"""),"確定")</f>
        <v>確定</v>
      </c>
      <c r="C2752" s="154">
        <f>IFERROR(__xludf.DUMMYFUNCTION("""COMPUTED_VALUE"""),45663.0)</f>
        <v>45663</v>
      </c>
      <c r="D2752" s="154">
        <f>IFERROR(__xludf.DUMMYFUNCTION("""COMPUTED_VALUE"""),45685.0)</f>
        <v>45685</v>
      </c>
      <c r="E2752" s="158">
        <f>IFERROR(__xludf.DUMMYFUNCTION("""COMPUTED_VALUE"""),312636.0)</f>
        <v>312636</v>
      </c>
      <c r="F2752" s="159" t="str">
        <f>IFERROR(__xludf.DUMMYFUNCTION("""COMPUTED_VALUE"""),"泡沫のムジナ")</f>
        <v>泡沫のムジナ</v>
      </c>
      <c r="G2752" s="152" t="str">
        <f>IFERROR(__xludf.DUMMYFUNCTION("""COMPUTED_VALUE"""),"1～6")</f>
        <v>1～6</v>
      </c>
      <c r="H2752" s="152" t="str">
        <f>IFERROR(__xludf.DUMMYFUNCTION("""COMPUTED_VALUE"""),"会田小路ちょこぷでぃんぐ")</f>
        <v>会田小路ちょこぷでぃんぐ</v>
      </c>
      <c r="I2752" s="152" t="str">
        <f>IFERROR(__xludf.DUMMYFUNCTION("""COMPUTED_VALUE"""),"少女")</f>
        <v>少女</v>
      </c>
      <c r="J2752" s="152"/>
      <c r="K2752" s="152" t="str">
        <f>IFERROR(__xludf.DUMMYFUNCTION("""COMPUTED_VALUE"""),"ZERO-SUMコミックス")</f>
        <v>ZERO-SUMコミックス</v>
      </c>
      <c r="L2752" s="152" t="str">
        <f>IFERROR(__xludf.DUMMYFUNCTION("""COMPUTED_VALUE"""),"一迅社")</f>
        <v>一迅社</v>
      </c>
      <c r="M2752" s="59">
        <f>IFERROR(__xludf.DUMMYFUNCTION("""COMPUTED_VALUE"""),45716.0)</f>
        <v>45716</v>
      </c>
      <c r="N2752" s="59">
        <f>IFERROR(__xludf.DUMMYFUNCTION("""COMPUTED_VALUE"""),45743.0)</f>
        <v>45743</v>
      </c>
      <c r="O2752" s="69"/>
      <c r="P2752" s="120" t="str">
        <f>IFERROR(__xludf.DUMMYFUNCTION("""COMPUTED_VALUE"""),"可")</f>
        <v>可</v>
      </c>
      <c r="Q2752" s="69" t="str">
        <f>IFERROR(__xludf.DUMMYFUNCTION("""COMPUTED_VALUE"""),"・こちらから先行のご提案をしたコミット案件です（河上さん確認済み）&lt;BR&gt;・1～4巻は「Comic ZERO-SUM (コミック ゼロサム)」の本誌データをご活用ください。")</f>
        <v>・こちらから先行のご提案をしたコミット案件です（河上さん確認済み）&lt;BR&gt;・1～4巻は「Comic ZERO-SUM (コミック ゼロサム)」の本誌データをご活用ください。</v>
      </c>
      <c r="R2752" s="152" t="str">
        <f>IFERROR(__xludf.DUMMYFUNCTION("""COMPUTED_VALUE"""),"コミットOK")</f>
        <v>コミットOK</v>
      </c>
      <c r="S2752" s="152" t="str">
        <f>IFERROR(__xludf.DUMMYFUNCTION("""COMPUTED_VALUE"""),"20250122_一迅社_泡沫のムジナ")</f>
        <v>20250122_一迅社_泡沫のムジナ</v>
      </c>
      <c r="T2752" s="152" t="str">
        <f>IFERROR(__xludf.DUMMYFUNCTION("""COMPUTED_VALUE"""),"格納済み")</f>
        <v>格納済み</v>
      </c>
      <c r="U2752" s="15" t="str">
        <f>IFERROR(__xludf.DUMMYFUNCTION("""COMPUTED_VALUE"""),"(C)会田小路ちょこぷでぃんぐ／一迅社")</f>
        <v>(C)会田小路ちょこぷでぃんぐ／一迅社</v>
      </c>
      <c r="V2752" s="8" t="str">
        <f>IFERROR(__xludf.DUMMYFUNCTION("""COMPUTED_VALUE"""),"中学2年生の春休み、親に「男性が好き」ということがバレてしまい田舎の祖母の家に預けられることになった緋本は、無死七（むじな）村という辺鄙な村で暮らすことになった。この村には、毎年夏祭りの際に15歳の子供たちを集めて、「村に残るか残らないか」を占うという奇妙な風習があり、緋本も参加してほしいと頼まれるが――…？閉鎖的な村、奇妙な風習、逆らうことのできない定め…因習に翻弄される少年たちの運命とは――！【本商品は単話コンテンツとなります。単行本版と収録内容が異なる場合がございます。漫画内の告知等は過去のものとな"&amp;"りますので、ご注意ください。】")</f>
        <v>中学2年生の春休み、親に「男性が好き」ということがバレてしまい田舎の祖母の家に預けられることになった緋本は、無死七（むじな）村という辺鄙な村で暮らすことになった。この村には、毎年夏祭りの際に15歳の子供たちを集めて、「村に残るか残らないか」を占うという奇妙な風習があり、緋本も参加してほしいと頼まれるが――…？閉鎖的な村、奇妙な風習、逆らうことのできない定め…因習に翻弄される少年たちの運命とは――！【本商品は単話コンテンツとなります。単行本版と収録内容が異なる場合がございます。漫画内の告知等は過去のものとなりますので、ご注意ください。】</v>
      </c>
      <c r="W2752" s="14"/>
      <c r="X2752" s="14" t="str">
        <f>IFERROR(__xludf.DUMMYFUNCTION("""COMPUTED_VALUE"""),"有")</f>
        <v>有</v>
      </c>
      <c r="Y2752" s="8" t="str">
        <f>IFERROR(__xludf.DUMMYFUNCTION("""COMPUTED_VALUE"""),"3/13まで1巻無料")</f>
        <v>3/13まで1巻無料</v>
      </c>
      <c r="Z2752" s="7"/>
      <c r="AA2752" s="7"/>
      <c r="AB2752" s="7"/>
    </row>
    <row r="2753" ht="15.75" customHeight="1">
      <c r="A2753" s="153">
        <f>IFERROR(__xludf.DUMMYFUNCTION("""COMPUTED_VALUE"""),4746.0)</f>
        <v>4746</v>
      </c>
      <c r="B2753" s="152" t="str">
        <f>IFERROR(__xludf.DUMMYFUNCTION("""COMPUTED_VALUE"""),"確定")</f>
        <v>確定</v>
      </c>
      <c r="C2753" s="154">
        <f>IFERROR(__xludf.DUMMYFUNCTION("""COMPUTED_VALUE"""),45663.0)</f>
        <v>45663</v>
      </c>
      <c r="D2753" s="154">
        <f>IFERROR(__xludf.DUMMYFUNCTION("""COMPUTED_VALUE"""),45685.0)</f>
        <v>45685</v>
      </c>
      <c r="E2753" s="158">
        <f>IFERROR(__xludf.DUMMYFUNCTION("""COMPUTED_VALUE"""),315915.0)</f>
        <v>315915</v>
      </c>
      <c r="F2753" s="159" t="str">
        <f>IFERROR(__xludf.DUMMYFUNCTION("""COMPUTED_VALUE"""),"うちのヤンデレな飼い猫ちゃんにメチャクチャに搾られちゃう話")</f>
        <v>うちのヤンデレな飼い猫ちゃんにメチャクチャに搾られちゃう話</v>
      </c>
      <c r="G2753" s="153">
        <f>IFERROR(__xludf.DUMMYFUNCTION("""COMPUTED_VALUE"""),1.0)</f>
        <v>1</v>
      </c>
      <c r="H2753" s="152" t="str">
        <f>IFERROR(__xludf.DUMMYFUNCTION("""COMPUTED_VALUE"""),"KOYUKI屋")</f>
        <v>KOYUKI屋</v>
      </c>
      <c r="I2753" s="164" t="str">
        <f>IFERROR(__xludf.DUMMYFUNCTION("""COMPUTED_VALUE"""),"アダルトマンガ")</f>
        <v>アダルトマンガ</v>
      </c>
      <c r="J2753" s="165"/>
      <c r="K2753" s="166"/>
      <c r="L2753" s="152" t="str">
        <f>IFERROR(__xludf.DUMMYFUNCTION("""COMPUTED_VALUE"""),"ナンバーナイン")</f>
        <v>ナンバーナイン</v>
      </c>
      <c r="M2753" s="59">
        <f>IFERROR(__xludf.DUMMYFUNCTION("""COMPUTED_VALUE"""),45716.0)</f>
        <v>45716</v>
      </c>
      <c r="N2753" s="59">
        <f>IFERROR(__xludf.DUMMYFUNCTION("""COMPUTED_VALUE"""),45775.0)</f>
        <v>45775</v>
      </c>
      <c r="O2753" s="69"/>
      <c r="P2753" s="114" t="str">
        <f>IFERROR(__xludf.DUMMYFUNCTION("""COMPUTED_VALUE"""),"可")</f>
        <v>可</v>
      </c>
      <c r="Q2753" s="69"/>
      <c r="R2753" s="152" t="str">
        <f>IFERROR(__xludf.DUMMYFUNCTION("""COMPUTED_VALUE"""),"コミットNG")</f>
        <v>コミットNG</v>
      </c>
      <c r="S2753" s="152" t="str">
        <f>IFERROR(__xludf.DUMMYFUNCTION("""COMPUTED_VALUE"""),"20250127_ナンバーナイン_うちのヤンデレな飼い猫ちゃんにメチャクチャに搾られちゃう話")</f>
        <v>20250127_ナンバーナイン_うちのヤンデレな飼い猫ちゃんにメチャクチャに搾られちゃう話</v>
      </c>
      <c r="T2753" s="152" t="str">
        <f>IFERROR(__xludf.DUMMYFUNCTION("""COMPUTED_VALUE"""),"格納済み")</f>
        <v>格納済み</v>
      </c>
      <c r="U2753" s="15" t="str">
        <f>IFERROR(__xludf.DUMMYFUNCTION("""COMPUTED_VALUE"""),"(C)KOYUKI屋/ナンバーナイン")</f>
        <v>(C)KOYUKI屋/ナンバーナイン</v>
      </c>
      <c r="V2753" s="8" t="str">
        <f>IFERROR(__xludf.DUMMYFUNCTION("""COMPUTED_VALUE"""),"三年前に拾った飼い猫「ネネ」。
その正体は―
飼い主への愛が止まらない「ヤンデレな化け猫ちゃん」だった。
けど一方の飼い主はネネを大切な家族だと思い距離を保とうとするばかり。
そんなある日、他の女（メス）のにおいをつけて帰宅する飼い主。
痺れを切らしたネネは人間体（猫耳娘）へと変化し
抑えきれなくなった愛欲を飼い主へぶつけようとする。
止まらない彼女の強●交尾（セックス）に
飼い主の理性もついに崩壊し…！！
※ヤンデレがテーマですがライトな内容になっています
■プレイ内容
・フェラ口内射精
・バッ"&amp;"ク中出し
・騎乗位中出し
・パイズリ顔射
・正常位中出し
・駅弁中出し
など")</f>
        <v>三年前に拾った飼い猫「ネネ」。
その正体は―
飼い主への愛が止まらない「ヤンデレな化け猫ちゃん」だった。
けど一方の飼い主はネネを大切な家族だと思い距離を保とうとするばかり。
そんなある日、他の女（メス）のにおいをつけて帰宅する飼い主。
痺れを切らしたネネは人間体（猫耳娘）へと変化し
抑えきれなくなった愛欲を飼い主へぶつけようとする。
止まらない彼女の強●交尾（セックス）に
飼い主の理性もついに崩壊し…！！
※ヤンデレがテーマですがライトな内容になっています
■プレイ内容
・フェラ口内射精
・バック中出し
・騎乗位中出し
・パイズリ顔射
・正常位中出し
・駅弁中出し
など</v>
      </c>
      <c r="W2753" s="14"/>
      <c r="X2753" s="14" t="str">
        <f>IFERROR(__xludf.DUMMYFUNCTION("""COMPUTED_VALUE"""),"有")</f>
        <v>有</v>
      </c>
      <c r="Y2753" s="8" t="str">
        <f>IFERROR(__xludf.DUMMYFUNCTION("""COMPUTED_VALUE"""),"P15まで")</f>
        <v>P15まで</v>
      </c>
      <c r="Z2753" s="7"/>
      <c r="AA2753" s="7"/>
      <c r="AB2753" s="7"/>
    </row>
    <row r="2754" ht="15.75" customHeight="1">
      <c r="A2754" s="153">
        <f>IFERROR(__xludf.DUMMYFUNCTION("""COMPUTED_VALUE"""),4747.0)</f>
        <v>4747</v>
      </c>
      <c r="B2754" s="152" t="str">
        <f>IFERROR(__xludf.DUMMYFUNCTION("""COMPUTED_VALUE"""),"確定")</f>
        <v>確定</v>
      </c>
      <c r="C2754" s="154">
        <f>IFERROR(__xludf.DUMMYFUNCTION("""COMPUTED_VALUE"""),45663.0)</f>
        <v>45663</v>
      </c>
      <c r="D2754" s="154">
        <f>IFERROR(__xludf.DUMMYFUNCTION("""COMPUTED_VALUE"""),45685.0)</f>
        <v>45685</v>
      </c>
      <c r="E2754" s="158">
        <f>IFERROR(__xludf.DUMMYFUNCTION("""COMPUTED_VALUE"""),315887.0)</f>
        <v>315887</v>
      </c>
      <c r="F2754" s="159" t="str">
        <f>IFERROR(__xludf.DUMMYFUNCTION("""COMPUTED_VALUE"""),"【白抜き修正版】うちのヤンデレな飼い猫ちゃんにメチャクチャに搾られちゃう話")</f>
        <v>【白抜き修正版】うちのヤンデレな飼い猫ちゃんにメチャクチャに搾られちゃう話</v>
      </c>
      <c r="G2754" s="153">
        <f>IFERROR(__xludf.DUMMYFUNCTION("""COMPUTED_VALUE"""),1.0)</f>
        <v>1</v>
      </c>
      <c r="H2754" s="152" t="str">
        <f>IFERROR(__xludf.DUMMYFUNCTION("""COMPUTED_VALUE"""),"KOYUKI屋")</f>
        <v>KOYUKI屋</v>
      </c>
      <c r="I2754" s="164" t="str">
        <f>IFERROR(__xludf.DUMMYFUNCTION("""COMPUTED_VALUE"""),"アダルトマンガ")</f>
        <v>アダルトマンガ</v>
      </c>
      <c r="J2754" s="165"/>
      <c r="K2754" s="166"/>
      <c r="L2754" s="152" t="str">
        <f>IFERROR(__xludf.DUMMYFUNCTION("""COMPUTED_VALUE"""),"ナンバーナイン")</f>
        <v>ナンバーナイン</v>
      </c>
      <c r="M2754" s="59">
        <f>IFERROR(__xludf.DUMMYFUNCTION("""COMPUTED_VALUE"""),45716.0)</f>
        <v>45716</v>
      </c>
      <c r="N2754" s="59">
        <f>IFERROR(__xludf.DUMMYFUNCTION("""COMPUTED_VALUE"""),45775.0)</f>
        <v>45775</v>
      </c>
      <c r="O2754" s="69"/>
      <c r="P2754" s="114" t="str">
        <f>IFERROR(__xludf.DUMMYFUNCTION("""COMPUTED_VALUE"""),"可")</f>
        <v>可</v>
      </c>
      <c r="Q2754" s="69"/>
      <c r="R2754" s="152" t="str">
        <f>IFERROR(__xludf.DUMMYFUNCTION("""COMPUTED_VALUE"""),"コミットOK")</f>
        <v>コミットOK</v>
      </c>
      <c r="S2754" s="152" t="str">
        <f>IFERROR(__xludf.DUMMYFUNCTION("""COMPUTED_VALUE"""),"20250127_ナンバーナイン_【白抜き修正版】うちのヤンデレな飼い猫ちゃんにメチャクチャに搾られちゃう話")</f>
        <v>20250127_ナンバーナイン_【白抜き修正版】うちのヤンデレな飼い猫ちゃんにメチャクチャに搾られちゃう話</v>
      </c>
      <c r="T2754" s="152" t="str">
        <f>IFERROR(__xludf.DUMMYFUNCTION("""COMPUTED_VALUE"""),"格納済み")</f>
        <v>格納済み</v>
      </c>
      <c r="U2754" s="15" t="str">
        <f>IFERROR(__xludf.DUMMYFUNCTION("""COMPUTED_VALUE"""),"(C)KOYUKI屋/ナンバーナイン")</f>
        <v>(C)KOYUKI屋/ナンバーナイン</v>
      </c>
      <c r="V2754" s="8" t="str">
        <f>IFERROR(__xludf.DUMMYFUNCTION("""COMPUTED_VALUE"""),"三年前に拾った飼い猫「ネネ」。
その正体は―
飼い主への愛が止まらない「ヤンデレな化け猫ちゃん」だった。
けど一方の飼い主はネネを大切な家族だと思い距離を保とうとするばかり。
そんなある日、他の女（メス）のにおいをつけて帰宅する飼い主。
痺れを切らしたネネは人間体（猫耳娘）へと変化し
抑えきれなくなった愛欲を飼い主へぶつけようとする。
止まらない彼女の強●交尾（セックス）に
飼い主の理性もついに崩壊し…！！
※ヤンデレがテーマですがライトな内容になっています
■プレイ内容
・フェラ口内射精
・バッ"&amp;"ク中出し
・騎乗位中出し
・パイズリ顔射
・正常位中出し
・駅弁中出し
など
※こちらは白抜き修正版です。")</f>
        <v>三年前に拾った飼い猫「ネネ」。
その正体は―
飼い主への愛が止まらない「ヤンデレな化け猫ちゃん」だった。
けど一方の飼い主はネネを大切な家族だと思い距離を保とうとするばかり。
そんなある日、他の女（メス）のにおいをつけて帰宅する飼い主。
痺れを切らしたネネは人間体（猫耳娘）へと変化し
抑えきれなくなった愛欲を飼い主へぶつけようとする。
止まらない彼女の強●交尾（セックス）に
飼い主の理性もついに崩壊し…！！
※ヤンデレがテーマですがライトな内容になっています
■プレイ内容
・フェラ口内射精
・バック中出し
・騎乗位中出し
・パイズリ顔射
・正常位中出し
・駅弁中出し
など
※こちらは白抜き修正版です。</v>
      </c>
      <c r="W2754" s="14"/>
      <c r="X2754" s="14" t="str">
        <f>IFERROR(__xludf.DUMMYFUNCTION("""COMPUTED_VALUE"""),"有")</f>
        <v>有</v>
      </c>
      <c r="Y2754" s="8" t="str">
        <f>IFERROR(__xludf.DUMMYFUNCTION("""COMPUTED_VALUE"""),"P15まで")</f>
        <v>P15まで</v>
      </c>
      <c r="Z2754" s="7"/>
      <c r="AA2754" s="7"/>
      <c r="AB2754" s="7"/>
    </row>
    <row r="2755" ht="15.75" customHeight="1">
      <c r="A2755" s="153">
        <f>IFERROR(__xludf.DUMMYFUNCTION("""COMPUTED_VALUE"""),4748.0)</f>
        <v>4748</v>
      </c>
      <c r="B2755" s="152" t="str">
        <f>IFERROR(__xludf.DUMMYFUNCTION("""COMPUTED_VALUE"""),"確定")</f>
        <v>確定</v>
      </c>
      <c r="C2755" s="154">
        <f>IFERROR(__xludf.DUMMYFUNCTION("""COMPUTED_VALUE"""),45663.0)</f>
        <v>45663</v>
      </c>
      <c r="D2755" s="154">
        <f>IFERROR(__xludf.DUMMYFUNCTION("""COMPUTED_VALUE"""),45685.0)</f>
        <v>45685</v>
      </c>
      <c r="E2755" s="158">
        <f>IFERROR(__xludf.DUMMYFUNCTION("""COMPUTED_VALUE"""),315888.0)</f>
        <v>315888</v>
      </c>
      <c r="F2755" s="159" t="str">
        <f>IFERROR(__xludf.DUMMYFUNCTION("""COMPUTED_VALUE"""),"健全ラブコメ漫画で省かれがちなHシーンがっつり描いたらこうなった")</f>
        <v>健全ラブコメ漫画で省かれがちなHシーンがっつり描いたらこうなった</v>
      </c>
      <c r="G2755" s="153">
        <f>IFERROR(__xludf.DUMMYFUNCTION("""COMPUTED_VALUE"""),1.0)</f>
        <v>1</v>
      </c>
      <c r="H2755" s="152" t="str">
        <f>IFERROR(__xludf.DUMMYFUNCTION("""COMPUTED_VALUE"""),"焼きリコピン")</f>
        <v>焼きリコピン</v>
      </c>
      <c r="I2755" s="164" t="str">
        <f>IFERROR(__xludf.DUMMYFUNCTION("""COMPUTED_VALUE"""),"アダルトマンガ")</f>
        <v>アダルトマンガ</v>
      </c>
      <c r="J2755" s="165"/>
      <c r="K2755" s="166"/>
      <c r="L2755" s="152" t="str">
        <f>IFERROR(__xludf.DUMMYFUNCTION("""COMPUTED_VALUE"""),"ナンバーナイン")</f>
        <v>ナンバーナイン</v>
      </c>
      <c r="M2755" s="59">
        <f>IFERROR(__xludf.DUMMYFUNCTION("""COMPUTED_VALUE"""),45716.0)</f>
        <v>45716</v>
      </c>
      <c r="N2755" s="59">
        <f>IFERROR(__xludf.DUMMYFUNCTION("""COMPUTED_VALUE"""),45775.0)</f>
        <v>45775</v>
      </c>
      <c r="O2755" s="69"/>
      <c r="P2755" s="114" t="str">
        <f>IFERROR(__xludf.DUMMYFUNCTION("""COMPUTED_VALUE"""),"可")</f>
        <v>可</v>
      </c>
      <c r="Q2755" s="69"/>
      <c r="R2755" s="152" t="str">
        <f>IFERROR(__xludf.DUMMYFUNCTION("""COMPUTED_VALUE"""),"コミットNG")</f>
        <v>コミットNG</v>
      </c>
      <c r="S2755" s="152" t="str">
        <f>IFERROR(__xludf.DUMMYFUNCTION("""COMPUTED_VALUE"""),"20250127_ナンバーナイン_健全ラブコメ漫画で省かれがちなHシーンがっつり描いたらこうなった")</f>
        <v>20250127_ナンバーナイン_健全ラブコメ漫画で省かれがちなHシーンがっつり描いたらこうなった</v>
      </c>
      <c r="T2755" s="152" t="str">
        <f>IFERROR(__xludf.DUMMYFUNCTION("""COMPUTED_VALUE"""),"格納済み")</f>
        <v>格納済み</v>
      </c>
      <c r="U2755" s="15" t="str">
        <f>IFERROR(__xludf.DUMMYFUNCTION("""COMPUTED_VALUE"""),"(C)焼きリコピン/ナンバーナイン")</f>
        <v>(C)焼きリコピン/ナンバーナイン</v>
      </c>
      <c r="V2755" s="8" t="str">
        <f>IFERROR(__xludf.DUMMYFUNCTION("""COMPUTED_VALUE"""),"ツンデレ×健気な彼女と迎えた”ハジメテ”の1日、潤んだ瞳に思考が蕩ていくー。
転校先で出会った裕（ゆう）ちゃんとめでたく交際がスタートした主人公・圭太（けいた）は、
暴走気味の彼女に招かれた自宅でついに一線を超える事になる。
なんとかリードしようとするも緊張でガチガチの裕ちゃんに、圭太の劣情はヒートアップしていきー？
純愛イチャイチャ要素はそのまま、色白巨乳な裕ちゃんを優しく責めまくる怒涛の98P！
お互いが大好きでたまらない、付き合いたて高校生カップルの甘酸っぱい初Hに刮目せよ"&amp;"！！")</f>
        <v>ツンデレ×健気な彼女と迎えた”ハジメテ”の1日、潤んだ瞳に思考が蕩ていくー。
転校先で出会った裕（ゆう）ちゃんとめでたく交際がスタートした主人公・圭太（けいた）は、
暴走気味の彼女に招かれた自宅でついに一線を超える事になる。
なんとかリードしようとするも緊張でガチガチの裕ちゃんに、圭太の劣情はヒートアップしていきー？
純愛イチャイチャ要素はそのまま、色白巨乳な裕ちゃんを優しく責めまくる怒涛の98P！
お互いが大好きでたまらない、付き合いたて高校生カップルの甘酸っぱい初Hに刮目せよ！！</v>
      </c>
      <c r="W2755" s="14"/>
      <c r="X2755" s="14" t="str">
        <f>IFERROR(__xludf.DUMMYFUNCTION("""COMPUTED_VALUE"""),"有")</f>
        <v>有</v>
      </c>
      <c r="Y2755" s="8" t="str">
        <f>IFERROR(__xludf.DUMMYFUNCTION("""COMPUTED_VALUE"""),"P15まで")</f>
        <v>P15まで</v>
      </c>
      <c r="Z2755" s="7"/>
      <c r="AA2755" s="7"/>
      <c r="AB2755" s="7"/>
    </row>
    <row r="2756" ht="15.75" customHeight="1">
      <c r="A2756" s="153">
        <f>IFERROR(__xludf.DUMMYFUNCTION("""COMPUTED_VALUE"""),4768.0)</f>
        <v>4768</v>
      </c>
      <c r="B2756" s="152" t="str">
        <f>IFERROR(__xludf.DUMMYFUNCTION("""COMPUTED_VALUE"""),"確定")</f>
        <v>確定</v>
      </c>
      <c r="C2756" s="154">
        <f>IFERROR(__xludf.DUMMYFUNCTION("""COMPUTED_VALUE"""),45665.0)</f>
        <v>45665</v>
      </c>
      <c r="D2756" s="154">
        <f>IFERROR(__xludf.DUMMYFUNCTION("""COMPUTED_VALUE"""),45685.0)</f>
        <v>45685</v>
      </c>
      <c r="E2756" s="155">
        <f>IFERROR(__xludf.DUMMYFUNCTION("""COMPUTED_VALUE"""),314414.0)</f>
        <v>314414</v>
      </c>
      <c r="F2756" s="156" t="str">
        <f>IFERROR(__xludf.DUMMYFUNCTION("""COMPUTED_VALUE"""),"世話焼き淫魔に満たされたい～とろけるセックス三食付き～【TL版】")</f>
        <v>世話焼き淫魔に満たされたい～とろけるセックス三食付き～【TL版】</v>
      </c>
      <c r="G2756" s="152" t="str">
        <f>IFERROR(__xludf.DUMMYFUNCTION("""COMPUTED_VALUE"""),"1～3")</f>
        <v>1～3</v>
      </c>
      <c r="H2756" s="152" t="str">
        <f>IFERROR(__xludf.DUMMYFUNCTION("""COMPUTED_VALUE"""),"粉織,ロティス編集部")</f>
        <v>粉織,ロティス編集部</v>
      </c>
      <c r="I2756" s="152" t="str">
        <f>IFERROR(__xludf.DUMMYFUNCTION("""COMPUTED_VALUE"""),"TL")</f>
        <v>TL</v>
      </c>
      <c r="J2756" s="152"/>
      <c r="K2756" s="152" t="str">
        <f>IFERROR(__xludf.DUMMYFUNCTION("""COMPUTED_VALUE"""),"ズレット！")</f>
        <v>ズレット！</v>
      </c>
      <c r="L2756" s="152" t="str">
        <f>IFERROR(__xludf.DUMMYFUNCTION("""COMPUTED_VALUE"""),"ライブコミックス")</f>
        <v>ライブコミックス</v>
      </c>
      <c r="M2756" s="59">
        <f>IFERROR(__xludf.DUMMYFUNCTION("""COMPUTED_VALUE"""),45709.0)</f>
        <v>45709</v>
      </c>
      <c r="N2756" s="59">
        <f>IFERROR(__xludf.DUMMYFUNCTION("""COMPUTED_VALUE"""),45778.0)</f>
        <v>45778</v>
      </c>
      <c r="O2756" s="69"/>
      <c r="P2756" s="120" t="str">
        <f>IFERROR(__xludf.DUMMYFUNCTION("""COMPUTED_VALUE"""),"可")</f>
        <v>可</v>
      </c>
      <c r="Q2756" s="69" t="str">
        <f>IFERROR(__xludf.DUMMYFUNCTION("""COMPUTED_VALUE"""),"書店BookLiveとの2社先行です。&lt;BR&gt;2巻までの素材にてご制作をお願いします。")</f>
        <v>書店BookLiveとの2社先行です。&lt;BR&gt;2巻までの素材にてご制作をお願いします。</v>
      </c>
      <c r="R2756" s="152" t="str">
        <f>IFERROR(__xludf.DUMMYFUNCTION("""COMPUTED_VALUE"""),"コミットOK")</f>
        <v>コミットOK</v>
      </c>
      <c r="S2756" s="152" t="str">
        <f>IFERROR(__xludf.DUMMYFUNCTION("""COMPUTED_VALUE"""),"20250122_BookLive_世話焼き淫魔に満たされたい～とろけるセックス三食付き～【TL版】")</f>
        <v>20250122_BookLive_世話焼き淫魔に満たされたい～とろけるセックス三食付き～【TL版】</v>
      </c>
      <c r="T2756" s="152" t="str">
        <f>IFERROR(__xludf.DUMMYFUNCTION("""COMPUTED_VALUE"""),"格納済み")</f>
        <v>格納済み</v>
      </c>
      <c r="U2756" s="15" t="str">
        <f>IFERROR(__xludf.DUMMYFUNCTION("""COMPUTED_VALUE"""),"Ⓒ粉織/ライブコミックス")</f>
        <v>Ⓒ粉織/ライブコミックス</v>
      </c>
      <c r="V2756" s="8" t="str">
        <f>IFERROR(__xludf.DUMMYFUNCTION("""COMPUTED_VALUE"""),"性欲強めの社畜OL、清水 雪。疲労のあまり職場がブラックだろうが転職する気力もなく、ヤリモクで会う勇気もなく、ひたすら妄想して自分を慰める日々…。ある日、いつものようにムラムラを解消して寝ていると、夢うつつのなか淫魔を名乗る顔の良い男が現れて…!?※本作は、KATTS『世話焼き淫魔に満たされたい～とろけるセックス三食付き～ （１）【R版】』と修正は異なりますが、内容に差異はございません。重複購入にご注意ください。")</f>
        <v>性欲強めの社畜OL、清水 雪。疲労のあまり職場がブラックだろうが転職する気力もなく、ヤリモクで会う勇気もなく、ひたすら妄想して自分を慰める日々…。ある日、いつものようにムラムラを解消して寝ていると、夢うつつのなか淫魔を名乗る顔の良い男が現れて…!?※本作は、KATTS『世話焼き淫魔に満たされたい～とろけるセックス三食付き～ （１）【R版】』と修正は異なりますが、内容に差異はございません。重複購入にご注意ください。</v>
      </c>
      <c r="W2756" s="14"/>
      <c r="X2756" s="14" t="str">
        <f>IFERROR(__xludf.DUMMYFUNCTION("""COMPUTED_VALUE"""),"有")</f>
        <v>有</v>
      </c>
      <c r="Y2756" s="8" t="str">
        <f>IFERROR(__xludf.DUMMYFUNCTION("""COMPUTED_VALUE"""),"2025/5/1まで1巻無料")</f>
        <v>2025/5/1まで1巻無料</v>
      </c>
      <c r="Z2756" s="7"/>
      <c r="AA2756" s="7"/>
      <c r="AB2756" s="7"/>
    </row>
    <row r="2757" ht="15.75" customHeight="1">
      <c r="A2757" s="153">
        <f>IFERROR(__xludf.DUMMYFUNCTION("""COMPUTED_VALUE"""),4769.0)</f>
        <v>4769</v>
      </c>
      <c r="B2757" s="152" t="str">
        <f>IFERROR(__xludf.DUMMYFUNCTION("""COMPUTED_VALUE"""),"確定")</f>
        <v>確定</v>
      </c>
      <c r="C2757" s="154">
        <f>IFERROR(__xludf.DUMMYFUNCTION("""COMPUTED_VALUE"""),45665.0)</f>
        <v>45665</v>
      </c>
      <c r="D2757" s="154">
        <f>IFERROR(__xludf.DUMMYFUNCTION("""COMPUTED_VALUE"""),45685.0)</f>
        <v>45685</v>
      </c>
      <c r="E2757" s="155">
        <f>IFERROR(__xludf.DUMMYFUNCTION("""COMPUTED_VALUE"""),314601.0)</f>
        <v>314601</v>
      </c>
      <c r="F2757" s="156" t="str">
        <f>IFERROR(__xludf.DUMMYFUNCTION("""COMPUTED_VALUE"""),"世話焼き淫魔に満たされたい～とろけるセックス三食付き～【R版】")</f>
        <v>世話焼き淫魔に満たされたい～とろけるセックス三食付き～【R版】</v>
      </c>
      <c r="G2757" s="152" t="str">
        <f>IFERROR(__xludf.DUMMYFUNCTION("""COMPUTED_VALUE"""),"1～3")</f>
        <v>1～3</v>
      </c>
      <c r="H2757" s="152" t="str">
        <f>IFERROR(__xludf.DUMMYFUNCTION("""COMPUTED_VALUE"""),"穴乱,粉織,ロティス編集部")</f>
        <v>穴乱,粉織,ロティス編集部</v>
      </c>
      <c r="I2757" s="164" t="str">
        <f>IFERROR(__xludf.DUMMYFUNCTION("""COMPUTED_VALUE"""),"アダルトマンガ")</f>
        <v>アダルトマンガ</v>
      </c>
      <c r="J2757" s="165"/>
      <c r="K2757" s="166"/>
      <c r="L2757" s="152" t="str">
        <f>IFERROR(__xludf.DUMMYFUNCTION("""COMPUTED_VALUE"""),"KATTS")</f>
        <v>KATTS</v>
      </c>
      <c r="M2757" s="59">
        <f>IFERROR(__xludf.DUMMYFUNCTION("""COMPUTED_VALUE"""),45709.0)</f>
        <v>45709</v>
      </c>
      <c r="N2757" s="59">
        <f>IFERROR(__xludf.DUMMYFUNCTION("""COMPUTED_VALUE"""),45778.0)</f>
        <v>45778</v>
      </c>
      <c r="O2757" s="69"/>
      <c r="P2757" s="120" t="str">
        <f>IFERROR(__xludf.DUMMYFUNCTION("""COMPUTED_VALUE"""),"可")</f>
        <v>可</v>
      </c>
      <c r="Q2757" s="69" t="str">
        <f>IFERROR(__xludf.DUMMYFUNCTION("""COMPUTED_VALUE"""),"BookLiveとの2社先行です。&lt;BR&gt;2巻までの素材にてご制作をお願いします。")</f>
        <v>BookLiveとの2社先行です。&lt;BR&gt;2巻までの素材にてご制作をお願いします。</v>
      </c>
      <c r="R2757" s="152" t="str">
        <f>IFERROR(__xludf.DUMMYFUNCTION("""COMPUTED_VALUE"""),"コミットOK")</f>
        <v>コミットOK</v>
      </c>
      <c r="S2757" s="152" t="str">
        <f>IFERROR(__xludf.DUMMYFUNCTION("""COMPUTED_VALUE"""),"20250122_BookLive_世話焼き淫魔に満たされたい～とろけるセックス三食付き～【R版】")</f>
        <v>20250122_BookLive_世話焼き淫魔に満たされたい～とろけるセックス三食付き～【R版】</v>
      </c>
      <c r="T2757" s="152" t="str">
        <f>IFERROR(__xludf.DUMMYFUNCTION("""COMPUTED_VALUE"""),"格納済み")</f>
        <v>格納済み</v>
      </c>
      <c r="U2757" s="15" t="str">
        <f>IFERROR(__xludf.DUMMYFUNCTION("""COMPUTED_VALUE"""),"Ⓒ粉織/KATTS")</f>
        <v>Ⓒ粉織/KATTS</v>
      </c>
      <c r="V2757" s="8" t="str">
        <f>IFERROR(__xludf.DUMMYFUNCTION("""COMPUTED_VALUE"""),"性欲強めの社畜OL、清水 雪。疲労のあまり職場がブラックだろうが転職する気力もなく、ヤリモクで会う勇気もなく、ひたすら妄想してオナニーする日々…。ある日、いつものようにムラムラを解消して寝ていると、夢うつつのなか淫魔を名乗る男が現れて…!?焦らされまくりの淫紋セックス…！※本作は、ズレット！『世話焼き淫魔に満たされたい～とろけるセックス三食付き～ （１）【TL版】』の修正をやや弱めたものです。内容に差異はありませんので、重複購入にご注意ください。")</f>
        <v>性欲強めの社畜OL、清水 雪。疲労のあまり職場がブラックだろうが転職する気力もなく、ヤリモクで会う勇気もなく、ひたすら妄想してオナニーする日々…。ある日、いつものようにムラムラを解消して寝ていると、夢うつつのなか淫魔を名乗る男が現れて…!?焦らされまくりの淫紋セックス…！※本作は、ズレット！『世話焼き淫魔に満たされたい～とろけるセックス三食付き～ （１）【TL版】』の修正をやや弱めたものです。内容に差異はありませんので、重複購入にご注意ください。</v>
      </c>
      <c r="W2757" s="14"/>
      <c r="X2757" s="14" t="str">
        <f>IFERROR(__xludf.DUMMYFUNCTION("""COMPUTED_VALUE"""),"有")</f>
        <v>有</v>
      </c>
      <c r="Y2757" s="8" t="str">
        <f>IFERROR(__xludf.DUMMYFUNCTION("""COMPUTED_VALUE"""),"2025/5/1まで1巻無料")</f>
        <v>2025/5/1まで1巻無料</v>
      </c>
      <c r="Z2757" s="7"/>
      <c r="AA2757" s="7"/>
      <c r="AB2757" s="7"/>
    </row>
    <row r="2758" ht="15.75" customHeight="1">
      <c r="A2758" s="153">
        <f>IFERROR(__xludf.DUMMYFUNCTION("""COMPUTED_VALUE"""),4800.0)</f>
        <v>4800</v>
      </c>
      <c r="B2758" s="152" t="str">
        <f>IFERROR(__xludf.DUMMYFUNCTION("""COMPUTED_VALUE"""),"確定")</f>
        <v>確定</v>
      </c>
      <c r="C2758" s="154">
        <f>IFERROR(__xludf.DUMMYFUNCTION("""COMPUTED_VALUE"""),45671.0)</f>
        <v>45671</v>
      </c>
      <c r="D2758" s="154">
        <f>IFERROR(__xludf.DUMMYFUNCTION("""COMPUTED_VALUE"""),45685.0)</f>
        <v>45685</v>
      </c>
      <c r="E2758" s="158">
        <f>IFERROR(__xludf.DUMMYFUNCTION("""COMPUTED_VALUE"""),315435.0)</f>
        <v>315435</v>
      </c>
      <c r="F2758" s="159" t="str">
        <f>IFERROR(__xludf.DUMMYFUNCTION("""COMPUTED_VALUE"""),"悪役令嬢の汚名を着せられ娼館に飛ばされたので、前世でキャバ嬢だった知識を活かして成り上がります！")</f>
        <v>悪役令嬢の汚名を着せられ娼館に飛ばされたので、前世でキャバ嬢だった知識を活かして成り上がります！</v>
      </c>
      <c r="G2758" s="153">
        <f>IFERROR(__xludf.DUMMYFUNCTION("""COMPUTED_VALUE"""),1.0)</f>
        <v>1</v>
      </c>
      <c r="H2758" s="152" t="str">
        <f>IFERROR(__xludf.DUMMYFUNCTION("""COMPUTED_VALUE"""),"村西てんが")</f>
        <v>村西てんが</v>
      </c>
      <c r="I2758" s="152" t="str">
        <f>IFERROR(__xludf.DUMMYFUNCTION("""COMPUTED_VALUE"""),"少女マンガ")</f>
        <v>少女マンガ</v>
      </c>
      <c r="J2758" s="157"/>
      <c r="K2758" s="157"/>
      <c r="L2758" s="152" t="str">
        <f>IFERROR(__xludf.DUMMYFUNCTION("""COMPUTED_VALUE"""),"マッグガーデン")</f>
        <v>マッグガーデン</v>
      </c>
      <c r="M2758" s="59">
        <f>IFERROR(__xludf.DUMMYFUNCTION("""COMPUTED_VALUE"""),45717.0)</f>
        <v>45717</v>
      </c>
      <c r="N2758" s="59">
        <f>IFERROR(__xludf.DUMMYFUNCTION("""COMPUTED_VALUE"""),45807.0)</f>
        <v>45807</v>
      </c>
      <c r="O2758" s="69"/>
      <c r="P2758" s="120" t="str">
        <f>IFERROR(__xludf.DUMMYFUNCTION("""COMPUTED_VALUE"""),"可")</f>
        <v>可</v>
      </c>
      <c r="Q2758" s="69" t="str">
        <f>IFERROR(__xludf.DUMMYFUNCTION("""COMPUTED_VALUE"""),"※アンソロジーのばら売りです&lt;BR&gt;4/15(火)には他書店含めアンソロジー単行本版の配信が解禁となります。")</f>
        <v>※アンソロジーのばら売りです&lt;BR&gt;4/15(火)には他書店含めアンソロジー単行本版の配信が解禁となります。</v>
      </c>
      <c r="R2758" s="152" t="str">
        <f>IFERROR(__xludf.DUMMYFUNCTION("""COMPUTED_VALUE"""),"コミットNG")</f>
        <v>コミットNG</v>
      </c>
      <c r="S2758" s="152" t="str">
        <f>IFERROR(__xludf.DUMMYFUNCTION("""COMPUTED_VALUE"""),"20250127_マッグガーデン_悪役令嬢の汚名を着せられ娼館に飛ばされたので、前世でキャバ嬢だった知識を活かして成り上がります！")</f>
        <v>20250127_マッグガーデン_悪役令嬢の汚名を着せられ娼館に飛ばされたので、前世でキャバ嬢だった知識を活かして成り上がります！</v>
      </c>
      <c r="T2758" s="152" t="str">
        <f>IFERROR(__xludf.DUMMYFUNCTION("""COMPUTED_VALUE"""),"格納済み")</f>
        <v>格納済み</v>
      </c>
      <c r="U2758" s="15" t="str">
        <f>IFERROR(__xludf.DUMMYFUNCTION("""COMPUTED_VALUE"""),"Ⓒ村西てんが/MAG Garden")</f>
        <v>Ⓒ村西てんが/MAG Garden</v>
      </c>
      <c r="V2758" s="8" t="str">
        <f>IFERROR(__xludf.DUMMYFUNCTION("""COMPUTED_VALUE"""),"悪役令嬢に転生したキャバ嬢が夜の知識で成り上がる!?※この作品は『訳アリ悪役令嬢たちが幸せな溺愛生活を掴むまで アンソロジーコミック 3巻』に収録されている同タイトルを、同一の内容にて分冊版として再編集したものです。")</f>
        <v>悪役令嬢に転生したキャバ嬢が夜の知識で成り上がる!?※この作品は『訳アリ悪役令嬢たちが幸せな溺愛生活を掴むまで アンソロジーコミック 3巻』に収録されている同タイトルを、同一の内容にて分冊版として再編集したものです。</v>
      </c>
      <c r="W2758" s="14"/>
      <c r="X2758" s="14" t="str">
        <f>IFERROR(__xludf.DUMMYFUNCTION("""COMPUTED_VALUE"""),"有")</f>
        <v>有</v>
      </c>
      <c r="Y2758" s="8" t="str">
        <f>IFERROR(__xludf.DUMMYFUNCTION("""COMPUTED_VALUE"""),"P6まで")</f>
        <v>P6まで</v>
      </c>
      <c r="Z2758" s="7"/>
      <c r="AA2758" s="7"/>
      <c r="AB2758" s="7"/>
    </row>
    <row r="2759" ht="15.75" customHeight="1">
      <c r="A2759" s="153">
        <f>IFERROR(__xludf.DUMMYFUNCTION("""COMPUTED_VALUE"""),4802.0)</f>
        <v>4802</v>
      </c>
      <c r="B2759" s="152" t="str">
        <f>IFERROR(__xludf.DUMMYFUNCTION("""COMPUTED_VALUE"""),"確定")</f>
        <v>確定</v>
      </c>
      <c r="C2759" s="154">
        <f>IFERROR(__xludf.DUMMYFUNCTION("""COMPUTED_VALUE"""),45671.0)</f>
        <v>45671</v>
      </c>
      <c r="D2759" s="154">
        <f>IFERROR(__xludf.DUMMYFUNCTION("""COMPUTED_VALUE"""),45685.0)</f>
        <v>45685</v>
      </c>
      <c r="E2759" s="158">
        <f>IFERROR(__xludf.DUMMYFUNCTION("""COMPUTED_VALUE"""),315437.0)</f>
        <v>315437</v>
      </c>
      <c r="F2759" s="159" t="str">
        <f>IFERROR(__xludf.DUMMYFUNCTION("""COMPUTED_VALUE"""),"悪役令嬢として荒野に追放されたので、モンスターを狩ってたくましく暮らします！")</f>
        <v>悪役令嬢として荒野に追放されたので、モンスターを狩ってたくましく暮らします！</v>
      </c>
      <c r="G2759" s="153">
        <f>IFERROR(__xludf.DUMMYFUNCTION("""COMPUTED_VALUE"""),1.0)</f>
        <v>1</v>
      </c>
      <c r="H2759" s="152" t="str">
        <f>IFERROR(__xludf.DUMMYFUNCTION("""COMPUTED_VALUE"""),"梶宮サイ")</f>
        <v>梶宮サイ</v>
      </c>
      <c r="I2759" s="152" t="str">
        <f>IFERROR(__xludf.DUMMYFUNCTION("""COMPUTED_VALUE"""),"少女マンガ")</f>
        <v>少女マンガ</v>
      </c>
      <c r="J2759" s="157"/>
      <c r="K2759" s="157"/>
      <c r="L2759" s="152" t="str">
        <f>IFERROR(__xludf.DUMMYFUNCTION("""COMPUTED_VALUE"""),"マッグガーデン")</f>
        <v>マッグガーデン</v>
      </c>
      <c r="M2759" s="59">
        <f>IFERROR(__xludf.DUMMYFUNCTION("""COMPUTED_VALUE"""),45717.0)</f>
        <v>45717</v>
      </c>
      <c r="N2759" s="59">
        <f>IFERROR(__xludf.DUMMYFUNCTION("""COMPUTED_VALUE"""),45807.0)</f>
        <v>45807</v>
      </c>
      <c r="O2759" s="69"/>
      <c r="P2759" s="120" t="str">
        <f>IFERROR(__xludf.DUMMYFUNCTION("""COMPUTED_VALUE"""),"可")</f>
        <v>可</v>
      </c>
      <c r="Q2759" s="69" t="str">
        <f>IFERROR(__xludf.DUMMYFUNCTION("""COMPUTED_VALUE"""),"※アンソロジーのばら売りです&lt;BR&gt;4/15(火)には他書店含めアンソロジー単行本版の配信が解禁となります。")</f>
        <v>※アンソロジーのばら売りです&lt;BR&gt;4/15(火)には他書店含めアンソロジー単行本版の配信が解禁となります。</v>
      </c>
      <c r="R2759" s="152" t="str">
        <f>IFERROR(__xludf.DUMMYFUNCTION("""COMPUTED_VALUE"""),"コミットNG")</f>
        <v>コミットNG</v>
      </c>
      <c r="S2759" s="152" t="str">
        <f>IFERROR(__xludf.DUMMYFUNCTION("""COMPUTED_VALUE"""),"20250127_マッグガーデン_悪役令嬢として荒野に追放されたので、モンスターを狩ってたくましく暮らします！")</f>
        <v>20250127_マッグガーデン_悪役令嬢として荒野に追放されたので、モンスターを狩ってたくましく暮らします！</v>
      </c>
      <c r="T2759" s="152" t="str">
        <f>IFERROR(__xludf.DUMMYFUNCTION("""COMPUTED_VALUE"""),"格納済み")</f>
        <v>格納済み</v>
      </c>
      <c r="U2759" s="15" t="str">
        <f>IFERROR(__xludf.DUMMYFUNCTION("""COMPUTED_VALUE"""),"Ⓒ梶宮サイ/MAG Garden")</f>
        <v>Ⓒ梶宮サイ/MAG Garden</v>
      </c>
      <c r="V2759" s="8" t="str">
        <f>IFERROR(__xludf.DUMMYFUNCTION("""COMPUTED_VALUE"""),"悪役令嬢がひと狩りいきますわ！※この作品は『訳アリ悪役令嬢たちが幸せな溺愛生活を掴むまで アンソロジーコミック 3巻』に収録されている同タイトルを、同一の内容にて分冊版として再編集したものです。")</f>
        <v>悪役令嬢がひと狩りいきますわ！※この作品は『訳アリ悪役令嬢たちが幸せな溺愛生活を掴むまで アンソロジーコミック 3巻』に収録されている同タイトルを、同一の内容にて分冊版として再編集したものです。</v>
      </c>
      <c r="W2759" s="14"/>
      <c r="X2759" s="14" t="str">
        <f>IFERROR(__xludf.DUMMYFUNCTION("""COMPUTED_VALUE"""),"有")</f>
        <v>有</v>
      </c>
      <c r="Y2759" s="8" t="str">
        <f>IFERROR(__xludf.DUMMYFUNCTION("""COMPUTED_VALUE"""),"P8まで")</f>
        <v>P8まで</v>
      </c>
      <c r="Z2759" s="7"/>
      <c r="AA2759" s="7"/>
      <c r="AB2759" s="7"/>
    </row>
    <row r="2760" ht="15.75" customHeight="1">
      <c r="A2760" s="153">
        <f>IFERROR(__xludf.DUMMYFUNCTION("""COMPUTED_VALUE"""),4804.0)</f>
        <v>4804</v>
      </c>
      <c r="B2760" s="152" t="str">
        <f>IFERROR(__xludf.DUMMYFUNCTION("""COMPUTED_VALUE"""),"確定")</f>
        <v>確定</v>
      </c>
      <c r="C2760" s="154">
        <f>IFERROR(__xludf.DUMMYFUNCTION("""COMPUTED_VALUE"""),45671.0)</f>
        <v>45671</v>
      </c>
      <c r="D2760" s="154">
        <f>IFERROR(__xludf.DUMMYFUNCTION("""COMPUTED_VALUE"""),45685.0)</f>
        <v>45685</v>
      </c>
      <c r="E2760" s="158">
        <f>IFERROR(__xludf.DUMMYFUNCTION("""COMPUTED_VALUE"""),315438.0)</f>
        <v>315438</v>
      </c>
      <c r="F2760" s="159" t="str">
        <f>IFERROR(__xludf.DUMMYFUNCTION("""COMPUTED_VALUE"""),"来月に婚約破棄される令嬢は、もったいないので破滅前に散財いたします")</f>
        <v>来月に婚約破棄される令嬢は、もったいないので破滅前に散財いたします</v>
      </c>
      <c r="G2760" s="153">
        <f>IFERROR(__xludf.DUMMYFUNCTION("""COMPUTED_VALUE"""),1.0)</f>
        <v>1</v>
      </c>
      <c r="H2760" s="152" t="str">
        <f>IFERROR(__xludf.DUMMYFUNCTION("""COMPUTED_VALUE"""),"漫画：柴咲まる 原作：柚原テイル")</f>
        <v>漫画：柴咲まる 原作：柚原テイル</v>
      </c>
      <c r="I2760" s="152" t="str">
        <f>IFERROR(__xludf.DUMMYFUNCTION("""COMPUTED_VALUE"""),"少女マンガ")</f>
        <v>少女マンガ</v>
      </c>
      <c r="J2760" s="157"/>
      <c r="K2760" s="157"/>
      <c r="L2760" s="152" t="str">
        <f>IFERROR(__xludf.DUMMYFUNCTION("""COMPUTED_VALUE"""),"マッグガーデン")</f>
        <v>マッグガーデン</v>
      </c>
      <c r="M2760" s="59">
        <f>IFERROR(__xludf.DUMMYFUNCTION("""COMPUTED_VALUE"""),45717.0)</f>
        <v>45717</v>
      </c>
      <c r="N2760" s="59">
        <f>IFERROR(__xludf.DUMMYFUNCTION("""COMPUTED_VALUE"""),45807.0)</f>
        <v>45807</v>
      </c>
      <c r="O2760" s="69"/>
      <c r="P2760" s="120" t="str">
        <f>IFERROR(__xludf.DUMMYFUNCTION("""COMPUTED_VALUE"""),"可")</f>
        <v>可</v>
      </c>
      <c r="Q2760" s="69" t="str">
        <f>IFERROR(__xludf.DUMMYFUNCTION("""COMPUTED_VALUE"""),"※アンソロジーのばら売りです&lt;BR&gt;4/15(火)には他書店含めアンソロジー単行本版の配信が解禁となります。")</f>
        <v>※アンソロジーのばら売りです&lt;BR&gt;4/15(火)には他書店含めアンソロジー単行本版の配信が解禁となります。</v>
      </c>
      <c r="R2760" s="152" t="str">
        <f>IFERROR(__xludf.DUMMYFUNCTION("""COMPUTED_VALUE"""),"コミットOK")</f>
        <v>コミットOK</v>
      </c>
      <c r="S2760" s="152" t="str">
        <f>IFERROR(__xludf.DUMMYFUNCTION("""COMPUTED_VALUE"""),"20250127_マッグガーデン_来月に婚約破棄される令嬢は、もったいないので破滅前に散財いたします")</f>
        <v>20250127_マッグガーデン_来月に婚約破棄される令嬢は、もったいないので破滅前に散財いたします</v>
      </c>
      <c r="T2760" s="152" t="str">
        <f>IFERROR(__xludf.DUMMYFUNCTION("""COMPUTED_VALUE"""),"格納済み")</f>
        <v>格納済み</v>
      </c>
      <c r="U2760" s="15" t="str">
        <f>IFERROR(__xludf.DUMMYFUNCTION("""COMPUTED_VALUE"""),"Ⓒ柴咲まる Ⓒ柚原テイル/MAG Garden")</f>
        <v>Ⓒ柴咲まる Ⓒ柚原テイル/MAG Garden</v>
      </c>
      <c r="V2760" s="8" t="str">
        <f>IFERROR(__xludf.DUMMYFUNCTION("""COMPUTED_VALUE"""),"断罪される前に、全財産を使い切れ！※この作品は『訳アリ悪役令嬢たちが幸せな溺愛生活を掴むまで アンソロジーコミック 3巻』に収録されている同タイトルを、同一の内容にて分冊版として再編集したものです。")</f>
        <v>断罪される前に、全財産を使い切れ！※この作品は『訳アリ悪役令嬢たちが幸せな溺愛生活を掴むまで アンソロジーコミック 3巻』に収録されている同タイトルを、同一の内容にて分冊版として再編集したものです。</v>
      </c>
      <c r="W2760" s="14"/>
      <c r="X2760" s="14" t="str">
        <f>IFERROR(__xludf.DUMMYFUNCTION("""COMPUTED_VALUE"""),"有")</f>
        <v>有</v>
      </c>
      <c r="Y2760" s="8" t="str">
        <f>IFERROR(__xludf.DUMMYFUNCTION("""COMPUTED_VALUE"""),"P8まで")</f>
        <v>P8まで</v>
      </c>
      <c r="Z2760" s="7"/>
      <c r="AA2760" s="7"/>
      <c r="AB2760" s="7"/>
    </row>
    <row r="2761" ht="15.75" customHeight="1">
      <c r="A2761" s="153">
        <f>IFERROR(__xludf.DUMMYFUNCTION("""COMPUTED_VALUE"""),4806.0)</f>
        <v>4806</v>
      </c>
      <c r="B2761" s="152" t="str">
        <f>IFERROR(__xludf.DUMMYFUNCTION("""COMPUTED_VALUE"""),"確定")</f>
        <v>確定</v>
      </c>
      <c r="C2761" s="154">
        <f>IFERROR(__xludf.DUMMYFUNCTION("""COMPUTED_VALUE"""),45671.0)</f>
        <v>45671</v>
      </c>
      <c r="D2761" s="154">
        <f>IFERROR(__xludf.DUMMYFUNCTION("""COMPUTED_VALUE"""),45685.0)</f>
        <v>45685</v>
      </c>
      <c r="E2761" s="158">
        <f>IFERROR(__xludf.DUMMYFUNCTION("""COMPUTED_VALUE"""),315439.0)</f>
        <v>315439</v>
      </c>
      <c r="F2761" s="159" t="str">
        <f>IFERROR(__xludf.DUMMYFUNCTION("""COMPUTED_VALUE"""),"タイムリープした俺が思い出したのは婚約破棄前夜だった。")</f>
        <v>タイムリープした俺が思い出したのは婚約破棄前夜だった。</v>
      </c>
      <c r="G2761" s="153">
        <f>IFERROR(__xludf.DUMMYFUNCTION("""COMPUTED_VALUE"""),1.0)</f>
        <v>1</v>
      </c>
      <c r="H2761" s="152" t="str">
        <f>IFERROR(__xludf.DUMMYFUNCTION("""COMPUTED_VALUE"""),"漫画：落葉 原作：天笠すいとん")</f>
        <v>漫画：落葉 原作：天笠すいとん</v>
      </c>
      <c r="I2761" s="152" t="str">
        <f>IFERROR(__xludf.DUMMYFUNCTION("""COMPUTED_VALUE"""),"少女マンガ")</f>
        <v>少女マンガ</v>
      </c>
      <c r="J2761" s="157"/>
      <c r="K2761" s="157"/>
      <c r="L2761" s="152" t="str">
        <f>IFERROR(__xludf.DUMMYFUNCTION("""COMPUTED_VALUE"""),"マッグガーデン")</f>
        <v>マッグガーデン</v>
      </c>
      <c r="M2761" s="59">
        <f>IFERROR(__xludf.DUMMYFUNCTION("""COMPUTED_VALUE"""),45717.0)</f>
        <v>45717</v>
      </c>
      <c r="N2761" s="59">
        <f>IFERROR(__xludf.DUMMYFUNCTION("""COMPUTED_VALUE"""),45807.0)</f>
        <v>45807</v>
      </c>
      <c r="O2761" s="69"/>
      <c r="P2761" s="120" t="str">
        <f>IFERROR(__xludf.DUMMYFUNCTION("""COMPUTED_VALUE"""),"可")</f>
        <v>可</v>
      </c>
      <c r="Q2761" s="69" t="str">
        <f>IFERROR(__xludf.DUMMYFUNCTION("""COMPUTED_VALUE"""),"※アンソロジーのばら売りです&lt;BR&gt;4/15(火)には他書店含めアンソロジー単行本版の配信が解禁となります。&lt;BR&gt;")</f>
        <v>※アンソロジーのばら売りです&lt;BR&gt;4/15(火)には他書店含めアンソロジー単行本版の配信が解禁となります。&lt;BR&gt;</v>
      </c>
      <c r="R2761" s="152" t="str">
        <f>IFERROR(__xludf.DUMMYFUNCTION("""COMPUTED_VALUE"""),"コミットOK")</f>
        <v>コミットOK</v>
      </c>
      <c r="S2761" s="152" t="str">
        <f>IFERROR(__xludf.DUMMYFUNCTION("""COMPUTED_VALUE"""),"20250127_マッグガーデン_タイムリープした俺が思い出したのは婚約破棄前夜だった。")</f>
        <v>20250127_マッグガーデン_タイムリープした俺が思い出したのは婚約破棄前夜だった。</v>
      </c>
      <c r="T2761" s="152" t="str">
        <f>IFERROR(__xludf.DUMMYFUNCTION("""COMPUTED_VALUE"""),"格納済み")</f>
        <v>格納済み</v>
      </c>
      <c r="U2761" s="15" t="str">
        <f>IFERROR(__xludf.DUMMYFUNCTION("""COMPUTED_VALUE"""),"Ⓒ落葉 Ⓒ天笠すいとん/MAG Garden")</f>
        <v>Ⓒ落葉 Ⓒ天笠すいとん/MAG Garden</v>
      </c>
      <c r="V2761" s="8" t="str">
        <f>IFERROR(__xludf.DUMMYFUNCTION("""COMPUTED_VALUE"""),"破滅エンドを回避するべく、婚約破棄を「破棄」しよう！※この作品は『訳アリ悪役令嬢たちが幸せな溺愛生活を掴むまで アンソロジーコミック 3巻』に収録されている同タイトルを、同一の内容にて分冊版として再編集したものです。")</f>
        <v>破滅エンドを回避するべく、婚約破棄を「破棄」しよう！※この作品は『訳アリ悪役令嬢たちが幸せな溺愛生活を掴むまで アンソロジーコミック 3巻』に収録されている同タイトルを、同一の内容にて分冊版として再編集したものです。</v>
      </c>
      <c r="W2761" s="14"/>
      <c r="X2761" s="14" t="str">
        <f>IFERROR(__xludf.DUMMYFUNCTION("""COMPUTED_VALUE"""),"有")</f>
        <v>有</v>
      </c>
      <c r="Y2761" s="8" t="str">
        <f>IFERROR(__xludf.DUMMYFUNCTION("""COMPUTED_VALUE"""),"P8まで")</f>
        <v>P8まで</v>
      </c>
      <c r="Z2761" s="7"/>
      <c r="AA2761" s="7"/>
      <c r="AB2761" s="7"/>
    </row>
    <row r="2762" ht="15.75" customHeight="1">
      <c r="A2762" s="153">
        <f>IFERROR(__xludf.DUMMYFUNCTION("""COMPUTED_VALUE"""),4817.0)</f>
        <v>4817</v>
      </c>
      <c r="B2762" s="152" t="str">
        <f>IFERROR(__xludf.DUMMYFUNCTION("""COMPUTED_VALUE"""),"確定")</f>
        <v>確定</v>
      </c>
      <c r="C2762" s="154">
        <f>IFERROR(__xludf.DUMMYFUNCTION("""COMPUTED_VALUE"""),45673.0)</f>
        <v>45673</v>
      </c>
      <c r="D2762" s="154">
        <f>IFERROR(__xludf.DUMMYFUNCTION("""COMPUTED_VALUE"""),45685.0)</f>
        <v>45685</v>
      </c>
      <c r="E2762" s="158">
        <f>IFERROR(__xludf.DUMMYFUNCTION("""COMPUTED_VALUE"""),316165.0)</f>
        <v>316165</v>
      </c>
      <c r="F2762" s="159" t="str">
        <f>IFERROR(__xludf.DUMMYFUNCTION("""COMPUTED_VALUE"""),"天使さんは抗えない～ドSな同期の甘い命令～［ばら売り］")</f>
        <v>天使さんは抗えない～ドSな同期の甘い命令～［ばら売り］</v>
      </c>
      <c r="G2762" s="152" t="str">
        <f>IFERROR(__xludf.DUMMYFUNCTION("""COMPUTED_VALUE"""),"1～4")</f>
        <v>1～4</v>
      </c>
      <c r="H2762" s="152" t="str">
        <f>IFERROR(__xludf.DUMMYFUNCTION("""COMPUTED_VALUE"""),"黒兎ももか")</f>
        <v>黒兎ももか</v>
      </c>
      <c r="I2762" s="152" t="str">
        <f>IFERROR(__xludf.DUMMYFUNCTION("""COMPUTED_VALUE"""),"女性")</f>
        <v>女性</v>
      </c>
      <c r="J2762" s="152"/>
      <c r="K2762" s="152" t="str">
        <f>IFERROR(__xludf.DUMMYFUNCTION("""COMPUTED_VALUE"""),"マンガPark")</f>
        <v>マンガPark</v>
      </c>
      <c r="L2762" s="152" t="str">
        <f>IFERROR(__xludf.DUMMYFUNCTION("""COMPUTED_VALUE"""),"白泉社")</f>
        <v>白泉社</v>
      </c>
      <c r="M2762" s="59">
        <f>IFERROR(__xludf.DUMMYFUNCTION("""COMPUTED_VALUE"""),45724.0)</f>
        <v>45724</v>
      </c>
      <c r="N2762" s="23">
        <f>IFERROR(__xludf.DUMMYFUNCTION("""COMPUTED_VALUE"""),45786.0)</f>
        <v>45786</v>
      </c>
      <c r="O2762" s="69"/>
      <c r="P2762" s="114" t="str">
        <f>IFERROR(__xludf.DUMMYFUNCTION("""COMPUTED_VALUE"""),"可")</f>
        <v>可</v>
      </c>
      <c r="Q2762" s="111"/>
      <c r="R2762" s="152"/>
      <c r="S2762" s="152" t="str">
        <f>IFERROR(__xludf.DUMMYFUNCTION("""COMPUTED_VALUE"""),"20250127_白泉社_天使さんは抗えない")</f>
        <v>20250127_白泉社_天使さんは抗えない</v>
      </c>
      <c r="T2762" s="152" t="str">
        <f>IFERROR(__xludf.DUMMYFUNCTION("""COMPUTED_VALUE"""),"格納済み")</f>
        <v>格納済み</v>
      </c>
      <c r="U2762" s="15" t="str">
        <f>IFERROR(__xludf.DUMMYFUNCTION("""COMPUTED_VALUE"""),"Ⓒ黒兎ももか/白泉社")</f>
        <v>Ⓒ黒兎ももか/白泉社</v>
      </c>
      <c r="V2762" s="8" t="str">
        <f>IFERROR(__xludf.DUMMYFUNCTION("""COMPUTED_VALUE"""),"「どうして私が真将とこんなことに――！？」天使（あまつか）さんは会社の同期である真将（ましょう）と幼なじみである。人生で彼に一度も勝てたことがなく一矢報いたいと思っていたところ、自分が服従欲を持つ「Sub」であり、真将が支配欲を持つ「Dom」であることが判明して…？ 本能で求め合う、支配し支配されのオフィスラブ！")</f>
        <v>「どうして私が真将とこんなことに――！？」天使（あまつか）さんは会社の同期である真将（ましょう）と幼なじみである。人生で彼に一度も勝てたことがなく一矢報いたいと思っていたところ、自分が服従欲を持つ「Sub」であり、真将が支配欲を持つ「Dom」であることが判明して…？ 本能で求め合う、支配し支配されのオフィスラブ！</v>
      </c>
      <c r="W2762" s="14"/>
      <c r="X2762" s="14" t="str">
        <f>IFERROR(__xludf.DUMMYFUNCTION("""COMPUTED_VALUE"""),"有")</f>
        <v>有</v>
      </c>
      <c r="Y2762" s="8" t="str">
        <f>IFERROR(__xludf.DUMMYFUNCTION("""COMPUTED_VALUE"""),"2025/3/21まで1巻無料")</f>
        <v>2025/3/21まで1巻無料</v>
      </c>
      <c r="Z2762" s="7"/>
      <c r="AA2762" s="7"/>
      <c r="AB2762" s="7"/>
    </row>
    <row r="2763" ht="15.75" customHeight="1">
      <c r="A2763" s="153">
        <f>IFERROR(__xludf.DUMMYFUNCTION("""COMPUTED_VALUE"""),4835.0)</f>
        <v>4835</v>
      </c>
      <c r="B2763" s="152" t="str">
        <f>IFERROR(__xludf.DUMMYFUNCTION("""COMPUTED_VALUE"""),"確定")</f>
        <v>確定</v>
      </c>
      <c r="C2763" s="154">
        <f>IFERROR(__xludf.DUMMYFUNCTION("""COMPUTED_VALUE"""),45677.0)</f>
        <v>45677</v>
      </c>
      <c r="D2763" s="154">
        <f>IFERROR(__xludf.DUMMYFUNCTION("""COMPUTED_VALUE"""),45685.0)</f>
        <v>45685</v>
      </c>
      <c r="E2763" s="158">
        <f>IFERROR(__xludf.DUMMYFUNCTION("""COMPUTED_VALUE"""),315507.0)</f>
        <v>315507</v>
      </c>
      <c r="F2763" s="159" t="str">
        <f>IFERROR(__xludf.DUMMYFUNCTION("""COMPUTED_VALUE"""),"やっとお前が地獄に行くとこ見れるね～商社マンに遠距離不倫されていた私の5年間～")</f>
        <v>やっとお前が地獄に行くとこ見れるね～商社マンに遠距離不倫されていた私の5年間～</v>
      </c>
      <c r="G2763" s="152" t="str">
        <f>IFERROR(__xludf.DUMMYFUNCTION("""COMPUTED_VALUE"""),"1～3")</f>
        <v>1～3</v>
      </c>
      <c r="H2763" s="152" t="str">
        <f>IFERROR(__xludf.DUMMYFUNCTION("""COMPUTED_VALUE"""),"本多モコ／BB編集室")</f>
        <v>本多モコ／BB編集室</v>
      </c>
      <c r="I2763" s="152" t="str">
        <f>IFERROR(__xludf.DUMMYFUNCTION("""COMPUTED_VALUE"""),"女性")</f>
        <v>女性</v>
      </c>
      <c r="J2763" s="152"/>
      <c r="K2763" s="152" t="str">
        <f>IFERROR(__xludf.DUMMYFUNCTION("""COMPUTED_VALUE"""),"GSComic")</f>
        <v>GSComic</v>
      </c>
      <c r="L2763" s="152" t="str">
        <f>IFERROR(__xludf.DUMMYFUNCTION("""COMPUTED_VALUE"""),"ガールスカウトコミックス")</f>
        <v>ガールスカウトコミックス</v>
      </c>
      <c r="M2763" s="59">
        <f>IFERROR(__xludf.DUMMYFUNCTION("""COMPUTED_VALUE"""),45718.0)</f>
        <v>45718</v>
      </c>
      <c r="N2763" s="23">
        <f>IFERROR(__xludf.DUMMYFUNCTION("""COMPUTED_VALUE"""),45809.0)</f>
        <v>45809</v>
      </c>
      <c r="O2763" s="69"/>
      <c r="P2763" s="114" t="str">
        <f>IFERROR(__xludf.DUMMYFUNCTION("""COMPUTED_VALUE"""),"可")</f>
        <v>可</v>
      </c>
      <c r="Q2763" s="69"/>
      <c r="R2763" s="152" t="str">
        <f>IFERROR(__xludf.DUMMYFUNCTION("""COMPUTED_VALUE"""),"コミットOK")</f>
        <v>コミットOK</v>
      </c>
      <c r="S2763" s="152" t="str">
        <f>IFERROR(__xludf.DUMMYFUNCTION("""COMPUTED_VALUE"""),"20250124_ガールスカウトコミックス_やっとお前が地獄に行くところ見れるね～商社マンに遠距離不倫されてた私の5年間～")</f>
        <v>20250124_ガールスカウトコミックス_やっとお前が地獄に行くところ見れるね～商社マンに遠距離不倫されてた私の5年間～</v>
      </c>
      <c r="T2763" s="152" t="str">
        <f>IFERROR(__xludf.DUMMYFUNCTION("""COMPUTED_VALUE"""),"格納済み")</f>
        <v>格納済み</v>
      </c>
      <c r="U2763" s="15" t="str">
        <f>IFERROR(__xludf.DUMMYFUNCTION("""COMPUTED_VALUE"""),"Ⓒ本多モコ／ガールスカウトコミックス")</f>
        <v>Ⓒ本多モコ／ガールスカウトコミックス</v>
      </c>
      <c r="V2763" s="8" t="str">
        <f>IFERROR(__xludf.DUMMYFUNCTION("""COMPUTED_VALUE"""),"宮城県仙台市。千秋と慶介はここで出会い、結婚を誓った。
大学卒業後、東京の超有名商社へ就職した慶介。遠距離恋愛には寂しさもあったけど、
千秋は自分たちの間にある愛情を信じていた。だけど────慶介は東京で変わってしまった。
毎週末繰り返される派手で下品な浮気行為、私の前では嘘しか話さなくなった慶介。ただ惨めで、悔しかった。
だけど、私はそれを呑み込んだ。私は全部知った上で、この男を５年間泳がせた。
「ねぇ慶介、もうすぐだよ。楽しみだね」───結婚式まであと３ヵ月。")</f>
        <v>宮城県仙台市。千秋と慶介はここで出会い、結婚を誓った。
大学卒業後、東京の超有名商社へ就職した慶介。遠距離恋愛には寂しさもあったけど、
千秋は自分たちの間にある愛情を信じていた。だけど────慶介は東京で変わってしまった。
毎週末繰り返される派手で下品な浮気行為、私の前では嘘しか話さなくなった慶介。ただ惨めで、悔しかった。
だけど、私はそれを呑み込んだ。私は全部知った上で、この男を５年間泳がせた。
「ねぇ慶介、もうすぐだよ。楽しみだね」───結婚式まであと３ヵ月。</v>
      </c>
      <c r="W2763" s="14"/>
      <c r="X2763" s="14" t="str">
        <f>IFERROR(__xludf.DUMMYFUNCTION("""COMPUTED_VALUE"""),"有")</f>
        <v>有</v>
      </c>
      <c r="Y2763" s="8" t="str">
        <f>IFERROR(__xludf.DUMMYFUNCTION("""COMPUTED_VALUE"""),"P23まで")</f>
        <v>P23まで</v>
      </c>
      <c r="Z2763" s="7"/>
      <c r="AA2763" s="7"/>
      <c r="AB2763" s="7"/>
    </row>
    <row r="2764" ht="15.75" customHeight="1">
      <c r="A2764" s="153">
        <f>IFERROR(__xludf.DUMMYFUNCTION("""COMPUTED_VALUE"""),4836.0)</f>
        <v>4836</v>
      </c>
      <c r="B2764" s="152" t="str">
        <f>IFERROR(__xludf.DUMMYFUNCTION("""COMPUTED_VALUE"""),"確定")</f>
        <v>確定</v>
      </c>
      <c r="C2764" s="154">
        <f>IFERROR(__xludf.DUMMYFUNCTION("""COMPUTED_VALUE"""),45677.0)</f>
        <v>45677</v>
      </c>
      <c r="D2764" s="154">
        <f>IFERROR(__xludf.DUMMYFUNCTION("""COMPUTED_VALUE"""),45685.0)</f>
        <v>45685</v>
      </c>
      <c r="E2764" s="155">
        <f>IFERROR(__xludf.DUMMYFUNCTION("""COMPUTED_VALUE"""),317059.0)</f>
        <v>317059</v>
      </c>
      <c r="F2764" s="156" t="str">
        <f>IFERROR(__xludf.DUMMYFUNCTION("""COMPUTED_VALUE"""),"ルミナス・シンデレラ")</f>
        <v>ルミナス・シンデレラ</v>
      </c>
      <c r="G2764" s="152" t="str">
        <f>IFERROR(__xludf.DUMMYFUNCTION("""COMPUTED_VALUE"""),"1～3")</f>
        <v>1～3</v>
      </c>
      <c r="H2764" s="152" t="str">
        <f>IFERROR(__xludf.DUMMYFUNCTION("""COMPUTED_VALUE"""),"江田マヒロ")</f>
        <v>江田マヒロ</v>
      </c>
      <c r="I2764" s="152" t="str">
        <f>IFERROR(__xludf.DUMMYFUNCTION("""COMPUTED_VALUE"""),"女性")</f>
        <v>女性</v>
      </c>
      <c r="J2764" s="152"/>
      <c r="K2764" s="152" t="str">
        <f>IFERROR(__xludf.DUMMYFUNCTION("""COMPUTED_VALUE"""),"Puffs")</f>
        <v>Puffs</v>
      </c>
      <c r="L2764" s="152" t="str">
        <f>IFERROR(__xludf.DUMMYFUNCTION("""COMPUTED_VALUE"""),"MUGENUP")</f>
        <v>MUGENUP</v>
      </c>
      <c r="M2764" s="59">
        <f>IFERROR(__xludf.DUMMYFUNCTION("""COMPUTED_VALUE"""),45721.0)</f>
        <v>45721</v>
      </c>
      <c r="N2764" s="59">
        <f>IFERROR(__xludf.DUMMYFUNCTION("""COMPUTED_VALUE"""),45812.0)</f>
        <v>45812</v>
      </c>
      <c r="O2764" s="69"/>
      <c r="P2764" s="114" t="str">
        <f>IFERROR(__xludf.DUMMYFUNCTION("""COMPUTED_VALUE"""),"可")</f>
        <v>可</v>
      </c>
      <c r="Q2764" s="69"/>
      <c r="R2764" s="152" t="str">
        <f>IFERROR(__xludf.DUMMYFUNCTION("""COMPUTED_VALUE"""),"コミットOK")</f>
        <v>コミットOK</v>
      </c>
      <c r="S2764" s="152" t="str">
        <f>IFERROR(__xludf.DUMMYFUNCTION("""COMPUTED_VALUE"""),"20250128_MUGENUP_ルミナス・シンデレラ")</f>
        <v>20250128_MUGENUP_ルミナス・シンデレラ</v>
      </c>
      <c r="T2764" s="152" t="str">
        <f>IFERROR(__xludf.DUMMYFUNCTION("""COMPUTED_VALUE"""),"格納済み")</f>
        <v>格納済み</v>
      </c>
      <c r="U2764" s="15" t="str">
        <f>IFERROR(__xludf.DUMMYFUNCTION("""COMPUTED_VALUE"""),"Ⓒ江田マヒロ／MUGENUP")</f>
        <v>Ⓒ江田マヒロ／MUGENUP</v>
      </c>
      <c r="V2764" s="8" t="str">
        <f>IFERROR(__xludf.DUMMYFUNCTION("""COMPUTED_VALUE"""),"女にしては男らしい顔や無意識のイケメンな振る舞いのせいで男性に間違えられることの多い涼。“かわいい”や“女の子らしい”に憧れがあるけれど、過去の嫌な経験から現在も自分の“好き”を表に出すことができないでいた。
さらに、会社の同僚男性が涼のことを「女として見るのは無理」「女のくせいに女ウケ狙っててうざい」と言っているのを耳にしてしまいショックを受ける涼。
思わず座り込んだ涼に声をかけてくれたのは、偶然通りかかった一人の男性で……
「世界一可愛くなっちゃおうよ」
親身に話を聞いてくれた男性は涼"&amp;"が可愛くなる手助けをしてくれると言い――
「可愛くなりたい」「恋をしたい」涼の願いは叶うのか!?")</f>
        <v>女にしては男らしい顔や無意識のイケメンな振る舞いのせいで男性に間違えられることの多い涼。“かわいい”や“女の子らしい”に憧れがあるけれど、過去の嫌な経験から現在も自分の“好き”を表に出すことができないでいた。
さらに、会社の同僚男性が涼のことを「女として見るのは無理」「女のくせいに女ウケ狙っててうざい」と言っているのを耳にしてしまいショックを受ける涼。
思わず座り込んだ涼に声をかけてくれたのは、偶然通りかかった一人の男性で……
「世界一可愛くなっちゃおうよ」
親身に話を聞いてくれた男性は涼が可愛くなる手助けをしてくれると言い――
「可愛くなりたい」「恋をしたい」涼の願いは叶うのか!?</v>
      </c>
      <c r="W2764" s="14"/>
      <c r="X2764" s="14" t="str">
        <f>IFERROR(__xludf.DUMMYFUNCTION("""COMPUTED_VALUE"""),"有")</f>
        <v>有</v>
      </c>
      <c r="Y2764" s="8" t="str">
        <f>IFERROR(__xludf.DUMMYFUNCTION("""COMPUTED_VALUE"""),"P8まで")</f>
        <v>P8まで</v>
      </c>
      <c r="Z2764" s="7"/>
      <c r="AA2764" s="7"/>
      <c r="AB2764" s="7"/>
    </row>
    <row r="2765" ht="15.75" customHeight="1">
      <c r="A2765" s="153">
        <f>IFERROR(__xludf.DUMMYFUNCTION("""COMPUTED_VALUE"""),4856.0)</f>
        <v>4856</v>
      </c>
      <c r="B2765" s="152" t="str">
        <f>IFERROR(__xludf.DUMMYFUNCTION("""COMPUTED_VALUE"""),"確定")</f>
        <v>確定</v>
      </c>
      <c r="C2765" s="154">
        <f>IFERROR(__xludf.DUMMYFUNCTION("""COMPUTED_VALUE"""),45677.0)</f>
        <v>45677</v>
      </c>
      <c r="D2765" s="154">
        <f>IFERROR(__xludf.DUMMYFUNCTION("""COMPUTED_VALUE"""),45685.0)</f>
        <v>45685</v>
      </c>
      <c r="E2765" s="158">
        <f>IFERROR(__xludf.DUMMYFUNCTION("""COMPUTED_VALUE"""),315354.0)</f>
        <v>315354</v>
      </c>
      <c r="F2765" s="159" t="str">
        <f>IFERROR(__xludf.DUMMYFUNCTION("""COMPUTED_VALUE"""),"氷砂糖とワンルーム ある日年下男子に拾われた【単話】")</f>
        <v>氷砂糖とワンルーム ある日年下男子に拾われた【単話】</v>
      </c>
      <c r="G2765" s="152" t="str">
        <f>IFERROR(__xludf.DUMMYFUNCTION("""COMPUTED_VALUE"""),"1～3")</f>
        <v>1～3</v>
      </c>
      <c r="H2765" s="152" t="str">
        <f>IFERROR(__xludf.DUMMYFUNCTION("""COMPUTED_VALUE"""),"加藤朱々")</f>
        <v>加藤朱々</v>
      </c>
      <c r="I2765" s="152" t="str">
        <f>IFERROR(__xludf.DUMMYFUNCTION("""COMPUTED_VALUE"""),"女性")</f>
        <v>女性</v>
      </c>
      <c r="J2765" s="152"/>
      <c r="K2765" s="152" t="str">
        <f>IFERROR(__xludf.DUMMYFUNCTION("""COMPUTED_VALUE"""),"Melty Night")</f>
        <v>Melty Night</v>
      </c>
      <c r="L2765" s="152" t="str">
        <f>IFERROR(__xludf.DUMMYFUNCTION("""COMPUTED_VALUE"""),"朝日新聞出版")</f>
        <v>朝日新聞出版</v>
      </c>
      <c r="M2765" s="59">
        <f>IFERROR(__xludf.DUMMYFUNCTION("""COMPUTED_VALUE"""),45716.0)</f>
        <v>45716</v>
      </c>
      <c r="N2765" s="59">
        <f>IFERROR(__xludf.DUMMYFUNCTION("""COMPUTED_VALUE"""),45806.0)</f>
        <v>45806</v>
      </c>
      <c r="O2765" s="69"/>
      <c r="P2765" s="114" t="str">
        <f>IFERROR(__xludf.DUMMYFUNCTION("""COMPUTED_VALUE"""),"否")</f>
        <v>否</v>
      </c>
      <c r="Q2765" s="69"/>
      <c r="R2765" s="152" t="str">
        <f>IFERROR(__xludf.DUMMYFUNCTION("""COMPUTED_VALUE"""),"コミットOK")</f>
        <v>コミットOK</v>
      </c>
      <c r="S2765" s="152" t="str">
        <f>IFERROR(__xludf.DUMMYFUNCTION("""COMPUTED_VALUE"""),"20250120_朝日新聞出版_氷砂糖とワンルーム ある日年下男子に拾われた【単話】")</f>
        <v>20250120_朝日新聞出版_氷砂糖とワンルーム ある日年下男子に拾われた【単話】</v>
      </c>
      <c r="T2765" s="152" t="str">
        <f>IFERROR(__xludf.DUMMYFUNCTION("""COMPUTED_VALUE"""),"格納済み")</f>
        <v>格納済み</v>
      </c>
      <c r="U2765" s="15" t="str">
        <f>IFERROR(__xludf.DUMMYFUNCTION("""COMPUTED_VALUE"""),"(C) 加藤朱々／朝日新聞出版")</f>
        <v>(C) 加藤朱々／朝日新聞出版</v>
      </c>
      <c r="V2765" s="8" t="str">
        <f>IFERROR(__xludf.DUMMYFUNCTION("""COMPUTED_VALUE"""),"婚約者の不倫が発覚し、職も、家も、結婚も、すべてをうしなった私を拾ったのは不愛想な大学生だった。
糸魚川百珈は、嫌なことがあってもヘラヘラと笑って受け入れてしまう性格。唯一、幸せだと思っているのは雇い先の弁当屋で出会った大学教員の小松先生と付き合えてること。小松はドイツへの赴任がきまり、百珈はついてきてほしい、とプロポーズされる。外国での新婚生活にそなえ、家も解約し、バイトもやめ、明日のフライトを待つだけとなった夜、婚約者の不倫を目撃してしまう。同時にパワハラモラハラな本性もあらわになる。
絶望の中、街"&amp;"をさまよう百珈を拾ったのは、毎日日替わり弁当を買っていた不愛想な大学生だった。不器用年下男子とのアラサー女子の同居生活が始まる――！")</f>
        <v>婚約者の不倫が発覚し、職も、家も、結婚も、すべてをうしなった私を拾ったのは不愛想な大学生だった。
糸魚川百珈は、嫌なことがあってもヘラヘラと笑って受け入れてしまう性格。唯一、幸せだと思っているのは雇い先の弁当屋で出会った大学教員の小松先生と付き合えてること。小松はドイツへの赴任がきまり、百珈はついてきてほしい、とプロポーズされる。外国での新婚生活にそなえ、家も解約し、バイトもやめ、明日のフライトを待つだけとなった夜、婚約者の不倫を目撃してしまう。同時にパワハラモラハラな本性もあらわになる。
絶望の中、街をさまよう百珈を拾ったのは、毎日日替わり弁当を買っていた不愛想な大学生だった。不器用年下男子とのアラサー女子の同居生活が始まる――！</v>
      </c>
      <c r="W2765" s="14"/>
      <c r="X2765" s="14" t="str">
        <f>IFERROR(__xludf.DUMMYFUNCTION("""COMPUTED_VALUE"""),"有")</f>
        <v>有</v>
      </c>
      <c r="Y2765" s="8" t="str">
        <f>IFERROR(__xludf.DUMMYFUNCTION("""COMPUTED_VALUE"""),"5/29まで1巻無料")</f>
        <v>5/29まで1巻無料</v>
      </c>
      <c r="Z2765" s="7"/>
      <c r="AA2765" s="7"/>
      <c r="AB2765" s="7"/>
    </row>
    <row r="2766" ht="15.75" customHeight="1">
      <c r="A2766" s="153">
        <f>IFERROR(__xludf.DUMMYFUNCTION("""COMPUTED_VALUE"""),4881.0)</f>
        <v>4881</v>
      </c>
      <c r="B2766" s="152" t="str">
        <f>IFERROR(__xludf.DUMMYFUNCTION("""COMPUTED_VALUE"""),"確定")</f>
        <v>確定</v>
      </c>
      <c r="C2766" s="154">
        <f>IFERROR(__xludf.DUMMYFUNCTION("""COMPUTED_VALUE"""),45679.0)</f>
        <v>45679</v>
      </c>
      <c r="D2766" s="154">
        <f>IFERROR(__xludf.DUMMYFUNCTION("""COMPUTED_VALUE"""),45685.0)</f>
        <v>45685</v>
      </c>
      <c r="E2766" s="155">
        <f>IFERROR(__xludf.DUMMYFUNCTION("""COMPUTED_VALUE"""),314723.0)</f>
        <v>314723</v>
      </c>
      <c r="F2766" s="156" t="str">
        <f>IFERROR(__xludf.DUMMYFUNCTION("""COMPUTED_VALUE"""),"COMICロティス【TL版】")</f>
        <v>COMICロティス【TL版】</v>
      </c>
      <c r="G2766" s="153">
        <f>IFERROR(__xludf.DUMMYFUNCTION("""COMPUTED_VALUE"""),1.0)</f>
        <v>1</v>
      </c>
      <c r="H2766" s="152" t="str">
        <f>IFERROR(__xludf.DUMMYFUNCTION("""COMPUTED_VALUE"""),"アンソロジー,ロティス編集部")</f>
        <v>アンソロジー,ロティス編集部</v>
      </c>
      <c r="I2766" s="152" t="str">
        <f>IFERROR(__xludf.DUMMYFUNCTION("""COMPUTED_VALUE"""),"TL")</f>
        <v>TL</v>
      </c>
      <c r="J2766" s="152"/>
      <c r="K2766" s="152" t="str">
        <f>IFERROR(__xludf.DUMMYFUNCTION("""COMPUTED_VALUE"""),"ズレット！")</f>
        <v>ズレット！</v>
      </c>
      <c r="L2766" s="152" t="str">
        <f>IFERROR(__xludf.DUMMYFUNCTION("""COMPUTED_VALUE"""),"ライブコミックス")</f>
        <v>ライブコミックス</v>
      </c>
      <c r="M2766" s="59">
        <f>IFERROR(__xludf.DUMMYFUNCTION("""COMPUTED_VALUE"""),45709.0)</f>
        <v>45709</v>
      </c>
      <c r="N2766" s="59">
        <f>IFERROR(__xludf.DUMMYFUNCTION("""COMPUTED_VALUE"""),45764.0)</f>
        <v>45764</v>
      </c>
      <c r="O2766" s="69"/>
      <c r="P2766" s="167" t="str">
        <f>IFERROR(__xludf.DUMMYFUNCTION("""COMPUTED_VALUE"""),"可")</f>
        <v>可</v>
      </c>
      <c r="Q2766" s="166"/>
      <c r="R2766" s="152"/>
      <c r="S2766" s="152" t="str">
        <f>IFERROR(__xludf.DUMMYFUNCTION("""COMPUTED_VALUE"""),"20250122_BookLive_COMICロティス【TL版】")</f>
        <v>20250122_BookLive_COMICロティス【TL版】</v>
      </c>
      <c r="T2766" s="152" t="str">
        <f>IFERROR(__xludf.DUMMYFUNCTION("""COMPUTED_VALUE"""),"格納済み")</f>
        <v>格納済み</v>
      </c>
      <c r="U2766" s="15" t="str">
        <f>IFERROR(__xludf.DUMMYFUNCTION("""COMPUTED_VALUE"""),"ⒸCOMICロティス/ライブコミックス")</f>
        <v>ⒸCOMICロティス/ライブコミックス</v>
      </c>
      <c r="V2766" s="8" t="str">
        <f>IFERROR(__xludf.DUMMYFUNCTION("""COMPUTED_VALUE"""),"＜＜偶数月三週目金曜日配信＞＞「より過激に、よりエモーショナルに」普通のオトナ向け漫画では満足できないあなたに、キャラ同士の関係性を重視しつつ過激描写も大ボリュームのウェブマガジン【COMICロティス】創刊！vol.1のテーマは「執着」カレの執着愛に溺れちゃう…!?『井口くんの素顔』真白しろいろ『Muddy Puppy Love』ぽゆののぽ『執愛ガーディアン』下部『花ちゃんと玲くん』和野うみ『初恋オブセッション』ゆきりんご『暴きたいココロ』作画：ア缶BE/ネーム：川井ねこ『竹から生まれた撫子姫　～なんでも"&amp;"するって言ったよね？番外編～』コムラ『汝隣人を愛せよ　side K』紅碧Cover Illustration：閏あくあCover's Story：蓮井子鹿※Cover's Storyは表紙イラストをイメージしたショートストーリーです※本作は、KATTS『COMICロティス Vol.1【R版】』と修正は異なりますが、内容に差異はございません。重複購入にご注意ください。")</f>
        <v>＜＜偶数月三週目金曜日配信＞＞「より過激に、よりエモーショナルに」普通のオトナ向け漫画では満足できないあなたに、キャラ同士の関係性を重視しつつ過激描写も大ボリュームのウェブマガジン【COMICロティス】創刊！vol.1のテーマは「執着」カレの執着愛に溺れちゃう…!?『井口くんの素顔』真白しろいろ『Muddy Puppy Love』ぽゆののぽ『執愛ガーディアン』下部『花ちゃんと玲くん』和野うみ『初恋オブセッション』ゆきりんご『暴きたいココロ』作画：ア缶BE/ネーム：川井ねこ『竹から生まれた撫子姫　～なんでもするって言ったよね？番外編～』コムラ『汝隣人を愛せよ　side K』紅碧Cover Illustration：閏あくあCover's Story：蓮井子鹿※Cover's Storyは表紙イラストをイメージしたショートストーリーです※本作は、KATTS『COMICロティス Vol.1【R版】』と修正は異なりますが、内容に差異はございません。重複購入にご注意ください。</v>
      </c>
      <c r="W2766" s="14"/>
      <c r="X2766" s="14" t="str">
        <f>IFERROR(__xludf.DUMMYFUNCTION("""COMPUTED_VALUE"""),"有")</f>
        <v>有</v>
      </c>
      <c r="Y2766" s="8" t="str">
        <f>IFERROR(__xludf.DUMMYFUNCTION("""COMPUTED_VALUE"""),"2025/4/17まで立ち読み増量P12まで")</f>
        <v>2025/4/17まで立ち読み増量P12まで</v>
      </c>
      <c r="Z2766" s="7"/>
      <c r="AA2766" s="7"/>
      <c r="AB2766" s="7"/>
    </row>
    <row r="2767" ht="15.75" customHeight="1">
      <c r="A2767" s="153">
        <f>IFERROR(__xludf.DUMMYFUNCTION("""COMPUTED_VALUE"""),4882.0)</f>
        <v>4882</v>
      </c>
      <c r="B2767" s="152" t="str">
        <f>IFERROR(__xludf.DUMMYFUNCTION("""COMPUTED_VALUE"""),"確定")</f>
        <v>確定</v>
      </c>
      <c r="C2767" s="154">
        <f>IFERROR(__xludf.DUMMYFUNCTION("""COMPUTED_VALUE"""),45679.0)</f>
        <v>45679</v>
      </c>
      <c r="D2767" s="154">
        <f>IFERROR(__xludf.DUMMYFUNCTION("""COMPUTED_VALUE"""),45685.0)</f>
        <v>45685</v>
      </c>
      <c r="E2767" s="158">
        <f>IFERROR(__xludf.DUMMYFUNCTION("""COMPUTED_VALUE"""),315533.0)</f>
        <v>315533</v>
      </c>
      <c r="F2767" s="159" t="str">
        <f>IFERROR(__xludf.DUMMYFUNCTION("""COMPUTED_VALUE"""),"濡れた砂漠【タテヨミ】")</f>
        <v>濡れた砂漠【タテヨミ】</v>
      </c>
      <c r="G2767" s="152" t="str">
        <f>IFERROR(__xludf.DUMMYFUNCTION("""COMPUTED_VALUE"""),"1～20")</f>
        <v>1～20</v>
      </c>
      <c r="H2767" s="152" t="str">
        <f>IFERROR(__xludf.DUMMYFUNCTION("""COMPUTED_VALUE"""),"zenon, HACK, JOHN")</f>
        <v>zenon, HACK, JOHN</v>
      </c>
      <c r="I2767" s="152" t="str">
        <f>IFERROR(__xludf.DUMMYFUNCTION("""COMPUTED_VALUE"""),"BL")</f>
        <v>BL</v>
      </c>
      <c r="J2767" s="157"/>
      <c r="K2767" s="157"/>
      <c r="L2767" s="152" t="str">
        <f>IFERROR(__xludf.DUMMYFUNCTION("""COMPUTED_VALUE"""),"リバース")</f>
        <v>リバース</v>
      </c>
      <c r="M2767" s="59">
        <f>IFERROR(__xludf.DUMMYFUNCTION("""COMPUTED_VALUE"""),45715.0)</f>
        <v>45715</v>
      </c>
      <c r="N2767" s="23">
        <f>IFERROR(__xludf.DUMMYFUNCTION("""COMPUTED_VALUE"""),45771.0)</f>
        <v>45771</v>
      </c>
      <c r="O2767" s="69"/>
      <c r="P2767" s="114" t="str">
        <f>IFERROR(__xludf.DUMMYFUNCTION("""COMPUTED_VALUE"""),"可")</f>
        <v>可</v>
      </c>
      <c r="Q2767" s="69"/>
      <c r="R2767" s="152" t="str">
        <f>IFERROR(__xludf.DUMMYFUNCTION("""COMPUTED_VALUE"""),"コミットOK")</f>
        <v>コミットOK</v>
      </c>
      <c r="S2767" s="152" t="str">
        <f>IFERROR(__xludf.DUMMYFUNCTION("""COMPUTED_VALUE"""),"20240127_リバース_濡れた砂漠【タテヨミ】")</f>
        <v>20240127_リバース_濡れた砂漠【タテヨミ】</v>
      </c>
      <c r="T2767" s="152" t="str">
        <f>IFERROR(__xludf.DUMMYFUNCTION("""COMPUTED_VALUE"""),"格納済み")</f>
        <v>格納済み</v>
      </c>
      <c r="U2767" s="15" t="str">
        <f>IFERROR(__xludf.DUMMYFUNCTION("""COMPUTED_VALUE"""),"(c)zenon, HACK, JOHN, studioALIVE / RIVERSE")</f>
        <v>(c)zenon, HACK, JOHN, studioALIVE / RIVERSE</v>
      </c>
      <c r="V2767" s="8" t="str">
        <f>IFERROR(__xludf.DUMMYFUNCTION("""COMPUTED_VALUE"""),"テファンの金持ち御曹司であるセオは、ボディガードと共に生活することを条件に、５年前に独立して21歳の現在まで道楽生活を楽しんでいる。一方で砂漠の傭兵出身であるセオのボディガード、ジャエードは密かに高貴な自分の主人に恋心を抱いていた。そうとも知らず彼を誘惑するセオと、危険な衝動に駆られるジャエード。危うい二人の関係が続く中、砂漠のランゲネ伯爵家からセオに縁談が舞い込んでくる。気が進まない縁談だが家の圧力に勝てず、セオはジャエードを連れて砂漠の伯爵家へ二人だけで旅に出る。")</f>
        <v>テファンの金持ち御曹司であるセオは、ボディガードと共に生活することを条件に、５年前に独立して21歳の現在まで道楽生活を楽しんでいる。一方で砂漠の傭兵出身であるセオのボディガード、ジャエードは密かに高貴な自分の主人に恋心を抱いていた。そうとも知らず彼を誘惑するセオと、危険な衝動に駆られるジャエード。危うい二人の関係が続く中、砂漠のランゲネ伯爵家からセオに縁談が舞い込んでくる。気が進まない縁談だが家の圧力に勝てず、セオはジャエードを連れて砂漠の伯爵家へ二人だけで旅に出る。</v>
      </c>
      <c r="W2767" s="14"/>
      <c r="X2767" s="14" t="str">
        <f>IFERROR(__xludf.DUMMYFUNCTION("""COMPUTED_VALUE"""),"有")</f>
        <v>有</v>
      </c>
      <c r="Y2767" s="8" t="str">
        <f>IFERROR(__xludf.DUMMYFUNCTION("""COMPUTED_VALUE"""),"3/12まで5巻無料")</f>
        <v>3/12まで5巻無料</v>
      </c>
      <c r="Z2767" s="7"/>
      <c r="AA2767" s="7"/>
      <c r="AB2767" s="7"/>
    </row>
    <row r="2768" ht="15.75" customHeight="1">
      <c r="A2768" s="153">
        <f>IFERROR(__xludf.DUMMYFUNCTION("""COMPUTED_VALUE"""),4883.0)</f>
        <v>4883</v>
      </c>
      <c r="B2768" s="152" t="str">
        <f>IFERROR(__xludf.DUMMYFUNCTION("""COMPUTED_VALUE"""),"確定")</f>
        <v>確定</v>
      </c>
      <c r="C2768" s="154">
        <f>IFERROR(__xludf.DUMMYFUNCTION("""COMPUTED_VALUE"""),45679.0)</f>
        <v>45679</v>
      </c>
      <c r="D2768" s="154">
        <f>IFERROR(__xludf.DUMMYFUNCTION("""COMPUTED_VALUE"""),45685.0)</f>
        <v>45685</v>
      </c>
      <c r="E2768" s="158">
        <f>IFERROR(__xludf.DUMMYFUNCTION("""COMPUTED_VALUE"""),315535.0)</f>
        <v>315535</v>
      </c>
      <c r="F2768" s="159" t="str">
        <f>IFERROR(__xludf.DUMMYFUNCTION("""COMPUTED_VALUE"""),"ナマモノ【タテヨミ】")</f>
        <v>ナマモノ【タテヨミ】</v>
      </c>
      <c r="G2768" s="152" t="str">
        <f>IFERROR(__xludf.DUMMYFUNCTION("""COMPUTED_VALUE"""),"1～20")</f>
        <v>1～20</v>
      </c>
      <c r="H2768" s="152" t="str">
        <f>IFERROR(__xludf.DUMMYFUNCTION("""COMPUTED_VALUE"""),"Battle Shark, Beep-beep, MaRO")</f>
        <v>Battle Shark, Beep-beep, MaRO</v>
      </c>
      <c r="I2768" s="152" t="str">
        <f>IFERROR(__xludf.DUMMYFUNCTION("""COMPUTED_VALUE"""),"BL")</f>
        <v>BL</v>
      </c>
      <c r="J2768" s="157"/>
      <c r="K2768" s="157"/>
      <c r="L2768" s="152" t="str">
        <f>IFERROR(__xludf.DUMMYFUNCTION("""COMPUTED_VALUE"""),"リバース")</f>
        <v>リバース</v>
      </c>
      <c r="M2768" s="59">
        <f>IFERROR(__xludf.DUMMYFUNCTION("""COMPUTED_VALUE"""),45715.0)</f>
        <v>45715</v>
      </c>
      <c r="N2768" s="23">
        <f>IFERROR(__xludf.DUMMYFUNCTION("""COMPUTED_VALUE"""),45771.0)</f>
        <v>45771</v>
      </c>
      <c r="O2768" s="69"/>
      <c r="P2768" s="114" t="str">
        <f>IFERROR(__xludf.DUMMYFUNCTION("""COMPUTED_VALUE"""),"可")</f>
        <v>可</v>
      </c>
      <c r="Q2768" s="69"/>
      <c r="R2768" s="152" t="str">
        <f>IFERROR(__xludf.DUMMYFUNCTION("""COMPUTED_VALUE"""),"コミットOK")</f>
        <v>コミットOK</v>
      </c>
      <c r="S2768" s="152" t="str">
        <f>IFERROR(__xludf.DUMMYFUNCTION("""COMPUTED_VALUE"""),"20240127_リバース_ナマモノ【タテヨミ】")</f>
        <v>20240127_リバース_ナマモノ【タテヨミ】</v>
      </c>
      <c r="T2768" s="152" t="str">
        <f>IFERROR(__xludf.DUMMYFUNCTION("""COMPUTED_VALUE"""),"格納済み")</f>
        <v>格納済み</v>
      </c>
      <c r="U2768" s="15" t="str">
        <f>IFERROR(__xludf.DUMMYFUNCTION("""COMPUTED_VALUE"""),"(c)Battle Shark, Beep-beep, MaRO, studioALIVE / RIVERSE")</f>
        <v>(c)Battle Shark, Beep-beep, MaRO, studioALIVE / RIVERSE</v>
      </c>
      <c r="V2768" s="8" t="str">
        <f>IFERROR(__xludf.DUMMYFUNCTION("""COMPUTED_VALUE"""),"海辺の町で消費者金融業を営んでいた常盤大我。初恋の相手である五十嵐健と10年ぶりに、金貸し業者と金を借りに来た客の関係で再会する。前途有望なピアニストだったはずの健が、父親の借金を背負った債務者となって表れた…落ちぶれた健の姿が気に入らない大我は、お金を貸した後も、気になって彼の周りをウロウロし始める。10年前には大我に無関心だった健が、今は隙のある妙な態度を見せ、二人の仲には以前と違う空気が流れる。既に一度失敗した大我と健…今回は失敗せずに済むのだろうか？")</f>
        <v>海辺の町で消費者金融業を営んでいた常盤大我。初恋の相手である五十嵐健と10年ぶりに、金貸し業者と金を借りに来た客の関係で再会する。前途有望なピアニストだったはずの健が、父親の借金を背負った債務者となって表れた…落ちぶれた健の姿が気に入らない大我は、お金を貸した後も、気になって彼の周りをウロウロし始める。10年前には大我に無関心だった健が、今は隙のある妙な態度を見せ、二人の仲には以前と違う空気が流れる。既に一度失敗した大我と健…今回は失敗せずに済むのだろうか？</v>
      </c>
      <c r="W2768" s="14"/>
      <c r="X2768" s="14" t="str">
        <f>IFERROR(__xludf.DUMMYFUNCTION("""COMPUTED_VALUE"""),"有")</f>
        <v>有</v>
      </c>
      <c r="Y2768" s="8" t="str">
        <f>IFERROR(__xludf.DUMMYFUNCTION("""COMPUTED_VALUE"""),"3/12まで5巻無料")</f>
        <v>3/12まで5巻無料</v>
      </c>
      <c r="Z2768" s="7"/>
      <c r="AA2768" s="7"/>
      <c r="AB2768" s="7"/>
    </row>
    <row r="2769" ht="15.75" customHeight="1">
      <c r="A2769" s="153">
        <f>IFERROR(__xludf.DUMMYFUNCTION("""COMPUTED_VALUE"""),4891.0)</f>
        <v>4891</v>
      </c>
      <c r="B2769" s="152" t="str">
        <f>IFERROR(__xludf.DUMMYFUNCTION("""COMPUTED_VALUE"""),"確定")</f>
        <v>確定</v>
      </c>
      <c r="C2769" s="154">
        <f>IFERROR(__xludf.DUMMYFUNCTION("""COMPUTED_VALUE"""),45681.0)</f>
        <v>45681</v>
      </c>
      <c r="D2769" s="154">
        <f>IFERROR(__xludf.DUMMYFUNCTION("""COMPUTED_VALUE"""),45685.0)</f>
        <v>45685</v>
      </c>
      <c r="E2769" s="168">
        <f>IFERROR(__xludf.DUMMYFUNCTION("""COMPUTED_VALUE"""),301402.0)</f>
        <v>301402</v>
      </c>
      <c r="F2769" s="159" t="str">
        <f>IFERROR(__xludf.DUMMYFUNCTION("""COMPUTED_VALUE"""),"反逆の魔女として追放された令嬢は敵国の王から愛される")</f>
        <v>反逆の魔女として追放された令嬢は敵国の王から愛される</v>
      </c>
      <c r="G2769" s="152" t="str">
        <f>IFERROR(__xludf.DUMMYFUNCTION("""COMPUTED_VALUE"""),"1～3")</f>
        <v>1～3</v>
      </c>
      <c r="H2769" s="152" t="str">
        <f>IFERROR(__xludf.DUMMYFUNCTION("""COMPUTED_VALUE"""),"汐野アユタ,アサノクラ")</f>
        <v>汐野アユタ,アサノクラ</v>
      </c>
      <c r="I2769" s="152" t="str">
        <f>IFERROR(__xludf.DUMMYFUNCTION("""COMPUTED_VALUE"""),"少女マンガ")</f>
        <v>少女マンガ</v>
      </c>
      <c r="J2769" s="152"/>
      <c r="K2769" s="152" t="str">
        <f>IFERROR(__xludf.DUMMYFUNCTION("""COMPUTED_VALUE"""),"トレモア・ロマンス,トレモアcollection")</f>
        <v>トレモア・ロマンス,トレモアcollection</v>
      </c>
      <c r="L2769" s="152" t="str">
        <f>IFERROR(__xludf.DUMMYFUNCTION("""COMPUTED_VALUE"""),"シーモアコミックス（トレモア）")</f>
        <v>シーモアコミックス（トレモア）</v>
      </c>
      <c r="M2769" s="59">
        <f>IFERROR(__xludf.DUMMYFUNCTION("""COMPUTED_VALUE"""),45723.0)</f>
        <v>45723</v>
      </c>
      <c r="N2769" s="59">
        <f>IFERROR(__xludf.DUMMYFUNCTION("""COMPUTED_VALUE"""),45876.0)</f>
        <v>45876</v>
      </c>
      <c r="O2769" s="69"/>
      <c r="P2769" s="114" t="str">
        <f>IFERROR(__xludf.DUMMYFUNCTION("""COMPUTED_VALUE"""),"可")</f>
        <v>可</v>
      </c>
      <c r="Q2769" s="111"/>
      <c r="R2769" s="152"/>
      <c r="S2769" s="152" t="str">
        <f>IFERROR(__xludf.DUMMYFUNCTION("""COMPUTED_VALUE"""),"20250124_シーモアコミックス_反逆の魔女として追放された令嬢は敵国の王から愛される")</f>
        <v>20250124_シーモアコミックス_反逆の魔女として追放された令嬢は敵国の王から愛される</v>
      </c>
      <c r="T2769" s="152" t="str">
        <f>IFERROR(__xludf.DUMMYFUNCTION("""COMPUTED_VALUE"""),"格納済み")</f>
        <v>格納済み</v>
      </c>
      <c r="U2769" s="15" t="str">
        <f>IFERROR(__xludf.DUMMYFUNCTION("""COMPUTED_VALUE"""),"Ⓒ 汐野アユタ/アサノクラ/シーモアコミックス")</f>
        <v>Ⓒ 汐野アユタ/アサノクラ/シーモアコミックス</v>
      </c>
      <c r="V2769" s="8" t="str">
        <f>IFERROR(__xludf.DUMMYFUNCTION("""COMPUTED_VALUE"""),"アルマディーヌ侯爵家のリタは、亡き両親が愛した領地と領民を守るため勤勉に働き、領地でとれる鉱石が人々の暮らしを豊かにすると信じて研究を続けていた。しかしある日、信頼していた従妹・ミリアナの裏切りにより、『反逆の魔女』の汚名を着せられ、無実のまま国外追放になってしまう。荒野で命の危機に陥ったリタを救ったのは、『魔王』と恐れられる隣国の国王・ジーク。彼の手助けを受けながらも、人間の憎悪と国の陰謀に巻き込まれるリタは信念を貫けるのか…？そして、ジークとの出会いが彼女の運命を変えていく―…。")</f>
        <v>アルマディーヌ侯爵家のリタは、亡き両親が愛した領地と領民を守るため勤勉に働き、領地でとれる鉱石が人々の暮らしを豊かにすると信じて研究を続けていた。しかしある日、信頼していた従妹・ミリアナの裏切りにより、『反逆の魔女』の汚名を着せられ、無実のまま国外追放になってしまう。荒野で命の危機に陥ったリタを救ったのは、『魔王』と恐れられる隣国の国王・ジーク。彼の手助けを受けながらも、人間の憎悪と国の陰謀に巻き込まれるリタは信念を貫けるのか…？そして、ジークとの出会いが彼女の運命を変えていく―…。</v>
      </c>
      <c r="W2769" s="14"/>
      <c r="X2769" s="14" t="str">
        <f>IFERROR(__xludf.DUMMYFUNCTION("""COMPUTED_VALUE"""),"有")</f>
        <v>有</v>
      </c>
      <c r="Y2769" s="8" t="str">
        <f>IFERROR(__xludf.DUMMYFUNCTION("""COMPUTED_VALUE"""),"2025/12/31まで1巻無料")</f>
        <v>2025/12/31まで1巻無料</v>
      </c>
      <c r="Z2769" s="7"/>
      <c r="AA2769" s="7"/>
      <c r="AB2769" s="7"/>
    </row>
    <row r="2770" ht="15.75" customHeight="1">
      <c r="A2770" s="153">
        <f>IFERROR(__xludf.DUMMYFUNCTION("""COMPUTED_VALUE"""),4892.0)</f>
        <v>4892</v>
      </c>
      <c r="B2770" s="152" t="str">
        <f>IFERROR(__xludf.DUMMYFUNCTION("""COMPUTED_VALUE"""),"確定")</f>
        <v>確定</v>
      </c>
      <c r="C2770" s="154">
        <f>IFERROR(__xludf.DUMMYFUNCTION("""COMPUTED_VALUE"""),45681.0)</f>
        <v>45681</v>
      </c>
      <c r="D2770" s="154">
        <f>IFERROR(__xludf.DUMMYFUNCTION("""COMPUTED_VALUE"""),45685.0)</f>
        <v>45685</v>
      </c>
      <c r="E2770" s="162">
        <f>IFERROR(__xludf.DUMMYFUNCTION("""COMPUTED_VALUE"""),303658.0)</f>
        <v>303658</v>
      </c>
      <c r="F2770" s="156" t="str">
        <f>IFERROR(__xludf.DUMMYFUNCTION("""COMPUTED_VALUE"""),"歌を忘れた幻獣と生贄の花嫁")</f>
        <v>歌を忘れた幻獣と生贄の花嫁</v>
      </c>
      <c r="G2770" s="152" t="str">
        <f>IFERROR(__xludf.DUMMYFUNCTION("""COMPUTED_VALUE"""),"1～3")</f>
        <v>1～3</v>
      </c>
      <c r="H2770" s="152" t="str">
        <f>IFERROR(__xludf.DUMMYFUNCTION("""COMPUTED_VALUE"""),"平瀬あさい,乙守真亜那")</f>
        <v>平瀬あさい,乙守真亜那</v>
      </c>
      <c r="I2770" s="152" t="str">
        <f>IFERROR(__xludf.DUMMYFUNCTION("""COMPUTED_VALUE"""),"少女マンガ")</f>
        <v>少女マンガ</v>
      </c>
      <c r="J2770" s="152"/>
      <c r="K2770" s="152" t="str">
        <f>IFERROR(__xludf.DUMMYFUNCTION("""COMPUTED_VALUE"""),"トレモア・ロマンス,トレモアcollection")</f>
        <v>トレモア・ロマンス,トレモアcollection</v>
      </c>
      <c r="L2770" s="152" t="str">
        <f>IFERROR(__xludf.DUMMYFUNCTION("""COMPUTED_VALUE"""),"シーモアコミックス（トレモア）")</f>
        <v>シーモアコミックス（トレモア）</v>
      </c>
      <c r="M2770" s="59">
        <f>IFERROR(__xludf.DUMMYFUNCTION("""COMPUTED_VALUE"""),45723.0)</f>
        <v>45723</v>
      </c>
      <c r="N2770" s="59">
        <f>IFERROR(__xludf.DUMMYFUNCTION("""COMPUTED_VALUE"""),45876.0)</f>
        <v>45876</v>
      </c>
      <c r="O2770" s="69"/>
      <c r="P2770" s="114" t="str">
        <f>IFERROR(__xludf.DUMMYFUNCTION("""COMPUTED_VALUE"""),"可")</f>
        <v>可</v>
      </c>
      <c r="Q2770" s="111"/>
      <c r="R2770" s="152"/>
      <c r="S2770" s="152" t="str">
        <f>IFERROR(__xludf.DUMMYFUNCTION("""COMPUTED_VALUE"""),"20250124_シーモアコミックス_歌を忘れた幻獣と生贄の花嫁")</f>
        <v>20250124_シーモアコミックス_歌を忘れた幻獣と生贄の花嫁</v>
      </c>
      <c r="T2770" s="152" t="str">
        <f>IFERROR(__xludf.DUMMYFUNCTION("""COMPUTED_VALUE"""),"格納済み")</f>
        <v>格納済み</v>
      </c>
      <c r="U2770" s="15" t="str">
        <f>IFERROR(__xludf.DUMMYFUNCTION("""COMPUTED_VALUE"""),"Ⓒ 平瀬あさい/乙守真亜那/シーモアコミックス")</f>
        <v>Ⓒ 平瀬あさい/乙守真亜那/シーモアコミックス</v>
      </c>
      <c r="V2770" s="8" t="str">
        <f>IFERROR(__xludf.DUMMYFUNCTION("""COMPUTED_VALUE"""),"イザベラの村では不作を脱するため、古来から続く儀式が行われる。それは幻獣に花嫁を捧げるというもので、なんと結婚直前の親友が花嫁役に選ばれてしまう。見かねたイザベラは身代わりとなり、幻獣の住まう洞窟へ連れていかれる。幻獣と相対したイザベラは、彼の歌で村に豊穣をもたらしてくれるよう頼むが…？")</f>
        <v>イザベラの村では不作を脱するため、古来から続く儀式が行われる。それは幻獣に花嫁を捧げるというもので、なんと結婚直前の親友が花嫁役に選ばれてしまう。見かねたイザベラは身代わりとなり、幻獣の住まう洞窟へ連れていかれる。幻獣と相対したイザベラは、彼の歌で村に豊穣をもたらしてくれるよう頼むが…？</v>
      </c>
      <c r="W2770" s="14"/>
      <c r="X2770" s="14" t="str">
        <f>IFERROR(__xludf.DUMMYFUNCTION("""COMPUTED_VALUE"""),"有")</f>
        <v>有</v>
      </c>
      <c r="Y2770" s="8" t="str">
        <f>IFERROR(__xludf.DUMMYFUNCTION("""COMPUTED_VALUE"""),"2025/12/31まで1巻無料")</f>
        <v>2025/12/31まで1巻無料</v>
      </c>
      <c r="Z2770" s="7"/>
      <c r="AA2770" s="7"/>
      <c r="AB2770" s="7"/>
    </row>
    <row r="2771" ht="15.75" customHeight="1">
      <c r="A2771" s="153">
        <f>IFERROR(__xludf.DUMMYFUNCTION("""COMPUTED_VALUE"""),4895.0)</f>
        <v>4895</v>
      </c>
      <c r="B2771" s="152" t="str">
        <f>IFERROR(__xludf.DUMMYFUNCTION("""COMPUTED_VALUE"""),"確定")</f>
        <v>確定</v>
      </c>
      <c r="C2771" s="154">
        <f>IFERROR(__xludf.DUMMYFUNCTION("""COMPUTED_VALUE"""),45684.0)</f>
        <v>45684</v>
      </c>
      <c r="D2771" s="154">
        <f>IFERROR(__xludf.DUMMYFUNCTION("""COMPUTED_VALUE"""),45685.0)</f>
        <v>45685</v>
      </c>
      <c r="E2771" s="155">
        <f>IFERROR(__xludf.DUMMYFUNCTION("""COMPUTED_VALUE"""),314717.0)</f>
        <v>314717</v>
      </c>
      <c r="F2771" s="156" t="str">
        <f>IFERROR(__xludf.DUMMYFUNCTION("""COMPUTED_VALUE"""),"COMICロティス【R版】")</f>
        <v>COMICロティス【R版】</v>
      </c>
      <c r="G2771" s="153">
        <f>IFERROR(__xludf.DUMMYFUNCTION("""COMPUTED_VALUE"""),1.0)</f>
        <v>1</v>
      </c>
      <c r="H2771" s="152" t="str">
        <f>IFERROR(__xludf.DUMMYFUNCTION("""COMPUTED_VALUE"""),"アンソロジー,穴乱,ロティス編集部")</f>
        <v>アンソロジー,穴乱,ロティス編集部</v>
      </c>
      <c r="I2771" s="152" t="str">
        <f>IFERROR(__xludf.DUMMYFUNCTION("""COMPUTED_VALUE"""),"アダルトマンガ")</f>
        <v>アダルトマンガ</v>
      </c>
      <c r="J2771" s="152"/>
      <c r="K2771" s="152" t="str">
        <f>IFERROR(__xludf.DUMMYFUNCTION("""COMPUTED_VALUE"""),"KATTS")</f>
        <v>KATTS</v>
      </c>
      <c r="L2771" s="152" t="str">
        <f>IFERROR(__xludf.DUMMYFUNCTION("""COMPUTED_VALUE"""),"KATTS")</f>
        <v>KATTS</v>
      </c>
      <c r="M2771" s="59">
        <f>IFERROR(__xludf.DUMMYFUNCTION("""COMPUTED_VALUE"""),45709.0)</f>
        <v>45709</v>
      </c>
      <c r="N2771" s="59">
        <f>IFERROR(__xludf.DUMMYFUNCTION("""COMPUTED_VALUE"""),45764.0)</f>
        <v>45764</v>
      </c>
      <c r="O2771" s="69"/>
      <c r="P2771" s="167" t="str">
        <f>IFERROR(__xludf.DUMMYFUNCTION("""COMPUTED_VALUE"""),"可")</f>
        <v>可</v>
      </c>
      <c r="Q2771" s="166"/>
      <c r="R2771" s="152"/>
      <c r="S2771" s="152" t="str">
        <f>IFERROR(__xludf.DUMMYFUNCTION("""COMPUTED_VALUE"""),"20250122_BookLive_COMICロティス【R版】")</f>
        <v>20250122_BookLive_COMICロティス【R版】</v>
      </c>
      <c r="T2771" s="152" t="str">
        <f>IFERROR(__xludf.DUMMYFUNCTION("""COMPUTED_VALUE"""),"格納済み")</f>
        <v>格納済み</v>
      </c>
      <c r="U2771" s="15" t="str">
        <f>IFERROR(__xludf.DUMMYFUNCTION("""COMPUTED_VALUE"""),"ⒸKATTS")</f>
        <v>ⒸKATTS</v>
      </c>
      <c r="V2771" s="8" t="str">
        <f>IFERROR(__xludf.DUMMYFUNCTION("""COMPUTED_VALUE"""),"＜＜偶数月三週目金曜日配信＞＞「より過激に、よりエモーショナルに」普通のオトナ向け漫画では満足できないあなたに、キャラ同士の関係性を重視しつつ過激描写も大ボリュームのウェブマガジン【COMICロティス】創刊！vol.1のテーマは「執着」カレの執着愛に溺れちゃう…!?『井口くんの素顔』真白しろいろ『Muddy Puppy Love』ぽゆののぽ『執愛ガーディアン』下部『花ちゃんと玲くん』和野うみ『初恋オブセッション』ゆきりんご『暴きたいココロ』作画：ア缶BE/ネーム：川井ねこ『竹から生まれた撫子姫　～なんでも"&amp;"するって言ったよね？番外編～』コムラ『汝隣人を愛せよ　side K』紅碧Cover Illustration：閏あくあCover's Story：蓮井子鹿※Cover's Storyは表紙イラストをイメージしたショートストーリーです※本作は、ズレット！『COMICロティス Vol.1【TL版】』の修正をやや弱めたものです。内容に差異はありませんので、重複購入にご注意ください。")</f>
        <v>＜＜偶数月三週目金曜日配信＞＞「より過激に、よりエモーショナルに」普通のオトナ向け漫画では満足できないあなたに、キャラ同士の関係性を重視しつつ過激描写も大ボリュームのウェブマガジン【COMICロティス】創刊！vol.1のテーマは「執着」カレの執着愛に溺れちゃう…!?『井口くんの素顔』真白しろいろ『Muddy Puppy Love』ぽゆののぽ『執愛ガーディアン』下部『花ちゃんと玲くん』和野うみ『初恋オブセッション』ゆきりんご『暴きたいココロ』作画：ア缶BE/ネーム：川井ねこ『竹から生まれた撫子姫　～なんでもするって言ったよね？番外編～』コムラ『汝隣人を愛せよ　side K』紅碧Cover Illustration：閏あくあCover's Story：蓮井子鹿※Cover's Storyは表紙イラストをイメージしたショートストーリーです※本作は、ズレット！『COMICロティス Vol.1【TL版】』の修正をやや弱めたものです。内容に差異はありませんので、重複購入にご注意ください。</v>
      </c>
      <c r="W2771" s="14"/>
      <c r="X2771" s="14" t="str">
        <f>IFERROR(__xludf.DUMMYFUNCTION("""COMPUTED_VALUE"""),"有")</f>
        <v>有</v>
      </c>
      <c r="Y2771" s="8" t="str">
        <f>IFERROR(__xludf.DUMMYFUNCTION("""COMPUTED_VALUE"""),"2025/4/17まで立ち読み増量P12まで")</f>
        <v>2025/4/17まで立ち読み増量P12まで</v>
      </c>
      <c r="Z2771" s="7"/>
      <c r="AA2771" s="7"/>
      <c r="AB2771" s="7"/>
    </row>
    <row r="2772" ht="15.75" customHeight="1">
      <c r="A2772" s="153">
        <f>IFERROR(__xludf.DUMMYFUNCTION("""COMPUTED_VALUE"""),4896.0)</f>
        <v>4896</v>
      </c>
      <c r="B2772" s="152" t="str">
        <f>IFERROR(__xludf.DUMMYFUNCTION("""COMPUTED_VALUE"""),"確定")</f>
        <v>確定</v>
      </c>
      <c r="C2772" s="154">
        <f>IFERROR(__xludf.DUMMYFUNCTION("""COMPUTED_VALUE"""),45684.0)</f>
        <v>45684</v>
      </c>
      <c r="D2772" s="154">
        <f>IFERROR(__xludf.DUMMYFUNCTION("""COMPUTED_VALUE"""),45685.0)</f>
        <v>45685</v>
      </c>
      <c r="E2772" s="155">
        <f>IFERROR(__xludf.DUMMYFUNCTION("""COMPUTED_VALUE"""),314725.0)</f>
        <v>314725</v>
      </c>
      <c r="F2772" s="156" t="str">
        <f>IFERROR(__xludf.DUMMYFUNCTION("""COMPUTED_VALUE"""),"真白しろいろ作品集【TL版】")</f>
        <v>真白しろいろ作品集【TL版】</v>
      </c>
      <c r="G2772" s="153">
        <f>IFERROR(__xludf.DUMMYFUNCTION("""COMPUTED_VALUE"""),1.0)</f>
        <v>1</v>
      </c>
      <c r="H2772" s="152" t="str">
        <f>IFERROR(__xludf.DUMMYFUNCTION("""COMPUTED_VALUE"""),"真白しろいろ┴ロティス編集部")</f>
        <v>真白しろいろ┴ロティス編集部</v>
      </c>
      <c r="I2772" s="152" t="str">
        <f>IFERROR(__xludf.DUMMYFUNCTION("""COMPUTED_VALUE"""),"TL")</f>
        <v>TL</v>
      </c>
      <c r="J2772" s="152"/>
      <c r="K2772" s="152" t="str">
        <f>IFERROR(__xludf.DUMMYFUNCTION("""COMPUTED_VALUE"""),"ズレット！")</f>
        <v>ズレット！</v>
      </c>
      <c r="L2772" s="152" t="str">
        <f>IFERROR(__xludf.DUMMYFUNCTION("""COMPUTED_VALUE"""),"ライブコミックス")</f>
        <v>ライブコミックス</v>
      </c>
      <c r="M2772" s="59">
        <f>IFERROR(__xludf.DUMMYFUNCTION("""COMPUTED_VALUE"""),45709.0)</f>
        <v>45709</v>
      </c>
      <c r="N2772" s="59">
        <f>IFERROR(__xludf.DUMMYFUNCTION("""COMPUTED_VALUE"""),45764.0)</f>
        <v>45764</v>
      </c>
      <c r="O2772" s="69"/>
      <c r="P2772" s="167" t="str">
        <f>IFERROR(__xludf.DUMMYFUNCTION("""COMPUTED_VALUE"""),"可")</f>
        <v>可</v>
      </c>
      <c r="Q2772" s="166"/>
      <c r="R2772" s="152"/>
      <c r="S2772" s="152" t="str">
        <f>IFERROR(__xludf.DUMMYFUNCTION("""COMPUTED_VALUE"""),"20250127_BookLive_真白しろいろ作品集【TL版】")</f>
        <v>20250127_BookLive_真白しろいろ作品集【TL版】</v>
      </c>
      <c r="T2772" s="152" t="str">
        <f>IFERROR(__xludf.DUMMYFUNCTION("""COMPUTED_VALUE"""),"格納済み")</f>
        <v>格納済み</v>
      </c>
      <c r="U2772" s="15" t="str">
        <f>IFERROR(__xludf.DUMMYFUNCTION("""COMPUTED_VALUE"""),"Ⓒ真白しろいろ/ライブコミックス")</f>
        <v>Ⓒ真白しろいろ/ライブコミックス</v>
      </c>
      <c r="V2772" s="8" t="str">
        <f>IFERROR(__xludf.DUMMYFUNCTION("""COMPUTED_VALUE"""),"『井口くんの素顔』真白しろいろ居酒屋で働いている幡中さんは新人の井口くんの教育係を命じられる。強面系な井口くんの意外な笑顔に惹かれていく中、仕事帰りに井口くんの家に行く事になり…期待をしていた幡中さんだったけど、井口くんの様子がおかしくて!?※本作は、KATTS『真白しろいろ作品集【R版】』と修正は異なりますが、内容に差異はございません。重複購入にご注意ください。")</f>
        <v>『井口くんの素顔』真白しろいろ居酒屋で働いている幡中さんは新人の井口くんの教育係を命じられる。強面系な井口くんの意外な笑顔に惹かれていく中、仕事帰りに井口くんの家に行く事になり…期待をしていた幡中さんだったけど、井口くんの様子がおかしくて!?※本作は、KATTS『真白しろいろ作品集【R版】』と修正は異なりますが、内容に差異はございません。重複購入にご注意ください。</v>
      </c>
      <c r="W2772" s="14"/>
      <c r="X2772" s="14" t="str">
        <f>IFERROR(__xludf.DUMMYFUNCTION("""COMPUTED_VALUE"""),"有")</f>
        <v>有</v>
      </c>
      <c r="Y2772" s="8" t="str">
        <f>IFERROR(__xludf.DUMMYFUNCTION("""COMPUTED_VALUE"""),"P9まで")</f>
        <v>P9まで</v>
      </c>
      <c r="Z2772" s="7"/>
      <c r="AA2772" s="7"/>
      <c r="AB2772" s="7"/>
    </row>
    <row r="2773" ht="15.75" customHeight="1">
      <c r="A2773" s="153">
        <f>IFERROR(__xludf.DUMMYFUNCTION("""COMPUTED_VALUE"""),4897.0)</f>
        <v>4897</v>
      </c>
      <c r="B2773" s="152" t="str">
        <f>IFERROR(__xludf.DUMMYFUNCTION("""COMPUTED_VALUE"""),"確定")</f>
        <v>確定</v>
      </c>
      <c r="C2773" s="154">
        <f>IFERROR(__xludf.DUMMYFUNCTION("""COMPUTED_VALUE"""),45684.0)</f>
        <v>45684</v>
      </c>
      <c r="D2773" s="154">
        <f>IFERROR(__xludf.DUMMYFUNCTION("""COMPUTED_VALUE"""),45685.0)</f>
        <v>45685</v>
      </c>
      <c r="E2773" s="155">
        <f>IFERROR(__xludf.DUMMYFUNCTION("""COMPUTED_VALUE"""),314718.0)</f>
        <v>314718</v>
      </c>
      <c r="F2773" s="156" t="str">
        <f>IFERROR(__xludf.DUMMYFUNCTION("""COMPUTED_VALUE"""),"真白しろいろ作品集【R版】")</f>
        <v>真白しろいろ作品集【R版】</v>
      </c>
      <c r="G2773" s="153">
        <f>IFERROR(__xludf.DUMMYFUNCTION("""COMPUTED_VALUE"""),1.0)</f>
        <v>1</v>
      </c>
      <c r="H2773" s="152" t="str">
        <f>IFERROR(__xludf.DUMMYFUNCTION("""COMPUTED_VALUE"""),"真白しろいろ┴穴乱")</f>
        <v>真白しろいろ┴穴乱</v>
      </c>
      <c r="I2773" s="152" t="str">
        <f>IFERROR(__xludf.DUMMYFUNCTION("""COMPUTED_VALUE"""),"アダルトマンガ")</f>
        <v>アダルトマンガ</v>
      </c>
      <c r="J2773" s="152"/>
      <c r="K2773" s="152" t="str">
        <f>IFERROR(__xludf.DUMMYFUNCTION("""COMPUTED_VALUE"""),"KATTS")</f>
        <v>KATTS</v>
      </c>
      <c r="L2773" s="152" t="str">
        <f>IFERROR(__xludf.DUMMYFUNCTION("""COMPUTED_VALUE"""),"KATTS")</f>
        <v>KATTS</v>
      </c>
      <c r="M2773" s="59">
        <f>IFERROR(__xludf.DUMMYFUNCTION("""COMPUTED_VALUE"""),45709.0)</f>
        <v>45709</v>
      </c>
      <c r="N2773" s="59">
        <f>IFERROR(__xludf.DUMMYFUNCTION("""COMPUTED_VALUE"""),45764.0)</f>
        <v>45764</v>
      </c>
      <c r="O2773" s="69"/>
      <c r="P2773" s="167" t="str">
        <f>IFERROR(__xludf.DUMMYFUNCTION("""COMPUTED_VALUE"""),"可")</f>
        <v>可</v>
      </c>
      <c r="Q2773" s="166"/>
      <c r="R2773" s="152"/>
      <c r="S2773" s="152" t="str">
        <f>IFERROR(__xludf.DUMMYFUNCTION("""COMPUTED_VALUE"""),"20250127_BookLive_真白しろいろ作品集【R版】")</f>
        <v>20250127_BookLive_真白しろいろ作品集【R版】</v>
      </c>
      <c r="T2773" s="152" t="str">
        <f>IFERROR(__xludf.DUMMYFUNCTION("""COMPUTED_VALUE"""),"格納済み")</f>
        <v>格納済み</v>
      </c>
      <c r="U2773" s="15" t="str">
        <f>IFERROR(__xludf.DUMMYFUNCTION("""COMPUTED_VALUE"""),"ⒸKATTS")</f>
        <v>ⒸKATTS</v>
      </c>
      <c r="V2773" s="8" t="str">
        <f>IFERROR(__xludf.DUMMYFUNCTION("""COMPUTED_VALUE"""),"『井口くんの素顔』真白しろいろ居酒屋で働いている幡中さんは新人の井口くんの教育係を命じられる。強面系な井口くんの意外な笑顔に惹かれていく中、仕事帰りに井口くんの家に行く事になり…期待をしていた幡中さんだったけど、井口くんの様子がおかしくて!?※本作は、ズレット！『井口くんの素顔【TL版】』の修正をやや弱めたものです。内容に差異はありませんので、重複購入にご注意ください。")</f>
        <v>『井口くんの素顔』真白しろいろ居酒屋で働いている幡中さんは新人の井口くんの教育係を命じられる。強面系な井口くんの意外な笑顔に惹かれていく中、仕事帰りに井口くんの家に行く事になり…期待をしていた幡中さんだったけど、井口くんの様子がおかしくて!?※本作は、ズレット！『井口くんの素顔【TL版】』の修正をやや弱めたものです。内容に差異はありませんので、重複購入にご注意ください。</v>
      </c>
      <c r="W2773" s="14"/>
      <c r="X2773" s="14" t="str">
        <f>IFERROR(__xludf.DUMMYFUNCTION("""COMPUTED_VALUE"""),"有")</f>
        <v>有</v>
      </c>
      <c r="Y2773" s="8" t="str">
        <f>IFERROR(__xludf.DUMMYFUNCTION("""COMPUTED_VALUE"""),"P9まで")</f>
        <v>P9まで</v>
      </c>
      <c r="Z2773" s="7"/>
      <c r="AA2773" s="7"/>
      <c r="AB2773" s="7"/>
    </row>
    <row r="2774" ht="15.75" customHeight="1">
      <c r="A2774" s="153">
        <f>IFERROR(__xludf.DUMMYFUNCTION("""COMPUTED_VALUE"""),4898.0)</f>
        <v>4898</v>
      </c>
      <c r="B2774" s="152" t="str">
        <f>IFERROR(__xludf.DUMMYFUNCTION("""COMPUTED_VALUE"""),"確定")</f>
        <v>確定</v>
      </c>
      <c r="C2774" s="154">
        <f>IFERROR(__xludf.DUMMYFUNCTION("""COMPUTED_VALUE"""),45684.0)</f>
        <v>45684</v>
      </c>
      <c r="D2774" s="154">
        <f>IFERROR(__xludf.DUMMYFUNCTION("""COMPUTED_VALUE"""),45685.0)</f>
        <v>45685</v>
      </c>
      <c r="E2774" s="155">
        <f>IFERROR(__xludf.DUMMYFUNCTION("""COMPUTED_VALUE"""),314726.0)</f>
        <v>314726</v>
      </c>
      <c r="F2774" s="156" t="str">
        <f>IFERROR(__xludf.DUMMYFUNCTION("""COMPUTED_VALUE"""),"ぽゆののぽ作品集【TL版】")</f>
        <v>ぽゆののぽ作品集【TL版】</v>
      </c>
      <c r="G2774" s="153">
        <f>IFERROR(__xludf.DUMMYFUNCTION("""COMPUTED_VALUE"""),1.0)</f>
        <v>1</v>
      </c>
      <c r="H2774" s="152" t="str">
        <f>IFERROR(__xludf.DUMMYFUNCTION("""COMPUTED_VALUE"""),"ぽゆののぽ┴ロティス編集部")</f>
        <v>ぽゆののぽ┴ロティス編集部</v>
      </c>
      <c r="I2774" s="152" t="str">
        <f>IFERROR(__xludf.DUMMYFUNCTION("""COMPUTED_VALUE"""),"TL")</f>
        <v>TL</v>
      </c>
      <c r="J2774" s="152"/>
      <c r="K2774" s="152" t="str">
        <f>IFERROR(__xludf.DUMMYFUNCTION("""COMPUTED_VALUE"""),"ズレット！")</f>
        <v>ズレット！</v>
      </c>
      <c r="L2774" s="152" t="str">
        <f>IFERROR(__xludf.DUMMYFUNCTION("""COMPUTED_VALUE"""),"ライブコミックス")</f>
        <v>ライブコミックス</v>
      </c>
      <c r="M2774" s="59">
        <f>IFERROR(__xludf.DUMMYFUNCTION("""COMPUTED_VALUE"""),45709.0)</f>
        <v>45709</v>
      </c>
      <c r="N2774" s="59">
        <f>IFERROR(__xludf.DUMMYFUNCTION("""COMPUTED_VALUE"""),45764.0)</f>
        <v>45764</v>
      </c>
      <c r="O2774" s="69"/>
      <c r="P2774" s="167" t="str">
        <f>IFERROR(__xludf.DUMMYFUNCTION("""COMPUTED_VALUE"""),"可")</f>
        <v>可</v>
      </c>
      <c r="Q2774" s="166"/>
      <c r="R2774" s="152"/>
      <c r="S2774" s="152" t="str">
        <f>IFERROR(__xludf.DUMMYFUNCTION("""COMPUTED_VALUE"""),"20250127_BookLive_ぽゆののぽ作品集【TL版】")</f>
        <v>20250127_BookLive_ぽゆののぽ作品集【TL版】</v>
      </c>
      <c r="T2774" s="152" t="str">
        <f>IFERROR(__xludf.DUMMYFUNCTION("""COMPUTED_VALUE"""),"格納済み")</f>
        <v>格納済み</v>
      </c>
      <c r="U2774" s="15" t="str">
        <f>IFERROR(__xludf.DUMMYFUNCTION("""COMPUTED_VALUE"""),"Ⓒぽゆののぽ/ライブコミックス")</f>
        <v>Ⓒぽゆののぽ/ライブコミックス</v>
      </c>
      <c r="V2774" s="8" t="str">
        <f>IFERROR(__xludf.DUMMYFUNCTION("""COMPUTED_VALUE"""),"『Muddy Puppy Love』ぽゆののぽ「もう俺以外、見ちゃダメだよ」年下幼馴染の悠輝に、ある日元カレといるところを目撃された菜々。嫉妬した悠輝から、俺もずっと好きだったと告白されて!?泣き虫だった昔と変わって大人の男になった幼馴染に、えっちしたいと可愛い顔でお願いされたら断れなくて…。※本作は、KATTS『Muddy Puppy Love【R版】』と修正は異なりますが、内容に差異はございません。重複購入にご注意ください。")</f>
        <v>『Muddy Puppy Love』ぽゆののぽ「もう俺以外、見ちゃダメだよ」年下幼馴染の悠輝に、ある日元カレといるところを目撃された菜々。嫉妬した悠輝から、俺もずっと好きだったと告白されて!?泣き虫だった昔と変わって大人の男になった幼馴染に、えっちしたいと可愛い顔でお願いされたら断れなくて…。※本作は、KATTS『Muddy Puppy Love【R版】』と修正は異なりますが、内容に差異はございません。重複購入にご注意ください。</v>
      </c>
      <c r="W2774" s="14"/>
      <c r="X2774" s="14" t="str">
        <f>IFERROR(__xludf.DUMMYFUNCTION("""COMPUTED_VALUE"""),"有")</f>
        <v>有</v>
      </c>
      <c r="Y2774" s="8" t="str">
        <f>IFERROR(__xludf.DUMMYFUNCTION("""COMPUTED_VALUE"""),"P13まで")</f>
        <v>P13まで</v>
      </c>
      <c r="Z2774" s="7"/>
      <c r="AA2774" s="7"/>
      <c r="AB2774" s="7"/>
    </row>
    <row r="2775" ht="15.75" customHeight="1">
      <c r="A2775" s="153">
        <f>IFERROR(__xludf.DUMMYFUNCTION("""COMPUTED_VALUE"""),4901.0)</f>
        <v>4901</v>
      </c>
      <c r="B2775" s="152" t="str">
        <f>IFERROR(__xludf.DUMMYFUNCTION("""COMPUTED_VALUE"""),"確定")</f>
        <v>確定</v>
      </c>
      <c r="C2775" s="154">
        <f>IFERROR(__xludf.DUMMYFUNCTION("""COMPUTED_VALUE"""),45684.0)</f>
        <v>45684</v>
      </c>
      <c r="D2775" s="154">
        <f>IFERROR(__xludf.DUMMYFUNCTION("""COMPUTED_VALUE"""),45685.0)</f>
        <v>45685</v>
      </c>
      <c r="E2775" s="155">
        <f>IFERROR(__xludf.DUMMYFUNCTION("""COMPUTED_VALUE"""),314719.0)</f>
        <v>314719</v>
      </c>
      <c r="F2775" s="156" t="str">
        <f>IFERROR(__xludf.DUMMYFUNCTION("""COMPUTED_VALUE"""),"ぽゆののぽ作品集【R版】")</f>
        <v>ぽゆののぽ作品集【R版】</v>
      </c>
      <c r="G2775" s="153">
        <f>IFERROR(__xludf.DUMMYFUNCTION("""COMPUTED_VALUE"""),1.0)</f>
        <v>1</v>
      </c>
      <c r="H2775" s="152" t="str">
        <f>IFERROR(__xludf.DUMMYFUNCTION("""COMPUTED_VALUE"""),"ぽゆののぽ┴穴乱")</f>
        <v>ぽゆののぽ┴穴乱</v>
      </c>
      <c r="I2775" s="152" t="str">
        <f>IFERROR(__xludf.DUMMYFUNCTION("""COMPUTED_VALUE"""),"アダルトマンガ")</f>
        <v>アダルトマンガ</v>
      </c>
      <c r="J2775" s="152"/>
      <c r="K2775" s="152" t="str">
        <f>IFERROR(__xludf.DUMMYFUNCTION("""COMPUTED_VALUE"""),"KATTS")</f>
        <v>KATTS</v>
      </c>
      <c r="L2775" s="152" t="str">
        <f>IFERROR(__xludf.DUMMYFUNCTION("""COMPUTED_VALUE"""),"KATTS")</f>
        <v>KATTS</v>
      </c>
      <c r="M2775" s="59">
        <f>IFERROR(__xludf.DUMMYFUNCTION("""COMPUTED_VALUE"""),45709.0)</f>
        <v>45709</v>
      </c>
      <c r="N2775" s="59">
        <f>IFERROR(__xludf.DUMMYFUNCTION("""COMPUTED_VALUE"""),45764.0)</f>
        <v>45764</v>
      </c>
      <c r="O2775" s="69"/>
      <c r="P2775" s="167" t="str">
        <f>IFERROR(__xludf.DUMMYFUNCTION("""COMPUTED_VALUE"""),"可")</f>
        <v>可</v>
      </c>
      <c r="Q2775" s="166"/>
      <c r="R2775" s="152"/>
      <c r="S2775" s="152" t="str">
        <f>IFERROR(__xludf.DUMMYFUNCTION("""COMPUTED_VALUE"""),"20250127_BookLive_ぽゆののぽ作品集【R版】")</f>
        <v>20250127_BookLive_ぽゆののぽ作品集【R版】</v>
      </c>
      <c r="T2775" s="152" t="str">
        <f>IFERROR(__xludf.DUMMYFUNCTION("""COMPUTED_VALUE"""),"格納済み")</f>
        <v>格納済み</v>
      </c>
      <c r="U2775" s="15" t="str">
        <f>IFERROR(__xludf.DUMMYFUNCTION("""COMPUTED_VALUE"""),"ⒸKATTS")</f>
        <v>ⒸKATTS</v>
      </c>
      <c r="V2775" s="8" t="str">
        <f>IFERROR(__xludf.DUMMYFUNCTION("""COMPUTED_VALUE"""),"『Muddy Puppy Love』ぽゆののぽ「もう俺以外、見ちゃダメだよ」年下幼馴染の悠輝に、ある日元カレといるところを目撃された菜々。嫉妬した悠輝から、俺もずっと好きだったと告白されて!?泣き虫だった昔と変わって大人の男になった幼馴染に、えっちしたいと可愛い顔でお願いされたら断れなくて…。※本作は、ズレット！『Muddy Puppy Love【TL版】』の修正をやや弱めたものです。内容に差異はありませんので、重複購入にご注意ください。")</f>
        <v>『Muddy Puppy Love』ぽゆののぽ「もう俺以外、見ちゃダメだよ」年下幼馴染の悠輝に、ある日元カレといるところを目撃された菜々。嫉妬した悠輝から、俺もずっと好きだったと告白されて!?泣き虫だった昔と変わって大人の男になった幼馴染に、えっちしたいと可愛い顔でお願いされたら断れなくて…。※本作は、ズレット！『Muddy Puppy Love【TL版】』の修正をやや弱めたものです。内容に差異はありませんので、重複購入にご注意ください。</v>
      </c>
      <c r="W2775" s="14"/>
      <c r="X2775" s="14" t="str">
        <f>IFERROR(__xludf.DUMMYFUNCTION("""COMPUTED_VALUE"""),"有")</f>
        <v>有</v>
      </c>
      <c r="Y2775" s="8" t="str">
        <f>IFERROR(__xludf.DUMMYFUNCTION("""COMPUTED_VALUE"""),"P13まで")</f>
        <v>P13まで</v>
      </c>
      <c r="Z2775" s="7"/>
      <c r="AA2775" s="7"/>
      <c r="AB2775" s="7"/>
    </row>
    <row r="2776" ht="15.75" customHeight="1">
      <c r="A2776" s="153">
        <f>IFERROR(__xludf.DUMMYFUNCTION("""COMPUTED_VALUE"""),4902.0)</f>
        <v>4902</v>
      </c>
      <c r="B2776" s="152" t="str">
        <f>IFERROR(__xludf.DUMMYFUNCTION("""COMPUTED_VALUE"""),"確定")</f>
        <v>確定</v>
      </c>
      <c r="C2776" s="154">
        <f>IFERROR(__xludf.DUMMYFUNCTION("""COMPUTED_VALUE"""),45684.0)</f>
        <v>45684</v>
      </c>
      <c r="D2776" s="154">
        <f>IFERROR(__xludf.DUMMYFUNCTION("""COMPUTED_VALUE"""),45685.0)</f>
        <v>45685</v>
      </c>
      <c r="E2776" s="155">
        <f>IFERROR(__xludf.DUMMYFUNCTION("""COMPUTED_VALUE"""),314727.0)</f>
        <v>314727</v>
      </c>
      <c r="F2776" s="156" t="str">
        <f>IFERROR(__xludf.DUMMYFUNCTION("""COMPUTED_VALUE"""),"下部作品集【TL版】")</f>
        <v>下部作品集【TL版】</v>
      </c>
      <c r="G2776" s="153">
        <f>IFERROR(__xludf.DUMMYFUNCTION("""COMPUTED_VALUE"""),1.0)</f>
        <v>1</v>
      </c>
      <c r="H2776" s="152" t="str">
        <f>IFERROR(__xludf.DUMMYFUNCTION("""COMPUTED_VALUE"""),"下部┴ロティス編集部")</f>
        <v>下部┴ロティス編集部</v>
      </c>
      <c r="I2776" s="152" t="str">
        <f>IFERROR(__xludf.DUMMYFUNCTION("""COMPUTED_VALUE"""),"TL")</f>
        <v>TL</v>
      </c>
      <c r="J2776" s="152"/>
      <c r="K2776" s="152" t="str">
        <f>IFERROR(__xludf.DUMMYFUNCTION("""COMPUTED_VALUE"""),"ズレット！")</f>
        <v>ズレット！</v>
      </c>
      <c r="L2776" s="152" t="str">
        <f>IFERROR(__xludf.DUMMYFUNCTION("""COMPUTED_VALUE"""),"ライブコミックス")</f>
        <v>ライブコミックス</v>
      </c>
      <c r="M2776" s="59">
        <f>IFERROR(__xludf.DUMMYFUNCTION("""COMPUTED_VALUE"""),45709.0)</f>
        <v>45709</v>
      </c>
      <c r="N2776" s="59">
        <f>IFERROR(__xludf.DUMMYFUNCTION("""COMPUTED_VALUE"""),45764.0)</f>
        <v>45764</v>
      </c>
      <c r="O2776" s="69"/>
      <c r="P2776" s="167" t="str">
        <f>IFERROR(__xludf.DUMMYFUNCTION("""COMPUTED_VALUE"""),"可")</f>
        <v>可</v>
      </c>
      <c r="Q2776" s="166"/>
      <c r="R2776" s="152"/>
      <c r="S2776" s="152" t="str">
        <f>IFERROR(__xludf.DUMMYFUNCTION("""COMPUTED_VALUE"""),"20250212_BookLive_下部作品集【TL版】	")</f>
        <v>20250212_BookLive_下部作品集【TL版】	</v>
      </c>
      <c r="T2776" s="152" t="str">
        <f>IFERROR(__xludf.DUMMYFUNCTION("""COMPUTED_VALUE"""),"格納済み")</f>
        <v>格納済み</v>
      </c>
      <c r="U2776" s="15" t="str">
        <f>IFERROR(__xludf.DUMMYFUNCTION("""COMPUTED_VALUE"""),"Ⓒ下部/ライブコミックス")</f>
        <v>Ⓒ下部/ライブコミックス</v>
      </c>
      <c r="V2776" s="8" t="str">
        <f>IFERROR(__xludf.DUMMYFUNCTION("""COMPUTED_VALUE"""),"『執愛ガーディアン』下部「ほかの男がちかのこと、そういう目で見るの…俺は絶対許さない…」彼氏が欲しい大学生・ちかの邪魔を、なぜか毎回してくるクールな２歳年上の幼馴染・いつき。とうとう合コンまで邪魔をされ、怒り心頭なちかは、お詫びさせるためにいつきの部屋についていくが…。※本作は、KATTS『下部作品集【R版】』と修正は異なりますが、内容に差異はございません。重複購入にご注意ください。")</f>
        <v>『執愛ガーディアン』下部「ほかの男がちかのこと、そういう目で見るの…俺は絶対許さない…」彼氏が欲しい大学生・ちかの邪魔を、なぜか毎回してくるクールな２歳年上の幼馴染・いつき。とうとう合コンまで邪魔をされ、怒り心頭なちかは、お詫びさせるためにいつきの部屋についていくが…。※本作は、KATTS『下部作品集【R版】』と修正は異なりますが、内容に差異はございません。重複購入にご注意ください。</v>
      </c>
      <c r="W2776" s="14"/>
      <c r="X2776" s="14" t="str">
        <f>IFERROR(__xludf.DUMMYFUNCTION("""COMPUTED_VALUE"""),"有")</f>
        <v>有</v>
      </c>
      <c r="Y2776" s="8" t="str">
        <f>IFERROR(__xludf.DUMMYFUNCTION("""COMPUTED_VALUE"""),"P13まで")</f>
        <v>P13まで</v>
      </c>
      <c r="Z2776" s="7"/>
      <c r="AA2776" s="7"/>
      <c r="AB2776" s="7"/>
    </row>
    <row r="2777" ht="15.75" customHeight="1">
      <c r="A2777" s="153">
        <f>IFERROR(__xludf.DUMMYFUNCTION("""COMPUTED_VALUE"""),4903.0)</f>
        <v>4903</v>
      </c>
      <c r="B2777" s="152" t="str">
        <f>IFERROR(__xludf.DUMMYFUNCTION("""COMPUTED_VALUE"""),"確定")</f>
        <v>確定</v>
      </c>
      <c r="C2777" s="154">
        <f>IFERROR(__xludf.DUMMYFUNCTION("""COMPUTED_VALUE"""),45684.0)</f>
        <v>45684</v>
      </c>
      <c r="D2777" s="154">
        <f>IFERROR(__xludf.DUMMYFUNCTION("""COMPUTED_VALUE"""),45685.0)</f>
        <v>45685</v>
      </c>
      <c r="E2777" s="155">
        <f>IFERROR(__xludf.DUMMYFUNCTION("""COMPUTED_VALUE"""),314720.0)</f>
        <v>314720</v>
      </c>
      <c r="F2777" s="156" t="str">
        <f>IFERROR(__xludf.DUMMYFUNCTION("""COMPUTED_VALUE"""),"下部作品集【R版】")</f>
        <v>下部作品集【R版】</v>
      </c>
      <c r="G2777" s="153">
        <f>IFERROR(__xludf.DUMMYFUNCTION("""COMPUTED_VALUE"""),1.0)</f>
        <v>1</v>
      </c>
      <c r="H2777" s="152" t="str">
        <f>IFERROR(__xludf.DUMMYFUNCTION("""COMPUTED_VALUE"""),"下部┴穴乱")</f>
        <v>下部┴穴乱</v>
      </c>
      <c r="I2777" s="152" t="str">
        <f>IFERROR(__xludf.DUMMYFUNCTION("""COMPUTED_VALUE"""),"アダルトマンガ")</f>
        <v>アダルトマンガ</v>
      </c>
      <c r="J2777" s="152"/>
      <c r="K2777" s="152" t="str">
        <f>IFERROR(__xludf.DUMMYFUNCTION("""COMPUTED_VALUE"""),"KATTS")</f>
        <v>KATTS</v>
      </c>
      <c r="L2777" s="152" t="str">
        <f>IFERROR(__xludf.DUMMYFUNCTION("""COMPUTED_VALUE"""),"KATTS")</f>
        <v>KATTS</v>
      </c>
      <c r="M2777" s="59">
        <f>IFERROR(__xludf.DUMMYFUNCTION("""COMPUTED_VALUE"""),45709.0)</f>
        <v>45709</v>
      </c>
      <c r="N2777" s="59">
        <f>IFERROR(__xludf.DUMMYFUNCTION("""COMPUTED_VALUE"""),45764.0)</f>
        <v>45764</v>
      </c>
      <c r="O2777" s="69"/>
      <c r="P2777" s="167" t="str">
        <f>IFERROR(__xludf.DUMMYFUNCTION("""COMPUTED_VALUE"""),"可")</f>
        <v>可</v>
      </c>
      <c r="Q2777" s="166"/>
      <c r="R2777" s="152"/>
      <c r="S2777" s="152" t="str">
        <f>IFERROR(__xludf.DUMMYFUNCTION("""COMPUTED_VALUE"""),"20250212_BookLive_下部作品集【R版】	")</f>
        <v>20250212_BookLive_下部作品集【R版】	</v>
      </c>
      <c r="T2777" s="152" t="str">
        <f>IFERROR(__xludf.DUMMYFUNCTION("""COMPUTED_VALUE"""),"格納済み")</f>
        <v>格納済み</v>
      </c>
      <c r="U2777" s="15" t="str">
        <f>IFERROR(__xludf.DUMMYFUNCTION("""COMPUTED_VALUE"""),"ⒸKATTS")</f>
        <v>ⒸKATTS</v>
      </c>
      <c r="V2777" s="8" t="str">
        <f>IFERROR(__xludf.DUMMYFUNCTION("""COMPUTED_VALUE"""),"『執愛ガーディアン』下部「ほかの男がちかのこと、そういう目で見るの…俺は絶対許さない…」彼氏が欲しい大学生・ちかの邪魔を、なぜか毎回してくるクールな２歳年上の幼馴染・いつき。とうとう合コンまで邪魔をされ、怒り心頭なちかは、お詫びさせるためにいつきの部屋についていくが…。※本作は、ズレット！『執愛ガーディアン【TL版】』の修正をやや弱めたものです。内容に差異はありませんので、重複購入にご注意ください。")</f>
        <v>『執愛ガーディアン』下部「ほかの男がちかのこと、そういう目で見るの…俺は絶対許さない…」彼氏が欲しい大学生・ちかの邪魔を、なぜか毎回してくるクールな２歳年上の幼馴染・いつき。とうとう合コンまで邪魔をされ、怒り心頭なちかは、お詫びさせるためにいつきの部屋についていくが…。※本作は、ズレット！『執愛ガーディアン【TL版】』の修正をやや弱めたものです。内容に差異はありませんので、重複購入にご注意ください。</v>
      </c>
      <c r="W2777" s="14"/>
      <c r="X2777" s="14" t="str">
        <f>IFERROR(__xludf.DUMMYFUNCTION("""COMPUTED_VALUE"""),"有")</f>
        <v>有</v>
      </c>
      <c r="Y2777" s="8" t="str">
        <f>IFERROR(__xludf.DUMMYFUNCTION("""COMPUTED_VALUE"""),"P13まで")</f>
        <v>P13まで</v>
      </c>
      <c r="Z2777" s="7"/>
      <c r="AA2777" s="7"/>
      <c r="AB2777" s="7"/>
    </row>
    <row r="2778" ht="15.75" customHeight="1">
      <c r="A2778" s="153">
        <f>IFERROR(__xludf.DUMMYFUNCTION("""COMPUTED_VALUE"""),4906.0)</f>
        <v>4906</v>
      </c>
      <c r="B2778" s="152" t="str">
        <f>IFERROR(__xludf.DUMMYFUNCTION("""COMPUTED_VALUE"""),"確定")</f>
        <v>確定</v>
      </c>
      <c r="C2778" s="154">
        <f>IFERROR(__xludf.DUMMYFUNCTION("""COMPUTED_VALUE"""),45684.0)</f>
        <v>45684</v>
      </c>
      <c r="D2778" s="154">
        <f>IFERROR(__xludf.DUMMYFUNCTION("""COMPUTED_VALUE"""),45685.0)</f>
        <v>45685</v>
      </c>
      <c r="E2778" s="155">
        <f>IFERROR(__xludf.DUMMYFUNCTION("""COMPUTED_VALUE"""),314729.0)</f>
        <v>314729</v>
      </c>
      <c r="F2778" s="156" t="str">
        <f>IFERROR(__xludf.DUMMYFUNCTION("""COMPUTED_VALUE"""),"ゆきりんご作品集【TL版】")</f>
        <v>ゆきりんご作品集【TL版】</v>
      </c>
      <c r="G2778" s="153">
        <f>IFERROR(__xludf.DUMMYFUNCTION("""COMPUTED_VALUE"""),1.0)</f>
        <v>1</v>
      </c>
      <c r="H2778" s="152" t="str">
        <f>IFERROR(__xludf.DUMMYFUNCTION("""COMPUTED_VALUE"""),"ゆきりんご┴ロティス編集部")</f>
        <v>ゆきりんご┴ロティス編集部</v>
      </c>
      <c r="I2778" s="152" t="str">
        <f>IFERROR(__xludf.DUMMYFUNCTION("""COMPUTED_VALUE"""),"TL")</f>
        <v>TL</v>
      </c>
      <c r="J2778" s="152"/>
      <c r="K2778" s="152" t="str">
        <f>IFERROR(__xludf.DUMMYFUNCTION("""COMPUTED_VALUE"""),"ズレット！")</f>
        <v>ズレット！</v>
      </c>
      <c r="L2778" s="152" t="str">
        <f>IFERROR(__xludf.DUMMYFUNCTION("""COMPUTED_VALUE"""),"ライブコミックス")</f>
        <v>ライブコミックス</v>
      </c>
      <c r="M2778" s="59">
        <f>IFERROR(__xludf.DUMMYFUNCTION("""COMPUTED_VALUE"""),45709.0)</f>
        <v>45709</v>
      </c>
      <c r="N2778" s="59">
        <f>IFERROR(__xludf.DUMMYFUNCTION("""COMPUTED_VALUE"""),45764.0)</f>
        <v>45764</v>
      </c>
      <c r="O2778" s="69"/>
      <c r="P2778" s="167" t="str">
        <f>IFERROR(__xludf.DUMMYFUNCTION("""COMPUTED_VALUE"""),"可")</f>
        <v>可</v>
      </c>
      <c r="Q2778" s="166"/>
      <c r="R2778" s="152"/>
      <c r="S2778" s="152" t="str">
        <f>IFERROR(__xludf.DUMMYFUNCTION("""COMPUTED_VALUE"""),"20250127_BookLive_ゆきりんご作品集【TL版】")</f>
        <v>20250127_BookLive_ゆきりんご作品集【TL版】</v>
      </c>
      <c r="T2778" s="152" t="str">
        <f>IFERROR(__xludf.DUMMYFUNCTION("""COMPUTED_VALUE"""),"格納済み")</f>
        <v>格納済み</v>
      </c>
      <c r="U2778" s="15" t="str">
        <f>IFERROR(__xludf.DUMMYFUNCTION("""COMPUTED_VALUE"""),"Ⓒゆきりんご/ライブコミックス")</f>
        <v>Ⓒゆきりんご/ライブコミックス</v>
      </c>
      <c r="V2778" s="8" t="str">
        <f>IFERROR(__xludf.DUMMYFUNCTION("""COMPUTED_VALUE"""),"『初恋オブセッション』ゆきりんご大学生のつぐみは、同い年の無口な彼氏瑞樹とえっち出来ていないことに悩んでいた。意を決しておうちデートに誘う事に成功した当日、携帯を二人で見ていると…昨夜見ていたバイブのサイトを偶然瑞樹に見られてしまい…!?※本作は、KATTS『ゆきりんご作品集【R版】』と修正は異なりますが、内容に差異はございません。重複購入にご注意ください。")</f>
        <v>『初恋オブセッション』ゆきりんご大学生のつぐみは、同い年の無口な彼氏瑞樹とえっち出来ていないことに悩んでいた。意を決しておうちデートに誘う事に成功した当日、携帯を二人で見ていると…昨夜見ていたバイブのサイトを偶然瑞樹に見られてしまい…!?※本作は、KATTS『ゆきりんご作品集【R版】』と修正は異なりますが、内容に差異はございません。重複購入にご注意ください。</v>
      </c>
      <c r="W2778" s="14"/>
      <c r="X2778" s="14" t="str">
        <f>IFERROR(__xludf.DUMMYFUNCTION("""COMPUTED_VALUE"""),"有")</f>
        <v>有</v>
      </c>
      <c r="Y2778" s="8" t="str">
        <f>IFERROR(__xludf.DUMMYFUNCTION("""COMPUTED_VALUE"""),"P15まで")</f>
        <v>P15まで</v>
      </c>
      <c r="Z2778" s="7"/>
      <c r="AA2778" s="7"/>
      <c r="AB2778" s="7"/>
    </row>
    <row r="2779" ht="15.75" customHeight="1">
      <c r="A2779" s="153">
        <f>IFERROR(__xludf.DUMMYFUNCTION("""COMPUTED_VALUE"""),4907.0)</f>
        <v>4907</v>
      </c>
      <c r="B2779" s="152" t="str">
        <f>IFERROR(__xludf.DUMMYFUNCTION("""COMPUTED_VALUE"""),"確定")</f>
        <v>確定</v>
      </c>
      <c r="C2779" s="154">
        <f>IFERROR(__xludf.DUMMYFUNCTION("""COMPUTED_VALUE"""),45684.0)</f>
        <v>45684</v>
      </c>
      <c r="D2779" s="154">
        <f>IFERROR(__xludf.DUMMYFUNCTION("""COMPUTED_VALUE"""),45685.0)</f>
        <v>45685</v>
      </c>
      <c r="E2779" s="155">
        <f>IFERROR(__xludf.DUMMYFUNCTION("""COMPUTED_VALUE"""),314722.0)</f>
        <v>314722</v>
      </c>
      <c r="F2779" s="156" t="str">
        <f>IFERROR(__xludf.DUMMYFUNCTION("""COMPUTED_VALUE"""),"ゆきりんご作品集【R版】")</f>
        <v>ゆきりんご作品集【R版】</v>
      </c>
      <c r="G2779" s="153">
        <f>IFERROR(__xludf.DUMMYFUNCTION("""COMPUTED_VALUE"""),1.0)</f>
        <v>1</v>
      </c>
      <c r="H2779" s="152" t="str">
        <f>IFERROR(__xludf.DUMMYFUNCTION("""COMPUTED_VALUE"""),"ゆきりんご┴穴乱")</f>
        <v>ゆきりんご┴穴乱</v>
      </c>
      <c r="I2779" s="152" t="str">
        <f>IFERROR(__xludf.DUMMYFUNCTION("""COMPUTED_VALUE"""),"アダルトマンガ")</f>
        <v>アダルトマンガ</v>
      </c>
      <c r="J2779" s="152"/>
      <c r="K2779" s="152" t="str">
        <f>IFERROR(__xludf.DUMMYFUNCTION("""COMPUTED_VALUE"""),"KATTS")</f>
        <v>KATTS</v>
      </c>
      <c r="L2779" s="152" t="str">
        <f>IFERROR(__xludf.DUMMYFUNCTION("""COMPUTED_VALUE"""),"KATTS")</f>
        <v>KATTS</v>
      </c>
      <c r="M2779" s="59">
        <f>IFERROR(__xludf.DUMMYFUNCTION("""COMPUTED_VALUE"""),45709.0)</f>
        <v>45709</v>
      </c>
      <c r="N2779" s="59">
        <f>IFERROR(__xludf.DUMMYFUNCTION("""COMPUTED_VALUE"""),45764.0)</f>
        <v>45764</v>
      </c>
      <c r="O2779" s="69"/>
      <c r="P2779" s="167" t="str">
        <f>IFERROR(__xludf.DUMMYFUNCTION("""COMPUTED_VALUE"""),"可")</f>
        <v>可</v>
      </c>
      <c r="Q2779" s="166"/>
      <c r="R2779" s="152"/>
      <c r="S2779" s="152" t="str">
        <f>IFERROR(__xludf.DUMMYFUNCTION("""COMPUTED_VALUE"""),"20250127_BookLive_ゆきりんご作品集【R版】")</f>
        <v>20250127_BookLive_ゆきりんご作品集【R版】</v>
      </c>
      <c r="T2779" s="152" t="str">
        <f>IFERROR(__xludf.DUMMYFUNCTION("""COMPUTED_VALUE"""),"格納済み")</f>
        <v>格納済み</v>
      </c>
      <c r="U2779" s="15" t="str">
        <f>IFERROR(__xludf.DUMMYFUNCTION("""COMPUTED_VALUE"""),"ⒸKATTS")</f>
        <v>ⒸKATTS</v>
      </c>
      <c r="V2779" s="8" t="str">
        <f>IFERROR(__xludf.DUMMYFUNCTION("""COMPUTED_VALUE"""),"『初恋オブセッション』ゆきりんご大学生のつぐみは、同い年の無口な彼氏瑞樹とえっち出来ていないことに悩んでいた。意を決しておうちデートに誘う事に成功した当日、携帯を二人で見ていると…昨夜見ていたバイブのサイトを偶然瑞樹に見られてしまい…!?※本作は、ズレット！『初恋オブセッション【TL版】』の修正をやや弱めたものです。内容に差異はありませんので、重複購入にご注意ください。")</f>
        <v>『初恋オブセッション』ゆきりんご大学生のつぐみは、同い年の無口な彼氏瑞樹とえっち出来ていないことに悩んでいた。意を決しておうちデートに誘う事に成功した当日、携帯を二人で見ていると…昨夜見ていたバイブのサイトを偶然瑞樹に見られてしまい…!?※本作は、ズレット！『初恋オブセッション【TL版】』の修正をやや弱めたものです。内容に差異はありませんので、重複購入にご注意ください。</v>
      </c>
      <c r="W2779" s="14"/>
      <c r="X2779" s="14" t="str">
        <f>IFERROR(__xludf.DUMMYFUNCTION("""COMPUTED_VALUE"""),"有")</f>
        <v>有</v>
      </c>
      <c r="Y2779" s="8" t="str">
        <f>IFERROR(__xludf.DUMMYFUNCTION("""COMPUTED_VALUE"""),"P15まで")</f>
        <v>P15まで</v>
      </c>
      <c r="Z2779" s="7"/>
      <c r="AA2779" s="7"/>
      <c r="AB2779" s="7"/>
    </row>
    <row r="2780" ht="15.75" customHeight="1">
      <c r="A2780" s="153">
        <f>IFERROR(__xludf.DUMMYFUNCTION("""COMPUTED_VALUE"""),4908.0)</f>
        <v>4908</v>
      </c>
      <c r="B2780" s="152" t="str">
        <f>IFERROR(__xludf.DUMMYFUNCTION("""COMPUTED_VALUE"""),"確定")</f>
        <v>確定</v>
      </c>
      <c r="C2780" s="154">
        <f>IFERROR(__xludf.DUMMYFUNCTION("""COMPUTED_VALUE"""),45684.0)</f>
        <v>45684</v>
      </c>
      <c r="D2780" s="154">
        <f>IFERROR(__xludf.DUMMYFUNCTION("""COMPUTED_VALUE"""),45685.0)</f>
        <v>45685</v>
      </c>
      <c r="E2780" s="155">
        <f>IFERROR(__xludf.DUMMYFUNCTION("""COMPUTED_VALUE"""),314730.0)</f>
        <v>314730</v>
      </c>
      <c r="F2780" s="169" t="str">
        <f>IFERROR(__xludf.DUMMYFUNCTION("""COMPUTED_VALUE"""),"暴きたいココロ【TL版】")</f>
        <v>暴きたいココロ【TL版】</v>
      </c>
      <c r="G2780" s="153">
        <f>IFERROR(__xludf.DUMMYFUNCTION("""COMPUTED_VALUE"""),1.0)</f>
        <v>1</v>
      </c>
      <c r="H2780" s="152" t="str">
        <f>IFERROR(__xludf.DUMMYFUNCTION("""COMPUTED_VALUE"""),"ア缶BE┴ロティス編集部")</f>
        <v>ア缶BE┴ロティス編集部</v>
      </c>
      <c r="I2780" s="152" t="str">
        <f>IFERROR(__xludf.DUMMYFUNCTION("""COMPUTED_VALUE"""),"TL")</f>
        <v>TL</v>
      </c>
      <c r="J2780" s="152"/>
      <c r="K2780" s="152" t="str">
        <f>IFERROR(__xludf.DUMMYFUNCTION("""COMPUTED_VALUE"""),"ズレット！")</f>
        <v>ズレット！</v>
      </c>
      <c r="L2780" s="152" t="str">
        <f>IFERROR(__xludf.DUMMYFUNCTION("""COMPUTED_VALUE"""),"ライブコミックス")</f>
        <v>ライブコミックス</v>
      </c>
      <c r="M2780" s="59">
        <f>IFERROR(__xludf.DUMMYFUNCTION("""COMPUTED_VALUE"""),45709.0)</f>
        <v>45709</v>
      </c>
      <c r="N2780" s="59">
        <f>IFERROR(__xludf.DUMMYFUNCTION("""COMPUTED_VALUE"""),45764.0)</f>
        <v>45764</v>
      </c>
      <c r="O2780" s="69"/>
      <c r="P2780" s="167" t="str">
        <f>IFERROR(__xludf.DUMMYFUNCTION("""COMPUTED_VALUE"""),"可")</f>
        <v>可</v>
      </c>
      <c r="Q2780" s="166"/>
      <c r="R2780" s="152"/>
      <c r="S2780" s="152" t="str">
        <f>IFERROR(__xludf.DUMMYFUNCTION("""COMPUTED_VALUE"""),"20250127_BookLive_ア缶BE作品集【TL版】")</f>
        <v>20250127_BookLive_ア缶BE作品集【TL版】</v>
      </c>
      <c r="T2780" s="152" t="str">
        <f>IFERROR(__xludf.DUMMYFUNCTION("""COMPUTED_VALUE"""),"格納済み")</f>
        <v>格納済み</v>
      </c>
      <c r="U2780" s="15" t="str">
        <f>IFERROR(__xludf.DUMMYFUNCTION("""COMPUTED_VALUE"""),"©ア缶BE・川井ねこ/ライブコミックス")</f>
        <v>©ア缶BE・川井ねこ/ライブコミックス</v>
      </c>
      <c r="V2780" s="8" t="str">
        <f>IFERROR(__xludf.DUMMYFUNCTION("""COMPUTED_VALUE"""),"密かに片思いをしている年上の幼馴染・啓人の家に来た小雪。啓人に彼女がいるか気になっている小雪は、一人で部屋にいる時に鳴った啓人のスマホを見てしまう。啓人のスマホの待ち受けには何故か自分の入学式の画像が設定されていた…。驚く小雪にこのフォルダも見てみてよと自慰をしている小雪の動画を見せてきて…!?※本作は、KATTS『暴きたいココロ【R版】』と修正は異なりますが、内容に差異はございません。重複購入にご注意ください。")</f>
        <v>密かに片思いをしている年上の幼馴染・啓人の家に来た小雪。啓人に彼女がいるか気になっている小雪は、一人で部屋にいる時に鳴った啓人のスマホを見てしまう。啓人のスマホの待ち受けには何故か自分の入学式の画像が設定されていた…。驚く小雪にこのフォルダも見てみてよと自慰をしている小雪の動画を見せてきて…!?※本作は、KATTS『暴きたいココロ【R版】』と修正は異なりますが、内容に差異はございません。重複購入にご注意ください。</v>
      </c>
      <c r="W2780" s="14"/>
      <c r="X2780" s="14" t="str">
        <f>IFERROR(__xludf.DUMMYFUNCTION("""COMPUTED_VALUE"""),"有")</f>
        <v>有</v>
      </c>
      <c r="Y2780" s="8" t="str">
        <f>IFERROR(__xludf.DUMMYFUNCTION("""COMPUTED_VALUE"""),"P15まで")</f>
        <v>P15まで</v>
      </c>
      <c r="Z2780" s="7"/>
      <c r="AA2780" s="7"/>
      <c r="AB2780" s="7"/>
    </row>
    <row r="2781" ht="15.75" customHeight="1">
      <c r="A2781" s="153">
        <f>IFERROR(__xludf.DUMMYFUNCTION("""COMPUTED_VALUE"""),4909.0)</f>
        <v>4909</v>
      </c>
      <c r="B2781" s="152" t="str">
        <f>IFERROR(__xludf.DUMMYFUNCTION("""COMPUTED_VALUE"""),"確定")</f>
        <v>確定</v>
      </c>
      <c r="C2781" s="154">
        <f>IFERROR(__xludf.DUMMYFUNCTION("""COMPUTED_VALUE"""),45684.0)</f>
        <v>45684</v>
      </c>
      <c r="D2781" s="154">
        <f>IFERROR(__xludf.DUMMYFUNCTION("""COMPUTED_VALUE"""),45685.0)</f>
        <v>45685</v>
      </c>
      <c r="E2781" s="155">
        <f>IFERROR(__xludf.DUMMYFUNCTION("""COMPUTED_VALUE"""),314724.0)</f>
        <v>314724</v>
      </c>
      <c r="F2781" s="169" t="str">
        <f>IFERROR(__xludf.DUMMYFUNCTION("""COMPUTED_VALUE"""),"暴きたいココロ【R版】")</f>
        <v>暴きたいココロ【R版】</v>
      </c>
      <c r="G2781" s="153">
        <f>IFERROR(__xludf.DUMMYFUNCTION("""COMPUTED_VALUE"""),1.0)</f>
        <v>1</v>
      </c>
      <c r="H2781" s="152" t="str">
        <f>IFERROR(__xludf.DUMMYFUNCTION("""COMPUTED_VALUE"""),"ア缶BE┴穴乱")</f>
        <v>ア缶BE┴穴乱</v>
      </c>
      <c r="I2781" s="152" t="str">
        <f>IFERROR(__xludf.DUMMYFUNCTION("""COMPUTED_VALUE"""),"アダルトマンガ")</f>
        <v>アダルトマンガ</v>
      </c>
      <c r="J2781" s="152"/>
      <c r="K2781" s="152" t="str">
        <f>IFERROR(__xludf.DUMMYFUNCTION("""COMPUTED_VALUE"""),"KATTS")</f>
        <v>KATTS</v>
      </c>
      <c r="L2781" s="152" t="str">
        <f>IFERROR(__xludf.DUMMYFUNCTION("""COMPUTED_VALUE"""),"KATTS")</f>
        <v>KATTS</v>
      </c>
      <c r="M2781" s="59">
        <f>IFERROR(__xludf.DUMMYFUNCTION("""COMPUTED_VALUE"""),45709.0)</f>
        <v>45709</v>
      </c>
      <c r="N2781" s="59">
        <f>IFERROR(__xludf.DUMMYFUNCTION("""COMPUTED_VALUE"""),45764.0)</f>
        <v>45764</v>
      </c>
      <c r="O2781" s="69"/>
      <c r="P2781" s="167" t="str">
        <f>IFERROR(__xludf.DUMMYFUNCTION("""COMPUTED_VALUE"""),"可")</f>
        <v>可</v>
      </c>
      <c r="Q2781" s="166"/>
      <c r="R2781" s="152"/>
      <c r="S2781" s="152" t="str">
        <f>IFERROR(__xludf.DUMMYFUNCTION("""COMPUTED_VALUE"""),"20250127_BookLive_ア缶BE作品集【R版】")</f>
        <v>20250127_BookLive_ア缶BE作品集【R版】</v>
      </c>
      <c r="T2781" s="152" t="str">
        <f>IFERROR(__xludf.DUMMYFUNCTION("""COMPUTED_VALUE"""),"格納済み")</f>
        <v>格納済み</v>
      </c>
      <c r="U2781" s="15" t="str">
        <f>IFERROR(__xludf.DUMMYFUNCTION("""COMPUTED_VALUE"""),"ⒸKATTS")</f>
        <v>ⒸKATTS</v>
      </c>
      <c r="V2781" s="8" t="str">
        <f>IFERROR(__xludf.DUMMYFUNCTION("""COMPUTED_VALUE"""),"密かに片思いをしている年上の幼馴染・啓人の家に来た小雪。啓人に彼女がいるか気になっている小雪は、一人で部屋にいる時に鳴った啓人のスマホを見てしまう。啓人のスマホの待ち受けには何故か自分の入学式の画像が設定されていた…。驚く小雪にこのフォルダも見てみてよと自慰をしている小雪の動画を見せてきて…!?※本作は、ズレット！『暴きたいココロ【TL版】』の修正をやや弱めたものです。内容に差異はありませんので、重複購入にご注意ください。")</f>
        <v>密かに片思いをしている年上の幼馴染・啓人の家に来た小雪。啓人に彼女がいるか気になっている小雪は、一人で部屋にいる時に鳴った啓人のスマホを見てしまう。啓人のスマホの待ち受けには何故か自分の入学式の画像が設定されていた…。驚く小雪にこのフォルダも見てみてよと自慰をしている小雪の動画を見せてきて…!?※本作は、ズレット！『暴きたいココロ【TL版】』の修正をやや弱めたものです。内容に差異はありませんので、重複購入にご注意ください。</v>
      </c>
      <c r="W2781" s="14"/>
      <c r="X2781" s="14" t="str">
        <f>IFERROR(__xludf.DUMMYFUNCTION("""COMPUTED_VALUE"""),"有")</f>
        <v>有</v>
      </c>
      <c r="Y2781" s="8" t="str">
        <f>IFERROR(__xludf.DUMMYFUNCTION("""COMPUTED_VALUE"""),"P15まで")</f>
        <v>P15まで</v>
      </c>
      <c r="Z2781" s="7"/>
      <c r="AA2781" s="7"/>
      <c r="AB2781" s="7"/>
    </row>
    <row r="2782" ht="15.75" customHeight="1">
      <c r="A2782" s="153">
        <f>IFERROR(__xludf.DUMMYFUNCTION("""COMPUTED_VALUE"""),4910.0)</f>
        <v>4910</v>
      </c>
      <c r="B2782" s="152" t="str">
        <f>IFERROR(__xludf.DUMMYFUNCTION("""COMPUTED_VALUE"""),"確定")</f>
        <v>確定</v>
      </c>
      <c r="C2782" s="154">
        <f>IFERROR(__xludf.DUMMYFUNCTION("""COMPUTED_VALUE"""),45684.0)</f>
        <v>45684</v>
      </c>
      <c r="D2782" s="154">
        <f>IFERROR(__xludf.DUMMYFUNCTION("""COMPUTED_VALUE"""),45685.0)</f>
        <v>45685</v>
      </c>
      <c r="E2782" s="155">
        <f>IFERROR(__xludf.DUMMYFUNCTION("""COMPUTED_VALUE"""),314877.0)</f>
        <v>314877</v>
      </c>
      <c r="F2782" s="156" t="str">
        <f>IFERROR(__xludf.DUMMYFUNCTION("""COMPUTED_VALUE"""),"MY SWEET BUNNY CAGE")</f>
        <v>MY SWEET BUNNY CAGE</v>
      </c>
      <c r="G2782" s="152" t="str">
        <f>IFERROR(__xludf.DUMMYFUNCTION("""COMPUTED_VALUE"""),"1～7")</f>
        <v>1～7</v>
      </c>
      <c r="H2782" s="152" t="str">
        <f>IFERROR(__xludf.DUMMYFUNCTION("""COMPUTED_VALUE"""),"閏あくあ┴蓮井子鹿┴parasite garden")</f>
        <v>閏あくあ┴蓮井子鹿┴parasite garden</v>
      </c>
      <c r="I2782" s="152" t="str">
        <f>IFERROR(__xludf.DUMMYFUNCTION("""COMPUTED_VALUE"""),"TL")</f>
        <v>TL</v>
      </c>
      <c r="J2782" s="152"/>
      <c r="K2782" s="152" t="str">
        <f>IFERROR(__xludf.DUMMYFUNCTION("""COMPUTED_VALUE"""),"BLIC-TL")</f>
        <v>BLIC-TL</v>
      </c>
      <c r="L2782" s="152" t="str">
        <f>IFERROR(__xludf.DUMMYFUNCTION("""COMPUTED_VALUE"""),"クロスフォリオ出版")</f>
        <v>クロスフォリオ出版</v>
      </c>
      <c r="M2782" s="59">
        <f>IFERROR(__xludf.DUMMYFUNCTION("""COMPUTED_VALUE"""),45702.0)</f>
        <v>45702</v>
      </c>
      <c r="N2782" s="59">
        <f>IFERROR(__xludf.DUMMYFUNCTION("""COMPUTED_VALUE"""),45792.66666666667)</f>
        <v>45792.66667</v>
      </c>
      <c r="O2782" s="69"/>
      <c r="P2782" s="167" t="str">
        <f>IFERROR(__xludf.DUMMYFUNCTION("""COMPUTED_VALUE"""),"可")</f>
        <v>可</v>
      </c>
      <c r="Q2782" s="166"/>
      <c r="R2782" s="152"/>
      <c r="S2782" s="152" t="str">
        <f>IFERROR(__xludf.DUMMYFUNCTION("""COMPUTED_VALUE"""),"20250127_BookLive_MY SWEET BUNNY CAGE")</f>
        <v>20250127_BookLive_MY SWEET BUNNY CAGE</v>
      </c>
      <c r="T2782" s="152" t="str">
        <f>IFERROR(__xludf.DUMMYFUNCTION("""COMPUTED_VALUE"""),"格納済み")</f>
        <v>格納済み</v>
      </c>
      <c r="U2782" s="15" t="str">
        <f>IFERROR(__xludf.DUMMYFUNCTION("""COMPUTED_VALUE"""),"(c)閏あくあ/蓮井子鹿/parasite garden/クロスフォリオ出版")</f>
        <v>(c)閏あくあ/蓮井子鹿/parasite garden/クロスフォリオ出版</v>
      </c>
      <c r="V2782" s="8" t="str">
        <f>IFERROR(__xludf.DUMMYFUNCTION("""COMPUTED_VALUE"""),"ある日、会社帰りに夜道を歩いているとなんだか変な男に声をかけられた。
ああ、ナンパか。とイライラしながら振り向くとやけにきらきらした男がいる。
男は私のことを「ホイちゃんに似ていたからなつかしくて声をかけた」というが
私はその”ホイちゃん”なんかじゃないし、そんな変なナンパで着いていくと思われたんだろうか。
……きっとなめられている。
こういう男になめられるのはすごくいや……
だから腕を振り払って逃げたのに
次に目を覚ますと私は見知らぬ部屋にいて趣味の悪い服を着せられて拘束されて"&amp;"いた。
私に声をかけてきた男が部屋に入ってきて自らを「ケセド」と名乗り私を「ウサギ」として飼うと言い出す。
理解できない。ありえない。
こんな男からはやく、早く逃げないとわたしはーー……
※本作は閏あくあ、蓮井子鹿の個人誌作品の電子書籍版となります。【25ページ】")</f>
        <v>ある日、会社帰りに夜道を歩いているとなんだか変な男に声をかけられた。
ああ、ナンパか。とイライラしながら振り向くとやけにきらきらした男がいる。
男は私のことを「ホイちゃんに似ていたからなつかしくて声をかけた」というが
私はその”ホイちゃん”なんかじゃないし、そんな変なナンパで着いていくと思われたんだろうか。
……きっとなめられている。
こういう男になめられるのはすごくいや……
だから腕を振り払って逃げたのに
次に目を覚ますと私は見知らぬ部屋にいて趣味の悪い服を着せられて拘束されていた。
私に声をかけてきた男が部屋に入ってきて自らを「ケセド」と名乗り私を「ウサギ」として飼うと言い出す。
理解できない。ありえない。
こんな男からはやく、早く逃げないとわたしはーー……
※本作は閏あくあ、蓮井子鹿の個人誌作品の電子書籍版となります。【25ページ】</v>
      </c>
      <c r="W2782" s="14"/>
      <c r="X2782" s="14" t="str">
        <f>IFERROR(__xludf.DUMMYFUNCTION("""COMPUTED_VALUE"""),"有")</f>
        <v>有</v>
      </c>
      <c r="Y2782" s="8" t="str">
        <f>IFERROR(__xludf.DUMMYFUNCTION("""COMPUTED_VALUE"""),"P12まで")</f>
        <v>P12まで</v>
      </c>
      <c r="Z2782" s="7"/>
      <c r="AA2782" s="7"/>
      <c r="AB2782" s="7"/>
    </row>
    <row r="2783" ht="15.75" customHeight="1">
      <c r="A2783" s="153">
        <f>IFERROR(__xludf.DUMMYFUNCTION("""COMPUTED_VALUE"""),4911.0)</f>
        <v>4911</v>
      </c>
      <c r="B2783" s="152" t="str">
        <f>IFERROR(__xludf.DUMMYFUNCTION("""COMPUTED_VALUE"""),"確定")</f>
        <v>確定</v>
      </c>
      <c r="C2783" s="154">
        <f>IFERROR(__xludf.DUMMYFUNCTION("""COMPUTED_VALUE"""),45684.0)</f>
        <v>45684</v>
      </c>
      <c r="D2783" s="154">
        <f>IFERROR(__xludf.DUMMYFUNCTION("""COMPUTED_VALUE"""),45685.0)</f>
        <v>45685</v>
      </c>
      <c r="E2783" s="155">
        <f>IFERROR(__xludf.DUMMYFUNCTION("""COMPUTED_VALUE"""),314878.0)</f>
        <v>314878</v>
      </c>
      <c r="F2783" s="156" t="str">
        <f>IFERROR(__xludf.DUMMYFUNCTION("""COMPUTED_VALUE"""),"MY SWEET BUNNY CAGE【R版】")</f>
        <v>MY SWEET BUNNY CAGE【R版】</v>
      </c>
      <c r="G2783" s="152" t="str">
        <f>IFERROR(__xludf.DUMMYFUNCTION("""COMPUTED_VALUE"""),"1～7")</f>
        <v>1～7</v>
      </c>
      <c r="H2783" s="152" t="str">
        <f>IFERROR(__xludf.DUMMYFUNCTION("""COMPUTED_VALUE"""),"閏あくあ┴蓮井子鹿┴parasite garden")</f>
        <v>閏あくあ┴蓮井子鹿┴parasite garden</v>
      </c>
      <c r="I2783" s="152" t="str">
        <f>IFERROR(__xludf.DUMMYFUNCTION("""COMPUTED_VALUE"""),"アダルトマンガ")</f>
        <v>アダルトマンガ</v>
      </c>
      <c r="J2783" s="152"/>
      <c r="K2783" s="152" t="str">
        <f>IFERROR(__xludf.DUMMYFUNCTION("""COMPUTED_VALUE"""),"BLIC-TL")</f>
        <v>BLIC-TL</v>
      </c>
      <c r="L2783" s="152" t="str">
        <f>IFERROR(__xludf.DUMMYFUNCTION("""COMPUTED_VALUE"""),"クロスフォリオ出版")</f>
        <v>クロスフォリオ出版</v>
      </c>
      <c r="M2783" s="59">
        <f>IFERROR(__xludf.DUMMYFUNCTION("""COMPUTED_VALUE"""),45702.0)</f>
        <v>45702</v>
      </c>
      <c r="N2783" s="59">
        <f>IFERROR(__xludf.DUMMYFUNCTION("""COMPUTED_VALUE"""),45792.66666666667)</f>
        <v>45792.66667</v>
      </c>
      <c r="O2783" s="69"/>
      <c r="P2783" s="167" t="str">
        <f>IFERROR(__xludf.DUMMYFUNCTION("""COMPUTED_VALUE"""),"可")</f>
        <v>可</v>
      </c>
      <c r="Q2783" s="166"/>
      <c r="R2783" s="152"/>
      <c r="S2783" s="152" t="str">
        <f>IFERROR(__xludf.DUMMYFUNCTION("""COMPUTED_VALUE"""),"20250127_BookLive_MY SWEET BUNNY CAGE【R版】")</f>
        <v>20250127_BookLive_MY SWEET BUNNY CAGE【R版】</v>
      </c>
      <c r="T2783" s="152" t="str">
        <f>IFERROR(__xludf.DUMMYFUNCTION("""COMPUTED_VALUE"""),"格納済み")</f>
        <v>格納済み</v>
      </c>
      <c r="U2783" s="15" t="str">
        <f>IFERROR(__xludf.DUMMYFUNCTION("""COMPUTED_VALUE"""),"(c)閏あくあ/蓮井子鹿/parasite garden/クロスフォリオ出版")</f>
        <v>(c)閏あくあ/蓮井子鹿/parasite garden/クロスフォリオ出版</v>
      </c>
      <c r="V2783" s="8" t="str">
        <f>IFERROR(__xludf.DUMMYFUNCTION("""COMPUTED_VALUE"""),"ある日、会社帰りに夜道を歩いているとなんだか変な男に声をかけられた。
ああ、ナンパか。とイライラしながら振り向くとやけにきらきらした男がいる。
男は私のことを「ホイちゃんに似ていたからなつかしくて声をかけた」というが
私はその”ホイちゃん”なんかじゃないし、そんな変なナンパで着いていくと思われたんだろうか。
……きっとなめられている。
こういう男になめられるのはすごくいや……
だから腕を振り払って逃げたのに
次に目を覚ますと私は見知らぬ部屋にいて趣味の悪い服を着せられて拘束されて"&amp;"いた。
私に声をかけてきた男が部屋に入ってきて自らを「ケセド」と名乗り私を「ウサギ」として飼うと言い出す。
理解できない。ありえない。
こんな男からはやく、早く逃げないとわたしはーー……
※本作は閏あくあ、蓮井子鹿の個人誌作品の電子書籍版となります。【25ページ】
※本作は『MY SWEET BUNNY CAGE』の修正をやや弱めたものです。内容に差異はありません。")</f>
        <v>ある日、会社帰りに夜道を歩いているとなんだか変な男に声をかけられた。
ああ、ナンパか。とイライラしながら振り向くとやけにきらきらした男がいる。
男は私のことを「ホイちゃんに似ていたからなつかしくて声をかけた」というが
私はその”ホイちゃん”なんかじゃないし、そんな変なナンパで着いていくと思われたんだろうか。
……きっとなめられている。
こういう男になめられるのはすごくいや……
だから腕を振り払って逃げたのに
次に目を覚ますと私は見知らぬ部屋にいて趣味の悪い服を着せられて拘束されていた。
私に声をかけてきた男が部屋に入ってきて自らを「ケセド」と名乗り私を「ウサギ」として飼うと言い出す。
理解できない。ありえない。
こんな男からはやく、早く逃げないとわたしはーー……
※本作は閏あくあ、蓮井子鹿の個人誌作品の電子書籍版となります。【25ページ】
※本作は『MY SWEET BUNNY CAGE』の修正をやや弱めたものです。内容に差異はありません。</v>
      </c>
      <c r="W2783" s="14"/>
      <c r="X2783" s="14" t="str">
        <f>IFERROR(__xludf.DUMMYFUNCTION("""COMPUTED_VALUE"""),"有")</f>
        <v>有</v>
      </c>
      <c r="Y2783" s="8" t="str">
        <f>IFERROR(__xludf.DUMMYFUNCTION("""COMPUTED_VALUE"""),"P12まで")</f>
        <v>P12まで</v>
      </c>
      <c r="Z2783" s="7"/>
      <c r="AA2783" s="7"/>
      <c r="AB2783" s="7"/>
    </row>
    <row r="2784" ht="15.75" customHeight="1">
      <c r="A2784" s="153">
        <f>IFERROR(__xludf.DUMMYFUNCTION("""COMPUTED_VALUE"""),4912.0)</f>
        <v>4912</v>
      </c>
      <c r="B2784" s="152" t="str">
        <f>IFERROR(__xludf.DUMMYFUNCTION("""COMPUTED_VALUE"""),"確定")</f>
        <v>確定</v>
      </c>
      <c r="C2784" s="154">
        <f>IFERROR(__xludf.DUMMYFUNCTION("""COMPUTED_VALUE"""),45684.0)</f>
        <v>45684</v>
      </c>
      <c r="D2784" s="154">
        <f>IFERROR(__xludf.DUMMYFUNCTION("""COMPUTED_VALUE"""),45685.0)</f>
        <v>45685</v>
      </c>
      <c r="E2784" s="155">
        <f>IFERROR(__xludf.DUMMYFUNCTION("""COMPUTED_VALUE"""),312977.0)</f>
        <v>312977</v>
      </c>
      <c r="F2784" s="156" t="str">
        <f>IFERROR(__xludf.DUMMYFUNCTION("""COMPUTED_VALUE"""),"龍よ花よ【分冊版】")</f>
        <v>龍よ花よ【分冊版】</v>
      </c>
      <c r="G2784" s="153">
        <f>IFERROR(__xludf.DUMMYFUNCTION("""COMPUTED_VALUE"""),1.0)</f>
        <v>1</v>
      </c>
      <c r="H2784" s="152" t="str">
        <f>IFERROR(__xludf.DUMMYFUNCTION("""COMPUTED_VALUE"""),"アオヒトヒラ")</f>
        <v>アオヒトヒラ</v>
      </c>
      <c r="I2784" s="152" t="str">
        <f>IFERROR(__xludf.DUMMYFUNCTION("""COMPUTED_VALUE"""),"BL")</f>
        <v>BL</v>
      </c>
      <c r="J2784" s="152"/>
      <c r="K2784" s="152" t="str">
        <f>IFERROR(__xludf.DUMMYFUNCTION("""COMPUTED_VALUE"""),"equal")</f>
        <v>equal</v>
      </c>
      <c r="L2784" s="152" t="str">
        <f>IFERROR(__xludf.DUMMYFUNCTION("""COMPUTED_VALUE"""),"笠倉出版社")</f>
        <v>笠倉出版社</v>
      </c>
      <c r="M2784" s="59">
        <f>IFERROR(__xludf.DUMMYFUNCTION("""COMPUTED_VALUE"""),45702.0)</f>
        <v>45702</v>
      </c>
      <c r="N2784" s="59">
        <f>IFERROR(__xludf.DUMMYFUNCTION("""COMPUTED_VALUE"""),45729.0)</f>
        <v>45729</v>
      </c>
      <c r="O2784" s="69"/>
      <c r="P2784" s="167" t="str">
        <f>IFERROR(__xludf.DUMMYFUNCTION("""COMPUTED_VALUE"""),"可")</f>
        <v>可</v>
      </c>
      <c r="Q2784" s="166"/>
      <c r="R2784" s="152"/>
      <c r="S2784" s="152" t="str">
        <f>IFERROR(__xludf.DUMMYFUNCTION("""COMPUTED_VALUE"""),"20250127_笠倉出版社_龍よ花よ【分冊版】")</f>
        <v>20250127_笠倉出版社_龍よ花よ【分冊版】</v>
      </c>
      <c r="T2784" s="152" t="str">
        <f>IFERROR(__xludf.DUMMYFUNCTION("""COMPUTED_VALUE"""),"格納済み")</f>
        <v>格納済み</v>
      </c>
      <c r="U2784" s="15" t="str">
        <f>IFERROR(__xludf.DUMMYFUNCTION("""COMPUTED_VALUE"""),"Ⓒアオヒトヒラ/笠倉出版社")</f>
        <v>Ⓒアオヒトヒラ/笠倉出版社</v>
      </c>
      <c r="V2784" s="8" t="str">
        <f>IFERROR(__xludf.DUMMYFUNCTION("""COMPUTED_VALUE"""),"小さい頃からからかわれたりパシらされたりといじめられっ子気質の蓮美。高校生になってからもいじめっ子グループに度々絡まれていた。そんなある日、いつものように昼ご飯代をカツアゲされる寸前の所を学年一の不良・海原龍成に助けられる。それからというもの彼のことが気にり毎日考え続けた結果…蓮美は海原に恋をしてしまった。もっと知りたいと思っていた矢先、放課後の教室で女子生徒と破廉恥なことをしようとしている所に遭遇してしまう。蓮美に気付いた女子は逃げてしまい、行為が中途半端に終わり不機嫌になった海原から丁度いいから付き合"&amp;"えとパンツを脱がされてしまい――！※本作品はweb雑誌「equal」に収録されています。重複購入にご注意ください。")</f>
        <v>小さい頃からからかわれたりパシらされたりといじめられっ子気質の蓮美。高校生になってからもいじめっ子グループに度々絡まれていた。そんなある日、いつものように昼ご飯代をカツアゲされる寸前の所を学年一の不良・海原龍成に助けられる。それからというもの彼のことが気にり毎日考え続けた結果…蓮美は海原に恋をしてしまった。もっと知りたいと思っていた矢先、放課後の教室で女子生徒と破廉恥なことをしようとしている所に遭遇してしまう。蓮美に気付いた女子は逃げてしまい、行為が中途半端に終わり不機嫌になった海原から丁度いいから付き合えとパンツを脱がされてしまい――！※本作品はweb雑誌「equal」に収録されています。重複購入にご注意ください。</v>
      </c>
      <c r="W2784" s="14"/>
      <c r="X2784" s="14" t="str">
        <f>IFERROR(__xludf.DUMMYFUNCTION("""COMPUTED_VALUE"""),"有")</f>
        <v>有</v>
      </c>
      <c r="Y2784" s="8" t="str">
        <f>IFERROR(__xludf.DUMMYFUNCTION("""COMPUTED_VALUE"""),"P6まで")</f>
        <v>P6まで</v>
      </c>
      <c r="Z2784" s="7"/>
      <c r="AA2784" s="7"/>
      <c r="AB2784" s="7"/>
    </row>
    <row r="2785" ht="15.75" customHeight="1">
      <c r="A2785" s="153">
        <f>IFERROR(__xludf.DUMMYFUNCTION("""COMPUTED_VALUE"""),4913.0)</f>
        <v>4913</v>
      </c>
      <c r="B2785" s="152" t="str">
        <f>IFERROR(__xludf.DUMMYFUNCTION("""COMPUTED_VALUE"""),"確定")</f>
        <v>確定</v>
      </c>
      <c r="C2785" s="154">
        <f>IFERROR(__xludf.DUMMYFUNCTION("""COMPUTED_VALUE"""),45684.0)</f>
        <v>45684</v>
      </c>
      <c r="D2785" s="154">
        <f>IFERROR(__xludf.DUMMYFUNCTION("""COMPUTED_VALUE"""),45685.0)</f>
        <v>45685</v>
      </c>
      <c r="E2785" s="155">
        <f>IFERROR(__xludf.DUMMYFUNCTION("""COMPUTED_VALUE"""),312978.0)</f>
        <v>312978</v>
      </c>
      <c r="F2785" s="156" t="str">
        <f>IFERROR(__xludf.DUMMYFUNCTION("""COMPUTED_VALUE"""),"こじらせ山瀬はわからせたい【分冊版】")</f>
        <v>こじらせ山瀬はわからせたい【分冊版】</v>
      </c>
      <c r="G2785" s="153">
        <f>IFERROR(__xludf.DUMMYFUNCTION("""COMPUTED_VALUE"""),1.0)</f>
        <v>1</v>
      </c>
      <c r="H2785" s="152" t="str">
        <f>IFERROR(__xludf.DUMMYFUNCTION("""COMPUTED_VALUE"""),"入日マロ")</f>
        <v>入日マロ</v>
      </c>
      <c r="I2785" s="152" t="str">
        <f>IFERROR(__xludf.DUMMYFUNCTION("""COMPUTED_VALUE"""),"BL")</f>
        <v>BL</v>
      </c>
      <c r="J2785" s="152"/>
      <c r="K2785" s="152" t="str">
        <f>IFERROR(__xludf.DUMMYFUNCTION("""COMPUTED_VALUE"""),"equal")</f>
        <v>equal</v>
      </c>
      <c r="L2785" s="152" t="str">
        <f>IFERROR(__xludf.DUMMYFUNCTION("""COMPUTED_VALUE"""),"笠倉出版社")</f>
        <v>笠倉出版社</v>
      </c>
      <c r="M2785" s="59">
        <f>IFERROR(__xludf.DUMMYFUNCTION("""COMPUTED_VALUE"""),45702.0)</f>
        <v>45702</v>
      </c>
      <c r="N2785" s="59">
        <f>IFERROR(__xludf.DUMMYFUNCTION("""COMPUTED_VALUE"""),45729.0)</f>
        <v>45729</v>
      </c>
      <c r="O2785" s="69"/>
      <c r="P2785" s="167" t="str">
        <f>IFERROR(__xludf.DUMMYFUNCTION("""COMPUTED_VALUE"""),"可")</f>
        <v>可</v>
      </c>
      <c r="Q2785" s="166"/>
      <c r="R2785" s="152"/>
      <c r="S2785" s="152" t="str">
        <f>IFERROR(__xludf.DUMMYFUNCTION("""COMPUTED_VALUE"""),"20250127_笠倉出版社_こじらせ山瀬はわからせたい【分冊版】")</f>
        <v>20250127_笠倉出版社_こじらせ山瀬はわからせたい【分冊版】</v>
      </c>
      <c r="T2785" s="152" t="str">
        <f>IFERROR(__xludf.DUMMYFUNCTION("""COMPUTED_VALUE"""),"格納済み")</f>
        <v>格納済み</v>
      </c>
      <c r="U2785" s="15" t="str">
        <f>IFERROR(__xludf.DUMMYFUNCTION("""COMPUTED_VALUE"""),"Ⓒ入日マロ/笠倉出版社")</f>
        <v>Ⓒ入日マロ/笠倉出版社</v>
      </c>
      <c r="V2785" s="8" t="str">
        <f>IFERROR(__xludf.DUMMYFUNCTION("""COMPUTED_VALUE"""),"同期の田上から毎度営業勝負を挑まれる営業トップの山瀬。常々勝負以外でも田上にはウザ絡みされているが、それをクールにあしらっていると周囲には見られていたのだが…。実は田上ＢＩＧ ＬＯＶＥな山瀬には何もかもがご褒美。そんなある日、営業勝負を持ちかけてきた田上は自分が負けたら“なんでも言うことを聞く”と言ってきた！煩悩丸出しなお願いを妄想してやる気全開の山瀬は過去一の圧勝。しかし、妄想通りのお願いなどできるはずもなく、田上の部屋で宅飲みをして解散するはずが流れで「付き合ってほしいと」言ってしまい――！？※本作品"&amp;"はweb雑誌「equal」に収録されています。重複購入にご注意ください。")</f>
        <v>同期の田上から毎度営業勝負を挑まれる営業トップの山瀬。常々勝負以外でも田上にはウザ絡みされているが、それをクールにあしらっていると周囲には見られていたのだが…。実は田上ＢＩＧ ＬＯＶＥな山瀬には何もかもがご褒美。そんなある日、営業勝負を持ちかけてきた田上は自分が負けたら“なんでも言うことを聞く”と言ってきた！煩悩丸出しなお願いを妄想してやる気全開の山瀬は過去一の圧勝。しかし、妄想通りのお願いなどできるはずもなく、田上の部屋で宅飲みをして解散するはずが流れで「付き合ってほしいと」言ってしまい――！？※本作品はweb雑誌「equal」に収録されています。重複購入にご注意ください。</v>
      </c>
      <c r="W2785" s="14"/>
      <c r="X2785" s="14" t="str">
        <f>IFERROR(__xludf.DUMMYFUNCTION("""COMPUTED_VALUE"""),"有")</f>
        <v>有</v>
      </c>
      <c r="Y2785" s="8" t="str">
        <f>IFERROR(__xludf.DUMMYFUNCTION("""COMPUTED_VALUE"""),"P6まで")</f>
        <v>P6まで</v>
      </c>
      <c r="Z2785" s="7"/>
      <c r="AA2785" s="7"/>
      <c r="AB2785" s="7"/>
    </row>
    <row r="2786" ht="15.75" customHeight="1">
      <c r="A2786" s="153">
        <f>IFERROR(__xludf.DUMMYFUNCTION("""COMPUTED_VALUE"""),4914.0)</f>
        <v>4914</v>
      </c>
      <c r="B2786" s="152" t="str">
        <f>IFERROR(__xludf.DUMMYFUNCTION("""COMPUTED_VALUE"""),"確定")</f>
        <v>確定</v>
      </c>
      <c r="C2786" s="154">
        <f>IFERROR(__xludf.DUMMYFUNCTION("""COMPUTED_VALUE"""),45684.0)</f>
        <v>45684</v>
      </c>
      <c r="D2786" s="154">
        <f>IFERROR(__xludf.DUMMYFUNCTION("""COMPUTED_VALUE"""),45685.0)</f>
        <v>45685</v>
      </c>
      <c r="E2786" s="158">
        <f>IFERROR(__xludf.DUMMYFUNCTION("""COMPUTED_VALUE"""),312970.0)</f>
        <v>312970</v>
      </c>
      <c r="F2786" s="159" t="str">
        <f>IFERROR(__xludf.DUMMYFUNCTION("""COMPUTED_VALUE"""),"淑女の顔も三度まで！【シーモア限定特典付き】【コミックス版】")</f>
        <v>淑女の顔も三度まで！【シーモア限定特典付き】【コミックス版】</v>
      </c>
      <c r="G2786" s="153">
        <f>IFERROR(__xludf.DUMMYFUNCTION("""COMPUTED_VALUE"""),1.0)</f>
        <v>1</v>
      </c>
      <c r="H2786" s="152" t="str">
        <f>IFERROR(__xludf.DUMMYFUNCTION("""COMPUTED_VALUE"""),"ヤマセマヤ⊥瀬尾優梨⊥條")</f>
        <v>ヤマセマヤ⊥瀬尾優梨⊥條</v>
      </c>
      <c r="I2786" s="152" t="str">
        <f>IFERROR(__xludf.DUMMYFUNCTION("""COMPUTED_VALUE"""),"少女")</f>
        <v>少女</v>
      </c>
      <c r="J2786" s="152"/>
      <c r="K2786" s="152" t="str">
        <f>IFERROR(__xludf.DUMMYFUNCTION("""COMPUTED_VALUE"""),"Niμ")</f>
        <v>Niμ</v>
      </c>
      <c r="L2786" s="152" t="str">
        <f>IFERROR(__xludf.DUMMYFUNCTION("""COMPUTED_VALUE"""),"笠倉出版社")</f>
        <v>笠倉出版社</v>
      </c>
      <c r="M2786" s="59">
        <f>IFERROR(__xludf.DUMMYFUNCTION("""COMPUTED_VALUE"""),45698.0)</f>
        <v>45698</v>
      </c>
      <c r="N2786" s="59">
        <f>IFERROR(__xludf.DUMMYFUNCTION("""COMPUTED_VALUE"""),45725.0)</f>
        <v>45725</v>
      </c>
      <c r="O2786" s="69"/>
      <c r="P2786" s="167" t="str">
        <f>IFERROR(__xludf.DUMMYFUNCTION("""COMPUTED_VALUE"""),"可")</f>
        <v>可</v>
      </c>
      <c r="Q2786" s="166"/>
      <c r="R2786" s="152"/>
      <c r="S2786" s="152" t="str">
        <f>IFERROR(__xludf.DUMMYFUNCTION("""COMPUTED_VALUE"""),"20250127_笠倉出版社_淑女の顔も三度まで！【シーモア限定特典付き】【コミックス版】 1巻")</f>
        <v>20250127_笠倉出版社_淑女の顔も三度まで！【シーモア限定特典付き】【コミックス版】 1巻</v>
      </c>
      <c r="T2786" s="161" t="str">
        <f>IFERROR(__xludf.DUMMYFUNCTION("""COMPUTED_VALUE"""),"格納済み")</f>
        <v>格納済み</v>
      </c>
      <c r="U2786" s="15" t="str">
        <f>IFERROR(__xludf.DUMMYFUNCTION("""COMPUTED_VALUE"""),"Ⓒヤマセマヤ/瀬尾優梨/條/笠倉出版社")</f>
        <v>Ⓒヤマセマヤ/瀬尾優梨/條/笠倉出版社</v>
      </c>
      <c r="V2786" s="8" t="str">
        <f>IFERROR(__xludf.DUMMYFUNCTION("""COMPUTED_VALUE"""),"四度目の人生は自分のやりたいように生きる！婚約者のラウルから婚約破棄を言い渡されては死に、十歳に時が戻る…を繰り返すこと三度。はじめは絶望からの自殺、二度目は他殺、三度目は事故死…。そして繰り返すうちに、どう努力しようともラウルが自分を愛さないことを悟ったアウレリア。ならば、四度目は自由に生きようと、まずはラウルとの婚約自体を回避しようと決意する！そして別のお相手を探そうと参加したお茶会で出会ったのはどのやり直し人生でも遊び人と言われていた騎士・ユーリスで――！？◆収録内容◆「淑女の顔も三度まで！」全5話"&amp;"／単行本収録描き下ろし漫画8P／電子限定描き下ろし（おまけ漫画2P）／コミックシーモア限定描き下ろしイラスト")</f>
        <v>四度目の人生は自分のやりたいように生きる！婚約者のラウルから婚約破棄を言い渡されては死に、十歳に時が戻る…を繰り返すこと三度。はじめは絶望からの自殺、二度目は他殺、三度目は事故死…。そして繰り返すうちに、どう努力しようともラウルが自分を愛さないことを悟ったアウレリア。ならば、四度目は自由に生きようと、まずはラウルとの婚約自体を回避しようと決意する！そして別のお相手を探そうと参加したお茶会で出会ったのはどのやり直し人生でも遊び人と言われていた騎士・ユーリスで――！？◆収録内容◆「淑女の顔も三度まで！」全5話／単行本収録描き下ろし漫画8P／電子限定描き下ろし（おまけ漫画2P）／コミックシーモア限定描き下ろしイラスト</v>
      </c>
      <c r="W2786" s="14"/>
      <c r="X2786" s="14" t="str">
        <f>IFERROR(__xludf.DUMMYFUNCTION("""COMPUTED_VALUE"""),"有")</f>
        <v>有</v>
      </c>
      <c r="Y2786" s="8" t="str">
        <f>IFERROR(__xludf.DUMMYFUNCTION("""COMPUTED_VALUE"""),"2025/2/23まで立ち読み増量P34まで")</f>
        <v>2025/2/23まで立ち読み増量P34まで</v>
      </c>
      <c r="Z2786" s="7"/>
      <c r="AA2786" s="7"/>
      <c r="AB2786" s="7"/>
    </row>
    <row r="2787" ht="15.75" customHeight="1">
      <c r="A2787" s="153">
        <f>IFERROR(__xludf.DUMMYFUNCTION("""COMPUTED_VALUE"""),4923.0)</f>
        <v>4923</v>
      </c>
      <c r="B2787" s="152" t="str">
        <f>IFERROR(__xludf.DUMMYFUNCTION("""COMPUTED_VALUE"""),"確定")</f>
        <v>確定</v>
      </c>
      <c r="C2787" s="154">
        <f>IFERROR(__xludf.DUMMYFUNCTION("""COMPUTED_VALUE"""),45685.0)</f>
        <v>45685</v>
      </c>
      <c r="D2787" s="154">
        <f>IFERROR(__xludf.DUMMYFUNCTION("""COMPUTED_VALUE"""),45686.0)</f>
        <v>45686</v>
      </c>
      <c r="E2787" s="155">
        <f>IFERROR(__xludf.DUMMYFUNCTION("""COMPUTED_VALUE"""),313355.0)</f>
        <v>313355</v>
      </c>
      <c r="F2787" s="156" t="str">
        <f>IFERROR(__xludf.DUMMYFUNCTION("""COMPUTED_VALUE"""),"ドールハウス（コミック） 分冊版")</f>
        <v>ドールハウス（コミック） 分冊版</v>
      </c>
      <c r="G2787" s="152" t="str">
        <f>IFERROR(__xludf.DUMMYFUNCTION("""COMPUTED_VALUE"""),"1～5")</f>
        <v>1～5</v>
      </c>
      <c r="H2787" s="152" t="str">
        <f>IFERROR(__xludf.DUMMYFUNCTION("""COMPUTED_VALUE"""),"原案…矢口史靖 漫画…凸ノ高秀")</f>
        <v>原案…矢口史靖 漫画…凸ノ高秀</v>
      </c>
      <c r="I2787" s="152" t="str">
        <f>IFERROR(__xludf.DUMMYFUNCTION("""COMPUTED_VALUE"""),"青年")</f>
        <v>青年</v>
      </c>
      <c r="J2787" s="152"/>
      <c r="K2787" s="152" t="str">
        <f>IFERROR(__xludf.DUMMYFUNCTION("""COMPUTED_VALUE"""),"アクションコミックス")</f>
        <v>アクションコミックス</v>
      </c>
      <c r="L2787" s="152" t="str">
        <f>IFERROR(__xludf.DUMMYFUNCTION("""COMPUTED_VALUE"""),"双葉社")</f>
        <v>双葉社</v>
      </c>
      <c r="M2787" s="59">
        <f>IFERROR(__xludf.DUMMYFUNCTION("""COMPUTED_VALUE"""),45695.0)</f>
        <v>45695</v>
      </c>
      <c r="N2787" s="59">
        <f>IFERROR(__xludf.DUMMYFUNCTION("""COMPUTED_VALUE"""),45770.0)</f>
        <v>45770</v>
      </c>
      <c r="O2787" s="69"/>
      <c r="P2787" s="120" t="str">
        <f>IFERROR(__xludf.DUMMYFUNCTION("""COMPUTED_VALUE"""),"可")</f>
        <v>可</v>
      </c>
      <c r="Q2787" s="69" t="str">
        <f>IFERROR(__xludf.DUMMYFUNCTION("""COMPUTED_VALUE"""),"河上さんに事前相談した作品です。&lt;BR&gt;映画予定作品でもあり期待度が高い作品です。&lt;BR&gt;格納素材は２話までですが、それぞれ前後に分割するので分冊版１～４巻相当です。&lt;BR&gt;⇒格納素材は4巻分までのため、4話分で広告制作お願いいたします。")</f>
        <v>河上さんに事前相談した作品です。&lt;BR&gt;映画予定作品でもあり期待度が高い作品です。&lt;BR&gt;格納素材は２話までですが、それぞれ前後に分割するので分冊版１～４巻相当です。&lt;BR&gt;⇒格納素材は4巻分までのため、4話分で広告制作お願いいたします。</v>
      </c>
      <c r="R2787" s="152" t="str">
        <f>IFERROR(__xludf.DUMMYFUNCTION("""COMPUTED_VALUE"""),"コミットOK")</f>
        <v>コミットOK</v>
      </c>
      <c r="S2787" s="152" t="str">
        <f>IFERROR(__xludf.DUMMYFUNCTION("""COMPUTED_VALUE"""),"20250128_双葉社_ドールハウス")</f>
        <v>20250128_双葉社_ドールハウス</v>
      </c>
      <c r="T2787" s="152" t="str">
        <f>IFERROR(__xludf.DUMMYFUNCTION("""COMPUTED_VALUE"""),"格納済み")</f>
        <v>格納済み</v>
      </c>
      <c r="U2787" s="15" t="str">
        <f>IFERROR(__xludf.DUMMYFUNCTION("""COMPUTED_VALUE"""),"「ドールハウス（コミック）」©2025 TOHO CO., LTD. ©矢口史靖・凸ノ高秀/双葉社
※タイトルは省略可")</f>
        <v>「ドールハウス（コミック）」©2025 TOHO CO., LTD. ©矢口史靖・凸ノ高秀/双葉社
※タイトルは省略可</v>
      </c>
      <c r="V2787" s="8" t="str">
        <f>IFERROR(__xludf.DUMMYFUNCTION("""COMPUTED_VALUE"""),"2025年6月13日公開の映画『ドールハウス』公式コミカライズ！　５歳の娘を失った佳恵は、骨董市で愛らしい人形に出会う。まるで本当の娘のように可愛がり、心の傷は徐々に癒えていった。しかし、夫婦が新たな娘を授かり人形に心を向けなくなると、変な出来事が次々と起き始める。佳恵は人形を手放そうとするが、人形はなぜかいつも戻ってくる…‼　ノンストップで展開するストーリーを圧巻の描写と迫力の表現で漫画化した、ゾク×ゾクのドールミステリー！※４月２４日発売予定のコミックスのカバーとは異なります")</f>
        <v>2025年6月13日公開の映画『ドールハウス』公式コミカライズ！　５歳の娘を失った佳恵は、骨董市で愛らしい人形に出会う。まるで本当の娘のように可愛がり、心の傷は徐々に癒えていった。しかし、夫婦が新たな娘を授かり人形に心を向けなくなると、変な出来事が次々と起き始める。佳恵は人形を手放そうとするが、人形はなぜかいつも戻ってくる…‼　ノンストップで展開するストーリーを圧巻の描写と迫力の表現で漫画化した、ゾク×ゾクのドールミステリー！※４月２４日発売予定のコミックスのカバーとは異なります</v>
      </c>
      <c r="W2787" s="14"/>
      <c r="X2787" s="14" t="str">
        <f>IFERROR(__xludf.DUMMYFUNCTION("""COMPUTED_VALUE"""),"有")</f>
        <v>有</v>
      </c>
      <c r="Y2787" s="8" t="str">
        <f>IFERROR(__xludf.DUMMYFUNCTION("""COMPUTED_VALUE"""),"2025/2/20まで1～3巻無料")</f>
        <v>2025/2/20まで1～3巻無料</v>
      </c>
      <c r="Z2787" s="7"/>
      <c r="AA2787" s="7"/>
      <c r="AB2787" s="7"/>
    </row>
    <row r="2788" ht="15.75" customHeight="1">
      <c r="A2788" s="26">
        <f>IFERROR(__xludf.DUMMYFUNCTION("""COMPUTED_VALUE"""),4431.0)</f>
        <v>4431</v>
      </c>
      <c r="B2788" s="22" t="str">
        <f>IFERROR(__xludf.DUMMYFUNCTION("""COMPUTED_VALUE"""),"確定")</f>
        <v>確定</v>
      </c>
      <c r="C2788" s="28">
        <f>IFERROR(__xludf.DUMMYFUNCTION("""COMPUTED_VALUE"""),45594.0)</f>
        <v>45594</v>
      </c>
      <c r="D2788" s="28">
        <f>IFERROR(__xludf.DUMMYFUNCTION("""COMPUTED_VALUE"""),45692.0)</f>
        <v>45692</v>
      </c>
      <c r="E2788" s="26">
        <f>IFERROR(__xludf.DUMMYFUNCTION("""COMPUTED_VALUE"""),315179.0)</f>
        <v>315179</v>
      </c>
      <c r="F2788" s="22" t="str">
        <f>IFERROR(__xludf.DUMMYFUNCTION("""COMPUTED_VALUE"""),"エルフの交尾 ~最強ハンターさんの呪いを解くためにHすることにしました❤~【タテヨミ】")</f>
        <v>エルフの交尾 ~最強ハンターさんの呪いを解くためにHすることにしました❤~【タテヨミ】</v>
      </c>
      <c r="G2788" s="20" t="str">
        <f>IFERROR(__xludf.DUMMYFUNCTION("""COMPUTED_VALUE"""),"1～15")</f>
        <v>1～15</v>
      </c>
      <c r="H2788" s="22" t="str">
        <f>IFERROR(__xludf.DUMMYFUNCTION("""COMPUTED_VALUE"""),"文・作画：potpourri")</f>
        <v>文・作画：potpourri</v>
      </c>
      <c r="I2788" s="22" t="str">
        <f>IFERROR(__xludf.DUMMYFUNCTION("""COMPUTED_VALUE"""),"TL")</f>
        <v>TL</v>
      </c>
      <c r="J2788" s="22"/>
      <c r="K2788" s="22"/>
      <c r="L2788" s="22" t="str">
        <f>IFERROR(__xludf.DUMMYFUNCTION("""COMPUTED_VALUE"""),"主婦の友社")</f>
        <v>主婦の友社</v>
      </c>
      <c r="M2788" s="59">
        <f>IFERROR(__xludf.DUMMYFUNCTION("""COMPUTED_VALUE"""),45714.0)</f>
        <v>45714</v>
      </c>
      <c r="N2788" s="23">
        <f>IFERROR(__xludf.DUMMYFUNCTION("""COMPUTED_VALUE"""),45838.66666666667)</f>
        <v>45838.66667</v>
      </c>
      <c r="O2788" s="20"/>
      <c r="P2788" s="32" t="str">
        <f>IFERROR(__xludf.DUMMYFUNCTION("""COMPUTED_VALUE"""),"可")</f>
        <v>可</v>
      </c>
      <c r="Q2788" s="31"/>
      <c r="R2788" s="22" t="str">
        <f>IFERROR(__xludf.DUMMYFUNCTION("""COMPUTED_VALUE"""),"コミットOK")</f>
        <v>コミットOK</v>
      </c>
      <c r="S2788" s="22" t="str">
        <f>IFERROR(__xludf.DUMMYFUNCTION("""COMPUTED_VALUE"""),"20250131_主婦の友社_エルフの交尾 ~最強ハンターさんの呪いを解くためにHすることにしました❤~")</f>
        <v>20250131_主婦の友社_エルフの交尾 ~最強ハンターさんの呪いを解くためにHすることにしました❤~</v>
      </c>
      <c r="T2788" s="22" t="str">
        <f>IFERROR(__xludf.DUMMYFUNCTION("""COMPUTED_VALUE"""),"格納済み")</f>
        <v>格納済み</v>
      </c>
      <c r="U2788" s="15" t="str">
        <f>IFERROR(__xludf.DUMMYFUNCTION("""COMPUTED_VALUE"""),"ⓒpotpourri / Jaedam")</f>
        <v>ⓒpotpourri / Jaedam</v>
      </c>
      <c r="V2788" s="8" t="str">
        <f>IFERROR(__xludf.DUMMYFUNCTION("""COMPUTED_VALUE"""),"人間を憎むS級エルフハンター、ナオス。いつものように一人でダンジョンを攻略していたところ、サキュバスの呪いに遭うことになる。呪いによる状態異常を解除できるのは、ステータスを見るスキルがあるエルフヒーラー、パーニャだけ！ところで、ステータスウィンドウに浮かんだミッションが何かおかしい？！【MISSION:自分以外の人にイかせてもらう?】はたして二人のエルフはミッションをクリアし、無事に呪いを解くことができるだろうか？")</f>
        <v>人間を憎むS級エルフハンター、ナオス。いつものように一人でダンジョンを攻略していたところ、サキュバスの呪いに遭うことになる。呪いによる状態異常を解除できるのは、ステータスを見るスキルがあるエルフヒーラー、パーニャだけ！ところで、ステータスウィンドウに浮かんだミッションが何かおかしい？！【MISSION:自分以外の人にイかせてもらう?】はたして二人のエルフはミッションをクリアし、無事に呪いを解くことができるだろうか？</v>
      </c>
      <c r="W2788" s="14"/>
      <c r="X2788" s="14" t="str">
        <f>IFERROR(__xludf.DUMMYFUNCTION("""COMPUTED_VALUE"""),"有")</f>
        <v>有</v>
      </c>
      <c r="Y2788" s="8" t="str">
        <f>IFERROR(__xludf.DUMMYFUNCTION("""COMPUTED_VALUE"""),"1~3巻まで無料")</f>
        <v>1~3巻まで無料</v>
      </c>
      <c r="Z2788" s="7"/>
      <c r="AA2788" s="7"/>
      <c r="AB2788" s="7"/>
    </row>
    <row r="2789" ht="15.75" customHeight="1">
      <c r="A2789" s="26">
        <f>IFERROR(__xludf.DUMMYFUNCTION("""COMPUTED_VALUE"""),4536.0)</f>
        <v>4536</v>
      </c>
      <c r="B2789" s="22" t="str">
        <f>IFERROR(__xludf.DUMMYFUNCTION("""COMPUTED_VALUE"""),"確定")</f>
        <v>確定</v>
      </c>
      <c r="C2789" s="28">
        <f>IFERROR(__xludf.DUMMYFUNCTION("""COMPUTED_VALUE"""),45617.0)</f>
        <v>45617</v>
      </c>
      <c r="D2789" s="28">
        <f>IFERROR(__xludf.DUMMYFUNCTION("""COMPUTED_VALUE"""),45692.0)</f>
        <v>45692</v>
      </c>
      <c r="E2789" s="26">
        <f>IFERROR(__xludf.DUMMYFUNCTION("""COMPUTED_VALUE"""),315161.0)</f>
        <v>315161</v>
      </c>
      <c r="F2789" s="22" t="str">
        <f>IFERROR(__xludf.DUMMYFUNCTION("""COMPUTED_VALUE"""),"弱い私は死にました～死に戻り令嬢の復讐～")</f>
        <v>弱い私は死にました～死に戻り令嬢の復讐～</v>
      </c>
      <c r="G2789" s="20" t="str">
        <f>IFERROR(__xludf.DUMMYFUNCTION("""COMPUTED_VALUE"""),"1～3")</f>
        <v>1～3</v>
      </c>
      <c r="H2789" s="22" t="str">
        <f>IFERROR(__xludf.DUMMYFUNCTION("""COMPUTED_VALUE"""),"松本救助 沢野いずみ peep")</f>
        <v>松本救助 沢野いずみ peep</v>
      </c>
      <c r="I2789" s="22" t="str">
        <f>IFERROR(__xludf.DUMMYFUNCTION("""COMPUTED_VALUE"""),"女性")</f>
        <v>女性</v>
      </c>
      <c r="J2789" s="22"/>
      <c r="K2789" s="22" t="str">
        <f>IFERROR(__xludf.DUMMYFUNCTION("""COMPUTED_VALUE"""),"ラブ・ペイン・コミックス")</f>
        <v>ラブ・ペイン・コミックス</v>
      </c>
      <c r="L2789" s="22" t="str">
        <f>IFERROR(__xludf.DUMMYFUNCTION("""COMPUTED_VALUE"""),"グループ・ゼロ")</f>
        <v>グループ・ゼロ</v>
      </c>
      <c r="M2789" s="59">
        <f>IFERROR(__xludf.DUMMYFUNCTION("""COMPUTED_VALUE"""),45714.0)</f>
        <v>45714</v>
      </c>
      <c r="N2789" s="23">
        <f>IFERROR(__xludf.DUMMYFUNCTION("""COMPUTED_VALUE"""),45773.0)</f>
        <v>45773</v>
      </c>
      <c r="O2789" s="20"/>
      <c r="P2789" s="32" t="str">
        <f>IFERROR(__xludf.DUMMYFUNCTION("""COMPUTED_VALUE"""),"可")</f>
        <v>可</v>
      </c>
      <c r="Q2789" s="31"/>
      <c r="R2789" s="22" t="str">
        <f>IFERROR(__xludf.DUMMYFUNCTION("""COMPUTED_VALUE"""),"コミットOK")</f>
        <v>コミットOK</v>
      </c>
      <c r="S2789" s="22" t="str">
        <f>IFERROR(__xludf.DUMMYFUNCTION("""COMPUTED_VALUE"""),"20250204_グループ・ゼロ_弱い私は死にました")</f>
        <v>20250204_グループ・ゼロ_弱い私は死にました</v>
      </c>
      <c r="T2789" s="22" t="str">
        <f>IFERROR(__xludf.DUMMYFUNCTION("""COMPUTED_VALUE"""),"格納済み")</f>
        <v>格納済み</v>
      </c>
      <c r="U2789" s="15" t="str">
        <f>IFERROR(__xludf.DUMMYFUNCTION("""COMPUTED_VALUE"""),"松本救助／沢野いずみ／peep／グループ・ゼロ")</f>
        <v>松本救助／沢野いずみ／peep／グループ・ゼロ</v>
      </c>
      <c r="V2789" s="8" t="str">
        <f>IFERROR(__xludf.DUMMYFUNCTION("""COMPUTED_VALUE"""),"「許さない！もしもう一度やり直せるなら…今度は──！」妾の子として生まれ、家族にも使用人にも虐げられて育ったディアナ。ある日、公爵家の正式な跡取りである妹・アイリーンに毒を盛られてしまう。どんなにひどい目に遭っても我慢して従ってきたディアナだったが悔しさと恨みを胸に絶命する。しかし、目を覚ますと一年前に戻っていた！一度死んだならもう何も怖くない！これからはやられた分しっかりやり返してやるわ！ディアナは、公爵家の黒い噂を探るために妹と婚約したダニエルと手を組み、復讐を誓う！死に戻り令嬢の華麗なる復讐劇が幕を"&amp;"あける！！")</f>
        <v>「許さない！もしもう一度やり直せるなら…今度は──！」妾の子として生まれ、家族にも使用人にも虐げられて育ったディアナ。ある日、公爵家の正式な跡取りである妹・アイリーンに毒を盛られてしまう。どんなにひどい目に遭っても我慢して従ってきたディアナだったが悔しさと恨みを胸に絶命する。しかし、目を覚ますと一年前に戻っていた！一度死んだならもう何も怖くない！これからはやられた分しっかりやり返してやるわ！ディアナは、公爵家の黒い噂を探るために妹と婚約したダニエルと手を組み、復讐を誓う！死に戻り令嬢の華麗なる復讐劇が幕をあける！！</v>
      </c>
      <c r="W2789" s="14"/>
      <c r="X2789" s="14" t="str">
        <f>IFERROR(__xludf.DUMMYFUNCTION("""COMPUTED_VALUE"""),"有")</f>
        <v>有</v>
      </c>
      <c r="Y2789" s="8" t="str">
        <f>IFERROR(__xludf.DUMMYFUNCTION("""COMPUTED_VALUE"""),"P6まで")</f>
        <v>P6まで</v>
      </c>
      <c r="Z2789" s="7"/>
      <c r="AA2789" s="7"/>
      <c r="AB2789" s="7"/>
    </row>
    <row r="2790" ht="15.75" customHeight="1">
      <c r="A2790" s="26">
        <f>IFERROR(__xludf.DUMMYFUNCTION("""COMPUTED_VALUE"""),4628.0)</f>
        <v>4628</v>
      </c>
      <c r="B2790" s="22" t="str">
        <f>IFERROR(__xludf.DUMMYFUNCTION("""COMPUTED_VALUE"""),"確定")</f>
        <v>確定</v>
      </c>
      <c r="C2790" s="28">
        <f>IFERROR(__xludf.DUMMYFUNCTION("""COMPUTED_VALUE"""),45631.0)</f>
        <v>45631</v>
      </c>
      <c r="D2790" s="28">
        <f>IFERROR(__xludf.DUMMYFUNCTION("""COMPUTED_VALUE"""),45692.0)</f>
        <v>45692</v>
      </c>
      <c r="E2790" s="26">
        <f>IFERROR(__xludf.DUMMYFUNCTION("""COMPUTED_VALUE"""),315397.0)</f>
        <v>315397</v>
      </c>
      <c r="F2790" s="22" t="str">
        <f>IFERROR(__xludf.DUMMYFUNCTION("""COMPUTED_VALUE"""),"凛と花朔く魔女の恋 【連載版】")</f>
        <v>凛と花朔く魔女の恋 【連載版】</v>
      </c>
      <c r="G2790" s="20" t="str">
        <f>IFERROR(__xludf.DUMMYFUNCTION("""COMPUTED_VALUE"""),"1～3")</f>
        <v>1～3</v>
      </c>
      <c r="H2790" s="22" t="str">
        <f>IFERROR(__xludf.DUMMYFUNCTION("""COMPUTED_VALUE"""),"紅蜜ゆず")</f>
        <v>紅蜜ゆず</v>
      </c>
      <c r="I2790" s="22" t="str">
        <f>IFERROR(__xludf.DUMMYFUNCTION("""COMPUTED_VALUE"""),"少女")</f>
        <v>少女</v>
      </c>
      <c r="J2790" s="22"/>
      <c r="K2790" s="22" t="str">
        <f>IFERROR(__xludf.DUMMYFUNCTION("""COMPUTED_VALUE"""),"ZERO-SUMコミックス")</f>
        <v>ZERO-SUMコミックス</v>
      </c>
      <c r="L2790" s="22" t="str">
        <f>IFERROR(__xludf.DUMMYFUNCTION("""COMPUTED_VALUE"""),"一迅社")</f>
        <v>一迅社</v>
      </c>
      <c r="M2790" s="59">
        <f>IFERROR(__xludf.DUMMYFUNCTION("""COMPUTED_VALUE"""),45717.0)</f>
        <v>45717</v>
      </c>
      <c r="N2790" s="59">
        <f>IFERROR(__xludf.DUMMYFUNCTION("""COMPUTED_VALUE"""),45777.0)</f>
        <v>45777</v>
      </c>
      <c r="O2790" s="20"/>
      <c r="P2790" s="34" t="str">
        <f>IFERROR(__xludf.DUMMYFUNCTION("""COMPUTED_VALUE"""),"可")</f>
        <v>可</v>
      </c>
      <c r="Q2790" s="31" t="str">
        <f>IFERROR(__xludf.DUMMYFUNCTION("""COMPUTED_VALUE"""),"・恋愛×サスペンスストーリーです。高い画力とヒーローのサイコパス感が引きになるのではないかと考えています。サイコパス言動をピックアップしたコマも併せて格納させていただきました。")</f>
        <v>・恋愛×サスペンスストーリーです。高い画力とヒーローのサイコパス感が引きになるのではないかと考えています。サイコパス言動をピックアップしたコマも併せて格納させていただきました。</v>
      </c>
      <c r="R2790" s="22" t="str">
        <f>IFERROR(__xludf.DUMMYFUNCTION("""COMPUTED_VALUE"""),"コミットOK")</f>
        <v>コミットOK</v>
      </c>
      <c r="S2790" s="22" t="str">
        <f>IFERROR(__xludf.DUMMYFUNCTION("""COMPUTED_VALUE"""),"20250129_一迅社_凛と花朔く魔女の恋　【連載版】")</f>
        <v>20250129_一迅社_凛と花朔く魔女の恋　【連載版】</v>
      </c>
      <c r="T2790" s="22" t="str">
        <f>IFERROR(__xludf.DUMMYFUNCTION("""COMPUTED_VALUE"""),"格納済み")</f>
        <v>格納済み</v>
      </c>
      <c r="U2790" s="15" t="str">
        <f>IFERROR(__xludf.DUMMYFUNCTION("""COMPUTED_VALUE"""),"Ⓒ紅蜜ゆず／一迅社")</f>
        <v>Ⓒ紅蜜ゆず／一迅社</v>
      </c>
      <c r="V2790" s="8" t="str">
        <f>IFERROR(__xludf.DUMMYFUNCTION("""COMPUTED_VALUE"""),"突然人の顔が黒く染まり、するとその人は数日後に死ぬ――。そんな特殊な能力をを持つ二葉凛花は、自身の両親の死をきっかけに、従兄である西宮朔と一緒に暮らすことになった。幼い頃から、凛花にとっては朔だけが心の拠り所。そして、初恋の相手。しかし、朔には凛花に伝えていない秘密があり――…？特殊能力持ちの少女×謎多き青年のラブサスペンス！【本商品は単話コンテンツとなります。単行本版と収録内容が異なる場合がございます。漫画内の告知等は過去のものとなりますので、ご注意ください。】")</f>
        <v>突然人の顔が黒く染まり、するとその人は数日後に死ぬ――。そんな特殊な能力をを持つ二葉凛花は、自身の両親の死をきっかけに、従兄である西宮朔と一緒に暮らすことになった。幼い頃から、凛花にとっては朔だけが心の拠り所。そして、初恋の相手。しかし、朔には凛花に伝えていない秘密があり――…？特殊能力持ちの少女×謎多き青年のラブサスペンス！【本商品は単話コンテンツとなります。単行本版と収録内容が異なる場合がございます。漫画内の告知等は過去のものとなりますので、ご注意ください。】</v>
      </c>
      <c r="W2790" s="14"/>
      <c r="X2790" s="14" t="str">
        <f>IFERROR(__xludf.DUMMYFUNCTION("""COMPUTED_VALUE"""),"有")</f>
        <v>有</v>
      </c>
      <c r="Y2790" s="8" t="str">
        <f>IFERROR(__xludf.DUMMYFUNCTION("""COMPUTED_VALUE"""),"2025/4/30まで1巻無料")</f>
        <v>2025/4/30まで1巻無料</v>
      </c>
      <c r="Z2790" s="7"/>
      <c r="AA2790" s="7"/>
      <c r="AB2790" s="7"/>
    </row>
    <row r="2791" ht="15.75" customHeight="1">
      <c r="A2791" s="26">
        <f>IFERROR(__xludf.DUMMYFUNCTION("""COMPUTED_VALUE"""),4641.0)</f>
        <v>4641</v>
      </c>
      <c r="B2791" s="22" t="str">
        <f>IFERROR(__xludf.DUMMYFUNCTION("""COMPUTED_VALUE"""),"確定")</f>
        <v>確定</v>
      </c>
      <c r="C2791" s="28">
        <f>IFERROR(__xludf.DUMMYFUNCTION("""COMPUTED_VALUE"""),45632.0)</f>
        <v>45632</v>
      </c>
      <c r="D2791" s="28">
        <f>IFERROR(__xludf.DUMMYFUNCTION("""COMPUTED_VALUE"""),45692.0)</f>
        <v>45692</v>
      </c>
      <c r="E2791" s="26">
        <f>IFERROR(__xludf.DUMMYFUNCTION("""COMPUTED_VALUE"""),315396.0)</f>
        <v>315396</v>
      </c>
      <c r="F2791" s="22" t="str">
        <f>IFERROR(__xludf.DUMMYFUNCTION("""COMPUTED_VALUE"""),"トゲトゲ令嬢とライバル令息のお騒がせ婚約")</f>
        <v>トゲトゲ令嬢とライバル令息のお騒がせ婚約</v>
      </c>
      <c r="G2791" s="20">
        <f>IFERROR(__xludf.DUMMYFUNCTION("""COMPUTED_VALUE"""),1.0)</f>
        <v>1</v>
      </c>
      <c r="H2791" s="22" t="str">
        <f>IFERROR(__xludf.DUMMYFUNCTION("""COMPUTED_VALUE"""),"由村")</f>
        <v>由村</v>
      </c>
      <c r="I2791" s="22" t="str">
        <f>IFERROR(__xludf.DUMMYFUNCTION("""COMPUTED_VALUE"""),"少女")</f>
        <v>少女</v>
      </c>
      <c r="J2791" s="22"/>
      <c r="K2791" s="22" t="str">
        <f>IFERROR(__xludf.DUMMYFUNCTION("""COMPUTED_VALUE"""),"ZERO-SUMコミックス")</f>
        <v>ZERO-SUMコミックス</v>
      </c>
      <c r="L2791" s="22" t="str">
        <f>IFERROR(__xludf.DUMMYFUNCTION("""COMPUTED_VALUE"""),"一迅社")</f>
        <v>一迅社</v>
      </c>
      <c r="M2791" s="59">
        <f>IFERROR(__xludf.DUMMYFUNCTION("""COMPUTED_VALUE"""),45717.0)</f>
        <v>45717</v>
      </c>
      <c r="N2791" s="59">
        <f>IFERROR(__xludf.DUMMYFUNCTION("""COMPUTED_VALUE"""),45747.0)</f>
        <v>45747</v>
      </c>
      <c r="O2791" s="20"/>
      <c r="P2791" s="32" t="str">
        <f>IFERROR(__xludf.DUMMYFUNCTION("""COMPUTED_VALUE"""),"可")</f>
        <v>可</v>
      </c>
      <c r="Q2791" s="31"/>
      <c r="R2791" s="22" t="str">
        <f>IFERROR(__xludf.DUMMYFUNCTION("""COMPUTED_VALUE"""),"コミットOK")</f>
        <v>コミットOK</v>
      </c>
      <c r="S2791" s="22" t="str">
        <f>IFERROR(__xludf.DUMMYFUNCTION("""COMPUTED_VALUE"""),"20250129_一迅社_トゲトゲ令嬢とライバル令息のお騒がせ婚約")</f>
        <v>20250129_一迅社_トゲトゲ令嬢とライバル令息のお騒がせ婚約</v>
      </c>
      <c r="T2791" s="22" t="str">
        <f>IFERROR(__xludf.DUMMYFUNCTION("""COMPUTED_VALUE"""),"格納済み")</f>
        <v>格納済み</v>
      </c>
      <c r="U2791" s="15" t="str">
        <f>IFERROR(__xludf.DUMMYFUNCTION("""COMPUTED_VALUE"""),"Ⓒ由村／一迅社")</f>
        <v>Ⓒ由村／一迅社</v>
      </c>
      <c r="V2791" s="8" t="str">
        <f>IFERROR(__xludf.DUMMYFUNCTION("""COMPUTED_VALUE"""),"困窮する家を立て直すため幼い頃から奮闘していたら、言葉にとげを纏わせる茨姫と言われ!?　※この作品は『悪役令嬢ですが、幸せになってみせますわ！　アンソロジーコミック』10巻収録作品と同一の内容を単話版として再編集したものとなります。")</f>
        <v>困窮する家を立て直すため幼い頃から奮闘していたら、言葉にとげを纏わせる茨姫と言われ!?　※この作品は『悪役令嬢ですが、幸せになってみせますわ！　アンソロジーコミック』10巻収録作品と同一の内容を単話版として再編集したものとなります。</v>
      </c>
      <c r="W2791" s="14"/>
      <c r="X2791" s="14" t="str">
        <f>IFERROR(__xludf.DUMMYFUNCTION("""COMPUTED_VALUE"""),"有")</f>
        <v>有</v>
      </c>
      <c r="Y2791" s="8" t="str">
        <f>IFERROR(__xludf.DUMMYFUNCTION("""COMPUTED_VALUE"""),"P7まで")</f>
        <v>P7まで</v>
      </c>
      <c r="Z2791" s="7"/>
      <c r="AA2791" s="7"/>
      <c r="AB2791" s="7"/>
    </row>
    <row r="2792" ht="15.75" customHeight="1">
      <c r="A2792" s="26">
        <f>IFERROR(__xludf.DUMMYFUNCTION("""COMPUTED_VALUE"""),4649.0)</f>
        <v>4649</v>
      </c>
      <c r="B2792" s="22" t="str">
        <f>IFERROR(__xludf.DUMMYFUNCTION("""COMPUTED_VALUE"""),"確定")</f>
        <v>確定</v>
      </c>
      <c r="C2792" s="28">
        <f>IFERROR(__xludf.DUMMYFUNCTION("""COMPUTED_VALUE"""),45632.0)</f>
        <v>45632</v>
      </c>
      <c r="D2792" s="28">
        <f>IFERROR(__xludf.DUMMYFUNCTION("""COMPUTED_VALUE"""),45693.0)</f>
        <v>45693</v>
      </c>
      <c r="E2792" s="26">
        <f>IFERROR(__xludf.DUMMYFUNCTION("""COMPUTED_VALUE"""),316633.0)</f>
        <v>316633</v>
      </c>
      <c r="F2792" s="22" t="str">
        <f>IFERROR(__xludf.DUMMYFUNCTION("""COMPUTED_VALUE"""),"愛でて春～呪われた公爵騎士様は溺愛する～【マイクロ】")</f>
        <v>愛でて春～呪われた公爵騎士様は溺愛する～【マイクロ】</v>
      </c>
      <c r="G2792" s="20" t="str">
        <f>IFERROR(__xludf.DUMMYFUNCTION("""COMPUTED_VALUE"""),"1~3")</f>
        <v>1~3</v>
      </c>
      <c r="H2792" s="22" t="str">
        <f>IFERROR(__xludf.DUMMYFUNCTION("""COMPUTED_VALUE"""),"朱神宝")</f>
        <v>朱神宝</v>
      </c>
      <c r="I2792" s="22" t="str">
        <f>IFERROR(__xludf.DUMMYFUNCTION("""COMPUTED_VALUE"""),"女性")</f>
        <v>女性</v>
      </c>
      <c r="J2792" s="22"/>
      <c r="K2792" s="22" t="str">
        <f>IFERROR(__xludf.DUMMYFUNCTION("""COMPUTED_VALUE"""),"Cheese！")</f>
        <v>Cheese！</v>
      </c>
      <c r="L2792" s="22" t="str">
        <f>IFERROR(__xludf.DUMMYFUNCTION("""COMPUTED_VALUE"""),"小学館")</f>
        <v>小学館</v>
      </c>
      <c r="M2792" s="59">
        <f>IFERROR(__xludf.DUMMYFUNCTION("""COMPUTED_VALUE"""),45721.0)</f>
        <v>45721</v>
      </c>
      <c r="N2792" s="23">
        <f>IFERROR(__xludf.DUMMYFUNCTION("""COMPUTED_VALUE"""),45781.0)</f>
        <v>45781</v>
      </c>
      <c r="O2792" s="20"/>
      <c r="P2792" s="34" t="str">
        <f>IFERROR(__xludf.DUMMYFUNCTION("""COMPUTED_VALUE"""),"否")</f>
        <v>否</v>
      </c>
      <c r="Q2792" s="30" t="str">
        <f>IFERROR(__xludf.DUMMYFUNCTION("""COMPUTED_VALUE"""),"コヒバニの朱神宝先生の異世界新連載です！&lt;BR&gt;")</f>
        <v>コヒバニの朱神宝先生の異世界新連載です！&lt;BR&gt;</v>
      </c>
      <c r="R2792" s="22"/>
      <c r="S2792" s="22" t="str">
        <f>IFERROR(__xludf.DUMMYFUNCTION("""COMPUTED_VALUE"""),"20250205_小学館_愛でて春～呪われた公爵騎士様は溺愛する～")</f>
        <v>20250205_小学館_愛でて春～呪われた公爵騎士様は溺愛する～</v>
      </c>
      <c r="T2792" s="22"/>
      <c r="U2792" s="15" t="str">
        <f>IFERROR(__xludf.DUMMYFUNCTION("""COMPUTED_VALUE"""),"Ⓒ朱神宝／小学館")</f>
        <v>Ⓒ朱神宝／小学館</v>
      </c>
      <c r="V2792" s="8" t="str">
        <f>IFERROR(__xludf.DUMMYFUNCTION("""COMPUTED_VALUE"""),"【『コーヒー＆バニラ』の朱神宝が描く、極上の溺愛×異世界ファンタジー！】自己肯定感ゼロ、恋愛運ゼロの会社員・花里春（はなさと・はる）。「特別な人にめぐり逢いたい」と願う春は、占い師から買った石を手に眠りに落ち、目を覚ますと異世界にいて！？魔女に呪いをかけられ身体中にアザが拡がり、死を待つ侯爵・エルドと出会う。戸惑う春だけど、春がエルドの呪いを唯一“浄化“することができる“癒しの魂“だと発覚して…！？春の優しい心に強く惹かれるエルド。春を愛し甘やかし…！！")</f>
        <v>【『コーヒー＆バニラ』の朱神宝が描く、極上の溺愛×異世界ファンタジー！】自己肯定感ゼロ、恋愛運ゼロの会社員・花里春（はなさと・はる）。「特別な人にめぐり逢いたい」と願う春は、占い師から買った石を手に眠りに落ち、目を覚ますと異世界にいて！？魔女に呪いをかけられ身体中にアザが拡がり、死を待つ侯爵・エルドと出会う。戸惑う春だけど、春がエルドの呪いを唯一“浄化“することができる“癒しの魂“だと発覚して…！？春の優しい心に強く惹かれるエルド。春を愛し甘やかし…！！</v>
      </c>
      <c r="W2792" s="14"/>
      <c r="X2792" s="14" t="str">
        <f>IFERROR(__xludf.DUMMYFUNCTION("""COMPUTED_VALUE"""),"有")</f>
        <v>有</v>
      </c>
      <c r="Y2792" s="8" t="str">
        <f>IFERROR(__xludf.DUMMYFUNCTION("""COMPUTED_VALUE"""),"2025/5/4まで1巻無料")</f>
        <v>2025/5/4まで1巻無料</v>
      </c>
      <c r="Z2792" s="7"/>
      <c r="AA2792" s="7"/>
      <c r="AB2792" s="7"/>
    </row>
    <row r="2793" ht="15.75" customHeight="1">
      <c r="A2793" s="26">
        <f>IFERROR(__xludf.DUMMYFUNCTION("""COMPUTED_VALUE"""),4712.0)</f>
        <v>4712</v>
      </c>
      <c r="B2793" s="22" t="str">
        <f>IFERROR(__xludf.DUMMYFUNCTION("""COMPUTED_VALUE"""),"確定")</f>
        <v>確定</v>
      </c>
      <c r="C2793" s="28">
        <f>IFERROR(__xludf.DUMMYFUNCTION("""COMPUTED_VALUE"""),45649.0)</f>
        <v>45649</v>
      </c>
      <c r="D2793" s="28">
        <f>IFERROR(__xludf.DUMMYFUNCTION("""COMPUTED_VALUE"""),45692.0)</f>
        <v>45692</v>
      </c>
      <c r="E2793" s="100">
        <f>IFERROR(__xludf.DUMMYFUNCTION("""COMPUTED_VALUE"""),315132.0)</f>
        <v>315132</v>
      </c>
      <c r="F2793" s="61" t="str">
        <f>IFERROR(__xludf.DUMMYFUNCTION("""COMPUTED_VALUE"""),"はじまりの星")</f>
        <v>はじまりの星</v>
      </c>
      <c r="G2793" s="20" t="str">
        <f>IFERROR(__xludf.DUMMYFUNCTION("""COMPUTED_VALUE"""),"1～3")</f>
        <v>1～3</v>
      </c>
      <c r="H2793" s="22" t="str">
        <f>IFERROR(__xludf.DUMMYFUNCTION("""COMPUTED_VALUE"""),"翠岡 優")</f>
        <v>翠岡 優</v>
      </c>
      <c r="I2793" s="22" t="str">
        <f>IFERROR(__xludf.DUMMYFUNCTION("""COMPUTED_VALUE"""),"BL")</f>
        <v>BL</v>
      </c>
      <c r="J2793" s="22"/>
      <c r="K2793" s="22"/>
      <c r="L2793" s="22" t="str">
        <f>IFERROR(__xludf.DUMMYFUNCTION("""COMPUTED_VALUE"""),"扶桑社")</f>
        <v>扶桑社</v>
      </c>
      <c r="M2793" s="59">
        <f>IFERROR(__xludf.DUMMYFUNCTION("""COMPUTED_VALUE"""),45709.0)</f>
        <v>45709</v>
      </c>
      <c r="N2793" s="59">
        <f>IFERROR(__xludf.DUMMYFUNCTION("""COMPUTED_VALUE"""),45786.0)</f>
        <v>45786</v>
      </c>
      <c r="O2793" s="20"/>
      <c r="P2793" s="34" t="str">
        <f>IFERROR(__xludf.DUMMYFUNCTION("""COMPUTED_VALUE"""),"可")</f>
        <v>可</v>
      </c>
      <c r="Q2793" s="31" t="str">
        <f>IFERROR(__xludf.DUMMYFUNCTION("""COMPUTED_VALUE"""),"■配信スケジュール&lt;BR&gt;2/21：1～3話&lt;BR&gt;2/28：4話&lt;BR&gt;3/7：5話&lt;BR&gt;3/14：6話&lt;BR&gt;素材は3巻目までご使用ください")</f>
        <v>■配信スケジュール&lt;BR&gt;2/21：1～3話&lt;BR&gt;2/28：4話&lt;BR&gt;3/7：5話&lt;BR&gt;3/14：6話&lt;BR&gt;素材は3巻目までご使用ください</v>
      </c>
      <c r="R2793" s="22" t="str">
        <f>IFERROR(__xludf.DUMMYFUNCTION("""COMPUTED_VALUE"""),"コミットOK")</f>
        <v>コミットOK</v>
      </c>
      <c r="S2793" s="22" t="str">
        <f>IFERROR(__xludf.DUMMYFUNCTION("""COMPUTED_VALUE"""),"20250131_扶桑社_はじまりの星")</f>
        <v>20250131_扶桑社_はじまりの星</v>
      </c>
      <c r="T2793" s="22" t="str">
        <f>IFERROR(__xludf.DUMMYFUNCTION("""COMPUTED_VALUE"""),"格納済み")</f>
        <v>格納済み</v>
      </c>
      <c r="U2793" s="15" t="str">
        <f>IFERROR(__xludf.DUMMYFUNCTION("""COMPUTED_VALUE"""),"(C)2025 翠岡優／扶桑社")</f>
        <v>(C)2025 翠岡優／扶桑社</v>
      </c>
      <c r="V2793" s="8" t="str">
        <f>IFERROR(__xludf.DUMMYFUNCTION("""COMPUTED_VALUE"""),"夢を失った高校生×ミステリアスなバイトの先輩
美しい夏の島を舞台に繰り広げられる
喪失と再生のボーイズラブ
サッカー選手になる夢を絶たれ、人生の目標を見失った高校生の陸（りく）。夏休みの1か月間、住み込みバイトすることになったリゾートで、2歳年上でミステリアスな流星（きらり）に出会う。
陸のことを気にかけて、世話を焼いてくれる流星。しかし島の住民や客からは、流星はよく思われていないようで……。
戸惑いつつも直感を信じて、流星と行動をともにする陸。自分を強くもっている流星に惹かれていくのと同時"&amp;"に、流星も陸に不思議な懐かしさを感じていく。
正反対の2人が巡り合い、ひと夏の物語が始まる――。")</f>
        <v>夢を失った高校生×ミステリアスなバイトの先輩
美しい夏の島を舞台に繰り広げられる
喪失と再生のボーイズラブ
サッカー選手になる夢を絶たれ、人生の目標を見失った高校生の陸（りく）。夏休みの1か月間、住み込みバイトすることになったリゾートで、2歳年上でミステリアスな流星（きらり）に出会う。
陸のことを気にかけて、世話を焼いてくれる流星。しかし島の住民や客からは、流星はよく思われていないようで……。
戸惑いつつも直感を信じて、流星と行動をともにする陸。自分を強くもっている流星に惹かれていくのと同時に、流星も陸に不思議な懐かしさを感じていく。
正反対の2人が巡り合い、ひと夏の物語が始まる――。</v>
      </c>
      <c r="W2793" s="14"/>
      <c r="X2793" s="14" t="str">
        <f>IFERROR(__xludf.DUMMYFUNCTION("""COMPUTED_VALUE"""),"有")</f>
        <v>有</v>
      </c>
      <c r="Y2793" s="8" t="str">
        <f>IFERROR(__xludf.DUMMYFUNCTION("""COMPUTED_VALUE"""),"1～2巻無料")</f>
        <v>1～2巻無料</v>
      </c>
      <c r="Z2793" s="7"/>
      <c r="AA2793" s="7"/>
      <c r="AB2793" s="7"/>
    </row>
    <row r="2794" ht="15.75" customHeight="1">
      <c r="A2794" s="26">
        <f>IFERROR(__xludf.DUMMYFUNCTION("""COMPUTED_VALUE"""),4775.0)</f>
        <v>4775</v>
      </c>
      <c r="B2794" s="22" t="str">
        <f>IFERROR(__xludf.DUMMYFUNCTION("""COMPUTED_VALUE"""),"確定")</f>
        <v>確定</v>
      </c>
      <c r="C2794" s="28">
        <f>IFERROR(__xludf.DUMMYFUNCTION("""COMPUTED_VALUE"""),45666.0)</f>
        <v>45666</v>
      </c>
      <c r="D2794" s="28">
        <f>IFERROR(__xludf.DUMMYFUNCTION("""COMPUTED_VALUE"""),45692.0)</f>
        <v>45692</v>
      </c>
      <c r="E2794" s="26">
        <f>IFERROR(__xludf.DUMMYFUNCTION("""COMPUTED_VALUE"""),314705.0)</f>
        <v>314705</v>
      </c>
      <c r="F2794" s="22" t="str">
        <f>IFERROR(__xludf.DUMMYFUNCTION("""COMPUTED_VALUE"""),"はつ♥たいけん～ヌマらせないで、湊斗さん！～【単話】")</f>
        <v>はつ♥たいけん～ヌマらせないで、湊斗さん！～【単話】</v>
      </c>
      <c r="G2794" s="20" t="str">
        <f>IFERROR(__xludf.DUMMYFUNCTION("""COMPUTED_VALUE"""),"1～3")</f>
        <v>1～3</v>
      </c>
      <c r="H2794" s="22" t="str">
        <f>IFERROR(__xludf.DUMMYFUNCTION("""COMPUTED_VALUE"""),"杷木あもね")</f>
        <v>杷木あもね</v>
      </c>
      <c r="I2794" s="22" t="str">
        <f>IFERROR(__xludf.DUMMYFUNCTION("""COMPUTED_VALUE"""),"TLマンガ")</f>
        <v>TLマンガ</v>
      </c>
      <c r="J2794" s="22"/>
      <c r="K2794" s="22" t="str">
        <f>IFERROR(__xludf.DUMMYFUNCTION("""COMPUTED_VALUE"""),"ミンティ")</f>
        <v>ミンティ</v>
      </c>
      <c r="L2794" s="22" t="str">
        <f>IFERROR(__xludf.DUMMYFUNCTION("""COMPUTED_VALUE"""),"オークラ出版")</f>
        <v>オークラ出版</v>
      </c>
      <c r="M2794" s="59">
        <f>IFERROR(__xludf.DUMMYFUNCTION("""COMPUTED_VALUE"""),45716.0)</f>
        <v>45716</v>
      </c>
      <c r="N2794" s="23">
        <f>IFERROR(__xludf.DUMMYFUNCTION("""COMPUTED_VALUE"""),45799.0)</f>
        <v>45799</v>
      </c>
      <c r="O2794" s="20"/>
      <c r="P2794" s="32" t="str">
        <f>IFERROR(__xludf.DUMMYFUNCTION("""COMPUTED_VALUE"""),"可")</f>
        <v>可</v>
      </c>
      <c r="Q2794" s="31"/>
      <c r="R2794" s="22" t="str">
        <f>IFERROR(__xludf.DUMMYFUNCTION("""COMPUTED_VALUE"""),"コミットOK")</f>
        <v>コミットOK</v>
      </c>
      <c r="S2794" s="22" t="str">
        <f>IFERROR(__xludf.DUMMYFUNCTION("""COMPUTED_VALUE"""),"20250130_オークラ出版_はつたいけん～ヌマらせないで、湊斗さん！～【単話】")</f>
        <v>20250130_オークラ出版_はつたいけん～ヌマらせないで、湊斗さん！～【単話】</v>
      </c>
      <c r="T2794" s="22" t="str">
        <f>IFERROR(__xludf.DUMMYFUNCTION("""COMPUTED_VALUE"""),"格納済み")</f>
        <v>格納済み</v>
      </c>
      <c r="U2794" s="15" t="str">
        <f>IFERROR(__xludf.DUMMYFUNCTION("""COMPUTED_VALUE"""),"（C）杷木あもね／オークラ出版")</f>
        <v>（C）杷木あもね／オークラ出版</v>
      </c>
      <c r="V2794" s="8" t="str">
        <f>IFERROR(__xludf.DUMMYFUNCTION("""COMPUTED_VALUE"""),"「初めてなのにこんなに感じちゃって…悪い子ちゃんだね」
普通のマッサージだと思ってたのに…。
男性セラピストから敏感な場所を優しくいっぱい触れられている…。
イジワルですごくエッチで…、とっても恥ずかしいのに…気持ちいいよぉ―――
教師の水森香菜はもうすぐ30歳、童顔、そして未だに処女。
とある日、同僚からのススメで半ば強引に男性セラピストによるマッサージを受けることに…。
彼女の緊張が極限に達するなかで現れたのは、湊斗と名乗る爽やかなイケメンのセラピスト。
ニコニコと落ち着いた感じの彼に安"&amp;"らぎとトキメキを覚えてしまった香菜だったが、いざ施術内容を確認すると「キス」「クンニ」というエッチな内容ばかり…!?　
実はこのお店、なんと女性専門の性感マッサージだった!!!
不安と期待が交互に押し寄せるなか、30年という人生で色々な「初体験」をすることになる香菜。
この先どうなるの…!?")</f>
        <v>「初めてなのにこんなに感じちゃって…悪い子ちゃんだね」
普通のマッサージだと思ってたのに…。
男性セラピストから敏感な場所を優しくいっぱい触れられている…。
イジワルですごくエッチで…、とっても恥ずかしいのに…気持ちいいよぉ―――
教師の水森香菜はもうすぐ30歳、童顔、そして未だに処女。
とある日、同僚からのススメで半ば強引に男性セラピストによるマッサージを受けることに…。
彼女の緊張が極限に達するなかで現れたのは、湊斗と名乗る爽やかなイケメンのセラピスト。
ニコニコと落ち着いた感じの彼に安らぎとトキメキを覚えてしまった香菜だったが、いざ施術内容を確認すると「キス」「クンニ」というエッチな内容ばかり…!?　
実はこのお店、なんと女性専門の性感マッサージだった!!!
不安と期待が交互に押し寄せるなか、30年という人生で色々な「初体験」をすることになる香菜。
この先どうなるの…!?</v>
      </c>
      <c r="W2794" s="14"/>
      <c r="X2794" s="14" t="str">
        <f>IFERROR(__xludf.DUMMYFUNCTION("""COMPUTED_VALUE"""),"有")</f>
        <v>有</v>
      </c>
      <c r="Y2794" s="8" t="str">
        <f>IFERROR(__xludf.DUMMYFUNCTION("""COMPUTED_VALUE"""),"3/13まで1巻無料")</f>
        <v>3/13まで1巻無料</v>
      </c>
      <c r="Z2794" s="7"/>
      <c r="AA2794" s="7"/>
      <c r="AB2794" s="7"/>
    </row>
    <row r="2795" ht="15.75" customHeight="1">
      <c r="A2795" s="26">
        <f>IFERROR(__xludf.DUMMYFUNCTION("""COMPUTED_VALUE"""),4809.0)</f>
        <v>4809</v>
      </c>
      <c r="B2795" s="22" t="str">
        <f>IFERROR(__xludf.DUMMYFUNCTION("""COMPUTED_VALUE"""),"確定")</f>
        <v>確定</v>
      </c>
      <c r="C2795" s="28">
        <f>IFERROR(__xludf.DUMMYFUNCTION("""COMPUTED_VALUE"""),45672.0)</f>
        <v>45672</v>
      </c>
      <c r="D2795" s="28">
        <f>IFERROR(__xludf.DUMMYFUNCTION("""COMPUTED_VALUE"""),45692.0)</f>
        <v>45692</v>
      </c>
      <c r="E2795" s="26">
        <f>IFERROR(__xludf.DUMMYFUNCTION("""COMPUTED_VALUE"""),316493.0)</f>
        <v>316493</v>
      </c>
      <c r="F2795" s="22" t="str">
        <f>IFERROR(__xludf.DUMMYFUNCTION("""COMPUTED_VALUE"""),"あの夏の日、セックスした相手を僕は知らない")</f>
        <v>あの夏の日、セックスした相手を僕は知らない</v>
      </c>
      <c r="G2795" s="20" t="str">
        <f>IFERROR(__xludf.DUMMYFUNCTION("""COMPUTED_VALUE"""),"1～3")</f>
        <v>1～3</v>
      </c>
      <c r="H2795" s="22" t="str">
        <f>IFERROR(__xludf.DUMMYFUNCTION("""COMPUTED_VALUE"""),"宝あきひと")</f>
        <v>宝あきひと</v>
      </c>
      <c r="I2795" s="22" t="str">
        <f>IFERROR(__xludf.DUMMYFUNCTION("""COMPUTED_VALUE"""),"アダルトマンガ")</f>
        <v>アダルトマンガ</v>
      </c>
      <c r="J2795" s="22"/>
      <c r="K2795" s="22" t="str">
        <f>IFERROR(__xludf.DUMMYFUNCTION("""COMPUTED_VALUE"""),"カゲキヤコミック")</f>
        <v>カゲキヤコミック</v>
      </c>
      <c r="L2795" s="22" t="str">
        <f>IFERROR(__xludf.DUMMYFUNCTION("""COMPUTED_VALUE"""),"DEEPER-ZERO")</f>
        <v>DEEPER-ZERO</v>
      </c>
      <c r="M2795" s="59">
        <f>IFERROR(__xludf.DUMMYFUNCTION("""COMPUTED_VALUE"""),45723.0)</f>
        <v>45723</v>
      </c>
      <c r="N2795" s="59">
        <f>IFERROR(__xludf.DUMMYFUNCTION("""COMPUTED_VALUE"""),45785.0)</f>
        <v>45785</v>
      </c>
      <c r="O2795" s="20"/>
      <c r="P2795" s="34" t="str">
        <f>IFERROR(__xludf.DUMMYFUNCTION("""COMPUTED_VALUE"""),"可")</f>
        <v>可</v>
      </c>
      <c r="Q2795" s="31" t="str">
        <f>IFERROR(__xludf.DUMMYFUNCTION("""COMPUTED_VALUE"""),"連載先行")</f>
        <v>連載先行</v>
      </c>
      <c r="R2795" s="22" t="str">
        <f>IFERROR(__xludf.DUMMYFUNCTION("""COMPUTED_VALUE"""),"コミットOK")</f>
        <v>コミットOK</v>
      </c>
      <c r="S2795" s="22" t="str">
        <f>IFERROR(__xludf.DUMMYFUNCTION("""COMPUTED_VALUE"""),"20250204_DEEPER-ZERO_あの夏の日、セックスした相手を僕はまだ知らない")</f>
        <v>20250204_DEEPER-ZERO_あの夏の日、セックスした相手を僕はまだ知らない</v>
      </c>
      <c r="T2795" s="22" t="str">
        <f>IFERROR(__xludf.DUMMYFUNCTION("""COMPUTED_VALUE"""),"格納済み")</f>
        <v>格納済み</v>
      </c>
      <c r="U2795" s="15" t="str">
        <f>IFERROR(__xludf.DUMMYFUNCTION("""COMPUTED_VALUE"""),"Ⓒ宝あきひと/DEEPER-ZERO")</f>
        <v>Ⓒ宝あきひと/DEEPER-ZERO</v>
      </c>
      <c r="V2795" s="8" t="str">
        <f>IFERROR(__xludf.DUMMYFUNCTION("""COMPUTED_VALUE"""),"「司くんに…ハジメテあげちゃった」――毎年、夏にだけ田舎へやってくる都会の少女・ハルちゃん。一緒に楽しい夏を何度も過ごしてきたけれど…もう会えるのが最後だと知った時、俺たちは心もカラダもつながって…。――それから数年後、俺はハルと思いがけずに再会。綺麗な大人のハルにドキドキしていたら、双子の妹・春海(はるみ)を紹介された。俺とは初めて会うはずなのに…双子だからか妙に親し気な印象が…。おっとり系の姉のハルちゃん＆小悪魔な妹・春海との、エッチな美人双子と刺激的な同居ストーリー！　「ねぇ、司くん。どっちのハルが"&amp;"好き？」")</f>
        <v>「司くんに…ハジメテあげちゃった」――毎年、夏にだけ田舎へやってくる都会の少女・ハルちゃん。一緒に楽しい夏を何度も過ごしてきたけれど…もう会えるのが最後だと知った時、俺たちは心もカラダもつながって…。――それから数年後、俺はハルと思いがけずに再会。綺麗な大人のハルにドキドキしていたら、双子の妹・春海(はるみ)を紹介された。俺とは初めて会うはずなのに…双子だからか妙に親し気な印象が…。おっとり系の姉のハルちゃん＆小悪魔な妹・春海との、エッチな美人双子と刺激的な同居ストーリー！　「ねぇ、司くん。どっちのハルが好き？」</v>
      </c>
      <c r="W2795" s="14"/>
      <c r="X2795" s="14" t="str">
        <f>IFERROR(__xludf.DUMMYFUNCTION("""COMPUTED_VALUE"""),"有")</f>
        <v>有</v>
      </c>
      <c r="Y2795" s="8" t="str">
        <f>IFERROR(__xludf.DUMMYFUNCTION("""COMPUTED_VALUE"""),"2025/4/10まで1巻無料")</f>
        <v>2025/4/10まで1巻無料</v>
      </c>
      <c r="Z2795" s="7"/>
      <c r="AA2795" s="7"/>
      <c r="AB2795" s="7"/>
    </row>
    <row r="2796" ht="15.75" customHeight="1">
      <c r="A2796" s="26">
        <f>IFERROR(__xludf.DUMMYFUNCTION("""COMPUTED_VALUE"""),4810.0)</f>
        <v>4810</v>
      </c>
      <c r="B2796" s="22" t="str">
        <f>IFERROR(__xludf.DUMMYFUNCTION("""COMPUTED_VALUE"""),"確定")</f>
        <v>確定</v>
      </c>
      <c r="C2796" s="28">
        <f>IFERROR(__xludf.DUMMYFUNCTION("""COMPUTED_VALUE"""),45672.0)</f>
        <v>45672</v>
      </c>
      <c r="D2796" s="28">
        <f>IFERROR(__xludf.DUMMYFUNCTION("""COMPUTED_VALUE"""),45692.0)</f>
        <v>45692</v>
      </c>
      <c r="E2796" s="26">
        <f>IFERROR(__xludf.DUMMYFUNCTION("""COMPUTED_VALUE"""),315907.0)</f>
        <v>315907</v>
      </c>
      <c r="F2796" s="22" t="str">
        <f>IFERROR(__xludf.DUMMYFUNCTION("""COMPUTED_VALUE"""),"寝てる間に奪われて…年下幼馴染の激重ヤンデレ愛")</f>
        <v>寝てる間に奪われて…年下幼馴染の激重ヤンデレ愛</v>
      </c>
      <c r="G2796" s="20" t="str">
        <f>IFERROR(__xludf.DUMMYFUNCTION("""COMPUTED_VALUE"""),"1～3")</f>
        <v>1～3</v>
      </c>
      <c r="H2796" s="22" t="str">
        <f>IFERROR(__xludf.DUMMYFUNCTION("""COMPUTED_VALUE"""),"鈴宮とーや")</f>
        <v>鈴宮とーや</v>
      </c>
      <c r="I2796" s="22" t="str">
        <f>IFERROR(__xludf.DUMMYFUNCTION("""COMPUTED_VALUE"""),"アダルトマンガ")</f>
        <v>アダルトマンガ</v>
      </c>
      <c r="J2796" s="22"/>
      <c r="K2796" s="22" t="str">
        <f>IFERROR(__xludf.DUMMYFUNCTION("""COMPUTED_VALUE"""),"もえスタビースト")</f>
        <v>もえスタビースト</v>
      </c>
      <c r="L2796" s="22" t="str">
        <f>IFERROR(__xludf.DUMMYFUNCTION("""COMPUTED_VALUE"""),"DEEPER-ZERO")</f>
        <v>DEEPER-ZERO</v>
      </c>
      <c r="M2796" s="59">
        <f>IFERROR(__xludf.DUMMYFUNCTION("""COMPUTED_VALUE"""),45717.0)</f>
        <v>45717</v>
      </c>
      <c r="N2796" s="59">
        <f>IFERROR(__xludf.DUMMYFUNCTION("""COMPUTED_VALUE"""),45779.0)</f>
        <v>45779</v>
      </c>
      <c r="O2796" s="20"/>
      <c r="P2796" s="32" t="str">
        <f>IFERROR(__xludf.DUMMYFUNCTION("""COMPUTED_VALUE"""),"可")</f>
        <v>可</v>
      </c>
      <c r="Q2796" s="31"/>
      <c r="R2796" s="22" t="str">
        <f>IFERROR(__xludf.DUMMYFUNCTION("""COMPUTED_VALUE"""),"コミットOK")</f>
        <v>コミットOK</v>
      </c>
      <c r="S2796" s="22" t="str">
        <f>IFERROR(__xludf.DUMMYFUNCTION("""COMPUTED_VALUE"""),"20250204_CLLENN_寝てる間に奪われて…年下幼馴染の激重ヤンデレ愛")</f>
        <v>20250204_CLLENN_寝てる間に奪われて…年下幼馴染の激重ヤンデレ愛</v>
      </c>
      <c r="T2796" s="22" t="str">
        <f>IFERROR(__xludf.DUMMYFUNCTION("""COMPUTED_VALUE"""),"格納済み")</f>
        <v>格納済み</v>
      </c>
      <c r="U2796" s="15" t="str">
        <f>IFERROR(__xludf.DUMMYFUNCTION("""COMPUTED_VALUE"""),"Ⓒ鈴宮とーや/DEEPER-ZERO")</f>
        <v>Ⓒ鈴宮とーや/DEEPER-ZERO</v>
      </c>
      <c r="V2796" s="8" t="str">
        <f>IFERROR(__xludf.DUMMYFUNCTION("""COMPUTED_VALUE"""),"「男といるのに無防備だよ、日向姉」── 久しぶりに日向姉さんに会えた…昔とまったく変わらない日向姉さん。ゲームが弱いところも、ちんちくりんなところも、一度寝たら全然起きないところも全部一緒だ…。なのに、ねぇ日向姉…どうして他の男と撮った写真を飾ってるの？ どうして他の男にそんな笑顔を見せるの？ 小さい頃、誰のモノにもならないでって約束したよね？ …うん、でも大丈夫。離れていたぶん、全部取り戻すからね。ちゃんと俺のモノにするからね…日向姉、眠っていても感じてるの？ 俺で感じてるの？")</f>
        <v>「男といるのに無防備だよ、日向姉」── 久しぶりに日向姉さんに会えた…昔とまったく変わらない日向姉さん。ゲームが弱いところも、ちんちくりんなところも、一度寝たら全然起きないところも全部一緒だ…。なのに、ねぇ日向姉…どうして他の男と撮った写真を飾ってるの？ どうして他の男にそんな笑顔を見せるの？ 小さい頃、誰のモノにもならないでって約束したよね？ …うん、でも大丈夫。離れていたぶん、全部取り戻すからね。ちゃんと俺のモノにするからね…日向姉、眠っていても感じてるの？ 俺で感じてるの？</v>
      </c>
      <c r="W2796" s="14"/>
      <c r="X2796" s="14" t="str">
        <f>IFERROR(__xludf.DUMMYFUNCTION("""COMPUTED_VALUE"""),"有")</f>
        <v>有</v>
      </c>
      <c r="Y2796" s="8" t="str">
        <f>IFERROR(__xludf.DUMMYFUNCTION("""COMPUTED_VALUE"""),"2025/4/4まで1巻無料")</f>
        <v>2025/4/4まで1巻無料</v>
      </c>
      <c r="Z2796" s="7"/>
      <c r="AA2796" s="7"/>
      <c r="AB2796" s="7"/>
    </row>
    <row r="2797" ht="15.75" customHeight="1">
      <c r="A2797" s="26">
        <f>IFERROR(__xludf.DUMMYFUNCTION("""COMPUTED_VALUE"""),4828.0)</f>
        <v>4828</v>
      </c>
      <c r="B2797" s="22" t="str">
        <f>IFERROR(__xludf.DUMMYFUNCTION("""COMPUTED_VALUE"""),"確定")</f>
        <v>確定</v>
      </c>
      <c r="C2797" s="28">
        <f>IFERROR(__xludf.DUMMYFUNCTION("""COMPUTED_VALUE"""),45674.0)</f>
        <v>45674</v>
      </c>
      <c r="D2797" s="28">
        <f>IFERROR(__xludf.DUMMYFUNCTION("""COMPUTED_VALUE"""),45692.0)</f>
        <v>45692</v>
      </c>
      <c r="E2797" s="26">
        <f>IFERROR(__xludf.DUMMYFUNCTION("""COMPUTED_VALUE"""),315703.0)</f>
        <v>315703</v>
      </c>
      <c r="F2797" s="22" t="str">
        <f>IFERROR(__xludf.DUMMYFUNCTION("""COMPUTED_VALUE"""),"俺の自慢の彼女です。【白抜き修正版】")</f>
        <v>俺の自慢の彼女です。【白抜き修正版】</v>
      </c>
      <c r="G2797" s="20">
        <f>IFERROR(__xludf.DUMMYFUNCTION("""COMPUTED_VALUE"""),1.0)</f>
        <v>1</v>
      </c>
      <c r="H2797" s="22" t="str">
        <f>IFERROR(__xludf.DUMMYFUNCTION("""COMPUTED_VALUE"""),"ナイロン")</f>
        <v>ナイロン</v>
      </c>
      <c r="I2797" s="22" t="str">
        <f>IFERROR(__xludf.DUMMYFUNCTION("""COMPUTED_VALUE"""),"アダルトマンガ")</f>
        <v>アダルトマンガ</v>
      </c>
      <c r="J2797" s="22"/>
      <c r="K2797" s="22"/>
      <c r="L2797" s="22" t="str">
        <f>IFERROR(__xludf.DUMMYFUNCTION("""COMPUTED_VALUE"""),"ナンバーナイン")</f>
        <v>ナンバーナイン</v>
      </c>
      <c r="M2797" s="59">
        <f>IFERROR(__xludf.DUMMYFUNCTION("""COMPUTED_VALUE"""),45716.0)</f>
        <v>45716</v>
      </c>
      <c r="N2797" s="59">
        <f>IFERROR(__xludf.DUMMYFUNCTION("""COMPUTED_VALUE"""),45777.0)</f>
        <v>45777</v>
      </c>
      <c r="O2797" s="20"/>
      <c r="P2797" s="32" t="str">
        <f>IFERROR(__xludf.DUMMYFUNCTION("""COMPUTED_VALUE"""),"可")</f>
        <v>可</v>
      </c>
      <c r="Q2797" s="31"/>
      <c r="R2797" s="22" t="str">
        <f>IFERROR(__xludf.DUMMYFUNCTION("""COMPUTED_VALUE"""),"コミットOK")</f>
        <v>コミットOK</v>
      </c>
      <c r="S2797" s="22" t="str">
        <f>IFERROR(__xludf.DUMMYFUNCTION("""COMPUTED_VALUE"""),"20250130_ナンバーナイン_俺の自慢の彼女です。【白抜き修正版】")</f>
        <v>20250130_ナンバーナイン_俺の自慢の彼女です。【白抜き修正版】</v>
      </c>
      <c r="T2797" s="22" t="str">
        <f>IFERROR(__xludf.DUMMYFUNCTION("""COMPUTED_VALUE"""),"格納済み")</f>
        <v>格納済み</v>
      </c>
      <c r="U2797" s="15" t="str">
        <f>IFERROR(__xludf.DUMMYFUNCTION("""COMPUTED_VALUE"""),"(C)ナイロン/ナンバーナイン")</f>
        <v>(C)ナイロン/ナンバーナイン</v>
      </c>
      <c r="V2797" s="8" t="str">
        <f>IFERROR(__xludf.DUMMYFUNCTION("""COMPUTED_VALUE"""),"主人公の祐介と彼女である夏美は勉強にスポーツに遊びにと楽しい学園生活を送っていた。
しかしある日2人は些細な事ですれ違いを起こしてしまう。
落ち込んでいた様子の夏美を気遣ったクラスメイトの真琴。
気分転換にと誘われるままに出かけた真夏の海水浴場...
しかしそこには暇と性欲を持て余した4人組の男たちが待ち構えていた。
★ナイロン100％新作フルカラーオリジナルコミック。
前編、後編2部構成
前編は彼氏との水着試着室でのイチャラブフェラと友人と訪れた別荘での想定外の出来事。
ゴムありゴムなしSEX、イマ"&amp;"ラチオプレイほか。
後編はヒモビキニで彼氏以外の男たちの海岸野外輪●。
潮吹き、I字バランス2穴ハメなど。
他イラスト5点同梱
全98ページ")</f>
        <v>主人公の祐介と彼女である夏美は勉強にスポーツに遊びにと楽しい学園生活を送っていた。
しかしある日2人は些細な事ですれ違いを起こしてしまう。
落ち込んでいた様子の夏美を気遣ったクラスメイトの真琴。
気分転換にと誘われるままに出かけた真夏の海水浴場...
しかしそこには暇と性欲を持て余した4人組の男たちが待ち構えていた。
★ナイロン100％新作フルカラーオリジナルコミック。
前編、後編2部構成
前編は彼氏との水着試着室でのイチャラブフェラと友人と訪れた別荘での想定外の出来事。
ゴムありゴムなしSEX、イマラチオプレイほか。
後編はヒモビキニで彼氏以外の男たちの海岸野外輪●。
潮吹き、I字バランス2穴ハメなど。
他イラスト5点同梱
全98ページ</v>
      </c>
      <c r="W2797" s="14"/>
      <c r="X2797" s="14" t="str">
        <f>IFERROR(__xludf.DUMMYFUNCTION("""COMPUTED_VALUE"""),"有")</f>
        <v>有</v>
      </c>
      <c r="Y2797" s="8" t="str">
        <f>IFERROR(__xludf.DUMMYFUNCTION("""COMPUTED_VALUE"""),"P15まで")</f>
        <v>P15まで</v>
      </c>
      <c r="Z2797" s="7"/>
      <c r="AA2797" s="7"/>
      <c r="AB2797" s="7"/>
    </row>
    <row r="2798" ht="15.75" customHeight="1">
      <c r="A2798" s="26">
        <f>IFERROR(__xludf.DUMMYFUNCTION("""COMPUTED_VALUE"""),4829.0)</f>
        <v>4829</v>
      </c>
      <c r="B2798" s="22" t="str">
        <f>IFERROR(__xludf.DUMMYFUNCTION("""COMPUTED_VALUE"""),"確定")</f>
        <v>確定</v>
      </c>
      <c r="C2798" s="28">
        <f>IFERROR(__xludf.DUMMYFUNCTION("""COMPUTED_VALUE"""),45674.0)</f>
        <v>45674</v>
      </c>
      <c r="D2798" s="28">
        <f>IFERROR(__xludf.DUMMYFUNCTION("""COMPUTED_VALUE"""),45692.0)</f>
        <v>45692</v>
      </c>
      <c r="E2798" s="26">
        <f>IFERROR(__xludf.DUMMYFUNCTION("""COMPUTED_VALUE"""),315702.0)</f>
        <v>315702</v>
      </c>
      <c r="F2798" s="22" t="str">
        <f>IFERROR(__xludf.DUMMYFUNCTION("""COMPUTED_VALUE"""),"野々花ちゃんのパパ活日記（ダイヤリー）")</f>
        <v>野々花ちゃんのパパ活日記（ダイヤリー）</v>
      </c>
      <c r="G2798" s="20" t="str">
        <f>IFERROR(__xludf.DUMMYFUNCTION("""COMPUTED_VALUE"""),"1～4")</f>
        <v>1～4</v>
      </c>
      <c r="H2798" s="22" t="str">
        <f>IFERROR(__xludf.DUMMYFUNCTION("""COMPUTED_VALUE"""),"高野友宏")</f>
        <v>高野友宏</v>
      </c>
      <c r="I2798" s="22" t="str">
        <f>IFERROR(__xludf.DUMMYFUNCTION("""COMPUTED_VALUE"""),"アダルトマンガ")</f>
        <v>アダルトマンガ</v>
      </c>
      <c r="J2798" s="22"/>
      <c r="K2798" s="22"/>
      <c r="L2798" s="22" t="str">
        <f>IFERROR(__xludf.DUMMYFUNCTION("""COMPUTED_VALUE"""),"ナンバーナイン")</f>
        <v>ナンバーナイン</v>
      </c>
      <c r="M2798" s="59">
        <f>IFERROR(__xludf.DUMMYFUNCTION("""COMPUTED_VALUE"""),45716.0)</f>
        <v>45716</v>
      </c>
      <c r="N2798" s="59">
        <f>IFERROR(__xludf.DUMMYFUNCTION("""COMPUTED_VALUE"""),45777.0)</f>
        <v>45777</v>
      </c>
      <c r="O2798" s="20"/>
      <c r="P2798" s="34" t="str">
        <f>IFERROR(__xludf.DUMMYFUNCTION("""COMPUTED_VALUE"""),"可")</f>
        <v>可</v>
      </c>
      <c r="Q2798" s="31" t="str">
        <f>IFERROR(__xludf.DUMMYFUNCTION("""COMPUTED_VALUE"""),"・４巻目素材に修正が入ったとのことで、1~3巻素材にてクリエイティブ制作をお願いできますでしょうか。")</f>
        <v>・４巻目素材に修正が入ったとのことで、1~3巻素材にてクリエイティブ制作をお願いできますでしょうか。</v>
      </c>
      <c r="R2798" s="22" t="str">
        <f>IFERROR(__xludf.DUMMYFUNCTION("""COMPUTED_VALUE"""),"コミットOK")</f>
        <v>コミットOK</v>
      </c>
      <c r="S2798" s="22" t="str">
        <f>IFERROR(__xludf.DUMMYFUNCTION("""COMPUTED_VALUE"""),"20250130_ナンバーナイン_野々花ちゃんのパパ活日記（ダイヤリー）")</f>
        <v>20250130_ナンバーナイン_野々花ちゃんのパパ活日記（ダイヤリー）</v>
      </c>
      <c r="T2798" s="22" t="str">
        <f>IFERROR(__xludf.DUMMYFUNCTION("""COMPUTED_VALUE"""),"格納済み")</f>
        <v>格納済み</v>
      </c>
      <c r="U2798" s="15" t="str">
        <f>IFERROR(__xludf.DUMMYFUNCTION("""COMPUTED_VALUE"""),"(C)高野友宏/ナンバーナイン")</f>
        <v>(C)高野友宏/ナンバーナイン</v>
      </c>
      <c r="V2798" s="8" t="str">
        <f>IFERROR(__xludf.DUMMYFUNCTION("""COMPUTED_VALUE"""),"「俺には嫁も子供も居ない…」
どこにでも居る非モテの会社員…真面目に生きていたが、女に振られて勢いでパパ活女子を呼んでしまう。
性処理に使えれば良いと外れ感覚で呼んだが、そこには爆乳の美少女が！！
「わたし～エッチ大好きなんだよね～」
彼女はパパ活女子、荒木野々花（あらきののか）ちゃん。
セックスが大好きでパパ活をしている学生である。
けど性欲が強すぎて、1度では満足出来すに精子が枯渇するまで搾り取るのだ…。
人は彼女を「小悪魔」という。
そんな彼女と非モテサラリーマンの甘々？なパパ活のお話。
野々花"&amp;"ちゃんは誰であっても真摯にご奉仕し、最高のセックスを提供します。
最高のパパ活女子とのデートを貴方に！
※このコンテンツはパパ活女子野々花ちゃんを不幸にしないという名目で、色んなプレイで楽しんで貰うものになります。
ーーーーーーーーーーーーーーーーーーーーーーー
・プレイ例
（本編）
フェラチオ
パイズリ
中出し
和姦（パパ活）
青姦
23ページ")</f>
        <v>「俺には嫁も子供も居ない…」
どこにでも居る非モテの会社員…真面目に生きていたが、女に振られて勢いでパパ活女子を呼んでしまう。
性処理に使えれば良いと外れ感覚で呼んだが、そこには爆乳の美少女が！！
「わたし～エッチ大好きなんだよね～」
彼女はパパ活女子、荒木野々花（あらきののか）ちゃん。
セックスが大好きでパパ活をしている学生である。
けど性欲が強すぎて、1度では満足出来すに精子が枯渇するまで搾り取るのだ…。
人は彼女を「小悪魔」という。
そんな彼女と非モテサラリーマンの甘々？なパパ活のお話。
野々花ちゃんは誰であっても真摯にご奉仕し、最高のセックスを提供します。
最高のパパ活女子とのデートを貴方に！
※このコンテンツはパパ活女子野々花ちゃんを不幸にしないという名目で、色んなプレイで楽しんで貰うものになります。
ーーーーーーーーーーーーーーーーーーーーーーー
・プレイ例
（本編）
フェラチオ
パイズリ
中出し
和姦（パパ活）
青姦
23ページ</v>
      </c>
      <c r="W2798" s="14"/>
      <c r="X2798" s="14" t="str">
        <f>IFERROR(__xludf.DUMMYFUNCTION("""COMPUTED_VALUE"""),"有")</f>
        <v>有</v>
      </c>
      <c r="Y2798" s="8" t="str">
        <f>IFERROR(__xludf.DUMMYFUNCTION("""COMPUTED_VALUE"""),"3/14まで1巻無料")</f>
        <v>3/14まで1巻無料</v>
      </c>
      <c r="Z2798" s="7"/>
      <c r="AA2798" s="7"/>
      <c r="AB2798" s="7"/>
    </row>
    <row r="2799" ht="15.75" customHeight="1">
      <c r="A2799" s="26">
        <f>IFERROR(__xludf.DUMMYFUNCTION("""COMPUTED_VALUE"""),4830.0)</f>
        <v>4830</v>
      </c>
      <c r="B2799" s="22" t="str">
        <f>IFERROR(__xludf.DUMMYFUNCTION("""COMPUTED_VALUE"""),"確定")</f>
        <v>確定</v>
      </c>
      <c r="C2799" s="28">
        <f>IFERROR(__xludf.DUMMYFUNCTION("""COMPUTED_VALUE"""),45674.0)</f>
        <v>45674</v>
      </c>
      <c r="D2799" s="28">
        <f>IFERROR(__xludf.DUMMYFUNCTION("""COMPUTED_VALUE"""),45692.0)</f>
        <v>45692</v>
      </c>
      <c r="E2799" s="26">
        <f>IFERROR(__xludf.DUMMYFUNCTION("""COMPUTED_VALUE"""),315704.0)</f>
        <v>315704</v>
      </c>
      <c r="F2799" s="22" t="str">
        <f>IFERROR(__xludf.DUMMYFUNCTION("""COMPUTED_VALUE"""),"巨乳が悩みの水泳部員【白抜き修正版】")</f>
        <v>巨乳が悩みの水泳部員【白抜き修正版】</v>
      </c>
      <c r="G2799" s="20">
        <f>IFERROR(__xludf.DUMMYFUNCTION("""COMPUTED_VALUE"""),1.0)</f>
        <v>1</v>
      </c>
      <c r="H2799" s="22" t="str">
        <f>IFERROR(__xludf.DUMMYFUNCTION("""COMPUTED_VALUE"""),"ナイロン")</f>
        <v>ナイロン</v>
      </c>
      <c r="I2799" s="22" t="str">
        <f>IFERROR(__xludf.DUMMYFUNCTION("""COMPUTED_VALUE"""),"アダルトマンガ")</f>
        <v>アダルトマンガ</v>
      </c>
      <c r="J2799" s="22"/>
      <c r="K2799" s="22"/>
      <c r="L2799" s="22" t="str">
        <f>IFERROR(__xludf.DUMMYFUNCTION("""COMPUTED_VALUE"""),"ナンバーナイン")</f>
        <v>ナンバーナイン</v>
      </c>
      <c r="M2799" s="59">
        <f>IFERROR(__xludf.DUMMYFUNCTION("""COMPUTED_VALUE"""),45716.0)</f>
        <v>45716</v>
      </c>
      <c r="N2799" s="59">
        <f>IFERROR(__xludf.DUMMYFUNCTION("""COMPUTED_VALUE"""),45777.0)</f>
        <v>45777</v>
      </c>
      <c r="O2799" s="20"/>
      <c r="P2799" s="32" t="str">
        <f>IFERROR(__xludf.DUMMYFUNCTION("""COMPUTED_VALUE"""),"可")</f>
        <v>可</v>
      </c>
      <c r="Q2799" s="31"/>
      <c r="R2799" s="22" t="str">
        <f>IFERROR(__xludf.DUMMYFUNCTION("""COMPUTED_VALUE"""),"コミットOK")</f>
        <v>コミットOK</v>
      </c>
      <c r="S2799" s="22" t="str">
        <f>IFERROR(__xludf.DUMMYFUNCTION("""COMPUTED_VALUE"""),"20250130_ナンバーナイン_巨乳が悩みの水泳部員【白抜き修正版】")</f>
        <v>20250130_ナンバーナイン_巨乳が悩みの水泳部員【白抜き修正版】</v>
      </c>
      <c r="T2799" s="22" t="str">
        <f>IFERROR(__xludf.DUMMYFUNCTION("""COMPUTED_VALUE"""),"格納済み")</f>
        <v>格納済み</v>
      </c>
      <c r="U2799" s="15" t="str">
        <f>IFERROR(__xludf.DUMMYFUNCTION("""COMPUTED_VALUE"""),"(C)ナイロン/ナンバーナイン")</f>
        <v>(C)ナイロン/ナンバーナイン</v>
      </c>
      <c r="V2799" s="8" t="str">
        <f>IFERROR(__xludf.DUMMYFUNCTION("""COMPUTED_VALUE"""),"フルカラーコミック51ページ
最近ブラがキツくなってきた
主人公の水樹紗綾（みずきさや）は成長期の自分の体に悩んでいた
たわわな胸、肉付きの良くなる尻に食い込む競泳水着
そして男子部員たちから囁かれるいやらしい言葉
ある日、紗綾の不調を見咎めたコーチに処女を奪われてしまう
そして男子部員たちから次々と...")</f>
        <v>フルカラーコミック51ページ
最近ブラがキツくなってきた
主人公の水樹紗綾（みずきさや）は成長期の自分の体に悩んでいた
たわわな胸、肉付きの良くなる尻に食い込む競泳水着
そして男子部員たちから囁かれるいやらしい言葉
ある日、紗綾の不調を見咎めたコーチに処女を奪われてしまう
そして男子部員たちから次々と...</v>
      </c>
      <c r="W2799" s="14"/>
      <c r="X2799" s="14" t="str">
        <f>IFERROR(__xludf.DUMMYFUNCTION("""COMPUTED_VALUE"""),"有")</f>
        <v>有</v>
      </c>
      <c r="Y2799" s="8" t="str">
        <f>IFERROR(__xludf.DUMMYFUNCTION("""COMPUTED_VALUE"""),"P15まで")</f>
        <v>P15まで</v>
      </c>
      <c r="Z2799" s="7"/>
      <c r="AA2799" s="7"/>
      <c r="AB2799" s="7"/>
    </row>
    <row r="2800" ht="15.75" customHeight="1">
      <c r="A2800" s="26">
        <f>IFERROR(__xludf.DUMMYFUNCTION("""COMPUTED_VALUE"""),4893.0)</f>
        <v>4893</v>
      </c>
      <c r="B2800" s="22" t="str">
        <f>IFERROR(__xludf.DUMMYFUNCTION("""COMPUTED_VALUE"""),"確定")</f>
        <v>確定</v>
      </c>
      <c r="C2800" s="28">
        <f>IFERROR(__xludf.DUMMYFUNCTION("""COMPUTED_VALUE"""),45684.0)</f>
        <v>45684</v>
      </c>
      <c r="D2800" s="28">
        <f>IFERROR(__xludf.DUMMYFUNCTION("""COMPUTED_VALUE"""),45692.0)</f>
        <v>45692</v>
      </c>
      <c r="E2800" s="100">
        <f>IFERROR(__xludf.DUMMYFUNCTION("""COMPUTED_VALUE"""),298196.0)</f>
        <v>298196</v>
      </c>
      <c r="F2800" s="61" t="str">
        <f>IFERROR(__xludf.DUMMYFUNCTION("""COMPUTED_VALUE"""),"Death is mine(フルカラー)")</f>
        <v>Death is mine(フルカラー)</v>
      </c>
      <c r="G2800" s="20" t="str">
        <f>IFERROR(__xludf.DUMMYFUNCTION("""COMPUTED_VALUE"""),"1～5")</f>
        <v>1～5</v>
      </c>
      <c r="H2800" s="22" t="str">
        <f>IFERROR(__xludf.DUMMYFUNCTION("""COMPUTED_VALUE"""),"Bara")</f>
        <v>Bara</v>
      </c>
      <c r="I2800" s="22" t="str">
        <f>IFERROR(__xludf.DUMMYFUNCTION("""COMPUTED_VALUE"""),"BLマンガ")</f>
        <v>BLマンガ</v>
      </c>
      <c r="J2800" s="22"/>
      <c r="K2800" s="22"/>
      <c r="L2800" s="22" t="str">
        <f>IFERROR(__xludf.DUMMYFUNCTION("""COMPUTED_VALUE"""),"シーモアコミックス")</f>
        <v>シーモアコミックス</v>
      </c>
      <c r="M2800" s="59">
        <f>IFERROR(__xludf.DUMMYFUNCTION("""COMPUTED_VALUE"""),45717.0)</f>
        <v>45717</v>
      </c>
      <c r="N2800" s="59">
        <f>IFERROR(__xludf.DUMMYFUNCTION("""COMPUTED_VALUE"""),45869.66666666667)</f>
        <v>45869.66667</v>
      </c>
      <c r="O2800" s="20"/>
      <c r="P2800" s="32" t="str">
        <f>IFERROR(__xludf.DUMMYFUNCTION("""COMPUTED_VALUE"""),"可")</f>
        <v>可</v>
      </c>
      <c r="Q2800" s="30"/>
      <c r="R2800" s="46"/>
      <c r="S2800" s="22" t="str">
        <f>IFERROR(__xludf.DUMMYFUNCTION("""COMPUTED_VALUE"""),"20250219_シーモアコミックス_Death is mine（フルカラー）	")</f>
        <v>20250219_シーモアコミックス_Death is mine（フルカラー）	</v>
      </c>
      <c r="T2800" s="22" t="str">
        <f>IFERROR(__xludf.DUMMYFUNCTION("""COMPUTED_VALUE"""),"格納済み")</f>
        <v>格納済み</v>
      </c>
      <c r="U2800" s="15" t="str">
        <f>IFERROR(__xludf.DUMMYFUNCTION("""COMPUTED_VALUE"""),"© Bara/WisdomHouse/シーモアコミックス")</f>
        <v>© Bara/WisdomHouse/シーモアコミックス</v>
      </c>
      <c r="V2800" s="8" t="str">
        <f>IFERROR(__xludf.DUMMYFUNCTION("""COMPUTED_VALUE"""),"大手芸能事務所の冷血理事×俳優志望の苦労人、格差のあるこの二人が実は前世では…!? ハードで刺激的な転生ラブ☆
フリーターの連（れん）は俳優になることを夢見ている。けれど書類審査を通ったことはないし、レッスンに通うためのお金もない。それどころか3千万円の借金がある。人生を賭けたオーディションは途中で打ちきられ、絶望の淵にいた連の前に現れたのは大手芸能事務所の理事・海晴（かいせい）だった。海晴は連の借金を返済し、俳優として売り出してくれるという。「おまえの人生は私の手の中、おまえの死も私のものだ」傲慢"&amp;"で冷たい瞳は、連の向こうに別の誰かを見ているようで…!? 【フィカス】")</f>
        <v>大手芸能事務所の冷血理事×俳優志望の苦労人、格差のあるこの二人が実は前世では…!? ハードで刺激的な転生ラブ☆
フリーターの連（れん）は俳優になることを夢見ている。けれど書類審査を通ったことはないし、レッスンに通うためのお金もない。それどころか3千万円の借金がある。人生を賭けたオーディションは途中で打ちきられ、絶望の淵にいた連の前に現れたのは大手芸能事務所の理事・海晴（かいせい）だった。海晴は連の借金を返済し、俳優として売り出してくれるという。「おまえの人生は私の手の中、おまえの死も私のものだ」傲慢で冷たい瞳は、連の向こうに別の誰かを見ているようで…!? 【フィカス】</v>
      </c>
      <c r="W2800" s="14"/>
      <c r="X2800" s="14" t="str">
        <f>IFERROR(__xludf.DUMMYFUNCTION("""COMPUTED_VALUE"""),"有")</f>
        <v>有</v>
      </c>
      <c r="Y2800" s="8" t="str">
        <f>IFERROR(__xludf.DUMMYFUNCTION("""COMPUTED_VALUE"""),"2025/4/4まで1巻無料")</f>
        <v>2025/4/4まで1巻無料</v>
      </c>
      <c r="Z2800" s="7"/>
      <c r="AA2800" s="7"/>
      <c r="AB2800" s="7"/>
    </row>
    <row r="2801" ht="15.75" customHeight="1">
      <c r="A2801" s="26">
        <f>IFERROR(__xludf.DUMMYFUNCTION("""COMPUTED_VALUE"""),4894.0)</f>
        <v>4894</v>
      </c>
      <c r="B2801" s="22" t="str">
        <f>IFERROR(__xludf.DUMMYFUNCTION("""COMPUTED_VALUE"""),"確定")</f>
        <v>確定</v>
      </c>
      <c r="C2801" s="28">
        <f>IFERROR(__xludf.DUMMYFUNCTION("""COMPUTED_VALUE"""),45684.0)</f>
        <v>45684</v>
      </c>
      <c r="D2801" s="28">
        <f>IFERROR(__xludf.DUMMYFUNCTION("""COMPUTED_VALUE"""),45692.0)</f>
        <v>45692</v>
      </c>
      <c r="E2801" s="100">
        <f>IFERROR(__xludf.DUMMYFUNCTION("""COMPUTED_VALUE"""),298197.0)</f>
        <v>298197</v>
      </c>
      <c r="F2801" s="61" t="str">
        <f>IFERROR(__xludf.DUMMYFUNCTION("""COMPUTED_VALUE"""),"Death is mine【タテヨミ】")</f>
        <v>Death is mine【タテヨミ】</v>
      </c>
      <c r="G2801" s="20" t="str">
        <f>IFERROR(__xludf.DUMMYFUNCTION("""COMPUTED_VALUE"""),"1～10")</f>
        <v>1～10</v>
      </c>
      <c r="H2801" s="22" t="str">
        <f>IFERROR(__xludf.DUMMYFUNCTION("""COMPUTED_VALUE"""),"Bara")</f>
        <v>Bara</v>
      </c>
      <c r="I2801" s="22" t="str">
        <f>IFERROR(__xludf.DUMMYFUNCTION("""COMPUTED_VALUE"""),"BLマンガ")</f>
        <v>BLマンガ</v>
      </c>
      <c r="J2801" s="22"/>
      <c r="K2801" s="22"/>
      <c r="L2801" s="22" t="str">
        <f>IFERROR(__xludf.DUMMYFUNCTION("""COMPUTED_VALUE"""),"シーモアコミックス")</f>
        <v>シーモアコミックス</v>
      </c>
      <c r="M2801" s="59">
        <f>IFERROR(__xludf.DUMMYFUNCTION("""COMPUTED_VALUE"""),45717.0)</f>
        <v>45717</v>
      </c>
      <c r="N2801" s="59">
        <f>IFERROR(__xludf.DUMMYFUNCTION("""COMPUTED_VALUE"""),45869.66666666667)</f>
        <v>45869.66667</v>
      </c>
      <c r="O2801" s="20"/>
      <c r="P2801" s="34" t="str">
        <f>IFERROR(__xludf.DUMMYFUNCTION("""COMPUTED_VALUE"""),"可")</f>
        <v>可</v>
      </c>
      <c r="Q2801" s="30" t="str">
        <f>IFERROR(__xludf.DUMMYFUNCTION("""COMPUTED_VALUE"""),"※コマサム等素材は「298196Death is mine（フルカラー）」のほうをお使いください。&lt;BR&gt;バナー制作はフルカラー版の素材を利用して問題ございません。")</f>
        <v>※コマサム等素材は「298196Death is mine（フルカラー）」のほうをお使いください。&lt;BR&gt;バナー制作はフルカラー版の素材を利用して問題ございません。</v>
      </c>
      <c r="R2801" s="22"/>
      <c r="S2801" s="22" t="str">
        <f>IFERROR(__xludf.DUMMYFUNCTION("""COMPUTED_VALUE"""),"20250203_シーモアコミックス_Death is mine【タテヨミ】")</f>
        <v>20250203_シーモアコミックス_Death is mine【タテヨミ】</v>
      </c>
      <c r="T2801" s="22" t="str">
        <f>IFERROR(__xludf.DUMMYFUNCTION("""COMPUTED_VALUE"""),"格納済み")</f>
        <v>格納済み</v>
      </c>
      <c r="U2801" s="15" t="str">
        <f>IFERROR(__xludf.DUMMYFUNCTION("""COMPUTED_VALUE"""),"© Bara/WisdomHouse/シーモアコミックス")</f>
        <v>© Bara/WisdomHouse/シーモアコミックス</v>
      </c>
      <c r="V2801" s="8" t="str">
        <f>IFERROR(__xludf.DUMMYFUNCTION("""COMPUTED_VALUE"""),"大手芸能事務所の冷血理事×俳優志望の苦労人、格差のあるこの二人が実は前世では…!? ハードで刺激的な転生ラブ☆
フリーターの連（れん）は俳優になることを夢見ている。けれど書類審査を通ったことはないし、レッスンに通うためのお金もない。それどころか3千万円の借金がある。人生を賭けたオーディションは途中で打ちきられ、絶望の淵にいた連の前に現れたのは大手芸能事務所の理事・海晴（かいせい）だった。海晴は連の借金を返済し、俳優として売り出してくれるという。「おまえの人生は私の手の中、おまえの死も私のものだ」傲慢"&amp;"で冷たい瞳は、連の向こうに別の誰かを見ているようで…!? 【フィカス】")</f>
        <v>大手芸能事務所の冷血理事×俳優志望の苦労人、格差のあるこの二人が実は前世では…!? ハードで刺激的な転生ラブ☆
フリーターの連（れん）は俳優になることを夢見ている。けれど書類審査を通ったことはないし、レッスンに通うためのお金もない。それどころか3千万円の借金がある。人生を賭けたオーディションは途中で打ちきられ、絶望の淵にいた連の前に現れたのは大手芸能事務所の理事・海晴（かいせい）だった。海晴は連の借金を返済し、俳優として売り出してくれるという。「おまえの人生は私の手の中、おまえの死も私のものだ」傲慢で冷たい瞳は、連の向こうに別の誰かを見ているようで…!? 【フィカス】</v>
      </c>
      <c r="W2801" s="14"/>
      <c r="X2801" s="14" t="str">
        <f>IFERROR(__xludf.DUMMYFUNCTION("""COMPUTED_VALUE"""),"有")</f>
        <v>有</v>
      </c>
      <c r="Y2801" s="8" t="str">
        <f>IFERROR(__xludf.DUMMYFUNCTION("""COMPUTED_VALUE"""),"2025/4/4まで1～2巻無料")</f>
        <v>2025/4/4まで1～2巻無料</v>
      </c>
      <c r="Z2801" s="7"/>
      <c r="AA2801" s="7"/>
      <c r="AB2801" s="7"/>
    </row>
    <row r="2802" ht="15.75" customHeight="1">
      <c r="A2802" s="26">
        <f>IFERROR(__xludf.DUMMYFUNCTION("""COMPUTED_VALUE"""),4933.0)</f>
        <v>4933</v>
      </c>
      <c r="B2802" s="22" t="str">
        <f>IFERROR(__xludf.DUMMYFUNCTION("""COMPUTED_VALUE"""),"確定")</f>
        <v>確定</v>
      </c>
      <c r="C2802" s="28">
        <f>IFERROR(__xludf.DUMMYFUNCTION("""COMPUTED_VALUE"""),45687.0)</f>
        <v>45687</v>
      </c>
      <c r="D2802" s="28">
        <f>IFERROR(__xludf.DUMMYFUNCTION("""COMPUTED_VALUE"""),45691.0)</f>
        <v>45691</v>
      </c>
      <c r="E2802" s="26">
        <f>IFERROR(__xludf.DUMMYFUNCTION("""COMPUTED_VALUE"""),317453.0)</f>
        <v>317453</v>
      </c>
      <c r="F2802" s="22" t="str">
        <f>IFERROR(__xludf.DUMMYFUNCTION("""COMPUTED_VALUE"""),"カレはオモチャじゃありません！")</f>
        <v>カレはオモチャじゃありません！</v>
      </c>
      <c r="G2802" s="20">
        <f>IFERROR(__xludf.DUMMYFUNCTION("""COMPUTED_VALUE"""),1.0)</f>
        <v>1</v>
      </c>
      <c r="H2802" s="22" t="str">
        <f>IFERROR(__xludf.DUMMYFUNCTION("""COMPUTED_VALUE"""),"Noah")</f>
        <v>Noah</v>
      </c>
      <c r="I2802" s="22" t="str">
        <f>IFERROR(__xludf.DUMMYFUNCTION("""COMPUTED_VALUE"""),"TL")</f>
        <v>TL</v>
      </c>
      <c r="J2802" s="22"/>
      <c r="K2802" s="22" t="str">
        <f>IFERROR(__xludf.DUMMYFUNCTION("""COMPUTED_VALUE"""),"BABY G-Side")</f>
        <v>BABY G-Side</v>
      </c>
      <c r="L2802" s="22" t="str">
        <f>IFERROR(__xludf.DUMMYFUNCTION("""COMPUTED_VALUE"""),"ふゅーじょんぷろだくと")</f>
        <v>ふゅーじょんぷろだくと</v>
      </c>
      <c r="M2802" s="28">
        <f>IFERROR(__xludf.DUMMYFUNCTION("""COMPUTED_VALUE"""),45736.0)</f>
        <v>45736</v>
      </c>
      <c r="N2802" s="170">
        <f>IFERROR(__xludf.DUMMYFUNCTION("""COMPUTED_VALUE"""),45769.0)</f>
        <v>45769</v>
      </c>
      <c r="O2802" s="20"/>
      <c r="P2802" s="34" t="str">
        <f>IFERROR(__xludf.DUMMYFUNCTION("""COMPUTED_VALUE"""),"可")</f>
        <v>可</v>
      </c>
      <c r="Q2802" s="30" t="str">
        <f>IFERROR(__xludf.DUMMYFUNCTION("""COMPUTED_VALUE"""),"1か月先行のため広告コミット不要です、可能な範囲で出稿お願いいたします。")</f>
        <v>1か月先行のため広告コミット不要です、可能な範囲で出稿お願いいたします。</v>
      </c>
      <c r="R2802" s="22"/>
      <c r="S2802" s="22" t="str">
        <f>IFERROR(__xludf.DUMMYFUNCTION("""COMPUTED_VALUE"""),"20250130_ふゅーじょんぷろだくと_カレはオモチャじゃありません！")</f>
        <v>20250130_ふゅーじょんぷろだくと_カレはオモチャじゃありません！</v>
      </c>
      <c r="T2802" s="22" t="str">
        <f>IFERROR(__xludf.DUMMYFUNCTION("""COMPUTED_VALUE"""),"格納済み")</f>
        <v>格納済み</v>
      </c>
      <c r="U2802" s="15" t="str">
        <f>IFERROR(__xludf.DUMMYFUNCTION("""COMPUTED_VALUE"""),"『カレはオモチャじゃありません！』ⒸNoah／FUSION PRODUCT")</f>
        <v>『カレはオモチャじゃありません！』ⒸNoah／FUSION PRODUCT</v>
      </c>
      <c r="V2802" s="8" t="str">
        <f>IFERROR(__xludf.DUMMYFUNCTION("""COMPUTED_VALUE"""),"【オモチャの神様に、ご奉仕されちゃう！？】古道具屋を営んでいた祖父が亡くなり、遺品整理を手伝うことになった美千留（みちる）。古い木箱を見つけ、開けようと触れた瞬間、煙と共に中から和服の美青年が飛び出してきた！彼は、なんと張形（デ●ルド）の付喪神だという。もう一度人に触れる瞬間を夢見て待っていたと泣く付喪神に、美千留は自分が張形を使ってあげると提案する。1人でするつもりだったのに、付喪神に全身を弄られて感じてしまいーー！？寂しがり屋な付喪神×絆され世話焼き女子による、オモチャをめぐるファンタジーラブコメ！")</f>
        <v>【オモチャの神様に、ご奉仕されちゃう！？】古道具屋を営んでいた祖父が亡くなり、遺品整理を手伝うことになった美千留（みちる）。古い木箱を見つけ、開けようと触れた瞬間、煙と共に中から和服の美青年が飛び出してきた！彼は、なんと張形（デ●ルド）の付喪神だという。もう一度人に触れる瞬間を夢見て待っていたと泣く付喪神に、美千留は自分が張形を使ってあげると提案する。1人でするつもりだったのに、付喪神に全身を弄られて感じてしまいーー！？寂しがり屋な付喪神×絆され世話焼き女子による、オモチャをめぐるファンタジーラブコメ！</v>
      </c>
      <c r="W2802" s="14"/>
      <c r="X2802" s="14" t="str">
        <f>IFERROR(__xludf.DUMMYFUNCTION("""COMPUTED_VALUE"""),"有")</f>
        <v>有</v>
      </c>
      <c r="Y2802" s="8" t="str">
        <f>IFERROR(__xludf.DUMMYFUNCTION("""COMPUTED_VALUE"""),"2025/4/2まで1巻無料")</f>
        <v>2025/4/2まで1巻無料</v>
      </c>
      <c r="Z2802" s="7"/>
      <c r="AA2802" s="7"/>
      <c r="AB2802" s="7"/>
    </row>
    <row r="2803" ht="15.75" customHeight="1">
      <c r="A2803" s="26">
        <f>IFERROR(__xludf.DUMMYFUNCTION("""COMPUTED_VALUE"""),4942.0)</f>
        <v>4942</v>
      </c>
      <c r="B2803" s="22" t="str">
        <f>IFERROR(__xludf.DUMMYFUNCTION("""COMPUTED_VALUE"""),"確定")</f>
        <v>確定</v>
      </c>
      <c r="C2803" s="28">
        <f>IFERROR(__xludf.DUMMYFUNCTION("""COMPUTED_VALUE"""),45691.0)</f>
        <v>45691</v>
      </c>
      <c r="D2803" s="28">
        <f>IFERROR(__xludf.DUMMYFUNCTION("""COMPUTED_VALUE"""),45692.0)</f>
        <v>45692</v>
      </c>
      <c r="E2803" s="26">
        <f>IFERROR(__xludf.DUMMYFUNCTION("""COMPUTED_VALUE"""),315837.0)</f>
        <v>315837</v>
      </c>
      <c r="F2803" s="22" t="str">
        <f>IFERROR(__xludf.DUMMYFUNCTION("""COMPUTED_VALUE"""),"年下叔母さんの誘惑")</f>
        <v>年下叔母さんの誘惑</v>
      </c>
      <c r="G2803" s="20" t="str">
        <f>IFERROR(__xludf.DUMMYFUNCTION("""COMPUTED_VALUE"""),"1～4")</f>
        <v>1～4</v>
      </c>
      <c r="H2803" s="22" t="str">
        <f>IFERROR(__xludf.DUMMYFUNCTION("""COMPUTED_VALUE"""),"purple sweet potato/sex martial arts")</f>
        <v>purple sweet potato/sex martial arts</v>
      </c>
      <c r="I2803" s="22" t="str">
        <f>IFERROR(__xludf.DUMMYFUNCTION("""COMPUTED_VALUE"""),"青年")</f>
        <v>青年</v>
      </c>
      <c r="J2803" s="22"/>
      <c r="K2803" s="22"/>
      <c r="L2803" s="22" t="str">
        <f>IFERROR(__xludf.DUMMYFUNCTION("""COMPUTED_VALUE"""),"Rush!")</f>
        <v>Rush!</v>
      </c>
      <c r="M2803" s="59">
        <f>IFERROR(__xludf.DUMMYFUNCTION("""COMPUTED_VALUE"""),45723.0)</f>
        <v>45723</v>
      </c>
      <c r="N2803" s="59">
        <f>IFERROR(__xludf.DUMMYFUNCTION("""COMPUTED_VALUE"""),45813.0)</f>
        <v>45813</v>
      </c>
      <c r="O2803" s="20"/>
      <c r="P2803" s="34" t="str">
        <f>IFERROR(__xludf.DUMMYFUNCTION("""COMPUTED_VALUE"""),"可")</f>
        <v>可</v>
      </c>
      <c r="Q2803" s="30" t="str">
        <f>IFERROR(__xludf.DUMMYFUNCTION("""COMPUTED_VALUE"""),"協業レーベル『シーモア×Rush!』作品です")</f>
        <v>協業レーベル『シーモア×Rush!』作品です</v>
      </c>
      <c r="R2803" s="22"/>
      <c r="S2803" s="22" t="str">
        <f>IFERROR(__xludf.DUMMYFUNCTION("""COMPUTED_VALUE"""),"20250203_ファンギルド_年下叔母さんの誘惑")</f>
        <v>20250203_ファンギルド_年下叔母さんの誘惑</v>
      </c>
      <c r="T2803" s="22" t="str">
        <f>IFERROR(__xludf.DUMMYFUNCTION("""COMPUTED_VALUE"""),"格納済み")</f>
        <v>格納済み</v>
      </c>
      <c r="U2803" s="15" t="str">
        <f>IFERROR(__xludf.DUMMYFUNCTION("""COMPUTED_VALUE"""),"Ⓒpurple sweet potato/sex martial arts/TOPTOON")</f>
        <v>Ⓒpurple sweet potato/sex martial arts/TOPTOON</v>
      </c>
      <c r="V2803" s="8" t="str">
        <f>IFERROR(__xludf.DUMMYFUNCTION("""COMPUTED_VALUE"""),"「私が大人になったら、絶対に結婚すること！」叔母――世間一般的に甥っ子よりも年上のおばさんを指す言葉。しかし陽翔には、自分よりもはるかに年下の若い叔母がいた！？――月日は流れ、大学生となった叔母の夏乃花は陽翔の家に下宿する事に。しかし、それを知らされていなかった陽翔はセフレとの行為を目撃され…最低な同居生活の始まりを迎えてしまう。叔母は身内でただの純粋な子供――そう思っていたはずなのに、無防備な夏乃花の姿にカラダは正直で――!?年下だけどお姉さんで叔母さん!? 前途多難な誘惑だらけの同居生活！")</f>
        <v>「私が大人になったら、絶対に結婚すること！」叔母――世間一般的に甥っ子よりも年上のおばさんを指す言葉。しかし陽翔には、自分よりもはるかに年下の若い叔母がいた！？――月日は流れ、大学生となった叔母の夏乃花は陽翔の家に下宿する事に。しかし、それを知らされていなかった陽翔はセフレとの行為を目撃され…最低な同居生活の始まりを迎えてしまう。叔母は身内でただの純粋な子供――そう思っていたはずなのに、無防備な夏乃花の姿にカラダは正直で――!?年下だけどお姉さんで叔母さん!? 前途多難な誘惑だらけの同居生活！</v>
      </c>
      <c r="W2803" s="14"/>
      <c r="X2803" s="14" t="str">
        <f>IFERROR(__xludf.DUMMYFUNCTION("""COMPUTED_VALUE"""),"有")</f>
        <v>有</v>
      </c>
      <c r="Y2803" s="8" t="str">
        <f>IFERROR(__xludf.DUMMYFUNCTION("""COMPUTED_VALUE"""),"2025/6/5まで1巻無料")</f>
        <v>2025/6/5まで1巻無料</v>
      </c>
      <c r="Z2803" s="7"/>
      <c r="AA2803" s="7"/>
      <c r="AB2803" s="7"/>
    </row>
    <row r="2804" ht="15.75" customHeight="1">
      <c r="A2804" s="26">
        <f>IFERROR(__xludf.DUMMYFUNCTION("""COMPUTED_VALUE"""),4943.0)</f>
        <v>4943</v>
      </c>
      <c r="B2804" s="22" t="str">
        <f>IFERROR(__xludf.DUMMYFUNCTION("""COMPUTED_VALUE"""),"確定")</f>
        <v>確定</v>
      </c>
      <c r="C2804" s="28">
        <f>IFERROR(__xludf.DUMMYFUNCTION("""COMPUTED_VALUE"""),45691.0)</f>
        <v>45691</v>
      </c>
      <c r="D2804" s="28">
        <f>IFERROR(__xludf.DUMMYFUNCTION("""COMPUTED_VALUE"""),45692.0)</f>
        <v>45692</v>
      </c>
      <c r="E2804" s="26">
        <f>IFERROR(__xludf.DUMMYFUNCTION("""COMPUTED_VALUE"""),315983.0)</f>
        <v>315983</v>
      </c>
      <c r="F2804" s="22" t="str">
        <f>IFERROR(__xludf.DUMMYFUNCTION("""COMPUTED_VALUE"""),"男友達と本気の恋愛シミュレーション～負けたらHな罰ゲーム!?")</f>
        <v>男友達と本気の恋愛シミュレーション～負けたらHな罰ゲーム!?</v>
      </c>
      <c r="G2804" s="20" t="str">
        <f>IFERROR(__xludf.DUMMYFUNCTION("""COMPUTED_VALUE"""),"1～3")</f>
        <v>1～3</v>
      </c>
      <c r="H2804" s="22" t="str">
        <f>IFERROR(__xludf.DUMMYFUNCTION("""COMPUTED_VALUE"""),"海野さち")</f>
        <v>海野さち</v>
      </c>
      <c r="I2804" s="22" t="str">
        <f>IFERROR(__xludf.DUMMYFUNCTION("""COMPUTED_VALUE"""),"TL")</f>
        <v>TL</v>
      </c>
      <c r="J2804" s="22"/>
      <c r="K2804" s="22" t="str">
        <f>IFERROR(__xludf.DUMMYFUNCTION("""COMPUTED_VALUE"""),"ラブきゅんコミック")</f>
        <v>ラブきゅんコミック</v>
      </c>
      <c r="L2804" s="22" t="str">
        <f>IFERROR(__xludf.DUMMYFUNCTION("""COMPUTED_VALUE"""),"モバイルメディアリサーチ")</f>
        <v>モバイルメディアリサーチ</v>
      </c>
      <c r="M2804" s="28">
        <f>IFERROR(__xludf.DUMMYFUNCTION("""COMPUTED_VALUE"""),45731.0)</f>
        <v>45731</v>
      </c>
      <c r="N2804" s="28">
        <f>IFERROR(__xludf.DUMMYFUNCTION("""COMPUTED_VALUE"""),45765.0)</f>
        <v>45765</v>
      </c>
      <c r="O2804" s="20"/>
      <c r="P2804" s="34" t="str">
        <f>IFERROR(__xludf.DUMMYFUNCTION("""COMPUTED_VALUE"""),"可")</f>
        <v>可</v>
      </c>
      <c r="Q2804" s="30" t="str">
        <f>IFERROR(__xludf.DUMMYFUNCTION("""COMPUTED_VALUE"""),"1～2巻分の内容にてご制作をお願いします。")</f>
        <v>1～2巻分の内容にてご制作をお願いします。</v>
      </c>
      <c r="R2804" s="22"/>
      <c r="S2804" s="22" t="str">
        <f>IFERROR(__xludf.DUMMYFUNCTION("""COMPUTED_VALUE"""),"20250203_ファンギルド_男友達と本気の恋愛シミュレーション～負けたらHな罰ゲーム")</f>
        <v>20250203_ファンギルド_男友達と本気の恋愛シミュレーション～負けたらHな罰ゲーム</v>
      </c>
      <c r="T2804" s="22" t="str">
        <f>IFERROR(__xludf.DUMMYFUNCTION("""COMPUTED_VALUE"""),"格納済み")</f>
        <v>格納済み</v>
      </c>
      <c r="U2804" s="15" t="str">
        <f>IFERROR(__xludf.DUMMYFUNCTION("""COMPUTED_VALUE"""),"Ⓒ海野さち/モバイルメディアリサーチ")</f>
        <v>Ⓒ海野さち/モバイルメディアリサーチ</v>
      </c>
      <c r="V2804" s="8" t="str">
        <f>IFERROR(__xludf.DUMMYFUNCTION("""COMPUTED_VALUE"""),"腐れ縁である朱莉と蒼真は、社会人になっても互いの家を行き来して遊ぶ仲。ある夜、いつものゲーム勝負で勝った蒼真が出した罰ゲームは…「俺の彼女になってくれ」だった。気軽に引き受けてしまったは良いものの、蒼真から「付き合ったことないだろ？」と言われ、つい「ある」と答えてしまった朱莉。すると、いつの間にか蒼真に押し倒されて、抵抗できないまま身体中を隈なく触れ始める！どんどん敏感な部分に指で擦り、甘い声が漏れてしまう…彼女役だからって、ここまでするの──!?")</f>
        <v>腐れ縁である朱莉と蒼真は、社会人になっても互いの家を行き来して遊ぶ仲。ある夜、いつものゲーム勝負で勝った蒼真が出した罰ゲームは…「俺の彼女になってくれ」だった。気軽に引き受けてしまったは良いものの、蒼真から「付き合ったことないだろ？」と言われ、つい「ある」と答えてしまった朱莉。すると、いつの間にか蒼真に押し倒されて、抵抗できないまま身体中を隈なく触れ始める！どんどん敏感な部分に指で擦り、甘い声が漏れてしまう…彼女役だからって、ここまでするの──!?</v>
      </c>
      <c r="W2804" s="14"/>
      <c r="X2804" s="14" t="str">
        <f>IFERROR(__xludf.DUMMYFUNCTION("""COMPUTED_VALUE"""),"有")</f>
        <v>有</v>
      </c>
      <c r="Y2804" s="8" t="str">
        <f>IFERROR(__xludf.DUMMYFUNCTION("""COMPUTED_VALUE"""),"2025/3/28まで1巻無料")</f>
        <v>2025/3/28まで1巻無料</v>
      </c>
      <c r="Z2804" s="7"/>
      <c r="AA2804" s="7"/>
      <c r="AB2804" s="7"/>
    </row>
    <row r="2805" ht="15.75" customHeight="1">
      <c r="A2805" s="26">
        <f>IFERROR(__xludf.DUMMYFUNCTION("""COMPUTED_VALUE"""),4944.0)</f>
        <v>4944</v>
      </c>
      <c r="B2805" s="22" t="str">
        <f>IFERROR(__xludf.DUMMYFUNCTION("""COMPUTED_VALUE"""),"確定")</f>
        <v>確定</v>
      </c>
      <c r="C2805" s="28">
        <f>IFERROR(__xludf.DUMMYFUNCTION("""COMPUTED_VALUE"""),45691.0)</f>
        <v>45691</v>
      </c>
      <c r="D2805" s="28">
        <f>IFERROR(__xludf.DUMMYFUNCTION("""COMPUTED_VALUE"""),45692.0)</f>
        <v>45692</v>
      </c>
      <c r="E2805" s="26">
        <f>IFERROR(__xludf.DUMMYFUNCTION("""COMPUTED_VALUE"""),315982.0)</f>
        <v>315982</v>
      </c>
      <c r="F2805" s="22" t="str">
        <f>IFERROR(__xludf.DUMMYFUNCTION("""COMPUTED_VALUE"""),"私の婚約はキャンセルされました")</f>
        <v>私の婚約はキャンセルされました</v>
      </c>
      <c r="G2805" s="20">
        <f>IFERROR(__xludf.DUMMYFUNCTION("""COMPUTED_VALUE"""),1.0)</f>
        <v>1</v>
      </c>
      <c r="H2805" s="22" t="str">
        <f>IFERROR(__xludf.DUMMYFUNCTION("""COMPUTED_VALUE"""),"春凪りぐ／ミズメ")</f>
        <v>春凪りぐ／ミズメ</v>
      </c>
      <c r="I2805" s="22" t="str">
        <f>IFERROR(__xludf.DUMMYFUNCTION("""COMPUTED_VALUE"""),"少女")</f>
        <v>少女</v>
      </c>
      <c r="J2805" s="22"/>
      <c r="K2805" s="22"/>
      <c r="L2805" s="22" t="str">
        <f>IFERROR(__xludf.DUMMYFUNCTION("""COMPUTED_VALUE"""),"ファンギルド")</f>
        <v>ファンギルド</v>
      </c>
      <c r="M2805" s="28">
        <f>IFERROR(__xludf.DUMMYFUNCTION("""COMPUTED_VALUE"""),45736.0)</f>
        <v>45736</v>
      </c>
      <c r="N2805" s="28">
        <f>IFERROR(__xludf.DUMMYFUNCTION("""COMPUTED_VALUE"""),45763.0)</f>
        <v>45763</v>
      </c>
      <c r="O2805" s="20"/>
      <c r="P2805" s="32" t="str">
        <f>IFERROR(__xludf.DUMMYFUNCTION("""COMPUTED_VALUE"""),"可")</f>
        <v>可</v>
      </c>
      <c r="Q2805" s="30"/>
      <c r="R2805" s="22"/>
      <c r="S2805" s="22" t="str">
        <f>IFERROR(__xludf.DUMMYFUNCTION("""COMPUTED_VALUE"""),"20250203_ファンギルド_私の婚約はキャンセルされました")</f>
        <v>20250203_ファンギルド_私の婚約はキャンセルされました</v>
      </c>
      <c r="T2805" s="22" t="str">
        <f>IFERROR(__xludf.DUMMYFUNCTION("""COMPUTED_VALUE"""),"格納済み")</f>
        <v>格納済み</v>
      </c>
      <c r="U2805" s="15" t="str">
        <f>IFERROR(__xludf.DUMMYFUNCTION("""COMPUTED_VALUE"""),"Ⓒ春凪りぐ/ミズメ/ファンギルド")</f>
        <v>Ⓒ春凪りぐ/ミズメ/ファンギルド</v>
      </c>
      <c r="V2805" s="8" t="str">
        <f>IFERROR(__xludf.DUMMYFUNCTION("""COMPUTED_VALUE"""),"近頃、貴族令息たちから次々に婚約破棄されてしまう事象が多発しており、婚約破棄された令嬢は""婚約キャンセル界隈""として良くないレッテルを貼られていた。オリヴィアは婚約者のレックスと冷め切った関係で、次に婚約をキャンセルされてしまうのは自分ではないかと不安に襲わる日々を過ごしていたが、捨て身でアタックしようと決意。しかし、レックスには自分ではない意中の人がいることを知ってしまい―…？※この作品は『一途に溺愛されて、幸せを掴み取ってみせますわ！異世界アンソロジーコミック 8巻』に収録されている作品と同一の内"&amp;"容を単話版として再編集したものとなります。")</f>
        <v>近頃、貴族令息たちから次々に婚約破棄されてしまう事象が多発しており、婚約破棄された令嬢は"婚約キャンセル界隈"として良くないレッテルを貼られていた。オリヴィアは婚約者のレックスと冷め切った関係で、次に婚約をキャンセルされてしまうのは自分ではないかと不安に襲わる日々を過ごしていたが、捨て身でアタックしようと決意。しかし、レックスには自分ではない意中の人がいることを知ってしまい―…？※この作品は『一途に溺愛されて、幸せを掴み取ってみせますわ！異世界アンソロジーコミック 8巻』に収録されている作品と同一の内容を単話版として再編集したものとなります。</v>
      </c>
      <c r="W2805" s="14"/>
      <c r="X2805" s="14" t="str">
        <f>IFERROR(__xludf.DUMMYFUNCTION("""COMPUTED_VALUE"""),"有")</f>
        <v>有</v>
      </c>
      <c r="Y2805" s="8" t="str">
        <f>IFERROR(__xludf.DUMMYFUNCTION("""COMPUTED_VALUE"""),"P7まで")</f>
        <v>P7まで</v>
      </c>
      <c r="Z2805" s="7"/>
      <c r="AA2805" s="7"/>
      <c r="AB2805" s="7"/>
    </row>
    <row r="2806" ht="15.75" customHeight="1">
      <c r="A2806" s="26">
        <f>IFERROR(__xludf.DUMMYFUNCTION("""COMPUTED_VALUE"""),4945.0)</f>
        <v>4945</v>
      </c>
      <c r="B2806" s="22" t="str">
        <f>IFERROR(__xludf.DUMMYFUNCTION("""COMPUTED_VALUE"""),"確定")</f>
        <v>確定</v>
      </c>
      <c r="C2806" s="28">
        <f>IFERROR(__xludf.DUMMYFUNCTION("""COMPUTED_VALUE"""),45691.0)</f>
        <v>45691</v>
      </c>
      <c r="D2806" s="28">
        <f>IFERROR(__xludf.DUMMYFUNCTION("""COMPUTED_VALUE"""),45692.0)</f>
        <v>45692</v>
      </c>
      <c r="E2806" s="26">
        <f>IFERROR(__xludf.DUMMYFUNCTION("""COMPUTED_VALUE"""),315984.0)</f>
        <v>315984</v>
      </c>
      <c r="F2806" s="22" t="str">
        <f>IFERROR(__xludf.DUMMYFUNCTION("""COMPUTED_VALUE"""),"16年目の復讐～奴らを地獄に送るまで")</f>
        <v>16年目の復讐～奴らを地獄に送るまで</v>
      </c>
      <c r="G2806" s="20" t="str">
        <f>IFERROR(__xludf.DUMMYFUNCTION("""COMPUTED_VALUE"""),"1～4")</f>
        <v>1～4</v>
      </c>
      <c r="H2806" s="22" t="str">
        <f>IFERROR(__xludf.DUMMYFUNCTION("""COMPUTED_VALUE"""),"桜宇宙,FTops")</f>
        <v>桜宇宙,FTops</v>
      </c>
      <c r="I2806" s="22" t="str">
        <f>IFERROR(__xludf.DUMMYFUNCTION("""COMPUTED_VALUE"""),"青年")</f>
        <v>青年</v>
      </c>
      <c r="J2806" s="22"/>
      <c r="K2806" s="22"/>
      <c r="L2806" s="22" t="str">
        <f>IFERROR(__xludf.DUMMYFUNCTION("""COMPUTED_VALUE"""),"ファンギルド")</f>
        <v>ファンギルド</v>
      </c>
      <c r="M2806" s="59">
        <f>IFERROR(__xludf.DUMMYFUNCTION("""COMPUTED_VALUE"""),45724.0)</f>
        <v>45724</v>
      </c>
      <c r="N2806" s="59">
        <f>IFERROR(__xludf.DUMMYFUNCTION("""COMPUTED_VALUE"""),45821.66666666667)</f>
        <v>45821.66667</v>
      </c>
      <c r="O2806" s="20"/>
      <c r="P2806" s="32" t="str">
        <f>IFERROR(__xludf.DUMMYFUNCTION("""COMPUTED_VALUE"""),"可")</f>
        <v>可</v>
      </c>
      <c r="Q2806" s="30"/>
      <c r="R2806" s="22"/>
      <c r="S2806" s="22" t="str">
        <f>IFERROR(__xludf.DUMMYFUNCTION("""COMPUTED_VALUE"""),"20250203_ファンギルド_16年目の復讐～奴らを地獄に送るまで")</f>
        <v>20250203_ファンギルド_16年目の復讐～奴らを地獄に送るまで</v>
      </c>
      <c r="T2806" s="22" t="str">
        <f>IFERROR(__xludf.DUMMYFUNCTION("""COMPUTED_VALUE"""),"格納済み")</f>
        <v>格納済み</v>
      </c>
      <c r="U2806" s="15" t="str">
        <f>IFERROR(__xludf.DUMMYFUNCTION("""COMPUTED_VALUE"""),"©桜宇宙/FTops/FUNGUILD")</f>
        <v>©桜宇宙/FTops/FUNGUILD</v>
      </c>
      <c r="V2806" s="8" t="str">
        <f>IFERROR(__xludf.DUMMYFUNCTION("""COMPUTED_VALUE"""),"高校での過酷なイジメ、不可解な妹の死。渡辺優真は人生に絶望し、引きこもっていた。15年後の誕生日――優真の家に3人の強盗が入る。それは高校時代、優真をイジメていた男たちだった！ 奴らの口から語られる衝撃の真実。15年前のあの日、3人は妹に何をしたのか？ なぜ妹は死を選んだのか――すべてを知り、すべてを奪われた優真はついに復讐を決意する。その1年後…かつて内気だった優真は生まれ変わっていた。奴らを地獄へ送るために!!")</f>
        <v>高校での過酷なイジメ、不可解な妹の死。渡辺優真は人生に絶望し、引きこもっていた。15年後の誕生日――優真の家に3人の強盗が入る。それは高校時代、優真をイジメていた男たちだった！ 奴らの口から語られる衝撃の真実。15年前のあの日、3人は妹に何をしたのか？ なぜ妹は死を選んだのか――すべてを知り、すべてを奪われた優真はついに復讐を決意する。その1年後…かつて内気だった優真は生まれ変わっていた。奴らを地獄へ送るために!!</v>
      </c>
      <c r="W2806" s="14"/>
      <c r="X2806" s="14" t="str">
        <f>IFERROR(__xludf.DUMMYFUNCTION("""COMPUTED_VALUE"""),"有")</f>
        <v>有</v>
      </c>
      <c r="Y2806" s="8" t="str">
        <f>IFERROR(__xludf.DUMMYFUNCTION("""COMPUTED_VALUE"""),"2025/3/21まで1巻無料")</f>
        <v>2025/3/21まで1巻無料</v>
      </c>
      <c r="Z2806" s="7"/>
      <c r="AA2806" s="7"/>
      <c r="AB2806" s="7"/>
    </row>
    <row r="2807" ht="15.75" customHeight="1">
      <c r="A2807" s="26">
        <f>IFERROR(__xludf.DUMMYFUNCTION("""COMPUTED_VALUE"""),4958.0)</f>
        <v>4958</v>
      </c>
      <c r="B2807" s="22" t="str">
        <f>IFERROR(__xludf.DUMMYFUNCTION("""COMPUTED_VALUE"""),"確定")</f>
        <v>確定</v>
      </c>
      <c r="C2807" s="28">
        <f>IFERROR(__xludf.DUMMYFUNCTION("""COMPUTED_VALUE"""),45692.0)</f>
        <v>45692</v>
      </c>
      <c r="D2807" s="28">
        <f>IFERROR(__xludf.DUMMYFUNCTION("""COMPUTED_VALUE"""),45693.0)</f>
        <v>45693</v>
      </c>
      <c r="E2807" s="26">
        <f>IFERROR(__xludf.DUMMYFUNCTION("""COMPUTED_VALUE"""),316542.0)</f>
        <v>316542</v>
      </c>
      <c r="F2807" s="22" t="str">
        <f>IFERROR(__xludf.DUMMYFUNCTION("""COMPUTED_VALUE"""),"３年ごしの初夜、完遂いたします！ 限界糖度のジレ甘婚")</f>
        <v>３年ごしの初夜、完遂いたします！ 限界糖度のジレ甘婚</v>
      </c>
      <c r="G2807" s="20" t="str">
        <f>IFERROR(__xludf.DUMMYFUNCTION("""COMPUTED_VALUE"""),"1～3")</f>
        <v>1～3</v>
      </c>
      <c r="H2807" s="22" t="str">
        <f>IFERROR(__xludf.DUMMYFUNCTION("""COMPUTED_VALUE"""),"漫画：七ツ園／原作：葉月エリカ")</f>
        <v>漫画：七ツ園／原作：葉月エリカ</v>
      </c>
      <c r="I2807" s="22" t="str">
        <f>IFERROR(__xludf.DUMMYFUNCTION("""COMPUTED_VALUE"""),"女性")</f>
        <v>女性</v>
      </c>
      <c r="J2807" s="22"/>
      <c r="K2807" s="22" t="str">
        <f>IFERROR(__xludf.DUMMYFUNCTION("""COMPUTED_VALUE"""),"異世界マーガレット")</f>
        <v>異世界マーガレット</v>
      </c>
      <c r="L2807" s="22" t="str">
        <f>IFERROR(__xludf.DUMMYFUNCTION("""COMPUTED_VALUE"""),"集英社")</f>
        <v>集英社</v>
      </c>
      <c r="M2807" s="59">
        <f>IFERROR(__xludf.DUMMYFUNCTION("""COMPUTED_VALUE"""),45717.0)</f>
        <v>45717</v>
      </c>
      <c r="N2807" s="59">
        <f>IFERROR(__xludf.DUMMYFUNCTION("""COMPUTED_VALUE"""),45747.0)</f>
        <v>45747</v>
      </c>
      <c r="O2807" s="20"/>
      <c r="P2807" s="32" t="str">
        <f>IFERROR(__xludf.DUMMYFUNCTION("""COMPUTED_VALUE"""),"否")</f>
        <v>否</v>
      </c>
      <c r="Q2807" s="30"/>
      <c r="R2807" s="22"/>
      <c r="S2807" s="22" t="str">
        <f>IFERROR(__xludf.DUMMYFUNCTION("""COMPUTED_VALUE"""),"20250203_集英社_３年ごしの初夜、完遂いたします！")</f>
        <v>20250203_集英社_３年ごしの初夜、完遂いたします！</v>
      </c>
      <c r="T2807" s="22" t="str">
        <f>IFERROR(__xludf.DUMMYFUNCTION("""COMPUTED_VALUE"""),"格納済み")</f>
        <v>格納済み</v>
      </c>
      <c r="U2807" s="15" t="str">
        <f>IFERROR(__xludf.DUMMYFUNCTION("""COMPUTED_VALUE"""),"Ⓒ七ツ園・葉月エリカ／集英社")</f>
        <v>Ⓒ七ツ園・葉月エリカ／集英社</v>
      </c>
      <c r="V2807" s="8" t="str">
        <f>IFERROR(__xludf.DUMMYFUNCTION("""COMPUTED_VALUE"""),"【溺愛×焦れったさMAX夫婦の初夜の行方は…!?】伯爵家令嬢リアナは、海軍に所属する第七王子レナードとの初恋を実らせて結婚。けれど、緊張のあまり初夜を失敗してしまう。しかも、海賊討伐を命じられたレナードが、結婚翌日から単身赴任することに！　3年経ってレナードが戻るも、彼への免疫を失ったリアナは異常にドキドキして、触れることさえままならない。改めて慣れるべく、スキンシップを再開したふたりの行為は、甘く淫らにエスカレートする…！")</f>
        <v>【溺愛×焦れったさMAX夫婦の初夜の行方は…!?】伯爵家令嬢リアナは、海軍に所属する第七王子レナードとの初恋を実らせて結婚。けれど、緊張のあまり初夜を失敗してしまう。しかも、海賊討伐を命じられたレナードが、結婚翌日から単身赴任することに！　3年経ってレナードが戻るも、彼への免疫を失ったリアナは異常にドキドキして、触れることさえままならない。改めて慣れるべく、スキンシップを再開したふたりの行為は、甘く淫らにエスカレートする…！</v>
      </c>
      <c r="W2807" s="14"/>
      <c r="X2807" s="14" t="str">
        <f>IFERROR(__xludf.DUMMYFUNCTION("""COMPUTED_VALUE"""),"有")</f>
        <v>有</v>
      </c>
      <c r="Y2807" s="8" t="str">
        <f>IFERROR(__xludf.DUMMYFUNCTION("""COMPUTED_VALUE"""),"2025/3/31まで1巻無料")</f>
        <v>2025/3/31まで1巻無料</v>
      </c>
      <c r="Z2807" s="7"/>
      <c r="AA2807" s="7"/>
      <c r="AB2807" s="7"/>
    </row>
    <row r="2808" ht="15.75" customHeight="1">
      <c r="A2808" s="26">
        <f>IFERROR(__xludf.DUMMYFUNCTION("""COMPUTED_VALUE"""),4959.0)</f>
        <v>4959</v>
      </c>
      <c r="B2808" s="22" t="str">
        <f>IFERROR(__xludf.DUMMYFUNCTION("""COMPUTED_VALUE"""),"確定")</f>
        <v>確定</v>
      </c>
      <c r="C2808" s="28">
        <f>IFERROR(__xludf.DUMMYFUNCTION("""COMPUTED_VALUE"""),45692.0)</f>
        <v>45692</v>
      </c>
      <c r="D2808" s="28">
        <f>IFERROR(__xludf.DUMMYFUNCTION("""COMPUTED_VALUE"""),45693.0)</f>
        <v>45693</v>
      </c>
      <c r="E2808" s="26">
        <f>IFERROR(__xludf.DUMMYFUNCTION("""COMPUTED_VALUE"""),313660.0)</f>
        <v>313660</v>
      </c>
      <c r="F2808" s="22" t="str">
        <f>IFERROR(__xludf.DUMMYFUNCTION("""COMPUTED_VALUE"""),"宮廷魔導士は鎖で繋がれ溺愛される（分冊版）")</f>
        <v>宮廷魔導士は鎖で繋がれ溺愛される（分冊版）</v>
      </c>
      <c r="G2808" s="20" t="str">
        <f>IFERROR(__xludf.DUMMYFUNCTION("""COMPUTED_VALUE"""),"1～3")</f>
        <v>1～3</v>
      </c>
      <c r="H2808" s="22" t="str">
        <f>IFERROR(__xludf.DUMMYFUNCTION("""COMPUTED_VALUE"""),"こいなだ陽日,夢月いめ")</f>
        <v>こいなだ陽日,夢月いめ</v>
      </c>
      <c r="I2808" s="22" t="str">
        <f>IFERROR(__xludf.DUMMYFUNCTION("""COMPUTED_VALUE"""),"女性マンガ")</f>
        <v>女性マンガ</v>
      </c>
      <c r="J2808" s="22"/>
      <c r="K2808" s="22"/>
      <c r="L2808" s="22" t="str">
        <f>IFERROR(__xludf.DUMMYFUNCTION("""COMPUTED_VALUE"""),"アルファポリス")</f>
        <v>アルファポリス</v>
      </c>
      <c r="M2808" s="23">
        <f>IFERROR(__xludf.DUMMYFUNCTION("""COMPUTED_VALUE"""),45695.0)</f>
        <v>45695</v>
      </c>
      <c r="N2808" s="47">
        <f>IFERROR(__xludf.DUMMYFUNCTION("""COMPUTED_VALUE"""),45778.0)</f>
        <v>45778</v>
      </c>
      <c r="O2808" s="20"/>
      <c r="P2808" s="34" t="str">
        <f>IFERROR(__xludf.DUMMYFUNCTION("""COMPUTED_VALUE"""),"可")</f>
        <v>可</v>
      </c>
      <c r="Q2808" s="30" t="str">
        <f>IFERROR(__xludf.DUMMYFUNCTION("""COMPUTED_VALUE"""),"先行確定なので、可能でれば出稿ください&lt;BR&gt;3巻目素材までご使用ください")</f>
        <v>先行確定なので、可能でれば出稿ください&lt;BR&gt;3巻目素材までご使用ください</v>
      </c>
      <c r="R2808" s="22"/>
      <c r="S2808" s="22" t="str">
        <f>IFERROR(__xludf.DUMMYFUNCTION("""COMPUTED_VALUE"""),"20250204‗アルファポリス‗宮廷魔導士は鎖で繋がれ溺愛される")</f>
        <v>20250204‗アルファポリス‗宮廷魔導士は鎖で繋がれ溺愛される</v>
      </c>
      <c r="T2808" s="22" t="str">
        <f>IFERROR(__xludf.DUMMYFUNCTION("""COMPUTED_VALUE"""),"格納済み")</f>
        <v>格納済み</v>
      </c>
      <c r="U2808" s="15" t="str">
        <f>IFERROR(__xludf.DUMMYFUNCTION("""COMPUTED_VALUE"""),"（C）こいなだ陽日・夢月いめ／アルファポリス")</f>
        <v>（C）こいなだ陽日・夢月いめ／アルファポリス</v>
      </c>
      <c r="V2808" s="8" t="str">
        <f>IFERROR(__xludf.DUMMYFUNCTION("""COMPUTED_VALUE"""),"天涯孤独だったシュタルに魔導士の素質を見出し、救いの手を伸ばしてくれたのが宮廷魔導士のレッドバーンだった。出会いから6年、師匠でもあり拠り所でもある彼に想いを寄せ続けるシュタルに、ある日突然女性の魔導士特有の“発情”が発現してしまう。シュタルは熱に浮かされながら医療行為だから、とお願いしレッドバーンに熱を治めてもらうことに。すると彼は「俺と生涯添い遂げろ」と言ってきて?? さらにはなぜかレッドバーンに足枷をつけられ、監禁されてしまい――!? 6年分の想いを溜め込んできた、一途な弟子と愛が重たい師匠の甘々監"&amp;"禁生活！")</f>
        <v>天涯孤独だったシュタルに魔導士の素質を見出し、救いの手を伸ばしてくれたのが宮廷魔導士のレッドバーンだった。出会いから6年、師匠でもあり拠り所でもある彼に想いを寄せ続けるシュタルに、ある日突然女性の魔導士特有の“発情”が発現してしまう。シュタルは熱に浮かされながら医療行為だから、とお願いしレッドバーンに熱を治めてもらうことに。すると彼は「俺と生涯添い遂げろ」と言ってきて?? さらにはなぜかレッドバーンに足枷をつけられ、監禁されてしまい――!? 6年分の想いを溜め込んできた、一途な弟子と愛が重たい師匠の甘々監禁生活！</v>
      </c>
      <c r="W2808" s="14"/>
      <c r="X2808" s="14" t="str">
        <f>IFERROR(__xludf.DUMMYFUNCTION("""COMPUTED_VALUE"""),"有")</f>
        <v>有</v>
      </c>
      <c r="Y2808" s="8" t="str">
        <f>IFERROR(__xludf.DUMMYFUNCTION("""COMPUTED_VALUE"""),"1巻無料")</f>
        <v>1巻無料</v>
      </c>
      <c r="Z2808" s="7"/>
      <c r="AA2808" s="7"/>
      <c r="AB2808" s="7"/>
    </row>
    <row r="2809" ht="15.75" customHeight="1">
      <c r="A2809" s="26">
        <f>IFERROR(__xludf.DUMMYFUNCTION("""COMPUTED_VALUE"""),4960.0)</f>
        <v>4960</v>
      </c>
      <c r="B2809" s="22" t="str">
        <f>IFERROR(__xludf.DUMMYFUNCTION("""COMPUTED_VALUE"""),"確定")</f>
        <v>確定</v>
      </c>
      <c r="C2809" s="28">
        <f>IFERROR(__xludf.DUMMYFUNCTION("""COMPUTED_VALUE"""),45692.0)</f>
        <v>45692</v>
      </c>
      <c r="D2809" s="28">
        <f>IFERROR(__xludf.DUMMYFUNCTION("""COMPUTED_VALUE"""),45693.0)</f>
        <v>45693</v>
      </c>
      <c r="E2809" s="26">
        <f>IFERROR(__xludf.DUMMYFUNCTION("""COMPUTED_VALUE"""),315912.0)</f>
        <v>315912</v>
      </c>
      <c r="F2809" s="22" t="str">
        <f>IFERROR(__xludf.DUMMYFUNCTION("""COMPUTED_VALUE"""),"元仔狼の冷徹国王陛下に溺愛されて困っています！（分冊版）")</f>
        <v>元仔狼の冷徹国王陛下に溺愛されて困っています！（分冊版）</v>
      </c>
      <c r="G2809" s="20" t="str">
        <f>IFERROR(__xludf.DUMMYFUNCTION("""COMPUTED_VALUE"""),"1～3")</f>
        <v>1～3</v>
      </c>
      <c r="H2809" s="22" t="str">
        <f>IFERROR(__xludf.DUMMYFUNCTION("""COMPUTED_VALUE"""),"萩野小唄　朧月あき")</f>
        <v>萩野小唄　朧月あき</v>
      </c>
      <c r="I2809" s="22" t="str">
        <f>IFERROR(__xludf.DUMMYFUNCTION("""COMPUTED_VALUE"""),"女性")</f>
        <v>女性</v>
      </c>
      <c r="J2809" s="22"/>
      <c r="K2809" s="22"/>
      <c r="L2809" s="22" t="str">
        <f>IFERROR(__xludf.DUMMYFUNCTION("""COMPUTED_VALUE"""),"アルファポリス")</f>
        <v>アルファポリス</v>
      </c>
      <c r="M2809" s="59">
        <f>IFERROR(__xludf.DUMMYFUNCTION("""COMPUTED_VALUE"""),45723.0)</f>
        <v>45723</v>
      </c>
      <c r="N2809" s="23">
        <f>IFERROR(__xludf.DUMMYFUNCTION("""COMPUTED_VALUE"""),45750.0)</f>
        <v>45750</v>
      </c>
      <c r="O2809" s="20"/>
      <c r="P2809" s="34" t="str">
        <f>IFERROR(__xludf.DUMMYFUNCTION("""COMPUTED_VALUE"""),"可")</f>
        <v>可</v>
      </c>
      <c r="Q2809" s="30" t="str">
        <f>IFERROR(__xludf.DUMMYFUNCTION("""COMPUTED_VALUE"""),"先行確定なので可能であれば出稿ください")</f>
        <v>先行確定なので可能であれば出稿ください</v>
      </c>
      <c r="R2809" s="22"/>
      <c r="S2809" s="22" t="str">
        <f>IFERROR(__xludf.DUMMYFUNCTION("""COMPUTED_VALUE"""),"20250204‗アルファポリス‗元仔狼の冷徹国王陛下に溺愛されて困っています！")</f>
        <v>20250204‗アルファポリス‗元仔狼の冷徹国王陛下に溺愛されて困っています！</v>
      </c>
      <c r="T2809" s="22" t="str">
        <f>IFERROR(__xludf.DUMMYFUNCTION("""COMPUTED_VALUE"""),"格納済み")</f>
        <v>格納済み</v>
      </c>
      <c r="U2809" s="15" t="str">
        <f>IFERROR(__xludf.DUMMYFUNCTION("""COMPUTED_VALUE"""),"Ⓒ朧月あき・萩野小唄／アルファポリス")</f>
        <v>Ⓒ朧月あき・萩野小唄／アルファポリス</v>
      </c>
      <c r="V2809" s="8" t="str">
        <f>IFERROR(__xludf.DUMMYFUNCTION("""COMPUTED_VALUE"""),"森で孤独に暮らしていた少女・レイラは、あるとき傷ついた狼の子・アンバーを見つけ、家族として共に暮らしていた。事故をきっかけにアンバーが姿を消した十年後、街を訪れていたレイラは薬師を探す侍従に連れられ、優秀だが冷酷で恐れられている美貌の国王・イライアスと謁見する。実は彼はかつて自分が助けた仔狼アンバーだった。彼はレイラの体に残る『番の証』を認めると独占欲を露わにし、自分の子を孕めるのは番のレイラしかいないと告げて……。運命からはじまる甘く切ないファンタジーラブが待望のコミカライズ！")</f>
        <v>森で孤独に暮らしていた少女・レイラは、あるとき傷ついた狼の子・アンバーを見つけ、家族として共に暮らしていた。事故をきっかけにアンバーが姿を消した十年後、街を訪れていたレイラは薬師を探す侍従に連れられ、優秀だが冷酷で恐れられている美貌の国王・イライアスと謁見する。実は彼はかつて自分が助けた仔狼アンバーだった。彼はレイラの体に残る『番の証』を認めると独占欲を露わにし、自分の子を孕めるのは番のレイラしかいないと告げて……。運命からはじまる甘く切ないファンタジーラブが待望のコミカライズ！</v>
      </c>
      <c r="W2809" s="14"/>
      <c r="X2809" s="14" t="str">
        <f>IFERROR(__xludf.DUMMYFUNCTION("""COMPUTED_VALUE"""),"有")</f>
        <v>有</v>
      </c>
      <c r="Y2809" s="8" t="str">
        <f>IFERROR(__xludf.DUMMYFUNCTION("""COMPUTED_VALUE"""),"2025/3/20まで1巻無料")</f>
        <v>2025/3/20まで1巻無料</v>
      </c>
      <c r="Z2809" s="7"/>
      <c r="AA2809" s="7"/>
      <c r="AB2809" s="7"/>
    </row>
    <row r="2810" ht="15.75" customHeight="1">
      <c r="A2810" s="26">
        <f>IFERROR(__xludf.DUMMYFUNCTION("""COMPUTED_VALUE"""),4961.0)</f>
        <v>4961</v>
      </c>
      <c r="B2810" s="22" t="str">
        <f>IFERROR(__xludf.DUMMYFUNCTION("""COMPUTED_VALUE"""),"確定")</f>
        <v>確定</v>
      </c>
      <c r="C2810" s="28">
        <f>IFERROR(__xludf.DUMMYFUNCTION("""COMPUTED_VALUE"""),45693.0)</f>
        <v>45693</v>
      </c>
      <c r="D2810" s="28">
        <f>IFERROR(__xludf.DUMMYFUNCTION("""COMPUTED_VALUE"""),45693.0)</f>
        <v>45693</v>
      </c>
      <c r="E2810" s="26">
        <f>IFERROR(__xludf.DUMMYFUNCTION("""COMPUTED_VALUE"""),316758.0)</f>
        <v>316758</v>
      </c>
      <c r="F2810" s="22" t="str">
        <f>IFERROR(__xludf.DUMMYFUNCTION("""COMPUTED_VALUE"""),"ラウラと異形の悪魔")</f>
        <v>ラウラと異形の悪魔</v>
      </c>
      <c r="G2810" s="20" t="str">
        <f>IFERROR(__xludf.DUMMYFUNCTION("""COMPUTED_VALUE"""),"1~3")</f>
        <v>1~3</v>
      </c>
      <c r="H2810" s="22" t="str">
        <f>IFERROR(__xludf.DUMMYFUNCTION("""COMPUTED_VALUE"""),"sigure")</f>
        <v>sigure</v>
      </c>
      <c r="I2810" s="22" t="str">
        <f>IFERROR(__xludf.DUMMYFUNCTION("""COMPUTED_VALUE"""),"アダルトマンガ")</f>
        <v>アダルトマンガ</v>
      </c>
      <c r="J2810" s="22"/>
      <c r="K2810" s="22"/>
      <c r="L2810" s="22" t="str">
        <f>IFERROR(__xludf.DUMMYFUNCTION("""COMPUTED_VALUE"""),"セ・キララ文庫")</f>
        <v>セ・キララ文庫</v>
      </c>
      <c r="M2810" s="59">
        <f>IFERROR(__xludf.DUMMYFUNCTION("""COMPUTED_VALUE"""),45723.0)</f>
        <v>45723</v>
      </c>
      <c r="N2810" s="23">
        <f>IFERROR(__xludf.DUMMYFUNCTION("""COMPUTED_VALUE"""),45750.0)</f>
        <v>45750</v>
      </c>
      <c r="O2810" s="20"/>
      <c r="P2810" s="32" t="str">
        <f>IFERROR(__xludf.DUMMYFUNCTION("""COMPUTED_VALUE"""),"可")</f>
        <v>可</v>
      </c>
      <c r="Q2810" s="30"/>
      <c r="R2810" s="22"/>
      <c r="S2810" s="22" t="str">
        <f>IFERROR(__xludf.DUMMYFUNCTION("""COMPUTED_VALUE"""),"20250205_ライドオン_ラウラと異形の悪魔")</f>
        <v>20250205_ライドオン_ラウラと異形の悪魔</v>
      </c>
      <c r="T2810" s="22" t="str">
        <f>IFERROR(__xludf.DUMMYFUNCTION("""COMPUTED_VALUE"""),"格納済み")</f>
        <v>格納済み</v>
      </c>
      <c r="U2810" s="15" t="str">
        <f>IFERROR(__xludf.DUMMYFUNCTION("""COMPUTED_VALUE"""),"Ⓒsigure/セ・キララ文庫")</f>
        <v>Ⓒsigure/セ・キララ文庫</v>
      </c>
      <c r="V2810" s="8" t="str">
        <f>IFERROR(__xludf.DUMMYFUNCTION("""COMPUTED_VALUE"""),"――生まれながらに魔法が使えることで「悪魔の子」として忌み嫌われていたラウラ。
生きていてはいけない存在として扱われる彼女を守ってくれたのは祖母だけだった。
そんな彼女はある日、悪魔が棲むと言い伝えられている森の奥へ一人で食料を取りに行くことに。
暗い森の中で、なかなか見つからない食料に彼女の体力は限界を迎えてしまう…！
「おや珍しい…人間の子供ですか」
そう言って、倒れ込んだ彼女に手を差し伸べたのは、異形の悪魔で…!?")</f>
        <v>――生まれながらに魔法が使えることで「悪魔の子」として忌み嫌われていたラウラ。
生きていてはいけない存在として扱われる彼女を守ってくれたのは祖母だけだった。
そんな彼女はある日、悪魔が棲むと言い伝えられている森の奥へ一人で食料を取りに行くことに。
暗い森の中で、なかなか見つからない食料に彼女の体力は限界を迎えてしまう…！
「おや珍しい…人間の子供ですか」
そう言って、倒れ込んだ彼女に手を差し伸べたのは、異形の悪魔で…!?</v>
      </c>
      <c r="W2810" s="14"/>
      <c r="X2810" s="14" t="str">
        <f>IFERROR(__xludf.DUMMYFUNCTION("""COMPUTED_VALUE"""),"有")</f>
        <v>有</v>
      </c>
      <c r="Y2810" s="8" t="str">
        <f>IFERROR(__xludf.DUMMYFUNCTION("""COMPUTED_VALUE"""),"P9まで")</f>
        <v>P9まで</v>
      </c>
      <c r="Z2810" s="7"/>
      <c r="AA2810" s="7"/>
      <c r="AB2810" s="7"/>
    </row>
    <row r="2811" ht="15.75" customHeight="1">
      <c r="A2811" s="26">
        <f>IFERROR(__xludf.DUMMYFUNCTION("""COMPUTED_VALUE"""),4962.0)</f>
        <v>4962</v>
      </c>
      <c r="B2811" s="22" t="str">
        <f>IFERROR(__xludf.DUMMYFUNCTION("""COMPUTED_VALUE"""),"確定")</f>
        <v>確定</v>
      </c>
      <c r="C2811" s="28">
        <f>IFERROR(__xludf.DUMMYFUNCTION("""COMPUTED_VALUE"""),45693.0)</f>
        <v>45693</v>
      </c>
      <c r="D2811" s="28">
        <f>IFERROR(__xludf.DUMMYFUNCTION("""COMPUTED_VALUE"""),45693.0)</f>
        <v>45693</v>
      </c>
      <c r="E2811" s="26">
        <f>IFERROR(__xludf.DUMMYFUNCTION("""COMPUTED_VALUE"""),316757.0)</f>
        <v>316757</v>
      </c>
      <c r="F2811" s="22" t="str">
        <f>IFERROR(__xludf.DUMMYFUNCTION("""COMPUTED_VALUE"""),"パワハラ女上司と社畜くん")</f>
        <v>パワハラ女上司と社畜くん</v>
      </c>
      <c r="G2811" s="20" t="str">
        <f>IFERROR(__xludf.DUMMYFUNCTION("""COMPUTED_VALUE"""),"1~2")</f>
        <v>1~2</v>
      </c>
      <c r="H2811" s="22" t="str">
        <f>IFERROR(__xludf.DUMMYFUNCTION("""COMPUTED_VALUE"""),"黒巣ガタリ")</f>
        <v>黒巣ガタリ</v>
      </c>
      <c r="I2811" s="22" t="str">
        <f>IFERROR(__xludf.DUMMYFUNCTION("""COMPUTED_VALUE"""),"アダルトマンガ")</f>
        <v>アダルトマンガ</v>
      </c>
      <c r="J2811" s="22"/>
      <c r="K2811" s="22"/>
      <c r="L2811" s="22" t="str">
        <f>IFERROR(__xludf.DUMMYFUNCTION("""COMPUTED_VALUE"""),"セ・キララ文庫")</f>
        <v>セ・キララ文庫</v>
      </c>
      <c r="M2811" s="59">
        <f>IFERROR(__xludf.DUMMYFUNCTION("""COMPUTED_VALUE"""),45723.0)</f>
        <v>45723</v>
      </c>
      <c r="N2811" s="23">
        <f>IFERROR(__xludf.DUMMYFUNCTION("""COMPUTED_VALUE"""),45750.0)</f>
        <v>45750</v>
      </c>
      <c r="O2811" s="20"/>
      <c r="P2811" s="32" t="str">
        <f>IFERROR(__xludf.DUMMYFUNCTION("""COMPUTED_VALUE"""),"可")</f>
        <v>可</v>
      </c>
      <c r="Q2811" s="30"/>
      <c r="R2811" s="22"/>
      <c r="S2811" s="22" t="str">
        <f>IFERROR(__xludf.DUMMYFUNCTION("""COMPUTED_VALUE"""),"20250205_ライドオン_パワハラ女上司と社畜くん")</f>
        <v>20250205_ライドオン_パワハラ女上司と社畜くん</v>
      </c>
      <c r="T2811" s="22" t="str">
        <f>IFERROR(__xludf.DUMMYFUNCTION("""COMPUTED_VALUE"""),"格納済み")</f>
        <v>格納済み</v>
      </c>
      <c r="U2811" s="15" t="str">
        <f>IFERROR(__xludf.DUMMYFUNCTION("""COMPUTED_VALUE"""),"Ⓒ黒巣ガタリ/セ・キララ文庫")</f>
        <v>Ⓒ黒巣ガタリ/セ・キララ文庫</v>
      </c>
      <c r="V2811" s="8" t="str">
        <f>IFERROR(__xludf.DUMMYFUNCTION("""COMPUTED_VALUE"""),"「こんな…使えない部下のでイくなんてありえない…！」
――部長職の榊（さかき）あやめは部下へのあたりが強く、部下の社畜である木村も彼女からのパワハラに悩まされていた。
ある日の残業中、仕事のストレスを角オナで解消するあやめを目撃！
しかも木村の机の角に局部をコリコリ当てている…
その様子をバッチリ撮影し、「この動画どうしようかな～」と語りかけ二人はホテルへ。
裸になっても強がっていたあやめだが、木村のデカいのを挿入れられると簡単に感じてしまい、朝まで何度もイかされた。
その日から会社内でもコッ"&amp;"ソリとセックスするようになり…")</f>
        <v>「こんな…使えない部下のでイくなんてありえない…！」
――部長職の榊（さかき）あやめは部下へのあたりが強く、部下の社畜である木村も彼女からのパワハラに悩まされていた。
ある日の残業中、仕事のストレスを角オナで解消するあやめを目撃！
しかも木村の机の角に局部をコリコリ当てている…
その様子をバッチリ撮影し、「この動画どうしようかな～」と語りかけ二人はホテルへ。
裸になっても強がっていたあやめだが、木村のデカいのを挿入れられると簡単に感じてしまい、朝まで何度もイかされた。
その日から会社内でもコッソリとセックスするようになり…</v>
      </c>
      <c r="W2811" s="14"/>
      <c r="X2811" s="14" t="str">
        <f>IFERROR(__xludf.DUMMYFUNCTION("""COMPUTED_VALUE"""),"有")</f>
        <v>有</v>
      </c>
      <c r="Y2811" s="8" t="str">
        <f>IFERROR(__xludf.DUMMYFUNCTION("""COMPUTED_VALUE"""),"P13まで")</f>
        <v>P13まで</v>
      </c>
      <c r="Z2811" s="7"/>
      <c r="AA2811" s="7"/>
      <c r="AB2811" s="7"/>
    </row>
    <row r="2812" ht="15.75" customHeight="1">
      <c r="A2812" s="26">
        <f>IFERROR(__xludf.DUMMYFUNCTION("""COMPUTED_VALUE"""),4963.0)</f>
        <v>4963</v>
      </c>
      <c r="B2812" s="22" t="str">
        <f>IFERROR(__xludf.DUMMYFUNCTION("""COMPUTED_VALUE"""),"確定")</f>
        <v>確定</v>
      </c>
      <c r="C2812" s="28">
        <f>IFERROR(__xludf.DUMMYFUNCTION("""COMPUTED_VALUE"""),45693.0)</f>
        <v>45693</v>
      </c>
      <c r="D2812" s="28">
        <f>IFERROR(__xludf.DUMMYFUNCTION("""COMPUTED_VALUE"""),45693.0)</f>
        <v>45693</v>
      </c>
      <c r="E2812" s="26">
        <f>IFERROR(__xludf.DUMMYFUNCTION("""COMPUTED_VALUE"""),316789.0)</f>
        <v>316789</v>
      </c>
      <c r="F2812" s="22" t="str">
        <f>IFERROR(__xludf.DUMMYFUNCTION("""COMPUTED_VALUE"""),"俺のストーカーがスパダリだったんだが。")</f>
        <v>俺のストーカーがスパダリだったんだが。</v>
      </c>
      <c r="G2812" s="20" t="str">
        <f>IFERROR(__xludf.DUMMYFUNCTION("""COMPUTED_VALUE"""),"1~3")</f>
        <v>1~3</v>
      </c>
      <c r="H2812" s="22" t="str">
        <f>IFERROR(__xludf.DUMMYFUNCTION("""COMPUTED_VALUE"""),"キサラ")</f>
        <v>キサラ</v>
      </c>
      <c r="I2812" s="22" t="str">
        <f>IFERROR(__xludf.DUMMYFUNCTION("""COMPUTED_VALUE"""),"BLマンガ")</f>
        <v>BLマンガ</v>
      </c>
      <c r="J2812" s="22"/>
      <c r="K2812" s="22"/>
      <c r="L2812" s="22" t="str">
        <f>IFERROR(__xludf.DUMMYFUNCTION("""COMPUTED_VALUE"""),"セ・キララ文庫")</f>
        <v>セ・キララ文庫</v>
      </c>
      <c r="M2812" s="59">
        <f>IFERROR(__xludf.DUMMYFUNCTION("""COMPUTED_VALUE"""),45723.0)</f>
        <v>45723</v>
      </c>
      <c r="N2812" s="23">
        <f>IFERROR(__xludf.DUMMYFUNCTION("""COMPUTED_VALUE"""),45750.0)</f>
        <v>45750</v>
      </c>
      <c r="O2812" s="20"/>
      <c r="P2812" s="32" t="str">
        <f>IFERROR(__xludf.DUMMYFUNCTION("""COMPUTED_VALUE"""),"可")</f>
        <v>可</v>
      </c>
      <c r="Q2812" s="30"/>
      <c r="R2812" s="22"/>
      <c r="S2812" s="22" t="str">
        <f>IFERROR(__xludf.DUMMYFUNCTION("""COMPUTED_VALUE"""),"20250205_ライドオン_俺のストーカーがスパダリだったんだが")</f>
        <v>20250205_ライドオン_俺のストーカーがスパダリだったんだが</v>
      </c>
      <c r="T2812" s="22" t="str">
        <f>IFERROR(__xludf.DUMMYFUNCTION("""COMPUTED_VALUE"""),"格納済み")</f>
        <v>格納済み</v>
      </c>
      <c r="U2812" s="15" t="str">
        <f>IFERROR(__xludf.DUMMYFUNCTION("""COMPUTED_VALUE"""),"Ⓒキサラ/セ・キララ文庫")</f>
        <v>Ⓒキサラ/セ・キララ文庫</v>
      </c>
      <c r="V2812" s="8" t="str">
        <f>IFERROR(__xludf.DUMMYFUNCTION("""COMPUTED_VALUE"""),"恋愛脳で愛され願望の強い牧田だが男を見る目は皆無。
今回もストーカーに悩まされた挙句浮気されたのが原因で彼氏と別れることに。
ある日家にストーカーが侵入しようとしていたのをとっ捕まえてみたら、
その正体は誠実な人柄で周りからの信頼も厚い営業のエース須田だった！？
しかも自分に触れられるだけで初々しい反応をするもんだから欲情した牧田は手を出してしまう。
ストーカーだけど身体の相性は抜群…。
─じゃあ、仮の恋人でいいので普通の恋愛観を教えてくださいよ！
そう言い寄られ仮なら…とチョロ"&amp;"い牧田は承諾してしまい…")</f>
        <v>恋愛脳で愛され願望の強い牧田だが男を見る目は皆無。
今回もストーカーに悩まされた挙句浮気されたのが原因で彼氏と別れることに。
ある日家にストーカーが侵入しようとしていたのをとっ捕まえてみたら、
その正体は誠実な人柄で周りからの信頼も厚い営業のエース須田だった！？
しかも自分に触れられるだけで初々しい反応をするもんだから欲情した牧田は手を出してしまう。
ストーカーだけど身体の相性は抜群…。
─じゃあ、仮の恋人でいいので普通の恋愛観を教えてくださいよ！
そう言い寄られ仮なら…とチョロい牧田は承諾してしまい…</v>
      </c>
      <c r="W2812" s="14"/>
      <c r="X2812" s="14" t="str">
        <f>IFERROR(__xludf.DUMMYFUNCTION("""COMPUTED_VALUE"""),"有")</f>
        <v>有</v>
      </c>
      <c r="Y2812" s="8" t="str">
        <f>IFERROR(__xludf.DUMMYFUNCTION("""COMPUTED_VALUE"""),"2025/4/3まで
・1巻無料
・2巻立ち読み増量(P16まで)")</f>
        <v>2025/4/3まで
・1巻無料
・2巻立ち読み増量(P16まで)</v>
      </c>
      <c r="Z2812" s="7"/>
      <c r="AA2812" s="7"/>
      <c r="AB2812" s="7"/>
    </row>
    <row r="2813" ht="15.75" customHeight="1">
      <c r="A2813" s="171">
        <f>IFERROR(__xludf.DUMMYFUNCTION("""COMPUTED_VALUE"""),3907.0)</f>
        <v>3907</v>
      </c>
      <c r="B2813" s="172" t="str">
        <f>IFERROR(__xludf.DUMMYFUNCTION("""COMPUTED_VALUE"""),"確定")</f>
        <v>確定</v>
      </c>
      <c r="C2813" s="173">
        <f>IFERROR(__xludf.DUMMYFUNCTION("""COMPUTED_VALUE"""),45505.0)</f>
        <v>45505</v>
      </c>
      <c r="D2813" s="173">
        <f>IFERROR(__xludf.DUMMYFUNCTION("""COMPUTED_VALUE"""),45695.0)</f>
        <v>45695</v>
      </c>
      <c r="E2813" s="174">
        <f>IFERROR(__xludf.DUMMYFUNCTION("""COMPUTED_VALUE"""),315417.0)</f>
        <v>315417</v>
      </c>
      <c r="F2813" s="175" t="str">
        <f>IFERROR(__xludf.DUMMYFUNCTION("""COMPUTED_VALUE"""),"追放薬師アメリー ～婚約破棄されたら、ウワサの残虐王子と溺愛ルートに入りました！？～ 【連載版】")</f>
        <v>追放薬師アメリー ～婚約破棄されたら、ウワサの残虐王子と溺愛ルートに入りました！？～ 【連載版】</v>
      </c>
      <c r="G2813" s="172" t="str">
        <f>IFERROR(__xludf.DUMMYFUNCTION("""COMPUTED_VALUE"""),"1～3")</f>
        <v>1～3</v>
      </c>
      <c r="H2813" s="172" t="str">
        <f>IFERROR(__xludf.DUMMYFUNCTION("""COMPUTED_VALUE"""),"原作：末松樹 作画：はんそで")</f>
        <v>原作：末松樹 作画：はんそで</v>
      </c>
      <c r="I2813" s="172" t="str">
        <f>IFERROR(__xludf.DUMMYFUNCTION("""COMPUTED_VALUE"""),"少女")</f>
        <v>少女</v>
      </c>
      <c r="J2813" s="176"/>
      <c r="K2813" s="172" t="str">
        <f>IFERROR(__xludf.DUMMYFUNCTION("""COMPUTED_VALUE"""),"comic LAKE")</f>
        <v>comic LAKE</v>
      </c>
      <c r="L2813" s="172" t="str">
        <f>IFERROR(__xludf.DUMMYFUNCTION("""COMPUTED_VALUE"""),"一迅社")</f>
        <v>一迅社</v>
      </c>
      <c r="M2813" s="59">
        <f>IFERROR(__xludf.DUMMYFUNCTION("""COMPUTED_VALUE"""),45733.0)</f>
        <v>45733</v>
      </c>
      <c r="N2813" s="23">
        <f>IFERROR(__xludf.DUMMYFUNCTION("""COMPUTED_VALUE"""),45763.0)</f>
        <v>45763</v>
      </c>
      <c r="O2813" s="172"/>
      <c r="P2813" s="177" t="str">
        <f>IFERROR(__xludf.DUMMYFUNCTION("""COMPUTED_VALUE"""),"可")</f>
        <v>可</v>
      </c>
      <c r="Q2813" s="172"/>
      <c r="R2813" s="172" t="str">
        <f>IFERROR(__xludf.DUMMYFUNCTION("""COMPUTED_VALUE"""),"コミットOK")</f>
        <v>コミットOK</v>
      </c>
      <c r="S2813" s="172" t="str">
        <f>IFERROR(__xludf.DUMMYFUNCTION("""COMPUTED_VALUE"""),"20250206_一迅社_追放薬師アメリー ～婚約破棄されたら、ウワサの残虐王子と溺愛ルートに入りました！？～ 【連載版】")</f>
        <v>20250206_一迅社_追放薬師アメリー ～婚約破棄されたら、ウワサの残虐王子と溺愛ルートに入りました！？～ 【連載版】</v>
      </c>
      <c r="T2813" s="152" t="str">
        <f>IFERROR(__xludf.DUMMYFUNCTION("""COMPUTED_VALUE"""),"格納済み")</f>
        <v>格納済み</v>
      </c>
      <c r="U2813" s="15" t="str">
        <f>IFERROR(__xludf.DUMMYFUNCTION("""COMPUTED_VALUE"""),"Ⓒ末松樹・はんそで／一迅社")</f>
        <v>Ⓒ末松樹・はんそで／一迅社</v>
      </c>
      <c r="V2813" s="8" t="str">
        <f>IFERROR(__xludf.DUMMYFUNCTION("""COMPUTED_VALUE"""),"婚約者・ブレーズの理不尽に耐えながら、身を粉にして働いている王宮治癒院の薬師アメリー。患者の笑顔のために我慢をしていた彼女だが、ついに婚約破棄を言い渡され、王宮治癒院から追放されてしまう。行き場を失ったアメリーは迷い込んだ森の中で隣国の“残虐王子”と遭遇し──？「私には、君が必要なんだ」残虐王子×追放令嬢、訳アリ同士の医療改革溺愛記！？　【本商品は単話コンテンツとなります。単行本版と収録内容が異なる場合がございます。漫画内の告知等は過去のものとなりますので、ご注意ください。】")</f>
        <v>婚約者・ブレーズの理不尽に耐えながら、身を粉にして働いている王宮治癒院の薬師アメリー。患者の笑顔のために我慢をしていた彼女だが、ついに婚約破棄を言い渡され、王宮治癒院から追放されてしまう。行き場を失ったアメリーは迷い込んだ森の中で隣国の“残虐王子”と遭遇し──？「私には、君が必要なんだ」残虐王子×追放令嬢、訳アリ同士の医療改革溺愛記！？　【本商品は単話コンテンツとなります。単行本版と収録内容が異なる場合がございます。漫画内の告知等は過去のものとなりますので、ご注意ください。】</v>
      </c>
      <c r="W2813" s="14"/>
      <c r="X2813" s="14" t="str">
        <f>IFERROR(__xludf.DUMMYFUNCTION("""COMPUTED_VALUE"""),"有")</f>
        <v>有</v>
      </c>
      <c r="Y2813" s="8" t="str">
        <f>IFERROR(__xludf.DUMMYFUNCTION("""COMPUTED_VALUE"""),"2025/4/16まで1巻無料")</f>
        <v>2025/4/16まで1巻無料</v>
      </c>
      <c r="Z2813" s="7"/>
      <c r="AA2813" s="7"/>
      <c r="AB2813" s="7"/>
    </row>
    <row r="2814" ht="15.75" customHeight="1">
      <c r="A2814" s="171">
        <f>IFERROR(__xludf.DUMMYFUNCTION("""COMPUTED_VALUE"""),3988.0)</f>
        <v>3988</v>
      </c>
      <c r="B2814" s="172" t="str">
        <f>IFERROR(__xludf.DUMMYFUNCTION("""COMPUTED_VALUE"""),"確定")</f>
        <v>確定</v>
      </c>
      <c r="C2814" s="173">
        <f>IFERROR(__xludf.DUMMYFUNCTION("""COMPUTED_VALUE"""),45523.0)</f>
        <v>45523</v>
      </c>
      <c r="D2814" s="173">
        <f>IFERROR(__xludf.DUMMYFUNCTION("""COMPUTED_VALUE"""),45695.0)</f>
        <v>45695</v>
      </c>
      <c r="E2814" s="174">
        <f>IFERROR(__xludf.DUMMYFUNCTION("""COMPUTED_VALUE"""),316772.0)</f>
        <v>316772</v>
      </c>
      <c r="F2814" s="175" t="str">
        <f>IFERROR(__xludf.DUMMYFUNCTION("""COMPUTED_VALUE"""),"【単話版】天稟")</f>
        <v>【単話版】天稟</v>
      </c>
      <c r="G2814" s="172" t="str">
        <f>IFERROR(__xludf.DUMMYFUNCTION("""COMPUTED_VALUE"""),"1～3")</f>
        <v>1～3</v>
      </c>
      <c r="H2814" s="172" t="str">
        <f>IFERROR(__xludf.DUMMYFUNCTION("""COMPUTED_VALUE"""),"たかせ りえ")</f>
        <v>たかせ りえ</v>
      </c>
      <c r="I2814" s="172" t="str">
        <f>IFERROR(__xludf.DUMMYFUNCTION("""COMPUTED_VALUE"""),"BL")</f>
        <v>BL</v>
      </c>
      <c r="J2814" s="176"/>
      <c r="K2814" s="172" t="str">
        <f>IFERROR(__xludf.DUMMYFUNCTION("""COMPUTED_VALUE"""),"C-KANATA")</f>
        <v>C-KANATA</v>
      </c>
      <c r="L2814" s="172" t="str">
        <f>IFERROR(__xludf.DUMMYFUNCTION("""COMPUTED_VALUE"""),"新潮社")</f>
        <v>新潮社</v>
      </c>
      <c r="M2814" s="59">
        <f>IFERROR(__xludf.DUMMYFUNCTION("""COMPUTED_VALUE"""),45731.0)</f>
        <v>45731</v>
      </c>
      <c r="N2814" s="170">
        <f>IFERROR(__xludf.DUMMYFUNCTION("""COMPUTED_VALUE"""),45961.66666666667)</f>
        <v>45961.66667</v>
      </c>
      <c r="O2814" s="172"/>
      <c r="P2814" s="178" t="str">
        <f>IFERROR(__xludf.DUMMYFUNCTION("""COMPUTED_VALUE"""),"可")</f>
        <v>可</v>
      </c>
      <c r="Q2814" s="172" t="str">
        <f>IFERROR(__xludf.DUMMYFUNCTION("""COMPUTED_VALUE"""),"・第1話前・後編、第2話前編で1～3巻配信&lt;BR&gt;・初回配信時は1巻無料予定&lt;BR&gt;※コピーライトについて&lt;BR&gt;「(C)たかせ りえ／新潮社」のように姓と名の間は半角スペースが入る形での表記をお願いいたします。")</f>
        <v>・第1話前・後編、第2話前編で1～3巻配信&lt;BR&gt;・初回配信時は1巻無料予定&lt;BR&gt;※コピーライトについて&lt;BR&gt;「(C)たかせ りえ／新潮社」のように姓と名の間は半角スペースが入る形での表記をお願いいたします。</v>
      </c>
      <c r="R2814" s="172" t="str">
        <f>IFERROR(__xludf.DUMMYFUNCTION("""COMPUTED_VALUE"""),"コミットOK")</f>
        <v>コミットOK</v>
      </c>
      <c r="S2814" s="172" t="str">
        <f>IFERROR(__xludf.DUMMYFUNCTION("""COMPUTED_VALUE"""),"20250206_新潮社_天稟")</f>
        <v>20250206_新潮社_天稟</v>
      </c>
      <c r="T2814" s="152" t="str">
        <f>IFERROR(__xludf.DUMMYFUNCTION("""COMPUTED_VALUE"""),"格納済み")</f>
        <v>格納済み</v>
      </c>
      <c r="U2814" s="15" t="str">
        <f>IFERROR(__xludf.DUMMYFUNCTION("""COMPUTED_VALUE"""),"Ⓒたかせ りえ／新潮社")</f>
        <v>Ⓒたかせ りえ／新潮社</v>
      </c>
      <c r="V2814" s="8" t="str">
        <f>IFERROR(__xludf.DUMMYFUNCTION("""COMPUTED_VALUE"""),"江戸・天保年間、三河吉田藩藩士・祖父江甚介は切腹介錯人の鬼貫大膳と運命的な出会いをする――。そこから始まる血と愛に彩られた物語……史上初本格時代BL、ここに誕生！")</f>
        <v>江戸・天保年間、三河吉田藩藩士・祖父江甚介は切腹介錯人の鬼貫大膳と運命的な出会いをする――。そこから始まる血と愛に彩られた物語……史上初本格時代BL、ここに誕生！</v>
      </c>
      <c r="W2814" s="14"/>
      <c r="X2814" s="14" t="str">
        <f>IFERROR(__xludf.DUMMYFUNCTION("""COMPUTED_VALUE"""),"有")</f>
        <v>有</v>
      </c>
      <c r="Y2814" s="8" t="str">
        <f>IFERROR(__xludf.DUMMYFUNCTION("""COMPUTED_VALUE"""),"P5まで")</f>
        <v>P5まで</v>
      </c>
      <c r="Z2814" s="7"/>
      <c r="AA2814" s="7"/>
      <c r="AB2814" s="7"/>
    </row>
    <row r="2815" ht="15.75" customHeight="1">
      <c r="A2815" s="171">
        <f>IFERROR(__xludf.DUMMYFUNCTION("""COMPUTED_VALUE"""),4090.0)</f>
        <v>4090</v>
      </c>
      <c r="B2815" s="172" t="str">
        <f>IFERROR(__xludf.DUMMYFUNCTION("""COMPUTED_VALUE"""),"確定")</f>
        <v>確定</v>
      </c>
      <c r="C2815" s="173">
        <f>IFERROR(__xludf.DUMMYFUNCTION("""COMPUTED_VALUE"""),45539.0)</f>
        <v>45539</v>
      </c>
      <c r="D2815" s="173">
        <f>IFERROR(__xludf.DUMMYFUNCTION("""COMPUTED_VALUE"""),45694.0)</f>
        <v>45694</v>
      </c>
      <c r="E2815" s="174">
        <f>IFERROR(__xludf.DUMMYFUNCTION("""COMPUTED_VALUE"""),316632.0)</f>
        <v>316632</v>
      </c>
      <c r="F2815" s="175" t="str">
        <f>IFERROR(__xludf.DUMMYFUNCTION("""COMPUTED_VALUE"""),"あと6日で滅びる崖っぷち国家のハーレムに召喚されてしまった【単話】")</f>
        <v>あと6日で滅びる崖っぷち国家のハーレムに召喚されてしまった【単話】</v>
      </c>
      <c r="G2815" s="172" t="str">
        <f>IFERROR(__xludf.DUMMYFUNCTION("""COMPUTED_VALUE"""),"1～3")</f>
        <v>1～3</v>
      </c>
      <c r="H2815" s="172" t="str">
        <f>IFERROR(__xludf.DUMMYFUNCTION("""COMPUTED_VALUE"""),"ｋｔ６０┴赤城慧")</f>
        <v>ｋｔ６０┴赤城慧</v>
      </c>
      <c r="I2815" s="172" t="str">
        <f>IFERROR(__xludf.DUMMYFUNCTION("""COMPUTED_VALUE"""),"青年")</f>
        <v>青年</v>
      </c>
      <c r="J2815" s="176"/>
      <c r="K2815" s="176"/>
      <c r="L2815" s="172" t="str">
        <f>IFERROR(__xludf.DUMMYFUNCTION("""COMPUTED_VALUE"""),"小学館")</f>
        <v>小学館</v>
      </c>
      <c r="M2815" s="59">
        <f>IFERROR(__xludf.DUMMYFUNCTION("""COMPUTED_VALUE"""),45719.0)</f>
        <v>45719</v>
      </c>
      <c r="N2815" s="59">
        <f>IFERROR(__xludf.DUMMYFUNCTION("""COMPUTED_VALUE"""),45778.0)</f>
        <v>45778</v>
      </c>
      <c r="O2815" s="172"/>
      <c r="P2815" s="178" t="str">
        <f>IFERROR(__xludf.DUMMYFUNCTION("""COMPUTED_VALUE"""),"可")</f>
        <v>可</v>
      </c>
      <c r="Q2815" s="172" t="str">
        <f>IFERROR(__xludf.DUMMYFUNCTION("""COMPUTED_VALUE"""),"初回配信3話ですが、現状2話までのデータしかないためこちらで制作お願い致します")</f>
        <v>初回配信3話ですが、現状2話までのデータしかないためこちらで制作お願い致します</v>
      </c>
      <c r="R2815" s="172" t="str">
        <f>IFERROR(__xludf.DUMMYFUNCTION("""COMPUTED_VALUE"""),"コミットOK")</f>
        <v>コミットOK</v>
      </c>
      <c r="S2815" s="172" t="str">
        <f>IFERROR(__xludf.DUMMYFUNCTION("""COMPUTED_VALUE"""),"20250206_小学館_あと6日で滅びる崖っぷち国家のハーレムに召喚されてしまった【単話】")</f>
        <v>20250206_小学館_あと6日で滅びる崖っぷち国家のハーレムに召喚されてしまった【単話】</v>
      </c>
      <c r="T2815" s="152" t="str">
        <f>IFERROR(__xludf.DUMMYFUNCTION("""COMPUTED_VALUE"""),"格納済み")</f>
        <v>格納済み</v>
      </c>
      <c r="U2815" s="15" t="str">
        <f>IFERROR(__xludf.DUMMYFUNCTION("""COMPUTED_VALUE"""),"Ⓒｋｔ６０・赤城慧 / 小学館")</f>
        <v>Ⓒｋｔ６０・赤城慧 / 小学館</v>
      </c>
      <c r="V2815" s="8" t="str">
        <f>IFERROR(__xludf.DUMMYFUNCTION("""COMPUTED_VALUE"""),"不幸にも20歳で病死してしまった青年・オウタ。
死ぬまでに一度でも女の子とイチャイチャしてみたかった！
そんな強い未練を残した彼は、美女だらけの異世界ハーレムに転生してしまう。
エッチすればするほどレベルが上がり、相手のスキルをコピーできる！
そんな特殊スキル「性の皇帝」を身につけたオウタに迫りくる
様々な職業・種族のヒロインたち。
まさに夢のような状況…かと思いきや、
この王国、あと6日で滅びることが確定しており…
レアスキルを身につけ、レベルをアップし、
迫りくる破滅を切"&amp;"り抜けろ！
エロティックファンタジー最新作！")</f>
        <v>不幸にも20歳で病死してしまった青年・オウタ。
死ぬまでに一度でも女の子とイチャイチャしてみたかった！
そんな強い未練を残した彼は、美女だらけの異世界ハーレムに転生してしまう。
エッチすればするほどレベルが上がり、相手のスキルをコピーできる！
そんな特殊スキル「性の皇帝」を身につけたオウタに迫りくる
様々な職業・種族のヒロインたち。
まさに夢のような状況…かと思いきや、
この王国、あと6日で滅びることが確定しており…
レアスキルを身につけ、レベルをアップし、
迫りくる破滅を切り抜けろ！
エロティックファンタジー最新作！</v>
      </c>
      <c r="W2815" s="14"/>
      <c r="X2815" s="14" t="str">
        <f>IFERROR(__xludf.DUMMYFUNCTION("""COMPUTED_VALUE"""),"有")</f>
        <v>有</v>
      </c>
      <c r="Y2815" s="8" t="str">
        <f>IFERROR(__xludf.DUMMYFUNCTION("""COMPUTED_VALUE"""),"2025/5/1まで1巻無料")</f>
        <v>2025/5/1まで1巻無料</v>
      </c>
      <c r="Z2815" s="7"/>
      <c r="AA2815" s="7"/>
      <c r="AB2815" s="7"/>
    </row>
    <row r="2816" ht="15.75" customHeight="1">
      <c r="A2816" s="171">
        <f>IFERROR(__xludf.DUMMYFUNCTION("""COMPUTED_VALUE"""),4209.0)</f>
        <v>4209</v>
      </c>
      <c r="B2816" s="172" t="str">
        <f>IFERROR(__xludf.DUMMYFUNCTION("""COMPUTED_VALUE"""),"確定")</f>
        <v>確定</v>
      </c>
      <c r="C2816" s="173">
        <f>IFERROR(__xludf.DUMMYFUNCTION("""COMPUTED_VALUE"""),45565.0)</f>
        <v>45565</v>
      </c>
      <c r="D2816" s="173">
        <f>IFERROR(__xludf.DUMMYFUNCTION("""COMPUTED_VALUE"""),45693.0)</f>
        <v>45693</v>
      </c>
      <c r="E2816" s="174">
        <f>IFERROR(__xludf.DUMMYFUNCTION("""COMPUTED_VALUE"""),315433.0)</f>
        <v>315433</v>
      </c>
      <c r="F2816" s="175" t="str">
        <f>IFERROR(__xludf.DUMMYFUNCTION("""COMPUTED_VALUE"""),"【単話版】肥満令嬢は細くなり、後は傾国の美女（物理）として生きるのみ@COMIC")</f>
        <v>【単話版】肥満令嬢は細くなり、後は傾国の美女（物理）として生きるのみ@COMIC</v>
      </c>
      <c r="G2816" s="172" t="str">
        <f>IFERROR(__xludf.DUMMYFUNCTION("""COMPUTED_VALUE"""),"1～3")</f>
        <v>1～3</v>
      </c>
      <c r="H2816" s="172" t="str">
        <f>IFERROR(__xludf.DUMMYFUNCTION("""COMPUTED_VALUE"""),"宇斗リクツ/八針来夏/輝竜司")</f>
        <v>宇斗リクツ/八針来夏/輝竜司</v>
      </c>
      <c r="I2816" s="172" t="str">
        <f>IFERROR(__xludf.DUMMYFUNCTION("""COMPUTED_VALUE"""),"少年")</f>
        <v>少年</v>
      </c>
      <c r="J2816" s="176"/>
      <c r="K2816" s="176"/>
      <c r="L2816" s="172" t="str">
        <f>IFERROR(__xludf.DUMMYFUNCTION("""COMPUTED_VALUE"""),"TOブックス")</f>
        <v>TOブックス</v>
      </c>
      <c r="M2816" s="59">
        <f>IFERROR(__xludf.DUMMYFUNCTION("""COMPUTED_VALUE"""),45717.0)</f>
        <v>45717</v>
      </c>
      <c r="N2816" s="23">
        <f>IFERROR(__xludf.DUMMYFUNCTION("""COMPUTED_VALUE"""),45777.0)</f>
        <v>45777</v>
      </c>
      <c r="O2816" s="172"/>
      <c r="P2816" s="177" t="str">
        <f>IFERROR(__xludf.DUMMYFUNCTION("""COMPUTED_VALUE"""),"否")</f>
        <v>否</v>
      </c>
      <c r="Q2816" s="172"/>
      <c r="R2816" s="172" t="str">
        <f>IFERROR(__xludf.DUMMYFUNCTION("""COMPUTED_VALUE"""),"コミットOK")</f>
        <v>コミットOK</v>
      </c>
      <c r="S2816" s="172" t="str">
        <f>IFERROR(__xludf.DUMMYFUNCTION("""COMPUTED_VALUE"""),"【単話版】肥満令嬢は細くなり、後は傾国の美女（物理）として生きるのみ@COMIC")</f>
        <v>【単話版】肥満令嬢は細くなり、後は傾国の美女（物理）として生きるのみ@COMIC</v>
      </c>
      <c r="T2816" s="152" t="str">
        <f>IFERROR(__xludf.DUMMYFUNCTION("""COMPUTED_VALUE"""),"格納済み")</f>
        <v>格納済み</v>
      </c>
      <c r="U2816" s="15" t="str">
        <f>IFERROR(__xludf.DUMMYFUNCTION("""COMPUTED_VALUE"""),"ⒸRikutsu Uto / hatibari kitaka")</f>
        <v>ⒸRikutsu Uto / hatibari kitaka</v>
      </c>
      <c r="V2816" s="8" t="str">
        <f>IFERROR(__xludf.DUMMYFUNCTION("""COMPUTED_VALUE"""),"美貌を頼る気まるでなし。
正面きって国を倒す美女の痛快英雄伝！
帝国が領土拡張を図る乱世。大軍勢に一人対峙する絶世の美女がいた。
黄金の艶髪。括れた細腰。
――名をローズメイ＝ダークサント。
その正体は、かつて太った容姿と王国最強の武勇で名を轟かせた「醜女将軍」。
婚約者に嫌われ命を散らしたにもかかわらず、神の気まぐれで蘇った伝説の女武人であった！
何もかも失った彼女を突き動かしたのは、その誇りのみ。
「たかだか一度死んだ程度で、弱き者を守る生き方が変わると思ったか？」
その志はなら"&amp;"ず者や敵将の心さえも打ち、配下に志願する者も現れる。
やがて噂が噂を呼び、祖国の仇の帝国にも目をつけられることになり――？
美貌を頼る気まるでなし。正面きって国を倒す美女の痛快英雄伝開幕！")</f>
        <v>美貌を頼る気まるでなし。
正面きって国を倒す美女の痛快英雄伝！
帝国が領土拡張を図る乱世。大軍勢に一人対峙する絶世の美女がいた。
黄金の艶髪。括れた細腰。
――名をローズメイ＝ダークサント。
その正体は、かつて太った容姿と王国最強の武勇で名を轟かせた「醜女将軍」。
婚約者に嫌われ命を散らしたにもかかわらず、神の気まぐれで蘇った伝説の女武人であった！
何もかも失った彼女を突き動かしたのは、その誇りのみ。
「たかだか一度死んだ程度で、弱き者を守る生き方が変わると思ったか？」
その志はならず者や敵将の心さえも打ち、配下に志願する者も現れる。
やがて噂が噂を呼び、祖国の仇の帝国にも目をつけられることになり――？
美貌を頼る気まるでなし。正面きって国を倒す美女の痛快英雄伝開幕！</v>
      </c>
      <c r="W2816" s="14"/>
      <c r="X2816" s="14" t="str">
        <f>IFERROR(__xludf.DUMMYFUNCTION("""COMPUTED_VALUE"""),"有")</f>
        <v>有</v>
      </c>
      <c r="Y2816" s="8" t="str">
        <f>IFERROR(__xludf.DUMMYFUNCTION("""COMPUTED_VALUE"""),"2025/3/7まで1巻無料")</f>
        <v>2025/3/7まで1巻無料</v>
      </c>
      <c r="Z2816" s="7"/>
      <c r="AA2816" s="7"/>
      <c r="AB2816" s="7"/>
    </row>
    <row r="2817" ht="15.75" customHeight="1">
      <c r="A2817" s="171">
        <f>IFERROR(__xludf.DUMMYFUNCTION("""COMPUTED_VALUE"""),4734.0)</f>
        <v>4734</v>
      </c>
      <c r="B2817" s="172" t="str">
        <f>IFERROR(__xludf.DUMMYFUNCTION("""COMPUTED_VALUE"""),"確定")</f>
        <v>確定</v>
      </c>
      <c r="C2817" s="173">
        <f>IFERROR(__xludf.DUMMYFUNCTION("""COMPUTED_VALUE"""),45653.0)</f>
        <v>45653</v>
      </c>
      <c r="D2817" s="173">
        <f>IFERROR(__xludf.DUMMYFUNCTION("""COMPUTED_VALUE"""),45700.0)</f>
        <v>45700</v>
      </c>
      <c r="E2817" s="174">
        <f>IFERROR(__xludf.DUMMYFUNCTION("""COMPUTED_VALUE"""),317317.0)</f>
        <v>317317</v>
      </c>
      <c r="F2817" s="175" t="str">
        <f>IFERROR(__xludf.DUMMYFUNCTION("""COMPUTED_VALUE"""),"チェイサーゲームW【分冊版】")</f>
        <v>チェイサーゲームW【分冊版】</v>
      </c>
      <c r="G2817" s="172" t="str">
        <f>IFERROR(__xludf.DUMMYFUNCTION("""COMPUTED_VALUE"""),"1～3")</f>
        <v>1～3</v>
      </c>
      <c r="H2817" s="172" t="str">
        <f>IFERROR(__xludf.DUMMYFUNCTION("""COMPUTED_VALUE"""),"松山洋 保坂星耀 晴十ナツメグ")</f>
        <v>松山洋 保坂星耀 晴十ナツメグ</v>
      </c>
      <c r="I2817" s="172" t="str">
        <f>IFERROR(__xludf.DUMMYFUNCTION("""COMPUTED_VALUE"""),"女性")</f>
        <v>女性</v>
      </c>
      <c r="J2817" s="176"/>
      <c r="K2817" s="176"/>
      <c r="L2817" s="172" t="str">
        <f>IFERROR(__xludf.DUMMYFUNCTION("""COMPUTED_VALUE"""),"ナンバーナイン")</f>
        <v>ナンバーナイン</v>
      </c>
      <c r="M2817" s="59">
        <f>IFERROR(__xludf.DUMMYFUNCTION("""COMPUTED_VALUE"""),45729.0)</f>
        <v>45729</v>
      </c>
      <c r="N2817" s="59">
        <f>IFERROR(__xludf.DUMMYFUNCTION("""COMPUTED_VALUE"""),45820.0)</f>
        <v>45820</v>
      </c>
      <c r="O2817" s="172"/>
      <c r="P2817" s="178" t="str">
        <f>IFERROR(__xludf.DUMMYFUNCTION("""COMPUTED_VALUE"""),"可")</f>
        <v>可</v>
      </c>
      <c r="Q2817" s="179" t="str">
        <f>IFERROR(__xludf.DUMMYFUNCTION("""COMPUTED_VALUE"""),"ドラマのコミカライズ作品で、本作品のシーモア先行については、広告コミット確約可否に関わらず既に確定しています。&lt;BR&gt;（1月7日のドラマ最終回にあわせて、本作品のコミカライズ発表時に、シーモア先行配信も併せてリリース済：https://www.cc2.co.jp/manga/cgw/index.html）&lt;BR&gt;全64話を隔週木曜日連載予定で、ドラマも女性支持が高かったとのことで、是非広告出稿についてもご検討をお願いします！&lt;BR&gt;・確定素材見にくく申し訳ございません。&lt;BR&gt; 下記のフォルダよりご参照く"&amp;"ださい&lt;BR&gt;⇒完成版原稿データ")</f>
        <v>ドラマのコミカライズ作品で、本作品のシーモア先行については、広告コミット確約可否に関わらず既に確定しています。&lt;BR&gt;（1月7日のドラマ最終回にあわせて、本作品のコミカライズ発表時に、シーモア先行配信も併せてリリース済：https://www.cc2.co.jp/manga/cgw/index.html）&lt;BR&gt;全64話を隔週木曜日連載予定で、ドラマも女性支持が高かったとのことで、是非広告出稿についてもご検討をお願いします！&lt;BR&gt;・確定素材見にくく申し訳ございません。&lt;BR&gt; 下記のフォルダよりご参照ください&lt;BR&gt;⇒完成版原稿データ</v>
      </c>
      <c r="R2817" s="172"/>
      <c r="S2817" s="172" t="str">
        <f>IFERROR(__xludf.DUMMYFUNCTION("""COMPUTED_VALUE"""),"20250207_ナンバーナイン_チェイサーゲームW")</f>
        <v>20250207_ナンバーナイン_チェイサーゲームW</v>
      </c>
      <c r="T2817" s="152" t="str">
        <f>IFERROR(__xludf.DUMMYFUNCTION("""COMPUTED_VALUE"""),"格納済み")</f>
        <v>格納済み</v>
      </c>
      <c r="U2817" s="15" t="str">
        <f>IFERROR(__xludf.DUMMYFUNCTION("""COMPUTED_VALUE"""),"『チェイサーゲームW【分冊版】』©︎「チェイサーゲームW」製作委員会 ©︎CyberConnect2 Co., Ltd. ©︎Hiroshi Matsuyama")</f>
        <v>『チェイサーゲームW【分冊版】』©︎「チェイサーゲームW」製作委員会 ©︎CyberConnect2 Co., Ltd. ©︎Hiroshi Matsuyama</v>
      </c>
      <c r="V2817" s="8" t="str">
        <f>IFERROR(__xludf.DUMMYFUNCTION("""COMPUTED_VALUE"""),"テレビ東京系列にて放送された大人気ドラマ『チェイサーゲームW』がついに公式コミカライズ化！
ドラマのストーリーを中心に、オリジナルストーリーが満載！
あなたの知らない、樹と冬雨の物語がここにー。
女性同士の恋愛を描く”復讐愛憎劇”ーー。
〈あらすじ〉
日本有数のゲーム開発会社「ダイナミック・ドリーム」で働く主人公・春本樹は、
大人気作品のゲームプロジェクトリーダーに任命され、やる気に満ちあふれていた。
しかし、クライアントの責任者として現れたのは大学時代の元恋人でーー？")</f>
        <v>テレビ東京系列にて放送された大人気ドラマ『チェイサーゲームW』がついに公式コミカライズ化！
ドラマのストーリーを中心に、オリジナルストーリーが満載！
あなたの知らない、樹と冬雨の物語がここにー。
女性同士の恋愛を描く”復讐愛憎劇”ーー。
〈あらすじ〉
日本有数のゲーム開発会社「ダイナミック・ドリーム」で働く主人公・春本樹は、
大人気作品のゲームプロジェクトリーダーに任命され、やる気に満ちあふれていた。
しかし、クライアントの責任者として現れたのは大学時代の元恋人でーー？</v>
      </c>
      <c r="W2817" s="14"/>
      <c r="X2817" s="14" t="str">
        <f>IFERROR(__xludf.DUMMYFUNCTION("""COMPUTED_VALUE"""),"有")</f>
        <v>有</v>
      </c>
      <c r="Y2817" s="8" t="str">
        <f>IFERROR(__xludf.DUMMYFUNCTION("""COMPUTED_VALUE"""),"1巻無料")</f>
        <v>1巻無料</v>
      </c>
      <c r="Z2817" s="7"/>
      <c r="AA2817" s="7"/>
      <c r="AB2817" s="7"/>
    </row>
    <row r="2818" ht="15.75" customHeight="1">
      <c r="A2818" s="171">
        <f>IFERROR(__xludf.DUMMYFUNCTION("""COMPUTED_VALUE"""),4792.0)</f>
        <v>4792</v>
      </c>
      <c r="B2818" s="172" t="str">
        <f>IFERROR(__xludf.DUMMYFUNCTION("""COMPUTED_VALUE"""),"確定")</f>
        <v>確定</v>
      </c>
      <c r="C2818" s="173">
        <f>IFERROR(__xludf.DUMMYFUNCTION("""COMPUTED_VALUE"""),45671.0)</f>
        <v>45671</v>
      </c>
      <c r="D2818" s="173">
        <f>IFERROR(__xludf.DUMMYFUNCTION("""COMPUTED_VALUE"""),45695.0)</f>
        <v>45695</v>
      </c>
      <c r="E2818" s="174">
        <f>IFERROR(__xludf.DUMMYFUNCTION("""COMPUTED_VALUE"""),316685.0)</f>
        <v>316685</v>
      </c>
      <c r="F2818" s="175" t="str">
        <f>IFERROR(__xludf.DUMMYFUNCTION("""COMPUTED_VALUE"""),"ともだちとは普通エッチしないんだよ？-恥ずかしがり屋のゲーマー女子とえっちな罰ゲーム-")</f>
        <v>ともだちとは普通エッチしないんだよ？-恥ずかしがり屋のゲーマー女子とえっちな罰ゲーム-</v>
      </c>
      <c r="G2818" s="172" t="str">
        <f>IFERROR(__xludf.DUMMYFUNCTION("""COMPUTED_VALUE"""),"1～2")</f>
        <v>1～2</v>
      </c>
      <c r="H2818" s="172" t="str">
        <f>IFERROR(__xludf.DUMMYFUNCTION("""COMPUTED_VALUE"""),"鶸介")</f>
        <v>鶸介</v>
      </c>
      <c r="I2818" s="172" t="str">
        <f>IFERROR(__xludf.DUMMYFUNCTION("""COMPUTED_VALUE"""),"アダルトマンガ")</f>
        <v>アダルトマンガ</v>
      </c>
      <c r="J2818" s="176"/>
      <c r="K2818" s="176"/>
      <c r="L2818" s="172" t="str">
        <f>IFERROR(__xludf.DUMMYFUNCTION("""COMPUTED_VALUE"""),"キャスコミ")</f>
        <v>キャスコミ</v>
      </c>
      <c r="M2818" s="59">
        <f>IFERROR(__xludf.DUMMYFUNCTION("""COMPUTED_VALUE"""),45724.0)</f>
        <v>45724</v>
      </c>
      <c r="N2818" s="59">
        <f>IFERROR(__xludf.DUMMYFUNCTION("""COMPUTED_VALUE"""),45779.0)</f>
        <v>45779</v>
      </c>
      <c r="O2818" s="172"/>
      <c r="P2818" s="178" t="str">
        <f>IFERROR(__xludf.DUMMYFUNCTION("""COMPUTED_VALUE"""),"可")</f>
        <v>可</v>
      </c>
      <c r="Q2818" s="172" t="str">
        <f>IFERROR(__xludf.DUMMYFUNCTION("""COMPUTED_VALUE"""),"3,4話の続刊素材も格納しております。&lt;BR&gt;よろしくお願いいたします。&lt;BR&gt;配信スケジュール：&lt;BR&gt;1、2巻：2025/03/08 ～ 2025/05/02&lt;BR&gt;3巻：2025/04/05 ～ 2025/06/06&lt;BR&gt;4巻：2025/05/03 ～ 2025/07/04")</f>
        <v>3,4話の続刊素材も格納しております。&lt;BR&gt;よろしくお願いいたします。&lt;BR&gt;配信スケジュール：&lt;BR&gt;1、2巻：2025/03/08 ～ 2025/05/02&lt;BR&gt;3巻：2025/04/05 ～ 2025/06/06&lt;BR&gt;4巻：2025/05/03 ～ 2025/07/04</v>
      </c>
      <c r="R2818" s="172" t="str">
        <f>IFERROR(__xludf.DUMMYFUNCTION("""COMPUTED_VALUE"""),"コミットOK")</f>
        <v>コミットOK</v>
      </c>
      <c r="S2818" s="172" t="str">
        <f>IFERROR(__xludf.DUMMYFUNCTION("""COMPUTED_VALUE"""),"20250109_キャスコミ_ともだちとは普通エッチしないんだよ？-恥ずかしがり屋のゲーマー女子とえっちな罰ゲーム-")</f>
        <v>20250109_キャスコミ_ともだちとは普通エッチしないんだよ？-恥ずかしがり屋のゲーマー女子とえっちな罰ゲーム-</v>
      </c>
      <c r="T2818" s="172" t="str">
        <f>IFERROR(__xludf.DUMMYFUNCTION("""COMPUTED_VALUE"""),"格納済み")</f>
        <v>格納済み</v>
      </c>
      <c r="U2818" s="15" t="str">
        <f>IFERROR(__xludf.DUMMYFUNCTION("""COMPUTED_VALUE"""),"Ⓒ鶸介")</f>
        <v>Ⓒ鶸介</v>
      </c>
      <c r="V2818" s="8" t="str">
        <f>IFERROR(__xludf.DUMMYFUNCTION("""COMPUTED_VALUE"""),"友達の白河ひなたに俺の家でゲームの練習につき合ってほしいとお願いすると二つ返事でOKしてくれる
早速ゲーム始めようとするのだが、エアコンが壊れているので一緒の布団に入ってプレイすることに！
ちょっと動くと触れ合うほどに近い距離…
その距離感に最初は緊張しつつも、徐々にほぐれて調子が上がってきた俺はひなたにガチ勝負を申し込む！
しかも、俺がゲームに勝ったらおっぱいを触らせてもらえるという条件付き！！
（もちろん俺が負けたら俺のナニを触っていいとひなたには言ってある！）
そんな賭けに負けられないと"&amp;"ガチガチになっているひなたにちょっとイタズラをしてやると、ひなたはあっさりと敗北…
ずるいって言われるかと思いきや、彼女は負けは負けだからと服を脱ぎ始めて…！？")</f>
        <v>友達の白河ひなたに俺の家でゲームの練習につき合ってほしいとお願いすると二つ返事でOKしてくれる
早速ゲーム始めようとするのだが、エアコンが壊れているので一緒の布団に入ってプレイすることに！
ちょっと動くと触れ合うほどに近い距離…
その距離感に最初は緊張しつつも、徐々にほぐれて調子が上がってきた俺はひなたにガチ勝負を申し込む！
しかも、俺がゲームに勝ったらおっぱいを触らせてもらえるという条件付き！！
（もちろん俺が負けたら俺のナニを触っていいとひなたには言ってある！）
そんな賭けに負けられないとガチガチになっているひなたにちょっとイタズラをしてやると、ひなたはあっさりと敗北…
ずるいって言われるかと思いきや、彼女は負けは負けだからと服を脱ぎ始めて…！？</v>
      </c>
      <c r="W2818" s="14"/>
      <c r="X2818" s="14" t="str">
        <f>IFERROR(__xludf.DUMMYFUNCTION("""COMPUTED_VALUE"""),"有")</f>
        <v>有</v>
      </c>
      <c r="Y2818" s="8" t="str">
        <f>IFERROR(__xludf.DUMMYFUNCTION("""COMPUTED_VALUE"""),"2025/7/4まで立ち読み増量
・1巻P18まで
・2巻P11まで")</f>
        <v>2025/7/4まで立ち読み増量
・1巻P18まで
・2巻P11まで</v>
      </c>
      <c r="Z2818" s="7"/>
      <c r="AA2818" s="7"/>
      <c r="AB2818" s="7"/>
    </row>
    <row r="2819" ht="15.75" customHeight="1">
      <c r="A2819" s="171">
        <f>IFERROR(__xludf.DUMMYFUNCTION("""COMPUTED_VALUE"""),4808.0)</f>
        <v>4808</v>
      </c>
      <c r="B2819" s="172" t="str">
        <f>IFERROR(__xludf.DUMMYFUNCTION("""COMPUTED_VALUE"""),"確定")</f>
        <v>確定</v>
      </c>
      <c r="C2819" s="173">
        <f>IFERROR(__xludf.DUMMYFUNCTION("""COMPUTED_VALUE"""),45672.0)</f>
        <v>45672</v>
      </c>
      <c r="D2819" s="173">
        <f>IFERROR(__xludf.DUMMYFUNCTION("""COMPUTED_VALUE"""),45695.0)</f>
        <v>45695</v>
      </c>
      <c r="E2819" s="174">
        <f>IFERROR(__xludf.DUMMYFUNCTION("""COMPUTED_VALUE"""),316147.0)</f>
        <v>316147</v>
      </c>
      <c r="F2819" s="175" t="str">
        <f>IFERROR(__xludf.DUMMYFUNCTION("""COMPUTED_VALUE"""),"配信仲間に迫られています")</f>
        <v>配信仲間に迫られています</v>
      </c>
      <c r="G2819" s="171">
        <f>IFERROR(__xludf.DUMMYFUNCTION("""COMPUTED_VALUE"""),1.0)</f>
        <v>1</v>
      </c>
      <c r="H2819" s="172" t="str">
        <f>IFERROR(__xludf.DUMMYFUNCTION("""COMPUTED_VALUE"""),"人鳥ぺんぎん")</f>
        <v>人鳥ぺんぎん</v>
      </c>
      <c r="I2819" s="172" t="str">
        <f>IFERROR(__xludf.DUMMYFUNCTION("""COMPUTED_VALUE"""),"BL")</f>
        <v>BL</v>
      </c>
      <c r="J2819" s="176"/>
      <c r="K2819" s="172" t="str">
        <f>IFERROR(__xludf.DUMMYFUNCTION("""COMPUTED_VALUE"""),"spicomi")</f>
        <v>spicomi</v>
      </c>
      <c r="L2819" s="172" t="str">
        <f>IFERROR(__xludf.DUMMYFUNCTION("""COMPUTED_VALUE"""),"CLLENN")</f>
        <v>CLLENN</v>
      </c>
      <c r="M2819" s="59">
        <f>IFERROR(__xludf.DUMMYFUNCTION("""COMPUTED_VALUE"""),45724.0)</f>
        <v>45724</v>
      </c>
      <c r="N2819" s="23">
        <f>IFERROR(__xludf.DUMMYFUNCTION("""COMPUTED_VALUE"""),45786.0)</f>
        <v>45786</v>
      </c>
      <c r="O2819" s="172"/>
      <c r="P2819" s="178" t="str">
        <f>IFERROR(__xludf.DUMMYFUNCTION("""COMPUTED_VALUE"""),"可")</f>
        <v>可</v>
      </c>
      <c r="Q2819" s="172" t="str">
        <f>IFERROR(__xludf.DUMMYFUNCTION("""COMPUTED_VALUE"""),"連載先行&lt;BR&gt;すでに他社様でヒット作もお持ちの人鳥先生の新作です。&lt;BR&gt;続話も単話1話ごとにリリース予定です。&lt;BR&gt;また、２巻まで少し更新が数か月空いてしまう予定ですが、１巻の試読増量等キャンペーンは調整する予定ですので可能な範囲でご検討ください。")</f>
        <v>連載先行&lt;BR&gt;すでに他社様でヒット作もお持ちの人鳥先生の新作です。&lt;BR&gt;続話も単話1話ごとにリリース予定です。&lt;BR&gt;また、２巻まで少し更新が数か月空いてしまう予定ですが、１巻の試読増量等キャンペーンは調整する予定ですので可能な範囲でご検討ください。</v>
      </c>
      <c r="R2819" s="172" t="str">
        <f>IFERROR(__xludf.DUMMYFUNCTION("""COMPUTED_VALUE"""),"コミットOK")</f>
        <v>コミットOK</v>
      </c>
      <c r="S2819" s="172" t="str">
        <f>IFERROR(__xludf.DUMMYFUNCTION("""COMPUTED_VALUE"""),"20250228_CLLENN_配信仲間に迫られています_TIF(再校)")</f>
        <v>20250228_CLLENN_配信仲間に迫られています_TIF(再校)</v>
      </c>
      <c r="T2819" s="152" t="str">
        <f>IFERROR(__xludf.DUMMYFUNCTION("""COMPUTED_VALUE"""),"格納済み")</f>
        <v>格納済み</v>
      </c>
      <c r="U2819" s="15" t="str">
        <f>IFERROR(__xludf.DUMMYFUNCTION("""COMPUTED_VALUE"""),"Ⓒ人鳥ぺんぎん/CLLENN")</f>
        <v>Ⓒ人鳥ぺんぎん/CLLENN</v>
      </c>
      <c r="V2819" s="8" t="str">
        <f>IFERROR(__xludf.DUMMYFUNCTION("""COMPUTED_VALUE"""),"【こんな激しく前も後ろもヤられたら秒でおかしくなるっ】――今をときめく、大人気イケメン動画配信グループ「３獣士」。硬派な影斗（エイト）、ポジティブお化けのネヅキ、クールなみぃの3人は、動画の企画で無人島を訪れることに。しかし、途中でボートが壊れて島で遭難してしまう。生き残ろうと奮闘するも、サバイバルの知識が皆無の3人は為す術が無かった…。そんな時、突然ネヅキが「俺〇〇〇してから死にてぇ」と言い出して――！？イケメントリオのアホエロ＆トライアングルラブコメディーここに開幕！")</f>
        <v>【こんな激しく前も後ろもヤられたら秒でおかしくなるっ】――今をときめく、大人気イケメン動画配信グループ「３獣士」。硬派な影斗（エイト）、ポジティブお化けのネヅキ、クールなみぃの3人は、動画の企画で無人島を訪れることに。しかし、途中でボートが壊れて島で遭難してしまう。生き残ろうと奮闘するも、サバイバルの知識が皆無の3人は為す術が無かった…。そんな時、突然ネヅキが「俺〇〇〇してから死にてぇ」と言い出して――！？イケメントリオのアホエロ＆トライアングルラブコメディーここに開幕！</v>
      </c>
      <c r="W2819" s="14"/>
      <c r="X2819" s="14" t="str">
        <f>IFERROR(__xludf.DUMMYFUNCTION("""COMPUTED_VALUE"""),"有")</f>
        <v>有</v>
      </c>
      <c r="Y2819" s="8" t="str">
        <f>IFERROR(__xludf.DUMMYFUNCTION("""COMPUTED_VALUE"""),"2025/3/21まで立ち読み増量（P15まで）")</f>
        <v>2025/3/21まで立ち読み増量（P15まで）</v>
      </c>
      <c r="Z2819" s="7"/>
      <c r="AA2819" s="7"/>
      <c r="AB2819" s="7"/>
    </row>
    <row r="2820" ht="15.75" customHeight="1">
      <c r="A2820" s="171">
        <f>IFERROR(__xludf.DUMMYFUNCTION("""COMPUTED_VALUE"""),4813.0)</f>
        <v>4813</v>
      </c>
      <c r="B2820" s="172" t="str">
        <f>IFERROR(__xludf.DUMMYFUNCTION("""COMPUTED_VALUE"""),"確定")</f>
        <v>確定</v>
      </c>
      <c r="C2820" s="173">
        <f>IFERROR(__xludf.DUMMYFUNCTION("""COMPUTED_VALUE"""),45672.0)</f>
        <v>45672</v>
      </c>
      <c r="D2820" s="173">
        <f>IFERROR(__xludf.DUMMYFUNCTION("""COMPUTED_VALUE"""),45695.0)</f>
        <v>45695</v>
      </c>
      <c r="E2820" s="174">
        <f>IFERROR(__xludf.DUMMYFUNCTION("""COMPUTED_VALUE"""),316638.0)</f>
        <v>316638</v>
      </c>
      <c r="F2820" s="175" t="str">
        <f>IFERROR(__xludf.DUMMYFUNCTION("""COMPUTED_VALUE"""),"セックスなしの恋はできますか？【マイクロ】")</f>
        <v>セックスなしの恋はできますか？【マイクロ】</v>
      </c>
      <c r="G2820" s="172" t="str">
        <f>IFERROR(__xludf.DUMMYFUNCTION("""COMPUTED_VALUE"""),"1～3")</f>
        <v>1～3</v>
      </c>
      <c r="H2820" s="172" t="str">
        <f>IFERROR(__xludf.DUMMYFUNCTION("""COMPUTED_VALUE"""),"藤原えみ")</f>
        <v>藤原えみ</v>
      </c>
      <c r="I2820" s="172" t="str">
        <f>IFERROR(__xludf.DUMMYFUNCTION("""COMPUTED_VALUE"""),"女性")</f>
        <v>女性</v>
      </c>
      <c r="J2820" s="176"/>
      <c r="K2820" s="176"/>
      <c r="L2820" s="172" t="str">
        <f>IFERROR(__xludf.DUMMYFUNCTION("""COMPUTED_VALUE"""),"小学館")</f>
        <v>小学館</v>
      </c>
      <c r="M2820" s="59">
        <f>IFERROR(__xludf.DUMMYFUNCTION("""COMPUTED_VALUE"""),45726.0)</f>
        <v>45726</v>
      </c>
      <c r="N2820" s="23">
        <f>IFERROR(__xludf.DUMMYFUNCTION("""COMPUTED_VALUE"""),45786.0)</f>
        <v>45786</v>
      </c>
      <c r="O2820" s="172"/>
      <c r="P2820" s="178" t="str">
        <f>IFERROR(__xludf.DUMMYFUNCTION("""COMPUTED_VALUE"""),"否")</f>
        <v>否</v>
      </c>
      <c r="Q2820" s="172" t="str">
        <f>IFERROR(__xludf.DUMMYFUNCTION("""COMPUTED_VALUE"""),"「＆フラワー」にて連載中のやり直し系ピュアラブストーリーです。『狼とシュガーレス』、『それは大人の事情です』などの実績がある、藤原えみ氏の新作となります。")</f>
        <v>「＆フラワー」にて連載中のやり直し系ピュアラブストーリーです。『狼とシュガーレス』、『それは大人の事情です』などの実績がある、藤原えみ氏の新作となります。</v>
      </c>
      <c r="R2820" s="172" t="str">
        <f>IFERROR(__xludf.DUMMYFUNCTION("""COMPUTED_VALUE"""),"コミットNG")</f>
        <v>コミットNG</v>
      </c>
      <c r="S2820" s="172" t="str">
        <f>IFERROR(__xludf.DUMMYFUNCTION("""COMPUTED_VALUE"""),"20250206_小学館_セックスなしの恋はできますか？")</f>
        <v>20250206_小学館_セックスなしの恋はできますか？</v>
      </c>
      <c r="T2820" s="152" t="str">
        <f>IFERROR(__xludf.DUMMYFUNCTION("""COMPUTED_VALUE"""),"格納済み")</f>
        <v>格納済み</v>
      </c>
      <c r="U2820" s="15" t="str">
        <f>IFERROR(__xludf.DUMMYFUNCTION("""COMPUTED_VALUE"""),"Ⓒ藤原えみ / 小学館")</f>
        <v>Ⓒ藤原えみ / 小学館</v>
      </c>
      <c r="V2820" s="8" t="str">
        <f>IFERROR(__xludf.DUMMYFUNCTION("""COMPUTED_VALUE"""),"「大好きな人と、セックスできなかったらどうする＿＿？」
大学生のさほは、高校生の時に付き合っていた彼氏・珠来（じゅら）との初体験で「さほとはできない」と言われて以来、やけくそになってマッチングアプリでセックスする毎日。でもいくらしても、珠来を忘れられず満たされない。ある日友人の紹介で読書サークルに参加すると、まさかの珠来と再会！！想いが溢れて珠来にぶつけてしまったさほだが、珠来からあの日の真実を聞いて＿＿！？
初体験の失敗から始まる、リトライ・ピュアラブストーリー！！")</f>
        <v>「大好きな人と、セックスできなかったらどうする＿＿？」
大学生のさほは、高校生の時に付き合っていた彼氏・珠来（じゅら）との初体験で「さほとはできない」と言われて以来、やけくそになってマッチングアプリでセックスする毎日。でもいくらしても、珠来を忘れられず満たされない。ある日友人の紹介で読書サークルに参加すると、まさかの珠来と再会！！想いが溢れて珠来にぶつけてしまったさほだが、珠来からあの日の真実を聞いて＿＿！？
初体験の失敗から始まる、リトライ・ピュアラブストーリー！！</v>
      </c>
      <c r="W2820" s="14"/>
      <c r="X2820" s="14" t="str">
        <f>IFERROR(__xludf.DUMMYFUNCTION("""COMPUTED_VALUE"""),"有")</f>
        <v>有</v>
      </c>
      <c r="Y2820" s="8" t="str">
        <f>IFERROR(__xludf.DUMMYFUNCTION("""COMPUTED_VALUE"""),"P20まで")</f>
        <v>P20まで</v>
      </c>
      <c r="Z2820" s="7"/>
      <c r="AA2820" s="7"/>
      <c r="AB2820" s="7"/>
    </row>
    <row r="2821" ht="15.75" customHeight="1">
      <c r="A2821" s="171">
        <f>IFERROR(__xludf.DUMMYFUNCTION("""COMPUTED_VALUE"""),4887.0)</f>
        <v>4887</v>
      </c>
      <c r="B2821" s="172" t="str">
        <f>IFERROR(__xludf.DUMMYFUNCTION("""COMPUTED_VALUE"""),"確定")</f>
        <v>確定</v>
      </c>
      <c r="C2821" s="173">
        <f>IFERROR(__xludf.DUMMYFUNCTION("""COMPUTED_VALUE"""),45680.0)</f>
        <v>45680</v>
      </c>
      <c r="D2821" s="173">
        <f>IFERROR(__xludf.DUMMYFUNCTION("""COMPUTED_VALUE"""),45695.0)</f>
        <v>45695</v>
      </c>
      <c r="E2821" s="174">
        <f>IFERROR(__xludf.DUMMYFUNCTION("""COMPUTED_VALUE"""),316176.0)</f>
        <v>316176</v>
      </c>
      <c r="F2821" s="175" t="str">
        <f>IFERROR(__xludf.DUMMYFUNCTION("""COMPUTED_VALUE"""),"【ラブコフレ】セフレが夜だけ甘すぎる  ―定時後、とろあま溺愛エッチ―")</f>
        <v>【ラブコフレ】セフレが夜だけ甘すぎる  ―定時後、とろあま溺愛エッチ―</v>
      </c>
      <c r="G2821" s="172" t="str">
        <f>IFERROR(__xludf.DUMMYFUNCTION("""COMPUTED_VALUE"""),"1～3")</f>
        <v>1～3</v>
      </c>
      <c r="H2821" s="172" t="str">
        <f>IFERROR(__xludf.DUMMYFUNCTION("""COMPUTED_VALUE"""),"ミブヨシカズ")</f>
        <v>ミブヨシカズ</v>
      </c>
      <c r="I2821" s="172" t="str">
        <f>IFERROR(__xludf.DUMMYFUNCTION("""COMPUTED_VALUE"""),"TL")</f>
        <v>TL</v>
      </c>
      <c r="J2821" s="176"/>
      <c r="K2821" s="172" t="str">
        <f>IFERROR(__xludf.DUMMYFUNCTION("""COMPUTED_VALUE"""),"ラブコフレ")</f>
        <v>ラブコフレ</v>
      </c>
      <c r="L2821" s="172" t="str">
        <f>IFERROR(__xludf.DUMMYFUNCTION("""COMPUTED_VALUE"""),"大誠社")</f>
        <v>大誠社</v>
      </c>
      <c r="M2821" s="59">
        <f>IFERROR(__xludf.DUMMYFUNCTION("""COMPUTED_VALUE"""),45727.0)</f>
        <v>45727</v>
      </c>
      <c r="N2821" s="180">
        <f>IFERROR(__xludf.DUMMYFUNCTION("""COMPUTED_VALUE"""),45838.0)</f>
        <v>45838</v>
      </c>
      <c r="O2821" s="172"/>
      <c r="P2821" s="178" t="str">
        <f>IFERROR(__xludf.DUMMYFUNCTION("""COMPUTED_VALUE"""),"可")</f>
        <v>可</v>
      </c>
      <c r="Q2821" s="172" t="str">
        <f>IFERROR(__xludf.DUMMYFUNCTION("""COMPUTED_VALUE"""),"連載先行")</f>
        <v>連載先行</v>
      </c>
      <c r="R2821" s="172" t="str">
        <f>IFERROR(__xludf.DUMMYFUNCTION("""COMPUTED_VALUE"""),"コミットOK")</f>
        <v>コミットOK</v>
      </c>
      <c r="S2821" s="172" t="str">
        <f>IFERROR(__xludf.DUMMYFUNCTION("""COMPUTED_VALUE"""),"20250205_大誠社_【ラブコフレ】セフレが夜だけ甘すぎる －定時後、とろあま溺愛エッチ－")</f>
        <v>20250205_大誠社_【ラブコフレ】セフレが夜だけ甘すぎる －定時後、とろあま溺愛エッチ－</v>
      </c>
      <c r="T2821" s="152" t="str">
        <f>IFERROR(__xludf.DUMMYFUNCTION("""COMPUTED_VALUE"""),"格納済み")</f>
        <v>格納済み</v>
      </c>
      <c r="U2821" s="15" t="str">
        <f>IFERROR(__xludf.DUMMYFUNCTION("""COMPUTED_VALUE"""),"Ⓒミブヨシカズ／大誠社")</f>
        <v>Ⓒミブヨシカズ／大誠社</v>
      </c>
      <c r="V2821" s="8" t="str">
        <f>IFERROR(__xludf.DUMMYFUNCTION("""COMPUTED_VALUE"""),"「もっと甘やかしちゃおうか」昼間と違う優しい顔で、じっくりねっとり甘くオクを撫でられ…いつものナマイキで飄々とした態度は、ベッドの上で溺愛に変わり――!?
付き合っていた年上彼氏の不倫が発覚し、傷心中の風香(ふうか)。
泥酔したところを介抱してくれたのは、いつも業務でぶつかってばかりの営業部の後輩・鹿島(かしま)だった。
「慰めてあげようか」慈しむように触れてくる彼は、どうやら元カノと風香を重ねて見ているようで――？
指と舌でグチュグチュにほぐされ、激しく突き上げられるたびに感じてしまうカラダ"&amp;"。
お互いの傷を癒すためだとわかっているのに、セフレ以上の感情が芽生えつつある風香は、鹿島の一挙手一投足にズブズブとハマってしまい……？")</f>
        <v>「もっと甘やかしちゃおうか」昼間と違う優しい顔で、じっくりねっとり甘くオクを撫でられ…いつものナマイキで飄々とした態度は、ベッドの上で溺愛に変わり――!?
付き合っていた年上彼氏の不倫が発覚し、傷心中の風香(ふうか)。
泥酔したところを介抱してくれたのは、いつも業務でぶつかってばかりの営業部の後輩・鹿島(かしま)だった。
「慰めてあげようか」慈しむように触れてくる彼は、どうやら元カノと風香を重ねて見ているようで――？
指と舌でグチュグチュにほぐされ、激しく突き上げられるたびに感じてしまうカラダ。
お互いの傷を癒すためだとわかっているのに、セフレ以上の感情が芽生えつつある風香は、鹿島の一挙手一投足にズブズブとハマってしまい……？</v>
      </c>
      <c r="W2821" s="14"/>
      <c r="X2821" s="14" t="str">
        <f>IFERROR(__xludf.DUMMYFUNCTION("""COMPUTED_VALUE"""),"有")</f>
        <v>有</v>
      </c>
      <c r="Y2821" s="8" t="str">
        <f>IFERROR(__xludf.DUMMYFUNCTION("""COMPUTED_VALUE"""),"2025/3/24まで1巻無料")</f>
        <v>2025/3/24まで1巻無料</v>
      </c>
      <c r="Z2821" s="7"/>
      <c r="AA2821" s="7"/>
      <c r="AB2821" s="7"/>
    </row>
    <row r="2822" ht="15.75" customHeight="1">
      <c r="A2822" s="171">
        <f>IFERROR(__xludf.DUMMYFUNCTION("""COMPUTED_VALUE"""),4927.0)</f>
        <v>4927</v>
      </c>
      <c r="B2822" s="172" t="str">
        <f>IFERROR(__xludf.DUMMYFUNCTION("""COMPUTED_VALUE"""),"確定")</f>
        <v>確定</v>
      </c>
      <c r="C2822" s="173">
        <f>IFERROR(__xludf.DUMMYFUNCTION("""COMPUTED_VALUE"""),45685.0)</f>
        <v>45685</v>
      </c>
      <c r="D2822" s="173">
        <f>IFERROR(__xludf.DUMMYFUNCTION("""COMPUTED_VALUE"""),45693.0)</f>
        <v>45693</v>
      </c>
      <c r="E2822" s="174">
        <f>IFERROR(__xludf.DUMMYFUNCTION("""COMPUTED_VALUE"""),316682.0)</f>
        <v>316682</v>
      </c>
      <c r="F2822" s="175" t="str">
        <f>IFERROR(__xludf.DUMMYFUNCTION("""COMPUTED_VALUE"""),"吸血鬼へ嫁入る日～少女が冷酷夫に愛された記録～ 分冊版")</f>
        <v>吸血鬼へ嫁入る日～少女が冷酷夫に愛された記録～ 分冊版</v>
      </c>
      <c r="G2822" s="172" t="str">
        <f>IFERROR(__xludf.DUMMYFUNCTION("""COMPUTED_VALUE"""),"1～4")</f>
        <v>1～4</v>
      </c>
      <c r="H2822" s="172" t="str">
        <f>IFERROR(__xludf.DUMMYFUNCTION("""COMPUTED_VALUE"""),"島田ちえ")</f>
        <v>島田ちえ</v>
      </c>
      <c r="I2822" s="172" t="str">
        <f>IFERROR(__xludf.DUMMYFUNCTION("""COMPUTED_VALUE"""),"少女")</f>
        <v>少女</v>
      </c>
      <c r="J2822" s="176"/>
      <c r="K2822" s="172" t="str">
        <f>IFERROR(__xludf.DUMMYFUNCTION("""COMPUTED_VALUE"""),"パルシィ")</f>
        <v>パルシィ</v>
      </c>
      <c r="L2822" s="172" t="str">
        <f>IFERROR(__xludf.DUMMYFUNCTION("""COMPUTED_VALUE"""),"講談社")</f>
        <v>講談社</v>
      </c>
      <c r="M2822" s="59">
        <f>IFERROR(__xludf.DUMMYFUNCTION("""COMPUTED_VALUE"""),45716.0)</f>
        <v>45716</v>
      </c>
      <c r="N2822" s="59">
        <f>IFERROR(__xludf.DUMMYFUNCTION("""COMPUTED_VALUE"""),45806.0)</f>
        <v>45806</v>
      </c>
      <c r="O2822" s="172"/>
      <c r="P2822" s="178" t="str">
        <f>IFERROR(__xludf.DUMMYFUNCTION("""COMPUTED_VALUE"""),"否")</f>
        <v>否</v>
      </c>
      <c r="Q2822" s="179" t="str">
        <f>IFERROR(__xludf.DUMMYFUNCTION("""COMPUTED_VALUE"""),"協業作品になります。")</f>
        <v>協業作品になります。</v>
      </c>
      <c r="R2822" s="152"/>
      <c r="S2822" s="176" t="str">
        <f>IFERROR(__xludf.DUMMYFUNCTION("""COMPUTED_VALUE"""),"20250205_講談社‗吸血鬼へ嫁入る日～少女が冷酷夫に愛された記録～")</f>
        <v>20250205_講談社‗吸血鬼へ嫁入る日～少女が冷酷夫に愛された記録～</v>
      </c>
      <c r="T2822" s="152"/>
      <c r="U2822" s="15" t="str">
        <f>IFERROR(__xludf.DUMMYFUNCTION("""COMPUTED_VALUE"""),"Ⓒ島田ちえ/講談社")</f>
        <v>Ⓒ島田ちえ/講談社</v>
      </c>
      <c r="V2822" s="8" t="str">
        <f>IFERROR(__xludf.DUMMYFUNCTION("""COMPUTED_VALUE"""),"善良な人間を惑わせてしまう”呪い子”と呼ばれるすず音。
数年前、穏やかだった近所の牧師がすず音の血液を見て豹変し、すず音は背中に大きな傷を負ってしまう。
この日から”呪い子”の曰くつきとなり、借金だらけだった家族は双子の妹ではなく すず音を「遊郭島」に売ることに。
島では下女として働くが、呪いを封じるための顔かけをつけ、毎日虐げられていたーー。
そんな時、遊郭島周辺の海域一帯を取り仕切る財閥の八雲が島に訪れる。
「選ばれた遊女はみな、同衾した記憶が一切ない」と不気味な噂の流れる八雲だったが、
すず音の”"&amp;"匂い”に惹かれ、家族に捨てられたすず音をもらうと迫りーー？
吸血鬼との婚姻からはじまる、和風シンデレララブストーリー！【第1話「遊郭島の呪い子」を収録】")</f>
        <v>善良な人間を惑わせてしまう”呪い子”と呼ばれるすず音。
数年前、穏やかだった近所の牧師がすず音の血液を見て豹変し、すず音は背中に大きな傷を負ってしまう。
この日から”呪い子”の曰くつきとなり、借金だらけだった家族は双子の妹ではなく すず音を「遊郭島」に売ることに。
島では下女として働くが、呪いを封じるための顔かけをつけ、毎日虐げられていたーー。
そんな時、遊郭島周辺の海域一帯を取り仕切る財閥の八雲が島に訪れる。
「選ばれた遊女はみな、同衾した記憶が一切ない」と不気味な噂の流れる八雲だったが、
すず音の”匂い”に惹かれ、家族に捨てられたすず音をもらうと迫りーー？
吸血鬼との婚姻からはじまる、和風シンデレララブストーリー！【第1話「遊郭島の呪い子」を収録】</v>
      </c>
      <c r="W2822" s="14"/>
      <c r="X2822" s="14" t="str">
        <f>IFERROR(__xludf.DUMMYFUNCTION("""COMPUTED_VALUE"""),"有")</f>
        <v>有</v>
      </c>
      <c r="Y2822" s="8" t="str">
        <f>IFERROR(__xludf.DUMMYFUNCTION("""COMPUTED_VALUE"""),"3/13まで1巻無料")</f>
        <v>3/13まで1巻無料</v>
      </c>
      <c r="Z2822" s="7"/>
      <c r="AA2822" s="7"/>
      <c r="AB2822" s="7"/>
    </row>
    <row r="2823" ht="15.75" customHeight="1">
      <c r="A2823" s="171">
        <f>IFERROR(__xludf.DUMMYFUNCTION("""COMPUTED_VALUE"""),4935.0)</f>
        <v>4935</v>
      </c>
      <c r="B2823" s="172" t="str">
        <f>IFERROR(__xludf.DUMMYFUNCTION("""COMPUTED_VALUE"""),"確定")</f>
        <v>確定</v>
      </c>
      <c r="C2823" s="173">
        <f>IFERROR(__xludf.DUMMYFUNCTION("""COMPUTED_VALUE"""),45687.0)</f>
        <v>45687</v>
      </c>
      <c r="D2823" s="173">
        <f>IFERROR(__xludf.DUMMYFUNCTION("""COMPUTED_VALUE"""),45700.0)</f>
        <v>45700</v>
      </c>
      <c r="E2823" s="174">
        <f>IFERROR(__xludf.DUMMYFUNCTION("""COMPUTED_VALUE"""),316883.0)</f>
        <v>316883</v>
      </c>
      <c r="F2823" s="175" t="str">
        <f>IFERROR(__xludf.DUMMYFUNCTION("""COMPUTED_VALUE"""),"けもの住む夏")</f>
        <v>けもの住む夏</v>
      </c>
      <c r="G2823" s="171">
        <f>IFERROR(__xludf.DUMMYFUNCTION("""COMPUTED_VALUE"""),1.0)</f>
        <v>1</v>
      </c>
      <c r="H2823" s="172" t="str">
        <f>IFERROR(__xludf.DUMMYFUNCTION("""COMPUTED_VALUE"""),"柊真しぎ")</f>
        <v>柊真しぎ</v>
      </c>
      <c r="I2823" s="172" t="str">
        <f>IFERROR(__xludf.DUMMYFUNCTION("""COMPUTED_VALUE"""),"BL")</f>
        <v>BL</v>
      </c>
      <c r="J2823" s="176"/>
      <c r="K2823" s="176"/>
      <c r="L2823" s="172" t="str">
        <f>IFERROR(__xludf.DUMMYFUNCTION("""COMPUTED_VALUE"""),"東京漫画社")</f>
        <v>東京漫画社</v>
      </c>
      <c r="M2823" s="59">
        <f>IFERROR(__xludf.DUMMYFUNCTION("""COMPUTED_VALUE"""),45730.0)</f>
        <v>45730</v>
      </c>
      <c r="N2823" s="28">
        <f>IFERROR(__xludf.DUMMYFUNCTION("""COMPUTED_VALUE"""),45785.0)</f>
        <v>45785</v>
      </c>
      <c r="O2823" s="172"/>
      <c r="P2823" s="177" t="str">
        <f>IFERROR(__xludf.DUMMYFUNCTION("""COMPUTED_VALUE"""),"可")</f>
        <v>可</v>
      </c>
      <c r="Q2823" s="172"/>
      <c r="R2823" s="172" t="str">
        <f>IFERROR(__xludf.DUMMYFUNCTION("""COMPUTED_VALUE"""),"コミットOK")</f>
        <v>コミットOK</v>
      </c>
      <c r="S2823" s="172" t="str">
        <f>IFERROR(__xludf.DUMMYFUNCTION("""COMPUTED_VALUE"""),"20250210_東京漫画社_けもの住む夏")</f>
        <v>20250210_東京漫画社_けもの住む夏</v>
      </c>
      <c r="T2823" s="152" t="str">
        <f>IFERROR(__xludf.DUMMYFUNCTION("""COMPUTED_VALUE"""),"格納済み")</f>
        <v>格納済み</v>
      </c>
      <c r="U2823" s="15" t="str">
        <f>IFERROR(__xludf.DUMMYFUNCTION("""COMPUTED_VALUE"""),"Ⓒ柊真しぎ/東京漫画社")</f>
        <v>Ⓒ柊真しぎ/東京漫画社</v>
      </c>
      <c r="V2823" s="8" t="str">
        <f>IFERROR(__xludf.DUMMYFUNCTION("""COMPUTED_VALUE"""),"小さい頃に猫を拾った律葵（りつき）。タマと名付けて飼い始めたその猫が可愛くていつも一緒にいたが、ある日タマは人間の男の姿になって「シュリ」と名乗ってきた!?
高校生になっても猫のようにくっついてくる人間姿のシュリに、律葵は距離を取るが…。
ワケアリのゆるふわワンコ系獣人×けもの達に振り回される世話焼き高校生
（※本電子作品は『Cab vol.96』に収録されているものと同じ内容になります。）")</f>
        <v>小さい頃に猫を拾った律葵（りつき）。タマと名付けて飼い始めたその猫が可愛くていつも一緒にいたが、ある日タマは人間の男の姿になって「シュリ」と名乗ってきた!?
高校生になっても猫のようにくっついてくる人間姿のシュリに、律葵は距離を取るが…。
ワケアリのゆるふわワンコ系獣人×けもの達に振り回される世話焼き高校生
（※本電子作品は『Cab vol.96』に収録されているものと同じ内容になります。）</v>
      </c>
      <c r="W2823" s="14"/>
      <c r="X2823" s="14" t="str">
        <f>IFERROR(__xludf.DUMMYFUNCTION("""COMPUTED_VALUE"""),"有")</f>
        <v>有</v>
      </c>
      <c r="Y2823" s="8" t="str">
        <f>IFERROR(__xludf.DUMMYFUNCTION("""COMPUTED_VALUE"""),"2025/5/8まで1巻立ち読み増量（P10まで）")</f>
        <v>2025/5/8まで1巻立ち読み増量（P10まで）</v>
      </c>
      <c r="Z2823" s="7"/>
      <c r="AA2823" s="7"/>
      <c r="AB2823" s="7"/>
    </row>
    <row r="2824" ht="15.75" customHeight="1">
      <c r="A2824" s="171">
        <f>IFERROR(__xludf.DUMMYFUNCTION("""COMPUTED_VALUE"""),4936.0)</f>
        <v>4936</v>
      </c>
      <c r="B2824" s="172" t="str">
        <f>IFERROR(__xludf.DUMMYFUNCTION("""COMPUTED_VALUE"""),"確定")</f>
        <v>確定</v>
      </c>
      <c r="C2824" s="173">
        <f>IFERROR(__xludf.DUMMYFUNCTION("""COMPUTED_VALUE"""),45687.0)</f>
        <v>45687</v>
      </c>
      <c r="D2824" s="173">
        <f>IFERROR(__xludf.DUMMYFUNCTION("""COMPUTED_VALUE"""),45700.0)</f>
        <v>45700</v>
      </c>
      <c r="E2824" s="174">
        <f>IFERROR(__xludf.DUMMYFUNCTION("""COMPUTED_VALUE"""),316887.0)</f>
        <v>316887</v>
      </c>
      <c r="F2824" s="175" t="str">
        <f>IFERROR(__xludf.DUMMYFUNCTION("""COMPUTED_VALUE"""),"昼と夜と君に逢う")</f>
        <v>昼と夜と君に逢う</v>
      </c>
      <c r="G2824" s="171">
        <f>IFERROR(__xludf.DUMMYFUNCTION("""COMPUTED_VALUE"""),1.0)</f>
        <v>1</v>
      </c>
      <c r="H2824" s="172" t="str">
        <f>IFERROR(__xludf.DUMMYFUNCTION("""COMPUTED_VALUE"""),"古多ふる")</f>
        <v>古多ふる</v>
      </c>
      <c r="I2824" s="172" t="str">
        <f>IFERROR(__xludf.DUMMYFUNCTION("""COMPUTED_VALUE"""),"BL")</f>
        <v>BL</v>
      </c>
      <c r="J2824" s="176"/>
      <c r="K2824" s="176"/>
      <c r="L2824" s="172" t="str">
        <f>IFERROR(__xludf.DUMMYFUNCTION("""COMPUTED_VALUE"""),"東京漫画社")</f>
        <v>東京漫画社</v>
      </c>
      <c r="M2824" s="59">
        <f>IFERROR(__xludf.DUMMYFUNCTION("""COMPUTED_VALUE"""),45730.0)</f>
        <v>45730</v>
      </c>
      <c r="N2824" s="28">
        <f>IFERROR(__xludf.DUMMYFUNCTION("""COMPUTED_VALUE"""),45785.0)</f>
        <v>45785</v>
      </c>
      <c r="O2824" s="172"/>
      <c r="P2824" s="177" t="str">
        <f>IFERROR(__xludf.DUMMYFUNCTION("""COMPUTED_VALUE"""),"可")</f>
        <v>可</v>
      </c>
      <c r="Q2824" s="172"/>
      <c r="R2824" s="172" t="str">
        <f>IFERROR(__xludf.DUMMYFUNCTION("""COMPUTED_VALUE"""),"コミットOK")</f>
        <v>コミットOK</v>
      </c>
      <c r="S2824" s="172" t="str">
        <f>IFERROR(__xludf.DUMMYFUNCTION("""COMPUTED_VALUE"""),"20250210_東京漫画社_昼と夜と君に逢う")</f>
        <v>20250210_東京漫画社_昼と夜と君に逢う</v>
      </c>
      <c r="T2824" s="152" t="str">
        <f>IFERROR(__xludf.DUMMYFUNCTION("""COMPUTED_VALUE"""),"格納済み")</f>
        <v>格納済み</v>
      </c>
      <c r="U2824" s="15" t="str">
        <f>IFERROR(__xludf.DUMMYFUNCTION("""COMPUTED_VALUE"""),"Ⓒ古多ふる/東京漫画社")</f>
        <v>Ⓒ古多ふる/東京漫画社</v>
      </c>
      <c r="V2824" s="8" t="str">
        <f>IFERROR(__xludf.DUMMYFUNCTION("""COMPUTED_VALUE"""),"大学生の悠は、行きつけのカフェの店長・黒瀬に片想い中。
大人で優しい彼といつか付き合えたらと夢見るが、男の自分と付き合ってくれるわけがないと諦めていた。
一方、そんな悠に毎回ちょっかいをかけてくるのが、アパートの隣人・環だ。
遊び人で男女問わず相手をとっかえひっかえしている彼がムカつくのに、色気のある綺麗な顔で迫られると強く拒めない。
そんなある日、飲み会の後に目が覚めると隣で裸の環が寝ていて…!?
遊び人のダウナー系お兄さん×片想い中のピュアボーイ
ちぐはぐな思いが揺れるラブストーリー
"&amp;"
（※本電子作品は『Cab vol.96』に収録されているものと同じ内容になります。）")</f>
        <v>大学生の悠は、行きつけのカフェの店長・黒瀬に片想い中。
大人で優しい彼といつか付き合えたらと夢見るが、男の自分と付き合ってくれるわけがないと諦めていた。
一方、そんな悠に毎回ちょっかいをかけてくるのが、アパートの隣人・環だ。
遊び人で男女問わず相手をとっかえひっかえしている彼がムカつくのに、色気のある綺麗な顔で迫られると強く拒めない。
そんなある日、飲み会の後に目が覚めると隣で裸の環が寝ていて…!?
遊び人のダウナー系お兄さん×片想い中のピュアボーイ
ちぐはぐな思いが揺れるラブストーリー
（※本電子作品は『Cab vol.96』に収録されているものと同じ内容になります。）</v>
      </c>
      <c r="W2824" s="14"/>
      <c r="X2824" s="14" t="str">
        <f>IFERROR(__xludf.DUMMYFUNCTION("""COMPUTED_VALUE"""),"有")</f>
        <v>有</v>
      </c>
      <c r="Y2824" s="8" t="str">
        <f>IFERROR(__xludf.DUMMYFUNCTION("""COMPUTED_VALUE"""),"2025/5/8まで1巻立ち読み増量（P10まで）")</f>
        <v>2025/5/8まで1巻立ち読み増量（P10まで）</v>
      </c>
      <c r="Z2824" s="7"/>
      <c r="AA2824" s="7"/>
      <c r="AB2824" s="7"/>
    </row>
    <row r="2825" ht="15.75" customHeight="1">
      <c r="A2825" s="171">
        <f>IFERROR(__xludf.DUMMYFUNCTION("""COMPUTED_VALUE"""),4938.0)</f>
        <v>4938</v>
      </c>
      <c r="B2825" s="172" t="str">
        <f>IFERROR(__xludf.DUMMYFUNCTION("""COMPUTED_VALUE"""),"確定")</f>
        <v>確定</v>
      </c>
      <c r="C2825" s="173">
        <f>IFERROR(__xludf.DUMMYFUNCTION("""COMPUTED_VALUE"""),45688.0)</f>
        <v>45688</v>
      </c>
      <c r="D2825" s="173">
        <f>IFERROR(__xludf.DUMMYFUNCTION("""COMPUTED_VALUE"""),45700.0)</f>
        <v>45700</v>
      </c>
      <c r="E2825" s="174">
        <f>IFERROR(__xludf.DUMMYFUNCTION("""COMPUTED_VALUE"""),316174.0)</f>
        <v>316174</v>
      </c>
      <c r="F2825" s="175" t="str">
        <f>IFERROR(__xludf.DUMMYFUNCTION("""COMPUTED_VALUE"""),"あなたがいない、幸せは〜サレ妻の復讐は花束と共に〜")</f>
        <v>あなたがいない、幸せは〜サレ妻の復讐は花束と共に〜</v>
      </c>
      <c r="G2825" s="172" t="str">
        <f>IFERROR(__xludf.DUMMYFUNCTION("""COMPUTED_VALUE"""),"1~3")</f>
        <v>1~3</v>
      </c>
      <c r="H2825" s="172" t="str">
        <f>IFERROR(__xludf.DUMMYFUNCTION("""COMPUTED_VALUE"""),"漫画：柏屋コッコ・原作：深冬芽以")</f>
        <v>漫画：柏屋コッコ・原作：深冬芽以</v>
      </c>
      <c r="I2825" s="172" t="str">
        <f>IFERROR(__xludf.DUMMYFUNCTION("""COMPUTED_VALUE"""),"女性")</f>
        <v>女性</v>
      </c>
      <c r="J2825" s="176"/>
      <c r="K2825" s="172" t="str">
        <f>IFERROR(__xludf.DUMMYFUNCTION("""COMPUTED_VALUE"""),"ラブ・ペイン・コミックス")</f>
        <v>ラブ・ペイン・コミックス</v>
      </c>
      <c r="L2825" s="172" t="str">
        <f>IFERROR(__xludf.DUMMYFUNCTION("""COMPUTED_VALUE"""),"グループ・ゼロ")</f>
        <v>グループ・ゼロ</v>
      </c>
      <c r="M2825" s="59">
        <f>IFERROR(__xludf.DUMMYFUNCTION("""COMPUTED_VALUE"""),45728.0)</f>
        <v>45728</v>
      </c>
      <c r="N2825" s="59">
        <f>IFERROR(__xludf.DUMMYFUNCTION("""COMPUTED_VALUE"""),45789.0)</f>
        <v>45789</v>
      </c>
      <c r="O2825" s="172"/>
      <c r="P2825" s="177" t="str">
        <f>IFERROR(__xludf.DUMMYFUNCTION("""COMPUTED_VALUE"""),"可")</f>
        <v>可</v>
      </c>
      <c r="Q2825" s="172"/>
      <c r="R2825" s="172" t="str">
        <f>IFERROR(__xludf.DUMMYFUNCTION("""COMPUTED_VALUE"""),"コミットOK")</f>
        <v>コミットOK</v>
      </c>
      <c r="S2825" s="172" t="str">
        <f>IFERROR(__xludf.DUMMYFUNCTION("""COMPUTED_VALUE"""),"20250212_グループ・ゼロ_あなたがいない、幸せは_1-3")</f>
        <v>20250212_グループ・ゼロ_あなたがいない、幸せは_1-3</v>
      </c>
      <c r="T2825" s="152" t="str">
        <f>IFERROR(__xludf.DUMMYFUNCTION("""COMPUTED_VALUE"""),"校了済み")</f>
        <v>校了済み</v>
      </c>
      <c r="U2825" s="15" t="str">
        <f>IFERROR(__xludf.DUMMYFUNCTION("""COMPUTED_VALUE"""),"Ⓒ柏屋コッコ／深冬芽以／グループ・ゼロ")</f>
        <v>Ⓒ柏屋コッコ／深冬芽以／グループ・ゼロ</v>
      </c>
      <c r="V2825" s="13" t="str">
        <f>IFERROR(__xludf.DUMMYFUNCTION("""COMPUTED_VALUE"""),"「欲情しないって…言ったくせに…」夫に殴られた頬が痛い。夫のイビキが響く寝室で、私は復讐に手を染めたーー。
『モラハラ夫』という言葉をよく聞くようになったのは、いつ頃からだろう。結婚当初は、こうではなかった。子供が産まれた時、涙を流して喜んでくれた。「この子の名前は幸大だ。めいっぱい幸せになるように」そう言って、息子に名前をつけてくれた。それなのに…！
冷え切った夫との関係をそれでも修復しようとした朱里だが、やがてその気持ちを挫く様々な出来事が彼女を襲う。モラハラ、浮気、浪費、姑からの扱い。朱里の現状"&amp;"を知った血の繋がらない弟・輝は、姉のために行動を開始するーー。
本格的心理サスペンス復讐劇、開幕！")</f>
        <v>「欲情しないって…言ったくせに…」夫に殴られた頬が痛い。夫のイビキが響く寝室で、私は復讐に手を染めたーー。
『モラハラ夫』という言葉をよく聞くようになったのは、いつ頃からだろう。結婚当初は、こうではなかった。子供が産まれた時、涙を流して喜んでくれた。「この子の名前は幸大だ。めいっぱい幸せになるように」そう言って、息子に名前をつけてくれた。それなのに…！
冷え切った夫との関係をそれでも修復しようとした朱里だが、やがてその気持ちを挫く様々な出来事が彼女を襲う。モラハラ、浮気、浪費、姑からの扱い。朱里の現状を知った血の繋がらない弟・輝は、姉のために行動を開始するーー。
本格的心理サスペンス復讐劇、開幕！</v>
      </c>
      <c r="W2825" s="14"/>
      <c r="X2825" s="14" t="str">
        <f>IFERROR(__xludf.DUMMYFUNCTION("""COMPUTED_VALUE"""),"有")</f>
        <v>有</v>
      </c>
      <c r="Y2825" s="8" t="str">
        <f>IFERROR(__xludf.DUMMYFUNCTION("""COMPUTED_VALUE"""),"2025/5/12まで1巻無料")</f>
        <v>2025/5/12まで1巻無料</v>
      </c>
      <c r="Z2825" s="7"/>
      <c r="AA2825" s="7"/>
      <c r="AB2825" s="7"/>
    </row>
    <row r="2826" ht="15.75" customHeight="1">
      <c r="A2826" s="171">
        <f>IFERROR(__xludf.DUMMYFUNCTION("""COMPUTED_VALUE"""),4939.0)</f>
        <v>4939</v>
      </c>
      <c r="B2826" s="172" t="str">
        <f>IFERROR(__xludf.DUMMYFUNCTION("""COMPUTED_VALUE"""),"確定")</f>
        <v>確定</v>
      </c>
      <c r="C2826" s="173">
        <f>IFERROR(__xludf.DUMMYFUNCTION("""COMPUTED_VALUE"""),45691.0)</f>
        <v>45691</v>
      </c>
      <c r="D2826" s="173">
        <f>IFERROR(__xludf.DUMMYFUNCTION("""COMPUTED_VALUE"""),45700.0)</f>
        <v>45700</v>
      </c>
      <c r="E2826" s="174">
        <f>IFERROR(__xludf.DUMMYFUNCTION("""COMPUTED_VALUE"""),318209.0)</f>
        <v>318209</v>
      </c>
      <c r="F2826" s="175" t="str">
        <f>IFERROR(__xludf.DUMMYFUNCTION("""COMPUTED_VALUE"""),"後宮転生妃伝～前世で国を傾けたので、現世は節約に励みます～")</f>
        <v>後宮転生妃伝～前世で国を傾けたので、現世は節約に励みます～</v>
      </c>
      <c r="G2826" s="172" t="str">
        <f>IFERROR(__xludf.DUMMYFUNCTION("""COMPUTED_VALUE"""),"1～8")</f>
        <v>1～8</v>
      </c>
      <c r="H2826" s="172" t="str">
        <f>IFERROR(__xludf.DUMMYFUNCTION("""COMPUTED_VALUE"""),"みつき和美┴藤咲あゆな┴エトワール編集部")</f>
        <v>みつき和美┴藤咲あゆな┴エトワール編集部</v>
      </c>
      <c r="I2826" s="172" t="str">
        <f>IFERROR(__xludf.DUMMYFUNCTION("""COMPUTED_VALUE"""),"女性")</f>
        <v>女性</v>
      </c>
      <c r="J2826" s="176"/>
      <c r="K2826" s="176"/>
      <c r="L2826" s="172" t="str">
        <f>IFERROR(__xludf.DUMMYFUNCTION("""COMPUTED_VALUE"""),"ライブコミックス")</f>
        <v>ライブコミックス</v>
      </c>
      <c r="M2826" s="59">
        <f>IFERROR(__xludf.DUMMYFUNCTION("""COMPUTED_VALUE"""),45744.0)</f>
        <v>45744</v>
      </c>
      <c r="N2826" s="28">
        <f>IFERROR(__xludf.DUMMYFUNCTION("""COMPUTED_VALUE"""),45834.0)</f>
        <v>45834</v>
      </c>
      <c r="O2826" s="172"/>
      <c r="P2826" s="178" t="str">
        <f>IFERROR(__xludf.DUMMYFUNCTION("""COMPUTED_VALUE"""),"可")</f>
        <v>可</v>
      </c>
      <c r="Q2826" s="172" t="str">
        <f>IFERROR(__xludf.DUMMYFUNCTION("""COMPUTED_VALUE"""),"BookLiveからの2次先行作品です。&lt;BR&gt;1～7巻分の素材にてご検討及びご制作をお願いします。")</f>
        <v>BookLiveからの2次先行作品です。&lt;BR&gt;1～7巻分の素材にてご検討及びご制作をお願いします。</v>
      </c>
      <c r="R2826" s="172" t="str">
        <f>IFERROR(__xludf.DUMMYFUNCTION("""COMPUTED_VALUE"""),"コミットOK")</f>
        <v>コミットOK</v>
      </c>
      <c r="S2826" s="172" t="str">
        <f>IFERROR(__xludf.DUMMYFUNCTION("""COMPUTED_VALUE"""),"20250203_BookLive_後宮転生妃伝～前世で国を傾けたので、現世は節約に励みます～")</f>
        <v>20250203_BookLive_後宮転生妃伝～前世で国を傾けたので、現世は節約に励みます～</v>
      </c>
      <c r="T2826" s="152" t="str">
        <f>IFERROR(__xludf.DUMMYFUNCTION("""COMPUTED_VALUE"""),"格納済み")</f>
        <v>格納済み</v>
      </c>
      <c r="U2826" s="15" t="str">
        <f>IFERROR(__xludf.DUMMYFUNCTION("""COMPUTED_VALUE"""),"Ⓒみつき和美・藤咲あゆな/ライブコミックス")</f>
        <v>Ⓒみつき和美・藤咲あゆな/ライブコミックス</v>
      </c>
      <c r="V2826" s="8" t="str">
        <f>IFERROR(__xludf.DUMMYFUNCTION("""COMPUTED_VALUE"""),"病弱な義弟の治療費を稼ぐため、支度金目当てで後宮入りした鈴凜（リンリン）。貧しい農家に生まれ孤児となり、領主の養女として育ててもらった彼女のモットーは""贅沢は敵！""　嫉妬と策略渦巻く後宮でも、陛下の寵愛よりも何よりも「節約第一」で行動し、他の寵姫（ライバル）や何かと絡んでくるイケメン武官・星凌（セイリョウ）とも早くもひと悶着。しかし、足を滑らせ階段から落ちる！と思った瞬間に「贅沢妃」と呼ばれ浪費生活を過ごしていた前世を思い出し――！前世の記憶と現世の知識を頼りに、陰謀だらけの後宮で自分なりの正義を貫く"&amp;"妃嬪の「人生やり直し物語」の開幕!!")</f>
        <v>病弱な義弟の治療費を稼ぐため、支度金目当てで後宮入りした鈴凜（リンリン）。貧しい農家に生まれ孤児となり、領主の養女として育ててもらった彼女のモットーは"贅沢は敵！"　嫉妬と策略渦巻く後宮でも、陛下の寵愛よりも何よりも「節約第一」で行動し、他の寵姫（ライバル）や何かと絡んでくるイケメン武官・星凌（セイリョウ）とも早くもひと悶着。しかし、足を滑らせ階段から落ちる！と思った瞬間に「贅沢妃」と呼ばれ浪費生活を過ごしていた前世を思い出し――！前世の記憶と現世の知識を頼りに、陰謀だらけの後宮で自分なりの正義を貫く妃嬪の「人生やり直し物語」の開幕!!</v>
      </c>
      <c r="W2826" s="14"/>
      <c r="X2826" s="14" t="str">
        <f>IFERROR(__xludf.DUMMYFUNCTION("""COMPUTED_VALUE"""),"有")</f>
        <v>有</v>
      </c>
      <c r="Y2826" s="8" t="str">
        <f>IFERROR(__xludf.DUMMYFUNCTION("""COMPUTED_VALUE"""),"2025/6/26まで1~2巻無料")</f>
        <v>2025/6/26まで1~2巻無料</v>
      </c>
      <c r="Z2826" s="7"/>
      <c r="AA2826" s="7"/>
      <c r="AB2826" s="7"/>
    </row>
    <row r="2827" ht="15.75" customHeight="1">
      <c r="A2827" s="171">
        <f>IFERROR(__xludf.DUMMYFUNCTION("""COMPUTED_VALUE"""),4946.0)</f>
        <v>4946</v>
      </c>
      <c r="B2827" s="172" t="str">
        <f>IFERROR(__xludf.DUMMYFUNCTION("""COMPUTED_VALUE"""),"確定")</f>
        <v>確定</v>
      </c>
      <c r="C2827" s="173">
        <f>IFERROR(__xludf.DUMMYFUNCTION("""COMPUTED_VALUE"""),45691.0)</f>
        <v>45691</v>
      </c>
      <c r="D2827" s="173">
        <f>IFERROR(__xludf.DUMMYFUNCTION("""COMPUTED_VALUE"""),45695.0)</f>
        <v>45695</v>
      </c>
      <c r="E2827" s="171">
        <f>IFERROR(__xludf.DUMMYFUNCTION("""COMPUTED_VALUE"""),295992.0)</f>
        <v>295992</v>
      </c>
      <c r="F2827" s="172" t="str">
        <f>IFERROR(__xludf.DUMMYFUNCTION("""COMPUTED_VALUE"""),"高嶺の花には難がある")</f>
        <v>高嶺の花には難がある</v>
      </c>
      <c r="G2827" s="172" t="str">
        <f>IFERROR(__xludf.DUMMYFUNCTION("""COMPUTED_VALUE"""),"1～3")</f>
        <v>1～3</v>
      </c>
      <c r="H2827" s="172" t="str">
        <f>IFERROR(__xludf.DUMMYFUNCTION("""COMPUTED_VALUE"""),"大林あきら")</f>
        <v>大林あきら</v>
      </c>
      <c r="I2827" s="172" t="str">
        <f>IFERROR(__xludf.DUMMYFUNCTION("""COMPUTED_VALUE"""),"女性マンガ")</f>
        <v>女性マンガ</v>
      </c>
      <c r="J2827" s="176"/>
      <c r="K2827" s="176"/>
      <c r="L2827" s="172" t="str">
        <f>IFERROR(__xludf.DUMMYFUNCTION("""COMPUTED_VALUE"""),"シーモアコミックス")</f>
        <v>シーモアコミックス</v>
      </c>
      <c r="M2827" s="59">
        <f>IFERROR(__xludf.DUMMYFUNCTION("""COMPUTED_VALUE"""),45724.0)</f>
        <v>45724</v>
      </c>
      <c r="N2827" s="59">
        <f>IFERROR(__xludf.DUMMYFUNCTION("""COMPUTED_VALUE"""),45904.66666666667)</f>
        <v>45904.66667</v>
      </c>
      <c r="O2827" s="172"/>
      <c r="P2827" s="177" t="str">
        <f>IFERROR(__xludf.DUMMYFUNCTION("""COMPUTED_VALUE"""),"可")</f>
        <v>可</v>
      </c>
      <c r="Q2827" s="179"/>
      <c r="R2827" s="172"/>
      <c r="S2827" s="172" t="str">
        <f>IFERROR(__xludf.DUMMYFUNCTION("""COMPUTED_VALUE"""),"20250203_シーモアコミックス_高嶺の花には難がある")</f>
        <v>20250203_シーモアコミックス_高嶺の花には難がある</v>
      </c>
      <c r="T2827" s="152" t="str">
        <f>IFERROR(__xludf.DUMMYFUNCTION("""COMPUTED_VALUE"""),"格納済み")</f>
        <v>格納済み</v>
      </c>
      <c r="U2827" s="15" t="str">
        <f>IFERROR(__xludf.DUMMYFUNCTION("""COMPUTED_VALUE"""),"© 大林あきら/シーモアコミックス")</f>
        <v>© 大林あきら/シーモアコミックス</v>
      </c>
      <c r="V2827" s="8" t="str">
        <f>IFERROR(__xludf.DUMMYFUNCTION("""COMPUTED_VALUE"""),"難あり美女が《秘密》でつながるオフィスラブ☆
美人なのに誰ともつき合わない社内の高嶺の花──高峰鈴（たかみねすず）には、深刻な悩みがある。男性と親密になろうとすると、なぜか相手が意識不明になってしまう、もちろん結婚だってしたいのに、この体質のせいでうまくいかないし自信も持てない。誰にも信じてもらえない悩みが、ひょんなことから、同期でプレイボーイの木名瀬（きなせ）にバレてしまった！ 「俺で試してみる？」と木名瀬は体質改善への協力を申し出てくれて…？【恋するソワレ＋】")</f>
        <v>難あり美女が《秘密》でつながるオフィスラブ☆
美人なのに誰ともつき合わない社内の高嶺の花──高峰鈴（たかみねすず）には、深刻な悩みがある。男性と親密になろうとすると、なぜか相手が意識不明になってしまう、もちろん結婚だってしたいのに、この体質のせいでうまくいかないし自信も持てない。誰にも信じてもらえない悩みが、ひょんなことから、同期でプレイボーイの木名瀬（きなせ）にバレてしまった！ 「俺で試してみる？」と木名瀬は体質改善への協力を申し出てくれて…？【恋するソワレ＋】</v>
      </c>
      <c r="W2827" s="14"/>
      <c r="X2827" s="14" t="str">
        <f>IFERROR(__xludf.DUMMYFUNCTION("""COMPUTED_VALUE"""),"有")</f>
        <v>有</v>
      </c>
      <c r="Y2827" s="8" t="str">
        <f>IFERROR(__xludf.DUMMYFUNCTION("""COMPUTED_VALUE"""),"2025/4/11まで1巻無料")</f>
        <v>2025/4/11まで1巻無料</v>
      </c>
      <c r="Z2827" s="7"/>
      <c r="AA2827" s="7"/>
      <c r="AB2827" s="7"/>
    </row>
    <row r="2828" ht="15.75" customHeight="1">
      <c r="A2828" s="171">
        <f>IFERROR(__xludf.DUMMYFUNCTION("""COMPUTED_VALUE"""),4947.0)</f>
        <v>4947</v>
      </c>
      <c r="B2828" s="172" t="str">
        <f>IFERROR(__xludf.DUMMYFUNCTION("""COMPUTED_VALUE"""),"確定")</f>
        <v>確定</v>
      </c>
      <c r="C2828" s="173">
        <f>IFERROR(__xludf.DUMMYFUNCTION("""COMPUTED_VALUE"""),45691.0)</f>
        <v>45691</v>
      </c>
      <c r="D2828" s="173">
        <f>IFERROR(__xludf.DUMMYFUNCTION("""COMPUTED_VALUE"""),45695.0)</f>
        <v>45695</v>
      </c>
      <c r="E2828" s="171">
        <f>IFERROR(__xludf.DUMMYFUNCTION("""COMPUTED_VALUE"""),301068.0)</f>
        <v>301068</v>
      </c>
      <c r="F2828" s="172" t="str">
        <f>IFERROR(__xludf.DUMMYFUNCTION("""COMPUTED_VALUE"""),"彼女のエンドロール～さよならまであと半年～")</f>
        <v>彼女のエンドロール～さよならまであと半年～</v>
      </c>
      <c r="G2828" s="172" t="str">
        <f>IFERROR(__xludf.DUMMYFUNCTION("""COMPUTED_VALUE"""),"1～3")</f>
        <v>1～3</v>
      </c>
      <c r="H2828" s="172" t="str">
        <f>IFERROR(__xludf.DUMMYFUNCTION("""COMPUTED_VALUE"""),"四ツ原フリコ")</f>
        <v>四ツ原フリコ</v>
      </c>
      <c r="I2828" s="172" t="str">
        <f>IFERROR(__xludf.DUMMYFUNCTION("""COMPUTED_VALUE"""),"少女マンガ")</f>
        <v>少女マンガ</v>
      </c>
      <c r="J2828" s="176"/>
      <c r="K2828" s="176"/>
      <c r="L2828" s="172" t="str">
        <f>IFERROR(__xludf.DUMMYFUNCTION("""COMPUTED_VALUE"""),"シーモアコミックス")</f>
        <v>シーモアコミックス</v>
      </c>
      <c r="M2828" s="59">
        <f>IFERROR(__xludf.DUMMYFUNCTION("""COMPUTED_VALUE"""),45724.0)</f>
        <v>45724</v>
      </c>
      <c r="N2828" s="59">
        <f>IFERROR(__xludf.DUMMYFUNCTION("""COMPUTED_VALUE"""),45876.66666666667)</f>
        <v>45876.66667</v>
      </c>
      <c r="O2828" s="172"/>
      <c r="P2828" s="178" t="str">
        <f>IFERROR(__xludf.DUMMYFUNCTION("""COMPUTED_VALUE"""),"可")</f>
        <v>可</v>
      </c>
      <c r="Q2828" s="179" t="str">
        <f>IFERROR(__xludf.DUMMYFUNCTION("""COMPUTED_VALUE"""),"&lt;BR&gt;")</f>
        <v>&lt;BR&gt;</v>
      </c>
      <c r="R2828" s="172"/>
      <c r="S2828" s="172" t="str">
        <f>IFERROR(__xludf.DUMMYFUNCTION("""COMPUTED_VALUE"""),"20250207_シーモアコミックス_彼女のエンドロール～さよならまであと半年～")</f>
        <v>20250207_シーモアコミックス_彼女のエンドロール～さよならまであと半年～</v>
      </c>
      <c r="T2828" s="152" t="str">
        <f>IFERROR(__xludf.DUMMYFUNCTION("""COMPUTED_VALUE"""),"格納済み")</f>
        <v>格納済み</v>
      </c>
      <c r="U2828" s="15" t="str">
        <f>IFERROR(__xludf.DUMMYFUNCTION("""COMPUTED_VALUE"""),"© 四ツ原フリコ/シーモアコミックス")</f>
        <v>© 四ツ原フリコ/シーモアコミックス</v>
      </c>
      <c r="V2828" s="8" t="str">
        <f>IFERROR(__xludf.DUMMYFUNCTION("""COMPUTED_VALUE"""),"そんなに素敵なものなら私も恋をしてみたい――余命半年を賭けた最初で最後の恋。
ビジュアルの良さを生かしてヒモ生活をしている神葛 来（かみくず らい）は、寄生先を追い出されて宿ナシ状態…。
「1ヵ月100万、半年600万円の契約で私の恋人になってくれませんか？」通りすがりの地味女・真（まこと）に拾われて、半年間の恋人契約をすることに。今まで恋愛に興味がなかったという真は、金で買った男と恋愛をしてみたいと言っていて…!? クズメン×余命半年の真面目女子のラスト・ラブ！【恋するソワレ】")</f>
        <v>そんなに素敵なものなら私も恋をしてみたい――余命半年を賭けた最初で最後の恋。
ビジュアルの良さを生かしてヒモ生活をしている神葛 来（かみくず らい）は、寄生先を追い出されて宿ナシ状態…。
「1ヵ月100万、半年600万円の契約で私の恋人になってくれませんか？」通りすがりの地味女・真（まこと）に拾われて、半年間の恋人契約をすることに。今まで恋愛に興味がなかったという真は、金で買った男と恋愛をしてみたいと言っていて…!? クズメン×余命半年の真面目女子のラスト・ラブ！【恋するソワレ】</v>
      </c>
      <c r="W2828" s="14"/>
      <c r="X2828" s="14" t="str">
        <f>IFERROR(__xludf.DUMMYFUNCTION("""COMPUTED_VALUE"""),"有")</f>
        <v>有</v>
      </c>
      <c r="Y2828" s="8" t="str">
        <f>IFERROR(__xludf.DUMMYFUNCTION("""COMPUTED_VALUE"""),"2025/4/11まで1巻無料")</f>
        <v>2025/4/11まで1巻無料</v>
      </c>
      <c r="Z2828" s="7"/>
      <c r="AA2828" s="7"/>
      <c r="AB2828" s="7"/>
    </row>
    <row r="2829" ht="15.75" customHeight="1">
      <c r="A2829" s="171">
        <f>IFERROR(__xludf.DUMMYFUNCTION("""COMPUTED_VALUE"""),4948.0)</f>
        <v>4948</v>
      </c>
      <c r="B2829" s="172" t="str">
        <f>IFERROR(__xludf.DUMMYFUNCTION("""COMPUTED_VALUE"""),"確定")</f>
        <v>確定</v>
      </c>
      <c r="C2829" s="173">
        <f>IFERROR(__xludf.DUMMYFUNCTION("""COMPUTED_VALUE"""),45691.0)</f>
        <v>45691</v>
      </c>
      <c r="D2829" s="173">
        <f>IFERROR(__xludf.DUMMYFUNCTION("""COMPUTED_VALUE"""),45695.0)</f>
        <v>45695</v>
      </c>
      <c r="E2829" s="171">
        <f>IFERROR(__xludf.DUMMYFUNCTION("""COMPUTED_VALUE"""),304144.0)</f>
        <v>304144</v>
      </c>
      <c r="F2829" s="172" t="str">
        <f>IFERROR(__xludf.DUMMYFUNCTION("""COMPUTED_VALUE"""),"好かれたら、終わり。～夫に執着する毒女に制裁を～")</f>
        <v>好かれたら、終わり。～夫に執着する毒女に制裁を～</v>
      </c>
      <c r="G2829" s="172" t="str">
        <f>IFERROR(__xludf.DUMMYFUNCTION("""COMPUTED_VALUE"""),"1～3")</f>
        <v>1～3</v>
      </c>
      <c r="H2829" s="172" t="str">
        <f>IFERROR(__xludf.DUMMYFUNCTION("""COMPUTED_VALUE"""),"宇佐美みね")</f>
        <v>宇佐美みね</v>
      </c>
      <c r="I2829" s="172" t="str">
        <f>IFERROR(__xludf.DUMMYFUNCTION("""COMPUTED_VALUE"""),"女性マンガ")</f>
        <v>女性マンガ</v>
      </c>
      <c r="J2829" s="176"/>
      <c r="K2829" s="176"/>
      <c r="L2829" s="172" t="str">
        <f>IFERROR(__xludf.DUMMYFUNCTION("""COMPUTED_VALUE"""),"シーモアコミックス")</f>
        <v>シーモアコミックス</v>
      </c>
      <c r="M2829" s="59">
        <f>IFERROR(__xludf.DUMMYFUNCTION("""COMPUTED_VALUE"""),45724.0)</f>
        <v>45724</v>
      </c>
      <c r="N2829" s="59">
        <f>IFERROR(__xludf.DUMMYFUNCTION("""COMPUTED_VALUE"""),45876.66666666667)</f>
        <v>45876.66667</v>
      </c>
      <c r="O2829" s="172"/>
      <c r="P2829" s="177" t="str">
        <f>IFERROR(__xludf.DUMMYFUNCTION("""COMPUTED_VALUE"""),"可")</f>
        <v>可</v>
      </c>
      <c r="Q2829" s="179"/>
      <c r="R2829" s="172"/>
      <c r="S2829" s="172" t="str">
        <f>IFERROR(__xludf.DUMMYFUNCTION("""COMPUTED_VALUE"""),"20250219_シーモアコミックス_好かれたら、終わり。～夫に執着する毒女に制裁を～")</f>
        <v>20250219_シーモアコミックス_好かれたら、終わり。～夫に執着する毒女に制裁を～</v>
      </c>
      <c r="T2829" s="152" t="str">
        <f>IFERROR(__xludf.DUMMYFUNCTION("""COMPUTED_VALUE"""),"格納済み")</f>
        <v>格納済み</v>
      </c>
      <c r="U2829" s="15" t="str">
        <f>IFERROR(__xludf.DUMMYFUNCTION("""COMPUTED_VALUE"""),"© 宇佐美みね/シーモアコミックス")</f>
        <v>© 宇佐美みね/シーモアコミックス</v>
      </c>
      <c r="V2829" s="8" t="str">
        <f>IFERROR(__xludf.DUMMYFUNCTION("""COMPUTED_VALUE"""),"夫のスマホに届いたメッセージが始まりだった――。
10年の付き合いを経て1年前に結婚、夫婦仲良く平穏な日々を送っていた大黒蓮太郎と愛佳。ある朝、愛佳は蓮太郎がテーブルに置き忘れたスマホにハート付きのメッセージが来たのを見てしまう。続いて「嫁のばーか」の一文が。直後に送信取り消しされるも、胸のざわつきはおさまらない。まさか浮気…？ スマホを取りに戻ってきた蓮太郎に聞こうとするが、あわただしく会社に行ってしまう。落ち着かない一日を過ごした愛佳は、夜、何気なくメッセージのことを聞いた…。メッセージの送り主は岡"&amp;"夏芽という会社の後輩。「彼女とは本当になんでもないよ」と笑って否定する蓮太郎に、一旦は納得しようとする愛佳だが……。次第に夏芽の手口は大胆になり……!!!? 本妻は私。やられっぱなしではいられないわ！ 夫と二人で、粘着毒女を撃退せよ!!【恋するソワレ＋】")</f>
        <v>夫のスマホに届いたメッセージが始まりだった――。
10年の付き合いを経て1年前に結婚、夫婦仲良く平穏な日々を送っていた大黒蓮太郎と愛佳。ある朝、愛佳は蓮太郎がテーブルに置き忘れたスマホにハート付きのメッセージが来たのを見てしまう。続いて「嫁のばーか」の一文が。直後に送信取り消しされるも、胸のざわつきはおさまらない。まさか浮気…？ スマホを取りに戻ってきた蓮太郎に聞こうとするが、あわただしく会社に行ってしまう。落ち着かない一日を過ごした愛佳は、夜、何気なくメッセージのことを聞いた…。メッセージの送り主は岡夏芽という会社の後輩。「彼女とは本当になんでもないよ」と笑って否定する蓮太郎に、一旦は納得しようとする愛佳だが……。次第に夏芽の手口は大胆になり……!!!? 本妻は私。やられっぱなしではいられないわ！ 夫と二人で、粘着毒女を撃退せよ!!【恋するソワレ＋】</v>
      </c>
      <c r="W2829" s="14"/>
      <c r="X2829" s="14" t="str">
        <f>IFERROR(__xludf.DUMMYFUNCTION("""COMPUTED_VALUE"""),"有")</f>
        <v>有</v>
      </c>
      <c r="Y2829" s="8" t="str">
        <f>IFERROR(__xludf.DUMMYFUNCTION("""COMPUTED_VALUE"""),"2025/4/11まで1巻無料")</f>
        <v>2025/4/11まで1巻無料</v>
      </c>
      <c r="Z2829" s="7"/>
      <c r="AA2829" s="7"/>
      <c r="AB2829" s="7"/>
    </row>
    <row r="2830" ht="15.75" customHeight="1">
      <c r="A2830" s="171">
        <f>IFERROR(__xludf.DUMMYFUNCTION("""COMPUTED_VALUE"""),4952.0)</f>
        <v>4952</v>
      </c>
      <c r="B2830" s="172" t="str">
        <f>IFERROR(__xludf.DUMMYFUNCTION("""COMPUTED_VALUE"""),"確定")</f>
        <v>確定</v>
      </c>
      <c r="C2830" s="173">
        <f>IFERROR(__xludf.DUMMYFUNCTION("""COMPUTED_VALUE"""),45692.0)</f>
        <v>45692</v>
      </c>
      <c r="D2830" s="173">
        <f>IFERROR(__xludf.DUMMYFUNCTION("""COMPUTED_VALUE"""),45695.0)</f>
        <v>45695</v>
      </c>
      <c r="E2830" s="174">
        <f>IFERROR(__xludf.DUMMYFUNCTION("""COMPUTED_VALUE"""),315440.0)</f>
        <v>315440</v>
      </c>
      <c r="F2830" s="175" t="str">
        <f>IFERROR(__xludf.DUMMYFUNCTION("""COMPUTED_VALUE"""),"斬首まで残り十秒！？ こんな致命的な場面に何度戻されてもどうしようもないんだけど！？")</f>
        <v>斬首まで残り十秒！？ こんな致命的な場面に何度戻されてもどうしようもないんだけど！？</v>
      </c>
      <c r="G2830" s="171">
        <f>IFERROR(__xludf.DUMMYFUNCTION("""COMPUTED_VALUE"""),1.0)</f>
        <v>1</v>
      </c>
      <c r="H2830" s="172" t="str">
        <f>IFERROR(__xludf.DUMMYFUNCTION("""COMPUTED_VALUE"""),"漫画：ハチシキ 原作：りんご飴ツイン")</f>
        <v>漫画：ハチシキ 原作：りんご飴ツイン</v>
      </c>
      <c r="I2830" s="172" t="str">
        <f>IFERROR(__xludf.DUMMYFUNCTION("""COMPUTED_VALUE"""),"少女マンガ")</f>
        <v>少女マンガ</v>
      </c>
      <c r="J2830" s="176"/>
      <c r="K2830" s="176"/>
      <c r="L2830" s="172" t="str">
        <f>IFERROR(__xludf.DUMMYFUNCTION("""COMPUTED_VALUE"""),"マッグガーデン")</f>
        <v>マッグガーデン</v>
      </c>
      <c r="M2830" s="59">
        <f>IFERROR(__xludf.DUMMYFUNCTION("""COMPUTED_VALUE"""),45717.0)</f>
        <v>45717</v>
      </c>
      <c r="N2830" s="59">
        <f>IFERROR(__xludf.DUMMYFUNCTION("""COMPUTED_VALUE"""),45807.0)</f>
        <v>45807</v>
      </c>
      <c r="O2830" s="172"/>
      <c r="P2830" s="178" t="str">
        <f>IFERROR(__xludf.DUMMYFUNCTION("""COMPUTED_VALUE"""),"否")</f>
        <v>否</v>
      </c>
      <c r="Q2830" s="172" t="str">
        <f>IFERROR(__xludf.DUMMYFUNCTION("""COMPUTED_VALUE"""),"アンソロジー作品です。")</f>
        <v>アンソロジー作品です。</v>
      </c>
      <c r="R2830" s="172" t="str">
        <f>IFERROR(__xludf.DUMMYFUNCTION("""COMPUTED_VALUE"""),"コミットOK")</f>
        <v>コミットOK</v>
      </c>
      <c r="S2830" s="172" t="str">
        <f>IFERROR(__xludf.DUMMYFUNCTION("""COMPUTED_VALUE"""),"20250207_マッグガーデン_斬首まで残り十秒！？ こんな致命的な場面に何度戻されてもどうしようもないんだけど！？")</f>
        <v>20250207_マッグガーデン_斬首まで残り十秒！？ こんな致命的な場面に何度戻されてもどうしようもないんだけど！？</v>
      </c>
      <c r="T2830" s="152" t="str">
        <f>IFERROR(__xludf.DUMMYFUNCTION("""COMPUTED_VALUE"""),"格納済み")</f>
        <v>格納済み</v>
      </c>
      <c r="U2830" s="15" t="str">
        <f>IFERROR(__xludf.DUMMYFUNCTION("""COMPUTED_VALUE"""),"Ⓒハチシキ Ⓒりんご飴ツイン/MAG Garden")</f>
        <v>Ⓒハチシキ Ⓒりんご飴ツイン/MAG Garden</v>
      </c>
      <c r="V2830" s="8" t="str">
        <f>IFERROR(__xludf.DUMMYFUNCTION("""COMPUTED_VALUE"""),"もし、斬首10秒前の悪役令嬢に前世の記憶が戻ってしまったら…。※この作品は『悪役令嬢として破滅フラグは全てへし折ってあげますわ！～いろんな手段であらゆる不幸に「ざまぁ」します～　アンソロジーコミック 2巻』に収録されている同タイトルを、同一の内容にて分冊版として再編集したものです。")</f>
        <v>もし、斬首10秒前の悪役令嬢に前世の記憶が戻ってしまったら…。※この作品は『悪役令嬢として破滅フラグは全てへし折ってあげますわ！～いろんな手段であらゆる不幸に「ざまぁ」します～　アンソロジーコミック 2巻』に収録されている同タイトルを、同一の内容にて分冊版として再編集したものです。</v>
      </c>
      <c r="W2830" s="14"/>
      <c r="X2830" s="14" t="str">
        <f>IFERROR(__xludf.DUMMYFUNCTION("""COMPUTED_VALUE"""),"有")</f>
        <v>有</v>
      </c>
      <c r="Y2830" s="8" t="str">
        <f>IFERROR(__xludf.DUMMYFUNCTION("""COMPUTED_VALUE"""),"P8まで")</f>
        <v>P8まで</v>
      </c>
      <c r="Z2830" s="7"/>
      <c r="AA2830" s="7"/>
      <c r="AB2830" s="7"/>
    </row>
    <row r="2831" ht="15.75" customHeight="1">
      <c r="A2831" s="171">
        <f>IFERROR(__xludf.DUMMYFUNCTION("""COMPUTED_VALUE"""),4953.0)</f>
        <v>4953</v>
      </c>
      <c r="B2831" s="172" t="str">
        <f>IFERROR(__xludf.DUMMYFUNCTION("""COMPUTED_VALUE"""),"確定")</f>
        <v>確定</v>
      </c>
      <c r="C2831" s="173">
        <f>IFERROR(__xludf.DUMMYFUNCTION("""COMPUTED_VALUE"""),45692.0)</f>
        <v>45692</v>
      </c>
      <c r="D2831" s="173">
        <f>IFERROR(__xludf.DUMMYFUNCTION("""COMPUTED_VALUE"""),45695.0)</f>
        <v>45695</v>
      </c>
      <c r="E2831" s="174">
        <f>IFERROR(__xludf.DUMMYFUNCTION("""COMPUTED_VALUE"""),315441.0)</f>
        <v>315441</v>
      </c>
      <c r="F2831" s="175" t="str">
        <f>IFERROR(__xludf.DUMMYFUNCTION("""COMPUTED_VALUE"""),"愚か者の婚約破棄")</f>
        <v>愚か者の婚約破棄</v>
      </c>
      <c r="G2831" s="171">
        <f>IFERROR(__xludf.DUMMYFUNCTION("""COMPUTED_VALUE"""),1.0)</f>
        <v>1</v>
      </c>
      <c r="H2831" s="172" t="str">
        <f>IFERROR(__xludf.DUMMYFUNCTION("""COMPUTED_VALUE"""),"漫画：杠葉こゆき 原作：まえばる蒔乃")</f>
        <v>漫画：杠葉こゆき 原作：まえばる蒔乃</v>
      </c>
      <c r="I2831" s="172" t="str">
        <f>IFERROR(__xludf.DUMMYFUNCTION("""COMPUTED_VALUE"""),"少女マンガ")</f>
        <v>少女マンガ</v>
      </c>
      <c r="J2831" s="176"/>
      <c r="K2831" s="176"/>
      <c r="L2831" s="172" t="str">
        <f>IFERROR(__xludf.DUMMYFUNCTION("""COMPUTED_VALUE"""),"マッグガーデン")</f>
        <v>マッグガーデン</v>
      </c>
      <c r="M2831" s="59">
        <f>IFERROR(__xludf.DUMMYFUNCTION("""COMPUTED_VALUE"""),45717.0)</f>
        <v>45717</v>
      </c>
      <c r="N2831" s="59">
        <f>IFERROR(__xludf.DUMMYFUNCTION("""COMPUTED_VALUE"""),45807.0)</f>
        <v>45807</v>
      </c>
      <c r="O2831" s="172"/>
      <c r="P2831" s="178" t="str">
        <f>IFERROR(__xludf.DUMMYFUNCTION("""COMPUTED_VALUE"""),"否")</f>
        <v>否</v>
      </c>
      <c r="Q2831" s="172" t="str">
        <f>IFERROR(__xludf.DUMMYFUNCTION("""COMPUTED_VALUE"""),"アンソロジー作品です。")</f>
        <v>アンソロジー作品です。</v>
      </c>
      <c r="R2831" s="172" t="str">
        <f>IFERROR(__xludf.DUMMYFUNCTION("""COMPUTED_VALUE"""),"コミットOK")</f>
        <v>コミットOK</v>
      </c>
      <c r="S2831" s="172" t="str">
        <f>IFERROR(__xludf.DUMMYFUNCTION("""COMPUTED_VALUE"""),"20250207_マッグガーデン_愚か者の婚約破棄")</f>
        <v>20250207_マッグガーデン_愚か者の婚約破棄</v>
      </c>
      <c r="T2831" s="152" t="str">
        <f>IFERROR(__xludf.DUMMYFUNCTION("""COMPUTED_VALUE"""),"格納済み")</f>
        <v>格納済み</v>
      </c>
      <c r="U2831" s="15" t="str">
        <f>IFERROR(__xludf.DUMMYFUNCTION("""COMPUTED_VALUE"""),"Ⓒ杠葉こゆき Ⓒまえばる蒔乃/MAG Garden")</f>
        <v>Ⓒ杠葉こゆき Ⓒまえばる蒔乃/MAG Garden</v>
      </c>
      <c r="V2831" s="8" t="str">
        <f>IFERROR(__xludf.DUMMYFUNCTION("""COMPUTED_VALUE"""),"『愚か者』は悪役令嬢か、断罪される平民か――!?※この作品は『悪役令嬢として破滅フラグは全てへし折ってあげますわ！～いろんな手段であらゆる不幸に「ざまぁ」します～　アンソロジーコミック 2巻』に収録されている同タイトルを、同一の内容にて分冊版として再編集したものです。")</f>
        <v>『愚か者』は悪役令嬢か、断罪される平民か――!?※この作品は『悪役令嬢として破滅フラグは全てへし折ってあげますわ！～いろんな手段であらゆる不幸に「ざまぁ」します～　アンソロジーコミック 2巻』に収録されている同タイトルを、同一の内容にて分冊版として再編集したものです。</v>
      </c>
      <c r="W2831" s="14"/>
      <c r="X2831" s="14" t="str">
        <f>IFERROR(__xludf.DUMMYFUNCTION("""COMPUTED_VALUE"""),"有")</f>
        <v>有</v>
      </c>
      <c r="Y2831" s="8" t="str">
        <f>IFERROR(__xludf.DUMMYFUNCTION("""COMPUTED_VALUE"""),"P10まで")</f>
        <v>P10まで</v>
      </c>
      <c r="Z2831" s="7"/>
      <c r="AA2831" s="7"/>
      <c r="AB2831" s="7"/>
    </row>
    <row r="2832" ht="15.75" customHeight="1">
      <c r="A2832" s="171">
        <f>IFERROR(__xludf.DUMMYFUNCTION("""COMPUTED_VALUE"""),4957.0)</f>
        <v>4957</v>
      </c>
      <c r="B2832" s="172" t="str">
        <f>IFERROR(__xludf.DUMMYFUNCTION("""COMPUTED_VALUE"""),"確定")</f>
        <v>確定</v>
      </c>
      <c r="C2832" s="173">
        <f>IFERROR(__xludf.DUMMYFUNCTION("""COMPUTED_VALUE"""),45692.0)</f>
        <v>45692</v>
      </c>
      <c r="D2832" s="173">
        <f>IFERROR(__xludf.DUMMYFUNCTION("""COMPUTED_VALUE"""),45695.0)</f>
        <v>45695</v>
      </c>
      <c r="E2832" s="174">
        <f>IFERROR(__xludf.DUMMYFUNCTION("""COMPUTED_VALUE"""),316541.0)</f>
        <v>316541</v>
      </c>
      <c r="F2832" s="175" t="str">
        <f>IFERROR(__xludf.DUMMYFUNCTION("""COMPUTED_VALUE"""),"くれない姫は暴虐の王と絆を紡ぐ～神の呪いと禁じられた恋～")</f>
        <v>くれない姫は暴虐の王と絆を紡ぐ～神の呪いと禁じられた恋～</v>
      </c>
      <c r="G2832" s="172" t="str">
        <f>IFERROR(__xludf.DUMMYFUNCTION("""COMPUTED_VALUE"""),"1～3")</f>
        <v>1～3</v>
      </c>
      <c r="H2832" s="172" t="str">
        <f>IFERROR(__xludf.DUMMYFUNCTION("""COMPUTED_VALUE"""),"奥乃桜子,沖之ガク,桜井星菜")</f>
        <v>奥乃桜子,沖之ガク,桜井星菜</v>
      </c>
      <c r="I2832" s="172" t="str">
        <f>IFERROR(__xludf.DUMMYFUNCTION("""COMPUTED_VALUE"""),"女性")</f>
        <v>女性</v>
      </c>
      <c r="J2832" s="176"/>
      <c r="K2832" s="172" t="str">
        <f>IFERROR(__xludf.DUMMYFUNCTION("""COMPUTED_VALUE"""),"異世界マーガレット")</f>
        <v>異世界マーガレット</v>
      </c>
      <c r="L2832" s="172" t="str">
        <f>IFERROR(__xludf.DUMMYFUNCTION("""COMPUTED_VALUE"""),"集英社")</f>
        <v>集英社</v>
      </c>
      <c r="M2832" s="59">
        <f>IFERROR(__xludf.DUMMYFUNCTION("""COMPUTED_VALUE"""),45717.0)</f>
        <v>45717</v>
      </c>
      <c r="N2832" s="59">
        <f>IFERROR(__xludf.DUMMYFUNCTION("""COMPUTED_VALUE"""),45747.0)</f>
        <v>45747</v>
      </c>
      <c r="O2832" s="172"/>
      <c r="P2832" s="177" t="str">
        <f>IFERROR(__xludf.DUMMYFUNCTION("""COMPUTED_VALUE"""),"否")</f>
        <v>否</v>
      </c>
      <c r="Q2832" s="179"/>
      <c r="R2832" s="172"/>
      <c r="S2832" s="172" t="str">
        <f>IFERROR(__xludf.DUMMYFUNCTION("""COMPUTED_VALUE"""),"20250203_集英社_くれない姫は暴虐の王と絆を紡ぐ")</f>
        <v>20250203_集英社_くれない姫は暴虐の王と絆を紡ぐ</v>
      </c>
      <c r="T2832" s="152" t="str">
        <f>IFERROR(__xludf.DUMMYFUNCTION("""COMPUTED_VALUE"""),"格納済み")</f>
        <v>格納済み</v>
      </c>
      <c r="U2832" s="15" t="str">
        <f>IFERROR(__xludf.DUMMYFUNCTION("""COMPUTED_VALUE"""),"Ⓒ桜井星菜・奥乃桜子／集英社")</f>
        <v>Ⓒ桜井星菜・奥乃桜子／集英社</v>
      </c>
      <c r="V2832" s="8" t="str">
        <f>IFERROR(__xludf.DUMMYFUNCTION("""COMPUTED_VALUE"""),"【不思議な糸で運命の恋が紡がれる――和風恋愛ファンタジー】人里離れた山中に存在する、黄金が詰まった“こがね石榴”と、どんな願いもかなえる“終の御花”。これらを手にするには、魂緒姫と心をつなぎ「魂緒の糸」を紡がなければならない。情を持たない紅姫は、誰とでも強固な糸を紡ぎ最上の魂緒姫と呼ばれている。そんな紅のもとに人の心を持たない鬼将軍・五条隆光がやってくる。紅は強固な糸を結ぶため、隆光のことを知ろうとするが――。")</f>
        <v>【不思議な糸で運命の恋が紡がれる――和風恋愛ファンタジー】人里離れた山中に存在する、黄金が詰まった“こがね石榴”と、どんな願いもかなえる“終の御花”。これらを手にするには、魂緒姫と心をつなぎ「魂緒の糸」を紡がなければならない。情を持たない紅姫は、誰とでも強固な糸を紡ぎ最上の魂緒姫と呼ばれている。そんな紅のもとに人の心を持たない鬼将軍・五条隆光がやってくる。紅は強固な糸を結ぶため、隆光のことを知ろうとするが――。</v>
      </c>
      <c r="W2832" s="14"/>
      <c r="X2832" s="14" t="str">
        <f>IFERROR(__xludf.DUMMYFUNCTION("""COMPUTED_VALUE"""),"有")</f>
        <v>有</v>
      </c>
      <c r="Y2832" s="8" t="str">
        <f>IFERROR(__xludf.DUMMYFUNCTION("""COMPUTED_VALUE"""),"2025/3/31まで1巻無料")</f>
        <v>2025/3/31まで1巻無料</v>
      </c>
      <c r="Z2832" s="7"/>
      <c r="AA2832" s="7"/>
      <c r="AB2832" s="7"/>
    </row>
    <row r="2833" ht="15.75" customHeight="1">
      <c r="A2833" s="171">
        <f>IFERROR(__xludf.DUMMYFUNCTION("""COMPUTED_VALUE"""),4967.0)</f>
        <v>4967</v>
      </c>
      <c r="B2833" s="172" t="str">
        <f>IFERROR(__xludf.DUMMYFUNCTION("""COMPUTED_VALUE"""),"確定")</f>
        <v>確定</v>
      </c>
      <c r="C2833" s="173">
        <f>IFERROR(__xludf.DUMMYFUNCTION("""COMPUTED_VALUE"""),45693.0)</f>
        <v>45693</v>
      </c>
      <c r="D2833" s="173">
        <f>IFERROR(__xludf.DUMMYFUNCTION("""COMPUTED_VALUE"""),45695.0)</f>
        <v>45695</v>
      </c>
      <c r="E2833" s="174">
        <f>IFERROR(__xludf.DUMMYFUNCTION("""COMPUTED_VALUE"""),315442.0)</f>
        <v>315442</v>
      </c>
      <c r="F2833" s="175" t="str">
        <f>IFERROR(__xludf.DUMMYFUNCTION("""COMPUTED_VALUE"""),"悪役令嬢は、既に死んでいた。")</f>
        <v>悪役令嬢は、既に死んでいた。</v>
      </c>
      <c r="G2833" s="171">
        <f>IFERROR(__xludf.DUMMYFUNCTION("""COMPUTED_VALUE"""),1.0)</f>
        <v>1</v>
      </c>
      <c r="H2833" s="172" t="str">
        <f>IFERROR(__xludf.DUMMYFUNCTION("""COMPUTED_VALUE"""),"漫画：楠木ひかる 原作：藍銅 紅")</f>
        <v>漫画：楠木ひかる 原作：藍銅 紅</v>
      </c>
      <c r="I2833" s="172" t="str">
        <f>IFERROR(__xludf.DUMMYFUNCTION("""COMPUTED_VALUE"""),"少女マンガ")</f>
        <v>少女マンガ</v>
      </c>
      <c r="J2833" s="176"/>
      <c r="K2833" s="176"/>
      <c r="L2833" s="172" t="str">
        <f>IFERROR(__xludf.DUMMYFUNCTION("""COMPUTED_VALUE"""),"マッグガーデン")</f>
        <v>マッグガーデン</v>
      </c>
      <c r="M2833" s="59">
        <f>IFERROR(__xludf.DUMMYFUNCTION("""COMPUTED_VALUE"""),45717.0)</f>
        <v>45717</v>
      </c>
      <c r="N2833" s="59">
        <f>IFERROR(__xludf.DUMMYFUNCTION("""COMPUTED_VALUE"""),45807.0)</f>
        <v>45807</v>
      </c>
      <c r="O2833" s="172"/>
      <c r="P2833" s="178" t="str">
        <f>IFERROR(__xludf.DUMMYFUNCTION("""COMPUTED_VALUE"""),"否")</f>
        <v>否</v>
      </c>
      <c r="Q2833" s="172" t="str">
        <f>IFERROR(__xludf.DUMMYFUNCTION("""COMPUTED_VALUE"""),"アンソロジー作品です。")</f>
        <v>アンソロジー作品です。</v>
      </c>
      <c r="R2833" s="172" t="str">
        <f>IFERROR(__xludf.DUMMYFUNCTION("""COMPUTED_VALUE"""),"コミットOK")</f>
        <v>コミットOK</v>
      </c>
      <c r="S2833" s="172" t="str">
        <f>IFERROR(__xludf.DUMMYFUNCTION("""COMPUTED_VALUE"""),"20250207_マッグガーデン_悪役令嬢は既に、死んでいた。")</f>
        <v>20250207_マッグガーデン_悪役令嬢は既に、死んでいた。</v>
      </c>
      <c r="T2833" s="160" t="str">
        <f>IFERROR(__xludf.DUMMYFUNCTION("""COMPUTED_VALUE"""),"格納済み")</f>
        <v>格納済み</v>
      </c>
      <c r="U2833" s="15" t="str">
        <f>IFERROR(__xludf.DUMMYFUNCTION("""COMPUTED_VALUE"""),"Ⓒ楠木ひかる Ⓒ藍銅　紅/MAG Garden")</f>
        <v>Ⓒ楠木ひかる Ⓒ藍銅　紅/MAG Garden</v>
      </c>
      <c r="V2833" s="8" t="str">
        <f>IFERROR(__xludf.DUMMYFUNCTION("""COMPUTED_VALUE"""),"断罪された悪役令嬢は――既に死亡済!?※この作品は『悪役令嬢として破滅フラグは全てへし折ってあげますわ！～いろんな手段であらゆる不幸に「ざまぁ」します～　アンソロジーコミック 2巻』に収録されている同タイトルを、同一の内容にて分冊版として再編集したものです。")</f>
        <v>断罪された悪役令嬢は――既に死亡済!?※この作品は『悪役令嬢として破滅フラグは全てへし折ってあげますわ！～いろんな手段であらゆる不幸に「ざまぁ」します～　アンソロジーコミック 2巻』に収録されている同タイトルを、同一の内容にて分冊版として再編集したものです。</v>
      </c>
      <c r="W2833" s="14"/>
      <c r="X2833" s="14" t="str">
        <f>IFERROR(__xludf.DUMMYFUNCTION("""COMPUTED_VALUE"""),"有")</f>
        <v>有</v>
      </c>
      <c r="Y2833" s="8" t="str">
        <f>IFERROR(__xludf.DUMMYFUNCTION("""COMPUTED_VALUE"""),"P10まで")</f>
        <v>P10まで</v>
      </c>
      <c r="Z2833" s="7"/>
      <c r="AA2833" s="7"/>
      <c r="AB2833" s="7"/>
    </row>
    <row r="2834" ht="15.75" customHeight="1">
      <c r="A2834" s="171">
        <f>IFERROR(__xludf.DUMMYFUNCTION("""COMPUTED_VALUE"""),4968.0)</f>
        <v>4968</v>
      </c>
      <c r="B2834" s="172" t="str">
        <f>IFERROR(__xludf.DUMMYFUNCTION("""COMPUTED_VALUE"""),"確定")</f>
        <v>確定</v>
      </c>
      <c r="C2834" s="173">
        <f>IFERROR(__xludf.DUMMYFUNCTION("""COMPUTED_VALUE"""),45693.0)</f>
        <v>45693</v>
      </c>
      <c r="D2834" s="173">
        <f>IFERROR(__xludf.DUMMYFUNCTION("""COMPUTED_VALUE"""),45695.0)</f>
        <v>45695</v>
      </c>
      <c r="E2834" s="174">
        <f>IFERROR(__xludf.DUMMYFUNCTION("""COMPUTED_VALUE"""),315443.0)</f>
        <v>315443</v>
      </c>
      <c r="F2834" s="175" t="str">
        <f>IFERROR(__xludf.DUMMYFUNCTION("""COMPUTED_VALUE"""),"ここ掘れ！悪役令嬢～追放先で最愛を掘り当てました～")</f>
        <v>ここ掘れ！悪役令嬢～追放先で最愛を掘り当てました～</v>
      </c>
      <c r="G2834" s="171">
        <f>IFERROR(__xludf.DUMMYFUNCTION("""COMPUTED_VALUE"""),1.0)</f>
        <v>1</v>
      </c>
      <c r="H2834" s="172" t="str">
        <f>IFERROR(__xludf.DUMMYFUNCTION("""COMPUTED_VALUE"""),"漫画：本山とらじろう 原作：長月おと")</f>
        <v>漫画：本山とらじろう 原作：長月おと</v>
      </c>
      <c r="I2834" s="172" t="str">
        <f>IFERROR(__xludf.DUMMYFUNCTION("""COMPUTED_VALUE"""),"少女マンガ")</f>
        <v>少女マンガ</v>
      </c>
      <c r="J2834" s="176"/>
      <c r="K2834" s="176"/>
      <c r="L2834" s="172" t="str">
        <f>IFERROR(__xludf.DUMMYFUNCTION("""COMPUTED_VALUE"""),"マッグガーデン")</f>
        <v>マッグガーデン</v>
      </c>
      <c r="M2834" s="59">
        <f>IFERROR(__xludf.DUMMYFUNCTION("""COMPUTED_VALUE"""),45717.0)</f>
        <v>45717</v>
      </c>
      <c r="N2834" s="59">
        <f>IFERROR(__xludf.DUMMYFUNCTION("""COMPUTED_VALUE"""),45807.0)</f>
        <v>45807</v>
      </c>
      <c r="O2834" s="172"/>
      <c r="P2834" s="178" t="str">
        <f>IFERROR(__xludf.DUMMYFUNCTION("""COMPUTED_VALUE"""),"否")</f>
        <v>否</v>
      </c>
      <c r="Q2834" s="172" t="str">
        <f>IFERROR(__xludf.DUMMYFUNCTION("""COMPUTED_VALUE"""),"アンソロジー作品です。")</f>
        <v>アンソロジー作品です。</v>
      </c>
      <c r="R2834" s="172" t="str">
        <f>IFERROR(__xludf.DUMMYFUNCTION("""COMPUTED_VALUE"""),"コミットNG")</f>
        <v>コミットNG</v>
      </c>
      <c r="S2834" s="172" t="str">
        <f>IFERROR(__xludf.DUMMYFUNCTION("""COMPUTED_VALUE"""),"20250207_マッグガーデン_ここ掘れ！悪役令嬢～追放先で最愛を掘り当てました～")</f>
        <v>20250207_マッグガーデン_ここ掘れ！悪役令嬢～追放先で最愛を掘り当てました～</v>
      </c>
      <c r="T2834" s="152" t="str">
        <f>IFERROR(__xludf.DUMMYFUNCTION("""COMPUTED_VALUE"""),"格納済み")</f>
        <v>格納済み</v>
      </c>
      <c r="U2834" s="15" t="str">
        <f>IFERROR(__xludf.DUMMYFUNCTION("""COMPUTED_VALUE"""),"Ⓒ本山とらじろう Ⓒ長月おと/MAG Garden")</f>
        <v>Ⓒ本山とらじろう Ⓒ長月おと/MAG Garden</v>
      </c>
      <c r="V2834" s="8" t="str">
        <f>IFERROR(__xludf.DUMMYFUNCTION("""COMPUTED_VALUE"""),"ダイヤと愛を掘り起こして幸せな未来を掴みますわ！※この作品は『悪役令嬢として破滅フラグは全てへし折ってあげますわ！～いろんな手段であらゆる不幸に「ざまぁ」します～　アンソロジーコミック 2巻』に収録されている同タイトルを、同一の内容にて分冊版として再編集したものです。")</f>
        <v>ダイヤと愛を掘り起こして幸せな未来を掴みますわ！※この作品は『悪役令嬢として破滅フラグは全てへし折ってあげますわ！～いろんな手段であらゆる不幸に「ざまぁ」します～　アンソロジーコミック 2巻』に収録されている同タイトルを、同一の内容にて分冊版として再編集したものです。</v>
      </c>
      <c r="W2834" s="14"/>
      <c r="X2834" s="14" t="str">
        <f>IFERROR(__xludf.DUMMYFUNCTION("""COMPUTED_VALUE"""),"有")</f>
        <v>有</v>
      </c>
      <c r="Y2834" s="8" t="str">
        <f>IFERROR(__xludf.DUMMYFUNCTION("""COMPUTED_VALUE"""),"P9まで")</f>
        <v>P9まで</v>
      </c>
      <c r="Z2834" s="7"/>
      <c r="AA2834" s="7"/>
      <c r="AB2834" s="7"/>
    </row>
    <row r="2835" ht="15.75" customHeight="1">
      <c r="A2835" s="171">
        <f>IFERROR(__xludf.DUMMYFUNCTION("""COMPUTED_VALUE"""),4988.0)</f>
        <v>4988</v>
      </c>
      <c r="B2835" s="172" t="str">
        <f>IFERROR(__xludf.DUMMYFUNCTION("""COMPUTED_VALUE"""),"確定")</f>
        <v>確定</v>
      </c>
      <c r="C2835" s="173">
        <f>IFERROR(__xludf.DUMMYFUNCTION("""COMPUTED_VALUE"""),45694.0)</f>
        <v>45694</v>
      </c>
      <c r="D2835" s="173">
        <f>IFERROR(__xludf.DUMMYFUNCTION("""COMPUTED_VALUE"""),45695.0)</f>
        <v>45695</v>
      </c>
      <c r="E2835" s="174">
        <f>IFERROR(__xludf.DUMMYFUNCTION("""COMPUTED_VALUE"""),315416.0)</f>
        <v>315416</v>
      </c>
      <c r="F2835" s="175" t="str">
        <f>IFERROR(__xludf.DUMMYFUNCTION("""COMPUTED_VALUE"""),"乙女ゲーのヒロインに転生したのに悪役令嬢の弟（攻略対象外）に執着えっちされるんですが！？")</f>
        <v>乙女ゲーのヒロインに転生したのに悪役令嬢の弟（攻略対象外）に執着えっちされるんですが！？</v>
      </c>
      <c r="G2835" s="172" t="str">
        <f>IFERROR(__xludf.DUMMYFUNCTION("""COMPUTED_VALUE"""),"1～3")</f>
        <v>1～3</v>
      </c>
      <c r="H2835" s="172" t="str">
        <f>IFERROR(__xludf.DUMMYFUNCTION("""COMPUTED_VALUE"""),"りすヲ")</f>
        <v>りすヲ</v>
      </c>
      <c r="I2835" s="172" t="str">
        <f>IFERROR(__xludf.DUMMYFUNCTION("""COMPUTED_VALUE"""),"TL")</f>
        <v>TL</v>
      </c>
      <c r="J2835" s="176"/>
      <c r="K2835" s="172" t="str">
        <f>IFERROR(__xludf.DUMMYFUNCTION("""COMPUTED_VALUE"""),"LOVEBITES")</f>
        <v>LOVEBITES</v>
      </c>
      <c r="L2835" s="172" t="str">
        <f>IFERROR(__xludf.DUMMYFUNCTION("""COMPUTED_VALUE"""),"一迅社")</f>
        <v>一迅社</v>
      </c>
      <c r="M2835" s="59">
        <f>IFERROR(__xludf.DUMMYFUNCTION("""COMPUTED_VALUE"""),45723.0)</f>
        <v>45723</v>
      </c>
      <c r="N2835" s="59">
        <f>IFERROR(__xludf.DUMMYFUNCTION("""COMPUTED_VALUE"""),45750.0)</f>
        <v>45750</v>
      </c>
      <c r="O2835" s="172"/>
      <c r="P2835" s="177" t="str">
        <f>IFERROR(__xludf.DUMMYFUNCTION("""COMPUTED_VALUE"""),"可")</f>
        <v>可</v>
      </c>
      <c r="Q2835" s="179"/>
      <c r="R2835" s="172"/>
      <c r="S2835" s="172" t="str">
        <f>IFERROR(__xludf.DUMMYFUNCTION("""COMPUTED_VALUE"""),"20250205_一迅社_乙女ゲーのヒロインに転生したのに悪役令嬢の弟（攻略対象外）に執着えっちされるんですが！？")</f>
        <v>20250205_一迅社_乙女ゲーのヒロインに転生したのに悪役令嬢の弟（攻略対象外）に執着えっちされるんですが！？</v>
      </c>
      <c r="T2835" s="152" t="str">
        <f>IFERROR(__xludf.DUMMYFUNCTION("""COMPUTED_VALUE"""),"格納済み")</f>
        <v>格納済み</v>
      </c>
      <c r="U2835" s="15" t="str">
        <f>IFERROR(__xludf.DUMMYFUNCTION("""COMPUTED_VALUE"""),"Ⓒりすヲ／一迅社")</f>
        <v>Ⓒりすヲ／一迅社</v>
      </c>
      <c r="V2835" s="8" t="str">
        <f>IFERROR(__xludf.DUMMYFUNCTION("""COMPUTED_VALUE"""),"攻略対象外のイケメンが、私をエッチに刺激する!?――面接に行く途中に事故に遭い、乙女ゲーム『花咲く恋と花束を』に転生したヒロイン・ユメ。生前プレイしていた乙女ゲームの世界でイケメンとちょっとエッチで甘い学園生活を謳歌する予定だったものの、ユメの攻略が下手すぎて、全攻略対象を悪役令嬢に奪われてしまう。バッドエンドを回避するため、隠しキャラの好感度を上げる必要があり、いろんな男に迫りまくるユメ。しかし、その行動が災いして、名もなきモブたちに囲まれてしまう。モブとのエンドなんて絶対嫌……！　そう願ったとき、モブ"&amp;"が見知らぬイケメンに吹っ飛ばされて……！")</f>
        <v>攻略対象外のイケメンが、私をエッチに刺激する!?――面接に行く途中に事故に遭い、乙女ゲーム『花咲く恋と花束を』に転生したヒロイン・ユメ。生前プレイしていた乙女ゲームの世界でイケメンとちょっとエッチで甘い学園生活を謳歌する予定だったものの、ユメの攻略が下手すぎて、全攻略対象を悪役令嬢に奪われてしまう。バッドエンドを回避するため、隠しキャラの好感度を上げる必要があり、いろんな男に迫りまくるユメ。しかし、その行動が災いして、名もなきモブたちに囲まれてしまう。モブとのエンドなんて絶対嫌……！　そう願ったとき、モブが見知らぬイケメンに吹っ飛ばされて……！</v>
      </c>
      <c r="W2835" s="14"/>
      <c r="X2835" s="14" t="str">
        <f>IFERROR(__xludf.DUMMYFUNCTION("""COMPUTED_VALUE"""),"有")</f>
        <v>有</v>
      </c>
      <c r="Y2835" s="8" t="str">
        <f>IFERROR(__xludf.DUMMYFUNCTION("""COMPUTED_VALUE"""),"2025/4/3まで1巻無料")</f>
        <v>2025/4/3まで1巻無料</v>
      </c>
      <c r="Z2835" s="7"/>
      <c r="AA2835" s="7"/>
      <c r="AB2835" s="7"/>
    </row>
    <row r="2836" ht="15.75" customHeight="1">
      <c r="A2836" s="171">
        <f>IFERROR(__xludf.DUMMYFUNCTION("""COMPUTED_VALUE"""),4997.0)</f>
        <v>4997</v>
      </c>
      <c r="B2836" s="172" t="str">
        <f>IFERROR(__xludf.DUMMYFUNCTION("""COMPUTED_VALUE"""),"確定")</f>
        <v>確定</v>
      </c>
      <c r="C2836" s="173">
        <f>IFERROR(__xludf.DUMMYFUNCTION("""COMPUTED_VALUE"""),45695.0)</f>
        <v>45695</v>
      </c>
      <c r="D2836" s="173">
        <f>IFERROR(__xludf.DUMMYFUNCTION("""COMPUTED_VALUE"""),45698.0)</f>
        <v>45698</v>
      </c>
      <c r="E2836" s="174">
        <f>IFERROR(__xludf.DUMMYFUNCTION("""COMPUTED_VALUE"""),315986.0)</f>
        <v>315986</v>
      </c>
      <c r="F2836" s="175" t="str">
        <f>IFERROR(__xludf.DUMMYFUNCTION("""COMPUTED_VALUE"""),"年上だけど、抱いてくれますか？")</f>
        <v>年上だけど、抱いてくれますか？</v>
      </c>
      <c r="G2836" s="172" t="str">
        <f>IFERROR(__xludf.DUMMYFUNCTION("""COMPUTED_VALUE"""),"1～4")</f>
        <v>1～4</v>
      </c>
      <c r="H2836" s="172" t="str">
        <f>IFERROR(__xludf.DUMMYFUNCTION("""COMPUTED_VALUE"""),"sizenpang/アビョ4")</f>
        <v>sizenpang/アビョ4</v>
      </c>
      <c r="I2836" s="172" t="str">
        <f>IFERROR(__xludf.DUMMYFUNCTION("""COMPUTED_VALUE"""),"青年")</f>
        <v>青年</v>
      </c>
      <c r="J2836" s="176"/>
      <c r="K2836" s="176"/>
      <c r="L2836" s="172" t="str">
        <f>IFERROR(__xludf.DUMMYFUNCTION("""COMPUTED_VALUE"""),"Rush!")</f>
        <v>Rush!</v>
      </c>
      <c r="M2836" s="59">
        <f>IFERROR(__xludf.DUMMYFUNCTION("""COMPUTED_VALUE"""),45742.0)</f>
        <v>45742</v>
      </c>
      <c r="N2836" s="59">
        <f>IFERROR(__xludf.DUMMYFUNCTION("""COMPUTED_VALUE"""),45832.0)</f>
        <v>45832</v>
      </c>
      <c r="O2836" s="172"/>
      <c r="P2836" s="178" t="str">
        <f>IFERROR(__xludf.DUMMYFUNCTION("""COMPUTED_VALUE"""),"可")</f>
        <v>可</v>
      </c>
      <c r="Q2836" s="179" t="str">
        <f>IFERROR(__xludf.DUMMYFUNCTION("""COMPUTED_VALUE"""),"協業レーベル『シーモア×Rush!』作品です。")</f>
        <v>協業レーベル『シーモア×Rush!』作品です。</v>
      </c>
      <c r="R2836" s="172"/>
      <c r="S2836" s="172" t="str">
        <f>IFERROR(__xludf.DUMMYFUNCTION("""COMPUTED_VALUE"""),"20250207_ファンギルド_年上だけど、抱いてくれますか？")</f>
        <v>20250207_ファンギルド_年上だけど、抱いてくれますか？</v>
      </c>
      <c r="T2836" s="152" t="str">
        <f>IFERROR(__xludf.DUMMYFUNCTION("""COMPUTED_VALUE"""),"格納済み")</f>
        <v>格納済み</v>
      </c>
      <c r="U2836" s="15" t="str">
        <f>IFERROR(__xludf.DUMMYFUNCTION("""COMPUTED_VALUE"""),"Ⓒsizenpang/Abyo4/TOPTOON")</f>
        <v>Ⓒsizenpang/Abyo4/TOPTOON</v>
      </c>
      <c r="V2836" s="8" t="str">
        <f>IFERROR(__xludf.DUMMYFUNCTION("""COMPUTED_VALUE"""),"バラ色のキャンパスライフを夢見る復学大学生・原口純。しかし現実は厳しく、いつも一人で孤独な日々を過ごしていた。そんなある日、大学構内で財布を拾ったことで持ち主のとある女性・成田杏と知り合うことに。今まで縁のなかったとんでもない美人にたまらず声をかけ、そのままの流れで二人きりで飲みにいくことに！浮足立つ純だったが、そこに二人の見知らぬ女性が現れ、ある一つの”嘘”があらわになる。それは――「成田杏……36歳」年上美魔女に囲まれた、ちょっぴりピンク色なキャンパスライフが始まる！")</f>
        <v>バラ色のキャンパスライフを夢見る復学大学生・原口純。しかし現実は厳しく、いつも一人で孤独な日々を過ごしていた。そんなある日、大学構内で財布を拾ったことで持ち主のとある女性・成田杏と知り合うことに。今まで縁のなかったとんでもない美人にたまらず声をかけ、そのままの流れで二人きりで飲みにいくことに！浮足立つ純だったが、そこに二人の見知らぬ女性が現れ、ある一つの”嘘”があらわになる。それは――「成田杏……36歳」年上美魔女に囲まれた、ちょっぴりピンク色なキャンパスライフが始まる！</v>
      </c>
      <c r="W2836" s="14"/>
      <c r="X2836" s="14" t="str">
        <f>IFERROR(__xludf.DUMMYFUNCTION("""COMPUTED_VALUE"""),"有")</f>
        <v>有</v>
      </c>
      <c r="Y2836" s="8" t="str">
        <f>IFERROR(__xludf.DUMMYFUNCTION("""COMPUTED_VALUE"""),"2025/4/10まで1巻無料")</f>
        <v>2025/4/10まで1巻無料</v>
      </c>
      <c r="Z2836" s="7"/>
      <c r="AA2836" s="7"/>
      <c r="AB2836" s="7"/>
    </row>
    <row r="2837" ht="15.75" customHeight="1">
      <c r="A2837" s="171">
        <f>IFERROR(__xludf.DUMMYFUNCTION("""COMPUTED_VALUE"""),4999.0)</f>
        <v>4999</v>
      </c>
      <c r="B2837" s="172" t="str">
        <f>IFERROR(__xludf.DUMMYFUNCTION("""COMPUTED_VALUE"""),"確定")</f>
        <v>確定</v>
      </c>
      <c r="C2837" s="173">
        <f>IFERROR(__xludf.DUMMYFUNCTION("""COMPUTED_VALUE"""),45695.0)</f>
        <v>45695</v>
      </c>
      <c r="D2837" s="173">
        <f>IFERROR(__xludf.DUMMYFUNCTION("""COMPUTED_VALUE"""),45698.0)</f>
        <v>45698</v>
      </c>
      <c r="E2837" s="174">
        <f>IFERROR(__xludf.DUMMYFUNCTION("""COMPUTED_VALUE"""),317477.0)</f>
        <v>317477</v>
      </c>
      <c r="F2837" s="175" t="str">
        <f>IFERROR(__xludf.DUMMYFUNCTION("""COMPUTED_VALUE"""),"没落令嬢ですが、あなたにご奉仕させてください！")</f>
        <v>没落令嬢ですが、あなたにご奉仕させてください！</v>
      </c>
      <c r="G2837" s="172" t="str">
        <f>IFERROR(__xludf.DUMMYFUNCTION("""COMPUTED_VALUE"""),"1～4")</f>
        <v>1～4</v>
      </c>
      <c r="H2837" s="172" t="str">
        <f>IFERROR(__xludf.DUMMYFUNCTION("""COMPUTED_VALUE"""),"Yuni/カモノハシ/TwoJ")</f>
        <v>Yuni/カモノハシ/TwoJ</v>
      </c>
      <c r="I2837" s="172" t="str">
        <f>IFERROR(__xludf.DUMMYFUNCTION("""COMPUTED_VALUE"""),"青年")</f>
        <v>青年</v>
      </c>
      <c r="J2837" s="176"/>
      <c r="K2837" s="176"/>
      <c r="L2837" s="172" t="str">
        <f>IFERROR(__xludf.DUMMYFUNCTION("""COMPUTED_VALUE"""),"Rush!")</f>
        <v>Rush!</v>
      </c>
      <c r="M2837" s="59">
        <f>IFERROR(__xludf.DUMMYFUNCTION("""COMPUTED_VALUE"""),45737.0)</f>
        <v>45737</v>
      </c>
      <c r="N2837" s="28">
        <f>IFERROR(__xludf.DUMMYFUNCTION("""COMPUTED_VALUE"""),45764.0)</f>
        <v>45764</v>
      </c>
      <c r="O2837" s="172"/>
      <c r="P2837" s="177" t="str">
        <f>IFERROR(__xludf.DUMMYFUNCTION("""COMPUTED_VALUE"""),"可")</f>
        <v>可</v>
      </c>
      <c r="Q2837" s="179"/>
      <c r="R2837" s="172"/>
      <c r="S2837" s="172" t="str">
        <f>IFERROR(__xludf.DUMMYFUNCTION("""COMPUTED_VALUE"""),"20250207_ファンギルド_没落令嬢ですが、あなたにご奉仕させてください！")</f>
        <v>20250207_ファンギルド_没落令嬢ですが、あなたにご奉仕させてください！</v>
      </c>
      <c r="T2837" s="152" t="str">
        <f>IFERROR(__xludf.DUMMYFUNCTION("""COMPUTED_VALUE"""),"格納済み")</f>
        <v>格納済み</v>
      </c>
      <c r="U2837" s="15" t="str">
        <f>IFERROR(__xludf.DUMMYFUNCTION("""COMPUTED_VALUE"""),"ⒸYuni/カモノハシ/TwoJ/TOPTOON")</f>
        <v>ⒸYuni/カモノハシ/TwoJ/TOPTOON</v>
      </c>
      <c r="V2837" s="8" t="str">
        <f>IFERROR(__xludf.DUMMYFUNCTION("""COMPUTED_VALUE"""),"ある日突然、ゲームの世界に転生してしまったヤンデル。しかし飛ばされた先は物語が始まる数年前…しかも魔法使いのはずなのに魔法は使えない状況だった。それから三年――ヤンデルは自身の力を取り戻すため、今や没落した魔法使いの名家の令嬢・カーラを見つけ出した。ゲームの中では悪魔に転生し悪役となっていたカーラだが、出会ったばかりの彼女はまるで小動物のように震えていて…。「準備出来ました、ご主人様…」没落令嬢と始める異世界ハーレムライフ、スタート！")</f>
        <v>ある日突然、ゲームの世界に転生してしまったヤンデル。しかし飛ばされた先は物語が始まる数年前…しかも魔法使いのはずなのに魔法は使えない状況だった。それから三年――ヤンデルは自身の力を取り戻すため、今や没落した魔法使いの名家の令嬢・カーラを見つけ出した。ゲームの中では悪魔に転生し悪役となっていたカーラだが、出会ったばかりの彼女はまるで小動物のように震えていて…。「準備出来ました、ご主人様…」没落令嬢と始める異世界ハーレムライフ、スタート！</v>
      </c>
      <c r="W2837" s="14"/>
      <c r="X2837" s="14" t="str">
        <f>IFERROR(__xludf.DUMMYFUNCTION("""COMPUTED_VALUE"""),"有")</f>
        <v>有</v>
      </c>
      <c r="Y2837" s="8" t="str">
        <f>IFERROR(__xludf.DUMMYFUNCTION("""COMPUTED_VALUE"""),"2025/4/17まで1巻無料")</f>
        <v>2025/4/17まで1巻無料</v>
      </c>
      <c r="Z2837" s="7"/>
      <c r="AA2837" s="7"/>
      <c r="AB2837" s="7"/>
    </row>
    <row r="2838" ht="15.75" customHeight="1">
      <c r="A2838" s="171">
        <f>IFERROR(__xludf.DUMMYFUNCTION("""COMPUTED_VALUE"""),5000.0)</f>
        <v>5000</v>
      </c>
      <c r="B2838" s="172" t="str">
        <f>IFERROR(__xludf.DUMMYFUNCTION("""COMPUTED_VALUE"""),"確定")</f>
        <v>確定</v>
      </c>
      <c r="C2838" s="173">
        <f>IFERROR(__xludf.DUMMYFUNCTION("""COMPUTED_VALUE"""),45695.0)</f>
        <v>45695</v>
      </c>
      <c r="D2838" s="173">
        <f>IFERROR(__xludf.DUMMYFUNCTION("""COMPUTED_VALUE"""),45698.0)</f>
        <v>45698</v>
      </c>
      <c r="E2838" s="174">
        <f>IFERROR(__xludf.DUMMYFUNCTION("""COMPUTED_VALUE"""),317799.0)</f>
        <v>317799</v>
      </c>
      <c r="F2838" s="175" t="str">
        <f>IFERROR(__xludf.DUMMYFUNCTION("""COMPUTED_VALUE"""),"追放されたダンジョン配信者、《マッピング》スキルで最強パーティーを目指します")</f>
        <v>追放されたダンジョン配信者、《マッピング》スキルで最強パーティーを目指します</v>
      </c>
      <c r="G2838" s="172" t="str">
        <f>IFERROR(__xludf.DUMMYFUNCTION("""COMPUTED_VALUE"""),"1～5")</f>
        <v>1～5</v>
      </c>
      <c r="H2838" s="172" t="str">
        <f>IFERROR(__xludf.DUMMYFUNCTION("""COMPUTED_VALUE"""),"入逢夕/瀬戸夏樹")</f>
        <v>入逢夕/瀬戸夏樹</v>
      </c>
      <c r="I2838" s="172" t="str">
        <f>IFERROR(__xludf.DUMMYFUNCTION("""COMPUTED_VALUE"""),"少年")</f>
        <v>少年</v>
      </c>
      <c r="J2838" s="176"/>
      <c r="K2838" s="176"/>
      <c r="L2838" s="172" t="str">
        <f>IFERROR(__xludf.DUMMYFUNCTION("""COMPUTED_VALUE"""),"ファンギルド")</f>
        <v>ファンギルド</v>
      </c>
      <c r="M2838" s="59">
        <f>IFERROR(__xludf.DUMMYFUNCTION("""COMPUTED_VALUE"""),45738.0)</f>
        <v>45738</v>
      </c>
      <c r="N2838" s="59">
        <f>IFERROR(__xludf.DUMMYFUNCTION("""COMPUTED_VALUE"""),45768.0)</f>
        <v>45768</v>
      </c>
      <c r="O2838" s="172"/>
      <c r="P2838" s="177" t="str">
        <f>IFERROR(__xludf.DUMMYFUNCTION("""COMPUTED_VALUE"""),"可")</f>
        <v>可</v>
      </c>
      <c r="Q2838" s="179"/>
      <c r="R2838" s="172"/>
      <c r="S2838" s="172" t="str">
        <f>IFERROR(__xludf.DUMMYFUNCTION("""COMPUTED_VALUE"""),"20250207_ファンギルド_追放されたダンジョン配信者、《マッピング》スキルで最強パーティーを目指します")</f>
        <v>20250207_ファンギルド_追放されたダンジョン配信者、《マッピング》スキルで最強パーティーを目指します</v>
      </c>
      <c r="T2838" s="152" t="str">
        <f>IFERROR(__xludf.DUMMYFUNCTION("""COMPUTED_VALUE"""),"格納済み")</f>
        <v>格納済み</v>
      </c>
      <c r="U2838" s="15" t="str">
        <f>IFERROR(__xludf.DUMMYFUNCTION("""COMPUTED_VALUE"""),"Ⓒ入逢夕/瀬戸夏樹/ファンギルド")</f>
        <v>Ⓒ入逢夕/瀬戸夏樹/ファンギルド</v>
      </c>
      <c r="V2838" s="8" t="str">
        <f>IFERROR(__xludf.DUMMYFUNCTION("""COMPUTED_VALUE"""),"追放された人気ダンジョン配信グループのプロデューサーが、伸び悩む配信者を集めて最強のパーティーを結成していく！世界各地にダンジョンが出現してから5年。現代ではダンジョンの探索や配信が一般的になり、その中でも配信グループ「Dライブ・ユニット」は絶大な人気を誇っていた。Dライブに所属する「雪代悟」は、プロデューサーとしてここまで導いてきたことに達成感を抱いていた。しかし、リーダーの「暁月蓮也」に裏切られ、濡れ衣を着せられたまま追放されてしまう――。失意の中、一人でダンジョン配信を行っている悟の前に、かつて探索"&amp;"のイロハを教えた少女「坂下榛名」が現れる。この出会いが、悟のプロデューサーとしての人生を大きく変えることに――！！落ちこぼれのメンバーたちを悟がプロデュースし、最強配信グループへと成長させていく成り上がりダンジョン配信が、いま開幕する！！")</f>
        <v>追放された人気ダンジョン配信グループのプロデューサーが、伸び悩む配信者を集めて最強のパーティーを結成していく！世界各地にダンジョンが出現してから5年。現代ではダンジョンの探索や配信が一般的になり、その中でも配信グループ「Dライブ・ユニット」は絶大な人気を誇っていた。Dライブに所属する「雪代悟」は、プロデューサーとしてここまで導いてきたことに達成感を抱いていた。しかし、リーダーの「暁月蓮也」に裏切られ、濡れ衣を着せられたまま追放されてしまう――。失意の中、一人でダンジョン配信を行っている悟の前に、かつて探索のイロハを教えた少女「坂下榛名」が現れる。この出会いが、悟のプロデューサーとしての人生を大きく変えることに――！！落ちこぼれのメンバーたちを悟がプロデュースし、最強配信グループへと成長させていく成り上がりダンジョン配信が、いま開幕する！！</v>
      </c>
      <c r="W2838" s="14"/>
      <c r="X2838" s="14" t="str">
        <f>IFERROR(__xludf.DUMMYFUNCTION("""COMPUTED_VALUE"""),"有")</f>
        <v>有</v>
      </c>
      <c r="Y2838" s="8" t="str">
        <f>IFERROR(__xludf.DUMMYFUNCTION("""COMPUTED_VALUE"""),"2025/4/4まで1巻無料")</f>
        <v>2025/4/4まで1巻無料</v>
      </c>
      <c r="Z2838" s="7"/>
      <c r="AA2838" s="7"/>
      <c r="AB2838" s="7"/>
    </row>
    <row r="2839" ht="15.75" customHeight="1">
      <c r="A2839" s="171">
        <f>IFERROR(__xludf.DUMMYFUNCTION("""COMPUTED_VALUE"""),5001.0)</f>
        <v>5001</v>
      </c>
      <c r="B2839" s="172" t="str">
        <f>IFERROR(__xludf.DUMMYFUNCTION("""COMPUTED_VALUE"""),"確定")</f>
        <v>確定</v>
      </c>
      <c r="C2839" s="173">
        <f>IFERROR(__xludf.DUMMYFUNCTION("""COMPUTED_VALUE"""),45695.0)</f>
        <v>45695</v>
      </c>
      <c r="D2839" s="173">
        <f>IFERROR(__xludf.DUMMYFUNCTION("""COMPUTED_VALUE"""),45698.0)</f>
        <v>45698</v>
      </c>
      <c r="E2839" s="174">
        <f>IFERROR(__xludf.DUMMYFUNCTION("""COMPUTED_VALUE"""),317800.0)</f>
        <v>317800</v>
      </c>
      <c r="F2839" s="175" t="str">
        <f>IFERROR(__xludf.DUMMYFUNCTION("""COMPUTED_VALUE"""),"凄腕イケメン御曹司は最愛シンデレラをとめどない愛で酔わせたい")</f>
        <v>凄腕イケメン御曹司は最愛シンデレラをとめどない愛で酔わせたい</v>
      </c>
      <c r="G2839" s="172" t="str">
        <f>IFERROR(__xludf.DUMMYFUNCTION("""COMPUTED_VALUE"""),"1～4")</f>
        <v>1～4</v>
      </c>
      <c r="H2839" s="172" t="str">
        <f>IFERROR(__xludf.DUMMYFUNCTION("""COMPUTED_VALUE"""),"あまね未琴/泉南佳那")</f>
        <v>あまね未琴/泉南佳那</v>
      </c>
      <c r="I2839" s="172" t="str">
        <f>IFERROR(__xludf.DUMMYFUNCTION("""COMPUTED_VALUE"""),"女性")</f>
        <v>女性</v>
      </c>
      <c r="J2839" s="176"/>
      <c r="K2839" s="176"/>
      <c r="L2839" s="172" t="str">
        <f>IFERROR(__xludf.DUMMYFUNCTION("""COMPUTED_VALUE"""),"ファンギルド")</f>
        <v>ファンギルド</v>
      </c>
      <c r="M2839" s="59">
        <f>IFERROR(__xludf.DUMMYFUNCTION("""COMPUTED_VALUE"""),45742.0)</f>
        <v>45742</v>
      </c>
      <c r="N2839" s="59">
        <f>IFERROR(__xludf.DUMMYFUNCTION("""COMPUTED_VALUE"""),45769.0)</f>
        <v>45769</v>
      </c>
      <c r="O2839" s="172"/>
      <c r="P2839" s="177" t="str">
        <f>IFERROR(__xludf.DUMMYFUNCTION("""COMPUTED_VALUE"""),"可")</f>
        <v>可</v>
      </c>
      <c r="Q2839" s="179"/>
      <c r="R2839" s="172"/>
      <c r="S2839" s="172" t="str">
        <f>IFERROR(__xludf.DUMMYFUNCTION("""COMPUTED_VALUE"""),"20250207_ファンギルド_凄腕イケメン御曹司は最愛シンデレラをとめどない愛で酔わせたい")</f>
        <v>20250207_ファンギルド_凄腕イケメン御曹司は最愛シンデレラをとめどない愛で酔わせたい</v>
      </c>
      <c r="T2839" s="152" t="str">
        <f>IFERROR(__xludf.DUMMYFUNCTION("""COMPUTED_VALUE"""),"格納済み")</f>
        <v>格納済み</v>
      </c>
      <c r="U2839" s="15" t="str">
        <f>IFERROR(__xludf.DUMMYFUNCTION("""COMPUTED_VALUE"""),"Ⓒあまね未琴/泉南佳那/ファンギルド")</f>
        <v>Ⓒあまね未琴/泉南佳那/ファンギルド</v>
      </c>
      <c r="V2839" s="8" t="str">
        <f>IFERROR(__xludf.DUMMYFUNCTION("""COMPUTED_VALUE"""),"「君のことがもっと知りたい、俺と付き合ってくれないか」接点なんてないはずなのに…伊吹さんの唇が近づき、体温を感じるーー…友永澄香（ともながすみか）２６歳、日本酒をこよなく愛している営業事務員。恋人にフラれたある夜、辛さをごまかそうとBARで酒に溺れ、翌朝目を覚ますといきなり目の前にイケメンが…！？彼は内田伊吹（うちだいぶき）と名乗り、なんと澄香の会社の親会社『コーディアル商事』の御曹司だった。そして彼から突然、恋人役をお願いしたいと言われーー")</f>
        <v>「君のことがもっと知りたい、俺と付き合ってくれないか」接点なんてないはずなのに…伊吹さんの唇が近づき、体温を感じるーー…友永澄香（ともながすみか）２６歳、日本酒をこよなく愛している営業事務員。恋人にフラれたある夜、辛さをごまかそうとBARで酒に溺れ、翌朝目を覚ますといきなり目の前にイケメンが…！？彼は内田伊吹（うちだいぶき）と名乗り、なんと澄香の会社の親会社『コーディアル商事』の御曹司だった。そして彼から突然、恋人役をお願いしたいと言われーー</v>
      </c>
      <c r="W2839" s="14"/>
      <c r="X2839" s="14" t="str">
        <f>IFERROR(__xludf.DUMMYFUNCTION("""COMPUTED_VALUE"""),"有")</f>
        <v>有</v>
      </c>
      <c r="Y2839" s="8" t="str">
        <f>IFERROR(__xludf.DUMMYFUNCTION("""COMPUTED_VALUE"""),"2025/4/8まで1巻無料")</f>
        <v>2025/4/8まで1巻無料</v>
      </c>
      <c r="Z2839" s="7"/>
      <c r="AA2839" s="7"/>
      <c r="AB2839" s="7"/>
    </row>
    <row r="2840" ht="15.75" customHeight="1">
      <c r="A2840" s="171">
        <f>IFERROR(__xludf.DUMMYFUNCTION("""COMPUTED_VALUE"""),5002.0)</f>
        <v>5002</v>
      </c>
      <c r="B2840" s="172" t="str">
        <f>IFERROR(__xludf.DUMMYFUNCTION("""COMPUTED_VALUE"""),"確定")</f>
        <v>確定</v>
      </c>
      <c r="C2840" s="173">
        <f>IFERROR(__xludf.DUMMYFUNCTION("""COMPUTED_VALUE"""),45695.0)</f>
        <v>45695</v>
      </c>
      <c r="D2840" s="173">
        <f>IFERROR(__xludf.DUMMYFUNCTION("""COMPUTED_VALUE"""),45698.0)</f>
        <v>45698</v>
      </c>
      <c r="E2840" s="174">
        <f>IFERROR(__xludf.DUMMYFUNCTION("""COMPUTED_VALUE"""),315987.0)</f>
        <v>315987</v>
      </c>
      <c r="F2840" s="175" t="str">
        <f>IFERROR(__xludf.DUMMYFUNCTION("""COMPUTED_VALUE"""),"捨ててあげましょう、クズ彼氏")</f>
        <v>捨ててあげましょう、クズ彼氏</v>
      </c>
      <c r="G2840" s="171">
        <f>IFERROR(__xludf.DUMMYFUNCTION("""COMPUTED_VALUE"""),1.0)</f>
        <v>1</v>
      </c>
      <c r="H2840" s="172" t="str">
        <f>IFERROR(__xludf.DUMMYFUNCTION("""COMPUTED_VALUE"""),"寺井 衒")</f>
        <v>寺井 衒</v>
      </c>
      <c r="I2840" s="172" t="str">
        <f>IFERROR(__xludf.DUMMYFUNCTION("""COMPUTED_VALUE"""),"青年")</f>
        <v>青年</v>
      </c>
      <c r="J2840" s="176"/>
      <c r="K2840" s="176"/>
      <c r="L2840" s="172" t="str">
        <f>IFERROR(__xludf.DUMMYFUNCTION("""COMPUTED_VALUE"""),"ファンギルド")</f>
        <v>ファンギルド</v>
      </c>
      <c r="M2840" s="59">
        <f>IFERROR(__xludf.DUMMYFUNCTION("""COMPUTED_VALUE"""),45724.0)</f>
        <v>45724</v>
      </c>
      <c r="N2840" s="59">
        <f>IFERROR(__xludf.DUMMYFUNCTION("""COMPUTED_VALUE"""),45758.0)</f>
        <v>45758</v>
      </c>
      <c r="O2840" s="172"/>
      <c r="P2840" s="177" t="str">
        <f>IFERROR(__xludf.DUMMYFUNCTION("""COMPUTED_VALUE"""),"可")</f>
        <v>可</v>
      </c>
      <c r="Q2840" s="179"/>
      <c r="R2840" s="172"/>
      <c r="S2840" s="172" t="str">
        <f>IFERROR(__xludf.DUMMYFUNCTION("""COMPUTED_VALUE"""),"20250207_ファンギルド_捨ててあげましょう、クズ彼氏")</f>
        <v>20250207_ファンギルド_捨ててあげましょう、クズ彼氏</v>
      </c>
      <c r="T2840" s="152" t="str">
        <f>IFERROR(__xludf.DUMMYFUNCTION("""COMPUTED_VALUE"""),"格納済み")</f>
        <v>格納済み</v>
      </c>
      <c r="U2840" s="15" t="str">
        <f>IFERROR(__xludf.DUMMYFUNCTION("""COMPUTED_VALUE"""),"Ⓒ寺井 衒/ファンギルド")</f>
        <v>Ⓒ寺井 衒/ファンギルド</v>
      </c>
      <c r="V2840" s="8" t="str">
        <f>IFERROR(__xludf.DUMMYFUNCTION("""COMPUTED_VALUE"""),"会社の同期であり婚約者でもある奏(そう)に「恋人として見られない」と言われ、結婚目前で捨てられた琶子（わこ）。絶望の中、後輩・春歌（はるか）に支えられながら仕事に打ち込むが、ある日、会議室で衝撃的な密会を目撃する。それは琶子にとって最悪の裏切りだった。奪われたものの代償を払わせるため、琶子の復讐が始まる――。")</f>
        <v>会社の同期であり婚約者でもある奏(そう)に「恋人として見られない」と言われ、結婚目前で捨てられた琶子（わこ）。絶望の中、後輩・春歌（はるか）に支えられながら仕事に打ち込むが、ある日、会議室で衝撃的な密会を目撃する。それは琶子にとって最悪の裏切りだった。奪われたものの代償を払わせるため、琶子の復讐が始まる――。</v>
      </c>
      <c r="W2840" s="14"/>
      <c r="X2840" s="14" t="str">
        <f>IFERROR(__xludf.DUMMYFUNCTION("""COMPUTED_VALUE"""),"有")</f>
        <v>有</v>
      </c>
      <c r="Y2840" s="8" t="str">
        <f>IFERROR(__xludf.DUMMYFUNCTION("""COMPUTED_VALUE"""),"P7まで")</f>
        <v>P7まで</v>
      </c>
      <c r="Z2840" s="7"/>
      <c r="AA2840" s="7"/>
      <c r="AB2840" s="7"/>
    </row>
    <row r="2841" ht="15.75" customHeight="1">
      <c r="A2841" s="171">
        <f>IFERROR(__xludf.DUMMYFUNCTION("""COMPUTED_VALUE"""),5003.0)</f>
        <v>5003</v>
      </c>
      <c r="B2841" s="172" t="str">
        <f>IFERROR(__xludf.DUMMYFUNCTION("""COMPUTED_VALUE"""),"確定")</f>
        <v>確定</v>
      </c>
      <c r="C2841" s="173">
        <f>IFERROR(__xludf.DUMMYFUNCTION("""COMPUTED_VALUE"""),45695.0)</f>
        <v>45695</v>
      </c>
      <c r="D2841" s="173">
        <f>IFERROR(__xludf.DUMMYFUNCTION("""COMPUTED_VALUE"""),45698.0)</f>
        <v>45698</v>
      </c>
      <c r="E2841" s="174">
        <f>IFERROR(__xludf.DUMMYFUNCTION("""COMPUTED_VALUE"""),315988.0)</f>
        <v>315988</v>
      </c>
      <c r="F2841" s="175" t="str">
        <f>IFERROR(__xludf.DUMMYFUNCTION("""COMPUTED_VALUE"""),"リベンジ・ハッカー～必ず無実を証明してやる～")</f>
        <v>リベンジ・ハッカー～必ず無実を証明してやる～</v>
      </c>
      <c r="G2841" s="171">
        <f>IFERROR(__xludf.DUMMYFUNCTION("""COMPUTED_VALUE"""),1.0)</f>
        <v>1</v>
      </c>
      <c r="H2841" s="172" t="str">
        <f>IFERROR(__xludf.DUMMYFUNCTION("""COMPUTED_VALUE"""),"河野慶")</f>
        <v>河野慶</v>
      </c>
      <c r="I2841" s="172" t="str">
        <f>IFERROR(__xludf.DUMMYFUNCTION("""COMPUTED_VALUE"""),"青年")</f>
        <v>青年</v>
      </c>
      <c r="J2841" s="176"/>
      <c r="K2841" s="176"/>
      <c r="L2841" s="172" t="str">
        <f>IFERROR(__xludf.DUMMYFUNCTION("""COMPUTED_VALUE"""),"ファンギルド")</f>
        <v>ファンギルド</v>
      </c>
      <c r="M2841" s="59">
        <f>IFERROR(__xludf.DUMMYFUNCTION("""COMPUTED_VALUE"""),45724.0)</f>
        <v>45724</v>
      </c>
      <c r="N2841" s="59">
        <f>IFERROR(__xludf.DUMMYFUNCTION("""COMPUTED_VALUE"""),45758.0)</f>
        <v>45758</v>
      </c>
      <c r="O2841" s="172"/>
      <c r="P2841" s="177" t="str">
        <f>IFERROR(__xludf.DUMMYFUNCTION("""COMPUTED_VALUE"""),"可")</f>
        <v>可</v>
      </c>
      <c r="Q2841" s="179"/>
      <c r="R2841" s="172"/>
      <c r="S2841" s="172" t="str">
        <f>IFERROR(__xludf.DUMMYFUNCTION("""COMPUTED_VALUE"""),"20250207_ファンギルド_リベンジ・ハッカー～必ず無実を証明してやる～")</f>
        <v>20250207_ファンギルド_リベンジ・ハッカー～必ず無実を証明してやる～</v>
      </c>
      <c r="T2841" s="152" t="str">
        <f>IFERROR(__xludf.DUMMYFUNCTION("""COMPUTED_VALUE"""),"格納済み")</f>
        <v>格納済み</v>
      </c>
      <c r="U2841" s="15" t="str">
        <f>IFERROR(__xludf.DUMMYFUNCTION("""COMPUTED_VALUE"""),"Ⓒ河野慶/ファンギルド")</f>
        <v>Ⓒ河野慶/ファンギルド</v>
      </c>
      <c r="V2841" s="8" t="str">
        <f>IFERROR(__xludf.DUMMYFUNCTION("""COMPUTED_VALUE"""),"仕事で怒られてばかりの守田は、優しい上司・飯野の支えでなんとか働いていた。飯野のような社会人を目指し勉強を続けるが、ある日情報漏洩の濡れ衣を着せられ謹慎処分に。納得がいかず、知識を活かして犯人を追うと衝撃の真実が明らかになる。守田は無実を証明し、裏切り者に復讐できるのか――。")</f>
        <v>仕事で怒られてばかりの守田は、優しい上司・飯野の支えでなんとか働いていた。飯野のような社会人を目指し勉強を続けるが、ある日情報漏洩の濡れ衣を着せられ謹慎処分に。納得がいかず、知識を活かして犯人を追うと衝撃の真実が明らかになる。守田は無実を証明し、裏切り者に復讐できるのか――。</v>
      </c>
      <c r="W2841" s="14"/>
      <c r="X2841" s="14" t="str">
        <f>IFERROR(__xludf.DUMMYFUNCTION("""COMPUTED_VALUE"""),"有")</f>
        <v>有</v>
      </c>
      <c r="Y2841" s="8" t="str">
        <f>IFERROR(__xludf.DUMMYFUNCTION("""COMPUTED_VALUE"""),"P7まで")</f>
        <v>P7まで</v>
      </c>
      <c r="Z2841" s="7"/>
      <c r="AA2841" s="7"/>
      <c r="AB2841" s="7"/>
    </row>
    <row r="2842" ht="15.75" customHeight="1">
      <c r="A2842" s="171">
        <f>IFERROR(__xludf.DUMMYFUNCTION("""COMPUTED_VALUE"""),5004.0)</f>
        <v>5004</v>
      </c>
      <c r="B2842" s="172" t="str">
        <f>IFERROR(__xludf.DUMMYFUNCTION("""COMPUTED_VALUE"""),"確定")</f>
        <v>確定</v>
      </c>
      <c r="C2842" s="173">
        <f>IFERROR(__xludf.DUMMYFUNCTION("""COMPUTED_VALUE"""),45695.0)</f>
        <v>45695</v>
      </c>
      <c r="D2842" s="173">
        <f>IFERROR(__xludf.DUMMYFUNCTION("""COMPUTED_VALUE"""),45698.0)</f>
        <v>45698</v>
      </c>
      <c r="E2842" s="181">
        <f>IFERROR(__xludf.DUMMYFUNCTION("""COMPUTED_VALUE"""),314401.0)</f>
        <v>314401</v>
      </c>
      <c r="F2842" s="182" t="str">
        <f>IFERROR(__xludf.DUMMYFUNCTION("""COMPUTED_VALUE"""),"執愛サイケデリカ（分冊版）")</f>
        <v>執愛サイケデリカ（分冊版）</v>
      </c>
      <c r="G2842" s="172" t="str">
        <f>IFERROR(__xludf.DUMMYFUNCTION("""COMPUTED_VALUE"""),"1～3")</f>
        <v>1～3</v>
      </c>
      <c r="H2842" s="172" t="str">
        <f>IFERROR(__xludf.DUMMYFUNCTION("""COMPUTED_VALUE"""),"作者：紡木すあ 原作者：琴子")</f>
        <v>作者：紡木すあ 原作者：琴子</v>
      </c>
      <c r="I2842" s="172" t="str">
        <f>IFERROR(__xludf.DUMMYFUNCTION("""COMPUTED_VALUE"""),"女性マンガ")</f>
        <v>女性マンガ</v>
      </c>
      <c r="J2842" s="176"/>
      <c r="K2842" s="172" t="str">
        <f>IFERROR(__xludf.DUMMYFUNCTION("""COMPUTED_VALUE"""),"PRIMO")</f>
        <v>PRIMO</v>
      </c>
      <c r="L2842" s="172" t="str">
        <f>IFERROR(__xludf.DUMMYFUNCTION("""COMPUTED_VALUE"""),"ぶんか社")</f>
        <v>ぶんか社</v>
      </c>
      <c r="M2842" s="59">
        <f>IFERROR(__xludf.DUMMYFUNCTION("""COMPUTED_VALUE"""),45708.0)</f>
        <v>45708</v>
      </c>
      <c r="N2842" s="59">
        <f>IFERROR(__xludf.DUMMYFUNCTION("""COMPUTED_VALUE"""),45791.0)</f>
        <v>45791</v>
      </c>
      <c r="O2842" s="172"/>
      <c r="P2842" s="178" t="str">
        <f>IFERROR(__xludf.DUMMYFUNCTION("""COMPUTED_VALUE"""),"可")</f>
        <v>可</v>
      </c>
      <c r="Q2842" s="172" t="str">
        <f>IFERROR(__xludf.DUMMYFUNCTION("""COMPUTED_VALUE"""),"準備でき次第の出稿で問題ございません。&lt;BR&gt;先行期間は3カ月ございます。&lt;BR&gt;よろしくお願いいたします。")</f>
        <v>準備でき次第の出稿で問題ございません。&lt;BR&gt;先行期間は3カ月ございます。&lt;BR&gt;よろしくお願いいたします。</v>
      </c>
      <c r="R2842" s="172" t="str">
        <f>IFERROR(__xludf.DUMMYFUNCTION("""COMPUTED_VALUE"""),"コミットOK")</f>
        <v>コミットOK</v>
      </c>
      <c r="S2842" s="172" t="str">
        <f>IFERROR(__xludf.DUMMYFUNCTION("""COMPUTED_VALUE"""),"20250207_ぶんか社_執愛サイケデリカ")</f>
        <v>20250207_ぶんか社_執愛サイケデリカ</v>
      </c>
      <c r="T2842" s="152" t="str">
        <f>IFERROR(__xludf.DUMMYFUNCTION("""COMPUTED_VALUE"""),"格納済み")</f>
        <v>格納済み</v>
      </c>
      <c r="U2842" s="15" t="str">
        <f>IFERROR(__xludf.DUMMYFUNCTION("""COMPUTED_VALUE"""),"（ｃ）紡木すあ・琴子/ぶんか社")</f>
        <v>（ｃ）紡木すあ・琴子/ぶんか社</v>
      </c>
      <c r="V2842" s="8" t="str">
        <f>IFERROR(__xludf.DUMMYFUNCTION("""COMPUTED_VALUE"""),"「茉白姉さま、僕を愛してるって言って」
名家の天宮家で異能なしの「無能」として暮らす茉白は、父から空気のように母にはつらく当たられる毎日。
優秀な義弟の柊だけが孤独な茉白に懐き、唯一の支えとなっていた。
将来は柊が跡を継ぎ幸せになってほしいと願っていたある日、謎の映像が断片的に見えるようになる。
やがてそれが未来の映像であり、発現が遅かっただけで自分の異能は「未来予知」だと気付く。
頻繁に見える「義弟に抱かれている自分」に動揺する中、さらに柊に殺される未来まで見えてーー!?
※この作品は『"&amp;"PRIMO Vol.41』に収録されています。重複購入にご注意下さい。")</f>
        <v>「茉白姉さま、僕を愛してるって言って」
名家の天宮家で異能なしの「無能」として暮らす茉白は、父から空気のように母にはつらく当たられる毎日。
優秀な義弟の柊だけが孤独な茉白に懐き、唯一の支えとなっていた。
将来は柊が跡を継ぎ幸せになってほしいと願っていたある日、謎の映像が断片的に見えるようになる。
やがてそれが未来の映像であり、発現が遅かっただけで自分の異能は「未来予知」だと気付く。
頻繁に見える「義弟に抱かれている自分」に動揺する中、さらに柊に殺される未来まで見えてーー!?
※この作品は『PRIMO Vol.41』に収録されています。重複購入にご注意下さい。</v>
      </c>
      <c r="W2842" s="14"/>
      <c r="X2842" s="14" t="str">
        <f>IFERROR(__xludf.DUMMYFUNCTION("""COMPUTED_VALUE"""),"有")</f>
        <v>有</v>
      </c>
      <c r="Y2842" s="8" t="str">
        <f>IFERROR(__xludf.DUMMYFUNCTION("""COMPUTED_VALUE"""),"2025/5/14まで1巻無料")</f>
        <v>2025/5/14まで1巻無料</v>
      </c>
      <c r="Z2842" s="7"/>
      <c r="AA2842" s="7"/>
      <c r="AB2842" s="7"/>
    </row>
    <row r="2843" ht="15.75" customHeight="1">
      <c r="A2843" s="171">
        <f>IFERROR(__xludf.DUMMYFUNCTION("""COMPUTED_VALUE"""),4157.0)</f>
        <v>4157</v>
      </c>
      <c r="B2843" s="172" t="str">
        <f>IFERROR(__xludf.DUMMYFUNCTION("""COMPUTED_VALUE"""),"確定")</f>
        <v>確定</v>
      </c>
      <c r="C2843" s="173">
        <f>IFERROR(__xludf.DUMMYFUNCTION("""COMPUTED_VALUE"""),45553.0)</f>
        <v>45553</v>
      </c>
      <c r="D2843" s="173">
        <f>IFERROR(__xludf.DUMMYFUNCTION("""COMPUTED_VALUE"""),45705.0)</f>
        <v>45705</v>
      </c>
      <c r="E2843" s="174">
        <f>IFERROR(__xludf.DUMMYFUNCTION("""COMPUTED_VALUE"""),316149.0)</f>
        <v>316149</v>
      </c>
      <c r="F2843" s="159" t="str">
        <f>IFERROR(__xludf.DUMMYFUNCTION("""COMPUTED_VALUE"""),"ハニカミの島～女だけの島と淫らなナラワシ～【フルカラー】")</f>
        <v>ハニカミの島～女だけの島と淫らなナラワシ～【フルカラー】</v>
      </c>
      <c r="G2843" s="172" t="str">
        <f>IFERROR(__xludf.DUMMYFUNCTION("""COMPUTED_VALUE"""),"1～3")</f>
        <v>1～3</v>
      </c>
      <c r="H2843" s="152" t="str">
        <f>IFERROR(__xludf.DUMMYFUNCTION("""COMPUTED_VALUE"""),"あねもねらぼ")</f>
        <v>あねもねらぼ</v>
      </c>
      <c r="I2843" s="172" t="str">
        <f>IFERROR(__xludf.DUMMYFUNCTION("""COMPUTED_VALUE"""),"青年")</f>
        <v>青年</v>
      </c>
      <c r="J2843" s="176"/>
      <c r="K2843" s="172" t="str">
        <f>IFERROR(__xludf.DUMMYFUNCTION("""COMPUTED_VALUE"""),"DEDEDE")</f>
        <v>DEDEDE</v>
      </c>
      <c r="L2843" s="172" t="str">
        <f>IFERROR(__xludf.DUMMYFUNCTION("""COMPUTED_VALUE"""),"CLLENN")</f>
        <v>CLLENN</v>
      </c>
      <c r="M2843" s="59">
        <f>IFERROR(__xludf.DUMMYFUNCTION("""COMPUTED_VALUE"""),45725.0)</f>
        <v>45725</v>
      </c>
      <c r="N2843" s="59">
        <f>IFERROR(__xludf.DUMMYFUNCTION("""COMPUTED_VALUE"""),45787.0)</f>
        <v>45787</v>
      </c>
      <c r="O2843" s="172"/>
      <c r="P2843" s="177" t="str">
        <f>IFERROR(__xludf.DUMMYFUNCTION("""COMPUTED_VALUE"""),"可")</f>
        <v>可</v>
      </c>
      <c r="Q2843" s="172"/>
      <c r="R2843" s="172" t="str">
        <f>IFERROR(__xludf.DUMMYFUNCTION("""COMPUTED_VALUE"""),"コミットOK")</f>
        <v>コミットOK</v>
      </c>
      <c r="S2843" s="172" t="str">
        <f>IFERROR(__xludf.DUMMYFUNCTION("""COMPUTED_VALUE"""),"20250217_CLLENN_ハニカミの島～")</f>
        <v>20250217_CLLENN_ハニカミの島～</v>
      </c>
      <c r="T2843" s="152" t="str">
        <f>IFERROR(__xludf.DUMMYFUNCTION("""COMPUTED_VALUE"""),"格納済み")</f>
        <v>格納済み</v>
      </c>
      <c r="U2843" s="15" t="str">
        <f>IFERROR(__xludf.DUMMYFUNCTION("""COMPUTED_VALUE"""),"Ⓒあねもねらぼ/CLLENN")</f>
        <v>Ⓒあねもねらぼ/CLLENN</v>
      </c>
      <c r="V2843" s="8" t="str">
        <f>IFERROR(__xludf.DUMMYFUNCTION("""COMPUTED_VALUE"""),"女友達のマコトとともにシュウが訪れたのは遠く離れた孤島・密神(ミツガミ)島。島で開かれる「はにかみ祭」を目当てにやってきたシュウたちを出迎えるのは、美しい女たち。しかし、ある違和感に気づく…男がいない…！　歓待を受けたシュウが目を覚ますと、島の娘とマコトが肌を晒していて…！？ 「祭りが始まりました…」―謎の力「いざない」の影響で「はにかみ祭」に没頭するシュウとマコト。なぜ、島に女性しかいないのか？　「はにかみ祭」の目的は？　謎の島で巻き起こる、伝奇ハーレムミステリー！！")</f>
        <v>女友達のマコトとともにシュウが訪れたのは遠く離れた孤島・密神(ミツガミ)島。島で開かれる「はにかみ祭」を目当てにやってきたシュウたちを出迎えるのは、美しい女たち。しかし、ある違和感に気づく…男がいない…！　歓待を受けたシュウが目を覚ますと、島の娘とマコトが肌を晒していて…！？ 「祭りが始まりました…」―謎の力「いざない」の影響で「はにかみ祭」に没頭するシュウとマコト。なぜ、島に女性しかいないのか？　「はにかみ祭」の目的は？　謎の島で巻き起こる、伝奇ハーレムミステリー！！</v>
      </c>
      <c r="W2843" s="14"/>
      <c r="X2843" s="14" t="str">
        <f>IFERROR(__xludf.DUMMYFUNCTION("""COMPUTED_VALUE"""),"有")</f>
        <v>有</v>
      </c>
      <c r="Y2843" s="8" t="str">
        <f>IFERROR(__xludf.DUMMYFUNCTION("""COMPUTED_VALUE"""),"2025/3/22まで1巻無料")</f>
        <v>2025/3/22まで1巻無料</v>
      </c>
      <c r="Z2843" s="7"/>
      <c r="AA2843" s="7"/>
      <c r="AB2843" s="7"/>
    </row>
    <row r="2844" ht="15.75" customHeight="1">
      <c r="A2844" s="171">
        <f>IFERROR(__xludf.DUMMYFUNCTION("""COMPUTED_VALUE"""),4180.0)</f>
        <v>4180</v>
      </c>
      <c r="B2844" s="172" t="str">
        <f>IFERROR(__xludf.DUMMYFUNCTION("""COMPUTED_VALUE"""),"確定")</f>
        <v>確定</v>
      </c>
      <c r="C2844" s="173">
        <f>IFERROR(__xludf.DUMMYFUNCTION("""COMPUTED_VALUE"""),45555.0)</f>
        <v>45555</v>
      </c>
      <c r="D2844" s="173">
        <f>IFERROR(__xludf.DUMMYFUNCTION("""COMPUTED_VALUE"""),45707.0)</f>
        <v>45707</v>
      </c>
      <c r="E2844" s="174">
        <f>IFERROR(__xludf.DUMMYFUNCTION("""COMPUTED_VALUE"""),316095.0)</f>
        <v>316095</v>
      </c>
      <c r="F2844" s="159" t="str">
        <f>IFERROR(__xludf.DUMMYFUNCTION("""COMPUTED_VALUE"""),"末端将軍の希なる花嫁 没落した姫君との幸せな政略結婚 【連載版】")</f>
        <v>末端将軍の希なる花嫁 没落した姫君との幸せな政略結婚 【連載版】</v>
      </c>
      <c r="G2844" s="172" t="str">
        <f>IFERROR(__xludf.DUMMYFUNCTION("""COMPUTED_VALUE"""),"1～3")</f>
        <v>1～3</v>
      </c>
      <c r="H2844" s="161" t="str">
        <f>IFERROR(__xludf.DUMMYFUNCTION("""COMPUTED_VALUE"""),"百迦にごう 雨咲はな whimhalooo")</f>
        <v>百迦にごう 雨咲はな whimhalooo</v>
      </c>
      <c r="I2844" s="172" t="str">
        <f>IFERROR(__xludf.DUMMYFUNCTION("""COMPUTED_VALUE"""),"少女")</f>
        <v>少女</v>
      </c>
      <c r="J2844" s="176"/>
      <c r="K2844" s="172" t="str">
        <f>IFERROR(__xludf.DUMMYFUNCTION("""COMPUTED_VALUE"""),"comic LAKE")</f>
        <v>comic LAKE</v>
      </c>
      <c r="L2844" s="172" t="str">
        <f>IFERROR(__xludf.DUMMYFUNCTION("""COMPUTED_VALUE"""),"一迅社")</f>
        <v>一迅社</v>
      </c>
      <c r="M2844" s="28">
        <f>IFERROR(__xludf.DUMMYFUNCTION("""COMPUTED_VALUE"""),45733.0)</f>
        <v>45733</v>
      </c>
      <c r="N2844" s="170">
        <f>IFERROR(__xludf.DUMMYFUNCTION("""COMPUTED_VALUE"""),45763.0)</f>
        <v>45763</v>
      </c>
      <c r="O2844" s="172"/>
      <c r="P2844" s="177" t="str">
        <f>IFERROR(__xludf.DUMMYFUNCTION("""COMPUTED_VALUE"""),"否")</f>
        <v>否</v>
      </c>
      <c r="Q2844" s="172"/>
      <c r="R2844" s="172" t="str">
        <f>IFERROR(__xludf.DUMMYFUNCTION("""COMPUTED_VALUE"""),"コミットOK")</f>
        <v>コミットOK</v>
      </c>
      <c r="S2844" s="172" t="str">
        <f>IFERROR(__xludf.DUMMYFUNCTION("""COMPUTED_VALUE"""),"20250219_一迅社_末端将軍の希なる花嫁 没落した姫君との幸せな政略結婚")</f>
        <v>20250219_一迅社_末端将軍の希なる花嫁 没落した姫君との幸せな政略結婚</v>
      </c>
      <c r="T2844" s="152" t="str">
        <f>IFERROR(__xludf.DUMMYFUNCTION("""COMPUTED_VALUE"""),"格納済み")</f>
        <v>格納済み</v>
      </c>
      <c r="U2844" s="15" t="str">
        <f>IFERROR(__xludf.DUMMYFUNCTION("""COMPUTED_VALUE"""),"Ⓒ百迦にごう・雨咲はな・whimhalooo／一迅社")</f>
        <v>Ⓒ百迦にごう・雨咲はな・whimhalooo／一迅社</v>
      </c>
      <c r="V2844" s="8" t="str">
        <f>IFERROR(__xludf.DUMMYFUNCTION("""COMPUTED_VALUE"""),"末端の第六軍将軍・レオは、悪名高い国王の命令で妻を迎えることに。政略結婚のお相手・リーフェは、秘密のベールに包まれ、良くない噂があるようで……？けれども、結婚式で顔を合わせた彼女の素顔はたいへんな美少女だった！レオ視点で描かれる〔おてんば没落令嬢〕×〔生真面目な末端将軍〕の対照的なラブファンタジー、待望のコミカライズ！　【本商品は単話コンテンツとなります。単行本版と収録内容が異なる場合がございます。漫画内の告知等は過去のものとなりますので、ご注意ください。】")</f>
        <v>末端の第六軍将軍・レオは、悪名高い国王の命令で妻を迎えることに。政略結婚のお相手・リーフェは、秘密のベールに包まれ、良くない噂があるようで……？けれども、結婚式で顔を合わせた彼女の素顔はたいへんな美少女だった！レオ視点で描かれる〔おてんば没落令嬢〕×〔生真面目な末端将軍〕の対照的なラブファンタジー、待望のコミカライズ！　【本商品は単話コンテンツとなります。単行本版と収録内容が異なる場合がございます。漫画内の告知等は過去のものとなりますので、ご注意ください。】</v>
      </c>
      <c r="W2844" s="14"/>
      <c r="X2844" s="14" t="str">
        <f>IFERROR(__xludf.DUMMYFUNCTION("""COMPUTED_VALUE"""),"有")</f>
        <v>有</v>
      </c>
      <c r="Y2844" s="8" t="str">
        <f>IFERROR(__xludf.DUMMYFUNCTION("""COMPUTED_VALUE"""),"2025/4/16まで1巻無料")</f>
        <v>2025/4/16まで1巻無料</v>
      </c>
      <c r="Z2844" s="7"/>
      <c r="AA2844" s="7"/>
      <c r="AB2844" s="7"/>
    </row>
    <row r="2845" ht="15.75" customHeight="1">
      <c r="A2845" s="171">
        <f>IFERROR(__xludf.DUMMYFUNCTION("""COMPUTED_VALUE"""),4725.0)</f>
        <v>4725</v>
      </c>
      <c r="B2845" s="172" t="str">
        <f>IFERROR(__xludf.DUMMYFUNCTION("""COMPUTED_VALUE"""),"確定")</f>
        <v>確定</v>
      </c>
      <c r="C2845" s="173">
        <f>IFERROR(__xludf.DUMMYFUNCTION("""COMPUTED_VALUE"""),45651.0)</f>
        <v>45651</v>
      </c>
      <c r="D2845" s="173">
        <f>IFERROR(__xludf.DUMMYFUNCTION("""COMPUTED_VALUE"""),45705.0)</f>
        <v>45705</v>
      </c>
      <c r="E2845" s="174">
        <f>IFERROR(__xludf.DUMMYFUNCTION("""COMPUTED_VALUE"""),316549.0)</f>
        <v>316549</v>
      </c>
      <c r="F2845" s="159" t="str">
        <f>IFERROR(__xludf.DUMMYFUNCTION("""COMPUTED_VALUE"""),"「おもちゃ」が本物だったんだけど…！？意図せず幼馴染と本気セックス")</f>
        <v>「おもちゃ」が本物だったんだけど…！？意図せず幼馴染と本気セックス</v>
      </c>
      <c r="G2845" s="172" t="str">
        <f>IFERROR(__xludf.DUMMYFUNCTION("""COMPUTED_VALUE"""),"1～3")</f>
        <v>1～3</v>
      </c>
      <c r="H2845" s="152" t="str">
        <f>IFERROR(__xludf.DUMMYFUNCTION("""COMPUTED_VALUE"""),"豊音里ホヌ")</f>
        <v>豊音里ホヌ</v>
      </c>
      <c r="I2845" s="152" t="str">
        <f>IFERROR(__xludf.DUMMYFUNCTION("""COMPUTED_VALUE"""),"アダルトマンガ")</f>
        <v>アダルトマンガ</v>
      </c>
      <c r="J2845" s="176"/>
      <c r="K2845" s="172" t="str">
        <f>IFERROR(__xludf.DUMMYFUNCTION("""COMPUTED_VALUE"""),"もえスタビースト")</f>
        <v>もえスタビースト</v>
      </c>
      <c r="L2845" s="172" t="str">
        <f>IFERROR(__xludf.DUMMYFUNCTION("""COMPUTED_VALUE"""),"DEEPER-ZERO")</f>
        <v>DEEPER-ZERO</v>
      </c>
      <c r="M2845" s="59">
        <f>IFERROR(__xludf.DUMMYFUNCTION("""COMPUTED_VALUE"""),45724.0)</f>
        <v>45724</v>
      </c>
      <c r="N2845" s="59">
        <f>IFERROR(__xludf.DUMMYFUNCTION("""COMPUTED_VALUE"""),45786.0)</f>
        <v>45786</v>
      </c>
      <c r="O2845" s="172"/>
      <c r="P2845" s="177" t="str">
        <f>IFERROR(__xludf.DUMMYFUNCTION("""COMPUTED_VALUE"""),"可")</f>
        <v>可</v>
      </c>
      <c r="Q2845" s="172"/>
      <c r="R2845" s="172" t="str">
        <f>IFERROR(__xludf.DUMMYFUNCTION("""COMPUTED_VALUE"""),"コミットOK")</f>
        <v>コミットOK</v>
      </c>
      <c r="S2845" s="172" t="str">
        <f>IFERROR(__xludf.DUMMYFUNCTION("""COMPUTED_VALUE"""),"20250217_DEEPER-ZERO_「おもちゃ」が本物だったんだけど…！？意図せず幼馴染と本気セックス")</f>
        <v>20250217_DEEPER-ZERO_「おもちゃ」が本物だったんだけど…！？意図せず幼馴染と本気セックス</v>
      </c>
      <c r="T2845" s="152" t="str">
        <f>IFERROR(__xludf.DUMMYFUNCTION("""COMPUTED_VALUE"""),"格納済み")</f>
        <v>格納済み</v>
      </c>
      <c r="U2845" s="15" t="str">
        <f>IFERROR(__xludf.DUMMYFUNCTION("""COMPUTED_VALUE"""),"Ⓒ豊音里ホヌ/DEEPER-ZERO")</f>
        <v>Ⓒ豊音里ホヌ/DEEPER-ZERO</v>
      </c>
      <c r="V2845" s="14" t="str">
        <f>IFERROR(__xludf.DUMMYFUNCTION("""COMPUTED_VALUE"""),"「今日、なんか変っ…！」────オトナになるにつれて、色気の出てきた幼馴染の実瑠。兄弟のように育ってきたからか放っておけず、勉強を教えに実瑠の家に突撃することに。すると部屋の中でディルドを見つけてしまい…慌てているとベルトをひっかけてしまいズボンが脱げてしまう。そこへ実瑠が帰ってきて間一髪でクローゼットに隠れるが、俺に気づかない実瑠はなんとひとりでシはじめて…！？興奮してしまう俺を知る由もない実瑠がクローゼットに近づいてきて、俺の周りのディルドに擬態した下半身を使い始めてしまう…「蒼っ、また気持ち良くなっ"&amp;"てる！！」俺の名前を呼びながらイくエロい実瑠に、もう我慢できないっ！！")</f>
        <v>「今日、なんか変っ…！」────オトナになるにつれて、色気の出てきた幼馴染の実瑠。兄弟のように育ってきたからか放っておけず、勉強を教えに実瑠の家に突撃することに。すると部屋の中でディルドを見つけてしまい…慌てているとベルトをひっかけてしまいズボンが脱げてしまう。そこへ実瑠が帰ってきて間一髪でクローゼットに隠れるが、俺に気づかない実瑠はなんとひとりでシはじめて…！？興奮してしまう俺を知る由もない実瑠がクローゼットに近づいてきて、俺の周りのディルドに擬態した下半身を使い始めてしまう…「蒼っ、また気持ち良くなってる！！」俺の名前を呼びながらイくエロい実瑠に、もう我慢できないっ！！</v>
      </c>
      <c r="W2845" s="14"/>
      <c r="X2845" s="14" t="str">
        <f>IFERROR(__xludf.DUMMYFUNCTION("""COMPUTED_VALUE"""),"有")</f>
        <v>有</v>
      </c>
      <c r="Y2845" s="8" t="str">
        <f>IFERROR(__xludf.DUMMYFUNCTION("""COMPUTED_VALUE"""),"2025/4/11まで1巻無料")</f>
        <v>2025/4/11まで1巻無料</v>
      </c>
      <c r="Z2845" s="7"/>
      <c r="AA2845" s="7"/>
      <c r="AB2845" s="7"/>
    </row>
    <row r="2846" ht="15.75" customHeight="1">
      <c r="A2846" s="171">
        <f>IFERROR(__xludf.DUMMYFUNCTION("""COMPUTED_VALUE"""),4741.0)</f>
        <v>4741</v>
      </c>
      <c r="B2846" s="172" t="str">
        <f>IFERROR(__xludf.DUMMYFUNCTION("""COMPUTED_VALUE"""),"確定")</f>
        <v>確定</v>
      </c>
      <c r="C2846" s="173">
        <f>IFERROR(__xludf.DUMMYFUNCTION("""COMPUTED_VALUE"""),45663.0)</f>
        <v>45663</v>
      </c>
      <c r="D2846" s="173">
        <f>IFERROR(__xludf.DUMMYFUNCTION("""COMPUTED_VALUE"""),45705.0)</f>
        <v>45705</v>
      </c>
      <c r="E2846" s="174">
        <f>IFERROR(__xludf.DUMMYFUNCTION("""COMPUTED_VALUE"""),315418.0)</f>
        <v>315418</v>
      </c>
      <c r="F2846" s="159" t="str">
        <f>IFERROR(__xludf.DUMMYFUNCTION("""COMPUTED_VALUE"""),"生贄の聖女は生まれ変わっても魔王様に愛を捧ぐ 【連載版】")</f>
        <v>生贄の聖女は生まれ変わっても魔王様に愛を捧ぐ 【連載版】</v>
      </c>
      <c r="G2846" s="172" t="str">
        <f>IFERROR(__xludf.DUMMYFUNCTION("""COMPUTED_VALUE"""),"1～3")</f>
        <v>1～3</v>
      </c>
      <c r="H2846" s="152" t="str">
        <f>IFERROR(__xludf.DUMMYFUNCTION("""COMPUTED_VALUE"""),"原作：架月はるか 漫画：天倉ふゆ")</f>
        <v>原作：架月はるか 漫画：天倉ふゆ</v>
      </c>
      <c r="I2846" s="172" t="str">
        <f>IFERROR(__xludf.DUMMYFUNCTION("""COMPUTED_VALUE"""),"少女")</f>
        <v>少女</v>
      </c>
      <c r="J2846" s="176"/>
      <c r="K2846" s="172" t="str">
        <f>IFERROR(__xludf.DUMMYFUNCTION("""COMPUTED_VALUE"""),"comic LAKE")</f>
        <v>comic LAKE</v>
      </c>
      <c r="L2846" s="172" t="str">
        <f>IFERROR(__xludf.DUMMYFUNCTION("""COMPUTED_VALUE"""),"一迅社")</f>
        <v>一迅社</v>
      </c>
      <c r="M2846" s="28">
        <f>IFERROR(__xludf.DUMMYFUNCTION("""COMPUTED_VALUE"""),45733.0)</f>
        <v>45733</v>
      </c>
      <c r="N2846" s="28">
        <f>IFERROR(__xludf.DUMMYFUNCTION("""COMPUTED_VALUE"""),45793.0)</f>
        <v>45793</v>
      </c>
      <c r="O2846" s="172"/>
      <c r="P2846" s="178" t="str">
        <f>IFERROR(__xludf.DUMMYFUNCTION("""COMPUTED_VALUE"""),"否")</f>
        <v>否</v>
      </c>
      <c r="Q2846" s="172" t="str">
        <f>IFERROR(__xludf.DUMMYFUNCTION("""COMPUTED_VALUE"""),"1巻目18ページは「生贄の聖女は生まれ変わっても魔王様に愛を捧ぐ_01_18ss」をご使用ください")</f>
        <v>1巻目18ページは「生贄の聖女は生まれ変わっても魔王様に愛を捧ぐ_01_18ss」をご使用ください</v>
      </c>
      <c r="R2846" s="172" t="str">
        <f>IFERROR(__xludf.DUMMYFUNCTION("""COMPUTED_VALUE"""),"コミットOK")</f>
        <v>コミットOK</v>
      </c>
      <c r="S2846" s="172" t="str">
        <f>IFERROR(__xludf.DUMMYFUNCTION("""COMPUTED_VALUE"""),"20250214_一迅社_生贄の聖女は生まれ変わっても魔王様に愛を捧ぐ 【連載版】")</f>
        <v>20250214_一迅社_生贄の聖女は生まれ変わっても魔王様に愛を捧ぐ 【連載版】</v>
      </c>
      <c r="T2846" s="152" t="str">
        <f>IFERROR(__xludf.DUMMYFUNCTION("""COMPUTED_VALUE"""),"格納済み")</f>
        <v>格納済み</v>
      </c>
      <c r="U2846" s="15" t="str">
        <f>IFERROR(__xludf.DUMMYFUNCTION("""COMPUTED_VALUE"""),"Ⓒ天倉ふゆ・架月はるか／一迅社")</f>
        <v>Ⓒ天倉ふゆ・架月はるか／一迅社</v>
      </c>
      <c r="V2846" s="8" t="str">
        <f>IFERROR(__xludf.DUMMYFUNCTION("""COMPUTED_VALUE"""),"「――記憶のなかの愛おしい人が泣いている」“私”には前世の記憶がある。魔族の脅威から人間の国の平穏を守るため、「ティア」は魔族に捧げられる生贄の聖女として選ばれた。しかし出会ったのは噂に聞く恐ろしい魔王と違い…！？そして仕組まれた争いに巻き込まれることになり――。愛と記憶が導くロマンスファンタジー！　【本商品は単話コンテンツとなります。単行本版と収録内容が異なる場合がございます。漫画内の告知等は過去のものとなりますので、ご注意ください。】")</f>
        <v>「――記憶のなかの愛おしい人が泣いている」“私”には前世の記憶がある。魔族の脅威から人間の国の平穏を守るため、「ティア」は魔族に捧げられる生贄の聖女として選ばれた。しかし出会ったのは噂に聞く恐ろしい魔王と違い…！？そして仕組まれた争いに巻き込まれることになり――。愛と記憶が導くロマンスファンタジー！　【本商品は単話コンテンツとなります。単行本版と収録内容が異なる場合がございます。漫画内の告知等は過去のものとなりますので、ご注意ください。】</v>
      </c>
      <c r="W2846" s="14"/>
      <c r="X2846" s="14" t="str">
        <f>IFERROR(__xludf.DUMMYFUNCTION("""COMPUTED_VALUE"""),"有")</f>
        <v>有</v>
      </c>
      <c r="Y2846" s="8" t="str">
        <f>IFERROR(__xludf.DUMMYFUNCTION("""COMPUTED_VALUE"""),"2025/5/16まで1巻無料")</f>
        <v>2025/5/16まで1巻無料</v>
      </c>
      <c r="Z2846" s="7"/>
      <c r="AA2846" s="7"/>
      <c r="AB2846" s="7"/>
    </row>
    <row r="2847" ht="15.75" customHeight="1">
      <c r="A2847" s="171">
        <f>IFERROR(__xludf.DUMMYFUNCTION("""COMPUTED_VALUE"""),4753.0)</f>
        <v>4753</v>
      </c>
      <c r="B2847" s="172" t="str">
        <f>IFERROR(__xludf.DUMMYFUNCTION("""COMPUTED_VALUE"""),"確定")</f>
        <v>確定</v>
      </c>
      <c r="C2847" s="173">
        <f>IFERROR(__xludf.DUMMYFUNCTION("""COMPUTED_VALUE"""),45664.0)</f>
        <v>45664</v>
      </c>
      <c r="D2847" s="173">
        <f>IFERROR(__xludf.DUMMYFUNCTION("""COMPUTED_VALUE"""),45707.0)</f>
        <v>45707</v>
      </c>
      <c r="E2847" s="174">
        <f>IFERROR(__xludf.DUMMYFUNCTION("""COMPUTED_VALUE"""),315510.0)</f>
        <v>315510</v>
      </c>
      <c r="F2847" s="159" t="str">
        <f>IFERROR(__xludf.DUMMYFUNCTION("""COMPUTED_VALUE"""),"『おっさんは荷物でも持ってろよ』と新人に舐められてるけど、実は最強の剣豪です【単話】")</f>
        <v>『おっさんは荷物でも持ってろよ』と新人に舐められてるけど、実は最強の剣豪です【単話】</v>
      </c>
      <c r="G2847" s="172" t="str">
        <f>IFERROR(__xludf.DUMMYFUNCTION("""COMPUTED_VALUE"""),"1～3")</f>
        <v>1～3</v>
      </c>
      <c r="H2847" s="160" t="str">
        <f>IFERROR(__xludf.DUMMYFUNCTION("""COMPUTED_VALUE"""),"kiri 日之影ソラ")</f>
        <v>kiri 日之影ソラ</v>
      </c>
      <c r="I2847" s="183" t="str">
        <f>IFERROR(__xludf.DUMMYFUNCTION("""COMPUTED_VALUE"""),"少年")</f>
        <v>少年</v>
      </c>
      <c r="J2847" s="176"/>
      <c r="K2847" s="176"/>
      <c r="L2847" s="172" t="str">
        <f>IFERROR(__xludf.DUMMYFUNCTION("""COMPUTED_VALUE"""),"マガジンハウス")</f>
        <v>マガジンハウス</v>
      </c>
      <c r="M2847" s="59">
        <f>IFERROR(__xludf.DUMMYFUNCTION("""COMPUTED_VALUE"""),45719.0)</f>
        <v>45719</v>
      </c>
      <c r="N2847" s="150">
        <f>IFERROR(__xludf.DUMMYFUNCTION("""COMPUTED_VALUE"""),45809.0)</f>
        <v>45809</v>
      </c>
      <c r="O2847" s="172"/>
      <c r="P2847" s="178" t="str">
        <f>IFERROR(__xludf.DUMMYFUNCTION("""COMPUTED_VALUE"""),"可")</f>
        <v>可</v>
      </c>
      <c r="Q2847" s="172" t="str">
        <f>IFERROR(__xludf.DUMMYFUNCTION("""COMPUTED_VALUE"""),"価格施策：1話無料を予定")</f>
        <v>価格施策：1話無料を予定</v>
      </c>
      <c r="R2847" s="172" t="str">
        <f>IFERROR(__xludf.DUMMYFUNCTION("""COMPUTED_VALUE"""),"コミットOK")</f>
        <v>コミットOK</v>
      </c>
      <c r="S2847" s="172" t="str">
        <f>IFERROR(__xludf.DUMMYFUNCTION("""COMPUTED_VALUE"""),"20250218_マガジンハウス_『おっさんは荷物でも持ってろよ』と新人に舐められてるけど、実は最強の剣豪です")</f>
        <v>20250218_マガジンハウス_『おっさんは荷物でも持ってろよ』と新人に舐められてるけど、実は最強の剣豪です</v>
      </c>
      <c r="T2847" s="152" t="str">
        <f>IFERROR(__xludf.DUMMYFUNCTION("""COMPUTED_VALUE"""),"格納済み")</f>
        <v>格納済み</v>
      </c>
      <c r="U2847" s="15" t="str">
        <f>IFERROR(__xludf.DUMMYFUNCTION("""COMPUTED_VALUE"""),"Ⓒkiri/日之影ソラ/マガジンハウス")</f>
        <v>Ⓒkiri/日之影ソラ/マガジンハウス</v>
      </c>
      <c r="V2847" s="8" t="str">
        <f>IFERROR(__xludf.DUMMYFUNCTION("""COMPUTED_VALUE"""),"うだつの上がらない中堅剣士のおっさん・リーベルト。彼は10年前に死闘の末魔王を撃破した勇者パーティ唯一の生き残りにして、王国随一の剣豪であったが、仲間を守れなかったトラウマが原因で、力を発揮することができなくなっていた。
新人冒険者からも馬鹿にされながら、細々と過ごしていたある日、以前剣術の指導をしていたアリアが訪ねてきた。
彼女はなんと新たな勇者に選ばれ、リーベルトをパーティへ勧誘しに来たのだ。
リーベルトはトラウマが原因で一度その誘いを断ってしまうが、その裏で魔王軍幹部の生き残りが、アリアを消すべく"&amp;"街へと襲来。
勇者としてたった一人で立ち向かうアリアを見て、リーベルトは再び剣を取り、勇者パーティの剣士として復活した魔王に挑むことを決意するのであった。
しかしパーティの残りのメンバー、アイーシャとイスカはリーベルトの加入をよく思っておらず…。
リーベルトは無事に彼女たちの信頼を得ることができるのか!?
過去の呪縛から解放された、“おっさん剣豪”の新たな冒険が始まる――")</f>
        <v>うだつの上がらない中堅剣士のおっさん・リーベルト。彼は10年前に死闘の末魔王を撃破した勇者パーティ唯一の生き残りにして、王国随一の剣豪であったが、仲間を守れなかったトラウマが原因で、力を発揮することができなくなっていた。
新人冒険者からも馬鹿にされながら、細々と過ごしていたある日、以前剣術の指導をしていたアリアが訪ねてきた。
彼女はなんと新たな勇者に選ばれ、リーベルトをパーティへ勧誘しに来たのだ。
リーベルトはトラウマが原因で一度その誘いを断ってしまうが、その裏で魔王軍幹部の生き残りが、アリアを消すべく街へと襲来。
勇者としてたった一人で立ち向かうアリアを見て、リーベルトは再び剣を取り、勇者パーティの剣士として復活した魔王に挑むことを決意するのであった。
しかしパーティの残りのメンバー、アイーシャとイスカはリーベルトの加入をよく思っておらず…。
リーベルトは無事に彼女たちの信頼を得ることができるのか!?
過去の呪縛から解放された、“おっさん剣豪”の新たな冒険が始まる――</v>
      </c>
      <c r="W2847" s="14"/>
      <c r="X2847" s="14" t="str">
        <f>IFERROR(__xludf.DUMMYFUNCTION("""COMPUTED_VALUE"""),"有")</f>
        <v>有</v>
      </c>
      <c r="Y2847" s="8" t="str">
        <f>IFERROR(__xludf.DUMMYFUNCTION("""COMPUTED_VALUE"""),"2025/6/30まで1巻無料")</f>
        <v>2025/6/30まで1巻無料</v>
      </c>
      <c r="Z2847" s="7"/>
      <c r="AA2847" s="7"/>
      <c r="AB2847" s="7"/>
    </row>
    <row r="2848" ht="15.75" customHeight="1">
      <c r="A2848" s="171">
        <f>IFERROR(__xludf.DUMMYFUNCTION("""COMPUTED_VALUE"""),4807.0)</f>
        <v>4807</v>
      </c>
      <c r="B2848" s="172" t="str">
        <f>IFERROR(__xludf.DUMMYFUNCTION("""COMPUTED_VALUE"""),"確定")</f>
        <v>確定</v>
      </c>
      <c r="C2848" s="173">
        <f>IFERROR(__xludf.DUMMYFUNCTION("""COMPUTED_VALUE"""),45672.0)</f>
        <v>45672</v>
      </c>
      <c r="D2848" s="173">
        <f>IFERROR(__xludf.DUMMYFUNCTION("""COMPUTED_VALUE"""),45705.0)</f>
        <v>45705</v>
      </c>
      <c r="E2848" s="174">
        <f>IFERROR(__xludf.DUMMYFUNCTION("""COMPUTED_VALUE"""),317482.0)</f>
        <v>317482</v>
      </c>
      <c r="F2848" s="159" t="str">
        <f>IFERROR(__xludf.DUMMYFUNCTION("""COMPUTED_VALUE"""),"独身寮ではおしずかに")</f>
        <v>独身寮ではおしずかに</v>
      </c>
      <c r="G2848" s="172" t="str">
        <f>IFERROR(__xludf.DUMMYFUNCTION("""COMPUTED_VALUE"""),"1～2")</f>
        <v>1～2</v>
      </c>
      <c r="H2848" s="152" t="str">
        <f>IFERROR(__xludf.DUMMYFUNCTION("""COMPUTED_VALUE"""),"あじみ")</f>
        <v>あじみ</v>
      </c>
      <c r="I2848" s="172" t="str">
        <f>IFERROR(__xludf.DUMMYFUNCTION("""COMPUTED_VALUE"""),"BL")</f>
        <v>BL</v>
      </c>
      <c r="J2848" s="176"/>
      <c r="K2848" s="172" t="str">
        <f>IFERROR(__xludf.DUMMYFUNCTION("""COMPUTED_VALUE"""),"NuPu")</f>
        <v>NuPu</v>
      </c>
      <c r="L2848" s="172" t="str">
        <f>IFERROR(__xludf.DUMMYFUNCTION("""COMPUTED_VALUE"""),"CLLENN")</f>
        <v>CLLENN</v>
      </c>
      <c r="M2848" s="28">
        <f>IFERROR(__xludf.DUMMYFUNCTION("""COMPUTED_VALUE"""),45736.0)</f>
        <v>45736</v>
      </c>
      <c r="N2848" s="170">
        <f>IFERROR(__xludf.DUMMYFUNCTION("""COMPUTED_VALUE"""),45798.0)</f>
        <v>45798</v>
      </c>
      <c r="O2848" s="172"/>
      <c r="P2848" s="178" t="str">
        <f>IFERROR(__xludf.DUMMYFUNCTION("""COMPUTED_VALUE"""),"可")</f>
        <v>可</v>
      </c>
      <c r="Q2848" s="172" t="str">
        <f>IFERROR(__xludf.DUMMYFUNCTION("""COMPUTED_VALUE"""),"会社の社員寮を題材にした作品です。商業デビュー作です。")</f>
        <v>会社の社員寮を題材にした作品です。商業デビュー作です。</v>
      </c>
      <c r="R2848" s="184" t="str">
        <f>IFERROR(__xludf.DUMMYFUNCTION("""COMPUTED_VALUE"""),"コミットOK")</f>
        <v>コミットOK</v>
      </c>
      <c r="S2848" s="172" t="str">
        <f>IFERROR(__xludf.DUMMYFUNCTION("""COMPUTED_VALUE"""),"20250312_CLLENN_修正_独身寮ではおしずかに")</f>
        <v>20250312_CLLENN_修正_独身寮ではおしずかに</v>
      </c>
      <c r="T2848" s="152" t="str">
        <f>IFERROR(__xludf.DUMMYFUNCTION("""COMPUTED_VALUE"""),"格納済み")</f>
        <v>格納済み</v>
      </c>
      <c r="U2848" s="15" t="str">
        <f>IFERROR(__xludf.DUMMYFUNCTION("""COMPUTED_VALUE"""),"Ⓒあじみ/CLLENN")</f>
        <v>Ⓒあじみ/CLLENN</v>
      </c>
      <c r="V2848" s="8" t="str">
        <f>IFERROR(__xludf.DUMMYFUNCTION("""COMPUTED_VALUE"""),"「久住さんもスッキリできました？」一人でシていたのを、部下に聞かれていた…!?――メーカー勤務の久住（くずみ）は独身寮住まい。隣の部屋に住む有能な部下の佐峯（さね）に信頼を寄せているが、物言いがキツくクールな彼の態度にどこか寂しさを感じていた。ある時、部屋で横になっていると、佐峯の部屋から女性の声と共にベッドの軋む音が聞こえてきて…!?それを聞きながら、なぜか佐峯に触られる妄想をしてしまった久住。下半身は驚くほど素直に反応してしまい、そのまま一人で快楽を味わってしまう。罪悪感に苛まれる久住だったけど、一人"&amp;"でシていたのを佐峯に聞かれていたようで…。それを知って慌てる久住に、佐峯が提案してきたものは――…？仕事ができるクールな部下×頼られたいお人好し上司の、独身寮ラブストーリー。")</f>
        <v>「久住さんもスッキリできました？」一人でシていたのを、部下に聞かれていた…!?――メーカー勤務の久住（くずみ）は独身寮住まい。隣の部屋に住む有能な部下の佐峯（さね）に信頼を寄せているが、物言いがキツくクールな彼の態度にどこか寂しさを感じていた。ある時、部屋で横になっていると、佐峯の部屋から女性の声と共にベッドの軋む音が聞こえてきて…!?それを聞きながら、なぜか佐峯に触られる妄想をしてしまった久住。下半身は驚くほど素直に反応してしまい、そのまま一人で快楽を味わってしまう。罪悪感に苛まれる久住だったけど、一人でシていたのを佐峯に聞かれていたようで…。それを知って慌てる久住に、佐峯が提案してきたものは――…？仕事ができるクールな部下×頼られたいお人好し上司の、独身寮ラブストーリー。</v>
      </c>
      <c r="W2848" s="14"/>
      <c r="X2848" s="14" t="str">
        <f>IFERROR(__xludf.DUMMYFUNCTION("""COMPUTED_VALUE"""),"有")</f>
        <v>有</v>
      </c>
      <c r="Y2848" s="8" t="str">
        <f>IFERROR(__xludf.DUMMYFUNCTION("""COMPUTED_VALUE"""),"2025/4/2まで1巻立ち読み増量（P16まで）")</f>
        <v>2025/4/2まで1巻立ち読み増量（P16まで）</v>
      </c>
      <c r="Z2848" s="7"/>
      <c r="AA2848" s="7"/>
      <c r="AB2848" s="7"/>
    </row>
    <row r="2849" ht="15.75" customHeight="1">
      <c r="A2849" s="171">
        <f>IFERROR(__xludf.DUMMYFUNCTION("""COMPUTED_VALUE"""),4832.0)</f>
        <v>4832</v>
      </c>
      <c r="B2849" s="172" t="str">
        <f>IFERROR(__xludf.DUMMYFUNCTION("""COMPUTED_VALUE"""),"確定")</f>
        <v>確定</v>
      </c>
      <c r="C2849" s="173">
        <f>IFERROR(__xludf.DUMMYFUNCTION("""COMPUTED_VALUE"""),45677.0)</f>
        <v>45677</v>
      </c>
      <c r="D2849" s="173">
        <f>IFERROR(__xludf.DUMMYFUNCTION("""COMPUTED_VALUE"""),45707.0)</f>
        <v>45707</v>
      </c>
      <c r="E2849" s="174">
        <f>IFERROR(__xludf.DUMMYFUNCTION("""COMPUTED_VALUE"""),317884.0)</f>
        <v>317884</v>
      </c>
      <c r="F2849" s="159" t="str">
        <f>IFERROR(__xludf.DUMMYFUNCTION("""COMPUTED_VALUE"""),"死にたがり令嬢は吸血鬼に溺愛される【分冊版】（コミック）")</f>
        <v>死にたがり令嬢は吸血鬼に溺愛される【分冊版】（コミック）</v>
      </c>
      <c r="G2849" s="172" t="str">
        <f>IFERROR(__xludf.DUMMYFUNCTION("""COMPUTED_VALUE"""),"1～3")</f>
        <v>1～3</v>
      </c>
      <c r="H2849" s="152" t="str">
        <f>IFERROR(__xludf.DUMMYFUNCTION("""COMPUTED_VALUE"""),"くたび/早瀬黒絵/雲屋ゆきお")</f>
        <v>くたび/早瀬黒絵/雲屋ゆきお</v>
      </c>
      <c r="I2849" s="172" t="str">
        <f>IFERROR(__xludf.DUMMYFUNCTION("""COMPUTED_VALUE"""),"少女")</f>
        <v>少女</v>
      </c>
      <c r="J2849" s="176"/>
      <c r="K2849" s="172" t="str">
        <f>IFERROR(__xludf.DUMMYFUNCTION("""COMPUTED_VALUE"""),"GAコミック")</f>
        <v>GAコミック</v>
      </c>
      <c r="L2849" s="172" t="str">
        <f>IFERROR(__xludf.DUMMYFUNCTION("""COMPUTED_VALUE"""),"SBクリエイティブ")</f>
        <v>SBクリエイティブ</v>
      </c>
      <c r="M2849" s="28">
        <f>IFERROR(__xludf.DUMMYFUNCTION("""COMPUTED_VALUE"""),45737.0)</f>
        <v>45737</v>
      </c>
      <c r="N2849" s="170">
        <f>IFERROR(__xludf.DUMMYFUNCTION("""COMPUTED_VALUE"""),45826.0)</f>
        <v>45826</v>
      </c>
      <c r="O2849" s="172"/>
      <c r="P2849" s="178" t="str">
        <f>IFERROR(__xludf.DUMMYFUNCTION("""COMPUTED_VALUE"""),"可")</f>
        <v>可</v>
      </c>
      <c r="Q2849" s="172" t="str">
        <f>IFERROR(__xludf.DUMMYFUNCTION("""COMPUTED_VALUE"""),"・原作ノベルはこちらとなります。&lt;BR&gt; https://www.cmoa.jp/title/1101416302/")</f>
        <v>・原作ノベルはこちらとなります。&lt;BR&gt; https://www.cmoa.jp/title/1101416302/</v>
      </c>
      <c r="R2849" s="172" t="str">
        <f>IFERROR(__xludf.DUMMYFUNCTION("""COMPUTED_VALUE"""),"コミットOK")</f>
        <v>コミットOK</v>
      </c>
      <c r="S2849" s="172" t="str">
        <f>IFERROR(__xludf.DUMMYFUNCTION("""COMPUTED_VALUE"""),"20250218_SBクリエイティブ_死にたがり令嬢は吸血鬼に溺愛される")</f>
        <v>20250218_SBクリエイティブ_死にたがり令嬢は吸血鬼に溺愛される</v>
      </c>
      <c r="T2849" s="152" t="str">
        <f>IFERROR(__xludf.DUMMYFUNCTION("""COMPUTED_VALUE"""),"格納済み")</f>
        <v>格納済み</v>
      </c>
      <c r="U2849" s="15" t="str">
        <f>IFERROR(__xludf.DUMMYFUNCTION("""COMPUTED_VALUE"""),"(C)くたび・早瀬黒絵/SB Creative Corp.")</f>
        <v>(C)くたび・早瀬黒絵/SB Creative Corp.</v>
      </c>
      <c r="V2849" s="8" t="str">
        <f>IFERROR(__xludf.DUMMYFUNCTION("""COMPUTED_VALUE"""),"両親から蔑ろにされ、妹に婚約者まで奪われた
伯爵令嬢アデル・ウェルチ。
人生に絶望を感じ、孤独に命を絶とうとするアデルだったが…
「どうせ死ぬなら　その人生　僕にくれない？」
不幸なアデルの命を救ったのは、公爵家の美しき吸血鬼・フィーだった。
フィーに見初められ、家を出る決意をしたアデル。
日々注がれる甘い愛に戸惑いながらも
アデルはフィーの元で幸せを感じはじめ――…。
虐げられた令嬢と高潔な吸血鬼の、
妖しく甘い恋愛ファンタジー！")</f>
        <v>両親から蔑ろにされ、妹に婚約者まで奪われた
伯爵令嬢アデル・ウェルチ。
人生に絶望を感じ、孤独に命を絶とうとするアデルだったが…
「どうせ死ぬなら　その人生　僕にくれない？」
不幸なアデルの命を救ったのは、公爵家の美しき吸血鬼・フィーだった。
フィーに見初められ、家を出る決意をしたアデル。
日々注がれる甘い愛に戸惑いながらも
アデルはフィーの元で幸せを感じはじめ――…。
虐げられた令嬢と高潔な吸血鬼の、
妖しく甘い恋愛ファンタジー！</v>
      </c>
      <c r="W2849" s="14"/>
      <c r="X2849" s="14" t="str">
        <f>IFERROR(__xludf.DUMMYFUNCTION("""COMPUTED_VALUE"""),"有")</f>
        <v>有</v>
      </c>
      <c r="Y2849" s="8" t="str">
        <f>IFERROR(__xludf.DUMMYFUNCTION("""COMPUTED_VALUE"""),"1巻無料")</f>
        <v>1巻無料</v>
      </c>
      <c r="Z2849" s="7"/>
      <c r="AA2849" s="7"/>
      <c r="AB2849" s="7"/>
    </row>
    <row r="2850" ht="15.75" customHeight="1">
      <c r="A2850" s="171">
        <f>IFERROR(__xludf.DUMMYFUNCTION("""COMPUTED_VALUE"""),4874.0)</f>
        <v>4874</v>
      </c>
      <c r="B2850" s="172" t="str">
        <f>IFERROR(__xludf.DUMMYFUNCTION("""COMPUTED_VALUE"""),"確定")</f>
        <v>確定</v>
      </c>
      <c r="C2850" s="173">
        <f>IFERROR(__xludf.DUMMYFUNCTION("""COMPUTED_VALUE"""),45678.0)</f>
        <v>45678</v>
      </c>
      <c r="D2850" s="173">
        <f>IFERROR(__xludf.DUMMYFUNCTION("""COMPUTED_VALUE"""),45705.0)</f>
        <v>45705</v>
      </c>
      <c r="E2850" s="174">
        <f>IFERROR(__xludf.DUMMYFUNCTION("""COMPUTED_VALUE"""),317028.0)</f>
        <v>317028</v>
      </c>
      <c r="F2850" s="159" t="str">
        <f>IFERROR(__xludf.DUMMYFUNCTION("""COMPUTED_VALUE"""),"ブラックメール～カースト底辺からの復讐～")</f>
        <v>ブラックメール～カースト底辺からの復讐～</v>
      </c>
      <c r="G2850" s="172" t="str">
        <f>IFERROR(__xludf.DUMMYFUNCTION("""COMPUTED_VALUE"""),"1～3")</f>
        <v>1～3</v>
      </c>
      <c r="H2850" s="152" t="str">
        <f>IFERROR(__xludf.DUMMYFUNCTION("""COMPUTED_VALUE"""),"石嶌ユウ")</f>
        <v>石嶌ユウ</v>
      </c>
      <c r="I2850" s="172" t="str">
        <f>IFERROR(__xludf.DUMMYFUNCTION("""COMPUTED_VALUE"""),"青年")</f>
        <v>青年</v>
      </c>
      <c r="J2850" s="176"/>
      <c r="K2850" s="172" t="str">
        <f>IFERROR(__xludf.DUMMYFUNCTION("""COMPUTED_VALUE"""),"DEDEDE")</f>
        <v>DEDEDE</v>
      </c>
      <c r="L2850" s="172" t="str">
        <f>IFERROR(__xludf.DUMMYFUNCTION("""COMPUTED_VALUE"""),"CLLENN")</f>
        <v>CLLENN</v>
      </c>
      <c r="M2850" s="28">
        <f>IFERROR(__xludf.DUMMYFUNCTION("""COMPUTED_VALUE"""),45732.0)</f>
        <v>45732</v>
      </c>
      <c r="N2850" s="28">
        <f>IFERROR(__xludf.DUMMYFUNCTION("""COMPUTED_VALUE"""),45829.0)</f>
        <v>45829</v>
      </c>
      <c r="O2850" s="172"/>
      <c r="P2850" s="178" t="str">
        <f>IFERROR(__xludf.DUMMYFUNCTION("""COMPUTED_VALUE"""),"可")</f>
        <v>可</v>
      </c>
      <c r="Q2850" s="172" t="str">
        <f>IFERROR(__xludf.DUMMYFUNCTION("""COMPUTED_VALUE"""),"連載先行")</f>
        <v>連載先行</v>
      </c>
      <c r="R2850" s="172" t="str">
        <f>IFERROR(__xludf.DUMMYFUNCTION("""COMPUTED_VALUE"""),"コミットOK")</f>
        <v>コミットOK</v>
      </c>
      <c r="S2850" s="172" t="str">
        <f>IFERROR(__xludf.DUMMYFUNCTION("""COMPUTED_VALUE"""),"20250217_CLLENN_ブラックメール～カースト底辺からの復讐～")</f>
        <v>20250217_CLLENN_ブラックメール～カースト底辺からの復讐～</v>
      </c>
      <c r="T2850" s="152" t="str">
        <f>IFERROR(__xludf.DUMMYFUNCTION("""COMPUTED_VALUE"""),"格納済み")</f>
        <v>格納済み</v>
      </c>
      <c r="U2850" s="15" t="str">
        <f>IFERROR(__xludf.DUMMYFUNCTION("""COMPUTED_VALUE"""),"Ⓒ石嶌ユウ/CLLENN")</f>
        <v>Ⓒ石嶌ユウ/CLLENN</v>
      </c>
      <c r="V2850" s="8" t="str">
        <f>IFERROR(__xludf.DUMMYFUNCTION("""COMPUTED_VALUE"""),"「青山くん、エサの時間だよ～♪」転校初日から繰り広げられる壮絶なイジメに俺は…！――父に先立たれた俺と母は、悲しみを忘れるために新しい町で生活を始める。しかし、学園カーストトップの風紀委員・城崎華蓮に目を付けられ、突然理由なきイジメが始まる…。母に心配をかけまいと耐えるも、その母すらも奴らは標的に…!! やるせない怒りで苦しむ俺のもとに届いた一通のDM「復讐したい相手はいませんか？」。怪しいとわかっていながら、俺は憎しみに襲われ…。――カースト底辺からの学園復讐サイコパス・サスペンス始動!!")</f>
        <v>「青山くん、エサの時間だよ～♪」転校初日から繰り広げられる壮絶なイジメに俺は…！――父に先立たれた俺と母は、悲しみを忘れるために新しい町で生活を始める。しかし、学園カーストトップの風紀委員・城崎華蓮に目を付けられ、突然理由なきイジメが始まる…。母に心配をかけまいと耐えるも、その母すらも奴らは標的に…!! やるせない怒りで苦しむ俺のもとに届いた一通のDM「復讐したい相手はいませんか？」。怪しいとわかっていながら、俺は憎しみに襲われ…。――カースト底辺からの学園復讐サイコパス・サスペンス始動!!</v>
      </c>
      <c r="W2850" s="14"/>
      <c r="X2850" s="14" t="str">
        <f>IFERROR(__xludf.DUMMYFUNCTION("""COMPUTED_VALUE"""),"有")</f>
        <v>有</v>
      </c>
      <c r="Y2850" s="8" t="str">
        <f>IFERROR(__xludf.DUMMYFUNCTION("""COMPUTED_VALUE"""),"2025/3/29まで1巻無料")</f>
        <v>2025/3/29まで1巻無料</v>
      </c>
      <c r="Z2850" s="7"/>
      <c r="AA2850" s="7"/>
      <c r="AB2850" s="7"/>
    </row>
    <row r="2851" ht="15.75" customHeight="1">
      <c r="A2851" s="171">
        <f>IFERROR(__xludf.DUMMYFUNCTION("""COMPUTED_VALUE"""),4879.0)</f>
        <v>4879</v>
      </c>
      <c r="B2851" s="172" t="str">
        <f>IFERROR(__xludf.DUMMYFUNCTION("""COMPUTED_VALUE"""),"確定")</f>
        <v>確定</v>
      </c>
      <c r="C2851" s="173">
        <f>IFERROR(__xludf.DUMMYFUNCTION("""COMPUTED_VALUE"""),45679.0)</f>
        <v>45679</v>
      </c>
      <c r="D2851" s="173">
        <f>IFERROR(__xludf.DUMMYFUNCTION("""COMPUTED_VALUE"""),45707.0)</f>
        <v>45707</v>
      </c>
      <c r="E2851" s="174">
        <f>IFERROR(__xludf.DUMMYFUNCTION("""COMPUTED_VALUE"""),317481.0)</f>
        <v>317481</v>
      </c>
      <c r="F2851" s="159" t="str">
        <f>IFERROR(__xludf.DUMMYFUNCTION("""COMPUTED_VALUE"""),"極太留学生のボブは我慢がデキない～指も舌もアレも規格外すぎる～【フルカラー】")</f>
        <v>極太留学生のボブは我慢がデキない～指も舌もアレも規格外すぎる～【フルカラー】</v>
      </c>
      <c r="G2851" s="172" t="str">
        <f>IFERROR(__xludf.DUMMYFUNCTION("""COMPUTED_VALUE"""),"1～3")</f>
        <v>1～3</v>
      </c>
      <c r="H2851" s="152" t="str">
        <f>IFERROR(__xludf.DUMMYFUNCTION("""COMPUTED_VALUE"""),"白石ガッタ")</f>
        <v>白石ガッタ</v>
      </c>
      <c r="I2851" s="172" t="str">
        <f>IFERROR(__xludf.DUMMYFUNCTION("""COMPUTED_VALUE"""),"アダルトマンガ")</f>
        <v>アダルトマンガ</v>
      </c>
      <c r="J2851" s="176"/>
      <c r="K2851" s="172" t="str">
        <f>IFERROR(__xludf.DUMMYFUNCTION("""COMPUTED_VALUE"""),"カゲキヤコミック")</f>
        <v>カゲキヤコミック</v>
      </c>
      <c r="L2851" s="172" t="str">
        <f>IFERROR(__xludf.DUMMYFUNCTION("""COMPUTED_VALUE"""),"DEEPER-ZERO")</f>
        <v>DEEPER-ZERO</v>
      </c>
      <c r="M2851" s="28">
        <f>IFERROR(__xludf.DUMMYFUNCTION("""COMPUTED_VALUE"""),45730.0)</f>
        <v>45730</v>
      </c>
      <c r="N2851" s="28">
        <f>IFERROR(__xludf.DUMMYFUNCTION("""COMPUTED_VALUE"""),45785.0)</f>
        <v>45785</v>
      </c>
      <c r="O2851" s="172"/>
      <c r="P2851" s="178" t="str">
        <f>IFERROR(__xludf.DUMMYFUNCTION("""COMPUTED_VALUE"""),"可")</f>
        <v>可</v>
      </c>
      <c r="Q2851" s="172" t="str">
        <f>IFERROR(__xludf.DUMMYFUNCTION("""COMPUTED_VALUE"""),"連載先行")</f>
        <v>連載先行</v>
      </c>
      <c r="R2851" s="172" t="str">
        <f>IFERROR(__xludf.DUMMYFUNCTION("""COMPUTED_VALUE"""),"コミットOK")</f>
        <v>コミットOK</v>
      </c>
      <c r="S2851" s="172" t="str">
        <f>IFERROR(__xludf.DUMMYFUNCTION("""COMPUTED_VALUE"""),"20250218_DEEPER-ZERO_極太留学生のボブは我慢がデキない～指も舌もアレも規格外すぎる～【フルカラー】")</f>
        <v>20250218_DEEPER-ZERO_極太留学生のボブは我慢がデキない～指も舌もアレも規格外すぎる～【フルカラー】</v>
      </c>
      <c r="T2851" s="152" t="str">
        <f>IFERROR(__xludf.DUMMYFUNCTION("""COMPUTED_VALUE"""),"格納済み")</f>
        <v>格納済み</v>
      </c>
      <c r="U2851" s="15" t="str">
        <f>IFERROR(__xludf.DUMMYFUNCTION("""COMPUTED_VALUE"""),"Ⓒ白石ガッタ/DEEPER-ZERO")</f>
        <v>Ⓒ白石ガッタ/DEEPER-ZERO</v>
      </c>
      <c r="V2851" s="8" t="str">
        <f>IFERROR(__xludf.DUMMYFUNCTION("""COMPUTED_VALUE"""),"「知らなかった…コレが本物の●●●」奥のオクまで届く、ボブの大きなアレ。私の敏感な●●をボブの手で優しくねぶられ…、もう我慢できない！――彼氏の浮気が発覚して実家へ戻った私。だけど家にはカラダの大きな留学生・ボブがホームステイに来ていた！　優しそうな彼となら仲良くできるかも…と思ったのもつかの間、ボブが妹の部屋へ忍び込もうとしている!?　問い詰めると性欲が我慢の限界らしい。家族を守るために私が何とかしなくちゃと思ったけれど…大きさが規格外すぎる!!　ボブを気持ちよくさせるだけのつもりが、だんだん私まで濡れ"&amp;"てきちゃって…。――いろいろ大きな外国人留学生とのハートフル同居性活コミック！")</f>
        <v>「知らなかった…コレが本物の●●●」奥のオクまで届く、ボブの大きなアレ。私の敏感な●●をボブの手で優しくねぶられ…、もう我慢できない！――彼氏の浮気が発覚して実家へ戻った私。だけど家にはカラダの大きな留学生・ボブがホームステイに来ていた！　優しそうな彼となら仲良くできるかも…と思ったのもつかの間、ボブが妹の部屋へ忍び込もうとしている!?　問い詰めると性欲が我慢の限界らしい。家族を守るために私が何とかしなくちゃと思ったけれど…大きさが規格外すぎる!!　ボブを気持ちよくさせるだけのつもりが、だんだん私まで濡れてきちゃって…。――いろいろ大きな外国人留学生とのハートフル同居性活コミック！</v>
      </c>
      <c r="W2851" s="14"/>
      <c r="X2851" s="14" t="str">
        <f>IFERROR(__xludf.DUMMYFUNCTION("""COMPUTED_VALUE"""),"有")</f>
        <v>有</v>
      </c>
      <c r="Y2851" s="8" t="str">
        <f>IFERROR(__xludf.DUMMYFUNCTION("""COMPUTED_VALUE"""),"P12まで")</f>
        <v>P12まで</v>
      </c>
      <c r="Z2851" s="7"/>
      <c r="AA2851" s="7"/>
      <c r="AB2851" s="7"/>
    </row>
    <row r="2852" ht="15.75" customHeight="1">
      <c r="A2852" s="171">
        <f>IFERROR(__xludf.DUMMYFUNCTION("""COMPUTED_VALUE"""),4899.0)</f>
        <v>4899</v>
      </c>
      <c r="B2852" s="172" t="str">
        <f>IFERROR(__xludf.DUMMYFUNCTION("""COMPUTED_VALUE"""),"確定")</f>
        <v>確定</v>
      </c>
      <c r="C2852" s="173">
        <f>IFERROR(__xludf.DUMMYFUNCTION("""COMPUTED_VALUE"""),45684.0)</f>
        <v>45684</v>
      </c>
      <c r="D2852" s="173">
        <f>IFERROR(__xludf.DUMMYFUNCTION("""COMPUTED_VALUE"""),45707.0)</f>
        <v>45707</v>
      </c>
      <c r="E2852" s="174">
        <f>IFERROR(__xludf.DUMMYFUNCTION("""COMPUTED_VALUE"""),317756.0)</f>
        <v>317756</v>
      </c>
      <c r="F2852" s="159" t="str">
        <f>IFERROR(__xludf.DUMMYFUNCTION("""COMPUTED_VALUE"""),"元彼リミテッド。この厄介な性癖は、あなたのせい【R版】")</f>
        <v>元彼リミテッド。この厄介な性癖は、あなたのせい【R版】</v>
      </c>
      <c r="G2852" s="172" t="str">
        <f>IFERROR(__xludf.DUMMYFUNCTION("""COMPUTED_VALUE"""),"1～2")</f>
        <v>1～2</v>
      </c>
      <c r="H2852" s="152" t="str">
        <f>IFERROR(__xludf.DUMMYFUNCTION("""COMPUTED_VALUE"""),"輝")</f>
        <v>輝</v>
      </c>
      <c r="I2852" s="172" t="str">
        <f>IFERROR(__xludf.DUMMYFUNCTION("""COMPUTED_VALUE"""),"アダルトマンガ")</f>
        <v>アダルトマンガ</v>
      </c>
      <c r="J2852" s="176"/>
      <c r="K2852" s="172" t="str">
        <f>IFERROR(__xludf.DUMMYFUNCTION("""COMPUTED_VALUE"""),"カゲキヤコミック")</f>
        <v>カゲキヤコミック</v>
      </c>
      <c r="L2852" s="172" t="str">
        <f>IFERROR(__xludf.DUMMYFUNCTION("""COMPUTED_VALUE"""),"DEEPER-ZERO")</f>
        <v>DEEPER-ZERO</v>
      </c>
      <c r="M2852" s="28">
        <f>IFERROR(__xludf.DUMMYFUNCTION("""COMPUTED_VALUE"""),45732.0)</f>
        <v>45732</v>
      </c>
      <c r="N2852" s="28">
        <f>IFERROR(__xludf.DUMMYFUNCTION("""COMPUTED_VALUE"""),45794.0)</f>
        <v>45794</v>
      </c>
      <c r="O2852" s="172"/>
      <c r="P2852" s="178" t="str">
        <f>IFERROR(__xludf.DUMMYFUNCTION("""COMPUTED_VALUE"""),"可")</f>
        <v>可</v>
      </c>
      <c r="Q2852" s="172" t="str">
        <f>IFERROR(__xludf.DUMMYFUNCTION("""COMPUTED_VALUE"""),"連載先行。&lt;BR&gt;TL版をＴＬ★オトメチカ 、メンズ版をカゲキヤコミックで配信予定となります。同時配信予定です。")</f>
        <v>連載先行。&lt;BR&gt;TL版をＴＬ★オトメチカ 、メンズ版をカゲキヤコミックで配信予定となります。同時配信予定です。</v>
      </c>
      <c r="R2852" s="172" t="str">
        <f>IFERROR(__xludf.DUMMYFUNCTION("""COMPUTED_VALUE"""),"コミットOK")</f>
        <v>コミットOK</v>
      </c>
      <c r="S2852" s="172" t="str">
        <f>IFERROR(__xludf.DUMMYFUNCTION("""COMPUTED_VALUE"""),"20250303_DEEPERZERO_R18版_元彼リミテッド。この厄介な性癖は、あなたのせい	")</f>
        <v>20250303_DEEPERZERO_R18版_元彼リミテッド。この厄介な性癖は、あなたのせい	</v>
      </c>
      <c r="T2852" s="152" t="str">
        <f>IFERROR(__xludf.DUMMYFUNCTION("""COMPUTED_VALUE"""),"格納済み")</f>
        <v>格納済み</v>
      </c>
      <c r="U2852" s="15" t="str">
        <f>IFERROR(__xludf.DUMMYFUNCTION("""COMPUTED_VALUE"""),"Ⓒ輝/DEEPER-ZERO")</f>
        <v>Ⓒ輝/DEEPER-ZERO</v>
      </c>
      <c r="V2852" s="8" t="str">
        <f>IFERROR(__xludf.DUMMYFUNCTION("""COMPUTED_VALUE"""),"「凛子、挿れたい…っ」大好きな彼の指がキモチいとこまで届いて、欲のまま貫かれて――OLの凛子は、学生時代の元彼“志郎くん”に未練がある。初Hで興奮していた彼の姿が忘れられず、「男の人にエロい目で見られたい」という性癖をもっていた。ただSNSにHな自撮りを晒しても、満足できない日々…。そんなある日、会社の合併で志郎くんとまさかの再会!?久しぶりに見た笑顔は昔と変わらず魅力的で…だいすきだった彼の熱い眼差しに、子宮が勝手にキュンキュンしちゃうっ…!!【R版】はTLオトメチカの『元彼リミテッド。この厄介な性癖は"&amp;"、あなたのせい』をR版に再編集したものです。重複購入にお気を付けください。")</f>
        <v>「凛子、挿れたい…っ」大好きな彼の指がキモチいとこまで届いて、欲のまま貫かれて――OLの凛子は、学生時代の元彼“志郎くん”に未練がある。初Hで興奮していた彼の姿が忘れられず、「男の人にエロい目で見られたい」という性癖をもっていた。ただSNSにHな自撮りを晒しても、満足できない日々…。そんなある日、会社の合併で志郎くんとまさかの再会!?久しぶりに見た笑顔は昔と変わらず魅力的で…だいすきだった彼の熱い眼差しに、子宮が勝手にキュンキュンしちゃうっ…!!【R版】はTLオトメチカの『元彼リミテッド。この厄介な性癖は、あなたのせい』をR版に再編集したものです。重複購入にお気を付けください。</v>
      </c>
      <c r="W2852" s="14"/>
      <c r="X2852" s="14" t="str">
        <f>IFERROR(__xludf.DUMMYFUNCTION("""COMPUTED_VALUE"""),"有")</f>
        <v>有</v>
      </c>
      <c r="Y2852" s="8" t="str">
        <f>IFERROR(__xludf.DUMMYFUNCTION("""COMPUTED_VALUE"""),"2025/4/12まで1巻立ち読み増量(P14まで)")</f>
        <v>2025/4/12まで1巻立ち読み増量(P14まで)</v>
      </c>
      <c r="Z2852" s="7"/>
      <c r="AA2852" s="7"/>
      <c r="AB2852" s="7"/>
    </row>
    <row r="2853" ht="15.75" customHeight="1">
      <c r="A2853" s="171">
        <f>IFERROR(__xludf.DUMMYFUNCTION("""COMPUTED_VALUE"""),4900.0)</f>
        <v>4900</v>
      </c>
      <c r="B2853" s="172" t="str">
        <f>IFERROR(__xludf.DUMMYFUNCTION("""COMPUTED_VALUE"""),"確定")</f>
        <v>確定</v>
      </c>
      <c r="C2853" s="173">
        <f>IFERROR(__xludf.DUMMYFUNCTION("""COMPUTED_VALUE"""),45684.0)</f>
        <v>45684</v>
      </c>
      <c r="D2853" s="173">
        <f>IFERROR(__xludf.DUMMYFUNCTION("""COMPUTED_VALUE"""),45707.0)</f>
        <v>45707</v>
      </c>
      <c r="E2853" s="174">
        <f>IFERROR(__xludf.DUMMYFUNCTION("""COMPUTED_VALUE"""),317050.0)</f>
        <v>317050</v>
      </c>
      <c r="F2853" s="159" t="str">
        <f>IFERROR(__xludf.DUMMYFUNCTION("""COMPUTED_VALUE"""),"元彼リミテッド。この厄介な性癖は、あなたのせい")</f>
        <v>元彼リミテッド。この厄介な性癖は、あなたのせい</v>
      </c>
      <c r="G2853" s="172" t="str">
        <f>IFERROR(__xludf.DUMMYFUNCTION("""COMPUTED_VALUE"""),"1～2")</f>
        <v>1～2</v>
      </c>
      <c r="H2853" s="152" t="str">
        <f>IFERROR(__xludf.DUMMYFUNCTION("""COMPUTED_VALUE"""),"輝")</f>
        <v>輝</v>
      </c>
      <c r="I2853" s="172" t="str">
        <f>IFERROR(__xludf.DUMMYFUNCTION("""COMPUTED_VALUE"""),"TL")</f>
        <v>TL</v>
      </c>
      <c r="J2853" s="176"/>
      <c r="K2853" s="172" t="str">
        <f>IFERROR(__xludf.DUMMYFUNCTION("""COMPUTED_VALUE"""),"TL★オトメチカ")</f>
        <v>TL★オトメチカ</v>
      </c>
      <c r="L2853" s="172" t="str">
        <f>IFERROR(__xludf.DUMMYFUNCTION("""COMPUTED_VALUE"""),"CLLENN")</f>
        <v>CLLENN</v>
      </c>
      <c r="M2853" s="28">
        <f>IFERROR(__xludf.DUMMYFUNCTION("""COMPUTED_VALUE"""),45732.0)</f>
        <v>45732</v>
      </c>
      <c r="N2853" s="28">
        <f>IFERROR(__xludf.DUMMYFUNCTION("""COMPUTED_VALUE"""),45794.0)</f>
        <v>45794</v>
      </c>
      <c r="O2853" s="172"/>
      <c r="P2853" s="178" t="str">
        <f>IFERROR(__xludf.DUMMYFUNCTION("""COMPUTED_VALUE"""),"可")</f>
        <v>可</v>
      </c>
      <c r="Q2853" s="172" t="str">
        <f>IFERROR(__xludf.DUMMYFUNCTION("""COMPUTED_VALUE"""),"連載先行。&lt;BR&gt;TL版をＴＬ★オトメチカ 、メンズ版をカゲキヤコミックで配信予定となります。同時配信予定です。")</f>
        <v>連載先行。&lt;BR&gt;TL版をＴＬ★オトメチカ 、メンズ版をカゲキヤコミックで配信予定となります。同時配信予定です。</v>
      </c>
      <c r="R2853" s="172" t="str">
        <f>IFERROR(__xludf.DUMMYFUNCTION("""COMPUTED_VALUE"""),"コミットOK")</f>
        <v>コミットOK</v>
      </c>
      <c r="S2853" s="172" t="str">
        <f>IFERROR(__xludf.DUMMYFUNCTION("""COMPUTED_VALUE"""),"20250303_CLLENN_TL版_元彼リミテッド。この厄介な性癖は、あなたのせい	")</f>
        <v>20250303_CLLENN_TL版_元彼リミテッド。この厄介な性癖は、あなたのせい	</v>
      </c>
      <c r="T2853" s="172" t="str">
        <f>IFERROR(__xludf.DUMMYFUNCTION("""COMPUTED_VALUE"""),"格納済み")</f>
        <v>格納済み</v>
      </c>
      <c r="U2853" s="15" t="str">
        <f>IFERROR(__xludf.DUMMYFUNCTION("""COMPUTED_VALUE"""),"Ⓒ輝/CLLENN")</f>
        <v>Ⓒ輝/CLLENN</v>
      </c>
      <c r="V2853" s="8" t="str">
        <f>IFERROR(__xludf.DUMMYFUNCTION("""COMPUTED_VALUE"""),"「凛子、挿れたい…っ」大好きな彼の指がキモチいとこまで届いて、欲のまま貫かれて――OLの凛子は、学生時代の元彼“志郎くん”に未練がある。初Hで興奮していた彼の姿が忘れられず、「男の人にエロい目で見られたい」という性癖をもっていた。そんなある日、会社の合併で志郎くんとまさかの再会!?久しぶりに見た笑顔は昔と変わらず魅力的で…だいすきだった彼の熱い眼差しに、子宮が勝手にキュンキュンしちゃうっ…あのときの欲情を帯びた瞳で、もう一度あなたに抱かれたいの――。この作品はカゲキヤコミックの『元彼リミテッド。この厄介な"&amp;"性癖は、あなたのせい【R版】』をTL版に再編集したものです。重複購入にお気を付けください。")</f>
        <v>「凛子、挿れたい…っ」大好きな彼の指がキモチいとこまで届いて、欲のまま貫かれて――OLの凛子は、学生時代の元彼“志郎くん”に未練がある。初Hで興奮していた彼の姿が忘れられず、「男の人にエロい目で見られたい」という性癖をもっていた。そんなある日、会社の合併で志郎くんとまさかの再会!?久しぶりに見た笑顔は昔と変わらず魅力的で…だいすきだった彼の熱い眼差しに、子宮が勝手にキュンキュンしちゃうっ…あのときの欲情を帯びた瞳で、もう一度あなたに抱かれたいの――。この作品はカゲキヤコミックの『元彼リミテッド。この厄介な性癖は、あなたのせい【R版】』をTL版に再編集したものです。重複購入にお気を付けください。</v>
      </c>
      <c r="W2853" s="14"/>
      <c r="X2853" s="14" t="str">
        <f>IFERROR(__xludf.DUMMYFUNCTION("""COMPUTED_VALUE"""),"有")</f>
        <v>有</v>
      </c>
      <c r="Y2853" s="8" t="str">
        <f>IFERROR(__xludf.DUMMYFUNCTION("""COMPUTED_VALUE"""),"2025/4/12まで1巻立ち読み増量(P14まで)")</f>
        <v>2025/4/12まで1巻立ち読み増量(P14まで)</v>
      </c>
      <c r="Z2853" s="7"/>
      <c r="AA2853" s="7"/>
      <c r="AB2853" s="7"/>
    </row>
    <row r="2854" ht="15.75" customHeight="1">
      <c r="A2854" s="171">
        <f>IFERROR(__xludf.DUMMYFUNCTION("""COMPUTED_VALUE"""),4916.0)</f>
        <v>4916</v>
      </c>
      <c r="B2854" s="172" t="str">
        <f>IFERROR(__xludf.DUMMYFUNCTION("""COMPUTED_VALUE"""),"確定")</f>
        <v>確定</v>
      </c>
      <c r="C2854" s="173">
        <f>IFERROR(__xludf.DUMMYFUNCTION("""COMPUTED_VALUE"""),45684.0)</f>
        <v>45684</v>
      </c>
      <c r="D2854" s="173">
        <f>IFERROR(__xludf.DUMMYFUNCTION("""COMPUTED_VALUE"""),45707.0)</f>
        <v>45707</v>
      </c>
      <c r="E2854" s="174">
        <f>IFERROR(__xludf.DUMMYFUNCTION("""COMPUTED_VALUE"""),317042.0)</f>
        <v>317042</v>
      </c>
      <c r="F2854" s="159" t="str">
        <f>IFERROR(__xludf.DUMMYFUNCTION("""COMPUTED_VALUE"""),"策士な皇帝は身代わり姫を娶りたい")</f>
        <v>策士な皇帝は身代わり姫を娶りたい</v>
      </c>
      <c r="G2854" s="171">
        <f>IFERROR(__xludf.DUMMYFUNCTION("""COMPUTED_VALUE"""),1.0)</f>
        <v>1</v>
      </c>
      <c r="H2854" s="161" t="str">
        <f>IFERROR(__xludf.DUMMYFUNCTION("""COMPUTED_VALUE"""),"KANNA 藍井恵")</f>
        <v>KANNA 藍井恵</v>
      </c>
      <c r="I2854" s="172" t="str">
        <f>IFERROR(__xludf.DUMMYFUNCTION("""COMPUTED_VALUE"""),"TL")</f>
        <v>TL</v>
      </c>
      <c r="J2854" s="176"/>
      <c r="K2854" s="172" t="str">
        <f>IFERROR(__xludf.DUMMYFUNCTION("""COMPUTED_VALUE"""),"乙女ドルチェ・コミックス")</f>
        <v>乙女ドルチェ・コミックス</v>
      </c>
      <c r="L2854" s="184" t="str">
        <f>IFERROR(__xludf.DUMMYFUNCTION("""COMPUTED_VALUE"""),"乙女ドルチェ・コミックス")</f>
        <v>乙女ドルチェ・コミックス</v>
      </c>
      <c r="M2854" s="28">
        <f>IFERROR(__xludf.DUMMYFUNCTION("""COMPUTED_VALUE"""),45734.0)</f>
        <v>45734</v>
      </c>
      <c r="N2854" s="28">
        <f>IFERROR(__xludf.DUMMYFUNCTION("""COMPUTED_VALUE"""),45792.0)</f>
        <v>45792</v>
      </c>
      <c r="O2854" s="172"/>
      <c r="P2854" s="178" t="str">
        <f>IFERROR(__xludf.DUMMYFUNCTION("""COMPUTED_VALUE"""),"可")</f>
        <v>可</v>
      </c>
      <c r="Q2854" s="172" t="str">
        <f>IFERROR(__xludf.DUMMYFUNCTION("""COMPUTED_VALUE"""),"1巻完結")</f>
        <v>1巻完結</v>
      </c>
      <c r="R2854" s="172" t="str">
        <f>IFERROR(__xludf.DUMMYFUNCTION("""COMPUTED_VALUE"""),"コミットNG")</f>
        <v>コミットNG</v>
      </c>
      <c r="S2854" s="172" t="str">
        <f>IFERROR(__xludf.DUMMYFUNCTION("""COMPUTED_VALUE"""),"20250214_ハーパーコリンズ・ジャパン_策士な皇帝は身代わり姫を娶りたい")</f>
        <v>20250214_ハーパーコリンズ・ジャパン_策士な皇帝は身代わり姫を娶りたい</v>
      </c>
      <c r="T2854" s="152" t="str">
        <f>IFERROR(__xludf.DUMMYFUNCTION("""COMPUTED_VALUE"""),"格納済み")</f>
        <v>格納済み</v>
      </c>
      <c r="U2854" s="15" t="str">
        <f>IFERROR(__xludf.DUMMYFUNCTION("""COMPUTED_VALUE"""),"ⒸKANNA・藍井 恵／ハーパーコリンズ・ジャパン")</f>
        <v>ⒸKANNA・藍井 恵／ハーパーコリンズ・ジャパン</v>
      </c>
      <c r="V2854" s="8" t="str">
        <f>IFERROR(__xludf.DUMMYFUNCTION("""COMPUTED_VALUE"""),"裏切り者の皇帝×偽物王女
「敏感に反応する身体も、戸惑い気味の表情も、たまらなくそそるな…」
王女の身代わりとして、皇帝レアンドルに嫁いだ村娘リゼット。反逆者の皇帝を偽る状況に不安ばかりだったが、皇帝は王宮で侍女をしていた亡き母の友人で、昔会ったことがある軍人レオだった！ 緊張は和らぐものの、身代わりだと見破られてはならず…。思い悩む初夜、寝室に来たレアンドルを思わず拒否するリゼット。「では今夜は味見にとどめるとしよう」「姫の体は敏感なのだな」そう言って、皇帝は彼女の身体中を舌で愛撫し、甘く蕩かし"&amp;"ていく。やがて彼への想いが深まっていく反面、騙している罪悪感に苛まれて――。")</f>
        <v>裏切り者の皇帝×偽物王女
「敏感に反応する身体も、戸惑い気味の表情も、たまらなくそそるな…」
王女の身代わりとして、皇帝レアンドルに嫁いだ村娘リゼット。反逆者の皇帝を偽る状況に不安ばかりだったが、皇帝は王宮で侍女をしていた亡き母の友人で、昔会ったことがある軍人レオだった！ 緊張は和らぐものの、身代わりだと見破られてはならず…。思い悩む初夜、寝室に来たレアンドルを思わず拒否するリゼット。「では今夜は味見にとどめるとしよう」「姫の体は敏感なのだな」そう言って、皇帝は彼女の身体中を舌で愛撫し、甘く蕩かしていく。やがて彼への想いが深まっていく反面、騙している罪悪感に苛まれて――。</v>
      </c>
      <c r="W2854" s="14"/>
      <c r="X2854" s="14" t="str">
        <f>IFERROR(__xludf.DUMMYFUNCTION("""COMPUTED_VALUE"""),"有")</f>
        <v>有</v>
      </c>
      <c r="Y2854" s="8" t="str">
        <f>IFERROR(__xludf.DUMMYFUNCTION("""COMPUTED_VALUE"""),"2025/4/17まで1巻立ち読み増量（P41まで）")</f>
        <v>2025/4/17まで1巻立ち読み増量（P41まで）</v>
      </c>
      <c r="Z2854" s="7"/>
      <c r="AA2854" s="7"/>
      <c r="AB2854" s="7"/>
    </row>
    <row r="2855" ht="15.75" customHeight="1">
      <c r="A2855" s="171">
        <f>IFERROR(__xludf.DUMMYFUNCTION("""COMPUTED_VALUE"""),4926.0)</f>
        <v>4926</v>
      </c>
      <c r="B2855" s="172" t="str">
        <f>IFERROR(__xludf.DUMMYFUNCTION("""COMPUTED_VALUE"""),"確定")</f>
        <v>確定</v>
      </c>
      <c r="C2855" s="173">
        <f>IFERROR(__xludf.DUMMYFUNCTION("""COMPUTED_VALUE"""),45685.0)</f>
        <v>45685</v>
      </c>
      <c r="D2855" s="173">
        <f>IFERROR(__xludf.DUMMYFUNCTION("""COMPUTED_VALUE"""),45707.0)</f>
        <v>45707</v>
      </c>
      <c r="E2855" s="181">
        <f>IFERROR(__xludf.DUMMYFUNCTION("""COMPUTED_VALUE"""),317725.0)</f>
        <v>317725</v>
      </c>
      <c r="F2855" s="156" t="str">
        <f>IFERROR(__xludf.DUMMYFUNCTION("""COMPUTED_VALUE"""),"刀剣乱舞 真譚 蜂須賀虎徹 連載版")</f>
        <v>刀剣乱舞 真譚 蜂須賀虎徹 連載版</v>
      </c>
      <c r="G2855" s="172" t="str">
        <f>IFERROR(__xludf.DUMMYFUNCTION("""COMPUTED_VALUE"""),"1～4")</f>
        <v>1～4</v>
      </c>
      <c r="H2855" s="161" t="str">
        <f>IFERROR(__xludf.DUMMYFUNCTION("""COMPUTED_VALUE"""),"瀬田U 「刀剣乱舞ONLINE」より(DMM GAMES／NITRO PLUS)")</f>
        <v>瀬田U 「刀剣乱舞ONLINE」より(DMM GAMES／NITRO PLUS)</v>
      </c>
      <c r="I2855" s="172" t="str">
        <f>IFERROR(__xludf.DUMMYFUNCTION("""COMPUTED_VALUE"""),"女性")</f>
        <v>女性</v>
      </c>
      <c r="J2855" s="176"/>
      <c r="K2855" s="176"/>
      <c r="L2855" s="172" t="str">
        <f>IFERROR(__xludf.DUMMYFUNCTION("""COMPUTED_VALUE"""),"ブシロードワークス")</f>
        <v>ブシロードワークス</v>
      </c>
      <c r="M2855" s="28">
        <f>IFERROR(__xludf.DUMMYFUNCTION("""COMPUTED_VALUE"""),45737.0)</f>
        <v>45737</v>
      </c>
      <c r="N2855" s="170">
        <f>IFERROR(__xludf.DUMMYFUNCTION("""COMPUTED_VALUE"""),45784.0)</f>
        <v>45784</v>
      </c>
      <c r="O2855" s="172"/>
      <c r="P2855" s="177" t="str">
        <f>IFERROR(__xludf.DUMMYFUNCTION("""COMPUTED_VALUE"""),"否")</f>
        <v>否</v>
      </c>
      <c r="Q2855" s="172"/>
      <c r="R2855" s="172" t="str">
        <f>IFERROR(__xludf.DUMMYFUNCTION("""COMPUTED_VALUE"""),"コミットOK")</f>
        <v>コミットOK</v>
      </c>
      <c r="S2855" s="172" t="str">
        <f>IFERROR(__xludf.DUMMYFUNCTION("""COMPUTED_VALUE"""),"20250217_ブシロードワークス_刀剣乱舞 真譚 蜂須賀虎徹_連載版")</f>
        <v>20250217_ブシロードワークス_刀剣乱舞 真譚 蜂須賀虎徹_連載版</v>
      </c>
      <c r="T2855" s="152" t="str">
        <f>IFERROR(__xludf.DUMMYFUNCTION("""COMPUTED_VALUE"""),"格納済み")</f>
        <v>格納済み</v>
      </c>
      <c r="U2855" s="15" t="str">
        <f>IFERROR(__xludf.DUMMYFUNCTION("""COMPUTED_VALUE"""),"Ⓒ2015 EXNOA LLC/NITRO PLUS Ⓒ瀬田U/BUSHIROAD WORKS")</f>
        <v>Ⓒ2015 EXNOA LLC/NITRO PLUS Ⓒ瀬田U/BUSHIROAD WORKS</v>
      </c>
      <c r="V2855" s="8" t="str">
        <f>IFERROR(__xludf.DUMMYFUNCTION("""COMPUTED_VALUE"""),"大人気ゲーム「刀剣乱舞ONLINE」の公式コミカライズ!! 正しい歴史を守るため、本丸に就任したのは虎のぬいぐるみで？ 始まりの一振・蜂須賀虎徹と共に綴る物語！")</f>
        <v>大人気ゲーム「刀剣乱舞ONLINE」の公式コミカライズ!! 正しい歴史を守るため、本丸に就任したのは虎のぬいぐるみで？ 始まりの一振・蜂須賀虎徹と共に綴る物語！</v>
      </c>
      <c r="W2855" s="14"/>
      <c r="X2855" s="14" t="str">
        <f>IFERROR(__xludf.DUMMYFUNCTION("""COMPUTED_VALUE"""),"有")</f>
        <v>有</v>
      </c>
      <c r="Y2855" s="8" t="str">
        <f>IFERROR(__xludf.DUMMYFUNCTION("""COMPUTED_VALUE"""),"2025/5/7まで1～2巻無料")</f>
        <v>2025/5/7まで1～2巻無料</v>
      </c>
      <c r="Z2855" s="7"/>
      <c r="AA2855" s="7"/>
      <c r="AB2855" s="7"/>
    </row>
    <row r="2856" ht="15.75" customHeight="1">
      <c r="A2856" s="171">
        <f>IFERROR(__xludf.DUMMYFUNCTION("""COMPUTED_VALUE"""),4928.0)</f>
        <v>4928</v>
      </c>
      <c r="B2856" s="172" t="str">
        <f>IFERROR(__xludf.DUMMYFUNCTION("""COMPUTED_VALUE"""),"確定")</f>
        <v>確定</v>
      </c>
      <c r="C2856" s="173">
        <f>IFERROR(__xludf.DUMMYFUNCTION("""COMPUTED_VALUE"""),45685.0)</f>
        <v>45685</v>
      </c>
      <c r="D2856" s="173">
        <f>IFERROR(__xludf.DUMMYFUNCTION("""COMPUTED_VALUE"""),45707.0)</f>
        <v>45707</v>
      </c>
      <c r="E2856" s="174">
        <f>IFERROR(__xludf.DUMMYFUNCTION("""COMPUTED_VALUE"""),318150.0)</f>
        <v>318150</v>
      </c>
      <c r="F2856" s="159" t="str">
        <f>IFERROR(__xludf.DUMMYFUNCTION("""COMPUTED_VALUE"""),"このせっくすは演技ですっ！！")</f>
        <v>このせっくすは演技ですっ！！</v>
      </c>
      <c r="G2856" s="172" t="str">
        <f>IFERROR(__xludf.DUMMYFUNCTION("""COMPUTED_VALUE"""),"1～2")</f>
        <v>1～2</v>
      </c>
      <c r="H2856" s="152" t="str">
        <f>IFERROR(__xludf.DUMMYFUNCTION("""COMPUTED_VALUE"""),"かるべぐり")</f>
        <v>かるべぐり</v>
      </c>
      <c r="I2856" s="172" t="str">
        <f>IFERROR(__xludf.DUMMYFUNCTION("""COMPUTED_VALUE"""),"アダルトマンガ")</f>
        <v>アダルトマンガ</v>
      </c>
      <c r="J2856" s="176"/>
      <c r="K2856" s="176"/>
      <c r="L2856" s="172" t="str">
        <f>IFERROR(__xludf.DUMMYFUNCTION("""COMPUTED_VALUE"""),"ナイトコミック")</f>
        <v>ナイトコミック</v>
      </c>
      <c r="M2856" s="28">
        <f>IFERROR(__xludf.DUMMYFUNCTION("""COMPUTED_VALUE"""),45744.0)</f>
        <v>45744</v>
      </c>
      <c r="N2856" s="28">
        <f>IFERROR(__xludf.DUMMYFUNCTION("""COMPUTED_VALUE"""),45799.0)</f>
        <v>45799</v>
      </c>
      <c r="O2856" s="172"/>
      <c r="P2856" s="178" t="str">
        <f>IFERROR(__xludf.DUMMYFUNCTION("""COMPUTED_VALUE"""),"可")</f>
        <v>可</v>
      </c>
      <c r="Q2856" s="172" t="str">
        <f>IFERROR(__xludf.DUMMYFUNCTION("""COMPUTED_VALUE"""),"1～5巻の素材を格納しておりますが、初回配信話数の1～2巻のみ使用お願いいたします。&lt;BR&gt;■配信スケジュール&lt;BR&gt;1巻：2025/03/28 ～ 2025/05/22&lt;BR&gt;2巻：2025/03/28 ～ 2025/05/22&lt;BR&gt;3巻：2025/04/25 ～ 2025/06/26&lt;BR&gt;4巻：2025/05/23 ～ 2025/07/24&lt;BR&gt;5巻：2025/06/27 ～ 2025/08/21")</f>
        <v>1～5巻の素材を格納しておりますが、初回配信話数の1～2巻のみ使用お願いいたします。&lt;BR&gt;■配信スケジュール&lt;BR&gt;1巻：2025/03/28 ～ 2025/05/22&lt;BR&gt;2巻：2025/03/28 ～ 2025/05/22&lt;BR&gt;3巻：2025/04/25 ～ 2025/06/26&lt;BR&gt;4巻：2025/05/23 ～ 2025/07/24&lt;BR&gt;5巻：2025/06/27 ～ 2025/08/21</v>
      </c>
      <c r="R2856" s="172" t="str">
        <f>IFERROR(__xludf.DUMMYFUNCTION("""COMPUTED_VALUE"""),"コミットOK")</f>
        <v>コミットOK</v>
      </c>
      <c r="S2856" s="172" t="str">
        <f>IFERROR(__xludf.DUMMYFUNCTION("""COMPUTED_VALUE"""),"20250123_ナイトコミック_このせっくすは演技ですっ！！")</f>
        <v>20250123_ナイトコミック_このせっくすは演技ですっ！！</v>
      </c>
      <c r="T2856" s="172" t="str">
        <f>IFERROR(__xludf.DUMMYFUNCTION("""COMPUTED_VALUE"""),"格納済み")</f>
        <v>格納済み</v>
      </c>
      <c r="U2856" s="15" t="str">
        <f>IFERROR(__xludf.DUMMYFUNCTION("""COMPUTED_VALUE"""),"Ⓒかるべぐり")</f>
        <v>Ⓒかるべぐり</v>
      </c>
      <c r="V2856" s="8" t="str">
        <f>IFERROR(__xludf.DUMMYFUNCTION("""COMPUTED_VALUE"""),"俳優志望のJK・夏瀬川まやは、デビューを目指して頑張っていたものの、オーディションに連敗して思い悩んでいた。しかし、まやのファン第一号を豪語するバイト先の店長・水速の応援もあり、とあるドラマの一次審査に合格する！エッチな役もNGなしで引き受けると話すまやに、自分が相手でも出来るか聞いてみる速水。出来ると即答したまやは、早速店長の彼女という設定で演技をするが、それは過激すぎるラブシーンレッスン(?)の始まりだった…。ただの演技だったはずなのに、濃厚セックスでとろとろに溶かされちゃって…！？")</f>
        <v>俳優志望のJK・夏瀬川まやは、デビューを目指して頑張っていたものの、オーディションに連敗して思い悩んでいた。しかし、まやのファン第一号を豪語するバイト先の店長・水速の応援もあり、とあるドラマの一次審査に合格する！エッチな役もNGなしで引き受けると話すまやに、自分が相手でも出来るか聞いてみる速水。出来ると即答したまやは、早速店長の彼女という設定で演技をするが、それは過激すぎるラブシーンレッスン(?)の始まりだった…。ただの演技だったはずなのに、濃厚セックスでとろとろに溶かされちゃって…！？</v>
      </c>
      <c r="W2856" s="14"/>
      <c r="X2856" s="14" t="str">
        <f>IFERROR(__xludf.DUMMYFUNCTION("""COMPUTED_VALUE"""),"有")</f>
        <v>有</v>
      </c>
      <c r="Y2856" s="8" t="str">
        <f>IFERROR(__xludf.DUMMYFUNCTION("""COMPUTED_VALUE"""),"P14まで")</f>
        <v>P14まで</v>
      </c>
      <c r="Z2856" s="7"/>
      <c r="AA2856" s="7"/>
      <c r="AB2856" s="7"/>
    </row>
    <row r="2857" ht="15.75" customHeight="1">
      <c r="A2857" s="171">
        <f>IFERROR(__xludf.DUMMYFUNCTION("""COMPUTED_VALUE"""),4970.0)</f>
        <v>4970</v>
      </c>
      <c r="B2857" s="172" t="str">
        <f>IFERROR(__xludf.DUMMYFUNCTION("""COMPUTED_VALUE"""),"確定")</f>
        <v>確定</v>
      </c>
      <c r="C2857" s="173">
        <f>IFERROR(__xludf.DUMMYFUNCTION("""COMPUTED_VALUE"""),45693.0)</f>
        <v>45693</v>
      </c>
      <c r="D2857" s="173">
        <f>IFERROR(__xludf.DUMMYFUNCTION("""COMPUTED_VALUE"""),45707.0)</f>
        <v>45707</v>
      </c>
      <c r="E2857" s="174">
        <f>IFERROR(__xludf.DUMMYFUNCTION("""COMPUTED_VALUE"""),316794.0)</f>
        <v>316794</v>
      </c>
      <c r="F2857" s="159" t="str">
        <f>IFERROR(__xludf.DUMMYFUNCTION("""COMPUTED_VALUE"""),"やり直し辺境伯夫人の幸福な誤算 THE COMIC【分冊版】")</f>
        <v>やり直し辺境伯夫人の幸福な誤算 THE COMIC【分冊版】</v>
      </c>
      <c r="G2857" s="172" t="str">
        <f>IFERROR(__xludf.DUMMYFUNCTION("""COMPUTED_VALUE"""),"1～4")</f>
        <v>1～4</v>
      </c>
      <c r="H2857" s="152" t="str">
        <f>IFERROR(__xludf.DUMMYFUNCTION("""COMPUTED_VALUE"""),"原作：瀬尾優梨/構成：佐藤りここ/漫画：春が野かおる/キャラクター原案：駒田ハチ")</f>
        <v>原作：瀬尾優梨/構成：佐藤りここ/漫画：春が野かおる/キャラクター原案：駒田ハチ</v>
      </c>
      <c r="I2857" s="172" t="str">
        <f>IFERROR(__xludf.DUMMYFUNCTION("""COMPUTED_VALUE"""),"少女マンガ")</f>
        <v>少女マンガ</v>
      </c>
      <c r="J2857" s="176"/>
      <c r="K2857" s="176"/>
      <c r="L2857" s="172" t="str">
        <f>IFERROR(__xludf.DUMMYFUNCTION("""COMPUTED_VALUE"""),"マッグガーデン")</f>
        <v>マッグガーデン</v>
      </c>
      <c r="M2857" s="28">
        <f>IFERROR(__xludf.DUMMYFUNCTION("""COMPUTED_VALUE"""),45731.0)</f>
        <v>45731</v>
      </c>
      <c r="N2857" s="28">
        <f>IFERROR(__xludf.DUMMYFUNCTION("""COMPUTED_VALUE"""),45791.0)</f>
        <v>45791</v>
      </c>
      <c r="O2857" s="172"/>
      <c r="P2857" s="178" t="str">
        <f>IFERROR(__xludf.DUMMYFUNCTION("""COMPUTED_VALUE"""),"可")</f>
        <v>可</v>
      </c>
      <c r="Q2857" s="172" t="str">
        <f>IFERROR(__xludf.DUMMYFUNCTION("""COMPUTED_VALUE"""),"絵がすごくきれいです。ぜひよろしくお願いいたします。")</f>
        <v>絵がすごくきれいです。ぜひよろしくお願いいたします。</v>
      </c>
      <c r="R2857" s="172" t="str">
        <f>IFERROR(__xludf.DUMMYFUNCTION("""COMPUTED_VALUE"""),"コミットOK")</f>
        <v>コミットOK</v>
      </c>
      <c r="S2857" s="172" t="str">
        <f>IFERROR(__xludf.DUMMYFUNCTION("""COMPUTED_VALUE"""),"20250214_マッグガーデン_やり直し辺境伯夫人の幸福な誤算 THE COMIC【分冊版】")</f>
        <v>20250214_マッグガーデン_やり直し辺境伯夫人の幸福な誤算 THE COMIC【分冊版】</v>
      </c>
      <c r="T2857" s="152" t="str">
        <f>IFERROR(__xludf.DUMMYFUNCTION("""COMPUTED_VALUE"""),"格納済み")</f>
        <v>格納済み</v>
      </c>
      <c r="U2857" s="15" t="str">
        <f>IFERROR(__xludf.DUMMYFUNCTION("""COMPUTED_VALUE"""),"ⒸYuri Seo Ⓒ佐藤りここ Ⓒ春が野かおる/MAG Garden")</f>
        <v>ⒸYuri Seo Ⓒ佐藤りここ Ⓒ春が野かおる/MAG Garden</v>
      </c>
      <c r="V2857" s="8" t="str">
        <f>IFERROR(__xludf.DUMMYFUNCTION("""COMPUTED_VALUE"""),"城で経理補佐として働くリーゼは、とある事件を機に心を病んだ夫・アレクシスの凶刃を受け絶命…。意識が遠のく中――、彼女は事件が起こる前の過去に戻っていた突如、二回目の人生を送ることになり戸惑うリーゼだが、愛する人を守るため悲劇を防ぐことを決意する！非業な死を遂げた令嬢の人生やり直し物語、開幕!!【第1話収録】")</f>
        <v>城で経理補佐として働くリーゼは、とある事件を機に心を病んだ夫・アレクシスの凶刃を受け絶命…。意識が遠のく中――、彼女は事件が起こる前の過去に戻っていた突如、二回目の人生を送ることになり戸惑うリーゼだが、愛する人を守るため悲劇を防ぐことを決意する！非業な死を遂げた令嬢の人生やり直し物語、開幕!!【第1話収録】</v>
      </c>
      <c r="W2857" s="14"/>
      <c r="X2857" s="14" t="str">
        <f>IFERROR(__xludf.DUMMYFUNCTION("""COMPUTED_VALUE"""),"有")</f>
        <v>有</v>
      </c>
      <c r="Y2857" s="8" t="str">
        <f>IFERROR(__xludf.DUMMYFUNCTION("""COMPUTED_VALUE"""),"2025/5/14まで1巻無料")</f>
        <v>2025/5/14まで1巻無料</v>
      </c>
      <c r="Z2857" s="7"/>
      <c r="AA2857" s="7"/>
      <c r="AB2857" s="7"/>
    </row>
    <row r="2858" ht="15.75" customHeight="1">
      <c r="A2858" s="171">
        <f>IFERROR(__xludf.DUMMYFUNCTION("""COMPUTED_VALUE"""),4977.0)</f>
        <v>4977</v>
      </c>
      <c r="B2858" s="172" t="str">
        <f>IFERROR(__xludf.DUMMYFUNCTION("""COMPUTED_VALUE"""),"確定")</f>
        <v>確定</v>
      </c>
      <c r="C2858" s="173">
        <f>IFERROR(__xludf.DUMMYFUNCTION("""COMPUTED_VALUE"""),45694.0)</f>
        <v>45694</v>
      </c>
      <c r="D2858" s="173">
        <f>IFERROR(__xludf.DUMMYFUNCTION("""COMPUTED_VALUE"""),45707.0)</f>
        <v>45707</v>
      </c>
      <c r="E2858" s="174">
        <f>IFERROR(__xludf.DUMMYFUNCTION("""COMPUTED_VALUE"""),317318.0)</f>
        <v>317318</v>
      </c>
      <c r="F2858" s="159" t="str">
        <f>IFERROR(__xludf.DUMMYFUNCTION("""COMPUTED_VALUE"""),"母スワッピング")</f>
        <v>母スワッピング</v>
      </c>
      <c r="G2858" s="172" t="str">
        <f>IFERROR(__xludf.DUMMYFUNCTION("""COMPUTED_VALUE"""),"1～3")</f>
        <v>1～3</v>
      </c>
      <c r="H2858" s="152" t="str">
        <f>IFERROR(__xludf.DUMMYFUNCTION("""COMPUTED_VALUE"""),"星月めろん")</f>
        <v>星月めろん</v>
      </c>
      <c r="I2858" s="172" t="str">
        <f>IFERROR(__xludf.DUMMYFUNCTION("""COMPUTED_VALUE"""),"アダルトマンガ")</f>
        <v>アダルトマンガ</v>
      </c>
      <c r="J2858" s="176"/>
      <c r="K2858" s="176"/>
      <c r="L2858" s="172" t="str">
        <f>IFERROR(__xludf.DUMMYFUNCTION("""COMPUTED_VALUE"""),"ナンバーナイン")</f>
        <v>ナンバーナイン</v>
      </c>
      <c r="M2858" s="28">
        <f>IFERROR(__xludf.DUMMYFUNCTION("""COMPUTED_VALUE"""),45730.0)</f>
        <v>45730</v>
      </c>
      <c r="N2858" s="28">
        <f>IFERROR(__xludf.DUMMYFUNCTION("""COMPUTED_VALUE"""),45791.0)</f>
        <v>45791</v>
      </c>
      <c r="O2858" s="172"/>
      <c r="P2858" s="177" t="str">
        <f>IFERROR(__xludf.DUMMYFUNCTION("""COMPUTED_VALUE"""),"可")</f>
        <v>可</v>
      </c>
      <c r="Q2858" s="172"/>
      <c r="R2858" s="172" t="str">
        <f>IFERROR(__xludf.DUMMYFUNCTION("""COMPUTED_VALUE"""),"コミットOK")</f>
        <v>コミットOK</v>
      </c>
      <c r="S2858" s="172" t="str">
        <f>IFERROR(__xludf.DUMMYFUNCTION("""COMPUTED_VALUE"""),"20250217_ナンバーナイン_母スワッピング")</f>
        <v>20250217_ナンバーナイン_母スワッピング</v>
      </c>
      <c r="T2858" s="152" t="str">
        <f>IFERROR(__xludf.DUMMYFUNCTION("""COMPUTED_VALUE"""),"格納済み")</f>
        <v>格納済み</v>
      </c>
      <c r="U2858" s="15" t="str">
        <f>IFERROR(__xludf.DUMMYFUNCTION("""COMPUTED_VALUE"""),"Ⓒ星月めろん/ナンバーナイン")</f>
        <v>Ⓒ星月めろん/ナンバーナイン</v>
      </c>
      <c r="V2858" s="8" t="str">
        <f>IFERROR(__xludf.DUMMYFUNCTION("""COMPUTED_VALUE"""),"【あらすじ】
優しくおっぱいを触らせてくれた友だちのお母さんに初恋をした卓也。
それが忘れられないまま大人になったある日、初恋お母さん由香利の息子、将斗と再会する。
「なあ卓也 お前さー もしかして俺の母ちゃんとヤリてえの？」
将斗は自分の母親と卓也がエッチできるよう協力を申し出るが、
交換条件として卓也の母親である奈緒子を差し出せという。
真面目な母親がそう簡単に堕ちるわけがない…。
そう思った卓也は軽い気持ちで母親交換の条件をのんでしまうのであった――。
そして訪れた、"&amp;"憧れの初恋お母さん由香利との二人きりの空間…！
あの日交わした「続きは大人になってから」という約束通り揉むだけで精一杯だったおっぱいにむしゃぶりついて、
ずっと忘れられなかった由香利の体をたっぷり堪能♪
由香利も始めこそ余裕をもって優しくリードしていたはずが…
夢中になった卓也の猛攻に我慢できず、息子も居る家の廊下で潮吹き絶頂…！！
「だ…だめぇ…こんなの私の方がおかしくなっちゃうっ」
一方、黒髪巨乳の真面目お母さん奈緒子は、言葉巧みな将斗の罠にハマり夫不在中の不貞セックスを強"&amp;"要されていた…！
口では拒絶をしていても、敏感な身体はどんどん欲しがりに…！
「あぁっお尻を揺らすだけで気持ちよくてたまらない…っ」
乳房…乳首…クリトリスに膣もしっかりと弄られて、想像以上の気持ち良さに盛大にイかされてしまう！！
童貞初恋拗らせ男子×キツい見た目に反して母性たっぷり＆性に奔放な36歳ヤンママと、
筋肉チャラ男×黒髪清楚で真面目な性格＆敏感巨乳を持つ42歳人妻の、
絶品インモラルスワッピング♪
息子の友だちに遠慮なく攻められ…
二人のお母さんは激しく快楽堕ち"&amp;"して子宮を震わせる…！！")</f>
        <v>【あらすじ】
優しくおっぱいを触らせてくれた友だちのお母さんに初恋をした卓也。
それが忘れられないまま大人になったある日、初恋お母さん由香利の息子、将斗と再会する。
「なあ卓也 お前さー もしかして俺の母ちゃんとヤリてえの？」
将斗は自分の母親と卓也がエッチできるよう協力を申し出るが、
交換条件として卓也の母親である奈緒子を差し出せという。
真面目な母親がそう簡単に堕ちるわけがない…。
そう思った卓也は軽い気持ちで母親交換の条件をのんでしまうのであった――。
そして訪れた、憧れの初恋お母さん由香利との二人きりの空間…！
あの日交わした「続きは大人になってから」という約束通り揉むだけで精一杯だったおっぱいにむしゃぶりついて、
ずっと忘れられなかった由香利の体をたっぷり堪能♪
由香利も始めこそ余裕をもって優しくリードしていたはずが…
夢中になった卓也の猛攻に我慢できず、息子も居る家の廊下で潮吹き絶頂…！！
「だ…だめぇ…こんなの私の方がおかしくなっちゃうっ」
一方、黒髪巨乳の真面目お母さん奈緒子は、言葉巧みな将斗の罠にハマり夫不在中の不貞セックスを強要されていた…！
口では拒絶をしていても、敏感な身体はどんどん欲しがりに…！
「あぁっお尻を揺らすだけで気持ちよくてたまらない…っ」
乳房…乳首…クリトリスに膣もしっかりと弄られて、想像以上の気持ち良さに盛大にイかされてしまう！！
童貞初恋拗らせ男子×キツい見た目に反して母性たっぷり＆性に奔放な36歳ヤンママと、
筋肉チャラ男×黒髪清楚で真面目な性格＆敏感巨乳を持つ42歳人妻の、
絶品インモラルスワッピング♪
息子の友だちに遠慮なく攻められ…
二人のお母さんは激しく快楽堕ちして子宮を震わせる…！！</v>
      </c>
      <c r="W2858" s="14"/>
      <c r="X2858" s="14" t="str">
        <f>IFERROR(__xludf.DUMMYFUNCTION("""COMPUTED_VALUE"""),"有")</f>
        <v>有</v>
      </c>
      <c r="Y2858" s="8" t="str">
        <f>IFERROR(__xludf.DUMMYFUNCTION("""COMPUTED_VALUE"""),"P7まで")</f>
        <v>P7まで</v>
      </c>
      <c r="Z2858" s="7"/>
      <c r="AA2858" s="7"/>
      <c r="AB2858" s="7"/>
    </row>
    <row r="2859" ht="15.75" customHeight="1">
      <c r="A2859" s="171">
        <f>IFERROR(__xludf.DUMMYFUNCTION("""COMPUTED_VALUE"""),4981.0)</f>
        <v>4981</v>
      </c>
      <c r="B2859" s="172" t="str">
        <f>IFERROR(__xludf.DUMMYFUNCTION("""COMPUTED_VALUE"""),"確定")</f>
        <v>確定</v>
      </c>
      <c r="C2859" s="173">
        <f>IFERROR(__xludf.DUMMYFUNCTION("""COMPUTED_VALUE"""),45694.0)</f>
        <v>45694</v>
      </c>
      <c r="D2859" s="173">
        <f>IFERROR(__xludf.DUMMYFUNCTION("""COMPUTED_VALUE"""),45707.0)</f>
        <v>45707</v>
      </c>
      <c r="E2859" s="174">
        <f>IFERROR(__xludf.DUMMYFUNCTION("""COMPUTED_VALUE"""),315938.0)</f>
        <v>315938</v>
      </c>
      <c r="F2859" s="159" t="str">
        <f>IFERROR(__xludf.DUMMYFUNCTION("""COMPUTED_VALUE"""),"はるか")</f>
        <v>はるか</v>
      </c>
      <c r="G2859" s="172" t="str">
        <f>IFERROR(__xludf.DUMMYFUNCTION("""COMPUTED_VALUE"""),"1～5")</f>
        <v>1～5</v>
      </c>
      <c r="H2859" s="152" t="str">
        <f>IFERROR(__xludf.DUMMYFUNCTION("""COMPUTED_VALUE"""),"都有汎大好")</f>
        <v>都有汎大好</v>
      </c>
      <c r="I2859" s="172" t="str">
        <f>IFERROR(__xludf.DUMMYFUNCTION("""COMPUTED_VALUE"""),"TL")</f>
        <v>TL</v>
      </c>
      <c r="J2859" s="176"/>
      <c r="K2859" s="176"/>
      <c r="L2859" s="172" t="str">
        <f>IFERROR(__xludf.DUMMYFUNCTION("""COMPUTED_VALUE"""),"ナンバーナイン")</f>
        <v>ナンバーナイン</v>
      </c>
      <c r="M2859" s="28">
        <f>IFERROR(__xludf.DUMMYFUNCTION("""COMPUTED_VALUE"""),45730.0)</f>
        <v>45730</v>
      </c>
      <c r="N2859" s="28">
        <f>IFERROR(__xludf.DUMMYFUNCTION("""COMPUTED_VALUE"""),45852.66666666667)</f>
        <v>45852.66667</v>
      </c>
      <c r="O2859" s="172"/>
      <c r="P2859" s="178" t="str">
        <f>IFERROR(__xludf.DUMMYFUNCTION("""COMPUTED_VALUE"""),"可")</f>
        <v>可</v>
      </c>
      <c r="Q2859" s="172"/>
      <c r="R2859" s="172" t="str">
        <f>IFERROR(__xludf.DUMMYFUNCTION("""COMPUTED_VALUE"""),"コミットOK")</f>
        <v>コミットOK</v>
      </c>
      <c r="S2859" s="172" t="str">
        <f>IFERROR(__xludf.DUMMYFUNCTION("""COMPUTED_VALUE"""),"20250216_ナンバーナイン_はるか")</f>
        <v>20250216_ナンバーナイン_はるか</v>
      </c>
      <c r="T2859" s="152" t="str">
        <f>IFERROR(__xludf.DUMMYFUNCTION("""COMPUTED_VALUE"""),"格納済み")</f>
        <v>格納済み</v>
      </c>
      <c r="U2859" s="15" t="str">
        <f>IFERROR(__xludf.DUMMYFUNCTION("""COMPUTED_VALUE"""),"Ⓒ都有汎大好/ナンバーナイン")</f>
        <v>Ⓒ都有汎大好/ナンバーナイン</v>
      </c>
      <c r="V2859" s="8" t="str">
        <f>IFERROR(__xludf.DUMMYFUNCTION("""COMPUTED_VALUE"""),"筧遥香(かけい はるか)は取引先の優秀な社員である伊勢崎遼(いせざき はるか)に ほのかな思いを寄せていた。
伊勢崎は無愛想で感情表現に乏しいが、高身長・イケメン・スタイル良しの 誰からも目を惹く存在で、噂の人だった。
同じ名前、同じ年齢。特別な気持ちは……少しだけある。
それに… --誰もが知らない、彼の優しさを知っている。
そんなある日、取引先との飲み会で伊勢崎の左薬指に指輪があることに気づく。
心にあるちくりとした棘が、自分の本当の気持ちを知らせる。
飲み会もそこそこに、帰路につこうとす"&amp;"るも伊勢崎と一緒になってしまう。
感情をごまかすように明るく振る舞い、足早に帰ろうとする。 瞬間、掴まれる手、暗い顔、低い声、冷たい目。
「優しい伊勢崎さん」はそこにはいなかった。
30ページ")</f>
        <v>筧遥香(かけい はるか)は取引先の優秀な社員である伊勢崎遼(いせざき はるか)に ほのかな思いを寄せていた。
伊勢崎は無愛想で感情表現に乏しいが、高身長・イケメン・スタイル良しの 誰からも目を惹く存在で、噂の人だった。
同じ名前、同じ年齢。特別な気持ちは……少しだけある。
それに… --誰もが知らない、彼の優しさを知っている。
そんなある日、取引先との飲み会で伊勢崎の左薬指に指輪があることに気づく。
心にあるちくりとした棘が、自分の本当の気持ちを知らせる。
飲み会もそこそこに、帰路につこうとするも伊勢崎と一緒になってしまう。
感情をごまかすように明るく振る舞い、足早に帰ろうとする。 瞬間、掴まれる手、暗い顔、低い声、冷たい目。
「優しい伊勢崎さん」はそこにはいなかった。
30ページ</v>
      </c>
      <c r="W2859" s="14"/>
      <c r="X2859" s="14" t="str">
        <f>IFERROR(__xludf.DUMMYFUNCTION("""COMPUTED_VALUE"""),"有")</f>
        <v>有</v>
      </c>
      <c r="Y2859" s="8" t="str">
        <f>IFERROR(__xludf.DUMMYFUNCTION("""COMPUTED_VALUE"""),"1巻無料")</f>
        <v>1巻無料</v>
      </c>
      <c r="Z2859" s="7"/>
      <c r="AA2859" s="7"/>
      <c r="AB2859" s="7"/>
    </row>
    <row r="2860" ht="15.75" customHeight="1">
      <c r="A2860" s="171">
        <f>IFERROR(__xludf.DUMMYFUNCTION("""COMPUTED_VALUE"""),4985.0)</f>
        <v>4985</v>
      </c>
      <c r="B2860" s="172" t="str">
        <f>IFERROR(__xludf.DUMMYFUNCTION("""COMPUTED_VALUE"""),"確定")</f>
        <v>確定</v>
      </c>
      <c r="C2860" s="173">
        <f>IFERROR(__xludf.DUMMYFUNCTION("""COMPUTED_VALUE"""),45694.0)</f>
        <v>45694</v>
      </c>
      <c r="D2860" s="173">
        <f>IFERROR(__xludf.DUMMYFUNCTION("""COMPUTED_VALUE"""),45707.0)</f>
        <v>45707</v>
      </c>
      <c r="E2860" s="174">
        <f>IFERROR(__xludf.DUMMYFUNCTION("""COMPUTED_VALUE"""),315871.0)</f>
        <v>315871</v>
      </c>
      <c r="F2860" s="159" t="str">
        <f>IFERROR(__xludf.DUMMYFUNCTION("""COMPUTED_VALUE"""),"はるか【R-18版】")</f>
        <v>はるか【R-18版】</v>
      </c>
      <c r="G2860" s="172" t="str">
        <f>IFERROR(__xludf.DUMMYFUNCTION("""COMPUTED_VALUE"""),"1～5")</f>
        <v>1～5</v>
      </c>
      <c r="H2860" s="152" t="str">
        <f>IFERROR(__xludf.DUMMYFUNCTION("""COMPUTED_VALUE"""),"都有汎大好")</f>
        <v>都有汎大好</v>
      </c>
      <c r="I2860" s="172" t="str">
        <f>IFERROR(__xludf.DUMMYFUNCTION("""COMPUTED_VALUE"""),"アダルトマンガ")</f>
        <v>アダルトマンガ</v>
      </c>
      <c r="J2860" s="176"/>
      <c r="K2860" s="176"/>
      <c r="L2860" s="172" t="str">
        <f>IFERROR(__xludf.DUMMYFUNCTION("""COMPUTED_VALUE"""),"ナンバーナイン")</f>
        <v>ナンバーナイン</v>
      </c>
      <c r="M2860" s="28">
        <f>IFERROR(__xludf.DUMMYFUNCTION("""COMPUTED_VALUE"""),45730.0)</f>
        <v>45730</v>
      </c>
      <c r="N2860" s="28">
        <f>IFERROR(__xludf.DUMMYFUNCTION("""COMPUTED_VALUE"""),45852.66666666667)</f>
        <v>45852.66667</v>
      </c>
      <c r="O2860" s="172"/>
      <c r="P2860" s="177" t="str">
        <f>IFERROR(__xludf.DUMMYFUNCTION("""COMPUTED_VALUE"""),"可")</f>
        <v>可</v>
      </c>
      <c r="Q2860" s="172"/>
      <c r="R2860" s="172" t="str">
        <f>IFERROR(__xludf.DUMMYFUNCTION("""COMPUTED_VALUE"""),"コミットOK")</f>
        <v>コミットOK</v>
      </c>
      <c r="S2860" s="172" t="str">
        <f>IFERROR(__xludf.DUMMYFUNCTION("""COMPUTED_VALUE"""),"20250216_ナンバーナイン_はるか【R-18版】")</f>
        <v>20250216_ナンバーナイン_はるか【R-18版】</v>
      </c>
      <c r="T2860" s="152" t="str">
        <f>IFERROR(__xludf.DUMMYFUNCTION("""COMPUTED_VALUE"""),"格納済み")</f>
        <v>格納済み</v>
      </c>
      <c r="U2860" s="15" t="str">
        <f>IFERROR(__xludf.DUMMYFUNCTION("""COMPUTED_VALUE"""),"Ⓒ都有汎大好/ナンバーナイン")</f>
        <v>Ⓒ都有汎大好/ナンバーナイン</v>
      </c>
      <c r="V2860" s="8" t="str">
        <f>IFERROR(__xludf.DUMMYFUNCTION("""COMPUTED_VALUE"""),"筧遥香(かけい はるか)は取引先の優秀な社員である伊勢崎遼(いせざき はるか)に
ほのかな思いを寄せていた。
伊勢崎は無愛想で感情表現に乏しいが、高身長・イケメン・スタイル良しの
誰からも目を惹く存在で、噂の人だった。
同じ名前、同じ年齢。特別な気持ちは……少しだけある。それに…
--誰もが知らない、彼の優しさを知っている。
そんなある日、取引先との飲み会で伊勢崎の左薬指に指輪があることに気づく。
心にあるちくりとした棘が、自分の本当の気持ちを知らせる。
飲み会もそこそこに"&amp;"、帰路につこうとするも伊勢崎と一緒になってしまう。
感情をごまかすように明るく振る舞い、足早に帰ろうとする。
瞬間、掴まれる手、暗い顔、低い声、冷たい目。
「優しい伊勢崎さん」はそこにはいなかった。")</f>
        <v>筧遥香(かけい はるか)は取引先の優秀な社員である伊勢崎遼(いせざき はるか)に
ほのかな思いを寄せていた。
伊勢崎は無愛想で感情表現に乏しいが、高身長・イケメン・スタイル良しの
誰からも目を惹く存在で、噂の人だった。
同じ名前、同じ年齢。特別な気持ちは……少しだけある。それに…
--誰もが知らない、彼の優しさを知っている。
そんなある日、取引先との飲み会で伊勢崎の左薬指に指輪があることに気づく。
心にあるちくりとした棘が、自分の本当の気持ちを知らせる。
飲み会もそこそこに、帰路につこうとするも伊勢崎と一緒になってしまう。
感情をごまかすように明るく振る舞い、足早に帰ろうとする。
瞬間、掴まれる手、暗い顔、低い声、冷たい目。
「優しい伊勢崎さん」はそこにはいなかった。</v>
      </c>
      <c r="W2860" s="14"/>
      <c r="X2860" s="14" t="str">
        <f>IFERROR(__xludf.DUMMYFUNCTION("""COMPUTED_VALUE"""),"有")</f>
        <v>有</v>
      </c>
      <c r="Y2860" s="8" t="str">
        <f>IFERROR(__xludf.DUMMYFUNCTION("""COMPUTED_VALUE"""),"1巻無料")</f>
        <v>1巻無料</v>
      </c>
      <c r="Z2860" s="7"/>
      <c r="AA2860" s="7"/>
      <c r="AB2860" s="7"/>
    </row>
    <row r="2861" ht="15.75" customHeight="1">
      <c r="A2861" s="171">
        <f>IFERROR(__xludf.DUMMYFUNCTION("""COMPUTED_VALUE"""),5008.0)</f>
        <v>5008</v>
      </c>
      <c r="B2861" s="172" t="str">
        <f>IFERROR(__xludf.DUMMYFUNCTION("""COMPUTED_VALUE"""),"確定")</f>
        <v>確定</v>
      </c>
      <c r="C2861" s="173">
        <f>IFERROR(__xludf.DUMMYFUNCTION("""COMPUTED_VALUE"""),45698.0)</f>
        <v>45698</v>
      </c>
      <c r="D2861" s="173">
        <f>IFERROR(__xludf.DUMMYFUNCTION("""COMPUTED_VALUE"""),45707.0)</f>
        <v>45707</v>
      </c>
      <c r="E2861" s="174">
        <f>IFERROR(__xludf.DUMMYFUNCTION("""COMPUTED_VALUE"""),317024.0)</f>
        <v>317024</v>
      </c>
      <c r="F2861" s="159" t="str">
        <f>IFERROR(__xludf.DUMMYFUNCTION("""COMPUTED_VALUE"""),"オタクの僕が一軍ギャルと付き合えるまでの話")</f>
        <v>オタクの僕が一軍ギャルと付き合えるまでの話</v>
      </c>
      <c r="G2861" s="172" t="str">
        <f>IFERROR(__xludf.DUMMYFUNCTION("""COMPUTED_VALUE"""),"1～2")</f>
        <v>1～2</v>
      </c>
      <c r="H2861" s="152" t="str">
        <f>IFERROR(__xludf.DUMMYFUNCTION("""COMPUTED_VALUE"""),"フグタ家")</f>
        <v>フグタ家</v>
      </c>
      <c r="I2861" s="172" t="str">
        <f>IFERROR(__xludf.DUMMYFUNCTION("""COMPUTED_VALUE"""),"アダルトマンガ")</f>
        <v>アダルトマンガ</v>
      </c>
      <c r="J2861" s="176"/>
      <c r="K2861" s="176"/>
      <c r="L2861" s="172" t="str">
        <f>IFERROR(__xludf.DUMMYFUNCTION("""COMPUTED_VALUE"""),"ナイトコミック")</f>
        <v>ナイトコミック</v>
      </c>
      <c r="M2861" s="59">
        <f>IFERROR(__xludf.DUMMYFUNCTION("""COMPUTED_VALUE"""),45723.0)</f>
        <v>45723</v>
      </c>
      <c r="N2861" s="59">
        <f>IFERROR(__xludf.DUMMYFUNCTION("""COMPUTED_VALUE"""),45778.0)</f>
        <v>45778</v>
      </c>
      <c r="O2861" s="172"/>
      <c r="P2861" s="178" t="str">
        <f>IFERROR(__xludf.DUMMYFUNCTION("""COMPUTED_VALUE"""),"可")</f>
        <v>可</v>
      </c>
      <c r="Q2861" s="172" t="str">
        <f>IFERROR(__xludf.DUMMYFUNCTION("""COMPUTED_VALUE"""),"【巻数、先行期間】&lt;BR&gt;対象巻数：1～3巻&lt;BR&gt;先行開始希望日：&lt;BR&gt;1巻 2025/03/07 ～ 2025/05/01&lt;BR&gt;2巻 2025/03/07 ～ 2025/05/01&lt;BR&gt;3巻 2025/04/04 ～ 2025/06/05&lt;BR&gt;&lt;BR&gt;【先行合わせCP】&lt;BR&gt;先行期間中の試読増量が可能です&lt;BR&gt;1巻30pまで試読増量 2025/03/07 ～ 2025/06/05&lt;BR&gt;2巻 8pまで試読増量 2025/03/07 ～ 2025/06/05&lt;BR&gt;3巻12Pまで試読増量 2"&amp;"025/04/04 ～ 2025/06/05")</f>
        <v>【巻数、先行期間】&lt;BR&gt;対象巻数：1～3巻&lt;BR&gt;先行開始希望日：&lt;BR&gt;1巻 2025/03/07 ～ 2025/05/01&lt;BR&gt;2巻 2025/03/07 ～ 2025/05/01&lt;BR&gt;3巻 2025/04/04 ～ 2025/06/05&lt;BR&gt;&lt;BR&gt;【先行合わせCP】&lt;BR&gt;先行期間中の試読増量が可能です&lt;BR&gt;1巻30pまで試読増量 2025/03/07 ～ 2025/06/05&lt;BR&gt;2巻 8pまで試読増量 2025/03/07 ～ 2025/06/05&lt;BR&gt;3巻12Pまで試読増量 2025/04/04 ～ 2025/06/05</v>
      </c>
      <c r="R2861" s="172" t="str">
        <f>IFERROR(__xludf.DUMMYFUNCTION("""COMPUTED_VALUE"""),"コミットOK")</f>
        <v>コミットOK</v>
      </c>
      <c r="S2861" s="172" t="str">
        <f>IFERROR(__xludf.DUMMYFUNCTION("""COMPUTED_VALUE"""),"20250210_ナイトコミック_オタクの僕が一軍ギャルと付き合えるまでの話")</f>
        <v>20250210_ナイトコミック_オタクの僕が一軍ギャルと付き合えるまでの話</v>
      </c>
      <c r="T2861" s="172" t="str">
        <f>IFERROR(__xludf.DUMMYFUNCTION("""COMPUTED_VALUE"""),"星原チェック中(2/19)")</f>
        <v>星原チェック中(2/19)</v>
      </c>
      <c r="U2861" s="15" t="str">
        <f>IFERROR(__xludf.DUMMYFUNCTION("""COMPUTED_VALUE"""),"Ⓒフグタ家")</f>
        <v>Ⓒフグタ家</v>
      </c>
      <c r="V2861" s="8" t="str">
        <f>IFERROR(__xludf.DUMMYFUNCTION("""COMPUTED_VALUE"""),"手が届かない一軍ギャルと分かっているけれど、キーホルダーを拾ってくれたあの日から綾瀬さんのことが忘れられない鈴木。少しでも近づくために新しい髪型にするも、クラスの人に馬鹿にされてしまう。けれども綾瀬さんは、面白がってくれた。それを機に、鈴木は「チョム」とあだ名をつけられ、二人の仲はどんどん深まっていく。ある日、綾瀬さんの家に誘われいつものように談笑していると、綾瀬さんがじーっと見つめてきて…。「チョムって彼女いないの？」二人きりの部屋で僕に近づいてくる綾瀬さん。思わず勃起してしまう鈴木。「いいよ、しごいた"&amp;"げる」とアソコを触る綾瀬さんが可愛すぎてもう止まらない…！")</f>
        <v>手が届かない一軍ギャルと分かっているけれど、キーホルダーを拾ってくれたあの日から綾瀬さんのことが忘れられない鈴木。少しでも近づくために新しい髪型にするも、クラスの人に馬鹿にされてしまう。けれども綾瀬さんは、面白がってくれた。それを機に、鈴木は「チョム」とあだ名をつけられ、二人の仲はどんどん深まっていく。ある日、綾瀬さんの家に誘われいつものように談笑していると、綾瀬さんがじーっと見つめてきて…。「チョムって彼女いないの？」二人きりの部屋で僕に近づいてくる綾瀬さん。思わず勃起してしまう鈴木。「いいよ、しごいたげる」とアソコを触る綾瀬さんが可愛すぎてもう止まらない…！</v>
      </c>
      <c r="W2861" s="14"/>
      <c r="X2861" s="14" t="str">
        <f>IFERROR(__xludf.DUMMYFUNCTION("""COMPUTED_VALUE"""),"有")</f>
        <v>有</v>
      </c>
      <c r="Y2861" s="8" t="str">
        <f>IFERROR(__xludf.DUMMYFUNCTION("""COMPUTED_VALUE"""),"2025/6/5まで1~2巻立ち読み増量
(1巻P30まで、2巻P8まで)")</f>
        <v>2025/6/5まで1~2巻立ち読み増量
(1巻P30まで、2巻P8まで)</v>
      </c>
      <c r="Z2861" s="7"/>
      <c r="AA2861" s="7"/>
      <c r="AB2861" s="7"/>
    </row>
    <row r="2862" ht="15.75" customHeight="1">
      <c r="A2862" s="171">
        <f>IFERROR(__xludf.DUMMYFUNCTION("""COMPUTED_VALUE"""),5017.0)</f>
        <v>5017</v>
      </c>
      <c r="B2862" s="172" t="str">
        <f>IFERROR(__xludf.DUMMYFUNCTION("""COMPUTED_VALUE"""),"確定")</f>
        <v>確定</v>
      </c>
      <c r="C2862" s="173">
        <f>IFERROR(__xludf.DUMMYFUNCTION("""COMPUTED_VALUE"""),45701.0)</f>
        <v>45701</v>
      </c>
      <c r="D2862" s="173">
        <f>IFERROR(__xludf.DUMMYFUNCTION("""COMPUTED_VALUE"""),45707.0)</f>
        <v>45707</v>
      </c>
      <c r="E2862" s="174">
        <f>IFERROR(__xludf.DUMMYFUNCTION("""COMPUTED_VALUE"""),316139.0)</f>
        <v>316139</v>
      </c>
      <c r="F2862" s="159" t="str">
        <f>IFERROR(__xludf.DUMMYFUNCTION("""COMPUTED_VALUE"""),"スパークリング・ベイビー【タテヨミ】")</f>
        <v>スパークリング・ベイビー【タテヨミ】</v>
      </c>
      <c r="G2862" s="172" t="str">
        <f>IFERROR(__xludf.DUMMYFUNCTION("""COMPUTED_VALUE"""),"1～15")</f>
        <v>1～15</v>
      </c>
      <c r="H2862" s="152" t="str">
        <f>IFERROR(__xludf.DUMMYFUNCTION("""COMPUTED_VALUE"""),"ZEC")</f>
        <v>ZEC</v>
      </c>
      <c r="I2862" s="172" t="str">
        <f>IFERROR(__xludf.DUMMYFUNCTION("""COMPUTED_VALUE"""),"BL")</f>
        <v>BL</v>
      </c>
      <c r="J2862" s="176"/>
      <c r="K2862" s="176"/>
      <c r="L2862" s="172" t="str">
        <f>IFERROR(__xludf.DUMMYFUNCTION("""COMPUTED_VALUE"""),"リバース")</f>
        <v>リバース</v>
      </c>
      <c r="M2862" s="59">
        <f>IFERROR(__xludf.DUMMYFUNCTION("""COMPUTED_VALUE"""),45715.0)</f>
        <v>45715</v>
      </c>
      <c r="N2862" s="23">
        <f>IFERROR(__xludf.DUMMYFUNCTION("""COMPUTED_VALUE"""),45806.0)</f>
        <v>45806</v>
      </c>
      <c r="O2862" s="172"/>
      <c r="P2862" s="177" t="str">
        <f>IFERROR(__xludf.DUMMYFUNCTION("""COMPUTED_VALUE"""),"可")</f>
        <v>可</v>
      </c>
      <c r="Q2862" s="172"/>
      <c r="R2862" s="172" t="str">
        <f>IFERROR(__xludf.DUMMYFUNCTION("""COMPUTED_VALUE"""),"コミットOK")</f>
        <v>コミットOK</v>
      </c>
      <c r="S2862" s="172" t="str">
        <f>IFERROR(__xludf.DUMMYFUNCTION("""COMPUTED_VALUE"""),"20250217_リバース_スパークリング・ベイビー【タテヨミ】")</f>
        <v>20250217_リバース_スパークリング・ベイビー【タテヨミ】</v>
      </c>
      <c r="T2862" s="152" t="str">
        <f>IFERROR(__xludf.DUMMYFUNCTION("""COMPUTED_VALUE"""),"星原チェック中(2/19)")</f>
        <v>星原チェック中(2/19)</v>
      </c>
      <c r="U2862" s="15" t="str">
        <f>IFERROR(__xludf.DUMMYFUNCTION("""COMPUTED_VALUE"""),"(C)ZEC, Polarfox / RIVERSE")</f>
        <v>(C)ZEC, Polarfox / RIVERSE</v>
      </c>
      <c r="V2862" s="8" t="str">
        <f>IFERROR(__xludf.DUMMYFUNCTION("""COMPUTED_VALUE"""),"「すみません 日本人の方ですか？」失恋を理由にニューヨークに到着した準一そこで大学生の黒田仁と出会う見知らぬ場所で日本人に会うのはただ嬉しいだけではなく一夜をともに過ごした仲になってしまう…「名前くらい聞いておけばよかった」しかし二人は予想だにしなかった場所で再会することになる芸術家たちの街ニューヨークでの一夜は二人をどこへ導くのか *大好評作『恋スル少年』豊のセフレ， ’準一’の恋を描くスピンオフ！")</f>
        <v>「すみません 日本人の方ですか？」失恋を理由にニューヨークに到着した準一そこで大学生の黒田仁と出会う見知らぬ場所で日本人に会うのはただ嬉しいだけではなく一夜をともに過ごした仲になってしまう…「名前くらい聞いておけばよかった」しかし二人は予想だにしなかった場所で再会することになる芸術家たちの街ニューヨークでの一夜は二人をどこへ導くのか *大好評作『恋スル少年』豊のセフレ， ’準一’の恋を描くスピンオフ！</v>
      </c>
      <c r="W2862" s="14"/>
      <c r="X2862" s="14" t="str">
        <f>IFERROR(__xludf.DUMMYFUNCTION("""COMPUTED_VALUE"""),"有")</f>
        <v>有</v>
      </c>
      <c r="Y2862" s="8" t="str">
        <f>IFERROR(__xludf.DUMMYFUNCTION("""COMPUTED_VALUE"""),"3/12まで6巻無料")</f>
        <v>3/12まで6巻無料</v>
      </c>
      <c r="Z2862" s="7"/>
      <c r="AA2862" s="7"/>
      <c r="AB2862" s="7"/>
    </row>
    <row r="2863" ht="15.75" customHeight="1">
      <c r="A2863" s="171">
        <f>IFERROR(__xludf.DUMMYFUNCTION("""COMPUTED_VALUE"""),5022.0)</f>
        <v>5022</v>
      </c>
      <c r="B2863" s="172" t="str">
        <f>IFERROR(__xludf.DUMMYFUNCTION("""COMPUTED_VALUE"""),"確定")</f>
        <v>確定</v>
      </c>
      <c r="C2863" s="173">
        <f>IFERROR(__xludf.DUMMYFUNCTION("""COMPUTED_VALUE"""),45701.0)</f>
        <v>45701</v>
      </c>
      <c r="D2863" s="173">
        <f>IFERROR(__xludf.DUMMYFUNCTION("""COMPUTED_VALUE"""),45705.0)</f>
        <v>45705</v>
      </c>
      <c r="E2863" s="174">
        <f>IFERROR(__xludf.DUMMYFUNCTION("""COMPUTED_VALUE"""),316786.0)</f>
        <v>316786</v>
      </c>
      <c r="F2863" s="159" t="str">
        <f>IFERROR(__xludf.DUMMYFUNCTION("""COMPUTED_VALUE"""),"貴方が私を愛しているのは、とっくにお見通しです！")</f>
        <v>貴方が私を愛しているのは、とっくにお見通しです！</v>
      </c>
      <c r="G2863" s="172" t="str">
        <f>IFERROR(__xludf.DUMMYFUNCTION("""COMPUTED_VALUE"""),"1～2")</f>
        <v>1～2</v>
      </c>
      <c r="H2863" s="152" t="str">
        <f>IFERROR(__xludf.DUMMYFUNCTION("""COMPUTED_VALUE"""),"榊／COMIC ROOM")</f>
        <v>榊／COMIC ROOM</v>
      </c>
      <c r="I2863" s="172" t="str">
        <f>IFERROR(__xludf.DUMMYFUNCTION("""COMPUTED_VALUE"""),"女性")</f>
        <v>女性</v>
      </c>
      <c r="J2863" s="176"/>
      <c r="K2863" s="172" t="str">
        <f>IFERROR(__xludf.DUMMYFUNCTION("""COMPUTED_VALUE"""),"COMIC MOON")</f>
        <v>COMIC MOON</v>
      </c>
      <c r="L2863" s="172" t="str">
        <f>IFERROR(__xludf.DUMMYFUNCTION("""COMPUTED_VALUE"""),"コミックルーム")</f>
        <v>コミックルーム</v>
      </c>
      <c r="M2863" s="28">
        <f>IFERROR(__xludf.DUMMYFUNCTION("""COMPUTED_VALUE"""),45731.0)</f>
        <v>45731</v>
      </c>
      <c r="N2863" s="28">
        <f>IFERROR(__xludf.DUMMYFUNCTION("""COMPUTED_VALUE"""),45822.0)</f>
        <v>45822</v>
      </c>
      <c r="O2863" s="172"/>
      <c r="P2863" s="177" t="str">
        <f>IFERROR(__xludf.DUMMYFUNCTION("""COMPUTED_VALUE"""),"可")</f>
        <v>可</v>
      </c>
      <c r="Q2863" s="179"/>
      <c r="R2863" s="172"/>
      <c r="S2863" s="172" t="str">
        <f>IFERROR(__xludf.DUMMYFUNCTION("""COMPUTED_VALUE"""),"20250213_コミックルーム_貴方が私を愛しているのは、とっくにお見通しです！")</f>
        <v>20250213_コミックルーム_貴方が私を愛しているのは、とっくにお見通しです！</v>
      </c>
      <c r="T2863" s="152" t="str">
        <f>IFERROR(__xludf.DUMMYFUNCTION("""COMPUTED_VALUE"""),"格納済み")</f>
        <v>格納済み</v>
      </c>
      <c r="U2863" s="15" t="str">
        <f>IFERROR(__xludf.DUMMYFUNCTION("""COMPUTED_VALUE"""),"Ⓒ榊／COMIC ROOM")</f>
        <v>Ⓒ榊／COMIC ROOM</v>
      </c>
      <c r="V2863" s="8" t="str">
        <f>IFERROR(__xludf.DUMMYFUNCTION("""COMPUTED_VALUE"""),"バルサン男爵家の令嬢リーアは、父から領地経営を学び、後継者になるために精進してきた。
ところが、父の急死と共に、遺言書を利用した継母と異母妹に屋敷を追われてしまうことに。
全てを失い失意の底に沈む彼女の前に現れたのは、幼馴染であり弁護士のサイモンだった。
彼の助けを得て、リーアは奪われた領地と矜持を取り戻すために立ち上がる。
しかし、陰謀の裏には、父の死にまつわる衝撃の事実が隠されていて──？
復讐と策略が交錯する、緊迫のミステリーラブロマンスが幕を開ける！
本作品の１・２巻は『溺れるほど愛さ"&amp;"れて、幸せになってみせますわ！アンソロジーコミック13巻』の収録作品です。重複購入にご注意ください。")</f>
        <v>バルサン男爵家の令嬢リーアは、父から領地経営を学び、後継者になるために精進してきた。
ところが、父の急死と共に、遺言書を利用した継母と異母妹に屋敷を追われてしまうことに。
全てを失い失意の底に沈む彼女の前に現れたのは、幼馴染であり弁護士のサイモンだった。
彼の助けを得て、リーアは奪われた領地と矜持を取り戻すために立ち上がる。
しかし、陰謀の裏には、父の死にまつわる衝撃の事実が隠されていて──？
復讐と策略が交錯する、緊迫のミステリーラブロマンスが幕を開ける！
本作品の１・２巻は『溺れるほど愛されて、幸せになってみせますわ！アンソロジーコミック13巻』の収録作品です。重複購入にご注意ください。</v>
      </c>
      <c r="W2863" s="14"/>
      <c r="X2863" s="14" t="str">
        <f>IFERROR(__xludf.DUMMYFUNCTION("""COMPUTED_VALUE"""),"有")</f>
        <v>有</v>
      </c>
      <c r="Y2863" s="8" t="str">
        <f>IFERROR(__xludf.DUMMYFUNCTION("""COMPUTED_VALUE"""),"P9まで")</f>
        <v>P9まで</v>
      </c>
      <c r="Z2863" s="7"/>
      <c r="AA2863" s="7"/>
      <c r="AB2863" s="7"/>
    </row>
    <row r="2864" ht="15.75" customHeight="1">
      <c r="A2864" s="171">
        <f>IFERROR(__xludf.DUMMYFUNCTION("""COMPUTED_VALUE"""),5023.0)</f>
        <v>5023</v>
      </c>
      <c r="B2864" s="172" t="str">
        <f>IFERROR(__xludf.DUMMYFUNCTION("""COMPUTED_VALUE"""),"確定")</f>
        <v>確定</v>
      </c>
      <c r="C2864" s="173">
        <f>IFERROR(__xludf.DUMMYFUNCTION("""COMPUTED_VALUE"""),45701.0)</f>
        <v>45701</v>
      </c>
      <c r="D2864" s="173">
        <f>IFERROR(__xludf.DUMMYFUNCTION("""COMPUTED_VALUE"""),45705.0)</f>
        <v>45705</v>
      </c>
      <c r="E2864" s="174">
        <f>IFERROR(__xludf.DUMMYFUNCTION("""COMPUTED_VALUE"""),316787.0)</f>
        <v>316787</v>
      </c>
      <c r="F2864" s="159" t="str">
        <f>IFERROR(__xludf.DUMMYFUNCTION("""COMPUTED_VALUE"""),"見目麗しい令嬢は、金持ちの変態貴族に婚約者として売られました 〜でもそんなの嫌なので逃げ出します！〜")</f>
        <v>見目麗しい令嬢は、金持ちの変態貴族に婚約者として売られました 〜でもそんなの嫌なので逃げ出します！〜</v>
      </c>
      <c r="G2864" s="172" t="str">
        <f>IFERROR(__xludf.DUMMYFUNCTION("""COMPUTED_VALUE"""),"1～2")</f>
        <v>1～2</v>
      </c>
      <c r="H2864" s="152" t="str">
        <f>IFERROR(__xludf.DUMMYFUNCTION("""COMPUTED_VALUE"""),"サイハラナオ／COMIC ROOM")</f>
        <v>サイハラナオ／COMIC ROOM</v>
      </c>
      <c r="I2864" s="172" t="str">
        <f>IFERROR(__xludf.DUMMYFUNCTION("""COMPUTED_VALUE"""),"女性")</f>
        <v>女性</v>
      </c>
      <c r="J2864" s="176"/>
      <c r="K2864" s="172" t="str">
        <f>IFERROR(__xludf.DUMMYFUNCTION("""COMPUTED_VALUE"""),"COMIC MOON")</f>
        <v>COMIC MOON</v>
      </c>
      <c r="L2864" s="172" t="str">
        <f>IFERROR(__xludf.DUMMYFUNCTION("""COMPUTED_VALUE"""),"コミックルーム")</f>
        <v>コミックルーム</v>
      </c>
      <c r="M2864" s="28">
        <f>IFERROR(__xludf.DUMMYFUNCTION("""COMPUTED_VALUE"""),45731.0)</f>
        <v>45731</v>
      </c>
      <c r="N2864" s="28">
        <f>IFERROR(__xludf.DUMMYFUNCTION("""COMPUTED_VALUE"""),45822.0)</f>
        <v>45822</v>
      </c>
      <c r="O2864" s="172"/>
      <c r="P2864" s="177" t="str">
        <f>IFERROR(__xludf.DUMMYFUNCTION("""COMPUTED_VALUE"""),"可")</f>
        <v>可</v>
      </c>
      <c r="Q2864" s="179"/>
      <c r="R2864" s="172"/>
      <c r="S2864" s="172" t="str">
        <f>IFERROR(__xludf.DUMMYFUNCTION("""COMPUTED_VALUE"""),"20250213_コミックルーム_見目麗しい令嬢は、金持ちの変態貴族に婚約者として売られました 〜でもそんなの嫌なので逃げ出します！〜")</f>
        <v>20250213_コミックルーム_見目麗しい令嬢は、金持ちの変態貴族に婚約者として売られました 〜でもそんなの嫌なので逃げ出します！〜</v>
      </c>
      <c r="T2864" s="152" t="str">
        <f>IFERROR(__xludf.DUMMYFUNCTION("""COMPUTED_VALUE"""),"格納済み")</f>
        <v>格納済み</v>
      </c>
      <c r="U2864" s="15" t="str">
        <f>IFERROR(__xludf.DUMMYFUNCTION("""COMPUTED_VALUE"""),"Ⓒサイハラナオ／COMIC ROOM")</f>
        <v>Ⓒサイハラナオ／COMIC ROOM</v>
      </c>
      <c r="V2864" s="8" t="str">
        <f>IFERROR(__xludf.DUMMYFUNCTION("""COMPUTED_VALUE"""),"領地経営に失敗し借金を抱えた子爵家に生まれた令嬢・エレノア。
彼女は、結納金目的でお金持ちの貴族に嫁ぐよう命じられるも、その婚約相手は悪名高い変態侯爵だった。
自分の未来に絶望し、救いを求めるエレノアの前に現れたのは、マークレア侯爵家当主のアレクシス。
彼は、エレノアの婚約者と因縁があり、悪事を暴くために奔走していた。
売られた令嬢エレノアと救世主アレクシス、共同戦線の鍵を握るのは・・・エレノアの美貌！？
見目麗しい令嬢が巻き起こす超美麗なロマンスファンタジーをとくとご覧あれ！
本作品の１・２"&amp;"巻は『溺れるほど愛されて、幸せになってみせますわ！アンソロジーコミック13巻』の収録作品です。重複購入にご注意ください。")</f>
        <v>領地経営に失敗し借金を抱えた子爵家に生まれた令嬢・エレノア。
彼女は、結納金目的でお金持ちの貴族に嫁ぐよう命じられるも、その婚約相手は悪名高い変態侯爵だった。
自分の未来に絶望し、救いを求めるエレノアの前に現れたのは、マークレア侯爵家当主のアレクシス。
彼は、エレノアの婚約者と因縁があり、悪事を暴くために奔走していた。
売られた令嬢エレノアと救世主アレクシス、共同戦線の鍵を握るのは・・・エレノアの美貌！？
見目麗しい令嬢が巻き起こす超美麗なロマンスファンタジーをとくとご覧あれ！
本作品の１・２巻は『溺れるほど愛されて、幸せになってみせますわ！アンソロジーコミック13巻』の収録作品です。重複購入にご注意ください。</v>
      </c>
      <c r="W2864" s="14"/>
      <c r="X2864" s="14" t="str">
        <f>IFERROR(__xludf.DUMMYFUNCTION("""COMPUTED_VALUE"""),"有")</f>
        <v>有</v>
      </c>
      <c r="Y2864" s="8" t="str">
        <f>IFERROR(__xludf.DUMMYFUNCTION("""COMPUTED_VALUE"""),"P11まで")</f>
        <v>P11まで</v>
      </c>
      <c r="Z2864" s="7"/>
      <c r="AA2864" s="7"/>
      <c r="AB2864" s="7"/>
    </row>
    <row r="2865" ht="15.75" customHeight="1">
      <c r="A2865" s="171">
        <f>IFERROR(__xludf.DUMMYFUNCTION("""COMPUTED_VALUE"""),5024.0)</f>
        <v>5024</v>
      </c>
      <c r="B2865" s="172" t="str">
        <f>IFERROR(__xludf.DUMMYFUNCTION("""COMPUTED_VALUE"""),"確定")</f>
        <v>確定</v>
      </c>
      <c r="C2865" s="173">
        <f>IFERROR(__xludf.DUMMYFUNCTION("""COMPUTED_VALUE"""),45701.0)</f>
        <v>45701</v>
      </c>
      <c r="D2865" s="173">
        <f>IFERROR(__xludf.DUMMYFUNCTION("""COMPUTED_VALUE"""),45705.0)</f>
        <v>45705</v>
      </c>
      <c r="E2865" s="174">
        <f>IFERROR(__xludf.DUMMYFUNCTION("""COMPUTED_VALUE"""),316784.0)</f>
        <v>316784</v>
      </c>
      <c r="F2865" s="159" t="str">
        <f>IFERROR(__xludf.DUMMYFUNCTION("""COMPUTED_VALUE"""),"恋する暇はありませんので。～聖女の責務に忙殺されていたら、なぜか溺愛されました!?～")</f>
        <v>恋する暇はありませんので。～聖女の責務に忙殺されていたら、なぜか溺愛されました!?～</v>
      </c>
      <c r="G2865" s="172" t="str">
        <f>IFERROR(__xludf.DUMMYFUNCTION("""COMPUTED_VALUE"""),"1～2")</f>
        <v>1～2</v>
      </c>
      <c r="H2865" s="152" t="str">
        <f>IFERROR(__xludf.DUMMYFUNCTION("""COMPUTED_VALUE"""),"伊南十八／COMIC ROOM")</f>
        <v>伊南十八／COMIC ROOM</v>
      </c>
      <c r="I2865" s="172" t="str">
        <f>IFERROR(__xludf.DUMMYFUNCTION("""COMPUTED_VALUE"""),"女性")</f>
        <v>女性</v>
      </c>
      <c r="J2865" s="176"/>
      <c r="K2865" s="172" t="str">
        <f>IFERROR(__xludf.DUMMYFUNCTION("""COMPUTED_VALUE"""),"COMIC MOON")</f>
        <v>COMIC MOON</v>
      </c>
      <c r="L2865" s="172" t="str">
        <f>IFERROR(__xludf.DUMMYFUNCTION("""COMPUTED_VALUE"""),"コミックルーム")</f>
        <v>コミックルーム</v>
      </c>
      <c r="M2865" s="28">
        <f>IFERROR(__xludf.DUMMYFUNCTION("""COMPUTED_VALUE"""),45731.0)</f>
        <v>45731</v>
      </c>
      <c r="N2865" s="28">
        <f>IFERROR(__xludf.DUMMYFUNCTION("""COMPUTED_VALUE"""),45822.0)</f>
        <v>45822</v>
      </c>
      <c r="O2865" s="172"/>
      <c r="P2865" s="177" t="str">
        <f>IFERROR(__xludf.DUMMYFUNCTION("""COMPUTED_VALUE"""),"可")</f>
        <v>可</v>
      </c>
      <c r="Q2865" s="179"/>
      <c r="R2865" s="172"/>
      <c r="S2865" s="172" t="str">
        <f>IFERROR(__xludf.DUMMYFUNCTION("""COMPUTED_VALUE"""),"20250213_コミックルーム_恋する暇はありませんので。～聖女の責務に忙殺されていたら、なぜか溺愛されました！？～")</f>
        <v>20250213_コミックルーム_恋する暇はありませんので。～聖女の責務に忙殺されていたら、なぜか溺愛されました！？～</v>
      </c>
      <c r="T2865" s="152" t="str">
        <f>IFERROR(__xludf.DUMMYFUNCTION("""COMPUTED_VALUE"""),"格納済み")</f>
        <v>格納済み</v>
      </c>
      <c r="U2865" s="15" t="str">
        <f>IFERROR(__xludf.DUMMYFUNCTION("""COMPUTED_VALUE"""),"Ⓒ伊南十八／COMIC ROOM")</f>
        <v>Ⓒ伊南十八／COMIC ROOM</v>
      </c>
      <c r="V2865" s="8" t="str">
        <f>IFERROR(__xludf.DUMMYFUNCTION("""COMPUTED_VALUE"""),"突如、聖女としての特別な力に目覚めた令嬢シエナ＝ローレンス。
その日を境に、聖女の責務に追われるあまり婚約者と疎遠になってしまった結果、婚約を破棄されてしまった。
聖女として人も助けたいけれど、自分も幸せな人生を送りたい。
そんな葛藤を抱える彼女の元に、騎士団長のルークが訪れる。
彼のその誠実さと優しさに触れて、徐々に心を惹かれていくシエナ。
しかしそこに、怪我をした元婚約者が現れ、物語は思いがけない方向に・・・？？
本作品の１・２巻は『溺れるほど愛されて、幸せになってみせますわ！アンソロジー"&amp;"コミック13巻』の収録作品です。重複購入にご注意ください。")</f>
        <v>突如、聖女としての特別な力に目覚めた令嬢シエナ＝ローレンス。
その日を境に、聖女の責務に追われるあまり婚約者と疎遠になってしまった結果、婚約を破棄されてしまった。
聖女として人も助けたいけれど、自分も幸せな人生を送りたい。
そんな葛藤を抱える彼女の元に、騎士団長のルークが訪れる。
彼のその誠実さと優しさに触れて、徐々に心を惹かれていくシエナ。
しかしそこに、怪我をした元婚約者が現れ、物語は思いがけない方向に・・・？？
本作品の１・２巻は『溺れるほど愛されて、幸せになってみせますわ！アンソロジーコミック13巻』の収録作品です。重複購入にご注意ください。</v>
      </c>
      <c r="W2865" s="14"/>
      <c r="X2865" s="14" t="str">
        <f>IFERROR(__xludf.DUMMYFUNCTION("""COMPUTED_VALUE"""),"有")</f>
        <v>有</v>
      </c>
      <c r="Y2865" s="8" t="str">
        <f>IFERROR(__xludf.DUMMYFUNCTION("""COMPUTED_VALUE"""),"P8まで")</f>
        <v>P8まで</v>
      </c>
      <c r="Z2865" s="7"/>
      <c r="AA2865" s="7"/>
      <c r="AB2865" s="7"/>
    </row>
    <row r="2866" ht="15.75" customHeight="1">
      <c r="A2866" s="171">
        <f>IFERROR(__xludf.DUMMYFUNCTION("""COMPUTED_VALUE"""),5025.0)</f>
        <v>5025</v>
      </c>
      <c r="B2866" s="172" t="str">
        <f>IFERROR(__xludf.DUMMYFUNCTION("""COMPUTED_VALUE"""),"確定")</f>
        <v>確定</v>
      </c>
      <c r="C2866" s="173">
        <f>IFERROR(__xludf.DUMMYFUNCTION("""COMPUTED_VALUE"""),45701.0)</f>
        <v>45701</v>
      </c>
      <c r="D2866" s="173">
        <f>IFERROR(__xludf.DUMMYFUNCTION("""COMPUTED_VALUE"""),45705.0)</f>
        <v>45705</v>
      </c>
      <c r="E2866" s="174">
        <f>IFERROR(__xludf.DUMMYFUNCTION("""COMPUTED_VALUE"""),316783.0)</f>
        <v>316783</v>
      </c>
      <c r="F2866" s="159" t="str">
        <f>IFERROR(__xludf.DUMMYFUNCTION("""COMPUTED_VALUE"""),"冷血辺境伯を私の火魔法でトロトロにしてみせますわ～極寒の地で始まる溺愛生活～")</f>
        <v>冷血辺境伯を私の火魔法でトロトロにしてみせますわ～極寒の地で始まる溺愛生活～</v>
      </c>
      <c r="G2866" s="172" t="str">
        <f>IFERROR(__xludf.DUMMYFUNCTION("""COMPUTED_VALUE"""),"1～2")</f>
        <v>1～2</v>
      </c>
      <c r="H2866" s="152" t="str">
        <f>IFERROR(__xludf.DUMMYFUNCTION("""COMPUTED_VALUE"""),"まこと／COMIC ROOM")</f>
        <v>まこと／COMIC ROOM</v>
      </c>
      <c r="I2866" s="172" t="str">
        <f>IFERROR(__xludf.DUMMYFUNCTION("""COMPUTED_VALUE"""),"女性")</f>
        <v>女性</v>
      </c>
      <c r="J2866" s="176"/>
      <c r="K2866" s="172" t="str">
        <f>IFERROR(__xludf.DUMMYFUNCTION("""COMPUTED_VALUE"""),"COMIC MOON")</f>
        <v>COMIC MOON</v>
      </c>
      <c r="L2866" s="172" t="str">
        <f>IFERROR(__xludf.DUMMYFUNCTION("""COMPUTED_VALUE"""),"コミックルーム")</f>
        <v>コミックルーム</v>
      </c>
      <c r="M2866" s="28">
        <f>IFERROR(__xludf.DUMMYFUNCTION("""COMPUTED_VALUE"""),45731.0)</f>
        <v>45731</v>
      </c>
      <c r="N2866" s="28">
        <f>IFERROR(__xludf.DUMMYFUNCTION("""COMPUTED_VALUE"""),45822.0)</f>
        <v>45822</v>
      </c>
      <c r="O2866" s="172"/>
      <c r="P2866" s="177" t="str">
        <f>IFERROR(__xludf.DUMMYFUNCTION("""COMPUTED_VALUE"""),"可")</f>
        <v>可</v>
      </c>
      <c r="Q2866" s="179"/>
      <c r="R2866" s="172"/>
      <c r="S2866" s="172" t="str">
        <f>IFERROR(__xludf.DUMMYFUNCTION("""COMPUTED_VALUE"""),"20250213_コミックルーム_冷血辺境伯を私の火魔法でトロトロにしてみせますわ～極寒の地で始まる溺愛生活～")</f>
        <v>20250213_コミックルーム_冷血辺境伯を私の火魔法でトロトロにしてみせますわ～極寒の地で始まる溺愛生活～</v>
      </c>
      <c r="T2866" s="152" t="str">
        <f>IFERROR(__xludf.DUMMYFUNCTION("""COMPUTED_VALUE"""),"格納済み")</f>
        <v>格納済み</v>
      </c>
      <c r="U2866" s="15" t="str">
        <f>IFERROR(__xludf.DUMMYFUNCTION("""COMPUTED_VALUE"""),"Ⓒまこと／COMIC ROOM")</f>
        <v>Ⓒまこと／COMIC ROOM</v>
      </c>
      <c r="V2866" s="8" t="str">
        <f>IFERROR(__xludf.DUMMYFUNCTION("""COMPUTED_VALUE"""),"火を操り、神の使いと崇められてきたノースウィンド家に生まれた令嬢セレーネ。
彼女は、優秀な妹の影に隠れ、家族から冷遇される日々を送っていた。
ある時、セレーネに縁談の話が持ち上がる。
相手は「冷血の辺境伯」と呼ばれており、戦の絶えない極寒の国境を治める領主エリオット。
厳しい生活を覚悟するセレーネだったが、吹雪舞うこの極寒の地は、思いがけず彼女の火魔法を開花させることに繋がり──！？
この熱愛は氷城をも溶かす・・・！不器用な二人のトロトロ溺愛ラブロマンス！！
本作品の１・２巻は『溺れるほど愛さ"&amp;"れて、幸せになってみせますわ！アンソロジーコミック13巻』の収録作品です。重複購入にご注意ください。")</f>
        <v>火を操り、神の使いと崇められてきたノースウィンド家に生まれた令嬢セレーネ。
彼女は、優秀な妹の影に隠れ、家族から冷遇される日々を送っていた。
ある時、セレーネに縁談の話が持ち上がる。
相手は「冷血の辺境伯」と呼ばれており、戦の絶えない極寒の国境を治める領主エリオット。
厳しい生活を覚悟するセレーネだったが、吹雪舞うこの極寒の地は、思いがけず彼女の火魔法を開花させることに繋がり──！？
この熱愛は氷城をも溶かす・・・！不器用な二人のトロトロ溺愛ラブロマンス！！
本作品の１・２巻は『溺れるほど愛されて、幸せになってみせますわ！アンソロジーコミック13巻』の収録作品です。重複購入にご注意ください。</v>
      </c>
      <c r="W2866" s="14"/>
      <c r="X2866" s="14" t="str">
        <f>IFERROR(__xludf.DUMMYFUNCTION("""COMPUTED_VALUE"""),"有")</f>
        <v>有</v>
      </c>
      <c r="Y2866" s="8" t="str">
        <f>IFERROR(__xludf.DUMMYFUNCTION("""COMPUTED_VALUE"""),"P11まで")</f>
        <v>P11まで</v>
      </c>
      <c r="Z2866" s="7"/>
      <c r="AA2866" s="7"/>
      <c r="AB2866" s="7"/>
    </row>
    <row r="2867" ht="15.75" customHeight="1">
      <c r="A2867" s="171">
        <f>IFERROR(__xludf.DUMMYFUNCTION("""COMPUTED_VALUE"""),5026.0)</f>
        <v>5026</v>
      </c>
      <c r="B2867" s="172" t="str">
        <f>IFERROR(__xludf.DUMMYFUNCTION("""COMPUTED_VALUE"""),"確定")</f>
        <v>確定</v>
      </c>
      <c r="C2867" s="173">
        <f>IFERROR(__xludf.DUMMYFUNCTION("""COMPUTED_VALUE"""),45701.0)</f>
        <v>45701</v>
      </c>
      <c r="D2867" s="173">
        <f>IFERROR(__xludf.DUMMYFUNCTION("""COMPUTED_VALUE"""),45705.0)</f>
        <v>45705</v>
      </c>
      <c r="E2867" s="174">
        <f>IFERROR(__xludf.DUMMYFUNCTION("""COMPUTED_VALUE"""),316785.0)</f>
        <v>316785</v>
      </c>
      <c r="F2867" s="159" t="str">
        <f>IFERROR(__xludf.DUMMYFUNCTION("""COMPUTED_VALUE"""),"蔑まれ続けたボッチ令嬢の私が、王太子殿下の唯一無二のご所望だなんて信じられません！")</f>
        <v>蔑まれ続けたボッチ令嬢の私が、王太子殿下の唯一無二のご所望だなんて信じられません！</v>
      </c>
      <c r="G2867" s="172" t="str">
        <f>IFERROR(__xludf.DUMMYFUNCTION("""COMPUTED_VALUE"""),"1～2")</f>
        <v>1～2</v>
      </c>
      <c r="H2867" s="152" t="str">
        <f>IFERROR(__xludf.DUMMYFUNCTION("""COMPUTED_VALUE"""),"ハナ／COMIC ROOM")</f>
        <v>ハナ／COMIC ROOM</v>
      </c>
      <c r="I2867" s="172" t="str">
        <f>IFERROR(__xludf.DUMMYFUNCTION("""COMPUTED_VALUE"""),"女性")</f>
        <v>女性</v>
      </c>
      <c r="J2867" s="176"/>
      <c r="K2867" s="172" t="str">
        <f>IFERROR(__xludf.DUMMYFUNCTION("""COMPUTED_VALUE"""),"COMIC MOON")</f>
        <v>COMIC MOON</v>
      </c>
      <c r="L2867" s="172" t="str">
        <f>IFERROR(__xludf.DUMMYFUNCTION("""COMPUTED_VALUE"""),"コミックルーム")</f>
        <v>コミックルーム</v>
      </c>
      <c r="M2867" s="28">
        <f>IFERROR(__xludf.DUMMYFUNCTION("""COMPUTED_VALUE"""),45731.0)</f>
        <v>45731</v>
      </c>
      <c r="N2867" s="28">
        <f>IFERROR(__xludf.DUMMYFUNCTION("""COMPUTED_VALUE"""),45822.0)</f>
        <v>45822</v>
      </c>
      <c r="O2867" s="172"/>
      <c r="P2867" s="177" t="str">
        <f>IFERROR(__xludf.DUMMYFUNCTION("""COMPUTED_VALUE"""),"可")</f>
        <v>可</v>
      </c>
      <c r="Q2867" s="179"/>
      <c r="R2867" s="172"/>
      <c r="S2867" s="172" t="str">
        <f>IFERROR(__xludf.DUMMYFUNCTION("""COMPUTED_VALUE"""),"20250213_コミックルーム_蔑まれ続けたボッチ令嬢の私が、王太子殿下の唯一無二のご所望だなんて信じられません！")</f>
        <v>20250213_コミックルーム_蔑まれ続けたボッチ令嬢の私が、王太子殿下の唯一無二のご所望だなんて信じられません！</v>
      </c>
      <c r="T2867" s="152" t="str">
        <f>IFERROR(__xludf.DUMMYFUNCTION("""COMPUTED_VALUE"""),"格納済み")</f>
        <v>格納済み</v>
      </c>
      <c r="U2867" s="15" t="str">
        <f>IFERROR(__xludf.DUMMYFUNCTION("""COMPUTED_VALUE"""),"Ⓒハナ／COMIC ROOM")</f>
        <v>Ⓒハナ／COMIC ROOM</v>
      </c>
      <c r="V2867" s="8" t="str">
        <f>IFERROR(__xludf.DUMMYFUNCTION("""COMPUTED_VALUE"""),"「運命の女性に出会ってしまった」
婚約者であるルイスから、突然別の令嬢との婚約を告げられたオリヴィア。
公の場で婚約破棄されてから、彼女は社交界で遠巻きにされる日々を送ることに。
そんなある時、孤立するオリヴィアに声をかけたのは、信頼できる数少ない友人のエリックだった。
彼の優しさに触れ、傷ついた心を癒すオリヴィア。
そして時間を重ね、次第にエリックの人柄に心惹かれるも、彼の正体には重大な秘密があることを知ってしまい・・・！？
裏切りと逆転、運命の糸が絡み合う、華麗なる純愛ロマンスをご堪能あれ"&amp;"！
※この作品の1・2巻は『溺れるほど愛されて、幸せになってみせますわ！アンソロジーコミック13巻』の収録作品です。重複購入にご注意ください。")</f>
        <v>「運命の女性に出会ってしまった」
婚約者であるルイスから、突然別の令嬢との婚約を告げられたオリヴィア。
公の場で婚約破棄されてから、彼女は社交界で遠巻きにされる日々を送ることに。
そんなある時、孤立するオリヴィアに声をかけたのは、信頼できる数少ない友人のエリックだった。
彼の優しさに触れ、傷ついた心を癒すオリヴィア。
そして時間を重ね、次第にエリックの人柄に心惹かれるも、彼の正体には重大な秘密があることを知ってしまい・・・！？
裏切りと逆転、運命の糸が絡み合う、華麗なる純愛ロマンスをご堪能あれ！
※この作品の1・2巻は『溺れるほど愛されて、幸せになってみせますわ！アンソロジーコミック13巻』の収録作品です。重複購入にご注意ください。</v>
      </c>
      <c r="W2867" s="14"/>
      <c r="X2867" s="14" t="str">
        <f>IFERROR(__xludf.DUMMYFUNCTION("""COMPUTED_VALUE"""),"有")</f>
        <v>有</v>
      </c>
      <c r="Y2867" s="8" t="str">
        <f>IFERROR(__xludf.DUMMYFUNCTION("""COMPUTED_VALUE"""),"P9まで")</f>
        <v>P9まで</v>
      </c>
      <c r="Z2867" s="7"/>
      <c r="AA2867" s="7"/>
      <c r="AB2867" s="7"/>
    </row>
    <row r="2868" ht="15.75" customHeight="1">
      <c r="A2868" s="171">
        <f>IFERROR(__xludf.DUMMYFUNCTION("""COMPUTED_VALUE"""),5039.0)</f>
        <v>5039</v>
      </c>
      <c r="B2868" s="172" t="str">
        <f>IFERROR(__xludf.DUMMYFUNCTION("""COMPUTED_VALUE"""),"確定")</f>
        <v>確定</v>
      </c>
      <c r="C2868" s="173">
        <f>IFERROR(__xludf.DUMMYFUNCTION("""COMPUTED_VALUE"""),45702.0)</f>
        <v>45702</v>
      </c>
      <c r="D2868" s="173">
        <f>IFERROR(__xludf.DUMMYFUNCTION("""COMPUTED_VALUE"""),45705.0)</f>
        <v>45705</v>
      </c>
      <c r="E2868" s="185">
        <f>IFERROR(__xludf.DUMMYFUNCTION("""COMPUTED_VALUE"""),298220.0)</f>
        <v>298220</v>
      </c>
      <c r="F2868" s="159" t="str">
        <f>IFERROR(__xludf.DUMMYFUNCTION("""COMPUTED_VALUE"""),"魔王の愛妻は愛されない")</f>
        <v>魔王の愛妻は愛されない</v>
      </c>
      <c r="G2868" s="172" t="str">
        <f>IFERROR(__xludf.DUMMYFUNCTION("""COMPUTED_VALUE"""),"1～5")</f>
        <v>1～5</v>
      </c>
      <c r="H2868" s="152" t="str">
        <f>IFERROR(__xludf.DUMMYFUNCTION("""COMPUTED_VALUE"""),"フナツマル.,サワダウタコ,Team Sweet Fantasy")</f>
        <v>フナツマル.,サワダウタコ,Team Sweet Fantasy</v>
      </c>
      <c r="I2868" s="172" t="str">
        <f>IFERROR(__xludf.DUMMYFUNCTION("""COMPUTED_VALUE"""),"少女マンガ")</f>
        <v>少女マンガ</v>
      </c>
      <c r="J2868" s="176"/>
      <c r="K2868" s="172" t="str">
        <f>IFERROR(__xludf.DUMMYFUNCTION("""COMPUTED_VALUE"""),"トレモア・ロマンス,トレモアcollection")</f>
        <v>トレモア・ロマンス,トレモアcollection</v>
      </c>
      <c r="L2868" s="172" t="str">
        <f>IFERROR(__xludf.DUMMYFUNCTION("""COMPUTED_VALUE"""),"シーモアコミックス（トレモア）")</f>
        <v>シーモアコミックス（トレモア）</v>
      </c>
      <c r="M2868" s="28">
        <f>IFERROR(__xludf.DUMMYFUNCTION("""COMPUTED_VALUE"""),45751.0)</f>
        <v>45751</v>
      </c>
      <c r="N2868" s="23">
        <f>IFERROR(__xludf.DUMMYFUNCTION("""COMPUTED_VALUE"""),45932.66666666667)</f>
        <v>45932.66667</v>
      </c>
      <c r="O2868" s="172"/>
      <c r="P2868" s="177" t="str">
        <f>IFERROR(__xludf.DUMMYFUNCTION("""COMPUTED_VALUE"""),"可")</f>
        <v>可</v>
      </c>
      <c r="Q2868" s="179"/>
      <c r="R2868" s="172"/>
      <c r="S2868" s="172" t="str">
        <f>IFERROR(__xludf.DUMMYFUNCTION("""COMPUTED_VALUE"""),"20250214_シーモアコミックス_魔王の愛妻は愛されない")</f>
        <v>20250214_シーモアコミックス_魔王の愛妻は愛されない</v>
      </c>
      <c r="T2868" s="152" t="str">
        <f>IFERROR(__xludf.DUMMYFUNCTION("""COMPUTED_VALUE"""),"格納済み")</f>
        <v>格納済み</v>
      </c>
      <c r="U2868" s="15" t="str">
        <f>IFERROR(__xludf.DUMMYFUNCTION("""COMPUTED_VALUE"""),"Ⓒ フナツマル./サワダウタコ/Team Sweet Fantasy/シーモアコミックス")</f>
        <v>Ⓒ フナツマル./サワダウタコ/Team Sweet Fantasy/シーモアコミックス</v>
      </c>
      <c r="V2868" s="8" t="str">
        <f>IFERROR(__xludf.DUMMYFUNCTION("""COMPUTED_VALUE"""),"人間と魔族が絶えない争いを繰り返している世界…人間領土の大国・ハゼルバート王国に、ある日魔族の王「ギル」がやってきた。ギルは互いの領土への不可侵を条件に人間に対し「休戦」を申し出る。しかし協定を我が子クレモンの功績にしたい継母である王妃の策略で、王女エステルは交換条件として魔族の王へ嫁ぐことになり……。")</f>
        <v>人間と魔族が絶えない争いを繰り返している世界…人間領土の大国・ハゼルバート王国に、ある日魔族の王「ギル」がやってきた。ギルは互いの領土への不可侵を条件に人間に対し「休戦」を申し出る。しかし協定を我が子クレモンの功績にしたい継母である王妃の策略で、王女エステルは交換条件として魔族の王へ嫁ぐことになり……。</v>
      </c>
      <c r="W2868" s="14"/>
      <c r="X2868" s="14" t="str">
        <f>IFERROR(__xludf.DUMMYFUNCTION("""COMPUTED_VALUE"""),"有")</f>
        <v>有</v>
      </c>
      <c r="Y2868" s="8" t="str">
        <f>IFERROR(__xludf.DUMMYFUNCTION("""COMPUTED_VALUE"""),"2025/12/31まで1巻目無料
2025/5/3まで2巻目無料")</f>
        <v>2025/12/31まで1巻目無料
2025/5/3まで2巻目無料</v>
      </c>
      <c r="Z2868" s="7"/>
      <c r="AA2868" s="7"/>
      <c r="AB2868" s="7"/>
    </row>
    <row r="2869" ht="15.75" customHeight="1">
      <c r="A2869" s="171">
        <f>IFERROR(__xludf.DUMMYFUNCTION("""COMPUTED_VALUE"""),5041.0)</f>
        <v>5041</v>
      </c>
      <c r="B2869" s="172" t="str">
        <f>IFERROR(__xludf.DUMMYFUNCTION("""COMPUTED_VALUE"""),"確定")</f>
        <v>確定</v>
      </c>
      <c r="C2869" s="173">
        <f>IFERROR(__xludf.DUMMYFUNCTION("""COMPUTED_VALUE"""),45705.0)</f>
        <v>45705</v>
      </c>
      <c r="D2869" s="173">
        <f>IFERROR(__xludf.DUMMYFUNCTION("""COMPUTED_VALUE"""),45705.0)</f>
        <v>45705</v>
      </c>
      <c r="E2869" s="174">
        <f>IFERROR(__xludf.DUMMYFUNCTION("""COMPUTED_VALUE"""),315281.0)</f>
        <v>315281</v>
      </c>
      <c r="F2869" s="159" t="str">
        <f>IFERROR(__xludf.DUMMYFUNCTION("""COMPUTED_VALUE"""),"真夏の恋と嘘【フルカラー】")</f>
        <v>真夏の恋と嘘【フルカラー】</v>
      </c>
      <c r="G2869" s="172" t="str">
        <f>IFERROR(__xludf.DUMMYFUNCTION("""COMPUTED_VALUE"""),"1～3")</f>
        <v>1～3</v>
      </c>
      <c r="H2869" s="152" t="str">
        <f>IFERROR(__xludf.DUMMYFUNCTION("""COMPUTED_VALUE"""),"馬波平")</f>
        <v>馬波平</v>
      </c>
      <c r="I2869" s="172" t="str">
        <f>IFERROR(__xludf.DUMMYFUNCTION("""COMPUTED_VALUE"""),"青年")</f>
        <v>青年</v>
      </c>
      <c r="J2869" s="176"/>
      <c r="K2869" s="172" t="str">
        <f>IFERROR(__xludf.DUMMYFUNCTION("""COMPUTED_VALUE"""),"シーモア×DEDEDE")</f>
        <v>シーモア×DEDEDE</v>
      </c>
      <c r="L2869" s="172" t="str">
        <f>IFERROR(__xludf.DUMMYFUNCTION("""COMPUTED_VALUE"""),"CLLENN")</f>
        <v>CLLENN</v>
      </c>
      <c r="M2869" s="28">
        <f>IFERROR(__xludf.DUMMYFUNCTION("""COMPUTED_VALUE"""),45746.0)</f>
        <v>45746</v>
      </c>
      <c r="N2869" s="28">
        <f>IFERROR(__xludf.DUMMYFUNCTION("""COMPUTED_VALUE"""),45836.0)</f>
        <v>45836</v>
      </c>
      <c r="O2869" s="172"/>
      <c r="P2869" s="186" t="str">
        <f>IFERROR(__xludf.DUMMYFUNCTION("""COMPUTED_VALUE"""),"可")</f>
        <v>可</v>
      </c>
      <c r="Q2869" s="166"/>
      <c r="R2869" s="172"/>
      <c r="S2869" s="172" t="str">
        <f>IFERROR(__xludf.DUMMYFUNCTION("""COMPUTED_VALUE"""),"20250217_CLLENN_真夏の恋と嘘")</f>
        <v>20250217_CLLENN_真夏の恋と嘘</v>
      </c>
      <c r="T2869" s="152" t="str">
        <f>IFERROR(__xludf.DUMMYFUNCTION("""COMPUTED_VALUE"""),"格納済み")</f>
        <v>格納済み</v>
      </c>
      <c r="U2869" s="15" t="str">
        <f>IFERROR(__xludf.DUMMYFUNCTION("""COMPUTED_VALUE"""),"Ⓒ馬波平/CLLENN")</f>
        <v>Ⓒ馬波平/CLLENN</v>
      </c>
      <c r="V2869" s="8" t="str">
        <f>IFERROR(__xludf.DUMMYFUNCTION("""COMPUTED_VALUE"""),"「どうしよ…本気で好き…かも――…」 恋愛とは無縁の大学生活を送っていた蛍太朗。このままではマズイと一大決心をし、海の家でアルバイトを始めることに！　だけど、そこで出会ったのは天真爛漫なモテ女子のイルカと、男心を手玉に取る陽キャ女子のナツ。退屈しのぎに「蛍太朗を落とすゲーム」を始めた二人だったが、真面目で不器用な蛍太朗の一生懸命な姿に次第に心が揺れ始める。遊びのつもりが、まさかの本気の恋に変わっていって――!? 二人のヒロインと刺激的なひと夏の経験コミック！")</f>
        <v>「どうしよ…本気で好き…かも――…」 恋愛とは無縁の大学生活を送っていた蛍太朗。このままではマズイと一大決心をし、海の家でアルバイトを始めることに！　だけど、そこで出会ったのは天真爛漫なモテ女子のイルカと、男心を手玉に取る陽キャ女子のナツ。退屈しのぎに「蛍太朗を落とすゲーム」を始めた二人だったが、真面目で不器用な蛍太朗の一生懸命な姿に次第に心が揺れ始める。遊びのつもりが、まさかの本気の恋に変わっていって――!? 二人のヒロインと刺激的なひと夏の経験コミック！</v>
      </c>
      <c r="W2869" s="14"/>
      <c r="X2869" s="14" t="str">
        <f>IFERROR(__xludf.DUMMYFUNCTION("""COMPUTED_VALUE"""),"有")</f>
        <v>有</v>
      </c>
      <c r="Y2869" s="8" t="str">
        <f>IFERROR(__xludf.DUMMYFUNCTION("""COMPUTED_VALUE"""),"2025/4/12まで1巻無料")</f>
        <v>2025/4/12まで1巻無料</v>
      </c>
      <c r="Z2869" s="7"/>
      <c r="AA2869" s="7"/>
      <c r="AB2869" s="7"/>
    </row>
    <row r="2870" ht="15.75" customHeight="1">
      <c r="A2870" s="171">
        <f>IFERROR(__xludf.DUMMYFUNCTION("""COMPUTED_VALUE"""),5048.0)</f>
        <v>5048</v>
      </c>
      <c r="B2870" s="172" t="str">
        <f>IFERROR(__xludf.DUMMYFUNCTION("""COMPUTED_VALUE"""),"確定")</f>
        <v>確定</v>
      </c>
      <c r="C2870" s="173">
        <f>IFERROR(__xludf.DUMMYFUNCTION("""COMPUTED_VALUE"""),45705.0)</f>
        <v>45705</v>
      </c>
      <c r="D2870" s="173">
        <f>IFERROR(__xludf.DUMMYFUNCTION("""COMPUTED_VALUE"""),45707.0)</f>
        <v>45707</v>
      </c>
      <c r="E2870" s="174">
        <f>IFERROR(__xludf.DUMMYFUNCTION("""COMPUTED_VALUE"""),317455.0)</f>
        <v>317455</v>
      </c>
      <c r="F2870" s="159" t="str">
        <f>IFERROR(__xludf.DUMMYFUNCTION("""COMPUTED_VALUE"""),"追放された期待外れ聖女ですが、聖婚により魔霊伯爵様に嫁ぐことになりました")</f>
        <v>追放された期待外れ聖女ですが、聖婚により魔霊伯爵様に嫁ぐことになりました</v>
      </c>
      <c r="G2870" s="172" t="str">
        <f>IFERROR(__xludf.DUMMYFUNCTION("""COMPUTED_VALUE"""),"1～3")</f>
        <v>1～3</v>
      </c>
      <c r="H2870" s="152" t="str">
        <f>IFERROR(__xludf.DUMMYFUNCTION("""COMPUTED_VALUE"""),"小駒みち/綾束乙/甘塩コメコ")</f>
        <v>小駒みち/綾束乙/甘塩コメコ</v>
      </c>
      <c r="I2870" s="172" t="str">
        <f>IFERROR(__xludf.DUMMYFUNCTION("""COMPUTED_VALUE"""),"少女")</f>
        <v>少女</v>
      </c>
      <c r="J2870" s="176"/>
      <c r="K2870" s="176"/>
      <c r="L2870" s="172" t="str">
        <f>IFERROR(__xludf.DUMMYFUNCTION("""COMPUTED_VALUE"""),"ファンギルド")</f>
        <v>ファンギルド</v>
      </c>
      <c r="M2870" s="28">
        <f>IFERROR(__xludf.DUMMYFUNCTION("""COMPUTED_VALUE"""),45736.0)</f>
        <v>45736</v>
      </c>
      <c r="N2870" s="28">
        <f>IFERROR(__xludf.DUMMYFUNCTION("""COMPUTED_VALUE"""),45791.0)</f>
        <v>45791</v>
      </c>
      <c r="O2870" s="172"/>
      <c r="P2870" s="177" t="str">
        <f>IFERROR(__xludf.DUMMYFUNCTION("""COMPUTED_VALUE"""),"可")</f>
        <v>可</v>
      </c>
      <c r="Q2870" s="179"/>
      <c r="R2870" s="172"/>
      <c r="S2870" s="172" t="str">
        <f>IFERROR(__xludf.DUMMYFUNCTION("""COMPUTED_VALUE"""),"20250217_ファンギルド_追放された期待外れ聖女ですが、聖婚により魔霊伯爵様に嫁ぐことになりました")</f>
        <v>20250217_ファンギルド_追放された期待外れ聖女ですが、聖婚により魔霊伯爵様に嫁ぐことになりました</v>
      </c>
      <c r="T2870" s="152" t="str">
        <f>IFERROR(__xludf.DUMMYFUNCTION("""COMPUTED_VALUE"""),"格納済み")</f>
        <v>格納済み</v>
      </c>
      <c r="U2870" s="15" t="str">
        <f>IFERROR(__xludf.DUMMYFUNCTION("""COMPUTED_VALUE"""),"Ⓒ小駒みち/綾束乙/甘塩コメコ/ファンギルド")</f>
        <v>Ⓒ小駒みち/綾束乙/甘塩コメコ/ファンギルド</v>
      </c>
      <c r="V2870" s="8" t="str">
        <f>IFERROR(__xludf.DUMMYFUNCTION("""COMPUTED_VALUE"""),"聖女として神殿にはいったものの力を発揮できず、『期待外れ』と蔑まれていたレニシャは、ある日神殿から聖なる婚姻の花嫁に任命される。ようやく皆の役に立てると喜ぶレニシャだったが……嫁ぎ先は人食いと噂されている辺境の魔霊伯爵・ヴェルフレム。婚姻の目的はヴェルフレムの力を封印するための生贄だった。故郷ののため、そして聖女として役に立つため、花嫁としての役目を果たそうとするレニシャにヴェルフレムは『聖婚』を拒否してきてーー！？純真無垢なお人好し聖女と人嫌いの孤独な伯爵の王道ラブファンタジー！")</f>
        <v>聖女として神殿にはいったものの力を発揮できず、『期待外れ』と蔑まれていたレニシャは、ある日神殿から聖なる婚姻の花嫁に任命される。ようやく皆の役に立てると喜ぶレニシャだったが……嫁ぎ先は人食いと噂されている辺境の魔霊伯爵・ヴェルフレム。婚姻の目的はヴェルフレムの力を封印するための生贄だった。故郷ののため、そして聖女として役に立つため、花嫁としての役目を果たそうとするレニシャにヴェルフレムは『聖婚』を拒否してきてーー！？純真無垢なお人好し聖女と人嫌いの孤独な伯爵の王道ラブファンタジー！</v>
      </c>
      <c r="W2870" s="14"/>
      <c r="X2870" s="14" t="str">
        <f>IFERROR(__xludf.DUMMYFUNCTION("""COMPUTED_VALUE"""),"有")</f>
        <v>有</v>
      </c>
      <c r="Y2870" s="8" t="str">
        <f>IFERROR(__xludf.DUMMYFUNCTION("""COMPUTED_VALUE"""),"2025/4/2まで1巻無料")</f>
        <v>2025/4/2まで1巻無料</v>
      </c>
      <c r="Z2870" s="7"/>
      <c r="AA2870" s="7"/>
      <c r="AB2870" s="7"/>
    </row>
    <row r="2871" ht="15.75" customHeight="1">
      <c r="A2871" s="171">
        <f>IFERROR(__xludf.DUMMYFUNCTION("""COMPUTED_VALUE"""),5049.0)</f>
        <v>5049</v>
      </c>
      <c r="B2871" s="172" t="str">
        <f>IFERROR(__xludf.DUMMYFUNCTION("""COMPUTED_VALUE"""),"確定")</f>
        <v>確定</v>
      </c>
      <c r="C2871" s="173">
        <f>IFERROR(__xludf.DUMMYFUNCTION("""COMPUTED_VALUE"""),45705.0)</f>
        <v>45705</v>
      </c>
      <c r="D2871" s="173">
        <f>IFERROR(__xludf.DUMMYFUNCTION("""COMPUTED_VALUE"""),45707.0)</f>
        <v>45707</v>
      </c>
      <c r="E2871" s="174">
        <f>IFERROR(__xludf.DUMMYFUNCTION("""COMPUTED_VALUE"""),317456.0)</f>
        <v>317456</v>
      </c>
      <c r="F2871" s="159" t="str">
        <f>IFERROR(__xludf.DUMMYFUNCTION("""COMPUTED_VALUE"""),"抜け出せない母親の沼")</f>
        <v>抜け出せない母親の沼</v>
      </c>
      <c r="G2871" s="172" t="str">
        <f>IFERROR(__xludf.DUMMYFUNCTION("""COMPUTED_VALUE"""),"1～3")</f>
        <v>1～3</v>
      </c>
      <c r="H2871" s="152" t="str">
        <f>IFERROR(__xludf.DUMMYFUNCTION("""COMPUTED_VALUE"""),"Soso/YAGYUNG")</f>
        <v>Soso/YAGYUNG</v>
      </c>
      <c r="I2871" s="172" t="str">
        <f>IFERROR(__xludf.DUMMYFUNCTION("""COMPUTED_VALUE"""),"青年")</f>
        <v>青年</v>
      </c>
      <c r="J2871" s="176"/>
      <c r="K2871" s="176"/>
      <c r="L2871" s="172" t="str">
        <f>IFERROR(__xludf.DUMMYFUNCTION("""COMPUTED_VALUE"""),"Rush!")</f>
        <v>Rush!</v>
      </c>
      <c r="M2871" s="28">
        <f>IFERROR(__xludf.DUMMYFUNCTION("""COMPUTED_VALUE"""),45744.0)</f>
        <v>45744</v>
      </c>
      <c r="N2871" s="28">
        <f>IFERROR(__xludf.DUMMYFUNCTION("""COMPUTED_VALUE"""),45771.0)</f>
        <v>45771</v>
      </c>
      <c r="O2871" s="172"/>
      <c r="P2871" s="177" t="str">
        <f>IFERROR(__xludf.DUMMYFUNCTION("""COMPUTED_VALUE"""),"可")</f>
        <v>可</v>
      </c>
      <c r="Q2871" s="179"/>
      <c r="R2871" s="172"/>
      <c r="S2871" s="172" t="str">
        <f>IFERROR(__xludf.DUMMYFUNCTION("""COMPUTED_VALUE"""),"20250217_ファンギルド_抜け出せない母親の沼")</f>
        <v>20250217_ファンギルド_抜け出せない母親の沼</v>
      </c>
      <c r="T2871" s="152" t="str">
        <f>IFERROR(__xludf.DUMMYFUNCTION("""COMPUTED_VALUE"""),"格納済み")</f>
        <v>格納済み</v>
      </c>
      <c r="U2871" s="15" t="str">
        <f>IFERROR(__xludf.DUMMYFUNCTION("""COMPUTED_VALUE"""),"ⒸSoso/YAGYUNG/TOPTOON")</f>
        <v>ⒸSoso/YAGYUNG/TOPTOON</v>
      </c>
      <c r="V2871" s="8" t="str">
        <f>IFERROR(__xludf.DUMMYFUNCTION("""COMPUTED_VALUE"""),"大学生の智哉は義母である理恵と2人暮らし。冷たくてドライな性格の理恵だが、息子の智哉には甘い一面があり、そんな義母に智哉は執着に近い愛情を抱いていた。智哉の執着に近い愛情に危機感を感じた理恵は、友人にその事を相談するのだが――。美しい義母に対する想い…一度何かに依存してしまったらそれまで。 解消されない欲望と葛藤のせいで執着の矛先は…義母と義母の友達へと向けられる。 「母さん…今日だけ…今日だけはこうさせて」")</f>
        <v>大学生の智哉は義母である理恵と2人暮らし。冷たくてドライな性格の理恵だが、息子の智哉には甘い一面があり、そんな義母に智哉は執着に近い愛情を抱いていた。智哉の執着に近い愛情に危機感を感じた理恵は、友人にその事を相談するのだが――。美しい義母に対する想い…一度何かに依存してしまったらそれまで。 解消されない欲望と葛藤のせいで執着の矛先は…義母と義母の友達へと向けられる。 「母さん…今日だけ…今日だけはこうさせて」</v>
      </c>
      <c r="W2871" s="14"/>
      <c r="X2871" s="14" t="str">
        <f>IFERROR(__xludf.DUMMYFUNCTION("""COMPUTED_VALUE"""),"有")</f>
        <v>有</v>
      </c>
      <c r="Y2871" s="8" t="str">
        <f>IFERROR(__xludf.DUMMYFUNCTION("""COMPUTED_VALUE"""),"P7まで")</f>
        <v>P7まで</v>
      </c>
      <c r="Z2871" s="7"/>
      <c r="AA2871" s="7"/>
      <c r="AB2871" s="7"/>
    </row>
    <row r="2872" ht="15.75" customHeight="1">
      <c r="A2872" s="171">
        <f>IFERROR(__xludf.DUMMYFUNCTION("""COMPUTED_VALUE"""),5050.0)</f>
        <v>5050</v>
      </c>
      <c r="B2872" s="172" t="str">
        <f>IFERROR(__xludf.DUMMYFUNCTION("""COMPUTED_VALUE"""),"確定")</f>
        <v>確定</v>
      </c>
      <c r="C2872" s="173">
        <f>IFERROR(__xludf.DUMMYFUNCTION("""COMPUTED_VALUE"""),45705.0)</f>
        <v>45705</v>
      </c>
      <c r="D2872" s="173">
        <f>IFERROR(__xludf.DUMMYFUNCTION("""COMPUTED_VALUE"""),45707.0)</f>
        <v>45707</v>
      </c>
      <c r="E2872" s="174">
        <f>IFERROR(__xludf.DUMMYFUNCTION("""COMPUTED_VALUE"""),318758.0)</f>
        <v>318758</v>
      </c>
      <c r="F2872" s="159" t="str">
        <f>IFERROR(__xludf.DUMMYFUNCTION("""COMPUTED_VALUE"""),"秘密の誘惑")</f>
        <v>秘密の誘惑</v>
      </c>
      <c r="G2872" s="172" t="str">
        <f>IFERROR(__xludf.DUMMYFUNCTION("""COMPUTED_VALUE"""),"1～3")</f>
        <v>1～3</v>
      </c>
      <c r="H2872" s="152" t="str">
        <f>IFERROR(__xludf.DUMMYFUNCTION("""COMPUTED_VALUE"""),"potato/木村世蘭")</f>
        <v>potato/木村世蘭</v>
      </c>
      <c r="I2872" s="172" t="str">
        <f>IFERROR(__xludf.DUMMYFUNCTION("""COMPUTED_VALUE"""),"青年")</f>
        <v>青年</v>
      </c>
      <c r="J2872" s="176"/>
      <c r="K2872" s="176"/>
      <c r="L2872" s="172" t="str">
        <f>IFERROR(__xludf.DUMMYFUNCTION("""COMPUTED_VALUE"""),"Rush!")</f>
        <v>Rush!</v>
      </c>
      <c r="M2872" s="28">
        <f>IFERROR(__xludf.DUMMYFUNCTION("""COMPUTED_VALUE"""),45744.0)</f>
        <v>45744</v>
      </c>
      <c r="N2872" s="28">
        <f>IFERROR(__xludf.DUMMYFUNCTION("""COMPUTED_VALUE"""),45771.0)</f>
        <v>45771</v>
      </c>
      <c r="O2872" s="172"/>
      <c r="P2872" s="177" t="str">
        <f>IFERROR(__xludf.DUMMYFUNCTION("""COMPUTED_VALUE"""),"可")</f>
        <v>可</v>
      </c>
      <c r="Q2872" s="179"/>
      <c r="R2872" s="172"/>
      <c r="S2872" s="172" t="str">
        <f>IFERROR(__xludf.DUMMYFUNCTION("""COMPUTED_VALUE"""),"20250217_ファンギルド_秘密の誘惑")</f>
        <v>20250217_ファンギルド_秘密の誘惑</v>
      </c>
      <c r="T2872" s="152" t="str">
        <f>IFERROR(__xludf.DUMMYFUNCTION("""COMPUTED_VALUE"""),"格納済み")</f>
        <v>格納済み</v>
      </c>
      <c r="U2872" s="15" t="str">
        <f>IFERROR(__xludf.DUMMYFUNCTION("""COMPUTED_VALUE"""),"Ⓒpotato/木村世蘭/TOPTOON")</f>
        <v>Ⓒpotato/木村世蘭/TOPTOON</v>
      </c>
      <c r="V2872" s="8" t="str">
        <f>IFERROR(__xludf.DUMMYFUNCTION("""COMPUTED_VALUE"""),"幼い頃に実の親からの暴力から助けられ、新しい家族を得た航。養母はカリスマ女優、姉はゴルフ界の女神、妹は大人気のアイドルという魅力的な彼女たちは、航を温かく家族として受け入れてくれた。しかしある日、姉の伊緒が口にしたひとつの提案をきっかけに、家族の関係は変わり始めていく…。｢これからは私が手伝ってあげる｣何故か航にだけ特別よくしてくれる義理の家族達からの、秘密の誘惑はエスカレートしていき――！【※この作品はTOPTOON JPで配信されている「おかげさまで よくシてもらってます」と同内容の作品です。】")</f>
        <v>幼い頃に実の親からの暴力から助けられ、新しい家族を得た航。養母はカリスマ女優、姉はゴルフ界の女神、妹は大人気のアイドルという魅力的な彼女たちは、航を温かく家族として受け入れてくれた。しかしある日、姉の伊緒が口にしたひとつの提案をきっかけに、家族の関係は変わり始めていく…。｢これからは私が手伝ってあげる｣何故か航にだけ特別よくしてくれる義理の家族達からの、秘密の誘惑はエスカレートしていき――！【※この作品はTOPTOON JPで配信されている「おかげさまで よくシてもらってます」と同内容の作品です。】</v>
      </c>
      <c r="W2872" s="14"/>
      <c r="X2872" s="14" t="str">
        <f>IFERROR(__xludf.DUMMYFUNCTION("""COMPUTED_VALUE"""),"有")</f>
        <v>有</v>
      </c>
      <c r="Y2872" s="8" t="str">
        <f>IFERROR(__xludf.DUMMYFUNCTION("""COMPUTED_VALUE"""),"P7まで")</f>
        <v>P7まで</v>
      </c>
      <c r="Z2872" s="7"/>
      <c r="AA2872" s="7"/>
      <c r="AB2872" s="7"/>
    </row>
    <row r="2873" ht="15.75" customHeight="1">
      <c r="A2873" s="171">
        <f>IFERROR(__xludf.DUMMYFUNCTION("""COMPUTED_VALUE"""),5051.0)</f>
        <v>5051</v>
      </c>
      <c r="B2873" s="172" t="str">
        <f>IFERROR(__xludf.DUMMYFUNCTION("""COMPUTED_VALUE"""),"確定")</f>
        <v>確定</v>
      </c>
      <c r="C2873" s="173">
        <f>IFERROR(__xludf.DUMMYFUNCTION("""COMPUTED_VALUE"""),45705.0)</f>
        <v>45705</v>
      </c>
      <c r="D2873" s="173">
        <f>IFERROR(__xludf.DUMMYFUNCTION("""COMPUTED_VALUE"""),45707.0)</f>
        <v>45707</v>
      </c>
      <c r="E2873" s="174">
        <f>IFERROR(__xludf.DUMMYFUNCTION("""COMPUTED_VALUE"""),317457.0)</f>
        <v>317457</v>
      </c>
      <c r="F2873" s="159" t="str">
        <f>IFERROR(__xludf.DUMMYFUNCTION("""COMPUTED_VALUE"""),"ダメ男チャンネル～港区男子・勘違い先輩・普通を押し付ける男編～")</f>
        <v>ダメ男チャンネル～港区男子・勘違い先輩・普通を押し付ける男編～</v>
      </c>
      <c r="G2873" s="172" t="str">
        <f>IFERROR(__xludf.DUMMYFUNCTION("""COMPUTED_VALUE"""),"1～4")</f>
        <v>1～4</v>
      </c>
      <c r="H2873" s="152" t="str">
        <f>IFERROR(__xludf.DUMMYFUNCTION("""COMPUTED_VALUE"""),"季生みなと")</f>
        <v>季生みなと</v>
      </c>
      <c r="I2873" s="172" t="str">
        <f>IFERROR(__xludf.DUMMYFUNCTION("""COMPUTED_VALUE"""),"女性")</f>
        <v>女性</v>
      </c>
      <c r="J2873" s="176"/>
      <c r="K2873" s="176"/>
      <c r="L2873" s="172" t="str">
        <f>IFERROR(__xludf.DUMMYFUNCTION("""COMPUTED_VALUE"""),"ファンギルド")</f>
        <v>ファンギルド</v>
      </c>
      <c r="M2873" s="28">
        <f>IFERROR(__xludf.DUMMYFUNCTION("""COMPUTED_VALUE"""),45770.0)</f>
        <v>45770</v>
      </c>
      <c r="N2873" s="23">
        <f>IFERROR(__xludf.DUMMYFUNCTION("""COMPUTED_VALUE"""),45797.0)</f>
        <v>45797</v>
      </c>
      <c r="O2873" s="172"/>
      <c r="P2873" s="177" t="str">
        <f>IFERROR(__xludf.DUMMYFUNCTION("""COMPUTED_VALUE"""),"可")</f>
        <v>可</v>
      </c>
      <c r="Q2873" s="179"/>
      <c r="R2873" s="172"/>
      <c r="S2873" s="172" t="str">
        <f>IFERROR(__xludf.DUMMYFUNCTION("""COMPUTED_VALUE"""),"20250217_ファンギルド_ダメ男チャンネル～港区男子・勘違い先輩・普通を押し付ける男編～")</f>
        <v>20250217_ファンギルド_ダメ男チャンネル～港区男子・勘違い先輩・普通を押し付ける男編～</v>
      </c>
      <c r="T2873" s="152" t="str">
        <f>IFERROR(__xludf.DUMMYFUNCTION("""COMPUTED_VALUE"""),"格納済み")</f>
        <v>格納済み</v>
      </c>
      <c r="U2873" s="15" t="str">
        <f>IFERROR(__xludf.DUMMYFUNCTION("""COMPUTED_VALUE"""),"Ⓒ季生みなと/ファンギルド")</f>
        <v>Ⓒ季生みなと/ファンギルド</v>
      </c>
      <c r="V2873" s="8" t="str">
        <f>IFERROR(__xludf.DUMMYFUNCTION("""COMPUTED_VALUE"""),"港区男子、勘違い先輩、普通を押し付ける男――!!!身の毛もよだつダメ男をバッサバッサと切り捨てる、そんな痛快ラブコメディをどうぞ☆")</f>
        <v>港区男子、勘違い先輩、普通を押し付ける男――!!!身の毛もよだつダメ男をバッサバッサと切り捨てる、そんな痛快ラブコメディをどうぞ☆</v>
      </c>
      <c r="W2873" s="14"/>
      <c r="X2873" s="14" t="str">
        <f>IFERROR(__xludf.DUMMYFUNCTION("""COMPUTED_VALUE"""),"有")</f>
        <v>有</v>
      </c>
      <c r="Y2873" s="8" t="str">
        <f>IFERROR(__xludf.DUMMYFUNCTION("""COMPUTED_VALUE"""),"2025/5/6まで1巻無料")</f>
        <v>2025/5/6まで1巻無料</v>
      </c>
      <c r="Z2873" s="7"/>
      <c r="AA2873" s="7"/>
      <c r="AB2873" s="7"/>
    </row>
    <row r="2874" ht="15.75" customHeight="1">
      <c r="A2874" s="171">
        <f>IFERROR(__xludf.DUMMYFUNCTION("""COMPUTED_VALUE"""),5052.0)</f>
        <v>5052</v>
      </c>
      <c r="B2874" s="172" t="str">
        <f>IFERROR(__xludf.DUMMYFUNCTION("""COMPUTED_VALUE"""),"確定")</f>
        <v>確定</v>
      </c>
      <c r="C2874" s="173">
        <f>IFERROR(__xludf.DUMMYFUNCTION("""COMPUTED_VALUE"""),45705.0)</f>
        <v>45705</v>
      </c>
      <c r="D2874" s="173">
        <f>IFERROR(__xludf.DUMMYFUNCTION("""COMPUTED_VALUE"""),45707.0)</f>
        <v>45707</v>
      </c>
      <c r="E2874" s="174">
        <f>IFERROR(__xludf.DUMMYFUNCTION("""COMPUTED_VALUE"""),317208.0)</f>
        <v>317208</v>
      </c>
      <c r="F2874" s="159" t="str">
        <f>IFERROR(__xludf.DUMMYFUNCTION("""COMPUTED_VALUE"""),"セックスクローゼット～居候ギャルと我が家のトイレで～")</f>
        <v>セックスクローゼット～居候ギャルと我が家のトイレで～</v>
      </c>
      <c r="G2874" s="172" t="str">
        <f>IFERROR(__xludf.DUMMYFUNCTION("""COMPUTED_VALUE"""),"1～2")</f>
        <v>1～2</v>
      </c>
      <c r="H2874" s="152" t="str">
        <f>IFERROR(__xludf.DUMMYFUNCTION("""COMPUTED_VALUE"""),"みさおか┴DraGoN.9")</f>
        <v>みさおか┴DraGoN.9</v>
      </c>
      <c r="I2874" s="172" t="str">
        <f>IFERROR(__xludf.DUMMYFUNCTION("""COMPUTED_VALUE"""),"アダルトマンガ")</f>
        <v>アダルトマンガ</v>
      </c>
      <c r="J2874" s="176"/>
      <c r="K2874" s="176"/>
      <c r="L2874" s="172" t="str">
        <f>IFERROR(__xludf.DUMMYFUNCTION("""COMPUTED_VALUE"""),"セ・キララ文庫")</f>
        <v>セ・キララ文庫</v>
      </c>
      <c r="M2874" s="28">
        <f>IFERROR(__xludf.DUMMYFUNCTION("""COMPUTED_VALUE"""),45730.0)</f>
        <v>45730</v>
      </c>
      <c r="N2874" s="23">
        <f>IFERROR(__xludf.DUMMYFUNCTION("""COMPUTED_VALUE"""),45757.0)</f>
        <v>45757</v>
      </c>
      <c r="O2874" s="172"/>
      <c r="P2874" s="177" t="str">
        <f>IFERROR(__xludf.DUMMYFUNCTION("""COMPUTED_VALUE"""),"可")</f>
        <v>可</v>
      </c>
      <c r="Q2874" s="179"/>
      <c r="R2874" s="172"/>
      <c r="S2874" s="172" t="str">
        <f>IFERROR(__xludf.DUMMYFUNCTION("""COMPUTED_VALUE"""),"20250217_ライドオン_セックスクローゼット～居候ギャルと我が家のトイレで～")</f>
        <v>20250217_ライドオン_セックスクローゼット～居候ギャルと我が家のトイレで～</v>
      </c>
      <c r="T2874" s="152" t="str">
        <f>IFERROR(__xludf.DUMMYFUNCTION("""COMPUTED_VALUE"""),"格納済み")</f>
        <v>格納済み</v>
      </c>
      <c r="U2874" s="15" t="str">
        <f>IFERROR(__xludf.DUMMYFUNCTION("""COMPUTED_VALUE"""),"Ⓒみさおか┴DraGoN.9/セ・キララ文庫")</f>
        <v>Ⓒみさおか┴DraGoN.9/セ・キララ文庫</v>
      </c>
      <c r="V2874" s="8" t="str">
        <f>IFERROR(__xludf.DUMMYFUNCTION("""COMPUTED_VALUE"""),"家に突然、家庭の事情とやらで巨乳金髪褐色ギャルの花音が居候することになった。
明るく元気で素直な彼女は我が家にすぐ打ち解けたけど、おっぱいもお尻も大きくてイイ匂いのする可愛い彼女がいる生活にムラムラしっぱなし！
そんなある日の夜、トイレでオナニーしている花音とバッタリ遭遇！
こんなのもう…我慢できるわけない…
期待しか無い新生活が始まった！")</f>
        <v>家に突然、家庭の事情とやらで巨乳金髪褐色ギャルの花音が居候することになった。
明るく元気で素直な彼女は我が家にすぐ打ち解けたけど、おっぱいもお尻も大きくてイイ匂いのする可愛い彼女がいる生活にムラムラしっぱなし！
そんなある日の夜、トイレでオナニーしている花音とバッタリ遭遇！
こんなのもう…我慢できるわけない…
期待しか無い新生活が始まった！</v>
      </c>
      <c r="W2874" s="14"/>
      <c r="X2874" s="14" t="str">
        <f>IFERROR(__xludf.DUMMYFUNCTION("""COMPUTED_VALUE"""),"有")</f>
        <v>有</v>
      </c>
      <c r="Y2874" s="8" t="str">
        <f>IFERROR(__xludf.DUMMYFUNCTION("""COMPUTED_VALUE"""),"2025/4/10まで1巻立ち読み増量（P12まで）")</f>
        <v>2025/4/10まで1巻立ち読み増量（P12まで）</v>
      </c>
      <c r="Z2874" s="7"/>
      <c r="AA2874" s="7"/>
      <c r="AB2874" s="7"/>
    </row>
    <row r="2875" ht="15.75" customHeight="1">
      <c r="A2875" s="171">
        <f>IFERROR(__xludf.DUMMYFUNCTION("""COMPUTED_VALUE"""),5053.0)</f>
        <v>5053</v>
      </c>
      <c r="B2875" s="172" t="str">
        <f>IFERROR(__xludf.DUMMYFUNCTION("""COMPUTED_VALUE"""),"確定")</f>
        <v>確定</v>
      </c>
      <c r="C2875" s="173">
        <f>IFERROR(__xludf.DUMMYFUNCTION("""COMPUTED_VALUE"""),45705.0)</f>
        <v>45705</v>
      </c>
      <c r="D2875" s="173">
        <f>IFERROR(__xludf.DUMMYFUNCTION("""COMPUTED_VALUE"""),45707.0)</f>
        <v>45707</v>
      </c>
      <c r="E2875" s="174">
        <f>IFERROR(__xludf.DUMMYFUNCTION("""COMPUTED_VALUE"""),317762.0)</f>
        <v>317762</v>
      </c>
      <c r="F2875" s="159" t="str">
        <f>IFERROR(__xludf.DUMMYFUNCTION("""COMPUTED_VALUE"""),"Please！Freeze！Please！【分冊版】")</f>
        <v>Please！Freeze！Please！【分冊版】</v>
      </c>
      <c r="G2875" s="172" t="str">
        <f>IFERROR(__xludf.DUMMYFUNCTION("""COMPUTED_VALUE"""),"1～2")</f>
        <v>1～2</v>
      </c>
      <c r="H2875" s="152" t="str">
        <f>IFERROR(__xludf.DUMMYFUNCTION("""COMPUTED_VALUE"""),"師走の翁/ヒット出版社")</f>
        <v>師走の翁/ヒット出版社</v>
      </c>
      <c r="I2875" s="172" t="str">
        <f>IFERROR(__xludf.DUMMYFUNCTION("""COMPUTED_VALUE"""),"アダルトマンガ")</f>
        <v>アダルトマンガ</v>
      </c>
      <c r="J2875" s="176"/>
      <c r="K2875" s="176"/>
      <c r="L2875" s="172" t="str">
        <f>IFERROR(__xludf.DUMMYFUNCTION("""COMPUTED_VALUE"""),"セ・キララ文庫")</f>
        <v>セ・キララ文庫</v>
      </c>
      <c r="M2875" s="28">
        <f>IFERROR(__xludf.DUMMYFUNCTION("""COMPUTED_VALUE"""),45730.0)</f>
        <v>45730</v>
      </c>
      <c r="N2875" s="23">
        <f>IFERROR(__xludf.DUMMYFUNCTION("""COMPUTED_VALUE"""),45757.0)</f>
        <v>45757</v>
      </c>
      <c r="O2875" s="172"/>
      <c r="P2875" s="177" t="str">
        <f>IFERROR(__xludf.DUMMYFUNCTION("""COMPUTED_VALUE"""),"可")</f>
        <v>可</v>
      </c>
      <c r="Q2875" s="179"/>
      <c r="R2875" s="172"/>
      <c r="S2875" s="172" t="str">
        <f>IFERROR(__xludf.DUMMYFUNCTION("""COMPUTED_VALUE"""),"20250217_ライドオン_Please！Freeze！Please！")</f>
        <v>20250217_ライドオン_Please！Freeze！Please！</v>
      </c>
      <c r="T2875" s="152" t="str">
        <f>IFERROR(__xludf.DUMMYFUNCTION("""COMPUTED_VALUE"""),"格納済み")</f>
        <v>格納済み</v>
      </c>
      <c r="U2875" s="15" t="str">
        <f>IFERROR(__xludf.DUMMYFUNCTION("""COMPUTED_VALUE"""),"Ⓒ師走の翁/ヒット出版社/セ・キララ文庫")</f>
        <v>Ⓒ師走の翁/ヒット出版社/セ・キララ文庫</v>
      </c>
      <c r="V2875" s="8" t="str">
        <f>IFERROR(__xludf.DUMMYFUNCTION("""COMPUTED_VALUE"""),"「ヤバい…気持ちよくってこれ声っ…んっ…ガマンとか無理…っ！」
放課後の図書室で、ドキドキしながらのまったりたっぷり性体験…!?
――冷え込む部屋の中、ヒーターよりあったかいと、気になっている女子二人にくっつかれてつい勃起してしまう眉村くん。
顔を真っ赤にしながらも興味津々な束見さんと飯田橋さんは、すぐ勃起しちゃうのは困るよね…と、眉村くんに女の子に慣れるためのふれあいを提案してきて…!?
キスさえ恥ずかしがっていた三人だったが、大きく柔らかなおっぱいに触れたり、おち〇ちんを触ったり、舐めたり、お"&amp;"ま〇こをいじったり…毎日少しずつ性体験の経験値を上げていく！
「司書の先生が先帰るから戸締りしてってくれってさ…で、どーするぅ？」
先生から預かった図書室の鍵をチャリンと揺らしながら、束見さんは挑発的な笑みを浮かべて――
女の子の生々しい吐息と火照りと潤いをリアルに感じる、挑戦的で新感覚な一作…!!
＜収録作品＞
Please！Freeze！Please！#1-#10（最終）話")</f>
        <v>「ヤバい…気持ちよくってこれ声っ…んっ…ガマンとか無理…っ！」
放課後の図書室で、ドキドキしながらのまったりたっぷり性体験…!?
――冷え込む部屋の中、ヒーターよりあったかいと、気になっている女子二人にくっつかれてつい勃起してしまう眉村くん。
顔を真っ赤にしながらも興味津々な束見さんと飯田橋さんは、すぐ勃起しちゃうのは困るよね…と、眉村くんに女の子に慣れるためのふれあいを提案してきて…!?
キスさえ恥ずかしがっていた三人だったが、大きく柔らかなおっぱいに触れたり、おち〇ちんを触ったり、舐めたり、おま〇こをいじったり…毎日少しずつ性体験の経験値を上げていく！
「司書の先生が先帰るから戸締りしてってくれってさ…で、どーするぅ？」
先生から預かった図書室の鍵をチャリンと揺らしながら、束見さんは挑発的な笑みを浮かべて――
女の子の生々しい吐息と火照りと潤いをリアルに感じる、挑戦的で新感覚な一作…!!
＜収録作品＞
Please！Freeze！Please！#1-#10（最終）話</v>
      </c>
      <c r="W2875" s="14"/>
      <c r="X2875" s="14" t="str">
        <f>IFERROR(__xludf.DUMMYFUNCTION("""COMPUTED_VALUE"""),"有")</f>
        <v>有</v>
      </c>
      <c r="Y2875" s="8" t="str">
        <f>IFERROR(__xludf.DUMMYFUNCTION("""COMPUTED_VALUE"""),"2025/4/10まで1巻立ち読み増量
1～2巻目P12まで")</f>
        <v>2025/4/10まで1巻立ち読み増量
1～2巻目P12まで</v>
      </c>
      <c r="Z2875" s="7"/>
      <c r="AA2875" s="7"/>
      <c r="AB2875" s="7"/>
    </row>
    <row r="2876" ht="15.75" customHeight="1">
      <c r="A2876" s="171">
        <f>IFERROR(__xludf.DUMMYFUNCTION("""COMPUTED_VALUE"""),5058.0)</f>
        <v>5058</v>
      </c>
      <c r="B2876" s="172" t="str">
        <f>IFERROR(__xludf.DUMMYFUNCTION("""COMPUTED_VALUE"""),"確定")</f>
        <v>確定</v>
      </c>
      <c r="C2876" s="173">
        <f>IFERROR(__xludf.DUMMYFUNCTION("""COMPUTED_VALUE"""),45706.0)</f>
        <v>45706</v>
      </c>
      <c r="D2876" s="173">
        <f>IFERROR(__xludf.DUMMYFUNCTION("""COMPUTED_VALUE"""),45707.0)</f>
        <v>45707</v>
      </c>
      <c r="E2876" s="174">
        <f>IFERROR(__xludf.DUMMYFUNCTION("""COMPUTED_VALUE"""),314844.0)</f>
        <v>314844</v>
      </c>
      <c r="F2876" s="159" t="str">
        <f>IFERROR(__xludf.DUMMYFUNCTION("""COMPUTED_VALUE"""),"大型犬部下 小野啓斗のデカすぎる献心")</f>
        <v>大型犬部下 小野啓斗のデカすぎる献心</v>
      </c>
      <c r="G2876" s="172" t="str">
        <f>IFERROR(__xludf.DUMMYFUNCTION("""COMPUTED_VALUE"""),"1～2")</f>
        <v>1～2</v>
      </c>
      <c r="H2876" s="152" t="str">
        <f>IFERROR(__xludf.DUMMYFUNCTION("""COMPUTED_VALUE"""),"葉月那ノ叶┴THE猥談")</f>
        <v>葉月那ノ叶┴THE猥談</v>
      </c>
      <c r="I2876" s="172" t="str">
        <f>IFERROR(__xludf.DUMMYFUNCTION("""COMPUTED_VALUE"""),"TL")</f>
        <v>TL</v>
      </c>
      <c r="J2876" s="176"/>
      <c r="K2876" s="172" t="str">
        <f>IFERROR(__xludf.DUMMYFUNCTION("""COMPUTED_VALUE"""),"THE猥談")</f>
        <v>THE猥談</v>
      </c>
      <c r="L2876" s="172" t="str">
        <f>IFERROR(__xludf.DUMMYFUNCTION("""COMPUTED_VALUE"""),"クロスフォリオ出版")</f>
        <v>クロスフォリオ出版</v>
      </c>
      <c r="M2876" s="59">
        <f>IFERROR(__xludf.DUMMYFUNCTION("""COMPUTED_VALUE"""),45716.0)</f>
        <v>45716</v>
      </c>
      <c r="N2876" s="59">
        <f>IFERROR(__xludf.DUMMYFUNCTION("""COMPUTED_VALUE"""),45806.0)</f>
        <v>45806</v>
      </c>
      <c r="O2876" s="172"/>
      <c r="P2876" s="186" t="str">
        <f>IFERROR(__xludf.DUMMYFUNCTION("""COMPUTED_VALUE"""),"可")</f>
        <v>可</v>
      </c>
      <c r="Q2876" s="166"/>
      <c r="R2876" s="172"/>
      <c r="S2876" s="172" t="str">
        <f>IFERROR(__xludf.DUMMYFUNCTION("""COMPUTED_VALUE"""),"20250218_BookLive_大型犬部下 小野啓斗のデカすぎる献心")</f>
        <v>20250218_BookLive_大型犬部下 小野啓斗のデカすぎる献心</v>
      </c>
      <c r="T2876" s="152" t="str">
        <f>IFERROR(__xludf.DUMMYFUNCTION("""COMPUTED_VALUE"""),"格納済み")</f>
        <v>格納済み</v>
      </c>
      <c r="U2876" s="15" t="str">
        <f>IFERROR(__xludf.DUMMYFUNCTION("""COMPUTED_VALUE"""),"(c)葉月那ノ叶/THE猥談/クロスフォリオ出版")</f>
        <v>(c)葉月那ノ叶/THE猥談/クロスフォリオ出版</v>
      </c>
      <c r="V2876" s="8" t="str">
        <f>IFERROR(__xludf.DUMMYFUNCTION("""COMPUTED_VALUE"""),"「俺と付き合うの　どうですか?」
付き合っていた彼から一方的に別れを告げられ、一緒に住んでいた部屋も出ていかれた。
途方に暮れていた頃、部下の小野啓斗からお付き合いの提案を受ける。
小野のことは部下として頼りにしてるし、懐かれてるなとは思っていたけど
仕事もあるのに付き合うなんて…
それに、身体の相性とかも…あるし…
「俺をそういう対象として見れるかですよね」
「試すだけ試してみますか?」
いつも仕事中はワンコみたいに私のことを慕っていた小野に
流されるままにホテルへ。
「俺　本気です」
「分か"&amp;"ってください」
「好きです　ともみさん」
逞しい身体と、丁寧な前戯にあっというまに溶かされて
小野からのデカすぎる感情を知った私はーー…。
※本作は葉月那ノ叶、THE猥談の個人誌作品の電子書籍版となります。【28ページ】")</f>
        <v>「俺と付き合うの　どうですか?」
付き合っていた彼から一方的に別れを告げられ、一緒に住んでいた部屋も出ていかれた。
途方に暮れていた頃、部下の小野啓斗からお付き合いの提案を受ける。
小野のことは部下として頼りにしてるし、懐かれてるなとは思っていたけど
仕事もあるのに付き合うなんて…
それに、身体の相性とかも…あるし…
「俺をそういう対象として見れるかですよね」
「試すだけ試してみますか?」
いつも仕事中はワンコみたいに私のことを慕っていた小野に
流されるままにホテルへ。
「俺　本気です」
「分かってください」
「好きです　ともみさん」
逞しい身体と、丁寧な前戯にあっというまに溶かされて
小野からのデカすぎる感情を知った私はーー…。
※本作は葉月那ノ叶、THE猥談の個人誌作品の電子書籍版となります。【28ページ】</v>
      </c>
      <c r="W2876" s="14"/>
      <c r="X2876" s="14" t="str">
        <f>IFERROR(__xludf.DUMMYFUNCTION("""COMPUTED_VALUE"""),"有")</f>
        <v>有</v>
      </c>
      <c r="Y2876" s="8" t="str">
        <f>IFERROR(__xludf.DUMMYFUNCTION("""COMPUTED_VALUE"""),"P12まで")</f>
        <v>P12まで</v>
      </c>
      <c r="Z2876" s="7"/>
      <c r="AA2876" s="7"/>
      <c r="AB2876" s="7"/>
    </row>
    <row r="2877" ht="15.75" customHeight="1">
      <c r="A2877" s="171">
        <f>IFERROR(__xludf.DUMMYFUNCTION("""COMPUTED_VALUE"""),5059.0)</f>
        <v>5059</v>
      </c>
      <c r="B2877" s="172" t="str">
        <f>IFERROR(__xludf.DUMMYFUNCTION("""COMPUTED_VALUE"""),"確定")</f>
        <v>確定</v>
      </c>
      <c r="C2877" s="173">
        <f>IFERROR(__xludf.DUMMYFUNCTION("""COMPUTED_VALUE"""),45706.0)</f>
        <v>45706</v>
      </c>
      <c r="D2877" s="173">
        <f>IFERROR(__xludf.DUMMYFUNCTION("""COMPUTED_VALUE"""),45707.0)</f>
        <v>45707</v>
      </c>
      <c r="E2877" s="174">
        <f>IFERROR(__xludf.DUMMYFUNCTION("""COMPUTED_VALUE"""),314848.0)</f>
        <v>314848</v>
      </c>
      <c r="F2877" s="159" t="str">
        <f>IFERROR(__xludf.DUMMYFUNCTION("""COMPUTED_VALUE"""),"大型犬部下 小野啓斗のデカすぎる献心【R版】")</f>
        <v>大型犬部下 小野啓斗のデカすぎる献心【R版】</v>
      </c>
      <c r="G2877" s="172" t="str">
        <f>IFERROR(__xludf.DUMMYFUNCTION("""COMPUTED_VALUE"""),"1～2")</f>
        <v>1～2</v>
      </c>
      <c r="H2877" s="152" t="str">
        <f>IFERROR(__xludf.DUMMYFUNCTION("""COMPUTED_VALUE"""),"葉月那ノ叶┴THE猥談")</f>
        <v>葉月那ノ叶┴THE猥談</v>
      </c>
      <c r="I2877" s="172" t="str">
        <f>IFERROR(__xludf.DUMMYFUNCTION("""COMPUTED_VALUE"""),"アダルトマンガ")</f>
        <v>アダルトマンガ</v>
      </c>
      <c r="J2877" s="176"/>
      <c r="K2877" s="172" t="str">
        <f>IFERROR(__xludf.DUMMYFUNCTION("""COMPUTED_VALUE"""),"THE猥談")</f>
        <v>THE猥談</v>
      </c>
      <c r="L2877" s="172" t="str">
        <f>IFERROR(__xludf.DUMMYFUNCTION("""COMPUTED_VALUE"""),"クロスフォリオ出版")</f>
        <v>クロスフォリオ出版</v>
      </c>
      <c r="M2877" s="59">
        <f>IFERROR(__xludf.DUMMYFUNCTION("""COMPUTED_VALUE"""),45716.0)</f>
        <v>45716</v>
      </c>
      <c r="N2877" s="59">
        <f>IFERROR(__xludf.DUMMYFUNCTION("""COMPUTED_VALUE"""),45806.0)</f>
        <v>45806</v>
      </c>
      <c r="O2877" s="172"/>
      <c r="P2877" s="186" t="str">
        <f>IFERROR(__xludf.DUMMYFUNCTION("""COMPUTED_VALUE"""),"可")</f>
        <v>可</v>
      </c>
      <c r="Q2877" s="166"/>
      <c r="R2877" s="172"/>
      <c r="S2877" s="172" t="str">
        <f>IFERROR(__xludf.DUMMYFUNCTION("""COMPUTED_VALUE"""),"20250218_BookLive_大型犬部下 小野啓斗のデカすぎる献心【R版】")</f>
        <v>20250218_BookLive_大型犬部下 小野啓斗のデカすぎる献心【R版】</v>
      </c>
      <c r="T2877" s="152" t="str">
        <f>IFERROR(__xludf.DUMMYFUNCTION("""COMPUTED_VALUE"""),"格納済み")</f>
        <v>格納済み</v>
      </c>
      <c r="U2877" s="15" t="str">
        <f>IFERROR(__xludf.DUMMYFUNCTION("""COMPUTED_VALUE"""),"(c)葉月那ノ叶/THE猥談/クロスフォリオ出版")</f>
        <v>(c)葉月那ノ叶/THE猥談/クロスフォリオ出版</v>
      </c>
      <c r="V2877" s="8" t="str">
        <f>IFERROR(__xludf.DUMMYFUNCTION("""COMPUTED_VALUE"""),"「俺と付き合うの　どうですか?」
付き合っていた彼から一方的に別れを告げられ、一緒に住んでいた部屋も出ていかれた。
途方に暮れていた頃、部下の小野啓斗からお付き合いの提案を受ける。
小野のことは部下として頼りにしてるし、懐かれてるなとは思っていたけど
仕事もあるのに付き合うなんて…
それに、身体の相性とかも…あるし…
「俺をそういう対象として見れるかですよね」
「試すだけ試してみますか?」
いつも仕事中はワンコみたいに私のことを慕っていた小野に
流されるままにホテルへ。
「俺　本気です」
「分か"&amp;"ってください」
「好きです　ともみさん」
逞しい身体と、丁寧な前戯にあっというまに溶かされて
小野からのデカすぎる感情を知った私はーー…。
※本作は葉月那ノ叶、THE猥談の個人誌作品の電子書籍版となります。【28ページ】
※本作は『大型犬部下 小野啓斗のデカすぎる献心』の修正をやや弱めたものです。内容に差異はありません。")</f>
        <v>「俺と付き合うの　どうですか?」
付き合っていた彼から一方的に別れを告げられ、一緒に住んでいた部屋も出ていかれた。
途方に暮れていた頃、部下の小野啓斗からお付き合いの提案を受ける。
小野のことは部下として頼りにしてるし、懐かれてるなとは思っていたけど
仕事もあるのに付き合うなんて…
それに、身体の相性とかも…あるし…
「俺をそういう対象として見れるかですよね」
「試すだけ試してみますか?」
いつも仕事中はワンコみたいに私のことを慕っていた小野に
流されるままにホテルへ。
「俺　本気です」
「分かってください」
「好きです　ともみさん」
逞しい身体と、丁寧な前戯にあっというまに溶かされて
小野からのデカすぎる感情を知った私はーー…。
※本作は葉月那ノ叶、THE猥談の個人誌作品の電子書籍版となります。【28ページ】
※本作は『大型犬部下 小野啓斗のデカすぎる献心』の修正をやや弱めたものです。内容に差異はありません。</v>
      </c>
      <c r="W2877" s="14"/>
      <c r="X2877" s="14" t="str">
        <f>IFERROR(__xludf.DUMMYFUNCTION("""COMPUTED_VALUE"""),"有")</f>
        <v>有</v>
      </c>
      <c r="Y2877" s="8" t="str">
        <f>IFERROR(__xludf.DUMMYFUNCTION("""COMPUTED_VALUE"""),"P12まで")</f>
        <v>P12まで</v>
      </c>
      <c r="Z2877" s="7"/>
      <c r="AA2877" s="7"/>
      <c r="AB2877" s="7"/>
    </row>
    <row r="2878" ht="15.75" customHeight="1">
      <c r="A2878" s="171">
        <f>IFERROR(__xludf.DUMMYFUNCTION("""COMPUTED_VALUE"""),5060.0)</f>
        <v>5060</v>
      </c>
      <c r="B2878" s="172" t="str">
        <f>IFERROR(__xludf.DUMMYFUNCTION("""COMPUTED_VALUE"""),"確定")</f>
        <v>確定</v>
      </c>
      <c r="C2878" s="173">
        <f>IFERROR(__xludf.DUMMYFUNCTION("""COMPUTED_VALUE"""),45706.0)</f>
        <v>45706</v>
      </c>
      <c r="D2878" s="173">
        <f>IFERROR(__xludf.DUMMYFUNCTION("""COMPUTED_VALUE"""),45707.0)</f>
        <v>45707</v>
      </c>
      <c r="E2878" s="174">
        <f>IFERROR(__xludf.DUMMYFUNCTION("""COMPUTED_VALUE"""),314843.0)</f>
        <v>314843</v>
      </c>
      <c r="F2878" s="159" t="str">
        <f>IFERROR(__xludf.DUMMYFUNCTION("""COMPUTED_VALUE"""),"理系彼氏のIQが私の前だけ低すぎる")</f>
        <v>理系彼氏のIQが私の前だけ低すぎる</v>
      </c>
      <c r="G2878" s="172" t="str">
        <f>IFERROR(__xludf.DUMMYFUNCTION("""COMPUTED_VALUE"""),"1～3")</f>
        <v>1～3</v>
      </c>
      <c r="H2878" s="152" t="str">
        <f>IFERROR(__xludf.DUMMYFUNCTION("""COMPUTED_VALUE"""),"オオタミキ┴THE猥談")</f>
        <v>オオタミキ┴THE猥談</v>
      </c>
      <c r="I2878" s="172" t="str">
        <f>IFERROR(__xludf.DUMMYFUNCTION("""COMPUTED_VALUE"""),"TL")</f>
        <v>TL</v>
      </c>
      <c r="J2878" s="176"/>
      <c r="K2878" s="172" t="str">
        <f>IFERROR(__xludf.DUMMYFUNCTION("""COMPUTED_VALUE"""),"THE猥談")</f>
        <v>THE猥談</v>
      </c>
      <c r="L2878" s="172" t="str">
        <f>IFERROR(__xludf.DUMMYFUNCTION("""COMPUTED_VALUE"""),"クロスフォリオ出版")</f>
        <v>クロスフォリオ出版</v>
      </c>
      <c r="M2878" s="59">
        <f>IFERROR(__xludf.DUMMYFUNCTION("""COMPUTED_VALUE"""),45716.0)</f>
        <v>45716</v>
      </c>
      <c r="N2878" s="59">
        <f>IFERROR(__xludf.DUMMYFUNCTION("""COMPUTED_VALUE"""),45806.0)</f>
        <v>45806</v>
      </c>
      <c r="O2878" s="172"/>
      <c r="P2878" s="186" t="str">
        <f>IFERROR(__xludf.DUMMYFUNCTION("""COMPUTED_VALUE"""),"可")</f>
        <v>可</v>
      </c>
      <c r="Q2878" s="166"/>
      <c r="R2878" s="172"/>
      <c r="S2878" s="172" t="str">
        <f>IFERROR(__xludf.DUMMYFUNCTION("""COMPUTED_VALUE"""),"20250218_BookLive_理系彼氏のIQが私の前だけ低すぎる")</f>
        <v>20250218_BookLive_理系彼氏のIQが私の前だけ低すぎる</v>
      </c>
      <c r="T2878" s="152" t="str">
        <f>IFERROR(__xludf.DUMMYFUNCTION("""COMPUTED_VALUE"""),"格納済み")</f>
        <v>格納済み</v>
      </c>
      <c r="U2878" s="15" t="str">
        <f>IFERROR(__xludf.DUMMYFUNCTION("""COMPUTED_VALUE"""),"(c)オオタミキ/THE猥談/クロスフォリオ出版")</f>
        <v>(c)オオタミキ/THE猥談/クロスフォリオ出版</v>
      </c>
      <c r="V2878" s="8" t="str">
        <f>IFERROR(__xludf.DUMMYFUNCTION("""COMPUTED_VALUE"""),"理系の院に通う彼氏、通(とおる)くんはいつも研究で忙しい。
普段は賢くて好奇心旺盛な彼も、徹夜続きで疲労が溜まっていくと…
IQ0の甘えん坊で、無類のおっぱい好きになる。
それがなんとも可愛らしい...
いつもの大真面目な顔で、大好きな私のおっぱいを
吸ったり、齧ったり、頬擦りしたり。
私も通くんを元気にしたくて、今日はノーブラで迎えてみたけどーー…
寸前で、研究室からの呼び出しがかかってしまった。
中途半端に焦らされた身体で、彼が帰ってくるまでの数日を耐えていたけれど
"&amp;"それは通くんも同じだったみたいで…
「今日は俺のおっぱい…　舐めてほしい」
やっと帰ったきた通くんの、はじめてのおねだり。
え?　そっち?
おっぱい好きは好きでも、自分の乳首にも興味が出てきたとは…。
それなら、私も賢い理系彼氏がぐちゃぐちゃになっちゃうまで
彼のはじめての乳首開発に協力しなくちゃーー
※本作はオオタミキ、THE猥談の個人誌作品の電子書籍版となります。【23ページ】")</f>
        <v>理系の院に通う彼氏、通(とおる)くんはいつも研究で忙しい。
普段は賢くて好奇心旺盛な彼も、徹夜続きで疲労が溜まっていくと…
IQ0の甘えん坊で、無類のおっぱい好きになる。
それがなんとも可愛らしい...
いつもの大真面目な顔で、大好きな私のおっぱいを
吸ったり、齧ったり、頬擦りしたり。
私も通くんを元気にしたくて、今日はノーブラで迎えてみたけどーー…
寸前で、研究室からの呼び出しがかかってしまった。
中途半端に焦らされた身体で、彼が帰ってくるまでの数日を耐えていたけれど
それは通くんも同じだったみたいで…
「今日は俺のおっぱい…　舐めてほしい」
やっと帰ったきた通くんの、はじめてのおねだり。
え?　そっち?
おっぱい好きは好きでも、自分の乳首にも興味が出てきたとは…。
それなら、私も賢い理系彼氏がぐちゃぐちゃになっちゃうまで
彼のはじめての乳首開発に協力しなくちゃーー
※本作はオオタミキ、THE猥談の個人誌作品の電子書籍版となります。【23ページ】</v>
      </c>
      <c r="W2878" s="14"/>
      <c r="X2878" s="14" t="str">
        <f>IFERROR(__xludf.DUMMYFUNCTION("""COMPUTED_VALUE"""),"有")</f>
        <v>有</v>
      </c>
      <c r="Y2878" s="8" t="str">
        <f>IFERROR(__xludf.DUMMYFUNCTION("""COMPUTED_VALUE"""),"P12まで")</f>
        <v>P12まで</v>
      </c>
      <c r="Z2878" s="7"/>
      <c r="AA2878" s="7"/>
      <c r="AB2878" s="7"/>
    </row>
    <row r="2879" ht="15.75" customHeight="1">
      <c r="A2879" s="171">
        <f>IFERROR(__xludf.DUMMYFUNCTION("""COMPUTED_VALUE"""),5061.0)</f>
        <v>5061</v>
      </c>
      <c r="B2879" s="172" t="str">
        <f>IFERROR(__xludf.DUMMYFUNCTION("""COMPUTED_VALUE"""),"確定")</f>
        <v>確定</v>
      </c>
      <c r="C2879" s="173">
        <f>IFERROR(__xludf.DUMMYFUNCTION("""COMPUTED_VALUE"""),45706.0)</f>
        <v>45706</v>
      </c>
      <c r="D2879" s="173">
        <f>IFERROR(__xludf.DUMMYFUNCTION("""COMPUTED_VALUE"""),45707.0)</f>
        <v>45707</v>
      </c>
      <c r="E2879" s="174">
        <f>IFERROR(__xludf.DUMMYFUNCTION("""COMPUTED_VALUE"""),314847.0)</f>
        <v>314847</v>
      </c>
      <c r="F2879" s="159" t="str">
        <f>IFERROR(__xludf.DUMMYFUNCTION("""COMPUTED_VALUE"""),"理系彼氏のIQが私の前だけ低すぎる【R版】")</f>
        <v>理系彼氏のIQが私の前だけ低すぎる【R版】</v>
      </c>
      <c r="G2879" s="172" t="str">
        <f>IFERROR(__xludf.DUMMYFUNCTION("""COMPUTED_VALUE"""),"1～3")</f>
        <v>1～3</v>
      </c>
      <c r="H2879" s="152" t="str">
        <f>IFERROR(__xludf.DUMMYFUNCTION("""COMPUTED_VALUE"""),"オオタミキ┴THE猥談")</f>
        <v>オオタミキ┴THE猥談</v>
      </c>
      <c r="I2879" s="172" t="str">
        <f>IFERROR(__xludf.DUMMYFUNCTION("""COMPUTED_VALUE"""),"アダルトマンガ")</f>
        <v>アダルトマンガ</v>
      </c>
      <c r="J2879" s="176"/>
      <c r="K2879" s="172" t="str">
        <f>IFERROR(__xludf.DUMMYFUNCTION("""COMPUTED_VALUE"""),"THE猥談")</f>
        <v>THE猥談</v>
      </c>
      <c r="L2879" s="172" t="str">
        <f>IFERROR(__xludf.DUMMYFUNCTION("""COMPUTED_VALUE"""),"クロスフォリオ出版")</f>
        <v>クロスフォリオ出版</v>
      </c>
      <c r="M2879" s="59">
        <f>IFERROR(__xludf.DUMMYFUNCTION("""COMPUTED_VALUE"""),45716.0)</f>
        <v>45716</v>
      </c>
      <c r="N2879" s="59">
        <f>IFERROR(__xludf.DUMMYFUNCTION("""COMPUTED_VALUE"""),45806.0)</f>
        <v>45806</v>
      </c>
      <c r="O2879" s="172"/>
      <c r="P2879" s="186" t="str">
        <f>IFERROR(__xludf.DUMMYFUNCTION("""COMPUTED_VALUE"""),"可")</f>
        <v>可</v>
      </c>
      <c r="Q2879" s="166"/>
      <c r="R2879" s="172"/>
      <c r="S2879" s="172" t="str">
        <f>IFERROR(__xludf.DUMMYFUNCTION("""COMPUTED_VALUE"""),"20250218_BookLive_理系彼氏のIQが私の前だけ低すぎる【R版】")</f>
        <v>20250218_BookLive_理系彼氏のIQが私の前だけ低すぎる【R版】</v>
      </c>
      <c r="T2879" s="152" t="str">
        <f>IFERROR(__xludf.DUMMYFUNCTION("""COMPUTED_VALUE"""),"格納済み")</f>
        <v>格納済み</v>
      </c>
      <c r="U2879" s="15" t="str">
        <f>IFERROR(__xludf.DUMMYFUNCTION("""COMPUTED_VALUE"""),"(c)オオタミキ/THE猥談/クロスフォリオ出版")</f>
        <v>(c)オオタミキ/THE猥談/クロスフォリオ出版</v>
      </c>
      <c r="V2879" s="8" t="str">
        <f>IFERROR(__xludf.DUMMYFUNCTION("""COMPUTED_VALUE"""),"理系の院に通う彼氏、通(とおる)くんはいつも研究で忙しい。
普段は賢くて好奇心旺盛な彼も、徹夜続きで疲労が溜まっていくと…
IQ0の甘えん坊で、無類のおっぱい好きになる。
それがなんとも可愛らしい...
いつもの大真面目な顔で、大好きな私のおっぱいを
吸ったり、齧ったり、頬擦りしたり。
私も通くんを元気にしたくて、今日はノーブラで迎えてみたけどーー…
寸前で、研究室からの呼び出しがかかってしまった。
中途半端に焦らされた身体で、彼が帰ってくるまでの数日を耐えていたけれど
"&amp;"それは通くんも同じだったみたいで…
「今日は俺のおっぱい…　舐めてほしい」
やっと帰ったきた通くんの、はじめてのおねだり。
え?　そっち?
おっぱい好きは好きでも、自分の乳首にも興味が出てきたとは…。
それなら、私も賢い理系彼氏がぐちゃぐちゃになっちゃうまで
彼のはじめての乳首開発に協力しなくちゃーー
※本作はオオタミキ、THE猥談の個人誌作品の電子書籍版となります。【23ページ】
※本作は『理系彼氏のIQが私の前だけ低すぎる』の修正をやや弱めたものです。内容に差異"&amp;"はありません。")</f>
        <v>理系の院に通う彼氏、通(とおる)くんはいつも研究で忙しい。
普段は賢くて好奇心旺盛な彼も、徹夜続きで疲労が溜まっていくと…
IQ0の甘えん坊で、無類のおっぱい好きになる。
それがなんとも可愛らしい...
いつもの大真面目な顔で、大好きな私のおっぱいを
吸ったり、齧ったり、頬擦りしたり。
私も通くんを元気にしたくて、今日はノーブラで迎えてみたけどーー…
寸前で、研究室からの呼び出しがかかってしまった。
中途半端に焦らされた身体で、彼が帰ってくるまでの数日を耐えていたけれど
それは通くんも同じだったみたいで…
「今日は俺のおっぱい…　舐めてほしい」
やっと帰ったきた通くんの、はじめてのおねだり。
え?　そっち?
おっぱい好きは好きでも、自分の乳首にも興味が出てきたとは…。
それなら、私も賢い理系彼氏がぐちゃぐちゃになっちゃうまで
彼のはじめての乳首開発に協力しなくちゃーー
※本作はオオタミキ、THE猥談の個人誌作品の電子書籍版となります。【23ページ】
※本作は『理系彼氏のIQが私の前だけ低すぎる』の修正をやや弱めたものです。内容に差異はありません。</v>
      </c>
      <c r="W2879" s="14"/>
      <c r="X2879" s="14" t="str">
        <f>IFERROR(__xludf.DUMMYFUNCTION("""COMPUTED_VALUE"""),"有")</f>
        <v>有</v>
      </c>
      <c r="Y2879" s="8" t="str">
        <f>IFERROR(__xludf.DUMMYFUNCTION("""COMPUTED_VALUE"""),"P12まで")</f>
        <v>P12まで</v>
      </c>
      <c r="Z2879" s="7"/>
      <c r="AA2879" s="7"/>
      <c r="AB2879" s="7"/>
    </row>
    <row r="2880" ht="15.75" customHeight="1">
      <c r="A2880" s="171">
        <f>IFERROR(__xludf.DUMMYFUNCTION("""COMPUTED_VALUE"""),5062.0)</f>
        <v>5062</v>
      </c>
      <c r="B2880" s="172" t="str">
        <f>IFERROR(__xludf.DUMMYFUNCTION("""COMPUTED_VALUE"""),"確定")</f>
        <v>確定</v>
      </c>
      <c r="C2880" s="173">
        <f>IFERROR(__xludf.DUMMYFUNCTION("""COMPUTED_VALUE"""),45706.0)</f>
        <v>45706</v>
      </c>
      <c r="D2880" s="173">
        <f>IFERROR(__xludf.DUMMYFUNCTION("""COMPUTED_VALUE"""),45707.0)</f>
        <v>45707</v>
      </c>
      <c r="E2880" s="174">
        <f>IFERROR(__xludf.DUMMYFUNCTION("""COMPUTED_VALUE"""),317911.0)</f>
        <v>317911</v>
      </c>
      <c r="F2880" s="159" t="str">
        <f>IFERROR(__xludf.DUMMYFUNCTION("""COMPUTED_VALUE"""),"どんなプレイがお好みですか？【電子単行本版/限定特典付き】")</f>
        <v>どんなプレイがお好みですか？【電子単行本版/限定特典付き】</v>
      </c>
      <c r="G2880" s="171">
        <f>IFERROR(__xludf.DUMMYFUNCTION("""COMPUTED_VALUE"""),1.0)</f>
        <v>1</v>
      </c>
      <c r="H2880" s="152" t="str">
        <f>IFERROR(__xludf.DUMMYFUNCTION("""COMPUTED_VALUE"""),"みろた")</f>
        <v>みろた</v>
      </c>
      <c r="I2880" s="172" t="str">
        <f>IFERROR(__xludf.DUMMYFUNCTION("""COMPUTED_VALUE"""),"BLマンガ")</f>
        <v>BLマンガ</v>
      </c>
      <c r="J2880" s="176"/>
      <c r="K2880" s="176"/>
      <c r="L2880" s="172" t="str">
        <f>IFERROR(__xludf.DUMMYFUNCTION("""COMPUTED_VALUE"""),"セ・キララ文庫")</f>
        <v>セ・キララ文庫</v>
      </c>
      <c r="M2880" s="28">
        <f>IFERROR(__xludf.DUMMYFUNCTION("""COMPUTED_VALUE"""),45737.0)</f>
        <v>45737</v>
      </c>
      <c r="N2880" s="170">
        <f>IFERROR(__xludf.DUMMYFUNCTION("""COMPUTED_VALUE"""),45764.0)</f>
        <v>45764</v>
      </c>
      <c r="O2880" s="172"/>
      <c r="P2880" s="177" t="str">
        <f>IFERROR(__xludf.DUMMYFUNCTION("""COMPUTED_VALUE"""),"可")</f>
        <v>可</v>
      </c>
      <c r="Q2880" s="179"/>
      <c r="R2880" s="172"/>
      <c r="S2880" s="172" t="str">
        <f>IFERROR(__xludf.DUMMYFUNCTION("""COMPUTED_VALUE"""),"20250218_ライドオン_どんなプレイがお好みですか")</f>
        <v>20250218_ライドオン_どんなプレイがお好みですか</v>
      </c>
      <c r="T2880" s="152" t="str">
        <f>IFERROR(__xludf.DUMMYFUNCTION("""COMPUTED_VALUE"""),"格納済み")</f>
        <v>格納済み</v>
      </c>
      <c r="U2880" s="15" t="str">
        <f>IFERROR(__xludf.DUMMYFUNCTION("""COMPUTED_VALUE"""),"Ⓒみろた/セ・キララ文庫")</f>
        <v>Ⓒみろた/セ・キララ文庫</v>
      </c>
      <c r="V2880" s="8" t="str">
        <f>IFERROR(__xludf.DUMMYFUNCTION("""COMPUTED_VALUE"""),"─Subなのに自分の好きなPlayもわからないのか
Subであることを隠し生活しているテオ。
孤独だったテオを救い、Subとわかっても執事として雇ってくれた若旦那の鳳条湊人のことを運命のDomだと思い慕っていた。
しかし湊人とのプレイはテオのことを考えず乱暴でサブドロップ寸前まで追い詰められ体調は悪くなる一方。
そんな時本家からやってきた執事、月城慶にプレイしている姿を見られてしまう。
湊人との関係と自分のダイナミクスを秘密にする代わりに慶をプレイすることになったのだが、「お互いが気持ちよくなる"&amp;"」優しいプレイに感じたことのない快感を覚え、本能的に慶を求めるようになり…。
甘くて優しいシンデレラDom/Subユニバース！
【※この作品は『どんなプレイがお好みですか？～ご主人様に内緒のサブスペース～』1～6巻を加筆修正のうえ収録し、新たに描きおろし特典を加えた電子単行本版となります。重複購入にご注意ください。】")</f>
        <v>─Subなのに自分の好きなPlayもわからないのか
Subであることを隠し生活しているテオ。
孤独だったテオを救い、Subとわかっても執事として雇ってくれた若旦那の鳳条湊人のことを運命のDomだと思い慕っていた。
しかし湊人とのプレイはテオのことを考えず乱暴でサブドロップ寸前まで追い詰められ体調は悪くなる一方。
そんな時本家からやってきた執事、月城慶にプレイしている姿を見られてしまう。
湊人との関係と自分のダイナミクスを秘密にする代わりに慶をプレイすることになったのだが、「お互いが気持ちよくなる」優しいプレイに感じたことのない快感を覚え、本能的に慶を求めるようになり…。
甘くて優しいシンデレラDom/Subユニバース！
【※この作品は『どんなプレイがお好みですか？～ご主人様に内緒のサブスペース～』1～6巻を加筆修正のうえ収録し、新たに描きおろし特典を加えた電子単行本版となります。重複購入にご注意ください。】</v>
      </c>
      <c r="W2880" s="14"/>
      <c r="X2880" s="14" t="str">
        <f>IFERROR(__xludf.DUMMYFUNCTION("""COMPUTED_VALUE"""),"有")</f>
        <v>有</v>
      </c>
      <c r="Y2880" s="8" t="str">
        <f>IFERROR(__xludf.DUMMYFUNCTION("""COMPUTED_VALUE"""),"2025/4/17まで1巻立ち読み増量（P40まで）")</f>
        <v>2025/4/17まで1巻立ち読み増量（P40まで）</v>
      </c>
      <c r="Z2880" s="7"/>
      <c r="AA2880" s="7"/>
      <c r="AB2880" s="7"/>
    </row>
    <row r="2881" ht="15.75" customHeight="1">
      <c r="A2881" s="171">
        <f>IFERROR(__xludf.DUMMYFUNCTION("""COMPUTED_VALUE"""),5063.0)</f>
        <v>5063</v>
      </c>
      <c r="B2881" s="172" t="str">
        <f>IFERROR(__xludf.DUMMYFUNCTION("""COMPUTED_VALUE"""),"確定")</f>
        <v>確定</v>
      </c>
      <c r="C2881" s="173">
        <f>IFERROR(__xludf.DUMMYFUNCTION("""COMPUTED_VALUE"""),45706.0)</f>
        <v>45706</v>
      </c>
      <c r="D2881" s="173">
        <f>IFERROR(__xludf.DUMMYFUNCTION("""COMPUTED_VALUE"""),45707.0)</f>
        <v>45707</v>
      </c>
      <c r="E2881" s="174">
        <f>IFERROR(__xludf.DUMMYFUNCTION("""COMPUTED_VALUE"""),318204.0)</f>
        <v>318204</v>
      </c>
      <c r="F2881" s="159" t="str">
        <f>IFERROR(__xludf.DUMMYFUNCTION("""COMPUTED_VALUE"""),"万引きGメン片桐アゲハ～一般市民が犯罪者になる瞬間～【電子単行本版・おまけ漫画付き】")</f>
        <v>万引きGメン片桐アゲハ～一般市民が犯罪者になる瞬間～【電子単行本版・おまけ漫画付き】</v>
      </c>
      <c r="G2881" s="171">
        <f>IFERROR(__xludf.DUMMYFUNCTION("""COMPUTED_VALUE"""),1.0)</f>
        <v>1</v>
      </c>
      <c r="H2881" s="152" t="str">
        <f>IFERROR(__xludf.DUMMYFUNCTION("""COMPUTED_VALUE"""),"高村しづ/相良丈助")</f>
        <v>高村しづ/相良丈助</v>
      </c>
      <c r="I2881" s="184" t="str">
        <f>IFERROR(__xludf.DUMMYFUNCTION("""COMPUTED_VALUE"""),"青年")</f>
        <v>青年</v>
      </c>
      <c r="J2881" s="176"/>
      <c r="K2881" s="176"/>
      <c r="L2881" s="172" t="str">
        <f>IFERROR(__xludf.DUMMYFUNCTION("""COMPUTED_VALUE"""),"ライドオン")</f>
        <v>ライドオン</v>
      </c>
      <c r="M2881" s="28">
        <f>IFERROR(__xludf.DUMMYFUNCTION("""COMPUTED_VALUE"""),45737.0)</f>
        <v>45737</v>
      </c>
      <c r="N2881" s="170">
        <f>IFERROR(__xludf.DUMMYFUNCTION("""COMPUTED_VALUE"""),45764.0)</f>
        <v>45764</v>
      </c>
      <c r="O2881" s="172"/>
      <c r="P2881" s="177" t="str">
        <f>IFERROR(__xludf.DUMMYFUNCTION("""COMPUTED_VALUE"""),"可")</f>
        <v>可</v>
      </c>
      <c r="Q2881" s="179"/>
      <c r="R2881" s="172"/>
      <c r="S2881" s="172" t="str">
        <f>IFERROR(__xludf.DUMMYFUNCTION("""COMPUTED_VALUE"""),"20250218_ライドオン_万引きGメン片桐アゲハ～一般市民が犯罪者になる瞬間～【電子単行本版・おまけ漫画付き】")</f>
        <v>20250218_ライドオン_万引きGメン片桐アゲハ～一般市民が犯罪者になる瞬間～【電子単行本版・おまけ漫画付き】</v>
      </c>
      <c r="T2881" s="152" t="str">
        <f>IFERROR(__xludf.DUMMYFUNCTION("""COMPUTED_VALUE"""),"格納済み")</f>
        <v>格納済み</v>
      </c>
      <c r="U2881" s="15" t="str">
        <f>IFERROR(__xludf.DUMMYFUNCTION("""COMPUTED_VALUE"""),"Ⓒ高村しづ/相良丈助/ライドオン")</f>
        <v>Ⓒ高村しづ/相良丈助/ライドオン</v>
      </c>
      <c r="V2881" s="8" t="str">
        <f>IFERROR(__xludf.DUMMYFUNCTION("""COMPUTED_VALUE"""),"現役の万引きGメンが体験した、実際に起きた事件集！
万引きの瞬間、わずかにほくそ笑んだ主婦…！
拳銃所持の青年…！
小さな過ちから万引きのスリルにハマった老婆…！
万引きしながら日本を旅行するカップル…！
彼らは何故、犯罪行為に身を堕とすのか？
そして、他人の人生を滅茶苦茶にする『刑法235条窃盗罪にて罰せられる犯罪行為』
これは、「万引き」という軽い言葉で終わらせてしまっても良いのか…
捕まえた万引き犯に理不尽に恨まれる職業、万引きGメン…！
その裏側を描く！")</f>
        <v>現役の万引きGメンが体験した、実際に起きた事件集！
万引きの瞬間、わずかにほくそ笑んだ主婦…！
拳銃所持の青年…！
小さな過ちから万引きのスリルにハマった老婆…！
万引きしながら日本を旅行するカップル…！
彼らは何故、犯罪行為に身を堕とすのか？
そして、他人の人生を滅茶苦茶にする『刑法235条窃盗罪にて罰せられる犯罪行為』
これは、「万引き」という軽い言葉で終わらせてしまっても良いのか…
捕まえた万引き犯に理不尽に恨まれる職業、万引きGメン…！
その裏側を描く！</v>
      </c>
      <c r="W2881" s="14"/>
      <c r="X2881" s="14" t="str">
        <f>IFERROR(__xludf.DUMMYFUNCTION("""COMPUTED_VALUE"""),"有")</f>
        <v>有</v>
      </c>
      <c r="Y2881" s="8" t="str">
        <f>IFERROR(__xludf.DUMMYFUNCTION("""COMPUTED_VALUE"""),"P21まで")</f>
        <v>P21まで</v>
      </c>
      <c r="Z2881" s="7"/>
      <c r="AA2881" s="7"/>
      <c r="AB2881" s="7"/>
    </row>
    <row r="2882" ht="15.75" customHeight="1">
      <c r="A2882" s="171">
        <f>IFERROR(__xludf.DUMMYFUNCTION("""COMPUTED_VALUE"""),5066.0)</f>
        <v>5066</v>
      </c>
      <c r="B2882" s="172" t="str">
        <f>IFERROR(__xludf.DUMMYFUNCTION("""COMPUTED_VALUE"""),"確定")</f>
        <v>確定</v>
      </c>
      <c r="C2882" s="173">
        <f>IFERROR(__xludf.DUMMYFUNCTION("""COMPUTED_VALUE"""),45707.0)</f>
        <v>45707</v>
      </c>
      <c r="D2882" s="173">
        <f>IFERROR(__xludf.DUMMYFUNCTION("""COMPUTED_VALUE"""),45707.0)</f>
        <v>45707</v>
      </c>
      <c r="E2882" s="174">
        <f>IFERROR(__xludf.DUMMYFUNCTION("""COMPUTED_VALUE"""),315994.0)</f>
        <v>315994</v>
      </c>
      <c r="F2882" s="159" t="str">
        <f>IFERROR(__xludf.DUMMYFUNCTION("""COMPUTED_VALUE"""),"完璧幼なじみの理性がプッツンしまして～20年分の愛を注ぐ～")</f>
        <v>完璧幼なじみの理性がプッツンしまして～20年分の愛を注ぐ～</v>
      </c>
      <c r="G2882" s="172" t="str">
        <f>IFERROR(__xludf.DUMMYFUNCTION("""COMPUTED_VALUE"""),"1~3")</f>
        <v>1~3</v>
      </c>
      <c r="H2882" s="152" t="str">
        <f>IFERROR(__xludf.DUMMYFUNCTION("""COMPUTED_VALUE"""),"叶依恭/さくら蒼")</f>
        <v>叶依恭/さくら蒼</v>
      </c>
      <c r="I2882" s="172" t="str">
        <f>IFERROR(__xludf.DUMMYFUNCTION("""COMPUTED_VALUE"""),"TL")</f>
        <v>TL</v>
      </c>
      <c r="J2882" s="176"/>
      <c r="K2882" s="172" t="str">
        <f>IFERROR(__xludf.DUMMYFUNCTION("""COMPUTED_VALUE"""),"ラブきゅんコミック")</f>
        <v>ラブきゅんコミック</v>
      </c>
      <c r="L2882" s="172" t="str">
        <f>IFERROR(__xludf.DUMMYFUNCTION("""COMPUTED_VALUE"""),"モバイルメディアリサーチ")</f>
        <v>モバイルメディアリサーチ</v>
      </c>
      <c r="M2882" s="59">
        <f>IFERROR(__xludf.DUMMYFUNCTION("""COMPUTED_VALUE"""),45724.0)</f>
        <v>45724</v>
      </c>
      <c r="N2882" s="59">
        <f>IFERROR(__xludf.DUMMYFUNCTION("""COMPUTED_VALUE"""),45750.0)</f>
        <v>45750</v>
      </c>
      <c r="O2882" s="172"/>
      <c r="P2882" s="177" t="str">
        <f>IFERROR(__xludf.DUMMYFUNCTION("""COMPUTED_VALUE"""),"可")</f>
        <v>可</v>
      </c>
      <c r="Q2882" s="179"/>
      <c r="R2882" s="152"/>
      <c r="S2882" s="172" t="str">
        <f>IFERROR(__xludf.DUMMYFUNCTION("""COMPUTED_VALUE"""),"20250219_ファンギルド_完璧幼なじみの理性がプッツンしまして～20年分の愛を注ぐ～")</f>
        <v>20250219_ファンギルド_完璧幼なじみの理性がプッツンしまして～20年分の愛を注ぐ～</v>
      </c>
      <c r="T2882" s="152" t="str">
        <f>IFERROR(__xludf.DUMMYFUNCTION("""COMPUTED_VALUE"""),"格納済み")</f>
        <v>格納済み</v>
      </c>
      <c r="U2882" s="15" t="str">
        <f>IFERROR(__xludf.DUMMYFUNCTION("""COMPUTED_VALUE"""),"Ⓒ叶依恭/さくら蒼/モバイルメディアリサーチ")</f>
        <v>Ⓒ叶依恭/さくら蒼/モバイルメディアリサーチ</v>
      </c>
      <c r="V2882" s="8" t="str">
        <f>IFERROR(__xludf.DUMMYFUNCTION("""COMPUTED_VALUE"""),"「もっとぐちゃぐちゃにしたいって言ったら怒る？」ビクビク反応する私を彼の熱い舌が愛でるように繰り返し這っていく。恥ずかしい顔を何度も見られて…イキ堕とされる…！恋愛よりも仕事に夢中な日下部すずは、会社から希望退職を促され、一気に仕事も住居も失い路頭に迷ってしまう。そんな時、幼なじみの上田兄妹が同居を提案、兄・玲の家で身辺が落ち着くまで同居することに。同居初日、無防備なすずの行動で玲が勃起…!?混乱したすずは「同居のお礼として何か…」と玲のアソコを握るのだが…。「すず…もういいよね？」何かがプッツンと切れた"&amp;"玲が豹変!? 20年分の濃厚な愛情がすずに注がれ、絡みついていき…。")</f>
        <v>「もっとぐちゃぐちゃにしたいって言ったら怒る？」ビクビク反応する私を彼の熱い舌が愛でるように繰り返し這っていく。恥ずかしい顔を何度も見られて…イキ堕とされる…！恋愛よりも仕事に夢中な日下部すずは、会社から希望退職を促され、一気に仕事も住居も失い路頭に迷ってしまう。そんな時、幼なじみの上田兄妹が同居を提案、兄・玲の家で身辺が落ち着くまで同居することに。同居初日、無防備なすずの行動で玲が勃起…!?混乱したすずは「同居のお礼として何か…」と玲のアソコを握るのだが…。「すず…もういいよね？」何かがプッツンと切れた玲が豹変!? 20年分の濃厚な愛情がすずに注がれ、絡みついていき…。</v>
      </c>
      <c r="W2882" s="14"/>
      <c r="X2882" s="14" t="str">
        <f>IFERROR(__xludf.DUMMYFUNCTION("""COMPUTED_VALUE"""),"有")</f>
        <v>有</v>
      </c>
      <c r="Y2882" s="8" t="str">
        <f>IFERROR(__xludf.DUMMYFUNCTION("""COMPUTED_VALUE"""),"2025/4/3まで1巻無料")</f>
        <v>2025/4/3まで1巻無料</v>
      </c>
      <c r="Z2882" s="7"/>
      <c r="AA2882" s="7"/>
      <c r="AB2882" s="7"/>
    </row>
    <row r="2883" ht="15.75" customHeight="1">
      <c r="A2883" s="26">
        <f>IFERROR(__xludf.DUMMYFUNCTION("""COMPUTED_VALUE"""),4841.0)</f>
        <v>4841</v>
      </c>
      <c r="B2883" s="172" t="str">
        <f>IFERROR(__xludf.DUMMYFUNCTION("""COMPUTED_VALUE"""),"確定")</f>
        <v>確定</v>
      </c>
      <c r="C2883" s="154">
        <f>IFERROR(__xludf.DUMMYFUNCTION("""COMPUTED_VALUE"""),45677.0)</f>
        <v>45677</v>
      </c>
      <c r="D2883" s="154">
        <f>IFERROR(__xludf.DUMMYFUNCTION("""COMPUTED_VALUE"""),45707.0)</f>
        <v>45707</v>
      </c>
      <c r="E2883" s="26">
        <f>IFERROR(__xludf.DUMMYFUNCTION("""COMPUTED_VALUE"""),318393.0)</f>
        <v>318393</v>
      </c>
      <c r="F2883" s="22" t="str">
        <f>IFERROR(__xludf.DUMMYFUNCTION("""COMPUTED_VALUE"""),"中古と呼ばれた私～ハジメテ厨の夫に制裁を～")</f>
        <v>中古と呼ばれた私～ハジメテ厨の夫に制裁を～</v>
      </c>
      <c r="G2883" s="172" t="str">
        <f>IFERROR(__xludf.DUMMYFUNCTION("""COMPUTED_VALUE"""),"1~3")</f>
        <v>1~3</v>
      </c>
      <c r="H2883" s="22" t="str">
        <f>IFERROR(__xludf.DUMMYFUNCTION("""COMPUTED_VALUE"""),"左藤いすみ,ぱんぷきん")</f>
        <v>左藤いすみ,ぱんぷきん</v>
      </c>
      <c r="I2883" s="172" t="str">
        <f>IFERROR(__xludf.DUMMYFUNCTION("""COMPUTED_VALUE"""),"女性")</f>
        <v>女性</v>
      </c>
      <c r="J2883" s="22"/>
      <c r="K2883" s="22"/>
      <c r="L2883" s="22" t="str">
        <f>IFERROR(__xludf.DUMMYFUNCTION("""COMPUTED_VALUE"""),"DPNブックス")</f>
        <v>DPNブックス</v>
      </c>
      <c r="M2883" s="59">
        <f>IFERROR(__xludf.DUMMYFUNCTION("""COMPUTED_VALUE"""),45740.0)</f>
        <v>45740</v>
      </c>
      <c r="N2883" s="59">
        <f>IFERROR(__xludf.DUMMYFUNCTION("""COMPUTED_VALUE"""),45800.0)</f>
        <v>45800</v>
      </c>
      <c r="O2883" s="172"/>
      <c r="P2883" s="34" t="str">
        <f>IFERROR(__xludf.DUMMYFUNCTION("""COMPUTED_VALUE"""),"可")</f>
        <v>可</v>
      </c>
      <c r="Q2883" s="172"/>
      <c r="R2883" s="22" t="str">
        <f>IFERROR(__xludf.DUMMYFUNCTION("""COMPUTED_VALUE"""),"コミットOK")</f>
        <v>コミットOK</v>
      </c>
      <c r="S2883" s="172" t="str">
        <f>IFERROR(__xludf.DUMMYFUNCTION("""COMPUTED_VALUE"""),"20250219_DPNブックス_中古と呼ばれた私")</f>
        <v>20250219_DPNブックス_中古と呼ばれた私</v>
      </c>
      <c r="T2883" s="22" t="str">
        <f>IFERROR(__xludf.DUMMYFUNCTION("""COMPUTED_VALUE"""),"格納済み")</f>
        <v>格納済み</v>
      </c>
      <c r="U2883" s="15" t="str">
        <f>IFERROR(__xludf.DUMMYFUNCTION("""COMPUTED_VALUE"""),"Ⓒぱんぷきん・左藤いすみ／DPNブックス")</f>
        <v>Ⓒぱんぷきん・左藤いすみ／DPNブックス</v>
      </c>
      <c r="V2883" s="8" t="str">
        <f>IFERROR(__xludf.DUMMYFUNCTION("""COMPUTED_VALUE"""),"家庭内の家事に料理に、いつも完璧を求める結婚7年目の夫の光彦とはセックスレス。美咲は、夫のために完璧な妻であろうとすることに疲れてきていた。そんなある日、光彦のスマホを覗いてしまった美咲は、未経験女性の「卒業サポート」をしているという光彦の裏垢を発見してしまう…！ モラハラ夫とモラハラ義母を相手に、サレ妻の美咲が遂に決意する。「私もう、我慢しません。復讐してやる。あなた達を許さない！」")</f>
        <v>家庭内の家事に料理に、いつも完璧を求める結婚7年目の夫の光彦とはセックスレス。美咲は、夫のために完璧な妻であろうとすることに疲れてきていた。そんなある日、光彦のスマホを覗いてしまった美咲は、未経験女性の「卒業サポート」をしているという光彦の裏垢を発見してしまう…！ モラハラ夫とモラハラ義母を相手に、サレ妻の美咲が遂に決意する。「私もう、我慢しません。復讐してやる。あなた達を許さない！」</v>
      </c>
      <c r="W2883" s="14"/>
      <c r="X2883" s="14" t="str">
        <f>IFERROR(__xludf.DUMMYFUNCTION("""COMPUTED_VALUE"""),"有")</f>
        <v>有</v>
      </c>
      <c r="Y2883" s="8" t="str">
        <f>IFERROR(__xludf.DUMMYFUNCTION("""COMPUTED_VALUE"""),"2025/5/23まで1巻無料")</f>
        <v>2025/5/23まで1巻無料</v>
      </c>
      <c r="Z2883" s="7"/>
      <c r="AA2883" s="7"/>
      <c r="AB2883" s="7"/>
    </row>
    <row r="2884" ht="15.75" customHeight="1">
      <c r="A2884" s="26">
        <f>IFERROR(__xludf.DUMMYFUNCTION("""COMPUTED_VALUE"""),5070.0)</f>
        <v>5070</v>
      </c>
      <c r="B2884" s="172" t="str">
        <f>IFERROR(__xludf.DUMMYFUNCTION("""COMPUTED_VALUE"""),"確定")</f>
        <v>確定</v>
      </c>
      <c r="C2884" s="187">
        <f>IFERROR(__xludf.DUMMYFUNCTION("""COMPUTED_VALUE"""),45707.0)</f>
        <v>45707</v>
      </c>
      <c r="D2884" s="187">
        <f>IFERROR(__xludf.DUMMYFUNCTION("""COMPUTED_VALUE"""),45707.0)</f>
        <v>45707</v>
      </c>
      <c r="E2884" s="100">
        <f>IFERROR(__xludf.DUMMYFUNCTION("""COMPUTED_VALUE"""),314342.0)</f>
        <v>314342</v>
      </c>
      <c r="F2884" s="61" t="str">
        <f>IFERROR(__xludf.DUMMYFUNCTION("""COMPUTED_VALUE"""),"幽閉令嬢の精霊婚～大樹の精霊に溺愛されています～")</f>
        <v>幽閉令嬢の精霊婚～大樹の精霊に溺愛されています～</v>
      </c>
      <c r="G2884" s="172" t="str">
        <f>IFERROR(__xludf.DUMMYFUNCTION("""COMPUTED_VALUE"""),"1～5")</f>
        <v>1～5</v>
      </c>
      <c r="H2884" s="22" t="str">
        <f>IFERROR(__xludf.DUMMYFUNCTION("""COMPUTED_VALUE"""),"壱木ハル")</f>
        <v>壱木ハル</v>
      </c>
      <c r="I2884" s="172" t="str">
        <f>IFERROR(__xludf.DUMMYFUNCTION("""COMPUTED_VALUE"""),"少女マンガ")</f>
        <v>少女マンガ</v>
      </c>
      <c r="J2884" s="22"/>
      <c r="K2884" s="22"/>
      <c r="L2884" s="22" t="str">
        <f>IFERROR(__xludf.DUMMYFUNCTION("""COMPUTED_VALUE"""),"マッグガーデン")</f>
        <v>マッグガーデン</v>
      </c>
      <c r="M2884" s="59">
        <f>IFERROR(__xludf.DUMMYFUNCTION("""COMPUTED_VALUE"""),45709.0)</f>
        <v>45709</v>
      </c>
      <c r="N2884" s="59">
        <f>IFERROR(__xludf.DUMMYFUNCTION("""COMPUTED_VALUE"""),45797.0)</f>
        <v>45797</v>
      </c>
      <c r="O2884" s="172"/>
      <c r="P2884" s="34" t="str">
        <f>IFERROR(__xludf.DUMMYFUNCTION("""COMPUTED_VALUE"""),"可")</f>
        <v>可</v>
      </c>
      <c r="Q2884" s="30" t="str">
        <f>IFERROR(__xludf.DUMMYFUNCTION("""COMPUTED_VALUE"""),"協業作品です。2/21配信開始により恐れ入りますが早急にご対応いただけますと幸いです。")</f>
        <v>協業作品です。2/21配信開始により恐れ入りますが早急にご対応いただけますと幸いです。</v>
      </c>
      <c r="R2884" s="22"/>
      <c r="S2884" s="172" t="str">
        <f>IFERROR(__xludf.DUMMYFUNCTION("""COMPUTED_VALUE"""),"20250219_マッグガーデン_幽閉令嬢の精霊婚～大樹の精霊に溺愛されています～")</f>
        <v>20250219_マッグガーデン_幽閉令嬢の精霊婚～大樹の精霊に溺愛されています～</v>
      </c>
      <c r="T2884" s="22" t="str">
        <f>IFERROR(__xludf.DUMMYFUNCTION("""COMPUTED_VALUE"""),"格納済み")</f>
        <v>格納済み</v>
      </c>
      <c r="U2884" s="15" t="str">
        <f>IFERROR(__xludf.DUMMYFUNCTION("""COMPUTED_VALUE"""),"壱木ハル/MAG Garden")</f>
        <v>壱木ハル/MAG Garden</v>
      </c>
      <c r="V2884" s="8" t="str">
        <f>IFERROR(__xludf.DUMMYFUNCTION("""COMPUTED_VALUE"""),"神聖なる大樹フィカス・フィラ。その聖域に踏み込んだ罪で虐げられてきた伯爵家の養女・アルメリア。ある日、大樹を巡る陰謀に巻き込まれ命の危機に瀕してしまうが、彼女の前に現れたのは大樹の大精霊で…。")</f>
        <v>神聖なる大樹フィカス・フィラ。その聖域に踏み込んだ罪で虐げられてきた伯爵家の養女・アルメリア。ある日、大樹を巡る陰謀に巻き込まれ命の危機に瀕してしまうが、彼女の前に現れたのは大樹の大精霊で…。</v>
      </c>
      <c r="W2884" s="14"/>
      <c r="X2884" s="14" t="str">
        <f>IFERROR(__xludf.DUMMYFUNCTION("""COMPUTED_VALUE"""),"有")</f>
        <v>有</v>
      </c>
      <c r="Y2884" s="8" t="str">
        <f>IFERROR(__xludf.DUMMYFUNCTION("""COMPUTED_VALUE"""),"2025/3/6まで1巻無料")</f>
        <v>2025/3/6まで1巻無料</v>
      </c>
      <c r="Z2884" s="7"/>
      <c r="AA2884" s="7"/>
      <c r="AB2884" s="7"/>
    </row>
    <row r="2885" ht="15.75" customHeight="1">
      <c r="A2885" s="171">
        <f>IFERROR(__xludf.DUMMYFUNCTION("""COMPUTED_VALUE"""),4292.0)</f>
        <v>4292</v>
      </c>
      <c r="B2885" s="172" t="str">
        <f>IFERROR(__xludf.DUMMYFUNCTION("""COMPUTED_VALUE"""),"確定")</f>
        <v>確定</v>
      </c>
      <c r="C2885" s="173">
        <f>IFERROR(__xludf.DUMMYFUNCTION("""COMPUTED_VALUE"""),45575.0)</f>
        <v>45575</v>
      </c>
      <c r="D2885" s="173">
        <f>IFERROR(__xludf.DUMMYFUNCTION("""COMPUTED_VALUE"""),45713.0)</f>
        <v>45713</v>
      </c>
      <c r="E2885" s="174">
        <f>IFERROR(__xludf.DUMMYFUNCTION("""COMPUTED_VALUE"""),317421.0)</f>
        <v>317421</v>
      </c>
      <c r="F2885" s="159" t="str">
        <f>IFERROR(__xludf.DUMMYFUNCTION("""COMPUTED_VALUE"""),"極上御曹司の独占愛～愛され契約妻になりました～【分冊版】")</f>
        <v>極上御曹司の独占愛～愛され契約妻になりました～【分冊版】</v>
      </c>
      <c r="G2885" s="172" t="str">
        <f>IFERROR(__xludf.DUMMYFUNCTION("""COMPUTED_VALUE"""),"1～3")</f>
        <v>1～3</v>
      </c>
      <c r="H2885" s="161" t="str">
        <f>IFERROR(__xludf.DUMMYFUNCTION("""COMPUTED_VALUE"""),"水沢友希 若菜モモ")</f>
        <v>水沢友希 若菜モモ</v>
      </c>
      <c r="I2885" s="172" t="str">
        <f>IFERROR(__xludf.DUMMYFUNCTION("""COMPUTED_VALUE"""),"女性")</f>
        <v>女性</v>
      </c>
      <c r="J2885" s="176"/>
      <c r="K2885" s="172"/>
      <c r="L2885" s="172" t="str">
        <f>IFERROR(__xludf.DUMMYFUNCTION("""COMPUTED_VALUE"""),"ハーパーコリンズ・ジャパン")</f>
        <v>ハーパーコリンズ・ジャパン</v>
      </c>
      <c r="M2885" s="59">
        <f>IFERROR(__xludf.DUMMYFUNCTION("""COMPUTED_VALUE"""),45735.0)</f>
        <v>45735</v>
      </c>
      <c r="N2885" s="59">
        <f>IFERROR(__xludf.DUMMYFUNCTION("""COMPUTED_VALUE"""),45795.0)</f>
        <v>45795</v>
      </c>
      <c r="O2885" s="172"/>
      <c r="P2885" s="177" t="str">
        <f>IFERROR(__xludf.DUMMYFUNCTION("""COMPUTED_VALUE"""),"可")</f>
        <v>可</v>
      </c>
      <c r="Q2885" s="179"/>
      <c r="R2885" s="152" t="str">
        <f>IFERROR(__xludf.DUMMYFUNCTION("""COMPUTED_VALUE"""),"コミットOK")</f>
        <v>コミットOK</v>
      </c>
      <c r="S2885" s="172" t="str">
        <f>IFERROR(__xludf.DUMMYFUNCTION("""COMPUTED_VALUE"""),"20250319_ハーパーコリンズ・ジャパン_極上御曹司の独占愛～愛され契約妻になりました～【分冊版】")</f>
        <v>20250319_ハーパーコリンズ・ジャパン_極上御曹司の独占愛～愛され契約妻になりました～【分冊版】</v>
      </c>
      <c r="T2885" s="152" t="str">
        <f>IFERROR(__xludf.DUMMYFUNCTION("""COMPUTED_VALUE"""),"格納済み")</f>
        <v>格納済み</v>
      </c>
      <c r="U2885" s="15" t="str">
        <f>IFERROR(__xludf.DUMMYFUNCTION("""COMPUTED_VALUE"""),"Ⓒ水沢友希・若菜モモ／ハーパーコリンズ・ジャパン")</f>
        <v>Ⓒ水沢友希・若菜モモ／ハーパーコリンズ・ジャパン</v>
      </c>
      <c r="V2885" s="8" t="str">
        <f>IFERROR(__xludf.DUMMYFUNCTION("""COMPUTED_VALUE"""),"甘やかな彼の優婉な誘惑に恋心は溢れてしまいそう―――！
婚約が破談になった乙葉は、傷心旅行でハワイを訪れた。だがそこで、交通事故に巻き込まれるも颯爽と現れたイケメン御曹司、永嶺恭輔に助けられる。事故後も彼は、親身になってくれ、献身的な優しさに傷ついた心が癒されていく乙葉。日本に帰る直前、恭輔から2年間の契約結婚を申し込まれ――!?　偽装とは言え、恭輔に惹かれ始めている乙葉は、思わず承諾してしまう。叶わない恋だとわかっていても彼への気持ちを止められない――…。")</f>
        <v>甘やかな彼の優婉な誘惑に恋心は溢れてしまいそう―――！
婚約が破談になった乙葉は、傷心旅行でハワイを訪れた。だがそこで、交通事故に巻き込まれるも颯爽と現れたイケメン御曹司、永嶺恭輔に助けられる。事故後も彼は、親身になってくれ、献身的な優しさに傷ついた心が癒されていく乙葉。日本に帰る直前、恭輔から2年間の契約結婚を申し込まれ――!?　偽装とは言え、恭輔に惹かれ始めている乙葉は、思わず承諾してしまう。叶わない恋だとわかっていても彼への気持ちを止められない――…。</v>
      </c>
      <c r="W2885" s="14"/>
      <c r="X2885" s="14" t="str">
        <f>IFERROR(__xludf.DUMMYFUNCTION("""COMPUTED_VALUE"""),"有")</f>
        <v>有</v>
      </c>
      <c r="Y2885" s="8" t="str">
        <f>IFERROR(__xludf.DUMMYFUNCTION("""COMPUTED_VALUE"""),"2025/4/1まで1巻無料")</f>
        <v>2025/4/1まで1巻無料</v>
      </c>
      <c r="Z2885" s="7"/>
      <c r="AA2885" s="7"/>
      <c r="AB2885" s="7"/>
    </row>
    <row r="2886" ht="15.75" customHeight="1">
      <c r="A2886" s="171">
        <f>IFERROR(__xludf.DUMMYFUNCTION("""COMPUTED_VALUE"""),4496.0)</f>
        <v>4496</v>
      </c>
      <c r="B2886" s="172" t="str">
        <f>IFERROR(__xludf.DUMMYFUNCTION("""COMPUTED_VALUE"""),"確定")</f>
        <v>確定</v>
      </c>
      <c r="C2886" s="173">
        <f>IFERROR(__xludf.DUMMYFUNCTION("""COMPUTED_VALUE"""),45607.0)</f>
        <v>45607</v>
      </c>
      <c r="D2886" s="173">
        <f>IFERROR(__xludf.DUMMYFUNCTION("""COMPUTED_VALUE"""),45713.0)</f>
        <v>45713</v>
      </c>
      <c r="E2886" s="174">
        <f>IFERROR(__xludf.DUMMYFUNCTION("""COMPUTED_VALUE"""),317703.0)</f>
        <v>317703</v>
      </c>
      <c r="F2886" s="159" t="str">
        <f>IFERROR(__xludf.DUMMYFUNCTION("""COMPUTED_VALUE"""),"一緒に居てほしい。ただそう言いたかった。【分冊版】")</f>
        <v>一緒に居てほしい。ただそう言いたかった。【分冊版】</v>
      </c>
      <c r="G2886" s="172" t="str">
        <f>IFERROR(__xludf.DUMMYFUNCTION("""COMPUTED_VALUE"""),"1～2")</f>
        <v>1～2</v>
      </c>
      <c r="H2886" s="161" t="str">
        <f>IFERROR(__xludf.DUMMYFUNCTION("""COMPUTED_VALUE"""),"藤田和子 秋月篠乃")</f>
        <v>藤田和子 秋月篠乃</v>
      </c>
      <c r="I2886" s="172" t="str">
        <f>IFERROR(__xludf.DUMMYFUNCTION("""COMPUTED_VALUE"""),"女性")</f>
        <v>女性</v>
      </c>
      <c r="J2886" s="176"/>
      <c r="K2886" s="172"/>
      <c r="L2886" s="172" t="str">
        <f>IFERROR(__xludf.DUMMYFUNCTION("""COMPUTED_VALUE"""),"ハーパーコリンズ・ジャパン")</f>
        <v>ハーパーコリンズ・ジャパン</v>
      </c>
      <c r="M2886" s="59">
        <f>IFERROR(__xludf.DUMMYFUNCTION("""COMPUTED_VALUE"""),45737.0)</f>
        <v>45737</v>
      </c>
      <c r="N2886" s="59">
        <f>IFERROR(__xludf.DUMMYFUNCTION("""COMPUTED_VALUE"""),45799.0)</f>
        <v>45799</v>
      </c>
      <c r="O2886" s="172"/>
      <c r="P2886" s="177" t="str">
        <f>IFERROR(__xludf.DUMMYFUNCTION("""COMPUTED_VALUE"""),"可")</f>
        <v>可</v>
      </c>
      <c r="Q2886" s="179"/>
      <c r="R2886" s="152" t="str">
        <f>IFERROR(__xludf.DUMMYFUNCTION("""COMPUTED_VALUE"""),"コミットOK")</f>
        <v>コミットOK</v>
      </c>
      <c r="S2886" s="172" t="str">
        <f>IFERROR(__xludf.DUMMYFUNCTION("""COMPUTED_VALUE"""),"20250225_ハーパーコリンズ・ジャパン_一緒に居てほしい。ただそう言いたかった。【分冊版】")</f>
        <v>20250225_ハーパーコリンズ・ジャパン_一緒に居てほしい。ただそう言いたかった。【分冊版】</v>
      </c>
      <c r="T2886" s="152" t="str">
        <f>IFERROR(__xludf.DUMMYFUNCTION("""COMPUTED_VALUE"""),"格納済み")</f>
        <v>格納済み</v>
      </c>
      <c r="U2886" s="15" t="str">
        <f>IFERROR(__xludf.DUMMYFUNCTION("""COMPUTED_VALUE"""),"Ⓒ藤田和子・秋月篠乃／ハーパーコリンズ・ジャパン")</f>
        <v>Ⓒ藤田和子・秋月篠乃／ハーパーコリンズ・ジャパン</v>
      </c>
      <c r="V2886" s="8" t="str">
        <f>IFERROR(__xludf.DUMMYFUNCTION("""COMPUTED_VALUE"""),"恋に狂って、恋に生き、恋に死んだ一人の憐れで滑稽な女。
それが私の母だった人。
ミネレーリ・ヤヌアール伯爵令嬢にはいくつもの二つ名がある。“いわくつきの令嬢”“笑わない氷の令嬢”そして、“狂女の娘”――。
ミネレーリは生を受けて以来、記憶にある母親はいつも父親に恋焦がれていた。だけど父親は母親と結婚する前にすでに恋人がいて、二人の間にはリリーローザという、ミネレーリと一月しか生れつきが変わらない娘がいて……。ミネレーリは母親が亡くなった後、自分のことを忌み嫌う父親に引き取られ、養母と異母妹のリリ"&amp;"ーローザと４人で暮らすことになる。異母妹に対する偏愛と自分に対する嫌悪を隠さない父に、ついに傷づかなくなるように成長したミネレーリは、ある日、公爵嫡男カクトスと偶然出会うことに。それが、父親が誇る“家族”の仮初の幸せを暴く、すべてのきっかけになるとは思いもよらず……。")</f>
        <v>恋に狂って、恋に生き、恋に死んだ一人の憐れで滑稽な女。
それが私の母だった人。
ミネレーリ・ヤヌアール伯爵令嬢にはいくつもの二つ名がある。“いわくつきの令嬢”“笑わない氷の令嬢”そして、“狂女の娘”――。
ミネレーリは生を受けて以来、記憶にある母親はいつも父親に恋焦がれていた。だけど父親は母親と結婚する前にすでに恋人がいて、二人の間にはリリーローザという、ミネレーリと一月しか生れつきが変わらない娘がいて……。ミネレーリは母親が亡くなった後、自分のことを忌み嫌う父親に引き取られ、養母と異母妹のリリーローザと４人で暮らすことになる。異母妹に対する偏愛と自分に対する嫌悪を隠さない父に、ついに傷づかなくなるように成長したミネレーリは、ある日、公爵嫡男カクトスと偶然出会うことに。それが、父親が誇る“家族”の仮初の幸せを暴く、すべてのきっかけになるとは思いもよらず……。</v>
      </c>
      <c r="W2886" s="14"/>
      <c r="X2886" s="14" t="str">
        <f>IFERROR(__xludf.DUMMYFUNCTION("""COMPUTED_VALUE"""),"有")</f>
        <v>有</v>
      </c>
      <c r="Y2886" s="8" t="str">
        <f>IFERROR(__xludf.DUMMYFUNCTION("""COMPUTED_VALUE"""),"2025/4/3まで1巻無料")</f>
        <v>2025/4/3まで1巻無料</v>
      </c>
      <c r="Z2886" s="7"/>
      <c r="AA2886" s="7"/>
      <c r="AB2886" s="7"/>
    </row>
    <row r="2887" ht="15.75" customHeight="1">
      <c r="A2887" s="171">
        <f>IFERROR(__xludf.DUMMYFUNCTION("""COMPUTED_VALUE"""),4571.0)</f>
        <v>4571</v>
      </c>
      <c r="B2887" s="172" t="str">
        <f>IFERROR(__xludf.DUMMYFUNCTION("""COMPUTED_VALUE"""),"確定")</f>
        <v>確定</v>
      </c>
      <c r="C2887" s="173">
        <f>IFERROR(__xludf.DUMMYFUNCTION("""COMPUTED_VALUE"""),45621.0)</f>
        <v>45621</v>
      </c>
      <c r="D2887" s="173">
        <f>IFERROR(__xludf.DUMMYFUNCTION("""COMPUTED_VALUE"""),45713.0)</f>
        <v>45713</v>
      </c>
      <c r="E2887" s="174">
        <f>IFERROR(__xludf.DUMMYFUNCTION("""COMPUTED_VALUE"""),317420.0)</f>
        <v>317420</v>
      </c>
      <c r="F2887" s="159" t="str">
        <f>IFERROR(__xludf.DUMMYFUNCTION("""COMPUTED_VALUE"""),"極上彼氏と秘密の甘恋～出会ってすぐに溺愛されています～【分冊版】")</f>
        <v>極上彼氏と秘密の甘恋～出会ってすぐに溺愛されています～【分冊版】</v>
      </c>
      <c r="G2887" s="172" t="str">
        <f>IFERROR(__xludf.DUMMYFUNCTION("""COMPUTED_VALUE"""),"1～3")</f>
        <v>1～3</v>
      </c>
      <c r="H2887" s="161" t="str">
        <f>IFERROR(__xludf.DUMMYFUNCTION("""COMPUTED_VALUE"""),"藤峰ゆき 橘柚葉")</f>
        <v>藤峰ゆき 橘柚葉</v>
      </c>
      <c r="I2887" s="172" t="str">
        <f>IFERROR(__xludf.DUMMYFUNCTION("""COMPUTED_VALUE"""),"女性")</f>
        <v>女性</v>
      </c>
      <c r="J2887" s="176"/>
      <c r="K2887" s="172" t="str">
        <f>IFERROR(__xludf.DUMMYFUNCTION("""COMPUTED_VALUE"""),"マーマレードコミックス")</f>
        <v>マーマレードコミックス</v>
      </c>
      <c r="L2887" s="172" t="str">
        <f>IFERROR(__xludf.DUMMYFUNCTION("""COMPUTED_VALUE"""),"ハーパーコリンズ・ジャパン")</f>
        <v>ハーパーコリンズ・ジャパン</v>
      </c>
      <c r="M2887" s="59">
        <f>IFERROR(__xludf.DUMMYFUNCTION("""COMPUTED_VALUE"""),45735.0)</f>
        <v>45735</v>
      </c>
      <c r="N2887" s="59">
        <f>IFERROR(__xludf.DUMMYFUNCTION("""COMPUTED_VALUE"""),45795.0)</f>
        <v>45795</v>
      </c>
      <c r="O2887" s="172"/>
      <c r="P2887" s="177" t="str">
        <f>IFERROR(__xludf.DUMMYFUNCTION("""COMPUTED_VALUE"""),"可")</f>
        <v>可</v>
      </c>
      <c r="Q2887" s="179"/>
      <c r="R2887" s="152" t="str">
        <f>IFERROR(__xludf.DUMMYFUNCTION("""COMPUTED_VALUE"""),"コミットOK")</f>
        <v>コミットOK</v>
      </c>
      <c r="S2887" s="172" t="str">
        <f>IFERROR(__xludf.DUMMYFUNCTION("""COMPUTED_VALUE"""),"20250319_ハーパーコリンズ・ジャパン_極上彼氏と秘密の甘恋～出会ってすぐに溺愛されています～【分冊版】")</f>
        <v>20250319_ハーパーコリンズ・ジャパン_極上彼氏と秘密の甘恋～出会ってすぐに溺愛されています～【分冊版】</v>
      </c>
      <c r="T2887" s="152" t="str">
        <f>IFERROR(__xludf.DUMMYFUNCTION("""COMPUTED_VALUE"""),"格納済み")</f>
        <v>格納済み</v>
      </c>
      <c r="U2887" s="15" t="str">
        <f>IFERROR(__xludf.DUMMYFUNCTION("""COMPUTED_VALUE"""),"Ⓒ藤峰ゆき・橘 柚葉／ハーパーコリンズ・ジャパン")</f>
        <v>Ⓒ藤峰ゆき・橘 柚葉／ハーパーコリンズ・ジャパン</v>
      </c>
      <c r="V2887" s="8" t="str">
        <f>IFERROR(__xludf.DUMMYFUNCTION("""COMPUTED_VALUE"""),"顔も知らない男性と、アプリで恋の練習
奥手で男の人との接し方がわからない、のどか。シスコンの弟に守られて、恋愛経験がないまま25歳になってしまった。心配した後輩に男性・隼人を紹介され、彼とアプリで恋のリハビリをすることに。顔も性格も知らないまま、やりとりをするのは緊張する…。でも、文章や声から垣間見える隼人の誠実な優しさに惹かれ、恋に落ちてしまう。そして、とうとう初めて会うことになるけど…隼人が隠していた驚きの一面を知って!?")</f>
        <v>顔も知らない男性と、アプリで恋の練習
奥手で男の人との接し方がわからない、のどか。シスコンの弟に守られて、恋愛経験がないまま25歳になってしまった。心配した後輩に男性・隼人を紹介され、彼とアプリで恋のリハビリをすることに。顔も性格も知らないまま、やりとりをするのは緊張する…。でも、文章や声から垣間見える隼人の誠実な優しさに惹かれ、恋に落ちてしまう。そして、とうとう初めて会うことになるけど…隼人が隠していた驚きの一面を知って!?</v>
      </c>
      <c r="W2887" s="14"/>
      <c r="X2887" s="14" t="str">
        <f>IFERROR(__xludf.DUMMYFUNCTION("""COMPUTED_VALUE"""),"有")</f>
        <v>有</v>
      </c>
      <c r="Y2887" s="8" t="str">
        <f>IFERROR(__xludf.DUMMYFUNCTION("""COMPUTED_VALUE"""),"2025/4/1まで1巻無料")</f>
        <v>2025/4/1まで1巻無料</v>
      </c>
      <c r="Z2887" s="7"/>
      <c r="AA2887" s="7"/>
      <c r="AB2887" s="7"/>
    </row>
    <row r="2888" ht="15.75" customHeight="1">
      <c r="A2888" s="171">
        <f>IFERROR(__xludf.DUMMYFUNCTION("""COMPUTED_VALUE"""),4611.0)</f>
        <v>4611</v>
      </c>
      <c r="B2888" s="172" t="str">
        <f>IFERROR(__xludf.DUMMYFUNCTION("""COMPUTED_VALUE"""),"確定")</f>
        <v>確定</v>
      </c>
      <c r="C2888" s="173">
        <f>IFERROR(__xludf.DUMMYFUNCTION("""COMPUTED_VALUE"""),45629.0)</f>
        <v>45629</v>
      </c>
      <c r="D2888" s="173">
        <f>IFERROR(__xludf.DUMMYFUNCTION("""COMPUTED_VALUE"""),45708.0)</f>
        <v>45708</v>
      </c>
      <c r="E2888" s="174">
        <f>IFERROR(__xludf.DUMMYFUNCTION("""COMPUTED_VALUE"""),317039.0)</f>
        <v>317039</v>
      </c>
      <c r="F2888" s="159" t="str">
        <f>IFERROR(__xludf.DUMMYFUNCTION("""COMPUTED_VALUE"""),"あなたは俺の運命でしょ!!")</f>
        <v>あなたは俺の運命でしょ!!</v>
      </c>
      <c r="G2888" s="172" t="str">
        <f>IFERROR(__xludf.DUMMYFUNCTION("""COMPUTED_VALUE"""),"1～2")</f>
        <v>1～2</v>
      </c>
      <c r="H2888" s="152" t="str">
        <f>IFERROR(__xludf.DUMMYFUNCTION("""COMPUTED_VALUE"""),"下田エヌ")</f>
        <v>下田エヌ</v>
      </c>
      <c r="I2888" s="172" t="str">
        <f>IFERROR(__xludf.DUMMYFUNCTION("""COMPUTED_VALUE"""),"BL")</f>
        <v>BL</v>
      </c>
      <c r="J2888" s="176">
        <f>IFERROR(__xludf.DUMMYFUNCTION("""COMPUTED_VALUE"""),1.0)</f>
        <v>1</v>
      </c>
      <c r="K2888" s="172" t="str">
        <f>IFERROR(__xludf.DUMMYFUNCTION("""COMPUTED_VALUE"""),"MooiComics")</f>
        <v>MooiComics</v>
      </c>
      <c r="L2888" s="172" t="str">
        <f>IFERROR(__xludf.DUMMYFUNCTION("""COMPUTED_VALUE"""),"CLLENN")</f>
        <v>CLLENN</v>
      </c>
      <c r="M2888" s="59">
        <f>IFERROR(__xludf.DUMMYFUNCTION("""COMPUTED_VALUE"""),45734.0)</f>
        <v>45734</v>
      </c>
      <c r="N2888" s="23">
        <f>IFERROR(__xludf.DUMMYFUNCTION("""COMPUTED_VALUE"""),45824.0)</f>
        <v>45824</v>
      </c>
      <c r="O2888" s="172"/>
      <c r="P2888" s="177" t="str">
        <f>IFERROR(__xludf.DUMMYFUNCTION("""COMPUTED_VALUE"""),"可")</f>
        <v>可</v>
      </c>
      <c r="Q2888" s="179" t="str">
        <f>IFERROR(__xludf.DUMMYFUNCTION("""COMPUTED_VALUE"""),"俳優×カフェ店長という異色カップル尚且つオメガバースものです。個性のある絵柄が印象的ですが、ストーリーはピュアで可愛いらしいお話しです。")</f>
        <v>俳優×カフェ店長という異色カップル尚且つオメガバースものです。個性のある絵柄が印象的ですが、ストーリーはピュアで可愛いらしいお話しです。</v>
      </c>
      <c r="R2888" s="152" t="str">
        <f>IFERROR(__xludf.DUMMYFUNCTION("""COMPUTED_VALUE"""),"コミットOK")</f>
        <v>コミットOK</v>
      </c>
      <c r="S2888" s="172" t="str">
        <f>IFERROR(__xludf.DUMMYFUNCTION("""COMPUTED_VALUE"""),"20250218_CLLENN_あなたは俺の運命でしょ!!")</f>
        <v>20250218_CLLENN_あなたは俺の運命でしょ!!</v>
      </c>
      <c r="T2888" s="152" t="str">
        <f>IFERROR(__xludf.DUMMYFUNCTION("""COMPUTED_VALUE"""),"格納済み")</f>
        <v>格納済み</v>
      </c>
      <c r="U2888" s="15" t="str">
        <f>IFERROR(__xludf.DUMMYFUNCTION("""COMPUTED_VALUE"""),"Ⓒ下田エヌ/CLLENN")</f>
        <v>Ⓒ下田エヌ/CLLENN</v>
      </c>
      <c r="V2888" s="8" t="str">
        <f>IFERROR(__xludf.DUMMYFUNCTION("""COMPUTED_VALUE"""),"「甘くて、優しくて、美味そうな、たまんない匂い…はじめてだ、こんなの――」新人俳優の青木馬＜あおきば＞はαでありながらも、Ωのフェロモンで具合が悪くなる体質に悩まされ、いつしか“運命の番”という言葉を嫌うようになっていた。そんなある日、カフェで休憩していると、ヒート中の濃厚なフェロモンを垂れ流している店長・久保＜くぼ＞と出会う。あまりの非常識さに、青木馬は思わず注意するが、彼は「初めてΩだと気づかれました」とびっくり。しかも、彼の匂いに惹かれている自分に気付いてしまい――！ノーガードな久保に、青木馬の理性"&amp;"は耐えられるのか！？【振り回されα×無防備ピュアΩ】の“運命”ダダ漏れオメガバラブ！")</f>
        <v>「甘くて、優しくて、美味そうな、たまんない匂い…はじめてだ、こんなの――」新人俳優の青木馬＜あおきば＞はαでありながらも、Ωのフェロモンで具合が悪くなる体質に悩まされ、いつしか“運命の番”という言葉を嫌うようになっていた。そんなある日、カフェで休憩していると、ヒート中の濃厚なフェロモンを垂れ流している店長・久保＜くぼ＞と出会う。あまりの非常識さに、青木馬は思わず注意するが、彼は「初めてΩだと気づかれました」とびっくり。しかも、彼の匂いに惹かれている自分に気付いてしまい――！ノーガードな久保に、青木馬の理性は耐えられるのか！？【振り回されα×無防備ピュアΩ】の“運命”ダダ漏れオメガバラブ！</v>
      </c>
      <c r="W2888" s="14"/>
      <c r="X2888" s="14" t="str">
        <f>IFERROR(__xludf.DUMMYFUNCTION("""COMPUTED_VALUE"""),"有")</f>
        <v>有</v>
      </c>
      <c r="Y2888" s="8" t="str">
        <f>IFERROR(__xludf.DUMMYFUNCTION("""COMPUTED_VALUE"""),"P10まで")</f>
        <v>P10まで</v>
      </c>
      <c r="Z2888" s="7"/>
      <c r="AA2888" s="7"/>
      <c r="AB2888" s="7"/>
    </row>
    <row r="2889" ht="15.75" customHeight="1">
      <c r="A2889" s="171">
        <f>IFERROR(__xludf.DUMMYFUNCTION("""COMPUTED_VALUE"""),4670.0)</f>
        <v>4670</v>
      </c>
      <c r="B2889" s="172" t="str">
        <f>IFERROR(__xludf.DUMMYFUNCTION("""COMPUTED_VALUE"""),"確定")</f>
        <v>確定</v>
      </c>
      <c r="C2889" s="173">
        <f>IFERROR(__xludf.DUMMYFUNCTION("""COMPUTED_VALUE"""),45636.0)</f>
        <v>45636</v>
      </c>
      <c r="D2889" s="173">
        <f>IFERROR(__xludf.DUMMYFUNCTION("""COMPUTED_VALUE"""),45708.0)</f>
        <v>45708</v>
      </c>
      <c r="E2889" s="174">
        <f>IFERROR(__xludf.DUMMYFUNCTION("""COMPUTED_VALUE"""),317038.0)</f>
        <v>317038</v>
      </c>
      <c r="F2889" s="159" t="str">
        <f>IFERROR(__xludf.DUMMYFUNCTION("""COMPUTED_VALUE"""),"ずっと前から愛でした")</f>
        <v>ずっと前から愛でした</v>
      </c>
      <c r="G2889" s="172" t="str">
        <f>IFERROR(__xludf.DUMMYFUNCTION("""COMPUTED_VALUE"""),"1～2")</f>
        <v>1～2</v>
      </c>
      <c r="H2889" s="152" t="str">
        <f>IFERROR(__xludf.DUMMYFUNCTION("""COMPUTED_VALUE"""),"椛嶋ユウニ")</f>
        <v>椛嶋ユウニ</v>
      </c>
      <c r="I2889" s="172" t="str">
        <f>IFERROR(__xludf.DUMMYFUNCTION("""COMPUTED_VALUE"""),"BL")</f>
        <v>BL</v>
      </c>
      <c r="J2889" s="176"/>
      <c r="K2889" s="172" t="str">
        <f>IFERROR(__xludf.DUMMYFUNCTION("""COMPUTED_VALUE"""),"MooiComics")</f>
        <v>MooiComics</v>
      </c>
      <c r="L2889" s="172" t="str">
        <f>IFERROR(__xludf.DUMMYFUNCTION("""COMPUTED_VALUE"""),"CLLENN")</f>
        <v>CLLENN</v>
      </c>
      <c r="M2889" s="59">
        <f>IFERROR(__xludf.DUMMYFUNCTION("""COMPUTED_VALUE"""),45734.0)</f>
        <v>45734</v>
      </c>
      <c r="N2889" s="23">
        <f>IFERROR(__xludf.DUMMYFUNCTION("""COMPUTED_VALUE"""),45796.0)</f>
        <v>45796</v>
      </c>
      <c r="O2889" s="172"/>
      <c r="P2889" s="177" t="str">
        <f>IFERROR(__xludf.DUMMYFUNCTION("""COMPUTED_VALUE"""),"可")</f>
        <v>可</v>
      </c>
      <c r="Q2889" s="179"/>
      <c r="R2889" s="152" t="str">
        <f>IFERROR(__xludf.DUMMYFUNCTION("""COMPUTED_VALUE"""),"コミットOK")</f>
        <v>コミットOK</v>
      </c>
      <c r="S2889" s="172" t="str">
        <f>IFERROR(__xludf.DUMMYFUNCTION("""COMPUTED_VALUE"""),"20250218_CLLENN_ずっと前から愛でした")</f>
        <v>20250218_CLLENN_ずっと前から愛でした</v>
      </c>
      <c r="T2889" s="152" t="str">
        <f>IFERROR(__xludf.DUMMYFUNCTION("""COMPUTED_VALUE"""),"格納済み")</f>
        <v>格納済み</v>
      </c>
      <c r="U2889" s="15" t="str">
        <f>IFERROR(__xludf.DUMMYFUNCTION("""COMPUTED_VALUE"""),"Ⓒ椛嶋ユウニ/CLLENN")</f>
        <v>Ⓒ椛嶋ユウニ/CLLENN</v>
      </c>
      <c r="V2889" s="8" t="str">
        <f>IFERROR(__xludf.DUMMYFUNCTION("""COMPUTED_VALUE"""),"肌の感触、匂いと声、触れた時の温度。全部まだ覚えてるのに、あの人はもうそばにいなくて……。東京の上場企業で働く小椋 遥太＜おぐら ようた＞は、学生時代に音信不通になった先輩、八木 智章＜やぎ ともあき＞が忘れられず、７年間ずっと想いを引きずっていた。だがある日、姉の結婚式をきっかけに実家に戻ると、智章とまさかの再会!しかもなんだか積極的に迫ってきて――!?「…ここでしょっちゅうしてたもんな」そう言って顔を寄せる先輩は本物?幻!?あまりに魅力的すぎて、また自分の気持ちが先走りそうで…。【一途すぎるワンコ後輩"&amp;"×硬派でピュアな先輩】忘れられない恋が蘇る、再会ラブストーリー。")</f>
        <v>肌の感触、匂いと声、触れた時の温度。全部まだ覚えてるのに、あの人はもうそばにいなくて……。東京の上場企業で働く小椋 遥太＜おぐら ようた＞は、学生時代に音信不通になった先輩、八木 智章＜やぎ ともあき＞が忘れられず、７年間ずっと想いを引きずっていた。だがある日、姉の結婚式をきっかけに実家に戻ると、智章とまさかの再会!しかもなんだか積極的に迫ってきて――!?「…ここでしょっちゅうしてたもんな」そう言って顔を寄せる先輩は本物?幻!?あまりに魅力的すぎて、また自分の気持ちが先走りそうで…。【一途すぎるワンコ後輩×硬派でピュアな先輩】忘れられない恋が蘇る、再会ラブストーリー。</v>
      </c>
      <c r="W2889" s="14"/>
      <c r="X2889" s="14" t="str">
        <f>IFERROR(__xludf.DUMMYFUNCTION("""COMPUTED_VALUE"""),"有")</f>
        <v>有</v>
      </c>
      <c r="Y2889" s="8" t="str">
        <f>IFERROR(__xludf.DUMMYFUNCTION("""COMPUTED_VALUE"""),"P10まで")</f>
        <v>P10まで</v>
      </c>
      <c r="Z2889" s="7"/>
      <c r="AA2889" s="7"/>
      <c r="AB2889" s="7"/>
    </row>
    <row r="2890" ht="15.75" customHeight="1">
      <c r="A2890" s="171">
        <f>IFERROR(__xludf.DUMMYFUNCTION("""COMPUTED_VALUE"""),4770.0)</f>
        <v>4770</v>
      </c>
      <c r="B2890" s="172" t="str">
        <f>IFERROR(__xludf.DUMMYFUNCTION("""COMPUTED_VALUE"""),"確定")</f>
        <v>確定</v>
      </c>
      <c r="C2890" s="173">
        <f>IFERROR(__xludf.DUMMYFUNCTION("""COMPUTED_VALUE"""),45665.0)</f>
        <v>45665</v>
      </c>
      <c r="D2890" s="173">
        <f>IFERROR(__xludf.DUMMYFUNCTION("""COMPUTED_VALUE"""),45713.0)</f>
        <v>45713</v>
      </c>
      <c r="E2890" s="174">
        <f>IFERROR(__xludf.DUMMYFUNCTION("""COMPUTED_VALUE"""),318193.0)</f>
        <v>318193</v>
      </c>
      <c r="F2890" s="159" t="str">
        <f>IFERROR(__xludf.DUMMYFUNCTION("""COMPUTED_VALUE"""),"自己開発リーマン、ギャルのおもちゃにされる")</f>
        <v>自己開発リーマン、ギャルのおもちゃにされる</v>
      </c>
      <c r="G2890" s="172" t="str">
        <f>IFERROR(__xludf.DUMMYFUNCTION("""COMPUTED_VALUE"""),"1～3")</f>
        <v>1～3</v>
      </c>
      <c r="H2890" s="152" t="str">
        <f>IFERROR(__xludf.DUMMYFUNCTION("""COMPUTED_VALUE"""),"みなとく 19LLDDKK")</f>
        <v>みなとく 19LLDDKK</v>
      </c>
      <c r="I2890" s="172" t="str">
        <f>IFERROR(__xludf.DUMMYFUNCTION("""COMPUTED_VALUE"""),"アダルトマンガ")</f>
        <v>アダルトマンガ</v>
      </c>
      <c r="J2890" s="176"/>
      <c r="K2890" s="172"/>
      <c r="L2890" s="172" t="str">
        <f>IFERROR(__xludf.DUMMYFUNCTION("""COMPUTED_VALUE"""),"クロスフォリオ出版")</f>
        <v>クロスフォリオ出版</v>
      </c>
      <c r="M2890" s="59">
        <f>IFERROR(__xludf.DUMMYFUNCTION("""COMPUTED_VALUE"""),45744.0)</f>
        <v>45744</v>
      </c>
      <c r="N2890" s="59">
        <f>IFERROR(__xludf.DUMMYFUNCTION("""COMPUTED_VALUE"""),45799.0)</f>
        <v>45799</v>
      </c>
      <c r="O2890" s="172"/>
      <c r="P2890" s="177" t="str">
        <f>IFERROR(__xludf.DUMMYFUNCTION("""COMPUTED_VALUE"""),"可")</f>
        <v>可</v>
      </c>
      <c r="Q2890" s="179" t="str">
        <f>IFERROR(__xludf.DUMMYFUNCTION("""COMPUTED_VALUE"""),"BookLiveとの2社先行")</f>
        <v>BookLiveとの2社先行</v>
      </c>
      <c r="R2890" s="152" t="str">
        <f>IFERROR(__xludf.DUMMYFUNCTION("""COMPUTED_VALUE"""),"コミットOK")</f>
        <v>コミットOK</v>
      </c>
      <c r="S2890" s="172" t="str">
        <f>IFERROR(__xludf.DUMMYFUNCTION("""COMPUTED_VALUE"""),"20250225_BookLive_自己開発リーマン、ギャルのおもちゃにされる")</f>
        <v>20250225_BookLive_自己開発リーマン、ギャルのおもちゃにされる</v>
      </c>
      <c r="T2890" s="152" t="str">
        <f>IFERROR(__xludf.DUMMYFUNCTION("""COMPUTED_VALUE"""),"格納済み")</f>
        <v>格納済み</v>
      </c>
      <c r="U2890" s="15" t="str">
        <f>IFERROR(__xludf.DUMMYFUNCTION("""COMPUTED_VALUE"""),"Ⓒみなとく/19LLDDKK/クロスフォリオ出版")</f>
        <v>Ⓒみなとく/19LLDDKK/クロスフォリオ出版</v>
      </c>
      <c r="V2890" s="8" t="str">
        <f>IFERROR(__xludf.DUMMYFUNCTION("""COMPUTED_VALUE"""),"デカ尻ギャルに逆レ●プ――！？
尾成 勤（35）は生粋のオナニスト。
いつものようにアダルトショップを物色していたら、
ドSなデカギャルに目を付けてしまう。
「お前のオナニー見せろよ」
開発しきったアナルを責められたり、せっかく買った新しいオモチャで掘られたり、
その上ギャルにも使われて竿姉妹になっちゃったり、ローションガーゼで寸止めされたり…！
挿入れたいのになかなか最後までヤらせてくれない、ドSなギャルに翻弄されまくり！
※本編は挿入描写もしっかりございます
※精"&amp;"神的逆転はございません
※本作はみなとくの個人誌作品の電子書籍版となります。【25ページ】")</f>
        <v>デカ尻ギャルに逆レ●プ――！？
尾成 勤（35）は生粋のオナニスト。
いつものようにアダルトショップを物色していたら、
ドSなデカギャルに目を付けてしまう。
「お前のオナニー見せろよ」
開発しきったアナルを責められたり、せっかく買った新しいオモチャで掘られたり、
その上ギャルにも使われて竿姉妹になっちゃったり、ローションガーゼで寸止めされたり…！
挿入れたいのになかなか最後までヤらせてくれない、ドSなギャルに翻弄されまくり！
※本編は挿入描写もしっかりございます
※精神的逆転はございません
※本作はみなとくの個人誌作品の電子書籍版となります。【25ページ】</v>
      </c>
      <c r="W2890" s="14"/>
      <c r="X2890" s="14" t="str">
        <f>IFERROR(__xludf.DUMMYFUNCTION("""COMPUTED_VALUE"""),"有")</f>
        <v>有</v>
      </c>
      <c r="Y2890" s="8" t="str">
        <f>IFERROR(__xludf.DUMMYFUNCTION("""COMPUTED_VALUE"""),"P11まで")</f>
        <v>P11まで</v>
      </c>
      <c r="Z2890" s="7"/>
      <c r="AA2890" s="7"/>
      <c r="AB2890" s="7"/>
    </row>
    <row r="2891" ht="15.75" customHeight="1">
      <c r="A2891" s="171">
        <f>IFERROR(__xludf.DUMMYFUNCTION("""COMPUTED_VALUE"""),4771.0)</f>
        <v>4771</v>
      </c>
      <c r="B2891" s="172" t="str">
        <f>IFERROR(__xludf.DUMMYFUNCTION("""COMPUTED_VALUE"""),"確定")</f>
        <v>確定</v>
      </c>
      <c r="C2891" s="173">
        <f>IFERROR(__xludf.DUMMYFUNCTION("""COMPUTED_VALUE"""),45665.0)</f>
        <v>45665</v>
      </c>
      <c r="D2891" s="173">
        <f>IFERROR(__xludf.DUMMYFUNCTION("""COMPUTED_VALUE"""),45713.0)</f>
        <v>45713</v>
      </c>
      <c r="E2891" s="174">
        <f>IFERROR(__xludf.DUMMYFUNCTION("""COMPUTED_VALUE"""),317689.0)</f>
        <v>317689</v>
      </c>
      <c r="F2891" s="159" t="str">
        <f>IFERROR(__xludf.DUMMYFUNCTION("""COMPUTED_VALUE"""),"執着点")</f>
        <v>執着点</v>
      </c>
      <c r="G2891" s="172" t="str">
        <f>IFERROR(__xludf.DUMMYFUNCTION("""COMPUTED_VALUE"""),"1～3")</f>
        <v>1～3</v>
      </c>
      <c r="H2891" s="152" t="str">
        <f>IFERROR(__xludf.DUMMYFUNCTION("""COMPUTED_VALUE"""),"裏筋侍")</f>
        <v>裏筋侍</v>
      </c>
      <c r="I2891" s="172" t="str">
        <f>IFERROR(__xludf.DUMMYFUNCTION("""COMPUTED_VALUE"""),"アダルトマンガ")</f>
        <v>アダルトマンガ</v>
      </c>
      <c r="J2891" s="176"/>
      <c r="K2891" s="172"/>
      <c r="L2891" s="172" t="str">
        <f>IFERROR(__xludf.DUMMYFUNCTION("""COMPUTED_VALUE"""),"クロスフォリオ出版")</f>
        <v>クロスフォリオ出版</v>
      </c>
      <c r="M2891" s="59">
        <f>IFERROR(__xludf.DUMMYFUNCTION("""COMPUTED_VALUE"""),45737.0)</f>
        <v>45737</v>
      </c>
      <c r="N2891" s="59">
        <f>IFERROR(__xludf.DUMMYFUNCTION("""COMPUTED_VALUE"""),45793.0)</f>
        <v>45793</v>
      </c>
      <c r="O2891" s="172"/>
      <c r="P2891" s="177" t="str">
        <f>IFERROR(__xludf.DUMMYFUNCTION("""COMPUTED_VALUE"""),"可")</f>
        <v>可</v>
      </c>
      <c r="Q2891" s="179" t="str">
        <f>IFERROR(__xludf.DUMMYFUNCTION("""COMPUTED_VALUE"""),"BookLiveとの2社先行です")</f>
        <v>BookLiveとの2社先行です</v>
      </c>
      <c r="R2891" s="152" t="str">
        <f>IFERROR(__xludf.DUMMYFUNCTION("""COMPUTED_VALUE"""),"コミットOK")</f>
        <v>コミットOK</v>
      </c>
      <c r="S2891" s="172" t="str">
        <f>IFERROR(__xludf.DUMMYFUNCTION("""COMPUTED_VALUE"""),"20250225_BookLive_執着点")</f>
        <v>20250225_BookLive_執着点</v>
      </c>
      <c r="T2891" s="152" t="str">
        <f>IFERROR(__xludf.DUMMYFUNCTION("""COMPUTED_VALUE"""),"格納済み")</f>
        <v>格納済み</v>
      </c>
      <c r="U2891" s="15" t="str">
        <f>IFERROR(__xludf.DUMMYFUNCTION("""COMPUTED_VALUE"""),"Ⓒ裏筋侍/裏筋部屋/クロスフォリオ出版")</f>
        <v>Ⓒ裏筋侍/裏筋部屋/クロスフォリオ出版</v>
      </c>
      <c r="V2891" s="8" t="str">
        <f>IFERROR(__xludf.DUMMYFUNCTION("""COMPUTED_VALUE"""),"主人公「小野龍一」
同じ大学に通う「夏樹」との親密な関係を
期待するも
彼は過去の恋愛により生じたトラウマで
勃起不全となり
夏樹との関係性発展に躊躇していた
そんな中、駅のホームで偶然居合わせた
中学時代の家庭教師「冬子」に再会し勢いに押される形で彼女の自宅へ上がる事に…
冬子に自身の悩みを打ち明けた時
意外な提案が持ち掛けられる
「私抱いてみる？」
それは彼女とのセックスにより
彼の悩みや不安を解消させるというものだった
龍一は夏樹との"&amp;"関係を深めるためにも
その提案に乗るが
次第に冬子の肌の感触が忘れられず…
※本作は裏筋侍の個人誌作品の電子書籍版となります。【25ページ】")</f>
        <v>主人公「小野龍一」
同じ大学に通う「夏樹」との親密な関係を
期待するも
彼は過去の恋愛により生じたトラウマで
勃起不全となり
夏樹との関係性発展に躊躇していた
そんな中、駅のホームで偶然居合わせた
中学時代の家庭教師「冬子」に再会し勢いに押される形で彼女の自宅へ上がる事に…
冬子に自身の悩みを打ち明けた時
意外な提案が持ち掛けられる
「私抱いてみる？」
それは彼女とのセックスにより
彼の悩みや不安を解消させるというものだった
龍一は夏樹との関係を深めるためにも
その提案に乗るが
次第に冬子の肌の感触が忘れられず…
※本作は裏筋侍の個人誌作品の電子書籍版となります。【25ページ】</v>
      </c>
      <c r="W2891" s="14"/>
      <c r="X2891" s="14" t="str">
        <f>IFERROR(__xludf.DUMMYFUNCTION("""COMPUTED_VALUE"""),"有")</f>
        <v>有</v>
      </c>
      <c r="Y2891" s="8" t="str">
        <f>IFERROR(__xludf.DUMMYFUNCTION("""COMPUTED_VALUE"""),"P13まで")</f>
        <v>P13まで</v>
      </c>
      <c r="Z2891" s="7"/>
      <c r="AA2891" s="7"/>
      <c r="AB2891" s="7"/>
    </row>
    <row r="2892" ht="15.75" customHeight="1">
      <c r="A2892" s="171">
        <f>IFERROR(__xludf.DUMMYFUNCTION("""COMPUTED_VALUE"""),4797.0)</f>
        <v>4797</v>
      </c>
      <c r="B2892" s="172" t="str">
        <f>IFERROR(__xludf.DUMMYFUNCTION("""COMPUTED_VALUE"""),"確定")</f>
        <v>確定</v>
      </c>
      <c r="C2892" s="173">
        <f>IFERROR(__xludf.DUMMYFUNCTION("""COMPUTED_VALUE"""),45671.0)</f>
        <v>45671</v>
      </c>
      <c r="D2892" s="173">
        <f>IFERROR(__xludf.DUMMYFUNCTION("""COMPUTED_VALUE"""),45708.0)</f>
        <v>45708</v>
      </c>
      <c r="E2892" s="174">
        <f>IFERROR(__xludf.DUMMYFUNCTION("""COMPUTED_VALUE"""),316001.0)</f>
        <v>316001</v>
      </c>
      <c r="F2892" s="159" t="str">
        <f>IFERROR(__xludf.DUMMYFUNCTION("""COMPUTED_VALUE"""),"偽装結婚のはずが愛されています～天才付与術師は隣国で休暇中～【分冊版】")</f>
        <v>偽装結婚のはずが愛されています～天才付与術師は隣国で休暇中～【分冊版】</v>
      </c>
      <c r="G2892" s="172" t="str">
        <f>IFERROR(__xludf.DUMMYFUNCTION("""COMPUTED_VALUE"""),"1～3")</f>
        <v>1～3</v>
      </c>
      <c r="H2892" s="152" t="str">
        <f>IFERROR(__xludf.DUMMYFUNCTION("""COMPUTED_VALUE"""),"作画：San+　原作：日之影ソラ　キャラクター原案：すらだまみ")</f>
        <v>作画：San+　原作：日之影ソラ　キャラクター原案：すらだまみ</v>
      </c>
      <c r="I2892" s="172" t="str">
        <f>IFERROR(__xludf.DUMMYFUNCTION("""COMPUTED_VALUE"""),"少女")</f>
        <v>少女</v>
      </c>
      <c r="J2892" s="176"/>
      <c r="K2892" s="172" t="str">
        <f>IFERROR(__xludf.DUMMYFUNCTION("""COMPUTED_VALUE"""),"Niμ")</f>
        <v>Niμ</v>
      </c>
      <c r="L2892" s="172" t="str">
        <f>IFERROR(__xludf.DUMMYFUNCTION("""COMPUTED_VALUE"""),"笠倉出版社")</f>
        <v>笠倉出版社</v>
      </c>
      <c r="M2892" s="59">
        <f>IFERROR(__xludf.DUMMYFUNCTION("""COMPUTED_VALUE"""),45726.0)</f>
        <v>45726</v>
      </c>
      <c r="N2892" s="59">
        <f>IFERROR(__xludf.DUMMYFUNCTION("""COMPUTED_VALUE"""),45817.0)</f>
        <v>45817</v>
      </c>
      <c r="O2892" s="172"/>
      <c r="P2892" s="177" t="str">
        <f>IFERROR(__xludf.DUMMYFUNCTION("""COMPUTED_VALUE"""),"可")</f>
        <v>可</v>
      </c>
      <c r="Q2892" s="179" t="str">
        <f>IFERROR(__xludf.DUMMYFUNCTION("""COMPUTED_VALUE"""),"～補足～&lt;BR&gt;・San+先生X&lt;BR&gt;https://x.com/San_plus_?ref_src=twsrc%5Egoogle%7Ctwcamp%5Eserp%7Ctwgr%5Eauthor&lt;BR&gt;・本作は2023年7月18日に配信の下記NiμNOVELS原作のコミカライズ作品となります。&lt;BR&gt;　【2023/7/18配信（NiμNOVELS）】&lt;BR&gt;　・偽装結婚のはずが愛されています～天才付与術師は隣国で休暇中～【電子限定特典付き】&lt;BR&gt;　　原作：日之影ソラ　キャラクター原案：すらだまみ&lt;BR"&amp;"&gt;・本作はpixivコミックで連載中の作品となります。&lt;BR&gt;https://comic.pixiv.net/works/10754&lt;BR&gt;基本的には貴社で先行配信が始まる際、&lt;BR&gt;対象話数をpixivコミックにて掲載終了予定となります。&lt;BR&gt;ただし単行本各巻冒頭話はpixivコミック上に残させていただく予定です。&lt;BR&gt;ご了承いただけますと幸いです。")</f>
        <v>～補足～&lt;BR&gt;・San+先生X&lt;BR&gt;https://x.com/San_plus_?ref_src=twsrc%5Egoogle%7Ctwcamp%5Eserp%7Ctwgr%5Eauthor&lt;BR&gt;・本作は2023年7月18日に配信の下記NiμNOVELS原作のコミカライズ作品となります。&lt;BR&gt;　【2023/7/18配信（NiμNOVELS）】&lt;BR&gt;　・偽装結婚のはずが愛されています～天才付与術師は隣国で休暇中～【電子限定特典付き】&lt;BR&gt;　　原作：日之影ソラ　キャラクター原案：すらだまみ&lt;BR&gt;・本作はpixivコミックで連載中の作品となります。&lt;BR&gt;https://comic.pixiv.net/works/10754&lt;BR&gt;基本的には貴社で先行配信が始まる際、&lt;BR&gt;対象話数をpixivコミックにて掲載終了予定となります。&lt;BR&gt;ただし単行本各巻冒頭話はpixivコミック上に残させていただく予定です。&lt;BR&gt;ご了承いただけますと幸いです。</v>
      </c>
      <c r="R2892" s="152" t="str">
        <f>IFERROR(__xludf.DUMMYFUNCTION("""COMPUTED_VALUE"""),"コミットOK")</f>
        <v>コミットOK</v>
      </c>
      <c r="S2892" s="172" t="str">
        <f>IFERROR(__xludf.DUMMYFUNCTION("""COMPUTED_VALUE"""),"20250219_笠倉出版社_偽装結婚のはずが愛されています～天才付与術師は隣国で休暇中～【分冊版】")</f>
        <v>20250219_笠倉出版社_偽装結婚のはずが愛されています～天才付与術師は隣国で休暇中～【分冊版】</v>
      </c>
      <c r="T2892" s="152" t="str">
        <f>IFERROR(__xludf.DUMMYFUNCTION("""COMPUTED_VALUE"""),"格納済み")</f>
        <v>格納済み</v>
      </c>
      <c r="U2892" s="15" t="str">
        <f>IFERROR(__xludf.DUMMYFUNCTION("""COMPUTED_VALUE"""),"ⒸSan+/日之影ソラ/すらだまみ/笠倉出版社")</f>
        <v>ⒸSan+/日之影ソラ/すらだまみ/笠倉出版社</v>
      </c>
      <c r="V2892" s="8" t="str">
        <f>IFERROR(__xludf.DUMMYFUNCTION("""COMPUTED_VALUE"""),"「フィリス――お前を俺の妻にする」王宮の宮廷付与術師として働いて三年のフィリス。一日の大半は仕事、休日出勤は当たり前の忙殺した日々を送っていた。そんなある日、信頼していた婚約者から運命の人が見つかったからと婚約を破棄されてしまう。失意の中、途方に暮れたフィリスは偶然やってきていた隣国の王子に突然契約結婚を提案され――！？これは、お互いの利害が一致した二人の偽装結婚からはじまるロマンスラブストーリー。※本商品はpixivコミック内の「Niμ」レーベルにて掲載していたものの単話コンテンツとなります。")</f>
        <v>「フィリス――お前を俺の妻にする」王宮の宮廷付与術師として働いて三年のフィリス。一日の大半は仕事、休日出勤は当たり前の忙殺した日々を送っていた。そんなある日、信頼していた婚約者から運命の人が見つかったからと婚約を破棄されてしまう。失意の中、途方に暮れたフィリスは偶然やってきていた隣国の王子に突然契約結婚を提案され――！？これは、お互いの利害が一致した二人の偽装結婚からはじまるロマンスラブストーリー。※本商品はpixivコミック内の「Niμ」レーベルにて掲載していたものの単話コンテンツとなります。</v>
      </c>
      <c r="W2892" s="14"/>
      <c r="X2892" s="14" t="str">
        <f>IFERROR(__xludf.DUMMYFUNCTION("""COMPUTED_VALUE"""),"有")</f>
        <v>有</v>
      </c>
      <c r="Y2892" s="8" t="str">
        <f>IFERROR(__xludf.DUMMYFUNCTION("""COMPUTED_VALUE"""),"2025/3/23まで1巻無料")</f>
        <v>2025/3/23まで1巻無料</v>
      </c>
      <c r="Z2892" s="7"/>
      <c r="AA2892" s="7"/>
      <c r="AB2892" s="7"/>
    </row>
    <row r="2893" ht="15.75" customHeight="1">
      <c r="A2893" s="171">
        <f>IFERROR(__xludf.DUMMYFUNCTION("""COMPUTED_VALUE"""),4876.0)</f>
        <v>4876</v>
      </c>
      <c r="B2893" s="172" t="str">
        <f>IFERROR(__xludf.DUMMYFUNCTION("""COMPUTED_VALUE"""),"確定")</f>
        <v>確定</v>
      </c>
      <c r="C2893" s="173">
        <f>IFERROR(__xludf.DUMMYFUNCTION("""COMPUTED_VALUE"""),45679.0)</f>
        <v>45679</v>
      </c>
      <c r="D2893" s="173">
        <f>IFERROR(__xludf.DUMMYFUNCTION("""COMPUTED_VALUE"""),45714.0)</f>
        <v>45714</v>
      </c>
      <c r="E2893" s="174">
        <f>IFERROR(__xludf.DUMMYFUNCTION("""COMPUTED_VALUE"""),317823.0)</f>
        <v>317823</v>
      </c>
      <c r="F2893" s="159" t="str">
        <f>IFERROR(__xludf.DUMMYFUNCTION("""COMPUTED_VALUE"""),"ネトラレバイト〜純情JDとエリート社員、秘密の深夜残業〜")</f>
        <v>ネトラレバイト〜純情JDとエリート社員、秘密の深夜残業〜</v>
      </c>
      <c r="G2893" s="172" t="str">
        <f>IFERROR(__xludf.DUMMYFUNCTION("""COMPUTED_VALUE"""),"1～3")</f>
        <v>1～3</v>
      </c>
      <c r="H2893" s="152" t="str">
        <f>IFERROR(__xludf.DUMMYFUNCTION("""COMPUTED_VALUE"""),"南波")</f>
        <v>南波</v>
      </c>
      <c r="I2893" s="172" t="str">
        <f>IFERROR(__xludf.DUMMYFUNCTION("""COMPUTED_VALUE"""),"アダルトマンガ")</f>
        <v>アダルトマンガ</v>
      </c>
      <c r="J2893" s="176"/>
      <c r="K2893" s="172" t="str">
        <f>IFERROR(__xludf.DUMMYFUNCTION("""COMPUTED_VALUE"""),"もえスタビースト")</f>
        <v>もえスタビースト</v>
      </c>
      <c r="L2893" s="172" t="str">
        <f>IFERROR(__xludf.DUMMYFUNCTION("""COMPUTED_VALUE"""),"DEEPER-ZERO")</f>
        <v>DEEPER-ZERO</v>
      </c>
      <c r="M2893" s="47">
        <f>IFERROR(__xludf.DUMMYFUNCTION("""COMPUTED_VALUE"""),45738.0)</f>
        <v>45738</v>
      </c>
      <c r="N2893" s="59">
        <f>IFERROR(__xludf.DUMMYFUNCTION("""COMPUTED_VALUE"""),45800.0)</f>
        <v>45800</v>
      </c>
      <c r="O2893" s="172"/>
      <c r="P2893" s="177" t="str">
        <f>IFERROR(__xludf.DUMMYFUNCTION("""COMPUTED_VALUE"""),"可")</f>
        <v>可</v>
      </c>
      <c r="Q2893" s="179" t="str">
        <f>IFERROR(__xludf.DUMMYFUNCTION("""COMPUTED_VALUE"""),"連載先行")</f>
        <v>連載先行</v>
      </c>
      <c r="R2893" s="152" t="str">
        <f>IFERROR(__xludf.DUMMYFUNCTION("""COMPUTED_VALUE"""),"コミットOK")</f>
        <v>コミットOK</v>
      </c>
      <c r="S2893" s="172" t="str">
        <f>IFERROR(__xludf.DUMMYFUNCTION("""COMPUTED_VALUE"""),"20250225_DEEPER-ZERO_ネトラレバイト〜純情JDとエリート社員、秘密の深夜残業〜")</f>
        <v>20250225_DEEPER-ZERO_ネトラレバイト〜純情JDとエリート社員、秘密の深夜残業〜</v>
      </c>
      <c r="T2893" s="152"/>
      <c r="U2893" s="15" t="str">
        <f>IFERROR(__xludf.DUMMYFUNCTION("""COMPUTED_VALUE"""),"Ⓒ南波/DEEPER-ZERO")</f>
        <v>Ⓒ南波/DEEPER-ZERO</v>
      </c>
      <c r="V2893" s="8" t="str">
        <f>IFERROR(__xludf.DUMMYFUNCTION("""COMPUTED_VALUE"""),"「やめてください…トシちゃんを裏切りたくない…」いくら懇願しても激しいピストンは止まらず、私のカラダはイキ跳ねる。なんで…こんなことになっちゃったの？ ――私はスーパーでバイトする大学生。じつは内緒で同僚のトシちゃんと付き合っているの。そんなある日、うちの職場に本部から視察…渋谷さんがやって来た。渋谷さんはイケメンだから、他の女子は喜んでいるみたい。そんな彼の歓迎会に私も参加することになったんだけど、ついお酒を飲み過ぎてちゃって…。気が付いたら裸でベッドの上!? しかも渋谷さんが私のナカに指を…!? ――"&amp;"純情女子大生を襲うクズエリートのNTRセックス！ 彼氏のじゃ当たらない奥をエグられる…！")</f>
        <v>「やめてください…トシちゃんを裏切りたくない…」いくら懇願しても激しいピストンは止まらず、私のカラダはイキ跳ねる。なんで…こんなことになっちゃったの？ ――私はスーパーでバイトする大学生。じつは内緒で同僚のトシちゃんと付き合っているの。そんなある日、うちの職場に本部から視察…渋谷さんがやって来た。渋谷さんはイケメンだから、他の女子は喜んでいるみたい。そんな彼の歓迎会に私も参加することになったんだけど、ついお酒を飲み過ぎてちゃって…。気が付いたら裸でベッドの上!? しかも渋谷さんが私のナカに指を…!? ――純情女子大生を襲うクズエリートのNTRセックス！ 彼氏のじゃ当たらない奥をエグられる…！</v>
      </c>
      <c r="W2893" s="14"/>
      <c r="X2893" s="14" t="str">
        <f>IFERROR(__xludf.DUMMYFUNCTION("""COMPUTED_VALUE"""),"有")</f>
        <v>有</v>
      </c>
      <c r="Y2893" s="8" t="str">
        <f>IFERROR(__xludf.DUMMYFUNCTION("""COMPUTED_VALUE"""),"2025/4/18まで1巻無料")</f>
        <v>2025/4/18まで1巻無料</v>
      </c>
      <c r="Z2893" s="7"/>
      <c r="AA2893" s="7"/>
      <c r="AB2893" s="7"/>
    </row>
    <row r="2894" ht="15.75" customHeight="1">
      <c r="A2894" s="171">
        <f>IFERROR(__xludf.DUMMYFUNCTION("""COMPUTED_VALUE"""),4877.0)</f>
        <v>4877</v>
      </c>
      <c r="B2894" s="172" t="str">
        <f>IFERROR(__xludf.DUMMYFUNCTION("""COMPUTED_VALUE"""),"確定")</f>
        <v>確定</v>
      </c>
      <c r="C2894" s="173">
        <f>IFERROR(__xludf.DUMMYFUNCTION("""COMPUTED_VALUE"""),45679.0)</f>
        <v>45679</v>
      </c>
      <c r="D2894" s="173">
        <f>IFERROR(__xludf.DUMMYFUNCTION("""COMPUTED_VALUE"""),45714.0)</f>
        <v>45714</v>
      </c>
      <c r="E2894" s="174">
        <f>IFERROR(__xludf.DUMMYFUNCTION("""COMPUTED_VALUE"""),319432.0)</f>
        <v>319432</v>
      </c>
      <c r="F2894" s="159" t="str">
        <f>IFERROR(__xludf.DUMMYFUNCTION("""COMPUTED_VALUE"""),"ランブル・ラブ")</f>
        <v>ランブル・ラブ</v>
      </c>
      <c r="G2894" s="172" t="str">
        <f>IFERROR(__xludf.DUMMYFUNCTION("""COMPUTED_VALUE"""),"1～2")</f>
        <v>1～2</v>
      </c>
      <c r="H2894" s="152" t="str">
        <f>IFERROR(__xludf.DUMMYFUNCTION("""COMPUTED_VALUE"""),"七七七")</f>
        <v>七七七</v>
      </c>
      <c r="I2894" s="172" t="str">
        <f>IFERROR(__xludf.DUMMYFUNCTION("""COMPUTED_VALUE"""),"BL")</f>
        <v>BL</v>
      </c>
      <c r="J2894" s="176"/>
      <c r="K2894" s="172" t="str">
        <f>IFERROR(__xludf.DUMMYFUNCTION("""COMPUTED_VALUE"""),"NuPu")</f>
        <v>NuPu</v>
      </c>
      <c r="L2894" s="172" t="str">
        <f>IFERROR(__xludf.DUMMYFUNCTION("""COMPUTED_VALUE"""),"CLLENN")</f>
        <v>CLLENN</v>
      </c>
      <c r="M2894" s="59">
        <f>IFERROR(__xludf.DUMMYFUNCTION("""COMPUTED_VALUE"""),45757.0)</f>
        <v>45757</v>
      </c>
      <c r="N2894" s="47">
        <f>IFERROR(__xludf.DUMMYFUNCTION("""COMPUTED_VALUE"""),45819.0)</f>
        <v>45819</v>
      </c>
      <c r="O2894" s="172"/>
      <c r="P2894" s="177" t="str">
        <f>IFERROR(__xludf.DUMMYFUNCTION("""COMPUTED_VALUE"""),"可")</f>
        <v>可</v>
      </c>
      <c r="Q2894" s="179" t="str">
        <f>IFERROR(__xludf.DUMMYFUNCTION("""COMPUTED_VALUE"""),"連載先行&lt;BR&gt;&lt;BR&gt;Xですでに２万８千人のフォロワーがいる先生の新作です。&lt;BR&gt;商業実績が大量にあるわけではないですが、一定のファンがいる方なので売上の期待値も高い新作です。")</f>
        <v>連載先行&lt;BR&gt;&lt;BR&gt;Xですでに２万８千人のフォロワーがいる先生の新作です。&lt;BR&gt;商業実績が大量にあるわけではないですが、一定のファンがいる方なので売上の期待値も高い新作です。</v>
      </c>
      <c r="R2894" s="152" t="str">
        <f>IFERROR(__xludf.DUMMYFUNCTION("""COMPUTED_VALUE"""),"コミットOK")</f>
        <v>コミットOK</v>
      </c>
      <c r="S2894" s="172" t="str">
        <f>IFERROR(__xludf.DUMMYFUNCTION("""COMPUTED_VALUE"""),"20250226_CLLENN_ランブル・ラブ")</f>
        <v>20250226_CLLENN_ランブル・ラブ</v>
      </c>
      <c r="T2894" s="152"/>
      <c r="U2894" s="15" t="str">
        <f>IFERROR(__xludf.DUMMYFUNCTION("""COMPUTED_VALUE"""),"Ⓒ七七七/CLLENN")</f>
        <v>Ⓒ七七七/CLLENN</v>
      </c>
      <c r="V2894" s="8" t="str">
        <f>IFERROR(__xludf.DUMMYFUNCTION("""COMPUTED_VALUE"""),"（まさか「推し」の家出を助けることになるなんて…）
お人好しで律儀なサラリーマンのミネは、普通の男子学生・ヨウを密かに推している。
SNSで見るハツラツとした姿にいつも癒されていたが、突如助けを求めるポストが投稿され大慌て。
ゲイ向け風俗店で働く彼氏・アキとのケンカで家を飛び出し、行くアテがなく困っている様子に思わず手を差し伸べてしまう。
しかし、アキがどんなに最低な男でも、ヨウは仲直りしたいと言い出す始末で！？
推しの幸せを脅かす男の存在に、ミネの心中は穏やかではなくなり……
ミネは"&amp;"ヨウとアキを別れさせることができるのか！？
ヨウはアキとのハッピーライフを取り戻すことができるのか！？
アキの真意は一体何なのか！？
お人好し＆ワル×迷える子羊の揺れるトライアングル・ラブ！")</f>
        <v>（まさか「推し」の家出を助けることになるなんて…）
お人好しで律儀なサラリーマンのミネは、普通の男子学生・ヨウを密かに推している。
SNSで見るハツラツとした姿にいつも癒されていたが、突如助けを求めるポストが投稿され大慌て。
ゲイ向け風俗店で働く彼氏・アキとのケンカで家を飛び出し、行くアテがなく困っている様子に思わず手を差し伸べてしまう。
しかし、アキがどんなに最低な男でも、ヨウは仲直りしたいと言い出す始末で！？
推しの幸せを脅かす男の存在に、ミネの心中は穏やかではなくなり……
ミネはヨウとアキを別れさせることができるのか！？
ヨウはアキとのハッピーライフを取り戻すことができるのか！？
アキの真意は一体何なのか！？
お人好し＆ワル×迷える子羊の揺れるトライアングル・ラブ！</v>
      </c>
      <c r="W2894" s="14"/>
      <c r="X2894" s="14" t="str">
        <f>IFERROR(__xludf.DUMMYFUNCTION("""COMPUTED_VALUE"""),"有")</f>
        <v>有</v>
      </c>
      <c r="Y2894" s="8" t="str">
        <f>IFERROR(__xludf.DUMMYFUNCTION("""COMPUTED_VALUE"""),"P10まで")</f>
        <v>P10まで</v>
      </c>
      <c r="Z2894" s="7"/>
      <c r="AA2894" s="7"/>
      <c r="AB2894" s="7"/>
    </row>
    <row r="2895" ht="15.75" customHeight="1">
      <c r="A2895" s="171">
        <f>IFERROR(__xludf.DUMMYFUNCTION("""COMPUTED_VALUE"""),4878.0)</f>
        <v>4878</v>
      </c>
      <c r="B2895" s="172" t="str">
        <f>IFERROR(__xludf.DUMMYFUNCTION("""COMPUTED_VALUE"""),"確定")</f>
        <v>確定</v>
      </c>
      <c r="C2895" s="173">
        <f>IFERROR(__xludf.DUMMYFUNCTION("""COMPUTED_VALUE"""),45679.0)</f>
        <v>45679</v>
      </c>
      <c r="D2895" s="173">
        <f>IFERROR(__xludf.DUMMYFUNCTION("""COMPUTED_VALUE"""),45714.0)</f>
        <v>45714</v>
      </c>
      <c r="E2895" s="174">
        <f>IFERROR(__xludf.DUMMYFUNCTION("""COMPUTED_VALUE"""),319431.0)</f>
        <v>319431</v>
      </c>
      <c r="F2895" s="159" t="str">
        <f>IFERROR(__xludf.DUMMYFUNCTION("""COMPUTED_VALUE"""),"酔いが満ちたら恋が来る")</f>
        <v>酔いが満ちたら恋が来る</v>
      </c>
      <c r="G2895" s="172" t="str">
        <f>IFERROR(__xludf.DUMMYFUNCTION("""COMPUTED_VALUE"""),"1～2")</f>
        <v>1～2</v>
      </c>
      <c r="H2895" s="152" t="str">
        <f>IFERROR(__xludf.DUMMYFUNCTION("""COMPUTED_VALUE"""),"斉藤")</f>
        <v>斉藤</v>
      </c>
      <c r="I2895" s="172" t="str">
        <f>IFERROR(__xludf.DUMMYFUNCTION("""COMPUTED_VALUE"""),"BL")</f>
        <v>BL</v>
      </c>
      <c r="J2895" s="176"/>
      <c r="K2895" s="172" t="str">
        <f>IFERROR(__xludf.DUMMYFUNCTION("""COMPUTED_VALUE"""),"NuPu")</f>
        <v>NuPu</v>
      </c>
      <c r="L2895" s="172" t="str">
        <f>IFERROR(__xludf.DUMMYFUNCTION("""COMPUTED_VALUE"""),"CLLENN")</f>
        <v>CLLENN</v>
      </c>
      <c r="M2895" s="59">
        <f>IFERROR(__xludf.DUMMYFUNCTION("""COMPUTED_VALUE"""),45757.0)</f>
        <v>45757</v>
      </c>
      <c r="N2895" s="47">
        <f>IFERROR(__xludf.DUMMYFUNCTION("""COMPUTED_VALUE"""),45819.0)</f>
        <v>45819</v>
      </c>
      <c r="O2895" s="172"/>
      <c r="P2895" s="177" t="str">
        <f>IFERROR(__xludf.DUMMYFUNCTION("""COMPUTED_VALUE"""),"可")</f>
        <v>可</v>
      </c>
      <c r="Q2895" s="179" t="str">
        <f>IFERROR(__xludf.DUMMYFUNCTION("""COMPUTED_VALUE"""),"連載先行&lt;BR&gt;&lt;BR&gt;商業実績が豊富な方ではないのですが、作画クオリティの高さで同人では一定の人気がある方です。&lt;BR&gt;広告映えもしそうな絵柄なので、ぜひご検討頂けますと幸いです。")</f>
        <v>連載先行&lt;BR&gt;&lt;BR&gt;商業実績が豊富な方ではないのですが、作画クオリティの高さで同人では一定の人気がある方です。&lt;BR&gt;広告映えもしそうな絵柄なので、ぜひご検討頂けますと幸いです。</v>
      </c>
      <c r="R2895" s="152" t="str">
        <f>IFERROR(__xludf.DUMMYFUNCTION("""COMPUTED_VALUE"""),"コミットOK")</f>
        <v>コミットOK</v>
      </c>
      <c r="S2895" s="172" t="str">
        <f>IFERROR(__xludf.DUMMYFUNCTION("""COMPUTED_VALUE"""),"20250226_CLLENN_酔いが満ちたら恋が来る	")</f>
        <v>20250226_CLLENN_酔いが満ちたら恋が来る	</v>
      </c>
      <c r="T2895" s="152"/>
      <c r="U2895" s="15" t="str">
        <f>IFERROR(__xludf.DUMMYFUNCTION("""COMPUTED_VALUE"""),"Ⓒ斉藤/CLLENN	")</f>
        <v>Ⓒ斉藤/CLLENN	</v>
      </c>
      <c r="V2895" s="8" t="str">
        <f>IFERROR(__xludf.DUMMYFUNCTION("""COMPUTED_VALUE"""),"「吸われるより摘ままれる方が好き？どっちもいっぱいしてあげるね」
イベント会社の営業・石塚は、業績優秀な同期の神谷を目の敵にしていた。
入社した頃は差がなかったはずなのに、気づいたら優秀な営業マンとして活躍する神谷……
そんな石塚の対抗心などつゆ知らず、彼は気さくに話しかけてくる。
マイペースに絡んでくるのは、自分なんてライバルにもならないからだと思い、石塚はついそっけない態度を取ってしまう。
ある日の飲み会で体調を崩した神谷を仕方なく連れて帰り、様子を見ていたら突然唇を奪われてしまい――！"&amp;"？
「俺、プレミアムマルツ（ビール）と同じくらい良平だぁいすき」
「お、お、お前、酔ってんだろっ」
物腰やわらかムードメーカー×面倒見のいいツンデレ男前
デキるふたりが繰り広げるリーマンBL！")</f>
        <v>「吸われるより摘ままれる方が好き？どっちもいっぱいしてあげるね」
イベント会社の営業・石塚は、業績優秀な同期の神谷を目の敵にしていた。
入社した頃は差がなかったはずなのに、気づいたら優秀な営業マンとして活躍する神谷……
そんな石塚の対抗心などつゆ知らず、彼は気さくに話しかけてくる。
マイペースに絡んでくるのは、自分なんてライバルにもならないからだと思い、石塚はついそっけない態度を取ってしまう。
ある日の飲み会で体調を崩した神谷を仕方なく連れて帰り、様子を見ていたら突然唇を奪われてしまい――！？
「俺、プレミアムマルツ（ビール）と同じくらい良平だぁいすき」
「お、お、お前、酔ってんだろっ」
物腰やわらかムードメーカー×面倒見のいいツンデレ男前
デキるふたりが繰り広げるリーマンBL！</v>
      </c>
      <c r="W2895" s="14"/>
      <c r="X2895" s="14" t="str">
        <f>IFERROR(__xludf.DUMMYFUNCTION("""COMPUTED_VALUE"""),"有")</f>
        <v>有</v>
      </c>
      <c r="Y2895" s="8" t="str">
        <f>IFERROR(__xludf.DUMMYFUNCTION("""COMPUTED_VALUE"""),"P11まで")</f>
        <v>P11まで</v>
      </c>
      <c r="Z2895" s="7"/>
      <c r="AA2895" s="7"/>
      <c r="AB2895" s="7"/>
    </row>
    <row r="2896" ht="15.75" customHeight="1">
      <c r="A2896" s="171">
        <f>IFERROR(__xludf.DUMMYFUNCTION("""COMPUTED_VALUE"""),4884.0)</f>
        <v>4884</v>
      </c>
      <c r="B2896" s="172" t="str">
        <f>IFERROR(__xludf.DUMMYFUNCTION("""COMPUTED_VALUE"""),"確定")</f>
        <v>確定</v>
      </c>
      <c r="C2896" s="173">
        <f>IFERROR(__xludf.DUMMYFUNCTION("""COMPUTED_VALUE"""),45680.0)</f>
        <v>45680</v>
      </c>
      <c r="D2896" s="173">
        <f>IFERROR(__xludf.DUMMYFUNCTION("""COMPUTED_VALUE"""),45713.0)</f>
        <v>45713</v>
      </c>
      <c r="E2896" s="174">
        <f>IFERROR(__xludf.DUMMYFUNCTION("""COMPUTED_VALUE"""),318134.0)</f>
        <v>318134</v>
      </c>
      <c r="F2896" s="159" t="str">
        <f>IFERROR(__xludf.DUMMYFUNCTION("""COMPUTED_VALUE"""),"濃いコーヒーにミルクを")</f>
        <v>濃いコーヒーにミルクを</v>
      </c>
      <c r="G2896" s="172" t="str">
        <f>IFERROR(__xludf.DUMMYFUNCTION("""COMPUTED_VALUE"""),"1～2")</f>
        <v>1～2</v>
      </c>
      <c r="H2896" s="152" t="str">
        <f>IFERROR(__xludf.DUMMYFUNCTION("""COMPUTED_VALUE"""),"ピロ子")</f>
        <v>ピロ子</v>
      </c>
      <c r="I2896" s="172" t="str">
        <f>IFERROR(__xludf.DUMMYFUNCTION("""COMPUTED_VALUE"""),"BL")</f>
        <v>BL</v>
      </c>
      <c r="J2896" s="176"/>
      <c r="K2896" s="172" t="str">
        <f>IFERROR(__xludf.DUMMYFUNCTION("""COMPUTED_VALUE"""),"NuPu")</f>
        <v>NuPu</v>
      </c>
      <c r="L2896" s="172" t="str">
        <f>IFERROR(__xludf.DUMMYFUNCTION("""COMPUTED_VALUE"""),"CLLENN")</f>
        <v>CLLENN</v>
      </c>
      <c r="M2896" s="59">
        <f>IFERROR(__xludf.DUMMYFUNCTION("""COMPUTED_VALUE"""),45743.0)</f>
        <v>45743</v>
      </c>
      <c r="N2896" s="28">
        <f>IFERROR(__xludf.DUMMYFUNCTION("""COMPUTED_VALUE"""),45805.0)</f>
        <v>45805</v>
      </c>
      <c r="O2896" s="172"/>
      <c r="P2896" s="177" t="str">
        <f>IFERROR(__xludf.DUMMYFUNCTION("""COMPUTED_VALUE"""),"可")</f>
        <v>可</v>
      </c>
      <c r="Q2896" s="179" t="str">
        <f>IFERROR(__xludf.DUMMYFUNCTION("""COMPUTED_VALUE"""),"連載先行&lt;BR&gt;商業経験のある先生の新作になります。医学部という設定で心がほっとするようなストーリーの作品です。ぜひご検討いただけますと幸いです。")</f>
        <v>連載先行&lt;BR&gt;商業経験のある先生の新作になります。医学部という設定で心がほっとするようなストーリーの作品です。ぜひご検討いただけますと幸いです。</v>
      </c>
      <c r="R2896" s="152" t="str">
        <f>IFERROR(__xludf.DUMMYFUNCTION("""COMPUTED_VALUE"""),"コミットNG")</f>
        <v>コミットNG</v>
      </c>
      <c r="S2896" s="172" t="str">
        <f>IFERROR(__xludf.DUMMYFUNCTION("""COMPUTED_VALUE"""),"20250218_CLLENN_濃いコーヒーにミルクを")</f>
        <v>20250218_CLLENN_濃いコーヒーにミルクを</v>
      </c>
      <c r="T2896" s="152" t="str">
        <f>IFERROR(__xludf.DUMMYFUNCTION("""COMPUTED_VALUE"""),"格納済み")</f>
        <v>格納済み</v>
      </c>
      <c r="U2896" s="15" t="str">
        <f>IFERROR(__xludf.DUMMYFUNCTION("""COMPUTED_VALUE"""),"Ⓒピロ子/CLLENN")</f>
        <v>Ⓒピロ子/CLLENN</v>
      </c>
      <c r="V2896" s="8" t="str">
        <f>IFERROR(__xludf.DUMMYFUNCTION("""COMPUTED_VALUE"""),"「大っっ変不誠実ですよ！」
医大生のミトは家族から将来は安泰だ――と言われているが、1つだけ悩みがあった。
それは“共感力がない”こと。
大学の同級生からは「ロボっぽい」と言われ、
彼女からも「人の気持ちを考えたほうがいいよ」とフラれてしまう始末。
悶々とした日々を送っていたミトは、気分転換でカフェに立ち寄ることに――。
そのカフェの店長・駿祐の気さくな接客と人好きのする笑顔に好印象を抱いていたが、
実は駿祐は女性関係にだらしないヤリチンで――！？
ミルクのように優しく甘いイケおじカフ"&amp;"ェ店長×コーヒーのように合理的でドライな医大生が織りなす、ハートフルラブ！！")</f>
        <v>「大っっ変不誠実ですよ！」
医大生のミトは家族から将来は安泰だ――と言われているが、1つだけ悩みがあった。
それは“共感力がない”こと。
大学の同級生からは「ロボっぽい」と言われ、
彼女からも「人の気持ちを考えたほうがいいよ」とフラれてしまう始末。
悶々とした日々を送っていたミトは、気分転換でカフェに立ち寄ることに――。
そのカフェの店長・駿祐の気さくな接客と人好きのする笑顔に好印象を抱いていたが、
実は駿祐は女性関係にだらしないヤリチンで――！？
ミルクのように優しく甘いイケおじカフェ店長×コーヒーのように合理的でドライな医大生が織りなす、ハートフルラブ！！</v>
      </c>
      <c r="W2896" s="14"/>
      <c r="X2896" s="14" t="str">
        <f>IFERROR(__xludf.DUMMYFUNCTION("""COMPUTED_VALUE"""),"有")</f>
        <v>有</v>
      </c>
      <c r="Y2896" s="8" t="str">
        <f>IFERROR(__xludf.DUMMYFUNCTION("""COMPUTED_VALUE"""),"2025/4/9まで立ち読み増量（P18まで）")</f>
        <v>2025/4/9まで立ち読み増量（P18まで）</v>
      </c>
      <c r="Z2896" s="7"/>
      <c r="AA2896" s="7"/>
      <c r="AB2896" s="7"/>
    </row>
    <row r="2897" ht="15.75" customHeight="1">
      <c r="A2897" s="171">
        <f>IFERROR(__xludf.DUMMYFUNCTION("""COMPUTED_VALUE"""),4915.0)</f>
        <v>4915</v>
      </c>
      <c r="B2897" s="172" t="str">
        <f>IFERROR(__xludf.DUMMYFUNCTION("""COMPUTED_VALUE"""),"確定")</f>
        <v>確定</v>
      </c>
      <c r="C2897" s="173">
        <f>IFERROR(__xludf.DUMMYFUNCTION("""COMPUTED_VALUE"""),45684.0)</f>
        <v>45684</v>
      </c>
      <c r="D2897" s="173">
        <f>IFERROR(__xludf.DUMMYFUNCTION("""COMPUTED_VALUE"""),45713.0)</f>
        <v>45713</v>
      </c>
      <c r="E2897" s="174">
        <f>IFERROR(__xludf.DUMMYFUNCTION("""COMPUTED_VALUE"""),317041.0)</f>
        <v>317041</v>
      </c>
      <c r="F2897" s="159" t="str">
        <f>IFERROR(__xludf.DUMMYFUNCTION("""COMPUTED_VALUE"""),"王子な騎士団長は薬草好きの令嬢を溺愛してめとりたい【分冊版】")</f>
        <v>王子な騎士団長は薬草好きの令嬢を溺愛してめとりたい【分冊版】</v>
      </c>
      <c r="G2897" s="172" t="str">
        <f>IFERROR(__xludf.DUMMYFUNCTION("""COMPUTED_VALUE"""),"1～2")</f>
        <v>1～2</v>
      </c>
      <c r="H2897" s="161" t="str">
        <f>IFERROR(__xludf.DUMMYFUNCTION("""COMPUTED_VALUE"""),"秋月咲良 熊野まゆ")</f>
        <v>秋月咲良 熊野まゆ</v>
      </c>
      <c r="I2897" s="172" t="str">
        <f>IFERROR(__xludf.DUMMYFUNCTION("""COMPUTED_VALUE"""),"女性")</f>
        <v>女性</v>
      </c>
      <c r="J2897" s="176"/>
      <c r="K2897" s="172" t="str">
        <f>IFERROR(__xludf.DUMMYFUNCTION("""COMPUTED_VALUE"""),"乙女ドルチェ・コミックス")</f>
        <v>乙女ドルチェ・コミックス</v>
      </c>
      <c r="L2897" s="184" t="str">
        <f>IFERROR(__xludf.DUMMYFUNCTION("""COMPUTED_VALUE"""),"乙女ドルチェ・コミックス")</f>
        <v>乙女ドルチェ・コミックス</v>
      </c>
      <c r="M2897" s="59">
        <f>IFERROR(__xludf.DUMMYFUNCTION("""COMPUTED_VALUE"""),45734.0)</f>
        <v>45734</v>
      </c>
      <c r="N2897" s="59">
        <f>IFERROR(__xludf.DUMMYFUNCTION("""COMPUTED_VALUE"""),45792.0)</f>
        <v>45792</v>
      </c>
      <c r="O2897" s="172"/>
      <c r="P2897" s="177" t="str">
        <f>IFERROR(__xludf.DUMMYFUNCTION("""COMPUTED_VALUE"""),"可")</f>
        <v>可</v>
      </c>
      <c r="Q2897" s="179"/>
      <c r="R2897" s="152" t="str">
        <f>IFERROR(__xludf.DUMMYFUNCTION("""COMPUTED_VALUE"""),"コミットOK")</f>
        <v>コミットOK</v>
      </c>
      <c r="S2897" s="172" t="str">
        <f>IFERROR(__xludf.DUMMYFUNCTION("""COMPUTED_VALUE"""),"20250214_ハーパーコリンズ・ジャパン_王子な騎士団長は薬草好きの令嬢を溺愛してめとりたい【分冊版】")</f>
        <v>20250214_ハーパーコリンズ・ジャパン_王子な騎士団長は薬草好きの令嬢を溺愛してめとりたい【分冊版】</v>
      </c>
      <c r="T2897" s="152" t="str">
        <f>IFERROR(__xludf.DUMMYFUNCTION("""COMPUTED_VALUE"""),"格納済")</f>
        <v>格納済</v>
      </c>
      <c r="U2897" s="15" t="str">
        <f>IFERROR(__xludf.DUMMYFUNCTION("""COMPUTED_VALUE"""),"Ⓒ秋月咲良・熊野まゆ／ハーパーコリンズ・ジャパン")</f>
        <v>Ⓒ秋月咲良・熊野まゆ／ハーパーコリンズ・ジャパン</v>
      </c>
      <c r="V2897" s="8" t="str">
        <f>IFERROR(__xludf.DUMMYFUNCTION("""COMPUTED_VALUE"""),"一途なイケメン王子×ハーブ好きの辺境伯令嬢
自分にこんな…独占欲があるとは知らなかった
「甘くかぐわしい…俺だけの花」温かな腕に抱かれ、囁かれ――あなたへの愛おしさが溢れてくる…。薬草好きの辺境伯令嬢・ローズマリーは日々、騎士団でハーブティーを振る舞っていた。そんななか、新しい騎士団長として第三王子のジェイラスが赴任。美しく圧倒的な魅力の彼に最初は騎士団に来ることを禁止されるが、ハーブティーの良さを認められ、互いに惹かれ合い、ついにプロポーズまで!!　
だが、ジェイラスが次期国王に指名されて事態"&amp;"が急変し…!?")</f>
        <v>一途なイケメン王子×ハーブ好きの辺境伯令嬢
自分にこんな…独占欲があるとは知らなかった
「甘くかぐわしい…俺だけの花」温かな腕に抱かれ、囁かれ――あなたへの愛おしさが溢れてくる…。薬草好きの辺境伯令嬢・ローズマリーは日々、騎士団でハーブティーを振る舞っていた。そんななか、新しい騎士団長として第三王子のジェイラスが赴任。美しく圧倒的な魅力の彼に最初は騎士団に来ることを禁止されるが、ハーブティーの良さを認められ、互いに惹かれ合い、ついにプロポーズまで!!　
だが、ジェイラスが次期国王に指名されて事態が急変し…!?</v>
      </c>
      <c r="W2897" s="14"/>
      <c r="X2897" s="14" t="str">
        <f>IFERROR(__xludf.DUMMYFUNCTION("""COMPUTED_VALUE"""),"有")</f>
        <v>有</v>
      </c>
      <c r="Y2897" s="8" t="str">
        <f>IFERROR(__xludf.DUMMYFUNCTION("""COMPUTED_VALUE"""),"2025/4/17まで1巻立ち読み増量（P13まで）")</f>
        <v>2025/4/17まで1巻立ち読み増量（P13まで）</v>
      </c>
      <c r="Z2897" s="7"/>
      <c r="AA2897" s="7"/>
      <c r="AB2897" s="7"/>
    </row>
    <row r="2898" ht="15.75" customHeight="1">
      <c r="A2898" s="171">
        <f>IFERROR(__xludf.DUMMYFUNCTION("""COMPUTED_VALUE"""),4917.0)</f>
        <v>4917</v>
      </c>
      <c r="B2898" s="172" t="str">
        <f>IFERROR(__xludf.DUMMYFUNCTION("""COMPUTED_VALUE"""),"確定")</f>
        <v>確定</v>
      </c>
      <c r="C2898" s="173">
        <f>IFERROR(__xludf.DUMMYFUNCTION("""COMPUTED_VALUE"""),45684.0)</f>
        <v>45684</v>
      </c>
      <c r="D2898" s="173">
        <f>IFERROR(__xludf.DUMMYFUNCTION("""COMPUTED_VALUE"""),45713.0)</f>
        <v>45713</v>
      </c>
      <c r="E2898" s="174">
        <f>IFERROR(__xludf.DUMMYFUNCTION("""COMPUTED_VALUE"""),317040.0)</f>
        <v>317040</v>
      </c>
      <c r="F2898" s="159" t="str">
        <f>IFERROR(__xludf.DUMMYFUNCTION("""COMPUTED_VALUE"""),"死を望む悪役令嬢ですが、王太子に予想外に溺愛されて困惑しています")</f>
        <v>死を望む悪役令嬢ですが、王太子に予想外に溺愛されて困惑しています</v>
      </c>
      <c r="G2898" s="172">
        <f>IFERROR(__xludf.DUMMYFUNCTION("""COMPUTED_VALUE"""),1.0)</f>
        <v>1</v>
      </c>
      <c r="H2898" s="161" t="str">
        <f>IFERROR(__xludf.DUMMYFUNCTION("""COMPUTED_VALUE"""),"柾木見月 木登")</f>
        <v>柾木見月 木登</v>
      </c>
      <c r="I2898" s="172" t="str">
        <f>IFERROR(__xludf.DUMMYFUNCTION("""COMPUTED_VALUE"""),"TL")</f>
        <v>TL</v>
      </c>
      <c r="J2898" s="176"/>
      <c r="K2898" s="172" t="str">
        <f>IFERROR(__xludf.DUMMYFUNCTION("""COMPUTED_VALUE"""),"乙女ドルチェ・コミックス")</f>
        <v>乙女ドルチェ・コミックス</v>
      </c>
      <c r="L2898" s="184" t="str">
        <f>IFERROR(__xludf.DUMMYFUNCTION("""COMPUTED_VALUE"""),"乙女ドルチェ・コミックス")</f>
        <v>乙女ドルチェ・コミックス</v>
      </c>
      <c r="M2898" s="59">
        <f>IFERROR(__xludf.DUMMYFUNCTION("""COMPUTED_VALUE"""),45734.0)</f>
        <v>45734</v>
      </c>
      <c r="N2898" s="59">
        <f>IFERROR(__xludf.DUMMYFUNCTION("""COMPUTED_VALUE"""),45792.0)</f>
        <v>45792</v>
      </c>
      <c r="O2898" s="172"/>
      <c r="P2898" s="177" t="str">
        <f>IFERROR(__xludf.DUMMYFUNCTION("""COMPUTED_VALUE"""),"可")</f>
        <v>可</v>
      </c>
      <c r="Q2898" s="179" t="str">
        <f>IFERROR(__xludf.DUMMYFUNCTION("""COMPUTED_VALUE"""),"1巻完結")</f>
        <v>1巻完結</v>
      </c>
      <c r="R2898" s="152" t="str">
        <f>IFERROR(__xludf.DUMMYFUNCTION("""COMPUTED_VALUE"""),"コミットNG")</f>
        <v>コミットNG</v>
      </c>
      <c r="S2898" s="172" t="str">
        <f>IFERROR(__xludf.DUMMYFUNCTION("""COMPUTED_VALUE"""),"20250214_ハーパーコリンズ・ジャパン_死を望む悪役令嬢ですが、王太子に予想外に溺愛されて困惑しています")</f>
        <v>20250214_ハーパーコリンズ・ジャパン_死を望む悪役令嬢ですが、王太子に予想外に溺愛されて困惑しています</v>
      </c>
      <c r="T2898" s="152" t="str">
        <f>IFERROR(__xludf.DUMMYFUNCTION("""COMPUTED_VALUE"""),"格納済み")</f>
        <v>格納済み</v>
      </c>
      <c r="U2898" s="15" t="str">
        <f>IFERROR(__xludf.DUMMYFUNCTION("""COMPUTED_VALUE"""),"Ⓒ柾木見月・木登／ハーパーコリンズ・ジャパン")</f>
        <v>Ⓒ柾木見月・木登／ハーパーコリンズ・ジャパン</v>
      </c>
      <c r="V2898" s="8" t="str">
        <f>IFERROR(__xludf.DUMMYFUNCTION("""COMPUTED_VALUE"""),"私が、王太子の攻略対象！？
一度だけと身を任せたら、彼の愛撫が止まらない！
「大丈夫だよ。もっと可愛がらせて」王太子リオネルの唇が肌をなぞっていく。こんなはずじゃなかったけど、今だけ、ずっと望んでいたこの腕に抱かれたい――。実は異世界から転生した記憶を持っている、伯爵令嬢のミネット。婚約者のリオネルは、自分と結ばれたら死んでしまう。愛する彼の未来を変えるため、ヒロインのアニエスとくっつけようとするものの、なぜか計画は裏目に出るばかりで、リオネルの熱愛は日々増していく!!　情熱的な囁きと愛撫に、ミネ"&amp;"ットの身体も熱く応えてしまって……。")</f>
        <v>私が、王太子の攻略対象！？
一度だけと身を任せたら、彼の愛撫が止まらない！
「大丈夫だよ。もっと可愛がらせて」王太子リオネルの唇が肌をなぞっていく。こんなはずじゃなかったけど、今だけ、ずっと望んでいたこの腕に抱かれたい――。実は異世界から転生した記憶を持っている、伯爵令嬢のミネット。婚約者のリオネルは、自分と結ばれたら死んでしまう。愛する彼の未来を変えるため、ヒロインのアニエスとくっつけようとするものの、なぜか計画は裏目に出るばかりで、リオネルの熱愛は日々増していく!!　情熱的な囁きと愛撫に、ミネットの身体も熱く応えてしまって……。</v>
      </c>
      <c r="W2898" s="14"/>
      <c r="X2898" s="14" t="str">
        <f>IFERROR(__xludf.DUMMYFUNCTION("""COMPUTED_VALUE"""),"有")</f>
        <v>有</v>
      </c>
      <c r="Y2898" s="8" t="str">
        <f>IFERROR(__xludf.DUMMYFUNCTION("""COMPUTED_VALUE"""),"2025/4/17まで1巻立ち読み増量（P45まで）")</f>
        <v>2025/4/17まで1巻立ち読み増量（P45まで）</v>
      </c>
      <c r="Z2898" s="7"/>
      <c r="AA2898" s="7"/>
      <c r="AB2898" s="7"/>
    </row>
    <row r="2899" ht="15.75" customHeight="1">
      <c r="A2899" s="171">
        <f>IFERROR(__xludf.DUMMYFUNCTION("""COMPUTED_VALUE"""),4918.0)</f>
        <v>4918</v>
      </c>
      <c r="B2899" s="172" t="str">
        <f>IFERROR(__xludf.DUMMYFUNCTION("""COMPUTED_VALUE"""),"確定")</f>
        <v>確定</v>
      </c>
      <c r="C2899" s="173">
        <f>IFERROR(__xludf.DUMMYFUNCTION("""COMPUTED_VALUE"""),45684.0)</f>
        <v>45684</v>
      </c>
      <c r="D2899" s="173">
        <f>IFERROR(__xludf.DUMMYFUNCTION("""COMPUTED_VALUE"""),45714.0)</f>
        <v>45714</v>
      </c>
      <c r="E2899" s="174">
        <f>IFERROR(__xludf.DUMMYFUNCTION("""COMPUTED_VALUE"""),317396.0)</f>
        <v>317396</v>
      </c>
      <c r="F2899" s="159" t="str">
        <f>IFERROR(__xludf.DUMMYFUNCTION("""COMPUTED_VALUE"""),"愛するつもりなぞないんでしょうから【単話】")</f>
        <v>愛するつもりなぞないんでしょうから【単話】</v>
      </c>
      <c r="G2899" s="172" t="str">
        <f>IFERROR(__xludf.DUMMYFUNCTION("""COMPUTED_VALUE"""),"1～3")</f>
        <v>1～3</v>
      </c>
      <c r="H2899" s="152" t="str">
        <f>IFERROR(__xludf.DUMMYFUNCTION("""COMPUTED_VALUE"""),"原作：真朱　作画：カワグチ")</f>
        <v>原作：真朱　作画：カワグチ</v>
      </c>
      <c r="I2899" s="184" t="str">
        <f>IFERROR(__xludf.DUMMYFUNCTION("""COMPUTED_VALUE"""),"少女マンガ")</f>
        <v>少女マンガ</v>
      </c>
      <c r="J2899" s="176"/>
      <c r="K2899" s="172" t="str">
        <f>IFERROR(__xludf.DUMMYFUNCTION("""COMPUTED_VALUE"""),"マンガワン女子部")</f>
        <v>マンガワン女子部</v>
      </c>
      <c r="L2899" s="172" t="str">
        <f>IFERROR(__xludf.DUMMYFUNCTION("""COMPUTED_VALUE"""),"小学館")</f>
        <v>小学館</v>
      </c>
      <c r="M2899" s="59">
        <f>IFERROR(__xludf.DUMMYFUNCTION("""COMPUTED_VALUE"""),45734.0)</f>
        <v>45734</v>
      </c>
      <c r="N2899" s="59">
        <f>IFERROR(__xludf.DUMMYFUNCTION("""COMPUTED_VALUE"""),45795.0)</f>
        <v>45795</v>
      </c>
      <c r="O2899" s="172"/>
      <c r="P2899" s="177" t="str">
        <f>IFERROR(__xludf.DUMMYFUNCTION("""COMPUTED_VALUE"""),"否")</f>
        <v>否</v>
      </c>
      <c r="Q2899" s="179" t="str">
        <f>IFERROR(__xludf.DUMMYFUNCTION("""COMPUTED_VALUE"""),"「小説家になろう」の同名小説を原作としたコミカライズ作品で、作画は小学館さんの『前世は悪役令嬢でしたが、今世は穏やかに過ごしたい』（作画のみ）や『朝日向先生は秘密の診察をしているらしい』を描かれているカワグチ先生です。 &lt;BR&gt;・初回配信話数変更：1~6→1~3（2/26）&lt;BR&gt;【原作】愛するつもりなぞないんでしょうから&lt;BR&gt;https://ncode.syosetu.com/n4890il/&lt;BR&gt;政略結婚をさせられたサバサバ系のヒロインが、「どうせ私を愛するつもりはないんでしょう？」と疑いながら、"&amp;"徐々に距離を詰めていくコメディ感強めのタイトルになっています。カラーイラストがポップで綺麗なので、バナー映えはするのではと思います。")</f>
        <v>「小説家になろう」の同名小説を原作としたコミカライズ作品で、作画は小学館さんの『前世は悪役令嬢でしたが、今世は穏やかに過ごしたい』（作画のみ）や『朝日向先生は秘密の診察をしているらしい』を描かれているカワグチ先生です。 &lt;BR&gt;・初回配信話数変更：1~6→1~3（2/26）&lt;BR&gt;【原作】愛するつもりなぞないんでしょうから&lt;BR&gt;https://ncode.syosetu.com/n4890il/&lt;BR&gt;政略結婚をさせられたサバサバ系のヒロインが、「どうせ私を愛するつもりはないんでしょう？」と疑いながら、徐々に距離を詰めていくコメディ感強めのタイトルになっています。カラーイラストがポップで綺麗なので、バナー映えはするのではと思います。</v>
      </c>
      <c r="R2899" s="152" t="str">
        <f>IFERROR(__xludf.DUMMYFUNCTION("""COMPUTED_VALUE"""),"コミットNG")</f>
        <v>コミットNG</v>
      </c>
      <c r="S2899" s="172" t="str">
        <f>IFERROR(__xludf.DUMMYFUNCTION("""COMPUTED_VALUE"""),"20250218_小学館_愛するつもりなぞないんでしょうから")</f>
        <v>20250218_小学館_愛するつもりなぞないんでしょうから</v>
      </c>
      <c r="T2899" s="152" t="str">
        <f>IFERROR(__xludf.DUMMYFUNCTION("""COMPUTED_VALUE"""),"格納済み")</f>
        <v>格納済み</v>
      </c>
      <c r="U2899" s="15" t="str">
        <f>IFERROR(__xludf.DUMMYFUNCTION("""COMPUTED_VALUE"""),"Ⓒ真朱・カワグチ / 小学館")</f>
        <v>Ⓒ真朱・カワグチ / 小学館</v>
      </c>
      <c r="V2899" s="8" t="str">
        <f>IFERROR(__xludf.DUMMYFUNCTION("""COMPUTED_VALUE"""),"辺境の地で脳筋な兄たちに囲まれ、自由に過ごしていた辺境伯爵家の次女・ディアナ。
ある日、王命によって急遽婚姻させられることに！
そのお相手は、好青年として評判の公爵令息・ラキルス。
ラキルスは王国の末の姫との婚約が決まっていたのだが、
ディアナとの急な結婚には訳があって…？
「可憐な姫の後が、脳筋な辺境伯んとこの娘って、公爵令息かわいそうに…。
これはあれでしょ？『お前を愛するつもりはない！』ってやつでしょ？」
期待も遠慮も捨ててる自称""野ザル""な新妻ディ"&amp;"アナと、
好青年の仮面をひっ剥がされていく旦那様ラキルスのほっこりラブコメディー。")</f>
        <v>辺境の地で脳筋な兄たちに囲まれ、自由に過ごしていた辺境伯爵家の次女・ディアナ。
ある日、王命によって急遽婚姻させられることに！
そのお相手は、好青年として評判の公爵令息・ラキルス。
ラキルスは王国の末の姫との婚約が決まっていたのだが、
ディアナとの急な結婚には訳があって…？
「可憐な姫の後が、脳筋な辺境伯んとこの娘って、公爵令息かわいそうに…。
これはあれでしょ？『お前を愛するつもりはない！』ってやつでしょ？」
期待も遠慮も捨ててる自称"野ザル"な新妻ディアナと、
好青年の仮面をひっ剥がされていく旦那様ラキルスのほっこりラブコメディー。</v>
      </c>
      <c r="W2899" s="14"/>
      <c r="X2899" s="14" t="str">
        <f>IFERROR(__xludf.DUMMYFUNCTION("""COMPUTED_VALUE"""),"有")</f>
        <v>有</v>
      </c>
      <c r="Y2899" s="8" t="str">
        <f>IFERROR(__xludf.DUMMYFUNCTION("""COMPUTED_VALUE"""),"2025/5/18まで1巻無料")</f>
        <v>2025/5/18まで1巻無料</v>
      </c>
      <c r="Z2899" s="7"/>
      <c r="AA2899" s="7"/>
      <c r="AB2899" s="7"/>
    </row>
    <row r="2900" ht="15.75" customHeight="1">
      <c r="A2900" s="171">
        <f>IFERROR(__xludf.DUMMYFUNCTION("""COMPUTED_VALUE"""),4919.0)</f>
        <v>4919</v>
      </c>
      <c r="B2900" s="172" t="str">
        <f>IFERROR(__xludf.DUMMYFUNCTION("""COMPUTED_VALUE"""),"確定")</f>
        <v>確定</v>
      </c>
      <c r="C2900" s="173">
        <f>IFERROR(__xludf.DUMMYFUNCTION("""COMPUTED_VALUE"""),45684.0)</f>
        <v>45684</v>
      </c>
      <c r="D2900" s="173">
        <f>IFERROR(__xludf.DUMMYFUNCTION("""COMPUTED_VALUE"""),45714.0)</f>
        <v>45714</v>
      </c>
      <c r="E2900" s="174">
        <f>IFERROR(__xludf.DUMMYFUNCTION("""COMPUTED_VALUE"""),317686.0)</f>
        <v>317686</v>
      </c>
      <c r="F2900" s="159" t="str">
        <f>IFERROR(__xludf.DUMMYFUNCTION("""COMPUTED_VALUE"""),"今日、ケンカばかりのイケメン同期を誘惑します！")</f>
        <v>今日、ケンカばかりのイケメン同期を誘惑します！</v>
      </c>
      <c r="G2900" s="172" t="str">
        <f>IFERROR(__xludf.DUMMYFUNCTION("""COMPUTED_VALUE"""),"1～3")</f>
        <v>1～3</v>
      </c>
      <c r="H2900" s="152" t="str">
        <f>IFERROR(__xludf.DUMMYFUNCTION("""COMPUTED_VALUE"""),"著者　：藍澤みお　原作　：藍川せりか")</f>
        <v>著者　：藍澤みお　原作　：藍川せりか</v>
      </c>
      <c r="I2900" s="172" t="str">
        <f>IFERROR(__xludf.DUMMYFUNCTION("""COMPUTED_VALUE"""),"女性マンガ")</f>
        <v>女性マンガ</v>
      </c>
      <c r="J2900" s="176"/>
      <c r="K2900" s="172" t="str">
        <f>IFERROR(__xludf.DUMMYFUNCTION("""COMPUTED_VALUE"""),"オパールCOMICS kiss")</f>
        <v>オパールCOMICS kiss</v>
      </c>
      <c r="L2900" s="172" t="str">
        <f>IFERROR(__xludf.DUMMYFUNCTION("""COMPUTED_VALUE"""),"プランタン出版")</f>
        <v>プランタン出版</v>
      </c>
      <c r="M2900" s="59">
        <f>IFERROR(__xludf.DUMMYFUNCTION("""COMPUTED_VALUE"""),45737.0)</f>
        <v>45737</v>
      </c>
      <c r="N2900" s="59">
        <f>IFERROR(__xludf.DUMMYFUNCTION("""COMPUTED_VALUE"""),45827.0)</f>
        <v>45827</v>
      </c>
      <c r="O2900" s="172"/>
      <c r="P2900" s="177" t="str">
        <f>IFERROR(__xludf.DUMMYFUNCTION("""COMPUTED_VALUE"""),"可")</f>
        <v>可</v>
      </c>
      <c r="Q2900" s="179"/>
      <c r="R2900" s="152" t="str">
        <f>IFERROR(__xludf.DUMMYFUNCTION("""COMPUTED_VALUE"""),"コミットOK")</f>
        <v>コミットOK</v>
      </c>
      <c r="S2900" s="172" t="str">
        <f>IFERROR(__xludf.DUMMYFUNCTION("""COMPUTED_VALUE"""),"20250225_プランタン出版_今日、ケンカばかりのイケメン同期を誘惑します！")</f>
        <v>20250225_プランタン出版_今日、ケンカばかりのイケメン同期を誘惑します！</v>
      </c>
      <c r="T2900" s="152" t="str">
        <f>IFERROR(__xludf.DUMMYFUNCTION("""COMPUTED_VALUE"""),"格納済み")</f>
        <v>格納済み</v>
      </c>
      <c r="U2900" s="15" t="str">
        <f>IFERROR(__xludf.DUMMYFUNCTION("""COMPUTED_VALUE"""),"Ⓒ藍澤みお/藍川せりか/プランタン出版")</f>
        <v>Ⓒ藍澤みお/藍川せりか/プランタン出版</v>
      </c>
      <c r="V2900" s="8" t="str">
        <f>IFERROR(__xludf.DUMMYFUNCTION("""COMPUTED_VALUE"""),"毎日ケンカばかりのイケメン同期・紫崎に片思いをしている日菜子。
突然の異動辞令に動揺するなか、同僚達の後押しもあり、紫崎と二人でデートをすることに。
デート当日、日菜子は勇気を出して紫崎を自宅へと誘う。酔いがまわり眠ってしまった彼にそっと口付けると、急に目を覚まし、抱き寄せ舌先を深く絡ませてきて…！
「嫌じゃないなら続けるけど？」
頷いた日菜子はそのまま押し倒され、まるで恋人同士のように甘く抱かれるが、翌朝起きると隣に紫崎はいなくて…？
カラダの関係から始まってしまった二人のすれちがいラブストー"&amp;"リー！")</f>
        <v>毎日ケンカばかりのイケメン同期・紫崎に片思いをしている日菜子。
突然の異動辞令に動揺するなか、同僚達の後押しもあり、紫崎と二人でデートをすることに。
デート当日、日菜子は勇気を出して紫崎を自宅へと誘う。酔いがまわり眠ってしまった彼にそっと口付けると、急に目を覚まし、抱き寄せ舌先を深く絡ませてきて…！
「嫌じゃないなら続けるけど？」
頷いた日菜子はそのまま押し倒され、まるで恋人同士のように甘く抱かれるが、翌朝起きると隣に紫崎はいなくて…？
カラダの関係から始まってしまった二人のすれちがいラブストーリー！</v>
      </c>
      <c r="W2900" s="14"/>
      <c r="X2900" s="14" t="str">
        <f>IFERROR(__xludf.DUMMYFUNCTION("""COMPUTED_VALUE"""),"有")</f>
        <v>有</v>
      </c>
      <c r="Y2900" s="8" t="str">
        <f>IFERROR(__xludf.DUMMYFUNCTION("""COMPUTED_VALUE"""),"2025/6/19まで1巻無料")</f>
        <v>2025/6/19まで1巻無料</v>
      </c>
      <c r="Z2900" s="7"/>
      <c r="AA2900" s="7"/>
      <c r="AB2900" s="7"/>
    </row>
    <row r="2901" ht="15.75" customHeight="1">
      <c r="A2901" s="171">
        <f>IFERROR(__xludf.DUMMYFUNCTION("""COMPUTED_VALUE"""),4921.0)</f>
        <v>4921</v>
      </c>
      <c r="B2901" s="172" t="str">
        <f>IFERROR(__xludf.DUMMYFUNCTION("""COMPUTED_VALUE"""),"確定")</f>
        <v>確定</v>
      </c>
      <c r="C2901" s="173">
        <f>IFERROR(__xludf.DUMMYFUNCTION("""COMPUTED_VALUE"""),45684.0)</f>
        <v>45684</v>
      </c>
      <c r="D2901" s="173">
        <f>IFERROR(__xludf.DUMMYFUNCTION("""COMPUTED_VALUE"""),45714.0)</f>
        <v>45714</v>
      </c>
      <c r="E2901" s="174">
        <f>IFERROR(__xludf.DUMMYFUNCTION("""COMPUTED_VALUE"""),318302.0)</f>
        <v>318302</v>
      </c>
      <c r="F2901" s="159" t="str">
        <f>IFERROR(__xludf.DUMMYFUNCTION("""COMPUTED_VALUE"""),"忌王の花嫁 異世界転生したら不吉の王がゼロ距離すぎる")</f>
        <v>忌王の花嫁 異世界転生したら不吉の王がゼロ距離すぎる</v>
      </c>
      <c r="G2901" s="172" t="str">
        <f>IFERROR(__xludf.DUMMYFUNCTION("""COMPUTED_VALUE"""),"1～5")</f>
        <v>1～5</v>
      </c>
      <c r="H2901" s="152" t="str">
        <f>IFERROR(__xludf.DUMMYFUNCTION("""COMPUTED_VALUE"""),"松本花")</f>
        <v>松本花</v>
      </c>
      <c r="I2901" s="172" t="str">
        <f>IFERROR(__xludf.DUMMYFUNCTION("""COMPUTED_VALUE"""),"女性マンガ")</f>
        <v>女性マンガ</v>
      </c>
      <c r="J2901" s="176"/>
      <c r="K2901" s="172" t="str">
        <f>IFERROR(__xludf.DUMMYFUNCTION("""COMPUTED_VALUE"""),"ラバコ／コミックシーモア")</f>
        <v>ラバコ／コミックシーモア</v>
      </c>
      <c r="L2901" s="172" t="str">
        <f>IFERROR(__xludf.DUMMYFUNCTION("""COMPUTED_VALUE"""),"芳文社")</f>
        <v>芳文社</v>
      </c>
      <c r="M2901" s="59">
        <f>IFERROR(__xludf.DUMMYFUNCTION("""COMPUTED_VALUE"""),45745.0)</f>
        <v>45745</v>
      </c>
      <c r="N2901" s="59">
        <f>IFERROR(__xludf.DUMMYFUNCTION("""COMPUTED_VALUE"""),45930.0)</f>
        <v>45930</v>
      </c>
      <c r="O2901" s="172"/>
      <c r="P2901" s="177" t="str">
        <f>IFERROR(__xludf.DUMMYFUNCTION("""COMPUTED_VALUE"""),"可")</f>
        <v>可</v>
      </c>
      <c r="Q2901" s="179" t="str">
        <f>IFERROR(__xludf.DUMMYFUNCTION("""COMPUTED_VALUE"""),"協業作品です。&lt;BR&gt;5話目の素材納品が配信開始直前となるため、初回の広告は1－4話目で制作をお願い致します。")</f>
        <v>協業作品です。&lt;BR&gt;5話目の素材納品が配信開始直前となるため、初回の広告は1－4話目で制作をお願い致します。</v>
      </c>
      <c r="R2901" s="152"/>
      <c r="S2901" s="172" t="str">
        <f>IFERROR(__xludf.DUMMYFUNCTION("""COMPUTED_VALUE"""),"20250225_芳文社_忌王の花嫁 異世界転生したら不吉の王がゼロ距離すぎる")</f>
        <v>20250225_芳文社_忌王の花嫁 異世界転生したら不吉の王がゼロ距離すぎる</v>
      </c>
      <c r="T2901" s="152" t="str">
        <f>IFERROR(__xludf.DUMMYFUNCTION("""COMPUTED_VALUE"""),"格納済み")</f>
        <v>格納済み</v>
      </c>
      <c r="U2901" s="15" t="str">
        <f>IFERROR(__xludf.DUMMYFUNCTION("""COMPUTED_VALUE"""),"Ⓒ松本花/芳文社")</f>
        <v>Ⓒ松本花/芳文社</v>
      </c>
      <c r="V2901" s="8" t="str">
        <f>IFERROR(__xludf.DUMMYFUNCTION("""COMPUTED_VALUE"""),"「何者かなんてどうでもいい。俺は俺の運命を信じるーー」目立たないように日々を送っていた大学生の日菜子は、気が付くと見知らぬ世界で美形の男に押し倒されていた。動揺する日菜子に、その男以外から注がれる冷たい視線と「黒忌子」という言葉。怯える彼女に彼は「お前は俺が必ず守る」と告げ、さらに嫁にすると宣言。実は、彼は人々から恐れられている王でーー。不吉とよばれる王と生真面目女子の異世界ラブロマンス!!")</f>
        <v>「何者かなんてどうでもいい。俺は俺の運命を信じるーー」目立たないように日々を送っていた大学生の日菜子は、気が付くと見知らぬ世界で美形の男に押し倒されていた。動揺する日菜子に、その男以外から注がれる冷たい視線と「黒忌子」という言葉。怯える彼女に彼は「お前は俺が必ず守る」と告げ、さらに嫁にすると宣言。実は、彼は人々から恐れられている王でーー。不吉とよばれる王と生真面目女子の異世界ラブロマンス!!</v>
      </c>
      <c r="W2901" s="14"/>
      <c r="X2901" s="14" t="str">
        <f>IFERROR(__xludf.DUMMYFUNCTION("""COMPUTED_VALUE"""),"有")</f>
        <v>有</v>
      </c>
      <c r="Y2901" s="8" t="str">
        <f>IFERROR(__xludf.DUMMYFUNCTION("""COMPUTED_VALUE"""),"2025/4/11まで1巻無料")</f>
        <v>2025/4/11まで1巻無料</v>
      </c>
      <c r="Z2901" s="7"/>
      <c r="AA2901" s="7"/>
      <c r="AB2901" s="7"/>
    </row>
    <row r="2902" ht="15.75" customHeight="1">
      <c r="A2902" s="171">
        <f>IFERROR(__xludf.DUMMYFUNCTION("""COMPUTED_VALUE"""),4971.0)</f>
        <v>4971</v>
      </c>
      <c r="B2902" s="172" t="str">
        <f>IFERROR(__xludf.DUMMYFUNCTION("""COMPUTED_VALUE"""),"確定")</f>
        <v>確定</v>
      </c>
      <c r="C2902" s="173">
        <f>IFERROR(__xludf.DUMMYFUNCTION("""COMPUTED_VALUE"""),45693.0)</f>
        <v>45693</v>
      </c>
      <c r="D2902" s="173">
        <f>IFERROR(__xludf.DUMMYFUNCTION("""COMPUTED_VALUE"""),45713.0)</f>
        <v>45713</v>
      </c>
      <c r="E2902" s="174">
        <f>IFERROR(__xludf.DUMMYFUNCTION("""COMPUTED_VALUE"""),317723.0)</f>
        <v>317723</v>
      </c>
      <c r="F2902" s="159" t="str">
        <f>IFERROR(__xludf.DUMMYFUNCTION("""COMPUTED_VALUE"""),"#氷様のナマイキな駄犬")</f>
        <v>#氷様のナマイキな駄犬</v>
      </c>
      <c r="G2902" s="172" t="str">
        <f>IFERROR(__xludf.DUMMYFUNCTION("""COMPUTED_VALUE"""),"1～3")</f>
        <v>1～3</v>
      </c>
      <c r="H2902" s="152" t="str">
        <f>IFERROR(__xludf.DUMMYFUNCTION("""COMPUTED_VALUE"""),"めめぞ")</f>
        <v>めめぞ</v>
      </c>
      <c r="I2902" s="172" t="str">
        <f>IFERROR(__xludf.DUMMYFUNCTION("""COMPUTED_VALUE"""),"BL")</f>
        <v>BL</v>
      </c>
      <c r="J2902" s="176"/>
      <c r="K2902" s="172"/>
      <c r="L2902" s="172" t="str">
        <f>IFERROR(__xludf.DUMMYFUNCTION("""COMPUTED_VALUE"""),"ガラン")</f>
        <v>ガラン</v>
      </c>
      <c r="M2902" s="59">
        <f>IFERROR(__xludf.DUMMYFUNCTION("""COMPUTED_VALUE"""),45728.0)</f>
        <v>45728</v>
      </c>
      <c r="N2902" s="23">
        <f>IFERROR(__xludf.DUMMYFUNCTION("""COMPUTED_VALUE"""),45819.0)</f>
        <v>45819</v>
      </c>
      <c r="O2902" s="172"/>
      <c r="P2902" s="177" t="str">
        <f>IFERROR(__xludf.DUMMYFUNCTION("""COMPUTED_VALUE"""),"可")</f>
        <v>可</v>
      </c>
      <c r="Q2902" s="179"/>
      <c r="R2902" s="152" t="str">
        <f>IFERROR(__xludf.DUMMYFUNCTION("""COMPUTED_VALUE"""),"コミットOK")</f>
        <v>コミットOK</v>
      </c>
      <c r="S2902" s="172" t="str">
        <f>IFERROR(__xludf.DUMMYFUNCTION("""COMPUTED_VALUE"""),"20250205_ガラン_#氷様のナマイキな駄犬")</f>
        <v>20250205_ガラン_#氷様のナマイキな駄犬</v>
      </c>
      <c r="T2902" s="152" t="str">
        <f>IFERROR(__xludf.DUMMYFUNCTION("""COMPUTED_VALUE"""),"格納済み")</f>
        <v>格納済み</v>
      </c>
      <c r="U2902" s="15" t="str">
        <f>IFERROR(__xludf.DUMMYFUNCTION("""COMPUTED_VALUE"""),"めめぞ／Boys Shangri-La")</f>
        <v>めめぞ／Boys Shangri-La</v>
      </c>
      <c r="V2902" s="14" t="str">
        <f>IFERROR(__xludf.DUMMYFUNCTION("""COMPUTED_VALUE"""),"「#ドS皇帝降臨」「ドSみ最高！」
2.5次元舞台の「ドS皇帝」役でブレイクして以来、来る役がSキャラばかりの俳優・氷。本当は激よわメンタルの持ち主だが、そんな自分を偽る日々を過ごしていた。
ある日、後輩俳優・白雪に懐かれ、撮影後にマッサージをしてもらうことに。スキンシップに慣れない氷は、思わずエッチな声で反応してしまい…白雪の隠れたドSスイッチを押してしまう!?
「本当はドMなんじゃないですか？」
バレたら俳優人生の終わり……この駄犬め！
隠れSワンコ攻×偽りSな受の俳優BL、開幕。")</f>
        <v>「#ドS皇帝降臨」「ドSみ最高！」
2.5次元舞台の「ドS皇帝」役でブレイクして以来、来る役がSキャラばかりの俳優・氷。本当は激よわメンタルの持ち主だが、そんな自分を偽る日々を過ごしていた。
ある日、後輩俳優・白雪に懐かれ、撮影後にマッサージをしてもらうことに。スキンシップに慣れない氷は、思わずエッチな声で反応してしまい…白雪の隠れたドSスイッチを押してしまう!?
「本当はドMなんじゃないですか？」
バレたら俳優人生の終わり……この駄犬め！
隠れSワンコ攻×偽りSな受の俳優BL、開幕。</v>
      </c>
      <c r="W2902" s="14"/>
      <c r="X2902" s="14" t="str">
        <f>IFERROR(__xludf.DUMMYFUNCTION("""COMPUTED_VALUE"""),"有")</f>
        <v>有</v>
      </c>
      <c r="Y2902" s="8" t="str">
        <f>IFERROR(__xludf.DUMMYFUNCTION("""COMPUTED_VALUE"""),"1巻無料")</f>
        <v>1巻無料</v>
      </c>
      <c r="Z2902" s="7"/>
      <c r="AA2902" s="7"/>
      <c r="AB2902" s="7"/>
    </row>
    <row r="2903" ht="15.75" customHeight="1">
      <c r="A2903" s="171">
        <f>IFERROR(__xludf.DUMMYFUNCTION("""COMPUTED_VALUE"""),4972.0)</f>
        <v>4972</v>
      </c>
      <c r="B2903" s="172" t="str">
        <f>IFERROR(__xludf.DUMMYFUNCTION("""COMPUTED_VALUE"""),"確定")</f>
        <v>確定</v>
      </c>
      <c r="C2903" s="173">
        <f>IFERROR(__xludf.DUMMYFUNCTION("""COMPUTED_VALUE"""),45693.0)</f>
        <v>45693</v>
      </c>
      <c r="D2903" s="173">
        <f>IFERROR(__xludf.DUMMYFUNCTION("""COMPUTED_VALUE"""),45713.0)</f>
        <v>45713</v>
      </c>
      <c r="E2903" s="188">
        <f>IFERROR(__xludf.DUMMYFUNCTION("""COMPUTED_VALUE"""),317722.0)</f>
        <v>317722</v>
      </c>
      <c r="F2903" s="152" t="str">
        <f>IFERROR(__xludf.DUMMYFUNCTION("""COMPUTED_VALUE"""),"世界一幸せな偽装結婚")</f>
        <v>世界一幸せな偽装結婚</v>
      </c>
      <c r="G2903" s="172" t="str">
        <f>IFERROR(__xludf.DUMMYFUNCTION("""COMPUTED_VALUE"""),"1～3")</f>
        <v>1～3</v>
      </c>
      <c r="H2903" s="152" t="str">
        <f>IFERROR(__xludf.DUMMYFUNCTION("""COMPUTED_VALUE"""),"柚木ゆー")</f>
        <v>柚木ゆー</v>
      </c>
      <c r="I2903" s="172" t="str">
        <f>IFERROR(__xludf.DUMMYFUNCTION("""COMPUTED_VALUE"""),"女性")</f>
        <v>女性</v>
      </c>
      <c r="J2903" s="176"/>
      <c r="K2903" s="172"/>
      <c r="L2903" s="172" t="str">
        <f>IFERROR(__xludf.DUMMYFUNCTION("""COMPUTED_VALUE"""),"ガラン")</f>
        <v>ガラン</v>
      </c>
      <c r="M2903" s="59">
        <f>IFERROR(__xludf.DUMMYFUNCTION("""COMPUTED_VALUE"""),45728.0)</f>
        <v>45728</v>
      </c>
      <c r="N2903" s="23">
        <f>IFERROR(__xludf.DUMMYFUNCTION("""COMPUTED_VALUE"""),45819.0)</f>
        <v>45819</v>
      </c>
      <c r="O2903" s="172"/>
      <c r="P2903" s="177" t="str">
        <f>IFERROR(__xludf.DUMMYFUNCTION("""COMPUTED_VALUE"""),"否")</f>
        <v>否</v>
      </c>
      <c r="Q2903" s="179"/>
      <c r="R2903" s="152" t="str">
        <f>IFERROR(__xludf.DUMMYFUNCTION("""COMPUTED_VALUE"""),"コミットOK")</f>
        <v>コミットOK</v>
      </c>
      <c r="S2903" s="172" t="str">
        <f>IFERROR(__xludf.DUMMYFUNCTION("""COMPUTED_VALUE"""),"20250205_ガラン_世界一幸せな偽装結婚")</f>
        <v>20250205_ガラン_世界一幸せな偽装結婚</v>
      </c>
      <c r="T2903" s="152" t="str">
        <f>IFERROR(__xludf.DUMMYFUNCTION("""COMPUTED_VALUE"""),"格納済み")</f>
        <v>格納済み</v>
      </c>
      <c r="U2903" s="15" t="str">
        <f>IFERROR(__xludf.DUMMYFUNCTION("""COMPUTED_VALUE"""),"柚木ゆー／Haute Couture")</f>
        <v>柚木ゆー／Haute Couture</v>
      </c>
      <c r="V2903" s="8" t="str">
        <f>IFERROR(__xludf.DUMMYFUNCTION("""COMPUTED_VALUE"""),"これはビジネスライクな偽装結婚…気づかれてはいけない、彼を大好きな本心を…！ーー「恋人は仕事」とバリバリ働く美月は、優秀な同期・鷹宮と男女の仲を超えた相棒のような関係を築いていた。そんなある日、ふたりとも実家から結婚を催促されていることが判明。共通の悩みに意気投合していると「俺らで結婚するか？」鷹宮が偽装結婚を提案！美月は顔色も変えずOKする。だが美月には秘密があった…本当は鷹宮のことが大好きすぎるということ…!")</f>
        <v>これはビジネスライクな偽装結婚…気づかれてはいけない、彼を大好きな本心を…！ーー「恋人は仕事」とバリバリ働く美月は、優秀な同期・鷹宮と男女の仲を超えた相棒のような関係を築いていた。そんなある日、ふたりとも実家から結婚を催促されていることが判明。共通の悩みに意気投合していると「俺らで結婚するか？」鷹宮が偽装結婚を提案！美月は顔色も変えずOKする。だが美月には秘密があった…本当は鷹宮のことが大好きすぎるということ…!</v>
      </c>
      <c r="W2903" s="14"/>
      <c r="X2903" s="14" t="str">
        <f>IFERROR(__xludf.DUMMYFUNCTION("""COMPUTED_VALUE"""),"有")</f>
        <v>有</v>
      </c>
      <c r="Y2903" s="8" t="str">
        <f>IFERROR(__xludf.DUMMYFUNCTION("""COMPUTED_VALUE"""),"1巻無料")</f>
        <v>1巻無料</v>
      </c>
      <c r="Z2903" s="7"/>
      <c r="AA2903" s="7"/>
      <c r="AB2903" s="7"/>
    </row>
    <row r="2904" ht="15.75" customHeight="1">
      <c r="A2904" s="171">
        <f>IFERROR(__xludf.DUMMYFUNCTION("""COMPUTED_VALUE"""),4975.0)</f>
        <v>4975</v>
      </c>
      <c r="B2904" s="172" t="str">
        <f>IFERROR(__xludf.DUMMYFUNCTION("""COMPUTED_VALUE"""),"確定")</f>
        <v>確定</v>
      </c>
      <c r="C2904" s="173">
        <f>IFERROR(__xludf.DUMMYFUNCTION("""COMPUTED_VALUE"""),45694.0)</f>
        <v>45694</v>
      </c>
      <c r="D2904" s="173">
        <f>IFERROR(__xludf.DUMMYFUNCTION("""COMPUTED_VALUE"""),45713.0)</f>
        <v>45713</v>
      </c>
      <c r="E2904" s="174">
        <f>IFERROR(__xludf.DUMMYFUNCTION("""COMPUTED_VALUE"""),317292.0)</f>
        <v>317292</v>
      </c>
      <c r="F2904" s="159" t="str">
        <f>IFERROR(__xludf.DUMMYFUNCTION("""COMPUTED_VALUE"""),"この度、婚約者の秘書になりました。【白抜き修正版】")</f>
        <v>この度、婚約者の秘書になりました。【白抜き修正版】</v>
      </c>
      <c r="G2904" s="172" t="str">
        <f>IFERROR(__xludf.DUMMYFUNCTION("""COMPUTED_VALUE"""),"1～2")</f>
        <v>1～2</v>
      </c>
      <c r="H2904" s="152" t="str">
        <f>IFERROR(__xludf.DUMMYFUNCTION("""COMPUTED_VALUE"""),"かみしまあきら")</f>
        <v>かみしまあきら</v>
      </c>
      <c r="I2904" s="172" t="str">
        <f>IFERROR(__xludf.DUMMYFUNCTION("""COMPUTED_VALUE"""),"TL")</f>
        <v>TL</v>
      </c>
      <c r="J2904" s="176"/>
      <c r="K2904" s="172"/>
      <c r="L2904" s="172" t="str">
        <f>IFERROR(__xludf.DUMMYFUNCTION("""COMPUTED_VALUE"""),"ナンバーナイン")</f>
        <v>ナンバーナイン</v>
      </c>
      <c r="M2904" s="59">
        <f>IFERROR(__xludf.DUMMYFUNCTION("""COMPUTED_VALUE"""),45723.0)</f>
        <v>45723</v>
      </c>
      <c r="N2904" s="59">
        <f>IFERROR(__xludf.DUMMYFUNCTION("""COMPUTED_VALUE"""),45817.66666666667)</f>
        <v>45817.66667</v>
      </c>
      <c r="O2904" s="172"/>
      <c r="P2904" s="177" t="str">
        <f>IFERROR(__xludf.DUMMYFUNCTION("""COMPUTED_VALUE"""),"可")</f>
        <v>可</v>
      </c>
      <c r="Q2904" s="179"/>
      <c r="R2904" s="152" t="str">
        <f>IFERROR(__xludf.DUMMYFUNCTION("""COMPUTED_VALUE"""),"コミットNG")</f>
        <v>コミットNG</v>
      </c>
      <c r="S2904" s="172" t="str">
        <f>IFERROR(__xludf.DUMMYFUNCTION("""COMPUTED_VALUE"""),"20250221_ナンバーナイン_この度、婚約者の秘書になりました。【白抜き修正版】")</f>
        <v>20250221_ナンバーナイン_この度、婚約者の秘書になりました。【白抜き修正版】</v>
      </c>
      <c r="T2904" s="152" t="str">
        <f>IFERROR(__xludf.DUMMYFUNCTION("""COMPUTED_VALUE"""),"格納済み")</f>
        <v>格納済み</v>
      </c>
      <c r="U2904" s="15" t="str">
        <f>IFERROR(__xludf.DUMMYFUNCTION("""COMPUTED_VALUE"""),"Ⓒかみしまあきら/ナンバーナイン")</f>
        <v>Ⓒかみしまあきら/ナンバーナイン</v>
      </c>
      <c r="V2904" s="8" t="str">
        <f>IFERROR(__xludf.DUMMYFUNCTION("""COMPUTED_VALUE"""),"【白抜き修正版】【道具使用】【男性性的絡みなし】
創作同人ノンケレズシリーズ最終話
彼氏持ちの不動産営業マン咲は、人妻である燁の熱烈な告白を受け入れた。
お互いそれぞれフリーになり咲は燁に誘われ温泉旅行に行く事に。
執拗な愛撫と止まらない快楽、そして二人の行方は……【全36ページ】
※「この度、婚約者の秘書になりました。」は本作品の番外編となります。")</f>
        <v>【白抜き修正版】【道具使用】【男性性的絡みなし】
創作同人ノンケレズシリーズ最終話
彼氏持ちの不動産営業マン咲は、人妻である燁の熱烈な告白を受け入れた。
お互いそれぞれフリーになり咲は燁に誘われ温泉旅行に行く事に。
執拗な愛撫と止まらない快楽、そして二人の行方は……【全36ページ】
※「この度、婚約者の秘書になりました。」は本作品の番外編となります。</v>
      </c>
      <c r="W2904" s="14"/>
      <c r="X2904" s="14" t="str">
        <f>IFERROR(__xludf.DUMMYFUNCTION("""COMPUTED_VALUE"""),"有")</f>
        <v>有</v>
      </c>
      <c r="Y2904" s="8" t="str">
        <f>IFERROR(__xludf.DUMMYFUNCTION("""COMPUTED_VALUE"""),"P8まで")</f>
        <v>P8まで</v>
      </c>
      <c r="Z2904" s="7"/>
      <c r="AA2904" s="7"/>
      <c r="AB2904" s="7"/>
    </row>
    <row r="2905" ht="15.75" customHeight="1">
      <c r="A2905" s="171">
        <f>IFERROR(__xludf.DUMMYFUNCTION("""COMPUTED_VALUE"""),4976.0)</f>
        <v>4976</v>
      </c>
      <c r="B2905" s="172" t="str">
        <f>IFERROR(__xludf.DUMMYFUNCTION("""COMPUTED_VALUE"""),"確定")</f>
        <v>確定</v>
      </c>
      <c r="C2905" s="173">
        <f>IFERROR(__xludf.DUMMYFUNCTION("""COMPUTED_VALUE"""),45694.0)</f>
        <v>45694</v>
      </c>
      <c r="D2905" s="173">
        <f>IFERROR(__xludf.DUMMYFUNCTION("""COMPUTED_VALUE"""),45713.0)</f>
        <v>45713</v>
      </c>
      <c r="E2905" s="174">
        <f>IFERROR(__xludf.DUMMYFUNCTION("""COMPUTED_VALUE"""),317364.0)</f>
        <v>317364</v>
      </c>
      <c r="F2905" s="159" t="str">
        <f>IFERROR(__xludf.DUMMYFUNCTION("""COMPUTED_VALUE"""),"この度、婚約者の秘書になりました。【棒消し修正版】")</f>
        <v>この度、婚約者の秘書になりました。【棒消し修正版】</v>
      </c>
      <c r="G2905" s="172" t="str">
        <f>IFERROR(__xludf.DUMMYFUNCTION("""COMPUTED_VALUE"""),"1～2")</f>
        <v>1～2</v>
      </c>
      <c r="H2905" s="152" t="str">
        <f>IFERROR(__xludf.DUMMYFUNCTION("""COMPUTED_VALUE"""),"かみしまあきら")</f>
        <v>かみしまあきら</v>
      </c>
      <c r="I2905" s="172" t="str">
        <f>IFERROR(__xludf.DUMMYFUNCTION("""COMPUTED_VALUE"""),"アダルトマンガ")</f>
        <v>アダルトマンガ</v>
      </c>
      <c r="J2905" s="176"/>
      <c r="K2905" s="172"/>
      <c r="L2905" s="172" t="str">
        <f>IFERROR(__xludf.DUMMYFUNCTION("""COMPUTED_VALUE"""),"ナンバーナイン")</f>
        <v>ナンバーナイン</v>
      </c>
      <c r="M2905" s="59">
        <f>IFERROR(__xludf.DUMMYFUNCTION("""COMPUTED_VALUE"""),45723.0)</f>
        <v>45723</v>
      </c>
      <c r="N2905" s="59">
        <f>IFERROR(__xludf.DUMMYFUNCTION("""COMPUTED_VALUE"""),45817.66666666667)</f>
        <v>45817.66667</v>
      </c>
      <c r="O2905" s="172"/>
      <c r="P2905" s="177" t="str">
        <f>IFERROR(__xludf.DUMMYFUNCTION("""COMPUTED_VALUE"""),"可")</f>
        <v>可</v>
      </c>
      <c r="Q2905" s="179"/>
      <c r="R2905" s="152" t="str">
        <f>IFERROR(__xludf.DUMMYFUNCTION("""COMPUTED_VALUE"""),"コミットNG")</f>
        <v>コミットNG</v>
      </c>
      <c r="S2905" s="172" t="str">
        <f>IFERROR(__xludf.DUMMYFUNCTION("""COMPUTED_VALUE"""),"20250221_ナンバーナイン_この度、婚約者の秘書になりました。【棒消し修正版】")</f>
        <v>20250221_ナンバーナイン_この度、婚約者の秘書になりました。【棒消し修正版】</v>
      </c>
      <c r="T2905" s="152" t="str">
        <f>IFERROR(__xludf.DUMMYFUNCTION("""COMPUTED_VALUE"""),"格納済み")</f>
        <v>格納済み</v>
      </c>
      <c r="U2905" s="15" t="str">
        <f>IFERROR(__xludf.DUMMYFUNCTION("""COMPUTED_VALUE"""),"Ⓒかみしまあきら/ナンバーナイン")</f>
        <v>Ⓒかみしまあきら/ナンバーナイン</v>
      </c>
      <c r="V2905" s="8" t="str">
        <f>IFERROR(__xludf.DUMMYFUNCTION("""COMPUTED_VALUE"""),"【棒消し修正版】【道具使用】【男性性的絡みなし】
創作同人ノンケレズシリーズ最終話
彼氏持ちの不動産営業マン咲は、人妻である燁の熱烈な告白を受け入れた。
お互いそれぞれフリーになり咲は燁に誘われ温泉旅行に行く事に。
執拗な愛撫と止まらない快楽、そして二人の行方は……【全36ページ】
※「この度、婚約者の秘書になりました。」は本作品の番外編となります。")</f>
        <v>【棒消し修正版】【道具使用】【男性性的絡みなし】
創作同人ノンケレズシリーズ最終話
彼氏持ちの不動産営業マン咲は、人妻である燁の熱烈な告白を受け入れた。
お互いそれぞれフリーになり咲は燁に誘われ温泉旅行に行く事に。
執拗な愛撫と止まらない快楽、そして二人の行方は……【全36ページ】
※「この度、婚約者の秘書になりました。」は本作品の番外編となります。</v>
      </c>
      <c r="W2905" s="14"/>
      <c r="X2905" s="14" t="str">
        <f>IFERROR(__xludf.DUMMYFUNCTION("""COMPUTED_VALUE"""),"有")</f>
        <v>有</v>
      </c>
      <c r="Y2905" s="8" t="str">
        <f>IFERROR(__xludf.DUMMYFUNCTION("""COMPUTED_VALUE"""),"P8まで")</f>
        <v>P8まで</v>
      </c>
      <c r="Z2905" s="7"/>
      <c r="AA2905" s="7"/>
      <c r="AB2905" s="7"/>
    </row>
    <row r="2906" ht="15.75" customHeight="1">
      <c r="A2906" s="171">
        <f>IFERROR(__xludf.DUMMYFUNCTION("""COMPUTED_VALUE"""),4986.0)</f>
        <v>4986</v>
      </c>
      <c r="B2906" s="172" t="str">
        <f>IFERROR(__xludf.DUMMYFUNCTION("""COMPUTED_VALUE"""),"確定")</f>
        <v>確定</v>
      </c>
      <c r="C2906" s="173">
        <f>IFERROR(__xludf.DUMMYFUNCTION("""COMPUTED_VALUE"""),45694.0)</f>
        <v>45694</v>
      </c>
      <c r="D2906" s="173">
        <f>IFERROR(__xludf.DUMMYFUNCTION("""COMPUTED_VALUE"""),45714.0)</f>
        <v>45714</v>
      </c>
      <c r="E2906" s="109">
        <f>IFERROR(__xludf.DUMMYFUNCTION("""COMPUTED_VALUE"""),319741.0)</f>
        <v>319741</v>
      </c>
      <c r="F2906" s="159" t="str">
        <f>IFERROR(__xludf.DUMMYFUNCTION("""COMPUTED_VALUE"""),"ぜんぶ欲しがりな君のせい")</f>
        <v>ぜんぶ欲しがりな君のせい</v>
      </c>
      <c r="G2906" s="69" t="str">
        <f>IFERROR(__xludf.DUMMYFUNCTION("""COMPUTED_VALUE"""),"1～2")</f>
        <v>1～2</v>
      </c>
      <c r="H2906" s="152" t="str">
        <f>IFERROR(__xludf.DUMMYFUNCTION("""COMPUTED_VALUE"""),"丹良たまこ")</f>
        <v>丹良たまこ</v>
      </c>
      <c r="I2906" s="172" t="str">
        <f>IFERROR(__xludf.DUMMYFUNCTION("""COMPUTED_VALUE"""),"BL")</f>
        <v>BL</v>
      </c>
      <c r="J2906" s="176"/>
      <c r="K2906" s="172" t="str">
        <f>IFERROR(__xludf.DUMMYFUNCTION("""COMPUTED_VALUE"""),"MooiComics")</f>
        <v>MooiComics</v>
      </c>
      <c r="L2906" s="172" t="str">
        <f>IFERROR(__xludf.DUMMYFUNCTION("""COMPUTED_VALUE"""),"CLLENN")</f>
        <v>CLLENN</v>
      </c>
      <c r="M2906" s="59">
        <f>IFERROR(__xludf.DUMMYFUNCTION("""COMPUTED_VALUE"""),45762.0)</f>
        <v>45762</v>
      </c>
      <c r="N2906" s="47">
        <f>IFERROR(__xludf.DUMMYFUNCTION("""COMPUTED_VALUE"""),45824.0)</f>
        <v>45824</v>
      </c>
      <c r="O2906" s="172"/>
      <c r="P2906" s="177" t="str">
        <f>IFERROR(__xludf.DUMMYFUNCTION("""COMPUTED_VALUE"""),"可")</f>
        <v>可</v>
      </c>
      <c r="Q2906" s="179" t="str">
        <f>IFERROR(__xludf.DUMMYFUNCTION("""COMPUTED_VALUE"""),"連載先行&lt;BR&gt;&lt;BR&gt;出版社コメント&lt;BR&gt;同名義では商業デビュー作となりますが、作画の実力は高く、ストーリー展開も非常に読みやすい構成になっております。&lt;BR&gt;編集部も記載の１作品となっておりまして、絵柄がなによりもきれいでキャラもイケメンなので、ぜひ広告出稿も前向きにご検討いただければ幸いです。")</f>
        <v>連載先行&lt;BR&gt;&lt;BR&gt;出版社コメント&lt;BR&gt;同名義では商業デビュー作となりますが、作画の実力は高く、ストーリー展開も非常に読みやすい構成になっております。&lt;BR&gt;編集部も記載の１作品となっておりまして、絵柄がなによりもきれいでキャラもイケメンなので、ぜひ広告出稿も前向きにご検討いただければ幸いです。</v>
      </c>
      <c r="R2906" s="152" t="str">
        <f>IFERROR(__xludf.DUMMYFUNCTION("""COMPUTED_VALUE"""),"コミットOK")</f>
        <v>コミットOK</v>
      </c>
      <c r="S2906" s="69" t="str">
        <f>IFERROR(__xludf.DUMMYFUNCTION("""COMPUTED_VALUE"""),"20250226_CLLENN_ぜんぶ欲しがりな君のせい")</f>
        <v>20250226_CLLENN_ぜんぶ欲しがりな君のせい</v>
      </c>
      <c r="T2906" s="152" t="str">
        <f>IFERROR(__xludf.DUMMYFUNCTION("""COMPUTED_VALUE"""),"格納済み")</f>
        <v>格納済み</v>
      </c>
      <c r="U2906" s="15" t="str">
        <f>IFERROR(__xludf.DUMMYFUNCTION("""COMPUTED_VALUE"""),"Ⓒ丹良たまこ/CLLENN	")</f>
        <v>Ⓒ丹良たまこ/CLLENN	</v>
      </c>
      <c r="V2906" s="8" t="str">
        <f>IFERROR(__xludf.DUMMYFUNCTION("""COMPUTED_VALUE"""),"とにかく「気持ちいいことが大好き」で、男遊びに明け暮れていたゲイの千晃＜ちあき＞は、年下の幼馴染・蓮＜れん＞にセフレとのセックス現場を目撃されてしまう。それ以来きっぱり心を入れ替えて生まれ変わった――はずだったが、気持ちいいことはやめられず、オモチャを使ったひとり遊びに夢中になる日々。そんなある日、蓮の成人祝いをきっかけに大学生になった彼と再会するも、部屋に隠していたオモチャが見つかってしまい――？！「我慢しなくていいよ、あの時みたいに見ててあげるから」7年ぶりの再会から始まる【執着強めなイケメン大学生×"&amp;"ちょろカワほだされ社会人】の年の差エモーショナル・ラブ！")</f>
        <v>とにかく「気持ちいいことが大好き」で、男遊びに明け暮れていたゲイの千晃＜ちあき＞は、年下の幼馴染・蓮＜れん＞にセフレとのセックス現場を目撃されてしまう。それ以来きっぱり心を入れ替えて生まれ変わった――はずだったが、気持ちいいことはやめられず、オモチャを使ったひとり遊びに夢中になる日々。そんなある日、蓮の成人祝いをきっかけに大学生になった彼と再会するも、部屋に隠していたオモチャが見つかってしまい――？！「我慢しなくていいよ、あの時みたいに見ててあげるから」7年ぶりの再会から始まる【執着強めなイケメン大学生×ちょろカワほだされ社会人】の年の差エモーショナル・ラブ！</v>
      </c>
      <c r="W2906" s="14"/>
      <c r="X2906" s="14" t="str">
        <f>IFERROR(__xludf.DUMMYFUNCTION("""COMPUTED_VALUE"""),"有")</f>
        <v>有</v>
      </c>
      <c r="Y2906" s="8" t="str">
        <f>IFERROR(__xludf.DUMMYFUNCTION("""COMPUTED_VALUE"""),"2025/4/28まで1巻立ち読み増量(P19まで)")</f>
        <v>2025/4/28まで1巻立ち読み増量(P19まで)</v>
      </c>
      <c r="Z2906" s="7"/>
      <c r="AA2906" s="7"/>
      <c r="AB2906" s="7"/>
    </row>
    <row r="2907" ht="15.75" customHeight="1">
      <c r="A2907" s="171">
        <f>IFERROR(__xludf.DUMMYFUNCTION("""COMPUTED_VALUE"""),4989.0)</f>
        <v>4989</v>
      </c>
      <c r="B2907" s="172" t="str">
        <f>IFERROR(__xludf.DUMMYFUNCTION("""COMPUTED_VALUE"""),"確定")</f>
        <v>確定</v>
      </c>
      <c r="C2907" s="173">
        <f>IFERROR(__xludf.DUMMYFUNCTION("""COMPUTED_VALUE"""),45694.0)</f>
        <v>45694</v>
      </c>
      <c r="D2907" s="173">
        <f>IFERROR(__xludf.DUMMYFUNCTION("""COMPUTED_VALUE"""),45714.0)</f>
        <v>45714</v>
      </c>
      <c r="E2907" s="174">
        <f>IFERROR(__xludf.DUMMYFUNCTION("""COMPUTED_VALUE"""),316657.0)</f>
        <v>316657</v>
      </c>
      <c r="F2907" s="159" t="str">
        <f>IFERROR(__xludf.DUMMYFUNCTION("""COMPUTED_VALUE"""),"聖女が来るから「君を愛することはない」と言われたのでお飾り王妃に徹していたら、聖女が5歳だったので全力で愛します!!【分冊版】")</f>
        <v>聖女が来るから「君を愛することはない」と言われたのでお飾り王妃に徹していたら、聖女が5歳だったので全力で愛します!!【分冊版】</v>
      </c>
      <c r="G2907" s="172" t="str">
        <f>IFERROR(__xludf.DUMMYFUNCTION("""COMPUTED_VALUE"""),"1～3")</f>
        <v>1～3</v>
      </c>
      <c r="H2907" s="152" t="str">
        <f>IFERROR(__xludf.DUMMYFUNCTION("""COMPUTED_VALUE"""),"原作：宮之みやこ/漫画：桛深ビスホ/キャラクター原案：界さけ")</f>
        <v>原作：宮之みやこ/漫画：桛深ビスホ/キャラクター原案：界さけ</v>
      </c>
      <c r="I2907" s="172" t="str">
        <f>IFERROR(__xludf.DUMMYFUNCTION("""COMPUTED_VALUE"""),"女性マンガ")</f>
        <v>女性マンガ</v>
      </c>
      <c r="J2907" s="176"/>
      <c r="K2907" s="172"/>
      <c r="L2907" s="172" t="str">
        <f>IFERROR(__xludf.DUMMYFUNCTION("""COMPUTED_VALUE"""),"マッグガーデン")</f>
        <v>マッグガーデン</v>
      </c>
      <c r="M2907" s="59">
        <f>IFERROR(__xludf.DUMMYFUNCTION("""COMPUTED_VALUE"""),45730.0)</f>
        <v>45730</v>
      </c>
      <c r="N2907" s="59">
        <f>IFERROR(__xludf.DUMMYFUNCTION("""COMPUTED_VALUE"""),45790.0)</f>
        <v>45790</v>
      </c>
      <c r="O2907" s="172"/>
      <c r="P2907" s="177" t="str">
        <f>IFERROR(__xludf.DUMMYFUNCTION("""COMPUTED_VALUE"""),"可")</f>
        <v>可</v>
      </c>
      <c r="Q2907" s="179"/>
      <c r="R2907" s="152" t="str">
        <f>IFERROR(__xludf.DUMMYFUNCTION("""COMPUTED_VALUE"""),"コミットOK")</f>
        <v>コミットOK</v>
      </c>
      <c r="S2907" s="172" t="str">
        <f>IFERROR(__xludf.DUMMYFUNCTION("""COMPUTED_VALUE"""),"20250213_マッグガーデン_聖女が来るから「君を愛することはない」と言われたのでお飾り王妃に徹していたら、聖女が5歳だったので全力で愛します!!【分冊版】")</f>
        <v>20250213_マッグガーデン_聖女が来るから「君を愛することはない」と言われたのでお飾り王妃に徹していたら、聖女が5歳だったので全力で愛します!!【分冊版】</v>
      </c>
      <c r="T2907" s="152" t="str">
        <f>IFERROR(__xludf.DUMMYFUNCTION("""COMPUTED_VALUE"""),"格納済み")</f>
        <v>格納済み</v>
      </c>
      <c r="U2907" s="15" t="str">
        <f>IFERROR(__xludf.DUMMYFUNCTION("""COMPUTED_VALUE"""),"Ⓒ宮之みやこ Ⓒ桛深ビスホ/マッグガーデン")</f>
        <v>Ⓒ宮之みやこ Ⓒ桛深ビスホ/マッグガーデン</v>
      </c>
      <c r="V2907" s="8" t="str">
        <f>IFERROR(__xludf.DUMMYFUNCTION("""COMPUTED_VALUE"""),"「聖女が来るので、君を愛することはない」夫となるユーリ陛下にそう断言されたエデリーンは、お飾り王妃として静かに日々を過ごしていくことを決意。だが、いざ聖女が召喚されたと思ったら、相手は5歳の幼女で虐待に怯えており…!? 身も心も傷ついた幼女が、エデリーン夫妻ににひたすら愛されすくすく成長してゆく家族愛のほのぼのファンタジー、始まります！【第1話前編収録】")</f>
        <v>「聖女が来るので、君を愛することはない」夫となるユーリ陛下にそう断言されたエデリーンは、お飾り王妃として静かに日々を過ごしていくことを決意。だが、いざ聖女が召喚されたと思ったら、相手は5歳の幼女で虐待に怯えており…!? 身も心も傷ついた幼女が、エデリーン夫妻ににひたすら愛されすくすく成長してゆく家族愛のほのぼのファンタジー、始まります！【第1話前編収録】</v>
      </c>
      <c r="W2907" s="14"/>
      <c r="X2907" s="14" t="str">
        <f>IFERROR(__xludf.DUMMYFUNCTION("""COMPUTED_VALUE"""),"有")</f>
        <v>有</v>
      </c>
      <c r="Y2907" s="8" t="str">
        <f>IFERROR(__xludf.DUMMYFUNCTION("""COMPUTED_VALUE"""),"2025/5/13まで1巻無料")</f>
        <v>2025/5/13まで1巻無料</v>
      </c>
      <c r="Z2907" s="7"/>
      <c r="AA2907" s="7"/>
      <c r="AB2907" s="7"/>
    </row>
    <row r="2908" ht="15.75" customHeight="1">
      <c r="A2908" s="171">
        <f>IFERROR(__xludf.DUMMYFUNCTION("""COMPUTED_VALUE"""),5018.0)</f>
        <v>5018</v>
      </c>
      <c r="B2908" s="172" t="str">
        <f>IFERROR(__xludf.DUMMYFUNCTION("""COMPUTED_VALUE"""),"確定")</f>
        <v>確定</v>
      </c>
      <c r="C2908" s="173">
        <f>IFERROR(__xludf.DUMMYFUNCTION("""COMPUTED_VALUE"""),45701.0)</f>
        <v>45701</v>
      </c>
      <c r="D2908" s="173">
        <f>IFERROR(__xludf.DUMMYFUNCTION("""COMPUTED_VALUE"""),45713.0)</f>
        <v>45713</v>
      </c>
      <c r="E2908" s="188">
        <f>IFERROR(__xludf.DUMMYFUNCTION("""COMPUTED_VALUE"""),317270.0)</f>
        <v>317270</v>
      </c>
      <c r="F2908" s="152" t="str">
        <f>IFERROR(__xludf.DUMMYFUNCTION("""COMPUTED_VALUE"""),"お嬢専用の竿になりました。【タテヨミ】")</f>
        <v>お嬢専用の竿になりました。【タテヨミ】</v>
      </c>
      <c r="G2908" s="172" t="str">
        <f>IFERROR(__xludf.DUMMYFUNCTION("""COMPUTED_VALUE"""),"1～30")</f>
        <v>1～30</v>
      </c>
      <c r="H2908" s="152" t="str">
        <f>IFERROR(__xludf.DUMMYFUNCTION("""COMPUTED_VALUE"""),"秘密業務中, イケイケ")</f>
        <v>秘密業務中, イケイケ</v>
      </c>
      <c r="I2908" s="172" t="str">
        <f>IFERROR(__xludf.DUMMYFUNCTION("""COMPUTED_VALUE"""),"青年")</f>
        <v>青年</v>
      </c>
      <c r="J2908" s="176"/>
      <c r="K2908" s="172"/>
      <c r="L2908" s="172" t="str">
        <f>IFERROR(__xludf.DUMMYFUNCTION("""COMPUTED_VALUE"""),"リバース")</f>
        <v>リバース</v>
      </c>
      <c r="M2908" s="59">
        <f>IFERROR(__xludf.DUMMYFUNCTION("""COMPUTED_VALUE"""),45725.0)</f>
        <v>45725</v>
      </c>
      <c r="N2908" s="23">
        <f>IFERROR(__xludf.DUMMYFUNCTION("""COMPUTED_VALUE"""),45788.0)</f>
        <v>45788</v>
      </c>
      <c r="O2908" s="172"/>
      <c r="P2908" s="177" t="str">
        <f>IFERROR(__xludf.DUMMYFUNCTION("""COMPUTED_VALUE"""),"可")</f>
        <v>可</v>
      </c>
      <c r="Q2908" s="179" t="str">
        <f>IFERROR(__xludf.DUMMYFUNCTION("""COMPUTED_VALUE"""),"1～15巻目までご使用ください")</f>
        <v>1～15巻目までご使用ください</v>
      </c>
      <c r="R2908" s="152" t="str">
        <f>IFERROR(__xludf.DUMMYFUNCTION("""COMPUTED_VALUE"""),"コミットOK")</f>
        <v>コミットOK</v>
      </c>
      <c r="S2908" s="172" t="str">
        <f>IFERROR(__xludf.DUMMYFUNCTION("""COMPUTED_VALUE"""),"20250217_リバース_お嬢専用の竿になりました。【タテヨミ】")</f>
        <v>20250217_リバース_お嬢専用の竿になりました。【タテヨミ】</v>
      </c>
      <c r="T2908" s="152" t="str">
        <f>IFERROR(__xludf.DUMMYFUNCTION("""COMPUTED_VALUE"""),"格納済み")</f>
        <v>格納済み</v>
      </c>
      <c r="U2908" s="15" t="str">
        <f>IFERROR(__xludf.DUMMYFUNCTION("""COMPUTED_VALUE"""),"Ⓒ秘密業務中, イケイケ, Toomics")</f>
        <v>Ⓒ秘密業務中, イケイケ, Toomics</v>
      </c>
      <c r="V2908" s="8" t="str">
        <f>IFERROR(__xludf.DUMMYFUNCTION("""COMPUTED_VALUE"""),"田舎で畑仕事をするヤクザがお頭から預かったのは…娘二人！気の強いお嬢たちとのハートフル田舎ライフ!?")</f>
        <v>田舎で畑仕事をするヤクザがお頭から預かったのは…娘二人！気の強いお嬢たちとのハートフル田舎ライフ!?</v>
      </c>
      <c r="W2908" s="14"/>
      <c r="X2908" s="14" t="str">
        <f>IFERROR(__xludf.DUMMYFUNCTION("""COMPUTED_VALUE"""),"有")</f>
        <v>有</v>
      </c>
      <c r="Y2908" s="8" t="str">
        <f>IFERROR(__xludf.DUMMYFUNCTION("""COMPUTED_VALUE"""),"1~3巻無料
4~5巻2025/4/13まで無料")</f>
        <v>1~3巻無料
4~5巻2025/4/13まで無料</v>
      </c>
      <c r="Z2908" s="7"/>
      <c r="AA2908" s="7"/>
      <c r="AB2908" s="7"/>
    </row>
    <row r="2909" ht="15.75" customHeight="1">
      <c r="A2909" s="171">
        <f>IFERROR(__xludf.DUMMYFUNCTION("""COMPUTED_VALUE"""),5019.0)</f>
        <v>5019</v>
      </c>
      <c r="B2909" s="172" t="str">
        <f>IFERROR(__xludf.DUMMYFUNCTION("""COMPUTED_VALUE"""),"確定")</f>
        <v>確定</v>
      </c>
      <c r="C2909" s="173">
        <f>IFERROR(__xludf.DUMMYFUNCTION("""COMPUTED_VALUE"""),45701.0)</f>
        <v>45701</v>
      </c>
      <c r="D2909" s="173">
        <f>IFERROR(__xludf.DUMMYFUNCTION("""COMPUTED_VALUE"""),45714.0)</f>
        <v>45714</v>
      </c>
      <c r="E2909" s="188">
        <f>IFERROR(__xludf.DUMMYFUNCTION("""COMPUTED_VALUE"""),317273.0)</f>
        <v>317273</v>
      </c>
      <c r="F2909" s="152" t="str">
        <f>IFERROR(__xludf.DUMMYFUNCTION("""COMPUTED_VALUE"""),"セフレ部下の裏指導マニュアル【タテヨミ】")</f>
        <v>セフレ部下の裏指導マニュアル【タテヨミ】</v>
      </c>
      <c r="G2909" s="172" t="str">
        <f>IFERROR(__xludf.DUMMYFUNCTION("""COMPUTED_VALUE"""),"1～15")</f>
        <v>1～15</v>
      </c>
      <c r="H2909" s="152" t="str">
        <f>IFERROR(__xludf.DUMMYFUNCTION("""COMPUTED_VALUE"""),"ソクチ, セクシービーム")</f>
        <v>ソクチ, セクシービーム</v>
      </c>
      <c r="I2909" s="172" t="str">
        <f>IFERROR(__xludf.DUMMYFUNCTION("""COMPUTED_VALUE"""),"青年")</f>
        <v>青年</v>
      </c>
      <c r="J2909" s="176"/>
      <c r="K2909" s="172"/>
      <c r="L2909" s="172" t="str">
        <f>IFERROR(__xludf.DUMMYFUNCTION("""COMPUTED_VALUE"""),"リバース")</f>
        <v>リバース</v>
      </c>
      <c r="M2909" s="59">
        <f>IFERROR(__xludf.DUMMYFUNCTION("""COMPUTED_VALUE"""),45725.0)</f>
        <v>45725</v>
      </c>
      <c r="N2909" s="23">
        <f>IFERROR(__xludf.DUMMYFUNCTION("""COMPUTED_VALUE"""),45788.0)</f>
        <v>45788</v>
      </c>
      <c r="O2909" s="172"/>
      <c r="P2909" s="177" t="str">
        <f>IFERROR(__xludf.DUMMYFUNCTION("""COMPUTED_VALUE"""),"可")</f>
        <v>可</v>
      </c>
      <c r="Q2909" s="179" t="str">
        <f>IFERROR(__xludf.DUMMYFUNCTION("""COMPUTED_VALUE"""),"1～15巻目までご使用ください")</f>
        <v>1～15巻目までご使用ください</v>
      </c>
      <c r="R2909" s="152" t="str">
        <f>IFERROR(__xludf.DUMMYFUNCTION("""COMPUTED_VALUE"""),"コミットOK")</f>
        <v>コミットOK</v>
      </c>
      <c r="S2909" s="172" t="str">
        <f>IFERROR(__xludf.DUMMYFUNCTION("""COMPUTED_VALUE"""),"20250225_リバース_セフレ部下の裏指導マニュアル【タテヨミ】")</f>
        <v>20250225_リバース_セフレ部下の裏指導マニュアル【タテヨミ】</v>
      </c>
      <c r="T2909" s="152" t="str">
        <f>IFERROR(__xludf.DUMMYFUNCTION("""COMPUTED_VALUE"""),"格納済み")</f>
        <v>格納済み</v>
      </c>
      <c r="U2909" s="15" t="str">
        <f>IFERROR(__xludf.DUMMYFUNCTION("""COMPUTED_VALUE"""),"Ⓒソクチ, セクシービーム, Toomics")</f>
        <v>Ⓒソクチ, セクシービーム, Toomics</v>
      </c>
      <c r="V2909" s="8" t="str">
        <f>IFERROR(__xludf.DUMMYFUNCTION("""COMPUTED_VALUE"""),"舞台は会社!?女子に免疫のない祥太郎は新入社員二人にドギマギしっぱなし！")</f>
        <v>舞台は会社!?女子に免疫のない祥太郎は新入社員二人にドギマギしっぱなし！</v>
      </c>
      <c r="W2909" s="14"/>
      <c r="X2909" s="14" t="str">
        <f>IFERROR(__xludf.DUMMYFUNCTION("""COMPUTED_VALUE"""),"有")</f>
        <v>有</v>
      </c>
      <c r="Y2909" s="8" t="str">
        <f>IFERROR(__xludf.DUMMYFUNCTION("""COMPUTED_VALUE"""),"1~3巻無料
4巻目は2025/4/13まで無料")</f>
        <v>1~3巻無料
4巻目は2025/4/13まで無料</v>
      </c>
      <c r="Z2909" s="7"/>
      <c r="AA2909" s="7"/>
      <c r="AB2909" s="7"/>
    </row>
    <row r="2910" ht="15.75" customHeight="1">
      <c r="A2910" s="171">
        <f>IFERROR(__xludf.DUMMYFUNCTION("""COMPUTED_VALUE"""),5021.0)</f>
        <v>5021</v>
      </c>
      <c r="B2910" s="172" t="str">
        <f>IFERROR(__xludf.DUMMYFUNCTION("""COMPUTED_VALUE"""),"確定")</f>
        <v>確定</v>
      </c>
      <c r="C2910" s="173">
        <f>IFERROR(__xludf.DUMMYFUNCTION("""COMPUTED_VALUE"""),45701.0)</f>
        <v>45701</v>
      </c>
      <c r="D2910" s="173">
        <f>IFERROR(__xludf.DUMMYFUNCTION("""COMPUTED_VALUE"""),45713.0)</f>
        <v>45713</v>
      </c>
      <c r="E2910" s="174">
        <f>IFERROR(__xludf.DUMMYFUNCTION("""COMPUTED_VALUE"""),316647.0)</f>
        <v>316647</v>
      </c>
      <c r="F2910" s="159" t="str">
        <f>IFERROR(__xludf.DUMMYFUNCTION("""COMPUTED_VALUE"""),"まきちゃんはメスになってみたい【分冊版】")</f>
        <v>まきちゃんはメスになってみたい【分冊版】</v>
      </c>
      <c r="G2910" s="172">
        <f>IFERROR(__xludf.DUMMYFUNCTION("""COMPUTED_VALUE"""),1.0)</f>
        <v>1</v>
      </c>
      <c r="H2910" s="152" t="str">
        <f>IFERROR(__xludf.DUMMYFUNCTION("""COMPUTED_VALUE"""),"rosca")</f>
        <v>rosca</v>
      </c>
      <c r="I2910" s="172" t="str">
        <f>IFERROR(__xludf.DUMMYFUNCTION("""COMPUTED_VALUE"""),"BL")</f>
        <v>BL</v>
      </c>
      <c r="J2910" s="176"/>
      <c r="K2910" s="172" t="str">
        <f>IFERROR(__xludf.DUMMYFUNCTION("""COMPUTED_VALUE"""),"equal")</f>
        <v>equal</v>
      </c>
      <c r="L2910" s="172" t="str">
        <f>IFERROR(__xludf.DUMMYFUNCTION("""COMPUTED_VALUE"""),"笠倉出版社")</f>
        <v>笠倉出版社</v>
      </c>
      <c r="M2910" s="59">
        <f>IFERROR(__xludf.DUMMYFUNCTION("""COMPUTED_VALUE"""),45730.0)</f>
        <v>45730</v>
      </c>
      <c r="N2910" s="59">
        <f>IFERROR(__xludf.DUMMYFUNCTION("""COMPUTED_VALUE"""),45757.0)</f>
        <v>45757</v>
      </c>
      <c r="O2910" s="172"/>
      <c r="P2910" s="177" t="str">
        <f>IFERROR(__xludf.DUMMYFUNCTION("""COMPUTED_VALUE"""),"可")</f>
        <v>可</v>
      </c>
      <c r="Q2910" s="179"/>
      <c r="R2910" s="152"/>
      <c r="S2910" s="172" t="str">
        <f>IFERROR(__xludf.DUMMYFUNCTION("""COMPUTED_VALUE"""),"20250221 _笠倉出版社_まきちゃんはメスになってみたい【分冊版】")</f>
        <v>20250221 _笠倉出版社_まきちゃんはメスになってみたい【分冊版】</v>
      </c>
      <c r="T2910" s="152" t="str">
        <f>IFERROR(__xludf.DUMMYFUNCTION("""COMPUTED_VALUE"""),"格納済み")</f>
        <v>格納済み</v>
      </c>
      <c r="U2910" s="15" t="str">
        <f>IFERROR(__xludf.DUMMYFUNCTION("""COMPUTED_VALUE"""),"Ⓒrosca/笠倉出版社")</f>
        <v>Ⓒrosca/笠倉出版社</v>
      </c>
      <c r="V2910" s="8" t="str">
        <f>IFERROR(__xludf.DUMMYFUNCTION("""COMPUTED_VALUE"""),"『…メス堕ちさせてみろよ』楽観的な大学生×恋もHなこともしたい大学生、偶然のマッチから始まる煽り煽られなラブコメBL！※本作品はweb雑誌「equal vol.100α」に収録されています。重複購入にご注意ください。")</f>
        <v>『…メス堕ちさせてみろよ』楽観的な大学生×恋もHなこともしたい大学生、偶然のマッチから始まる煽り煽られなラブコメBL！※本作品はweb雑誌「equal vol.100α」に収録されています。重複購入にご注意ください。</v>
      </c>
      <c r="W2910" s="14"/>
      <c r="X2910" s="14" t="str">
        <f>IFERROR(__xludf.DUMMYFUNCTION("""COMPUTED_VALUE"""),"有")</f>
        <v>有</v>
      </c>
      <c r="Y2910" s="8" t="str">
        <f>IFERROR(__xludf.DUMMYFUNCTION("""COMPUTED_VALUE"""),"P6まで")</f>
        <v>P6まで</v>
      </c>
      <c r="Z2910" s="7"/>
      <c r="AA2910" s="7"/>
      <c r="AB2910" s="7"/>
    </row>
    <row r="2911" ht="15.75" customHeight="1">
      <c r="A2911" s="171">
        <f>IFERROR(__xludf.DUMMYFUNCTION("""COMPUTED_VALUE"""),5043.0)</f>
        <v>5043</v>
      </c>
      <c r="B2911" s="172" t="str">
        <f>IFERROR(__xludf.DUMMYFUNCTION("""COMPUTED_VALUE"""),"確定")</f>
        <v>確定</v>
      </c>
      <c r="C2911" s="173">
        <f>IFERROR(__xludf.DUMMYFUNCTION("""COMPUTED_VALUE"""),45705.0)</f>
        <v>45705</v>
      </c>
      <c r="D2911" s="173">
        <f>IFERROR(__xludf.DUMMYFUNCTION("""COMPUTED_VALUE"""),45713.0)</f>
        <v>45713</v>
      </c>
      <c r="E2911" s="189">
        <f>IFERROR(__xludf.DUMMYFUNCTION("""COMPUTED_VALUE"""),267241.0)</f>
        <v>267241</v>
      </c>
      <c r="F2911" s="159" t="str">
        <f>IFERROR(__xludf.DUMMYFUNCTION("""COMPUTED_VALUE"""),"初めては、弟のトモダチでした")</f>
        <v>初めては、弟のトモダチでした</v>
      </c>
      <c r="G2911" s="172" t="str">
        <f>IFERROR(__xludf.DUMMYFUNCTION("""COMPUTED_VALUE"""),"1～3")</f>
        <v>1～3</v>
      </c>
      <c r="H2911" s="152" t="str">
        <f>IFERROR(__xludf.DUMMYFUNCTION("""COMPUTED_VALUE"""),"赤月すみれ")</f>
        <v>赤月すみれ</v>
      </c>
      <c r="I2911" s="172" t="str">
        <f>IFERROR(__xludf.DUMMYFUNCTION("""COMPUTED_VALUE"""),"少女マンガ")</f>
        <v>少女マンガ</v>
      </c>
      <c r="J2911" s="176"/>
      <c r="K2911" s="172"/>
      <c r="L2911" s="172" t="str">
        <f>IFERROR(__xludf.DUMMYFUNCTION("""COMPUTED_VALUE"""),"シーモアコミックス")</f>
        <v>シーモアコミックス</v>
      </c>
      <c r="M2911" s="59">
        <f>IFERROR(__xludf.DUMMYFUNCTION("""COMPUTED_VALUE"""),45738.0)</f>
        <v>45738</v>
      </c>
      <c r="N2911" s="59">
        <f>IFERROR(__xludf.DUMMYFUNCTION("""COMPUTED_VALUE"""),45799.0)</f>
        <v>45799</v>
      </c>
      <c r="O2911" s="172"/>
      <c r="P2911" s="177" t="str">
        <f>IFERROR(__xludf.DUMMYFUNCTION("""COMPUTED_VALUE"""),"可")</f>
        <v>可</v>
      </c>
      <c r="Q2911" s="179"/>
      <c r="R2911" s="152"/>
      <c r="S2911" s="172" t="str">
        <f>IFERROR(__xludf.DUMMYFUNCTION("""COMPUTED_VALUE"""),"20250221_シーモアコミックス_初めては、弟のトモダチでした")</f>
        <v>20250221_シーモアコミックス_初めては、弟のトモダチでした</v>
      </c>
      <c r="T2911" s="152" t="str">
        <f>IFERROR(__xludf.DUMMYFUNCTION("""COMPUTED_VALUE"""),"格納済み")</f>
        <v>格納済み</v>
      </c>
      <c r="U2911" s="15" t="str">
        <f>IFERROR(__xludf.DUMMYFUNCTION("""COMPUTED_VALUE"""),"© 赤月すみれ/シーモアコミックス")</f>
        <v>© 赤月すみれ/シーモアコミックス</v>
      </c>
      <c r="V2911" s="8" t="str">
        <f>IFERROR(__xludf.DUMMYFUNCTION("""COMPUTED_VALUE"""),"結婚にあこがれる相沢未希は大学まで女子校育ちで、23歳になっても恋愛経験ゼロ。中高一貫の名門校に通う6歳下の弟や、その友達の瑠斗くんにからかわれながら婚活にいそしむ日々。しかし、瑠斗くんがことあるごとに絡んできて――!!? イケメン高校生が「俺はずっと本気だけど」って、なんで？ どこが？ 本当に!!? ダメダメ、私は結婚したいの…！ けれどドキドキさせられちゃう…私の正直な気持ちは――？【恋するソワレ】")</f>
        <v>結婚にあこがれる相沢未希は大学まで女子校育ちで、23歳になっても恋愛経験ゼロ。中高一貫の名門校に通う6歳下の弟や、その友達の瑠斗くんにからかわれながら婚活にいそしむ日々。しかし、瑠斗くんがことあるごとに絡んできて――!!? イケメン高校生が「俺はずっと本気だけど」って、なんで？ どこが？ 本当に!!? ダメダメ、私は結婚したいの…！ けれどドキドキさせられちゃう…私の正直な気持ちは――？【恋するソワレ】</v>
      </c>
      <c r="W2911" s="14"/>
      <c r="X2911" s="14" t="str">
        <f>IFERROR(__xludf.DUMMYFUNCTION("""COMPUTED_VALUE"""),"有")</f>
        <v>有</v>
      </c>
      <c r="Y2911" s="8" t="str">
        <f>IFERROR(__xludf.DUMMYFUNCTION("""COMPUTED_VALUE"""),"2025/4/25まで1巻無料")</f>
        <v>2025/4/25まで1巻無料</v>
      </c>
      <c r="Z2911" s="7"/>
      <c r="AA2911" s="7"/>
      <c r="AB2911" s="7"/>
    </row>
    <row r="2912" ht="15.75" customHeight="1">
      <c r="A2912" s="171">
        <f>IFERROR(__xludf.DUMMYFUNCTION("""COMPUTED_VALUE"""),5044.0)</f>
        <v>5044</v>
      </c>
      <c r="B2912" s="172" t="str">
        <f>IFERROR(__xludf.DUMMYFUNCTION("""COMPUTED_VALUE"""),"確定")</f>
        <v>確定</v>
      </c>
      <c r="C2912" s="173">
        <f>IFERROR(__xludf.DUMMYFUNCTION("""COMPUTED_VALUE"""),45705.0)</f>
        <v>45705</v>
      </c>
      <c r="D2912" s="173">
        <f>IFERROR(__xludf.DUMMYFUNCTION("""COMPUTED_VALUE"""),45713.0)</f>
        <v>45713</v>
      </c>
      <c r="E2912" s="189">
        <f>IFERROR(__xludf.DUMMYFUNCTION("""COMPUTED_VALUE"""),296082.0)</f>
        <v>296082</v>
      </c>
      <c r="F2912" s="159" t="str">
        <f>IFERROR(__xludf.DUMMYFUNCTION("""COMPUTED_VALUE"""),"先生の背中は悩ましい")</f>
        <v>先生の背中は悩ましい</v>
      </c>
      <c r="G2912" s="172" t="str">
        <f>IFERROR(__xludf.DUMMYFUNCTION("""COMPUTED_VALUE"""),"1～3")</f>
        <v>1～3</v>
      </c>
      <c r="H2912" s="152" t="str">
        <f>IFERROR(__xludf.DUMMYFUNCTION("""COMPUTED_VALUE"""),"加森キキ")</f>
        <v>加森キキ</v>
      </c>
      <c r="I2912" s="172" t="str">
        <f>IFERROR(__xludf.DUMMYFUNCTION("""COMPUTED_VALUE"""),"BLマンガ")</f>
        <v>BLマンガ</v>
      </c>
      <c r="J2912" s="176"/>
      <c r="K2912" s="172"/>
      <c r="L2912" s="172" t="str">
        <f>IFERROR(__xludf.DUMMYFUNCTION("""COMPUTED_VALUE"""),"シーモアコミックス")</f>
        <v>シーモアコミックス</v>
      </c>
      <c r="M2912" s="59">
        <f>IFERROR(__xludf.DUMMYFUNCTION("""COMPUTED_VALUE"""),45738.0)</f>
        <v>45738</v>
      </c>
      <c r="N2912" s="59">
        <f>IFERROR(__xludf.DUMMYFUNCTION("""COMPUTED_VALUE"""),45799.0)</f>
        <v>45799</v>
      </c>
      <c r="O2912" s="172"/>
      <c r="P2912" s="177" t="str">
        <f>IFERROR(__xludf.DUMMYFUNCTION("""COMPUTED_VALUE"""),"可")</f>
        <v>可</v>
      </c>
      <c r="Q2912" s="179"/>
      <c r="R2912" s="152"/>
      <c r="S2912" s="172" t="str">
        <f>IFERROR(__xludf.DUMMYFUNCTION("""COMPUTED_VALUE"""),"20250221_シーモアコミックス_先生の背中は悩ましい")</f>
        <v>20250221_シーモアコミックス_先生の背中は悩ましい</v>
      </c>
      <c r="T2912" s="152" t="str">
        <f>IFERROR(__xludf.DUMMYFUNCTION("""COMPUTED_VALUE"""),"格納済み")</f>
        <v>格納済み</v>
      </c>
      <c r="U2912" s="15" t="str">
        <f>IFERROR(__xludf.DUMMYFUNCTION("""COMPUTED_VALUE"""),"© 加森キキ/シーモアコミックス")</f>
        <v>© 加森キキ/シーモアコミックス</v>
      </c>
      <c r="V2912" s="8" t="str">
        <f>IFERROR(__xludf.DUMMYFUNCTION("""COMPUTED_VALUE"""),"「お互い本性出しましょうよ――業務時間外くらいは」
同僚教師や生徒から好かれ、抜群のコミュ力を自負する教師の里見には、苦手な男がいる。カタブツで周囲から遠巻きにされてる、隣クラス担任の有村だ。ルールに厳しく、プライベートな会話や誘いを一切受け付けない有村は、まさに鬼門の相手。そんなある日、「有村先生の背中には龍がいる」という不穏な噂を耳にした里見は有村と視聴覚室で二人きりになって…？
プライベートを明かさない、取り澄ました彼のソレに触れたとき、関係は一変する―――爽やか教師×カタブツ教師の『暴き合い』"&amp;"ラブストーリー！【フィカス】")</f>
        <v>「お互い本性出しましょうよ――業務時間外くらいは」
同僚教師や生徒から好かれ、抜群のコミュ力を自負する教師の里見には、苦手な男がいる。カタブツで周囲から遠巻きにされてる、隣クラス担任の有村だ。ルールに厳しく、プライベートな会話や誘いを一切受け付けない有村は、まさに鬼門の相手。そんなある日、「有村先生の背中には龍がいる」という不穏な噂を耳にした里見は有村と視聴覚室で二人きりになって…？
プライベートを明かさない、取り澄ました彼のソレに触れたとき、関係は一変する―――爽やか教師×カタブツ教師の『暴き合い』ラブストーリー！【フィカス】</v>
      </c>
      <c r="W2912" s="14"/>
      <c r="X2912" s="14" t="str">
        <f>IFERROR(__xludf.DUMMYFUNCTION("""COMPUTED_VALUE"""),"有")</f>
        <v>有</v>
      </c>
      <c r="Y2912" s="8" t="str">
        <f>IFERROR(__xludf.DUMMYFUNCTION("""COMPUTED_VALUE"""),"2025/4/25まで1巻無料")</f>
        <v>2025/4/25まで1巻無料</v>
      </c>
      <c r="Z2912" s="7"/>
      <c r="AA2912" s="7"/>
      <c r="AB2912" s="7"/>
    </row>
    <row r="2913" ht="15.75" customHeight="1">
      <c r="A2913" s="171">
        <f>IFERROR(__xludf.DUMMYFUNCTION("""COMPUTED_VALUE"""),5045.0)</f>
        <v>5045</v>
      </c>
      <c r="B2913" s="172" t="str">
        <f>IFERROR(__xludf.DUMMYFUNCTION("""COMPUTED_VALUE"""),"確定")</f>
        <v>確定</v>
      </c>
      <c r="C2913" s="173">
        <f>IFERROR(__xludf.DUMMYFUNCTION("""COMPUTED_VALUE"""),45705.0)</f>
        <v>45705</v>
      </c>
      <c r="D2913" s="173">
        <f>IFERROR(__xludf.DUMMYFUNCTION("""COMPUTED_VALUE"""),45713.0)</f>
        <v>45713</v>
      </c>
      <c r="E2913" s="189">
        <f>IFERROR(__xludf.DUMMYFUNCTION("""COMPUTED_VALUE"""),306018.0)</f>
        <v>306018</v>
      </c>
      <c r="F2913" s="159" t="str">
        <f>IFERROR(__xludf.DUMMYFUNCTION("""COMPUTED_VALUE"""),"年下くんの溺愛が止まりません！")</f>
        <v>年下くんの溺愛が止まりません！</v>
      </c>
      <c r="G2913" s="172" t="str">
        <f>IFERROR(__xludf.DUMMYFUNCTION("""COMPUTED_VALUE"""),"1～6")</f>
        <v>1～6</v>
      </c>
      <c r="H2913" s="152" t="str">
        <f>IFERROR(__xludf.DUMMYFUNCTION("""COMPUTED_VALUE"""),"甘野まよ")</f>
        <v>甘野まよ</v>
      </c>
      <c r="I2913" s="172" t="str">
        <f>IFERROR(__xludf.DUMMYFUNCTION("""COMPUTED_VALUE"""),"女性マンガ")</f>
        <v>女性マンガ</v>
      </c>
      <c r="J2913" s="176"/>
      <c r="K2913" s="172" t="str">
        <f>IFERROR(__xludf.DUMMYFUNCTION("""COMPUTED_VALUE"""),"スキして?桃色日記")</f>
        <v>スキして?桃色日記</v>
      </c>
      <c r="L2913" s="172" t="str">
        <f>IFERROR(__xludf.DUMMYFUNCTION("""COMPUTED_VALUE"""),"シーモアコミックス")</f>
        <v>シーモアコミックス</v>
      </c>
      <c r="M2913" s="59">
        <f>IFERROR(__xludf.DUMMYFUNCTION("""COMPUTED_VALUE"""),45738.0)</f>
        <v>45738</v>
      </c>
      <c r="N2913" s="59">
        <f>IFERROR(__xludf.DUMMYFUNCTION("""COMPUTED_VALUE"""),45890.66666666667)</f>
        <v>45890.66667</v>
      </c>
      <c r="O2913" s="172"/>
      <c r="P2913" s="177" t="str">
        <f>IFERROR(__xludf.DUMMYFUNCTION("""COMPUTED_VALUE"""),"可")</f>
        <v>可</v>
      </c>
      <c r="Q2913" s="179"/>
      <c r="R2913" s="152"/>
      <c r="S2913" s="172" t="str">
        <f>IFERROR(__xludf.DUMMYFUNCTION("""COMPUTED_VALUE"""),"20250221_シーモアコミックス_年下くんの溺愛が止まりません！")</f>
        <v>20250221_シーモアコミックス_年下くんの溺愛が止まりません！</v>
      </c>
      <c r="T2913" s="152" t="str">
        <f>IFERROR(__xludf.DUMMYFUNCTION("""COMPUTED_VALUE"""),"格納済み")</f>
        <v>格納済み</v>
      </c>
      <c r="U2913" s="15" t="str">
        <f>IFERROR(__xludf.DUMMYFUNCTION("""COMPUTED_VALUE"""),"© 甘野まよ/シーモアコミックス")</f>
        <v>© 甘野まよ/シーモアコミックス</v>
      </c>
      <c r="V2913" s="8" t="str">
        <f>IFERROR(__xludf.DUMMYFUNCTION("""COMPUTED_VALUE"""),"「潮さんの全部見てるのに。肌の柔らかさとか、ここの柔らかさも…」いつもと違うオスの顔で見つめられて、カラダが熱くなってくる――最推し俳優の結婚＆彼氏にフラれたWショックを癒やそうと、居酒屋で飲んでたOLの潮。そんな潮に優しく声をかけてくれたのはイケメン店員の尚哉で、「潮さんに付き合ってあげましょう」と言われるがまま二人で飲み明かすことに。そして翌朝、目覚めた潮の隣には半裸の尚哉が…!? 酔った潮を介抱したと言う尚哉は、「今日からここに住んでいい？ 拒否権ないのわかってるでしょ」と爽やか笑顔でトンデモナイお"&amp;"願いをしてきて!!?【本作品は他社より配信されていた「年下くんの溺愛が止まりません！」を一部加筆修正したものです。重複購入にご注意ください】【桃色日記】")</f>
        <v>「潮さんの全部見てるのに。肌の柔らかさとか、ここの柔らかさも…」いつもと違うオスの顔で見つめられて、カラダが熱くなってくる――最推し俳優の結婚＆彼氏にフラれたWショックを癒やそうと、居酒屋で飲んでたOLの潮。そんな潮に優しく声をかけてくれたのはイケメン店員の尚哉で、「潮さんに付き合ってあげましょう」と言われるがまま二人で飲み明かすことに。そして翌朝、目覚めた潮の隣には半裸の尚哉が…!? 酔った潮を介抱したと言う尚哉は、「今日からここに住んでいい？ 拒否権ないのわかってるでしょ」と爽やか笑顔でトンデモナイお願いをしてきて!!?【本作品は他社より配信されていた「年下くんの溺愛が止まりません！」を一部加筆修正したものです。重複購入にご注意ください】【桃色日記】</v>
      </c>
      <c r="W2913" s="14"/>
      <c r="X2913" s="14" t="str">
        <f>IFERROR(__xludf.DUMMYFUNCTION("""COMPUTED_VALUE"""),"有")</f>
        <v>有</v>
      </c>
      <c r="Y2913" s="8" t="str">
        <f>IFERROR(__xludf.DUMMYFUNCTION("""COMPUTED_VALUE"""),"2025/4/25まで1～2巻無料")</f>
        <v>2025/4/25まで1～2巻無料</v>
      </c>
      <c r="Z2913" s="7"/>
      <c r="AA2913" s="7"/>
      <c r="AB2913" s="7"/>
    </row>
    <row r="2914" ht="15.75" customHeight="1">
      <c r="A2914" s="171">
        <f>IFERROR(__xludf.DUMMYFUNCTION("""COMPUTED_VALUE"""),5105.0)</f>
        <v>5105</v>
      </c>
      <c r="B2914" s="172" t="str">
        <f>IFERROR(__xludf.DUMMYFUNCTION("""COMPUTED_VALUE"""),"確定")</f>
        <v>確定</v>
      </c>
      <c r="C2914" s="173">
        <f>IFERROR(__xludf.DUMMYFUNCTION("""COMPUTED_VALUE"""),45713.0)</f>
        <v>45713</v>
      </c>
      <c r="D2914" s="173">
        <f>IFERROR(__xludf.DUMMYFUNCTION("""COMPUTED_VALUE"""),45714.0)</f>
        <v>45714</v>
      </c>
      <c r="E2914" s="174">
        <f>IFERROR(__xludf.DUMMYFUNCTION("""COMPUTED_VALUE"""),316388.0)</f>
        <v>316388</v>
      </c>
      <c r="F2914" s="159" t="str">
        <f>IFERROR(__xludf.DUMMYFUNCTION("""COMPUTED_VALUE"""),"大悪党少年")</f>
        <v>大悪党少年</v>
      </c>
      <c r="G2914" s="172" t="str">
        <f>IFERROR(__xludf.DUMMYFUNCTION("""COMPUTED_VALUE"""),"1～4")</f>
        <v>1～4</v>
      </c>
      <c r="H2914" s="152" t="str">
        <f>IFERROR(__xludf.DUMMYFUNCTION("""COMPUTED_VALUE"""),"藤近小梅")</f>
        <v>藤近小梅</v>
      </c>
      <c r="I2914" s="172" t="str">
        <f>IFERROR(__xludf.DUMMYFUNCTION("""COMPUTED_VALUE"""),"少年")</f>
        <v>少年</v>
      </c>
      <c r="J2914" s="176"/>
      <c r="K2914" s="172"/>
      <c r="L2914" s="172" t="str">
        <f>IFERROR(__xludf.DUMMYFUNCTION("""COMPUTED_VALUE"""),"スクウェア・エニックス")</f>
        <v>スクウェア・エニックス</v>
      </c>
      <c r="M2914" s="59">
        <f>IFERROR(__xludf.DUMMYFUNCTION("""COMPUTED_VALUE"""),45717.0)</f>
        <v>45717</v>
      </c>
      <c r="N2914" s="59">
        <f>IFERROR(__xludf.DUMMYFUNCTION("""COMPUTED_VALUE"""),45808.0)</f>
        <v>45808</v>
      </c>
      <c r="O2914" s="172"/>
      <c r="P2914" s="177" t="str">
        <f>IFERROR(__xludf.DUMMYFUNCTION("""COMPUTED_VALUE"""),"否")</f>
        <v>否</v>
      </c>
      <c r="Q2914" s="179" t="str">
        <f>IFERROR(__xludf.DUMMYFUNCTION("""COMPUTED_VALUE"""),"逆提案作品")</f>
        <v>逆提案作品</v>
      </c>
      <c r="R2914" s="152" t="str">
        <f>IFERROR(__xludf.DUMMYFUNCTION("""COMPUTED_VALUE"""),"コミットOK")</f>
        <v>コミットOK</v>
      </c>
      <c r="S2914" s="172" t="str">
        <f>IFERROR(__xludf.DUMMYFUNCTION("""COMPUTED_VALUE"""),"20250225_スクウェア・エニックス_大悪党少年")</f>
        <v>20250225_スクウェア・エニックス_大悪党少年</v>
      </c>
      <c r="T2914" s="152" t="str">
        <f>IFERROR(__xludf.DUMMYFUNCTION("""COMPUTED_VALUE"""),"格納済み")</f>
        <v>格納済み</v>
      </c>
      <c r="U2914" s="15" t="str">
        <f>IFERROR(__xludf.DUMMYFUNCTION("""COMPUTED_VALUE"""),"ⒸKoume Fujichika/SQUARE ENIX")</f>
        <v>ⒸKoume Fujichika/SQUARE ENIX</v>
      </c>
      <c r="V2914" s="8" t="str">
        <f>IFERROR(__xludf.DUMMYFUNCTION("""COMPUTED_VALUE"""),"【覚悟しろ、くだらねえ世界。】
世界の全部がくだらない。綺麗事を振りかざして戦うヒーローも、ちっぽけな犯罪しか出来ない小悪党も、群れることしか能がないクラスメートも、…弱くてみじめな自分自身も。――だから少年は憧れた。自分と世界を変えるために。孤独で、孤高で、最高な「大悪党」に！『好きな子がめがねを忘れた』の藤近小梅が描く、新たなヴィランズ・ストーリー！
※この商品は「大悪党少年」を1話ごとに分冊したものです。
(C)2025 Koume Fujichika")</f>
        <v>【覚悟しろ、くだらねえ世界。】
世界の全部がくだらない。綺麗事を振りかざして戦うヒーローも、ちっぽけな犯罪しか出来ない小悪党も、群れることしか能がないクラスメートも、…弱くてみじめな自分自身も。――だから少年は憧れた。自分と世界を変えるために。孤独で、孤高で、最高な「大悪党」に！『好きな子がめがねを忘れた』の藤近小梅が描く、新たなヴィランズ・ストーリー！
※この商品は「大悪党少年」を1話ごとに分冊したものです。
(C)2025 Koume Fujichika</v>
      </c>
      <c r="W2914" s="14"/>
      <c r="X2914" s="14" t="str">
        <f>IFERROR(__xludf.DUMMYFUNCTION("""COMPUTED_VALUE"""),"有")</f>
        <v>有</v>
      </c>
      <c r="Y2914" s="8" t="str">
        <f>IFERROR(__xludf.DUMMYFUNCTION("""COMPUTED_VALUE"""),"2025/3/31まで1巻無料")</f>
        <v>2025/3/31まで1巻無料</v>
      </c>
      <c r="Z2914" s="7"/>
      <c r="AA2914" s="7"/>
      <c r="AB2914" s="7"/>
    </row>
    <row r="2915" ht="15.75" customHeight="1">
      <c r="A2915" s="171">
        <f>IFERROR(__xludf.DUMMYFUNCTION("""COMPUTED_VALUE"""),5106.0)</f>
        <v>5106</v>
      </c>
      <c r="B2915" s="172" t="str">
        <f>IFERROR(__xludf.DUMMYFUNCTION("""COMPUTED_VALUE"""),"確定")</f>
        <v>確定</v>
      </c>
      <c r="C2915" s="173">
        <f>IFERROR(__xludf.DUMMYFUNCTION("""COMPUTED_VALUE"""),45713.0)</f>
        <v>45713</v>
      </c>
      <c r="D2915" s="173">
        <f>IFERROR(__xludf.DUMMYFUNCTION("""COMPUTED_VALUE"""),45714.0)</f>
        <v>45714</v>
      </c>
      <c r="E2915" s="174">
        <f>IFERROR(__xludf.DUMMYFUNCTION("""COMPUTED_VALUE"""),316389.0)</f>
        <v>316389</v>
      </c>
      <c r="F2915" s="159" t="str">
        <f>IFERROR(__xludf.DUMMYFUNCTION("""COMPUTED_VALUE"""),"稀代の悪女、三度目の人生で【無才無能】を楽しむ【分冊版】")</f>
        <v>稀代の悪女、三度目の人生で【無才無能】を楽しむ【分冊版】</v>
      </c>
      <c r="G2915" s="172" t="str">
        <f>IFERROR(__xludf.DUMMYFUNCTION("""COMPUTED_VALUE"""),"1～5")</f>
        <v>1～5</v>
      </c>
      <c r="H2915" s="152" t="str">
        <f>IFERROR(__xludf.DUMMYFUNCTION("""COMPUTED_VALUE"""),"八美☆わん,昴カズサ,嵐華子(カドカワBOOKS/KADOKAWA刊)")</f>
        <v>八美☆わん,昴カズサ,嵐華子(カドカワBOOKS/KADOKAWA刊)</v>
      </c>
      <c r="I2915" s="172" t="str">
        <f>IFERROR(__xludf.DUMMYFUNCTION("""COMPUTED_VALUE"""),"少女")</f>
        <v>少女</v>
      </c>
      <c r="J2915" s="176"/>
      <c r="K2915" s="172"/>
      <c r="L2915" s="172" t="str">
        <f>IFERROR(__xludf.DUMMYFUNCTION("""COMPUTED_VALUE"""),"スクウェア・エニックス")</f>
        <v>スクウェア・エニックス</v>
      </c>
      <c r="M2915" s="59">
        <f>IFERROR(__xludf.DUMMYFUNCTION("""COMPUTED_VALUE"""),45717.0)</f>
        <v>45717</v>
      </c>
      <c r="N2915" s="59">
        <f>IFERROR(__xludf.DUMMYFUNCTION("""COMPUTED_VALUE"""),45808.0)</f>
        <v>45808</v>
      </c>
      <c r="O2915" s="172"/>
      <c r="P2915" s="177" t="str">
        <f>IFERROR(__xludf.DUMMYFUNCTION("""COMPUTED_VALUE"""),"否")</f>
        <v>否</v>
      </c>
      <c r="Q2915" s="179" t="str">
        <f>IFERROR(__xludf.DUMMYFUNCTION("""COMPUTED_VALUE"""),"逆提案タイトルです。")</f>
        <v>逆提案タイトルです。</v>
      </c>
      <c r="R2915" s="152" t="str">
        <f>IFERROR(__xludf.DUMMYFUNCTION("""COMPUTED_VALUE"""),"コミットOK")</f>
        <v>コミットOK</v>
      </c>
      <c r="S2915" s="172" t="str">
        <f>IFERROR(__xludf.DUMMYFUNCTION("""COMPUTED_VALUE"""),"20250225_スクウェア・エニックス_稀代の悪女、三度目の人生で【無才無能】を楽しむ")</f>
        <v>20250225_スクウェア・エニックス_稀代の悪女、三度目の人生で【無才無能】を楽しむ</v>
      </c>
      <c r="T2915" s="152" t="str">
        <f>IFERROR(__xludf.DUMMYFUNCTION("""COMPUTED_VALUE"""),"格納済み")</f>
        <v>格納済み</v>
      </c>
      <c r="U2915" s="15" t="str">
        <f>IFERROR(__xludf.DUMMYFUNCTION("""COMPUTED_VALUE"""),"ⒸHanako Arashi, Wan Hachipisu 20XX Licensed by KADOKAWA CORPORATION ⒸKazusa Subaru/SQUARE ENIX")</f>
        <v>ⒸHanako Arashi, Wan Hachipisu 20XX Licensed by KADOKAWA CORPORATION ⒸKazusa Subaru/SQUARE ENIX</v>
      </c>
      <c r="V2915" s="8" t="str">
        <f>IFERROR(__xludf.DUMMYFUNCTION("""COMPUTED_VALUE"""),"【力を隠し、あえての【無才無能】！】
前々世は無才無能な稀代の悪女・ベルジャンヌ、前世は86歳で大往生した日本人。今世はその記憶を持ち、中身トータル100歳超えのおばあちゃんな16歳ラビアンジェとして、義妹をはじめとする身内や、婚約者から罵られようと、力を隠しあえて何かとお得な無才無能として生きる！
※この商品は「稀代の悪女、三度目の人生で【無才無能】を楽しむ」を1話ごとに分冊したものです。
(C)Hanako Arashi， Wan Hachipisu 2025 Licensed by KADOKAWA"&amp;" CORPORATION (C)2025 Kazusa Subaru")</f>
        <v>【力を隠し、あえての【無才無能】！】
前々世は無才無能な稀代の悪女・ベルジャンヌ、前世は86歳で大往生した日本人。今世はその記憶を持ち、中身トータル100歳超えのおばあちゃんな16歳ラビアンジェとして、義妹をはじめとする身内や、婚約者から罵られようと、力を隠しあえて何かとお得な無才無能として生きる！
※この商品は「稀代の悪女、三度目の人生で【無才無能】を楽しむ」を1話ごとに分冊したものです。
(C)Hanako Arashi， Wan Hachipisu 2025 Licensed by KADOKAWA CORPORATION (C)2025 Kazusa Subaru</v>
      </c>
      <c r="W2915" s="14"/>
      <c r="X2915" s="14" t="str">
        <f>IFERROR(__xludf.DUMMYFUNCTION("""COMPUTED_VALUE"""),"有")</f>
        <v>有</v>
      </c>
      <c r="Y2915" s="8" t="str">
        <f>IFERROR(__xludf.DUMMYFUNCTION("""COMPUTED_VALUE"""),"2025/3/31まで1巻無料")</f>
        <v>2025/3/31まで1巻無料</v>
      </c>
      <c r="Z2915" s="7"/>
      <c r="AA2915" s="7"/>
      <c r="AB2915" s="7"/>
    </row>
    <row r="2916" ht="15.75" customHeight="1">
      <c r="A2916" s="171">
        <f>IFERROR(__xludf.DUMMYFUNCTION("""COMPUTED_VALUE"""),5107.0)</f>
        <v>5107</v>
      </c>
      <c r="B2916" s="172" t="str">
        <f>IFERROR(__xludf.DUMMYFUNCTION("""COMPUTED_VALUE"""),"確定")</f>
        <v>確定</v>
      </c>
      <c r="C2916" s="173">
        <f>IFERROR(__xludf.DUMMYFUNCTION("""COMPUTED_VALUE"""),45713.0)</f>
        <v>45713</v>
      </c>
      <c r="D2916" s="173">
        <f>IFERROR(__xludf.DUMMYFUNCTION("""COMPUTED_VALUE"""),45714.0)</f>
        <v>45714</v>
      </c>
      <c r="E2916" s="174">
        <f>IFERROR(__xludf.DUMMYFUNCTION("""COMPUTED_VALUE"""),316390.0)</f>
        <v>316390</v>
      </c>
      <c r="F2916" s="159" t="str">
        <f>IFERROR(__xludf.DUMMYFUNCTION("""COMPUTED_VALUE"""),"芝居と呼ぶには恋すぎる【分冊版】")</f>
        <v>芝居と呼ぶには恋すぎる【分冊版】</v>
      </c>
      <c r="G2916" s="172" t="str">
        <f>IFERROR(__xludf.DUMMYFUNCTION("""COMPUTED_VALUE"""),"1～5")</f>
        <v>1～5</v>
      </c>
      <c r="H2916" s="152" t="str">
        <f>IFERROR(__xludf.DUMMYFUNCTION("""COMPUTED_VALUE"""),"折紙ちよこ")</f>
        <v>折紙ちよこ</v>
      </c>
      <c r="I2916" s="172" t="str">
        <f>IFERROR(__xludf.DUMMYFUNCTION("""COMPUTED_VALUE"""),"BL")</f>
        <v>BL</v>
      </c>
      <c r="J2916" s="176"/>
      <c r="K2916" s="172"/>
      <c r="L2916" s="172" t="str">
        <f>IFERROR(__xludf.DUMMYFUNCTION("""COMPUTED_VALUE"""),"スクウェア・エニックス")</f>
        <v>スクウェア・エニックス</v>
      </c>
      <c r="M2916" s="59">
        <f>IFERROR(__xludf.DUMMYFUNCTION("""COMPUTED_VALUE"""),45717.0)</f>
        <v>45717</v>
      </c>
      <c r="N2916" s="23">
        <f>IFERROR(__xludf.DUMMYFUNCTION("""COMPUTED_VALUE"""),45747.0)</f>
        <v>45747</v>
      </c>
      <c r="O2916" s="172"/>
      <c r="P2916" s="177" t="str">
        <f>IFERROR(__xludf.DUMMYFUNCTION("""COMPUTED_VALUE"""),"可")</f>
        <v>可</v>
      </c>
      <c r="Q2916" s="179"/>
      <c r="R2916" s="152"/>
      <c r="S2916" s="172" t="str">
        <f>IFERROR(__xludf.DUMMYFUNCTION("""COMPUTED_VALUE"""),"20250225_スクウェア・エニックス_芝居と呼ぶには恋すぎる")</f>
        <v>20250225_スクウェア・エニックス_芝居と呼ぶには恋すぎる</v>
      </c>
      <c r="T2916" s="152" t="str">
        <f>IFERROR(__xludf.DUMMYFUNCTION("""COMPUTED_VALUE"""),"格納済み")</f>
        <v>格納済み</v>
      </c>
      <c r="U2916" s="15" t="str">
        <f>IFERROR(__xludf.DUMMYFUNCTION("""COMPUTED_VALUE"""),"ⒸChiyoko Origami/SQUARE ENIX")</f>
        <v>ⒸChiyoko Origami/SQUARE ENIX</v>
      </c>
      <c r="V2916" s="8" t="str">
        <f>IFERROR(__xludf.DUMMYFUNCTION("""COMPUTED_VALUE"""),"【役作りのために同棲はじめました】
売れない俳優・谷口真は突如BLドラマの主演に抜擢され、役作りのために『同棲』をすることに！相手役は今をときめく若手イケメン俳優・天宮千晶。テレビで見る明るいイメージとは裏腹に素の彼は超絶塩対応だが、それには深い理由があって…？売れないアラサー先輩俳優×二面性イケメン後輩俳優の恋すぎて濃いすぎる同居すれ違いラブ！
※この商品は「芝居と呼ぶには恋すぎる」を1話ごとに分冊したものです。
(C)2025 Chiyoko Origami")</f>
        <v>【役作りのために同棲はじめました】
売れない俳優・谷口真は突如BLドラマの主演に抜擢され、役作りのために『同棲』をすることに！相手役は今をときめく若手イケメン俳優・天宮千晶。テレビで見る明るいイメージとは裏腹に素の彼は超絶塩対応だが、それには深い理由があって…？売れないアラサー先輩俳優×二面性イケメン後輩俳優の恋すぎて濃いすぎる同居すれ違いラブ！
※この商品は「芝居と呼ぶには恋すぎる」を1話ごとに分冊したものです。
(C)2025 Chiyoko Origami</v>
      </c>
      <c r="W2916" s="14"/>
      <c r="X2916" s="14" t="str">
        <f>IFERROR(__xludf.DUMMYFUNCTION("""COMPUTED_VALUE"""),"有")</f>
        <v>有</v>
      </c>
      <c r="Y2916" s="8" t="str">
        <f>IFERROR(__xludf.DUMMYFUNCTION("""COMPUTED_VALUE"""),"2025/3/31まで1巻無料")</f>
        <v>2025/3/31まで1巻無料</v>
      </c>
      <c r="Z2916" s="7"/>
      <c r="AA2916" s="7"/>
      <c r="AB2916" s="7"/>
    </row>
    <row r="2917" ht="15.75" customHeight="1">
      <c r="A2917" s="153">
        <f>IFERROR(__xludf.DUMMYFUNCTION("""COMPUTED_VALUE"""),4456.0)</f>
        <v>4456</v>
      </c>
      <c r="B2917" s="152" t="str">
        <f>IFERROR(__xludf.DUMMYFUNCTION("""COMPUTED_VALUE"""),"確定")</f>
        <v>確定</v>
      </c>
      <c r="C2917" s="154">
        <f>IFERROR(__xludf.DUMMYFUNCTION("""COMPUTED_VALUE"""),45601.0)</f>
        <v>45601</v>
      </c>
      <c r="D2917" s="154">
        <f>IFERROR(__xludf.DUMMYFUNCTION("""COMPUTED_VALUE"""),45721.0)</f>
        <v>45721</v>
      </c>
      <c r="E2917" s="158">
        <f>IFERROR(__xludf.DUMMYFUNCTION("""COMPUTED_VALUE"""),317698.0)</f>
        <v>317698</v>
      </c>
      <c r="F2917" s="159" t="str">
        <f>IFERROR(__xludf.DUMMYFUNCTION("""COMPUTED_VALUE"""),"Berry’sFantasy冷酷な狼皇帝の契約花嫁～「お前は家族じゃない」と捨てられた令嬢が、獣人国で愛されて幸せになるまで～")</f>
        <v>Berry’sFantasy冷酷な狼皇帝の契約花嫁～「お前は家族じゃない」と捨てられた令嬢が、獣人国で愛されて幸せになるまで～</v>
      </c>
      <c r="G2917" s="152" t="str">
        <f>IFERROR(__xludf.DUMMYFUNCTION("""COMPUTED_VALUE"""),"1～5")</f>
        <v>1～5</v>
      </c>
      <c r="H2917" s="152" t="str">
        <f>IFERROR(__xludf.DUMMYFUNCTION("""COMPUTED_VALUE"""),"ナナキハル（作画）、百門一新（原作）")</f>
        <v>ナナキハル（作画）、百門一新（原作）</v>
      </c>
      <c r="I2917" s="152" t="str">
        <f>IFERROR(__xludf.DUMMYFUNCTION("""COMPUTED_VALUE"""),"女性")</f>
        <v>女性</v>
      </c>
      <c r="J2917" s="157"/>
      <c r="K2917" s="157"/>
      <c r="L2917" s="152" t="str">
        <f>IFERROR(__xludf.DUMMYFUNCTION("""COMPUTED_VALUE"""),"スターツ出版")</f>
        <v>スターツ出版</v>
      </c>
      <c r="M2917" s="59">
        <f>IFERROR(__xludf.DUMMYFUNCTION("""COMPUTED_VALUE"""),45744.0)</f>
        <v>45744</v>
      </c>
      <c r="N2917" s="23">
        <f>IFERROR(__xludf.DUMMYFUNCTION("""COMPUTED_VALUE"""),45799.0)</f>
        <v>45799</v>
      </c>
      <c r="O2917" s="152"/>
      <c r="P2917" s="164" t="str">
        <f>IFERROR(__xludf.DUMMYFUNCTION("""COMPUTED_VALUE"""),"可")</f>
        <v>可</v>
      </c>
      <c r="Q2917" s="166"/>
      <c r="R2917" s="152"/>
      <c r="S2917" s="152" t="str">
        <f>IFERROR(__xludf.DUMMYFUNCTION("""COMPUTED_VALUE"""),"20250214_スターツ出版_冷酷な狼皇帝の契約花嫁～お前は家族じゃないと捨てられた令嬢が、獣人国で愛されて幸せになるまで～")</f>
        <v>20250214_スターツ出版_冷酷な狼皇帝の契約花嫁～お前は家族じゃないと捨てられた令嬢が、獣人国で愛されて幸せになるまで～</v>
      </c>
      <c r="T2917" s="152" t="str">
        <f>IFERROR(__xludf.DUMMYFUNCTION("""COMPUTED_VALUE"""),"格納済み")</f>
        <v>格納済み</v>
      </c>
      <c r="U2917" s="15" t="str">
        <f>IFERROR(__xludf.DUMMYFUNCTION("""COMPUTED_VALUE"""),"ⒸHaru Nanaki・Isshin Momokado/スターツ出版")</f>
        <v>ⒸHaru Nanaki・Isshin Momokado/スターツ出版</v>
      </c>
      <c r="V2917" s="8" t="str">
        <f>IFERROR(__xludf.DUMMYFUNCTION("""COMPUTED_VALUE"""),"バルクス辺境伯家の四女・サラは金色の髪と瞳を持って生まれたことで「魔女」と呼ばれ虐げられてきた。
自由になれる日を夢見て懸命に生きるサラだったが、姉の結婚を機に迷信を信じる家族に捨てられ、人間は生きていけないと言われている“異形の地”に連れていかれてしまう。
そんな状況でも必死に生き延びようとするサラの前に現れたのは、冷酷と恐れられる獣人皇国の皇帝・カイル…!?
二人の視線が交わる時、この出会いは必然に変わる――…。
捨てられた令嬢×運命を信じない狼皇帝の艶ラブファンタジー、ここに開幕！
（"&amp;"この作品は電子コミック誌Berry’ｓ fantasy Vol.61に収録されています。重複購入にご注意ください)")</f>
        <v>バルクス辺境伯家の四女・サラは金色の髪と瞳を持って生まれたことで「魔女」と呼ばれ虐げられてきた。
自由になれる日を夢見て懸命に生きるサラだったが、姉の結婚を機に迷信を信じる家族に捨てられ、人間は生きていけないと言われている“異形の地”に連れていかれてしまう。
そんな状況でも必死に生き延びようとするサラの前に現れたのは、冷酷と恐れられる獣人皇国の皇帝・カイル…!?
二人の視線が交わる時、この出会いは必然に変わる――…。
捨てられた令嬢×運命を信じない狼皇帝の艶ラブファンタジー、ここに開幕！
（この作品は電子コミック誌Berry’ｓ fantasy Vol.61に収録されています。重複購入にご注意ください)</v>
      </c>
      <c r="W2917" s="14"/>
      <c r="X2917" s="14" t="str">
        <f>IFERROR(__xludf.DUMMYFUNCTION("""COMPUTED_VALUE"""),"有")</f>
        <v>有</v>
      </c>
      <c r="Y2917" s="8" t="str">
        <f>IFERROR(__xludf.DUMMYFUNCTION("""COMPUTED_VALUE"""),"2025/5/22まで1巻無料")</f>
        <v>2025/5/22まで1巻無料</v>
      </c>
      <c r="Z2917" s="7"/>
      <c r="AA2917" s="7"/>
      <c r="AB2917" s="7"/>
    </row>
    <row r="2918" ht="15.75" customHeight="1">
      <c r="A2918" s="153">
        <f>IFERROR(__xludf.DUMMYFUNCTION("""COMPUTED_VALUE"""),4480.0)</f>
        <v>4480</v>
      </c>
      <c r="B2918" s="152" t="str">
        <f>IFERROR(__xludf.DUMMYFUNCTION("""COMPUTED_VALUE"""),"確定")</f>
        <v>確定</v>
      </c>
      <c r="C2918" s="154">
        <f>IFERROR(__xludf.DUMMYFUNCTION("""COMPUTED_VALUE"""),45604.0)</f>
        <v>45604</v>
      </c>
      <c r="D2918" s="154">
        <f>IFERROR(__xludf.DUMMYFUNCTION("""COMPUTED_VALUE"""),45715.0)</f>
        <v>45715</v>
      </c>
      <c r="E2918" s="158">
        <f>IFERROR(__xludf.DUMMYFUNCTION("""COMPUTED_VALUE"""),317885.0)</f>
        <v>317885</v>
      </c>
      <c r="F2918" s="159" t="str">
        <f>IFERROR(__xludf.DUMMYFUNCTION("""COMPUTED_VALUE"""),"異世界村長 ～おっさん配信者とオレのスキルで開拓無双！～（コミック）")</f>
        <v>異世界村長 ～おっさん配信者とオレのスキルで開拓無双！～（コミック）</v>
      </c>
      <c r="G2918" s="152" t="str">
        <f>IFERROR(__xludf.DUMMYFUNCTION("""COMPUTED_VALUE"""),"1～6")</f>
        <v>1～6</v>
      </c>
      <c r="H2918" s="152" t="str">
        <f>IFERROR(__xludf.DUMMYFUNCTION("""COMPUTED_VALUE"""),"猪田和亮 七城 しあびす")</f>
        <v>猪田和亮 七城 しあびす</v>
      </c>
      <c r="I2918" s="152" t="str">
        <f>IFERROR(__xludf.DUMMYFUNCTION("""COMPUTED_VALUE"""),"少年")</f>
        <v>少年</v>
      </c>
      <c r="J2918" s="157"/>
      <c r="K2918" s="157"/>
      <c r="L2918" s="152" t="str">
        <f>IFERROR(__xludf.DUMMYFUNCTION("""COMPUTED_VALUE"""),"ツギクル")</f>
        <v>ツギクル</v>
      </c>
      <c r="M2918" s="59">
        <f>IFERROR(__xludf.DUMMYFUNCTION("""COMPUTED_VALUE"""),45744.0)</f>
        <v>45744</v>
      </c>
      <c r="N2918" s="28">
        <f>IFERROR(__xludf.DUMMYFUNCTION("""COMPUTED_VALUE"""),45833.0)</f>
        <v>45833</v>
      </c>
      <c r="O2918" s="152"/>
      <c r="P2918" s="190" t="str">
        <f>IFERROR(__xludf.DUMMYFUNCTION("""COMPUTED_VALUE"""),"可")</f>
        <v>可</v>
      </c>
      <c r="Q2918" s="152"/>
      <c r="R2918" s="152" t="str">
        <f>IFERROR(__xludf.DUMMYFUNCTION("""COMPUTED_VALUE"""),"コミットOK")</f>
        <v>コミットOK</v>
      </c>
      <c r="S2918" s="152" t="str">
        <f>IFERROR(__xludf.DUMMYFUNCTION("""COMPUTED_VALUE"""),"20250227_ツギクル_異世界村長 ～おっさん配信者とオレのスキルで開拓無双！～（コミック）")</f>
        <v>20250227_ツギクル_異世界村長 ～おっさん配信者とオレのスキルで開拓無双！～（コミック）</v>
      </c>
      <c r="T2918" s="152" t="str">
        <f>IFERROR(__xludf.DUMMYFUNCTION("""COMPUTED_VALUE"""),"格納済み")</f>
        <v>格納済み</v>
      </c>
      <c r="U2918" s="15" t="str">
        <f>IFERROR(__xludf.DUMMYFUNCTION("""COMPUTED_VALUE"""),"ⒸKazuaki Inoda Ⓒnana_shiro / Tugikuru Corp.")</f>
        <v>ⒸKazuaki Inoda Ⓒnana_shiro / Tugikuru Corp.</v>
      </c>
      <c r="V2918" s="8" t="str">
        <f>IFERROR(__xludf.DUMMYFUNCTION("""COMPUTED_VALUE"""),"剣冬也と同級生の南夏希はある日、大規模な異世界転移に巻き込まれ、見知らぬ森に放り出されてしまう。
生き残るため二人で森の中を探索すると、異世界にしては不自然な日本風家屋を発見。そこは、同じく異世界転移に巻き込まれたおっさん配信者日下部啓介が、家ごとこの世界に転移してきた屋敷だった。
啓介が自分のよく見ていた動画の配信者と知ると、冬也は啓介にこの世界を征服してほしいと要望。啓介もここに自分の世界を築きたいと考えていたため、啓介と冬也は協力して異世界を開拓していくことを決意する！")</f>
        <v>剣冬也と同級生の南夏希はある日、大規模な異世界転移に巻き込まれ、見知らぬ森に放り出されてしまう。
生き残るため二人で森の中を探索すると、異世界にしては不自然な日本風家屋を発見。そこは、同じく異世界転移に巻き込まれたおっさん配信者日下部啓介が、家ごとこの世界に転移してきた屋敷だった。
啓介が自分のよく見ていた動画の配信者と知ると、冬也は啓介にこの世界を征服してほしいと要望。啓介もここに自分の世界を築きたいと考えていたため、啓介と冬也は協力して異世界を開拓していくことを決意する！</v>
      </c>
      <c r="W2918" s="14"/>
      <c r="X2918" s="14" t="str">
        <f>IFERROR(__xludf.DUMMYFUNCTION("""COMPUTED_VALUE"""),"有")</f>
        <v>有</v>
      </c>
      <c r="Y2918" s="8" t="str">
        <f>IFERROR(__xludf.DUMMYFUNCTION("""COMPUTED_VALUE"""),"2025/4/17まで1～3巻無料")</f>
        <v>2025/4/17まで1～3巻無料</v>
      </c>
      <c r="Z2918" s="7"/>
      <c r="AA2918" s="7"/>
      <c r="AB2918" s="7"/>
    </row>
    <row r="2919" ht="15.75" customHeight="1">
      <c r="A2919" s="153">
        <f>IFERROR(__xludf.DUMMYFUNCTION("""COMPUTED_VALUE"""),4508.0)</f>
        <v>4508</v>
      </c>
      <c r="B2919" s="152" t="str">
        <f>IFERROR(__xludf.DUMMYFUNCTION("""COMPUTED_VALUE"""),"確定")</f>
        <v>確定</v>
      </c>
      <c r="C2919" s="154">
        <f>IFERROR(__xludf.DUMMYFUNCTION("""COMPUTED_VALUE"""),45609.0)</f>
        <v>45609</v>
      </c>
      <c r="D2919" s="154">
        <f>IFERROR(__xludf.DUMMYFUNCTION("""COMPUTED_VALUE"""),45719.0)</f>
        <v>45719</v>
      </c>
      <c r="E2919" s="158">
        <f>IFERROR(__xludf.DUMMYFUNCTION("""COMPUTED_VALUE"""),318543.0)</f>
        <v>318543</v>
      </c>
      <c r="F2919" s="159" t="str">
        <f>IFERROR(__xludf.DUMMYFUNCTION("""COMPUTED_VALUE"""),"【単話版】紅の魔術師に全てを注ぎます。好き。@COMIC 〜聖女の力を軽く見積もられ婚約破棄されました。後悔しても知りません〜")</f>
        <v>【単話版】紅の魔術師に全てを注ぎます。好き。@COMIC 〜聖女の力を軽く見積もられ婚約破棄されました。後悔しても知りません〜</v>
      </c>
      <c r="G2919" s="152" t="str">
        <f>IFERROR(__xludf.DUMMYFUNCTION("""COMPUTED_VALUE"""),"1～4")</f>
        <v>1～4</v>
      </c>
      <c r="H2919" s="152" t="str">
        <f>IFERROR(__xludf.DUMMYFUNCTION("""COMPUTED_VALUE"""),"鳴鹿┴日向雪┴瑛来イチ")</f>
        <v>鳴鹿┴日向雪┴瑛来イチ</v>
      </c>
      <c r="I2919" s="152" t="str">
        <f>IFERROR(__xludf.DUMMYFUNCTION("""COMPUTED_VALUE"""),"少女")</f>
        <v>少女</v>
      </c>
      <c r="J2919" s="157"/>
      <c r="K2919" s="157"/>
      <c r="L2919" s="152" t="str">
        <f>IFERROR(__xludf.DUMMYFUNCTION("""COMPUTED_VALUE"""),"TOブックス")</f>
        <v>TOブックス</v>
      </c>
      <c r="M2919" s="28">
        <f>IFERROR(__xludf.DUMMYFUNCTION("""COMPUTED_VALUE"""),45748.0)</f>
        <v>45748</v>
      </c>
      <c r="N2919" s="28">
        <f>IFERROR(__xludf.DUMMYFUNCTION("""COMPUTED_VALUE"""),45808.0)</f>
        <v>45808</v>
      </c>
      <c r="O2919" s="152"/>
      <c r="P2919" s="152" t="str">
        <f>IFERROR(__xludf.DUMMYFUNCTION("""COMPUTED_VALUE"""),"否")</f>
        <v>否</v>
      </c>
      <c r="Q2919" s="152" t="str">
        <f>IFERROR(__xludf.DUMMYFUNCTION("""COMPUTED_VALUE"""),"・先行期間：２か月⇒※好調であれば延長可")</f>
        <v>・先行期間：２か月⇒※好調であれば延長可</v>
      </c>
      <c r="R2919" s="152" t="str">
        <f>IFERROR(__xludf.DUMMYFUNCTION("""COMPUTED_VALUE"""),"コミットOK")</f>
        <v>コミットOK</v>
      </c>
      <c r="S2919" s="152" t="str">
        <f>IFERROR(__xludf.DUMMYFUNCTION("""COMPUTED_VALUE"""),"20250303_TOブックス_【単話版】紅の魔術師に全てを注ぎます。好き。@COMIC")</f>
        <v>20250303_TOブックス_【単話版】紅の魔術師に全てを注ぎます。好き。@COMIC</v>
      </c>
      <c r="T2919" s="152" t="str">
        <f>IFERROR(__xludf.DUMMYFUNCTION("""COMPUTED_VALUE"""),"格納済み")</f>
        <v>格納済み</v>
      </c>
      <c r="U2919" s="15" t="str">
        <f>IFERROR(__xludf.DUMMYFUNCTION("""COMPUTED_VALUE"""),"ⒸNaruka / Yuki Hinata")</f>
        <v>ⒸNaruka / Yuki Hinata</v>
      </c>
      <c r="V2919" s="8" t="str">
        <f>IFERROR(__xludf.DUMMYFUNCTION("""COMPUTED_VALUE"""),"「終身雇用希望です！」「…いや、国が滅ぶだろ」「綺麗な瞳だね」
《無自覚な元聖女》×《苦労多めの魔術師》×《聖女推しの王子》
盟約で結ばれた3人が国を揺るがすラブファンタジー！
「終身雇用希望です！」「…いや、国が滅ぶだろ」「綺麗な瞳だね」
《無自覚な元聖女》×《苦労多めの魔術師》×《聖女推しの王子》
盟約で結ばれた3人が国を揺るがすラブファンタジー！
『勉学』に青春を捧げたのに、
卒業と同時にあっさり婚約破棄された第二聖女・ロレッタ。
二度と男に頼るまい！ と駆け込んだ職安で、
"&amp;"
紅の魔術師のルーシュに出会い、その侍女に召し抱えられることに。
が、ご主人様から与えられるのは、“魔術師の仕事”ばかり!?
彼の友人である王太子殿下までお忍びで現れ、
なぜか３人で国の抱える問題の解決に奔走していくことになり.......")</f>
        <v>「終身雇用希望です！」「…いや、国が滅ぶだろ」「綺麗な瞳だね」
《無自覚な元聖女》×《苦労多めの魔術師》×《聖女推しの王子》
盟約で結ばれた3人が国を揺るがすラブファンタジー！
「終身雇用希望です！」「…いや、国が滅ぶだろ」「綺麗な瞳だね」
《無自覚な元聖女》×《苦労多めの魔術師》×《聖女推しの王子》
盟約で結ばれた3人が国を揺るがすラブファンタジー！
『勉学』に青春を捧げたのに、
卒業と同時にあっさり婚約破棄された第二聖女・ロレッタ。
二度と男に頼るまい！ と駆け込んだ職安で、
紅の魔術師のルーシュに出会い、その侍女に召し抱えられることに。
が、ご主人様から与えられるのは、“魔術師の仕事”ばかり!?
彼の友人である王太子殿下までお忍びで現れ、
なぜか３人で国の抱える問題の解決に奔走していくことになり.......</v>
      </c>
      <c r="W2919" s="14"/>
      <c r="X2919" s="14" t="str">
        <f>IFERROR(__xludf.DUMMYFUNCTION("""COMPUTED_VALUE"""),"有")</f>
        <v>有</v>
      </c>
      <c r="Y2919" s="8" t="str">
        <f>IFERROR(__xludf.DUMMYFUNCTION("""COMPUTED_VALUE"""),"1巻無料")</f>
        <v>1巻無料</v>
      </c>
      <c r="Z2919" s="7"/>
      <c r="AA2919" s="7"/>
      <c r="AB2919" s="7"/>
    </row>
    <row r="2920" ht="15.75" customHeight="1">
      <c r="A2920" s="153">
        <f>IFERROR(__xludf.DUMMYFUNCTION("""COMPUTED_VALUE"""),4600.0)</f>
        <v>4600</v>
      </c>
      <c r="B2920" s="152" t="str">
        <f>IFERROR(__xludf.DUMMYFUNCTION("""COMPUTED_VALUE"""),"確定")</f>
        <v>確定</v>
      </c>
      <c r="C2920" s="154">
        <f>IFERROR(__xludf.DUMMYFUNCTION("""COMPUTED_VALUE"""),45625.0)</f>
        <v>45625</v>
      </c>
      <c r="D2920" s="154">
        <f>IFERROR(__xludf.DUMMYFUNCTION("""COMPUTED_VALUE"""),45720.0)</f>
        <v>45720</v>
      </c>
      <c r="E2920" s="158">
        <f>IFERROR(__xludf.DUMMYFUNCTION("""COMPUTED_VALUE"""),318331.0)</f>
        <v>318331</v>
      </c>
      <c r="F2920" s="159" t="str">
        <f>IFERROR(__xludf.DUMMYFUNCTION("""COMPUTED_VALUE"""),"【単話売】アブないヒモを飼っています！")</f>
        <v>【単話売】アブないヒモを飼っています！</v>
      </c>
      <c r="G2920" s="152" t="str">
        <f>IFERROR(__xludf.DUMMYFUNCTION("""COMPUTED_VALUE"""),"1～3")</f>
        <v>1～3</v>
      </c>
      <c r="H2920" s="152" t="str">
        <f>IFERROR(__xludf.DUMMYFUNCTION("""COMPUTED_VALUE"""),"鳴海はこ")</f>
        <v>鳴海はこ</v>
      </c>
      <c r="I2920" s="152" t="str">
        <f>IFERROR(__xludf.DUMMYFUNCTION("""COMPUTED_VALUE"""),"女性")</f>
        <v>女性</v>
      </c>
      <c r="J2920" s="157"/>
      <c r="K2920" s="152" t="str">
        <f>IFERROR(__xludf.DUMMYFUNCTION("""COMPUTED_VALUE"""),"オンリーリップス")</f>
        <v>オンリーリップス</v>
      </c>
      <c r="L2920" s="152" t="str">
        <f>IFERROR(__xludf.DUMMYFUNCTION("""COMPUTED_VALUE"""),"集英社")</f>
        <v>集英社</v>
      </c>
      <c r="M2920" s="28">
        <f>IFERROR(__xludf.DUMMYFUNCTION("""COMPUTED_VALUE"""),45746.0)</f>
        <v>45746</v>
      </c>
      <c r="N2920" s="28">
        <f>IFERROR(__xludf.DUMMYFUNCTION("""COMPUTED_VALUE"""),45832.0)</f>
        <v>45832</v>
      </c>
      <c r="O2920" s="152"/>
      <c r="P2920" s="190" t="str">
        <f>IFERROR(__xludf.DUMMYFUNCTION("""COMPUTED_VALUE"""),"否")</f>
        <v>否</v>
      </c>
      <c r="Q2920" s="152"/>
      <c r="R2920" s="152" t="str">
        <f>IFERROR(__xludf.DUMMYFUNCTION("""COMPUTED_VALUE"""),"コミットOK")</f>
        <v>コミットOK</v>
      </c>
      <c r="S2920" s="152" t="str">
        <f>IFERROR(__xludf.DUMMYFUNCTION("""COMPUTED_VALUE"""),"20250408_集英社_アブないヒモを飼っています！（高画質版）")</f>
        <v>20250408_集英社_アブないヒモを飼っています！（高画質版）</v>
      </c>
      <c r="T2920" s="152" t="str">
        <f>IFERROR(__xludf.DUMMYFUNCTION("""COMPUTED_VALUE"""),"格納済み")</f>
        <v>格納済み</v>
      </c>
      <c r="U2920" s="15" t="str">
        <f>IFERROR(__xludf.DUMMYFUNCTION("""COMPUTED_VALUE"""),"Ⓒ鳴海はこ／集英社クリエイティブ")</f>
        <v>Ⓒ鳴海はこ／集英社クリエイティブ</v>
      </c>
      <c r="V2920" s="8" t="str">
        <f>IFERROR(__xludf.DUMMYFUNCTION("""COMPUTED_VALUE"""),"「高瀬七海（たかせななみ）27歳、私ごとですが…家に帰るとヒモがいます！」　ストーカー被害に遭っていた七海は、年下のワイルド系男子・岳（がく）に助けられる。そして流れで、家がないという彼と同棲することに!?　不慣れな家事も一生懸命こなし、駅まで送り迎えもしてくれるマメで優しいヒモ男・岳にほだされそうになりつつ、ドキドキな同居生活のスタート!!!")</f>
        <v>「高瀬七海（たかせななみ）27歳、私ごとですが…家に帰るとヒモがいます！」　ストーカー被害に遭っていた七海は、年下のワイルド系男子・岳（がく）に助けられる。そして流れで、家がないという彼と同棲することに!?　不慣れな家事も一生懸命こなし、駅まで送り迎えもしてくれるマメで優しいヒモ男・岳にほだされそうになりつつ、ドキドキな同居生活のスタート!!!</v>
      </c>
      <c r="W2920" s="14"/>
      <c r="X2920" s="14" t="str">
        <f>IFERROR(__xludf.DUMMYFUNCTION("""COMPUTED_VALUE"""),"有")</f>
        <v>有</v>
      </c>
      <c r="Y2920" s="8" t="str">
        <f>IFERROR(__xludf.DUMMYFUNCTION("""COMPUTED_VALUE"""),"2025/4/29まで1巻無料")</f>
        <v>2025/4/29まで1巻無料</v>
      </c>
      <c r="Z2920" s="7"/>
      <c r="AA2920" s="7"/>
      <c r="AB2920" s="7"/>
    </row>
    <row r="2921" ht="15.75" customHeight="1">
      <c r="A2921" s="153">
        <f>IFERROR(__xludf.DUMMYFUNCTION("""COMPUTED_VALUE"""),4632.0)</f>
        <v>4632</v>
      </c>
      <c r="B2921" s="152" t="str">
        <f>IFERROR(__xludf.DUMMYFUNCTION("""COMPUTED_VALUE"""),"確定")</f>
        <v>確定</v>
      </c>
      <c r="C2921" s="154">
        <f>IFERROR(__xludf.DUMMYFUNCTION("""COMPUTED_VALUE"""),45631.0)</f>
        <v>45631</v>
      </c>
      <c r="D2921" s="154">
        <f>IFERROR(__xludf.DUMMYFUNCTION("""COMPUTED_VALUE"""),45719.0)</f>
        <v>45719</v>
      </c>
      <c r="E2921" s="158">
        <f>IFERROR(__xludf.DUMMYFUNCTION("""COMPUTED_VALUE"""),318455.0)</f>
        <v>318455</v>
      </c>
      <c r="F2921" s="159" t="str">
        <f>IFERROR(__xludf.DUMMYFUNCTION("""COMPUTED_VALUE"""),"【単話版】飯バフ食堂、盛況なり～「おっさんは邪魔だ！」と追放された付与術師、特技を生かして田舎で食堂を開くも英雄御用達となる～@COMIC")</f>
        <v>【単話版】飯バフ食堂、盛況なり～「おっさんは邪魔だ！」と追放された付与術師、特技を生かして田舎で食堂を開くも英雄御用達となる～@COMIC</v>
      </c>
      <c r="G2921" s="152" t="str">
        <f>IFERROR(__xludf.DUMMYFUNCTION("""COMPUTED_VALUE"""),"1〜3")</f>
        <v>1〜3</v>
      </c>
      <c r="H2921" s="152" t="str">
        <f>IFERROR(__xludf.DUMMYFUNCTION("""COMPUTED_VALUE"""),"白樺鹿夜 蒼乃ロゼ 三登いつき")</f>
        <v>白樺鹿夜 蒼乃ロゼ 三登いつき</v>
      </c>
      <c r="I2921" s="152" t="str">
        <f>IFERROR(__xludf.DUMMYFUNCTION("""COMPUTED_VALUE"""),"青年")</f>
        <v>青年</v>
      </c>
      <c r="J2921" s="157"/>
      <c r="K2921" s="157"/>
      <c r="L2921" s="152" t="str">
        <f>IFERROR(__xludf.DUMMYFUNCTION("""COMPUTED_VALUE"""),"TOブックス")</f>
        <v>TOブックス</v>
      </c>
      <c r="M2921" s="28">
        <f>IFERROR(__xludf.DUMMYFUNCTION("""COMPUTED_VALUE"""),45748.0)</f>
        <v>45748</v>
      </c>
      <c r="N2921" s="28">
        <f>IFERROR(__xludf.DUMMYFUNCTION("""COMPUTED_VALUE"""),45838.0)</f>
        <v>45838</v>
      </c>
      <c r="O2921" s="152"/>
      <c r="P2921" s="190" t="str">
        <f>IFERROR(__xludf.DUMMYFUNCTION("""COMPUTED_VALUE"""),"否")</f>
        <v>否</v>
      </c>
      <c r="Q2921" s="152"/>
      <c r="R2921" s="152" t="str">
        <f>IFERROR(__xludf.DUMMYFUNCTION("""COMPUTED_VALUE"""),"コミットOK")</f>
        <v>コミットOK</v>
      </c>
      <c r="S2921" s="152" t="str">
        <f>IFERROR(__xludf.DUMMYFUNCTION("""COMPUTED_VALUE"""),"20250303_TOブックス_【単話版】飯バフ食堂、盛況なり～")</f>
        <v>20250303_TOブックス_【単話版】飯バフ食堂、盛況なり～</v>
      </c>
      <c r="T2921" s="152" t="str">
        <f>IFERROR(__xludf.DUMMYFUNCTION("""COMPUTED_VALUE"""),"格納済み")</f>
        <v>格納済み</v>
      </c>
      <c r="U2921" s="15" t="str">
        <f>IFERROR(__xludf.DUMMYFUNCTION("""COMPUTED_VALUE"""),"ⒸShikayo Shirakaba / Rose Aono")</f>
        <v>ⒸShikayo Shirakaba / Rose Aono</v>
      </c>
      <c r="V2921" s="8" t="str">
        <f>IFERROR(__xludf.DUMMYFUNCTION("""COMPUTED_VALUE"""),"仲間――家族と似て非なるもの。
自分の価値を見失いかけたとき『仲間』が与えてくれるものとは……？
パーティ追放をきっかけに新しい出会いと人生が始まる！
見た目がリスの従魔を相棒に、時にのんびり時に忙しいおっさん冒険者の腹へりファンタジー！
『アニキの得意を活かして喜んでくれる人がいる。そんな場所があったっていいじゃないですか！』
おっさんは邪魔という理由でパーティを追放されたサポート系冒険者リシト。
相棒の従魔ツークから提案され、リシトは得意の料理と補助魔法を生かした「バフつき」の食堂を始"&amp;"めることに。
食材を求めて討伐依頼をこなしつつ、はらぺこな冒険者たちのお腹を満たす日々が始まって――
見た目がリスの従魔を相棒に、時にのんびり時に忙しいおっさん冒険者の腹へりファンタジー！")</f>
        <v>仲間――家族と似て非なるもの。
自分の価値を見失いかけたとき『仲間』が与えてくれるものとは……？
パーティ追放をきっかけに新しい出会いと人生が始まる！
見た目がリスの従魔を相棒に、時にのんびり時に忙しいおっさん冒険者の腹へりファンタジー！
『アニキの得意を活かして喜んでくれる人がいる。そんな場所があったっていいじゃないですか！』
おっさんは邪魔という理由でパーティを追放されたサポート系冒険者リシト。
相棒の従魔ツークから提案され、リシトは得意の料理と補助魔法を生かした「バフつき」の食堂を始めることに。
食材を求めて討伐依頼をこなしつつ、はらぺこな冒険者たちのお腹を満たす日々が始まって――
見た目がリスの従魔を相棒に、時にのんびり時に忙しいおっさん冒険者の腹へりファンタジー！</v>
      </c>
      <c r="W2921" s="14"/>
      <c r="X2921" s="14" t="str">
        <f>IFERROR(__xludf.DUMMYFUNCTION("""COMPUTED_VALUE"""),"有")</f>
        <v>有</v>
      </c>
      <c r="Y2921" s="8" t="str">
        <f>IFERROR(__xludf.DUMMYFUNCTION("""COMPUTED_VALUE"""),"2025/4/7まで1巻無料")</f>
        <v>2025/4/7まで1巻無料</v>
      </c>
      <c r="Z2921" s="7"/>
      <c r="AA2921" s="7"/>
      <c r="AB2921" s="7"/>
    </row>
    <row r="2922" ht="15.75" customHeight="1">
      <c r="A2922" s="153">
        <f>IFERROR(__xludf.DUMMYFUNCTION("""COMPUTED_VALUE"""),4633.0)</f>
        <v>4633</v>
      </c>
      <c r="B2922" s="152" t="str">
        <f>IFERROR(__xludf.DUMMYFUNCTION("""COMPUTED_VALUE"""),"確定")</f>
        <v>確定</v>
      </c>
      <c r="C2922" s="154">
        <f>IFERROR(__xludf.DUMMYFUNCTION("""COMPUTED_VALUE"""),45631.0)</f>
        <v>45631</v>
      </c>
      <c r="D2922" s="154">
        <f>IFERROR(__xludf.DUMMYFUNCTION("""COMPUTED_VALUE"""),45719.0)</f>
        <v>45719</v>
      </c>
      <c r="E2922" s="158">
        <f>IFERROR(__xludf.DUMMYFUNCTION("""COMPUTED_VALUE"""),318452.0)</f>
        <v>318452</v>
      </c>
      <c r="F2922" s="159" t="str">
        <f>IFERROR(__xludf.DUMMYFUNCTION("""COMPUTED_VALUE"""),"【単話版】若隠居のススメ～ペットと家庭菜園で気ままなのんびり生活。の、はず@COMIC")</f>
        <v>【単話版】若隠居のススメ～ペットと家庭菜園で気ままなのんびり生活。の、はず@COMIC</v>
      </c>
      <c r="G2922" s="152" t="str">
        <f>IFERROR(__xludf.DUMMYFUNCTION("""COMPUTED_VALUE"""),"1〜3")</f>
        <v>1〜3</v>
      </c>
      <c r="H2922" s="152" t="str">
        <f>IFERROR(__xludf.DUMMYFUNCTION("""COMPUTED_VALUE"""),"茶渡ロメ男 JUN LINO")</f>
        <v>茶渡ロメ男 JUN LINO</v>
      </c>
      <c r="I2922" s="152" t="str">
        <f>IFERROR(__xludf.DUMMYFUNCTION("""COMPUTED_VALUE"""),"青年")</f>
        <v>青年</v>
      </c>
      <c r="J2922" s="157"/>
      <c r="K2922" s="157"/>
      <c r="L2922" s="152" t="str">
        <f>IFERROR(__xludf.DUMMYFUNCTION("""COMPUTED_VALUE"""),"TOブックス")</f>
        <v>TOブックス</v>
      </c>
      <c r="M2922" s="28">
        <f>IFERROR(__xludf.DUMMYFUNCTION("""COMPUTED_VALUE"""),45748.0)</f>
        <v>45748</v>
      </c>
      <c r="N2922" s="28">
        <f>IFERROR(__xludf.DUMMYFUNCTION("""COMPUTED_VALUE"""),45808.0)</f>
        <v>45808</v>
      </c>
      <c r="O2922" s="152"/>
      <c r="P2922" s="190" t="str">
        <f>IFERROR(__xludf.DUMMYFUNCTION("""COMPUTED_VALUE"""),"否")</f>
        <v>否</v>
      </c>
      <c r="Q2922" s="152"/>
      <c r="R2922" s="152" t="str">
        <f>IFERROR(__xludf.DUMMYFUNCTION("""COMPUTED_VALUE"""),"コミットOK")</f>
        <v>コミットOK</v>
      </c>
      <c r="S2922" s="152" t="str">
        <f>IFERROR(__xludf.DUMMYFUNCTION("""COMPUTED_VALUE"""),"20250303_TOブックス_【単話版】若隠居のススメ～ペットと家庭菜園で気ままなのんびり生活。の、はず@COMIC")</f>
        <v>20250303_TOブックス_【単話版】若隠居のススメ～ペットと家庭菜園で気ままなのんびり生活。の、はず@COMIC</v>
      </c>
      <c r="T2922" s="152" t="str">
        <f>IFERROR(__xludf.DUMMYFUNCTION("""COMPUTED_VALUE"""),"格納済み")</f>
        <v>格納済み</v>
      </c>
      <c r="U2922" s="15" t="str">
        <f>IFERROR(__xludf.DUMMYFUNCTION("""COMPUTED_VALUE"""),"ⒸRomeo Sado / Jun")</f>
        <v>ⒸRomeo Sado / Jun</v>
      </c>
      <c r="V2922" s="8" t="str">
        <f>IFERROR(__xludf.DUMMYFUNCTION("""COMPUTED_VALUE"""),"「一緒に隠居生活しよう！」
ダンジョンで家庭菜園、ペットは神獣!?
仲良し若隠居コンビのまったり冒険譚！
元解剖医の麻生史緒は心を癒す平穏な日常を求め、幼馴染・周川幹彦と共に若隠居を始めることに。
そんな矢先、自宅地下に巨大な空洞が出現し、なぜか子犬もいて……？
しかも不思議な地下室は、世界中に突如出没し始めたダンジョンの一つだった!?
知らぬ間に【最初の踏破者】として前代未聞のチート能力と神獣をゲットした二人は、現代と異世界を行き来しながら自由気ままに楽しんでいく！
「晩飯は何がいいか"&amp;"な？」「この魔物焼こうぜ！」「ワン！」
ペットの神獣をお供に進む、仲良し若隠居コンビのまったり冒険譚！")</f>
        <v>「一緒に隠居生活しよう！」
ダンジョンで家庭菜園、ペットは神獣!?
仲良し若隠居コンビのまったり冒険譚！
元解剖医の麻生史緒は心を癒す平穏な日常を求め、幼馴染・周川幹彦と共に若隠居を始めることに。
そんな矢先、自宅地下に巨大な空洞が出現し、なぜか子犬もいて……？
しかも不思議な地下室は、世界中に突如出没し始めたダンジョンの一つだった!?
知らぬ間に【最初の踏破者】として前代未聞のチート能力と神獣をゲットした二人は、現代と異世界を行き来しながら自由気ままに楽しんでいく！
「晩飯は何がいいかな？」「この魔物焼こうぜ！」「ワン！」
ペットの神獣をお供に進む、仲良し若隠居コンビのまったり冒険譚！</v>
      </c>
      <c r="W2922" s="14"/>
      <c r="X2922" s="14" t="str">
        <f>IFERROR(__xludf.DUMMYFUNCTION("""COMPUTED_VALUE"""),"有")</f>
        <v>有</v>
      </c>
      <c r="Y2922" s="8" t="str">
        <f>IFERROR(__xludf.DUMMYFUNCTION("""COMPUTED_VALUE"""),"2025/4/7まで1巻無料")</f>
        <v>2025/4/7まで1巻無料</v>
      </c>
      <c r="Z2922" s="7"/>
      <c r="AA2922" s="7"/>
      <c r="AB2922" s="7"/>
    </row>
    <row r="2923" ht="15.75" customHeight="1">
      <c r="A2923" s="153">
        <f>IFERROR(__xludf.DUMMYFUNCTION("""COMPUTED_VALUE"""),4671.0)</f>
        <v>4671</v>
      </c>
      <c r="B2923" s="152" t="str">
        <f>IFERROR(__xludf.DUMMYFUNCTION("""COMPUTED_VALUE"""),"確定")</f>
        <v>確定</v>
      </c>
      <c r="C2923" s="154">
        <f>IFERROR(__xludf.DUMMYFUNCTION("""COMPUTED_VALUE"""),45636.0)</f>
        <v>45636</v>
      </c>
      <c r="D2923" s="154">
        <f>IFERROR(__xludf.DUMMYFUNCTION("""COMPUTED_VALUE"""),45719.0)</f>
        <v>45719</v>
      </c>
      <c r="E2923" s="158">
        <f>IFERROR(__xludf.DUMMYFUNCTION("""COMPUTED_VALUE"""),318456.0)</f>
        <v>318456</v>
      </c>
      <c r="F2923" s="159" t="str">
        <f>IFERROR(__xludf.DUMMYFUNCTION("""COMPUTED_VALUE"""),"【単話版】ロマンスエンドは拒否します！")</f>
        <v>【単話版】ロマンスエンドは拒否します！</v>
      </c>
      <c r="G2923" s="152" t="str">
        <f>IFERROR(__xludf.DUMMYFUNCTION("""COMPUTED_VALUE"""),"1～3")</f>
        <v>1～3</v>
      </c>
      <c r="H2923" s="152" t="str">
        <f>IFERROR(__xludf.DUMMYFUNCTION("""COMPUTED_VALUE"""),"立花和花")</f>
        <v>立花和花</v>
      </c>
      <c r="I2923" s="152" t="str">
        <f>IFERROR(__xludf.DUMMYFUNCTION("""COMPUTED_VALUE"""),"少女")</f>
        <v>少女</v>
      </c>
      <c r="J2923" s="157"/>
      <c r="K2923" s="157"/>
      <c r="L2923" s="152" t="str">
        <f>IFERROR(__xludf.DUMMYFUNCTION("""COMPUTED_VALUE"""),"TOブックス")</f>
        <v>TOブックス</v>
      </c>
      <c r="M2923" s="28">
        <f>IFERROR(__xludf.DUMMYFUNCTION("""COMPUTED_VALUE"""),45748.0)</f>
        <v>45748</v>
      </c>
      <c r="N2923" s="28">
        <f>IFERROR(__xludf.DUMMYFUNCTION("""COMPUTED_VALUE"""),45838.0)</f>
        <v>45838</v>
      </c>
      <c r="O2923" s="152"/>
      <c r="P2923" s="190" t="str">
        <f>IFERROR(__xludf.DUMMYFUNCTION("""COMPUTED_VALUE"""),"否")</f>
        <v>否</v>
      </c>
      <c r="Q2923" s="152"/>
      <c r="R2923" s="152" t="str">
        <f>IFERROR(__xludf.DUMMYFUNCTION("""COMPUTED_VALUE"""),"コミットOK")</f>
        <v>コミットOK</v>
      </c>
      <c r="S2923" s="152" t="str">
        <f>IFERROR(__xludf.DUMMYFUNCTION("""COMPUTED_VALUE"""),"20250303_TOブックス_【単話版】ロマンスエンドは拒否します！")</f>
        <v>20250303_TOブックス_【単話版】ロマンスエンドは拒否します！</v>
      </c>
      <c r="T2923" s="152" t="str">
        <f>IFERROR(__xludf.DUMMYFUNCTION("""COMPUTED_VALUE"""),"格納済み")</f>
        <v>格納済み</v>
      </c>
      <c r="U2923" s="15" t="str">
        <f>IFERROR(__xludf.DUMMYFUNCTION("""COMPUTED_VALUE"""),"ⒸWaka Tachibana")</f>
        <v>ⒸWaka Tachibana</v>
      </c>
      <c r="V2923" s="8" t="str">
        <f>IFERROR(__xludf.DUMMYFUNCTION("""COMPUTED_VALUE"""),"愛する以外に道はないのか!?
DEAD OR LOVE!!　おしつけ異世界ラブコメディー！
愛犬のさくらと暮らす平凡なＯＬ・朋。
巷のラブハラに負けず生活する彼女は、
交通事故に見舞われてしまう……。
望まぬ転生を強いられた朋はどうしても愛犬に会いたいと願い、
神との約束を取り交わす。
それは――
「恋愛ポイント（LP）を集めたら、生き返らせてあげる！」
恋愛脳の神が創った『乙女ゲームの世界』で、
エンディングを迎えることだった!?
社会人のスルースキルで巧みにフラグを躱す彼女だ"&amp;"が、
「攻略対象」にご都合主義すぎる「イベント」と次々にロマンスが到来する。
かくして、愛する以外に道はないのか!?
DEAD OR LOVE!!　おしつけ異世界ラブコメディー開幕！")</f>
        <v>愛する以外に道はないのか!?
DEAD OR LOVE!!　おしつけ異世界ラブコメディー！
愛犬のさくらと暮らす平凡なＯＬ・朋。
巷のラブハラに負けず生活する彼女は、
交通事故に見舞われてしまう……。
望まぬ転生を強いられた朋はどうしても愛犬に会いたいと願い、
神との約束を取り交わす。
それは――
「恋愛ポイント（LP）を集めたら、生き返らせてあげる！」
恋愛脳の神が創った『乙女ゲームの世界』で、
エンディングを迎えることだった!?
社会人のスルースキルで巧みにフラグを躱す彼女だが、
「攻略対象」にご都合主義すぎる「イベント」と次々にロマンスが到来する。
かくして、愛する以外に道はないのか!?
DEAD OR LOVE!!　おしつけ異世界ラブコメディー開幕！</v>
      </c>
      <c r="W2923" s="14"/>
      <c r="X2923" s="14" t="str">
        <f>IFERROR(__xludf.DUMMYFUNCTION("""COMPUTED_VALUE"""),"有")</f>
        <v>有</v>
      </c>
      <c r="Y2923" s="8" t="str">
        <f>IFERROR(__xludf.DUMMYFUNCTION("""COMPUTED_VALUE"""),"2025/4/7まで1巻無料")</f>
        <v>2025/4/7まで1巻無料</v>
      </c>
      <c r="Z2923" s="7"/>
      <c r="AA2923" s="7"/>
      <c r="AB2923" s="7"/>
    </row>
    <row r="2924" ht="15.75" customHeight="1">
      <c r="A2924" s="153">
        <f>IFERROR(__xludf.DUMMYFUNCTION("""COMPUTED_VALUE"""),4685.0)</f>
        <v>4685</v>
      </c>
      <c r="B2924" s="152" t="str">
        <f>IFERROR(__xludf.DUMMYFUNCTION("""COMPUTED_VALUE"""),"確定")</f>
        <v>確定</v>
      </c>
      <c r="C2924" s="154">
        <f>IFERROR(__xludf.DUMMYFUNCTION("""COMPUTED_VALUE"""),45642.0)</f>
        <v>45642</v>
      </c>
      <c r="D2924" s="154">
        <f>IFERROR(__xludf.DUMMYFUNCTION("""COMPUTED_VALUE"""),45715.0)</f>
        <v>45715</v>
      </c>
      <c r="E2924" s="158">
        <f>IFERROR(__xludf.DUMMYFUNCTION("""COMPUTED_VALUE"""),317972.0)</f>
        <v>317972</v>
      </c>
      <c r="F2924" s="159" t="str">
        <f>IFERROR(__xludf.DUMMYFUNCTION("""COMPUTED_VALUE"""),"君はシンデレラフィット")</f>
        <v>君はシンデレラフィット</v>
      </c>
      <c r="G2924" s="152" t="str">
        <f>IFERROR(__xludf.DUMMYFUNCTION("""COMPUTED_VALUE"""),"1～5")</f>
        <v>1～5</v>
      </c>
      <c r="H2924" s="152" t="str">
        <f>IFERROR(__xludf.DUMMYFUNCTION("""COMPUTED_VALUE"""),"佐井識,鹿生侑利")</f>
        <v>佐井識,鹿生侑利</v>
      </c>
      <c r="I2924" s="152" t="str">
        <f>IFERROR(__xludf.DUMMYFUNCTION("""COMPUTED_VALUE"""),"女性")</f>
        <v>女性</v>
      </c>
      <c r="J2924" s="157"/>
      <c r="K2924" s="152" t="str">
        <f>IFERROR(__xludf.DUMMYFUNCTION("""COMPUTED_VALUE"""),"マンガMee")</f>
        <v>マンガMee</v>
      </c>
      <c r="L2924" s="152" t="str">
        <f>IFERROR(__xludf.DUMMYFUNCTION("""COMPUTED_VALUE"""),"集英社")</f>
        <v>集英社</v>
      </c>
      <c r="M2924" s="28">
        <f>IFERROR(__xludf.DUMMYFUNCTION("""COMPUTED_VALUE"""),45741.0)</f>
        <v>45741</v>
      </c>
      <c r="N2924" s="170">
        <f>IFERROR(__xludf.DUMMYFUNCTION("""COMPUTED_VALUE"""),45832.0)</f>
        <v>45832</v>
      </c>
      <c r="O2924" s="152"/>
      <c r="P2924" s="152" t="str">
        <f>IFERROR(__xludf.DUMMYFUNCTION("""COMPUTED_VALUE"""),"否")</f>
        <v>否</v>
      </c>
      <c r="Q2924" s="152" t="str">
        <f>IFERROR(__xludf.DUMMYFUNCTION("""COMPUTED_VALUE"""),"・１巻に２話収録、各巻34～45Pくらいです&lt;BR&gt;・TikTokの試読動画https://vt.tiktok.com/ZSjKNgXa8/のビューが好調でして、Meeでもランキング1位になったことがあるとのことです。")</f>
        <v>・１巻に２話収録、各巻34～45Pくらいです&lt;BR&gt;・TikTokの試読動画https://vt.tiktok.com/ZSjKNgXa8/のビューが好調でして、Meeでもランキング1位になったことがあるとのことです。</v>
      </c>
      <c r="R2924" s="152" t="str">
        <f>IFERROR(__xludf.DUMMYFUNCTION("""COMPUTED_VALUE"""),"コミットOK")</f>
        <v>コミットOK</v>
      </c>
      <c r="S2924" s="152" t="str">
        <f>IFERROR(__xludf.DUMMYFUNCTION("""COMPUTED_VALUE"""),"20250227_集英社_君はシンデレラフィット")</f>
        <v>20250227_集英社_君はシンデレラフィット</v>
      </c>
      <c r="T2924" s="152" t="str">
        <f>IFERROR(__xludf.DUMMYFUNCTION("""COMPUTED_VALUE"""),"格納済み")</f>
        <v>格納済み</v>
      </c>
      <c r="U2924" s="15" t="str">
        <f>IFERROR(__xludf.DUMMYFUNCTION("""COMPUTED_VALUE"""),"Ⓒ鹿生侑利・佐井識／集英社")</f>
        <v>Ⓒ鹿生侑利・佐井識／集英社</v>
      </c>
      <c r="V2924" s="8" t="str">
        <f>IFERROR(__xludf.DUMMYFUNCTION("""COMPUTED_VALUE"""),"下町シンデレラ×不器用王子の契約ラブ!!　市子は家事代行＆お弁当屋を掛け持ちする働き者の24歳。好きなことは料理、苦手なことは恋愛―…。ある日、家事代行の仕事で港区の高級タワマンに行くことに。玄関に現れたのは、超イケメン!!　…でも、まさかの言葉「帰ってください」!?　そのイケメン脚本家・桐島とは最悪な出会い方をしてしまったけど―…!?")</f>
        <v>下町シンデレラ×不器用王子の契約ラブ!!　市子は家事代行＆お弁当屋を掛け持ちする働き者の24歳。好きなことは料理、苦手なことは恋愛―…。ある日、家事代行の仕事で港区の高級タワマンに行くことに。玄関に現れたのは、超イケメン!!　…でも、まさかの言葉「帰ってください」!?　そのイケメン脚本家・桐島とは最悪な出会い方をしてしまったけど―…!?</v>
      </c>
      <c r="W2924" s="14"/>
      <c r="X2924" s="14" t="str">
        <f>IFERROR(__xludf.DUMMYFUNCTION("""COMPUTED_VALUE"""),"有")</f>
        <v>有</v>
      </c>
      <c r="Y2924" s="8" t="str">
        <f>IFERROR(__xludf.DUMMYFUNCTION("""COMPUTED_VALUE"""),"2025/4/24まで1巻無料")</f>
        <v>2025/4/24まで1巻無料</v>
      </c>
      <c r="Z2924" s="7"/>
      <c r="AA2924" s="7"/>
      <c r="AB2924" s="7"/>
    </row>
    <row r="2925" ht="15.75" customHeight="1">
      <c r="A2925" s="153">
        <f>IFERROR(__xludf.DUMMYFUNCTION("""COMPUTED_VALUE"""),4733.0)</f>
        <v>4733</v>
      </c>
      <c r="B2925" s="152" t="str">
        <f>IFERROR(__xludf.DUMMYFUNCTION("""COMPUTED_VALUE"""),"確定")</f>
        <v>確定</v>
      </c>
      <c r="C2925" s="154">
        <f>IFERROR(__xludf.DUMMYFUNCTION("""COMPUTED_VALUE"""),45652.0)</f>
        <v>45652</v>
      </c>
      <c r="D2925" s="154">
        <f>IFERROR(__xludf.DUMMYFUNCTION("""COMPUTED_VALUE"""),45715.0)</f>
        <v>45715</v>
      </c>
      <c r="E2925" s="158">
        <f>IFERROR(__xludf.DUMMYFUNCTION("""COMPUTED_VALUE"""),317965.0)</f>
        <v>317965</v>
      </c>
      <c r="F2925" s="191" t="str">
        <f>IFERROR(__xludf.DUMMYFUNCTION("""COMPUTED_VALUE"""),"小鳥は運命を否定したい")</f>
        <v>小鳥は運命を否定したい</v>
      </c>
      <c r="G2925" s="152" t="str">
        <f>IFERROR(__xludf.DUMMYFUNCTION("""COMPUTED_VALUE"""),"1～5")</f>
        <v>1～5</v>
      </c>
      <c r="H2925" s="152" t="str">
        <f>IFERROR(__xludf.DUMMYFUNCTION("""COMPUTED_VALUE"""),"七成行")</f>
        <v>七成行</v>
      </c>
      <c r="I2925" s="152" t="str">
        <f>IFERROR(__xludf.DUMMYFUNCTION("""COMPUTED_VALUE"""),"BL")</f>
        <v>BL</v>
      </c>
      <c r="J2925" s="157"/>
      <c r="K2925" s="152" t="str">
        <f>IFERROR(__xludf.DUMMYFUNCTION("""COMPUTED_VALUE"""),"マーガレットコミックス")</f>
        <v>マーガレットコミックス</v>
      </c>
      <c r="L2925" s="152" t="str">
        <f>IFERROR(__xludf.DUMMYFUNCTION("""COMPUTED_VALUE"""),"集英社")</f>
        <v>集英社</v>
      </c>
      <c r="M2925" s="28">
        <f>IFERROR(__xludf.DUMMYFUNCTION("""COMPUTED_VALUE"""),45741.0)</f>
        <v>45741</v>
      </c>
      <c r="N2925" s="28">
        <f>IFERROR(__xludf.DUMMYFUNCTION("""COMPUTED_VALUE"""),45801.0)</f>
        <v>45801</v>
      </c>
      <c r="O2925" s="152"/>
      <c r="P2925" s="190" t="str">
        <f>IFERROR(__xludf.DUMMYFUNCTION("""COMPUTED_VALUE"""),"可")</f>
        <v>可</v>
      </c>
      <c r="Q2925" s="152"/>
      <c r="R2925" s="152" t="str">
        <f>IFERROR(__xludf.DUMMYFUNCTION("""COMPUTED_VALUE"""),"コミットOK")</f>
        <v>コミットOK</v>
      </c>
      <c r="S2925" s="152" t="str">
        <f>IFERROR(__xludf.DUMMYFUNCTION("""COMPUTED_VALUE"""),"20250227_集英社_小鳥は運命を否定したい")</f>
        <v>20250227_集英社_小鳥は運命を否定したい</v>
      </c>
      <c r="T2925" s="152" t="str">
        <f>IFERROR(__xludf.DUMMYFUNCTION("""COMPUTED_VALUE"""),"格納済み")</f>
        <v>格納済み</v>
      </c>
      <c r="U2925" s="15" t="str">
        <f>IFERROR(__xludf.DUMMYFUNCTION("""COMPUTED_VALUE"""),"Ⓒ七成行／集英社")</f>
        <v>Ⓒ七成行／集英社</v>
      </c>
      <c r="V2925" s="8" t="str">
        <f>IFERROR(__xludf.DUMMYFUNCTION("""COMPUTED_VALUE"""),"獣人（鳥）とのハーフであることを隠して高校生活をおくる、つぐむ。ある日、同じクラスの高砂に正体を知られてしまいます。「秘密を守るかわりにモフらせろ」と脅されたつぐむは、仕方なく高砂に身体を許しますが、高砂の声や指に、身体が熱くなって―…!?　マンガMeeで話題沸騰の「鳥BL」ラブコメディ、待望の電子コミックス化です！")</f>
        <v>獣人（鳥）とのハーフであることを隠して高校生活をおくる、つぐむ。ある日、同じクラスの高砂に正体を知られてしまいます。「秘密を守るかわりにモフらせろ」と脅されたつぐむは、仕方なく高砂に身体を許しますが、高砂の声や指に、身体が熱くなって―…!?　マンガMeeで話題沸騰の「鳥BL」ラブコメディ、待望の電子コミックス化です！</v>
      </c>
      <c r="W2925" s="14"/>
      <c r="X2925" s="14" t="str">
        <f>IFERROR(__xludf.DUMMYFUNCTION("""COMPUTED_VALUE"""),"有")</f>
        <v>有</v>
      </c>
      <c r="Y2925" s="8" t="str">
        <f>IFERROR(__xludf.DUMMYFUNCTION("""COMPUTED_VALUE"""),"2025/4/24まで1巻無料")</f>
        <v>2025/4/24まで1巻無料</v>
      </c>
      <c r="Z2925" s="7"/>
      <c r="AA2925" s="7"/>
      <c r="AB2925" s="7"/>
    </row>
    <row r="2926" ht="15.75" customHeight="1">
      <c r="A2926" s="153">
        <f>IFERROR(__xludf.DUMMYFUNCTION("""COMPUTED_VALUE"""),4735.0)</f>
        <v>4735</v>
      </c>
      <c r="B2926" s="152" t="str">
        <f>IFERROR(__xludf.DUMMYFUNCTION("""COMPUTED_VALUE"""),"確定")</f>
        <v>確定</v>
      </c>
      <c r="C2926" s="154">
        <f>IFERROR(__xludf.DUMMYFUNCTION("""COMPUTED_VALUE"""),45653.0)</f>
        <v>45653</v>
      </c>
      <c r="D2926" s="154">
        <f>IFERROR(__xludf.DUMMYFUNCTION("""COMPUTED_VALUE"""),45716.0)</f>
        <v>45716</v>
      </c>
      <c r="E2926" s="158">
        <f>IFERROR(__xludf.DUMMYFUNCTION("""COMPUTED_VALUE"""),318139.0)</f>
        <v>318139</v>
      </c>
      <c r="F2926" s="159" t="str">
        <f>IFERROR(__xludf.DUMMYFUNCTION("""COMPUTED_VALUE"""),"甘い声でStayなんて言うんじゃねぇ！【連載版】")</f>
        <v>甘い声でStayなんて言うんじゃねぇ！【連載版】</v>
      </c>
      <c r="G2926" s="152" t="str">
        <f>IFERROR(__xludf.DUMMYFUNCTION("""COMPUTED_VALUE"""),"1～5")</f>
        <v>1～5</v>
      </c>
      <c r="H2926" s="152" t="str">
        <f>IFERROR(__xludf.DUMMYFUNCTION("""COMPUTED_VALUE"""),"ぽぽたぱぽた")</f>
        <v>ぽぽたぱぽた</v>
      </c>
      <c r="I2926" s="152" t="str">
        <f>IFERROR(__xludf.DUMMYFUNCTION("""COMPUTED_VALUE"""),"BL")</f>
        <v>BL</v>
      </c>
      <c r="J2926" s="157"/>
      <c r="K2926" s="157"/>
      <c r="L2926" s="152" t="str">
        <f>IFERROR(__xludf.DUMMYFUNCTION("""COMPUTED_VALUE"""),"ナンバーナイン")</f>
        <v>ナンバーナイン</v>
      </c>
      <c r="M2926" s="28">
        <f>IFERROR(__xludf.DUMMYFUNCTION("""COMPUTED_VALUE"""),45743.0)</f>
        <v>45743</v>
      </c>
      <c r="N2926" s="28">
        <f>IFERROR(__xludf.DUMMYFUNCTION("""COMPUTED_VALUE"""),45808.0)</f>
        <v>45808</v>
      </c>
      <c r="O2926" s="152"/>
      <c r="P2926" s="152" t="str">
        <f>IFERROR(__xludf.DUMMYFUNCTION("""COMPUTED_VALUE"""),"可")</f>
        <v>可</v>
      </c>
      <c r="Q2926" s="152" t="str">
        <f>IFERROR(__xludf.DUMMYFUNCTION("""COMPUTED_VALUE"""),"作家のぽぽたまる先生のXでバズっている作品の先行提案をいただきましたので、ご検討お願いします！&lt;BR&gt;配信後、作家様SNSからシーモアへのリンクを貼り、集客を実施いただけるとのことです。")</f>
        <v>作家のぽぽたまる先生のXでバズっている作品の先行提案をいただきましたので、ご検討お願いします！&lt;BR&gt;配信後、作家様SNSからシーモアへのリンクを貼り、集客を実施いただけるとのことです。</v>
      </c>
      <c r="R2926" s="152" t="str">
        <f>IFERROR(__xludf.DUMMYFUNCTION("""COMPUTED_VALUE"""),"コミットOK")</f>
        <v>コミットOK</v>
      </c>
      <c r="S2926" s="152" t="str">
        <f>IFERROR(__xludf.DUMMYFUNCTION("""COMPUTED_VALUE"""),"20250227_ナンバーナイン_『甘い声でStayなんていうんじゃねぇ！【連載版】")</f>
        <v>20250227_ナンバーナイン_『甘い声でStayなんていうんじゃねぇ！【連載版】</v>
      </c>
      <c r="T2926" s="152" t="str">
        <f>IFERROR(__xludf.DUMMYFUNCTION("""COMPUTED_VALUE"""),"格納済み")</f>
        <v>格納済み</v>
      </c>
      <c r="U2926" s="15" t="str">
        <f>IFERROR(__xludf.DUMMYFUNCTION("""COMPUTED_VALUE"""),"Ⓒ ぽぽたぱぽた／ナンバーナイン")</f>
        <v>Ⓒ ぽぽたぱぽた／ナンバーナイン</v>
      </c>
      <c r="V2926" s="8" t="str">
        <f>IFERROR(__xludf.DUMMYFUNCTION("""COMPUTED_VALUE"""),"限界社畜の高梨は、自分がSubであるという事実をどうしても受け入れられずにいた。 そんなある日、ストレスと疲労が限界を超え、サブドロップ を起こしてしまう。 意識が遠のく中、彼を救ったのは どこか余裕を漂わせるスパダリ社長・大月だった。 生まれて初めてのプレイで快感を知りかけるも、絶対に落ちたくない高梨。 だが、大月は余裕たっぷりに微笑みながら、高梨を本当の""自分""へ導こうとする。 「ますます貴方のことが欲しくなっちゃいました」 笑って萌えて沼れる、 胸キュンDom/SubユニバースBL！")</f>
        <v>限界社畜の高梨は、自分がSubであるという事実をどうしても受け入れられずにいた。 そんなある日、ストレスと疲労が限界を超え、サブドロップ を起こしてしまう。 意識が遠のく中、彼を救ったのは どこか余裕を漂わせるスパダリ社長・大月だった。 生まれて初めてのプレイで快感を知りかけるも、絶対に落ちたくない高梨。 だが、大月は余裕たっぷりに微笑みながら、高梨を本当の"自分"へ導こうとする。 「ますます貴方のことが欲しくなっちゃいました」 笑って萌えて沼れる、 胸キュンDom/SubユニバースBL！</v>
      </c>
      <c r="W2926" s="14"/>
      <c r="X2926" s="14" t="str">
        <f>IFERROR(__xludf.DUMMYFUNCTION("""COMPUTED_VALUE"""),"有")</f>
        <v>有</v>
      </c>
      <c r="Y2926" s="8" t="str">
        <f>IFERROR(__xludf.DUMMYFUNCTION("""COMPUTED_VALUE"""),"1巻無料")</f>
        <v>1巻無料</v>
      </c>
      <c r="Z2926" s="7"/>
      <c r="AA2926" s="7"/>
      <c r="AB2926" s="7"/>
    </row>
    <row r="2927" ht="15.75" customHeight="1">
      <c r="A2927" s="153">
        <f>IFERROR(__xludf.DUMMYFUNCTION("""COMPUTED_VALUE"""),4869.0)</f>
        <v>4869</v>
      </c>
      <c r="B2927" s="152" t="str">
        <f>IFERROR(__xludf.DUMMYFUNCTION("""COMPUTED_VALUE"""),"確定")</f>
        <v>確定</v>
      </c>
      <c r="C2927" s="154">
        <f>IFERROR(__xludf.DUMMYFUNCTION("""COMPUTED_VALUE"""),45678.0)</f>
        <v>45678</v>
      </c>
      <c r="D2927" s="154">
        <f>IFERROR(__xludf.DUMMYFUNCTION("""COMPUTED_VALUE"""),45720.0)</f>
        <v>45720</v>
      </c>
      <c r="E2927" s="158">
        <f>IFERROR(__xludf.DUMMYFUNCTION("""COMPUTED_VALUE"""),318420.0)</f>
        <v>318420</v>
      </c>
      <c r="F2927" s="159" t="str">
        <f>IFERROR(__xludf.DUMMYFUNCTION("""COMPUTED_VALUE"""),"キミを忘れないための101のこと【単話版】")</f>
        <v>キミを忘れないための101のこと【単話版】</v>
      </c>
      <c r="G2927" s="152" t="str">
        <f>IFERROR(__xludf.DUMMYFUNCTION("""COMPUTED_VALUE"""),"1～12")</f>
        <v>1～12</v>
      </c>
      <c r="H2927" s="152" t="str">
        <f>IFERROR(__xludf.DUMMYFUNCTION("""COMPUTED_VALUE"""),"葵衣ころも")</f>
        <v>葵衣ころも</v>
      </c>
      <c r="I2927" s="152" t="str">
        <f>IFERROR(__xludf.DUMMYFUNCTION("""COMPUTED_VALUE"""),"女性")</f>
        <v>女性</v>
      </c>
      <c r="J2927" s="157"/>
      <c r="K2927" s="157"/>
      <c r="L2927" s="152" t="str">
        <f>IFERROR(__xludf.DUMMYFUNCTION("""COMPUTED_VALUE"""),"GANMA!")</f>
        <v>GANMA!</v>
      </c>
      <c r="M2927" s="28">
        <f>IFERROR(__xludf.DUMMYFUNCTION("""COMPUTED_VALUE"""),45748.0)</f>
        <v>45748</v>
      </c>
      <c r="N2927" s="28">
        <f>IFERROR(__xludf.DUMMYFUNCTION("""COMPUTED_VALUE"""),45838.0)</f>
        <v>45838</v>
      </c>
      <c r="O2927" s="152"/>
      <c r="P2927" s="190" t="str">
        <f>IFERROR(__xludf.DUMMYFUNCTION("""COMPUTED_VALUE"""),"否")</f>
        <v>否</v>
      </c>
      <c r="Q2927" s="152"/>
      <c r="R2927" s="152" t="str">
        <f>IFERROR(__xludf.DUMMYFUNCTION("""COMPUTED_VALUE"""),"コミットOK")</f>
        <v>コミットOK</v>
      </c>
      <c r="S2927" s="152" t="str">
        <f>IFERROR(__xludf.DUMMYFUNCTION("""COMPUTED_VALUE"""),"20250304_GANMA!_キミを忘れないための101のコト【単話版】")</f>
        <v>20250304_GANMA!_キミを忘れないための101のコト【単話版】</v>
      </c>
      <c r="T2927" s="152" t="str">
        <f>IFERROR(__xludf.DUMMYFUNCTION("""COMPUTED_VALUE"""),"格納済み")</f>
        <v>格納済み</v>
      </c>
      <c r="U2927" s="15" t="str">
        <f>IFERROR(__xludf.DUMMYFUNCTION("""COMPUTED_VALUE"""),"Ⓒ葵衣ころも/COMISMA INC.")</f>
        <v>Ⓒ葵衣ころも/COMISMA INC.</v>
      </c>
      <c r="V2927" s="8" t="str">
        <f>IFERROR(__xludf.DUMMYFUNCTION("""COMPUTED_VALUE"""),"「もしかして処女なんですか？」 傷ついた恋愛未経験のアラサー女子は年下イケメン男子大学生と出会い恋の練習をすることに…！？ ”絶対に忘れられない”、愛おしいほど甘い歳の差溺愛ラブストーリー")</f>
        <v>「もしかして処女なんですか？」 傷ついた恋愛未経験のアラサー女子は年下イケメン男子大学生と出会い恋の練習をすることに…！？ ”絶対に忘れられない”、愛おしいほど甘い歳の差溺愛ラブストーリー</v>
      </c>
      <c r="W2927" s="14"/>
      <c r="X2927" s="14" t="str">
        <f>IFERROR(__xludf.DUMMYFUNCTION("""COMPUTED_VALUE"""),"有")</f>
        <v>有</v>
      </c>
      <c r="Y2927" s="8" t="str">
        <f>IFERROR(__xludf.DUMMYFUNCTION("""COMPUTED_VALUE"""),"2025/6/30まで1~2巻無料")</f>
        <v>2025/6/30まで1~2巻無料</v>
      </c>
      <c r="Z2927" s="7"/>
      <c r="AA2927" s="7"/>
      <c r="AB2927" s="7"/>
    </row>
    <row r="2928" ht="15.75" customHeight="1">
      <c r="A2928" s="153">
        <f>IFERROR(__xludf.DUMMYFUNCTION("""COMPUTED_VALUE"""),4870.0)</f>
        <v>4870</v>
      </c>
      <c r="B2928" s="152" t="str">
        <f>IFERROR(__xludf.DUMMYFUNCTION("""COMPUTED_VALUE"""),"確定")</f>
        <v>確定</v>
      </c>
      <c r="C2928" s="154">
        <f>IFERROR(__xludf.DUMMYFUNCTION("""COMPUTED_VALUE"""),45678.0)</f>
        <v>45678</v>
      </c>
      <c r="D2928" s="154">
        <f>IFERROR(__xludf.DUMMYFUNCTION("""COMPUTED_VALUE"""),45720.0)</f>
        <v>45720</v>
      </c>
      <c r="E2928" s="158">
        <f>IFERROR(__xludf.DUMMYFUNCTION("""COMPUTED_VALUE"""),318424.0)</f>
        <v>318424</v>
      </c>
      <c r="F2928" s="159" t="str">
        <f>IFERROR(__xludf.DUMMYFUNCTION("""COMPUTED_VALUE"""),"真昼くんは弟の友達【単話版】")</f>
        <v>真昼くんは弟の友達【単話版】</v>
      </c>
      <c r="G2928" s="152" t="str">
        <f>IFERROR(__xludf.DUMMYFUNCTION("""COMPUTED_VALUE"""),"1～6")</f>
        <v>1～6</v>
      </c>
      <c r="H2928" s="152" t="str">
        <f>IFERROR(__xludf.DUMMYFUNCTION("""COMPUTED_VALUE"""),"はなまる糀二")</f>
        <v>はなまる糀二</v>
      </c>
      <c r="I2928" s="152" t="str">
        <f>IFERROR(__xludf.DUMMYFUNCTION("""COMPUTED_VALUE"""),"女性")</f>
        <v>女性</v>
      </c>
      <c r="J2928" s="157"/>
      <c r="K2928" s="157"/>
      <c r="L2928" s="152" t="str">
        <f>IFERROR(__xludf.DUMMYFUNCTION("""COMPUTED_VALUE"""),"GANMA!")</f>
        <v>GANMA!</v>
      </c>
      <c r="M2928" s="28">
        <f>IFERROR(__xludf.DUMMYFUNCTION("""COMPUTED_VALUE"""),45748.0)</f>
        <v>45748</v>
      </c>
      <c r="N2928" s="28">
        <f>IFERROR(__xludf.DUMMYFUNCTION("""COMPUTED_VALUE"""),45838.0)</f>
        <v>45838</v>
      </c>
      <c r="O2928" s="152"/>
      <c r="P2928" s="190" t="str">
        <f>IFERROR(__xludf.DUMMYFUNCTION("""COMPUTED_VALUE"""),"否")</f>
        <v>否</v>
      </c>
      <c r="Q2928" s="152"/>
      <c r="R2928" s="152" t="str">
        <f>IFERROR(__xludf.DUMMYFUNCTION("""COMPUTED_VALUE"""),"コミットOK")</f>
        <v>コミットOK</v>
      </c>
      <c r="S2928" s="152" t="str">
        <f>IFERROR(__xludf.DUMMYFUNCTION("""COMPUTED_VALUE"""),"20250304_GANMA!_真昼くんは弟の友達")</f>
        <v>20250304_GANMA!_真昼くんは弟の友達</v>
      </c>
      <c r="T2928" s="152" t="str">
        <f>IFERROR(__xludf.DUMMYFUNCTION("""COMPUTED_VALUE"""),"格納済み")</f>
        <v>格納済み</v>
      </c>
      <c r="U2928" s="15" t="str">
        <f>IFERROR(__xludf.DUMMYFUNCTION("""COMPUTED_VALUE"""),"Ⓒはなまる糀二/COMISMA INC.")</f>
        <v>Ⓒはなまる糀二/COMISMA INC.</v>
      </c>
      <c r="V2928" s="8" t="str">
        <f>IFERROR(__xludf.DUMMYFUNCTION("""COMPUTED_VALUE"""),"「恋、始まったんじゃない？」 弟の世話のために実家に戻ると、そこには弟の友達が！ 「出ていきますんで」なんて冷めた態度をとるくせに、どこか寂しそうな彼を放って置けなくて…。")</f>
        <v>「恋、始まったんじゃない？」 弟の世話のために実家に戻ると、そこには弟の友達が！ 「出ていきますんで」なんて冷めた態度をとるくせに、どこか寂しそうな彼を放って置けなくて…。</v>
      </c>
      <c r="W2928" s="14"/>
      <c r="X2928" s="14" t="str">
        <f>IFERROR(__xludf.DUMMYFUNCTION("""COMPUTED_VALUE"""),"有")</f>
        <v>有</v>
      </c>
      <c r="Y2928" s="8" t="str">
        <f>IFERROR(__xludf.DUMMYFUNCTION("""COMPUTED_VALUE"""),"2025/6/30まで1~2巻無料")</f>
        <v>2025/6/30まで1~2巻無料</v>
      </c>
      <c r="Z2928" s="7"/>
      <c r="AA2928" s="7"/>
      <c r="AB2928" s="7"/>
    </row>
    <row r="2929" ht="15.75" customHeight="1">
      <c r="A2929" s="153">
        <f>IFERROR(__xludf.DUMMYFUNCTION("""COMPUTED_VALUE"""),4871.0)</f>
        <v>4871</v>
      </c>
      <c r="B2929" s="152" t="str">
        <f>IFERROR(__xludf.DUMMYFUNCTION("""COMPUTED_VALUE"""),"確定")</f>
        <v>確定</v>
      </c>
      <c r="C2929" s="154">
        <f>IFERROR(__xludf.DUMMYFUNCTION("""COMPUTED_VALUE"""),45678.0)</f>
        <v>45678</v>
      </c>
      <c r="D2929" s="154">
        <f>IFERROR(__xludf.DUMMYFUNCTION("""COMPUTED_VALUE"""),45720.0)</f>
        <v>45720</v>
      </c>
      <c r="E2929" s="158">
        <f>IFERROR(__xludf.DUMMYFUNCTION("""COMPUTED_VALUE"""),318448.0)</f>
        <v>318448</v>
      </c>
      <c r="F2929" s="159" t="str">
        <f>IFERROR(__xludf.DUMMYFUNCTION("""COMPUTED_VALUE"""),"鬼王と奉公花嫁の秘めごと【単話版】")</f>
        <v>鬼王と奉公花嫁の秘めごと【単話版】</v>
      </c>
      <c r="G2929" s="152" t="str">
        <f>IFERROR(__xludf.DUMMYFUNCTION("""COMPUTED_VALUE"""),"1～6")</f>
        <v>1～6</v>
      </c>
      <c r="H2929" s="152" t="str">
        <f>IFERROR(__xludf.DUMMYFUNCTION("""COMPUTED_VALUE"""),"時雨さよ")</f>
        <v>時雨さよ</v>
      </c>
      <c r="I2929" s="152" t="str">
        <f>IFERROR(__xludf.DUMMYFUNCTION("""COMPUTED_VALUE"""),"少女")</f>
        <v>少女</v>
      </c>
      <c r="J2929" s="157"/>
      <c r="K2929" s="157"/>
      <c r="L2929" s="152" t="str">
        <f>IFERROR(__xludf.DUMMYFUNCTION("""COMPUTED_VALUE"""),"GANMA!")</f>
        <v>GANMA!</v>
      </c>
      <c r="M2929" s="28">
        <f>IFERROR(__xludf.DUMMYFUNCTION("""COMPUTED_VALUE"""),45748.0)</f>
        <v>45748</v>
      </c>
      <c r="N2929" s="28">
        <f>IFERROR(__xludf.DUMMYFUNCTION("""COMPUTED_VALUE"""),45838.0)</f>
        <v>45838</v>
      </c>
      <c r="O2929" s="152"/>
      <c r="P2929" s="190" t="str">
        <f>IFERROR(__xludf.DUMMYFUNCTION("""COMPUTED_VALUE"""),"否")</f>
        <v>否</v>
      </c>
      <c r="Q2929" s="152"/>
      <c r="R2929" s="152" t="str">
        <f>IFERROR(__xludf.DUMMYFUNCTION("""COMPUTED_VALUE"""),"コミットOK")</f>
        <v>コミットOK</v>
      </c>
      <c r="S2929" s="152" t="str">
        <f>IFERROR(__xludf.DUMMYFUNCTION("""COMPUTED_VALUE"""),"20250304_GANMA!_鬼王と奉公花嫁の秘めごと")</f>
        <v>20250304_GANMA!_鬼王と奉公花嫁の秘めごと</v>
      </c>
      <c r="T2929" s="152" t="str">
        <f>IFERROR(__xludf.DUMMYFUNCTION("""COMPUTED_VALUE"""),"格納済み")</f>
        <v>格納済み</v>
      </c>
      <c r="U2929" s="15" t="str">
        <f>IFERROR(__xludf.DUMMYFUNCTION("""COMPUTED_VALUE"""),"Ⓒ時雨さよ／COMISMA INC.")</f>
        <v>Ⓒ時雨さよ／COMISMA INC.</v>
      </c>
      <c r="V2929" s="8" t="str">
        <f>IFERROR(__xludf.DUMMYFUNCTION("""COMPUTED_VALUE"""),"前世で読んだ物語の中の悪役のお屋敷で下働きの使用人として働く綴（つづり）。 屋敷の主人で悪役の鬼である暦様の秘密を知った綴は”夜の世話係”に任命され…！？身分違いの和風ラブストーリー")</f>
        <v>前世で読んだ物語の中の悪役のお屋敷で下働きの使用人として働く綴（つづり）。 屋敷の主人で悪役の鬼である暦様の秘密を知った綴は”夜の世話係”に任命され…！？身分違いの和風ラブストーリー</v>
      </c>
      <c r="W2929" s="14"/>
      <c r="X2929" s="14" t="str">
        <f>IFERROR(__xludf.DUMMYFUNCTION("""COMPUTED_VALUE"""),"有")</f>
        <v>有</v>
      </c>
      <c r="Y2929" s="8" t="str">
        <f>IFERROR(__xludf.DUMMYFUNCTION("""COMPUTED_VALUE"""),"2025/6/30まで1~2巻無料")</f>
        <v>2025/6/30まで1~2巻無料</v>
      </c>
      <c r="Z2929" s="7"/>
      <c r="AA2929" s="7"/>
      <c r="AB2929" s="7"/>
    </row>
    <row r="2930" ht="15.75" customHeight="1">
      <c r="A2930" s="153">
        <f>IFERROR(__xludf.DUMMYFUNCTION("""COMPUTED_VALUE"""),4873.0)</f>
        <v>4873</v>
      </c>
      <c r="B2930" s="152" t="str">
        <f>IFERROR(__xludf.DUMMYFUNCTION("""COMPUTED_VALUE"""),"確定")</f>
        <v>確定</v>
      </c>
      <c r="C2930" s="154">
        <f>IFERROR(__xludf.DUMMYFUNCTION("""COMPUTED_VALUE"""),45678.0)</f>
        <v>45678</v>
      </c>
      <c r="D2930" s="154">
        <f>IFERROR(__xludf.DUMMYFUNCTION("""COMPUTED_VALUE"""),45715.0)</f>
        <v>45715</v>
      </c>
      <c r="E2930" s="158">
        <f>IFERROR(__xludf.DUMMYFUNCTION("""COMPUTED_VALUE"""),317821.0)</f>
        <v>317821</v>
      </c>
      <c r="F2930" s="159" t="str">
        <f>IFERROR(__xludf.DUMMYFUNCTION("""COMPUTED_VALUE"""),"12年越しに、お前を抱く。～元ヤン上司の秘めた独占欲は甘く激しい～")</f>
        <v>12年越しに、お前を抱く。～元ヤン上司の秘めた独占欲は甘く激しい～</v>
      </c>
      <c r="G2930" s="152" t="str">
        <f>IFERROR(__xludf.DUMMYFUNCTION("""COMPUTED_VALUE"""),"1～2")</f>
        <v>1～2</v>
      </c>
      <c r="H2930" s="152" t="str">
        <f>IFERROR(__xludf.DUMMYFUNCTION("""COMPUTED_VALUE"""),"桵沢ちい")</f>
        <v>桵沢ちい</v>
      </c>
      <c r="I2930" s="152" t="str">
        <f>IFERROR(__xludf.DUMMYFUNCTION("""COMPUTED_VALUE"""),"TL")</f>
        <v>TL</v>
      </c>
      <c r="J2930" s="157"/>
      <c r="K2930" s="152" t="str">
        <f>IFERROR(__xludf.DUMMYFUNCTION("""COMPUTED_VALUE"""),"乙女チック")</f>
        <v>乙女チック</v>
      </c>
      <c r="L2930" s="152" t="str">
        <f>IFERROR(__xludf.DUMMYFUNCTION("""COMPUTED_VALUE"""),"CLLENN")</f>
        <v>CLLENN</v>
      </c>
      <c r="M2930" s="28">
        <f>IFERROR(__xludf.DUMMYFUNCTION("""COMPUTED_VALUE"""),45738.0)</f>
        <v>45738</v>
      </c>
      <c r="N2930" s="59">
        <f>IFERROR(__xludf.DUMMYFUNCTION("""COMPUTED_VALUE"""),45800.0)</f>
        <v>45800</v>
      </c>
      <c r="O2930" s="152"/>
      <c r="P2930" s="152" t="str">
        <f>IFERROR(__xludf.DUMMYFUNCTION("""COMPUTED_VALUE"""),"可")</f>
        <v>可</v>
      </c>
      <c r="Q2930" s="152" t="str">
        <f>IFERROR(__xludf.DUMMYFUNCTION("""COMPUTED_VALUE"""),"連載先行")</f>
        <v>連載先行</v>
      </c>
      <c r="R2930" s="152" t="str">
        <f>IFERROR(__xludf.DUMMYFUNCTION("""COMPUTED_VALUE"""),"コミットOK")</f>
        <v>コミットOK</v>
      </c>
      <c r="S2930" s="152" t="str">
        <f>IFERROR(__xludf.DUMMYFUNCTION("""COMPUTED_VALUE"""),"20250227_CLLENN_12年越しに、お前を抱く。～元ヤン上司の秘めた独占欲は甘く激しい～")</f>
        <v>20250227_CLLENN_12年越しに、お前を抱く。～元ヤン上司の秘めた独占欲は甘く激しい～</v>
      </c>
      <c r="T2930" s="152" t="str">
        <f>IFERROR(__xludf.DUMMYFUNCTION("""COMPUTED_VALUE"""),"格納済み")</f>
        <v>格納済み</v>
      </c>
      <c r="U2930" s="15" t="str">
        <f>IFERROR(__xludf.DUMMYFUNCTION("""COMPUTED_VALUE"""),"Ⓒ桵沢ちい/CLLENN")</f>
        <v>Ⓒ桵沢ちい/CLLENN</v>
      </c>
      <c r="V2930" s="8" t="str">
        <f>IFERROR(__xludf.DUMMYFUNCTION("""COMPUTED_VALUE"""),"「お前の気持ちいいところ、全部探してやるよ」コワモテ上司の執拗な愛撫に、快感が止まらないっ――不感症が原因で彼氏にフラれたアラサーOLの菜緒。バーでヤケ酒していたところを初対面の彼に介抱されて…菜緒の無自覚煽りに彼の理性がプツン。不感症のはずなのに、触れられるところすべてが熱くて…丁寧な愛撫と耳にかかる熱い吐息、両方いっぺんに擦られたら――初めての快感に、もうなにも考えられない…！すごい経験だった…と思っていたら昨日の彼が直属の上司に…！？それにそのセリフ…もしかして先輩ですか！？コワモテ元ヤン上司×こじ"&amp;"らせOLの再会からはじまる、大人の執着ラブストーリー！")</f>
        <v>「お前の気持ちいいところ、全部探してやるよ」コワモテ上司の執拗な愛撫に、快感が止まらないっ――不感症が原因で彼氏にフラれたアラサーOLの菜緒。バーでヤケ酒していたところを初対面の彼に介抱されて…菜緒の無自覚煽りに彼の理性がプツン。不感症のはずなのに、触れられるところすべてが熱くて…丁寧な愛撫と耳にかかる熱い吐息、両方いっぺんに擦られたら――初めての快感に、もうなにも考えられない…！すごい経験だった…と思っていたら昨日の彼が直属の上司に…！？それにそのセリフ…もしかして先輩ですか！？コワモテ元ヤン上司×こじらせOLの再会からはじまる、大人の執着ラブストーリー！</v>
      </c>
      <c r="W2930" s="14"/>
      <c r="X2930" s="14" t="str">
        <f>IFERROR(__xludf.DUMMYFUNCTION("""COMPUTED_VALUE"""),"有")</f>
        <v>有</v>
      </c>
      <c r="Y2930" s="8" t="str">
        <f>IFERROR(__xludf.DUMMYFUNCTION("""COMPUTED_VALUE"""),"2025/4/18まで1巻立ち読み増量（P19まで）")</f>
        <v>2025/4/18まで1巻立ち読み増量（P19まで）</v>
      </c>
      <c r="Z2930" s="7"/>
      <c r="AA2930" s="7"/>
      <c r="AB2930" s="7"/>
    </row>
    <row r="2931" ht="15.75" customHeight="1">
      <c r="A2931" s="153">
        <f>IFERROR(__xludf.DUMMYFUNCTION("""COMPUTED_VALUE"""),4937.0)</f>
        <v>4937</v>
      </c>
      <c r="B2931" s="152" t="str">
        <f>IFERROR(__xludf.DUMMYFUNCTION("""COMPUTED_VALUE"""),"確定")</f>
        <v>確定</v>
      </c>
      <c r="C2931" s="154">
        <f>IFERROR(__xludf.DUMMYFUNCTION("""COMPUTED_VALUE"""),45688.0)</f>
        <v>45688</v>
      </c>
      <c r="D2931" s="154">
        <f>IFERROR(__xludf.DUMMYFUNCTION("""COMPUTED_VALUE"""),45720.0)</f>
        <v>45720</v>
      </c>
      <c r="E2931" s="158">
        <f>IFERROR(__xludf.DUMMYFUNCTION("""COMPUTED_VALUE"""),318135.0)</f>
        <v>318135</v>
      </c>
      <c r="F2931" s="159" t="str">
        <f>IFERROR(__xludf.DUMMYFUNCTION("""COMPUTED_VALUE"""),"フィクションがとまらない")</f>
        <v>フィクションがとまらない</v>
      </c>
      <c r="G2931" s="152" t="str">
        <f>IFERROR(__xludf.DUMMYFUNCTION("""COMPUTED_VALUE"""),"1～2")</f>
        <v>1～2</v>
      </c>
      <c r="H2931" s="152" t="str">
        <f>IFERROR(__xludf.DUMMYFUNCTION("""COMPUTED_VALUE"""),"茶柱ぷぅ")</f>
        <v>茶柱ぷぅ</v>
      </c>
      <c r="I2931" s="152" t="str">
        <f>IFERROR(__xludf.DUMMYFUNCTION("""COMPUTED_VALUE"""),"BL")</f>
        <v>BL</v>
      </c>
      <c r="J2931" s="157"/>
      <c r="K2931" s="152" t="str">
        <f>IFERROR(__xludf.DUMMYFUNCTION("""COMPUTED_VALUE"""),"NuPu")</f>
        <v>NuPu</v>
      </c>
      <c r="L2931" s="152" t="str">
        <f>IFERROR(__xludf.DUMMYFUNCTION("""COMPUTED_VALUE"""),"CLLENN")</f>
        <v>CLLENN</v>
      </c>
      <c r="M2931" s="28">
        <f>IFERROR(__xludf.DUMMYFUNCTION("""COMPUTED_VALUE"""),45743.0)</f>
        <v>45743</v>
      </c>
      <c r="N2931" s="28">
        <f>IFERROR(__xludf.DUMMYFUNCTION("""COMPUTED_VALUE"""),45805.0)</f>
        <v>45805</v>
      </c>
      <c r="O2931" s="152"/>
      <c r="P2931" s="152" t="str">
        <f>IFERROR(__xludf.DUMMYFUNCTION("""COMPUTED_VALUE"""),"可")</f>
        <v>可</v>
      </c>
      <c r="Q2931" s="152" t="str">
        <f>IFERROR(__xludf.DUMMYFUNCTION("""COMPUTED_VALUE"""),"連載先行")</f>
        <v>連載先行</v>
      </c>
      <c r="R2931" s="152" t="str">
        <f>IFERROR(__xludf.DUMMYFUNCTION("""COMPUTED_VALUE"""),"コミットOK")</f>
        <v>コミットOK</v>
      </c>
      <c r="S2931" s="152" t="str">
        <f>IFERROR(__xludf.DUMMYFUNCTION("""COMPUTED_VALUE"""),"20250304_CLLENN_フィクションがとまらない")</f>
        <v>20250304_CLLENN_フィクションがとまらない</v>
      </c>
      <c r="T2931" s="152" t="str">
        <f>IFERROR(__xludf.DUMMYFUNCTION("""COMPUTED_VALUE"""),"格納済み")</f>
        <v>格納済み</v>
      </c>
      <c r="U2931" s="15" t="str">
        <f>IFERROR(__xludf.DUMMYFUNCTION("""COMPUTED_VALUE"""),"Ⓒ茶柱ぷぅ/CLLENN")</f>
        <v>Ⓒ茶柱ぷぅ/CLLENN</v>
      </c>
      <c r="V2931" s="8" t="str">
        <f>IFERROR(__xludf.DUMMYFUNCTION("""COMPUTED_VALUE"""),"「俺が抜くのを手伝おうか？」脳内で繰り広げられていた妄想が現実に!?　憧れていた文芸部の先輩が、小説みたいに迫ってきて…。クールな文学青年×性欲強めな後輩大学生。
欲求不満で一日に何度も自分で抜いてしまう、大学生の間宮(まみや)。ゲイだと自覚している間宮はある日、文芸部で売っていたＢＬ小説を読んで、感動するとともにときめきを覚える。特に主人公ふたりの初めてのエッチシーンを読んでは、自分もこんなふうに好きになった相手に迫られて、触れられて、抱かれたい…、そう思いながらひとりで慰めて…。
本の感想を伝"&amp;"えるために文芸部を訪れた間宮は、作者の佐々野(ささの)に出会う。佐々野と仲良くなるにつれ、間宮の妄想一人エッチは、いつしか相手が佐々野に変わっていき――!?")</f>
        <v>「俺が抜くのを手伝おうか？」脳内で繰り広げられていた妄想が現実に!?　憧れていた文芸部の先輩が、小説みたいに迫ってきて…。クールな文学青年×性欲強めな後輩大学生。
欲求不満で一日に何度も自分で抜いてしまう、大学生の間宮(まみや)。ゲイだと自覚している間宮はある日、文芸部で売っていたＢＬ小説を読んで、感動するとともにときめきを覚える。特に主人公ふたりの初めてのエッチシーンを読んでは、自分もこんなふうに好きになった相手に迫られて、触れられて、抱かれたい…、そう思いながらひとりで慰めて…。
本の感想を伝えるために文芸部を訪れた間宮は、作者の佐々野(ささの)に出会う。佐々野と仲良くなるにつれ、間宮の妄想一人エッチは、いつしか相手が佐々野に変わっていき――!?</v>
      </c>
      <c r="W2931" s="14"/>
      <c r="X2931" s="14" t="str">
        <f>IFERROR(__xludf.DUMMYFUNCTION("""COMPUTED_VALUE"""),"有")</f>
        <v>有</v>
      </c>
      <c r="Y2931" s="8" t="str">
        <f>IFERROR(__xludf.DUMMYFUNCTION("""COMPUTED_VALUE"""),"2025/4/9まで立ち読み増量（P15まで）")</f>
        <v>2025/4/9まで立ち読み増量（P15まで）</v>
      </c>
      <c r="Z2931" s="7"/>
      <c r="AA2931" s="7"/>
      <c r="AB2931" s="7"/>
    </row>
    <row r="2932" ht="15.75" customHeight="1">
      <c r="A2932" s="153">
        <f>IFERROR(__xludf.DUMMYFUNCTION("""COMPUTED_VALUE"""),5007.0)</f>
        <v>5007</v>
      </c>
      <c r="B2932" s="152" t="str">
        <f>IFERROR(__xludf.DUMMYFUNCTION("""COMPUTED_VALUE"""),"確定")</f>
        <v>確定</v>
      </c>
      <c r="C2932" s="154">
        <f>IFERROR(__xludf.DUMMYFUNCTION("""COMPUTED_VALUE"""),45698.0)</f>
        <v>45698</v>
      </c>
      <c r="D2932" s="154">
        <f>IFERROR(__xludf.DUMMYFUNCTION("""COMPUTED_VALUE"""),45719.0)</f>
        <v>45719</v>
      </c>
      <c r="E2932" s="158">
        <f>IFERROR(__xludf.DUMMYFUNCTION("""COMPUTED_VALUE"""),318394.0)</f>
        <v>318394</v>
      </c>
      <c r="F2932" s="159" t="str">
        <f>IFERROR(__xludf.DUMMYFUNCTION("""COMPUTED_VALUE"""),"お兄さん…神！？-クズ彼氏のところから飛び出してきた妹の友達を泊めるだけのはずが…-")</f>
        <v>お兄さん…神！？-クズ彼氏のところから飛び出してきた妹の友達を泊めるだけのはずが…-</v>
      </c>
      <c r="G2932" s="152" t="str">
        <f>IFERROR(__xludf.DUMMYFUNCTION("""COMPUTED_VALUE"""),"1～2")</f>
        <v>1～2</v>
      </c>
      <c r="H2932" s="152" t="str">
        <f>IFERROR(__xludf.DUMMYFUNCTION("""COMPUTED_VALUE"""),"小枝まめ子")</f>
        <v>小枝まめ子</v>
      </c>
      <c r="I2932" s="164" t="str">
        <f>IFERROR(__xludf.DUMMYFUNCTION("""COMPUTED_VALUE"""),"アダルトマンガ")</f>
        <v>アダルトマンガ</v>
      </c>
      <c r="J2932" s="166"/>
      <c r="K2932" s="157"/>
      <c r="L2932" s="152" t="str">
        <f>IFERROR(__xludf.DUMMYFUNCTION("""COMPUTED_VALUE"""),"キャスコミ")</f>
        <v>キャスコミ</v>
      </c>
      <c r="M2932" s="28">
        <f>IFERROR(__xludf.DUMMYFUNCTION("""COMPUTED_VALUE"""),45752.0)</f>
        <v>45752</v>
      </c>
      <c r="N2932" s="59">
        <f>IFERROR(__xludf.DUMMYFUNCTION("""COMPUTED_VALUE"""),45814.0)</f>
        <v>45814</v>
      </c>
      <c r="O2932" s="152"/>
      <c r="P2932" s="152" t="str">
        <f>IFERROR(__xludf.DUMMYFUNCTION("""COMPUTED_VALUE"""),"可")</f>
        <v>可</v>
      </c>
      <c r="Q2932" s="152" t="str">
        <f>IFERROR(__xludf.DUMMYFUNCTION("""COMPUTED_VALUE"""),"1～2巻目素材を使用ください&lt;BR&gt;【配信スケジュール】&lt;BR&gt;1巻 2025/04/05 ～ 2025/06/06&lt;BR&gt;2巻 2025/04/05 ～ 2025/06/06&lt;BR&gt;3巻 2025/05/03 ～ 2025/07/04&lt;BR&gt;4巻 2025/06/07 ～ 2025/08/01&lt;BR&gt;【先行合わせCP】&lt;BR&gt;先行期間中の試読増量が可能です&lt;BR&gt;1巻18pまで試読増量 2025/04/05 ～ 2025/08/01&lt;BR&gt;2巻13Pまで試読増量 2025/04/05 ～ 2025/08"&amp;"/01&lt;BR&gt;3巻13Pまで試読増量 2025/05/03 ～ 2025/08/01&lt;BR&gt;4巻13Pまで試読増量 2025/06/07 ～ 2025/08/01")</f>
        <v>1～2巻目素材を使用ください&lt;BR&gt;【配信スケジュール】&lt;BR&gt;1巻 2025/04/05 ～ 2025/06/06&lt;BR&gt;2巻 2025/04/05 ～ 2025/06/06&lt;BR&gt;3巻 2025/05/03 ～ 2025/07/04&lt;BR&gt;4巻 2025/06/07 ～ 2025/08/01&lt;BR&gt;【先行合わせCP】&lt;BR&gt;先行期間中の試読増量が可能です&lt;BR&gt;1巻18pまで試読増量 2025/04/05 ～ 2025/08/01&lt;BR&gt;2巻13Pまで試読増量 2025/04/05 ～ 2025/08/01&lt;BR&gt;3巻13Pまで試読増量 2025/05/03 ～ 2025/08/01&lt;BR&gt;4巻13Pまで試読増量 2025/06/07 ～ 2025/08/01</v>
      </c>
      <c r="R2932" s="152" t="str">
        <f>IFERROR(__xludf.DUMMYFUNCTION("""COMPUTED_VALUE"""),"コミットNG")</f>
        <v>コミットNG</v>
      </c>
      <c r="S2932" s="152" t="str">
        <f>IFERROR(__xludf.DUMMYFUNCTION("""COMPUTED_VALUE"""),"20250207_ナイトコミック_お兄さん…神！？-クズ彼氏のところから飛び出してきた妹の友達を泊めるだけのはずが…-")</f>
        <v>20250207_ナイトコミック_お兄さん…神！？-クズ彼氏のところから飛び出してきた妹の友達を泊めるだけのはずが…-</v>
      </c>
      <c r="T2932" s="152" t="str">
        <f>IFERROR(__xludf.DUMMYFUNCTION("""COMPUTED_VALUE"""),"格納済み")</f>
        <v>格納済み</v>
      </c>
      <c r="U2932" s="15" t="str">
        <f>IFERROR(__xludf.DUMMYFUNCTION("""COMPUTED_VALUE"""),"Ⓒ小枝まめ子")</f>
        <v>Ⓒ小枝まめ子</v>
      </c>
      <c r="V2932" s="8" t="str">
        <f>IFERROR(__xludf.DUMMYFUNCTION("""COMPUTED_VALUE"""),"家出ギャル（妹の友達）からのお願い…それはしばらく泊めてほしいということだった！
夜遅いし断るわけにはいかないと思った俺はひとまず彼女のことを泊めることに…
それにしても…薄着だし、距離近いし、風呂場にブラ置きっぱなしだし…この娘無防備すぎない？
しかも、俺のオナニーを目撃してしまい興奮してしまったらしく寝ているところにちょっかいをかけてくる！！
そんなことされたらこっちだって…
キスだけで濡れたアソコを指で…舌で…ゆっくりとほぐしていくと彼女のアソコはとろとろになって…！？")</f>
        <v>家出ギャル（妹の友達）からのお願い…それはしばらく泊めてほしいということだった！
夜遅いし断るわけにはいかないと思った俺はひとまず彼女のことを泊めることに…
それにしても…薄着だし、距離近いし、風呂場にブラ置きっぱなしだし…この娘無防備すぎない？
しかも、俺のオナニーを目撃してしまい興奮してしまったらしく寝ているところにちょっかいをかけてくる！！
そんなことされたらこっちだって…
キスだけで濡れたアソコを指で…舌で…ゆっくりとほぐしていくと彼女のアソコはとろとろになって…！？</v>
      </c>
      <c r="W2932" s="14"/>
      <c r="X2932" s="14" t="str">
        <f>IFERROR(__xludf.DUMMYFUNCTION("""COMPUTED_VALUE"""),"有")</f>
        <v>有</v>
      </c>
      <c r="Y2932" s="8" t="str">
        <f>IFERROR(__xludf.DUMMYFUNCTION("""COMPUTED_VALUE"""),"2025/8/1まで1~2巻立ち読み増量（1巻：P18まで、2巻：P13まで）")</f>
        <v>2025/8/1まで1~2巻立ち読み増量（1巻：P18まで、2巻：P13まで）</v>
      </c>
      <c r="Z2932" s="7"/>
      <c r="AA2932" s="7"/>
      <c r="AB2932" s="7"/>
    </row>
    <row r="2933" ht="15.75" customHeight="1">
      <c r="A2933" s="153">
        <f>IFERROR(__xludf.DUMMYFUNCTION("""COMPUTED_VALUE"""),5020.0)</f>
        <v>5020</v>
      </c>
      <c r="B2933" s="152" t="str">
        <f>IFERROR(__xludf.DUMMYFUNCTION("""COMPUTED_VALUE"""),"確定")</f>
        <v>確定</v>
      </c>
      <c r="C2933" s="154">
        <f>IFERROR(__xludf.DUMMYFUNCTION("""COMPUTED_VALUE"""),45701.0)</f>
        <v>45701</v>
      </c>
      <c r="D2933" s="154">
        <f>IFERROR(__xludf.DUMMYFUNCTION("""COMPUTED_VALUE"""),45719.0)</f>
        <v>45719</v>
      </c>
      <c r="E2933" s="158">
        <f>IFERROR(__xludf.DUMMYFUNCTION("""COMPUTED_VALUE"""),317357.0)</f>
        <v>317357</v>
      </c>
      <c r="F2933" s="159" t="str">
        <f>IFERROR(__xludf.DUMMYFUNCTION("""COMPUTED_VALUE"""),"秘密のご奉仕ラブバイト【タテヨミ】")</f>
        <v>秘密のご奉仕ラブバイト【タテヨミ】</v>
      </c>
      <c r="G2933" s="152" t="str">
        <f>IFERROR(__xludf.DUMMYFUNCTION("""COMPUTED_VALUE"""),"1～20")</f>
        <v>1～20</v>
      </c>
      <c r="H2933" s="152" t="str">
        <f>IFERROR(__xludf.DUMMYFUNCTION("""COMPUTED_VALUE"""),"デク, 十万")</f>
        <v>デク, 十万</v>
      </c>
      <c r="I2933" s="152" t="str">
        <f>IFERROR(__xludf.DUMMYFUNCTION("""COMPUTED_VALUE"""),"青年")</f>
        <v>青年</v>
      </c>
      <c r="J2933" s="157"/>
      <c r="K2933" s="157"/>
      <c r="L2933" s="152" t="str">
        <f>IFERROR(__xludf.DUMMYFUNCTION("""COMPUTED_VALUE"""),"リバース")</f>
        <v>リバース</v>
      </c>
      <c r="M2933" s="154">
        <f>IFERROR(__xludf.DUMMYFUNCTION("""COMPUTED_VALUE"""),45744.0)</f>
        <v>45744</v>
      </c>
      <c r="N2933" s="154">
        <f>IFERROR(__xludf.DUMMYFUNCTION("""COMPUTED_VALUE"""),45807.0)</f>
        <v>45807</v>
      </c>
      <c r="O2933" s="152"/>
      <c r="P2933" s="152" t="str">
        <f>IFERROR(__xludf.DUMMYFUNCTION("""COMPUTED_VALUE"""),"可")</f>
        <v>可</v>
      </c>
      <c r="Q2933" s="152"/>
      <c r="R2933" s="152" t="str">
        <f>IFERROR(__xludf.DUMMYFUNCTION("""COMPUTED_VALUE"""),"コミットOK")</f>
        <v>コミットOK</v>
      </c>
      <c r="S2933" s="152" t="str">
        <f>IFERROR(__xludf.DUMMYFUNCTION("""COMPUTED_VALUE"""),"20250227_秘密のご奉仕ラブバイト【タテヨミ】")</f>
        <v>20250227_秘密のご奉仕ラブバイト【タテヨミ】</v>
      </c>
      <c r="T2933" s="152" t="str">
        <f>IFERROR(__xludf.DUMMYFUNCTION("""COMPUTED_VALUE"""),"格納済み")</f>
        <v>格納済み</v>
      </c>
      <c r="U2933" s="15" t="str">
        <f>IFERROR(__xludf.DUMMYFUNCTION("""COMPUTED_VALUE"""),"Ⓒデク, 十万, Toomics")</f>
        <v>Ⓒデク, 十万, Toomics</v>
      </c>
      <c r="V2933" s="8" t="str">
        <f>IFERROR(__xludf.DUMMYFUNCTION("""COMPUTED_VALUE"""),"貧乏大学生のセオが始めた建物管理のバイトにはクセの強い三姉妹がいて…？")</f>
        <v>貧乏大学生のセオが始めた建物管理のバイトにはクセの強い三姉妹がいて…？</v>
      </c>
      <c r="W2933" s="14"/>
      <c r="X2933" s="14" t="str">
        <f>IFERROR(__xludf.DUMMYFUNCTION("""COMPUTED_VALUE"""),"有")</f>
        <v>有</v>
      </c>
      <c r="Y2933" s="8" t="str">
        <f>IFERROR(__xludf.DUMMYFUNCTION("""COMPUTED_VALUE"""),"1～3巻目無料
2025/4/13まで4~5巻目無料")</f>
        <v>1～3巻目無料
2025/4/13まで4~5巻目無料</v>
      </c>
      <c r="Z2933" s="7"/>
      <c r="AA2933" s="7"/>
      <c r="AB2933" s="7"/>
    </row>
    <row r="2934" ht="15.75" customHeight="1">
      <c r="A2934" s="153">
        <f>IFERROR(__xludf.DUMMYFUNCTION("""COMPUTED_VALUE"""),5028.0)</f>
        <v>5028</v>
      </c>
      <c r="B2934" s="152" t="str">
        <f>IFERROR(__xludf.DUMMYFUNCTION("""COMPUTED_VALUE"""),"確定")</f>
        <v>確定</v>
      </c>
      <c r="C2934" s="154">
        <f>IFERROR(__xludf.DUMMYFUNCTION("""COMPUTED_VALUE"""),45702.0)</f>
        <v>45702</v>
      </c>
      <c r="D2934" s="154">
        <f>IFERROR(__xludf.DUMMYFUNCTION("""COMPUTED_VALUE"""),45719.0)</f>
        <v>45719</v>
      </c>
      <c r="E2934" s="158">
        <f>IFERROR(__xludf.DUMMYFUNCTION("""COMPUTED_VALUE"""),320516.0)</f>
        <v>320516</v>
      </c>
      <c r="F2934" s="159" t="str">
        <f>IFERROR(__xludf.DUMMYFUNCTION("""COMPUTED_VALUE"""),"闇ギフテッド")</f>
        <v>闇ギフテッド</v>
      </c>
      <c r="G2934" s="152" t="str">
        <f>IFERROR(__xludf.DUMMYFUNCTION("""COMPUTED_VALUE"""),"1～3")</f>
        <v>1～3</v>
      </c>
      <c r="H2934" s="152" t="str">
        <f>IFERROR(__xludf.DUMMYFUNCTION("""COMPUTED_VALUE"""),"さくらまこ")</f>
        <v>さくらまこ</v>
      </c>
      <c r="I2934" s="152" t="str">
        <f>IFERROR(__xludf.DUMMYFUNCTION("""COMPUTED_VALUE"""),"女性")</f>
        <v>女性</v>
      </c>
      <c r="J2934" s="157"/>
      <c r="K2934" s="152" t="str">
        <f>IFERROR(__xludf.DUMMYFUNCTION("""COMPUTED_VALUE"""),"NEOKANO")</f>
        <v>NEOKANO</v>
      </c>
      <c r="L2934" s="152" t="str">
        <f>IFERROR(__xludf.DUMMYFUNCTION("""COMPUTED_VALUE"""),"NEOKANO")</f>
        <v>NEOKANO</v>
      </c>
      <c r="M2934" s="28">
        <f>IFERROR(__xludf.DUMMYFUNCTION("""COMPUTED_VALUE"""),45773.0)</f>
        <v>45773</v>
      </c>
      <c r="N2934" s="23">
        <f>IFERROR(__xludf.DUMMYFUNCTION("""COMPUTED_VALUE"""),45863.0)</f>
        <v>45863</v>
      </c>
      <c r="O2934" s="152"/>
      <c r="P2934" s="152" t="str">
        <f>IFERROR(__xludf.DUMMYFUNCTION("""COMPUTED_VALUE"""),"可")</f>
        <v>可</v>
      </c>
      <c r="Q2934" s="152" t="str">
        <f>IFERROR(__xludf.DUMMYFUNCTION("""COMPUTED_VALUE"""),"連載先行")</f>
        <v>連載先行</v>
      </c>
      <c r="R2934" s="152" t="str">
        <f>IFERROR(__xludf.DUMMYFUNCTION("""COMPUTED_VALUE"""),"コミットOK")</f>
        <v>コミットOK</v>
      </c>
      <c r="S2934" s="152" t="str">
        <f>IFERROR(__xludf.DUMMYFUNCTION("""COMPUTED_VALUE"""),"20250303_NEOKANO_闇ギフテッド")</f>
        <v>20250303_NEOKANO_闇ギフテッド</v>
      </c>
      <c r="T2934" s="152" t="str">
        <f>IFERROR(__xludf.DUMMYFUNCTION("""COMPUTED_VALUE"""),"格納済み")</f>
        <v>格納済み</v>
      </c>
      <c r="U2934" s="15" t="str">
        <f>IFERROR(__xludf.DUMMYFUNCTION("""COMPUTED_VALUE"""),"Ⓒさくらまこ／NEOKANO")</f>
        <v>Ⓒさくらまこ／NEOKANO</v>
      </c>
      <c r="V2934" s="14" t="str">
        <f>IFERROR(__xludf.DUMMYFUNCTION("""COMPUTED_VALUE"""),"萩野みはるは中学生。学校でイジメにあっている。母は毒親、仕事は水商売で夜は不在。父はいない。弟は引きこもりの不登校、ゲームに熱中して夜中でも怒号を上げる。近所からの苦情対応はみはる。…彼女の願いは、神様が何も与えてくれなかったようなこの家から出ること──。第1話")</f>
        <v>萩野みはるは中学生。学校でイジメにあっている。母は毒親、仕事は水商売で夜は不在。父はいない。弟は引きこもりの不登校、ゲームに熱中して夜中でも怒号を上げる。近所からの苦情対応はみはる。…彼女の願いは、神様が何も与えてくれなかったようなこの家から出ること──。第1話</v>
      </c>
      <c r="W2934" s="14"/>
      <c r="X2934" s="14" t="str">
        <f>IFERROR(__xludf.DUMMYFUNCTION("""COMPUTED_VALUE"""),"有")</f>
        <v>有</v>
      </c>
      <c r="Y2934" s="8" t="str">
        <f>IFERROR(__xludf.DUMMYFUNCTION("""COMPUTED_VALUE"""),"P10まで")</f>
        <v>P10まで</v>
      </c>
      <c r="Z2934" s="7"/>
      <c r="AA2934" s="7"/>
      <c r="AB2934" s="7"/>
    </row>
    <row r="2935" ht="15.75" customHeight="1">
      <c r="A2935" s="153">
        <f>IFERROR(__xludf.DUMMYFUNCTION("""COMPUTED_VALUE"""),5029.0)</f>
        <v>5029</v>
      </c>
      <c r="B2935" s="152" t="str">
        <f>IFERROR(__xludf.DUMMYFUNCTION("""COMPUTED_VALUE"""),"確定")</f>
        <v>確定</v>
      </c>
      <c r="C2935" s="154">
        <f>IFERROR(__xludf.DUMMYFUNCTION("""COMPUTED_VALUE"""),45702.0)</f>
        <v>45702</v>
      </c>
      <c r="D2935" s="154">
        <f>IFERROR(__xludf.DUMMYFUNCTION("""COMPUTED_VALUE"""),45719.0)</f>
        <v>45719</v>
      </c>
      <c r="E2935" s="158">
        <f>IFERROR(__xludf.DUMMYFUNCTION("""COMPUTED_VALUE"""),318573.0)</f>
        <v>318573</v>
      </c>
      <c r="F2935" s="159" t="str">
        <f>IFERROR(__xludf.DUMMYFUNCTION("""COMPUTED_VALUE"""),"3P歪愛電車 〜優しい上司と俺様部下の執着愛にイかされて")</f>
        <v>3P歪愛電車 〜優しい上司と俺様部下の執着愛にイかされて</v>
      </c>
      <c r="G2935" s="152" t="str">
        <f>IFERROR(__xludf.DUMMYFUNCTION("""COMPUTED_VALUE"""),"1～3")</f>
        <v>1～3</v>
      </c>
      <c r="H2935" s="152" t="str">
        <f>IFERROR(__xludf.DUMMYFUNCTION("""COMPUTED_VALUE"""),"しろみずぎ/かんたま")</f>
        <v>しろみずぎ/かんたま</v>
      </c>
      <c r="I2935" s="152" t="str">
        <f>IFERROR(__xludf.DUMMYFUNCTION("""COMPUTED_VALUE"""),"TL")</f>
        <v>TL</v>
      </c>
      <c r="J2935" s="157"/>
      <c r="K2935" s="152" t="str">
        <f>IFERROR(__xludf.DUMMYFUNCTION("""COMPUTED_VALUE"""),"lou lou")</f>
        <v>lou lou</v>
      </c>
      <c r="L2935" s="152" t="str">
        <f>IFERROR(__xludf.DUMMYFUNCTION("""COMPUTED_VALUE"""),"渋谷六花舎")</f>
        <v>渋谷六花舎</v>
      </c>
      <c r="M2935" s="28">
        <f>IFERROR(__xludf.DUMMYFUNCTION("""COMPUTED_VALUE"""),45749.0)</f>
        <v>45749</v>
      </c>
      <c r="N2935" s="23">
        <f>IFERROR(__xludf.DUMMYFUNCTION("""COMPUTED_VALUE"""),45838.0)</f>
        <v>45838</v>
      </c>
      <c r="O2935" s="152"/>
      <c r="P2935" s="152" t="str">
        <f>IFERROR(__xludf.DUMMYFUNCTION("""COMPUTED_VALUE"""),"可")</f>
        <v>可</v>
      </c>
      <c r="Q2935" s="152" t="str">
        <f>IFERROR(__xludf.DUMMYFUNCTION("""COMPUTED_VALUE"""),"DLsiteで配信中の同人作品の商業版です。&lt;BR&gt;格納データを1～3話に分割して配信予定。&lt;BR&gt;タイトル名にNGワードがある場合、タイトル名の変更も可能です。&lt;BR&gt;また、TLではなくアダルトジャンルでの配信も可能ですので出稿にあたり懸念点があればご連絡ください。")</f>
        <v>DLsiteで配信中の同人作品の商業版です。&lt;BR&gt;格納データを1～3話に分割して配信予定。&lt;BR&gt;タイトル名にNGワードがある場合、タイトル名の変更も可能です。&lt;BR&gt;また、TLではなくアダルトジャンルでの配信も可能ですので出稿にあたり懸念点があればご連絡ください。</v>
      </c>
      <c r="R2935" s="152" t="str">
        <f>IFERROR(__xludf.DUMMYFUNCTION("""COMPUTED_VALUE"""),"コミットOK")</f>
        <v>コミットOK</v>
      </c>
      <c r="S2935" s="152" t="str">
        <f>IFERROR(__xludf.DUMMYFUNCTION("""COMPUTED_VALUE"""),"20250303_渋谷六花舎_3P歪愛電車 〜優しい上司と俺様部下の執着愛にイかされて")</f>
        <v>20250303_渋谷六花舎_3P歪愛電車 〜優しい上司と俺様部下の執着愛にイかされて</v>
      </c>
      <c r="T2935" s="152" t="str">
        <f>IFERROR(__xludf.DUMMYFUNCTION("""COMPUTED_VALUE"""),"格納済み")</f>
        <v>格納済み</v>
      </c>
      <c r="U2935" s="15" t="str">
        <f>IFERROR(__xludf.DUMMYFUNCTION("""COMPUTED_VALUE"""),"Ⓒしろみずぎ/かんたま/lou lou")</f>
        <v>Ⓒしろみずぎ/かんたま/lou lou</v>
      </c>
      <c r="V2935" s="8" t="str">
        <f>IFERROR(__xludf.DUMMYFUNCTION("""COMPUTED_VALUE"""),"歪んだ愛を向けられて、2人の雄に共有されて、絶頂が止まらないーーー!
「僕たち2人に全てをあけ渡して　身体も 心も 自我もーー」
通勤電車でのしつこいイタズラに悩まされている OLのしおり。上司や部下と電車で乗り合わせた時にも、触られる始末で困っていたが……
電車で私をイかせる犯人は、実はーー
憧れの上司と、生意気な部下にイっても、イっても、変わるがわる攻められて、""終わりのない快楽地獄""　が始まる…!")</f>
        <v>歪んだ愛を向けられて、2人の雄に共有されて、絶頂が止まらないーーー!
「僕たち2人に全てをあけ渡して　身体も 心も 自我もーー」
通勤電車でのしつこいイタズラに悩まされている OLのしおり。上司や部下と電車で乗り合わせた時にも、触られる始末で困っていたが……
電車で私をイかせる犯人は、実はーー
憧れの上司と、生意気な部下にイっても、イっても、変わるがわる攻められて、"終わりのない快楽地獄"　が始まる…!</v>
      </c>
      <c r="W2935" s="14"/>
      <c r="X2935" s="14" t="str">
        <f>IFERROR(__xludf.DUMMYFUNCTION("""COMPUTED_VALUE"""),"有")</f>
        <v>有</v>
      </c>
      <c r="Y2935" s="8" t="str">
        <f>IFERROR(__xludf.DUMMYFUNCTION("""COMPUTED_VALUE"""),"2025/4/15まで1巻無料")</f>
        <v>2025/4/15まで1巻無料</v>
      </c>
      <c r="Z2935" s="7"/>
      <c r="AA2935" s="7"/>
      <c r="AB2935" s="7"/>
    </row>
    <row r="2936" ht="15.75" customHeight="1">
      <c r="A2936" s="153">
        <f>IFERROR(__xludf.DUMMYFUNCTION("""COMPUTED_VALUE"""),5030.0)</f>
        <v>5030</v>
      </c>
      <c r="B2936" s="152" t="str">
        <f>IFERROR(__xludf.DUMMYFUNCTION("""COMPUTED_VALUE"""),"確定")</f>
        <v>確定</v>
      </c>
      <c r="C2936" s="154">
        <f>IFERROR(__xludf.DUMMYFUNCTION("""COMPUTED_VALUE"""),45702.0)</f>
        <v>45702</v>
      </c>
      <c r="D2936" s="154">
        <f>IFERROR(__xludf.DUMMYFUNCTION("""COMPUTED_VALUE"""),45720.0)</f>
        <v>45720</v>
      </c>
      <c r="E2936" s="158">
        <f>IFERROR(__xludf.DUMMYFUNCTION("""COMPUTED_VALUE"""),318575.0)</f>
        <v>318575</v>
      </c>
      <c r="F2936" s="159" t="str">
        <f>IFERROR(__xludf.DUMMYFUNCTION("""COMPUTED_VALUE"""),"ハッピーNTRウェディング ～変態夫と執着同僚に新婚旅行先で種付け孕まセックスinハワイ～")</f>
        <v>ハッピーNTRウェディング ～変態夫と執着同僚に新婚旅行先で種付け孕まセックスinハワイ～</v>
      </c>
      <c r="G2936" s="152" t="str">
        <f>IFERROR(__xludf.DUMMYFUNCTION("""COMPUTED_VALUE"""),"1～3")</f>
        <v>1～3</v>
      </c>
      <c r="H2936" s="152" t="str">
        <f>IFERROR(__xludf.DUMMYFUNCTION("""COMPUTED_VALUE"""),"いちじく/かんたま")</f>
        <v>いちじく/かんたま</v>
      </c>
      <c r="I2936" s="152" t="str">
        <f>IFERROR(__xludf.DUMMYFUNCTION("""COMPUTED_VALUE"""),"TL")</f>
        <v>TL</v>
      </c>
      <c r="J2936" s="157"/>
      <c r="K2936" s="152" t="str">
        <f>IFERROR(__xludf.DUMMYFUNCTION("""COMPUTED_VALUE"""),"lou lou")</f>
        <v>lou lou</v>
      </c>
      <c r="L2936" s="152" t="str">
        <f>IFERROR(__xludf.DUMMYFUNCTION("""COMPUTED_VALUE"""),"渋谷六花舎")</f>
        <v>渋谷六花舎</v>
      </c>
      <c r="M2936" s="28">
        <f>IFERROR(__xludf.DUMMYFUNCTION("""COMPUTED_VALUE"""),45749.0)</f>
        <v>45749</v>
      </c>
      <c r="N2936" s="23">
        <f>IFERROR(__xludf.DUMMYFUNCTION("""COMPUTED_VALUE"""),45838.0)</f>
        <v>45838</v>
      </c>
      <c r="O2936" s="152"/>
      <c r="P2936" s="152" t="str">
        <f>IFERROR(__xludf.DUMMYFUNCTION("""COMPUTED_VALUE"""),"可")</f>
        <v>可</v>
      </c>
      <c r="Q2936" s="152" t="str">
        <f>IFERROR(__xludf.DUMMYFUNCTION("""COMPUTED_VALUE"""),"DLsiteで配信中の同人作品の商業版です。&lt;BR&gt;送付済データを3話に分割して配信予定。タイトル名にNGワードがある場合、タイトル名の変更も可能です。&lt;BR&gt;また、TLではなくアダルトジャンルでの配信も可能ですので出稿にあたり懸念点があればご連絡ください。")</f>
        <v>DLsiteで配信中の同人作品の商業版です。&lt;BR&gt;送付済データを3話に分割して配信予定。タイトル名にNGワードがある場合、タイトル名の変更も可能です。&lt;BR&gt;また、TLではなくアダルトジャンルでの配信も可能ですので出稿にあたり懸念点があればご連絡ください。</v>
      </c>
      <c r="R2936" s="152" t="str">
        <f>IFERROR(__xludf.DUMMYFUNCTION("""COMPUTED_VALUE"""),"コミットOK")</f>
        <v>コミットOK</v>
      </c>
      <c r="S2936" s="152" t="str">
        <f>IFERROR(__xludf.DUMMYFUNCTION("""COMPUTED_VALUE"""),"20250303_渋谷六花舎_ハッピーNTRウェディング ～変態夫と執着同僚に新婚旅行先で種付け孕まセックスinハワイ～")</f>
        <v>20250303_渋谷六花舎_ハッピーNTRウェディング ～変態夫と執着同僚に新婚旅行先で種付け孕まセックスinハワイ～</v>
      </c>
      <c r="T2936" s="152" t="str">
        <f>IFERROR(__xludf.DUMMYFUNCTION("""COMPUTED_VALUE"""),"格納済み")</f>
        <v>格納済み</v>
      </c>
      <c r="U2936" s="15" t="str">
        <f>IFERROR(__xludf.DUMMYFUNCTION("""COMPUTED_VALUE"""),"Ⓒいちじく/かんたま/lou lou")</f>
        <v>Ⓒいちじく/かんたま/lou lou</v>
      </c>
      <c r="V2936" s="8" t="str">
        <f>IFERROR(__xludf.DUMMYFUNCTION("""COMPUTED_VALUE"""),"大好きな夫・聖と結婚して、初夜を迎えた美鈴。ハネムーンでの初夜を密かに楽しみにしていたのに、なぜか夫は手を出してくれなくて…。欲求不満の美鈴は、過去の出来事を夢に見てしまう。同僚・葛城に会社で、飲み会で乱暴に胸を吸われ、敏感なアソコを弄ばれたこと―――。イヤな記憶なのに、夢の中なのに、カラダが熱い。どうして―――?変態夫と、乱暴な執着同僚に攻めたてられ、連続絶頂がとまらない!")</f>
        <v>大好きな夫・聖と結婚して、初夜を迎えた美鈴。ハネムーンでの初夜を密かに楽しみにしていたのに、なぜか夫は手を出してくれなくて…。欲求不満の美鈴は、過去の出来事を夢に見てしまう。同僚・葛城に会社で、飲み会で乱暴に胸を吸われ、敏感なアソコを弄ばれたこと―――。イヤな記憶なのに、夢の中なのに、カラダが熱い。どうして―――?変態夫と、乱暴な執着同僚に攻めたてられ、連続絶頂がとまらない!</v>
      </c>
      <c r="W2936" s="14"/>
      <c r="X2936" s="14" t="str">
        <f>IFERROR(__xludf.DUMMYFUNCTION("""COMPUTED_VALUE"""),"有")</f>
        <v>有</v>
      </c>
      <c r="Y2936" s="8" t="str">
        <f>IFERROR(__xludf.DUMMYFUNCTION("""COMPUTED_VALUE"""),"2025/4/15まで1巻無料")</f>
        <v>2025/4/15まで1巻無料</v>
      </c>
      <c r="Z2936" s="7"/>
      <c r="AA2936" s="7"/>
      <c r="AB2936" s="7"/>
    </row>
    <row r="2937" ht="15.75" customHeight="1">
      <c r="A2937" s="153">
        <f>IFERROR(__xludf.DUMMYFUNCTION("""COMPUTED_VALUE"""),5038.0)</f>
        <v>5038</v>
      </c>
      <c r="B2937" s="152" t="str">
        <f>IFERROR(__xludf.DUMMYFUNCTION("""COMPUTED_VALUE"""),"確定")</f>
        <v>確定</v>
      </c>
      <c r="C2937" s="154">
        <f>IFERROR(__xludf.DUMMYFUNCTION("""COMPUTED_VALUE"""),45702.0)</f>
        <v>45702</v>
      </c>
      <c r="D2937" s="154">
        <f>IFERROR(__xludf.DUMMYFUNCTION("""COMPUTED_VALUE"""),45719.0)</f>
        <v>45719</v>
      </c>
      <c r="E2937" s="158">
        <f>IFERROR(__xludf.DUMMYFUNCTION("""COMPUTED_VALUE"""),316003.0)</f>
        <v>316003</v>
      </c>
      <c r="F2937" s="159" t="str">
        <f>IFERROR(__xludf.DUMMYFUNCTION("""COMPUTED_VALUE"""),"社畜おじさん触手を買う【電子限定ノーカット版】")</f>
        <v>社畜おじさん触手を買う【電子限定ノーカット版】</v>
      </c>
      <c r="G2937" s="153">
        <f>IFERROR(__xludf.DUMMYFUNCTION("""COMPUTED_VALUE"""),1.0)</f>
        <v>1</v>
      </c>
      <c r="H2937" s="152" t="str">
        <f>IFERROR(__xludf.DUMMYFUNCTION("""COMPUTED_VALUE"""),"五梅えるこ")</f>
        <v>五梅えるこ</v>
      </c>
      <c r="I2937" s="152" t="str">
        <f>IFERROR(__xludf.DUMMYFUNCTION("""COMPUTED_VALUE"""),"BL")</f>
        <v>BL</v>
      </c>
      <c r="J2937" s="157"/>
      <c r="K2937" s="152" t="str">
        <f>IFERROR(__xludf.DUMMYFUNCTION("""COMPUTED_VALUE"""),"コミックマージナル")</f>
        <v>コミックマージナル</v>
      </c>
      <c r="L2937" s="152" t="str">
        <f>IFERROR(__xludf.DUMMYFUNCTION("""COMPUTED_VALUE"""),"双葉社")</f>
        <v>双葉社</v>
      </c>
      <c r="M2937" s="59">
        <f>IFERROR(__xludf.DUMMYFUNCTION("""COMPUTED_VALUE"""),45726.0)</f>
        <v>45726</v>
      </c>
      <c r="N2937" s="59">
        <f>IFERROR(__xludf.DUMMYFUNCTION("""COMPUTED_VALUE"""),45817.0)</f>
        <v>45817</v>
      </c>
      <c r="O2937" s="152"/>
      <c r="P2937" s="190" t="str">
        <f>IFERROR(__xludf.DUMMYFUNCTION("""COMPUTED_VALUE"""),"可")</f>
        <v>可</v>
      </c>
      <c r="Q2937" s="152"/>
      <c r="R2937" s="152" t="str">
        <f>IFERROR(__xludf.DUMMYFUNCTION("""COMPUTED_VALUE"""),"コミットOK")</f>
        <v>コミットOK</v>
      </c>
      <c r="S2937" s="152" t="str">
        <f>IFERROR(__xludf.DUMMYFUNCTION("""COMPUTED_VALUE"""),"20250303_双葉社_社畜おじさん触手を買う【電子限定ノーカット版】")</f>
        <v>20250303_双葉社_社畜おじさん触手を買う【電子限定ノーカット版】</v>
      </c>
      <c r="T2937" s="152" t="str">
        <f>IFERROR(__xludf.DUMMYFUNCTION("""COMPUTED_VALUE"""),"格納済み")</f>
        <v>格納済み</v>
      </c>
      <c r="U2937" s="15" t="str">
        <f>IFERROR(__xludf.DUMMYFUNCTION("""COMPUTED_VALUE"""),"五梅えるこ／双葉社")</f>
        <v>五梅えるこ／双葉社</v>
      </c>
      <c r="V2937" s="8" t="str">
        <f>IFERROR(__xludf.DUMMYFUNCTION("""COMPUTED_VALUE"""),"＜話題沸騰の人外BL、待望の書籍化!!＞会社員の田丸理史(だまることし)は、仕事に忙殺される日々に癒しを求め、「宇宙植物」を買った。届いた宇宙植物を開封して、そのまま寝落ちしてしまったのだが、目覚めると、田丸の身体に触手が巻き付いていた！体中をまさぐる触手に気持ちよくなり、意識が遠のいていって―――!!?【養分を求める触手×平凡社畜おじさん】著者同人誌「社畜おじさん触手を買う」「元社畜おじさんと触手」のノーカット版本編に加え、描き下ろし漫画を40ページ以上収録！")</f>
        <v>＜話題沸騰の人外BL、待望の書籍化!!＞会社員の田丸理史(だまることし)は、仕事に忙殺される日々に癒しを求め、「宇宙植物」を買った。届いた宇宙植物を開封して、そのまま寝落ちしてしまったのだが、目覚めると、田丸の身体に触手が巻き付いていた！体中をまさぐる触手に気持ちよくなり、意識が遠のいていって―――!!?【養分を求める触手×平凡社畜おじさん】著者同人誌「社畜おじさん触手を買う」「元社畜おじさんと触手」のノーカット版本編に加え、描き下ろし漫画を40ページ以上収録！</v>
      </c>
      <c r="W2937" s="14"/>
      <c r="X2937" s="14" t="str">
        <f>IFERROR(__xludf.DUMMYFUNCTION("""COMPUTED_VALUE"""),"有")</f>
        <v>有</v>
      </c>
      <c r="Y2937" s="8" t="str">
        <f>IFERROR(__xludf.DUMMYFUNCTION("""COMPUTED_VALUE"""),"P11まで")</f>
        <v>P11まで</v>
      </c>
      <c r="Z2937" s="7"/>
      <c r="AA2937" s="7"/>
      <c r="AB2937" s="7"/>
    </row>
    <row r="2938" ht="15.75" customHeight="1">
      <c r="A2938" s="153">
        <f>IFERROR(__xludf.DUMMYFUNCTION("""COMPUTED_VALUE"""),5071.0)</f>
        <v>5071</v>
      </c>
      <c r="B2938" s="152" t="str">
        <f>IFERROR(__xludf.DUMMYFUNCTION("""COMPUTED_VALUE"""),"確定")</f>
        <v>確定</v>
      </c>
      <c r="C2938" s="154">
        <f>IFERROR(__xludf.DUMMYFUNCTION("""COMPUTED_VALUE"""),45708.0)</f>
        <v>45708</v>
      </c>
      <c r="D2938" s="154">
        <f>IFERROR(__xludf.DUMMYFUNCTION("""COMPUTED_VALUE"""),45715.0)</f>
        <v>45715</v>
      </c>
      <c r="E2938" s="158">
        <f>IFERROR(__xludf.DUMMYFUNCTION("""COMPUTED_VALUE"""),318660.0)</f>
        <v>318660</v>
      </c>
      <c r="F2938" s="159" t="str">
        <f>IFERROR(__xludf.DUMMYFUNCTION("""COMPUTED_VALUE"""),"もう全部俺一人でいいんじゃないか？ ～人々にギフトを与える能力に目覚めた俺は、仲間を集めて魔王を倒すのが使命らしいけど、そんなことはどうでもいいので裏切った奴等に復讐していく～【単話】")</f>
        <v>もう全部俺一人でいいんじゃないか？ ～人々にギフトを与える能力に目覚めた俺は、仲間を集めて魔王を倒すのが使命らしいけど、そんなことはどうでもいいので裏切った奴等に復讐していく～【単話】</v>
      </c>
      <c r="G2938" s="152" t="str">
        <f>IFERROR(__xludf.DUMMYFUNCTION("""COMPUTED_VALUE"""),"1～5")</f>
        <v>1～5</v>
      </c>
      <c r="H2938" s="161" t="str">
        <f>IFERROR(__xludf.DUMMYFUNCTION("""COMPUTED_VALUE"""),"本田むいむい 御堂ユラギ 屡那")</f>
        <v>本田むいむい 御堂ユラギ 屡那</v>
      </c>
      <c r="I2938" s="152" t="str">
        <f>IFERROR(__xludf.DUMMYFUNCTION("""COMPUTED_VALUE"""),"青年")</f>
        <v>青年</v>
      </c>
      <c r="J2938" s="157"/>
      <c r="K2938" s="152" t="str">
        <f>IFERROR(__xludf.DUMMYFUNCTION("""COMPUTED_VALUE"""),"コミックヴァルキリー")</f>
        <v>コミックヴァルキリー</v>
      </c>
      <c r="L2938" s="152" t="str">
        <f>IFERROR(__xludf.DUMMYFUNCTION("""COMPUTED_VALUE"""),"キルタイムコミュニケーション")</f>
        <v>キルタイムコミュニケーション</v>
      </c>
      <c r="M2938" s="28">
        <f>IFERROR(__xludf.DUMMYFUNCTION("""COMPUTED_VALUE"""),45737.0)</f>
        <v>45737</v>
      </c>
      <c r="N2938" s="59">
        <f>IFERROR(__xludf.DUMMYFUNCTION("""COMPUTED_VALUE"""),45828.0)</f>
        <v>45828</v>
      </c>
      <c r="O2938" s="152"/>
      <c r="P2938" s="164" t="str">
        <f>IFERROR(__xludf.DUMMYFUNCTION("""COMPUTED_VALUE"""),"可")</f>
        <v>可</v>
      </c>
      <c r="Q2938" s="166"/>
      <c r="R2938" s="152"/>
      <c r="S2938" s="152" t="str">
        <f>IFERROR(__xludf.DUMMYFUNCTION("""COMPUTED_VALUE"""),"20250225_キルタイムコミュニケーション_もう全部俺一人でいいんじゃないか")</f>
        <v>20250225_キルタイムコミュニケーション_もう全部俺一人でいいんじゃないか</v>
      </c>
      <c r="T2938" s="152" t="str">
        <f>IFERROR(__xludf.DUMMYFUNCTION("""COMPUTED_VALUE"""),"格納済み")</f>
        <v>格納済み</v>
      </c>
      <c r="U2938" s="15" t="str">
        <f>IFERROR(__xludf.DUMMYFUNCTION("""COMPUTED_VALUE"""),"Ⓒ本田むいむい・御堂ユラギ／キルタイムコミュニケーション")</f>
        <v>Ⓒ本田むいむい・御堂ユラギ／キルタイムコミュニケーション</v>
      </c>
      <c r="V2938" s="8" t="str">
        <f>IFERROR(__xludf.DUMMYFUNCTION("""COMPUTED_VALUE"""),"類い希なる力「ギフト」が全てを支配する世界で、
使い方すらわからないギフト『聖杯』しか
与えられなかった少年クレイス。
それでも腐ることなく『剣聖』のギフトを持つ
幼馴染みのヒノカとパーティーを組み
ギルドの任務にあたっていたが、
些細なすれ違いと裏切りによって心身が崩壊してしまう。
しかし、それと同時にクレイスのギフトは真価を表す。
『聖杯』はこの世のあらゆるギフトを
自他に付与出来る最高峰の力であった。
何もかもを失ったあとで、
何もかもを手に入れた彼が選ぶのは
"&amp;"
世界の終わりか、それとも──")</f>
        <v>類い希なる力「ギフト」が全てを支配する世界で、
使い方すらわからないギフト『聖杯』しか
与えられなかった少年クレイス。
それでも腐ることなく『剣聖』のギフトを持つ
幼馴染みのヒノカとパーティーを組み
ギルドの任務にあたっていたが、
些細なすれ違いと裏切りによって心身が崩壊してしまう。
しかし、それと同時にクレイスのギフトは真価を表す。
『聖杯』はこの世のあらゆるギフトを
自他に付与出来る最高峰の力であった。
何もかもを失ったあとで、
何もかもを手に入れた彼が選ぶのは
世界の終わりか、それとも──</v>
      </c>
      <c r="W2938" s="14"/>
      <c r="X2938" s="14" t="str">
        <f>IFERROR(__xludf.DUMMYFUNCTION("""COMPUTED_VALUE"""),"有")</f>
        <v>有</v>
      </c>
      <c r="Y2938" s="8" t="str">
        <f>IFERROR(__xludf.DUMMYFUNCTION("""COMPUTED_VALUE"""),"2025/4/3まで1巻無料")</f>
        <v>2025/4/3まで1巻無料</v>
      </c>
      <c r="Z2938" s="7"/>
      <c r="AA2938" s="7"/>
      <c r="AB2938" s="7"/>
    </row>
    <row r="2939" ht="15.75" customHeight="1">
      <c r="A2939" s="153">
        <f>IFERROR(__xludf.DUMMYFUNCTION("""COMPUTED_VALUE"""),5076.0)</f>
        <v>5076</v>
      </c>
      <c r="B2939" s="152" t="str">
        <f>IFERROR(__xludf.DUMMYFUNCTION("""COMPUTED_VALUE"""),"確定")</f>
        <v>確定</v>
      </c>
      <c r="C2939" s="154">
        <f>IFERROR(__xludf.DUMMYFUNCTION("""COMPUTED_VALUE"""),45709.0)</f>
        <v>45709</v>
      </c>
      <c r="D2939" s="154">
        <f>IFERROR(__xludf.DUMMYFUNCTION("""COMPUTED_VALUE"""),45720.0)</f>
        <v>45720</v>
      </c>
      <c r="E2939" s="158">
        <f>IFERROR(__xludf.DUMMYFUNCTION("""COMPUTED_VALUE"""),319936.0)</f>
        <v>319936</v>
      </c>
      <c r="F2939" s="159" t="str">
        <f>IFERROR(__xludf.DUMMYFUNCTION("""COMPUTED_VALUE"""),"陽くんは初恋をこじらせている")</f>
        <v>陽くんは初恋をこじらせている</v>
      </c>
      <c r="G2939" s="152" t="str">
        <f>IFERROR(__xludf.DUMMYFUNCTION("""COMPUTED_VALUE"""),"1～3")</f>
        <v>1～3</v>
      </c>
      <c r="H2939" s="152" t="str">
        <f>IFERROR(__xludf.DUMMYFUNCTION("""COMPUTED_VALUE"""),"如月ゆず┴梨桜")</f>
        <v>如月ゆず┴梨桜</v>
      </c>
      <c r="I2939" s="152" t="str">
        <f>IFERROR(__xludf.DUMMYFUNCTION("""COMPUTED_VALUE"""),"女性")</f>
        <v>女性</v>
      </c>
      <c r="J2939" s="157"/>
      <c r="K2939" s="152" t="str">
        <f>IFERROR(__xludf.DUMMYFUNCTION("""COMPUTED_VALUE"""),"Puffs")</f>
        <v>Puffs</v>
      </c>
      <c r="L2939" s="152" t="str">
        <f>IFERROR(__xludf.DUMMYFUNCTION("""COMPUTED_VALUE"""),"MUGENUP")</f>
        <v>MUGENUP</v>
      </c>
      <c r="M2939" s="28">
        <f>IFERROR(__xludf.DUMMYFUNCTION("""COMPUTED_VALUE"""),45749.0)</f>
        <v>45749</v>
      </c>
      <c r="N2939" s="59">
        <f>IFERROR(__xludf.DUMMYFUNCTION("""COMPUTED_VALUE"""),45839.0)</f>
        <v>45839</v>
      </c>
      <c r="O2939" s="152"/>
      <c r="P2939" s="152" t="str">
        <f>IFERROR(__xludf.DUMMYFUNCTION("""COMPUTED_VALUE"""),"可")</f>
        <v>可</v>
      </c>
      <c r="Q2939" s="152" t="str">
        <f>IFERROR(__xludf.DUMMYFUNCTION("""COMPUTED_VALUE"""),"今年ノベルも刊行予定のコミカライズ作品、漫画家名は仮のため変更になる可能性がございます")</f>
        <v>今年ノベルも刊行予定のコミカライズ作品、漫画家名は仮のため変更になる可能性がございます</v>
      </c>
      <c r="R2939" s="152" t="str">
        <f>IFERROR(__xludf.DUMMYFUNCTION("""COMPUTED_VALUE"""),"コミットOK")</f>
        <v>コミットOK</v>
      </c>
      <c r="S2939" s="152" t="str">
        <f>IFERROR(__xludf.DUMMYFUNCTION("""COMPUTED_VALUE"""),"20250303_MUGENUP_陽くんは初恋をこじらせている")</f>
        <v>20250303_MUGENUP_陽くんは初恋をこじらせている</v>
      </c>
      <c r="T2939" s="152" t="str">
        <f>IFERROR(__xludf.DUMMYFUNCTION("""COMPUTED_VALUE"""),"格納済み")</f>
        <v>格納済み</v>
      </c>
      <c r="U2939" s="15" t="str">
        <f>IFERROR(__xludf.DUMMYFUNCTION("""COMPUTED_VALUE"""),"Ⓒ如月ゆず・梨桜／MUGENUP")</f>
        <v>Ⓒ如月ゆず・梨桜／MUGENUP</v>
      </c>
      <c r="V2939" s="8" t="str">
        <f>IFERROR(__xludf.DUMMYFUNCTION("""COMPUTED_VALUE"""),"初恋は叶わない──はずなのに！？
下着ブランドでデザイナーをしている主人公・旭は、ある日突然幼い頃突然消息を絶った初恋の人・陽くんと再会する。
モデルとしてしばらく一緒に仕事をすることになっただけでなく、隣の部屋に引っ越してきた陽くん。
さらに仕事の用事にかこつけて陽くんからデートに誘われて…！？
訳アリ幼馴染モデルとの数年越しの初恋ラブストーリー！
原作:如月ゆず先生
作画:梨桜先生")</f>
        <v>初恋は叶わない──はずなのに！？
下着ブランドでデザイナーをしている主人公・旭は、ある日突然幼い頃突然消息を絶った初恋の人・陽くんと再会する。
モデルとしてしばらく一緒に仕事をすることになっただけでなく、隣の部屋に引っ越してきた陽くん。
さらに仕事の用事にかこつけて陽くんからデートに誘われて…！？
訳アリ幼馴染モデルとの数年越しの初恋ラブストーリー！
原作:如月ゆず先生
作画:梨桜先生</v>
      </c>
      <c r="W2939" s="14"/>
      <c r="X2939" s="14" t="str">
        <f>IFERROR(__xludf.DUMMYFUNCTION("""COMPUTED_VALUE"""),"有")</f>
        <v>有</v>
      </c>
      <c r="Y2939" s="8" t="str">
        <f>IFERROR(__xludf.DUMMYFUNCTION("""COMPUTED_VALUE"""),"2025/4/15まで1巻無料")</f>
        <v>2025/4/15まで1巻無料</v>
      </c>
      <c r="Z2939" s="7"/>
      <c r="AA2939" s="7"/>
      <c r="AB2939" s="7"/>
    </row>
    <row r="2940" ht="15.75" customHeight="1">
      <c r="A2940" s="153">
        <f>IFERROR(__xludf.DUMMYFUNCTION("""COMPUTED_VALUE"""),5084.0)</f>
        <v>5084</v>
      </c>
      <c r="B2940" s="152" t="str">
        <f>IFERROR(__xludf.DUMMYFUNCTION("""COMPUTED_VALUE"""),"確定")</f>
        <v>確定</v>
      </c>
      <c r="C2940" s="154">
        <f>IFERROR(__xludf.DUMMYFUNCTION("""COMPUTED_VALUE"""),45713.0)</f>
        <v>45713</v>
      </c>
      <c r="D2940" s="154">
        <f>IFERROR(__xludf.DUMMYFUNCTION("""COMPUTED_VALUE"""),45719.0)</f>
        <v>45719</v>
      </c>
      <c r="E2940" s="158">
        <f>IFERROR(__xludf.DUMMYFUNCTION("""COMPUTED_VALUE"""),318745.0)</f>
        <v>318745</v>
      </c>
      <c r="F2940" s="159" t="str">
        <f>IFERROR(__xludf.DUMMYFUNCTION("""COMPUTED_VALUE"""),"201号室の劣情")</f>
        <v>201号室の劣情</v>
      </c>
      <c r="G2940" s="152" t="str">
        <f>IFERROR(__xludf.DUMMYFUNCTION("""COMPUTED_VALUE"""),"1～3")</f>
        <v>1～3</v>
      </c>
      <c r="H2940" s="152" t="str">
        <f>IFERROR(__xludf.DUMMYFUNCTION("""COMPUTED_VALUE"""),"しだれ彩┴穴乱")</f>
        <v>しだれ彩┴穴乱</v>
      </c>
      <c r="I2940" s="164" t="str">
        <f>IFERROR(__xludf.DUMMYFUNCTION("""COMPUTED_VALUE"""),"アダルトマンガ")</f>
        <v>アダルトマンガ</v>
      </c>
      <c r="J2940" s="166"/>
      <c r="K2940" s="157"/>
      <c r="L2940" s="152" t="str">
        <f>IFERROR(__xludf.DUMMYFUNCTION("""COMPUTED_VALUE"""),"KATTS")</f>
        <v>KATTS</v>
      </c>
      <c r="M2940" s="28">
        <f>IFERROR(__xludf.DUMMYFUNCTION("""COMPUTED_VALUE"""),45751.0)</f>
        <v>45751</v>
      </c>
      <c r="N2940" s="59">
        <f>IFERROR(__xludf.DUMMYFUNCTION("""COMPUTED_VALUE"""),45813.0)</f>
        <v>45813</v>
      </c>
      <c r="O2940" s="152"/>
      <c r="P2940" s="152" t="str">
        <f>IFERROR(__xludf.DUMMYFUNCTION("""COMPUTED_VALUE"""),"可")</f>
        <v>可</v>
      </c>
      <c r="Q2940" s="152" t="str">
        <f>IFERROR(__xludf.DUMMYFUNCTION("""COMPUTED_VALUE"""),"Bookliveからの2次先行作品です")</f>
        <v>Bookliveからの2次先行作品です</v>
      </c>
      <c r="R2940" s="152" t="str">
        <f>IFERROR(__xludf.DUMMYFUNCTION("""COMPUTED_VALUE"""),"コミットOK")</f>
        <v>コミットOK</v>
      </c>
      <c r="S2940" s="152" t="str">
        <f>IFERROR(__xludf.DUMMYFUNCTION("""COMPUTED_VALUE"""),"20250225_Booklive_201号室の劣情")</f>
        <v>20250225_Booklive_201号室の劣情</v>
      </c>
      <c r="T2940" s="152" t="str">
        <f>IFERROR(__xludf.DUMMYFUNCTION("""COMPUTED_VALUE"""),"格納済み")</f>
        <v>格納済み</v>
      </c>
      <c r="U2940" s="15" t="str">
        <f>IFERROR(__xludf.DUMMYFUNCTION("""COMPUTED_VALUE"""),"ⒸKATTS")</f>
        <v>ⒸKATTS</v>
      </c>
      <c r="V2940" s="8" t="str">
        <f>IFERROR(__xludf.DUMMYFUNCTION("""COMPUTED_VALUE"""),"夜凪綴に訪れた新生活初の試練…それは隣人への挨拶！インターホンを押して出てきたのはダウナー系のお姉さんだった。彼女・神楽木梓音は酒好きで巨乳…そして官能小説家でエロかった…。")</f>
        <v>夜凪綴に訪れた新生活初の試練…それは隣人への挨拶！インターホンを押して出てきたのはダウナー系のお姉さんだった。彼女・神楽木梓音は酒好きで巨乳…そして官能小説家でエロかった…。</v>
      </c>
      <c r="W2940" s="14"/>
      <c r="X2940" s="14" t="str">
        <f>IFERROR(__xludf.DUMMYFUNCTION("""COMPUTED_VALUE"""),"有")</f>
        <v>有</v>
      </c>
      <c r="Y2940" s="8" t="str">
        <f>IFERROR(__xludf.DUMMYFUNCTION("""COMPUTED_VALUE"""),"2025/6/5まで1巻無料")</f>
        <v>2025/6/5まで1巻無料</v>
      </c>
      <c r="Z2940" s="7"/>
      <c r="AA2940" s="7"/>
      <c r="AB2940" s="7"/>
    </row>
    <row r="2941" ht="15.75" customHeight="1">
      <c r="A2941" s="153">
        <f>IFERROR(__xludf.DUMMYFUNCTION("""COMPUTED_VALUE"""),5096.0)</f>
        <v>5096</v>
      </c>
      <c r="B2941" s="152" t="str">
        <f>IFERROR(__xludf.DUMMYFUNCTION("""COMPUTED_VALUE"""),"確定")</f>
        <v>確定</v>
      </c>
      <c r="C2941" s="154">
        <f>IFERROR(__xludf.DUMMYFUNCTION("""COMPUTED_VALUE"""),45713.0)</f>
        <v>45713</v>
      </c>
      <c r="D2941" s="154">
        <f>IFERROR(__xludf.DUMMYFUNCTION("""COMPUTED_VALUE"""),45719.0)</f>
        <v>45719</v>
      </c>
      <c r="E2941" s="158">
        <f>IFERROR(__xludf.DUMMYFUNCTION("""COMPUTED_VALUE"""),320158.0)</f>
        <v>320158</v>
      </c>
      <c r="F2941" s="159" t="str">
        <f>IFERROR(__xludf.DUMMYFUNCTION("""COMPUTED_VALUE"""),"婚約者は吸血鬼～冷血侯爵とひみつの結婚～")</f>
        <v>婚約者は吸血鬼～冷血侯爵とひみつの結婚～</v>
      </c>
      <c r="G2941" s="152" t="str">
        <f>IFERROR(__xludf.DUMMYFUNCTION("""COMPUTED_VALUE"""),"1～10")</f>
        <v>1～10</v>
      </c>
      <c r="H2941" s="152" t="str">
        <f>IFERROR(__xludf.DUMMYFUNCTION("""COMPUTED_VALUE"""),"瑠夏子┴エトワール編集部")</f>
        <v>瑠夏子┴エトワール編集部</v>
      </c>
      <c r="I2941" s="152" t="str">
        <f>IFERROR(__xludf.DUMMYFUNCTION("""COMPUTED_VALUE"""),"女性")</f>
        <v>女性</v>
      </c>
      <c r="J2941" s="157"/>
      <c r="K2941" s="157"/>
      <c r="L2941" s="152" t="str">
        <f>IFERROR(__xludf.DUMMYFUNCTION("""COMPUTED_VALUE"""),"ライブコミックス")</f>
        <v>ライブコミックス</v>
      </c>
      <c r="M2941" s="28">
        <f>IFERROR(__xludf.DUMMYFUNCTION("""COMPUTED_VALUE"""),45772.0)</f>
        <v>45772</v>
      </c>
      <c r="N2941" s="28">
        <f>IFERROR(__xludf.DUMMYFUNCTION("""COMPUTED_VALUE"""),45862.0)</f>
        <v>45862</v>
      </c>
      <c r="O2941" s="152"/>
      <c r="P2941" s="152" t="str">
        <f>IFERROR(__xludf.DUMMYFUNCTION("""COMPUTED_VALUE"""),"可")</f>
        <v>可</v>
      </c>
      <c r="Q2941" s="152" t="str">
        <f>IFERROR(__xludf.DUMMYFUNCTION("""COMPUTED_VALUE"""),"Bookliveからの2次先行&lt;BR&gt;1～8巻目までの内容にてご検討＆ご制作お願いします。")</f>
        <v>Bookliveからの2次先行&lt;BR&gt;1～8巻目までの内容にてご検討＆ご制作お願いします。</v>
      </c>
      <c r="R2941" s="152" t="str">
        <f>IFERROR(__xludf.DUMMYFUNCTION("""COMPUTED_VALUE"""),"コミットOK")</f>
        <v>コミットOK</v>
      </c>
      <c r="S2941" s="152" t="str">
        <f>IFERROR(__xludf.DUMMYFUNCTION("""COMPUTED_VALUE"""),"20250225_Booklive_婚約者は吸血鬼～冷血侯爵とひみつの結婚～")</f>
        <v>20250225_Booklive_婚約者は吸血鬼～冷血侯爵とひみつの結婚～</v>
      </c>
      <c r="T2941" s="152" t="str">
        <f>IFERROR(__xludf.DUMMYFUNCTION("""COMPUTED_VALUE"""),"格納済み")</f>
        <v>格納済み</v>
      </c>
      <c r="U2941" s="15" t="str">
        <f>IFERROR(__xludf.DUMMYFUNCTION("""COMPUTED_VALUE"""),"Ⓒ瑠夏子/ライブコミックス")</f>
        <v>Ⓒ瑠夏子/ライブコミックス</v>
      </c>
      <c r="V2941" s="8" t="str">
        <f>IFERROR(__xludf.DUMMYFUNCTION("""COMPUTED_VALUE"""),"「お前は婚約者じゃない、俺の食事だ」貧乏令嬢のアズは、領地繁栄のため婚約者探しに奮闘する日々。そんなとき、名門貴族ベルローズ家からの求婚が…！ 意気込むアズを迎え入れたのは、冷たい目をした当主のユリウス・ベルローズ。しかし彼の正体は――まさかの吸血鬼！？ 俺様吸血鬼×ポジティブ令嬢、血で結ばれた2人の異種間ラブファンタジー。")</f>
        <v>「お前は婚約者じゃない、俺の食事だ」貧乏令嬢のアズは、領地繁栄のため婚約者探しに奮闘する日々。そんなとき、名門貴族ベルローズ家からの求婚が…！ 意気込むアズを迎え入れたのは、冷たい目をした当主のユリウス・ベルローズ。しかし彼の正体は――まさかの吸血鬼！？ 俺様吸血鬼×ポジティブ令嬢、血で結ばれた2人の異種間ラブファンタジー。</v>
      </c>
      <c r="W2941" s="14"/>
      <c r="X2941" s="14" t="str">
        <f>IFERROR(__xludf.DUMMYFUNCTION("""COMPUTED_VALUE"""),"有")</f>
        <v>有</v>
      </c>
      <c r="Y2941" s="8" t="str">
        <f>IFERROR(__xludf.DUMMYFUNCTION("""COMPUTED_VALUE"""),"2025/5/22まで1~2巻無料")</f>
        <v>2025/5/22まで1~2巻無料</v>
      </c>
      <c r="Z2941" s="7"/>
      <c r="AA2941" s="7"/>
      <c r="AB2941" s="7"/>
    </row>
    <row r="2942" ht="15.75" customHeight="1">
      <c r="A2942" s="153">
        <f>IFERROR(__xludf.DUMMYFUNCTION("""COMPUTED_VALUE"""),5097.0)</f>
        <v>5097</v>
      </c>
      <c r="B2942" s="152" t="str">
        <f>IFERROR(__xludf.DUMMYFUNCTION("""COMPUTED_VALUE"""),"確定")</f>
        <v>確定</v>
      </c>
      <c r="C2942" s="154">
        <f>IFERROR(__xludf.DUMMYFUNCTION("""COMPUTED_VALUE"""),45713.0)</f>
        <v>45713</v>
      </c>
      <c r="D2942" s="154">
        <f>IFERROR(__xludf.DUMMYFUNCTION("""COMPUTED_VALUE"""),45720.0)</f>
        <v>45720</v>
      </c>
      <c r="E2942" s="158">
        <f>IFERROR(__xludf.DUMMYFUNCTION("""COMPUTED_VALUE"""),320157.0)</f>
        <v>320157</v>
      </c>
      <c r="F2942" s="159" t="str">
        <f>IFERROR(__xludf.DUMMYFUNCTION("""COMPUTED_VALUE"""),"１年後のウェディングドレス")</f>
        <v>１年後のウェディングドレス</v>
      </c>
      <c r="G2942" s="152" t="str">
        <f>IFERROR(__xludf.DUMMYFUNCTION("""COMPUTED_VALUE"""),"1～6")</f>
        <v>1～6</v>
      </c>
      <c r="H2942" s="152" t="str">
        <f>IFERROR(__xludf.DUMMYFUNCTION("""COMPUTED_VALUE"""),"田中美久┴椎葉きのこ┴エトワール編集部")</f>
        <v>田中美久┴椎葉きのこ┴エトワール編集部</v>
      </c>
      <c r="I2942" s="152" t="str">
        <f>IFERROR(__xludf.DUMMYFUNCTION("""COMPUTED_VALUE"""),"女性")</f>
        <v>女性</v>
      </c>
      <c r="J2942" s="157"/>
      <c r="K2942" s="157"/>
      <c r="L2942" s="152" t="str">
        <f>IFERROR(__xludf.DUMMYFUNCTION("""COMPUTED_VALUE"""),"ライブコミックス")</f>
        <v>ライブコミックス</v>
      </c>
      <c r="M2942" s="28">
        <f>IFERROR(__xludf.DUMMYFUNCTION("""COMPUTED_VALUE"""),45772.0)</f>
        <v>45772</v>
      </c>
      <c r="N2942" s="28">
        <f>IFERROR(__xludf.DUMMYFUNCTION("""COMPUTED_VALUE"""),45834.0)</f>
        <v>45834</v>
      </c>
      <c r="O2942" s="152"/>
      <c r="P2942" s="152" t="str">
        <f>IFERROR(__xludf.DUMMYFUNCTION("""COMPUTED_VALUE"""),"可")</f>
        <v>可</v>
      </c>
      <c r="Q2942" s="152" t="str">
        <f>IFERROR(__xludf.DUMMYFUNCTION("""COMPUTED_VALUE"""),"Bookliveからの2次先行&lt;BR&gt;次回予告のページが下書きのような状態ですがこちらで問題ございません")</f>
        <v>Bookliveからの2次先行&lt;BR&gt;次回予告のページが下書きのような状態ですがこちらで問題ございません</v>
      </c>
      <c r="R2942" s="152" t="str">
        <f>IFERROR(__xludf.DUMMYFUNCTION("""COMPUTED_VALUE"""),"コミットOK")</f>
        <v>コミットOK</v>
      </c>
      <c r="S2942" s="152" t="str">
        <f>IFERROR(__xludf.DUMMYFUNCTION("""COMPUTED_VALUE"""),"20250225_Booklive_１年後のウェディングドレス")</f>
        <v>20250225_Booklive_１年後のウェディングドレス</v>
      </c>
      <c r="T2942" s="152" t="str">
        <f>IFERROR(__xludf.DUMMYFUNCTION("""COMPUTED_VALUE"""),"格納済み")</f>
        <v>格納済み</v>
      </c>
      <c r="U2942" s="15" t="str">
        <f>IFERROR(__xludf.DUMMYFUNCTION("""COMPUTED_VALUE"""),"Ⓒ田中美久・椎葉きのこ/ライブコミックス")</f>
        <v>Ⓒ田中美久・椎葉きのこ/ライブコミックス</v>
      </c>
      <c r="V2942" s="8" t="str">
        <f>IFERROR(__xludf.DUMMYFUNCTION("""COMPUTED_VALUE"""),"「愛さえあれば、なんでも乗り越えられると思ってた」売れないお笑い芸人の彼氏・健（たける）と同棲中のあいは、「30歳までには結婚する」という約束を心の支えに、献身的に彼の夢を応援している。下積み中の健のために""ギャラ飲み""までして支えているにもかかわらず、健は毎日遊んでばかりでお金にもだらしない。30歳を目前に、そんな不安定な生活に嫌気がさし始めていた矢先、あいはIT企業の社長・慎（しん）と出会う。お金持ちで紳士的な慎との出会いによって、あいの運命が大きく変わり始め――。テレビ朝日の漫画バラエティ番組「"&amp;"バズマンTV」発！女優・田中美久と漫画家・椎葉きのこがタッグを組んで贈る、結婚したいアラサー女子が《愛》と《お金》の間で揺れるトライアングルラブ！")</f>
        <v>「愛さえあれば、なんでも乗り越えられると思ってた」売れないお笑い芸人の彼氏・健（たける）と同棲中のあいは、「30歳までには結婚する」という約束を心の支えに、献身的に彼の夢を応援している。下積み中の健のために"ギャラ飲み"までして支えているにもかかわらず、健は毎日遊んでばかりでお金にもだらしない。30歳を目前に、そんな不安定な生活に嫌気がさし始めていた矢先、あいはIT企業の社長・慎（しん）と出会う。お金持ちで紳士的な慎との出会いによって、あいの運命が大きく変わり始め――。テレビ朝日の漫画バラエティ番組「バズマンTV」発！女優・田中美久と漫画家・椎葉きのこがタッグを組んで贈る、結婚したいアラサー女子が《愛》と《お金》の間で揺れるトライアングルラブ！</v>
      </c>
      <c r="W2942" s="14"/>
      <c r="X2942" s="14" t="str">
        <f>IFERROR(__xludf.DUMMYFUNCTION("""COMPUTED_VALUE"""),"有")</f>
        <v>有</v>
      </c>
      <c r="Y2942" s="8" t="str">
        <f>IFERROR(__xludf.DUMMYFUNCTION("""COMPUTED_VALUE"""),"2025/6/26まで1巻無料")</f>
        <v>2025/6/26まで1巻無料</v>
      </c>
      <c r="Z2942" s="7"/>
      <c r="AA2942" s="7"/>
      <c r="AB2942" s="7"/>
    </row>
    <row r="2943" ht="15.75" customHeight="1">
      <c r="A2943" s="153">
        <f>IFERROR(__xludf.DUMMYFUNCTION("""COMPUTED_VALUE"""),5098.0)</f>
        <v>5098</v>
      </c>
      <c r="B2943" s="152" t="str">
        <f>IFERROR(__xludf.DUMMYFUNCTION("""COMPUTED_VALUE"""),"確定")</f>
        <v>確定</v>
      </c>
      <c r="C2943" s="154">
        <f>IFERROR(__xludf.DUMMYFUNCTION("""COMPUTED_VALUE"""),45713.0)</f>
        <v>45713</v>
      </c>
      <c r="D2943" s="154">
        <f>IFERROR(__xludf.DUMMYFUNCTION("""COMPUTED_VALUE"""),45719.0)</f>
        <v>45719</v>
      </c>
      <c r="E2943" s="158">
        <f>IFERROR(__xludf.DUMMYFUNCTION("""COMPUTED_VALUE"""),320161.0)</f>
        <v>320161</v>
      </c>
      <c r="F2943" s="159" t="str">
        <f>IFERROR(__xludf.DUMMYFUNCTION("""COMPUTED_VALUE"""),"春愁う君と渚の初恋")</f>
        <v>春愁う君と渚の初恋</v>
      </c>
      <c r="G2943" s="152" t="str">
        <f>IFERROR(__xludf.DUMMYFUNCTION("""COMPUTED_VALUE"""),"1～7")</f>
        <v>1～7</v>
      </c>
      <c r="H2943" s="152" t="str">
        <f>IFERROR(__xludf.DUMMYFUNCTION("""COMPUTED_VALUE"""),"宮永深生┴グルナ編集部")</f>
        <v>宮永深生┴グルナ編集部</v>
      </c>
      <c r="I2943" s="152" t="str">
        <f>IFERROR(__xludf.DUMMYFUNCTION("""COMPUTED_VALUE"""),"女性")</f>
        <v>女性</v>
      </c>
      <c r="J2943" s="157"/>
      <c r="K2943" s="157"/>
      <c r="L2943" s="152" t="str">
        <f>IFERROR(__xludf.DUMMYFUNCTION("""COMPUTED_VALUE"""),"ライブコミックス")</f>
        <v>ライブコミックス</v>
      </c>
      <c r="M2943" s="28">
        <f>IFERROR(__xludf.DUMMYFUNCTION("""COMPUTED_VALUE"""),45772.0)</f>
        <v>45772</v>
      </c>
      <c r="N2943" s="28">
        <f>IFERROR(__xludf.DUMMYFUNCTION("""COMPUTED_VALUE"""),45834.0)</f>
        <v>45834</v>
      </c>
      <c r="O2943" s="152"/>
      <c r="P2943" s="152" t="str">
        <f>IFERROR(__xludf.DUMMYFUNCTION("""COMPUTED_VALUE"""),"可")</f>
        <v>可</v>
      </c>
      <c r="Q2943" s="152" t="str">
        <f>IFERROR(__xludf.DUMMYFUNCTION("""COMPUTED_VALUE"""),"Bookliveからの2次先行です。&lt;BR&gt;1～5巻目までの内容にてご検討＆ご制作をお願いします。")</f>
        <v>Bookliveからの2次先行です。&lt;BR&gt;1～5巻目までの内容にてご検討＆ご制作をお願いします。</v>
      </c>
      <c r="R2943" s="152" t="str">
        <f>IFERROR(__xludf.DUMMYFUNCTION("""COMPUTED_VALUE"""),"コミットOK")</f>
        <v>コミットOK</v>
      </c>
      <c r="S2943" s="152" t="str">
        <f>IFERROR(__xludf.DUMMYFUNCTION("""COMPUTED_VALUE"""),"20250225_Booklive_春愁う君と渚の初恋")</f>
        <v>20250225_Booklive_春愁う君と渚の初恋</v>
      </c>
      <c r="T2943" s="152" t="str">
        <f>IFERROR(__xludf.DUMMYFUNCTION("""COMPUTED_VALUE"""),"格納済み")</f>
        <v>格納済み</v>
      </c>
      <c r="U2943" s="15" t="str">
        <f>IFERROR(__xludf.DUMMYFUNCTION("""COMPUTED_VALUE"""),"Ⓒ宮永深生/ライブコミックス")</f>
        <v>Ⓒ宮永深生/ライブコミックス</v>
      </c>
      <c r="V2943" s="8" t="str">
        <f>IFERROR(__xludf.DUMMYFUNCTION("""COMPUTED_VALUE"""),"高校生の頃、初恋相手の陽人（はると）とあと一歩で結ばれるという時に、彼と音信不通になってしまった凪（なぎ）。10年が経った今も、その想いを捨てきることができずに悩んでいた。早く忘れたいと思いながら過ごすある日、行方がわからなくなっていた陽人と偶然再会してしまい……。初恋10年目のアラサーと食えない同級生の青春を追いかける沼きゅんラブストーリー。")</f>
        <v>高校生の頃、初恋相手の陽人（はると）とあと一歩で結ばれるという時に、彼と音信不通になってしまった凪（なぎ）。10年が経った今も、その想いを捨てきることができずに悩んでいた。早く忘れたいと思いながら過ごすある日、行方がわからなくなっていた陽人と偶然再会してしまい……。初恋10年目のアラサーと食えない同級生の青春を追いかける沼きゅんラブストーリー。</v>
      </c>
      <c r="W2943" s="14"/>
      <c r="X2943" s="14" t="str">
        <f>IFERROR(__xludf.DUMMYFUNCTION("""COMPUTED_VALUE"""),"有")</f>
        <v>有</v>
      </c>
      <c r="Y2943" s="8" t="str">
        <f>IFERROR(__xludf.DUMMYFUNCTION("""COMPUTED_VALUE"""),"2025/5/22まで1~2巻無料")</f>
        <v>2025/5/22まで1~2巻無料</v>
      </c>
      <c r="Z2943" s="7"/>
      <c r="AA2943" s="7"/>
      <c r="AB2943" s="7"/>
    </row>
    <row r="2944" ht="15.75" customHeight="1">
      <c r="A2944" s="153">
        <f>IFERROR(__xludf.DUMMYFUNCTION("""COMPUTED_VALUE"""),5099.0)</f>
        <v>5099</v>
      </c>
      <c r="B2944" s="152" t="str">
        <f>IFERROR(__xludf.DUMMYFUNCTION("""COMPUTED_VALUE"""),"確定")</f>
        <v>確定</v>
      </c>
      <c r="C2944" s="154">
        <f>IFERROR(__xludf.DUMMYFUNCTION("""COMPUTED_VALUE"""),45713.0)</f>
        <v>45713</v>
      </c>
      <c r="D2944" s="154">
        <f>IFERROR(__xludf.DUMMYFUNCTION("""COMPUTED_VALUE"""),45719.0)</f>
        <v>45719</v>
      </c>
      <c r="E2944" s="158">
        <f>IFERROR(__xludf.DUMMYFUNCTION("""COMPUTED_VALUE"""),319542.0)</f>
        <v>319542</v>
      </c>
      <c r="F2944" s="159" t="str">
        <f>IFERROR(__xludf.DUMMYFUNCTION("""COMPUTED_VALUE"""),"アリロイド・クレイ")</f>
        <v>アリロイド・クレイ</v>
      </c>
      <c r="G2944" s="152" t="str">
        <f>IFERROR(__xludf.DUMMYFUNCTION("""COMPUTED_VALUE"""),"1～4")</f>
        <v>1～4</v>
      </c>
      <c r="H2944" s="152" t="str">
        <f>IFERROR(__xludf.DUMMYFUNCTION("""COMPUTED_VALUE"""),"田沼早和┴アンブル編集部")</f>
        <v>田沼早和┴アンブル編集部</v>
      </c>
      <c r="I2944" s="152" t="str">
        <f>IFERROR(__xludf.DUMMYFUNCTION("""COMPUTED_VALUE"""),"青年")</f>
        <v>青年</v>
      </c>
      <c r="J2944" s="157"/>
      <c r="K2944" s="157"/>
      <c r="L2944" s="152" t="str">
        <f>IFERROR(__xludf.DUMMYFUNCTION("""COMPUTED_VALUE"""),"ライブコミックス")</f>
        <v>ライブコミックス</v>
      </c>
      <c r="M2944" s="28">
        <f>IFERROR(__xludf.DUMMYFUNCTION("""COMPUTED_VALUE"""),45758.0)</f>
        <v>45758</v>
      </c>
      <c r="N2944" s="28">
        <f>IFERROR(__xludf.DUMMYFUNCTION("""COMPUTED_VALUE"""),45820.0)</f>
        <v>45820</v>
      </c>
      <c r="O2944" s="152"/>
      <c r="P2944" s="152" t="str">
        <f>IFERROR(__xludf.DUMMYFUNCTION("""COMPUTED_VALUE"""),"可")</f>
        <v>可</v>
      </c>
      <c r="Q2944" s="152" t="str">
        <f>IFERROR(__xludf.DUMMYFUNCTION("""COMPUTED_VALUE"""),"Bookliveからの2次先行です")</f>
        <v>Bookliveからの2次先行です</v>
      </c>
      <c r="R2944" s="152" t="str">
        <f>IFERROR(__xludf.DUMMYFUNCTION("""COMPUTED_VALUE"""),"コミットOK")</f>
        <v>コミットOK</v>
      </c>
      <c r="S2944" s="152" t="str">
        <f>IFERROR(__xludf.DUMMYFUNCTION("""COMPUTED_VALUE"""),"20250225_Booklive_アリロイド・クレイ")</f>
        <v>20250225_Booklive_アリロイド・クレイ</v>
      </c>
      <c r="T2944" s="152" t="str">
        <f>IFERROR(__xludf.DUMMYFUNCTION("""COMPUTED_VALUE"""),"格納済み")</f>
        <v>格納済み</v>
      </c>
      <c r="U2944" s="15" t="str">
        <f>IFERROR(__xludf.DUMMYFUNCTION("""COMPUTED_VALUE"""),"Ⓒ田沼早和/ライブコミックス")</f>
        <v>Ⓒ田沼早和/ライブコミックス</v>
      </c>
      <c r="V2944" s="8" t="str">
        <f>IFERROR(__xludf.DUMMYFUNCTION("""COMPUTED_VALUE"""),"第1話　萌芽　近未来の地球。人類は人口を急激に減らしていた。その主な原因は被植死（アリロイド・クレイ）と呼ばれる現象――すなわち人間の「ある感情」を苗床にし、植物が人を支配してしまうことだった。被植死予防のため再生課職員・草木（くさき）は、独りの老人のもとを訪れる。気鋭の作家が描くSFサスペンス。衝撃のラストまで残り3話！")</f>
        <v>第1話　萌芽　近未来の地球。人類は人口を急激に減らしていた。その主な原因は被植死（アリロイド・クレイ）と呼ばれる現象――すなわち人間の「ある感情」を苗床にし、植物が人を支配してしまうことだった。被植死予防のため再生課職員・草木（くさき）は、独りの老人のもとを訪れる。気鋭の作家が描くSFサスペンス。衝撃のラストまで残り3話！</v>
      </c>
      <c r="W2944" s="14"/>
      <c r="X2944" s="14" t="str">
        <f>IFERROR(__xludf.DUMMYFUNCTION("""COMPUTED_VALUE"""),"有")</f>
        <v>有</v>
      </c>
      <c r="Y2944" s="8" t="str">
        <f>IFERROR(__xludf.DUMMYFUNCTION("""COMPUTED_VALUE"""),"P13まで")</f>
        <v>P13まで</v>
      </c>
      <c r="Z2944" s="7"/>
      <c r="AA2944" s="7"/>
      <c r="AB2944" s="7"/>
    </row>
    <row r="2945" ht="15.75" customHeight="1">
      <c r="A2945" s="153">
        <f>IFERROR(__xludf.DUMMYFUNCTION("""COMPUTED_VALUE"""),5104.0)</f>
        <v>5104</v>
      </c>
      <c r="B2945" s="152" t="str">
        <f>IFERROR(__xludf.DUMMYFUNCTION("""COMPUTED_VALUE"""),"確定")</f>
        <v>確定</v>
      </c>
      <c r="C2945" s="154">
        <f>IFERROR(__xludf.DUMMYFUNCTION("""COMPUTED_VALUE"""),45713.0)</f>
        <v>45713</v>
      </c>
      <c r="D2945" s="154">
        <f>IFERROR(__xludf.DUMMYFUNCTION("""COMPUTED_VALUE"""),45720.0)</f>
        <v>45720</v>
      </c>
      <c r="E2945" s="155">
        <f>IFERROR(__xludf.DUMMYFUNCTION("""COMPUTED_VALUE"""),318661.0)</f>
        <v>318661</v>
      </c>
      <c r="F2945" s="156" t="str">
        <f>IFERROR(__xludf.DUMMYFUNCTION("""COMPUTED_VALUE"""),"甘噛み、それを恋とは知らず")</f>
        <v>甘噛み、それを恋とは知らず</v>
      </c>
      <c r="G2945" s="153">
        <f>IFERROR(__xludf.DUMMYFUNCTION("""COMPUTED_VALUE"""),1.0)</f>
        <v>1</v>
      </c>
      <c r="H2945" s="152" t="str">
        <f>IFERROR(__xludf.DUMMYFUNCTION("""COMPUTED_VALUE"""),"三月未来")</f>
        <v>三月未来</v>
      </c>
      <c r="I2945" s="152" t="str">
        <f>IFERROR(__xludf.DUMMYFUNCTION("""COMPUTED_VALUE"""),"BL")</f>
        <v>BL</v>
      </c>
      <c r="J2945" s="157"/>
      <c r="K2945" s="157"/>
      <c r="L2945" s="152" t="str">
        <f>IFERROR(__xludf.DUMMYFUNCTION("""COMPUTED_VALUE"""),"東京漫画社")</f>
        <v>東京漫画社</v>
      </c>
      <c r="M2945" s="28">
        <f>IFERROR(__xludf.DUMMYFUNCTION("""COMPUTED_VALUE"""),45747.0)</f>
        <v>45747</v>
      </c>
      <c r="N2945" s="192">
        <f>IFERROR(__xludf.DUMMYFUNCTION("""COMPUTED_VALUE"""),45807.0)</f>
        <v>45807</v>
      </c>
      <c r="O2945" s="152"/>
      <c r="P2945" s="152" t="str">
        <f>IFERROR(__xludf.DUMMYFUNCTION("""COMPUTED_VALUE"""),"可")</f>
        <v>可</v>
      </c>
      <c r="Q2945" s="152" t="str">
        <f>IFERROR(__xludf.DUMMYFUNCTION("""COMPUTED_VALUE"""),"４ページ目は扉絵となります。&lt;BR&gt;")</f>
        <v>４ページ目は扉絵となります。&lt;BR&gt;</v>
      </c>
      <c r="R2945" s="152" t="str">
        <f>IFERROR(__xludf.DUMMYFUNCTION("""COMPUTED_VALUE"""),"コミットOK")</f>
        <v>コミットOK</v>
      </c>
      <c r="S2945" s="152" t="str">
        <f>IFERROR(__xludf.DUMMYFUNCTION("""COMPUTED_VALUE"""),"20250312_東京漫画社_甘噛み、それを恋とは知らず")</f>
        <v>20250312_東京漫画社_甘噛み、それを恋とは知らず</v>
      </c>
      <c r="T2945" s="152" t="str">
        <f>IFERROR(__xludf.DUMMYFUNCTION("""COMPUTED_VALUE"""),"格納済み")</f>
        <v>格納済み</v>
      </c>
      <c r="U2945" s="15" t="str">
        <f>IFERROR(__xludf.DUMMYFUNCTION("""COMPUTED_VALUE"""),"Ⓒ三月未来/東京漫画社")</f>
        <v>Ⓒ三月未来/東京漫画社</v>
      </c>
      <c r="V2945" s="8" t="str">
        <f>IFERROR(__xludf.DUMMYFUNCTION("""COMPUTED_VALUE"""),"不良に絡まれては喧嘩ばかりしている高校生・沖名は、ある日見知らぬ上級生に声をかけられる。無実の罪を突きつけられて殴りかかるが、あっという間に返り討ちに遭ってしまう!?
全く歯が立たずやられっぱなしの沖名だったが、さらに「痛みで気持ちよくなっちゃうんだ？」と強引にキスをされて…？
鬼畜な生徒会長×負け知らずの一匹狼のハイスクール調教BL！
『Fig vol.72』に収録されているものと同じ内容になります。")</f>
        <v>不良に絡まれては喧嘩ばかりしている高校生・沖名は、ある日見知らぬ上級生に声をかけられる。無実の罪を突きつけられて殴りかかるが、あっという間に返り討ちに遭ってしまう!?
全く歯が立たずやられっぱなしの沖名だったが、さらに「痛みで気持ちよくなっちゃうんだ？」と強引にキスをされて…？
鬼畜な生徒会長×負け知らずの一匹狼のハイスクール調教BL！
『Fig vol.72』に収録されているものと同じ内容になります。</v>
      </c>
      <c r="W2945" s="14"/>
      <c r="X2945" s="14" t="str">
        <f>IFERROR(__xludf.DUMMYFUNCTION("""COMPUTED_VALUE"""),"有")</f>
        <v>有</v>
      </c>
      <c r="Y2945" s="8" t="str">
        <f>IFERROR(__xludf.DUMMYFUNCTION("""COMPUTED_VALUE"""),"2025/5/30まで立ち読み増量（P11まで）")</f>
        <v>2025/5/30まで立ち読み増量（P11まで）</v>
      </c>
      <c r="Z2945" s="7"/>
      <c r="AA2945" s="7"/>
      <c r="AB2945" s="7"/>
    </row>
    <row r="2946" ht="15.75" customHeight="1">
      <c r="A2946" s="153">
        <f>IFERROR(__xludf.DUMMYFUNCTION("""COMPUTED_VALUE"""),5115.0)</f>
        <v>5115</v>
      </c>
      <c r="B2946" s="152" t="str">
        <f>IFERROR(__xludf.DUMMYFUNCTION("""COMPUTED_VALUE"""),"確定")</f>
        <v>確定</v>
      </c>
      <c r="C2946" s="154">
        <f>IFERROR(__xludf.DUMMYFUNCTION("""COMPUTED_VALUE"""),45714.0)</f>
        <v>45714</v>
      </c>
      <c r="D2946" s="154">
        <f>IFERROR(__xludf.DUMMYFUNCTION("""COMPUTED_VALUE"""),45719.0)</f>
        <v>45719</v>
      </c>
      <c r="E2946" s="158">
        <f>IFERROR(__xludf.DUMMYFUNCTION("""COMPUTED_VALUE"""),319418.0)</f>
        <v>319418</v>
      </c>
      <c r="F2946" s="193" t="str">
        <f>IFERROR(__xludf.DUMMYFUNCTION("""COMPUTED_VALUE"""),"【分冊版】ララバイバイリリー")</f>
        <v>【分冊版】ララバイバイリリー</v>
      </c>
      <c r="G2946" s="152" t="str">
        <f>IFERROR(__xludf.DUMMYFUNCTION("""COMPUTED_VALUE"""),"1～3")</f>
        <v>1～3</v>
      </c>
      <c r="H2946" s="152" t="str">
        <f>IFERROR(__xludf.DUMMYFUNCTION("""COMPUTED_VALUE"""),"わが")</f>
        <v>わが</v>
      </c>
      <c r="I2946" s="152" t="str">
        <f>IFERROR(__xludf.DUMMYFUNCTION("""COMPUTED_VALUE"""),"BL")</f>
        <v>BL</v>
      </c>
      <c r="J2946" s="157"/>
      <c r="K2946" s="157"/>
      <c r="L2946" s="152" t="str">
        <f>IFERROR(__xludf.DUMMYFUNCTION("""COMPUTED_VALUE"""),"ジーオーティー")</f>
        <v>ジーオーティー</v>
      </c>
      <c r="M2946" s="28">
        <f>IFERROR(__xludf.DUMMYFUNCTION("""COMPUTED_VALUE"""),45743.0)</f>
        <v>45743</v>
      </c>
      <c r="N2946" s="28">
        <f>IFERROR(__xludf.DUMMYFUNCTION("""COMPUTED_VALUE"""),45803.0)</f>
        <v>45803</v>
      </c>
      <c r="O2946" s="152"/>
      <c r="P2946" s="190" t="str">
        <f>IFERROR(__xludf.DUMMYFUNCTION("""COMPUTED_VALUE"""),"可")</f>
        <v>可</v>
      </c>
      <c r="Q2946" s="152"/>
      <c r="R2946" s="152" t="str">
        <f>IFERROR(__xludf.DUMMYFUNCTION("""COMPUTED_VALUE"""),"コミットNG")</f>
        <v>コミットNG</v>
      </c>
      <c r="S2946" s="152" t="str">
        <f>IFERROR(__xludf.DUMMYFUNCTION("""COMPUTED_VALUE"""),"20250226_ジーオーティー_ララバイリリー")</f>
        <v>20250226_ジーオーティー_ララバイリリー</v>
      </c>
      <c r="T2946" s="152" t="str">
        <f>IFERROR(__xludf.DUMMYFUNCTION("""COMPUTED_VALUE"""),"格納済み")</f>
        <v>格納済み</v>
      </c>
      <c r="U2946" s="15" t="str">
        <f>IFERROR(__xludf.DUMMYFUNCTION("""COMPUTED_VALUE"""),"Ⓒわが／ジーオーティー")</f>
        <v>Ⓒわが／ジーオーティー</v>
      </c>
      <c r="V2946" s="8" t="str">
        <f>IFERROR(__xludf.DUMMYFUNCTION("""COMPUTED_VALUE"""),"フリーターの愛瑠はフードデリバリーのバイト中、街中で子供を叱る母親の声に過去の記憶がフラッシュバックする。
慣れない浴衣と草履を履いて参加した夏祭り。
靴擦れをして動けなくなっていたところに、無邪気に話しかけてくる一人の少年との記憶。
街中の騒音がどんどん愛瑠のメンタルを蝕んでいく最中、あの時の夏祭りと同じように声をかけてくる人物がいた。
そこには、記憶の中で大事にしていた幼なじみの立輝で！
運命の再会って、映画の中だけの話だと思ってた——。
わが先生最新作！
深く深く突き刺さる。
幼"&amp;"なじみが織りなす恋愛模様")</f>
        <v>フリーターの愛瑠はフードデリバリーのバイト中、街中で子供を叱る母親の声に過去の記憶がフラッシュバックする。
慣れない浴衣と草履を履いて参加した夏祭り。
靴擦れをして動けなくなっていたところに、無邪気に話しかけてくる一人の少年との記憶。
街中の騒音がどんどん愛瑠のメンタルを蝕んでいく最中、あの時の夏祭りと同じように声をかけてくる人物がいた。
そこには、記憶の中で大事にしていた幼なじみの立輝で！
運命の再会って、映画の中だけの話だと思ってた——。
わが先生最新作！
深く深く突き刺さる。
幼なじみが織りなす恋愛模様</v>
      </c>
      <c r="W2946" s="14"/>
      <c r="X2946" s="14" t="str">
        <f>IFERROR(__xludf.DUMMYFUNCTION("""COMPUTED_VALUE"""),"有")</f>
        <v>有</v>
      </c>
      <c r="Y2946" s="8" t="str">
        <f>IFERROR(__xludf.DUMMYFUNCTION("""COMPUTED_VALUE"""),"2025/4/26まで1巻無料")</f>
        <v>2025/4/26まで1巻無料</v>
      </c>
      <c r="Z2946" s="7"/>
      <c r="AA2946" s="7"/>
      <c r="AB2946" s="7"/>
    </row>
    <row r="2947" ht="15.75" customHeight="1">
      <c r="A2947" s="153">
        <f>IFERROR(__xludf.DUMMYFUNCTION("""COMPUTED_VALUE"""),5118.0)</f>
        <v>5118</v>
      </c>
      <c r="B2947" s="152" t="str">
        <f>IFERROR(__xludf.DUMMYFUNCTION("""COMPUTED_VALUE"""),"確定")</f>
        <v>確定</v>
      </c>
      <c r="C2947" s="154">
        <f>IFERROR(__xludf.DUMMYFUNCTION("""COMPUTED_VALUE"""),45714.0)</f>
        <v>45714</v>
      </c>
      <c r="D2947" s="154">
        <f>IFERROR(__xludf.DUMMYFUNCTION("""COMPUTED_VALUE"""),45719.0)</f>
        <v>45719</v>
      </c>
      <c r="E2947" s="158">
        <f>IFERROR(__xludf.DUMMYFUNCTION("""COMPUTED_VALUE"""),318279.0)</f>
        <v>318279</v>
      </c>
      <c r="F2947" s="159" t="str">
        <f>IFERROR(__xludf.DUMMYFUNCTION("""COMPUTED_VALUE"""),"ダブル・トラップ〜僕だけが知る夜の顔〜【タテヨミ】")</f>
        <v>ダブル・トラップ〜僕だけが知る夜の顔〜【タテヨミ】</v>
      </c>
      <c r="G2947" s="152" t="str">
        <f>IFERROR(__xludf.DUMMYFUNCTION("""COMPUTED_VALUE"""),"1～50")</f>
        <v>1～50</v>
      </c>
      <c r="H2947" s="152" t="str">
        <f>IFERROR(__xludf.DUMMYFUNCTION("""COMPUTED_VALUE"""),"グッドマン")</f>
        <v>グッドマン</v>
      </c>
      <c r="I2947" s="152" t="str">
        <f>IFERROR(__xludf.DUMMYFUNCTION("""COMPUTED_VALUE"""),"BLマンガ")</f>
        <v>BLマンガ</v>
      </c>
      <c r="J2947" s="157"/>
      <c r="K2947" s="157"/>
      <c r="L2947" s="152" t="str">
        <f>IFERROR(__xludf.DUMMYFUNCTION("""COMPUTED_VALUE"""),"レジンコミックス")</f>
        <v>レジンコミックス</v>
      </c>
      <c r="M2947" s="59">
        <f>IFERROR(__xludf.DUMMYFUNCTION("""COMPUTED_VALUE"""),45744.0)</f>
        <v>45744</v>
      </c>
      <c r="N2947" s="28">
        <f>IFERROR(__xludf.DUMMYFUNCTION("""COMPUTED_VALUE"""),45836.0)</f>
        <v>45836</v>
      </c>
      <c r="O2947" s="152"/>
      <c r="P2947" s="164" t="str">
        <f>IFERROR(__xludf.DUMMYFUNCTION("""COMPUTED_VALUE"""),"可")</f>
        <v>可</v>
      </c>
      <c r="Q2947" s="166"/>
      <c r="R2947" s="152"/>
      <c r="S2947" s="152" t="str">
        <f>IFERROR(__xludf.DUMMYFUNCTION("""COMPUTED_VALUE"""),"20250303_レジンコミックス_ダブル・トラップ〜僕だけが知る夜の顔〜")</f>
        <v>20250303_レジンコミックス_ダブル・トラップ〜僕だけが知る夜の顔〜</v>
      </c>
      <c r="T2947" s="152" t="str">
        <f>IFERROR(__xludf.DUMMYFUNCTION("""COMPUTED_VALUE"""),"格納済み")</f>
        <v>格納済み</v>
      </c>
      <c r="U2947" s="15" t="str">
        <f>IFERROR(__xludf.DUMMYFUNCTION("""COMPUTED_VALUE"""),"Ⓒ グッドマン / レジンコミックス")</f>
        <v>Ⓒ グッドマン / レジンコミックス</v>
      </c>
      <c r="V2947" s="8" t="str">
        <f>IFERROR(__xludf.DUMMYFUNCTION("""COMPUTED_VALUE"""),"#セフレ #執着攻め #年上年下 #二重人格 幼い頃から、隣の家に住むユラに片思いしてきたジンソンは、両親の突然の事故がきっかけでユラと同居することになる。しかし、叶わないと分かっているこの恋に、これ以上傷付きたくないジンソンは、近づこうとする度に一線を引くユラへの想いを断ち切ろうとするのだが…。ある日の夜明け、寝ている自分をおかずにして、１人でXXをするユラの姿を目撃してしまい…!? 「こんなの…僕が知ってる兄ちゃんじゃない…一体おまえは誰だ!?」")</f>
        <v>#セフレ #執着攻め #年上年下 #二重人格 幼い頃から、隣の家に住むユラに片思いしてきたジンソンは、両親の突然の事故がきっかけでユラと同居することになる。しかし、叶わないと分かっているこの恋に、これ以上傷付きたくないジンソンは、近づこうとする度に一線を引くユラへの想いを断ち切ろうとするのだが…。ある日の夜明け、寝ている自分をおかずにして、１人でXXをするユラの姿を目撃してしまい…!? 「こんなの…僕が知ってる兄ちゃんじゃない…一体おまえは誰だ!?」</v>
      </c>
      <c r="W2947" s="14"/>
      <c r="X2947" s="14" t="str">
        <f>IFERROR(__xludf.DUMMYFUNCTION("""COMPUTED_VALUE"""),"有")</f>
        <v>有</v>
      </c>
      <c r="Y2947" s="8" t="str">
        <f>IFERROR(__xludf.DUMMYFUNCTION("""COMPUTED_VALUE"""),"1巻目無料
2025/4/10まで3~26巻目無料")</f>
        <v>1巻目無料
2025/4/10まで3~26巻目無料</v>
      </c>
      <c r="Z2947" s="7"/>
      <c r="AA2947" s="7"/>
      <c r="AB2947" s="7"/>
    </row>
    <row r="2948" ht="15.75" customHeight="1">
      <c r="A2948" s="153">
        <f>IFERROR(__xludf.DUMMYFUNCTION("""COMPUTED_VALUE"""),5119.0)</f>
        <v>5119</v>
      </c>
      <c r="B2948" s="152" t="str">
        <f>IFERROR(__xludf.DUMMYFUNCTION("""COMPUTED_VALUE"""),"確定")</f>
        <v>確定</v>
      </c>
      <c r="C2948" s="154">
        <f>IFERROR(__xludf.DUMMYFUNCTION("""COMPUTED_VALUE"""),45714.0)</f>
        <v>45714</v>
      </c>
      <c r="D2948" s="154">
        <f>IFERROR(__xludf.DUMMYFUNCTION("""COMPUTED_VALUE"""),45715.0)</f>
        <v>45715</v>
      </c>
      <c r="E2948" s="158">
        <f>IFERROR(__xludf.DUMMYFUNCTION("""COMPUTED_VALUE"""),317004.0)</f>
        <v>317004</v>
      </c>
      <c r="F2948" s="159" t="str">
        <f>IFERROR(__xludf.DUMMYFUNCTION("""COMPUTED_VALUE"""),"ビューファインダー【タテヨミ】")</f>
        <v>ビューファインダー【タテヨミ】</v>
      </c>
      <c r="G2948" s="152" t="str">
        <f>IFERROR(__xludf.DUMMYFUNCTION("""COMPUTED_VALUE"""),"1～50")</f>
        <v>1～50</v>
      </c>
      <c r="H2948" s="152" t="str">
        <f>IFERROR(__xludf.DUMMYFUNCTION("""COMPUTED_VALUE"""),"EZ")</f>
        <v>EZ</v>
      </c>
      <c r="I2948" s="152" t="str">
        <f>IFERROR(__xludf.DUMMYFUNCTION("""COMPUTED_VALUE"""),"BLマンガ")</f>
        <v>BLマンガ</v>
      </c>
      <c r="J2948" s="157"/>
      <c r="K2948" s="157"/>
      <c r="L2948" s="152" t="str">
        <f>IFERROR(__xludf.DUMMYFUNCTION("""COMPUTED_VALUE"""),"レジンコミックス")</f>
        <v>レジンコミックス</v>
      </c>
      <c r="M2948" s="59">
        <f>IFERROR(__xludf.DUMMYFUNCTION("""COMPUTED_VALUE"""),45744.0)</f>
        <v>45744</v>
      </c>
      <c r="N2948" s="28">
        <f>IFERROR(__xludf.DUMMYFUNCTION("""COMPUTED_VALUE"""),45836.0)</f>
        <v>45836</v>
      </c>
      <c r="O2948" s="152"/>
      <c r="P2948" s="164" t="str">
        <f>IFERROR(__xludf.DUMMYFUNCTION("""COMPUTED_VALUE"""),"可")</f>
        <v>可</v>
      </c>
      <c r="Q2948" s="166"/>
      <c r="R2948" s="152"/>
      <c r="S2948" s="152" t="str">
        <f>IFERROR(__xludf.DUMMYFUNCTION("""COMPUTED_VALUE"""),"20250227_レジンコミックス_ビューファインダー")</f>
        <v>20250227_レジンコミックス_ビューファインダー</v>
      </c>
      <c r="T2948" s="152" t="str">
        <f>IFERROR(__xludf.DUMMYFUNCTION("""COMPUTED_VALUE"""),"格納済み")</f>
        <v>格納済み</v>
      </c>
      <c r="U2948" s="15" t="str">
        <f>IFERROR(__xludf.DUMMYFUNCTION("""COMPUTED_VALUE"""),"Ⓒ EZ / レジンコミックス")</f>
        <v>Ⓒ EZ / レジンコミックス</v>
      </c>
      <c r="V2948" s="8" t="str">
        <f>IFERROR(__xludf.DUMMYFUNCTION("""COMPUTED_VALUE"""),"#天然受け #腹黒受け #執着攻め #年下攻め #写真 #趣味 #先輩 「今の先輩の顔…すごく好きです。写真にしたいくらい」 長い間、ヨヌ先輩に想いをよせてきたへミン。彼はこっそりと先輩の姿をカメラで撮ることが趣味だった。しかしある日、その趣味が当事者である先輩にバレてしまい…。だが先輩はその趣味を逆手にとり、へミンにある取引を交渉する。その取引とは一体…？")</f>
        <v>#天然受け #腹黒受け #執着攻め #年下攻め #写真 #趣味 #先輩 「今の先輩の顔…すごく好きです。写真にしたいくらい」 長い間、ヨヌ先輩に想いをよせてきたへミン。彼はこっそりと先輩の姿をカメラで撮ることが趣味だった。しかしある日、その趣味が当事者である先輩にバレてしまい…。だが先輩はその趣味を逆手にとり、へミンにある取引を交渉する。その取引とは一体…？</v>
      </c>
      <c r="W2948" s="14"/>
      <c r="X2948" s="14" t="str">
        <f>IFERROR(__xludf.DUMMYFUNCTION("""COMPUTED_VALUE"""),"有")</f>
        <v>有</v>
      </c>
      <c r="Y2948" s="8" t="str">
        <f>IFERROR(__xludf.DUMMYFUNCTION("""COMPUTED_VALUE"""),"1巻目無料
2025/4/10まで2~22巻目無料")</f>
        <v>1巻目無料
2025/4/10まで2~22巻目無料</v>
      </c>
      <c r="Z2948" s="7"/>
      <c r="AA2948" s="7"/>
      <c r="AB2948" s="7"/>
    </row>
    <row r="2949" ht="15.75" customHeight="1">
      <c r="A2949" s="153">
        <f>IFERROR(__xludf.DUMMYFUNCTION("""COMPUTED_VALUE"""),5120.0)</f>
        <v>5120</v>
      </c>
      <c r="B2949" s="152" t="str">
        <f>IFERROR(__xludf.DUMMYFUNCTION("""COMPUTED_VALUE"""),"確定")</f>
        <v>確定</v>
      </c>
      <c r="C2949" s="154">
        <f>IFERROR(__xludf.DUMMYFUNCTION("""COMPUTED_VALUE"""),45714.0)</f>
        <v>45714</v>
      </c>
      <c r="D2949" s="154">
        <f>IFERROR(__xludf.DUMMYFUNCTION("""COMPUTED_VALUE"""),45716.0)</f>
        <v>45716</v>
      </c>
      <c r="E2949" s="158">
        <f>IFERROR(__xludf.DUMMYFUNCTION("""COMPUTED_VALUE"""),318278.0)</f>
        <v>318278</v>
      </c>
      <c r="F2949" s="159" t="str">
        <f>IFERROR(__xludf.DUMMYFUNCTION("""COMPUTED_VALUE"""),"ヴァンパイアと食事【タテヨミ】")</f>
        <v>ヴァンパイアと食事【タテヨミ】</v>
      </c>
      <c r="G2949" s="152" t="str">
        <f>IFERROR(__xludf.DUMMYFUNCTION("""COMPUTED_VALUE"""),"1～79")</f>
        <v>1～79</v>
      </c>
      <c r="H2949" s="152" t="str">
        <f>IFERROR(__xludf.DUMMYFUNCTION("""COMPUTED_VALUE"""),"原作:パンイン / 作画:ピンコ")</f>
        <v>原作:パンイン / 作画:ピンコ</v>
      </c>
      <c r="I2949" s="152" t="str">
        <f>IFERROR(__xludf.DUMMYFUNCTION("""COMPUTED_VALUE"""),"BLマンガ")</f>
        <v>BLマンガ</v>
      </c>
      <c r="J2949" s="157"/>
      <c r="K2949" s="157"/>
      <c r="L2949" s="152" t="str">
        <f>IFERROR(__xludf.DUMMYFUNCTION("""COMPUTED_VALUE"""),"レジンコミックス")</f>
        <v>レジンコミックス</v>
      </c>
      <c r="M2949" s="59">
        <f>IFERROR(__xludf.DUMMYFUNCTION("""COMPUTED_VALUE"""),45744.0)</f>
        <v>45744</v>
      </c>
      <c r="N2949" s="28">
        <f>IFERROR(__xludf.DUMMYFUNCTION("""COMPUTED_VALUE"""),45836.0)</f>
        <v>45836</v>
      </c>
      <c r="O2949" s="152"/>
      <c r="P2949" s="164" t="str">
        <f>IFERROR(__xludf.DUMMYFUNCTION("""COMPUTED_VALUE"""),"可")</f>
        <v>可</v>
      </c>
      <c r="Q2949" s="166"/>
      <c r="R2949" s="152"/>
      <c r="S2949" s="152" t="str">
        <f>IFERROR(__xludf.DUMMYFUNCTION("""COMPUTED_VALUE"""),"20250228_レジンコミックス_ヴァンパイアと食事")</f>
        <v>20250228_レジンコミックス_ヴァンパイアと食事</v>
      </c>
      <c r="T2949" s="152" t="str">
        <f>IFERROR(__xludf.DUMMYFUNCTION("""COMPUTED_VALUE"""),"格納済み")</f>
        <v>格納済み</v>
      </c>
      <c r="U2949" s="15" t="str">
        <f>IFERROR(__xludf.DUMMYFUNCTION("""COMPUTED_VALUE"""),"Ⓒ 原作:パンイン / 作画:ピンコ / レジンコミックス")</f>
        <v>Ⓒ 原作:パンイン / 作画:ピンコ / レジンコミックス</v>
      </c>
      <c r="V2949" s="8" t="str">
        <f>IFERROR(__xludf.DUMMYFUNCTION("""COMPUTED_VALUE"""),"#ヴァンパイア #主従関係 #過激 「僕の血が欲しいんですか。どうぞ、思う存分」―昔は片思い、今は憎悪の対象である友達・清志の虐待から逃げようと試みる翠。「私は翠さんが違う何かを求めているかと…」―同族の心臓を食し、命を繋いでいくヴァンパイアの千歳。人間の血が吸えないヴァンパイアが、甘い血の匂いがする人間を救うことで、致命的な取引が始まる。")</f>
        <v>#ヴァンパイア #主従関係 #過激 「僕の血が欲しいんですか。どうぞ、思う存分」―昔は片思い、今は憎悪の対象である友達・清志の虐待から逃げようと試みる翠。「私は翠さんが違う何かを求めているかと…」―同族の心臓を食し、命を繋いでいくヴァンパイアの千歳。人間の血が吸えないヴァンパイアが、甘い血の匂いがする人間を救うことで、致命的な取引が始まる。</v>
      </c>
      <c r="W2949" s="14"/>
      <c r="X2949" s="14" t="str">
        <f>IFERROR(__xludf.DUMMYFUNCTION("""COMPUTED_VALUE"""),"有")</f>
        <v>有</v>
      </c>
      <c r="Y2949" s="8" t="str">
        <f>IFERROR(__xludf.DUMMYFUNCTION("""COMPUTED_VALUE"""),"1巻目無料
2025/4/10まで4~23巻目無料")</f>
        <v>1巻目無料
2025/4/10まで4~23巻目無料</v>
      </c>
      <c r="Z2949" s="7"/>
      <c r="AA2949" s="7"/>
      <c r="AB2949" s="7"/>
    </row>
    <row r="2950" ht="15.75" customHeight="1">
      <c r="A2950" s="153">
        <f>IFERROR(__xludf.DUMMYFUNCTION("""COMPUTED_VALUE"""),5121.0)</f>
        <v>5121</v>
      </c>
      <c r="B2950" s="152" t="str">
        <f>IFERROR(__xludf.DUMMYFUNCTION("""COMPUTED_VALUE"""),"確定")</f>
        <v>確定</v>
      </c>
      <c r="C2950" s="154">
        <f>IFERROR(__xludf.DUMMYFUNCTION("""COMPUTED_VALUE"""),45714.0)</f>
        <v>45714</v>
      </c>
      <c r="D2950" s="154">
        <f>IFERROR(__xludf.DUMMYFUNCTION("""COMPUTED_VALUE"""),45716.0)</f>
        <v>45716</v>
      </c>
      <c r="E2950" s="158">
        <f>IFERROR(__xludf.DUMMYFUNCTION("""COMPUTED_VALUE"""),318280.0)</f>
        <v>318280</v>
      </c>
      <c r="F2950" s="159" t="str">
        <f>IFERROR(__xludf.DUMMYFUNCTION("""COMPUTED_VALUE"""),"水上の旋律を君に【タテヨミ】")</f>
        <v>水上の旋律を君に【タテヨミ】</v>
      </c>
      <c r="G2950" s="152" t="str">
        <f>IFERROR(__xludf.DUMMYFUNCTION("""COMPUTED_VALUE"""),"1～77")</f>
        <v>1～77</v>
      </c>
      <c r="H2950" s="152" t="str">
        <f>IFERROR(__xludf.DUMMYFUNCTION("""COMPUTED_VALUE"""),"Clarju")</f>
        <v>Clarju</v>
      </c>
      <c r="I2950" s="152" t="str">
        <f>IFERROR(__xludf.DUMMYFUNCTION("""COMPUTED_VALUE"""),"BLマンガ")</f>
        <v>BLマンガ</v>
      </c>
      <c r="J2950" s="157"/>
      <c r="K2950" s="157"/>
      <c r="L2950" s="152" t="str">
        <f>IFERROR(__xludf.DUMMYFUNCTION("""COMPUTED_VALUE"""),"レジンコミックス")</f>
        <v>レジンコミックス</v>
      </c>
      <c r="M2950" s="59">
        <f>IFERROR(__xludf.DUMMYFUNCTION("""COMPUTED_VALUE"""),45744.0)</f>
        <v>45744</v>
      </c>
      <c r="N2950" s="28">
        <f>IFERROR(__xludf.DUMMYFUNCTION("""COMPUTED_VALUE"""),45836.0)</f>
        <v>45836</v>
      </c>
      <c r="O2950" s="152"/>
      <c r="P2950" s="164" t="str">
        <f>IFERROR(__xludf.DUMMYFUNCTION("""COMPUTED_VALUE"""),"可")</f>
        <v>可</v>
      </c>
      <c r="Q2950" s="166"/>
      <c r="R2950" s="152"/>
      <c r="S2950" s="152" t="str">
        <f>IFERROR(__xludf.DUMMYFUNCTION("""COMPUTED_VALUE"""),"20250228_レジンコミックス_水上の旋律を君に")</f>
        <v>20250228_レジンコミックス_水上の旋律を君に</v>
      </c>
      <c r="T2950" s="152" t="str">
        <f>IFERROR(__xludf.DUMMYFUNCTION("""COMPUTED_VALUE"""),"格納済み")</f>
        <v>格納済み</v>
      </c>
      <c r="U2950" s="15" t="str">
        <f>IFERROR(__xludf.DUMMYFUNCTION("""COMPUTED_VALUE"""),"Ⓒ Clarju / レジンコミックス")</f>
        <v>Ⓒ Clarju / レジンコミックス</v>
      </c>
      <c r="V2950" s="8" t="str">
        <f>IFERROR(__xludf.DUMMYFUNCTION("""COMPUTED_VALUE"""),"#歌#執着#監禁#ペントハウス #誘い受け #絶倫攻め #執着攻め #強気攻め 主人公・蒼音は自分に執着して離してくれない蒼船太により、部屋に閉じこめられていた。だがある日、雪で外が真っ白に染まる中…蒼音はいつも蒼船太にだけ歌ってあげていた歌をテラスで口ずさむが…。偶然その歌を耳にしてしまった上の階に住む海籐塁。さらには蒼音の綺麗な歌声にアソコが反応してしまい…。自分の体を反応させた歌声と、誰だか分からない蒼音の存在に興味を持ち始めた彼は蒼音をなんとか手に入れようとするが…？")</f>
        <v>#歌#執着#監禁#ペントハウス #誘い受け #絶倫攻め #執着攻め #強気攻め 主人公・蒼音は自分に執着して離してくれない蒼船太により、部屋に閉じこめられていた。だがある日、雪で外が真っ白に染まる中…蒼音はいつも蒼船太にだけ歌ってあげていた歌をテラスで口ずさむが…。偶然その歌を耳にしてしまった上の階に住む海籐塁。さらには蒼音の綺麗な歌声にアソコが反応してしまい…。自分の体を反応させた歌声と、誰だか分からない蒼音の存在に興味を持ち始めた彼は蒼音をなんとか手に入れようとするが…？</v>
      </c>
      <c r="W2950" s="14"/>
      <c r="X2950" s="14" t="str">
        <f>IFERROR(__xludf.DUMMYFUNCTION("""COMPUTED_VALUE"""),"有")</f>
        <v>有</v>
      </c>
      <c r="Y2950" s="8" t="str">
        <f>IFERROR(__xludf.DUMMYFUNCTION("""COMPUTED_VALUE"""),"1巻目無料
2025/4/10まで2~23巻目無料")</f>
        <v>1巻目無料
2025/4/10まで2~23巻目無料</v>
      </c>
      <c r="Z2950" s="7"/>
      <c r="AA2950" s="7"/>
      <c r="AB2950" s="7"/>
    </row>
    <row r="2951" ht="15.75" customHeight="1">
      <c r="A2951" s="153">
        <f>IFERROR(__xludf.DUMMYFUNCTION("""COMPUTED_VALUE"""),5122.0)</f>
        <v>5122</v>
      </c>
      <c r="B2951" s="152" t="str">
        <f>IFERROR(__xludf.DUMMYFUNCTION("""COMPUTED_VALUE"""),"確定")</f>
        <v>確定</v>
      </c>
      <c r="C2951" s="154">
        <f>IFERROR(__xludf.DUMMYFUNCTION("""COMPUTED_VALUE"""),45714.0)</f>
        <v>45714</v>
      </c>
      <c r="D2951" s="154">
        <f>IFERROR(__xludf.DUMMYFUNCTION("""COMPUTED_VALUE"""),45716.0)</f>
        <v>45716</v>
      </c>
      <c r="E2951" s="158">
        <f>IFERROR(__xludf.DUMMYFUNCTION("""COMPUTED_VALUE"""),318281.0)</f>
        <v>318281</v>
      </c>
      <c r="F2951" s="159" t="str">
        <f>IFERROR(__xludf.DUMMYFUNCTION("""COMPUTED_VALUE"""),"ロイヤル・サーヴァント【タテヨミ】")</f>
        <v>ロイヤル・サーヴァント【タテヨミ】</v>
      </c>
      <c r="G2951" s="152" t="str">
        <f>IFERROR(__xludf.DUMMYFUNCTION("""COMPUTED_VALUE"""),"1～70")</f>
        <v>1～70</v>
      </c>
      <c r="H2951" s="152" t="str">
        <f>IFERROR(__xludf.DUMMYFUNCTION("""COMPUTED_VALUE"""),"原作:MasterGin / 作画:セイネン")</f>
        <v>原作:MasterGin / 作画:セイネン</v>
      </c>
      <c r="I2951" s="152" t="str">
        <f>IFERROR(__xludf.DUMMYFUNCTION("""COMPUTED_VALUE"""),"BLマンガ")</f>
        <v>BLマンガ</v>
      </c>
      <c r="J2951" s="157"/>
      <c r="K2951" s="157"/>
      <c r="L2951" s="152" t="str">
        <f>IFERROR(__xludf.DUMMYFUNCTION("""COMPUTED_VALUE"""),"レジンコミックス")</f>
        <v>レジンコミックス</v>
      </c>
      <c r="M2951" s="59">
        <f>IFERROR(__xludf.DUMMYFUNCTION("""COMPUTED_VALUE"""),45744.0)</f>
        <v>45744</v>
      </c>
      <c r="N2951" s="28">
        <f>IFERROR(__xludf.DUMMYFUNCTION("""COMPUTED_VALUE"""),45836.0)</f>
        <v>45836</v>
      </c>
      <c r="O2951" s="152"/>
      <c r="P2951" s="164" t="str">
        <f>IFERROR(__xludf.DUMMYFUNCTION("""COMPUTED_VALUE"""),"可")</f>
        <v>可</v>
      </c>
      <c r="Q2951" s="166"/>
      <c r="R2951" s="152"/>
      <c r="S2951" s="152" t="str">
        <f>IFERROR(__xludf.DUMMYFUNCTION("""COMPUTED_VALUE"""),"20250227_レジンコミックス_ロイヤル・サーヴァント")</f>
        <v>20250227_レジンコミックス_ロイヤル・サーヴァント</v>
      </c>
      <c r="T2951" s="152" t="str">
        <f>IFERROR(__xludf.DUMMYFUNCTION("""COMPUTED_VALUE"""),"格納済み")</f>
        <v>格納済み</v>
      </c>
      <c r="U2951" s="15" t="str">
        <f>IFERROR(__xludf.DUMMYFUNCTION("""COMPUTED_VALUE"""),"Ⓒ 原作:MasterGin / 作画:セイネン / レジンコミックス")</f>
        <v>Ⓒ 原作:MasterGin / 作画:セイネン / レジンコミックス</v>
      </c>
      <c r="V2951" s="8" t="str">
        <f>IFERROR(__xludf.DUMMYFUNCTION("""COMPUTED_VALUE"""),"#主従関係 #冷血攻め #異種族 #貴族 「ご主人様を愛しています」 サーヴァントとして生まれ、サーヴァントを憎悪する者に惹かれてしまう。主従関係の彼らが繰り広げるBL&amp;ファンタジー。")</f>
        <v>#主従関係 #冷血攻め #異種族 #貴族 「ご主人様を愛しています」 サーヴァントとして生まれ、サーヴァントを憎悪する者に惹かれてしまう。主従関係の彼らが繰り広げるBL&amp;ファンタジー。</v>
      </c>
      <c r="W2951" s="14"/>
      <c r="X2951" s="14" t="str">
        <f>IFERROR(__xludf.DUMMYFUNCTION("""COMPUTED_VALUE"""),"有")</f>
        <v>有</v>
      </c>
      <c r="Y2951" s="8" t="str">
        <f>IFERROR(__xludf.DUMMYFUNCTION("""COMPUTED_VALUE"""),"1巻目無料
2025/4/10まで2~21巻目無料")</f>
        <v>1巻目無料
2025/4/10まで2~21巻目無料</v>
      </c>
      <c r="Z2951" s="7"/>
      <c r="AA2951" s="7"/>
      <c r="AB2951" s="7"/>
    </row>
    <row r="2952" ht="15.75" customHeight="1">
      <c r="A2952" s="153">
        <f>IFERROR(__xludf.DUMMYFUNCTION("""COMPUTED_VALUE"""),5123.0)</f>
        <v>5123</v>
      </c>
      <c r="B2952" s="152" t="str">
        <f>IFERROR(__xludf.DUMMYFUNCTION("""COMPUTED_VALUE"""),"確定")</f>
        <v>確定</v>
      </c>
      <c r="C2952" s="154">
        <f>IFERROR(__xludf.DUMMYFUNCTION("""COMPUTED_VALUE"""),45714.0)</f>
        <v>45714</v>
      </c>
      <c r="D2952" s="154">
        <f>IFERROR(__xludf.DUMMYFUNCTION("""COMPUTED_VALUE"""),45716.0)</f>
        <v>45716</v>
      </c>
      <c r="E2952" s="158">
        <f>IFERROR(__xludf.DUMMYFUNCTION("""COMPUTED_VALUE"""),318282.0)</f>
        <v>318282</v>
      </c>
      <c r="F2952" s="159" t="str">
        <f>IFERROR(__xludf.DUMMYFUNCTION("""COMPUTED_VALUE"""),"高城くんのカレ【タテヨミ】")</f>
        <v>高城くんのカレ【タテヨミ】</v>
      </c>
      <c r="G2952" s="152" t="str">
        <f>IFERROR(__xludf.DUMMYFUNCTION("""COMPUTED_VALUE"""),"1～58")</f>
        <v>1～58</v>
      </c>
      <c r="H2952" s="152" t="str">
        <f>IFERROR(__xludf.DUMMYFUNCTION("""COMPUTED_VALUE"""),"リリー")</f>
        <v>リリー</v>
      </c>
      <c r="I2952" s="152" t="str">
        <f>IFERROR(__xludf.DUMMYFUNCTION("""COMPUTED_VALUE"""),"BLマンガ")</f>
        <v>BLマンガ</v>
      </c>
      <c r="J2952" s="157"/>
      <c r="K2952" s="157"/>
      <c r="L2952" s="152" t="str">
        <f>IFERROR(__xludf.DUMMYFUNCTION("""COMPUTED_VALUE"""),"レジンコミックス")</f>
        <v>レジンコミックス</v>
      </c>
      <c r="M2952" s="59">
        <f>IFERROR(__xludf.DUMMYFUNCTION("""COMPUTED_VALUE"""),45744.0)</f>
        <v>45744</v>
      </c>
      <c r="N2952" s="28">
        <f>IFERROR(__xludf.DUMMYFUNCTION("""COMPUTED_VALUE"""),45836.0)</f>
        <v>45836</v>
      </c>
      <c r="O2952" s="152"/>
      <c r="P2952" s="164" t="str">
        <f>IFERROR(__xludf.DUMMYFUNCTION("""COMPUTED_VALUE"""),"可")</f>
        <v>可</v>
      </c>
      <c r="Q2952" s="166"/>
      <c r="R2952" s="152"/>
      <c r="S2952" s="152" t="str">
        <f>IFERROR(__xludf.DUMMYFUNCTION("""COMPUTED_VALUE"""),"20250227_レジンコミックス_高城くんのカレ")</f>
        <v>20250227_レジンコミックス_高城くんのカレ</v>
      </c>
      <c r="T2952" s="152" t="str">
        <f>IFERROR(__xludf.DUMMYFUNCTION("""COMPUTED_VALUE"""),"格納済み")</f>
        <v>格納済み</v>
      </c>
      <c r="U2952" s="15" t="str">
        <f>IFERROR(__xludf.DUMMYFUNCTION("""COMPUTED_VALUE"""),"Ⓒ リリー / レジンコミックス")</f>
        <v>Ⓒ リリー / レジンコミックス</v>
      </c>
      <c r="V2952" s="8" t="str">
        <f>IFERROR(__xludf.DUMMYFUNCTION("""COMPUTED_VALUE"""),"#執着攻め #意地っ張り受け #三角関係 #双子 大学生になってからのとある春。昔、片想いをしていた高城良緒(たかしろらお)と再会した和久井蒼真(わくいそうま)。蒼真は恥ずかしがり屋で人見知りな性格のせいで、再会したにも関わらず、良緒に話しかけることができなかった…。そこで思いついたのが、自分とそっくりな双子の弟である純真(じゅんま)に自分の代わりになってもらうこと。純真は兄の代わりに良緒にアタックをすることになるが、純真も次第に彼のことが気になっていき…？")</f>
        <v>#執着攻め #意地っ張り受け #三角関係 #双子 大学生になってからのとある春。昔、片想いをしていた高城良緒(たかしろらお)と再会した和久井蒼真(わくいそうま)。蒼真は恥ずかしがり屋で人見知りな性格のせいで、再会したにも関わらず、良緒に話しかけることができなかった…。そこで思いついたのが、自分とそっくりな双子の弟である純真(じゅんま)に自分の代わりになってもらうこと。純真は兄の代わりに良緒にアタックをすることになるが、純真も次第に彼のことが気になっていき…？</v>
      </c>
      <c r="W2952" s="14"/>
      <c r="X2952" s="14" t="str">
        <f>IFERROR(__xludf.DUMMYFUNCTION("""COMPUTED_VALUE"""),"有")</f>
        <v>有</v>
      </c>
      <c r="Y2952" s="8" t="str">
        <f>IFERROR(__xludf.DUMMYFUNCTION("""COMPUTED_VALUE"""),"1巻目無料
2025/4/10まで2~20巻目無料")</f>
        <v>1巻目無料
2025/4/10まで2~20巻目無料</v>
      </c>
      <c r="Z2952" s="7"/>
      <c r="AA2952" s="7"/>
      <c r="AB2952" s="7"/>
    </row>
    <row r="2953" ht="15.75" customHeight="1">
      <c r="A2953" s="153">
        <f>IFERROR(__xludf.DUMMYFUNCTION("""COMPUTED_VALUE"""),5124.0)</f>
        <v>5124</v>
      </c>
      <c r="B2953" s="152" t="str">
        <f>IFERROR(__xludf.DUMMYFUNCTION("""COMPUTED_VALUE"""),"確定")</f>
        <v>確定</v>
      </c>
      <c r="C2953" s="154">
        <f>IFERROR(__xludf.DUMMYFUNCTION("""COMPUTED_VALUE"""),45714.0)</f>
        <v>45714</v>
      </c>
      <c r="D2953" s="154">
        <f>IFERROR(__xludf.DUMMYFUNCTION("""COMPUTED_VALUE"""),45716.0)</f>
        <v>45716</v>
      </c>
      <c r="E2953" s="158">
        <f>IFERROR(__xludf.DUMMYFUNCTION("""COMPUTED_VALUE"""),317005.0)</f>
        <v>317005</v>
      </c>
      <c r="F2953" s="159" t="str">
        <f>IFERROR(__xludf.DUMMYFUNCTION("""COMPUTED_VALUE"""),"アネモネ劇場〜あの頃の僕たちの青春物語上映中〜【タテヨミ】")</f>
        <v>アネモネ劇場〜あの頃の僕たちの青春物語上映中〜【タテヨミ】</v>
      </c>
      <c r="G2953" s="152" t="str">
        <f>IFERROR(__xludf.DUMMYFUNCTION("""COMPUTED_VALUE"""),"1～65")</f>
        <v>1～65</v>
      </c>
      <c r="H2953" s="152" t="str">
        <f>IFERROR(__xludf.DUMMYFUNCTION("""COMPUTED_VALUE"""),"原作:NOK-HAE / 作画:Zoy")</f>
        <v>原作:NOK-HAE / 作画:Zoy</v>
      </c>
      <c r="I2953" s="152" t="str">
        <f>IFERROR(__xludf.DUMMYFUNCTION("""COMPUTED_VALUE"""),"BLマンガ")</f>
        <v>BLマンガ</v>
      </c>
      <c r="J2953" s="157"/>
      <c r="K2953" s="157"/>
      <c r="L2953" s="152" t="str">
        <f>IFERROR(__xludf.DUMMYFUNCTION("""COMPUTED_VALUE"""),"レジンコミックス")</f>
        <v>レジンコミックス</v>
      </c>
      <c r="M2953" s="59">
        <f>IFERROR(__xludf.DUMMYFUNCTION("""COMPUTED_VALUE"""),45744.0)</f>
        <v>45744</v>
      </c>
      <c r="N2953" s="28">
        <f>IFERROR(__xludf.DUMMYFUNCTION("""COMPUTED_VALUE"""),45836.0)</f>
        <v>45836</v>
      </c>
      <c r="O2953" s="152"/>
      <c r="P2953" s="164" t="str">
        <f>IFERROR(__xludf.DUMMYFUNCTION("""COMPUTED_VALUE"""),"可")</f>
        <v>可</v>
      </c>
      <c r="Q2953" s="166"/>
      <c r="R2953" s="152"/>
      <c r="S2953" s="152" t="str">
        <f>IFERROR(__xludf.DUMMYFUNCTION("""COMPUTED_VALUE"""),"20250228_レジンコミックス_アネモネ劇場〜あの頃の僕たちの青春物語上映中〜")</f>
        <v>20250228_レジンコミックス_アネモネ劇場〜あの頃の僕たちの青春物語上映中〜</v>
      </c>
      <c r="T2953" s="152" t="str">
        <f>IFERROR(__xludf.DUMMYFUNCTION("""COMPUTED_VALUE"""),"格納済み")</f>
        <v>格納済み</v>
      </c>
      <c r="U2953" s="15" t="str">
        <f>IFERROR(__xludf.DUMMYFUNCTION("""COMPUTED_VALUE"""),"Ⓒ 原作:NOK-HAE / 作画:Zoy / レジンコミックス")</f>
        <v>Ⓒ 原作:NOK-HAE / 作画:Zoy / レジンコミックス</v>
      </c>
      <c r="V2953" s="8" t="str">
        <f>IFERROR(__xludf.DUMMYFUNCTION("""COMPUTED_VALUE"""),"#ワンナイト #セフレ #絶倫攻め #弱気受け 保守的な父親のせいで、ストレスが頂点に達してしまったソンホは、慢性頭痛に苦しんでいた。ある日、ソンホはどうしても痛みを我慢出来ず、薬を丸ごと一気に飲んだ勢いで、誤って見知らぬ男とキスをしてしまう。でもキスをしたら、あんなにひどかった頭痛が治まった…!?果たしてこれは薬のせい？それともキスのせい？")</f>
        <v>#ワンナイト #セフレ #絶倫攻め #弱気受け 保守的な父親のせいで、ストレスが頂点に達してしまったソンホは、慢性頭痛に苦しんでいた。ある日、ソンホはどうしても痛みを我慢出来ず、薬を丸ごと一気に飲んだ勢いで、誤って見知らぬ男とキスをしてしまう。でもキスをしたら、あんなにひどかった頭痛が治まった…!?果たしてこれは薬のせい？それともキスのせい？</v>
      </c>
      <c r="W2953" s="14"/>
      <c r="X2953" s="14" t="str">
        <f>IFERROR(__xludf.DUMMYFUNCTION("""COMPUTED_VALUE"""),"有")</f>
        <v>有</v>
      </c>
      <c r="Y2953" s="8" t="str">
        <f>IFERROR(__xludf.DUMMYFUNCTION("""COMPUTED_VALUE"""),"1巻目無料
2025/4/10まで2~19巻目無料")</f>
        <v>1巻目無料
2025/4/10まで2~19巻目無料</v>
      </c>
      <c r="Z2953" s="7"/>
      <c r="AA2953" s="7"/>
      <c r="AB2953" s="7"/>
    </row>
    <row r="2954" ht="15.75" customHeight="1">
      <c r="A2954" s="153">
        <f>IFERROR(__xludf.DUMMYFUNCTION("""COMPUTED_VALUE"""),5125.0)</f>
        <v>5125</v>
      </c>
      <c r="B2954" s="152" t="str">
        <f>IFERROR(__xludf.DUMMYFUNCTION("""COMPUTED_VALUE"""),"確定")</f>
        <v>確定</v>
      </c>
      <c r="C2954" s="154">
        <f>IFERROR(__xludf.DUMMYFUNCTION("""COMPUTED_VALUE"""),45714.0)</f>
        <v>45714</v>
      </c>
      <c r="D2954" s="154">
        <f>IFERROR(__xludf.DUMMYFUNCTION("""COMPUTED_VALUE"""),45715.0)</f>
        <v>45715</v>
      </c>
      <c r="E2954" s="158">
        <f>IFERROR(__xludf.DUMMYFUNCTION("""COMPUTED_VALUE"""),317002.0)</f>
        <v>317002</v>
      </c>
      <c r="F2954" s="159" t="str">
        <f>IFERROR(__xludf.DUMMYFUNCTION("""COMPUTED_VALUE"""),"内緒の特別講義")</f>
        <v>内緒の特別講義</v>
      </c>
      <c r="G2954" s="152" t="str">
        <f>IFERROR(__xludf.DUMMYFUNCTION("""COMPUTED_VALUE"""),"1～57")</f>
        <v>1～57</v>
      </c>
      <c r="H2954" s="152" t="str">
        <f>IFERROR(__xludf.DUMMYFUNCTION("""COMPUTED_VALUE"""),"原作:あんこ / 作画:もんや")</f>
        <v>原作:あんこ / 作画:もんや</v>
      </c>
      <c r="I2954" s="152" t="str">
        <f>IFERROR(__xludf.DUMMYFUNCTION("""COMPUTED_VALUE"""),"BLマンガ")</f>
        <v>BLマンガ</v>
      </c>
      <c r="J2954" s="157"/>
      <c r="K2954" s="157"/>
      <c r="L2954" s="152" t="str">
        <f>IFERROR(__xludf.DUMMYFUNCTION("""COMPUTED_VALUE"""),"レジンコミックス")</f>
        <v>レジンコミックス</v>
      </c>
      <c r="M2954" s="59">
        <f>IFERROR(__xludf.DUMMYFUNCTION("""COMPUTED_VALUE"""),45744.0)</f>
        <v>45744</v>
      </c>
      <c r="N2954" s="28">
        <f>IFERROR(__xludf.DUMMYFUNCTION("""COMPUTED_VALUE"""),45836.0)</f>
        <v>45836</v>
      </c>
      <c r="O2954" s="152"/>
      <c r="P2954" s="164" t="str">
        <f>IFERROR(__xludf.DUMMYFUNCTION("""COMPUTED_VALUE"""),"可")</f>
        <v>可</v>
      </c>
      <c r="Q2954" s="166"/>
      <c r="R2954" s="152"/>
      <c r="S2954" s="152" t="str">
        <f>IFERROR(__xludf.DUMMYFUNCTION("""COMPUTED_VALUE"""),"20250227_レジンコミックス_内緒の特別講義")</f>
        <v>20250227_レジンコミックス_内緒の特別講義</v>
      </c>
      <c r="T2954" s="152" t="str">
        <f>IFERROR(__xludf.DUMMYFUNCTION("""COMPUTED_VALUE"""),"格納済み")</f>
        <v>格納済み</v>
      </c>
      <c r="U2954" s="15" t="str">
        <f>IFERROR(__xludf.DUMMYFUNCTION("""COMPUTED_VALUE"""),"Ⓒ 原作:あんこ / 作画:もんや / レジンコミックス")</f>
        <v>Ⓒ 原作:あんこ / 作画:もんや / レジンコミックス</v>
      </c>
      <c r="V2954" s="8" t="str">
        <f>IFERROR(__xludf.DUMMYFUNCTION("""COMPUTED_VALUE"""),"#SM #セフレ #師弟関係 #複数プレイ#三角関係 #教授と学生たち 課題の資料が入っているUSBを取りに、誰もいないはずの講義室に入った主人公・順人。しかし、そこにはSMプレイ真っ最中の、教授・尊＆同じ学科の同期・光稀!? 動揺を隠せない主人公を見た教授は、彼を追い払うどころか、むしろSMプレイに参加することを提案するが…？ 常人なら当然断る状況ではあるが…実は教授のパートナーである光稀は、順人の片思いの相手!? 誰にも気づかれない、気づかれてはいけない内緒の特別講義が始まる！")</f>
        <v>#SM #セフレ #師弟関係 #複数プレイ#三角関係 #教授と学生たち 課題の資料が入っているUSBを取りに、誰もいないはずの講義室に入った主人公・順人。しかし、そこにはSMプレイ真っ最中の、教授・尊＆同じ学科の同期・光稀!? 動揺を隠せない主人公を見た教授は、彼を追い払うどころか、むしろSMプレイに参加することを提案するが…？ 常人なら当然断る状況ではあるが…実は教授のパートナーである光稀は、順人の片思いの相手!? 誰にも気づかれない、気づかれてはいけない内緒の特別講義が始まる！</v>
      </c>
      <c r="W2954" s="14"/>
      <c r="X2954" s="14" t="str">
        <f>IFERROR(__xludf.DUMMYFUNCTION("""COMPUTED_VALUE"""),"有")</f>
        <v>有</v>
      </c>
      <c r="Y2954" s="8" t="str">
        <f>IFERROR(__xludf.DUMMYFUNCTION("""COMPUTED_VALUE"""),"1巻目無料
2025/4/10まで2~17巻目無料")</f>
        <v>1巻目無料
2025/4/10まで2~17巻目無料</v>
      </c>
      <c r="Z2954" s="7"/>
      <c r="AA2954" s="7"/>
      <c r="AB2954" s="7"/>
    </row>
    <row r="2955" ht="15.75" customHeight="1">
      <c r="A2955" s="153">
        <f>IFERROR(__xludf.DUMMYFUNCTION("""COMPUTED_VALUE"""),5126.0)</f>
        <v>5126</v>
      </c>
      <c r="B2955" s="152" t="str">
        <f>IFERROR(__xludf.DUMMYFUNCTION("""COMPUTED_VALUE"""),"確定")</f>
        <v>確定</v>
      </c>
      <c r="C2955" s="154">
        <f>IFERROR(__xludf.DUMMYFUNCTION("""COMPUTED_VALUE"""),45714.0)</f>
        <v>45714</v>
      </c>
      <c r="D2955" s="154">
        <f>IFERROR(__xludf.DUMMYFUNCTION("""COMPUTED_VALUE"""),45715.0)</f>
        <v>45715</v>
      </c>
      <c r="E2955" s="158">
        <f>IFERROR(__xludf.DUMMYFUNCTION("""COMPUTED_VALUE"""),317003.0)</f>
        <v>317003</v>
      </c>
      <c r="F2955" s="159" t="str">
        <f>IFERROR(__xludf.DUMMYFUNCTION("""COMPUTED_VALUE"""),"そんなに俺が嫌いなら【タテヨミ】")</f>
        <v>そんなに俺が嫌いなら【タテヨミ】</v>
      </c>
      <c r="G2955" s="152" t="str">
        <f>IFERROR(__xludf.DUMMYFUNCTION("""COMPUTED_VALUE"""),"1～53")</f>
        <v>1～53</v>
      </c>
      <c r="H2955" s="152" t="str">
        <f>IFERROR(__xludf.DUMMYFUNCTION("""COMPUTED_VALUE"""),"ファーゴ")</f>
        <v>ファーゴ</v>
      </c>
      <c r="I2955" s="152" t="str">
        <f>IFERROR(__xludf.DUMMYFUNCTION("""COMPUTED_VALUE"""),"BLマンガ")</f>
        <v>BLマンガ</v>
      </c>
      <c r="J2955" s="157"/>
      <c r="K2955" s="157"/>
      <c r="L2955" s="152" t="str">
        <f>IFERROR(__xludf.DUMMYFUNCTION("""COMPUTED_VALUE"""),"レジンコミックス")</f>
        <v>レジンコミックス</v>
      </c>
      <c r="M2955" s="59">
        <f>IFERROR(__xludf.DUMMYFUNCTION("""COMPUTED_VALUE"""),45744.0)</f>
        <v>45744</v>
      </c>
      <c r="N2955" s="28">
        <f>IFERROR(__xludf.DUMMYFUNCTION("""COMPUTED_VALUE"""),45836.0)</f>
        <v>45836</v>
      </c>
      <c r="O2955" s="152"/>
      <c r="P2955" s="164" t="str">
        <f>IFERROR(__xludf.DUMMYFUNCTION("""COMPUTED_VALUE"""),"可")</f>
        <v>可</v>
      </c>
      <c r="Q2955" s="166"/>
      <c r="R2955" s="152"/>
      <c r="S2955" s="152" t="str">
        <f>IFERROR(__xludf.DUMMYFUNCTION("""COMPUTED_VALUE"""),"20250227_レジンコミックス_そんなに俺が嫌いなら")</f>
        <v>20250227_レジンコミックス_そんなに俺が嫌いなら</v>
      </c>
      <c r="T2955" s="152" t="str">
        <f>IFERROR(__xludf.DUMMYFUNCTION("""COMPUTED_VALUE"""),"格納済み")</f>
        <v>格納済み</v>
      </c>
      <c r="U2955" s="15" t="str">
        <f>IFERROR(__xludf.DUMMYFUNCTION("""COMPUTED_VALUE"""),"Ⓒ ファーゴ / レジンコミックス")</f>
        <v>Ⓒ ファーゴ / レジンコミックス</v>
      </c>
      <c r="V2955" s="8" t="str">
        <f>IFERROR(__xludf.DUMMYFUNCTION("""COMPUTED_VALUE"""),"#年下攻め #多角関係 #先輩後輩 #キャンパス 寝ている助教授の前でオ○ニーをする後輩を目撃してしまった陽仁。寝ている助教授をオカズにオ○ニーしているところを先輩に見られた勝造。最悪の第一印象。何も知らぬ助教授を間に、緊張感走る二人の関係は？")</f>
        <v>#年下攻め #多角関係 #先輩後輩 #キャンパス 寝ている助教授の前でオ○ニーをする後輩を目撃してしまった陽仁。寝ている助教授をオカズにオ○ニーしているところを先輩に見られた勝造。最悪の第一印象。何も知らぬ助教授を間に、緊張感走る二人の関係は？</v>
      </c>
      <c r="W2955" s="14"/>
      <c r="X2955" s="14" t="str">
        <f>IFERROR(__xludf.DUMMYFUNCTION("""COMPUTED_VALUE"""),"有")</f>
        <v>有</v>
      </c>
      <c r="Y2955" s="8" t="str">
        <f>IFERROR(__xludf.DUMMYFUNCTION("""COMPUTED_VALUE"""),"1巻目無料
2025/4/10まで2~16巻目無料")</f>
        <v>1巻目無料
2025/4/10まで2~16巻目無料</v>
      </c>
      <c r="Z2955" s="7"/>
      <c r="AA2955" s="7"/>
      <c r="AB2955" s="7"/>
    </row>
    <row r="2956" ht="15.75" customHeight="1">
      <c r="A2956" s="153">
        <f>IFERROR(__xludf.DUMMYFUNCTION("""COMPUTED_VALUE"""),5127.0)</f>
        <v>5127</v>
      </c>
      <c r="B2956" s="152" t="str">
        <f>IFERROR(__xludf.DUMMYFUNCTION("""COMPUTED_VALUE"""),"確定")</f>
        <v>確定</v>
      </c>
      <c r="C2956" s="154">
        <f>IFERROR(__xludf.DUMMYFUNCTION("""COMPUTED_VALUE"""),45714.0)</f>
        <v>45714</v>
      </c>
      <c r="D2956" s="154">
        <f>IFERROR(__xludf.DUMMYFUNCTION("""COMPUTED_VALUE"""),45715.0)</f>
        <v>45715</v>
      </c>
      <c r="E2956" s="158">
        <f>IFERROR(__xludf.DUMMYFUNCTION("""COMPUTED_VALUE"""),318277.0)</f>
        <v>318277</v>
      </c>
      <c r="F2956" s="159" t="str">
        <f>IFERROR(__xludf.DUMMYFUNCTION("""COMPUTED_VALUE"""),"体育教師Ｍ〜男の俺がMになる時〜【タテヨミ】")</f>
        <v>体育教師Ｍ〜男の俺がMになる時〜【タテヨミ】</v>
      </c>
      <c r="G2956" s="152" t="str">
        <f>IFERROR(__xludf.DUMMYFUNCTION("""COMPUTED_VALUE"""),"1～53")</f>
        <v>1～53</v>
      </c>
      <c r="H2956" s="152" t="str">
        <f>IFERROR(__xludf.DUMMYFUNCTION("""COMPUTED_VALUE"""),"パンイン")</f>
        <v>パンイン</v>
      </c>
      <c r="I2956" s="152" t="str">
        <f>IFERROR(__xludf.DUMMYFUNCTION("""COMPUTED_VALUE"""),"BLマンガ")</f>
        <v>BLマンガ</v>
      </c>
      <c r="J2956" s="157"/>
      <c r="K2956" s="157"/>
      <c r="L2956" s="152" t="str">
        <f>IFERROR(__xludf.DUMMYFUNCTION("""COMPUTED_VALUE"""),"レジンコミックス")</f>
        <v>レジンコミックス</v>
      </c>
      <c r="M2956" s="59">
        <f>IFERROR(__xludf.DUMMYFUNCTION("""COMPUTED_VALUE"""),45744.0)</f>
        <v>45744</v>
      </c>
      <c r="N2956" s="28">
        <f>IFERROR(__xludf.DUMMYFUNCTION("""COMPUTED_VALUE"""),45836.0)</f>
        <v>45836</v>
      </c>
      <c r="O2956" s="152"/>
      <c r="P2956" s="164" t="str">
        <f>IFERROR(__xludf.DUMMYFUNCTION("""COMPUTED_VALUE"""),"可")</f>
        <v>可</v>
      </c>
      <c r="Q2956" s="166"/>
      <c r="R2956" s="152"/>
      <c r="S2956" s="152" t="str">
        <f>IFERROR(__xludf.DUMMYFUNCTION("""COMPUTED_VALUE"""),"20250227_レジンコミックス_体育教師M")</f>
        <v>20250227_レジンコミックス_体育教師M</v>
      </c>
      <c r="T2956" s="152" t="str">
        <f>IFERROR(__xludf.DUMMYFUNCTION("""COMPUTED_VALUE"""),"格納済み")</f>
        <v>格納済み</v>
      </c>
      <c r="U2956" s="15" t="str">
        <f>IFERROR(__xludf.DUMMYFUNCTION("""COMPUTED_VALUE"""),"Ⓒ パンイン / レジンコミックス")</f>
        <v>Ⓒ パンイン / レジンコミックス</v>
      </c>
      <c r="V2956" s="8" t="str">
        <f>IFERROR(__xludf.DUMMYFUNCTION("""COMPUTED_VALUE"""),"#過激 #SM #美人受け #筋肉攻め 「先生はどこまで耐えられるかな？」 体育教師であるチャ・ジンホの平和な学校生活が、突然訪れた一人の監査官によって覆される。監査官のイ・ソンウに弱点を握られたジンホは、彼が望むプレイの言いなりになりながら数多くの屈辱を味わうことになる。しかし、プライドの高いジンホは彼に抵抗感を抱きながらも、その羞恥心とは裏腹に強い快感を感じるようになり…？")</f>
        <v>#過激 #SM #美人受け #筋肉攻め 「先生はどこまで耐えられるかな？」 体育教師であるチャ・ジンホの平和な学校生活が、突然訪れた一人の監査官によって覆される。監査官のイ・ソンウに弱点を握られたジンホは、彼が望むプレイの言いなりになりながら数多くの屈辱を味わうことになる。しかし、プライドの高いジンホは彼に抵抗感を抱きながらも、その羞恥心とは裏腹に強い快感を感じるようになり…？</v>
      </c>
      <c r="W2956" s="14"/>
      <c r="X2956" s="14" t="str">
        <f>IFERROR(__xludf.DUMMYFUNCTION("""COMPUTED_VALUE"""),"有")</f>
        <v>有</v>
      </c>
      <c r="Y2956" s="8" t="str">
        <f>IFERROR(__xludf.DUMMYFUNCTION("""COMPUTED_VALUE"""),"1巻目無料
2025/4/10まで2~15巻目無料")</f>
        <v>1巻目無料
2025/4/10まで2~15巻目無料</v>
      </c>
      <c r="Z2956" s="7"/>
      <c r="AA2956" s="7"/>
      <c r="AB2956" s="7"/>
    </row>
    <row r="2957" ht="15.75" customHeight="1">
      <c r="A2957" s="153">
        <f>IFERROR(__xludf.DUMMYFUNCTION("""COMPUTED_VALUE"""),5134.0)</f>
        <v>5134</v>
      </c>
      <c r="B2957" s="152" t="str">
        <f>IFERROR(__xludf.DUMMYFUNCTION("""COMPUTED_VALUE"""),"確定")</f>
        <v>確定</v>
      </c>
      <c r="C2957" s="154">
        <f>IFERROR(__xludf.DUMMYFUNCTION("""COMPUTED_VALUE"""),45715.0)</f>
        <v>45715</v>
      </c>
      <c r="D2957" s="154">
        <f>IFERROR(__xludf.DUMMYFUNCTION("""COMPUTED_VALUE"""),45719.0)</f>
        <v>45719</v>
      </c>
      <c r="E2957" s="158">
        <f>IFERROR(__xludf.DUMMYFUNCTION("""COMPUTED_VALUE"""),317973.0)</f>
        <v>317973</v>
      </c>
      <c r="F2957" s="159" t="str">
        <f>IFERROR(__xludf.DUMMYFUNCTION("""COMPUTED_VALUE"""),"恋はごはんを食べてから")</f>
        <v>恋はごはんを食べてから</v>
      </c>
      <c r="G2957" s="152" t="str">
        <f>IFERROR(__xludf.DUMMYFUNCTION("""COMPUTED_VALUE"""),"1～3")</f>
        <v>1～3</v>
      </c>
      <c r="H2957" s="152" t="str">
        <f>IFERROR(__xludf.DUMMYFUNCTION("""COMPUTED_VALUE"""),"棗アキラ")</f>
        <v>棗アキラ</v>
      </c>
      <c r="I2957" s="152" t="str">
        <f>IFERROR(__xludf.DUMMYFUNCTION("""COMPUTED_VALUE"""),"女性")</f>
        <v>女性</v>
      </c>
      <c r="J2957" s="157"/>
      <c r="K2957" s="152" t="str">
        <f>IFERROR(__xludf.DUMMYFUNCTION("""COMPUTED_VALUE"""),"マーガレットコミックスDIGITAL")</f>
        <v>マーガレットコミックスDIGITAL</v>
      </c>
      <c r="L2957" s="152" t="str">
        <f>IFERROR(__xludf.DUMMYFUNCTION("""COMPUTED_VALUE"""),"集英社")</f>
        <v>集英社</v>
      </c>
      <c r="M2957" s="28">
        <f>IFERROR(__xludf.DUMMYFUNCTION("""COMPUTED_VALUE"""),45741.0)</f>
        <v>45741</v>
      </c>
      <c r="N2957" s="28">
        <f>IFERROR(__xludf.DUMMYFUNCTION("""COMPUTED_VALUE"""),45771.0)</f>
        <v>45771</v>
      </c>
      <c r="O2957" s="152"/>
      <c r="P2957" s="190" t="str">
        <f>IFERROR(__xludf.DUMMYFUNCTION("""COMPUTED_VALUE"""),"否")</f>
        <v>否</v>
      </c>
      <c r="Q2957" s="190"/>
      <c r="R2957" s="152"/>
      <c r="S2957" s="152" t="str">
        <f>IFERROR(__xludf.DUMMYFUNCTION("""COMPUTED_VALUE"""),"20250227_集英社_恋はごはんを食べてから")</f>
        <v>20250227_集英社_恋はごはんを食べてから</v>
      </c>
      <c r="T2957" s="152" t="str">
        <f>IFERROR(__xludf.DUMMYFUNCTION("""COMPUTED_VALUE"""),"格納済み")</f>
        <v>格納済み</v>
      </c>
      <c r="U2957" s="15" t="str">
        <f>IFERROR(__xludf.DUMMYFUNCTION("""COMPUTED_VALUE"""),"Ⓒ棗アキラ／集英社")</f>
        <v>Ⓒ棗アキラ／集英社</v>
      </c>
      <c r="V2957" s="8" t="str">
        <f>IFERROR(__xludf.DUMMYFUNCTION("""COMPUTED_VALUE"""),"雫ゆうは中学生の頃のトラウマで食べることが苦手な会社員。他人と食事をするのも得意ではなく、恋も人間関係も停滞気味。ある日、新入社員の小春くんと社外挨拶。長身でクールでマイペースな彼に振り回されてばかり。帰り際、お腹が減った小春くんと中華料理屋に入ることに。彼の豪快で大胆で迫力のある食べっぷりに感化され、雫も箸が進み…。久しぶりにラーメン完食！　そんな様子を見た小春くんは…「好きです」!?　「正直、ムラムラしました」!?")</f>
        <v>雫ゆうは中学生の頃のトラウマで食べることが苦手な会社員。他人と食事をするのも得意ではなく、恋も人間関係も停滞気味。ある日、新入社員の小春くんと社外挨拶。長身でクールでマイペースな彼に振り回されてばかり。帰り際、お腹が減った小春くんと中華料理屋に入ることに。彼の豪快で大胆で迫力のある食べっぷりに感化され、雫も箸が進み…。久しぶりにラーメン完食！　そんな様子を見た小春くんは…「好きです」!?　「正直、ムラムラしました」!?</v>
      </c>
      <c r="W2957" s="14"/>
      <c r="X2957" s="14" t="str">
        <f>IFERROR(__xludf.DUMMYFUNCTION("""COMPUTED_VALUE"""),"有")</f>
        <v>有</v>
      </c>
      <c r="Y2957" s="8" t="str">
        <f>IFERROR(__xludf.DUMMYFUNCTION("""COMPUTED_VALUE"""),"2025/4/24まで1巻無料")</f>
        <v>2025/4/24まで1巻無料</v>
      </c>
      <c r="Z2957" s="7"/>
      <c r="AA2957" s="7"/>
      <c r="AB2957" s="7"/>
    </row>
    <row r="2958" ht="15.75" customHeight="1">
      <c r="A2958" s="153">
        <f>IFERROR(__xludf.DUMMYFUNCTION("""COMPUTED_VALUE"""),5139.0)</f>
        <v>5139</v>
      </c>
      <c r="B2958" s="152" t="str">
        <f>IFERROR(__xludf.DUMMYFUNCTION("""COMPUTED_VALUE"""),"確定")</f>
        <v>確定</v>
      </c>
      <c r="C2958" s="154">
        <f>IFERROR(__xludf.DUMMYFUNCTION("""COMPUTED_VALUE"""),45716.0)</f>
        <v>45716</v>
      </c>
      <c r="D2958" s="154">
        <f>IFERROR(__xludf.DUMMYFUNCTION("""COMPUTED_VALUE"""),45719.0)</f>
        <v>45719</v>
      </c>
      <c r="E2958" s="158">
        <f>IFERROR(__xludf.DUMMYFUNCTION("""COMPUTED_VALUE"""),317804.0)</f>
        <v>317804</v>
      </c>
      <c r="F2958" s="159" t="str">
        <f>IFERROR(__xludf.DUMMYFUNCTION("""COMPUTED_VALUE"""),"不覚にも敵を救ってしまった")</f>
        <v>不覚にも敵を救ってしまった</v>
      </c>
      <c r="G2958" s="152" t="str">
        <f>IFERROR(__xludf.DUMMYFUNCTION("""COMPUTED_VALUE"""),"1～10")</f>
        <v>1～10</v>
      </c>
      <c r="H2958" s="152" t="str">
        <f>IFERROR(__xludf.DUMMYFUNCTION("""COMPUTED_VALUE"""),"六木喬")</f>
        <v>六木喬</v>
      </c>
      <c r="I2958" s="152" t="str">
        <f>IFERROR(__xludf.DUMMYFUNCTION("""COMPUTED_VALUE"""),"BL")</f>
        <v>BL</v>
      </c>
      <c r="J2958" s="157"/>
      <c r="K2958" s="157"/>
      <c r="L2958" s="160" t="str">
        <f>IFERROR(__xludf.DUMMYFUNCTION("""COMPUTED_VALUE"""),"SBCr")</f>
        <v>SBCr</v>
      </c>
      <c r="M2958" s="28">
        <f>IFERROR(__xludf.DUMMYFUNCTION("""COMPUTED_VALUE"""),45738.0)</f>
        <v>45738</v>
      </c>
      <c r="N2958" s="59">
        <f>IFERROR(__xludf.DUMMYFUNCTION("""COMPUTED_VALUE"""),45772.0)</f>
        <v>45772</v>
      </c>
      <c r="O2958" s="152"/>
      <c r="P2958" s="164" t="str">
        <f>IFERROR(__xludf.DUMMYFUNCTION("""COMPUTED_VALUE"""),"可")</f>
        <v>可</v>
      </c>
      <c r="Q2958" s="166"/>
      <c r="R2958" s="152"/>
      <c r="S2958" s="152" t="str">
        <f>IFERROR(__xludf.DUMMYFUNCTION("""COMPUTED_VALUE"""),"20250228_SBクリエイティブ_不覚にも敵を救ってしまった")</f>
        <v>20250228_SBクリエイティブ_不覚にも敵を救ってしまった</v>
      </c>
      <c r="T2958" s="152" t="str">
        <f>IFERROR(__xludf.DUMMYFUNCTION("""COMPUTED_VALUE"""),"格納済み")</f>
        <v>格納済み</v>
      </c>
      <c r="U2958" s="15" t="str">
        <f>IFERROR(__xludf.DUMMYFUNCTION("""COMPUTED_VALUE"""),"ⒸBILIBILI COMICS/六木喬")</f>
        <v>ⒸBILIBILI COMICS/六木喬</v>
      </c>
      <c r="V2958" s="8" t="str">
        <f>IFERROR(__xludf.DUMMYFUNCTION("""COMPUTED_VALUE"""),"平凡な日々を送っていた主人公（医者）の前に、血だらけの少年が現れて助けを求める。その少年は、実は極悪非道な魔教主であった。 主人公が魔教主に手を打とうとした瞬間、少年は目を覚まし「生死の契り（少年が死ねば主人公も死ぬ、命をかけた契り）」を結んでしまう。その契りのせいでどうすることもできない主人公。やむを得ない道連れの日々が始まる。")</f>
        <v>平凡な日々を送っていた主人公（医者）の前に、血だらけの少年が現れて助けを求める。その少年は、実は極悪非道な魔教主であった。 主人公が魔教主に手を打とうとした瞬間、少年は目を覚まし「生死の契り（少年が死ねば主人公も死ぬ、命をかけた契り）」を結んでしまう。その契りのせいでどうすることもできない主人公。やむを得ない道連れの日々が始まる。</v>
      </c>
      <c r="W2958" s="14"/>
      <c r="X2958" s="14" t="str">
        <f>IFERROR(__xludf.DUMMYFUNCTION("""COMPUTED_VALUE"""),"有")</f>
        <v>有</v>
      </c>
      <c r="Y2958" s="8" t="str">
        <f>IFERROR(__xludf.DUMMYFUNCTION("""COMPUTED_VALUE"""),"1巻無料
2025/4/4まで2巻目無料")</f>
        <v>1巻無料
2025/4/4まで2巻目無料</v>
      </c>
      <c r="Z2958" s="7"/>
      <c r="AA2958" s="7"/>
      <c r="AB2958" s="7"/>
    </row>
    <row r="2959" ht="15.75" customHeight="1">
      <c r="A2959" s="153">
        <f>IFERROR(__xludf.DUMMYFUNCTION("""COMPUTED_VALUE"""),5140.0)</f>
        <v>5140</v>
      </c>
      <c r="B2959" s="152" t="str">
        <f>IFERROR(__xludf.DUMMYFUNCTION("""COMPUTED_VALUE"""),"確定")</f>
        <v>確定</v>
      </c>
      <c r="C2959" s="154">
        <f>IFERROR(__xludf.DUMMYFUNCTION("""COMPUTED_VALUE"""),45716.0)</f>
        <v>45716</v>
      </c>
      <c r="D2959" s="154">
        <f>IFERROR(__xludf.DUMMYFUNCTION("""COMPUTED_VALUE"""),45720.0)</f>
        <v>45720</v>
      </c>
      <c r="E2959" s="158">
        <f>IFERROR(__xludf.DUMMYFUNCTION("""COMPUTED_VALUE"""),315420.0)</f>
        <v>315420</v>
      </c>
      <c r="F2959" s="159" t="str">
        <f>IFERROR(__xludf.DUMMYFUNCTION("""COMPUTED_VALUE"""),"婚約破棄された公爵令嬢は別の男と初夜を迎えます")</f>
        <v>婚約破棄された公爵令嬢は別の男と初夜を迎えます</v>
      </c>
      <c r="G2959" s="153">
        <f>IFERROR(__xludf.DUMMYFUNCTION("""COMPUTED_VALUE"""),1.0)</f>
        <v>1</v>
      </c>
      <c r="H2959" s="152" t="str">
        <f>IFERROR(__xludf.DUMMYFUNCTION("""COMPUTED_VALUE"""),"藍沢 ミキ")</f>
        <v>藍沢 ミキ</v>
      </c>
      <c r="I2959" s="152" t="str">
        <f>IFERROR(__xludf.DUMMYFUNCTION("""COMPUTED_VALUE"""),"TL")</f>
        <v>TL</v>
      </c>
      <c r="J2959" s="157"/>
      <c r="K2959" s="152" t="str">
        <f>IFERROR(__xludf.DUMMYFUNCTION("""COMPUTED_VALUE"""),"LOVEBITES")</f>
        <v>LOVEBITES</v>
      </c>
      <c r="L2959" s="152" t="str">
        <f>IFERROR(__xludf.DUMMYFUNCTION("""COMPUTED_VALUE"""),"一迅社")</f>
        <v>一迅社</v>
      </c>
      <c r="M2959" s="59">
        <f>IFERROR(__xludf.DUMMYFUNCTION("""COMPUTED_VALUE"""),45744.0)</f>
        <v>45744</v>
      </c>
      <c r="N2959" s="59">
        <f>IFERROR(__xludf.DUMMYFUNCTION("""COMPUTED_VALUE"""),45774.0)</f>
        <v>45774</v>
      </c>
      <c r="O2959" s="152"/>
      <c r="P2959" s="190" t="str">
        <f>IFERROR(__xludf.DUMMYFUNCTION("""COMPUTED_VALUE"""),"可")</f>
        <v>可</v>
      </c>
      <c r="Q2959" s="152"/>
      <c r="R2959" s="152" t="str">
        <f>IFERROR(__xludf.DUMMYFUNCTION("""COMPUTED_VALUE"""),"コミットOK")</f>
        <v>コミットOK</v>
      </c>
      <c r="S2959" s="152" t="str">
        <f>IFERROR(__xludf.DUMMYFUNCTION("""COMPUTED_VALUE"""),"20250303_一迅社_婚約破棄された公爵令嬢は別の男と初夜を迎えます")</f>
        <v>20250303_一迅社_婚約破棄された公爵令嬢は別の男と初夜を迎えます</v>
      </c>
      <c r="T2959" s="152" t="str">
        <f>IFERROR(__xludf.DUMMYFUNCTION("""COMPUTED_VALUE"""),"格納済み")</f>
        <v>格納済み</v>
      </c>
      <c r="U2959" s="15" t="str">
        <f>IFERROR(__xludf.DUMMYFUNCTION("""COMPUTED_VALUE"""),"Ⓒ藍沢 ミキ／一迅社")</f>
        <v>Ⓒ藍沢 ミキ／一迅社</v>
      </c>
      <c r="V2959" s="8" t="str">
        <f>IFERROR(__xludf.DUMMYFUNCTION("""COMPUTED_VALUE"""),"幼いころから王妃教育を受けていた公爵令嬢・シャネットは聖女降臨を理由に婚約破棄されてしまう。しかし、大々的に執り行うことが決定していた結婚式を今更中止にできず、シャネットは別の男――護衛騎士のエドワードと結婚することとなり……。　※この作品は『婚約破棄されたはずなのに、慰めエッチでトロトロに堕とされちゃう!?アンソロジー』収録作品と同一の内容を単話版として再編集したものとなります。")</f>
        <v>幼いころから王妃教育を受けていた公爵令嬢・シャネットは聖女降臨を理由に婚約破棄されてしまう。しかし、大々的に執り行うことが決定していた結婚式を今更中止にできず、シャネットは別の男――護衛騎士のエドワードと結婚することとなり……。　※この作品は『婚約破棄されたはずなのに、慰めエッチでトロトロに堕とされちゃう!?アンソロジー』収録作品と同一の内容を単話版として再編集したものとなります。</v>
      </c>
      <c r="W2959" s="14"/>
      <c r="X2959" s="14" t="str">
        <f>IFERROR(__xludf.DUMMYFUNCTION("""COMPUTED_VALUE"""),"有")</f>
        <v>有</v>
      </c>
      <c r="Y2959" s="8" t="str">
        <f>IFERROR(__xludf.DUMMYFUNCTION("""COMPUTED_VALUE"""),"P7まで")</f>
        <v>P7まで</v>
      </c>
      <c r="Z2959" s="7"/>
      <c r="AA2959" s="7"/>
      <c r="AB2959" s="7"/>
    </row>
    <row r="2960" ht="15.75" customHeight="1">
      <c r="A2960" s="153">
        <f>IFERROR(__xludf.DUMMYFUNCTION("""COMPUTED_VALUE"""),5141.0)</f>
        <v>5141</v>
      </c>
      <c r="B2960" s="152" t="str">
        <f>IFERROR(__xludf.DUMMYFUNCTION("""COMPUTED_VALUE"""),"確定")</f>
        <v>確定</v>
      </c>
      <c r="C2960" s="154">
        <f>IFERROR(__xludf.DUMMYFUNCTION("""COMPUTED_VALUE"""),45716.0)</f>
        <v>45716</v>
      </c>
      <c r="D2960" s="154">
        <f>IFERROR(__xludf.DUMMYFUNCTION("""COMPUTED_VALUE"""),45719.0)</f>
        <v>45719</v>
      </c>
      <c r="E2960" s="158">
        <f>IFERROR(__xludf.DUMMYFUNCTION("""COMPUTED_VALUE"""),315421.0)</f>
        <v>315421</v>
      </c>
      <c r="F2960" s="159" t="str">
        <f>IFERROR(__xludf.DUMMYFUNCTION("""COMPUTED_VALUE"""),"ダメな私の奥まで満たして。")</f>
        <v>ダメな私の奥まで満たして。</v>
      </c>
      <c r="G2960" s="153">
        <f>IFERROR(__xludf.DUMMYFUNCTION("""COMPUTED_VALUE"""),1.0)</f>
        <v>1</v>
      </c>
      <c r="H2960" s="152" t="str">
        <f>IFERROR(__xludf.DUMMYFUNCTION("""COMPUTED_VALUE"""),"coimi")</f>
        <v>coimi</v>
      </c>
      <c r="I2960" s="152" t="str">
        <f>IFERROR(__xludf.DUMMYFUNCTION("""COMPUTED_VALUE"""),"TL")</f>
        <v>TL</v>
      </c>
      <c r="J2960" s="157"/>
      <c r="K2960" s="152" t="str">
        <f>IFERROR(__xludf.DUMMYFUNCTION("""COMPUTED_VALUE"""),"LOVEBITES")</f>
        <v>LOVEBITES</v>
      </c>
      <c r="L2960" s="152" t="str">
        <f>IFERROR(__xludf.DUMMYFUNCTION("""COMPUTED_VALUE"""),"一迅社")</f>
        <v>一迅社</v>
      </c>
      <c r="M2960" s="59">
        <f>IFERROR(__xludf.DUMMYFUNCTION("""COMPUTED_VALUE"""),45744.0)</f>
        <v>45744</v>
      </c>
      <c r="N2960" s="59">
        <f>IFERROR(__xludf.DUMMYFUNCTION("""COMPUTED_VALUE"""),45774.0)</f>
        <v>45774</v>
      </c>
      <c r="O2960" s="152"/>
      <c r="P2960" s="164" t="str">
        <f>IFERROR(__xludf.DUMMYFUNCTION("""COMPUTED_VALUE"""),"可")</f>
        <v>可</v>
      </c>
      <c r="Q2960" s="166"/>
      <c r="R2960" s="152"/>
      <c r="S2960" s="152" t="str">
        <f>IFERROR(__xludf.DUMMYFUNCTION("""COMPUTED_VALUE"""),"20250303_一迅社_ダメな私の奥まで満たして。")</f>
        <v>20250303_一迅社_ダメな私の奥まで満たして。</v>
      </c>
      <c r="T2960" s="152" t="str">
        <f>IFERROR(__xludf.DUMMYFUNCTION("""COMPUTED_VALUE"""),"格納済み")</f>
        <v>格納済み</v>
      </c>
      <c r="U2960" s="15" t="str">
        <f>IFERROR(__xludf.DUMMYFUNCTION("""COMPUTED_VALUE"""),"Ⓒcoimi／一迅社")</f>
        <v>Ⓒcoimi／一迅社</v>
      </c>
      <c r="V2960" s="8" t="str">
        <f>IFERROR(__xludf.DUMMYFUNCTION("""COMPUTED_VALUE"""),"とろくてダメな私は、婚約破棄されても仕方がない――幼い頃から婚約者に嫌われていた有美。そんな有美を迎えに来たのは元婚約者の弟の直也で……？　※この作品は『婚約破棄されたはずなのに、慰めエッチでトロトロに堕とされちゃう!?アンソロジー』収録作品と同一の内容を単話版として再編集したものとなります。")</f>
        <v>とろくてダメな私は、婚約破棄されても仕方がない――幼い頃から婚約者に嫌われていた有美。そんな有美を迎えに来たのは元婚約者の弟の直也で……？　※この作品は『婚約破棄されたはずなのに、慰めエッチでトロトロに堕とされちゃう!?アンソロジー』収録作品と同一の内容を単話版として再編集したものとなります。</v>
      </c>
      <c r="W2960" s="14"/>
      <c r="X2960" s="14" t="str">
        <f>IFERROR(__xludf.DUMMYFUNCTION("""COMPUTED_VALUE"""),"有")</f>
        <v>有</v>
      </c>
      <c r="Y2960" s="8" t="str">
        <f>IFERROR(__xludf.DUMMYFUNCTION("""COMPUTED_VALUE"""),"P5まで")</f>
        <v>P5まで</v>
      </c>
      <c r="Z2960" s="7"/>
      <c r="AA2960" s="7"/>
      <c r="AB2960" s="7"/>
    </row>
    <row r="2961" ht="15.75" customHeight="1">
      <c r="A2961" s="153">
        <f>IFERROR(__xludf.DUMMYFUNCTION("""COMPUTED_VALUE"""),5142.0)</f>
        <v>5142</v>
      </c>
      <c r="B2961" s="152" t="str">
        <f>IFERROR(__xludf.DUMMYFUNCTION("""COMPUTED_VALUE"""),"確定")</f>
        <v>確定</v>
      </c>
      <c r="C2961" s="154">
        <f>IFERROR(__xludf.DUMMYFUNCTION("""COMPUTED_VALUE"""),45716.0)</f>
        <v>45716</v>
      </c>
      <c r="D2961" s="154">
        <f>IFERROR(__xludf.DUMMYFUNCTION("""COMPUTED_VALUE"""),45720.0)</f>
        <v>45720</v>
      </c>
      <c r="E2961" s="158">
        <f>IFERROR(__xludf.DUMMYFUNCTION("""COMPUTED_VALUE"""),315422.0)</f>
        <v>315422</v>
      </c>
      <c r="F2961" s="159" t="str">
        <f>IFERROR(__xludf.DUMMYFUNCTION("""COMPUTED_VALUE"""),"ご褒美吸血で超絶溺愛されてます")</f>
        <v>ご褒美吸血で超絶溺愛されてます</v>
      </c>
      <c r="G2961" s="153">
        <f>IFERROR(__xludf.DUMMYFUNCTION("""COMPUTED_VALUE"""),1.0)</f>
        <v>1</v>
      </c>
      <c r="H2961" s="152" t="str">
        <f>IFERROR(__xludf.DUMMYFUNCTION("""COMPUTED_VALUE"""),"Rinriiii")</f>
        <v>Rinriiii</v>
      </c>
      <c r="I2961" s="152" t="str">
        <f>IFERROR(__xludf.DUMMYFUNCTION("""COMPUTED_VALUE"""),"TL")</f>
        <v>TL</v>
      </c>
      <c r="J2961" s="157"/>
      <c r="K2961" s="152" t="str">
        <f>IFERROR(__xludf.DUMMYFUNCTION("""COMPUTED_VALUE"""),"LOVEBITES")</f>
        <v>LOVEBITES</v>
      </c>
      <c r="L2961" s="152" t="str">
        <f>IFERROR(__xludf.DUMMYFUNCTION("""COMPUTED_VALUE"""),"一迅社")</f>
        <v>一迅社</v>
      </c>
      <c r="M2961" s="59">
        <f>IFERROR(__xludf.DUMMYFUNCTION("""COMPUTED_VALUE"""),45744.0)</f>
        <v>45744</v>
      </c>
      <c r="N2961" s="59">
        <f>IFERROR(__xludf.DUMMYFUNCTION("""COMPUTED_VALUE"""),45774.0)</f>
        <v>45774</v>
      </c>
      <c r="O2961" s="152"/>
      <c r="P2961" s="190" t="str">
        <f>IFERROR(__xludf.DUMMYFUNCTION("""COMPUTED_VALUE"""),"可")</f>
        <v>可</v>
      </c>
      <c r="Q2961" s="152"/>
      <c r="R2961" s="152" t="str">
        <f>IFERROR(__xludf.DUMMYFUNCTION("""COMPUTED_VALUE"""),"コミットOK")</f>
        <v>コミットOK</v>
      </c>
      <c r="S2961" s="152" t="str">
        <f>IFERROR(__xludf.DUMMYFUNCTION("""COMPUTED_VALUE"""),"20250303_一迅社_ご褒美吸血で超絶溺愛されてます")</f>
        <v>20250303_一迅社_ご褒美吸血で超絶溺愛されてます</v>
      </c>
      <c r="T2961" s="152" t="str">
        <f>IFERROR(__xludf.DUMMYFUNCTION("""COMPUTED_VALUE"""),"格納済み")</f>
        <v>格納済み</v>
      </c>
      <c r="U2961" s="15" t="str">
        <f>IFERROR(__xludf.DUMMYFUNCTION("""COMPUTED_VALUE"""),"ⒸRinriiii／一迅社")</f>
        <v>ⒸRinriiii／一迅社</v>
      </c>
      <c r="V2961" s="8" t="str">
        <f>IFERROR(__xludf.DUMMYFUNCTION("""COMPUTED_VALUE"""),"婚約して幸せの絶頂にいた鳴子は、ある日婚約破棄を言い渡される。会社で一人泣いていたところ、後輩・八神に突然涙を舐められて……!?　※この作品は『婚約破棄されたはずなのに、慰めエッチでトロトロに堕とされちゃう!?アンソロジー』収録作品と同一の内容を単話版として再編集したものとなります。")</f>
        <v>婚約して幸せの絶頂にいた鳴子は、ある日婚約破棄を言い渡される。会社で一人泣いていたところ、後輩・八神に突然涙を舐められて……!?　※この作品は『婚約破棄されたはずなのに、慰めエッチでトロトロに堕とされちゃう!?アンソロジー』収録作品と同一の内容を単話版として再編集したものとなります。</v>
      </c>
      <c r="W2961" s="14"/>
      <c r="X2961" s="14" t="str">
        <f>IFERROR(__xludf.DUMMYFUNCTION("""COMPUTED_VALUE"""),"有")</f>
        <v>有</v>
      </c>
      <c r="Y2961" s="8" t="str">
        <f>IFERROR(__xludf.DUMMYFUNCTION("""COMPUTED_VALUE"""),"P7まで")</f>
        <v>P7まで</v>
      </c>
      <c r="Z2961" s="7"/>
      <c r="AA2961" s="7"/>
      <c r="AB2961" s="7"/>
    </row>
    <row r="2962" ht="15.75" customHeight="1">
      <c r="A2962" s="153">
        <f>IFERROR(__xludf.DUMMYFUNCTION("""COMPUTED_VALUE"""),5143.0)</f>
        <v>5143</v>
      </c>
      <c r="B2962" s="152" t="str">
        <f>IFERROR(__xludf.DUMMYFUNCTION("""COMPUTED_VALUE"""),"確定")</f>
        <v>確定</v>
      </c>
      <c r="C2962" s="154">
        <f>IFERROR(__xludf.DUMMYFUNCTION("""COMPUTED_VALUE"""),45716.0)</f>
        <v>45716</v>
      </c>
      <c r="D2962" s="154">
        <f>IFERROR(__xludf.DUMMYFUNCTION("""COMPUTED_VALUE"""),45720.0)</f>
        <v>45720</v>
      </c>
      <c r="E2962" s="158">
        <f>IFERROR(__xludf.DUMMYFUNCTION("""COMPUTED_VALUE"""),315425.0)</f>
        <v>315425</v>
      </c>
      <c r="F2962" s="159" t="str">
        <f>IFERROR(__xludf.DUMMYFUNCTION("""COMPUTED_VALUE"""),"君色に染めて～女神はナカまで愛されて～")</f>
        <v>君色に染めて～女神はナカまで愛されて～</v>
      </c>
      <c r="G2962" s="153">
        <f>IFERROR(__xludf.DUMMYFUNCTION("""COMPUTED_VALUE"""),1.0)</f>
        <v>1</v>
      </c>
      <c r="H2962" s="152" t="str">
        <f>IFERROR(__xludf.DUMMYFUNCTION("""COMPUTED_VALUE"""),"政 れお")</f>
        <v>政 れお</v>
      </c>
      <c r="I2962" s="152" t="str">
        <f>IFERROR(__xludf.DUMMYFUNCTION("""COMPUTED_VALUE"""),"TL")</f>
        <v>TL</v>
      </c>
      <c r="J2962" s="157"/>
      <c r="K2962" s="152" t="str">
        <f>IFERROR(__xludf.DUMMYFUNCTION("""COMPUTED_VALUE"""),"LOVEBITES")</f>
        <v>LOVEBITES</v>
      </c>
      <c r="L2962" s="152" t="str">
        <f>IFERROR(__xludf.DUMMYFUNCTION("""COMPUTED_VALUE"""),"一迅社")</f>
        <v>一迅社</v>
      </c>
      <c r="M2962" s="59">
        <f>IFERROR(__xludf.DUMMYFUNCTION("""COMPUTED_VALUE"""),45744.0)</f>
        <v>45744</v>
      </c>
      <c r="N2962" s="59">
        <f>IFERROR(__xludf.DUMMYFUNCTION("""COMPUTED_VALUE"""),45774.0)</f>
        <v>45774</v>
      </c>
      <c r="O2962" s="152"/>
      <c r="P2962" s="190" t="str">
        <f>IFERROR(__xludf.DUMMYFUNCTION("""COMPUTED_VALUE"""),"可")</f>
        <v>可</v>
      </c>
      <c r="Q2962" s="152"/>
      <c r="R2962" s="152" t="str">
        <f>IFERROR(__xludf.DUMMYFUNCTION("""COMPUTED_VALUE"""),"コミットOK")</f>
        <v>コミットOK</v>
      </c>
      <c r="S2962" s="152" t="str">
        <f>IFERROR(__xludf.DUMMYFUNCTION("""COMPUTED_VALUE"""),"20250303_一迅社_君色に染めて～女神はナカまで愛されて～君色に染めて～女神はナカまで愛されて～")</f>
        <v>20250303_一迅社_君色に染めて～女神はナカまで愛されて～君色に染めて～女神はナカまで愛されて～</v>
      </c>
      <c r="T2962" s="152" t="str">
        <f>IFERROR(__xludf.DUMMYFUNCTION("""COMPUTED_VALUE"""),"格納済み")</f>
        <v>格納済み</v>
      </c>
      <c r="U2962" s="15" t="str">
        <f>IFERROR(__xludf.DUMMYFUNCTION("""COMPUTED_VALUE"""),"Ⓒ政れお／一迅社")</f>
        <v>Ⓒ政れお／一迅社</v>
      </c>
      <c r="V2962" s="8" t="str">
        <f>IFERROR(__xludf.DUMMYFUNCTION("""COMPUTED_VALUE"""),"「他に好きな人ができた」と婚約者に振られたひまりは、傷心旅行先で窪田誠二郎という画家の男に突如「絵のモデルになってくれ！」と迫られる。「どうせ予定もなかったし･･･」と絵が完成するまでの付き合いだと協力していくうちに、ひまりはどんどん誠二郎に惹かれていく。でも自分たちは画家とモデルというだけの関係。この絵が完成してしまったら私たちの関係はどうなんだろう･･･。※この作品は『婚約破棄されたはずなのに、慰めエッチでトロトロに堕とされちゃう!?アンソロジー』収録作品と同一の内容を単話版として再編集したものとなり"&amp;"ます。")</f>
        <v>「他に好きな人ができた」と婚約者に振られたひまりは、傷心旅行先で窪田誠二郎という画家の男に突如「絵のモデルになってくれ！」と迫られる。「どうせ予定もなかったし･･･」と絵が完成するまでの付き合いだと協力していくうちに、ひまりはどんどん誠二郎に惹かれていく。でも自分たちは画家とモデルというだけの関係。この絵が完成してしまったら私たちの関係はどうなんだろう･･･。※この作品は『婚約破棄されたはずなのに、慰めエッチでトロトロに堕とされちゃう!?アンソロジー』収録作品と同一の内容を単話版として再編集したものとなります。</v>
      </c>
      <c r="W2962" s="14"/>
      <c r="X2962" s="14" t="str">
        <f>IFERROR(__xludf.DUMMYFUNCTION("""COMPUTED_VALUE"""),"有")</f>
        <v>有</v>
      </c>
      <c r="Y2962" s="8" t="str">
        <f>IFERROR(__xludf.DUMMYFUNCTION("""COMPUTED_VALUE"""),"P8まで")</f>
        <v>P8まで</v>
      </c>
      <c r="Z2962" s="7"/>
      <c r="AA2962" s="7"/>
      <c r="AB2962" s="7"/>
    </row>
    <row r="2963" ht="15.75" customHeight="1">
      <c r="A2963" s="153">
        <f>IFERROR(__xludf.DUMMYFUNCTION("""COMPUTED_VALUE"""),5144.0)</f>
        <v>5144</v>
      </c>
      <c r="B2963" s="152" t="str">
        <f>IFERROR(__xludf.DUMMYFUNCTION("""COMPUTED_VALUE"""),"確定")</f>
        <v>確定</v>
      </c>
      <c r="C2963" s="154">
        <f>IFERROR(__xludf.DUMMYFUNCTION("""COMPUTED_VALUE"""),45716.0)</f>
        <v>45716</v>
      </c>
      <c r="D2963" s="154">
        <f>IFERROR(__xludf.DUMMYFUNCTION("""COMPUTED_VALUE"""),45720.0)</f>
        <v>45720</v>
      </c>
      <c r="E2963" s="158">
        <f>IFERROR(__xludf.DUMMYFUNCTION("""COMPUTED_VALUE"""),315424.0)</f>
        <v>315424</v>
      </c>
      <c r="F2963" s="159" t="str">
        <f>IFERROR(__xludf.DUMMYFUNCTION("""COMPUTED_VALUE"""),"ねぇ、もう1回触れてもいい？～癒しのお花屋さんにゆっくり暴かれ攻められて～")</f>
        <v>ねぇ、もう1回触れてもいい？～癒しのお花屋さんにゆっくり暴かれ攻められて～</v>
      </c>
      <c r="G2963" s="153">
        <f>IFERROR(__xludf.DUMMYFUNCTION("""COMPUTED_VALUE"""),1.0)</f>
        <v>1</v>
      </c>
      <c r="H2963" s="152" t="str">
        <f>IFERROR(__xludf.DUMMYFUNCTION("""COMPUTED_VALUE"""),"紫島 島")</f>
        <v>紫島 島</v>
      </c>
      <c r="I2963" s="152" t="str">
        <f>IFERROR(__xludf.DUMMYFUNCTION("""COMPUTED_VALUE"""),"TL")</f>
        <v>TL</v>
      </c>
      <c r="J2963" s="157"/>
      <c r="K2963" s="152" t="str">
        <f>IFERROR(__xludf.DUMMYFUNCTION("""COMPUTED_VALUE"""),"LOVEBITES")</f>
        <v>LOVEBITES</v>
      </c>
      <c r="L2963" s="152" t="str">
        <f>IFERROR(__xludf.DUMMYFUNCTION("""COMPUTED_VALUE"""),"一迅社")</f>
        <v>一迅社</v>
      </c>
      <c r="M2963" s="59">
        <f>IFERROR(__xludf.DUMMYFUNCTION("""COMPUTED_VALUE"""),45744.0)</f>
        <v>45744</v>
      </c>
      <c r="N2963" s="59">
        <f>IFERROR(__xludf.DUMMYFUNCTION("""COMPUTED_VALUE"""),45774.0)</f>
        <v>45774</v>
      </c>
      <c r="O2963" s="152"/>
      <c r="P2963" s="190" t="str">
        <f>IFERROR(__xludf.DUMMYFUNCTION("""COMPUTED_VALUE"""),"可")</f>
        <v>可</v>
      </c>
      <c r="Q2963" s="152"/>
      <c r="R2963" s="152" t="str">
        <f>IFERROR(__xludf.DUMMYFUNCTION("""COMPUTED_VALUE"""),"コミットOK")</f>
        <v>コミットOK</v>
      </c>
      <c r="S2963" s="152" t="str">
        <f>IFERROR(__xludf.DUMMYFUNCTION("""COMPUTED_VALUE"""),"20250303_一迅社_ねぇ、もう1回触れてもいい？～癒しのお花屋さんにゆっくり暴かれ攻められて～")</f>
        <v>20250303_一迅社_ねぇ、もう1回触れてもいい？～癒しのお花屋さんにゆっくり暴かれ攻められて～</v>
      </c>
      <c r="T2963" s="152" t="str">
        <f>IFERROR(__xludf.DUMMYFUNCTION("""COMPUTED_VALUE"""),"格納済み")</f>
        <v>格納済み</v>
      </c>
      <c r="U2963" s="15" t="str">
        <f>IFERROR(__xludf.DUMMYFUNCTION("""COMPUTED_VALUE"""),"Ⓒ紫島島／一迅社")</f>
        <v>Ⓒ紫島島／一迅社</v>
      </c>
      <c r="V2963" s="8" t="str">
        <f>IFERROR(__xludf.DUMMYFUNCTION("""COMPUTED_VALUE"""),"体の相性が原因で婚約破棄されてしまった佳代。呆然としたまま雨に打たれて歩いていると一件の花屋を見かける。綺麗な花に惹かれ店内に入ると、柔らかな笑顔で男性店員が迎えてくれる。「今の気持ちに寄り添ってくれる」とおすすめされたカモミールを購入したことをきっかけに、常連になり定員である昂輝との出会いだった。花屋のオーナーである昂輝の祖母のお節介で二人で食事に行った帰り、突然昂輝に告白された佳代の答えは――?※この作品は『婚約破棄されたはずなのに、慰めエッチでトロトロに堕とされちゃう!?アンソロジー』収録作品と同一"&amp;"の内容を単話版として再編集したものとなります。")</f>
        <v>体の相性が原因で婚約破棄されてしまった佳代。呆然としたまま雨に打たれて歩いていると一件の花屋を見かける。綺麗な花に惹かれ店内に入ると、柔らかな笑顔で男性店員が迎えてくれる。「今の気持ちに寄り添ってくれる」とおすすめされたカモミールを購入したことをきっかけに、常連になり定員である昂輝との出会いだった。花屋のオーナーである昂輝の祖母のお節介で二人で食事に行った帰り、突然昂輝に告白された佳代の答えは――?※この作品は『婚約破棄されたはずなのに、慰めエッチでトロトロに堕とされちゃう!?アンソロジー』収録作品と同一の内容を単話版として再編集したものとなります。</v>
      </c>
      <c r="W2963" s="14"/>
      <c r="X2963" s="14" t="str">
        <f>IFERROR(__xludf.DUMMYFUNCTION("""COMPUTED_VALUE"""),"有")</f>
        <v>有</v>
      </c>
      <c r="Y2963" s="8" t="str">
        <f>IFERROR(__xludf.DUMMYFUNCTION("""COMPUTED_VALUE"""),"P7まで")</f>
        <v>P7まで</v>
      </c>
      <c r="Z2963" s="7"/>
      <c r="AA2963" s="7"/>
      <c r="AB2963" s="7"/>
    </row>
    <row r="2964" ht="15.75" customHeight="1">
      <c r="A2964" s="153">
        <f>IFERROR(__xludf.DUMMYFUNCTION("""COMPUTED_VALUE"""),5145.0)</f>
        <v>5145</v>
      </c>
      <c r="B2964" s="152" t="str">
        <f>IFERROR(__xludf.DUMMYFUNCTION("""COMPUTED_VALUE"""),"確定")</f>
        <v>確定</v>
      </c>
      <c r="C2964" s="154">
        <f>IFERROR(__xludf.DUMMYFUNCTION("""COMPUTED_VALUE"""),45716.0)</f>
        <v>45716</v>
      </c>
      <c r="D2964" s="154">
        <f>IFERROR(__xludf.DUMMYFUNCTION("""COMPUTED_VALUE"""),45720.0)</f>
        <v>45720</v>
      </c>
      <c r="E2964" s="158">
        <f>IFERROR(__xludf.DUMMYFUNCTION("""COMPUTED_VALUE"""),315423.0)</f>
        <v>315423</v>
      </c>
      <c r="F2964" s="159" t="str">
        <f>IFERROR(__xludf.DUMMYFUNCTION("""COMPUTED_VALUE"""),"【女の敵】な幼なじみの激重溺愛から逃げられません！")</f>
        <v>【女の敵】な幼なじみの激重溺愛から逃げられません！</v>
      </c>
      <c r="G2964" s="153">
        <f>IFERROR(__xludf.DUMMYFUNCTION("""COMPUTED_VALUE"""),1.0)</f>
        <v>1</v>
      </c>
      <c r="H2964" s="152" t="str">
        <f>IFERROR(__xludf.DUMMYFUNCTION("""COMPUTED_VALUE"""),"春日 イサヤ")</f>
        <v>春日 イサヤ</v>
      </c>
      <c r="I2964" s="152" t="str">
        <f>IFERROR(__xludf.DUMMYFUNCTION("""COMPUTED_VALUE"""),"TL")</f>
        <v>TL</v>
      </c>
      <c r="J2964" s="157"/>
      <c r="K2964" s="152" t="str">
        <f>IFERROR(__xludf.DUMMYFUNCTION("""COMPUTED_VALUE"""),"LOVEBITES")</f>
        <v>LOVEBITES</v>
      </c>
      <c r="L2964" s="152" t="str">
        <f>IFERROR(__xludf.DUMMYFUNCTION("""COMPUTED_VALUE"""),"一迅社")</f>
        <v>一迅社</v>
      </c>
      <c r="M2964" s="59">
        <f>IFERROR(__xludf.DUMMYFUNCTION("""COMPUTED_VALUE"""),45744.0)</f>
        <v>45744</v>
      </c>
      <c r="N2964" s="59">
        <f>IFERROR(__xludf.DUMMYFUNCTION("""COMPUTED_VALUE"""),45774.0)</f>
        <v>45774</v>
      </c>
      <c r="O2964" s="152"/>
      <c r="P2964" s="190" t="str">
        <f>IFERROR(__xludf.DUMMYFUNCTION("""COMPUTED_VALUE"""),"可")</f>
        <v>可</v>
      </c>
      <c r="Q2964" s="152"/>
      <c r="R2964" s="152" t="str">
        <f>IFERROR(__xludf.DUMMYFUNCTION("""COMPUTED_VALUE"""),"コミットOK")</f>
        <v>コミットOK</v>
      </c>
      <c r="S2964" s="152" t="str">
        <f>IFERROR(__xludf.DUMMYFUNCTION("""COMPUTED_VALUE"""),"20250303_一迅社_【女の敵】な幼なじみの激重溺愛から逃げられません！")</f>
        <v>20250303_一迅社_【女の敵】な幼なじみの激重溺愛から逃げられません！</v>
      </c>
      <c r="T2964" s="152" t="str">
        <f>IFERROR(__xludf.DUMMYFUNCTION("""COMPUTED_VALUE"""),"格納済み")</f>
        <v>格納済み</v>
      </c>
      <c r="U2964" s="15" t="str">
        <f>IFERROR(__xludf.DUMMYFUNCTION("""COMPUTED_VALUE"""),"Ⓒ春日イサヤ／一迅社")</f>
        <v>Ⓒ春日イサヤ／一迅社</v>
      </c>
      <c r="V2964" s="8" t="str">
        <f>IFERROR(__xludf.DUMMYFUNCTION("""COMPUTED_VALUE"""),"お互い同じ重さで愛したいし愛されたい――「重い」ということが理由で婚約破棄された沙紀。そんな中、幼なじみの千秋が痴話げんかをしているのを見かけ……？　※この作品は『婚約破棄されたはずなのに、慰めエッチでトロトロに堕とされちゃう!?アンソロジー』収録作品と同一の内容を単話版として再編集したものとなります。")</f>
        <v>お互い同じ重さで愛したいし愛されたい――「重い」ということが理由で婚約破棄された沙紀。そんな中、幼なじみの千秋が痴話げんかをしているのを見かけ……？　※この作品は『婚約破棄されたはずなのに、慰めエッチでトロトロに堕とされちゃう!?アンソロジー』収録作品と同一の内容を単話版として再編集したものとなります。</v>
      </c>
      <c r="W2964" s="14"/>
      <c r="X2964" s="14" t="str">
        <f>IFERROR(__xludf.DUMMYFUNCTION("""COMPUTED_VALUE"""),"有")</f>
        <v>有</v>
      </c>
      <c r="Y2964" s="8" t="str">
        <f>IFERROR(__xludf.DUMMYFUNCTION("""COMPUTED_VALUE"""),"P5まで")</f>
        <v>P5まで</v>
      </c>
      <c r="Z2964" s="7"/>
      <c r="AA2964" s="7"/>
      <c r="AB2964" s="7"/>
    </row>
    <row r="2965" ht="15.75" customHeight="1">
      <c r="A2965" s="153">
        <f>IFERROR(__xludf.DUMMYFUNCTION("""COMPUTED_VALUE"""),5146.0)</f>
        <v>5146</v>
      </c>
      <c r="B2965" s="152" t="str">
        <f>IFERROR(__xludf.DUMMYFUNCTION("""COMPUTED_VALUE"""),"確定")</f>
        <v>確定</v>
      </c>
      <c r="C2965" s="154">
        <f>IFERROR(__xludf.DUMMYFUNCTION("""COMPUTED_VALUE"""),45716.0)</f>
        <v>45716</v>
      </c>
      <c r="D2965" s="154">
        <f>IFERROR(__xludf.DUMMYFUNCTION("""COMPUTED_VALUE"""),45720.0)</f>
        <v>45720</v>
      </c>
      <c r="E2965" s="158">
        <f>IFERROR(__xludf.DUMMYFUNCTION("""COMPUTED_VALUE"""),317805.0)</f>
        <v>317805</v>
      </c>
      <c r="F2965" s="159" t="str">
        <f>IFERROR(__xludf.DUMMYFUNCTION("""COMPUTED_VALUE"""),"滅んだ女王の魂が愛を知るまで")</f>
        <v>滅んだ女王の魂が愛を知るまで</v>
      </c>
      <c r="G2965" s="152" t="str">
        <f>IFERROR(__xludf.DUMMYFUNCTION("""COMPUTED_VALUE"""),"1～7")</f>
        <v>1～7</v>
      </c>
      <c r="H2965" s="152" t="str">
        <f>IFERROR(__xludf.DUMMYFUNCTION("""COMPUTED_VALUE"""),"日之影ソラ┴tom等┴Anny")</f>
        <v>日之影ソラ┴tom等┴Anny</v>
      </c>
      <c r="I2965" s="161" t="str">
        <f>IFERROR(__xludf.DUMMYFUNCTION("""COMPUTED_VALUE"""),"少女")</f>
        <v>少女</v>
      </c>
      <c r="J2965" s="157"/>
      <c r="K2965" s="157"/>
      <c r="L2965" s="161" t="str">
        <f>IFERROR(__xludf.DUMMYFUNCTION("""COMPUTED_VALUE"""),"booklistaSTUDIO/SBCr")</f>
        <v>booklistaSTUDIO/SBCr</v>
      </c>
      <c r="M2965" s="28">
        <f>IFERROR(__xludf.DUMMYFUNCTION("""COMPUTED_VALUE"""),45738.0)</f>
        <v>45738</v>
      </c>
      <c r="N2965" s="59">
        <f>IFERROR(__xludf.DUMMYFUNCTION("""COMPUTED_VALUE"""),45772.0)</f>
        <v>45772</v>
      </c>
      <c r="O2965" s="152"/>
      <c r="P2965" s="190" t="str">
        <f>IFERROR(__xludf.DUMMYFUNCTION("""COMPUTED_VALUE"""),"可")</f>
        <v>可</v>
      </c>
      <c r="Q2965" s="190"/>
      <c r="R2965" s="152"/>
      <c r="S2965" s="152" t="str">
        <f>IFERROR(__xludf.DUMMYFUNCTION("""COMPUTED_VALUE"""),"20250228_SBクリエイティブ_滅んだ女王の魂が愛を知るまで")</f>
        <v>20250228_SBクリエイティブ_滅んだ女王の魂が愛を知るまで</v>
      </c>
      <c r="T2965" s="152" t="str">
        <f>IFERROR(__xludf.DUMMYFUNCTION("""COMPUTED_VALUE"""),"格納済み")</f>
        <v>格納済み</v>
      </c>
      <c r="U2965" s="15" t="str">
        <f>IFERROR(__xludf.DUMMYFUNCTION("""COMPUTED_VALUE"""),"ⒸbooklistaSTUDIO")</f>
        <v>ⒸbooklistaSTUDIO</v>
      </c>
      <c r="V2965" s="8" t="str">
        <f>IFERROR(__xludf.DUMMYFUNCTION("""COMPUTED_VALUE"""),"家族から無能力者として虐げられてきたリアリスは、ある日、女王であった前世の記憶と共に特殊な『異能』を授かった。〝この力が周りに知られれば、前世のように利用され、私は不幸な未来を辿るだろう〟そう考えたリアリスは、異能を隠し、無力なままの令嬢として静かに生きていくと決めた――はずが、彼女の秘密を知った第六王子エドワードから「俺の婚約者になれ！」と言われ、リアリスはこの国を揺るがす王位継承権の舞台へと連れ出される。穏やかな世界で静かに過ごしたい強き令嬢と、異能がもたらす差別的な世界を変えたい孤独な王子の、ロマン"&amp;"スファンタジー。")</f>
        <v>家族から無能力者として虐げられてきたリアリスは、ある日、女王であった前世の記憶と共に特殊な『異能』を授かった。〝この力が周りに知られれば、前世のように利用され、私は不幸な未来を辿るだろう〟そう考えたリアリスは、異能を隠し、無力なままの令嬢として静かに生きていくと決めた――はずが、彼女の秘密を知った第六王子エドワードから「俺の婚約者になれ！」と言われ、リアリスはこの国を揺るがす王位継承権の舞台へと連れ出される。穏やかな世界で静かに過ごしたい強き令嬢と、異能がもたらす差別的な世界を変えたい孤独な王子の、ロマンスファンタジー。</v>
      </c>
      <c r="W2965" s="14"/>
      <c r="X2965" s="14" t="str">
        <f>IFERROR(__xludf.DUMMYFUNCTION("""COMPUTED_VALUE"""),"有")</f>
        <v>有</v>
      </c>
      <c r="Y2965" s="8" t="str">
        <f>IFERROR(__xludf.DUMMYFUNCTION("""COMPUTED_VALUE"""),"1巻無料
2025/4/4まで2巻目無料")</f>
        <v>1巻無料
2025/4/4まで2巻目無料</v>
      </c>
      <c r="Z2965" s="7"/>
      <c r="AA2965" s="7"/>
      <c r="AB2965" s="7"/>
    </row>
    <row r="2966" ht="15.75" customHeight="1">
      <c r="A2966" s="153">
        <f>IFERROR(__xludf.DUMMYFUNCTION("""COMPUTED_VALUE"""),5147.0)</f>
        <v>5147</v>
      </c>
      <c r="B2966" s="152" t="str">
        <f>IFERROR(__xludf.DUMMYFUNCTION("""COMPUTED_VALUE"""),"確定")</f>
        <v>確定</v>
      </c>
      <c r="C2966" s="154">
        <f>IFERROR(__xludf.DUMMYFUNCTION("""COMPUTED_VALUE"""),45716.0)</f>
        <v>45716</v>
      </c>
      <c r="D2966" s="154">
        <f>IFERROR(__xludf.DUMMYFUNCTION("""COMPUTED_VALUE"""),45721.0)</f>
        <v>45721</v>
      </c>
      <c r="E2966" s="158">
        <f>IFERROR(__xludf.DUMMYFUNCTION("""COMPUTED_VALUE"""),319097.0)</f>
        <v>319097</v>
      </c>
      <c r="F2966" s="159" t="str">
        <f>IFERROR(__xludf.DUMMYFUNCTION("""COMPUTED_VALUE"""),"自称「デキる女」たち【マイクロ】")</f>
        <v>自称「デキる女」たち【マイクロ】</v>
      </c>
      <c r="G2966" s="152" t="str">
        <f>IFERROR(__xludf.DUMMYFUNCTION("""COMPUTED_VALUE"""),"1～5")</f>
        <v>1～5</v>
      </c>
      <c r="H2966" s="152" t="str">
        <f>IFERROR(__xludf.DUMMYFUNCTION("""COMPUTED_VALUE"""),"ヨシダ有希")</f>
        <v>ヨシダ有希</v>
      </c>
      <c r="I2966" s="152" t="str">
        <f>IFERROR(__xludf.DUMMYFUNCTION("""COMPUTED_VALUE"""),"女性")</f>
        <v>女性</v>
      </c>
      <c r="J2966" s="157"/>
      <c r="K2966" s="157"/>
      <c r="L2966" s="152" t="str">
        <f>IFERROR(__xludf.DUMMYFUNCTION("""COMPUTED_VALUE"""),"小学館")</f>
        <v>小学館</v>
      </c>
      <c r="M2966" s="59">
        <f>IFERROR(__xludf.DUMMYFUNCTION("""COMPUTED_VALUE"""),45749.0)</f>
        <v>45749</v>
      </c>
      <c r="N2966" s="59">
        <f>IFERROR(__xludf.DUMMYFUNCTION("""COMPUTED_VALUE"""),45809.0)</f>
        <v>45809</v>
      </c>
      <c r="O2966" s="152"/>
      <c r="P2966" s="152" t="str">
        <f>IFERROR(__xludf.DUMMYFUNCTION("""COMPUTED_VALUE"""),"否")</f>
        <v>否</v>
      </c>
      <c r="Q2966" s="152" t="str">
        <f>IFERROR(__xludf.DUMMYFUNCTION("""COMPUTED_VALUE"""),"・どのコンテンツが何巻目かの記載がないのですが、それぞれが独立した話となっておりますので、どの順番でも問題ないかと思っております。")</f>
        <v>・どのコンテンツが何巻目かの記載がないのですが、それぞれが独立した話となっておりますので、どの順番でも問題ないかと思っております。</v>
      </c>
      <c r="R2966" s="152" t="str">
        <f>IFERROR(__xludf.DUMMYFUNCTION("""COMPUTED_VALUE"""),"コミットOK")</f>
        <v>コミットOK</v>
      </c>
      <c r="S2966" s="152" t="str">
        <f>IFERROR(__xludf.DUMMYFUNCTION("""COMPUTED_VALUE"""),"20250304_小学館_自称「デキる女」たち【マイクロ】")</f>
        <v>20250304_小学館_自称「デキる女」たち【マイクロ】</v>
      </c>
      <c r="T2966" s="152" t="str">
        <f>IFERROR(__xludf.DUMMYFUNCTION("""COMPUTED_VALUE"""),"格納済み")</f>
        <v>格納済み</v>
      </c>
      <c r="U2966" s="15" t="str">
        <f>IFERROR(__xludf.DUMMYFUNCTION("""COMPUTED_VALUE"""),"Ⓒヨシダ有希 / ニャン")</f>
        <v>Ⓒヨシダ有希 / ニャン</v>
      </c>
      <c r="V2966" s="8" t="str">
        <f>IFERROR(__xludf.DUMMYFUNCTION("""COMPUTED_VALUE"""),"容姿端麗、仕事でも有能、常に努力を怠らず、人間関係もそつなくこなして周りの人からも好かれている…そう、私は「デキる女」！
自分では清く正しく賢く生きているつもりのその姿勢、ハタから見るとイタいし、マウント、押し付けが正直迷惑…。空気を読まず我が道を突っ走る女たちの生態図鑑。")</f>
        <v>容姿端麗、仕事でも有能、常に努力を怠らず、人間関係もそつなくこなして周りの人からも好かれている…そう、私は「デキる女」！
自分では清く正しく賢く生きているつもりのその姿勢、ハタから見るとイタいし、マウント、押し付けが正直迷惑…。空気を読まず我が道を突っ走る女たちの生態図鑑。</v>
      </c>
      <c r="W2966" s="14"/>
      <c r="X2966" s="14" t="str">
        <f>IFERROR(__xludf.DUMMYFUNCTION("""COMPUTED_VALUE"""),"有")</f>
        <v>有</v>
      </c>
      <c r="Y2966" s="8" t="str">
        <f>IFERROR(__xludf.DUMMYFUNCTION("""COMPUTED_VALUE"""),"2025/6/1まで1巻無料")</f>
        <v>2025/6/1まで1巻無料</v>
      </c>
      <c r="Z2966" s="7"/>
      <c r="AA2966" s="7"/>
      <c r="AB2966" s="7"/>
    </row>
    <row r="2967" ht="15.75" customHeight="1">
      <c r="A2967" s="153">
        <f>IFERROR(__xludf.DUMMYFUNCTION("""COMPUTED_VALUE"""),5148.0)</f>
        <v>5148</v>
      </c>
      <c r="B2967" s="152" t="str">
        <f>IFERROR(__xludf.DUMMYFUNCTION("""COMPUTED_VALUE"""),"確定")</f>
        <v>確定</v>
      </c>
      <c r="C2967" s="154">
        <f>IFERROR(__xludf.DUMMYFUNCTION("""COMPUTED_VALUE"""),45716.0)</f>
        <v>45716</v>
      </c>
      <c r="D2967" s="154">
        <f>IFERROR(__xludf.DUMMYFUNCTION("""COMPUTED_VALUE"""),45720.0)</f>
        <v>45720</v>
      </c>
      <c r="E2967" s="158">
        <f>IFERROR(__xludf.DUMMYFUNCTION("""COMPUTED_VALUE"""),318173.0)</f>
        <v>318173</v>
      </c>
      <c r="F2967" s="159" t="str">
        <f>IFERROR(__xludf.DUMMYFUNCTION("""COMPUTED_VALUE"""),"義母と姉と")</f>
        <v>義母と姉と</v>
      </c>
      <c r="G2967" s="152" t="str">
        <f>IFERROR(__xludf.DUMMYFUNCTION("""COMPUTED_VALUE"""),"1～3")</f>
        <v>1～3</v>
      </c>
      <c r="H2967" s="152" t="str">
        <f>IFERROR(__xludf.DUMMYFUNCTION("""COMPUTED_VALUE"""),"Kim.PD/ムンウッド")</f>
        <v>Kim.PD/ムンウッド</v>
      </c>
      <c r="I2967" s="152" t="str">
        <f>IFERROR(__xludf.DUMMYFUNCTION("""COMPUTED_VALUE"""),"青年")</f>
        <v>青年</v>
      </c>
      <c r="J2967" s="157"/>
      <c r="K2967" s="157"/>
      <c r="L2967" s="152" t="str">
        <f>IFERROR(__xludf.DUMMYFUNCTION("""COMPUTED_VALUE"""),"Rush!")</f>
        <v>Rush!</v>
      </c>
      <c r="M2967" s="59">
        <f>IFERROR(__xludf.DUMMYFUNCTION("""COMPUTED_VALUE"""),45744.0)</f>
        <v>45744</v>
      </c>
      <c r="N2967" s="59">
        <f>IFERROR(__xludf.DUMMYFUNCTION("""COMPUTED_VALUE"""),45771.0)</f>
        <v>45771</v>
      </c>
      <c r="O2967" s="152"/>
      <c r="P2967" s="190" t="str">
        <f>IFERROR(__xludf.DUMMYFUNCTION("""COMPUTED_VALUE"""),"可")</f>
        <v>可</v>
      </c>
      <c r="Q2967" s="190"/>
      <c r="R2967" s="152"/>
      <c r="S2967" s="152" t="str">
        <f>IFERROR(__xludf.DUMMYFUNCTION("""COMPUTED_VALUE"""),"20250228_ファンギルド_義母と姉と")</f>
        <v>20250228_ファンギルド_義母と姉と</v>
      </c>
      <c r="T2967" s="152" t="str">
        <f>IFERROR(__xludf.DUMMYFUNCTION("""COMPUTED_VALUE"""),"格納済み")</f>
        <v>格納済み</v>
      </c>
      <c r="U2967" s="15" t="str">
        <f>IFERROR(__xludf.DUMMYFUNCTION("""COMPUTED_VALUE"""),"ⒸKim.PD/ムンウッド/TOPTOON")</f>
        <v>ⒸKim.PD/ムンウッド/TOPTOON</v>
      </c>
      <c r="V2967" s="8" t="str">
        <f>IFERROR(__xludf.DUMMYFUNCTION("""COMPUTED_VALUE"""),"父親の再婚で、ある日突然新しい家族ができた遼平。若くて綺麗な義母と一つ年上の姉と幸せな家族として暮らしていたが…事故で父親が急死してしまう。父親の訃報を聞き倒れてしまった祖父を心配し、遼平は単身アメリカへ渡る事になった。それから三年――日本へ帰国した遼平は逞しい青年へと成長していた。酔った義母は久々に再会した義理の息子を異性として意識してしまうが、遼平自身も義母へ抱いてはいけない感情を抱いており――【※この作品はTOPTOON JPで配信されている「母さんor姉ちゃんどっちにスる？」と同内容の作品です。】")</f>
        <v>父親の再婚で、ある日突然新しい家族ができた遼平。若くて綺麗な義母と一つ年上の姉と幸せな家族として暮らしていたが…事故で父親が急死してしまう。父親の訃報を聞き倒れてしまった祖父を心配し、遼平は単身アメリカへ渡る事になった。それから三年――日本へ帰国した遼平は逞しい青年へと成長していた。酔った義母は久々に再会した義理の息子を異性として意識してしまうが、遼平自身も義母へ抱いてはいけない感情を抱いており――【※この作品はTOPTOON JPで配信されている「母さんor姉ちゃんどっちにスる？」と同内容の作品です。】</v>
      </c>
      <c r="W2967" s="14"/>
      <c r="X2967" s="14" t="str">
        <f>IFERROR(__xludf.DUMMYFUNCTION("""COMPUTED_VALUE"""),"有")</f>
        <v>有</v>
      </c>
      <c r="Y2967" s="8" t="str">
        <f>IFERROR(__xludf.DUMMYFUNCTION("""COMPUTED_VALUE"""),"P7まで")</f>
        <v>P7まで</v>
      </c>
      <c r="Z2967" s="7"/>
      <c r="AA2967" s="7"/>
      <c r="AB2967" s="7"/>
    </row>
    <row r="2968" ht="15.75" customHeight="1">
      <c r="A2968" s="153">
        <f>IFERROR(__xludf.DUMMYFUNCTION("""COMPUTED_VALUE"""),5149.0)</f>
        <v>5149</v>
      </c>
      <c r="B2968" s="152" t="str">
        <f>IFERROR(__xludf.DUMMYFUNCTION("""COMPUTED_VALUE"""),"確定")</f>
        <v>確定</v>
      </c>
      <c r="C2968" s="154">
        <f>IFERROR(__xludf.DUMMYFUNCTION("""COMPUTED_VALUE"""),45719.0)</f>
        <v>45719</v>
      </c>
      <c r="D2968" s="154">
        <f>IFERROR(__xludf.DUMMYFUNCTION("""COMPUTED_VALUE"""),45721.0)</f>
        <v>45721</v>
      </c>
      <c r="E2968" s="158">
        <f>IFERROR(__xludf.DUMMYFUNCTION("""COMPUTED_VALUE"""),316668.0)</f>
        <v>316668</v>
      </c>
      <c r="F2968" s="159" t="str">
        <f>IFERROR(__xludf.DUMMYFUNCTION("""COMPUTED_VALUE"""),"部長の愛は3XLサイズ～奥までキュンとさせないで～")</f>
        <v>部長の愛は3XLサイズ～奥までキュンとさせないで～</v>
      </c>
      <c r="G2968" s="152" t="str">
        <f>IFERROR(__xludf.DUMMYFUNCTION("""COMPUTED_VALUE"""),"1～3")</f>
        <v>1～3</v>
      </c>
      <c r="H2968" s="152" t="str">
        <f>IFERROR(__xludf.DUMMYFUNCTION("""COMPUTED_VALUE"""),"Venion")</f>
        <v>Venion</v>
      </c>
      <c r="I2968" s="152" t="str">
        <f>IFERROR(__xludf.DUMMYFUNCTION("""COMPUTED_VALUE"""),"TL")</f>
        <v>TL</v>
      </c>
      <c r="J2968" s="157"/>
      <c r="K2968" s="163" t="str">
        <f>IFERROR(__xludf.DUMMYFUNCTION("""COMPUTED_VALUE"""),"恋愛LoveMax")</f>
        <v>恋愛LoveMax</v>
      </c>
      <c r="L2968" s="152" t="str">
        <f>IFERROR(__xludf.DUMMYFUNCTION("""COMPUTED_VALUE"""),"秋田書店")</f>
        <v>秋田書店</v>
      </c>
      <c r="M2968" s="59">
        <f>IFERROR(__xludf.DUMMYFUNCTION("""COMPUTED_VALUE"""),45730.0)</f>
        <v>45730</v>
      </c>
      <c r="N2968" s="59">
        <f>IFERROR(__xludf.DUMMYFUNCTION("""COMPUTED_VALUE"""),45762.0)</f>
        <v>45762</v>
      </c>
      <c r="O2968" s="152"/>
      <c r="P2968" s="164" t="str">
        <f>IFERROR(__xludf.DUMMYFUNCTION("""COMPUTED_VALUE"""),"可")</f>
        <v>可</v>
      </c>
      <c r="Q2968" s="166"/>
      <c r="R2968" s="152"/>
      <c r="S2968" s="152" t="str">
        <f>IFERROR(__xludf.DUMMYFUNCTION("""COMPUTED_VALUE"""),"20250303_秋田書店_部長の愛は3XLサイズ～奥までキュンとさせないで～")</f>
        <v>20250303_秋田書店_部長の愛は3XLサイズ～奥までキュンとさせないで～</v>
      </c>
      <c r="T2968" s="152" t="str">
        <f>IFERROR(__xludf.DUMMYFUNCTION("""COMPUTED_VALUE"""),"格納済み")</f>
        <v>格納済み</v>
      </c>
      <c r="U2968" s="15" t="str">
        <f>IFERROR(__xludf.DUMMYFUNCTION("""COMPUTED_VALUE"""),"ⒸVenion(秋田書店)")</f>
        <v>ⒸVenion(秋田書店)</v>
      </c>
      <c r="V2968" s="8" t="str">
        <f>IFERROR(__xludf.DUMMYFUNCTION("""COMPUTED_VALUE"""),"妄想OLと訳あり上司の極秘ラブ!!妄想好きの朝子は、絶対に見られたくないスマホの「Hな検索履歴」を片思い中の若狭部長に知られてしまい…!?")</f>
        <v>妄想OLと訳あり上司の極秘ラブ!!妄想好きの朝子は、絶対に見られたくないスマホの「Hな検索履歴」を片思い中の若狭部長に知られてしまい…!?</v>
      </c>
      <c r="W2968" s="14"/>
      <c r="X2968" s="14" t="str">
        <f>IFERROR(__xludf.DUMMYFUNCTION("""COMPUTED_VALUE"""),"有")</f>
        <v>有</v>
      </c>
      <c r="Y2968" s="8" t="str">
        <f>IFERROR(__xludf.DUMMYFUNCTION("""COMPUTED_VALUE"""),"P11まで")</f>
        <v>P11まで</v>
      </c>
      <c r="Z2968" s="7"/>
      <c r="AA2968" s="7"/>
      <c r="AB2968" s="7"/>
    </row>
    <row r="2969" ht="15.75" customHeight="1">
      <c r="A2969" s="153">
        <f>IFERROR(__xludf.DUMMYFUNCTION("""COMPUTED_VALUE"""),5157.0)</f>
        <v>5157</v>
      </c>
      <c r="B2969" s="152" t="str">
        <f>IFERROR(__xludf.DUMMYFUNCTION("""COMPUTED_VALUE"""),"確定")</f>
        <v>確定</v>
      </c>
      <c r="C2969" s="154">
        <f>IFERROR(__xludf.DUMMYFUNCTION("""COMPUTED_VALUE"""),45719.0)</f>
        <v>45719</v>
      </c>
      <c r="D2969" s="154">
        <f>IFERROR(__xludf.DUMMYFUNCTION("""COMPUTED_VALUE"""),45720.0)</f>
        <v>45720</v>
      </c>
      <c r="E2969" s="158">
        <f>IFERROR(__xludf.DUMMYFUNCTION("""COMPUTED_VALUE"""),318333.0)</f>
        <v>318333</v>
      </c>
      <c r="F2969" s="159" t="str">
        <f>IFERROR(__xludf.DUMMYFUNCTION("""COMPUTED_VALUE"""),"蕾とメテオ")</f>
        <v>蕾とメテオ</v>
      </c>
      <c r="G2969" s="153">
        <f>IFERROR(__xludf.DUMMYFUNCTION("""COMPUTED_VALUE"""),1.0)</f>
        <v>1</v>
      </c>
      <c r="H2969" s="152" t="str">
        <f>IFERROR(__xludf.DUMMYFUNCTION("""COMPUTED_VALUE"""),"花松あやか")</f>
        <v>花松あやか</v>
      </c>
      <c r="I2969" s="152" t="str">
        <f>IFERROR(__xludf.DUMMYFUNCTION("""COMPUTED_VALUE"""),"少女")</f>
        <v>少女</v>
      </c>
      <c r="J2969" s="157"/>
      <c r="K2969" s="152" t="str">
        <f>IFERROR(__xludf.DUMMYFUNCTION("""COMPUTED_VALUE"""),"マーガレットコミックスDIGITAL")</f>
        <v>マーガレットコミックスDIGITAL</v>
      </c>
      <c r="L2969" s="152" t="str">
        <f>IFERROR(__xludf.DUMMYFUNCTION("""COMPUTED_VALUE"""),"集英社")</f>
        <v>集英社</v>
      </c>
      <c r="M2969" s="28">
        <f>IFERROR(__xludf.DUMMYFUNCTION("""COMPUTED_VALUE"""),45746.0)</f>
        <v>45746</v>
      </c>
      <c r="N2969" s="28">
        <f>IFERROR(__xludf.DUMMYFUNCTION("""COMPUTED_VALUE"""),45770.0)</f>
        <v>45770</v>
      </c>
      <c r="O2969" s="152"/>
      <c r="P2969" s="190" t="str">
        <f>IFERROR(__xludf.DUMMYFUNCTION("""COMPUTED_VALUE"""),"否")</f>
        <v>否</v>
      </c>
      <c r="Q2969" s="190"/>
      <c r="R2969" s="152"/>
      <c r="S2969" s="152" t="str">
        <f>IFERROR(__xludf.DUMMYFUNCTION("""COMPUTED_VALUE"""),"20250303_集英社_蕾とメテオ")</f>
        <v>20250303_集英社_蕾とメテオ</v>
      </c>
      <c r="T2969" s="152" t="str">
        <f>IFERROR(__xludf.DUMMYFUNCTION("""COMPUTED_VALUE"""),"格納済み")</f>
        <v>格納済み</v>
      </c>
      <c r="U2969" s="15" t="str">
        <f>IFERROR(__xludf.DUMMYFUNCTION("""COMPUTED_VALUE"""),"Ⓒ花松あやか／集英社")</f>
        <v>Ⓒ花松あやか／集英社</v>
      </c>
      <c r="V2969" s="8" t="str">
        <f>IFERROR(__xludf.DUMMYFUNCTION("""COMPUTED_VALUE"""),"吃音があり人に話しかけるのが苦手な凪姫は、転校先の高校でうまくなじめずにいた。ある日、凪姫が一人で世話をしていた花壇に、1年男子の七星が飛び降りてきた。七星は花壇の花を踏み荒らした罰で、1か月間園芸部の手伝いをすることに。最初はデリカシーのない七星を苦手に思っていた凪姫だけど、だんだんと七星の持ち前の明るさに惹かれ始め――。ピュア女子×陽キャ男子の純愛ストーリー、第1巻！")</f>
        <v>吃音があり人に話しかけるのが苦手な凪姫は、転校先の高校でうまくなじめずにいた。ある日、凪姫が一人で世話をしていた花壇に、1年男子の七星が飛び降りてきた。七星は花壇の花を踏み荒らした罰で、1か月間園芸部の手伝いをすることに。最初はデリカシーのない七星を苦手に思っていた凪姫だけど、だんだんと七星の持ち前の明るさに惹かれ始め――。ピュア女子×陽キャ男子の純愛ストーリー、第1巻！</v>
      </c>
      <c r="W2969" s="14"/>
      <c r="X2969" s="14" t="str">
        <f>IFERROR(__xludf.DUMMYFUNCTION("""COMPUTED_VALUE"""),"有")</f>
        <v>有</v>
      </c>
      <c r="Y2969" s="8" t="str">
        <f>IFERROR(__xludf.DUMMYFUNCTION("""COMPUTED_VALUE"""),"2025/4/29まで1巻立ち読み増量（P80まで）")</f>
        <v>2025/4/29まで1巻立ち読み増量（P80まで）</v>
      </c>
      <c r="Z2969" s="7"/>
      <c r="AA2969" s="7"/>
      <c r="AB2969" s="7"/>
    </row>
    <row r="2970" ht="15.75" customHeight="1">
      <c r="A2970" s="153">
        <f>IFERROR(__xludf.DUMMYFUNCTION("""COMPUTED_VALUE"""),5166.0)</f>
        <v>5166</v>
      </c>
      <c r="B2970" s="152" t="str">
        <f>IFERROR(__xludf.DUMMYFUNCTION("""COMPUTED_VALUE"""),"確定")</f>
        <v>確定</v>
      </c>
      <c r="C2970" s="154">
        <f>IFERROR(__xludf.DUMMYFUNCTION("""COMPUTED_VALUE"""),45720.0)</f>
        <v>45720</v>
      </c>
      <c r="D2970" s="154">
        <f>IFERROR(__xludf.DUMMYFUNCTION("""COMPUTED_VALUE"""),45720.0)</f>
        <v>45720</v>
      </c>
      <c r="E2970" s="155">
        <f>IFERROR(__xludf.DUMMYFUNCTION("""COMPUTED_VALUE"""),318506.0)</f>
        <v>318506</v>
      </c>
      <c r="F2970" s="156" t="str">
        <f>IFERROR(__xludf.DUMMYFUNCTION("""COMPUTED_VALUE"""),"いばらの悪魔に魅入られて")</f>
        <v>いばらの悪魔に魅入られて</v>
      </c>
      <c r="G2970" s="152" t="str">
        <f>IFERROR(__xludf.DUMMYFUNCTION("""COMPUTED_VALUE"""),"1～4")</f>
        <v>1～4</v>
      </c>
      <c r="H2970" s="152" t="str">
        <f>IFERROR(__xludf.DUMMYFUNCTION("""COMPUTED_VALUE"""),"さけさかな")</f>
        <v>さけさかな</v>
      </c>
      <c r="I2970" s="152" t="str">
        <f>IFERROR(__xludf.DUMMYFUNCTION("""COMPUTED_VALUE"""),"少女")</f>
        <v>少女</v>
      </c>
      <c r="J2970" s="157"/>
      <c r="K2970" s="152" t="str">
        <f>IFERROR(__xludf.DUMMYFUNCTION("""COMPUTED_VALUE"""),"echo")</f>
        <v>echo</v>
      </c>
      <c r="L2970" s="152" t="str">
        <f>IFERROR(__xludf.DUMMYFUNCTION("""COMPUTED_VALUE"""),"一迅社")</f>
        <v>一迅社</v>
      </c>
      <c r="M2970" s="23">
        <f>IFERROR(__xludf.DUMMYFUNCTION("""COMPUTED_VALUE"""),45779.0)</f>
        <v>45779</v>
      </c>
      <c r="N2970" s="23">
        <f>IFERROR(__xludf.DUMMYFUNCTION("""COMPUTED_VALUE"""),45869.0)</f>
        <v>45869</v>
      </c>
      <c r="O2970" s="152"/>
      <c r="P2970" s="190" t="str">
        <f>IFERROR(__xludf.DUMMYFUNCTION("""COMPUTED_VALUE"""),"否")</f>
        <v>否</v>
      </c>
      <c r="Q2970" s="152"/>
      <c r="R2970" s="152" t="str">
        <f>IFERROR(__xludf.DUMMYFUNCTION("""COMPUTED_VALUE"""),"コミットOK")</f>
        <v>コミットOK</v>
      </c>
      <c r="S2970" s="152" t="str">
        <f>IFERROR(__xludf.DUMMYFUNCTION("""COMPUTED_VALUE"""),"20250304_一迅社_いばらの悪魔に魅入られて")</f>
        <v>20250304_一迅社_いばらの悪魔に魅入られて</v>
      </c>
      <c r="T2970" s="152" t="str">
        <f>IFERROR(__xludf.DUMMYFUNCTION("""COMPUTED_VALUE"""),"格納済み")</f>
        <v>格納済み</v>
      </c>
      <c r="U2970" s="15" t="str">
        <f>IFERROR(__xludf.DUMMYFUNCTION("""COMPUTED_VALUE"""),"Ⓒさけさかな／一迅社")</f>
        <v>Ⓒさけさかな／一迅社</v>
      </c>
      <c r="V2970" s="8" t="str">
        <f>IFERROR(__xludf.DUMMYFUNCTION("""COMPUTED_VALUE"""),"「その時が来たら、私が君を迎えに行くよ」――8歳のころ、禁じられていた森に足を踏み入れ呪われてしまったディーナ。呪いのせいで見目が変わったディーナを酷く嫌った父親は、ディーナを塔へ幽閉する。それから10年、18歳になったディーナは父親の命で評判の悪い伯爵の元へ嫁に出されることになる。「自分は呪われているのだから」と運命を受け入れ、伯爵と対面すると「悪魔祓いだ」とディーナは火を向けられてしまう。自分の人生はなんだったのかと思いを馳せ、死を覚悟したところ助けてくれたのは――?呪われた令嬢と茨の悪魔。命がけのラ"&amp;"ブサスペンス、ここに開幕。")</f>
        <v>「その時が来たら、私が君を迎えに行くよ」――8歳のころ、禁じられていた森に足を踏み入れ呪われてしまったディーナ。呪いのせいで見目が変わったディーナを酷く嫌った父親は、ディーナを塔へ幽閉する。それから10年、18歳になったディーナは父親の命で評判の悪い伯爵の元へ嫁に出されることになる。「自分は呪われているのだから」と運命を受け入れ、伯爵と対面すると「悪魔祓いだ」とディーナは火を向けられてしまう。自分の人生はなんだったのかと思いを馳せ、死を覚悟したところ助けてくれたのは――?呪われた令嬢と茨の悪魔。命がけのラブサスペンス、ここに開幕。</v>
      </c>
      <c r="W2970" s="14"/>
      <c r="X2970" s="14" t="str">
        <f>IFERROR(__xludf.DUMMYFUNCTION("""COMPUTED_VALUE"""),"有")</f>
        <v>有</v>
      </c>
      <c r="Y2970" s="8" t="str">
        <f>IFERROR(__xludf.DUMMYFUNCTION("""COMPUTED_VALUE"""),"2025/7/31まで1巻無料")</f>
        <v>2025/7/31まで1巻無料</v>
      </c>
      <c r="Z2970" s="7"/>
      <c r="AA2970" s="7"/>
      <c r="AB2970" s="7"/>
    </row>
    <row r="2971" ht="15.75" customHeight="1">
      <c r="A2971" s="153">
        <f>IFERROR(__xludf.DUMMYFUNCTION("""COMPUTED_VALUE"""),5167.0)</f>
        <v>5167</v>
      </c>
      <c r="B2971" s="152" t="str">
        <f>IFERROR(__xludf.DUMMYFUNCTION("""COMPUTED_VALUE"""),"確定")</f>
        <v>確定</v>
      </c>
      <c r="C2971" s="154">
        <f>IFERROR(__xludf.DUMMYFUNCTION("""COMPUTED_VALUE"""),45720.0)</f>
        <v>45720</v>
      </c>
      <c r="D2971" s="154">
        <f>IFERROR(__xludf.DUMMYFUNCTION("""COMPUTED_VALUE"""),45721.0)</f>
        <v>45721</v>
      </c>
      <c r="E2971" s="168">
        <f>IFERROR(__xludf.DUMMYFUNCTION("""COMPUTED_VALUE"""),317844.0)</f>
        <v>317844</v>
      </c>
      <c r="F2971" s="159" t="str">
        <f>IFERROR(__xludf.DUMMYFUNCTION("""COMPUTED_VALUE"""),"まゆちゃんNTR～大学進学の為上京した彼女が御曹司に捕まり溺愛されてしまった…～")</f>
        <v>まゆちゃんNTR～大学進学の為上京した彼女が御曹司に捕まり溺愛されてしまった…～</v>
      </c>
      <c r="G2971" s="152" t="str">
        <f>IFERROR(__xludf.DUMMYFUNCTION("""COMPUTED_VALUE"""),"1～4")</f>
        <v>1～4</v>
      </c>
      <c r="H2971" s="152" t="str">
        <f>IFERROR(__xludf.DUMMYFUNCTION("""COMPUTED_VALUE"""),"山本ともみつ ワキタゴジョー")</f>
        <v>山本ともみつ ワキタゴジョー</v>
      </c>
      <c r="I2971" s="152" t="str">
        <f>IFERROR(__xludf.DUMMYFUNCTION("""COMPUTED_VALUE"""),"TL")</f>
        <v>TL</v>
      </c>
      <c r="J2971" s="157"/>
      <c r="K2971" s="157"/>
      <c r="L2971" s="152" t="str">
        <f>IFERROR(__xludf.DUMMYFUNCTION("""COMPUTED_VALUE"""),"DLcomics")</f>
        <v>DLcomics</v>
      </c>
      <c r="M2971" s="28">
        <f>IFERROR(__xludf.DUMMYFUNCTION("""COMPUTED_VALUE"""),45739.0)</f>
        <v>45739</v>
      </c>
      <c r="N2971" s="28">
        <f>IFERROR(__xludf.DUMMYFUNCTION("""COMPUTED_VALUE"""),45841.0)</f>
        <v>45841</v>
      </c>
      <c r="O2971" s="152"/>
      <c r="P2971" s="152" t="str">
        <f>IFERROR(__xludf.DUMMYFUNCTION("""COMPUTED_VALUE"""),"可")</f>
        <v>可</v>
      </c>
      <c r="Q2971" s="152" t="str">
        <f>IFERROR(__xludf.DUMMYFUNCTION("""COMPUTED_VALUE"""),"事前に河上さん確認済み。がるまにです。&lt;BR&gt;先行期間3カ月以上です")</f>
        <v>事前に河上さん確認済み。がるまにです。&lt;BR&gt;先行期間3カ月以上です</v>
      </c>
      <c r="R2971" s="152" t="str">
        <f>IFERROR(__xludf.DUMMYFUNCTION("""COMPUTED_VALUE"""),"コミットOK")</f>
        <v>コミットOK</v>
      </c>
      <c r="S2971" s="152" t="str">
        <f>IFERROR(__xludf.DUMMYFUNCTION("""COMPUTED_VALUE"""),"20250304_エイシス_まゆちゃんNTR【通常版】")</f>
        <v>20250304_エイシス_まゆちゃんNTR【通常版】</v>
      </c>
      <c r="T2971" s="152" t="str">
        <f>IFERROR(__xludf.DUMMYFUNCTION("""COMPUTED_VALUE"""),"格納済み")</f>
        <v>格納済み</v>
      </c>
      <c r="U2971" s="15" t="str">
        <f>IFERROR(__xludf.DUMMYFUNCTION("""COMPUTED_VALUE"""),"Ⓒ山本ともみつ/ワキタゴジョー/GirlsCREATIVE")</f>
        <v>Ⓒ山本ともみつ/ワキタゴジョー/GirlsCREATIVE</v>
      </c>
      <c r="V2971" s="8" t="str">
        <f>IFERROR(__xludf.DUMMYFUNCTION("""COMPUTED_VALUE"""),"【本作品は同人誌となります】
大学進学の為ひとり上京した主人公まゆ。
本当なら地元で昔からずっと一緒にいた
幼なじみのあさひ君と上京するはずだった。
しかし彼は受験に失敗。田舎、都会と離れ離れになってしまった。
幼い頃から10年以上彼からの告白を待ち続けたまゆは
とうとう想いを告げられないままひとり都会へ。
しばらく経っても都会になかなか馴染めないまゆは
あるサークルの飲み会に参加させられる。
それは都内大学でも有名なヤリサーだった。
酒を飲まされ囲まれてヤリサーの男性達に"&amp;"○されそうになる。
サークル:Yatomomin(やともみん)
原案:ワキタゴジョー
作画:山本ともみつ(@Yatomomin)
■総ページ数:16ページ")</f>
        <v>【本作品は同人誌となります】
大学進学の為ひとり上京した主人公まゆ。
本当なら地元で昔からずっと一緒にいた
幼なじみのあさひ君と上京するはずだった。
しかし彼は受験に失敗。田舎、都会と離れ離れになってしまった。
幼い頃から10年以上彼からの告白を待ち続けたまゆは
とうとう想いを告げられないままひとり都会へ。
しばらく経っても都会になかなか馴染めないまゆは
あるサークルの飲み会に参加させられる。
それは都内大学でも有名なヤリサーだった。
酒を飲まされ囲まれてヤリサーの男性達に○されそうになる。
サークル:Yatomomin(やともみん)
原案:ワキタゴジョー
作画:山本ともみつ(@Yatomomin)
■総ページ数:16ページ</v>
      </c>
      <c r="W2971" s="14"/>
      <c r="X2971" s="14" t="str">
        <f>IFERROR(__xludf.DUMMYFUNCTION("""COMPUTED_VALUE"""),"有")</f>
        <v>有</v>
      </c>
      <c r="Y2971" s="8" t="str">
        <f>IFERROR(__xludf.DUMMYFUNCTION("""COMPUTED_VALUE"""),"2025/7/3まで1巻無料")</f>
        <v>2025/7/3まで1巻無料</v>
      </c>
      <c r="Z2971" s="7"/>
      <c r="AA2971" s="7"/>
      <c r="AB2971" s="7"/>
    </row>
    <row r="2972" ht="15.75" customHeight="1">
      <c r="A2972" s="153">
        <f>IFERROR(__xludf.DUMMYFUNCTION("""COMPUTED_VALUE"""),5168.0)</f>
        <v>5168</v>
      </c>
      <c r="B2972" s="152" t="str">
        <f>IFERROR(__xludf.DUMMYFUNCTION("""COMPUTED_VALUE"""),"確定")</f>
        <v>確定</v>
      </c>
      <c r="C2972" s="154">
        <f>IFERROR(__xludf.DUMMYFUNCTION("""COMPUTED_VALUE"""),45720.0)</f>
        <v>45720</v>
      </c>
      <c r="D2972" s="154">
        <f>IFERROR(__xludf.DUMMYFUNCTION("""COMPUTED_VALUE"""),45720.0)</f>
        <v>45720</v>
      </c>
      <c r="E2972" s="158">
        <f>IFERROR(__xludf.DUMMYFUNCTION("""COMPUTED_VALUE"""),318504.0)</f>
        <v>318504</v>
      </c>
      <c r="F2972" s="159" t="str">
        <f>IFERROR(__xludf.DUMMYFUNCTION("""COMPUTED_VALUE"""),"女王様、奥の奥までお世話します エリート後輩・千冬くんは従属希望")</f>
        <v>女王様、奥の奥までお世話します エリート後輩・千冬くんは従属希望</v>
      </c>
      <c r="G2972" s="152" t="str">
        <f>IFERROR(__xludf.DUMMYFUNCTION("""COMPUTED_VALUE"""),"1～3")</f>
        <v>1～3</v>
      </c>
      <c r="H2972" s="152" t="str">
        <f>IFERROR(__xludf.DUMMYFUNCTION("""COMPUTED_VALUE"""),"宇二シカ")</f>
        <v>宇二シカ</v>
      </c>
      <c r="I2972" s="152" t="str">
        <f>IFERROR(__xludf.DUMMYFUNCTION("""COMPUTED_VALUE"""),"TL")</f>
        <v>TL</v>
      </c>
      <c r="J2972" s="157"/>
      <c r="K2972" s="152" t="str">
        <f>IFERROR(__xludf.DUMMYFUNCTION("""COMPUTED_VALUE"""),"LOVEBITES")</f>
        <v>LOVEBITES</v>
      </c>
      <c r="L2972" s="152" t="str">
        <f>IFERROR(__xludf.DUMMYFUNCTION("""COMPUTED_VALUE"""),"一迅社")</f>
        <v>一迅社</v>
      </c>
      <c r="M2972" s="59">
        <f>IFERROR(__xludf.DUMMYFUNCTION("""COMPUTED_VALUE"""),45751.0)</f>
        <v>45751</v>
      </c>
      <c r="N2972" s="59">
        <f>IFERROR(__xludf.DUMMYFUNCTION("""COMPUTED_VALUE"""),45778.0)</f>
        <v>45778</v>
      </c>
      <c r="O2972" s="152"/>
      <c r="P2972" s="190" t="str">
        <f>IFERROR(__xludf.DUMMYFUNCTION("""COMPUTED_VALUE"""),"可")</f>
        <v>可</v>
      </c>
      <c r="Q2972" s="190"/>
      <c r="R2972" s="152"/>
      <c r="S2972" s="152" t="str">
        <f>IFERROR(__xludf.DUMMYFUNCTION("""COMPUTED_VALUE"""),"20250304_一迅社_女王様、奥の奥までお世話します エリート後輩・千冬くんは従属希望")</f>
        <v>20250304_一迅社_女王様、奥の奥までお世話します エリート後輩・千冬くんは従属希望</v>
      </c>
      <c r="T2972" s="152" t="str">
        <f>IFERROR(__xludf.DUMMYFUNCTION("""COMPUTED_VALUE"""),"格納済み")</f>
        <v>格納済み</v>
      </c>
      <c r="U2972" s="15" t="str">
        <f>IFERROR(__xludf.DUMMYFUNCTION("""COMPUTED_VALUE"""),"Ⓒ宇二シカ／一迅社")</f>
        <v>Ⓒ宇二シカ／一迅社</v>
      </c>
      <c r="V2972" s="8" t="str">
        <f>IFERROR(__xludf.DUMMYFUNCTION("""COMPUTED_VALUE"""),"「俺のご主人様になってください。あざみ女王様」処女を卒業したかっただけなのに、【ご主人様】ってどういうこと!?――峰山あざみ、29歳独身。そもそも彼氏いない歴＝年齢で恋愛にトラウマあり。だから、男になんか頼るもんかと隙を見せないように日々を過ごしていた。そんなある日、社内で人気の後輩・千冬から告白される。「絶対後悔させません。満足させてみせます」そんなの、一体どうやって……でも、これが処女を卒業できるチャンスなのでは……？　そんな打算的な考えを持ちつつ向かったホテルの部屋は、初体験としては刺激的すぎる部屋"&amp;"で……!?")</f>
        <v>「俺のご主人様になってください。あざみ女王様」処女を卒業したかっただけなのに、【ご主人様】ってどういうこと!?――峰山あざみ、29歳独身。そもそも彼氏いない歴＝年齢で恋愛にトラウマあり。だから、男になんか頼るもんかと隙を見せないように日々を過ごしていた。そんなある日、社内で人気の後輩・千冬から告白される。「絶対後悔させません。満足させてみせます」そんなの、一体どうやって……でも、これが処女を卒業できるチャンスなのでは……？　そんな打算的な考えを持ちつつ向かったホテルの部屋は、初体験としては刺激的すぎる部屋で……!?</v>
      </c>
      <c r="W2972" s="14"/>
      <c r="X2972" s="14" t="str">
        <f>IFERROR(__xludf.DUMMYFUNCTION("""COMPUTED_VALUE"""),"有")</f>
        <v>有</v>
      </c>
      <c r="Y2972" s="8" t="str">
        <f>IFERROR(__xludf.DUMMYFUNCTION("""COMPUTED_VALUE"""),"2025/5/1まで1巻無料")</f>
        <v>2025/5/1まで1巻無料</v>
      </c>
      <c r="Z2972" s="7"/>
      <c r="AA2972" s="7"/>
      <c r="AB2972" s="7"/>
    </row>
    <row r="2973" ht="15.75" customHeight="1">
      <c r="A2973" s="153">
        <f>IFERROR(__xludf.DUMMYFUNCTION("""COMPUTED_VALUE"""),5170.0)</f>
        <v>5170</v>
      </c>
      <c r="B2973" s="152" t="str">
        <f>IFERROR(__xludf.DUMMYFUNCTION("""COMPUTED_VALUE"""),"確定")</f>
        <v>確定</v>
      </c>
      <c r="C2973" s="154">
        <f>IFERROR(__xludf.DUMMYFUNCTION("""COMPUTED_VALUE"""),45720.0)</f>
        <v>45720</v>
      </c>
      <c r="D2973" s="154">
        <f>IFERROR(__xludf.DUMMYFUNCTION("""COMPUTED_VALUE"""),45720.0)</f>
        <v>45720</v>
      </c>
      <c r="E2973" s="158">
        <f>IFERROR(__xludf.DUMMYFUNCTION("""COMPUTED_VALUE"""),318428.0)</f>
        <v>318428</v>
      </c>
      <c r="F2973" s="159" t="str">
        <f>IFERROR(__xludf.DUMMYFUNCTION("""COMPUTED_VALUE"""),"聖女召喚に巻き込まれましたが、異世界の居心地は案外悪くもない？ 【連載版】")</f>
        <v>聖女召喚に巻き込まれましたが、異世界の居心地は案外悪くもない？ 【連載版】</v>
      </c>
      <c r="G2973" s="152" t="str">
        <f>IFERROR(__xludf.DUMMYFUNCTION("""COMPUTED_VALUE"""),"1～3")</f>
        <v>1～3</v>
      </c>
      <c r="H2973" s="152" t="str">
        <f>IFERROR(__xludf.DUMMYFUNCTION("""COMPUTED_VALUE"""),"コミック：瀬澤ゆうこ 原作：みぃ キャラクター原案：芦原モカ")</f>
        <v>コミック：瀬澤ゆうこ 原作：みぃ キャラクター原案：芦原モカ</v>
      </c>
      <c r="I2973" s="152" t="str">
        <f>IFERROR(__xludf.DUMMYFUNCTION("""COMPUTED_VALUE"""),"BL")</f>
        <v>BL</v>
      </c>
      <c r="J2973" s="157"/>
      <c r="K2973" s="157"/>
      <c r="L2973" s="152" t="str">
        <f>IFERROR(__xludf.DUMMYFUNCTION("""COMPUTED_VALUE"""),"一迅社")</f>
        <v>一迅社</v>
      </c>
      <c r="M2973" s="59">
        <f>IFERROR(__xludf.DUMMYFUNCTION("""COMPUTED_VALUE"""),45748.0)</f>
        <v>45748</v>
      </c>
      <c r="N2973" s="28">
        <f>IFERROR(__xludf.DUMMYFUNCTION("""COMPUTED_VALUE"""),45777.0)</f>
        <v>45777</v>
      </c>
      <c r="O2973" s="152"/>
      <c r="P2973" s="190" t="str">
        <f>IFERROR(__xludf.DUMMYFUNCTION("""COMPUTED_VALUE"""),"否")</f>
        <v>否</v>
      </c>
      <c r="Q2973" s="152"/>
      <c r="R2973" s="152" t="str">
        <f>IFERROR(__xludf.DUMMYFUNCTION("""COMPUTED_VALUE"""),"コミットOK")</f>
        <v>コミットOK</v>
      </c>
      <c r="S2973" s="152" t="str">
        <f>IFERROR(__xludf.DUMMYFUNCTION("""COMPUTED_VALUE"""),"20250226_一迅社_聖女召喚に巻き込まれましたが、異世界の居心地は案外悪くもない？ 【連載版】")</f>
        <v>20250226_一迅社_聖女召喚に巻き込まれましたが、異世界の居心地は案外悪くもない？ 【連載版】</v>
      </c>
      <c r="T2973" s="152" t="str">
        <f>IFERROR(__xludf.DUMMYFUNCTION("""COMPUTED_VALUE"""),"格納済み")</f>
        <v>格納済み</v>
      </c>
      <c r="U2973" s="15" t="str">
        <f>IFERROR(__xludf.DUMMYFUNCTION("""COMPUTED_VALUE"""),"Ⓒ瀬澤ゆうこ・みぃ・芦原モカ／一迅社")</f>
        <v>Ⓒ瀬澤ゆうこ・みぃ・芦原モカ／一迅社</v>
      </c>
      <c r="V2973" s="8" t="str">
        <f>IFERROR(__xludf.DUMMYFUNCTION("""COMPUTED_VALUE"""),"高校生の悠真は、学校帰りに幼馴染の澪と歩いていたら突然足下が光り、聖女として召喚された澪に巻き込まれて異世界にいた。しかも澪はチート能力を得たのに、悠真は魔力皆無の平凡男子のまま……。そんな悠真の後見人になったのは、魔道騎士のアルフレッド。彼の保護下での生活はいたれり尽くせりで――？どうなることかと思った異世界だけれど、居心地は案外悪くない？チート騎士×おまけの平凡男子の異世界溺愛ＢＬ！【本商品は単話コンテンツとなります。単行本版と収録内容が異なる場合がございます。漫画内の告知等は過去のものとなりますので"&amp;"、ご注意ください。】")</f>
        <v>高校生の悠真は、学校帰りに幼馴染の澪と歩いていたら突然足下が光り、聖女として召喚された澪に巻き込まれて異世界にいた。しかも澪はチート能力を得たのに、悠真は魔力皆無の平凡男子のまま……。そんな悠真の後見人になったのは、魔道騎士のアルフレッド。彼の保護下での生活はいたれり尽くせりで――？どうなることかと思った異世界だけれど、居心地は案外悪くない？チート騎士×おまけの平凡男子の異世界溺愛ＢＬ！【本商品は単話コンテンツとなります。単行本版と収録内容が異なる場合がございます。漫画内の告知等は過去のものとなりますので、ご注意ください。】</v>
      </c>
      <c r="W2973" s="14"/>
      <c r="X2973" s="14" t="str">
        <f>IFERROR(__xludf.DUMMYFUNCTION("""COMPUTED_VALUE"""),"有")</f>
        <v>有</v>
      </c>
      <c r="Y2973" s="8" t="str">
        <f>IFERROR(__xludf.DUMMYFUNCTION("""COMPUTED_VALUE"""),"P7まで")</f>
        <v>P7まで</v>
      </c>
      <c r="Z2973" s="7"/>
      <c r="AA2973" s="7"/>
      <c r="AB2973" s="7"/>
    </row>
    <row r="2974" ht="15.75" customHeight="1">
      <c r="A2974" s="153">
        <f>IFERROR(__xludf.DUMMYFUNCTION("""COMPUTED_VALUE"""),5171.0)</f>
        <v>5171</v>
      </c>
      <c r="B2974" s="152" t="str">
        <f>IFERROR(__xludf.DUMMYFUNCTION("""COMPUTED_VALUE"""),"確定")</f>
        <v>確定</v>
      </c>
      <c r="C2974" s="154">
        <f>IFERROR(__xludf.DUMMYFUNCTION("""COMPUTED_VALUE"""),45720.0)</f>
        <v>45720</v>
      </c>
      <c r="D2974" s="154">
        <f>IFERROR(__xludf.DUMMYFUNCTION("""COMPUTED_VALUE"""),45721.0)</f>
        <v>45721</v>
      </c>
      <c r="E2974" s="168">
        <f>IFERROR(__xludf.DUMMYFUNCTION("""COMPUTED_VALUE"""),317845.0)</f>
        <v>317845</v>
      </c>
      <c r="F2974" s="159" t="str">
        <f>IFERROR(__xludf.DUMMYFUNCTION("""COMPUTED_VALUE"""),"まゆちゃんNTR～大学進学の為上京した彼女が御曹司に捕まり溺愛されてしまった…～【R-18版】")</f>
        <v>まゆちゃんNTR～大学進学の為上京した彼女が御曹司に捕まり溺愛されてしまった…～【R-18版】</v>
      </c>
      <c r="G2974" s="152" t="str">
        <f>IFERROR(__xludf.DUMMYFUNCTION("""COMPUTED_VALUE"""),"1～4")</f>
        <v>1～4</v>
      </c>
      <c r="H2974" s="152" t="str">
        <f>IFERROR(__xludf.DUMMYFUNCTION("""COMPUTED_VALUE"""),"山本ともみつ ワキタゴジョー")</f>
        <v>山本ともみつ ワキタゴジョー</v>
      </c>
      <c r="I2974" s="164" t="str">
        <f>IFERROR(__xludf.DUMMYFUNCTION("""COMPUTED_VALUE"""),"アダルトマンガ")</f>
        <v>アダルトマンガ</v>
      </c>
      <c r="J2974" s="166"/>
      <c r="K2974" s="157"/>
      <c r="L2974" s="152" t="str">
        <f>IFERROR(__xludf.DUMMYFUNCTION("""COMPUTED_VALUE"""),"DLcomics")</f>
        <v>DLcomics</v>
      </c>
      <c r="M2974" s="28">
        <f>IFERROR(__xludf.DUMMYFUNCTION("""COMPUTED_VALUE"""),45739.0)</f>
        <v>45739</v>
      </c>
      <c r="N2974" s="28">
        <f>IFERROR(__xludf.DUMMYFUNCTION("""COMPUTED_VALUE"""),45841.0)</f>
        <v>45841</v>
      </c>
      <c r="O2974" s="152"/>
      <c r="P2974" s="152" t="str">
        <f>IFERROR(__xludf.DUMMYFUNCTION("""COMPUTED_VALUE"""),"可")</f>
        <v>可</v>
      </c>
      <c r="Q2974" s="152" t="str">
        <f>IFERROR(__xludf.DUMMYFUNCTION("""COMPUTED_VALUE"""),"事前に河上さん確認済み。がるまにです。先行期間3カ月以上")</f>
        <v>事前に河上さん確認済み。がるまにです。先行期間3カ月以上</v>
      </c>
      <c r="R2974" s="152" t="str">
        <f>IFERROR(__xludf.DUMMYFUNCTION("""COMPUTED_VALUE"""),"コミットOK")</f>
        <v>コミットOK</v>
      </c>
      <c r="S2974" s="152" t="str">
        <f>IFERROR(__xludf.DUMMYFUNCTION("""COMPUTED_VALUE"""),"20250304_エイシス_まゆちゃんNTR【R-18版】")</f>
        <v>20250304_エイシス_まゆちゃんNTR【R-18版】</v>
      </c>
      <c r="T2974" s="152" t="str">
        <f>IFERROR(__xludf.DUMMYFUNCTION("""COMPUTED_VALUE"""),"格納済み")</f>
        <v>格納済み</v>
      </c>
      <c r="U2974" s="15" t="str">
        <f>IFERROR(__xludf.DUMMYFUNCTION("""COMPUTED_VALUE"""),"Ⓒ山本ともみつ/ワキタゴジョー/DLcomics")</f>
        <v>Ⓒ山本ともみつ/ワキタゴジョー/DLcomics</v>
      </c>
      <c r="V2974" s="8" t="str">
        <f>IFERROR(__xludf.DUMMYFUNCTION("""COMPUTED_VALUE"""),"【本作品は同人誌となります】
大学進学の為ひとり上京した主人公まゆ。
本当なら地元で昔からずっと一緒にいた
幼なじみのあさひ君と上京するはずだった。
しかし彼は受験に失敗。田舎、都会と離れ離れになってしまった。
幼い頃から10年以上彼からの告白を待ち続けたまゆは
とうとう想いを告げられないままひとり都会へ。
しばらく経っても都会になかなか馴染めないまゆは
あるサークルの飲み会に参加させられる。
それは都内大学でも有名なヤリサーだった。
酒を飲まされ囲まれてヤリサーの男性達に"&amp;"○されそうになる。
サークル:Yatomomin(やともみん)
原案:ワキタゴジョー
作画:山本ともみつ(@Yatomomin)
■総ページ数:16ページ")</f>
        <v>【本作品は同人誌となります】
大学進学の為ひとり上京した主人公まゆ。
本当なら地元で昔からずっと一緒にいた
幼なじみのあさひ君と上京するはずだった。
しかし彼は受験に失敗。田舎、都会と離れ離れになってしまった。
幼い頃から10年以上彼からの告白を待ち続けたまゆは
とうとう想いを告げられないままひとり都会へ。
しばらく経っても都会になかなか馴染めないまゆは
あるサークルの飲み会に参加させられる。
それは都内大学でも有名なヤリサーだった。
酒を飲まされ囲まれてヤリサーの男性達に○されそうになる。
サークル:Yatomomin(やともみん)
原案:ワキタゴジョー
作画:山本ともみつ(@Yatomomin)
■総ページ数:16ページ</v>
      </c>
      <c r="W2974" s="14"/>
      <c r="X2974" s="14" t="str">
        <f>IFERROR(__xludf.DUMMYFUNCTION("""COMPUTED_VALUE"""),"有")</f>
        <v>有</v>
      </c>
      <c r="Y2974" s="8" t="str">
        <f>IFERROR(__xludf.DUMMYFUNCTION("""COMPUTED_VALUE"""),"2025/7/3まで1巻無料")</f>
        <v>2025/7/3まで1巻無料</v>
      </c>
      <c r="Z2974" s="7"/>
      <c r="AA2974" s="7"/>
      <c r="AB2974" s="7"/>
    </row>
    <row r="2975" ht="15.75" customHeight="1">
      <c r="A2975" s="153">
        <f>IFERROR(__xludf.DUMMYFUNCTION("""COMPUTED_VALUE"""),5176.0)</f>
        <v>5176</v>
      </c>
      <c r="B2975" s="152" t="str">
        <f>IFERROR(__xludf.DUMMYFUNCTION("""COMPUTED_VALUE"""),"確定")</f>
        <v>確定</v>
      </c>
      <c r="C2975" s="154">
        <f>IFERROR(__xludf.DUMMYFUNCTION("""COMPUTED_VALUE"""),45720.0)</f>
        <v>45720</v>
      </c>
      <c r="D2975" s="154">
        <f>IFERROR(__xludf.DUMMYFUNCTION("""COMPUTED_VALUE"""),45721.0)</f>
        <v>45721</v>
      </c>
      <c r="E2975" s="158">
        <f>IFERROR(__xludf.DUMMYFUNCTION("""COMPUTED_VALUE"""),319121.0)</f>
        <v>319121</v>
      </c>
      <c r="F2975" s="159" t="str">
        <f>IFERROR(__xludf.DUMMYFUNCTION("""COMPUTED_VALUE"""),"自称「デキる女」たち")</f>
        <v>自称「デキる女」たち</v>
      </c>
      <c r="G2975" s="153">
        <f>IFERROR(__xludf.DUMMYFUNCTION("""COMPUTED_VALUE"""),1.0)</f>
        <v>1</v>
      </c>
      <c r="H2975" s="152" t="str">
        <f>IFERROR(__xludf.DUMMYFUNCTION("""COMPUTED_VALUE"""),"ヨシダ有希")</f>
        <v>ヨシダ有希</v>
      </c>
      <c r="I2975" s="152" t="str">
        <f>IFERROR(__xludf.DUMMYFUNCTION("""COMPUTED_VALUE"""),"女性")</f>
        <v>女性</v>
      </c>
      <c r="J2975" s="157"/>
      <c r="K2975" s="157"/>
      <c r="L2975" s="152" t="str">
        <f>IFERROR(__xludf.DUMMYFUNCTION("""COMPUTED_VALUE"""),"小学館")</f>
        <v>小学館</v>
      </c>
      <c r="M2975" s="59">
        <f>IFERROR(__xludf.DUMMYFUNCTION("""COMPUTED_VALUE"""),45749.0)</f>
        <v>45749</v>
      </c>
      <c r="N2975" s="59">
        <f>IFERROR(__xludf.DUMMYFUNCTION("""COMPUTED_VALUE"""),45809.0)</f>
        <v>45809</v>
      </c>
      <c r="O2975" s="152"/>
      <c r="P2975" s="164" t="str">
        <f>IFERROR(__xludf.DUMMYFUNCTION("""COMPUTED_VALUE"""),"否")</f>
        <v>否</v>
      </c>
      <c r="Q2975" s="166"/>
      <c r="R2975" s="152"/>
      <c r="S2975" s="152" t="str">
        <f>IFERROR(__xludf.DUMMYFUNCTION("""COMPUTED_VALUE"""),"20250304_小学館_自称「デキる女」たち")</f>
        <v>20250304_小学館_自称「デキる女」たち</v>
      </c>
      <c r="T2975" s="152" t="str">
        <f>IFERROR(__xludf.DUMMYFUNCTION("""COMPUTED_VALUE"""),"格納済み")</f>
        <v>格納済み</v>
      </c>
      <c r="U2975" s="15" t="str">
        <f>IFERROR(__xludf.DUMMYFUNCTION("""COMPUTED_VALUE"""),"Ⓒヨシダ有希 / ニャン")</f>
        <v>Ⓒヨシダ有希 / ニャン</v>
      </c>
      <c r="V2975" s="8" t="str">
        <f>IFERROR(__xludf.DUMMYFUNCTION("""COMPUTED_VALUE"""),"容姿端麗、仕事でも有能、常に努力を怠らず、人間関係もそつなくこなして周りの人からも好かれている…そう、私は「デキる女」！
自分では清く正しく賢く生きているつもりのその姿勢、ハタから見るとイタいし、マウント、押し付けが正直迷惑…。空気を読まず我が道を突っ走る女たちの生態図鑑。")</f>
        <v>容姿端麗、仕事でも有能、常に努力を怠らず、人間関係もそつなくこなして周りの人からも好かれている…そう、私は「デキる女」！
自分では清く正しく賢く生きているつもりのその姿勢、ハタから見るとイタいし、マウント、押し付けが正直迷惑…。空気を読まず我が道を突っ走る女たちの生態図鑑。</v>
      </c>
      <c r="W2975" s="14"/>
      <c r="X2975" s="14" t="str">
        <f>IFERROR(__xludf.DUMMYFUNCTION("""COMPUTED_VALUE"""),"有")</f>
        <v>有</v>
      </c>
      <c r="Y2975" s="8" t="str">
        <f>IFERROR(__xludf.DUMMYFUNCTION("""COMPUTED_VALUE"""),"P12まで")</f>
        <v>P12まで</v>
      </c>
      <c r="Z2975" s="7"/>
      <c r="AA2975" s="7"/>
      <c r="AB2975" s="7"/>
    </row>
    <row r="2976" ht="15.75" customHeight="1">
      <c r="A2976" s="153">
        <f>IFERROR(__xludf.DUMMYFUNCTION("""COMPUTED_VALUE"""),5177.0)</f>
        <v>5177</v>
      </c>
      <c r="B2976" s="152" t="str">
        <f>IFERROR(__xludf.DUMMYFUNCTION("""COMPUTED_VALUE"""),"確定")</f>
        <v>確定</v>
      </c>
      <c r="C2976" s="154">
        <f>IFERROR(__xludf.DUMMYFUNCTION("""COMPUTED_VALUE"""),45720.0)</f>
        <v>45720</v>
      </c>
      <c r="D2976" s="154">
        <f>IFERROR(__xludf.DUMMYFUNCTION("""COMPUTED_VALUE"""),45721.0)</f>
        <v>45721</v>
      </c>
      <c r="E2976" s="158">
        <f>IFERROR(__xludf.DUMMYFUNCTION("""COMPUTED_VALUE"""),318984.0)</f>
        <v>318984</v>
      </c>
      <c r="F2976" s="159" t="str">
        <f>IFERROR(__xludf.DUMMYFUNCTION("""COMPUTED_VALUE"""),"ダルレッドの視線～下心と口実と酔っ払い～")</f>
        <v>ダルレッドの視線～下心と口実と酔っ払い～</v>
      </c>
      <c r="G2976" s="152" t="str">
        <f>IFERROR(__xludf.DUMMYFUNCTION("""COMPUTED_VALUE"""),"1～3")</f>
        <v>1～3</v>
      </c>
      <c r="H2976" s="152" t="str">
        <f>IFERROR(__xludf.DUMMYFUNCTION("""COMPUTED_VALUE"""),"都築さびび")</f>
        <v>都築さびび</v>
      </c>
      <c r="I2976" s="152" t="str">
        <f>IFERROR(__xludf.DUMMYFUNCTION("""COMPUTED_VALUE"""),"BL")</f>
        <v>BL</v>
      </c>
      <c r="J2976" s="157"/>
      <c r="K2976" s="157"/>
      <c r="L2976" s="152" t="str">
        <f>IFERROR(__xludf.DUMMYFUNCTION("""COMPUTED_VALUE"""),"セ・キララ文庫")</f>
        <v>セ・キララ文庫</v>
      </c>
      <c r="M2976" s="59">
        <f>IFERROR(__xludf.DUMMYFUNCTION("""COMPUTED_VALUE"""),45751.0)</f>
        <v>45751</v>
      </c>
      <c r="N2976" s="23">
        <f>IFERROR(__xludf.DUMMYFUNCTION("""COMPUTED_VALUE"""),45778.0)</f>
        <v>45778</v>
      </c>
      <c r="O2976" s="152"/>
      <c r="P2976" s="190" t="str">
        <f>IFERROR(__xludf.DUMMYFUNCTION("""COMPUTED_VALUE"""),"可")</f>
        <v>可</v>
      </c>
      <c r="Q2976" s="190"/>
      <c r="R2976" s="152"/>
      <c r="S2976" s="152" t="str">
        <f>IFERROR(__xludf.DUMMYFUNCTION("""COMPUTED_VALUE"""),"20250304_ライドオン_ダルレッドの視線～下心と口実と酔っ払い～")</f>
        <v>20250304_ライドオン_ダルレッドの視線～下心と口実と酔っ払い～</v>
      </c>
      <c r="T2976" s="152" t="str">
        <f>IFERROR(__xludf.DUMMYFUNCTION("""COMPUTED_VALUE"""),"格納済み")</f>
        <v>格納済み</v>
      </c>
      <c r="U2976" s="15" t="str">
        <f>IFERROR(__xludf.DUMMYFUNCTION("""COMPUTED_VALUE"""),"Ⓒ都築さびび/セ・キララ文庫")</f>
        <v>Ⓒ都築さびび/セ・キララ文庫</v>
      </c>
      <c r="V2976" s="8" t="str">
        <f>IFERROR(__xludf.DUMMYFUNCTION("""COMPUTED_VALUE"""),"ある出来事から人間不信になり孤独に生きている高校教師の廣瀬（ひろせ）は
ひょんなことから隣人の桐ヶ谷（きりがや）を家に招き入れることに。
久々に触れた人の温もりに桐ケ谷に少し心を開いた廣瀬は徐々に何かを訴えるような桐ケ谷の目線に釘付けとなり雰囲気に呑まれてしまい…
時を経て再び動き出す初恋と執着の物語。")</f>
        <v>ある出来事から人間不信になり孤独に生きている高校教師の廣瀬（ひろせ）は
ひょんなことから隣人の桐ヶ谷（きりがや）を家に招き入れることに。
久々に触れた人の温もりに桐ケ谷に少し心を開いた廣瀬は徐々に何かを訴えるような桐ケ谷の目線に釘付けとなり雰囲気に呑まれてしまい…
時を経て再び動き出す初恋と執着の物語。</v>
      </c>
      <c r="W2976" s="14"/>
      <c r="X2976" s="14" t="str">
        <f>IFERROR(__xludf.DUMMYFUNCTION("""COMPUTED_VALUE"""),"有")</f>
        <v>有</v>
      </c>
      <c r="Y2976" s="8" t="str">
        <f>IFERROR(__xludf.DUMMYFUNCTION("""COMPUTED_VALUE"""),"2025/5/1まで
・1巻目無料
・2巻目立ち読み増量（P16まで）")</f>
        <v>2025/5/1まで
・1巻目無料
・2巻目立ち読み増量（P16まで）</v>
      </c>
      <c r="Z2976" s="7"/>
      <c r="AA2976" s="7"/>
      <c r="AB2976" s="7"/>
    </row>
    <row r="2977" ht="15.75" customHeight="1">
      <c r="A2977" s="153">
        <f>IFERROR(__xludf.DUMMYFUNCTION("""COMPUTED_VALUE"""),5178.0)</f>
        <v>5178</v>
      </c>
      <c r="B2977" s="152" t="str">
        <f>IFERROR(__xludf.DUMMYFUNCTION("""COMPUTED_VALUE"""),"確定")</f>
        <v>確定</v>
      </c>
      <c r="C2977" s="154">
        <f>IFERROR(__xludf.DUMMYFUNCTION("""COMPUTED_VALUE"""),45720.0)</f>
        <v>45720</v>
      </c>
      <c r="D2977" s="154">
        <f>IFERROR(__xludf.DUMMYFUNCTION("""COMPUTED_VALUE"""),45721.0)</f>
        <v>45721</v>
      </c>
      <c r="E2977" s="158">
        <f>IFERROR(__xludf.DUMMYFUNCTION("""COMPUTED_VALUE"""),318957.0)</f>
        <v>318957</v>
      </c>
      <c r="F2977" s="159" t="str">
        <f>IFERROR(__xludf.DUMMYFUNCTION("""COMPUTED_VALUE"""),"クズ夫を捨てたら幸せになれますか？")</f>
        <v>クズ夫を捨てたら幸せになれますか？</v>
      </c>
      <c r="G2977" s="152" t="str">
        <f>IFERROR(__xludf.DUMMYFUNCTION("""COMPUTED_VALUE"""),"1～4")</f>
        <v>1～4</v>
      </c>
      <c r="H2977" s="152" t="str">
        <f>IFERROR(__xludf.DUMMYFUNCTION("""COMPUTED_VALUE"""),"漣ライカ")</f>
        <v>漣ライカ</v>
      </c>
      <c r="I2977" s="152" t="str">
        <f>IFERROR(__xludf.DUMMYFUNCTION("""COMPUTED_VALUE"""),"女性")</f>
        <v>女性</v>
      </c>
      <c r="J2977" s="157"/>
      <c r="K2977" s="157"/>
      <c r="L2977" s="152" t="str">
        <f>IFERROR(__xludf.DUMMYFUNCTION("""COMPUTED_VALUE"""),"ライドオン")</f>
        <v>ライドオン</v>
      </c>
      <c r="M2977" s="59">
        <f>IFERROR(__xludf.DUMMYFUNCTION("""COMPUTED_VALUE"""),45751.0)</f>
        <v>45751</v>
      </c>
      <c r="N2977" s="23">
        <f>IFERROR(__xludf.DUMMYFUNCTION("""COMPUTED_VALUE"""),45779.0)</f>
        <v>45779</v>
      </c>
      <c r="O2977" s="152"/>
      <c r="P2977" s="190" t="str">
        <f>IFERROR(__xludf.DUMMYFUNCTION("""COMPUTED_VALUE"""),"可")</f>
        <v>可</v>
      </c>
      <c r="Q2977" s="190"/>
      <c r="R2977" s="152"/>
      <c r="S2977" s="152" t="str">
        <f>IFERROR(__xludf.DUMMYFUNCTION("""COMPUTED_VALUE"""),"20250304_ライドオン_クズ夫を捨てたら幸せになれますか？")</f>
        <v>20250304_ライドオン_クズ夫を捨てたら幸せになれますか？</v>
      </c>
      <c r="T2977" s="152" t="str">
        <f>IFERROR(__xludf.DUMMYFUNCTION("""COMPUTED_VALUE"""),"格納済み")</f>
        <v>格納済み</v>
      </c>
      <c r="U2977" s="15" t="str">
        <f>IFERROR(__xludf.DUMMYFUNCTION("""COMPUTED_VALUE"""),"Ⓒ漣ライカ/ライドオン")</f>
        <v>Ⓒ漣ライカ/ライドオン</v>
      </c>
      <c r="V2977" s="8" t="str">
        <f>IFERROR(__xludf.DUMMYFUNCTION("""COMPUTED_VALUE"""),"営業職として働く33歳の紗衣（さえ）は、3歳上の夫・義孝（よしたか）と結婚5年目。
けれど夫とはもう2年以上触れ合っておらず、最近は会話も減っていた。
いつかは子供を持ち、仕事も頑張りながら、充実した生活を送ることを夢見ていたのに…。
誰にも言えない悩みを抱えていたある日、たびたびマウントをとってくるあざとい後輩女子・夏芽（なつめ）が、義孝と関係を持っていることが発覚する。
同じ部署の後輩で実は御曹司でもある大河（たいが）の協力も得て、紗衣は自分を裏切ってきた二人への復讐に踏み出そうとするが――。")</f>
        <v>営業職として働く33歳の紗衣（さえ）は、3歳上の夫・義孝（よしたか）と結婚5年目。
けれど夫とはもう2年以上触れ合っておらず、最近は会話も減っていた。
いつかは子供を持ち、仕事も頑張りながら、充実した生活を送ることを夢見ていたのに…。
誰にも言えない悩みを抱えていたある日、たびたびマウントをとってくるあざとい後輩女子・夏芽（なつめ）が、義孝と関係を持っていることが発覚する。
同じ部署の後輩で実は御曹司でもある大河（たいが）の協力も得て、紗衣は自分を裏切ってきた二人への復讐に踏み出そうとするが――。</v>
      </c>
      <c r="W2977" s="14"/>
      <c r="X2977" s="14" t="str">
        <f>IFERROR(__xludf.DUMMYFUNCTION("""COMPUTED_VALUE"""),"有")</f>
        <v>有</v>
      </c>
      <c r="Y2977" s="8" t="str">
        <f>IFERROR(__xludf.DUMMYFUNCTION("""COMPUTED_VALUE"""),"2025/4/17まで1巻無料")</f>
        <v>2025/4/17まで1巻無料</v>
      </c>
      <c r="Z2977" s="7"/>
      <c r="AA2977" s="7"/>
      <c r="AB2977" s="7"/>
    </row>
    <row r="2978" ht="15.75" customHeight="1">
      <c r="A2978" s="153">
        <f>IFERROR(__xludf.DUMMYFUNCTION("""COMPUTED_VALUE"""),5179.0)</f>
        <v>5179</v>
      </c>
      <c r="B2978" s="152" t="str">
        <f>IFERROR(__xludf.DUMMYFUNCTION("""COMPUTED_VALUE"""),"確定")</f>
        <v>確定</v>
      </c>
      <c r="C2978" s="154">
        <f>IFERROR(__xludf.DUMMYFUNCTION("""COMPUTED_VALUE"""),45720.0)</f>
        <v>45720</v>
      </c>
      <c r="D2978" s="154">
        <f>IFERROR(__xludf.DUMMYFUNCTION("""COMPUTED_VALUE"""),45721.0)</f>
        <v>45721</v>
      </c>
      <c r="E2978" s="158">
        <f>IFERROR(__xludf.DUMMYFUNCTION("""COMPUTED_VALUE"""),316669.0)</f>
        <v>316669</v>
      </c>
      <c r="F2978" s="159" t="str">
        <f>IFERROR(__xludf.DUMMYFUNCTION("""COMPUTED_VALUE"""),"隣人が私をおもちゃにしてたのに執着してきます")</f>
        <v>隣人が私をおもちゃにしてたのに執着してきます</v>
      </c>
      <c r="G2978" s="152" t="str">
        <f>IFERROR(__xludf.DUMMYFUNCTION("""COMPUTED_VALUE"""),"1～3")</f>
        <v>1～3</v>
      </c>
      <c r="H2978" s="152" t="str">
        <f>IFERROR(__xludf.DUMMYFUNCTION("""COMPUTED_VALUE"""),"鐘田めろん")</f>
        <v>鐘田めろん</v>
      </c>
      <c r="I2978" s="152" t="str">
        <f>IFERROR(__xludf.DUMMYFUNCTION("""COMPUTED_VALUE"""),"TL")</f>
        <v>TL</v>
      </c>
      <c r="J2978" s="157"/>
      <c r="K2978" s="152" t="str">
        <f>IFERROR(__xludf.DUMMYFUNCTION("""COMPUTED_VALUE"""),"恋愛LoveMAX")</f>
        <v>恋愛LoveMAX</v>
      </c>
      <c r="L2978" s="152" t="str">
        <f>IFERROR(__xludf.DUMMYFUNCTION("""COMPUTED_VALUE"""),"秋田書店")</f>
        <v>秋田書店</v>
      </c>
      <c r="M2978" s="59">
        <f>IFERROR(__xludf.DUMMYFUNCTION("""COMPUTED_VALUE"""),45730.0)</f>
        <v>45730</v>
      </c>
      <c r="N2978" s="59">
        <f>IFERROR(__xludf.DUMMYFUNCTION("""COMPUTED_VALUE"""),45762.0)</f>
        <v>45762</v>
      </c>
      <c r="O2978" s="152"/>
      <c r="P2978" s="164" t="str">
        <f>IFERROR(__xludf.DUMMYFUNCTION("""COMPUTED_VALUE"""),"可")</f>
        <v>可</v>
      </c>
      <c r="Q2978" s="166"/>
      <c r="R2978" s="152"/>
      <c r="S2978" s="152" t="str">
        <f>IFERROR(__xludf.DUMMYFUNCTION("""COMPUTED_VALUE"""),"20250304_秋田書店_隣人が私をおもちゃにしてたのに執着してきます")</f>
        <v>20250304_秋田書店_隣人が私をおもちゃにしてたのに執着してきます</v>
      </c>
      <c r="T2978" s="152" t="str">
        <f>IFERROR(__xludf.DUMMYFUNCTION("""COMPUTED_VALUE"""),"格納済み")</f>
        <v>格納済み</v>
      </c>
      <c r="U2978" s="15" t="str">
        <f>IFERROR(__xludf.DUMMYFUNCTION("""COMPUTED_VALUE"""),"Ⓒ鐘田めろん(秋田書店)")</f>
        <v>Ⓒ鐘田めろん(秋田書店)</v>
      </c>
      <c r="V2978" s="8" t="str">
        <f>IFERROR(__xludf.DUMMYFUNCTION("""COMPUTED_VALUE"""),"めちゃくちゃにセックスしてみたい。汗だくになって、唾液まみれのキスをして、腰思いっきり打ちつけられて…。隣人の大学生、トモのセックスを偶然目撃してしまったエリ。その日から誰にも言えない欲望が芽生え始めた。そしてトモから「俺のおもちゃになってよ」と言われたエリだけど…!? 隣人同士の秘密の恋は、アブノーマルな共犯関係!!")</f>
        <v>めちゃくちゃにセックスしてみたい。汗だくになって、唾液まみれのキスをして、腰思いっきり打ちつけられて…。隣人の大学生、トモのセックスを偶然目撃してしまったエリ。その日から誰にも言えない欲望が芽生え始めた。そしてトモから「俺のおもちゃになってよ」と言われたエリだけど…!? 隣人同士の秘密の恋は、アブノーマルな共犯関係!!</v>
      </c>
      <c r="W2978" s="14"/>
      <c r="X2978" s="14" t="str">
        <f>IFERROR(__xludf.DUMMYFUNCTION("""COMPUTED_VALUE"""),"有")</f>
        <v>有</v>
      </c>
      <c r="Y2978" s="8" t="str">
        <f>IFERROR(__xludf.DUMMYFUNCTION("""COMPUTED_VALUE"""),"P10まで")</f>
        <v>P10まで</v>
      </c>
      <c r="Z2978" s="7"/>
      <c r="AA2978" s="7"/>
      <c r="AB2978" s="7"/>
    </row>
    <row r="2979" ht="15.75" customHeight="1">
      <c r="A2979" s="76">
        <f>IFERROR(__xludf.DUMMYFUNCTION("""COMPUTED_VALUE"""),4604.0)</f>
        <v>4604</v>
      </c>
      <c r="B2979" s="69" t="str">
        <f>IFERROR(__xludf.DUMMYFUNCTION("""COMPUTED_VALUE"""),"確定")</f>
        <v>確定</v>
      </c>
      <c r="C2979" s="74">
        <f>IFERROR(__xludf.DUMMYFUNCTION("""COMPUTED_VALUE"""),45628.0)</f>
        <v>45628</v>
      </c>
      <c r="D2979" s="74">
        <f>IFERROR(__xludf.DUMMYFUNCTION("""COMPUTED_VALUE"""),45728.0)</f>
        <v>45728</v>
      </c>
      <c r="E2979" s="109">
        <f>IFERROR(__xludf.DUMMYFUNCTION("""COMPUTED_VALUE"""),317960.0)</f>
        <v>317960</v>
      </c>
      <c r="F2979" s="20" t="str">
        <f>IFERROR(__xludf.DUMMYFUNCTION("""COMPUTED_VALUE"""),"チェリーピンクにシュガーハイ")</f>
        <v>チェリーピンクにシュガーハイ</v>
      </c>
      <c r="G2979" s="76">
        <f>IFERROR(__xludf.DUMMYFUNCTION("""COMPUTED_VALUE"""),1.0)</f>
        <v>1</v>
      </c>
      <c r="H2979" s="69" t="str">
        <f>IFERROR(__xludf.DUMMYFUNCTION("""COMPUTED_VALUE"""),"みっしぇる")</f>
        <v>みっしぇる</v>
      </c>
      <c r="I2979" s="69" t="str">
        <f>IFERROR(__xludf.DUMMYFUNCTION("""COMPUTED_VALUE"""),"BL")</f>
        <v>BL</v>
      </c>
      <c r="J2979" s="194"/>
      <c r="K2979" s="69" t="str">
        <f>IFERROR(__xludf.DUMMYFUNCTION("""COMPUTED_VALUE"""),"マーガレットコミックスDIGITAL")</f>
        <v>マーガレットコミックスDIGITAL</v>
      </c>
      <c r="L2979" s="69" t="str">
        <f>IFERROR(__xludf.DUMMYFUNCTION("""COMPUTED_VALUE"""),"集英社")</f>
        <v>集英社</v>
      </c>
      <c r="M2979" s="59">
        <f>IFERROR(__xludf.DUMMYFUNCTION("""COMPUTED_VALUE"""),45741.0)</f>
        <v>45741</v>
      </c>
      <c r="N2979" s="23">
        <f>IFERROR(__xludf.DUMMYFUNCTION("""COMPUTED_VALUE"""),45771.0)</f>
        <v>45771</v>
      </c>
      <c r="O2979" s="69"/>
      <c r="P2979" s="69" t="str">
        <f>IFERROR(__xludf.DUMMYFUNCTION("""COMPUTED_VALUE"""),"可")</f>
        <v>可</v>
      </c>
      <c r="Q2979" s="69" t="str">
        <f>IFERROR(__xludf.DUMMYFUNCTION("""COMPUTED_VALUE"""),"・単行本単巻の配信です。&lt;BR&gt;・シーモアでかなり売れていた「誰か夢だと言ってくれ」https://www.cmoa.jp/title/228949/の先生の新作です")</f>
        <v>・単行本単巻の配信です。&lt;BR&gt;・シーモアでかなり売れていた「誰か夢だと言ってくれ」https://www.cmoa.jp/title/228949/の先生の新作です</v>
      </c>
      <c r="R2979" s="69" t="str">
        <f>IFERROR(__xludf.DUMMYFUNCTION("""COMPUTED_VALUE"""),"コミットNG")</f>
        <v>コミットNG</v>
      </c>
      <c r="S2979" s="69" t="str">
        <f>IFERROR(__xludf.DUMMYFUNCTION("""COMPUTED_VALUE"""),"20250311_集英社_チェリーピンクにシュガーハイ")</f>
        <v>20250311_集英社_チェリーピンクにシュガーハイ</v>
      </c>
      <c r="T2979" s="69" t="str">
        <f>IFERROR(__xludf.DUMMYFUNCTION("""COMPUTED_VALUE"""),"格納済み")</f>
        <v>格納済み</v>
      </c>
      <c r="U2979" s="15" t="str">
        <f>IFERROR(__xludf.DUMMYFUNCTION("""COMPUTED_VALUE"""),"Ⓒみっしぇる／集英社")</f>
        <v>Ⓒみっしぇる／集英社</v>
      </c>
      <c r="V2979" s="8" t="str">
        <f>IFERROR(__xludf.DUMMYFUNCTION("""COMPUTED_VALUE"""),"幼い頃、人が近づくとすぐ赤面してしまうのがコンプレックスだった雪白伊吹は努力の末「孤高の生徒会長」キャラに！　高校生活は順風満帆…と思いきや、過去を知る幼馴染・花我智凛が転校してきて大ピンチ！　積極的に近づいてくる凛を警戒していた伊吹だけど…？　距離が近すぎる幼馴染と、超刺激的な“特訓”スタートです　【同時収録】番外編
※本コンテンツには、コミックシーモア限定特典が付与されています")</f>
        <v>幼い頃、人が近づくとすぐ赤面してしまうのがコンプレックスだった雪白伊吹は努力の末「孤高の生徒会長」キャラに！　高校生活は順風満帆…と思いきや、過去を知る幼馴染・花我智凛が転校してきて大ピンチ！　積極的に近づいてくる凛を警戒していた伊吹だけど…？　距離が近すぎる幼馴染と、超刺激的な“特訓”スタートです　【同時収録】番外編
※本コンテンツには、コミックシーモア限定特典が付与されています</v>
      </c>
      <c r="W2979" s="14"/>
      <c r="X2979" s="14" t="str">
        <f>IFERROR(__xludf.DUMMYFUNCTION("""COMPUTED_VALUE"""),"有")</f>
        <v>有</v>
      </c>
      <c r="Y2979" s="8" t="str">
        <f>IFERROR(__xludf.DUMMYFUNCTION("""COMPUTED_VALUE"""),"2025/4/24まで1巻立ち読み増量（P45まで）")</f>
        <v>2025/4/24まで1巻立ち読み増量（P45まで）</v>
      </c>
      <c r="Z2979" s="7"/>
      <c r="AA2979" s="7"/>
      <c r="AB2979" s="7"/>
    </row>
    <row r="2980" ht="15.75" customHeight="1">
      <c r="A2980" s="76">
        <f>IFERROR(__xludf.DUMMYFUNCTION("""COMPUTED_VALUE"""),4659.0)</f>
        <v>4659</v>
      </c>
      <c r="B2980" s="69" t="str">
        <f>IFERROR(__xludf.DUMMYFUNCTION("""COMPUTED_VALUE"""),"確定")</f>
        <v>確定</v>
      </c>
      <c r="C2980" s="74">
        <f>IFERROR(__xludf.DUMMYFUNCTION("""COMPUTED_VALUE"""),45636.0)</f>
        <v>45636</v>
      </c>
      <c r="D2980" s="74">
        <f>IFERROR(__xludf.DUMMYFUNCTION("""COMPUTED_VALUE"""),45728.0)</f>
        <v>45728</v>
      </c>
      <c r="E2980" s="109">
        <f>IFERROR(__xludf.DUMMYFUNCTION("""COMPUTED_VALUE"""),317967.0)</f>
        <v>317967</v>
      </c>
      <c r="F2980" s="20" t="str">
        <f>IFERROR(__xludf.DUMMYFUNCTION("""COMPUTED_VALUE"""),"運命だから諦めて？ 分冊版")</f>
        <v>運命だから諦めて？ 分冊版</v>
      </c>
      <c r="G2980" s="69" t="str">
        <f>IFERROR(__xludf.DUMMYFUNCTION("""COMPUTED_VALUE"""),"1～5")</f>
        <v>1～5</v>
      </c>
      <c r="H2980" s="69" t="str">
        <f>IFERROR(__xludf.DUMMYFUNCTION("""COMPUTED_VALUE"""),"はちのじ")</f>
        <v>はちのじ</v>
      </c>
      <c r="I2980" s="69" t="str">
        <f>IFERROR(__xludf.DUMMYFUNCTION("""COMPUTED_VALUE"""),"BL")</f>
        <v>BL</v>
      </c>
      <c r="J2980" s="194"/>
      <c r="K2980" s="69" t="str">
        <f>IFERROR(__xludf.DUMMYFUNCTION("""COMPUTED_VALUE"""),"マンガMee")</f>
        <v>マンガMee</v>
      </c>
      <c r="L2980" s="69" t="str">
        <f>IFERROR(__xludf.DUMMYFUNCTION("""COMPUTED_VALUE"""),"集英社")</f>
        <v>集英社</v>
      </c>
      <c r="M2980" s="59">
        <f>IFERROR(__xludf.DUMMYFUNCTION("""COMPUTED_VALUE"""),45741.0)</f>
        <v>45741</v>
      </c>
      <c r="N2980" s="23">
        <f>IFERROR(__xludf.DUMMYFUNCTION("""COMPUTED_VALUE"""),45801.0)</f>
        <v>45801</v>
      </c>
      <c r="O2980" s="69"/>
      <c r="P2980" s="111" t="str">
        <f>IFERROR(__xludf.DUMMYFUNCTION("""COMPUTED_VALUE"""),"可")</f>
        <v>可</v>
      </c>
      <c r="Q2980" s="69"/>
      <c r="R2980" s="69" t="str">
        <f>IFERROR(__xludf.DUMMYFUNCTION("""COMPUTED_VALUE"""),"コミットNG")</f>
        <v>コミットNG</v>
      </c>
      <c r="S2980" s="69" t="str">
        <f>IFERROR(__xludf.DUMMYFUNCTION("""COMPUTED_VALUE"""),"20250311_集英社_運命だから諦めて")</f>
        <v>20250311_集英社_運命だから諦めて</v>
      </c>
      <c r="T2980" s="69" t="str">
        <f>IFERROR(__xludf.DUMMYFUNCTION("""COMPUTED_VALUE"""),"格納済み")</f>
        <v>格納済み</v>
      </c>
      <c r="U2980" s="15" t="str">
        <f>IFERROR(__xludf.DUMMYFUNCTION("""COMPUTED_VALUE"""),"Ⓒ表記：はちのじ／集英社")</f>
        <v>Ⓒ表記：はちのじ／集英社</v>
      </c>
      <c r="V2980" s="8" t="str">
        <f>IFERROR(__xludf.DUMMYFUNCTION("""COMPUTED_VALUE"""),"「運命の人」に出会うことを夢見る大学生・太一はマッチングアプリでいきなり大失敗！　ホテルで困っていたところを謎のイケメンに助けられいい感じに…と思いきや、寸止めで解散!?　もてあそばれた事にモヤモヤしていたら、“謎のイケメン”改め桐生千里と再会。桐生はなんと太一と同じ大学の先輩で――!?　暴走しがちなおバカ男子＆かまい上手な爆イケ先輩、凸凹な2人は運命？それとも…？　マンガMee期待の新星、初BL連載！")</f>
        <v>「運命の人」に出会うことを夢見る大学生・太一はマッチングアプリでいきなり大失敗！　ホテルで困っていたところを謎のイケメンに助けられいい感じに…と思いきや、寸止めで解散!?　もてあそばれた事にモヤモヤしていたら、“謎のイケメン”改め桐生千里と再会。桐生はなんと太一と同じ大学の先輩で――!?　暴走しがちなおバカ男子＆かまい上手な爆イケ先輩、凸凹な2人は運命？それとも…？　マンガMee期待の新星、初BL連載！</v>
      </c>
      <c r="W2980" s="14"/>
      <c r="X2980" s="14" t="str">
        <f>IFERROR(__xludf.DUMMYFUNCTION("""COMPUTED_VALUE"""),"有")</f>
        <v>有</v>
      </c>
      <c r="Y2980" s="8" t="str">
        <f>IFERROR(__xludf.DUMMYFUNCTION("""COMPUTED_VALUE"""),"2025/4/24まで1巻無料")</f>
        <v>2025/4/24まで1巻無料</v>
      </c>
      <c r="Z2980" s="7"/>
      <c r="AA2980" s="7"/>
      <c r="AB2980" s="7"/>
    </row>
    <row r="2981" ht="15.75" customHeight="1">
      <c r="A2981" s="76">
        <f>IFERROR(__xludf.DUMMYFUNCTION("""COMPUTED_VALUE"""),4677.0)</f>
        <v>4677</v>
      </c>
      <c r="B2981" s="69" t="str">
        <f>IFERROR(__xludf.DUMMYFUNCTION("""COMPUTED_VALUE"""),"確定")</f>
        <v>確定</v>
      </c>
      <c r="C2981" s="74">
        <f>IFERROR(__xludf.DUMMYFUNCTION("""COMPUTED_VALUE"""),45639.0)</f>
        <v>45639</v>
      </c>
      <c r="D2981" s="74">
        <f>IFERROR(__xludf.DUMMYFUNCTION("""COMPUTED_VALUE"""),45727.0)</f>
        <v>45727</v>
      </c>
      <c r="E2981" s="109">
        <f>IFERROR(__xludf.DUMMYFUNCTION("""COMPUTED_VALUE"""),319119.0)</f>
        <v>319119</v>
      </c>
      <c r="F2981" s="20" t="str">
        <f>IFERROR(__xludf.DUMMYFUNCTION("""COMPUTED_VALUE"""),"ねぇ、なぐさめてキスしてよ【マイクロ】")</f>
        <v>ねぇ、なぐさめてキスしてよ【マイクロ】</v>
      </c>
      <c r="G2981" s="69" t="str">
        <f>IFERROR(__xludf.DUMMYFUNCTION("""COMPUTED_VALUE"""),"1～3")</f>
        <v>1～3</v>
      </c>
      <c r="H2981" s="69" t="str">
        <f>IFERROR(__xludf.DUMMYFUNCTION("""COMPUTED_VALUE"""),"夢月いめ")</f>
        <v>夢月いめ</v>
      </c>
      <c r="I2981" s="69" t="str">
        <f>IFERROR(__xludf.DUMMYFUNCTION("""COMPUTED_VALUE"""),"BL")</f>
        <v>BL</v>
      </c>
      <c r="J2981" s="194"/>
      <c r="K2981" s="69" t="str">
        <f>IFERROR(__xludf.DUMMYFUNCTION("""COMPUTED_VALUE"""),"フラコミlike!")</f>
        <v>フラコミlike!</v>
      </c>
      <c r="L2981" s="69" t="str">
        <f>IFERROR(__xludf.DUMMYFUNCTION("""COMPUTED_VALUE"""),"小学館")</f>
        <v>小学館</v>
      </c>
      <c r="M2981" s="59">
        <f>IFERROR(__xludf.DUMMYFUNCTION("""COMPUTED_VALUE"""),45752.0)</f>
        <v>45752</v>
      </c>
      <c r="N2981" s="47">
        <f>IFERROR(__xludf.DUMMYFUNCTION("""COMPUTED_VALUE"""),45812.0)</f>
        <v>45812</v>
      </c>
      <c r="O2981" s="69"/>
      <c r="P2981" s="69" t="str">
        <f>IFERROR(__xludf.DUMMYFUNCTION("""COMPUTED_VALUE"""),"可")</f>
        <v>可</v>
      </c>
      <c r="Q2981" s="69" t="str">
        <f>IFERROR(__xludf.DUMMYFUNCTION("""COMPUTED_VALUE"""),"とにかく顔の良い大学生と複雑な家庭環境で育った男子高校生が、とあるきっかけから同居生活を始めるＢＬ作品です！&lt;BR&gt;・アダルト出稿可能になりました")</f>
        <v>とにかく顔の良い大学生と複雑な家庭環境で育った男子高校生が、とあるきっかけから同居生活を始めるＢＬ作品です！&lt;BR&gt;・アダルト出稿可能になりました</v>
      </c>
      <c r="R2981" s="69" t="str">
        <f>IFERROR(__xludf.DUMMYFUNCTION("""COMPUTED_VALUE"""),"コミットOK")</f>
        <v>コミットOK</v>
      </c>
      <c r="S2981" s="69" t="str">
        <f>IFERROR(__xludf.DUMMYFUNCTION("""COMPUTED_VALUE"""),"20250109_小学館_ねぇ、なぐさめてキスしてよ")</f>
        <v>20250109_小学館_ねぇ、なぐさめてキスしてよ</v>
      </c>
      <c r="T2981" s="69" t="str">
        <f>IFERROR(__xludf.DUMMYFUNCTION("""COMPUTED_VALUE"""),"格納済み")</f>
        <v>格納済み</v>
      </c>
      <c r="U2981" s="15" t="str">
        <f>IFERROR(__xludf.DUMMYFUNCTION("""COMPUTED_VALUE"""),"Ⓒ夢月いめ / 小学館")</f>
        <v>Ⓒ夢月いめ / 小学館</v>
      </c>
      <c r="V2981" s="8" t="str">
        <f>IFERROR(__xludf.DUMMYFUNCTION("""COMPUTED_VALUE"""),"ワケあり大学生×愛を知らない高校生のピュアラブストーリー。真冬の朝５時、男子高校生の倉木雪(くらき・ゆき)は、ゴミ捨て場で眠る顔の良い男に遭遇する。雪はいきがかり上、その男・蓮見要人（はすみ・かなめ）を家に送っていくことになる…。そして要人の家で、２人の風変りな同居生活がスタートすることに！？")</f>
        <v>ワケあり大学生×愛を知らない高校生のピュアラブストーリー。真冬の朝５時、男子高校生の倉木雪(くらき・ゆき)は、ゴミ捨て場で眠る顔の良い男に遭遇する。雪はいきがかり上、その男・蓮見要人（はすみ・かなめ）を家に送っていくことになる…。そして要人の家で、２人の風変りな同居生活がスタートすることに！？</v>
      </c>
      <c r="W2981" s="14"/>
      <c r="X2981" s="14" t="str">
        <f>IFERROR(__xludf.DUMMYFUNCTION("""COMPUTED_VALUE"""),"有")</f>
        <v>有</v>
      </c>
      <c r="Y2981" s="8" t="str">
        <f>IFERROR(__xludf.DUMMYFUNCTION("""COMPUTED_VALUE"""),"2025/6/4まで1巻無料")</f>
        <v>2025/6/4まで1巻無料</v>
      </c>
      <c r="Z2981" s="7"/>
      <c r="AA2981" s="7"/>
      <c r="AB2981" s="7"/>
    </row>
    <row r="2982" ht="15.75" customHeight="1">
      <c r="A2982" s="76">
        <f>IFERROR(__xludf.DUMMYFUNCTION("""COMPUTED_VALUE"""),4690.0)</f>
        <v>4690</v>
      </c>
      <c r="B2982" s="69" t="str">
        <f>IFERROR(__xludf.DUMMYFUNCTION("""COMPUTED_VALUE"""),"確定")</f>
        <v>確定</v>
      </c>
      <c r="C2982" s="74">
        <f>IFERROR(__xludf.DUMMYFUNCTION("""COMPUTED_VALUE"""),45644.0)</f>
        <v>45644</v>
      </c>
      <c r="D2982" s="74">
        <f>IFERROR(__xludf.DUMMYFUNCTION("""COMPUTED_VALUE"""),45727.0)</f>
        <v>45727</v>
      </c>
      <c r="E2982" s="109">
        <f>IFERROR(__xludf.DUMMYFUNCTION("""COMPUTED_VALUE"""),320003.0)</f>
        <v>320003</v>
      </c>
      <c r="F2982" s="20" t="str">
        <f>IFERROR(__xludf.DUMMYFUNCTION("""COMPUTED_VALUE"""),"出来損ない令嬢に転生したギャルが見返すために努力した結果、溺愛されてますけど何か文句ある？（分冊版）")</f>
        <v>出来損ない令嬢に転生したギャルが見返すために努力した結果、溺愛されてますけど何か文句ある？（分冊版）</v>
      </c>
      <c r="G2982" s="69" t="str">
        <f>IFERROR(__xludf.DUMMYFUNCTION("""COMPUTED_VALUE"""),"1～4")</f>
        <v>1～4</v>
      </c>
      <c r="H2982" s="69" t="str">
        <f>IFERROR(__xludf.DUMMYFUNCTION("""COMPUTED_VALUE"""),"ユーキ 棗／漫画 やきいもほくほく／原作")</f>
        <v>ユーキ 棗／漫画 やきいもほくほく／原作</v>
      </c>
      <c r="I2982" s="69" t="str">
        <f>IFERROR(__xludf.DUMMYFUNCTION("""COMPUTED_VALUE"""),"女性")</f>
        <v>女性</v>
      </c>
      <c r="J2982" s="194"/>
      <c r="K2982" s="194"/>
      <c r="L2982" s="69" t="str">
        <f>IFERROR(__xludf.DUMMYFUNCTION("""COMPUTED_VALUE"""),"アルファポリス")</f>
        <v>アルファポリス</v>
      </c>
      <c r="M2982" s="59">
        <f>IFERROR(__xludf.DUMMYFUNCTION("""COMPUTED_VALUE"""),45768.0)</f>
        <v>45768</v>
      </c>
      <c r="N2982" s="23">
        <f>IFERROR(__xludf.DUMMYFUNCTION("""COMPUTED_VALUE"""),45862.0)</f>
        <v>45862</v>
      </c>
      <c r="O2982" s="69"/>
      <c r="P2982" s="69" t="str">
        <f>IFERROR(__xludf.DUMMYFUNCTION("""COMPUTED_VALUE"""),"否")</f>
        <v>否</v>
      </c>
      <c r="Q2982" s="69" t="str">
        <f>IFERROR(__xludf.DUMMYFUNCTION("""COMPUTED_VALUE"""),"以下出版社からのコメントです&lt;BR&gt;商業は初ですが、その画力からSNS上でのファン多数の、新進気鋭の漫画家による衝撃のデビュー作です！&lt;BR&gt;虐げられ、ヒーローからの溺愛、ざまあ・逆転と王道の要素を抑えつつ、&lt;BR&gt;1話から今後の展開を期待させる作りになっており、貴社ストアと相性間違いなしと踏んでいます。")</f>
        <v>以下出版社からのコメントです&lt;BR&gt;商業は初ですが、その画力からSNS上でのファン多数の、新進気鋭の漫画家による衝撃のデビュー作です！&lt;BR&gt;虐げられ、ヒーローからの溺愛、ざまあ・逆転と王道の要素を抑えつつ、&lt;BR&gt;1話から今後の展開を期待させる作りになっており、貴社ストアと相性間違いなしと踏んでいます。</v>
      </c>
      <c r="R2982" s="69" t="str">
        <f>IFERROR(__xludf.DUMMYFUNCTION("""COMPUTED_VALUE"""),"コミットOK")</f>
        <v>コミットOK</v>
      </c>
      <c r="S2982" s="69" t="str">
        <f>IFERROR(__xludf.DUMMYFUNCTION("""COMPUTED_VALUE"""),"20250306_アルファポリス_出来損ない令嬢に転生したギャルが見返すために努力した結果、溺愛されてますけど何か文句ある？")</f>
        <v>20250306_アルファポリス_出来損ない令嬢に転生したギャルが見返すために努力した結果、溺愛されてますけど何か文句ある？</v>
      </c>
      <c r="T2982" s="69" t="str">
        <f>IFERROR(__xludf.DUMMYFUNCTION("""COMPUTED_VALUE"""),"格納済み")</f>
        <v>格納済み</v>
      </c>
      <c r="U2982" s="15" t="str">
        <f>IFERROR(__xludf.DUMMYFUNCTION("""COMPUTED_VALUE"""),"Ⓒやきいもほくほく・ユーキ 棗／アルファポリス")</f>
        <v>Ⓒやきいもほくほく・ユーキ 棗／アルファポリス</v>
      </c>
      <c r="V2982" s="8" t="str">
        <f>IFERROR(__xludf.DUMMYFUNCTION("""COMPUTED_VALUE"""),"現代日本の女子高校生、いわゆる「ギャル」として生きて来たキララは、ある日突然異世界の「出来損ない令嬢」チェルシーになってしまっていた。貴族社会の常識も知らなければ異世界転生のお約束も分からない、更に妹ジェニファーの策略で味方もいない、という絶望的な立場のキララ＝チェルシーは、それでも何とか状況を打開すべく、行動を開始する。厳格なことで有名な家庭教師に教えを請い、持ち前のガッツで指導を乗り越えたチェルシーの社交界での評価はうなぎのぼり！　王太子バレンティノやその周囲の人達とも親しくなっていき――!?")</f>
        <v>現代日本の女子高校生、いわゆる「ギャル」として生きて来たキララは、ある日突然異世界の「出来損ない令嬢」チェルシーになってしまっていた。貴族社会の常識も知らなければ異世界転生のお約束も分からない、更に妹ジェニファーの策略で味方もいない、という絶望的な立場のキララ＝チェルシーは、それでも何とか状況を打開すべく、行動を開始する。厳格なことで有名な家庭教師に教えを請い、持ち前のガッツで指導を乗り越えたチェルシーの社交界での評価はうなぎのぼり！　王太子バレンティノやその周囲の人達とも親しくなっていき――!?</v>
      </c>
      <c r="W2982" s="14"/>
      <c r="X2982" s="14" t="str">
        <f>IFERROR(__xludf.DUMMYFUNCTION("""COMPUTED_VALUE"""),"有")</f>
        <v>有</v>
      </c>
      <c r="Y2982" s="8" t="str">
        <f>IFERROR(__xludf.DUMMYFUNCTION("""COMPUTED_VALUE"""),"2025/5/4まで1巻無料")</f>
        <v>2025/5/4まで1巻無料</v>
      </c>
      <c r="Z2982" s="7"/>
      <c r="AA2982" s="7"/>
      <c r="AB2982" s="7"/>
    </row>
    <row r="2983" ht="15.75" customHeight="1">
      <c r="A2983" s="76">
        <f>IFERROR(__xludf.DUMMYFUNCTION("""COMPUTED_VALUE"""),4872.0)</f>
        <v>4872</v>
      </c>
      <c r="B2983" s="69" t="str">
        <f>IFERROR(__xludf.DUMMYFUNCTION("""COMPUTED_VALUE"""),"確定")</f>
        <v>確定</v>
      </c>
      <c r="C2983" s="74">
        <f>IFERROR(__xludf.DUMMYFUNCTION("""COMPUTED_VALUE"""),45678.0)</f>
        <v>45678</v>
      </c>
      <c r="D2983" s="74">
        <f>IFERROR(__xludf.DUMMYFUNCTION("""COMPUTED_VALUE"""),45727.0)</f>
        <v>45727</v>
      </c>
      <c r="E2983" s="109">
        <f>IFERROR(__xludf.DUMMYFUNCTION("""COMPUTED_VALUE"""),317828.0)</f>
        <v>317828</v>
      </c>
      <c r="F2983" s="20" t="str">
        <f>IFERROR(__xludf.DUMMYFUNCTION("""COMPUTED_VALUE"""),"ごくまま～極道だったオレがママになった話～【単話】")</f>
        <v>ごくまま～極道だったオレがママになった話～【単話】</v>
      </c>
      <c r="G2983" s="69" t="str">
        <f>IFERROR(__xludf.DUMMYFUNCTION("""COMPUTED_VALUE"""),"1～24")</f>
        <v>1～24</v>
      </c>
      <c r="H2983" s="69" t="str">
        <f>IFERROR(__xludf.DUMMYFUNCTION("""COMPUTED_VALUE"""),"原作：頼乃あり／作画：sonno")</f>
        <v>原作：頼乃あり／作画：sonno</v>
      </c>
      <c r="I2983" s="79" t="str">
        <f>IFERROR(__xludf.DUMMYFUNCTION("""COMPUTED_VALUE"""),"青年")</f>
        <v>青年</v>
      </c>
      <c r="J2983" s="194"/>
      <c r="K2983" s="194"/>
      <c r="L2983" s="69" t="str">
        <f>IFERROR(__xludf.DUMMYFUNCTION("""COMPUTED_VALUE"""),"小学館")</f>
        <v>小学館</v>
      </c>
      <c r="M2983" s="59">
        <f>IFERROR(__xludf.DUMMYFUNCTION("""COMPUTED_VALUE"""),45738.0)</f>
        <v>45738</v>
      </c>
      <c r="N2983" s="47">
        <f>IFERROR(__xludf.DUMMYFUNCTION("""COMPUTED_VALUE"""),45793.0)</f>
        <v>45793</v>
      </c>
      <c r="O2983" s="69"/>
      <c r="P2983" s="111" t="str">
        <f>IFERROR(__xludf.DUMMYFUNCTION("""COMPUTED_VALUE"""),"否")</f>
        <v>否</v>
      </c>
      <c r="Q2983" s="69"/>
      <c r="R2983" s="69" t="str">
        <f>IFERROR(__xludf.DUMMYFUNCTION("""COMPUTED_VALUE"""),"コミットNG")</f>
        <v>コミットNG</v>
      </c>
      <c r="S2983" s="69" t="str">
        <f>IFERROR(__xludf.DUMMYFUNCTION("""COMPUTED_VALUE"""),"20250311_小学館_ごくまま～極道だったオレがママになった話～【単話】")</f>
        <v>20250311_小学館_ごくまま～極道だったオレがママになった話～【単話】</v>
      </c>
      <c r="T2983" s="69" t="str">
        <f>IFERROR(__xludf.DUMMYFUNCTION("""COMPUTED_VALUE"""),"格納済み")</f>
        <v>格納済み</v>
      </c>
      <c r="U2983" s="15" t="str">
        <f>IFERROR(__xludf.DUMMYFUNCTION("""COMPUTED_VALUE"""),"Ⓒ Cygames, Inc.・頼乃あり・ｓｏｎｎｏ / 小学館")</f>
        <v>Ⓒ Cygames, Inc.・頼乃あり・ｓｏｎｎｏ / 小学館</v>
      </c>
      <c r="V2983" s="8" t="str">
        <f>IFERROR(__xludf.DUMMYFUNCTION("""COMPUTED_VALUE"""),"死んだはずのヤクザが、今まさに出産中の妊婦に転生！？ 中身極道のシングルマザーが初めての育児に大奮闘！ 笑いと涙の痛快子育てコメディ！")</f>
        <v>死んだはずのヤクザが、今まさに出産中の妊婦に転生！？ 中身極道のシングルマザーが初めての育児に大奮闘！ 笑いと涙の痛快子育てコメディ！</v>
      </c>
      <c r="W2983" s="14"/>
      <c r="X2983" s="14" t="str">
        <f>IFERROR(__xludf.DUMMYFUNCTION("""COMPUTED_VALUE"""),"有")</f>
        <v>有</v>
      </c>
      <c r="Y2983" s="8" t="str">
        <f>IFERROR(__xludf.DUMMYFUNCTION("""COMPUTED_VALUE"""),"1～2巻無料")</f>
        <v>1～2巻無料</v>
      </c>
      <c r="Z2983" s="7"/>
      <c r="AA2983" s="7"/>
      <c r="AB2983" s="7"/>
    </row>
    <row r="2984" ht="15.75" customHeight="1">
      <c r="A2984" s="76">
        <f>IFERROR(__xludf.DUMMYFUNCTION("""COMPUTED_VALUE"""),4930.0)</f>
        <v>4930</v>
      </c>
      <c r="B2984" s="69" t="str">
        <f>IFERROR(__xludf.DUMMYFUNCTION("""COMPUTED_VALUE"""),"確定")</f>
        <v>確定</v>
      </c>
      <c r="C2984" s="74">
        <f>IFERROR(__xludf.DUMMYFUNCTION("""COMPUTED_VALUE"""),45686.0)</f>
        <v>45686</v>
      </c>
      <c r="D2984" s="74">
        <f>IFERROR(__xludf.DUMMYFUNCTION("""COMPUTED_VALUE"""),45727.0)</f>
        <v>45727</v>
      </c>
      <c r="E2984" s="109">
        <f>IFERROR(__xludf.DUMMYFUNCTION("""COMPUTED_VALUE"""),318614.0)</f>
        <v>318614</v>
      </c>
      <c r="F2984" s="20" t="str">
        <f>IFERROR(__xludf.DUMMYFUNCTION("""COMPUTED_VALUE"""),"不完全恋愛")</f>
        <v>不完全恋愛</v>
      </c>
      <c r="G2984" s="69" t="str">
        <f>IFERROR(__xludf.DUMMYFUNCTION("""COMPUTED_VALUE"""),"1～3")</f>
        <v>1～3</v>
      </c>
      <c r="H2984" s="69" t="str">
        <f>IFERROR(__xludf.DUMMYFUNCTION("""COMPUTED_VALUE"""),"作画：北乃どらりぬ 原作：イアム")</f>
        <v>作画：北乃どらりぬ 原作：イアム</v>
      </c>
      <c r="I2984" s="69" t="str">
        <f>IFERROR(__xludf.DUMMYFUNCTION("""COMPUTED_VALUE"""),"女性")</f>
        <v>女性</v>
      </c>
      <c r="J2984" s="194"/>
      <c r="K2984" s="194"/>
      <c r="L2984" s="69" t="str">
        <f>IFERROR(__xludf.DUMMYFUNCTION("""COMPUTED_VALUE"""),"DTSパブリッシング")</f>
        <v>DTSパブリッシング</v>
      </c>
      <c r="M2984" s="23">
        <f>IFERROR(__xludf.DUMMYFUNCTION("""COMPUTED_VALUE"""),45751.0)</f>
        <v>45751</v>
      </c>
      <c r="N2984" s="23">
        <f>IFERROR(__xludf.DUMMYFUNCTION("""COMPUTED_VALUE"""),45841.0)</f>
        <v>45841</v>
      </c>
      <c r="O2984" s="195"/>
      <c r="P2984" s="196" t="str">
        <f>IFERROR(__xludf.DUMMYFUNCTION("""COMPUTED_VALUE"""),"否")</f>
        <v>否</v>
      </c>
      <c r="Q2984" s="195"/>
      <c r="R2984" s="195" t="str">
        <f>IFERROR(__xludf.DUMMYFUNCTION("""COMPUTED_VALUE"""),"コミットOK")</f>
        <v>コミットOK</v>
      </c>
      <c r="S2984" s="195" t="str">
        <f>IFERROR(__xludf.DUMMYFUNCTION("""COMPUTED_VALUE"""),"20250302_スタンダード_不完全恋愛")</f>
        <v>20250302_スタンダード_不完全恋愛</v>
      </c>
      <c r="T2984" s="195" t="str">
        <f>IFERROR(__xludf.DUMMYFUNCTION("""COMPUTED_VALUE"""),"格納済み")</f>
        <v>格納済み</v>
      </c>
      <c r="U2984" s="15" t="str">
        <f>IFERROR(__xludf.DUMMYFUNCTION("""COMPUTED_VALUE"""),"Ⓒイアム/北乃どらりぬ/DTSパブリッシング")</f>
        <v>Ⓒイアム/北乃どらりぬ/DTSパブリッシング</v>
      </c>
      <c r="V2984" s="8" t="str">
        <f>IFERROR(__xludf.DUMMYFUNCTION("""COMPUTED_VALUE"""),"過去の苦い失恋がトラウマとなり、本気の恋をすることができなくなった河合奈歩。仕事も順調、人間関係にも恵まれ、不満のない毎日──のはずだった。そんなある日、取引先でばったり再会したのは、かつての恋人・芹田。「やっぱり河合じゃん、すごい久しぶり！」屈託のない笑顔、軽やかな態度──まるであの頃のままの彼に、奈歩の心はざわつく。忘れたはずの記憶がよみがえり、過去と現在が交差する。ふたりはもう一度向き合うことができるのか？ それとも、傷つかないため拒むのか？揺れ動く心、交錯する想い──切なくも温かい、大人のラブスト"&amp;"ーリー。")</f>
        <v>過去の苦い失恋がトラウマとなり、本気の恋をすることができなくなった河合奈歩。仕事も順調、人間関係にも恵まれ、不満のない毎日──のはずだった。そんなある日、取引先でばったり再会したのは、かつての恋人・芹田。「やっぱり河合じゃん、すごい久しぶり！」屈託のない笑顔、軽やかな態度──まるであの頃のままの彼に、奈歩の心はざわつく。忘れたはずの記憶がよみがえり、過去と現在が交差する。ふたりはもう一度向き合うことができるのか？ それとも、傷つかないため拒むのか？揺れ動く心、交錯する想い──切なくも温かい、大人のラブストーリー。</v>
      </c>
      <c r="W2984" s="14"/>
      <c r="X2984" s="14" t="str">
        <f>IFERROR(__xludf.DUMMYFUNCTION("""COMPUTED_VALUE"""),"有")</f>
        <v>有</v>
      </c>
      <c r="Y2984" s="8" t="str">
        <f>IFERROR(__xludf.DUMMYFUNCTION("""COMPUTED_VALUE"""),"2025/5/1まで1巻無料")</f>
        <v>2025/5/1まで1巻無料</v>
      </c>
      <c r="Z2984" s="7"/>
      <c r="AA2984" s="7"/>
      <c r="AB2984" s="7"/>
    </row>
    <row r="2985" ht="15.75" customHeight="1">
      <c r="A2985" s="76">
        <f>IFERROR(__xludf.DUMMYFUNCTION("""COMPUTED_VALUE"""),4965.0)</f>
        <v>4965</v>
      </c>
      <c r="B2985" s="69" t="str">
        <f>IFERROR(__xludf.DUMMYFUNCTION("""COMPUTED_VALUE"""),"確定")</f>
        <v>確定</v>
      </c>
      <c r="C2985" s="74">
        <f>IFERROR(__xludf.DUMMYFUNCTION("""COMPUTED_VALUE"""),45693.0)</f>
        <v>45693</v>
      </c>
      <c r="D2985" s="74">
        <f>IFERROR(__xludf.DUMMYFUNCTION("""COMPUTED_VALUE"""),45728.0)</f>
        <v>45728</v>
      </c>
      <c r="E2985" s="109">
        <f>IFERROR(__xludf.DUMMYFUNCTION("""COMPUTED_VALUE"""),320533.0)</f>
        <v>320533</v>
      </c>
      <c r="F2985" s="20" t="str">
        <f>IFERROR(__xludf.DUMMYFUNCTION("""COMPUTED_VALUE"""),"夜の国の呪い姫、引きこもり太陽王子の心を溶かす（単話版）")</f>
        <v>夜の国の呪い姫、引きこもり太陽王子の心を溶かす（単話版）</v>
      </c>
      <c r="G2985" s="69" t="str">
        <f>IFERROR(__xludf.DUMMYFUNCTION("""COMPUTED_VALUE"""),"1～4")</f>
        <v>1～4</v>
      </c>
      <c r="H2985" s="69" t="str">
        <f>IFERROR(__xludf.DUMMYFUNCTION("""COMPUTED_VALUE"""),"椿ユーコ 羽鳥紘 木ノ下きの")</f>
        <v>椿ユーコ 羽鳥紘 木ノ下きの</v>
      </c>
      <c r="I2985" s="69" t="str">
        <f>IFERROR(__xludf.DUMMYFUNCTION("""COMPUTED_VALUE"""),"少女")</f>
        <v>少女</v>
      </c>
      <c r="J2985" s="194"/>
      <c r="K2985" s="194"/>
      <c r="L2985" s="69" t="str">
        <f>IFERROR(__xludf.DUMMYFUNCTION("""COMPUTED_VALUE"""),"コンパス")</f>
        <v>コンパス</v>
      </c>
      <c r="M2985" s="59">
        <f>IFERROR(__xludf.DUMMYFUNCTION("""COMPUTED_VALUE"""),45773.0)</f>
        <v>45773</v>
      </c>
      <c r="N2985" s="23">
        <f>IFERROR(__xludf.DUMMYFUNCTION("""COMPUTED_VALUE"""),45863.0)</f>
        <v>45863</v>
      </c>
      <c r="O2985" s="69"/>
      <c r="P2985" s="69" t="str">
        <f>IFERROR(__xludf.DUMMYFUNCTION("""COMPUTED_VALUE"""),"可")</f>
        <v>可</v>
      </c>
      <c r="Q2985" s="69" t="str">
        <f>IFERROR(__xludf.DUMMYFUNCTION("""COMPUTED_VALUE"""),"ジャンル：政略結婚系ファンタジー（ヒロイン活躍系）&lt;BR&gt;類似作品：コンパス「金髪の姫将軍は元敵国の好敵手に嫁ぐ」&lt;BR&gt;作品紹介：原作者が「金髪の姫将軍は元敵国の好敵手に嫁ぐ」と同じ羽鳥紘さん。作画は新人漫画家・椿ユーコさんを抜擢。「呪い姫」の異名を持つヒロインが、祖国のピンチを救うため隣国の偏屈な王子の元へ嫁ぐ物語。&lt;BR&gt; 数：全18話（合本版3巻）予定")</f>
        <v>ジャンル：政略結婚系ファンタジー（ヒロイン活躍系）&lt;BR&gt;類似作品：コンパス「金髪の姫将軍は元敵国の好敵手に嫁ぐ」&lt;BR&gt;作品紹介：原作者が「金髪の姫将軍は元敵国の好敵手に嫁ぐ」と同じ羽鳥紘さん。作画は新人漫画家・椿ユーコさんを抜擢。「呪い姫」の異名を持つヒロインが、祖国のピンチを救うため隣国の偏屈な王子の元へ嫁ぐ物語。&lt;BR&gt; 数：全18話（合本版3巻）予定</v>
      </c>
      <c r="R2985" s="69" t="str">
        <f>IFERROR(__xludf.DUMMYFUNCTION("""COMPUTED_VALUE"""),"コミットOK")</f>
        <v>コミットOK</v>
      </c>
      <c r="S2985" s="69" t="str">
        <f>IFERROR(__xludf.DUMMYFUNCTION("""COMPUTED_VALUE"""),"20250311_コンパス_夜の国の呪い姫、引きこもり太陽王子の心を溶かす")</f>
        <v>20250311_コンパス_夜の国の呪い姫、引きこもり太陽王子の心を溶かす</v>
      </c>
      <c r="T2985" s="69" t="str">
        <f>IFERROR(__xludf.DUMMYFUNCTION("""COMPUTED_VALUE"""),"格納済み")</f>
        <v>格納済み</v>
      </c>
      <c r="U2985" s="15" t="str">
        <f>IFERROR(__xludf.DUMMYFUNCTION("""COMPUTED_VALUE"""),"Ⓒ椿ユーコ・羽鳥紘／コンパス")</f>
        <v>Ⓒ椿ユーコ・羽鳥紘／コンパス</v>
      </c>
      <c r="V2985" s="8" t="str">
        <f>IFERROR(__xludf.DUMMYFUNCTION("""COMPUTED_VALUE"""),"謎の病に蝕まれ滅びの危機に瀕した祖国を救うため、大国との政略結婚を望んだ「呪い姫」・ヘルミーネ。
結婚相手となるのは、天才と名高く美しい容姿から「太陽の王子」と呼ばれるディートリヒ。
しかし彼との婚姻には一つ条件があった。
それは、一年以内に王子の心を開くこと…!?
「俺がお前を認めることは絶対にない」
そう言い放つ「太陽の王子」の閉ざされた心を「呪い姫」は開くことができるのか…!?
明るく前向きな姫×不器用で孤独な王子のじれじれラブストーリー!!")</f>
        <v>謎の病に蝕まれ滅びの危機に瀕した祖国を救うため、大国との政略結婚を望んだ「呪い姫」・ヘルミーネ。
結婚相手となるのは、天才と名高く美しい容姿から「太陽の王子」と呼ばれるディートリヒ。
しかし彼との婚姻には一つ条件があった。
それは、一年以内に王子の心を開くこと…!?
「俺がお前を認めることは絶対にない」
そう言い放つ「太陽の王子」の閉ざされた心を「呪い姫」は開くことができるのか…!?
明るく前向きな姫×不器用で孤独な王子のじれじれラブストーリー!!</v>
      </c>
      <c r="W2985" s="14"/>
      <c r="X2985" s="14" t="str">
        <f>IFERROR(__xludf.DUMMYFUNCTION("""COMPUTED_VALUE"""),"有")</f>
        <v>有</v>
      </c>
      <c r="Y2985" s="8" t="str">
        <f>IFERROR(__xludf.DUMMYFUNCTION("""COMPUTED_VALUE"""),"2025/5/9まで1巻無料")</f>
        <v>2025/5/9まで1巻無料</v>
      </c>
      <c r="Z2985" s="7"/>
      <c r="AA2985" s="7"/>
      <c r="AB2985" s="7"/>
    </row>
    <row r="2986" ht="15.75" customHeight="1">
      <c r="A2986" s="76">
        <f>IFERROR(__xludf.DUMMYFUNCTION("""COMPUTED_VALUE"""),4978.0)</f>
        <v>4978</v>
      </c>
      <c r="B2986" s="69" t="str">
        <f>IFERROR(__xludf.DUMMYFUNCTION("""COMPUTED_VALUE"""),"確定")</f>
        <v>確定</v>
      </c>
      <c r="C2986" s="74">
        <f>IFERROR(__xludf.DUMMYFUNCTION("""COMPUTED_VALUE"""),45694.0)</f>
        <v>45694</v>
      </c>
      <c r="D2986" s="74">
        <f>IFERROR(__xludf.DUMMYFUNCTION("""COMPUTED_VALUE"""),45727.0)</f>
        <v>45727</v>
      </c>
      <c r="E2986" s="109">
        <f>IFERROR(__xludf.DUMMYFUNCTION("""COMPUTED_VALUE"""),317407.0)</f>
        <v>317407</v>
      </c>
      <c r="F2986" s="20" t="str">
        <f>IFERROR(__xludf.DUMMYFUNCTION("""COMPUTED_VALUE"""),"帰れないふたり")</f>
        <v>帰れないふたり</v>
      </c>
      <c r="G2986" s="69" t="str">
        <f>IFERROR(__xludf.DUMMYFUNCTION("""COMPUTED_VALUE"""),"1～6")</f>
        <v>1～6</v>
      </c>
      <c r="H2986" s="69" t="str">
        <f>IFERROR(__xludf.DUMMYFUNCTION("""COMPUTED_VALUE"""),"レゥル")</f>
        <v>レゥル</v>
      </c>
      <c r="I2986" s="69" t="str">
        <f>IFERROR(__xludf.DUMMYFUNCTION("""COMPUTED_VALUE"""),"TL")</f>
        <v>TL</v>
      </c>
      <c r="J2986" s="194"/>
      <c r="K2986" s="69" t="str">
        <f>IFERROR(__xludf.DUMMYFUNCTION("""COMPUTED_VALUE"""),"なし")</f>
        <v>なし</v>
      </c>
      <c r="L2986" s="69" t="str">
        <f>IFERROR(__xludf.DUMMYFUNCTION("""COMPUTED_VALUE"""),"ナンバーナイン")</f>
        <v>ナンバーナイン</v>
      </c>
      <c r="M2986" s="59">
        <f>IFERROR(__xludf.DUMMYFUNCTION("""COMPUTED_VALUE"""),45772.0)</f>
        <v>45772</v>
      </c>
      <c r="N2986" s="28">
        <f>IFERROR(__xludf.DUMMYFUNCTION("""COMPUTED_VALUE"""),45832.0)</f>
        <v>45832</v>
      </c>
      <c r="O2986" s="69"/>
      <c r="P2986" s="69" t="str">
        <f>IFERROR(__xludf.DUMMYFUNCTION("""COMPUTED_VALUE"""),"可")</f>
        <v>可</v>
      </c>
      <c r="Q2986" s="69" t="str">
        <f>IFERROR(__xludf.DUMMYFUNCTION("""COMPUTED_VALUE"""),"1～3巻目のみ使用お願いします。&lt;BR&gt;他版元様での配信が発覚のため取り下げとしておりましたが、他版元様での配信を停止し4/25よりシーモア先行配信となりました")</f>
        <v>1～3巻目のみ使用お願いします。&lt;BR&gt;他版元様での配信が発覚のため取り下げとしておりましたが、他版元様での配信を停止し4/25よりシーモア先行配信となりました</v>
      </c>
      <c r="R2986" s="69" t="str">
        <f>IFERROR(__xludf.DUMMYFUNCTION("""COMPUTED_VALUE"""),"コミットOK")</f>
        <v>コミットOK</v>
      </c>
      <c r="S2986" s="69" t="str">
        <f>IFERROR(__xludf.DUMMYFUNCTION("""COMPUTED_VALUE"""),"20250216_ナンバーナイン_帰れないふたり")</f>
        <v>20250216_ナンバーナイン_帰れないふたり</v>
      </c>
      <c r="T2986" s="69" t="str">
        <f>IFERROR(__xludf.DUMMYFUNCTION("""COMPUTED_VALUE"""),"格納済み")</f>
        <v>格納済み</v>
      </c>
      <c r="U2986" s="15" t="str">
        <f>IFERROR(__xludf.DUMMYFUNCTION("""COMPUTED_VALUE"""),"Ⓒレゥル/ナンバーナイン")</f>
        <v>Ⓒレゥル/ナンバーナイン</v>
      </c>
      <c r="V2986" s="8" t="str">
        <f>IFERROR(__xludf.DUMMYFUNCTION("""COMPUTED_VALUE"""),"会社員の「富田　風華」は、真面目で奥手な性格のせいで恋人ができない。
恋人は欲しいものの、仕事を何とかこなしてる内に過ぎていく毎日。
そんな風華の唯一の癒しは、職場のセンパイ「水野　悠太」。
優しい先輩に片思いしているが、その恋心は胸に秘めている。
ある日二人きりでの出張の最中、 突然の台風により帰れなくなり、急遽ホテルに泊まることに。
しかし、ホテルは1部屋しか空室がなく… 「俺はどっか探すから大丈夫。
富田さんはここで休んで」 風華はこんな時でも優しい先輩をみてたまらず相部屋しようと提"&amp;"案するも、当然断られる。
それでも引かない風華。こんな嵐の中に先輩を放り出せない。
もう何度目かの押し問答ののち、先輩は突然豹変した。
「俺 頑張ったんだよ、変な気起こさないように。
富田さんのせいでダメだったけど」 見たことのない先輩の「雄」の顔。
いじわるでいやらしい言葉や、表情に戸惑いながらも、抵抗しきれず… 体験したことのない快楽に呑み込まれて行く。
20ページ")</f>
        <v>会社員の「富田　風華」は、真面目で奥手な性格のせいで恋人ができない。
恋人は欲しいものの、仕事を何とかこなしてる内に過ぎていく毎日。
そんな風華の唯一の癒しは、職場のセンパイ「水野　悠太」。
優しい先輩に片思いしているが、その恋心は胸に秘めている。
ある日二人きりでの出張の最中、 突然の台風により帰れなくなり、急遽ホテルに泊まることに。
しかし、ホテルは1部屋しか空室がなく… 「俺はどっか探すから大丈夫。
富田さんはここで休んで」 風華はこんな時でも優しい先輩をみてたまらず相部屋しようと提案するも、当然断られる。
それでも引かない風華。こんな嵐の中に先輩を放り出せない。
もう何度目かの押し問答ののち、先輩は突然豹変した。
「俺 頑張ったんだよ、変な気起こさないように。
富田さんのせいでダメだったけど」 見たことのない先輩の「雄」の顔。
いじわるでいやらしい言葉や、表情に戸惑いながらも、抵抗しきれず… 体験したことのない快楽に呑み込まれて行く。
20ページ</v>
      </c>
      <c r="W2986" s="14"/>
      <c r="X2986" s="14" t="str">
        <f>IFERROR(__xludf.DUMMYFUNCTION("""COMPUTED_VALUE"""),"有")</f>
        <v>有</v>
      </c>
      <c r="Y2986" s="8" t="str">
        <f>IFERROR(__xludf.DUMMYFUNCTION("""COMPUTED_VALUE"""),"1巻無料")</f>
        <v>1巻無料</v>
      </c>
      <c r="Z2986" s="7"/>
      <c r="AA2986" s="7"/>
      <c r="AB2986" s="7"/>
    </row>
    <row r="2987" ht="15.75" customHeight="1">
      <c r="A2987" s="76">
        <f>IFERROR(__xludf.DUMMYFUNCTION("""COMPUTED_VALUE"""),4982.0)</f>
        <v>4982</v>
      </c>
      <c r="B2987" s="69" t="str">
        <f>IFERROR(__xludf.DUMMYFUNCTION("""COMPUTED_VALUE"""),"確定")</f>
        <v>確定</v>
      </c>
      <c r="C2987" s="74">
        <f>IFERROR(__xludf.DUMMYFUNCTION("""COMPUTED_VALUE"""),45694.0)</f>
        <v>45694</v>
      </c>
      <c r="D2987" s="74">
        <f>IFERROR(__xludf.DUMMYFUNCTION("""COMPUTED_VALUE"""),45727.0)</f>
        <v>45727</v>
      </c>
      <c r="E2987" s="109">
        <f>IFERROR(__xludf.DUMMYFUNCTION("""COMPUTED_VALUE"""),317408.0)</f>
        <v>317408</v>
      </c>
      <c r="F2987" s="20" t="str">
        <f>IFERROR(__xludf.DUMMYFUNCTION("""COMPUTED_VALUE"""),"帰れないふたり【R-18版】")</f>
        <v>帰れないふたり【R-18版】</v>
      </c>
      <c r="G2987" s="69" t="str">
        <f>IFERROR(__xludf.DUMMYFUNCTION("""COMPUTED_VALUE"""),"1～6")</f>
        <v>1～6</v>
      </c>
      <c r="H2987" s="69" t="str">
        <f>IFERROR(__xludf.DUMMYFUNCTION("""COMPUTED_VALUE"""),"レゥル")</f>
        <v>レゥル</v>
      </c>
      <c r="I2987" s="197" t="str">
        <f>IFERROR(__xludf.DUMMYFUNCTION("""COMPUTED_VALUE"""),"アダルトマンガ")</f>
        <v>アダルトマンガ</v>
      </c>
      <c r="J2987" s="166"/>
      <c r="K2987" s="194"/>
      <c r="L2987" s="69" t="str">
        <f>IFERROR(__xludf.DUMMYFUNCTION("""COMPUTED_VALUE"""),"ナンバーナイン")</f>
        <v>ナンバーナイン</v>
      </c>
      <c r="M2987" s="59">
        <f>IFERROR(__xludf.DUMMYFUNCTION("""COMPUTED_VALUE"""),45772.0)</f>
        <v>45772</v>
      </c>
      <c r="N2987" s="28">
        <f>IFERROR(__xludf.DUMMYFUNCTION("""COMPUTED_VALUE"""),45832.0)</f>
        <v>45832</v>
      </c>
      <c r="O2987" s="69"/>
      <c r="P2987" s="69" t="str">
        <f>IFERROR(__xludf.DUMMYFUNCTION("""COMPUTED_VALUE"""),"可")</f>
        <v>可</v>
      </c>
      <c r="Q2987" s="69" t="str">
        <f>IFERROR(__xludf.DUMMYFUNCTION("""COMPUTED_VALUE"""),"1～3巻目のみ使用お願いします。&lt;BR&gt;他版元様での配信が発覚のため取り下げとしておりましたが、他版元様での配信を停止し4/25よりシーモア先行配信となりました")</f>
        <v>1～3巻目のみ使用お願いします。&lt;BR&gt;他版元様での配信が発覚のため取り下げとしておりましたが、他版元様での配信を停止し4/25よりシーモア先行配信となりました</v>
      </c>
      <c r="R2987" s="69" t="str">
        <f>IFERROR(__xludf.DUMMYFUNCTION("""COMPUTED_VALUE"""),"コミットOK")</f>
        <v>コミットOK</v>
      </c>
      <c r="S2987" s="69" t="str">
        <f>IFERROR(__xludf.DUMMYFUNCTION("""COMPUTED_VALUE"""),"20250216_ナンバーナイン_帰れないふたり【R-18版】")</f>
        <v>20250216_ナンバーナイン_帰れないふたり【R-18版】</v>
      </c>
      <c r="T2987" s="69" t="str">
        <f>IFERROR(__xludf.DUMMYFUNCTION("""COMPUTED_VALUE"""),"格納済み")</f>
        <v>格納済み</v>
      </c>
      <c r="U2987" s="15" t="str">
        <f>IFERROR(__xludf.DUMMYFUNCTION("""COMPUTED_VALUE"""),"Ⓒレゥル/ナンバーナイン")</f>
        <v>Ⓒレゥル/ナンバーナイン</v>
      </c>
      <c r="V2987" s="8" t="str">
        <f>IFERROR(__xludf.DUMMYFUNCTION("""COMPUTED_VALUE"""),"会社員の「富田　風華」は、真面目で奥手な性格のせいで恋人ができない。
恋人は欲しいものの、仕事を何とかこなしてる内に過ぎていく毎日。
そんな風華の唯一の癒しは、職場のセンパイ「水野　悠太」。
優しい先輩に片思いしているが、その恋心は胸に秘めている。
ある日二人きりでの出張の最中、 突然の台風により帰れなくなり、急遽ホテルに泊まることに。
しかし、ホテルは1部屋しか空室がなく…
「俺はどっか探すから大丈夫。富田さんはここで休んで」
風華はこんな時でも優しい先輩をみてたまらず相部屋しようと提案す"&amp;"るも、当然断られる。
それでも引かない風華。こんな嵐の中に先輩を放り出せない。
もう何度目かの押し問答ののち、先輩は突然豹変した。
「俺 頑張ったんだよ、変な気起こさないように。富田さんのせいでダメだったけど」 見たことのない先輩の「雄」の顔。
いじわるでいやらしい言葉や、表情に戸惑いながらも、抵抗しきれず… 体験したことのない快楽に呑み込まれて行く。
※棒消し修正版です。
20ページ")</f>
        <v>会社員の「富田　風華」は、真面目で奥手な性格のせいで恋人ができない。
恋人は欲しいものの、仕事を何とかこなしてる内に過ぎていく毎日。
そんな風華の唯一の癒しは、職場のセンパイ「水野　悠太」。
優しい先輩に片思いしているが、その恋心は胸に秘めている。
ある日二人きりでの出張の最中、 突然の台風により帰れなくなり、急遽ホテルに泊まることに。
しかし、ホテルは1部屋しか空室がなく…
「俺はどっか探すから大丈夫。富田さんはここで休んで」
風華はこんな時でも優しい先輩をみてたまらず相部屋しようと提案するも、当然断られる。
それでも引かない風華。こんな嵐の中に先輩を放り出せない。
もう何度目かの押し問答ののち、先輩は突然豹変した。
「俺 頑張ったんだよ、変な気起こさないように。富田さんのせいでダメだったけど」 見たことのない先輩の「雄」の顔。
いじわるでいやらしい言葉や、表情に戸惑いながらも、抵抗しきれず… 体験したことのない快楽に呑み込まれて行く。
※棒消し修正版です。
20ページ</v>
      </c>
      <c r="W2987" s="14"/>
      <c r="X2987" s="14" t="str">
        <f>IFERROR(__xludf.DUMMYFUNCTION("""COMPUTED_VALUE"""),"有")</f>
        <v>有</v>
      </c>
      <c r="Y2987" s="8" t="str">
        <f>IFERROR(__xludf.DUMMYFUNCTION("""COMPUTED_VALUE"""),"1巻無料")</f>
        <v>1巻無料</v>
      </c>
      <c r="Z2987" s="7"/>
      <c r="AA2987" s="7"/>
      <c r="AB2987" s="7"/>
    </row>
    <row r="2988" ht="15.75" customHeight="1">
      <c r="A2988" s="76">
        <f>IFERROR(__xludf.DUMMYFUNCTION("""COMPUTED_VALUE"""),4990.0)</f>
        <v>4990</v>
      </c>
      <c r="B2988" s="69" t="str">
        <f>IFERROR(__xludf.DUMMYFUNCTION("""COMPUTED_VALUE"""),"確定")</f>
        <v>確定</v>
      </c>
      <c r="C2988" s="74">
        <f>IFERROR(__xludf.DUMMYFUNCTION("""COMPUTED_VALUE"""),45694.0)</f>
        <v>45694</v>
      </c>
      <c r="D2988" s="74">
        <f>IFERROR(__xludf.DUMMYFUNCTION("""COMPUTED_VALUE"""),45728.0)</f>
        <v>45728</v>
      </c>
      <c r="E2988" s="109">
        <f>IFERROR(__xludf.DUMMYFUNCTION("""COMPUTED_VALUE"""),322429.0)</f>
        <v>322429</v>
      </c>
      <c r="F2988" s="20" t="str">
        <f>IFERROR(__xludf.DUMMYFUNCTION("""COMPUTED_VALUE"""),"【単話版】俺、寝取られたいんです!!!")</f>
        <v>【単話版】俺、寝取られたいんです!!!</v>
      </c>
      <c r="G2988" s="69" t="str">
        <f>IFERROR(__xludf.DUMMYFUNCTION("""COMPUTED_VALUE"""),"1～3")</f>
        <v>1～3</v>
      </c>
      <c r="H2988" s="69" t="str">
        <f>IFERROR(__xludf.DUMMYFUNCTION("""COMPUTED_VALUE"""),"梶山昊頌")</f>
        <v>梶山昊頌</v>
      </c>
      <c r="I2988" s="69" t="str">
        <f>IFERROR(__xludf.DUMMYFUNCTION("""COMPUTED_VALUE"""),"青年")</f>
        <v>青年</v>
      </c>
      <c r="J2988" s="194"/>
      <c r="K2988" s="194"/>
      <c r="L2988" s="69" t="str">
        <f>IFERROR(__xludf.DUMMYFUNCTION("""COMPUTED_VALUE"""),"新潮社")</f>
        <v>新潮社</v>
      </c>
      <c r="M2988" s="59">
        <f>IFERROR(__xludf.DUMMYFUNCTION("""COMPUTED_VALUE"""),45772.0)</f>
        <v>45772</v>
      </c>
      <c r="N2988" s="23">
        <f>IFERROR(__xludf.DUMMYFUNCTION("""COMPUTED_VALUE"""),46021.0)</f>
        <v>46021</v>
      </c>
      <c r="O2988" s="69"/>
      <c r="P2988" s="111" t="str">
        <f>IFERROR(__xludf.DUMMYFUNCTION("""COMPUTED_VALUE"""),"可")</f>
        <v>可</v>
      </c>
      <c r="Q2988" s="69"/>
      <c r="R2988" s="69" t="str">
        <f>IFERROR(__xludf.DUMMYFUNCTION("""COMPUTED_VALUE"""),"コミットOK")</f>
        <v>コミットOK</v>
      </c>
      <c r="S2988" s="69" t="str">
        <f>IFERROR(__xludf.DUMMYFUNCTION("""COMPUTED_VALUE"""),"20250311_新潮社_俺、寝とられたいんです！")</f>
        <v>20250311_新潮社_俺、寝とられたいんです！</v>
      </c>
      <c r="T2988" s="69" t="str">
        <f>IFERROR(__xludf.DUMMYFUNCTION("""COMPUTED_VALUE"""),"格納済み")</f>
        <v>格納済み</v>
      </c>
      <c r="U2988" s="15" t="str">
        <f>IFERROR(__xludf.DUMMYFUNCTION("""COMPUTED_VALUE"""),"Ⓒ梶山昊頌／新潮社")</f>
        <v>Ⓒ梶山昊頌／新潮社</v>
      </c>
      <c r="V2988" s="8" t="str">
        <f>IFERROR(__xludf.DUMMYFUNCTION("""COMPUTED_VALUE"""),"寝取られ性癖を拗らせすぎて“寝取られ”がないと興奮できなくなってしまった主人公『明日葉　君影（アシタバ　キミカゲ）』。どんな女性、どんな恋愛、どんなシチュエーションであっても「もし寝取られだったら……」と自分の性癖で考えてしまうクセがあり?!　拗らせた性癖ゆえに恋愛を諦めた明日葉であったが、彼の本心にはまだ「恋愛をしたい」という願いがあって――……。")</f>
        <v>寝取られ性癖を拗らせすぎて“寝取られ”がないと興奮できなくなってしまった主人公『明日葉　君影（アシタバ　キミカゲ）』。どんな女性、どんな恋愛、どんなシチュエーションであっても「もし寝取られだったら……」と自分の性癖で考えてしまうクセがあり?!　拗らせた性癖ゆえに恋愛を諦めた明日葉であったが、彼の本心にはまだ「恋愛をしたい」という願いがあって――……。</v>
      </c>
      <c r="W2988" s="14"/>
      <c r="X2988" s="14" t="str">
        <f>IFERROR(__xludf.DUMMYFUNCTION("""COMPUTED_VALUE"""),"有")</f>
        <v>有</v>
      </c>
      <c r="Y2988" s="8" t="str">
        <f>IFERROR(__xludf.DUMMYFUNCTION("""COMPUTED_VALUE"""),"2025/5/8まで1巻無料")</f>
        <v>2025/5/8まで1巻無料</v>
      </c>
      <c r="Z2988" s="7"/>
      <c r="AA2988" s="7"/>
      <c r="AB2988" s="7"/>
    </row>
    <row r="2989" ht="15.75" customHeight="1">
      <c r="A2989" s="76">
        <f>IFERROR(__xludf.DUMMYFUNCTION("""COMPUTED_VALUE"""),5006.0)</f>
        <v>5006</v>
      </c>
      <c r="B2989" s="69" t="str">
        <f>IFERROR(__xludf.DUMMYFUNCTION("""COMPUTED_VALUE"""),"確定")</f>
        <v>確定</v>
      </c>
      <c r="C2989" s="74">
        <f>IFERROR(__xludf.DUMMYFUNCTION("""COMPUTED_VALUE"""),45698.0)</f>
        <v>45698</v>
      </c>
      <c r="D2989" s="74">
        <f>IFERROR(__xludf.DUMMYFUNCTION("""COMPUTED_VALUE"""),45728.0)</f>
        <v>45728</v>
      </c>
      <c r="E2989" s="109">
        <f>IFERROR(__xludf.DUMMYFUNCTION("""COMPUTED_VALUE"""),319699.0)</f>
        <v>319699</v>
      </c>
      <c r="F2989" s="20" t="str">
        <f>IFERROR(__xludf.DUMMYFUNCTION("""COMPUTED_VALUE"""),"花とメオト-大正溺愛お伽草子-【マイクロ】")</f>
        <v>花とメオト-大正溺愛お伽草子-【マイクロ】</v>
      </c>
      <c r="G2989" s="69" t="str">
        <f>IFERROR(__xludf.DUMMYFUNCTION("""COMPUTED_VALUE"""),"1～3")</f>
        <v>1～3</v>
      </c>
      <c r="H2989" s="69" t="str">
        <f>IFERROR(__xludf.DUMMYFUNCTION("""COMPUTED_VALUE"""),"蜜樹みこ")</f>
        <v>蜜樹みこ</v>
      </c>
      <c r="I2989" s="69" t="str">
        <f>IFERROR(__xludf.DUMMYFUNCTION("""COMPUTED_VALUE"""),"女性")</f>
        <v>女性</v>
      </c>
      <c r="J2989" s="194"/>
      <c r="K2989" s="194"/>
      <c r="L2989" s="69" t="str">
        <f>IFERROR(__xludf.DUMMYFUNCTION("""COMPUTED_VALUE"""),"小学館")</f>
        <v>小学館</v>
      </c>
      <c r="M2989" s="59">
        <f>IFERROR(__xludf.DUMMYFUNCTION("""COMPUTED_VALUE"""),45762.0)</f>
        <v>45762</v>
      </c>
      <c r="N2989" s="23">
        <f>IFERROR(__xludf.DUMMYFUNCTION("""COMPUTED_VALUE"""),45822.0)</f>
        <v>45822</v>
      </c>
      <c r="O2989" s="69"/>
      <c r="P2989" s="69" t="str">
        <f>IFERROR(__xludf.DUMMYFUNCTION("""COMPUTED_VALUE"""),"可")</f>
        <v>可</v>
      </c>
      <c r="Q2989" s="69" t="str">
        <f>IFERROR(__xludf.DUMMYFUNCTION("""COMPUTED_VALUE"""),"著者の蜜樹みこ氏は『少年ブラヰド －男装令嬢と黒書生－』や『帝都初恋心中』等、大正を舞台としたラブロマンス作品で実績があり、今回は妖と人が共存する世界を舞台にしたバトルアクションロマンスとなります。&lt;BR&gt;新婚夫婦の溺愛要素もありつつ、ファンタジー要素も入った作品となっておりますので、同作家の既存読者だけでなく、新規の女性読者に広く刺さる内容かと存じます。")</f>
        <v>著者の蜜樹みこ氏は『少年ブラヰド －男装令嬢と黒書生－』や『帝都初恋心中』等、大正を舞台としたラブロマンス作品で実績があり、今回は妖と人が共存する世界を舞台にしたバトルアクションロマンスとなります。&lt;BR&gt;新婚夫婦の溺愛要素もありつつ、ファンタジー要素も入った作品となっておりますので、同作家の既存読者だけでなく、新規の女性読者に広く刺さる内容かと存じます。</v>
      </c>
      <c r="R2989" s="69" t="str">
        <f>IFERROR(__xludf.DUMMYFUNCTION("""COMPUTED_VALUE"""),"コミットOK")</f>
        <v>コミットOK</v>
      </c>
      <c r="S2989" s="69" t="str">
        <f>IFERROR(__xludf.DUMMYFUNCTION("""COMPUTED_VALUE"""),"20250307_小学館_花とメオト")</f>
        <v>20250307_小学館_花とメオト</v>
      </c>
      <c r="T2989" s="69" t="str">
        <f>IFERROR(__xludf.DUMMYFUNCTION("""COMPUTED_VALUE"""),"格納済み")</f>
        <v>格納済み</v>
      </c>
      <c r="U2989" s="15" t="str">
        <f>IFERROR(__xludf.DUMMYFUNCTION("""COMPUTED_VALUE"""),"Ⓒ蜜樹みこ / 小学館")</f>
        <v>Ⓒ蜜樹みこ / 小学館</v>
      </c>
      <c r="V2989" s="8" t="str">
        <f>IFERROR(__xludf.DUMMYFUNCTION("""COMPUTED_VALUE"""),"時は、和と洋の文化が混ざり合う美しき大正時代。人と妖が併存する現世で、愛し愛されて暮らすひと組の夫婦がありました・・・――
妻を溺愛してやまない夫・桃実世永は、絶倫性欲オバケのように毎晩余すことなく妻を抱き続けます。一方、その夫の愛を一心に受ける妻・桃実緋花には、どうしてこんなにも夫は自分を愛してくれるのかと疑念と不安が募ります。
そんな中、吸血木という妖が咲かせる花が、どんな病も傷も治せる万能薬になることから、政府の神社局が調査を始め・・・！？
百花繚乱、豪華絢爛、愛艶奇艶の妖艶ファンタジー！！")</f>
        <v>時は、和と洋の文化が混ざり合う美しき大正時代。人と妖が併存する現世で、愛し愛されて暮らすひと組の夫婦がありました・・・――
妻を溺愛してやまない夫・桃実世永は、絶倫性欲オバケのように毎晩余すことなく妻を抱き続けます。一方、その夫の愛を一心に受ける妻・桃実緋花には、どうしてこんなにも夫は自分を愛してくれるのかと疑念と不安が募ります。
そんな中、吸血木という妖が咲かせる花が、どんな病も傷も治せる万能薬になることから、政府の神社局が調査を始め・・・！？
百花繚乱、豪華絢爛、愛艶奇艶の妖艶ファンタジー！！</v>
      </c>
      <c r="W2989" s="14"/>
      <c r="X2989" s="14" t="str">
        <f>IFERROR(__xludf.DUMMYFUNCTION("""COMPUTED_VALUE"""),"有")</f>
        <v>有</v>
      </c>
      <c r="Y2989" s="8" t="str">
        <f>IFERROR(__xludf.DUMMYFUNCTION("""COMPUTED_VALUE"""),"P34まで")</f>
        <v>P34まで</v>
      </c>
      <c r="Z2989" s="7"/>
      <c r="AA2989" s="7"/>
      <c r="AB2989" s="7"/>
    </row>
    <row r="2990" ht="15.75" customHeight="1">
      <c r="A2990" s="76">
        <f>IFERROR(__xludf.DUMMYFUNCTION("""COMPUTED_VALUE"""),5065.0)</f>
        <v>5065</v>
      </c>
      <c r="B2990" s="69" t="str">
        <f>IFERROR(__xludf.DUMMYFUNCTION("""COMPUTED_VALUE"""),"確定")</f>
        <v>確定</v>
      </c>
      <c r="C2990" s="74">
        <f>IFERROR(__xludf.DUMMYFUNCTION("""COMPUTED_VALUE"""),45707.0)</f>
        <v>45707</v>
      </c>
      <c r="D2990" s="74">
        <f>IFERROR(__xludf.DUMMYFUNCTION("""COMPUTED_VALUE"""),45727.0)</f>
        <v>45727</v>
      </c>
      <c r="E2990" s="109">
        <f>IFERROR(__xludf.DUMMYFUNCTION("""COMPUTED_VALUE"""),318553.0)</f>
        <v>318553</v>
      </c>
      <c r="F2990" s="20" t="str">
        <f>IFERROR(__xludf.DUMMYFUNCTION("""COMPUTED_VALUE"""),"魔法少女の殺し方")</f>
        <v>魔法少女の殺し方</v>
      </c>
      <c r="G2990" s="69" t="str">
        <f>IFERROR(__xludf.DUMMYFUNCTION("""COMPUTED_VALUE"""),"1～3")</f>
        <v>1～3</v>
      </c>
      <c r="H2990" s="69" t="str">
        <f>IFERROR(__xludf.DUMMYFUNCTION("""COMPUTED_VALUE"""),"トラ太郎,peep,taskey STUDIO,新田漣,Trigono")</f>
        <v>トラ太郎,peep,taskey STUDIO,新田漣,Trigono</v>
      </c>
      <c r="I2990" s="69" t="str">
        <f>IFERROR(__xludf.DUMMYFUNCTION("""COMPUTED_VALUE"""),"青年")</f>
        <v>青年</v>
      </c>
      <c r="J2990" s="194"/>
      <c r="K2990" s="194"/>
      <c r="L2990" s="69" t="str">
        <f>IFERROR(__xludf.DUMMYFUNCTION("""COMPUTED_VALUE"""),"taskey")</f>
        <v>taskey</v>
      </c>
      <c r="M2990" s="59">
        <f>IFERROR(__xludf.DUMMYFUNCTION("""COMPUTED_VALUE"""),45746.0)</f>
        <v>45746</v>
      </c>
      <c r="N2990" s="28">
        <f>IFERROR(__xludf.DUMMYFUNCTION("""COMPUTED_VALUE"""),45838.0)</f>
        <v>45838</v>
      </c>
      <c r="O2990" s="152"/>
      <c r="P2990" s="190" t="str">
        <f>IFERROR(__xludf.DUMMYFUNCTION("""COMPUTED_VALUE"""),"可")</f>
        <v>可</v>
      </c>
      <c r="Q2990" s="190" t="str">
        <f>IFERROR(__xludf.DUMMYFUNCTION("""COMPUTED_VALUE"""),"・あらすじ：&lt;BR&gt;魔法少女として街の平和を守る星降夜空は、明るく可愛いものが大好きな女子高生。&lt;BR&gt;ある日、いつものように怪異を退治していた夜空は、帰宅後に妹である咲夜の死体を発見してしまう。&lt;BR&gt;最愛の妹を失い絶望する夜空だったが、咲夜を生き返らせる方法があると知る。&lt;BR&gt;その方法とは――他の魔法少女を殺害することだった。")</f>
        <v>・あらすじ：&lt;BR&gt;魔法少女として街の平和を守る星降夜空は、明るく可愛いものが大好きな女子高生。&lt;BR&gt;ある日、いつものように怪異を退治していた夜空は、帰宅後に妹である咲夜の死体を発見してしまう。&lt;BR&gt;最愛の妹を失い絶望する夜空だったが、咲夜を生き返らせる方法があると知る。&lt;BR&gt;その方法とは――他の魔法少女を殺害することだった。</v>
      </c>
      <c r="R2990" s="152" t="str">
        <f>IFERROR(__xludf.DUMMYFUNCTION("""COMPUTED_VALUE"""),"コミットOK")</f>
        <v>コミットOK</v>
      </c>
      <c r="S2990" s="152" t="str">
        <f>IFERROR(__xludf.DUMMYFUNCTION("""COMPUTED_VALUE"""),"20250310_taskey_魔法少女の殺し方")</f>
        <v>20250310_taskey_魔法少女の殺し方</v>
      </c>
      <c r="T2990" s="152" t="str">
        <f>IFERROR(__xludf.DUMMYFUNCTION("""COMPUTED_VALUE"""),"格納済み")</f>
        <v>格納済み</v>
      </c>
      <c r="U2990" s="15" t="str">
        <f>IFERROR(__xludf.DUMMYFUNCTION("""COMPUTED_VALUE"""),"Ⓒtaskey 原作／新田漣 ネーム／トラ太郎 作画／Trigono")</f>
        <v>Ⓒtaskey 原作／新田漣 ネーム／トラ太郎 作画／Trigono</v>
      </c>
      <c r="V2990" s="8" t="str">
        <f>IFERROR(__xludf.DUMMYFUNCTION("""COMPUTED_VALUE"""),"魔法少女として街の平和を守る星降夜空は、明るく可愛いものが大好きな女子高生。ある日、いつものように怪異を退治していた夜空は、帰宅後に妹である咲夜の死体を発見してしまう。最愛の妹を失い絶望する夜空だったが、咲夜を生き返らせる方法があると知る。その方法とは――他の魔法少女を殺害することだった。")</f>
        <v>魔法少女として街の平和を守る星降夜空は、明るく可愛いものが大好きな女子高生。ある日、いつものように怪異を退治していた夜空は、帰宅後に妹である咲夜の死体を発見してしまう。最愛の妹を失い絶望する夜空だったが、咲夜を生き返らせる方法があると知る。その方法とは――他の魔法少女を殺害することだった。</v>
      </c>
      <c r="W2990" s="14"/>
      <c r="X2990" s="14" t="str">
        <f>IFERROR(__xludf.DUMMYFUNCTION("""COMPUTED_VALUE"""),"有")</f>
        <v>有</v>
      </c>
      <c r="Y2990" s="8" t="str">
        <f>IFERROR(__xludf.DUMMYFUNCTION("""COMPUTED_VALUE"""),"2025/5/31まで1巻無料")</f>
        <v>2025/5/31まで1巻無料</v>
      </c>
      <c r="Z2990" s="7"/>
      <c r="AA2990" s="7"/>
      <c r="AB2990" s="7"/>
    </row>
    <row r="2991" ht="15.75" customHeight="1">
      <c r="A2991" s="76">
        <f>IFERROR(__xludf.DUMMYFUNCTION("""COMPUTED_VALUE"""),5075.0)</f>
        <v>5075</v>
      </c>
      <c r="B2991" s="69" t="str">
        <f>IFERROR(__xludf.DUMMYFUNCTION("""COMPUTED_VALUE"""),"確定")</f>
        <v>確定</v>
      </c>
      <c r="C2991" s="74">
        <f>IFERROR(__xludf.DUMMYFUNCTION("""COMPUTED_VALUE"""),45709.0)</f>
        <v>45709</v>
      </c>
      <c r="D2991" s="74">
        <f>IFERROR(__xludf.DUMMYFUNCTION("""COMPUTED_VALUE"""),45727.0)</f>
        <v>45727</v>
      </c>
      <c r="E2991" s="109">
        <f>IFERROR(__xludf.DUMMYFUNCTION("""COMPUTED_VALUE"""),319153.0)</f>
        <v>319153</v>
      </c>
      <c r="F2991" s="20" t="str">
        <f>IFERROR(__xludf.DUMMYFUNCTION("""COMPUTED_VALUE"""),"SLEEP OR SEX【タテヨミ】")</f>
        <v>SLEEP OR SEX【タテヨミ】</v>
      </c>
      <c r="G2991" s="69" t="str">
        <f>IFERROR(__xludf.DUMMYFUNCTION("""COMPUTED_VALUE"""),"1～7")</f>
        <v>1～7</v>
      </c>
      <c r="H2991" s="79" t="str">
        <f>IFERROR(__xludf.DUMMYFUNCTION("""COMPUTED_VALUE"""),"MANGO SANGDAN")</f>
        <v>MANGO SANGDAN</v>
      </c>
      <c r="I2991" s="69" t="str">
        <f>IFERROR(__xludf.DUMMYFUNCTION("""COMPUTED_VALUE"""),"BL")</f>
        <v>BL</v>
      </c>
      <c r="J2991" s="194"/>
      <c r="K2991" s="69" t="str">
        <f>IFERROR(__xludf.DUMMYFUNCTION("""COMPUTED_VALUE"""),"RS MEDIA")</f>
        <v>RS MEDIA</v>
      </c>
      <c r="L2991" s="69" t="str">
        <f>IFERROR(__xludf.DUMMYFUNCTION("""COMPUTED_VALUE"""),"イルダコミックス")</f>
        <v>イルダコミックス</v>
      </c>
      <c r="M2991" s="59">
        <f>IFERROR(__xludf.DUMMYFUNCTION("""COMPUTED_VALUE"""),45755.0)</f>
        <v>45755</v>
      </c>
      <c r="N2991" s="59">
        <f>IFERROR(__xludf.DUMMYFUNCTION("""COMPUTED_VALUE"""),45845.0)</f>
        <v>45845</v>
      </c>
      <c r="O2991" s="69"/>
      <c r="P2991" s="111" t="str">
        <f>IFERROR(__xludf.DUMMYFUNCTION("""COMPUTED_VALUE"""),"可")</f>
        <v>可</v>
      </c>
      <c r="Q2991" s="69"/>
      <c r="R2991" s="69" t="str">
        <f>IFERROR(__xludf.DUMMYFUNCTION("""COMPUTED_VALUE"""),"コミットOK")</f>
        <v>コミットOK</v>
      </c>
      <c r="S2991" s="69" t="str">
        <f>IFERROR(__xludf.DUMMYFUNCTION("""COMPUTED_VALUE"""),"20250403イルダコミックス_SLEEP OR SEX")</f>
        <v>20250403イルダコミックス_SLEEP OR SEX</v>
      </c>
      <c r="T2991" s="69" t="str">
        <f>IFERROR(__xludf.DUMMYFUNCTION("""COMPUTED_VALUE"""),"格納済み")</f>
        <v>格納済み</v>
      </c>
      <c r="U2991" s="15" t="str">
        <f>IFERROR(__xludf.DUMMYFUNCTION("""COMPUTED_VALUE"""),"ⒸRS MEDIA")</f>
        <v>ⒸRS MEDIA</v>
      </c>
      <c r="V2991" s="8" t="str">
        <f>IFERROR(__xludf.DUMMYFUNCTION("""COMPUTED_VALUE"""),"「ここはね、お前の夢だからさ。」
最近不眠症がひどくなった大学生のチェ･ウヒョク。新しい部屋に引っ越して来てから寝つきが悪くなり、寝ても必ず悪い夢を見て疲れが溜まるばっかり。
部屋に何かの幽霊がいるんじゃないかと周りから心配されたウヒョクは、お菓子をお供えでもしてみたらどうかと言われる。そんなもん信じるかと言ってたが、ほぼ2週間ちゃんと寝れなかったし、もうやけくそだと思いウヒョクはカバンの中にあった飴を机の上にのせ、今夜は眠りにつくようにと願い目を閉じる。
しかしなぜか、ずっとエロいことが頭"&amp;"に浮かぶ。睡眠不足の次は欲求不満？と舌を打つウヒョック。頭がエッチなことでいっぱいにな次の瞬間、誰かに下を掴まれたような感覚がして目を開けると、イケメンがいて…!?
その男を見た途端急に体が動けなくなり、ウヒョクは気を失ってしまった…")</f>
        <v>「ここはね、お前の夢だからさ。」
最近不眠症がひどくなった大学生のチェ･ウヒョク。新しい部屋に引っ越して来てから寝つきが悪くなり、寝ても必ず悪い夢を見て疲れが溜まるばっかり。
部屋に何かの幽霊がいるんじゃないかと周りから心配されたウヒョクは、お菓子をお供えでもしてみたらどうかと言われる。そんなもん信じるかと言ってたが、ほぼ2週間ちゃんと寝れなかったし、もうやけくそだと思いウヒョクはカバンの中にあった飴を机の上にのせ、今夜は眠りにつくようにと願い目を閉じる。
しかしなぜか、ずっとエロいことが頭に浮かぶ。睡眠不足の次は欲求不満？と舌を打つウヒョック。頭がエッチなことでいっぱいにな次の瞬間、誰かに下を掴まれたような感覚がして目を開けると、イケメンがいて…!?
その男を見た途端急に体が動けなくなり、ウヒョクは気を失ってしまった…</v>
      </c>
      <c r="W2991" s="14"/>
      <c r="X2991" s="14" t="str">
        <f>IFERROR(__xludf.DUMMYFUNCTION("""COMPUTED_VALUE"""),"有")</f>
        <v>有</v>
      </c>
      <c r="Y2991" s="8" t="str">
        <f>IFERROR(__xludf.DUMMYFUNCTION("""COMPUTED_VALUE"""),"2025/5/7まで1~3巻無料")</f>
        <v>2025/5/7まで1~3巻無料</v>
      </c>
      <c r="Z2991" s="7"/>
      <c r="AA2991" s="7"/>
      <c r="AB2991" s="7"/>
    </row>
    <row r="2992" ht="15.75" customHeight="1">
      <c r="A2992" s="76">
        <f>IFERROR(__xludf.DUMMYFUNCTION("""COMPUTED_VALUE"""),5077.0)</f>
        <v>5077</v>
      </c>
      <c r="B2992" s="69" t="str">
        <f>IFERROR(__xludf.DUMMYFUNCTION("""COMPUTED_VALUE"""),"確定")</f>
        <v>確定</v>
      </c>
      <c r="C2992" s="74">
        <f>IFERROR(__xludf.DUMMYFUNCTION("""COMPUTED_VALUE"""),45709.0)</f>
        <v>45709</v>
      </c>
      <c r="D2992" s="74">
        <f>IFERROR(__xludf.DUMMYFUNCTION("""COMPUTED_VALUE"""),45728.0)</f>
        <v>45728</v>
      </c>
      <c r="E2992" s="109">
        <f>IFERROR(__xludf.DUMMYFUNCTION("""COMPUTED_VALUE"""),319958.0)</f>
        <v>319958</v>
      </c>
      <c r="F2992" s="20" t="str">
        <f>IFERROR(__xludf.DUMMYFUNCTION("""COMPUTED_VALUE"""),"敏腕CEOの愛は重すぎる!?～逃れられないプロポーズ～【分冊版】")</f>
        <v>敏腕CEOの愛は重すぎる!?～逃れられないプロポーズ～【分冊版】</v>
      </c>
      <c r="G2992" s="69" t="str">
        <f>IFERROR(__xludf.DUMMYFUNCTION("""COMPUTED_VALUE"""),"1～2")</f>
        <v>1～2</v>
      </c>
      <c r="H2992" s="69" t="str">
        <f>IFERROR(__xludf.DUMMYFUNCTION("""COMPUTED_VALUE"""),"長谷河樹衣 御厨翠")</f>
        <v>長谷河樹衣 御厨翠</v>
      </c>
      <c r="I2992" s="69" t="str">
        <f>IFERROR(__xludf.DUMMYFUNCTION("""COMPUTED_VALUE"""),"TL")</f>
        <v>TL</v>
      </c>
      <c r="J2992" s="194"/>
      <c r="K2992" s="69" t="str">
        <f>IFERROR(__xludf.DUMMYFUNCTION("""COMPUTED_VALUE"""),"乙女ドルチェ・コミックス")</f>
        <v>乙女ドルチェ・コミックス</v>
      </c>
      <c r="L2992" s="69" t="str">
        <f>IFERROR(__xludf.DUMMYFUNCTION("""COMPUTED_VALUE"""),"乙女ドルチェ・コミックス")</f>
        <v>乙女ドルチェ・コミックス</v>
      </c>
      <c r="M2992" s="59">
        <f>IFERROR(__xludf.DUMMYFUNCTION("""COMPUTED_VALUE"""),45765.0)</f>
        <v>45765</v>
      </c>
      <c r="N2992" s="23">
        <f>IFERROR(__xludf.DUMMYFUNCTION("""COMPUTED_VALUE"""),45825.0)</f>
        <v>45825</v>
      </c>
      <c r="O2992" s="69"/>
      <c r="P2992" s="111" t="str">
        <f>IFERROR(__xludf.DUMMYFUNCTION("""COMPUTED_VALUE"""),"可")</f>
        <v>可</v>
      </c>
      <c r="Q2992" s="69"/>
      <c r="R2992" s="197" t="str">
        <f>IFERROR(__xludf.DUMMYFUNCTION("""COMPUTED_VALUE"""),"コミットOK")</f>
        <v>コミットOK</v>
      </c>
      <c r="S2992" s="166"/>
      <c r="T2992" s="69"/>
      <c r="U2992" s="15" t="str">
        <f>IFERROR(__xludf.DUMMYFUNCTION("""COMPUTED_VALUE"""),"Ⓒ長谷河樹衣・御厨 翠／ハーパーコリンズ・ジャパン")</f>
        <v>Ⓒ長谷河樹衣・御厨 翠／ハーパーコリンズ・ジャパン</v>
      </c>
      <c r="V2992" s="8" t="str">
        <f>IFERROR(__xludf.DUMMYFUNCTION("""COMPUTED_VALUE"""),"「おまえが好きでたまらない…３年分抱いてもいいか？」
御曹司の彼にめちゃくちゃになるほど愛されて…
「俺はおまえでないと勃たないんだ！」花屋で勤める香桜里の前に３年ぶりに現れたのは、大手企業の御曹司で今はCEOの祐輔。学生時代、結婚まで意識していたのに、彼の父に脅されて別れた後、ひっそり生きてきた香桜里に、佑輔は復縁を熱く迫ってくる。今でも好きな人からの真摯な告白に、改めて彼と困難を乗り越え一緒に生きようと決意して、久しぶりの夜。フェロモン溢れる佑輔との再会Hは、快感が強くて感じすぎて…！")</f>
        <v>「おまえが好きでたまらない…３年分抱いてもいいか？」
御曹司の彼にめちゃくちゃになるほど愛されて…
「俺はおまえでないと勃たないんだ！」花屋で勤める香桜里の前に３年ぶりに現れたのは、大手企業の御曹司で今はCEOの祐輔。学生時代、結婚まで意識していたのに、彼の父に脅されて別れた後、ひっそり生きてきた香桜里に、佑輔は復縁を熱く迫ってくる。今でも好きな人からの真摯な告白に、改めて彼と困難を乗り越え一緒に生きようと決意して、久しぶりの夜。フェロモン溢れる佑輔との再会Hは、快感が強くて感じすぎて…！</v>
      </c>
      <c r="W2992" s="14"/>
      <c r="X2992" s="14" t="str">
        <f>IFERROR(__xludf.DUMMYFUNCTION("""COMPUTED_VALUE"""),"有")</f>
        <v>有</v>
      </c>
      <c r="Y2992" s="8" t="str">
        <f>IFERROR(__xludf.DUMMYFUNCTION("""COMPUTED_VALUE"""),"2025/5/15まで1巻立ち読み増量（P15まで）")</f>
        <v>2025/5/15まで1巻立ち読み増量（P15まで）</v>
      </c>
      <c r="Z2992" s="7"/>
      <c r="AA2992" s="7"/>
      <c r="AB2992" s="7"/>
    </row>
    <row r="2993" ht="15.75" customHeight="1">
      <c r="A2993" s="76">
        <f>IFERROR(__xludf.DUMMYFUNCTION("""COMPUTED_VALUE"""),5102.0)</f>
        <v>5102</v>
      </c>
      <c r="B2993" s="69" t="str">
        <f>IFERROR(__xludf.DUMMYFUNCTION("""COMPUTED_VALUE"""),"確定")</f>
        <v>確定</v>
      </c>
      <c r="C2993" s="74">
        <f>IFERROR(__xludf.DUMMYFUNCTION("""COMPUTED_VALUE"""),45713.0)</f>
        <v>45713</v>
      </c>
      <c r="D2993" s="74">
        <f>IFERROR(__xludf.DUMMYFUNCTION("""COMPUTED_VALUE"""),45727.0)</f>
        <v>45727</v>
      </c>
      <c r="E2993" s="109">
        <f>IFERROR(__xludf.DUMMYFUNCTION("""COMPUTED_VALUE"""),318691.0)</f>
        <v>318691</v>
      </c>
      <c r="F2993" s="20" t="str">
        <f>IFERROR(__xludf.DUMMYFUNCTION("""COMPUTED_VALUE"""),"重婚なんてお断り！ 絶対に双子の王子を見分けてみせます！（分冊版）")</f>
        <v>重婚なんてお断り！ 絶対に双子の王子を見分けてみせます！（分冊版）</v>
      </c>
      <c r="G2993" s="69" t="str">
        <f>IFERROR(__xludf.DUMMYFUNCTION("""COMPUTED_VALUE"""),"1～3")</f>
        <v>1～3</v>
      </c>
      <c r="H2993" s="69" t="str">
        <f>IFERROR(__xludf.DUMMYFUNCTION("""COMPUTED_VALUE"""),"犬咲・桃埜")</f>
        <v>犬咲・桃埜</v>
      </c>
      <c r="I2993" s="69" t="str">
        <f>IFERROR(__xludf.DUMMYFUNCTION("""COMPUTED_VALUE"""),"女性")</f>
        <v>女性</v>
      </c>
      <c r="J2993" s="194"/>
      <c r="K2993" s="194"/>
      <c r="L2993" s="69" t="str">
        <f>IFERROR(__xludf.DUMMYFUNCTION("""COMPUTED_VALUE"""),"アルファポリス")</f>
        <v>アルファポリス</v>
      </c>
      <c r="M2993" s="59">
        <f>IFERROR(__xludf.DUMMYFUNCTION("""COMPUTED_VALUE"""),45751.0)</f>
        <v>45751</v>
      </c>
      <c r="N2993" s="23">
        <f>IFERROR(__xludf.DUMMYFUNCTION("""COMPUTED_VALUE"""),45845.0)</f>
        <v>45845</v>
      </c>
      <c r="O2993" s="69"/>
      <c r="P2993" s="69" t="str">
        <f>IFERROR(__xludf.DUMMYFUNCTION("""COMPUTED_VALUE"""),"可")</f>
        <v>可</v>
      </c>
      <c r="Q2993" s="69" t="str">
        <f>IFERROR(__xludf.DUMMYFUNCTION("""COMPUTED_VALUE"""),"1～3巻目まで使用お願いします")</f>
        <v>1～3巻目まで使用お願いします</v>
      </c>
      <c r="R2993" s="69" t="str">
        <f>IFERROR(__xludf.DUMMYFUNCTION("""COMPUTED_VALUE"""),"コミットOK")</f>
        <v>コミットOK</v>
      </c>
      <c r="S2993" s="69" t="str">
        <f>IFERROR(__xludf.DUMMYFUNCTION("""COMPUTED_VALUE"""),"20250225_アルファポリス‗重婚なんてお断り！ 絶対に双子の王子を見分けてみせます！")</f>
        <v>20250225_アルファポリス‗重婚なんてお断り！ 絶対に双子の王子を見分けてみせます！</v>
      </c>
      <c r="T2993" s="69" t="str">
        <f>IFERROR(__xludf.DUMMYFUNCTION("""COMPUTED_VALUE"""),"格納済み")</f>
        <v>格納済み</v>
      </c>
      <c r="U2993" s="15" t="str">
        <f>IFERROR(__xludf.DUMMYFUNCTION("""COMPUTED_VALUE"""),"Ⓒ犬咲・桃埜／アルファポリス")</f>
        <v>Ⓒ犬咲・桃埜／アルファポリス</v>
      </c>
      <c r="V2993" s="8" t="str">
        <f>IFERROR(__xludf.DUMMYFUNCTION("""COMPUTED_VALUE"""),"「ねぇクレア、今どっちが触れてるかわかる？」治癒の能力をもつ巫女・クレア。その能力を買われ、彼女はウィリアム王太子の花嫁に選ばれる。しかし、なんとウィリアムの本当の姿はウィルとリアムという双子の王子で!?　彼らとの結婚は避けられないが、重婚は嫌！　そう思ったクレアは、重婚回避をかけてとある勝負を二人とすることになったけれど……勝負中、執着王子といじわる王子からの溺愛が止まらなくてーー!?︎")</f>
        <v>「ねぇクレア、今どっちが触れてるかわかる？」治癒の能力をもつ巫女・クレア。その能力を買われ、彼女はウィリアム王太子の花嫁に選ばれる。しかし、なんとウィリアムの本当の姿はウィルとリアムという双子の王子で!?　彼らとの結婚は避けられないが、重婚は嫌！　そう思ったクレアは、重婚回避をかけてとある勝負を二人とすることになったけれど……勝負中、執着王子といじわる王子からの溺愛が止まらなくてーー!?︎</v>
      </c>
      <c r="W2993" s="14"/>
      <c r="X2993" s="14" t="str">
        <f>IFERROR(__xludf.DUMMYFUNCTION("""COMPUTED_VALUE"""),"有")</f>
        <v>有</v>
      </c>
      <c r="Y2993" s="8" t="str">
        <f>IFERROR(__xludf.DUMMYFUNCTION("""COMPUTED_VALUE"""),"2025/4/17まで1巻無料")</f>
        <v>2025/4/17まで1巻無料</v>
      </c>
      <c r="Z2993" s="7"/>
      <c r="AA2993" s="7"/>
      <c r="AB2993" s="7"/>
    </row>
    <row r="2994" ht="15.75" customHeight="1">
      <c r="A2994" s="76">
        <f>IFERROR(__xludf.DUMMYFUNCTION("""COMPUTED_VALUE"""),5113.0)</f>
        <v>5113</v>
      </c>
      <c r="B2994" s="69" t="str">
        <f>IFERROR(__xludf.DUMMYFUNCTION("""COMPUTED_VALUE"""),"確定")</f>
        <v>確定</v>
      </c>
      <c r="C2994" s="74">
        <f>IFERROR(__xludf.DUMMYFUNCTION("""COMPUTED_VALUE"""),45714.0)</f>
        <v>45714</v>
      </c>
      <c r="D2994" s="74">
        <f>IFERROR(__xludf.DUMMYFUNCTION("""COMPUTED_VALUE"""),45727.0)</f>
        <v>45727</v>
      </c>
      <c r="E2994" s="109">
        <f>IFERROR(__xludf.DUMMYFUNCTION("""COMPUTED_VALUE"""),318744.0)</f>
        <v>318744</v>
      </c>
      <c r="F2994" s="20" t="str">
        <f>IFERROR(__xludf.DUMMYFUNCTION("""COMPUTED_VALUE"""),"ずっと、君だけを 寡黙な黒騎士は生まれ変わりの元王女を今度こそ手放さない")</f>
        <v>ずっと、君だけを 寡黙な黒騎士は生まれ変わりの元王女を今度こそ手放さない</v>
      </c>
      <c r="G2994" s="69" t="str">
        <f>IFERROR(__xludf.DUMMYFUNCTION("""COMPUTED_VALUE"""),"1～3")</f>
        <v>1～3</v>
      </c>
      <c r="H2994" s="69" t="str">
        <f>IFERROR(__xludf.DUMMYFUNCTION("""COMPUTED_VALUE"""),"著者 ：花里ひかり 原作 ：蒼磨奏")</f>
        <v>著者 ：花里ひかり 原作 ：蒼磨奏</v>
      </c>
      <c r="I2994" s="69" t="str">
        <f>IFERROR(__xludf.DUMMYFUNCTION("""COMPUTED_VALUE"""),"女性マンガ")</f>
        <v>女性マンガ</v>
      </c>
      <c r="J2994" s="194"/>
      <c r="K2994" s="69" t="str">
        <f>IFERROR(__xludf.DUMMYFUNCTION("""COMPUTED_VALUE"""),"オパールCOMICS kiss")</f>
        <v>オパールCOMICS kiss</v>
      </c>
      <c r="L2994" s="69" t="str">
        <f>IFERROR(__xludf.DUMMYFUNCTION("""COMPUTED_VALUE"""),"プランタン出版")</f>
        <v>プランタン出版</v>
      </c>
      <c r="M2994" s="59">
        <f>IFERROR(__xludf.DUMMYFUNCTION("""COMPUTED_VALUE"""),45751.0)</f>
        <v>45751</v>
      </c>
      <c r="N2994" s="59">
        <f>IFERROR(__xludf.DUMMYFUNCTION("""COMPUTED_VALUE"""),45841.0)</f>
        <v>45841</v>
      </c>
      <c r="O2994" s="69"/>
      <c r="P2994" s="69" t="str">
        <f>IFERROR(__xludf.DUMMYFUNCTION("""COMPUTED_VALUE"""),"否")</f>
        <v>否</v>
      </c>
      <c r="Q2994" s="69" t="str">
        <f>IFERROR(__xludf.DUMMYFUNCTION("""COMPUTED_VALUE"""),"予定話数：全12話&lt;BR&gt;配信予定：2025年4月初回3話配信、以降→毎月1話更新")</f>
        <v>予定話数：全12話&lt;BR&gt;配信予定：2025年4月初回3話配信、以降→毎月1話更新</v>
      </c>
      <c r="R2994" s="69" t="str">
        <f>IFERROR(__xludf.DUMMYFUNCTION("""COMPUTED_VALUE"""),"コミットOK")</f>
        <v>コミットOK</v>
      </c>
      <c r="S2994" s="69" t="str">
        <f>IFERROR(__xludf.DUMMYFUNCTION("""COMPUTED_VALUE"""),"20250305_フランス書院_ずっと、君だけを 寡黙な黒騎士は生まれ変わりの元王女を今度こそ手放さない")</f>
        <v>20250305_フランス書院_ずっと、君だけを 寡黙な黒騎士は生まれ変わりの元王女を今度こそ手放さない</v>
      </c>
      <c r="T2994" s="69" t="str">
        <f>IFERROR(__xludf.DUMMYFUNCTION("""COMPUTED_VALUE"""),"格納済み")</f>
        <v>格納済み</v>
      </c>
      <c r="U2994" s="15" t="str">
        <f>IFERROR(__xludf.DUMMYFUNCTION("""COMPUTED_VALUE"""),"Ⓒ花里ひかり/蒼磨奏/プランタン出版")</f>
        <v>Ⓒ花里ひかり/蒼磨奏/プランタン出版</v>
      </c>
      <c r="V2994" s="8" t="str">
        <f>IFERROR(__xludf.DUMMYFUNCTION("""COMPUTED_VALUE"""),"幼なじみの騎士ラディウスに想いを告げられぬまま、不慮の事故で亡くなった王女パトリシア。
目覚めたらそこは6年後の世界。隣国の公爵令嬢に生まれ変わっていた!?　
婚約者候補がラディウスだと知り胸をときめかせるも、会ってみると別人のように暗く冷たい態度で…。
「君と結婚するつもりはない」一度は提案された婚約破棄。
しかし以前の公爵令嬢とはだいぶ雰囲気の異なる彼女に何かを感じたのか、ラディウスの物腰は徐々に優しさを帯びていく。
「…リシア」
一つの疑問を確かめるように、不意にかつての愛称で呼ばれたパ"&amp;"トリシアは――!?")</f>
        <v>幼なじみの騎士ラディウスに想いを告げられぬまま、不慮の事故で亡くなった王女パトリシア。
目覚めたらそこは6年後の世界。隣国の公爵令嬢に生まれ変わっていた!?　
婚約者候補がラディウスだと知り胸をときめかせるも、会ってみると別人のように暗く冷たい態度で…。
「君と結婚するつもりはない」一度は提案された婚約破棄。
しかし以前の公爵令嬢とはだいぶ雰囲気の異なる彼女に何かを感じたのか、ラディウスの物腰は徐々に優しさを帯びていく。
「…リシア」
一つの疑問を確かめるように、不意にかつての愛称で呼ばれたパトリシアは――!?</v>
      </c>
      <c r="W2994" s="14"/>
      <c r="X2994" s="14" t="str">
        <f>IFERROR(__xludf.DUMMYFUNCTION("""COMPUTED_VALUE"""),"有")</f>
        <v>有</v>
      </c>
      <c r="Y2994" s="8" t="str">
        <f>IFERROR(__xludf.DUMMYFUNCTION("""COMPUTED_VALUE"""),"2025/7/3まで1巻無料")</f>
        <v>2025/7/3まで1巻無料</v>
      </c>
      <c r="Z2994" s="7"/>
      <c r="AA2994" s="7"/>
      <c r="AB2994" s="7"/>
    </row>
    <row r="2995" ht="15.75" customHeight="1">
      <c r="A2995" s="76">
        <f>IFERROR(__xludf.DUMMYFUNCTION("""COMPUTED_VALUE"""),5114.0)</f>
        <v>5114</v>
      </c>
      <c r="B2995" s="69" t="str">
        <f>IFERROR(__xludf.DUMMYFUNCTION("""COMPUTED_VALUE"""),"確定")</f>
        <v>確定</v>
      </c>
      <c r="C2995" s="74">
        <f>IFERROR(__xludf.DUMMYFUNCTION("""COMPUTED_VALUE"""),45714.0)</f>
        <v>45714</v>
      </c>
      <c r="D2995" s="74">
        <f>IFERROR(__xludf.DUMMYFUNCTION("""COMPUTED_VALUE"""),45727.0)</f>
        <v>45727</v>
      </c>
      <c r="E2995" s="109">
        <f>IFERROR(__xludf.DUMMYFUNCTION("""COMPUTED_VALUE"""),321363.0)</f>
        <v>321363</v>
      </c>
      <c r="F2995" s="20" t="str">
        <f>IFERROR(__xludf.DUMMYFUNCTION("""COMPUTED_VALUE"""),"追放聖女は再就職先で元魔王様に溺愛されそうです!?")</f>
        <v>追放聖女は再就職先で元魔王様に溺愛されそうです!?</v>
      </c>
      <c r="G2995" s="69" t="str">
        <f>IFERROR(__xludf.DUMMYFUNCTION("""COMPUTED_VALUE"""),"1～3")</f>
        <v>1～3</v>
      </c>
      <c r="H2995" s="69" t="str">
        <f>IFERROR(__xludf.DUMMYFUNCTION("""COMPUTED_VALUE"""),"イカズミ五一 ＯＳＡＤＡ せらひなこ")</f>
        <v>イカズミ五一 ＯＳＡＤＡ せらひなこ</v>
      </c>
      <c r="I2995" s="79" t="str">
        <f>IFERROR(__xludf.DUMMYFUNCTION("""COMPUTED_VALUE"""),"少女")</f>
        <v>少女</v>
      </c>
      <c r="J2995" s="194"/>
      <c r="K2995" s="69" t="str">
        <f>IFERROR(__xludf.DUMMYFUNCTION("""COMPUTED_VALUE"""),"オパールCOMICS kiss")</f>
        <v>オパールCOMICS kiss</v>
      </c>
      <c r="L2995" s="69" t="str">
        <f>IFERROR(__xludf.DUMMYFUNCTION("""COMPUTED_VALUE"""),"プランタン出版")</f>
        <v>プランタン出版</v>
      </c>
      <c r="M2995" s="59">
        <f>IFERROR(__xludf.DUMMYFUNCTION("""COMPUTED_VALUE"""),45793.0)</f>
        <v>45793</v>
      </c>
      <c r="N2995" s="59">
        <f>IFERROR(__xludf.DUMMYFUNCTION("""COMPUTED_VALUE"""),45883.0)</f>
        <v>45883</v>
      </c>
      <c r="O2995" s="69"/>
      <c r="P2995" s="69" t="str">
        <f>IFERROR(__xludf.DUMMYFUNCTION("""COMPUTED_VALUE"""),"否")</f>
        <v>否</v>
      </c>
      <c r="Q2995" s="69" t="str">
        <f>IFERROR(__xludf.DUMMYFUNCTION("""COMPUTED_VALUE"""),"原作：ティアラ文庫『追放聖女は再就職先で純情魔王に溺愛されそうです！？』https://www.cmoa.jp/title/1101358256/")</f>
        <v>原作：ティアラ文庫『追放聖女は再就職先で純情魔王に溺愛されそうです！？』https://www.cmoa.jp/title/1101358256/</v>
      </c>
      <c r="R2995" s="69" t="str">
        <f>IFERROR(__xludf.DUMMYFUNCTION("""COMPUTED_VALUE"""),"コミットOK")</f>
        <v>コミットOK</v>
      </c>
      <c r="S2995" s="69" t="str">
        <f>IFERROR(__xludf.DUMMYFUNCTION("""COMPUTED_VALUE"""),"20250305_フランス書院_追放聖女は再就職先で元魔王様に溺愛されそうです")</f>
        <v>20250305_フランス書院_追放聖女は再就職先で元魔王様に溺愛されそうです</v>
      </c>
      <c r="T2995" s="69" t="str">
        <f>IFERROR(__xludf.DUMMYFUNCTION("""COMPUTED_VALUE"""),"格納済み")</f>
        <v>格納済み</v>
      </c>
      <c r="U2995" s="15" t="str">
        <f>IFERROR(__xludf.DUMMYFUNCTION("""COMPUTED_VALUE"""),"Ⓒイカズミ五一/せらひなこ/プランタン出版")</f>
        <v>Ⓒイカズミ五一/せらひなこ/プランタン出版</v>
      </c>
      <c r="V2995" s="8" t="str">
        <f>IFERROR(__xludf.DUMMYFUNCTION("""COMPUTED_VALUE"""),"不慮の事故に遭い、異世界の聖女に転生したマリア。
戦争で傷ついた人々を癒す仕事をしていたところ、突然リストラされてしまう。落ち込むマリアを個人秘書として雇いたいと申し出たのは、鋭い眼差しを持つ美貌の男性・ヴィクトル。
破格の給料、衣食住が保証された提案には抗えず新しい職場へ同行すると、そこはかつての敵国、しかもヴィクトルは元魔王だった……！
怯えるマリアを待っていたのは、お姫様だっこでエスコート、手の甲にキスでご挨拶…と、どこかズレている魔王様のおもてなしで――!?
純情魔王とひたむき聖女の異世界"&amp;"ラブコメ！")</f>
        <v>不慮の事故に遭い、異世界の聖女に転生したマリア。
戦争で傷ついた人々を癒す仕事をしていたところ、突然リストラされてしまう。落ち込むマリアを個人秘書として雇いたいと申し出たのは、鋭い眼差しを持つ美貌の男性・ヴィクトル。
破格の給料、衣食住が保証された提案には抗えず新しい職場へ同行すると、そこはかつての敵国、しかもヴィクトルは元魔王だった……！
怯えるマリアを待っていたのは、お姫様だっこでエスコート、手の甲にキスでご挨拶…と、どこかズレている魔王様のおもてなしで――!?
純情魔王とひたむき聖女の異世界ラブコメ！</v>
      </c>
      <c r="W2995" s="14"/>
      <c r="X2995" s="14" t="str">
        <f>IFERROR(__xludf.DUMMYFUNCTION("""COMPUTED_VALUE"""),"有")</f>
        <v>有</v>
      </c>
      <c r="Y2995" s="8" t="str">
        <f>IFERROR(__xludf.DUMMYFUNCTION("""COMPUTED_VALUE"""),"2025/8/14まで1巻無料")</f>
        <v>2025/8/14まで1巻無料</v>
      </c>
      <c r="Z2995" s="7"/>
      <c r="AA2995" s="7"/>
      <c r="AB2995" s="7"/>
    </row>
    <row r="2996" ht="15.75" customHeight="1">
      <c r="A2996" s="76">
        <f>IFERROR(__xludf.DUMMYFUNCTION("""COMPUTED_VALUE"""),5133.0)</f>
        <v>5133</v>
      </c>
      <c r="B2996" s="69" t="str">
        <f>IFERROR(__xludf.DUMMYFUNCTION("""COMPUTED_VALUE"""),"確定")</f>
        <v>確定</v>
      </c>
      <c r="C2996" s="74">
        <f>IFERROR(__xludf.DUMMYFUNCTION("""COMPUTED_VALUE"""),45715.0)</f>
        <v>45715</v>
      </c>
      <c r="D2996" s="74">
        <f>IFERROR(__xludf.DUMMYFUNCTION("""COMPUTED_VALUE"""),45727.0)</f>
        <v>45727</v>
      </c>
      <c r="E2996" s="109">
        <f>IFERROR(__xludf.DUMMYFUNCTION("""COMPUTED_VALUE"""),319082.0)</f>
        <v>319082</v>
      </c>
      <c r="F2996" s="20" t="str">
        <f>IFERROR(__xludf.DUMMYFUNCTION("""COMPUTED_VALUE"""),"女風婚～お金で買ったイケオジが運命のカレシでした～【分冊版】")</f>
        <v>女風婚～お金で買ったイケオジが運命のカレシでした～【分冊版】</v>
      </c>
      <c r="G2996" s="69" t="str">
        <f>IFERROR(__xludf.DUMMYFUNCTION("""COMPUTED_VALUE"""),"1～4")</f>
        <v>1～4</v>
      </c>
      <c r="H2996" s="69" t="str">
        <f>IFERROR(__xludf.DUMMYFUNCTION("""COMPUTED_VALUE"""),"原作：忍足みかん オシダリミカン 漫画：中島ポッポ ナカジマポッポ")</f>
        <v>原作：忍足みかん オシダリミカン 漫画：中島ポッポ ナカジマポッポ</v>
      </c>
      <c r="I2996" s="69" t="str">
        <f>IFERROR(__xludf.DUMMYFUNCTION("""COMPUTED_VALUE"""),"女性")</f>
        <v>女性</v>
      </c>
      <c r="J2996" s="194"/>
      <c r="K2996" s="194"/>
      <c r="L2996" s="69" t="str">
        <f>IFERROR(__xludf.DUMMYFUNCTION("""COMPUTED_VALUE"""),"Amazia")</f>
        <v>Amazia</v>
      </c>
      <c r="M2996" s="59">
        <f>IFERROR(__xludf.DUMMYFUNCTION("""COMPUTED_VALUE"""),45756.0)</f>
        <v>45756</v>
      </c>
      <c r="N2996" s="198">
        <f>IFERROR(__xludf.DUMMYFUNCTION("""COMPUTED_VALUE"""),45846.0)</f>
        <v>45846</v>
      </c>
      <c r="O2996" s="69"/>
      <c r="P2996" s="111" t="str">
        <f>IFERROR(__xludf.DUMMYFUNCTION("""COMPUTED_VALUE"""),"否")</f>
        <v>否</v>
      </c>
      <c r="Q2996" s="69"/>
      <c r="R2996" s="69" t="str">
        <f>IFERROR(__xludf.DUMMYFUNCTION("""COMPUTED_VALUE"""),"コミットOK")</f>
        <v>コミットOK</v>
      </c>
      <c r="S2996" s="69" t="str">
        <f>IFERROR(__xludf.DUMMYFUNCTION("""COMPUTED_VALUE"""),"20250306_Amazia_女風婚～お金で買ったイケオジが運命のカレシでした～")</f>
        <v>20250306_Amazia_女風婚～お金で買ったイケオジが運命のカレシでした～</v>
      </c>
      <c r="T2996" s="69" t="str">
        <f>IFERROR(__xludf.DUMMYFUNCTION("""COMPUTED_VALUE"""),"格納済み")</f>
        <v>格納済み</v>
      </c>
      <c r="U2996" s="15" t="str">
        <f>IFERROR(__xludf.DUMMYFUNCTION("""COMPUTED_VALUE"""),"Ⓒ忍足みかん・中島ポッポ/ Amazia, inc.")</f>
        <v>Ⓒ忍足みかん・中島ポッポ/ Amazia, inc.</v>
      </c>
      <c r="V2996" s="8" t="str">
        <f>IFERROR(__xludf.DUMMYFUNCTION("""COMPUTED_VALUE"""),"「泣きたい時、抱き締められたい時、俺を呼んでほしいな」知らなかった。大切にされることが、こんなに癒されるなんて…――清掃会社で働く丸山いちか。同棲中の彼氏からのモラハラと、子ども時代のトラウマに起因するSEXアレルギーに悩む日々。でも、女性用風俗のセラピスト・京との巡り合いによって運命が激変!?優しく包み込んでくれる京とのデートで、愛される幸せを知るいちか。。三角関係の果て、彼女が辿り着いた「愛」とは…!?")</f>
        <v>「泣きたい時、抱き締められたい時、俺を呼んでほしいな」知らなかった。大切にされることが、こんなに癒されるなんて…――清掃会社で働く丸山いちか。同棲中の彼氏からのモラハラと、子ども時代のトラウマに起因するSEXアレルギーに悩む日々。でも、女性用風俗のセラピスト・京との巡り合いによって運命が激変!?優しく包み込んでくれる京とのデートで、愛される幸せを知るいちか。。三角関係の果て、彼女が辿り着いた「愛」とは…!?</v>
      </c>
      <c r="W2996" s="14"/>
      <c r="X2996" s="14" t="str">
        <f>IFERROR(__xludf.DUMMYFUNCTION("""COMPUTED_VALUE"""),"有")</f>
        <v>有</v>
      </c>
      <c r="Y2996" s="8" t="str">
        <f>IFERROR(__xludf.DUMMYFUNCTION("""COMPUTED_VALUE"""),"2025/7/8まで1巻無料")</f>
        <v>2025/7/8まで1巻無料</v>
      </c>
      <c r="Z2996" s="7"/>
      <c r="AA2996" s="7"/>
      <c r="AB2996" s="7"/>
    </row>
    <row r="2997" ht="15.75" customHeight="1">
      <c r="A2997" s="76">
        <f>IFERROR(__xludf.DUMMYFUNCTION("""COMPUTED_VALUE"""),5155.0)</f>
        <v>5155</v>
      </c>
      <c r="B2997" s="69" t="str">
        <f>IFERROR(__xludf.DUMMYFUNCTION("""COMPUTED_VALUE"""),"確定")</f>
        <v>確定</v>
      </c>
      <c r="C2997" s="74">
        <f>IFERROR(__xludf.DUMMYFUNCTION("""COMPUTED_VALUE"""),45719.0)</f>
        <v>45719</v>
      </c>
      <c r="D2997" s="74">
        <f>IFERROR(__xludf.DUMMYFUNCTION("""COMPUTED_VALUE"""),45727.0)</f>
        <v>45727</v>
      </c>
      <c r="E2997" s="109">
        <f>IFERROR(__xludf.DUMMYFUNCTION("""COMPUTED_VALUE"""),320095.0)</f>
        <v>320095</v>
      </c>
      <c r="F2997" s="20" t="str">
        <f>IFERROR(__xludf.DUMMYFUNCTION("""COMPUTED_VALUE"""),"100本に変わるまで")</f>
        <v>100本に変わるまで</v>
      </c>
      <c r="G2997" s="69" t="str">
        <f>IFERROR(__xludf.DUMMYFUNCTION("""COMPUTED_VALUE"""),"1～3")</f>
        <v>1～3</v>
      </c>
      <c r="H2997" s="69" t="str">
        <f>IFERROR(__xludf.DUMMYFUNCTION("""COMPUTED_VALUE"""),"雪浦路")</f>
        <v>雪浦路</v>
      </c>
      <c r="I2997" s="69" t="str">
        <f>IFERROR(__xludf.DUMMYFUNCTION("""COMPUTED_VALUE"""),"BL")</f>
        <v>BL</v>
      </c>
      <c r="J2997" s="194"/>
      <c r="K2997" s="69" t="str">
        <f>IFERROR(__xludf.DUMMYFUNCTION("""COMPUTED_VALUE"""),"B.Pilz")</f>
        <v>B.Pilz</v>
      </c>
      <c r="L2997" s="69" t="str">
        <f>IFERROR(__xludf.DUMMYFUNCTION("""COMPUTED_VALUE"""),"ブライト出版")</f>
        <v>ブライト出版</v>
      </c>
      <c r="M2997" s="59">
        <f>IFERROR(__xludf.DUMMYFUNCTION("""COMPUTED_VALUE"""),45771.0)</f>
        <v>45771</v>
      </c>
      <c r="N2997" s="59">
        <f>IFERROR(__xludf.DUMMYFUNCTION("""COMPUTED_VALUE"""),45882.0)</f>
        <v>45882</v>
      </c>
      <c r="O2997" s="69"/>
      <c r="P2997" s="111" t="str">
        <f>IFERROR(__xludf.DUMMYFUNCTION("""COMPUTED_VALUE"""),"可")</f>
        <v>可</v>
      </c>
      <c r="Q2997" s="69"/>
      <c r="R2997" s="69" t="str">
        <f>IFERROR(__xludf.DUMMYFUNCTION("""COMPUTED_VALUE"""),"コミットOK")</f>
        <v>コミットOK</v>
      </c>
      <c r="S2997" s="69" t="str">
        <f>IFERROR(__xludf.DUMMYFUNCTION("""COMPUTED_VALUE"""),"20250307_ブライト出版_100本に変わるまで")</f>
        <v>20250307_ブライト出版_100本に変わるまで</v>
      </c>
      <c r="T2997" s="69" t="str">
        <f>IFERROR(__xludf.DUMMYFUNCTION("""COMPUTED_VALUE"""),"格納済み")</f>
        <v>格納済み</v>
      </c>
      <c r="U2997" s="15" t="str">
        <f>IFERROR(__xludf.DUMMYFUNCTION("""COMPUTED_VALUE"""),"Ⓒ雪浦路/ブライト出版")</f>
        <v>Ⓒ雪浦路/ブライト出版</v>
      </c>
      <c r="V2997" s="8" t="str">
        <f>IFERROR(__xludf.DUMMYFUNCTION("""COMPUTED_VALUE"""),"「キス1回分、責任とって１ヶ月付き合え！」
よく告白されるけれど真面目でピュアすぎて恋人がいたことがない白澤。
今まで大切にしてきたファーストキスを３年生の爆モテイケメン・水野に奪われてしまう!!
噂では、彼は見境なく女の子と付き合ってるらしい。
“恋人ってもっと特別で大切な存在のはずだろ！”
誠意のある恋愛を教えるために期間限定のお付き合いを開始するが――
「その可愛い顔 わざとやってる？」
恋人になった水野は面倒見が良すぎるだけでなく愛情表現も積極的で…？
チャラい先輩（実は激"&amp;"重い）×恋愛に憧れる後輩（ウブかわいい）
ピュアきゅん止まらない期間限定のスクールラブ！")</f>
        <v>「キス1回分、責任とって１ヶ月付き合え！」
よく告白されるけれど真面目でピュアすぎて恋人がいたことがない白澤。
今まで大切にしてきたファーストキスを３年生の爆モテイケメン・水野に奪われてしまう!!
噂では、彼は見境なく女の子と付き合ってるらしい。
“恋人ってもっと特別で大切な存在のはずだろ！”
誠意のある恋愛を教えるために期間限定のお付き合いを開始するが――
「その可愛い顔 わざとやってる？」
恋人になった水野は面倒見が良すぎるだけでなく愛情表現も積極的で…？
チャラい先輩（実は激重い）×恋愛に憧れる後輩（ウブかわいい）
ピュアきゅん止まらない期間限定のスクールラブ！</v>
      </c>
      <c r="W2997" s="14"/>
      <c r="X2997" s="14" t="str">
        <f>IFERROR(__xludf.DUMMYFUNCTION("""COMPUTED_VALUE"""),"有")</f>
        <v>有</v>
      </c>
      <c r="Y2997" s="8" t="str">
        <f>IFERROR(__xludf.DUMMYFUNCTION("""COMPUTED_VALUE"""),"2025/5/7まで1巻無料")</f>
        <v>2025/5/7まで1巻無料</v>
      </c>
      <c r="Z2997" s="7"/>
      <c r="AA2997" s="7"/>
      <c r="AB2997" s="7"/>
    </row>
    <row r="2998" ht="15.75" customHeight="1">
      <c r="A2998" s="76">
        <f>IFERROR(__xludf.DUMMYFUNCTION("""COMPUTED_VALUE"""),5161.0)</f>
        <v>5161</v>
      </c>
      <c r="B2998" s="69" t="str">
        <f>IFERROR(__xludf.DUMMYFUNCTION("""COMPUTED_VALUE"""),"確定")</f>
        <v>確定</v>
      </c>
      <c r="C2998" s="74">
        <f>IFERROR(__xludf.DUMMYFUNCTION("""COMPUTED_VALUE"""),45720.0)</f>
        <v>45720</v>
      </c>
      <c r="D2998" s="74">
        <f>IFERROR(__xludf.DUMMYFUNCTION("""COMPUTED_VALUE"""),45727.0)</f>
        <v>45727</v>
      </c>
      <c r="E2998" s="37">
        <f>IFERROR(__xludf.DUMMYFUNCTION("""COMPUTED_VALUE"""),263630.0)</f>
        <v>263630</v>
      </c>
      <c r="F2998" s="20" t="str">
        <f>IFERROR(__xludf.DUMMYFUNCTION("""COMPUTED_VALUE"""),"マッチング女子のセフレ事情")</f>
        <v>マッチング女子のセフレ事情</v>
      </c>
      <c r="G2998" s="69" t="str">
        <f>IFERROR(__xludf.DUMMYFUNCTION("""COMPUTED_VALUE"""),"1～3")</f>
        <v>1～3</v>
      </c>
      <c r="H2998" s="69" t="str">
        <f>IFERROR(__xludf.DUMMYFUNCTION("""COMPUTED_VALUE"""),"青谷さい")</f>
        <v>青谷さい</v>
      </c>
      <c r="I2998" s="69" t="str">
        <f>IFERROR(__xludf.DUMMYFUNCTION("""COMPUTED_VALUE"""),"女性マンガ")</f>
        <v>女性マンガ</v>
      </c>
      <c r="J2998" s="194"/>
      <c r="K2998" s="69" t="str">
        <f>IFERROR(__xludf.DUMMYFUNCTION("""COMPUTED_VALUE"""),"ズズズキュン！")</f>
        <v>ズズズキュン！</v>
      </c>
      <c r="L2998" s="69" t="str">
        <f>IFERROR(__xludf.DUMMYFUNCTION("""COMPUTED_VALUE"""),"シーモアコミックス")</f>
        <v>シーモアコミックス</v>
      </c>
      <c r="M2998" s="59">
        <f>IFERROR(__xludf.DUMMYFUNCTION("""COMPUTED_VALUE"""),45752.0)</f>
        <v>45752</v>
      </c>
      <c r="N2998" s="77">
        <f>IFERROR(__xludf.DUMMYFUNCTION("""COMPUTED_VALUE"""),45904.66666666667)</f>
        <v>45904.66667</v>
      </c>
      <c r="O2998" s="69"/>
      <c r="P2998" s="111" t="str">
        <f>IFERROR(__xludf.DUMMYFUNCTION("""COMPUTED_VALUE"""),"可")</f>
        <v>可</v>
      </c>
      <c r="Q2998" s="111"/>
      <c r="R2998" s="69"/>
      <c r="S2998" s="69" t="str">
        <f>IFERROR(__xludf.DUMMYFUNCTION("""COMPUTED_VALUE"""),"20250307_シーモアコミックス_マッチング女子のセフレ事情")</f>
        <v>20250307_シーモアコミックス_マッチング女子のセフレ事情</v>
      </c>
      <c r="T2998" s="69" t="str">
        <f>IFERROR(__xludf.DUMMYFUNCTION("""COMPUTED_VALUE"""),"格納済み")</f>
        <v>格納済み</v>
      </c>
      <c r="U2998" s="15" t="str">
        <f>IFERROR(__xludf.DUMMYFUNCTION("""COMPUTED_VALUE"""),"© 青谷さい/シーモアコミックス")</f>
        <v>© 青谷さい/シーモアコミックス</v>
      </c>
      <c r="V2998" s="8" t="str">
        <f>IFERROR(__xludf.DUMMYFUNCTION("""COMPUTED_VALUE"""),"「他に男作ってよ。俺見てるからさ」
彼氏からセフレを作るように命じられているウミは、
マッチングアプリを利用して様々な男と出会うが、
その場限りの消極的な出会いを重ねていく…
既婚者の彼氏カツさんと孤独なウミの奇妙な関係―――
出会いと別れの先に彼女が導き出す答えとは!?【ズズズキュン！】")</f>
        <v>「他に男作ってよ。俺見てるからさ」
彼氏からセフレを作るように命じられているウミは、
マッチングアプリを利用して様々な男と出会うが、
その場限りの消極的な出会いを重ねていく…
既婚者の彼氏カツさんと孤独なウミの奇妙な関係―――
出会いと別れの先に彼女が導き出す答えとは!?【ズズズキュン！】</v>
      </c>
      <c r="W2998" s="14"/>
      <c r="X2998" s="14" t="str">
        <f>IFERROR(__xludf.DUMMYFUNCTION("""COMPUTED_VALUE"""),"有")</f>
        <v>有</v>
      </c>
      <c r="Y2998" s="8" t="str">
        <f>IFERROR(__xludf.DUMMYFUNCTION("""COMPUTED_VALUE"""),"2025/5/2まで1巻無料")</f>
        <v>2025/5/2まで1巻無料</v>
      </c>
      <c r="Z2998" s="7"/>
      <c r="AA2998" s="7"/>
      <c r="AB2998" s="7"/>
    </row>
    <row r="2999" ht="15.75" customHeight="1">
      <c r="A2999" s="76">
        <f>IFERROR(__xludf.DUMMYFUNCTION("""COMPUTED_VALUE"""),5162.0)</f>
        <v>5162</v>
      </c>
      <c r="B2999" s="69" t="str">
        <f>IFERROR(__xludf.DUMMYFUNCTION("""COMPUTED_VALUE"""),"確定")</f>
        <v>確定</v>
      </c>
      <c r="C2999" s="74">
        <f>IFERROR(__xludf.DUMMYFUNCTION("""COMPUTED_VALUE"""),45720.0)</f>
        <v>45720</v>
      </c>
      <c r="D2999" s="74">
        <f>IFERROR(__xludf.DUMMYFUNCTION("""COMPUTED_VALUE"""),45727.0)</f>
        <v>45727</v>
      </c>
      <c r="E2999" s="37">
        <f>IFERROR(__xludf.DUMMYFUNCTION("""COMPUTED_VALUE"""),285075.0)</f>
        <v>285075</v>
      </c>
      <c r="F2999" s="20" t="str">
        <f>IFERROR(__xludf.DUMMYFUNCTION("""COMPUTED_VALUE"""),"性活支援課の白鳥さんは初恋を拗らせている")</f>
        <v>性活支援課の白鳥さんは初恋を拗らせている</v>
      </c>
      <c r="G2999" s="69" t="str">
        <f>IFERROR(__xludf.DUMMYFUNCTION("""COMPUTED_VALUE"""),"1～3")</f>
        <v>1～3</v>
      </c>
      <c r="H2999" s="69" t="str">
        <f>IFERROR(__xludf.DUMMYFUNCTION("""COMPUTED_VALUE"""),"あきら")</f>
        <v>あきら</v>
      </c>
      <c r="I2999" s="69" t="str">
        <f>IFERROR(__xludf.DUMMYFUNCTION("""COMPUTED_VALUE"""),"女性マンガ")</f>
        <v>女性マンガ</v>
      </c>
      <c r="J2999" s="194"/>
      <c r="K2999" s="69" t="str">
        <f>IFERROR(__xludf.DUMMYFUNCTION("""COMPUTED_VALUE"""),"ズズズキュン！")</f>
        <v>ズズズキュン！</v>
      </c>
      <c r="L2999" s="69" t="str">
        <f>IFERROR(__xludf.DUMMYFUNCTION("""COMPUTED_VALUE"""),"シーモアコミックス")</f>
        <v>シーモアコミックス</v>
      </c>
      <c r="M2999" s="59">
        <f>IFERROR(__xludf.DUMMYFUNCTION("""COMPUTED_VALUE"""),45752.0)</f>
        <v>45752</v>
      </c>
      <c r="N2999" s="77">
        <f>IFERROR(__xludf.DUMMYFUNCTION("""COMPUTED_VALUE"""),2958465.0)</f>
        <v>2958465</v>
      </c>
      <c r="O2999" s="69"/>
      <c r="P2999" s="111" t="str">
        <f>IFERROR(__xludf.DUMMYFUNCTION("""COMPUTED_VALUE"""),"可")</f>
        <v>可</v>
      </c>
      <c r="Q2999" s="111"/>
      <c r="R2999" s="69"/>
      <c r="S2999" s="69" t="str">
        <f>IFERROR(__xludf.DUMMYFUNCTION("""COMPUTED_VALUE"""),"20250307_シーモアコミックス_性活支援課の白鳥さんは初恋を拗らせている")</f>
        <v>20250307_シーモアコミックス_性活支援課の白鳥さんは初恋を拗らせている</v>
      </c>
      <c r="T2999" s="69" t="str">
        <f>IFERROR(__xludf.DUMMYFUNCTION("""COMPUTED_VALUE"""),"格納済み")</f>
        <v>格納済み</v>
      </c>
      <c r="U2999" s="15" t="str">
        <f>IFERROR(__xludf.DUMMYFUNCTION("""COMPUTED_VALUE"""),"© あきら/シーモアコミックス")</f>
        <v>© あきら/シーモアコミックス</v>
      </c>
      <c r="V2999" s="8" t="str">
        <f>IFERROR(__xludf.DUMMYFUNCTION("""COMPUTED_VALUE"""),"獣人、妖怪、鬼人、人間……考え方どころか、生物としての成り立ちが違う者たちが入り乱れ、生活を営む世界線。
そんな世界のとある地方都市の役所にある一風変わった相談窓口…その名も「性」活支援課に所属する白鳥未来。彼女はいわゆる「人間」だ。
毎日、難題な「性」にまつわる問題を抱えてやってくる相談者たち。白鳥さんは、そんな相談ごとに正面から取り組み、時に礼を守らない者には厳しい裁きを見せる、通称「美しすぎるクールな相談員」（本人否定）だが、高校時代の初恋をいまだに引きずっている一途な乙女でもある。
鬼人の百"&amp;"鬼（ナキリ）カナタくんにもしもまた会えたなら……そう願う彼女の前にある日、本当に都合よく、百鬼くんが現れる。それも相談に。そして彼の悩みとは「勃起不全」であった――!?【ズズズキュン！】")</f>
        <v>獣人、妖怪、鬼人、人間……考え方どころか、生物としての成り立ちが違う者たちが入り乱れ、生活を営む世界線。
そんな世界のとある地方都市の役所にある一風変わった相談窓口…その名も「性」活支援課に所属する白鳥未来。彼女はいわゆる「人間」だ。
毎日、難題な「性」にまつわる問題を抱えてやってくる相談者たち。白鳥さんは、そんな相談ごとに正面から取り組み、時に礼を守らない者には厳しい裁きを見せる、通称「美しすぎるクールな相談員」（本人否定）だが、高校時代の初恋をいまだに引きずっている一途な乙女でもある。
鬼人の百鬼（ナキリ）カナタくんにもしもまた会えたなら……そう願う彼女の前にある日、本当に都合よく、百鬼くんが現れる。それも相談に。そして彼の悩みとは「勃起不全」であった――!?【ズズズキュン！】</v>
      </c>
      <c r="W2999" s="14"/>
      <c r="X2999" s="14" t="str">
        <f>IFERROR(__xludf.DUMMYFUNCTION("""COMPUTED_VALUE"""),"有")</f>
        <v>有</v>
      </c>
      <c r="Y2999" s="8" t="str">
        <f>IFERROR(__xludf.DUMMYFUNCTION("""COMPUTED_VALUE"""),"2025/5/2まで1巻無料")</f>
        <v>2025/5/2まで1巻無料</v>
      </c>
      <c r="Z2999" s="7"/>
      <c r="AA2999" s="7"/>
      <c r="AB2999" s="7"/>
    </row>
    <row r="3000" ht="15.75" customHeight="1">
      <c r="A3000" s="76">
        <f>IFERROR(__xludf.DUMMYFUNCTION("""COMPUTED_VALUE"""),5163.0)</f>
        <v>5163</v>
      </c>
      <c r="B3000" s="69" t="str">
        <f>IFERROR(__xludf.DUMMYFUNCTION("""COMPUTED_VALUE"""),"確定")</f>
        <v>確定</v>
      </c>
      <c r="C3000" s="74">
        <f>IFERROR(__xludf.DUMMYFUNCTION("""COMPUTED_VALUE"""),45720.0)</f>
        <v>45720</v>
      </c>
      <c r="D3000" s="74">
        <f>IFERROR(__xludf.DUMMYFUNCTION("""COMPUTED_VALUE"""),45727.0)</f>
        <v>45727</v>
      </c>
      <c r="E3000" s="37">
        <f>IFERROR(__xludf.DUMMYFUNCTION("""COMPUTED_VALUE"""),305532.0)</f>
        <v>305532</v>
      </c>
      <c r="F3000" s="20" t="str">
        <f>IFERROR(__xludf.DUMMYFUNCTION("""COMPUTED_VALUE"""),"穏やかな執着(フルカラー)")</f>
        <v>穏やかな執着(フルカラー)</v>
      </c>
      <c r="G3000" s="69" t="str">
        <f>IFERROR(__xludf.DUMMYFUNCTION("""COMPUTED_VALUE"""),"1～3")</f>
        <v>1～3</v>
      </c>
      <c r="H3000" s="69" t="str">
        <f>IFERROR(__xludf.DUMMYFUNCTION("""COMPUTED_VALUE"""),"Green Fish,YSH,Lee Hyeon")</f>
        <v>Green Fish,YSH,Lee Hyeon</v>
      </c>
      <c r="I3000" s="69" t="str">
        <f>IFERROR(__xludf.DUMMYFUNCTION("""COMPUTED_VALUE"""),"BLマンガ")</f>
        <v>BLマンガ</v>
      </c>
      <c r="J3000" s="194"/>
      <c r="K3000" s="194"/>
      <c r="L3000" s="69" t="str">
        <f>IFERROR(__xludf.DUMMYFUNCTION("""COMPUTED_VALUE"""),"シーモアコミックス")</f>
        <v>シーモアコミックス</v>
      </c>
      <c r="M3000" s="59">
        <f>IFERROR(__xludf.DUMMYFUNCTION("""COMPUTED_VALUE"""),45752.0)</f>
        <v>45752</v>
      </c>
      <c r="N3000" s="77">
        <f>IFERROR(__xludf.DUMMYFUNCTION("""COMPUTED_VALUE"""),2958465.0)</f>
        <v>2958465</v>
      </c>
      <c r="O3000" s="69"/>
      <c r="P3000" s="111" t="str">
        <f>IFERROR(__xludf.DUMMYFUNCTION("""COMPUTED_VALUE"""),"可")</f>
        <v>可</v>
      </c>
      <c r="Q3000" s="111"/>
      <c r="R3000" s="69"/>
      <c r="S3000" s="69" t="str">
        <f>IFERROR(__xludf.DUMMYFUNCTION("""COMPUTED_VALUE"""),"20250307_シーモアコミックス_穏やかな執着（フルカラー）")</f>
        <v>20250307_シーモアコミックス_穏やかな執着（フルカラー）</v>
      </c>
      <c r="T3000" s="69" t="str">
        <f>IFERROR(__xludf.DUMMYFUNCTION("""COMPUTED_VALUE"""),"格納済み")</f>
        <v>格納済み</v>
      </c>
      <c r="U3000" s="15" t="str">
        <f>IFERROR(__xludf.DUMMYFUNCTION("""COMPUTED_VALUE"""),"© Green Fish/YSH/Lee Hyeon/MSTORYHUB/シーモアコミックス")</f>
        <v>© Green Fish/YSH/Lee Hyeon/MSTORYHUB/シーモアコミックス</v>
      </c>
      <c r="V3000" s="8" t="str">
        <f>IFERROR(__xludf.DUMMYFUNCTION("""COMPUTED_VALUE"""),"「ここに挿れまくるためだ。俺のをな」そう言って斗磨は僕の下腹部に触れて──
攻めも受けも死んでしまう、バッドエンドなハードボイルド系BL小説の世界に入ってしまった菊谷春陽。しかも春陽が入り込んだ登場人物は、自分と同じ名前であり、アルファのフェロモンに弱い優性オメガの体を持つ「春陽」だった。
親の借金によりオークションにかけられた「春陽」だが、落札したのは「春陽」に恨みを持つ人物……現実世界では春陽の友達であり、小説の世界では優性アルファである「能田斗磨」!
「斗磨」が「春陽」を買ったのは復讐"&amp;"のため。このままでは小説通り孕むまで「斗磨」に抱かれ、さらにはバッドエンドを迎えてしまう…!!
現実に戻るため、そしてハッピーエンドを迎えるため奮闘する春陽だが果たして小説の結末を変えられるのか!?【フィカス】")</f>
        <v>「ここに挿れまくるためだ。俺のをな」そう言って斗磨は僕の下腹部に触れて──
攻めも受けも死んでしまう、バッドエンドなハードボイルド系BL小説の世界に入ってしまった菊谷春陽。しかも春陽が入り込んだ登場人物は、自分と同じ名前であり、アルファのフェロモンに弱い優性オメガの体を持つ「春陽」だった。
親の借金によりオークションにかけられた「春陽」だが、落札したのは「春陽」に恨みを持つ人物……現実世界では春陽の友達であり、小説の世界では優性アルファである「能田斗磨」!
「斗磨」が「春陽」を買ったのは復讐のため。このままでは小説通り孕むまで「斗磨」に抱かれ、さらにはバッドエンドを迎えてしまう…!!
現実に戻るため、そしてハッピーエンドを迎えるため奮闘する春陽だが果たして小説の結末を変えられるのか!?【フィカス】</v>
      </c>
      <c r="W3000" s="14"/>
      <c r="X3000" s="14" t="str">
        <f>IFERROR(__xludf.DUMMYFUNCTION("""COMPUTED_VALUE"""),"有")</f>
        <v>有</v>
      </c>
      <c r="Y3000" s="8" t="str">
        <f>IFERROR(__xludf.DUMMYFUNCTION("""COMPUTED_VALUE"""),"2025/5/2まで1巻無料")</f>
        <v>2025/5/2まで1巻無料</v>
      </c>
      <c r="Z3000" s="7"/>
      <c r="AA3000" s="7"/>
      <c r="AB3000" s="7"/>
    </row>
    <row r="3001" ht="15.75" customHeight="1">
      <c r="A3001" s="76">
        <f>IFERROR(__xludf.DUMMYFUNCTION("""COMPUTED_VALUE"""),5164.0)</f>
        <v>5164</v>
      </c>
      <c r="B3001" s="69" t="str">
        <f>IFERROR(__xludf.DUMMYFUNCTION("""COMPUTED_VALUE"""),"確定")</f>
        <v>確定</v>
      </c>
      <c r="C3001" s="74">
        <f>IFERROR(__xludf.DUMMYFUNCTION("""COMPUTED_VALUE"""),45720.0)</f>
        <v>45720</v>
      </c>
      <c r="D3001" s="74">
        <f>IFERROR(__xludf.DUMMYFUNCTION("""COMPUTED_VALUE"""),45727.0)</f>
        <v>45727</v>
      </c>
      <c r="E3001" s="37">
        <f>IFERROR(__xludf.DUMMYFUNCTION("""COMPUTED_VALUE"""),305533.0)</f>
        <v>305533</v>
      </c>
      <c r="F3001" s="20" t="str">
        <f>IFERROR(__xludf.DUMMYFUNCTION("""COMPUTED_VALUE"""),"穏やかな執着【タテヨミ】")</f>
        <v>穏やかな執着【タテヨミ】</v>
      </c>
      <c r="G3001" s="69" t="str">
        <f>IFERROR(__xludf.DUMMYFUNCTION("""COMPUTED_VALUE"""),"1～9")</f>
        <v>1～9</v>
      </c>
      <c r="H3001" s="69" t="str">
        <f>IFERROR(__xludf.DUMMYFUNCTION("""COMPUTED_VALUE"""),"Green Fish,YSH,Lee Hyeon")</f>
        <v>Green Fish,YSH,Lee Hyeon</v>
      </c>
      <c r="I3001" s="69" t="str">
        <f>IFERROR(__xludf.DUMMYFUNCTION("""COMPUTED_VALUE"""),"BLマンガ")</f>
        <v>BLマンガ</v>
      </c>
      <c r="J3001" s="194"/>
      <c r="K3001" s="194"/>
      <c r="L3001" s="69" t="str">
        <f>IFERROR(__xludf.DUMMYFUNCTION("""COMPUTED_VALUE"""),"シーモアコミックス")</f>
        <v>シーモアコミックス</v>
      </c>
      <c r="M3001" s="59">
        <f>IFERROR(__xludf.DUMMYFUNCTION("""COMPUTED_VALUE"""),45752.0)</f>
        <v>45752</v>
      </c>
      <c r="N3001" s="77">
        <f>IFERROR(__xludf.DUMMYFUNCTION("""COMPUTED_VALUE"""),2958465.0)</f>
        <v>2958465</v>
      </c>
      <c r="O3001" s="69"/>
      <c r="P3001" s="197" t="str">
        <f>IFERROR(__xludf.DUMMYFUNCTION("""COMPUTED_VALUE"""),"可")</f>
        <v>可</v>
      </c>
      <c r="Q3001" s="166"/>
      <c r="R3001" s="69"/>
      <c r="S3001" s="69" t="str">
        <f>IFERROR(__xludf.DUMMYFUNCTION("""COMPUTED_VALUE"""),"20250307_シーモアコミックス_穏やかな執着【タテヨミ】")</f>
        <v>20250307_シーモアコミックス_穏やかな執着【タテヨミ】</v>
      </c>
      <c r="T3001" s="69" t="str">
        <f>IFERROR(__xludf.DUMMYFUNCTION("""COMPUTED_VALUE"""),"格納済み")</f>
        <v>格納済み</v>
      </c>
      <c r="U3001" s="15" t="str">
        <f>IFERROR(__xludf.DUMMYFUNCTION("""COMPUTED_VALUE"""),"© Green Fish/YSH/Lee Hyeon/MSTORYHUB/シーモアコミックス")</f>
        <v>© Green Fish/YSH/Lee Hyeon/MSTORYHUB/シーモアコミックス</v>
      </c>
      <c r="V3001" s="8" t="str">
        <f>IFERROR(__xludf.DUMMYFUNCTION("""COMPUTED_VALUE"""),"「ここに挿れまくるためだ。俺のをな」そう言って斗磨は僕の下腹部に触れて──
攻めも受けも死んでしまう、バッドエンドなハードボイルド系BL小説の世界に入ってしまった菊谷春陽。しかも春陽が入り込んだ登場人物は、自分と同じ名前であり、アルファのフェロモンに弱い優性オメガの体を持つ「春陽」だった。
親の借金によりオークションにかけられた「春陽」だが、落札したのは「春陽」に恨みを持つ人物……現実世界では春陽の友達であり、小説の世界では優性アルファである「能田斗磨」!
「斗磨」が「春陽」を買ったのは復讐"&amp;"のため。このままでは小説通り孕むまで「斗磨」に抱かれ、さらにはバッドエンドを迎えてしまう…!!
現実に戻るため、そしてハッピーエンドを迎えるため奮闘する春陽だが果たして小説の結末を変えられるのか!?【フィカス】")</f>
        <v>「ここに挿れまくるためだ。俺のをな」そう言って斗磨は僕の下腹部に触れて──
攻めも受けも死んでしまう、バッドエンドなハードボイルド系BL小説の世界に入ってしまった菊谷春陽。しかも春陽が入り込んだ登場人物は、自分と同じ名前であり、アルファのフェロモンに弱い優性オメガの体を持つ「春陽」だった。
親の借金によりオークションにかけられた「春陽」だが、落札したのは「春陽」に恨みを持つ人物……現実世界では春陽の友達であり、小説の世界では優性アルファである「能田斗磨」!
「斗磨」が「春陽」を買ったのは復讐のため。このままでは小説通り孕むまで「斗磨」に抱かれ、さらにはバッドエンドを迎えてしまう…!!
現実に戻るため、そしてハッピーエンドを迎えるため奮闘する春陽だが果たして小説の結末を変えられるのか!?【フィカス】</v>
      </c>
      <c r="W3001" s="14"/>
      <c r="X3001" s="14" t="str">
        <f>IFERROR(__xludf.DUMMYFUNCTION("""COMPUTED_VALUE"""),"有")</f>
        <v>有</v>
      </c>
      <c r="Y3001" s="8" t="str">
        <f>IFERROR(__xludf.DUMMYFUNCTION("""COMPUTED_VALUE"""),"2025/5/2まで1～3巻無料")</f>
        <v>2025/5/2まで1～3巻無料</v>
      </c>
      <c r="Z3001" s="7"/>
      <c r="AA3001" s="7"/>
      <c r="AB3001" s="7"/>
    </row>
    <row r="3002" ht="15.75" customHeight="1">
      <c r="A3002" s="76">
        <f>IFERROR(__xludf.DUMMYFUNCTION("""COMPUTED_VALUE"""),5201.0)</f>
        <v>5201</v>
      </c>
      <c r="B3002" s="69" t="str">
        <f>IFERROR(__xludf.DUMMYFUNCTION("""COMPUTED_VALUE"""),"確定")</f>
        <v>確定</v>
      </c>
      <c r="C3002" s="74">
        <f>IFERROR(__xludf.DUMMYFUNCTION("""COMPUTED_VALUE"""),45722.0)</f>
        <v>45722</v>
      </c>
      <c r="D3002" s="74">
        <f>IFERROR(__xludf.DUMMYFUNCTION("""COMPUTED_VALUE"""),45727.0)</f>
        <v>45727</v>
      </c>
      <c r="E3002" s="109">
        <f>IFERROR(__xludf.DUMMYFUNCTION("""COMPUTED_VALUE"""),319118.0)</f>
        <v>319118</v>
      </c>
      <c r="F3002" s="20" t="str">
        <f>IFERROR(__xludf.DUMMYFUNCTION("""COMPUTED_VALUE"""),"蝶は愛執の檻にとらわれる【マイクロ】")</f>
        <v>蝶は愛執の檻にとらわれる【マイクロ】</v>
      </c>
      <c r="G3002" s="69" t="str">
        <f>IFERROR(__xludf.DUMMYFUNCTION("""COMPUTED_VALUE"""),"1～5")</f>
        <v>1～5</v>
      </c>
      <c r="H3002" s="69" t="str">
        <f>IFERROR(__xludf.DUMMYFUNCTION("""COMPUTED_VALUE"""),"七海月")</f>
        <v>七海月</v>
      </c>
      <c r="I3002" s="79" t="str">
        <f>IFERROR(__xludf.DUMMYFUNCTION("""COMPUTED_VALUE"""),"女性")</f>
        <v>女性</v>
      </c>
      <c r="J3002" s="194"/>
      <c r="K3002" s="194"/>
      <c r="L3002" s="69" t="str">
        <f>IFERROR(__xludf.DUMMYFUNCTION("""COMPUTED_VALUE"""),"小学館")</f>
        <v>小学館</v>
      </c>
      <c r="M3002" s="59">
        <f>IFERROR(__xludf.DUMMYFUNCTION("""COMPUTED_VALUE"""),45752.0)</f>
        <v>45752</v>
      </c>
      <c r="N3002" s="47">
        <f>IFERROR(__xludf.DUMMYFUNCTION("""COMPUTED_VALUE"""),45842.66666666667)</f>
        <v>45842.66667</v>
      </c>
      <c r="O3002" s="69"/>
      <c r="P3002" s="111" t="str">
        <f>IFERROR(__xludf.DUMMYFUNCTION("""COMPUTED_VALUE"""),"否")</f>
        <v>否</v>
      </c>
      <c r="Q3002" s="111"/>
      <c r="R3002" s="69"/>
      <c r="S3002" s="69" t="str">
        <f>IFERROR(__xludf.DUMMYFUNCTION("""COMPUTED_VALUE"""),"20250310_小学館_蝶は愛執の檻にとらわれる【マイクロ】")</f>
        <v>20250310_小学館_蝶は愛執の檻にとらわれる【マイクロ】</v>
      </c>
      <c r="T3002" s="69" t="str">
        <f>IFERROR(__xludf.DUMMYFUNCTION("""COMPUTED_VALUE"""),"格納済み")</f>
        <v>格納済み</v>
      </c>
      <c r="U3002" s="15" t="str">
        <f>IFERROR(__xludf.DUMMYFUNCTION("""COMPUTED_VALUE"""),"Ⓒ七海月 / 小学館")</f>
        <v>Ⓒ七海月 / 小学館</v>
      </c>
      <c r="V3002" s="8" t="str">
        <f>IFERROR(__xludf.DUMMYFUNCTION("""COMPUTED_VALUE"""),"【『初恋のつづきは男子寮で』『鬼の千年恋』の七海月最新作！キャバ嬢×マフィア×警察官の、禁断＆溺愛トライアングルラブストーリー！】天涯孤独の朱葉（あげは）は、幼なじみで警察官の武尊（ほたか）と暮らしながら、夢を叶えるためキャバ嬢として働いている。ある日、職場でトラブルに巻き込まれたことがきっかけで、15年前に生き別れた初恋の人・魁(かい)と再会する。しかし彼はマフィア組織のボスになっていて…。")</f>
        <v>【『初恋のつづきは男子寮で』『鬼の千年恋』の七海月最新作！キャバ嬢×マフィア×警察官の、禁断＆溺愛トライアングルラブストーリー！】天涯孤独の朱葉（あげは）は、幼なじみで警察官の武尊（ほたか）と暮らしながら、夢を叶えるためキャバ嬢として働いている。ある日、職場でトラブルに巻き込まれたことがきっかけで、15年前に生き別れた初恋の人・魁(かい)と再会する。しかし彼はマフィア組織のボスになっていて…。</v>
      </c>
      <c r="W3002" s="14"/>
      <c r="X3002" s="14" t="str">
        <f>IFERROR(__xludf.DUMMYFUNCTION("""COMPUTED_VALUE"""),"有")</f>
        <v>有</v>
      </c>
      <c r="Y3002" s="8" t="str">
        <f>IFERROR(__xludf.DUMMYFUNCTION("""COMPUTED_VALUE"""),"2025/6/4まで1巻無料")</f>
        <v>2025/6/4まで1巻無料</v>
      </c>
      <c r="Z3002" s="7"/>
      <c r="AA3002" s="7"/>
      <c r="AB3002" s="7"/>
    </row>
    <row r="3003" ht="15.75" customHeight="1">
      <c r="A3003" s="76">
        <f>IFERROR(__xludf.DUMMYFUNCTION("""COMPUTED_VALUE"""),5202.0)</f>
        <v>5202</v>
      </c>
      <c r="B3003" s="69" t="str">
        <f>IFERROR(__xludf.DUMMYFUNCTION("""COMPUTED_VALUE"""),"確定")</f>
        <v>確定</v>
      </c>
      <c r="C3003" s="74">
        <f>IFERROR(__xludf.DUMMYFUNCTION("""COMPUTED_VALUE"""),45722.0)</f>
        <v>45722</v>
      </c>
      <c r="D3003" s="74">
        <f>IFERROR(__xludf.DUMMYFUNCTION("""COMPUTED_VALUE"""),45727.0)</f>
        <v>45727</v>
      </c>
      <c r="E3003" s="109">
        <f>IFERROR(__xludf.DUMMYFUNCTION("""COMPUTED_VALUE"""),319133.0)</f>
        <v>319133</v>
      </c>
      <c r="F3003" s="20" t="str">
        <f>IFERROR(__xludf.DUMMYFUNCTION("""COMPUTED_VALUE"""),"キョンシー・プリンセス～退魔されるはずの令嬢ですがイケメン道士から溺愛されました～")</f>
        <v>キョンシー・プリンセス～退魔されるはずの令嬢ですがイケメン道士から溺愛されました～</v>
      </c>
      <c r="G3003" s="69" t="str">
        <f>IFERROR(__xludf.DUMMYFUNCTION("""COMPUTED_VALUE"""),"1～3")</f>
        <v>1～3</v>
      </c>
      <c r="H3003" s="69" t="str">
        <f>IFERROR(__xludf.DUMMYFUNCTION("""COMPUTED_VALUE"""),"漫画：不二原理夏／原作：後白河安寿／キャラクター原案：このか")</f>
        <v>漫画：不二原理夏／原作：後白河安寿／キャラクター原案：このか</v>
      </c>
      <c r="I3003" s="69" t="str">
        <f>IFERROR(__xludf.DUMMYFUNCTION("""COMPUTED_VALUE"""),"女性")</f>
        <v>女性</v>
      </c>
      <c r="J3003" s="194"/>
      <c r="K3003" s="69" t="str">
        <f>IFERROR(__xludf.DUMMYFUNCTION("""COMPUTED_VALUE"""),"異世界マーガレット")</f>
        <v>異世界マーガレット</v>
      </c>
      <c r="L3003" s="69" t="str">
        <f>IFERROR(__xludf.DUMMYFUNCTION("""COMPUTED_VALUE"""),"集英社")</f>
        <v>集英社</v>
      </c>
      <c r="M3003" s="59">
        <f>IFERROR(__xludf.DUMMYFUNCTION("""COMPUTED_VALUE"""),45748.0)</f>
        <v>45748</v>
      </c>
      <c r="N3003" s="23">
        <f>IFERROR(__xludf.DUMMYFUNCTION("""COMPUTED_VALUE"""),45777.0)</f>
        <v>45777</v>
      </c>
      <c r="O3003" s="69"/>
      <c r="P3003" s="111" t="str">
        <f>IFERROR(__xludf.DUMMYFUNCTION("""COMPUTED_VALUE"""),"否")</f>
        <v>否</v>
      </c>
      <c r="Q3003" s="111"/>
      <c r="R3003" s="69"/>
      <c r="S3003" s="69" t="str">
        <f>IFERROR(__xludf.DUMMYFUNCTION("""COMPUTED_VALUE"""),"20250306_集英社_キョンシー・プリンセス～退魔されるはずの令嬢ですがイケメン道士から溺愛されました～")</f>
        <v>20250306_集英社_キョンシー・プリンセス～退魔されるはずの令嬢ですがイケメン道士から溺愛されました～</v>
      </c>
      <c r="T3003" s="69" t="str">
        <f>IFERROR(__xludf.DUMMYFUNCTION("""COMPUTED_VALUE"""),"格納済み")</f>
        <v>格納済み</v>
      </c>
      <c r="U3003" s="15" t="str">
        <f>IFERROR(__xludf.DUMMYFUNCTION("""COMPUTED_VALUE"""),"Ⓒ不二原理夏・後白河安寿／集英社")</f>
        <v>Ⓒ不二原理夏・後白河安寿／集英社</v>
      </c>
      <c r="V3003" s="8" t="str">
        <f>IFERROR(__xludf.DUMMYFUNCTION("""COMPUTED_VALUE"""),"文華殿大学士の令嬢・芳玉は、令嬢とは名ばかりのおてんば娘。そんなある日、芳玉はキョンシーになって街の人々を襲っていた！　わたし、どうなっちゃったの？　暴走を止めてくれた道士の黎によれば、芳玉は死んだのではなく仮死状態にされているらしい。なんだか気になる黎に協力してもらい、自分をキョンシーにした犯人を探すことになるが？　クールな道士とおてんば令嬢の中華ラブファンタジー第1巻！")</f>
        <v>文華殿大学士の令嬢・芳玉は、令嬢とは名ばかりのおてんば娘。そんなある日、芳玉はキョンシーになって街の人々を襲っていた！　わたし、どうなっちゃったの？　暴走を止めてくれた道士の黎によれば、芳玉は死んだのではなく仮死状態にされているらしい。なんだか気になる黎に協力してもらい、自分をキョンシーにした犯人を探すことになるが？　クールな道士とおてんば令嬢の中華ラブファンタジー第1巻！</v>
      </c>
      <c r="W3003" s="14"/>
      <c r="X3003" s="14" t="str">
        <f>IFERROR(__xludf.DUMMYFUNCTION("""COMPUTED_VALUE"""),"有")</f>
        <v>有</v>
      </c>
      <c r="Y3003" s="8" t="str">
        <f>IFERROR(__xludf.DUMMYFUNCTION("""COMPUTED_VALUE"""),"2025/4/30まで1巻無料")</f>
        <v>2025/4/30まで1巻無料</v>
      </c>
      <c r="Z3003" s="7"/>
      <c r="AA3003" s="7"/>
      <c r="AB3003" s="7"/>
    </row>
    <row r="3004" ht="15.75" customHeight="1">
      <c r="A3004" s="76">
        <f>IFERROR(__xludf.DUMMYFUNCTION("""COMPUTED_VALUE"""),5208.0)</f>
        <v>5208</v>
      </c>
      <c r="B3004" s="69" t="str">
        <f>IFERROR(__xludf.DUMMYFUNCTION("""COMPUTED_VALUE"""),"確定")</f>
        <v>確定</v>
      </c>
      <c r="C3004" s="74">
        <f>IFERROR(__xludf.DUMMYFUNCTION("""COMPUTED_VALUE"""),45722.0)</f>
        <v>45722</v>
      </c>
      <c r="D3004" s="74">
        <f>IFERROR(__xludf.DUMMYFUNCTION("""COMPUTED_VALUE"""),45727.0)</f>
        <v>45727</v>
      </c>
      <c r="E3004" s="109">
        <f>IFERROR(__xludf.DUMMYFUNCTION("""COMPUTED_VALUE"""),319405.0)</f>
        <v>319405</v>
      </c>
      <c r="F3004" s="20" t="str">
        <f>IFERROR(__xludf.DUMMYFUNCTION("""COMPUTED_VALUE"""),"常識改変世界でイきまくる")</f>
        <v>常識改変世界でイきまくる</v>
      </c>
      <c r="G3004" s="69" t="str">
        <f>IFERROR(__xludf.DUMMYFUNCTION("""COMPUTED_VALUE"""),"1～4")</f>
        <v>1～4</v>
      </c>
      <c r="H3004" s="69" t="str">
        <f>IFERROR(__xludf.DUMMYFUNCTION("""COMPUTED_VALUE"""),"フリーダムプロフェット")</f>
        <v>フリーダムプロフェット</v>
      </c>
      <c r="I3004" s="197" t="str">
        <f>IFERROR(__xludf.DUMMYFUNCTION("""COMPUTED_VALUE"""),"アダルトマンガ")</f>
        <v>アダルトマンガ</v>
      </c>
      <c r="J3004" s="166"/>
      <c r="K3004" s="194"/>
      <c r="L3004" s="69" t="str">
        <f>IFERROR(__xludf.DUMMYFUNCTION("""COMPUTED_VALUE"""),"セ・キララ文庫")</f>
        <v>セ・キララ文庫</v>
      </c>
      <c r="M3004" s="59">
        <f>IFERROR(__xludf.DUMMYFUNCTION("""COMPUTED_VALUE"""),45751.0)</f>
        <v>45751</v>
      </c>
      <c r="N3004" s="23">
        <f>IFERROR(__xludf.DUMMYFUNCTION("""COMPUTED_VALUE"""),45778.0)</f>
        <v>45778</v>
      </c>
      <c r="O3004" s="69"/>
      <c r="P3004" s="111" t="str">
        <f>IFERROR(__xludf.DUMMYFUNCTION("""COMPUTED_VALUE"""),"可")</f>
        <v>可</v>
      </c>
      <c r="Q3004" s="111"/>
      <c r="R3004" s="69"/>
      <c r="S3004" s="69" t="str">
        <f>IFERROR(__xludf.DUMMYFUNCTION("""COMPUTED_VALUE"""),"20250306_ライドオン_常識改変世界でイきまくる")</f>
        <v>20250306_ライドオン_常識改変世界でイきまくる</v>
      </c>
      <c r="T3004" s="69" t="str">
        <f>IFERROR(__xludf.DUMMYFUNCTION("""COMPUTED_VALUE"""),"格納済み")</f>
        <v>格納済み</v>
      </c>
      <c r="U3004" s="15" t="str">
        <f>IFERROR(__xludf.DUMMYFUNCTION("""COMPUTED_VALUE"""),"Ⓒフリーダムプロフェット/セ・キララ文庫")</f>
        <v>Ⓒフリーダムプロフェット/セ・キララ文庫</v>
      </c>
      <c r="V3004" s="8" t="str">
        <f>IFERROR(__xludf.DUMMYFUNCTION("""COMPUTED_VALUE"""),"男女ともに発情期が起きてしまう世界で、冴えない男が文武両道才色兼備の女の子とヤリまくる「発情期支援学校」や、妊娠するまで何度も同級生からナカに出される「特別妊娠学級」、ギャル社長やギャル社員相手と最高のディルドを作る為の道具としてセックスしまくる「ギャルの会社DE性社員」、異世界で共に冒険していた女騎士たちが突然現れたDQNと快楽に興じてしまう「転生ハーレム全寝取られ」など、常識外れの世界での快楽ライフが描かれた、天才フリーダムプロフェットがおくる作品集第4弾！
規格外のセックスに妄想が止まらないっ！")</f>
        <v>男女ともに発情期が起きてしまう世界で、冴えない男が文武両道才色兼備の女の子とヤリまくる「発情期支援学校」や、妊娠するまで何度も同級生からナカに出される「特別妊娠学級」、ギャル社長やギャル社員相手と最高のディルドを作る為の道具としてセックスしまくる「ギャルの会社DE性社員」、異世界で共に冒険していた女騎士たちが突然現れたDQNと快楽に興じてしまう「転生ハーレム全寝取られ」など、常識外れの世界での快楽ライフが描かれた、天才フリーダムプロフェットがおくる作品集第4弾！
規格外のセックスに妄想が止まらないっ！</v>
      </c>
      <c r="W3004" s="14"/>
      <c r="X3004" s="14" t="str">
        <f>IFERROR(__xludf.DUMMYFUNCTION("""COMPUTED_VALUE"""),"有")</f>
        <v>有</v>
      </c>
      <c r="Y3004" s="8" t="str">
        <f>IFERROR(__xludf.DUMMYFUNCTION("""COMPUTED_VALUE"""),"2025/5/1まで1巻無料")</f>
        <v>2025/5/1まで1巻無料</v>
      </c>
      <c r="Z3004" s="7"/>
      <c r="AA3004" s="7"/>
      <c r="AB3004" s="7"/>
    </row>
    <row r="3005" ht="15.75" customHeight="1">
      <c r="A3005" s="76">
        <f>IFERROR(__xludf.DUMMYFUNCTION("""COMPUTED_VALUE"""),5209.0)</f>
        <v>5209</v>
      </c>
      <c r="B3005" s="69" t="str">
        <f>IFERROR(__xludf.DUMMYFUNCTION("""COMPUTED_VALUE"""),"確定")</f>
        <v>確定</v>
      </c>
      <c r="C3005" s="74">
        <f>IFERROR(__xludf.DUMMYFUNCTION("""COMPUTED_VALUE"""),45722.0)</f>
        <v>45722</v>
      </c>
      <c r="D3005" s="74">
        <f>IFERROR(__xludf.DUMMYFUNCTION("""COMPUTED_VALUE"""),45727.0)</f>
        <v>45727</v>
      </c>
      <c r="E3005" s="109">
        <f>IFERROR(__xludf.DUMMYFUNCTION("""COMPUTED_VALUE"""),319404.0)</f>
        <v>319404</v>
      </c>
      <c r="F3005" s="20" t="str">
        <f>IFERROR(__xludf.DUMMYFUNCTION("""COMPUTED_VALUE"""),"グイグイくる義母とAV鑑賞")</f>
        <v>グイグイくる義母とAV鑑賞</v>
      </c>
      <c r="G3005" s="69" t="str">
        <f>IFERROR(__xludf.DUMMYFUNCTION("""COMPUTED_VALUE"""),"1～2")</f>
        <v>1～2</v>
      </c>
      <c r="H3005" s="69" t="str">
        <f>IFERROR(__xludf.DUMMYFUNCTION("""COMPUTED_VALUE"""),"めぎつねワークス")</f>
        <v>めぎつねワークス</v>
      </c>
      <c r="I3005" s="197" t="str">
        <f>IFERROR(__xludf.DUMMYFUNCTION("""COMPUTED_VALUE"""),"アダルトマンガ")</f>
        <v>アダルトマンガ</v>
      </c>
      <c r="J3005" s="166"/>
      <c r="K3005" s="194"/>
      <c r="L3005" s="69" t="str">
        <f>IFERROR(__xludf.DUMMYFUNCTION("""COMPUTED_VALUE"""),"セ・キララ文庫")</f>
        <v>セ・キララ文庫</v>
      </c>
      <c r="M3005" s="59">
        <f>IFERROR(__xludf.DUMMYFUNCTION("""COMPUTED_VALUE"""),45751.0)</f>
        <v>45751</v>
      </c>
      <c r="N3005" s="23">
        <f>IFERROR(__xludf.DUMMYFUNCTION("""COMPUTED_VALUE"""),45778.0)</f>
        <v>45778</v>
      </c>
      <c r="O3005" s="69"/>
      <c r="P3005" s="111" t="str">
        <f>IFERROR(__xludf.DUMMYFUNCTION("""COMPUTED_VALUE"""),"可")</f>
        <v>可</v>
      </c>
      <c r="Q3005" s="111"/>
      <c r="R3005" s="69"/>
      <c r="S3005" s="69" t="str">
        <f>IFERROR(__xludf.DUMMYFUNCTION("""COMPUTED_VALUE"""),"20250306_ライドオン_グイグイくる義母とAV鑑賞")</f>
        <v>20250306_ライドオン_グイグイくる義母とAV鑑賞</v>
      </c>
      <c r="T3005" s="69" t="str">
        <f>IFERROR(__xludf.DUMMYFUNCTION("""COMPUTED_VALUE"""),"格納済み")</f>
        <v>格納済み</v>
      </c>
      <c r="U3005" s="15" t="str">
        <f>IFERROR(__xludf.DUMMYFUNCTION("""COMPUTED_VALUE"""),"Ⓒめぎつねワークス/セ・キララ文庫")</f>
        <v>Ⓒめぎつねワークス/セ・キララ文庫</v>
      </c>
      <c r="V3005" s="8" t="str">
        <f>IFERROR(__xludf.DUMMYFUNCTION("""COMPUTED_VALUE"""),"父の再婚相手、百瀬まゆみさんはおおらかで家庭的な魅力的な大人の女性。
つい憧れてしまうが、距離感の詰め方が普通じゃない！
義母さんに欲情してるなんてバレたら人生終了…
悶々としながら義母モノAVを観ながらオ〇ニーをしていると、その姿を観られてしまう！
あー！終わった!!そう絶望する義息子のユーヤだったが、なんと一緒に観ようと提案されて!?
AVに発情した義母はどんどんエロい顔に…
「AVと同じことしてあげます…」")</f>
        <v>父の再婚相手、百瀬まゆみさんはおおらかで家庭的な魅力的な大人の女性。
つい憧れてしまうが、距離感の詰め方が普通じゃない！
義母さんに欲情してるなんてバレたら人生終了…
悶々としながら義母モノAVを観ながらオ〇ニーをしていると、その姿を観られてしまう！
あー！終わった!!そう絶望する義息子のユーヤだったが、なんと一緒に観ようと提案されて!?
AVに発情した義母はどんどんエロい顔に…
「AVと同じことしてあげます…」</v>
      </c>
      <c r="W3005" s="14"/>
      <c r="X3005" s="14" t="str">
        <f>IFERROR(__xludf.DUMMYFUNCTION("""COMPUTED_VALUE"""),"有")</f>
        <v>有</v>
      </c>
      <c r="Y3005" s="8" t="str">
        <f>IFERROR(__xludf.DUMMYFUNCTION("""COMPUTED_VALUE"""),"2025/5/1まで1巻立ち読み増量（P13まで）")</f>
        <v>2025/5/1まで1巻立ち読み増量（P13まで）</v>
      </c>
      <c r="Z3005" s="7"/>
      <c r="AA3005" s="7"/>
      <c r="AB3005" s="7"/>
    </row>
    <row r="3006" ht="15.75" customHeight="1">
      <c r="A3006" s="76">
        <f>IFERROR(__xludf.DUMMYFUNCTION("""COMPUTED_VALUE"""),5211.0)</f>
        <v>5211</v>
      </c>
      <c r="B3006" s="69" t="str">
        <f>IFERROR(__xludf.DUMMYFUNCTION("""COMPUTED_VALUE"""),"確定")</f>
        <v>確定</v>
      </c>
      <c r="C3006" s="74">
        <f>IFERROR(__xludf.DUMMYFUNCTION("""COMPUTED_VALUE"""),45726.0)</f>
        <v>45726</v>
      </c>
      <c r="D3006" s="74">
        <f>IFERROR(__xludf.DUMMYFUNCTION("""COMPUTED_VALUE"""),45727.0)</f>
        <v>45727</v>
      </c>
      <c r="E3006" s="109">
        <f>IFERROR(__xludf.DUMMYFUNCTION("""COMPUTED_VALUE"""),319134.0)</f>
        <v>319134</v>
      </c>
      <c r="F3006" s="20" t="str">
        <f>IFERROR(__xludf.DUMMYFUNCTION("""COMPUTED_VALUE"""),"下賜された妃と鬼武官")</f>
        <v>下賜された妃と鬼武官</v>
      </c>
      <c r="G3006" s="69" t="str">
        <f>IFERROR(__xludf.DUMMYFUNCTION("""COMPUTED_VALUE"""),"1～3")</f>
        <v>1～3</v>
      </c>
      <c r="H3006" s="69" t="str">
        <f>IFERROR(__xludf.DUMMYFUNCTION("""COMPUTED_VALUE"""),"漫画：蒼衣ユノ／原作：蒼真まこ（エブリスタ）")</f>
        <v>漫画：蒼衣ユノ／原作：蒼真まこ（エブリスタ）</v>
      </c>
      <c r="I3006" s="69" t="str">
        <f>IFERROR(__xludf.DUMMYFUNCTION("""COMPUTED_VALUE"""),"女性")</f>
        <v>女性</v>
      </c>
      <c r="J3006" s="194"/>
      <c r="K3006" s="69" t="str">
        <f>IFERROR(__xludf.DUMMYFUNCTION("""COMPUTED_VALUE"""),"異世界マーガレット")</f>
        <v>異世界マーガレット</v>
      </c>
      <c r="L3006" s="69" t="str">
        <f>IFERROR(__xludf.DUMMYFUNCTION("""COMPUTED_VALUE"""),"集英社")</f>
        <v>集英社</v>
      </c>
      <c r="M3006" s="59">
        <f>IFERROR(__xludf.DUMMYFUNCTION("""COMPUTED_VALUE"""),45748.0)</f>
        <v>45748</v>
      </c>
      <c r="N3006" s="23">
        <f>IFERROR(__xludf.DUMMYFUNCTION("""COMPUTED_VALUE"""),45777.0)</f>
        <v>45777</v>
      </c>
      <c r="O3006" s="69"/>
      <c r="P3006" s="111" t="str">
        <f>IFERROR(__xludf.DUMMYFUNCTION("""COMPUTED_VALUE"""),"否")</f>
        <v>否</v>
      </c>
      <c r="Q3006" s="111"/>
      <c r="R3006" s="69"/>
      <c r="S3006" s="69" t="str">
        <f>IFERROR(__xludf.DUMMYFUNCTION("""COMPUTED_VALUE"""),"20250310_集英社_下賜された妃と鬼武官")</f>
        <v>20250310_集英社_下賜された妃と鬼武官</v>
      </c>
      <c r="T3006" s="69" t="str">
        <f>IFERROR(__xludf.DUMMYFUNCTION("""COMPUTED_VALUE"""),"格納済み")</f>
        <v>格納済み</v>
      </c>
      <c r="U3006" s="15" t="str">
        <f>IFERROR(__xludf.DUMMYFUNCTION("""COMPUTED_VALUE"""),"Ⓒ蒼衣ユノ・蒼真まこ（エブリスタ）／集英社")</f>
        <v>Ⓒ蒼衣ユノ・蒼真まこ（エブリスタ）／集英社</v>
      </c>
      <c r="V3006" s="8" t="str">
        <f>IFERROR(__xludf.DUMMYFUNCTION("""COMPUTED_VALUE"""),"田舎から後宮へとやってきた純蘭。純蘭には幼い頃に結婚を誓った男の子・延徳がいたが、彼は突然姿を消し、何年待っても迎えにくることはなかった。そして家族のために後宮に上がることを決心するが、欲深い皇帝・葉延の目的は彼女自身ではなく、純蘭が流す黄金の真珠の涙だった。さらに周囲も彼女の流す真珠の涙に群がり、利用する人間ばかりで…。純蘭は延徳への思いを心に秘めたまま、後宮でのつらい生活を送り始める。異能の力を持つ姫と呪われた鬼武官の清麗無垢なる恋物語開幕！")</f>
        <v>田舎から後宮へとやってきた純蘭。純蘭には幼い頃に結婚を誓った男の子・延徳がいたが、彼は突然姿を消し、何年待っても迎えにくることはなかった。そして家族のために後宮に上がることを決心するが、欲深い皇帝・葉延の目的は彼女自身ではなく、純蘭が流す黄金の真珠の涙だった。さらに周囲も彼女の流す真珠の涙に群がり、利用する人間ばかりで…。純蘭は延徳への思いを心に秘めたまま、後宮でのつらい生活を送り始める。異能の力を持つ姫と呪われた鬼武官の清麗無垢なる恋物語開幕！</v>
      </c>
      <c r="W3006" s="14"/>
      <c r="X3006" s="14" t="str">
        <f>IFERROR(__xludf.DUMMYFUNCTION("""COMPUTED_VALUE"""),"有")</f>
        <v>有</v>
      </c>
      <c r="Y3006" s="8" t="str">
        <f>IFERROR(__xludf.DUMMYFUNCTION("""COMPUTED_VALUE"""),"2025/4/30まで1巻無料")</f>
        <v>2025/4/30まで1巻無料</v>
      </c>
      <c r="Z3006" s="7"/>
      <c r="AA3006" s="7"/>
      <c r="AB3006" s="7"/>
    </row>
    <row r="3007" ht="15.75" customHeight="1">
      <c r="A3007" s="76">
        <f>IFERROR(__xludf.DUMMYFUNCTION("""COMPUTED_VALUE"""),5214.0)</f>
        <v>5214</v>
      </c>
      <c r="B3007" s="69" t="str">
        <f>IFERROR(__xludf.DUMMYFUNCTION("""COMPUTED_VALUE"""),"確定")</f>
        <v>確定</v>
      </c>
      <c r="C3007" s="74">
        <f>IFERROR(__xludf.DUMMYFUNCTION("""COMPUTED_VALUE"""),45726.0)</f>
        <v>45726</v>
      </c>
      <c r="D3007" s="74">
        <f>IFERROR(__xludf.DUMMYFUNCTION("""COMPUTED_VALUE"""),45727.0)</f>
        <v>45727</v>
      </c>
      <c r="E3007" s="109">
        <f>IFERROR(__xludf.DUMMYFUNCTION("""COMPUTED_VALUE"""),319664.0)</f>
        <v>319664</v>
      </c>
      <c r="F3007" s="20" t="str">
        <f>IFERROR(__xludf.DUMMYFUNCTION("""COMPUTED_VALUE"""),"冷徹魔王様の秘書 ～サレ妻でしたが魔界でたくましく生きていきます！～")</f>
        <v>冷徹魔王様の秘書 ～サレ妻でしたが魔界でたくましく生きていきます！～</v>
      </c>
      <c r="G3007" s="69" t="str">
        <f>IFERROR(__xludf.DUMMYFUNCTION("""COMPUTED_VALUE"""),"1～5")</f>
        <v>1～5</v>
      </c>
      <c r="H3007" s="69" t="str">
        <f>IFERROR(__xludf.DUMMYFUNCTION("""COMPUTED_VALUE"""),"新条透")</f>
        <v>新条透</v>
      </c>
      <c r="I3007" s="69" t="str">
        <f>IFERROR(__xludf.DUMMYFUNCTION("""COMPUTED_VALUE"""),"女性")</f>
        <v>女性</v>
      </c>
      <c r="J3007" s="194"/>
      <c r="K3007" s="69" t="str">
        <f>IFERROR(__xludf.DUMMYFUNCTION("""COMPUTED_VALUE"""),"シーモア×Ropopo!")</f>
        <v>シーモア×Ropopo!</v>
      </c>
      <c r="L3007" s="69" t="str">
        <f>IFERROR(__xludf.DUMMYFUNCTION("""COMPUTED_VALUE"""),"CLLENN")</f>
        <v>CLLENN</v>
      </c>
      <c r="M3007" s="59">
        <f>IFERROR(__xludf.DUMMYFUNCTION("""COMPUTED_VALUE"""),45760.0)</f>
        <v>45760</v>
      </c>
      <c r="N3007" s="84">
        <f>IFERROR(__xludf.DUMMYFUNCTION("""COMPUTED_VALUE"""),45941.0)</f>
        <v>45941</v>
      </c>
      <c r="O3007" s="69"/>
      <c r="P3007" s="197" t="str">
        <f>IFERROR(__xludf.DUMMYFUNCTION("""COMPUTED_VALUE"""),"可")</f>
        <v>可</v>
      </c>
      <c r="Q3007" s="166"/>
      <c r="R3007" s="69"/>
      <c r="S3007" s="69" t="str">
        <f>IFERROR(__xludf.DUMMYFUNCTION("""COMPUTED_VALUE"""),"20250310_CLLENN_協業_モラハラ旦那に苦しめられた妻、異世界で冷徹イケメン魔王の秘書になる(仮)")</f>
        <v>20250310_CLLENN_協業_モラハラ旦那に苦しめられた妻、異世界で冷徹イケメン魔王の秘書になる(仮)</v>
      </c>
      <c r="T3007" s="69" t="str">
        <f>IFERROR(__xludf.DUMMYFUNCTION("""COMPUTED_VALUE"""),"格納済み")</f>
        <v>格納済み</v>
      </c>
      <c r="U3007" s="15" t="str">
        <f>IFERROR(__xludf.DUMMYFUNCTION("""COMPUTED_VALUE"""),"Ⓒ新条透/CLLENN")</f>
        <v>Ⓒ新条透/CLLENN</v>
      </c>
      <c r="V3007" s="8" t="str">
        <f>IFERROR(__xludf.DUMMYFUNCTION("""COMPUTED_VALUE"""),"「ミオ、おまえには期待している」――専業主婦として2年。最初は優しかった夫・克さんは、少しずつ私を雑に扱うようになってきた。それでもしっかり支えないと…と思っていた矢先、克さんの浮気が発覚。私なりに認めてもらえるよう、頑張ってきたはずなのに！　離婚するにしても職歴ナシ、勇気もナシ。ダメすぎる私。もっと私に勇気があればと願った瞬間、不思議な光につつまれて…眼の前に立っていたのは、なんと魔界の魔王様!?「今日から私の秘書になってもらう」「殺されたくないなら受け入れろ」なんて、とんでもないところにきちゃったかも"&amp;"…。だけど、あんなふうに期待してもらえたのは初めて。もっと自信を持ちたい、自分の力で生きてみたい。専業主婦で培った料理スキルと思いやりを発揮して、私、異世界に居場所を作ります！")</f>
        <v>「ミオ、おまえには期待している」――専業主婦として2年。最初は優しかった夫・克さんは、少しずつ私を雑に扱うようになってきた。それでもしっかり支えないと…と思っていた矢先、克さんの浮気が発覚。私なりに認めてもらえるよう、頑張ってきたはずなのに！　離婚するにしても職歴ナシ、勇気もナシ。ダメすぎる私。もっと私に勇気があればと願った瞬間、不思議な光につつまれて…眼の前に立っていたのは、なんと魔界の魔王様!?「今日から私の秘書になってもらう」「殺されたくないなら受け入れろ」なんて、とんでもないところにきちゃったかも…。だけど、あんなふうに期待してもらえたのは初めて。もっと自信を持ちたい、自分の力で生きてみたい。専業主婦で培った料理スキルと思いやりを発揮して、私、異世界に居場所を作ります！</v>
      </c>
      <c r="W3007" s="14"/>
      <c r="X3007" s="14" t="str">
        <f>IFERROR(__xludf.DUMMYFUNCTION("""COMPUTED_VALUE"""),"有")</f>
        <v>有</v>
      </c>
      <c r="Y3007" s="8" t="str">
        <f>IFERROR(__xludf.DUMMYFUNCTION("""COMPUTED_VALUE"""),"2025/4/26まで1巻無料")</f>
        <v>2025/4/26まで1巻無料</v>
      </c>
      <c r="Z3007" s="7"/>
      <c r="AA3007" s="7"/>
      <c r="AB3007" s="7"/>
    </row>
    <row r="3008" ht="15.75" customHeight="1">
      <c r="A3008" s="76">
        <f>IFERROR(__xludf.DUMMYFUNCTION("""COMPUTED_VALUE"""),5216.0)</f>
        <v>5216</v>
      </c>
      <c r="B3008" s="69" t="str">
        <f>IFERROR(__xludf.DUMMYFUNCTION("""COMPUTED_VALUE"""),"確定")</f>
        <v>確定</v>
      </c>
      <c r="C3008" s="74">
        <f>IFERROR(__xludf.DUMMYFUNCTION("""COMPUTED_VALUE"""),45727.0)</f>
        <v>45727</v>
      </c>
      <c r="D3008" s="74">
        <f>IFERROR(__xludf.DUMMYFUNCTION("""COMPUTED_VALUE"""),45727.0)</f>
        <v>45727</v>
      </c>
      <c r="E3008" s="109">
        <f>IFERROR(__xludf.DUMMYFUNCTION("""COMPUTED_VALUE"""),319160.0)</f>
        <v>319160</v>
      </c>
      <c r="F3008" s="20" t="str">
        <f>IFERROR(__xludf.DUMMYFUNCTION("""COMPUTED_VALUE"""),"［話売］この女磨きはあなたのためではありません")</f>
        <v>［話売］この女磨きはあなたのためではありません</v>
      </c>
      <c r="G3008" s="69" t="str">
        <f>IFERROR(__xludf.DUMMYFUNCTION("""COMPUTED_VALUE"""),"1～3")</f>
        <v>1～3</v>
      </c>
      <c r="H3008" s="69" t="str">
        <f>IFERROR(__xludf.DUMMYFUNCTION("""COMPUTED_VALUE"""),"Sui＊Ka")</f>
        <v>Sui＊Ka</v>
      </c>
      <c r="I3008" s="69" t="str">
        <f>IFERROR(__xludf.DUMMYFUNCTION("""COMPUTED_VALUE"""),"女性")</f>
        <v>女性</v>
      </c>
      <c r="J3008" s="194"/>
      <c r="K3008" s="194"/>
      <c r="L3008" s="69" t="str">
        <f>IFERROR(__xludf.DUMMYFUNCTION("""COMPUTED_VALUE"""),"ICE")</f>
        <v>ICE</v>
      </c>
      <c r="M3008" s="59">
        <f>IFERROR(__xludf.DUMMYFUNCTION("""COMPUTED_VALUE"""),45757.0)</f>
        <v>45757</v>
      </c>
      <c r="N3008" s="59">
        <f>IFERROR(__xludf.DUMMYFUNCTION("""COMPUTED_VALUE"""),45847.0)</f>
        <v>45847</v>
      </c>
      <c r="O3008" s="69"/>
      <c r="P3008" s="111" t="str">
        <f>IFERROR(__xludf.DUMMYFUNCTION("""COMPUTED_VALUE"""),"可")</f>
        <v>可</v>
      </c>
      <c r="Q3008" s="111"/>
      <c r="R3008" s="69"/>
      <c r="S3008" s="69" t="str">
        <f>IFERROR(__xludf.DUMMYFUNCTION("""COMPUTED_VALUE"""),"20250311_ICE_この女磨きはあなたのためではありません")</f>
        <v>20250311_ICE_この女磨きはあなたのためではありません</v>
      </c>
      <c r="T3008" s="69" t="str">
        <f>IFERROR(__xludf.DUMMYFUNCTION("""COMPUTED_VALUE"""),"格納済み")</f>
        <v>格納済み</v>
      </c>
      <c r="U3008" s="15" t="str">
        <f>IFERROR(__xludf.DUMMYFUNCTION("""COMPUTED_VALUE"""),"ⒸSui＊Ka/ ICE")</f>
        <v>ⒸSui＊Ka/ ICE</v>
      </c>
      <c r="V3008" s="8" t="str">
        <f>IFERROR(__xludf.DUMMYFUNCTION("""COMPUTED_VALUE"""),"主人公・六車憧子は漫画家のアシスタントを務めながら夫・裕貴との夫婦生活を送っていた。しかし妊活をきっかけに『レス』を自覚し始めていた。「遅くなる」「明日早い」「疲れてる」など行為がスルーされがちになってから半年が経過した頃、ついに欲求が夢にまで現れるようになってしまう。めげずに夜のお誘いを繰り返す憧子に対し、裕貴から「女としては見られなくなった」と言われてしまう。ショックを受ける憧子だったが、裕貴の行動に不自然な点がみられるようになり――!?")</f>
        <v>主人公・六車憧子は漫画家のアシスタントを務めながら夫・裕貴との夫婦生活を送っていた。しかし妊活をきっかけに『レス』を自覚し始めていた。「遅くなる」「明日早い」「疲れてる」など行為がスルーされがちになってから半年が経過した頃、ついに欲求が夢にまで現れるようになってしまう。めげずに夜のお誘いを繰り返す憧子に対し、裕貴から「女としては見られなくなった」と言われてしまう。ショックを受ける憧子だったが、裕貴の行動に不自然な点がみられるようになり――!?</v>
      </c>
      <c r="W3008" s="14"/>
      <c r="X3008" s="14" t="str">
        <f>IFERROR(__xludf.DUMMYFUNCTION("""COMPUTED_VALUE"""),"有")</f>
        <v>有</v>
      </c>
      <c r="Y3008" s="8" t="str">
        <f>IFERROR(__xludf.DUMMYFUNCTION("""COMPUTED_VALUE"""),"2025/5/7まで1巻無料")</f>
        <v>2025/5/7まで1巻無料</v>
      </c>
      <c r="Z3008" s="7"/>
      <c r="AA3008" s="7"/>
      <c r="AB3008" s="7"/>
    </row>
    <row r="3009" ht="15.75" customHeight="1">
      <c r="A3009" s="76">
        <f>IFERROR(__xludf.DUMMYFUNCTION("""COMPUTED_VALUE"""),5217.0)</f>
        <v>5217</v>
      </c>
      <c r="B3009" s="69" t="str">
        <f>IFERROR(__xludf.DUMMYFUNCTION("""COMPUTED_VALUE"""),"確定")</f>
        <v>確定</v>
      </c>
      <c r="C3009" s="74">
        <f>IFERROR(__xludf.DUMMYFUNCTION("""COMPUTED_VALUE"""),45727.0)</f>
        <v>45727</v>
      </c>
      <c r="D3009" s="74">
        <f>IFERROR(__xludf.DUMMYFUNCTION("""COMPUTED_VALUE"""),45727.0)</f>
        <v>45727</v>
      </c>
      <c r="E3009" s="109">
        <f>IFERROR(__xludf.DUMMYFUNCTION("""COMPUTED_VALUE"""),319161.0)</f>
        <v>319161</v>
      </c>
      <c r="F3009" s="20" t="str">
        <f>IFERROR(__xludf.DUMMYFUNCTION("""COMPUTED_VALUE"""),"［話売］失恋ぽちゃ女子はマッチョなトレーナーに溺愛される!?")</f>
        <v>［話売］失恋ぽちゃ女子はマッチョなトレーナーに溺愛される!?</v>
      </c>
      <c r="G3009" s="69" t="str">
        <f>IFERROR(__xludf.DUMMYFUNCTION("""COMPUTED_VALUE"""),"1～3")</f>
        <v>1～3</v>
      </c>
      <c r="H3009" s="69" t="str">
        <f>IFERROR(__xludf.DUMMYFUNCTION("""COMPUTED_VALUE"""),"［作画］藤臣［原作］ネコ葦［構成］かんようこ")</f>
        <v>［作画］藤臣［原作］ネコ葦［構成］かんようこ</v>
      </c>
      <c r="I3009" s="69" t="str">
        <f>IFERROR(__xludf.DUMMYFUNCTION("""COMPUTED_VALUE"""),"女性")</f>
        <v>女性</v>
      </c>
      <c r="J3009" s="194"/>
      <c r="K3009" s="194"/>
      <c r="L3009" s="69" t="str">
        <f>IFERROR(__xludf.DUMMYFUNCTION("""COMPUTED_VALUE"""),"ICE")</f>
        <v>ICE</v>
      </c>
      <c r="M3009" s="59">
        <f>IFERROR(__xludf.DUMMYFUNCTION("""COMPUTED_VALUE"""),45757.0)</f>
        <v>45757</v>
      </c>
      <c r="N3009" s="59">
        <f>IFERROR(__xludf.DUMMYFUNCTION("""COMPUTED_VALUE"""),45847.0)</f>
        <v>45847</v>
      </c>
      <c r="O3009" s="69"/>
      <c r="P3009" s="111" t="str">
        <f>IFERROR(__xludf.DUMMYFUNCTION("""COMPUTED_VALUE"""),"可")</f>
        <v>可</v>
      </c>
      <c r="Q3009" s="111"/>
      <c r="R3009" s="69"/>
      <c r="S3009" s="69" t="str">
        <f>IFERROR(__xludf.DUMMYFUNCTION("""COMPUTED_VALUE"""),"20250311_ICE_失恋ぽちゃ女子はマッチョなトレーナーに溺愛される!")</f>
        <v>20250311_ICE_失恋ぽちゃ女子はマッチョなトレーナーに溺愛される!</v>
      </c>
      <c r="T3009" s="69" t="str">
        <f>IFERROR(__xludf.DUMMYFUNCTION("""COMPUTED_VALUE"""),"格納済み")</f>
        <v>格納済み</v>
      </c>
      <c r="U3009" s="15" t="str">
        <f>IFERROR(__xludf.DUMMYFUNCTION("""COMPUTED_VALUE"""),"ⒸFujiomi・Nekoashi・Kan Yoko/ ICE")</f>
        <v>ⒸFujiomi・Nekoashi・Kan Yoko/ ICE</v>
      </c>
      <c r="V3009" s="8" t="str">
        <f>IFERROR(__xludf.DUMMYFUNCTION("""COMPUTED_VALUE"""),"主人公・富澤まどかは美味しいものを食べることが何よりも大好きなぽっちゃり体系の会社員。社会人になってから付き合いだした慶介とは結婚を目前に控え、順風満帆な日々を送っていたはずだった…が、慶介の浮気をきっかけに破局。慶介から自身の体型をひどくディスられたまどかは一念発起してパーソナルトレーニングジムへと通う決意をする。そこでトレーナーとして再会したのは高校時代の同級生の山内陽人で…！？ 婚約者に捨てられたぽっちゃりOLと彼女の担当トレーナーになった元同級生男子の再会＆ステップアップラブ、始まります！")</f>
        <v>主人公・富澤まどかは美味しいものを食べることが何よりも大好きなぽっちゃり体系の会社員。社会人になってから付き合いだした慶介とは結婚を目前に控え、順風満帆な日々を送っていたはずだった…が、慶介の浮気をきっかけに破局。慶介から自身の体型をひどくディスられたまどかは一念発起してパーソナルトレーニングジムへと通う決意をする。そこでトレーナーとして再会したのは高校時代の同級生の山内陽人で…！？ 婚約者に捨てられたぽっちゃりOLと彼女の担当トレーナーになった元同級生男子の再会＆ステップアップラブ、始まります！</v>
      </c>
      <c r="W3009" s="14"/>
      <c r="X3009" s="14" t="str">
        <f>IFERROR(__xludf.DUMMYFUNCTION("""COMPUTED_VALUE"""),"有")</f>
        <v>有</v>
      </c>
      <c r="Y3009" s="8" t="str">
        <f>IFERROR(__xludf.DUMMYFUNCTION("""COMPUTED_VALUE"""),"2025/5/7まで1巻無料")</f>
        <v>2025/5/7まで1巻無料</v>
      </c>
      <c r="Z3009" s="7"/>
      <c r="AA3009" s="7"/>
      <c r="AB3009" s="7"/>
    </row>
    <row r="3010" ht="15.75" customHeight="1">
      <c r="A3010" s="76">
        <f>IFERROR(__xludf.DUMMYFUNCTION("""COMPUTED_VALUE"""),5219.0)</f>
        <v>5219</v>
      </c>
      <c r="B3010" s="69" t="str">
        <f>IFERROR(__xludf.DUMMYFUNCTION("""COMPUTED_VALUE"""),"確定")</f>
        <v>確定</v>
      </c>
      <c r="C3010" s="74">
        <f>IFERROR(__xludf.DUMMYFUNCTION("""COMPUTED_VALUE"""),45727.0)</f>
        <v>45727</v>
      </c>
      <c r="D3010" s="74">
        <f>IFERROR(__xludf.DUMMYFUNCTION("""COMPUTED_VALUE"""),45727.0)</f>
        <v>45727</v>
      </c>
      <c r="E3010" s="109">
        <f>IFERROR(__xludf.DUMMYFUNCTION("""COMPUTED_VALUE"""),319162.0)</f>
        <v>319162</v>
      </c>
      <c r="F3010" s="20" t="str">
        <f>IFERROR(__xludf.DUMMYFUNCTION("""COMPUTED_VALUE"""),"［話売］北欧学生に恋したら")</f>
        <v>［話売］北欧学生に恋したら</v>
      </c>
      <c r="G3010" s="69" t="str">
        <f>IFERROR(__xludf.DUMMYFUNCTION("""COMPUTED_VALUE"""),"1～3")</f>
        <v>1～3</v>
      </c>
      <c r="H3010" s="69" t="str">
        <f>IFERROR(__xludf.DUMMYFUNCTION("""COMPUTED_VALUE"""),"［原作］青木健生［漫画］コンドウタク")</f>
        <v>［原作］青木健生［漫画］コンドウタク</v>
      </c>
      <c r="I3010" s="69" t="str">
        <f>IFERROR(__xludf.DUMMYFUNCTION("""COMPUTED_VALUE"""),"女性")</f>
        <v>女性</v>
      </c>
      <c r="J3010" s="194"/>
      <c r="K3010" s="194"/>
      <c r="L3010" s="69" t="str">
        <f>IFERROR(__xludf.DUMMYFUNCTION("""COMPUTED_VALUE"""),"ICE")</f>
        <v>ICE</v>
      </c>
      <c r="M3010" s="59">
        <f>IFERROR(__xludf.DUMMYFUNCTION("""COMPUTED_VALUE"""),45757.0)</f>
        <v>45757</v>
      </c>
      <c r="N3010" s="59">
        <f>IFERROR(__xludf.DUMMYFUNCTION("""COMPUTED_VALUE"""),45847.0)</f>
        <v>45847</v>
      </c>
      <c r="O3010" s="69"/>
      <c r="P3010" s="111" t="str">
        <f>IFERROR(__xludf.DUMMYFUNCTION("""COMPUTED_VALUE"""),"可")</f>
        <v>可</v>
      </c>
      <c r="Q3010" s="111"/>
      <c r="R3010" s="69"/>
      <c r="S3010" s="69" t="str">
        <f>IFERROR(__xludf.DUMMYFUNCTION("""COMPUTED_VALUE"""),"20250311_ICE_北欧学生に恋したら")</f>
        <v>20250311_ICE_北欧学生に恋したら</v>
      </c>
      <c r="T3010" s="69" t="str">
        <f>IFERROR(__xludf.DUMMYFUNCTION("""COMPUTED_VALUE"""),"格納済み")</f>
        <v>格納済み</v>
      </c>
      <c r="U3010" s="15" t="str">
        <f>IFERROR(__xludf.DUMMYFUNCTION("""COMPUTED_VALUE"""),"ⒸTakeo Aoki・Taku Kondo/ ICE")</f>
        <v>ⒸTakeo Aoki・Taku Kondo/ ICE</v>
      </c>
      <c r="V3010" s="8" t="str">
        <f>IFERROR(__xludf.DUMMYFUNCTION("""COMPUTED_VALUE"""),"幼いころからマンガを描くのが大好きで高校生の頃からプロのマンガ家になることを夢にいだいていた主人公・井川景。大学卒業後はブラック企業に就職するも１年ももたずに退職し、漫画家を目指しながら大阪の日本語学校講師として働いていた。ある日、街中で発生したハプニングの際にまるで漫画の世界から飛び出したような美形男子に助けてもらうが、その後、彼が景の勤める日本語学校に通う生徒、ヨエル・アンドレセンと判明し――!?")</f>
        <v>幼いころからマンガを描くのが大好きで高校生の頃からプロのマンガ家になることを夢にいだいていた主人公・井川景。大学卒業後はブラック企業に就職するも１年ももたずに退職し、漫画家を目指しながら大阪の日本語学校講師として働いていた。ある日、街中で発生したハプニングの際にまるで漫画の世界から飛び出したような美形男子に助けてもらうが、その後、彼が景の勤める日本語学校に通う生徒、ヨエル・アンドレセンと判明し――!?</v>
      </c>
      <c r="W3010" s="14"/>
      <c r="X3010" s="14" t="str">
        <f>IFERROR(__xludf.DUMMYFUNCTION("""COMPUTED_VALUE"""),"有")</f>
        <v>有</v>
      </c>
      <c r="Y3010" s="8" t="str">
        <f>IFERROR(__xludf.DUMMYFUNCTION("""COMPUTED_VALUE"""),"2025/5/7まで1巻無料")</f>
        <v>2025/5/7まで1巻無料</v>
      </c>
      <c r="Z3010" s="7"/>
      <c r="AA3010" s="7"/>
      <c r="AB3010" s="7"/>
    </row>
    <row r="3011" ht="15.75" customHeight="1">
      <c r="A3011" s="76">
        <f>IFERROR(__xludf.DUMMYFUNCTION("""COMPUTED_VALUE"""),5222.0)</f>
        <v>5222</v>
      </c>
      <c r="B3011" s="69" t="str">
        <f>IFERROR(__xludf.DUMMYFUNCTION("""COMPUTED_VALUE"""),"確定")</f>
        <v>確定</v>
      </c>
      <c r="C3011" s="74">
        <f>IFERROR(__xludf.DUMMYFUNCTION("""COMPUTED_VALUE"""),45727.0)</f>
        <v>45727</v>
      </c>
      <c r="D3011" s="74">
        <f>IFERROR(__xludf.DUMMYFUNCTION("""COMPUTED_VALUE"""),45727.0)</f>
        <v>45727</v>
      </c>
      <c r="E3011" s="109">
        <f>IFERROR(__xludf.DUMMYFUNCTION("""COMPUTED_VALUE"""),319686.0)</f>
        <v>319686</v>
      </c>
      <c r="F3011" s="20" t="str">
        <f>IFERROR(__xludf.DUMMYFUNCTION("""COMPUTED_VALUE"""),"婚約破棄なら私から～なのにどうして？ますます溺愛されました～")</f>
        <v>婚約破棄なら私から～なのにどうして？ますます溺愛されました～</v>
      </c>
      <c r="G3011" s="69" t="str">
        <f>IFERROR(__xludf.DUMMYFUNCTION("""COMPUTED_VALUE"""),"1～2")</f>
        <v>1～2</v>
      </c>
      <c r="H3011" s="69" t="str">
        <f>IFERROR(__xludf.DUMMYFUNCTION("""COMPUTED_VALUE"""),"齋宮太郎／COMIC ROOM")</f>
        <v>齋宮太郎／COMIC ROOM</v>
      </c>
      <c r="I3011" s="69" t="str">
        <f>IFERROR(__xludf.DUMMYFUNCTION("""COMPUTED_VALUE"""),"女性")</f>
        <v>女性</v>
      </c>
      <c r="J3011" s="194"/>
      <c r="K3011" s="69" t="str">
        <f>IFERROR(__xludf.DUMMYFUNCTION("""COMPUTED_VALUE"""),"COMIC MOON")</f>
        <v>COMIC MOON</v>
      </c>
      <c r="L3011" s="69" t="str">
        <f>IFERROR(__xludf.DUMMYFUNCTION("""COMPUTED_VALUE"""),"コミックルーム")</f>
        <v>コミックルーム</v>
      </c>
      <c r="M3011" s="59">
        <f>IFERROR(__xludf.DUMMYFUNCTION("""COMPUTED_VALUE"""),45762.0)</f>
        <v>45762</v>
      </c>
      <c r="N3011" s="59">
        <f>IFERROR(__xludf.DUMMYFUNCTION("""COMPUTED_VALUE"""),45852.0)</f>
        <v>45852</v>
      </c>
      <c r="O3011" s="69"/>
      <c r="P3011" s="111" t="str">
        <f>IFERROR(__xludf.DUMMYFUNCTION("""COMPUTED_VALUE"""),"可")</f>
        <v>可</v>
      </c>
      <c r="Q3011" s="111"/>
      <c r="R3011" s="69"/>
      <c r="S3011" s="69" t="str">
        <f>IFERROR(__xludf.DUMMYFUNCTION("""COMPUTED_VALUE"""),"20250311_コミックルーム_婚約破棄なら私から～なのにどうして？ますます溺愛されました～")</f>
        <v>20250311_コミックルーム_婚約破棄なら私から～なのにどうして？ますます溺愛されました～</v>
      </c>
      <c r="T3011" s="69" t="str">
        <f>IFERROR(__xludf.DUMMYFUNCTION("""COMPUTED_VALUE"""),"格納済み")</f>
        <v>格納済み</v>
      </c>
      <c r="U3011" s="15" t="str">
        <f>IFERROR(__xludf.DUMMYFUNCTION("""COMPUTED_VALUE"""),"Ⓒ齋宮太郎／COMIC ROOM")</f>
        <v>Ⓒ齋宮太郎／COMIC ROOM</v>
      </c>
      <c r="V3011" s="8" t="str">
        <f>IFERROR(__xludf.DUMMYFUNCTION("""COMPUTED_VALUE"""),"王太子アルバートの婚約者である侯爵令嬢サーシャは、隣国の姫ヴィクトリアと王太子との関係を案じ、自ら婚約破棄を申し出た。しかし国のためと思って身を引いたはずが、ふとしたことからこの国を脅かす陰謀の存在に気付いてしまう！！
噂の奥に潜む策略、すれ違いと誤解の果てに明かされる王太子の本心、そして二人は、運命の婚約を誓い直す。私から婚約破棄したはずなのに、思いがけずさらなる溺愛へ！？
手に汗握るサスペンスロマンスファンタジーをご堪能あれ！
※この作品の1・2巻は『溺れるほど愛されて、幸せになってみせますわ！"&amp;"アンソロジーコミック14巻』の収録作品です。重複購入にご注意ください。")</f>
        <v>王太子アルバートの婚約者である侯爵令嬢サーシャは、隣国の姫ヴィクトリアと王太子との関係を案じ、自ら婚約破棄を申し出た。しかし国のためと思って身を引いたはずが、ふとしたことからこの国を脅かす陰謀の存在に気付いてしまう！！
噂の奥に潜む策略、すれ違いと誤解の果てに明かされる王太子の本心、そして二人は、運命の婚約を誓い直す。私から婚約破棄したはずなのに、思いがけずさらなる溺愛へ！？
手に汗握るサスペンスロマンスファンタジーをご堪能あれ！
※この作品の1・2巻は『溺れるほど愛されて、幸せになってみせますわ！アンソロジーコミック14巻』の収録作品です。重複購入にご注意ください。</v>
      </c>
      <c r="W3011" s="14"/>
      <c r="X3011" s="14" t="str">
        <f>IFERROR(__xludf.DUMMYFUNCTION("""COMPUTED_VALUE"""),"有")</f>
        <v>有</v>
      </c>
      <c r="Y3011" s="8" t="str">
        <f>IFERROR(__xludf.DUMMYFUNCTION("""COMPUTED_VALUE"""),"P12まで")</f>
        <v>P12まで</v>
      </c>
      <c r="Z3011" s="7"/>
      <c r="AA3011" s="7"/>
      <c r="AB3011" s="7"/>
    </row>
    <row r="3012" ht="15.75" customHeight="1">
      <c r="A3012" s="76">
        <f>IFERROR(__xludf.DUMMYFUNCTION("""COMPUTED_VALUE"""),5223.0)</f>
        <v>5223</v>
      </c>
      <c r="B3012" s="69" t="str">
        <f>IFERROR(__xludf.DUMMYFUNCTION("""COMPUTED_VALUE"""),"確定")</f>
        <v>確定</v>
      </c>
      <c r="C3012" s="74">
        <f>IFERROR(__xludf.DUMMYFUNCTION("""COMPUTED_VALUE"""),45727.0)</f>
        <v>45727</v>
      </c>
      <c r="D3012" s="74">
        <f>IFERROR(__xludf.DUMMYFUNCTION("""COMPUTED_VALUE"""),45727.0)</f>
        <v>45727</v>
      </c>
      <c r="E3012" s="109">
        <f>IFERROR(__xludf.DUMMYFUNCTION("""COMPUTED_VALUE"""),319687.0)</f>
        <v>319687</v>
      </c>
      <c r="F3012" s="20" t="str">
        <f>IFERROR(__xludf.DUMMYFUNCTION("""COMPUTED_VALUE"""),"本音しか言えなくなってしまった令嬢ですが、逆に溺愛されるようになりました。")</f>
        <v>本音しか言えなくなってしまった令嬢ですが、逆に溺愛されるようになりました。</v>
      </c>
      <c r="G3012" s="69" t="str">
        <f>IFERROR(__xludf.DUMMYFUNCTION("""COMPUTED_VALUE"""),"1～2")</f>
        <v>1～2</v>
      </c>
      <c r="H3012" s="69" t="str">
        <f>IFERROR(__xludf.DUMMYFUNCTION("""COMPUTED_VALUE"""),"斉藤いくみ／COMIC ROOM")</f>
        <v>斉藤いくみ／COMIC ROOM</v>
      </c>
      <c r="I3012" s="69" t="str">
        <f>IFERROR(__xludf.DUMMYFUNCTION("""COMPUTED_VALUE"""),"女性")</f>
        <v>女性</v>
      </c>
      <c r="J3012" s="194"/>
      <c r="K3012" s="69" t="str">
        <f>IFERROR(__xludf.DUMMYFUNCTION("""COMPUTED_VALUE"""),"COMIC MOON")</f>
        <v>COMIC MOON</v>
      </c>
      <c r="L3012" s="69" t="str">
        <f>IFERROR(__xludf.DUMMYFUNCTION("""COMPUTED_VALUE"""),"コミックルーム")</f>
        <v>コミックルーム</v>
      </c>
      <c r="M3012" s="59">
        <f>IFERROR(__xludf.DUMMYFUNCTION("""COMPUTED_VALUE"""),45762.0)</f>
        <v>45762</v>
      </c>
      <c r="N3012" s="59">
        <f>IFERROR(__xludf.DUMMYFUNCTION("""COMPUTED_VALUE"""),45852.0)</f>
        <v>45852</v>
      </c>
      <c r="O3012" s="69"/>
      <c r="P3012" s="111" t="str">
        <f>IFERROR(__xludf.DUMMYFUNCTION("""COMPUTED_VALUE"""),"可")</f>
        <v>可</v>
      </c>
      <c r="Q3012" s="111"/>
      <c r="R3012" s="69"/>
      <c r="S3012" s="69" t="str">
        <f>IFERROR(__xludf.DUMMYFUNCTION("""COMPUTED_VALUE"""),"20250311_コミックルーム_本音しか言えなくなってしまった令嬢ですが、逆に溺愛されるようになりました。")</f>
        <v>20250311_コミックルーム_本音しか言えなくなってしまった令嬢ですが、逆に溺愛されるようになりました。</v>
      </c>
      <c r="T3012" s="69" t="str">
        <f>IFERROR(__xludf.DUMMYFUNCTION("""COMPUTED_VALUE"""),"格納済み")</f>
        <v>格納済み</v>
      </c>
      <c r="U3012" s="15" t="str">
        <f>IFERROR(__xludf.DUMMYFUNCTION("""COMPUTED_VALUE"""),"Ⓒ斉藤いくみ／COMIC ROOM")</f>
        <v>Ⓒ斉藤いくみ／COMIC ROOM</v>
      </c>
      <c r="V3012" s="8" t="str">
        <f>IFERROR(__xludf.DUMMYFUNCTION("""COMPUTED_VALUE"""),"伯爵令嬢ルイーゼは、領地を襲った水害から民を救うため、裕福な貴族との政略結婚に奔走していた。しかし、相手から要求されたのは「本心を見せ合える夫婦がいい」という理想論。誠実に尽くしてきたルイーゼだったが、あえなく婚約は破談に。
民を救う手立てを失い、呆然と立ち尽くす彼女の前に現れたのは、白魔術師を名乗る青年ラインハルト。彼は、寄り添う言葉をくれるも、民を救う方法は教えてくれなかった。ところが、茫然と屋敷に戻ったルイーゼの元に国王陛下から舞踏会の招待状が届き、物語は思いがけない方向へ───！？
※この作品"&amp;"の1・2巻は『溺れるほど愛されて、幸せになってみせますわ！アンソロジーコミック14巻』の収録作品です。重複購入にご注意ください。")</f>
        <v>伯爵令嬢ルイーゼは、領地を襲った水害から民を救うため、裕福な貴族との政略結婚に奔走していた。しかし、相手から要求されたのは「本心を見せ合える夫婦がいい」という理想論。誠実に尽くしてきたルイーゼだったが、あえなく婚約は破談に。
民を救う手立てを失い、呆然と立ち尽くす彼女の前に現れたのは、白魔術師を名乗る青年ラインハルト。彼は、寄り添う言葉をくれるも、民を救う方法は教えてくれなかった。ところが、茫然と屋敷に戻ったルイーゼの元に国王陛下から舞踏会の招待状が届き、物語は思いがけない方向へ───！？
※この作品の1・2巻は『溺れるほど愛されて、幸せになってみせますわ！アンソロジーコミック14巻』の収録作品です。重複購入にご注意ください。</v>
      </c>
      <c r="W3012" s="14"/>
      <c r="X3012" s="14" t="str">
        <f>IFERROR(__xludf.DUMMYFUNCTION("""COMPUTED_VALUE"""),"有")</f>
        <v>有</v>
      </c>
      <c r="Y3012" s="8" t="str">
        <f>IFERROR(__xludf.DUMMYFUNCTION("""COMPUTED_VALUE"""),"P9まで")</f>
        <v>P9まで</v>
      </c>
      <c r="Z3012" s="7"/>
      <c r="AA3012" s="7"/>
      <c r="AB3012" s="7"/>
    </row>
    <row r="3013" ht="15.75" customHeight="1">
      <c r="A3013" s="76">
        <f>IFERROR(__xludf.DUMMYFUNCTION("""COMPUTED_VALUE"""),5224.0)</f>
        <v>5224</v>
      </c>
      <c r="B3013" s="69" t="str">
        <f>IFERROR(__xludf.DUMMYFUNCTION("""COMPUTED_VALUE"""),"確定")</f>
        <v>確定</v>
      </c>
      <c r="C3013" s="74">
        <f>IFERROR(__xludf.DUMMYFUNCTION("""COMPUTED_VALUE"""),45727.0)</f>
        <v>45727</v>
      </c>
      <c r="D3013" s="74">
        <f>IFERROR(__xludf.DUMMYFUNCTION("""COMPUTED_VALUE"""),45727.0)</f>
        <v>45727</v>
      </c>
      <c r="E3013" s="37">
        <f>IFERROR(__xludf.DUMMYFUNCTION("""COMPUTED_VALUE"""),302689.0)</f>
        <v>302689</v>
      </c>
      <c r="F3013" s="20" t="str">
        <f>IFERROR(__xludf.DUMMYFUNCTION("""COMPUTED_VALUE"""),"復讐の刻～愛する息子が殺された～")</f>
        <v>復讐の刻～愛する息子が殺された～</v>
      </c>
      <c r="G3013" s="69" t="str">
        <f>IFERROR(__xludf.DUMMYFUNCTION("""COMPUTED_VALUE"""),"1～3")</f>
        <v>1～3</v>
      </c>
      <c r="H3013" s="69" t="str">
        <f>IFERROR(__xludf.DUMMYFUNCTION("""COMPUTED_VALUE"""),"右の人みつる,ドンペリ")</f>
        <v>右の人みつる,ドンペリ</v>
      </c>
      <c r="I3013" s="69" t="str">
        <f>IFERROR(__xludf.DUMMYFUNCTION("""COMPUTED_VALUE"""),"青年マンガ")</f>
        <v>青年マンガ</v>
      </c>
      <c r="J3013" s="194"/>
      <c r="K3013" s="69" t="str">
        <f>IFERROR(__xludf.DUMMYFUNCTION("""COMPUTED_VALUE"""),"トレモア・スプラッシュ,トレモアcollection")</f>
        <v>トレモア・スプラッシュ,トレモアcollection</v>
      </c>
      <c r="L3013" s="69" t="str">
        <f>IFERROR(__xludf.DUMMYFUNCTION("""COMPUTED_VALUE"""),"シーモアコミックス（トレモア）")</f>
        <v>シーモアコミックス（トレモア）</v>
      </c>
      <c r="M3013" s="59">
        <f>IFERROR(__xludf.DUMMYFUNCTION("""COMPUTED_VALUE"""),45772.0)</f>
        <v>45772</v>
      </c>
      <c r="N3013" s="59">
        <f>IFERROR(__xludf.DUMMYFUNCTION("""COMPUTED_VALUE"""),45925.0)</f>
        <v>45925</v>
      </c>
      <c r="O3013" s="69"/>
      <c r="P3013" s="111" t="str">
        <f>IFERROR(__xludf.DUMMYFUNCTION("""COMPUTED_VALUE"""),"可")</f>
        <v>可</v>
      </c>
      <c r="Q3013" s="111"/>
      <c r="R3013" s="69"/>
      <c r="S3013" s="69" t="str">
        <f>IFERROR(__xludf.DUMMYFUNCTION("""COMPUTED_VALUE"""),"20250311_シーモアコミックス_復讐の刻～愛する息子が殺された～")</f>
        <v>20250311_シーモアコミックス_復讐の刻～愛する息子が殺された～</v>
      </c>
      <c r="T3013" s="69" t="str">
        <f>IFERROR(__xludf.DUMMYFUNCTION("""COMPUTED_VALUE"""),"格納済み")</f>
        <v>格納済み</v>
      </c>
      <c r="U3013" s="15" t="str">
        <f>IFERROR(__xludf.DUMMYFUNCTION("""COMPUTED_VALUE"""),"Ⓒ 右の人みつる/ドンペリ/シーモアコミックス")</f>
        <v>Ⓒ 右の人みつる/ドンペリ/シーモアコミックス</v>
      </c>
      <c r="V3013" s="8" t="str">
        <f>IFERROR(__xludf.DUMMYFUNCTION("""COMPUTED_VALUE"""),"3年前の冬――中学生だった佐藤花子のひとり息子・勇気は、学校の屋上から飛び降りて命を落とした。彼を追い詰めたのは、同級生の3人組による壮絶ないじめ。事件以来、身を潜めるようにして過ごしてきた花子だったが、勇気が遺した日記により真実を知る。復讐を誓った花子は、「神月亜里沙」と名を変えて、いじめっ子グループが通う高校の学食に調理師として潜入するのだった…。")</f>
        <v>3年前の冬――中学生だった佐藤花子のひとり息子・勇気は、学校の屋上から飛び降りて命を落とした。彼を追い詰めたのは、同級生の3人組による壮絶ないじめ。事件以来、身を潜めるようにして過ごしてきた花子だったが、勇気が遺した日記により真実を知る。復讐を誓った花子は、「神月亜里沙」と名を変えて、いじめっ子グループが通う高校の学食に調理師として潜入するのだった…。</v>
      </c>
      <c r="W3013" s="14"/>
      <c r="X3013" s="14" t="str">
        <f>IFERROR(__xludf.DUMMYFUNCTION("""COMPUTED_VALUE"""),"有")</f>
        <v>有</v>
      </c>
      <c r="Y3013" s="8" t="str">
        <f>IFERROR(__xludf.DUMMYFUNCTION("""COMPUTED_VALUE"""),"2025/12/31まで1巻無料")</f>
        <v>2025/12/31まで1巻無料</v>
      </c>
      <c r="Z3013" s="7"/>
      <c r="AA3013" s="7"/>
      <c r="AB3013" s="7"/>
    </row>
    <row r="3014" ht="15.75" customHeight="1">
      <c r="A3014" s="76">
        <f>IFERROR(__xludf.DUMMYFUNCTION("""COMPUTED_VALUE"""),5226.0)</f>
        <v>5226</v>
      </c>
      <c r="B3014" s="69" t="str">
        <f>IFERROR(__xludf.DUMMYFUNCTION("""COMPUTED_VALUE"""),"確定")</f>
        <v>確定</v>
      </c>
      <c r="C3014" s="74">
        <f>IFERROR(__xludf.DUMMYFUNCTION("""COMPUTED_VALUE"""),45727.0)</f>
        <v>45727</v>
      </c>
      <c r="D3014" s="74">
        <f>IFERROR(__xludf.DUMMYFUNCTION("""COMPUTED_VALUE"""),45728.0)</f>
        <v>45728</v>
      </c>
      <c r="E3014" s="109">
        <f>IFERROR(__xludf.DUMMYFUNCTION("""COMPUTED_VALUE"""),319694.0)</f>
        <v>319694</v>
      </c>
      <c r="F3014" s="20" t="str">
        <f>IFERROR(__xludf.DUMMYFUNCTION("""COMPUTED_VALUE"""),"偽装結婚はじめました〜王太子の婚約者のフリをして生きようと思います〜")</f>
        <v>偽装結婚はじめました〜王太子の婚約者のフリをして生きようと思います〜</v>
      </c>
      <c r="G3014" s="69" t="str">
        <f>IFERROR(__xludf.DUMMYFUNCTION("""COMPUTED_VALUE"""),"1～2")</f>
        <v>1～2</v>
      </c>
      <c r="H3014" s="69" t="str">
        <f>IFERROR(__xludf.DUMMYFUNCTION("""COMPUTED_VALUE"""),"塩ぽん太郎／COMIC ROOM")</f>
        <v>塩ぽん太郎／COMIC ROOM</v>
      </c>
      <c r="I3014" s="69" t="str">
        <f>IFERROR(__xludf.DUMMYFUNCTION("""COMPUTED_VALUE"""),"女性")</f>
        <v>女性</v>
      </c>
      <c r="J3014" s="194"/>
      <c r="K3014" s="69" t="str">
        <f>IFERROR(__xludf.DUMMYFUNCTION("""COMPUTED_VALUE"""),"COMIC MOON")</f>
        <v>COMIC MOON</v>
      </c>
      <c r="L3014" s="69" t="str">
        <f>IFERROR(__xludf.DUMMYFUNCTION("""COMPUTED_VALUE"""),"コミックルーム")</f>
        <v>コミックルーム</v>
      </c>
      <c r="M3014" s="59">
        <f>IFERROR(__xludf.DUMMYFUNCTION("""COMPUTED_VALUE"""),45762.0)</f>
        <v>45762</v>
      </c>
      <c r="N3014" s="59">
        <f>IFERROR(__xludf.DUMMYFUNCTION("""COMPUTED_VALUE"""),45852.0)</f>
        <v>45852</v>
      </c>
      <c r="O3014" s="69"/>
      <c r="P3014" s="111" t="str">
        <f>IFERROR(__xludf.DUMMYFUNCTION("""COMPUTED_VALUE"""),"可")</f>
        <v>可</v>
      </c>
      <c r="Q3014" s="111"/>
      <c r="R3014" s="69"/>
      <c r="S3014" s="69" t="str">
        <f>IFERROR(__xludf.DUMMYFUNCTION("""COMPUTED_VALUE"""),"20250311_コミックルーム_偽装結婚はじめました〜王太子の婚約者のフリをして生きようと思います〜")</f>
        <v>20250311_コミックルーム_偽装結婚はじめました〜王太子の婚約者のフリをして生きようと思います〜</v>
      </c>
      <c r="T3014" s="69" t="str">
        <f>IFERROR(__xludf.DUMMYFUNCTION("""COMPUTED_VALUE"""),"格納済み")</f>
        <v>格納済み</v>
      </c>
      <c r="U3014" s="15" t="str">
        <f>IFERROR(__xludf.DUMMYFUNCTION("""COMPUTED_VALUE"""),"Ⓒ塩ぽん太郎／COMIC ROOM")</f>
        <v>Ⓒ塩ぽん太郎／COMIC ROOM</v>
      </c>
      <c r="V3014" s="8" t="str">
        <f>IFERROR(__xludf.DUMMYFUNCTION("""COMPUTED_VALUE"""),"男爵令嬢クロエは、婚約者である伯爵令息ネイサンから婚約破棄されてしまう。卒業パーティでの辱めに、周囲は冷たい視線でクロエを侮蔑し、両親も彼女を叱責。行き場を失った彼女の前に現れたのは、隣国の第二王子エリックだった。
彼はクロエに偽装婚約を提案し、二人は愛のない婚約者を演じることに。しかし、偽りのはずが繰り返される甘い言葉に、クロエの心は動揺していく。嘘だと分かっていても、信じたくなる・・・。
偽装婚約の果てに明かされるエリックの本心、契約の先に芽生える恋の行方はいかに───。
※この作品の1・2巻は"&amp;"『溺れるほど愛されて、幸せになってみせますわ！アンソロジーコミック14巻』の収録作品です。重複購入にご注意ください。")</f>
        <v>男爵令嬢クロエは、婚約者である伯爵令息ネイサンから婚約破棄されてしまう。卒業パーティでの辱めに、周囲は冷たい視線でクロエを侮蔑し、両親も彼女を叱責。行き場を失った彼女の前に現れたのは、隣国の第二王子エリックだった。
彼はクロエに偽装婚約を提案し、二人は愛のない婚約者を演じることに。しかし、偽りのはずが繰り返される甘い言葉に、クロエの心は動揺していく。嘘だと分かっていても、信じたくなる・・・。
偽装婚約の果てに明かされるエリックの本心、契約の先に芽生える恋の行方はいかに───。
※この作品の1・2巻は『溺れるほど愛されて、幸せになってみせますわ！アンソロジーコミック14巻』の収録作品です。重複購入にご注意ください。</v>
      </c>
      <c r="W3014" s="14"/>
      <c r="X3014" s="14" t="str">
        <f>IFERROR(__xludf.DUMMYFUNCTION("""COMPUTED_VALUE"""),"有")</f>
        <v>有</v>
      </c>
      <c r="Y3014" s="8" t="str">
        <f>IFERROR(__xludf.DUMMYFUNCTION("""COMPUTED_VALUE"""),"P10まで")</f>
        <v>P10まで</v>
      </c>
      <c r="Z3014" s="7"/>
      <c r="AA3014" s="7"/>
      <c r="AB3014" s="7"/>
    </row>
    <row r="3015" ht="15.75" customHeight="1">
      <c r="A3015" s="76">
        <f>IFERROR(__xludf.DUMMYFUNCTION("""COMPUTED_VALUE"""),5227.0)</f>
        <v>5227</v>
      </c>
      <c r="B3015" s="69" t="str">
        <f>IFERROR(__xludf.DUMMYFUNCTION("""COMPUTED_VALUE"""),"確定")</f>
        <v>確定</v>
      </c>
      <c r="C3015" s="74">
        <f>IFERROR(__xludf.DUMMYFUNCTION("""COMPUTED_VALUE"""),45727.0)</f>
        <v>45727</v>
      </c>
      <c r="D3015" s="74">
        <f>IFERROR(__xludf.DUMMYFUNCTION("""COMPUTED_VALUE"""),45728.0)</f>
        <v>45728</v>
      </c>
      <c r="E3015" s="109">
        <f>IFERROR(__xludf.DUMMYFUNCTION("""COMPUTED_VALUE"""),321219.0)</f>
        <v>321219</v>
      </c>
      <c r="F3015" s="53" t="str">
        <f>IFERROR(__xludf.DUMMYFUNCTION("""COMPUTED_VALUE"""),"美男の絡みが大好きな令嬢は、婚約破棄されても推しを描くのが止められません。")</f>
        <v>美男の絡みが大好きな令嬢は、婚約破棄されても推しを描くのが止められません。</v>
      </c>
      <c r="G3015" s="69" t="str">
        <f>IFERROR(__xludf.DUMMYFUNCTION("""COMPUTED_VALUE"""),"1～2")</f>
        <v>1～2</v>
      </c>
      <c r="H3015" s="69" t="str">
        <f>IFERROR(__xludf.DUMMYFUNCTION("""COMPUTED_VALUE"""),"はなぶさかえ／COMIC ROOM")</f>
        <v>はなぶさかえ／COMIC ROOM</v>
      </c>
      <c r="I3015" s="69" t="str">
        <f>IFERROR(__xludf.DUMMYFUNCTION("""COMPUTED_VALUE"""),"女性")</f>
        <v>女性</v>
      </c>
      <c r="J3015" s="194"/>
      <c r="K3015" s="69" t="str">
        <f>IFERROR(__xludf.DUMMYFUNCTION("""COMPUTED_VALUE"""),"COMIC MOON")</f>
        <v>COMIC MOON</v>
      </c>
      <c r="L3015" s="69" t="str">
        <f>IFERROR(__xludf.DUMMYFUNCTION("""COMPUTED_VALUE"""),"コミックルーム")</f>
        <v>コミックルーム</v>
      </c>
      <c r="M3015" s="59">
        <f>IFERROR(__xludf.DUMMYFUNCTION("""COMPUTED_VALUE"""),45762.0)</f>
        <v>45762</v>
      </c>
      <c r="N3015" s="59">
        <f>IFERROR(__xludf.DUMMYFUNCTION("""COMPUTED_VALUE"""),45852.0)</f>
        <v>45852</v>
      </c>
      <c r="O3015" s="69"/>
      <c r="P3015" s="111" t="str">
        <f>IFERROR(__xludf.DUMMYFUNCTION("""COMPUTED_VALUE"""),"可")</f>
        <v>可</v>
      </c>
      <c r="Q3015" s="111"/>
      <c r="R3015" s="69"/>
      <c r="S3015" s="69" t="str">
        <f>IFERROR(__xludf.DUMMYFUNCTION("""COMPUTED_VALUE"""),"20250311_コミックルーム_美男の絡みが大好きな令嬢は、婚約破棄されても推しを描くのは止められません。")</f>
        <v>20250311_コミックルーム_美男の絡みが大好きな令嬢は、婚約破棄されても推しを描くのは止められません。</v>
      </c>
      <c r="T3015" s="69" t="str">
        <f>IFERROR(__xludf.DUMMYFUNCTION("""COMPUTED_VALUE"""),"格納済み")</f>
        <v>格納済み</v>
      </c>
      <c r="U3015" s="15" t="str">
        <f>IFERROR(__xludf.DUMMYFUNCTION("""COMPUTED_VALUE"""),"Ⓒはなぶさかえ／COMIC ROOM")</f>
        <v>Ⓒはなぶさかえ／COMIC ROOM</v>
      </c>
      <c r="V3015" s="8" t="str">
        <f>IFERROR(__xludf.DUMMYFUNCTION("""COMPUTED_VALUE"""),"美男同士の絵を描くことに情熱を注ぐ子爵令嬢レイナ。しかし、鼻息荒く筆を走らせる彼女の奇行が原因で、ついには婚約者から婚約破棄されてしまう。
世間から奇異の目を向けられ落ち込むレイナの前に現れたのは、美貌に自信満々の公爵令息アレクシス。彼はレイナの絵を絶賛し、「僕の美しさを描いてほしい」と肖像画を依頼してきて───？
クセ強令嬢×ナルシスト美男令息が織りなす、理想の""推し""との関係性！？ドタバタ胸きゅん絵描きラブコメディここに開幕！
※この作品の1・2巻は『溺れるほど愛されて、幸せになってみせます"&amp;"わ！アンソロジーコミック14巻』の収録作品です。重複購入にご注意ください。")</f>
        <v>美男同士の絵を描くことに情熱を注ぐ子爵令嬢レイナ。しかし、鼻息荒く筆を走らせる彼女の奇行が原因で、ついには婚約者から婚約破棄されてしまう。
世間から奇異の目を向けられ落ち込むレイナの前に現れたのは、美貌に自信満々の公爵令息アレクシス。彼はレイナの絵を絶賛し、「僕の美しさを描いてほしい」と肖像画を依頼してきて───？
クセ強令嬢×ナルシスト美男令息が織りなす、理想の"推し"との関係性！？ドタバタ胸きゅん絵描きラブコメディここに開幕！
※この作品の1・2巻は『溺れるほど愛されて、幸せになってみせますわ！アンソロジーコミック14巻』の収録作品です。重複購入にご注意ください。</v>
      </c>
      <c r="W3015" s="14"/>
      <c r="X3015" s="14" t="str">
        <f>IFERROR(__xludf.DUMMYFUNCTION("""COMPUTED_VALUE"""),"有")</f>
        <v>有</v>
      </c>
      <c r="Y3015" s="8" t="str">
        <f>IFERROR(__xludf.DUMMYFUNCTION("""COMPUTED_VALUE"""),"P10まで")</f>
        <v>P10まで</v>
      </c>
      <c r="Z3015" s="7"/>
      <c r="AA3015" s="7"/>
      <c r="AB3015" s="7"/>
    </row>
    <row r="3016" ht="15.75" customHeight="1">
      <c r="A3016" s="76">
        <f>IFERROR(__xludf.DUMMYFUNCTION("""COMPUTED_VALUE"""),5228.0)</f>
        <v>5228</v>
      </c>
      <c r="B3016" s="69" t="str">
        <f>IFERROR(__xludf.DUMMYFUNCTION("""COMPUTED_VALUE"""),"確定")</f>
        <v>確定</v>
      </c>
      <c r="C3016" s="74">
        <f>IFERROR(__xludf.DUMMYFUNCTION("""COMPUTED_VALUE"""),45727.0)</f>
        <v>45727</v>
      </c>
      <c r="D3016" s="74">
        <f>IFERROR(__xludf.DUMMYFUNCTION("""COMPUTED_VALUE"""),45728.0)</f>
        <v>45728</v>
      </c>
      <c r="E3016" s="109">
        <f>IFERROR(__xludf.DUMMYFUNCTION("""COMPUTED_VALUE"""),319696.0)</f>
        <v>319696</v>
      </c>
      <c r="F3016" s="20" t="str">
        <f>IFERROR(__xludf.DUMMYFUNCTION("""COMPUTED_VALUE"""),"強すぎる令嬢は、公爵様の深い愛に包まれる")</f>
        <v>強すぎる令嬢は、公爵様の深い愛に包まれる</v>
      </c>
      <c r="G3016" s="69" t="str">
        <f>IFERROR(__xludf.DUMMYFUNCTION("""COMPUTED_VALUE"""),"1～2")</f>
        <v>1～2</v>
      </c>
      <c r="H3016" s="69" t="str">
        <f>IFERROR(__xludf.DUMMYFUNCTION("""COMPUTED_VALUE"""),"くさなか／COMIC ROOM")</f>
        <v>くさなか／COMIC ROOM</v>
      </c>
      <c r="I3016" s="69" t="str">
        <f>IFERROR(__xludf.DUMMYFUNCTION("""COMPUTED_VALUE"""),"女性")</f>
        <v>女性</v>
      </c>
      <c r="J3016" s="194"/>
      <c r="K3016" s="69" t="str">
        <f>IFERROR(__xludf.DUMMYFUNCTION("""COMPUTED_VALUE"""),"COMIC MOON")</f>
        <v>COMIC MOON</v>
      </c>
      <c r="L3016" s="69" t="str">
        <f>IFERROR(__xludf.DUMMYFUNCTION("""COMPUTED_VALUE"""),"コミックルーム")</f>
        <v>コミックルーム</v>
      </c>
      <c r="M3016" s="59">
        <f>IFERROR(__xludf.DUMMYFUNCTION("""COMPUTED_VALUE"""),45762.0)</f>
        <v>45762</v>
      </c>
      <c r="N3016" s="59">
        <f>IFERROR(__xludf.DUMMYFUNCTION("""COMPUTED_VALUE"""),45852.0)</f>
        <v>45852</v>
      </c>
      <c r="O3016" s="69"/>
      <c r="P3016" s="111" t="str">
        <f>IFERROR(__xludf.DUMMYFUNCTION("""COMPUTED_VALUE"""),"可")</f>
        <v>可</v>
      </c>
      <c r="Q3016" s="111"/>
      <c r="R3016" s="69"/>
      <c r="S3016" s="69" t="str">
        <f>IFERROR(__xludf.DUMMYFUNCTION("""COMPUTED_VALUE"""),"20250311_コミックルーム_強すぎる令嬢は、公爵様の深い愛に包まれる")</f>
        <v>20250311_コミックルーム_強すぎる令嬢は、公爵様の深い愛に包まれる</v>
      </c>
      <c r="T3016" s="69" t="str">
        <f>IFERROR(__xludf.DUMMYFUNCTION("""COMPUTED_VALUE"""),"格納済み")</f>
        <v>格納済み</v>
      </c>
      <c r="U3016" s="15" t="str">
        <f>IFERROR(__xludf.DUMMYFUNCTION("""COMPUTED_VALUE"""),"Ⓒくさなか／COMIC ROOM")</f>
        <v>Ⓒくさなか／COMIC ROOM</v>
      </c>
      <c r="V3016" s="8" t="str">
        <f>IFERROR(__xludf.DUMMYFUNCTION("""COMPUTED_VALUE"""),"男児を強く望んでいた父に""男同然""に育てられた子爵令嬢リア。護衛隊長として剣を振るう彼女は、誇りを胸に任務をこなす一方で、女であることへの葛藤も抱えていた。
そんな彼女が出会ったのは、病弱ながらも優しく聡明な公爵令息エリオット。盗賊から助けたことをきっかけに、少しずつ時間と心を通わせていく二人。しかしエリオットの病は進行し、遠くの地へ療養に行くことに・・・。そして再び巡る運命の再会に、リアの心は大きく動き出す。
強さと優しさが交差する、純粋な恋模様が織りなす溺愛ラブストーリー！
※この作品の1・"&amp;"2巻は『溺れるほど愛されて、幸せになってみせますわ！アンソロジーコミック14巻』の収録作品です。重複購入にご注意ください。")</f>
        <v>男児を強く望んでいた父に"男同然"に育てられた子爵令嬢リア。護衛隊長として剣を振るう彼女は、誇りを胸に任務をこなす一方で、女であることへの葛藤も抱えていた。
そんな彼女が出会ったのは、病弱ながらも優しく聡明な公爵令息エリオット。盗賊から助けたことをきっかけに、少しずつ時間と心を通わせていく二人。しかしエリオットの病は進行し、遠くの地へ療養に行くことに・・・。そして再び巡る運命の再会に、リアの心は大きく動き出す。
強さと優しさが交差する、純粋な恋模様が織りなす溺愛ラブストーリー！
※この作品の1・2巻は『溺れるほど愛されて、幸せになってみせますわ！アンソロジーコミック14巻』の収録作品です。重複購入にご注意ください。</v>
      </c>
      <c r="W3016" s="14"/>
      <c r="X3016" s="14" t="str">
        <f>IFERROR(__xludf.DUMMYFUNCTION("""COMPUTED_VALUE"""),"有")</f>
        <v>有</v>
      </c>
      <c r="Y3016" s="8" t="str">
        <f>IFERROR(__xludf.DUMMYFUNCTION("""COMPUTED_VALUE"""),"P12まで")</f>
        <v>P12まで</v>
      </c>
      <c r="Z3016" s="7"/>
      <c r="AA3016" s="7"/>
      <c r="AB3016" s="7"/>
    </row>
    <row r="3017" ht="15.75" customHeight="1">
      <c r="A3017" s="153">
        <f>IFERROR(__xludf.DUMMYFUNCTION("""COMPUTED_VALUE"""),4399.0)</f>
        <v>4399</v>
      </c>
      <c r="B3017" s="152" t="str">
        <f>IFERROR(__xludf.DUMMYFUNCTION("""COMPUTED_VALUE"""),"確定")</f>
        <v>確定</v>
      </c>
      <c r="C3017" s="154">
        <f>IFERROR(__xludf.DUMMYFUNCTION("""COMPUTED_VALUE"""),45588.0)</f>
        <v>45588</v>
      </c>
      <c r="D3017" s="154">
        <f>IFERROR(__xludf.DUMMYFUNCTION("""COMPUTED_VALUE"""),45735.0)</f>
        <v>45735</v>
      </c>
      <c r="E3017" s="158">
        <f>IFERROR(__xludf.DUMMYFUNCTION("""COMPUTED_VALUE"""),318508.0)</f>
        <v>318508</v>
      </c>
      <c r="F3017" s="159" t="str">
        <f>IFERROR(__xludf.DUMMYFUNCTION("""COMPUTED_VALUE"""),"愛する人は他にいると言った夫が、私を離してくれません 【連載版】")</f>
        <v>愛する人は他にいると言った夫が、私を離してくれません 【連載版】</v>
      </c>
      <c r="G3017" s="152" t="str">
        <f>IFERROR(__xludf.DUMMYFUNCTION("""COMPUTED_VALUE"""),"1～3")</f>
        <v>1～3</v>
      </c>
      <c r="H3017" s="152" t="str">
        <f>IFERROR(__xludf.DUMMYFUNCTION("""COMPUTED_VALUE"""),"武桐千 春日部こみと 炎かりよ")</f>
        <v>武桐千 春日部こみと 炎かりよ</v>
      </c>
      <c r="I3017" s="152" t="str">
        <f>IFERROR(__xludf.DUMMYFUNCTION("""COMPUTED_VALUE"""),"女性")</f>
        <v>女性</v>
      </c>
      <c r="J3017" s="157"/>
      <c r="K3017" s="157"/>
      <c r="L3017" s="152" t="str">
        <f>IFERROR(__xludf.DUMMYFUNCTION("""COMPUTED_VALUE"""),"一迅社")</f>
        <v>一迅社</v>
      </c>
      <c r="M3017" s="59">
        <f>IFERROR(__xludf.DUMMYFUNCTION("""COMPUTED_VALUE"""),45765.0)</f>
        <v>45765</v>
      </c>
      <c r="N3017" s="23">
        <f>IFERROR(__xludf.DUMMYFUNCTION("""COMPUTED_VALUE"""),45794.0)</f>
        <v>45794</v>
      </c>
      <c r="O3017" s="152"/>
      <c r="P3017" s="152" t="str">
        <f>IFERROR(__xludf.DUMMYFUNCTION("""COMPUTED_VALUE"""),"否")</f>
        <v>否</v>
      </c>
      <c r="Q3017" s="152" t="str">
        <f>IFERROR(__xludf.DUMMYFUNCTION("""COMPUTED_VALUE"""),"・西洋風ファンタジー、TL小説原作コミカライズ企画&lt;BR&gt;・3話素材は3/21に追加予定です。")</f>
        <v>・西洋風ファンタジー、TL小説原作コミカライズ企画&lt;BR&gt;・3話素材は3/21に追加予定です。</v>
      </c>
      <c r="R3017" s="152" t="str">
        <f>IFERROR(__xludf.DUMMYFUNCTION("""COMPUTED_VALUE"""),"コミットOK")</f>
        <v>コミットOK</v>
      </c>
      <c r="S3017" s="152" t="str">
        <f>IFERROR(__xludf.DUMMYFUNCTION("""COMPUTED_VALUE"""),"20250318_一迅社_愛する人は他にいると言った夫が、私を離してくれません 【連載版】")</f>
        <v>20250318_一迅社_愛する人は他にいると言った夫が、私を離してくれません 【連載版】</v>
      </c>
      <c r="T3017" s="152" t="str">
        <f>IFERROR(__xludf.DUMMYFUNCTION("""COMPUTED_VALUE"""),"格納済み")</f>
        <v>格納済み</v>
      </c>
      <c r="U3017" s="15" t="str">
        <f>IFERROR(__xludf.DUMMYFUNCTION("""COMPUTED_VALUE"""),"Ⓒ武桐千／一迅社(C)春日部こみと／炎かりよ／クルックブックス")</f>
        <v>Ⓒ武桐千／一迅社(C)春日部こみと／炎かりよ／クルックブックス</v>
      </c>
      <c r="V3017" s="8" t="str">
        <f>IFERROR(__xludf.DUMMYFUNCTION("""COMPUTED_VALUE"""),"幼い時に両親を亡くしてからというもの、弟に代わって領主の役目をこなしてきた伯爵令嬢・セラフィーナ。ある日の舞踏会で公爵・メイナードの窮地を救う。それがきっかけとなり、二人は契約結婚することに。けれども、メイナードは「僕には愛する人がいる」と言い出して……？リアリストな伯爵令嬢×美貌の訳アリ公爵様の溺愛ラブロマンス。待望のコミカライズ！　【本商品は単話コンテンツとなります。単行本版と収録内容が異なる場合がございます。漫画内の告知等は過去のものとなりますので、ご注意ください。】")</f>
        <v>幼い時に両親を亡くしてからというもの、弟に代わって領主の役目をこなしてきた伯爵令嬢・セラフィーナ。ある日の舞踏会で公爵・メイナードの窮地を救う。それがきっかけとなり、二人は契約結婚することに。けれども、メイナードは「僕には愛する人がいる」と言い出して……？リアリストな伯爵令嬢×美貌の訳アリ公爵様の溺愛ラブロマンス。待望のコミカライズ！　【本商品は単話コンテンツとなります。単行本版と収録内容が異なる場合がございます。漫画内の告知等は過去のものとなりますので、ご注意ください。】</v>
      </c>
      <c r="W3017" s="14"/>
      <c r="X3017" s="14" t="str">
        <f>IFERROR(__xludf.DUMMYFUNCTION("""COMPUTED_VALUE"""),"有")</f>
        <v>有</v>
      </c>
      <c r="Y3017" s="8" t="str">
        <f>IFERROR(__xludf.DUMMYFUNCTION("""COMPUTED_VALUE"""),"P7まで")</f>
        <v>P7まで</v>
      </c>
      <c r="Z3017" s="7"/>
      <c r="AA3017" s="7"/>
      <c r="AB3017" s="7"/>
    </row>
    <row r="3018" ht="15.75" customHeight="1">
      <c r="A3018" s="153">
        <f>IFERROR(__xludf.DUMMYFUNCTION("""COMPUTED_VALUE"""),4573.0)</f>
        <v>4573</v>
      </c>
      <c r="B3018" s="152" t="str">
        <f>IFERROR(__xludf.DUMMYFUNCTION("""COMPUTED_VALUE"""),"確定")</f>
        <v>確定</v>
      </c>
      <c r="C3018" s="154">
        <f>IFERROR(__xludf.DUMMYFUNCTION("""COMPUTED_VALUE"""),45621.0)</f>
        <v>45621</v>
      </c>
      <c r="D3018" s="154">
        <f>IFERROR(__xludf.DUMMYFUNCTION("""COMPUTED_VALUE"""),45735.0)</f>
        <v>45735</v>
      </c>
      <c r="E3018" s="158">
        <f>IFERROR(__xludf.DUMMYFUNCTION("""COMPUTED_VALUE"""),319954.0)</f>
        <v>319954</v>
      </c>
      <c r="F3018" s="159" t="str">
        <f>IFERROR(__xludf.DUMMYFUNCTION("""COMPUTED_VALUE"""),"雇われ婚約者～御曹司からのご褒美はとろ甘な蜜事でした～【分冊版】")</f>
        <v>雇われ婚約者～御曹司からのご褒美はとろ甘な蜜事でした～【分冊版】</v>
      </c>
      <c r="G3018" s="152" t="str">
        <f>IFERROR(__xludf.DUMMYFUNCTION("""COMPUTED_VALUE"""),"1～3")</f>
        <v>1～3</v>
      </c>
      <c r="H3018" s="152" t="str">
        <f>IFERROR(__xludf.DUMMYFUNCTION("""COMPUTED_VALUE"""),"藤原基央 秋花いずみ")</f>
        <v>藤原基央 秋花いずみ</v>
      </c>
      <c r="I3018" s="152" t="str">
        <f>IFERROR(__xludf.DUMMYFUNCTION("""COMPUTED_VALUE"""),"女性")</f>
        <v>女性</v>
      </c>
      <c r="J3018" s="157"/>
      <c r="K3018" s="152" t="str">
        <f>IFERROR(__xludf.DUMMYFUNCTION("""COMPUTED_VALUE"""),"マーマレードコミックス")</f>
        <v>マーマレードコミックス</v>
      </c>
      <c r="L3018" s="152" t="str">
        <f>IFERROR(__xludf.DUMMYFUNCTION("""COMPUTED_VALUE"""),"ハーパーコリンズ・ジャパン")</f>
        <v>ハーパーコリンズ・ジャパン</v>
      </c>
      <c r="M3018" s="59">
        <f>IFERROR(__xludf.DUMMYFUNCTION("""COMPUTED_VALUE"""),45765.0)</f>
        <v>45765</v>
      </c>
      <c r="N3018" s="23">
        <f>IFERROR(__xludf.DUMMYFUNCTION("""COMPUTED_VALUE"""),45826.0)</f>
        <v>45826</v>
      </c>
      <c r="O3018" s="152"/>
      <c r="P3018" s="190" t="str">
        <f>IFERROR(__xludf.DUMMYFUNCTION("""COMPUTED_VALUE"""),"可")</f>
        <v>可</v>
      </c>
      <c r="Q3018" s="152"/>
      <c r="R3018" s="152" t="str">
        <f>IFERROR(__xludf.DUMMYFUNCTION("""COMPUTED_VALUE"""),"コミットOK")</f>
        <v>コミットOK</v>
      </c>
      <c r="S3018" s="152" t="str">
        <f>IFERROR(__xludf.DUMMYFUNCTION("""COMPUTED_VALUE"""),"20250319_ハーパーコリンズ・ジャパン_雇われ婚約者～御曹司からのご褒美はとろ甘な蜜事でした～【分冊版】")</f>
        <v>20250319_ハーパーコリンズ・ジャパン_雇われ婚約者～御曹司からのご褒美はとろ甘な蜜事でした～【分冊版】</v>
      </c>
      <c r="T3018" s="152" t="str">
        <f>IFERROR(__xludf.DUMMYFUNCTION("""COMPUTED_VALUE"""),"格納済み")</f>
        <v>格納済み</v>
      </c>
      <c r="U3018" s="15" t="str">
        <f>IFERROR(__xludf.DUMMYFUNCTION("""COMPUTED_VALUE"""),"Ⓒ藤原基央・秋花いずみ／ハーパーコリンズ・ジャパン")</f>
        <v>Ⓒ藤原基央・秋花いずみ／ハーパーコリンズ・ジャパン</v>
      </c>
      <c r="V3018" s="8" t="str">
        <f>IFERROR(__xludf.DUMMYFUNCTION("""COMPUTED_VALUE"""),"契約婚約のはずなのに、甘すぎる同棲生活!?
完璧主義の鬼上司・蒼に秘密の副業がバレてしまった美咲。クビを覚悟する美咲に彼が突きつけた条件は、なんと「報酬付きの偽装婚約」。会社に残るため渋々、婚約者を演じることになった美咲だが、偽装なのに…鬼上司なのに…なぜか甘々な同棲生活がスタートして?　冷徹だと思っていた蒼の意外な優しさに触れるうち、ふたりの距離が縮まり…偽装のはずがーー?　　秘密のオフィス×同棲ラブストーリー。")</f>
        <v>契約婚約のはずなのに、甘すぎる同棲生活!?
完璧主義の鬼上司・蒼に秘密の副業がバレてしまった美咲。クビを覚悟する美咲に彼が突きつけた条件は、なんと「報酬付きの偽装婚約」。会社に残るため渋々、婚約者を演じることになった美咲だが、偽装なのに…鬼上司なのに…なぜか甘々な同棲生活がスタートして?　冷徹だと思っていた蒼の意外な優しさに触れるうち、ふたりの距離が縮まり…偽装のはずがーー?　　秘密のオフィス×同棲ラブストーリー。</v>
      </c>
      <c r="W3018" s="14"/>
      <c r="X3018" s="14" t="str">
        <f>IFERROR(__xludf.DUMMYFUNCTION("""COMPUTED_VALUE"""),"有")</f>
        <v>有</v>
      </c>
      <c r="Y3018" s="8" t="str">
        <f>IFERROR(__xludf.DUMMYFUNCTION("""COMPUTED_VALUE"""),"2025/5/1まで1巻無料")</f>
        <v>2025/5/1まで1巻無料</v>
      </c>
      <c r="Z3018" s="7"/>
      <c r="AA3018" s="7"/>
      <c r="AB3018" s="7"/>
    </row>
    <row r="3019" ht="15.75" customHeight="1">
      <c r="A3019" s="153">
        <f>IFERROR(__xludf.DUMMYFUNCTION("""COMPUTED_VALUE"""),4608.0)</f>
        <v>4608</v>
      </c>
      <c r="B3019" s="152" t="str">
        <f>IFERROR(__xludf.DUMMYFUNCTION("""COMPUTED_VALUE"""),"確定")</f>
        <v>確定</v>
      </c>
      <c r="C3019" s="154">
        <f>IFERROR(__xludf.DUMMYFUNCTION("""COMPUTED_VALUE"""),45629.0)</f>
        <v>45629</v>
      </c>
      <c r="D3019" s="154">
        <f>IFERROR(__xludf.DUMMYFUNCTION("""COMPUTED_VALUE"""),45734.0)</f>
        <v>45734</v>
      </c>
      <c r="E3019" s="158">
        <f>IFERROR(__xludf.DUMMYFUNCTION("""COMPUTED_VALUE"""),321799.0)</f>
        <v>321799</v>
      </c>
      <c r="F3019" s="159" t="str">
        <f>IFERROR(__xludf.DUMMYFUNCTION("""COMPUTED_VALUE"""),"鏡巳くんのクソデカ執愛。私が嫌いなオフィスの王子はXLで変態！？")</f>
        <v>鏡巳くんのクソデカ執愛。私が嫌いなオフィスの王子はXLで変態！？</v>
      </c>
      <c r="G3019" s="152" t="str">
        <f>IFERROR(__xludf.DUMMYFUNCTION("""COMPUTED_VALUE"""),"1～2")</f>
        <v>1～2</v>
      </c>
      <c r="H3019" s="152" t="str">
        <f>IFERROR(__xludf.DUMMYFUNCTION("""COMPUTED_VALUE"""),"茸太")</f>
        <v>茸太</v>
      </c>
      <c r="I3019" s="152" t="str">
        <f>IFERROR(__xludf.DUMMYFUNCTION("""COMPUTED_VALUE"""),"TL")</f>
        <v>TL</v>
      </c>
      <c r="J3019" s="157"/>
      <c r="K3019" s="152" t="str">
        <f>IFERROR(__xludf.DUMMYFUNCTION("""COMPUTED_VALUE"""),"TL★オトメチカ")</f>
        <v>TL★オトメチカ</v>
      </c>
      <c r="L3019" s="152" t="str">
        <f>IFERROR(__xludf.DUMMYFUNCTION("""COMPUTED_VALUE"""),"CLLENN")</f>
        <v>CLLENN</v>
      </c>
      <c r="M3019" s="23">
        <f>IFERROR(__xludf.DUMMYFUNCTION("""COMPUTED_VALUE"""),45790.0)</f>
        <v>45790</v>
      </c>
      <c r="N3019" s="59">
        <f>IFERROR(__xludf.DUMMYFUNCTION("""COMPUTED_VALUE"""),45845.0)</f>
        <v>45845</v>
      </c>
      <c r="O3019" s="152"/>
      <c r="P3019" s="152" t="str">
        <f>IFERROR(__xludf.DUMMYFUNCTION("""COMPUTED_VALUE"""),"可")</f>
        <v>可</v>
      </c>
      <c r="Q3019" s="152" t="str">
        <f>IFERROR(__xludf.DUMMYFUNCTION("""COMPUTED_VALUE"""),"他版元様や同人でも実績のある有力作家の新作となります！&lt;BR&gt;ぜひよろしくお願いいたします。")</f>
        <v>他版元様や同人でも実績のある有力作家の新作となります！&lt;BR&gt;ぜひよろしくお願いいたします。</v>
      </c>
      <c r="R3019" s="152" t="str">
        <f>IFERROR(__xludf.DUMMYFUNCTION("""COMPUTED_VALUE"""),"コミットOK")</f>
        <v>コミットOK</v>
      </c>
      <c r="S3019" s="152" t="str">
        <f>IFERROR(__xludf.DUMMYFUNCTION("""COMPUTED_VALUE"""),"20250317_CLLENN_鏡巳くんのクソデカ執愛。私が嫌いなオフィスの王子はXLで変態！？")</f>
        <v>20250317_CLLENN_鏡巳くんのクソデカ執愛。私が嫌いなオフィスの王子はXLで変態！？</v>
      </c>
      <c r="T3019" s="152" t="str">
        <f>IFERROR(__xludf.DUMMYFUNCTION("""COMPUTED_VALUE"""),"格納済み")</f>
        <v>格納済み</v>
      </c>
      <c r="U3019" s="15" t="str">
        <f>IFERROR(__xludf.DUMMYFUNCTION("""COMPUTED_VALUE"""),"Ⓒ茸太/CLLENN")</f>
        <v>Ⓒ茸太/CLLENN</v>
      </c>
      <c r="V3019" s="8" t="str">
        <f>IFERROR(__xludf.DUMMYFUNCTION("""COMPUTED_VALUE"""),"「指一本、これだけでトロトロに溶かして気持ちよくしてあげる」お客様相談センターで毎日謝りまくってる小鳥は、どんなクレーマーも神対応で蕩かすことができる鏡巳が苦手。スマートな仕事ぶりと眩しい優しい笑顔をふりまき、ついたあだ名が”謝罪王子”。 小鳥は彼への劣等感とストレスを一人エッチで発散する日々――。狭くて指一本も入らないカラダだけど、いつか気持ちいいセックスがしてみたい。そんな悩みを抱えていたある夜、泥酔した小鳥が目を覚ますと目の前に○○をしている鏡巳が!? 私のことが好きってホントに？ いや、それよりそ"&amp;"のXL、はやくしまって!? 困惑する小鳥に、鏡巳の様子はいつもと違って…。")</f>
        <v>「指一本、これだけでトロトロに溶かして気持ちよくしてあげる」お客様相談センターで毎日謝りまくってる小鳥は、どんなクレーマーも神対応で蕩かすことができる鏡巳が苦手。スマートな仕事ぶりと眩しい優しい笑顔をふりまき、ついたあだ名が”謝罪王子”。 小鳥は彼への劣等感とストレスを一人エッチで発散する日々――。狭くて指一本も入らないカラダだけど、いつか気持ちいいセックスがしてみたい。そんな悩みを抱えていたある夜、泥酔した小鳥が目を覚ますと目の前に○○をしている鏡巳が!? 私のことが好きってホントに？ いや、それよりそのXL、はやくしまって!? 困惑する小鳥に、鏡巳の様子はいつもと違って…。</v>
      </c>
      <c r="W3019" s="14"/>
      <c r="X3019" s="14" t="str">
        <f>IFERROR(__xludf.DUMMYFUNCTION("""COMPUTED_VALUE"""),"有")</f>
        <v>有</v>
      </c>
      <c r="Y3019" s="8" t="str">
        <f>IFERROR(__xludf.DUMMYFUNCTION("""COMPUTED_VALUE"""),"2025/6/9まで1巻立ち読み増量（P19まで）")</f>
        <v>2025/6/9まで1巻立ち読み増量（P19まで）</v>
      </c>
      <c r="Z3019" s="7"/>
      <c r="AA3019" s="7"/>
      <c r="AB3019" s="7"/>
    </row>
    <row r="3020" ht="15.75" customHeight="1">
      <c r="A3020" s="153">
        <f>IFERROR(__xludf.DUMMYFUNCTION("""COMPUTED_VALUE"""),4833.0)</f>
        <v>4833</v>
      </c>
      <c r="B3020" s="152" t="str">
        <f>IFERROR(__xludf.DUMMYFUNCTION("""COMPUTED_VALUE"""),"確定")</f>
        <v>確定</v>
      </c>
      <c r="C3020" s="154">
        <f>IFERROR(__xludf.DUMMYFUNCTION("""COMPUTED_VALUE"""),45677.0)</f>
        <v>45677</v>
      </c>
      <c r="D3020" s="154">
        <f>IFERROR(__xludf.DUMMYFUNCTION("""COMPUTED_VALUE"""),45733.0)</f>
        <v>45733</v>
      </c>
      <c r="E3020" s="158">
        <f>IFERROR(__xludf.DUMMYFUNCTION("""COMPUTED_VALUE"""),320473.0)</f>
        <v>320473</v>
      </c>
      <c r="F3020" s="159" t="str">
        <f>IFERROR(__xludf.DUMMYFUNCTION("""COMPUTED_VALUE"""),"転生第八王子の幸せ家族計画【分冊版】（コミック）")</f>
        <v>転生第八王子の幸せ家族計画【分冊版】（コミック）</v>
      </c>
      <c r="G3020" s="152" t="str">
        <f>IFERROR(__xludf.DUMMYFUNCTION("""COMPUTED_VALUE"""),"1～4")</f>
        <v>1～4</v>
      </c>
      <c r="H3020" s="152" t="str">
        <f>IFERROR(__xludf.DUMMYFUNCTION("""COMPUTED_VALUE"""),"南野のこ/八月八/山田J太")</f>
        <v>南野のこ/八月八/山田J太</v>
      </c>
      <c r="I3020" s="152" t="str">
        <f>IFERROR(__xludf.DUMMYFUNCTION("""COMPUTED_VALUE"""),"少女")</f>
        <v>少女</v>
      </c>
      <c r="J3020" s="157"/>
      <c r="K3020" s="152" t="str">
        <f>IFERROR(__xludf.DUMMYFUNCTION("""COMPUTED_VALUE"""),"GAコミック")</f>
        <v>GAコミック</v>
      </c>
      <c r="L3020" s="152" t="str">
        <f>IFERROR(__xludf.DUMMYFUNCTION("""COMPUTED_VALUE"""),"SBクリエイティブ")</f>
        <v>SBクリエイティブ</v>
      </c>
      <c r="M3020" s="59">
        <f>IFERROR(__xludf.DUMMYFUNCTION("""COMPUTED_VALUE"""),45765.0)</f>
        <v>45765</v>
      </c>
      <c r="N3020" s="59">
        <f>IFERROR(__xludf.DUMMYFUNCTION("""COMPUTED_VALUE"""),45854.0)</f>
        <v>45854</v>
      </c>
      <c r="O3020" s="152"/>
      <c r="P3020" s="152" t="str">
        <f>IFERROR(__xludf.DUMMYFUNCTION("""COMPUTED_VALUE"""),"可")</f>
        <v>可</v>
      </c>
      <c r="Q3020" s="152" t="str">
        <f>IFERROR(__xludf.DUMMYFUNCTION("""COMPUTED_VALUE"""),"・原作ノベルはこちらとなります。&lt;BR&gt; https://www.cmoa.jp/title/1101439736/&lt;BR&gt;・1～4巻目まで使用してください")</f>
        <v>・原作ノベルはこちらとなります。&lt;BR&gt; https://www.cmoa.jp/title/1101439736/&lt;BR&gt;・1～4巻目まで使用してください</v>
      </c>
      <c r="R3020" s="152" t="str">
        <f>IFERROR(__xludf.DUMMYFUNCTION("""COMPUTED_VALUE"""),"コミットOK")</f>
        <v>コミットOK</v>
      </c>
      <c r="S3020" s="152" t="str">
        <f>IFERROR(__xludf.DUMMYFUNCTION("""COMPUTED_VALUE"""),"20250317_SBクリエイティブ_転生第八王子の幸せ家族計画（コミック）")</f>
        <v>20250317_SBクリエイティブ_転生第八王子の幸せ家族計画（コミック）</v>
      </c>
      <c r="T3020" s="152" t="str">
        <f>IFERROR(__xludf.DUMMYFUNCTION("""COMPUTED_VALUE"""),"格納済み")</f>
        <v>格納済み</v>
      </c>
      <c r="U3020" s="15" t="str">
        <f>IFERROR(__xludf.DUMMYFUNCTION("""COMPUTED_VALUE"""),"Ⓒ南野のこ・八月八/SB Creative Corp.")</f>
        <v>Ⓒ南野のこ・八月八/SB Creative Corp.</v>
      </c>
      <c r="V3020" s="8" t="str">
        <f>IFERROR(__xludf.DUMMYFUNCTION("""COMPUTED_VALUE"""),"「ボクはかわいいお嫁さんと幸せな家庭を築くんだ！」
第八王子リエトは小さな5歳の末っ子王子。
だれかに盛られた毒にうなされて、前世らしき夢を見た。
孤独な前世で望んだのは「幸せな家庭」。
今からでも叶えたいと思うけど、七人の兄は仲良しとは言い難く、王宮内は王位継承権争いでギッスギス！
このままじゃ幸せな家庭になりそうにもない！
せめて大人になったら結婚して自分の家庭を築くぞと、勉強に運動に毒回避にと努力するリエト。
だけど頑張れば頑張るほど、なぜか兄王子たちがわらわらと集まってきて…？
"&amp;"
「こっちに来なさい」　お膝だっこでお勉強ですか？
「手をつないで行こう」　エスコートがうまいですね！
「誰にやられた？」　鍛錬ですよ心配しないで！
天然人たらし末っ子王子の無自覚愛されホームコメディ！")</f>
        <v>「ボクはかわいいお嫁さんと幸せな家庭を築くんだ！」
第八王子リエトは小さな5歳の末っ子王子。
だれかに盛られた毒にうなされて、前世らしき夢を見た。
孤独な前世で望んだのは「幸せな家庭」。
今からでも叶えたいと思うけど、七人の兄は仲良しとは言い難く、王宮内は王位継承権争いでギッスギス！
このままじゃ幸せな家庭になりそうにもない！
せめて大人になったら結婚して自分の家庭を築くぞと、勉強に運動に毒回避にと努力するリエト。
だけど頑張れば頑張るほど、なぜか兄王子たちがわらわらと集まってきて…？
「こっちに来なさい」　お膝だっこでお勉強ですか？
「手をつないで行こう」　エスコートがうまいですね！
「誰にやられた？」　鍛錬ですよ心配しないで！
天然人たらし末っ子王子の無自覚愛されホームコメディ！</v>
      </c>
      <c r="W3020" s="14"/>
      <c r="X3020" s="14" t="str">
        <f>IFERROR(__xludf.DUMMYFUNCTION("""COMPUTED_VALUE"""),"有")</f>
        <v>有</v>
      </c>
      <c r="Y3020" s="8" t="str">
        <f>IFERROR(__xludf.DUMMYFUNCTION("""COMPUTED_VALUE"""),"2025/5/6まで1巻無料")</f>
        <v>2025/5/6まで1巻無料</v>
      </c>
      <c r="Z3020" s="7"/>
      <c r="AA3020" s="7"/>
      <c r="AB3020" s="7"/>
    </row>
    <row r="3021" ht="15.75" customHeight="1">
      <c r="A3021" s="153">
        <f>IFERROR(__xludf.DUMMYFUNCTION("""COMPUTED_VALUE"""),4920.0)</f>
        <v>4920</v>
      </c>
      <c r="B3021" s="152" t="str">
        <f>IFERROR(__xludf.DUMMYFUNCTION("""COMPUTED_VALUE"""),"確定")</f>
        <v>確定</v>
      </c>
      <c r="C3021" s="154">
        <f>IFERROR(__xludf.DUMMYFUNCTION("""COMPUTED_VALUE"""),45684.0)</f>
        <v>45684</v>
      </c>
      <c r="D3021" s="154">
        <f>IFERROR(__xludf.DUMMYFUNCTION("""COMPUTED_VALUE"""),45735.0)</f>
        <v>45735</v>
      </c>
      <c r="E3021" s="158">
        <f>IFERROR(__xludf.DUMMYFUNCTION("""COMPUTED_VALUE"""),319783.0)</f>
        <v>319783</v>
      </c>
      <c r="F3021" s="159" t="str">
        <f>IFERROR(__xludf.DUMMYFUNCTION("""COMPUTED_VALUE"""),"婚約破棄された魔法薬師は炎の騎士に溺愛される【単話】")</f>
        <v>婚約破棄された魔法薬師は炎の騎士に溺愛される【単話】</v>
      </c>
      <c r="G3021" s="152" t="str">
        <f>IFERROR(__xludf.DUMMYFUNCTION("""COMPUTED_VALUE"""),"1～3")</f>
        <v>1～3</v>
      </c>
      <c r="H3021" s="152" t="str">
        <f>IFERROR(__xludf.DUMMYFUNCTION("""COMPUTED_VALUE"""),"原作:香田 紗季 漫画:七瀬 藍")</f>
        <v>原作:香田 紗季 漫画:七瀬 藍</v>
      </c>
      <c r="I3021" s="152" t="str">
        <f>IFERROR(__xludf.DUMMYFUNCTION("""COMPUTED_VALUE"""),"少女")</f>
        <v>少女</v>
      </c>
      <c r="J3021" s="157"/>
      <c r="K3021" s="152" t="str">
        <f>IFERROR(__xludf.DUMMYFUNCTION("""COMPUTED_VALUE"""),"マンガワン女子部")</f>
        <v>マンガワン女子部</v>
      </c>
      <c r="L3021" s="152" t="str">
        <f>IFERROR(__xludf.DUMMYFUNCTION("""COMPUTED_VALUE"""),"小学館")</f>
        <v>小学館</v>
      </c>
      <c r="M3021" s="59">
        <f>IFERROR(__xludf.DUMMYFUNCTION("""COMPUTED_VALUE"""),45764.0)</f>
        <v>45764</v>
      </c>
      <c r="N3021" s="23">
        <f>IFERROR(__xludf.DUMMYFUNCTION("""COMPUTED_VALUE"""),45854.0)</f>
        <v>45854</v>
      </c>
      <c r="O3021" s="152"/>
      <c r="P3021" s="152" t="str">
        <f>IFERROR(__xludf.DUMMYFUNCTION("""COMPUTED_VALUE"""),"否")</f>
        <v>否</v>
      </c>
      <c r="Q3021" s="152" t="str">
        <f>IFERROR(__xludf.DUMMYFUNCTION("""COMPUTED_VALUE"""),"「小説家になろう」の同名小説を原作としたコミカライズ作品です。&lt;BR&gt;【原作】ただ幸せに、なりたかった&lt;BR&gt;https://ncode.syosetu.com/n6828im/&lt;BR&gt;・素材について&lt;BR&gt;１話目の扉絵までの1~3Pは差し替え予定とのことで、4P扉絵以降の素材で制作をお願いいたします")</f>
        <v>「小説家になろう」の同名小説を原作としたコミカライズ作品です。&lt;BR&gt;【原作】ただ幸せに、なりたかった&lt;BR&gt;https://ncode.syosetu.com/n6828im/&lt;BR&gt;・素材について&lt;BR&gt;１話目の扉絵までの1~3Pは差し替え予定とのことで、4P扉絵以降の素材で制作をお願いいたします</v>
      </c>
      <c r="R3021" s="152" t="str">
        <f>IFERROR(__xludf.DUMMYFUNCTION("""COMPUTED_VALUE"""),"コミットOK")</f>
        <v>コミットOK</v>
      </c>
      <c r="S3021" s="152" t="str">
        <f>IFERROR(__xludf.DUMMYFUNCTION("""COMPUTED_VALUE"""),"20250318_小学館_婚約破棄された魔法薬師は炎の騎士に溺愛される")</f>
        <v>20250318_小学館_婚約破棄された魔法薬師は炎の騎士に溺愛される</v>
      </c>
      <c r="T3021" s="152" t="str">
        <f>IFERROR(__xludf.DUMMYFUNCTION("""COMPUTED_VALUE"""),"格納済み")</f>
        <v>格納済み</v>
      </c>
      <c r="U3021" s="15" t="str">
        <f>IFERROR(__xludf.DUMMYFUNCTION("""COMPUTED_VALUE"""),"Ⓒ香田紗季・七瀬藍 / 小学館")</f>
        <v>Ⓒ香田紗季・七瀬藍 / 小学館</v>
      </c>
      <c r="V3021" s="8" t="str">
        <f>IFERROR(__xludf.DUMMYFUNCTION("""COMPUTED_VALUE"""),"【魔法薬師が人生Reスタート！】
家族に虐げられながらも騎士団医務部で必死に働いてきた魔法薬師のクレア。
クレアが必死働けば働くほど家族にお金は使われ借金を背負う生活に…
「…この生活がどこまで続くんだろう…」
絶望していたクレアに愛しい婚約者ができた時またしても家族が立ちはだかり…！？")</f>
        <v>【魔法薬師が人生Reスタート！】
家族に虐げられながらも騎士団医務部で必死に働いてきた魔法薬師のクレア。
クレアが必死働けば働くほど家族にお金は使われ借金を背負う生活に…
「…この生活がどこまで続くんだろう…」
絶望していたクレアに愛しい婚約者ができた時またしても家族が立ちはだかり…！？</v>
      </c>
      <c r="W3021" s="14"/>
      <c r="X3021" s="14" t="str">
        <f>IFERROR(__xludf.DUMMYFUNCTION("""COMPUTED_VALUE"""),"有")</f>
        <v>有</v>
      </c>
      <c r="Y3021" s="8" t="str">
        <f>IFERROR(__xludf.DUMMYFUNCTION("""COMPUTED_VALUE"""),"P24まで")</f>
        <v>P24まで</v>
      </c>
      <c r="Z3021" s="7"/>
      <c r="AA3021" s="7"/>
      <c r="AB3021" s="7"/>
    </row>
    <row r="3022" ht="15.75" customHeight="1">
      <c r="A3022" s="153">
        <f>IFERROR(__xludf.DUMMYFUNCTION("""COMPUTED_VALUE"""),4924.0)</f>
        <v>4924</v>
      </c>
      <c r="B3022" s="152" t="str">
        <f>IFERROR(__xludf.DUMMYFUNCTION("""COMPUTED_VALUE"""),"確定")</f>
        <v>確定</v>
      </c>
      <c r="C3022" s="154">
        <f>IFERROR(__xludf.DUMMYFUNCTION("""COMPUTED_VALUE"""),45685.0)</f>
        <v>45685</v>
      </c>
      <c r="D3022" s="154">
        <f>IFERROR(__xludf.DUMMYFUNCTION("""COMPUTED_VALUE"""),45735.0)</f>
        <v>45735</v>
      </c>
      <c r="E3022" s="158">
        <f>IFERROR(__xludf.DUMMYFUNCTION("""COMPUTED_VALUE"""),319988.0)</f>
        <v>319988</v>
      </c>
      <c r="F3022" s="159" t="str">
        <f>IFERROR(__xludf.DUMMYFUNCTION("""COMPUTED_VALUE"""),"焦らして、熟れて、恋はたべごろ。～本気になったカレの濃密エッチで抱きつぶされる～")</f>
        <v>焦らして、熟れて、恋はたべごろ。～本気になったカレの濃密エッチで抱きつぶされる～</v>
      </c>
      <c r="G3022" s="152" t="str">
        <f>IFERROR(__xludf.DUMMYFUNCTION("""COMPUTED_VALUE"""),"1～2")</f>
        <v>1～2</v>
      </c>
      <c r="H3022" s="152" t="str">
        <f>IFERROR(__xludf.DUMMYFUNCTION("""COMPUTED_VALUE"""),"紬りつか")</f>
        <v>紬りつか</v>
      </c>
      <c r="I3022" s="152" t="str">
        <f>IFERROR(__xludf.DUMMYFUNCTION("""COMPUTED_VALUE"""),"TL")</f>
        <v>TL</v>
      </c>
      <c r="J3022" s="157"/>
      <c r="K3022" s="152" t="str">
        <f>IFERROR(__xludf.DUMMYFUNCTION("""COMPUTED_VALUE"""),"乙女チック")</f>
        <v>乙女チック</v>
      </c>
      <c r="L3022" s="152" t="str">
        <f>IFERROR(__xludf.DUMMYFUNCTION("""COMPUTED_VALUE"""),"CLLENN")</f>
        <v>CLLENN</v>
      </c>
      <c r="M3022" s="59">
        <f>IFERROR(__xludf.DUMMYFUNCTION("""COMPUTED_VALUE"""),45766.0)</f>
        <v>45766</v>
      </c>
      <c r="N3022" s="59">
        <f>IFERROR(__xludf.DUMMYFUNCTION("""COMPUTED_VALUE"""),45828.0)</f>
        <v>45828</v>
      </c>
      <c r="O3022" s="152"/>
      <c r="P3022" s="190" t="str">
        <f>IFERROR(__xludf.DUMMYFUNCTION("""COMPUTED_VALUE"""),"可")</f>
        <v>可</v>
      </c>
      <c r="Q3022" s="152"/>
      <c r="R3022" s="152" t="str">
        <f>IFERROR(__xludf.DUMMYFUNCTION("""COMPUTED_VALUE"""),"コミットOK")</f>
        <v>コミットOK</v>
      </c>
      <c r="S3022" s="152" t="str">
        <f>IFERROR(__xludf.DUMMYFUNCTION("""COMPUTED_VALUE"""),"20250318_CLLENN_焦らして、熟れて、恋はたべごろ。～本気になったカレの濃密エッチで抱きつぶされる～")</f>
        <v>20250318_CLLENN_焦らして、熟れて、恋はたべごろ。～本気になったカレの濃密エッチで抱きつぶされる～</v>
      </c>
      <c r="T3022" s="152" t="str">
        <f>IFERROR(__xludf.DUMMYFUNCTION("""COMPUTED_VALUE"""),"格納済み")</f>
        <v>格納済み</v>
      </c>
      <c r="U3022" s="15" t="str">
        <f>IFERROR(__xludf.DUMMYFUNCTION("""COMPUTED_VALUE"""),"Ⓒ紬りつか/CLLENN")</f>
        <v>Ⓒ紬りつか/CLLENN</v>
      </c>
      <c r="V3022" s="8" t="str">
        <f>IFERROR(__xludf.DUMMYFUNCTION("""COMPUTED_VALUE"""),"「ビショビショじゃん。や～らし」夢の中の私の王子様は、いじわるで激しくて……！
性欲が強すぎることが悩みのOL・澪は、行きつけのレストランの人気シェフ・大和に想いを寄せている。こんなはしたない私なんかに振り向いてくれるはずないよね…と思う日々だったけど、ひょんなことから二人でお酒を飲むことに。酔っ払い、意識が遠のいて…気が付くと目の前に半裸の大和が!? …ああ、これっていつも見てる欲求不満の夢か――でも夢の中の大和は、いつもの優しい印象と違って意地悪でドS。「煽ったのは澪だよ？」ビンカンなところ擦られた"&amp;"ら、夢のはずなのに気持ちいいのが止まらなくて……これって本当にただの夢なの――!?")</f>
        <v>「ビショビショじゃん。や～らし」夢の中の私の王子様は、いじわるで激しくて……！
性欲が強すぎることが悩みのOL・澪は、行きつけのレストランの人気シェフ・大和に想いを寄せている。こんなはしたない私なんかに振り向いてくれるはずないよね…と思う日々だったけど、ひょんなことから二人でお酒を飲むことに。酔っ払い、意識が遠のいて…気が付くと目の前に半裸の大和が!? …ああ、これっていつも見てる欲求不満の夢か――でも夢の中の大和は、いつもの優しい印象と違って意地悪でドS。「煽ったのは澪だよ？」ビンカンなところ擦られたら、夢のはずなのに気持ちいいのが止まらなくて……これって本当にただの夢なの――!?</v>
      </c>
      <c r="W3022" s="14"/>
      <c r="X3022" s="14" t="str">
        <f>IFERROR(__xludf.DUMMYFUNCTION("""COMPUTED_VALUE"""),"有")</f>
        <v>有</v>
      </c>
      <c r="Y3022" s="8" t="str">
        <f>IFERROR(__xludf.DUMMYFUNCTION("""COMPUTED_VALUE"""),"2025/5/16まで1巻立ち読み増量(P23まで)")</f>
        <v>2025/5/16まで1巻立ち読み増量(P23まで)</v>
      </c>
      <c r="Z3022" s="7"/>
      <c r="AA3022" s="7"/>
      <c r="AB3022" s="7"/>
    </row>
    <row r="3023" ht="15.75" customHeight="1">
      <c r="A3023" s="153">
        <f>IFERROR(__xludf.DUMMYFUNCTION("""COMPUTED_VALUE"""),4934.0)</f>
        <v>4934</v>
      </c>
      <c r="B3023" s="152" t="str">
        <f>IFERROR(__xludf.DUMMYFUNCTION("""COMPUTED_VALUE"""),"確定")</f>
        <v>確定</v>
      </c>
      <c r="C3023" s="154">
        <f>IFERROR(__xludf.DUMMYFUNCTION("""COMPUTED_VALUE"""),45687.0)</f>
        <v>45687</v>
      </c>
      <c r="D3023" s="154">
        <f>IFERROR(__xludf.DUMMYFUNCTION("""COMPUTED_VALUE"""),45735.0)</f>
        <v>45735</v>
      </c>
      <c r="E3023" s="158">
        <f>IFERROR(__xludf.DUMMYFUNCTION("""COMPUTED_VALUE"""),319407.0)</f>
        <v>319407</v>
      </c>
      <c r="F3023" s="159" t="str">
        <f>IFERROR(__xludf.DUMMYFUNCTION("""COMPUTED_VALUE"""),"紅のリリィ【マイクロ】")</f>
        <v>紅のリリィ【マイクロ】</v>
      </c>
      <c r="G3023" s="152" t="str">
        <f>IFERROR(__xludf.DUMMYFUNCTION("""COMPUTED_VALUE"""),"1～3")</f>
        <v>1～3</v>
      </c>
      <c r="H3023" s="152" t="str">
        <f>IFERROR(__xludf.DUMMYFUNCTION("""COMPUTED_VALUE"""),"いいじま凛")</f>
        <v>いいじま凛</v>
      </c>
      <c r="I3023" s="161" t="str">
        <f>IFERROR(__xludf.DUMMYFUNCTION("""COMPUTED_VALUE"""),"女性")</f>
        <v>女性</v>
      </c>
      <c r="J3023" s="157"/>
      <c r="K3023" s="157"/>
      <c r="L3023" s="152" t="str">
        <f>IFERROR(__xludf.DUMMYFUNCTION("""COMPUTED_VALUE"""),"小学館")</f>
        <v>小学館</v>
      </c>
      <c r="M3023" s="59">
        <f>IFERROR(__xludf.DUMMYFUNCTION("""COMPUTED_VALUE"""),45757.0)</f>
        <v>45757</v>
      </c>
      <c r="N3023" s="59">
        <f>IFERROR(__xludf.DUMMYFUNCTION("""COMPUTED_VALUE"""),45847.0)</f>
        <v>45847</v>
      </c>
      <c r="O3023" s="152"/>
      <c r="P3023" s="152" t="str">
        <f>IFERROR(__xludf.DUMMYFUNCTION("""COMPUTED_VALUE"""),"否")</f>
        <v>否</v>
      </c>
      <c r="Q3023" s="152" t="str">
        <f>IFERROR(__xludf.DUMMYFUNCTION("""COMPUTED_VALUE"""),"昨年完結しました人気作『脱いで触って愛して』（全18巻）のいいじま凛先生による新連載です。
 前作同様フェチズムに訴求するシーンに加えて、
 サスペンスとしてヒキがある展開もあり、
 広告に映える要素が多くございますので、
 ぜひ広告施策含めた展開をご検討いただけますと幸いです！
 ・先行終了期間：初回配信分は3か月、続話は1か月")</f>
        <v>昨年完結しました人気作『脱いで触って愛して』（全18巻）のいいじま凛先生による新連載です。
 前作同様フェチズムに訴求するシーンに加えて、
 サスペンスとしてヒキがある展開もあり、
 広告に映える要素が多くございますので、
 ぜひ広告施策含めた展開をご検討いただけますと幸いです！
 ・先行終了期間：初回配信分は3か月、続話は1か月</v>
      </c>
      <c r="R3023" s="152" t="str">
        <f>IFERROR(__xludf.DUMMYFUNCTION("""COMPUTED_VALUE"""),"コミットOK")</f>
        <v>コミットOK</v>
      </c>
      <c r="S3023" s="152" t="str">
        <f>IFERROR(__xludf.DUMMYFUNCTION("""COMPUTED_VALUE"""),"20250319_小学館_紅のリリィ")</f>
        <v>20250319_小学館_紅のリリィ</v>
      </c>
      <c r="T3023" s="152" t="str">
        <f>IFERROR(__xludf.DUMMYFUNCTION("""COMPUTED_VALUE"""),"格納済み")</f>
        <v>格納済み</v>
      </c>
      <c r="U3023" s="15" t="str">
        <f>IFERROR(__xludf.DUMMYFUNCTION("""COMPUTED_VALUE"""),"Ⓒいいじま凛 / 小学館")</f>
        <v>Ⓒいいじま凛 / 小学館</v>
      </c>
      <c r="V3023" s="8" t="str">
        <f>IFERROR(__xludf.DUMMYFUNCTION("""COMPUTED_VALUE"""),"ファザコンの紅葉（もみじ）は美人なのに彼氏ができず周りに残念がられている。ある日、暴漢に襲われたところを助けてくれた男は…！？「脱いで触って愛して」の、いいじま凛、新境地スタート！")</f>
        <v>ファザコンの紅葉（もみじ）は美人なのに彼氏ができず周りに残念がられている。ある日、暴漢に襲われたところを助けてくれた男は…！？「脱いで触って愛して」の、いいじま凛、新境地スタート！</v>
      </c>
      <c r="W3023" s="14"/>
      <c r="X3023" s="14" t="str">
        <f>IFERROR(__xludf.DUMMYFUNCTION("""COMPUTED_VALUE"""),"有")</f>
        <v>有</v>
      </c>
      <c r="Y3023" s="8" t="str">
        <f>IFERROR(__xludf.DUMMYFUNCTION("""COMPUTED_VALUE"""),"2025/7/9まで1巻無料")</f>
        <v>2025/7/9まで1巻無料</v>
      </c>
      <c r="Z3023" s="7"/>
      <c r="AA3023" s="7"/>
      <c r="AB3023" s="7"/>
    </row>
    <row r="3024" ht="15.75" customHeight="1">
      <c r="A3024" s="153">
        <f>IFERROR(__xludf.DUMMYFUNCTION("""COMPUTED_VALUE"""),4987.0)</f>
        <v>4987</v>
      </c>
      <c r="B3024" s="152" t="str">
        <f>IFERROR(__xludf.DUMMYFUNCTION("""COMPUTED_VALUE"""),"確定")</f>
        <v>確定</v>
      </c>
      <c r="C3024" s="154">
        <f>IFERROR(__xludf.DUMMYFUNCTION("""COMPUTED_VALUE"""),45694.0)</f>
        <v>45694</v>
      </c>
      <c r="D3024" s="154">
        <f>IFERROR(__xludf.DUMMYFUNCTION("""COMPUTED_VALUE"""),45735.0)</f>
        <v>45735</v>
      </c>
      <c r="E3024" s="158">
        <f>IFERROR(__xludf.DUMMYFUNCTION("""COMPUTED_VALUE"""),319742.0)</f>
        <v>319742</v>
      </c>
      <c r="F3024" s="159" t="str">
        <f>IFERROR(__xludf.DUMMYFUNCTION("""COMPUTED_VALUE"""),"Subでも君に愛されたい")</f>
        <v>Subでも君に愛されたい</v>
      </c>
      <c r="G3024" s="152" t="str">
        <f>IFERROR(__xludf.DUMMYFUNCTION("""COMPUTED_VALUE"""),"1～2")</f>
        <v>1～2</v>
      </c>
      <c r="H3024" s="152" t="str">
        <f>IFERROR(__xludf.DUMMYFUNCTION("""COMPUTED_VALUE"""),"御々")</f>
        <v>御々</v>
      </c>
      <c r="I3024" s="152" t="str">
        <f>IFERROR(__xludf.DUMMYFUNCTION("""COMPUTED_VALUE"""),"BL")</f>
        <v>BL</v>
      </c>
      <c r="J3024" s="157"/>
      <c r="K3024" s="152" t="str">
        <f>IFERROR(__xludf.DUMMYFUNCTION("""COMPUTED_VALUE"""),"MooiComics")</f>
        <v>MooiComics</v>
      </c>
      <c r="L3024" s="152" t="str">
        <f>IFERROR(__xludf.DUMMYFUNCTION("""COMPUTED_VALUE"""),"CLLENN")</f>
        <v>CLLENN</v>
      </c>
      <c r="M3024" s="59">
        <f>IFERROR(__xludf.DUMMYFUNCTION("""COMPUTED_VALUE"""),45762.0)</f>
        <v>45762</v>
      </c>
      <c r="N3024" s="47">
        <f>IFERROR(__xludf.DUMMYFUNCTION("""COMPUTED_VALUE"""),45824.0)</f>
        <v>45824</v>
      </c>
      <c r="O3024" s="152"/>
      <c r="P3024" s="152" t="str">
        <f>IFERROR(__xludf.DUMMYFUNCTION("""COMPUTED_VALUE"""),"可")</f>
        <v>可</v>
      </c>
      <c r="Q3024" s="152" t="str">
        <f>IFERROR(__xludf.DUMMYFUNCTION("""COMPUTED_VALUE"""),"連載先行&lt;BR&gt;・出版社コメント&lt;BR&gt;すでに商業デビュー済みの先生の新作です。鉄板のdomsubがテーマになっております。よろしくお願いいたします。")</f>
        <v>連載先行&lt;BR&gt;・出版社コメント&lt;BR&gt;すでに商業デビュー済みの先生の新作です。鉄板のdomsubがテーマになっております。よろしくお願いいたします。</v>
      </c>
      <c r="R3024" s="152" t="str">
        <f>IFERROR(__xludf.DUMMYFUNCTION("""COMPUTED_VALUE"""),"コミットOK")</f>
        <v>コミットOK</v>
      </c>
      <c r="S3024" s="152" t="str">
        <f>IFERROR(__xludf.DUMMYFUNCTION("""COMPUTED_VALUE"""),"20250318_CLLENN_Subでも君に愛されたい")</f>
        <v>20250318_CLLENN_Subでも君に愛されたい</v>
      </c>
      <c r="T3024" s="152" t="str">
        <f>IFERROR(__xludf.DUMMYFUNCTION("""COMPUTED_VALUE"""),"格納済み")</f>
        <v>格納済み</v>
      </c>
      <c r="U3024" s="15" t="str">
        <f>IFERROR(__xludf.DUMMYFUNCTION("""COMPUTED_VALUE"""),"Ⓒ御々/CLLENN")</f>
        <v>Ⓒ御々/CLLENN</v>
      </c>
      <c r="V3024" s="8" t="str">
        <f>IFERROR(__xludf.DUMMYFUNCTION("""COMPUTED_VALUE"""),"「俺は久しぶりにSubの悦びを思い出した――この見知らぬ年下のDomによって」
眉目秀麗・成績優秀な営業部の美弦（みつる）は、『Subである』というだけで不遇な待遇を受ける日々を送っていた。
表面上では皆平等と謳う社会にうんざりしながらも、パートナーがいない美弦は抑制剤に頼るしかなかった。しかしある日抑制剤の飲み過ぎで倒れてしまう。目を覚ますと、そこには見知らぬ天井が…。助けてくれたのは隣人のDomである美青年・怜王（れお）だった。帰ろうとする美弦だが、怜王の「待って！（Stop！）」という声に反応し"&amp;"てしまい――！？Dom、Sub関係なく対等な存在になりたいふたりのDom/SubユニバースBL！")</f>
        <v>「俺は久しぶりにSubの悦びを思い出した――この見知らぬ年下のDomによって」
眉目秀麗・成績優秀な営業部の美弦（みつる）は、『Subである』というだけで不遇な待遇を受ける日々を送っていた。
表面上では皆平等と謳う社会にうんざりしながらも、パートナーがいない美弦は抑制剤に頼るしかなかった。しかしある日抑制剤の飲み過ぎで倒れてしまう。目を覚ますと、そこには見知らぬ天井が…。助けてくれたのは隣人のDomである美青年・怜王（れお）だった。帰ろうとする美弦だが、怜王の「待って！（Stop！）」という声に反応してしまい――！？Dom、Sub関係なく対等な存在になりたいふたりのDom/SubユニバースBL！</v>
      </c>
      <c r="W3024" s="14"/>
      <c r="X3024" s="14" t="str">
        <f>IFERROR(__xludf.DUMMYFUNCTION("""COMPUTED_VALUE"""),"有")</f>
        <v>有</v>
      </c>
      <c r="Y3024" s="8" t="str">
        <f>IFERROR(__xludf.DUMMYFUNCTION("""COMPUTED_VALUE"""),"2025/4/28まで1巻立ち読み増量(P19まで)")</f>
        <v>2025/4/28まで1巻立ち読み増量(P19まで)</v>
      </c>
      <c r="Z3024" s="7"/>
      <c r="AA3024" s="7"/>
      <c r="AB3024" s="7"/>
    </row>
    <row r="3025" ht="15.75" customHeight="1">
      <c r="A3025" s="153">
        <f>IFERROR(__xludf.DUMMYFUNCTION("""COMPUTED_VALUE"""),5047.0)</f>
        <v>5047</v>
      </c>
      <c r="B3025" s="152" t="str">
        <f>IFERROR(__xludf.DUMMYFUNCTION("""COMPUTED_VALUE"""),"確定")</f>
        <v>確定</v>
      </c>
      <c r="C3025" s="154">
        <f>IFERROR(__xludf.DUMMYFUNCTION("""COMPUTED_VALUE"""),45705.0)</f>
        <v>45705</v>
      </c>
      <c r="D3025" s="154">
        <f>IFERROR(__xludf.DUMMYFUNCTION("""COMPUTED_VALUE"""),45735.0)</f>
        <v>45735</v>
      </c>
      <c r="E3025" s="158">
        <f>IFERROR(__xludf.DUMMYFUNCTION("""COMPUTED_VALUE"""),319784.0)</f>
        <v>319784</v>
      </c>
      <c r="F3025" s="159" t="str">
        <f>IFERROR(__xludf.DUMMYFUNCTION("""COMPUTED_VALUE"""),"天女様がかえらない【単話】")</f>
        <v>天女様がかえらない【単話】</v>
      </c>
      <c r="G3025" s="152" t="str">
        <f>IFERROR(__xludf.DUMMYFUNCTION("""COMPUTED_VALUE"""),"1～3")</f>
        <v>1～3</v>
      </c>
      <c r="H3025" s="152" t="str">
        <f>IFERROR(__xludf.DUMMYFUNCTION("""COMPUTED_VALUE"""),"伊奈子")</f>
        <v>伊奈子</v>
      </c>
      <c r="I3025" s="152" t="str">
        <f>IFERROR(__xludf.DUMMYFUNCTION("""COMPUTED_VALUE"""),"女性")</f>
        <v>女性</v>
      </c>
      <c r="J3025" s="157"/>
      <c r="K3025" s="157"/>
      <c r="L3025" s="152" t="str">
        <f>IFERROR(__xludf.DUMMYFUNCTION("""COMPUTED_VALUE"""),"小学館")</f>
        <v>小学館</v>
      </c>
      <c r="M3025" s="59">
        <f>IFERROR(__xludf.DUMMYFUNCTION("""COMPUTED_VALUE"""),45764.0)</f>
        <v>45764</v>
      </c>
      <c r="N3025" s="59">
        <f>IFERROR(__xludf.DUMMYFUNCTION("""COMPUTED_VALUE"""),45825.0)</f>
        <v>45825</v>
      </c>
      <c r="O3025" s="152"/>
      <c r="P3025" s="152" t="str">
        <f>IFERROR(__xludf.DUMMYFUNCTION("""COMPUTED_VALUE"""),"否")</f>
        <v>否</v>
      </c>
      <c r="Q3025" s="152" t="str">
        <f>IFERROR(__xludf.DUMMYFUNCTION("""COMPUTED_VALUE"""),"（小学館さんより）&lt;BR&gt;ドラマ化もされた不倫マンガ『泥濘の食卓』の伊奈子先生の最新作です。今回もすごい設定で、母親が失踪して父親が精神的に不安定になった三姉妹の家族に、ある日10年ぶりに母親が返ってくるのですが、なんと記憶喪失かつパートナーがいる…というお話です。母親はいわゆる毒親で、子どもに言葉の呪いをかけるシーンもあり、広告利用できるコマもとても多いと思います。何より、面白いです。&lt;BR&gt;6月、もしくは7月に単行本1巻を配信予定です。")</f>
        <v>（小学館さんより）&lt;BR&gt;ドラマ化もされた不倫マンガ『泥濘の食卓』の伊奈子先生の最新作です。今回もすごい設定で、母親が失踪して父親が精神的に不安定になった三姉妹の家族に、ある日10年ぶりに母親が返ってくるのですが、なんと記憶喪失かつパートナーがいる…というお話です。母親はいわゆる毒親で、子どもに言葉の呪いをかけるシーンもあり、広告利用できるコマもとても多いと思います。何より、面白いです。&lt;BR&gt;6月、もしくは7月に単行本1巻を配信予定です。</v>
      </c>
      <c r="R3025" s="152" t="str">
        <f>IFERROR(__xludf.DUMMYFUNCTION("""COMPUTED_VALUE"""),"コミットOK")</f>
        <v>コミットOK</v>
      </c>
      <c r="S3025" s="152" t="str">
        <f>IFERROR(__xludf.DUMMYFUNCTION("""COMPUTED_VALUE"""),"20250318_小学館_天女様がかえらない")</f>
        <v>20250318_小学館_天女様がかえらない</v>
      </c>
      <c r="T3025" s="152" t="str">
        <f>IFERROR(__xludf.DUMMYFUNCTION("""COMPUTED_VALUE"""),"格納済み")</f>
        <v>格納済み</v>
      </c>
      <c r="U3025" s="15" t="str">
        <f>IFERROR(__xludf.DUMMYFUNCTION("""COMPUTED_VALUE"""),"Ⓒ伊奈子 / 小学館")</f>
        <v>Ⓒ伊奈子 / 小学館</v>
      </c>
      <c r="V3025" s="8" t="str">
        <f>IFERROR(__xludf.DUMMYFUNCTION("""COMPUTED_VALUE"""),"母と家に縛られる娘たちへ――『泥濘の食卓』の著者が描く、家族サスペンスドラマ。
円妙照茉莉（えんみょう・てまり）は、地元のレストランの厨房で働きながら、父と姉・妹と4人で暮らしている。独立して店を持つ夢はあるけれど、10年前の母の失踪以来、精神的に不安定な父と、老朽化した家を自分が支えねばと思っている。多額の死亡保険金を遺した母…私たち姉妹を恐怖で支配していた母…。照茉莉がそんな母の呪縛を断ち切ろうと決意したとき、驚くべきことが起きる。――記憶を失くした母が、帰ってきた。")</f>
        <v>母と家に縛られる娘たちへ――『泥濘の食卓』の著者が描く、家族サスペンスドラマ。
円妙照茉莉（えんみょう・てまり）は、地元のレストランの厨房で働きながら、父と姉・妹と4人で暮らしている。独立して店を持つ夢はあるけれど、10年前の母の失踪以来、精神的に不安定な父と、老朽化した家を自分が支えねばと思っている。多額の死亡保険金を遺した母…私たち姉妹を恐怖で支配していた母…。照茉莉がそんな母の呪縛を断ち切ろうと決意したとき、驚くべきことが起きる。――記憶を失くした母が、帰ってきた。</v>
      </c>
      <c r="W3025" s="14"/>
      <c r="X3025" s="14" t="str">
        <f>IFERROR(__xludf.DUMMYFUNCTION("""COMPUTED_VALUE"""),"有")</f>
        <v>有</v>
      </c>
      <c r="Y3025" s="8" t="str">
        <f>IFERROR(__xludf.DUMMYFUNCTION("""COMPUTED_VALUE"""),"P40まで")</f>
        <v>P40まで</v>
      </c>
      <c r="Z3025" s="7"/>
      <c r="AA3025" s="7"/>
      <c r="AB3025" s="7"/>
    </row>
    <row r="3026" ht="15.75" customHeight="1">
      <c r="A3026" s="153">
        <f>IFERROR(__xludf.DUMMYFUNCTION("""COMPUTED_VALUE"""),5080.0)</f>
        <v>5080</v>
      </c>
      <c r="B3026" s="152" t="str">
        <f>IFERROR(__xludf.DUMMYFUNCTION("""COMPUTED_VALUE"""),"確定")</f>
        <v>確定</v>
      </c>
      <c r="C3026" s="154">
        <f>IFERROR(__xludf.DUMMYFUNCTION("""COMPUTED_VALUE"""),45713.0)</f>
        <v>45713</v>
      </c>
      <c r="D3026" s="154">
        <f>IFERROR(__xludf.DUMMYFUNCTION("""COMPUTED_VALUE"""),45733.0)</f>
        <v>45733</v>
      </c>
      <c r="E3026" s="155">
        <f>IFERROR(__xludf.DUMMYFUNCTION("""COMPUTED_VALUE"""),321221.0)</f>
        <v>321221</v>
      </c>
      <c r="F3026" s="156" t="str">
        <f>IFERROR(__xludf.DUMMYFUNCTION("""COMPUTED_VALUE"""),"だから、悪役令息の腰巾着！ ―忌み嫌われた悪役は不器用に僕を囲い込み溺愛する―（分冊版）")</f>
        <v>だから、悪役令息の腰巾着！ ―忌み嫌われた悪役は不器用に僕を囲い込み溺愛する―（分冊版）</v>
      </c>
      <c r="G3026" s="152" t="str">
        <f>IFERROR(__xludf.DUMMYFUNCTION("""COMPUTED_VALUE"""),"1～3")</f>
        <v>1～3</v>
      </c>
      <c r="H3026" s="152" t="str">
        <f>IFERROR(__xludf.DUMMYFUNCTION("""COMPUTED_VALUE"""),"作家名：長月ひより／漫画 モト／原作")</f>
        <v>作家名：長月ひより／漫画 モト／原作</v>
      </c>
      <c r="I3026" s="152" t="str">
        <f>IFERROR(__xludf.DUMMYFUNCTION("""COMPUTED_VALUE"""),"BL")</f>
        <v>BL</v>
      </c>
      <c r="J3026" s="157"/>
      <c r="K3026" s="157"/>
      <c r="L3026" s="152" t="str">
        <f>IFERROR(__xludf.DUMMYFUNCTION("""COMPUTED_VALUE"""),"アルファポリス")</f>
        <v>アルファポリス</v>
      </c>
      <c r="M3026" s="59">
        <f>IFERROR(__xludf.DUMMYFUNCTION("""COMPUTED_VALUE"""),45778.0)</f>
        <v>45778</v>
      </c>
      <c r="N3026" s="59">
        <f>IFERROR(__xludf.DUMMYFUNCTION("""COMPUTED_VALUE"""),45869.0)</f>
        <v>45869</v>
      </c>
      <c r="O3026" s="152"/>
      <c r="P3026" s="152" t="str">
        <f>IFERROR(__xludf.DUMMYFUNCTION("""COMPUTED_VALUE"""),"可")</f>
        <v>可</v>
      </c>
      <c r="Q3026" s="152" t="str">
        <f>IFERROR(__xludf.DUMMYFUNCTION("""COMPUTED_VALUE"""),"アンダルシュ原作あり。自社ストアにてコミカライズを望む声が多い作品")</f>
        <v>アンダルシュ原作あり。自社ストアにてコミカライズを望む声が多い作品</v>
      </c>
      <c r="R3026" s="152" t="str">
        <f>IFERROR(__xludf.DUMMYFUNCTION("""COMPUTED_VALUE"""),"コミットOK")</f>
        <v>コミットOK</v>
      </c>
      <c r="S3026" s="152" t="str">
        <f>IFERROR(__xludf.DUMMYFUNCTION("""COMPUTED_VALUE"""),"20250314_アルファポリス_だから、悪役令息の腰巾着！ ―忌み嫌われた悪役は不器用に僕を囲い込み溺愛する―（分冊版）")</f>
        <v>20250314_アルファポリス_だから、悪役令息の腰巾着！ ―忌み嫌われた悪役は不器用に僕を囲い込み溺愛する―（分冊版）</v>
      </c>
      <c r="T3026" s="152" t="str">
        <f>IFERROR(__xludf.DUMMYFUNCTION("""COMPUTED_VALUE"""),"格納済み")</f>
        <v>格納済み</v>
      </c>
      <c r="U3026" s="15" t="str">
        <f>IFERROR(__xludf.DUMMYFUNCTION("""COMPUTED_VALUE"""),"Ⓒモト・長月ひより／アルファポリス")</f>
        <v>Ⓒモト・長月ひより／アルファポリス</v>
      </c>
      <c r="V3026" s="8" t="str">
        <f>IFERROR(__xludf.DUMMYFUNCTION("""COMPUTED_VALUE"""),"「貴様がおじいさんになっても世話を焼き尽くしてやる」ある日、BL漫画の主人公に転生したと気付いたフラン。フランは“総受けキャラ”ゆえに、このままでは複数のイケメン達にいやらしいことをされてしまう未来で!?　そんな未来を避けるため、フランは皆から忌避される悪役令息・サモンの“腰巾着”になり、総受けフラグを折ろうとする。はじめは邪険にされていたフランだが、孤独なサモンの隣にいるうちにだんだん彼が過保護になってきて――？")</f>
        <v>「貴様がおじいさんになっても世話を焼き尽くしてやる」ある日、BL漫画の主人公に転生したと気付いたフラン。フランは“総受けキャラ”ゆえに、このままでは複数のイケメン達にいやらしいことをされてしまう未来で!?　そんな未来を避けるため、フランは皆から忌避される悪役令息・サモンの“腰巾着”になり、総受けフラグを折ろうとする。はじめは邪険にされていたフランだが、孤独なサモンの隣にいるうちにだんだん彼が過保護になってきて――？</v>
      </c>
      <c r="W3026" s="14"/>
      <c r="X3026" s="14" t="str">
        <f>IFERROR(__xludf.DUMMYFUNCTION("""COMPUTED_VALUE"""),"有")</f>
        <v>有</v>
      </c>
      <c r="Y3026" s="8" t="str">
        <f>IFERROR(__xludf.DUMMYFUNCTION("""COMPUTED_VALUE"""),"P9まで")</f>
        <v>P9まで</v>
      </c>
      <c r="Z3026" s="7"/>
      <c r="AA3026" s="7"/>
      <c r="AB3026" s="7"/>
    </row>
    <row r="3027" ht="15.75" customHeight="1">
      <c r="A3027" s="153">
        <f>IFERROR(__xludf.DUMMYFUNCTION("""COMPUTED_VALUE"""),5085.0)</f>
        <v>5085</v>
      </c>
      <c r="B3027" s="152" t="str">
        <f>IFERROR(__xludf.DUMMYFUNCTION("""COMPUTED_VALUE"""),"確定")</f>
        <v>確定</v>
      </c>
      <c r="C3027" s="154">
        <f>IFERROR(__xludf.DUMMYFUNCTION("""COMPUTED_VALUE"""),45713.0)</f>
        <v>45713</v>
      </c>
      <c r="D3027" s="154">
        <f>IFERROR(__xludf.DUMMYFUNCTION("""COMPUTED_VALUE"""),45733.0)</f>
        <v>45733</v>
      </c>
      <c r="E3027" s="158">
        <f>IFERROR(__xludf.DUMMYFUNCTION("""COMPUTED_VALUE"""),319876.0)</f>
        <v>319876</v>
      </c>
      <c r="F3027" s="159" t="str">
        <f>IFERROR(__xludf.DUMMYFUNCTION("""COMPUTED_VALUE"""),"結局私は愛されてセックスがしたかったんだ")</f>
        <v>結局私は愛されてセックスがしたかったんだ</v>
      </c>
      <c r="G3027" s="152" t="str">
        <f>IFERROR(__xludf.DUMMYFUNCTION("""COMPUTED_VALUE"""),"1～10")</f>
        <v>1～10</v>
      </c>
      <c r="H3027" s="152" t="str">
        <f>IFERROR(__xludf.DUMMYFUNCTION("""COMPUTED_VALUE"""),"いーないん")</f>
        <v>いーないん</v>
      </c>
      <c r="I3027" s="152" t="str">
        <f>IFERROR(__xludf.DUMMYFUNCTION("""COMPUTED_VALUE"""),"TL")</f>
        <v>TL</v>
      </c>
      <c r="J3027" s="157"/>
      <c r="K3027" s="157"/>
      <c r="L3027" s="152" t="str">
        <f>IFERROR(__xludf.DUMMYFUNCTION("""COMPUTED_VALUE"""),"クロスフォリオ出版")</f>
        <v>クロスフォリオ出版</v>
      </c>
      <c r="M3027" s="59">
        <f>IFERROR(__xludf.DUMMYFUNCTION("""COMPUTED_VALUE"""),45765.0)</f>
        <v>45765</v>
      </c>
      <c r="N3027" s="59">
        <f>IFERROR(__xludf.DUMMYFUNCTION("""COMPUTED_VALUE"""),45827.0)</f>
        <v>45827</v>
      </c>
      <c r="O3027" s="152"/>
      <c r="P3027" s="152" t="str">
        <f>IFERROR(__xludf.DUMMYFUNCTION("""COMPUTED_VALUE"""),"可")</f>
        <v>可</v>
      </c>
      <c r="Q3027" s="152" t="str">
        <f>IFERROR(__xludf.DUMMYFUNCTION("""COMPUTED_VALUE"""),"Bookliveとの数社先行")</f>
        <v>Bookliveとの数社先行</v>
      </c>
      <c r="R3027" s="152" t="str">
        <f>IFERROR(__xludf.DUMMYFUNCTION("""COMPUTED_VALUE"""),"コミットOK")</f>
        <v>コミットOK</v>
      </c>
      <c r="S3027" s="152" t="str">
        <f>IFERROR(__xludf.DUMMYFUNCTION("""COMPUTED_VALUE"""),"20250313_Booklive_結局私は愛されてセックスがしたかったんだ【TL版】")</f>
        <v>20250313_Booklive_結局私は愛されてセックスがしたかったんだ【TL版】</v>
      </c>
      <c r="T3027" s="152" t="str">
        <f>IFERROR(__xludf.DUMMYFUNCTION("""COMPUTED_VALUE"""),"格納済み")</f>
        <v>格納済み</v>
      </c>
      <c r="U3027" s="15" t="str">
        <f>IFERROR(__xludf.DUMMYFUNCTION("""COMPUTED_VALUE"""),"Ⓒいーないん/クロスフォリオ出版")</f>
        <v>Ⓒいーないん/クロスフォリオ出版</v>
      </c>
      <c r="V3027" s="8" t="str">
        <f>IFERROR(__xludf.DUMMYFUNCTION("""COMPUTED_VALUE"""),"援助交際で生計をたてていた愛耶にとって、男性とは決して信頼してはいけない存在。
結婚をほのめかし、結局最後は裏切られ失望する…そんな辛い経験を幾度もしてきていた。
このままではいけないと爛れた関係の男達を切っていたさなか、高校の頃の後輩だった松河昂輝と再会した。
温かい鍋を食べながら思い出話に花を咲かせていたのだが、昂輝は学生時代に交わしたある“約束”の事を切り出す。
それは初めて書いた小説を愛耶に読んでもらった時、もっと面白い小説を書けたら結婚してほしいという内容だった。
今の愛耶にと"&amp;"って“結婚”ほど信用のできない言葉は無い。
裏切られるくらいなら初めからセックスはしないと決めていた愛耶は先に昂輝を失望させ振りほどこうと過去の男性経験について語るのだが―――。
愛耶の全てに美しさを見出し、情熱的な愛で包み込む昂輝。
そんな彼の温かさに頑なだった心が溶け、心惹かれていく愛耶…。
これまで通り手段としてしていたはずのセックスが、なぜか今回だけは手段と割り切れない程、気持ち良い…！！
愛すること、愛されること、愛されている事を自覚してはじめて感じるセックスの熱さに気づいてか"&amp;"らの愛耶の心境の移り変わりも丁寧に描く、しっとりと熱の籠ったストーリーをお届けします。
※本作はいーないんの個人誌作品の電子書籍版となります。【34ページ】")</f>
        <v>援助交際で生計をたてていた愛耶にとって、男性とは決して信頼してはいけない存在。
結婚をほのめかし、結局最後は裏切られ失望する…そんな辛い経験を幾度もしてきていた。
このままではいけないと爛れた関係の男達を切っていたさなか、高校の頃の後輩だった松河昂輝と再会した。
温かい鍋を食べながら思い出話に花を咲かせていたのだが、昂輝は学生時代に交わしたある“約束”の事を切り出す。
それは初めて書いた小説を愛耶に読んでもらった時、もっと面白い小説を書けたら結婚してほしいという内容だった。
今の愛耶にとって“結婚”ほど信用のできない言葉は無い。
裏切られるくらいなら初めからセックスはしないと決めていた愛耶は先に昂輝を失望させ振りほどこうと過去の男性経験について語るのだが―――。
愛耶の全てに美しさを見出し、情熱的な愛で包み込む昂輝。
そんな彼の温かさに頑なだった心が溶け、心惹かれていく愛耶…。
これまで通り手段としてしていたはずのセックスが、なぜか今回だけは手段と割り切れない程、気持ち良い…！！
愛すること、愛されること、愛されている事を自覚してはじめて感じるセックスの熱さに気づいてからの愛耶の心境の移り変わりも丁寧に描く、しっとりと熱の籠ったストーリーをお届けします。
※本作はいーないんの個人誌作品の電子書籍版となります。【34ページ】</v>
      </c>
      <c r="W3027" s="14"/>
      <c r="X3027" s="14" t="str">
        <f>IFERROR(__xludf.DUMMYFUNCTION("""COMPUTED_VALUE"""),"有")</f>
        <v>有</v>
      </c>
      <c r="Y3027" s="8" t="str">
        <f>IFERROR(__xludf.DUMMYFUNCTION("""COMPUTED_VALUE"""),"2025/6/19まで1~2巻無料")</f>
        <v>2025/6/19まで1~2巻無料</v>
      </c>
      <c r="Z3027" s="7"/>
      <c r="AA3027" s="7"/>
      <c r="AB3027" s="7"/>
    </row>
    <row r="3028" ht="15.75" customHeight="1">
      <c r="A3028" s="153">
        <f>IFERROR(__xludf.DUMMYFUNCTION("""COMPUTED_VALUE"""),5175.0)</f>
        <v>5175</v>
      </c>
      <c r="B3028" s="152" t="str">
        <f>IFERROR(__xludf.DUMMYFUNCTION("""COMPUTED_VALUE"""),"確定")</f>
        <v>確定</v>
      </c>
      <c r="C3028" s="154">
        <f>IFERROR(__xludf.DUMMYFUNCTION("""COMPUTED_VALUE"""),45720.0)</f>
        <v>45720</v>
      </c>
      <c r="D3028" s="154">
        <f>IFERROR(__xludf.DUMMYFUNCTION("""COMPUTED_VALUE"""),45733.0)</f>
        <v>45733</v>
      </c>
      <c r="E3028" s="155">
        <f>IFERROR(__xludf.DUMMYFUNCTION("""COMPUTED_VALUE"""),321880.0)</f>
        <v>321880</v>
      </c>
      <c r="F3028" s="156" t="str">
        <f>IFERROR(__xludf.DUMMYFUNCTION("""COMPUTED_VALUE"""),"誠に遺憾ですが俺の血をどうぞ、お嬢様。【マイクロ】")</f>
        <v>誠に遺憾ですが俺の血をどうぞ、お嬢様。【マイクロ】</v>
      </c>
      <c r="G3028" s="152" t="str">
        <f>IFERROR(__xludf.DUMMYFUNCTION("""COMPUTED_VALUE"""),"1～4")</f>
        <v>1～4</v>
      </c>
      <c r="H3028" s="152" t="str">
        <f>IFERROR(__xludf.DUMMYFUNCTION("""COMPUTED_VALUE"""),"高宮智")</f>
        <v>高宮智</v>
      </c>
      <c r="I3028" s="152" t="str">
        <f>IFERROR(__xludf.DUMMYFUNCTION("""COMPUTED_VALUE"""),"女性")</f>
        <v>女性</v>
      </c>
      <c r="J3028" s="157"/>
      <c r="K3028" s="157"/>
      <c r="L3028" s="152" t="str">
        <f>IFERROR(__xludf.DUMMYFUNCTION("""COMPUTED_VALUE"""),"小学館")</f>
        <v>小学館</v>
      </c>
      <c r="M3028" s="59">
        <f>IFERROR(__xludf.DUMMYFUNCTION("""COMPUTED_VALUE"""),45782.0)</f>
        <v>45782</v>
      </c>
      <c r="N3028" s="59">
        <f>IFERROR(__xludf.DUMMYFUNCTION("""COMPUTED_VALUE"""),45842.0)</f>
        <v>45842</v>
      </c>
      <c r="O3028" s="152"/>
      <c r="P3028" s="152" t="str">
        <f>IFERROR(__xludf.DUMMYFUNCTION("""COMPUTED_VALUE"""),"否")</f>
        <v>否</v>
      </c>
      <c r="Q3028" s="152" t="str">
        <f>IFERROR(__xludf.DUMMYFUNCTION("""COMPUTED_VALUE"""),"美しく孤独な吸血鬼ヒロイン × すべてを失った男の退廃的ヴァンパイアラブストーリーです。広告映えする官能的なシーンも多くありますので、ご検討よろしくお願いいたします！&lt;BR&gt;・３巻目を分割して、3～4巻目として配信")</f>
        <v>美しく孤独な吸血鬼ヒロイン × すべてを失った男の退廃的ヴァンパイアラブストーリーです。広告映えする官能的なシーンも多くありますので、ご検討よろしくお願いいたします！&lt;BR&gt;・３巻目を分割して、3～4巻目として配信</v>
      </c>
      <c r="R3028" s="152" t="str">
        <f>IFERROR(__xludf.DUMMYFUNCTION("""COMPUTED_VALUE"""),"コミットNG")</f>
        <v>コミットNG</v>
      </c>
      <c r="S3028" s="152" t="str">
        <f>IFERROR(__xludf.DUMMYFUNCTION("""COMPUTED_VALUE"""),"20250304_小学館_誠に遺憾ですが俺の血をどうぞ、お嬢様。")</f>
        <v>20250304_小学館_誠に遺憾ですが俺の血をどうぞ、お嬢様。</v>
      </c>
      <c r="T3028" s="152" t="str">
        <f>IFERROR(__xludf.DUMMYFUNCTION("""COMPUTED_VALUE"""),"格納済み")</f>
        <v>格納済み</v>
      </c>
      <c r="U3028" s="15" t="str">
        <f>IFERROR(__xludf.DUMMYFUNCTION("""COMPUTED_VALUE"""),"Ⓒ高宮智 / 小学館")</f>
        <v>Ⓒ高宮智 / 小学館</v>
      </c>
      <c r="V3028" s="8" t="str">
        <f>IFERROR(__xludf.DUMMYFUNCTION("""COMPUTED_VALUE"""),"他人の借金を背負わされ、内臓でも売られるのかと思ったら、謎の資産家・朝吹家に飼われている女吸血鬼・千景（ちかげ）の世話係にされてしまった識（しき）。美しくも理性の欠落した人外との、奇妙な生活がはじまる…。
美しく孤独な吸血鬼嬢×すべてを失った人間の男。退廃的ヴァンパイアラブ新連載！！")</f>
        <v>他人の借金を背負わされ、内臓でも売られるのかと思ったら、謎の資産家・朝吹家に飼われている女吸血鬼・千景（ちかげ）の世話係にされてしまった識（しき）。美しくも理性の欠落した人外との、奇妙な生活がはじまる…。
美しく孤独な吸血鬼嬢×すべてを失った人間の男。退廃的ヴァンパイアラブ新連載！！</v>
      </c>
      <c r="W3028" s="14"/>
      <c r="X3028" s="14" t="str">
        <f>IFERROR(__xludf.DUMMYFUNCTION("""COMPUTED_VALUE"""),"有")</f>
        <v>有</v>
      </c>
      <c r="Y3028" s="8" t="str">
        <f>IFERROR(__xludf.DUMMYFUNCTION("""COMPUTED_VALUE"""),"2025/7/4まで1巻無料")</f>
        <v>2025/7/4まで1巻無料</v>
      </c>
      <c r="Z3028" s="7"/>
      <c r="AA3028" s="7"/>
      <c r="AB3028" s="7"/>
    </row>
    <row r="3029" ht="15.75" customHeight="1">
      <c r="A3029" s="153">
        <f>IFERROR(__xludf.DUMMYFUNCTION("""COMPUTED_VALUE"""),5183.0)</f>
        <v>5183</v>
      </c>
      <c r="B3029" s="152" t="str">
        <f>IFERROR(__xludf.DUMMYFUNCTION("""COMPUTED_VALUE"""),"確定")</f>
        <v>確定</v>
      </c>
      <c r="C3029" s="154">
        <f>IFERROR(__xludf.DUMMYFUNCTION("""COMPUTED_VALUE"""),45721.0)</f>
        <v>45721</v>
      </c>
      <c r="D3029" s="154">
        <f>IFERROR(__xludf.DUMMYFUNCTION("""COMPUTED_VALUE"""),45733.0)</f>
        <v>45733</v>
      </c>
      <c r="E3029" s="155">
        <f>IFERROR(__xludf.DUMMYFUNCTION("""COMPUTED_VALUE"""),321224.0)</f>
        <v>321224</v>
      </c>
      <c r="F3029" s="156" t="str">
        <f>IFERROR(__xludf.DUMMYFUNCTION("""COMPUTED_VALUE"""),"オリバーの心臓（分冊版）")</f>
        <v>オリバーの心臓（分冊版）</v>
      </c>
      <c r="G3029" s="152" t="str">
        <f>IFERROR(__xludf.DUMMYFUNCTION("""COMPUTED_VALUE"""),"1～3")</f>
        <v>1～3</v>
      </c>
      <c r="H3029" s="152" t="str">
        <f>IFERROR(__xludf.DUMMYFUNCTION("""COMPUTED_VALUE"""),"丸太ザール")</f>
        <v>丸太ザール</v>
      </c>
      <c r="I3029" s="152" t="str">
        <f>IFERROR(__xludf.DUMMYFUNCTION("""COMPUTED_VALUE"""),"BL")</f>
        <v>BL</v>
      </c>
      <c r="J3029" s="157"/>
      <c r="K3029" s="157"/>
      <c r="L3029" s="152" t="str">
        <f>IFERROR(__xludf.DUMMYFUNCTION("""COMPUTED_VALUE"""),"アルファポリス")</f>
        <v>アルファポリス</v>
      </c>
      <c r="M3029" s="59">
        <f>IFERROR(__xludf.DUMMYFUNCTION("""COMPUTED_VALUE"""),45778.0)</f>
        <v>45778</v>
      </c>
      <c r="N3029" s="59">
        <f>IFERROR(__xludf.DUMMYFUNCTION("""COMPUTED_VALUE"""),45869.0)</f>
        <v>45869</v>
      </c>
      <c r="O3029" s="152"/>
      <c r="P3029" s="152" t="str">
        <f>IFERROR(__xludf.DUMMYFUNCTION("""COMPUTED_VALUE"""),"可")</f>
        <v>可</v>
      </c>
      <c r="Q3029" s="152" t="str">
        <f>IFERROR(__xludf.DUMMYFUNCTION("""COMPUTED_VALUE"""),"pixivで投稿され、大人気の小説が待望のコミカライズ")</f>
        <v>pixivで投稿され、大人気の小説が待望のコミカライズ</v>
      </c>
      <c r="R3029" s="152" t="str">
        <f>IFERROR(__xludf.DUMMYFUNCTION("""COMPUTED_VALUE"""),"コミットOK")</f>
        <v>コミットOK</v>
      </c>
      <c r="S3029" s="152" t="str">
        <f>IFERROR(__xludf.DUMMYFUNCTION("""COMPUTED_VALUE"""),"20250314_アルファポリス_オリバーの心臓")</f>
        <v>20250314_アルファポリス_オリバーの心臓</v>
      </c>
      <c r="T3029" s="152" t="str">
        <f>IFERROR(__xludf.DUMMYFUNCTION("""COMPUTED_VALUE"""),"格納済み")</f>
        <v>格納済み</v>
      </c>
      <c r="U3029" s="15" t="str">
        <f>IFERROR(__xludf.DUMMYFUNCTION("""COMPUTED_VALUE"""),"Ⓒ丸田ザール／アルファポリス")</f>
        <v>Ⓒ丸田ザール／アルファポリス</v>
      </c>
      <c r="V3029" s="8" t="str">
        <f>IFERROR(__xludf.DUMMYFUNCTION("""COMPUTED_VALUE"""),"敵国の王を討ち、戦争を終わらせた英雄バンドレン。その最中、青年オリバーに心を奪われてしまう。今まで感じたことのない衝動に駆られたバンドレンはオリバーを連れて帰るが、彼は敵国の王を愛していた青年でーー…初めての執着に溺れる孤独な英雄バンドレンと想い人を殺された青年オリバーの、贖罪と救済の物語。")</f>
        <v>敵国の王を討ち、戦争を終わらせた英雄バンドレン。その最中、青年オリバーに心を奪われてしまう。今まで感じたことのない衝動に駆られたバンドレンはオリバーを連れて帰るが、彼は敵国の王を愛していた青年でーー…初めての執着に溺れる孤独な英雄バンドレンと想い人を殺された青年オリバーの、贖罪と救済の物語。</v>
      </c>
      <c r="W3029" s="14"/>
      <c r="X3029" s="14" t="str">
        <f>IFERROR(__xludf.DUMMYFUNCTION("""COMPUTED_VALUE"""),"有")</f>
        <v>有</v>
      </c>
      <c r="Y3029" s="8" t="str">
        <f>IFERROR(__xludf.DUMMYFUNCTION("""COMPUTED_VALUE"""),"P14まで")</f>
        <v>P14まで</v>
      </c>
      <c r="Z3029" s="7"/>
      <c r="AA3029" s="7"/>
      <c r="AB3029" s="7"/>
    </row>
    <row r="3030" ht="15.75" customHeight="1">
      <c r="A3030" s="153">
        <f>IFERROR(__xludf.DUMMYFUNCTION("""COMPUTED_VALUE"""),5198.0)</f>
        <v>5198</v>
      </c>
      <c r="B3030" s="152" t="str">
        <f>IFERROR(__xludf.DUMMYFUNCTION("""COMPUTED_VALUE"""),"確定")</f>
        <v>確定</v>
      </c>
      <c r="C3030" s="154">
        <f>IFERROR(__xludf.DUMMYFUNCTION("""COMPUTED_VALUE"""),45722.0)</f>
        <v>45722</v>
      </c>
      <c r="D3030" s="154">
        <f>IFERROR(__xludf.DUMMYFUNCTION("""COMPUTED_VALUE"""),45735.0)</f>
        <v>45735</v>
      </c>
      <c r="E3030" s="158">
        <f>IFERROR(__xludf.DUMMYFUNCTION("""COMPUTED_VALUE"""),319962.0)</f>
        <v>319962</v>
      </c>
      <c r="F3030" s="159" t="str">
        <f>IFERROR(__xludf.DUMMYFUNCTION("""COMPUTED_VALUE"""),"歌舞伎町ラブホバトルロイヤル")</f>
        <v>歌舞伎町ラブホバトルロイヤル</v>
      </c>
      <c r="G3030" s="152" t="str">
        <f>IFERROR(__xludf.DUMMYFUNCTION("""COMPUTED_VALUE"""),"1〜3")</f>
        <v>1〜3</v>
      </c>
      <c r="H3030" s="152" t="str">
        <f>IFERROR(__xludf.DUMMYFUNCTION("""COMPUTED_VALUE"""),"結びえるる")</f>
        <v>結びえるる</v>
      </c>
      <c r="I3030" s="152" t="str">
        <f>IFERROR(__xludf.DUMMYFUNCTION("""COMPUTED_VALUE"""),"BL")</f>
        <v>BL</v>
      </c>
      <c r="J3030" s="157"/>
      <c r="K3030" s="157"/>
      <c r="L3030" s="152" t="str">
        <f>IFERROR(__xludf.DUMMYFUNCTION("""COMPUTED_VALUE"""),"ガラン")</f>
        <v>ガラン</v>
      </c>
      <c r="M3030" s="59">
        <f>IFERROR(__xludf.DUMMYFUNCTION("""COMPUTED_VALUE"""),45756.0)</f>
        <v>45756</v>
      </c>
      <c r="N3030" s="198">
        <f>IFERROR(__xludf.DUMMYFUNCTION("""COMPUTED_VALUE"""),45847.0)</f>
        <v>45847</v>
      </c>
      <c r="O3030" s="152"/>
      <c r="P3030" s="190" t="str">
        <f>IFERROR(__xludf.DUMMYFUNCTION("""COMPUTED_VALUE"""),"可")</f>
        <v>可</v>
      </c>
      <c r="Q3030" s="152"/>
      <c r="R3030" s="152" t="str">
        <f>IFERROR(__xludf.DUMMYFUNCTION("""COMPUTED_VALUE"""),"コミットNG")</f>
        <v>コミットNG</v>
      </c>
      <c r="S3030" s="152" t="str">
        <f>IFERROR(__xludf.DUMMYFUNCTION("""COMPUTED_VALUE"""),"20250318_ガラン_歌舞伎町ラブホバトルロイヤル")</f>
        <v>20250318_ガラン_歌舞伎町ラブホバトルロイヤル</v>
      </c>
      <c r="T3030" s="152" t="str">
        <f>IFERROR(__xludf.DUMMYFUNCTION("""COMPUTED_VALUE"""),"格納済み")</f>
        <v>格納済み</v>
      </c>
      <c r="U3030" s="15" t="str">
        <f>IFERROR(__xludf.DUMMYFUNCTION("""COMPUTED_VALUE"""),"Ⓒ結びえるる／Boys Shangri-La")</f>
        <v>Ⓒ結びえるる／Boys Shangri-La</v>
      </c>
      <c r="V3030" s="8" t="str">
        <f>IFERROR(__xludf.DUMMYFUNCTION("""COMPUTED_VALUE"""),"歌舞伎町のライバルホスト２人が、「セックスしないと出られないラブホ」に閉じ込められたら…!?
真樹と瑠珈は歌舞伎町の人気ホスト店でそれぞれNo.1に君臨する２人。彼らの店はライバル関係にあるため日々争いが絶えず、管轄の警察はもちろんヤクザまでお手上げ状態。焦った警察は、真樹と瑠珈が街に出ないよう、セックスしないと出られないラブホに２人を閉じ込めるというとんでもない強硬手段に出る…が、実は元々、真樹も瑠珈も以前からお互い相手とHしてみたい願望があって…!?
最高の据え膳シチュを前にNo.１ホスト２人の意"&amp;"地の張り合いが始まる！")</f>
        <v>歌舞伎町のライバルホスト２人が、「セックスしないと出られないラブホ」に閉じ込められたら…!?
真樹と瑠珈は歌舞伎町の人気ホスト店でそれぞれNo.1に君臨する２人。彼らの店はライバル関係にあるため日々争いが絶えず、管轄の警察はもちろんヤクザまでお手上げ状態。焦った警察は、真樹と瑠珈が街に出ないよう、セックスしないと出られないラブホに２人を閉じ込めるというとんでもない強硬手段に出る…が、実は元々、真樹も瑠珈も以前からお互い相手とHしてみたい願望があって…!?
最高の据え膳シチュを前にNo.１ホスト２人の意地の張り合いが始まる！</v>
      </c>
      <c r="W3030" s="14"/>
      <c r="X3030" s="14" t="str">
        <f>IFERROR(__xludf.DUMMYFUNCTION("""COMPUTED_VALUE"""),"有")</f>
        <v>有</v>
      </c>
      <c r="Y3030" s="8" t="str">
        <f>IFERROR(__xludf.DUMMYFUNCTION("""COMPUTED_VALUE"""),"1巻無料")</f>
        <v>1巻無料</v>
      </c>
      <c r="Z3030" s="7"/>
      <c r="AA3030" s="7"/>
      <c r="AB3030" s="7"/>
    </row>
    <row r="3031" ht="15.75" customHeight="1">
      <c r="A3031" s="153">
        <f>IFERROR(__xludf.DUMMYFUNCTION("""COMPUTED_VALUE"""),5235.0)</f>
        <v>5235</v>
      </c>
      <c r="B3031" s="152" t="str">
        <f>IFERROR(__xludf.DUMMYFUNCTION("""COMPUTED_VALUE"""),"確定")</f>
        <v>確定</v>
      </c>
      <c r="C3031" s="154">
        <f>IFERROR(__xludf.DUMMYFUNCTION("""COMPUTED_VALUE"""),45728.0)</f>
        <v>45728</v>
      </c>
      <c r="D3031" s="154">
        <f>IFERROR(__xludf.DUMMYFUNCTION("""COMPUTED_VALUE"""),45734.0)</f>
        <v>45734</v>
      </c>
      <c r="E3031" s="168">
        <f>IFERROR(__xludf.DUMMYFUNCTION("""COMPUTED_VALUE"""),216923.0)</f>
        <v>216923</v>
      </c>
      <c r="F3031" s="159" t="str">
        <f>IFERROR(__xludf.DUMMYFUNCTION("""COMPUTED_VALUE"""),"絶望に啼け")</f>
        <v>絶望に啼け</v>
      </c>
      <c r="G3031" s="153">
        <f>IFERROR(__xludf.DUMMYFUNCTION("""COMPUTED_VALUE"""),3.0)</f>
        <v>3</v>
      </c>
      <c r="H3031" s="152" t="str">
        <f>IFERROR(__xludf.DUMMYFUNCTION("""COMPUTED_VALUE"""),"紫能了")</f>
        <v>紫能了</v>
      </c>
      <c r="I3031" s="152" t="str">
        <f>IFERROR(__xludf.DUMMYFUNCTION("""COMPUTED_VALUE"""),"BLマンガ")</f>
        <v>BLマンガ</v>
      </c>
      <c r="J3031" s="157"/>
      <c r="K3031" s="152" t="str">
        <f>IFERROR(__xludf.DUMMYFUNCTION("""COMPUTED_VALUE"""),"onBLUE")</f>
        <v>onBLUE</v>
      </c>
      <c r="L3031" s="152" t="str">
        <f>IFERROR(__xludf.DUMMYFUNCTION("""COMPUTED_VALUE"""),"祥伝社")</f>
        <v>祥伝社</v>
      </c>
      <c r="M3031" s="59">
        <f>IFERROR(__xludf.DUMMYFUNCTION("""COMPUTED_VALUE"""),45766.0)</f>
        <v>45766</v>
      </c>
      <c r="N3031" s="199">
        <f>IFERROR(__xludf.DUMMYFUNCTION("""COMPUTED_VALUE"""),2958465.0)</f>
        <v>2958465</v>
      </c>
      <c r="O3031" s="152"/>
      <c r="P3031" s="164" t="str">
        <f>IFERROR(__xludf.DUMMYFUNCTION("""COMPUTED_VALUE"""),"可")</f>
        <v>可</v>
      </c>
      <c r="Q3031" s="166"/>
      <c r="R3031" s="152"/>
      <c r="S3031" s="152" t="str">
        <f>IFERROR(__xludf.DUMMYFUNCTION("""COMPUTED_VALUE"""),"20250312_祥伝社_絶望に啼け")</f>
        <v>20250312_祥伝社_絶望に啼け</v>
      </c>
      <c r="T3031" s="163" t="str">
        <f>IFERROR(__xludf.DUMMYFUNCTION("""COMPUTED_VALUE"""),"格納済み")</f>
        <v>格納済み</v>
      </c>
      <c r="U3031" s="15" t="str">
        <f>IFERROR(__xludf.DUMMYFUNCTION("""COMPUTED_VALUE"""),"Ⓒ紫能了/祥伝社 on BLUE COMICS")</f>
        <v>Ⓒ紫能了/祥伝社 on BLUE COMICS</v>
      </c>
      <c r="V3031" s="8" t="str">
        <f>IFERROR(__xludf.DUMMYFUNCTION("""COMPUTED_VALUE"""),"ある朝、目を覚ますと、恋人が“ぬいぐるみ”になっていた…！
突然ぬいになった赤嶺に驚く内海。
しかし、「まあデートはできなくないか」と即座に受け入れ、まさかの推し活風デートを決行！
ぬい用の服を選び、ポーチに収納し、カフェで撮影大会。
呆れる赤嶺だったが、目を輝かせる内海を見て思う。
「…なんか悪い気しねぇな」
推し活デートを全力で楽しむ内海と、それを見守る赤嶺。
形は変われど、愛は変わらない――!?
『絶望に啼け』本編とは打って変わった、シュール＆キュートな番外編がシーモア限"&amp;"定BOOKで登場！")</f>
        <v>ある朝、目を覚ますと、恋人が“ぬいぐるみ”になっていた…！
突然ぬいになった赤嶺に驚く内海。
しかし、「まあデートはできなくないか」と即座に受け入れ、まさかの推し活風デートを決行！
ぬい用の服を選び、ポーチに収納し、カフェで撮影大会。
呆れる赤嶺だったが、目を輝かせる内海を見て思う。
「…なんか悪い気しねぇな」
推し活デートを全力で楽しむ内海と、それを見守る赤嶺。
形は変われど、愛は変わらない――!?
『絶望に啼け』本編とは打って変わった、シュール＆キュートな番外編がシーモア限定BOOKで登場！</v>
      </c>
      <c r="W3031" s="14"/>
      <c r="X3031" s="14" t="str">
        <f>IFERROR(__xludf.DUMMYFUNCTION("""COMPUTED_VALUE"""),"有")</f>
        <v>有</v>
      </c>
      <c r="Y3031" s="8" t="str">
        <f>IFERROR(__xludf.DUMMYFUNCTION("""COMPUTED_VALUE"""),"P4まで")</f>
        <v>P4まで</v>
      </c>
      <c r="Z3031" s="7"/>
      <c r="AA3031" s="7"/>
      <c r="AB3031" s="7"/>
    </row>
    <row r="3032" ht="15.75" customHeight="1">
      <c r="A3032" s="153">
        <f>IFERROR(__xludf.DUMMYFUNCTION("""COMPUTED_VALUE"""),5251.0)</f>
        <v>5251</v>
      </c>
      <c r="B3032" s="152" t="str">
        <f>IFERROR(__xludf.DUMMYFUNCTION("""COMPUTED_VALUE"""),"確定")</f>
        <v>確定</v>
      </c>
      <c r="C3032" s="154">
        <f>IFERROR(__xludf.DUMMYFUNCTION("""COMPUTED_VALUE"""),45728.0)</f>
        <v>45728</v>
      </c>
      <c r="D3032" s="154">
        <f>IFERROR(__xludf.DUMMYFUNCTION("""COMPUTED_VALUE"""),45734.0)</f>
        <v>45734</v>
      </c>
      <c r="E3032" s="158">
        <f>IFERROR(__xludf.DUMMYFUNCTION("""COMPUTED_VALUE"""),319584.0)</f>
        <v>319584</v>
      </c>
      <c r="F3032" s="159" t="str">
        <f>IFERROR(__xludf.DUMMYFUNCTION("""COMPUTED_VALUE"""),"お嬢様、復讐のお時間です")</f>
        <v>お嬢様、復讐のお時間です</v>
      </c>
      <c r="G3032" s="152" t="str">
        <f>IFERROR(__xludf.DUMMYFUNCTION("""COMPUTED_VALUE"""),"1～3")</f>
        <v>1～3</v>
      </c>
      <c r="H3032" s="152" t="str">
        <f>IFERROR(__xludf.DUMMYFUNCTION("""COMPUTED_VALUE"""),"有咲めいか")</f>
        <v>有咲めいか</v>
      </c>
      <c r="I3032" s="152" t="str">
        <f>IFERROR(__xludf.DUMMYFUNCTION("""COMPUTED_VALUE"""),"青年")</f>
        <v>青年</v>
      </c>
      <c r="J3032" s="157"/>
      <c r="K3032" s="157"/>
      <c r="L3032" s="152" t="str">
        <f>IFERROR(__xludf.DUMMYFUNCTION("""COMPUTED_VALUE"""),"ファンギルド")</f>
        <v>ファンギルド</v>
      </c>
      <c r="M3032" s="59">
        <f>IFERROR(__xludf.DUMMYFUNCTION("""COMPUTED_VALUE"""),45759.0)</f>
        <v>45759</v>
      </c>
      <c r="N3032" s="59">
        <f>IFERROR(__xludf.DUMMYFUNCTION("""COMPUTED_VALUE"""),45821.0)</f>
        <v>45821</v>
      </c>
      <c r="O3032" s="152"/>
      <c r="P3032" s="190" t="str">
        <f>IFERROR(__xludf.DUMMYFUNCTION("""COMPUTED_VALUE"""),"可")</f>
        <v>可</v>
      </c>
      <c r="Q3032" s="190"/>
      <c r="R3032" s="152"/>
      <c r="S3032" s="152" t="str">
        <f>IFERROR(__xludf.DUMMYFUNCTION("""COMPUTED_VALUE"""),"20250312_ファンギルド_お嬢様、復讐のお時間です")</f>
        <v>20250312_ファンギルド_お嬢様、復讐のお時間です</v>
      </c>
      <c r="T3032" s="152" t="str">
        <f>IFERROR(__xludf.DUMMYFUNCTION("""COMPUTED_VALUE"""),"格納済み")</f>
        <v>格納済み</v>
      </c>
      <c r="U3032" s="15" t="str">
        <f>IFERROR(__xludf.DUMMYFUNCTION("""COMPUTED_VALUE"""),"Ⓒ有咲めいか/ファンギルド")</f>
        <v>Ⓒ有咲めいか/ファンギルド</v>
      </c>
      <c r="V3032" s="8" t="str">
        <f>IFERROR(__xludf.DUMMYFUNCTION("""COMPUTED_VALUE"""),"平凡なOL・新見花絵(にいみ・はなえ）は、忙しくも充実した日々を送っていた。しかし、同僚・芦田(あしだ)によってその日常は一変する。打ち上げの夜、酔い潰された花絵は彼に乱暴されて妊娠してしまう。真実を突きつけようとするも暴力を振るわれ、花絵は更に絶望へと落とされる。深い傷を負った花絵の前に現れたのは謎の復讐代行お嬢様。彼女の華麗で緻密でゴージャスな計画により、加害者は私裁判にかけられ、容赦ない罰を受けることになり...？人生を壊され""トラウマ""を抱える被害者は、再び人生を取り戻すことができるのか――！"&amp;"？")</f>
        <v>平凡なOL・新見花絵(にいみ・はなえ）は、忙しくも充実した日々を送っていた。しかし、同僚・芦田(あしだ)によってその日常は一変する。打ち上げの夜、酔い潰された花絵は彼に乱暴されて妊娠してしまう。真実を突きつけようとするも暴力を振るわれ、花絵は更に絶望へと落とされる。深い傷を負った花絵の前に現れたのは謎の復讐代行お嬢様。彼女の華麗で緻密でゴージャスな計画により、加害者は私裁判にかけられ、容赦ない罰を受けることになり...？人生を壊され"トラウマ"を抱える被害者は、再び人生を取り戻すことができるのか――！？</v>
      </c>
      <c r="W3032" s="14"/>
      <c r="X3032" s="14" t="str">
        <f>IFERROR(__xludf.DUMMYFUNCTION("""COMPUTED_VALUE"""),"有")</f>
        <v>有</v>
      </c>
      <c r="Y3032" s="8" t="str">
        <f>IFERROR(__xludf.DUMMYFUNCTION("""COMPUTED_VALUE"""),"2025/6/13まで1巻無料")</f>
        <v>2025/6/13まで1巻無料</v>
      </c>
      <c r="Z3032" s="7"/>
      <c r="AA3032" s="7"/>
      <c r="AB3032" s="7"/>
    </row>
    <row r="3033" ht="15.75" customHeight="1">
      <c r="A3033" s="153">
        <f>IFERROR(__xludf.DUMMYFUNCTION("""COMPUTED_VALUE"""),5252.0)</f>
        <v>5252</v>
      </c>
      <c r="B3033" s="152" t="str">
        <f>IFERROR(__xludf.DUMMYFUNCTION("""COMPUTED_VALUE"""),"確定")</f>
        <v>確定</v>
      </c>
      <c r="C3033" s="154">
        <f>IFERROR(__xludf.DUMMYFUNCTION("""COMPUTED_VALUE"""),45728.0)</f>
        <v>45728</v>
      </c>
      <c r="D3033" s="154">
        <f>IFERROR(__xludf.DUMMYFUNCTION("""COMPUTED_VALUE"""),45734.0)</f>
        <v>45734</v>
      </c>
      <c r="E3033" s="158">
        <f>IFERROR(__xludf.DUMMYFUNCTION("""COMPUTED_VALUE"""),319585.0)</f>
        <v>319585</v>
      </c>
      <c r="F3033" s="159" t="str">
        <f>IFERROR(__xludf.DUMMYFUNCTION("""COMPUTED_VALUE"""),"「勝手にイッたら許さないわよ？」～パワハラ女上司は欲求不満を隠しきれない")</f>
        <v>「勝手にイッたら許さないわよ？」～パワハラ女上司は欲求不満を隠しきれない</v>
      </c>
      <c r="G3033" s="152" t="str">
        <f>IFERROR(__xludf.DUMMYFUNCTION("""COMPUTED_VALUE"""),"1～3")</f>
        <v>1～3</v>
      </c>
      <c r="H3033" s="152" t="str">
        <f>IFERROR(__xludf.DUMMYFUNCTION("""COMPUTED_VALUE"""),"夏生一")</f>
        <v>夏生一</v>
      </c>
      <c r="I3033" s="164" t="str">
        <f>IFERROR(__xludf.DUMMYFUNCTION("""COMPUTED_VALUE"""),"アダルトマンガ")</f>
        <v>アダルトマンガ</v>
      </c>
      <c r="J3033" s="166"/>
      <c r="K3033" s="157"/>
      <c r="L3033" s="152" t="str">
        <f>IFERROR(__xludf.DUMMYFUNCTION("""COMPUTED_VALUE"""),"モバイルメディアリサーチ")</f>
        <v>モバイルメディアリサーチ</v>
      </c>
      <c r="M3033" s="59">
        <f>IFERROR(__xludf.DUMMYFUNCTION("""COMPUTED_VALUE"""),45772.0)</f>
        <v>45772</v>
      </c>
      <c r="N3033" s="59">
        <f>IFERROR(__xludf.DUMMYFUNCTION("""COMPUTED_VALUE"""),45799.0)</f>
        <v>45799</v>
      </c>
      <c r="O3033" s="152"/>
      <c r="P3033" s="190" t="str">
        <f>IFERROR(__xludf.DUMMYFUNCTION("""COMPUTED_VALUE"""),"可")</f>
        <v>可</v>
      </c>
      <c r="Q3033" s="190"/>
      <c r="R3033" s="152"/>
      <c r="S3033" s="152" t="str">
        <f>IFERROR(__xludf.DUMMYFUNCTION("""COMPUTED_VALUE"""),"20250312_ファンギルド_「勝手にイッたら許さないわよ？」～パワハラ女上司は欲求不満を隠しきれない")</f>
        <v>20250312_ファンギルド_「勝手にイッたら許さないわよ？」～パワハラ女上司は欲求不満を隠しきれない</v>
      </c>
      <c r="T3033" s="152" t="str">
        <f>IFERROR(__xludf.DUMMYFUNCTION("""COMPUTED_VALUE"""),"格納済み")</f>
        <v>格納済み</v>
      </c>
      <c r="U3033" s="15" t="str">
        <f>IFERROR(__xludf.DUMMYFUNCTION("""COMPUTED_VALUE"""),"ⒸHajime Natsuki/MMR")</f>
        <v>ⒸHajime Natsuki/MMR</v>
      </c>
      <c r="V3033" s="8" t="str">
        <f>IFERROR(__xludf.DUMMYFUNCTION("""COMPUTED_VALUE"""),"パワハラ女上司だけど処女で巨乳で…欲求不満！？――「どうするつもり？今日までが納期なのよ？」今日も直属の上司・藤堂から叱られる部下の佐藤。いつも通り今日も深夜まで残業した後、進捗の報告をすべく藤堂のいる事務所へと向かう。すると、真っ暗な事務所の中に一つだけ明るい部屋が…。好奇心から部屋を覗くと、そこに居たのは半裸の状態でオ〇ニーをしている藤堂で…！？いつもの厳しい印象からかけ離れた艶姿に夢中になっていると、覗きに気づかれてしまう。バレた佐藤は「藤堂さんって欲求不満なんですか？」と無防備な彼女に迫り、豊満な"&amp;"おっぱいや既に濡れたア○コをぐちょぐちょに愛撫していく。そして、ついに我慢できなくなった佐藤は勃起したチ〇コを上司の濡れた処女穴に挿入していって…！？")</f>
        <v>パワハラ女上司だけど処女で巨乳で…欲求不満！？――「どうするつもり？今日までが納期なのよ？」今日も直属の上司・藤堂から叱られる部下の佐藤。いつも通り今日も深夜まで残業した後、進捗の報告をすべく藤堂のいる事務所へと向かう。すると、真っ暗な事務所の中に一つだけ明るい部屋が…。好奇心から部屋を覗くと、そこに居たのは半裸の状態でオ〇ニーをしている藤堂で…！？いつもの厳しい印象からかけ離れた艶姿に夢中になっていると、覗きに気づかれてしまう。バレた佐藤は「藤堂さんって欲求不満なんですか？」と無防備な彼女に迫り、豊満なおっぱいや既に濡れたア○コをぐちょぐちょに愛撫していく。そして、ついに我慢できなくなった佐藤は勃起したチ〇コを上司の濡れた処女穴に挿入していって…！？</v>
      </c>
      <c r="W3033" s="14"/>
      <c r="X3033" s="14" t="str">
        <f>IFERROR(__xludf.DUMMYFUNCTION("""COMPUTED_VALUE"""),"有")</f>
        <v>有</v>
      </c>
      <c r="Y3033" s="8" t="str">
        <f>IFERROR(__xludf.DUMMYFUNCTION("""COMPUTED_VALUE"""),"2025/5/22まで1巻無料")</f>
        <v>2025/5/22まで1巻無料</v>
      </c>
      <c r="Z3033" s="7"/>
      <c r="AA3033" s="7"/>
      <c r="AB3033" s="7"/>
    </row>
    <row r="3034" ht="15.75" customHeight="1">
      <c r="A3034" s="153">
        <f>IFERROR(__xludf.DUMMYFUNCTION("""COMPUTED_VALUE"""),5253.0)</f>
        <v>5253</v>
      </c>
      <c r="B3034" s="152" t="str">
        <f>IFERROR(__xludf.DUMMYFUNCTION("""COMPUTED_VALUE"""),"確定")</f>
        <v>確定</v>
      </c>
      <c r="C3034" s="154">
        <f>IFERROR(__xludf.DUMMYFUNCTION("""COMPUTED_VALUE"""),45728.0)</f>
        <v>45728</v>
      </c>
      <c r="D3034" s="154">
        <f>IFERROR(__xludf.DUMMYFUNCTION("""COMPUTED_VALUE"""),45734.0)</f>
        <v>45734</v>
      </c>
      <c r="E3034" s="158">
        <f>IFERROR(__xludf.DUMMYFUNCTION("""COMPUTED_VALUE"""),319586.0)</f>
        <v>319586</v>
      </c>
      <c r="F3034" s="159" t="str">
        <f>IFERROR(__xludf.DUMMYFUNCTION("""COMPUTED_VALUE"""),"ギルドを追放された回復術士、実は魔力無限だったので規格外の回復魔法で伝説となる")</f>
        <v>ギルドを追放された回復術士、実は魔力無限だったので規格外の回復魔法で伝説となる</v>
      </c>
      <c r="G3034" s="152" t="str">
        <f>IFERROR(__xludf.DUMMYFUNCTION("""COMPUTED_VALUE"""),"1～5")</f>
        <v>1～5</v>
      </c>
      <c r="H3034" s="152" t="str">
        <f>IFERROR(__xludf.DUMMYFUNCTION("""COMPUTED_VALUE"""),"坂下コウ/霞杏檎")</f>
        <v>坂下コウ/霞杏檎</v>
      </c>
      <c r="I3034" s="152" t="str">
        <f>IFERROR(__xludf.DUMMYFUNCTION("""COMPUTED_VALUE"""),"少年")</f>
        <v>少年</v>
      </c>
      <c r="J3034" s="157"/>
      <c r="K3034" s="152" t="str">
        <f>IFERROR(__xludf.DUMMYFUNCTION("""COMPUTED_VALUE"""),"comicスピラ")</f>
        <v>comicスピラ</v>
      </c>
      <c r="L3034" s="152" t="str">
        <f>IFERROR(__xludf.DUMMYFUNCTION("""COMPUTED_VALUE"""),"ファンギルド")</f>
        <v>ファンギルド</v>
      </c>
      <c r="M3034" s="59">
        <f>IFERROR(__xludf.DUMMYFUNCTION("""COMPUTED_VALUE"""),45769.0)</f>
        <v>45769</v>
      </c>
      <c r="N3034" s="59">
        <f>IFERROR(__xludf.DUMMYFUNCTION("""COMPUTED_VALUE"""),45798.0)</f>
        <v>45798</v>
      </c>
      <c r="O3034" s="152"/>
      <c r="P3034" s="190" t="str">
        <f>IFERROR(__xludf.DUMMYFUNCTION("""COMPUTED_VALUE"""),"可")</f>
        <v>可</v>
      </c>
      <c r="Q3034" s="190"/>
      <c r="R3034" s="152"/>
      <c r="S3034" s="152" t="str">
        <f>IFERROR(__xludf.DUMMYFUNCTION("""COMPUTED_VALUE"""),"20250312_ファンギルド_ギルドを追放された回復術士、実は魔力無限だったので規格外の回復魔法で伝説となる")</f>
        <v>20250312_ファンギルド_ギルドを追放された回復術士、実は魔力無限だったので規格外の回復魔法で伝説となる</v>
      </c>
      <c r="T3034" s="152" t="str">
        <f>IFERROR(__xludf.DUMMYFUNCTION("""COMPUTED_VALUE"""),"格納済み")</f>
        <v>格納済み</v>
      </c>
      <c r="U3034" s="15" t="str">
        <f>IFERROR(__xludf.DUMMYFUNCTION("""COMPUTED_VALUE"""),"Ⓒ坂下コウ/霞杏檎/ファンギルド")</f>
        <v>Ⓒ坂下コウ/霞杏檎/ファンギルド</v>
      </c>
      <c r="V3034" s="8" t="str">
        <f>IFERROR(__xludf.DUMMYFUNCTION("""COMPUTED_VALUE"""),"「どこまで行っても、お前は所詮ただの雑用係なんだよ！」単体回復魔法である治療(ヒール)しか使えないF級冒険者のフールは、ギルドの雑用係として蔑まれ、不遇な日々を送っていた。いつか一人前の回復術士としてクエストに連れて行ってもらうことを夢見ていたが、ギルド長兼S級パーティーのリーダー・ダレンから突如として追放を言い渡されてしまう。途方に暮れていたフールだったが、獣人の少女セシリアとの出会いが彼の運命を大きく変えることに――！？無限の魔力を駆使し、フールは信頼できる仲間と共に一流の回復術士を目指して成り上がる"&amp;"！")</f>
        <v>「どこまで行っても、お前は所詮ただの雑用係なんだよ！」単体回復魔法である治療(ヒール)しか使えないF級冒険者のフールは、ギルドの雑用係として蔑まれ、不遇な日々を送っていた。いつか一人前の回復術士としてクエストに連れて行ってもらうことを夢見ていたが、ギルド長兼S級パーティーのリーダー・ダレンから突如として追放を言い渡されてしまう。途方に暮れていたフールだったが、獣人の少女セシリアとの出会いが彼の運命を大きく変えることに――！？無限の魔力を駆使し、フールは信頼できる仲間と共に一流の回復術士を目指して成り上がる！</v>
      </c>
      <c r="W3034" s="14"/>
      <c r="X3034" s="14" t="str">
        <f>IFERROR(__xludf.DUMMYFUNCTION("""COMPUTED_VALUE"""),"有")</f>
        <v>有</v>
      </c>
      <c r="Y3034" s="8" t="str">
        <f>IFERROR(__xludf.DUMMYFUNCTION("""COMPUTED_VALUE"""),"2025/5/21まで1巻無料")</f>
        <v>2025/5/21まで1巻無料</v>
      </c>
      <c r="Z3034" s="7"/>
      <c r="AA3034" s="7"/>
      <c r="AB3034" s="7"/>
    </row>
    <row r="3035" ht="15.75" customHeight="1">
      <c r="A3035" s="153">
        <f>IFERROR(__xludf.DUMMYFUNCTION("""COMPUTED_VALUE"""),5254.0)</f>
        <v>5254</v>
      </c>
      <c r="B3035" s="152" t="str">
        <f>IFERROR(__xludf.DUMMYFUNCTION("""COMPUTED_VALUE"""),"確定")</f>
        <v>確定</v>
      </c>
      <c r="C3035" s="154">
        <f>IFERROR(__xludf.DUMMYFUNCTION("""COMPUTED_VALUE"""),45728.0)</f>
        <v>45728</v>
      </c>
      <c r="D3035" s="154">
        <f>IFERROR(__xludf.DUMMYFUNCTION("""COMPUTED_VALUE"""),45734.0)</f>
        <v>45734</v>
      </c>
      <c r="E3035" s="158">
        <f>IFERROR(__xludf.DUMMYFUNCTION("""COMPUTED_VALUE"""),319582.0)</f>
        <v>319582</v>
      </c>
      <c r="F3035" s="159" t="str">
        <f>IFERROR(__xludf.DUMMYFUNCTION("""COMPUTED_VALUE"""),"ヤクザとれんげ")</f>
        <v>ヤクザとれんげ</v>
      </c>
      <c r="G3035" s="152" t="str">
        <f>IFERROR(__xludf.DUMMYFUNCTION("""COMPUTED_VALUE"""),"1～2")</f>
        <v>1～2</v>
      </c>
      <c r="H3035" s="152" t="str">
        <f>IFERROR(__xludf.DUMMYFUNCTION("""COMPUTED_VALUE"""),"えるべろす")</f>
        <v>えるべろす</v>
      </c>
      <c r="I3035" s="152" t="str">
        <f>IFERROR(__xludf.DUMMYFUNCTION("""COMPUTED_VALUE"""),"TL")</f>
        <v>TL</v>
      </c>
      <c r="J3035" s="157"/>
      <c r="K3035" s="163" t="str">
        <f>IFERROR(__xludf.DUMMYFUNCTION("""COMPUTED_VALUE"""),"ラブきゅんコミック")</f>
        <v>ラブきゅんコミック</v>
      </c>
      <c r="L3035" s="152" t="str">
        <f>IFERROR(__xludf.DUMMYFUNCTION("""COMPUTED_VALUE"""),"モバイルメディアリサーチ")</f>
        <v>モバイルメディアリサーチ</v>
      </c>
      <c r="M3035" s="59">
        <f>IFERROR(__xludf.DUMMYFUNCTION("""COMPUTED_VALUE"""),45759.0)</f>
        <v>45759</v>
      </c>
      <c r="N3035" s="59">
        <f>IFERROR(__xludf.DUMMYFUNCTION("""COMPUTED_VALUE"""),45786.0)</f>
        <v>45786</v>
      </c>
      <c r="O3035" s="152"/>
      <c r="P3035" s="190" t="str">
        <f>IFERROR(__xludf.DUMMYFUNCTION("""COMPUTED_VALUE"""),"可")</f>
        <v>可</v>
      </c>
      <c r="Q3035" s="190"/>
      <c r="R3035" s="152"/>
      <c r="S3035" s="152" t="str">
        <f>IFERROR(__xludf.DUMMYFUNCTION("""COMPUTED_VALUE"""),"20250312_ファンギルド_ヤクザとれんげ")</f>
        <v>20250312_ファンギルド_ヤクザとれんげ</v>
      </c>
      <c r="T3035" s="152" t="str">
        <f>IFERROR(__xludf.DUMMYFUNCTION("""COMPUTED_VALUE"""),"格納済み")</f>
        <v>格納済み</v>
      </c>
      <c r="U3035" s="15" t="str">
        <f>IFERROR(__xludf.DUMMYFUNCTION("""COMPUTED_VALUE"""),"Ⓒえるべろす/モバイルメディアリサーチ")</f>
        <v>Ⓒえるべろす/モバイルメディアリサーチ</v>
      </c>
      <c r="V3035" s="8" t="str">
        <f>IFERROR(__xludf.DUMMYFUNCTION("""COMPUTED_VALUE"""),"「新しい飼い主は俺だ。俺だけ見てればいい」不思議…いじわるなのに触れる手は優しくて…お腹の奥がギュッてなる――幼い頃からヤクザ組織に囲われて生きてきた“れんげ”。そんな暮らしから救い出してくれたのは、同じくヤクザの京介だった。練習と称してカラダを重ねる二人。れんげにとって京介の愛撫はこれまでのどの男とも違っていて…？泥の中でも美しく咲く、名前のない愛の物語。")</f>
        <v>「新しい飼い主は俺だ。俺だけ見てればいい」不思議…いじわるなのに触れる手は優しくて…お腹の奥がギュッてなる――幼い頃からヤクザ組織に囲われて生きてきた“れんげ”。そんな暮らしから救い出してくれたのは、同じくヤクザの京介だった。練習と称してカラダを重ねる二人。れんげにとって京介の愛撫はこれまでのどの男とも違っていて…？泥の中でも美しく咲く、名前のない愛の物語。</v>
      </c>
      <c r="W3035" s="14"/>
      <c r="X3035" s="14" t="str">
        <f>IFERROR(__xludf.DUMMYFUNCTION("""COMPUTED_VALUE"""),"有")</f>
        <v>有</v>
      </c>
      <c r="Y3035" s="8" t="str">
        <f>IFERROR(__xludf.DUMMYFUNCTION("""COMPUTED_VALUE"""),"2025/4/25まで1巻立ち読み増量（P22まで）")</f>
        <v>2025/4/25まで1巻立ち読み増量（P22まで）</v>
      </c>
      <c r="Z3035" s="7"/>
      <c r="AA3035" s="7"/>
      <c r="AB3035" s="7"/>
    </row>
    <row r="3036" ht="15.75" customHeight="1">
      <c r="A3036" s="153">
        <f>IFERROR(__xludf.DUMMYFUNCTION("""COMPUTED_VALUE"""),5255.0)</f>
        <v>5255</v>
      </c>
      <c r="B3036" s="152" t="str">
        <f>IFERROR(__xludf.DUMMYFUNCTION("""COMPUTED_VALUE"""),"確定")</f>
        <v>確定</v>
      </c>
      <c r="C3036" s="154">
        <f>IFERROR(__xludf.DUMMYFUNCTION("""COMPUTED_VALUE"""),45728.0)</f>
        <v>45728</v>
      </c>
      <c r="D3036" s="154">
        <f>IFERROR(__xludf.DUMMYFUNCTION("""COMPUTED_VALUE"""),45734.0)</f>
        <v>45734</v>
      </c>
      <c r="E3036" s="158">
        <f>IFERROR(__xludf.DUMMYFUNCTION("""COMPUTED_VALUE"""),319581.0)</f>
        <v>319581</v>
      </c>
      <c r="F3036" s="159" t="str">
        <f>IFERROR(__xludf.DUMMYFUNCTION("""COMPUTED_VALUE"""),"独り占めして、甘くいじめて～幼なじみバンドマンの愛はピュアで重め～")</f>
        <v>独り占めして、甘くいじめて～幼なじみバンドマンの愛はピュアで重め～</v>
      </c>
      <c r="G3036" s="152" t="str">
        <f>IFERROR(__xludf.DUMMYFUNCTION("""COMPUTED_VALUE"""),"1～2")</f>
        <v>1～2</v>
      </c>
      <c r="H3036" s="152" t="str">
        <f>IFERROR(__xludf.DUMMYFUNCTION("""COMPUTED_VALUE"""),"トゥ子")</f>
        <v>トゥ子</v>
      </c>
      <c r="I3036" s="152" t="str">
        <f>IFERROR(__xludf.DUMMYFUNCTION("""COMPUTED_VALUE"""),"TL")</f>
        <v>TL</v>
      </c>
      <c r="J3036" s="157"/>
      <c r="K3036" s="163" t="str">
        <f>IFERROR(__xludf.DUMMYFUNCTION("""COMPUTED_VALUE"""),"ラブきゅんコミック")</f>
        <v>ラブきゅんコミック</v>
      </c>
      <c r="L3036" s="152" t="str">
        <f>IFERROR(__xludf.DUMMYFUNCTION("""COMPUTED_VALUE"""),"モバイルメディアリサーチ")</f>
        <v>モバイルメディアリサーチ</v>
      </c>
      <c r="M3036" s="59">
        <f>IFERROR(__xludf.DUMMYFUNCTION("""COMPUTED_VALUE"""),45759.0)</f>
        <v>45759</v>
      </c>
      <c r="N3036" s="59">
        <f>IFERROR(__xludf.DUMMYFUNCTION("""COMPUTED_VALUE"""),45786.0)</f>
        <v>45786</v>
      </c>
      <c r="O3036" s="152"/>
      <c r="P3036" s="190" t="str">
        <f>IFERROR(__xludf.DUMMYFUNCTION("""COMPUTED_VALUE"""),"可")</f>
        <v>可</v>
      </c>
      <c r="Q3036" s="190"/>
      <c r="R3036" s="152"/>
      <c r="S3036" s="152" t="str">
        <f>IFERROR(__xludf.DUMMYFUNCTION("""COMPUTED_VALUE"""),"20250312_ファンギルド_独り占めして、甘くいじめて～幼なじみバンドマンの愛はピュアで重め～")</f>
        <v>20250312_ファンギルド_独り占めして、甘くいじめて～幼なじみバンドマンの愛はピュアで重め～</v>
      </c>
      <c r="T3036" s="152" t="str">
        <f>IFERROR(__xludf.DUMMYFUNCTION("""COMPUTED_VALUE"""),"格納済み")</f>
        <v>格納済み</v>
      </c>
      <c r="U3036" s="15" t="str">
        <f>IFERROR(__xludf.DUMMYFUNCTION("""COMPUTED_VALUE"""),"Ⓒトゥ子/モバイルメディアリサーチ")</f>
        <v>Ⓒトゥ子/モバイルメディアリサーチ</v>
      </c>
      <c r="V3036" s="8" t="str">
        <f>IFERROR(__xludf.DUMMYFUNCTION("""COMPUTED_VALUE"""),"「俺の知らないニコがいるなんて…許さない」弟みたいに思ってた幼なじみに大人のキスをされて全身舌でなぞられて…ダメなのにイクの止まらないっ――恋愛に憧れるも全敗中のニコ。幼なじみの静夜に慰めてもらっている最中、突然「好き」だと告げられる。幼なじみの雄の顔に抵抗できずトロトロにされてしまい、愛の重さをわからされちゃって…？")</f>
        <v>「俺の知らないニコがいるなんて…許さない」弟みたいに思ってた幼なじみに大人のキスをされて全身舌でなぞられて…ダメなのにイクの止まらないっ――恋愛に憧れるも全敗中のニコ。幼なじみの静夜に慰めてもらっている最中、突然「好き」だと告げられる。幼なじみの雄の顔に抵抗できずトロトロにされてしまい、愛の重さをわからされちゃって…？</v>
      </c>
      <c r="W3036" s="14"/>
      <c r="X3036" s="14" t="str">
        <f>IFERROR(__xludf.DUMMYFUNCTION("""COMPUTED_VALUE"""),"有")</f>
        <v>有</v>
      </c>
      <c r="Y3036" s="8" t="str">
        <f>IFERROR(__xludf.DUMMYFUNCTION("""COMPUTED_VALUE"""),"2025/4/25まで1巻立ち読み増量（P19まで）")</f>
        <v>2025/4/25まで1巻立ち読み増量（P19まで）</v>
      </c>
      <c r="Z3036" s="7"/>
      <c r="AA3036" s="7"/>
      <c r="AB3036" s="7"/>
    </row>
    <row r="3037" ht="15.75" customHeight="1">
      <c r="A3037" s="153">
        <f>IFERROR(__xludf.DUMMYFUNCTION("""COMPUTED_VALUE"""),5257.0)</f>
        <v>5257</v>
      </c>
      <c r="B3037" s="152" t="str">
        <f>IFERROR(__xludf.DUMMYFUNCTION("""COMPUTED_VALUE"""),"確定")</f>
        <v>確定</v>
      </c>
      <c r="C3037" s="154">
        <f>IFERROR(__xludf.DUMMYFUNCTION("""COMPUTED_VALUE"""),45729.0)</f>
        <v>45729</v>
      </c>
      <c r="D3037" s="154">
        <f>IFERROR(__xludf.DUMMYFUNCTION("""COMPUTED_VALUE"""),45734.0)</f>
        <v>45734</v>
      </c>
      <c r="E3037" s="158">
        <f>IFERROR(__xludf.DUMMYFUNCTION("""COMPUTED_VALUE"""),318555.0)</f>
        <v>318555</v>
      </c>
      <c r="F3037" s="159" t="str">
        <f>IFERROR(__xludf.DUMMYFUNCTION("""COMPUTED_VALUE"""),"採用の仮面 天才リクルーター馬道透の〝本音が視える〟採用活動【分冊版】")</f>
        <v>採用の仮面 天才リクルーター馬道透の〝本音が視える〟採用活動【分冊版】</v>
      </c>
      <c r="G3037" s="152" t="str">
        <f>IFERROR(__xludf.DUMMYFUNCTION("""COMPUTED_VALUE"""),"1～3")</f>
        <v>1～3</v>
      </c>
      <c r="H3037" s="152" t="str">
        <f>IFERROR(__xludf.DUMMYFUNCTION("""COMPUTED_VALUE"""),"しそまる")</f>
        <v>しそまる</v>
      </c>
      <c r="I3037" s="152" t="str">
        <f>IFERROR(__xludf.DUMMYFUNCTION("""COMPUTED_VALUE"""),"青年")</f>
        <v>青年</v>
      </c>
      <c r="J3037" s="157"/>
      <c r="K3037" s="157"/>
      <c r="L3037" s="152" t="str">
        <f>IFERROR(__xludf.DUMMYFUNCTION("""COMPUTED_VALUE"""),"スクウェア・エニックス")</f>
        <v>スクウェア・エニックス</v>
      </c>
      <c r="M3037" s="59">
        <f>IFERROR(__xludf.DUMMYFUNCTION("""COMPUTED_VALUE"""),45748.0)</f>
        <v>45748</v>
      </c>
      <c r="N3037" s="28">
        <f>IFERROR(__xludf.DUMMYFUNCTION("""COMPUTED_VALUE"""),45838.0)</f>
        <v>45838</v>
      </c>
      <c r="O3037" s="152"/>
      <c r="P3037" s="152" t="str">
        <f>IFERROR(__xludf.DUMMYFUNCTION("""COMPUTED_VALUE"""),"否")</f>
        <v>否</v>
      </c>
      <c r="Q3037" s="152" t="str">
        <f>IFERROR(__xludf.DUMMYFUNCTION("""COMPUTED_VALUE"""),"逆先行提案作品。コミット可、河上さんOKあり")</f>
        <v>逆先行提案作品。コミット可、河上さんOKあり</v>
      </c>
      <c r="R3037" s="152" t="str">
        <f>IFERROR(__xludf.DUMMYFUNCTION("""COMPUTED_VALUE"""),"コミットOK")</f>
        <v>コミットOK</v>
      </c>
      <c r="S3037" s="152" t="str">
        <f>IFERROR(__xludf.DUMMYFUNCTION("""COMPUTED_VALUE"""),"20250313_スクウェア・エニックス_採用の仮面")</f>
        <v>20250313_スクウェア・エニックス_採用の仮面</v>
      </c>
      <c r="T3037" s="152" t="str">
        <f>IFERROR(__xludf.DUMMYFUNCTION("""COMPUTED_VALUE"""),"格納済み")</f>
        <v>格納済み</v>
      </c>
      <c r="U3037" s="15" t="str">
        <f>IFERROR(__xludf.DUMMYFUNCTION("""COMPUTED_VALUE"""),"ⒸShisomaru/SQUARE ENIX")</f>
        <v>ⒸShisomaru/SQUARE ENIX</v>
      </c>
      <c r="V3037" s="8" t="str">
        <f>IFERROR(__xludf.DUMMYFUNCTION("""COMPUTED_VALUE"""),"【採用に関わる全ての人。この者達の言動を見逃すな！】
人事部新卒採用課の馬道透は高学歴の学生を毎年多く採用し、会社から表彰されるエリート社員。しかし、ある出来事で就活生の本音が聞こえてしまい…人生が狂い始める!!「採用の闇と光」「低学歴学生の成り上がり」「面接バトル」「人事部員同士の腹の探り合い」「顔芸」!?学生も社会人も注目せざるを得ない、人間の本音がドバドバ溢れ出る就活ファンタジー。
※この商品は「採用の仮面 天才リクルーター馬道透の〝本音が視える〟採用活動」を1話ごとに分冊したものです。
(C"&amp;")2025 Shisomaru")</f>
        <v>【採用に関わる全ての人。この者達の言動を見逃すな！】
人事部新卒採用課の馬道透は高学歴の学生を毎年多く採用し、会社から表彰されるエリート社員。しかし、ある出来事で就活生の本音が聞こえてしまい…人生が狂い始める!!「採用の闇と光」「低学歴学生の成り上がり」「面接バトル」「人事部員同士の腹の探り合い」「顔芸」!?学生も社会人も注目せざるを得ない、人間の本音がドバドバ溢れ出る就活ファンタジー。
※この商品は「採用の仮面 天才リクルーター馬道透の〝本音が視える〟採用活動」を1話ごとに分冊したものです。
(C)2025 Shisomaru</v>
      </c>
      <c r="W3037" s="14"/>
      <c r="X3037" s="14" t="str">
        <f>IFERROR(__xludf.DUMMYFUNCTION("""COMPUTED_VALUE"""),"有")</f>
        <v>有</v>
      </c>
      <c r="Y3037" s="8" t="str">
        <f>IFERROR(__xludf.DUMMYFUNCTION("""COMPUTED_VALUE"""),"2025/4/30まで1巻無料")</f>
        <v>2025/4/30まで1巻無料</v>
      </c>
      <c r="Z3037" s="7"/>
      <c r="AA3037" s="7"/>
      <c r="AB3037" s="7"/>
    </row>
    <row r="3038" ht="15.75" customHeight="1">
      <c r="A3038" s="153">
        <f>IFERROR(__xludf.DUMMYFUNCTION("""COMPUTED_VALUE"""),5262.0)</f>
        <v>5262</v>
      </c>
      <c r="B3038" s="152" t="str">
        <f>IFERROR(__xludf.DUMMYFUNCTION("""COMPUTED_VALUE"""),"確定")</f>
        <v>確定</v>
      </c>
      <c r="C3038" s="154">
        <f>IFERROR(__xludf.DUMMYFUNCTION("""COMPUTED_VALUE"""),45730.0)</f>
        <v>45730</v>
      </c>
      <c r="D3038" s="154">
        <f>IFERROR(__xludf.DUMMYFUNCTION("""COMPUTED_VALUE"""),45734.0)</f>
        <v>45734</v>
      </c>
      <c r="E3038" s="158">
        <f>IFERROR(__xludf.DUMMYFUNCTION("""COMPUTED_VALUE"""),321000.0)</f>
        <v>321000</v>
      </c>
      <c r="F3038" s="159" t="str">
        <f>IFERROR(__xludf.DUMMYFUNCTION("""COMPUTED_VALUE"""),"結局私は愛されてセックスがしたかったんだ【R版】")</f>
        <v>結局私は愛されてセックスがしたかったんだ【R版】</v>
      </c>
      <c r="G3038" s="152" t="str">
        <f>IFERROR(__xludf.DUMMYFUNCTION("""COMPUTED_VALUE"""),"1～10")</f>
        <v>1～10</v>
      </c>
      <c r="H3038" s="152" t="str">
        <f>IFERROR(__xludf.DUMMYFUNCTION("""COMPUTED_VALUE"""),"いーないん")</f>
        <v>いーないん</v>
      </c>
      <c r="I3038" s="164" t="str">
        <f>IFERROR(__xludf.DUMMYFUNCTION("""COMPUTED_VALUE"""),"アダルトマンガ")</f>
        <v>アダルトマンガ</v>
      </c>
      <c r="J3038" s="166"/>
      <c r="K3038" s="157"/>
      <c r="L3038" s="152" t="str">
        <f>IFERROR(__xludf.DUMMYFUNCTION("""COMPUTED_VALUE"""),"クロスフォリオ出版")</f>
        <v>クロスフォリオ出版</v>
      </c>
      <c r="M3038" s="59">
        <f>IFERROR(__xludf.DUMMYFUNCTION("""COMPUTED_VALUE"""),45765.0)</f>
        <v>45765</v>
      </c>
      <c r="N3038" s="59">
        <f>IFERROR(__xludf.DUMMYFUNCTION("""COMPUTED_VALUE"""),45827.0)</f>
        <v>45827</v>
      </c>
      <c r="O3038" s="152"/>
      <c r="P3038" s="164" t="str">
        <f>IFERROR(__xludf.DUMMYFUNCTION("""COMPUTED_VALUE"""),"可")</f>
        <v>可</v>
      </c>
      <c r="Q3038" s="166"/>
      <c r="R3038" s="152"/>
      <c r="S3038" s="152" t="str">
        <f>IFERROR(__xludf.DUMMYFUNCTION("""COMPUTED_VALUE"""),"20250313_Booklive_結局私は愛されてセックスがしたかったんだ【R版】")</f>
        <v>20250313_Booklive_結局私は愛されてセックスがしたかったんだ【R版】</v>
      </c>
      <c r="T3038" s="152" t="str">
        <f>IFERROR(__xludf.DUMMYFUNCTION("""COMPUTED_VALUE"""),"格納済み")</f>
        <v>格納済み</v>
      </c>
      <c r="U3038" s="15" t="str">
        <f>IFERROR(__xludf.DUMMYFUNCTION("""COMPUTED_VALUE"""),"Ⓒいーないん/クロスフォリオ出版")</f>
        <v>Ⓒいーないん/クロスフォリオ出版</v>
      </c>
      <c r="V3038" s="8" t="str">
        <f>IFERROR(__xludf.DUMMYFUNCTION("""COMPUTED_VALUE"""),"援助交際で生計をたてていた愛耶にとって、男性とは決して信頼してはいけない存在。
結婚をほのめかし、結局最後は裏切られ失望する…そんな辛い経験を幾度もしてきていた。
このままではいけないと爛れた関係の男達を切っていたさなか、高校の頃の後輩だった松河昂輝と再会した。
温かい鍋を食べながら思い出話に花を咲かせていたのだが、昂輝は学生時代に交わしたある“約束”の事を切り出す。
それは初めて書いた小説を愛耶に読んでもらった時、もっと面白い小説を書けたら結婚してほしいという内容だった。
今の愛耶にと"&amp;"って“結婚”ほど信用のできない言葉は無い。
裏切られるくらいなら初めからセックスはしないと決めていた愛耶は先に昂輝を失望させ振りほどこうと過去の男性経験について語るのだが―――。
愛耶の全てに美しさを見出し、情熱的な愛で包み込む昂輝。
そんな彼の温かさに頑なだった心が溶け、心惹かれていく愛耶…。
これまで通り手段としてしていたはずのセックスが、なぜか今回だけは手段と割り切れない程、気持ち良い…！！
愛すること、愛されること、愛されている事を自覚してはじめて感じるセックスの熱さに気づいてか"&amp;"らの愛耶の心境の移り変わりも丁寧に描く、しっとりと熱の籠ったストーリーをお届けします。
※本作はいーないんの個人誌作品の電子書籍版となります。【34ページ】
※本作は『結局私は愛されてセックスがしたかったんだ』の修正をやや弱めたものです。内容に差異はありません。")</f>
        <v>援助交際で生計をたてていた愛耶にとって、男性とは決して信頼してはいけない存在。
結婚をほのめかし、結局最後は裏切られ失望する…そんな辛い経験を幾度もしてきていた。
このままではいけないと爛れた関係の男達を切っていたさなか、高校の頃の後輩だった松河昂輝と再会した。
温かい鍋を食べながら思い出話に花を咲かせていたのだが、昂輝は学生時代に交わしたある“約束”の事を切り出す。
それは初めて書いた小説を愛耶に読んでもらった時、もっと面白い小説を書けたら結婚してほしいという内容だった。
今の愛耶にとって“結婚”ほど信用のできない言葉は無い。
裏切られるくらいなら初めからセックスはしないと決めていた愛耶は先に昂輝を失望させ振りほどこうと過去の男性経験について語るのだが―――。
愛耶の全てに美しさを見出し、情熱的な愛で包み込む昂輝。
そんな彼の温かさに頑なだった心が溶け、心惹かれていく愛耶…。
これまで通り手段としてしていたはずのセックスが、なぜか今回だけは手段と割り切れない程、気持ち良い…！！
愛すること、愛されること、愛されている事を自覚してはじめて感じるセックスの熱さに気づいてからの愛耶の心境の移り変わりも丁寧に描く、しっとりと熱の籠ったストーリーをお届けします。
※本作はいーないんの個人誌作品の電子書籍版となります。【34ページ】
※本作は『結局私は愛されてセックスがしたかったんだ』の修正をやや弱めたものです。内容に差異はありません。</v>
      </c>
      <c r="W3038" s="14"/>
      <c r="X3038" s="14" t="str">
        <f>IFERROR(__xludf.DUMMYFUNCTION("""COMPUTED_VALUE"""),"有")</f>
        <v>有</v>
      </c>
      <c r="Y3038" s="8" t="str">
        <f>IFERROR(__xludf.DUMMYFUNCTION("""COMPUTED_VALUE"""),"2025/6/19まで1~2巻無料")</f>
        <v>2025/6/19まで1~2巻無料</v>
      </c>
      <c r="Z3038" s="7"/>
      <c r="AA3038" s="7"/>
      <c r="AB3038" s="7"/>
    </row>
    <row r="3039" ht="15.75" customHeight="1">
      <c r="A3039" s="153">
        <f>IFERROR(__xludf.DUMMYFUNCTION("""COMPUTED_VALUE"""),5273.0)</f>
        <v>5273</v>
      </c>
      <c r="B3039" s="152" t="str">
        <f>IFERROR(__xludf.DUMMYFUNCTION("""COMPUTED_VALUE"""),"確定")</f>
        <v>確定</v>
      </c>
      <c r="C3039" s="154">
        <f>IFERROR(__xludf.DUMMYFUNCTION("""COMPUTED_VALUE"""),45733.0)</f>
        <v>45733</v>
      </c>
      <c r="D3039" s="154">
        <f>IFERROR(__xludf.DUMMYFUNCTION("""COMPUTED_VALUE"""),45734.0)</f>
        <v>45734</v>
      </c>
      <c r="E3039" s="158">
        <f>IFERROR(__xludf.DUMMYFUNCTION("""COMPUTED_VALUE"""),319443.0)</f>
        <v>319443</v>
      </c>
      <c r="F3039" s="159" t="str">
        <f>IFERROR(__xludf.DUMMYFUNCTION("""COMPUTED_VALUE"""),"クリマッサージ屋さん（分冊版）")</f>
        <v>クリマッサージ屋さん（分冊版）</v>
      </c>
      <c r="G3039" s="152" t="str">
        <f>IFERROR(__xludf.DUMMYFUNCTION("""COMPUTED_VALUE"""),"1～5")</f>
        <v>1～5</v>
      </c>
      <c r="H3039" s="152" t="str">
        <f>IFERROR(__xludf.DUMMYFUNCTION("""COMPUTED_VALUE"""),"七崎")</f>
        <v>七崎</v>
      </c>
      <c r="I3039" s="164" t="str">
        <f>IFERROR(__xludf.DUMMYFUNCTION("""COMPUTED_VALUE"""),"アダルトマンガ")</f>
        <v>アダルトマンガ</v>
      </c>
      <c r="J3039" s="166"/>
      <c r="K3039" s="157"/>
      <c r="L3039" s="152" t="str">
        <f>IFERROR(__xludf.DUMMYFUNCTION("""COMPUTED_VALUE"""),"ライトリーズン")</f>
        <v>ライトリーズン</v>
      </c>
      <c r="M3039" s="59">
        <f>IFERROR(__xludf.DUMMYFUNCTION("""COMPUTED_VALUE"""),45758.0)</f>
        <v>45758</v>
      </c>
      <c r="N3039" s="59">
        <f>IFERROR(__xludf.DUMMYFUNCTION("""COMPUTED_VALUE"""),45848.0)</f>
        <v>45848</v>
      </c>
      <c r="O3039" s="152"/>
      <c r="P3039" s="164" t="str">
        <f>IFERROR(__xludf.DUMMYFUNCTION("""COMPUTED_VALUE"""),"可")</f>
        <v>可</v>
      </c>
      <c r="Q3039" s="166"/>
      <c r="R3039" s="152"/>
      <c r="S3039" s="152" t="str">
        <f>IFERROR(__xludf.DUMMYFUNCTION("""COMPUTED_VALUE"""),"20250317_ライトリーズン_クリマッサージ屋さん（分冊版）")</f>
        <v>20250317_ライトリーズン_クリマッサージ屋さん（分冊版）</v>
      </c>
      <c r="T3039" s="152" t="str">
        <f>IFERROR(__xludf.DUMMYFUNCTION("""COMPUTED_VALUE"""),"格納済み")</f>
        <v>格納済み</v>
      </c>
      <c r="U3039" s="15" t="str">
        <f>IFERROR(__xludf.DUMMYFUNCTION("""COMPUTED_VALUE"""),"Ⓒ七崎/ライトリーズン")</f>
        <v>Ⓒ七崎/ライトリーズン</v>
      </c>
      <c r="V3039" s="8" t="str">
        <f>IFERROR(__xludf.DUMMYFUNCTION("""COMPUTED_VALUE"""),"クリマッサージ屋さんに訪れた女の子達が気持ちよくイっちゃう漫画です。
本番シーンはありません!
2023年にFANBOX&amp;Fantiaにて公開した短編漫画「クリマッサージ屋さん」をまとめた作品です。
")</f>
        <v>クリマッサージ屋さんに訪れた女の子達が気持ちよくイっちゃう漫画です。
本番シーンはありません!
2023年にFANBOX&amp;Fantiaにて公開した短編漫画「クリマッサージ屋さん」をまとめた作品です。
</v>
      </c>
      <c r="W3039" s="14"/>
      <c r="X3039" s="14" t="str">
        <f>IFERROR(__xludf.DUMMYFUNCTION("""COMPUTED_VALUE"""),"有")</f>
        <v>有</v>
      </c>
      <c r="Y3039" s="8" t="str">
        <f>IFERROR(__xludf.DUMMYFUNCTION("""COMPUTED_VALUE"""),"2025/7/10まで1巻無料")</f>
        <v>2025/7/10まで1巻無料</v>
      </c>
      <c r="Z3039" s="7"/>
      <c r="AA3039" s="7"/>
      <c r="AB3039" s="7"/>
    </row>
    <row r="3040" ht="15.75" customHeight="1">
      <c r="A3040" s="153">
        <f>IFERROR(__xludf.DUMMYFUNCTION("""COMPUTED_VALUE"""),5274.0)</f>
        <v>5274</v>
      </c>
      <c r="B3040" s="152" t="str">
        <f>IFERROR(__xludf.DUMMYFUNCTION("""COMPUTED_VALUE"""),"確定")</f>
        <v>確定</v>
      </c>
      <c r="C3040" s="154">
        <f>IFERROR(__xludf.DUMMYFUNCTION("""COMPUTED_VALUE"""),45734.0)</f>
        <v>45734</v>
      </c>
      <c r="D3040" s="154">
        <f>IFERROR(__xludf.DUMMYFUNCTION("""COMPUTED_VALUE"""),45734.0)</f>
        <v>45734</v>
      </c>
      <c r="E3040" s="158">
        <f>IFERROR(__xludf.DUMMYFUNCTION("""COMPUTED_VALUE"""),319826.0)</f>
        <v>319826</v>
      </c>
      <c r="F3040" s="159" t="str">
        <f>IFERROR(__xludf.DUMMYFUNCTION("""COMPUTED_VALUE"""),"そのまなざしは、きっと愛")</f>
        <v>そのまなざしは、きっと愛</v>
      </c>
      <c r="G3040" s="152" t="str">
        <f>IFERROR(__xludf.DUMMYFUNCTION("""COMPUTED_VALUE"""),"1～2")</f>
        <v>1～2</v>
      </c>
      <c r="H3040" s="152" t="str">
        <f>IFERROR(__xludf.DUMMYFUNCTION("""COMPUTED_VALUE"""),"ナゴリユウキ カルチュア・エンタテインメント株式会社")</f>
        <v>ナゴリユウキ カルチュア・エンタテインメント株式会社</v>
      </c>
      <c r="I3040" s="152" t="str">
        <f>IFERROR(__xludf.DUMMYFUNCTION("""COMPUTED_VALUE"""),"BL")</f>
        <v>BL</v>
      </c>
      <c r="J3040" s="157"/>
      <c r="K3040" s="157"/>
      <c r="L3040" s="152" t="str">
        <f>IFERROR(__xludf.DUMMYFUNCTION("""COMPUTED_VALUE"""),"ファンギルド")</f>
        <v>ファンギルド</v>
      </c>
      <c r="M3040" s="59">
        <f>IFERROR(__xludf.DUMMYFUNCTION("""COMPUTED_VALUE"""),45765.0)</f>
        <v>45765</v>
      </c>
      <c r="N3040" s="59">
        <f>IFERROR(__xludf.DUMMYFUNCTION("""COMPUTED_VALUE"""),45806.0)</f>
        <v>45806</v>
      </c>
      <c r="O3040" s="152"/>
      <c r="P3040" s="190" t="str">
        <f>IFERROR(__xludf.DUMMYFUNCTION("""COMPUTED_VALUE"""),"可")</f>
        <v>可</v>
      </c>
      <c r="Q3040" s="190"/>
      <c r="R3040" s="152"/>
      <c r="S3040" s="152" t="str">
        <f>IFERROR(__xludf.DUMMYFUNCTION("""COMPUTED_VALUE"""),"20250318_ファンギルド_そのまなざしは、きっと愛")</f>
        <v>20250318_ファンギルド_そのまなざしは、きっと愛</v>
      </c>
      <c r="T3040" s="152" t="str">
        <f>IFERROR(__xludf.DUMMYFUNCTION("""COMPUTED_VALUE"""),"格納済み")</f>
        <v>格納済み</v>
      </c>
      <c r="U3040" s="15" t="str">
        <f>IFERROR(__xludf.DUMMYFUNCTION("""COMPUTED_VALUE"""),"Ⓒナゴリユウキ/カルチュア・エンタテインメント/ファンギルド")</f>
        <v>Ⓒナゴリユウキ/カルチュア・エンタテインメント/ファンギルド</v>
      </c>
      <c r="V3040" s="8" t="str">
        <f>IFERROR(__xludf.DUMMYFUNCTION("""COMPUTED_VALUE"""),"高校教師の宇佐美翔はある人に会うために、かつての教え子たちが開いた同窓会に参加する。会いたいのに会いたくなかった相手、それは元生徒の鷲田陸久。顔が良くてみんなから好かれる太陽のように眩しい存在の陸久から過去に、「本気で先生と付き合いたいと思ってる」と告白されるが、宇佐美はきちんと向きあえずに逃げたまま彼は卒業してしまった…。避けてしまった理由は生徒と教師だからということともう一つ、二度と大切な存在を作らないと心に決めていてーー。心震える一途な想い、切ない再会ラブ。")</f>
        <v>高校教師の宇佐美翔はある人に会うために、かつての教え子たちが開いた同窓会に参加する。会いたいのに会いたくなかった相手、それは元生徒の鷲田陸久。顔が良くてみんなから好かれる太陽のように眩しい存在の陸久から過去に、「本気で先生と付き合いたいと思ってる」と告白されるが、宇佐美はきちんと向きあえずに逃げたまま彼は卒業してしまった…。避けてしまった理由は生徒と教師だからということともう一つ、二度と大切な存在を作らないと心に決めていてーー。心震える一途な想い、切ない再会ラブ。</v>
      </c>
      <c r="W3040" s="14"/>
      <c r="X3040" s="14" t="str">
        <f>IFERROR(__xludf.DUMMYFUNCTION("""COMPUTED_VALUE"""),"有")</f>
        <v>有</v>
      </c>
      <c r="Y3040" s="8" t="str">
        <f>IFERROR(__xludf.DUMMYFUNCTION("""COMPUTED_VALUE"""),"2025/5/1まで1巻立ち読み増量（P20まで）")</f>
        <v>2025/5/1まで1巻立ち読み増量（P20まで）</v>
      </c>
      <c r="Z3040" s="7"/>
      <c r="AA3040" s="7"/>
      <c r="AB3040" s="7"/>
    </row>
    <row r="3041" ht="15.75" customHeight="1">
      <c r="A3041" s="153">
        <f>IFERROR(__xludf.DUMMYFUNCTION("""COMPUTED_VALUE"""),5275.0)</f>
        <v>5275</v>
      </c>
      <c r="B3041" s="152" t="str">
        <f>IFERROR(__xludf.DUMMYFUNCTION("""COMPUTED_VALUE"""),"確定")</f>
        <v>確定</v>
      </c>
      <c r="C3041" s="154">
        <f>IFERROR(__xludf.DUMMYFUNCTION("""COMPUTED_VALUE"""),45734.0)</f>
        <v>45734</v>
      </c>
      <c r="D3041" s="154">
        <f>IFERROR(__xludf.DUMMYFUNCTION("""COMPUTED_VALUE"""),45734.0)</f>
        <v>45734</v>
      </c>
      <c r="E3041" s="158">
        <f>IFERROR(__xludf.DUMMYFUNCTION("""COMPUTED_VALUE"""),319738.0)</f>
        <v>319738</v>
      </c>
      <c r="F3041" s="159" t="str">
        <f>IFERROR(__xludf.DUMMYFUNCTION("""COMPUTED_VALUE"""),"執着辺境伯の歪んだ愛～捨てられ夫人への一途な妄執～")</f>
        <v>執着辺境伯の歪んだ愛～捨てられ夫人への一途な妄執～</v>
      </c>
      <c r="G3041" s="152" t="str">
        <f>IFERROR(__xludf.DUMMYFUNCTION("""COMPUTED_VALUE"""),"1～3")</f>
        <v>1～3</v>
      </c>
      <c r="H3041" s="152" t="str">
        <f>IFERROR(__xludf.DUMMYFUNCTION("""COMPUTED_VALUE"""),"照坂てら")</f>
        <v>照坂てら</v>
      </c>
      <c r="I3041" s="152" t="str">
        <f>IFERROR(__xludf.DUMMYFUNCTION("""COMPUTED_VALUE"""),"女性マンガ")</f>
        <v>女性マンガ</v>
      </c>
      <c r="J3041" s="157"/>
      <c r="K3041" s="152" t="str">
        <f>IFERROR(__xludf.DUMMYFUNCTION("""COMPUTED_VALUE"""),"シーモア×hachico")</f>
        <v>シーモア×hachico</v>
      </c>
      <c r="L3041" s="152" t="str">
        <f>IFERROR(__xludf.DUMMYFUNCTION("""COMPUTED_VALUE"""),"Bevy")</f>
        <v>Bevy</v>
      </c>
      <c r="M3041" s="59">
        <f>IFERROR(__xludf.DUMMYFUNCTION("""COMPUTED_VALUE"""),45766.0)</f>
        <v>45766</v>
      </c>
      <c r="N3041" s="59">
        <f>IFERROR(__xludf.DUMMYFUNCTION("""COMPUTED_VALUE"""),45857.0)</f>
        <v>45857</v>
      </c>
      <c r="O3041" s="152"/>
      <c r="P3041" s="164" t="str">
        <f>IFERROR(__xludf.DUMMYFUNCTION("""COMPUTED_VALUE"""),"可")</f>
        <v>可</v>
      </c>
      <c r="Q3041" s="166"/>
      <c r="R3041" s="152"/>
      <c r="S3041" s="152" t="str">
        <f>IFERROR(__xludf.DUMMYFUNCTION("""COMPUTED_VALUE"""),"20250317_Bevy_執着辺境伯の歪んだ愛～捨てられ夫人への一途な妄執～")</f>
        <v>20250317_Bevy_執着辺境伯の歪んだ愛～捨てられ夫人への一途な妄執～</v>
      </c>
      <c r="T3041" s="152" t="str">
        <f>IFERROR(__xludf.DUMMYFUNCTION("""COMPUTED_VALUE"""),"格納済み")</f>
        <v>格納済み</v>
      </c>
      <c r="U3041" s="15" t="str">
        <f>IFERROR(__xludf.DUMMYFUNCTION("""COMPUTED_VALUE"""),"Ⓒterusaka tera 2025")</f>
        <v>Ⓒterusaka tera 2025</v>
      </c>
      <c r="V3041" s="8" t="str">
        <f>IFERROR(__xludf.DUMMYFUNCTION("""COMPUTED_VALUE"""),"「もう放さない、ずっと一緒だ」結婚して4年。子を授かれず、身体を壊し、夫からも見放された伯爵夫人のエルナ。冷たくなった夫に耐える日々の中で、唯一の救いは義弟であり辺境伯のテオだけだった。いつも優しい彼と過ごす、穏やかな時間に癒やされていたけれど…。夫の陰謀で命を奪われかけたことで、テオの歪んだ愛が堰を切ったように溢れ出す。「アイツを地獄へ落としてやる」助け出された刹那、重く静かに言い放たれた声に背筋が粟立つ。息が詰まるほどの強い抱擁と冷たい瞳に射抜かれながら、自分を見捨てた夫へ一矢報いるため、テオの手を取"&amp;"るエルナ。それは狂おしいほどに甘い執着愛の始まりだった――。")</f>
        <v>「もう放さない、ずっと一緒だ」結婚して4年。子を授かれず、身体を壊し、夫からも見放された伯爵夫人のエルナ。冷たくなった夫に耐える日々の中で、唯一の救いは義弟であり辺境伯のテオだけだった。いつも優しい彼と過ごす、穏やかな時間に癒やされていたけれど…。夫の陰謀で命を奪われかけたことで、テオの歪んだ愛が堰を切ったように溢れ出す。「アイツを地獄へ落としてやる」助け出された刹那、重く静かに言い放たれた声に背筋が粟立つ。息が詰まるほどの強い抱擁と冷たい瞳に射抜かれながら、自分を見捨てた夫へ一矢報いるため、テオの手を取るエルナ。それは狂おしいほどに甘い執着愛の始まりだった――。</v>
      </c>
      <c r="W3041" s="14"/>
      <c r="X3041" s="14" t="str">
        <f>IFERROR(__xludf.DUMMYFUNCTION("""COMPUTED_VALUE"""),"有")</f>
        <v>有</v>
      </c>
      <c r="Y3041" s="8" t="str">
        <f>IFERROR(__xludf.DUMMYFUNCTION("""COMPUTED_VALUE"""),"2025/7/19まで1巻無料")</f>
        <v>2025/7/19まで1巻無料</v>
      </c>
      <c r="Z3041" s="7"/>
      <c r="AA3041" s="7"/>
      <c r="AB3041" s="7"/>
    </row>
    <row r="3042" ht="15.75" customHeight="1">
      <c r="A3042" s="153">
        <f>IFERROR(__xludf.DUMMYFUNCTION("""COMPUTED_VALUE"""),4629.0)</f>
        <v>4629</v>
      </c>
      <c r="B3042" s="152" t="str">
        <f>IFERROR(__xludf.DUMMYFUNCTION("""COMPUTED_VALUE"""),"確定")</f>
        <v>確定</v>
      </c>
      <c r="C3042" s="154">
        <f>IFERROR(__xludf.DUMMYFUNCTION("""COMPUTED_VALUE"""),45631.0)</f>
        <v>45631</v>
      </c>
      <c r="D3042" s="154">
        <f>IFERROR(__xludf.DUMMYFUNCTION("""COMPUTED_VALUE"""),45742.0)</f>
        <v>45742</v>
      </c>
      <c r="E3042" s="155">
        <f>IFERROR(__xludf.DUMMYFUNCTION("""COMPUTED_VALUE"""),320884.0)</f>
        <v>320884</v>
      </c>
      <c r="F3042" s="156" t="str">
        <f>IFERROR(__xludf.DUMMYFUNCTION("""COMPUTED_VALUE"""),"繰り巫女あやかし夜噺　【連載版】")</f>
        <v>繰り巫女あやかし夜噺　【連載版】</v>
      </c>
      <c r="G3042" s="152" t="str">
        <f>IFERROR(__xludf.DUMMYFUNCTION("""COMPUTED_VALUE"""),"1～4")</f>
        <v>1～4</v>
      </c>
      <c r="H3042" s="152" t="str">
        <f>IFERROR(__xludf.DUMMYFUNCTION("""COMPUTED_VALUE"""),"漫画：提灯あんこ、原作：日向夏")</f>
        <v>漫画：提灯あんこ、原作：日向夏</v>
      </c>
      <c r="I3042" s="152" t="str">
        <f>IFERROR(__xludf.DUMMYFUNCTION("""COMPUTED_VALUE"""),"少女")</f>
        <v>少女</v>
      </c>
      <c r="J3042" s="157"/>
      <c r="K3042" s="157" t="str">
        <f>IFERROR(__xludf.DUMMYFUNCTION("""COMPUTED_VALUE"""),"ZERO-SUMコミックス")</f>
        <v>ZERO-SUMコミックス</v>
      </c>
      <c r="L3042" s="152" t="str">
        <f>IFERROR(__xludf.DUMMYFUNCTION("""COMPUTED_VALUE"""),"一迅社")</f>
        <v>一迅社</v>
      </c>
      <c r="M3042" s="59">
        <f>IFERROR(__xludf.DUMMYFUNCTION("""COMPUTED_VALUE"""),45778.0)</f>
        <v>45778</v>
      </c>
      <c r="N3042" s="59">
        <f>IFERROR(__xludf.DUMMYFUNCTION("""COMPUTED_VALUE"""),45808.0)</f>
        <v>45808</v>
      </c>
      <c r="O3042" s="152"/>
      <c r="P3042" s="190" t="str">
        <f>IFERROR(__xludf.DUMMYFUNCTION("""COMPUTED_VALUE"""),"否")</f>
        <v>否</v>
      </c>
      <c r="Q3042" s="190" t="str">
        <f>IFERROR(__xludf.DUMMYFUNCTION("""COMPUTED_VALUE"""),"・「薬屋のひとりごと」の日向夏先生原作、作画、ネーム構成の質の高い力の入ったタイトルとなります。")</f>
        <v>・「薬屋のひとりごと」の日向夏先生原作、作画、ネーム構成の質の高い力の入ったタイトルとなります。</v>
      </c>
      <c r="R3042" s="152" t="str">
        <f>IFERROR(__xludf.DUMMYFUNCTION("""COMPUTED_VALUE"""),"コミットOK")</f>
        <v>コミットOK</v>
      </c>
      <c r="S3042" s="152" t="str">
        <f>IFERROR(__xludf.DUMMYFUNCTION("""COMPUTED_VALUE"""),"20250326_一迅社_繰り巫女あやかし夜噺")</f>
        <v>20250326_一迅社_繰り巫女あやかし夜噺</v>
      </c>
      <c r="T3042" s="161" t="str">
        <f>IFERROR(__xludf.DUMMYFUNCTION("""COMPUTED_VALUE"""),"格納済み")</f>
        <v>格納済み</v>
      </c>
      <c r="U3042" s="15" t="str">
        <f>IFERROR(__xludf.DUMMYFUNCTION("""COMPUTED_VALUE"""),"Ⓒ提灯あんこ／一迅社／日向夏／マイナビ出版")</f>
        <v>Ⓒ提灯あんこ／一迅社／日向夏／マイナビ出版</v>
      </c>
      <c r="V3042" s="8" t="str">
        <f>IFERROR(__xludf.DUMMYFUNCTION("""COMPUTED_VALUE"""),"―とんとんからん、とんからん。古都の玉繭神社にある機織り小屋で、今日も巫女・絹子は布を織る。田舎の辺鄙な村から出てきた絹子は、社務所に住みながら、大学で非常勤講師として日本文化や機織りを教えている。住処は大家が管理し、シロとクロという若者がいつも美味しい料理を作ってくれ、快適だ。だが、その寮の住人の数も、どんなモノが住まうのかも、絹子は知らない―。ある日、絹子は生徒から「神隠しに遭ったかも」と相談を受けて…。古都を舞台に糸が舞う、あやかし謎解き噺。【本商品は単話コンテンツとなります。単行本版と収録内容が異"&amp;"なる場合がございます。漫画内の告知等は過去のものとなりますので、ご注意ください。】")</f>
        <v>―とんとんからん、とんからん。古都の玉繭神社にある機織り小屋で、今日も巫女・絹子は布を織る。田舎の辺鄙な村から出てきた絹子は、社務所に住みながら、大学で非常勤講師として日本文化や機織りを教えている。住処は大家が管理し、シロとクロという若者がいつも美味しい料理を作ってくれ、快適だ。だが、その寮の住人の数も、どんなモノが住まうのかも、絹子は知らない―。ある日、絹子は生徒から「神隠しに遭ったかも」と相談を受けて…。古都を舞台に糸が舞う、あやかし謎解き噺。【本商品は単話コンテンツとなります。単行本版と収録内容が異なる場合がございます。漫画内の告知等は過去のものとなりますので、ご注意ください。】</v>
      </c>
      <c r="W3042" s="14"/>
      <c r="X3042" s="14" t="str">
        <f>IFERROR(__xludf.DUMMYFUNCTION("""COMPUTED_VALUE"""),"有")</f>
        <v>有</v>
      </c>
      <c r="Y3042" s="8" t="str">
        <f>IFERROR(__xludf.DUMMYFUNCTION("""COMPUTED_VALUE"""),"2025/5/31まで1巻無料")</f>
        <v>2025/5/31まで1巻無料</v>
      </c>
      <c r="Z3042" s="7"/>
      <c r="AA3042" s="7"/>
      <c r="AB3042" s="7"/>
    </row>
    <row r="3043" ht="15.75" customHeight="1">
      <c r="A3043" s="153">
        <f>IFERROR(__xludf.DUMMYFUNCTION("""COMPUTED_VALUE"""),4969.0)</f>
        <v>4969</v>
      </c>
      <c r="B3043" s="152" t="str">
        <f>IFERROR(__xludf.DUMMYFUNCTION("""COMPUTED_VALUE"""),"確定")</f>
        <v>確定</v>
      </c>
      <c r="C3043" s="154">
        <f>IFERROR(__xludf.DUMMYFUNCTION("""COMPUTED_VALUE"""),45693.0)</f>
        <v>45693</v>
      </c>
      <c r="D3043" s="154">
        <f>IFERROR(__xludf.DUMMYFUNCTION("""COMPUTED_VALUE"""),45740.0)</f>
        <v>45740</v>
      </c>
      <c r="E3043" s="158">
        <f>IFERROR(__xludf.DUMMYFUNCTION("""COMPUTED_VALUE"""),320016.0)</f>
        <v>320016</v>
      </c>
      <c r="F3043" s="159" t="str">
        <f>IFERROR(__xludf.DUMMYFUNCTION("""COMPUTED_VALUE"""),"おもしれー男 光定さんは幼なじみを自称してくる《Lovelicot》")</f>
        <v>おもしれー男 光定さんは幼なじみを自称してくる《Lovelicot》</v>
      </c>
      <c r="G3043" s="152" t="str">
        <f>IFERROR(__xludf.DUMMYFUNCTION("""COMPUTED_VALUE"""),"1～2")</f>
        <v>1～2</v>
      </c>
      <c r="H3043" s="152" t="str">
        <f>IFERROR(__xludf.DUMMYFUNCTION("""COMPUTED_VALUE"""),"ラカ┴睦月ある")</f>
        <v>ラカ┴睦月ある</v>
      </c>
      <c r="I3043" s="152" t="str">
        <f>IFERROR(__xludf.DUMMYFUNCTION("""COMPUTED_VALUE"""),"TL")</f>
        <v>TL</v>
      </c>
      <c r="J3043" s="157"/>
      <c r="K3043" s="157" t="str">
        <f>IFERROR(__xludf.DUMMYFUNCTION("""COMPUTED_VALUE"""),"Lovelicot")</f>
        <v>Lovelicot</v>
      </c>
      <c r="L3043" s="152" t="str">
        <f>IFERROR(__xludf.DUMMYFUNCTION("""COMPUTED_VALUE"""),"ガールスカウトコミックス")</f>
        <v>ガールスカウトコミックス</v>
      </c>
      <c r="M3043" s="59">
        <f>IFERROR(__xludf.DUMMYFUNCTION("""COMPUTED_VALUE"""),45768.0)</f>
        <v>45768</v>
      </c>
      <c r="N3043" s="23">
        <f>IFERROR(__xludf.DUMMYFUNCTION("""COMPUTED_VALUE"""),45858.0)</f>
        <v>45858</v>
      </c>
      <c r="O3043" s="152"/>
      <c r="P3043" s="190" t="str">
        <f>IFERROR(__xludf.DUMMYFUNCTION("""COMPUTED_VALUE"""),"可")</f>
        <v>可</v>
      </c>
      <c r="Q3043" s="190"/>
      <c r="R3043" s="152" t="str">
        <f>IFERROR(__xludf.DUMMYFUNCTION("""COMPUTED_VALUE"""),"コミットOK")</f>
        <v>コミットOK</v>
      </c>
      <c r="S3043" s="152" t="str">
        <f>IFERROR(__xludf.DUMMYFUNCTION("""COMPUTED_VALUE"""),"20250324_ガールスカウトコミックス_おもしれー男 光定さんは幼なじみを自称してくる《Lovelicot》")</f>
        <v>20250324_ガールスカウトコミックス_おもしれー男 光定さんは幼なじみを自称してくる《Lovelicot》</v>
      </c>
      <c r="T3043" s="152" t="str">
        <f>IFERROR(__xludf.DUMMYFUNCTION("""COMPUTED_VALUE"""),"格納済み")</f>
        <v>格納済み</v>
      </c>
      <c r="U3043" s="15" t="str">
        <f>IFERROR(__xludf.DUMMYFUNCTION("""COMPUTED_VALUE"""),"Ⓒラカ┴睦月ある／ガールスカウトコミックス")</f>
        <v>Ⓒラカ┴睦月ある／ガールスカウトコミックス</v>
      </c>
      <c r="V3043" s="8" t="str">
        <f>IFERROR(__xludf.DUMMYFUNCTION("""COMPUTED_VALUE"""),"いつも名前を間違えられてしまう佐藤美鈴(さとう みれい)は
1年間片思いをしていた光定藍(みつさだ らん)に幼稚園から幼なじみだと告げられる。
しかし、美鈴は藍の事を覚えていない！
周りに流され、二人きりー
藍の昔話は覚えのあるものばかりだし、名前を間違われずに呼ばれる事が嬉しい
きっと、私が覚えていないだけ……
翌朝、彼からあるものを渡されるがそれも記憶がない…
彼はもしかして激ヤバストーカー!？一体誰なのー!？")</f>
        <v>いつも名前を間違えられてしまう佐藤美鈴(さとう みれい)は
1年間片思いをしていた光定藍(みつさだ らん)に幼稚園から幼なじみだと告げられる。
しかし、美鈴は藍の事を覚えていない！
周りに流され、二人きりー
藍の昔話は覚えのあるものばかりだし、名前を間違われずに呼ばれる事が嬉しい
きっと、私が覚えていないだけ……
翌朝、彼からあるものを渡されるがそれも記憶がない…
彼はもしかして激ヤバストーカー!？一体誰なのー!？</v>
      </c>
      <c r="W3043" s="14"/>
      <c r="X3043" s="14" t="str">
        <f>IFERROR(__xludf.DUMMYFUNCTION("""COMPUTED_VALUE"""),"有")</f>
        <v>有</v>
      </c>
      <c r="Y3043" s="8" t="str">
        <f>IFERROR(__xludf.DUMMYFUNCTION("""COMPUTED_VALUE"""),"2025/5/4まで1巻立ち読み増量(P20まで)")</f>
        <v>2025/5/4まで1巻立ち読み増量(P20まで)</v>
      </c>
      <c r="Z3043" s="7"/>
      <c r="AA3043" s="7"/>
      <c r="AB3043" s="7"/>
    </row>
    <row r="3044" ht="15.75" customHeight="1">
      <c r="A3044" s="153">
        <f>IFERROR(__xludf.DUMMYFUNCTION("""COMPUTED_VALUE"""),4991.0)</f>
        <v>4991</v>
      </c>
      <c r="B3044" s="152" t="str">
        <f>IFERROR(__xludf.DUMMYFUNCTION("""COMPUTED_VALUE"""),"確定")</f>
        <v>確定</v>
      </c>
      <c r="C3044" s="154">
        <f>IFERROR(__xludf.DUMMYFUNCTION("""COMPUTED_VALUE"""),45695.0)</f>
        <v>45695</v>
      </c>
      <c r="D3044" s="154">
        <f>IFERROR(__xludf.DUMMYFUNCTION("""COMPUTED_VALUE"""),45741.0)</f>
        <v>45741</v>
      </c>
      <c r="E3044" s="155">
        <f>IFERROR(__xludf.DUMMYFUNCTION("""COMPUTED_VALUE"""),321020.0)</f>
        <v>321020</v>
      </c>
      <c r="F3044" s="156" t="str">
        <f>IFERROR(__xludf.DUMMYFUNCTION("""COMPUTED_VALUE"""),"彼女の家でひとりでシテたら乳首開発されました")</f>
        <v>彼女の家でひとりでシテたら乳首開発されました</v>
      </c>
      <c r="G3044" s="152">
        <f>IFERROR(__xludf.DUMMYFUNCTION("""COMPUTED_VALUE"""),1.0)</f>
        <v>1</v>
      </c>
      <c r="H3044" s="152" t="str">
        <f>IFERROR(__xludf.DUMMYFUNCTION("""COMPUTED_VALUE"""),"こみちはな")</f>
        <v>こみちはな</v>
      </c>
      <c r="I3044" s="152" t="str">
        <f>IFERROR(__xludf.DUMMYFUNCTION("""COMPUTED_VALUE"""),"TL")</f>
        <v>TL</v>
      </c>
      <c r="J3044" s="157"/>
      <c r="K3044" s="157" t="str">
        <f>IFERROR(__xludf.DUMMYFUNCTION("""COMPUTED_VALUE"""),"LOVEBITES")</f>
        <v>LOVEBITES</v>
      </c>
      <c r="L3044" s="152" t="str">
        <f>IFERROR(__xludf.DUMMYFUNCTION("""COMPUTED_VALUE"""),"一迅社")</f>
        <v>一迅社</v>
      </c>
      <c r="M3044" s="59">
        <f>IFERROR(__xludf.DUMMYFUNCTION("""COMPUTED_VALUE"""),45778.0)</f>
        <v>45778</v>
      </c>
      <c r="N3044" s="59">
        <f>IFERROR(__xludf.DUMMYFUNCTION("""COMPUTED_VALUE"""),45808.0)</f>
        <v>45808</v>
      </c>
      <c r="O3044" s="152"/>
      <c r="P3044" s="190" t="str">
        <f>IFERROR(__xludf.DUMMYFUNCTION("""COMPUTED_VALUE"""),"可")</f>
        <v>可</v>
      </c>
      <c r="Q3044" s="190" t="str">
        <f>IFERROR(__xludf.DUMMYFUNCTION("""COMPUTED_VALUE"""),"いつから抱く側だと思ってたの？～可愛いカレをめちゃくちゃにシたい！女攻めアンソロジー～：3 掲載作の単話")</f>
        <v>いつから抱く側だと思ってたの？～可愛いカレをめちゃくちゃにシたい！女攻めアンソロジー～：3 掲載作の単話</v>
      </c>
      <c r="R3044" s="152"/>
      <c r="S3044" s="152" t="str">
        <f>IFERROR(__xludf.DUMMYFUNCTION("""COMPUTED_VALUE"""),"20250325_一迅社_彼女の家でひとりでシテたら乳首開発されました")</f>
        <v>20250325_一迅社_彼女の家でひとりでシテたら乳首開発されました</v>
      </c>
      <c r="T3044" s="152" t="str">
        <f>IFERROR(__xludf.DUMMYFUNCTION("""COMPUTED_VALUE"""),"格納済み")</f>
        <v>格納済み</v>
      </c>
      <c r="U3044" s="15" t="str">
        <f>IFERROR(__xludf.DUMMYFUNCTION("""COMPUTED_VALUE"""),"Ⓒこみちはな／一迅社")</f>
        <v>Ⓒこみちはな／一迅社</v>
      </c>
      <c r="V3044" s="8" t="str">
        <f>IFERROR(__xludf.DUMMYFUNCTION("""COMPUTED_VALUE"""),"彼女の家でひとりでシテる悪い子だ～れだ。※この作品は『いつから抱く側だと思ってたの？～可愛いカレをめちゃくちゃにシたい！女攻めアンソロジー～③』収録作品と同一の内容を単話版として再編集したものとなります。")</f>
        <v>彼女の家でひとりでシテる悪い子だ～れだ。※この作品は『いつから抱く側だと思ってたの？～可愛いカレをめちゃくちゃにシたい！女攻めアンソロジー～③』収録作品と同一の内容を単話版として再編集したものとなります。</v>
      </c>
      <c r="W3044" s="14"/>
      <c r="X3044" s="14" t="str">
        <f>IFERROR(__xludf.DUMMYFUNCTION("""COMPUTED_VALUE"""),"有")</f>
        <v>有</v>
      </c>
      <c r="Y3044" s="8" t="str">
        <f>IFERROR(__xludf.DUMMYFUNCTION("""COMPUTED_VALUE"""),"P5まで")</f>
        <v>P5まで</v>
      </c>
      <c r="Z3044" s="7"/>
      <c r="AA3044" s="7"/>
      <c r="AB3044" s="7"/>
    </row>
    <row r="3045" ht="15.75" customHeight="1">
      <c r="A3045" s="153">
        <f>IFERROR(__xludf.DUMMYFUNCTION("""COMPUTED_VALUE"""),4992.0)</f>
        <v>4992</v>
      </c>
      <c r="B3045" s="152" t="str">
        <f>IFERROR(__xludf.DUMMYFUNCTION("""COMPUTED_VALUE"""),"確定")</f>
        <v>確定</v>
      </c>
      <c r="C3045" s="154">
        <f>IFERROR(__xludf.DUMMYFUNCTION("""COMPUTED_VALUE"""),45695.0)</f>
        <v>45695</v>
      </c>
      <c r="D3045" s="154">
        <f>IFERROR(__xludf.DUMMYFUNCTION("""COMPUTED_VALUE"""),45742.0)</f>
        <v>45742</v>
      </c>
      <c r="E3045" s="155">
        <f>IFERROR(__xludf.DUMMYFUNCTION("""COMPUTED_VALUE"""),321021.0)</f>
        <v>321021</v>
      </c>
      <c r="F3045" s="156" t="str">
        <f>IFERROR(__xludf.DUMMYFUNCTION("""COMPUTED_VALUE"""),"ハイスペセフレくんはもう""普通""に戻れない")</f>
        <v>ハイスペセフレくんはもう"普通"に戻れない</v>
      </c>
      <c r="G3045" s="152">
        <f>IFERROR(__xludf.DUMMYFUNCTION("""COMPUTED_VALUE"""),1.0)</f>
        <v>1</v>
      </c>
      <c r="H3045" s="152" t="str">
        <f>IFERROR(__xludf.DUMMYFUNCTION("""COMPUTED_VALUE"""),"やわらか博士")</f>
        <v>やわらか博士</v>
      </c>
      <c r="I3045" s="152" t="str">
        <f>IFERROR(__xludf.DUMMYFUNCTION("""COMPUTED_VALUE"""),"TL")</f>
        <v>TL</v>
      </c>
      <c r="J3045" s="157"/>
      <c r="K3045" s="157" t="str">
        <f>IFERROR(__xludf.DUMMYFUNCTION("""COMPUTED_VALUE"""),"LOVEBITES")</f>
        <v>LOVEBITES</v>
      </c>
      <c r="L3045" s="152" t="str">
        <f>IFERROR(__xludf.DUMMYFUNCTION("""COMPUTED_VALUE"""),"一迅社")</f>
        <v>一迅社</v>
      </c>
      <c r="M3045" s="59">
        <f>IFERROR(__xludf.DUMMYFUNCTION("""COMPUTED_VALUE"""),45778.0)</f>
        <v>45778</v>
      </c>
      <c r="N3045" s="59">
        <f>IFERROR(__xludf.DUMMYFUNCTION("""COMPUTED_VALUE"""),45808.0)</f>
        <v>45808</v>
      </c>
      <c r="O3045" s="152"/>
      <c r="P3045" s="190" t="str">
        <f>IFERROR(__xludf.DUMMYFUNCTION("""COMPUTED_VALUE"""),"可")</f>
        <v>可</v>
      </c>
      <c r="Q3045" s="190" t="str">
        <f>IFERROR(__xludf.DUMMYFUNCTION("""COMPUTED_VALUE"""),"いつから抱く側だと思ってたの？～可愛いカレをめちゃくちゃにシたい！女攻めアンソロジー～：3 掲載作の単話")</f>
        <v>いつから抱く側だと思ってたの？～可愛いカレをめちゃくちゃにシたい！女攻めアンソロジー～：3 掲載作の単話</v>
      </c>
      <c r="R3045" s="152"/>
      <c r="S3045" s="152" t="str">
        <f>IFERROR(__xludf.DUMMYFUNCTION("""COMPUTED_VALUE"""),"20250326_一迅社_ハイスペセフレくんはもう普通に戻れない")</f>
        <v>20250326_一迅社_ハイスペセフレくんはもう普通に戻れない</v>
      </c>
      <c r="T3045" s="152" t="str">
        <f>IFERROR(__xludf.DUMMYFUNCTION("""COMPUTED_VALUE"""),"格納済み")</f>
        <v>格納済み</v>
      </c>
      <c r="U3045" s="15" t="str">
        <f>IFERROR(__xludf.DUMMYFUNCTION("""COMPUTED_VALUE"""),"Ⓒやわらか博士／一迅社")</f>
        <v>Ⓒやわらか博士／一迅社</v>
      </c>
      <c r="V3045" s="8" t="str">
        <f>IFERROR(__xludf.DUMMYFUNCTION("""COMPUTED_VALUE"""),"クズ女におねだりしちゃう、無様で可愛いハイスペセフレくん。※この作品は『いつから抱く側だと思ってたの？～可愛いカレをめちゃくちゃにシたい！女攻めアンソロジー～③』収録作品と同一の内容を単話版として再編集したものとなります。")</f>
        <v>クズ女におねだりしちゃう、無様で可愛いハイスペセフレくん。※この作品は『いつから抱く側だと思ってたの？～可愛いカレをめちゃくちゃにシたい！女攻めアンソロジー～③』収録作品と同一の内容を単話版として再編集したものとなります。</v>
      </c>
      <c r="W3045" s="14"/>
      <c r="X3045" s="14" t="str">
        <f>IFERROR(__xludf.DUMMYFUNCTION("""COMPUTED_VALUE"""),"有")</f>
        <v>有</v>
      </c>
      <c r="Y3045" s="8" t="str">
        <f>IFERROR(__xludf.DUMMYFUNCTION("""COMPUTED_VALUE"""),"P6まで")</f>
        <v>P6まで</v>
      </c>
      <c r="Z3045" s="7"/>
      <c r="AA3045" s="7"/>
      <c r="AB3045" s="7"/>
    </row>
    <row r="3046" ht="15.75" customHeight="1">
      <c r="A3046" s="153">
        <f>IFERROR(__xludf.DUMMYFUNCTION("""COMPUTED_VALUE"""),4993.0)</f>
        <v>4993</v>
      </c>
      <c r="B3046" s="152" t="str">
        <f>IFERROR(__xludf.DUMMYFUNCTION("""COMPUTED_VALUE"""),"確定")</f>
        <v>確定</v>
      </c>
      <c r="C3046" s="154">
        <f>IFERROR(__xludf.DUMMYFUNCTION("""COMPUTED_VALUE"""),45695.0)</f>
        <v>45695</v>
      </c>
      <c r="D3046" s="154">
        <f>IFERROR(__xludf.DUMMYFUNCTION("""COMPUTED_VALUE"""),45742.0)</f>
        <v>45742</v>
      </c>
      <c r="E3046" s="155">
        <f>IFERROR(__xludf.DUMMYFUNCTION("""COMPUTED_VALUE"""),321016.0)</f>
        <v>321016</v>
      </c>
      <c r="F3046" s="156" t="str">
        <f>IFERROR(__xludf.DUMMYFUNCTION("""COMPUTED_VALUE"""),"おやすみ、不憫な保科くん")</f>
        <v>おやすみ、不憫な保科くん</v>
      </c>
      <c r="G3046" s="152">
        <f>IFERROR(__xludf.DUMMYFUNCTION("""COMPUTED_VALUE"""),1.0)</f>
        <v>1</v>
      </c>
      <c r="H3046" s="152" t="str">
        <f>IFERROR(__xludf.DUMMYFUNCTION("""COMPUTED_VALUE"""),"春瀬トヲル")</f>
        <v>春瀬トヲル</v>
      </c>
      <c r="I3046" s="152" t="str">
        <f>IFERROR(__xludf.DUMMYFUNCTION("""COMPUTED_VALUE"""),"TL")</f>
        <v>TL</v>
      </c>
      <c r="J3046" s="157"/>
      <c r="K3046" s="157" t="str">
        <f>IFERROR(__xludf.DUMMYFUNCTION("""COMPUTED_VALUE"""),"LOVEBITES")</f>
        <v>LOVEBITES</v>
      </c>
      <c r="L3046" s="152" t="str">
        <f>IFERROR(__xludf.DUMMYFUNCTION("""COMPUTED_VALUE"""),"一迅社")</f>
        <v>一迅社</v>
      </c>
      <c r="M3046" s="59">
        <f>IFERROR(__xludf.DUMMYFUNCTION("""COMPUTED_VALUE"""),45778.0)</f>
        <v>45778</v>
      </c>
      <c r="N3046" s="23">
        <f>IFERROR(__xludf.DUMMYFUNCTION("""COMPUTED_VALUE"""),45808.0)</f>
        <v>45808</v>
      </c>
      <c r="O3046" s="152"/>
      <c r="P3046" s="190" t="str">
        <f>IFERROR(__xludf.DUMMYFUNCTION("""COMPUTED_VALUE"""),"可")</f>
        <v>可</v>
      </c>
      <c r="Q3046" s="190" t="str">
        <f>IFERROR(__xludf.DUMMYFUNCTION("""COMPUTED_VALUE"""),"いつから抱く側だと思ってたの？～可愛いカレをめちゃくちゃにシたい！女攻めアンソロジー～：3 掲載作の単話")</f>
        <v>いつから抱く側だと思ってたの？～可愛いカレをめちゃくちゃにシたい！女攻めアンソロジー～：3 掲載作の単話</v>
      </c>
      <c r="R3046" s="152"/>
      <c r="S3046" s="152" t="str">
        <f>IFERROR(__xludf.DUMMYFUNCTION("""COMPUTED_VALUE"""),"20250326_一迅社_おやすみ、不憫な保科くん")</f>
        <v>20250326_一迅社_おやすみ、不憫な保科くん</v>
      </c>
      <c r="T3046" s="152" t="str">
        <f>IFERROR(__xludf.DUMMYFUNCTION("""COMPUTED_VALUE"""),"格納済み")</f>
        <v>格納済み</v>
      </c>
      <c r="U3046" s="15" t="str">
        <f>IFERROR(__xludf.DUMMYFUNCTION("""COMPUTED_VALUE"""),"Ⓒ春瀬トヲル／一迅社")</f>
        <v>Ⓒ春瀬トヲル／一迅社</v>
      </c>
      <c r="V3046" s="8" t="str">
        <f>IFERROR(__xludf.DUMMYFUNCTION("""COMPUTED_VALUE"""),"意識が飛ぶように、最後までおつき合いしますね。※この作品は『いつから抱く側だと思ってたの？～可愛いカレをめちゃくちゃにシたい！女攻めアンソロジー～③』収録作品と同一の内容を単話版として再編集したものとなります。")</f>
        <v>意識が飛ぶように、最後までおつき合いしますね。※この作品は『いつから抱く側だと思ってたの？～可愛いカレをめちゃくちゃにシたい！女攻めアンソロジー～③』収録作品と同一の内容を単話版として再編集したものとなります。</v>
      </c>
      <c r="W3046" s="14"/>
      <c r="X3046" s="14" t="str">
        <f>IFERROR(__xludf.DUMMYFUNCTION("""COMPUTED_VALUE"""),"有")</f>
        <v>有</v>
      </c>
      <c r="Y3046" s="8" t="str">
        <f>IFERROR(__xludf.DUMMYFUNCTION("""COMPUTED_VALUE"""),"P7まで")</f>
        <v>P7まで</v>
      </c>
      <c r="Z3046" s="7"/>
      <c r="AA3046" s="7"/>
      <c r="AB3046" s="7"/>
    </row>
    <row r="3047" ht="15.75" customHeight="1">
      <c r="A3047" s="153">
        <f>IFERROR(__xludf.DUMMYFUNCTION("""COMPUTED_VALUE"""),4995.0)</f>
        <v>4995</v>
      </c>
      <c r="B3047" s="152" t="str">
        <f>IFERROR(__xludf.DUMMYFUNCTION("""COMPUTED_VALUE"""),"確定")</f>
        <v>確定</v>
      </c>
      <c r="C3047" s="154">
        <f>IFERROR(__xludf.DUMMYFUNCTION("""COMPUTED_VALUE"""),45695.0)</f>
        <v>45695</v>
      </c>
      <c r="D3047" s="154">
        <f>IFERROR(__xludf.DUMMYFUNCTION("""COMPUTED_VALUE"""),45742.0)</f>
        <v>45742</v>
      </c>
      <c r="E3047" s="155">
        <f>IFERROR(__xludf.DUMMYFUNCTION("""COMPUTED_VALUE"""),321018.0)</f>
        <v>321018</v>
      </c>
      <c r="F3047" s="156" t="str">
        <f>IFERROR(__xludf.DUMMYFUNCTION("""COMPUTED_VALUE"""),"なにシて欲しい？ 世話焼き彼氏にあまぁ～いご奉仕")</f>
        <v>なにシて欲しい？ 世話焼き彼氏にあまぁ～いご奉仕</v>
      </c>
      <c r="G3047" s="152">
        <f>IFERROR(__xludf.DUMMYFUNCTION("""COMPUTED_VALUE"""),1.0)</f>
        <v>1</v>
      </c>
      <c r="H3047" s="152" t="str">
        <f>IFERROR(__xludf.DUMMYFUNCTION("""COMPUTED_VALUE"""),"真崎清明")</f>
        <v>真崎清明</v>
      </c>
      <c r="I3047" s="152" t="str">
        <f>IFERROR(__xludf.DUMMYFUNCTION("""COMPUTED_VALUE"""),"TL")</f>
        <v>TL</v>
      </c>
      <c r="J3047" s="157"/>
      <c r="K3047" s="157" t="str">
        <f>IFERROR(__xludf.DUMMYFUNCTION("""COMPUTED_VALUE"""),"LOVEBITES")</f>
        <v>LOVEBITES</v>
      </c>
      <c r="L3047" s="152" t="str">
        <f>IFERROR(__xludf.DUMMYFUNCTION("""COMPUTED_VALUE"""),"一迅社")</f>
        <v>一迅社</v>
      </c>
      <c r="M3047" s="59">
        <f>IFERROR(__xludf.DUMMYFUNCTION("""COMPUTED_VALUE"""),45778.0)</f>
        <v>45778</v>
      </c>
      <c r="N3047" s="23">
        <f>IFERROR(__xludf.DUMMYFUNCTION("""COMPUTED_VALUE"""),45808.0)</f>
        <v>45808</v>
      </c>
      <c r="O3047" s="152"/>
      <c r="P3047" s="190" t="str">
        <f>IFERROR(__xludf.DUMMYFUNCTION("""COMPUTED_VALUE"""),"可")</f>
        <v>可</v>
      </c>
      <c r="Q3047" s="190" t="str">
        <f>IFERROR(__xludf.DUMMYFUNCTION("""COMPUTED_VALUE"""),"いつから抱く側だと思ってたの？～可愛いカレをめちゃくちゃにシたい！女攻めアンソロジー～：3 掲載作の単話")</f>
        <v>いつから抱く側だと思ってたの？～可愛いカレをめちゃくちゃにシたい！女攻めアンソロジー～：3 掲載作の単話</v>
      </c>
      <c r="R3047" s="152"/>
      <c r="S3047" s="152" t="str">
        <f>IFERROR(__xludf.DUMMYFUNCTION("""COMPUTED_VALUE"""),"20250326_一迅社_なにシて欲しい？ 世話焼き彼氏にあまぁ～いご奉仕")</f>
        <v>20250326_一迅社_なにシて欲しい？ 世話焼き彼氏にあまぁ～いご奉仕</v>
      </c>
      <c r="T3047" s="152" t="str">
        <f>IFERROR(__xludf.DUMMYFUNCTION("""COMPUTED_VALUE"""),"格納済み")</f>
        <v>格納済み</v>
      </c>
      <c r="U3047" s="15" t="str">
        <f>IFERROR(__xludf.DUMMYFUNCTION("""COMPUTED_VALUE"""),"Ⓒ真崎清明／一迅社")</f>
        <v>Ⓒ真崎清明／一迅社</v>
      </c>
      <c r="V3047" s="8" t="str">
        <f>IFERROR(__xludf.DUMMYFUNCTION("""COMPUTED_VALUE"""),"いつもやだって言ってもやめてくれないから…私もやーめないっ。※この作品は『いつから抱く側だと思ってたの？～可愛いカレをめちゃくちゃにシたい！女攻めアンソロジー～③』収録作品と同一の内容を単話版として再編集したものとなります。")</f>
        <v>いつもやだって言ってもやめてくれないから…私もやーめないっ。※この作品は『いつから抱く側だと思ってたの？～可愛いカレをめちゃくちゃにシたい！女攻めアンソロジー～③』収録作品と同一の内容を単話版として再編集したものとなります。</v>
      </c>
      <c r="W3047" s="14"/>
      <c r="X3047" s="14" t="str">
        <f>IFERROR(__xludf.DUMMYFUNCTION("""COMPUTED_VALUE"""),"有")</f>
        <v>有</v>
      </c>
      <c r="Y3047" s="8" t="str">
        <f>IFERROR(__xludf.DUMMYFUNCTION("""COMPUTED_VALUE"""),"P8まで")</f>
        <v>P8まで</v>
      </c>
      <c r="Z3047" s="7"/>
      <c r="AA3047" s="7"/>
      <c r="AB3047" s="7"/>
    </row>
    <row r="3048" ht="15.75" customHeight="1">
      <c r="A3048" s="153">
        <f>IFERROR(__xludf.DUMMYFUNCTION("""COMPUTED_VALUE"""),4996.0)</f>
        <v>4996</v>
      </c>
      <c r="B3048" s="152" t="str">
        <f>IFERROR(__xludf.DUMMYFUNCTION("""COMPUTED_VALUE"""),"確定")</f>
        <v>確定</v>
      </c>
      <c r="C3048" s="154">
        <f>IFERROR(__xludf.DUMMYFUNCTION("""COMPUTED_VALUE"""),45695.0)</f>
        <v>45695</v>
      </c>
      <c r="D3048" s="154">
        <f>IFERROR(__xludf.DUMMYFUNCTION("""COMPUTED_VALUE"""),45742.0)</f>
        <v>45742</v>
      </c>
      <c r="E3048" s="155">
        <f>IFERROR(__xludf.DUMMYFUNCTION("""COMPUTED_VALUE"""),321017.0)</f>
        <v>321017</v>
      </c>
      <c r="F3048" s="169" t="str">
        <f>IFERROR(__xludf.DUMMYFUNCTION("""COMPUTED_VALUE"""),"大丈夫、私にしか見えないはずだから。")</f>
        <v>大丈夫、私にしか見えないはずだから。</v>
      </c>
      <c r="G3048" s="152">
        <f>IFERROR(__xludf.DUMMYFUNCTION("""COMPUTED_VALUE"""),1.0)</f>
        <v>1</v>
      </c>
      <c r="H3048" s="152" t="str">
        <f>IFERROR(__xludf.DUMMYFUNCTION("""COMPUTED_VALUE"""),"折川")</f>
        <v>折川</v>
      </c>
      <c r="I3048" s="152" t="str">
        <f>IFERROR(__xludf.DUMMYFUNCTION("""COMPUTED_VALUE"""),"TL")</f>
        <v>TL</v>
      </c>
      <c r="J3048" s="157"/>
      <c r="K3048" s="157" t="str">
        <f>IFERROR(__xludf.DUMMYFUNCTION("""COMPUTED_VALUE"""),"LOVEBITES")</f>
        <v>LOVEBITES</v>
      </c>
      <c r="L3048" s="152" t="str">
        <f>IFERROR(__xludf.DUMMYFUNCTION("""COMPUTED_VALUE"""),"一迅社")</f>
        <v>一迅社</v>
      </c>
      <c r="M3048" s="59">
        <f>IFERROR(__xludf.DUMMYFUNCTION("""COMPUTED_VALUE"""),45778.0)</f>
        <v>45778</v>
      </c>
      <c r="N3048" s="23">
        <f>IFERROR(__xludf.DUMMYFUNCTION("""COMPUTED_VALUE"""),45808.0)</f>
        <v>45808</v>
      </c>
      <c r="O3048" s="152"/>
      <c r="P3048" s="190" t="str">
        <f>IFERROR(__xludf.DUMMYFUNCTION("""COMPUTED_VALUE"""),"可")</f>
        <v>可</v>
      </c>
      <c r="Q3048" s="190" t="str">
        <f>IFERROR(__xludf.DUMMYFUNCTION("""COMPUTED_VALUE"""),"いつから抱く側だと思ってたの？～可愛いカレをめちゃくちゃにシたい！女攻めアンソロジー～：3 掲載作の単話")</f>
        <v>いつから抱く側だと思ってたの？～可愛いカレをめちゃくちゃにシたい！女攻めアンソロジー～：3 掲載作の単話</v>
      </c>
      <c r="R3048" s="152"/>
      <c r="S3048" s="152" t="str">
        <f>IFERROR(__xludf.DUMMYFUNCTION("""COMPUTED_VALUE"""),"20250326_一迅社_大丈夫、私にしか見えないはずだから")</f>
        <v>20250326_一迅社_大丈夫、私にしか見えないはずだから</v>
      </c>
      <c r="T3048" s="152" t="str">
        <f>IFERROR(__xludf.DUMMYFUNCTION("""COMPUTED_VALUE"""),"格納済み")</f>
        <v>格納済み</v>
      </c>
      <c r="U3048" s="15" t="str">
        <f>IFERROR(__xludf.DUMMYFUNCTION("""COMPUTED_VALUE"""),"Ⓒ折川／一迅社")</f>
        <v>Ⓒ折川／一迅社</v>
      </c>
      <c r="V3048" s="8" t="str">
        <f>IFERROR(__xludf.DUMMYFUNCTION("""COMPUTED_VALUE"""),"可愛すぎて食べたすぎてもう待てないから車の中でいただきます。※この作品は『いつから抱く側だと思ってたの？～可愛いカレをめちゃくちゃにシたい！女攻めアンソロジー～③』収録作品と同一の内容を単話版として再編集したものとなります。")</f>
        <v>可愛すぎて食べたすぎてもう待てないから車の中でいただきます。※この作品は『いつから抱く側だと思ってたの？～可愛いカレをめちゃくちゃにシたい！女攻めアンソロジー～③』収録作品と同一の内容を単話版として再編集したものとなります。</v>
      </c>
      <c r="W3048" s="14"/>
      <c r="X3048" s="14" t="str">
        <f>IFERROR(__xludf.DUMMYFUNCTION("""COMPUTED_VALUE"""),"有")</f>
        <v>有</v>
      </c>
      <c r="Y3048" s="8" t="str">
        <f>IFERROR(__xludf.DUMMYFUNCTION("""COMPUTED_VALUE"""),"P7まで")</f>
        <v>P7まで</v>
      </c>
      <c r="Z3048" s="7"/>
      <c r="AA3048" s="7"/>
      <c r="AB3048" s="7"/>
    </row>
    <row r="3049" ht="15.75" customHeight="1">
      <c r="A3049" s="153">
        <f>IFERROR(__xludf.DUMMYFUNCTION("""COMPUTED_VALUE"""),4998.0)</f>
        <v>4998</v>
      </c>
      <c r="B3049" s="152" t="str">
        <f>IFERROR(__xludf.DUMMYFUNCTION("""COMPUTED_VALUE"""),"確定")</f>
        <v>確定</v>
      </c>
      <c r="C3049" s="154">
        <f>IFERROR(__xludf.DUMMYFUNCTION("""COMPUTED_VALUE"""),45695.0)</f>
        <v>45695</v>
      </c>
      <c r="D3049" s="154">
        <f>IFERROR(__xludf.DUMMYFUNCTION("""COMPUTED_VALUE"""),45741.0)</f>
        <v>45741</v>
      </c>
      <c r="E3049" s="158">
        <f>IFERROR(__xludf.DUMMYFUNCTION("""COMPUTED_VALUE"""),320464.0)</f>
        <v>320464</v>
      </c>
      <c r="F3049" s="159" t="str">
        <f>IFERROR(__xludf.DUMMYFUNCTION("""COMPUTED_VALUE"""),"あなたの甘い牙で――虐げられた花嫁は狼の王と契りをかわす――【分冊版】")</f>
        <v>あなたの甘い牙で――虐げられた花嫁は狼の王と契りをかわす――【分冊版】</v>
      </c>
      <c r="G3049" s="152" t="str">
        <f>IFERROR(__xludf.DUMMYFUNCTION("""COMPUTED_VALUE"""),"1～3")</f>
        <v>1～3</v>
      </c>
      <c r="H3049" s="152" t="str">
        <f>IFERROR(__xludf.DUMMYFUNCTION("""COMPUTED_VALUE"""),"中村理恵")</f>
        <v>中村理恵</v>
      </c>
      <c r="I3049" s="152" t="str">
        <f>IFERROR(__xludf.DUMMYFUNCTION("""COMPUTED_VALUE"""),"TL")</f>
        <v>TL</v>
      </c>
      <c r="J3049" s="157"/>
      <c r="K3049" s="157" t="str">
        <f>IFERROR(__xludf.DUMMYFUNCTION("""COMPUTED_VALUE"""),"ルネッタコミックス")</f>
        <v>ルネッタコミックス</v>
      </c>
      <c r="L3049" s="152" t="str">
        <f>IFERROR(__xludf.DUMMYFUNCTION("""COMPUTED_VALUE"""),"ハーパーコリンズ・ジャパン")</f>
        <v>ハーパーコリンズ・ジャパン</v>
      </c>
      <c r="M3049" s="59">
        <f>IFERROR(__xludf.DUMMYFUNCTION("""COMPUTED_VALUE"""),45772.0)</f>
        <v>45772</v>
      </c>
      <c r="N3049" s="23">
        <f>IFERROR(__xludf.DUMMYFUNCTION("""COMPUTED_VALUE"""),45834.0)</f>
        <v>45834</v>
      </c>
      <c r="O3049" s="152"/>
      <c r="P3049" s="190" t="str">
        <f>IFERROR(__xludf.DUMMYFUNCTION("""COMPUTED_VALUE"""),"可")</f>
        <v>可</v>
      </c>
      <c r="Q3049" s="190" t="str">
        <f>IFERROR(__xludf.DUMMYFUNCTION("""COMPUTED_VALUE"""),"・先行配信確定しました！")</f>
        <v>・先行配信確定しました！</v>
      </c>
      <c r="R3049" s="152" t="str">
        <f>IFERROR(__xludf.DUMMYFUNCTION("""COMPUTED_VALUE"""),"コミットNG")</f>
        <v>コミットNG</v>
      </c>
      <c r="S3049" s="152" t="str">
        <f>IFERROR(__xludf.DUMMYFUNCTION("""COMPUTED_VALUE"""),"20250325_ハーパーコリンズ・ジャパン_あなたの甘い牙で――虐げられた花嫁は狼の王と契りをかわす――【分冊版】")</f>
        <v>20250325_ハーパーコリンズ・ジャパン_あなたの甘い牙で――虐げられた花嫁は狼の王と契りをかわす――【分冊版】</v>
      </c>
      <c r="T3049" s="152" t="str">
        <f>IFERROR(__xludf.DUMMYFUNCTION("""COMPUTED_VALUE"""),"格納済み")</f>
        <v>格納済み</v>
      </c>
      <c r="U3049" s="15" t="str">
        <f>IFERROR(__xludf.DUMMYFUNCTION("""COMPUTED_VALUE"""),"Ⓒ中村理恵/ハーパーコリンズ・ジャパン")</f>
        <v>Ⓒ中村理恵/ハーパーコリンズ・ジャパン</v>
      </c>
      <c r="V3049" s="8" t="str">
        <f>IFERROR(__xludf.DUMMYFUNCTION("""COMPUTED_VALUE"""),"虐げられていた私の前に現れた、謎の美青年とは!?
大学生の美月は、交通事故で両親を亡くした上に借金のカタに家を売られ、叔母に引き取られた。だけど与えられた部屋は庭の古い物置。いとこの瑠奈からは虐められ、さらに使用人のようにこき使われ、夕飯は残飯を食べる日々。もう耐えられない…大学を中退して働いて、この家を出よう。そう決意した20歳の誕生日の夜、黒い影をまとった犬のような化け物が美月に襲いかかり――「やっと会えたな、美月」美しい男性が助けに現れて!?")</f>
        <v>虐げられていた私の前に現れた、謎の美青年とは!?
大学生の美月は、交通事故で両親を亡くした上に借金のカタに家を売られ、叔母に引き取られた。だけど与えられた部屋は庭の古い物置。いとこの瑠奈からは虐められ、さらに使用人のようにこき使われ、夕飯は残飯を食べる日々。もう耐えられない…大学を中退して働いて、この家を出よう。そう決意した20歳の誕生日の夜、黒い影をまとった犬のような化け物が美月に襲いかかり――「やっと会えたな、美月」美しい男性が助けに現れて!?</v>
      </c>
      <c r="W3049" s="14"/>
      <c r="X3049" s="14" t="str">
        <f>IFERROR(__xludf.DUMMYFUNCTION("""COMPUTED_VALUE"""),"有")</f>
        <v>有</v>
      </c>
      <c r="Y3049" s="8" t="str">
        <f>IFERROR(__xludf.DUMMYFUNCTION("""COMPUTED_VALUE"""),"2025/5/8まで1巻無料")</f>
        <v>2025/5/8まで1巻無料</v>
      </c>
      <c r="Z3049" s="7"/>
      <c r="AA3049" s="7"/>
      <c r="AB3049" s="7"/>
    </row>
    <row r="3050" ht="15.75" customHeight="1">
      <c r="A3050" s="153">
        <f>IFERROR(__xludf.DUMMYFUNCTION("""COMPUTED_VALUE"""),5010.0)</f>
        <v>5010</v>
      </c>
      <c r="B3050" s="152" t="str">
        <f>IFERROR(__xludf.DUMMYFUNCTION("""COMPUTED_VALUE"""),"確定")</f>
        <v>確定</v>
      </c>
      <c r="C3050" s="154">
        <f>IFERROR(__xludf.DUMMYFUNCTION("""COMPUTED_VALUE"""),45698.0)</f>
        <v>45698</v>
      </c>
      <c r="D3050" s="154">
        <f>IFERROR(__xludf.DUMMYFUNCTION("""COMPUTED_VALUE"""),45740.0)</f>
        <v>45740</v>
      </c>
      <c r="E3050" s="158">
        <f>IFERROR(__xludf.DUMMYFUNCTION("""COMPUTED_VALUE"""),319445.0)</f>
        <v>319445</v>
      </c>
      <c r="F3050" s="159" t="str">
        <f>IFERROR(__xludf.DUMMYFUNCTION("""COMPUTED_VALUE"""),"ディア マイ キューピッド【分冊版】")</f>
        <v>ディア マイ キューピッド【分冊版】</v>
      </c>
      <c r="G3050" s="152">
        <f>IFERROR(__xludf.DUMMYFUNCTION("""COMPUTED_VALUE"""),1.0)</f>
        <v>1</v>
      </c>
      <c r="H3050" s="152" t="str">
        <f>IFERROR(__xludf.DUMMYFUNCTION("""COMPUTED_VALUE"""),"柳澤もみ")</f>
        <v>柳澤もみ</v>
      </c>
      <c r="I3050" s="152" t="str">
        <f>IFERROR(__xludf.DUMMYFUNCTION("""COMPUTED_VALUE"""),"BL")</f>
        <v>BL</v>
      </c>
      <c r="J3050" s="157"/>
      <c r="K3050" s="157" t="str">
        <f>IFERROR(__xludf.DUMMYFUNCTION("""COMPUTED_VALUE"""),"equal")</f>
        <v>equal</v>
      </c>
      <c r="L3050" s="152" t="str">
        <f>IFERROR(__xludf.DUMMYFUNCTION("""COMPUTED_VALUE"""),"笠倉出版社")</f>
        <v>笠倉出版社</v>
      </c>
      <c r="M3050" s="59">
        <f>IFERROR(__xludf.DUMMYFUNCTION("""COMPUTED_VALUE"""),45758.0)</f>
        <v>45758</v>
      </c>
      <c r="N3050" s="23">
        <f>IFERROR(__xludf.DUMMYFUNCTION("""COMPUTED_VALUE"""),45785.0)</f>
        <v>45785</v>
      </c>
      <c r="O3050" s="152"/>
      <c r="P3050" s="190" t="str">
        <f>IFERROR(__xludf.DUMMYFUNCTION("""COMPUTED_VALUE"""),"可")</f>
        <v>可</v>
      </c>
      <c r="Q3050" s="190"/>
      <c r="R3050" s="152"/>
      <c r="S3050" s="152" t="str">
        <f>IFERROR(__xludf.DUMMYFUNCTION("""COMPUTED_VALUE"""),"20250324_笠倉出版社_ディア マイ キューピッド")</f>
        <v>20250324_笠倉出版社_ディア マイ キューピッド</v>
      </c>
      <c r="T3050" s="152" t="str">
        <f>IFERROR(__xludf.DUMMYFUNCTION("""COMPUTED_VALUE"""),"格納済み")</f>
        <v>格納済み</v>
      </c>
      <c r="U3050" s="15" t="str">
        <f>IFERROR(__xludf.DUMMYFUNCTION("""COMPUTED_VALUE"""),"Ⓒ柳澤もみ/笠倉出版社")</f>
        <v>Ⓒ柳澤もみ/笠倉出版社</v>
      </c>
      <c r="V3050" s="8" t="str">
        <f>IFERROR(__xludf.DUMMYFUNCTION("""COMPUTED_VALUE"""),"人間に特殊な矢を撃ち込むことで恋愛に前向きな気持ちにさせる人間恋愛支援部。そんな天界の部署で働く天使のカイルは困っていた。ターゲットである御園春人が全くアシストさせてくれないからだ。こうなったら直接刺しに行くしかないと突撃するのだが…。呆気なくかわされ、人には見えないはずの姿まで認識されてしまう――！？着実に天使を囲うためグイグイアプローチする人間と、翻弄されまくりな天使様とのラブコメ人外BL！※本作品はweb雑誌「equal」に収録されています。重複購入にご注意ください。")</f>
        <v>人間に特殊な矢を撃ち込むことで恋愛に前向きな気持ちにさせる人間恋愛支援部。そんな天界の部署で働く天使のカイルは困っていた。ターゲットである御園春人が全くアシストさせてくれないからだ。こうなったら直接刺しに行くしかないと突撃するのだが…。呆気なくかわされ、人には見えないはずの姿まで認識されてしまう――！？着実に天使を囲うためグイグイアプローチする人間と、翻弄されまくりな天使様とのラブコメ人外BL！※本作品はweb雑誌「equal」に収録されています。重複購入にご注意ください。</v>
      </c>
      <c r="W3050" s="14"/>
      <c r="X3050" s="14" t="str">
        <f>IFERROR(__xludf.DUMMYFUNCTION("""COMPUTED_VALUE"""),"有")</f>
        <v>有</v>
      </c>
      <c r="Y3050" s="8" t="str">
        <f>IFERROR(__xludf.DUMMYFUNCTION("""COMPUTED_VALUE"""),"P6まで")</f>
        <v>P6まで</v>
      </c>
      <c r="Z3050" s="7"/>
      <c r="AA3050" s="7"/>
      <c r="AB3050" s="7"/>
    </row>
    <row r="3051" ht="15.75" customHeight="1">
      <c r="A3051" s="153">
        <f>IFERROR(__xludf.DUMMYFUNCTION("""COMPUTED_VALUE"""),5014.0)</f>
        <v>5014</v>
      </c>
      <c r="B3051" s="152" t="str">
        <f>IFERROR(__xludf.DUMMYFUNCTION("""COMPUTED_VALUE"""),"確定")</f>
        <v>確定</v>
      </c>
      <c r="C3051" s="154">
        <f>IFERROR(__xludf.DUMMYFUNCTION("""COMPUTED_VALUE"""),45701.0)</f>
        <v>45701</v>
      </c>
      <c r="D3051" s="154">
        <f>IFERROR(__xludf.DUMMYFUNCTION("""COMPUTED_VALUE"""),45742.0)</f>
        <v>45742</v>
      </c>
      <c r="E3051" s="158">
        <f>IFERROR(__xludf.DUMMYFUNCTION("""COMPUTED_VALUE"""),320133.0)</f>
        <v>320133</v>
      </c>
      <c r="F3051" s="159" t="str">
        <f>IFERROR(__xludf.DUMMYFUNCTION("""COMPUTED_VALUE"""),"棄てられた元聖女が幸せになるまで～呪われた元天才魔術師様との同居生活は甘甘すぎて身が持ちません!!～【分冊版】")</f>
        <v>棄てられた元聖女が幸せになるまで～呪われた元天才魔術師様との同居生活は甘甘すぎて身が持ちません!!～【分冊版】</v>
      </c>
      <c r="G3051" s="152" t="str">
        <f>IFERROR(__xludf.DUMMYFUNCTION("""COMPUTED_VALUE"""),"1～2")</f>
        <v>1～2</v>
      </c>
      <c r="H3051" s="152" t="str">
        <f>IFERROR(__xludf.DUMMYFUNCTION("""COMPUTED_VALUE"""),"りすヲ ジン. 櫻田りん")</f>
        <v>りすヲ ジン. 櫻田りん</v>
      </c>
      <c r="I3051" s="152" t="str">
        <f>IFERROR(__xludf.DUMMYFUNCTION("""COMPUTED_VALUE"""),"女性")</f>
        <v>女性</v>
      </c>
      <c r="J3051" s="157"/>
      <c r="K3051" s="157"/>
      <c r="L3051" s="152" t="str">
        <f>IFERROR(__xludf.DUMMYFUNCTION("""COMPUTED_VALUE"""),"ハーパーコリンズ・ジャパン")</f>
        <v>ハーパーコリンズ・ジャパン</v>
      </c>
      <c r="M3051" s="59">
        <f>IFERROR(__xludf.DUMMYFUNCTION("""COMPUTED_VALUE"""),45770.0)</f>
        <v>45770</v>
      </c>
      <c r="N3051" s="23">
        <f>IFERROR(__xludf.DUMMYFUNCTION("""COMPUTED_VALUE"""),45830.0)</f>
        <v>45830</v>
      </c>
      <c r="O3051" s="152"/>
      <c r="P3051" s="190" t="str">
        <f>IFERROR(__xludf.DUMMYFUNCTION("""COMPUTED_VALUE"""),"可")</f>
        <v>可</v>
      </c>
      <c r="Q3051" s="190"/>
      <c r="R3051" s="152" t="str">
        <f>IFERROR(__xludf.DUMMYFUNCTION("""COMPUTED_VALUE"""),"コミットOK")</f>
        <v>コミットOK</v>
      </c>
      <c r="S3051" s="152" t="str">
        <f>IFERROR(__xludf.DUMMYFUNCTION("""COMPUTED_VALUE"""),"20250325_ハーパーコリンズ・ジャパン_棄てられた元聖女が幸せになるまで～呪われた元天才魔術師様との同居生活は甘甘すぎて身が持ちません!!～【分冊版】")</f>
        <v>20250325_ハーパーコリンズ・ジャパン_棄てられた元聖女が幸せになるまで～呪われた元天才魔術師様との同居生活は甘甘すぎて身が持ちません!!～【分冊版】</v>
      </c>
      <c r="T3051" s="152" t="str">
        <f>IFERROR(__xludf.DUMMYFUNCTION("""COMPUTED_VALUE"""),"格納済み")</f>
        <v>格納済み</v>
      </c>
      <c r="U3051" s="15" t="str">
        <f>IFERROR(__xludf.DUMMYFUNCTION("""COMPUTED_VALUE"""),"Ⓒりすヲ・櫻田りん／ハーパーコリンズ・ジャパン")</f>
        <v>Ⓒりすヲ・櫻田りん／ハーパーコリンズ・ジャパン</v>
      </c>
      <c r="V3051" s="8" t="str">
        <f>IFERROR(__xludf.DUMMYFUNCTION("""COMPUTED_VALUE"""),"あなたの呪いを解くために
聖女の力を取り戻したいの…
孤児のファティアは聖女の力が使えるようになり、子爵家の養女として迎えられる。けれど、子爵家で暮らすようになってすぐに、なぜか聖女の力を失ってしまう。そして、ファティアが聖女の力を失った直後から、子爵家の娘ロレッタに聖女の力が宿って…!? 聖女の役目を果たせないファティアは用無しとなり、屋敷を追い出されることに。行くあてもなくさまよっているところをごろつきに襲われそうになったファティアは、謎の美青年に助けられる。なんと彼は元天才魔術師。ファティア"&amp;"は、彼の家に住み込みで魔法の使い方を学ぶことになるが…。元聖女と元天才魔術師の甘すぎる同居生活の行方は――!?")</f>
        <v>あなたの呪いを解くために
聖女の力を取り戻したいの…
孤児のファティアは聖女の力が使えるようになり、子爵家の養女として迎えられる。けれど、子爵家で暮らすようになってすぐに、なぜか聖女の力を失ってしまう。そして、ファティアが聖女の力を失った直後から、子爵家の娘ロレッタに聖女の力が宿って…!? 聖女の役目を果たせないファティアは用無しとなり、屋敷を追い出されることに。行くあてもなくさまよっているところをごろつきに襲われそうになったファティアは、謎の美青年に助けられる。なんと彼は元天才魔術師。ファティアは、彼の家に住み込みで魔法の使い方を学ぶことになるが…。元聖女と元天才魔術師の甘すぎる同居生活の行方は――!?</v>
      </c>
      <c r="W3051" s="14"/>
      <c r="X3051" s="14" t="str">
        <f>IFERROR(__xludf.DUMMYFUNCTION("""COMPUTED_VALUE"""),"有")</f>
        <v>有</v>
      </c>
      <c r="Y3051" s="8" t="str">
        <f>IFERROR(__xludf.DUMMYFUNCTION("""COMPUTED_VALUE"""),"2025/5/6まで1巻無料")</f>
        <v>2025/5/6まで1巻無料</v>
      </c>
      <c r="Z3051" s="7"/>
      <c r="AA3051" s="7"/>
      <c r="AB3051" s="7"/>
    </row>
    <row r="3052" ht="15.75" customHeight="1">
      <c r="A3052" s="153">
        <f>IFERROR(__xludf.DUMMYFUNCTION("""COMPUTED_VALUE"""),5037.0)</f>
        <v>5037</v>
      </c>
      <c r="B3052" s="152" t="str">
        <f>IFERROR(__xludf.DUMMYFUNCTION("""COMPUTED_VALUE"""),"確定")</f>
        <v>確定</v>
      </c>
      <c r="C3052" s="154">
        <f>IFERROR(__xludf.DUMMYFUNCTION("""COMPUTED_VALUE"""),45702.0)</f>
        <v>45702</v>
      </c>
      <c r="D3052" s="154">
        <f>IFERROR(__xludf.DUMMYFUNCTION("""COMPUTED_VALUE"""),45740.0)</f>
        <v>45740</v>
      </c>
      <c r="E3052" s="158">
        <f>IFERROR(__xludf.DUMMYFUNCTION("""COMPUTED_VALUE"""),320005.0)</f>
        <v>320005</v>
      </c>
      <c r="F3052" s="159" t="str">
        <f>IFERROR(__xludf.DUMMYFUNCTION("""COMPUTED_VALUE"""),"吸血鬼さんに俺のカラダを狙われてます【フルカラー】")</f>
        <v>吸血鬼さんに俺のカラダを狙われてます【フルカラー】</v>
      </c>
      <c r="G3052" s="152" t="str">
        <f>IFERROR(__xludf.DUMMYFUNCTION("""COMPUTED_VALUE"""),"1～3")</f>
        <v>1～3</v>
      </c>
      <c r="H3052" s="152" t="str">
        <f>IFERROR(__xludf.DUMMYFUNCTION("""COMPUTED_VALUE"""),"しょごた")</f>
        <v>しょごた</v>
      </c>
      <c r="I3052" s="152" t="str">
        <f>IFERROR(__xludf.DUMMYFUNCTION("""COMPUTED_VALUE"""),"青年")</f>
        <v>青年</v>
      </c>
      <c r="J3052" s="157"/>
      <c r="K3052" s="157" t="str">
        <f>IFERROR(__xludf.DUMMYFUNCTION("""COMPUTED_VALUE"""),"シーモア×DEDEDE")</f>
        <v>シーモア×DEDEDE</v>
      </c>
      <c r="L3052" s="152" t="str">
        <f>IFERROR(__xludf.DUMMYFUNCTION("""COMPUTED_VALUE"""),"CLLENN")</f>
        <v>CLLENN</v>
      </c>
      <c r="M3052" s="59">
        <f>IFERROR(__xludf.DUMMYFUNCTION("""COMPUTED_VALUE"""),45767.0)</f>
        <v>45767</v>
      </c>
      <c r="N3052" s="23">
        <f>IFERROR(__xludf.DUMMYFUNCTION("""COMPUTED_VALUE"""),45857.0)</f>
        <v>45857</v>
      </c>
      <c r="O3052" s="152"/>
      <c r="P3052" s="190" t="str">
        <f>IFERROR(__xludf.DUMMYFUNCTION("""COMPUTED_VALUE"""),"可")</f>
        <v>可</v>
      </c>
      <c r="Q3052" s="190"/>
      <c r="R3052" s="152"/>
      <c r="S3052" s="152" t="str">
        <f>IFERROR(__xludf.DUMMYFUNCTION("""COMPUTED_VALUE"""),"20250321_協業_CLLENN_吸血鬼さんに俺のカラダを狙われてます【フルカラー】")</f>
        <v>20250321_協業_CLLENN_吸血鬼さんに俺のカラダを狙われてます【フルカラー】</v>
      </c>
      <c r="T3052" s="152" t="str">
        <f>IFERROR(__xludf.DUMMYFUNCTION("""COMPUTED_VALUE"""),"格納済み")</f>
        <v>格納済み</v>
      </c>
      <c r="U3052" s="15" t="str">
        <f>IFERROR(__xludf.DUMMYFUNCTION("""COMPUTED_VALUE"""),"Ⓒしょごた/CLLENN")</f>
        <v>Ⓒしょごた/CLLENN</v>
      </c>
      <c r="V3052" s="8" t="str">
        <f>IFERROR(__xludf.DUMMYFUNCTION("""COMPUTED_VALUE"""),"「生食くんの、すっごく美味しそうなんだもん…？」――生食 旬（いけじき しゅん）は恋をしていた。その相手は、毎日、駅前で献血の呼びかけをしている献血ルームの看板娘。「今日こそ連絡先を聞く！」と彼女に声をかける生食だったが、いつの間にか献血に協力することに…？ しかも、彼女は二人きりになると態度が豹変！ 生食の上に跨り、そして……首筋に噛みついてきた!? ――＜捕食×被食＞関係から始まる新感覚ラブコメ開幕!!")</f>
        <v>「生食くんの、すっごく美味しそうなんだもん…？」――生食 旬（いけじき しゅん）は恋をしていた。その相手は、毎日、駅前で献血の呼びかけをしている献血ルームの看板娘。「今日こそ連絡先を聞く！」と彼女に声をかける生食だったが、いつの間にか献血に協力することに…？ しかも、彼女は二人きりになると態度が豹変！ 生食の上に跨り、そして……首筋に噛みついてきた!? ――＜捕食×被食＞関係から始まる新感覚ラブコメ開幕!!</v>
      </c>
      <c r="W3052" s="14"/>
      <c r="X3052" s="14" t="str">
        <f>IFERROR(__xludf.DUMMYFUNCTION("""COMPUTED_VALUE"""),"有")</f>
        <v>有</v>
      </c>
      <c r="Y3052" s="8" t="str">
        <f>IFERROR(__xludf.DUMMYFUNCTION("""COMPUTED_VALUE"""),"2025/5/3まで1巻無料")</f>
        <v>2025/5/3まで1巻無料</v>
      </c>
      <c r="Z3052" s="7"/>
      <c r="AA3052" s="7"/>
      <c r="AB3052" s="7"/>
    </row>
    <row r="3053" ht="15.75" customHeight="1">
      <c r="A3053" s="153">
        <f>IFERROR(__xludf.DUMMYFUNCTION("""COMPUTED_VALUE"""),5110.0)</f>
        <v>5110</v>
      </c>
      <c r="B3053" s="152" t="str">
        <f>IFERROR(__xludf.DUMMYFUNCTION("""COMPUTED_VALUE"""),"確定")</f>
        <v>確定</v>
      </c>
      <c r="C3053" s="154">
        <f>IFERROR(__xludf.DUMMYFUNCTION("""COMPUTED_VALUE"""),45714.0)</f>
        <v>45714</v>
      </c>
      <c r="D3053" s="154">
        <f>IFERROR(__xludf.DUMMYFUNCTION("""COMPUTED_VALUE"""),45735.0)</f>
        <v>45735</v>
      </c>
      <c r="E3053" s="158">
        <f>IFERROR(__xludf.DUMMYFUNCTION("""COMPUTED_VALUE"""),319802.0)</f>
        <v>319802</v>
      </c>
      <c r="F3053" s="159" t="str">
        <f>IFERROR(__xludf.DUMMYFUNCTION("""COMPUTED_VALUE"""),"極愛!!　今日から恋と極道、相続します")</f>
        <v>極愛!!　今日から恋と極道、相続します</v>
      </c>
      <c r="G3053" s="152" t="str">
        <f>IFERROR(__xludf.DUMMYFUNCTION("""COMPUTED_VALUE"""),"1～4")</f>
        <v>1～4</v>
      </c>
      <c r="H3053" s="152" t="str">
        <f>IFERROR(__xludf.DUMMYFUNCTION("""COMPUTED_VALUE"""),"小田三月")</f>
        <v>小田三月</v>
      </c>
      <c r="I3053" s="152" t="str">
        <f>IFERROR(__xludf.DUMMYFUNCTION("""COMPUTED_VALUE"""),"女性ジャンル")</f>
        <v>女性ジャンル</v>
      </c>
      <c r="J3053" s="157"/>
      <c r="K3053" s="157" t="str">
        <f>IFERROR(__xludf.DUMMYFUNCTION("""COMPUTED_VALUE"""),"素敵なロマンス")</f>
        <v>素敵なロマンス</v>
      </c>
      <c r="L3053" s="152" t="str">
        <f>IFERROR(__xludf.DUMMYFUNCTION("""COMPUTED_VALUE"""),"大都社/秋水社")</f>
        <v>大都社/秋水社</v>
      </c>
      <c r="M3053" s="59">
        <f>IFERROR(__xludf.DUMMYFUNCTION("""COMPUTED_VALUE"""),45765.0)</f>
        <v>45765</v>
      </c>
      <c r="N3053" s="23">
        <f>IFERROR(__xludf.DUMMYFUNCTION("""COMPUTED_VALUE"""),45845.0)</f>
        <v>45845</v>
      </c>
      <c r="O3053" s="152"/>
      <c r="P3053" s="190" t="str">
        <f>IFERROR(__xludf.DUMMYFUNCTION("""COMPUTED_VALUE"""),"可")</f>
        <v>可</v>
      </c>
      <c r="Q3053" s="190"/>
      <c r="R3053" s="152" t="str">
        <f>IFERROR(__xludf.DUMMYFUNCTION("""COMPUTED_VALUE"""),"コミットOK")</f>
        <v>コミットOK</v>
      </c>
      <c r="S3053" s="152" t="str">
        <f>IFERROR(__xludf.DUMMYFUNCTION("""COMPUTED_VALUE"""),"20250312_秋水社_極愛!!　今日から恋と極道、相続します")</f>
        <v>20250312_秋水社_極愛!!　今日から恋と極道、相続します</v>
      </c>
      <c r="T3053" s="152" t="str">
        <f>IFERROR(__xludf.DUMMYFUNCTION("""COMPUTED_VALUE"""),"格納済み")</f>
        <v>格納済み</v>
      </c>
      <c r="U3053" s="15" t="str">
        <f>IFERROR(__xludf.DUMMYFUNCTION("""COMPUTED_VALUE"""),"Ⓒ小田三月/大都社/秋水社")</f>
        <v>Ⓒ小田三月/大都社/秋水社</v>
      </c>
      <c r="V3053" s="8" t="str">
        <f>IFERROR(__xludf.DUMMYFUNCTION("""COMPUTED_VALUE"""),"【シーモア限定、描き下ろしイラスト１P収録】「抱いてください！今ココで…っっ」恋にまっすぐな三瀬燕は、一般企業で働く25歳。ある日、轢かれそうな子供を助ける男性に一目惚れしてしまう。勇気を出して告白するも見事玉砕。しかし叔父の遺産相続契約の場で偶然再会して！？想い人・鷹矢に夢中になっているうちに相続の契約は完了してしまっているし、しかも今日から私が組長って本当ですか！？今すぐ逃げ出したいけど、ここで逃げると鷹矢さんは絶対好きになってくれない気がする…。彼に振り向いてもらうために、燕は組長になる覚悟を決めて"&amp;"…！？")</f>
        <v>【シーモア限定、描き下ろしイラスト１P収録】「抱いてください！今ココで…っっ」恋にまっすぐな三瀬燕は、一般企業で働く25歳。ある日、轢かれそうな子供を助ける男性に一目惚れしてしまう。勇気を出して告白するも見事玉砕。しかし叔父の遺産相続契約の場で偶然再会して！？想い人・鷹矢に夢中になっているうちに相続の契約は完了してしまっているし、しかも今日から私が組長って本当ですか！？今すぐ逃げ出したいけど、ここで逃げると鷹矢さんは絶対好きになってくれない気がする…。彼に振り向いてもらうために、燕は組長になる覚悟を決めて…！？</v>
      </c>
      <c r="W3053" s="14"/>
      <c r="X3053" s="14" t="str">
        <f>IFERROR(__xludf.DUMMYFUNCTION("""COMPUTED_VALUE"""),"有")</f>
        <v>有</v>
      </c>
      <c r="Y3053" s="8" t="str">
        <f>IFERROR(__xludf.DUMMYFUNCTION("""COMPUTED_VALUE"""),"2025/5/1まで1巻無料")</f>
        <v>2025/5/1まで1巻無料</v>
      </c>
      <c r="Z3053" s="7"/>
      <c r="AA3053" s="7"/>
      <c r="AB3053" s="7"/>
    </row>
    <row r="3054" ht="15.75" customHeight="1">
      <c r="A3054" s="153">
        <f>IFERROR(__xludf.DUMMYFUNCTION("""COMPUTED_VALUE"""),5111.0)</f>
        <v>5111</v>
      </c>
      <c r="B3054" s="152" t="str">
        <f>IFERROR(__xludf.DUMMYFUNCTION("""COMPUTED_VALUE"""),"確定")</f>
        <v>確定</v>
      </c>
      <c r="C3054" s="154">
        <f>IFERROR(__xludf.DUMMYFUNCTION("""COMPUTED_VALUE"""),45714.0)</f>
        <v>45714</v>
      </c>
      <c r="D3054" s="154">
        <f>IFERROR(__xludf.DUMMYFUNCTION("""COMPUTED_VALUE"""),45735.0)</f>
        <v>45735</v>
      </c>
      <c r="E3054" s="158">
        <f>IFERROR(__xludf.DUMMYFUNCTION("""COMPUTED_VALUE"""),319816.0)</f>
        <v>319816</v>
      </c>
      <c r="F3054" s="159" t="str">
        <f>IFERROR(__xludf.DUMMYFUNCTION("""COMPUTED_VALUE"""),"愛されないと死亡エンドな転生モブですが、一番避けたい最凶王子に体ごと溺愛されまくってます")</f>
        <v>愛されないと死亡エンドな転生モブですが、一番避けたい最凶王子に体ごと溺愛されまくってます</v>
      </c>
      <c r="G3054" s="152" t="str">
        <f>IFERROR(__xludf.DUMMYFUNCTION("""COMPUTED_VALUE"""),"1～3")</f>
        <v>1～3</v>
      </c>
      <c r="H3054" s="152" t="str">
        <f>IFERROR(__xludf.DUMMYFUNCTION("""COMPUTED_VALUE"""),"新薫")</f>
        <v>新薫</v>
      </c>
      <c r="I3054" s="152" t="str">
        <f>IFERROR(__xludf.DUMMYFUNCTION("""COMPUTED_VALUE"""),"TL")</f>
        <v>TL</v>
      </c>
      <c r="J3054" s="157"/>
      <c r="K3054" s="157" t="str">
        <f>IFERROR(__xludf.DUMMYFUNCTION("""COMPUTED_VALUE"""),"恋愛宣言")</f>
        <v>恋愛宣言</v>
      </c>
      <c r="L3054" s="152" t="str">
        <f>IFERROR(__xludf.DUMMYFUNCTION("""COMPUTED_VALUE"""),"大都社/秋水社")</f>
        <v>大都社/秋水社</v>
      </c>
      <c r="M3054" s="59">
        <f>IFERROR(__xludf.DUMMYFUNCTION("""COMPUTED_VALUE"""),45765.0)</f>
        <v>45765</v>
      </c>
      <c r="N3054" s="23">
        <f>IFERROR(__xludf.DUMMYFUNCTION("""COMPUTED_VALUE"""),45825.0)</f>
        <v>45825</v>
      </c>
      <c r="O3054" s="152"/>
      <c r="P3054" s="190" t="str">
        <f>IFERROR(__xludf.DUMMYFUNCTION("""COMPUTED_VALUE"""),"可")</f>
        <v>可</v>
      </c>
      <c r="Q3054" s="190"/>
      <c r="R3054" s="152" t="str">
        <f>IFERROR(__xludf.DUMMYFUNCTION("""COMPUTED_VALUE"""),"コミットOK")</f>
        <v>コミットOK</v>
      </c>
      <c r="S3054" s="152" t="str">
        <f>IFERROR(__xludf.DUMMYFUNCTION("""COMPUTED_VALUE"""),"20250312_秋水社_愛されないと死亡エンドな転生モブですが、一番避けたい最凶王子に体ごと溺愛されまくってます")</f>
        <v>20250312_秋水社_愛されないと死亡エンドな転生モブですが、一番避けたい最凶王子に体ごと溺愛されまくってます</v>
      </c>
      <c r="T3054" s="152" t="str">
        <f>IFERROR(__xludf.DUMMYFUNCTION("""COMPUTED_VALUE"""),"格納済み")</f>
        <v>格納済み</v>
      </c>
      <c r="U3054" s="15" t="str">
        <f>IFERROR(__xludf.DUMMYFUNCTION("""COMPUTED_VALUE"""),"Ⓒ新薫/大都社/秋水社")</f>
        <v>Ⓒ新薫/大都社/秋水社</v>
      </c>
      <c r="V3054" s="8" t="str">
        <f>IFERROR(__xludf.DUMMYFUNCTION("""COMPUTED_VALUE"""),"【シーモア限定、描き下ろしマンガ１P収録】「ここにいる3王子のいずれか。もしくは全員に抱かれてください。じゃなきゃ死にます―――」。女性向けラノベ作家の矢野真琴29歳。デビュー以来長らく売れずの苦しい日々だったが「王宮のプリンス」がついに人生初のヒット作に。難アリのドSな3王子が登場する作品に全精力を注ぎ続けたのも、ずっと構想を練っていた念願の最終巻を書きたかったから。しかし最終巻に取りかかろうとしたその夜、無情にもトラックにひかれ転生してしまう。目をさましたそこは自分が創造したラノベ「王宮のプリンス」の"&amp;"世界！ しかも頭の中に語りかけてくる「謎の声」はこの世界で存在する力をえるために、自分が創造したキャラクター、ドSな３王子に抱かれろとささやく。そんな愛されないと死亡エンドな私に最初に協力を申し出てきたのは、一番避けたい最凶第一王子…エドガル・フォン・ヴェルフだった―――!?")</f>
        <v>【シーモア限定、描き下ろしマンガ１P収録】「ここにいる3王子のいずれか。もしくは全員に抱かれてください。じゃなきゃ死にます―――」。女性向けラノベ作家の矢野真琴29歳。デビュー以来長らく売れずの苦しい日々だったが「王宮のプリンス」がついに人生初のヒット作に。難アリのドSな3王子が登場する作品に全精力を注ぎ続けたのも、ずっと構想を練っていた念願の最終巻を書きたかったから。しかし最終巻に取りかかろうとしたその夜、無情にもトラックにひかれ転生してしまう。目をさましたそこは自分が創造したラノベ「王宮のプリンス」の世界！ しかも頭の中に語りかけてくる「謎の声」はこの世界で存在する力をえるために、自分が創造したキャラクター、ドSな３王子に抱かれろとささやく。そんな愛されないと死亡エンドな私に最初に協力を申し出てきたのは、一番避けたい最凶第一王子…エドガル・フォン・ヴェルフだった―――!?</v>
      </c>
      <c r="W3054" s="14"/>
      <c r="X3054" s="14" t="str">
        <f>IFERROR(__xludf.DUMMYFUNCTION("""COMPUTED_VALUE"""),"有")</f>
        <v>有</v>
      </c>
      <c r="Y3054" s="8" t="str">
        <f>IFERROR(__xludf.DUMMYFUNCTION("""COMPUTED_VALUE"""),"P6まで")</f>
        <v>P6まで</v>
      </c>
      <c r="Z3054" s="7"/>
      <c r="AA3054" s="7"/>
      <c r="AB3054" s="7"/>
    </row>
    <row r="3055" ht="15.75" customHeight="1">
      <c r="A3055" s="153">
        <f>IFERROR(__xludf.DUMMYFUNCTION("""COMPUTED_VALUE"""),5156.0)</f>
        <v>5156</v>
      </c>
      <c r="B3055" s="152" t="str">
        <f>IFERROR(__xludf.DUMMYFUNCTION("""COMPUTED_VALUE"""),"確定")</f>
        <v>確定</v>
      </c>
      <c r="C3055" s="154">
        <f>IFERROR(__xludf.DUMMYFUNCTION("""COMPUTED_VALUE"""),45719.0)</f>
        <v>45719</v>
      </c>
      <c r="D3055" s="154">
        <f>IFERROR(__xludf.DUMMYFUNCTION("""COMPUTED_VALUE"""),45740.0)</f>
        <v>45740</v>
      </c>
      <c r="E3055" s="158">
        <f>IFERROR(__xludf.DUMMYFUNCTION("""COMPUTED_VALUE"""),320409.0)</f>
        <v>320409</v>
      </c>
      <c r="F3055" s="159" t="str">
        <f>IFERROR(__xludf.DUMMYFUNCTION("""COMPUTED_VALUE"""),"委員長と光田くん")</f>
        <v>委員長と光田くん</v>
      </c>
      <c r="G3055" s="152" t="str">
        <f>IFERROR(__xludf.DUMMYFUNCTION("""COMPUTED_VALUE"""),"1～2")</f>
        <v>1～2</v>
      </c>
      <c r="H3055" s="152" t="str">
        <f>IFERROR(__xludf.DUMMYFUNCTION("""COMPUTED_VALUE"""),"ヨシラギ／サヨナラホーネット")</f>
        <v>ヨシラギ／サヨナラホーネット</v>
      </c>
      <c r="I3055" s="152" t="str">
        <f>IFERROR(__xludf.DUMMYFUNCTION("""COMPUTED_VALUE"""),"アダルトマンガ")</f>
        <v>アダルトマンガ</v>
      </c>
      <c r="J3055" s="157"/>
      <c r="K3055" s="157"/>
      <c r="L3055" s="152" t="str">
        <f>IFERROR(__xludf.DUMMYFUNCTION("""COMPUTED_VALUE"""),"ナイトコミック")</f>
        <v>ナイトコミック</v>
      </c>
      <c r="M3055" s="59">
        <f>IFERROR(__xludf.DUMMYFUNCTION("""COMPUTED_VALUE"""),45758.0)</f>
        <v>45758</v>
      </c>
      <c r="N3055" s="23">
        <f>IFERROR(__xludf.DUMMYFUNCTION("""COMPUTED_VALUE"""),45848.0)</f>
        <v>45848</v>
      </c>
      <c r="O3055" s="152"/>
      <c r="P3055" s="190" t="str">
        <f>IFERROR(__xludf.DUMMYFUNCTION("""COMPUTED_VALUE"""),"可")</f>
        <v>可</v>
      </c>
      <c r="Q3055" s="190" t="str">
        <f>IFERROR(__xludf.DUMMYFUNCTION("""COMPUTED_VALUE"""),"3巻目先行開始希望日：2025/05/09 ～ 2025/08/07&lt;BR&gt;1～2巻目素材をご使用ください")</f>
        <v>3巻目先行開始希望日：2025/05/09 ～ 2025/08/07&lt;BR&gt;1～2巻目素材をご使用ください</v>
      </c>
      <c r="R3055" s="152" t="str">
        <f>IFERROR(__xludf.DUMMYFUNCTION("""COMPUTED_VALUE"""),"コミットOK")</f>
        <v>コミットOK</v>
      </c>
      <c r="S3055" s="152" t="str">
        <f>IFERROR(__xludf.DUMMYFUNCTION("""COMPUTED_VALUE"""),"20250324_ナイトコミック_委員長と光田くん")</f>
        <v>20250324_ナイトコミック_委員長と光田くん</v>
      </c>
      <c r="T3055" s="152" t="str">
        <f>IFERROR(__xludf.DUMMYFUNCTION("""COMPUTED_VALUE"""),"格納済み")</f>
        <v>格納済み</v>
      </c>
      <c r="U3055" s="15" t="str">
        <f>IFERROR(__xludf.DUMMYFUNCTION("""COMPUTED_VALUE"""),"Ⓒヨシラギ／サヨナラホーネット")</f>
        <v>Ⓒヨシラギ／サヨナラホーネット</v>
      </c>
      <c r="V3055" s="8" t="str">
        <f>IFERROR(__xludf.DUMMYFUNCTION("""COMPUTED_VALUE"""),"委員長と光田くんは一見すると健全な交際をしている真面目なカップルだが、裏では毎日えっちをしてばかり。ある日委員長は夏休みの宿題をしようと彼氏の家に向かうのだが、モテモテの光田くんにヤキモチを焼きご機嫌ナナメに。そこで光田くんはご機嫌を直してもらうために彼女の大好きな乳首責めをする。いや、ふたりはいつでも乳首責め漬けだった。乳首でイキまくる委員長はそのまま日が暮れるまで彼氏とらぶらぶセックスをしてしまう…！乳首カリカリされるのが大好きな委員長と彼女を溺愛する光田くんのらぶらぶえっちは終わらない！！")</f>
        <v>委員長と光田くんは一見すると健全な交際をしている真面目なカップルだが、裏では毎日えっちをしてばかり。ある日委員長は夏休みの宿題をしようと彼氏の家に向かうのだが、モテモテの光田くんにヤキモチを焼きご機嫌ナナメに。そこで光田くんはご機嫌を直してもらうために彼女の大好きな乳首責めをする。いや、ふたりはいつでも乳首責め漬けだった。乳首でイキまくる委員長はそのまま日が暮れるまで彼氏とらぶらぶセックスをしてしまう…！乳首カリカリされるのが大好きな委員長と彼女を溺愛する光田くんのらぶらぶえっちは終わらない！！</v>
      </c>
      <c r="W3055" s="14"/>
      <c r="X3055" s="14" t="str">
        <f>IFERROR(__xludf.DUMMYFUNCTION("""COMPUTED_VALUE"""),"有")</f>
        <v>有</v>
      </c>
      <c r="Y3055" s="8" t="str">
        <f>IFERROR(__xludf.DUMMYFUNCTION("""COMPUTED_VALUE"""),"2025/7/10まで1~2巻立ち読み増量
1巻：P10まで
2巻：P10まで")</f>
        <v>2025/7/10まで1~2巻立ち読み増量
1巻：P10まで
2巻：P10まで</v>
      </c>
      <c r="Z3055" s="7"/>
      <c r="AA3055" s="7"/>
      <c r="AB3055" s="7"/>
    </row>
    <row r="3056" ht="15.75" customHeight="1">
      <c r="A3056" s="153">
        <f>IFERROR(__xludf.DUMMYFUNCTION("""COMPUTED_VALUE"""),5181.0)</f>
        <v>5181</v>
      </c>
      <c r="B3056" s="152" t="str">
        <f>IFERROR(__xludf.DUMMYFUNCTION("""COMPUTED_VALUE"""),"確定")</f>
        <v>確定</v>
      </c>
      <c r="C3056" s="154">
        <f>IFERROR(__xludf.DUMMYFUNCTION("""COMPUTED_VALUE"""),45720.0)</f>
        <v>45720</v>
      </c>
      <c r="D3056" s="154">
        <f>IFERROR(__xludf.DUMMYFUNCTION("""COMPUTED_VALUE"""),45742.0)</f>
        <v>45742</v>
      </c>
      <c r="E3056" s="155">
        <f>IFERROR(__xludf.DUMMYFUNCTION("""COMPUTED_VALUE"""),321228.0)</f>
        <v>321228</v>
      </c>
      <c r="F3056" s="156" t="str">
        <f>IFERROR(__xludf.DUMMYFUNCTION("""COMPUTED_VALUE"""),"相性100%の恋、始めます ～俺様御曹司とこじらせデキ女の凸凹マッチング！？～")</f>
        <v>相性100%の恋、始めます ～俺様御曹司とこじらせデキ女の凸凹マッチング！？～</v>
      </c>
      <c r="G3056" s="152" t="str">
        <f>IFERROR(__xludf.DUMMYFUNCTION("""COMPUTED_VALUE"""),"1～3")</f>
        <v>1～3</v>
      </c>
      <c r="H3056" s="152" t="str">
        <f>IFERROR(__xludf.DUMMYFUNCTION("""COMPUTED_VALUE"""),"虹村あこ（作画）/　二久アカミ（構成・シナリオ）")</f>
        <v>虹村あこ（作画）/　二久アカミ（構成・シナリオ）</v>
      </c>
      <c r="I3056" s="152" t="str">
        <f>IFERROR(__xludf.DUMMYFUNCTION("""COMPUTED_VALUE"""),"女性")</f>
        <v>女性</v>
      </c>
      <c r="J3056" s="157"/>
      <c r="K3056" s="157"/>
      <c r="L3056" s="152" t="str">
        <f>IFERROR(__xludf.DUMMYFUNCTION("""COMPUTED_VALUE"""),"DPNプラス")</f>
        <v>DPNプラス</v>
      </c>
      <c r="M3056" s="59">
        <f>IFERROR(__xludf.DUMMYFUNCTION("""COMPUTED_VALUE"""),45778.0)</f>
        <v>45778</v>
      </c>
      <c r="N3056" s="23">
        <f>IFERROR(__xludf.DUMMYFUNCTION("""COMPUTED_VALUE"""),45870.0)</f>
        <v>45870</v>
      </c>
      <c r="O3056" s="152"/>
      <c r="P3056" s="190" t="str">
        <f>IFERROR(__xludf.DUMMYFUNCTION("""COMPUTED_VALUE"""),"可")</f>
        <v>可</v>
      </c>
      <c r="Q3056" s="190" t="str">
        <f>IFERROR(__xludf.DUMMYFUNCTION("""COMPUTED_VALUE"""),"・数社先行です")</f>
        <v>・数社先行です</v>
      </c>
      <c r="R3056" s="152" t="str">
        <f>IFERROR(__xludf.DUMMYFUNCTION("""COMPUTED_VALUE"""),"コミットNG")</f>
        <v>コミットNG</v>
      </c>
      <c r="S3056" s="152" t="str">
        <f>IFERROR(__xludf.DUMMYFUNCTION("""COMPUTED_VALUE"""),"20250324_DPNプラス_相性100%の恋、始めます ～俺様御曹司とこじらせデキ女の凸凹マッチング！？～")</f>
        <v>20250324_DPNプラス_相性100%の恋、始めます ～俺様御曹司とこじらせデキ女の凸凹マッチング！？～</v>
      </c>
      <c r="T3056" s="152" t="str">
        <f>IFERROR(__xludf.DUMMYFUNCTION("""COMPUTED_VALUE"""),"格納済み")</f>
        <v>格納済み</v>
      </c>
      <c r="U3056" s="15" t="str">
        <f>IFERROR(__xludf.DUMMYFUNCTION("""COMPUTED_VALUE"""),"Ⓒ虹村あこ・二久アカミ／DPNプラス")</f>
        <v>Ⓒ虹村あこ・二久アカミ／DPNプラス</v>
      </c>
      <c r="V3056" s="8" t="str">
        <f>IFERROR(__xludf.DUMMYFUNCTION("""COMPUTED_VALUE"""),"「俺たち相性100％なんだって？」日々バリバリと働いていた美沙希だが、誕生日に2年付き合った恋人から別れを告げられる事に。心機一転マッチングアプリで新たな出会いを求めようと登録するが、そんな中、とある会社にコンサルとして出向することになった美沙希は、そこで不遜な態度の御曹司、神宮寺と出会う…。神宮寺と白熱しつつも順調に仕事を進める彼女の元に、1件のマッチング通知が届くのだが、その結果に美沙希は驚愕することに――マッチングアプリから始まるデコボコな男女の恋愛ストーリー！！")</f>
        <v>「俺たち相性100％なんだって？」日々バリバリと働いていた美沙希だが、誕生日に2年付き合った恋人から別れを告げられる事に。心機一転マッチングアプリで新たな出会いを求めようと登録するが、そんな中、とある会社にコンサルとして出向することになった美沙希は、そこで不遜な態度の御曹司、神宮寺と出会う…。神宮寺と白熱しつつも順調に仕事を進める彼女の元に、1件のマッチング通知が届くのだが、その結果に美沙希は驚愕することに――マッチングアプリから始まるデコボコな男女の恋愛ストーリー！！</v>
      </c>
      <c r="W3056" s="14"/>
      <c r="X3056" s="14" t="str">
        <f>IFERROR(__xludf.DUMMYFUNCTION("""COMPUTED_VALUE"""),"有")</f>
        <v>有</v>
      </c>
      <c r="Y3056" s="8" t="str">
        <f>IFERROR(__xludf.DUMMYFUNCTION("""COMPUTED_VALUE"""),"2025/7/31まで1巻無料")</f>
        <v>2025/7/31まで1巻無料</v>
      </c>
      <c r="Z3056" s="7"/>
      <c r="AA3056" s="7"/>
      <c r="AB3056" s="7"/>
    </row>
    <row r="3057" ht="15.75" customHeight="1">
      <c r="A3057" s="153">
        <f>IFERROR(__xludf.DUMMYFUNCTION("""COMPUTED_VALUE"""),5261.0)</f>
        <v>5261</v>
      </c>
      <c r="B3057" s="152" t="str">
        <f>IFERROR(__xludf.DUMMYFUNCTION("""COMPUTED_VALUE"""),"確定")</f>
        <v>確定</v>
      </c>
      <c r="C3057" s="154">
        <f>IFERROR(__xludf.DUMMYFUNCTION("""COMPUTED_VALUE"""),45730.0)</f>
        <v>45730</v>
      </c>
      <c r="D3057" s="154">
        <f>IFERROR(__xludf.DUMMYFUNCTION("""COMPUTED_VALUE"""),45740.0)</f>
        <v>45740</v>
      </c>
      <c r="E3057" s="158">
        <f>IFERROR(__xludf.DUMMYFUNCTION("""COMPUTED_VALUE"""),321823.0)</f>
        <v>321823</v>
      </c>
      <c r="F3057" s="159" t="str">
        <f>IFERROR(__xludf.DUMMYFUNCTION("""COMPUTED_VALUE"""),"つが恋～後天性Ωの運命～［ばら売り］")</f>
        <v>つが恋～後天性Ωの運命～［ばら売り］</v>
      </c>
      <c r="G3057" s="152" t="str">
        <f>IFERROR(__xludf.DUMMYFUNCTION("""COMPUTED_VALUE"""),"1～4")</f>
        <v>1～4</v>
      </c>
      <c r="H3057" s="152" t="str">
        <f>IFERROR(__xludf.DUMMYFUNCTION("""COMPUTED_VALUE"""),"千桜都マルミ")</f>
        <v>千桜都マルミ</v>
      </c>
      <c r="I3057" s="152" t="str">
        <f>IFERROR(__xludf.DUMMYFUNCTION("""COMPUTED_VALUE"""),"BL")</f>
        <v>BL</v>
      </c>
      <c r="J3057" s="157"/>
      <c r="K3057" s="157" t="str">
        <f>IFERROR(__xludf.DUMMYFUNCTION("""COMPUTED_VALUE"""),"マンガPark")</f>
        <v>マンガPark</v>
      </c>
      <c r="L3057" s="152" t="str">
        <f>IFERROR(__xludf.DUMMYFUNCTION("""COMPUTED_VALUE"""),"白泉社")</f>
        <v>白泉社</v>
      </c>
      <c r="M3057" s="59">
        <f>IFERROR(__xludf.DUMMYFUNCTION("""COMPUTED_VALUE"""),45787.0)</f>
        <v>45787</v>
      </c>
      <c r="N3057" s="23">
        <f>IFERROR(__xludf.DUMMYFUNCTION("""COMPUTED_VALUE"""),45849.0)</f>
        <v>45849</v>
      </c>
      <c r="O3057" s="152"/>
      <c r="P3057" s="190" t="str">
        <f>IFERROR(__xludf.DUMMYFUNCTION("""COMPUTED_VALUE"""),"可")</f>
        <v>可</v>
      </c>
      <c r="Q3057" s="190"/>
      <c r="R3057" s="152"/>
      <c r="S3057" s="152" t="str">
        <f>IFERROR(__xludf.DUMMYFUNCTION("""COMPUTED_VALUE"""),"20250324_白泉社_つが恋～後天性Ωの運命～［ばら売り］")</f>
        <v>20250324_白泉社_つが恋～後天性Ωの運命～［ばら売り］</v>
      </c>
      <c r="T3057" s="152" t="str">
        <f>IFERROR(__xludf.DUMMYFUNCTION("""COMPUTED_VALUE"""),"格納済み")</f>
        <v>格納済み</v>
      </c>
      <c r="U3057" s="15" t="str">
        <f>IFERROR(__xludf.DUMMYFUNCTION("""COMPUTED_VALUE"""),"Ⓒ千桜都マルミ/白泉社")</f>
        <v>Ⓒ千桜都マルミ/白泉社</v>
      </c>
      <c r="V3057" s="8" t="str">
        <f>IFERROR(__xludf.DUMMYFUNCTION("""COMPUTED_VALUE"""),"【第1話】【帝王アルファ×後天性オメガ。番（つがい）から始まる恋】大学で王子と騒がれる一ノ瀬絢斗（α）の正体は、運命のΩと出会い結婚することを夢見るロマンチスト（童貞）。ある日、大学で乱交中のヤリチン帝王・大取楓（α）と出会った瞬間、α同士にも関わらず運命を感じてしまい…！？純情と欲情の間で揺れ動く、甘エロBL。")</f>
        <v>【第1話】【帝王アルファ×後天性オメガ。番（つがい）から始まる恋】大学で王子と騒がれる一ノ瀬絢斗（α）の正体は、運命のΩと出会い結婚することを夢見るロマンチスト（童貞）。ある日、大学で乱交中のヤリチン帝王・大取楓（α）と出会った瞬間、α同士にも関わらず運命を感じてしまい…！？純情と欲情の間で揺れ動く、甘エロBL。</v>
      </c>
      <c r="W3057" s="14"/>
      <c r="X3057" s="14" t="str">
        <f>IFERROR(__xludf.DUMMYFUNCTION("""COMPUTED_VALUE"""),"有")</f>
        <v>有</v>
      </c>
      <c r="Y3057" s="8" t="str">
        <f>IFERROR(__xludf.DUMMYFUNCTION("""COMPUTED_VALUE"""),"2025/5/23まで1巻無料")</f>
        <v>2025/5/23まで1巻無料</v>
      </c>
      <c r="Z3057" s="7"/>
      <c r="AA3057" s="7"/>
      <c r="AB3057" s="7"/>
    </row>
    <row r="3058" ht="15.75" customHeight="1">
      <c r="A3058" s="153">
        <f>IFERROR(__xludf.DUMMYFUNCTION("""COMPUTED_VALUE"""),5263.0)</f>
        <v>5263</v>
      </c>
      <c r="B3058" s="152" t="str">
        <f>IFERROR(__xludf.DUMMYFUNCTION("""COMPUTED_VALUE"""),"確定")</f>
        <v>確定</v>
      </c>
      <c r="C3058" s="154">
        <f>IFERROR(__xludf.DUMMYFUNCTION("""COMPUTED_VALUE"""),45733.0)</f>
        <v>45733</v>
      </c>
      <c r="D3058" s="154">
        <f>IFERROR(__xludf.DUMMYFUNCTION("""COMPUTED_VALUE"""),45742.0)</f>
        <v>45742</v>
      </c>
      <c r="E3058" s="155">
        <f>IFERROR(__xludf.DUMMYFUNCTION("""COMPUTED_VALUE"""),321103.0)</f>
        <v>321103</v>
      </c>
      <c r="F3058" s="156" t="str">
        <f>IFERROR(__xludf.DUMMYFUNCTION("""COMPUTED_VALUE"""),"落ちこぼれをキャリーして【分冊版】")</f>
        <v>落ちこぼれをキャリーして【分冊版】</v>
      </c>
      <c r="G3058" s="152" t="str">
        <f>IFERROR(__xludf.DUMMYFUNCTION("""COMPUTED_VALUE"""),"1～10")</f>
        <v>1～10</v>
      </c>
      <c r="H3058" s="152" t="str">
        <f>IFERROR(__xludf.DUMMYFUNCTION("""COMPUTED_VALUE"""),"ビッグパイ, シムシム")</f>
        <v>ビッグパイ, シムシム</v>
      </c>
      <c r="I3058" s="152" t="str">
        <f>IFERROR(__xludf.DUMMYFUNCTION("""COMPUTED_VALUE"""),"青年")</f>
        <v>青年</v>
      </c>
      <c r="J3058" s="157"/>
      <c r="K3058" s="157"/>
      <c r="L3058" s="152" t="str">
        <f>IFERROR(__xludf.DUMMYFUNCTION("""COMPUTED_VALUE"""),"リバース")</f>
        <v>リバース</v>
      </c>
      <c r="M3058" s="59">
        <f>IFERROR(__xludf.DUMMYFUNCTION("""COMPUTED_VALUE"""),45781.0)</f>
        <v>45781</v>
      </c>
      <c r="N3058" s="23">
        <f>IFERROR(__xludf.DUMMYFUNCTION("""COMPUTED_VALUE"""),45844.0)</f>
        <v>45844</v>
      </c>
      <c r="O3058" s="152"/>
      <c r="P3058" s="190" t="str">
        <f>IFERROR(__xludf.DUMMYFUNCTION("""COMPUTED_VALUE"""),"可")</f>
        <v>可</v>
      </c>
      <c r="Q3058" s="190" t="str">
        <f>IFERROR(__xludf.DUMMYFUNCTION("""COMPUTED_VALUE"""),"・配信の際にはタテヨミではなく版面として配信されます。")</f>
        <v>・配信の際にはタテヨミではなく版面として配信されます。</v>
      </c>
      <c r="R3058" s="152" t="str">
        <f>IFERROR(__xludf.DUMMYFUNCTION("""COMPUTED_VALUE"""),"コミットOK")</f>
        <v>コミットOK</v>
      </c>
      <c r="S3058" s="152" t="str">
        <f>IFERROR(__xludf.DUMMYFUNCTION("""COMPUTED_VALUE"""),"20250325_リバース_落ちこぼれをキャリーして【分冊版】")</f>
        <v>20250325_リバース_落ちこぼれをキャリーして【分冊版】</v>
      </c>
      <c r="T3058" s="152" t="str">
        <f>IFERROR(__xludf.DUMMYFUNCTION("""COMPUTED_VALUE"""),"格納済み")</f>
        <v>格納済み</v>
      </c>
      <c r="U3058" s="15" t="str">
        <f>IFERROR(__xludf.DUMMYFUNCTION("""COMPUTED_VALUE"""),"Ⓒビッグパイ, シムシム, Toomics / GO5")</f>
        <v>Ⓒビッグパイ, シムシム, Toomics / GO5</v>
      </c>
      <c r="V3058" s="8" t="str">
        <f>IFERROR(__xludf.DUMMYFUNCTION("""COMPUTED_VALUE"""),"落ちこぼれの俺の前に現れたある女！突然ゲーム対決することになったけど勝ったら…ヤラせてくれるって!?")</f>
        <v>落ちこぼれの俺の前に現れたある女！突然ゲーム対決することになったけど勝ったら…ヤラせてくれるって!?</v>
      </c>
      <c r="W3058" s="14"/>
      <c r="X3058" s="14" t="str">
        <f>IFERROR(__xludf.DUMMYFUNCTION("""COMPUTED_VALUE"""),"有")</f>
        <v>有</v>
      </c>
      <c r="Y3058" s="8" t="str">
        <f>IFERROR(__xludf.DUMMYFUNCTION("""COMPUTED_VALUE"""),"1巻無料")</f>
        <v>1巻無料</v>
      </c>
      <c r="Z3058" s="7"/>
      <c r="AA3058" s="7"/>
      <c r="AB3058" s="7"/>
    </row>
    <row r="3059" ht="15.75" customHeight="1">
      <c r="A3059" s="153">
        <f>IFERROR(__xludf.DUMMYFUNCTION("""COMPUTED_VALUE"""),5264.0)</f>
        <v>5264</v>
      </c>
      <c r="B3059" s="152" t="str">
        <f>IFERROR(__xludf.DUMMYFUNCTION("""COMPUTED_VALUE"""),"確定")</f>
        <v>確定</v>
      </c>
      <c r="C3059" s="154">
        <f>IFERROR(__xludf.DUMMYFUNCTION("""COMPUTED_VALUE"""),45733.0)</f>
        <v>45733</v>
      </c>
      <c r="D3059" s="154">
        <f>IFERROR(__xludf.DUMMYFUNCTION("""COMPUTED_VALUE"""),45742.0)</f>
        <v>45742</v>
      </c>
      <c r="E3059" s="155">
        <f>IFERROR(__xludf.DUMMYFUNCTION("""COMPUTED_VALUE"""),321104.0)</f>
        <v>321104</v>
      </c>
      <c r="F3059" s="156" t="str">
        <f>IFERROR(__xludf.DUMMYFUNCTION("""COMPUTED_VALUE"""),"昨夜の記憶がないんだが、どうやら全員と…【分冊版】")</f>
        <v>昨夜の記憶がないんだが、どうやら全員と…【分冊版】</v>
      </c>
      <c r="G3059" s="152" t="str">
        <f>IFERROR(__xludf.DUMMYFUNCTION("""COMPUTED_VALUE"""),"1～10")</f>
        <v>1～10</v>
      </c>
      <c r="H3059" s="152" t="str">
        <f>IFERROR(__xludf.DUMMYFUNCTION("""COMPUTED_VALUE"""),"スマタナ, チームBY")</f>
        <v>スマタナ, チームBY</v>
      </c>
      <c r="I3059" s="152" t="str">
        <f>IFERROR(__xludf.DUMMYFUNCTION("""COMPUTED_VALUE"""),"青年")</f>
        <v>青年</v>
      </c>
      <c r="J3059" s="157"/>
      <c r="K3059" s="157"/>
      <c r="L3059" s="152" t="str">
        <f>IFERROR(__xludf.DUMMYFUNCTION("""COMPUTED_VALUE"""),"リバース")</f>
        <v>リバース</v>
      </c>
      <c r="M3059" s="59">
        <f>IFERROR(__xludf.DUMMYFUNCTION("""COMPUTED_VALUE"""),45781.0)</f>
        <v>45781</v>
      </c>
      <c r="N3059" s="23">
        <f>IFERROR(__xludf.DUMMYFUNCTION("""COMPUTED_VALUE"""),45844.0)</f>
        <v>45844</v>
      </c>
      <c r="O3059" s="152"/>
      <c r="P3059" s="190" t="str">
        <f>IFERROR(__xludf.DUMMYFUNCTION("""COMPUTED_VALUE"""),"可")</f>
        <v>可</v>
      </c>
      <c r="Q3059" s="190" t="str">
        <f>IFERROR(__xludf.DUMMYFUNCTION("""COMPUTED_VALUE"""),"・配信の際にはタテヨミではなく版面として配信されます。")</f>
        <v>・配信の際にはタテヨミではなく版面として配信されます。</v>
      </c>
      <c r="R3059" s="152" t="str">
        <f>IFERROR(__xludf.DUMMYFUNCTION("""COMPUTED_VALUE"""),"コミットOK")</f>
        <v>コミットOK</v>
      </c>
      <c r="S3059" s="152" t="str">
        <f>IFERROR(__xludf.DUMMYFUNCTION("""COMPUTED_VALUE"""),"20250325_リバース_昨夜の記憶がないんだが、どうやら全員と…【分冊版】")</f>
        <v>20250325_リバース_昨夜の記憶がないんだが、どうやら全員と…【分冊版】</v>
      </c>
      <c r="T3059" s="152" t="str">
        <f>IFERROR(__xludf.DUMMYFUNCTION("""COMPUTED_VALUE"""),"格納済み")</f>
        <v>格納済み</v>
      </c>
      <c r="U3059" s="15" t="str">
        <f>IFERROR(__xludf.DUMMYFUNCTION("""COMPUTED_VALUE"""),"Ⓒスマタナ, チームBY, Toomics / GO5")</f>
        <v>Ⓒスマタナ, チームBY, Toomics / GO5</v>
      </c>
      <c r="V3059" s="8" t="str">
        <f>IFERROR(__xludf.DUMMYFUNCTION("""COMPUTED_VALUE"""),"グループワークの最中、彼女と別れた俺。同じチームの仲間女子３人と慰め会をした…が目の前に広がったのは…俺、これからどうしよう？")</f>
        <v>グループワークの最中、彼女と別れた俺。同じチームの仲間女子３人と慰め会をした…が目の前に広がったのは…俺、これからどうしよう？</v>
      </c>
      <c r="W3059" s="14"/>
      <c r="X3059" s="14" t="str">
        <f>IFERROR(__xludf.DUMMYFUNCTION("""COMPUTED_VALUE"""),"有")</f>
        <v>有</v>
      </c>
      <c r="Y3059" s="8" t="str">
        <f>IFERROR(__xludf.DUMMYFUNCTION("""COMPUTED_VALUE"""),"1巻無料")</f>
        <v>1巻無料</v>
      </c>
      <c r="Z3059" s="7"/>
      <c r="AA3059" s="7"/>
      <c r="AB3059" s="7"/>
    </row>
    <row r="3060" ht="15.75" customHeight="1">
      <c r="A3060" s="153">
        <f>IFERROR(__xludf.DUMMYFUNCTION("""COMPUTED_VALUE"""),5265.0)</f>
        <v>5265</v>
      </c>
      <c r="B3060" s="152" t="str">
        <f>IFERROR(__xludf.DUMMYFUNCTION("""COMPUTED_VALUE"""),"確定")</f>
        <v>確定</v>
      </c>
      <c r="C3060" s="154">
        <f>IFERROR(__xludf.DUMMYFUNCTION("""COMPUTED_VALUE"""),45733.0)</f>
        <v>45733</v>
      </c>
      <c r="D3060" s="154">
        <f>IFERROR(__xludf.DUMMYFUNCTION("""COMPUTED_VALUE"""),45742.0)</f>
        <v>45742</v>
      </c>
      <c r="E3060" s="155">
        <f>IFERROR(__xludf.DUMMYFUNCTION("""COMPUTED_VALUE"""),321105.0)</f>
        <v>321105</v>
      </c>
      <c r="F3060" s="156" t="str">
        <f>IFERROR(__xludf.DUMMYFUNCTION("""COMPUTED_VALUE"""),"我が家のヒモ男♥【分冊版】")</f>
        <v>我が家のヒモ男♥【分冊版】</v>
      </c>
      <c r="G3060" s="152" t="str">
        <f>IFERROR(__xludf.DUMMYFUNCTION("""COMPUTED_VALUE"""),"1～10")</f>
        <v>1～10</v>
      </c>
      <c r="H3060" s="152" t="str">
        <f>IFERROR(__xludf.DUMMYFUNCTION("""COMPUTED_VALUE"""),"K次長, L課長")</f>
        <v>K次長, L課長</v>
      </c>
      <c r="I3060" s="152" t="str">
        <f>IFERROR(__xludf.DUMMYFUNCTION("""COMPUTED_VALUE"""),"青年")</f>
        <v>青年</v>
      </c>
      <c r="J3060" s="157"/>
      <c r="K3060" s="157"/>
      <c r="L3060" s="152" t="str">
        <f>IFERROR(__xludf.DUMMYFUNCTION("""COMPUTED_VALUE"""),"リバース")</f>
        <v>リバース</v>
      </c>
      <c r="M3060" s="59">
        <f>IFERROR(__xludf.DUMMYFUNCTION("""COMPUTED_VALUE"""),45781.0)</f>
        <v>45781</v>
      </c>
      <c r="N3060" s="23">
        <f>IFERROR(__xludf.DUMMYFUNCTION("""COMPUTED_VALUE"""),45844.0)</f>
        <v>45844</v>
      </c>
      <c r="O3060" s="152"/>
      <c r="P3060" s="190" t="str">
        <f>IFERROR(__xludf.DUMMYFUNCTION("""COMPUTED_VALUE"""),"可")</f>
        <v>可</v>
      </c>
      <c r="Q3060" s="190" t="str">
        <f>IFERROR(__xludf.DUMMYFUNCTION("""COMPUTED_VALUE"""),"・配信の際にはタテヨミではなく版面として配信されます。")</f>
        <v>・配信の際にはタテヨミではなく版面として配信されます。</v>
      </c>
      <c r="R3060" s="152" t="str">
        <f>IFERROR(__xludf.DUMMYFUNCTION("""COMPUTED_VALUE"""),"コミットNG")</f>
        <v>コミットNG</v>
      </c>
      <c r="S3060" s="152" t="str">
        <f>IFERROR(__xludf.DUMMYFUNCTION("""COMPUTED_VALUE"""),"20250325_リバース_我が家のヒモ男♥【分冊版】")</f>
        <v>20250325_リバース_我が家のヒモ男♥【分冊版】</v>
      </c>
      <c r="T3060" s="152" t="str">
        <f>IFERROR(__xludf.DUMMYFUNCTION("""COMPUTED_VALUE"""),"格納済み")</f>
        <v>格納済み</v>
      </c>
      <c r="U3060" s="15" t="str">
        <f>IFERROR(__xludf.DUMMYFUNCTION("""COMPUTED_VALUE"""),"ⒸK次長, L課長, Toomics / GO5")</f>
        <v>ⒸK次長, L課長, Toomics / GO5</v>
      </c>
      <c r="V3060" s="8" t="str">
        <f>IFERROR(__xludf.DUMMYFUNCTION("""COMPUTED_VALUE"""),"妻の実家で暮らしてる冴えない男・モチオだけどそんな彼に翻弄される女性たちがいて…!?")</f>
        <v>妻の実家で暮らしてる冴えない男・モチオだけどそんな彼に翻弄される女性たちがいて…!?</v>
      </c>
      <c r="W3060" s="14"/>
      <c r="X3060" s="14" t="str">
        <f>IFERROR(__xludf.DUMMYFUNCTION("""COMPUTED_VALUE"""),"有")</f>
        <v>有</v>
      </c>
      <c r="Y3060" s="8" t="str">
        <f>IFERROR(__xludf.DUMMYFUNCTION("""COMPUTED_VALUE"""),"1巻無料")</f>
        <v>1巻無料</v>
      </c>
      <c r="Z3060" s="7"/>
      <c r="AA3060" s="7"/>
      <c r="AB3060" s="7"/>
    </row>
    <row r="3061" ht="15.75" customHeight="1">
      <c r="A3061" s="153">
        <f>IFERROR(__xludf.DUMMYFUNCTION("""COMPUTED_VALUE"""),5266.0)</f>
        <v>5266</v>
      </c>
      <c r="B3061" s="152" t="str">
        <f>IFERROR(__xludf.DUMMYFUNCTION("""COMPUTED_VALUE"""),"確定")</f>
        <v>確定</v>
      </c>
      <c r="C3061" s="154">
        <f>IFERROR(__xludf.DUMMYFUNCTION("""COMPUTED_VALUE"""),45733.0)</f>
        <v>45733</v>
      </c>
      <c r="D3061" s="154">
        <f>IFERROR(__xludf.DUMMYFUNCTION("""COMPUTED_VALUE"""),45742.0)</f>
        <v>45742</v>
      </c>
      <c r="E3061" s="155">
        <f>IFERROR(__xludf.DUMMYFUNCTION("""COMPUTED_VALUE"""),321106.0)</f>
        <v>321106</v>
      </c>
      <c r="F3061" s="156" t="str">
        <f>IFERROR(__xludf.DUMMYFUNCTION("""COMPUTED_VALUE"""),"純白ユナ先輩は毎日シてみたい【分冊版】")</f>
        <v>純白ユナ先輩は毎日シてみたい【分冊版】</v>
      </c>
      <c r="G3061" s="152" t="str">
        <f>IFERROR(__xludf.DUMMYFUNCTION("""COMPUTED_VALUE"""),"1～10")</f>
        <v>1～10</v>
      </c>
      <c r="H3061" s="152" t="str">
        <f>IFERROR(__xludf.DUMMYFUNCTION("""COMPUTED_VALUE"""),"ももせ, IngSook")</f>
        <v>ももせ, IngSook</v>
      </c>
      <c r="I3061" s="152" t="str">
        <f>IFERROR(__xludf.DUMMYFUNCTION("""COMPUTED_VALUE"""),"青年")</f>
        <v>青年</v>
      </c>
      <c r="J3061" s="157"/>
      <c r="K3061" s="157"/>
      <c r="L3061" s="152" t="str">
        <f>IFERROR(__xludf.DUMMYFUNCTION("""COMPUTED_VALUE"""),"リバース")</f>
        <v>リバース</v>
      </c>
      <c r="M3061" s="59">
        <f>IFERROR(__xludf.DUMMYFUNCTION("""COMPUTED_VALUE"""),45781.0)</f>
        <v>45781</v>
      </c>
      <c r="N3061" s="23">
        <f>IFERROR(__xludf.DUMMYFUNCTION("""COMPUTED_VALUE"""),45844.0)</f>
        <v>45844</v>
      </c>
      <c r="O3061" s="152"/>
      <c r="P3061" s="190" t="str">
        <f>IFERROR(__xludf.DUMMYFUNCTION("""COMPUTED_VALUE"""),"可")</f>
        <v>可</v>
      </c>
      <c r="Q3061" s="190" t="str">
        <f>IFERROR(__xludf.DUMMYFUNCTION("""COMPUTED_VALUE"""),"・配信の際にはタテヨミではなく版面として配信されます。")</f>
        <v>・配信の際にはタテヨミではなく版面として配信されます。</v>
      </c>
      <c r="R3061" s="152" t="str">
        <f>IFERROR(__xludf.DUMMYFUNCTION("""COMPUTED_VALUE"""),"コミットNG")</f>
        <v>コミットNG</v>
      </c>
      <c r="S3061" s="152" t="str">
        <f>IFERROR(__xludf.DUMMYFUNCTION("""COMPUTED_VALUE"""),"20250325_リバース_純白ユナ先輩は毎日シてみたい【分冊版】")</f>
        <v>20250325_リバース_純白ユナ先輩は毎日シてみたい【分冊版】</v>
      </c>
      <c r="T3061" s="152" t="str">
        <f>IFERROR(__xludf.DUMMYFUNCTION("""COMPUTED_VALUE"""),"格納済み")</f>
        <v>格納済み</v>
      </c>
      <c r="U3061" s="15" t="str">
        <f>IFERROR(__xludf.DUMMYFUNCTION("""COMPUTED_VALUE"""),"Ⓒももせ, IngSook, Toomics / GO5")</f>
        <v>Ⓒももせ, IngSook, Toomics / GO5</v>
      </c>
      <c r="V3061" s="8" t="str">
        <f>IFERROR(__xludf.DUMMYFUNCTION("""COMPUTED_VALUE"""),"普通の大学生活を夢見て入部した英会話サークル。そこで友達を作ろうとしたはずが…｢したことある？セックス｣")</f>
        <v>普通の大学生活を夢見て入部した英会話サークル。そこで友達を作ろうとしたはずが…｢したことある？セックス｣</v>
      </c>
      <c r="W3061" s="14"/>
      <c r="X3061" s="14" t="str">
        <f>IFERROR(__xludf.DUMMYFUNCTION("""COMPUTED_VALUE"""),"有")</f>
        <v>有</v>
      </c>
      <c r="Y3061" s="8" t="str">
        <f>IFERROR(__xludf.DUMMYFUNCTION("""COMPUTED_VALUE"""),"1巻無料")</f>
        <v>1巻無料</v>
      </c>
      <c r="Z3061" s="7"/>
      <c r="AA3061" s="7"/>
      <c r="AB3061" s="7"/>
    </row>
    <row r="3062" ht="15.75" customHeight="1">
      <c r="A3062" s="153">
        <f>IFERROR(__xludf.DUMMYFUNCTION("""COMPUTED_VALUE"""),5267.0)</f>
        <v>5267</v>
      </c>
      <c r="B3062" s="152" t="str">
        <f>IFERROR(__xludf.DUMMYFUNCTION("""COMPUTED_VALUE"""),"確定")</f>
        <v>確定</v>
      </c>
      <c r="C3062" s="154">
        <f>IFERROR(__xludf.DUMMYFUNCTION("""COMPUTED_VALUE"""),45733.0)</f>
        <v>45733</v>
      </c>
      <c r="D3062" s="154">
        <f>IFERROR(__xludf.DUMMYFUNCTION("""COMPUTED_VALUE"""),45742.0)</f>
        <v>45742</v>
      </c>
      <c r="E3062" s="155">
        <f>IFERROR(__xludf.DUMMYFUNCTION("""COMPUTED_VALUE"""),321107.0)</f>
        <v>321107</v>
      </c>
      <c r="F3062" s="156" t="str">
        <f>IFERROR(__xludf.DUMMYFUNCTION("""COMPUTED_VALUE"""),"４人は無理だって！【分冊版】")</f>
        <v>４人は無理だって！【分冊版】</v>
      </c>
      <c r="G3062" s="152" t="str">
        <f>IFERROR(__xludf.DUMMYFUNCTION("""COMPUTED_VALUE"""),"1～10")</f>
        <v>1～10</v>
      </c>
      <c r="H3062" s="152" t="str">
        <f>IFERROR(__xludf.DUMMYFUNCTION("""COMPUTED_VALUE"""),"オーソドックス, タス")</f>
        <v>オーソドックス, タス</v>
      </c>
      <c r="I3062" s="152" t="str">
        <f>IFERROR(__xludf.DUMMYFUNCTION("""COMPUTED_VALUE"""),"青年")</f>
        <v>青年</v>
      </c>
      <c r="J3062" s="157"/>
      <c r="K3062" s="157"/>
      <c r="L3062" s="152" t="str">
        <f>IFERROR(__xludf.DUMMYFUNCTION("""COMPUTED_VALUE"""),"リバース")</f>
        <v>リバース</v>
      </c>
      <c r="M3062" s="59">
        <f>IFERROR(__xludf.DUMMYFUNCTION("""COMPUTED_VALUE"""),45781.0)</f>
        <v>45781</v>
      </c>
      <c r="N3062" s="23">
        <f>IFERROR(__xludf.DUMMYFUNCTION("""COMPUTED_VALUE"""),45844.0)</f>
        <v>45844</v>
      </c>
      <c r="O3062" s="152"/>
      <c r="P3062" s="190" t="str">
        <f>IFERROR(__xludf.DUMMYFUNCTION("""COMPUTED_VALUE"""),"可")</f>
        <v>可</v>
      </c>
      <c r="Q3062" s="190" t="str">
        <f>IFERROR(__xludf.DUMMYFUNCTION("""COMPUTED_VALUE"""),"・配信の際にはタテヨミではなく版面として配信されます。")</f>
        <v>・配信の際にはタテヨミではなく版面として配信されます。</v>
      </c>
      <c r="R3062" s="152" t="str">
        <f>IFERROR(__xludf.DUMMYFUNCTION("""COMPUTED_VALUE"""),"コミットNG")</f>
        <v>コミットNG</v>
      </c>
      <c r="S3062" s="152" t="str">
        <f>IFERROR(__xludf.DUMMYFUNCTION("""COMPUTED_VALUE"""),"20250325_リバース_４人は無理だって！【分冊版】")</f>
        <v>20250325_リバース_４人は無理だって！【分冊版】</v>
      </c>
      <c r="T3062" s="152" t="str">
        <f>IFERROR(__xludf.DUMMYFUNCTION("""COMPUTED_VALUE"""),"格納済み")</f>
        <v>格納済み</v>
      </c>
      <c r="U3062" s="15" t="str">
        <f>IFERROR(__xludf.DUMMYFUNCTION("""COMPUTED_VALUE"""),"Ⓒオーソドックス, タス, Toomics / GO5")</f>
        <v>Ⓒオーソドックス, タス, Toomics / GO5</v>
      </c>
      <c r="V3062" s="8" t="str">
        <f>IFERROR(__xludf.DUMMYFUNCTION("""COMPUTED_VALUE"""),"悪質商法の会社から幼なじみのお姉さんを救い出したのがきっかけで…ドキドキのアブナイ同居生活が始まる…♡")</f>
        <v>悪質商法の会社から幼なじみのお姉さんを救い出したのがきっかけで…ドキドキのアブナイ同居生活が始まる…♡</v>
      </c>
      <c r="W3062" s="14"/>
      <c r="X3062" s="14" t="str">
        <f>IFERROR(__xludf.DUMMYFUNCTION("""COMPUTED_VALUE"""),"有")</f>
        <v>有</v>
      </c>
      <c r="Y3062" s="8" t="str">
        <f>IFERROR(__xludf.DUMMYFUNCTION("""COMPUTED_VALUE"""),"1巻無料")</f>
        <v>1巻無料</v>
      </c>
      <c r="Z3062" s="7"/>
      <c r="AA3062" s="7"/>
      <c r="AB3062" s="7"/>
    </row>
    <row r="3063" ht="15.75" customHeight="1">
      <c r="A3063" s="153">
        <f>IFERROR(__xludf.DUMMYFUNCTION("""COMPUTED_VALUE"""),5292.0)</f>
        <v>5292</v>
      </c>
      <c r="B3063" s="152" t="str">
        <f>IFERROR(__xludf.DUMMYFUNCTION("""COMPUTED_VALUE"""),"確定")</f>
        <v>確定</v>
      </c>
      <c r="C3063" s="154">
        <f>IFERROR(__xludf.DUMMYFUNCTION("""COMPUTED_VALUE"""),45735.0)</f>
        <v>45735</v>
      </c>
      <c r="D3063" s="154">
        <f>IFERROR(__xludf.DUMMYFUNCTION("""COMPUTED_VALUE"""),45735.0)</f>
        <v>45735</v>
      </c>
      <c r="E3063" s="158">
        <f>IFERROR(__xludf.DUMMYFUNCTION("""COMPUTED_VALUE"""),319867.0)</f>
        <v>319867</v>
      </c>
      <c r="F3063" s="159" t="str">
        <f>IFERROR(__xludf.DUMMYFUNCTION("""COMPUTED_VALUE"""),"鵺との婚姻")</f>
        <v>鵺との婚姻</v>
      </c>
      <c r="G3063" s="152" t="str">
        <f>IFERROR(__xludf.DUMMYFUNCTION("""COMPUTED_VALUE"""),"1～3")</f>
        <v>1～3</v>
      </c>
      <c r="H3063" s="152" t="str">
        <f>IFERROR(__xludf.DUMMYFUNCTION("""COMPUTED_VALUE"""),"野田狛")</f>
        <v>野田狛</v>
      </c>
      <c r="I3063" s="152" t="str">
        <f>IFERROR(__xludf.DUMMYFUNCTION("""COMPUTED_VALUE"""),"少女マンガ")</f>
        <v>少女マンガ</v>
      </c>
      <c r="J3063" s="157"/>
      <c r="K3063" s="157" t="str">
        <f>IFERROR(__xludf.DUMMYFUNCTION("""COMPUTED_VALUE"""),"シーモア×MAGKAN PLUS")</f>
        <v>シーモア×MAGKAN PLUS</v>
      </c>
      <c r="L3063" s="152" t="str">
        <f>IFERROR(__xludf.DUMMYFUNCTION("""COMPUTED_VALUE"""),"マッグガーデン")</f>
        <v>マッグガーデン</v>
      </c>
      <c r="M3063" s="59">
        <f>IFERROR(__xludf.DUMMYFUNCTION("""COMPUTED_VALUE"""),45765.0)</f>
        <v>45765</v>
      </c>
      <c r="N3063" s="23">
        <f>IFERROR(__xludf.DUMMYFUNCTION("""COMPUTED_VALUE"""),45919.0)</f>
        <v>45919</v>
      </c>
      <c r="O3063" s="152"/>
      <c r="P3063" s="190" t="str">
        <f>IFERROR(__xludf.DUMMYFUNCTION("""COMPUTED_VALUE"""),"否")</f>
        <v>否</v>
      </c>
      <c r="Q3063" s="190"/>
      <c r="R3063" s="152"/>
      <c r="S3063" s="152" t="str">
        <f>IFERROR(__xludf.DUMMYFUNCTION("""COMPUTED_VALUE"""),"20250319_マッグガーデン_鵺との婚姻")</f>
        <v>20250319_マッグガーデン_鵺との婚姻</v>
      </c>
      <c r="T3063" s="152" t="str">
        <f>IFERROR(__xludf.DUMMYFUNCTION("""COMPUTED_VALUE"""),"格納済み")</f>
        <v>格納済み</v>
      </c>
      <c r="U3063" s="15" t="str">
        <f>IFERROR(__xludf.DUMMYFUNCTION("""COMPUTED_VALUE"""),"Ⓒ野田狛/MAG Garden")</f>
        <v>Ⓒ野田狛/MAG Garden</v>
      </c>
      <c r="V3063" s="8" t="str">
        <f>IFERROR(__xludf.DUMMYFUNCTION("""COMPUTED_VALUE"""),"妖退治を請け負う「祓い屋」の一家に生まれた天塚つばめ。妖に両親を殺され、つばめの祓い屋としての力も奪われてしまった事件以来、彼女は無力感を抱えながらも、両親との思い出を糧に生きてきた。ある日、叔父に両親の形見を奪われそうになってしまったつばめは、必死に抵抗するものの敵わず、死を覚悟する。そんな彼女の前に現れたのは、とある人物で──…。")</f>
        <v>妖退治を請け負う「祓い屋」の一家に生まれた天塚つばめ。妖に両親を殺され、つばめの祓い屋としての力も奪われてしまった事件以来、彼女は無力感を抱えながらも、両親との思い出を糧に生きてきた。ある日、叔父に両親の形見を奪われそうになってしまったつばめは、必死に抵抗するものの敵わず、死を覚悟する。そんな彼女の前に現れたのは、とある人物で──…。</v>
      </c>
      <c r="W3063" s="14"/>
      <c r="X3063" s="14" t="str">
        <f>IFERROR(__xludf.DUMMYFUNCTION("""COMPUTED_VALUE"""),"有")</f>
        <v>有</v>
      </c>
      <c r="Y3063" s="8" t="str">
        <f>IFERROR(__xludf.DUMMYFUNCTION("""COMPUTED_VALUE"""),"2025/5/1まで1巻無料")</f>
        <v>2025/5/1まで1巻無料</v>
      </c>
      <c r="Z3063" s="7"/>
      <c r="AA3063" s="7"/>
      <c r="AB3063" s="7"/>
    </row>
    <row r="3064" ht="15.75" customHeight="1">
      <c r="A3064" s="153">
        <f>IFERROR(__xludf.DUMMYFUNCTION("""COMPUTED_VALUE"""),5307.0)</f>
        <v>5307</v>
      </c>
      <c r="B3064" s="152" t="str">
        <f>IFERROR(__xludf.DUMMYFUNCTION("""COMPUTED_VALUE"""),"確定")</f>
        <v>確定</v>
      </c>
      <c r="C3064" s="154">
        <f>IFERROR(__xludf.DUMMYFUNCTION("""COMPUTED_VALUE"""),45737.0)</f>
        <v>45737</v>
      </c>
      <c r="D3064" s="154">
        <f>IFERROR(__xludf.DUMMYFUNCTION("""COMPUTED_VALUE"""),45742.0)</f>
        <v>45742</v>
      </c>
      <c r="E3064" s="200">
        <f>IFERROR(__xludf.DUMMYFUNCTION("""COMPUTED_VALUE"""),280992.0)</f>
        <v>280992</v>
      </c>
      <c r="F3064" s="156" t="str">
        <f>IFERROR(__xludf.DUMMYFUNCTION("""COMPUTED_VALUE"""),"初恋は先生でした ～私を見つけてくれた人～")</f>
        <v>初恋は先生でした ～私を見つけてくれた人～</v>
      </c>
      <c r="G3064" s="152" t="str">
        <f>IFERROR(__xludf.DUMMYFUNCTION("""COMPUTED_VALUE"""),"1～3")</f>
        <v>1～3</v>
      </c>
      <c r="H3064" s="152" t="str">
        <f>IFERROR(__xludf.DUMMYFUNCTION("""COMPUTED_VALUE"""),"野田狛")</f>
        <v>野田狛</v>
      </c>
      <c r="I3064" s="152" t="str">
        <f>IFERROR(__xludf.DUMMYFUNCTION("""COMPUTED_VALUE"""),"女性マンガ")</f>
        <v>女性マンガ</v>
      </c>
      <c r="J3064" s="157"/>
      <c r="K3064" s="157" t="str">
        <f>IFERROR(__xludf.DUMMYFUNCTION("""COMPUTED_VALUE"""),"トレモア・リアルラブ,トレモアcollection")</f>
        <v>トレモア・リアルラブ,トレモアcollection</v>
      </c>
      <c r="L3064" s="152" t="str">
        <f>IFERROR(__xludf.DUMMYFUNCTION("""COMPUTED_VALUE"""),"シーモアコミックス（トレモア）")</f>
        <v>シーモアコミックス（トレモア）</v>
      </c>
      <c r="M3064" s="59">
        <f>IFERROR(__xludf.DUMMYFUNCTION("""COMPUTED_VALUE"""),45786.0)</f>
        <v>45786</v>
      </c>
      <c r="N3064" s="23">
        <f>IFERROR(__xludf.DUMMYFUNCTION("""COMPUTED_VALUE"""),2958465.0)</f>
        <v>2958465</v>
      </c>
      <c r="O3064" s="152"/>
      <c r="P3064" s="190" t="str">
        <f>IFERROR(__xludf.DUMMYFUNCTION("""COMPUTED_VALUE"""),"可")</f>
        <v>可</v>
      </c>
      <c r="Q3064" s="190"/>
      <c r="R3064" s="152"/>
      <c r="S3064" s="152" t="str">
        <f>IFERROR(__xludf.DUMMYFUNCTION("""COMPUTED_VALUE"""),"20250321_シーモアコミックス_初恋は先生でした ～私を見つけてくれた人～")</f>
        <v>20250321_シーモアコミックス_初恋は先生でした ～私を見つけてくれた人～</v>
      </c>
      <c r="T3064" s="152" t="str">
        <f>IFERROR(__xludf.DUMMYFUNCTION("""COMPUTED_VALUE"""),"格納済み")</f>
        <v>格納済み</v>
      </c>
      <c r="U3064" s="15" t="str">
        <f>IFERROR(__xludf.DUMMYFUNCTION("""COMPUTED_VALUE"""),"Ⓒ 野田狛/シーモアコミックス")</f>
        <v>Ⓒ 野田狛/シーモアコミックス</v>
      </c>
      <c r="V3064" s="8" t="str">
        <f>IFERROR(__xludf.DUMMYFUNCTION("""COMPUTED_VALUE"""),"華やかで綺麗な姉と、何もない地味な私…。常に優秀な姉と比べられてきた深希(みき)はコンプレックスを抱えたまま自分に自信が持てず、下を向いて生きてきた。ある日、姉からの半ば強制的な誘いで、姉が働く学校に図書室司書として勤めることになる。勤務初日、深希の目の前に現れたのは学生時代に憧れ、しかし叶わぬ恋と諦めた教師の幸原(ゆきはら)だった。幸原は深希を覚えていて、しかもすっかり美人になったと褒めてくれた。高鳴る深希の鼓動。しかしそんな二人に険しい視線を送る姉の姿があった…。")</f>
        <v>華やかで綺麗な姉と、何もない地味な私…。常に優秀な姉と比べられてきた深希(みき)はコンプレックスを抱えたまま自分に自信が持てず、下を向いて生きてきた。ある日、姉からの半ば強制的な誘いで、姉が働く学校に図書室司書として勤めることになる。勤務初日、深希の目の前に現れたのは学生時代に憧れ、しかし叶わぬ恋と諦めた教師の幸原(ゆきはら)だった。幸原は深希を覚えていて、しかもすっかり美人になったと褒めてくれた。高鳴る深希の鼓動。しかしそんな二人に険しい視線を送る姉の姿があった…。</v>
      </c>
      <c r="W3064" s="14"/>
      <c r="X3064" s="14" t="str">
        <f>IFERROR(__xludf.DUMMYFUNCTION("""COMPUTED_VALUE"""),"有")</f>
        <v>有</v>
      </c>
      <c r="Y3064" s="8" t="str">
        <f>IFERROR(__xludf.DUMMYFUNCTION("""COMPUTED_VALUE"""),"2025/12/31まで1巻無料")</f>
        <v>2025/12/31まで1巻無料</v>
      </c>
      <c r="Z3064" s="7"/>
      <c r="AA3064" s="7"/>
      <c r="AB3064" s="7"/>
    </row>
    <row r="3065" ht="15.75" customHeight="1">
      <c r="A3065" s="153">
        <f>IFERROR(__xludf.DUMMYFUNCTION("""COMPUTED_VALUE"""),5308.0)</f>
        <v>5308</v>
      </c>
      <c r="B3065" s="152" t="str">
        <f>IFERROR(__xludf.DUMMYFUNCTION("""COMPUTED_VALUE"""),"確定")</f>
        <v>確定</v>
      </c>
      <c r="C3065" s="154">
        <f>IFERROR(__xludf.DUMMYFUNCTION("""COMPUTED_VALUE"""),45737.0)</f>
        <v>45737</v>
      </c>
      <c r="D3065" s="154">
        <f>IFERROR(__xludf.DUMMYFUNCTION("""COMPUTED_VALUE"""),45740.0)</f>
        <v>45740</v>
      </c>
      <c r="E3065" s="200">
        <f>IFERROR(__xludf.DUMMYFUNCTION("""COMPUTED_VALUE"""),306657.0)</f>
        <v>306657</v>
      </c>
      <c r="F3065" s="156" t="str">
        <f>IFERROR(__xludf.DUMMYFUNCTION("""COMPUTED_VALUE"""),"代わりの花嫁 ～愛する人と、姉の代わりに結婚します～")</f>
        <v>代わりの花嫁 ～愛する人と、姉の代わりに結婚します～</v>
      </c>
      <c r="G3065" s="152" t="str">
        <f>IFERROR(__xludf.DUMMYFUNCTION("""COMPUTED_VALUE"""),"1～3")</f>
        <v>1～3</v>
      </c>
      <c r="H3065" s="152" t="str">
        <f>IFERROR(__xludf.DUMMYFUNCTION("""COMPUTED_VALUE"""),"梅田みさ")</f>
        <v>梅田みさ</v>
      </c>
      <c r="I3065" s="152" t="str">
        <f>IFERROR(__xludf.DUMMYFUNCTION("""COMPUTED_VALUE"""),"少女マンガ")</f>
        <v>少女マンガ</v>
      </c>
      <c r="J3065" s="157"/>
      <c r="K3065" s="157" t="str">
        <f>IFERROR(__xludf.DUMMYFUNCTION("""COMPUTED_VALUE"""),"トレモア・ロマンス,トレモアcollection")</f>
        <v>トレモア・ロマンス,トレモアcollection</v>
      </c>
      <c r="L3065" s="152" t="str">
        <f>IFERROR(__xludf.DUMMYFUNCTION("""COMPUTED_VALUE"""),"シーモアコミックス（トレモア）")</f>
        <v>シーモアコミックス（トレモア）</v>
      </c>
      <c r="M3065" s="59">
        <f>IFERROR(__xludf.DUMMYFUNCTION("""COMPUTED_VALUE"""),45779.0)</f>
        <v>45779</v>
      </c>
      <c r="N3065" s="23">
        <f>IFERROR(__xludf.DUMMYFUNCTION("""COMPUTED_VALUE"""),2958465.0)</f>
        <v>2958465</v>
      </c>
      <c r="O3065" s="152"/>
      <c r="P3065" s="190" t="str">
        <f>IFERROR(__xludf.DUMMYFUNCTION("""COMPUTED_VALUE"""),"可")</f>
        <v>可</v>
      </c>
      <c r="Q3065" s="190"/>
      <c r="R3065" s="152"/>
      <c r="S3065" s="152" t="str">
        <f>IFERROR(__xludf.DUMMYFUNCTION("""COMPUTED_VALUE"""),"20250321_シーモアコミックス_代わりの花嫁 ～愛する人と、姉の代わりに結婚します～")</f>
        <v>20250321_シーモアコミックス_代わりの花嫁 ～愛する人と、姉の代わりに結婚します～</v>
      </c>
      <c r="T3065" s="152" t="str">
        <f>IFERROR(__xludf.DUMMYFUNCTION("""COMPUTED_VALUE"""),"格納済み")</f>
        <v>格納済み</v>
      </c>
      <c r="U3065" s="15" t="str">
        <f>IFERROR(__xludf.DUMMYFUNCTION("""COMPUTED_VALUE"""),"Ⓒ 梅田みさ/シーモアコミックス")</f>
        <v>Ⓒ 梅田みさ/シーモアコミックス</v>
      </c>
      <c r="V3065" s="8" t="str">
        <f>IFERROR(__xludf.DUMMYFUNCTION("""COMPUTED_VALUE"""),"「私は今日、私を愛していない人と結婚します」エーレ国の姫リリアは、幼い頃からグランツ国の王太子オスカーに密かに想いを寄せていた。しかし、妃に選ばれたのは美しく気高い姉・イザベラ。リリアは諦めていたが、結婚直前になり、突然イザベラが辞退。代わりにリリアが嫁ぐこととなる。喜びと不安を胸に嫁いだリリアだったが、オスカーの目線の先にはまだイザベラの影があった。冷たい態度に傷つきながらも、王太子妃として懸命に振る舞うリリア。すれ違う二人の関係はどうなっていくのか――？")</f>
        <v>「私は今日、私を愛していない人と結婚します」エーレ国の姫リリアは、幼い頃からグランツ国の王太子オスカーに密かに想いを寄せていた。しかし、妃に選ばれたのは美しく気高い姉・イザベラ。リリアは諦めていたが、結婚直前になり、突然イザベラが辞退。代わりにリリアが嫁ぐこととなる。喜びと不安を胸に嫁いだリリアだったが、オスカーの目線の先にはまだイザベラの影があった。冷たい態度に傷つきながらも、王太子妃として懸命に振る舞うリリア。すれ違う二人の関係はどうなっていくのか――？</v>
      </c>
      <c r="W3065" s="14"/>
      <c r="X3065" s="14" t="str">
        <f>IFERROR(__xludf.DUMMYFUNCTION("""COMPUTED_VALUE"""),"有")</f>
        <v>有</v>
      </c>
      <c r="Y3065" s="8" t="str">
        <f>IFERROR(__xludf.DUMMYFUNCTION("""COMPUTED_VALUE"""),"2025/12/31まで1巻無料")</f>
        <v>2025/12/31まで1巻無料</v>
      </c>
      <c r="Z3065" s="7"/>
      <c r="AA3065" s="7"/>
      <c r="AB3065" s="7"/>
    </row>
    <row r="3066" ht="15.75" customHeight="1">
      <c r="A3066" s="153">
        <f>IFERROR(__xludf.DUMMYFUNCTION("""COMPUTED_VALUE"""),5309.0)</f>
        <v>5309</v>
      </c>
      <c r="B3066" s="152" t="str">
        <f>IFERROR(__xludf.DUMMYFUNCTION("""COMPUTED_VALUE"""),"確定")</f>
        <v>確定</v>
      </c>
      <c r="C3066" s="154">
        <f>IFERROR(__xludf.DUMMYFUNCTION("""COMPUTED_VALUE"""),45737.0)</f>
        <v>45737</v>
      </c>
      <c r="D3066" s="154">
        <f>IFERROR(__xludf.DUMMYFUNCTION("""COMPUTED_VALUE"""),45740.0)</f>
        <v>45740</v>
      </c>
      <c r="E3066" s="200">
        <f>IFERROR(__xludf.DUMMYFUNCTION("""COMPUTED_VALUE"""),289013.0)</f>
        <v>289013</v>
      </c>
      <c r="F3066" s="156" t="str">
        <f>IFERROR(__xludf.DUMMYFUNCTION("""COMPUTED_VALUE"""),"無能力の私が次期当主のツガイになりました")</f>
        <v>無能力の私が次期当主のツガイになりました</v>
      </c>
      <c r="G3066" s="152" t="str">
        <f>IFERROR(__xludf.DUMMYFUNCTION("""COMPUTED_VALUE"""),"1～3")</f>
        <v>1～3</v>
      </c>
      <c r="H3066" s="152" t="str">
        <f>IFERROR(__xludf.DUMMYFUNCTION("""COMPUTED_VALUE"""),"きざみノリ,宇野みさ")</f>
        <v>きざみノリ,宇野みさ</v>
      </c>
      <c r="I3066" s="152" t="str">
        <f>IFERROR(__xludf.DUMMYFUNCTION("""COMPUTED_VALUE"""),"少女マンガ")</f>
        <v>少女マンガ</v>
      </c>
      <c r="J3066" s="157"/>
      <c r="K3066" s="157" t="str">
        <f>IFERROR(__xludf.DUMMYFUNCTION("""COMPUTED_VALUE"""),"トレモア・ロマンス,トレモアcollection")</f>
        <v>トレモア・ロマンス,トレモアcollection</v>
      </c>
      <c r="L3066" s="152" t="str">
        <f>IFERROR(__xludf.DUMMYFUNCTION("""COMPUTED_VALUE"""),"シーモアコミックス（トレモア）")</f>
        <v>シーモアコミックス（トレモア）</v>
      </c>
      <c r="M3066" s="59">
        <f>IFERROR(__xludf.DUMMYFUNCTION("""COMPUTED_VALUE"""),45779.0)</f>
        <v>45779</v>
      </c>
      <c r="N3066" s="23">
        <f>IFERROR(__xludf.DUMMYFUNCTION("""COMPUTED_VALUE"""),2958465.0)</f>
        <v>2958465</v>
      </c>
      <c r="O3066" s="152"/>
      <c r="P3066" s="190" t="str">
        <f>IFERROR(__xludf.DUMMYFUNCTION("""COMPUTED_VALUE"""),"可")</f>
        <v>可</v>
      </c>
      <c r="Q3066" s="190"/>
      <c r="R3066" s="152"/>
      <c r="S3066" s="152" t="str">
        <f>IFERROR(__xludf.DUMMYFUNCTION("""COMPUTED_VALUE"""),"20250321_シーモアコミックス_無能力の私が次期当主のツガイになりました")</f>
        <v>20250321_シーモアコミックス_無能力の私が次期当主のツガイになりました</v>
      </c>
      <c r="T3066" s="152" t="str">
        <f>IFERROR(__xludf.DUMMYFUNCTION("""COMPUTED_VALUE"""),"格納済み")</f>
        <v>格納済み</v>
      </c>
      <c r="U3066" s="15" t="str">
        <f>IFERROR(__xludf.DUMMYFUNCTION("""COMPUTED_VALUE"""),"Ⓒ きざみノリ/宇野みさ/シーモアコミックス")</f>
        <v>Ⓒ きざみノリ/宇野みさ/シーモアコミックス</v>
      </c>
      <c r="V3066" s="8" t="str">
        <f>IFERROR(__xludf.DUMMYFUNCTION("""COMPUTED_VALUE"""),"百瀬莉子は能力者の分家に生まれたが、判定の儀式の際に無能力とわかり、両親や優秀な妹から虐げられていた。しかしその後、能力に目覚めるも“静かに暮らしたい”と望み、力を隠し続ける。17歳の春、クラス担任となった能力者を束ねる一族の次期当主・一条蓮に能力に気づかれてしまう。蓮は、莉子に興味を持ち急接近をしてくるのだが……。")</f>
        <v>百瀬莉子は能力者の分家に生まれたが、判定の儀式の際に無能力とわかり、両親や優秀な妹から虐げられていた。しかしその後、能力に目覚めるも“静かに暮らしたい”と望み、力を隠し続ける。17歳の春、クラス担任となった能力者を束ねる一族の次期当主・一条蓮に能力に気づかれてしまう。蓮は、莉子に興味を持ち急接近をしてくるのだが……。</v>
      </c>
      <c r="W3066" s="14"/>
      <c r="X3066" s="14" t="str">
        <f>IFERROR(__xludf.DUMMYFUNCTION("""COMPUTED_VALUE"""),"有")</f>
        <v>有</v>
      </c>
      <c r="Y3066" s="8" t="str">
        <f>IFERROR(__xludf.DUMMYFUNCTION("""COMPUTED_VALUE"""),"2025/12/31まで1巻無料")</f>
        <v>2025/12/31まで1巻無料</v>
      </c>
      <c r="Z3066" s="7"/>
      <c r="AA3066" s="7"/>
      <c r="AB3066" s="7"/>
    </row>
    <row r="3067" ht="15.75" customHeight="1">
      <c r="A3067" s="153">
        <f>IFERROR(__xludf.DUMMYFUNCTION("""COMPUTED_VALUE"""),5327.0)</f>
        <v>5327</v>
      </c>
      <c r="B3067" s="152" t="str">
        <f>IFERROR(__xludf.DUMMYFUNCTION("""COMPUTED_VALUE"""),"確定")</f>
        <v>確定</v>
      </c>
      <c r="C3067" s="154">
        <f>IFERROR(__xludf.DUMMYFUNCTION("""COMPUTED_VALUE"""),45740.0)</f>
        <v>45740</v>
      </c>
      <c r="D3067" s="154">
        <f>IFERROR(__xludf.DUMMYFUNCTION("""COMPUTED_VALUE"""),45740.0)</f>
        <v>45740</v>
      </c>
      <c r="E3067" s="201">
        <f>IFERROR(__xludf.DUMMYFUNCTION("""COMPUTED_VALUE"""),318285.0)</f>
        <v>318285</v>
      </c>
      <c r="F3067" s="159" t="str">
        <f>IFERROR(__xludf.DUMMYFUNCTION("""COMPUTED_VALUE"""),"尚弥くんは欲しがるまでは手を出さない")</f>
        <v>尚弥くんは欲しがるまでは手を出さない</v>
      </c>
      <c r="G3067" s="152" t="str">
        <f>IFERROR(__xludf.DUMMYFUNCTION("""COMPUTED_VALUE"""),"1～2")</f>
        <v>1～2</v>
      </c>
      <c r="H3067" s="152" t="str">
        <f>IFERROR(__xludf.DUMMYFUNCTION("""COMPUTED_VALUE"""),"虹森ゆりた,THE猥談")</f>
        <v>虹森ゆりた,THE猥談</v>
      </c>
      <c r="I3067" s="152" t="str">
        <f>IFERROR(__xludf.DUMMYFUNCTION("""COMPUTED_VALUE"""),"TLマンガ")</f>
        <v>TLマンガ</v>
      </c>
      <c r="J3067" s="157"/>
      <c r="K3067" s="157" t="str">
        <f>IFERROR(__xludf.DUMMYFUNCTION("""COMPUTED_VALUE"""),"THE猥談")</f>
        <v>THE猥談</v>
      </c>
      <c r="L3067" s="152" t="str">
        <f>IFERROR(__xludf.DUMMYFUNCTION("""COMPUTED_VALUE"""),"クロスフォリオ出版")</f>
        <v>クロスフォリオ出版</v>
      </c>
      <c r="M3067" s="59">
        <f>IFERROR(__xludf.DUMMYFUNCTION("""COMPUTED_VALUE"""),45744.0)</f>
        <v>45744</v>
      </c>
      <c r="N3067" s="23">
        <f>IFERROR(__xludf.DUMMYFUNCTION("""COMPUTED_VALUE"""),45834.0)</f>
        <v>45834</v>
      </c>
      <c r="O3067" s="152"/>
      <c r="P3067" s="190" t="str">
        <f>IFERROR(__xludf.DUMMYFUNCTION("""COMPUTED_VALUE"""),"可")</f>
        <v>可</v>
      </c>
      <c r="Q3067" s="190" t="str">
        <f>IFERROR(__xludf.DUMMYFUNCTION("""COMPUTED_VALUE"""),"「THE猥談」レーベル作品です。&lt;BR&gt;申し訳ありませんが先方都合で情報共有が遅くなりましたので、出稿は可能なタイミングからでOKです。。！")</f>
        <v>「THE猥談」レーベル作品です。&lt;BR&gt;申し訳ありませんが先方都合で情報共有が遅くなりましたので、出稿は可能なタイミングからでOKです。。！</v>
      </c>
      <c r="R3067" s="152"/>
      <c r="S3067" s="152" t="str">
        <f>IFERROR(__xludf.DUMMYFUNCTION("""COMPUTED_VALUE"""),"20250324_Booklive_尚弥くんは欲しがるまでは手を出さない")</f>
        <v>20250324_Booklive_尚弥くんは欲しがるまでは手を出さない</v>
      </c>
      <c r="T3067" s="152" t="str">
        <f>IFERROR(__xludf.DUMMYFUNCTION("""COMPUTED_VALUE"""),"格納済み")</f>
        <v>格納済み</v>
      </c>
      <c r="U3067" s="15" t="str">
        <f>IFERROR(__xludf.DUMMYFUNCTION("""COMPUTED_VALUE"""),"Ⓒ虹森ゆりた/THE猥談/クロスフォリオ出版")</f>
        <v>Ⓒ虹森ゆりた/THE猥談/クロスフォリオ出版</v>
      </c>
      <c r="V3067" s="8" t="str">
        <f>IFERROR(__xludf.DUMMYFUNCTION("""COMPUTED_VALUE"""),"マッチングアプリで、男を転がして遊ぶのがマイブーム。
大の男が犬みたいに夢中で追いかけてくる姿がたまんない。
セックスなんてただの暇つぶしだし、
どうせ好きになることもないし。
いつも通り、焦らして遊んでやろうと思って出会った年上の尚弥くん。
でも彼は、何度手を出せる隙を作ってあげても一向に手を出してこない。
「なんで、今までずっと…
私は尚弥くんと…」
優位に立ってたのは私の方、だったはず。
こんなこと言うつもりじゃ…
「尚弥くんと、何?　続けて?」
穏やかだった尚弥くんの冷たい視線で、私は理"&amp;"解した。
ーーああこの男、私と同じなんだ。
ずっとずっと、私を焦らしてたんだ。
私が初めて欲しがった時、
尚弥くんも雄の顔をして私を求め出してー…
※本作は虹森ゆりた、THE猥談の個人誌作品の電子書籍版となります。【24ページ】")</f>
        <v>マッチングアプリで、男を転がして遊ぶのがマイブーム。
大の男が犬みたいに夢中で追いかけてくる姿がたまんない。
セックスなんてただの暇つぶしだし、
どうせ好きになることもないし。
いつも通り、焦らして遊んでやろうと思って出会った年上の尚弥くん。
でも彼は、何度手を出せる隙を作ってあげても一向に手を出してこない。
「なんで、今までずっと…
私は尚弥くんと…」
優位に立ってたのは私の方、だったはず。
こんなこと言うつもりじゃ…
「尚弥くんと、何?　続けて?」
穏やかだった尚弥くんの冷たい視線で、私は理解した。
ーーああこの男、私と同じなんだ。
ずっとずっと、私を焦らしてたんだ。
私が初めて欲しがった時、
尚弥くんも雄の顔をして私を求め出してー…
※本作は虹森ゆりた、THE猥談の個人誌作品の電子書籍版となります。【24ページ】</v>
      </c>
      <c r="W3067" s="14"/>
      <c r="X3067" s="14" t="str">
        <f>IFERROR(__xludf.DUMMYFUNCTION("""COMPUTED_VALUE"""),"有")</f>
        <v>有</v>
      </c>
      <c r="Y3067" s="8" t="str">
        <f>IFERROR(__xludf.DUMMYFUNCTION("""COMPUTED_VALUE"""),"P14まで")</f>
        <v>P14まで</v>
      </c>
      <c r="Z3067" s="7"/>
      <c r="AA3067" s="7"/>
      <c r="AB3067" s="7"/>
    </row>
    <row r="3068" ht="15.75" customHeight="1">
      <c r="A3068" s="153">
        <f>IFERROR(__xludf.DUMMYFUNCTION("""COMPUTED_VALUE"""),5328.0)</f>
        <v>5328</v>
      </c>
      <c r="B3068" s="152" t="str">
        <f>IFERROR(__xludf.DUMMYFUNCTION("""COMPUTED_VALUE"""),"確定")</f>
        <v>確定</v>
      </c>
      <c r="C3068" s="154">
        <f>IFERROR(__xludf.DUMMYFUNCTION("""COMPUTED_VALUE"""),45740.0)</f>
        <v>45740</v>
      </c>
      <c r="D3068" s="154">
        <f>IFERROR(__xludf.DUMMYFUNCTION("""COMPUTED_VALUE"""),45740.0)</f>
        <v>45740</v>
      </c>
      <c r="E3068" s="201">
        <f>IFERROR(__xludf.DUMMYFUNCTION("""COMPUTED_VALUE"""),318289.0)</f>
        <v>318289</v>
      </c>
      <c r="F3068" s="159" t="str">
        <f>IFERROR(__xludf.DUMMYFUNCTION("""COMPUTED_VALUE"""),"尚弥くんは欲しがるまでは手を出さない【R版】")</f>
        <v>尚弥くんは欲しがるまでは手を出さない【R版】</v>
      </c>
      <c r="G3068" s="152" t="str">
        <f>IFERROR(__xludf.DUMMYFUNCTION("""COMPUTED_VALUE"""),"1～2")</f>
        <v>1～2</v>
      </c>
      <c r="H3068" s="152" t="str">
        <f>IFERROR(__xludf.DUMMYFUNCTION("""COMPUTED_VALUE"""),"虹森ゆりた,THE猥談")</f>
        <v>虹森ゆりた,THE猥談</v>
      </c>
      <c r="I3068" s="152" t="str">
        <f>IFERROR(__xludf.DUMMYFUNCTION("""COMPUTED_VALUE"""),"アダルトマンガ")</f>
        <v>アダルトマンガ</v>
      </c>
      <c r="J3068" s="157"/>
      <c r="K3068" s="157" t="str">
        <f>IFERROR(__xludf.DUMMYFUNCTION("""COMPUTED_VALUE"""),"THE猥談")</f>
        <v>THE猥談</v>
      </c>
      <c r="L3068" s="152" t="str">
        <f>IFERROR(__xludf.DUMMYFUNCTION("""COMPUTED_VALUE"""),"クロスフォリオ出版")</f>
        <v>クロスフォリオ出版</v>
      </c>
      <c r="M3068" s="59">
        <f>IFERROR(__xludf.DUMMYFUNCTION("""COMPUTED_VALUE"""),45744.0)</f>
        <v>45744</v>
      </c>
      <c r="N3068" s="23">
        <f>IFERROR(__xludf.DUMMYFUNCTION("""COMPUTED_VALUE"""),45834.0)</f>
        <v>45834</v>
      </c>
      <c r="O3068" s="152"/>
      <c r="P3068" s="190" t="str">
        <f>IFERROR(__xludf.DUMMYFUNCTION("""COMPUTED_VALUE"""),"可")</f>
        <v>可</v>
      </c>
      <c r="Q3068" s="190" t="str">
        <f>IFERROR(__xludf.DUMMYFUNCTION("""COMPUTED_VALUE"""),"「THE猥談」レーベル作品です。&lt;BR&gt;申し訳ありませんが先方都合で情報共有が遅くなりましたので出稿は可能なタイミングからでOKです。。！")</f>
        <v>「THE猥談」レーベル作品です。&lt;BR&gt;申し訳ありませんが先方都合で情報共有が遅くなりましたので出稿は可能なタイミングからでOKです。。！</v>
      </c>
      <c r="R3068" s="152"/>
      <c r="S3068" s="152" t="str">
        <f>IFERROR(__xludf.DUMMYFUNCTION("""COMPUTED_VALUE"""),"20250324_Booklive_尚弥くんは欲しがるまでは手を出さない【R版】")</f>
        <v>20250324_Booklive_尚弥くんは欲しがるまでは手を出さない【R版】</v>
      </c>
      <c r="T3068" s="152" t="str">
        <f>IFERROR(__xludf.DUMMYFUNCTION("""COMPUTED_VALUE"""),"格納済み")</f>
        <v>格納済み</v>
      </c>
      <c r="U3068" s="15" t="str">
        <f>IFERROR(__xludf.DUMMYFUNCTION("""COMPUTED_VALUE"""),"Ⓒ虹森ゆりた/THE猥談/クロスフォリオ出版")</f>
        <v>Ⓒ虹森ゆりた/THE猥談/クロスフォリオ出版</v>
      </c>
      <c r="V3068" s="8" t="str">
        <f>IFERROR(__xludf.DUMMYFUNCTION("""COMPUTED_VALUE"""),"マッチングアプリで、男を転がして遊ぶのがマイブーム。
大の男が犬みたいに夢中で追いかけてくる姿がたまんない。
セックスなんてただの暇つぶしだし、
どうせ好きになることもないし。
いつも通り、焦らして遊んでやろうと思って出会った年上の尚弥くん。
でも彼は、何度手を出せる隙を作ってあげても一向に手を出してこない。
「なんで、今までずっと…
私は尚弥くんと…」
優位に立ってたのは私の方、だったはず。
こんなこと言うつもりじゃ…
「尚弥くんと、何?　続けて?」
穏やかだっ"&amp;"た尚弥くんの冷たい視線で、私は理解した。
ーーああこの男、私と同じなんだ。
ずっとずっと、私を焦らしてたんだ。
私が初めて欲しがった時、
尚弥くんも雄の顔をして私を求め出してー…
※本作は虹森ゆりた、THE猥談の個人誌作品の電子書籍版となります。【24ページ】
※本作は『尚弥くんは欲しがるまでは手を出さない』の修正をやや弱めたものです。内容に差異はありません。")</f>
        <v>マッチングアプリで、男を転がして遊ぶのがマイブーム。
大の男が犬みたいに夢中で追いかけてくる姿がたまんない。
セックスなんてただの暇つぶしだし、
どうせ好きになることもないし。
いつも通り、焦らして遊んでやろうと思って出会った年上の尚弥くん。
でも彼は、何度手を出せる隙を作ってあげても一向に手を出してこない。
「なんで、今までずっと…
私は尚弥くんと…」
優位に立ってたのは私の方、だったはず。
こんなこと言うつもりじゃ…
「尚弥くんと、何?　続けて?」
穏やかだった尚弥くんの冷たい視線で、私は理解した。
ーーああこの男、私と同じなんだ。
ずっとずっと、私を焦らしてたんだ。
私が初めて欲しがった時、
尚弥くんも雄の顔をして私を求め出してー…
※本作は虹森ゆりた、THE猥談の個人誌作品の電子書籍版となります。【24ページ】
※本作は『尚弥くんは欲しがるまでは手を出さない』の修正をやや弱めたものです。内容に差異はありません。</v>
      </c>
      <c r="W3068" s="14"/>
      <c r="X3068" s="14" t="str">
        <f>IFERROR(__xludf.DUMMYFUNCTION("""COMPUTED_VALUE"""),"有")</f>
        <v>有</v>
      </c>
      <c r="Y3068" s="8" t="str">
        <f>IFERROR(__xludf.DUMMYFUNCTION("""COMPUTED_VALUE"""),"P14まで")</f>
        <v>P14まで</v>
      </c>
      <c r="Z3068" s="7"/>
      <c r="AA3068" s="7"/>
      <c r="AB3068" s="7"/>
    </row>
    <row r="3069" ht="15.75" customHeight="1">
      <c r="A3069" s="153">
        <f>IFERROR(__xludf.DUMMYFUNCTION("""COMPUTED_VALUE"""),5329.0)</f>
        <v>5329</v>
      </c>
      <c r="B3069" s="152" t="str">
        <f>IFERROR(__xludf.DUMMYFUNCTION("""COMPUTED_VALUE"""),"確定")</f>
        <v>確定</v>
      </c>
      <c r="C3069" s="154">
        <f>IFERROR(__xludf.DUMMYFUNCTION("""COMPUTED_VALUE"""),45740.0)</f>
        <v>45740</v>
      </c>
      <c r="D3069" s="154">
        <f>IFERROR(__xludf.DUMMYFUNCTION("""COMPUTED_VALUE"""),45740.0)</f>
        <v>45740</v>
      </c>
      <c r="E3069" s="201">
        <f>IFERROR(__xludf.DUMMYFUNCTION("""COMPUTED_VALUE"""),318284.0)</f>
        <v>318284</v>
      </c>
      <c r="F3069" s="159" t="str">
        <f>IFERROR(__xludf.DUMMYFUNCTION("""COMPUTED_VALUE"""),"道隆は私のワンちゃん....だよね? ～ 甘えん坊の年下彼氏が狂犬ドSになりまして ～")</f>
        <v>道隆は私のワンちゃん....だよね? ～ 甘えん坊の年下彼氏が狂犬ドSになりまして ～</v>
      </c>
      <c r="G3069" s="152" t="str">
        <f>IFERROR(__xludf.DUMMYFUNCTION("""COMPUTED_VALUE"""),"1～3")</f>
        <v>1～3</v>
      </c>
      <c r="H3069" s="152" t="str">
        <f>IFERROR(__xludf.DUMMYFUNCTION("""COMPUTED_VALUE"""),"すしおすし,THE猥談")</f>
        <v>すしおすし,THE猥談</v>
      </c>
      <c r="I3069" s="152" t="str">
        <f>IFERROR(__xludf.DUMMYFUNCTION("""COMPUTED_VALUE"""),"TLマンガ")</f>
        <v>TLマンガ</v>
      </c>
      <c r="J3069" s="157"/>
      <c r="K3069" s="157" t="str">
        <f>IFERROR(__xludf.DUMMYFUNCTION("""COMPUTED_VALUE"""),"THE猥談")</f>
        <v>THE猥談</v>
      </c>
      <c r="L3069" s="152" t="str">
        <f>IFERROR(__xludf.DUMMYFUNCTION("""COMPUTED_VALUE"""),"クロスフォリオ出版")</f>
        <v>クロスフォリオ出版</v>
      </c>
      <c r="M3069" s="59">
        <f>IFERROR(__xludf.DUMMYFUNCTION("""COMPUTED_VALUE"""),45744.0)</f>
        <v>45744</v>
      </c>
      <c r="N3069" s="23">
        <f>IFERROR(__xludf.DUMMYFUNCTION("""COMPUTED_VALUE"""),45834.0)</f>
        <v>45834</v>
      </c>
      <c r="O3069" s="152"/>
      <c r="P3069" s="190" t="str">
        <f>IFERROR(__xludf.DUMMYFUNCTION("""COMPUTED_VALUE"""),"可")</f>
        <v>可</v>
      </c>
      <c r="Q3069" s="190" t="str">
        <f>IFERROR(__xludf.DUMMYFUNCTION("""COMPUTED_VALUE"""),"「THE猥談」レーベル作品です。&lt;BR&gt;申し訳ありませんが先方都合で情報共有が遅くなりましたので、出稿は可能なタイミングからでOKです。。！")</f>
        <v>「THE猥談」レーベル作品です。&lt;BR&gt;申し訳ありませんが先方都合で情報共有が遅くなりましたので、出稿は可能なタイミングからでOKです。。！</v>
      </c>
      <c r="R3069" s="152"/>
      <c r="S3069" s="152" t="str">
        <f>IFERROR(__xludf.DUMMYFUNCTION("""COMPUTED_VALUE"""),"20250324_Booklive_道隆は私のワンちゃん....だよね")</f>
        <v>20250324_Booklive_道隆は私のワンちゃん....だよね</v>
      </c>
      <c r="T3069" s="152" t="str">
        <f>IFERROR(__xludf.DUMMYFUNCTION("""COMPUTED_VALUE"""),"格納済み")</f>
        <v>格納済み</v>
      </c>
      <c r="U3069" s="15" t="str">
        <f>IFERROR(__xludf.DUMMYFUNCTION("""COMPUTED_VALUE"""),"Ⓒすしおすし/THE猥談/クロスフォリオ出版")</f>
        <v>Ⓒすしおすし/THE猥談/クロスフォリオ出版</v>
      </c>
      <c r="V3069" s="8" t="str">
        <f>IFERROR(__xludf.DUMMYFUNCTION("""COMPUTED_VALUE"""),"いつもやられっぱなしだから、今夜は彼氏のことを襲ってみたかっただけなのに。
気づいた時には、もう手遅れ。
狂犬ドドドドドSモードになった彼に、何も考えられなくなるくらい攻められてー…。
※本作はすしおすし、THE猥談のの個人誌作品の電子書籍版となります。【21ページ】")</f>
        <v>いつもやられっぱなしだから、今夜は彼氏のことを襲ってみたかっただけなのに。
気づいた時には、もう手遅れ。
狂犬ドドドドドSモードになった彼に、何も考えられなくなるくらい攻められてー…。
※本作はすしおすし、THE猥談のの個人誌作品の電子書籍版となります。【21ページ】</v>
      </c>
      <c r="W3069" s="14"/>
      <c r="X3069" s="14" t="str">
        <f>IFERROR(__xludf.DUMMYFUNCTION("""COMPUTED_VALUE"""),"有")</f>
        <v>有</v>
      </c>
      <c r="Y3069" s="8" t="str">
        <f>IFERROR(__xludf.DUMMYFUNCTION("""COMPUTED_VALUE"""),"P11まで")</f>
        <v>P11まで</v>
      </c>
      <c r="Z3069" s="7"/>
      <c r="AA3069" s="7"/>
      <c r="AB3069" s="7"/>
    </row>
    <row r="3070" ht="15.75" customHeight="1">
      <c r="A3070" s="153">
        <f>IFERROR(__xludf.DUMMYFUNCTION("""COMPUTED_VALUE"""),5330.0)</f>
        <v>5330</v>
      </c>
      <c r="B3070" s="152" t="str">
        <f>IFERROR(__xludf.DUMMYFUNCTION("""COMPUTED_VALUE"""),"確定")</f>
        <v>確定</v>
      </c>
      <c r="C3070" s="154">
        <f>IFERROR(__xludf.DUMMYFUNCTION("""COMPUTED_VALUE"""),45740.0)</f>
        <v>45740</v>
      </c>
      <c r="D3070" s="154">
        <f>IFERROR(__xludf.DUMMYFUNCTION("""COMPUTED_VALUE"""),45740.0)</f>
        <v>45740</v>
      </c>
      <c r="E3070" s="201">
        <f>IFERROR(__xludf.DUMMYFUNCTION("""COMPUTED_VALUE"""),318288.0)</f>
        <v>318288</v>
      </c>
      <c r="F3070" s="159" t="str">
        <f>IFERROR(__xludf.DUMMYFUNCTION("""COMPUTED_VALUE"""),"道隆は私のワンちゃん....だよね? ～ 甘えん坊の年下彼氏が狂犬ドSになりまして ～【R版】")</f>
        <v>道隆は私のワンちゃん....だよね? ～ 甘えん坊の年下彼氏が狂犬ドSになりまして ～【R版】</v>
      </c>
      <c r="G3070" s="152" t="str">
        <f>IFERROR(__xludf.DUMMYFUNCTION("""COMPUTED_VALUE"""),"1～3")</f>
        <v>1～3</v>
      </c>
      <c r="H3070" s="152" t="str">
        <f>IFERROR(__xludf.DUMMYFUNCTION("""COMPUTED_VALUE"""),"すしおすし,THE猥談")</f>
        <v>すしおすし,THE猥談</v>
      </c>
      <c r="I3070" s="152" t="str">
        <f>IFERROR(__xludf.DUMMYFUNCTION("""COMPUTED_VALUE"""),"アダルトマンガ")</f>
        <v>アダルトマンガ</v>
      </c>
      <c r="J3070" s="157"/>
      <c r="K3070" s="157" t="str">
        <f>IFERROR(__xludf.DUMMYFUNCTION("""COMPUTED_VALUE"""),"THE猥談")</f>
        <v>THE猥談</v>
      </c>
      <c r="L3070" s="152" t="str">
        <f>IFERROR(__xludf.DUMMYFUNCTION("""COMPUTED_VALUE"""),"クロスフォリオ出版")</f>
        <v>クロスフォリオ出版</v>
      </c>
      <c r="M3070" s="59">
        <f>IFERROR(__xludf.DUMMYFUNCTION("""COMPUTED_VALUE"""),45744.0)</f>
        <v>45744</v>
      </c>
      <c r="N3070" s="23">
        <f>IFERROR(__xludf.DUMMYFUNCTION("""COMPUTED_VALUE"""),45834.0)</f>
        <v>45834</v>
      </c>
      <c r="O3070" s="152"/>
      <c r="P3070" s="190" t="str">
        <f>IFERROR(__xludf.DUMMYFUNCTION("""COMPUTED_VALUE"""),"可")</f>
        <v>可</v>
      </c>
      <c r="Q3070" s="190" t="str">
        <f>IFERROR(__xludf.DUMMYFUNCTION("""COMPUTED_VALUE"""),"「THE猥談」レーベル作品です。&lt;BR&gt;申し訳ありませんが先方都合で情報共有が遅くなりましたので、出稿は可能なタイミングからでOKです。。！")</f>
        <v>「THE猥談」レーベル作品です。&lt;BR&gt;申し訳ありませんが先方都合で情報共有が遅くなりましたので、出稿は可能なタイミングからでOKです。。！</v>
      </c>
      <c r="R3070" s="152"/>
      <c r="S3070" s="152" t="str">
        <f>IFERROR(__xludf.DUMMYFUNCTION("""COMPUTED_VALUE"""),"20250324_Booklive_道隆は私のワンちゃん....だよね【R版】")</f>
        <v>20250324_Booklive_道隆は私のワンちゃん....だよね【R版】</v>
      </c>
      <c r="T3070" s="152" t="str">
        <f>IFERROR(__xludf.DUMMYFUNCTION("""COMPUTED_VALUE"""),"格納済み")</f>
        <v>格納済み</v>
      </c>
      <c r="U3070" s="15" t="str">
        <f>IFERROR(__xludf.DUMMYFUNCTION("""COMPUTED_VALUE"""),"Ⓒすしおすし/THE猥談/クロスフォリオ出版")</f>
        <v>Ⓒすしおすし/THE猥談/クロスフォリオ出版</v>
      </c>
      <c r="V3070" s="8" t="str">
        <f>IFERROR(__xludf.DUMMYFUNCTION("""COMPUTED_VALUE"""),"いつもやられっぱなしだから、今夜は彼氏のことを襲ってみたかっただけなのに。
気づいた時には、もう手遅れ。
狂犬ドドドドドSモードになった彼に、何も考えられなくなるくらい攻められてー…。
※本作はすしおすし、THE猥談の個人誌作品の電子書籍版となります。【21ページ】
※本作は『道隆は私のワンちゃん....だよね? ~ 甘えん坊の年下彼氏が狂犬ドSになりまして ~』の修正をやや弱めたものです。内容に差異はありません。")</f>
        <v>いつもやられっぱなしだから、今夜は彼氏のことを襲ってみたかっただけなのに。
気づいた時には、もう手遅れ。
狂犬ドドドドドSモードになった彼に、何も考えられなくなるくらい攻められてー…。
※本作はすしおすし、THE猥談の個人誌作品の電子書籍版となります。【21ページ】
※本作は『道隆は私のワンちゃん....だよね? ~ 甘えん坊の年下彼氏が狂犬ドSになりまして ~』の修正をやや弱めたものです。内容に差異はありません。</v>
      </c>
      <c r="W3070" s="14"/>
      <c r="X3070" s="14" t="str">
        <f>IFERROR(__xludf.DUMMYFUNCTION("""COMPUTED_VALUE"""),"有")</f>
        <v>有</v>
      </c>
      <c r="Y3070" s="8" t="str">
        <f>IFERROR(__xludf.DUMMYFUNCTION("""COMPUTED_VALUE"""),"P11まで")</f>
        <v>P11まで</v>
      </c>
      <c r="Z3070" s="7"/>
      <c r="AA3070" s="7"/>
      <c r="AB3070" s="7"/>
    </row>
    <row r="3071" ht="15.75" customHeight="1">
      <c r="A3071" s="153">
        <f>IFERROR(__xludf.DUMMYFUNCTION("""COMPUTED_VALUE"""),5331.0)</f>
        <v>5331</v>
      </c>
      <c r="B3071" s="152" t="str">
        <f>IFERROR(__xludf.DUMMYFUNCTION("""COMPUTED_VALUE"""),"確定")</f>
        <v>確定</v>
      </c>
      <c r="C3071" s="154">
        <f>IFERROR(__xludf.DUMMYFUNCTION("""COMPUTED_VALUE"""),45740.0)</f>
        <v>45740</v>
      </c>
      <c r="D3071" s="154">
        <f>IFERROR(__xludf.DUMMYFUNCTION("""COMPUTED_VALUE"""),45740.0)</f>
        <v>45740</v>
      </c>
      <c r="E3071" s="158">
        <f>IFERROR(__xludf.DUMMYFUNCTION("""COMPUTED_VALUE"""),320098.0)</f>
        <v>320098</v>
      </c>
      <c r="F3071" s="159" t="str">
        <f>IFERROR(__xludf.DUMMYFUNCTION("""COMPUTED_VALUE"""),"ビター・マリッジ")</f>
        <v>ビター・マリッジ</v>
      </c>
      <c r="G3071" s="152" t="str">
        <f>IFERROR(__xludf.DUMMYFUNCTION("""COMPUTED_VALUE"""),"1～4")</f>
        <v>1～4</v>
      </c>
      <c r="H3071" s="152" t="str">
        <f>IFERROR(__xludf.DUMMYFUNCTION("""COMPUTED_VALUE"""),"有馬いち/石川トミー/月ヶ瀬杏")</f>
        <v>有馬いち/石川トミー/月ヶ瀬杏</v>
      </c>
      <c r="I3071" s="152" t="str">
        <f>IFERROR(__xludf.DUMMYFUNCTION("""COMPUTED_VALUE"""),"女性")</f>
        <v>女性</v>
      </c>
      <c r="J3071" s="157"/>
      <c r="K3071" s="157"/>
      <c r="L3071" s="152" t="str">
        <f>IFERROR(__xludf.DUMMYFUNCTION("""COMPUTED_VALUE"""),"ファンギルド")</f>
        <v>ファンギルド</v>
      </c>
      <c r="M3071" s="59">
        <f>IFERROR(__xludf.DUMMYFUNCTION("""COMPUTED_VALUE"""),45770.0)</f>
        <v>45770</v>
      </c>
      <c r="N3071" s="23">
        <f>IFERROR(__xludf.DUMMYFUNCTION("""COMPUTED_VALUE"""),45797.0)</f>
        <v>45797</v>
      </c>
      <c r="O3071" s="152"/>
      <c r="P3071" s="190" t="str">
        <f>IFERROR(__xludf.DUMMYFUNCTION("""COMPUTED_VALUE"""),"可")</f>
        <v>可</v>
      </c>
      <c r="Q3071" s="190"/>
      <c r="R3071" s="152"/>
      <c r="S3071" s="152" t="str">
        <f>IFERROR(__xludf.DUMMYFUNCTION("""COMPUTED_VALUE"""),"20250324_ファンギルド_ビター・マリッジ")</f>
        <v>20250324_ファンギルド_ビター・マリッジ</v>
      </c>
      <c r="T3071" s="152" t="str">
        <f>IFERROR(__xludf.DUMMYFUNCTION("""COMPUTED_VALUE"""),"格納済み")</f>
        <v>格納済み</v>
      </c>
      <c r="U3071" s="15" t="str">
        <f>IFERROR(__xludf.DUMMYFUNCTION("""COMPUTED_VALUE"""),"Ⓒ有馬いち/石川トミー/月ヶ瀬杏/ファンギルド")</f>
        <v>Ⓒ有馬いち/石川トミー/月ヶ瀬杏/ファンギルド</v>
      </c>
      <c r="V3071" s="8" t="str">
        <f>IFERROR(__xludf.DUMMYFUNCTION("""COMPUTED_VALUE"""),"「俺が欲しかったのは、四ノ宮との繋がりだ」――月に一度、義務のように触れる夫は…私のことなど愛していない。父親同士が経営する企業利益のために、駆け落ちした姉の身代わりで結婚することになった四ノ宮梨々香（しのみやりりか）と、その婚約者・菅原幸人（すがわらゆきと）。結婚前も結婚してからも、幸人の梨々香への態度は冷たく、そんな幸人が梨々香に触れるのは月に一度。ふたりの間に後継者を残すためだけだった。幸人への思いを胸に納め、良き妻としていようと決意するが、彼は姉への未練が断ち切れていない様子があって…！？")</f>
        <v>「俺が欲しかったのは、四ノ宮との繋がりだ」――月に一度、義務のように触れる夫は…私のことなど愛していない。父親同士が経営する企業利益のために、駆け落ちした姉の身代わりで結婚することになった四ノ宮梨々香（しのみやりりか）と、その婚約者・菅原幸人（すがわらゆきと）。結婚前も結婚してからも、幸人の梨々香への態度は冷たく、そんな幸人が梨々香に触れるのは月に一度。ふたりの間に後継者を残すためだけだった。幸人への思いを胸に納め、良き妻としていようと決意するが、彼は姉への未練が断ち切れていない様子があって…！？</v>
      </c>
      <c r="W3071" s="14"/>
      <c r="X3071" s="14" t="str">
        <f>IFERROR(__xludf.DUMMYFUNCTION("""COMPUTED_VALUE"""),"有")</f>
        <v>有</v>
      </c>
      <c r="Y3071" s="8" t="str">
        <f>IFERROR(__xludf.DUMMYFUNCTION("""COMPUTED_VALUE"""),"2025/5/6まで1巻無料")</f>
        <v>2025/5/6まで1巻無料</v>
      </c>
      <c r="Z3071" s="7"/>
      <c r="AA3071" s="7"/>
      <c r="AB3071" s="7"/>
    </row>
    <row r="3072" ht="15.75" customHeight="1">
      <c r="A3072" s="153">
        <f>IFERROR(__xludf.DUMMYFUNCTION("""COMPUTED_VALUE"""),5332.0)</f>
        <v>5332</v>
      </c>
      <c r="B3072" s="152" t="str">
        <f>IFERROR(__xludf.DUMMYFUNCTION("""COMPUTED_VALUE"""),"確定")</f>
        <v>確定</v>
      </c>
      <c r="C3072" s="154">
        <f>IFERROR(__xludf.DUMMYFUNCTION("""COMPUTED_VALUE"""),45740.0)</f>
        <v>45740</v>
      </c>
      <c r="D3072" s="154">
        <f>IFERROR(__xludf.DUMMYFUNCTION("""COMPUTED_VALUE"""),45740.0)</f>
        <v>45740</v>
      </c>
      <c r="E3072" s="158">
        <f>IFERROR(__xludf.DUMMYFUNCTION("""COMPUTED_VALUE"""),320467.0)</f>
        <v>320467</v>
      </c>
      <c r="F3072" s="159" t="str">
        <f>IFERROR(__xludf.DUMMYFUNCTION("""COMPUTED_VALUE"""),"おち〇ちんに負けてしまった女の子たち【分冊版】")</f>
        <v>おち〇ちんに負けてしまった女の子たち【分冊版】</v>
      </c>
      <c r="G3072" s="152" t="str">
        <f>IFERROR(__xludf.DUMMYFUNCTION("""COMPUTED_VALUE"""),"1～2")</f>
        <v>1～2</v>
      </c>
      <c r="H3072" s="152" t="str">
        <f>IFERROR(__xludf.DUMMYFUNCTION("""COMPUTED_VALUE"""),"無洗米/ヒット出版社")</f>
        <v>無洗米/ヒット出版社</v>
      </c>
      <c r="I3072" s="152" t="str">
        <f>IFERROR(__xludf.DUMMYFUNCTION("""COMPUTED_VALUE"""),"アダルトマンガ")</f>
        <v>アダルトマンガ</v>
      </c>
      <c r="J3072" s="157"/>
      <c r="K3072" s="157"/>
      <c r="L3072" s="152" t="str">
        <f>IFERROR(__xludf.DUMMYFUNCTION("""COMPUTED_VALUE"""),"セ・キララ文庫")</f>
        <v>セ・キララ文庫</v>
      </c>
      <c r="M3072" s="59">
        <f>IFERROR(__xludf.DUMMYFUNCTION("""COMPUTED_VALUE"""),45765.0)</f>
        <v>45765</v>
      </c>
      <c r="N3072" s="23">
        <f>IFERROR(__xludf.DUMMYFUNCTION("""COMPUTED_VALUE"""),45792.0)</f>
        <v>45792</v>
      </c>
      <c r="O3072" s="152"/>
      <c r="P3072" s="190" t="str">
        <f>IFERROR(__xludf.DUMMYFUNCTION("""COMPUTED_VALUE"""),"可")</f>
        <v>可</v>
      </c>
      <c r="Q3072" s="190"/>
      <c r="R3072" s="152"/>
      <c r="S3072" s="152" t="str">
        <f>IFERROR(__xludf.DUMMYFUNCTION("""COMPUTED_VALUE"""),"20250324_ライドオン_おち〇ちんに負けてしまった女の子たち")</f>
        <v>20250324_ライドオン_おち〇ちんに負けてしまった女の子たち</v>
      </c>
      <c r="T3072" s="152" t="str">
        <f>IFERROR(__xludf.DUMMYFUNCTION("""COMPUTED_VALUE"""),"格納済み")</f>
        <v>格納済み</v>
      </c>
      <c r="U3072" s="15" t="str">
        <f>IFERROR(__xludf.DUMMYFUNCTION("""COMPUTED_VALUE"""),"Ⓒ無洗米/ヒット出版社")</f>
        <v>Ⓒ無洗米/ヒット出版社</v>
      </c>
      <c r="V3072" s="8" t="str">
        <f>IFERROR(__xludf.DUMMYFUNCTION("""COMPUTED_VALUE"""),"「負けちゃう…！私セックスでも負けちゃうよぉ…!!」
なかなか負けを認めない巨乳幼馴染のナカにたっぷり中出し!?
――美咲は、万能すぎる幼馴染の比呂に勉強でも何でも負けっぱなし。
何でもいいから比呂に勝ちたい！
そんな美咲に友人は、比呂が童貞っぽいからという理由でセックスを提案する。
自身も処女であったもののイケると確信した美咲は、セックスについての勉強を始め、ある日比呂にセックス勝負を持ち掛ける！
イメージトレーニングは完璧！のはずだったが、何発射精してもバキバキな比呂のち〇ぽ。
ダメ…イ"&amp;"キすぎて…負けちゃう…！
ち〇ぽの快楽に抗えずSEX堕ちしてしまった女の子たちは必見！
著者覚醒の7作品を収録した読み切り作品集――!!
＜収録作品＞
おち〇ちんにも勝てなかった幼馴染/おち〇ちんには勝てなかった風紀委員長/童貞おち〇ちんに勝てなかった黒ギャル/おち〇ちんには勝てなかったパパ活女子/ギャル男ち〇ちんに勝てなかった彼女/葵の好きな〇〇〇〇/白濁奇術倶楽部")</f>
        <v>「負けちゃう…！私セックスでも負けちゃうよぉ…!!」
なかなか負けを認めない巨乳幼馴染のナカにたっぷり中出し!?
――美咲は、万能すぎる幼馴染の比呂に勉強でも何でも負けっぱなし。
何でもいいから比呂に勝ちたい！
そんな美咲に友人は、比呂が童貞っぽいからという理由でセックスを提案する。
自身も処女であったもののイケると確信した美咲は、セックスについての勉強を始め、ある日比呂にセックス勝負を持ち掛ける！
イメージトレーニングは完璧！のはずだったが、何発射精してもバキバキな比呂のち〇ぽ。
ダメ…イキすぎて…負けちゃう…！
ち〇ぽの快楽に抗えずSEX堕ちしてしまった女の子たちは必見！
著者覚醒の7作品を収録した読み切り作品集――!!
＜収録作品＞
おち〇ちんにも勝てなかった幼馴染/おち〇ちんには勝てなかった風紀委員長/童貞おち〇ちんに勝てなかった黒ギャル/おち〇ちんには勝てなかったパパ活女子/ギャル男ち〇ちんに勝てなかった彼女/葵の好きな〇〇〇〇/白濁奇術倶楽部</v>
      </c>
      <c r="W3072" s="14"/>
      <c r="X3072" s="14" t="str">
        <f>IFERROR(__xludf.DUMMYFUNCTION("""COMPUTED_VALUE"""),"有")</f>
        <v>有</v>
      </c>
      <c r="Y3072" s="8" t="str">
        <f>IFERROR(__xludf.DUMMYFUNCTION("""COMPUTED_VALUE"""),"P11まで")</f>
        <v>P11まで</v>
      </c>
      <c r="Z3072" s="7"/>
      <c r="AA3072" s="7"/>
      <c r="AB3072" s="7"/>
    </row>
    <row r="3073" ht="15.75" customHeight="1">
      <c r="A3073" s="153">
        <f>IFERROR(__xludf.DUMMYFUNCTION("""COMPUTED_VALUE"""),5333.0)</f>
        <v>5333</v>
      </c>
      <c r="B3073" s="152" t="str">
        <f>IFERROR(__xludf.DUMMYFUNCTION("""COMPUTED_VALUE"""),"確定")</f>
        <v>確定</v>
      </c>
      <c r="C3073" s="154">
        <f>IFERROR(__xludf.DUMMYFUNCTION("""COMPUTED_VALUE"""),45740.0)</f>
        <v>45740</v>
      </c>
      <c r="D3073" s="154">
        <f>IFERROR(__xludf.DUMMYFUNCTION("""COMPUTED_VALUE"""),45742.0)</f>
        <v>45742</v>
      </c>
      <c r="E3073" s="158">
        <f>IFERROR(__xludf.DUMMYFUNCTION("""COMPUTED_VALUE"""),320468.0)</f>
        <v>320468</v>
      </c>
      <c r="F3073" s="159" t="str">
        <f>IFERROR(__xludf.DUMMYFUNCTION("""COMPUTED_VALUE"""),"団地の管理人は妻娘を寝取るのが好きな最低男だった【分冊版】")</f>
        <v>団地の管理人は妻娘を寝取るのが好きな最低男だった【分冊版】</v>
      </c>
      <c r="G3073" s="152" t="str">
        <f>IFERROR(__xludf.DUMMYFUNCTION("""COMPUTED_VALUE"""),"1～3")</f>
        <v>1～3</v>
      </c>
      <c r="H3073" s="152" t="str">
        <f>IFERROR(__xludf.DUMMYFUNCTION("""COMPUTED_VALUE"""),"テツナ/ヒット出版社")</f>
        <v>テツナ/ヒット出版社</v>
      </c>
      <c r="I3073" s="152" t="str">
        <f>IFERROR(__xludf.DUMMYFUNCTION("""COMPUTED_VALUE"""),"アダルトマンガ")</f>
        <v>アダルトマンガ</v>
      </c>
      <c r="J3073" s="157"/>
      <c r="K3073" s="157"/>
      <c r="L3073" s="152" t="str">
        <f>IFERROR(__xludf.DUMMYFUNCTION("""COMPUTED_VALUE"""),"セ・キララ文庫")</f>
        <v>セ・キララ文庫</v>
      </c>
      <c r="M3073" s="59">
        <f>IFERROR(__xludf.DUMMYFUNCTION("""COMPUTED_VALUE"""),45765.0)</f>
        <v>45765</v>
      </c>
      <c r="N3073" s="23">
        <f>IFERROR(__xludf.DUMMYFUNCTION("""COMPUTED_VALUE"""),45792.0)</f>
        <v>45792</v>
      </c>
      <c r="O3073" s="152"/>
      <c r="P3073" s="190" t="str">
        <f>IFERROR(__xludf.DUMMYFUNCTION("""COMPUTED_VALUE"""),"可")</f>
        <v>可</v>
      </c>
      <c r="Q3073" s="190"/>
      <c r="R3073" s="152"/>
      <c r="S3073" s="152" t="str">
        <f>IFERROR(__xludf.DUMMYFUNCTION("""COMPUTED_VALUE"""),"20250324_ライドオン_団地の管理人は妻娘を寝取るのが好きな最低男だった")</f>
        <v>20250324_ライドオン_団地の管理人は妻娘を寝取るのが好きな最低男だった</v>
      </c>
      <c r="T3073" s="152" t="str">
        <f>IFERROR(__xludf.DUMMYFUNCTION("""COMPUTED_VALUE"""),"格納済み")</f>
        <v>格納済み</v>
      </c>
      <c r="U3073" s="15" t="str">
        <f>IFERROR(__xludf.DUMMYFUNCTION("""COMPUTED_VALUE"""),"Ⓒテツナ/ヒット出版社")</f>
        <v>Ⓒテツナ/ヒット出版社</v>
      </c>
      <c r="V3073" s="8" t="str">
        <f>IFERROR(__xludf.DUMMYFUNCTION("""COMPUTED_VALUE"""),"「あ…あ…ナカ…出されて…！」
昼下がりの団地、若妻は管理人のアレを挿入され激しく感じて…
――東京都郊外にあるとある団地。
訳アリの様々な人たちが格安で住んでおり、そのオーナーともなれば、迷える子羊たちを救うまさしく聖人…
のはずなのだが、ここの管理人は一味違った…！
優しい言葉は表面だけ！
実際は若い女のいる家族のみを安く住まわせ、その代わりにと周囲に内緒の肉体関係を迫ってくる最低男だった…！
家族を人質に取られている彼女たちは、乗り気じゃないハズなのについつい感じてしまって…!?
新"&amp;"妻たちも、母娘たちも、管理人の大きなモノを否応無しに挿入され、キモチイイのを止められない――!!
＜収録作品＞
NTR団地 1-5話/NTR配信 前後編/彼氏の兄に〇される日")</f>
        <v>「あ…あ…ナカ…出されて…！」
昼下がりの団地、若妻は管理人のアレを挿入され激しく感じて…
――東京都郊外にあるとある団地。
訳アリの様々な人たちが格安で住んでおり、そのオーナーともなれば、迷える子羊たちを救うまさしく聖人…
のはずなのだが、ここの管理人は一味違った…！
優しい言葉は表面だけ！
実際は若い女のいる家族のみを安く住まわせ、その代わりにと周囲に内緒の肉体関係を迫ってくる最低男だった…！
家族を人質に取られている彼女たちは、乗り気じゃないハズなのについつい感じてしまって…!?
新妻たちも、母娘たちも、管理人の大きなモノを否応無しに挿入され、キモチイイのを止められない――!!
＜収録作品＞
NTR団地 1-5話/NTR配信 前後編/彼氏の兄に〇される日</v>
      </c>
      <c r="W3073" s="14"/>
      <c r="X3073" s="14" t="str">
        <f>IFERROR(__xludf.DUMMYFUNCTION("""COMPUTED_VALUE"""),"有")</f>
        <v>有</v>
      </c>
      <c r="Y3073" s="8" t="str">
        <f>IFERROR(__xludf.DUMMYFUNCTION("""COMPUTED_VALUE"""),"P10まで")</f>
        <v>P10まで</v>
      </c>
      <c r="Z3073" s="7"/>
      <c r="AA3073" s="7"/>
      <c r="AB3073" s="7"/>
    </row>
    <row r="3074" ht="15.75" customHeight="1">
      <c r="A3074" s="153">
        <f>IFERROR(__xludf.DUMMYFUNCTION("""COMPUTED_VALUE"""),5334.0)</f>
        <v>5334</v>
      </c>
      <c r="B3074" s="152" t="str">
        <f>IFERROR(__xludf.DUMMYFUNCTION("""COMPUTED_VALUE"""),"確定")</f>
        <v>確定</v>
      </c>
      <c r="C3074" s="154">
        <f>IFERROR(__xludf.DUMMYFUNCTION("""COMPUTED_VALUE"""),45740.0)</f>
        <v>45740</v>
      </c>
      <c r="D3074" s="154">
        <f>IFERROR(__xludf.DUMMYFUNCTION("""COMPUTED_VALUE"""),45742.0)</f>
        <v>45742</v>
      </c>
      <c r="E3074" s="158">
        <f>IFERROR(__xludf.DUMMYFUNCTION("""COMPUTED_VALUE"""),320469.0)</f>
        <v>320469</v>
      </c>
      <c r="F3074" s="159" t="str">
        <f>IFERROR(__xludf.DUMMYFUNCTION("""COMPUTED_VALUE"""),"家族のNTR事情-アナタのために〇され-【分冊版】")</f>
        <v>家族のNTR事情-アナタのために〇され-【分冊版】</v>
      </c>
      <c r="G3074" s="152" t="str">
        <f>IFERROR(__xludf.DUMMYFUNCTION("""COMPUTED_VALUE"""),"1～3")</f>
        <v>1～3</v>
      </c>
      <c r="H3074" s="152" t="str">
        <f>IFERROR(__xludf.DUMMYFUNCTION("""COMPUTED_VALUE"""),"テツナ/ヒット出版社")</f>
        <v>テツナ/ヒット出版社</v>
      </c>
      <c r="I3074" s="152" t="str">
        <f>IFERROR(__xludf.DUMMYFUNCTION("""COMPUTED_VALUE"""),"アダルトマンガ")</f>
        <v>アダルトマンガ</v>
      </c>
      <c r="J3074" s="157"/>
      <c r="K3074" s="157"/>
      <c r="L3074" s="152" t="str">
        <f>IFERROR(__xludf.DUMMYFUNCTION("""COMPUTED_VALUE"""),"セ・キララ文庫")</f>
        <v>セ・キララ文庫</v>
      </c>
      <c r="M3074" s="59">
        <f>IFERROR(__xludf.DUMMYFUNCTION("""COMPUTED_VALUE"""),45765.0)</f>
        <v>45765</v>
      </c>
      <c r="N3074" s="23">
        <f>IFERROR(__xludf.DUMMYFUNCTION("""COMPUTED_VALUE"""),45792.0)</f>
        <v>45792</v>
      </c>
      <c r="O3074" s="152"/>
      <c r="P3074" s="190" t="str">
        <f>IFERROR(__xludf.DUMMYFUNCTION("""COMPUTED_VALUE"""),"可")</f>
        <v>可</v>
      </c>
      <c r="Q3074" s="190"/>
      <c r="R3074" s="152"/>
      <c r="S3074" s="152" t="str">
        <f>IFERROR(__xludf.DUMMYFUNCTION("""COMPUTED_VALUE"""),"20250324_ライドオン_家族のNTR事情-アナタのために〇され-")</f>
        <v>20250324_ライドオン_家族のNTR事情-アナタのために〇され-</v>
      </c>
      <c r="T3074" s="152" t="str">
        <f>IFERROR(__xludf.DUMMYFUNCTION("""COMPUTED_VALUE"""),"格納済み")</f>
        <v>格納済み</v>
      </c>
      <c r="U3074" s="15" t="str">
        <f>IFERROR(__xludf.DUMMYFUNCTION("""COMPUTED_VALUE"""),"Ⓒテツナ/ヒット出版社")</f>
        <v>Ⓒテツナ/ヒット出版社</v>
      </c>
      <c r="V3074" s="8" t="str">
        <f>IFERROR(__xludf.DUMMYFUNCTION("""COMPUTED_VALUE"""),"「ダメ…！もう気持ちよくて何も考えられない…！」
貞淑な巨乳人妻のトロけた蜜壺に大量射精…！
――会社が倒産して行く宛の無くなった兄は、次の仕事が見つかるまでの間、弟の家に居候をすることに。
ただこの兄、とんでもないゲス男！
同居することになったのをいいことに、弟の嫁と娘のカラダを虎視眈々と狙っていた…！
娘に手を出すことを匂わせる男に、嫁は大人しく従うしかなくて…
男は優秀な弟の嫁を自分のモノにできることに優越感を覚えつつ、その豊満な肉体を好き勝手に弄ぶ！
それだけに飽き足らず、ついに娘ま"&amp;"でその毒牙にかける…！
次第に快楽に溺れていく母娘、酒池肉林のNTRパーティ！
男の欲望はどこまでエスカレートしていくのか…!?
＜収録作品＞
家族のNTR事情 1-4/幸せの等価交換/街中から性的奉仕をさせられる女/家族のための娘のお仕事/cherry boy")</f>
        <v>「ダメ…！もう気持ちよくて何も考えられない…！」
貞淑な巨乳人妻のトロけた蜜壺に大量射精…！
――会社が倒産して行く宛の無くなった兄は、次の仕事が見つかるまでの間、弟の家に居候をすることに。
ただこの兄、とんでもないゲス男！
同居することになったのをいいことに、弟の嫁と娘のカラダを虎視眈々と狙っていた…！
娘に手を出すことを匂わせる男に、嫁は大人しく従うしかなくて…
男は優秀な弟の嫁を自分のモノにできることに優越感を覚えつつ、その豊満な肉体を好き勝手に弄ぶ！
それだけに飽き足らず、ついに娘までその毒牙にかける…！
次第に快楽に溺れていく母娘、酒池肉林のNTRパーティ！
男の欲望はどこまでエスカレートしていくのか…!?
＜収録作品＞
家族のNTR事情 1-4/幸せの等価交換/街中から性的奉仕をさせられる女/家族のための娘のお仕事/cherry boy</v>
      </c>
      <c r="W3074" s="14"/>
      <c r="X3074" s="14" t="str">
        <f>IFERROR(__xludf.DUMMYFUNCTION("""COMPUTED_VALUE"""),"有")</f>
        <v>有</v>
      </c>
      <c r="Y3074" s="8" t="str">
        <f>IFERROR(__xludf.DUMMYFUNCTION("""COMPUTED_VALUE"""),"P10まで")</f>
        <v>P10まで</v>
      </c>
      <c r="Z3074" s="7"/>
      <c r="AA3074" s="7"/>
      <c r="AB3074" s="7"/>
    </row>
    <row r="3075" ht="15.75" customHeight="1">
      <c r="A3075" s="153">
        <f>IFERROR(__xludf.DUMMYFUNCTION("""COMPUTED_VALUE"""),5335.0)</f>
        <v>5335</v>
      </c>
      <c r="B3075" s="152" t="str">
        <f>IFERROR(__xludf.DUMMYFUNCTION("""COMPUTED_VALUE"""),"確定")</f>
        <v>確定</v>
      </c>
      <c r="C3075" s="154">
        <f>IFERROR(__xludf.DUMMYFUNCTION("""COMPUTED_VALUE"""),45740.0)</f>
        <v>45740</v>
      </c>
      <c r="D3075" s="154">
        <f>IFERROR(__xludf.DUMMYFUNCTION("""COMPUTED_VALUE"""),45740.0)</f>
        <v>45740</v>
      </c>
      <c r="E3075" s="158">
        <f>IFERROR(__xludf.DUMMYFUNCTION("""COMPUTED_VALUE"""),320470.0)</f>
        <v>320470</v>
      </c>
      <c r="F3075" s="159" t="str">
        <f>IFERROR(__xludf.DUMMYFUNCTION("""COMPUTED_VALUE"""),"先輩達との学園生活【分冊版】")</f>
        <v>先輩達との学園生活【分冊版】</v>
      </c>
      <c r="G3075" s="152" t="str">
        <f>IFERROR(__xludf.DUMMYFUNCTION("""COMPUTED_VALUE"""),"1～3")</f>
        <v>1～3</v>
      </c>
      <c r="H3075" s="152" t="str">
        <f>IFERROR(__xludf.DUMMYFUNCTION("""COMPUTED_VALUE"""),"左橋レンヤ/ヒット出版社")</f>
        <v>左橋レンヤ/ヒット出版社</v>
      </c>
      <c r="I3075" s="152" t="str">
        <f>IFERROR(__xludf.DUMMYFUNCTION("""COMPUTED_VALUE"""),"アダルトマンガ")</f>
        <v>アダルトマンガ</v>
      </c>
      <c r="J3075" s="157"/>
      <c r="K3075" s="157"/>
      <c r="L3075" s="152" t="str">
        <f>IFERROR(__xludf.DUMMYFUNCTION("""COMPUTED_VALUE"""),"セ・キララ文庫")</f>
        <v>セ・キララ文庫</v>
      </c>
      <c r="M3075" s="59">
        <f>IFERROR(__xludf.DUMMYFUNCTION("""COMPUTED_VALUE"""),45765.0)</f>
        <v>45765</v>
      </c>
      <c r="N3075" s="23">
        <f>IFERROR(__xludf.DUMMYFUNCTION("""COMPUTED_VALUE"""),45792.0)</f>
        <v>45792</v>
      </c>
      <c r="O3075" s="152"/>
      <c r="P3075" s="190" t="str">
        <f>IFERROR(__xludf.DUMMYFUNCTION("""COMPUTED_VALUE"""),"可")</f>
        <v>可</v>
      </c>
      <c r="Q3075" s="190"/>
      <c r="R3075" s="152"/>
      <c r="S3075" s="152" t="str">
        <f>IFERROR(__xludf.DUMMYFUNCTION("""COMPUTED_VALUE"""),"20250324_ライドオン_先輩達との学園生活")</f>
        <v>20250324_ライドオン_先輩達との学園生活</v>
      </c>
      <c r="T3075" s="152" t="str">
        <f>IFERROR(__xludf.DUMMYFUNCTION("""COMPUTED_VALUE"""),"格納済み")</f>
        <v>格納済み</v>
      </c>
      <c r="U3075" s="15" t="str">
        <f>IFERROR(__xludf.DUMMYFUNCTION("""COMPUTED_VALUE"""),"Ⓒ左橋レンヤ/ヒット出版社")</f>
        <v>Ⓒ左橋レンヤ/ヒット出版社</v>
      </c>
      <c r="V3075" s="8" t="str">
        <f>IFERROR(__xludf.DUMMYFUNCTION("""COMPUTED_VALUE"""),"「熱いの出てるぅ…！子宮にびゅうびゅう射ち出されてる…！」
先輩女子のたわわなカラダにガマンしきれず大量に…！
――元は女子校だったが、少子化により去年から共学化した学園に入学した優斗。
共学化したとは言え、男女比1：9の圧倒的女子環境では少し肩身が狭いと後悔…。
そんなある日、トイレでいきなり生徒会の先輩女子二人にエッチな誘いを受けて…!?
生徒たちを先導していく生徒会役員たちから男性への苦手意識を克服していくという名目で、凛とした生徒会長、真面目な会計など色んな先輩たちと代わる代わる中出しエ"&amp;"ッチ！
夢のハーレム学園生活へ――!?
＜収録作品＞
先輩達とのスクールライフ 1-5話/先輩達とのスクールライフ FINAL 前後編/選ばれなかった方の子")</f>
        <v>「熱いの出てるぅ…！子宮にびゅうびゅう射ち出されてる…！」
先輩女子のたわわなカラダにガマンしきれず大量に…！
――元は女子校だったが、少子化により去年から共学化した学園に入学した優斗。
共学化したとは言え、男女比1：9の圧倒的女子環境では少し肩身が狭いと後悔…。
そんなある日、トイレでいきなり生徒会の先輩女子二人にエッチな誘いを受けて…!?
生徒たちを先導していく生徒会役員たちから男性への苦手意識を克服していくという名目で、凛とした生徒会長、真面目な会計など色んな先輩たちと代わる代わる中出しエッチ！
夢のハーレム学園生活へ――!?
＜収録作品＞
先輩達とのスクールライフ 1-5話/先輩達とのスクールライフ FINAL 前後編/選ばれなかった方の子</v>
      </c>
      <c r="W3075" s="14"/>
      <c r="X3075" s="14" t="str">
        <f>IFERROR(__xludf.DUMMYFUNCTION("""COMPUTED_VALUE"""),"有")</f>
        <v>有</v>
      </c>
      <c r="Y3075" s="8" t="str">
        <f>IFERROR(__xludf.DUMMYFUNCTION("""COMPUTED_VALUE"""),"P10まで")</f>
        <v>P10まで</v>
      </c>
      <c r="Z3075" s="7"/>
      <c r="AA3075" s="7"/>
      <c r="AB3075" s="7"/>
    </row>
    <row r="3076" ht="15.75" customHeight="1">
      <c r="A3076" s="153">
        <f>IFERROR(__xludf.DUMMYFUNCTION("""COMPUTED_VALUE"""),5336.0)</f>
        <v>5336</v>
      </c>
      <c r="B3076" s="152" t="str">
        <f>IFERROR(__xludf.DUMMYFUNCTION("""COMPUTED_VALUE"""),"確定")</f>
        <v>確定</v>
      </c>
      <c r="C3076" s="154">
        <f>IFERROR(__xludf.DUMMYFUNCTION("""COMPUTED_VALUE"""),45740.0)</f>
        <v>45740</v>
      </c>
      <c r="D3076" s="154">
        <f>IFERROR(__xludf.DUMMYFUNCTION("""COMPUTED_VALUE"""),45740.0)</f>
        <v>45740</v>
      </c>
      <c r="E3076" s="158">
        <f>IFERROR(__xludf.DUMMYFUNCTION("""COMPUTED_VALUE"""),320472.0)</f>
        <v>320472</v>
      </c>
      <c r="F3076" s="159" t="str">
        <f>IFERROR(__xludf.DUMMYFUNCTION("""COMPUTED_VALUE"""),"イヤだけど挿れられたい！NTRセックスに堕ちていく美人人妻たち【分冊版】")</f>
        <v>イヤだけど挿れられたい！NTRセックスに堕ちていく美人人妻たち【分冊版】</v>
      </c>
      <c r="G3076" s="152" t="str">
        <f>IFERROR(__xludf.DUMMYFUNCTION("""COMPUTED_VALUE"""),"1～3")</f>
        <v>1～3</v>
      </c>
      <c r="H3076" s="152" t="str">
        <f>IFERROR(__xludf.DUMMYFUNCTION("""COMPUTED_VALUE"""),"あべもりおか/ヒット出版社")</f>
        <v>あべもりおか/ヒット出版社</v>
      </c>
      <c r="I3076" s="152" t="str">
        <f>IFERROR(__xludf.DUMMYFUNCTION("""COMPUTED_VALUE"""),"アダルトマンガ")</f>
        <v>アダルトマンガ</v>
      </c>
      <c r="J3076" s="157"/>
      <c r="K3076" s="157"/>
      <c r="L3076" s="152" t="str">
        <f>IFERROR(__xludf.DUMMYFUNCTION("""COMPUTED_VALUE"""),"セ・キララ文庫")</f>
        <v>セ・キララ文庫</v>
      </c>
      <c r="M3076" s="59">
        <f>IFERROR(__xludf.DUMMYFUNCTION("""COMPUTED_VALUE"""),45765.0)</f>
        <v>45765</v>
      </c>
      <c r="N3076" s="23">
        <f>IFERROR(__xludf.DUMMYFUNCTION("""COMPUTED_VALUE"""),45792.0)</f>
        <v>45792</v>
      </c>
      <c r="O3076" s="152"/>
      <c r="P3076" s="190" t="str">
        <f>IFERROR(__xludf.DUMMYFUNCTION("""COMPUTED_VALUE"""),"可")</f>
        <v>可</v>
      </c>
      <c r="Q3076" s="190"/>
      <c r="R3076" s="152"/>
      <c r="S3076" s="152" t="str">
        <f>IFERROR(__xludf.DUMMYFUNCTION("""COMPUTED_VALUE"""),"20250324_ライドオン_イヤだけど挿れられたい！NTRセックスに堕ちていく美人人妻たち")</f>
        <v>20250324_ライドオン_イヤだけど挿れられたい！NTRセックスに堕ちていく美人人妻たち</v>
      </c>
      <c r="T3076" s="152" t="str">
        <f>IFERROR(__xludf.DUMMYFUNCTION("""COMPUTED_VALUE"""),"格納済み")</f>
        <v>格納済み</v>
      </c>
      <c r="U3076" s="15" t="str">
        <f>IFERROR(__xludf.DUMMYFUNCTION("""COMPUTED_VALUE"""),"Ⓒあべもりおか/ヒット出版社")</f>
        <v>Ⓒあべもりおか/ヒット出版社</v>
      </c>
      <c r="V3076" s="8" t="str">
        <f>IFERROR(__xludf.DUMMYFUNCTION("""COMPUTED_VALUE"""),"「わたし、他人のち〇ぽでイっちゃいます…」
人妻はその豊満な身体を快楽に震わせながらイキ喘ぐ…！
――夫の誕生日プレゼントを買うために立ち寄った靴屋で、用を足す姿を隠し撮りされてしまった真悠子。
「この動画をネットに流されたくなければ私たちのセックスフレンドになって下さい」と脅しをかけてくる店長に、真悠子は為すすべもなく…
促されるままスケベな舌遣いでフ〇ラをし、そのまま流れでナマ挿入まで…!?
ぬちょぬちょになったアソコをガンガン突かれて…イヤだけど…イっちゃう!!
清楚な人妻が快楽に負"&amp;"けてメスに変わる瞬間がたまらない！
美しく豊満な挿れ頃オンナたちが淫らにイキ狂う、人妻ファン垂涎の読み切り作品集！
＜収録作品＞
熟妻 輪姦トリプルサレ行為/秘密の白濁熟ママ友会/淫惨！母娘世界公開有料ファンサイト/義母の寝取られ宣言/嵐の夜に/我儘なおしおき/天永頼子はシたりない")</f>
        <v>「わたし、他人のち〇ぽでイっちゃいます…」
人妻はその豊満な身体を快楽に震わせながらイキ喘ぐ…！
――夫の誕生日プレゼントを買うために立ち寄った靴屋で、用を足す姿を隠し撮りされてしまった真悠子。
「この動画をネットに流されたくなければ私たちのセックスフレンドになって下さい」と脅しをかけてくる店長に、真悠子は為すすべもなく…
促されるままスケベな舌遣いでフ〇ラをし、そのまま流れでナマ挿入まで…!?
ぬちょぬちょになったアソコをガンガン突かれて…イヤだけど…イっちゃう!!
清楚な人妻が快楽に負けてメスに変わる瞬間がたまらない！
美しく豊満な挿れ頃オンナたちが淫らにイキ狂う、人妻ファン垂涎の読み切り作品集！
＜収録作品＞
熟妻 輪姦トリプルサレ行為/秘密の白濁熟ママ友会/淫惨！母娘世界公開有料ファンサイト/義母の寝取られ宣言/嵐の夜に/我儘なおしおき/天永頼子はシたりない</v>
      </c>
      <c r="W3076" s="14"/>
      <c r="X3076" s="14" t="str">
        <f>IFERROR(__xludf.DUMMYFUNCTION("""COMPUTED_VALUE"""),"有")</f>
        <v>有</v>
      </c>
      <c r="Y3076" s="8" t="str">
        <f>IFERROR(__xludf.DUMMYFUNCTION("""COMPUTED_VALUE"""),"P10まで")</f>
        <v>P10まで</v>
      </c>
      <c r="Z3076" s="7"/>
      <c r="AA3076" s="7"/>
      <c r="AB3076" s="7"/>
    </row>
    <row r="3077" ht="15.75" customHeight="1">
      <c r="A3077" s="153">
        <f>IFERROR(__xludf.DUMMYFUNCTION("""COMPUTED_VALUE"""),5337.0)</f>
        <v>5337</v>
      </c>
      <c r="B3077" s="152" t="str">
        <f>IFERROR(__xludf.DUMMYFUNCTION("""COMPUTED_VALUE"""),"確定")</f>
        <v>確定</v>
      </c>
      <c r="C3077" s="154">
        <f>IFERROR(__xludf.DUMMYFUNCTION("""COMPUTED_VALUE"""),45740.0)</f>
        <v>45740</v>
      </c>
      <c r="D3077" s="154">
        <f>IFERROR(__xludf.DUMMYFUNCTION("""COMPUTED_VALUE"""),45740.0)</f>
        <v>45740</v>
      </c>
      <c r="E3077" s="158">
        <f>IFERROR(__xludf.DUMMYFUNCTION("""COMPUTED_VALUE"""),320471.0)</f>
        <v>320471</v>
      </c>
      <c r="F3077" s="159" t="str">
        <f>IFERROR(__xludf.DUMMYFUNCTION("""COMPUTED_VALUE"""),"邪眼の淫力で生徒会レズ女子達の処女を…!!【分冊版】")</f>
        <v>邪眼の淫力で生徒会レズ女子達の処女を…!!【分冊版】</v>
      </c>
      <c r="G3077" s="152" t="str">
        <f>IFERROR(__xludf.DUMMYFUNCTION("""COMPUTED_VALUE"""),"1～3")</f>
        <v>1～3</v>
      </c>
      <c r="H3077" s="152" t="str">
        <f>IFERROR(__xludf.DUMMYFUNCTION("""COMPUTED_VALUE"""),"あべもりおか/ヒット出版社")</f>
        <v>あべもりおか/ヒット出版社</v>
      </c>
      <c r="I3077" s="152" t="str">
        <f>IFERROR(__xludf.DUMMYFUNCTION("""COMPUTED_VALUE"""),"アダルトマンガ")</f>
        <v>アダルトマンガ</v>
      </c>
      <c r="J3077" s="157"/>
      <c r="K3077" s="157"/>
      <c r="L3077" s="152" t="str">
        <f>IFERROR(__xludf.DUMMYFUNCTION("""COMPUTED_VALUE"""),"セ・キララ文庫")</f>
        <v>セ・キララ文庫</v>
      </c>
      <c r="M3077" s="59">
        <f>IFERROR(__xludf.DUMMYFUNCTION("""COMPUTED_VALUE"""),45765.0)</f>
        <v>45765</v>
      </c>
      <c r="N3077" s="23">
        <f>IFERROR(__xludf.DUMMYFUNCTION("""COMPUTED_VALUE"""),45792.0)</f>
        <v>45792</v>
      </c>
      <c r="O3077" s="152"/>
      <c r="P3077" s="190" t="str">
        <f>IFERROR(__xludf.DUMMYFUNCTION("""COMPUTED_VALUE"""),"可")</f>
        <v>可</v>
      </c>
      <c r="Q3077" s="190"/>
      <c r="R3077" s="152"/>
      <c r="S3077" s="152" t="str">
        <f>IFERROR(__xludf.DUMMYFUNCTION("""COMPUTED_VALUE"""),"20250324_ライドオン_邪眼の淫力で生徒会レズ女子達の処女を…!!")</f>
        <v>20250324_ライドオン_邪眼の淫力で生徒会レズ女子達の処女を…!!</v>
      </c>
      <c r="T3077" s="152" t="str">
        <f>IFERROR(__xludf.DUMMYFUNCTION("""COMPUTED_VALUE"""),"格納済み")</f>
        <v>格納済み</v>
      </c>
      <c r="U3077" s="15" t="str">
        <f>IFERROR(__xludf.DUMMYFUNCTION("""COMPUTED_VALUE"""),"Ⓒあべもりおか/ヒット出版社")</f>
        <v>Ⓒあべもりおか/ヒット出版社</v>
      </c>
      <c r="V3077" s="8" t="str">
        <f>IFERROR(__xludf.DUMMYFUNCTION("""COMPUTED_VALUE"""),"端野寿美雄(はしのすみお)は影が薄く、その影の薄さを利用した盗撮・盗聴・下着泥棒などの常習犯であった。
そんな彼の小悪党っぷりに目を付けたのはクラスメイトの篠江柚香(しのえゆずか)。
彼女は秘密基地にしている町外れの廃屋に寿美雄を連れ込むと、こう告げる。
「…そのリストに載っている女たち全員の処女を奪って欲しいの」
彼女の目的は、自身の家族や家を奪った理事長の娘に復讐を果たすことであった。
戸惑いながらも、女たちとセックスをするための能力『邪眼』を手に入れるため、邪神と契約したという柚香とセック"&amp;"スする寿美雄…！
無事『邪眼』を手に入れた寿美雄は、邪力の使い手としての類まれなる才覚を発揮しながら、リストの女たちを堕としにかかる――!!
＜収録作品＞
バージンブレイク!!邪神さん 1-5（最終）話/り～ぶ・み～・あろ～ん！")</f>
        <v>端野寿美雄(はしのすみお)は影が薄く、その影の薄さを利用した盗撮・盗聴・下着泥棒などの常習犯であった。
そんな彼の小悪党っぷりに目を付けたのはクラスメイトの篠江柚香(しのえゆずか)。
彼女は秘密基地にしている町外れの廃屋に寿美雄を連れ込むと、こう告げる。
「…そのリストに載っている女たち全員の処女を奪って欲しいの」
彼女の目的は、自身の家族や家を奪った理事長の娘に復讐を果たすことであった。
戸惑いながらも、女たちとセックスをするための能力『邪眼』を手に入れるため、邪神と契約したという柚香とセックスする寿美雄…！
無事『邪眼』を手に入れた寿美雄は、邪力の使い手としての類まれなる才覚を発揮しながら、リストの女たちを堕としにかかる――!!
＜収録作品＞
バージンブレイク!!邪神さん 1-5（最終）話/り～ぶ・み～・あろ～ん！</v>
      </c>
      <c r="W3077" s="14"/>
      <c r="X3077" s="14" t="str">
        <f>IFERROR(__xludf.DUMMYFUNCTION("""COMPUTED_VALUE"""),"有")</f>
        <v>有</v>
      </c>
      <c r="Y3077" s="8" t="str">
        <f>IFERROR(__xludf.DUMMYFUNCTION("""COMPUTED_VALUE"""),"P14まで")</f>
        <v>P14まで</v>
      </c>
      <c r="Z3077" s="7"/>
      <c r="AA3077" s="7"/>
      <c r="AB3077" s="7"/>
    </row>
    <row r="3078" ht="15.75" customHeight="1">
      <c r="A3078" s="153">
        <f>IFERROR(__xludf.DUMMYFUNCTION("""COMPUTED_VALUE"""),5338.0)</f>
        <v>5338</v>
      </c>
      <c r="B3078" s="152" t="str">
        <f>IFERROR(__xludf.DUMMYFUNCTION("""COMPUTED_VALUE"""),"確定")</f>
        <v>確定</v>
      </c>
      <c r="C3078" s="154">
        <f>IFERROR(__xludf.DUMMYFUNCTION("""COMPUTED_VALUE"""),45740.0)</f>
        <v>45740</v>
      </c>
      <c r="D3078" s="154">
        <f>IFERROR(__xludf.DUMMYFUNCTION("""COMPUTED_VALUE"""),45740.0)</f>
        <v>45740</v>
      </c>
      <c r="E3078" s="201">
        <f>IFERROR(__xludf.DUMMYFUNCTION("""COMPUTED_VALUE"""),305528.0)</f>
        <v>305528</v>
      </c>
      <c r="F3078" s="159" t="str">
        <f>IFERROR(__xludf.DUMMYFUNCTION("""COMPUTED_VALUE"""),"最後の恋も2度目なら")</f>
        <v>最後の恋も2度目なら</v>
      </c>
      <c r="G3078" s="152" t="str">
        <f>IFERROR(__xludf.DUMMYFUNCTION("""COMPUTED_VALUE"""),"1～4")</f>
        <v>1～4</v>
      </c>
      <c r="H3078" s="152" t="str">
        <f>IFERROR(__xludf.DUMMYFUNCTION("""COMPUTED_VALUE"""),"月島綾")</f>
        <v>月島綾</v>
      </c>
      <c r="I3078" s="152" t="str">
        <f>IFERROR(__xludf.DUMMYFUNCTION("""COMPUTED_VALUE"""),"女性マンガ")</f>
        <v>女性マンガ</v>
      </c>
      <c r="J3078" s="157"/>
      <c r="K3078" s="157"/>
      <c r="L3078" s="152" t="str">
        <f>IFERROR(__xludf.DUMMYFUNCTION("""COMPUTED_VALUE"""),"シーモアコミックス")</f>
        <v>シーモアコミックス</v>
      </c>
      <c r="M3078" s="59">
        <f>IFERROR(__xludf.DUMMYFUNCTION("""COMPUTED_VALUE"""),45773.0)</f>
        <v>45773</v>
      </c>
      <c r="N3078" s="23">
        <f>IFERROR(__xludf.DUMMYFUNCTION("""COMPUTED_VALUE"""),45834.0)</f>
        <v>45834</v>
      </c>
      <c r="O3078" s="152"/>
      <c r="P3078" s="190" t="str">
        <f>IFERROR(__xludf.DUMMYFUNCTION("""COMPUTED_VALUE"""),"可")</f>
        <v>可</v>
      </c>
      <c r="Q3078" s="190"/>
      <c r="R3078" s="152"/>
      <c r="S3078" s="152" t="str">
        <f>IFERROR(__xludf.DUMMYFUNCTION("""COMPUTED_VALUE"""),"20250324_シーモアコミックス_最後の恋も2度目なら")</f>
        <v>20250324_シーモアコミックス_最後の恋も2度目なら</v>
      </c>
      <c r="T3078" s="152" t="str">
        <f>IFERROR(__xludf.DUMMYFUNCTION("""COMPUTED_VALUE"""),"格納済み")</f>
        <v>格納済み</v>
      </c>
      <c r="U3078" s="15" t="str">
        <f>IFERROR(__xludf.DUMMYFUNCTION("""COMPUTED_VALUE"""),"Ⓒ 月島綾/シーモアコミックス")</f>
        <v>Ⓒ 月島綾/シーモアコミックス</v>
      </c>
      <c r="V3078" s="8" t="str">
        <f>IFERROR(__xludf.DUMMYFUNCTION("""COMPUTED_VALUE"""),"「俺がお前と結婚する、だから死ぬな」――それは結婚破棄から始まった、アラサーの私の前に現れた恋と結婚の分かれ道。
結婚式当日、花婿に振られた来幸（こゆき）。その様子がSNSで全世界に拡散されてしまう。もう一生結婚なんて無理かも…と絶望していたら、ワケありな仲の同僚・浅見（あさみ）から突然のプロポーズ!? この手を取っていいの？戸惑う来幸が最後の恋に踏み出せないのには理由があって…。【恋するソワレ＋】")</f>
        <v>「俺がお前と結婚する、だから死ぬな」――それは結婚破棄から始まった、アラサーの私の前に現れた恋と結婚の分かれ道。
結婚式当日、花婿に振られた来幸（こゆき）。その様子がSNSで全世界に拡散されてしまう。もう一生結婚なんて無理かも…と絶望していたら、ワケありな仲の同僚・浅見（あさみ）から突然のプロポーズ!? この手を取っていいの？戸惑う来幸が最後の恋に踏み出せないのには理由があって…。【恋するソワレ＋】</v>
      </c>
      <c r="W3078" s="14"/>
      <c r="X3078" s="14" t="str">
        <f>IFERROR(__xludf.DUMMYFUNCTION("""COMPUTED_VALUE"""),"有")</f>
        <v>有</v>
      </c>
      <c r="Y3078" s="8" t="str">
        <f>IFERROR(__xludf.DUMMYFUNCTION("""COMPUTED_VALUE"""),"2025/5/23まで1巻無料")</f>
        <v>2025/5/23まで1巻無料</v>
      </c>
      <c r="Z3078" s="7"/>
      <c r="AA3078" s="7"/>
      <c r="AB3078" s="7"/>
    </row>
    <row r="3079" ht="15.75" customHeight="1">
      <c r="A3079" s="153">
        <f>IFERROR(__xludf.DUMMYFUNCTION("""COMPUTED_VALUE"""),5339.0)</f>
        <v>5339</v>
      </c>
      <c r="B3079" s="152" t="str">
        <f>IFERROR(__xludf.DUMMYFUNCTION("""COMPUTED_VALUE"""),"確定")</f>
        <v>確定</v>
      </c>
      <c r="C3079" s="154">
        <f>IFERROR(__xludf.DUMMYFUNCTION("""COMPUTED_VALUE"""),45740.0)</f>
        <v>45740</v>
      </c>
      <c r="D3079" s="154">
        <f>IFERROR(__xludf.DUMMYFUNCTION("""COMPUTED_VALUE"""),45740.0)</f>
        <v>45740</v>
      </c>
      <c r="E3079" s="158">
        <f>IFERROR(__xludf.DUMMYFUNCTION("""COMPUTED_VALUE"""),320288.0)</f>
        <v>320288</v>
      </c>
      <c r="F3079" s="159" t="str">
        <f>IFERROR(__xludf.DUMMYFUNCTION("""COMPUTED_VALUE"""),"のの香とこーちゃん～ち○ち○こわい～")</f>
        <v>のの香とこーちゃん～ち○ち○こわい～</v>
      </c>
      <c r="G3079" s="152" t="str">
        <f>IFERROR(__xludf.DUMMYFUNCTION("""COMPUTED_VALUE"""),"1～3")</f>
        <v>1～3</v>
      </c>
      <c r="H3079" s="152" t="str">
        <f>IFERROR(__xludf.DUMMYFUNCTION("""COMPUTED_VALUE"""),"つきのおまめ")</f>
        <v>つきのおまめ</v>
      </c>
      <c r="I3079" s="152" t="str">
        <f>IFERROR(__xludf.DUMMYFUNCTION("""COMPUTED_VALUE"""),"TL")</f>
        <v>TL</v>
      </c>
      <c r="J3079" s="157"/>
      <c r="K3079" s="157" t="str">
        <f>IFERROR(__xludf.DUMMYFUNCTION("""COMPUTED_VALUE"""),"GirlsCREATIVE")</f>
        <v>GirlsCREATIVE</v>
      </c>
      <c r="L3079" s="152" t="str">
        <f>IFERROR(__xludf.DUMMYFUNCTION("""COMPUTED_VALUE"""),"DLcomics")</f>
        <v>DLcomics</v>
      </c>
      <c r="M3079" s="59">
        <f>IFERROR(__xludf.DUMMYFUNCTION("""COMPUTED_VALUE"""),45752.0)</f>
        <v>45752</v>
      </c>
      <c r="N3079" s="23">
        <f>IFERROR(__xludf.DUMMYFUNCTION("""COMPUTED_VALUE"""),45785.0)</f>
        <v>45785</v>
      </c>
      <c r="O3079" s="152"/>
      <c r="P3079" s="190" t="str">
        <f>IFERROR(__xludf.DUMMYFUNCTION("""COMPUTED_VALUE"""),"可")</f>
        <v>可</v>
      </c>
      <c r="Q3079" s="190" t="str">
        <f>IFERROR(__xludf.DUMMYFUNCTION("""COMPUTED_VALUE"""),"がるまに作品で1カ月先行です。&lt;BR&gt;可能であれば出稿お願いいたします。")</f>
        <v>がるまに作品で1カ月先行です。&lt;BR&gt;可能であれば出稿お願いいたします。</v>
      </c>
      <c r="R3079" s="152"/>
      <c r="S3079" s="152" t="str">
        <f>IFERROR(__xludf.DUMMYFUNCTION("""COMPUTED_VALUE"""),"20250324_エイシス_のの香とこーちゃん～ち○ち○こわい～")</f>
        <v>20250324_エイシス_のの香とこーちゃん～ち○ち○こわい～</v>
      </c>
      <c r="T3079" s="152" t="str">
        <f>IFERROR(__xludf.DUMMYFUNCTION("""COMPUTED_VALUE"""),"格納済み")</f>
        <v>格納済み</v>
      </c>
      <c r="U3079" s="15" t="str">
        <f>IFERROR(__xludf.DUMMYFUNCTION("""COMPUTED_VALUE"""),"Ⓒつきのおまめ/GirlsCREATIVE        ")</f>
        <v>Ⓒつきのおまめ/GirlsCREATIVE        </v>
      </c>
      <c r="V3079" s="8" t="str">
        <f>IFERROR(__xludf.DUMMYFUNCTION("""COMPUTED_VALUE"""),"【本作品は同人誌となります】
幼なじみカップルのち〇ち〇こくふくセックス!
『ち〇ち〇はこわくない!』
登場人物
のの香(21)
専門学生。
こーちゃんと幼なじみ。
こーちゃんの事が大好き!
私服がダサい。
こーちゃん(21)
建設業。
のの香と幼なじみ。
のの香の事が大好き。
とても我慢強い。
■総ページ数:15ページ")</f>
        <v>【本作品は同人誌となります】
幼なじみカップルのち〇ち〇こくふくセックス!
『ち〇ち〇はこわくない!』
登場人物
のの香(21)
専門学生。
こーちゃんと幼なじみ。
こーちゃんの事が大好き!
私服がダサい。
こーちゃん(21)
建設業。
のの香と幼なじみ。
のの香の事が大好き。
とても我慢強い。
■総ページ数:15ページ</v>
      </c>
      <c r="W3079" s="14"/>
      <c r="X3079" s="14" t="str">
        <f>IFERROR(__xludf.DUMMYFUNCTION("""COMPUTED_VALUE"""),"有")</f>
        <v>有</v>
      </c>
      <c r="Y3079" s="8" t="str">
        <f>IFERROR(__xludf.DUMMYFUNCTION("""COMPUTED_VALUE"""),"P7まで")</f>
        <v>P7まで</v>
      </c>
      <c r="Z3079" s="7"/>
      <c r="AA3079" s="7"/>
      <c r="AB3079" s="7"/>
    </row>
    <row r="3080" ht="15.75" customHeight="1">
      <c r="A3080" s="153">
        <f>IFERROR(__xludf.DUMMYFUNCTION("""COMPUTED_VALUE"""),5340.0)</f>
        <v>5340</v>
      </c>
      <c r="B3080" s="152" t="str">
        <f>IFERROR(__xludf.DUMMYFUNCTION("""COMPUTED_VALUE"""),"確定")</f>
        <v>確定</v>
      </c>
      <c r="C3080" s="154">
        <f>IFERROR(__xludf.DUMMYFUNCTION("""COMPUTED_VALUE"""),45740.0)</f>
        <v>45740</v>
      </c>
      <c r="D3080" s="154">
        <f>IFERROR(__xludf.DUMMYFUNCTION("""COMPUTED_VALUE"""),45740.0)</f>
        <v>45740</v>
      </c>
      <c r="E3080" s="158">
        <f>IFERROR(__xludf.DUMMYFUNCTION("""COMPUTED_VALUE"""),320475.0)</f>
        <v>320475</v>
      </c>
      <c r="F3080" s="159" t="str">
        <f>IFERROR(__xludf.DUMMYFUNCTION("""COMPUTED_VALUE"""),"のの香とこーちゃん～ち○ち○こわい～【R-18版】")</f>
        <v>のの香とこーちゃん～ち○ち○こわい～【R-18版】</v>
      </c>
      <c r="G3080" s="161" t="str">
        <f>IFERROR(__xludf.DUMMYFUNCTION("""COMPUTED_VALUE"""),"1~3")</f>
        <v>1~3</v>
      </c>
      <c r="H3080" s="152" t="str">
        <f>IFERROR(__xludf.DUMMYFUNCTION("""COMPUTED_VALUE"""),"つきのおまめ")</f>
        <v>つきのおまめ</v>
      </c>
      <c r="I3080" s="152" t="str">
        <f>IFERROR(__xludf.DUMMYFUNCTION("""COMPUTED_VALUE"""),"アダルトコミック")</f>
        <v>アダルトコミック</v>
      </c>
      <c r="J3080" s="157">
        <f>IFERROR(__xludf.DUMMYFUNCTION("""COMPUTED_VALUE"""),1.0)</f>
        <v>1</v>
      </c>
      <c r="K3080" s="157" t="str">
        <f>IFERROR(__xludf.DUMMYFUNCTION("""COMPUTED_VALUE"""),"GirlsCREATIVE")</f>
        <v>GirlsCREATIVE</v>
      </c>
      <c r="L3080" s="152" t="str">
        <f>IFERROR(__xludf.DUMMYFUNCTION("""COMPUTED_VALUE"""),"DLcomics")</f>
        <v>DLcomics</v>
      </c>
      <c r="M3080" s="59">
        <f>IFERROR(__xludf.DUMMYFUNCTION("""COMPUTED_VALUE"""),45752.0)</f>
        <v>45752</v>
      </c>
      <c r="N3080" s="23">
        <f>IFERROR(__xludf.DUMMYFUNCTION("""COMPUTED_VALUE"""),45785.0)</f>
        <v>45785</v>
      </c>
      <c r="O3080" s="152"/>
      <c r="P3080" s="190" t="str">
        <f>IFERROR(__xludf.DUMMYFUNCTION("""COMPUTED_VALUE"""),"可")</f>
        <v>可</v>
      </c>
      <c r="Q3080" s="190" t="str">
        <f>IFERROR(__xludf.DUMMYFUNCTION("""COMPUTED_VALUE"""),"がるまに作品で1カ月先行です。&lt;BR&gt;可能であれば出稿お願いいたします。")</f>
        <v>がるまに作品で1カ月先行です。&lt;BR&gt;可能であれば出稿お願いいたします。</v>
      </c>
      <c r="R3080" s="152"/>
      <c r="S3080" s="152" t="str">
        <f>IFERROR(__xludf.DUMMYFUNCTION("""COMPUTED_VALUE"""),"20250324_エイシス_のの香とこーちゃん～ち○ち○こわい～r18")</f>
        <v>20250324_エイシス_のの香とこーちゃん～ち○ち○こわい～r18</v>
      </c>
      <c r="T3080" s="152" t="str">
        <f>IFERROR(__xludf.DUMMYFUNCTION("""COMPUTED_VALUE"""),"格納済み")</f>
        <v>格納済み</v>
      </c>
      <c r="U3080" s="15" t="str">
        <f>IFERROR(__xludf.DUMMYFUNCTION("""COMPUTED_VALUE"""),"Ⓒつきのおまめ/DLcomics        ")</f>
        <v>Ⓒつきのおまめ/DLcomics        </v>
      </c>
      <c r="V3080" s="8" t="str">
        <f>IFERROR(__xludf.DUMMYFUNCTION("""COMPUTED_VALUE"""),"【本作品は同人誌となります】
幼なじみカップルのち〇ち〇こくふくセックス!
『ち〇ち〇はこわくない!』
登場人物
のの香(21)
専門学生。
こーちゃんと幼なじみ。
こーちゃんの事が大好き!
私服がダサい。
こーちゃん(21)
建設業。
のの香と幼なじみ。
のの香の事が大好き。
とても我慢強い。
■総ページ数:15ページ")</f>
        <v>【本作品は同人誌となります】
幼なじみカップルのち〇ち〇こくふくセックス!
『ち〇ち〇はこわくない!』
登場人物
のの香(21)
専門学生。
こーちゃんと幼なじみ。
こーちゃんの事が大好き!
私服がダサい。
こーちゃん(21)
建設業。
のの香と幼なじみ。
のの香の事が大好き。
とても我慢強い。
■総ページ数:15ページ</v>
      </c>
      <c r="W3080" s="14"/>
      <c r="X3080" s="14" t="str">
        <f>IFERROR(__xludf.DUMMYFUNCTION("""COMPUTED_VALUE"""),"有")</f>
        <v>有</v>
      </c>
      <c r="Y3080" s="8" t="str">
        <f>IFERROR(__xludf.DUMMYFUNCTION("""COMPUTED_VALUE"""),"P7まで")</f>
        <v>P7まで</v>
      </c>
      <c r="Z3080" s="7"/>
      <c r="AA3080" s="7"/>
      <c r="AB3080" s="7"/>
    </row>
    <row r="3081" ht="15.75" customHeight="1">
      <c r="A3081" s="153">
        <f>IFERROR(__xludf.DUMMYFUNCTION("""COMPUTED_VALUE"""),5341.0)</f>
        <v>5341</v>
      </c>
      <c r="B3081" s="152" t="str">
        <f>IFERROR(__xludf.DUMMYFUNCTION("""COMPUTED_VALUE"""),"確定")</f>
        <v>確定</v>
      </c>
      <c r="C3081" s="154">
        <f>IFERROR(__xludf.DUMMYFUNCTION("""COMPUTED_VALUE"""),45740.0)</f>
        <v>45740</v>
      </c>
      <c r="D3081" s="154">
        <f>IFERROR(__xludf.DUMMYFUNCTION("""COMPUTED_VALUE"""),45740.0)</f>
        <v>45740</v>
      </c>
      <c r="E3081" s="158">
        <f>IFERROR(__xludf.DUMMYFUNCTION("""COMPUTED_VALUE"""),320474.0)</f>
        <v>320474</v>
      </c>
      <c r="F3081" s="159" t="str">
        <f>IFERROR(__xludf.DUMMYFUNCTION("""COMPUTED_VALUE"""),"妄想文庫【R-18版】")</f>
        <v>妄想文庫【R-18版】</v>
      </c>
      <c r="G3081" s="161" t="str">
        <f>IFERROR(__xludf.DUMMYFUNCTION("""COMPUTED_VALUE"""),"1～4")</f>
        <v>1～4</v>
      </c>
      <c r="H3081" s="152" t="str">
        <f>IFERROR(__xludf.DUMMYFUNCTION("""COMPUTED_VALUE"""),"斑目りん")</f>
        <v>斑目りん</v>
      </c>
      <c r="I3081" s="152" t="str">
        <f>IFERROR(__xludf.DUMMYFUNCTION("""COMPUTED_VALUE"""),"アダルトマンガ")</f>
        <v>アダルトマンガ</v>
      </c>
      <c r="J3081" s="157">
        <f>IFERROR(__xludf.DUMMYFUNCTION("""COMPUTED_VALUE"""),1.0)</f>
        <v>1</v>
      </c>
      <c r="K3081" s="157" t="str">
        <f>IFERROR(__xludf.DUMMYFUNCTION("""COMPUTED_VALUE"""),"GirlsCREATIVE")</f>
        <v>GirlsCREATIVE</v>
      </c>
      <c r="L3081" s="152" t="str">
        <f>IFERROR(__xludf.DUMMYFUNCTION("""COMPUTED_VALUE"""),"DLcomics")</f>
        <v>DLcomics</v>
      </c>
      <c r="M3081" s="59">
        <f>IFERROR(__xludf.DUMMYFUNCTION("""COMPUTED_VALUE"""),45759.0)</f>
        <v>45759</v>
      </c>
      <c r="N3081" s="47">
        <f>IFERROR(__xludf.DUMMYFUNCTION("""COMPUTED_VALUE"""),45792.0)</f>
        <v>45792</v>
      </c>
      <c r="O3081" s="152"/>
      <c r="P3081" s="190" t="str">
        <f>IFERROR(__xludf.DUMMYFUNCTION("""COMPUTED_VALUE"""),"可")</f>
        <v>可</v>
      </c>
      <c r="Q3081" s="190" t="str">
        <f>IFERROR(__xludf.DUMMYFUNCTION("""COMPUTED_VALUE"""),"がるまに作品で1カ月先行です。&lt;BR&gt;可能であれば出稿お願いいたします。")</f>
        <v>がるまに作品で1カ月先行です。&lt;BR&gt;可能であれば出稿お願いいたします。</v>
      </c>
      <c r="R3081" s="152"/>
      <c r="S3081" s="152" t="str">
        <f>IFERROR(__xludf.DUMMYFUNCTION("""COMPUTED_VALUE"""),"20250324_エイシス_妄想文庫【R-18版】")</f>
        <v>20250324_エイシス_妄想文庫【R-18版】</v>
      </c>
      <c r="T3081" s="152" t="str">
        <f>IFERROR(__xludf.DUMMYFUNCTION("""COMPUTED_VALUE"""),"格納済み")</f>
        <v>格納済み</v>
      </c>
      <c r="U3081" s="15" t="str">
        <f>IFERROR(__xludf.DUMMYFUNCTION("""COMPUTED_VALUE"""),"Ⓒ斑目りん/DLcomics        ")</f>
        <v>Ⓒ斑目りん/DLcomics        </v>
      </c>
      <c r="V3081" s="8" t="str">
        <f>IFERROR(__xludf.DUMMYFUNCTION("""COMPUTED_VALUE"""),"【本作品は同人誌となります】
「本の虫」・諏訪栞(すわしおり)の働く
ブックカフェにやってきたひとりの小説家。
彼の名前は「雪村萌」(ゆきむらもえ)。
先日大きな文学賞を受賞したばかりの純文学作家。
栞はかねてより彼の作品が好きで、
特に受賞作の「妄想文庫」は一番好きな小説だった。
「一言だけ本の感想を伝えたい」と意を決して声をかけた栞。
すると雪村萌から意外な告白を受ける事に…
■総ページ数:16ページ")</f>
        <v>【本作品は同人誌となります】
「本の虫」・諏訪栞(すわしおり)の働く
ブックカフェにやってきたひとりの小説家。
彼の名前は「雪村萌」(ゆきむらもえ)。
先日大きな文学賞を受賞したばかりの純文学作家。
栞はかねてより彼の作品が好きで、
特に受賞作の「妄想文庫」は一番好きな小説だった。
「一言だけ本の感想を伝えたい」と意を決して声をかけた栞。
すると雪村萌から意外な告白を受ける事に…
■総ページ数:16ページ</v>
      </c>
      <c r="W3081" s="14"/>
      <c r="X3081" s="14" t="str">
        <f>IFERROR(__xludf.DUMMYFUNCTION("""COMPUTED_VALUE"""),"有")</f>
        <v>有</v>
      </c>
      <c r="Y3081" s="8" t="str">
        <f>IFERROR(__xludf.DUMMYFUNCTION("""COMPUTED_VALUE"""),"2025/5/15まで1巻無料")</f>
        <v>2025/5/15まで1巻無料</v>
      </c>
      <c r="Z3081" s="7"/>
      <c r="AA3081" s="7"/>
      <c r="AB3081" s="7"/>
    </row>
    <row r="3082" ht="15.75" customHeight="1">
      <c r="A3082" s="153">
        <f>IFERROR(__xludf.DUMMYFUNCTION("""COMPUTED_VALUE"""),5342.0)</f>
        <v>5342</v>
      </c>
      <c r="B3082" s="152" t="str">
        <f>IFERROR(__xludf.DUMMYFUNCTION("""COMPUTED_VALUE"""),"確定")</f>
        <v>確定</v>
      </c>
      <c r="C3082" s="154">
        <f>IFERROR(__xludf.DUMMYFUNCTION("""COMPUTED_VALUE"""),45740.0)</f>
        <v>45740</v>
      </c>
      <c r="D3082" s="154">
        <f>IFERROR(__xludf.DUMMYFUNCTION("""COMPUTED_VALUE"""),45740.0)</f>
        <v>45740</v>
      </c>
      <c r="E3082" s="158">
        <f>IFERROR(__xludf.DUMMYFUNCTION("""COMPUTED_VALUE"""),320290.0)</f>
        <v>320290</v>
      </c>
      <c r="F3082" s="159" t="str">
        <f>IFERROR(__xludf.DUMMYFUNCTION("""COMPUTED_VALUE"""),"妄想文庫")</f>
        <v>妄想文庫</v>
      </c>
      <c r="G3082" s="152" t="str">
        <f>IFERROR(__xludf.DUMMYFUNCTION("""COMPUTED_VALUE"""),"1～4")</f>
        <v>1～4</v>
      </c>
      <c r="H3082" s="152" t="str">
        <f>IFERROR(__xludf.DUMMYFUNCTION("""COMPUTED_VALUE"""),"斑目りん")</f>
        <v>斑目りん</v>
      </c>
      <c r="I3082" s="152" t="str">
        <f>IFERROR(__xludf.DUMMYFUNCTION("""COMPUTED_VALUE"""),"TL")</f>
        <v>TL</v>
      </c>
      <c r="J3082" s="157"/>
      <c r="K3082" s="157" t="str">
        <f>IFERROR(__xludf.DUMMYFUNCTION("""COMPUTED_VALUE"""),"GirlsCREATIVE")</f>
        <v>GirlsCREATIVE</v>
      </c>
      <c r="L3082" s="152" t="str">
        <f>IFERROR(__xludf.DUMMYFUNCTION("""COMPUTED_VALUE"""),"DLcomics")</f>
        <v>DLcomics</v>
      </c>
      <c r="M3082" s="59">
        <f>IFERROR(__xludf.DUMMYFUNCTION("""COMPUTED_VALUE"""),45759.0)</f>
        <v>45759</v>
      </c>
      <c r="N3082" s="47">
        <f>IFERROR(__xludf.DUMMYFUNCTION("""COMPUTED_VALUE"""),45792.0)</f>
        <v>45792</v>
      </c>
      <c r="O3082" s="152"/>
      <c r="P3082" s="190" t="str">
        <f>IFERROR(__xludf.DUMMYFUNCTION("""COMPUTED_VALUE"""),"可")</f>
        <v>可</v>
      </c>
      <c r="Q3082" s="190" t="str">
        <f>IFERROR(__xludf.DUMMYFUNCTION("""COMPUTED_VALUE"""),"がるまに作品で1カ月先行です。&lt;BR&gt;可能であれば出稿お願いいたします。")</f>
        <v>がるまに作品で1カ月先行です。&lt;BR&gt;可能であれば出稿お願いいたします。</v>
      </c>
      <c r="R3082" s="152"/>
      <c r="S3082" s="152" t="str">
        <f>IFERROR(__xludf.DUMMYFUNCTION("""COMPUTED_VALUE"""),"20250324_エイシス_妄想文庫")</f>
        <v>20250324_エイシス_妄想文庫</v>
      </c>
      <c r="T3082" s="152" t="str">
        <f>IFERROR(__xludf.DUMMYFUNCTION("""COMPUTED_VALUE"""),"格納済み")</f>
        <v>格納済み</v>
      </c>
      <c r="U3082" s="15" t="str">
        <f>IFERROR(__xludf.DUMMYFUNCTION("""COMPUTED_VALUE"""),"Ⓒ斑目りん/GirlsCREATIVE        ")</f>
        <v>Ⓒ斑目りん/GirlsCREATIVE        </v>
      </c>
      <c r="V3082" s="8" t="str">
        <f>IFERROR(__xludf.DUMMYFUNCTION("""COMPUTED_VALUE"""),"【本作品は同人誌となります】
「本の虫」・諏訪栞(すわしおり)の働く
ブックカフェにやってきたひとりの小説家。
彼の名前は「雪村萌」(ゆきむらもえ)。
先日大きな文学賞を受賞したばかりの純文学作家。
栞はかねてより彼の作品が好きで、
特に受賞作の「妄想文庫」は一番好きな小説だった。
「一言だけ本の感想を伝えたい」と意を決して声をかけた栞。
すると雪村萌から意外な告白を受ける事に…
■総ページ数:16ページ")</f>
        <v>【本作品は同人誌となります】
「本の虫」・諏訪栞(すわしおり)の働く
ブックカフェにやってきたひとりの小説家。
彼の名前は「雪村萌」(ゆきむらもえ)。
先日大きな文学賞を受賞したばかりの純文学作家。
栞はかねてより彼の作品が好きで、
特に受賞作の「妄想文庫」は一番好きな小説だった。
「一言だけ本の感想を伝えたい」と意を決して声をかけた栞。
すると雪村萌から意外な告白を受ける事に…
■総ページ数:16ページ</v>
      </c>
      <c r="W3082" s="14"/>
      <c r="X3082" s="14" t="str">
        <f>IFERROR(__xludf.DUMMYFUNCTION("""COMPUTED_VALUE"""),"有")</f>
        <v>有</v>
      </c>
      <c r="Y3082" s="8" t="str">
        <f>IFERROR(__xludf.DUMMYFUNCTION("""COMPUTED_VALUE"""),"2025/5/15まで1巻無料")</f>
        <v>2025/5/15まで1巻無料</v>
      </c>
      <c r="Z3082" s="7"/>
      <c r="AA3082" s="7"/>
      <c r="AB3082" s="7"/>
    </row>
    <row r="3083" ht="15.75" customHeight="1">
      <c r="A3083" s="153">
        <f>IFERROR(__xludf.DUMMYFUNCTION("""COMPUTED_VALUE"""),5345.0)</f>
        <v>5345</v>
      </c>
      <c r="B3083" s="152" t="str">
        <f>IFERROR(__xludf.DUMMYFUNCTION("""COMPUTED_VALUE"""),"確定")</f>
        <v>確定</v>
      </c>
      <c r="C3083" s="154">
        <f>IFERROR(__xludf.DUMMYFUNCTION("""COMPUTED_VALUE"""),45740.0)</f>
        <v>45740</v>
      </c>
      <c r="D3083" s="154">
        <f>IFERROR(__xludf.DUMMYFUNCTION("""COMPUTED_VALUE"""),45740.0)</f>
        <v>45740</v>
      </c>
      <c r="E3083" s="158">
        <f>IFERROR(__xludf.DUMMYFUNCTION("""COMPUTED_VALUE"""),320515.0)</f>
        <v>320515</v>
      </c>
      <c r="F3083" s="159" t="str">
        <f>IFERROR(__xludf.DUMMYFUNCTION("""COMPUTED_VALUE"""),"オフィーリアが公爵家を離れられない理由")</f>
        <v>オフィーリアが公爵家を離れられない理由</v>
      </c>
      <c r="G3083" s="152" t="str">
        <f>IFERROR(__xludf.DUMMYFUNCTION("""COMPUTED_VALUE"""),"1～9")</f>
        <v>1～9</v>
      </c>
      <c r="H3083" s="152" t="str">
        <f>IFERROR(__xludf.DUMMYFUNCTION("""COMPUTED_VALUE"""),"Jooahri")</f>
        <v>Jooahri</v>
      </c>
      <c r="I3083" s="152" t="str">
        <f>IFERROR(__xludf.DUMMYFUNCTION("""COMPUTED_VALUE"""),"女性")</f>
        <v>女性</v>
      </c>
      <c r="J3083" s="157"/>
      <c r="K3083" s="157"/>
      <c r="L3083" s="152" t="str">
        <f>IFERROR(__xludf.DUMMYFUNCTION("""COMPUTED_VALUE"""),"SBCr")</f>
        <v>SBCr</v>
      </c>
      <c r="M3083" s="59">
        <f>IFERROR(__xludf.DUMMYFUNCTION("""COMPUTED_VALUE"""),45773.0)</f>
        <v>45773</v>
      </c>
      <c r="N3083" s="23">
        <f>IFERROR(__xludf.DUMMYFUNCTION("""COMPUTED_VALUE"""),45800.0)</f>
        <v>45800</v>
      </c>
      <c r="O3083" s="152"/>
      <c r="P3083" s="190" t="str">
        <f>IFERROR(__xludf.DUMMYFUNCTION("""COMPUTED_VALUE"""),"可")</f>
        <v>可</v>
      </c>
      <c r="Q3083" s="190" t="str">
        <f>IFERROR(__xludf.DUMMYFUNCTION("""COMPUTED_VALUE"""),"本タイトルはWebtoonを版面化に組みなおした横読みコンテンツの数社先行（シーモアとピッコマの２社）となります。（Webtoonだとcomico様から配信されておりますが、版面版コンテンツはSBCr様が配信窓口となります。）")</f>
        <v>本タイトルはWebtoonを版面化に組みなおした横読みコンテンツの数社先行（シーモアとピッコマの２社）となります。（Webtoonだとcomico様から配信されておりますが、版面版コンテンツはSBCr様が配信窓口となります。）</v>
      </c>
      <c r="R3083" s="152"/>
      <c r="S3083" s="152" t="str">
        <f>IFERROR(__xludf.DUMMYFUNCTION("""COMPUTED_VALUE"""),"20250324_SBクリエイティブ_オフィーリアが公爵家を離れられない理由")</f>
        <v>20250324_SBクリエイティブ_オフィーリアが公爵家を離れられない理由</v>
      </c>
      <c r="T3083" s="152" t="str">
        <f>IFERROR(__xludf.DUMMYFUNCTION("""COMPUTED_VALUE"""),"格納済み")</f>
        <v>格納済み</v>
      </c>
      <c r="U3083" s="15" t="str">
        <f>IFERROR(__xludf.DUMMYFUNCTION("""COMPUTED_VALUE"""),"Ⓒ2021, samo, Joo ahri")</f>
        <v>Ⓒ2021, samo, Joo ahri</v>
      </c>
      <c r="V3083" s="8" t="str">
        <f>IFERROR(__xludf.DUMMYFUNCTION("""COMPUTED_VALUE"""),"オフィーリアの母親は三度目の結婚相手であるアルファード公爵との新婚旅行中に命を落とした。公爵家の中で一人忌み嫌われ酷い扱いを受けるようになったオフィーリアは家を出ることを決意する。しかし実行に移そうとした夜、今まで冷たい態度だったはずの義理の弟、アレクサンダーに引き留められた。「この家には大人がいないから姉さんには僕が大人になる3年後まで居てほしい」そう言葉にした彼だが、真の目的は他にありそうで…？本音が見え隠れする公爵家でオフィーリアは上手くやっていくことができるのか。")</f>
        <v>オフィーリアの母親は三度目の結婚相手であるアルファード公爵との新婚旅行中に命を落とした。公爵家の中で一人忌み嫌われ酷い扱いを受けるようになったオフィーリアは家を出ることを決意する。しかし実行に移そうとした夜、今まで冷たい態度だったはずの義理の弟、アレクサンダーに引き留められた。「この家には大人がいないから姉さんには僕が大人になる3年後まで居てほしい」そう言葉にした彼だが、真の目的は他にありそうで…？本音が見え隠れする公爵家でオフィーリアは上手くやっていくことができるのか。</v>
      </c>
      <c r="W3083" s="14"/>
      <c r="X3083" s="14" t="str">
        <f>IFERROR(__xludf.DUMMYFUNCTION("""COMPUTED_VALUE"""),"有")</f>
        <v>有</v>
      </c>
      <c r="Y3083" s="8" t="str">
        <f>IFERROR(__xludf.DUMMYFUNCTION("""COMPUTED_VALUE"""),"2025/5/9まで1～2巻無料")</f>
        <v>2025/5/9まで1～2巻無料</v>
      </c>
      <c r="Z3083" s="7"/>
      <c r="AA3083" s="7"/>
      <c r="AB3083" s="7"/>
    </row>
    <row r="3084" ht="15.75" customHeight="1">
      <c r="A3084" s="153">
        <f>IFERROR(__xludf.DUMMYFUNCTION("""COMPUTED_VALUE"""),5350.0)</f>
        <v>5350</v>
      </c>
      <c r="B3084" s="152" t="str">
        <f>IFERROR(__xludf.DUMMYFUNCTION("""COMPUTED_VALUE"""),"確定")</f>
        <v>確定</v>
      </c>
      <c r="C3084" s="154">
        <f>IFERROR(__xludf.DUMMYFUNCTION("""COMPUTED_VALUE"""),45741.0)</f>
        <v>45741</v>
      </c>
      <c r="D3084" s="154">
        <f>IFERROR(__xludf.DUMMYFUNCTION("""COMPUTED_VALUE"""),45742.0)</f>
        <v>45742</v>
      </c>
      <c r="E3084" s="158">
        <f>IFERROR(__xludf.DUMMYFUNCTION("""COMPUTED_VALUE"""),271547.0)</f>
        <v>271547</v>
      </c>
      <c r="F3084" s="159" t="str">
        <f>IFERROR(__xludf.DUMMYFUNCTION("""COMPUTED_VALUE"""),"嗅愛フェロモン")</f>
        <v>嗅愛フェロモン</v>
      </c>
      <c r="G3084" s="152">
        <f>IFERROR(__xludf.DUMMYFUNCTION("""COMPUTED_VALUE"""),4.0)</f>
        <v>4</v>
      </c>
      <c r="H3084" s="152" t="str">
        <f>IFERROR(__xludf.DUMMYFUNCTION("""COMPUTED_VALUE"""),"九尾つなし")</f>
        <v>九尾つなし</v>
      </c>
      <c r="I3084" s="152" t="str">
        <f>IFERROR(__xludf.DUMMYFUNCTION("""COMPUTED_VALUE"""),"BL")</f>
        <v>BL</v>
      </c>
      <c r="J3084" s="157"/>
      <c r="K3084" s="157" t="str">
        <f>IFERROR(__xludf.DUMMYFUNCTION("""COMPUTED_VALUE"""),"NuPu")</f>
        <v>NuPu</v>
      </c>
      <c r="L3084" s="152" t="str">
        <f>IFERROR(__xludf.DUMMYFUNCTION("""COMPUTED_VALUE"""),"CLLENN")</f>
        <v>CLLENN</v>
      </c>
      <c r="M3084" s="59">
        <f>IFERROR(__xludf.DUMMYFUNCTION("""COMPUTED_VALUE"""),45766.0)</f>
        <v>45766</v>
      </c>
      <c r="N3084" s="23">
        <f>IFERROR(__xludf.DUMMYFUNCTION("""COMPUTED_VALUE"""),2958465.0)</f>
        <v>2958465</v>
      </c>
      <c r="O3084" s="152"/>
      <c r="P3084" s="190" t="str">
        <f>IFERROR(__xludf.DUMMYFUNCTION("""COMPUTED_VALUE"""),"可")</f>
        <v>可</v>
      </c>
      <c r="Q3084" s="190" t="str">
        <f>IFERROR(__xludf.DUMMYFUNCTION("""COMPUTED_VALUE"""),"【シーモア限定BOOK】作品です")</f>
        <v>【シーモア限定BOOK】作品です</v>
      </c>
      <c r="R3084" s="152"/>
      <c r="S3084" s="152" t="str">
        <f>IFERROR(__xludf.DUMMYFUNCTION("""COMPUTED_VALUE"""),"20250325_シーモア限定BOOK_CLLENN_嗅愛フェロモン")</f>
        <v>20250325_シーモア限定BOOK_CLLENN_嗅愛フェロモン</v>
      </c>
      <c r="T3084" s="152" t="str">
        <f>IFERROR(__xludf.DUMMYFUNCTION("""COMPUTED_VALUE"""),"格納済み")</f>
        <v>格納済み</v>
      </c>
      <c r="U3084" s="15" t="str">
        <f>IFERROR(__xludf.DUMMYFUNCTION("""COMPUTED_VALUE"""),"Ⓒ九尾つなし/CLLENN")</f>
        <v>Ⓒ九尾つなし/CLLENN</v>
      </c>
      <c r="V3084" s="8" t="str">
        <f>IFERROR(__xludf.DUMMYFUNCTION("""COMPUTED_VALUE"""),"ここでしか読めない！『嗅愛フェロモン 完結編』の後日談を描いた、完全新作！！
――すれ違いが続き、ひと月ぶりに会うことになった小熊と秋斗。
秋斗は一人で“いろいろ”と準備をして小熊を待つが…。
ところが、チャイムが鳴り玄関へと向かうと、そこにいたのは――…？
久々の逢瀬で、二人ともいつもの100倍興奮！！？
濃厚エッチをたっぷり描いた番外編が、コミックシーモア限定の描き下ろしで登場！")</f>
        <v>ここでしか読めない！『嗅愛フェロモン 完結編』の後日談を描いた、完全新作！！
――すれ違いが続き、ひと月ぶりに会うことになった小熊と秋斗。
秋斗は一人で“いろいろ”と準備をして小熊を待つが…。
ところが、チャイムが鳴り玄関へと向かうと、そこにいたのは――…？
久々の逢瀬で、二人ともいつもの100倍興奮！！？
濃厚エッチをたっぷり描いた番外編が、コミックシーモア限定の描き下ろしで登場！</v>
      </c>
      <c r="W3084" s="14"/>
      <c r="X3084" s="14" t="str">
        <f>IFERROR(__xludf.DUMMYFUNCTION("""COMPUTED_VALUE"""),"有")</f>
        <v>有</v>
      </c>
      <c r="Y3084" s="8" t="str">
        <f>IFERROR(__xludf.DUMMYFUNCTION("""COMPUTED_VALUE"""),"P5まで")</f>
        <v>P5まで</v>
      </c>
      <c r="Z3084" s="7"/>
      <c r="AA3084" s="7"/>
      <c r="AB3084" s="7"/>
    </row>
    <row r="3085" ht="15.75" customHeight="1">
      <c r="A3085" s="153">
        <f>IFERROR(__xludf.DUMMYFUNCTION("""COMPUTED_VALUE"""),5354.0)</f>
        <v>5354</v>
      </c>
      <c r="B3085" s="152" t="str">
        <f>IFERROR(__xludf.DUMMYFUNCTION("""COMPUTED_VALUE"""),"確定")</f>
        <v>確定</v>
      </c>
      <c r="C3085" s="154">
        <f>IFERROR(__xludf.DUMMYFUNCTION("""COMPUTED_VALUE"""),45741.0)</f>
        <v>45741</v>
      </c>
      <c r="D3085" s="154">
        <f>IFERROR(__xludf.DUMMYFUNCTION("""COMPUTED_VALUE"""),45741.0)</f>
        <v>45741</v>
      </c>
      <c r="E3085" s="155">
        <f>IFERROR(__xludf.DUMMYFUNCTION("""COMPUTED_VALUE"""),321019.0)</f>
        <v>321019</v>
      </c>
      <c r="F3085" s="156" t="str">
        <f>IFERROR(__xludf.DUMMYFUNCTION("""COMPUTED_VALUE"""),"三好ちゃんと太一くん")</f>
        <v>三好ちゃんと太一くん</v>
      </c>
      <c r="G3085" s="152">
        <f>IFERROR(__xludf.DUMMYFUNCTION("""COMPUTED_VALUE"""),1.0)</f>
        <v>1</v>
      </c>
      <c r="H3085" s="152" t="str">
        <f>IFERROR(__xludf.DUMMYFUNCTION("""COMPUTED_VALUE"""),"兎三島ひすい")</f>
        <v>兎三島ひすい</v>
      </c>
      <c r="I3085" s="152" t="str">
        <f>IFERROR(__xludf.DUMMYFUNCTION("""COMPUTED_VALUE"""),"TL")</f>
        <v>TL</v>
      </c>
      <c r="J3085" s="157"/>
      <c r="K3085" s="157" t="str">
        <f>IFERROR(__xludf.DUMMYFUNCTION("""COMPUTED_VALUE"""),"LOVEBITES")</f>
        <v>LOVEBITES</v>
      </c>
      <c r="L3085" s="152" t="str">
        <f>IFERROR(__xludf.DUMMYFUNCTION("""COMPUTED_VALUE"""),"一迅社")</f>
        <v>一迅社</v>
      </c>
      <c r="M3085" s="59">
        <f>IFERROR(__xludf.DUMMYFUNCTION("""COMPUTED_VALUE"""),45778.0)</f>
        <v>45778</v>
      </c>
      <c r="N3085" s="23">
        <f>IFERROR(__xludf.DUMMYFUNCTION("""COMPUTED_VALUE"""),45808.0)</f>
        <v>45808</v>
      </c>
      <c r="O3085" s="152"/>
      <c r="P3085" s="190" t="str">
        <f>IFERROR(__xludf.DUMMYFUNCTION("""COMPUTED_VALUE"""),"可")</f>
        <v>可</v>
      </c>
      <c r="Q3085" s="190" t="str">
        <f>IFERROR(__xludf.DUMMYFUNCTION("""COMPUTED_VALUE"""),"いつから抱く側だと思ってたの？～可愛いカレをめちゃくちゃにシたい！女攻めアンソロジー～：3 掲載作の単話")</f>
        <v>いつから抱く側だと思ってたの？～可愛いカレをめちゃくちゃにシたい！女攻めアンソロジー～：3 掲載作の単話</v>
      </c>
      <c r="R3085" s="152"/>
      <c r="S3085" s="152" t="str">
        <f>IFERROR(__xludf.DUMMYFUNCTION("""COMPUTED_VALUE"""),"20250325_一迅社_三好ちゃんと太一くん")</f>
        <v>20250325_一迅社_三好ちゃんと太一くん</v>
      </c>
      <c r="T3085" s="152" t="str">
        <f>IFERROR(__xludf.DUMMYFUNCTION("""COMPUTED_VALUE"""),"格納済み")</f>
        <v>格納済み</v>
      </c>
      <c r="U3085" s="15" t="str">
        <f>IFERROR(__xludf.DUMMYFUNCTION("""COMPUTED_VALUE"""),"Ⓒ兎三島ひすい／一迅社")</f>
        <v>Ⓒ兎三島ひすい／一迅社</v>
      </c>
      <c r="V3085" s="8" t="str">
        <f>IFERROR(__xludf.DUMMYFUNCTION("""COMPUTED_VALUE"""),"みよのことが好きなら、みよのでごしごしされてびゅーってして？※この作品は『いつから抱く側だと思ってたの？～可愛いカレをめちゃくちゃにシたい！女攻めアンソロジー～③』収録作品と同一の内容を単話版として再編集したものとなります。")</f>
        <v>みよのことが好きなら、みよのでごしごしされてびゅーってして？※この作品は『いつから抱く側だと思ってたの？～可愛いカレをめちゃくちゃにシたい！女攻めアンソロジー～③』収録作品と同一の内容を単話版として再編集したものとなります。</v>
      </c>
      <c r="W3085" s="14"/>
      <c r="X3085" s="14" t="str">
        <f>IFERROR(__xludf.DUMMYFUNCTION("""COMPUTED_VALUE"""),"有")</f>
        <v>有</v>
      </c>
      <c r="Y3085" s="8" t="str">
        <f>IFERROR(__xludf.DUMMYFUNCTION("""COMPUTED_VALUE"""),"P7まで")</f>
        <v>P7まで</v>
      </c>
      <c r="Z3085" s="7"/>
      <c r="AA3085" s="7"/>
      <c r="AB3085" s="7"/>
    </row>
    <row r="3086" ht="15.75" customHeight="1">
      <c r="A3086" s="153">
        <f>IFERROR(__xludf.DUMMYFUNCTION("""COMPUTED_VALUE"""),5355.0)</f>
        <v>5355</v>
      </c>
      <c r="B3086" s="152" t="str">
        <f>IFERROR(__xludf.DUMMYFUNCTION("""COMPUTED_VALUE"""),"確定")</f>
        <v>確定</v>
      </c>
      <c r="C3086" s="154">
        <f>IFERROR(__xludf.DUMMYFUNCTION("""COMPUTED_VALUE"""),45742.0)</f>
        <v>45742</v>
      </c>
      <c r="D3086" s="154">
        <f>IFERROR(__xludf.DUMMYFUNCTION("""COMPUTED_VALUE"""),45742.0)</f>
        <v>45742</v>
      </c>
      <c r="E3086" s="155">
        <f>IFERROR(__xludf.DUMMYFUNCTION("""COMPUTED_VALUE"""),320883.0)</f>
        <v>320883</v>
      </c>
      <c r="F3086" s="156" t="str">
        <f>IFERROR(__xludf.DUMMYFUNCTION("""COMPUTED_VALUE"""),"レイチェル・ジーンは踊らない【連載版】")</f>
        <v>レイチェル・ジーンは踊らない【連載版】</v>
      </c>
      <c r="G3086" s="152" t="str">
        <f>IFERROR(__xludf.DUMMYFUNCTION("""COMPUTED_VALUE"""),"1～4")</f>
        <v>1～4</v>
      </c>
      <c r="H3086" s="152" t="str">
        <f>IFERROR(__xludf.DUMMYFUNCTION("""COMPUTED_VALUE"""),"コミック：村上ゆいち　原作：Moonshine　キャラクター原案：ボダックス")</f>
        <v>コミック：村上ゆいち　原作：Moonshine　キャラクター原案：ボダックス</v>
      </c>
      <c r="I3086" s="152" t="str">
        <f>IFERROR(__xludf.DUMMYFUNCTION("""COMPUTED_VALUE"""),"少女")</f>
        <v>少女</v>
      </c>
      <c r="J3086" s="157"/>
      <c r="K3086" s="157" t="str">
        <f>IFERROR(__xludf.DUMMYFUNCTION("""COMPUTED_VALUE"""),"ZERO-SUMコミックス")</f>
        <v>ZERO-SUMコミックス</v>
      </c>
      <c r="L3086" s="152" t="str">
        <f>IFERROR(__xludf.DUMMYFUNCTION("""COMPUTED_VALUE"""),"一迅社")</f>
        <v>一迅社</v>
      </c>
      <c r="M3086" s="59">
        <f>IFERROR(__xludf.DUMMYFUNCTION("""COMPUTED_VALUE"""),45778.0)</f>
        <v>45778</v>
      </c>
      <c r="N3086" s="23">
        <f>IFERROR(__xludf.DUMMYFUNCTION("""COMPUTED_VALUE"""),45808.0)</f>
        <v>45808</v>
      </c>
      <c r="O3086" s="152"/>
      <c r="P3086" s="190" t="str">
        <f>IFERROR(__xludf.DUMMYFUNCTION("""COMPUTED_VALUE"""),"否")</f>
        <v>否</v>
      </c>
      <c r="Q3086" s="190" t="str">
        <f>IFERROR(__xludf.DUMMYFUNCTION("""COMPUTED_VALUE"""),"ソルマーレからの提案のコミット案件。初回の素材は3話分までになります。")</f>
        <v>ソルマーレからの提案のコミット案件。初回の素材は3話分までになります。</v>
      </c>
      <c r="R3086" s="152"/>
      <c r="S3086" s="152" t="str">
        <f>IFERROR(__xludf.DUMMYFUNCTION("""COMPUTED_VALUE"""),"20250326_一迅社_レイチェル・ジーンは踊らない")</f>
        <v>20250326_一迅社_レイチェル・ジーンは踊らない</v>
      </c>
      <c r="T3086" s="152" t="str">
        <f>IFERROR(__xludf.DUMMYFUNCTION("""COMPUTED_VALUE"""),"格納済み")</f>
        <v>格納済み</v>
      </c>
      <c r="U3086" s="15" t="str">
        <f>IFERROR(__xludf.DUMMYFUNCTION("""COMPUTED_VALUE"""),"Ⓒ村上ゆいち・Moonshine・ボダックス／一迅社")</f>
        <v>Ⓒ村上ゆいち・Moonshine・ボダックス／一迅社</v>
      </c>
      <c r="V3086" s="8" t="str">
        <f>IFERROR(__xludf.DUMMYFUNCTION("""COMPUTED_VALUE"""),"子爵家の次女レイチェルは、手芸と魔術にしか興味がない地味で引きこもりの残念令嬢。結婚なんて少しも望んでいなかったのに、デビュタントに心ゆくまで術式を施した魔改造ドレスを着ていったら、宮廷魔術士のゾイドに婚約を申し込まれてしまった。地位と権力と美貌を兼ね備え、これまで縁談は全て断っていた国内随一の魔術士様がなぜ私なんかに――!?手芸&amp;魔術オタクの引きこもり令嬢と美貌の宮廷魔術士の溺愛ラブファンタジー♡【本商品は単話コンテンツとなります。単行本版と収録内容が異なる場合がございます。漫画内の告知等は過去のものと"&amp;"なりますので、ご注意ください。】")</f>
        <v>子爵家の次女レイチェルは、手芸と魔術にしか興味がない地味で引きこもりの残念令嬢。結婚なんて少しも望んでいなかったのに、デビュタントに心ゆくまで術式を施した魔改造ドレスを着ていったら、宮廷魔術士のゾイドに婚約を申し込まれてしまった。地位と権力と美貌を兼ね備え、これまで縁談は全て断っていた国内随一の魔術士様がなぜ私なんかに――!?手芸&amp;魔術オタクの引きこもり令嬢と美貌の宮廷魔術士の溺愛ラブファンタジー♡【本商品は単話コンテンツとなります。単行本版と収録内容が異なる場合がございます。漫画内の告知等は過去のものとなりますので、ご注意ください。】</v>
      </c>
      <c r="W3086" s="14"/>
      <c r="X3086" s="14" t="str">
        <f>IFERROR(__xludf.DUMMYFUNCTION("""COMPUTED_VALUE"""),"有")</f>
        <v>有</v>
      </c>
      <c r="Y3086" s="8" t="str">
        <f>IFERROR(__xludf.DUMMYFUNCTION("""COMPUTED_VALUE"""),"2025/5/31まで1巻無料")</f>
        <v>2025/5/31まで1巻無料</v>
      </c>
      <c r="Z3086" s="7"/>
      <c r="AA3086" s="7"/>
      <c r="AB3086" s="7"/>
    </row>
    <row r="3087" ht="15.75" customHeight="1">
      <c r="A3087" s="153">
        <f>IFERROR(__xludf.DUMMYFUNCTION("""COMPUTED_VALUE"""),5365.0)</f>
        <v>5365</v>
      </c>
      <c r="B3087" s="152" t="str">
        <f>IFERROR(__xludf.DUMMYFUNCTION("""COMPUTED_VALUE"""),"確定")</f>
        <v>確定</v>
      </c>
      <c r="C3087" s="154">
        <f>IFERROR(__xludf.DUMMYFUNCTION("""COMPUTED_VALUE"""),45742.0)</f>
        <v>45742</v>
      </c>
      <c r="D3087" s="154">
        <f>IFERROR(__xludf.DUMMYFUNCTION("""COMPUTED_VALUE"""),45743.0)</f>
        <v>45743</v>
      </c>
      <c r="E3087" s="158">
        <f>IFERROR(__xludf.DUMMYFUNCTION("""COMPUTED_VALUE"""),321023.0)</f>
        <v>321023</v>
      </c>
      <c r="F3087" s="159" t="str">
        <f>IFERROR(__xludf.DUMMYFUNCTION("""COMPUTED_VALUE"""),"ひたむき処女は知りたがり　取引先とえっちな共同開発")</f>
        <v>ひたむき処女は知りたがり　取引先とえっちな共同開発</v>
      </c>
      <c r="G3087" s="152" t="str">
        <f>IFERROR(__xludf.DUMMYFUNCTION("""COMPUTED_VALUE"""),"1～3")</f>
        <v>1～3</v>
      </c>
      <c r="H3087" s="152" t="str">
        <f>IFERROR(__xludf.DUMMYFUNCTION("""COMPUTED_VALUE"""),"よちリョウタ")</f>
        <v>よちリョウタ</v>
      </c>
      <c r="I3087" s="152" t="str">
        <f>IFERROR(__xludf.DUMMYFUNCTION("""COMPUTED_VALUE"""),"TL")</f>
        <v>TL</v>
      </c>
      <c r="J3087" s="157"/>
      <c r="K3087" s="163" t="str">
        <f>IFERROR(__xludf.DUMMYFUNCTION("""COMPUTED_VALUE"""),"LOVEBITES")</f>
        <v>LOVEBITES</v>
      </c>
      <c r="L3087" s="152" t="str">
        <f>IFERROR(__xludf.DUMMYFUNCTION("""COMPUTED_VALUE"""),"一迅社")</f>
        <v>一迅社</v>
      </c>
      <c r="M3087" s="59">
        <f>IFERROR(__xludf.DUMMYFUNCTION("""COMPUTED_VALUE"""),45779.0)</f>
        <v>45779</v>
      </c>
      <c r="N3087" s="23">
        <f>IFERROR(__xludf.DUMMYFUNCTION("""COMPUTED_VALUE"""),45813.0)</f>
        <v>45813</v>
      </c>
      <c r="O3087" s="152"/>
      <c r="P3087" s="190" t="str">
        <f>IFERROR(__xludf.DUMMYFUNCTION("""COMPUTED_VALUE"""),"可")</f>
        <v>可</v>
      </c>
      <c r="Q3087" s="190"/>
      <c r="R3087" s="152"/>
      <c r="S3087" s="152" t="str">
        <f>IFERROR(__xludf.DUMMYFUNCTION("""COMPUTED_VALUE"""),"20250326_一迅社_ひたむき処女は知りたがり　取引先とえっちな共同開発")</f>
        <v>20250326_一迅社_ひたむき処女は知りたがり　取引先とえっちな共同開発</v>
      </c>
      <c r="T3087" s="152" t="str">
        <f>IFERROR(__xludf.DUMMYFUNCTION("""COMPUTED_VALUE"""),"格納済み")</f>
        <v>格納済み</v>
      </c>
      <c r="U3087" s="15" t="str">
        <f>IFERROR(__xludf.DUMMYFUNCTION("""COMPUTED_VALUE"""),"Ⓒよちリョウタ／一迅社")</f>
        <v>Ⓒよちリョウタ／一迅社</v>
      </c>
      <c r="V3087" s="8" t="str">
        <f>IFERROR(__xludf.DUMMYFUNCTION("""COMPUTED_VALUE"""),"「それ以上されると、スイッチ入っちゃいそうなんですけど……」山岸さんとキス、してる。山岸さんの舌が入ってきてる……っ。頭がくらくらするけど、気持ちいい……。――プロモーションの仕事をする桜木琴は、何にでも全力なひたむき女子。どんなものであっても、実際に体験していいと思ったものをお客様にオススメすることがモットー。そんなある日、琴のもとに舞い込んだのは【ラブグッズ】の案件。――【実際に体験する】、それが琴のモットー。だけど、彼氏もいない【処女】の私がどうやって【体験】すれば!?　悩んだ末、取引先のラブグッズ"&amp;"営業担当・山岸晴斗にセックスの指南を頼み込む。人当たりのいいイケメンである山岸さんは、琴のとある行動で豹変して……？――本当にイイことを知りたいんです！　カラダから始まるえっちなプロジェクト。")</f>
        <v>「それ以上されると、スイッチ入っちゃいそうなんですけど……」山岸さんとキス、してる。山岸さんの舌が入ってきてる……っ。頭がくらくらするけど、気持ちいい……。――プロモーションの仕事をする桜木琴は、何にでも全力なひたむき女子。どんなものであっても、実際に体験していいと思ったものをお客様にオススメすることがモットー。そんなある日、琴のもとに舞い込んだのは【ラブグッズ】の案件。――【実際に体験する】、それが琴のモットー。だけど、彼氏もいない【処女】の私がどうやって【体験】すれば!?　悩んだ末、取引先のラブグッズ営業担当・山岸晴斗にセックスの指南を頼み込む。人当たりのいいイケメンである山岸さんは、琴のとある行動で豹変して……？――本当にイイことを知りたいんです！　カラダから始まるえっちなプロジェクト。</v>
      </c>
      <c r="W3087" s="14"/>
      <c r="X3087" s="14" t="str">
        <f>IFERROR(__xludf.DUMMYFUNCTION("""COMPUTED_VALUE"""),"有")</f>
        <v>有</v>
      </c>
      <c r="Y3087" s="8" t="str">
        <f>IFERROR(__xludf.DUMMYFUNCTION("""COMPUTED_VALUE"""),"2025/6/5まで1巻無料")</f>
        <v>2025/6/5まで1巻無料</v>
      </c>
      <c r="Z3087" s="7"/>
      <c r="AA3087" s="7"/>
      <c r="AB3087" s="7"/>
    </row>
    <row r="3088" ht="15.75" customHeight="1">
      <c r="A3088" s="153">
        <f>IFERROR(__xludf.DUMMYFUNCTION("""COMPUTED_VALUE"""),4534.0)</f>
        <v>4534</v>
      </c>
      <c r="B3088" s="152" t="str">
        <f>IFERROR(__xludf.DUMMYFUNCTION("""COMPUTED_VALUE"""),"確定")</f>
        <v>確定</v>
      </c>
      <c r="C3088" s="154">
        <f>IFERROR(__xludf.DUMMYFUNCTION("""COMPUTED_VALUE"""),45617.0)</f>
        <v>45617</v>
      </c>
      <c r="D3088" s="154">
        <f>IFERROR(__xludf.DUMMYFUNCTION("""COMPUTED_VALUE"""),45743.0)</f>
        <v>45743</v>
      </c>
      <c r="E3088" s="157">
        <f>IFERROR(__xludf.DUMMYFUNCTION("""COMPUTED_VALUE"""),323276.0)</f>
        <v>323276</v>
      </c>
      <c r="F3088" s="152" t="str">
        <f>IFERROR(__xludf.DUMMYFUNCTION("""COMPUTED_VALUE"""),"聖女として国を守るためにせっせと加護を施していたら“婚約者の王子が結婚式を挙げている”との知らせが入ったのですが")</f>
        <v>聖女として国を守るためにせっせと加護を施していたら“婚約者の王子が結婚式を挙げている”との知らせが入ったのですが</v>
      </c>
      <c r="G3088" s="153">
        <f>IFERROR(__xludf.DUMMYFUNCTION("""COMPUTED_VALUE"""),1.0)</f>
        <v>1</v>
      </c>
      <c r="H3088" s="152" t="str">
        <f>IFERROR(__xludf.DUMMYFUNCTION("""COMPUTED_VALUE"""),"漫画：冨月一乃 原作：水瀬月")</f>
        <v>漫画：冨月一乃 原作：水瀬月</v>
      </c>
      <c r="I3088" s="152" t="str">
        <f>IFERROR(__xludf.DUMMYFUNCTION("""COMPUTED_VALUE"""),"少女")</f>
        <v>少女</v>
      </c>
      <c r="J3088" s="157"/>
      <c r="K3088" s="152" t="str">
        <f>IFERROR(__xludf.DUMMYFUNCTION("""COMPUTED_VALUE"""),"ZERO-SUMコミックス")</f>
        <v>ZERO-SUMコミックス</v>
      </c>
      <c r="L3088" s="152" t="str">
        <f>IFERROR(__xludf.DUMMYFUNCTION("""COMPUTED_VALUE"""),"一迅社")</f>
        <v>一迅社</v>
      </c>
      <c r="M3088" s="154">
        <f>IFERROR(__xludf.DUMMYFUNCTION("""COMPUTED_VALUE"""),45809.0)</f>
        <v>45809</v>
      </c>
      <c r="N3088" s="59">
        <f>IFERROR(__xludf.DUMMYFUNCTION("""COMPUTED_VALUE"""),45838.0)</f>
        <v>45838</v>
      </c>
      <c r="O3088" s="152"/>
      <c r="P3088" s="152" t="str">
        <f>IFERROR(__xludf.DUMMYFUNCTION("""COMPUTED_VALUE"""),"否")</f>
        <v>否</v>
      </c>
      <c r="Q3088" s="152" t="str">
        <f>IFERROR(__xludf.DUMMYFUNCTION("""COMPUTED_VALUE"""),"・アンソロジーの単話きりだし作品です&lt;BR&gt;・内容はアンソロジー本編データをご確認ください")</f>
        <v>・アンソロジーの単話きりだし作品です&lt;BR&gt;・内容はアンソロジー本編データをご確認ください</v>
      </c>
      <c r="R3088" s="152"/>
      <c r="S3088" s="152" t="str">
        <f>IFERROR(__xludf.DUMMYFUNCTION("""COMPUTED_VALUE"""),"20250324_一迅社_聖女として国を守るためにせっせと加護を施していたら“婚約者の王子が結婚式を挙げている”との知らせが入ったのですが")</f>
        <v>20250324_一迅社_聖女として国を守るためにせっせと加護を施していたら“婚約者の王子が結婚式を挙げている”との知らせが入ったのですが</v>
      </c>
      <c r="T3088" s="152" t="str">
        <f>IFERROR(__xludf.DUMMYFUNCTION("""COMPUTED_VALUE"""),"格納済み")</f>
        <v>格納済み</v>
      </c>
      <c r="U3088" s="9" t="str">
        <f>IFERROR(__xludf.DUMMYFUNCTION("""COMPUTED_VALUE"""),"（C）冨月一乃・水瀬月／一迅社")</f>
        <v>（C）冨月一乃・水瀬月／一迅社</v>
      </c>
      <c r="V3088" s="8" t="str">
        <f>IFERROR(__xludf.DUMMYFUNCTION("""COMPUTED_VALUE"""),"最果ての地で無償で働いていたら、婚約者が結婚式を挙げていると聞いて――!?　※この作品は『偽聖女だと言われましたが、どうやら私が本物のようですよ？ アンソロジーコミック』2巻収録作品と同一の内容を単話版として再編集したものとなります。")</f>
        <v>最果ての地で無償で働いていたら、婚約者が結婚式を挙げていると聞いて――!?　※この作品は『偽聖女だと言われましたが、どうやら私が本物のようですよ？ アンソロジーコミック』2巻収録作品と同一の内容を単話版として再編集したものとなります。</v>
      </c>
      <c r="W3088" s="8" t="str">
        <f>IFERROR(__xludf.DUMMYFUNCTION("""COMPUTED_VALUE"""),"#REF!")</f>
        <v>#REF!</v>
      </c>
      <c r="X3088" s="8" t="str">
        <f>IFERROR(__xludf.DUMMYFUNCTION("""COMPUTED_VALUE"""),"有")</f>
        <v>有</v>
      </c>
      <c r="Y3088" s="8" t="str">
        <f>IFERROR(__xludf.DUMMYFUNCTION("""COMPUTED_VALUE"""),"P7まで")</f>
        <v>P7まで</v>
      </c>
      <c r="Z3088" s="7"/>
      <c r="AA3088" s="7"/>
      <c r="AB3088" s="7"/>
    </row>
    <row r="3089" ht="15.75" customHeight="1">
      <c r="A3089" s="153">
        <f>IFERROR(__xludf.DUMMYFUNCTION("""COMPUTED_VALUE"""),4537.0)</f>
        <v>4537</v>
      </c>
      <c r="B3089" s="152" t="str">
        <f>IFERROR(__xludf.DUMMYFUNCTION("""COMPUTED_VALUE"""),"確定")</f>
        <v>確定</v>
      </c>
      <c r="C3089" s="154">
        <f>IFERROR(__xludf.DUMMYFUNCTION("""COMPUTED_VALUE"""),45618.0)</f>
        <v>45618</v>
      </c>
      <c r="D3089" s="154">
        <f>IFERROR(__xludf.DUMMYFUNCTION("""COMPUTED_VALUE"""),45743.0)</f>
        <v>45743</v>
      </c>
      <c r="E3089" s="157">
        <f>IFERROR(__xludf.DUMMYFUNCTION("""COMPUTED_VALUE"""),323279.0)</f>
        <v>323279</v>
      </c>
      <c r="F3089" s="152" t="str">
        <f>IFERROR(__xludf.DUMMYFUNCTION("""COMPUTED_VALUE"""),"しがない旅芸者なのですが、どうやら私が聖女だったようです")</f>
        <v>しがない旅芸者なのですが、どうやら私が聖女だったようです</v>
      </c>
      <c r="G3089" s="153">
        <f>IFERROR(__xludf.DUMMYFUNCTION("""COMPUTED_VALUE"""),1.0)</f>
        <v>1</v>
      </c>
      <c r="H3089" s="152" t="str">
        <f>IFERROR(__xludf.DUMMYFUNCTION("""COMPUTED_VALUE"""),"鳥居ナキ")</f>
        <v>鳥居ナキ</v>
      </c>
      <c r="I3089" s="152" t="str">
        <f>IFERROR(__xludf.DUMMYFUNCTION("""COMPUTED_VALUE"""),"少女")</f>
        <v>少女</v>
      </c>
      <c r="J3089" s="157"/>
      <c r="K3089" s="152" t="str">
        <f>IFERROR(__xludf.DUMMYFUNCTION("""COMPUTED_VALUE"""),"ZERO-SUMコミックス")</f>
        <v>ZERO-SUMコミックス</v>
      </c>
      <c r="L3089" s="152" t="str">
        <f>IFERROR(__xludf.DUMMYFUNCTION("""COMPUTED_VALUE"""),"一迅社")</f>
        <v>一迅社</v>
      </c>
      <c r="M3089" s="154">
        <f>IFERROR(__xludf.DUMMYFUNCTION("""COMPUTED_VALUE"""),45809.0)</f>
        <v>45809</v>
      </c>
      <c r="N3089" s="59">
        <f>IFERROR(__xludf.DUMMYFUNCTION("""COMPUTED_VALUE"""),45838.0)</f>
        <v>45838</v>
      </c>
      <c r="O3089" s="152"/>
      <c r="P3089" s="152" t="str">
        <f>IFERROR(__xludf.DUMMYFUNCTION("""COMPUTED_VALUE"""),"否")</f>
        <v>否</v>
      </c>
      <c r="Q3089" s="152" t="str">
        <f>IFERROR(__xludf.DUMMYFUNCTION("""COMPUTED_VALUE"""),"・アンソロジーからのばら売りのため、内容はアンソロジーをご確認ください")</f>
        <v>・アンソロジーからのばら売りのため、内容はアンソロジーをご確認ください</v>
      </c>
      <c r="R3089" s="152"/>
      <c r="S3089" s="152" t="str">
        <f>IFERROR(__xludf.DUMMYFUNCTION("""COMPUTED_VALUE"""),"20250324_一迅社_しがない旅芸者なのですが、どうやら私が聖女だったようです")</f>
        <v>20250324_一迅社_しがない旅芸者なのですが、どうやら私が聖女だったようです</v>
      </c>
      <c r="T3089" s="152" t="str">
        <f>IFERROR(__xludf.DUMMYFUNCTION("""COMPUTED_VALUE"""),"格納済み")</f>
        <v>格納済み</v>
      </c>
      <c r="U3089" s="9" t="str">
        <f>IFERROR(__xludf.DUMMYFUNCTION("""COMPUTED_VALUE"""),"（C）鳥居ナキ／一迅社")</f>
        <v>（C）鳥居ナキ／一迅社</v>
      </c>
      <c r="V3089" s="8" t="str">
        <f>IFERROR(__xludf.DUMMYFUNCTION("""COMPUTED_VALUE"""),"旅芸者の少女が、ある日突然、聖女選定の儀式に召喚され…!?　※この作品は『偽聖女だと言われましたが、どうやら私が本物のようですよ？ アンソロジーコミック』2巻収録作品と同一の内容を単話版として再編集したものとなります。")</f>
        <v>旅芸者の少女が、ある日突然、聖女選定の儀式に召喚され…!?　※この作品は『偽聖女だと言われましたが、どうやら私が本物のようですよ？ アンソロジーコミック』2巻収録作品と同一の内容を単話版として再編集したものとなります。</v>
      </c>
      <c r="W3089" s="8" t="str">
        <f>IFERROR(__xludf.DUMMYFUNCTION("""COMPUTED_VALUE"""),"#REF!")</f>
        <v>#REF!</v>
      </c>
      <c r="X3089" s="8" t="str">
        <f>IFERROR(__xludf.DUMMYFUNCTION("""COMPUTED_VALUE"""),"有")</f>
        <v>有</v>
      </c>
      <c r="Y3089" s="8" t="str">
        <f>IFERROR(__xludf.DUMMYFUNCTION("""COMPUTED_VALUE"""),"P8まで")</f>
        <v>P8まで</v>
      </c>
      <c r="Z3089" s="7"/>
      <c r="AA3089" s="7"/>
      <c r="AB3089" s="7"/>
    </row>
    <row r="3090" ht="15.75" customHeight="1">
      <c r="A3090" s="153">
        <f>IFERROR(__xludf.DUMMYFUNCTION("""COMPUTED_VALUE"""),4538.0)</f>
        <v>4538</v>
      </c>
      <c r="B3090" s="152" t="str">
        <f>IFERROR(__xludf.DUMMYFUNCTION("""COMPUTED_VALUE"""),"確定")</f>
        <v>確定</v>
      </c>
      <c r="C3090" s="154">
        <f>IFERROR(__xludf.DUMMYFUNCTION("""COMPUTED_VALUE"""),45618.0)</f>
        <v>45618</v>
      </c>
      <c r="D3090" s="154">
        <f>IFERROR(__xludf.DUMMYFUNCTION("""COMPUTED_VALUE"""),45743.0)</f>
        <v>45743</v>
      </c>
      <c r="E3090" s="157">
        <f>IFERROR(__xludf.DUMMYFUNCTION("""COMPUTED_VALUE"""),323280.0)</f>
        <v>323280</v>
      </c>
      <c r="F3090" s="152" t="str">
        <f>IFERROR(__xludf.DUMMYFUNCTION("""COMPUTED_VALUE"""),"双子聖女～妹が私の物ばかり欲しがります。ついには婚約者まで取られました～")</f>
        <v>双子聖女～妹が私の物ばかり欲しがります。ついには婚約者まで取られました～</v>
      </c>
      <c r="G3090" s="153">
        <f>IFERROR(__xludf.DUMMYFUNCTION("""COMPUTED_VALUE"""),1.0)</f>
        <v>1</v>
      </c>
      <c r="H3090" s="152" t="str">
        <f>IFERROR(__xludf.DUMMYFUNCTION("""COMPUTED_VALUE"""),"漫画：はる山 原作：海空里和")</f>
        <v>漫画：はる山 原作：海空里和</v>
      </c>
      <c r="I3090" s="152" t="str">
        <f>IFERROR(__xludf.DUMMYFUNCTION("""COMPUTED_VALUE"""),"少女")</f>
        <v>少女</v>
      </c>
      <c r="J3090" s="157"/>
      <c r="K3090" s="152" t="str">
        <f>IFERROR(__xludf.DUMMYFUNCTION("""COMPUTED_VALUE"""),"ZERO-SUMコミックス")</f>
        <v>ZERO-SUMコミックス</v>
      </c>
      <c r="L3090" s="152" t="str">
        <f>IFERROR(__xludf.DUMMYFUNCTION("""COMPUTED_VALUE"""),"一迅社")</f>
        <v>一迅社</v>
      </c>
      <c r="M3090" s="154">
        <f>IFERROR(__xludf.DUMMYFUNCTION("""COMPUTED_VALUE"""),45809.0)</f>
        <v>45809</v>
      </c>
      <c r="N3090" s="59">
        <f>IFERROR(__xludf.DUMMYFUNCTION("""COMPUTED_VALUE"""),45838.0)</f>
        <v>45838</v>
      </c>
      <c r="O3090" s="152"/>
      <c r="P3090" s="152" t="str">
        <f>IFERROR(__xludf.DUMMYFUNCTION("""COMPUTED_VALUE"""),"否")</f>
        <v>否</v>
      </c>
      <c r="Q3090" s="152" t="str">
        <f>IFERROR(__xludf.DUMMYFUNCTION("""COMPUTED_VALUE"""),"・アンソロジーからの切り出しのため、内容はデータをご確認ください。")</f>
        <v>・アンソロジーからの切り出しのため、内容はデータをご確認ください。</v>
      </c>
      <c r="R3090" s="152"/>
      <c r="S3090" s="152" t="str">
        <f>IFERROR(__xludf.DUMMYFUNCTION("""COMPUTED_VALUE"""),"20250324_一迅社_双子聖女～妹が私の物ばかり欲しがります。ついには婚約者まで取られました～")</f>
        <v>20250324_一迅社_双子聖女～妹が私の物ばかり欲しがります。ついには婚約者まで取られました～</v>
      </c>
      <c r="T3090" s="152" t="str">
        <f>IFERROR(__xludf.DUMMYFUNCTION("""COMPUTED_VALUE"""),"格納済み")</f>
        <v>格納済み</v>
      </c>
      <c r="U3090" s="9" t="str">
        <f>IFERROR(__xludf.DUMMYFUNCTION("""COMPUTED_VALUE"""),"（C）はる山・海空里和／一迅社")</f>
        <v>（C）はる山・海空里和／一迅社</v>
      </c>
      <c r="V3090" s="8" t="str">
        <f>IFERROR(__xludf.DUMMYFUNCTION("""COMPUTED_VALUE"""),"婚約者も聖女の功績も妹に奪われる日々。諦めていた私を救ってくれたのは…？　※この作品は『偽聖女だと言われましたが、どうやら私が本物のようですよ？ アンソロジーコミック』2巻収録作品と同一の内容を単話版として再編集したものとなります。")</f>
        <v>婚約者も聖女の功績も妹に奪われる日々。諦めていた私を救ってくれたのは…？　※この作品は『偽聖女だと言われましたが、どうやら私が本物のようですよ？ アンソロジーコミック』2巻収録作品と同一の内容を単話版として再編集したものとなります。</v>
      </c>
      <c r="W3090" s="8" t="str">
        <f>IFERROR(__xludf.DUMMYFUNCTION("""COMPUTED_VALUE"""),"#REF!")</f>
        <v>#REF!</v>
      </c>
      <c r="X3090" s="8" t="str">
        <f>IFERROR(__xludf.DUMMYFUNCTION("""COMPUTED_VALUE"""),"有")</f>
        <v>有</v>
      </c>
      <c r="Y3090" s="8" t="str">
        <f>IFERROR(__xludf.DUMMYFUNCTION("""COMPUTED_VALUE"""),"P7まで")</f>
        <v>P7まで</v>
      </c>
      <c r="Z3090" s="7"/>
      <c r="AA3090" s="7"/>
      <c r="AB3090" s="7"/>
    </row>
    <row r="3091" ht="15.75" customHeight="1">
      <c r="A3091" s="153">
        <f>IFERROR(__xludf.DUMMYFUNCTION("""COMPUTED_VALUE"""),4541.0)</f>
        <v>4541</v>
      </c>
      <c r="B3091" s="152" t="str">
        <f>IFERROR(__xludf.DUMMYFUNCTION("""COMPUTED_VALUE"""),"確定")</f>
        <v>確定</v>
      </c>
      <c r="C3091" s="154">
        <f>IFERROR(__xludf.DUMMYFUNCTION("""COMPUTED_VALUE"""),45618.0)</f>
        <v>45618</v>
      </c>
      <c r="D3091" s="154">
        <f>IFERROR(__xludf.DUMMYFUNCTION("""COMPUTED_VALUE"""),45743.0)</f>
        <v>45743</v>
      </c>
      <c r="E3091" s="157">
        <f>IFERROR(__xludf.DUMMYFUNCTION("""COMPUTED_VALUE"""),327445.0)</f>
        <v>327445</v>
      </c>
      <c r="F3091" s="152" t="str">
        <f>IFERROR(__xludf.DUMMYFUNCTION("""COMPUTED_VALUE"""),"殿下、あなたが神々しくないと追放した私が神の愛し子です。")</f>
        <v>殿下、あなたが神々しくないと追放した私が神の愛し子です。</v>
      </c>
      <c r="G3091" s="153">
        <f>IFERROR(__xludf.DUMMYFUNCTION("""COMPUTED_VALUE"""),1.0)</f>
        <v>1</v>
      </c>
      <c r="H3091" s="152" t="str">
        <f>IFERROR(__xludf.DUMMYFUNCTION("""COMPUTED_VALUE"""),"漫画：仲倉千景 キャラクター原案：桜花舞")</f>
        <v>漫画：仲倉千景 キャラクター原案：桜花舞</v>
      </c>
      <c r="I3091" s="152" t="str">
        <f>IFERROR(__xludf.DUMMYFUNCTION("""COMPUTED_VALUE"""),"少女")</f>
        <v>少女</v>
      </c>
      <c r="J3091" s="157"/>
      <c r="K3091" s="152" t="str">
        <f>IFERROR(__xludf.DUMMYFUNCTION("""COMPUTED_VALUE"""),"ZERO-SUMコミックス")</f>
        <v>ZERO-SUMコミックス</v>
      </c>
      <c r="L3091" s="152" t="str">
        <f>IFERROR(__xludf.DUMMYFUNCTION("""COMPUTED_VALUE"""),"一迅社")</f>
        <v>一迅社</v>
      </c>
      <c r="M3091" s="154">
        <f>IFERROR(__xludf.DUMMYFUNCTION("""COMPUTED_VALUE"""),45839.0)</f>
        <v>45839</v>
      </c>
      <c r="N3091" s="59">
        <f>IFERROR(__xludf.DUMMYFUNCTION("""COMPUTED_VALUE"""),45869.0)</f>
        <v>45869</v>
      </c>
      <c r="O3091" s="152"/>
      <c r="P3091" s="190" t="str">
        <f>IFERROR(__xludf.DUMMYFUNCTION("""COMPUTED_VALUE"""),"否")</f>
        <v>否</v>
      </c>
      <c r="Q3091" s="152"/>
      <c r="R3091" s="152"/>
      <c r="S3091" s="152" t="str">
        <f>IFERROR(__xludf.DUMMYFUNCTION("""COMPUTED_VALUE"""),"20250324_一迅社_殿下、あなたが神々しくないと追放した私が神の愛し子です。")</f>
        <v>20250324_一迅社_殿下、あなたが神々しくないと追放した私が神の愛し子です。</v>
      </c>
      <c r="T3091" s="152" t="str">
        <f>IFERROR(__xludf.DUMMYFUNCTION("""COMPUTED_VALUE"""),"格納済み")</f>
        <v>格納済み</v>
      </c>
      <c r="U3091" s="9" t="str">
        <f>IFERROR(__xludf.DUMMYFUNCTION("""COMPUTED_VALUE"""),"（C）仲倉千景・桜花舞／一迅社")</f>
        <v>（C）仲倉千景・桜花舞／一迅社</v>
      </c>
      <c r="V3091" s="8"/>
      <c r="W3091" s="8"/>
      <c r="X3091" s="8" t="str">
        <f>IFERROR(__xludf.DUMMYFUNCTION("""COMPUTED_VALUE"""),"有")</f>
        <v>有</v>
      </c>
      <c r="Y3091" s="8" t="str">
        <f>IFERROR(__xludf.DUMMYFUNCTION("""COMPUTED_VALUE"""),"P8まで")</f>
        <v>P8まで</v>
      </c>
      <c r="Z3091" s="7"/>
      <c r="AA3091" s="7"/>
      <c r="AB3091" s="7"/>
    </row>
    <row r="3092" ht="15.75" customHeight="1">
      <c r="A3092" s="153">
        <f>IFERROR(__xludf.DUMMYFUNCTION("""COMPUTED_VALUE"""),4542.0)</f>
        <v>4542</v>
      </c>
      <c r="B3092" s="152" t="str">
        <f>IFERROR(__xludf.DUMMYFUNCTION("""COMPUTED_VALUE"""),"確定")</f>
        <v>確定</v>
      </c>
      <c r="C3092" s="154">
        <f>IFERROR(__xludf.DUMMYFUNCTION("""COMPUTED_VALUE"""),45618.0)</f>
        <v>45618</v>
      </c>
      <c r="D3092" s="154">
        <f>IFERROR(__xludf.DUMMYFUNCTION("""COMPUTED_VALUE"""),45743.0)</f>
        <v>45743</v>
      </c>
      <c r="E3092" s="157">
        <f>IFERROR(__xludf.DUMMYFUNCTION("""COMPUTED_VALUE"""),327446.0)</f>
        <v>327446</v>
      </c>
      <c r="F3092" s="152" t="str">
        <f>IFERROR(__xludf.DUMMYFUNCTION("""COMPUTED_VALUE"""),"聖女の『真実の愛』")</f>
        <v>聖女の『真実の愛』</v>
      </c>
      <c r="G3092" s="153">
        <f>IFERROR(__xludf.DUMMYFUNCTION("""COMPUTED_VALUE"""),1.0)</f>
        <v>1</v>
      </c>
      <c r="H3092" s="152" t="str">
        <f>IFERROR(__xludf.DUMMYFUNCTION("""COMPUTED_VALUE"""),"漫画：椎名明 原作：黒木メイ")</f>
        <v>漫画：椎名明 原作：黒木メイ</v>
      </c>
      <c r="I3092" s="152" t="str">
        <f>IFERROR(__xludf.DUMMYFUNCTION("""COMPUTED_VALUE"""),"少女")</f>
        <v>少女</v>
      </c>
      <c r="J3092" s="157"/>
      <c r="K3092" s="152" t="str">
        <f>IFERROR(__xludf.DUMMYFUNCTION("""COMPUTED_VALUE"""),"ZERO-SUMコミックス")</f>
        <v>ZERO-SUMコミックス</v>
      </c>
      <c r="L3092" s="152" t="str">
        <f>IFERROR(__xludf.DUMMYFUNCTION("""COMPUTED_VALUE"""),"一迅社")</f>
        <v>一迅社</v>
      </c>
      <c r="M3092" s="154">
        <f>IFERROR(__xludf.DUMMYFUNCTION("""COMPUTED_VALUE"""),45839.0)</f>
        <v>45839</v>
      </c>
      <c r="N3092" s="59">
        <f>IFERROR(__xludf.DUMMYFUNCTION("""COMPUTED_VALUE"""),45869.0)</f>
        <v>45869</v>
      </c>
      <c r="O3092" s="152"/>
      <c r="P3092" s="190" t="str">
        <f>IFERROR(__xludf.DUMMYFUNCTION("""COMPUTED_VALUE"""),"否")</f>
        <v>否</v>
      </c>
      <c r="Q3092" s="152"/>
      <c r="R3092" s="152"/>
      <c r="S3092" s="152" t="str">
        <f>IFERROR(__xludf.DUMMYFUNCTION("""COMPUTED_VALUE"""),"20250324_一迅社_聖女の『真実の愛』")</f>
        <v>20250324_一迅社_聖女の『真実の愛』</v>
      </c>
      <c r="T3092" s="152" t="str">
        <f>IFERROR(__xludf.DUMMYFUNCTION("""COMPUTED_VALUE"""),"格納済み")</f>
        <v>格納済み</v>
      </c>
      <c r="U3092" s="9" t="str">
        <f>IFERROR(__xludf.DUMMYFUNCTION("""COMPUTED_VALUE"""),"（C）椎名明・黒木メイ／一迅社")</f>
        <v>（C）椎名明・黒木メイ／一迅社</v>
      </c>
      <c r="V3092" s="8"/>
      <c r="W3092" s="8"/>
      <c r="X3092" s="8" t="str">
        <f>IFERROR(__xludf.DUMMYFUNCTION("""COMPUTED_VALUE"""),"有")</f>
        <v>有</v>
      </c>
      <c r="Y3092" s="8" t="str">
        <f>IFERROR(__xludf.DUMMYFUNCTION("""COMPUTED_VALUE"""),"P6まで")</f>
        <v>P6まで</v>
      </c>
      <c r="Z3092" s="7"/>
      <c r="AA3092" s="7"/>
      <c r="AB3092" s="7"/>
    </row>
    <row r="3093" ht="15.75" customHeight="1">
      <c r="A3093" s="153">
        <f>IFERROR(__xludf.DUMMYFUNCTION("""COMPUTED_VALUE"""),4543.0)</f>
        <v>4543</v>
      </c>
      <c r="B3093" s="152" t="str">
        <f>IFERROR(__xludf.DUMMYFUNCTION("""COMPUTED_VALUE"""),"確定")</f>
        <v>確定</v>
      </c>
      <c r="C3093" s="154">
        <f>IFERROR(__xludf.DUMMYFUNCTION("""COMPUTED_VALUE"""),45618.0)</f>
        <v>45618</v>
      </c>
      <c r="D3093" s="154">
        <f>IFERROR(__xludf.DUMMYFUNCTION("""COMPUTED_VALUE"""),45743.0)</f>
        <v>45743</v>
      </c>
      <c r="E3093" s="157">
        <f>IFERROR(__xludf.DUMMYFUNCTION("""COMPUTED_VALUE"""),327447.0)</f>
        <v>327447</v>
      </c>
      <c r="F3093" s="152" t="str">
        <f>IFERROR(__xludf.DUMMYFUNCTION("""COMPUTED_VALUE"""),"婚約破棄されて自由の身になった聖女さまは、憧れの恋愛結婚をしてみたい。目標は殿下と男爵令嬢をこえるスーパーバカップルになってやることです。")</f>
        <v>婚約破棄されて自由の身になった聖女さまは、憧れの恋愛結婚をしてみたい。目標は殿下と男爵令嬢をこえるスーパーバカップルになってやることです。</v>
      </c>
      <c r="G3093" s="153">
        <f>IFERROR(__xludf.DUMMYFUNCTION("""COMPUTED_VALUE"""),1.0)</f>
        <v>1</v>
      </c>
      <c r="H3093" s="152" t="str">
        <f>IFERROR(__xludf.DUMMYFUNCTION("""COMPUTED_VALUE"""),"漫画：森野リエタ 原作：石河翠")</f>
        <v>漫画：森野リエタ 原作：石河翠</v>
      </c>
      <c r="I3093" s="152" t="str">
        <f>IFERROR(__xludf.DUMMYFUNCTION("""COMPUTED_VALUE"""),"少女")</f>
        <v>少女</v>
      </c>
      <c r="J3093" s="157"/>
      <c r="K3093" s="152" t="str">
        <f>IFERROR(__xludf.DUMMYFUNCTION("""COMPUTED_VALUE"""),"ZERO-SUMコミックス")</f>
        <v>ZERO-SUMコミックス</v>
      </c>
      <c r="L3093" s="152" t="str">
        <f>IFERROR(__xludf.DUMMYFUNCTION("""COMPUTED_VALUE"""),"一迅社")</f>
        <v>一迅社</v>
      </c>
      <c r="M3093" s="154">
        <f>IFERROR(__xludf.DUMMYFUNCTION("""COMPUTED_VALUE"""),45839.0)</f>
        <v>45839</v>
      </c>
      <c r="N3093" s="59">
        <f>IFERROR(__xludf.DUMMYFUNCTION("""COMPUTED_VALUE"""),45869.0)</f>
        <v>45869</v>
      </c>
      <c r="O3093" s="152"/>
      <c r="P3093" s="190" t="str">
        <f>IFERROR(__xludf.DUMMYFUNCTION("""COMPUTED_VALUE"""),"否")</f>
        <v>否</v>
      </c>
      <c r="Q3093" s="152"/>
      <c r="R3093" s="152"/>
      <c r="S3093" s="152" t="str">
        <f>IFERROR(__xludf.DUMMYFUNCTION("""COMPUTED_VALUE"""),"20250324_一迅社_婚約破棄されて自由の身になった聖女さまは、憧れの恋愛結婚をしてみたい。目標は殿下と男爵令嬢をこえるスーパーバカップルになってやることです。")</f>
        <v>20250324_一迅社_婚約破棄されて自由の身になった聖女さまは、憧れの恋愛結婚をしてみたい。目標は殿下と男爵令嬢をこえるスーパーバカップルになってやることです。</v>
      </c>
      <c r="T3093" s="152" t="str">
        <f>IFERROR(__xludf.DUMMYFUNCTION("""COMPUTED_VALUE"""),"格納済み")</f>
        <v>格納済み</v>
      </c>
      <c r="U3093" s="9" t="str">
        <f>IFERROR(__xludf.DUMMYFUNCTION("""COMPUTED_VALUE"""),"（C）森野リエタ・石河翠／一迅社")</f>
        <v>（C）森野リエタ・石河翠／一迅社</v>
      </c>
      <c r="V3093" s="8"/>
      <c r="W3093" s="8"/>
      <c r="X3093" s="8" t="str">
        <f>IFERROR(__xludf.DUMMYFUNCTION("""COMPUTED_VALUE"""),"有")</f>
        <v>有</v>
      </c>
      <c r="Y3093" s="8" t="str">
        <f>IFERROR(__xludf.DUMMYFUNCTION("""COMPUTED_VALUE"""),"P8まで")</f>
        <v>P8まで</v>
      </c>
      <c r="Z3093" s="7"/>
      <c r="AA3093" s="7"/>
      <c r="AB3093" s="7"/>
    </row>
    <row r="3094" ht="15.75" customHeight="1">
      <c r="A3094" s="153">
        <f>IFERROR(__xludf.DUMMYFUNCTION("""COMPUTED_VALUE"""),4544.0)</f>
        <v>4544</v>
      </c>
      <c r="B3094" s="152" t="str">
        <f>IFERROR(__xludf.DUMMYFUNCTION("""COMPUTED_VALUE"""),"確定")</f>
        <v>確定</v>
      </c>
      <c r="C3094" s="154">
        <f>IFERROR(__xludf.DUMMYFUNCTION("""COMPUTED_VALUE"""),45618.0)</f>
        <v>45618</v>
      </c>
      <c r="D3094" s="154">
        <f>IFERROR(__xludf.DUMMYFUNCTION("""COMPUTED_VALUE"""),45743.0)</f>
        <v>45743</v>
      </c>
      <c r="E3094" s="157">
        <f>IFERROR(__xludf.DUMMYFUNCTION("""COMPUTED_VALUE"""),327450.0)</f>
        <v>327450</v>
      </c>
      <c r="F3094" s="152" t="str">
        <f>IFERROR(__xludf.DUMMYFUNCTION("""COMPUTED_VALUE"""),"追放聖女、行き倒れを拾う")</f>
        <v>追放聖女、行き倒れを拾う</v>
      </c>
      <c r="G3094" s="153">
        <f>IFERROR(__xludf.DUMMYFUNCTION("""COMPUTED_VALUE"""),1.0)</f>
        <v>1</v>
      </c>
      <c r="H3094" s="152" t="str">
        <f>IFERROR(__xludf.DUMMYFUNCTION("""COMPUTED_VALUE"""),"漫画：あさひまち 原作：クサバノカゲ")</f>
        <v>漫画：あさひまち 原作：クサバノカゲ</v>
      </c>
      <c r="I3094" s="152" t="str">
        <f>IFERROR(__xludf.DUMMYFUNCTION("""COMPUTED_VALUE"""),"少女")</f>
        <v>少女</v>
      </c>
      <c r="J3094" s="157"/>
      <c r="K3094" s="152" t="str">
        <f>IFERROR(__xludf.DUMMYFUNCTION("""COMPUTED_VALUE"""),"ZERO-SUMコミックス")</f>
        <v>ZERO-SUMコミックス</v>
      </c>
      <c r="L3094" s="152" t="str">
        <f>IFERROR(__xludf.DUMMYFUNCTION("""COMPUTED_VALUE"""),"一迅社")</f>
        <v>一迅社</v>
      </c>
      <c r="M3094" s="154">
        <f>IFERROR(__xludf.DUMMYFUNCTION("""COMPUTED_VALUE"""),45839.0)</f>
        <v>45839</v>
      </c>
      <c r="N3094" s="59">
        <f>IFERROR(__xludf.DUMMYFUNCTION("""COMPUTED_VALUE"""),45869.0)</f>
        <v>45869</v>
      </c>
      <c r="O3094" s="152"/>
      <c r="P3094" s="190" t="str">
        <f>IFERROR(__xludf.DUMMYFUNCTION("""COMPUTED_VALUE"""),"否")</f>
        <v>否</v>
      </c>
      <c r="Q3094" s="152"/>
      <c r="R3094" s="152"/>
      <c r="S3094" s="152" t="str">
        <f>IFERROR(__xludf.DUMMYFUNCTION("""COMPUTED_VALUE"""),"20250324_一迅社_追放聖女、行き倒れを拾う")</f>
        <v>20250324_一迅社_追放聖女、行き倒れを拾う</v>
      </c>
      <c r="T3094" s="152" t="str">
        <f>IFERROR(__xludf.DUMMYFUNCTION("""COMPUTED_VALUE"""),"格納済み")</f>
        <v>格納済み</v>
      </c>
      <c r="U3094" s="9" t="str">
        <f>IFERROR(__xludf.DUMMYFUNCTION("""COMPUTED_VALUE"""),"（C）あさひまち・クサバノカゲ／一迅社")</f>
        <v>（C）あさひまち・クサバノカゲ／一迅社</v>
      </c>
      <c r="V3094" s="8"/>
      <c r="W3094" s="8"/>
      <c r="X3094" s="8" t="str">
        <f>IFERROR(__xludf.DUMMYFUNCTION("""COMPUTED_VALUE"""),"有")</f>
        <v>有</v>
      </c>
      <c r="Y3094" s="8" t="str">
        <f>IFERROR(__xludf.DUMMYFUNCTION("""COMPUTED_VALUE"""),"P8まで")</f>
        <v>P8まで</v>
      </c>
      <c r="Z3094" s="7"/>
      <c r="AA3094" s="7"/>
      <c r="AB3094" s="7"/>
    </row>
    <row r="3095" ht="15.75" customHeight="1">
      <c r="A3095" s="153">
        <f>IFERROR(__xludf.DUMMYFUNCTION("""COMPUTED_VALUE"""),4545.0)</f>
        <v>4545</v>
      </c>
      <c r="B3095" s="152" t="str">
        <f>IFERROR(__xludf.DUMMYFUNCTION("""COMPUTED_VALUE"""),"確定")</f>
        <v>確定</v>
      </c>
      <c r="C3095" s="154">
        <f>IFERROR(__xludf.DUMMYFUNCTION("""COMPUTED_VALUE"""),45618.0)</f>
        <v>45618</v>
      </c>
      <c r="D3095" s="154">
        <f>IFERROR(__xludf.DUMMYFUNCTION("""COMPUTED_VALUE"""),45743.0)</f>
        <v>45743</v>
      </c>
      <c r="E3095" s="157">
        <f>IFERROR(__xludf.DUMMYFUNCTION("""COMPUTED_VALUE"""),327448.0)</f>
        <v>327448</v>
      </c>
      <c r="F3095" s="152" t="str">
        <f>IFERROR(__xludf.DUMMYFUNCTION("""COMPUTED_VALUE"""),"踊り子聖女は嵐に舞う")</f>
        <v>踊り子聖女は嵐に舞う</v>
      </c>
      <c r="G3095" s="153">
        <f>IFERROR(__xludf.DUMMYFUNCTION("""COMPUTED_VALUE"""),1.0)</f>
        <v>1</v>
      </c>
      <c r="H3095" s="152" t="str">
        <f>IFERROR(__xludf.DUMMYFUNCTION("""COMPUTED_VALUE"""),"漫画：新矢りん 原作：坂東太郎")</f>
        <v>漫画：新矢りん 原作：坂東太郎</v>
      </c>
      <c r="I3095" s="152" t="str">
        <f>IFERROR(__xludf.DUMMYFUNCTION("""COMPUTED_VALUE"""),"少女")</f>
        <v>少女</v>
      </c>
      <c r="J3095" s="157"/>
      <c r="K3095" s="152" t="str">
        <f>IFERROR(__xludf.DUMMYFUNCTION("""COMPUTED_VALUE"""),"ZERO-SUMコミックス")</f>
        <v>ZERO-SUMコミックス</v>
      </c>
      <c r="L3095" s="152" t="str">
        <f>IFERROR(__xludf.DUMMYFUNCTION("""COMPUTED_VALUE"""),"一迅社")</f>
        <v>一迅社</v>
      </c>
      <c r="M3095" s="154">
        <f>IFERROR(__xludf.DUMMYFUNCTION("""COMPUTED_VALUE"""),45839.0)</f>
        <v>45839</v>
      </c>
      <c r="N3095" s="59">
        <f>IFERROR(__xludf.DUMMYFUNCTION("""COMPUTED_VALUE"""),45869.0)</f>
        <v>45869</v>
      </c>
      <c r="O3095" s="152"/>
      <c r="P3095" s="190" t="str">
        <f>IFERROR(__xludf.DUMMYFUNCTION("""COMPUTED_VALUE"""),"否")</f>
        <v>否</v>
      </c>
      <c r="Q3095" s="152"/>
      <c r="R3095" s="152"/>
      <c r="S3095" s="152" t="str">
        <f>IFERROR(__xludf.DUMMYFUNCTION("""COMPUTED_VALUE"""),"20250324_一迅社_踊り子聖女は嵐に舞う")</f>
        <v>20250324_一迅社_踊り子聖女は嵐に舞う</v>
      </c>
      <c r="T3095" s="152" t="str">
        <f>IFERROR(__xludf.DUMMYFUNCTION("""COMPUTED_VALUE"""),"格納済み")</f>
        <v>格納済み</v>
      </c>
      <c r="U3095" s="9" t="str">
        <f>IFERROR(__xludf.DUMMYFUNCTION("""COMPUTED_VALUE"""),"（C）新矢りん・坂東太郎／一迅社")</f>
        <v>（C）新矢りん・坂東太郎／一迅社</v>
      </c>
      <c r="V3095" s="8"/>
      <c r="W3095" s="8"/>
      <c r="X3095" s="8" t="str">
        <f>IFERROR(__xludf.DUMMYFUNCTION("""COMPUTED_VALUE"""),"有")</f>
        <v>有</v>
      </c>
      <c r="Y3095" s="8" t="str">
        <f>IFERROR(__xludf.DUMMYFUNCTION("""COMPUTED_VALUE"""),"P8まで")</f>
        <v>P8まで</v>
      </c>
      <c r="Z3095" s="7"/>
      <c r="AA3095" s="7"/>
      <c r="AB3095" s="7"/>
    </row>
    <row r="3096" ht="15.75" customHeight="1">
      <c r="A3096" s="153">
        <f>IFERROR(__xludf.DUMMYFUNCTION("""COMPUTED_VALUE"""),4546.0)</f>
        <v>4546</v>
      </c>
      <c r="B3096" s="152" t="str">
        <f>IFERROR(__xludf.DUMMYFUNCTION("""COMPUTED_VALUE"""),"確定")</f>
        <v>確定</v>
      </c>
      <c r="C3096" s="154">
        <f>IFERROR(__xludf.DUMMYFUNCTION("""COMPUTED_VALUE"""),45618.0)</f>
        <v>45618</v>
      </c>
      <c r="D3096" s="154">
        <f>IFERROR(__xludf.DUMMYFUNCTION("""COMPUTED_VALUE"""),45743.0)</f>
        <v>45743</v>
      </c>
      <c r="E3096" s="157">
        <f>IFERROR(__xludf.DUMMYFUNCTION("""COMPUTED_VALUE"""),323284.0)</f>
        <v>323284</v>
      </c>
      <c r="F3096" s="152" t="str">
        <f>IFERROR(__xludf.DUMMYFUNCTION("""COMPUTED_VALUE"""),"婚約破棄され国王殺しの罪を着せられそうになった私を救ったのは王宮医師団の青年でした")</f>
        <v>婚約破棄され国王殺しの罪を着せられそうになった私を救ったのは王宮医師団の青年でした</v>
      </c>
      <c r="G3096" s="153">
        <f>IFERROR(__xludf.DUMMYFUNCTION("""COMPUTED_VALUE"""),1.0)</f>
        <v>1</v>
      </c>
      <c r="H3096" s="152" t="str">
        <f>IFERROR(__xludf.DUMMYFUNCTION("""COMPUTED_VALUE"""),"橘ひより／原作：銀野きりん")</f>
        <v>橘ひより／原作：銀野きりん</v>
      </c>
      <c r="I3096" s="152" t="str">
        <f>IFERROR(__xludf.DUMMYFUNCTION("""COMPUTED_VALUE"""),"少女")</f>
        <v>少女</v>
      </c>
      <c r="J3096" s="157"/>
      <c r="K3096" s="152" t="str">
        <f>IFERROR(__xludf.DUMMYFUNCTION("""COMPUTED_VALUE"""),"ZERO-SUMコミックス")</f>
        <v>ZERO-SUMコミックス</v>
      </c>
      <c r="L3096" s="152" t="str">
        <f>IFERROR(__xludf.DUMMYFUNCTION("""COMPUTED_VALUE"""),"一迅社")</f>
        <v>一迅社</v>
      </c>
      <c r="M3096" s="154">
        <f>IFERROR(__xludf.DUMMYFUNCTION("""COMPUTED_VALUE"""),45809.0)</f>
        <v>45809</v>
      </c>
      <c r="N3096" s="59">
        <f>IFERROR(__xludf.DUMMYFUNCTION("""COMPUTED_VALUE"""),45838.0)</f>
        <v>45838</v>
      </c>
      <c r="O3096" s="152"/>
      <c r="P3096" s="152" t="str">
        <f>IFERROR(__xludf.DUMMYFUNCTION("""COMPUTED_VALUE"""),"否")</f>
        <v>否</v>
      </c>
      <c r="Q3096" s="152" t="str">
        <f>IFERROR(__xludf.DUMMYFUNCTION("""COMPUTED_VALUE"""),"・アンソロジーからの切り出しのため、データは配信中のものをご確認ください")</f>
        <v>・アンソロジーからの切り出しのため、データは配信中のものをご確認ください</v>
      </c>
      <c r="R3096" s="152"/>
      <c r="S3096" s="152" t="str">
        <f>IFERROR(__xludf.DUMMYFUNCTION("""COMPUTED_VALUE"""),"20250324_一迅社_婚約破棄され国王殺しの罪を着せられそうになった私を救ったのは王宮医師団の青年でした")</f>
        <v>20250324_一迅社_婚約破棄され国王殺しの罪を着せられそうになった私を救ったのは王宮医師団の青年でした</v>
      </c>
      <c r="T3096" s="152" t="str">
        <f>IFERROR(__xludf.DUMMYFUNCTION("""COMPUTED_VALUE"""),"格納済み")</f>
        <v>格納済み</v>
      </c>
      <c r="U3096" s="9" t="str">
        <f>IFERROR(__xludf.DUMMYFUNCTION("""COMPUTED_VALUE"""),"（C）橘ひより・銀野きりん／一迅社")</f>
        <v>（C）橘ひより・銀野きりん／一迅社</v>
      </c>
      <c r="V3096" s="8" t="str">
        <f>IFERROR(__xludf.DUMMYFUNCTION("""COMPUTED_VALUE"""),"第一王子から婚約破棄を言い渡された私。あろうことか、毒殺の疑いをかけられて――!?　※この作品は『婚約破棄されましたが、幸せに暮らしておりますわ！アンソロジーコミック』7巻収録作品と同一の内容を単話版として再編集したものとなります。")</f>
        <v>第一王子から婚約破棄を言い渡された私。あろうことか、毒殺の疑いをかけられて――!?　※この作品は『婚約破棄されましたが、幸せに暮らしておりますわ！アンソロジーコミック』7巻収録作品と同一の内容を単話版として再編集したものとなります。</v>
      </c>
      <c r="W3096" s="8" t="str">
        <f>IFERROR(__xludf.DUMMYFUNCTION("""COMPUTED_VALUE"""),"#REF!")</f>
        <v>#REF!</v>
      </c>
      <c r="X3096" s="8" t="str">
        <f>IFERROR(__xludf.DUMMYFUNCTION("""COMPUTED_VALUE"""),"有")</f>
        <v>有</v>
      </c>
      <c r="Y3096" s="8" t="str">
        <f>IFERROR(__xludf.DUMMYFUNCTION("""COMPUTED_VALUE"""),"P9まで")</f>
        <v>P9まで</v>
      </c>
      <c r="Z3096" s="7"/>
      <c r="AA3096" s="7"/>
      <c r="AB3096" s="7"/>
    </row>
    <row r="3097" ht="15.75" customHeight="1">
      <c r="A3097" s="153">
        <f>IFERROR(__xludf.DUMMYFUNCTION("""COMPUTED_VALUE"""),4547.0)</f>
        <v>4547</v>
      </c>
      <c r="B3097" s="152" t="str">
        <f>IFERROR(__xludf.DUMMYFUNCTION("""COMPUTED_VALUE"""),"確定")</f>
        <v>確定</v>
      </c>
      <c r="C3097" s="154">
        <f>IFERROR(__xludf.DUMMYFUNCTION("""COMPUTED_VALUE"""),45618.0)</f>
        <v>45618</v>
      </c>
      <c r="D3097" s="154">
        <f>IFERROR(__xludf.DUMMYFUNCTION("""COMPUTED_VALUE"""),45743.0)</f>
        <v>45743</v>
      </c>
      <c r="E3097" s="157">
        <f>IFERROR(__xludf.DUMMYFUNCTION("""COMPUTED_VALUE"""),323285.0)</f>
        <v>323285</v>
      </c>
      <c r="F3097" s="152" t="str">
        <f>IFERROR(__xludf.DUMMYFUNCTION("""COMPUTED_VALUE"""),"初対面で大変丁寧に婚約破棄を言い渡されましたが、話し合いの結果お友達から始めることになりました。")</f>
        <v>初対面で大変丁寧に婚約破棄を言い渡されましたが、話し合いの結果お友達から始めることになりました。</v>
      </c>
      <c r="G3097" s="153">
        <f>IFERROR(__xludf.DUMMYFUNCTION("""COMPUTED_VALUE"""),1.0)</f>
        <v>1</v>
      </c>
      <c r="H3097" s="152" t="str">
        <f>IFERROR(__xludf.DUMMYFUNCTION("""COMPUTED_VALUE"""),"和サン／原作：新 星緒")</f>
        <v>和サン／原作：新 星緒</v>
      </c>
      <c r="I3097" s="152" t="str">
        <f>IFERROR(__xludf.DUMMYFUNCTION("""COMPUTED_VALUE"""),"少女")</f>
        <v>少女</v>
      </c>
      <c r="J3097" s="157"/>
      <c r="K3097" s="152" t="str">
        <f>IFERROR(__xludf.DUMMYFUNCTION("""COMPUTED_VALUE"""),"ZERO-SUMコミックス")</f>
        <v>ZERO-SUMコミックス</v>
      </c>
      <c r="L3097" s="152" t="str">
        <f>IFERROR(__xludf.DUMMYFUNCTION("""COMPUTED_VALUE"""),"一迅社")</f>
        <v>一迅社</v>
      </c>
      <c r="M3097" s="154">
        <f>IFERROR(__xludf.DUMMYFUNCTION("""COMPUTED_VALUE"""),45809.0)</f>
        <v>45809</v>
      </c>
      <c r="N3097" s="59">
        <f>IFERROR(__xludf.DUMMYFUNCTION("""COMPUTED_VALUE"""),45838.0)</f>
        <v>45838</v>
      </c>
      <c r="O3097" s="152"/>
      <c r="P3097" s="190" t="str">
        <f>IFERROR(__xludf.DUMMYFUNCTION("""COMPUTED_VALUE"""),"否")</f>
        <v>否</v>
      </c>
      <c r="Q3097" s="152"/>
      <c r="R3097" s="152"/>
      <c r="S3097" s="152" t="str">
        <f>IFERROR(__xludf.DUMMYFUNCTION("""COMPUTED_VALUE"""),"20250324_一迅社_初対面で大変丁寧に婚約破棄を言い渡されましたが、話し合いの結果お友達から始めることになりました。")</f>
        <v>20250324_一迅社_初対面で大変丁寧に婚約破棄を言い渡されましたが、話し合いの結果お友達から始めることになりました。</v>
      </c>
      <c r="T3097" s="152" t="str">
        <f>IFERROR(__xludf.DUMMYFUNCTION("""COMPUTED_VALUE"""),"格納済み")</f>
        <v>格納済み</v>
      </c>
      <c r="U3097" s="9" t="str">
        <f>IFERROR(__xludf.DUMMYFUNCTION("""COMPUTED_VALUE"""),"（C）和サン・新 星緒／一迅社")</f>
        <v>（C）和サン・新 星緒／一迅社</v>
      </c>
      <c r="V3097" s="8" t="str">
        <f>IFERROR(__xludf.DUMMYFUNCTION("""COMPUTED_VALUE"""),"領地からわざわざ出向いたのに婚約破棄!?もっと早くに言ってください！　※この作品は『婚約破棄されましたが、幸せに暮らしておりますわ！アンソロジーコミック』7巻収録作品と同一の内容を単話版として再編集したものとなります。")</f>
        <v>領地からわざわざ出向いたのに婚約破棄!?もっと早くに言ってください！　※この作品は『婚約破棄されましたが、幸せに暮らしておりますわ！アンソロジーコミック』7巻収録作品と同一の内容を単話版として再編集したものとなります。</v>
      </c>
      <c r="W3097" s="8" t="str">
        <f>IFERROR(__xludf.DUMMYFUNCTION("""COMPUTED_VALUE"""),"#REF!")</f>
        <v>#REF!</v>
      </c>
      <c r="X3097" s="8" t="str">
        <f>IFERROR(__xludf.DUMMYFUNCTION("""COMPUTED_VALUE"""),"有")</f>
        <v>有</v>
      </c>
      <c r="Y3097" s="8" t="str">
        <f>IFERROR(__xludf.DUMMYFUNCTION("""COMPUTED_VALUE"""),"P10まで")</f>
        <v>P10まで</v>
      </c>
      <c r="Z3097" s="7"/>
      <c r="AA3097" s="7"/>
      <c r="AB3097" s="7"/>
    </row>
    <row r="3098" ht="15.75" customHeight="1">
      <c r="A3098" s="153">
        <f>IFERROR(__xludf.DUMMYFUNCTION("""COMPUTED_VALUE"""),4548.0)</f>
        <v>4548</v>
      </c>
      <c r="B3098" s="152" t="str">
        <f>IFERROR(__xludf.DUMMYFUNCTION("""COMPUTED_VALUE"""),"確定")</f>
        <v>確定</v>
      </c>
      <c r="C3098" s="154">
        <f>IFERROR(__xludf.DUMMYFUNCTION("""COMPUTED_VALUE"""),45618.0)</f>
        <v>45618</v>
      </c>
      <c r="D3098" s="154">
        <f>IFERROR(__xludf.DUMMYFUNCTION("""COMPUTED_VALUE"""),45743.0)</f>
        <v>45743</v>
      </c>
      <c r="E3098" s="157">
        <f>IFERROR(__xludf.DUMMYFUNCTION("""COMPUTED_VALUE"""),323286.0)</f>
        <v>323286</v>
      </c>
      <c r="F3098" s="152" t="str">
        <f>IFERROR(__xludf.DUMMYFUNCTION("""COMPUTED_VALUE"""),"婚約破棄にて奴隷生活から解放されたので、もう貴方の面倒は見ませんよ？")</f>
        <v>婚約破棄にて奴隷生活から解放されたので、もう貴方の面倒は見ませんよ？</v>
      </c>
      <c r="G3098" s="153">
        <f>IFERROR(__xludf.DUMMYFUNCTION("""COMPUTED_VALUE"""),1.0)</f>
        <v>1</v>
      </c>
      <c r="H3098" s="152" t="str">
        <f>IFERROR(__xludf.DUMMYFUNCTION("""COMPUTED_VALUE"""),"杜タカノ／原作：かのん")</f>
        <v>杜タカノ／原作：かのん</v>
      </c>
      <c r="I3098" s="152" t="str">
        <f>IFERROR(__xludf.DUMMYFUNCTION("""COMPUTED_VALUE"""),"少女")</f>
        <v>少女</v>
      </c>
      <c r="J3098" s="157"/>
      <c r="K3098" s="152" t="str">
        <f>IFERROR(__xludf.DUMMYFUNCTION("""COMPUTED_VALUE"""),"ZERO-SUMコミックス")</f>
        <v>ZERO-SUMコミックス</v>
      </c>
      <c r="L3098" s="152" t="str">
        <f>IFERROR(__xludf.DUMMYFUNCTION("""COMPUTED_VALUE"""),"一迅社")</f>
        <v>一迅社</v>
      </c>
      <c r="M3098" s="154">
        <f>IFERROR(__xludf.DUMMYFUNCTION("""COMPUTED_VALUE"""),45809.0)</f>
        <v>45809</v>
      </c>
      <c r="N3098" s="59">
        <f>IFERROR(__xludf.DUMMYFUNCTION("""COMPUTED_VALUE"""),45838.0)</f>
        <v>45838</v>
      </c>
      <c r="O3098" s="152"/>
      <c r="P3098" s="190" t="str">
        <f>IFERROR(__xludf.DUMMYFUNCTION("""COMPUTED_VALUE"""),"否")</f>
        <v>否</v>
      </c>
      <c r="Q3098" s="152"/>
      <c r="R3098" s="152"/>
      <c r="S3098" s="152" t="str">
        <f>IFERROR(__xludf.DUMMYFUNCTION("""COMPUTED_VALUE"""),"20250324_一迅社_婚約破棄にて奴隷生活から解放されたので、もう貴方の面倒は見ませんよ？")</f>
        <v>20250324_一迅社_婚約破棄にて奴隷生活から解放されたので、もう貴方の面倒は見ませんよ？</v>
      </c>
      <c r="T3098" s="152" t="str">
        <f>IFERROR(__xludf.DUMMYFUNCTION("""COMPUTED_VALUE"""),"格納済み")</f>
        <v>格納済み</v>
      </c>
      <c r="U3098" s="9" t="str">
        <f>IFERROR(__xludf.DUMMYFUNCTION("""COMPUTED_VALUE"""),"（C）杜タカノ・かのん／一迅社")</f>
        <v>（C）杜タカノ・かのん／一迅社</v>
      </c>
      <c r="V3098" s="8" t="str">
        <f>IFERROR(__xludf.DUMMYFUNCTION("""COMPUTED_VALUE"""),"婚約破棄された令嬢が流すのは、奴隷扱いから解放された嬉し涙…!?　※この作品は『婚約破棄されましたが、幸せに暮らしておりますわ！アンソロジーコミック』7巻収録作品と同一の内容を単話版として再編集したものとなります。")</f>
        <v>婚約破棄された令嬢が流すのは、奴隷扱いから解放された嬉し涙…!?　※この作品は『婚約破棄されましたが、幸せに暮らしておりますわ！アンソロジーコミック』7巻収録作品と同一の内容を単話版として再編集したものとなります。</v>
      </c>
      <c r="W3098" s="8" t="str">
        <f>IFERROR(__xludf.DUMMYFUNCTION("""COMPUTED_VALUE"""),"#REF!")</f>
        <v>#REF!</v>
      </c>
      <c r="X3098" s="8" t="str">
        <f>IFERROR(__xludf.DUMMYFUNCTION("""COMPUTED_VALUE"""),"有")</f>
        <v>有</v>
      </c>
      <c r="Y3098" s="8" t="str">
        <f>IFERROR(__xludf.DUMMYFUNCTION("""COMPUTED_VALUE"""),"P8まで")</f>
        <v>P8まで</v>
      </c>
      <c r="Z3098" s="7"/>
      <c r="AA3098" s="7"/>
      <c r="AB3098" s="7"/>
    </row>
    <row r="3099" ht="15.75" customHeight="1">
      <c r="A3099" s="153">
        <f>IFERROR(__xludf.DUMMYFUNCTION("""COMPUTED_VALUE"""),4679.0)</f>
        <v>4679</v>
      </c>
      <c r="B3099" s="152" t="str">
        <f>IFERROR(__xludf.DUMMYFUNCTION("""COMPUTED_VALUE"""),"確定")</f>
        <v>確定</v>
      </c>
      <c r="C3099" s="154">
        <f>IFERROR(__xludf.DUMMYFUNCTION("""COMPUTED_VALUE"""),45639.0)</f>
        <v>45639</v>
      </c>
      <c r="D3099" s="154">
        <f>IFERROR(__xludf.DUMMYFUNCTION("""COMPUTED_VALUE"""),45748.0)</f>
        <v>45748</v>
      </c>
      <c r="E3099" s="158">
        <f>IFERROR(__xludf.DUMMYFUNCTION("""COMPUTED_VALUE"""),322237.0)</f>
        <v>322237</v>
      </c>
      <c r="F3099" s="159" t="str">
        <f>IFERROR(__xludf.DUMMYFUNCTION("""COMPUTED_VALUE"""),"双愛のエデン～堕ちても昇天（イ）っても奪い愛される～")</f>
        <v>双愛のエデン～堕ちても昇天（イ）っても奪い愛される～</v>
      </c>
      <c r="G3099" s="152" t="str">
        <f>IFERROR(__xludf.DUMMYFUNCTION("""COMPUTED_VALUE"""),"1～2")</f>
        <v>1～2</v>
      </c>
      <c r="H3099" s="152" t="str">
        <f>IFERROR(__xludf.DUMMYFUNCTION("""COMPUTED_VALUE"""),"古谷ラユ")</f>
        <v>古谷ラユ</v>
      </c>
      <c r="I3099" s="152" t="str">
        <f>IFERROR(__xludf.DUMMYFUNCTION("""COMPUTED_VALUE"""),"TL")</f>
        <v>TL</v>
      </c>
      <c r="J3099" s="157"/>
      <c r="K3099" s="152" t="str">
        <f>IFERROR(__xludf.DUMMYFUNCTION("""COMPUTED_VALUE"""),"乙女チック")</f>
        <v>乙女チック</v>
      </c>
      <c r="L3099" s="152" t="str">
        <f>IFERROR(__xludf.DUMMYFUNCTION("""COMPUTED_VALUE"""),"CLLENN")</f>
        <v>CLLENN</v>
      </c>
      <c r="M3099" s="154">
        <f>IFERROR(__xludf.DUMMYFUNCTION("""COMPUTED_VALUE"""),45794.0)</f>
        <v>45794</v>
      </c>
      <c r="N3099" s="59">
        <f>IFERROR(__xludf.DUMMYFUNCTION("""COMPUTED_VALUE"""),45856.0)</f>
        <v>45856</v>
      </c>
      <c r="O3099" s="152"/>
      <c r="P3099" s="190" t="str">
        <f>IFERROR(__xludf.DUMMYFUNCTION("""COMPUTED_VALUE"""),"可")</f>
        <v>可</v>
      </c>
      <c r="Q3099" s="152"/>
      <c r="R3099" s="152" t="str">
        <f>IFERROR(__xludf.DUMMYFUNCTION("""COMPUTED_VALUE"""),"コミットOK")</f>
        <v>コミットOK</v>
      </c>
      <c r="S3099" s="152" t="str">
        <f>IFERROR(__xludf.DUMMYFUNCTION("""COMPUTED_VALUE"""),"20250331_CLLENN_双愛のエデン～堕ちても昇天（イ）っても奪い愛される～")</f>
        <v>20250331_CLLENN_双愛のエデン～堕ちても昇天（イ）っても奪い愛される～</v>
      </c>
      <c r="T3099" s="152" t="str">
        <f>IFERROR(__xludf.DUMMYFUNCTION("""COMPUTED_VALUE"""),"格納済み")</f>
        <v>格納済み</v>
      </c>
      <c r="U3099" s="15" t="str">
        <f>IFERROR(__xludf.DUMMYFUNCTION("""COMPUTED_VALUE"""),"Ⓒ古谷ラユ/CLLENN")</f>
        <v>Ⓒ古谷ラユ/CLLENN</v>
      </c>
      <c r="V3099" s="8" t="str">
        <f>IFERROR(__xludf.DUMMYFUNCTION("""COMPUTED_VALUE"""),"「早く俺に堕ちちゃいなよ」「あなたは誰にも渡さない」初めて会ったはずなのに、二人は私のことを知ってるの？――愛巳は死後の世界で、人間に転生するか天使になるかを選べる“特別な存在”だと告げられる。決断までの猶予は1年。天使・アズラーイールに見守られ天界で暮らすことになった矢先、悪魔・ルシファーの誘惑の罠にかかってしまう…。「拒まないで、愛巳…」優しくカラダを這う熱い舌に、抗うどころか腰を浮かして感じるしかできなくて、助けに駆けつけたアズラーイールすらも煽ってしまい!?「私だけを見てください」指で、舌で全部ぐ"&amp;"ちゅぐちゅに愛されたら――禁断のW執愛から抜け出せない!!")</f>
        <v>「早く俺に堕ちちゃいなよ」「あなたは誰にも渡さない」初めて会ったはずなのに、二人は私のことを知ってるの？――愛巳は死後の世界で、人間に転生するか天使になるかを選べる“特別な存在”だと告げられる。決断までの猶予は1年。天使・アズラーイールに見守られ天界で暮らすことになった矢先、悪魔・ルシファーの誘惑の罠にかかってしまう…。「拒まないで、愛巳…」優しくカラダを這う熱い舌に、抗うどころか腰を浮かして感じるしかできなくて、助けに駆けつけたアズラーイールすらも煽ってしまい!?「私だけを見てください」指で、舌で全部ぐちゅぐちゅに愛されたら――禁断のW執愛から抜け出せない!!</v>
      </c>
      <c r="W3099" s="14"/>
      <c r="X3099" s="14" t="str">
        <f>IFERROR(__xludf.DUMMYFUNCTION("""COMPUTED_VALUE"""),"有")</f>
        <v>有</v>
      </c>
      <c r="Y3099" s="8" t="str">
        <f>IFERROR(__xludf.DUMMYFUNCTION("""COMPUTED_VALUE"""),"2025/6/20まで1巻立ち読み増量")</f>
        <v>2025/6/20まで1巻立ち読み増量</v>
      </c>
      <c r="Z3099" s="7"/>
      <c r="AA3099" s="7"/>
      <c r="AB3099" s="7"/>
    </row>
    <row r="3100" ht="15.75" customHeight="1">
      <c r="A3100" s="153">
        <f>IFERROR(__xludf.DUMMYFUNCTION("""COMPUTED_VALUE"""),4742.0)</f>
        <v>4742</v>
      </c>
      <c r="B3100" s="152" t="str">
        <f>IFERROR(__xludf.DUMMYFUNCTION("""COMPUTED_VALUE"""),"確定")</f>
        <v>確定</v>
      </c>
      <c r="C3100" s="154">
        <f>IFERROR(__xludf.DUMMYFUNCTION("""COMPUTED_VALUE"""),45663.0)</f>
        <v>45663</v>
      </c>
      <c r="D3100" s="154">
        <f>IFERROR(__xludf.DUMMYFUNCTION("""COMPUTED_VALUE"""),45748.0)</f>
        <v>45748</v>
      </c>
      <c r="E3100" s="158">
        <f>IFERROR(__xludf.DUMMYFUNCTION("""COMPUTED_VALUE"""),321024.0)</f>
        <v>321024</v>
      </c>
      <c r="F3100" s="159" t="str">
        <f>IFERROR(__xludf.DUMMYFUNCTION("""COMPUTED_VALUE"""),"心の中が見える王子と心の中は真っ黒令嬢【連載版】")</f>
        <v>心の中が見える王子と心の中は真っ黒令嬢【連載版】</v>
      </c>
      <c r="G3100" s="152" t="str">
        <f>IFERROR(__xludf.DUMMYFUNCTION("""COMPUTED_VALUE"""),"1～3")</f>
        <v>1～3</v>
      </c>
      <c r="H3100" s="152" t="str">
        <f>IFERROR(__xludf.DUMMYFUNCTION("""COMPUTED_VALUE"""),"原作：衣裕生 作画：まるかわもにこ")</f>
        <v>原作：衣裕生 作画：まるかわもにこ</v>
      </c>
      <c r="I3100" s="152" t="str">
        <f>IFERROR(__xludf.DUMMYFUNCTION("""COMPUTED_VALUE"""),"少女")</f>
        <v>少女</v>
      </c>
      <c r="J3100" s="157"/>
      <c r="K3100" s="152" t="str">
        <f>IFERROR(__xludf.DUMMYFUNCTION("""COMPUTED_VALUE"""),"comic LAKE")</f>
        <v>comic LAKE</v>
      </c>
      <c r="L3100" s="152" t="str">
        <f>IFERROR(__xludf.DUMMYFUNCTION("""COMPUTED_VALUE"""),"一迅社")</f>
        <v>一迅社</v>
      </c>
      <c r="M3100" s="154">
        <f>IFERROR(__xludf.DUMMYFUNCTION("""COMPUTED_VALUE"""),45793.0)</f>
        <v>45793</v>
      </c>
      <c r="N3100" s="47">
        <f>IFERROR(__xludf.DUMMYFUNCTION("""COMPUTED_VALUE"""),45827.0)</f>
        <v>45827</v>
      </c>
      <c r="O3100" s="152"/>
      <c r="P3100" s="152" t="str">
        <f>IFERROR(__xludf.DUMMYFUNCTION("""COMPUTED_VALUE"""),"可")</f>
        <v>可</v>
      </c>
      <c r="Q3100" s="152" t="str">
        <f>IFERROR(__xludf.DUMMYFUNCTION("""COMPUTED_VALUE"""),"・期待値が高ければ先行期間の延長も相談可能です。")</f>
        <v>・期待値が高ければ先行期間の延長も相談可能です。</v>
      </c>
      <c r="R3100" s="152" t="str">
        <f>IFERROR(__xludf.DUMMYFUNCTION("""COMPUTED_VALUE"""),"コミットOK")</f>
        <v>コミットOK</v>
      </c>
      <c r="S3100" s="152" t="str">
        <f>IFERROR(__xludf.DUMMYFUNCTION("""COMPUTED_VALUE"""),"20250331_一迅社_心の中が見える王子と心の中は真っ黒令嬢")</f>
        <v>20250331_一迅社_心の中が見える王子と心の中は真っ黒令嬢</v>
      </c>
      <c r="T3100" s="152" t="str">
        <f>IFERROR(__xludf.DUMMYFUNCTION("""COMPUTED_VALUE"""),"格納済み")</f>
        <v>格納済み</v>
      </c>
      <c r="U3100" s="15" t="str">
        <f>IFERROR(__xludf.DUMMYFUNCTION("""COMPUTED_VALUE"""),"Ⓒ衣裕生・まるかわもにこ／一迅社")</f>
        <v>Ⓒ衣裕生・まるかわもにこ／一迅社</v>
      </c>
      <c r="V3100" s="8" t="str">
        <f>IFERROR(__xludf.DUMMYFUNCTION("""COMPUTED_VALUE"""),"人の心が読めるスカルバ王国第一王子のレナートは、パーティーで“幻の姫”と呼ばれる侯爵令嬢のルクレツィアに出会う。ルクレツィアからの挨拶に舞い上がっていたレナートだが、彼が聞いた彼女の心の声は、目の前の美女が言っているとは到底思えない言葉であった…誰にも言えない秘密がある2人の焦れキュンラブコメストーリーが始まる――　【本商品は単話コンテンツとなります。単行本版と収録内容が異なる場合がございます。漫画内の告知等は過去のものとなりますので、ご注意ください。】")</f>
        <v>人の心が読めるスカルバ王国第一王子のレナートは、パーティーで“幻の姫”と呼ばれる侯爵令嬢のルクレツィアに出会う。ルクレツィアからの挨拶に舞い上がっていたレナートだが、彼が聞いた彼女の心の声は、目の前の美女が言っているとは到底思えない言葉であった…誰にも言えない秘密がある2人の焦れキュンラブコメストーリーが始まる――　【本商品は単話コンテンツとなります。単行本版と収録内容が異なる場合がございます。漫画内の告知等は過去のものとなりますので、ご注意ください。】</v>
      </c>
      <c r="W3100" s="14"/>
      <c r="X3100" s="14" t="str">
        <f>IFERROR(__xludf.DUMMYFUNCTION("""COMPUTED_VALUE"""),"有")</f>
        <v>有</v>
      </c>
      <c r="Y3100" s="8" t="str">
        <f>IFERROR(__xludf.DUMMYFUNCTION("""COMPUTED_VALUE"""),"2025/6/19まで1巻無料")</f>
        <v>2025/6/19まで1巻無料</v>
      </c>
      <c r="Z3100" s="7"/>
      <c r="AA3100" s="7"/>
      <c r="AB3100" s="7"/>
    </row>
    <row r="3101" ht="15.75" customHeight="1">
      <c r="A3101" s="153">
        <f>IFERROR(__xludf.DUMMYFUNCTION("""COMPUTED_VALUE"""),4850.0)</f>
        <v>4850</v>
      </c>
      <c r="B3101" s="152" t="str">
        <f>IFERROR(__xludf.DUMMYFUNCTION("""COMPUTED_VALUE"""),"確定")</f>
        <v>確定</v>
      </c>
      <c r="C3101" s="154">
        <f>IFERROR(__xludf.DUMMYFUNCTION("""COMPUTED_VALUE"""),45677.0)</f>
        <v>45677</v>
      </c>
      <c r="D3101" s="154">
        <f>IFERROR(__xludf.DUMMYFUNCTION("""COMPUTED_VALUE"""),45743.0)</f>
        <v>45743</v>
      </c>
      <c r="E3101" s="155">
        <f>IFERROR(__xludf.DUMMYFUNCTION("""COMPUTED_VALUE"""),320882.0)</f>
        <v>320882</v>
      </c>
      <c r="F3101" s="156" t="str">
        <f>IFERROR(__xludf.DUMMYFUNCTION("""COMPUTED_VALUE"""),"事故物件探偵")</f>
        <v>事故物件探偵</v>
      </c>
      <c r="G3101" s="152" t="str">
        <f>IFERROR(__xludf.DUMMYFUNCTION("""COMPUTED_VALUE"""),"1～4")</f>
        <v>1～4</v>
      </c>
      <c r="H3101" s="152" t="str">
        <f>IFERROR(__xludf.DUMMYFUNCTION("""COMPUTED_VALUE"""),"漫画：山川まち 原作：皆藤黒助 キャラクター原案：世禕")</f>
        <v>漫画：山川まち 原作：皆藤黒助 キャラクター原案：世禕</v>
      </c>
      <c r="I3101" s="152" t="str">
        <f>IFERROR(__xludf.DUMMYFUNCTION("""COMPUTED_VALUE"""),"少女")</f>
        <v>少女</v>
      </c>
      <c r="J3101" s="157"/>
      <c r="K3101" s="152" t="str">
        <f>IFERROR(__xludf.DUMMYFUNCTION("""COMPUTED_VALUE"""),"ZERO-SUMコミックス")</f>
        <v>ZERO-SUMコミックス</v>
      </c>
      <c r="L3101" s="152" t="str">
        <f>IFERROR(__xludf.DUMMYFUNCTION("""COMPUTED_VALUE"""),"一迅社")</f>
        <v>一迅社</v>
      </c>
      <c r="M3101" s="154">
        <f>IFERROR(__xludf.DUMMYFUNCTION("""COMPUTED_VALUE"""),45778.0)</f>
        <v>45778</v>
      </c>
      <c r="N3101" s="59">
        <f>IFERROR(__xludf.DUMMYFUNCTION("""COMPUTED_VALUE"""),45808.0)</f>
        <v>45808</v>
      </c>
      <c r="O3101" s="152"/>
      <c r="P3101" s="152" t="str">
        <f>IFERROR(__xludf.DUMMYFUNCTION("""COMPUTED_VALUE"""),"否")</f>
        <v>否</v>
      </c>
      <c r="Q3101" s="152" t="str">
        <f>IFERROR(__xludf.DUMMYFUNCTION("""COMPUTED_VALUE"""),"・ソルマーレから提案のコミット案件です。（河上さん確認済み）&lt;BR&gt;・配信1ヶ月前に用意できる本文データは1～3話のため、3話までの素材でクリエイティブを制作ください。")</f>
        <v>・ソルマーレから提案のコミット案件です。（河上さん確認済み）&lt;BR&gt;・配信1ヶ月前に用意できる本文データは1～3話のため、3話までの素材でクリエイティブを制作ください。</v>
      </c>
      <c r="R3101" s="152" t="str">
        <f>IFERROR(__xludf.DUMMYFUNCTION("""COMPUTED_VALUE"""),"コミットOK")</f>
        <v>コミットOK</v>
      </c>
      <c r="S3101" s="152" t="str">
        <f>IFERROR(__xludf.DUMMYFUNCTION("""COMPUTED_VALUE"""),"20250326_一迅社_事故物件探偵")</f>
        <v>20250326_一迅社_事故物件探偵</v>
      </c>
      <c r="T3101" s="161" t="str">
        <f>IFERROR(__xludf.DUMMYFUNCTION("""COMPUTED_VALUE"""),"格納済み")</f>
        <v>格納済み</v>
      </c>
      <c r="U3101" s="15" t="str">
        <f>IFERROR(__xludf.DUMMYFUNCTION("""COMPUTED_VALUE"""),"Ⓒ山川まち／一迅社／皆藤黒助・世禕／KADOKAWA")</f>
        <v>Ⓒ山川まち／一迅社／皆藤黒助・世禕／KADOKAWA</v>
      </c>
      <c r="V3101" s="8" t="str">
        <f>IFERROR(__xludf.DUMMYFUNCTION("""COMPUTED_VALUE"""),"建築学科に通う学生の織家紗奈には、人には言えない秘密があった。それは、「幽霊」が見えるということ。建築家を志すきっかけとなった天木の特別講義を楽しみにする織家だが、この体質のせいで講義の時間も台無しになってしまい…。しかし、憧れの天木から織家は予想外の誘いを受けて―――？建築士×事故物件×オカルトミステリ！「角川文庫」の話題作を公式コミカライズ！！【本商品は単話コンテンツとなります。単行本版と収録内容が異なる場合がございます。漫画内の告知等は過去のものとなりますので、ご注意ください。】")</f>
        <v>建築学科に通う学生の織家紗奈には、人には言えない秘密があった。それは、「幽霊」が見えるということ。建築家を志すきっかけとなった天木の特別講義を楽しみにする織家だが、この体質のせいで講義の時間も台無しになってしまい…。しかし、憧れの天木から織家は予想外の誘いを受けて―――？建築士×事故物件×オカルトミステリ！「角川文庫」の話題作を公式コミカライズ！！【本商品は単話コンテンツとなります。単行本版と収録内容が異なる場合がございます。漫画内の告知等は過去のものとなりますので、ご注意ください。】</v>
      </c>
      <c r="W3101" s="14"/>
      <c r="X3101" s="14" t="str">
        <f>IFERROR(__xludf.DUMMYFUNCTION("""COMPUTED_VALUE"""),"有")</f>
        <v>有</v>
      </c>
      <c r="Y3101" s="8" t="str">
        <f>IFERROR(__xludf.DUMMYFUNCTION("""COMPUTED_VALUE"""),"2025/5/31まで1巻無料")</f>
        <v>2025/5/31まで1巻無料</v>
      </c>
      <c r="Z3101" s="7"/>
      <c r="AA3101" s="7"/>
      <c r="AB3101" s="7"/>
    </row>
    <row r="3102" ht="15.75" customHeight="1">
      <c r="A3102" s="153">
        <f>IFERROR(__xludf.DUMMYFUNCTION("""COMPUTED_VALUE"""),4889.0)</f>
        <v>4889</v>
      </c>
      <c r="B3102" s="152" t="str">
        <f>IFERROR(__xludf.DUMMYFUNCTION("""COMPUTED_VALUE"""),"確定")</f>
        <v>確定</v>
      </c>
      <c r="C3102" s="154">
        <f>IFERROR(__xludf.DUMMYFUNCTION("""COMPUTED_VALUE"""),45681.0)</f>
        <v>45681</v>
      </c>
      <c r="D3102" s="154">
        <f>IFERROR(__xludf.DUMMYFUNCTION("""COMPUTED_VALUE"""),45748.0)</f>
        <v>45748</v>
      </c>
      <c r="E3102" s="158">
        <f>IFERROR(__xludf.DUMMYFUNCTION("""COMPUTED_VALUE"""),319967.0)</f>
        <v>319967</v>
      </c>
      <c r="F3102" s="159" t="str">
        <f>IFERROR(__xludf.DUMMYFUNCTION("""COMPUTED_VALUE"""),"最狂ヤンキーが僕だけに夢中な件！？")</f>
        <v>最狂ヤンキーが僕だけに夢中な件！？</v>
      </c>
      <c r="G3102" s="152" t="str">
        <f>IFERROR(__xludf.DUMMYFUNCTION("""COMPUTED_VALUE"""),"1～2")</f>
        <v>1～2</v>
      </c>
      <c r="H3102" s="152" t="str">
        <f>IFERROR(__xludf.DUMMYFUNCTION("""COMPUTED_VALUE"""),"うそぢ")</f>
        <v>うそぢ</v>
      </c>
      <c r="I3102" s="152" t="str">
        <f>IFERROR(__xludf.DUMMYFUNCTION("""COMPUTED_VALUE"""),"BL")</f>
        <v>BL</v>
      </c>
      <c r="J3102" s="157"/>
      <c r="K3102" s="152" t="str">
        <f>IFERROR(__xludf.DUMMYFUNCTION("""COMPUTED_VALUE"""),"spicomi")</f>
        <v>spicomi</v>
      </c>
      <c r="L3102" s="152" t="str">
        <f>IFERROR(__xludf.DUMMYFUNCTION("""COMPUTED_VALUE"""),"CLLENN")</f>
        <v>CLLENN</v>
      </c>
      <c r="M3102" s="154">
        <f>IFERROR(__xludf.DUMMYFUNCTION("""COMPUTED_VALUE"""),45766.0)</f>
        <v>45766</v>
      </c>
      <c r="N3102" s="23">
        <f>IFERROR(__xludf.DUMMYFUNCTION("""COMPUTED_VALUE"""),45828.0)</f>
        <v>45828</v>
      </c>
      <c r="O3102" s="152"/>
      <c r="P3102" s="152" t="str">
        <f>IFERROR(__xludf.DUMMYFUNCTION("""COMPUTED_VALUE"""),"可")</f>
        <v>可</v>
      </c>
      <c r="Q3102" s="152" t="str">
        <f>IFERROR(__xludf.DUMMYFUNCTION("""COMPUTED_VALUE"""),"連載先行&lt;BR&gt;すでにXでもフォロワーが3万6千人ほどいらっしゃる先生の新作です。&lt;BR&gt;https://x.com/usodi_BL&lt;BR&gt;同人の方でかなり人気のようですので、新作の期待値もレーベル内では一番高い新作ですので、ぜひ前向きにご検討いただけますと幸いです！")</f>
        <v>連載先行&lt;BR&gt;すでにXでもフォロワーが3万6千人ほどいらっしゃる先生の新作です。&lt;BR&gt;https://x.com/usodi_BL&lt;BR&gt;同人の方でかなり人気のようですので、新作の期待値もレーベル内では一番高い新作ですので、ぜひ前向きにご検討いただけますと幸いです！</v>
      </c>
      <c r="R3102" s="152" t="str">
        <f>IFERROR(__xludf.DUMMYFUNCTION("""COMPUTED_VALUE"""),"コミットOK")</f>
        <v>コミットOK</v>
      </c>
      <c r="S3102" s="152" t="str">
        <f>IFERROR(__xludf.DUMMYFUNCTION("""COMPUTED_VALUE"""),"20250401_CLLENN_最狂ヤンキーが僕だけに夢中な件！？")</f>
        <v>20250401_CLLENN_最狂ヤンキーが僕だけに夢中な件！？</v>
      </c>
      <c r="T3102" s="152" t="str">
        <f>IFERROR(__xludf.DUMMYFUNCTION("""COMPUTED_VALUE"""),"格納済み")</f>
        <v>格納済み</v>
      </c>
      <c r="U3102" s="15" t="str">
        <f>IFERROR(__xludf.DUMMYFUNCTION("""COMPUTED_VALUE"""),"Ⓒうそぢ/CLLENN")</f>
        <v>Ⓒうそぢ/CLLENN</v>
      </c>
      <c r="V3102" s="8" t="str">
        <f>IFERROR(__xludf.DUMMYFUNCTION("""COMPUTED_VALUE"""),"【僕は今、最恐のヤンキーに〇〇〇〇をさせようとしています】――平凡な一般人・三畑剣城（みはたつるぎ）はクラス替えがきっかけで、地域一と恐れられるヤンキー・夏目泰斗（なつめたいと）に何故か目をつけられてしまう。突然呼び出しまでされ、普通の生活が脅かされる事態に！生きた心地がしない中ふたりきりになると…まさかの夏目が乙女な態度に大豹変！？しかもある理由から剣城に重い執着感情を向けていて…。なんとか自分を諦めてもらうため変態を演じエッチな要求をしてみると、あろうことか夏目は興奮をまとい従順に―…！？平凡男子×病"&amp;"みエロヤンキーのそんなのアリ！？なラブコメディー開幕！！")</f>
        <v>【僕は今、最恐のヤンキーに〇〇〇〇をさせようとしています】――平凡な一般人・三畑剣城（みはたつるぎ）はクラス替えがきっかけで、地域一と恐れられるヤンキー・夏目泰斗（なつめたいと）に何故か目をつけられてしまう。突然呼び出しまでされ、普通の生活が脅かされる事態に！生きた心地がしない中ふたりきりになると…まさかの夏目が乙女な態度に大豹変！？しかもある理由から剣城に重い執着感情を向けていて…。なんとか自分を諦めてもらうため変態を演じエッチな要求をしてみると、あろうことか夏目は興奮をまとい従順に―…！？平凡男子×病みエロヤンキーのそんなのアリ！？なラブコメディー開幕！！</v>
      </c>
      <c r="W3102" s="14"/>
      <c r="X3102" s="14" t="str">
        <f>IFERROR(__xludf.DUMMYFUNCTION("""COMPUTED_VALUE"""),"有")</f>
        <v>有</v>
      </c>
      <c r="Y3102" s="8" t="str">
        <f>IFERROR(__xludf.DUMMYFUNCTION("""COMPUTED_VALUE"""),"2025/5/2まで1巻立ち読み増量(P20まで)")</f>
        <v>2025/5/2まで1巻立ち読み増量(P20まで)</v>
      </c>
      <c r="Z3102" s="7"/>
      <c r="AA3102" s="7"/>
      <c r="AB3102" s="7"/>
    </row>
    <row r="3103" ht="15.75" customHeight="1">
      <c r="A3103" s="153">
        <f>IFERROR(__xludf.DUMMYFUNCTION("""COMPUTED_VALUE"""),4956.0)</f>
        <v>4956</v>
      </c>
      <c r="B3103" s="152" t="str">
        <f>IFERROR(__xludf.DUMMYFUNCTION("""COMPUTED_VALUE"""),"確定")</f>
        <v>確定</v>
      </c>
      <c r="C3103" s="154">
        <f>IFERROR(__xludf.DUMMYFUNCTION("""COMPUTED_VALUE"""),45692.0)</f>
        <v>45692</v>
      </c>
      <c r="D3103" s="154">
        <f>IFERROR(__xludf.DUMMYFUNCTION("""COMPUTED_VALUE"""),45743.0)</f>
        <v>45743</v>
      </c>
      <c r="E3103" s="158">
        <f>IFERROR(__xludf.DUMMYFUNCTION("""COMPUTED_VALUE"""),320507.0)</f>
        <v>320507</v>
      </c>
      <c r="F3103" s="159" t="str">
        <f>IFERROR(__xludf.DUMMYFUNCTION("""COMPUTED_VALUE"""),"月と夫婦は満ちれば欠ける")</f>
        <v>月と夫婦は満ちれば欠ける</v>
      </c>
      <c r="G3103" s="152" t="str">
        <f>IFERROR(__xludf.DUMMYFUNCTION("""COMPUTED_VALUE"""),"1～5")</f>
        <v>1～5</v>
      </c>
      <c r="H3103" s="152" t="str">
        <f>IFERROR(__xludf.DUMMYFUNCTION("""COMPUTED_VALUE"""),"漫画：水菊じむ 原作：一宮梨華")</f>
        <v>漫画：水菊じむ 原作：一宮梨華</v>
      </c>
      <c r="I3103" s="152" t="str">
        <f>IFERROR(__xludf.DUMMYFUNCTION("""COMPUTED_VALUE"""),"女性")</f>
        <v>女性</v>
      </c>
      <c r="J3103" s="157"/>
      <c r="K3103" s="152" t="str">
        <f>IFERROR(__xludf.DUMMYFUNCTION("""COMPUTED_VALUE"""),"マンガMee")</f>
        <v>マンガMee</v>
      </c>
      <c r="L3103" s="152" t="str">
        <f>IFERROR(__xludf.DUMMYFUNCTION("""COMPUTED_VALUE"""),"集英社")</f>
        <v>集英社</v>
      </c>
      <c r="M3103" s="154">
        <f>IFERROR(__xludf.DUMMYFUNCTION("""COMPUTED_VALUE"""),45772.0)</f>
        <v>45772</v>
      </c>
      <c r="N3103" s="23">
        <f>IFERROR(__xludf.DUMMYFUNCTION("""COMPUTED_VALUE"""),45862.0)</f>
        <v>45862</v>
      </c>
      <c r="O3103" s="152"/>
      <c r="P3103" s="152" t="str">
        <f>IFERROR(__xludf.DUMMYFUNCTION("""COMPUTED_VALUE"""),"否")</f>
        <v>否</v>
      </c>
      <c r="Q3103" s="152" t="str">
        <f>IFERROR(__xludf.DUMMYFUNCTION("""COMPUTED_VALUE"""),"・期待値高ければ先行期間3ヶ月も相談可能です。")</f>
        <v>・期待値高ければ先行期間3ヶ月も相談可能です。</v>
      </c>
      <c r="R3103" s="152" t="str">
        <f>IFERROR(__xludf.DUMMYFUNCTION("""COMPUTED_VALUE"""),"コミットOK")</f>
        <v>コミットOK</v>
      </c>
      <c r="S3103" s="152" t="str">
        <f>IFERROR(__xludf.DUMMYFUNCTION("""COMPUTED_VALUE"""),"20250327_集英社_月と夫婦は満ちれば欠ける")</f>
        <v>20250327_集英社_月と夫婦は満ちれば欠ける</v>
      </c>
      <c r="T3103" s="152" t="str">
        <f>IFERROR(__xludf.DUMMYFUNCTION("""COMPUTED_VALUE"""),"格納済み")</f>
        <v>格納済み</v>
      </c>
      <c r="U3103" s="15" t="str">
        <f>IFERROR(__xludf.DUMMYFUNCTION("""COMPUTED_VALUE"""),"Ⓒ水菊じむ・一宮梨華／集英社")</f>
        <v>Ⓒ水菊じむ・一宮梨華／集英社</v>
      </c>
      <c r="V3103" s="8" t="str">
        <f>IFERROR(__xludf.DUMMYFUNCTION("""COMPUTED_VALUE"""),"春、葵は大好きな夫・悠人と新居での生活を始めた。そんな時、引っ越し先のマンションで葵は高校時代の同級生、紗枝と由香里に再会する。喜んだ葵たちは、紗枝の夫、由香里の夫も含め、6人で食事をすることに。しかし、紗枝の夫は葵の元彼氏ということが発覚し…!?　1つのマンションを舞台に、夫婦3組の泥沼群像劇が始まる―…！")</f>
        <v>春、葵は大好きな夫・悠人と新居での生活を始めた。そんな時、引っ越し先のマンションで葵は高校時代の同級生、紗枝と由香里に再会する。喜んだ葵たちは、紗枝の夫、由香里の夫も含め、6人で食事をすることに。しかし、紗枝の夫は葵の元彼氏ということが発覚し…!?　1つのマンションを舞台に、夫婦3組の泥沼群像劇が始まる―…！</v>
      </c>
      <c r="W3103" s="14"/>
      <c r="X3103" s="14" t="str">
        <f>IFERROR(__xludf.DUMMYFUNCTION("""COMPUTED_VALUE"""),"有")</f>
        <v>有</v>
      </c>
      <c r="Y3103" s="8" t="str">
        <f>IFERROR(__xludf.DUMMYFUNCTION("""COMPUTED_VALUE"""),"2025/5/24まで1巻無料")</f>
        <v>2025/5/24まで1巻無料</v>
      </c>
      <c r="Z3103" s="7"/>
      <c r="AA3103" s="7"/>
      <c r="AB3103" s="7"/>
    </row>
    <row r="3104" ht="15.75" customHeight="1">
      <c r="A3104" s="153">
        <f>IFERROR(__xludf.DUMMYFUNCTION("""COMPUTED_VALUE"""),5011.0)</f>
        <v>5011</v>
      </c>
      <c r="B3104" s="152" t="str">
        <f>IFERROR(__xludf.DUMMYFUNCTION("""COMPUTED_VALUE"""),"確定")</f>
        <v>確定</v>
      </c>
      <c r="C3104" s="154">
        <f>IFERROR(__xludf.DUMMYFUNCTION("""COMPUTED_VALUE"""),45700.0)</f>
        <v>45700</v>
      </c>
      <c r="D3104" s="154">
        <f>IFERROR(__xludf.DUMMYFUNCTION("""COMPUTED_VALUE"""),45748.0)</f>
        <v>45748</v>
      </c>
      <c r="E3104" s="155">
        <f>IFERROR(__xludf.DUMMYFUNCTION("""COMPUTED_VALUE"""),321266.0)</f>
        <v>321266</v>
      </c>
      <c r="F3104" s="156" t="str">
        <f>IFERROR(__xludf.DUMMYFUNCTION("""COMPUTED_VALUE"""),"紳士な上司のオモチャな愛し方。～こじらせ女子はえっちに開花かれ満たされたい～")</f>
        <v>紳士な上司のオモチャな愛し方。～こじらせ女子はえっちに開花かれ満たされたい～</v>
      </c>
      <c r="G3104" s="152" t="str">
        <f>IFERROR(__xludf.DUMMYFUNCTION("""COMPUTED_VALUE"""),"1～2")</f>
        <v>1～2</v>
      </c>
      <c r="H3104" s="152" t="str">
        <f>IFERROR(__xludf.DUMMYFUNCTION("""COMPUTED_VALUE"""),"すし折")</f>
        <v>すし折</v>
      </c>
      <c r="I3104" s="152" t="str">
        <f>IFERROR(__xludf.DUMMYFUNCTION("""COMPUTED_VALUE"""),"TL")</f>
        <v>TL</v>
      </c>
      <c r="J3104" s="157"/>
      <c r="K3104" s="152" t="str">
        <f>IFERROR(__xludf.DUMMYFUNCTION("""COMPUTED_VALUE"""),"乙女チック")</f>
        <v>乙女チック</v>
      </c>
      <c r="L3104" s="152" t="str">
        <f>IFERROR(__xludf.DUMMYFUNCTION("""COMPUTED_VALUE"""),"CLLENN")</f>
        <v>CLLENN</v>
      </c>
      <c r="M3104" s="154">
        <f>IFERROR(__xludf.DUMMYFUNCTION("""COMPUTED_VALUE"""),45780.0)</f>
        <v>45780</v>
      </c>
      <c r="N3104" s="59">
        <f>IFERROR(__xludf.DUMMYFUNCTION("""COMPUTED_VALUE"""),45870.0)</f>
        <v>45870</v>
      </c>
      <c r="O3104" s="152"/>
      <c r="P3104" s="190" t="str">
        <f>IFERROR(__xludf.DUMMYFUNCTION("""COMPUTED_VALUE"""),"可")</f>
        <v>可</v>
      </c>
      <c r="Q3104" s="152"/>
      <c r="R3104" s="152" t="str">
        <f>IFERROR(__xludf.DUMMYFUNCTION("""COMPUTED_VALUE"""),"コミットOK")</f>
        <v>コミットOK</v>
      </c>
      <c r="S3104" s="152" t="str">
        <f>IFERROR(__xludf.DUMMYFUNCTION("""COMPUTED_VALUE"""),"20250331_CLLENN_紳士な上司のオモチャな愛し方。～こじらせ女子はえっちに開花かれ満たされたい～")</f>
        <v>20250331_CLLENN_紳士な上司のオモチャな愛し方。～こじらせ女子はえっちに開花かれ満たされたい～</v>
      </c>
      <c r="T3104" s="152" t="str">
        <f>IFERROR(__xludf.DUMMYFUNCTION("""COMPUTED_VALUE"""),"格納済み")</f>
        <v>格納済み</v>
      </c>
      <c r="U3104" s="15" t="str">
        <f>IFERROR(__xludf.DUMMYFUNCTION("""COMPUTED_VALUE"""),"Ⓒすし折/CLLENN")</f>
        <v>Ⓒすし折/CLLENN</v>
      </c>
      <c r="V3104" s="8" t="str">
        <f>IFERROR(__xludf.DUMMYFUNCTION("""COMPUTED_VALUE"""),"「ずいぶん乱れていやらしいな」熱く濡れた秘所に硬いのを当てられ、昇りつめるカラダ。なにこれ…自分でするよりもずっと気持ちいいっ！百貨店勤務・夢見桃の悩みは、アダルトグッズでしかイけないこと。彼氏に振られて落ち込んでいたところ、紹介された“おもちゃマスター”が憧れのイケメン上司・潔匠海で！？職場でも頼りになるスマートな彼にコンプレックスを打ち明けたことで、おもちゃエッチを試してみることに！今まで使ったことのない道具で弱いトコロを刺激され、彼の腕の中で快感まみれにされちゃう。こんなに感じたこと、今までなかった"&amp;"…「もっと気持ちよくなろうな」ってこれ以上されたら、おかしくなっちゃう！！")</f>
        <v>「ずいぶん乱れていやらしいな」熱く濡れた秘所に硬いのを当てられ、昇りつめるカラダ。なにこれ…自分でするよりもずっと気持ちいいっ！百貨店勤務・夢見桃の悩みは、アダルトグッズでしかイけないこと。彼氏に振られて落ち込んでいたところ、紹介された“おもちゃマスター”が憧れのイケメン上司・潔匠海で！？職場でも頼りになるスマートな彼にコンプレックスを打ち明けたことで、おもちゃエッチを試してみることに！今まで使ったことのない道具で弱いトコロを刺激され、彼の腕の中で快感まみれにされちゃう。こんなに感じたこと、今までなかった…「もっと気持ちよくなろうな」ってこれ以上されたら、おかしくなっちゃう！！</v>
      </c>
      <c r="W3104" s="14"/>
      <c r="X3104" s="14" t="str">
        <f>IFERROR(__xludf.DUMMYFUNCTION("""COMPUTED_VALUE"""),"有")</f>
        <v>有</v>
      </c>
      <c r="Y3104" s="8" t="str">
        <f>IFERROR(__xludf.DUMMYFUNCTION("""COMPUTED_VALUE"""),"P10まで")</f>
        <v>P10まで</v>
      </c>
      <c r="Z3104" s="7"/>
      <c r="AA3104" s="7"/>
      <c r="AB3104" s="7"/>
    </row>
    <row r="3105" ht="15.75" customHeight="1">
      <c r="A3105" s="153">
        <f>IFERROR(__xludf.DUMMYFUNCTION("""COMPUTED_VALUE"""),5054.0)</f>
        <v>5054</v>
      </c>
      <c r="B3105" s="152" t="str">
        <f>IFERROR(__xludf.DUMMYFUNCTION("""COMPUTED_VALUE"""),"確定")</f>
        <v>確定</v>
      </c>
      <c r="C3105" s="154">
        <f>IFERROR(__xludf.DUMMYFUNCTION("""COMPUTED_VALUE"""),45706.0)</f>
        <v>45706</v>
      </c>
      <c r="D3105" s="154">
        <f>IFERROR(__xludf.DUMMYFUNCTION("""COMPUTED_VALUE"""),45747.0)</f>
        <v>45747</v>
      </c>
      <c r="E3105" s="155">
        <f>IFERROR(__xludf.DUMMYFUNCTION("""COMPUTED_VALUE"""),320885.0)</f>
        <v>320885</v>
      </c>
      <c r="F3105" s="156" t="str">
        <f>IFERROR(__xludf.DUMMYFUNCTION("""COMPUTED_VALUE"""),"シンデレラが可愛すぎるので私が幸せにしてみせます！")</f>
        <v>シンデレラが可愛すぎるので私が幸せにしてみせます！</v>
      </c>
      <c r="G3105" s="153">
        <f>IFERROR(__xludf.DUMMYFUNCTION("""COMPUTED_VALUE"""),1.0)</f>
        <v>1</v>
      </c>
      <c r="H3105" s="152" t="str">
        <f>IFERROR(__xludf.DUMMYFUNCTION("""COMPUTED_VALUE"""),"栗山こがね・乙ひより")</f>
        <v>栗山こがね・乙ひより</v>
      </c>
      <c r="I3105" s="152" t="str">
        <f>IFERROR(__xludf.DUMMYFUNCTION("""COMPUTED_VALUE"""),"少女")</f>
        <v>少女</v>
      </c>
      <c r="J3105" s="157"/>
      <c r="K3105" s="152" t="str">
        <f>IFERROR(__xludf.DUMMYFUNCTION("""COMPUTED_VALUE"""),"ZERO-SUMコミックス")</f>
        <v>ZERO-SUMコミックス</v>
      </c>
      <c r="L3105" s="152" t="str">
        <f>IFERROR(__xludf.DUMMYFUNCTION("""COMPUTED_VALUE"""),"一迅社")</f>
        <v>一迅社</v>
      </c>
      <c r="M3105" s="154">
        <f>IFERROR(__xludf.DUMMYFUNCTION("""COMPUTED_VALUE"""),45778.0)</f>
        <v>45778</v>
      </c>
      <c r="N3105" s="59">
        <f>IFERROR(__xludf.DUMMYFUNCTION("""COMPUTED_VALUE"""),45808.0)</f>
        <v>45808</v>
      </c>
      <c r="O3105" s="152"/>
      <c r="P3105" s="152" t="str">
        <f>IFERROR(__xludf.DUMMYFUNCTION("""COMPUTED_VALUE"""),"否")</f>
        <v>否</v>
      </c>
      <c r="Q3105" s="190" t="str">
        <f>IFERROR(__xludf.DUMMYFUNCTION("""COMPUTED_VALUE"""),"悪役令嬢ですが、ヒロインに攻略されてますわ!? アンソロジーコミック: 3からの単話化")</f>
        <v>悪役令嬢ですが、ヒロインに攻略されてますわ!? アンソロジーコミック: 3からの単話化</v>
      </c>
      <c r="R3105" s="152"/>
      <c r="S3105" s="152" t="str">
        <f>IFERROR(__xludf.DUMMYFUNCTION("""COMPUTED_VALUE"""),"20250326_一迅社_シンデレラが可愛すぎるので私が幸せにしてみせます！")</f>
        <v>20250326_一迅社_シンデレラが可愛すぎるので私が幸せにしてみせます！</v>
      </c>
      <c r="T3105" s="152" t="str">
        <f>IFERROR(__xludf.DUMMYFUNCTION("""COMPUTED_VALUE"""),"格納済み")</f>
        <v>格納済み</v>
      </c>
      <c r="U3105" s="15" t="str">
        <f>IFERROR(__xludf.DUMMYFUNCTION("""COMPUTED_VALUE"""),"（C）栗山こがね・乙ひより／一迅社")</f>
        <v>（C）栗山こがね・乙ひより／一迅社</v>
      </c>
      <c r="V3105" s="8" t="str">
        <f>IFERROR(__xludf.DUMMYFUNCTION("""COMPUTED_VALUE"""),"「シンデレラ」の義姉に転生したので、断罪回避の為に義妹と仲良くしようとして!?　※この作品は『悪役令嬢ですが、ヒロインに攻略されてますわ!? アンソロジーコミック』3巻収録作品と同一の内容を単話版として再編集したものとなります。")</f>
        <v>「シンデレラ」の義姉に転生したので、断罪回避の為に義妹と仲良くしようとして!?　※この作品は『悪役令嬢ですが、ヒロインに攻略されてますわ!? アンソロジーコミック』3巻収録作品と同一の内容を単話版として再編集したものとなります。</v>
      </c>
      <c r="W3105" s="14"/>
      <c r="X3105" s="14" t="str">
        <f>IFERROR(__xludf.DUMMYFUNCTION("""COMPUTED_VALUE"""),"有")</f>
        <v>有</v>
      </c>
      <c r="Y3105" s="8" t="str">
        <f>IFERROR(__xludf.DUMMYFUNCTION("""COMPUTED_VALUE"""),"P10まで")</f>
        <v>P10まで</v>
      </c>
      <c r="Z3105" s="7"/>
      <c r="AA3105" s="7"/>
      <c r="AB3105" s="7"/>
    </row>
    <row r="3106" ht="15.75" customHeight="1">
      <c r="A3106" s="153">
        <f>IFERROR(__xludf.DUMMYFUNCTION("""COMPUTED_VALUE"""),5055.0)</f>
        <v>5055</v>
      </c>
      <c r="B3106" s="152" t="str">
        <f>IFERROR(__xludf.DUMMYFUNCTION("""COMPUTED_VALUE"""),"確定")</f>
        <v>確定</v>
      </c>
      <c r="C3106" s="154">
        <f>IFERROR(__xludf.DUMMYFUNCTION("""COMPUTED_VALUE"""),45706.0)</f>
        <v>45706</v>
      </c>
      <c r="D3106" s="154">
        <f>IFERROR(__xludf.DUMMYFUNCTION("""COMPUTED_VALUE"""),45747.0)</f>
        <v>45747</v>
      </c>
      <c r="E3106" s="155">
        <f>IFERROR(__xludf.DUMMYFUNCTION("""COMPUTED_VALUE"""),320886.0)</f>
        <v>320886</v>
      </c>
      <c r="F3106" s="156" t="str">
        <f>IFERROR(__xludf.DUMMYFUNCTION("""COMPUTED_VALUE"""),"光の魔法菓子と婚約破棄～少女の魔法菓子が令嬢を魅了する～")</f>
        <v>光の魔法菓子と婚約破棄～少女の魔法菓子が令嬢を魅了する～</v>
      </c>
      <c r="G3106" s="153">
        <f>IFERROR(__xludf.DUMMYFUNCTION("""COMPUTED_VALUE"""),1.0)</f>
        <v>1</v>
      </c>
      <c r="H3106" s="152" t="str">
        <f>IFERROR(__xludf.DUMMYFUNCTION("""COMPUTED_VALUE"""),"むぎちゃぽよこ")</f>
        <v>むぎちゃぽよこ</v>
      </c>
      <c r="I3106" s="152" t="str">
        <f>IFERROR(__xludf.DUMMYFUNCTION("""COMPUTED_VALUE"""),"少女")</f>
        <v>少女</v>
      </c>
      <c r="J3106" s="157"/>
      <c r="K3106" s="152" t="str">
        <f>IFERROR(__xludf.DUMMYFUNCTION("""COMPUTED_VALUE"""),"ZERO-SUMコミックス")</f>
        <v>ZERO-SUMコミックス</v>
      </c>
      <c r="L3106" s="152" t="str">
        <f>IFERROR(__xludf.DUMMYFUNCTION("""COMPUTED_VALUE"""),"一迅社")</f>
        <v>一迅社</v>
      </c>
      <c r="M3106" s="154">
        <f>IFERROR(__xludf.DUMMYFUNCTION("""COMPUTED_VALUE"""),45778.0)</f>
        <v>45778</v>
      </c>
      <c r="N3106" s="59">
        <f>IFERROR(__xludf.DUMMYFUNCTION("""COMPUTED_VALUE"""),45808.0)</f>
        <v>45808</v>
      </c>
      <c r="O3106" s="152"/>
      <c r="P3106" s="152" t="str">
        <f>IFERROR(__xludf.DUMMYFUNCTION("""COMPUTED_VALUE"""),"否")</f>
        <v>否</v>
      </c>
      <c r="Q3106" s="190" t="str">
        <f>IFERROR(__xludf.DUMMYFUNCTION("""COMPUTED_VALUE"""),"悪役令嬢ですが、ヒロインに攻略されてますわ!? アンソロジーコミック: 3からの単話化")</f>
        <v>悪役令嬢ですが、ヒロインに攻略されてますわ!? アンソロジーコミック: 3からの単話化</v>
      </c>
      <c r="R3106" s="152"/>
      <c r="S3106" s="152" t="str">
        <f>IFERROR(__xludf.DUMMYFUNCTION("""COMPUTED_VALUE"""),"20250326_一迅社_光の魔法菓子と婚約破棄～少女の魔法菓子が令嬢を魅了する～")</f>
        <v>20250326_一迅社_光の魔法菓子と婚約破棄～少女の魔法菓子が令嬢を魅了する～</v>
      </c>
      <c r="T3106" s="152" t="str">
        <f>IFERROR(__xludf.DUMMYFUNCTION("""COMPUTED_VALUE"""),"格納済み")</f>
        <v>格納済み</v>
      </c>
      <c r="U3106" s="15" t="str">
        <f>IFERROR(__xludf.DUMMYFUNCTION("""COMPUTED_VALUE"""),"（C）むぎちゃぽよこ／一迅社")</f>
        <v>（C）むぎちゃぽよこ／一迅社</v>
      </c>
      <c r="V3106" s="8" t="str">
        <f>IFERROR(__xludf.DUMMYFUNCTION("""COMPUTED_VALUE"""),"婚約者である王太子の浮気を目撃し、湖のほとりで悩んでいたら迷子の聖女が現れて!?　※この作品は『悪役令嬢ですが、ヒロインに攻略されてますわ!? アンソロジーコミック』3巻収録作品と同一の内容を単話版として再編集したものとなります。")</f>
        <v>婚約者である王太子の浮気を目撃し、湖のほとりで悩んでいたら迷子の聖女が現れて!?　※この作品は『悪役令嬢ですが、ヒロインに攻略されてますわ!? アンソロジーコミック』3巻収録作品と同一の内容を単話版として再編集したものとなります。</v>
      </c>
      <c r="W3106" s="14"/>
      <c r="X3106" s="14" t="str">
        <f>IFERROR(__xludf.DUMMYFUNCTION("""COMPUTED_VALUE"""),"有")</f>
        <v>有</v>
      </c>
      <c r="Y3106" s="8" t="str">
        <f>IFERROR(__xludf.DUMMYFUNCTION("""COMPUTED_VALUE"""),"P7まで")</f>
        <v>P7まで</v>
      </c>
      <c r="Z3106" s="7"/>
      <c r="AA3106" s="7"/>
      <c r="AB3106" s="7"/>
    </row>
    <row r="3107" ht="15.75" customHeight="1">
      <c r="A3107" s="153">
        <f>IFERROR(__xludf.DUMMYFUNCTION("""COMPUTED_VALUE"""),5056.0)</f>
        <v>5056</v>
      </c>
      <c r="B3107" s="152" t="str">
        <f>IFERROR(__xludf.DUMMYFUNCTION("""COMPUTED_VALUE"""),"確定")</f>
        <v>確定</v>
      </c>
      <c r="C3107" s="154">
        <f>IFERROR(__xludf.DUMMYFUNCTION("""COMPUTED_VALUE"""),45706.0)</f>
        <v>45706</v>
      </c>
      <c r="D3107" s="154">
        <f>IFERROR(__xludf.DUMMYFUNCTION("""COMPUTED_VALUE"""),45747.0)</f>
        <v>45747</v>
      </c>
      <c r="E3107" s="157">
        <f>IFERROR(__xludf.DUMMYFUNCTION("""COMPUTED_VALUE"""),323288.0)</f>
        <v>323288</v>
      </c>
      <c r="F3107" s="152" t="str">
        <f>IFERROR(__xludf.DUMMYFUNCTION("""COMPUTED_VALUE"""),"王子に婚約破棄された令嬢が、王妃に返り咲くまで")</f>
        <v>王子に婚約破棄された令嬢が、王妃に返り咲くまで</v>
      </c>
      <c r="G3107" s="153">
        <f>IFERROR(__xludf.DUMMYFUNCTION("""COMPUTED_VALUE"""),1.0)</f>
        <v>1</v>
      </c>
      <c r="H3107" s="152" t="str">
        <f>IFERROR(__xludf.DUMMYFUNCTION("""COMPUTED_VALUE"""),"漫画：にび 原作：歩芽川ゆい")</f>
        <v>漫画：にび 原作：歩芽川ゆい</v>
      </c>
      <c r="I3107" s="152" t="str">
        <f>IFERROR(__xludf.DUMMYFUNCTION("""COMPUTED_VALUE"""),"少女")</f>
        <v>少女</v>
      </c>
      <c r="J3107" s="157"/>
      <c r="K3107" s="152" t="str">
        <f>IFERROR(__xludf.DUMMYFUNCTION("""COMPUTED_VALUE"""),"ZERO-SUMコミックス")</f>
        <v>ZERO-SUMコミックス</v>
      </c>
      <c r="L3107" s="152" t="str">
        <f>IFERROR(__xludf.DUMMYFUNCTION("""COMPUTED_VALUE"""),"一迅社")</f>
        <v>一迅社</v>
      </c>
      <c r="M3107" s="154">
        <f>IFERROR(__xludf.DUMMYFUNCTION("""COMPUTED_VALUE"""),45809.0)</f>
        <v>45809</v>
      </c>
      <c r="N3107" s="59">
        <f>IFERROR(__xludf.DUMMYFUNCTION("""COMPUTED_VALUE"""),45838.0)</f>
        <v>45838</v>
      </c>
      <c r="O3107" s="152"/>
      <c r="P3107" s="152" t="str">
        <f>IFERROR(__xludf.DUMMYFUNCTION("""COMPUTED_VALUE"""),"否")</f>
        <v>否</v>
      </c>
      <c r="Q3107" s="190" t="str">
        <f>IFERROR(__xludf.DUMMYFUNCTION("""COMPUTED_VALUE"""),"悪役令嬢ですが、ヒロインに攻略されてますわ!? アンソロジーコミック: 3からの単話化")</f>
        <v>悪役令嬢ですが、ヒロインに攻略されてますわ!? アンソロジーコミック: 3からの単話化</v>
      </c>
      <c r="R3107" s="152"/>
      <c r="S3107" s="152" t="str">
        <f>IFERROR(__xludf.DUMMYFUNCTION("""COMPUTED_VALUE"""),"20250326_一迅社_王子に婚約破棄された令嬢が、王妃に返り咲くまで")</f>
        <v>20250326_一迅社_王子に婚約破棄された令嬢が、王妃に返り咲くまで</v>
      </c>
      <c r="T3107" s="152" t="str">
        <f>IFERROR(__xludf.DUMMYFUNCTION("""COMPUTED_VALUE"""),"格納済み")</f>
        <v>格納済み</v>
      </c>
      <c r="U3107" s="9" t="str">
        <f>IFERROR(__xludf.DUMMYFUNCTION("""COMPUTED_VALUE"""),"（C）にび・歩芽川ゆい／一迅社")</f>
        <v>（C）にび・歩芽川ゆい／一迅社</v>
      </c>
      <c r="V3107" s="8" t="str">
        <f>IFERROR(__xludf.DUMMYFUNCTION("""COMPUTED_VALUE"""),"婚約破棄されたので王子を殴って立ち去ったら、妹王女が部屋に連れ込んで慰めてくれ!?　※この作品は『悪役令嬢ですが、ヒロインに攻略されてますわ!? アンソロジーコミック』3巻収録作品と同一の内容を単話版として再編集したものとなります。")</f>
        <v>婚約破棄されたので王子を殴って立ち去ったら、妹王女が部屋に連れ込んで慰めてくれ!?　※この作品は『悪役令嬢ですが、ヒロインに攻略されてますわ!? アンソロジーコミック』3巻収録作品と同一の内容を単話版として再編集したものとなります。</v>
      </c>
      <c r="W3107" s="8" t="str">
        <f>IFERROR(__xludf.DUMMYFUNCTION("""COMPUTED_VALUE"""),"#REF!")</f>
        <v>#REF!</v>
      </c>
      <c r="X3107" s="8" t="str">
        <f>IFERROR(__xludf.DUMMYFUNCTION("""COMPUTED_VALUE"""),"有")</f>
        <v>有</v>
      </c>
      <c r="Y3107" s="8" t="str">
        <f>IFERROR(__xludf.DUMMYFUNCTION("""COMPUTED_VALUE"""),"P7まで")</f>
        <v>P7まで</v>
      </c>
      <c r="Z3107" s="7"/>
      <c r="AA3107" s="7"/>
      <c r="AB3107" s="7"/>
    </row>
    <row r="3108" ht="15.75" customHeight="1">
      <c r="A3108" s="153">
        <f>IFERROR(__xludf.DUMMYFUNCTION("""COMPUTED_VALUE"""),5068.0)</f>
        <v>5068</v>
      </c>
      <c r="B3108" s="152" t="str">
        <f>IFERROR(__xludf.DUMMYFUNCTION("""COMPUTED_VALUE"""),"確定")</f>
        <v>確定</v>
      </c>
      <c r="C3108" s="154">
        <f>IFERROR(__xludf.DUMMYFUNCTION("""COMPUTED_VALUE"""),45707.0)</f>
        <v>45707</v>
      </c>
      <c r="D3108" s="154">
        <f>IFERROR(__xludf.DUMMYFUNCTION("""COMPUTED_VALUE"""),45747.0)</f>
        <v>45747</v>
      </c>
      <c r="E3108" s="155">
        <f>IFERROR(__xludf.DUMMYFUNCTION("""COMPUTED_VALUE"""),320587.0)</f>
        <v>320587</v>
      </c>
      <c r="F3108" s="156" t="str">
        <f>IFERROR(__xludf.DUMMYFUNCTION("""COMPUTED_VALUE"""),"へんたいきぐるみといっしょ")</f>
        <v>へんたいきぐるみといっしょ</v>
      </c>
      <c r="G3108" s="152" t="str">
        <f>IFERROR(__xludf.DUMMYFUNCTION("""COMPUTED_VALUE"""),"1~3")</f>
        <v>1~3</v>
      </c>
      <c r="H3108" s="152" t="str">
        <f>IFERROR(__xludf.DUMMYFUNCTION("""COMPUTED_VALUE"""),"池ソウタ")</f>
        <v>池ソウタ</v>
      </c>
      <c r="I3108" s="152" t="str">
        <f>IFERROR(__xludf.DUMMYFUNCTION("""COMPUTED_VALUE"""),"BL")</f>
        <v>BL</v>
      </c>
      <c r="J3108" s="157"/>
      <c r="K3108" s="152" t="str">
        <f>IFERROR(__xludf.DUMMYFUNCTION("""COMPUTED_VALUE"""),"BABY")</f>
        <v>BABY</v>
      </c>
      <c r="L3108" s="152" t="str">
        <f>IFERROR(__xludf.DUMMYFUNCTION("""COMPUTED_VALUE"""),"ふゅーじょんぷろだくと")</f>
        <v>ふゅーじょんぷろだくと</v>
      </c>
      <c r="M3108" s="154">
        <f>IFERROR(__xludf.DUMMYFUNCTION("""COMPUTED_VALUE"""),45777.0)</f>
        <v>45777</v>
      </c>
      <c r="N3108" s="59">
        <f>IFERROR(__xludf.DUMMYFUNCTION("""COMPUTED_VALUE"""),45869.0)</f>
        <v>45869</v>
      </c>
      <c r="O3108" s="152"/>
      <c r="P3108" s="190" t="str">
        <f>IFERROR(__xludf.DUMMYFUNCTION("""COMPUTED_VALUE"""),"可")</f>
        <v>可</v>
      </c>
      <c r="Q3108" s="152"/>
      <c r="R3108" s="152" t="str">
        <f>IFERROR(__xludf.DUMMYFUNCTION("""COMPUTED_VALUE"""),"コミットOK")</f>
        <v>コミットOK</v>
      </c>
      <c r="S3108" s="152" t="str">
        <f>IFERROR(__xludf.DUMMYFUNCTION("""COMPUTED_VALUE"""),"20250328_ふゅーじょんぷろだくと_へんたいきぐるみといっしょ")</f>
        <v>20250328_ふゅーじょんぷろだくと_へんたいきぐるみといっしょ</v>
      </c>
      <c r="T3108" s="152" t="str">
        <f>IFERROR(__xludf.DUMMYFUNCTION("""COMPUTED_VALUE"""),"格納済み")</f>
        <v>格納済み</v>
      </c>
      <c r="U3108" s="15" t="str">
        <f>IFERROR(__xludf.DUMMYFUNCTION("""COMPUTED_VALUE"""),"『へんたいきぐるみといっしょ』Ⓒ池ソウタ／FUSION PRODUCT")</f>
        <v>『へんたいきぐるみといっしょ』Ⓒ池ソウタ／FUSION PRODUCT</v>
      </c>
      <c r="V3108" s="8" t="str">
        <f>IFERROR(__xludf.DUMMYFUNCTION("""COMPUTED_VALUE"""),"【相方（着ぐるみ）に“尻”を狙われています。】子供向け工作番組『つくってエンジョイ』に出演するエンさんこと御手洗（みたらい）と、着ぐるみのジョイくん。ジョイくんはエンさんのことがだーいすき☆エンさんの飲みかけのペットボトルで性器の先端をちゅぽちゅぽ吸わせたり…愛しいエンさんを考えながらするオ●ニーは至高のひととき。なんて思っていたら、エンさんに見られてしまった！こうなったら、もっと見てもらうしかない！相方が“変態”という事実にドン引きしながらも、自分の夢だった番組のためジョイくんの奇行を受け入れてしまうエ"&amp;"ンさん。ジョイくんの行動はどんどんエスカレートしていきーー！？※本作品は電子書籍版『BABY vol.70』にも掲載しております。重複購入にお気をつけください。")</f>
        <v>【相方（着ぐるみ）に“尻”を狙われています。】子供向け工作番組『つくってエンジョイ』に出演するエンさんこと御手洗（みたらい）と、着ぐるみのジョイくん。ジョイくんはエンさんのことがだーいすき☆エンさんの飲みかけのペットボトルで性器の先端をちゅぽちゅぽ吸わせたり…愛しいエンさんを考えながらするオ●ニーは至高のひととき。なんて思っていたら、エンさんに見られてしまった！こうなったら、もっと見てもらうしかない！相方が“変態”という事実にドン引きしながらも、自分の夢だった番組のためジョイくんの奇行を受け入れてしまうエンさん。ジョイくんの行動はどんどんエスカレートしていきーー！？※本作品は電子書籍版『BABY vol.70』にも掲載しております。重複購入にお気をつけください。</v>
      </c>
      <c r="W3108" s="14"/>
      <c r="X3108" s="14" t="str">
        <f>IFERROR(__xludf.DUMMYFUNCTION("""COMPUTED_VALUE"""),"有")</f>
        <v>有</v>
      </c>
      <c r="Y3108" s="8" t="str">
        <f>IFERROR(__xludf.DUMMYFUNCTION("""COMPUTED_VALUE"""),"P10まで")</f>
        <v>P10まで</v>
      </c>
      <c r="Z3108" s="7"/>
      <c r="AA3108" s="7"/>
      <c r="AB3108" s="7"/>
    </row>
    <row r="3109" ht="15.75" customHeight="1">
      <c r="A3109" s="153">
        <f>IFERROR(__xludf.DUMMYFUNCTION("""COMPUTED_VALUE"""),5117.0)</f>
        <v>5117</v>
      </c>
      <c r="B3109" s="152" t="str">
        <f>IFERROR(__xludf.DUMMYFUNCTION("""COMPUTED_VALUE"""),"確定")</f>
        <v>確定</v>
      </c>
      <c r="C3109" s="154">
        <f>IFERROR(__xludf.DUMMYFUNCTION("""COMPUTED_VALUE"""),45714.0)</f>
        <v>45714</v>
      </c>
      <c r="D3109" s="154">
        <f>IFERROR(__xludf.DUMMYFUNCTION("""COMPUTED_VALUE"""),45747.0)</f>
        <v>45747</v>
      </c>
      <c r="E3109" s="158">
        <f>IFERROR(__xludf.DUMMYFUNCTION("""COMPUTED_VALUE"""),320140.0)</f>
        <v>320140</v>
      </c>
      <c r="F3109" s="159" t="str">
        <f>IFERROR(__xludf.DUMMYFUNCTION("""COMPUTED_VALUE"""),"エロ漫画家先生のニセ恋。～ハジメテ同士が本気エッチをしたらキュン止めらんない…!?～")</f>
        <v>エロ漫画家先生のニセ恋。～ハジメテ同士が本気エッチをしたらキュン止めらんない…!?～</v>
      </c>
      <c r="G3109" s="152" t="str">
        <f>IFERROR(__xludf.DUMMYFUNCTION("""COMPUTED_VALUE"""),"1～3")</f>
        <v>1～3</v>
      </c>
      <c r="H3109" s="152" t="str">
        <f>IFERROR(__xludf.DUMMYFUNCTION("""COMPUTED_VALUE"""),"道外コノメ")</f>
        <v>道外コノメ</v>
      </c>
      <c r="I3109" s="152" t="str">
        <f>IFERROR(__xludf.DUMMYFUNCTION("""COMPUTED_VALUE"""),"TL")</f>
        <v>TL</v>
      </c>
      <c r="J3109" s="157"/>
      <c r="K3109" s="152" t="str">
        <f>IFERROR(__xludf.DUMMYFUNCTION("""COMPUTED_VALUE"""),"re:belle")</f>
        <v>re:belle</v>
      </c>
      <c r="L3109" s="152" t="str">
        <f>IFERROR(__xludf.DUMMYFUNCTION("""COMPUTED_VALUE"""),"CLAPコミックス")</f>
        <v>CLAPコミックス</v>
      </c>
      <c r="M3109" s="154">
        <f>IFERROR(__xludf.DUMMYFUNCTION("""COMPUTED_VALUE"""),45771.0)</f>
        <v>45771</v>
      </c>
      <c r="N3109" s="59">
        <f>IFERROR(__xludf.DUMMYFUNCTION("""COMPUTED_VALUE"""),45861.0)</f>
        <v>45861</v>
      </c>
      <c r="O3109" s="152"/>
      <c r="P3109" s="190" t="str">
        <f>IFERROR(__xludf.DUMMYFUNCTION("""COMPUTED_VALUE"""),"可")</f>
        <v>可</v>
      </c>
      <c r="Q3109" s="152"/>
      <c r="R3109" s="152" t="str">
        <f>IFERROR(__xludf.DUMMYFUNCTION("""COMPUTED_VALUE"""),"コミットOK")</f>
        <v>コミットOK</v>
      </c>
      <c r="S3109" s="152" t="str">
        <f>IFERROR(__xludf.DUMMYFUNCTION("""COMPUTED_VALUE"""),"20250319_CLAPコミックス_エロ漫画家先生のニセ恋。")</f>
        <v>20250319_CLAPコミックス_エロ漫画家先生のニセ恋。</v>
      </c>
      <c r="T3109" s="152" t="str">
        <f>IFERROR(__xludf.DUMMYFUNCTION("""COMPUTED_VALUE"""),"格納済み")</f>
        <v>格納済み</v>
      </c>
      <c r="U3109" s="15" t="str">
        <f>IFERROR(__xludf.DUMMYFUNCTION("""COMPUTED_VALUE"""),"道外コノメ／CLAPコミックス")</f>
        <v>道外コノメ／CLAPコミックス</v>
      </c>
      <c r="V3109" s="8" t="str">
        <f>IFERROR(__xludf.DUMMYFUNCTION("""COMPUTED_VALUE"""),"「自分、二次元にしか興味ありません」
エロ漫画家・花町小萩は行きづまっていた。プロとしてデビューしたものの最近全然売れていない。
――「キュン」とか「リアル」ってなに。どうしたらいいの!?
読者が求めることが恋愛経験ゼロの小萩にはわからない。
いつもの打ち合わせで担当編集に紹介された出版営業の不動は不愛想だが真面目でストイックな小萩のファン。
思いがけないことが起きて「不動にお願い事」をすることに……？
――すべては、小萩の願いを叶えるために。
真剣な眼差しを向けられシーツの波に"&amp;"押し倒される。触れてくる手も、与えられる快楽も、すべてがハジメテで…。
触れられるところ全部が熱を持って、欲しがってるみたいにお腹の奥が蠢く。
自分のカラダのはずなのに、きもちよくて何もわからなくなっちゃって…!?
【恋を知らないエロ漫画家】×【二次元しか愛せない営業男子】
恋に難ありふたりが""リアルな胸キュンエッチ""に挑む!?")</f>
        <v>「自分、二次元にしか興味ありません」
エロ漫画家・花町小萩は行きづまっていた。プロとしてデビューしたものの最近全然売れていない。
――「キュン」とか「リアル」ってなに。どうしたらいいの!?
読者が求めることが恋愛経験ゼロの小萩にはわからない。
いつもの打ち合わせで担当編集に紹介された出版営業の不動は不愛想だが真面目でストイックな小萩のファン。
思いがけないことが起きて「不動にお願い事」をすることに……？
――すべては、小萩の願いを叶えるために。
真剣な眼差しを向けられシーツの波に押し倒される。触れてくる手も、与えられる快楽も、すべてがハジメテで…。
触れられるところ全部が熱を持って、欲しがってるみたいにお腹の奥が蠢く。
自分のカラダのはずなのに、きもちよくて何もわからなくなっちゃって…!?
【恋を知らないエロ漫画家】×【二次元しか愛せない営業男子】
恋に難ありふたりが"リアルな胸キュンエッチ"に挑む!?</v>
      </c>
      <c r="W3109" s="14"/>
      <c r="X3109" s="14" t="str">
        <f>IFERROR(__xludf.DUMMYFUNCTION("""COMPUTED_VALUE"""),"有")</f>
        <v>有</v>
      </c>
      <c r="Y3109" s="8" t="str">
        <f>IFERROR(__xludf.DUMMYFUNCTION("""COMPUTED_VALUE"""),"2025/5/7まで1巻無料")</f>
        <v>2025/5/7まで1巻無料</v>
      </c>
      <c r="Z3109" s="7"/>
      <c r="AA3109" s="7"/>
      <c r="AB3109" s="7"/>
    </row>
    <row r="3110" ht="15.75" customHeight="1">
      <c r="A3110" s="153">
        <f>IFERROR(__xludf.DUMMYFUNCTION("""COMPUTED_VALUE"""),5135.0)</f>
        <v>5135</v>
      </c>
      <c r="B3110" s="152" t="str">
        <f>IFERROR(__xludf.DUMMYFUNCTION("""COMPUTED_VALUE"""),"確定")</f>
        <v>確定</v>
      </c>
      <c r="C3110" s="154">
        <f>IFERROR(__xludf.DUMMYFUNCTION("""COMPUTED_VALUE"""),45715.0)</f>
        <v>45715</v>
      </c>
      <c r="D3110" s="154">
        <f>IFERROR(__xludf.DUMMYFUNCTION("""COMPUTED_VALUE"""),45747.0)</f>
        <v>45747</v>
      </c>
      <c r="E3110" s="155">
        <f>IFERROR(__xludf.DUMMYFUNCTION("""COMPUTED_VALUE"""),320586.0)</f>
        <v>320586</v>
      </c>
      <c r="F3110" s="156" t="str">
        <f>IFERROR(__xludf.DUMMYFUNCTION("""COMPUTED_VALUE"""),"好きと言うにはまだ幼い")</f>
        <v>好きと言うにはまだ幼い</v>
      </c>
      <c r="G3110" s="152" t="str">
        <f>IFERROR(__xludf.DUMMYFUNCTION("""COMPUTED_VALUE"""),"1～3")</f>
        <v>1～3</v>
      </c>
      <c r="H3110" s="152" t="str">
        <f>IFERROR(__xludf.DUMMYFUNCTION("""COMPUTED_VALUE"""),"甘頼")</f>
        <v>甘頼</v>
      </c>
      <c r="I3110" s="152" t="str">
        <f>IFERROR(__xludf.DUMMYFUNCTION("""COMPUTED_VALUE"""),"少女")</f>
        <v>少女</v>
      </c>
      <c r="J3110" s="157"/>
      <c r="K3110" s="152" t="str">
        <f>IFERROR(__xludf.DUMMYFUNCTION("""COMPUTED_VALUE"""),"Be")</f>
        <v>Be</v>
      </c>
      <c r="L3110" s="152" t="str">
        <f>IFERROR(__xludf.DUMMYFUNCTION("""COMPUTED_VALUE"""),"ふゅーじょんぷろだくと")</f>
        <v>ふゅーじょんぷろだくと</v>
      </c>
      <c r="M3110" s="154">
        <f>IFERROR(__xludf.DUMMYFUNCTION("""COMPUTED_VALUE"""),45777.0)</f>
        <v>45777</v>
      </c>
      <c r="N3110" s="59">
        <f>IFERROR(__xludf.DUMMYFUNCTION("""COMPUTED_VALUE"""),45869.0)</f>
        <v>45869</v>
      </c>
      <c r="O3110" s="152"/>
      <c r="P3110" s="190" t="str">
        <f>IFERROR(__xludf.DUMMYFUNCTION("""COMPUTED_VALUE"""),"可")</f>
        <v>可</v>
      </c>
      <c r="Q3110" s="152"/>
      <c r="R3110" s="152" t="str">
        <f>IFERROR(__xludf.DUMMYFUNCTION("""COMPUTED_VALUE"""),"コミットOK")</f>
        <v>コミットOK</v>
      </c>
      <c r="S3110" s="152" t="str">
        <f>IFERROR(__xludf.DUMMYFUNCTION("""COMPUTED_VALUE"""),"20250331_ふゅーじょんぷろだくと_好きと言うにはまだ幼い")</f>
        <v>20250331_ふゅーじょんぷろだくと_好きと言うにはまだ幼い</v>
      </c>
      <c r="T3110" s="152" t="str">
        <f>IFERROR(__xludf.DUMMYFUNCTION("""COMPUTED_VALUE"""),"格納済み")</f>
        <v>格納済み</v>
      </c>
      <c r="U3110" s="15" t="str">
        <f>IFERROR(__xludf.DUMMYFUNCTION("""COMPUTED_VALUE"""),"『好きと言うにはまだ幼い』Ⓒ甘頼／FUSION PRODUCT")</f>
        <v>『好きと言うにはまだ幼い』Ⓒ甘頼／FUSION PRODUCT</v>
      </c>
      <c r="V3110" s="8" t="str">
        <f>IFERROR(__xludf.DUMMYFUNCTION("""COMPUTED_VALUE"""),"【ゲームで出会った趣味友にドキドキしてしまいます。】恋愛に興味がもてない高校2年生・光理（ひかり）。最近の趣味は4人1組で戦うサバイバルゲーム“Sparkle Animals”。ある日、光理は初めてオフ会に参加することに。みんなイメージ通りの優しい人たちで安心！だけど、ゲームでは天然で可愛かった年下の市岡（いちおか）くんは背が高くてクールでちょっと近寄りがたい…。そんな市岡くんが帰り際「光理ちゃんに会えて嬉しかった」と笑顔を見せてくれて…。")</f>
        <v>【ゲームで出会った趣味友にドキドキしてしまいます。】恋愛に興味がもてない高校2年生・光理（ひかり）。最近の趣味は4人1組で戦うサバイバルゲーム“Sparkle Animals”。ある日、光理は初めてオフ会に参加することに。みんなイメージ通りの優しい人たちで安心！だけど、ゲームでは天然で可愛かった年下の市岡（いちおか）くんは背が高くてクールでちょっと近寄りがたい…。そんな市岡くんが帰り際「光理ちゃんに会えて嬉しかった」と笑顔を見せてくれて…。</v>
      </c>
      <c r="W3110" s="14"/>
      <c r="X3110" s="14" t="str">
        <f>IFERROR(__xludf.DUMMYFUNCTION("""COMPUTED_VALUE"""),"有")</f>
        <v>有</v>
      </c>
      <c r="Y3110" s="8" t="str">
        <f>IFERROR(__xludf.DUMMYFUNCTION("""COMPUTED_VALUE"""),"P10まで")</f>
        <v>P10まで</v>
      </c>
      <c r="Z3110" s="7"/>
      <c r="AA3110" s="7"/>
      <c r="AB3110" s="7"/>
    </row>
    <row r="3111" ht="15.75" customHeight="1">
      <c r="A3111" s="153">
        <f>IFERROR(__xludf.DUMMYFUNCTION("""COMPUTED_VALUE"""),5137.0)</f>
        <v>5137</v>
      </c>
      <c r="B3111" s="152" t="str">
        <f>IFERROR(__xludf.DUMMYFUNCTION("""COMPUTED_VALUE"""),"確定")</f>
        <v>確定</v>
      </c>
      <c r="C3111" s="154">
        <f>IFERROR(__xludf.DUMMYFUNCTION("""COMPUTED_VALUE"""),45715.0)</f>
        <v>45715</v>
      </c>
      <c r="D3111" s="154">
        <f>IFERROR(__xludf.DUMMYFUNCTION("""COMPUTED_VALUE"""),45748.0)</f>
        <v>45748</v>
      </c>
      <c r="E3111" s="158">
        <f>IFERROR(__xludf.DUMMYFUNCTION("""COMPUTED_VALUE"""),321244.0)</f>
        <v>321244</v>
      </c>
      <c r="F3111" s="159" t="str">
        <f>IFERROR(__xludf.DUMMYFUNCTION("""COMPUTED_VALUE"""),"叔母を飼う")</f>
        <v>叔母を飼う</v>
      </c>
      <c r="G3111" s="152" t="str">
        <f>IFERROR(__xludf.DUMMYFUNCTION("""COMPUTED_VALUE"""),"1～2")</f>
        <v>1～2</v>
      </c>
      <c r="H3111" s="152" t="str">
        <f>IFERROR(__xludf.DUMMYFUNCTION("""COMPUTED_VALUE"""),"ほよよ")</f>
        <v>ほよよ</v>
      </c>
      <c r="I3111" s="164" t="str">
        <f>IFERROR(__xludf.DUMMYFUNCTION("""COMPUTED_VALUE"""),"アダルトマンガ")</f>
        <v>アダルトマンガ</v>
      </c>
      <c r="J3111" s="166"/>
      <c r="K3111" s="157"/>
      <c r="L3111" s="152" t="str">
        <f>IFERROR(__xludf.DUMMYFUNCTION("""COMPUTED_VALUE"""),"ナイトコミック")</f>
        <v>ナイトコミック</v>
      </c>
      <c r="M3111" s="154">
        <f>IFERROR(__xludf.DUMMYFUNCTION("""COMPUTED_VALUE"""),45772.0)</f>
        <v>45772</v>
      </c>
      <c r="N3111" s="59">
        <f>IFERROR(__xludf.DUMMYFUNCTION("""COMPUTED_VALUE"""),45834.0)</f>
        <v>45834</v>
      </c>
      <c r="O3111" s="152"/>
      <c r="P3111" s="190" t="str">
        <f>IFERROR(__xludf.DUMMYFUNCTION("""COMPUTED_VALUE"""),"可")</f>
        <v>可</v>
      </c>
      <c r="Q3111" s="152"/>
      <c r="R3111" s="152" t="str">
        <f>IFERROR(__xludf.DUMMYFUNCTION("""COMPUTED_VALUE"""),"コミットOK")</f>
        <v>コミットOK</v>
      </c>
      <c r="S3111" s="152" t="str">
        <f>IFERROR(__xludf.DUMMYFUNCTION("""COMPUTED_VALUE"""),"20250227_ナイトコミック_叔母を飼う")</f>
        <v>20250227_ナイトコミック_叔母を飼う</v>
      </c>
      <c r="T3111" s="152" t="str">
        <f>IFERROR(__xludf.DUMMYFUNCTION("""COMPUTED_VALUE"""),"格納済み")</f>
        <v>格納済み</v>
      </c>
      <c r="U3111" s="15" t="str">
        <f>IFERROR(__xludf.DUMMYFUNCTION("""COMPUTED_VALUE"""),"Ⓒほよよ")</f>
        <v>Ⓒほよよ</v>
      </c>
      <c r="V3111" s="8" t="str">
        <f>IFERROR(__xludf.DUMMYFUNCTION("""COMPUTED_VALUE"""),"俺の家に住まわせてほしいと押しかけてきた叔母のかえでちゃん。年甲斐もなく駄々をこねるかえでちゃんを一週間だけという条件で住まわせることになった。だが、カエデちゃんが居るとオナニーができない…！俺は、ついにTシャツ一枚で無防備に眠るかえでちゃんの姿に欲情してしまう。我慢できず目の前でオナニーをしていると、眠っていたかえでちゃんが起きてしまった。「叔母さんに任せなさい」と勃起してデカくなったち●ぽを奥まで咥えるかえでちゃん。そして射精したばかりの俺を押し倒し、生のち●ぽをかえでちゃんのアソコに挿れさせようとし"&amp;"てきて…！？")</f>
        <v>俺の家に住まわせてほしいと押しかけてきた叔母のかえでちゃん。年甲斐もなく駄々をこねるかえでちゃんを一週間だけという条件で住まわせることになった。だが、カエデちゃんが居るとオナニーができない…！俺は、ついにTシャツ一枚で無防備に眠るかえでちゃんの姿に欲情してしまう。我慢できず目の前でオナニーをしていると、眠っていたかえでちゃんが起きてしまった。「叔母さんに任せなさい」と勃起してデカくなったち●ぽを奥まで咥えるかえでちゃん。そして射精したばかりの俺を押し倒し、生のち●ぽをかえでちゃんのアソコに挿れさせようとしてきて…！？</v>
      </c>
      <c r="W3111" s="14"/>
      <c r="X3111" s="14" t="str">
        <f>IFERROR(__xludf.DUMMYFUNCTION("""COMPUTED_VALUE"""),"有")</f>
        <v>有</v>
      </c>
      <c r="Y3111" s="8" t="str">
        <f>IFERROR(__xludf.DUMMYFUNCTION("""COMPUTED_VALUE"""),"P13まで")</f>
        <v>P13まで</v>
      </c>
      <c r="Z3111" s="7"/>
      <c r="AA3111" s="7"/>
      <c r="AB3111" s="7"/>
    </row>
    <row r="3112" ht="15.75" customHeight="1">
      <c r="A3112" s="153">
        <f>IFERROR(__xludf.DUMMYFUNCTION("""COMPUTED_VALUE"""),5138.0)</f>
        <v>5138</v>
      </c>
      <c r="B3112" s="152" t="str">
        <f>IFERROR(__xludf.DUMMYFUNCTION("""COMPUTED_VALUE"""),"確定")</f>
        <v>確定</v>
      </c>
      <c r="C3112" s="154">
        <f>IFERROR(__xludf.DUMMYFUNCTION("""COMPUTED_VALUE"""),45716.0)</f>
        <v>45716</v>
      </c>
      <c r="D3112" s="154">
        <f>IFERROR(__xludf.DUMMYFUNCTION("""COMPUTED_VALUE"""),45747.0)</f>
        <v>45747</v>
      </c>
      <c r="E3112" s="157">
        <f>IFERROR(__xludf.DUMMYFUNCTION("""COMPUTED_VALUE"""),323287.0)</f>
        <v>323287</v>
      </c>
      <c r="F3112" s="152" t="str">
        <f>IFERROR(__xludf.DUMMYFUNCTION("""COMPUTED_VALUE"""),"悪女の秘密のお仕事")</f>
        <v>悪女の秘密のお仕事</v>
      </c>
      <c r="G3112" s="153">
        <f>IFERROR(__xludf.DUMMYFUNCTION("""COMPUTED_VALUE"""),1.0)</f>
        <v>1</v>
      </c>
      <c r="H3112" s="152" t="str">
        <f>IFERROR(__xludf.DUMMYFUNCTION("""COMPUTED_VALUE"""),"夏野なえ")</f>
        <v>夏野なえ</v>
      </c>
      <c r="I3112" s="152" t="str">
        <f>IFERROR(__xludf.DUMMYFUNCTION("""COMPUTED_VALUE"""),"少女")</f>
        <v>少女</v>
      </c>
      <c r="J3112" s="157"/>
      <c r="K3112" s="152" t="str">
        <f>IFERROR(__xludf.DUMMYFUNCTION("""COMPUTED_VALUE"""),"ZERO-SUMコミックス")</f>
        <v>ZERO-SUMコミックス</v>
      </c>
      <c r="L3112" s="152" t="str">
        <f>IFERROR(__xludf.DUMMYFUNCTION("""COMPUTED_VALUE"""),"一迅社")</f>
        <v>一迅社</v>
      </c>
      <c r="M3112" s="154">
        <f>IFERROR(__xludf.DUMMYFUNCTION("""COMPUTED_VALUE"""),45809.0)</f>
        <v>45809</v>
      </c>
      <c r="N3112" s="59">
        <f>IFERROR(__xludf.DUMMYFUNCTION("""COMPUTED_VALUE"""),45838.0)</f>
        <v>45838</v>
      </c>
      <c r="O3112" s="152"/>
      <c r="P3112" s="152" t="str">
        <f>IFERROR(__xludf.DUMMYFUNCTION("""COMPUTED_VALUE"""),"否")</f>
        <v>否</v>
      </c>
      <c r="Q3112" s="190" t="str">
        <f>IFERROR(__xludf.DUMMYFUNCTION("""COMPUTED_VALUE"""),"悪役令嬢ですが、ヒロインに攻略されてますわ!? アンソロジーコミック: 3からの単話化")</f>
        <v>悪役令嬢ですが、ヒロインに攻略されてますわ!? アンソロジーコミック: 3からの単話化</v>
      </c>
      <c r="R3112" s="152"/>
      <c r="S3112" s="152" t="str">
        <f>IFERROR(__xludf.DUMMYFUNCTION("""COMPUTED_VALUE"""),"20250326_一迅社_悪女の秘密のお仕事")</f>
        <v>20250326_一迅社_悪女の秘密のお仕事</v>
      </c>
      <c r="T3112" s="152" t="str">
        <f>IFERROR(__xludf.DUMMYFUNCTION("""COMPUTED_VALUE"""),"格納済み")</f>
        <v>格納済み</v>
      </c>
      <c r="U3112" s="9" t="str">
        <f>IFERROR(__xludf.DUMMYFUNCTION("""COMPUTED_VALUE"""),"（C）夏野なえ／一迅社")</f>
        <v>（C）夏野なえ／一迅社</v>
      </c>
      <c r="V3112" s="8" t="str">
        <f>IFERROR(__xludf.DUMMYFUNCTION("""COMPUTED_VALUE"""),"仕事で悪女を演じていたら、「悪女を目指しているから学びたい」と令嬢に付きまとわれ!?　※この作品は『悪役令嬢ですが、ヒロインに攻略されてますわ!? アンソロジーコミック』3巻収録作品と同一の内容を単話版として再編集したものとなります。")</f>
        <v>仕事で悪女を演じていたら、「悪女を目指しているから学びたい」と令嬢に付きまとわれ!?　※この作品は『悪役令嬢ですが、ヒロインに攻略されてますわ!? アンソロジーコミック』3巻収録作品と同一の内容を単話版として再編集したものとなります。</v>
      </c>
      <c r="W3112" s="8" t="str">
        <f>IFERROR(__xludf.DUMMYFUNCTION("""COMPUTED_VALUE"""),"#REF!")</f>
        <v>#REF!</v>
      </c>
      <c r="X3112" s="8" t="str">
        <f>IFERROR(__xludf.DUMMYFUNCTION("""COMPUTED_VALUE"""),"有")</f>
        <v>有</v>
      </c>
      <c r="Y3112" s="8" t="str">
        <f>IFERROR(__xludf.DUMMYFUNCTION("""COMPUTED_VALUE"""),"P8まで")</f>
        <v>P8まで</v>
      </c>
      <c r="Z3112" s="7"/>
      <c r="AA3112" s="7"/>
      <c r="AB3112" s="7"/>
    </row>
    <row r="3113" ht="15.75" customHeight="1">
      <c r="A3113" s="153">
        <f>IFERROR(__xludf.DUMMYFUNCTION("""COMPUTED_VALUE"""),5153.0)</f>
        <v>5153</v>
      </c>
      <c r="B3113" s="152" t="str">
        <f>IFERROR(__xludf.DUMMYFUNCTION("""COMPUTED_VALUE"""),"確定")</f>
        <v>確定</v>
      </c>
      <c r="C3113" s="154">
        <f>IFERROR(__xludf.DUMMYFUNCTION("""COMPUTED_VALUE"""),45719.0)</f>
        <v>45719</v>
      </c>
      <c r="D3113" s="154">
        <f>IFERROR(__xludf.DUMMYFUNCTION("""COMPUTED_VALUE"""),45748.0)</f>
        <v>45748</v>
      </c>
      <c r="E3113" s="158">
        <f>IFERROR(__xludf.DUMMYFUNCTION("""COMPUTED_VALUE"""),320502.0)</f>
        <v>320502</v>
      </c>
      <c r="F3113" s="159" t="str">
        <f>IFERROR(__xludf.DUMMYFUNCTION("""COMPUTED_VALUE"""),"陰キャな部下は女性用風俗のNo.1俺様キャストでした")</f>
        <v>陰キャな部下は女性用風俗のNo.1俺様キャストでした</v>
      </c>
      <c r="G3113" s="152" t="str">
        <f>IFERROR(__xludf.DUMMYFUNCTION("""COMPUTED_VALUE"""),"1～3")</f>
        <v>1～3</v>
      </c>
      <c r="H3113" s="152" t="str">
        <f>IFERROR(__xludf.DUMMYFUNCTION("""COMPUTED_VALUE"""),"びた")</f>
        <v>びた</v>
      </c>
      <c r="I3113" s="152" t="str">
        <f>IFERROR(__xludf.DUMMYFUNCTION("""COMPUTED_VALUE"""),"TL")</f>
        <v>TL</v>
      </c>
      <c r="J3113" s="157"/>
      <c r="K3113" s="157"/>
      <c r="L3113" s="152" t="str">
        <f>IFERROR(__xludf.DUMMYFUNCTION("""COMPUTED_VALUE"""),"ナンバーナイン")</f>
        <v>ナンバーナイン</v>
      </c>
      <c r="M3113" s="154">
        <f>IFERROR(__xludf.DUMMYFUNCTION("""COMPUTED_VALUE"""),45772.0)</f>
        <v>45772</v>
      </c>
      <c r="N3113" s="59">
        <f>IFERROR(__xludf.DUMMYFUNCTION("""COMPUTED_VALUE"""),45832.0)</f>
        <v>45832</v>
      </c>
      <c r="O3113" s="152"/>
      <c r="P3113" s="190" t="str">
        <f>IFERROR(__xludf.DUMMYFUNCTION("""COMPUTED_VALUE"""),"可")</f>
        <v>可</v>
      </c>
      <c r="Q3113" s="152"/>
      <c r="R3113" s="152" t="str">
        <f>IFERROR(__xludf.DUMMYFUNCTION("""COMPUTED_VALUE"""),"コミットOK")</f>
        <v>コミットOK</v>
      </c>
      <c r="S3113" s="152" t="str">
        <f>IFERROR(__xludf.DUMMYFUNCTION("""COMPUTED_VALUE"""),"20250401_ナンバーナイン_陰キャな部下は女性用風俗のNo.1俺様キャストでした")</f>
        <v>20250401_ナンバーナイン_陰キャな部下は女性用風俗のNo.1俺様キャストでした</v>
      </c>
      <c r="T3113" s="152" t="str">
        <f>IFERROR(__xludf.DUMMYFUNCTION("""COMPUTED_VALUE"""),"格納済み")</f>
        <v>格納済み</v>
      </c>
      <c r="U3113" s="15" t="str">
        <f>IFERROR(__xludf.DUMMYFUNCTION("""COMPUTED_VALUE"""),"(C)びた/ナンバーナイン")</f>
        <v>(C)びた/ナンバーナイン</v>
      </c>
      <c r="V3113" s="8" t="str">
        <f>IFERROR(__xludf.DUMMYFUNCTION("""COMPUTED_VALUE"""),"職場での出会いのなさを嘆いていた会社員の彩未。
男性から強引にリードされたい…けど、職場にいるのはもっさりした陰キャだけ…。
そんな中、彩未は友人から女性用風俗(本番アリ)のチケットをプレゼントされる。
売上No.1の俺様系キャストを予約しホテルで待っていると、
そこへやってきたのは部下の陰キャ派遣社員・真咲だった!
部下とセックスするわけにはいかないと、
オイルマッサージだけお願いすることにした彩未。
だが、夜の仕事モードに入った真咲は俺様キャラに豹変する。
「アヤの体、全部俺に触らせろ」
前"&amp;"戯だけで女性をイかせ続け、失神させてしまうという真咲の愛撫により、
彩未は何度も何度もイかされた上に、勃起した真咲のモノが大きすぎて…!?
【全23ページ】")</f>
        <v>職場での出会いのなさを嘆いていた会社員の彩未。
男性から強引にリードされたい…けど、職場にいるのはもっさりした陰キャだけ…。
そんな中、彩未は友人から女性用風俗(本番アリ)のチケットをプレゼントされる。
売上No.1の俺様系キャストを予約しホテルで待っていると、
そこへやってきたのは部下の陰キャ派遣社員・真咲だった!
部下とセックスするわけにはいかないと、
オイルマッサージだけお願いすることにした彩未。
だが、夜の仕事モードに入った真咲は俺様キャラに豹変する。
「アヤの体、全部俺に触らせろ」
前戯だけで女性をイかせ続け、失神させてしまうという真咲の愛撫により、
彩未は何度も何度もイかされた上に、勃起した真咲のモノが大きすぎて…!?
【全23ページ】</v>
      </c>
      <c r="W3113" s="14"/>
      <c r="X3113" s="14" t="str">
        <f>IFERROR(__xludf.DUMMYFUNCTION("""COMPUTED_VALUE"""),"有")</f>
        <v>有</v>
      </c>
      <c r="Y3113" s="8" t="str">
        <f>IFERROR(__xludf.DUMMYFUNCTION("""COMPUTED_VALUE"""),"1巻無料")</f>
        <v>1巻無料</v>
      </c>
      <c r="Z3113" s="7"/>
      <c r="AA3113" s="7"/>
      <c r="AB3113" s="7"/>
    </row>
    <row r="3114" ht="15.75" customHeight="1">
      <c r="A3114" s="153">
        <f>IFERROR(__xludf.DUMMYFUNCTION("""COMPUTED_VALUE"""),5154.0)</f>
        <v>5154</v>
      </c>
      <c r="B3114" s="152" t="str">
        <f>IFERROR(__xludf.DUMMYFUNCTION("""COMPUTED_VALUE"""),"確定")</f>
        <v>確定</v>
      </c>
      <c r="C3114" s="154">
        <f>IFERROR(__xludf.DUMMYFUNCTION("""COMPUTED_VALUE"""),45719.0)</f>
        <v>45719</v>
      </c>
      <c r="D3114" s="154">
        <f>IFERROR(__xludf.DUMMYFUNCTION("""COMPUTED_VALUE"""),45748.0)</f>
        <v>45748</v>
      </c>
      <c r="E3114" s="158">
        <f>IFERROR(__xludf.DUMMYFUNCTION("""COMPUTED_VALUE"""),320485.0)</f>
        <v>320485</v>
      </c>
      <c r="F3114" s="159" t="str">
        <f>IFERROR(__xludf.DUMMYFUNCTION("""COMPUTED_VALUE"""),"陰キャな部下は女性用風俗のNo.1俺様キャストでした 【R18版】")</f>
        <v>陰キャな部下は女性用風俗のNo.1俺様キャストでした 【R18版】</v>
      </c>
      <c r="G3114" s="152" t="str">
        <f>IFERROR(__xludf.DUMMYFUNCTION("""COMPUTED_VALUE"""),"1～3")</f>
        <v>1～3</v>
      </c>
      <c r="H3114" s="152" t="str">
        <f>IFERROR(__xludf.DUMMYFUNCTION("""COMPUTED_VALUE"""),"びた")</f>
        <v>びた</v>
      </c>
      <c r="I3114" s="164" t="str">
        <f>IFERROR(__xludf.DUMMYFUNCTION("""COMPUTED_VALUE"""),"アダルトマンガ")</f>
        <v>アダルトマンガ</v>
      </c>
      <c r="J3114" s="166"/>
      <c r="K3114" s="157"/>
      <c r="L3114" s="152" t="str">
        <f>IFERROR(__xludf.DUMMYFUNCTION("""COMPUTED_VALUE"""),"ナンバーナイン")</f>
        <v>ナンバーナイン</v>
      </c>
      <c r="M3114" s="154">
        <f>IFERROR(__xludf.DUMMYFUNCTION("""COMPUTED_VALUE"""),45772.0)</f>
        <v>45772</v>
      </c>
      <c r="N3114" s="59">
        <f>IFERROR(__xludf.DUMMYFUNCTION("""COMPUTED_VALUE"""),45832.0)</f>
        <v>45832</v>
      </c>
      <c r="O3114" s="152"/>
      <c r="P3114" s="190" t="str">
        <f>IFERROR(__xludf.DUMMYFUNCTION("""COMPUTED_VALUE"""),"可")</f>
        <v>可</v>
      </c>
      <c r="Q3114" s="152"/>
      <c r="R3114" s="152" t="str">
        <f>IFERROR(__xludf.DUMMYFUNCTION("""COMPUTED_VALUE"""),"コミットOK")</f>
        <v>コミットOK</v>
      </c>
      <c r="S3114" s="152" t="str">
        <f>IFERROR(__xludf.DUMMYFUNCTION("""COMPUTED_VALUE"""),"20250401_ナンバーナイン_陰キャな部下は女性用風俗のNo.1俺様キャストでした 【R18版】")</f>
        <v>20250401_ナンバーナイン_陰キャな部下は女性用風俗のNo.1俺様キャストでした 【R18版】</v>
      </c>
      <c r="T3114" s="152" t="str">
        <f>IFERROR(__xludf.DUMMYFUNCTION("""COMPUTED_VALUE"""),"格納済み")</f>
        <v>格納済み</v>
      </c>
      <c r="U3114" s="15" t="str">
        <f>IFERROR(__xludf.DUMMYFUNCTION("""COMPUTED_VALUE"""),"(C)びた/ナンバーナイン")</f>
        <v>(C)びた/ナンバーナイン</v>
      </c>
      <c r="V3114" s="8" t="str">
        <f>IFERROR(__xludf.DUMMYFUNCTION("""COMPUTED_VALUE"""),"職場での出会いのなさを嘆いていた会社員の彩未。
男性から強引にリードされたい…けど、職場にいるのはもっさりした陰キャだけ…。
そんな中、彩未は友人から女性用風俗(本番アリ)のチケットをプレゼントされる。
売上No.1の俺様系キャストを予約しホテルで待っていると、
そこへやってきたのは部下の陰キャ派遣社員・真咲だった!
部下とセックスするわけにはいかないと、
オイルマッサージだけお願いすることにした彩未。
だが、夜の仕事モードに入った真咲は俺様キャラに豹変する。
「アヤの体、"&amp;"全部俺に触らせろ」
前戯だけで女性をイかせ続け、失神させてしまうという真咲の愛撫により、
彩未は何度も何度もイかされた上に、勃起した真咲のモノが大きすぎて…!?
【全23ページ】")</f>
        <v>職場での出会いのなさを嘆いていた会社員の彩未。
男性から強引にリードされたい…けど、職場にいるのはもっさりした陰キャだけ…。
そんな中、彩未は友人から女性用風俗(本番アリ)のチケットをプレゼントされる。
売上No.1の俺様系キャストを予約しホテルで待っていると、
そこへやってきたのは部下の陰キャ派遣社員・真咲だった!
部下とセックスするわけにはいかないと、
オイルマッサージだけお願いすることにした彩未。
だが、夜の仕事モードに入った真咲は俺様キャラに豹変する。
「アヤの体、全部俺に触らせろ」
前戯だけで女性をイかせ続け、失神させてしまうという真咲の愛撫により、
彩未は何度も何度もイかされた上に、勃起した真咲のモノが大きすぎて…!?
【全23ページ】</v>
      </c>
      <c r="W3114" s="14"/>
      <c r="X3114" s="14" t="str">
        <f>IFERROR(__xludf.DUMMYFUNCTION("""COMPUTED_VALUE"""),"有")</f>
        <v>有</v>
      </c>
      <c r="Y3114" s="8" t="str">
        <f>IFERROR(__xludf.DUMMYFUNCTION("""COMPUTED_VALUE"""),"1巻無料")</f>
        <v>1巻無料</v>
      </c>
      <c r="Z3114" s="7"/>
      <c r="AA3114" s="7"/>
      <c r="AB3114" s="7"/>
    </row>
    <row r="3115" ht="15.75" customHeight="1">
      <c r="A3115" s="153">
        <f>IFERROR(__xludf.DUMMYFUNCTION("""COMPUTED_VALUE"""),5158.0)</f>
        <v>5158</v>
      </c>
      <c r="B3115" s="152" t="str">
        <f>IFERROR(__xludf.DUMMYFUNCTION("""COMPUTED_VALUE"""),"確定")</f>
        <v>確定</v>
      </c>
      <c r="C3115" s="154">
        <f>IFERROR(__xludf.DUMMYFUNCTION("""COMPUTED_VALUE"""),45720.0)</f>
        <v>45720</v>
      </c>
      <c r="D3115" s="154">
        <f>IFERROR(__xludf.DUMMYFUNCTION("""COMPUTED_VALUE"""),45748.0)</f>
        <v>45748</v>
      </c>
      <c r="E3115" s="158">
        <f>IFERROR(__xludf.DUMMYFUNCTION("""COMPUTED_VALUE"""),320491.0)</f>
        <v>320491</v>
      </c>
      <c r="F3115" s="159" t="str">
        <f>IFERROR(__xludf.DUMMYFUNCTION("""COMPUTED_VALUE"""),"乙女ゲーム「クロ†ドラ ―黒い聖女と悪しき竜―」に異世界転生したけど無理ゲー、詰んだ。")</f>
        <v>乙女ゲーム「クロ†ドラ ―黒い聖女と悪しき竜―」に異世界転生したけど無理ゲー、詰んだ。</v>
      </c>
      <c r="G3115" s="152" t="str">
        <f>IFERROR(__xludf.DUMMYFUNCTION("""COMPUTED_VALUE"""),"1～4")</f>
        <v>1～4</v>
      </c>
      <c r="H3115" s="152" t="str">
        <f>IFERROR(__xludf.DUMMYFUNCTION("""COMPUTED_VALUE"""),"田中鬼退治")</f>
        <v>田中鬼退治</v>
      </c>
      <c r="I3115" s="152" t="str">
        <f>IFERROR(__xludf.DUMMYFUNCTION("""COMPUTED_VALUE"""),"TL")</f>
        <v>TL</v>
      </c>
      <c r="J3115" s="157"/>
      <c r="K3115" s="157"/>
      <c r="L3115" s="152" t="str">
        <f>IFERROR(__xludf.DUMMYFUNCTION("""COMPUTED_VALUE"""),"ナンバーナイン")</f>
        <v>ナンバーナイン</v>
      </c>
      <c r="M3115" s="154">
        <f>IFERROR(__xludf.DUMMYFUNCTION("""COMPUTED_VALUE"""),45772.0)</f>
        <v>45772</v>
      </c>
      <c r="N3115" s="59">
        <f>IFERROR(__xludf.DUMMYFUNCTION("""COMPUTED_VALUE"""),45832.0)</f>
        <v>45832</v>
      </c>
      <c r="O3115" s="152"/>
      <c r="P3115" s="152" t="str">
        <f>IFERROR(__xludf.DUMMYFUNCTION("""COMPUTED_VALUE"""),"可")</f>
        <v>可</v>
      </c>
      <c r="Q3115" s="152" t="str">
        <f>IFERROR(__xludf.DUMMYFUNCTION("""COMPUTED_VALUE"""),"素材は1～3巻目まで使用お願いいたします")</f>
        <v>素材は1～3巻目まで使用お願いいたします</v>
      </c>
      <c r="R3115" s="152" t="str">
        <f>IFERROR(__xludf.DUMMYFUNCTION("""COMPUTED_VALUE"""),"コミットOK")</f>
        <v>コミットOK</v>
      </c>
      <c r="S3115" s="152" t="str">
        <f>IFERROR(__xludf.DUMMYFUNCTION("""COMPUTED_VALUE"""),"20250401_ナンバーナイン_乙女ゲーム「クロ†ドラ ―黒い聖女と悪しき竜―」に異世界転生したけど無理ゲー、詰んだ。")</f>
        <v>20250401_ナンバーナイン_乙女ゲーム「クロ†ドラ ―黒い聖女と悪しき竜―」に異世界転生したけど無理ゲー、詰んだ。</v>
      </c>
      <c r="T3115" s="152" t="str">
        <f>IFERROR(__xludf.DUMMYFUNCTION("""COMPUTED_VALUE"""),"格納済み")</f>
        <v>格納済み</v>
      </c>
      <c r="U3115" s="15" t="str">
        <f>IFERROR(__xludf.DUMMYFUNCTION("""COMPUTED_VALUE"""),"(C)田中鬼退治/ナンバーナイン")</f>
        <v>(C)田中鬼退治/ナンバーナイン</v>
      </c>
      <c r="V3115" s="8" t="str">
        <f>IFERROR(__xludf.DUMMYFUNCTION("""COMPUTED_VALUE"""),"「俺の女にしてやる」
不慮の事故で命を落とし、プレイ中だった乙女ゲーム「クロ†ドラ」の世界に転生した主人公・ルルワ。
だが、攻略対象の一人・カインのルートは 「生死不明」 か 「死亡」 の二択という最悪の展開だった――！
生き延びるためにカインを避け、冷たく振る舞っていたルルワだったが、敵に襲われた彼を不意に助けてしまう。
ルルワの涙を見たカインは、「俺がその運命から解放してやるよ」と告げる。
目を覚ますと、そこは見覚えのある場所だった。
だが、何かが違う――。ルルワは気づく。これ"&amp;"は自分の知る「クロ†ドラ」じゃない。
ゲームのシナリオから外れた世界で、彼女の運命は大きく狂い始める――！
【24ページ】")</f>
        <v>「俺の女にしてやる」
不慮の事故で命を落とし、プレイ中だった乙女ゲーム「クロ†ドラ」の世界に転生した主人公・ルルワ。
だが、攻略対象の一人・カインのルートは 「生死不明」 か 「死亡」 の二択という最悪の展開だった――！
生き延びるためにカインを避け、冷たく振る舞っていたルルワだったが、敵に襲われた彼を不意に助けてしまう。
ルルワの涙を見たカインは、「俺がその運命から解放してやるよ」と告げる。
目を覚ますと、そこは見覚えのある場所だった。
だが、何かが違う――。ルルワは気づく。これは自分の知る「クロ†ドラ」じゃない。
ゲームのシナリオから外れた世界で、彼女の運命は大きく狂い始める――！
【24ページ】</v>
      </c>
      <c r="W3115" s="14"/>
      <c r="X3115" s="14" t="str">
        <f>IFERROR(__xludf.DUMMYFUNCTION("""COMPUTED_VALUE"""),"有")</f>
        <v>有</v>
      </c>
      <c r="Y3115" s="8" t="str">
        <f>IFERROR(__xludf.DUMMYFUNCTION("""COMPUTED_VALUE"""),"1巻無料")</f>
        <v>1巻無料</v>
      </c>
      <c r="Z3115" s="7"/>
      <c r="AA3115" s="7"/>
      <c r="AB3115" s="7"/>
    </row>
    <row r="3116" ht="15.75" customHeight="1">
      <c r="A3116" s="153">
        <f>IFERROR(__xludf.DUMMYFUNCTION("""COMPUTED_VALUE"""),5159.0)</f>
        <v>5159</v>
      </c>
      <c r="B3116" s="152" t="str">
        <f>IFERROR(__xludf.DUMMYFUNCTION("""COMPUTED_VALUE"""),"確定")</f>
        <v>確定</v>
      </c>
      <c r="C3116" s="154">
        <f>IFERROR(__xludf.DUMMYFUNCTION("""COMPUTED_VALUE"""),45720.0)</f>
        <v>45720</v>
      </c>
      <c r="D3116" s="154">
        <f>IFERROR(__xludf.DUMMYFUNCTION("""COMPUTED_VALUE"""),45748.0)</f>
        <v>45748</v>
      </c>
      <c r="E3116" s="158">
        <f>IFERROR(__xludf.DUMMYFUNCTION("""COMPUTED_VALUE"""),320477.0)</f>
        <v>320477</v>
      </c>
      <c r="F3116" s="159" t="str">
        <f>IFERROR(__xludf.DUMMYFUNCTION("""COMPUTED_VALUE"""),"乙女ゲーム「クロ†ドラ ―黒い聖女と悪しき竜―」に異世界転生したけど無理ゲー、詰んだ。【R-18版】")</f>
        <v>乙女ゲーム「クロ†ドラ ―黒い聖女と悪しき竜―」に異世界転生したけど無理ゲー、詰んだ。【R-18版】</v>
      </c>
      <c r="G3116" s="152" t="str">
        <f>IFERROR(__xludf.DUMMYFUNCTION("""COMPUTED_VALUE"""),"1～4")</f>
        <v>1～4</v>
      </c>
      <c r="H3116" s="152" t="str">
        <f>IFERROR(__xludf.DUMMYFUNCTION("""COMPUTED_VALUE"""),"田中鬼退治")</f>
        <v>田中鬼退治</v>
      </c>
      <c r="I3116" s="164" t="str">
        <f>IFERROR(__xludf.DUMMYFUNCTION("""COMPUTED_VALUE"""),"アダルトマンガ")</f>
        <v>アダルトマンガ</v>
      </c>
      <c r="J3116" s="166"/>
      <c r="K3116" s="157"/>
      <c r="L3116" s="152" t="str">
        <f>IFERROR(__xludf.DUMMYFUNCTION("""COMPUTED_VALUE"""),"ナンバーナイン")</f>
        <v>ナンバーナイン</v>
      </c>
      <c r="M3116" s="154">
        <f>IFERROR(__xludf.DUMMYFUNCTION("""COMPUTED_VALUE"""),45772.0)</f>
        <v>45772</v>
      </c>
      <c r="N3116" s="59">
        <f>IFERROR(__xludf.DUMMYFUNCTION("""COMPUTED_VALUE"""),45832.0)</f>
        <v>45832</v>
      </c>
      <c r="O3116" s="152"/>
      <c r="P3116" s="152" t="str">
        <f>IFERROR(__xludf.DUMMYFUNCTION("""COMPUTED_VALUE"""),"可")</f>
        <v>可</v>
      </c>
      <c r="Q3116" s="152" t="str">
        <f>IFERROR(__xludf.DUMMYFUNCTION("""COMPUTED_VALUE"""),"素材は1～3巻目まで使用お願いいたします")</f>
        <v>素材は1～3巻目まで使用お願いいたします</v>
      </c>
      <c r="R3116" s="152" t="str">
        <f>IFERROR(__xludf.DUMMYFUNCTION("""COMPUTED_VALUE"""),"コミットOK")</f>
        <v>コミットOK</v>
      </c>
      <c r="S3116" s="152" t="str">
        <f>IFERROR(__xludf.DUMMYFUNCTION("""COMPUTED_VALUE"""),"20250401_ナンバーナイン_乙女ゲーム「クロ†ドラ ―黒い聖女と悪しき竜―」に異世界転生したけど無理ゲー、詰んだ。【R-18版】")</f>
        <v>20250401_ナンバーナイン_乙女ゲーム「クロ†ドラ ―黒い聖女と悪しき竜―」に異世界転生したけど無理ゲー、詰んだ。【R-18版】</v>
      </c>
      <c r="T3116" s="152" t="str">
        <f>IFERROR(__xludf.DUMMYFUNCTION("""COMPUTED_VALUE"""),"格納済み")</f>
        <v>格納済み</v>
      </c>
      <c r="U3116" s="15" t="str">
        <f>IFERROR(__xludf.DUMMYFUNCTION("""COMPUTED_VALUE"""),"(C)田中鬼退治/ナンバーナイン")</f>
        <v>(C)田中鬼退治/ナンバーナイン</v>
      </c>
      <c r="V3116" s="8" t="str">
        <f>IFERROR(__xludf.DUMMYFUNCTION("""COMPUTED_VALUE"""),"「俺の女にしてやる」
不慮の事故で命を落とし、プレイ中だった乙女ゲーム「クロ†ドラ」の世界に転生した主人公・ルルワ。
だが、攻略対象の一人・カインのルートは 「生死不明」 か 「死亡」 の二択という最悪の展開だった――！
生き延びるためにカインを避け、冷たく振る舞っていたルルワだったが、敵に襲われた彼を不意に助けてしまう。
ルルワの涙を見たカインは、「俺がその運命から解放してやるよ」と告げる。
目を覚ますと、そこは見覚えのある場所だった。
だが、何かが違う――。ルルワは気づく。これ"&amp;"は自分の知る「クロ†ドラ」じゃない。
ゲームのシナリオから外れた世界で、彼女の運命は大きく狂い始める――！
【24ページ】")</f>
        <v>「俺の女にしてやる」
不慮の事故で命を落とし、プレイ中だった乙女ゲーム「クロ†ドラ」の世界に転生した主人公・ルルワ。
だが、攻略対象の一人・カインのルートは 「生死不明」 か 「死亡」 の二択という最悪の展開だった――！
生き延びるためにカインを避け、冷たく振る舞っていたルルワだったが、敵に襲われた彼を不意に助けてしまう。
ルルワの涙を見たカインは、「俺がその運命から解放してやるよ」と告げる。
目を覚ますと、そこは見覚えのある場所だった。
だが、何かが違う――。ルルワは気づく。これは自分の知る「クロ†ドラ」じゃない。
ゲームのシナリオから外れた世界で、彼女の運命は大きく狂い始める――！
【24ページ】</v>
      </c>
      <c r="W3116" s="14"/>
      <c r="X3116" s="14" t="str">
        <f>IFERROR(__xludf.DUMMYFUNCTION("""COMPUTED_VALUE"""),"有")</f>
        <v>有</v>
      </c>
      <c r="Y3116" s="8" t="str">
        <f>IFERROR(__xludf.DUMMYFUNCTION("""COMPUTED_VALUE"""),"1巻無料")</f>
        <v>1巻無料</v>
      </c>
      <c r="Z3116" s="7"/>
      <c r="AA3116" s="7"/>
      <c r="AB3116" s="7"/>
    </row>
    <row r="3117" ht="15.75" customHeight="1">
      <c r="A3117" s="153">
        <f>IFERROR(__xludf.DUMMYFUNCTION("""COMPUTED_VALUE"""),5180.0)</f>
        <v>5180</v>
      </c>
      <c r="B3117" s="152" t="str">
        <f>IFERROR(__xludf.DUMMYFUNCTION("""COMPUTED_VALUE"""),"確定")</f>
        <v>確定</v>
      </c>
      <c r="C3117" s="154">
        <f>IFERROR(__xludf.DUMMYFUNCTION("""COMPUTED_VALUE"""),45720.0)</f>
        <v>45720</v>
      </c>
      <c r="D3117" s="154">
        <f>IFERROR(__xludf.DUMMYFUNCTION("""COMPUTED_VALUE"""),45748.0)</f>
        <v>45748</v>
      </c>
      <c r="E3117" s="158">
        <f>IFERROR(__xludf.DUMMYFUNCTION("""COMPUTED_VALUE"""),320465.0)</f>
        <v>320465</v>
      </c>
      <c r="F3117" s="159" t="str">
        <f>IFERROR(__xludf.DUMMYFUNCTION("""COMPUTED_VALUE"""),"快感はボーダーレス！？ 異種族セラピストのとろあまカウンセリング【分冊版】")</f>
        <v>快感はボーダーレス！？ 異種族セラピストのとろあまカウンセリング【分冊版】</v>
      </c>
      <c r="G3117" s="152" t="str">
        <f>IFERROR(__xludf.DUMMYFUNCTION("""COMPUTED_VALUE"""),"1～2")</f>
        <v>1～2</v>
      </c>
      <c r="H3117" s="152" t="str">
        <f>IFERROR(__xludf.DUMMYFUNCTION("""COMPUTED_VALUE"""),"いわはたたきよ")</f>
        <v>いわはたたきよ</v>
      </c>
      <c r="I3117" s="152" t="str">
        <f>IFERROR(__xludf.DUMMYFUNCTION("""COMPUTED_VALUE"""),"TL")</f>
        <v>TL</v>
      </c>
      <c r="J3117" s="157"/>
      <c r="K3117" s="152" t="str">
        <f>IFERROR(__xludf.DUMMYFUNCTION("""COMPUTED_VALUE"""),"ルネッタコミックス")</f>
        <v>ルネッタコミックス</v>
      </c>
      <c r="L3117" s="152" t="str">
        <f>IFERROR(__xludf.DUMMYFUNCTION("""COMPUTED_VALUE"""),"ハーパーコリンズ・ジャパン")</f>
        <v>ハーパーコリンズ・ジャパン</v>
      </c>
      <c r="M3117" s="154">
        <f>IFERROR(__xludf.DUMMYFUNCTION("""COMPUTED_VALUE"""),45772.0)</f>
        <v>45772</v>
      </c>
      <c r="N3117" s="59">
        <f>IFERROR(__xludf.DUMMYFUNCTION("""COMPUTED_VALUE"""),45834.0)</f>
        <v>45834</v>
      </c>
      <c r="O3117" s="152"/>
      <c r="P3117" s="190" t="str">
        <f>IFERROR(__xludf.DUMMYFUNCTION("""COMPUTED_VALUE"""),"可")</f>
        <v>可</v>
      </c>
      <c r="Q3117" s="152"/>
      <c r="R3117" s="152" t="str">
        <f>IFERROR(__xludf.DUMMYFUNCTION("""COMPUTED_VALUE"""),"コミットNG")</f>
        <v>コミットNG</v>
      </c>
      <c r="S3117" s="152" t="str">
        <f>IFERROR(__xludf.DUMMYFUNCTION("""COMPUTED_VALUE"""),"20250401_ハーパーコリンズ・ジャパン_快感はボーダーレス！？ 異種族セラピストのとろあまカウンセリング")</f>
        <v>20250401_ハーパーコリンズ・ジャパン_快感はボーダーレス！？ 異種族セラピストのとろあまカウンセリング</v>
      </c>
      <c r="T3117" s="152" t="str">
        <f>IFERROR(__xludf.DUMMYFUNCTION("""COMPUTED_VALUE"""),"格納済み")</f>
        <v>格納済み</v>
      </c>
      <c r="U3117" s="15" t="str">
        <f>IFERROR(__xludf.DUMMYFUNCTION("""COMPUTED_VALUE"""),"（C)いわはたたきよ／ハーパーコリンズ・ジャパン")</f>
        <v>（C)いわはたたきよ／ハーパーコリンズ・ジャパン</v>
      </c>
      <c r="V3117" s="8" t="str">
        <f>IFERROR(__xludf.DUMMYFUNCTION("""COMPUTED_VALUE"""),"性に関するお悩みをお持ちのかた、顔も身体もテクニックも国宝級のセラピストがめくるめく時間をご提供いたします――
人間や魔物、獣人…あらゆる種族が共存する世界。そんな混沌とした社会で、性に悩みを持つ女性に人気の店がある。
艶事に特化した人外セラピストたちが集う女性向け風俗店（通称：女風）『アルタイル』
日常では体験できない極上の癒やしを求めて店を利用する今回のお客様は――。
Karte:01
引っ込み思案でHの経験がないほのかは、どうしても興味を抑えることができず初めて女風を利用してみるこ"&amp;"とに。待ち合わせに現れたのは、リクと名乗る長身のインキュバスだった。
ほのかの緊張をほぐすように、リクは甘く優しくマッサージを施していく。それが次第に愛撫に変わり、ほのかはだんだん蕩けるような感覚に陥ってしまう。それを嬉しそうに見つめるリクには、ある秘密があって……。")</f>
        <v>性に関するお悩みをお持ちのかた、顔も身体もテクニックも国宝級のセラピストがめくるめく時間をご提供いたします――
人間や魔物、獣人…あらゆる種族が共存する世界。そんな混沌とした社会で、性に悩みを持つ女性に人気の店がある。
艶事に特化した人外セラピストたちが集う女性向け風俗店（通称：女風）『アルタイル』
日常では体験できない極上の癒やしを求めて店を利用する今回のお客様は――。
Karte:01
引っ込み思案でHの経験がないほのかは、どうしても興味を抑えることができず初めて女風を利用してみることに。待ち合わせに現れたのは、リクと名乗る長身のインキュバスだった。
ほのかの緊張をほぐすように、リクは甘く優しくマッサージを施していく。それが次第に愛撫に変わり、ほのかはだんだん蕩けるような感覚に陥ってしまう。それを嬉しそうに見つめるリクには、ある秘密があって……。</v>
      </c>
      <c r="W3117" s="14"/>
      <c r="X3117" s="14" t="str">
        <f>IFERROR(__xludf.DUMMYFUNCTION("""COMPUTED_VALUE"""),"有")</f>
        <v>有</v>
      </c>
      <c r="Y3117" s="8" t="str">
        <f>IFERROR(__xludf.DUMMYFUNCTION("""COMPUTED_VALUE"""),"2025/5/8まで1巻無料")</f>
        <v>2025/5/8まで1巻無料</v>
      </c>
      <c r="Z3117" s="7"/>
      <c r="AA3117" s="7"/>
      <c r="AB3117" s="7"/>
    </row>
    <row r="3118" ht="15.75" customHeight="1">
      <c r="A3118" s="153">
        <f>IFERROR(__xludf.DUMMYFUNCTION("""COMPUTED_VALUE"""),5186.0)</f>
        <v>5186</v>
      </c>
      <c r="B3118" s="152" t="str">
        <f>IFERROR(__xludf.DUMMYFUNCTION("""COMPUTED_VALUE"""),"確定")</f>
        <v>確定</v>
      </c>
      <c r="C3118" s="154">
        <f>IFERROR(__xludf.DUMMYFUNCTION("""COMPUTED_VALUE"""),45721.0)</f>
        <v>45721</v>
      </c>
      <c r="D3118" s="154">
        <f>IFERROR(__xludf.DUMMYFUNCTION("""COMPUTED_VALUE"""),45744.0)</f>
        <v>45744</v>
      </c>
      <c r="E3118" s="158">
        <f>IFERROR(__xludf.DUMMYFUNCTION("""COMPUTED_VALUE"""),319674.0)</f>
        <v>319674</v>
      </c>
      <c r="F3118" s="159" t="str">
        <f>IFERROR(__xludf.DUMMYFUNCTION("""COMPUTED_VALUE"""),"【単話】魔力がないからと面倒事を押しつけられた私、次の仕事は公爵夫人らしいです")</f>
        <v>【単話】魔力がないからと面倒事を押しつけられた私、次の仕事は公爵夫人らしいです</v>
      </c>
      <c r="G3118" s="152" t="str">
        <f>IFERROR(__xludf.DUMMYFUNCTION("""COMPUTED_VALUE"""),"1～6")</f>
        <v>1～6</v>
      </c>
      <c r="H3118" s="152" t="str">
        <f>IFERROR(__xludf.DUMMYFUNCTION("""COMPUTED_VALUE"""),"ここあ 辺野夏子 秋鹿ユギリ")</f>
        <v>ここあ 辺野夏子 秋鹿ユギリ</v>
      </c>
      <c r="I3118" s="152" t="str">
        <f>IFERROR(__xludf.DUMMYFUNCTION("""COMPUTED_VALUE"""),"少女")</f>
        <v>少女</v>
      </c>
      <c r="J3118" s="157"/>
      <c r="K3118" s="157"/>
      <c r="L3118" s="152" t="str">
        <f>IFERROR(__xludf.DUMMYFUNCTION("""COMPUTED_VALUE"""),"KADOKAWA")</f>
        <v>KADOKAWA</v>
      </c>
      <c r="M3118" s="154">
        <f>IFERROR(__xludf.DUMMYFUNCTION("""COMPUTED_VALUE"""),45764.0)</f>
        <v>45764</v>
      </c>
      <c r="N3118" s="23">
        <f>IFERROR(__xludf.DUMMYFUNCTION("""COMPUTED_VALUE"""),45855.0)</f>
        <v>45855</v>
      </c>
      <c r="O3118" s="152"/>
      <c r="P3118" s="190" t="str">
        <f>IFERROR(__xludf.DUMMYFUNCTION("""COMPUTED_VALUE"""),"否")</f>
        <v>否</v>
      </c>
      <c r="Q3118" s="190"/>
      <c r="R3118" s="152"/>
      <c r="S3118" s="152" t="str">
        <f>IFERROR(__xludf.DUMMYFUNCTION("""COMPUTED_VALUE"""),"20250327_KADOKAWA_魔力がないからと面倒事を押しつけられた私、次の仕事は公爵夫人らしいです")</f>
        <v>20250327_KADOKAWA_魔力がないからと面倒事を押しつけられた私、次の仕事は公爵夫人らしいです</v>
      </c>
      <c r="T3118" s="152" t="str">
        <f>IFERROR(__xludf.DUMMYFUNCTION("""COMPUTED_VALUE"""),"格納済み")</f>
        <v>格納済み</v>
      </c>
      <c r="U3118" s="15" t="str">
        <f>IFERROR(__xludf.DUMMYFUNCTION("""COMPUTED_VALUE"""),"ⒸCocoa (c)Natsuko Heno, Yugiri Aica")</f>
        <v>ⒸCocoa (c)Natsuko Heno, Yugiri Aica</v>
      </c>
      <c r="V3118" s="8" t="str">
        <f>IFERROR(__xludf.DUMMYFUNCTION("""COMPUTED_VALUE"""),"魔力が少ないせいで、家族に竜の世話係という過酷な仕事を押し付けられた伯爵令嬢のアルジェリータ。さらに老公爵へと嫁がされることになるが、その孫マーガスから訃報を知らされ、無職の危機!すると「俺と結婚すればよい」彼の妻となることに!?愛竜の世話係を任されあくまで契約結婚だと思っていたのに、彼は本物の妻として扱ってきて……。")</f>
        <v>魔力が少ないせいで、家族に竜の世話係という過酷な仕事を押し付けられた伯爵令嬢のアルジェリータ。さらに老公爵へと嫁がされることになるが、その孫マーガスから訃報を知らされ、無職の危機!すると「俺と結婚すればよい」彼の妻となることに!?愛竜の世話係を任されあくまで契約結婚だと思っていたのに、彼は本物の妻として扱ってきて……。</v>
      </c>
      <c r="W3118" s="14"/>
      <c r="X3118" s="14" t="str">
        <f>IFERROR(__xludf.DUMMYFUNCTION("""COMPUTED_VALUE"""),"有")</f>
        <v>有</v>
      </c>
      <c r="Y3118" s="8" t="str">
        <f>IFERROR(__xludf.DUMMYFUNCTION("""COMPUTED_VALUE"""),"2025/4/30まで1~3巻無料")</f>
        <v>2025/4/30まで1~3巻無料</v>
      </c>
      <c r="Z3118" s="7"/>
      <c r="AA3118" s="7"/>
      <c r="AB3118" s="7"/>
    </row>
    <row r="3119" ht="15.75" customHeight="1">
      <c r="A3119" s="153">
        <f>IFERROR(__xludf.DUMMYFUNCTION("""COMPUTED_VALUE"""),5189.0)</f>
        <v>5189</v>
      </c>
      <c r="B3119" s="152" t="str">
        <f>IFERROR(__xludf.DUMMYFUNCTION("""COMPUTED_VALUE"""),"確定")</f>
        <v>確定</v>
      </c>
      <c r="C3119" s="154">
        <f>IFERROR(__xludf.DUMMYFUNCTION("""COMPUTED_VALUE"""),45722.0)</f>
        <v>45722</v>
      </c>
      <c r="D3119" s="154">
        <f>IFERROR(__xludf.DUMMYFUNCTION("""COMPUTED_VALUE"""),45749.0)</f>
        <v>45749</v>
      </c>
      <c r="E3119" s="158">
        <f>IFERROR(__xludf.DUMMYFUNCTION("""COMPUTED_VALUE"""),320460.0)</f>
        <v>320460</v>
      </c>
      <c r="F3119" s="159" t="str">
        <f>IFERROR(__xludf.DUMMYFUNCTION("""COMPUTED_VALUE"""),"愛が重い年下カレは私だけの求愛モンスター")</f>
        <v>愛が重い年下カレは私だけの求愛モンスター</v>
      </c>
      <c r="G3119" s="152" t="str">
        <f>IFERROR(__xludf.DUMMYFUNCTION("""COMPUTED_VALUE"""),"1～3")</f>
        <v>1～3</v>
      </c>
      <c r="H3119" s="152" t="str">
        <f>IFERROR(__xludf.DUMMYFUNCTION("""COMPUTED_VALUE"""),"すみの┴あさぎ千夜春┴中条うに")</f>
        <v>すみの┴あさぎ千夜春┴中条うに</v>
      </c>
      <c r="I3119" s="152" t="str">
        <f>IFERROR(__xludf.DUMMYFUNCTION("""COMPUTED_VALUE"""),"TL")</f>
        <v>TL</v>
      </c>
      <c r="J3119" s="157"/>
      <c r="K3119" s="163" t="str">
        <f>IFERROR(__xludf.DUMMYFUNCTION("""COMPUTED_VALUE"""),"lou lou")</f>
        <v>lou lou</v>
      </c>
      <c r="L3119" s="152" t="str">
        <f>IFERROR(__xludf.DUMMYFUNCTION("""COMPUTED_VALUE"""),"渋谷六花舎")</f>
        <v>渋谷六花舎</v>
      </c>
      <c r="M3119" s="154">
        <f>IFERROR(__xludf.DUMMYFUNCTION("""COMPUTED_VALUE"""),45772.0)</f>
        <v>45772</v>
      </c>
      <c r="N3119" s="59">
        <f>IFERROR(__xludf.DUMMYFUNCTION("""COMPUTED_VALUE"""),45862.0)</f>
        <v>45862</v>
      </c>
      <c r="O3119" s="152"/>
      <c r="P3119" s="190" t="str">
        <f>IFERROR(__xludf.DUMMYFUNCTION("""COMPUTED_VALUE"""),"可")</f>
        <v>可</v>
      </c>
      <c r="Q3119" s="152"/>
      <c r="R3119" s="152" t="str">
        <f>IFERROR(__xludf.DUMMYFUNCTION("""COMPUTED_VALUE"""),"コミットOK")</f>
        <v>コミットOK</v>
      </c>
      <c r="S3119" s="152" t="str">
        <f>IFERROR(__xludf.DUMMYFUNCTION("""COMPUTED_VALUE"""),"20250401_渋谷六花舎_愛が重い年下カレは私だけの求愛モンスター")</f>
        <v>20250401_渋谷六花舎_愛が重い年下カレは私だけの求愛モンスター</v>
      </c>
      <c r="T3119" s="152" t="str">
        <f>IFERROR(__xludf.DUMMYFUNCTION("""COMPUTED_VALUE"""),"格納済み")</f>
        <v>格納済み</v>
      </c>
      <c r="U3119" s="15" t="str">
        <f>IFERROR(__xludf.DUMMYFUNCTION("""COMPUTED_VALUE"""),"（C）すみの/あさぎ千夜春/中条うに/lou lou")</f>
        <v>（C）すみの/あさぎ千夜春/中条うに/lou lou</v>
      </c>
      <c r="V3119" s="8" t="str">
        <f>IFERROR(__xludf.DUMMYFUNCTION("""COMPUTED_VALUE"""),"「僕がどれだけあなたを好きか 思い知らせてあげる」息もできないほどに口付けられ、年下カレの10年分の劣情を刻み込まれる――大手商社で働くアラサーOL・松来ひより。仕事に真面目でのんびりした性格も相まって男性経験はゼロ。男っ気がないひよりを心配した友人から合コンに誘われ、お持ち帰りされそうになったところを見知らぬ年下の男の子・玲央に助けられる。だが、玲央はひよりのことをよく知っているようで――？「10年前からずっとひよちゃんだけ」「僕の初恋はひよちゃんなんだよ」粘着＆執着高めの年下男子との焦れラブ溺愛ストー"&amp;"リー！")</f>
        <v>「僕がどれだけあなたを好きか 思い知らせてあげる」息もできないほどに口付けられ、年下カレの10年分の劣情を刻み込まれる――大手商社で働くアラサーOL・松来ひより。仕事に真面目でのんびりした性格も相まって男性経験はゼロ。男っ気がないひよりを心配した友人から合コンに誘われ、お持ち帰りされそうになったところを見知らぬ年下の男の子・玲央に助けられる。だが、玲央はひよりのことをよく知っているようで――？「10年前からずっとひよちゃんだけ」「僕の初恋はひよちゃんなんだよ」粘着＆執着高めの年下男子との焦れラブ溺愛ストーリー！</v>
      </c>
      <c r="W3119" s="14"/>
      <c r="X3119" s="14" t="str">
        <f>IFERROR(__xludf.DUMMYFUNCTION("""COMPUTED_VALUE"""),"有")</f>
        <v>有</v>
      </c>
      <c r="Y3119" s="8" t="str">
        <f>IFERROR(__xludf.DUMMYFUNCTION("""COMPUTED_VALUE"""),"2025/5/12まで1巻無料")</f>
        <v>2025/5/12まで1巻無料</v>
      </c>
      <c r="Z3119" s="7"/>
      <c r="AA3119" s="7"/>
      <c r="AB3119" s="7"/>
    </row>
    <row r="3120" ht="15.75" customHeight="1">
      <c r="A3120" s="153">
        <f>IFERROR(__xludf.DUMMYFUNCTION("""COMPUTED_VALUE"""),5203.0)</f>
        <v>5203</v>
      </c>
      <c r="B3120" s="152" t="str">
        <f>IFERROR(__xludf.DUMMYFUNCTION("""COMPUTED_VALUE"""),"確定")</f>
        <v>確定</v>
      </c>
      <c r="C3120" s="154">
        <f>IFERROR(__xludf.DUMMYFUNCTION("""COMPUTED_VALUE"""),45722.0)</f>
        <v>45722</v>
      </c>
      <c r="D3120" s="154">
        <f>IFERROR(__xludf.DUMMYFUNCTION("""COMPUTED_VALUE"""),45747.0)</f>
        <v>45747</v>
      </c>
      <c r="E3120" s="155">
        <f>IFERROR(__xludf.DUMMYFUNCTION("""COMPUTED_VALUE"""),320588.0)</f>
        <v>320588</v>
      </c>
      <c r="F3120" s="156" t="str">
        <f>IFERROR(__xludf.DUMMYFUNCTION("""COMPUTED_VALUE"""),"帝都の隠し巫女 ～式神付き没落令嬢は、あやかしが視えない陰陽師の使用人になる～【単話】")</f>
        <v>帝都の隠し巫女 ～式神付き没落令嬢は、あやかしが視えない陰陽師の使用人になる～【単話】</v>
      </c>
      <c r="G3120" s="152" t="str">
        <f>IFERROR(__xludf.DUMMYFUNCTION("""COMPUTED_VALUE"""),"1～3")</f>
        <v>1～3</v>
      </c>
      <c r="H3120" s="152" t="str">
        <f>IFERROR(__xludf.DUMMYFUNCTION("""COMPUTED_VALUE"""),"柊一葉┴條┴くらの")</f>
        <v>柊一葉┴條┴くらの</v>
      </c>
      <c r="I3120" s="152" t="str">
        <f>IFERROR(__xludf.DUMMYFUNCTION("""COMPUTED_VALUE"""),"女性")</f>
        <v>女性</v>
      </c>
      <c r="J3120" s="157"/>
      <c r="K3120" s="157"/>
      <c r="L3120" s="152" t="str">
        <f>IFERROR(__xludf.DUMMYFUNCTION("""COMPUTED_VALUE"""),"小学館")</f>
        <v>小学館</v>
      </c>
      <c r="M3120" s="154">
        <f>IFERROR(__xludf.DUMMYFUNCTION("""COMPUTED_VALUE"""),45776.0)</f>
        <v>45776</v>
      </c>
      <c r="N3120" s="59">
        <f>IFERROR(__xludf.DUMMYFUNCTION("""COMPUTED_VALUE"""),45805.0)</f>
        <v>45805</v>
      </c>
      <c r="O3120" s="152"/>
      <c r="P3120" s="152" t="str">
        <f>IFERROR(__xludf.DUMMYFUNCTION("""COMPUTED_VALUE"""),"可")</f>
        <v>可</v>
      </c>
      <c r="Q3120" s="152" t="str">
        <f>IFERROR(__xludf.DUMMYFUNCTION("""COMPUTED_VALUE"""),"・先行延長の提案は可能")</f>
        <v>・先行延長の提案は可能</v>
      </c>
      <c r="R3120" s="152" t="str">
        <f>IFERROR(__xludf.DUMMYFUNCTION("""COMPUTED_VALUE"""),"コミットNG")</f>
        <v>コミットNG</v>
      </c>
      <c r="S3120" s="152" t="str">
        <f>IFERROR(__xludf.DUMMYFUNCTION("""COMPUTED_VALUE"""),"20250325_小学館_帝都の隠し巫女 ～式神付き没落令嬢は、あやかしが視えない陰陽師の使用人になる～【単話】")</f>
        <v>20250325_小学館_帝都の隠し巫女 ～式神付き没落令嬢は、あやかしが視えない陰陽師の使用人になる～【単話】</v>
      </c>
      <c r="T3120" s="152" t="str">
        <f>IFERROR(__xludf.DUMMYFUNCTION("""COMPUTED_VALUE"""),"格納済み")</f>
        <v>格納済み</v>
      </c>
      <c r="U3120" s="15" t="str">
        <f>IFERROR(__xludf.DUMMYFUNCTION("""COMPUTED_VALUE"""),"Ⓒ柊一葉・條・くらの / 小学館")</f>
        <v>Ⓒ柊一葉・條・くらの / 小学館</v>
      </c>
      <c r="V3120" s="8" t="str">
        <f>IFERROR(__xludf.DUMMYFUNCTION("""COMPUTED_VALUE"""),"妖怪が視えない呪術医×押しかけ使用人？ 明治あやかし浪漫
「巫女」の力を持つものの、
両親と死別し、実家を乗っ取られた滝沢瑠璃。
使用人同然に扱われていたある日、
滝沢家に「帝都一の呪術医」という青年
土志田泉が訪れる。
ところが泉は、瑠璃にも見える妖怪たちが
まったく視えていないようで…？
小学館初登場！ 気鋭の漫画家くらの先生が描く
明治陰陽ファンタジー、開幕!!")</f>
        <v>妖怪が視えない呪術医×押しかけ使用人？ 明治あやかし浪漫
「巫女」の力を持つものの、
両親と死別し、実家を乗っ取られた滝沢瑠璃。
使用人同然に扱われていたある日、
滝沢家に「帝都一の呪術医」という青年
土志田泉が訪れる。
ところが泉は、瑠璃にも見える妖怪たちが
まったく視えていないようで…？
小学館初登場！ 気鋭の漫画家くらの先生が描く
明治陰陽ファンタジー、開幕!!</v>
      </c>
      <c r="W3120" s="14"/>
      <c r="X3120" s="14" t="str">
        <f>IFERROR(__xludf.DUMMYFUNCTION("""COMPUTED_VALUE"""),"有")</f>
        <v>有</v>
      </c>
      <c r="Y3120" s="8" t="str">
        <f>IFERROR(__xludf.DUMMYFUNCTION("""COMPUTED_VALUE"""),"P6まで")</f>
        <v>P6まで</v>
      </c>
      <c r="Z3120" s="7"/>
      <c r="AA3120" s="7"/>
      <c r="AB3120" s="7"/>
    </row>
    <row r="3121" ht="15.75" customHeight="1">
      <c r="A3121" s="153">
        <f>IFERROR(__xludf.DUMMYFUNCTION("""COMPUTED_VALUE"""),5234.0)</f>
        <v>5234</v>
      </c>
      <c r="B3121" s="152" t="str">
        <f>IFERROR(__xludf.DUMMYFUNCTION("""COMPUTED_VALUE"""),"確定")</f>
        <v>確定</v>
      </c>
      <c r="C3121" s="154">
        <f>IFERROR(__xludf.DUMMYFUNCTION("""COMPUTED_VALUE"""),45728.0)</f>
        <v>45728</v>
      </c>
      <c r="D3121" s="154">
        <f>IFERROR(__xludf.DUMMYFUNCTION("""COMPUTED_VALUE"""),45743.0)</f>
        <v>45743</v>
      </c>
      <c r="E3121" s="158">
        <f>IFERROR(__xludf.DUMMYFUNCTION("""COMPUTED_VALUE"""),319996.0)</f>
        <v>319996</v>
      </c>
      <c r="F3121" s="159" t="str">
        <f>IFERROR(__xludf.DUMMYFUNCTION("""COMPUTED_VALUE"""),"タナトス～死神さまの意のままに～【タテヨミ】")</f>
        <v>タナトス～死神さまの意のままに～【タテヨミ】</v>
      </c>
      <c r="G3121" s="152" t="str">
        <f>IFERROR(__xludf.DUMMYFUNCTION("""COMPUTED_VALUE"""),"1～19")</f>
        <v>1～19</v>
      </c>
      <c r="H3121" s="152" t="str">
        <f>IFERROR(__xludf.DUMMYFUNCTION("""COMPUTED_VALUE"""),"作家：作者 EK / 作画 SSOS / 原作 TRAVIA")</f>
        <v>作家：作者 EK / 作画 SSOS / 原作 TRAVIA</v>
      </c>
      <c r="I3121" s="152" t="str">
        <f>IFERROR(__xludf.DUMMYFUNCTION("""COMPUTED_VALUE"""),"BL")</f>
        <v>BL</v>
      </c>
      <c r="J3121" s="157"/>
      <c r="K3121" s="157"/>
      <c r="L3121" s="152" t="str">
        <f>IFERROR(__xludf.DUMMYFUNCTION("""COMPUTED_VALUE"""),"comico")</f>
        <v>comico</v>
      </c>
      <c r="M3121" s="154">
        <f>IFERROR(__xludf.DUMMYFUNCTION("""COMPUTED_VALUE"""),45770.0)</f>
        <v>45770</v>
      </c>
      <c r="N3121" s="59">
        <f>IFERROR(__xludf.DUMMYFUNCTION("""COMPUTED_VALUE"""),45830.0)</f>
        <v>45830</v>
      </c>
      <c r="O3121" s="152"/>
      <c r="P3121" s="190" t="str">
        <f>IFERROR(__xludf.DUMMYFUNCTION("""COMPUTED_VALUE"""),"可")</f>
        <v>可</v>
      </c>
      <c r="Q3121" s="152"/>
      <c r="R3121" s="152" t="str">
        <f>IFERROR(__xludf.DUMMYFUNCTION("""COMPUTED_VALUE"""),"コミットOK")</f>
        <v>コミットOK</v>
      </c>
      <c r="S3121" s="152" t="str">
        <f>IFERROR(__xludf.DUMMYFUNCTION("""COMPUTED_VALUE"""),"20250326_comico_タナトス～死神さまの意のままに～【タテヨミ】")</f>
        <v>20250326_comico_タナトス～死神さまの意のままに～【タテヨミ】</v>
      </c>
      <c r="T3121" s="152" t="str">
        <f>IFERROR(__xludf.DUMMYFUNCTION("""COMPUTED_VALUE"""),"格納済み")</f>
        <v>格納済み</v>
      </c>
      <c r="U3121" s="15" t="str">
        <f>IFERROR(__xludf.DUMMYFUNCTION("""COMPUTED_VALUE"""),"ⒸEK・SSOS・TRAVIA / DAEWON C.I. Inc.")</f>
        <v>ⒸEK・SSOS・TRAVIA / DAEWON C.I. Inc.</v>
      </c>
      <c r="V3121" s="8" t="str">
        <f>IFERROR(__xludf.DUMMYFUNCTION("""COMPUTED_VALUE"""),"1年にわたって受け続けた虐待に耐えきれなくなったテジュは、児童養護施設の施設長を呪い殺し、着の身着のまま施設を出た。自ら命を絶つ前に、自分の罪を告白しようと化身教の聖会に立ち寄ったテジュだったが、そこで自分が化身教の死神だという事実を知る。神として再び生きることになったテジュは、神を嫌悪している司祭のジョンフと出会い……。")</f>
        <v>1年にわたって受け続けた虐待に耐えきれなくなったテジュは、児童養護施設の施設長を呪い殺し、着の身着のまま施設を出た。自ら命を絶つ前に、自分の罪を告白しようと化身教の聖会に立ち寄ったテジュだったが、そこで自分が化身教の死神だという事実を知る。神として再び生きることになったテジュは、神を嫌悪している司祭のジョンフと出会い……。</v>
      </c>
      <c r="W3121" s="14"/>
      <c r="X3121" s="14" t="str">
        <f>IFERROR(__xludf.DUMMYFUNCTION("""COMPUTED_VALUE"""),"有")</f>
        <v>有</v>
      </c>
      <c r="Y3121" s="8" t="str">
        <f>IFERROR(__xludf.DUMMYFUNCTION("""COMPUTED_VALUE"""),"1~3巻無料")</f>
        <v>1~3巻無料</v>
      </c>
      <c r="Z3121" s="7"/>
      <c r="AA3121" s="7"/>
      <c r="AB3121" s="7"/>
    </row>
    <row r="3122" ht="15.75" customHeight="1">
      <c r="A3122" s="153">
        <f>IFERROR(__xludf.DUMMYFUNCTION("""COMPUTED_VALUE"""),5237.0)</f>
        <v>5237</v>
      </c>
      <c r="B3122" s="152" t="str">
        <f>IFERROR(__xludf.DUMMYFUNCTION("""COMPUTED_VALUE"""),"確定")</f>
        <v>確定</v>
      </c>
      <c r="C3122" s="154">
        <f>IFERROR(__xludf.DUMMYFUNCTION("""COMPUTED_VALUE"""),45728.0)</f>
        <v>45728</v>
      </c>
      <c r="D3122" s="154">
        <f>IFERROR(__xludf.DUMMYFUNCTION("""COMPUTED_VALUE"""),45747.0)</f>
        <v>45747</v>
      </c>
      <c r="E3122" s="158">
        <f>IFERROR(__xludf.DUMMYFUNCTION("""COMPUTED_VALUE"""),319944.0)</f>
        <v>319944</v>
      </c>
      <c r="F3122" s="159" t="str">
        <f>IFERROR(__xludf.DUMMYFUNCTION("""COMPUTED_VALUE"""),"和泉はち作品集【TL版】")</f>
        <v>和泉はち作品集【TL版】</v>
      </c>
      <c r="G3122" s="153">
        <f>IFERROR(__xludf.DUMMYFUNCTION("""COMPUTED_VALUE"""),1.0)</f>
        <v>1</v>
      </c>
      <c r="H3122" s="152" t="str">
        <f>IFERROR(__xludf.DUMMYFUNCTION("""COMPUTED_VALUE"""),"和泉はち┴ロティス編集部")</f>
        <v>和泉はち┴ロティス編集部</v>
      </c>
      <c r="I3122" s="152" t="str">
        <f>IFERROR(__xludf.DUMMYFUNCTION("""COMPUTED_VALUE"""),"TL")</f>
        <v>TL</v>
      </c>
      <c r="J3122" s="157"/>
      <c r="K3122" s="152" t="str">
        <f>IFERROR(__xludf.DUMMYFUNCTION("""COMPUTED_VALUE"""),"ズレット！")</f>
        <v>ズレット！</v>
      </c>
      <c r="L3122" s="152" t="str">
        <f>IFERROR(__xludf.DUMMYFUNCTION("""COMPUTED_VALUE"""),"ライブコミックス")</f>
        <v>ライブコミックス</v>
      </c>
      <c r="M3122" s="154">
        <f>IFERROR(__xludf.DUMMYFUNCTION("""COMPUTED_VALUE"""),45765.0)</f>
        <v>45765</v>
      </c>
      <c r="N3122" s="59">
        <f>IFERROR(__xludf.DUMMYFUNCTION("""COMPUTED_VALUE"""),45827.0)</f>
        <v>45827</v>
      </c>
      <c r="O3122" s="152"/>
      <c r="P3122" s="152" t="str">
        <f>IFERROR(__xludf.DUMMYFUNCTION("""COMPUTED_VALUE"""),"可")</f>
        <v>可</v>
      </c>
      <c r="Q3122" s="190" t="str">
        <f>IFERROR(__xludf.DUMMYFUNCTION("""COMPUTED_VALUE"""),"河上さんへ事前に調整した件です")</f>
        <v>河上さんへ事前に調整した件です</v>
      </c>
      <c r="R3122" s="152"/>
      <c r="S3122" s="152" t="str">
        <f>IFERROR(__xludf.DUMMYFUNCTION("""COMPUTED_VALUE"""),"20250327_Booklive_【通常】和泉はち_Dark Loast_16P")</f>
        <v>20250327_Booklive_【通常】和泉はち_Dark Loast_16P</v>
      </c>
      <c r="T3122" s="152" t="str">
        <f>IFERROR(__xludf.DUMMYFUNCTION("""COMPUTED_VALUE"""),"格納済み")</f>
        <v>格納済み</v>
      </c>
      <c r="U3122" s="15" t="str">
        <f>IFERROR(__xludf.DUMMYFUNCTION("""COMPUTED_VALUE"""),"(C)和泉はち/ライブコミックス")</f>
        <v>(C)和泉はち/ライブコミックス</v>
      </c>
      <c r="V3122" s="8" t="str">
        <f>IFERROR(__xludf.DUMMYFUNCTION("""COMPUTED_VALUE"""),"『Dark Roast』和泉はち雨の日にマキが職場の前で傘を忘れてうなだれていると、好意を抱いていたイケメンの常連さんが車で送ってくれることに。和やかな雰囲気の車内だったが、寄り道をしていかないかと誘われ…突然キスをされて…!?※本作は、KATTS『Dark Roast【R版】』の修正をやや弱めたものです。内容に差異はありませんので、重複購入にご注意ください。")</f>
        <v>『Dark Roast』和泉はち雨の日にマキが職場の前で傘を忘れてうなだれていると、好意を抱いていたイケメンの常連さんが車で送ってくれることに。和やかな雰囲気の車内だったが、寄り道をしていかないかと誘われ…突然キスをされて…!?※本作は、KATTS『Dark Roast【R版】』の修正をやや弱めたものです。内容に差異はありませんので、重複購入にご注意ください。</v>
      </c>
      <c r="W3122" s="14"/>
      <c r="X3122" s="14" t="str">
        <f>IFERROR(__xludf.DUMMYFUNCTION("""COMPUTED_VALUE"""),"有")</f>
        <v>有</v>
      </c>
      <c r="Y3122" s="8" t="str">
        <f>IFERROR(__xludf.DUMMYFUNCTION("""COMPUTED_VALUE"""),"P7まで")</f>
        <v>P7まで</v>
      </c>
      <c r="Z3122" s="7"/>
      <c r="AA3122" s="7"/>
      <c r="AB3122" s="7"/>
    </row>
    <row r="3123" ht="15.75" customHeight="1">
      <c r="A3123" s="153">
        <f>IFERROR(__xludf.DUMMYFUNCTION("""COMPUTED_VALUE"""),5238.0)</f>
        <v>5238</v>
      </c>
      <c r="B3123" s="152" t="str">
        <f>IFERROR(__xludf.DUMMYFUNCTION("""COMPUTED_VALUE"""),"確定")</f>
        <v>確定</v>
      </c>
      <c r="C3123" s="154">
        <f>IFERROR(__xludf.DUMMYFUNCTION("""COMPUTED_VALUE"""),45728.0)</f>
        <v>45728</v>
      </c>
      <c r="D3123" s="154">
        <f>IFERROR(__xludf.DUMMYFUNCTION("""COMPUTED_VALUE"""),45747.0)</f>
        <v>45747</v>
      </c>
      <c r="E3123" s="158">
        <f>IFERROR(__xludf.DUMMYFUNCTION("""COMPUTED_VALUE"""),319937.0)</f>
        <v>319937</v>
      </c>
      <c r="F3123" s="159" t="str">
        <f>IFERROR(__xludf.DUMMYFUNCTION("""COMPUTED_VALUE"""),"和泉はち作品集【R版】")</f>
        <v>和泉はち作品集【R版】</v>
      </c>
      <c r="G3123" s="153">
        <f>IFERROR(__xludf.DUMMYFUNCTION("""COMPUTED_VALUE"""),1.0)</f>
        <v>1</v>
      </c>
      <c r="H3123" s="152" t="str">
        <f>IFERROR(__xludf.DUMMYFUNCTION("""COMPUTED_VALUE"""),"和泉はち┴穴乱┴ロティス編集部")</f>
        <v>和泉はち┴穴乱┴ロティス編集部</v>
      </c>
      <c r="I3123" s="164" t="str">
        <f>IFERROR(__xludf.DUMMYFUNCTION("""COMPUTED_VALUE"""),"アダルトマンガ")</f>
        <v>アダルトマンガ</v>
      </c>
      <c r="J3123" s="166"/>
      <c r="K3123" s="157"/>
      <c r="L3123" s="152" t="str">
        <f>IFERROR(__xludf.DUMMYFUNCTION("""COMPUTED_VALUE"""),"KATTS")</f>
        <v>KATTS</v>
      </c>
      <c r="M3123" s="154">
        <f>IFERROR(__xludf.DUMMYFUNCTION("""COMPUTED_VALUE"""),45765.0)</f>
        <v>45765</v>
      </c>
      <c r="N3123" s="59">
        <f>IFERROR(__xludf.DUMMYFUNCTION("""COMPUTED_VALUE"""),45827.0)</f>
        <v>45827</v>
      </c>
      <c r="O3123" s="152"/>
      <c r="P3123" s="152" t="str">
        <f>IFERROR(__xludf.DUMMYFUNCTION("""COMPUTED_VALUE"""),"可")</f>
        <v>可</v>
      </c>
      <c r="Q3123" s="190" t="str">
        <f>IFERROR(__xludf.DUMMYFUNCTION("""COMPUTED_VALUE"""),"河上さんへ事前に調整した件です")</f>
        <v>河上さんへ事前に調整した件です</v>
      </c>
      <c r="R3123" s="152"/>
      <c r="S3123" s="152" t="str">
        <f>IFERROR(__xludf.DUMMYFUNCTION("""COMPUTED_VALUE"""),"20250327_Booklive_【R版】和泉はち_Dark Loast_16P")</f>
        <v>20250327_Booklive_【R版】和泉はち_Dark Loast_16P</v>
      </c>
      <c r="T3123" s="152" t="str">
        <f>IFERROR(__xludf.DUMMYFUNCTION("""COMPUTED_VALUE"""),"格納済み")</f>
        <v>格納済み</v>
      </c>
      <c r="U3123" s="15" t="str">
        <f>IFERROR(__xludf.DUMMYFUNCTION("""COMPUTED_VALUE"""),"(C)KATTS")</f>
        <v>(C)KATTS</v>
      </c>
      <c r="V3123" s="8" t="str">
        <f>IFERROR(__xludf.DUMMYFUNCTION("""COMPUTED_VALUE"""),"『Dark Roast』和泉はち雨の日にマキが職場の前で傘を忘れてうなだれていると、好意を抱いていたイケメンの常連さんが車で送ってくれることに。和やかな雰囲気の車内だったが、寄り道をしていかないかと誘われ…突然キスをされて…!?※本作は、ズレット！『Dark Roast【TL版】』の修正をやや弱めたものです。内容に差異はありませんので、重複購入にご注意ください。")</f>
        <v>『Dark Roast』和泉はち雨の日にマキが職場の前で傘を忘れてうなだれていると、好意を抱いていたイケメンの常連さんが車で送ってくれることに。和やかな雰囲気の車内だったが、寄り道をしていかないかと誘われ…突然キスをされて…!?※本作は、ズレット！『Dark Roast【TL版】』の修正をやや弱めたものです。内容に差異はありませんので、重複購入にご注意ください。</v>
      </c>
      <c r="W3123" s="14"/>
      <c r="X3123" s="14" t="str">
        <f>IFERROR(__xludf.DUMMYFUNCTION("""COMPUTED_VALUE"""),"有")</f>
        <v>有</v>
      </c>
      <c r="Y3123" s="8" t="str">
        <f>IFERROR(__xludf.DUMMYFUNCTION("""COMPUTED_VALUE"""),"P7まで")</f>
        <v>P7まで</v>
      </c>
      <c r="Z3123" s="7"/>
      <c r="AA3123" s="7"/>
      <c r="AB3123" s="7"/>
    </row>
    <row r="3124" ht="15.75" customHeight="1">
      <c r="A3124" s="153">
        <f>IFERROR(__xludf.DUMMYFUNCTION("""COMPUTED_VALUE"""),5239.0)</f>
        <v>5239</v>
      </c>
      <c r="B3124" s="152" t="str">
        <f>IFERROR(__xludf.DUMMYFUNCTION("""COMPUTED_VALUE"""),"確定")</f>
        <v>確定</v>
      </c>
      <c r="C3124" s="154">
        <f>IFERROR(__xludf.DUMMYFUNCTION("""COMPUTED_VALUE"""),45728.0)</f>
        <v>45728</v>
      </c>
      <c r="D3124" s="154">
        <f>IFERROR(__xludf.DUMMYFUNCTION("""COMPUTED_VALUE"""),45747.0)</f>
        <v>45747</v>
      </c>
      <c r="E3124" s="158">
        <f>IFERROR(__xludf.DUMMYFUNCTION("""COMPUTED_VALUE"""),319945.0)</f>
        <v>319945</v>
      </c>
      <c r="F3124" s="159" t="str">
        <f>IFERROR(__xludf.DUMMYFUNCTION("""COMPUTED_VALUE"""),"萌葱作品集【TL版】")</f>
        <v>萌葱作品集【TL版】</v>
      </c>
      <c r="G3124" s="153">
        <f>IFERROR(__xludf.DUMMYFUNCTION("""COMPUTED_VALUE"""),1.0)</f>
        <v>1</v>
      </c>
      <c r="H3124" s="152" t="str">
        <f>IFERROR(__xludf.DUMMYFUNCTION("""COMPUTED_VALUE"""),"萌葱┴ロティス編集部")</f>
        <v>萌葱┴ロティス編集部</v>
      </c>
      <c r="I3124" s="152" t="str">
        <f>IFERROR(__xludf.DUMMYFUNCTION("""COMPUTED_VALUE"""),"TL")</f>
        <v>TL</v>
      </c>
      <c r="J3124" s="157"/>
      <c r="K3124" s="152" t="str">
        <f>IFERROR(__xludf.DUMMYFUNCTION("""COMPUTED_VALUE"""),"ズレット！")</f>
        <v>ズレット！</v>
      </c>
      <c r="L3124" s="152" t="str">
        <f>IFERROR(__xludf.DUMMYFUNCTION("""COMPUTED_VALUE"""),"ライブコミックス")</f>
        <v>ライブコミックス</v>
      </c>
      <c r="M3124" s="154">
        <f>IFERROR(__xludf.DUMMYFUNCTION("""COMPUTED_VALUE"""),45765.0)</f>
        <v>45765</v>
      </c>
      <c r="N3124" s="59">
        <f>IFERROR(__xludf.DUMMYFUNCTION("""COMPUTED_VALUE"""),45827.0)</f>
        <v>45827</v>
      </c>
      <c r="O3124" s="152"/>
      <c r="P3124" s="152" t="str">
        <f>IFERROR(__xludf.DUMMYFUNCTION("""COMPUTED_VALUE"""),"可")</f>
        <v>可</v>
      </c>
      <c r="Q3124" s="190" t="str">
        <f>IFERROR(__xludf.DUMMYFUNCTION("""COMPUTED_VALUE"""),"河上さんへ事前に調整した件です")</f>
        <v>河上さんへ事前に調整した件です</v>
      </c>
      <c r="R3124" s="152"/>
      <c r="S3124" s="152" t="str">
        <f>IFERROR(__xludf.DUMMYFUNCTION("""COMPUTED_VALUE"""),"20250327_Booklive_【通常】萌葱_マチアプパラドクス_28P")</f>
        <v>20250327_Booklive_【通常】萌葱_マチアプパラドクス_28P</v>
      </c>
      <c r="T3124" s="152" t="str">
        <f>IFERROR(__xludf.DUMMYFUNCTION("""COMPUTED_VALUE"""),"格納済み")</f>
        <v>格納済み</v>
      </c>
      <c r="U3124" s="15" t="str">
        <f>IFERROR(__xludf.DUMMYFUNCTION("""COMPUTED_VALUE"""),"(C)萌葱/ライブコミックス")</f>
        <v>(C)萌葱/ライブコミックス</v>
      </c>
      <c r="V3124" s="8" t="str">
        <f>IFERROR(__xludf.DUMMYFUNCTION("""COMPUTED_VALUE"""),"『マチアプパラドクス』萌葱今までダメ男とばかり付き合ってきたまゆは、マッチングアプリで元カレたちと正反対の爽やかで優しそうな黒髪イケメンと会う事にする。しかし当日現れたのは金髪でチャラそうな沼らせ系クズ男だった。一度出させれば満足するだろうと嫌々ホテルに行くまゆだったが…相手のあそこが大きくて…。※本作は、KATTS『マチアプパラドクス【R版】』の修正をやや弱めたものです。内容に差異はありませんので、重複購入にご注意ください。")</f>
        <v>『マチアプパラドクス』萌葱今までダメ男とばかり付き合ってきたまゆは、マッチングアプリで元カレたちと正反対の爽やかで優しそうな黒髪イケメンと会う事にする。しかし当日現れたのは金髪でチャラそうな沼らせ系クズ男だった。一度出させれば満足するだろうと嫌々ホテルに行くまゆだったが…相手のあそこが大きくて…。※本作は、KATTS『マチアプパラドクス【R版】』の修正をやや弱めたものです。内容に差異はありませんので、重複購入にご注意ください。</v>
      </c>
      <c r="W3124" s="14"/>
      <c r="X3124" s="14" t="str">
        <f>IFERROR(__xludf.DUMMYFUNCTION("""COMPUTED_VALUE"""),"有")</f>
        <v>有</v>
      </c>
      <c r="Y3124" s="8" t="str">
        <f>IFERROR(__xludf.DUMMYFUNCTION("""COMPUTED_VALUE"""),"P9まで")</f>
        <v>P9まで</v>
      </c>
      <c r="Z3124" s="7"/>
      <c r="AA3124" s="7"/>
      <c r="AB3124" s="7"/>
    </row>
    <row r="3125" ht="15.75" customHeight="1">
      <c r="A3125" s="153">
        <f>IFERROR(__xludf.DUMMYFUNCTION("""COMPUTED_VALUE"""),5240.0)</f>
        <v>5240</v>
      </c>
      <c r="B3125" s="152" t="str">
        <f>IFERROR(__xludf.DUMMYFUNCTION("""COMPUTED_VALUE"""),"確定")</f>
        <v>確定</v>
      </c>
      <c r="C3125" s="154">
        <f>IFERROR(__xludf.DUMMYFUNCTION("""COMPUTED_VALUE"""),45728.0)</f>
        <v>45728</v>
      </c>
      <c r="D3125" s="154">
        <f>IFERROR(__xludf.DUMMYFUNCTION("""COMPUTED_VALUE"""),45747.0)</f>
        <v>45747</v>
      </c>
      <c r="E3125" s="158">
        <f>IFERROR(__xludf.DUMMYFUNCTION("""COMPUTED_VALUE"""),319938.0)</f>
        <v>319938</v>
      </c>
      <c r="F3125" s="159" t="str">
        <f>IFERROR(__xludf.DUMMYFUNCTION("""COMPUTED_VALUE"""),"萌葱作品集【R版】")</f>
        <v>萌葱作品集【R版】</v>
      </c>
      <c r="G3125" s="153">
        <f>IFERROR(__xludf.DUMMYFUNCTION("""COMPUTED_VALUE"""),1.0)</f>
        <v>1</v>
      </c>
      <c r="H3125" s="152" t="str">
        <f>IFERROR(__xludf.DUMMYFUNCTION("""COMPUTED_VALUE"""),"萌葱┴穴乱┴ロティス編集部")</f>
        <v>萌葱┴穴乱┴ロティス編集部</v>
      </c>
      <c r="I3125" s="164" t="str">
        <f>IFERROR(__xludf.DUMMYFUNCTION("""COMPUTED_VALUE"""),"アダルトマンガ")</f>
        <v>アダルトマンガ</v>
      </c>
      <c r="J3125" s="166"/>
      <c r="K3125" s="157"/>
      <c r="L3125" s="152" t="str">
        <f>IFERROR(__xludf.DUMMYFUNCTION("""COMPUTED_VALUE"""),"KATTS")</f>
        <v>KATTS</v>
      </c>
      <c r="M3125" s="154">
        <f>IFERROR(__xludf.DUMMYFUNCTION("""COMPUTED_VALUE"""),45765.0)</f>
        <v>45765</v>
      </c>
      <c r="N3125" s="59">
        <f>IFERROR(__xludf.DUMMYFUNCTION("""COMPUTED_VALUE"""),45827.0)</f>
        <v>45827</v>
      </c>
      <c r="O3125" s="152"/>
      <c r="P3125" s="152" t="str">
        <f>IFERROR(__xludf.DUMMYFUNCTION("""COMPUTED_VALUE"""),"可")</f>
        <v>可</v>
      </c>
      <c r="Q3125" s="190" t="str">
        <f>IFERROR(__xludf.DUMMYFUNCTION("""COMPUTED_VALUE"""),"河上さんへ事前に調整した件です")</f>
        <v>河上さんへ事前に調整した件です</v>
      </c>
      <c r="R3125" s="152"/>
      <c r="S3125" s="152" t="str">
        <f>IFERROR(__xludf.DUMMYFUNCTION("""COMPUTED_VALUE"""),"20250327_Booklive_【R版】萌葱_マチアプパラドクス_28P")</f>
        <v>20250327_Booklive_【R版】萌葱_マチアプパラドクス_28P</v>
      </c>
      <c r="T3125" s="152" t="str">
        <f>IFERROR(__xludf.DUMMYFUNCTION("""COMPUTED_VALUE"""),"格納済み")</f>
        <v>格納済み</v>
      </c>
      <c r="U3125" s="15" t="str">
        <f>IFERROR(__xludf.DUMMYFUNCTION("""COMPUTED_VALUE"""),"(C)KATTS")</f>
        <v>(C)KATTS</v>
      </c>
      <c r="V3125" s="8" t="str">
        <f>IFERROR(__xludf.DUMMYFUNCTION("""COMPUTED_VALUE"""),"『マチアプパラドクス』萌葱今までダメ男とばかり付き合ってきたまゆは、マッチングアプリで元カレたちと正反対の爽やかで優しそうな黒髪イケメンと会う事にする。しかし当日現れたのは金髪でチャラそうな沼らせ系クズ男だった。一度出させれば満足するだろうと嫌々ホテルに行くまゆだったが…相手のあそこが大きくて…。※本作は、ズレット！『マチアプパラドクス【TL版】』の修正をやや弱めたものです。内容に差異はありませんので、重複購入にご注意ください。")</f>
        <v>『マチアプパラドクス』萌葱今までダメ男とばかり付き合ってきたまゆは、マッチングアプリで元カレたちと正反対の爽やかで優しそうな黒髪イケメンと会う事にする。しかし当日現れたのは金髪でチャラそうな沼らせ系クズ男だった。一度出させれば満足するだろうと嫌々ホテルに行くまゆだったが…相手のあそこが大きくて…。※本作は、ズレット！『マチアプパラドクス【TL版】』の修正をやや弱めたものです。内容に差異はありませんので、重複購入にご注意ください。</v>
      </c>
      <c r="W3125" s="14"/>
      <c r="X3125" s="14" t="str">
        <f>IFERROR(__xludf.DUMMYFUNCTION("""COMPUTED_VALUE"""),"有")</f>
        <v>有</v>
      </c>
      <c r="Y3125" s="8" t="str">
        <f>IFERROR(__xludf.DUMMYFUNCTION("""COMPUTED_VALUE"""),"P9まで")</f>
        <v>P9まで</v>
      </c>
      <c r="Z3125" s="7"/>
      <c r="AA3125" s="7"/>
      <c r="AB3125" s="7"/>
    </row>
    <row r="3126" ht="15.75" customHeight="1">
      <c r="A3126" s="153">
        <f>IFERROR(__xludf.DUMMYFUNCTION("""COMPUTED_VALUE"""),5241.0)</f>
        <v>5241</v>
      </c>
      <c r="B3126" s="152" t="str">
        <f>IFERROR(__xludf.DUMMYFUNCTION("""COMPUTED_VALUE"""),"確定")</f>
        <v>確定</v>
      </c>
      <c r="C3126" s="154">
        <f>IFERROR(__xludf.DUMMYFUNCTION("""COMPUTED_VALUE"""),45728.0)</f>
        <v>45728</v>
      </c>
      <c r="D3126" s="154">
        <f>IFERROR(__xludf.DUMMYFUNCTION("""COMPUTED_VALUE"""),45747.0)</f>
        <v>45747</v>
      </c>
      <c r="E3126" s="158">
        <f>IFERROR(__xludf.DUMMYFUNCTION("""COMPUTED_VALUE"""),319946.0)</f>
        <v>319946</v>
      </c>
      <c r="F3126" s="159" t="str">
        <f>IFERROR(__xludf.DUMMYFUNCTION("""COMPUTED_VALUE"""),"花緒あめ作品集【TL版】")</f>
        <v>花緒あめ作品集【TL版】</v>
      </c>
      <c r="G3126" s="153">
        <f>IFERROR(__xludf.DUMMYFUNCTION("""COMPUTED_VALUE"""),1.0)</f>
        <v>1</v>
      </c>
      <c r="H3126" s="152" t="str">
        <f>IFERROR(__xludf.DUMMYFUNCTION("""COMPUTED_VALUE"""),"花緒あめ┴ロティス編集部")</f>
        <v>花緒あめ┴ロティス編集部</v>
      </c>
      <c r="I3126" s="152" t="str">
        <f>IFERROR(__xludf.DUMMYFUNCTION("""COMPUTED_VALUE"""),"TL")</f>
        <v>TL</v>
      </c>
      <c r="J3126" s="157"/>
      <c r="K3126" s="152" t="str">
        <f>IFERROR(__xludf.DUMMYFUNCTION("""COMPUTED_VALUE"""),"ズレット！")</f>
        <v>ズレット！</v>
      </c>
      <c r="L3126" s="152" t="str">
        <f>IFERROR(__xludf.DUMMYFUNCTION("""COMPUTED_VALUE"""),"ライブコミックス")</f>
        <v>ライブコミックス</v>
      </c>
      <c r="M3126" s="154">
        <f>IFERROR(__xludf.DUMMYFUNCTION("""COMPUTED_VALUE"""),45765.0)</f>
        <v>45765</v>
      </c>
      <c r="N3126" s="59">
        <f>IFERROR(__xludf.DUMMYFUNCTION("""COMPUTED_VALUE"""),45827.0)</f>
        <v>45827</v>
      </c>
      <c r="O3126" s="152"/>
      <c r="P3126" s="152" t="str">
        <f>IFERROR(__xludf.DUMMYFUNCTION("""COMPUTED_VALUE"""),"可")</f>
        <v>可</v>
      </c>
      <c r="Q3126" s="190" t="str">
        <f>IFERROR(__xludf.DUMMYFUNCTION("""COMPUTED_VALUE"""),"河上さんへ事前に調整した件です")</f>
        <v>河上さんへ事前に調整した件です</v>
      </c>
      <c r="R3126" s="152"/>
      <c r="S3126" s="152" t="str">
        <f>IFERROR(__xludf.DUMMYFUNCTION("""COMPUTED_VALUE"""),"20250327_Booklive_【通常】花緒あめ_あまくてずるい_27P")</f>
        <v>20250327_Booklive_【通常】花緒あめ_あまくてずるい_27P</v>
      </c>
      <c r="T3126" s="152" t="str">
        <f>IFERROR(__xludf.DUMMYFUNCTION("""COMPUTED_VALUE"""),"格納済み")</f>
        <v>格納済み</v>
      </c>
      <c r="U3126" s="15" t="str">
        <f>IFERROR(__xludf.DUMMYFUNCTION("""COMPUTED_VALUE"""),"(C)花緒あめ/ライブコミックス")</f>
        <v>(C)花緒あめ/ライブコミックス</v>
      </c>
      <c r="V3126" s="8" t="str">
        <f>IFERROR(__xludf.DUMMYFUNCTION("""COMPUTED_VALUE"""),"『あまくてずるい』花緒あめあずまの個人サロンに来たなる。常連のなるにとって、あずまはなんでも相談できる兄みたいな人になっていた。そんな中、あずまに彼氏に振られた理由を話すと…不感症かどうか試してみないかと言われて…!?※本作は、KATTS『あまくてずるい【R版】』の修正をやや弱めたものです。内容に差異はありませんので、重複購入にご注意ください。")</f>
        <v>『あまくてずるい』花緒あめあずまの個人サロンに来たなる。常連のなるにとって、あずまはなんでも相談できる兄みたいな人になっていた。そんな中、あずまに彼氏に振られた理由を話すと…不感症かどうか試してみないかと言われて…!?※本作は、KATTS『あまくてずるい【R版】』の修正をやや弱めたものです。内容に差異はありませんので、重複購入にご注意ください。</v>
      </c>
      <c r="W3126" s="14"/>
      <c r="X3126" s="14" t="str">
        <f>IFERROR(__xludf.DUMMYFUNCTION("""COMPUTED_VALUE"""),"有")</f>
        <v>有</v>
      </c>
      <c r="Y3126" s="8" t="str">
        <f>IFERROR(__xludf.DUMMYFUNCTION("""COMPUTED_VALUE"""),"P11まで")</f>
        <v>P11まで</v>
      </c>
      <c r="Z3126" s="7"/>
      <c r="AA3126" s="7"/>
      <c r="AB3126" s="7"/>
    </row>
    <row r="3127" ht="15.75" customHeight="1">
      <c r="A3127" s="153">
        <f>IFERROR(__xludf.DUMMYFUNCTION("""COMPUTED_VALUE"""),5242.0)</f>
        <v>5242</v>
      </c>
      <c r="B3127" s="152" t="str">
        <f>IFERROR(__xludf.DUMMYFUNCTION("""COMPUTED_VALUE"""),"確定")</f>
        <v>確定</v>
      </c>
      <c r="C3127" s="154">
        <f>IFERROR(__xludf.DUMMYFUNCTION("""COMPUTED_VALUE"""),45728.0)</f>
        <v>45728</v>
      </c>
      <c r="D3127" s="154">
        <f>IFERROR(__xludf.DUMMYFUNCTION("""COMPUTED_VALUE"""),45747.0)</f>
        <v>45747</v>
      </c>
      <c r="E3127" s="158">
        <f>IFERROR(__xludf.DUMMYFUNCTION("""COMPUTED_VALUE"""),319939.0)</f>
        <v>319939</v>
      </c>
      <c r="F3127" s="159" t="str">
        <f>IFERROR(__xludf.DUMMYFUNCTION("""COMPUTED_VALUE"""),"花緒あめ作品集【R版】")</f>
        <v>花緒あめ作品集【R版】</v>
      </c>
      <c r="G3127" s="153">
        <f>IFERROR(__xludf.DUMMYFUNCTION("""COMPUTED_VALUE"""),1.0)</f>
        <v>1</v>
      </c>
      <c r="H3127" s="152" t="str">
        <f>IFERROR(__xludf.DUMMYFUNCTION("""COMPUTED_VALUE"""),"花緒あめ┴穴乱┴ロティス編集部")</f>
        <v>花緒あめ┴穴乱┴ロティス編集部</v>
      </c>
      <c r="I3127" s="164" t="str">
        <f>IFERROR(__xludf.DUMMYFUNCTION("""COMPUTED_VALUE"""),"アダルトマンガ")</f>
        <v>アダルトマンガ</v>
      </c>
      <c r="J3127" s="166"/>
      <c r="K3127" s="157"/>
      <c r="L3127" s="152" t="str">
        <f>IFERROR(__xludf.DUMMYFUNCTION("""COMPUTED_VALUE"""),"KATTS")</f>
        <v>KATTS</v>
      </c>
      <c r="M3127" s="154">
        <f>IFERROR(__xludf.DUMMYFUNCTION("""COMPUTED_VALUE"""),45765.0)</f>
        <v>45765</v>
      </c>
      <c r="N3127" s="59">
        <f>IFERROR(__xludf.DUMMYFUNCTION("""COMPUTED_VALUE"""),45827.0)</f>
        <v>45827</v>
      </c>
      <c r="O3127" s="152"/>
      <c r="P3127" s="152" t="str">
        <f>IFERROR(__xludf.DUMMYFUNCTION("""COMPUTED_VALUE"""),"可")</f>
        <v>可</v>
      </c>
      <c r="Q3127" s="190" t="str">
        <f>IFERROR(__xludf.DUMMYFUNCTION("""COMPUTED_VALUE"""),"河上さんへ事前に調整した件です")</f>
        <v>河上さんへ事前に調整した件です</v>
      </c>
      <c r="R3127" s="152"/>
      <c r="S3127" s="152" t="str">
        <f>IFERROR(__xludf.DUMMYFUNCTION("""COMPUTED_VALUE"""),"20250327_Booklive_【R版】花緒あめ_あまくてずるい_27P")</f>
        <v>20250327_Booklive_【R版】花緒あめ_あまくてずるい_27P</v>
      </c>
      <c r="T3127" s="152" t="str">
        <f>IFERROR(__xludf.DUMMYFUNCTION("""COMPUTED_VALUE"""),"格納済み")</f>
        <v>格納済み</v>
      </c>
      <c r="U3127" s="15" t="str">
        <f>IFERROR(__xludf.DUMMYFUNCTION("""COMPUTED_VALUE"""),"(C)KATTS")</f>
        <v>(C)KATTS</v>
      </c>
      <c r="V3127" s="8" t="str">
        <f>IFERROR(__xludf.DUMMYFUNCTION("""COMPUTED_VALUE"""),"『あまくてずるい』花緒あめあずまの個人サロンに来たなる。常連のなるにとって、あずまはなんでも相談できる兄みたいな人になっていた。そんな中、あずまに彼氏に振られた理由を話すと…不感症かどうか試してみないかと言われて…!?※本作は、ズレット！『あまくてずるい【TL版】』の修正をやや弱めたものです。内容に差異はありませんので、重複購入にご注意ください。")</f>
        <v>『あまくてずるい』花緒あめあずまの個人サロンに来たなる。常連のなるにとって、あずまはなんでも相談できる兄みたいな人になっていた。そんな中、あずまに彼氏に振られた理由を話すと…不感症かどうか試してみないかと言われて…!?※本作は、ズレット！『あまくてずるい【TL版】』の修正をやや弱めたものです。内容に差異はありませんので、重複購入にご注意ください。</v>
      </c>
      <c r="W3127" s="14"/>
      <c r="X3127" s="14" t="str">
        <f>IFERROR(__xludf.DUMMYFUNCTION("""COMPUTED_VALUE"""),"有")</f>
        <v>有</v>
      </c>
      <c r="Y3127" s="8" t="str">
        <f>IFERROR(__xludf.DUMMYFUNCTION("""COMPUTED_VALUE"""),"P11まで")</f>
        <v>P11まで</v>
      </c>
      <c r="Z3127" s="7"/>
      <c r="AA3127" s="7"/>
      <c r="AB3127" s="7"/>
    </row>
    <row r="3128" ht="15.75" customHeight="1">
      <c r="A3128" s="153">
        <f>IFERROR(__xludf.DUMMYFUNCTION("""COMPUTED_VALUE"""),5243.0)</f>
        <v>5243</v>
      </c>
      <c r="B3128" s="152" t="str">
        <f>IFERROR(__xludf.DUMMYFUNCTION("""COMPUTED_VALUE"""),"確定")</f>
        <v>確定</v>
      </c>
      <c r="C3128" s="154">
        <f>IFERROR(__xludf.DUMMYFUNCTION("""COMPUTED_VALUE"""),45728.0)</f>
        <v>45728</v>
      </c>
      <c r="D3128" s="154">
        <f>IFERROR(__xludf.DUMMYFUNCTION("""COMPUTED_VALUE"""),45747.0)</f>
        <v>45747</v>
      </c>
      <c r="E3128" s="158">
        <f>IFERROR(__xludf.DUMMYFUNCTION("""COMPUTED_VALUE"""),319947.0)</f>
        <v>319947</v>
      </c>
      <c r="F3128" s="159" t="str">
        <f>IFERROR(__xludf.DUMMYFUNCTION("""COMPUTED_VALUE"""),"凛太朗作品集【TL版】")</f>
        <v>凛太朗作品集【TL版】</v>
      </c>
      <c r="G3128" s="153">
        <f>IFERROR(__xludf.DUMMYFUNCTION("""COMPUTED_VALUE"""),1.0)</f>
        <v>1</v>
      </c>
      <c r="H3128" s="152" t="str">
        <f>IFERROR(__xludf.DUMMYFUNCTION("""COMPUTED_VALUE"""),"凛太朗┴ロティス編集部")</f>
        <v>凛太朗┴ロティス編集部</v>
      </c>
      <c r="I3128" s="152" t="str">
        <f>IFERROR(__xludf.DUMMYFUNCTION("""COMPUTED_VALUE"""),"TL")</f>
        <v>TL</v>
      </c>
      <c r="J3128" s="157"/>
      <c r="K3128" s="152" t="str">
        <f>IFERROR(__xludf.DUMMYFUNCTION("""COMPUTED_VALUE"""),"ズレット！")</f>
        <v>ズレット！</v>
      </c>
      <c r="L3128" s="152" t="str">
        <f>IFERROR(__xludf.DUMMYFUNCTION("""COMPUTED_VALUE"""),"ライブコミックス")</f>
        <v>ライブコミックス</v>
      </c>
      <c r="M3128" s="154">
        <f>IFERROR(__xludf.DUMMYFUNCTION("""COMPUTED_VALUE"""),45765.0)</f>
        <v>45765</v>
      </c>
      <c r="N3128" s="59">
        <f>IFERROR(__xludf.DUMMYFUNCTION("""COMPUTED_VALUE"""),45827.0)</f>
        <v>45827</v>
      </c>
      <c r="O3128" s="152"/>
      <c r="P3128" s="152" t="str">
        <f>IFERROR(__xludf.DUMMYFUNCTION("""COMPUTED_VALUE"""),"可")</f>
        <v>可</v>
      </c>
      <c r="Q3128" s="190" t="str">
        <f>IFERROR(__xludf.DUMMYFUNCTION("""COMPUTED_VALUE"""),"河上さんへ事前に調整した件です&lt;BR&gt;")</f>
        <v>河上さんへ事前に調整した件です&lt;BR&gt;</v>
      </c>
      <c r="R3128" s="152"/>
      <c r="S3128" s="152" t="str">
        <f>IFERROR(__xludf.DUMMYFUNCTION("""COMPUTED_VALUE"""),"20250327_Booklive_【通常】凛太朗_いけずな彫り師と蕩ける情事_30P")</f>
        <v>20250327_Booklive_【通常】凛太朗_いけずな彫り師と蕩ける情事_30P</v>
      </c>
      <c r="T3128" s="152" t="str">
        <f>IFERROR(__xludf.DUMMYFUNCTION("""COMPUTED_VALUE"""),"格納済み")</f>
        <v>格納済み</v>
      </c>
      <c r="U3128" s="15" t="str">
        <f>IFERROR(__xludf.DUMMYFUNCTION("""COMPUTED_VALUE"""),"(C)凛太朗/ライブコミックス")</f>
        <v>(C)凛太朗/ライブコミックス</v>
      </c>
      <c r="V3128" s="8" t="str">
        <f>IFERROR(__xludf.DUMMYFUNCTION("""COMPUTED_VALUE"""),"『いけずな彫り師と蕩ける情事』凛太朗「俺がぎょうさん、甘やかしたるよ？」ブラック会社で働いて三年目のさつきは、晴れて退職して休暇を満喫することに。親戚の家がある京都に着いて早々、トラブルに巻き込まれるわ、刺青を彫った軽薄そうな男には誘われるわ、で踏んだり蹴ったり。なんとか辿り着いた親戚の家には、先ほど出会った刺青の男・夏木（なつき）がいて!?※本作は、KATTS『いけずな彫り師と蕩ける情事【R版】』の修正をやや弱めたものです。内容に差異はありませんので、重複購入にご注意ください。")</f>
        <v>『いけずな彫り師と蕩ける情事』凛太朗「俺がぎょうさん、甘やかしたるよ？」ブラック会社で働いて三年目のさつきは、晴れて退職して休暇を満喫することに。親戚の家がある京都に着いて早々、トラブルに巻き込まれるわ、刺青を彫った軽薄そうな男には誘われるわ、で踏んだり蹴ったり。なんとか辿り着いた親戚の家には、先ほど出会った刺青の男・夏木（なつき）がいて!?※本作は、KATTS『いけずな彫り師と蕩ける情事【R版】』の修正をやや弱めたものです。内容に差異はありませんので、重複購入にご注意ください。</v>
      </c>
      <c r="W3128" s="14"/>
      <c r="X3128" s="14" t="str">
        <f>IFERROR(__xludf.DUMMYFUNCTION("""COMPUTED_VALUE"""),"有")</f>
        <v>有</v>
      </c>
      <c r="Y3128" s="8" t="str">
        <f>IFERROR(__xludf.DUMMYFUNCTION("""COMPUTED_VALUE"""),"P15まで")</f>
        <v>P15まで</v>
      </c>
      <c r="Z3128" s="7"/>
      <c r="AA3128" s="7"/>
      <c r="AB3128" s="7"/>
    </row>
    <row r="3129" ht="15.75" customHeight="1">
      <c r="A3129" s="153">
        <f>IFERROR(__xludf.DUMMYFUNCTION("""COMPUTED_VALUE"""),5244.0)</f>
        <v>5244</v>
      </c>
      <c r="B3129" s="152" t="str">
        <f>IFERROR(__xludf.DUMMYFUNCTION("""COMPUTED_VALUE"""),"確定")</f>
        <v>確定</v>
      </c>
      <c r="C3129" s="154">
        <f>IFERROR(__xludf.DUMMYFUNCTION("""COMPUTED_VALUE"""),45728.0)</f>
        <v>45728</v>
      </c>
      <c r="D3129" s="154">
        <f>IFERROR(__xludf.DUMMYFUNCTION("""COMPUTED_VALUE"""),45747.0)</f>
        <v>45747</v>
      </c>
      <c r="E3129" s="158">
        <f>IFERROR(__xludf.DUMMYFUNCTION("""COMPUTED_VALUE"""),319940.0)</f>
        <v>319940</v>
      </c>
      <c r="F3129" s="159" t="str">
        <f>IFERROR(__xludf.DUMMYFUNCTION("""COMPUTED_VALUE"""),"凛太朗作品集【R版】")</f>
        <v>凛太朗作品集【R版】</v>
      </c>
      <c r="G3129" s="153">
        <f>IFERROR(__xludf.DUMMYFUNCTION("""COMPUTED_VALUE"""),1.0)</f>
        <v>1</v>
      </c>
      <c r="H3129" s="152" t="str">
        <f>IFERROR(__xludf.DUMMYFUNCTION("""COMPUTED_VALUE"""),"凛太朗┴穴乱┴ロティス編集部")</f>
        <v>凛太朗┴穴乱┴ロティス編集部</v>
      </c>
      <c r="I3129" s="164" t="str">
        <f>IFERROR(__xludf.DUMMYFUNCTION("""COMPUTED_VALUE"""),"アダルトマンガ")</f>
        <v>アダルトマンガ</v>
      </c>
      <c r="J3129" s="166"/>
      <c r="K3129" s="157"/>
      <c r="L3129" s="152" t="str">
        <f>IFERROR(__xludf.DUMMYFUNCTION("""COMPUTED_VALUE"""),"KATTS")</f>
        <v>KATTS</v>
      </c>
      <c r="M3129" s="154">
        <f>IFERROR(__xludf.DUMMYFUNCTION("""COMPUTED_VALUE"""),45765.0)</f>
        <v>45765</v>
      </c>
      <c r="N3129" s="59">
        <f>IFERROR(__xludf.DUMMYFUNCTION("""COMPUTED_VALUE"""),45827.0)</f>
        <v>45827</v>
      </c>
      <c r="O3129" s="152"/>
      <c r="P3129" s="152" t="str">
        <f>IFERROR(__xludf.DUMMYFUNCTION("""COMPUTED_VALUE"""),"可")</f>
        <v>可</v>
      </c>
      <c r="Q3129" s="190" t="str">
        <f>IFERROR(__xludf.DUMMYFUNCTION("""COMPUTED_VALUE"""),"河上さんへ事前に調整した件です")</f>
        <v>河上さんへ事前に調整した件です</v>
      </c>
      <c r="R3129" s="152"/>
      <c r="S3129" s="152" t="str">
        <f>IFERROR(__xludf.DUMMYFUNCTION("""COMPUTED_VALUE"""),"20250327_Booklive_【R版】凛太朗_いけずな彫り師と蕩ける情事_30P")</f>
        <v>20250327_Booklive_【R版】凛太朗_いけずな彫り師と蕩ける情事_30P</v>
      </c>
      <c r="T3129" s="152" t="str">
        <f>IFERROR(__xludf.DUMMYFUNCTION("""COMPUTED_VALUE"""),"格納済み")</f>
        <v>格納済み</v>
      </c>
      <c r="U3129" s="15" t="str">
        <f>IFERROR(__xludf.DUMMYFUNCTION("""COMPUTED_VALUE"""),"(C)KATTS")</f>
        <v>(C)KATTS</v>
      </c>
      <c r="V3129" s="8" t="str">
        <f>IFERROR(__xludf.DUMMYFUNCTION("""COMPUTED_VALUE"""),"『いけずな彫り師と蕩ける情事』凛太朗「俺がぎょうさん、甘やかしたるよ？」ブラック会社で働いて三年目のさつきは、晴れて退職して休暇を満喫することに。親戚の家がある京都に着いて早々、トラブルに巻き込まれるわ、刺青を彫った軽薄そうな男には誘われるわ、で踏んだり蹴ったり。なんとか辿り着いた親戚の家には、先ほど出会った刺青の男・夏木（なつき）がいて!?※本作は、ズレット！『いけずな彫り師と蕩ける情事【TL版】』の修正をやや弱めたものです。内容に差異はありませんので、重複購入にご注意ください。")</f>
        <v>『いけずな彫り師と蕩ける情事』凛太朗「俺がぎょうさん、甘やかしたるよ？」ブラック会社で働いて三年目のさつきは、晴れて退職して休暇を満喫することに。親戚の家がある京都に着いて早々、トラブルに巻き込まれるわ、刺青を彫った軽薄そうな男には誘われるわ、で踏んだり蹴ったり。なんとか辿り着いた親戚の家には、先ほど出会った刺青の男・夏木（なつき）がいて!?※本作は、ズレット！『いけずな彫り師と蕩ける情事【TL版】』の修正をやや弱めたものです。内容に差異はありませんので、重複購入にご注意ください。</v>
      </c>
      <c r="W3129" s="14"/>
      <c r="X3129" s="14" t="str">
        <f>IFERROR(__xludf.DUMMYFUNCTION("""COMPUTED_VALUE"""),"有")</f>
        <v>有</v>
      </c>
      <c r="Y3129" s="8" t="str">
        <f>IFERROR(__xludf.DUMMYFUNCTION("""COMPUTED_VALUE"""),"P15まで")</f>
        <v>P15まで</v>
      </c>
      <c r="Z3129" s="7"/>
      <c r="AA3129" s="7"/>
      <c r="AB3129" s="7"/>
    </row>
    <row r="3130" ht="15.75" customHeight="1">
      <c r="A3130" s="153">
        <f>IFERROR(__xludf.DUMMYFUNCTION("""COMPUTED_VALUE"""),5245.0)</f>
        <v>5245</v>
      </c>
      <c r="B3130" s="152" t="str">
        <f>IFERROR(__xludf.DUMMYFUNCTION("""COMPUTED_VALUE"""),"確定")</f>
        <v>確定</v>
      </c>
      <c r="C3130" s="154">
        <f>IFERROR(__xludf.DUMMYFUNCTION("""COMPUTED_VALUE"""),45728.0)</f>
        <v>45728</v>
      </c>
      <c r="D3130" s="154">
        <f>IFERROR(__xludf.DUMMYFUNCTION("""COMPUTED_VALUE"""),45747.0)</f>
        <v>45747</v>
      </c>
      <c r="E3130" s="158">
        <f>IFERROR(__xludf.DUMMYFUNCTION("""COMPUTED_VALUE"""),319948.0)</f>
        <v>319948</v>
      </c>
      <c r="F3130" s="159" t="str">
        <f>IFERROR(__xludf.DUMMYFUNCTION("""COMPUTED_VALUE"""),"8点作品集【TL版】")</f>
        <v>8点作品集【TL版】</v>
      </c>
      <c r="G3130" s="153">
        <f>IFERROR(__xludf.DUMMYFUNCTION("""COMPUTED_VALUE"""),1.0)</f>
        <v>1</v>
      </c>
      <c r="H3130" s="152" t="str">
        <f>IFERROR(__xludf.DUMMYFUNCTION("""COMPUTED_VALUE"""),"8点┴ロティス編集部")</f>
        <v>8点┴ロティス編集部</v>
      </c>
      <c r="I3130" s="152" t="str">
        <f>IFERROR(__xludf.DUMMYFUNCTION("""COMPUTED_VALUE"""),"TL")</f>
        <v>TL</v>
      </c>
      <c r="J3130" s="157"/>
      <c r="K3130" s="152" t="str">
        <f>IFERROR(__xludf.DUMMYFUNCTION("""COMPUTED_VALUE"""),"ズレット！")</f>
        <v>ズレット！</v>
      </c>
      <c r="L3130" s="152" t="str">
        <f>IFERROR(__xludf.DUMMYFUNCTION("""COMPUTED_VALUE"""),"ライブコミックス")</f>
        <v>ライブコミックス</v>
      </c>
      <c r="M3130" s="154">
        <f>IFERROR(__xludf.DUMMYFUNCTION("""COMPUTED_VALUE"""),45765.0)</f>
        <v>45765</v>
      </c>
      <c r="N3130" s="59">
        <f>IFERROR(__xludf.DUMMYFUNCTION("""COMPUTED_VALUE"""),45827.0)</f>
        <v>45827</v>
      </c>
      <c r="O3130" s="152"/>
      <c r="P3130" s="152" t="str">
        <f>IFERROR(__xludf.DUMMYFUNCTION("""COMPUTED_VALUE"""),"可")</f>
        <v>可</v>
      </c>
      <c r="Q3130" s="190" t="str">
        <f>IFERROR(__xludf.DUMMYFUNCTION("""COMPUTED_VALUE"""),"河上さんへ事前に調整した件です")</f>
        <v>河上さんへ事前に調整した件です</v>
      </c>
      <c r="R3130" s="152"/>
      <c r="S3130" s="152" t="str">
        <f>IFERROR(__xludf.DUMMYFUNCTION("""COMPUTED_VALUE"""),"20250327_Booklive_【通常】8点_シュガー・ハイ・ナイト_28P")</f>
        <v>20250327_Booklive_【通常】8点_シュガー・ハイ・ナイト_28P</v>
      </c>
      <c r="T3130" s="152" t="str">
        <f>IFERROR(__xludf.DUMMYFUNCTION("""COMPUTED_VALUE"""),"格納済み")</f>
        <v>格納済み</v>
      </c>
      <c r="U3130" s="15" t="str">
        <f>IFERROR(__xludf.DUMMYFUNCTION("""COMPUTED_VALUE"""),"(C)8点/ライブコミックス")</f>
        <v>(C)8点/ライブコミックス</v>
      </c>
      <c r="V3130" s="8" t="str">
        <f>IFERROR(__xludf.DUMMYFUNCTION("""COMPUTED_VALUE"""),"『シュガー・ハイ・ナイト』8点「俺、もっと佳織お姉さんと仲良くなりたい」会社員の佳織は、仕事がうまくいかないモヤモヤを抱え、夜の繁華街の隅っこで飲んでいた。そこで突然、親し気に声をかけてきた年下男子――遼に愚痴を聞いてもらうことに。佳織を労わってあげたいという遼の誘いに、つい心が動いてしまい…。※本作は、KATTS『シュガー・ハイ・ナイト【R版】』の修正をやや弱めたものです。内容に差異はありませんので、重複購入にご注意ください。")</f>
        <v>『シュガー・ハイ・ナイト』8点「俺、もっと佳織お姉さんと仲良くなりたい」会社員の佳織は、仕事がうまくいかないモヤモヤを抱え、夜の繁華街の隅っこで飲んでいた。そこで突然、親し気に声をかけてきた年下男子――遼に愚痴を聞いてもらうことに。佳織を労わってあげたいという遼の誘いに、つい心が動いてしまい…。※本作は、KATTS『シュガー・ハイ・ナイト【R版】』の修正をやや弱めたものです。内容に差異はありませんので、重複購入にご注意ください。</v>
      </c>
      <c r="W3130" s="14"/>
      <c r="X3130" s="14" t="str">
        <f>IFERROR(__xludf.DUMMYFUNCTION("""COMPUTED_VALUE"""),"有")</f>
        <v>有</v>
      </c>
      <c r="Y3130" s="8" t="str">
        <f>IFERROR(__xludf.DUMMYFUNCTION("""COMPUTED_VALUE"""),"P13まで")</f>
        <v>P13まで</v>
      </c>
      <c r="Z3130" s="7"/>
      <c r="AA3130" s="7"/>
      <c r="AB3130" s="7"/>
    </row>
    <row r="3131" ht="15.75" customHeight="1">
      <c r="A3131" s="153">
        <f>IFERROR(__xludf.DUMMYFUNCTION("""COMPUTED_VALUE"""),5246.0)</f>
        <v>5246</v>
      </c>
      <c r="B3131" s="152" t="str">
        <f>IFERROR(__xludf.DUMMYFUNCTION("""COMPUTED_VALUE"""),"確定")</f>
        <v>確定</v>
      </c>
      <c r="C3131" s="154">
        <f>IFERROR(__xludf.DUMMYFUNCTION("""COMPUTED_VALUE"""),45728.0)</f>
        <v>45728</v>
      </c>
      <c r="D3131" s="154">
        <f>IFERROR(__xludf.DUMMYFUNCTION("""COMPUTED_VALUE"""),45747.0)</f>
        <v>45747</v>
      </c>
      <c r="E3131" s="158">
        <f>IFERROR(__xludf.DUMMYFUNCTION("""COMPUTED_VALUE"""),319941.0)</f>
        <v>319941</v>
      </c>
      <c r="F3131" s="159" t="str">
        <f>IFERROR(__xludf.DUMMYFUNCTION("""COMPUTED_VALUE"""),"8点作品集【R版】")</f>
        <v>8点作品集【R版】</v>
      </c>
      <c r="G3131" s="153">
        <f>IFERROR(__xludf.DUMMYFUNCTION("""COMPUTED_VALUE"""),1.0)</f>
        <v>1</v>
      </c>
      <c r="H3131" s="152" t="str">
        <f>IFERROR(__xludf.DUMMYFUNCTION("""COMPUTED_VALUE"""),"8点┴穴乱┴ロティス編集部")</f>
        <v>8点┴穴乱┴ロティス編集部</v>
      </c>
      <c r="I3131" s="164" t="str">
        <f>IFERROR(__xludf.DUMMYFUNCTION("""COMPUTED_VALUE"""),"アダルトマンガ")</f>
        <v>アダルトマンガ</v>
      </c>
      <c r="J3131" s="166"/>
      <c r="K3131" s="157"/>
      <c r="L3131" s="152" t="str">
        <f>IFERROR(__xludf.DUMMYFUNCTION("""COMPUTED_VALUE"""),"KATTS")</f>
        <v>KATTS</v>
      </c>
      <c r="M3131" s="154">
        <f>IFERROR(__xludf.DUMMYFUNCTION("""COMPUTED_VALUE"""),45765.0)</f>
        <v>45765</v>
      </c>
      <c r="N3131" s="59">
        <f>IFERROR(__xludf.DUMMYFUNCTION("""COMPUTED_VALUE"""),45827.0)</f>
        <v>45827</v>
      </c>
      <c r="O3131" s="152"/>
      <c r="P3131" s="152" t="str">
        <f>IFERROR(__xludf.DUMMYFUNCTION("""COMPUTED_VALUE"""),"可")</f>
        <v>可</v>
      </c>
      <c r="Q3131" s="190" t="str">
        <f>IFERROR(__xludf.DUMMYFUNCTION("""COMPUTED_VALUE"""),"河上さんへ事前に調整した件です")</f>
        <v>河上さんへ事前に調整した件です</v>
      </c>
      <c r="R3131" s="152"/>
      <c r="S3131" s="152" t="str">
        <f>IFERROR(__xludf.DUMMYFUNCTION("""COMPUTED_VALUE"""),"20250327_Booklive_【R版】8点_シュガー・ハイ・ナイト_28P")</f>
        <v>20250327_Booklive_【R版】8点_シュガー・ハイ・ナイト_28P</v>
      </c>
      <c r="T3131" s="152" t="str">
        <f>IFERROR(__xludf.DUMMYFUNCTION("""COMPUTED_VALUE"""),"格納済み")</f>
        <v>格納済み</v>
      </c>
      <c r="U3131" s="15" t="str">
        <f>IFERROR(__xludf.DUMMYFUNCTION("""COMPUTED_VALUE"""),"(C)KATTS")</f>
        <v>(C)KATTS</v>
      </c>
      <c r="V3131" s="8" t="str">
        <f>IFERROR(__xludf.DUMMYFUNCTION("""COMPUTED_VALUE"""),"『シュガー・ハイ・ナイト』8点「俺、もっと佳織お姉さんと仲良くなりたい」会社員の佳織は、仕事がうまくいかないモヤモヤを抱え、夜の繁華街の隅っこで飲んでいた。そこで突然、親し気に声をかけてきた年下男子――遼に愚痴を聞いてもらうことに。佳織を労わってあげたいという遼の誘いに、つい心が動いてしまい…。※本作は、ズレット！『シュガー・ハイ・ナイト【TL版】』の修正をやや弱めたものです。内容に差異はありませんので、重複購入にご注意ください。")</f>
        <v>『シュガー・ハイ・ナイト』8点「俺、もっと佳織お姉さんと仲良くなりたい」会社員の佳織は、仕事がうまくいかないモヤモヤを抱え、夜の繁華街の隅っこで飲んでいた。そこで突然、親し気に声をかけてきた年下男子――遼に愚痴を聞いてもらうことに。佳織を労わってあげたいという遼の誘いに、つい心が動いてしまい…。※本作は、ズレット！『シュガー・ハイ・ナイト【TL版】』の修正をやや弱めたものです。内容に差異はありませんので、重複購入にご注意ください。</v>
      </c>
      <c r="W3131" s="14"/>
      <c r="X3131" s="14" t="str">
        <f>IFERROR(__xludf.DUMMYFUNCTION("""COMPUTED_VALUE"""),"有")</f>
        <v>有</v>
      </c>
      <c r="Y3131" s="8" t="str">
        <f>IFERROR(__xludf.DUMMYFUNCTION("""COMPUTED_VALUE"""),"P13まで")</f>
        <v>P13まで</v>
      </c>
      <c r="Z3131" s="7"/>
      <c r="AA3131" s="7"/>
      <c r="AB3131" s="7"/>
    </row>
    <row r="3132" ht="15.75" customHeight="1">
      <c r="A3132" s="153">
        <f>IFERROR(__xludf.DUMMYFUNCTION("""COMPUTED_VALUE"""),5247.0)</f>
        <v>5247</v>
      </c>
      <c r="B3132" s="152" t="str">
        <f>IFERROR(__xludf.DUMMYFUNCTION("""COMPUTED_VALUE"""),"確定")</f>
        <v>確定</v>
      </c>
      <c r="C3132" s="154">
        <f>IFERROR(__xludf.DUMMYFUNCTION("""COMPUTED_VALUE"""),45728.0)</f>
        <v>45728</v>
      </c>
      <c r="D3132" s="154">
        <f>IFERROR(__xludf.DUMMYFUNCTION("""COMPUTED_VALUE"""),45747.0)</f>
        <v>45747</v>
      </c>
      <c r="E3132" s="158">
        <f>IFERROR(__xludf.DUMMYFUNCTION("""COMPUTED_VALUE"""),319949.0)</f>
        <v>319949</v>
      </c>
      <c r="F3132" s="159" t="str">
        <f>IFERROR(__xludf.DUMMYFUNCTION("""COMPUTED_VALUE"""),"篠塚作品集【TL版】")</f>
        <v>篠塚作品集【TL版】</v>
      </c>
      <c r="G3132" s="153">
        <f>IFERROR(__xludf.DUMMYFUNCTION("""COMPUTED_VALUE"""),1.0)</f>
        <v>1</v>
      </c>
      <c r="H3132" s="152" t="str">
        <f>IFERROR(__xludf.DUMMYFUNCTION("""COMPUTED_VALUE"""),"篠塚┴ロティス編集部")</f>
        <v>篠塚┴ロティス編集部</v>
      </c>
      <c r="I3132" s="152" t="str">
        <f>IFERROR(__xludf.DUMMYFUNCTION("""COMPUTED_VALUE"""),"TL")</f>
        <v>TL</v>
      </c>
      <c r="J3132" s="157"/>
      <c r="K3132" s="152" t="str">
        <f>IFERROR(__xludf.DUMMYFUNCTION("""COMPUTED_VALUE"""),"ズレット！")</f>
        <v>ズレット！</v>
      </c>
      <c r="L3132" s="152" t="str">
        <f>IFERROR(__xludf.DUMMYFUNCTION("""COMPUTED_VALUE"""),"ライブコミックス")</f>
        <v>ライブコミックス</v>
      </c>
      <c r="M3132" s="154">
        <f>IFERROR(__xludf.DUMMYFUNCTION("""COMPUTED_VALUE"""),45765.0)</f>
        <v>45765</v>
      </c>
      <c r="N3132" s="59">
        <f>IFERROR(__xludf.DUMMYFUNCTION("""COMPUTED_VALUE"""),45827.0)</f>
        <v>45827</v>
      </c>
      <c r="O3132" s="152"/>
      <c r="P3132" s="152" t="str">
        <f>IFERROR(__xludf.DUMMYFUNCTION("""COMPUTED_VALUE"""),"可")</f>
        <v>可</v>
      </c>
      <c r="Q3132" s="190" t="str">
        <f>IFERROR(__xludf.DUMMYFUNCTION("""COMPUTED_VALUE"""),"河上さんへ事前に調整した件です")</f>
        <v>河上さんへ事前に調整した件です</v>
      </c>
      <c r="R3132" s="152"/>
      <c r="S3132" s="152" t="str">
        <f>IFERROR(__xludf.DUMMYFUNCTION("""COMPUTED_VALUE"""),"20250327_Booklive_【通常】篠塚_ぜんぶ、東郷くんの手のひらの上_30P")</f>
        <v>20250327_Booklive_【通常】篠塚_ぜんぶ、東郷くんの手のひらの上_30P</v>
      </c>
      <c r="T3132" s="152" t="str">
        <f>IFERROR(__xludf.DUMMYFUNCTION("""COMPUTED_VALUE"""),"格納済み")</f>
        <v>格納済み</v>
      </c>
      <c r="U3132" s="15" t="str">
        <f>IFERROR(__xludf.DUMMYFUNCTION("""COMPUTED_VALUE"""),"(C)篠塚/ライブコミックス")</f>
        <v>(C)篠塚/ライブコミックス</v>
      </c>
      <c r="V3132" s="8" t="str">
        <f>IFERROR(__xludf.DUMMYFUNCTION("""COMPUTED_VALUE"""),"『ぜんぶ、東郷くんの手のひらの上』篠塚「佑衣ちゃんのやらしいところ、もっと見せて？」地元で旧友たちと飲んだ帰り。仕事も人間関係もうまくいかず、気分が晴れない佑衣は、かつての同級生・東郷蓮と再会する。大人になった東郷は、家業を継いで裏の世界にいるという。駄目だと思うのに、男らしく色気のある彼に惹かれてしまい…。※本作は、KATTS『ぜんぶ、東郷くんの手のひらの上【R版】』の修正をやや弱めたものです。内容に差異はありませんので、重複購入にご注意ください。")</f>
        <v>『ぜんぶ、東郷くんの手のひらの上』篠塚「佑衣ちゃんのやらしいところ、もっと見せて？」地元で旧友たちと飲んだ帰り。仕事も人間関係もうまくいかず、気分が晴れない佑衣は、かつての同級生・東郷蓮と再会する。大人になった東郷は、家業を継いで裏の世界にいるという。駄目だと思うのに、男らしく色気のある彼に惹かれてしまい…。※本作は、KATTS『ぜんぶ、東郷くんの手のひらの上【R版】』の修正をやや弱めたものです。内容に差異はありませんので、重複購入にご注意ください。</v>
      </c>
      <c r="W3132" s="14"/>
      <c r="X3132" s="14" t="str">
        <f>IFERROR(__xludf.DUMMYFUNCTION("""COMPUTED_VALUE"""),"有")</f>
        <v>有</v>
      </c>
      <c r="Y3132" s="8" t="str">
        <f>IFERROR(__xludf.DUMMYFUNCTION("""COMPUTED_VALUE"""),"P15まで")</f>
        <v>P15まで</v>
      </c>
      <c r="Z3132" s="7"/>
      <c r="AA3132" s="7"/>
      <c r="AB3132" s="7"/>
    </row>
    <row r="3133" ht="15.75" customHeight="1">
      <c r="A3133" s="153">
        <f>IFERROR(__xludf.DUMMYFUNCTION("""COMPUTED_VALUE"""),5248.0)</f>
        <v>5248</v>
      </c>
      <c r="B3133" s="152" t="str">
        <f>IFERROR(__xludf.DUMMYFUNCTION("""COMPUTED_VALUE"""),"確定")</f>
        <v>確定</v>
      </c>
      <c r="C3133" s="154">
        <f>IFERROR(__xludf.DUMMYFUNCTION("""COMPUTED_VALUE"""),45728.0)</f>
        <v>45728</v>
      </c>
      <c r="D3133" s="154">
        <f>IFERROR(__xludf.DUMMYFUNCTION("""COMPUTED_VALUE"""),45747.0)</f>
        <v>45747</v>
      </c>
      <c r="E3133" s="158">
        <f>IFERROR(__xludf.DUMMYFUNCTION("""COMPUTED_VALUE"""),319942.0)</f>
        <v>319942</v>
      </c>
      <c r="F3133" s="159" t="str">
        <f>IFERROR(__xludf.DUMMYFUNCTION("""COMPUTED_VALUE"""),"篠塚作品集【R版】")</f>
        <v>篠塚作品集【R版】</v>
      </c>
      <c r="G3133" s="153">
        <f>IFERROR(__xludf.DUMMYFUNCTION("""COMPUTED_VALUE"""),1.0)</f>
        <v>1</v>
      </c>
      <c r="H3133" s="152" t="str">
        <f>IFERROR(__xludf.DUMMYFUNCTION("""COMPUTED_VALUE"""),"篠塚┴穴乱┴ロティス編集部")</f>
        <v>篠塚┴穴乱┴ロティス編集部</v>
      </c>
      <c r="I3133" s="164" t="str">
        <f>IFERROR(__xludf.DUMMYFUNCTION("""COMPUTED_VALUE"""),"アダルトマンガ")</f>
        <v>アダルトマンガ</v>
      </c>
      <c r="J3133" s="166"/>
      <c r="K3133" s="157"/>
      <c r="L3133" s="152" t="str">
        <f>IFERROR(__xludf.DUMMYFUNCTION("""COMPUTED_VALUE"""),"KATTS")</f>
        <v>KATTS</v>
      </c>
      <c r="M3133" s="154">
        <f>IFERROR(__xludf.DUMMYFUNCTION("""COMPUTED_VALUE"""),45765.0)</f>
        <v>45765</v>
      </c>
      <c r="N3133" s="59">
        <f>IFERROR(__xludf.DUMMYFUNCTION("""COMPUTED_VALUE"""),45827.0)</f>
        <v>45827</v>
      </c>
      <c r="O3133" s="152"/>
      <c r="P3133" s="152" t="str">
        <f>IFERROR(__xludf.DUMMYFUNCTION("""COMPUTED_VALUE"""),"可")</f>
        <v>可</v>
      </c>
      <c r="Q3133" s="190" t="str">
        <f>IFERROR(__xludf.DUMMYFUNCTION("""COMPUTED_VALUE"""),"河上さんへ事前に調整した件です")</f>
        <v>河上さんへ事前に調整した件です</v>
      </c>
      <c r="R3133" s="152"/>
      <c r="S3133" s="152" t="str">
        <f>IFERROR(__xludf.DUMMYFUNCTION("""COMPUTED_VALUE"""),"20250327_Booklive_【R版】篠塚_ぜんぶ、東郷くんの手のひらの上_30P")</f>
        <v>20250327_Booklive_【R版】篠塚_ぜんぶ、東郷くんの手のひらの上_30P</v>
      </c>
      <c r="T3133" s="152" t="str">
        <f>IFERROR(__xludf.DUMMYFUNCTION("""COMPUTED_VALUE"""),"格納済み")</f>
        <v>格納済み</v>
      </c>
      <c r="U3133" s="15" t="str">
        <f>IFERROR(__xludf.DUMMYFUNCTION("""COMPUTED_VALUE"""),"(C)KATTS")</f>
        <v>(C)KATTS</v>
      </c>
      <c r="V3133" s="8" t="str">
        <f>IFERROR(__xludf.DUMMYFUNCTION("""COMPUTED_VALUE"""),"『ぜんぶ、東郷くんの手のひらの上』篠塚「佑衣ちゃんのやらしいところ、もっと見せて？」地元で旧友たちと飲んだ帰り。仕事も人間関係もうまくいかず、気分が晴れない佑衣は、かつての同級生・東郷蓮と再会する。大人になった東郷は、家業を継いで裏の世界にいるという。駄目だと思うのに、男らしく色気のある彼に惹かれてしまい…。※本作は、ズレット！『ぜんぶ、東郷くんの手のひらの上【TL版】』の修正をやや弱めたものです。内容に差異はありませんので、重複購入にご注意ください。")</f>
        <v>『ぜんぶ、東郷くんの手のひらの上』篠塚「佑衣ちゃんのやらしいところ、もっと見せて？」地元で旧友たちと飲んだ帰り。仕事も人間関係もうまくいかず、気分が晴れない佑衣は、かつての同級生・東郷蓮と再会する。大人になった東郷は、家業を継いで裏の世界にいるという。駄目だと思うのに、男らしく色気のある彼に惹かれてしまい…。※本作は、ズレット！『ぜんぶ、東郷くんの手のひらの上【TL版】』の修正をやや弱めたものです。内容に差異はありませんので、重複購入にご注意ください。</v>
      </c>
      <c r="W3133" s="14"/>
      <c r="X3133" s="14" t="str">
        <f>IFERROR(__xludf.DUMMYFUNCTION("""COMPUTED_VALUE"""),"有")</f>
        <v>有</v>
      </c>
      <c r="Y3133" s="8" t="str">
        <f>IFERROR(__xludf.DUMMYFUNCTION("""COMPUTED_VALUE"""),"P15まで")</f>
        <v>P15まで</v>
      </c>
      <c r="Z3133" s="7"/>
      <c r="AA3133" s="7"/>
      <c r="AB3133" s="7"/>
    </row>
    <row r="3134" ht="15.75" customHeight="1">
      <c r="A3134" s="153">
        <f>IFERROR(__xludf.DUMMYFUNCTION("""COMPUTED_VALUE"""),5249.0)</f>
        <v>5249</v>
      </c>
      <c r="B3134" s="152" t="str">
        <f>IFERROR(__xludf.DUMMYFUNCTION("""COMPUTED_VALUE"""),"確定")</f>
        <v>確定</v>
      </c>
      <c r="C3134" s="154">
        <f>IFERROR(__xludf.DUMMYFUNCTION("""COMPUTED_VALUE"""),45728.0)</f>
        <v>45728</v>
      </c>
      <c r="D3134" s="154">
        <f>IFERROR(__xludf.DUMMYFUNCTION("""COMPUTED_VALUE"""),45747.0)</f>
        <v>45747</v>
      </c>
      <c r="E3134" s="158">
        <f>IFERROR(__xludf.DUMMYFUNCTION("""COMPUTED_VALUE"""),319950.0)</f>
        <v>319950</v>
      </c>
      <c r="F3134" s="159" t="str">
        <f>IFERROR(__xludf.DUMMYFUNCTION("""COMPUTED_VALUE"""),"刺激を求めたその先で【TL版】")</f>
        <v>刺激を求めたその先で【TL版】</v>
      </c>
      <c r="G3134" s="153">
        <f>IFERROR(__xludf.DUMMYFUNCTION("""COMPUTED_VALUE"""),1.0)</f>
        <v>1</v>
      </c>
      <c r="H3134" s="152" t="str">
        <f>IFERROR(__xludf.DUMMYFUNCTION("""COMPUTED_VALUE"""),"ア缶BE┴ロティス編集部")</f>
        <v>ア缶BE┴ロティス編集部</v>
      </c>
      <c r="I3134" s="152" t="str">
        <f>IFERROR(__xludf.DUMMYFUNCTION("""COMPUTED_VALUE"""),"TL")</f>
        <v>TL</v>
      </c>
      <c r="J3134" s="157"/>
      <c r="K3134" s="152" t="str">
        <f>IFERROR(__xludf.DUMMYFUNCTION("""COMPUTED_VALUE"""),"ズレット！")</f>
        <v>ズレット！</v>
      </c>
      <c r="L3134" s="152" t="str">
        <f>IFERROR(__xludf.DUMMYFUNCTION("""COMPUTED_VALUE"""),"ライブコミックス")</f>
        <v>ライブコミックス</v>
      </c>
      <c r="M3134" s="154">
        <f>IFERROR(__xludf.DUMMYFUNCTION("""COMPUTED_VALUE"""),45765.0)</f>
        <v>45765</v>
      </c>
      <c r="N3134" s="59">
        <f>IFERROR(__xludf.DUMMYFUNCTION("""COMPUTED_VALUE"""),45827.0)</f>
        <v>45827</v>
      </c>
      <c r="O3134" s="152"/>
      <c r="P3134" s="152" t="str">
        <f>IFERROR(__xludf.DUMMYFUNCTION("""COMPUTED_VALUE"""),"可")</f>
        <v>可</v>
      </c>
      <c r="Q3134" s="190" t="str">
        <f>IFERROR(__xludf.DUMMYFUNCTION("""COMPUTED_VALUE"""),"河上さんへ事前に調整した件です")</f>
        <v>河上さんへ事前に調整した件です</v>
      </c>
      <c r="R3134" s="152"/>
      <c r="S3134" s="152" t="str">
        <f>IFERROR(__xludf.DUMMYFUNCTION("""COMPUTED_VALUE"""),"20250327_Booklive_【通常】ア缶BE_刺激を求めたその先で_32P")</f>
        <v>20250327_Booklive_【通常】ア缶BE_刺激を求めたその先で_32P</v>
      </c>
      <c r="T3134" s="152" t="str">
        <f>IFERROR(__xludf.DUMMYFUNCTION("""COMPUTED_VALUE"""),"格納済み")</f>
        <v>格納済み</v>
      </c>
      <c r="U3134" s="15" t="str">
        <f>IFERROR(__xludf.DUMMYFUNCTION("""COMPUTED_VALUE"""),"(C)ア缶BE/ライブコミックス")</f>
        <v>(C)ア缶BE/ライブコミックス</v>
      </c>
      <c r="V3134" s="8" t="str">
        <f>IFERROR(__xludf.DUMMYFUNCTION("""COMPUTED_VALUE"""),"『刺激を求めたその先で』ア缶BE同棲をしている彼氏に浮気をされてBarで荒れていた主人公は、隣で飲んでいた男に帰る家がないなら俺の家に来ればと誘われる。あきらかに普通の男じゃないと思いつつも、刺激的な夜を求めて彼の誘いに乗ることに…。※本作は、KATTS『刺激を求めたその先で【R版】』の修正をやや弱めたものです。内容に差異はありませんので、重複購入にご注意ください。")</f>
        <v>『刺激を求めたその先で』ア缶BE同棲をしている彼氏に浮気をされてBarで荒れていた主人公は、隣で飲んでいた男に帰る家がないなら俺の家に来ればと誘われる。あきらかに普通の男じゃないと思いつつも、刺激的な夜を求めて彼の誘いに乗ることに…。※本作は、KATTS『刺激を求めたその先で【R版】』の修正をやや弱めたものです。内容に差異はありませんので、重複購入にご注意ください。</v>
      </c>
      <c r="W3134" s="14"/>
      <c r="X3134" s="14" t="str">
        <f>IFERROR(__xludf.DUMMYFUNCTION("""COMPUTED_VALUE"""),"有")</f>
        <v>有</v>
      </c>
      <c r="Y3134" s="8" t="str">
        <f>IFERROR(__xludf.DUMMYFUNCTION("""COMPUTED_VALUE"""),"P13まで")</f>
        <v>P13まで</v>
      </c>
      <c r="Z3134" s="7"/>
      <c r="AA3134" s="7"/>
      <c r="AB3134" s="7"/>
    </row>
    <row r="3135" ht="15.75" customHeight="1">
      <c r="A3135" s="153">
        <f>IFERROR(__xludf.DUMMYFUNCTION("""COMPUTED_VALUE"""),5250.0)</f>
        <v>5250</v>
      </c>
      <c r="B3135" s="152" t="str">
        <f>IFERROR(__xludf.DUMMYFUNCTION("""COMPUTED_VALUE"""),"確定")</f>
        <v>確定</v>
      </c>
      <c r="C3135" s="154">
        <f>IFERROR(__xludf.DUMMYFUNCTION("""COMPUTED_VALUE"""),45728.0)</f>
        <v>45728</v>
      </c>
      <c r="D3135" s="154">
        <f>IFERROR(__xludf.DUMMYFUNCTION("""COMPUTED_VALUE"""),45747.0)</f>
        <v>45747</v>
      </c>
      <c r="E3135" s="158">
        <f>IFERROR(__xludf.DUMMYFUNCTION("""COMPUTED_VALUE"""),319943.0)</f>
        <v>319943</v>
      </c>
      <c r="F3135" s="159" t="str">
        <f>IFERROR(__xludf.DUMMYFUNCTION("""COMPUTED_VALUE"""),"刺激を求めたその先で【R版】")</f>
        <v>刺激を求めたその先で【R版】</v>
      </c>
      <c r="G3135" s="153">
        <f>IFERROR(__xludf.DUMMYFUNCTION("""COMPUTED_VALUE"""),1.0)</f>
        <v>1</v>
      </c>
      <c r="H3135" s="152" t="str">
        <f>IFERROR(__xludf.DUMMYFUNCTION("""COMPUTED_VALUE"""),"ア缶BE┴穴乱┴ロティス編集部")</f>
        <v>ア缶BE┴穴乱┴ロティス編集部</v>
      </c>
      <c r="I3135" s="164" t="str">
        <f>IFERROR(__xludf.DUMMYFUNCTION("""COMPUTED_VALUE"""),"アダルトマンガ")</f>
        <v>アダルトマンガ</v>
      </c>
      <c r="J3135" s="166"/>
      <c r="K3135" s="157"/>
      <c r="L3135" s="152" t="str">
        <f>IFERROR(__xludf.DUMMYFUNCTION("""COMPUTED_VALUE"""),"KATTS")</f>
        <v>KATTS</v>
      </c>
      <c r="M3135" s="154">
        <f>IFERROR(__xludf.DUMMYFUNCTION("""COMPUTED_VALUE"""),45765.0)</f>
        <v>45765</v>
      </c>
      <c r="N3135" s="59">
        <f>IFERROR(__xludf.DUMMYFUNCTION("""COMPUTED_VALUE"""),45827.0)</f>
        <v>45827</v>
      </c>
      <c r="O3135" s="152"/>
      <c r="P3135" s="152" t="str">
        <f>IFERROR(__xludf.DUMMYFUNCTION("""COMPUTED_VALUE"""),"可")</f>
        <v>可</v>
      </c>
      <c r="Q3135" s="190" t="str">
        <f>IFERROR(__xludf.DUMMYFUNCTION("""COMPUTED_VALUE"""),"河上さんへ事前に調整した件です")</f>
        <v>河上さんへ事前に調整した件です</v>
      </c>
      <c r="R3135" s="152"/>
      <c r="S3135" s="152" t="str">
        <f>IFERROR(__xludf.DUMMYFUNCTION("""COMPUTED_VALUE"""),"20250327_Booklive_【R版】ア缶BE_刺激を求めたその先で_32P")</f>
        <v>20250327_Booklive_【R版】ア缶BE_刺激を求めたその先で_32P</v>
      </c>
      <c r="T3135" s="152" t="str">
        <f>IFERROR(__xludf.DUMMYFUNCTION("""COMPUTED_VALUE"""),"格納済み")</f>
        <v>格納済み</v>
      </c>
      <c r="U3135" s="15" t="str">
        <f>IFERROR(__xludf.DUMMYFUNCTION("""COMPUTED_VALUE"""),"(C)KATTS")</f>
        <v>(C)KATTS</v>
      </c>
      <c r="V3135" s="8" t="str">
        <f>IFERROR(__xludf.DUMMYFUNCTION("""COMPUTED_VALUE"""),"『刺激を求めたその先で』ア缶BE同棲をしている彼氏に浮気をされてBarで荒れていた主人公は、隣で飲んでいた男に帰る家がないなら俺の家に来ればと誘われる。あきらかに普通の男じゃないと思いつつも、刺激的な夜を求めて彼の誘いに乗ることに…。※本作は、ズレット！『刺激を求めたその先で【TL版】』の修正をやや弱めたものです。内容に差異はありませんので、重複購入にご注意ください。")</f>
        <v>『刺激を求めたその先で』ア缶BE同棲をしている彼氏に浮気をされてBarで荒れていた主人公は、隣で飲んでいた男に帰る家がないなら俺の家に来ればと誘われる。あきらかに普通の男じゃないと思いつつも、刺激的な夜を求めて彼の誘いに乗ることに…。※本作は、ズレット！『刺激を求めたその先で【TL版】』の修正をやや弱めたものです。内容に差異はありませんので、重複購入にご注意ください。</v>
      </c>
      <c r="W3135" s="14"/>
      <c r="X3135" s="14" t="str">
        <f>IFERROR(__xludf.DUMMYFUNCTION("""COMPUTED_VALUE"""),"有")</f>
        <v>有</v>
      </c>
      <c r="Y3135" s="8" t="str">
        <f>IFERROR(__xludf.DUMMYFUNCTION("""COMPUTED_VALUE"""),"P13まで")</f>
        <v>P13まで</v>
      </c>
      <c r="Z3135" s="7"/>
      <c r="AA3135" s="7"/>
      <c r="AB3135" s="7"/>
    </row>
    <row r="3136" ht="15.75" customHeight="1">
      <c r="A3136" s="153">
        <f>IFERROR(__xludf.DUMMYFUNCTION("""COMPUTED_VALUE"""),5279.0)</f>
        <v>5279</v>
      </c>
      <c r="B3136" s="152" t="str">
        <f>IFERROR(__xludf.DUMMYFUNCTION("""COMPUTED_VALUE"""),"確定")</f>
        <v>確定</v>
      </c>
      <c r="C3136" s="154">
        <f>IFERROR(__xludf.DUMMYFUNCTION("""COMPUTED_VALUE"""),45734.0)</f>
        <v>45734</v>
      </c>
      <c r="D3136" s="154">
        <f>IFERROR(__xludf.DUMMYFUNCTION("""COMPUTED_VALUE"""),45748.0)</f>
        <v>45748</v>
      </c>
      <c r="E3136" s="155">
        <f>IFERROR(__xludf.DUMMYFUNCTION("""COMPUTED_VALUE"""),321059.0)</f>
        <v>321059</v>
      </c>
      <c r="F3136" s="156" t="str">
        <f>IFERROR(__xludf.DUMMYFUNCTION("""COMPUTED_VALUE"""),"こじれにこじれた義姉弟の話 【分冊版】")</f>
        <v>こじれにこじれた義姉弟の話 【分冊版】</v>
      </c>
      <c r="G3136" s="152" t="str">
        <f>IFERROR(__xludf.DUMMYFUNCTION("""COMPUTED_VALUE"""),"1～4")</f>
        <v>1～4</v>
      </c>
      <c r="H3136" s="152" t="str">
        <f>IFERROR(__xludf.DUMMYFUNCTION("""COMPUTED_VALUE"""),"飴降あめり")</f>
        <v>飴降あめり</v>
      </c>
      <c r="I3136" s="152" t="str">
        <f>IFERROR(__xludf.DUMMYFUNCTION("""COMPUTED_VALUE"""),"少女")</f>
        <v>少女</v>
      </c>
      <c r="J3136" s="157"/>
      <c r="K3136" s="157"/>
      <c r="L3136" s="152" t="str">
        <f>IFERROR(__xludf.DUMMYFUNCTION("""COMPUTED_VALUE"""),"スクウェア・エニックス")</f>
        <v>スクウェア・エニックス</v>
      </c>
      <c r="M3136" s="154">
        <f>IFERROR(__xludf.DUMMYFUNCTION("""COMPUTED_VALUE"""),45778.0)</f>
        <v>45778</v>
      </c>
      <c r="N3136" s="59">
        <f>IFERROR(__xludf.DUMMYFUNCTION("""COMPUTED_VALUE"""),45808.0)</f>
        <v>45808</v>
      </c>
      <c r="O3136" s="152"/>
      <c r="P3136" s="190" t="str">
        <f>IFERROR(__xludf.DUMMYFUNCTION("""COMPUTED_VALUE"""),"否")</f>
        <v>否</v>
      </c>
      <c r="Q3136" s="152"/>
      <c r="R3136" s="152" t="str">
        <f>IFERROR(__xludf.DUMMYFUNCTION("""COMPUTED_VALUE"""),"コミットNG")</f>
        <v>コミットNG</v>
      </c>
      <c r="S3136" s="152" t="str">
        <f>IFERROR(__xludf.DUMMYFUNCTION("""COMPUTED_VALUE"""),"20250318_スクウェア・エニックス_こじれにこじれた義姉弟の話")</f>
        <v>20250318_スクウェア・エニックス_こじれにこじれた義姉弟の話</v>
      </c>
      <c r="T3136" s="152" t="str">
        <f>IFERROR(__xludf.DUMMYFUNCTION("""COMPUTED_VALUE"""),"格納済み")</f>
        <v>格納済み</v>
      </c>
      <c r="U3136" s="15" t="str">
        <f>IFERROR(__xludf.DUMMYFUNCTION("""COMPUTED_VALUE"""),"(C)Ameri Amefuri/SQUARE ENIX")</f>
        <v>(C)Ameri Amefuri/SQUARE ENIX</v>
      </c>
      <c r="V3136" s="8" t="str">
        <f>IFERROR(__xludf.DUMMYFUNCTION("""COMPUTED_VALUE"""),"【恋しちゃいけない世界一大好きな人】
社会人の姉・六花と大学生の弟・凛。凜は10年以上、美人でしっかり者の姉にこっそり恋をしている。きっと弟としか思われてない、この気持ちは伝えられない…そう思っていたのに、六花と『デートの練習』をすることになり!?初めて名前で呼んで、手をつないで…恋人の距離感に、積もり積もった「好き」は決壊寸前!?SNSで話題沸騰中！隠し上手な二人のすれ違い焦れキュンラブ！
※この商品は「こじれにこじれた義姉弟の話」を1話ごとに分冊したものです。
(C)2025 Ameri Ame"&amp;"furi")</f>
        <v>【恋しちゃいけない世界一大好きな人】
社会人の姉・六花と大学生の弟・凛。凜は10年以上、美人でしっかり者の姉にこっそり恋をしている。きっと弟としか思われてない、この気持ちは伝えられない…そう思っていたのに、六花と『デートの練習』をすることになり!?初めて名前で呼んで、手をつないで…恋人の距離感に、積もり積もった「好き」は決壊寸前!?SNSで話題沸騰中！隠し上手な二人のすれ違い焦れキュンラブ！
※この商品は「こじれにこじれた義姉弟の話」を1話ごとに分冊したものです。
(C)2025 Ameri Amefuri</v>
      </c>
      <c r="W3136" s="14"/>
      <c r="X3136" s="14" t="str">
        <f>IFERROR(__xludf.DUMMYFUNCTION("""COMPUTED_VALUE"""),"有")</f>
        <v>有</v>
      </c>
      <c r="Y3136" s="8" t="str">
        <f>IFERROR(__xludf.DUMMYFUNCTION("""COMPUTED_VALUE"""),"2025/5/31まで1巻無料")</f>
        <v>2025/5/31まで1巻無料</v>
      </c>
      <c r="Z3136" s="7"/>
      <c r="AA3136" s="7"/>
      <c r="AB3136" s="7"/>
    </row>
    <row r="3137" ht="15.75" customHeight="1">
      <c r="A3137" s="153">
        <f>IFERROR(__xludf.DUMMYFUNCTION("""COMPUTED_VALUE"""),5280.0)</f>
        <v>5280</v>
      </c>
      <c r="B3137" s="152" t="str">
        <f>IFERROR(__xludf.DUMMYFUNCTION("""COMPUTED_VALUE"""),"確定")</f>
        <v>確定</v>
      </c>
      <c r="C3137" s="154">
        <f>IFERROR(__xludf.DUMMYFUNCTION("""COMPUTED_VALUE"""),45734.0)</f>
        <v>45734</v>
      </c>
      <c r="D3137" s="154">
        <f>IFERROR(__xludf.DUMMYFUNCTION("""COMPUTED_VALUE"""),45743.0)</f>
        <v>45743</v>
      </c>
      <c r="E3137" s="155">
        <f>IFERROR(__xludf.DUMMYFUNCTION("""COMPUTED_VALUE"""),321989.0)</f>
        <v>321989</v>
      </c>
      <c r="F3137" s="156" t="str">
        <f>IFERROR(__xludf.DUMMYFUNCTION("""COMPUTED_VALUE"""),"これは生贄の儚き幸福【白抜き修正版】")</f>
        <v>これは生贄の儚き幸福【白抜き修正版】</v>
      </c>
      <c r="G3137" s="152" t="str">
        <f>IFERROR(__xludf.DUMMYFUNCTION("""COMPUTED_VALUE"""),"1～3")</f>
        <v>1～3</v>
      </c>
      <c r="H3137" s="152" t="str">
        <f>IFERROR(__xludf.DUMMYFUNCTION("""COMPUTED_VALUE"""),"かみしまあきら")</f>
        <v>かみしまあきら</v>
      </c>
      <c r="I3137" s="152" t="str">
        <f>IFERROR(__xludf.DUMMYFUNCTION("""COMPUTED_VALUE"""),"TL")</f>
        <v>TL</v>
      </c>
      <c r="J3137" s="157"/>
      <c r="K3137" s="157"/>
      <c r="L3137" s="152" t="str">
        <f>IFERROR(__xludf.DUMMYFUNCTION("""COMPUTED_VALUE"""),"ナンバーナイン")</f>
        <v>ナンバーナイン</v>
      </c>
      <c r="M3137" s="154">
        <f>IFERROR(__xludf.DUMMYFUNCTION("""COMPUTED_VALUE"""),45779.0)</f>
        <v>45779</v>
      </c>
      <c r="N3137" s="59">
        <f>IFERROR(__xludf.DUMMYFUNCTION("""COMPUTED_VALUE"""),45839.0)</f>
        <v>45839</v>
      </c>
      <c r="O3137" s="152"/>
      <c r="P3137" s="190" t="str">
        <f>IFERROR(__xludf.DUMMYFUNCTION("""COMPUTED_VALUE"""),"可")</f>
        <v>可</v>
      </c>
      <c r="Q3137" s="152"/>
      <c r="R3137" s="152" t="str">
        <f>IFERROR(__xludf.DUMMYFUNCTION("""COMPUTED_VALUE"""),"コミットOK")</f>
        <v>コミットOK</v>
      </c>
      <c r="S3137" s="152" t="str">
        <f>IFERROR(__xludf.DUMMYFUNCTION("""COMPUTED_VALUE"""),"20250326_ナンバーナイン_これは生贄の儚き幸福【白抜き修正版】")</f>
        <v>20250326_ナンバーナイン_これは生贄の儚き幸福【白抜き修正版】</v>
      </c>
      <c r="T3137" s="152" t="str">
        <f>IFERROR(__xludf.DUMMYFUNCTION("""COMPUTED_VALUE"""),"格納済み")</f>
        <v>格納済み</v>
      </c>
      <c r="U3137" s="15" t="str">
        <f>IFERROR(__xludf.DUMMYFUNCTION("""COMPUTED_VALUE"""),"(C)かみしまあきら/ナンバーナイン")</f>
        <v>(C)かみしまあきら/ナンバーナイン</v>
      </c>
      <c r="V3137" s="8" t="str">
        <f>IFERROR(__xludf.DUMMYFUNCTION("""COMPUTED_VALUE"""),"※こちらは白抜き修正版の短編漫画になります
※触手、人外、ファンタジー表現が含まれます
【あらすじ】幼い頃から霊が視える体質を持った佐治沢朝菜。ホラー掲示板をキッカケにある事実を確かめに故郷へ戻る
とある場所へ足を運ぶと、結界の先から狐男が現れ別世界へと引きずり込まれる
ほんのりダークな異世界TL
全3話、本編描きおろしには転生後の二人の関係があります
28ページ")</f>
        <v>※こちらは白抜き修正版の短編漫画になります
※触手、人外、ファンタジー表現が含まれます
【あらすじ】幼い頃から霊が視える体質を持った佐治沢朝菜。ホラー掲示板をキッカケにある事実を確かめに故郷へ戻る
とある場所へ足を運ぶと、結界の先から狐男が現れ別世界へと引きずり込まれる
ほんのりダークな異世界TL
全3話、本編描きおろしには転生後の二人の関係があります
28ページ</v>
      </c>
      <c r="W3137" s="14"/>
      <c r="X3137" s="14" t="str">
        <f>IFERROR(__xludf.DUMMYFUNCTION("""COMPUTED_VALUE"""),"有")</f>
        <v>有</v>
      </c>
      <c r="Y3137" s="8" t="str">
        <f>IFERROR(__xludf.DUMMYFUNCTION("""COMPUTED_VALUE"""),"1巻無料")</f>
        <v>1巻無料</v>
      </c>
      <c r="Z3137" s="7"/>
      <c r="AA3137" s="7"/>
      <c r="AB3137" s="7"/>
    </row>
    <row r="3138" ht="15.75" customHeight="1">
      <c r="A3138" s="153">
        <f>IFERROR(__xludf.DUMMYFUNCTION("""COMPUTED_VALUE"""),5281.0)</f>
        <v>5281</v>
      </c>
      <c r="B3138" s="152" t="str">
        <f>IFERROR(__xludf.DUMMYFUNCTION("""COMPUTED_VALUE"""),"確定")</f>
        <v>確定</v>
      </c>
      <c r="C3138" s="154">
        <f>IFERROR(__xludf.DUMMYFUNCTION("""COMPUTED_VALUE"""),45734.0)</f>
        <v>45734</v>
      </c>
      <c r="D3138" s="154">
        <f>IFERROR(__xludf.DUMMYFUNCTION("""COMPUTED_VALUE"""),45748.0)</f>
        <v>45748</v>
      </c>
      <c r="E3138" s="155">
        <f>IFERROR(__xludf.DUMMYFUNCTION("""COMPUTED_VALUE"""),321994.0)</f>
        <v>321994</v>
      </c>
      <c r="F3138" s="156" t="str">
        <f>IFERROR(__xludf.DUMMYFUNCTION("""COMPUTED_VALUE"""),"これは生贄の儚き幸福【棒消し修正版】")</f>
        <v>これは生贄の儚き幸福【棒消し修正版】</v>
      </c>
      <c r="G3138" s="152" t="str">
        <f>IFERROR(__xludf.DUMMYFUNCTION("""COMPUTED_VALUE"""),"1～3")</f>
        <v>1～3</v>
      </c>
      <c r="H3138" s="152" t="str">
        <f>IFERROR(__xludf.DUMMYFUNCTION("""COMPUTED_VALUE"""),"かみしまあきら")</f>
        <v>かみしまあきら</v>
      </c>
      <c r="I3138" s="164" t="str">
        <f>IFERROR(__xludf.DUMMYFUNCTION("""COMPUTED_VALUE"""),"アダルトマンガ")</f>
        <v>アダルトマンガ</v>
      </c>
      <c r="J3138" s="166"/>
      <c r="K3138" s="157"/>
      <c r="L3138" s="152" t="str">
        <f>IFERROR(__xludf.DUMMYFUNCTION("""COMPUTED_VALUE"""),"ナンバーナイン")</f>
        <v>ナンバーナイン</v>
      </c>
      <c r="M3138" s="154">
        <f>IFERROR(__xludf.DUMMYFUNCTION("""COMPUTED_VALUE"""),45779.0)</f>
        <v>45779</v>
      </c>
      <c r="N3138" s="59">
        <f>IFERROR(__xludf.DUMMYFUNCTION("""COMPUTED_VALUE"""),45839.0)</f>
        <v>45839</v>
      </c>
      <c r="O3138" s="152"/>
      <c r="P3138" s="190" t="str">
        <f>IFERROR(__xludf.DUMMYFUNCTION("""COMPUTED_VALUE"""),"可")</f>
        <v>可</v>
      </c>
      <c r="Q3138" s="152"/>
      <c r="R3138" s="152" t="str">
        <f>IFERROR(__xludf.DUMMYFUNCTION("""COMPUTED_VALUE"""),"コミットOK")</f>
        <v>コミットOK</v>
      </c>
      <c r="S3138" s="152" t="str">
        <f>IFERROR(__xludf.DUMMYFUNCTION("""COMPUTED_VALUE"""),"20250326_ナンバーナイン_これは生贄の儚き幸福【棒消し修正版】")</f>
        <v>20250326_ナンバーナイン_これは生贄の儚き幸福【棒消し修正版】</v>
      </c>
      <c r="T3138" s="152" t="str">
        <f>IFERROR(__xludf.DUMMYFUNCTION("""COMPUTED_VALUE"""),"格納済み")</f>
        <v>格納済み</v>
      </c>
      <c r="U3138" s="15" t="str">
        <f>IFERROR(__xludf.DUMMYFUNCTION("""COMPUTED_VALUE"""),"(C)かみしまあきら/ナンバーナイン")</f>
        <v>(C)かみしまあきら/ナンバーナイン</v>
      </c>
      <c r="V3138" s="8" t="str">
        <f>IFERROR(__xludf.DUMMYFUNCTION("""COMPUTED_VALUE"""),"※こちらは【棒消し修正版】の短編漫画になります
※触手、人外、ファンタジー、過激な性描写が含まれます
【あらすじ】幼い頃から霊が視える体質を持った佐治沢朝菜。ホラー掲示板をキッカケにある事実を確かめに故郷へ戻る
とある場所へ足を運ぶと、結界の先から狐男が現れ別世界へと引きずり込まれる
ほんのりダークな異世界TL
全3話、本編描きおろしには転生後の二人の関係があります
28ページ")</f>
        <v>※こちらは【棒消し修正版】の短編漫画になります
※触手、人外、ファンタジー、過激な性描写が含まれます
【あらすじ】幼い頃から霊が視える体質を持った佐治沢朝菜。ホラー掲示板をキッカケにある事実を確かめに故郷へ戻る
とある場所へ足を運ぶと、結界の先から狐男が現れ別世界へと引きずり込まれる
ほんのりダークな異世界TL
全3話、本編描きおろしには転生後の二人の関係があります
28ページ</v>
      </c>
      <c r="W3138" s="14"/>
      <c r="X3138" s="14" t="str">
        <f>IFERROR(__xludf.DUMMYFUNCTION("""COMPUTED_VALUE"""),"有")</f>
        <v>有</v>
      </c>
      <c r="Y3138" s="8" t="str">
        <f>IFERROR(__xludf.DUMMYFUNCTION("""COMPUTED_VALUE"""),"1巻無料")</f>
        <v>1巻無料</v>
      </c>
      <c r="Z3138" s="7"/>
      <c r="AA3138" s="7"/>
      <c r="AB3138" s="7"/>
    </row>
    <row r="3139" ht="15.75" customHeight="1">
      <c r="A3139" s="153">
        <f>IFERROR(__xludf.DUMMYFUNCTION("""COMPUTED_VALUE"""),5282.0)</f>
        <v>5282</v>
      </c>
      <c r="B3139" s="152" t="str">
        <f>IFERROR(__xludf.DUMMYFUNCTION("""COMPUTED_VALUE"""),"確定")</f>
        <v>確定</v>
      </c>
      <c r="C3139" s="154">
        <f>IFERROR(__xludf.DUMMYFUNCTION("""COMPUTED_VALUE"""),45734.0)</f>
        <v>45734</v>
      </c>
      <c r="D3139" s="154">
        <f>IFERROR(__xludf.DUMMYFUNCTION("""COMPUTED_VALUE"""),45748.0)</f>
        <v>45748</v>
      </c>
      <c r="E3139" s="155">
        <f>IFERROR(__xludf.DUMMYFUNCTION("""COMPUTED_VALUE"""),320549.0)</f>
        <v>320549</v>
      </c>
      <c r="F3139" s="156" t="str">
        <f>IFERROR(__xludf.DUMMYFUNCTION("""COMPUTED_VALUE"""),"輪廻の花嫁～死に戻った私が鬼神の最愛になるまで～")</f>
        <v>輪廻の花嫁～死に戻った私が鬼神の最愛になるまで～</v>
      </c>
      <c r="G3139" s="152" t="str">
        <f>IFERROR(__xludf.DUMMYFUNCTION("""COMPUTED_VALUE"""),"1～4")</f>
        <v>1～4</v>
      </c>
      <c r="H3139" s="152" t="str">
        <f>IFERROR(__xludf.DUMMYFUNCTION("""COMPUTED_VALUE"""),"原作∕⼀ノ瀬亜⼦ ネーム∕中⼭皇 作画∕⽶道おにぎり")</f>
        <v>原作∕⼀ノ瀬亜⼦ ネーム∕中⼭皇 作画∕⽶道おにぎり</v>
      </c>
      <c r="I3139" s="152" t="str">
        <f>IFERROR(__xludf.DUMMYFUNCTION("""COMPUTED_VALUE"""),"少女")</f>
        <v>少女</v>
      </c>
      <c r="J3139" s="157"/>
      <c r="K3139" s="157"/>
      <c r="L3139" s="152" t="str">
        <f>IFERROR(__xludf.DUMMYFUNCTION("""COMPUTED_VALUE"""),"taskey")</f>
        <v>taskey</v>
      </c>
      <c r="M3139" s="154">
        <f>IFERROR(__xludf.DUMMYFUNCTION("""COMPUTED_VALUE"""),45775.0)</f>
        <v>45775</v>
      </c>
      <c r="N3139" s="154">
        <f>IFERROR(__xludf.DUMMYFUNCTION("""COMPUTED_VALUE"""),45865.66666666667)</f>
        <v>45865.66667</v>
      </c>
      <c r="O3139" s="152"/>
      <c r="P3139" s="190" t="str">
        <f>IFERROR(__xludf.DUMMYFUNCTION("""COMPUTED_VALUE"""),"可")</f>
        <v>可</v>
      </c>
      <c r="Q3139" s="152"/>
      <c r="R3139" s="152" t="str">
        <f>IFERROR(__xludf.DUMMYFUNCTION("""COMPUTED_VALUE"""),"コミットOK")</f>
        <v>コミットOK</v>
      </c>
      <c r="S3139" s="152" t="str">
        <f>IFERROR(__xludf.DUMMYFUNCTION("""COMPUTED_VALUE"""),"20250331_taekey_輪廻の花嫁")</f>
        <v>20250331_taekey_輪廻の花嫁</v>
      </c>
      <c r="T3139" s="152" t="str">
        <f>IFERROR(__xludf.DUMMYFUNCTION("""COMPUTED_VALUE"""),"格納済み")</f>
        <v>格納済み</v>
      </c>
      <c r="U3139" s="15" t="str">
        <f>IFERROR(__xludf.DUMMYFUNCTION("""COMPUTED_VALUE"""),"©︎taskey　原作／一ノ瀬亜子　ネーム／中山理趣　作画／米道おにぎり")</f>
        <v>©︎taskey　原作／一ノ瀬亜子　ネーム／中山理趣　作画／米道おにぎり</v>
      </c>
      <c r="V3139" s="8" t="str">
        <f>IFERROR(__xludf.DUMMYFUNCTION("""COMPUTED_VALUE"""),"あやかしと人間が混在する帝都。ある日、没落華族の令嬢である万緒のもとに、妖祓いの名家である「天馬家」当主から縁談が届く。「なぜこんな素敵な話を私に…？」驚きながらも万緒は家族のために、天馬家へ嫁ぐことを決める。しかし、そこで待っていたのは虐げの毎日だった。夫や義家族たちから「無能の嫁」と蔑まれながらも、縁談をくれたご恩を返そうと必死に働く万緒。けど、この縁談には天馬家の大きな思惑があって…。")</f>
        <v>あやかしと人間が混在する帝都。ある日、没落華族の令嬢である万緒のもとに、妖祓いの名家である「天馬家」当主から縁談が届く。「なぜこんな素敵な話を私に…？」驚きながらも万緒は家族のために、天馬家へ嫁ぐことを決める。しかし、そこで待っていたのは虐げの毎日だった。夫や義家族たちから「無能の嫁」と蔑まれながらも、縁談をくれたご恩を返そうと必死に働く万緒。けど、この縁談には天馬家の大きな思惑があって…。</v>
      </c>
      <c r="W3139" s="14"/>
      <c r="X3139" s="14" t="str">
        <f>IFERROR(__xludf.DUMMYFUNCTION("""COMPUTED_VALUE"""),"有")</f>
        <v>有</v>
      </c>
      <c r="Y3139" s="8" t="str">
        <f>IFERROR(__xludf.DUMMYFUNCTION("""COMPUTED_VALUE"""),"2025/6/27まで1巻無料")</f>
        <v>2025/6/27まで1巻無料</v>
      </c>
      <c r="Z3139" s="7"/>
      <c r="AA3139" s="7"/>
      <c r="AB3139" s="7"/>
    </row>
    <row r="3140" ht="15.75" customHeight="1">
      <c r="A3140" s="153">
        <f>IFERROR(__xludf.DUMMYFUNCTION("""COMPUTED_VALUE"""),5288.0)</f>
        <v>5288</v>
      </c>
      <c r="B3140" s="152" t="str">
        <f>IFERROR(__xludf.DUMMYFUNCTION("""COMPUTED_VALUE"""),"確定")</f>
        <v>確定</v>
      </c>
      <c r="C3140" s="154">
        <f>IFERROR(__xludf.DUMMYFUNCTION("""COMPUTED_VALUE"""),45735.0)</f>
        <v>45735</v>
      </c>
      <c r="D3140" s="154">
        <f>IFERROR(__xludf.DUMMYFUNCTION("""COMPUTED_VALUE"""),45748.0)</f>
        <v>45748</v>
      </c>
      <c r="E3140" s="155">
        <f>IFERROR(__xludf.DUMMYFUNCTION("""COMPUTED_VALUE"""),321991.0)</f>
        <v>321991</v>
      </c>
      <c r="F3140" s="156" t="str">
        <f>IFERROR(__xludf.DUMMYFUNCTION("""COMPUTED_VALUE"""),"刺青ピアスの透真さんは私の事を駄目にしたい")</f>
        <v>刺青ピアスの透真さんは私の事を駄目にしたい</v>
      </c>
      <c r="G3140" s="152" t="str">
        <f>IFERROR(__xludf.DUMMYFUNCTION("""COMPUTED_VALUE"""),"1～4")</f>
        <v>1～4</v>
      </c>
      <c r="H3140" s="152" t="str">
        <f>IFERROR(__xludf.DUMMYFUNCTION("""COMPUTED_VALUE"""),"柚木マチ")</f>
        <v>柚木マチ</v>
      </c>
      <c r="I3140" s="152" t="str">
        <f>IFERROR(__xludf.DUMMYFUNCTION("""COMPUTED_VALUE"""),"TL")</f>
        <v>TL</v>
      </c>
      <c r="J3140" s="157"/>
      <c r="K3140" s="157"/>
      <c r="L3140" s="152" t="str">
        <f>IFERROR(__xludf.DUMMYFUNCTION("""COMPUTED_VALUE"""),"ナンバーナイン")</f>
        <v>ナンバーナイン</v>
      </c>
      <c r="M3140" s="154">
        <f>IFERROR(__xludf.DUMMYFUNCTION("""COMPUTED_VALUE"""),45779.0)</f>
        <v>45779</v>
      </c>
      <c r="N3140" s="59">
        <f>IFERROR(__xludf.DUMMYFUNCTION("""COMPUTED_VALUE"""),45839.0)</f>
        <v>45839</v>
      </c>
      <c r="O3140" s="152"/>
      <c r="P3140" s="190" t="str">
        <f>IFERROR(__xludf.DUMMYFUNCTION("""COMPUTED_VALUE"""),"可")</f>
        <v>可</v>
      </c>
      <c r="Q3140" s="152"/>
      <c r="R3140" s="152" t="str">
        <f>IFERROR(__xludf.DUMMYFUNCTION("""COMPUTED_VALUE"""),"コミットOK")</f>
        <v>コミットOK</v>
      </c>
      <c r="S3140" s="152" t="str">
        <f>IFERROR(__xludf.DUMMYFUNCTION("""COMPUTED_VALUE"""),"20250326_ナンバーナイン_刺青ピアスの透真さんは私の事を駄目にしたい")</f>
        <v>20250326_ナンバーナイン_刺青ピアスの透真さんは私の事を駄目にしたい</v>
      </c>
      <c r="T3140" s="152" t="str">
        <f>IFERROR(__xludf.DUMMYFUNCTION("""COMPUTED_VALUE"""),"格納済み")</f>
        <v>格納済み</v>
      </c>
      <c r="U3140" s="15" t="str">
        <f>IFERROR(__xludf.DUMMYFUNCTION("""COMPUTED_VALUE"""),"(C)柚木マチ/ナンバーナイン")</f>
        <v>(C)柚木マチ/ナンバーナイン</v>
      </c>
      <c r="V3140" s="8" t="str">
        <f>IFERROR(__xludf.DUMMYFUNCTION("""COMPUTED_VALUE"""),"《本作は同人誌となります》
オンラインゲームから仲良くなったゲーム仲間のTOMA(トーマ)さん。
普段から優しいトーマに惹かれている深月(みつき)は、トーマからの誘いで初めて会うことに
だが、待ち合わせ場所に現れたのは刺青にピアスの大男だった…
見た目に怖がりつつも断ることが出来なかった深月だったが 時間が経つにつれトーマの優しい部分が見えてきて――…
帰りたくない…そう思っての行動だったのに 勘違いをされた深月はトーマからの嫉妬に責め立てられることになる...
16ページ")</f>
        <v>《本作は同人誌となります》
オンラインゲームから仲良くなったゲーム仲間のTOMA(トーマ)さん。
普段から優しいトーマに惹かれている深月(みつき)は、トーマからの誘いで初めて会うことに
だが、待ち合わせ場所に現れたのは刺青にピアスの大男だった…
見た目に怖がりつつも断ることが出来なかった深月だったが 時間が経つにつれトーマの優しい部分が見えてきて――…
帰りたくない…そう思っての行動だったのに 勘違いをされた深月はトーマからの嫉妬に責め立てられることになる...
16ページ</v>
      </c>
      <c r="W3140" s="14"/>
      <c r="X3140" s="14" t="str">
        <f>IFERROR(__xludf.DUMMYFUNCTION("""COMPUTED_VALUE"""),"有")</f>
        <v>有</v>
      </c>
      <c r="Y3140" s="8" t="str">
        <f>IFERROR(__xludf.DUMMYFUNCTION("""COMPUTED_VALUE"""),"1巻無料")</f>
        <v>1巻無料</v>
      </c>
      <c r="Z3140" s="7"/>
      <c r="AA3140" s="7"/>
      <c r="AB3140" s="7"/>
    </row>
    <row r="3141" ht="15.75" customHeight="1">
      <c r="A3141" s="153">
        <f>IFERROR(__xludf.DUMMYFUNCTION("""COMPUTED_VALUE"""),5289.0)</f>
        <v>5289</v>
      </c>
      <c r="B3141" s="152" t="str">
        <f>IFERROR(__xludf.DUMMYFUNCTION("""COMPUTED_VALUE"""),"確定")</f>
        <v>確定</v>
      </c>
      <c r="C3141" s="154">
        <f>IFERROR(__xludf.DUMMYFUNCTION("""COMPUTED_VALUE"""),45735.0)</f>
        <v>45735</v>
      </c>
      <c r="D3141" s="154">
        <f>IFERROR(__xludf.DUMMYFUNCTION("""COMPUTED_VALUE"""),45742.0)</f>
        <v>45742</v>
      </c>
      <c r="E3141" s="155">
        <f>IFERROR(__xludf.DUMMYFUNCTION("""COMPUTED_VALUE"""),321992.0)</f>
        <v>321992</v>
      </c>
      <c r="F3141" s="156" t="str">
        <f>IFERROR(__xludf.DUMMYFUNCTION("""COMPUTED_VALUE"""),"刺青ピアスの透真さんは私の事を駄目にしたい【合冊版】")</f>
        <v>刺青ピアスの透真さんは私の事を駄目にしたい【合冊版】</v>
      </c>
      <c r="G3141" s="152">
        <f>IFERROR(__xludf.DUMMYFUNCTION("""COMPUTED_VALUE"""),1.0)</f>
        <v>1</v>
      </c>
      <c r="H3141" s="152" t="str">
        <f>IFERROR(__xludf.DUMMYFUNCTION("""COMPUTED_VALUE"""),"柚木マチ")</f>
        <v>柚木マチ</v>
      </c>
      <c r="I3141" s="152" t="str">
        <f>IFERROR(__xludf.DUMMYFUNCTION("""COMPUTED_VALUE"""),"TL")</f>
        <v>TL</v>
      </c>
      <c r="J3141" s="157"/>
      <c r="K3141" s="157"/>
      <c r="L3141" s="152" t="str">
        <f>IFERROR(__xludf.DUMMYFUNCTION("""COMPUTED_VALUE"""),"ナンバーナイン")</f>
        <v>ナンバーナイン</v>
      </c>
      <c r="M3141" s="154">
        <f>IFERROR(__xludf.DUMMYFUNCTION("""COMPUTED_VALUE"""),45779.0)</f>
        <v>45779</v>
      </c>
      <c r="N3141" s="59">
        <f>IFERROR(__xludf.DUMMYFUNCTION("""COMPUTED_VALUE"""),45839.0)</f>
        <v>45839</v>
      </c>
      <c r="O3141" s="152"/>
      <c r="P3141" s="190" t="str">
        <f>IFERROR(__xludf.DUMMYFUNCTION("""COMPUTED_VALUE"""),"可")</f>
        <v>可</v>
      </c>
      <c r="Q3141" s="190"/>
      <c r="R3141" s="152"/>
      <c r="S3141" s="152" t="str">
        <f>IFERROR(__xludf.DUMMYFUNCTION("""COMPUTED_VALUE"""),"20250326_ナンバーナイン_刺青ピアスの透真さんは私の事を駄目にしたい【合冊版】")</f>
        <v>20250326_ナンバーナイン_刺青ピアスの透真さんは私の事を駄目にしたい【合冊版】</v>
      </c>
      <c r="T3141" s="152" t="str">
        <f>IFERROR(__xludf.DUMMYFUNCTION("""COMPUTED_VALUE"""),"格納済み")</f>
        <v>格納済み</v>
      </c>
      <c r="U3141" s="15" t="str">
        <f>IFERROR(__xludf.DUMMYFUNCTION("""COMPUTED_VALUE"""),"(C)柚木マチ/ナンバーナイン")</f>
        <v>(C)柚木マチ/ナンバーナイン</v>
      </c>
      <c r="V3141" s="8" t="str">
        <f>IFERROR(__xludf.DUMMYFUNCTION("""COMPUTED_VALUE"""),"《本作は同人誌となります》
オンラインゲームから仲良くなったゲーム仲間のTOMA(トーマ)さん。
普段から優しいトーマに惹かれている深月(みつき)は、トーマからの誘いで初めて会うことに
だが、待ち合わせ場所に現れたのは刺青にピアスの大男だった…
見た目に怖がりつつも断ることが出来なかった深月だったが 時間が経つにつれトーマの優しい部分が見えてきて――…
帰りたくない…そう思っての行動だったのに 勘違いをされた深月はトーマからの嫉妬に責め立てられることになる...
【本文：64ページ】")</f>
        <v>《本作は同人誌となります》
オンラインゲームから仲良くなったゲーム仲間のTOMA(トーマ)さん。
普段から優しいトーマに惹かれている深月(みつき)は、トーマからの誘いで初めて会うことに
だが、待ち合わせ場所に現れたのは刺青にピアスの大男だった…
見た目に怖がりつつも断ることが出来なかった深月だったが 時間が経つにつれトーマの優しい部分が見えてきて――…
帰りたくない…そう思っての行動だったのに 勘違いをされた深月はトーマからの嫉妬に責め立てられることになる...
【本文：64ページ】</v>
      </c>
      <c r="W3141" s="14"/>
      <c r="X3141" s="14" t="str">
        <f>IFERROR(__xludf.DUMMYFUNCTION("""COMPUTED_VALUE"""),"有")</f>
        <v>有</v>
      </c>
      <c r="Y3141" s="8" t="str">
        <f>IFERROR(__xludf.DUMMYFUNCTION("""COMPUTED_VALUE"""),"P15まで")</f>
        <v>P15まで</v>
      </c>
      <c r="Z3141" s="7"/>
      <c r="AA3141" s="7"/>
      <c r="AB3141" s="7"/>
    </row>
    <row r="3142" ht="15.75" customHeight="1">
      <c r="A3142" s="153">
        <f>IFERROR(__xludf.DUMMYFUNCTION("""COMPUTED_VALUE"""),5290.0)</f>
        <v>5290</v>
      </c>
      <c r="B3142" s="152" t="str">
        <f>IFERROR(__xludf.DUMMYFUNCTION("""COMPUTED_VALUE"""),"確定")</f>
        <v>確定</v>
      </c>
      <c r="C3142" s="154">
        <f>IFERROR(__xludf.DUMMYFUNCTION("""COMPUTED_VALUE"""),45735.0)</f>
        <v>45735</v>
      </c>
      <c r="D3142" s="154">
        <f>IFERROR(__xludf.DUMMYFUNCTION("""COMPUTED_VALUE"""),45742.0)</f>
        <v>45742</v>
      </c>
      <c r="E3142" s="155">
        <f>IFERROR(__xludf.DUMMYFUNCTION("""COMPUTED_VALUE"""),321999.0)</f>
        <v>321999</v>
      </c>
      <c r="F3142" s="156" t="str">
        <f>IFERROR(__xludf.DUMMYFUNCTION("""COMPUTED_VALUE"""),"刺青ピアスの透真さんは私の事を駄目にしたい【R-18版】")</f>
        <v>刺青ピアスの透真さんは私の事を駄目にしたい【R-18版】</v>
      </c>
      <c r="G3142" s="152" t="str">
        <f>IFERROR(__xludf.DUMMYFUNCTION("""COMPUTED_VALUE"""),"1～4")</f>
        <v>1～4</v>
      </c>
      <c r="H3142" s="152" t="str">
        <f>IFERROR(__xludf.DUMMYFUNCTION("""COMPUTED_VALUE"""),"柚木マチ")</f>
        <v>柚木マチ</v>
      </c>
      <c r="I3142" s="164" t="str">
        <f>IFERROR(__xludf.DUMMYFUNCTION("""COMPUTED_VALUE"""),"アダルトマンガ")</f>
        <v>アダルトマンガ</v>
      </c>
      <c r="J3142" s="166"/>
      <c r="K3142" s="157"/>
      <c r="L3142" s="152" t="str">
        <f>IFERROR(__xludf.DUMMYFUNCTION("""COMPUTED_VALUE"""),"ナンバーナイン")</f>
        <v>ナンバーナイン</v>
      </c>
      <c r="M3142" s="154">
        <f>IFERROR(__xludf.DUMMYFUNCTION("""COMPUTED_VALUE"""),45779.0)</f>
        <v>45779</v>
      </c>
      <c r="N3142" s="59">
        <f>IFERROR(__xludf.DUMMYFUNCTION("""COMPUTED_VALUE"""),45839.0)</f>
        <v>45839</v>
      </c>
      <c r="O3142" s="152"/>
      <c r="P3142" s="190" t="str">
        <f>IFERROR(__xludf.DUMMYFUNCTION("""COMPUTED_VALUE"""),"可")</f>
        <v>可</v>
      </c>
      <c r="Q3142" s="152"/>
      <c r="R3142" s="152" t="str">
        <f>IFERROR(__xludf.DUMMYFUNCTION("""COMPUTED_VALUE"""),"コミットOK")</f>
        <v>コミットOK</v>
      </c>
      <c r="S3142" s="152" t="str">
        <f>IFERROR(__xludf.DUMMYFUNCTION("""COMPUTED_VALUE"""),"20250326_ナンバーナイン_刺青ピアスの透真さんは私の事を駄目にしたい【R-18版】")</f>
        <v>20250326_ナンバーナイン_刺青ピアスの透真さんは私の事を駄目にしたい【R-18版】</v>
      </c>
      <c r="T3142" s="152" t="str">
        <f>IFERROR(__xludf.DUMMYFUNCTION("""COMPUTED_VALUE"""),"格納済み")</f>
        <v>格納済み</v>
      </c>
      <c r="U3142" s="15" t="str">
        <f>IFERROR(__xludf.DUMMYFUNCTION("""COMPUTED_VALUE"""),"(C)柚木マチ/ナンバーナイン")</f>
        <v>(C)柚木マチ/ナンバーナイン</v>
      </c>
      <c r="V3142" s="8" t="str">
        <f>IFERROR(__xludf.DUMMYFUNCTION("""COMPUTED_VALUE"""),"《本作は同人誌となります》
オンラインゲームから仲良くなったゲーム仲間のTOMA(トーマ)さん。
普段から優しいトーマに惹かれている深月(みつき)は、トーマからの誘いで初めて会うことに
だが、待ち合わせ場所に現れたのは刺青にピアスの大男だった…
見た目に怖がりつつも断ることが出来なかった深月だったが 時間が経つにつれトーマの優しい部分が見えてきて――…
帰りたくない…そう思っての行動だったのに 勘違いをされた深月はトーマからの嫉妬に責め立てられることになる...
16ページ")</f>
        <v>《本作は同人誌となります》
オンラインゲームから仲良くなったゲーム仲間のTOMA(トーマ)さん。
普段から優しいトーマに惹かれている深月(みつき)は、トーマからの誘いで初めて会うことに
だが、待ち合わせ場所に現れたのは刺青にピアスの大男だった…
見た目に怖がりつつも断ることが出来なかった深月だったが 時間が経つにつれトーマの優しい部分が見えてきて――…
帰りたくない…そう思っての行動だったのに 勘違いをされた深月はトーマからの嫉妬に責め立てられることになる...
16ページ</v>
      </c>
      <c r="W3142" s="14"/>
      <c r="X3142" s="14" t="str">
        <f>IFERROR(__xludf.DUMMYFUNCTION("""COMPUTED_VALUE"""),"有")</f>
        <v>有</v>
      </c>
      <c r="Y3142" s="8" t="str">
        <f>IFERROR(__xludf.DUMMYFUNCTION("""COMPUTED_VALUE"""),"1巻無料")</f>
        <v>1巻無料</v>
      </c>
      <c r="Z3142" s="7"/>
      <c r="AA3142" s="7"/>
      <c r="AB3142" s="7"/>
    </row>
    <row r="3143" ht="15.75" customHeight="1">
      <c r="A3143" s="153">
        <f>IFERROR(__xludf.DUMMYFUNCTION("""COMPUTED_VALUE"""),5291.0)</f>
        <v>5291</v>
      </c>
      <c r="B3143" s="152" t="str">
        <f>IFERROR(__xludf.DUMMYFUNCTION("""COMPUTED_VALUE"""),"確定")</f>
        <v>確定</v>
      </c>
      <c r="C3143" s="154">
        <f>IFERROR(__xludf.DUMMYFUNCTION("""COMPUTED_VALUE"""),45735.0)</f>
        <v>45735</v>
      </c>
      <c r="D3143" s="154">
        <f>IFERROR(__xludf.DUMMYFUNCTION("""COMPUTED_VALUE"""),45742.0)</f>
        <v>45742</v>
      </c>
      <c r="E3143" s="155">
        <f>IFERROR(__xludf.DUMMYFUNCTION("""COMPUTED_VALUE"""),322004.0)</f>
        <v>322004</v>
      </c>
      <c r="F3143" s="156" t="str">
        <f>IFERROR(__xludf.DUMMYFUNCTION("""COMPUTED_VALUE"""),"刺青ピアスの透真さんは私の事を駄目にしたい【R-18版】【合冊版】")</f>
        <v>刺青ピアスの透真さんは私の事を駄目にしたい【R-18版】【合冊版】</v>
      </c>
      <c r="G3143" s="152">
        <f>IFERROR(__xludf.DUMMYFUNCTION("""COMPUTED_VALUE"""),1.0)</f>
        <v>1</v>
      </c>
      <c r="H3143" s="152" t="str">
        <f>IFERROR(__xludf.DUMMYFUNCTION("""COMPUTED_VALUE"""),"柚木マチ")</f>
        <v>柚木マチ</v>
      </c>
      <c r="I3143" s="164" t="str">
        <f>IFERROR(__xludf.DUMMYFUNCTION("""COMPUTED_VALUE"""),"アダルトマンガ")</f>
        <v>アダルトマンガ</v>
      </c>
      <c r="J3143" s="166"/>
      <c r="K3143" s="157"/>
      <c r="L3143" s="152" t="str">
        <f>IFERROR(__xludf.DUMMYFUNCTION("""COMPUTED_VALUE"""),"ナンバーナイン")</f>
        <v>ナンバーナイン</v>
      </c>
      <c r="M3143" s="154">
        <f>IFERROR(__xludf.DUMMYFUNCTION("""COMPUTED_VALUE"""),45779.0)</f>
        <v>45779</v>
      </c>
      <c r="N3143" s="59">
        <f>IFERROR(__xludf.DUMMYFUNCTION("""COMPUTED_VALUE"""),45839.0)</f>
        <v>45839</v>
      </c>
      <c r="O3143" s="152"/>
      <c r="P3143" s="190" t="str">
        <f>IFERROR(__xludf.DUMMYFUNCTION("""COMPUTED_VALUE"""),"可")</f>
        <v>可</v>
      </c>
      <c r="Q3143" s="190"/>
      <c r="R3143" s="152"/>
      <c r="S3143" s="152" t="str">
        <f>IFERROR(__xludf.DUMMYFUNCTION("""COMPUTED_VALUE"""),"20250326_ナンバーナイン_刺青ピアスの透真さんは私の事を駄目にしたい【R-18版】【合冊版】")</f>
        <v>20250326_ナンバーナイン_刺青ピアスの透真さんは私の事を駄目にしたい【R-18版】【合冊版】</v>
      </c>
      <c r="T3143" s="152" t="str">
        <f>IFERROR(__xludf.DUMMYFUNCTION("""COMPUTED_VALUE"""),"格納済み")</f>
        <v>格納済み</v>
      </c>
      <c r="U3143" s="15" t="str">
        <f>IFERROR(__xludf.DUMMYFUNCTION("""COMPUTED_VALUE"""),"(C)柚木マチ/ナンバーナイン")</f>
        <v>(C)柚木マチ/ナンバーナイン</v>
      </c>
      <c r="V3143" s="8" t="str">
        <f>IFERROR(__xludf.DUMMYFUNCTION("""COMPUTED_VALUE"""),"《本作は同人誌となります》
オンラインゲームから仲良くなったゲーム仲間のTOMA(トーマ)さん。
普段から優しいトーマに惹かれている深月(みつき)は、トーマからの誘いで初めて会うことに
だが、待ち合わせ場所に現れたのは刺青にピアスの大男だった…
見た目に怖がりつつも断ることが出来なかった深月だったが 時間が経つにつれトーマの優しい部分が見えてきて――…
帰りたくない…そう思っての行動だったのに 勘違いをされた深月はトーマからの嫉妬に責め立てられることになる...
【本文：64ページ】")</f>
        <v>《本作は同人誌となります》
オンラインゲームから仲良くなったゲーム仲間のTOMA(トーマ)さん。
普段から優しいトーマに惹かれている深月(みつき)は、トーマからの誘いで初めて会うことに
だが、待ち合わせ場所に現れたのは刺青にピアスの大男だった…
見た目に怖がりつつも断ることが出来なかった深月だったが 時間が経つにつれトーマの優しい部分が見えてきて――…
帰りたくない…そう思っての行動だったのに 勘違いをされた深月はトーマからの嫉妬に責め立てられることになる...
【本文：64ページ】</v>
      </c>
      <c r="W3143" s="14"/>
      <c r="X3143" s="14" t="str">
        <f>IFERROR(__xludf.DUMMYFUNCTION("""COMPUTED_VALUE"""),"有")</f>
        <v>有</v>
      </c>
      <c r="Y3143" s="8" t="str">
        <f>IFERROR(__xludf.DUMMYFUNCTION("""COMPUTED_VALUE"""),"P15まで")</f>
        <v>P15まで</v>
      </c>
      <c r="Z3143" s="7"/>
      <c r="AA3143" s="7"/>
      <c r="AB3143" s="7"/>
    </row>
    <row r="3144" ht="15.75" customHeight="1">
      <c r="A3144" s="153">
        <f>IFERROR(__xludf.DUMMYFUNCTION("""COMPUTED_VALUE"""),5358.0)</f>
        <v>5358</v>
      </c>
      <c r="B3144" s="152" t="str">
        <f>IFERROR(__xludf.DUMMYFUNCTION("""COMPUTED_VALUE"""),"確定")</f>
        <v>確定</v>
      </c>
      <c r="C3144" s="154">
        <f>IFERROR(__xludf.DUMMYFUNCTION("""COMPUTED_VALUE"""),45742.0)</f>
        <v>45742</v>
      </c>
      <c r="D3144" s="154">
        <f>IFERROR(__xludf.DUMMYFUNCTION("""COMPUTED_VALUE"""),45742.0)</f>
        <v>45742</v>
      </c>
      <c r="E3144" s="158">
        <f>IFERROR(__xludf.DUMMYFUNCTION("""COMPUTED_VALUE"""),319968.0)</f>
        <v>319968</v>
      </c>
      <c r="F3144" s="159" t="str">
        <f>IFERROR(__xludf.DUMMYFUNCTION("""COMPUTED_VALUE"""),"STACK OVERFLOW：スタック・オーバーフロー【タテヨミ】")</f>
        <v>STACK OVERFLOW：スタック・オーバーフロー【タテヨミ】</v>
      </c>
      <c r="G3144" s="152" t="str">
        <f>IFERROR(__xludf.DUMMYFUNCTION("""COMPUTED_VALUE"""),"1～67")</f>
        <v>1～67</v>
      </c>
      <c r="H3144" s="152" t="str">
        <f>IFERROR(__xludf.DUMMYFUNCTION("""COMPUTED_VALUE"""),"Pilhyo")</f>
        <v>Pilhyo</v>
      </c>
      <c r="I3144" s="152" t="str">
        <f>IFERROR(__xludf.DUMMYFUNCTION("""COMPUTED_VALUE"""),"BL")</f>
        <v>BL</v>
      </c>
      <c r="J3144" s="157"/>
      <c r="K3144" s="157"/>
      <c r="L3144" s="152" t="str">
        <f>IFERROR(__xludf.DUMMYFUNCTION("""COMPUTED_VALUE"""),"レジンコミックス")</f>
        <v>レジンコミックス</v>
      </c>
      <c r="M3144" s="154">
        <f>IFERROR(__xludf.DUMMYFUNCTION("""COMPUTED_VALUE"""),45766.0)</f>
        <v>45766</v>
      </c>
      <c r="N3144" s="23">
        <f>IFERROR(__xludf.DUMMYFUNCTION("""COMPUTED_VALUE"""),45857.0)</f>
        <v>45857</v>
      </c>
      <c r="O3144" s="152"/>
      <c r="P3144" s="152" t="str">
        <f>IFERROR(__xludf.DUMMYFUNCTION("""COMPUTED_VALUE"""),"可")</f>
        <v>可</v>
      </c>
      <c r="Q3144" s="190" t="str">
        <f>IFERROR(__xludf.DUMMYFUNCTION("""COMPUTED_VALUE"""),"プロモT（河上さん）へ事前相談した件です。")</f>
        <v>プロモT（河上さん）へ事前相談した件です。</v>
      </c>
      <c r="R3144" s="164"/>
      <c r="S3144" s="166"/>
      <c r="T3144" s="152"/>
      <c r="U3144" s="15" t="str">
        <f>IFERROR(__xludf.DUMMYFUNCTION("""COMPUTED_VALUE"""),"Ⓒ Pilhyo / レジンコミックス")</f>
        <v>Ⓒ Pilhyo / レジンコミックス</v>
      </c>
      <c r="V3144" s="8" t="str">
        <f>IFERROR(__xludf.DUMMYFUNCTION("""COMPUTED_VALUE"""),"［＃ゲームして＄＠＃楽しんで＄＄＄有休ゲット］残業中に届いた一通のメール。ゲームテスターになれば、有休がもらえるって!? そんなこんなで参加することになったバーチャルリアリティーゲームだったが、ダン・ゴウンは予期せぬ事故に見舞われてしまう。どうにか目を覚ましたものの、ゴウンの目の前には謎のメッセージが浮かんでいた…!? ｢新しいゲームを始めますか？｣。ゲームのように変貌してしまった現実世界…そして、ゴウンとエンディングを迎える相手は誰なのか…!?")</f>
        <v>［＃ゲームして＄＠＃楽しんで＄＄＄有休ゲット］残業中に届いた一通のメール。ゲームテスターになれば、有休がもらえるって!? そんなこんなで参加することになったバーチャルリアリティーゲームだったが、ダン・ゴウンは予期せぬ事故に見舞われてしまう。どうにか目を覚ましたものの、ゴウンの目の前には謎のメッセージが浮かんでいた…!? ｢新しいゲームを始めますか？｣。ゲームのように変貌してしまった現実世界…そして、ゴウンとエンディングを迎える相手は誰なのか…!?</v>
      </c>
      <c r="W3144" s="14"/>
      <c r="X3144" s="14" t="str">
        <f>IFERROR(__xludf.DUMMYFUNCTION("""COMPUTED_VALUE"""),"有")</f>
        <v>有</v>
      </c>
      <c r="Y3144" s="8" t="str">
        <f>IFERROR(__xludf.DUMMYFUNCTION("""COMPUTED_VALUE"""),"1巻無料
2025/5/7まで2~20巻目無料")</f>
        <v>1巻無料
2025/5/7まで2~20巻目無料</v>
      </c>
      <c r="Z3144" s="7"/>
      <c r="AA3144" s="7"/>
      <c r="AB3144" s="7"/>
    </row>
    <row r="3145" ht="15.75" customHeight="1">
      <c r="A3145" s="153">
        <f>IFERROR(__xludf.DUMMYFUNCTION("""COMPUTED_VALUE"""),5359.0)</f>
        <v>5359</v>
      </c>
      <c r="B3145" s="152" t="str">
        <f>IFERROR(__xludf.DUMMYFUNCTION("""COMPUTED_VALUE"""),"確定")</f>
        <v>確定</v>
      </c>
      <c r="C3145" s="154">
        <f>IFERROR(__xludf.DUMMYFUNCTION("""COMPUTED_VALUE"""),45742.0)</f>
        <v>45742</v>
      </c>
      <c r="D3145" s="154">
        <f>IFERROR(__xludf.DUMMYFUNCTION("""COMPUTED_VALUE"""),45749.0)</f>
        <v>45749</v>
      </c>
      <c r="E3145" s="158">
        <f>IFERROR(__xludf.DUMMYFUNCTION("""COMPUTED_VALUE"""),319973.0)</f>
        <v>319973</v>
      </c>
      <c r="F3145" s="159" t="str">
        <f>IFERROR(__xludf.DUMMYFUNCTION("""COMPUTED_VALUE"""),"平凡なガイドの平凡な日常【タテヨミ】")</f>
        <v>平凡なガイドの平凡な日常【タテヨミ】</v>
      </c>
      <c r="G3145" s="152" t="str">
        <f>IFERROR(__xludf.DUMMYFUNCTION("""COMPUTED_VALUE"""),"1～63")</f>
        <v>1～63</v>
      </c>
      <c r="H3145" s="152" t="str">
        <f>IFERROR(__xludf.DUMMYFUNCTION("""COMPUTED_VALUE"""),"HA SEYEONG / guman")</f>
        <v>HA SEYEONG / guman</v>
      </c>
      <c r="I3145" s="152" t="str">
        <f>IFERROR(__xludf.DUMMYFUNCTION("""COMPUTED_VALUE"""),"BL")</f>
        <v>BL</v>
      </c>
      <c r="J3145" s="157"/>
      <c r="K3145" s="157"/>
      <c r="L3145" s="152" t="str">
        <f>IFERROR(__xludf.DUMMYFUNCTION("""COMPUTED_VALUE"""),"レジンコミックス")</f>
        <v>レジンコミックス</v>
      </c>
      <c r="M3145" s="154">
        <f>IFERROR(__xludf.DUMMYFUNCTION("""COMPUTED_VALUE"""),45770.0)</f>
        <v>45770</v>
      </c>
      <c r="N3145" s="23">
        <f>IFERROR(__xludf.DUMMYFUNCTION("""COMPUTED_VALUE"""),45861.0)</f>
        <v>45861</v>
      </c>
      <c r="O3145" s="152"/>
      <c r="P3145" s="152" t="str">
        <f>IFERROR(__xludf.DUMMYFUNCTION("""COMPUTED_VALUE"""),"可")</f>
        <v>可</v>
      </c>
      <c r="Q3145" s="190" t="str">
        <f>IFERROR(__xludf.DUMMYFUNCTION("""COMPUTED_VALUE"""),"プロモT（河上さん）へ事前相談した件です。")</f>
        <v>プロモT（河上さん）へ事前相談した件です。</v>
      </c>
      <c r="R3145" s="152"/>
      <c r="S3145" s="152" t="str">
        <f>IFERROR(__xludf.DUMMYFUNCTION("""COMPUTED_VALUE"""),"20250402_レジンコミックス_平凡なガイドの平凡な日常【タテヨミ】")</f>
        <v>20250402_レジンコミックス_平凡なガイドの平凡な日常【タテヨミ】</v>
      </c>
      <c r="T3145" s="152" t="str">
        <f>IFERROR(__xludf.DUMMYFUNCTION("""COMPUTED_VALUE"""),"格納済み")</f>
        <v>格納済み</v>
      </c>
      <c r="U3145" s="15" t="str">
        <f>IFERROR(__xludf.DUMMYFUNCTION("""COMPUTED_VALUE"""),"Ⓒ 原作:HA SEYEONG / 作家:guman / レジンコミックス")</f>
        <v>Ⓒ 原作:HA SEYEONG / 作家:guman / レジンコミックス</v>
      </c>
      <c r="V3145" s="8" t="str">
        <f>IFERROR(__xludf.DUMMYFUNCTION("""COMPUTED_VALUE"""),"ガイドセンターで働いているガイド、カン・ユノ。いつものような平凡な日常に満足していた彼の前に、突然現れたのはS級エスパーのキム・ヒョンテ!? 1、2回だけの短い縁だと思っていたユノだが、突然ヒョンテの専属ガイドになってほしいという提案を受けることになり…。平凡なB級ガイドであるユノの平凡な日常がS級エスパー、ヒョンテとの出会いにより大きく変わり始める!")</f>
        <v>ガイドセンターで働いているガイド、カン・ユノ。いつものような平凡な日常に満足していた彼の前に、突然現れたのはS級エスパーのキム・ヒョンテ!? 1、2回だけの短い縁だと思っていたユノだが、突然ヒョンテの専属ガイドになってほしいという提案を受けることになり…。平凡なB級ガイドであるユノの平凡な日常がS級エスパー、ヒョンテとの出会いにより大きく変わり始める!</v>
      </c>
      <c r="W3145" s="14"/>
      <c r="X3145" s="14" t="str">
        <f>IFERROR(__xludf.DUMMYFUNCTION("""COMPUTED_VALUE"""),"有")</f>
        <v>有</v>
      </c>
      <c r="Y3145" s="8" t="str">
        <f>IFERROR(__xludf.DUMMYFUNCTION("""COMPUTED_VALUE"""),"1巻無料
2025/5/7まで2~19巻目無料")</f>
        <v>1巻無料
2025/5/7まで2~19巻目無料</v>
      </c>
      <c r="Z3145" s="7"/>
      <c r="AA3145" s="7"/>
      <c r="AB3145" s="7"/>
    </row>
    <row r="3146" ht="15.75" customHeight="1">
      <c r="A3146" s="153">
        <f>IFERROR(__xludf.DUMMYFUNCTION("""COMPUTED_VALUE"""),5360.0)</f>
        <v>5360</v>
      </c>
      <c r="B3146" s="152" t="str">
        <f>IFERROR(__xludf.DUMMYFUNCTION("""COMPUTED_VALUE"""),"確定")</f>
        <v>確定</v>
      </c>
      <c r="C3146" s="154">
        <f>IFERROR(__xludf.DUMMYFUNCTION("""COMPUTED_VALUE"""),45742.0)</f>
        <v>45742</v>
      </c>
      <c r="D3146" s="154">
        <f>IFERROR(__xludf.DUMMYFUNCTION("""COMPUTED_VALUE"""),45747.0)</f>
        <v>45747</v>
      </c>
      <c r="E3146" s="158">
        <f>IFERROR(__xludf.DUMMYFUNCTION("""COMPUTED_VALUE"""),319974.0)</f>
        <v>319974</v>
      </c>
      <c r="F3146" s="159" t="str">
        <f>IFERROR(__xludf.DUMMYFUNCTION("""COMPUTED_VALUE"""),"ブラッドバンク【タテヨミ】")</f>
        <v>ブラッドバンク【タテヨミ】</v>
      </c>
      <c r="G3146" s="152" t="str">
        <f>IFERROR(__xludf.DUMMYFUNCTION("""COMPUTED_VALUE"""),"1～61")</f>
        <v>1～61</v>
      </c>
      <c r="H3146" s="152" t="str">
        <f>IFERROR(__xludf.DUMMYFUNCTION("""COMPUTED_VALUE"""),"Silb")</f>
        <v>Silb</v>
      </c>
      <c r="I3146" s="152" t="str">
        <f>IFERROR(__xludf.DUMMYFUNCTION("""COMPUTED_VALUE"""),"BL")</f>
        <v>BL</v>
      </c>
      <c r="J3146" s="157"/>
      <c r="K3146" s="157"/>
      <c r="L3146" s="152" t="str">
        <f>IFERROR(__xludf.DUMMYFUNCTION("""COMPUTED_VALUE"""),"レジンコミックス")</f>
        <v>レジンコミックス</v>
      </c>
      <c r="M3146" s="154">
        <f>IFERROR(__xludf.DUMMYFUNCTION("""COMPUTED_VALUE"""),45771.0)</f>
        <v>45771</v>
      </c>
      <c r="N3146" s="23">
        <f>IFERROR(__xludf.DUMMYFUNCTION("""COMPUTED_VALUE"""),45862.0)</f>
        <v>45862</v>
      </c>
      <c r="O3146" s="152"/>
      <c r="P3146" s="152" t="str">
        <f>IFERROR(__xludf.DUMMYFUNCTION("""COMPUTED_VALUE"""),"可")</f>
        <v>可</v>
      </c>
      <c r="Q3146" s="190" t="str">
        <f>IFERROR(__xludf.DUMMYFUNCTION("""COMPUTED_VALUE"""),"プロモT（河上さん）へ事前相談した件です。&lt;BR&gt;49巻目までで制作のほどよろしくお願いいたします。")</f>
        <v>プロモT（河上さん）へ事前相談した件です。&lt;BR&gt;49巻目までで制作のほどよろしくお願いいたします。</v>
      </c>
      <c r="R3146" s="152"/>
      <c r="S3146" s="152" t="str">
        <f>IFERROR(__xludf.DUMMYFUNCTION("""COMPUTED_VALUE"""),"20250409_レジンエンターテインメント_ブラッドバンク")</f>
        <v>20250409_レジンエンターテインメント_ブラッドバンク</v>
      </c>
      <c r="T3146" s="152" t="str">
        <f>IFERROR(__xludf.DUMMYFUNCTION("""COMPUTED_VALUE"""),"格納済み")</f>
        <v>格納済み</v>
      </c>
      <c r="U3146" s="15" t="str">
        <f>IFERROR(__xludf.DUMMYFUNCTION("""COMPUTED_VALUE"""),"Ⓒ Silb / レジンコミックス")</f>
        <v>Ⓒ Silb / レジンコミックス</v>
      </c>
      <c r="V3146" s="8" t="str">
        <f>IFERROR(__xludf.DUMMYFUNCTION("""COMPUTED_VALUE"""),"ヴァンパイアが人間を支配する世界！人間の新鮮な血をお届けする血液銀行、「ブラッドバンク」へようこそ！ブラッドバンクの銀行員である「ワン」は、ヴァンパイアのフェロモンに何の影響も受けない自分の特異体質を隠し、せっせと働いていた。そんなある日、ワンは血主のご子息であるシェル・オーバーロードと二人きりの時間を過ごすことになる。まるで息が詰まりそうな重い空気の中、まじまじと見つめてくるシェルを前に、ワンは途方に暮れているばかり。そして、挙句の果てに、耳を疑うような言葉をかけられたが…!?")</f>
        <v>ヴァンパイアが人間を支配する世界！人間の新鮮な血をお届けする血液銀行、「ブラッドバンク」へようこそ！ブラッドバンクの銀行員である「ワン」は、ヴァンパイアのフェロモンに何の影響も受けない自分の特異体質を隠し、せっせと働いていた。そんなある日、ワンは血主のご子息であるシェル・オーバーロードと二人きりの時間を過ごすことになる。まるで息が詰まりそうな重い空気の中、まじまじと見つめてくるシェルを前に、ワンは途方に暮れているばかり。そして、挙句の果てに、耳を疑うような言葉をかけられたが…!?</v>
      </c>
      <c r="W3146" s="14"/>
      <c r="X3146" s="14" t="str">
        <f>IFERROR(__xludf.DUMMYFUNCTION("""COMPUTED_VALUE"""),"有")</f>
        <v>有</v>
      </c>
      <c r="Y3146" s="8" t="str">
        <f>IFERROR(__xludf.DUMMYFUNCTION("""COMPUTED_VALUE"""),"1巻無料
2025/5/7まで2~18巻目無料")</f>
        <v>1巻無料
2025/5/7まで2~18巻目無料</v>
      </c>
      <c r="Z3146" s="7"/>
      <c r="AA3146" s="7"/>
      <c r="AB3146" s="7"/>
    </row>
    <row r="3147" ht="15.75" customHeight="1">
      <c r="A3147" s="153">
        <f>IFERROR(__xludf.DUMMYFUNCTION("""COMPUTED_VALUE"""),5361.0)</f>
        <v>5361</v>
      </c>
      <c r="B3147" s="152" t="str">
        <f>IFERROR(__xludf.DUMMYFUNCTION("""COMPUTED_VALUE"""),"確定")</f>
        <v>確定</v>
      </c>
      <c r="C3147" s="154">
        <f>IFERROR(__xludf.DUMMYFUNCTION("""COMPUTED_VALUE"""),45742.0)</f>
        <v>45742</v>
      </c>
      <c r="D3147" s="154">
        <f>IFERROR(__xludf.DUMMYFUNCTION("""COMPUTED_VALUE"""),45744.0)</f>
        <v>45744</v>
      </c>
      <c r="E3147" s="158">
        <f>IFERROR(__xludf.DUMMYFUNCTION("""COMPUTED_VALUE"""),319972.0)</f>
        <v>319972</v>
      </c>
      <c r="F3147" s="159" t="str">
        <f>IFERROR(__xludf.DUMMYFUNCTION("""COMPUTED_VALUE"""),"シークレットアンダーリップ〜服の下に隠された欲望〜【タテヨミ】")</f>
        <v>シークレットアンダーリップ〜服の下に隠された欲望〜【タテヨミ】</v>
      </c>
      <c r="G3147" s="152" t="str">
        <f>IFERROR(__xludf.DUMMYFUNCTION("""COMPUTED_VALUE"""),"1～58")</f>
        <v>1～58</v>
      </c>
      <c r="H3147" s="152" t="str">
        <f>IFERROR(__xludf.DUMMYFUNCTION("""COMPUTED_VALUE"""),"gazealle")</f>
        <v>gazealle</v>
      </c>
      <c r="I3147" s="152" t="str">
        <f>IFERROR(__xludf.DUMMYFUNCTION("""COMPUTED_VALUE"""),"BL")</f>
        <v>BL</v>
      </c>
      <c r="J3147" s="157"/>
      <c r="K3147" s="157"/>
      <c r="L3147" s="152" t="str">
        <f>IFERROR(__xludf.DUMMYFUNCTION("""COMPUTED_VALUE"""),"レジンコミックス")</f>
        <v>レジンコミックス</v>
      </c>
      <c r="M3147" s="154">
        <f>IFERROR(__xludf.DUMMYFUNCTION("""COMPUTED_VALUE"""),45769.0)</f>
        <v>45769</v>
      </c>
      <c r="N3147" s="74">
        <f>IFERROR(__xludf.DUMMYFUNCTION("""COMPUTED_VALUE"""),45860.0)</f>
        <v>45860</v>
      </c>
      <c r="O3147" s="152"/>
      <c r="P3147" s="152" t="str">
        <f>IFERROR(__xludf.DUMMYFUNCTION("""COMPUTED_VALUE"""),"可")</f>
        <v>可</v>
      </c>
      <c r="Q3147" s="190" t="str">
        <f>IFERROR(__xludf.DUMMYFUNCTION("""COMPUTED_VALUE"""),"プロモT（河上さん）へ事前相談した件です。")</f>
        <v>プロモT（河上さん）へ事前相談した件です。</v>
      </c>
      <c r="R3147" s="152"/>
      <c r="S3147" s="152" t="str">
        <f>IFERROR(__xludf.DUMMYFUNCTION("""COMPUTED_VALUE"""),"20250328_レジンコミックス_シークレットアンダーリップ")</f>
        <v>20250328_レジンコミックス_シークレットアンダーリップ</v>
      </c>
      <c r="T3147" s="152" t="str">
        <f>IFERROR(__xludf.DUMMYFUNCTION("""COMPUTED_VALUE"""),"格納済み")</f>
        <v>格納済み</v>
      </c>
      <c r="U3147" s="15" t="str">
        <f>IFERROR(__xludf.DUMMYFUNCTION("""COMPUTED_VALUE"""),"Ⓒ gazealle / レジンコミックス")</f>
        <v>Ⓒ gazealle / レジンコミックス</v>
      </c>
      <c r="V3147" s="8" t="str">
        <f>IFERROR(__xludf.DUMMYFUNCTION("""COMPUTED_VALUE"""),"大学の先輩であるヨンインを追いかけて、同じ会社に就職したチャヌンは憧れの上司と毎日充実したオフィスライフを送っていた。そんなある日、飲み会で酔ったヨンインを介抱していたら、衝撃の秘密を知ってしまうことに…！チャヌンは混乱するも、そんなヨンインに憧れ以上の気持ちが芽生えていた。秘密の扉を開けたチャヌンとヨンインのセクシーな大人のオフィスラブが始まる！")</f>
        <v>大学の先輩であるヨンインを追いかけて、同じ会社に就職したチャヌンは憧れの上司と毎日充実したオフィスライフを送っていた。そんなある日、飲み会で酔ったヨンインを介抱していたら、衝撃の秘密を知ってしまうことに…！チャヌンは混乱するも、そんなヨンインに憧れ以上の気持ちが芽生えていた。秘密の扉を開けたチャヌンとヨンインのセクシーな大人のオフィスラブが始まる！</v>
      </c>
      <c r="W3147" s="14"/>
      <c r="X3147" s="14" t="str">
        <f>IFERROR(__xludf.DUMMYFUNCTION("""COMPUTED_VALUE"""),"有")</f>
        <v>有</v>
      </c>
      <c r="Y3147" s="8" t="str">
        <f>IFERROR(__xludf.DUMMYFUNCTION("""COMPUTED_VALUE"""),"1巻無料
2025/5/7まで2~17巻目無料")</f>
        <v>1巻無料
2025/5/7まで2~17巻目無料</v>
      </c>
      <c r="Z3147" s="7"/>
      <c r="AA3147" s="7"/>
      <c r="AB3147" s="7"/>
    </row>
    <row r="3148" ht="15.75" customHeight="1">
      <c r="A3148" s="153">
        <f>IFERROR(__xludf.DUMMYFUNCTION("""COMPUTED_VALUE"""),5362.0)</f>
        <v>5362</v>
      </c>
      <c r="B3148" s="152" t="str">
        <f>IFERROR(__xludf.DUMMYFUNCTION("""COMPUTED_VALUE"""),"確定")</f>
        <v>確定</v>
      </c>
      <c r="C3148" s="154">
        <f>IFERROR(__xludf.DUMMYFUNCTION("""COMPUTED_VALUE"""),45742.0)</f>
        <v>45742</v>
      </c>
      <c r="D3148" s="154">
        <f>IFERROR(__xludf.DUMMYFUNCTION("""COMPUTED_VALUE"""),45744.0)</f>
        <v>45744</v>
      </c>
      <c r="E3148" s="158">
        <f>IFERROR(__xludf.DUMMYFUNCTION("""COMPUTED_VALUE"""),319969.0)</f>
        <v>319969</v>
      </c>
      <c r="F3148" s="159" t="str">
        <f>IFERROR(__xludf.DUMMYFUNCTION("""COMPUTED_VALUE"""),"邪花〜悪魔に取り憑かれた男〜【タテヨミ】")</f>
        <v>邪花〜悪魔に取り憑かれた男〜【タテヨミ】</v>
      </c>
      <c r="G3148" s="152" t="str">
        <f>IFERROR(__xludf.DUMMYFUNCTION("""COMPUTED_VALUE"""),"1～54")</f>
        <v>1～54</v>
      </c>
      <c r="H3148" s="152" t="str">
        <f>IFERROR(__xludf.DUMMYFUNCTION("""COMPUTED_VALUE"""),"TAFFY")</f>
        <v>TAFFY</v>
      </c>
      <c r="I3148" s="152" t="str">
        <f>IFERROR(__xludf.DUMMYFUNCTION("""COMPUTED_VALUE"""),"BL")</f>
        <v>BL</v>
      </c>
      <c r="J3148" s="157"/>
      <c r="K3148" s="157"/>
      <c r="L3148" s="152" t="str">
        <f>IFERROR(__xludf.DUMMYFUNCTION("""COMPUTED_VALUE"""),"レジンコミックス")</f>
        <v>レジンコミックス</v>
      </c>
      <c r="M3148" s="154">
        <f>IFERROR(__xludf.DUMMYFUNCTION("""COMPUTED_VALUE"""),45767.0)</f>
        <v>45767</v>
      </c>
      <c r="N3148" s="23">
        <f>IFERROR(__xludf.DUMMYFUNCTION("""COMPUTED_VALUE"""),45858.0)</f>
        <v>45858</v>
      </c>
      <c r="O3148" s="152"/>
      <c r="P3148" s="152" t="str">
        <f>IFERROR(__xludf.DUMMYFUNCTION("""COMPUTED_VALUE"""),"可")</f>
        <v>可</v>
      </c>
      <c r="Q3148" s="190" t="str">
        <f>IFERROR(__xludf.DUMMYFUNCTION("""COMPUTED_VALUE"""),"プロモT（河上さん）へ事前相談した件です。")</f>
        <v>プロモT（河上さん）へ事前相談した件です。</v>
      </c>
      <c r="R3148" s="152"/>
      <c r="S3148" s="152" t="str">
        <f>IFERROR(__xludf.DUMMYFUNCTION("""COMPUTED_VALUE"""),"20250328_レジンコミックス_邪花〜悪魔に取り憑かれた男〜【タテヨミ】")</f>
        <v>20250328_レジンコミックス_邪花〜悪魔に取り憑かれた男〜【タテヨミ】</v>
      </c>
      <c r="T3148" s="152" t="str">
        <f>IFERROR(__xludf.DUMMYFUNCTION("""COMPUTED_VALUE"""),"格納済み")</f>
        <v>格納済み</v>
      </c>
      <c r="U3148" s="15" t="str">
        <f>IFERROR(__xludf.DUMMYFUNCTION("""COMPUTED_VALUE"""),"Ⓒ TAFFY / レジンコミックス")</f>
        <v>Ⓒ TAFFY / レジンコミックス</v>
      </c>
      <c r="V3148" s="8" t="str">
        <f>IFERROR(__xludf.DUMMYFUNCTION("""COMPUTED_VALUE"""),"悪霊によって両親を失った幼いパク・ドジンを、修道院に連れてきて世話をしていたジョン・ヘス。ドジンはそんなヘスに片思いしていたが、退魔師であるヘスの補助をしながら、ひたすらその気持ちを隠してきた。ある日、ドジンは司教と密かにセックス中のヘスの姿を目撃してしまう。傷ついたドジンの心の中に悪魔が取り憑き、ヘスに対する欲望を膨らますよう、あやしげにささやき始めるのだが…。")</f>
        <v>悪霊によって両親を失った幼いパク・ドジンを、修道院に連れてきて世話をしていたジョン・ヘス。ドジンはそんなヘスに片思いしていたが、退魔師であるヘスの補助をしながら、ひたすらその気持ちを隠してきた。ある日、ドジンは司教と密かにセックス中のヘスの姿を目撃してしまう。傷ついたドジンの心の中に悪魔が取り憑き、ヘスに対する欲望を膨らますよう、あやしげにささやき始めるのだが…。</v>
      </c>
      <c r="W3148" s="14"/>
      <c r="X3148" s="14" t="str">
        <f>IFERROR(__xludf.DUMMYFUNCTION("""COMPUTED_VALUE"""),"有")</f>
        <v>有</v>
      </c>
      <c r="Y3148" s="8" t="str">
        <f>IFERROR(__xludf.DUMMYFUNCTION("""COMPUTED_VALUE"""),"1巻無料
2025/5/7まで2~15巻目無料")</f>
        <v>1巻無料
2025/5/7まで2~15巻目無料</v>
      </c>
      <c r="Z3148" s="7"/>
      <c r="AA3148" s="7"/>
      <c r="AB3148" s="7"/>
    </row>
    <row r="3149" ht="15.75" customHeight="1">
      <c r="A3149" s="153">
        <f>IFERROR(__xludf.DUMMYFUNCTION("""COMPUTED_VALUE"""),5363.0)</f>
        <v>5363</v>
      </c>
      <c r="B3149" s="152" t="str">
        <f>IFERROR(__xludf.DUMMYFUNCTION("""COMPUTED_VALUE"""),"確定")</f>
        <v>確定</v>
      </c>
      <c r="C3149" s="154">
        <f>IFERROR(__xludf.DUMMYFUNCTION("""COMPUTED_VALUE"""),45742.0)</f>
        <v>45742</v>
      </c>
      <c r="D3149" s="154">
        <f>IFERROR(__xludf.DUMMYFUNCTION("""COMPUTED_VALUE"""),45744.0)</f>
        <v>45744</v>
      </c>
      <c r="E3149" s="158">
        <f>IFERROR(__xludf.DUMMYFUNCTION("""COMPUTED_VALUE"""),319970.0)</f>
        <v>319970</v>
      </c>
      <c r="F3149" s="159" t="str">
        <f>IFERROR(__xludf.DUMMYFUNCTION("""COMPUTED_VALUE"""),"99.99%の恋人〜俺の子を生め！〜【タテヨミ】")</f>
        <v>99.99%の恋人〜俺の子を生め！〜【タテヨミ】</v>
      </c>
      <c r="G3149" s="152" t="str">
        <f>IFERROR(__xludf.DUMMYFUNCTION("""COMPUTED_VALUE"""),"1～51")</f>
        <v>1～51</v>
      </c>
      <c r="H3149" s="152" t="str">
        <f>IFERROR(__xludf.DUMMYFUNCTION("""COMPUTED_VALUE"""),"Lash / nanna")</f>
        <v>Lash / nanna</v>
      </c>
      <c r="I3149" s="152" t="str">
        <f>IFERROR(__xludf.DUMMYFUNCTION("""COMPUTED_VALUE"""),"BL")</f>
        <v>BL</v>
      </c>
      <c r="J3149" s="157"/>
      <c r="K3149" s="157"/>
      <c r="L3149" s="152" t="str">
        <f>IFERROR(__xludf.DUMMYFUNCTION("""COMPUTED_VALUE"""),"レジンコミックス")</f>
        <v>レジンコミックス</v>
      </c>
      <c r="M3149" s="154">
        <f>IFERROR(__xludf.DUMMYFUNCTION("""COMPUTED_VALUE"""),45768.0)</f>
        <v>45768</v>
      </c>
      <c r="N3149" s="23">
        <f>IFERROR(__xludf.DUMMYFUNCTION("""COMPUTED_VALUE"""),45859.0)</f>
        <v>45859</v>
      </c>
      <c r="O3149" s="152"/>
      <c r="P3149" s="152" t="str">
        <f>IFERROR(__xludf.DUMMYFUNCTION("""COMPUTED_VALUE"""),"可")</f>
        <v>可</v>
      </c>
      <c r="Q3149" s="190" t="str">
        <f>IFERROR(__xludf.DUMMYFUNCTION("""COMPUTED_VALUE"""),"プロモT（河上さん）へ事前相談した件です。")</f>
        <v>プロモT（河上さん）へ事前相談した件です。</v>
      </c>
      <c r="R3149" s="152"/>
      <c r="S3149" s="152" t="str">
        <f>IFERROR(__xludf.DUMMYFUNCTION("""COMPUTED_VALUE"""),"20250328_レジンコミックス_99.99%の恋人〜俺の子を生め！〜【タテヨミ】")</f>
        <v>20250328_レジンコミックス_99.99%の恋人〜俺の子を生め！〜【タテヨミ】</v>
      </c>
      <c r="T3149" s="152" t="str">
        <f>IFERROR(__xludf.DUMMYFUNCTION("""COMPUTED_VALUE"""),"格納済み")</f>
        <v>格納済み</v>
      </c>
      <c r="U3149" s="15" t="str">
        <f>IFERROR(__xludf.DUMMYFUNCTION("""COMPUTED_VALUE"""),"Ⓒ 原作:Lash / 作画:nanna / レジンコミックス")</f>
        <v>Ⓒ 原作:Lash / 作画:nanna / レジンコミックス</v>
      </c>
      <c r="V3149" s="8" t="str">
        <f>IFERROR(__xludf.DUMMYFUNCTION("""COMPUTED_VALUE"""),"「一回につき10億ウォン、さらに出産後に20億を差し上げます」 ありえない破格の条件、しかし断るには惜しい大金だった。たった３回だ…３回だけヤって逃げればいいんだろ？しかし、その安易な決断により僕の人生は狂い始め…。")</f>
        <v>「一回につき10億ウォン、さらに出産後に20億を差し上げます」 ありえない破格の条件、しかし断るには惜しい大金だった。たった３回だ…３回だけヤって逃げればいいんだろ？しかし、その安易な決断により僕の人生は狂い始め…。</v>
      </c>
      <c r="W3149" s="14"/>
      <c r="X3149" s="14" t="str">
        <f>IFERROR(__xludf.DUMMYFUNCTION("""COMPUTED_VALUE"""),"有")</f>
        <v>有</v>
      </c>
      <c r="Y3149" s="8" t="str">
        <f>IFERROR(__xludf.DUMMYFUNCTION("""COMPUTED_VALUE"""),"1巻無料
2025/5/7まで2~15巻目無料")</f>
        <v>1巻無料
2025/5/7まで2~15巻目無料</v>
      </c>
      <c r="Z3149" s="7"/>
      <c r="AA3149" s="7"/>
      <c r="AB3149" s="7"/>
    </row>
    <row r="3150" ht="15.75" customHeight="1">
      <c r="A3150" s="153">
        <f>IFERROR(__xludf.DUMMYFUNCTION("""COMPUTED_VALUE"""),5364.0)</f>
        <v>5364</v>
      </c>
      <c r="B3150" s="152" t="str">
        <f>IFERROR(__xludf.DUMMYFUNCTION("""COMPUTED_VALUE"""),"確定")</f>
        <v>確定</v>
      </c>
      <c r="C3150" s="154">
        <f>IFERROR(__xludf.DUMMYFUNCTION("""COMPUTED_VALUE"""),45742.0)</f>
        <v>45742</v>
      </c>
      <c r="D3150" s="154">
        <f>IFERROR(__xludf.DUMMYFUNCTION("""COMPUTED_VALUE"""),45747.0)</f>
        <v>45747</v>
      </c>
      <c r="E3150" s="158">
        <f>IFERROR(__xludf.DUMMYFUNCTION("""COMPUTED_VALUE"""),320015.0)</f>
        <v>320015</v>
      </c>
      <c r="F3150" s="159" t="str">
        <f>IFERROR(__xludf.DUMMYFUNCTION("""COMPUTED_VALUE"""),"恋愛はタイミング次第【タテヨミ】")</f>
        <v>恋愛はタイミング次第【タテヨミ】</v>
      </c>
      <c r="G3150" s="152" t="str">
        <f>IFERROR(__xludf.DUMMYFUNCTION("""COMPUTED_VALUE"""),"1~20")</f>
        <v>1~20</v>
      </c>
      <c r="H3150" s="152" t="str">
        <f>IFERROR(__xludf.DUMMYFUNCTION("""COMPUTED_VALUE"""),"Lon Watanuki / Jiyuna")</f>
        <v>Lon Watanuki / Jiyuna</v>
      </c>
      <c r="I3150" s="152" t="str">
        <f>IFERROR(__xludf.DUMMYFUNCTION("""COMPUTED_VALUE"""),"女性")</f>
        <v>女性</v>
      </c>
      <c r="J3150" s="157"/>
      <c r="K3150" s="152" t="str">
        <f>IFERROR(__xludf.DUMMYFUNCTION("""COMPUTED_VALUE"""),"レジコミ Red")</f>
        <v>レジコミ Red</v>
      </c>
      <c r="L3150" s="152" t="str">
        <f>IFERROR(__xludf.DUMMYFUNCTION("""COMPUTED_VALUE"""),"レジンコミックス")</f>
        <v>レジンコミックス</v>
      </c>
      <c r="M3150" s="154">
        <f>IFERROR(__xludf.DUMMYFUNCTION("""COMPUTED_VALUE"""),45770.0)</f>
        <v>45770</v>
      </c>
      <c r="N3150" s="59">
        <f>IFERROR(__xludf.DUMMYFUNCTION("""COMPUTED_VALUE"""),45869.0)</f>
        <v>45869</v>
      </c>
      <c r="O3150" s="152"/>
      <c r="P3150" s="152" t="str">
        <f>IFERROR(__xludf.DUMMYFUNCTION("""COMPUTED_VALUE"""),"可")</f>
        <v>可</v>
      </c>
      <c r="Q3150" s="190" t="str">
        <f>IFERROR(__xludf.DUMMYFUNCTION("""COMPUTED_VALUE"""),"プロモT（河上さん）へ事前相談した件です。&lt;BR&gt;「田舎で幼馴染とシェアハウスはじめました【タテヨミ】」&lt;BR&gt;https://www.cmoa.jp/title/291354/&lt;BR&gt;と同作家です！")</f>
        <v>プロモT（河上さん）へ事前相談した件です。&lt;BR&gt;「田舎で幼馴染とシェアハウスはじめました【タテヨミ】」&lt;BR&gt;https://www.cmoa.jp/title/291354/&lt;BR&gt;と同作家です！</v>
      </c>
      <c r="R3150" s="152"/>
      <c r="S3150" s="152" t="str">
        <f>IFERROR(__xludf.DUMMYFUNCTION("""COMPUTED_VALUE"""),"20250331_レジンコミックス_恋愛はタイミング次第【タテヨミ】")</f>
        <v>20250331_レジンコミックス_恋愛はタイミング次第【タテヨミ】</v>
      </c>
      <c r="T3150" s="152" t="str">
        <f>IFERROR(__xludf.DUMMYFUNCTION("""COMPUTED_VALUE"""),"格納済み")</f>
        <v>格納済み</v>
      </c>
      <c r="U3150" s="15" t="str">
        <f>IFERROR(__xludf.DUMMYFUNCTION("""COMPUTED_VALUE"""),"ⓒLon Watanuki・Jiyuna / レジンコミックス")</f>
        <v>ⓒLon Watanuki・Jiyuna / レジンコミックス</v>
      </c>
      <c r="V3150" s="8" t="str">
        <f>IFERROR(__xludf.DUMMYFUNCTION("""COMPUTED_VALUE"""),"ノーチューブ制作会社｢21ｇ｣の作家であるチェ・ヨンヒは、編集長のウ・ドヒョンに片想い中である。いつも彼とのエッチなことを想像していたヨンヒはある日、｢その悩み、お姉さんに任せて！｣、略して｢おねまか｣チャンネルを担当することになる。そしてドヒョンも、新しくチームに加わったヨンヒのことが気になり始めるが…。一方、イケメンでエリートな社員であるソン・ジュウォンは｢おねまか｣の特集編、性のお悩みコーナーで困っているヨンヒを手伝うことになる。ヨンヒは｢性｣や｢恋愛｣に奥手なことがバレないように演じていたが、ある"&amp;"日、ジュウォンの挑発に乗り一夜を共にしてしまう。二人の男の間に挟まれヨンヒ、果たして彼女の恋の行方はいかに…!?")</f>
        <v>ノーチューブ制作会社｢21ｇ｣の作家であるチェ・ヨンヒは、編集長のウ・ドヒョンに片想い中である。いつも彼とのエッチなことを想像していたヨンヒはある日、｢その悩み、お姉さんに任せて！｣、略して｢おねまか｣チャンネルを担当することになる。そしてドヒョンも、新しくチームに加わったヨンヒのことが気になり始めるが…。一方、イケメンでエリートな社員であるソン・ジュウォンは｢おねまか｣の特集編、性のお悩みコーナーで困っているヨンヒを手伝うことになる。ヨンヒは｢性｣や｢恋愛｣に奥手なことがバレないように演じていたが、ある日、ジュウォンの挑発に乗り一夜を共にしてしまう。二人の男の間に挟まれヨンヒ、果たして彼女の恋の行方はいかに…!?</v>
      </c>
      <c r="W3150" s="14"/>
      <c r="X3150" s="14" t="str">
        <f>IFERROR(__xludf.DUMMYFUNCTION("""COMPUTED_VALUE"""),"有")</f>
        <v>有</v>
      </c>
      <c r="Y3150" s="8" t="str">
        <f>IFERROR(__xludf.DUMMYFUNCTION("""COMPUTED_VALUE"""),"1巻無料
2025/5/7まで2~7巻目無料")</f>
        <v>1巻無料
2025/5/7まで2~7巻目無料</v>
      </c>
      <c r="Z3150" s="7"/>
      <c r="AA3150" s="7"/>
      <c r="AB3150" s="7"/>
    </row>
    <row r="3151" ht="15.75" customHeight="1">
      <c r="A3151" s="153">
        <f>IFERROR(__xludf.DUMMYFUNCTION("""COMPUTED_VALUE"""),5372.0)</f>
        <v>5372</v>
      </c>
      <c r="B3151" s="152" t="str">
        <f>IFERROR(__xludf.DUMMYFUNCTION("""COMPUTED_VALUE"""),"確定")</f>
        <v>確定</v>
      </c>
      <c r="C3151" s="154">
        <f>IFERROR(__xludf.DUMMYFUNCTION("""COMPUTED_VALUE"""),45743.0)</f>
        <v>45743</v>
      </c>
      <c r="D3151" s="154">
        <f>IFERROR(__xludf.DUMMYFUNCTION("""COMPUTED_VALUE"""),45749.0)</f>
        <v>45749</v>
      </c>
      <c r="E3151" s="158">
        <f>IFERROR(__xludf.DUMMYFUNCTION("""COMPUTED_VALUE"""),320506.0)</f>
        <v>320506</v>
      </c>
      <c r="F3151" s="159" t="str">
        <f>IFERROR(__xludf.DUMMYFUNCTION("""COMPUTED_VALUE"""),"さよなら歪なユートピア")</f>
        <v>さよなら歪なユートピア</v>
      </c>
      <c r="G3151" s="152" t="str">
        <f>IFERROR(__xludf.DUMMYFUNCTION("""COMPUTED_VALUE"""),"1～5")</f>
        <v>1～5</v>
      </c>
      <c r="H3151" s="152" t="str">
        <f>IFERROR(__xludf.DUMMYFUNCTION("""COMPUTED_VALUE"""),"朝森ジャージ")</f>
        <v>朝森ジャージ</v>
      </c>
      <c r="I3151" s="152" t="str">
        <f>IFERROR(__xludf.DUMMYFUNCTION("""COMPUTED_VALUE"""),"女性")</f>
        <v>女性</v>
      </c>
      <c r="J3151" s="157"/>
      <c r="K3151" s="157"/>
      <c r="L3151" s="152" t="str">
        <f>IFERROR(__xludf.DUMMYFUNCTION("""COMPUTED_VALUE"""),"集英社")</f>
        <v>集英社</v>
      </c>
      <c r="M3151" s="154">
        <f>IFERROR(__xludf.DUMMYFUNCTION("""COMPUTED_VALUE"""),45772.0)</f>
        <v>45772</v>
      </c>
      <c r="N3151" s="59">
        <f>IFERROR(__xludf.DUMMYFUNCTION("""COMPUTED_VALUE"""),45801.0)</f>
        <v>45801</v>
      </c>
      <c r="O3151" s="152"/>
      <c r="P3151" s="190" t="str">
        <f>IFERROR(__xludf.DUMMYFUNCTION("""COMPUTED_VALUE"""),"否")</f>
        <v>否</v>
      </c>
      <c r="Q3151" s="190"/>
      <c r="R3151" s="152"/>
      <c r="S3151" s="152" t="str">
        <f>IFERROR(__xludf.DUMMYFUNCTION("""COMPUTED_VALUE"""),"20250327_集英社_さよなら歪なユートピア")</f>
        <v>20250327_集英社_さよなら歪なユートピア</v>
      </c>
      <c r="T3151" s="152" t="str">
        <f>IFERROR(__xludf.DUMMYFUNCTION("""COMPUTED_VALUE"""),"格納済み")</f>
        <v>格納済み</v>
      </c>
      <c r="U3151" s="15" t="str">
        <f>IFERROR(__xludf.DUMMYFUNCTION("""COMPUTED_VALUE"""),"(C)朝森ジャージ／集英社")</f>
        <v>(C)朝森ジャージ／集英社</v>
      </c>
      <c r="V3151" s="8" t="str">
        <f>IFERROR(__xludf.DUMMYFUNCTION("""COMPUTED_VALUE"""),"虐待サバイバー×ヤングケアラー　痛みを共有する二人の、ピュアで切ないラブストーリー！　成績優秀な女子高生・相川は、クラスメイト達と充実した学校生活を送っていた。だが、家に帰ると待っているのは精神を病んだ母。いつ攻撃的になるか分からない母をケアしながら家事をこなす相川の精神は限界を迎えていた。ある日、友人に貰ったリップが見つかり母に激怒された相川は、ふらふらと外へ逃げ出す。橋から身を投げようとしたその時、現れたのは学年1位の秀才でクラスメイトの篠原で…？")</f>
        <v>虐待サバイバー×ヤングケアラー　痛みを共有する二人の、ピュアで切ないラブストーリー！　成績優秀な女子高生・相川は、クラスメイト達と充実した学校生活を送っていた。だが、家に帰ると待っているのは精神を病んだ母。いつ攻撃的になるか分からない母をケアしながら家事をこなす相川の精神は限界を迎えていた。ある日、友人に貰ったリップが見つかり母に激怒された相川は、ふらふらと外へ逃げ出す。橋から身を投げようとしたその時、現れたのは学年1位の秀才でクラスメイトの篠原で…？</v>
      </c>
      <c r="W3151" s="14"/>
      <c r="X3151" s="14" t="str">
        <f>IFERROR(__xludf.DUMMYFUNCTION("""COMPUTED_VALUE"""),"有")</f>
        <v>有</v>
      </c>
      <c r="Y3151" s="8" t="str">
        <f>IFERROR(__xludf.DUMMYFUNCTION("""COMPUTED_VALUE"""),"2025/5/24まで1巻無料")</f>
        <v>2025/5/24まで1巻無料</v>
      </c>
      <c r="Z3151" s="7"/>
      <c r="AA3151" s="7"/>
      <c r="AB3151" s="7"/>
    </row>
    <row r="3152" ht="15.75" customHeight="1">
      <c r="A3152" s="153">
        <f>IFERROR(__xludf.DUMMYFUNCTION("""COMPUTED_VALUE"""),5373.0)</f>
        <v>5373</v>
      </c>
      <c r="B3152" s="152" t="str">
        <f>IFERROR(__xludf.DUMMYFUNCTION("""COMPUTED_VALUE"""),"確定")</f>
        <v>確定</v>
      </c>
      <c r="C3152" s="154">
        <f>IFERROR(__xludf.DUMMYFUNCTION("""COMPUTED_VALUE"""),45743.0)</f>
        <v>45743</v>
      </c>
      <c r="D3152" s="154">
        <f>IFERROR(__xludf.DUMMYFUNCTION("""COMPUTED_VALUE"""),45749.0)</f>
        <v>45749</v>
      </c>
      <c r="E3152" s="158">
        <f>IFERROR(__xludf.DUMMYFUNCTION("""COMPUTED_VALUE"""),320494.0)</f>
        <v>320494</v>
      </c>
      <c r="F3152" s="159" t="str">
        <f>IFERROR(__xludf.DUMMYFUNCTION("""COMPUTED_VALUE"""),"恋とクズの治し方")</f>
        <v>恋とクズの治し方</v>
      </c>
      <c r="G3152" s="152" t="str">
        <f>IFERROR(__xludf.DUMMYFUNCTION("""COMPUTED_VALUE"""),"1～7")</f>
        <v>1～7</v>
      </c>
      <c r="H3152" s="152" t="str">
        <f>IFERROR(__xludf.DUMMYFUNCTION("""COMPUTED_VALUE"""),"橋岡リツキ")</f>
        <v>橋岡リツキ</v>
      </c>
      <c r="I3152" s="152" t="str">
        <f>IFERROR(__xludf.DUMMYFUNCTION("""COMPUTED_VALUE"""),"BL")</f>
        <v>BL</v>
      </c>
      <c r="J3152" s="157"/>
      <c r="K3152" s="157"/>
      <c r="L3152" s="152" t="str">
        <f>IFERROR(__xludf.DUMMYFUNCTION("""COMPUTED_VALUE"""),"集英社")</f>
        <v>集英社</v>
      </c>
      <c r="M3152" s="12">
        <f>IFERROR(__xludf.DUMMYFUNCTION("""COMPUTED_VALUE"""),45772.0)</f>
        <v>45772</v>
      </c>
      <c r="N3152" s="59">
        <f>IFERROR(__xludf.DUMMYFUNCTION("""COMPUTED_VALUE"""),45801.0)</f>
        <v>45801</v>
      </c>
      <c r="O3152" s="152"/>
      <c r="P3152" s="152" t="str">
        <f>IFERROR(__xludf.DUMMYFUNCTION("""COMPUTED_VALUE"""),"否")</f>
        <v>否</v>
      </c>
      <c r="Q3152" s="190" t="str">
        <f>IFERROR(__xludf.DUMMYFUNCTION("""COMPUTED_VALUE"""),"7巻完結です")</f>
        <v>7巻完結です</v>
      </c>
      <c r="R3152" s="152"/>
      <c r="S3152" s="152" t="str">
        <f>IFERROR(__xludf.DUMMYFUNCTION("""COMPUTED_VALUE"""),"20250402_集英社_恋とクズの治し方")</f>
        <v>20250402_集英社_恋とクズの治し方</v>
      </c>
      <c r="T3152" s="152" t="str">
        <f>IFERROR(__xludf.DUMMYFUNCTION("""COMPUTED_VALUE"""),"格納済み")</f>
        <v>格納済み</v>
      </c>
      <c r="U3152" s="15" t="str">
        <f>IFERROR(__xludf.DUMMYFUNCTION("""COMPUTED_VALUE"""),"(C)橋岡リツキ／集英社")</f>
        <v>(C)橋岡リツキ／集英社</v>
      </c>
      <c r="V3152" s="8" t="str">
        <f>IFERROR(__xludf.DUMMYFUNCTION("""COMPUTED_VALUE"""),"喜田流騎亜（るきあ）は18歳。蒸発した母からの借金を返しつつ、妹とふたり暮らし。高校を中退して、昼夜問わず働いていたが、無理がたたって体調を崩してしまう。借金返済と妹との生活のため、肉体労働じゃない高時給の仕事を探すが、ある日、「キャスト募集」と書かれた貼り紙を発見！　それはメンズコンセプトカフェ（略してメンコン）のキャストの仕事だった!!　キャストは“男子高校生”という設定の店に入店するが、そこでるきあに仕事を教えてくれたのは「俺も借金あるよ」と言う七瀬という男。どうにも危険な香りのする七瀬の“後輩”と"&amp;"して、るきあは働きはじめるけど……？")</f>
        <v>喜田流騎亜（るきあ）は18歳。蒸発した母からの借金を返しつつ、妹とふたり暮らし。高校を中退して、昼夜問わず働いていたが、無理がたたって体調を崩してしまう。借金返済と妹との生活のため、肉体労働じゃない高時給の仕事を探すが、ある日、「キャスト募集」と書かれた貼り紙を発見！　それはメンズコンセプトカフェ（略してメンコン）のキャストの仕事だった!!　キャストは“男子高校生”という設定の店に入店するが、そこでるきあに仕事を教えてくれたのは「俺も借金あるよ」と言う七瀬という男。どうにも危険な香りのする七瀬の“後輩”として、るきあは働きはじめるけど……？</v>
      </c>
      <c r="W3152" s="14"/>
      <c r="X3152" s="14" t="str">
        <f>IFERROR(__xludf.DUMMYFUNCTION("""COMPUTED_VALUE"""),"有")</f>
        <v>有</v>
      </c>
      <c r="Y3152" s="8" t="str">
        <f>IFERROR(__xludf.DUMMYFUNCTION("""COMPUTED_VALUE"""),"2025/5/24まで1巻無料")</f>
        <v>2025/5/24まで1巻無料</v>
      </c>
      <c r="Z3152" s="7"/>
      <c r="AA3152" s="7"/>
      <c r="AB3152" s="7"/>
    </row>
    <row r="3153" ht="15.75" customHeight="1">
      <c r="A3153" s="153">
        <f>IFERROR(__xludf.DUMMYFUNCTION("""COMPUTED_VALUE"""),5375.0)</f>
        <v>5375</v>
      </c>
      <c r="B3153" s="152" t="str">
        <f>IFERROR(__xludf.DUMMYFUNCTION("""COMPUTED_VALUE"""),"確定")</f>
        <v>確定</v>
      </c>
      <c r="C3153" s="154">
        <f>IFERROR(__xludf.DUMMYFUNCTION("""COMPUTED_VALUE"""),45743.0)</f>
        <v>45743</v>
      </c>
      <c r="D3153" s="154">
        <f>IFERROR(__xludf.DUMMYFUNCTION("""COMPUTED_VALUE"""),45749.0)</f>
        <v>45749</v>
      </c>
      <c r="E3153" s="158">
        <f>IFERROR(__xludf.DUMMYFUNCTION("""COMPUTED_VALUE"""),323045.0)</f>
        <v>323045</v>
      </c>
      <c r="F3153" s="159" t="str">
        <f>IFERROR(__xludf.DUMMYFUNCTION("""COMPUTED_VALUE"""),"BL彼氏")</f>
        <v>BL彼氏</v>
      </c>
      <c r="G3153" s="152" t="str">
        <f>IFERROR(__xludf.DUMMYFUNCTION("""COMPUTED_VALUE"""),"1～4")</f>
        <v>1～4</v>
      </c>
      <c r="H3153" s="153">
        <f>IFERROR(__xludf.DUMMYFUNCTION("""COMPUTED_VALUE"""),225.0)</f>
        <v>225</v>
      </c>
      <c r="I3153" s="152" t="str">
        <f>IFERROR(__xludf.DUMMYFUNCTION("""COMPUTED_VALUE"""),"少女マンガ")</f>
        <v>少女マンガ</v>
      </c>
      <c r="J3153" s="157"/>
      <c r="K3153" s="157"/>
      <c r="L3153" s="152" t="str">
        <f>IFERROR(__xludf.DUMMYFUNCTION("""COMPUTED_VALUE"""),"テライド出版")</f>
        <v>テライド出版</v>
      </c>
      <c r="M3153" s="12">
        <f>IFERROR(__xludf.DUMMYFUNCTION("""COMPUTED_VALUE"""),45802.0)</f>
        <v>45802</v>
      </c>
      <c r="N3153" s="47">
        <f>IFERROR(__xludf.DUMMYFUNCTION("""COMPUTED_VALUE"""),45891.0)</f>
        <v>45891</v>
      </c>
      <c r="O3153" s="152"/>
      <c r="P3153" s="190" t="str">
        <f>IFERROR(__xludf.DUMMYFUNCTION("""COMPUTED_VALUE"""),"可")</f>
        <v>可</v>
      </c>
      <c r="Q3153" s="190"/>
      <c r="R3153" s="152"/>
      <c r="S3153" s="152" t="str">
        <f>IFERROR(__xludf.DUMMYFUNCTION("""COMPUTED_VALUE"""),"20250421_ライドオン_BL彼氏	")</f>
        <v>20250421_ライドオン_BL彼氏	</v>
      </c>
      <c r="T3153" s="152" t="str">
        <f>IFERROR(__xludf.DUMMYFUNCTION("""COMPUTED_VALUE"""),"格納済み")</f>
        <v>格納済み</v>
      </c>
      <c r="U3153" s="15" t="str">
        <f>IFERROR(__xludf.DUMMYFUNCTION("""COMPUTED_VALUE"""),"Ⓒ225/AMUSE CREATIVE STUDIO")</f>
        <v>Ⓒ225/AMUSE CREATIVE STUDIO</v>
      </c>
      <c r="V3153" s="8" t="str">
        <f>IFERROR(__xludf.DUMMYFUNCTION("""COMPUTED_VALUE"""),"「私の彼氏はものすごくモテる………『男子』に」
剛力晴海（ごうりき はるみ）の彼氏・碓氷湊（うすい みなと）は眉目秀麗かつ文武両道で
少女マンガから飛び出してきたような超ハイスペック男子！
正直、晴海には高嶺の花すぎたけど、そこは『幼馴染』特権で、
奇跡のカップリングを誕生させることに成功した模様。やったね、晴海！
え？ それだけモテモテなら他の女子と浮気される心配はないかって？
大丈夫！ だって彼の場合は女子じゃなくて『男子』にモテるから☆
…………って、どういうこと!?
湊のカリス"&amp;"マ性が強すぎるゆえ、彼に群がる男子たち！
それを見て『男子たち×湊』のイチャイチャ妄想をする晴海…！
果たして妄想は現実となってしまうのか？ 一方、晴海の方にも言い寄る男子が増えだして……。
異色のBL妄想ラブコメディー、開幕！")</f>
        <v>「私の彼氏はものすごくモテる………『男子』に」
剛力晴海（ごうりき はるみ）の彼氏・碓氷湊（うすい みなと）は眉目秀麗かつ文武両道で
少女マンガから飛び出してきたような超ハイスペック男子！
正直、晴海には高嶺の花すぎたけど、そこは『幼馴染』特権で、
奇跡のカップリングを誕生させることに成功した模様。やったね、晴海！
え？ それだけモテモテなら他の女子と浮気される心配はないかって？
大丈夫！ だって彼の場合は女子じゃなくて『男子』にモテるから☆
…………って、どういうこと!?
湊のカリスマ性が強すぎるゆえ、彼に群がる男子たち！
それを見て『男子たち×湊』のイチャイチャ妄想をする晴海…！
果たして妄想は現実となってしまうのか？ 一方、晴海の方にも言い寄る男子が増えだして……。
異色のBL妄想ラブコメディー、開幕！</v>
      </c>
      <c r="W3153" s="14"/>
      <c r="X3153" s="14" t="str">
        <f>IFERROR(__xludf.DUMMYFUNCTION("""COMPUTED_VALUE"""),"有")</f>
        <v>有</v>
      </c>
      <c r="Y3153" s="8" t="str">
        <f>IFERROR(__xludf.DUMMYFUNCTION("""COMPUTED_VALUE"""),"2025/8/22まで1巻無料")</f>
        <v>2025/8/22まで1巻無料</v>
      </c>
      <c r="Z3153" s="7"/>
      <c r="AA3153" s="7"/>
      <c r="AB3153" s="7"/>
    </row>
    <row r="3154" ht="15.75" customHeight="1">
      <c r="A3154" s="153">
        <f>IFERROR(__xludf.DUMMYFUNCTION("""COMPUTED_VALUE"""),5376.0)</f>
        <v>5376</v>
      </c>
      <c r="B3154" s="152" t="str">
        <f>IFERROR(__xludf.DUMMYFUNCTION("""COMPUTED_VALUE"""),"確定")</f>
        <v>確定</v>
      </c>
      <c r="C3154" s="154">
        <f>IFERROR(__xludf.DUMMYFUNCTION("""COMPUTED_VALUE"""),45744.0)</f>
        <v>45744</v>
      </c>
      <c r="D3154" s="154">
        <f>IFERROR(__xludf.DUMMYFUNCTION("""COMPUTED_VALUE"""),45749.0)</f>
        <v>45749</v>
      </c>
      <c r="E3154" s="158">
        <f>IFERROR(__xludf.DUMMYFUNCTION("""COMPUTED_VALUE"""),320521.0)</f>
        <v>320521</v>
      </c>
      <c r="F3154" s="159" t="str">
        <f>IFERROR(__xludf.DUMMYFUNCTION("""COMPUTED_VALUE"""),"抱き方はこれで合ってますか？")</f>
        <v>抱き方はこれで合ってますか？</v>
      </c>
      <c r="G3154" s="152" t="str">
        <f>IFERROR(__xludf.DUMMYFUNCTION("""COMPUTED_VALUE"""),"1～2")</f>
        <v>1～2</v>
      </c>
      <c r="H3154" s="152" t="str">
        <f>IFERROR(__xludf.DUMMYFUNCTION("""COMPUTED_VALUE"""),"酒居なか")</f>
        <v>酒居なか</v>
      </c>
      <c r="I3154" s="152" t="str">
        <f>IFERROR(__xludf.DUMMYFUNCTION("""COMPUTED_VALUE"""),"BL")</f>
        <v>BL</v>
      </c>
      <c r="J3154" s="157"/>
      <c r="K3154" s="152" t="str">
        <f>IFERROR(__xludf.DUMMYFUNCTION("""COMPUTED_VALUE"""),"eXピアスシリーズ")</f>
        <v>eXピアスシリーズ</v>
      </c>
      <c r="L3154" s="152" t="str">
        <f>IFERROR(__xludf.DUMMYFUNCTION("""COMPUTED_VALUE"""),"ジュネット")</f>
        <v>ジュネット</v>
      </c>
      <c r="M3154" s="12">
        <f>IFERROR(__xludf.DUMMYFUNCTION("""COMPUTED_VALUE"""),45773.0)</f>
        <v>45773</v>
      </c>
      <c r="N3154" s="23">
        <f>IFERROR(__xludf.DUMMYFUNCTION("""COMPUTED_VALUE"""),45800.0)</f>
        <v>45800</v>
      </c>
      <c r="O3154" s="152"/>
      <c r="P3154" s="190" t="str">
        <f>IFERROR(__xludf.DUMMYFUNCTION("""COMPUTED_VALUE"""),"可")</f>
        <v>可</v>
      </c>
      <c r="Q3154" s="190"/>
      <c r="R3154" s="152"/>
      <c r="S3154" s="152" t="str">
        <f>IFERROR(__xludf.DUMMYFUNCTION("""COMPUTED_VALUE"""),"20250327_ジュネット_抱き方はこれで合ってますか")</f>
        <v>20250327_ジュネット_抱き方はこれで合ってますか</v>
      </c>
      <c r="T3154" s="152" t="str">
        <f>IFERROR(__xludf.DUMMYFUNCTION("""COMPUTED_VALUE"""),"格納済み")</f>
        <v>格納済み</v>
      </c>
      <c r="U3154" s="15" t="str">
        <f>IFERROR(__xludf.DUMMYFUNCTION("""COMPUTED_VALUE"""),"（C）酒居なか/ジュネット")</f>
        <v>（C）酒居なか/ジュネット</v>
      </c>
      <c r="V3154" s="8" t="str">
        <f>IFERROR(__xludf.DUMMYFUNCTION("""COMPUTED_VALUE"""),"同じ大学に入学した幼なじみの歩と一紀はかねてより興味があった部活見学に行く。だが、扉を開くとそこは女の園。な、なんと女子部員だらけの漫画研究部だった!?異様な雰囲気に尻込みするも、漫画談義で盛り上がり、いつの間にかポーズモデルを引き受けることになるふたり。長身の一紀に、壁に押し込まれドンされて、なんだか歩は妙な気分に!!?果たして何かが芽生えるのか?芽生えないのか!!?")</f>
        <v>同じ大学に入学した幼なじみの歩と一紀はかねてより興味があった部活見学に行く。だが、扉を開くとそこは女の園。な、なんと女子部員だらけの漫画研究部だった!?異様な雰囲気に尻込みするも、漫画談義で盛り上がり、いつの間にかポーズモデルを引き受けることになるふたり。長身の一紀に、壁に押し込まれドンされて、なんだか歩は妙な気分に!!?果たして何かが芽生えるのか?芽生えないのか!!?</v>
      </c>
      <c r="W3154" s="14"/>
      <c r="X3154" s="14" t="str">
        <f>IFERROR(__xludf.DUMMYFUNCTION("""COMPUTED_VALUE"""),"有")</f>
        <v>有</v>
      </c>
      <c r="Y3154" s="8" t="str">
        <f>IFERROR(__xludf.DUMMYFUNCTION("""COMPUTED_VALUE"""),"2025/5/9まで1巻無料")</f>
        <v>2025/5/9まで1巻無料</v>
      </c>
      <c r="Z3154" s="7"/>
      <c r="AA3154" s="7"/>
      <c r="AB3154" s="7"/>
    </row>
    <row r="3155" ht="15.75" customHeight="1">
      <c r="A3155" s="153">
        <f>IFERROR(__xludf.DUMMYFUNCTION("""COMPUTED_VALUE"""),5385.0)</f>
        <v>5385</v>
      </c>
      <c r="B3155" s="152" t="str">
        <f>IFERROR(__xludf.DUMMYFUNCTION("""COMPUTED_VALUE"""),"確定")</f>
        <v>確定</v>
      </c>
      <c r="C3155" s="154">
        <f>IFERROR(__xludf.DUMMYFUNCTION("""COMPUTED_VALUE"""),45747.0)</f>
        <v>45747</v>
      </c>
      <c r="D3155" s="154">
        <f>IFERROR(__xludf.DUMMYFUNCTION("""COMPUTED_VALUE"""),45749.0)</f>
        <v>45749</v>
      </c>
      <c r="E3155" s="157">
        <f>IFERROR(__xludf.DUMMYFUNCTION("""COMPUTED_VALUE"""),323234.0)</f>
        <v>323234</v>
      </c>
      <c r="F3155" s="152" t="str">
        <f>IFERROR(__xludf.DUMMYFUNCTION("""COMPUTED_VALUE"""),"マリッジインザダーク")</f>
        <v>マリッジインザダーク</v>
      </c>
      <c r="G3155" s="152" t="str">
        <f>IFERROR(__xludf.DUMMYFUNCTION("""COMPUTED_VALUE"""),"1～2")</f>
        <v>1～2</v>
      </c>
      <c r="H3155" s="152" t="str">
        <f>IFERROR(__xludf.DUMMYFUNCTION("""COMPUTED_VALUE"""),"いせざき")</f>
        <v>いせざき</v>
      </c>
      <c r="I3155" s="152" t="str">
        <f>IFERROR(__xludf.DUMMYFUNCTION("""COMPUTED_VALUE"""),"女性マンガ")</f>
        <v>女性マンガ</v>
      </c>
      <c r="J3155" s="157"/>
      <c r="K3155" s="152" t="str">
        <f>IFERROR(__xludf.DUMMYFUNCTION("""COMPUTED_VALUE"""),"バニラブ×シーモア")</f>
        <v>バニラブ×シーモア</v>
      </c>
      <c r="L3155" s="152" t="str">
        <f>IFERROR(__xludf.DUMMYFUNCTION("""COMPUTED_VALUE"""),"リブレ")</f>
        <v>リブレ</v>
      </c>
      <c r="M3155" s="12">
        <f>IFERROR(__xludf.DUMMYFUNCTION("""COMPUTED_VALUE"""),45806.0)</f>
        <v>45806</v>
      </c>
      <c r="N3155" s="59">
        <f>IFERROR(__xludf.DUMMYFUNCTION("""COMPUTED_VALUE"""),45896.0)</f>
        <v>45896</v>
      </c>
      <c r="O3155" s="152"/>
      <c r="P3155" s="152" t="str">
        <f>IFERROR(__xludf.DUMMYFUNCTION("""COMPUTED_VALUE"""),"可")</f>
        <v>可</v>
      </c>
      <c r="Q3155" s="190" t="str">
        <f>IFERROR(__xludf.DUMMYFUNCTION("""COMPUTED_VALUE"""),"協業レーベル『バニラブ×シーモア』作品です。&lt;BR&gt;1～2巻目素材のみご使用ください")</f>
        <v>協業レーベル『バニラブ×シーモア』作品です。&lt;BR&gt;1～2巻目素材のみご使用ください</v>
      </c>
      <c r="R3155" s="152"/>
      <c r="S3155" s="152" t="str">
        <f>IFERROR(__xludf.DUMMYFUNCTION("""COMPUTED_VALUE"""),"20250331_リブレ_マリッジインザダーク")</f>
        <v>20250331_リブレ_マリッジインザダーク</v>
      </c>
      <c r="T3155" s="152" t="str">
        <f>IFERROR(__xludf.DUMMYFUNCTION("""COMPUTED_VALUE"""),"格納済み")</f>
        <v>格納済み</v>
      </c>
      <c r="U3155" s="9" t="str">
        <f>IFERROR(__xludf.DUMMYFUNCTION("""COMPUTED_VALUE"""),"(C)いせざき/libre")</f>
        <v>(C)いせざき/libre</v>
      </c>
      <c r="V3155" s="8" t="str">
        <f>IFERROR(__xludf.DUMMYFUNCTION("""COMPUTED_VALUE"""),"「私と恋愛なし前提で結婚していただけませんか――」
園崎いばら（29）は恋愛ができない。
誰といてもドキドキしないし、ときめいたこともない。
しかし、誰かと共に生きる幸せを夢見て「恋愛なし」という条件の元で婚活していた。
そんなある日、婚活パーティーで出会った高梨悠人が条件を承諾してくれ、たった２か月で入籍することに！
イケメンでモテる要素しかない悠人が受け入れてくれたのはどうして？
恋のない結婚生活の行方は――
※本書は「バニラブvol.64」に収録されております。")</f>
        <v>「私と恋愛なし前提で結婚していただけませんか――」
園崎いばら（29）は恋愛ができない。
誰といてもドキドキしないし、ときめいたこともない。
しかし、誰かと共に生きる幸せを夢見て「恋愛なし」という条件の元で婚活していた。
そんなある日、婚活パーティーで出会った高梨悠人が条件を承諾してくれ、たった２か月で入籍することに！
イケメンでモテる要素しかない悠人が受け入れてくれたのはどうして？
恋のない結婚生活の行方は――
※本書は「バニラブvol.64」に収録されております。</v>
      </c>
      <c r="W3155" s="8" t="str">
        <f>IFERROR(__xludf.DUMMYFUNCTION("""COMPUTED_VALUE"""),"#REF!")</f>
        <v>#REF!</v>
      </c>
      <c r="X3155" s="8" t="str">
        <f>IFERROR(__xludf.DUMMYFUNCTION("""COMPUTED_VALUE"""),"有")</f>
        <v>有</v>
      </c>
      <c r="Y3155" s="8" t="str">
        <f>IFERROR(__xludf.DUMMYFUNCTION("""COMPUTED_VALUE"""),"2025/6/11まで1巻無料")</f>
        <v>2025/6/11まで1巻無料</v>
      </c>
      <c r="Z3155" s="7"/>
      <c r="AA3155" s="7"/>
      <c r="AB3155" s="7"/>
    </row>
    <row r="3156" ht="15.75" customHeight="1">
      <c r="A3156" s="153">
        <f>IFERROR(__xludf.DUMMYFUNCTION("""COMPUTED_VALUE"""),5386.0)</f>
        <v>5386</v>
      </c>
      <c r="B3156" s="152" t="str">
        <f>IFERROR(__xludf.DUMMYFUNCTION("""COMPUTED_VALUE"""),"確定")</f>
        <v>確定</v>
      </c>
      <c r="C3156" s="154">
        <f>IFERROR(__xludf.DUMMYFUNCTION("""COMPUTED_VALUE"""),45747.0)</f>
        <v>45747</v>
      </c>
      <c r="D3156" s="154">
        <f>IFERROR(__xludf.DUMMYFUNCTION("""COMPUTED_VALUE"""),45749.0)</f>
        <v>45749</v>
      </c>
      <c r="E3156" s="155">
        <f>IFERROR(__xludf.DUMMYFUNCTION("""COMPUTED_VALUE"""),320864.0)</f>
        <v>320864</v>
      </c>
      <c r="F3156" s="156" t="str">
        <f>IFERROR(__xludf.DUMMYFUNCTION("""COMPUTED_VALUE"""),"ラベンダーの咲く頃に")</f>
        <v>ラベンダーの咲く頃に</v>
      </c>
      <c r="G3156" s="152" t="str">
        <f>IFERROR(__xludf.DUMMYFUNCTION("""COMPUTED_VALUE"""),"1～3")</f>
        <v>1～3</v>
      </c>
      <c r="H3156" s="152" t="str">
        <f>IFERROR(__xludf.DUMMYFUNCTION("""COMPUTED_VALUE"""),"cheongdam")</f>
        <v>cheongdam</v>
      </c>
      <c r="I3156" s="152" t="str">
        <f>IFERROR(__xludf.DUMMYFUNCTION("""COMPUTED_VALUE"""),"BLマンガ")</f>
        <v>BLマンガ</v>
      </c>
      <c r="J3156" s="157"/>
      <c r="K3156" s="157"/>
      <c r="L3156" s="152" t="str">
        <f>IFERROR(__xludf.DUMMYFUNCTION("""COMPUTED_VALUE"""),"Rush!")</f>
        <v>Rush!</v>
      </c>
      <c r="M3156" s="12">
        <f>IFERROR(__xludf.DUMMYFUNCTION("""COMPUTED_VALUE"""),45777.0)</f>
        <v>45777</v>
      </c>
      <c r="N3156" s="59">
        <f>IFERROR(__xludf.DUMMYFUNCTION("""COMPUTED_VALUE"""),45804.0)</f>
        <v>45804</v>
      </c>
      <c r="O3156" s="152"/>
      <c r="P3156" s="190" t="str">
        <f>IFERROR(__xludf.DUMMYFUNCTION("""COMPUTED_VALUE"""),"可")</f>
        <v>可</v>
      </c>
      <c r="Q3156" s="190"/>
      <c r="R3156" s="152"/>
      <c r="S3156" s="152" t="str">
        <f>IFERROR(__xludf.DUMMYFUNCTION("""COMPUTED_VALUE"""),"20250409_ファンギルド_ラベンダーの咲く頃に")</f>
        <v>20250409_ファンギルド_ラベンダーの咲く頃に</v>
      </c>
      <c r="T3156" s="152" t="str">
        <f>IFERROR(__xludf.DUMMYFUNCTION("""COMPUTED_VALUE"""),"格納済み")</f>
        <v>格納済み</v>
      </c>
      <c r="U3156" s="15" t="str">
        <f>IFERROR(__xludf.DUMMYFUNCTION("""COMPUTED_VALUE"""),"Ⓒcheongdam")</f>
        <v>Ⓒcheongdam</v>
      </c>
      <c r="V3156" s="8" t="str">
        <f>IFERROR(__xludf.DUMMYFUNCTION("""COMPUTED_VALUE"""),"貴族たちの社交の場として賑わうラグジュアリーサロン&lt;エデン&gt;。その実態はどんな依頼でも金になるなら引き受ける何でも屋。その一員であるノアは6年前にシャイア家の息子・ヘンリーの暗殺に失敗して以降、依頼を引き受けず自堕落な生活を送っていた。そんなある日、ヘンリーの成人パーティーが開催されることを聞きつけたノアは、パーティーへ潜入するもヘンリーに正体を怪しまれてしまい…？貴族×殺し屋。禁じられた恋の行き着く先は──。")</f>
        <v>貴族たちの社交の場として賑わうラグジュアリーサロン&lt;エデン&gt;。その実態はどんな依頼でも金になるなら引き受ける何でも屋。その一員であるノアは6年前にシャイア家の息子・ヘンリーの暗殺に失敗して以降、依頼を引き受けず自堕落な生活を送っていた。そんなある日、ヘンリーの成人パーティーが開催されることを聞きつけたノアは、パーティーへ潜入するもヘンリーに正体を怪しまれてしまい…？貴族×殺し屋。禁じられた恋の行き着く先は──。</v>
      </c>
      <c r="W3156" s="14"/>
      <c r="X3156" s="14" t="str">
        <f>IFERROR(__xludf.DUMMYFUNCTION("""COMPUTED_VALUE"""),"有")</f>
        <v>有</v>
      </c>
      <c r="Y3156" s="8" t="str">
        <f>IFERROR(__xludf.DUMMYFUNCTION("""COMPUTED_VALUE"""),"P10まで")</f>
        <v>P10まで</v>
      </c>
      <c r="Z3156" s="7"/>
      <c r="AA3156" s="7"/>
      <c r="AB3156" s="7"/>
    </row>
    <row r="3157" ht="15.75" customHeight="1">
      <c r="A3157" s="153">
        <f>IFERROR(__xludf.DUMMYFUNCTION("""COMPUTED_VALUE"""),5387.0)</f>
        <v>5387</v>
      </c>
      <c r="B3157" s="152" t="str">
        <f>IFERROR(__xludf.DUMMYFUNCTION("""COMPUTED_VALUE"""),"確定")</f>
        <v>確定</v>
      </c>
      <c r="C3157" s="154">
        <f>IFERROR(__xludf.DUMMYFUNCTION("""COMPUTED_VALUE"""),45747.0)</f>
        <v>45747</v>
      </c>
      <c r="D3157" s="154">
        <f>IFERROR(__xludf.DUMMYFUNCTION("""COMPUTED_VALUE"""),45749.0)</f>
        <v>45749</v>
      </c>
      <c r="E3157" s="155">
        <f>IFERROR(__xludf.DUMMYFUNCTION("""COMPUTED_VALUE"""),320872.0)</f>
        <v>320872</v>
      </c>
      <c r="F3157" s="156" t="str">
        <f>IFERROR(__xludf.DUMMYFUNCTION("""COMPUTED_VALUE"""),"僕のえっちな夢が現実になるまで")</f>
        <v>僕のえっちな夢が現実になるまで</v>
      </c>
      <c r="G3157" s="152" t="str">
        <f>IFERROR(__xludf.DUMMYFUNCTION("""COMPUTED_VALUE"""),"1～5")</f>
        <v>1～5</v>
      </c>
      <c r="H3157" s="152" t="str">
        <f>IFERROR(__xludf.DUMMYFUNCTION("""COMPUTED_VALUE"""),"infall/Pineappledumpling/49")</f>
        <v>infall/Pineappledumpling/49</v>
      </c>
      <c r="I3157" s="152" t="str">
        <f>IFERROR(__xludf.DUMMYFUNCTION("""COMPUTED_VALUE"""),"BLマンガ")</f>
        <v>BLマンガ</v>
      </c>
      <c r="J3157" s="157"/>
      <c r="K3157" s="157"/>
      <c r="L3157" s="152" t="str">
        <f>IFERROR(__xludf.DUMMYFUNCTION("""COMPUTED_VALUE"""),"Rush!")</f>
        <v>Rush!</v>
      </c>
      <c r="M3157" s="12">
        <f>IFERROR(__xludf.DUMMYFUNCTION("""COMPUTED_VALUE"""),45777.0)</f>
        <v>45777</v>
      </c>
      <c r="N3157" s="59">
        <f>IFERROR(__xludf.DUMMYFUNCTION("""COMPUTED_VALUE"""),45804.0)</f>
        <v>45804</v>
      </c>
      <c r="O3157" s="152"/>
      <c r="P3157" s="190" t="str">
        <f>IFERROR(__xludf.DUMMYFUNCTION("""COMPUTED_VALUE"""),"可")</f>
        <v>可</v>
      </c>
      <c r="Q3157" s="190"/>
      <c r="R3157" s="152"/>
      <c r="S3157" s="152" t="str">
        <f>IFERROR(__xludf.DUMMYFUNCTION("""COMPUTED_VALUE"""),"20250331_ファンギルド_僕のえっちな夢が現実になるまで")</f>
        <v>20250331_ファンギルド_僕のえっちな夢が現実になるまで</v>
      </c>
      <c r="T3157" s="152" t="str">
        <f>IFERROR(__xludf.DUMMYFUNCTION("""COMPUTED_VALUE"""),"格納済み")</f>
        <v>格納済み</v>
      </c>
      <c r="U3157" s="15" t="str">
        <f>IFERROR(__xludf.DUMMYFUNCTION("""COMPUTED_VALUE"""),"Ⓒinfall/Pineappledumpling/49")</f>
        <v>Ⓒinfall/Pineappledumpling/49</v>
      </c>
      <c r="V3157" s="8" t="str">
        <f>IFERROR(__xludf.DUMMYFUNCTION("""COMPUTED_VALUE"""),"大学生の洋平は隣の家に住むサラリーマンの間宮に片思いをしている。小さい頃から自分を可愛がってくれる間宮を、洋平もおじさんと呼び慕っていた。最初は年上への憧れだったが、いつしか憧れは愛情に変わり――今では毎晩のように淫らに誘惑してくるおじさんの夢を見る日々を過ごしている。「俺の夢にはいつもおじさんしか出てこないんです！」募る想いを打ち明けても間宮は洋平の気持ちを本気にせず、二人はすれ違ってしまうが…ある事をきっかけに二人の仲は急接近することに…!?イケメン大学生×エッチなイケオジの年の差大恋愛！")</f>
        <v>大学生の洋平は隣の家に住むサラリーマンの間宮に片思いをしている。小さい頃から自分を可愛がってくれる間宮を、洋平もおじさんと呼び慕っていた。最初は年上への憧れだったが、いつしか憧れは愛情に変わり――今では毎晩のように淫らに誘惑してくるおじさんの夢を見る日々を過ごしている。「俺の夢にはいつもおじさんしか出てこないんです！」募る想いを打ち明けても間宮は洋平の気持ちを本気にせず、二人はすれ違ってしまうが…ある事をきっかけに二人の仲は急接近することに…!?イケメン大学生×エッチなイケオジの年の差大恋愛！</v>
      </c>
      <c r="W3157" s="14"/>
      <c r="X3157" s="14" t="str">
        <f>IFERROR(__xludf.DUMMYFUNCTION("""COMPUTED_VALUE"""),"有")</f>
        <v>有</v>
      </c>
      <c r="Y3157" s="8" t="str">
        <f>IFERROR(__xludf.DUMMYFUNCTION("""COMPUTED_VALUE"""),"P7まで")</f>
        <v>P7まで</v>
      </c>
      <c r="Z3157" s="7"/>
      <c r="AA3157" s="7"/>
      <c r="AB3157" s="7"/>
    </row>
    <row r="3158" ht="15.75" customHeight="1">
      <c r="A3158" s="153">
        <f>IFERROR(__xludf.DUMMYFUNCTION("""COMPUTED_VALUE"""),5397.0)</f>
        <v>5397</v>
      </c>
      <c r="B3158" s="152" t="str">
        <f>IFERROR(__xludf.DUMMYFUNCTION("""COMPUTED_VALUE"""),"確定")</f>
        <v>確定</v>
      </c>
      <c r="C3158" s="154">
        <f>IFERROR(__xludf.DUMMYFUNCTION("""COMPUTED_VALUE"""),45748.0)</f>
        <v>45748</v>
      </c>
      <c r="D3158" s="154">
        <f>IFERROR(__xludf.DUMMYFUNCTION("""COMPUTED_VALUE"""),45749.0)</f>
        <v>45749</v>
      </c>
      <c r="E3158" s="162">
        <f>IFERROR(__xludf.DUMMYFUNCTION("""COMPUTED_VALUE"""),280492.0)</f>
        <v>280492</v>
      </c>
      <c r="F3158" s="156" t="str">
        <f>IFERROR(__xludf.DUMMYFUNCTION("""COMPUTED_VALUE"""),"死に戻り転生少女と運命の恋")</f>
        <v>死に戻り転生少女と運命の恋</v>
      </c>
      <c r="G3158" s="152" t="str">
        <f>IFERROR(__xludf.DUMMYFUNCTION("""COMPUTED_VALUE"""),"1～3")</f>
        <v>1～3</v>
      </c>
      <c r="H3158" s="152" t="str">
        <f>IFERROR(__xludf.DUMMYFUNCTION("""COMPUTED_VALUE"""),"雪空")</f>
        <v>雪空</v>
      </c>
      <c r="I3158" s="152" t="str">
        <f>IFERROR(__xludf.DUMMYFUNCTION("""COMPUTED_VALUE"""),"少女マンガ")</f>
        <v>少女マンガ</v>
      </c>
      <c r="J3158" s="157"/>
      <c r="K3158" s="152" t="str">
        <f>IFERROR(__xludf.DUMMYFUNCTION("""COMPUTED_VALUE"""),"恋するソワレ")</f>
        <v>恋するソワレ</v>
      </c>
      <c r="L3158" s="152" t="str">
        <f>IFERROR(__xludf.DUMMYFUNCTION("""COMPUTED_VALUE"""),"シーモアコミックス")</f>
        <v>シーモアコミックス</v>
      </c>
      <c r="M3158" s="12">
        <f>IFERROR(__xludf.DUMMYFUNCTION("""COMPUTED_VALUE"""),45781.0)</f>
        <v>45781</v>
      </c>
      <c r="N3158" s="23">
        <f>IFERROR(__xludf.DUMMYFUNCTION("""COMPUTED_VALUE"""),45932.66666666667)</f>
        <v>45932.66667</v>
      </c>
      <c r="O3158" s="152"/>
      <c r="P3158" s="190" t="str">
        <f>IFERROR(__xludf.DUMMYFUNCTION("""COMPUTED_VALUE"""),"可")</f>
        <v>可</v>
      </c>
      <c r="Q3158" s="190"/>
      <c r="R3158" s="152"/>
      <c r="S3158" s="152" t="str">
        <f>IFERROR(__xludf.DUMMYFUNCTION("""COMPUTED_VALUE"""),"20250331_シーモアコミックス_死に戻り転生少女と運命の恋")</f>
        <v>20250331_シーモアコミックス_死に戻り転生少女と運命の恋</v>
      </c>
      <c r="T3158" s="152" t="str">
        <f>IFERROR(__xludf.DUMMYFUNCTION("""COMPUTED_VALUE"""),"格納済み")</f>
        <v>格納済み</v>
      </c>
      <c r="U3158" s="15" t="str">
        <f>IFERROR(__xludf.DUMMYFUNCTION("""COMPUTED_VALUE"""),"(C) 雪空/シーモアコミックス")</f>
        <v>(C) 雪空/シーモアコミックス</v>
      </c>
      <c r="V3158" s="8" t="str">
        <f>IFERROR(__xludf.DUMMYFUNCTION("""COMPUTED_VALUE"""),"「君を守るよ 今度こそ…」助けてくれたあなたは、どこか辛そうな顔をしていた――。
交通事故に遭い、人生を終えたはずなのに、目が覚めると知らない世界にいた17歳の真宮。
突然の出来事に混乱していると「お前の魂を喰う」と黒いモヤの妖怪に襲われる！
絶体絶命の中、助けてくれたのは刀を振るう青年で…!?
誰にも頼らず生きようとする、ひとりぼっちの少女が
戻ってきた世界で守り守られる愛を知り
過酷な運命と立ち向かい生きていくラブファンタジー開幕！
【恋するソワレ】")</f>
        <v>「君を守るよ 今度こそ…」助けてくれたあなたは、どこか辛そうな顔をしていた――。
交通事故に遭い、人生を終えたはずなのに、目が覚めると知らない世界にいた17歳の真宮。
突然の出来事に混乱していると「お前の魂を喰う」と黒いモヤの妖怪に襲われる！
絶体絶命の中、助けてくれたのは刀を振るう青年で…!?
誰にも頼らず生きようとする、ひとりぼっちの少女が
戻ってきた世界で守り守られる愛を知り
過酷な運命と立ち向かい生きていくラブファンタジー開幕！
【恋するソワレ】</v>
      </c>
      <c r="W3158" s="14"/>
      <c r="X3158" s="14" t="str">
        <f>IFERROR(__xludf.DUMMYFUNCTION("""COMPUTED_VALUE"""),"有")</f>
        <v>有</v>
      </c>
      <c r="Y3158" s="8" t="str">
        <f>IFERROR(__xludf.DUMMYFUNCTION("""COMPUTED_VALUE"""),"2025/5/31まで1巻無料")</f>
        <v>2025/5/31まで1巻無料</v>
      </c>
      <c r="Z3158" s="7"/>
      <c r="AA3158" s="7"/>
      <c r="AB3158" s="7"/>
    </row>
    <row r="3159" ht="15.75" customHeight="1">
      <c r="A3159" s="153">
        <f>IFERROR(__xludf.DUMMYFUNCTION("""COMPUTED_VALUE"""),5398.0)</f>
        <v>5398</v>
      </c>
      <c r="B3159" s="152" t="str">
        <f>IFERROR(__xludf.DUMMYFUNCTION("""COMPUTED_VALUE"""),"確定")</f>
        <v>確定</v>
      </c>
      <c r="C3159" s="154">
        <f>IFERROR(__xludf.DUMMYFUNCTION("""COMPUTED_VALUE"""),45748.0)</f>
        <v>45748</v>
      </c>
      <c r="D3159" s="154">
        <f>IFERROR(__xludf.DUMMYFUNCTION("""COMPUTED_VALUE"""),45749.0)</f>
        <v>45749</v>
      </c>
      <c r="E3159" s="155">
        <f>IFERROR(__xludf.DUMMYFUNCTION("""COMPUTED_VALUE"""),320979.0)</f>
        <v>320979</v>
      </c>
      <c r="F3159" s="156" t="str">
        <f>IFERROR(__xludf.DUMMYFUNCTION("""COMPUTED_VALUE"""),"私、本当は…-マゾ告白して始まる本当に気持ちいいセックス-")</f>
        <v>私、本当は…-マゾ告白して始まる本当に気持ちいいセックス-</v>
      </c>
      <c r="G3159" s="152" t="str">
        <f>IFERROR(__xludf.DUMMYFUNCTION("""COMPUTED_VALUE"""),"1～2")</f>
        <v>1～2</v>
      </c>
      <c r="H3159" s="152" t="str">
        <f>IFERROR(__xludf.DUMMYFUNCTION("""COMPUTED_VALUE"""),"餅田こゆび")</f>
        <v>餅田こゆび</v>
      </c>
      <c r="I3159" s="152" t="str">
        <f>IFERROR(__xludf.DUMMYFUNCTION("""COMPUTED_VALUE"""),"アダルト")</f>
        <v>アダルト</v>
      </c>
      <c r="J3159" s="157"/>
      <c r="K3159" s="157"/>
      <c r="L3159" s="152" t="str">
        <f>IFERROR(__xludf.DUMMYFUNCTION("""COMPUTED_VALUE"""),"ナイトコミック")</f>
        <v>ナイトコミック</v>
      </c>
      <c r="M3159" s="154">
        <f>IFERROR(__xludf.DUMMYFUNCTION("""COMPUTED_VALUE"""),45779.0)</f>
        <v>45779</v>
      </c>
      <c r="N3159" s="59">
        <f>IFERROR(__xludf.DUMMYFUNCTION("""COMPUTED_VALUE"""),45841.0)</f>
        <v>45841</v>
      </c>
      <c r="O3159" s="152"/>
      <c r="P3159" s="190" t="str">
        <f>IFERROR(__xludf.DUMMYFUNCTION("""COMPUTED_VALUE"""),"可")</f>
        <v>可</v>
      </c>
      <c r="Q3159" s="190"/>
      <c r="R3159" s="152"/>
      <c r="S3159" s="152" t="str">
        <f>IFERROR(__xludf.DUMMYFUNCTION("""COMPUTED_VALUE"""),"20250401_ナイトコミック_私、本当は…-マゾ告白して始まる本当に気持ちいいセックス-")</f>
        <v>20250401_ナイトコミック_私、本当は…-マゾ告白して始まる本当に気持ちいいセックス-</v>
      </c>
      <c r="T3159" s="152" t="str">
        <f>IFERROR(__xludf.DUMMYFUNCTION("""COMPUTED_VALUE"""),"格納済み")</f>
        <v>格納済み</v>
      </c>
      <c r="U3159" s="15" t="str">
        <f>IFERROR(__xludf.DUMMYFUNCTION("""COMPUTED_VALUE"""),"Ⓒ餅田こゆび")</f>
        <v>Ⓒ餅田こゆび</v>
      </c>
      <c r="V3159" s="8" t="str">
        <f>IFERROR(__xludf.DUMMYFUNCTION("""COMPUTED_VALUE"""),"彼氏のまー君と順調に交際を続けている大学生の桃。しかし、そんな桃にもまー君に言えない隠し事があった。それは、自分が超ドМだということ。まー君に打ち明けられないまま悶々とした日々を過ごしていた桃だったが、ある日彼からイラマチオさせてほしいとお願いされて…！？「苦しいけど、幸せ…」大好きな彼のイラマは、思っていた何倍も気持ちよくてたまらない…♡さらに、思いの通じ合った二人のプレイはどんどん過激さを増していき…！？")</f>
        <v>彼氏のまー君と順調に交際を続けている大学生の桃。しかし、そんな桃にもまー君に言えない隠し事があった。それは、自分が超ドМだということ。まー君に打ち明けられないまま悶々とした日々を過ごしていた桃だったが、ある日彼からイラマチオさせてほしいとお願いされて…！？「苦しいけど、幸せ…」大好きな彼のイラマは、思っていた何倍も気持ちよくてたまらない…♡さらに、思いの通じ合った二人のプレイはどんどん過激さを増していき…！？</v>
      </c>
      <c r="W3159" s="14"/>
      <c r="X3159" s="14" t="str">
        <f>IFERROR(__xludf.DUMMYFUNCTION("""COMPUTED_VALUE"""),"有")</f>
        <v>有</v>
      </c>
      <c r="Y3159" s="8" t="str">
        <f>IFERROR(__xludf.DUMMYFUNCTION("""COMPUTED_VALUE"""),"P11まで")</f>
        <v>P11まで</v>
      </c>
      <c r="Z3159" s="7"/>
      <c r="AA3159" s="7"/>
      <c r="AB3159" s="7"/>
    </row>
    <row r="3160" ht="15.75" customHeight="1">
      <c r="A3160" s="153">
        <f>IFERROR(__xludf.DUMMYFUNCTION("""COMPUTED_VALUE"""),5399.0)</f>
        <v>5399</v>
      </c>
      <c r="B3160" s="152" t="str">
        <f>IFERROR(__xludf.DUMMYFUNCTION("""COMPUTED_VALUE"""),"確定")</f>
        <v>確定</v>
      </c>
      <c r="C3160" s="154">
        <f>IFERROR(__xludf.DUMMYFUNCTION("""COMPUTED_VALUE"""),45748.0)</f>
        <v>45748</v>
      </c>
      <c r="D3160" s="154">
        <f>IFERROR(__xludf.DUMMYFUNCTION("""COMPUTED_VALUE"""),45749.0)</f>
        <v>45749</v>
      </c>
      <c r="E3160" s="158">
        <f>IFERROR(__xludf.DUMMYFUNCTION("""COMPUTED_VALUE"""),320318.0)</f>
        <v>320318</v>
      </c>
      <c r="F3160" s="159" t="str">
        <f>IFERROR(__xludf.DUMMYFUNCTION("""COMPUTED_VALUE"""),"ペテン師は罠を張る")</f>
        <v>ペテン師は罠を張る</v>
      </c>
      <c r="G3160" s="152" t="str">
        <f>IFERROR(__xludf.DUMMYFUNCTION("""COMPUTED_VALUE"""),"1～5")</f>
        <v>1～5</v>
      </c>
      <c r="H3160" s="152" t="str">
        <f>IFERROR(__xludf.DUMMYFUNCTION("""COMPUTED_VALUE"""),"犬田かんこ┴蓮井子鹿┴parasite garden")</f>
        <v>犬田かんこ┴蓮井子鹿┴parasite garden</v>
      </c>
      <c r="I3160" s="152" t="str">
        <f>IFERROR(__xludf.DUMMYFUNCTION("""COMPUTED_VALUE"""),"TL")</f>
        <v>TL</v>
      </c>
      <c r="J3160" s="157"/>
      <c r="K3160" s="152" t="str">
        <f>IFERROR(__xludf.DUMMYFUNCTION("""COMPUTED_VALUE"""),"BLIC-TL")</f>
        <v>BLIC-TL</v>
      </c>
      <c r="L3160" s="152" t="str">
        <f>IFERROR(__xludf.DUMMYFUNCTION("""COMPUTED_VALUE"""),"クロスフォリオ出版")</f>
        <v>クロスフォリオ出版</v>
      </c>
      <c r="M3160" s="12">
        <f>IFERROR(__xludf.DUMMYFUNCTION("""COMPUTED_VALUE"""),45772.0)</f>
        <v>45772</v>
      </c>
      <c r="N3160" s="59">
        <f>IFERROR(__xludf.DUMMYFUNCTION("""COMPUTED_VALUE"""),45834.0)</f>
        <v>45834</v>
      </c>
      <c r="O3160" s="152"/>
      <c r="P3160" s="152" t="str">
        <f>IFERROR(__xludf.DUMMYFUNCTION("""COMPUTED_VALUE"""),"可")</f>
        <v>可</v>
      </c>
      <c r="Q3160" s="190" t="str">
        <f>IFERROR(__xludf.DUMMYFUNCTION("""COMPUTED_VALUE"""),"『parasite garden』の作品です。&lt;BR&gt;Bookliveとの２社先行です。")</f>
        <v>『parasite garden』の作品です。&lt;BR&gt;Bookliveとの２社先行です。</v>
      </c>
      <c r="R3160" s="152"/>
      <c r="S3160" s="152" t="str">
        <f>IFERROR(__xludf.DUMMYFUNCTION("""COMPUTED_VALUE"""),"20250401_Booklive_ペテン師は罠を張る")</f>
        <v>20250401_Booklive_ペテン師は罠を張る</v>
      </c>
      <c r="T3160" s="152" t="str">
        <f>IFERROR(__xludf.DUMMYFUNCTION("""COMPUTED_VALUE"""),"格納済み")</f>
        <v>格納済み</v>
      </c>
      <c r="U3160" s="15" t="str">
        <f>IFERROR(__xludf.DUMMYFUNCTION("""COMPUTED_VALUE"""),"(c)犬田かんこ/蓮井子鹿/parasite garden/クロスフォリオ出版")</f>
        <v>(c)犬田かんこ/蓮井子鹿/parasite garden/クロスフォリオ出版</v>
      </c>
      <c r="V3160" s="8" t="str">
        <f>IFERROR(__xludf.DUMMYFUNCTION("""COMPUTED_VALUE"""),"ねえ、槙島くん……貴方は一体――
わたしには同棲をしている彼氏がいる。名前は辰馬。
でも最近の辰馬は冷たい。いつも帰ってくるのは遅いし食事は外で済ませてくるし……
これってわたしがセックスが苦手で辰馬との行為に応じてあげられないからなのかなって
一人で悶々と悩んでいた。
ある日、大学時代のサークルの繋がりの飲み会を槙島くんの家でやることになって私も参加した。
辰馬は会社の人と用事があるから来なかった。
せっかくだから楽しく飲もうと、普段はあんまり飲まないお酒を飲んで騒いだ。
"&amp;"
ちょっとだけ辰馬の愚痴も言っちゃったりして……みんな笑って聞いてくれていたけれど
全員が眠りこけた後、槙島くんだけが真剣に私の悩みに乗ってくれた。
彼は私と辰馬の間のセックスレスの悩みを茶化すことなくとても真剣に聞いてくれて
「俺は君も辰馬も好きだから仲良くしていて欲しい、折角お似合いなのにそんなことで別れてしまったら悲しい」
と、セックスで感じることできるようになるように”感じるための練習”に
付き合ってもらうことになったけど――
※本作は犬田かんこ、蓮井子鹿の個人誌作品の電子"&amp;"書籍版となります。【24ページ】")</f>
        <v>ねえ、槙島くん……貴方は一体――
わたしには同棲をしている彼氏がいる。名前は辰馬。
でも最近の辰馬は冷たい。いつも帰ってくるのは遅いし食事は外で済ませてくるし……
これってわたしがセックスが苦手で辰馬との行為に応じてあげられないからなのかなって
一人で悶々と悩んでいた。
ある日、大学時代のサークルの繋がりの飲み会を槙島くんの家でやることになって私も参加した。
辰馬は会社の人と用事があるから来なかった。
せっかくだから楽しく飲もうと、普段はあんまり飲まないお酒を飲んで騒いだ。
ちょっとだけ辰馬の愚痴も言っちゃったりして……みんな笑って聞いてくれていたけれど
全員が眠りこけた後、槙島くんだけが真剣に私の悩みに乗ってくれた。
彼は私と辰馬の間のセックスレスの悩みを茶化すことなくとても真剣に聞いてくれて
「俺は君も辰馬も好きだから仲良くしていて欲しい、折角お似合いなのにそんなことで別れてしまったら悲しい」
と、セックスで感じることできるようになるように”感じるための練習”に
付き合ってもらうことになったけど――
※本作は犬田かんこ、蓮井子鹿の個人誌作品の電子書籍版となります。【24ページ】</v>
      </c>
      <c r="W3160" s="14"/>
      <c r="X3160" s="14" t="str">
        <f>IFERROR(__xludf.DUMMYFUNCTION("""COMPUTED_VALUE"""),"有")</f>
        <v>有</v>
      </c>
      <c r="Y3160" s="8" t="str">
        <f>IFERROR(__xludf.DUMMYFUNCTION("""COMPUTED_VALUE"""),"2025/5/8まで1巻無料")</f>
        <v>2025/5/8まで1巻無料</v>
      </c>
      <c r="Z3160" s="7"/>
      <c r="AA3160" s="7"/>
      <c r="AB3160" s="7"/>
    </row>
    <row r="3161" ht="15.75" customHeight="1">
      <c r="A3161" s="153">
        <f>IFERROR(__xludf.DUMMYFUNCTION("""COMPUTED_VALUE"""),5400.0)</f>
        <v>5400</v>
      </c>
      <c r="B3161" s="152" t="str">
        <f>IFERROR(__xludf.DUMMYFUNCTION("""COMPUTED_VALUE"""),"確定")</f>
        <v>確定</v>
      </c>
      <c r="C3161" s="154">
        <f>IFERROR(__xludf.DUMMYFUNCTION("""COMPUTED_VALUE"""),45748.0)</f>
        <v>45748</v>
      </c>
      <c r="D3161" s="154">
        <f>IFERROR(__xludf.DUMMYFUNCTION("""COMPUTED_VALUE"""),45749.0)</f>
        <v>45749</v>
      </c>
      <c r="E3161" s="158">
        <f>IFERROR(__xludf.DUMMYFUNCTION("""COMPUTED_VALUE"""),320319.0)</f>
        <v>320319</v>
      </c>
      <c r="F3161" s="159" t="str">
        <f>IFERROR(__xludf.DUMMYFUNCTION("""COMPUTED_VALUE"""),"ペテン師は罠を張る【R版】")</f>
        <v>ペテン師は罠を張る【R版】</v>
      </c>
      <c r="G3161" s="152" t="str">
        <f>IFERROR(__xludf.DUMMYFUNCTION("""COMPUTED_VALUE"""),"1～5")</f>
        <v>1～5</v>
      </c>
      <c r="H3161" s="152" t="str">
        <f>IFERROR(__xludf.DUMMYFUNCTION("""COMPUTED_VALUE"""),"犬田かんこ┴蓮井子鹿┴parasite garden")</f>
        <v>犬田かんこ┴蓮井子鹿┴parasite garden</v>
      </c>
      <c r="I3161" s="164" t="str">
        <f>IFERROR(__xludf.DUMMYFUNCTION("""COMPUTED_VALUE"""),"アダルトジャンル")</f>
        <v>アダルトジャンル</v>
      </c>
      <c r="J3161" s="166"/>
      <c r="K3161" s="152" t="str">
        <f>IFERROR(__xludf.DUMMYFUNCTION("""COMPUTED_VALUE"""),"BLIC-TL")</f>
        <v>BLIC-TL</v>
      </c>
      <c r="L3161" s="152" t="str">
        <f>IFERROR(__xludf.DUMMYFUNCTION("""COMPUTED_VALUE"""),"クロスフォリオ出版")</f>
        <v>クロスフォリオ出版</v>
      </c>
      <c r="M3161" s="12">
        <f>IFERROR(__xludf.DUMMYFUNCTION("""COMPUTED_VALUE"""),45772.0)</f>
        <v>45772</v>
      </c>
      <c r="N3161" s="59">
        <f>IFERROR(__xludf.DUMMYFUNCTION("""COMPUTED_VALUE"""),45834.0)</f>
        <v>45834</v>
      </c>
      <c r="O3161" s="152"/>
      <c r="P3161" s="152" t="str">
        <f>IFERROR(__xludf.DUMMYFUNCTION("""COMPUTED_VALUE"""),"可")</f>
        <v>可</v>
      </c>
      <c r="Q3161" s="190" t="str">
        <f>IFERROR(__xludf.DUMMYFUNCTION("""COMPUTED_VALUE"""),"『parasite garden』の作品です。&lt;BR&gt;Bookliveとの２社先行です。")</f>
        <v>『parasite garden』の作品です。&lt;BR&gt;Bookliveとの２社先行です。</v>
      </c>
      <c r="R3161" s="152"/>
      <c r="S3161" s="152" t="str">
        <f>IFERROR(__xludf.DUMMYFUNCTION("""COMPUTED_VALUE"""),"20250401_Booklive_ペテン師は罠を張る【R版】")</f>
        <v>20250401_Booklive_ペテン師は罠を張る【R版】</v>
      </c>
      <c r="T3161" s="152" t="str">
        <f>IFERROR(__xludf.DUMMYFUNCTION("""COMPUTED_VALUE"""),"格納済み")</f>
        <v>格納済み</v>
      </c>
      <c r="U3161" s="15" t="str">
        <f>IFERROR(__xludf.DUMMYFUNCTION("""COMPUTED_VALUE"""),"(c)犬田かんこ/蓮井子鹿/parasite garden/クロスフォリオ出版")</f>
        <v>(c)犬田かんこ/蓮井子鹿/parasite garden/クロスフォリオ出版</v>
      </c>
      <c r="V3161" s="8" t="str">
        <f>IFERROR(__xludf.DUMMYFUNCTION("""COMPUTED_VALUE"""),"ねえ、槙島くん……貴方は一体――
わたしには同棲をしている彼氏がいる。名前は辰馬。
でも最近の辰馬は冷たい。いつも帰ってくるのは遅いし食事は外で済ませてくるし……
これってわたしがセックスが苦手で辰馬との行為に応じてあげられないからなのかなって
一人で悶々と悩んでいた。
ある日、大学時代のサークルの繋がりの飲み会を槙島くんの家でやることになって私も参加した。
辰馬は会社の人と用事があるから来なかった。
せっかくだから楽しく飲もうと、普段はあんまり飲まないお酒を飲んで騒いだ。
"&amp;"
ちょっとだけ辰馬の愚痴も言っちゃったりして……みんな笑って聞いてくれていたけれど
全員が眠りこけた後、槙島くんだけが真剣に私の悩みに乗ってくれた。
彼は私と辰馬の間のセックスレスの悩みを茶化すことなくとても真剣に聞いてくれて
「俺は君も辰馬も好きだから仲良くしていて欲しい、折角お似合いなのにそんなことで別れてしまったら悲しい」
と、セックスで感じることできるようになるように”感じるための練習”に
付き合ってもらうことになったけど――
※本作は犬田かんこ、蓮井子鹿の個人誌作品の電子書籍"&amp;"版となります。【24ページ】
※本作は『ペテン師は罠を張る』の修正をやや弱めたものです。内容に差異はありません。")</f>
        <v>ねえ、槙島くん……貴方は一体――
わたしには同棲をしている彼氏がいる。名前は辰馬。
でも最近の辰馬は冷たい。いつも帰ってくるのは遅いし食事は外で済ませてくるし……
これってわたしがセックスが苦手で辰馬との行為に応じてあげられないからなのかなって
一人で悶々と悩んでいた。
ある日、大学時代のサークルの繋がりの飲み会を槙島くんの家でやることになって私も参加した。
辰馬は会社の人と用事があるから来なかった。
せっかくだから楽しく飲もうと、普段はあんまり飲まないお酒を飲んで騒いだ。
ちょっとだけ辰馬の愚痴も言っちゃったりして……みんな笑って聞いてくれていたけれど
全員が眠りこけた後、槙島くんだけが真剣に私の悩みに乗ってくれた。
彼は私と辰馬の間のセックスレスの悩みを茶化すことなくとても真剣に聞いてくれて
「俺は君も辰馬も好きだから仲良くしていて欲しい、折角お似合いなのにそんなことで別れてしまったら悲しい」
と、セックスで感じることできるようになるように”感じるための練習”に
付き合ってもらうことになったけど――
※本作は犬田かんこ、蓮井子鹿の個人誌作品の電子書籍版となります。【24ページ】
※本作は『ペテン師は罠を張る』の修正をやや弱めたものです。内容に差異はありません。</v>
      </c>
      <c r="W3161" s="14"/>
      <c r="X3161" s="14" t="str">
        <f>IFERROR(__xludf.DUMMYFUNCTION("""COMPUTED_VALUE"""),"有")</f>
        <v>有</v>
      </c>
      <c r="Y3161" s="8" t="str">
        <f>IFERROR(__xludf.DUMMYFUNCTION("""COMPUTED_VALUE"""),"2025/5/8まで1巻無料")</f>
        <v>2025/5/8まで1巻無料</v>
      </c>
      <c r="Z3161" s="7"/>
      <c r="AA3161" s="7"/>
      <c r="AB3161" s="7"/>
    </row>
    <row r="3162" ht="15.75" customHeight="1">
      <c r="A3162" s="153">
        <f>IFERROR(__xludf.DUMMYFUNCTION("""COMPUTED_VALUE"""),4880.0)</f>
        <v>4880</v>
      </c>
      <c r="B3162" s="152" t="str">
        <f>IFERROR(__xludf.DUMMYFUNCTION("""COMPUTED_VALUE"""),"確定")</f>
        <v>確定</v>
      </c>
      <c r="C3162" s="154">
        <f>IFERROR(__xludf.DUMMYFUNCTION("""COMPUTED_VALUE"""),45679.0)</f>
        <v>45679</v>
      </c>
      <c r="D3162" s="154">
        <f>IFERROR(__xludf.DUMMYFUNCTION("""COMPUTED_VALUE"""),45755.0)</f>
        <v>45755</v>
      </c>
      <c r="E3162" s="155">
        <f>IFERROR(__xludf.DUMMYFUNCTION("""COMPUTED_VALUE"""),321081.0)</f>
        <v>321081</v>
      </c>
      <c r="F3162" s="156" t="str">
        <f>IFERROR(__xludf.DUMMYFUNCTION("""COMPUTED_VALUE"""),"タワマン・リベンジ2～港区最底辺からのヤり上がり～【タテヨミ】")</f>
        <v>タワマン・リベンジ2～港区最底辺からのヤり上がり～【タテヨミ】</v>
      </c>
      <c r="G3162" s="152" t="str">
        <f>IFERROR(__xludf.DUMMYFUNCTION("""COMPUTED_VALUE"""),"1～8")</f>
        <v>1～8</v>
      </c>
      <c r="H3162" s="152" t="str">
        <f>IFERROR(__xludf.DUMMYFUNCTION("""COMPUTED_VALUE"""),"Shigeky / こくだかや")</f>
        <v>Shigeky / こくだかや</v>
      </c>
      <c r="I3162" s="152" t="str">
        <f>IFERROR(__xludf.DUMMYFUNCTION("""COMPUTED_VALUE"""),"青年")</f>
        <v>青年</v>
      </c>
      <c r="J3162" s="157"/>
      <c r="K3162" s="152" t="str">
        <f>IFERROR(__xludf.DUMMYFUNCTION("""COMPUTED_VALUE"""),"ヤングアニマル")</f>
        <v>ヤングアニマル</v>
      </c>
      <c r="L3162" s="152" t="str">
        <f>IFERROR(__xludf.DUMMYFUNCTION("""COMPUTED_VALUE"""),"白泉社")</f>
        <v>白泉社</v>
      </c>
      <c r="M3162" s="154">
        <f>IFERROR(__xludf.DUMMYFUNCTION("""COMPUTED_VALUE"""),45778.0)</f>
        <v>45778</v>
      </c>
      <c r="N3162" s="59">
        <f>IFERROR(__xludf.DUMMYFUNCTION("""COMPUTED_VALUE"""),45966.0)</f>
        <v>45966</v>
      </c>
      <c r="O3162" s="152"/>
      <c r="P3162" s="164" t="str">
        <f>IFERROR(__xludf.DUMMYFUNCTION("""COMPUTED_VALUE"""),"可")</f>
        <v>可</v>
      </c>
      <c r="Q3162" s="166"/>
      <c r="R3162" s="152"/>
      <c r="S3162" s="152" t="str">
        <f>IFERROR(__xludf.DUMMYFUNCTION("""COMPUTED_VALUE"""),"20250408_白泉社_タワマン・リベンジ2")</f>
        <v>20250408_白泉社_タワマン・リベンジ2</v>
      </c>
      <c r="T3162" s="152" t="str">
        <f>IFERROR(__xludf.DUMMYFUNCTION("""COMPUTED_VALUE"""),"格納済み")</f>
        <v>格納済み</v>
      </c>
      <c r="U3162" s="15" t="str">
        <f>IFERROR(__xludf.DUMMYFUNCTION("""COMPUTED_VALUE"""),"(C)Shigeky・こくだかや／白泉社")</f>
        <v>(C)Shigeky・こくだかや／白泉社</v>
      </c>
      <c r="V3162" s="8" t="str">
        <f>IFERROR(__xludf.DUMMYFUNCTION("""COMPUTED_VALUE"""),"(第1話)今回のタワマンは、東京のど真ん中・六本木!!田舎を出て憧れのタワマンに引っ越してきた川口大輔は、大好きだったグラドルや超一流芸能人も同じマンションに住んでいることを知り喜ぶが、住民交流会で低層階であることを馬鹿にされ屈辱を味わうことに――。しかしふとしたきっかけから、馬鹿にしてきた女性たちの弱みを握ることとなり…？")</f>
        <v>(第1話)今回のタワマンは、東京のど真ん中・六本木!!田舎を出て憧れのタワマンに引っ越してきた川口大輔は、大好きだったグラドルや超一流芸能人も同じマンションに住んでいることを知り喜ぶが、住民交流会で低層階であることを馬鹿にされ屈辱を味わうことに――。しかしふとしたきっかけから、馬鹿にしてきた女性たちの弱みを握ることとなり…？</v>
      </c>
      <c r="W3162" s="14"/>
      <c r="X3162" s="14" t="str">
        <f>IFERROR(__xludf.DUMMYFUNCTION("""COMPUTED_VALUE"""),"有")</f>
        <v>有</v>
      </c>
      <c r="Y3162" s="8" t="str">
        <f>IFERROR(__xludf.DUMMYFUNCTION("""COMPUTED_VALUE"""),"3巻無料")</f>
        <v>3巻無料</v>
      </c>
      <c r="Z3162" s="7"/>
      <c r="AA3162" s="7"/>
      <c r="AB3162" s="7"/>
    </row>
    <row r="3163" ht="15.75" customHeight="1">
      <c r="A3163" s="153">
        <f>IFERROR(__xludf.DUMMYFUNCTION("""COMPUTED_VALUE"""),5013.0)</f>
        <v>5013</v>
      </c>
      <c r="B3163" s="152" t="str">
        <f>IFERROR(__xludf.DUMMYFUNCTION("""COMPUTED_VALUE"""),"確定")</f>
        <v>確定</v>
      </c>
      <c r="C3163" s="154">
        <f>IFERROR(__xludf.DUMMYFUNCTION("""COMPUTED_VALUE"""),45701.0)</f>
        <v>45701</v>
      </c>
      <c r="D3163" s="154">
        <f>IFERROR(__xludf.DUMMYFUNCTION("""COMPUTED_VALUE"""),45755.0)</f>
        <v>45755</v>
      </c>
      <c r="E3163" s="158">
        <f>IFERROR(__xludf.DUMMYFUNCTION("""COMPUTED_VALUE"""),322118.0)</f>
        <v>322118</v>
      </c>
      <c r="F3163" s="159" t="str">
        <f>IFERROR(__xludf.DUMMYFUNCTION("""COMPUTED_VALUE"""),"魔法が使えないと追放された姫は、剣の国の王子に見初められ、騎士として祖国を取り返す")</f>
        <v>魔法が使えないと追放された姫は、剣の国の王子に見初められ、騎士として祖国を取り返す</v>
      </c>
      <c r="G3163" s="152" t="str">
        <f>IFERROR(__xludf.DUMMYFUNCTION("""COMPUTED_VALUE"""),"1～4")</f>
        <v>1～4</v>
      </c>
      <c r="H3163" s="152" t="str">
        <f>IFERROR(__xludf.DUMMYFUNCTION("""COMPUTED_VALUE"""),"ＲＡＭＣＬＥＡＲ各務都心┴焼き芋ハンサム斎藤┴千畑むぎ")</f>
        <v>ＲＡＭＣＬＥＡＲ各務都心┴焼き芋ハンサム斎藤┴千畑むぎ</v>
      </c>
      <c r="I3163" s="152" t="str">
        <f>IFERROR(__xludf.DUMMYFUNCTION("""COMPUTED_VALUE"""),"女性")</f>
        <v>女性</v>
      </c>
      <c r="J3163" s="157"/>
      <c r="K3163" s="157"/>
      <c r="L3163" s="152" t="str">
        <f>IFERROR(__xludf.DUMMYFUNCTION("""COMPUTED_VALUE"""),"小学館")</f>
        <v>小学館</v>
      </c>
      <c r="M3163" s="12">
        <f>IFERROR(__xludf.DUMMYFUNCTION("""COMPUTED_VALUE"""),45772.0)</f>
        <v>45772</v>
      </c>
      <c r="N3163" s="59">
        <f>IFERROR(__xludf.DUMMYFUNCTION("""COMPUTED_VALUE"""),45832.0)</f>
        <v>45832</v>
      </c>
      <c r="O3163" s="152"/>
      <c r="P3163" s="190" t="str">
        <f>IFERROR(__xludf.DUMMYFUNCTION("""COMPUTED_VALUE"""),"否")</f>
        <v>否</v>
      </c>
      <c r="Q3163" s="152"/>
      <c r="R3163" s="152" t="str">
        <f>IFERROR(__xludf.DUMMYFUNCTION("""COMPUTED_VALUE"""),"コミットOK")</f>
        <v>コミットOK</v>
      </c>
      <c r="S3163" s="152" t="str">
        <f>IFERROR(__xludf.DUMMYFUNCTION("""COMPUTED_VALUE"""),"20250404_小学館_魔法が使えないと追放された姫は、剣の國の王子に見初められ、騎士として祖国を取り返す")</f>
        <v>20250404_小学館_魔法が使えないと追放された姫は、剣の國の王子に見初められ、騎士として祖国を取り返す</v>
      </c>
      <c r="T3163" s="152" t="str">
        <f>IFERROR(__xludf.DUMMYFUNCTION("""COMPUTED_VALUE"""),"格納済み")</f>
        <v>格納済み</v>
      </c>
      <c r="U3163" s="15" t="str">
        <f>IFERROR(__xludf.DUMMYFUNCTION("""COMPUTED_VALUE"""),"(C)STUDIO SEED / 小学館")</f>
        <v>(C)STUDIO SEED / 小学館</v>
      </c>
      <c r="V3163" s="8" t="str">
        <f>IFERROR(__xludf.DUMMYFUNCTION("""COMPUTED_VALUE"""),"「こんな女と結婚できるか！」
あらゆる民が魔法を操る、魔導国家・アルミラ王国。
アルミラ王国の第一王女・セリアは、継母の策略によって、魔力の素質がないことを暴かれてしまう。
大国・ヴェリオンの王子との婚約を破棄され、王国を追放されたセリアは、武術国家のデュランディアに逃げ延びる。
母親譲りの剣の才能で武術大会を勝ち上がったセリアは、デュランディアの王子・ジェイドに見初められて――
剣と魔法が紡ぐ、追放×姫騎士ロマンス！！")</f>
        <v>「こんな女と結婚できるか！」
あらゆる民が魔法を操る、魔導国家・アルミラ王国。
アルミラ王国の第一王女・セリアは、継母の策略によって、魔力の素質がないことを暴かれてしまう。
大国・ヴェリオンの王子との婚約を破棄され、王国を追放されたセリアは、武術国家のデュランディアに逃げ延びる。
母親譲りの剣の才能で武術大会を勝ち上がったセリアは、デュランディアの王子・ジェイドに見初められて――
剣と魔法が紡ぐ、追放×姫騎士ロマンス！！</v>
      </c>
      <c r="W3163" s="14"/>
      <c r="X3163" s="14" t="str">
        <f>IFERROR(__xludf.DUMMYFUNCTION("""COMPUTED_VALUE"""),"有")</f>
        <v>有</v>
      </c>
      <c r="Y3163" s="8" t="str">
        <f>IFERROR(__xludf.DUMMYFUNCTION("""COMPUTED_VALUE"""),"1巻無料")</f>
        <v>1巻無料</v>
      </c>
      <c r="Z3163" s="7"/>
      <c r="AA3163" s="7"/>
      <c r="AB3163" s="7"/>
    </row>
    <row r="3164" ht="15.75" customHeight="1">
      <c r="A3164" s="153">
        <f>IFERROR(__xludf.DUMMYFUNCTION("""COMPUTED_VALUE"""),5150.0)</f>
        <v>5150</v>
      </c>
      <c r="B3164" s="152" t="str">
        <f>IFERROR(__xludf.DUMMYFUNCTION("""COMPUTED_VALUE"""),"確定")</f>
        <v>確定</v>
      </c>
      <c r="C3164" s="154">
        <f>IFERROR(__xludf.DUMMYFUNCTION("""COMPUTED_VALUE"""),45719.0)</f>
        <v>45719</v>
      </c>
      <c r="D3164" s="154">
        <f>IFERROR(__xludf.DUMMYFUNCTION("""COMPUTED_VALUE"""),45751.0)</f>
        <v>45751</v>
      </c>
      <c r="E3164" s="158">
        <f>IFERROR(__xludf.DUMMYFUNCTION("""COMPUTED_VALUE"""),320489.0)</f>
        <v>320489</v>
      </c>
      <c r="F3164" s="159" t="str">
        <f>IFERROR(__xludf.DUMMYFUNCTION("""COMPUTED_VALUE"""),"Mellis Maleficarum")</f>
        <v>Mellis Maleficarum</v>
      </c>
      <c r="G3164" s="152" t="str">
        <f>IFERROR(__xludf.DUMMYFUNCTION("""COMPUTED_VALUE"""),"1～4")</f>
        <v>1～4</v>
      </c>
      <c r="H3164" s="152" t="str">
        <f>IFERROR(__xludf.DUMMYFUNCTION("""COMPUTED_VALUE"""),"亀戸ざき")</f>
        <v>亀戸ざき</v>
      </c>
      <c r="I3164" s="152" t="str">
        <f>IFERROR(__xludf.DUMMYFUNCTION("""COMPUTED_VALUE"""),"TL")</f>
        <v>TL</v>
      </c>
      <c r="J3164" s="157"/>
      <c r="K3164" s="157"/>
      <c r="L3164" s="152" t="str">
        <f>IFERROR(__xludf.DUMMYFUNCTION("""COMPUTED_VALUE"""),"ナンバーナイン")</f>
        <v>ナンバーナイン</v>
      </c>
      <c r="M3164" s="12">
        <f>IFERROR(__xludf.DUMMYFUNCTION("""COMPUTED_VALUE"""),45772.0)</f>
        <v>45772</v>
      </c>
      <c r="N3164" s="59">
        <f>IFERROR(__xludf.DUMMYFUNCTION("""COMPUTED_VALUE"""),45862.0)</f>
        <v>45862</v>
      </c>
      <c r="O3164" s="152"/>
      <c r="P3164" s="190" t="str">
        <f>IFERROR(__xludf.DUMMYFUNCTION("""COMPUTED_VALUE"""),"可")</f>
        <v>可</v>
      </c>
      <c r="Q3164" s="152"/>
      <c r="R3164" s="152" t="str">
        <f>IFERROR(__xludf.DUMMYFUNCTION("""COMPUTED_VALUE"""),"コミットOK")</f>
        <v>コミットOK</v>
      </c>
      <c r="S3164" s="152" t="str">
        <f>IFERROR(__xludf.DUMMYFUNCTION("""COMPUTED_VALUE"""),"20250403_ナンバーナイン_Mellis Maleficarum")</f>
        <v>20250403_ナンバーナイン_Mellis Maleficarum</v>
      </c>
      <c r="T3164" s="152" t="str">
        <f>IFERROR(__xludf.DUMMYFUNCTION("""COMPUTED_VALUE"""),"格納済み")</f>
        <v>格納済み</v>
      </c>
      <c r="U3164" s="15" t="str">
        <f>IFERROR(__xludf.DUMMYFUNCTION("""COMPUTED_VALUE"""),"Ⓒ亀戸ざき/ナンバーナイン")</f>
        <v>Ⓒ亀戸ざき/ナンバーナイン</v>
      </c>
      <c r="V3164" s="8" t="str">
        <f>IFERROR(__xludf.DUMMYFUNCTION("""COMPUTED_VALUE"""),"信心深いシスターの主人公・エセル。
ある時死にかけたところを、
謎の男・アリスターが助けてくれる。
男の居城で目を覚ました彼女は、
自分があのまま死んだものと思い込み、
彼を天使だと勘違いしてしまう。
しかし彼の正体は、強大な力を持つ悪魔だった。
実は悪魔だとバレないように手を尽くすアリスター。
エセルに対し並々ならぬ感情があるようだが…?")</f>
        <v>信心深いシスターの主人公・エセル。
ある時死にかけたところを、
謎の男・アリスターが助けてくれる。
男の居城で目を覚ました彼女は、
自分があのまま死んだものと思い込み、
彼を天使だと勘違いしてしまう。
しかし彼の正体は、強大な力を持つ悪魔だった。
実は悪魔だとバレないように手を尽くすアリスター。
エセルに対し並々ならぬ感情があるようだが…?</v>
      </c>
      <c r="W3164" s="14"/>
      <c r="X3164" s="14" t="str">
        <f>IFERROR(__xludf.DUMMYFUNCTION("""COMPUTED_VALUE"""),"有")</f>
        <v>有</v>
      </c>
      <c r="Y3164" s="8" t="str">
        <f>IFERROR(__xludf.DUMMYFUNCTION("""COMPUTED_VALUE"""),"1巻無料")</f>
        <v>1巻無料</v>
      </c>
      <c r="Z3164" s="7"/>
      <c r="AA3164" s="7"/>
      <c r="AB3164" s="7"/>
    </row>
    <row r="3165" ht="15.75" customHeight="1">
      <c r="A3165" s="153">
        <f>IFERROR(__xludf.DUMMYFUNCTION("""COMPUTED_VALUE"""),5151.0)</f>
        <v>5151</v>
      </c>
      <c r="B3165" s="152" t="str">
        <f>IFERROR(__xludf.DUMMYFUNCTION("""COMPUTED_VALUE"""),"確定")</f>
        <v>確定</v>
      </c>
      <c r="C3165" s="154">
        <f>IFERROR(__xludf.DUMMYFUNCTION("""COMPUTED_VALUE"""),45719.0)</f>
        <v>45719</v>
      </c>
      <c r="D3165" s="154">
        <f>IFERROR(__xludf.DUMMYFUNCTION("""COMPUTED_VALUE"""),45751.0)</f>
        <v>45751</v>
      </c>
      <c r="E3165" s="158">
        <f>IFERROR(__xludf.DUMMYFUNCTION("""COMPUTED_VALUE"""),320490.0)</f>
        <v>320490</v>
      </c>
      <c r="F3165" s="159" t="str">
        <f>IFERROR(__xludf.DUMMYFUNCTION("""COMPUTED_VALUE"""),"ぽちゃトレ")</f>
        <v>ぽちゃトレ</v>
      </c>
      <c r="G3165" s="152" t="str">
        <f>IFERROR(__xludf.DUMMYFUNCTION("""COMPUTED_VALUE"""),"1～4")</f>
        <v>1～4</v>
      </c>
      <c r="H3165" s="152" t="str">
        <f>IFERROR(__xludf.DUMMYFUNCTION("""COMPUTED_VALUE"""),"粗相,おやおや")</f>
        <v>粗相,おやおや</v>
      </c>
      <c r="I3165" s="152" t="str">
        <f>IFERROR(__xludf.DUMMYFUNCTION("""COMPUTED_VALUE"""),"TL")</f>
        <v>TL</v>
      </c>
      <c r="J3165" s="157"/>
      <c r="K3165" s="157"/>
      <c r="L3165" s="152" t="str">
        <f>IFERROR(__xludf.DUMMYFUNCTION("""COMPUTED_VALUE"""),"ナンバーナイン")</f>
        <v>ナンバーナイン</v>
      </c>
      <c r="M3165" s="12">
        <f>IFERROR(__xludf.DUMMYFUNCTION("""COMPUTED_VALUE"""),45772.0)</f>
        <v>45772</v>
      </c>
      <c r="N3165" s="59">
        <f>IFERROR(__xludf.DUMMYFUNCTION("""COMPUTED_VALUE"""),45832.0)</f>
        <v>45832</v>
      </c>
      <c r="O3165" s="152"/>
      <c r="P3165" s="190" t="str">
        <f>IFERROR(__xludf.DUMMYFUNCTION("""COMPUTED_VALUE"""),"可")</f>
        <v>可</v>
      </c>
      <c r="Q3165" s="152"/>
      <c r="R3165" s="152" t="str">
        <f>IFERROR(__xludf.DUMMYFUNCTION("""COMPUTED_VALUE"""),"コミットOK")</f>
        <v>コミットOK</v>
      </c>
      <c r="S3165" s="152" t="str">
        <f>IFERROR(__xludf.DUMMYFUNCTION("""COMPUTED_VALUE"""),"20250403_ナンバーナイン_ぽちゃトレ")</f>
        <v>20250403_ナンバーナイン_ぽちゃトレ</v>
      </c>
      <c r="T3165" s="152" t="str">
        <f>IFERROR(__xludf.DUMMYFUNCTION("""COMPUTED_VALUE"""),"格納済み")</f>
        <v>格納済み</v>
      </c>
      <c r="U3165" s="15" t="str">
        <f>IFERROR(__xludf.DUMMYFUNCTION("""COMPUTED_VALUE"""),"Ⓒ粗相/おやおや/ナンバーナイン")</f>
        <v>Ⓒ粗相/おやおや/ナンバーナイン</v>
      </c>
      <c r="V3165" s="8" t="str">
        <f>IFERROR(__xludf.DUMMYFUNCTION("""COMPUTED_VALUE"""),"ぽっちゃり体型がコンプレックスの菜乃花(24) 自分の体型を変えて自信をつけるべく、絶対に痩せられると噂のスポーツジムに入会することに…! 菜乃花を担当してくれるトレーナーは2人。 人懐っこく柔らかい雰囲気の要。 クールだけど面倒見のいい彰人。 二人と一緒にジムトレーニングを始めることになった菜乃花だが・・・ 「な、なんか二人の距離が近い気が・・・!?」 「これって普通のトレーニングなの!?」 菜乃花に運動を教える二人の手は次第に際どいところにも触れ始め・・・ 「コリコリしてるところ・・・ちゃんとほぐした"&amp;"方がいい」 「腰振りの運動、自主的にできて偉いねえ」 二人のトレーナーに翻弄される菜乃花の運命は・・・ーーー!?︎ そのスポーツジムで行われるトレーニングは普通とは一味違う 気持ちよく綺麗になれちゃう甘やかされジム体験
15ページ")</f>
        <v>ぽっちゃり体型がコンプレックスの菜乃花(24) 自分の体型を変えて自信をつけるべく、絶対に痩せられると噂のスポーツジムに入会することに…! 菜乃花を担当してくれるトレーナーは2人。 人懐っこく柔らかい雰囲気の要。 クールだけど面倒見のいい彰人。 二人と一緒にジムトレーニングを始めることになった菜乃花だが・・・ 「な、なんか二人の距離が近い気が・・・!?」 「これって普通のトレーニングなの!?」 菜乃花に運動を教える二人の手は次第に際どいところにも触れ始め・・・ 「コリコリしてるところ・・・ちゃんとほぐした方がいい」 「腰振りの運動、自主的にできて偉いねえ」 二人のトレーナーに翻弄される菜乃花の運命は・・・ーーー!?︎ そのスポーツジムで行われるトレーニングは普通とは一味違う 気持ちよく綺麗になれちゃう甘やかされジム体験
15ページ</v>
      </c>
      <c r="W3165" s="14"/>
      <c r="X3165" s="14" t="str">
        <f>IFERROR(__xludf.DUMMYFUNCTION("""COMPUTED_VALUE"""),"有")</f>
        <v>有</v>
      </c>
      <c r="Y3165" s="8" t="str">
        <f>IFERROR(__xludf.DUMMYFUNCTION("""COMPUTED_VALUE"""),"1巻無料")</f>
        <v>1巻無料</v>
      </c>
      <c r="Z3165" s="7"/>
      <c r="AA3165" s="7"/>
      <c r="AB3165" s="7"/>
    </row>
    <row r="3166" ht="15.75" customHeight="1">
      <c r="A3166" s="153">
        <f>IFERROR(__xludf.DUMMYFUNCTION("""COMPUTED_VALUE"""),5152.0)</f>
        <v>5152</v>
      </c>
      <c r="B3166" s="152" t="str">
        <f>IFERROR(__xludf.DUMMYFUNCTION("""COMPUTED_VALUE"""),"確定")</f>
        <v>確定</v>
      </c>
      <c r="C3166" s="154">
        <f>IFERROR(__xludf.DUMMYFUNCTION("""COMPUTED_VALUE"""),45719.0)</f>
        <v>45719</v>
      </c>
      <c r="D3166" s="154">
        <f>IFERROR(__xludf.DUMMYFUNCTION("""COMPUTED_VALUE"""),45751.0)</f>
        <v>45751</v>
      </c>
      <c r="E3166" s="158">
        <f>IFERROR(__xludf.DUMMYFUNCTION("""COMPUTED_VALUE"""),320476.0)</f>
        <v>320476</v>
      </c>
      <c r="F3166" s="159" t="str">
        <f>IFERROR(__xludf.DUMMYFUNCTION("""COMPUTED_VALUE"""),"ぽちゃトレ【R-18版】")</f>
        <v>ぽちゃトレ【R-18版】</v>
      </c>
      <c r="G3166" s="152" t="str">
        <f>IFERROR(__xludf.DUMMYFUNCTION("""COMPUTED_VALUE"""),"1～4")</f>
        <v>1～4</v>
      </c>
      <c r="H3166" s="152" t="str">
        <f>IFERROR(__xludf.DUMMYFUNCTION("""COMPUTED_VALUE"""),"粗相,おやおや")</f>
        <v>粗相,おやおや</v>
      </c>
      <c r="I3166" s="164" t="str">
        <f>IFERROR(__xludf.DUMMYFUNCTION("""COMPUTED_VALUE"""),"アダルトマンガ")</f>
        <v>アダルトマンガ</v>
      </c>
      <c r="J3166" s="166"/>
      <c r="K3166" s="157"/>
      <c r="L3166" s="152" t="str">
        <f>IFERROR(__xludf.DUMMYFUNCTION("""COMPUTED_VALUE"""),"ナンバーナイン")</f>
        <v>ナンバーナイン</v>
      </c>
      <c r="M3166" s="12">
        <f>IFERROR(__xludf.DUMMYFUNCTION("""COMPUTED_VALUE"""),45772.0)</f>
        <v>45772</v>
      </c>
      <c r="N3166" s="59">
        <f>IFERROR(__xludf.DUMMYFUNCTION("""COMPUTED_VALUE"""),45832.0)</f>
        <v>45832</v>
      </c>
      <c r="O3166" s="152"/>
      <c r="P3166" s="190" t="str">
        <f>IFERROR(__xludf.DUMMYFUNCTION("""COMPUTED_VALUE"""),"可")</f>
        <v>可</v>
      </c>
      <c r="Q3166" s="152"/>
      <c r="R3166" s="152" t="str">
        <f>IFERROR(__xludf.DUMMYFUNCTION("""COMPUTED_VALUE"""),"コミットOK")</f>
        <v>コミットOK</v>
      </c>
      <c r="S3166" s="152" t="str">
        <f>IFERROR(__xludf.DUMMYFUNCTION("""COMPUTED_VALUE"""),"20250403_ナンバーナイン_ぽちゃトレ【R-18版】")</f>
        <v>20250403_ナンバーナイン_ぽちゃトレ【R-18版】</v>
      </c>
      <c r="T3166" s="152" t="str">
        <f>IFERROR(__xludf.DUMMYFUNCTION("""COMPUTED_VALUE"""),"格納済み")</f>
        <v>格納済み</v>
      </c>
      <c r="U3166" s="15" t="str">
        <f>IFERROR(__xludf.DUMMYFUNCTION("""COMPUTED_VALUE"""),"Ⓒ粗相/おやおや/ナンバーナイン")</f>
        <v>Ⓒ粗相/おやおや/ナンバーナイン</v>
      </c>
      <c r="V3166" s="8" t="str">
        <f>IFERROR(__xludf.DUMMYFUNCTION("""COMPUTED_VALUE"""),"ぽっちゃり体型がコンプレックスの菜乃花(24)
自分の体型を変えて自信をつけるべく、絶対に痩せられると噂のスポーツジムに入会することに…!
菜乃花を担当してくれるトレーナーは2人。
人懐っこく柔らかい雰囲気の要。
クールだけど面倒見のいい彰人。
二人と一緒にジムトレーニングを始めることになった菜乃花だが・・・
「な、なんか二人の距離が近い気が・・・!?」
「これって普通のトレーニングなの!?」
菜乃花に運動を教える二人の手は次第に際どいところにも触れ始め・・・
「"&amp;"コリコリしてるところ・・・ちゃんとほぐした方がいい」
「腰振りの運動、自主的にできて偉いねえ」
二人のトレーナーに翻弄される菜乃花の運命は・・・ーーー!?︎
そのスポーツジムで行われるトレーニングは普通とは一味違う
気持ちよく綺麗になれちゃう甘やかされジム体験
15ページ")</f>
        <v>ぽっちゃり体型がコンプレックスの菜乃花(24)
自分の体型を変えて自信をつけるべく、絶対に痩せられると噂のスポーツジムに入会することに…!
菜乃花を担当してくれるトレーナーは2人。
人懐っこく柔らかい雰囲気の要。
クールだけど面倒見のいい彰人。
二人と一緒にジムトレーニングを始めることになった菜乃花だが・・・
「な、なんか二人の距離が近い気が・・・!?」
「これって普通のトレーニングなの!?」
菜乃花に運動を教える二人の手は次第に際どいところにも触れ始め・・・
「コリコリしてるところ・・・ちゃんとほぐした方がいい」
「腰振りの運動、自主的にできて偉いねえ」
二人のトレーナーに翻弄される菜乃花の運命は・・・ーーー!?︎
そのスポーツジムで行われるトレーニングは普通とは一味違う
気持ちよく綺麗になれちゃう甘やかされジム体験
15ページ</v>
      </c>
      <c r="W3166" s="14"/>
      <c r="X3166" s="14" t="str">
        <f>IFERROR(__xludf.DUMMYFUNCTION("""COMPUTED_VALUE"""),"有")</f>
        <v>有</v>
      </c>
      <c r="Y3166" s="8" t="str">
        <f>IFERROR(__xludf.DUMMYFUNCTION("""COMPUTED_VALUE"""),"1巻無料")</f>
        <v>1巻無料</v>
      </c>
      <c r="Z3166" s="7"/>
      <c r="AA3166" s="7"/>
      <c r="AB3166" s="7"/>
    </row>
    <row r="3167" ht="15.75" customHeight="1">
      <c r="A3167" s="153">
        <f>IFERROR(__xludf.DUMMYFUNCTION("""COMPUTED_VALUE"""),5160.0)</f>
        <v>5160</v>
      </c>
      <c r="B3167" s="152" t="str">
        <f>IFERROR(__xludf.DUMMYFUNCTION("""COMPUTED_VALUE"""),"確定")</f>
        <v>確定</v>
      </c>
      <c r="C3167" s="154">
        <f>IFERROR(__xludf.DUMMYFUNCTION("""COMPUTED_VALUE"""),45720.0)</f>
        <v>45720</v>
      </c>
      <c r="D3167" s="154">
        <f>IFERROR(__xludf.DUMMYFUNCTION("""COMPUTED_VALUE"""),45751.0)</f>
        <v>45751</v>
      </c>
      <c r="E3167" s="158">
        <f>IFERROR(__xludf.DUMMYFUNCTION("""COMPUTED_VALUE"""),322233.0)</f>
        <v>322233</v>
      </c>
      <c r="F3167" s="159" t="str">
        <f>IFERROR(__xludf.DUMMYFUNCTION("""COMPUTED_VALUE"""),"あの子は強欲フレネミー")</f>
        <v>あの子は強欲フレネミー</v>
      </c>
      <c r="G3167" s="152" t="str">
        <f>IFERROR(__xludf.DUMMYFUNCTION("""COMPUTED_VALUE"""),"1～3")</f>
        <v>1～3</v>
      </c>
      <c r="H3167" s="152" t="str">
        <f>IFERROR(__xludf.DUMMYFUNCTION("""COMPUTED_VALUE"""),"小針かわず")</f>
        <v>小針かわず</v>
      </c>
      <c r="I3167" s="152" t="str">
        <f>IFERROR(__xludf.DUMMYFUNCTION("""COMPUTED_VALUE"""),"女性")</f>
        <v>女性</v>
      </c>
      <c r="J3167" s="157"/>
      <c r="K3167" s="152" t="str">
        <f>IFERROR(__xludf.DUMMYFUNCTION("""COMPUTED_VALUE"""),"ブラックショコラ")</f>
        <v>ブラックショコラ</v>
      </c>
      <c r="L3167" s="152" t="str">
        <f>IFERROR(__xludf.DUMMYFUNCTION("""COMPUTED_VALUE"""),"forcs")</f>
        <v>forcs</v>
      </c>
      <c r="M3167" s="154">
        <f>IFERROR(__xludf.DUMMYFUNCTION("""COMPUTED_VALUE"""),45793.0)</f>
        <v>45793</v>
      </c>
      <c r="N3167" s="47">
        <f>IFERROR(__xludf.DUMMYFUNCTION("""COMPUTED_VALUE"""),45855.0)</f>
        <v>45855</v>
      </c>
      <c r="O3167" s="152"/>
      <c r="P3167" s="152" t="str">
        <f>IFERROR(__xludf.DUMMYFUNCTION("""COMPUTED_VALUE"""),"可")</f>
        <v>可</v>
      </c>
      <c r="Q3167" s="152" t="str">
        <f>IFERROR(__xludf.DUMMYFUNCTION("""COMPUTED_VALUE"""),"★書店様推しポイント ★&lt;BR&gt;貴社で人気なぎゃふん展開のある女性向け作品となります。&lt;BR&gt;絵柄も線画細く読みやすいタッチで、貴社ユーザーとも相性が良いです。&lt;BR&gt;最終的に親友のスカザマ展開、主人公の味方となる後輩との恋愛要素もあり、続きが気になる展開になっています。&lt;BR&gt;主人公が行き詰まっていく状況と、親友や彼氏の意地わるい表情もしっかりと描かれており、広告映えするクリエイティブが作りやすい作品かと思います。")</f>
        <v>★書店様推しポイント ★&lt;BR&gt;貴社で人気なぎゃふん展開のある女性向け作品となります。&lt;BR&gt;絵柄も線画細く読みやすいタッチで、貴社ユーザーとも相性が良いです。&lt;BR&gt;最終的に親友のスカザマ展開、主人公の味方となる後輩との恋愛要素もあり、続きが気になる展開になっています。&lt;BR&gt;主人公が行き詰まっていく状況と、親友や彼氏の意地わるい表情もしっかりと描かれており、広告映えするクリエイティブが作りやすい作品かと思います。</v>
      </c>
      <c r="R3167" s="152" t="str">
        <f>IFERROR(__xludf.DUMMYFUNCTION("""COMPUTED_VALUE"""),"コミットOK")</f>
        <v>コミットOK</v>
      </c>
      <c r="S3167" s="152" t="str">
        <f>IFERROR(__xludf.DUMMYFUNCTION("""COMPUTED_VALUE"""),"20250404_forcs_あの子は強欲フレネミー")</f>
        <v>20250404_forcs_あの子は強欲フレネミー</v>
      </c>
      <c r="T3167" s="152" t="str">
        <f>IFERROR(__xludf.DUMMYFUNCTION("""COMPUTED_VALUE"""),"格納済み")</f>
        <v>格納済み</v>
      </c>
      <c r="U3167" s="15" t="str">
        <f>IFERROR(__xludf.DUMMYFUNCTION("""COMPUTED_VALUE"""),"Ⓒ小針かわず/forcs")</f>
        <v>Ⓒ小針かわず/forcs</v>
      </c>
      <c r="V3167" s="8" t="str">
        <f>IFERROR(__xludf.DUMMYFUNCTION("""COMPUTED_VALUE"""),"「羨ましいから、ナオのモノ全部奪っちゃおうかな――？」
仕事や恋愛に忙しい日々をおくる真面目人間ナオの前に、
姿を表した学生時代の親友・みちる。
同じ会社で”親友”と仕事ができることに胸を膨らませていたナオだが、
親友の皮を被ったみちるの狡猾な罠により、徐々にその立場を追い詰められていく。
結婚を考えていた彼氏を寝盗られ、仕事のポジションをも奪われたナオ。
いつの間にか、自分が輝いていた”その場所”にはみちるが立っていて――！？
そんな窮地に、手を差し伸べた意外な人物とは。")</f>
        <v>「羨ましいから、ナオのモノ全部奪っちゃおうかな――？」
仕事や恋愛に忙しい日々をおくる真面目人間ナオの前に、
姿を表した学生時代の親友・みちる。
同じ会社で”親友”と仕事ができることに胸を膨らませていたナオだが、
親友の皮を被ったみちるの狡猾な罠により、徐々にその立場を追い詰められていく。
結婚を考えていた彼氏を寝盗られ、仕事のポジションをも奪われたナオ。
いつの間にか、自分が輝いていた”その場所”にはみちるが立っていて――！？
そんな窮地に、手を差し伸べた意外な人物とは。</v>
      </c>
      <c r="W3167" s="14"/>
      <c r="X3167" s="14" t="str">
        <f>IFERROR(__xludf.DUMMYFUNCTION("""COMPUTED_VALUE"""),"有")</f>
        <v>有</v>
      </c>
      <c r="Y3167" s="8" t="str">
        <f>IFERROR(__xludf.DUMMYFUNCTION("""COMPUTED_VALUE"""),"2025/5/30まで1巻無料")</f>
        <v>2025/5/30まで1巻無料</v>
      </c>
      <c r="Z3167" s="7"/>
      <c r="AA3167" s="7"/>
      <c r="AB3167" s="7"/>
    </row>
    <row r="3168" ht="15.75" customHeight="1">
      <c r="A3168" s="153">
        <f>IFERROR(__xludf.DUMMYFUNCTION("""COMPUTED_VALUE"""),5204.0)</f>
        <v>5204</v>
      </c>
      <c r="B3168" s="152" t="str">
        <f>IFERROR(__xludf.DUMMYFUNCTION("""COMPUTED_VALUE"""),"確定")</f>
        <v>確定</v>
      </c>
      <c r="C3168" s="154">
        <f>IFERROR(__xludf.DUMMYFUNCTION("""COMPUTED_VALUE"""),45722.0)</f>
        <v>45722</v>
      </c>
      <c r="D3168" s="154">
        <f>IFERROR(__xludf.DUMMYFUNCTION("""COMPUTED_VALUE"""),45754.0)</f>
        <v>45754</v>
      </c>
      <c r="E3168" s="155">
        <f>IFERROR(__xludf.DUMMYFUNCTION("""COMPUTED_VALUE"""),321881.0)</f>
        <v>321881</v>
      </c>
      <c r="F3168" s="156" t="str">
        <f>IFERROR(__xludf.DUMMYFUNCTION("""COMPUTED_VALUE"""),"あやかし屋敷のまやかし夫婦 ～契約夫婦は鎌倉で妖怪の集う家を守る～【単話】")</f>
        <v>あやかし屋敷のまやかし夫婦 ～契約夫婦は鎌倉で妖怪の集う家を守る～【単話】</v>
      </c>
      <c r="G3168" s="152" t="str">
        <f>IFERROR(__xludf.DUMMYFUNCTION("""COMPUTED_VALUE"""),"1～3")</f>
        <v>1～3</v>
      </c>
      <c r="H3168" s="152" t="str">
        <f>IFERROR(__xludf.DUMMYFUNCTION("""COMPUTED_VALUE"""),"住本優┴ａｊｉｍｉｔａ┴おおきぼん太")</f>
        <v>住本優┴ａｊｉｍｉｔａ┴おおきぼん太</v>
      </c>
      <c r="I3168" s="152" t="str">
        <f>IFERROR(__xludf.DUMMYFUNCTION("""COMPUTED_VALUE"""),"女性")</f>
        <v>女性</v>
      </c>
      <c r="J3168" s="157"/>
      <c r="K3168" s="157"/>
      <c r="L3168" s="152" t="str">
        <f>IFERROR(__xludf.DUMMYFUNCTION("""COMPUTED_VALUE"""),"小学館")</f>
        <v>小学館</v>
      </c>
      <c r="M3168" s="154">
        <f>IFERROR(__xludf.DUMMYFUNCTION("""COMPUTED_VALUE"""),45783.0)</f>
        <v>45783</v>
      </c>
      <c r="N3168" s="59">
        <f>IFERROR(__xludf.DUMMYFUNCTION("""COMPUTED_VALUE"""),45812.0)</f>
        <v>45812</v>
      </c>
      <c r="O3168" s="152"/>
      <c r="P3168" s="152" t="str">
        <f>IFERROR(__xludf.DUMMYFUNCTION("""COMPUTED_VALUE"""),"可")</f>
        <v>可</v>
      </c>
      <c r="Q3168" s="152" t="str">
        <f>IFERROR(__xludf.DUMMYFUNCTION("""COMPUTED_VALUE"""),"先行延長の提案は可能
・本作品については小学館のバナー制作の加工部分についてのルールが緩和されましたのでアダルト面にも出稿可となりました&lt;BR&gt;※それ以外は今までと変わらず
※バナー監修の際には「高橋様からOK出てる」的な一言添えて頂けますとスムーズに監修が進むとのこと")</f>
        <v>先行延長の提案は可能
・本作品については小学館のバナー制作の加工部分についてのルールが緩和されましたのでアダルト面にも出稿可となりました&lt;BR&gt;※それ以外は今までと変わらず
※バナー監修の際には「高橋様からOK出てる」的な一言添えて頂けますとスムーズに監修が進むとのこと</v>
      </c>
      <c r="R3168" s="152" t="str">
        <f>IFERROR(__xludf.DUMMYFUNCTION("""COMPUTED_VALUE"""),"コミットOK")</f>
        <v>コミットOK</v>
      </c>
      <c r="S3168" s="152" t="str">
        <f>IFERROR(__xludf.DUMMYFUNCTION("""COMPUTED_VALUE"""),"20250404_小学館_あやかし屋敷のまやかし夫婦 ～契約夫婦は鎌倉で妖怪の集う家を守る～【単話】")</f>
        <v>20250404_小学館_あやかし屋敷のまやかし夫婦 ～契約夫婦は鎌倉で妖怪の集う家を守る～【単話】</v>
      </c>
      <c r="T3168" s="152" t="str">
        <f>IFERROR(__xludf.DUMMYFUNCTION("""COMPUTED_VALUE"""),"格納済み")</f>
        <v>格納済み</v>
      </c>
      <c r="U3168" s="15" t="str">
        <f>IFERROR(__xludf.DUMMYFUNCTION("""COMPUTED_VALUE"""),"(C)住本優・ａｊｉｍｉｔａ・おおきぼん太 / 小学館")</f>
        <v>(C)住本優・ａｊｉｍｉｔａ・おおきぼん太 / 小学館</v>
      </c>
      <c r="V3168" s="8" t="str">
        <f>IFERROR(__xludf.DUMMYFUNCTION("""COMPUTED_VALUE"""),"和風×あやかし×新連載!!
妖怪が集う古民家で始まった新婚生活の行方は…
両親を失い、引き取られた叔父の家で
どこにも居場所がなかった少女・真琴に与えられたのは
小説家の青年・千尋との仮染めの結婚。
しかも新居は、妖怪が集う古民家で…!?
古都・鎌倉を舞台に紡がれる
あやかしたちと契約夫婦の物語、開幕です！")</f>
        <v>和風×あやかし×新連載!!
妖怪が集う古民家で始まった新婚生活の行方は…
両親を失い、引き取られた叔父の家で
どこにも居場所がなかった少女・真琴に与えられたのは
小説家の青年・千尋との仮染めの結婚。
しかも新居は、妖怪が集う古民家で…!?
古都・鎌倉を舞台に紡がれる
あやかしたちと契約夫婦の物語、開幕です！</v>
      </c>
      <c r="W3168" s="14"/>
      <c r="X3168" s="14" t="str">
        <f>IFERROR(__xludf.DUMMYFUNCTION("""COMPUTED_VALUE"""),"有")</f>
        <v>有</v>
      </c>
      <c r="Y3168" s="8" t="str">
        <f>IFERROR(__xludf.DUMMYFUNCTION("""COMPUTED_VALUE"""),"P6まで")</f>
        <v>P6まで</v>
      </c>
      <c r="Z3168" s="7"/>
      <c r="AA3168" s="7"/>
      <c r="AB3168" s="7"/>
    </row>
    <row r="3169" ht="15.75" customHeight="1">
      <c r="A3169" s="153">
        <f>IFERROR(__xludf.DUMMYFUNCTION("""COMPUTED_VALUE"""),5272.0)</f>
        <v>5272</v>
      </c>
      <c r="B3169" s="152" t="str">
        <f>IFERROR(__xludf.DUMMYFUNCTION("""COMPUTED_VALUE"""),"確定")</f>
        <v>確定</v>
      </c>
      <c r="C3169" s="154">
        <f>IFERROR(__xludf.DUMMYFUNCTION("""COMPUTED_VALUE"""),45733.0)</f>
        <v>45733</v>
      </c>
      <c r="D3169" s="154">
        <f>IFERROR(__xludf.DUMMYFUNCTION("""COMPUTED_VALUE"""),45754.0)</f>
        <v>45754</v>
      </c>
      <c r="E3169" s="155">
        <f>IFERROR(__xludf.DUMMYFUNCTION("""COMPUTED_VALUE"""),322434.0)</f>
        <v>322434</v>
      </c>
      <c r="F3169" s="156" t="str">
        <f>IFERROR(__xludf.DUMMYFUNCTION("""COMPUTED_VALUE"""),"【分冊版】性悪ツインズとエチエチ攻防戦!!!")</f>
        <v>【分冊版】性悪ツインズとエチエチ攻防戦!!!</v>
      </c>
      <c r="G3169" s="152" t="str">
        <f>IFERROR(__xludf.DUMMYFUNCTION("""COMPUTED_VALUE"""),"1～3")</f>
        <v>1～3</v>
      </c>
      <c r="H3169" s="152" t="str">
        <f>IFERROR(__xludf.DUMMYFUNCTION("""COMPUTED_VALUE"""),"國立理喜")</f>
        <v>國立理喜</v>
      </c>
      <c r="I3169" s="152" t="str">
        <f>IFERROR(__xludf.DUMMYFUNCTION("""COMPUTED_VALUE"""),"BL")</f>
        <v>BL</v>
      </c>
      <c r="J3169" s="157"/>
      <c r="K3169" s="157"/>
      <c r="L3169" s="152" t="str">
        <f>IFERROR(__xludf.DUMMYFUNCTION("""COMPUTED_VALUE"""),"ジーオーティー")</f>
        <v>ジーオーティー</v>
      </c>
      <c r="M3169" s="21">
        <f>IFERROR(__xludf.DUMMYFUNCTION("""COMPUTED_VALUE"""),45774.0)</f>
        <v>45774</v>
      </c>
      <c r="N3169" s="59">
        <f>IFERROR(__xludf.DUMMYFUNCTION("""COMPUTED_VALUE"""),45834.0)</f>
        <v>45834</v>
      </c>
      <c r="O3169" s="152"/>
      <c r="P3169" s="190" t="str">
        <f>IFERROR(__xludf.DUMMYFUNCTION("""COMPUTED_VALUE"""),"可")</f>
        <v>可</v>
      </c>
      <c r="Q3169" s="152"/>
      <c r="R3169" s="152" t="str">
        <f>IFERROR(__xludf.DUMMYFUNCTION("""COMPUTED_VALUE"""),"コミットOK")</f>
        <v>コミットOK</v>
      </c>
      <c r="S3169" s="152" t="str">
        <f>IFERROR(__xludf.DUMMYFUNCTION("""COMPUTED_VALUE"""),"20250407_ジーオーティー_性悪ツインズとエチエチ攻防戦！！！")</f>
        <v>20250407_ジーオーティー_性悪ツインズとエチエチ攻防戦！！！</v>
      </c>
      <c r="T3169" s="152" t="str">
        <f>IFERROR(__xludf.DUMMYFUNCTION("""COMPUTED_VALUE"""),"格納済み")</f>
        <v>格納済み</v>
      </c>
      <c r="U3169" s="15" t="str">
        <f>IFERROR(__xludf.DUMMYFUNCTION("""COMPUTED_VALUE"""),"Ⓒ國立理喜／ジーオーティー")</f>
        <v>Ⓒ國立理喜／ジーオーティー</v>
      </c>
      <c r="V3169" s="8" t="str">
        <f>IFERROR(__xludf.DUMMYFUNCTION("""COMPUTED_VALUE"""),"真面目で明るく、多くの生徒や教師からも好かれている生徒会長の神宮寺和幸にはある悩みがあった。
それは、学園長の孫だからという理由で生徒や教師さえも牛耳り問題ばかり起こす学園で有名な性悪双子、九条光と亘の存在である。
ある日、先生から双子が空き教室を私物化して女子生徒と不埒なことをしているという情報を入手し、証拠を掴むため空き教室に訪れると、女子生徒と亘のエッチな現場を目撃！！
証拠を掴もうとカメラを回すも、自身もムラムラしてきて…
さらにはそれを双子の片割れ、光にバレてしまいーー！？
性悪ド"&amp;"Sツインズと生徒会長のエチエチ攻防戦！
勝敗の行方はいかにーー！！")</f>
        <v>真面目で明るく、多くの生徒や教師からも好かれている生徒会長の神宮寺和幸にはある悩みがあった。
それは、学園長の孫だからという理由で生徒や教師さえも牛耳り問題ばかり起こす学園で有名な性悪双子、九条光と亘の存在である。
ある日、先生から双子が空き教室を私物化して女子生徒と不埒なことをしているという情報を入手し、証拠を掴むため空き教室に訪れると、女子生徒と亘のエッチな現場を目撃！！
証拠を掴もうとカメラを回すも、自身もムラムラしてきて…
さらにはそれを双子の片割れ、光にバレてしまいーー！？
性悪ドSツインズと生徒会長のエチエチ攻防戦！
勝敗の行方はいかにーー！！</v>
      </c>
      <c r="W3169" s="14"/>
      <c r="X3169" s="14" t="str">
        <f>IFERROR(__xludf.DUMMYFUNCTION("""COMPUTED_VALUE"""),"有")</f>
        <v>有</v>
      </c>
      <c r="Y3169" s="8" t="str">
        <f>IFERROR(__xludf.DUMMYFUNCTION("""COMPUTED_VALUE"""),"2025/5/26まで1巻無料")</f>
        <v>2025/5/26まで1巻無料</v>
      </c>
      <c r="Z3169" s="7"/>
      <c r="AA3169" s="7"/>
      <c r="AB3169" s="7"/>
    </row>
    <row r="3170" ht="15.75" customHeight="1">
      <c r="A3170" s="153">
        <f>IFERROR(__xludf.DUMMYFUNCTION("""COMPUTED_VALUE"""),5277.0)</f>
        <v>5277</v>
      </c>
      <c r="B3170" s="152" t="str">
        <f>IFERROR(__xludf.DUMMYFUNCTION("""COMPUTED_VALUE"""),"確定")</f>
        <v>確定</v>
      </c>
      <c r="C3170" s="154">
        <f>IFERROR(__xludf.DUMMYFUNCTION("""COMPUTED_VALUE"""),45734.0)</f>
        <v>45734</v>
      </c>
      <c r="D3170" s="154">
        <f>IFERROR(__xludf.DUMMYFUNCTION("""COMPUTED_VALUE"""),45754.0)</f>
        <v>45754</v>
      </c>
      <c r="E3170" s="155">
        <f>IFERROR(__xludf.DUMMYFUNCTION("""COMPUTED_VALUE"""),322435.0)</f>
        <v>322435</v>
      </c>
      <c r="F3170" s="156" t="str">
        <f>IFERROR(__xludf.DUMMYFUNCTION("""COMPUTED_VALUE"""),"【分冊版】フォーカス・オン・ユー")</f>
        <v>【分冊版】フォーカス・オン・ユー</v>
      </c>
      <c r="G3170" s="152" t="str">
        <f>IFERROR(__xludf.DUMMYFUNCTION("""COMPUTED_VALUE"""),"1～3")</f>
        <v>1～3</v>
      </c>
      <c r="H3170" s="152" t="str">
        <f>IFERROR(__xludf.DUMMYFUNCTION("""COMPUTED_VALUE"""),"弥生れい")</f>
        <v>弥生れい</v>
      </c>
      <c r="I3170" s="152" t="str">
        <f>IFERROR(__xludf.DUMMYFUNCTION("""COMPUTED_VALUE"""),"BL")</f>
        <v>BL</v>
      </c>
      <c r="J3170" s="157"/>
      <c r="K3170" s="157"/>
      <c r="L3170" s="152" t="str">
        <f>IFERROR(__xludf.DUMMYFUNCTION("""COMPUTED_VALUE"""),"ジーオーティー")</f>
        <v>ジーオーティー</v>
      </c>
      <c r="M3170" s="21">
        <f>IFERROR(__xludf.DUMMYFUNCTION("""COMPUTED_VALUE"""),45774.0)</f>
        <v>45774</v>
      </c>
      <c r="N3170" s="59">
        <f>IFERROR(__xludf.DUMMYFUNCTION("""COMPUTED_VALUE"""),45834.0)</f>
        <v>45834</v>
      </c>
      <c r="O3170" s="152"/>
      <c r="P3170" s="190" t="str">
        <f>IFERROR(__xludf.DUMMYFUNCTION("""COMPUTED_VALUE"""),"可")</f>
        <v>可</v>
      </c>
      <c r="Q3170" s="152"/>
      <c r="R3170" s="152" t="str">
        <f>IFERROR(__xludf.DUMMYFUNCTION("""COMPUTED_VALUE"""),"コミットOK")</f>
        <v>コミットOK</v>
      </c>
      <c r="S3170" s="152" t="str">
        <f>IFERROR(__xludf.DUMMYFUNCTION("""COMPUTED_VALUE"""),"20250313_ジーオーティー_フォーカス・オン・ユー")</f>
        <v>20250313_ジーオーティー_フォーカス・オン・ユー</v>
      </c>
      <c r="T3170" s="152" t="str">
        <f>IFERROR(__xludf.DUMMYFUNCTION("""COMPUTED_VALUE"""),"格納済み")</f>
        <v>格納済み</v>
      </c>
      <c r="U3170" s="15" t="str">
        <f>IFERROR(__xludf.DUMMYFUNCTION("""COMPUTED_VALUE"""),"Ⓒ弥生れい／ジーオーティー")</f>
        <v>Ⓒ弥生れい／ジーオーティー</v>
      </c>
      <c r="V3170" s="8" t="str">
        <f>IFERROR(__xludf.DUMMYFUNCTION("""COMPUTED_VALUE"""),"独占欲激つよ人気モデル×童貞ノンケ大学生
”恋人練習”から始まるえろきゅんBL新連載！！
巷で噂の人気モデル・集と付き合いの長い諒太は、今日も親友に向けた女子の黄色い悲鳴を浴びていた。 片やモデル、片や彼女いない歴＝年齢。親友が遠い存在になっていくようで少し寂しさを覚える諒太だが、負けじと初カノをゲットしようと決意表明したところ、集からとある提案をされて…？
「恋人の練習しない？ 俺と」
将来の恋人のためと説得された諒太のもとに待ち構えている”恋人練習”とは——！？")</f>
        <v>独占欲激つよ人気モデル×童貞ノンケ大学生
”恋人練習”から始まるえろきゅんBL新連載！！
巷で噂の人気モデル・集と付き合いの長い諒太は、今日も親友に向けた女子の黄色い悲鳴を浴びていた。 片やモデル、片や彼女いない歴＝年齢。親友が遠い存在になっていくようで少し寂しさを覚える諒太だが、負けじと初カノをゲットしようと決意表明したところ、集からとある提案をされて…？
「恋人の練習しない？ 俺と」
将来の恋人のためと説得された諒太のもとに待ち構えている”恋人練習”とは——！？</v>
      </c>
      <c r="W3170" s="14"/>
      <c r="X3170" s="14" t="str">
        <f>IFERROR(__xludf.DUMMYFUNCTION("""COMPUTED_VALUE"""),"有")</f>
        <v>有</v>
      </c>
      <c r="Y3170" s="8" t="str">
        <f>IFERROR(__xludf.DUMMYFUNCTION("""COMPUTED_VALUE"""),"2025/5/26まで1巻無料")</f>
        <v>2025/5/26まで1巻無料</v>
      </c>
      <c r="Z3170" s="7"/>
      <c r="AA3170" s="7"/>
      <c r="AB3170" s="7"/>
    </row>
    <row r="3171" ht="15.75" customHeight="1">
      <c r="A3171" s="153">
        <f>IFERROR(__xludf.DUMMYFUNCTION("""COMPUTED_VALUE"""),5294.0)</f>
        <v>5294</v>
      </c>
      <c r="B3171" s="152" t="str">
        <f>IFERROR(__xludf.DUMMYFUNCTION("""COMPUTED_VALUE"""),"確定")</f>
        <v>確定</v>
      </c>
      <c r="C3171" s="154">
        <f>IFERROR(__xludf.DUMMYFUNCTION("""COMPUTED_VALUE"""),45735.0)</f>
        <v>45735</v>
      </c>
      <c r="D3171" s="154">
        <f>IFERROR(__xludf.DUMMYFUNCTION("""COMPUTED_VALUE"""),45754.0)</f>
        <v>45754</v>
      </c>
      <c r="E3171" s="158">
        <f>IFERROR(__xludf.DUMMYFUNCTION("""COMPUTED_VALUE"""),323049.0)</f>
        <v>323049</v>
      </c>
      <c r="F3171" s="159" t="str">
        <f>IFERROR(__xludf.DUMMYFUNCTION("""COMPUTED_VALUE"""),"俺の溺愛で壊れないでね～終業後に始まるとろあまセックス～")</f>
        <v>俺の溺愛で壊れないでね～終業後に始まるとろあまセックス～</v>
      </c>
      <c r="G3171" s="152" t="str">
        <f>IFERROR(__xludf.DUMMYFUNCTION("""COMPUTED_VALUE"""),"1～2")</f>
        <v>1～2</v>
      </c>
      <c r="H3171" s="152" t="str">
        <f>IFERROR(__xludf.DUMMYFUNCTION("""COMPUTED_VALUE"""),"輝")</f>
        <v>輝</v>
      </c>
      <c r="I3171" s="152" t="str">
        <f>IFERROR(__xludf.DUMMYFUNCTION("""COMPUTED_VALUE"""),"TL")</f>
        <v>TL</v>
      </c>
      <c r="J3171" s="157"/>
      <c r="K3171" s="202" t="str">
        <f>IFERROR(__xludf.DUMMYFUNCTION("""COMPUTED_VALUE"""),"黒ひめコミック")</f>
        <v>黒ひめコミック</v>
      </c>
      <c r="L3171" s="152" t="str">
        <f>IFERROR(__xludf.DUMMYFUNCTION("""COMPUTED_VALUE"""),"アイプロダクション")</f>
        <v>アイプロダクション</v>
      </c>
      <c r="M3171" s="154">
        <f>IFERROR(__xludf.DUMMYFUNCTION("""COMPUTED_VALUE"""),45802.0)</f>
        <v>45802</v>
      </c>
      <c r="N3171" s="59">
        <f>IFERROR(__xludf.DUMMYFUNCTION("""COMPUTED_VALUE"""),45832.0)</f>
        <v>45832</v>
      </c>
      <c r="O3171" s="152"/>
      <c r="P3171" s="152" t="str">
        <f>IFERROR(__xludf.DUMMYFUNCTION("""COMPUTED_VALUE"""),"可")</f>
        <v>可</v>
      </c>
      <c r="Q3171" s="152" t="str">
        <f>IFERROR(__xludf.DUMMYFUNCTION("""COMPUTED_VALUE"""),"※他版元過去作品：https://www.cmoa.jp/title/276618/&lt;BR&gt;■あらすじ・キーワード&lt;BR&gt;大手化粧品メーカーで働く桜井千雪。小動物のような見た目に反して、実は性欲が激強女子。&lt;BR&gt;毎日ひとりエッチを黙々と楽しんでいるが…本当のエッチはしたことがなく今だに処女。&lt;BR&gt;「本当のHもしてみたいけど、やっぱり初めては彼と…」と思いを寄せるのは、同じ部署の完璧上司・津田課長。&lt;BR&gt; そんなある日、津田課長の色恋事情を聞いてしまい動揺する千雪。ヤケ酒で気が付くと、そこはホテルで隣"&amp;"には津田課長！？&lt;BR&gt;長年の恋心に決着をつけようと思い、酔っぱらった勢いでハグを求めると…温和な完璧上司が豹変する。&lt;BR&gt;「俺はもう…我慢できない」甘く熱い課長の愛撫に全身が蕩かされてーー。&lt;BR&gt;スパダリ課長の重すぎる溺愛に身も心も絆される、とろ甘オフィスラブ！")</f>
        <v>※他版元過去作品：https://www.cmoa.jp/title/276618/&lt;BR&gt;■あらすじ・キーワード&lt;BR&gt;大手化粧品メーカーで働く桜井千雪。小動物のような見た目に反して、実は性欲が激強女子。&lt;BR&gt;毎日ひとりエッチを黙々と楽しんでいるが…本当のエッチはしたことがなく今だに処女。&lt;BR&gt;「本当のHもしてみたいけど、やっぱり初めては彼と…」と思いを寄せるのは、同じ部署の完璧上司・津田課長。&lt;BR&gt; そんなある日、津田課長の色恋事情を聞いてしまい動揺する千雪。ヤケ酒で気が付くと、そこはホテルで隣には津田課長！？&lt;BR&gt;長年の恋心に決着をつけようと思い、酔っぱらった勢いでハグを求めると…温和な完璧上司が豹変する。&lt;BR&gt;「俺はもう…我慢できない」甘く熱い課長の愛撫に全身が蕩かされてーー。&lt;BR&gt;スパダリ課長の重すぎる溺愛に身も心も絆される、とろ甘オフィスラブ！</v>
      </c>
      <c r="R3171" s="152" t="str">
        <f>IFERROR(__xludf.DUMMYFUNCTION("""COMPUTED_VALUE"""),"コミットNG")</f>
        <v>コミットNG</v>
      </c>
      <c r="S3171" s="152" t="str">
        <f>IFERROR(__xludf.DUMMYFUNCTION("""COMPUTED_VALUE"""),"20250403_アイプロダクション_俺の溺愛で壊れないでね～終業後に始まるとろあまセックス～")</f>
        <v>20250403_アイプロダクション_俺の溺愛で壊れないでね～終業後に始まるとろあまセックス～</v>
      </c>
      <c r="T3171" s="152" t="str">
        <f>IFERROR(__xludf.DUMMYFUNCTION("""COMPUTED_VALUE"""),"格納済み")</f>
        <v>格納済み</v>
      </c>
      <c r="U3171" s="15" t="str">
        <f>IFERROR(__xludf.DUMMYFUNCTION("""COMPUTED_VALUE"""),"輝/アイプロダクション")</f>
        <v>輝/アイプロダクション</v>
      </c>
      <c r="V3171" s="8" t="str">
        <f>IFERROR(__xludf.DUMMYFUNCTION("""COMPUTED_VALUE"""),"「…俺はもう、我慢できない」甘く熱い愛撫に、全身が蕩けていく――大手化粧品メーカーで働く千雪（ちゆき）。性欲激強女子で毎晩のひとりエッチは欠かさないけれど…本当のエッチはまだ未経験の実は処女。「やっぱり初めては彼と…」そう密かに想いを寄せるのは、同じ部署のスパダリ上司・津田（つだ）課長。ところがある日、津田課長の気になる“色恋事情”を耳にしてしまい…大ショック！ヤケ酒をあおった千雪が目を覚ますと、なんと隣には津田課長！？勢いのままにハグをねだった瞬間、優しく穏やかな完璧上司の仮面が剥がれ落ち、独占欲が露わ"&amp;"になる――。「こんな姿、俺以外に見せるなよ」性欲強めの不器用処女と甘くて重い溺愛上司のとろ甘オフィスラブ！")</f>
        <v>「…俺はもう、我慢できない」甘く熱い愛撫に、全身が蕩けていく――大手化粧品メーカーで働く千雪（ちゆき）。性欲激強女子で毎晩のひとりエッチは欠かさないけれど…本当のエッチはまだ未経験の実は処女。「やっぱり初めては彼と…」そう密かに想いを寄せるのは、同じ部署のスパダリ上司・津田（つだ）課長。ところがある日、津田課長の気になる“色恋事情”を耳にしてしまい…大ショック！ヤケ酒をあおった千雪が目を覚ますと、なんと隣には津田課長！？勢いのままにハグをねだった瞬間、優しく穏やかな完璧上司の仮面が剥がれ落ち、独占欲が露わになる――。「こんな姿、俺以外に見せるなよ」性欲強めの不器用処女と甘くて重い溺愛上司のとろ甘オフィスラブ！</v>
      </c>
      <c r="W3171" s="14"/>
      <c r="X3171" s="14" t="str">
        <f>IFERROR(__xludf.DUMMYFUNCTION("""COMPUTED_VALUE"""),"有")</f>
        <v>有</v>
      </c>
      <c r="Y3171" s="8" t="str">
        <f>IFERROR(__xludf.DUMMYFUNCTION("""COMPUTED_VALUE"""),"P8まで")</f>
        <v>P8まで</v>
      </c>
      <c r="Z3171" s="7"/>
      <c r="AA3171" s="7"/>
      <c r="AB3171" s="7"/>
    </row>
    <row r="3172" ht="15.75" customHeight="1">
      <c r="A3172" s="153">
        <f>IFERROR(__xludf.DUMMYFUNCTION("""COMPUTED_VALUE"""),5318.0)</f>
        <v>5318</v>
      </c>
      <c r="B3172" s="152" t="str">
        <f>IFERROR(__xludf.DUMMYFUNCTION("""COMPUTED_VALUE"""),"確定")</f>
        <v>確定</v>
      </c>
      <c r="C3172" s="154">
        <f>IFERROR(__xludf.DUMMYFUNCTION("""COMPUTED_VALUE"""),45737.0)</f>
        <v>45737</v>
      </c>
      <c r="D3172" s="154">
        <f>IFERROR(__xludf.DUMMYFUNCTION("""COMPUTED_VALUE"""),45756.0)</f>
        <v>45756</v>
      </c>
      <c r="E3172" s="155">
        <f>IFERROR(__xludf.DUMMYFUNCTION("""COMPUTED_VALUE"""),320542.0)</f>
        <v>320542</v>
      </c>
      <c r="F3172" s="156" t="str">
        <f>IFERROR(__xludf.DUMMYFUNCTION("""COMPUTED_VALUE"""),"美麗童貞 龍美くんと初めての肉欲【R版】")</f>
        <v>美麗童貞 龍美くんと初めての肉欲【R版】</v>
      </c>
      <c r="G3172" s="152" t="str">
        <f>IFERROR(__xludf.DUMMYFUNCTION("""COMPUTED_VALUE"""),"1～3")</f>
        <v>1～3</v>
      </c>
      <c r="H3172" s="152" t="str">
        <f>IFERROR(__xludf.DUMMYFUNCTION("""COMPUTED_VALUE"""),"大橋キッカ/保田飯飯/THE猥談")</f>
        <v>大橋キッカ/保田飯飯/THE猥談</v>
      </c>
      <c r="I3172" s="152" t="str">
        <f>IFERROR(__xludf.DUMMYFUNCTION("""COMPUTED_VALUE"""),"アダルト")</f>
        <v>アダルト</v>
      </c>
      <c r="J3172" s="153">
        <f>IFERROR(__xludf.DUMMYFUNCTION("""COMPUTED_VALUE"""),1.0)</f>
        <v>1</v>
      </c>
      <c r="K3172" s="152" t="str">
        <f>IFERROR(__xludf.DUMMYFUNCTION("""COMPUTED_VALUE"""),"THE猥談")</f>
        <v>THE猥談</v>
      </c>
      <c r="L3172" s="152" t="str">
        <f>IFERROR(__xludf.DUMMYFUNCTION("""COMPUTED_VALUE"""),"DLcomics")</f>
        <v>DLcomics</v>
      </c>
      <c r="M3172" s="21">
        <f>IFERROR(__xludf.DUMMYFUNCTION("""COMPUTED_VALUE"""),45774.0)</f>
        <v>45774</v>
      </c>
      <c r="N3172" s="59">
        <f>IFERROR(__xludf.DUMMYFUNCTION("""COMPUTED_VALUE"""),45869.0)</f>
        <v>45869</v>
      </c>
      <c r="O3172" s="152"/>
      <c r="P3172" s="152" t="str">
        <f>IFERROR(__xludf.DUMMYFUNCTION("""COMPUTED_VALUE"""),"可")</f>
        <v>可</v>
      </c>
      <c r="Q3172" s="152" t="str">
        <f>IFERROR(__xludf.DUMMYFUNCTION("""COMPUTED_VALUE"""),"※THE猥談様の作品に関しましてはレーベル名が「THE猥談」としての配信となります。")</f>
        <v>※THE猥談様の作品に関しましてはレーベル名が「THE猥談」としての配信となります。</v>
      </c>
      <c r="R3172" s="152" t="str">
        <f>IFERROR(__xludf.DUMMYFUNCTION("""COMPUTED_VALUE"""),"コミットOK")</f>
        <v>コミットOK</v>
      </c>
      <c r="S3172" s="152" t="str">
        <f>IFERROR(__xludf.DUMMYFUNCTION("""COMPUTED_VALUE"""),"20250407_エイシス_美麗童貞 龍美くんと初めての肉欲【R版】")</f>
        <v>20250407_エイシス_美麗童貞 龍美くんと初めての肉欲【R版】</v>
      </c>
      <c r="T3172" s="152" t="str">
        <f>IFERROR(__xludf.DUMMYFUNCTION("""COMPUTED_VALUE"""),"格納済み")</f>
        <v>格納済み</v>
      </c>
      <c r="U3172" s="15" t="str">
        <f>IFERROR(__xludf.DUMMYFUNCTION("""COMPUTED_VALUE"""),"(C)大橋キッカ/保田飯飯/THE猥談")</f>
        <v>(C)大橋キッカ/保田飯飯/THE猥談</v>
      </c>
      <c r="V3172" s="8" t="str">
        <f>IFERROR(__xludf.DUMMYFUNCTION("""COMPUTED_VALUE"""),"【本作品は同人誌となります】
大学に入って知り合った、綺麗な顔をした『龍美』くん。
人見知りで寂しがりやで、生活能力が乏しい彼は
同じアパートに住む私の部屋にしょっちゅう来ていて……
男子、というより、女の子の友達みたい。
と、思っていたのに。
ちょっとした事件で、彼の『雄』の顔を引き出してしまった。
龍美くんも、私も『初めて』同士。
恋人でもないのに、このまま進むなんてーー…
でも、
今さら止める、なんてできないよね……?
漫画:大橋キッカ
表紙デザイン:"&amp;"RICOL
■総ページ数:30ページ")</f>
        <v>【本作品は同人誌となります】
大学に入って知り合った、綺麗な顔をした『龍美』くん。
人見知りで寂しがりやで、生活能力が乏しい彼は
同じアパートに住む私の部屋にしょっちゅう来ていて……
男子、というより、女の子の友達みたい。
と、思っていたのに。
ちょっとした事件で、彼の『雄』の顔を引き出してしまった。
龍美くんも、私も『初めて』同士。
恋人でもないのに、このまま進むなんてーー…
でも、
今さら止める、なんてできないよね……?
漫画:大橋キッカ
表紙デザイン:RICOL
■総ページ数:30ページ</v>
      </c>
      <c r="W3172" s="14"/>
      <c r="X3172" s="14" t="str">
        <f>IFERROR(__xludf.DUMMYFUNCTION("""COMPUTED_VALUE"""),"有")</f>
        <v>有</v>
      </c>
      <c r="Y3172" s="8" t="str">
        <f>IFERROR(__xludf.DUMMYFUNCTION("""COMPUTED_VALUE"""),"P13まで")</f>
        <v>P13まで</v>
      </c>
      <c r="Z3172" s="7"/>
      <c r="AA3172" s="7"/>
      <c r="AB3172" s="7"/>
    </row>
    <row r="3173" ht="15.75" customHeight="1">
      <c r="A3173" s="153">
        <f>IFERROR(__xludf.DUMMYFUNCTION("""COMPUTED_VALUE"""),5319.0)</f>
        <v>5319</v>
      </c>
      <c r="B3173" s="152" t="str">
        <f>IFERROR(__xludf.DUMMYFUNCTION("""COMPUTED_VALUE"""),"確定")</f>
        <v>確定</v>
      </c>
      <c r="C3173" s="154">
        <f>IFERROR(__xludf.DUMMYFUNCTION("""COMPUTED_VALUE"""),45737.0)</f>
        <v>45737</v>
      </c>
      <c r="D3173" s="154">
        <f>IFERROR(__xludf.DUMMYFUNCTION("""COMPUTED_VALUE"""),45756.0)</f>
        <v>45756</v>
      </c>
      <c r="E3173" s="155">
        <f>IFERROR(__xludf.DUMMYFUNCTION("""COMPUTED_VALUE"""),320544.0)</f>
        <v>320544</v>
      </c>
      <c r="F3173" s="156" t="str">
        <f>IFERROR(__xludf.DUMMYFUNCTION("""COMPUTED_VALUE"""),"美麗童貞 龍美くんと初めての肉欲")</f>
        <v>美麗童貞 龍美くんと初めての肉欲</v>
      </c>
      <c r="G3173" s="152" t="str">
        <f>IFERROR(__xludf.DUMMYFUNCTION("""COMPUTED_VALUE"""),"1～3")</f>
        <v>1～3</v>
      </c>
      <c r="H3173" s="152" t="str">
        <f>IFERROR(__xludf.DUMMYFUNCTION("""COMPUTED_VALUE"""),"大橋キッカ/保田飯飯/THE猥談")</f>
        <v>大橋キッカ/保田飯飯/THE猥談</v>
      </c>
      <c r="I3173" s="152" t="str">
        <f>IFERROR(__xludf.DUMMYFUNCTION("""COMPUTED_VALUE"""),"TL")</f>
        <v>TL</v>
      </c>
      <c r="J3173" s="157"/>
      <c r="K3173" s="152" t="str">
        <f>IFERROR(__xludf.DUMMYFUNCTION("""COMPUTED_VALUE"""),"THE猥談")</f>
        <v>THE猥談</v>
      </c>
      <c r="L3173" s="152" t="str">
        <f>IFERROR(__xludf.DUMMYFUNCTION("""COMPUTED_VALUE"""),"DLcomics")</f>
        <v>DLcomics</v>
      </c>
      <c r="M3173" s="21">
        <f>IFERROR(__xludf.DUMMYFUNCTION("""COMPUTED_VALUE"""),45774.0)</f>
        <v>45774</v>
      </c>
      <c r="N3173" s="59">
        <f>IFERROR(__xludf.DUMMYFUNCTION("""COMPUTED_VALUE"""),45869.0)</f>
        <v>45869</v>
      </c>
      <c r="O3173" s="152"/>
      <c r="P3173" s="152" t="str">
        <f>IFERROR(__xludf.DUMMYFUNCTION("""COMPUTED_VALUE"""),"可")</f>
        <v>可</v>
      </c>
      <c r="Q3173" s="152" t="str">
        <f>IFERROR(__xludf.DUMMYFUNCTION("""COMPUTED_VALUE"""),"※THE猥談様の作品に関しましてはレーベル名が「THE猥談」としての配信となります。")</f>
        <v>※THE猥談様の作品に関しましてはレーベル名が「THE猥談」としての配信となります。</v>
      </c>
      <c r="R3173" s="152" t="str">
        <f>IFERROR(__xludf.DUMMYFUNCTION("""COMPUTED_VALUE"""),"コミットOK")</f>
        <v>コミットOK</v>
      </c>
      <c r="S3173" s="152" t="str">
        <f>IFERROR(__xludf.DUMMYFUNCTION("""COMPUTED_VALUE"""),"20250407_エイシス_美麗童貞 龍美くんと初めての肉欲")</f>
        <v>20250407_エイシス_美麗童貞 龍美くんと初めての肉欲</v>
      </c>
      <c r="T3173" s="152" t="str">
        <f>IFERROR(__xludf.DUMMYFUNCTION("""COMPUTED_VALUE"""),"格納済み")</f>
        <v>格納済み</v>
      </c>
      <c r="U3173" s="15" t="str">
        <f>IFERROR(__xludf.DUMMYFUNCTION("""COMPUTED_VALUE"""),"(C)大橋キッカ/保田飯飯/THE猥談")</f>
        <v>(C)大橋キッカ/保田飯飯/THE猥談</v>
      </c>
      <c r="V3173" s="8" t="str">
        <f>IFERROR(__xludf.DUMMYFUNCTION("""COMPUTED_VALUE"""),"【本作品は同人誌となります】
大学に入って知り合った、綺麗な顔をした『龍美』くん。
人見知りで寂しがりやで、生活能力が乏しい彼は
同じアパートに住む私の部屋にしょっちゅう来ていて……
男子、というより、女の子の友達みたい。
と、思っていたのに。
ちょっとした事件で、彼の『雄』の顔を引き出してしまった。
龍美くんも、私も『初めて』同士。
恋人でもないのに、このまま進むなんてーー…
でも、
今さら止める、なんてできないよね……?
漫画:大橋キッカ
表紙デザイン:"&amp;"RICOL
■総ページ数:30ページ")</f>
        <v>【本作品は同人誌となります】
大学に入って知り合った、綺麗な顔をした『龍美』くん。
人見知りで寂しがりやで、生活能力が乏しい彼は
同じアパートに住む私の部屋にしょっちゅう来ていて……
男子、というより、女の子の友達みたい。
と、思っていたのに。
ちょっとした事件で、彼の『雄』の顔を引き出してしまった。
龍美くんも、私も『初めて』同士。
恋人でもないのに、このまま進むなんてーー…
でも、
今さら止める、なんてできないよね……?
漫画:大橋キッカ
表紙デザイン:RICOL
■総ページ数:30ページ</v>
      </c>
      <c r="W3173" s="14"/>
      <c r="X3173" s="14" t="str">
        <f>IFERROR(__xludf.DUMMYFUNCTION("""COMPUTED_VALUE"""),"有")</f>
        <v>有</v>
      </c>
      <c r="Y3173" s="8" t="str">
        <f>IFERROR(__xludf.DUMMYFUNCTION("""COMPUTED_VALUE"""),"P13まで")</f>
        <v>P13まで</v>
      </c>
      <c r="Z3173" s="7"/>
      <c r="AA3173" s="7"/>
      <c r="AB3173" s="7"/>
    </row>
    <row r="3174" ht="15.75" customHeight="1">
      <c r="A3174" s="153">
        <f>IFERROR(__xludf.DUMMYFUNCTION("""COMPUTED_VALUE"""),5320.0)</f>
        <v>5320</v>
      </c>
      <c r="B3174" s="152" t="str">
        <f>IFERROR(__xludf.DUMMYFUNCTION("""COMPUTED_VALUE"""),"確定")</f>
        <v>確定</v>
      </c>
      <c r="C3174" s="154">
        <f>IFERROR(__xludf.DUMMYFUNCTION("""COMPUTED_VALUE"""),45737.0)</f>
        <v>45737</v>
      </c>
      <c r="D3174" s="154">
        <f>IFERROR(__xludf.DUMMYFUNCTION("""COMPUTED_VALUE"""),45756.0)</f>
        <v>45756</v>
      </c>
      <c r="E3174" s="155">
        <f>IFERROR(__xludf.DUMMYFUNCTION("""COMPUTED_VALUE"""),320541.0)</f>
        <v>320541</v>
      </c>
      <c r="F3174" s="156" t="str">
        <f>IFERROR(__xludf.DUMMYFUNCTION("""COMPUTED_VALUE"""),"北海道の女、本場大阪の関西弁クソデカ感情セックスを知る【R版】")</f>
        <v>北海道の女、本場大阪の関西弁クソデカ感情セックスを知る【R版】</v>
      </c>
      <c r="G3174" s="152" t="str">
        <f>IFERROR(__xludf.DUMMYFUNCTION("""COMPUTED_VALUE"""),"1～3")</f>
        <v>1～3</v>
      </c>
      <c r="H3174" s="152" t="str">
        <f>IFERROR(__xludf.DUMMYFUNCTION("""COMPUTED_VALUE"""),"デリニャス/保田飯飯/THE猥談")</f>
        <v>デリニャス/保田飯飯/THE猥談</v>
      </c>
      <c r="I3174" s="152" t="str">
        <f>IFERROR(__xludf.DUMMYFUNCTION("""COMPUTED_VALUE"""),"アダルト")</f>
        <v>アダルト</v>
      </c>
      <c r="J3174" s="157"/>
      <c r="K3174" s="152" t="str">
        <f>IFERROR(__xludf.DUMMYFUNCTION("""COMPUTED_VALUE"""),"THE猥談")</f>
        <v>THE猥談</v>
      </c>
      <c r="L3174" s="152" t="str">
        <f>IFERROR(__xludf.DUMMYFUNCTION("""COMPUTED_VALUE"""),"DLcomics")</f>
        <v>DLcomics</v>
      </c>
      <c r="M3174" s="21">
        <f>IFERROR(__xludf.DUMMYFUNCTION("""COMPUTED_VALUE"""),45774.0)</f>
        <v>45774</v>
      </c>
      <c r="N3174" s="59">
        <f>IFERROR(__xludf.DUMMYFUNCTION("""COMPUTED_VALUE"""),45869.0)</f>
        <v>45869</v>
      </c>
      <c r="O3174" s="152"/>
      <c r="P3174" s="152" t="str">
        <f>IFERROR(__xludf.DUMMYFUNCTION("""COMPUTED_VALUE"""),"可")</f>
        <v>可</v>
      </c>
      <c r="Q3174" s="152" t="str">
        <f>IFERROR(__xludf.DUMMYFUNCTION("""COMPUTED_VALUE"""),"※THE猥談様の作品に関しましてはレーベル名が「THE猥談」としての配信となります。")</f>
        <v>※THE猥談様の作品に関しましてはレーベル名が「THE猥談」としての配信となります。</v>
      </c>
      <c r="R3174" s="152" t="str">
        <f>IFERROR(__xludf.DUMMYFUNCTION("""COMPUTED_VALUE"""),"コミットOK")</f>
        <v>コミットOK</v>
      </c>
      <c r="S3174" s="152" t="str">
        <f>IFERROR(__xludf.DUMMYFUNCTION("""COMPUTED_VALUE"""),"20250407_エイシス_北海道の女、本場大阪の関西弁クソデカ感情セックスを知る【R版】")</f>
        <v>20250407_エイシス_北海道の女、本場大阪の関西弁クソデカ感情セックスを知る【R版】</v>
      </c>
      <c r="T3174" s="152" t="str">
        <f>IFERROR(__xludf.DUMMYFUNCTION("""COMPUTED_VALUE"""),"格納済み")</f>
        <v>格納済み</v>
      </c>
      <c r="U3174" s="15" t="str">
        <f>IFERROR(__xludf.DUMMYFUNCTION("""COMPUTED_VALUE"""),"(C)デリニャス/保田飯飯/THE猥談")</f>
        <v>(C)デリニャス/保田飯飯/THE猥談</v>
      </c>
      <c r="V3174" s="8" t="str">
        <f>IFERROR(__xludf.DUMMYFUNCTION("""COMPUTED_VALUE"""),"【本作品は同人誌となります】
高校まで北海道で生きてきた私には、
大きすぎる爆弾『関西弁』……を、流暢に話す花田くん。
進学先の関西の大学で出会って、よく話しかけてくれた。
「伊藤さんのことめっちゃ好きやねん俺」
「今日家こうへん?」
…やっぱりこの爆弾、私には効きすぎる。
漫画:デリニャス
表紙デザイン:天乃あまね
■総ページ数:25ページ")</f>
        <v>【本作品は同人誌となります】
高校まで北海道で生きてきた私には、
大きすぎる爆弾『関西弁』……を、流暢に話す花田くん。
進学先の関西の大学で出会って、よく話しかけてくれた。
「伊藤さんのことめっちゃ好きやねん俺」
「今日家こうへん?」
…やっぱりこの爆弾、私には効きすぎる。
漫画:デリニャス
表紙デザイン:天乃あまね
■総ページ数:25ページ</v>
      </c>
      <c r="W3174" s="14"/>
      <c r="X3174" s="14" t="str">
        <f>IFERROR(__xludf.DUMMYFUNCTION("""COMPUTED_VALUE"""),"有")</f>
        <v>有</v>
      </c>
      <c r="Y3174" s="8" t="str">
        <f>IFERROR(__xludf.DUMMYFUNCTION("""COMPUTED_VALUE"""),"P13まで")</f>
        <v>P13まで</v>
      </c>
      <c r="Z3174" s="7"/>
      <c r="AA3174" s="7"/>
      <c r="AB3174" s="7"/>
    </row>
    <row r="3175" ht="15.75" customHeight="1">
      <c r="A3175" s="153">
        <f>IFERROR(__xludf.DUMMYFUNCTION("""COMPUTED_VALUE"""),5321.0)</f>
        <v>5321</v>
      </c>
      <c r="B3175" s="152" t="str">
        <f>IFERROR(__xludf.DUMMYFUNCTION("""COMPUTED_VALUE"""),"確定")</f>
        <v>確定</v>
      </c>
      <c r="C3175" s="154">
        <f>IFERROR(__xludf.DUMMYFUNCTION("""COMPUTED_VALUE"""),45737.0)</f>
        <v>45737</v>
      </c>
      <c r="D3175" s="154">
        <f>IFERROR(__xludf.DUMMYFUNCTION("""COMPUTED_VALUE"""),45756.0)</f>
        <v>45756</v>
      </c>
      <c r="E3175" s="155">
        <f>IFERROR(__xludf.DUMMYFUNCTION("""COMPUTED_VALUE"""),320543.0)</f>
        <v>320543</v>
      </c>
      <c r="F3175" s="156" t="str">
        <f>IFERROR(__xludf.DUMMYFUNCTION("""COMPUTED_VALUE"""),"北海道の女、本場大阪の関西弁クソデカ感情セックスを知る")</f>
        <v>北海道の女、本場大阪の関西弁クソデカ感情セックスを知る</v>
      </c>
      <c r="G3175" s="152" t="str">
        <f>IFERROR(__xludf.DUMMYFUNCTION("""COMPUTED_VALUE"""),"1～3")</f>
        <v>1～3</v>
      </c>
      <c r="H3175" s="152" t="str">
        <f>IFERROR(__xludf.DUMMYFUNCTION("""COMPUTED_VALUE"""),"デリニャス/保田飯飯/THE猥談")</f>
        <v>デリニャス/保田飯飯/THE猥談</v>
      </c>
      <c r="I3175" s="152" t="str">
        <f>IFERROR(__xludf.DUMMYFUNCTION("""COMPUTED_VALUE"""),"TL")</f>
        <v>TL</v>
      </c>
      <c r="J3175" s="157"/>
      <c r="K3175" s="152" t="str">
        <f>IFERROR(__xludf.DUMMYFUNCTION("""COMPUTED_VALUE"""),"THE猥談")</f>
        <v>THE猥談</v>
      </c>
      <c r="L3175" s="152" t="str">
        <f>IFERROR(__xludf.DUMMYFUNCTION("""COMPUTED_VALUE"""),"DLcomics")</f>
        <v>DLcomics</v>
      </c>
      <c r="M3175" s="21">
        <f>IFERROR(__xludf.DUMMYFUNCTION("""COMPUTED_VALUE"""),45774.0)</f>
        <v>45774</v>
      </c>
      <c r="N3175" s="59">
        <f>IFERROR(__xludf.DUMMYFUNCTION("""COMPUTED_VALUE"""),45869.0)</f>
        <v>45869</v>
      </c>
      <c r="O3175" s="152"/>
      <c r="P3175" s="152" t="str">
        <f>IFERROR(__xludf.DUMMYFUNCTION("""COMPUTED_VALUE"""),"可")</f>
        <v>可</v>
      </c>
      <c r="Q3175" s="152" t="str">
        <f>IFERROR(__xludf.DUMMYFUNCTION("""COMPUTED_VALUE"""),"※THE猥談様の作品に関しましてはレーベル名が「THE猥談」としての配信となります。")</f>
        <v>※THE猥談様の作品に関しましてはレーベル名が「THE猥談」としての配信となります。</v>
      </c>
      <c r="R3175" s="152" t="str">
        <f>IFERROR(__xludf.DUMMYFUNCTION("""COMPUTED_VALUE"""),"コミットOK")</f>
        <v>コミットOK</v>
      </c>
      <c r="S3175" s="152" t="str">
        <f>IFERROR(__xludf.DUMMYFUNCTION("""COMPUTED_VALUE"""),"20250407_エイシス_北海道の女、本場大阪の関西弁クソデカ感情セックスを知る")</f>
        <v>20250407_エイシス_北海道の女、本場大阪の関西弁クソデカ感情セックスを知る</v>
      </c>
      <c r="T3175" s="152" t="str">
        <f>IFERROR(__xludf.DUMMYFUNCTION("""COMPUTED_VALUE"""),"格納済み")</f>
        <v>格納済み</v>
      </c>
      <c r="U3175" s="15" t="str">
        <f>IFERROR(__xludf.DUMMYFUNCTION("""COMPUTED_VALUE"""),"(C)デリニャス/保田飯飯/THE猥談")</f>
        <v>(C)デリニャス/保田飯飯/THE猥談</v>
      </c>
      <c r="V3175" s="8" t="str">
        <f>IFERROR(__xludf.DUMMYFUNCTION("""COMPUTED_VALUE"""),"【本作品は同人誌となります】
高校まで北海道で生きてきた私には、
大きすぎる爆弾『関西弁』……を、流暢に話す花田くん。
進学先の関西の大学で出会って、よく話しかけてくれた。
「伊藤さんのことめっちゃ好きやねん俺」
「今日家こうへん?」
…やっぱりこの爆弾、私には効きすぎる。
漫画:デリニャス
表紙デザイン:天乃あまね
■総ページ数:25ページ")</f>
        <v>【本作品は同人誌となります】
高校まで北海道で生きてきた私には、
大きすぎる爆弾『関西弁』……を、流暢に話す花田くん。
進学先の関西の大学で出会って、よく話しかけてくれた。
「伊藤さんのことめっちゃ好きやねん俺」
「今日家こうへん?」
…やっぱりこの爆弾、私には効きすぎる。
漫画:デリニャス
表紙デザイン:天乃あまね
■総ページ数:25ページ</v>
      </c>
      <c r="W3175" s="14"/>
      <c r="X3175" s="14" t="str">
        <f>IFERROR(__xludf.DUMMYFUNCTION("""COMPUTED_VALUE"""),"有")</f>
        <v>有</v>
      </c>
      <c r="Y3175" s="8" t="str">
        <f>IFERROR(__xludf.DUMMYFUNCTION("""COMPUTED_VALUE"""),"P13まで")</f>
        <v>P13まで</v>
      </c>
      <c r="Z3175" s="7"/>
      <c r="AA3175" s="7"/>
      <c r="AB3175" s="7"/>
    </row>
    <row r="3176" ht="15.75" customHeight="1">
      <c r="A3176" s="153">
        <f>IFERROR(__xludf.DUMMYFUNCTION("""COMPUTED_VALUE"""),5346.0)</f>
        <v>5346</v>
      </c>
      <c r="B3176" s="152" t="str">
        <f>IFERROR(__xludf.DUMMYFUNCTION("""COMPUTED_VALUE"""),"確定")</f>
        <v>確定</v>
      </c>
      <c r="C3176" s="154">
        <f>IFERROR(__xludf.DUMMYFUNCTION("""COMPUTED_VALUE"""),45740.0)</f>
        <v>45740</v>
      </c>
      <c r="D3176" s="154">
        <f>IFERROR(__xludf.DUMMYFUNCTION("""COMPUTED_VALUE"""),45755.0)</f>
        <v>45755</v>
      </c>
      <c r="E3176" s="155">
        <f>IFERROR(__xludf.DUMMYFUNCTION("""COMPUTED_VALUE"""),321265.0)</f>
        <v>321265</v>
      </c>
      <c r="F3176" s="156" t="str">
        <f>IFERROR(__xludf.DUMMYFUNCTION("""COMPUTED_VALUE"""),"星燃えて逃避行【単話】")</f>
        <v>星燃えて逃避行【単話】</v>
      </c>
      <c r="G3176" s="152" t="str">
        <f>IFERROR(__xludf.DUMMYFUNCTION("""COMPUTED_VALUE"""),"1～3")</f>
        <v>1～3</v>
      </c>
      <c r="H3176" s="152" t="str">
        <f>IFERROR(__xludf.DUMMYFUNCTION("""COMPUTED_VALUE"""),"近由子")</f>
        <v>近由子</v>
      </c>
      <c r="I3176" s="152" t="str">
        <f>IFERROR(__xludf.DUMMYFUNCTION("""COMPUTED_VALUE"""),"女性")</f>
        <v>女性</v>
      </c>
      <c r="J3176" s="157"/>
      <c r="K3176" s="152" t="str">
        <f>IFERROR(__xludf.DUMMYFUNCTION("""COMPUTED_VALUE"""),"Melty Night")</f>
        <v>Melty Night</v>
      </c>
      <c r="L3176" s="152" t="str">
        <f>IFERROR(__xludf.DUMMYFUNCTION("""COMPUTED_VALUE"""),"朝日新聞出版")</f>
        <v>朝日新聞出版</v>
      </c>
      <c r="M3176" s="21">
        <f>IFERROR(__xludf.DUMMYFUNCTION("""COMPUTED_VALUE"""),45777.0)</f>
        <v>45777</v>
      </c>
      <c r="N3176" s="59">
        <f>IFERROR(__xludf.DUMMYFUNCTION("""COMPUTED_VALUE"""),45867.0)</f>
        <v>45867</v>
      </c>
      <c r="O3176" s="152"/>
      <c r="P3176" s="190" t="str">
        <f>IFERROR(__xludf.DUMMYFUNCTION("""COMPUTED_VALUE"""),"可")</f>
        <v>可</v>
      </c>
      <c r="Q3176" s="152"/>
      <c r="R3176" s="152" t="str">
        <f>IFERROR(__xludf.DUMMYFUNCTION("""COMPUTED_VALUE"""),"コミットOK")</f>
        <v>コミットOK</v>
      </c>
      <c r="S3176" s="152" t="str">
        <f>IFERROR(__xludf.DUMMYFUNCTION("""COMPUTED_VALUE"""),"20250407_朝日新聞出版_星燃えて逃避行")</f>
        <v>20250407_朝日新聞出版_星燃えて逃避行</v>
      </c>
      <c r="T3176" s="152" t="str">
        <f>IFERROR(__xludf.DUMMYFUNCTION("""COMPUTED_VALUE"""),"格納済み")</f>
        <v>格納済み</v>
      </c>
      <c r="U3176" s="15" t="str">
        <f>IFERROR(__xludf.DUMMYFUNCTION("""COMPUTED_VALUE"""),"(C) 近由子／朝日新聞出版")</f>
        <v>(C) 近由子／朝日新聞出版</v>
      </c>
      <c r="V3176" s="8" t="str">
        <f>IFERROR(__xludf.DUMMYFUNCTION("""COMPUTED_VALUE"""),"「俺のこと、炎上させてよ」――破滅へ駆ける、地獄の推し活×ラブサスペンス。
和葉は35歳、手取り18万円の会社員。国民的アイドルグループのメンバー、侑真の強火オタクを15年間続けている。「いつまでやればいいんだろう？」「まず自分を幸せにしないといけないのに」と思いつつも、侑真推しをやめられないでいる。
新曲の発売日、和葉は人気のない路地裏に佇む侑真と出会う。「行くとこなくて困ってるんだ　お姉さんの家連れていってくれない？」侑真の様子に戸惑う和葉。その晩、侑真は「俺のこと、炎上させてよ」と和葉に乞う。")</f>
        <v>「俺のこと、炎上させてよ」――破滅へ駆ける、地獄の推し活×ラブサスペンス。
和葉は35歳、手取り18万円の会社員。国民的アイドルグループのメンバー、侑真の強火オタクを15年間続けている。「いつまでやればいいんだろう？」「まず自分を幸せにしないといけないのに」と思いつつも、侑真推しをやめられないでいる。
新曲の発売日、和葉は人気のない路地裏に佇む侑真と出会う。「行くとこなくて困ってるんだ　お姉さんの家連れていってくれない？」侑真の様子に戸惑う和葉。その晩、侑真は「俺のこと、炎上させてよ」と和葉に乞う。</v>
      </c>
      <c r="W3176" s="14"/>
      <c r="X3176" s="14" t="str">
        <f>IFERROR(__xludf.DUMMYFUNCTION("""COMPUTED_VALUE"""),"有")</f>
        <v>有</v>
      </c>
      <c r="Y3176" s="8" t="str">
        <f>IFERROR(__xludf.DUMMYFUNCTION("""COMPUTED_VALUE"""),"2025/7/29まで1巻無料")</f>
        <v>2025/7/29まで1巻無料</v>
      </c>
      <c r="Z3176" s="7"/>
      <c r="AA3176" s="7"/>
      <c r="AB3176" s="7"/>
    </row>
    <row r="3177" ht="15.75" customHeight="1">
      <c r="A3177" s="153">
        <f>IFERROR(__xludf.DUMMYFUNCTION("""COMPUTED_VALUE"""),5389.0)</f>
        <v>5389</v>
      </c>
      <c r="B3177" s="152" t="str">
        <f>IFERROR(__xludf.DUMMYFUNCTION("""COMPUTED_VALUE"""),"確定")</f>
        <v>確定</v>
      </c>
      <c r="C3177" s="154">
        <f>IFERROR(__xludf.DUMMYFUNCTION("""COMPUTED_VALUE"""),45747.0)</f>
        <v>45747</v>
      </c>
      <c r="D3177" s="154">
        <f>IFERROR(__xludf.DUMMYFUNCTION("""COMPUTED_VALUE"""),45754.0)</f>
        <v>45754</v>
      </c>
      <c r="E3177" s="155">
        <f>IFERROR(__xludf.DUMMYFUNCTION("""COMPUTED_VALUE"""),321005.0)</f>
        <v>321005</v>
      </c>
      <c r="F3177" s="156" t="str">
        <f>IFERROR(__xludf.DUMMYFUNCTION("""COMPUTED_VALUE"""),"ぬきたしR")</f>
        <v>ぬきたしR</v>
      </c>
      <c r="G3177" s="152" t="str">
        <f>IFERROR(__xludf.DUMMYFUNCTION("""COMPUTED_VALUE"""),"1～3")</f>
        <v>1～3</v>
      </c>
      <c r="H3177" s="152" t="str">
        <f>IFERROR(__xludf.DUMMYFUNCTION("""COMPUTED_VALUE"""),"原作：Qruppo 漫画：まめおじたん")</f>
        <v>原作：Qruppo 漫画：まめおじたん</v>
      </c>
      <c r="I3177" s="152" t="str">
        <f>IFERROR(__xludf.DUMMYFUNCTION("""COMPUTED_VALUE"""),"青年")</f>
        <v>青年</v>
      </c>
      <c r="J3177" s="157"/>
      <c r="K3177" s="157"/>
      <c r="L3177" s="152" t="str">
        <f>IFERROR(__xludf.DUMMYFUNCTION("""COMPUTED_VALUE"""),"ビーグリー")</f>
        <v>ビーグリー</v>
      </c>
      <c r="M3177" s="154">
        <f>IFERROR(__xludf.DUMMYFUNCTION("""COMPUTED_VALUE"""),45778.0)</f>
        <v>45778</v>
      </c>
      <c r="N3177" s="23">
        <f>IFERROR(__xludf.DUMMYFUNCTION("""COMPUTED_VALUE"""),45838.0)</f>
        <v>45838</v>
      </c>
      <c r="O3177" s="152"/>
      <c r="P3177" s="152" t="str">
        <f>IFERROR(__xludf.DUMMYFUNCTION("""COMPUTED_VALUE"""),"可")</f>
        <v>可</v>
      </c>
      <c r="Q3177" s="152" t="str">
        <f>IFERROR(__xludf.DUMMYFUNCTION("""COMPUTED_VALUE"""),"本作はゲームユーザーの流入も期待でき且つ、今回は独占先行で売上も期待できますので、是非検討をお願いいたします。&lt;BR&gt;■本作の追加情報&lt;BR&gt;・人気ゲーム「抜きゲーみたいな島に住んでる貧乳はどうすりゃいいですか?」のコミカライズ化・第二弾です。")</f>
        <v>本作はゲームユーザーの流入も期待でき且つ、今回は独占先行で売上も期待できますので、是非検討をお願いいたします。&lt;BR&gt;■本作の追加情報&lt;BR&gt;・人気ゲーム「抜きゲーみたいな島に住んでる貧乳はどうすりゃいいですか?」のコミカライズ化・第二弾です。</v>
      </c>
      <c r="R3177" s="152" t="str">
        <f>IFERROR(__xludf.DUMMYFUNCTION("""COMPUTED_VALUE"""),"コミットOK")</f>
        <v>コミットOK</v>
      </c>
      <c r="S3177" s="152" t="str">
        <f>IFERROR(__xludf.DUMMYFUNCTION("""COMPUTED_VALUE"""),"20250407_ビーグリー_ぬきたしR")</f>
        <v>20250407_ビーグリー_ぬきたしR</v>
      </c>
      <c r="T3177" s="152" t="str">
        <f>IFERROR(__xludf.DUMMYFUNCTION("""COMPUTED_VALUE"""),"格納済み")</f>
        <v>格納済み</v>
      </c>
      <c r="U3177" s="15" t="str">
        <f>IFERROR(__xludf.DUMMYFUNCTION("""COMPUTED_VALUE"""),"ⒸQruppo/まめおじたん/ビーグリー")</f>
        <v>ⒸQruppo/まめおじたん/ビーグリー</v>
      </c>
      <c r="V3177" s="8" t="str">
        <f>IFERROR(__xludf.DUMMYFUNCTION("""COMPUTED_VALUE"""),"【アニメ化も決定！！】大人気ゲーム『ぬきたし』のコミカライズ長編第２弾！！　「俺が…ドスケベ条例をぶっ潰す！」――舞台は人口減少に歯止めをかけるべく「ドスケベ条例」が施行された常夏の孤島・青藍島（せいらんとう）。非性産的行為は処罰の対象！？　全員にドスケベが義務付けられたこの島で、誇り高き童貞・橘淳之介と反交尾勢力ＮＬＮＳが、ドスケベ条例の破壊を目指し立ち上がる――！！")</f>
        <v>【アニメ化も決定！！】大人気ゲーム『ぬきたし』のコミカライズ長編第２弾！！　「俺が…ドスケベ条例をぶっ潰す！」――舞台は人口減少に歯止めをかけるべく「ドスケベ条例」が施行された常夏の孤島・青藍島（せいらんとう）。非性産的行為は処罰の対象！？　全員にドスケベが義務付けられたこの島で、誇り高き童貞・橘淳之介と反交尾勢力ＮＬＮＳが、ドスケベ条例の破壊を目指し立ち上がる――！！</v>
      </c>
      <c r="W3177" s="14"/>
      <c r="X3177" s="14" t="str">
        <f>IFERROR(__xludf.DUMMYFUNCTION("""COMPUTED_VALUE"""),"有")</f>
        <v>有</v>
      </c>
      <c r="Y3177" s="8" t="str">
        <f>IFERROR(__xludf.DUMMYFUNCTION("""COMPUTED_VALUE"""),"P5まで")</f>
        <v>P5まで</v>
      </c>
      <c r="Z3177" s="7"/>
      <c r="AA3177" s="7"/>
      <c r="AB3177" s="7"/>
    </row>
    <row r="3178" ht="15.75" customHeight="1">
      <c r="A3178" s="153">
        <f>IFERROR(__xludf.DUMMYFUNCTION("""COMPUTED_VALUE"""),5418.0)</f>
        <v>5418</v>
      </c>
      <c r="B3178" s="152" t="str">
        <f>IFERROR(__xludf.DUMMYFUNCTION("""COMPUTED_VALUE"""),"確定")</f>
        <v>確定</v>
      </c>
      <c r="C3178" s="154">
        <f>IFERROR(__xludf.DUMMYFUNCTION("""COMPUTED_VALUE"""),45751.0)</f>
        <v>45751</v>
      </c>
      <c r="D3178" s="154">
        <f>IFERROR(__xludf.DUMMYFUNCTION("""COMPUTED_VALUE"""),45755.0)</f>
        <v>45755</v>
      </c>
      <c r="E3178" s="158">
        <f>IFERROR(__xludf.DUMMYFUNCTION("""COMPUTED_VALUE"""),322247.0)</f>
        <v>322247</v>
      </c>
      <c r="F3178" s="159" t="str">
        <f>IFERROR(__xludf.DUMMYFUNCTION("""COMPUTED_VALUE"""),"30歳になったので今日から婚活はじめます～美人な30代よりもブスな20代！？～")</f>
        <v>30歳になったので今日から婚活はじめます～美人な30代よりもブスな20代！？～</v>
      </c>
      <c r="G3178" s="152" t="str">
        <f>IFERROR(__xludf.DUMMYFUNCTION("""COMPUTED_VALUE"""),"1～5")</f>
        <v>1～5</v>
      </c>
      <c r="H3178" s="152" t="str">
        <f>IFERROR(__xludf.DUMMYFUNCTION("""COMPUTED_VALUE"""),"綾瀬みう")</f>
        <v>綾瀬みう</v>
      </c>
      <c r="I3178" s="152" t="str">
        <f>IFERROR(__xludf.DUMMYFUNCTION("""COMPUTED_VALUE"""),"女性")</f>
        <v>女性</v>
      </c>
      <c r="J3178" s="157"/>
      <c r="K3178" s="152" t="str">
        <f>IFERROR(__xludf.DUMMYFUNCTION("""COMPUTED_VALUE"""),"シーモア×Ropopo!")</f>
        <v>シーモア×Ropopo!</v>
      </c>
      <c r="L3178" s="152" t="str">
        <f>IFERROR(__xludf.DUMMYFUNCTION("""COMPUTED_VALUE"""),"CLLENN")</f>
        <v>CLLENN</v>
      </c>
      <c r="M3178" s="154">
        <f>IFERROR(__xludf.DUMMYFUNCTION("""COMPUTED_VALUE"""),45795.0)</f>
        <v>45795</v>
      </c>
      <c r="N3178" s="59">
        <f>IFERROR(__xludf.DUMMYFUNCTION("""COMPUTED_VALUE"""),45983.0)</f>
        <v>45983</v>
      </c>
      <c r="O3178" s="152"/>
      <c r="P3178" s="164" t="str">
        <f>IFERROR(__xludf.DUMMYFUNCTION("""COMPUTED_VALUE"""),"可")</f>
        <v>可</v>
      </c>
      <c r="Q3178" s="166"/>
      <c r="R3178" s="152"/>
      <c r="S3178" s="152" t="str">
        <f>IFERROR(__xludf.DUMMYFUNCTION("""COMPUTED_VALUE"""),"20250404_CLLENN協業_30歳になったので今から婚活はじめます～美人な30代よりもブスな20代！？～")</f>
        <v>20250404_CLLENN協業_30歳になったので今から婚活はじめます～美人な30代よりもブスな20代！？～</v>
      </c>
      <c r="T3178" s="152" t="str">
        <f>IFERROR(__xludf.DUMMYFUNCTION("""COMPUTED_VALUE"""),"格納済み")</f>
        <v>格納済み</v>
      </c>
      <c r="U3178" s="15" t="str">
        <f>IFERROR(__xludf.DUMMYFUNCTION("""COMPUTED_VALUE"""),"Ⓒ綾瀬みう/CLLENN")</f>
        <v>Ⓒ綾瀬みう/CLLENN</v>
      </c>
      <c r="V3178" s="8" t="str">
        <f>IFERROR(__xludf.DUMMYFUNCTION("""COMPUTED_VALUE"""),"周りが皆結婚していく中、焦り始めた小春（32）。付き合っていた彼氏にはなんと浮気されていた！ 自分も早く結婚したいという焦りから結婚相談所に入会し、本格的に婚活を始めるも出会うのは重度のマザコン、ヤリモク男などの癖強ばかり。アドバイザーからは「美人の30代よりブスの20代が選ばれる」と辛口アドバイスを言われて自信をなくすも、出会いを求めて結婚相談所主催のパーティーに参加してみたが……。")</f>
        <v>周りが皆結婚していく中、焦り始めた小春（32）。付き合っていた彼氏にはなんと浮気されていた！ 自分も早く結婚したいという焦りから結婚相談所に入会し、本格的に婚活を始めるも出会うのは重度のマザコン、ヤリモク男などの癖強ばかり。アドバイザーからは「美人の30代よりブスの20代が選ばれる」と辛口アドバイスを言われて自信をなくすも、出会いを求めて結婚相談所主催のパーティーに参加してみたが……。</v>
      </c>
      <c r="W3178" s="14"/>
      <c r="X3178" s="14" t="str">
        <f>IFERROR(__xludf.DUMMYFUNCTION("""COMPUTED_VALUE"""),"有")</f>
        <v>有</v>
      </c>
      <c r="Y3178" s="8" t="str">
        <f>IFERROR(__xludf.DUMMYFUNCTION("""COMPUTED_VALUE"""),"2025/5/31まで1巻無料")</f>
        <v>2025/5/31まで1巻無料</v>
      </c>
      <c r="Z3178" s="7"/>
      <c r="AA3178" s="7"/>
      <c r="AB3178" s="7"/>
    </row>
    <row r="3179" ht="15.75" customHeight="1">
      <c r="A3179" s="153">
        <f>IFERROR(__xludf.DUMMYFUNCTION("""COMPUTED_VALUE"""),5419.0)</f>
        <v>5419</v>
      </c>
      <c r="B3179" s="152" t="str">
        <f>IFERROR(__xludf.DUMMYFUNCTION("""COMPUTED_VALUE"""),"確定")</f>
        <v>確定</v>
      </c>
      <c r="C3179" s="154">
        <f>IFERROR(__xludf.DUMMYFUNCTION("""COMPUTED_VALUE"""),45754.0)</f>
        <v>45754</v>
      </c>
      <c r="D3179" s="154">
        <f>IFERROR(__xludf.DUMMYFUNCTION("""COMPUTED_VALUE"""),45755.0)</f>
        <v>45755</v>
      </c>
      <c r="E3179" s="155">
        <f>IFERROR(__xludf.DUMMYFUNCTION("""COMPUTED_VALUE"""),320139.0)</f>
        <v>320139</v>
      </c>
      <c r="F3179" s="156" t="str">
        <f>IFERROR(__xludf.DUMMYFUNCTION("""COMPUTED_VALUE"""),"最強ご主人様に愛され尽くす独占婚【ページ版】")</f>
        <v>最強ご主人様に愛され尽くす独占婚【ページ版】</v>
      </c>
      <c r="G3179" s="152" t="str">
        <f>IFERROR(__xludf.DUMMYFUNCTION("""COMPUTED_VALUE"""),"1～11")</f>
        <v>1～11</v>
      </c>
      <c r="H3179" s="152" t="str">
        <f>IFERROR(__xludf.DUMMYFUNCTION("""COMPUTED_VALUE"""),"白頭夢/CAT-CreativeGroup")</f>
        <v>白頭夢/CAT-CreativeGroup</v>
      </c>
      <c r="I3179" s="152" t="str">
        <f>IFERROR(__xludf.DUMMYFUNCTION("""COMPUTED_VALUE"""),"女性")</f>
        <v>女性</v>
      </c>
      <c r="J3179" s="157"/>
      <c r="K3179" s="157"/>
      <c r="L3179" s="152" t="str">
        <f>IFERROR(__xludf.DUMMYFUNCTION("""COMPUTED_VALUE"""),"ファンギルド")</f>
        <v>ファンギルド</v>
      </c>
      <c r="M3179" s="154">
        <f>IFERROR(__xludf.DUMMYFUNCTION("""COMPUTED_VALUE"""),45785.0)</f>
        <v>45785</v>
      </c>
      <c r="N3179" s="59">
        <f>IFERROR(__xludf.DUMMYFUNCTION("""COMPUTED_VALUE"""),45812.0)</f>
        <v>45812</v>
      </c>
      <c r="O3179" s="152"/>
      <c r="P3179" s="190" t="str">
        <f>IFERROR(__xludf.DUMMYFUNCTION("""COMPUTED_VALUE"""),"可")</f>
        <v>可</v>
      </c>
      <c r="Q3179" s="190"/>
      <c r="R3179" s="152"/>
      <c r="S3179" s="152" t="str">
        <f>IFERROR(__xludf.DUMMYFUNCTION("""COMPUTED_VALUE"""),"20250507_ファンギルド_最強ご主人様に愛され尽くす独占婚")</f>
        <v>20250507_ファンギルド_最強ご主人様に愛され尽くす独占婚</v>
      </c>
      <c r="T3179" s="152" t="str">
        <f>IFERROR(__xludf.DUMMYFUNCTION("""COMPUTED_VALUE"""),"格納済み")</f>
        <v>格納済み</v>
      </c>
      <c r="U3179" s="15" t="str">
        <f>IFERROR(__xludf.DUMMYFUNCTION("""COMPUTED_VALUE"""),"ⒸBaitoumeng/CAT-CreativeGroup/JAMTOON/FUNGUILD")</f>
        <v>ⒸBaitoumeng/CAT-CreativeGroup/JAMTOON/FUNGUILD</v>
      </c>
      <c r="V3179" s="8" t="str">
        <f>IFERROR(__xludf.DUMMYFUNCTION("""COMPUTED_VALUE"""),"隔離病棟から逃げ出した真珠月（ましろるな・18歳）が目覚めたのは、2000年後の世界。そこは獣人が支配し、人間は繁殖のために存在していた。そして瀕死の月を見初めたのは、若い強者である牙狼（がろう・23歳）。この世界で生き延びるため、ペットとして牙狼と仲良くすることを決めた月。しかし牙狼の目的は月と子供を作ることで…！2000年後に待ってたのは、狼ご主人様に溺愛される未来！？【「最強ご主人様に愛され尽くす独占婚」の再編集版です。重複購入にご注意ください。】")</f>
        <v>隔離病棟から逃げ出した真珠月（ましろるな・18歳）が目覚めたのは、2000年後の世界。そこは獣人が支配し、人間は繁殖のために存在していた。そして瀕死の月を見初めたのは、若い強者である牙狼（がろう・23歳）。この世界で生き延びるため、ペットとして牙狼と仲良くすることを決めた月。しかし牙狼の目的は月と子供を作ることで…！2000年後に待ってたのは、狼ご主人様に溺愛される未来！？【「最強ご主人様に愛され尽くす独占婚」の再編集版です。重複購入にご注意ください。】</v>
      </c>
      <c r="W3179" s="14"/>
      <c r="X3179" s="14" t="str">
        <f>IFERROR(__xludf.DUMMYFUNCTION("""COMPUTED_VALUE"""),"有")</f>
        <v>有</v>
      </c>
      <c r="Y3179" s="8" t="str">
        <f>IFERROR(__xludf.DUMMYFUNCTION("""COMPUTED_VALUE"""),"1巻無料")</f>
        <v>1巻無料</v>
      </c>
      <c r="Z3179" s="7"/>
      <c r="AA3179" s="7"/>
      <c r="AB3179" s="7"/>
    </row>
    <row r="3180" ht="15.75" customHeight="1">
      <c r="A3180" s="153">
        <f>IFERROR(__xludf.DUMMYFUNCTION("""COMPUTED_VALUE"""),5420.0)</f>
        <v>5420</v>
      </c>
      <c r="B3180" s="152" t="str">
        <f>IFERROR(__xludf.DUMMYFUNCTION("""COMPUTED_VALUE"""),"確定")</f>
        <v>確定</v>
      </c>
      <c r="C3180" s="154">
        <f>IFERROR(__xludf.DUMMYFUNCTION("""COMPUTED_VALUE"""),45754.0)</f>
        <v>45754</v>
      </c>
      <c r="D3180" s="154">
        <f>IFERROR(__xludf.DUMMYFUNCTION("""COMPUTED_VALUE"""),45755.0)</f>
        <v>45755</v>
      </c>
      <c r="E3180" s="155">
        <f>IFERROR(__xludf.DUMMYFUNCTION("""COMPUTED_VALUE"""),320523.0)</f>
        <v>320523</v>
      </c>
      <c r="F3180" s="156" t="str">
        <f>IFERROR(__xludf.DUMMYFUNCTION("""COMPUTED_VALUE"""),"羽角くんの沼らセックスから逃げられない～相性最高の後輩とズブズブな夜")</f>
        <v>羽角くんの沼らセックスから逃げられない～相性最高の後輩とズブズブな夜</v>
      </c>
      <c r="G3180" s="152" t="str">
        <f>IFERROR(__xludf.DUMMYFUNCTION("""COMPUTED_VALUE"""),"1～3")</f>
        <v>1～3</v>
      </c>
      <c r="H3180" s="152" t="str">
        <f>IFERROR(__xludf.DUMMYFUNCTION("""COMPUTED_VALUE"""),"汐見ろせ")</f>
        <v>汐見ろせ</v>
      </c>
      <c r="I3180" s="152" t="str">
        <f>IFERROR(__xludf.DUMMYFUNCTION("""COMPUTED_VALUE"""),"TL")</f>
        <v>TL</v>
      </c>
      <c r="J3180" s="157"/>
      <c r="K3180" s="152" t="str">
        <f>IFERROR(__xludf.DUMMYFUNCTION("""COMPUTED_VALUE"""),"ラブきゅんコミック")</f>
        <v>ラブきゅんコミック</v>
      </c>
      <c r="L3180" s="152" t="str">
        <f>IFERROR(__xludf.DUMMYFUNCTION("""COMPUTED_VALUE"""),"モバイルメディアリサーチ")</f>
        <v>モバイルメディアリサーチ</v>
      </c>
      <c r="M3180" s="154">
        <f>IFERROR(__xludf.DUMMYFUNCTION("""COMPUTED_VALUE"""),45787.0)</f>
        <v>45787</v>
      </c>
      <c r="N3180" s="59">
        <f>IFERROR(__xludf.DUMMYFUNCTION("""COMPUTED_VALUE"""),45821.0)</f>
        <v>45821</v>
      </c>
      <c r="O3180" s="152"/>
      <c r="P3180" s="190" t="str">
        <f>IFERROR(__xludf.DUMMYFUNCTION("""COMPUTED_VALUE"""),"可")</f>
        <v>可</v>
      </c>
      <c r="Q3180" s="190"/>
      <c r="R3180" s="152"/>
      <c r="S3180" s="152" t="str">
        <f>IFERROR(__xludf.DUMMYFUNCTION("""COMPUTED_VALUE"""),"20250407_ファンギルド_羽角くんの沼らセックスから逃げられない～相性最高の後輩とズブズブな夜")</f>
        <v>20250407_ファンギルド_羽角くんの沼らセックスから逃げられない～相性最高の後輩とズブズブな夜</v>
      </c>
      <c r="T3180" s="152" t="str">
        <f>IFERROR(__xludf.DUMMYFUNCTION("""COMPUTED_VALUE"""),"格納済み")</f>
        <v>格納済み</v>
      </c>
      <c r="U3180" s="15" t="str">
        <f>IFERROR(__xludf.DUMMYFUNCTION("""COMPUTED_VALUE"""),"Ⓒ汐見ろせ/モバイルメディアリサーチ")</f>
        <v>Ⓒ汐見ろせ/モバイルメディアリサーチ</v>
      </c>
      <c r="V3180" s="8" t="str">
        <f>IFERROR(__xludf.DUMMYFUNCTION("""COMPUTED_VALUE"""),"「途中でやっぱナシは無理っすよ」こんなのよくないって分かってるけど、今は羽角が欲しくてたまらない──「はやく…それ、ちょうだいっ」７年も付き合っていた彼氏と別れた森田依鈴（もりたいすず）はどん底な状態のまま、面倒見がいい後輩の羽角大和（はすみやまと）に愚痴る。「森田さんに魅力がないと思ってないっすよ」と褒めるが、「誰が相手してくれるのさ。誘ったらノってくれるの～？」冗談交じりで言う依鈴に…「当たり前だろ」羽角の低音と力強い腕に包囲されて、きゅんきゅんっと奥まで締め付けられる。たっぷり指と舌でほぐされて、堪"&amp;"え性なく滴る水滴…全身びくびくと沼落ち確定のセックス。こんなに気持ちいいのは、羽角とのセックスだけ…？")</f>
        <v>「途中でやっぱナシは無理っすよ」こんなのよくないって分かってるけど、今は羽角が欲しくてたまらない──「はやく…それ、ちょうだいっ」７年も付き合っていた彼氏と別れた森田依鈴（もりたいすず）はどん底な状態のまま、面倒見がいい後輩の羽角大和（はすみやまと）に愚痴る。「森田さんに魅力がないと思ってないっすよ」と褒めるが、「誰が相手してくれるのさ。誘ったらノってくれるの～？」冗談交じりで言う依鈴に…「当たり前だろ」羽角の低音と力強い腕に包囲されて、きゅんきゅんっと奥まで締め付けられる。たっぷり指と舌でほぐされて、堪え性なく滴る水滴…全身びくびくと沼落ち確定のセックス。こんなに気持ちいいのは、羽角とのセックスだけ…？</v>
      </c>
      <c r="W3180" s="14"/>
      <c r="X3180" s="14" t="str">
        <f>IFERROR(__xludf.DUMMYFUNCTION("""COMPUTED_VALUE"""),"有")</f>
        <v>有</v>
      </c>
      <c r="Y3180" s="8" t="str">
        <f>IFERROR(__xludf.DUMMYFUNCTION("""COMPUTED_VALUE"""),"2025/5/23まで立ち読み増量P18まで")</f>
        <v>2025/5/23まで立ち読み増量P18まで</v>
      </c>
      <c r="Z3180" s="7"/>
      <c r="AA3180" s="7"/>
      <c r="AB3180" s="7"/>
    </row>
    <row r="3181" ht="15.75" customHeight="1">
      <c r="A3181" s="153">
        <f>IFERROR(__xludf.DUMMYFUNCTION("""COMPUTED_VALUE"""),5421.0)</f>
        <v>5421</v>
      </c>
      <c r="B3181" s="152" t="str">
        <f>IFERROR(__xludf.DUMMYFUNCTION("""COMPUTED_VALUE"""),"確定")</f>
        <v>確定</v>
      </c>
      <c r="C3181" s="154">
        <f>IFERROR(__xludf.DUMMYFUNCTION("""COMPUTED_VALUE"""),45754.0)</f>
        <v>45754</v>
      </c>
      <c r="D3181" s="154">
        <f>IFERROR(__xludf.DUMMYFUNCTION("""COMPUTED_VALUE"""),45755.0)</f>
        <v>45755</v>
      </c>
      <c r="E3181" s="158">
        <f>IFERROR(__xludf.DUMMYFUNCTION("""COMPUTED_VALUE"""),321256.0)</f>
        <v>321256</v>
      </c>
      <c r="F3181" s="159" t="str">
        <f>IFERROR(__xludf.DUMMYFUNCTION("""COMPUTED_VALUE"""),"没落令嬢は、婚約者だった皇太子殿下の愛を望まない")</f>
        <v>没落令嬢は、婚約者だった皇太子殿下の愛を望まない</v>
      </c>
      <c r="G3181" s="152" t="str">
        <f>IFERROR(__xludf.DUMMYFUNCTION("""COMPUTED_VALUE"""),"1～3")</f>
        <v>1～3</v>
      </c>
      <c r="H3181" s="152" t="str">
        <f>IFERROR(__xludf.DUMMYFUNCTION("""COMPUTED_VALUE"""),"つつらひの/前澤のーん")</f>
        <v>つつらひの/前澤のーん</v>
      </c>
      <c r="I3181" s="152" t="str">
        <f>IFERROR(__xludf.DUMMYFUNCTION("""COMPUTED_VALUE"""),"少女マンガ")</f>
        <v>少女マンガ</v>
      </c>
      <c r="J3181" s="157"/>
      <c r="K3181" s="157"/>
      <c r="L3181" s="152" t="str">
        <f>IFERROR(__xludf.DUMMYFUNCTION("""COMPUTED_VALUE"""),"ファンギルド")</f>
        <v>ファンギルド</v>
      </c>
      <c r="M3181" s="154">
        <f>IFERROR(__xludf.DUMMYFUNCTION("""COMPUTED_VALUE"""),45792.0)</f>
        <v>45792</v>
      </c>
      <c r="N3181" s="59">
        <f>IFERROR(__xludf.DUMMYFUNCTION("""COMPUTED_VALUE"""),45854.0)</f>
        <v>45854</v>
      </c>
      <c r="O3181" s="152"/>
      <c r="P3181" s="190" t="str">
        <f>IFERROR(__xludf.DUMMYFUNCTION("""COMPUTED_VALUE"""),"可")</f>
        <v>可</v>
      </c>
      <c r="Q3181" s="190"/>
      <c r="R3181" s="152"/>
      <c r="S3181" s="152" t="str">
        <f>IFERROR(__xludf.DUMMYFUNCTION("""COMPUTED_VALUE"""),"20250407_ファンギルド_没落令嬢は、婚約者だった皇太子殿下の愛を望まない")</f>
        <v>20250407_ファンギルド_没落令嬢は、婚約者だった皇太子殿下の愛を望まない</v>
      </c>
      <c r="T3181" s="152" t="str">
        <f>IFERROR(__xludf.DUMMYFUNCTION("""COMPUTED_VALUE"""),"格納済み")</f>
        <v>格納済み</v>
      </c>
      <c r="U3181" s="15" t="str">
        <f>IFERROR(__xludf.DUMMYFUNCTION("""COMPUTED_VALUE"""),"Ⓒつつらひの/前澤のーん/ファンギルド")</f>
        <v>Ⓒつつらひの/前澤のーん/ファンギルド</v>
      </c>
      <c r="V3181" s="8" t="str">
        <f>IFERROR(__xludf.DUMMYFUNCTION("""COMPUTED_VALUE"""),"冤罪で没落した公爵令嬢・ニコラ。平民として必死に働いていたある日、突然のトラブルにより職を失ってしまう。「弟の学費のため、自分がお金を稼がないと…！」家族を守るため、稼ぎのいい娼婦になることを決めるニコラ。だが、そんな彼女の前に絶世の美青年といわれる元婚約者で皇太子殿下のノアが現れる。しかも娼婦になることを伝えると「ニコの最初の客になってあげる」と迫ってきて…！？元公爵令嬢と彼女を手に入れたい皇太子殿下の一途で重い溺愛の結末はーー！？")</f>
        <v>冤罪で没落した公爵令嬢・ニコラ。平民として必死に働いていたある日、突然のトラブルにより職を失ってしまう。「弟の学費のため、自分がお金を稼がないと…！」家族を守るため、稼ぎのいい娼婦になることを決めるニコラ。だが、そんな彼女の前に絶世の美青年といわれる元婚約者で皇太子殿下のノアが現れる。しかも娼婦になることを伝えると「ニコの最初の客になってあげる」と迫ってきて…！？元公爵令嬢と彼女を手に入れたい皇太子殿下の一途で重い溺愛の結末はーー！？</v>
      </c>
      <c r="W3181" s="14"/>
      <c r="X3181" s="14" t="str">
        <f>IFERROR(__xludf.DUMMYFUNCTION("""COMPUTED_VALUE"""),"有")</f>
        <v>有</v>
      </c>
      <c r="Y3181" s="8" t="str">
        <f>IFERROR(__xludf.DUMMYFUNCTION("""COMPUTED_VALUE"""),"P7まで")</f>
        <v>P7まで</v>
      </c>
      <c r="Z3181" s="7"/>
      <c r="AA3181" s="7"/>
      <c r="AB3181" s="7"/>
    </row>
    <row r="3182" ht="15.75" customHeight="1">
      <c r="A3182" s="153">
        <f>IFERROR(__xludf.DUMMYFUNCTION("""COMPUTED_VALUE"""),5422.0)</f>
        <v>5422</v>
      </c>
      <c r="B3182" s="152" t="str">
        <f>IFERROR(__xludf.DUMMYFUNCTION("""COMPUTED_VALUE"""),"確定")</f>
        <v>確定</v>
      </c>
      <c r="C3182" s="154">
        <f>IFERROR(__xludf.DUMMYFUNCTION("""COMPUTED_VALUE"""),45754.0)</f>
        <v>45754</v>
      </c>
      <c r="D3182" s="154">
        <f>IFERROR(__xludf.DUMMYFUNCTION("""COMPUTED_VALUE"""),45755.0)</f>
        <v>45755</v>
      </c>
      <c r="E3182" s="158">
        <f>IFERROR(__xludf.DUMMYFUNCTION("""COMPUTED_VALUE"""),320522.0)</f>
        <v>320522</v>
      </c>
      <c r="F3182" s="159" t="str">
        <f>IFERROR(__xludf.DUMMYFUNCTION("""COMPUTED_VALUE"""),"私をダメにする絶頂マッサージ～欲求不満なOLが〇〇〇施術を受けたら…")</f>
        <v>私をダメにする絶頂マッサージ～欲求不満なOLが〇〇〇施術を受けたら…</v>
      </c>
      <c r="G3182" s="152" t="str">
        <f>IFERROR(__xludf.DUMMYFUNCTION("""COMPUTED_VALUE"""),"1～3")</f>
        <v>1～3</v>
      </c>
      <c r="H3182" s="152" t="str">
        <f>IFERROR(__xludf.DUMMYFUNCTION("""COMPUTED_VALUE"""),"しぐしろ")</f>
        <v>しぐしろ</v>
      </c>
      <c r="I3182" s="164" t="str">
        <f>IFERROR(__xludf.DUMMYFUNCTION("""COMPUTED_VALUE"""),"アダルトマンガ")</f>
        <v>アダルトマンガ</v>
      </c>
      <c r="J3182" s="166"/>
      <c r="K3182" s="157"/>
      <c r="L3182" s="152" t="str">
        <f>IFERROR(__xludf.DUMMYFUNCTION("""COMPUTED_VALUE"""),"モバイルメディアリサーチ")</f>
        <v>モバイルメディアリサーチ</v>
      </c>
      <c r="M3182" s="154">
        <f>IFERROR(__xludf.DUMMYFUNCTION("""COMPUTED_VALUE"""),45793.0)</f>
        <v>45793</v>
      </c>
      <c r="N3182" s="59">
        <f>IFERROR(__xludf.DUMMYFUNCTION("""COMPUTED_VALUE"""),45820.0)</f>
        <v>45820</v>
      </c>
      <c r="O3182" s="152"/>
      <c r="P3182" s="190" t="str">
        <f>IFERROR(__xludf.DUMMYFUNCTION("""COMPUTED_VALUE"""),"可")</f>
        <v>可</v>
      </c>
      <c r="Q3182" s="190"/>
      <c r="R3182" s="152"/>
      <c r="S3182" s="152" t="str">
        <f>IFERROR(__xludf.DUMMYFUNCTION("""COMPUTED_VALUE"""),"20250407_ファンギルド_私をダメにする絶頂マッサージ～欲求不満なOLが〇〇〇施術を受けたら…")</f>
        <v>20250407_ファンギルド_私をダメにする絶頂マッサージ～欲求不満なOLが〇〇〇施術を受けたら…</v>
      </c>
      <c r="T3182" s="152" t="str">
        <f>IFERROR(__xludf.DUMMYFUNCTION("""COMPUTED_VALUE"""),"格納済み")</f>
        <v>格納済み</v>
      </c>
      <c r="U3182" s="15" t="str">
        <f>IFERROR(__xludf.DUMMYFUNCTION("""COMPUTED_VALUE"""),"Ⓒしぐしろ/モバイルメディアリサーチ")</f>
        <v>Ⓒしぐしろ/モバイルメディアリサーチ</v>
      </c>
      <c r="V3182" s="8" t="str">
        <f>IFERROR(__xludf.DUMMYFUNCTION("""COMPUTED_VALUE"""),"「マッサージされてるだけなのに…本気でイきたくて、エッチしたくなっちゃってる…」――クズ男に振られ意気消沈の中、気分転換のためにオイルマッサージを受けることにしたOL・宮篠希。女性に施術されるはずだからきわどい服装でも大丈夫…、そう思っていたが施術師は男性で―！？裏表のない好青年・神田真の心地良いマッサージに癒されていると、乳首の先からお尻の付け根…と次第に際どい箇所にも施術が及んでいき、欲求不満な希は抗えずに感じてしまう。さらには、ぷっくり膨らんで濡れたア○コにまでじっくり丁寧に揉みほぐしていくド天然・"&amp;"絶頂マッサージでイかされ、徐々に虜になっていく希。その姿を見て興奮してしまった真は「挿入れてもいいですか…？」と勃起したモノを希の濡れたア○コに挿入していき――！？")</f>
        <v>「マッサージされてるだけなのに…本気でイきたくて、エッチしたくなっちゃってる…」――クズ男に振られ意気消沈の中、気分転換のためにオイルマッサージを受けることにしたOL・宮篠希。女性に施術されるはずだからきわどい服装でも大丈夫…、そう思っていたが施術師は男性で―！？裏表のない好青年・神田真の心地良いマッサージに癒されていると、乳首の先からお尻の付け根…と次第に際どい箇所にも施術が及んでいき、欲求不満な希は抗えずに感じてしまう。さらには、ぷっくり膨らんで濡れたア○コにまでじっくり丁寧に揉みほぐしていくド天然・絶頂マッサージでイかされ、徐々に虜になっていく希。その姿を見て興奮してしまった真は「挿入れてもいいですか…？」と勃起したモノを希の濡れたア○コに挿入していき――！？</v>
      </c>
      <c r="W3182" s="14"/>
      <c r="X3182" s="14" t="str">
        <f>IFERROR(__xludf.DUMMYFUNCTION("""COMPUTED_VALUE"""),"有")</f>
        <v>有</v>
      </c>
      <c r="Y3182" s="8" t="str">
        <f>IFERROR(__xludf.DUMMYFUNCTION("""COMPUTED_VALUE"""),"P9まで")</f>
        <v>P9まで</v>
      </c>
      <c r="Z3182" s="7"/>
      <c r="AA3182" s="7"/>
      <c r="AB3182" s="7"/>
    </row>
    <row r="3183" ht="15.75" customHeight="1">
      <c r="A3183" s="153">
        <f>IFERROR(__xludf.DUMMYFUNCTION("""COMPUTED_VALUE"""),5423.0)</f>
        <v>5423</v>
      </c>
      <c r="B3183" s="152" t="str">
        <f>IFERROR(__xludf.DUMMYFUNCTION("""COMPUTED_VALUE"""),"確定")</f>
        <v>確定</v>
      </c>
      <c r="C3183" s="154">
        <f>IFERROR(__xludf.DUMMYFUNCTION("""COMPUTED_VALUE"""),45754.0)</f>
        <v>45754</v>
      </c>
      <c r="D3183" s="154">
        <f>IFERROR(__xludf.DUMMYFUNCTION("""COMPUTED_VALUE"""),45755.0)</f>
        <v>45755</v>
      </c>
      <c r="E3183" s="158">
        <f>IFERROR(__xludf.DUMMYFUNCTION("""COMPUTED_VALUE"""),321257.0)</f>
        <v>321257</v>
      </c>
      <c r="F3183" s="159" t="str">
        <f>IFERROR(__xludf.DUMMYFUNCTION("""COMPUTED_VALUE"""),"予知夢を見た侯爵令嬢は婚約者様との未来を変えたい")</f>
        <v>予知夢を見た侯爵令嬢は婚約者様との未来を変えたい</v>
      </c>
      <c r="G3183" s="153">
        <f>IFERROR(__xludf.DUMMYFUNCTION("""COMPUTED_VALUE"""),1.0)</f>
        <v>1</v>
      </c>
      <c r="H3183" s="152" t="str">
        <f>IFERROR(__xludf.DUMMYFUNCTION("""COMPUTED_VALUE"""),"ゆんける comic スピラ")</f>
        <v>ゆんける comic スピラ</v>
      </c>
      <c r="I3183" s="152" t="str">
        <f>IFERROR(__xludf.DUMMYFUNCTION("""COMPUTED_VALUE"""),"少女マンガ")</f>
        <v>少女マンガ</v>
      </c>
      <c r="J3183" s="157"/>
      <c r="K3183" s="157"/>
      <c r="L3183" s="152" t="str">
        <f>IFERROR(__xludf.DUMMYFUNCTION("""COMPUTED_VALUE"""),"ファンギルド")</f>
        <v>ファンギルド</v>
      </c>
      <c r="M3183" s="154">
        <f>IFERROR(__xludf.DUMMYFUNCTION("""COMPUTED_VALUE"""),45792.0)</f>
        <v>45792</v>
      </c>
      <c r="N3183" s="59">
        <f>IFERROR(__xludf.DUMMYFUNCTION("""COMPUTED_VALUE"""),45826.0)</f>
        <v>45826</v>
      </c>
      <c r="O3183" s="152"/>
      <c r="P3183" s="190" t="str">
        <f>IFERROR(__xludf.DUMMYFUNCTION("""COMPUTED_VALUE"""),"可")</f>
        <v>可</v>
      </c>
      <c r="Q3183" s="190"/>
      <c r="R3183" s="152"/>
      <c r="S3183" s="152" t="str">
        <f>IFERROR(__xludf.DUMMYFUNCTION("""COMPUTED_VALUE"""),"20250407_ファンギルド_予知夢を見た侯爵令嬢は婚約者様との未来を変えたい")</f>
        <v>20250407_ファンギルド_予知夢を見た侯爵令嬢は婚約者様との未来を変えたい</v>
      </c>
      <c r="T3183" s="152" t="str">
        <f>IFERROR(__xludf.DUMMYFUNCTION("""COMPUTED_VALUE"""),"格納済み")</f>
        <v>格納済み</v>
      </c>
      <c r="U3183" s="15" t="str">
        <f>IFERROR(__xludf.DUMMYFUNCTION("""COMPUTED_VALUE"""),"Ⓒゆんける/comic スピラ/ファンギルド")</f>
        <v>Ⓒゆんける/comic スピラ/ファンギルド</v>
      </c>
      <c r="V3183" s="8" t="str">
        <f>IFERROR(__xludf.DUMMYFUNCTION("""COMPUTED_VALUE"""),"「君と婚約者でいるのは、もう終わりにしようと思う」侯爵令嬢・リンジーは、見た夢が必ず現実になるという不思議な体質を持っている。そんな彼女はある日、長年の婚約者・マシューに婚約解消される夢を見てしまうのだった。さらに、彼が他の女性と楽しそうに話しているのを目撃したリンジーは「彼の幸せを邪魔するくらいなら」と自分から離れることを決意して――。“正夢令嬢”が幸せを掴むために奮闘するファンタジーラブ、ここに開幕！【※この作品は『一途に溺愛されて、幸せを掴み取ってみせますわ！異世界アンソロジーコミック　9巻』に収録"&amp;"されている作品と同一の内容を単話版として再編集したものです。】")</f>
        <v>「君と婚約者でいるのは、もう終わりにしようと思う」侯爵令嬢・リンジーは、見た夢が必ず現実になるという不思議な体質を持っている。そんな彼女はある日、長年の婚約者・マシューに婚約解消される夢を見てしまうのだった。さらに、彼が他の女性と楽しそうに話しているのを目撃したリンジーは「彼の幸せを邪魔するくらいなら」と自分から離れることを決意して――。“正夢令嬢”が幸せを掴むために奮闘するファンタジーラブ、ここに開幕！【※この作品は『一途に溺愛されて、幸せを掴み取ってみせますわ！異世界アンソロジーコミック　9巻』に収録されている作品と同一の内容を単話版として再編集したものです。】</v>
      </c>
      <c r="W3183" s="14"/>
      <c r="X3183" s="14" t="str">
        <f>IFERROR(__xludf.DUMMYFUNCTION("""COMPUTED_VALUE"""),"有")</f>
        <v>有</v>
      </c>
      <c r="Y3183" s="8" t="str">
        <f>IFERROR(__xludf.DUMMYFUNCTION("""COMPUTED_VALUE"""),"P7まで")</f>
        <v>P7まで</v>
      </c>
      <c r="Z3183" s="7"/>
      <c r="AA3183" s="7"/>
      <c r="AB3183" s="7"/>
    </row>
    <row r="3184" ht="15.75" customHeight="1">
      <c r="A3184" s="153">
        <f>IFERROR(__xludf.DUMMYFUNCTION("""COMPUTED_VALUE"""),5424.0)</f>
        <v>5424</v>
      </c>
      <c r="B3184" s="152" t="str">
        <f>IFERROR(__xludf.DUMMYFUNCTION("""COMPUTED_VALUE"""),"確定")</f>
        <v>確定</v>
      </c>
      <c r="C3184" s="154">
        <f>IFERROR(__xludf.DUMMYFUNCTION("""COMPUTED_VALUE"""),45754.0)</f>
        <v>45754</v>
      </c>
      <c r="D3184" s="154">
        <f>IFERROR(__xludf.DUMMYFUNCTION("""COMPUTED_VALUE"""),45755.0)</f>
        <v>45755</v>
      </c>
      <c r="E3184" s="158">
        <f>IFERROR(__xludf.DUMMYFUNCTION("""COMPUTED_VALUE"""),321447.0)</f>
        <v>321447</v>
      </c>
      <c r="F3184" s="159" t="str">
        <f>IFERROR(__xludf.DUMMYFUNCTION("""COMPUTED_VALUE"""),"復讐～イジメの果て～")</f>
        <v>復讐～イジメの果て～</v>
      </c>
      <c r="G3184" s="152" t="str">
        <f>IFERROR(__xludf.DUMMYFUNCTION("""COMPUTED_VALUE"""),"1～3")</f>
        <v>1～3</v>
      </c>
      <c r="H3184" s="152" t="str">
        <f>IFERROR(__xludf.DUMMYFUNCTION("""COMPUTED_VALUE"""),"WOOTAE4/KJH")</f>
        <v>WOOTAE4/KJH</v>
      </c>
      <c r="I3184" s="152" t="str">
        <f>IFERROR(__xludf.DUMMYFUNCTION("""COMPUTED_VALUE"""),"青年")</f>
        <v>青年</v>
      </c>
      <c r="J3184" s="157"/>
      <c r="K3184" s="157"/>
      <c r="L3184" s="152" t="str">
        <f>IFERROR(__xludf.DUMMYFUNCTION("""COMPUTED_VALUE"""),"Rush!")</f>
        <v>Rush!</v>
      </c>
      <c r="M3184" s="154">
        <f>IFERROR(__xludf.DUMMYFUNCTION("""COMPUTED_VALUE"""),45791.0)</f>
        <v>45791</v>
      </c>
      <c r="N3184" s="59">
        <f>IFERROR(__xludf.DUMMYFUNCTION("""COMPUTED_VALUE"""),45818.0)</f>
        <v>45818</v>
      </c>
      <c r="O3184" s="152"/>
      <c r="P3184" s="190" t="str">
        <f>IFERROR(__xludf.DUMMYFUNCTION("""COMPUTED_VALUE"""),"可")</f>
        <v>可</v>
      </c>
      <c r="Q3184" s="190"/>
      <c r="R3184" s="152"/>
      <c r="S3184" s="152" t="str">
        <f>IFERROR(__xludf.DUMMYFUNCTION("""COMPUTED_VALUE"""),"20250407_ファンギルド_復讐～イジメの果て～")</f>
        <v>20250407_ファンギルド_復讐～イジメの果て～</v>
      </c>
      <c r="T3184" s="152" t="str">
        <f>IFERROR(__xludf.DUMMYFUNCTION("""COMPUTED_VALUE"""),"格納済み")</f>
        <v>格納済み</v>
      </c>
      <c r="U3184" s="15" t="str">
        <f>IFERROR(__xludf.DUMMYFUNCTION("""COMPUTED_VALUE"""),"ⒸWOOTAE4/KJH/TOPTOON")</f>
        <v>ⒸWOOTAE4/KJH/TOPTOON</v>
      </c>
      <c r="V3184" s="8" t="str">
        <f>IFERROR(__xludf.DUMMYFUNCTION("""COMPUTED_VALUE"""),"両親を亡くし天涯孤独の疾風（はやて）は、クラスメイトの不良に目をつけられ地獄のような日々を送っていた。そんなある日、唯一手を差し伸べてくれた学級委員長の咲良を人質に取られ、疾風はビルから突き落とされ死ぬ──はずだった。目を覚ました疾風の前に現れたのは、両親の死の真相を知る謎の男。「俺がお前を拾ってやる」謎の男に導かれ弱い自分を切り捨てた疾風は、やがて復讐の炎に身を焦がす！イジメの果てに待つものとははたして──。【※この作品はTOPTOON JPで配信されている「イジメの果て」と同内容の作品です。】")</f>
        <v>両親を亡くし天涯孤独の疾風（はやて）は、クラスメイトの不良に目をつけられ地獄のような日々を送っていた。そんなある日、唯一手を差し伸べてくれた学級委員長の咲良を人質に取られ、疾風はビルから突き落とされ死ぬ──はずだった。目を覚ました疾風の前に現れたのは、両親の死の真相を知る謎の男。「俺がお前を拾ってやる」謎の男に導かれ弱い自分を切り捨てた疾風は、やがて復讐の炎に身を焦がす！イジメの果てに待つものとははたして──。【※この作品はTOPTOON JPで配信されている「イジメの果て」と同内容の作品です。】</v>
      </c>
      <c r="W3184" s="14"/>
      <c r="X3184" s="14" t="str">
        <f>IFERROR(__xludf.DUMMYFUNCTION("""COMPUTED_VALUE"""),"有")</f>
        <v>有</v>
      </c>
      <c r="Y3184" s="8" t="str">
        <f>IFERROR(__xludf.DUMMYFUNCTION("""COMPUTED_VALUE"""),"2025/5/27まで1巻無料")</f>
        <v>2025/5/27まで1巻無料</v>
      </c>
      <c r="Z3184" s="7"/>
      <c r="AA3184" s="7"/>
      <c r="AB3184" s="7"/>
    </row>
    <row r="3185" ht="15.75" customHeight="1">
      <c r="A3185" s="153">
        <f>IFERROR(__xludf.DUMMYFUNCTION("""COMPUTED_VALUE"""),5425.0)</f>
        <v>5425</v>
      </c>
      <c r="B3185" s="152" t="str">
        <f>IFERROR(__xludf.DUMMYFUNCTION("""COMPUTED_VALUE"""),"確定")</f>
        <v>確定</v>
      </c>
      <c r="C3185" s="154">
        <f>IFERROR(__xludf.DUMMYFUNCTION("""COMPUTED_VALUE"""),45754.0)</f>
        <v>45754</v>
      </c>
      <c r="D3185" s="154">
        <f>IFERROR(__xludf.DUMMYFUNCTION("""COMPUTED_VALUE"""),45755.0)</f>
        <v>45755</v>
      </c>
      <c r="E3185" s="158">
        <f>IFERROR(__xludf.DUMMYFUNCTION("""COMPUTED_VALUE"""),321451.0)</f>
        <v>321451</v>
      </c>
      <c r="F3185" s="159" t="str">
        <f>IFERROR(__xludf.DUMMYFUNCTION("""COMPUTED_VALUE"""),"猥談")</f>
        <v>猥談</v>
      </c>
      <c r="G3185" s="152" t="str">
        <f>IFERROR(__xludf.DUMMYFUNCTION("""COMPUTED_VALUE"""),"1～3")</f>
        <v>1～3</v>
      </c>
      <c r="H3185" s="152" t="str">
        <f>IFERROR(__xludf.DUMMYFUNCTION("""COMPUTED_VALUE"""),"TAIRA/honeyfruit")</f>
        <v>TAIRA/honeyfruit</v>
      </c>
      <c r="I3185" s="152" t="str">
        <f>IFERROR(__xludf.DUMMYFUNCTION("""COMPUTED_VALUE"""),"青年")</f>
        <v>青年</v>
      </c>
      <c r="J3185" s="157"/>
      <c r="K3185" s="157"/>
      <c r="L3185" s="152" t="str">
        <f>IFERROR(__xludf.DUMMYFUNCTION("""COMPUTED_VALUE"""),"Rush!")</f>
        <v>Rush!</v>
      </c>
      <c r="M3185" s="154">
        <f>IFERROR(__xludf.DUMMYFUNCTION("""COMPUTED_VALUE"""),45791.0)</f>
        <v>45791</v>
      </c>
      <c r="N3185" s="59">
        <f>IFERROR(__xludf.DUMMYFUNCTION("""COMPUTED_VALUE"""),45818.0)</f>
        <v>45818</v>
      </c>
      <c r="O3185" s="152"/>
      <c r="P3185" s="190" t="str">
        <f>IFERROR(__xludf.DUMMYFUNCTION("""COMPUTED_VALUE"""),"可")</f>
        <v>可</v>
      </c>
      <c r="Q3185" s="190"/>
      <c r="R3185" s="152"/>
      <c r="S3185" s="152" t="str">
        <f>IFERROR(__xludf.DUMMYFUNCTION("""COMPUTED_VALUE"""),"20250407_ファンギルド_猥談")</f>
        <v>20250407_ファンギルド_猥談</v>
      </c>
      <c r="T3185" s="152" t="str">
        <f>IFERROR(__xludf.DUMMYFUNCTION("""COMPUTED_VALUE"""),"格納済み")</f>
        <v>格納済み</v>
      </c>
      <c r="U3185" s="15" t="str">
        <f>IFERROR(__xludf.DUMMYFUNCTION("""COMPUTED_VALUE"""),"ⒸTAIRA/honeyfruit/TOPTOON")</f>
        <v>ⒸTAIRA/honeyfruit/TOPTOON</v>
      </c>
      <c r="V3185" s="8" t="str">
        <f>IFERROR(__xludf.DUMMYFUNCTION("""COMPUTED_VALUE"""),"人とは違った性癖を持つという共通点がきっかけで仲良くなった大学の元同級生6人組。久しぶりに集まることになり、いざペンションへ。昔から変わらない姿にすっかり学生時代の気分に戻った6人。やがて話題は徐々にエスカレートしていき…？「ゲームしようぜ。このビン回して逸脱エピソード話してくってのは？」そんな提案で始まったのは一人ずつ自分の猥談を話していくゲーム。もちろん反対する人なんているはずもなく──。「それで、おじさんは大きな手で私の服を脱がせて…」日常から逸脱した猥談を、あなたも聞いていきませんか？【※この作品"&amp;"はTOPTOON JPで配信されている「逸脱～猥談を聞かせてよ～」と同内容の作品です。】")</f>
        <v>人とは違った性癖を持つという共通点がきっかけで仲良くなった大学の元同級生6人組。久しぶりに集まることになり、いざペンションへ。昔から変わらない姿にすっかり学生時代の気分に戻った6人。やがて話題は徐々にエスカレートしていき…？「ゲームしようぜ。このビン回して逸脱エピソード話してくってのは？」そんな提案で始まったのは一人ずつ自分の猥談を話していくゲーム。もちろん反対する人なんているはずもなく──。「それで、おじさんは大きな手で私の服を脱がせて…」日常から逸脱した猥談を、あなたも聞いていきませんか？【※この作品はTOPTOON JPで配信されている「逸脱～猥談を聞かせてよ～」と同内容の作品です。】</v>
      </c>
      <c r="W3185" s="14"/>
      <c r="X3185" s="14" t="str">
        <f>IFERROR(__xludf.DUMMYFUNCTION("""COMPUTED_VALUE"""),"有")</f>
        <v>有</v>
      </c>
      <c r="Y3185" s="8" t="str">
        <f>IFERROR(__xludf.DUMMYFUNCTION("""COMPUTED_VALUE"""),"2025/5/27まで1巻無料")</f>
        <v>2025/5/27まで1巻無料</v>
      </c>
      <c r="Z3185" s="7"/>
      <c r="AA3185" s="7"/>
      <c r="AB3185" s="7"/>
    </row>
    <row r="3186" ht="15.75" customHeight="1">
      <c r="A3186" s="153">
        <f>IFERROR(__xludf.DUMMYFUNCTION("""COMPUTED_VALUE"""),5426.0)</f>
        <v>5426</v>
      </c>
      <c r="B3186" s="152" t="str">
        <f>IFERROR(__xludf.DUMMYFUNCTION("""COMPUTED_VALUE"""),"確定")</f>
        <v>確定</v>
      </c>
      <c r="C3186" s="154">
        <f>IFERROR(__xludf.DUMMYFUNCTION("""COMPUTED_VALUE"""),45754.0)</f>
        <v>45754</v>
      </c>
      <c r="D3186" s="154">
        <f>IFERROR(__xludf.DUMMYFUNCTION("""COMPUTED_VALUE"""),45755.0)</f>
        <v>45755</v>
      </c>
      <c r="E3186" s="157">
        <f>IFERROR(__xludf.DUMMYFUNCTION("""COMPUTED_VALUE"""),321452.0)</f>
        <v>321452</v>
      </c>
      <c r="F3186" s="152" t="str">
        <f>IFERROR(__xludf.DUMMYFUNCTION("""COMPUTED_VALUE"""),"誘惑レッスン")</f>
        <v>誘惑レッスン</v>
      </c>
      <c r="G3186" s="152" t="str">
        <f>IFERROR(__xludf.DUMMYFUNCTION("""COMPUTED_VALUE"""),"1～4")</f>
        <v>1～4</v>
      </c>
      <c r="H3186" s="152" t="str">
        <f>IFERROR(__xludf.DUMMYFUNCTION("""COMPUTED_VALUE"""),"柊碧織/MAKADAMIN")</f>
        <v>柊碧織/MAKADAMIN</v>
      </c>
      <c r="I3186" s="152" t="str">
        <f>IFERROR(__xludf.DUMMYFUNCTION("""COMPUTED_VALUE"""),"青年")</f>
        <v>青年</v>
      </c>
      <c r="J3186" s="157"/>
      <c r="K3186" s="157"/>
      <c r="L3186" s="152" t="str">
        <f>IFERROR(__xludf.DUMMYFUNCTION("""COMPUTED_VALUE"""),"Rush!")</f>
        <v>Rush!</v>
      </c>
      <c r="M3186" s="154">
        <f>IFERROR(__xludf.DUMMYFUNCTION("""COMPUTED_VALUE"""),45807.0)</f>
        <v>45807</v>
      </c>
      <c r="N3186" s="59">
        <f>IFERROR(__xludf.DUMMYFUNCTION("""COMPUTED_VALUE"""),45834.0)</f>
        <v>45834</v>
      </c>
      <c r="O3186" s="152"/>
      <c r="P3186" s="190" t="str">
        <f>IFERROR(__xludf.DUMMYFUNCTION("""COMPUTED_VALUE"""),"可")</f>
        <v>可</v>
      </c>
      <c r="Q3186" s="190"/>
      <c r="R3186" s="152"/>
      <c r="S3186" s="152" t="str">
        <f>IFERROR(__xludf.DUMMYFUNCTION("""COMPUTED_VALUE"""),"20250527_ファンギルド_誘惑レッスン")</f>
        <v>20250527_ファンギルド_誘惑レッスン</v>
      </c>
      <c r="T3186" s="152" t="str">
        <f>IFERROR(__xludf.DUMMYFUNCTION("""COMPUTED_VALUE"""),"格納済み")</f>
        <v>格納済み</v>
      </c>
      <c r="U3186" s="9" t="str">
        <f>IFERROR(__xludf.DUMMYFUNCTION("""COMPUTED_VALUE"""),"ⒸAori Hiragi/MAKADAMIN")</f>
        <v>ⒸAori Hiragi/MAKADAMIN</v>
      </c>
      <c r="V3186" s="8" t="str">
        <f>IFERROR(__xludf.DUMMYFUNCTION("""COMPUTED_VALUE"""),"「センセッ…早く続き、しよ？」親元を離れ、一人暮らしをする大学生・保（たもつ）。生活費に困った彼が見つけたのは、豪華な屋敷での住み込み家庭教師のアルバイトだった。しかし、教える相手はセクシーな娘たち―― さらに、その母親は妖艶な美魔女で……！？――この家に、男は自分ひとりだけ？勉強一筋で、女性にまったく免疫のない保。だが、そんな彼を待ち受けていたのは、甘くて危険な 「誘惑レッスン」 だった……！？")</f>
        <v>「センセッ…早く続き、しよ？」親元を離れ、一人暮らしをする大学生・保（たもつ）。生活費に困った彼が見つけたのは、豪華な屋敷での住み込み家庭教師のアルバイトだった。しかし、教える相手はセクシーな娘たち―― さらに、その母親は妖艶な美魔女で……！？――この家に、男は自分ひとりだけ？勉強一筋で、女性にまったく免疫のない保。だが、そんな彼を待ち受けていたのは、甘くて危険な 「誘惑レッスン」 だった……！？</v>
      </c>
      <c r="W3186" s="8" t="str">
        <f>IFERROR(__xludf.DUMMYFUNCTION("""COMPUTED_VALUE"""),"#REF!")</f>
        <v>#REF!</v>
      </c>
      <c r="X3186" s="8" t="str">
        <f>IFERROR(__xludf.DUMMYFUNCTION("""COMPUTED_VALUE"""),"有")</f>
        <v>有</v>
      </c>
      <c r="Y3186" s="8" t="str">
        <f>IFERROR(__xludf.DUMMYFUNCTION("""COMPUTED_VALUE"""),"2025/6/26まで1巻無料")</f>
        <v>2025/6/26まで1巻無料</v>
      </c>
      <c r="Z3186" s="7"/>
      <c r="AA3186" s="7"/>
      <c r="AB3186" s="7"/>
    </row>
    <row r="3187" ht="15.75" customHeight="1">
      <c r="A3187" s="153">
        <f>IFERROR(__xludf.DUMMYFUNCTION("""COMPUTED_VALUE"""),5427.0)</f>
        <v>5427</v>
      </c>
      <c r="B3187" s="152" t="str">
        <f>IFERROR(__xludf.DUMMYFUNCTION("""COMPUTED_VALUE"""),"確定")</f>
        <v>確定</v>
      </c>
      <c r="C3187" s="154">
        <f>IFERROR(__xludf.DUMMYFUNCTION("""COMPUTED_VALUE"""),45754.0)</f>
        <v>45754</v>
      </c>
      <c r="D3187" s="154">
        <f>IFERROR(__xludf.DUMMYFUNCTION("""COMPUTED_VALUE"""),45755.0)</f>
        <v>45755</v>
      </c>
      <c r="E3187" s="157">
        <f>IFERROR(__xludf.DUMMYFUNCTION("""COMPUTED_VALUE"""),321453.0)</f>
        <v>321453</v>
      </c>
      <c r="F3187" s="152" t="str">
        <f>IFERROR(__xludf.DUMMYFUNCTION("""COMPUTED_VALUE"""),"勇者転職～教師になった途端、あらゆる美女から迫られてます!?")</f>
        <v>勇者転職～教師になった途端、あらゆる美女から迫られてます!?</v>
      </c>
      <c r="G3187" s="152" t="str">
        <f>IFERROR(__xludf.DUMMYFUNCTION("""COMPUTED_VALUE"""),"1～3")</f>
        <v>1～3</v>
      </c>
      <c r="H3187" s="152" t="str">
        <f>IFERROR(__xludf.DUMMYFUNCTION("""COMPUTED_VALUE"""),"kijung/NATOYA/hoero")</f>
        <v>kijung/NATOYA/hoero</v>
      </c>
      <c r="I3187" s="152" t="str">
        <f>IFERROR(__xludf.DUMMYFUNCTION("""COMPUTED_VALUE"""),"青年")</f>
        <v>青年</v>
      </c>
      <c r="J3187" s="157"/>
      <c r="K3187" s="157"/>
      <c r="L3187" s="152" t="str">
        <f>IFERROR(__xludf.DUMMYFUNCTION("""COMPUTED_VALUE"""),"Rush!")</f>
        <v>Rush!</v>
      </c>
      <c r="M3187" s="154">
        <f>IFERROR(__xludf.DUMMYFUNCTION("""COMPUTED_VALUE"""),45805.0)</f>
        <v>45805</v>
      </c>
      <c r="N3187" s="59">
        <f>IFERROR(__xludf.DUMMYFUNCTION("""COMPUTED_VALUE"""),45832.0)</f>
        <v>45832</v>
      </c>
      <c r="O3187" s="152"/>
      <c r="P3187" s="190" t="str">
        <f>IFERROR(__xludf.DUMMYFUNCTION("""COMPUTED_VALUE"""),"可")</f>
        <v>可</v>
      </c>
      <c r="Q3187" s="190"/>
      <c r="R3187" s="152"/>
      <c r="S3187" s="152" t="str">
        <f>IFERROR(__xludf.DUMMYFUNCTION("""COMPUTED_VALUE"""),"20250407_ファンギルド_勇者転職～教師になった途端、あらゆる美女から迫られてます!")</f>
        <v>20250407_ファンギルド_勇者転職～教師になった途端、あらゆる美女から迫られてます!</v>
      </c>
      <c r="T3187" s="152" t="str">
        <f>IFERROR(__xludf.DUMMYFUNCTION("""COMPUTED_VALUE"""),"格納済み")</f>
        <v>格納済み</v>
      </c>
      <c r="U3187" s="9" t="str">
        <f>IFERROR(__xludf.DUMMYFUNCTION("""COMPUTED_VALUE"""),"Ⓒkijung/NATOYA/hoero/TOPTOON")</f>
        <v>Ⓒkijung/NATOYA/hoero/TOPTOON</v>
      </c>
      <c r="V3187" s="8" t="str">
        <f>IFERROR(__xludf.DUMMYFUNCTION("""COMPUTED_VALUE"""),"異世界へと召喚されてしまった青年・ナルヒコ。強大な力を持っていた彼は勇者となり、最愛の妻も得て順風満帆な日々を過ごしていた。そんなある日、妻の一族にかけられた呪いを解くため、呪いの主である女神ととある""賭け""をするが、その影響で勇者の力を奪われてしまう。女神討伐に失敗し命からがら祖国へ戻るナルヒコだったが、愛する妻から告げられたのは""離婚""の一言であった。突如として全てを失ったナルヒコはかつての仲間から誘われ、心機一転アカデミーの教師に転職するが――待っていたのは、美女から迫られ続けるハーレム生活"&amp;"!?どん底から始まる異世界セカンドライフスタート！")</f>
        <v>異世界へと召喚されてしまった青年・ナルヒコ。強大な力を持っていた彼は勇者となり、最愛の妻も得て順風満帆な日々を過ごしていた。そんなある日、妻の一族にかけられた呪いを解くため、呪いの主である女神ととある"賭け"をするが、その影響で勇者の力を奪われてしまう。女神討伐に失敗し命からがら祖国へ戻るナルヒコだったが、愛する妻から告げられたのは"離婚"の一言であった。突如として全てを失ったナルヒコはかつての仲間から誘われ、心機一転アカデミーの教師に転職するが――待っていたのは、美女から迫られ続けるハーレム生活!?どん底から始まる異世界セカンドライフスタート！</v>
      </c>
      <c r="W3187" s="8" t="str">
        <f>IFERROR(__xludf.DUMMYFUNCTION("""COMPUTED_VALUE"""),"#REF!")</f>
        <v>#REF!</v>
      </c>
      <c r="X3187" s="8" t="str">
        <f>IFERROR(__xludf.DUMMYFUNCTION("""COMPUTED_VALUE"""),"有")</f>
        <v>有</v>
      </c>
      <c r="Y3187" s="8" t="str">
        <f>IFERROR(__xludf.DUMMYFUNCTION("""COMPUTED_VALUE"""),"2025/6/24まで1巻無料")</f>
        <v>2025/6/24まで1巻無料</v>
      </c>
      <c r="Z3187" s="7"/>
      <c r="AA3187" s="7"/>
      <c r="AB3187" s="7"/>
    </row>
    <row r="3188" ht="15.75" customHeight="1">
      <c r="A3188" s="153">
        <f>IFERROR(__xludf.DUMMYFUNCTION("""COMPUTED_VALUE"""),5428.0)</f>
        <v>5428</v>
      </c>
      <c r="B3188" s="152" t="str">
        <f>IFERROR(__xludf.DUMMYFUNCTION("""COMPUTED_VALUE"""),"確定")</f>
        <v>確定</v>
      </c>
      <c r="C3188" s="154">
        <f>IFERROR(__xludf.DUMMYFUNCTION("""COMPUTED_VALUE"""),45754.0)</f>
        <v>45754</v>
      </c>
      <c r="D3188" s="154">
        <f>IFERROR(__xludf.DUMMYFUNCTION("""COMPUTED_VALUE"""),45755.0)</f>
        <v>45755</v>
      </c>
      <c r="E3188" s="158">
        <f>IFERROR(__xludf.DUMMYFUNCTION("""COMPUTED_VALUE"""),321454.0)</f>
        <v>321454</v>
      </c>
      <c r="F3188" s="159" t="str">
        <f>IFERROR(__xludf.DUMMYFUNCTION("""COMPUTED_VALUE"""),"カラダ・バイブレーション")</f>
        <v>カラダ・バイブレーション</v>
      </c>
      <c r="G3188" s="152" t="str">
        <f>IFERROR(__xludf.DUMMYFUNCTION("""COMPUTED_VALUE"""),"1～4")</f>
        <v>1～4</v>
      </c>
      <c r="H3188" s="152" t="str">
        <f>IFERROR(__xludf.DUMMYFUNCTION("""COMPUTED_VALUE"""),"Jun")</f>
        <v>Jun</v>
      </c>
      <c r="I3188" s="152" t="str">
        <f>IFERROR(__xludf.DUMMYFUNCTION("""COMPUTED_VALUE"""),"青年")</f>
        <v>青年</v>
      </c>
      <c r="J3188" s="157"/>
      <c r="K3188" s="157"/>
      <c r="L3188" s="152" t="str">
        <f>IFERROR(__xludf.DUMMYFUNCTION("""COMPUTED_VALUE"""),"Rush!")</f>
        <v>Rush!</v>
      </c>
      <c r="M3188" s="154">
        <f>IFERROR(__xludf.DUMMYFUNCTION("""COMPUTED_VALUE"""),45800.0)</f>
        <v>45800</v>
      </c>
      <c r="N3188" s="59">
        <f>IFERROR(__xludf.DUMMYFUNCTION("""COMPUTED_VALUE"""),45827.0)</f>
        <v>45827</v>
      </c>
      <c r="O3188" s="152"/>
      <c r="P3188" s="190" t="str">
        <f>IFERROR(__xludf.DUMMYFUNCTION("""COMPUTED_VALUE"""),"可")</f>
        <v>可</v>
      </c>
      <c r="Q3188" s="190"/>
      <c r="R3188" s="152"/>
      <c r="S3188" s="152" t="str">
        <f>IFERROR(__xludf.DUMMYFUNCTION("""COMPUTED_VALUE"""),"20250407_ファンギルド_カラダ・バイブレーション")</f>
        <v>20250407_ファンギルド_カラダ・バイブレーション</v>
      </c>
      <c r="T3188" s="152" t="str">
        <f>IFERROR(__xludf.DUMMYFUNCTION("""COMPUTED_VALUE"""),"格納済み")</f>
        <v>格納済み</v>
      </c>
      <c r="U3188" s="15" t="str">
        <f>IFERROR(__xludf.DUMMYFUNCTION("""COMPUTED_VALUE"""),"ⒸJun/TOPTOON")</f>
        <v>ⒸJun/TOPTOON</v>
      </c>
      <c r="V3188" s="8" t="str">
        <f>IFERROR(__xludf.DUMMYFUNCTION("""COMPUTED_VALUE"""),"「その手でもっと…触って？」幼い頃から手や体の一部が震えてしまう聖太は、成長するにつれてこれは自分に授けられた能力だと考えるようになった。いつかきっと誰かの役に立つはず！そう思っていたが…その気配は成人してもいまだにナシ。使い道といえば、ただその手で一人虚しく自分を慰めるくらいだった。そんなある日、バイト先の美人店長・美奈子の肩をマッサージする事になったのだが…そこで聖太の能力はついに開花することに…！？刺激的で心地よすぎる振動に魅せられた美奈子のカラダは我慢の限界で――！！")</f>
        <v>「その手でもっと…触って？」幼い頃から手や体の一部が震えてしまう聖太は、成長するにつれてこれは自分に授けられた能力だと考えるようになった。いつかきっと誰かの役に立つはず！そう思っていたが…その気配は成人してもいまだにナシ。使い道といえば、ただその手で一人虚しく自分を慰めるくらいだった。そんなある日、バイト先の美人店長・美奈子の肩をマッサージする事になったのだが…そこで聖太の能力はついに開花することに…！？刺激的で心地よすぎる振動に魅せられた美奈子のカラダは我慢の限界で――！！</v>
      </c>
      <c r="W3188" s="14"/>
      <c r="X3188" s="14" t="str">
        <f>IFERROR(__xludf.DUMMYFUNCTION("""COMPUTED_VALUE"""),"有")</f>
        <v>有</v>
      </c>
      <c r="Y3188" s="8" t="str">
        <f>IFERROR(__xludf.DUMMYFUNCTION("""COMPUTED_VALUE"""),"2025/6/5まで1巻無料")</f>
        <v>2025/6/5まで1巻無料</v>
      </c>
      <c r="Z3188" s="7"/>
      <c r="AA3188" s="7"/>
      <c r="AB3188" s="7"/>
    </row>
    <row r="3189" ht="15.75" customHeight="1">
      <c r="A3189" s="153">
        <f>IFERROR(__xludf.DUMMYFUNCTION("""COMPUTED_VALUE"""),5429.0)</f>
        <v>5429</v>
      </c>
      <c r="B3189" s="152" t="str">
        <f>IFERROR(__xludf.DUMMYFUNCTION("""COMPUTED_VALUE"""),"確定")</f>
        <v>確定</v>
      </c>
      <c r="C3189" s="154">
        <f>IFERROR(__xludf.DUMMYFUNCTION("""COMPUTED_VALUE"""),45754.0)</f>
        <v>45754</v>
      </c>
      <c r="D3189" s="154">
        <f>IFERROR(__xludf.DUMMYFUNCTION("""COMPUTED_VALUE"""),45755.0)</f>
        <v>45755</v>
      </c>
      <c r="E3189" s="157">
        <f>IFERROR(__xludf.DUMMYFUNCTION("""COMPUTED_VALUE"""),321455.0)</f>
        <v>321455</v>
      </c>
      <c r="F3189" s="152" t="str">
        <f>IFERROR(__xludf.DUMMYFUNCTION("""COMPUTED_VALUE"""),"キスした猫の正体は魔法にかけられた氷の貴公子でした。「撫でてください」と迫られても困ります！")</f>
        <v>キスした猫の正体は魔法にかけられた氷の貴公子でした。「撫でてください」と迫られても困ります！</v>
      </c>
      <c r="G3189" s="153">
        <f>IFERROR(__xludf.DUMMYFUNCTION("""COMPUTED_VALUE"""),1.0)</f>
        <v>1</v>
      </c>
      <c r="H3189" s="152" t="str">
        <f>IFERROR(__xludf.DUMMYFUNCTION("""COMPUTED_VALUE"""),"もぐす/柳葉うら")</f>
        <v>もぐす/柳葉うら</v>
      </c>
      <c r="I3189" s="152" t="str">
        <f>IFERROR(__xludf.DUMMYFUNCTION("""COMPUTED_VALUE"""),"少女")</f>
        <v>少女</v>
      </c>
      <c r="J3189" s="157"/>
      <c r="K3189" s="157"/>
      <c r="L3189" s="152" t="str">
        <f>IFERROR(__xludf.DUMMYFUNCTION("""COMPUTED_VALUE"""),"ファンギルド")</f>
        <v>ファンギルド</v>
      </c>
      <c r="M3189" s="154">
        <f>IFERROR(__xludf.DUMMYFUNCTION("""COMPUTED_VALUE"""),45806.0)</f>
        <v>45806</v>
      </c>
      <c r="N3189" s="59">
        <f>IFERROR(__xludf.DUMMYFUNCTION("""COMPUTED_VALUE"""),45840.0)</f>
        <v>45840</v>
      </c>
      <c r="O3189" s="152"/>
      <c r="P3189" s="190" t="str">
        <f>IFERROR(__xludf.DUMMYFUNCTION("""COMPUTED_VALUE"""),"可")</f>
        <v>可</v>
      </c>
      <c r="Q3189" s="190"/>
      <c r="R3189" s="152"/>
      <c r="S3189" s="152" t="str">
        <f>IFERROR(__xludf.DUMMYFUNCTION("""COMPUTED_VALUE"""),"20250407_ファンギルド_キスした猫の正体は魔法にかけられた氷の貴公子でした。「撫でてください」と迫られても困ります！")</f>
        <v>20250407_ファンギルド_キスした猫の正体は魔法にかけられた氷の貴公子でした。「撫でてください」と迫られても困ります！</v>
      </c>
      <c r="T3189" s="152" t="str">
        <f>IFERROR(__xludf.DUMMYFUNCTION("""COMPUTED_VALUE"""),"格納済み")</f>
        <v>格納済み</v>
      </c>
      <c r="U3189" s="9" t="str">
        <f>IFERROR(__xludf.DUMMYFUNCTION("""COMPUTED_VALUE"""),"Ⓒもぐす/柳葉うら/ファンギルド")</f>
        <v>Ⓒもぐす/柳葉うら/ファンギルド</v>
      </c>
      <c r="V3189" s="8" t="str">
        <f>IFERROR(__xludf.DUMMYFUNCTION("""COMPUTED_VALUE"""),"王女付きの真面目な侍女ベハティは、傲慢な騎士からの嫌がらせに悩まされていた。ある日庭園で出会った美しい猫に癒やされて思わずキスしてしまうと、その猫の正体は冷酷と噂される若き魔導士ウォード卿だった！？魔法がとけて人間に戻った彼は一転、「お願いです　撫でてください」と甘えてくる愛が重めの一途男子に豹変！？氷の貴公子×堅物侍女のちぐはぐな恋の攻防戦が始まるーー！※本作は『一途に溺愛されて、幸せを掴み取ってみせますわ！異世界アンソロジーコミック 9巻』収録作品を再編集したものです。")</f>
        <v>王女付きの真面目な侍女ベハティは、傲慢な騎士からの嫌がらせに悩まされていた。ある日庭園で出会った美しい猫に癒やされて思わずキスしてしまうと、その猫の正体は冷酷と噂される若き魔導士ウォード卿だった！？魔法がとけて人間に戻った彼は一転、「お願いです　撫でてください」と甘えてくる愛が重めの一途男子に豹変！？氷の貴公子×堅物侍女のちぐはぐな恋の攻防戦が始まるーー！※本作は『一途に溺愛されて、幸せを掴み取ってみせますわ！異世界アンソロジーコミック 9巻』収録作品を再編集したものです。</v>
      </c>
      <c r="W3189" s="8" t="str">
        <f>IFERROR(__xludf.DUMMYFUNCTION("""COMPUTED_VALUE"""),"#REF!")</f>
        <v>#REF!</v>
      </c>
      <c r="X3189" s="8" t="str">
        <f>IFERROR(__xludf.DUMMYFUNCTION("""COMPUTED_VALUE"""),"有")</f>
        <v>有</v>
      </c>
      <c r="Y3189" s="8" t="str">
        <f>IFERROR(__xludf.DUMMYFUNCTION("""COMPUTED_VALUE"""),"P14まで")</f>
        <v>P14まで</v>
      </c>
      <c r="Z3189" s="7"/>
      <c r="AA3189" s="7"/>
      <c r="AB3189" s="7"/>
    </row>
    <row r="3190" ht="15.75" customHeight="1">
      <c r="A3190" s="153">
        <f>IFERROR(__xludf.DUMMYFUNCTION("""COMPUTED_VALUE"""),5430.0)</f>
        <v>5430</v>
      </c>
      <c r="B3190" s="152" t="str">
        <f>IFERROR(__xludf.DUMMYFUNCTION("""COMPUTED_VALUE"""),"確定")</f>
        <v>確定</v>
      </c>
      <c r="C3190" s="154">
        <f>IFERROR(__xludf.DUMMYFUNCTION("""COMPUTED_VALUE"""),45754.0)</f>
        <v>45754</v>
      </c>
      <c r="D3190" s="154">
        <f>IFERROR(__xludf.DUMMYFUNCTION("""COMPUTED_VALUE"""),45755.0)</f>
        <v>45755</v>
      </c>
      <c r="E3190" s="157">
        <f>IFERROR(__xludf.DUMMYFUNCTION("""COMPUTED_VALUE"""),321459.0)</f>
        <v>321459</v>
      </c>
      <c r="F3190" s="152" t="str">
        <f>IFERROR(__xludf.DUMMYFUNCTION("""COMPUTED_VALUE"""),"絶対記憶で華麗に論破いたしましょう")</f>
        <v>絶対記憶で華麗に論破いたしましょう</v>
      </c>
      <c r="G3190" s="153">
        <f>IFERROR(__xludf.DUMMYFUNCTION("""COMPUTED_VALUE"""),1.0)</f>
        <v>1</v>
      </c>
      <c r="H3190" s="152" t="str">
        <f>IFERROR(__xludf.DUMMYFUNCTION("""COMPUTED_VALUE"""),"みけだて/FUNA/comic スピラ")</f>
        <v>みけだて/FUNA/comic スピラ</v>
      </c>
      <c r="I3190" s="152" t="str">
        <f>IFERROR(__xludf.DUMMYFUNCTION("""COMPUTED_VALUE"""),"少女")</f>
        <v>少女</v>
      </c>
      <c r="J3190" s="157"/>
      <c r="K3190" s="157"/>
      <c r="L3190" s="152" t="str">
        <f>IFERROR(__xludf.DUMMYFUNCTION("""COMPUTED_VALUE"""),"ファンギルド")</f>
        <v>ファンギルド</v>
      </c>
      <c r="M3190" s="154">
        <f>IFERROR(__xludf.DUMMYFUNCTION("""COMPUTED_VALUE"""),45806.0)</f>
        <v>45806</v>
      </c>
      <c r="N3190" s="59">
        <f>IFERROR(__xludf.DUMMYFUNCTION("""COMPUTED_VALUE"""),45840.0)</f>
        <v>45840</v>
      </c>
      <c r="O3190" s="152"/>
      <c r="P3190" s="190" t="str">
        <f>IFERROR(__xludf.DUMMYFUNCTION("""COMPUTED_VALUE"""),"可")</f>
        <v>可</v>
      </c>
      <c r="Q3190" s="190"/>
      <c r="R3190" s="152"/>
      <c r="S3190" s="152" t="str">
        <f>IFERROR(__xludf.DUMMYFUNCTION("""COMPUTED_VALUE"""),"20250407_ファンギルド_絶対記憶で華麗に論破いたしましょう")</f>
        <v>20250407_ファンギルド_絶対記憶で華麗に論破いたしましょう</v>
      </c>
      <c r="T3190" s="152" t="str">
        <f>IFERROR(__xludf.DUMMYFUNCTION("""COMPUTED_VALUE"""),"格納済み")</f>
        <v>格納済み</v>
      </c>
      <c r="U3190" s="9" t="str">
        <f>IFERROR(__xludf.DUMMYFUNCTION("""COMPUTED_VALUE"""),"Ⓒみけだて/FUNA/ファンギルド")</f>
        <v>Ⓒみけだて/FUNA/ファンギルド</v>
      </c>
      <c r="V3190" s="8" t="str">
        <f>IFERROR(__xludf.DUMMYFUNCTION("""COMPUTED_VALUE"""),"「アドリアーネ！お前との婚約は破棄する！」伯爵令嬢のアドリアーネは、婚約者であり第二王子のジルベルトからパーティー会場で突然そう告げられ、いじめの冤罪までかけられる。自分より優秀なアドリアーネが許せなかった彼は、まるで当てつけのように別の令嬢の肩を抱いた。これまで散々バカにされても耐えてきたアドリアーネだったが、ついに腹の中で何かを決意する…。そしてとある理由でいつもは瞑っていた目を見開く時、一同は真実を知ることとなるーー！※本作は『華麗にざまぁして、幸せを掴み取ってみせますわ！異世界アンソロジーコミック"&amp;"2巻』収録作品を再編集したものです。")</f>
        <v>「アドリアーネ！お前との婚約は破棄する！」伯爵令嬢のアドリアーネは、婚約者であり第二王子のジルベルトからパーティー会場で突然そう告げられ、いじめの冤罪までかけられる。自分より優秀なアドリアーネが許せなかった彼は、まるで当てつけのように別の令嬢の肩を抱いた。これまで散々バカにされても耐えてきたアドリアーネだったが、ついに腹の中で何かを決意する…。そしてとある理由でいつもは瞑っていた目を見開く時、一同は真実を知ることとなるーー！※本作は『華麗にざまぁして、幸せを掴み取ってみせますわ！異世界アンソロジーコミック2巻』収録作品を再編集したものです。</v>
      </c>
      <c r="W3190" s="8" t="str">
        <f>IFERROR(__xludf.DUMMYFUNCTION("""COMPUTED_VALUE"""),"#REF!")</f>
        <v>#REF!</v>
      </c>
      <c r="X3190" s="8" t="str">
        <f>IFERROR(__xludf.DUMMYFUNCTION("""COMPUTED_VALUE"""),"有")</f>
        <v>有</v>
      </c>
      <c r="Y3190" s="8" t="str">
        <f>IFERROR(__xludf.DUMMYFUNCTION("""COMPUTED_VALUE"""),"P7まで")</f>
        <v>P7まで</v>
      </c>
      <c r="Z3190" s="7"/>
      <c r="AA3190" s="7"/>
      <c r="AB3190" s="7"/>
    </row>
    <row r="3191" ht="15.75" customHeight="1">
      <c r="A3191" s="153">
        <f>IFERROR(__xludf.DUMMYFUNCTION("""COMPUTED_VALUE"""),5431.0)</f>
        <v>5431</v>
      </c>
      <c r="B3191" s="152" t="str">
        <f>IFERROR(__xludf.DUMMYFUNCTION("""COMPUTED_VALUE"""),"確定")</f>
        <v>確定</v>
      </c>
      <c r="C3191" s="154">
        <f>IFERROR(__xludf.DUMMYFUNCTION("""COMPUTED_VALUE"""),45754.0)</f>
        <v>45754</v>
      </c>
      <c r="D3191" s="154">
        <f>IFERROR(__xludf.DUMMYFUNCTION("""COMPUTED_VALUE"""),45755.0)</f>
        <v>45755</v>
      </c>
      <c r="E3191" s="157">
        <f>IFERROR(__xludf.DUMMYFUNCTION("""COMPUTED_VALUE"""),321460.0)</f>
        <v>321460</v>
      </c>
      <c r="F3191" s="152" t="str">
        <f>IFERROR(__xludf.DUMMYFUNCTION("""COMPUTED_VALUE"""),"あくまでわたくしの考えなのだけど。～嫌味たらしい公爵令嬢の口癖～")</f>
        <v>あくまでわたくしの考えなのだけど。～嫌味たらしい公爵令嬢の口癖～</v>
      </c>
      <c r="G3191" s="153">
        <f>IFERROR(__xludf.DUMMYFUNCTION("""COMPUTED_VALUE"""),1.0)</f>
        <v>1</v>
      </c>
      <c r="H3191" s="152" t="str">
        <f>IFERROR(__xludf.DUMMYFUNCTION("""COMPUTED_VALUE"""),"神崎しおり/鈴宮")</f>
        <v>神崎しおり/鈴宮</v>
      </c>
      <c r="I3191" s="152" t="str">
        <f>IFERROR(__xludf.DUMMYFUNCTION("""COMPUTED_VALUE"""),"女性")</f>
        <v>女性</v>
      </c>
      <c r="J3191" s="157"/>
      <c r="K3191" s="157"/>
      <c r="L3191" s="152" t="str">
        <f>IFERROR(__xludf.DUMMYFUNCTION("""COMPUTED_VALUE"""),"ファンギルド")</f>
        <v>ファンギルド</v>
      </c>
      <c r="M3191" s="154">
        <f>IFERROR(__xludf.DUMMYFUNCTION("""COMPUTED_VALUE"""),45806.0)</f>
        <v>45806</v>
      </c>
      <c r="N3191" s="59">
        <f>IFERROR(__xludf.DUMMYFUNCTION("""COMPUTED_VALUE"""),45840.0)</f>
        <v>45840</v>
      </c>
      <c r="O3191" s="152"/>
      <c r="P3191" s="190" t="str">
        <f>IFERROR(__xludf.DUMMYFUNCTION("""COMPUTED_VALUE"""),"可")</f>
        <v>可</v>
      </c>
      <c r="Q3191" s="190"/>
      <c r="R3191" s="152"/>
      <c r="S3191" s="152" t="str">
        <f>IFERROR(__xludf.DUMMYFUNCTION("""COMPUTED_VALUE"""),"20250407_ファンギルド_あくまでわたくしの考えなのだけど。～嫌味たらしい公爵令嬢の口癖～")</f>
        <v>20250407_ファンギルド_あくまでわたくしの考えなのだけど。～嫌味たらしい公爵令嬢の口癖～</v>
      </c>
      <c r="T3191" s="152" t="str">
        <f>IFERROR(__xludf.DUMMYFUNCTION("""COMPUTED_VALUE"""),"格納済み")</f>
        <v>格納済み</v>
      </c>
      <c r="U3191" s="9" t="str">
        <f>IFERROR(__xludf.DUMMYFUNCTION("""COMPUTED_VALUE"""),"Ⓒ神崎しおり/鈴宮/ファンギルド")</f>
        <v>Ⓒ神崎しおり/鈴宮/ファンギルド</v>
      </c>
      <c r="V3191" s="8" t="str">
        <f>IFERROR(__xludf.DUMMYFUNCTION("""COMPUTED_VALUE"""),"「いい子アピールをされているようでむず痒くなりますの」伯爵令嬢・アメリーのことが心底気に入らない公爵令嬢のエズメは、アメリーに向けていつも嫌味を言っていた。しかもアメリーに反論されそうになると、「貴女に言ったわけではございませんのよ？あくまでわたくしの考えですわ」と躱してしまうのだ。そんななか、自分のせいで周りの人まで悪く言われたことに怒りを覚えるアメリ―。彼女を見下し嫌味を言い続けていたエズメは、果たしてどうなるのか――。【※この作品は『華麗にざまぁして、幸せを掴み取ってみせますわ！異世界アンソロジーコ"&amp;"ミック　2巻』に収録されている作品と同一の内容を単話版として再編集したものです。】")</f>
        <v>「いい子アピールをされているようでむず痒くなりますの」伯爵令嬢・アメリーのことが心底気に入らない公爵令嬢のエズメは、アメリーに向けていつも嫌味を言っていた。しかもアメリーに反論されそうになると、「貴女に言ったわけではございませんのよ？あくまでわたくしの考えですわ」と躱してしまうのだ。そんななか、自分のせいで周りの人まで悪く言われたことに怒りを覚えるアメリ―。彼女を見下し嫌味を言い続けていたエズメは、果たしてどうなるのか――。【※この作品は『華麗にざまぁして、幸せを掴み取ってみせますわ！異世界アンソロジーコミック　2巻』に収録されている作品と同一の内容を単話版として再編集したものです。】</v>
      </c>
      <c r="W3191" s="8" t="str">
        <f>IFERROR(__xludf.DUMMYFUNCTION("""COMPUTED_VALUE"""),"#REF!")</f>
        <v>#REF!</v>
      </c>
      <c r="X3191" s="8" t="str">
        <f>IFERROR(__xludf.DUMMYFUNCTION("""COMPUTED_VALUE"""),"有")</f>
        <v>有</v>
      </c>
      <c r="Y3191" s="8" t="str">
        <f>IFERROR(__xludf.DUMMYFUNCTION("""COMPUTED_VALUE"""),"P7まで")</f>
        <v>P7まで</v>
      </c>
      <c r="Z3191" s="7"/>
      <c r="AA3191" s="7"/>
      <c r="AB3191" s="7"/>
    </row>
    <row r="3192" ht="15.75" customHeight="1">
      <c r="A3192" s="153">
        <f>IFERROR(__xludf.DUMMYFUNCTION("""COMPUTED_VALUE"""),5432.0)</f>
        <v>5432</v>
      </c>
      <c r="B3192" s="152" t="str">
        <f>IFERROR(__xludf.DUMMYFUNCTION("""COMPUTED_VALUE"""),"確定")</f>
        <v>確定</v>
      </c>
      <c r="C3192" s="154">
        <f>IFERROR(__xludf.DUMMYFUNCTION("""COMPUTED_VALUE"""),45754.0)</f>
        <v>45754</v>
      </c>
      <c r="D3192" s="154">
        <f>IFERROR(__xludf.DUMMYFUNCTION("""COMPUTED_VALUE"""),45755.0)</f>
        <v>45755</v>
      </c>
      <c r="E3192" s="157">
        <f>IFERROR(__xludf.DUMMYFUNCTION("""COMPUTED_VALUE"""),324260.0)</f>
        <v>324260</v>
      </c>
      <c r="F3192" s="152" t="str">
        <f>IFERROR(__xludf.DUMMYFUNCTION("""COMPUTED_VALUE"""),"復讐の招待状～僕をいじめてた君たちへ～")</f>
        <v>復讐の招待状～僕をいじめてた君たちへ～</v>
      </c>
      <c r="G3192" s="152" t="str">
        <f>IFERROR(__xludf.DUMMYFUNCTION("""COMPUTED_VALUE"""),"1～3")</f>
        <v>1～3</v>
      </c>
      <c r="H3192" s="152" t="str">
        <f>IFERROR(__xludf.DUMMYFUNCTION("""COMPUTED_VALUE"""),"まつくろ／アオイシュン")</f>
        <v>まつくろ／アオイシュン</v>
      </c>
      <c r="I3192" s="152" t="str">
        <f>IFERROR(__xludf.DUMMYFUNCTION("""COMPUTED_VALUE"""),"青年")</f>
        <v>青年</v>
      </c>
      <c r="J3192" s="157"/>
      <c r="K3192" s="157"/>
      <c r="L3192" s="152" t="str">
        <f>IFERROR(__xludf.DUMMYFUNCTION("""COMPUTED_VALUE"""),"ファンギルド")</f>
        <v>ファンギルド</v>
      </c>
      <c r="M3192" s="154">
        <f>IFERROR(__xludf.DUMMYFUNCTION("""COMPUTED_VALUE"""),45801.0)</f>
        <v>45801</v>
      </c>
      <c r="N3192" s="59">
        <f>IFERROR(__xludf.DUMMYFUNCTION("""COMPUTED_VALUE"""),45863.0)</f>
        <v>45863</v>
      </c>
      <c r="O3192" s="152"/>
      <c r="P3192" s="190" t="str">
        <f>IFERROR(__xludf.DUMMYFUNCTION("""COMPUTED_VALUE"""),"可")</f>
        <v>可</v>
      </c>
      <c r="Q3192" s="190"/>
      <c r="R3192" s="152"/>
      <c r="S3192" s="152" t="str">
        <f>IFERROR(__xludf.DUMMYFUNCTION("""COMPUTED_VALUE"""),"20250407_ファンギルド_復讐の招待状～僕をいじめてた君たちへ")</f>
        <v>20250407_ファンギルド_復讐の招待状～僕をいじめてた君たちへ</v>
      </c>
      <c r="T3192" s="152" t="str">
        <f>IFERROR(__xludf.DUMMYFUNCTION("""COMPUTED_VALUE"""),"格納済み")</f>
        <v>格納済み</v>
      </c>
      <c r="U3192" s="9" t="str">
        <f>IFERROR(__xludf.DUMMYFUNCTION("""COMPUTED_VALUE"""),"Ⓒまつくろ/アオイシュン/ファンギルド")</f>
        <v>Ⓒまつくろ/アオイシュン/ファンギルド</v>
      </c>
      <c r="V3192" s="8" t="str">
        <f>IFERROR(__xludf.DUMMYFUNCTION("""COMPUTED_VALUE"""),"弁当屋の息子・桜木優（さくらぎ・ゆう）の夢は、父の弁当屋を継ぐことだった――あの日事件が起きるまでは。クラスメイトのイジメを注意したことをきっかけに、一宮たちの標的となった優。エスカレートする嫌がらせは、ついに家族にまで及び、優の姉と父は命を落とす。自らも絶望の底に突き落とされた優は、すべての真実を知ったとき、笑い飛ばす一宮に対して“人生を懸けた復讐”を誓う――！")</f>
        <v>弁当屋の息子・桜木優（さくらぎ・ゆう）の夢は、父の弁当屋を継ぐことだった――あの日事件が起きるまでは。クラスメイトのイジメを注意したことをきっかけに、一宮たちの標的となった優。エスカレートする嫌がらせは、ついに家族にまで及び、優の姉と父は命を落とす。自らも絶望の底に突き落とされた優は、すべての真実を知ったとき、笑い飛ばす一宮に対して“人生を懸けた復讐”を誓う――！</v>
      </c>
      <c r="W3192" s="8" t="str">
        <f>IFERROR(__xludf.DUMMYFUNCTION("""COMPUTED_VALUE"""),"#REF!")</f>
        <v>#REF!</v>
      </c>
      <c r="X3192" s="8" t="str">
        <f>IFERROR(__xludf.DUMMYFUNCTION("""COMPUTED_VALUE"""),"有")</f>
        <v>有</v>
      </c>
      <c r="Y3192" s="8" t="str">
        <f>IFERROR(__xludf.DUMMYFUNCTION("""COMPUTED_VALUE"""),"2025/6/6まで1巻無料")</f>
        <v>2025/6/6まで1巻無料</v>
      </c>
      <c r="Z3192" s="7"/>
      <c r="AA3192" s="7"/>
      <c r="AB3192" s="7"/>
    </row>
    <row r="3193" ht="15.75" customHeight="1">
      <c r="A3193" s="153">
        <f>IFERROR(__xludf.DUMMYFUNCTION("""COMPUTED_VALUE"""),5433.0)</f>
        <v>5433</v>
      </c>
      <c r="B3193" s="152" t="str">
        <f>IFERROR(__xludf.DUMMYFUNCTION("""COMPUTED_VALUE"""),"確定")</f>
        <v>確定</v>
      </c>
      <c r="C3193" s="154">
        <f>IFERROR(__xludf.DUMMYFUNCTION("""COMPUTED_VALUE"""),45754.0)</f>
        <v>45754</v>
      </c>
      <c r="D3193" s="154">
        <f>IFERROR(__xludf.DUMMYFUNCTION("""COMPUTED_VALUE"""),45755.0)</f>
        <v>45755</v>
      </c>
      <c r="E3193" s="155">
        <f>IFERROR(__xludf.DUMMYFUNCTION("""COMPUTED_VALUE"""),321462.0)</f>
        <v>321462</v>
      </c>
      <c r="F3193" s="156" t="str">
        <f>IFERROR(__xludf.DUMMYFUNCTION("""COMPUTED_VALUE"""),"マザコン夫へ復讐を")</f>
        <v>マザコン夫へ復讐を</v>
      </c>
      <c r="G3193" s="153">
        <f>IFERROR(__xludf.DUMMYFUNCTION("""COMPUTED_VALUE"""),1.0)</f>
        <v>1</v>
      </c>
      <c r="H3193" s="152" t="str">
        <f>IFERROR(__xludf.DUMMYFUNCTION("""COMPUTED_VALUE"""),"秋重学")</f>
        <v>秋重学</v>
      </c>
      <c r="I3193" s="152" t="str">
        <f>IFERROR(__xludf.DUMMYFUNCTION("""COMPUTED_VALUE"""),"青年")</f>
        <v>青年</v>
      </c>
      <c r="J3193" s="157"/>
      <c r="K3193" s="157"/>
      <c r="L3193" s="152" t="str">
        <f>IFERROR(__xludf.DUMMYFUNCTION("""COMPUTED_VALUE"""),"ファンギルド")</f>
        <v>ファンギルド</v>
      </c>
      <c r="M3193" s="154">
        <f>IFERROR(__xludf.DUMMYFUNCTION("""COMPUTED_VALUE"""),45801.0)</f>
        <v>45801</v>
      </c>
      <c r="N3193" s="59">
        <f>IFERROR(__xludf.DUMMYFUNCTION("""COMPUTED_VALUE"""),45835.0)</f>
        <v>45835</v>
      </c>
      <c r="O3193" s="152"/>
      <c r="P3193" s="190" t="str">
        <f>IFERROR(__xludf.DUMMYFUNCTION("""COMPUTED_VALUE"""),"可")</f>
        <v>可</v>
      </c>
      <c r="Q3193" s="190"/>
      <c r="R3193" s="152"/>
      <c r="S3193" s="152" t="str">
        <f>IFERROR(__xludf.DUMMYFUNCTION("""COMPUTED_VALUE"""),"20250407_ファンギルド_マザコン夫へ復讐を")</f>
        <v>20250407_ファンギルド_マザコン夫へ復讐を</v>
      </c>
      <c r="T3193" s="152" t="str">
        <f>IFERROR(__xludf.DUMMYFUNCTION("""COMPUTED_VALUE"""),"格納済み")</f>
        <v>格納済み</v>
      </c>
      <c r="U3193" s="15" t="str">
        <f>IFERROR(__xludf.DUMMYFUNCTION("""COMPUTED_VALUE"""),"Ⓒ秋重学/ファンギルド")</f>
        <v>Ⓒ秋重学/ファンギルド</v>
      </c>
      <c r="V3193" s="8" t="str">
        <f>IFERROR(__xludf.DUMMYFUNCTION("""COMPUTED_VALUE"""),"結婚して10年。由貴（ゆき）は、妊活に非協力的な夫・徹（とおる）と、子どもを望む義母との間で苦しんでいた。ある日、仕事を早く終えて帰宅した由貴の目に飛び込んできたのは、想像を超える“夫と義母”の姿――。そして次の瞬間、由貴は震えるような“ある事実”を知ってしまう…。")</f>
        <v>結婚して10年。由貴（ゆき）は、妊活に非協力的な夫・徹（とおる）と、子どもを望む義母との間で苦しんでいた。ある日、仕事を早く終えて帰宅した由貴の目に飛び込んできたのは、想像を超える“夫と義母”の姿――。そして次の瞬間、由貴は震えるような“ある事実”を知ってしまう…。</v>
      </c>
      <c r="W3193" s="14"/>
      <c r="X3193" s="14" t="str">
        <f>IFERROR(__xludf.DUMMYFUNCTION("""COMPUTED_VALUE"""),"有")</f>
        <v>有</v>
      </c>
      <c r="Y3193" s="8" t="str">
        <f>IFERROR(__xludf.DUMMYFUNCTION("""COMPUTED_VALUE"""),"P5まで")</f>
        <v>P5まで</v>
      </c>
      <c r="Z3193" s="7"/>
      <c r="AA3193" s="7"/>
      <c r="AB3193" s="7"/>
    </row>
    <row r="3194" ht="15.75" customHeight="1">
      <c r="A3194" s="153">
        <f>IFERROR(__xludf.DUMMYFUNCTION("""COMPUTED_VALUE"""),5434.0)</f>
        <v>5434</v>
      </c>
      <c r="B3194" s="152" t="str">
        <f>IFERROR(__xludf.DUMMYFUNCTION("""COMPUTED_VALUE"""),"確定")</f>
        <v>確定</v>
      </c>
      <c r="C3194" s="154">
        <f>IFERROR(__xludf.DUMMYFUNCTION("""COMPUTED_VALUE"""),45754.0)</f>
        <v>45754</v>
      </c>
      <c r="D3194" s="154">
        <f>IFERROR(__xludf.DUMMYFUNCTION("""COMPUTED_VALUE"""),45755.0)</f>
        <v>45755</v>
      </c>
      <c r="E3194" s="157">
        <f>IFERROR(__xludf.DUMMYFUNCTION("""COMPUTED_VALUE"""),321463.0)</f>
        <v>321463</v>
      </c>
      <c r="F3194" s="152" t="str">
        <f>IFERROR(__xludf.DUMMYFUNCTION("""COMPUTED_VALUE"""),"自由を奪われた不遇令嬢が愛を知るまで")</f>
        <v>自由を奪われた不遇令嬢が愛を知るまで</v>
      </c>
      <c r="G3194" s="153">
        <f>IFERROR(__xludf.DUMMYFUNCTION("""COMPUTED_VALUE"""),1.0)</f>
        <v>1</v>
      </c>
      <c r="H3194" s="152" t="str">
        <f>IFERROR(__xludf.DUMMYFUNCTION("""COMPUTED_VALUE"""),"白ろに/新井福")</f>
        <v>白ろに/新井福</v>
      </c>
      <c r="I3194" s="152" t="str">
        <f>IFERROR(__xludf.DUMMYFUNCTION("""COMPUTED_VALUE"""),"少女")</f>
        <v>少女</v>
      </c>
      <c r="J3194" s="157"/>
      <c r="K3194" s="157"/>
      <c r="L3194" s="152" t="str">
        <f>IFERROR(__xludf.DUMMYFUNCTION("""COMPUTED_VALUE"""),"ファンギルド")</f>
        <v>ファンギルド</v>
      </c>
      <c r="M3194" s="154">
        <f>IFERROR(__xludf.DUMMYFUNCTION("""COMPUTED_VALUE"""),45806.0)</f>
        <v>45806</v>
      </c>
      <c r="N3194" s="59">
        <f>IFERROR(__xludf.DUMMYFUNCTION("""COMPUTED_VALUE"""),45840.0)</f>
        <v>45840</v>
      </c>
      <c r="O3194" s="152"/>
      <c r="P3194" s="190" t="str">
        <f>IFERROR(__xludf.DUMMYFUNCTION("""COMPUTED_VALUE"""),"可")</f>
        <v>可</v>
      </c>
      <c r="Q3194" s="190"/>
      <c r="R3194" s="152"/>
      <c r="S3194" s="152" t="str">
        <f>IFERROR(__xludf.DUMMYFUNCTION("""COMPUTED_VALUE"""),"20250407_ファンギルド_自由を奪われた不遇令嬢が愛を知るまで")</f>
        <v>20250407_ファンギルド_自由を奪われた不遇令嬢が愛を知るまで</v>
      </c>
      <c r="T3194" s="152" t="str">
        <f>IFERROR(__xludf.DUMMYFUNCTION("""COMPUTED_VALUE"""),"格納済み")</f>
        <v>格納済み</v>
      </c>
      <c r="U3194" s="9" t="str">
        <f>IFERROR(__xludf.DUMMYFUNCTION("""COMPUTED_VALUE"""),"Ⓒ白ろに/新井福/ファンギルド")</f>
        <v>Ⓒ白ろに/新井福/ファンギルド</v>
      </c>
      <c r="V3194" s="8" t="str">
        <f>IFERROR(__xludf.DUMMYFUNCTION("""COMPUTED_VALUE"""),"義家族に虐げられて生きてきたフローレンスの心を救ったのは政略結婚相手のレギウスだった。しかし、義家族につけられた傷を偶然見られてしまったことで、優しかったレギウスの態度が一変、婚約破棄の予告までされてしまい―…。※この作品は『一途に溺愛されて、幸せを掴み取ってみせますわ！異世界アンソロジーコミック 9巻』に収録されている作品と同一の内容を単話版として再編集したものとなります。")</f>
        <v>義家族に虐げられて生きてきたフローレンスの心を救ったのは政略結婚相手のレギウスだった。しかし、義家族につけられた傷を偶然見られてしまったことで、優しかったレギウスの態度が一変、婚約破棄の予告までされてしまい―…。※この作品は『一途に溺愛されて、幸せを掴み取ってみせますわ！異世界アンソロジーコミック 9巻』に収録されている作品と同一の内容を単話版として再編集したものとなります。</v>
      </c>
      <c r="W3194" s="8" t="str">
        <f>IFERROR(__xludf.DUMMYFUNCTION("""COMPUTED_VALUE"""),"#REF!")</f>
        <v>#REF!</v>
      </c>
      <c r="X3194" s="8" t="str">
        <f>IFERROR(__xludf.DUMMYFUNCTION("""COMPUTED_VALUE"""),"有")</f>
        <v>有</v>
      </c>
      <c r="Y3194" s="8" t="str">
        <f>IFERROR(__xludf.DUMMYFUNCTION("""COMPUTED_VALUE"""),"P7まで")</f>
        <v>P7まで</v>
      </c>
      <c r="Z3194" s="7"/>
      <c r="AA3194" s="7"/>
      <c r="AB3194" s="7"/>
    </row>
    <row r="3195" ht="15.75" customHeight="1">
      <c r="A3195" s="153">
        <f>IFERROR(__xludf.DUMMYFUNCTION("""COMPUTED_VALUE"""),5435.0)</f>
        <v>5435</v>
      </c>
      <c r="B3195" s="152" t="str">
        <f>IFERROR(__xludf.DUMMYFUNCTION("""COMPUTED_VALUE"""),"確定")</f>
        <v>確定</v>
      </c>
      <c r="C3195" s="154">
        <f>IFERROR(__xludf.DUMMYFUNCTION("""COMPUTED_VALUE"""),45754.0)</f>
        <v>45754</v>
      </c>
      <c r="D3195" s="154">
        <f>IFERROR(__xludf.DUMMYFUNCTION("""COMPUTED_VALUE"""),45755.0)</f>
        <v>45755</v>
      </c>
      <c r="E3195" s="157">
        <f>IFERROR(__xludf.DUMMYFUNCTION("""COMPUTED_VALUE"""),321464.0)</f>
        <v>321464</v>
      </c>
      <c r="F3195" s="152" t="str">
        <f>IFERROR(__xludf.DUMMYFUNCTION("""COMPUTED_VALUE"""),"婚約破棄された氷の令嬢は逆行して真実の愛を見つける")</f>
        <v>婚約破棄された氷の令嬢は逆行して真実の愛を見つける</v>
      </c>
      <c r="G3195" s="153">
        <f>IFERROR(__xludf.DUMMYFUNCTION("""COMPUTED_VALUE"""),1.0)</f>
        <v>1</v>
      </c>
      <c r="H3195" s="152" t="str">
        <f>IFERROR(__xludf.DUMMYFUNCTION("""COMPUTED_VALUE"""),"福田深/志波咲良/comic スピラ")</f>
        <v>福田深/志波咲良/comic スピラ</v>
      </c>
      <c r="I3195" s="152" t="str">
        <f>IFERROR(__xludf.DUMMYFUNCTION("""COMPUTED_VALUE"""),"少女")</f>
        <v>少女</v>
      </c>
      <c r="J3195" s="157"/>
      <c r="K3195" s="157"/>
      <c r="L3195" s="152" t="str">
        <f>IFERROR(__xludf.DUMMYFUNCTION("""COMPUTED_VALUE"""),"ファンギルド")</f>
        <v>ファンギルド</v>
      </c>
      <c r="M3195" s="154">
        <f>IFERROR(__xludf.DUMMYFUNCTION("""COMPUTED_VALUE"""),45806.0)</f>
        <v>45806</v>
      </c>
      <c r="N3195" s="59">
        <f>IFERROR(__xludf.DUMMYFUNCTION("""COMPUTED_VALUE"""),45840.0)</f>
        <v>45840</v>
      </c>
      <c r="O3195" s="152"/>
      <c r="P3195" s="190" t="str">
        <f>IFERROR(__xludf.DUMMYFUNCTION("""COMPUTED_VALUE"""),"可")</f>
        <v>可</v>
      </c>
      <c r="Q3195" s="190"/>
      <c r="R3195" s="152"/>
      <c r="S3195" s="152" t="str">
        <f>IFERROR(__xludf.DUMMYFUNCTION("""COMPUTED_VALUE"""),"20250407_ファンギルド_婚約破棄された氷の令嬢は逆行して真実の愛を見つける")</f>
        <v>20250407_ファンギルド_婚約破棄された氷の令嬢は逆行して真実の愛を見つける</v>
      </c>
      <c r="T3195" s="152" t="str">
        <f>IFERROR(__xludf.DUMMYFUNCTION("""COMPUTED_VALUE"""),"格納済み")</f>
        <v>格納済み</v>
      </c>
      <c r="U3195" s="9" t="str">
        <f>IFERROR(__xludf.DUMMYFUNCTION("""COMPUTED_VALUE"""),"Ⓒ福田深/志波咲良/ファンギルド")</f>
        <v>Ⓒ福田深/志波咲良/ファンギルド</v>
      </c>
      <c r="V3195" s="8" t="str">
        <f>IFERROR(__xludf.DUMMYFUNCTION("""COMPUTED_VALUE"""),"婚約者暗殺未遂の濡れ衣を着せられ、処刑された伯爵令嬢ミリナ。世界を凍らせてしまった彼女は、気づけば過去へと逆行していた――。裏切ったのは最愛の双子の妹であり、もう誰も信じられないミリナの前に現れたのは前世では全く関わりのなかった帝国第一王子アレン。凍った心を溶かすのは、彼のまっすぐな言葉と優しさで……？婚約破棄からの逆行！氷の令嬢が運命を変える、シリアス×溺愛ファンタジー！")</f>
        <v>婚約者暗殺未遂の濡れ衣を着せられ、処刑された伯爵令嬢ミリナ。世界を凍らせてしまった彼女は、気づけば過去へと逆行していた――。裏切ったのは最愛の双子の妹であり、もう誰も信じられないミリナの前に現れたのは前世では全く関わりのなかった帝国第一王子アレン。凍った心を溶かすのは、彼のまっすぐな言葉と優しさで……？婚約破棄からの逆行！氷の令嬢が運命を変える、シリアス×溺愛ファンタジー！</v>
      </c>
      <c r="W3195" s="8" t="str">
        <f>IFERROR(__xludf.DUMMYFUNCTION("""COMPUTED_VALUE"""),"#REF!")</f>
        <v>#REF!</v>
      </c>
      <c r="X3195" s="8" t="str">
        <f>IFERROR(__xludf.DUMMYFUNCTION("""COMPUTED_VALUE"""),"有")</f>
        <v>有</v>
      </c>
      <c r="Y3195" s="8" t="str">
        <f>IFERROR(__xludf.DUMMYFUNCTION("""COMPUTED_VALUE"""),"P9まで")</f>
        <v>P9まで</v>
      </c>
      <c r="Z3195" s="7"/>
      <c r="AA3195" s="7"/>
      <c r="AB3195" s="7"/>
    </row>
    <row r="3196" ht="15.75" customHeight="1">
      <c r="A3196" s="153">
        <f>IFERROR(__xludf.DUMMYFUNCTION("""COMPUTED_VALUE"""),5436.0)</f>
        <v>5436</v>
      </c>
      <c r="B3196" s="152" t="str">
        <f>IFERROR(__xludf.DUMMYFUNCTION("""COMPUTED_VALUE"""),"確定")</f>
        <v>確定</v>
      </c>
      <c r="C3196" s="154">
        <f>IFERROR(__xludf.DUMMYFUNCTION("""COMPUTED_VALUE"""),45754.0)</f>
        <v>45754</v>
      </c>
      <c r="D3196" s="154">
        <f>IFERROR(__xludf.DUMMYFUNCTION("""COMPUTED_VALUE"""),45755.0)</f>
        <v>45755</v>
      </c>
      <c r="E3196" s="158">
        <f>IFERROR(__xludf.DUMMYFUNCTION("""COMPUTED_VALUE"""),321931.0)</f>
        <v>321931</v>
      </c>
      <c r="F3196" s="159" t="str">
        <f>IFERROR(__xludf.DUMMYFUNCTION("""COMPUTED_VALUE"""),"欲にまみれたこの街で")</f>
        <v>欲にまみれたこの街で</v>
      </c>
      <c r="G3196" s="152" t="str">
        <f>IFERROR(__xludf.DUMMYFUNCTION("""COMPUTED_VALUE"""),"1～4")</f>
        <v>1～4</v>
      </c>
      <c r="H3196" s="152" t="str">
        <f>IFERROR(__xludf.DUMMYFUNCTION("""COMPUTED_VALUE"""),"nunnya/yuwol")</f>
        <v>nunnya/yuwol</v>
      </c>
      <c r="I3196" s="152" t="str">
        <f>IFERROR(__xludf.DUMMYFUNCTION("""COMPUTED_VALUE"""),"青年")</f>
        <v>青年</v>
      </c>
      <c r="J3196" s="157"/>
      <c r="K3196" s="157"/>
      <c r="L3196" s="152" t="str">
        <f>IFERROR(__xludf.DUMMYFUNCTION("""COMPUTED_VALUE"""),"Rush!")</f>
        <v>Rush!</v>
      </c>
      <c r="M3196" s="154">
        <f>IFERROR(__xludf.DUMMYFUNCTION("""COMPUTED_VALUE"""),45791.0)</f>
        <v>45791</v>
      </c>
      <c r="N3196" s="59">
        <f>IFERROR(__xludf.DUMMYFUNCTION("""COMPUTED_VALUE"""),45881.0)</f>
        <v>45881</v>
      </c>
      <c r="O3196" s="152"/>
      <c r="P3196" s="164" t="str">
        <f>IFERROR(__xludf.DUMMYFUNCTION("""COMPUTED_VALUE"""),"可")</f>
        <v>可</v>
      </c>
      <c r="Q3196" s="166"/>
      <c r="R3196" s="152"/>
      <c r="S3196" s="152" t="str">
        <f>IFERROR(__xludf.DUMMYFUNCTION("""COMPUTED_VALUE"""),"20250407_ファンギルド_欲にまみれたこの街で")</f>
        <v>20250407_ファンギルド_欲にまみれたこの街で</v>
      </c>
      <c r="T3196" s="152" t="str">
        <f>IFERROR(__xludf.DUMMYFUNCTION("""COMPUTED_VALUE"""),"格納済み")</f>
        <v>格納済み</v>
      </c>
      <c r="U3196" s="15" t="str">
        <f>IFERROR(__xludf.DUMMYFUNCTION("""COMPUTED_VALUE"""),"Ⓒnunnya/yuwol/TOPTOON")</f>
        <v>Ⓒnunnya/yuwol/TOPTOON</v>
      </c>
      <c r="V3196" s="8" t="str">
        <f>IFERROR(__xludf.DUMMYFUNCTION("""COMPUTED_VALUE"""),"――人は誰しも、体の奥底に欲望を秘めている。とある事情から、下品な欲望と怒号が飛び交う街の片隅に身を置く響平。女を楽しみ、暴力を横目に酒を食らう…そんな日々が響平は嫌いではなかった。いつものように怠惰な一日を過ごしていたある日、飲み屋の裏で暴力を振るわれていた店員を気まぐれで助けたが…それは学生時代に酷いいじめに遭っていた同級生の香澄だった――。香澄との再会をきっかけに、響平の心の奥底で眠っていた欲望が再び動き始める。")</f>
        <v>――人は誰しも、体の奥底に欲望を秘めている。とある事情から、下品な欲望と怒号が飛び交う街の片隅に身を置く響平。女を楽しみ、暴力を横目に酒を食らう…そんな日々が響平は嫌いではなかった。いつものように怠惰な一日を過ごしていたある日、飲み屋の裏で暴力を振るわれていた店員を気まぐれで助けたが…それは学生時代に酷いいじめに遭っていた同級生の香澄だった――。香澄との再会をきっかけに、響平の心の奥底で眠っていた欲望が再び動き始める。</v>
      </c>
      <c r="W3196" s="14"/>
      <c r="X3196" s="14" t="str">
        <f>IFERROR(__xludf.DUMMYFUNCTION("""COMPUTED_VALUE"""),"有")</f>
        <v>有</v>
      </c>
      <c r="Y3196" s="8" t="str">
        <f>IFERROR(__xludf.DUMMYFUNCTION("""COMPUTED_VALUE"""),"2025/5/27まで1巻無料")</f>
        <v>2025/5/27まで1巻無料</v>
      </c>
      <c r="Z3196" s="7"/>
      <c r="AA3196" s="7"/>
      <c r="AB3196" s="7"/>
    </row>
    <row r="3197" ht="15.75" customHeight="1">
      <c r="A3197" s="153">
        <f>IFERROR(__xludf.DUMMYFUNCTION("""COMPUTED_VALUE"""),5438.0)</f>
        <v>5438</v>
      </c>
      <c r="B3197" s="152" t="str">
        <f>IFERROR(__xludf.DUMMYFUNCTION("""COMPUTED_VALUE"""),"確定")</f>
        <v>確定</v>
      </c>
      <c r="C3197" s="154">
        <f>IFERROR(__xludf.DUMMYFUNCTION("""COMPUTED_VALUE"""),45754.0)</f>
        <v>45754</v>
      </c>
      <c r="D3197" s="154">
        <f>IFERROR(__xludf.DUMMYFUNCTION("""COMPUTED_VALUE"""),45755.0)</f>
        <v>45755</v>
      </c>
      <c r="E3197" s="162">
        <f>IFERROR(__xludf.DUMMYFUNCTION("""COMPUTED_VALUE"""),302083.0)</f>
        <v>302083</v>
      </c>
      <c r="F3197" s="156" t="str">
        <f>IFERROR(__xludf.DUMMYFUNCTION("""COMPUTED_VALUE"""),"ワルでも恋はしたい")</f>
        <v>ワルでも恋はしたい</v>
      </c>
      <c r="G3197" s="152" t="str">
        <f>IFERROR(__xludf.DUMMYFUNCTION("""COMPUTED_VALUE"""),"1～3")</f>
        <v>1～3</v>
      </c>
      <c r="H3197" s="152" t="str">
        <f>IFERROR(__xludf.DUMMYFUNCTION("""COMPUTED_VALUE"""),"いつきまこと")</f>
        <v>いつきまこと</v>
      </c>
      <c r="I3197" s="152" t="str">
        <f>IFERROR(__xludf.DUMMYFUNCTION("""COMPUTED_VALUE"""),"BLマンガ")</f>
        <v>BLマンガ</v>
      </c>
      <c r="J3197" s="157"/>
      <c r="K3197" s="152" t="str">
        <f>IFERROR(__xludf.DUMMYFUNCTION("""COMPUTED_VALUE"""),"Ficus")</f>
        <v>Ficus</v>
      </c>
      <c r="L3197" s="152" t="str">
        <f>IFERROR(__xludf.DUMMYFUNCTION("""COMPUTED_VALUE"""),"シーモアコミックス")</f>
        <v>シーモアコミックス</v>
      </c>
      <c r="M3197" s="154">
        <f>IFERROR(__xludf.DUMMYFUNCTION("""COMPUTED_VALUE"""),45787.0)</f>
        <v>45787</v>
      </c>
      <c r="N3197" s="23">
        <f>IFERROR(__xludf.DUMMYFUNCTION("""COMPUTED_VALUE"""),45939.66666666667)</f>
        <v>45939.66667</v>
      </c>
      <c r="O3197" s="152"/>
      <c r="P3197" s="190" t="str">
        <f>IFERROR(__xludf.DUMMYFUNCTION("""COMPUTED_VALUE"""),"可")</f>
        <v>可</v>
      </c>
      <c r="Q3197" s="190"/>
      <c r="R3197" s="152"/>
      <c r="S3197" s="152" t="str">
        <f>IFERROR(__xludf.DUMMYFUNCTION("""COMPUTED_VALUE"""),"20250407_シーモアコミックス_ワルでも恋はしたい")</f>
        <v>20250407_シーモアコミックス_ワルでも恋はしたい</v>
      </c>
      <c r="T3197" s="152" t="str">
        <f>IFERROR(__xludf.DUMMYFUNCTION("""COMPUTED_VALUE"""),"格納済み")</f>
        <v>格納済み</v>
      </c>
      <c r="U3197" s="15" t="str">
        <f>IFERROR(__xludf.DUMMYFUNCTION("""COMPUTED_VALUE"""),"(C) いつきまこと/シーモアコミックス")</f>
        <v>(C) いつきまこと/シーモアコミックス</v>
      </c>
      <c r="V3197" s="8" t="str">
        <f>IFERROR(__xludf.DUMMYFUNCTION("""COMPUTED_VALUE"""),"大学へ入学し1ヶ月経つも、未だに友達の一人もいない佐伯琉斗（さえきると）。
高校時代、とんでもないワルだった琉斗は、心を入れ替え猛勉強の末に大学へ入ったが、一匹狼だった彼は友達の作り方さえ知らなかったのだった…。ところが、そんな彼の前に有坂瞬（ありさかしゅん）という爽やかイケメンが現れる！ 同級生との会話という未知との遭遇に、ドギマギしっぱなしの琉斗はーー…？
元一匹狼な不良の陰キャ大学生生活スタート！ 初めてばかりの経験には、もちろん恋も含まれて…♪【フィカス】")</f>
        <v>大学へ入学し1ヶ月経つも、未だに友達の一人もいない佐伯琉斗（さえきると）。
高校時代、とんでもないワルだった琉斗は、心を入れ替え猛勉強の末に大学へ入ったが、一匹狼だった彼は友達の作り方さえ知らなかったのだった…。ところが、そんな彼の前に有坂瞬（ありさかしゅん）という爽やかイケメンが現れる！ 同級生との会話という未知との遭遇に、ドギマギしっぱなしの琉斗はーー…？
元一匹狼な不良の陰キャ大学生生活スタート！ 初めてばかりの経験には、もちろん恋も含まれて…♪【フィカス】</v>
      </c>
      <c r="W3197" s="14"/>
      <c r="X3197" s="14" t="str">
        <f>IFERROR(__xludf.DUMMYFUNCTION("""COMPUTED_VALUE"""),"有")</f>
        <v>有</v>
      </c>
      <c r="Y3197" s="8" t="str">
        <f>IFERROR(__xludf.DUMMYFUNCTION("""COMPUTED_VALUE"""),"P7まで")</f>
        <v>P7まで</v>
      </c>
      <c r="Z3197" s="7"/>
      <c r="AA3197" s="7"/>
      <c r="AB3197" s="7"/>
    </row>
    <row r="3198" ht="15.75" customHeight="1">
      <c r="A3198" s="153">
        <f>IFERROR(__xludf.DUMMYFUNCTION("""COMPUTED_VALUE"""),5439.0)</f>
        <v>5439</v>
      </c>
      <c r="B3198" s="152" t="str">
        <f>IFERROR(__xludf.DUMMYFUNCTION("""COMPUTED_VALUE"""),"確定")</f>
        <v>確定</v>
      </c>
      <c r="C3198" s="154">
        <f>IFERROR(__xludf.DUMMYFUNCTION("""COMPUTED_VALUE"""),45754.0)</f>
        <v>45754</v>
      </c>
      <c r="D3198" s="154">
        <f>IFERROR(__xludf.DUMMYFUNCTION("""COMPUTED_VALUE"""),45755.0)</f>
        <v>45755</v>
      </c>
      <c r="E3198" s="162">
        <f>IFERROR(__xludf.DUMMYFUNCTION("""COMPUTED_VALUE"""),307990.0)</f>
        <v>307990</v>
      </c>
      <c r="F3198" s="156" t="str">
        <f>IFERROR(__xludf.DUMMYFUNCTION("""COMPUTED_VALUE"""),"私はソレを運命と呼びたい")</f>
        <v>私はソレを運命と呼びたい</v>
      </c>
      <c r="G3198" s="152" t="str">
        <f>IFERROR(__xludf.DUMMYFUNCTION("""COMPUTED_VALUE"""),"1～3")</f>
        <v>1～3</v>
      </c>
      <c r="H3198" s="152" t="str">
        <f>IFERROR(__xludf.DUMMYFUNCTION("""COMPUTED_VALUE"""),"桜井真優")</f>
        <v>桜井真優</v>
      </c>
      <c r="I3198" s="152" t="str">
        <f>IFERROR(__xludf.DUMMYFUNCTION("""COMPUTED_VALUE"""),"女性マンガ")</f>
        <v>女性マンガ</v>
      </c>
      <c r="J3198" s="157"/>
      <c r="K3198" s="152" t="str">
        <f>IFERROR(__xludf.DUMMYFUNCTION("""COMPUTED_VALUE"""),"恋するソワレ＋,恋するソワレ")</f>
        <v>恋するソワレ＋,恋するソワレ</v>
      </c>
      <c r="L3198" s="152" t="str">
        <f>IFERROR(__xludf.DUMMYFUNCTION("""COMPUTED_VALUE"""),"シーモアコミックス")</f>
        <v>シーモアコミックス</v>
      </c>
      <c r="M3198" s="154">
        <f>IFERROR(__xludf.DUMMYFUNCTION("""COMPUTED_VALUE"""),45787.0)</f>
        <v>45787</v>
      </c>
      <c r="N3198" s="23">
        <f>IFERROR(__xludf.DUMMYFUNCTION("""COMPUTED_VALUE"""),45967.70833333333)</f>
        <v>45967.70833</v>
      </c>
      <c r="O3198" s="152"/>
      <c r="P3198" s="190" t="str">
        <f>IFERROR(__xludf.DUMMYFUNCTION("""COMPUTED_VALUE"""),"可")</f>
        <v>可</v>
      </c>
      <c r="Q3198" s="190"/>
      <c r="R3198" s="152"/>
      <c r="S3198" s="152" t="str">
        <f>IFERROR(__xludf.DUMMYFUNCTION("""COMPUTED_VALUE"""),"20250407_シーモアコミックス_私はソレを運命と呼びたい")</f>
        <v>20250407_シーモアコミックス_私はソレを運命と呼びたい</v>
      </c>
      <c r="T3198" s="152" t="str">
        <f>IFERROR(__xludf.DUMMYFUNCTION("""COMPUTED_VALUE"""),"格納済み")</f>
        <v>格納済み</v>
      </c>
      <c r="U3198" s="15" t="str">
        <f>IFERROR(__xludf.DUMMYFUNCTION("""COMPUTED_VALUE"""),"(C) 桜井真優/シーモアコミックス")</f>
        <v>(C) 桜井真優/シーモアコミックス</v>
      </c>
      <c r="V3198" s="8" t="str">
        <f>IFERROR(__xludf.DUMMYFUNCTION("""COMPUTED_VALUE"""),"スマホにかかってきた1本の間違い電話。
それは、3年後からの電話だった――!?
モラハラDV彼氏とようやく別れ、日常を取り戻したばかりの真咲に、ある夜、間違い電話がかかってきた。壊れてどこにもつながらないはずのスマホだった。なぜか、彼以外にはつながらない。しかし、それをきっかけに「神崎」と名乗る男と時々何気ない話をするようになる。はじめはただの暇つぶし、しかし神崎との会話は、真咲にとって癒しの時間となっていった。次第に会いたいと思うようになるが…!!?
一体なぜ？ 何のために私たちはつながっ"&amp;"たのか――。この出会いが、二人の人生を大きく変える!!!?
タイムパラドックスのなかで生まれるドラマチック・ラブ!!!!【恋するソワレ＋】")</f>
        <v>スマホにかかってきた1本の間違い電話。
それは、3年後からの電話だった――!?
モラハラDV彼氏とようやく別れ、日常を取り戻したばかりの真咲に、ある夜、間違い電話がかかってきた。壊れてどこにもつながらないはずのスマホだった。なぜか、彼以外にはつながらない。しかし、それをきっかけに「神崎」と名乗る男と時々何気ない話をするようになる。はじめはただの暇つぶし、しかし神崎との会話は、真咲にとって癒しの時間となっていった。次第に会いたいと思うようになるが…!!?
一体なぜ？ 何のために私たちはつながったのか――。この出会いが、二人の人生を大きく変える!!!?
タイムパラドックスのなかで生まれるドラマチック・ラブ!!!!【恋するソワレ＋】</v>
      </c>
      <c r="W3198" s="14"/>
      <c r="X3198" s="14" t="str">
        <f>IFERROR(__xludf.DUMMYFUNCTION("""COMPUTED_VALUE"""),"有")</f>
        <v>有</v>
      </c>
      <c r="Y3198" s="8" t="str">
        <f>IFERROR(__xludf.DUMMYFUNCTION("""COMPUTED_VALUE"""),"P13まで")</f>
        <v>P13まで</v>
      </c>
      <c r="Z3198" s="7"/>
      <c r="AA3198" s="7"/>
      <c r="AB3198" s="7"/>
    </row>
    <row r="3199" ht="15.75" customHeight="1">
      <c r="A3199" s="153">
        <f>IFERROR(__xludf.DUMMYFUNCTION("""COMPUTED_VALUE"""),5442.0)</f>
        <v>5442</v>
      </c>
      <c r="B3199" s="152" t="str">
        <f>IFERROR(__xludf.DUMMYFUNCTION("""COMPUTED_VALUE"""),"確定")</f>
        <v>確定</v>
      </c>
      <c r="C3199" s="154">
        <f>IFERROR(__xludf.DUMMYFUNCTION("""COMPUTED_VALUE"""),45754.0)</f>
        <v>45754</v>
      </c>
      <c r="D3199" s="154">
        <f>IFERROR(__xludf.DUMMYFUNCTION("""COMPUTED_VALUE"""),45755.0)</f>
        <v>45755</v>
      </c>
      <c r="E3199" s="158">
        <f>IFERROR(__xludf.DUMMYFUNCTION("""COMPUTED_VALUE"""),322229.0)</f>
        <v>322229</v>
      </c>
      <c r="F3199" s="159" t="str">
        <f>IFERROR(__xludf.DUMMYFUNCTION("""COMPUTED_VALUE"""),"心音【電子単話版】")</f>
        <v>心音【電子単話版】</v>
      </c>
      <c r="G3199" s="161" t="str">
        <f>IFERROR(__xludf.DUMMYFUNCTION("""COMPUTED_VALUE"""),"1～3")</f>
        <v>1～3</v>
      </c>
      <c r="H3199" s="152" t="str">
        <f>IFERROR(__xludf.DUMMYFUNCTION("""COMPUTED_VALUE"""),"あすかむ")</f>
        <v>あすかむ</v>
      </c>
      <c r="I3199" s="152" t="str">
        <f>IFERROR(__xludf.DUMMYFUNCTION("""COMPUTED_VALUE"""),"青年マンガ")</f>
        <v>青年マンガ</v>
      </c>
      <c r="J3199" s="157"/>
      <c r="K3199" s="157"/>
      <c r="L3199" s="152" t="str">
        <f>IFERROR(__xludf.DUMMYFUNCTION("""COMPUTED_VALUE"""),"アイプロダクション")</f>
        <v>アイプロダクション</v>
      </c>
      <c r="M3199" s="198">
        <f>IFERROR(__xludf.DUMMYFUNCTION("""COMPUTED_VALUE"""),45794.0)</f>
        <v>45794</v>
      </c>
      <c r="N3199" s="47">
        <f>IFERROR(__xludf.DUMMYFUNCTION("""COMPUTED_VALUE"""),45854.0)</f>
        <v>45854</v>
      </c>
      <c r="O3199" s="152"/>
      <c r="P3199" s="164" t="str">
        <f>IFERROR(__xludf.DUMMYFUNCTION("""COMPUTED_VALUE"""),"可")</f>
        <v>可</v>
      </c>
      <c r="Q3199" s="166"/>
      <c r="R3199" s="152"/>
      <c r="S3199" s="152" t="str">
        <f>IFERROR(__xludf.DUMMYFUNCTION("""COMPUTED_VALUE"""),"20250407_アイプロダクション_心音")</f>
        <v>20250407_アイプロダクション_心音</v>
      </c>
      <c r="T3199" s="152" t="str">
        <f>IFERROR(__xludf.DUMMYFUNCTION("""COMPUTED_VALUE"""),"格納済み")</f>
        <v>格納済み</v>
      </c>
      <c r="U3199" s="15" t="str">
        <f>IFERROR(__xludf.DUMMYFUNCTION("""COMPUTED_VALUE"""),"あすかむ/アイプロダクション")</f>
        <v>あすかむ/アイプロダクション</v>
      </c>
      <c r="V3199" s="8" t="str">
        <f>IFERROR(__xludf.DUMMYFUNCTION("""COMPUTED_VALUE"""),"健康診断で男性医師にかけられた言葉が忘れられない中学生の久瀬は、様々な人と関わりながら悩みつつも健やかに成長していく。
数年後、研修医として働き始めた久瀬の耳に聞き覚えのあるあの声が飛び込んできて─。
ひとりの少年の、思春期の忘れ得ぬ思い出と続いていく人生をみずみずしく描いた物語。")</f>
        <v>健康診断で男性医師にかけられた言葉が忘れられない中学生の久瀬は、様々な人と関わりながら悩みつつも健やかに成長していく。
数年後、研修医として働き始めた久瀬の耳に聞き覚えのあるあの声が飛び込んできて─。
ひとりの少年の、思春期の忘れ得ぬ思い出と続いていく人生をみずみずしく描いた物語。</v>
      </c>
      <c r="W3199" s="14"/>
      <c r="X3199" s="14" t="str">
        <f>IFERROR(__xludf.DUMMYFUNCTION("""COMPUTED_VALUE"""),"有")</f>
        <v>有</v>
      </c>
      <c r="Y3199" s="8" t="str">
        <f>IFERROR(__xludf.DUMMYFUNCTION("""COMPUTED_VALUE"""),"2025/5/30まで1巻無料")</f>
        <v>2025/5/30まで1巻無料</v>
      </c>
      <c r="Z3199" s="7"/>
      <c r="AA3199" s="7"/>
      <c r="AB3199" s="7"/>
    </row>
    <row r="3200" ht="15.75" customHeight="1">
      <c r="A3200" s="153">
        <f>IFERROR(__xludf.DUMMYFUNCTION("""COMPUTED_VALUE"""),5443.0)</f>
        <v>5443</v>
      </c>
      <c r="B3200" s="152" t="str">
        <f>IFERROR(__xludf.DUMMYFUNCTION("""COMPUTED_VALUE"""),"確定")</f>
        <v>確定</v>
      </c>
      <c r="C3200" s="154">
        <f>IFERROR(__xludf.DUMMYFUNCTION("""COMPUTED_VALUE"""),45754.0)</f>
        <v>45754</v>
      </c>
      <c r="D3200" s="154">
        <f>IFERROR(__xludf.DUMMYFUNCTION("""COMPUTED_VALUE"""),45755.0)</f>
        <v>45755</v>
      </c>
      <c r="E3200" s="158">
        <f>IFERROR(__xludf.DUMMYFUNCTION("""COMPUTED_VALUE"""),322231.0)</f>
        <v>322231</v>
      </c>
      <c r="F3200" s="159" t="str">
        <f>IFERROR(__xludf.DUMMYFUNCTION("""COMPUTED_VALUE"""),"右頬のきずな【電子単話版】")</f>
        <v>右頬のきずな【電子単話版】</v>
      </c>
      <c r="G3200" s="161" t="str">
        <f>IFERROR(__xludf.DUMMYFUNCTION("""COMPUTED_VALUE"""),"1～3")</f>
        <v>1～3</v>
      </c>
      <c r="H3200" s="152" t="str">
        <f>IFERROR(__xludf.DUMMYFUNCTION("""COMPUTED_VALUE"""),"あすかむ")</f>
        <v>あすかむ</v>
      </c>
      <c r="I3200" s="152" t="str">
        <f>IFERROR(__xludf.DUMMYFUNCTION("""COMPUTED_VALUE"""),"青年マンガ")</f>
        <v>青年マンガ</v>
      </c>
      <c r="J3200" s="157"/>
      <c r="K3200" s="157"/>
      <c r="L3200" s="152" t="str">
        <f>IFERROR(__xludf.DUMMYFUNCTION("""COMPUTED_VALUE"""),"アイプロダクション")</f>
        <v>アイプロダクション</v>
      </c>
      <c r="M3200" s="198">
        <f>IFERROR(__xludf.DUMMYFUNCTION("""COMPUTED_VALUE"""),45794.0)</f>
        <v>45794</v>
      </c>
      <c r="N3200" s="47">
        <f>IFERROR(__xludf.DUMMYFUNCTION("""COMPUTED_VALUE"""),45854.0)</f>
        <v>45854</v>
      </c>
      <c r="O3200" s="152"/>
      <c r="P3200" s="164" t="str">
        <f>IFERROR(__xludf.DUMMYFUNCTION("""COMPUTED_VALUE"""),"可")</f>
        <v>可</v>
      </c>
      <c r="Q3200" s="166"/>
      <c r="R3200" s="152"/>
      <c r="S3200" s="152" t="str">
        <f>IFERROR(__xludf.DUMMYFUNCTION("""COMPUTED_VALUE"""),"20250407_アイプロダクション_右頬のきずな")</f>
        <v>20250407_アイプロダクション_右頬のきずな</v>
      </c>
      <c r="T3200" s="152" t="str">
        <f>IFERROR(__xludf.DUMMYFUNCTION("""COMPUTED_VALUE"""),"格納済み")</f>
        <v>格納済み</v>
      </c>
      <c r="U3200" s="15" t="str">
        <f>IFERROR(__xludf.DUMMYFUNCTION("""COMPUTED_VALUE"""),"あすかむ/アイプロダクション")</f>
        <v>あすかむ/アイプロダクション</v>
      </c>
      <c r="V3200" s="8" t="str">
        <f>IFERROR(__xludf.DUMMYFUNCTION("""COMPUTED_VALUE"""),"転んで右頬を擦りむいてしまったサラリーマンの本間は、出勤途中、アパートの窓際に自身と同じ右頬が破れたクマのぬいぐるみを見つける。通勤時クマに話しかけるのが習慣になっていた本間だったが、ある日持ち主らしき男が彼を捨てようとしている場面に遭遇し─。
ぬいぐるみがつなぐ、ささやかであたたかい2人の男のきずなのお話。")</f>
        <v>転んで右頬を擦りむいてしまったサラリーマンの本間は、出勤途中、アパートの窓際に自身と同じ右頬が破れたクマのぬいぐるみを見つける。通勤時クマに話しかけるのが習慣になっていた本間だったが、ある日持ち主らしき男が彼を捨てようとしている場面に遭遇し─。
ぬいぐるみがつなぐ、ささやかであたたかい2人の男のきずなのお話。</v>
      </c>
      <c r="W3200" s="14"/>
      <c r="X3200" s="14" t="str">
        <f>IFERROR(__xludf.DUMMYFUNCTION("""COMPUTED_VALUE"""),"有")</f>
        <v>有</v>
      </c>
      <c r="Y3200" s="8" t="str">
        <f>IFERROR(__xludf.DUMMYFUNCTION("""COMPUTED_VALUE"""),"2025/5/30まで1巻無料")</f>
        <v>2025/5/30まで1巻無料</v>
      </c>
      <c r="Z3200" s="7"/>
      <c r="AA3200" s="7"/>
      <c r="AB3200" s="7"/>
    </row>
    <row r="3201" ht="15.75" customHeight="1">
      <c r="A3201" s="153">
        <f>IFERROR(__xludf.DUMMYFUNCTION("""COMPUTED_VALUE"""),5449.0)</f>
        <v>5449</v>
      </c>
      <c r="B3201" s="152" t="str">
        <f>IFERROR(__xludf.DUMMYFUNCTION("""COMPUTED_VALUE"""),"確定")</f>
        <v>確定</v>
      </c>
      <c r="C3201" s="154">
        <f>IFERROR(__xludf.DUMMYFUNCTION("""COMPUTED_VALUE"""),45755.0)</f>
        <v>45755</v>
      </c>
      <c r="D3201" s="154">
        <f>IFERROR(__xludf.DUMMYFUNCTION("""COMPUTED_VALUE"""),45756.0)</f>
        <v>45756</v>
      </c>
      <c r="E3201" s="155">
        <f>IFERROR(__xludf.DUMMYFUNCTION("""COMPUTED_VALUE"""),321916.0)</f>
        <v>321916</v>
      </c>
      <c r="F3201" s="156" t="str">
        <f>IFERROR(__xludf.DUMMYFUNCTION("""COMPUTED_VALUE"""),"そうだバックレよう 奴隷買ったら、前世の常識とか倫理観とかどうでもよくなった")</f>
        <v>そうだバックレよう 奴隷買ったら、前世の常識とか倫理観とかどうでもよくなった</v>
      </c>
      <c r="G3201" s="152" t="str">
        <f>IFERROR(__xludf.DUMMYFUNCTION("""COMPUTED_VALUE"""),"1～3")</f>
        <v>1～3</v>
      </c>
      <c r="H3201" s="152" t="str">
        <f>IFERROR(__xludf.DUMMYFUNCTION("""COMPUTED_VALUE"""),"漫画：神月凛／ネーム協力：高浜文鳥／ネーム協力：永江陽／原作：リコピン（エブリスタ）")</f>
        <v>漫画：神月凛／ネーム協力：高浜文鳥／ネーム協力：永江陽／原作：リコピン（エブリスタ）</v>
      </c>
      <c r="I3201" s="152" t="str">
        <f>IFERROR(__xludf.DUMMYFUNCTION("""COMPUTED_VALUE"""),"女性")</f>
        <v>女性</v>
      </c>
      <c r="J3201" s="157"/>
      <c r="K3201" s="152" t="str">
        <f>IFERROR(__xludf.DUMMYFUNCTION("""COMPUTED_VALUE"""),"異世界マーガレット")</f>
        <v>異世界マーガレット</v>
      </c>
      <c r="L3201" s="152" t="str">
        <f>IFERROR(__xludf.DUMMYFUNCTION("""COMPUTED_VALUE"""),"集英社")</f>
        <v>集英社</v>
      </c>
      <c r="M3201" s="154">
        <f>IFERROR(__xludf.DUMMYFUNCTION("""COMPUTED_VALUE"""),45778.0)</f>
        <v>45778</v>
      </c>
      <c r="N3201" s="59">
        <f>IFERROR(__xludf.DUMMYFUNCTION("""COMPUTED_VALUE"""),45808.0)</f>
        <v>45808</v>
      </c>
      <c r="O3201" s="152"/>
      <c r="P3201" s="190" t="str">
        <f>IFERROR(__xludf.DUMMYFUNCTION("""COMPUTED_VALUE"""),"否")</f>
        <v>否</v>
      </c>
      <c r="Q3201" s="190"/>
      <c r="R3201" s="152"/>
      <c r="S3201" s="152" t="str">
        <f>IFERROR(__xludf.DUMMYFUNCTION("""COMPUTED_VALUE"""),"20250408_集英社_そうだバックレよう 奴隷買ったら、前世の常識とか倫理観とかどうでもよくなった")</f>
        <v>20250408_集英社_そうだバックレよう 奴隷買ったら、前世の常識とか倫理観とかどうでもよくなった</v>
      </c>
      <c r="T3201" s="152" t="str">
        <f>IFERROR(__xludf.DUMMYFUNCTION("""COMPUTED_VALUE"""),"格納済み")</f>
        <v>格納済み</v>
      </c>
      <c r="U3201" s="15" t="str">
        <f>IFERROR(__xludf.DUMMYFUNCTION("""COMPUTED_VALUE"""),"(C)神月凛・高浜文鳥・永江陽・リコピン（エブリスタ）／集英社")</f>
        <v>(C)神月凛・高浜文鳥・永江陽・リコピン（エブリスタ）／集英社</v>
      </c>
      <c r="V3201" s="8" t="str">
        <f>IFERROR(__xludf.DUMMYFUNCTION("""COMPUTED_VALUE"""),"過労死した前世の記憶を持って転生したステラ。前世の記憶の影響もあって子どもの頃は神童ともてはやされ、幼くして魔法省に勤めることになるが、気づけば18歳で今やただの人。職場である魔法省がブラック過ぎて、パワハラ上司に15時間勤務29連勤させられるわ、同僚のミリセントたちから不当な嫌がらせを受けるわで、精神をすり減らす日々。「このままじゃ死んでしまう！」と癒しを求めて、三次元（奴隷）を買うことを閃く。長身で綺麗な顔立ちの奴隷・エリアスを手に入れたステラだったが、奴隷契約の奉仕ってどこからどこまで――!?　愛と"&amp;"奴隷契約のロマンスファンタジー第1巻！")</f>
        <v>過労死した前世の記憶を持って転生したステラ。前世の記憶の影響もあって子どもの頃は神童ともてはやされ、幼くして魔法省に勤めることになるが、気づけば18歳で今やただの人。職場である魔法省がブラック過ぎて、パワハラ上司に15時間勤務29連勤させられるわ、同僚のミリセントたちから不当な嫌がらせを受けるわで、精神をすり減らす日々。「このままじゃ死んでしまう！」と癒しを求めて、三次元（奴隷）を買うことを閃く。長身で綺麗な顔立ちの奴隷・エリアスを手に入れたステラだったが、奴隷契約の奉仕ってどこからどこまで――!?　愛と奴隷契約のロマンスファンタジー第1巻！</v>
      </c>
      <c r="W3201" s="14"/>
      <c r="X3201" s="14" t="str">
        <f>IFERROR(__xludf.DUMMYFUNCTION("""COMPUTED_VALUE"""),"有")</f>
        <v>有</v>
      </c>
      <c r="Y3201" s="8" t="str">
        <f>IFERROR(__xludf.DUMMYFUNCTION("""COMPUTED_VALUE"""),"2025/5/31まで1巻無料")</f>
        <v>2025/5/31まで1巻無料</v>
      </c>
      <c r="Z3201" s="7"/>
      <c r="AA3201" s="7"/>
      <c r="AB3201" s="7"/>
    </row>
    <row r="3202" ht="15.75" customHeight="1">
      <c r="A3202" s="153">
        <f>IFERROR(__xludf.DUMMYFUNCTION("""COMPUTED_VALUE"""),5450.0)</f>
        <v>5450</v>
      </c>
      <c r="B3202" s="152" t="str">
        <f>IFERROR(__xludf.DUMMYFUNCTION("""COMPUTED_VALUE"""),"確定")</f>
        <v>確定</v>
      </c>
      <c r="C3202" s="154">
        <f>IFERROR(__xludf.DUMMYFUNCTION("""COMPUTED_VALUE"""),45755.0)</f>
        <v>45755</v>
      </c>
      <c r="D3202" s="154">
        <f>IFERROR(__xludf.DUMMYFUNCTION("""COMPUTED_VALUE"""),45756.0)</f>
        <v>45756</v>
      </c>
      <c r="E3202" s="155">
        <f>IFERROR(__xludf.DUMMYFUNCTION("""COMPUTED_VALUE"""),321917.0)</f>
        <v>321917</v>
      </c>
      <c r="F3202" s="156" t="str">
        <f>IFERROR(__xludf.DUMMYFUNCTION("""COMPUTED_VALUE"""),"ちょー美女と野獣～キスしたら王子様になっちゃったので、もう一度魔法をかけなくちゃ～")</f>
        <v>ちょー美女と野獣～キスしたら王子様になっちゃったので、もう一度魔法をかけなくちゃ～</v>
      </c>
      <c r="G3202" s="152" t="str">
        <f>IFERROR(__xludf.DUMMYFUNCTION("""COMPUTED_VALUE"""),"1～3")</f>
        <v>1～3</v>
      </c>
      <c r="H3202" s="152" t="str">
        <f>IFERROR(__xludf.DUMMYFUNCTION("""COMPUTED_VALUE"""),"大羽ふみ 野梨原花南 宮城とおこ")</f>
        <v>大羽ふみ 野梨原花南 宮城とおこ</v>
      </c>
      <c r="I3202" s="152" t="str">
        <f>IFERROR(__xludf.DUMMYFUNCTION("""COMPUTED_VALUE"""),"女性")</f>
        <v>女性</v>
      </c>
      <c r="J3202" s="157"/>
      <c r="K3202" s="152" t="str">
        <f>IFERROR(__xludf.DUMMYFUNCTION("""COMPUTED_VALUE"""),"異世界マーガレット")</f>
        <v>異世界マーガレット</v>
      </c>
      <c r="L3202" s="152" t="str">
        <f>IFERROR(__xludf.DUMMYFUNCTION("""COMPUTED_VALUE"""),"集英社")</f>
        <v>集英社</v>
      </c>
      <c r="M3202" s="154">
        <f>IFERROR(__xludf.DUMMYFUNCTION("""COMPUTED_VALUE"""),45778.0)</f>
        <v>45778</v>
      </c>
      <c r="N3202" s="59">
        <f>IFERROR(__xludf.DUMMYFUNCTION("""COMPUTED_VALUE"""),45808.0)</f>
        <v>45808</v>
      </c>
      <c r="O3202" s="152"/>
      <c r="P3202" s="190" t="str">
        <f>IFERROR(__xludf.DUMMYFUNCTION("""COMPUTED_VALUE"""),"否")</f>
        <v>否</v>
      </c>
      <c r="Q3202" s="190"/>
      <c r="R3202" s="152"/>
      <c r="S3202" s="152" t="str">
        <f>IFERROR(__xludf.DUMMYFUNCTION("""COMPUTED_VALUE"""),"20250408_集英社_ちょー美女と野獣")</f>
        <v>20250408_集英社_ちょー美女と野獣</v>
      </c>
      <c r="T3202" s="152" t="str">
        <f>IFERROR(__xludf.DUMMYFUNCTION("""COMPUTED_VALUE"""),"格納済み")</f>
        <v>格納済み</v>
      </c>
      <c r="U3202" s="15" t="str">
        <f>IFERROR(__xludf.DUMMYFUNCTION("""COMPUTED_VALUE"""),"(C)大羽ふみ・野梨原花南／集英社")</f>
        <v>(C)大羽ふみ・野梨原花南／集英社</v>
      </c>
      <c r="V3202" s="8" t="str">
        <f>IFERROR(__xludf.DUMMYFUNCTION("""COMPUTED_VALUE"""),"コバルト文庫の大ヒットシリーズ、待望のコミカライズ！　美貌ゆえ疎まれて育てられたダイヤモンド姫は、「絶望の森」に住む野獣の元へと向かう。恐ろしい野獣といけにえの姫――のはずが、恋に落ちるふたり。誓いのキスで獣の魔法がとけ、美しい王子が姿をあらわすけれど……!?　陰謀に巻き込まれたらしい王子ジオラルドの話をきいたダイヤモンドは、ふたりでの旅立ちを決意して――恋と冒険いっぱいの痛快ファンタジー！")</f>
        <v>コバルト文庫の大ヒットシリーズ、待望のコミカライズ！　美貌ゆえ疎まれて育てられたダイヤモンド姫は、「絶望の森」に住む野獣の元へと向かう。恐ろしい野獣といけにえの姫――のはずが、恋に落ちるふたり。誓いのキスで獣の魔法がとけ、美しい王子が姿をあらわすけれど……!?　陰謀に巻き込まれたらしい王子ジオラルドの話をきいたダイヤモンドは、ふたりでの旅立ちを決意して――恋と冒険いっぱいの痛快ファンタジー！</v>
      </c>
      <c r="W3202" s="14"/>
      <c r="X3202" s="14" t="str">
        <f>IFERROR(__xludf.DUMMYFUNCTION("""COMPUTED_VALUE"""),"有")</f>
        <v>有</v>
      </c>
      <c r="Y3202" s="8" t="str">
        <f>IFERROR(__xludf.DUMMYFUNCTION("""COMPUTED_VALUE"""),"2025/5/31まで1巻無料")</f>
        <v>2025/5/31まで1巻無料</v>
      </c>
      <c r="Z3202" s="7"/>
      <c r="AA3202" s="7"/>
      <c r="AB3202" s="7"/>
    </row>
    <row r="3203" ht="15.75" customHeight="1">
      <c r="A3203" s="153">
        <f>IFERROR(__xludf.DUMMYFUNCTION("""COMPUTED_VALUE"""),4384.0)</f>
        <v>4384</v>
      </c>
      <c r="B3203" s="152" t="str">
        <f>IFERROR(__xludf.DUMMYFUNCTION("""COMPUTED_VALUE"""),"確定")</f>
        <v>確定</v>
      </c>
      <c r="C3203" s="154">
        <f>IFERROR(__xludf.DUMMYFUNCTION("""COMPUTED_VALUE"""),45587.0)</f>
        <v>45587</v>
      </c>
      <c r="D3203" s="154">
        <f>IFERROR(__xludf.DUMMYFUNCTION("""COMPUTED_VALUE"""),45758.0)</f>
        <v>45758</v>
      </c>
      <c r="E3203" s="158">
        <f>IFERROR(__xludf.DUMMYFUNCTION("""COMPUTED_VALUE"""),323314.0)</f>
        <v>323314</v>
      </c>
      <c r="F3203" s="159" t="str">
        <f>IFERROR(__xludf.DUMMYFUNCTION("""COMPUTED_VALUE"""),"悪役令嬢になりましたが、何か？【分冊版】")</f>
        <v>悪役令嬢になりましたが、何か？【分冊版】</v>
      </c>
      <c r="G3203" s="152" t="str">
        <f>IFERROR(__xludf.DUMMYFUNCTION("""COMPUTED_VALUE"""),"1～5")</f>
        <v>1～5</v>
      </c>
      <c r="H3203" s="152" t="str">
        <f>IFERROR(__xludf.DUMMYFUNCTION("""COMPUTED_VALUE"""),"原作：みなと 漫画：木ノ竹のこ")</f>
        <v>原作：みなと 漫画：木ノ竹のこ</v>
      </c>
      <c r="I3203" s="152" t="str">
        <f>IFERROR(__xludf.DUMMYFUNCTION("""COMPUTED_VALUE"""),"女性")</f>
        <v>女性</v>
      </c>
      <c r="J3203" s="157"/>
      <c r="K3203" s="157"/>
      <c r="L3203" s="152" t="str">
        <f>IFERROR(__xludf.DUMMYFUNCTION("""COMPUTED_VALUE"""),"マンガボックス")</f>
        <v>マンガボックス</v>
      </c>
      <c r="M3203" s="154">
        <f>IFERROR(__xludf.DUMMYFUNCTION("""COMPUTED_VALUE"""),45793.0)</f>
        <v>45793</v>
      </c>
      <c r="N3203" s="198">
        <f>IFERROR(__xludf.DUMMYFUNCTION("""COMPUTED_VALUE"""),45884.0)</f>
        <v>45884</v>
      </c>
      <c r="O3203" s="152"/>
      <c r="P3203" s="152" t="str">
        <f>IFERROR(__xludf.DUMMYFUNCTION("""COMPUTED_VALUE"""),"可")</f>
        <v>可</v>
      </c>
      <c r="Q3203" s="152" t="str">
        <f>IFERROR(__xludf.DUMMYFUNCTION("""COMPUTED_VALUE"""),"1～5巻で単行本１冊分")</f>
        <v>1～5巻で単行本１冊分</v>
      </c>
      <c r="R3203" s="152" t="str">
        <f>IFERROR(__xludf.DUMMYFUNCTION("""COMPUTED_VALUE"""),"コミットOK")</f>
        <v>コミットOK</v>
      </c>
      <c r="S3203" s="152" t="str">
        <f>IFERROR(__xludf.DUMMYFUNCTION("""COMPUTED_VALUE"""),"20250410_マンガボックス_悪役令嬢になりましたが、何か？")</f>
        <v>20250410_マンガボックス_悪役令嬢になりましたが、何か？</v>
      </c>
      <c r="T3203" s="152" t="str">
        <f>IFERROR(__xludf.DUMMYFUNCTION("""COMPUTED_VALUE"""),"格納済み")</f>
        <v>格納済み</v>
      </c>
      <c r="U3203" s="15" t="str">
        <f>IFERROR(__xludf.DUMMYFUNCTION("""COMPUTED_VALUE"""),"Ⓒみなと・木ノ竹のこ／マンガボックス")</f>
        <v>Ⓒみなと・木ノ竹のこ／マンガボックス</v>
      </c>
      <c r="V3203" s="8" t="str">
        <f>IFERROR(__xludf.DUMMYFUNCTION("""COMPUTED_VALUE"""),"婚約者の王太子に裏切られ処刑寸前だったフェリシア。だが彼を唆した聖女の嘲笑が引き金となり「時戻し」の力に目覚め…？「次こそ決して間違えない。皆が私を悪役と呼ぶのなら、その通り振る舞って差し上げます」時を遡り、最恐の復讐譚が今、始まるーー。")</f>
        <v>婚約者の王太子に裏切られ処刑寸前だったフェリシア。だが彼を唆した聖女の嘲笑が引き金となり「時戻し」の力に目覚め…？「次こそ決して間違えない。皆が私を悪役と呼ぶのなら、その通り振る舞って差し上げます」時を遡り、最恐の復讐譚が今、始まるーー。</v>
      </c>
      <c r="W3203" s="14"/>
      <c r="X3203" s="14" t="str">
        <f>IFERROR(__xludf.DUMMYFUNCTION("""COMPUTED_VALUE"""),"有")</f>
        <v>有</v>
      </c>
      <c r="Y3203" s="8" t="str">
        <f>IFERROR(__xludf.DUMMYFUNCTION("""COMPUTED_VALUE"""),"2025/6/5まで1巻無料")</f>
        <v>2025/6/5まで1巻無料</v>
      </c>
      <c r="Z3203" s="7"/>
      <c r="AA3203" s="7"/>
      <c r="AB3203" s="7"/>
    </row>
    <row r="3204" ht="15.75" customHeight="1">
      <c r="A3204" s="153">
        <f>IFERROR(__xludf.DUMMYFUNCTION("""COMPUTED_VALUE"""),4566.0)</f>
        <v>4566</v>
      </c>
      <c r="B3204" s="152" t="str">
        <f>IFERROR(__xludf.DUMMYFUNCTION("""COMPUTED_VALUE"""),"確定")</f>
        <v>確定</v>
      </c>
      <c r="C3204" s="154">
        <f>IFERROR(__xludf.DUMMYFUNCTION("""COMPUTED_VALUE"""),45621.0)</f>
        <v>45621</v>
      </c>
      <c r="D3204" s="154">
        <f>IFERROR(__xludf.DUMMYFUNCTION("""COMPUTED_VALUE"""),45763.0)</f>
        <v>45763</v>
      </c>
      <c r="E3204" s="158">
        <f>IFERROR(__xludf.DUMMYFUNCTION("""COMPUTED_VALUE"""),322255.0)</f>
        <v>322255</v>
      </c>
      <c r="F3204" s="159" t="str">
        <f>IFERROR(__xludf.DUMMYFUNCTION("""COMPUTED_VALUE"""),"愛されすぎの身代わり婚～お見合い相手は初恋の彼でした～【分冊版】")</f>
        <v>愛されすぎの身代わり婚～お見合い相手は初恋の彼でした～【分冊版】</v>
      </c>
      <c r="G3204" s="152" t="str">
        <f>IFERROR(__xludf.DUMMYFUNCTION("""COMPUTED_VALUE"""),"1～3")</f>
        <v>1～3</v>
      </c>
      <c r="H3204" s="161" t="str">
        <f>IFERROR(__xludf.DUMMYFUNCTION("""COMPUTED_VALUE"""),"高瀬綾,望月 沙菜")</f>
        <v>高瀬綾,望月 沙菜</v>
      </c>
      <c r="I3204" s="152" t="str">
        <f>IFERROR(__xludf.DUMMYFUNCTION("""COMPUTED_VALUE"""),"女性")</f>
        <v>女性</v>
      </c>
      <c r="J3204" s="157"/>
      <c r="K3204" s="152" t="str">
        <f>IFERROR(__xludf.DUMMYFUNCTION("""COMPUTED_VALUE"""),"マーマレードコミックス")</f>
        <v>マーマレードコミックス</v>
      </c>
      <c r="L3204" s="152" t="str">
        <f>IFERROR(__xludf.DUMMYFUNCTION("""COMPUTED_VALUE"""),"ハーパーコリンズ・ジャパン")</f>
        <v>ハーパーコリンズ・ジャパン</v>
      </c>
      <c r="M3204" s="154">
        <f>IFERROR(__xludf.DUMMYFUNCTION("""COMPUTED_VALUE"""),45796.0)</f>
        <v>45796</v>
      </c>
      <c r="N3204" s="154">
        <f>IFERROR(__xludf.DUMMYFUNCTION("""COMPUTED_VALUE"""),45855.0)</f>
        <v>45855</v>
      </c>
      <c r="O3204" s="152"/>
      <c r="P3204" s="152" t="str">
        <f>IFERROR(__xludf.DUMMYFUNCTION("""COMPUTED_VALUE"""),"可")</f>
        <v>可</v>
      </c>
      <c r="Q3204" s="152"/>
      <c r="R3204" s="152" t="str">
        <f>IFERROR(__xludf.DUMMYFUNCTION("""COMPUTED_VALUE"""),"コミットOK")</f>
        <v>コミットOK</v>
      </c>
      <c r="S3204" s="152" t="str">
        <f>IFERROR(__xludf.DUMMYFUNCTION("""COMPUTED_VALUE"""),"20250415_ハーパーコリンズ・ジャパン_愛されすぎの身代わり婚～お見合い相手は初恋の彼でした～")</f>
        <v>20250415_ハーパーコリンズ・ジャパン_愛されすぎの身代わり婚～お見合い相手は初恋の彼でした～</v>
      </c>
      <c r="T3204" s="152" t="str">
        <f>IFERROR(__xludf.DUMMYFUNCTION("""COMPUTED_VALUE"""),"格納済み")</f>
        <v>格納済み</v>
      </c>
      <c r="U3204" s="15" t="str">
        <f>IFERROR(__xludf.DUMMYFUNCTION("""COMPUTED_VALUE"""),"Ⓒ高瀬 綾・望月沙菜／ハーパーコリンズ・ジャパン")</f>
        <v>Ⓒ高瀬 綾・望月沙菜／ハーパーコリンズ・ジャパン</v>
      </c>
      <c r="V3204" s="8" t="str">
        <f>IFERROR(__xludf.DUMMYFUNCTION("""COMPUTED_VALUE"""),"片思いのまま憧れの彼と結婚?
喫茶店の看板娘・桜は常連客である大手ホテルチェーンの社長・隼人に密かに憧れていた。
ところがある日、彼がお見合いすると知りショックを受ける。
しかも相手は桜の親友?　聞けば彼女の親が無理やり進めた話らしく、
桜の気持ちを知った親友に後押しされて代役としてお見合いの席に行くことに。
玉砕覚悟で気持ちを伝えたい！　そのつもりだったが…
告白する前に「君が代わりに僕と結婚するのはどう？」と言われ、電撃結婚することになって?")</f>
        <v>片思いのまま憧れの彼と結婚?
喫茶店の看板娘・桜は常連客である大手ホテルチェーンの社長・隼人に密かに憧れていた。
ところがある日、彼がお見合いすると知りショックを受ける。
しかも相手は桜の親友?　聞けば彼女の親が無理やり進めた話らしく、
桜の気持ちを知った親友に後押しされて代役としてお見合いの席に行くことに。
玉砕覚悟で気持ちを伝えたい！　そのつもりだったが…
告白する前に「君が代わりに僕と結婚するのはどう？」と言われ、電撃結婚することになって?</v>
      </c>
      <c r="W3204" s="14"/>
      <c r="X3204" s="14" t="str">
        <f>IFERROR(__xludf.DUMMYFUNCTION("""COMPUTED_VALUE"""),"有")</f>
        <v>有</v>
      </c>
      <c r="Y3204" s="8" t="str">
        <f>IFERROR(__xludf.DUMMYFUNCTION("""COMPUTED_VALUE"""),"P7まで")</f>
        <v>P7まで</v>
      </c>
      <c r="Z3204" s="7"/>
      <c r="AA3204" s="7"/>
      <c r="AB3204" s="7"/>
    </row>
    <row r="3205" ht="15.75" customHeight="1">
      <c r="A3205" s="153">
        <f>IFERROR(__xludf.DUMMYFUNCTION("""COMPUTED_VALUE"""),4886.0)</f>
        <v>4886</v>
      </c>
      <c r="B3205" s="152" t="str">
        <f>IFERROR(__xludf.DUMMYFUNCTION("""COMPUTED_VALUE"""),"確定")</f>
        <v>確定</v>
      </c>
      <c r="C3205" s="154">
        <f>IFERROR(__xludf.DUMMYFUNCTION("""COMPUTED_VALUE"""),45680.0)</f>
        <v>45680</v>
      </c>
      <c r="D3205" s="154">
        <f>IFERROR(__xludf.DUMMYFUNCTION("""COMPUTED_VALUE"""),45763.0)</f>
        <v>45763</v>
      </c>
      <c r="E3205" s="155">
        <f>IFERROR(__xludf.DUMMYFUNCTION("""COMPUTED_VALUE"""),321100.0)</f>
        <v>321100</v>
      </c>
      <c r="F3205" s="156" t="str">
        <f>IFERROR(__xludf.DUMMYFUNCTION("""COMPUTED_VALUE"""),"お飾り女王の二回目人生、処刑ルート→愛され奥様に変更です。")</f>
        <v>お飾り女王の二回目人生、処刑ルート→愛され奥様に変更です。</v>
      </c>
      <c r="G3205" s="152" t="str">
        <f>IFERROR(__xludf.DUMMYFUNCTION("""COMPUTED_VALUE"""),"1～3")</f>
        <v>1～3</v>
      </c>
      <c r="H3205" s="152" t="str">
        <f>IFERROR(__xludf.DUMMYFUNCTION("""COMPUTED_VALUE"""),"著者：雫珠歌 原作：栢野すばる")</f>
        <v>著者：雫珠歌 原作：栢野すばる</v>
      </c>
      <c r="I3205" s="152" t="str">
        <f>IFERROR(__xludf.DUMMYFUNCTION("""COMPUTED_VALUE"""),"女性マンガ")</f>
        <v>女性マンガ</v>
      </c>
      <c r="J3205" s="157"/>
      <c r="K3205" s="152" t="str">
        <f>IFERROR(__xludf.DUMMYFUNCTION("""COMPUTED_VALUE"""),"オパールCOMICS kiss")</f>
        <v>オパールCOMICS kiss</v>
      </c>
      <c r="L3205" s="152" t="str">
        <f>IFERROR(__xludf.DUMMYFUNCTION("""COMPUTED_VALUE"""),"プランタン出版")</f>
        <v>プランタン出版</v>
      </c>
      <c r="M3205" s="154">
        <f>IFERROR(__xludf.DUMMYFUNCTION("""COMPUTED_VALUE"""),45779.0)</f>
        <v>45779</v>
      </c>
      <c r="N3205" s="154">
        <f>IFERROR(__xludf.DUMMYFUNCTION("""COMPUTED_VALUE"""),45869.0)</f>
        <v>45869</v>
      </c>
      <c r="O3205" s="152"/>
      <c r="P3205" s="190" t="str">
        <f>IFERROR(__xludf.DUMMYFUNCTION("""COMPUTED_VALUE"""),"可")</f>
        <v>可</v>
      </c>
      <c r="Q3205" s="152"/>
      <c r="R3205" s="152" t="str">
        <f>IFERROR(__xludf.DUMMYFUNCTION("""COMPUTED_VALUE"""),"コミットOK")</f>
        <v>コミットOK</v>
      </c>
      <c r="S3205" s="152" t="str">
        <f>IFERROR(__xludf.DUMMYFUNCTION("""COMPUTED_VALUE"""),"20250416_プランタン出版_お飾り女王の二回目人生、処刑ルート→愛され奥様に変更です。")</f>
        <v>20250416_プランタン出版_お飾り女王の二回目人生、処刑ルート→愛され奥様に変更です。</v>
      </c>
      <c r="T3205" s="152" t="str">
        <f>IFERROR(__xludf.DUMMYFUNCTION("""COMPUTED_VALUE"""),"格納済み")</f>
        <v>格納済み</v>
      </c>
      <c r="U3205" s="15" t="str">
        <f>IFERROR(__xludf.DUMMYFUNCTION("""COMPUTED_VALUE"""),"(C)雫珠歌/栢野すばる/プランタン出版")</f>
        <v>(C)雫珠歌/栢野すばる/プランタン出版</v>
      </c>
      <c r="V3205" s="8" t="str">
        <f>IFERROR(__xludf.DUMMYFUNCTION("""COMPUTED_VALUE"""),"異母弟が成人するまでの２年間。お飾りの女王の座についたオフィーリア。
王太后からの陰湿なイジメや侍女からの嘲笑も黙ってやりすごす日々を送っていたが、初恋の騎士・ユリウスが突然目の前に現れて…！
「どうか陛下の愛人にご指名ください」
大勢の前で熱い愛を宣言されて優しく抱き寄せられる。二人きりになると今度は強引に口づけをしてきて…！
押し返してもびくともせず、素肌を撫でる彼の手に戸惑うばかり。幼い頃は優しかったはずの彼が、どうしてこんなことを…。
思惑の読めないユリウスに振り回され、孤独な女王・オフ"&amp;"ィーリアの運命が今動き出す…！")</f>
        <v>異母弟が成人するまでの２年間。お飾りの女王の座についたオフィーリア。
王太后からの陰湿なイジメや侍女からの嘲笑も黙ってやりすごす日々を送っていたが、初恋の騎士・ユリウスが突然目の前に現れて…！
「どうか陛下の愛人にご指名ください」
大勢の前で熱い愛を宣言されて優しく抱き寄せられる。二人きりになると今度は強引に口づけをしてきて…！
押し返してもびくともせず、素肌を撫でる彼の手に戸惑うばかり。幼い頃は優しかったはずの彼が、どうしてこんなことを…。
思惑の読めないユリウスに振り回され、孤独な女王・オフィーリアの運命が今動き出す…！</v>
      </c>
      <c r="W3205" s="14"/>
      <c r="X3205" s="14" t="str">
        <f>IFERROR(__xludf.DUMMYFUNCTION("""COMPUTED_VALUE"""),"有")</f>
        <v>有</v>
      </c>
      <c r="Y3205" s="8" t="str">
        <f>IFERROR(__xludf.DUMMYFUNCTION("""COMPUTED_VALUE"""),"2025/7/31まで1巻無料")</f>
        <v>2025/7/31まで1巻無料</v>
      </c>
      <c r="Z3205" s="7"/>
      <c r="AA3205" s="7"/>
      <c r="AB3205" s="7"/>
    </row>
    <row r="3206" ht="15.75" customHeight="1">
      <c r="A3206" s="153">
        <f>IFERROR(__xludf.DUMMYFUNCTION("""COMPUTED_VALUE"""),4922.0)</f>
        <v>4922</v>
      </c>
      <c r="B3206" s="152" t="str">
        <f>IFERROR(__xludf.DUMMYFUNCTION("""COMPUTED_VALUE"""),"確定")</f>
        <v>確定</v>
      </c>
      <c r="C3206" s="154">
        <f>IFERROR(__xludf.DUMMYFUNCTION("""COMPUTED_VALUE"""),45685.0)</f>
        <v>45685</v>
      </c>
      <c r="D3206" s="154">
        <f>IFERROR(__xludf.DUMMYFUNCTION("""COMPUTED_VALUE"""),45762.0)</f>
        <v>45762</v>
      </c>
      <c r="E3206" s="155">
        <f>IFERROR(__xludf.DUMMYFUNCTION("""COMPUTED_VALUE"""),320865.0)</f>
        <v>320865</v>
      </c>
      <c r="F3206" s="156" t="str">
        <f>IFERROR(__xludf.DUMMYFUNCTION("""COMPUTED_VALUE"""),"メロすぎ朔椰（さくや）くんは私を沼にハメたがる。")</f>
        <v>メロすぎ朔椰（さくや）くんは私を沼にハメたがる。</v>
      </c>
      <c r="G3206" s="152" t="str">
        <f>IFERROR(__xludf.DUMMYFUNCTION("""COMPUTED_VALUE"""),"1～3")</f>
        <v>1～3</v>
      </c>
      <c r="H3206" s="152" t="str">
        <f>IFERROR(__xludf.DUMMYFUNCTION("""COMPUTED_VALUE"""),"ラカ")</f>
        <v>ラカ</v>
      </c>
      <c r="I3206" s="152" t="str">
        <f>IFERROR(__xludf.DUMMYFUNCTION("""COMPUTED_VALUE"""),"TL")</f>
        <v>TL</v>
      </c>
      <c r="J3206" s="157"/>
      <c r="K3206" s="152" t="str">
        <f>IFERROR(__xludf.DUMMYFUNCTION("""COMPUTED_VALUE"""),"黒ひめコミック")</f>
        <v>黒ひめコミック</v>
      </c>
      <c r="L3206" s="152" t="str">
        <f>IFERROR(__xludf.DUMMYFUNCTION("""COMPUTED_VALUE"""),"アイプロダクション")</f>
        <v>アイプロダクション</v>
      </c>
      <c r="M3206" s="154">
        <f>IFERROR(__xludf.DUMMYFUNCTION("""COMPUTED_VALUE"""),45779.0)</f>
        <v>45779</v>
      </c>
      <c r="N3206" s="154">
        <f>IFERROR(__xludf.DUMMYFUNCTION("""COMPUTED_VALUE"""),46048.70833333333)</f>
        <v>46048.70833</v>
      </c>
      <c r="O3206" s="152"/>
      <c r="P3206" s="190" t="str">
        <f>IFERROR(__xludf.DUMMYFUNCTION("""COMPUTED_VALUE"""),"可")</f>
        <v>可</v>
      </c>
      <c r="Q3206" s="152"/>
      <c r="R3206" s="152" t="str">
        <f>IFERROR(__xludf.DUMMYFUNCTION("""COMPUTED_VALUE"""),"コミットOK")</f>
        <v>コミットOK</v>
      </c>
      <c r="S3206" s="152" t="str">
        <f>IFERROR(__xludf.DUMMYFUNCTION("""COMPUTED_VALUE"""),"20260227_メロすぎ朔椰（さくや）くんは私を沼にハメたがる。_20260224")</f>
        <v>20260227_メロすぎ朔椰（さくや）くんは私を沼にハメたがる。_20260224</v>
      </c>
      <c r="T3206" s="152" t="str">
        <f>IFERROR(__xludf.DUMMYFUNCTION("""COMPUTED_VALUE"""),"格納済み")</f>
        <v>格納済み</v>
      </c>
      <c r="U3206" s="15" t="str">
        <f>IFERROR(__xludf.DUMMYFUNCTION("""COMPUTED_VALUE"""),"Ⓒラカ/アイプロダクション")</f>
        <v>Ⓒラカ/アイプロダクション</v>
      </c>
      <c r="V3206" s="8" t="str">
        <f>IFERROR(__xludf.DUMMYFUNCTION("""COMPUTED_VALUE"""),"「気づいてよ鈍感さん。俺はとっくに、あなたに落ちてるんですけど？」
――心春は地味な会社員。まともな恋愛経験がなく自己肯定感も低め。
そんな心春には、誰にも言えない秘密がある。
――見るからに危険そうなこの男――朔椰くんと、うっかりセフレ関係になってしまったこと！
「おいで、ぎゅーってしよう。すごく可愛いよ」
「あなたがエロいってこと、俺だけしか知らないんだよね。うれしいなあ」
時に激しく、だけどトロトロに抱きほぐされていくカラダ。
（こんなこと、早くやめないと…！）
――しかし、そんなふ"&amp;"うに思っているのは心春だけだった!?　
沼すぎるメロ男の止まらない溺愛!!")</f>
        <v>「気づいてよ鈍感さん。俺はとっくに、あなたに落ちてるんですけど？」
――心春は地味な会社員。まともな恋愛経験がなく自己肯定感も低め。
そんな心春には、誰にも言えない秘密がある。
――見るからに危険そうなこの男――朔椰くんと、うっかりセフレ関係になってしまったこと！
「おいで、ぎゅーってしよう。すごく可愛いよ」
「あなたがエロいってこと、俺だけしか知らないんだよね。うれしいなあ」
時に激しく、だけどトロトロに抱きほぐされていくカラダ。
（こんなこと、早くやめないと…！）
――しかし、そんなふうに思っているのは心春だけだった!?　
沼すぎるメロ男の止まらない溺愛!!</v>
      </c>
      <c r="W3206" s="14"/>
      <c r="X3206" s="14" t="str">
        <f>IFERROR(__xludf.DUMMYFUNCTION("""COMPUTED_VALUE"""),"有")</f>
        <v>有</v>
      </c>
      <c r="Y3206" s="8" t="str">
        <f>IFERROR(__xludf.DUMMYFUNCTION("""COMPUTED_VALUE"""),"2025/7/31まで1巻無料")</f>
        <v>2025/7/31まで1巻無料</v>
      </c>
      <c r="Z3206" s="7"/>
      <c r="AA3206" s="7"/>
      <c r="AB3206" s="7"/>
    </row>
    <row r="3207" ht="15.75" customHeight="1">
      <c r="A3207" s="153">
        <f>IFERROR(__xludf.DUMMYFUNCTION("""COMPUTED_VALUE"""),4950.0)</f>
        <v>4950</v>
      </c>
      <c r="B3207" s="152" t="str">
        <f>IFERROR(__xludf.DUMMYFUNCTION("""COMPUTED_VALUE"""),"確定")</f>
        <v>確定</v>
      </c>
      <c r="C3207" s="154">
        <f>IFERROR(__xludf.DUMMYFUNCTION("""COMPUTED_VALUE"""),45692.0)</f>
        <v>45692</v>
      </c>
      <c r="D3207" s="154">
        <f>IFERROR(__xludf.DUMMYFUNCTION("""COMPUTED_VALUE"""),45762.0)</f>
        <v>45762</v>
      </c>
      <c r="E3207" s="158">
        <f>IFERROR(__xludf.DUMMYFUNCTION("""COMPUTED_VALUE"""),322248.0)</f>
        <v>322248</v>
      </c>
      <c r="F3207" s="159" t="str">
        <f>IFERROR(__xludf.DUMMYFUNCTION("""COMPUTED_VALUE"""),"九条家のシキタリ。～子作りレッスンのはずが堅物執事に溺愛されています～")</f>
        <v>九条家のシキタリ。～子作りレッスンのはずが堅物執事に溺愛されています～</v>
      </c>
      <c r="G3207" s="152" t="str">
        <f>IFERROR(__xludf.DUMMYFUNCTION("""COMPUTED_VALUE"""),"1～3")</f>
        <v>1～3</v>
      </c>
      <c r="H3207" s="152" t="str">
        <f>IFERROR(__xludf.DUMMYFUNCTION("""COMPUTED_VALUE"""),"おぢい")</f>
        <v>おぢい</v>
      </c>
      <c r="I3207" s="152" t="str">
        <f>IFERROR(__xludf.DUMMYFUNCTION("""COMPUTED_VALUE"""),"TL")</f>
        <v>TL</v>
      </c>
      <c r="J3207" s="157"/>
      <c r="K3207" s="152" t="str">
        <f>IFERROR(__xludf.DUMMYFUNCTION("""COMPUTED_VALUE"""),"TL★オトメチカ")</f>
        <v>TL★オトメチカ</v>
      </c>
      <c r="L3207" s="152" t="str">
        <f>IFERROR(__xludf.DUMMYFUNCTION("""COMPUTED_VALUE"""),"CLLENN")</f>
        <v>CLLENN</v>
      </c>
      <c r="M3207" s="154">
        <f>IFERROR(__xludf.DUMMYFUNCTION("""COMPUTED_VALUE"""),45795.0)</f>
        <v>45795</v>
      </c>
      <c r="N3207" s="154">
        <f>IFERROR(__xludf.DUMMYFUNCTION("""COMPUTED_VALUE"""),45857.0)</f>
        <v>45857</v>
      </c>
      <c r="O3207" s="152"/>
      <c r="P3207" s="152" t="str">
        <f>IFERROR(__xludf.DUMMYFUNCTION("""COMPUTED_VALUE"""),"可")</f>
        <v>可</v>
      </c>
      <c r="Q3207" s="152" t="str">
        <f>IFERROR(__xludf.DUMMYFUNCTION("""COMPUTED_VALUE"""),"連載先行&lt;BR&gt;TL版をＴＬ★オトメチカ 、メンズ版をカゲキヤコミックで配信予定となります。同時配信予定です。")</f>
        <v>連載先行&lt;BR&gt;TL版をＴＬ★オトメチカ 、メンズ版をカゲキヤコミックで配信予定となります。同時配信予定です。</v>
      </c>
      <c r="R3207" s="152" t="str">
        <f>IFERROR(__xludf.DUMMYFUNCTION("""COMPUTED_VALUE"""),"コミットOK")</f>
        <v>コミットOK</v>
      </c>
      <c r="S3207" s="152" t="str">
        <f>IFERROR(__xludf.DUMMYFUNCTION("""COMPUTED_VALUE"""),"20250415_CLLENN_九条家のシキタリ。～子作りレッスンのはずが堅物執事に溺愛されています～")</f>
        <v>20250415_CLLENN_九条家のシキタリ。～子作りレッスンのはずが堅物執事に溺愛されています～</v>
      </c>
      <c r="T3207" s="152" t="str">
        <f>IFERROR(__xludf.DUMMYFUNCTION("""COMPUTED_VALUE"""),"格納済み")</f>
        <v>格納済み</v>
      </c>
      <c r="U3207" s="15" t="str">
        <f>IFERROR(__xludf.DUMMYFUNCTION("""COMPUTED_VALUE"""),"Ⓒおぢい/CLLENN")</f>
        <v>Ⓒおぢい/CLLENN</v>
      </c>
      <c r="V3207" s="8" t="str">
        <f>IFERROR(__xludf.DUMMYFUNCTION("""COMPUTED_VALUE"""),"「知らなかった、子作りの特訓がこんなに激しいなんて…！」──日本随一の名家・九条家の跡取りとして生まれた私…美冬は、婿を迎え入れる前に子作りの特訓をすることになった。でもまさか、特訓の相手は…私の執事の基さん!? 基さんは無口だけど特訓中はとても優しい。しかも、アレがすごく大きくて「これが私のナカに…」と考えるだけで、お腹の奥が熱くなっちゃう…。基さんはいつも恋人のように触れてきて、このままじゃ私、勘違いしちゃいそう…！ ※この作品はカゲキヤコミックの『九条家のシキタリ。～子作りレッスンのはずが堅物執事に"&amp;"溺愛されています～【R版】』をTL版に再編集したものです。重複購入にお気を付けください。")</f>
        <v>「知らなかった、子作りの特訓がこんなに激しいなんて…！」──日本随一の名家・九条家の跡取りとして生まれた私…美冬は、婿を迎え入れる前に子作りの特訓をすることになった。でもまさか、特訓の相手は…私の執事の基さん!? 基さんは無口だけど特訓中はとても優しい。しかも、アレがすごく大きくて「これが私のナカに…」と考えるだけで、お腹の奥が熱くなっちゃう…。基さんはいつも恋人のように触れてきて、このままじゃ私、勘違いしちゃいそう…！ ※この作品はカゲキヤコミックの『九条家のシキタリ。～子作りレッスンのはずが堅物執事に溺愛されています～【R版】』をTL版に再編集したものです。重複購入にお気を付けください。</v>
      </c>
      <c r="W3207" s="14"/>
      <c r="X3207" s="14" t="str">
        <f>IFERROR(__xludf.DUMMYFUNCTION("""COMPUTED_VALUE"""),"有")</f>
        <v>有</v>
      </c>
      <c r="Y3207" s="8" t="str">
        <f>IFERROR(__xludf.DUMMYFUNCTION("""COMPUTED_VALUE"""),"P10まで")</f>
        <v>P10まで</v>
      </c>
      <c r="Z3207" s="7"/>
      <c r="AA3207" s="7"/>
      <c r="AB3207" s="7"/>
    </row>
    <row r="3208" ht="15.75" customHeight="1">
      <c r="A3208" s="153">
        <f>IFERROR(__xludf.DUMMYFUNCTION("""COMPUTED_VALUE"""),4951.0)</f>
        <v>4951</v>
      </c>
      <c r="B3208" s="152" t="str">
        <f>IFERROR(__xludf.DUMMYFUNCTION("""COMPUTED_VALUE"""),"確定")</f>
        <v>確定</v>
      </c>
      <c r="C3208" s="154">
        <f>IFERROR(__xludf.DUMMYFUNCTION("""COMPUTED_VALUE"""),45692.0)</f>
        <v>45692</v>
      </c>
      <c r="D3208" s="154">
        <f>IFERROR(__xludf.DUMMYFUNCTION("""COMPUTED_VALUE"""),45762.0)</f>
        <v>45762</v>
      </c>
      <c r="E3208" s="158">
        <f>IFERROR(__xludf.DUMMYFUNCTION("""COMPUTED_VALUE"""),322397.0)</f>
        <v>322397</v>
      </c>
      <c r="F3208" s="159" t="str">
        <f>IFERROR(__xludf.DUMMYFUNCTION("""COMPUTED_VALUE"""),"九条家のシキタリ。～子作りレッスンのはずが堅物執事に溺愛されています～【R版】")</f>
        <v>九条家のシキタリ。～子作りレッスンのはずが堅物執事に溺愛されています～【R版】</v>
      </c>
      <c r="G3208" s="152" t="str">
        <f>IFERROR(__xludf.DUMMYFUNCTION("""COMPUTED_VALUE"""),"1～3")</f>
        <v>1～3</v>
      </c>
      <c r="H3208" s="152" t="str">
        <f>IFERROR(__xludf.DUMMYFUNCTION("""COMPUTED_VALUE"""),"おぢい")</f>
        <v>おぢい</v>
      </c>
      <c r="I3208" s="152" t="str">
        <f>IFERROR(__xludf.DUMMYFUNCTION("""COMPUTED_VALUE"""),"アダルトマンガ")</f>
        <v>アダルトマンガ</v>
      </c>
      <c r="J3208" s="157"/>
      <c r="K3208" s="152" t="str">
        <f>IFERROR(__xludf.DUMMYFUNCTION("""COMPUTED_VALUE"""),"カゲキヤコミック")</f>
        <v>カゲキヤコミック</v>
      </c>
      <c r="L3208" s="152" t="str">
        <f>IFERROR(__xludf.DUMMYFUNCTION("""COMPUTED_VALUE"""),"DEEPER-ZERO")</f>
        <v>DEEPER-ZERO</v>
      </c>
      <c r="M3208" s="154">
        <f>IFERROR(__xludf.DUMMYFUNCTION("""COMPUTED_VALUE"""),45795.0)</f>
        <v>45795</v>
      </c>
      <c r="N3208" s="154">
        <f>IFERROR(__xludf.DUMMYFUNCTION("""COMPUTED_VALUE"""),45857.0)</f>
        <v>45857</v>
      </c>
      <c r="O3208" s="152"/>
      <c r="P3208" s="152" t="str">
        <f>IFERROR(__xludf.DUMMYFUNCTION("""COMPUTED_VALUE"""),"可")</f>
        <v>可</v>
      </c>
      <c r="Q3208" s="152" t="str">
        <f>IFERROR(__xludf.DUMMYFUNCTION("""COMPUTED_VALUE"""),"連載先行&lt;BR&gt;TL版をＴＬ★オトメチカ 、メンズ版をカゲキヤコミックで配信予定となります。同時配信予定です。")</f>
        <v>連載先行&lt;BR&gt;TL版をＴＬ★オトメチカ 、メンズ版をカゲキヤコミックで配信予定となります。同時配信予定です。</v>
      </c>
      <c r="R3208" s="152" t="str">
        <f>IFERROR(__xludf.DUMMYFUNCTION("""COMPUTED_VALUE"""),"コミットOK")</f>
        <v>コミットOK</v>
      </c>
      <c r="S3208" s="152" t="str">
        <f>IFERROR(__xludf.DUMMYFUNCTION("""COMPUTED_VALUE"""),"20250415_DEEPER-ZERO_九条家のシキタリ。～子作りレッスンのはずが堅物執事に溺愛されています～【R版】")</f>
        <v>20250415_DEEPER-ZERO_九条家のシキタリ。～子作りレッスンのはずが堅物執事に溺愛されています～【R版】</v>
      </c>
      <c r="T3208" s="152" t="str">
        <f>IFERROR(__xludf.DUMMYFUNCTION("""COMPUTED_VALUE"""),"格納済み")</f>
        <v>格納済み</v>
      </c>
      <c r="U3208" s="15" t="str">
        <f>IFERROR(__xludf.DUMMYFUNCTION("""COMPUTED_VALUE"""),"Ⓒおぢい/DEEPER-ZERO")</f>
        <v>Ⓒおぢい/DEEPER-ZERO</v>
      </c>
      <c r="V3208" s="8" t="str">
        <f>IFERROR(__xludf.DUMMYFUNCTION("""COMPUTED_VALUE"""),"「知らなかった、子作りの特訓がこんなに激しいなんて…！」──日本随一の名家・九条家の跡取りとして生まれた私…美冬は、婿を迎え入れる前に子作りの特訓をすることになった。でもまさか、特訓の相手は…私の執事の基さん!? 基さんは無口だけど特訓中はとても優しい。しかも、アレがすごく大きくて「これが私のナカに…」と考えるだけで、お腹の奥が熱くなっちゃう…。基さんはいつも恋人のように触れてきて、このままじゃ私、勘違いしちゃいそう…！ ※この作品はTLオトメチカの『九条家のシキタリ。～子作りレッスンのはずが堅物執事に溺"&amp;"愛されています～』をR版に再編集したものです。重複購入にお気を付けください。")</f>
        <v>「知らなかった、子作りの特訓がこんなに激しいなんて…！」──日本随一の名家・九条家の跡取りとして生まれた私…美冬は、婿を迎え入れる前に子作りの特訓をすることになった。でもまさか、特訓の相手は…私の執事の基さん!? 基さんは無口だけど特訓中はとても優しい。しかも、アレがすごく大きくて「これが私のナカに…」と考えるだけで、お腹の奥が熱くなっちゃう…。基さんはいつも恋人のように触れてきて、このままじゃ私、勘違いしちゃいそう…！ ※この作品はTLオトメチカの『九条家のシキタリ。～子作りレッスンのはずが堅物執事に溺愛されています～』をR版に再編集したものです。重複購入にお気を付けください。</v>
      </c>
      <c r="W3208" s="14"/>
      <c r="X3208" s="14" t="str">
        <f>IFERROR(__xludf.DUMMYFUNCTION("""COMPUTED_VALUE"""),"有")</f>
        <v>有</v>
      </c>
      <c r="Y3208" s="8" t="str">
        <f>IFERROR(__xludf.DUMMYFUNCTION("""COMPUTED_VALUE"""),"P10まで")</f>
        <v>P10まで</v>
      </c>
      <c r="Z3208" s="7"/>
      <c r="AA3208" s="7"/>
      <c r="AB3208" s="7"/>
    </row>
    <row r="3209" ht="15.75" customHeight="1">
      <c r="A3209" s="153">
        <f>IFERROR(__xludf.DUMMYFUNCTION("""COMPUTED_VALUE"""),5079.0)</f>
        <v>5079</v>
      </c>
      <c r="B3209" s="152" t="str">
        <f>IFERROR(__xludf.DUMMYFUNCTION("""COMPUTED_VALUE"""),"確定")</f>
        <v>確定</v>
      </c>
      <c r="C3209" s="154">
        <f>IFERROR(__xludf.DUMMYFUNCTION("""COMPUTED_VALUE"""),45709.0)</f>
        <v>45709</v>
      </c>
      <c r="D3209" s="154">
        <f>IFERROR(__xludf.DUMMYFUNCTION("""COMPUTED_VALUE"""),45763.0)</f>
        <v>45763</v>
      </c>
      <c r="E3209" s="158">
        <f>IFERROR(__xludf.DUMMYFUNCTION("""COMPUTED_VALUE"""),321216.0)</f>
        <v>321216</v>
      </c>
      <c r="F3209" s="159" t="str">
        <f>IFERROR(__xludf.DUMMYFUNCTION("""COMPUTED_VALUE"""),"【単話】私、嫌われ皇妃で構いません！")</f>
        <v>【単話】私、嫌われ皇妃で構いません！</v>
      </c>
      <c r="G3209" s="152" t="str">
        <f>IFERROR(__xludf.DUMMYFUNCTION("""COMPUTED_VALUE"""),"1～5")</f>
        <v>1～5</v>
      </c>
      <c r="H3209" s="152" t="str">
        <f>IFERROR(__xludf.DUMMYFUNCTION("""COMPUTED_VALUE"""),"漫画：桜倉メグ 原作：雨川透子")</f>
        <v>漫画：桜倉メグ 原作：雨川透子</v>
      </c>
      <c r="I3209" s="161" t="str">
        <f>IFERROR(__xludf.DUMMYFUNCTION("""COMPUTED_VALUE"""),"女性")</f>
        <v>女性</v>
      </c>
      <c r="J3209" s="157"/>
      <c r="K3209" s="157"/>
      <c r="L3209" s="152" t="str">
        <f>IFERROR(__xludf.DUMMYFUNCTION("""COMPUTED_VALUE"""),"KADOKAWA")</f>
        <v>KADOKAWA</v>
      </c>
      <c r="M3209" s="154">
        <f>IFERROR(__xludf.DUMMYFUNCTION("""COMPUTED_VALUE"""),45793.0)</f>
        <v>45793</v>
      </c>
      <c r="N3209" s="198">
        <f>IFERROR(__xludf.DUMMYFUNCTION("""COMPUTED_VALUE"""),45917.0)</f>
        <v>45917</v>
      </c>
      <c r="O3209" s="152"/>
      <c r="P3209" s="190" t="str">
        <f>IFERROR(__xludf.DUMMYFUNCTION("""COMPUTED_VALUE"""),"否")</f>
        <v>否</v>
      </c>
      <c r="Q3209" s="190"/>
      <c r="R3209" s="152"/>
      <c r="S3209" s="152" t="str">
        <f>IFERROR(__xludf.DUMMYFUNCTION("""COMPUTED_VALUE"""),"20250415_KADOKAWA_【単話】私、嫌われ皇妃で構いません！")</f>
        <v>20250415_KADOKAWA_【単話】私、嫌われ皇妃で構いません！</v>
      </c>
      <c r="T3209" s="152" t="str">
        <f>IFERROR(__xludf.DUMMYFUNCTION("""COMPUTED_VALUE"""),"格納済み")</f>
        <v>格納済み</v>
      </c>
      <c r="U3209" s="15" t="str">
        <f>IFERROR(__xludf.DUMMYFUNCTION("""COMPUTED_VALUE"""),"(C)Megu Sakura (C)Touko Amekawa")</f>
        <v>(C)Megu Sakura (C)Touko Amekawa</v>
      </c>
      <c r="V3209" s="8" t="str">
        <f>IFERROR(__xludf.DUMMYFUNCTION("""COMPUTED_VALUE"""),"前世が千年前に世界を救った聖女だっとことを思い出したシェイラ。前世で自国と戦争をしていた敵国の王子に一目惚れをし、恋心を秘めた内に亡くなっていた。どうやら彼はこの時代では、前世は悪しき王として語り継がれている。しかし本当は世界を守るために彼は死を選んでいた。今世でも王女となったシェイラは、前世に一目ぼれをした彼と全く同じ外見で、年齢だけ幼くした姿の少年クライヴと出会う。しかしクライヴは前世のことを覚えていない様子。前世では敵同士で、それ故に、想いを告げることすら許されなかった後悔の念が強いシェイラは、めげ"&amp;"ない愛情をもって迫る。だが、シェイラは知らない。なんとクライヴにも前世の記憶があり、前世からきっちりと、とっくにシェイラに惚れ込んでいた。前世のしがらみから恋心を明かさないクライヴと、そうとは気付かずにぐいぐい迫るシェイラの、世界の命運をかけた恋と攻防が始まる。")</f>
        <v>前世が千年前に世界を救った聖女だっとことを思い出したシェイラ。前世で自国と戦争をしていた敵国の王子に一目惚れをし、恋心を秘めた内に亡くなっていた。どうやら彼はこの時代では、前世は悪しき王として語り継がれている。しかし本当は世界を守るために彼は死を選んでいた。今世でも王女となったシェイラは、前世に一目ぼれをした彼と全く同じ外見で、年齢だけ幼くした姿の少年クライヴと出会う。しかしクライヴは前世のことを覚えていない様子。前世では敵同士で、それ故に、想いを告げることすら許されなかった後悔の念が強いシェイラは、めげない愛情をもって迫る。だが、シェイラは知らない。なんとクライヴにも前世の記憶があり、前世からきっちりと、とっくにシェイラに惚れ込んでいた。前世のしがらみから恋心を明かさないクライヴと、そうとは気付かずにぐいぐい迫るシェイラの、世界の命運をかけた恋と攻防が始まる。</v>
      </c>
      <c r="W3209" s="14"/>
      <c r="X3209" s="14" t="str">
        <f>IFERROR(__xludf.DUMMYFUNCTION("""COMPUTED_VALUE"""),"有")</f>
        <v>有</v>
      </c>
      <c r="Y3209" s="8" t="str">
        <f>IFERROR(__xludf.DUMMYFUNCTION("""COMPUTED_VALUE"""),"2025/5/29まで1~2巻無料")</f>
        <v>2025/5/29まで1~2巻無料</v>
      </c>
      <c r="Z3209" s="7"/>
      <c r="AA3209" s="7"/>
      <c r="AB3209" s="7"/>
    </row>
    <row r="3210" ht="15.75" customHeight="1">
      <c r="A3210" s="153">
        <f>IFERROR(__xludf.DUMMYFUNCTION("""COMPUTED_VALUE"""),5083.0)</f>
        <v>5083</v>
      </c>
      <c r="B3210" s="152" t="str">
        <f>IFERROR(__xludf.DUMMYFUNCTION("""COMPUTED_VALUE"""),"確定")</f>
        <v>確定</v>
      </c>
      <c r="C3210" s="154">
        <f>IFERROR(__xludf.DUMMYFUNCTION("""COMPUTED_VALUE"""),45713.0)</f>
        <v>45713</v>
      </c>
      <c r="D3210" s="154">
        <f>IFERROR(__xludf.DUMMYFUNCTION("""COMPUTED_VALUE"""),45758.0)</f>
        <v>45758</v>
      </c>
      <c r="E3210" s="158">
        <f>IFERROR(__xludf.DUMMYFUNCTION("""COMPUTED_VALUE"""),323312.0)</f>
        <v>323312</v>
      </c>
      <c r="F3210" s="159" t="str">
        <f>IFERROR(__xludf.DUMMYFUNCTION("""COMPUTED_VALUE"""),"この関西人がウザすぎる!!〜なにわギャルとイケズ京男に振り回されています〜【分冊版】")</f>
        <v>この関西人がウザすぎる!!〜なにわギャルとイケズ京男に振り回されています〜【分冊版】</v>
      </c>
      <c r="G3210" s="161" t="str">
        <f>IFERROR(__xludf.DUMMYFUNCTION("""COMPUTED_VALUE"""),"1～6")</f>
        <v>1～6</v>
      </c>
      <c r="H3210" s="152" t="str">
        <f>IFERROR(__xludf.DUMMYFUNCTION("""COMPUTED_VALUE"""),"ささみりせ")</f>
        <v>ささみりせ</v>
      </c>
      <c r="I3210" s="152" t="str">
        <f>IFERROR(__xludf.DUMMYFUNCTION("""COMPUTED_VALUE"""),"女性")</f>
        <v>女性</v>
      </c>
      <c r="J3210" s="157"/>
      <c r="K3210" s="157"/>
      <c r="L3210" s="152" t="str">
        <f>IFERROR(__xludf.DUMMYFUNCTION("""COMPUTED_VALUE"""),"マンガボックス")</f>
        <v>マンガボックス</v>
      </c>
      <c r="M3210" s="154">
        <f>IFERROR(__xludf.DUMMYFUNCTION("""COMPUTED_VALUE"""),45793.0)</f>
        <v>45793</v>
      </c>
      <c r="N3210" s="154">
        <f>IFERROR(__xludf.DUMMYFUNCTION("""COMPUTED_VALUE"""),45884.0)</f>
        <v>45884</v>
      </c>
      <c r="O3210" s="152"/>
      <c r="P3210" s="152" t="str">
        <f>IFERROR(__xludf.DUMMYFUNCTION("""COMPUTED_VALUE"""),"可")</f>
        <v>可</v>
      </c>
      <c r="Q3210" s="152" t="str">
        <f>IFERROR(__xludf.DUMMYFUNCTION("""COMPUTED_VALUE"""),"1～3巻の素材で制作のほどよろしくお願いいたします。")</f>
        <v>1～3巻の素材で制作のほどよろしくお願いいたします。</v>
      </c>
      <c r="R3210" s="152" t="str">
        <f>IFERROR(__xludf.DUMMYFUNCTION("""COMPUTED_VALUE"""),"コミットNG")</f>
        <v>コミットNG</v>
      </c>
      <c r="S3210" s="152" t="str">
        <f>IFERROR(__xludf.DUMMYFUNCTION("""COMPUTED_VALUE"""),"20250410_マンガボックス_この関西人がウザすぎる!!〜なにわギャルとイケズ京男に振り回されています〜")</f>
        <v>20250410_マンガボックス_この関西人がウザすぎる!!〜なにわギャルとイケズ京男に振り回されています〜</v>
      </c>
      <c r="T3210" s="152" t="str">
        <f>IFERROR(__xludf.DUMMYFUNCTION("""COMPUTED_VALUE"""),"格納済み")</f>
        <v>格納済み</v>
      </c>
      <c r="U3210" s="15" t="str">
        <f>IFERROR(__xludf.DUMMYFUNCTION("""COMPUTED_VALUE"""),"Ⓒささみりせ/マンガボックス")</f>
        <v>Ⓒささみりせ/マンガボックス</v>
      </c>
      <c r="V3210" s="8" t="str">
        <f>IFERROR(__xludf.DUMMYFUNCTION("""COMPUTED_VALUE"""),"「私は絶対東京に帰るんです！」
商社の営業部に勤める鈴木那月は東京本社で大きなミスをしてしまい、大阪支社へと左遷されてしまう。学生時代のトラウマで大阪に苦手意識を持ち、早く結果を残して東京へ戻りたいと思っていた那月。しかし努力むなしく契約本数はゼロ。仕事で落ち込む帰り道、伊藤ひまりが現れる。派手な見た目で強引なザ大阪人・ひまりに戸惑う那月だったが、率直で温かみのある言葉に救われて……!?
ポンコツ女子×オトコマエ女子＋いけずな京男＝関西発！ 三角関係ラブコメディ!?")</f>
        <v>「私は絶対東京に帰るんです！」
商社の営業部に勤める鈴木那月は東京本社で大きなミスをしてしまい、大阪支社へと左遷されてしまう。学生時代のトラウマで大阪に苦手意識を持ち、早く結果を残して東京へ戻りたいと思っていた那月。しかし努力むなしく契約本数はゼロ。仕事で落ち込む帰り道、伊藤ひまりが現れる。派手な見た目で強引なザ大阪人・ひまりに戸惑う那月だったが、率直で温かみのある言葉に救われて……!?
ポンコツ女子×オトコマエ女子＋いけずな京男＝関西発！ 三角関係ラブコメディ!?</v>
      </c>
      <c r="W3210" s="14"/>
      <c r="X3210" s="14" t="str">
        <f>IFERROR(__xludf.DUMMYFUNCTION("""COMPUTED_VALUE"""),"有")</f>
        <v>有</v>
      </c>
      <c r="Y3210" s="8" t="str">
        <f>IFERROR(__xludf.DUMMYFUNCTION("""COMPUTED_VALUE"""),"2025/6/5まで1巻無料")</f>
        <v>2025/6/5まで1巻無料</v>
      </c>
      <c r="Z3210" s="7"/>
      <c r="AA3210" s="7"/>
      <c r="AB3210" s="7"/>
    </row>
    <row r="3211" ht="15.75" customHeight="1">
      <c r="A3211" s="153">
        <f>IFERROR(__xludf.DUMMYFUNCTION("""COMPUTED_VALUE"""),5108.0)</f>
        <v>5108</v>
      </c>
      <c r="B3211" s="152" t="str">
        <f>IFERROR(__xludf.DUMMYFUNCTION("""COMPUTED_VALUE"""),"確定")</f>
        <v>確定</v>
      </c>
      <c r="C3211" s="154">
        <f>IFERROR(__xludf.DUMMYFUNCTION("""COMPUTED_VALUE"""),45714.0)</f>
        <v>45714</v>
      </c>
      <c r="D3211" s="154">
        <f>IFERROR(__xludf.DUMMYFUNCTION("""COMPUTED_VALUE"""),45763.0)</f>
        <v>45763</v>
      </c>
      <c r="E3211" s="158">
        <f>IFERROR(__xludf.DUMMYFUNCTION("""COMPUTED_VALUE"""),322360.0)</f>
        <v>322360</v>
      </c>
      <c r="F3211" s="159" t="str">
        <f>IFERROR(__xludf.DUMMYFUNCTION("""COMPUTED_VALUE"""),"ちぐはぐコンフォート")</f>
        <v>ちぐはぐコンフォート</v>
      </c>
      <c r="G3211" s="152" t="str">
        <f>IFERROR(__xludf.DUMMYFUNCTION("""COMPUTED_VALUE"""),"1～2")</f>
        <v>1～2</v>
      </c>
      <c r="H3211" s="152" t="str">
        <f>IFERROR(__xludf.DUMMYFUNCTION("""COMPUTED_VALUE"""),"はすもと")</f>
        <v>はすもと</v>
      </c>
      <c r="I3211" s="152" t="str">
        <f>IFERROR(__xludf.DUMMYFUNCTION("""COMPUTED_VALUE"""),"BL")</f>
        <v>BL</v>
      </c>
      <c r="J3211" s="157"/>
      <c r="K3211" s="152" t="str">
        <f>IFERROR(__xludf.DUMMYFUNCTION("""COMPUTED_VALUE"""),"MooiComics")</f>
        <v>MooiComics</v>
      </c>
      <c r="L3211" s="152" t="str">
        <f>IFERROR(__xludf.DUMMYFUNCTION("""COMPUTED_VALUE"""),"CLLENN")</f>
        <v>CLLENN</v>
      </c>
      <c r="M3211" s="154">
        <f>IFERROR(__xludf.DUMMYFUNCTION("""COMPUTED_VALUE"""),45797.0)</f>
        <v>45797</v>
      </c>
      <c r="N3211" s="198">
        <f>IFERROR(__xludf.DUMMYFUNCTION("""COMPUTED_VALUE"""),45852.0)</f>
        <v>45852</v>
      </c>
      <c r="O3211" s="152"/>
      <c r="P3211" s="152" t="str">
        <f>IFERROR(__xludf.DUMMYFUNCTION("""COMPUTED_VALUE"""),"可")</f>
        <v>可</v>
      </c>
      <c r="Q3211" s="152" t="str">
        <f>IFERROR(__xludf.DUMMYFUNCTION("""COMPUTED_VALUE"""),"すでに他社様でデビュー済みの先生です。かわいらしいケモ耳キャラが魅力の1作です。&lt;BR&gt;")</f>
        <v>すでに他社様でデビュー済みの先生です。かわいらしいケモ耳キャラが魅力の1作です。&lt;BR&gt;</v>
      </c>
      <c r="R3211" s="152" t="str">
        <f>IFERROR(__xludf.DUMMYFUNCTION("""COMPUTED_VALUE"""),"コミットOK")</f>
        <v>コミットOK</v>
      </c>
      <c r="S3211" s="152" t="str">
        <f>IFERROR(__xludf.DUMMYFUNCTION("""COMPUTED_VALUE"""),"20250416_CLLENN_ちぐはぐコンフォート")</f>
        <v>20250416_CLLENN_ちぐはぐコンフォート</v>
      </c>
      <c r="T3211" s="152" t="str">
        <f>IFERROR(__xludf.DUMMYFUNCTION("""COMPUTED_VALUE"""),"格納済み")</f>
        <v>格納済み</v>
      </c>
      <c r="U3211" s="15" t="str">
        <f>IFERROR(__xludf.DUMMYFUNCTION("""COMPUTED_VALUE"""),"Ⓒはすもと/CLLENN")</f>
        <v>Ⓒはすもと/CLLENN</v>
      </c>
      <c r="V3211" s="8" t="str">
        <f>IFERROR(__xludf.DUMMYFUNCTION("""COMPUTED_VALUE"""),"「もー限界 警戒心なさすぎ」
ある日街中を歩いていた大学4年生の永野 結希(ながの ゆうき)の前に、突然見ず知らずの男が倒れ込んできてしまう。
何が起こったか分からないまま、倒れた男の顔をよくよく見ると……狼の獣人で大人気モデルのヒビキ!?
その後モデル事務所の社長から「彼の添い寝をしていただけませんか？」と破格のバイト代を提示され、誘惑に負けてしまった結希は思わず引き受けてしまう。
しかし、バイトの初日から獣人の発情期に遭遇してしまって…。
「…まだ 足りない」添い寝ってこんなことまでしなくち"&amp;"ゃいけないの──!?
【人間嫌いな狼獣人のモデル×お人好しな真面目大学生】不器用でちぐはぐなふたりの再会じれキュンラブ！")</f>
        <v>「もー限界 警戒心なさすぎ」
ある日街中を歩いていた大学4年生の永野 結希(ながの ゆうき)の前に、突然見ず知らずの男が倒れ込んできてしまう。
何が起こったか分からないまま、倒れた男の顔をよくよく見ると……狼の獣人で大人気モデルのヒビキ!?
その後モデル事務所の社長から「彼の添い寝をしていただけませんか？」と破格のバイト代を提示され、誘惑に負けてしまった結希は思わず引き受けてしまう。
しかし、バイトの初日から獣人の発情期に遭遇してしまって…。
「…まだ 足りない」添い寝ってこんなことまでしなくちゃいけないの──!?
【人間嫌いな狼獣人のモデル×お人好しな真面目大学生】不器用でちぐはぐなふたりの再会じれキュンラブ！</v>
      </c>
      <c r="W3211" s="14"/>
      <c r="X3211" s="14" t="str">
        <f>IFERROR(__xludf.DUMMYFUNCTION("""COMPUTED_VALUE"""),"有")</f>
        <v>有</v>
      </c>
      <c r="Y3211" s="8" t="str">
        <f>IFERROR(__xludf.DUMMYFUNCTION("""COMPUTED_VALUE"""),"2025/6/2まで1巻立ち読み増量（P16まで）")</f>
        <v>2025/6/2まで1巻立ち読み増量（P16まで）</v>
      </c>
      <c r="Z3211" s="7"/>
      <c r="AA3211" s="7"/>
      <c r="AB3211" s="7"/>
    </row>
    <row r="3212" ht="15.75" customHeight="1">
      <c r="A3212" s="153">
        <f>IFERROR(__xludf.DUMMYFUNCTION("""COMPUTED_VALUE"""),5174.0)</f>
        <v>5174</v>
      </c>
      <c r="B3212" s="152" t="str">
        <f>IFERROR(__xludf.DUMMYFUNCTION("""COMPUTED_VALUE"""),"確定")</f>
        <v>確定</v>
      </c>
      <c r="C3212" s="154">
        <f>IFERROR(__xludf.DUMMYFUNCTION("""COMPUTED_VALUE"""),45720.0)</f>
        <v>45720</v>
      </c>
      <c r="D3212" s="154">
        <f>IFERROR(__xludf.DUMMYFUNCTION("""COMPUTED_VALUE"""),45761.0)</f>
        <v>45761</v>
      </c>
      <c r="E3212" s="155">
        <f>IFERROR(__xludf.DUMMYFUNCTION("""COMPUTED_VALUE"""),322460.0)</f>
        <v>322460</v>
      </c>
      <c r="F3212" s="156" t="str">
        <f>IFERROR(__xludf.DUMMYFUNCTION("""COMPUTED_VALUE"""),"龍神様の押しかけ婚～人ならざる指と舌使いで今夜も秘蜜を絡めとる～")</f>
        <v>龍神様の押しかけ婚～人ならざる指と舌使いで今夜も秘蜜を絡めとる～</v>
      </c>
      <c r="G3212" s="152" t="str">
        <f>IFERROR(__xludf.DUMMYFUNCTION("""COMPUTED_VALUE"""),"1～3")</f>
        <v>1～3</v>
      </c>
      <c r="H3212" s="152" t="str">
        <f>IFERROR(__xludf.DUMMYFUNCTION("""COMPUTED_VALUE"""),"龍華哲")</f>
        <v>龍華哲</v>
      </c>
      <c r="I3212" s="152" t="str">
        <f>IFERROR(__xludf.DUMMYFUNCTION("""COMPUTED_VALUE"""),"TL")</f>
        <v>TL</v>
      </c>
      <c r="J3212" s="157"/>
      <c r="K3212" s="152" t="str">
        <f>IFERROR(__xludf.DUMMYFUNCTION("""COMPUTED_VALUE"""),"メルト")</f>
        <v>メルト</v>
      </c>
      <c r="L3212" s="152" t="str">
        <f>IFERROR(__xludf.DUMMYFUNCTION("""COMPUTED_VALUE"""),"小学館")</f>
        <v>小学館</v>
      </c>
      <c r="M3212" s="154">
        <f>IFERROR(__xludf.DUMMYFUNCTION("""COMPUTED_VALUE"""),45779.0)</f>
        <v>45779</v>
      </c>
      <c r="N3212" s="154">
        <f>IFERROR(__xludf.DUMMYFUNCTION("""COMPUTED_VALUE"""),45806.0)</f>
        <v>45806</v>
      </c>
      <c r="O3212" s="152"/>
      <c r="P3212" s="152" t="str">
        <f>IFERROR(__xludf.DUMMYFUNCTION("""COMPUTED_VALUE"""),"可")</f>
        <v>可</v>
      </c>
      <c r="Q3212" s="152" t="str">
        <f>IFERROR(__xludf.DUMMYFUNCTION("""COMPUTED_VALUE"""),"・広告出稿されれば先行期間延長可能&lt;BR&gt;・絶対嫁入りさせたい龍神様 ✕ 霊媒体質な社畜女子による、奇妙な同棲ラブコメとなっております！ 和装オレ様男子の需要はきっとあると思いますので一度ご確認よろしくお願いいたします！")</f>
        <v>・広告出稿されれば先行期間延長可能&lt;BR&gt;・絶対嫁入りさせたい龍神様 ✕ 霊媒体質な社畜女子による、奇妙な同棲ラブコメとなっております！ 和装オレ様男子の需要はきっとあると思いますので一度ご確認よろしくお願いいたします！</v>
      </c>
      <c r="R3212" s="152" t="str">
        <f>IFERROR(__xludf.DUMMYFUNCTION("""COMPUTED_VALUE"""),"コミットNG")</f>
        <v>コミットNG</v>
      </c>
      <c r="S3212" s="152" t="str">
        <f>IFERROR(__xludf.DUMMYFUNCTION("""COMPUTED_VALUE"""),"20250414_小学館_龍神様の押しかけ婚～人ならざる指と舌使いで今夜も秘蜜を絡めとる～")</f>
        <v>20250414_小学館_龍神様の押しかけ婚～人ならざる指と舌使いで今夜も秘蜜を絡めとる～</v>
      </c>
      <c r="T3212" s="152" t="str">
        <f>IFERROR(__xludf.DUMMYFUNCTION("""COMPUTED_VALUE"""),"格納済み")</f>
        <v>格納済み</v>
      </c>
      <c r="U3212" s="15" t="str">
        <f>IFERROR(__xludf.DUMMYFUNCTION("""COMPUTED_VALUE"""),"(C)龍華哲 / 小学館")</f>
        <v>(C)龍華哲 / 小学館</v>
      </c>
      <c r="V3212" s="8" t="str">
        <f>IFERROR(__xludf.DUMMYFUNCTION("""COMPUTED_VALUE"""),"「往生際の悪いやつじゃの…だからと言ってやらぬ選択肢はないがな」■――社内デザイナーとして仕事に励む・長沼神楽（ながぬまかぐら）28歳、彼氏なし、処女。気がついたら同僚は婚約を決めているのに、仕事しかしていない！そんなある夜、神楽は帰宅途中で交通事故に遭い、死の淵に立たされる。するとどこからか着流し姿の龍神様・壬（じん）が現れ、神楽を生き返らせることができるという。しかしその「契り」には、情を交わす＝セックスをする必要が!?
初めてなのに、壬の手も舌も気持ちよくてたまらない…。怖いけど、もっと深く…もっ"&amp;"とさわってほしい…。さらに「契り」のあとには、龍神様に強制嫁入りが待ち受けていて――!?")</f>
        <v>「往生際の悪いやつじゃの…だからと言ってやらぬ選択肢はないがな」■――社内デザイナーとして仕事に励む・長沼神楽（ながぬまかぐら）28歳、彼氏なし、処女。気がついたら同僚は婚約を決めているのに、仕事しかしていない！そんなある夜、神楽は帰宅途中で交通事故に遭い、死の淵に立たされる。するとどこからか着流し姿の龍神様・壬（じん）が現れ、神楽を生き返らせることができるという。しかしその「契り」には、情を交わす＝セックスをする必要が!?
初めてなのに、壬の手も舌も気持ちよくてたまらない…。怖いけど、もっと深く…もっとさわってほしい…。さらに「契り」のあとには、龍神様に強制嫁入りが待ち受けていて――!?</v>
      </c>
      <c r="W3212" s="14"/>
      <c r="X3212" s="14" t="str">
        <f>IFERROR(__xludf.DUMMYFUNCTION("""COMPUTED_VALUE"""),"有")</f>
        <v>有</v>
      </c>
      <c r="Y3212" s="8" t="str">
        <f>IFERROR(__xludf.DUMMYFUNCTION("""COMPUTED_VALUE"""),"P6まで")</f>
        <v>P6まで</v>
      </c>
      <c r="Z3212" s="7"/>
      <c r="AA3212" s="7"/>
      <c r="AB3212" s="7"/>
    </row>
    <row r="3213" ht="15.75" customHeight="1">
      <c r="A3213" s="153">
        <f>IFERROR(__xludf.DUMMYFUNCTION("""COMPUTED_VALUE"""),5195.0)</f>
        <v>5195</v>
      </c>
      <c r="B3213" s="152" t="str">
        <f>IFERROR(__xludf.DUMMYFUNCTION("""COMPUTED_VALUE"""),"確定")</f>
        <v>確定</v>
      </c>
      <c r="C3213" s="154">
        <f>IFERROR(__xludf.DUMMYFUNCTION("""COMPUTED_VALUE"""),45722.0)</f>
        <v>45722</v>
      </c>
      <c r="D3213" s="154">
        <f>IFERROR(__xludf.DUMMYFUNCTION("""COMPUTED_VALUE"""),45762.0)</f>
        <v>45762</v>
      </c>
      <c r="E3213" s="158">
        <f>IFERROR(__xludf.DUMMYFUNCTION("""COMPUTED_VALUE"""),322258.0)</f>
        <v>322258</v>
      </c>
      <c r="F3213" s="159" t="str">
        <f>IFERROR(__xludf.DUMMYFUNCTION("""COMPUTED_VALUE"""),"前世は冷酷皇帝、今世は幼女（分冊版）")</f>
        <v>前世は冷酷皇帝、今世は幼女（分冊版）</v>
      </c>
      <c r="G3213" s="152" t="str">
        <f>IFERROR(__xludf.DUMMYFUNCTION("""COMPUTED_VALUE"""),"1～3")</f>
        <v>1～3</v>
      </c>
      <c r="H3213" s="152" t="str">
        <f>IFERROR(__xludf.DUMMYFUNCTION("""COMPUTED_VALUE"""),"遊喜じろう/漫画まさキチ/原作")</f>
        <v>遊喜じろう/漫画まさキチ/原作</v>
      </c>
      <c r="I3213" s="161" t="str">
        <f>IFERROR(__xludf.DUMMYFUNCTION("""COMPUTED_VALUE"""),"青年")</f>
        <v>青年</v>
      </c>
      <c r="J3213" s="157"/>
      <c r="K3213" s="157"/>
      <c r="L3213" s="152" t="str">
        <f>IFERROR(__xludf.DUMMYFUNCTION("""COMPUTED_VALUE"""),"アルファポリス")</f>
        <v>アルファポリス</v>
      </c>
      <c r="M3213" s="154">
        <f>IFERROR(__xludf.DUMMYFUNCTION("""COMPUTED_VALUE"""),45796.0)</f>
        <v>45796</v>
      </c>
      <c r="N3213" s="203">
        <f>IFERROR(__xludf.DUMMYFUNCTION("""COMPUTED_VALUE"""),45977.0)</f>
        <v>45977</v>
      </c>
      <c r="O3213" s="152"/>
      <c r="P3213" s="152" t="str">
        <f>IFERROR(__xludf.DUMMYFUNCTION("""COMPUTED_VALUE"""),"否")</f>
        <v>否</v>
      </c>
      <c r="Q3213" s="152" t="str">
        <f>IFERROR(__xludf.DUMMYFUNCTION("""COMPUTED_VALUE"""),"オーバーラップ「二度と家には帰りません」の作者の最新作&lt;BR&gt;売上低調な場合、連載途中で先行とりやめの可能性あり")</f>
        <v>オーバーラップ「二度と家には帰りません」の作者の最新作&lt;BR&gt;売上低調な場合、連載途中で先行とりやめの可能性あり</v>
      </c>
      <c r="R3213" s="152" t="str">
        <f>IFERROR(__xludf.DUMMYFUNCTION("""COMPUTED_VALUE"""),"コミットOK")</f>
        <v>コミットOK</v>
      </c>
      <c r="S3213" s="152" t="str">
        <f>IFERROR(__xludf.DUMMYFUNCTION("""COMPUTED_VALUE"""),"20250414_アルファポリス_前世は冷酷皇帝、今世は幼女（分冊版）")</f>
        <v>20250414_アルファポリス_前世は冷酷皇帝、今世は幼女（分冊版）</v>
      </c>
      <c r="T3213" s="152" t="str">
        <f>IFERROR(__xludf.DUMMYFUNCTION("""COMPUTED_VALUE"""),"格納済み")</f>
        <v>格納済み</v>
      </c>
      <c r="U3213" s="15" t="str">
        <f>IFERROR(__xludf.DUMMYFUNCTION("""COMPUTED_VALUE"""),"（C）まさキチ・遊喜じろう／アルファポリス")</f>
        <v>（C）まさキチ・遊喜じろう／アルファポリス</v>
      </c>
      <c r="V3213" s="8" t="str">
        <f>IFERROR(__xludf.DUMMYFUNCTION("""COMPUTED_VALUE"""),"「ユリアナ、お前の嫁ぎ先が決まった」　その言葉を聞いた瞬間、気弱な伯爵令嬢の中にあった、とある男の魂が覚醒した。　“冷酷皇帝”ユリウス――かつて数多の屍を積み上げ、大陸の覇者となった男は、幼女の姿で今世に転生したのだ。
一見争いのない平和な世にも、貧困や疫病、それらを利用する悪党共は絶えない。　皇帝の力と威厳をその身に宿す幼女が、そんな帝国を汚す悪を打ち払う――。　第16回ファンタジー小説大賞「キャラクター賞」受賞作、異色の痛快ファンタジーが待望のコミカライズ開幕！")</f>
        <v>「ユリアナ、お前の嫁ぎ先が決まった」　その言葉を聞いた瞬間、気弱な伯爵令嬢の中にあった、とある男の魂が覚醒した。　“冷酷皇帝”ユリウス――かつて数多の屍を積み上げ、大陸の覇者となった男は、幼女の姿で今世に転生したのだ。
一見争いのない平和な世にも、貧困や疫病、それらを利用する悪党共は絶えない。　皇帝の力と威厳をその身に宿す幼女が、そんな帝国を汚す悪を打ち払う――。　第16回ファンタジー小説大賞「キャラクター賞」受賞作、異色の痛快ファンタジーが待望のコミカライズ開幕！</v>
      </c>
      <c r="W3213" s="14"/>
      <c r="X3213" s="14" t="str">
        <f>IFERROR(__xludf.DUMMYFUNCTION("""COMPUTED_VALUE"""),"有")</f>
        <v>有</v>
      </c>
      <c r="Y3213" s="8" t="str">
        <f>IFERROR(__xludf.DUMMYFUNCTION("""COMPUTED_VALUE"""),"1巻無料")</f>
        <v>1巻無料</v>
      </c>
      <c r="Z3213" s="7"/>
      <c r="AA3213" s="7"/>
      <c r="AB3213" s="7"/>
    </row>
    <row r="3214" ht="15.75" customHeight="1">
      <c r="A3214" s="153">
        <f>IFERROR(__xludf.DUMMYFUNCTION("""COMPUTED_VALUE"""),5220.0)</f>
        <v>5220</v>
      </c>
      <c r="B3214" s="152" t="str">
        <f>IFERROR(__xludf.DUMMYFUNCTION("""COMPUTED_VALUE"""),"確定")</f>
        <v>確定</v>
      </c>
      <c r="C3214" s="154">
        <f>IFERROR(__xludf.DUMMYFUNCTION("""COMPUTED_VALUE"""),45727.0)</f>
        <v>45727</v>
      </c>
      <c r="D3214" s="154">
        <f>IFERROR(__xludf.DUMMYFUNCTION("""COMPUTED_VALUE"""),45763.0)</f>
        <v>45763</v>
      </c>
      <c r="E3214" s="158">
        <f>IFERROR(__xludf.DUMMYFUNCTION("""COMPUTED_VALUE"""),322407.0)</f>
        <v>322407</v>
      </c>
      <c r="F3214" s="159" t="str">
        <f>IFERROR(__xludf.DUMMYFUNCTION("""COMPUTED_VALUE"""),"【分冊版】のんのんの日常チャンネル")</f>
        <v>【分冊版】のんのんの日常チャンネル</v>
      </c>
      <c r="G3214" s="152" t="str">
        <f>IFERROR(__xludf.DUMMYFUNCTION("""COMPUTED_VALUE"""),"1～7")</f>
        <v>1～7</v>
      </c>
      <c r="H3214" s="152" t="str">
        <f>IFERROR(__xludf.DUMMYFUNCTION("""COMPUTED_VALUE"""),"路田行（ろたいこ）")</f>
        <v>路田行（ろたいこ）</v>
      </c>
      <c r="I3214" s="152" t="str">
        <f>IFERROR(__xludf.DUMMYFUNCTION("""COMPUTED_VALUE"""),"女性")</f>
        <v>女性</v>
      </c>
      <c r="J3214" s="157"/>
      <c r="K3214" s="157"/>
      <c r="L3214" s="152" t="str">
        <f>IFERROR(__xludf.DUMMYFUNCTION("""COMPUTED_VALUE"""),"Seasons")</f>
        <v>Seasons</v>
      </c>
      <c r="M3214" s="154">
        <f>IFERROR(__xludf.DUMMYFUNCTION("""COMPUTED_VALUE"""),45793.0)</f>
        <v>45793</v>
      </c>
      <c r="N3214" s="154">
        <f>IFERROR(__xludf.DUMMYFUNCTION("""COMPUTED_VALUE"""),45888.66666666667)</f>
        <v>45888.66667</v>
      </c>
      <c r="O3214" s="152"/>
      <c r="P3214" s="152" t="str">
        <f>IFERROR(__xludf.DUMMYFUNCTION("""COMPUTED_VALUE"""),"可")</f>
        <v>可</v>
      </c>
      <c r="Q3214" s="152" t="str">
        <f>IFERROR(__xludf.DUMMYFUNCTION("""COMPUTED_VALUE"""),"素材は初回配信の1～7巻までご使用ください&lt;BR&gt;※10話分まで参考として格納させて頂いております。")</f>
        <v>素材は初回配信の1～7巻までご使用ください&lt;BR&gt;※10話分まで参考として格納させて頂いております。</v>
      </c>
      <c r="R3214" s="152" t="str">
        <f>IFERROR(__xludf.DUMMYFUNCTION("""COMPUTED_VALUE"""),"コミットOK")</f>
        <v>コミットOK</v>
      </c>
      <c r="S3214" s="152" t="str">
        <f>IFERROR(__xludf.DUMMYFUNCTION("""COMPUTED_VALUE"""),"20250415_文藝春秋_のんのんの日常チャンネル")</f>
        <v>20250415_文藝春秋_のんのんの日常チャンネル</v>
      </c>
      <c r="T3214" s="152" t="str">
        <f>IFERROR(__xludf.DUMMYFUNCTION("""COMPUTED_VALUE"""),"格納済み")</f>
        <v>格納済み</v>
      </c>
      <c r="U3214" s="15" t="str">
        <f>IFERROR(__xludf.DUMMYFUNCTION("""COMPUTED_VALUE"""),"路田行／文藝春秋")</f>
        <v>路田行／文藝春秋</v>
      </c>
      <c r="V3214" s="8" t="str">
        <f>IFERROR(__xludf.DUMMYFUNCTION("""COMPUTED_VALUE"""),"自分の”ちょっと盛った”日常をVLOGとしてYouTubeにアップしているのの。（顔出し無し） ある日自分の働くオフィスが入ったビルで、突然「あなたの動画のファンです！」と声を掛けられる。 それは、同じビルに入っている超ハイスぺ企業のイケメン社員でーー！？【第1話収録】")</f>
        <v>自分の”ちょっと盛った”日常をVLOGとしてYouTubeにアップしているのの。（顔出し無し） ある日自分の働くオフィスが入ったビルで、突然「あなたの動画のファンです！」と声を掛けられる。 それは、同じビルに入っている超ハイスぺ企業のイケメン社員でーー！？【第1話収録】</v>
      </c>
      <c r="W3214" s="14"/>
      <c r="X3214" s="14" t="str">
        <f>IFERROR(__xludf.DUMMYFUNCTION("""COMPUTED_VALUE"""),"有")</f>
        <v>有</v>
      </c>
      <c r="Y3214" s="8" t="str">
        <f>IFERROR(__xludf.DUMMYFUNCTION("""COMPUTED_VALUE"""),"2025/5/22まで1~2巻無料")</f>
        <v>2025/5/22まで1~2巻無料</v>
      </c>
      <c r="Z3214" s="7"/>
      <c r="AA3214" s="7"/>
      <c r="AB3214" s="7"/>
    </row>
    <row r="3215" ht="15.75" customHeight="1">
      <c r="A3215" s="153">
        <f>IFERROR(__xludf.DUMMYFUNCTION("""COMPUTED_VALUE"""),5236.0)</f>
        <v>5236</v>
      </c>
      <c r="B3215" s="152" t="str">
        <f>IFERROR(__xludf.DUMMYFUNCTION("""COMPUTED_VALUE"""),"確定")</f>
        <v>確定</v>
      </c>
      <c r="C3215" s="154">
        <f>IFERROR(__xludf.DUMMYFUNCTION("""COMPUTED_VALUE"""),45728.0)</f>
        <v>45728</v>
      </c>
      <c r="D3215" s="154">
        <f>IFERROR(__xludf.DUMMYFUNCTION("""COMPUTED_VALUE"""),45763.0)</f>
        <v>45763</v>
      </c>
      <c r="E3215" s="157">
        <f>IFERROR(__xludf.DUMMYFUNCTION("""COMPUTED_VALUE"""),323252.0)</f>
        <v>323252</v>
      </c>
      <c r="F3215" s="152" t="str">
        <f>IFERROR(__xludf.DUMMYFUNCTION("""COMPUTED_VALUE"""),"跪かせてマイドッグ")</f>
        <v>跪かせてマイドッグ</v>
      </c>
      <c r="G3215" s="152" t="str">
        <f>IFERROR(__xludf.DUMMYFUNCTION("""COMPUTED_VALUE"""),"1～2")</f>
        <v>1～2</v>
      </c>
      <c r="H3215" s="152" t="str">
        <f>IFERROR(__xludf.DUMMYFUNCTION("""COMPUTED_VALUE"""),"小鳥谷まるこ")</f>
        <v>小鳥谷まるこ</v>
      </c>
      <c r="I3215" s="152" t="str">
        <f>IFERROR(__xludf.DUMMYFUNCTION("""COMPUTED_VALUE"""),"BL")</f>
        <v>BL</v>
      </c>
      <c r="J3215" s="157"/>
      <c r="K3215" s="152" t="str">
        <f>IFERROR(__xludf.DUMMYFUNCTION("""COMPUTED_VALUE"""),"NuPu")</f>
        <v>NuPu</v>
      </c>
      <c r="L3215" s="152" t="str">
        <f>IFERROR(__xludf.DUMMYFUNCTION("""COMPUTED_VALUE"""),"CLLENN")</f>
        <v>CLLENN</v>
      </c>
      <c r="M3215" s="154">
        <f>IFERROR(__xludf.DUMMYFUNCTION("""COMPUTED_VALUE"""),45806.0)</f>
        <v>45806</v>
      </c>
      <c r="N3215" s="154">
        <f>IFERROR(__xludf.DUMMYFUNCTION("""COMPUTED_VALUE"""),45868.0)</f>
        <v>45868</v>
      </c>
      <c r="O3215" s="152"/>
      <c r="P3215" s="190" t="str">
        <f>IFERROR(__xludf.DUMMYFUNCTION("""COMPUTED_VALUE"""),"可")</f>
        <v>可</v>
      </c>
      <c r="Q3215" s="152"/>
      <c r="R3215" s="152" t="str">
        <f>IFERROR(__xludf.DUMMYFUNCTION("""COMPUTED_VALUE"""),"コミットOK")</f>
        <v>コミットOK</v>
      </c>
      <c r="S3215" s="152" t="str">
        <f>IFERROR(__xludf.DUMMYFUNCTION("""COMPUTED_VALUE"""),"20250416_CLLENN_跪かせてマイドッグ")</f>
        <v>20250416_CLLENN_跪かせてマイドッグ</v>
      </c>
      <c r="T3215" s="152" t="str">
        <f>IFERROR(__xludf.DUMMYFUNCTION("""COMPUTED_VALUE"""),"格納済み")</f>
        <v>格納済み</v>
      </c>
      <c r="U3215" s="9" t="str">
        <f>IFERROR(__xludf.DUMMYFUNCTION("""COMPUTED_VALUE"""),"Ⓒ小鳥谷まるこ/CLLENN")</f>
        <v>Ⓒ小鳥谷まるこ/CLLENN</v>
      </c>
      <c r="V3215" s="8" t="str">
        <f>IFERROR(__xludf.DUMMYFUNCTION("""COMPUTED_VALUE"""),"命令されて喜ぶなんて…『犬』みたいじゃないか――愛犬を亡くして落ち込んでいた恭介（きょうすけ）を慰めるため「恭介の犬になる」と言ってきた幼馴染の堅（けん）。以来、恭介は堅を犬のように従わせることが日常になっていた。しかし、大学生になり堅が自分を避けるようになる。「ずっと一緒にいるって約束しただろ」と詰め寄ると、豹変した堅に『おすわり』で跪かされてイってしまう!忠犬だと思っていた堅が“Dom”…!?驚く恭介だったが自身の身体が命令されて喜んでいることにも驚愕する…。恥ずかしいのに気持ちいい…この沸き上がる快"&amp;"感は一体なに…!?――狂犬をひた隠しにするDom×無自覚Subの主従逆転Dom/Subユニバース!")</f>
        <v>命令されて喜ぶなんて…『犬』みたいじゃないか――愛犬を亡くして落ち込んでいた恭介（きょうすけ）を慰めるため「恭介の犬になる」と言ってきた幼馴染の堅（けん）。以来、恭介は堅を犬のように従わせることが日常になっていた。しかし、大学生になり堅が自分を避けるようになる。「ずっと一緒にいるって約束しただろ」と詰め寄ると、豹変した堅に『おすわり』で跪かされてイってしまう!忠犬だと思っていた堅が“Dom”…!?驚く恭介だったが自身の身体が命令されて喜んでいることにも驚愕する…。恥ずかしいのに気持ちいい…この沸き上がる快感は一体なに…!?――狂犬をひた隠しにするDom×無自覚Subの主従逆転Dom/Subユニバース!</v>
      </c>
      <c r="W3215" s="8" t="str">
        <f>IFERROR(__xludf.DUMMYFUNCTION("""COMPUTED_VALUE"""),"#REF!")</f>
        <v>#REF!</v>
      </c>
      <c r="X3215" s="8" t="str">
        <f>IFERROR(__xludf.DUMMYFUNCTION("""COMPUTED_VALUE"""),"有")</f>
        <v>有</v>
      </c>
      <c r="Y3215" s="8" t="str">
        <f>IFERROR(__xludf.DUMMYFUNCTION("""COMPUTED_VALUE"""),"2025/6/11まで1巻立ち読み増量(P16)")</f>
        <v>2025/6/11まで1巻立ち読み増量(P16)</v>
      </c>
      <c r="Z3215" s="7"/>
      <c r="AA3215" s="7"/>
      <c r="AB3215" s="7"/>
    </row>
    <row r="3216" ht="15.75" customHeight="1">
      <c r="A3216" s="153">
        <f>IFERROR(__xludf.DUMMYFUNCTION("""COMPUTED_VALUE"""),5256.0)</f>
        <v>5256</v>
      </c>
      <c r="B3216" s="152" t="str">
        <f>IFERROR(__xludf.DUMMYFUNCTION("""COMPUTED_VALUE"""),"確定")</f>
        <v>確定</v>
      </c>
      <c r="C3216" s="154">
        <f>IFERROR(__xludf.DUMMYFUNCTION("""COMPUTED_VALUE"""),45729.0)</f>
        <v>45729</v>
      </c>
      <c r="D3216" s="154">
        <f>IFERROR(__xludf.DUMMYFUNCTION("""COMPUTED_VALUE"""),45762.0)</f>
        <v>45762</v>
      </c>
      <c r="E3216" s="158">
        <f>IFERROR(__xludf.DUMMYFUNCTION("""COMPUTED_VALUE"""),323039.0)</f>
        <v>323039</v>
      </c>
      <c r="F3216" s="159" t="str">
        <f>IFERROR(__xludf.DUMMYFUNCTION("""COMPUTED_VALUE"""),"つれない後輩(きみ)を開発したい〜2人きりのアダルトグッズ事業部〜【フルカラー】")</f>
        <v>つれない後輩(きみ)を開発したい〜2人きりのアダルトグッズ事業部〜【フルカラー】</v>
      </c>
      <c r="G3216" s="152" t="str">
        <f>IFERROR(__xludf.DUMMYFUNCTION("""COMPUTED_VALUE"""),"1～3")</f>
        <v>1～3</v>
      </c>
      <c r="H3216" s="152" t="str">
        <f>IFERROR(__xludf.DUMMYFUNCTION("""COMPUTED_VALUE"""),"ひみの")</f>
        <v>ひみの</v>
      </c>
      <c r="I3216" s="152" t="str">
        <f>IFERROR(__xludf.DUMMYFUNCTION("""COMPUTED_VALUE"""),"アダルトマンガ")</f>
        <v>アダルトマンガ</v>
      </c>
      <c r="J3216" s="157"/>
      <c r="K3216" s="152" t="str">
        <f>IFERROR(__xludf.DUMMYFUNCTION("""COMPUTED_VALUE"""),"もえスタビースト")</f>
        <v>もえスタビースト</v>
      </c>
      <c r="L3216" s="152" t="str">
        <f>IFERROR(__xludf.DUMMYFUNCTION("""COMPUTED_VALUE"""),"DEEPER-ZERO")</f>
        <v>DEEPER-ZERO</v>
      </c>
      <c r="M3216" s="154">
        <f>IFERROR(__xludf.DUMMYFUNCTION("""COMPUTED_VALUE"""),45801.0)</f>
        <v>45801</v>
      </c>
      <c r="N3216" s="198">
        <f>IFERROR(__xludf.DUMMYFUNCTION("""COMPUTED_VALUE"""),45863.0)</f>
        <v>45863</v>
      </c>
      <c r="O3216" s="152"/>
      <c r="P3216" s="152" t="str">
        <f>IFERROR(__xludf.DUMMYFUNCTION("""COMPUTED_VALUE"""),"可")</f>
        <v>可</v>
      </c>
      <c r="Q3216" s="152" t="str">
        <f>IFERROR(__xludf.DUMMYFUNCTION("""COMPUTED_VALUE"""),"▼過去作&lt;BR&gt;無口な彼女の性感帯～声は出さないけど身体は正直だね、ずぶ濡れだよ&lt;BR&gt;フルカラーで絵柄がきれいなので広告にも使用しやすいかと思いますのでご検討頂けますと幸いです。")</f>
        <v>▼過去作&lt;BR&gt;無口な彼女の性感帯～声は出さないけど身体は正直だね、ずぶ濡れだよ&lt;BR&gt;フルカラーで絵柄がきれいなので広告にも使用しやすいかと思いますのでご検討頂けますと幸いです。</v>
      </c>
      <c r="R3216" s="152" t="str">
        <f>IFERROR(__xludf.DUMMYFUNCTION("""COMPUTED_VALUE"""),"コミットOK")</f>
        <v>コミットOK</v>
      </c>
      <c r="S3216" s="152" t="str">
        <f>IFERROR(__xludf.DUMMYFUNCTION("""COMPUTED_VALUE"""),"20250415_DEEPER-ZERO_つれない後輩(きみ)を開発したい〜2人きりのアダルトグッズ事業部〜【フルカラー】")</f>
        <v>20250415_DEEPER-ZERO_つれない後輩(きみ)を開発したい〜2人きりのアダルトグッズ事業部〜【フルカラー】</v>
      </c>
      <c r="T3216" s="152" t="str">
        <f>IFERROR(__xludf.DUMMYFUNCTION("""COMPUTED_VALUE"""),"格納済み")</f>
        <v>格納済み</v>
      </c>
      <c r="U3216" s="15" t="str">
        <f>IFERROR(__xludf.DUMMYFUNCTION("""COMPUTED_VALUE"""),"Ⓒひみの/DEEPER-ZERO")</f>
        <v>Ⓒひみの/DEEPER-ZERO</v>
      </c>
      <c r="V3216" s="8" t="str">
        <f>IFERROR(__xludf.DUMMYFUNCTION("""COMPUTED_VALUE"""),"「ナカに入れたら…抜けなく…なって…っ」――新人の雨宮さんは仕事ができて、クールでカワイイ！ 俺はそんな彼女にアプローチするも、見事に玉砕して嫌われる始末…。でもある日、部長から雨宮さんと二人で新規事業を任されることに！ その内容は…アダルトグッズの企画開発!? 市場調査のため、二人っきりの会議室で大人のオモチャをチェックしていると、雨宮さんが「使用感を確かめます」と言って部屋から出て行ってしまう。数十分後、戻ってきた彼女は顔が真っ赤で…えっ、オモチャが抜けなくなった!? 立っているのもツラそうな雨宮さん"&amp;"を助けるため、俺は彼女のナカに指を…。")</f>
        <v>「ナカに入れたら…抜けなく…なって…っ」――新人の雨宮さんは仕事ができて、クールでカワイイ！ 俺はそんな彼女にアプローチするも、見事に玉砕して嫌われる始末…。でもある日、部長から雨宮さんと二人で新規事業を任されることに！ その内容は…アダルトグッズの企画開発!? 市場調査のため、二人っきりの会議室で大人のオモチャをチェックしていると、雨宮さんが「使用感を確かめます」と言って部屋から出て行ってしまう。数十分後、戻ってきた彼女は顔が真っ赤で…えっ、オモチャが抜けなくなった!? 立っているのもツラそうな雨宮さんを助けるため、俺は彼女のナカに指を…。</v>
      </c>
      <c r="W3216" s="14"/>
      <c r="X3216" s="14" t="str">
        <f>IFERROR(__xludf.DUMMYFUNCTION("""COMPUTED_VALUE"""),"有")</f>
        <v>有</v>
      </c>
      <c r="Y3216" s="8" t="str">
        <f>IFERROR(__xludf.DUMMYFUNCTION("""COMPUTED_VALUE"""),"2025/6/6まで1巻無料")</f>
        <v>2025/6/6まで1巻無料</v>
      </c>
      <c r="Z3216" s="7"/>
      <c r="AA3216" s="7"/>
      <c r="AB3216" s="7"/>
    </row>
    <row r="3217">
      <c r="A3217" s="153">
        <f>IFERROR(__xludf.DUMMYFUNCTION("""COMPUTED_VALUE"""),5285.0)</f>
        <v>5285</v>
      </c>
      <c r="B3217" s="152" t="str">
        <f>IFERROR(__xludf.DUMMYFUNCTION("""COMPUTED_VALUE"""),"確定")</f>
        <v>確定</v>
      </c>
      <c r="C3217" s="154">
        <f>IFERROR(__xludf.DUMMYFUNCTION("""COMPUTED_VALUE"""),45734.0)</f>
        <v>45734</v>
      </c>
      <c r="D3217" s="154">
        <f>IFERROR(__xludf.DUMMYFUNCTION("""COMPUTED_VALUE"""),45762.0)</f>
        <v>45762</v>
      </c>
      <c r="E3217" s="155">
        <f>IFERROR(__xludf.DUMMYFUNCTION("""COMPUTED_VALUE"""),321995.0)</f>
        <v>321995</v>
      </c>
      <c r="F3217" s="156" t="str">
        <f>IFERROR(__xludf.DUMMYFUNCTION("""COMPUTED_VALUE"""),"モブなのにヤンデレ王子にロックオンされました【R18版】")</f>
        <v>モブなのにヤンデレ王子にロックオンされました【R18版】</v>
      </c>
      <c r="G3217" s="152" t="str">
        <f>IFERROR(__xludf.DUMMYFUNCTION("""COMPUTED_VALUE"""),"1～3")</f>
        <v>1～3</v>
      </c>
      <c r="H3217" s="152" t="str">
        <f>IFERROR(__xludf.DUMMYFUNCTION("""COMPUTED_VALUE"""),"うお山")</f>
        <v>うお山</v>
      </c>
      <c r="I3217" s="152" t="str">
        <f>IFERROR(__xludf.DUMMYFUNCTION("""COMPUTED_VALUE"""),"アダルトマンガ")</f>
        <v>アダルトマンガ</v>
      </c>
      <c r="J3217" s="157"/>
      <c r="K3217" s="157"/>
      <c r="L3217" s="152" t="str">
        <f>IFERROR(__xludf.DUMMYFUNCTION("""COMPUTED_VALUE"""),"ナンバーナイン")</f>
        <v>ナンバーナイン</v>
      </c>
      <c r="M3217" s="154">
        <f>IFERROR(__xludf.DUMMYFUNCTION("""COMPUTED_VALUE"""),45779.0)</f>
        <v>45779</v>
      </c>
      <c r="N3217" s="154">
        <f>IFERROR(__xludf.DUMMYFUNCTION("""COMPUTED_VALUE"""),45870.0)</f>
        <v>45870</v>
      </c>
      <c r="O3217" s="152"/>
      <c r="P3217" s="190" t="str">
        <f>IFERROR(__xludf.DUMMYFUNCTION("""COMPUTED_VALUE"""),"可")</f>
        <v>可</v>
      </c>
      <c r="Q3217" s="152"/>
      <c r="R3217" s="152" t="str">
        <f>IFERROR(__xludf.DUMMYFUNCTION("""COMPUTED_VALUE"""),"コミットOK")</f>
        <v>コミットOK</v>
      </c>
      <c r="S3217" s="9" t="str">
        <f>IFERROR(__xludf.DUMMYFUNCTION("""COMPUTED_VALUE"""),"20250415_ナンバーナイン_モブなのにヤンデレ王子にロックオンされました【R18版】")</f>
        <v>20250415_ナンバーナイン_モブなのにヤンデレ王子にロックオンされました【R18版】</v>
      </c>
      <c r="T3217" s="152"/>
      <c r="U3217" s="15" t="str">
        <f>IFERROR(__xludf.DUMMYFUNCTION("""COMPUTED_VALUE"""),"(C)うお山/ナンバーナイン")</f>
        <v>(C)うお山/ナンバーナイン</v>
      </c>
      <c r="V3217" s="8" t="str">
        <f>IFERROR(__xludf.DUMMYFUNCTION("""COMPUTED_VALUE"""),"モブ令嬢に転生したカプ厨のセルフィ
自分の推しキャラのレオン王子と令嬢アリアナをカップルにしようと
あの手この手を使って親密度を上げるイベントを発生させる
レオン王子はゲーム内で一番のイケメンで普段は温厚な性格
ところがいったん恋に落ちるとドSなヤンデレに豹変する
セルフィはレオン王子がヤンデレ化して令嬢アリアナを快楽堕ちさせるのが
見たくて、必死に二人をくっつけようとするが
レオン王子の周辺をうろちょろしすぎて、ついうっかり自分が溺愛されてしまう
まずいと思ったセルフ"&amp;"ィは修道院に逃げ出そうとするが時すでに遅し..
レオン王子はセルフィを見た時から、ずっとセルフィに狙いを定めていて..
嫌がるセルフィを無理やり催淫魔法や媚薬で、快楽に溺れさせ、セックス漬けにし
体を調教していく..。
本文18p")</f>
        <v>モブ令嬢に転生したカプ厨のセルフィ
自分の推しキャラのレオン王子と令嬢アリアナをカップルにしようと
あの手この手を使って親密度を上げるイベントを発生させる
レオン王子はゲーム内で一番のイケメンで普段は温厚な性格
ところがいったん恋に落ちるとドSなヤンデレに豹変する
セルフィはレオン王子がヤンデレ化して令嬢アリアナを快楽堕ちさせるのが
見たくて、必死に二人をくっつけようとするが
レオン王子の周辺をうろちょろしすぎて、ついうっかり自分が溺愛されてしまう
まずいと思ったセルフィは修道院に逃げ出そうとするが時すでに遅し..
レオン王子はセルフィを見た時から、ずっとセルフィに狙いを定めていて..
嫌がるセルフィを無理やり催淫魔法や媚薬で、快楽に溺れさせ、セックス漬けにし
体を調教していく..。
本文18p</v>
      </c>
      <c r="W3217" s="14"/>
      <c r="X3217" s="14" t="str">
        <f>IFERROR(__xludf.DUMMYFUNCTION("""COMPUTED_VALUE"""),"有")</f>
        <v>有</v>
      </c>
      <c r="Y3217" s="8" t="str">
        <f>IFERROR(__xludf.DUMMYFUNCTION("""COMPUTED_VALUE"""),"1巻無料")</f>
        <v>1巻無料</v>
      </c>
      <c r="Z3217" s="7"/>
      <c r="AA3217" s="7"/>
      <c r="AB3217" s="7"/>
    </row>
    <row r="3218" ht="15.75" customHeight="1">
      <c r="A3218" s="153">
        <f>IFERROR(__xludf.DUMMYFUNCTION("""COMPUTED_VALUE"""),5286.0)</f>
        <v>5286</v>
      </c>
      <c r="B3218" s="152" t="str">
        <f>IFERROR(__xludf.DUMMYFUNCTION("""COMPUTED_VALUE"""),"確定")</f>
        <v>確定</v>
      </c>
      <c r="C3218" s="154">
        <f>IFERROR(__xludf.DUMMYFUNCTION("""COMPUTED_VALUE"""),45734.0)</f>
        <v>45734</v>
      </c>
      <c r="D3218" s="154">
        <f>IFERROR(__xludf.DUMMYFUNCTION("""COMPUTED_VALUE"""),45762.0)</f>
        <v>45762</v>
      </c>
      <c r="E3218" s="155">
        <f>IFERROR(__xludf.DUMMYFUNCTION("""COMPUTED_VALUE"""),321990.0)</f>
        <v>321990</v>
      </c>
      <c r="F3218" s="156" t="str">
        <f>IFERROR(__xludf.DUMMYFUNCTION("""COMPUTED_VALUE"""),"モブなのにヤンデレ王子にロックオンされました")</f>
        <v>モブなのにヤンデレ王子にロックオンされました</v>
      </c>
      <c r="G3218" s="152" t="str">
        <f>IFERROR(__xludf.DUMMYFUNCTION("""COMPUTED_VALUE"""),"1～3")</f>
        <v>1～3</v>
      </c>
      <c r="H3218" s="152" t="str">
        <f>IFERROR(__xludf.DUMMYFUNCTION("""COMPUTED_VALUE"""),"うお山")</f>
        <v>うお山</v>
      </c>
      <c r="I3218" s="152" t="str">
        <f>IFERROR(__xludf.DUMMYFUNCTION("""COMPUTED_VALUE"""),"TL")</f>
        <v>TL</v>
      </c>
      <c r="J3218" s="157"/>
      <c r="K3218" s="157"/>
      <c r="L3218" s="152" t="str">
        <f>IFERROR(__xludf.DUMMYFUNCTION("""COMPUTED_VALUE"""),"ナンバーナイン")</f>
        <v>ナンバーナイン</v>
      </c>
      <c r="M3218" s="154">
        <f>IFERROR(__xludf.DUMMYFUNCTION("""COMPUTED_VALUE"""),45779.0)</f>
        <v>45779</v>
      </c>
      <c r="N3218" s="154">
        <f>IFERROR(__xludf.DUMMYFUNCTION("""COMPUTED_VALUE"""),45870.0)</f>
        <v>45870</v>
      </c>
      <c r="O3218" s="152"/>
      <c r="P3218" s="190" t="str">
        <f>IFERROR(__xludf.DUMMYFUNCTION("""COMPUTED_VALUE"""),"可")</f>
        <v>可</v>
      </c>
      <c r="Q3218" s="152"/>
      <c r="R3218" s="152" t="str">
        <f>IFERROR(__xludf.DUMMYFUNCTION("""COMPUTED_VALUE"""),"コミットOK")</f>
        <v>コミットOK</v>
      </c>
      <c r="S3218" s="152" t="str">
        <f>IFERROR(__xludf.DUMMYFUNCTION("""COMPUTED_VALUE"""),"20250415_ナンバーナイン_モブなのにヤンデレ王子にロックオンされました")</f>
        <v>20250415_ナンバーナイン_モブなのにヤンデレ王子にロックオンされました</v>
      </c>
      <c r="T3218" s="152" t="str">
        <f>IFERROR(__xludf.DUMMYFUNCTION("""COMPUTED_VALUE"""),"格納済み")</f>
        <v>格納済み</v>
      </c>
      <c r="U3218" s="15" t="str">
        <f>IFERROR(__xludf.DUMMYFUNCTION("""COMPUTED_VALUE"""),"(C)うお山/ナンバーナイン")</f>
        <v>(C)うお山/ナンバーナイン</v>
      </c>
      <c r="V3218" s="8" t="str">
        <f>IFERROR(__xludf.DUMMYFUNCTION("""COMPUTED_VALUE"""),"モブ令嬢に転生したカプ厨のセルフィ
自分の推しキャラのレオン王子と令嬢アリアナをカップルにしようと
あの手この手を使って親密度を上げるイベントを発生させる
レオン王子はゲーム内で一番のイケメンで普段は温厚な性格
ところがいったん恋に落ちるとドSなヤンデレに豹変する
セルフィはレオン王子がヤンデレ化して令嬢アリアナを快楽堕ちさせるのが
見たくて、必死に二人をくっつけようとするが
レオン王子の周辺をうろちょろしすぎて、ついうっかり自分が溺愛されてしまう
まずいと思ったセルフ"&amp;"ィは修道院に逃げ出そうとするが時すでに遅し..
レオン王子はセルフィを見た時から、ずっとセルフィに狙いを定めていて..
嫌がるセルフィを無理やり催淫魔法や媚薬で、快楽に溺れさせ、セックス漬けにし
体を調教していく..。
本文18p")</f>
        <v>モブ令嬢に転生したカプ厨のセルフィ
自分の推しキャラのレオン王子と令嬢アリアナをカップルにしようと
あの手この手を使って親密度を上げるイベントを発生させる
レオン王子はゲーム内で一番のイケメンで普段は温厚な性格
ところがいったん恋に落ちるとドSなヤンデレに豹変する
セルフィはレオン王子がヤンデレ化して令嬢アリアナを快楽堕ちさせるのが
見たくて、必死に二人をくっつけようとするが
レオン王子の周辺をうろちょろしすぎて、ついうっかり自分が溺愛されてしまう
まずいと思ったセルフィは修道院に逃げ出そうとするが時すでに遅し..
レオン王子はセルフィを見た時から、ずっとセルフィに狙いを定めていて..
嫌がるセルフィを無理やり催淫魔法や媚薬で、快楽に溺れさせ、セックス漬けにし
体を調教していく..。
本文18p</v>
      </c>
      <c r="W3218" s="14"/>
      <c r="X3218" s="14" t="str">
        <f>IFERROR(__xludf.DUMMYFUNCTION("""COMPUTED_VALUE"""),"有")</f>
        <v>有</v>
      </c>
      <c r="Y3218" s="8" t="str">
        <f>IFERROR(__xludf.DUMMYFUNCTION("""COMPUTED_VALUE"""),"1巻無料")</f>
        <v>1巻無料</v>
      </c>
      <c r="Z3218" s="7"/>
      <c r="AA3218" s="7"/>
      <c r="AB3218" s="7"/>
    </row>
    <row r="3219" ht="15.75" customHeight="1">
      <c r="A3219" s="153">
        <f>IFERROR(__xludf.DUMMYFUNCTION("""COMPUTED_VALUE"""),5303.0)</f>
        <v>5303</v>
      </c>
      <c r="B3219" s="152" t="str">
        <f>IFERROR(__xludf.DUMMYFUNCTION("""COMPUTED_VALUE"""),"確定")</f>
        <v>確定</v>
      </c>
      <c r="C3219" s="154">
        <f>IFERROR(__xludf.DUMMYFUNCTION("""COMPUTED_VALUE"""),45735.0)</f>
        <v>45735</v>
      </c>
      <c r="D3219" s="154">
        <f>IFERROR(__xludf.DUMMYFUNCTION("""COMPUTED_VALUE"""),45758.0)</f>
        <v>45758</v>
      </c>
      <c r="E3219" s="155">
        <f>IFERROR(__xludf.DUMMYFUNCTION("""COMPUTED_VALUE"""),322015.0)</f>
        <v>322015</v>
      </c>
      <c r="F3219" s="156" t="str">
        <f>IFERROR(__xludf.DUMMYFUNCTION("""COMPUTED_VALUE"""),"noicomi鬼の軍人と稀血の花嫁")</f>
        <v>noicomi鬼の軍人と稀血の花嫁</v>
      </c>
      <c r="G3219" s="152" t="str">
        <f>IFERROR(__xludf.DUMMYFUNCTION("""COMPUTED_VALUE"""),"1～5")</f>
        <v>1～5</v>
      </c>
      <c r="H3219" s="152" t="str">
        <f>IFERROR(__xludf.DUMMYFUNCTION("""COMPUTED_VALUE"""),"五十里美春（作画）、夏みのる（原作）")</f>
        <v>五十里美春（作画）、夏みのる（原作）</v>
      </c>
      <c r="I3219" s="152" t="str">
        <f>IFERROR(__xludf.DUMMYFUNCTION("""COMPUTED_VALUE"""),"少女")</f>
        <v>少女</v>
      </c>
      <c r="J3219" s="157"/>
      <c r="K3219" s="157"/>
      <c r="L3219" s="152" t="str">
        <f>IFERROR(__xludf.DUMMYFUNCTION("""COMPUTED_VALUE"""),"スターツ出版")</f>
        <v>スターツ出版</v>
      </c>
      <c r="M3219" s="154">
        <f>IFERROR(__xludf.DUMMYFUNCTION("""COMPUTED_VALUE"""),45786.0)</f>
        <v>45786</v>
      </c>
      <c r="N3219" s="154">
        <f>IFERROR(__xludf.DUMMYFUNCTION("""COMPUTED_VALUE"""),45848.0)</f>
        <v>45848</v>
      </c>
      <c r="O3219" s="152"/>
      <c r="P3219" s="152" t="str">
        <f>IFERROR(__xludf.DUMMYFUNCTION("""COMPUTED_VALUE"""),"可")</f>
        <v>可</v>
      </c>
      <c r="Q3219" s="152" t="str">
        <f>IFERROR(__xludf.DUMMYFUNCTION("""COMPUTED_VALUE"""),"※原作小説&lt;BR&gt;https://www.cmoa.jp/title/1101410562/&lt;BR&gt;紙書籍では非常に良い売れ行きとのことです！")</f>
        <v>※原作小説&lt;BR&gt;https://www.cmoa.jp/title/1101410562/&lt;BR&gt;紙書籍では非常に良い売れ行きとのことです！</v>
      </c>
      <c r="R3219" s="152" t="str">
        <f>IFERROR(__xludf.DUMMYFUNCTION("""COMPUTED_VALUE"""),"コミットOK")</f>
        <v>コミットOK</v>
      </c>
      <c r="S3219" s="152" t="str">
        <f>IFERROR(__xludf.DUMMYFUNCTION("""COMPUTED_VALUE"""),"20250409_スターツ出版_鬼の軍人と稀血の花嫁")</f>
        <v>20250409_スターツ出版_鬼の軍人と稀血の花嫁</v>
      </c>
      <c r="T3219" s="152" t="str">
        <f>IFERROR(__xludf.DUMMYFUNCTION("""COMPUTED_VALUE"""),"格納済み")</f>
        <v>格納済み</v>
      </c>
      <c r="U3219" s="15" t="str">
        <f>IFERROR(__xludf.DUMMYFUNCTION("""COMPUTED_VALUE"""),"ⒸMiharu Itosato・Minoru Natsu/スターツ出版")</f>
        <v>ⒸMiharu Itosato・Minoru Natsu/スターツ出版</v>
      </c>
      <c r="V3219" s="8" t="str">
        <f>IFERROR(__xludf.DUMMYFUNCTION("""COMPUTED_VALUE"""),"「君は俺のそばにいるべきだ――花嫁としてここに」
◆◆◆
女中として働く深月は出自を理由に奉公先の令嬢・麗子から虐げられる日々を送っていた。ある日麗子の身代わりとして意に沿わない縁談を受けることになるが、祝言の夜あやかしに憑りつかれ正気を失った旦那様に襲われてしまう。そんな深月を守ってくれたのは満月のような美しい瞳をした青年――最強の鬼使いと名高い軍人の暁だった。
暁は深月を“稀血”という特別な血を持つ存在だといい、深月の身を守るためにある契約を提案してきて――。
◆◆◆
特別な運命を背負う少女"&amp;"×最強の軍人が織りなす偽りの関係の行方は…!?契約から始まる和風ラブロマンス!!(この作品は電子コミック誌noicomi vol.138に収録されています。重複購入にご注意ください)")</f>
        <v>「君は俺のそばにいるべきだ――花嫁としてここに」
◆◆◆
女中として働く深月は出自を理由に奉公先の令嬢・麗子から虐げられる日々を送っていた。ある日麗子の身代わりとして意に沿わない縁談を受けることになるが、祝言の夜あやかしに憑りつかれ正気を失った旦那様に襲われてしまう。そんな深月を守ってくれたのは満月のような美しい瞳をした青年――最強の鬼使いと名高い軍人の暁だった。
暁は深月を“稀血”という特別な血を持つ存在だといい、深月の身を守るためにある契約を提案してきて――。
◆◆◆
特別な運命を背負う少女×最強の軍人が織りなす偽りの関係の行方は…!?契約から始まる和風ラブロマンス!!(この作品は電子コミック誌noicomi vol.138に収録されています。重複購入にご注意ください)</v>
      </c>
      <c r="W3219" s="14"/>
      <c r="X3219" s="14" t="str">
        <f>IFERROR(__xludf.DUMMYFUNCTION("""COMPUTED_VALUE"""),"有")</f>
        <v>有</v>
      </c>
      <c r="Y3219" s="8" t="str">
        <f>IFERROR(__xludf.DUMMYFUNCTION("""COMPUTED_VALUE"""),"P7まで")</f>
        <v>P7まで</v>
      </c>
      <c r="Z3219" s="7"/>
      <c r="AA3219" s="7"/>
      <c r="AB3219" s="7"/>
    </row>
    <row r="3220" ht="15.75" customHeight="1">
      <c r="A3220" s="153">
        <f>IFERROR(__xludf.DUMMYFUNCTION("""COMPUTED_VALUE"""),5310.0)</f>
        <v>5310</v>
      </c>
      <c r="B3220" s="152" t="str">
        <f>IFERROR(__xludf.DUMMYFUNCTION("""COMPUTED_VALUE"""),"確定")</f>
        <v>確定</v>
      </c>
      <c r="C3220" s="154">
        <f>IFERROR(__xludf.DUMMYFUNCTION("""COMPUTED_VALUE"""),45737.0)</f>
        <v>45737</v>
      </c>
      <c r="D3220" s="154">
        <f>IFERROR(__xludf.DUMMYFUNCTION("""COMPUTED_VALUE"""),45763.0)</f>
        <v>45763</v>
      </c>
      <c r="E3220" s="155">
        <f>IFERROR(__xludf.DUMMYFUNCTION("""COMPUTED_VALUE"""),321890.0)</f>
        <v>321890</v>
      </c>
      <c r="F3220" s="156" t="str">
        <f>IFERROR(__xludf.DUMMYFUNCTION("""COMPUTED_VALUE"""),"どうしようもないM女でもいいですか【R版】")</f>
        <v>どうしようもないM女でもいいですか【R版】</v>
      </c>
      <c r="G3220" s="152" t="str">
        <f>IFERROR(__xludf.DUMMYFUNCTION("""COMPUTED_VALUE"""),"1～2")</f>
        <v>1～2</v>
      </c>
      <c r="H3220" s="152" t="str">
        <f>IFERROR(__xludf.DUMMYFUNCTION("""COMPUTED_VALUE"""),"稲戸せれれ/保田飯飯")</f>
        <v>稲戸せれれ/保田飯飯</v>
      </c>
      <c r="I3220" s="152" t="str">
        <f>IFERROR(__xludf.DUMMYFUNCTION("""COMPUTED_VALUE"""),"アダルト")</f>
        <v>アダルト</v>
      </c>
      <c r="J3220" s="157"/>
      <c r="K3220" s="152" t="str">
        <f>IFERROR(__xludf.DUMMYFUNCTION("""COMPUTED_VALUE"""),"THE猥談")</f>
        <v>THE猥談</v>
      </c>
      <c r="L3220" s="152" t="str">
        <f>IFERROR(__xludf.DUMMYFUNCTION("""COMPUTED_VALUE"""),"DLcomics")</f>
        <v>DLcomics</v>
      </c>
      <c r="M3220" s="154">
        <f>IFERROR(__xludf.DUMMYFUNCTION("""COMPUTED_VALUE"""),45788.0)</f>
        <v>45788</v>
      </c>
      <c r="N3220" s="154">
        <f>IFERROR(__xludf.DUMMYFUNCTION("""COMPUTED_VALUE"""),45883.0)</f>
        <v>45883</v>
      </c>
      <c r="O3220" s="152"/>
      <c r="P3220" s="190" t="str">
        <f>IFERROR(__xludf.DUMMYFUNCTION("""COMPUTED_VALUE"""),"可")</f>
        <v>可</v>
      </c>
      <c r="Q3220" s="152"/>
      <c r="R3220" s="152" t="str">
        <f>IFERROR(__xludf.DUMMYFUNCTION("""COMPUTED_VALUE"""),"コミットOK")</f>
        <v>コミットOK</v>
      </c>
      <c r="S3220" s="152" t="str">
        <f>IFERROR(__xludf.DUMMYFUNCTION("""COMPUTED_VALUE"""),"20250416_DLcomics_どうしようもないM女でもいいですか【R版】")</f>
        <v>20250416_DLcomics_どうしようもないM女でもいいですか【R版】</v>
      </c>
      <c r="T3220" s="152" t="str">
        <f>IFERROR(__xludf.DUMMYFUNCTION("""COMPUTED_VALUE"""),"格納済み")</f>
        <v>格納済み</v>
      </c>
      <c r="U3220" s="15" t="str">
        <f>IFERROR(__xludf.DUMMYFUNCTION("""COMPUTED_VALUE"""),"(C)稲戸せれれ/保田飯飯/THE猥談")</f>
        <v>(C)稲戸せれれ/保田飯飯/THE猥談</v>
      </c>
      <c r="V3220" s="8" t="str">
        <f>IFERROR(__xludf.DUMMYFUNCTION("""COMPUTED_VALUE"""),"私は声も高くなく、目つきもきつい感じなので
男性にSだと期待されることが多い。
でも、本当は……
超弩級のMだ。
好きな人ができたら、先にセックスをして相性を確認する。
私にとって大事なステップ。
後から、引かれたら本当に悲しいから。
「本当はドMだもんな?」
なのに、突然。
上司の松村さんに性癖を見破られて、家に招かれてーー…。
漫画:稲戸せれれ
表紙デザイン:ヱレキテルワークス
※本作は同人誌となります。
※総ページ数は17ページとなります。")</f>
        <v>私は声も高くなく、目つきもきつい感じなので
男性にSだと期待されることが多い。
でも、本当は……
超弩級のMだ。
好きな人ができたら、先にセックスをして相性を確認する。
私にとって大事なステップ。
後から、引かれたら本当に悲しいから。
「本当はドMだもんな?」
なのに、突然。
上司の松村さんに性癖を見破られて、家に招かれてーー…。
漫画:稲戸せれれ
表紙デザイン:ヱレキテルワークス
※本作は同人誌となります。
※総ページ数は17ページとなります。</v>
      </c>
      <c r="W3220" s="14"/>
      <c r="X3220" s="14" t="str">
        <f>IFERROR(__xludf.DUMMYFUNCTION("""COMPUTED_VALUE"""),"有")</f>
        <v>有</v>
      </c>
      <c r="Y3220" s="8" t="str">
        <f>IFERROR(__xludf.DUMMYFUNCTION("""COMPUTED_VALUE"""),"P9まで")</f>
        <v>P9まで</v>
      </c>
      <c r="Z3220" s="7"/>
      <c r="AA3220" s="7"/>
      <c r="AB3220" s="7"/>
    </row>
    <row r="3221" ht="15.75" customHeight="1">
      <c r="A3221" s="153">
        <f>IFERROR(__xludf.DUMMYFUNCTION("""COMPUTED_VALUE"""),5311.0)</f>
        <v>5311</v>
      </c>
      <c r="B3221" s="152" t="str">
        <f>IFERROR(__xludf.DUMMYFUNCTION("""COMPUTED_VALUE"""),"確定")</f>
        <v>確定</v>
      </c>
      <c r="C3221" s="154">
        <f>IFERROR(__xludf.DUMMYFUNCTION("""COMPUTED_VALUE"""),45737.0)</f>
        <v>45737</v>
      </c>
      <c r="D3221" s="154">
        <f>IFERROR(__xludf.DUMMYFUNCTION("""COMPUTED_VALUE"""),45763.0)</f>
        <v>45763</v>
      </c>
      <c r="E3221" s="155">
        <f>IFERROR(__xludf.DUMMYFUNCTION("""COMPUTED_VALUE"""),321891.0)</f>
        <v>321891</v>
      </c>
      <c r="F3221" s="156" t="str">
        <f>IFERROR(__xludf.DUMMYFUNCTION("""COMPUTED_VALUE"""),"どうしようもないM女でもいいですか")</f>
        <v>どうしようもないM女でもいいですか</v>
      </c>
      <c r="G3221" s="152" t="str">
        <f>IFERROR(__xludf.DUMMYFUNCTION("""COMPUTED_VALUE"""),"1～2")</f>
        <v>1～2</v>
      </c>
      <c r="H3221" s="152" t="str">
        <f>IFERROR(__xludf.DUMMYFUNCTION("""COMPUTED_VALUE"""),"稲戸せれれ/保田飯飯")</f>
        <v>稲戸せれれ/保田飯飯</v>
      </c>
      <c r="I3221" s="152" t="str">
        <f>IFERROR(__xludf.DUMMYFUNCTION("""COMPUTED_VALUE"""),"TL")</f>
        <v>TL</v>
      </c>
      <c r="J3221" s="157"/>
      <c r="K3221" s="152" t="str">
        <f>IFERROR(__xludf.DUMMYFUNCTION("""COMPUTED_VALUE"""),"THE猥談")</f>
        <v>THE猥談</v>
      </c>
      <c r="L3221" s="152" t="str">
        <f>IFERROR(__xludf.DUMMYFUNCTION("""COMPUTED_VALUE"""),"DLcomics")</f>
        <v>DLcomics</v>
      </c>
      <c r="M3221" s="154">
        <f>IFERROR(__xludf.DUMMYFUNCTION("""COMPUTED_VALUE"""),45788.0)</f>
        <v>45788</v>
      </c>
      <c r="N3221" s="154">
        <f>IFERROR(__xludf.DUMMYFUNCTION("""COMPUTED_VALUE"""),45883.0)</f>
        <v>45883</v>
      </c>
      <c r="O3221" s="152"/>
      <c r="P3221" s="190" t="str">
        <f>IFERROR(__xludf.DUMMYFUNCTION("""COMPUTED_VALUE"""),"可")</f>
        <v>可</v>
      </c>
      <c r="Q3221" s="152"/>
      <c r="R3221" s="152" t="str">
        <f>IFERROR(__xludf.DUMMYFUNCTION("""COMPUTED_VALUE"""),"コミットOK")</f>
        <v>コミットOK</v>
      </c>
      <c r="S3221" s="152" t="str">
        <f>IFERROR(__xludf.DUMMYFUNCTION("""COMPUTED_VALUE"""),"20250416_DLcomics_どうしようもないM女でもいいですか")</f>
        <v>20250416_DLcomics_どうしようもないM女でもいいですか</v>
      </c>
      <c r="T3221" s="152" t="str">
        <f>IFERROR(__xludf.DUMMYFUNCTION("""COMPUTED_VALUE"""),"格納済み")</f>
        <v>格納済み</v>
      </c>
      <c r="U3221" s="15" t="str">
        <f>IFERROR(__xludf.DUMMYFUNCTION("""COMPUTED_VALUE"""),"(C)稲戸せれれ/保田飯飯/THE猥談")</f>
        <v>(C)稲戸せれれ/保田飯飯/THE猥談</v>
      </c>
      <c r="V3221" s="8" t="str">
        <f>IFERROR(__xludf.DUMMYFUNCTION("""COMPUTED_VALUE"""),"私は声も高くなく、目つきもきつい感じなので
男性にSだと期待されることが多い。
でも、本当は……
超弩級のMだ。
好きな人ができたら、先にセックスをして相性を確認する。
私にとって大事なステップ。
後から、引かれたら本当に悲しいから。
「本当はドMだもんな?」
なのに、突然。
上司の松村さんに性癖を見破られて、家に招かれてーー…。
漫画:稲戸せれれ
表紙デザイン:ヱレキテルワークス
※本作は同人誌となります。
※総ページ数は17ページとなります。")</f>
        <v>私は声も高くなく、目つきもきつい感じなので
男性にSだと期待されることが多い。
でも、本当は……
超弩級のMだ。
好きな人ができたら、先にセックスをして相性を確認する。
私にとって大事なステップ。
後から、引かれたら本当に悲しいから。
「本当はドMだもんな?」
なのに、突然。
上司の松村さんに性癖を見破られて、家に招かれてーー…。
漫画:稲戸せれれ
表紙デザイン:ヱレキテルワークス
※本作は同人誌となります。
※総ページ数は17ページとなります。</v>
      </c>
      <c r="W3221" s="14"/>
      <c r="X3221" s="14" t="str">
        <f>IFERROR(__xludf.DUMMYFUNCTION("""COMPUTED_VALUE"""),"有")</f>
        <v>有</v>
      </c>
      <c r="Y3221" s="8" t="str">
        <f>IFERROR(__xludf.DUMMYFUNCTION("""COMPUTED_VALUE"""),"P9まで")</f>
        <v>P9まで</v>
      </c>
      <c r="Z3221" s="7"/>
      <c r="AA3221" s="7"/>
      <c r="AB3221" s="7"/>
    </row>
    <row r="3222" ht="15.75" customHeight="1">
      <c r="A3222" s="153">
        <f>IFERROR(__xludf.DUMMYFUNCTION("""COMPUTED_VALUE"""),5348.0)</f>
        <v>5348</v>
      </c>
      <c r="B3222" s="152" t="str">
        <f>IFERROR(__xludf.DUMMYFUNCTION("""COMPUTED_VALUE"""),"確定")</f>
        <v>確定</v>
      </c>
      <c r="C3222" s="154">
        <f>IFERROR(__xludf.DUMMYFUNCTION("""COMPUTED_VALUE"""),45741.0)</f>
        <v>45741</v>
      </c>
      <c r="D3222" s="154">
        <f>IFERROR(__xludf.DUMMYFUNCTION("""COMPUTED_VALUE"""),45761.0)</f>
        <v>45761</v>
      </c>
      <c r="E3222" s="158">
        <f>IFERROR(__xludf.DUMMYFUNCTION("""COMPUTED_VALUE"""),322121.0)</f>
        <v>322121</v>
      </c>
      <c r="F3222" s="159" t="str">
        <f>IFERROR(__xludf.DUMMYFUNCTION("""COMPUTED_VALUE"""),"王太子殿下が離縁してくれないため逃走したく思います【分冊版】")</f>
        <v>王太子殿下が離縁してくれないため逃走したく思います【分冊版】</v>
      </c>
      <c r="G3222" s="152" t="str">
        <f>IFERROR(__xludf.DUMMYFUNCTION("""COMPUTED_VALUE"""),"1～2")</f>
        <v>1～2</v>
      </c>
      <c r="H3222" s="161" t="str">
        <f>IFERROR(__xludf.DUMMYFUNCTION("""COMPUTED_VALUE"""),"瑞色あき,鬼頭香月")</f>
        <v>瑞色あき,鬼頭香月</v>
      </c>
      <c r="I3222" s="152" t="str">
        <f>IFERROR(__xludf.DUMMYFUNCTION("""COMPUTED_VALUE"""),"TL")</f>
        <v>TL</v>
      </c>
      <c r="J3222" s="157"/>
      <c r="K3222" s="152" t="str">
        <f>IFERROR(__xludf.DUMMYFUNCTION("""COMPUTED_VALUE"""),"乙女ドルチェ・コミックス")</f>
        <v>乙女ドルチェ・コミックス</v>
      </c>
      <c r="L3222" s="152" t="str">
        <f>IFERROR(__xludf.DUMMYFUNCTION("""COMPUTED_VALUE"""),"乙女ドルチェ・コミックス")</f>
        <v>乙女ドルチェ・コミックス</v>
      </c>
      <c r="M3222" s="154">
        <f>IFERROR(__xludf.DUMMYFUNCTION("""COMPUTED_VALUE"""),45793.0)</f>
        <v>45793</v>
      </c>
      <c r="N3222" s="154">
        <f>IFERROR(__xludf.DUMMYFUNCTION("""COMPUTED_VALUE"""),45855.0)</f>
        <v>45855</v>
      </c>
      <c r="O3222" s="152"/>
      <c r="P3222" s="190" t="str">
        <f>IFERROR(__xludf.DUMMYFUNCTION("""COMPUTED_VALUE"""),"可")</f>
        <v>可</v>
      </c>
      <c r="Q3222" s="152"/>
      <c r="R3222" s="152" t="str">
        <f>IFERROR(__xludf.DUMMYFUNCTION("""COMPUTED_VALUE"""),"コミットNG")</f>
        <v>コミットNG</v>
      </c>
      <c r="S3222" s="152" t="str">
        <f>IFERROR(__xludf.DUMMYFUNCTION("""COMPUTED_VALUE"""),"20250410_ハーパーコリンズ・ジャパン_王太子殿下が離縁してくれないため逃走したく思います【分冊版】")</f>
        <v>20250410_ハーパーコリンズ・ジャパン_王太子殿下が離縁してくれないため逃走したく思います【分冊版】</v>
      </c>
      <c r="T3222" s="152" t="str">
        <f>IFERROR(__xludf.DUMMYFUNCTION("""COMPUTED_VALUE"""),"格納済み")</f>
        <v>格納済み</v>
      </c>
      <c r="U3222" s="15" t="str">
        <f>IFERROR(__xludf.DUMMYFUNCTION("""COMPUTED_VALUE"""),"Ⓒ瑞色あき・鬼頭香月／ハーパーコリンズ・ジャパン")</f>
        <v>Ⓒ瑞色あき・鬼頭香月／ハーパーコリンズ・ジャパン</v>
      </c>
      <c r="V3222" s="8" t="str">
        <f>IFERROR(__xludf.DUMMYFUNCTION("""COMPUTED_VALUE"""),"「身をもって教えてやろう」
誘惑に抗い続けた王太子、ついに欲望大爆発!?
「もっと感じろ 乱れる君は一層美しい」――メルツ王国王太子クリフォードと結婚した侯爵令嬢リオノーラ。だけど結婚して２年が経つのに彼は一度も夜伽をしてくれない。伝承学者によるとリオノーラは『繁栄をもたらす竜の末裔姫』だという。クリフォード様は愛ではなく、自国の繁栄のために私と結婚したの？意を決して侍女の用意したセクシードレスを纏い、誘惑するリオノーラ。すると彼の態度が一転して――！")</f>
        <v>「身をもって教えてやろう」
誘惑に抗い続けた王太子、ついに欲望大爆発!?
「もっと感じろ 乱れる君は一層美しい」――メルツ王国王太子クリフォードと結婚した侯爵令嬢リオノーラ。だけど結婚して２年が経つのに彼は一度も夜伽をしてくれない。伝承学者によるとリオノーラは『繁栄をもたらす竜の末裔姫』だという。クリフォード様は愛ではなく、自国の繁栄のために私と結婚したの？意を決して侍女の用意したセクシードレスを纏い、誘惑するリオノーラ。すると彼の態度が一転して――！</v>
      </c>
      <c r="W3222" s="14"/>
      <c r="X3222" s="14" t="str">
        <f>IFERROR(__xludf.DUMMYFUNCTION("""COMPUTED_VALUE"""),"有")</f>
        <v>有</v>
      </c>
      <c r="Y3222" s="8" t="str">
        <f>IFERROR(__xludf.DUMMYFUNCTION("""COMPUTED_VALUE"""),"2025/6/17まで1巻立ち読み増量(P18まで)")</f>
        <v>2025/6/17まで1巻立ち読み増量(P18まで)</v>
      </c>
      <c r="Z3222" s="7"/>
      <c r="AA3222" s="7"/>
      <c r="AB3222" s="7"/>
    </row>
    <row r="3223" ht="15.75" customHeight="1">
      <c r="A3223" s="153">
        <f>IFERROR(__xludf.DUMMYFUNCTION("""COMPUTED_VALUE"""),5349.0)</f>
        <v>5349</v>
      </c>
      <c r="B3223" s="152" t="str">
        <f>IFERROR(__xludf.DUMMYFUNCTION("""COMPUTED_VALUE"""),"確定")</f>
        <v>確定</v>
      </c>
      <c r="C3223" s="154">
        <f>IFERROR(__xludf.DUMMYFUNCTION("""COMPUTED_VALUE"""),45741.0)</f>
        <v>45741</v>
      </c>
      <c r="D3223" s="154">
        <f>IFERROR(__xludf.DUMMYFUNCTION("""COMPUTED_VALUE"""),45761.0)</f>
        <v>45761</v>
      </c>
      <c r="E3223" s="158">
        <f>IFERROR(__xludf.DUMMYFUNCTION("""COMPUTED_VALUE"""),322122.0)</f>
        <v>322122</v>
      </c>
      <c r="F3223" s="159" t="str">
        <f>IFERROR(__xludf.DUMMYFUNCTION("""COMPUTED_VALUE"""),"美貌の冷徹宰相閣下はワケあり令嬢を溺愛して手放さない")</f>
        <v>美貌の冷徹宰相閣下はワケあり令嬢を溺愛して手放さない</v>
      </c>
      <c r="G3223" s="153">
        <f>IFERROR(__xludf.DUMMYFUNCTION("""COMPUTED_VALUE"""),1.0)</f>
        <v>1</v>
      </c>
      <c r="H3223" s="161" t="str">
        <f>IFERROR(__xludf.DUMMYFUNCTION("""COMPUTED_VALUE"""),"羽柴紀子,東万里央")</f>
        <v>羽柴紀子,東万里央</v>
      </c>
      <c r="I3223" s="152" t="str">
        <f>IFERROR(__xludf.DUMMYFUNCTION("""COMPUTED_VALUE"""),"TL")</f>
        <v>TL</v>
      </c>
      <c r="J3223" s="157"/>
      <c r="K3223" s="152" t="str">
        <f>IFERROR(__xludf.DUMMYFUNCTION("""COMPUTED_VALUE"""),"乙女ドルチェ・コミックス")</f>
        <v>乙女ドルチェ・コミックス</v>
      </c>
      <c r="L3223" s="152" t="str">
        <f>IFERROR(__xludf.DUMMYFUNCTION("""COMPUTED_VALUE"""),"乙女ドルチェ・コミックス")</f>
        <v>乙女ドルチェ・コミックス</v>
      </c>
      <c r="M3223" s="154">
        <f>IFERROR(__xludf.DUMMYFUNCTION("""COMPUTED_VALUE"""),45793.0)</f>
        <v>45793</v>
      </c>
      <c r="N3223" s="154">
        <f>IFERROR(__xludf.DUMMYFUNCTION("""COMPUTED_VALUE"""),45855.0)</f>
        <v>45855</v>
      </c>
      <c r="O3223" s="152"/>
      <c r="P3223" s="190" t="str">
        <f>IFERROR(__xludf.DUMMYFUNCTION("""COMPUTED_VALUE"""),"可")</f>
        <v>可</v>
      </c>
      <c r="Q3223" s="152"/>
      <c r="R3223" s="152" t="str">
        <f>IFERROR(__xludf.DUMMYFUNCTION("""COMPUTED_VALUE"""),"コミットNG")</f>
        <v>コミットNG</v>
      </c>
      <c r="S3223" s="152" t="str">
        <f>IFERROR(__xludf.DUMMYFUNCTION("""COMPUTED_VALUE"""),"20250410_ハーパーコリンズ・ジャパン_美貌の冷徹宰相閣下はワケあり令嬢を溺愛して手放さない")</f>
        <v>20250410_ハーパーコリンズ・ジャパン_美貌の冷徹宰相閣下はワケあり令嬢を溺愛して手放さない</v>
      </c>
      <c r="T3223" s="152" t="str">
        <f>IFERROR(__xludf.DUMMYFUNCTION("""COMPUTED_VALUE"""),"格納済み")</f>
        <v>格納済み</v>
      </c>
      <c r="U3223" s="15" t="str">
        <f>IFERROR(__xludf.DUMMYFUNCTION("""COMPUTED_VALUE"""),"Ⓒ羽柴紀子・東万里央／ハーパーコリンズ・ジャパン")</f>
        <v>Ⓒ羽柴紀子・東万里央／ハーパーコリンズ・ジャパン</v>
      </c>
      <c r="V3223" s="8" t="str">
        <f>IFERROR(__xludf.DUMMYFUNCTION("""COMPUTED_VALUE"""),"「感じやすい体をしているようだ…たまらないな」
公爵閣下の巧みな愛撫に翻弄されて…
｢あなたのここは、すでに私の形になっている｣常に美人な妹と比べられてきた伯爵令嬢フィリス。以前、身分を知らずに助けた、社交界で人気の美貌の公爵サイラスと夜会で再会するが、彼を狙った襲撃事件にまきこまれ、体に残る傷を負ってしまう。傷が原因で婚約者を妹に奪われた彼女は、サイラスから突然求婚されて――！　｢あなたは美しい｣情熱的に囁き、熱く甘い愛撫でフィリスを蕩かしていくサイラス。責任を取るための結婚と思っていたフィリス"&amp;"だったが、彼に激しい独占欲を見せつけられて――!?")</f>
        <v>「感じやすい体をしているようだ…たまらないな」
公爵閣下の巧みな愛撫に翻弄されて…
｢あなたのここは、すでに私の形になっている｣常に美人な妹と比べられてきた伯爵令嬢フィリス。以前、身分を知らずに助けた、社交界で人気の美貌の公爵サイラスと夜会で再会するが、彼を狙った襲撃事件にまきこまれ、体に残る傷を負ってしまう。傷が原因で婚約者を妹に奪われた彼女は、サイラスから突然求婚されて――！　｢あなたは美しい｣情熱的に囁き、熱く甘い愛撫でフィリスを蕩かしていくサイラス。責任を取るための結婚と思っていたフィリスだったが、彼に激しい独占欲を見せつけられて――!?</v>
      </c>
      <c r="W3223" s="14"/>
      <c r="X3223" s="14" t="str">
        <f>IFERROR(__xludf.DUMMYFUNCTION("""COMPUTED_VALUE"""),"有")</f>
        <v>有</v>
      </c>
      <c r="Y3223" s="8" t="str">
        <f>IFERROR(__xludf.DUMMYFUNCTION("""COMPUTED_VALUE"""),"2025/6/17まで1巻立ち読み増量(P42まで)")</f>
        <v>2025/6/17まで1巻立ち読み増量(P42まで)</v>
      </c>
      <c r="Z3223" s="7"/>
      <c r="AA3223" s="7"/>
      <c r="AB3223" s="7"/>
    </row>
    <row r="3224" ht="15.75" customHeight="1">
      <c r="A3224" s="153">
        <f>IFERROR(__xludf.DUMMYFUNCTION("""COMPUTED_VALUE"""),5369.0)</f>
        <v>5369</v>
      </c>
      <c r="B3224" s="152" t="str">
        <f>IFERROR(__xludf.DUMMYFUNCTION("""COMPUTED_VALUE"""),"確定")</f>
        <v>確定</v>
      </c>
      <c r="C3224" s="154">
        <f>IFERROR(__xludf.DUMMYFUNCTION("""COMPUTED_VALUE"""),45743.0)</f>
        <v>45743</v>
      </c>
      <c r="D3224" s="154">
        <f>IFERROR(__xludf.DUMMYFUNCTION("""COMPUTED_VALUE"""),45761.0)</f>
        <v>45761</v>
      </c>
      <c r="E3224" s="158">
        <f>IFERROR(__xludf.DUMMYFUNCTION("""COMPUTED_VALUE"""),323348.0)</f>
        <v>323348</v>
      </c>
      <c r="F3224" s="159" t="str">
        <f>IFERROR(__xludf.DUMMYFUNCTION("""COMPUTED_VALUE"""),"頼くんとヨリを戻すわけには！ プチデザ")</f>
        <v>頼くんとヨリを戻すわけには！ プチデザ</v>
      </c>
      <c r="G3224" s="152" t="str">
        <f>IFERROR(__xludf.DUMMYFUNCTION("""COMPUTED_VALUE"""),"1～4")</f>
        <v>1～4</v>
      </c>
      <c r="H3224" s="152" t="str">
        <f>IFERROR(__xludf.DUMMYFUNCTION("""COMPUTED_VALUE"""),"旗谷澄生")</f>
        <v>旗谷澄生</v>
      </c>
      <c r="I3224" s="161" t="str">
        <f>IFERROR(__xludf.DUMMYFUNCTION("""COMPUTED_VALUE"""),"少女")</f>
        <v>少女</v>
      </c>
      <c r="J3224" s="157"/>
      <c r="K3224" s="157"/>
      <c r="L3224" s="152" t="str">
        <f>IFERROR(__xludf.DUMMYFUNCTION("""COMPUTED_VALUE"""),"講談社")</f>
        <v>講談社</v>
      </c>
      <c r="M3224" s="154">
        <f>IFERROR(__xludf.DUMMYFUNCTION("""COMPUTED_VALUE"""),45790.0)</f>
        <v>45790</v>
      </c>
      <c r="N3224" s="198">
        <f>IFERROR(__xludf.DUMMYFUNCTION("""COMPUTED_VALUE"""),45881.0)</f>
        <v>45881</v>
      </c>
      <c r="O3224" s="152"/>
      <c r="P3224" s="190" t="str">
        <f>IFERROR(__xludf.DUMMYFUNCTION("""COMPUTED_VALUE"""),"否")</f>
        <v>否</v>
      </c>
      <c r="Q3224" s="152"/>
      <c r="R3224" s="152" t="str">
        <f>IFERROR(__xludf.DUMMYFUNCTION("""COMPUTED_VALUE"""),"コミットOK")</f>
        <v>コミットOK</v>
      </c>
      <c r="S3224" s="152" t="str">
        <f>IFERROR(__xludf.DUMMYFUNCTION("""COMPUTED_VALUE"""),"20250414_講談社_頼くんとヨリを戻すわけには！")</f>
        <v>20250414_講談社_頼くんとヨリを戻すわけには！</v>
      </c>
      <c r="T3224" s="152" t="str">
        <f>IFERROR(__xludf.DUMMYFUNCTION("""COMPUTED_VALUE"""),"格納済み")</f>
        <v>格納済み</v>
      </c>
      <c r="U3224" s="15" t="str">
        <f>IFERROR(__xludf.DUMMYFUNCTION("""COMPUTED_VALUE"""),"Ⓒ旗谷澄生／講談社")</f>
        <v>Ⓒ旗谷澄生／講談社</v>
      </c>
      <c r="V3224" s="8" t="str">
        <f>IFERROR(__xludf.DUMMYFUNCTION("""COMPUTED_VALUE"""),"【第1話　よりにもよって頼くんと】
「――だから早まんなよ　勝手に他の奴と付き合うな！」
大学に合格し、上京してきた初帆。これからキラキラの大学生活…と思いきや、アパートの隣人になったのは、中学時代に気まずい別れ方をした人生唯一の「元彼」で…!?
なんだかちょっと偉そうだけど、かっこよくて憎めない…難あり（!?）な元彼からの猛アタックが止まらない日々、スタート!!!!☆")</f>
        <v>【第1話　よりにもよって頼くんと】
「――だから早まんなよ　勝手に他の奴と付き合うな！」
大学に合格し、上京してきた初帆。これからキラキラの大学生活…と思いきや、アパートの隣人になったのは、中学時代に気まずい別れ方をした人生唯一の「元彼」で…!?
なんだかちょっと偉そうだけど、かっこよくて憎めない…難あり（!?）な元彼からの猛アタックが止まらない日々、スタート!!!!☆</v>
      </c>
      <c r="W3224" s="14"/>
      <c r="X3224" s="14" t="str">
        <f>IFERROR(__xludf.DUMMYFUNCTION("""COMPUTED_VALUE"""),"有")</f>
        <v>有</v>
      </c>
      <c r="Y3224" s="8" t="str">
        <f>IFERROR(__xludf.DUMMYFUNCTION("""COMPUTED_VALUE"""),"2025/5/26まで1巻無料")</f>
        <v>2025/5/26まで1巻無料</v>
      </c>
      <c r="Z3224" s="7"/>
      <c r="AA3224" s="7"/>
      <c r="AB3224" s="7"/>
    </row>
    <row r="3225" ht="15.75" customHeight="1">
      <c r="A3225" s="153">
        <f>IFERROR(__xludf.DUMMYFUNCTION("""COMPUTED_VALUE"""),5466.0)</f>
        <v>5466</v>
      </c>
      <c r="B3225" s="152" t="str">
        <f>IFERROR(__xludf.DUMMYFUNCTION("""COMPUTED_VALUE"""),"確定")</f>
        <v>確定</v>
      </c>
      <c r="C3225" s="154">
        <f>IFERROR(__xludf.DUMMYFUNCTION("""COMPUTED_VALUE"""),45757.0)</f>
        <v>45757</v>
      </c>
      <c r="D3225" s="154">
        <f>IFERROR(__xludf.DUMMYFUNCTION("""COMPUTED_VALUE"""),45761.0)</f>
        <v>45761</v>
      </c>
      <c r="E3225" s="158">
        <f>IFERROR(__xludf.DUMMYFUNCTION("""COMPUTED_VALUE"""),323317.0)</f>
        <v>323317</v>
      </c>
      <c r="F3225" s="159" t="str">
        <f>IFERROR(__xludf.DUMMYFUNCTION("""COMPUTED_VALUE"""),"軍人の新妻～怜悧な軍人と凍てついた令嬢～【分冊版】")</f>
        <v>軍人の新妻～怜悧な軍人と凍てついた令嬢～【分冊版】</v>
      </c>
      <c r="G3225" s="152" t="str">
        <f>IFERROR(__xludf.DUMMYFUNCTION("""COMPUTED_VALUE"""),"1～6")</f>
        <v>1～6</v>
      </c>
      <c r="H3225" s="152" t="str">
        <f>IFERROR(__xludf.DUMMYFUNCTION("""COMPUTED_VALUE"""),"原作/扇レンナ 漫画/三ツ葉やこ")</f>
        <v>原作/扇レンナ 漫画/三ツ葉やこ</v>
      </c>
      <c r="I3225" s="152" t="str">
        <f>IFERROR(__xludf.DUMMYFUNCTION("""COMPUTED_VALUE"""),"女性")</f>
        <v>女性</v>
      </c>
      <c r="J3225" s="157"/>
      <c r="K3225" s="157"/>
      <c r="L3225" s="152" t="str">
        <f>IFERROR(__xludf.DUMMYFUNCTION("""COMPUTED_VALUE"""),"マンガボックス")</f>
        <v>マンガボックス</v>
      </c>
      <c r="M3225" s="154">
        <f>IFERROR(__xludf.DUMMYFUNCTION("""COMPUTED_VALUE"""),45793.0)</f>
        <v>45793</v>
      </c>
      <c r="N3225" s="154">
        <f>IFERROR(__xludf.DUMMYFUNCTION("""COMPUTED_VALUE"""),45884.0)</f>
        <v>45884</v>
      </c>
      <c r="O3225" s="152"/>
      <c r="P3225" s="190" t="str">
        <f>IFERROR(__xludf.DUMMYFUNCTION("""COMPUTED_VALUE"""),"可")</f>
        <v>可</v>
      </c>
      <c r="Q3225" s="190"/>
      <c r="R3225" s="152"/>
      <c r="S3225" s="152" t="str">
        <f>IFERROR(__xludf.DUMMYFUNCTION("""COMPUTED_VALUE"""),"20250410_マンガボックス_軍人の新妻～怜悧な軍人と凍てついた令嬢～")</f>
        <v>20250410_マンガボックス_軍人の新妻～怜悧な軍人と凍てついた令嬢～</v>
      </c>
      <c r="T3225" s="152" t="str">
        <f>IFERROR(__xludf.DUMMYFUNCTION("""COMPUTED_VALUE"""),"格納済み")</f>
        <v>格納済み</v>
      </c>
      <c r="U3225" s="15" t="str">
        <f>IFERROR(__xludf.DUMMYFUNCTION("""COMPUTED_VALUE"""),"Ⓒ扇レンナ・三ツ葉やこ/マンガボックス")</f>
        <v>Ⓒ扇レンナ・三ツ葉やこ/マンガボックス</v>
      </c>
      <c r="V3225" s="8" t="str">
        <f>IFERROR(__xludf.DUMMYFUNCTION("""COMPUTED_VALUE"""),"藤波雛子は継母と異母妹に虐げられたことで、感情を封じ「凍てついた令嬢」と呼ばれるようになった伯爵家令嬢。帝国陸軍大佐・梅園陽介との見合い話を叔父から受け、家から逃れるため縁談を承諾する。しかし陽介から結婚を申し込まれ、雛子の心が揺れ始めーー…。結婚を通じ、愛の温もりを知る大正ロマン恋愛譚！")</f>
        <v>藤波雛子は継母と異母妹に虐げられたことで、感情を封じ「凍てついた令嬢」と呼ばれるようになった伯爵家令嬢。帝国陸軍大佐・梅園陽介との見合い話を叔父から受け、家から逃れるため縁談を承諾する。しかし陽介から結婚を申し込まれ、雛子の心が揺れ始めーー…。結婚を通じ、愛の温もりを知る大正ロマン恋愛譚！</v>
      </c>
      <c r="W3225" s="14"/>
      <c r="X3225" s="14" t="str">
        <f>IFERROR(__xludf.DUMMYFUNCTION("""COMPUTED_VALUE"""),"有")</f>
        <v>有</v>
      </c>
      <c r="Y3225" s="8" t="str">
        <f>IFERROR(__xludf.DUMMYFUNCTION("""COMPUTED_VALUE"""),"2025/6/5まで1巻無料")</f>
        <v>2025/6/5まで1巻無料</v>
      </c>
      <c r="Z3225" s="7"/>
      <c r="AA3225" s="7"/>
      <c r="AB3225" s="7"/>
    </row>
    <row r="3226" ht="15.75" customHeight="1">
      <c r="A3226" s="153">
        <f>IFERROR(__xludf.DUMMYFUNCTION("""COMPUTED_VALUE"""),5468.0)</f>
        <v>5468</v>
      </c>
      <c r="B3226" s="152" t="str">
        <f>IFERROR(__xludf.DUMMYFUNCTION("""COMPUTED_VALUE"""),"確定")</f>
        <v>確定</v>
      </c>
      <c r="C3226" s="154">
        <f>IFERROR(__xludf.DUMMYFUNCTION("""COMPUTED_VALUE"""),45758.0)</f>
        <v>45758</v>
      </c>
      <c r="D3226" s="154">
        <f>IFERROR(__xludf.DUMMYFUNCTION("""COMPUTED_VALUE"""),45761.0)</f>
        <v>45761</v>
      </c>
      <c r="E3226" s="157">
        <f>IFERROR(__xludf.DUMMYFUNCTION("""COMPUTED_VALUE"""),324180.0)</f>
        <v>324180</v>
      </c>
      <c r="F3226" s="152" t="str">
        <f>IFERROR(__xludf.DUMMYFUNCTION("""COMPUTED_VALUE"""),"デート・オア・キル～秘密のマッチング～【分冊版】")</f>
        <v>デート・オア・キル～秘密のマッチング～【分冊版】</v>
      </c>
      <c r="G3226" s="152" t="str">
        <f>IFERROR(__xludf.DUMMYFUNCTION("""COMPUTED_VALUE"""),"1～4")</f>
        <v>1～4</v>
      </c>
      <c r="H3226" s="152" t="str">
        <f>IFERROR(__xludf.DUMMYFUNCTION("""COMPUTED_VALUE"""),"羊谷あく")</f>
        <v>羊谷あく</v>
      </c>
      <c r="I3226" s="152" t="str">
        <f>IFERROR(__xludf.DUMMYFUNCTION("""COMPUTED_VALUE"""),"少女")</f>
        <v>少女</v>
      </c>
      <c r="J3226" s="157"/>
      <c r="K3226" s="157"/>
      <c r="L3226" s="152" t="str">
        <f>IFERROR(__xludf.DUMMYFUNCTION("""COMPUTED_VALUE"""),"スクウェア・エニックス")</f>
        <v>スクウェア・エニックス</v>
      </c>
      <c r="M3226" s="154">
        <f>IFERROR(__xludf.DUMMYFUNCTION("""COMPUTED_VALUE"""),45809.0)</f>
        <v>45809</v>
      </c>
      <c r="N3226" s="204">
        <f>IFERROR(__xludf.DUMMYFUNCTION("""COMPUTED_VALUE"""),45900.0)</f>
        <v>45900</v>
      </c>
      <c r="O3226" s="152"/>
      <c r="P3226" s="152" t="str">
        <f>IFERROR(__xludf.DUMMYFUNCTION("""COMPUTED_VALUE"""),"否")</f>
        <v>否</v>
      </c>
      <c r="Q3226" s="152" t="str">
        <f>IFERROR(__xludf.DUMMYFUNCTION("""COMPUTED_VALUE"""),"新作検知からの逆提案作品です。河上さん相談済み&lt;BR&gt;よろしくお願いいたします。")</f>
        <v>新作検知からの逆提案作品です。河上さん相談済み&lt;BR&gt;よろしくお願いいたします。</v>
      </c>
      <c r="R3226" s="152" t="str">
        <f>IFERROR(__xludf.DUMMYFUNCTION("""COMPUTED_VALUE"""),"コミットOK")</f>
        <v>コミットOK</v>
      </c>
      <c r="S3226" s="152" t="str">
        <f>IFERROR(__xludf.DUMMYFUNCTION("""COMPUTED_VALUE"""),"250411_スクウェア・エニックス_デート・オア・キル～秘密のマッチング～")</f>
        <v>250411_スクウェア・エニックス_デート・オア・キル～秘密のマッチング～</v>
      </c>
      <c r="T3226" s="152" t="str">
        <f>IFERROR(__xludf.DUMMYFUNCTION("""COMPUTED_VALUE"""),"格納済み")</f>
        <v>格納済み</v>
      </c>
      <c r="U3226" s="9" t="str">
        <f>IFERROR(__xludf.DUMMYFUNCTION("""COMPUTED_VALUE"""),"(C)Aku Hitsujiya/SQUARE ENIX")</f>
        <v>(C)Aku Hitsujiya/SQUARE ENIX</v>
      </c>
      <c r="V3226" s="8" t="str">
        <f>IFERROR(__xludf.DUMMYFUNCTION("""COMPUTED_VALUE"""),"【殺し屋とヤクザが恋活でマッチング】
25年間恋愛とは無縁の人生を送ってきた、凄腕の殺し屋・絢芽。同僚のすすめで、正体を偽り恋活アプリに登録！すると、ターゲットである冷酷無慈悲なヤクザの若頭・無良井とマッチングして…!?バレたら終わりの偽装ラブコメ!!
※この商品は「デート・オア・キル～秘密のマッチング～」を1話ごとに分冊したものです。
(C)2025 Aku Hitsujiya")</f>
        <v>【殺し屋とヤクザが恋活でマッチング】
25年間恋愛とは無縁の人生を送ってきた、凄腕の殺し屋・絢芽。同僚のすすめで、正体を偽り恋活アプリに登録！すると、ターゲットである冷酷無慈悲なヤクザの若頭・無良井とマッチングして…!?バレたら終わりの偽装ラブコメ!!
※この商品は「デート・オア・キル～秘密のマッチング～」を1話ごとに分冊したものです。
(C)2025 Aku Hitsujiya</v>
      </c>
      <c r="W3226" s="8" t="str">
        <f>IFERROR(__xludf.DUMMYFUNCTION("""COMPUTED_VALUE"""),"#REF!")</f>
        <v>#REF!</v>
      </c>
      <c r="X3226" s="8" t="str">
        <f>IFERROR(__xludf.DUMMYFUNCTION("""COMPUTED_VALUE"""),"有")</f>
        <v>有</v>
      </c>
      <c r="Y3226" s="8" t="str">
        <f>IFERROR(__xludf.DUMMYFUNCTION("""COMPUTED_VALUE"""),"2025/8/31まで1巻無料")</f>
        <v>2025/8/31まで1巻無料</v>
      </c>
      <c r="Z3226" s="7"/>
      <c r="AA3226" s="7"/>
      <c r="AB3226" s="7"/>
    </row>
    <row r="3227" ht="15.75" customHeight="1">
      <c r="A3227" s="153">
        <f>IFERROR(__xludf.DUMMYFUNCTION("""COMPUTED_VALUE"""),5477.0)</f>
        <v>5477</v>
      </c>
      <c r="B3227" s="152" t="str">
        <f>IFERROR(__xludf.DUMMYFUNCTION("""COMPUTED_VALUE"""),"確定")</f>
        <v>確定</v>
      </c>
      <c r="C3227" s="154">
        <f>IFERROR(__xludf.DUMMYFUNCTION("""COMPUTED_VALUE"""),45758.0)</f>
        <v>45758</v>
      </c>
      <c r="D3227" s="154">
        <f>IFERROR(__xludf.DUMMYFUNCTION("""COMPUTED_VALUE"""),45761.0)</f>
        <v>45761</v>
      </c>
      <c r="E3227" s="158">
        <f>IFERROR(__xludf.DUMMYFUNCTION("""COMPUTED_VALUE"""),321468.0)</f>
        <v>321468</v>
      </c>
      <c r="F3227" s="159" t="str">
        <f>IFERROR(__xludf.DUMMYFUNCTION("""COMPUTED_VALUE"""),"仕方なく結婚したはずなのに貴方を愛してしまったので離婚しようと思います。")</f>
        <v>仕方なく結婚したはずなのに貴方を愛してしまったので離婚しようと思います。</v>
      </c>
      <c r="G3227" s="152" t="str">
        <f>IFERROR(__xludf.DUMMYFUNCTION("""COMPUTED_VALUE"""),"1～4")</f>
        <v>1～4</v>
      </c>
      <c r="H3227" s="152" t="str">
        <f>IFERROR(__xludf.DUMMYFUNCTION("""COMPUTED_VALUE"""),"梔子まい/森本イチカ")</f>
        <v>梔子まい/森本イチカ</v>
      </c>
      <c r="I3227" s="152" t="str">
        <f>IFERROR(__xludf.DUMMYFUNCTION("""COMPUTED_VALUE"""),"女性")</f>
        <v>女性</v>
      </c>
      <c r="J3227" s="157"/>
      <c r="K3227" s="157"/>
      <c r="L3227" s="152" t="str">
        <f>IFERROR(__xludf.DUMMYFUNCTION("""COMPUTED_VALUE"""),"ファンギルド")</f>
        <v>ファンギルド</v>
      </c>
      <c r="M3227" s="154">
        <f>IFERROR(__xludf.DUMMYFUNCTION("""COMPUTED_VALUE"""),45798.0)</f>
        <v>45798</v>
      </c>
      <c r="N3227" s="154">
        <f>IFERROR(__xludf.DUMMYFUNCTION("""COMPUTED_VALUE"""),45832.0)</f>
        <v>45832</v>
      </c>
      <c r="O3227" s="152"/>
      <c r="P3227" s="190" t="str">
        <f>IFERROR(__xludf.DUMMYFUNCTION("""COMPUTED_VALUE"""),"可")</f>
        <v>可</v>
      </c>
      <c r="Q3227" s="190"/>
      <c r="R3227" s="152"/>
      <c r="S3227" s="152" t="str">
        <f>IFERROR(__xludf.DUMMYFUNCTION("""COMPUTED_VALUE"""),"20250411_ファンギルド_仕方なく結婚したはずなのに貴方を愛してしまったので離婚しようと思います。")</f>
        <v>20250411_ファンギルド_仕方なく結婚したはずなのに貴方を愛してしまったので離婚しようと思います。</v>
      </c>
      <c r="T3227" s="152" t="str">
        <f>IFERROR(__xludf.DUMMYFUNCTION("""COMPUTED_VALUE"""),"格納済み")</f>
        <v>格納済み</v>
      </c>
      <c r="U3227" s="15" t="str">
        <f>IFERROR(__xludf.DUMMYFUNCTION("""COMPUTED_VALUE"""),"Ⓒ梔子まい/森本イチカ/ファンギルド")</f>
        <v>Ⓒ梔子まい/森本イチカ/ファンギルド</v>
      </c>
      <c r="V3227" s="8" t="str">
        <f>IFERROR(__xludf.DUMMYFUNCTION("""COMPUTED_VALUE"""),"突然失った父親と穂乃果（ほのか）が生まれた時からずっと過ごしてきた印刷工場が倒産した。継母と義理の妹、恋人にも裏切られ途方に暮れていたところ、手を差し伸べてくれたのは憎き復讐相手の会社の社長、桐ヶ谷玲司（きりがやれいじ）だったーー。「このまま、僕の中に閉じ込めておきたいーー」借金の為に結婚したはずなのに、玲司に甘く愛され穂乃果の心は揺れ動く…ーー契約結婚のはずなのに…どうして私を大切だと言うの？")</f>
        <v>突然失った父親と穂乃果（ほのか）が生まれた時からずっと過ごしてきた印刷工場が倒産した。継母と義理の妹、恋人にも裏切られ途方に暮れていたところ、手を差し伸べてくれたのは憎き復讐相手の会社の社長、桐ヶ谷玲司（きりがやれいじ）だったーー。「このまま、僕の中に閉じ込めておきたいーー」借金の為に結婚したはずなのに、玲司に甘く愛され穂乃果の心は揺れ動く…ーー契約結婚のはずなのに…どうして私を大切だと言うの？</v>
      </c>
      <c r="W3227" s="14"/>
      <c r="X3227" s="14" t="str">
        <f>IFERROR(__xludf.DUMMYFUNCTION("""COMPUTED_VALUE"""),"有")</f>
        <v>有</v>
      </c>
      <c r="Y3227" s="8" t="str">
        <f>IFERROR(__xludf.DUMMYFUNCTION("""COMPUTED_VALUE"""),"2025/6/24まで1巻無料")</f>
        <v>2025/6/24まで1巻無料</v>
      </c>
      <c r="Z3227" s="7"/>
      <c r="AA3227" s="7"/>
      <c r="AB3227" s="7"/>
    </row>
    <row r="3228" ht="15.75" customHeight="1">
      <c r="A3228" s="153">
        <f>IFERROR(__xludf.DUMMYFUNCTION("""COMPUTED_VALUE"""),5484.0)</f>
        <v>5484</v>
      </c>
      <c r="B3228" s="152" t="str">
        <f>IFERROR(__xludf.DUMMYFUNCTION("""COMPUTED_VALUE"""),"確定")</f>
        <v>確定</v>
      </c>
      <c r="C3228" s="154">
        <f>IFERROR(__xludf.DUMMYFUNCTION("""COMPUTED_VALUE"""),45761.0)</f>
        <v>45761</v>
      </c>
      <c r="D3228" s="154">
        <f>IFERROR(__xludf.DUMMYFUNCTION("""COMPUTED_VALUE"""),45761.0)</f>
        <v>45761</v>
      </c>
      <c r="E3228" s="158">
        <f>IFERROR(__xludf.DUMMYFUNCTION("""COMPUTED_VALUE"""),322014.0)</f>
        <v>322014</v>
      </c>
      <c r="F3228" s="159" t="str">
        <f>IFERROR(__xludf.DUMMYFUNCTION("""COMPUTED_VALUE"""),"悪役令嬢は淫魔になってツンデレ王子に溺愛される")</f>
        <v>悪役令嬢は淫魔になってツンデレ王子に溺愛される</v>
      </c>
      <c r="G3228" s="152" t="str">
        <f>IFERROR(__xludf.DUMMYFUNCTION("""COMPUTED_VALUE"""),"1～3")</f>
        <v>1～3</v>
      </c>
      <c r="H3228" s="161" t="str">
        <f>IFERROR(__xludf.DUMMYFUNCTION("""COMPUTED_VALUE"""),"えりマルス 谷村二十円")</f>
        <v>えりマルス 谷村二十円</v>
      </c>
      <c r="I3228" s="152" t="str">
        <f>IFERROR(__xludf.DUMMYFUNCTION("""COMPUTED_VALUE"""),"TL")</f>
        <v>TL</v>
      </c>
      <c r="J3228" s="157"/>
      <c r="K3228" s="152" t="str">
        <f>IFERROR(__xludf.DUMMYFUNCTION("""COMPUTED_VALUE"""),"恋愛LoveMAX")</f>
        <v>恋愛LoveMAX</v>
      </c>
      <c r="L3228" s="152" t="str">
        <f>IFERROR(__xludf.DUMMYFUNCTION("""COMPUTED_VALUE"""),"秋田書店")</f>
        <v>秋田書店</v>
      </c>
      <c r="M3228" s="154">
        <f>IFERROR(__xludf.DUMMYFUNCTION("""COMPUTED_VALUE"""),45792.0)</f>
        <v>45792</v>
      </c>
      <c r="N3228" s="154">
        <f>IFERROR(__xludf.DUMMYFUNCTION("""COMPUTED_VALUE"""),45823.0)</f>
        <v>45823</v>
      </c>
      <c r="O3228" s="152"/>
      <c r="P3228" s="190" t="str">
        <f>IFERROR(__xludf.DUMMYFUNCTION("""COMPUTED_VALUE"""),"可")</f>
        <v>可</v>
      </c>
      <c r="Q3228" s="190"/>
      <c r="R3228" s="152"/>
      <c r="S3228" s="152" t="str">
        <f>IFERROR(__xludf.DUMMYFUNCTION("""COMPUTED_VALUE"""),"20250515_秋田書店_悪役令嬢は淫魔になってツンデレ王子に溺愛される")</f>
        <v>20250515_秋田書店_悪役令嬢は淫魔になってツンデレ王子に溺愛される</v>
      </c>
      <c r="T3228" s="152" t="str">
        <f>IFERROR(__xludf.DUMMYFUNCTION("""COMPUTED_VALUE"""),"格納済み")</f>
        <v>格納済み</v>
      </c>
      <c r="U3228" s="15" t="str">
        <f>IFERROR(__xludf.DUMMYFUNCTION("""COMPUTED_VALUE"""),"（C）谷村二十円・えりマルス（秋田書店）")</f>
        <v>（C）谷村二十円・えりマルス（秋田書店）</v>
      </c>
      <c r="V3228" s="8" t="str">
        <f>IFERROR(__xludf.DUMMYFUNCTION("""COMPUTED_VALUE"""),"「まさか悪役令嬢の私が淫魔に――」「婚約者としてオレがお前を満たしてやる」魔法学校を舞台にした恋愛シミュレーションゲームにハマっていた私は、ひょんなことからこの世界の悪役令嬢リリアナになってしまった！美しく聡明な彼女を推していたけど、リリアナはヒース王子に最後は婚約破棄されて学園追放されてしまうのが王道ルート。なのになぜか淫魔ウルヴァヌスに気に入られて淫魔になってしまって…？そしてヒース王子も熱い眼で見つめてきて…？")</f>
        <v>「まさか悪役令嬢の私が淫魔に――」「婚約者としてオレがお前を満たしてやる」魔法学校を舞台にした恋愛シミュレーションゲームにハマっていた私は、ひょんなことからこの世界の悪役令嬢リリアナになってしまった！美しく聡明な彼女を推していたけど、リリアナはヒース王子に最後は婚約破棄されて学園追放されてしまうのが王道ルート。なのになぜか淫魔ウルヴァヌスに気に入られて淫魔になってしまって…？そしてヒース王子も熱い眼で見つめてきて…？</v>
      </c>
      <c r="W3228" s="14"/>
      <c r="X3228" s="14" t="str">
        <f>IFERROR(__xludf.DUMMYFUNCTION("""COMPUTED_VALUE"""),"有")</f>
        <v>有</v>
      </c>
      <c r="Y3228" s="8" t="str">
        <f>IFERROR(__xludf.DUMMYFUNCTION("""COMPUTED_VALUE"""),"2025/6/15まで1巻無料")</f>
        <v>2025/6/15まで1巻無料</v>
      </c>
      <c r="Z3228" s="7"/>
      <c r="AA3228" s="7"/>
      <c r="AB3228" s="7"/>
    </row>
    <row r="3229" ht="15.75" customHeight="1">
      <c r="A3229" s="153">
        <f>IFERROR(__xludf.DUMMYFUNCTION("""COMPUTED_VALUE"""),5488.0)</f>
        <v>5488</v>
      </c>
      <c r="B3229" s="152" t="str">
        <f>IFERROR(__xludf.DUMMYFUNCTION("""COMPUTED_VALUE"""),"確定")</f>
        <v>確定</v>
      </c>
      <c r="C3229" s="154">
        <f>IFERROR(__xludf.DUMMYFUNCTION("""COMPUTED_VALUE"""),45761.0)</f>
        <v>45761</v>
      </c>
      <c r="D3229" s="154">
        <f>IFERROR(__xludf.DUMMYFUNCTION("""COMPUTED_VALUE"""),45762.0)</f>
        <v>45762</v>
      </c>
      <c r="E3229" s="163">
        <f>IFERROR(__xludf.DUMMYFUNCTION("""COMPUTED_VALUE"""),321902.0)</f>
        <v>321902</v>
      </c>
      <c r="F3229" s="152" t="str">
        <f>IFERROR(__xludf.DUMMYFUNCTION("""COMPUTED_VALUE"""),"隣国での家庭教師生活が、伯爵様の溺愛付きなんて聞いてません!")</f>
        <v>隣国での家庭教師生活が、伯爵様の溺愛付きなんて聞いてません!</v>
      </c>
      <c r="G3229" s="152" t="str">
        <f>IFERROR(__xludf.DUMMYFUNCTION("""COMPUTED_VALUE"""),"1～2")</f>
        <v>1～2</v>
      </c>
      <c r="H3229" s="152" t="str">
        <f>IFERROR(__xludf.DUMMYFUNCTION("""COMPUTED_VALUE"""),"駒津まこ／COMIC ROOM")</f>
        <v>駒津まこ／COMIC ROOM</v>
      </c>
      <c r="I3229" s="152" t="str">
        <f>IFERROR(__xludf.DUMMYFUNCTION("""COMPUTED_VALUE"""),"女性")</f>
        <v>女性</v>
      </c>
      <c r="J3229" s="157"/>
      <c r="K3229" s="152" t="str">
        <f>IFERROR(__xludf.DUMMYFUNCTION("""COMPUTED_VALUE"""),"COMIC MOON")</f>
        <v>COMIC MOON</v>
      </c>
      <c r="L3229" s="152" t="str">
        <f>IFERROR(__xludf.DUMMYFUNCTION("""COMPUTED_VALUE"""),"コミックルーム")</f>
        <v>コミックルーム</v>
      </c>
      <c r="M3229" s="154">
        <f>IFERROR(__xludf.DUMMYFUNCTION("""COMPUTED_VALUE"""),45792.0)</f>
        <v>45792</v>
      </c>
      <c r="N3229" s="154">
        <f>IFERROR(__xludf.DUMMYFUNCTION("""COMPUTED_VALUE"""),45883.0)</f>
        <v>45883</v>
      </c>
      <c r="O3229" s="152"/>
      <c r="P3229" s="190" t="str">
        <f>IFERROR(__xludf.DUMMYFUNCTION("""COMPUTED_VALUE"""),"可")</f>
        <v>可</v>
      </c>
      <c r="Q3229" s="190"/>
      <c r="R3229" s="152"/>
      <c r="S3229" s="152" t="str">
        <f>IFERROR(__xludf.DUMMYFUNCTION("""COMPUTED_VALUE"""),"20250414_コミックルーム_隣国での家庭教師生活が、伯爵様の溺愛付きなんて聞いてません!")</f>
        <v>20250414_コミックルーム_隣国での家庭教師生活が、伯爵様の溺愛付きなんて聞いてません!</v>
      </c>
      <c r="T3229" s="152" t="str">
        <f>IFERROR(__xludf.DUMMYFUNCTION("""COMPUTED_VALUE"""),"格納済み")</f>
        <v>格納済み</v>
      </c>
      <c r="U3229" s="15" t="str">
        <f>IFERROR(__xludf.DUMMYFUNCTION("""COMPUTED_VALUE"""),"(c)駒津まこ／COMIC ROOM")</f>
        <v>(c)駒津まこ／COMIC ROOM</v>
      </c>
      <c r="V3229" s="8" t="str">
        <f>IFERROR(__xludf.DUMMYFUNCTION("""COMPUTED_VALUE"""),"子爵令嬢リリアンヌは、婚約者ルシアンとの結婚式を心待ちにしていたが、なんと式当日に駆け落ちされてしまった。その噂が広まり社交界での居場所を失ったリリアンヌは、耐えきれず隣国へと渡り、家庭教師としての道を歩み始める。しかし、教え子の兄である伯爵子息フランツは、なぜか彼女に冷たく当たるばかり。反発する二人だったが、ある時リリアンヌはフランツが巻き込まれている大きな陰謀を知り、物語は思いがけない方向に動き出す。裏切られた令嬢と不器用令息が織りなす、純愛ロマンスミステリーがここに開幕──！
※この作品の1・"&amp;"2巻は『溺れるほど愛されて、幸せになってみせますわ！アンソロジーコミック15巻』の収録作品です。重複購入にご注意ください。")</f>
        <v>子爵令嬢リリアンヌは、婚約者ルシアンとの結婚式を心待ちにしていたが、なんと式当日に駆け落ちされてしまった。その噂が広まり社交界での居場所を失ったリリアンヌは、耐えきれず隣国へと渡り、家庭教師としての道を歩み始める。しかし、教え子の兄である伯爵子息フランツは、なぜか彼女に冷たく当たるばかり。反発する二人だったが、ある時リリアンヌはフランツが巻き込まれている大きな陰謀を知り、物語は思いがけない方向に動き出す。裏切られた令嬢と不器用令息が織りなす、純愛ロマンスミステリーがここに開幕──！
※この作品の1・2巻は『溺れるほど愛されて、幸せになってみせますわ！アンソロジーコミック15巻』の収録作品です。重複購入にご注意ください。</v>
      </c>
      <c r="W3229" s="14"/>
      <c r="X3229" s="14" t="str">
        <f>IFERROR(__xludf.DUMMYFUNCTION("""COMPUTED_VALUE"""),"有")</f>
        <v>有</v>
      </c>
      <c r="Y3229" s="8" t="str">
        <f>IFERROR(__xludf.DUMMYFUNCTION("""COMPUTED_VALUE"""),"P11まで")</f>
        <v>P11まで</v>
      </c>
      <c r="Z3229" s="7"/>
      <c r="AA3229" s="7"/>
      <c r="AB3229" s="7"/>
    </row>
    <row r="3230" ht="15.75" customHeight="1">
      <c r="A3230" s="153">
        <f>IFERROR(__xludf.DUMMYFUNCTION("""COMPUTED_VALUE"""),5489.0)</f>
        <v>5489</v>
      </c>
      <c r="B3230" s="152" t="str">
        <f>IFERROR(__xludf.DUMMYFUNCTION("""COMPUTED_VALUE"""),"確定")</f>
        <v>確定</v>
      </c>
      <c r="C3230" s="154">
        <f>IFERROR(__xludf.DUMMYFUNCTION("""COMPUTED_VALUE"""),45761.0)</f>
        <v>45761</v>
      </c>
      <c r="D3230" s="154">
        <f>IFERROR(__xludf.DUMMYFUNCTION("""COMPUTED_VALUE"""),45762.0)</f>
        <v>45762</v>
      </c>
      <c r="E3230" s="158">
        <f>IFERROR(__xludf.DUMMYFUNCTION("""COMPUTED_VALUE"""),321901.0)</f>
        <v>321901</v>
      </c>
      <c r="F3230" s="159" t="str">
        <f>IFERROR(__xludf.DUMMYFUNCTION("""COMPUTED_VALUE"""),"マッチ棒令嬢のしあわせ王宮生活")</f>
        <v>マッチ棒令嬢のしあわせ王宮生活</v>
      </c>
      <c r="G3230" s="152" t="str">
        <f>IFERROR(__xludf.DUMMYFUNCTION("""COMPUTED_VALUE"""),"1～2")</f>
        <v>1～2</v>
      </c>
      <c r="H3230" s="152" t="str">
        <f>IFERROR(__xludf.DUMMYFUNCTION("""COMPUTED_VALUE"""),"真和しま／COMIC ROOM")</f>
        <v>真和しま／COMIC ROOM</v>
      </c>
      <c r="I3230" s="152" t="str">
        <f>IFERROR(__xludf.DUMMYFUNCTION("""COMPUTED_VALUE"""),"女性")</f>
        <v>女性</v>
      </c>
      <c r="J3230" s="157"/>
      <c r="K3230" s="152" t="str">
        <f>IFERROR(__xludf.DUMMYFUNCTION("""COMPUTED_VALUE"""),"COMIC MOON")</f>
        <v>COMIC MOON</v>
      </c>
      <c r="L3230" s="152" t="str">
        <f>IFERROR(__xludf.DUMMYFUNCTION("""COMPUTED_VALUE"""),"コミックルーム")</f>
        <v>コミックルーム</v>
      </c>
      <c r="M3230" s="154">
        <f>IFERROR(__xludf.DUMMYFUNCTION("""COMPUTED_VALUE"""),45792.0)</f>
        <v>45792</v>
      </c>
      <c r="N3230" s="154">
        <f>IFERROR(__xludf.DUMMYFUNCTION("""COMPUTED_VALUE"""),45883.0)</f>
        <v>45883</v>
      </c>
      <c r="O3230" s="152"/>
      <c r="P3230" s="190" t="str">
        <f>IFERROR(__xludf.DUMMYFUNCTION("""COMPUTED_VALUE"""),"可")</f>
        <v>可</v>
      </c>
      <c r="Q3230" s="190"/>
      <c r="R3230" s="152"/>
      <c r="S3230" s="152" t="str">
        <f>IFERROR(__xludf.DUMMYFUNCTION("""COMPUTED_VALUE"""),"20250414_コミックルーム_マッチ棒令嬢のしあわせ王宮生活")</f>
        <v>20250414_コミックルーム_マッチ棒令嬢のしあわせ王宮生活</v>
      </c>
      <c r="T3230" s="152" t="str">
        <f>IFERROR(__xludf.DUMMYFUNCTION("""COMPUTED_VALUE"""),"格納済み")</f>
        <v>格納済み</v>
      </c>
      <c r="U3230" s="15" t="str">
        <f>IFERROR(__xludf.DUMMYFUNCTION("""COMPUTED_VALUE"""),"(c)真和しま／COMIC ROOM")</f>
        <v>(c)真和しま／COMIC ROOM</v>
      </c>
      <c r="V3230" s="8" t="str">
        <f>IFERROR(__xludf.DUMMYFUNCTION("""COMPUTED_VALUE"""),"ウィンザー侯爵家の長女リディアは、飛び級で大学を卒業するほどの才女で、家族から王太子アレクの花嫁に選ばれることを期待されていた。しかし、リディアは自身の体型にコンプレックスを抱えており、乗り気ではなかった。そんなある時、勉学の功績が認められたリディアは、突如アレクの家庭教師を任されることに。ところが彼は生意気でわがままで、毎日振り回されてばかり。だがある日、ひょんなことからアレクの隠していた秘密を知り、リディアの家庭教師生活は思いがけない方向へと動き出し・・・！？
※この作品の1・2巻は『溺れるほど"&amp;"愛されて、幸せになってみせますわ！アンソロジーコミック15巻』の収録作品です。重複購入にご注意ください。")</f>
        <v>ウィンザー侯爵家の長女リディアは、飛び級で大学を卒業するほどの才女で、家族から王太子アレクの花嫁に選ばれることを期待されていた。しかし、リディアは自身の体型にコンプレックスを抱えており、乗り気ではなかった。そんなある時、勉学の功績が認められたリディアは、突如アレクの家庭教師を任されることに。ところが彼は生意気でわがままで、毎日振り回されてばかり。だがある日、ひょんなことからアレクの隠していた秘密を知り、リディアの家庭教師生活は思いがけない方向へと動き出し・・・！？
※この作品の1・2巻は『溺れるほど愛されて、幸せになってみせますわ！アンソロジーコミック15巻』の収録作品です。重複購入にご注意ください。</v>
      </c>
      <c r="W3230" s="14"/>
      <c r="X3230" s="14" t="str">
        <f>IFERROR(__xludf.DUMMYFUNCTION("""COMPUTED_VALUE"""),"有")</f>
        <v>有</v>
      </c>
      <c r="Y3230" s="8" t="str">
        <f>IFERROR(__xludf.DUMMYFUNCTION("""COMPUTED_VALUE"""),"P12まで")</f>
        <v>P12まで</v>
      </c>
      <c r="Z3230" s="7"/>
      <c r="AA3230" s="7"/>
      <c r="AB3230" s="7"/>
    </row>
    <row r="3231" ht="15.75" customHeight="1">
      <c r="A3231" s="153">
        <f>IFERROR(__xludf.DUMMYFUNCTION("""COMPUTED_VALUE"""),5490.0)</f>
        <v>5490</v>
      </c>
      <c r="B3231" s="152" t="str">
        <f>IFERROR(__xludf.DUMMYFUNCTION("""COMPUTED_VALUE"""),"確定")</f>
        <v>確定</v>
      </c>
      <c r="C3231" s="154">
        <f>IFERROR(__xludf.DUMMYFUNCTION("""COMPUTED_VALUE"""),45761.0)</f>
        <v>45761</v>
      </c>
      <c r="D3231" s="154">
        <f>IFERROR(__xludf.DUMMYFUNCTION("""COMPUTED_VALUE"""),45762.0)</f>
        <v>45762</v>
      </c>
      <c r="E3231" s="158">
        <f>IFERROR(__xludf.DUMMYFUNCTION("""COMPUTED_VALUE"""),321904.0)</f>
        <v>321904</v>
      </c>
      <c r="F3231" s="159" t="str">
        <f>IFERROR(__xludf.DUMMYFUNCTION("""COMPUTED_VALUE"""),"王子の初恋相手は、どうやら私のようなのですが。")</f>
        <v>王子の初恋相手は、どうやら私のようなのですが。</v>
      </c>
      <c r="G3231" s="152" t="str">
        <f>IFERROR(__xludf.DUMMYFUNCTION("""COMPUTED_VALUE"""),"1～2")</f>
        <v>1～2</v>
      </c>
      <c r="H3231" s="152" t="str">
        <f>IFERROR(__xludf.DUMMYFUNCTION("""COMPUTED_VALUE"""),"フクヱカヲリ／COMIC ROOM")</f>
        <v>フクヱカヲリ／COMIC ROOM</v>
      </c>
      <c r="I3231" s="152" t="str">
        <f>IFERROR(__xludf.DUMMYFUNCTION("""COMPUTED_VALUE"""),"女性")</f>
        <v>女性</v>
      </c>
      <c r="J3231" s="157"/>
      <c r="K3231" s="152" t="str">
        <f>IFERROR(__xludf.DUMMYFUNCTION("""COMPUTED_VALUE"""),"COMIC MOON")</f>
        <v>COMIC MOON</v>
      </c>
      <c r="L3231" s="152" t="str">
        <f>IFERROR(__xludf.DUMMYFUNCTION("""COMPUTED_VALUE"""),"コミックルーム")</f>
        <v>コミックルーム</v>
      </c>
      <c r="M3231" s="154">
        <f>IFERROR(__xludf.DUMMYFUNCTION("""COMPUTED_VALUE"""),45792.0)</f>
        <v>45792</v>
      </c>
      <c r="N3231" s="154">
        <f>IFERROR(__xludf.DUMMYFUNCTION("""COMPUTED_VALUE"""),45883.0)</f>
        <v>45883</v>
      </c>
      <c r="O3231" s="152"/>
      <c r="P3231" s="190" t="str">
        <f>IFERROR(__xludf.DUMMYFUNCTION("""COMPUTED_VALUE"""),"可")</f>
        <v>可</v>
      </c>
      <c r="Q3231" s="190"/>
      <c r="R3231" s="152"/>
      <c r="S3231" s="152" t="str">
        <f>IFERROR(__xludf.DUMMYFUNCTION("""COMPUTED_VALUE"""),"20250414_コミックルーム_王子の初恋の相手は、どうやら私のようなのですが。")</f>
        <v>20250414_コミックルーム_王子の初恋の相手は、どうやら私のようなのですが。</v>
      </c>
      <c r="T3231" s="152" t="str">
        <f>IFERROR(__xludf.DUMMYFUNCTION("""COMPUTED_VALUE"""),"格納済み")</f>
        <v>格納済み</v>
      </c>
      <c r="U3231" s="15" t="str">
        <f>IFERROR(__xludf.DUMMYFUNCTION("""COMPUTED_VALUE"""),"(c)フクヱカヲリ／COMIC ROOM")</f>
        <v>(c)フクヱカヲリ／COMIC ROOM</v>
      </c>
      <c r="V3231" s="8" t="str">
        <f>IFERROR(__xludf.DUMMYFUNCTION("""COMPUTED_VALUE"""),"伯爵令嬢リリアは、舞踏会で親友を突き落としたと濡れ衣を着せられ、婚約者エドワードから婚約破棄を告げられてしまう。心を閉ざし部屋に籠っていた彼女は、ふと一通の古い手紙を見つける。そこには「10年後、舞踏会で君に婚約を申し込む」と記されていた。覚えのないその手紙と同じ日付で届いたのは、王家主催の舞踏会の招待状。導かれるように参加した先でリリアを待っていたのは、なんと第二王子ルーカスだった。
しかし、リリアは彼と会った記憶が全くなかったために、物語は波乱の展開に・・・！？
※この作品の1・2巻は『溺れる"&amp;"ほど愛されて、幸せになってみせますわ！アンソロジーコミック15巻』の収録作品です。重複購入にご注意ください。")</f>
        <v>伯爵令嬢リリアは、舞踏会で親友を突き落としたと濡れ衣を着せられ、婚約者エドワードから婚約破棄を告げられてしまう。心を閉ざし部屋に籠っていた彼女は、ふと一通の古い手紙を見つける。そこには「10年後、舞踏会で君に婚約を申し込む」と記されていた。覚えのないその手紙と同じ日付で届いたのは、王家主催の舞踏会の招待状。導かれるように参加した先でリリアを待っていたのは、なんと第二王子ルーカスだった。
しかし、リリアは彼と会った記憶が全くなかったために、物語は波乱の展開に・・・！？
※この作品の1・2巻は『溺れるほど愛されて、幸せになってみせますわ！アンソロジーコミック15巻』の収録作品です。重複購入にご注意ください。</v>
      </c>
      <c r="W3231" s="14"/>
      <c r="X3231" s="14" t="str">
        <f>IFERROR(__xludf.DUMMYFUNCTION("""COMPUTED_VALUE"""),"有")</f>
        <v>有</v>
      </c>
      <c r="Y3231" s="8" t="str">
        <f>IFERROR(__xludf.DUMMYFUNCTION("""COMPUTED_VALUE"""),"P11まで")</f>
        <v>P11まで</v>
      </c>
      <c r="Z3231" s="7"/>
      <c r="AA3231" s="7"/>
      <c r="AB3231" s="7"/>
    </row>
    <row r="3232" ht="15.75" customHeight="1">
      <c r="A3232" s="153">
        <f>IFERROR(__xludf.DUMMYFUNCTION("""COMPUTED_VALUE"""),5491.0)</f>
        <v>5491</v>
      </c>
      <c r="B3232" s="152" t="str">
        <f>IFERROR(__xludf.DUMMYFUNCTION("""COMPUTED_VALUE"""),"確定")</f>
        <v>確定</v>
      </c>
      <c r="C3232" s="154">
        <f>IFERROR(__xludf.DUMMYFUNCTION("""COMPUTED_VALUE"""),45761.0)</f>
        <v>45761</v>
      </c>
      <c r="D3232" s="154">
        <f>IFERROR(__xludf.DUMMYFUNCTION("""COMPUTED_VALUE"""),45762.0)</f>
        <v>45762</v>
      </c>
      <c r="E3232" s="158">
        <f>IFERROR(__xludf.DUMMYFUNCTION("""COMPUTED_VALUE"""),323435.0)</f>
        <v>323435</v>
      </c>
      <c r="F3232" s="159" t="str">
        <f>IFERROR(__xludf.DUMMYFUNCTION("""COMPUTED_VALUE"""),"駆け落ちした妹の代わりに私が結婚するんですか⁉︎〜残り物の私はどうやら侯爵様に溺愛されるようです〜")</f>
        <v>駆け落ちした妹の代わりに私が結婚するんですか⁉︎〜残り物の私はどうやら侯爵様に溺愛されるようです〜</v>
      </c>
      <c r="G3232" s="152" t="str">
        <f>IFERROR(__xludf.DUMMYFUNCTION("""COMPUTED_VALUE"""),"1～2")</f>
        <v>1～2</v>
      </c>
      <c r="H3232" s="152" t="str">
        <f>IFERROR(__xludf.DUMMYFUNCTION("""COMPUTED_VALUE"""),"夏空あめ／COMIC ROOM")</f>
        <v>夏空あめ／COMIC ROOM</v>
      </c>
      <c r="I3232" s="152" t="str">
        <f>IFERROR(__xludf.DUMMYFUNCTION("""COMPUTED_VALUE"""),"女性")</f>
        <v>女性</v>
      </c>
      <c r="J3232" s="157"/>
      <c r="K3232" s="152" t="str">
        <f>IFERROR(__xludf.DUMMYFUNCTION("""COMPUTED_VALUE"""),"COMIC MOON")</f>
        <v>COMIC MOON</v>
      </c>
      <c r="L3232" s="152" t="str">
        <f>IFERROR(__xludf.DUMMYFUNCTION("""COMPUTED_VALUE"""),"コミックルーム")</f>
        <v>コミックルーム</v>
      </c>
      <c r="M3232" s="154">
        <f>IFERROR(__xludf.DUMMYFUNCTION("""COMPUTED_VALUE"""),45792.0)</f>
        <v>45792</v>
      </c>
      <c r="N3232" s="154">
        <f>IFERROR(__xludf.DUMMYFUNCTION("""COMPUTED_VALUE"""),45883.0)</f>
        <v>45883</v>
      </c>
      <c r="O3232" s="152"/>
      <c r="P3232" s="190" t="str">
        <f>IFERROR(__xludf.DUMMYFUNCTION("""COMPUTED_VALUE"""),"可")</f>
        <v>可</v>
      </c>
      <c r="Q3232" s="190"/>
      <c r="R3232" s="152"/>
      <c r="S3232" s="152" t="str">
        <f>IFERROR(__xludf.DUMMYFUNCTION("""COMPUTED_VALUE"""),"20250414_コミックルーム_駆け落ちした妹の代わりに私が結婚するんですか⁉︎〜残り物の私はどうやら侯爵様に溺愛されるようです〜")</f>
        <v>20250414_コミックルーム_駆け落ちした妹の代わりに私が結婚するんですか⁉︎〜残り物の私はどうやら侯爵様に溺愛されるようです〜</v>
      </c>
      <c r="T3232" s="152" t="str">
        <f>IFERROR(__xludf.DUMMYFUNCTION("""COMPUTED_VALUE"""),"格納済み")</f>
        <v>格納済み</v>
      </c>
      <c r="U3232" s="15" t="str">
        <f>IFERROR(__xludf.DUMMYFUNCTION("""COMPUTED_VALUE"""),"(c)夏空あめ／COMIC ROOM")</f>
        <v>(c)夏空あめ／COMIC ROOM</v>
      </c>
      <c r="V3232" s="8" t="str">
        <f>IFERROR(__xludf.DUMMYFUNCTION("""COMPUTED_VALUE"""),"男爵令嬢ヴィオラの家は、妹クラリスが政略結婚を捨てて別の男性と駆け落ちしたことで、没落寸前となってしまった。その窮地を救うため、婚約相手を探すヴィオラが出会ったのは、人嫌いな侯爵令息トーマス。ヴィオラは無愛想な婚約者に戸惑うも、トーマスが作った繊細なガラス食器を見てから状況は一変。ヴィオラは得意な”料理”でこの器を輝かせたいと申し出る。次第に心を通わせていく二人だったが、そこに駆け落ちしたはずの妹が戻ってきて・・・！？
※この作品の1・2巻は『溺れるほど愛されて、幸せになってみせますわ！アンソロジー"&amp;"コミック15巻』の収録作品です。重複購入にご注意ください")</f>
        <v>男爵令嬢ヴィオラの家は、妹クラリスが政略結婚を捨てて別の男性と駆け落ちしたことで、没落寸前となってしまった。その窮地を救うため、婚約相手を探すヴィオラが出会ったのは、人嫌いな侯爵令息トーマス。ヴィオラは無愛想な婚約者に戸惑うも、トーマスが作った繊細なガラス食器を見てから状況は一変。ヴィオラは得意な”料理”でこの器を輝かせたいと申し出る。次第に心を通わせていく二人だったが、そこに駆け落ちしたはずの妹が戻ってきて・・・！？
※この作品の1・2巻は『溺れるほど愛されて、幸せになってみせますわ！アンソロジーコミック15巻』の収録作品です。重複購入にご注意ください</v>
      </c>
      <c r="W3232" s="14"/>
      <c r="X3232" s="14" t="str">
        <f>IFERROR(__xludf.DUMMYFUNCTION("""COMPUTED_VALUE"""),"有")</f>
        <v>有</v>
      </c>
      <c r="Y3232" s="8" t="str">
        <f>IFERROR(__xludf.DUMMYFUNCTION("""COMPUTED_VALUE"""),"P7まで")</f>
        <v>P7まで</v>
      </c>
      <c r="Z3232" s="7"/>
      <c r="AA3232" s="7"/>
      <c r="AB3232" s="7"/>
    </row>
    <row r="3233" ht="15.75" customHeight="1">
      <c r="A3233" s="153">
        <f>IFERROR(__xludf.DUMMYFUNCTION("""COMPUTED_VALUE"""),5492.0)</f>
        <v>5492</v>
      </c>
      <c r="B3233" s="152" t="str">
        <f>IFERROR(__xludf.DUMMYFUNCTION("""COMPUTED_VALUE"""),"確定")</f>
        <v>確定</v>
      </c>
      <c r="C3233" s="154">
        <f>IFERROR(__xludf.DUMMYFUNCTION("""COMPUTED_VALUE"""),45761.0)</f>
        <v>45761</v>
      </c>
      <c r="D3233" s="154">
        <f>IFERROR(__xludf.DUMMYFUNCTION("""COMPUTED_VALUE"""),45762.0)</f>
        <v>45762</v>
      </c>
      <c r="E3233" s="158">
        <f>IFERROR(__xludf.DUMMYFUNCTION("""COMPUTED_VALUE"""),321911.0)</f>
        <v>321911</v>
      </c>
      <c r="F3233" s="159" t="str">
        <f>IFERROR(__xludf.DUMMYFUNCTION("""COMPUTED_VALUE"""),"追放聖女は小さな村で、愛されながら癒される。")</f>
        <v>追放聖女は小さな村で、愛されながら癒される。</v>
      </c>
      <c r="G3233" s="152" t="str">
        <f>IFERROR(__xludf.DUMMYFUNCTION("""COMPUTED_VALUE"""),"1～2")</f>
        <v>1～2</v>
      </c>
      <c r="H3233" s="152" t="str">
        <f>IFERROR(__xludf.DUMMYFUNCTION("""COMPUTED_VALUE"""),"千夜／COMIC ROOM")</f>
        <v>千夜／COMIC ROOM</v>
      </c>
      <c r="I3233" s="152" t="str">
        <f>IFERROR(__xludf.DUMMYFUNCTION("""COMPUTED_VALUE"""),"女性")</f>
        <v>女性</v>
      </c>
      <c r="J3233" s="157"/>
      <c r="K3233" s="152" t="str">
        <f>IFERROR(__xludf.DUMMYFUNCTION("""COMPUTED_VALUE"""),"COMIC MOON")</f>
        <v>COMIC MOON</v>
      </c>
      <c r="L3233" s="152" t="str">
        <f>IFERROR(__xludf.DUMMYFUNCTION("""COMPUTED_VALUE"""),"コミックルーム")</f>
        <v>コミックルーム</v>
      </c>
      <c r="M3233" s="154">
        <f>IFERROR(__xludf.DUMMYFUNCTION("""COMPUTED_VALUE"""),45792.0)</f>
        <v>45792</v>
      </c>
      <c r="N3233" s="154">
        <f>IFERROR(__xludf.DUMMYFUNCTION("""COMPUTED_VALUE"""),45883.0)</f>
        <v>45883</v>
      </c>
      <c r="O3233" s="152"/>
      <c r="P3233" s="190" t="str">
        <f>IFERROR(__xludf.DUMMYFUNCTION("""COMPUTED_VALUE"""),"可")</f>
        <v>可</v>
      </c>
      <c r="Q3233" s="190"/>
      <c r="R3233" s="152"/>
      <c r="S3233" s="152" t="str">
        <f>IFERROR(__xludf.DUMMYFUNCTION("""COMPUTED_VALUE"""),"20250414_コミックルーム_追放聖女は小さな村で、愛されながら癒される。")</f>
        <v>20250414_コミックルーム_追放聖女は小さな村で、愛されながら癒される。</v>
      </c>
      <c r="T3233" s="152" t="str">
        <f>IFERROR(__xludf.DUMMYFUNCTION("""COMPUTED_VALUE"""),"格納済み")</f>
        <v>格納済み</v>
      </c>
      <c r="U3233" s="15" t="str">
        <f>IFERROR(__xludf.DUMMYFUNCTION("""COMPUTED_VALUE"""),"(c)千夜／COMIC ROOM")</f>
        <v>(c)千夜／COMIC ROOM</v>
      </c>
      <c r="V3233" s="8" t="str">
        <f>IFERROR(__xludf.DUMMYFUNCTION("""COMPUTED_VALUE"""),"聖女として教会で人々を救いながら、慎ましく暮らしていた令嬢アイネ。ところが、権力を貪る新司祭の赴任により状況は一変。貴族だけを優遇し、貧しい者たちを見捨てるように強要される。心を病んでしまったアイネは、力を失い教会を追放されることに。あてもなく彷徨う彼女が出会ったのは、風変わりな絵描きの青年ジョセフ。アイネは、彼との交流を通じて、心に閉じ込めていた本当の願いと向き合う。そして、ついに聖女の力を取り戻すも、ジョセフの正体が明らかになり・・・！？
※この作品の1・2巻は『溺れるほど愛されて、幸せになってみせ"&amp;"ますわ！アンソロジーコミック15巻』の収録作品です。重複購入にご注意ください。")</f>
        <v>聖女として教会で人々を救いながら、慎ましく暮らしていた令嬢アイネ。ところが、権力を貪る新司祭の赴任により状況は一変。貴族だけを優遇し、貧しい者たちを見捨てるように強要される。心を病んでしまったアイネは、力を失い教会を追放されることに。あてもなく彷徨う彼女が出会ったのは、風変わりな絵描きの青年ジョセフ。アイネは、彼との交流を通じて、心に閉じ込めていた本当の願いと向き合う。そして、ついに聖女の力を取り戻すも、ジョセフの正体が明らかになり・・・！？
※この作品の1・2巻は『溺れるほど愛されて、幸せになってみせますわ！アンソロジーコミック15巻』の収録作品です。重複購入にご注意ください。</v>
      </c>
      <c r="W3233" s="14"/>
      <c r="X3233" s="14" t="str">
        <f>IFERROR(__xludf.DUMMYFUNCTION("""COMPUTED_VALUE"""),"有")</f>
        <v>有</v>
      </c>
      <c r="Y3233" s="8" t="str">
        <f>IFERROR(__xludf.DUMMYFUNCTION("""COMPUTED_VALUE"""),"P11まで")</f>
        <v>P11まで</v>
      </c>
      <c r="Z3233" s="7"/>
      <c r="AA3233" s="7"/>
      <c r="AB3233" s="7"/>
    </row>
    <row r="3234" ht="15.75" customHeight="1">
      <c r="A3234" s="153">
        <f>IFERROR(__xludf.DUMMYFUNCTION("""COMPUTED_VALUE"""),5493.0)</f>
        <v>5493</v>
      </c>
      <c r="B3234" s="152" t="str">
        <f>IFERROR(__xludf.DUMMYFUNCTION("""COMPUTED_VALUE"""),"確定")</f>
        <v>確定</v>
      </c>
      <c r="C3234" s="154">
        <f>IFERROR(__xludf.DUMMYFUNCTION("""COMPUTED_VALUE"""),45762.0)</f>
        <v>45762</v>
      </c>
      <c r="D3234" s="154">
        <f>IFERROR(__xludf.DUMMYFUNCTION("""COMPUTED_VALUE"""),45762.0)</f>
        <v>45762</v>
      </c>
      <c r="E3234" s="168">
        <f>IFERROR(__xludf.DUMMYFUNCTION("""COMPUTED_VALUE"""),305530.0)</f>
        <v>305530</v>
      </c>
      <c r="F3234" s="159" t="str">
        <f>IFERROR(__xludf.DUMMYFUNCTION("""COMPUTED_VALUE"""),"脇役ハピエン計画～悪役の従姉はバッドエンドから逃れたい～ (フルカラー)")</f>
        <v>脇役ハピエン計画～悪役の従姉はバッドエンドから逃れたい～ (フルカラー)</v>
      </c>
      <c r="G3234" s="152" t="str">
        <f>IFERROR(__xludf.DUMMYFUNCTION("""COMPUTED_VALUE"""),"1～10")</f>
        <v>1～10</v>
      </c>
      <c r="H3234" s="152" t="str">
        <f>IFERROR(__xludf.DUMMYFUNCTION("""COMPUTED_VALUE"""),"ラビット,Lee sinrok,べブオン")</f>
        <v>ラビット,Lee sinrok,べブオン</v>
      </c>
      <c r="I3234" s="152" t="str">
        <f>IFERROR(__xludf.DUMMYFUNCTION("""COMPUTED_VALUE"""),"少女マンガ")</f>
        <v>少女マンガ</v>
      </c>
      <c r="J3234" s="157"/>
      <c r="K3234" s="152" t="str">
        <f>IFERROR(__xludf.DUMMYFUNCTION("""COMPUTED_VALUE"""),"恋するソワレ")</f>
        <v>恋するソワレ</v>
      </c>
      <c r="L3234" s="152" t="str">
        <f>IFERROR(__xludf.DUMMYFUNCTION("""COMPUTED_VALUE"""),"シーモアコミックス")</f>
        <v>シーモアコミックス</v>
      </c>
      <c r="M3234" s="154">
        <f>IFERROR(__xludf.DUMMYFUNCTION("""COMPUTED_VALUE"""),45794.0)</f>
        <v>45794</v>
      </c>
      <c r="N3234" s="198">
        <f>IFERROR(__xludf.DUMMYFUNCTION("""COMPUTED_VALUE"""),45946.66666666667)</f>
        <v>45946.66667</v>
      </c>
      <c r="O3234" s="152"/>
      <c r="P3234" s="190" t="str">
        <f>IFERROR(__xludf.DUMMYFUNCTION("""COMPUTED_VALUE"""),"可")</f>
        <v>可</v>
      </c>
      <c r="Q3234" s="190"/>
      <c r="R3234" s="152"/>
      <c r="S3234" s="152" t="str">
        <f>IFERROR(__xludf.DUMMYFUNCTION("""COMPUTED_VALUE"""),"20250415_シーモアコミックス_脇役ハピエン計画～悪役の従姉はバッドエンドから逃れたい～（フルカラー）")</f>
        <v>20250415_シーモアコミックス_脇役ハピエン計画～悪役の従姉はバッドエンドから逃れたい～（フルカラー）</v>
      </c>
      <c r="T3234" s="152" t="str">
        <f>IFERROR(__xludf.DUMMYFUNCTION("""COMPUTED_VALUE"""),"格納済み")</f>
        <v>格納済み</v>
      </c>
      <c r="U3234" s="15" t="str">
        <f>IFERROR(__xludf.DUMMYFUNCTION("""COMPUTED_VALUE"""),"(C) ラビット/Lee sinrok/べブオン/Daewon C.I. Inc./シーモアコミックス")</f>
        <v>(C) ラビット/Lee sinrok/べブオン/Daewon C.I. Inc./シーモアコミックス</v>
      </c>
      <c r="V3234" s="8" t="str">
        <f>IFERROR(__xludf.DUMMYFUNCTION("""COMPUTED_VALUE"""),"私・森本志帆はバスの水没事故に遭い、生前読んでいたロマンスファンタジー小説「シンデレラはガラスの靴を履かない」の世界に転生した。しかも、主要キャラでもなく悪役の従姉として…。
原作では双子のいとこ・アリエルとエリオルが闇落ちするきっかけを作った人物だったけれど、原作通りになんてさせないんだから…！
原作では短命に終わったこの世界の私・セルニアの運命を変えるためにも、二人を優しい子に育ててみせます…！？【恋するソワレ】")</f>
        <v>私・森本志帆はバスの水没事故に遭い、生前読んでいたロマンスファンタジー小説「シンデレラはガラスの靴を履かない」の世界に転生した。しかも、主要キャラでもなく悪役の従姉として…。
原作では双子のいとこ・アリエルとエリオルが闇落ちするきっかけを作った人物だったけれど、原作通りになんてさせないんだから…！
原作では短命に終わったこの世界の私・セルニアの運命を変えるためにも、二人を優しい子に育ててみせます…！？【恋するソワレ】</v>
      </c>
      <c r="W3234" s="14"/>
      <c r="X3234" s="14" t="str">
        <f>IFERROR(__xludf.DUMMYFUNCTION("""COMPUTED_VALUE"""),"有")</f>
        <v>有</v>
      </c>
      <c r="Y3234" s="8" t="str">
        <f>IFERROR(__xludf.DUMMYFUNCTION("""COMPUTED_VALUE"""),"2025/6/20まで1~3巻無料")</f>
        <v>2025/6/20まで1~3巻無料</v>
      </c>
      <c r="Z3234" s="7"/>
      <c r="AA3234" s="7"/>
      <c r="AB3234" s="7"/>
    </row>
    <row r="3235" ht="15.75" customHeight="1">
      <c r="A3235" s="153">
        <f>IFERROR(__xludf.DUMMYFUNCTION("""COMPUTED_VALUE"""),5494.0)</f>
        <v>5494</v>
      </c>
      <c r="B3235" s="152" t="str">
        <f>IFERROR(__xludf.DUMMYFUNCTION("""COMPUTED_VALUE"""),"確定")</f>
        <v>確定</v>
      </c>
      <c r="C3235" s="154">
        <f>IFERROR(__xludf.DUMMYFUNCTION("""COMPUTED_VALUE"""),45762.0)</f>
        <v>45762</v>
      </c>
      <c r="D3235" s="154">
        <f>IFERROR(__xludf.DUMMYFUNCTION("""COMPUTED_VALUE"""),45762.0)</f>
        <v>45762</v>
      </c>
      <c r="E3235" s="168">
        <f>IFERROR(__xludf.DUMMYFUNCTION("""COMPUTED_VALUE"""),305531.0)</f>
        <v>305531</v>
      </c>
      <c r="F3235" s="159" t="str">
        <f>IFERROR(__xludf.DUMMYFUNCTION("""COMPUTED_VALUE"""),"脇役ハピエン計画～悪役の従姉はバッドエンドから逃れたい～【タテヨミ】")</f>
        <v>脇役ハピエン計画～悪役の従姉はバッドエンドから逃れたい～【タテヨミ】</v>
      </c>
      <c r="G3235" s="152" t="str">
        <f>IFERROR(__xludf.DUMMYFUNCTION("""COMPUTED_VALUE"""),"1～20")</f>
        <v>1～20</v>
      </c>
      <c r="H3235" s="152" t="str">
        <f>IFERROR(__xludf.DUMMYFUNCTION("""COMPUTED_VALUE"""),"ラビット,Lee sinrok,べブオン")</f>
        <v>ラビット,Lee sinrok,べブオン</v>
      </c>
      <c r="I3235" s="152" t="str">
        <f>IFERROR(__xludf.DUMMYFUNCTION("""COMPUTED_VALUE"""),"少女マンガ")</f>
        <v>少女マンガ</v>
      </c>
      <c r="J3235" s="157"/>
      <c r="K3235" s="152" t="str">
        <f>IFERROR(__xludf.DUMMYFUNCTION("""COMPUTED_VALUE"""),"恋するソワレ")</f>
        <v>恋するソワレ</v>
      </c>
      <c r="L3235" s="152" t="str">
        <f>IFERROR(__xludf.DUMMYFUNCTION("""COMPUTED_VALUE"""),"シーモアコミックス")</f>
        <v>シーモアコミックス</v>
      </c>
      <c r="M3235" s="154">
        <f>IFERROR(__xludf.DUMMYFUNCTION("""COMPUTED_VALUE"""),45794.0)</f>
        <v>45794</v>
      </c>
      <c r="N3235" s="198">
        <f>IFERROR(__xludf.DUMMYFUNCTION("""COMPUTED_VALUE"""),45946.66666666667)</f>
        <v>45946.66667</v>
      </c>
      <c r="O3235" s="152"/>
      <c r="P3235" s="164" t="str">
        <f>IFERROR(__xludf.DUMMYFUNCTION("""COMPUTED_VALUE"""),"可")</f>
        <v>可</v>
      </c>
      <c r="Q3235" s="166"/>
      <c r="R3235" s="152"/>
      <c r="S3235" s="152" t="str">
        <f>IFERROR(__xludf.DUMMYFUNCTION("""COMPUTED_VALUE"""),"20250415_シーモアコミックス_脇役ハピエン計画～悪役の従姉はバッドエンドから逃れたい～【タテヨミ】")</f>
        <v>20250415_シーモアコミックス_脇役ハピエン計画～悪役の従姉はバッドエンドから逃れたい～【タテヨミ】</v>
      </c>
      <c r="T3235" s="152" t="str">
        <f>IFERROR(__xludf.DUMMYFUNCTION("""COMPUTED_VALUE"""),"格納済み")</f>
        <v>格納済み</v>
      </c>
      <c r="U3235" s="15" t="str">
        <f>IFERROR(__xludf.DUMMYFUNCTION("""COMPUTED_VALUE"""),"(C) ラビット/Lee sinrok/べブオン/Daewon C.I. Inc./シーモアコミックス")</f>
        <v>(C) ラビット/Lee sinrok/べブオン/Daewon C.I. Inc./シーモアコミックス</v>
      </c>
      <c r="V3235" s="8" t="str">
        <f>IFERROR(__xludf.DUMMYFUNCTION("""COMPUTED_VALUE"""),"私・森本志帆はバスの水没事故に遭い、生前読んでいたロマンスファンタジー小説「シンデレラはガラスの靴を履かない」の世界に転生した。しかも、主要キャラでもなく悪役の従姉として…。
原作では双子のいとこ・アリエルとエリオルが闇落ちするきっかけを作った人物だったけれど、原作通りになんてさせないんだから…！
原作では短命に終わったこの世界の私・セルニアの運命を変えるためにも、二人を優しい子に育ててみせます…！？【恋するソワレ】")</f>
        <v>私・森本志帆はバスの水没事故に遭い、生前読んでいたロマンスファンタジー小説「シンデレラはガラスの靴を履かない」の世界に転生した。しかも、主要キャラでもなく悪役の従姉として…。
原作では双子のいとこ・アリエルとエリオルが闇落ちするきっかけを作った人物だったけれど、原作通りになんてさせないんだから…！
原作では短命に終わったこの世界の私・セルニアの運命を変えるためにも、二人を優しい子に育ててみせます…！？【恋するソワレ】</v>
      </c>
      <c r="W3235" s="14"/>
      <c r="X3235" s="14" t="str">
        <f>IFERROR(__xludf.DUMMYFUNCTION("""COMPUTED_VALUE"""),"有")</f>
        <v>有</v>
      </c>
      <c r="Y3235" s="8" t="str">
        <f>IFERROR(__xludf.DUMMYFUNCTION("""COMPUTED_VALUE"""),"2025/6/20まで1~6巻無料")</f>
        <v>2025/6/20まで1~6巻無料</v>
      </c>
      <c r="Z3235" s="7"/>
      <c r="AA3235" s="7"/>
      <c r="AB3235" s="7"/>
    </row>
    <row r="3236" ht="15.75" customHeight="1">
      <c r="A3236" s="153">
        <f>IFERROR(__xludf.DUMMYFUNCTION("""COMPUTED_VALUE"""),5128.0)</f>
        <v>5128</v>
      </c>
      <c r="B3236" s="152" t="str">
        <f>IFERROR(__xludf.DUMMYFUNCTION("""COMPUTED_VALUE"""),"確定")</f>
        <v>確定</v>
      </c>
      <c r="C3236" s="154">
        <f>IFERROR(__xludf.DUMMYFUNCTION("""COMPUTED_VALUE"""),45715.0)</f>
        <v>45715</v>
      </c>
      <c r="D3236" s="154">
        <f>IFERROR(__xludf.DUMMYFUNCTION("""COMPUTED_VALUE"""),45768.0)</f>
        <v>45768</v>
      </c>
      <c r="E3236" s="155">
        <f>IFERROR(__xludf.DUMMYFUNCTION("""COMPUTED_VALUE"""),321882.0)</f>
        <v>321882</v>
      </c>
      <c r="F3236" s="156" t="str">
        <f>IFERROR(__xludf.DUMMYFUNCTION("""COMPUTED_VALUE"""),"巫の婿探し【マイクロ】")</f>
        <v>巫の婿探し【マイクロ】</v>
      </c>
      <c r="G3236" s="152" t="str">
        <f>IFERROR(__xludf.DUMMYFUNCTION("""COMPUTED_VALUE"""),"1～3")</f>
        <v>1～3</v>
      </c>
      <c r="H3236" s="152" t="str">
        <f>IFERROR(__xludf.DUMMYFUNCTION("""COMPUTED_VALUE"""),"川上ちひろ")</f>
        <v>川上ちひろ</v>
      </c>
      <c r="I3236" s="152" t="str">
        <f>IFERROR(__xludf.DUMMYFUNCTION("""COMPUTED_VALUE"""),"女性")</f>
        <v>女性</v>
      </c>
      <c r="J3236" s="157"/>
      <c r="K3236" s="157"/>
      <c r="L3236" s="152" t="str">
        <f>IFERROR(__xludf.DUMMYFUNCTION("""COMPUTED_VALUE"""),"小学館")</f>
        <v>小学館</v>
      </c>
      <c r="M3236" s="154">
        <f>IFERROR(__xludf.DUMMYFUNCTION("""COMPUTED_VALUE"""),45787.0)</f>
        <v>45787</v>
      </c>
      <c r="N3236" s="154">
        <f>IFERROR(__xludf.DUMMYFUNCTION("""COMPUTED_VALUE"""),45847.0)</f>
        <v>45847</v>
      </c>
      <c r="O3236" s="152"/>
      <c r="P3236" s="152" t="str">
        <f>IFERROR(__xludf.DUMMYFUNCTION("""COMPUTED_VALUE"""),"否")</f>
        <v>否</v>
      </c>
      <c r="Q3236" s="152" t="str">
        <f>IFERROR(__xludf.DUMMYFUNCTION("""COMPUTED_VALUE"""),"『反抗期なカレシ』で実績のある川上ちひろ氏の新作となります。今回は恋を知らない強がり女子×絶対に振り向かせたい愛重め男子との和風ファンタジー・ラブです。&lt;BR&gt;本誌に連載された読み切りが好評だったため連載化が決定いたしました。")</f>
        <v>『反抗期なカレシ』で実績のある川上ちひろ氏の新作となります。今回は恋を知らない強がり女子×絶対に振り向かせたい愛重め男子との和風ファンタジー・ラブです。&lt;BR&gt;本誌に連載された読み切りが好評だったため連載化が決定いたしました。</v>
      </c>
      <c r="R3236" s="152" t="str">
        <f>IFERROR(__xludf.DUMMYFUNCTION("""COMPUTED_VALUE"""),"コミットOK")</f>
        <v>コミットOK</v>
      </c>
      <c r="S3236" s="152" t="str">
        <f>IFERROR(__xludf.DUMMYFUNCTION("""COMPUTED_VALUE"""),"20250324_小学館_巫の婿探し【マイクロ】")</f>
        <v>20250324_小学館_巫の婿探し【マイクロ】</v>
      </c>
      <c r="T3236" s="152" t="str">
        <f>IFERROR(__xludf.DUMMYFUNCTION("""COMPUTED_VALUE"""),"格納済み")</f>
        <v>格納済み</v>
      </c>
      <c r="U3236" s="15" t="str">
        <f>IFERROR(__xludf.DUMMYFUNCTION("""COMPUTED_VALUE"""),"Ⓒ川上ちひろ / 小学館")</f>
        <v>Ⓒ川上ちひろ / 小学館</v>
      </c>
      <c r="V3236" s="8" t="str">
        <f>IFERROR(__xludf.DUMMYFUNCTION("""COMPUTED_VALUE"""),"鳥を操り、穢れをはらう巫鳥師。ひっそりと受け継がれてきた裏家業・巫鳥師十八代目の一芭は、後継ぎを残す役目のため結婚相手を探すが、ようやく巡り合った同年代の巫鳥師は愛重めのチャラ系男子で…!? まだ恋を知らない一芭には手強すぎる…？
強がり女子×愛重めチャラ男子、和風ファンタジーラブストーリー開幕!!")</f>
        <v>鳥を操り、穢れをはらう巫鳥師。ひっそりと受け継がれてきた裏家業・巫鳥師十八代目の一芭は、後継ぎを残す役目のため結婚相手を探すが、ようやく巡り合った同年代の巫鳥師は愛重めのチャラ系男子で…!? まだ恋を知らない一芭には手強すぎる…？
強がり女子×愛重めチャラ男子、和風ファンタジーラブストーリー開幕!!</v>
      </c>
      <c r="W3236" s="14"/>
      <c r="X3236" s="14" t="str">
        <f>IFERROR(__xludf.DUMMYFUNCTION("""COMPUTED_VALUE"""),"有")</f>
        <v>有</v>
      </c>
      <c r="Y3236" s="8" t="str">
        <f>IFERROR(__xludf.DUMMYFUNCTION("""COMPUTED_VALUE"""),"2025/7/9まで1巻無料")</f>
        <v>2025/7/9まで1巻無料</v>
      </c>
      <c r="Z3236" s="7"/>
      <c r="AA3236" s="7"/>
      <c r="AB3236" s="7"/>
    </row>
    <row r="3237" ht="15.75" customHeight="1">
      <c r="A3237" s="153">
        <f>IFERROR(__xludf.DUMMYFUNCTION("""COMPUTED_VALUE"""),5129.0)</f>
        <v>5129</v>
      </c>
      <c r="B3237" s="152" t="str">
        <f>IFERROR(__xludf.DUMMYFUNCTION("""COMPUTED_VALUE"""),"確定")</f>
        <v>確定</v>
      </c>
      <c r="C3237" s="154">
        <f>IFERROR(__xludf.DUMMYFUNCTION("""COMPUTED_VALUE"""),45715.0)</f>
        <v>45715</v>
      </c>
      <c r="D3237" s="154">
        <f>IFERROR(__xludf.DUMMYFUNCTION("""COMPUTED_VALUE"""),45768.0)</f>
        <v>45768</v>
      </c>
      <c r="E3237" s="155">
        <f>IFERROR(__xludf.DUMMYFUNCTION("""COMPUTED_VALUE"""),321879.0)</f>
        <v>321879</v>
      </c>
      <c r="F3237" s="156" t="str">
        <f>IFERROR(__xludf.DUMMYFUNCTION("""COMPUTED_VALUE"""),"誠に勝手ながら推させていただきます【マイクロ】")</f>
        <v>誠に勝手ながら推させていただきます【マイクロ】</v>
      </c>
      <c r="G3237" s="152" t="str">
        <f>IFERROR(__xludf.DUMMYFUNCTION("""COMPUTED_VALUE"""),"1～3")</f>
        <v>1～3</v>
      </c>
      <c r="H3237" s="152" t="str">
        <f>IFERROR(__xludf.DUMMYFUNCTION("""COMPUTED_VALUE"""),"大河きっぷ")</f>
        <v>大河きっぷ</v>
      </c>
      <c r="I3237" s="152" t="str">
        <f>IFERROR(__xludf.DUMMYFUNCTION("""COMPUTED_VALUE"""),"少女")</f>
        <v>少女</v>
      </c>
      <c r="J3237" s="157"/>
      <c r="K3237" s="157"/>
      <c r="L3237" s="152" t="str">
        <f>IFERROR(__xludf.DUMMYFUNCTION("""COMPUTED_VALUE"""),"小学館")</f>
        <v>小学館</v>
      </c>
      <c r="M3237" s="154">
        <f>IFERROR(__xludf.DUMMYFUNCTION("""COMPUTED_VALUE"""),45782.0)</f>
        <v>45782</v>
      </c>
      <c r="N3237" s="154">
        <f>IFERROR(__xludf.DUMMYFUNCTION("""COMPUTED_VALUE"""),45842.0)</f>
        <v>45842</v>
      </c>
      <c r="O3237" s="152"/>
      <c r="P3237" s="152" t="str">
        <f>IFERROR(__xludf.DUMMYFUNCTION("""COMPUTED_VALUE"""),"否")</f>
        <v>否</v>
      </c>
      <c r="Q3237" s="152" t="str">
        <f>IFERROR(__xludf.DUMMYFUNCTION("""COMPUTED_VALUE"""),"表ではオラオラ系人気ゲーム実況者でありながら、私生活は気弱で自信のない那須と、そんな那須の家に縁があり、家政婦として働き始める高校生のちひろとのきゅんラブストーリーです。&lt;BR&gt;那須のオンとオフのギャップと母性を存分に発揮する世話好き女子との生活が読み応えのある作品となっております。")</f>
        <v>表ではオラオラ系人気ゲーム実況者でありながら、私生活は気弱で自信のない那須と、そんな那須の家に縁があり、家政婦として働き始める高校生のちひろとのきゅんラブストーリーです。&lt;BR&gt;那須のオンとオフのギャップと母性を存分に発揮する世話好き女子との生活が読み応えのある作品となっております。</v>
      </c>
      <c r="R3237" s="152" t="str">
        <f>IFERROR(__xludf.DUMMYFUNCTION("""COMPUTED_VALUE"""),"コミットOK")</f>
        <v>コミットOK</v>
      </c>
      <c r="S3237" s="152" t="str">
        <f>IFERROR(__xludf.DUMMYFUNCTION("""COMPUTED_VALUE"""),"20250319_小学館_誠に勝手ながら推させていただきます")</f>
        <v>20250319_小学館_誠に勝手ながら推させていただきます</v>
      </c>
      <c r="T3237" s="152" t="str">
        <f>IFERROR(__xludf.DUMMYFUNCTION("""COMPUTED_VALUE"""),"格納済み")</f>
        <v>格納済み</v>
      </c>
      <c r="U3237" s="15" t="str">
        <f>IFERROR(__xludf.DUMMYFUNCTION("""COMPUTED_VALUE"""),"Ⓒ大河きっぷ / 小学館")</f>
        <v>Ⓒ大河きっぷ / 小学館</v>
      </c>
      <c r="V3237" s="8" t="str">
        <f>IFERROR(__xludf.DUMMYFUNCTION("""COMPUTED_VALUE"""),"周りが""推し活""を楽しむ中、いまいち""推し""という言葉にピンとこず、引け目を感じている高校生のちひろ。自分は推すことに向いていないのかも、と過ごしていたところ、隣のまりさんに息子さんの家政婦を頼まれる。仕事に向かうとそこにいたのは・・・友人たちが推していた大人気ゲーム実況者・千両 3 号である那須彰人！！
オラオラ系で人気を博していたはずだが、実際に目の前にいた彼は、今にも泣き出しそうで・・・！？
しかも、なぜかちひろの心がきゅんきゅんし出して・・・！？
実は××な大人気ゲーム実況者×超お世"&amp;"話好き女子高校生のだめきゅんラブ！！")</f>
        <v>周りが"推し活"を楽しむ中、いまいち"推し"という言葉にピンとこず、引け目を感じている高校生のちひろ。自分は推すことに向いていないのかも、と過ごしていたところ、隣のまりさんに息子さんの家政婦を頼まれる。仕事に向かうとそこにいたのは・・・友人たちが推していた大人気ゲーム実況者・千両 3 号である那須彰人！！
オラオラ系で人気を博していたはずだが、実際に目の前にいた彼は、今にも泣き出しそうで・・・！？
しかも、なぜかちひろの心がきゅんきゅんし出して・・・！？
実は××な大人気ゲーム実況者×超お世話好き女子高校生のだめきゅんラブ！！</v>
      </c>
      <c r="W3237" s="14"/>
      <c r="X3237" s="14" t="str">
        <f>IFERROR(__xludf.DUMMYFUNCTION("""COMPUTED_VALUE"""),"有")</f>
        <v>有</v>
      </c>
      <c r="Y3237" s="8" t="str">
        <f>IFERROR(__xludf.DUMMYFUNCTION("""COMPUTED_VALUE"""),"2025/7/4まで1巻無料")</f>
        <v>2025/7/4まで1巻無料</v>
      </c>
      <c r="Z3237" s="7"/>
      <c r="AA3237" s="7"/>
      <c r="AB3237" s="7"/>
    </row>
    <row r="3238" ht="15.75" customHeight="1">
      <c r="A3238" s="153">
        <f>IFERROR(__xludf.DUMMYFUNCTION("""COMPUTED_VALUE"""),5197.0)</f>
        <v>5197</v>
      </c>
      <c r="B3238" s="152" t="str">
        <f>IFERROR(__xludf.DUMMYFUNCTION("""COMPUTED_VALUE"""),"確定")</f>
        <v>確定</v>
      </c>
      <c r="C3238" s="154">
        <f>IFERROR(__xludf.DUMMYFUNCTION("""COMPUTED_VALUE"""),45722.0)</f>
        <v>45722</v>
      </c>
      <c r="D3238" s="154">
        <f>IFERROR(__xludf.DUMMYFUNCTION("""COMPUTED_VALUE"""),45769.0)</f>
        <v>45769</v>
      </c>
      <c r="E3238" s="157">
        <f>IFERROR(__xludf.DUMMYFUNCTION("""COMPUTED_VALUE"""),323121.0)</f>
        <v>323121</v>
      </c>
      <c r="F3238" s="152" t="str">
        <f>IFERROR(__xludf.DUMMYFUNCTION("""COMPUTED_VALUE"""),"はじめてのセフレ【単話】")</f>
        <v>はじめてのセフレ【単話】</v>
      </c>
      <c r="G3238" s="152" t="str">
        <f>IFERROR(__xludf.DUMMYFUNCTION("""COMPUTED_VALUE"""),"1〜3")</f>
        <v>1〜3</v>
      </c>
      <c r="H3238" s="152" t="str">
        <f>IFERROR(__xludf.DUMMYFUNCTION("""COMPUTED_VALUE"""),"ゆりかわ")</f>
        <v>ゆりかわ</v>
      </c>
      <c r="I3238" s="152" t="str">
        <f>IFERROR(__xludf.DUMMYFUNCTION("""COMPUTED_VALUE"""),"青年")</f>
        <v>青年</v>
      </c>
      <c r="J3238" s="157"/>
      <c r="K3238" s="157"/>
      <c r="L3238" s="152" t="str">
        <f>IFERROR(__xludf.DUMMYFUNCTION("""COMPUTED_VALUE"""),"小学館")</f>
        <v>小学館</v>
      </c>
      <c r="M3238" s="154">
        <f>IFERROR(__xludf.DUMMYFUNCTION("""COMPUTED_VALUE"""),45805.0)</f>
        <v>45805</v>
      </c>
      <c r="N3238" s="154">
        <f>IFERROR(__xludf.DUMMYFUNCTION("""COMPUTED_VALUE"""),45864.0)</f>
        <v>45864</v>
      </c>
      <c r="O3238" s="152"/>
      <c r="P3238" s="20" t="str">
        <f>IFERROR(__xludf.DUMMYFUNCTION("""COMPUTED_VALUE"""),"可")</f>
        <v>可</v>
      </c>
      <c r="Q3238" s="152" t="str">
        <f>IFERROR(__xludf.DUMMYFUNCTION("""COMPUTED_VALUE"""),"先行延長の提案は可能
 ・本作品については小学館のバナー制作の加工部分についてのルールが緩和されましたのでアダルト面にも出稿可となりました&lt;BR&gt;※それ以外は今までと変わらず
 ※バナー監修の際には「高橋様からOK出てる」的な一言添えて頂けますとスムーズに監修が進むとのこと")</f>
        <v>先行延長の提案は可能
 ・本作品については小学館のバナー制作の加工部分についてのルールが緩和されましたのでアダルト面にも出稿可となりました&lt;BR&gt;※それ以外は今までと変わらず
 ※バナー監修の際には「高橋様からOK出てる」的な一言添えて頂けますとスムーズに監修が進むとのこと</v>
      </c>
      <c r="R3238" s="152" t="str">
        <f>IFERROR(__xludf.DUMMYFUNCTION("""COMPUTED_VALUE"""),"コミットOK")</f>
        <v>コミットOK</v>
      </c>
      <c r="S3238" s="152" t="str">
        <f>IFERROR(__xludf.DUMMYFUNCTION("""COMPUTED_VALUE"""),"20250410_小学館_はじめてのセフレ")</f>
        <v>20250410_小学館_はじめてのセフレ</v>
      </c>
      <c r="T3238" s="152" t="str">
        <f>IFERROR(__xludf.DUMMYFUNCTION("""COMPUTED_VALUE"""),"格納済み")</f>
        <v>格納済み</v>
      </c>
      <c r="U3238" s="9" t="str">
        <f>IFERROR(__xludf.DUMMYFUNCTION("""COMPUTED_VALUE"""),"(C)ゆりかわ / 小学館")</f>
        <v>(C)ゆりかわ / 小学館</v>
      </c>
      <c r="V3238" s="8" t="str">
        <f>IFERROR(__xludf.DUMMYFUNCTION("""COMPUTED_VALUE"""),"はじめてのセフレは、
はじめて好きになったひとでした。
恋愛偏差値ゼロなのにはじめて使ったマッチングアプリでうっかりセフレとして出会ってしまった、
佐野清貴（さのきよたか）と藍原環（あいはらたまき）。
おたがい恋に落ちたけれど、“割り切ったオトナの態度でいないと捨てられてしまう”と思い込んだふたりは 体を重ねながらもなかなか距離を縮められなくて――
はじめまして で いたしてしまったふたりの
淫らで純なウブエロ両片思いラブコメ、開幕！")</f>
        <v>はじめてのセフレは、
はじめて好きになったひとでした。
恋愛偏差値ゼロなのにはじめて使ったマッチングアプリでうっかりセフレとして出会ってしまった、
佐野清貴（さのきよたか）と藍原環（あいはらたまき）。
おたがい恋に落ちたけれど、“割り切ったオトナの態度でいないと捨てられてしまう”と思い込んだふたりは 体を重ねながらもなかなか距離を縮められなくて――
はじめまして で いたしてしまったふたりの
淫らで純なウブエロ両片思いラブコメ、開幕！</v>
      </c>
      <c r="W3238" s="8" t="str">
        <f>IFERROR(__xludf.DUMMYFUNCTION("""COMPUTED_VALUE"""),"#REF!")</f>
        <v>#REF!</v>
      </c>
      <c r="X3238" s="8" t="str">
        <f>IFERROR(__xludf.DUMMYFUNCTION("""COMPUTED_VALUE"""),"有")</f>
        <v>有</v>
      </c>
      <c r="Y3238" s="8" t="str">
        <f>IFERROR(__xludf.DUMMYFUNCTION("""COMPUTED_VALUE"""),"2025/7/27まで1巻無料")</f>
        <v>2025/7/27まで1巻無料</v>
      </c>
      <c r="Z3238" s="7"/>
      <c r="AA3238" s="7"/>
      <c r="AB3238" s="7"/>
    </row>
    <row r="3239" ht="15.75" customHeight="1">
      <c r="A3239" s="153">
        <f>IFERROR(__xludf.DUMMYFUNCTION("""COMPUTED_VALUE"""),5210.0)</f>
        <v>5210</v>
      </c>
      <c r="B3239" s="152" t="str">
        <f>IFERROR(__xludf.DUMMYFUNCTION("""COMPUTED_VALUE"""),"確定")</f>
        <v>確定</v>
      </c>
      <c r="C3239" s="154">
        <f>IFERROR(__xludf.DUMMYFUNCTION("""COMPUTED_VALUE"""),45723.0)</f>
        <v>45723</v>
      </c>
      <c r="D3239" s="154">
        <f>IFERROR(__xludf.DUMMYFUNCTION("""COMPUTED_VALUE"""),45764.0)</f>
        <v>45764</v>
      </c>
      <c r="E3239" s="158">
        <f>IFERROR(__xludf.DUMMYFUNCTION("""COMPUTED_VALUE"""),321357.0)</f>
        <v>321357</v>
      </c>
      <c r="F3239" s="159" t="str">
        <f>IFERROR(__xludf.DUMMYFUNCTION("""COMPUTED_VALUE"""),"きみと一緒なら【分冊版】")</f>
        <v>きみと一緒なら【分冊版】</v>
      </c>
      <c r="G3239" s="153">
        <f>IFERROR(__xludf.DUMMYFUNCTION("""COMPUTED_VALUE"""),1.0)</f>
        <v>1</v>
      </c>
      <c r="H3239" s="152" t="str">
        <f>IFERROR(__xludf.DUMMYFUNCTION("""COMPUTED_VALUE"""),"森山")</f>
        <v>森山</v>
      </c>
      <c r="I3239" s="152" t="str">
        <f>IFERROR(__xludf.DUMMYFUNCTION("""COMPUTED_VALUE"""),"BL")</f>
        <v>BL</v>
      </c>
      <c r="J3239" s="157"/>
      <c r="K3239" s="152" t="str">
        <f>IFERROR(__xludf.DUMMYFUNCTION("""COMPUTED_VALUE"""),"equal")</f>
        <v>equal</v>
      </c>
      <c r="L3239" s="152" t="str">
        <f>IFERROR(__xludf.DUMMYFUNCTION("""COMPUTED_VALUE"""),"笠倉出版社")</f>
        <v>笠倉出版社</v>
      </c>
      <c r="M3239" s="154">
        <f>IFERROR(__xludf.DUMMYFUNCTION("""COMPUTED_VALUE"""),45786.0)</f>
        <v>45786</v>
      </c>
      <c r="N3239" s="154">
        <f>IFERROR(__xludf.DUMMYFUNCTION("""COMPUTED_VALUE"""),45820.0)</f>
        <v>45820</v>
      </c>
      <c r="O3239" s="152"/>
      <c r="P3239" s="152" t="str">
        <f>IFERROR(__xludf.DUMMYFUNCTION("""COMPUTED_VALUE"""),"可")</f>
        <v>可</v>
      </c>
      <c r="Q3239" s="190" t="str">
        <f>IFERROR(__xludf.DUMMYFUNCTION("""COMPUTED_VALUE"""),"3話完結")</f>
        <v>3話完結</v>
      </c>
      <c r="R3239" s="152"/>
      <c r="S3239" s="152" t="str">
        <f>IFERROR(__xludf.DUMMYFUNCTION("""COMPUTED_VALUE"""),"20250417_笠倉出版社_きみと一緒なら【分冊版】")</f>
        <v>20250417_笠倉出版社_きみと一緒なら【分冊版】</v>
      </c>
      <c r="T3239" s="152" t="str">
        <f>IFERROR(__xludf.DUMMYFUNCTION("""COMPUTED_VALUE"""),"格納済み")</f>
        <v>格納済み</v>
      </c>
      <c r="U3239" s="15" t="str">
        <f>IFERROR(__xludf.DUMMYFUNCTION("""COMPUTED_VALUE"""),"Ⓒ森山/笠倉出版社")</f>
        <v>Ⓒ森山/笠倉出版社</v>
      </c>
      <c r="V3239" s="8" t="str">
        <f>IFERROR(__xludf.DUMMYFUNCTION("""COMPUTED_VALUE"""),"過去の出来事からネガティブに物事を考えてしまう社会人の絢星。ある日、スーパーで手に取ったカゴの中に一枚の買い物メモが残っていた。誰かの捨て忘れだろうとゴミ箱に入れてしまうが、店を出ようとしたところでメモを探す青年に出会う。メモの内容を教えてくれたお礼にご馳走したいとその青年・旭陽にファミレスに連れて来られる。お互いのことを話していくうちに恋愛の話題になっていて、しかも旭陽はゲイで童貞だとカミングアウトしてきて――!?※本作品はWEB雑誌「equal」に収録されています。重複購入にご注意ください。")</f>
        <v>過去の出来事からネガティブに物事を考えてしまう社会人の絢星。ある日、スーパーで手に取ったカゴの中に一枚の買い物メモが残っていた。誰かの捨て忘れだろうとゴミ箱に入れてしまうが、店を出ようとしたところでメモを探す青年に出会う。メモの内容を教えてくれたお礼にご馳走したいとその青年・旭陽にファミレスに連れて来られる。お互いのことを話していくうちに恋愛の話題になっていて、しかも旭陽はゲイで童貞だとカミングアウトしてきて――!?※本作品はWEB雑誌「equal」に収録されています。重複購入にご注意ください。</v>
      </c>
      <c r="W3239" s="14"/>
      <c r="X3239" s="14" t="str">
        <f>IFERROR(__xludf.DUMMYFUNCTION("""COMPUTED_VALUE"""),"有")</f>
        <v>有</v>
      </c>
      <c r="Y3239" s="8" t="str">
        <f>IFERROR(__xludf.DUMMYFUNCTION("""COMPUTED_VALUE"""),"P6まで")</f>
        <v>P6まで</v>
      </c>
      <c r="Z3239" s="7"/>
      <c r="AA3239" s="7"/>
      <c r="AB3239" s="7"/>
    </row>
    <row r="3240" ht="15.75" customHeight="1">
      <c r="A3240" s="153">
        <f>IFERROR(__xludf.DUMMYFUNCTION("""COMPUTED_VALUE"""),5212.0)</f>
        <v>5212</v>
      </c>
      <c r="B3240" s="152" t="str">
        <f>IFERROR(__xludf.DUMMYFUNCTION("""COMPUTED_VALUE"""),"確定")</f>
        <v>確定</v>
      </c>
      <c r="C3240" s="154">
        <f>IFERROR(__xludf.DUMMYFUNCTION("""COMPUTED_VALUE"""),45726.0)</f>
        <v>45726</v>
      </c>
      <c r="D3240" s="154">
        <f>IFERROR(__xludf.DUMMYFUNCTION("""COMPUTED_VALUE"""),45764.0)</f>
        <v>45764</v>
      </c>
      <c r="E3240" s="155">
        <f>IFERROR(__xludf.DUMMYFUNCTION("""COMPUTED_VALUE"""),321031.0)</f>
        <v>321031</v>
      </c>
      <c r="F3240" s="156" t="str">
        <f>IFERROR(__xludf.DUMMYFUNCTION("""COMPUTED_VALUE"""),"やらしい恋しかできない【分冊版】")</f>
        <v>やらしい恋しかできない【分冊版】</v>
      </c>
      <c r="G3240" s="152" t="str">
        <f>IFERROR(__xludf.DUMMYFUNCTION("""COMPUTED_VALUE"""),"1～3")</f>
        <v>1～3</v>
      </c>
      <c r="H3240" s="152" t="str">
        <f>IFERROR(__xludf.DUMMYFUNCTION("""COMPUTED_VALUE"""),"弓槻みあ⊥青井千寿⊥ache")</f>
        <v>弓槻みあ⊥青井千寿⊥ache</v>
      </c>
      <c r="I3240" s="152" t="str">
        <f>IFERROR(__xludf.DUMMYFUNCTION("""COMPUTED_VALUE"""),"TL")</f>
        <v>TL</v>
      </c>
      <c r="J3240" s="157"/>
      <c r="K3240" s="152" t="str">
        <f>IFERROR(__xludf.DUMMYFUNCTION("""COMPUTED_VALUE"""),"ラブチュコラ")</f>
        <v>ラブチュコラ</v>
      </c>
      <c r="L3240" s="152" t="str">
        <f>IFERROR(__xludf.DUMMYFUNCTION("""COMPUTED_VALUE"""),"笠倉出版社")</f>
        <v>笠倉出版社</v>
      </c>
      <c r="M3240" s="154">
        <f>IFERROR(__xludf.DUMMYFUNCTION("""COMPUTED_VALUE"""),45778.0)</f>
        <v>45778</v>
      </c>
      <c r="N3240" s="154">
        <f>IFERROR(__xludf.DUMMYFUNCTION("""COMPUTED_VALUE"""),45840.0)</f>
        <v>45840</v>
      </c>
      <c r="O3240" s="152"/>
      <c r="P3240" s="190" t="str">
        <f>IFERROR(__xludf.DUMMYFUNCTION("""COMPUTED_VALUE"""),"可")</f>
        <v>可</v>
      </c>
      <c r="Q3240" s="152"/>
      <c r="R3240" s="164" t="str">
        <f>IFERROR(__xludf.DUMMYFUNCTION("""COMPUTED_VALUE"""),"コミットNG")</f>
        <v>コミットNG</v>
      </c>
      <c r="S3240" s="166"/>
      <c r="T3240" s="152"/>
      <c r="U3240" s="15" t="str">
        <f>IFERROR(__xludf.DUMMYFUNCTION("""COMPUTED_VALUE"""),"Ⓒ弓槻みあ/青井千寿/笠倉出版社")</f>
        <v>Ⓒ弓槻みあ/青井千寿/笠倉出版社</v>
      </c>
      <c r="V3240" s="8" t="str">
        <f>IFERROR(__xludf.DUMMYFUNCTION("""COMPUTED_VALUE"""),"「唇の相性がいいと全部の相性がいいんだって。試してみる？」大きい獣みたいな彼のキスはびっくりするぐらい優しくて…可愛くおねだりされたら嫌だなんて言えないよ！舌を絡めて下着の上から突起をカリカリ擦られて、発情しきった体に彼がささやく。「とりあえずココ満足させちゃおうか」下着をくぐった長い指でとろとろのアソコを容赦なく暴かれて…イキたくてたまらない…！――思わぬ事態から俳優志望の園実（そのみ）とルームシェアすることになった歯科衛生士の小都羽（ことは）。知らない男性と同居なんて…と戸惑ったのは最初のうちだけ。顔"&amp;"も体も完璧で気遣いもできる園実に自然と惹かれていくけれど、小都羽には恋愛したくない理由があって…")</f>
        <v>「唇の相性がいいと全部の相性がいいんだって。試してみる？」大きい獣みたいな彼のキスはびっくりするぐらい優しくて…可愛くおねだりされたら嫌だなんて言えないよ！舌を絡めて下着の上から突起をカリカリ擦られて、発情しきった体に彼がささやく。「とりあえずココ満足させちゃおうか」下着をくぐった長い指でとろとろのアソコを容赦なく暴かれて…イキたくてたまらない…！――思わぬ事態から俳優志望の園実（そのみ）とルームシェアすることになった歯科衛生士の小都羽（ことは）。知らない男性と同居なんて…と戸惑ったのは最初のうちだけ。顔も体も完璧で気遣いもできる園実に自然と惹かれていくけれど、小都羽には恋愛したくない理由があって…</v>
      </c>
      <c r="W3240" s="14"/>
      <c r="X3240" s="14" t="str">
        <f>IFERROR(__xludf.DUMMYFUNCTION("""COMPUTED_VALUE"""),"有")</f>
        <v>有</v>
      </c>
      <c r="Y3240" s="8" t="str">
        <f>IFERROR(__xludf.DUMMYFUNCTION("""COMPUTED_VALUE"""),"2025/5/14まで1巻無料")</f>
        <v>2025/5/14まで1巻無料</v>
      </c>
      <c r="Z3240" s="7"/>
      <c r="AA3240" s="7"/>
      <c r="AB3240" s="7"/>
    </row>
    <row r="3241" ht="15.75" customHeight="1">
      <c r="A3241" s="153">
        <f>IFERROR(__xludf.DUMMYFUNCTION("""COMPUTED_VALUE"""),5213.0)</f>
        <v>5213</v>
      </c>
      <c r="B3241" s="152" t="str">
        <f>IFERROR(__xludf.DUMMYFUNCTION("""COMPUTED_VALUE"""),"確定")</f>
        <v>確定</v>
      </c>
      <c r="C3241" s="154">
        <f>IFERROR(__xludf.DUMMYFUNCTION("""COMPUTED_VALUE"""),45726.0)</f>
        <v>45726</v>
      </c>
      <c r="D3241" s="154">
        <f>IFERROR(__xludf.DUMMYFUNCTION("""COMPUTED_VALUE"""),45769.0)</f>
        <v>45769</v>
      </c>
      <c r="E3241" s="158">
        <f>IFERROR(__xludf.DUMMYFUNCTION("""COMPUTED_VALUE"""),322030.0)</f>
        <v>322030</v>
      </c>
      <c r="F3241" s="159" t="str">
        <f>IFERROR(__xludf.DUMMYFUNCTION("""COMPUTED_VALUE"""),"着飾って、僕だけのアルファ")</f>
        <v>着飾って、僕だけのアルファ</v>
      </c>
      <c r="G3241" s="152" t="str">
        <f>IFERROR(__xludf.DUMMYFUNCTION("""COMPUTED_VALUE"""),"1～2")</f>
        <v>1～2</v>
      </c>
      <c r="H3241" s="152" t="str">
        <f>IFERROR(__xludf.DUMMYFUNCTION("""COMPUTED_VALUE"""),"麻井あらた")</f>
        <v>麻井あらた</v>
      </c>
      <c r="I3241" s="152" t="str">
        <f>IFERROR(__xludf.DUMMYFUNCTION("""COMPUTED_VALUE"""),"BL")</f>
        <v>BL</v>
      </c>
      <c r="J3241" s="157"/>
      <c r="K3241" s="152" t="str">
        <f>IFERROR(__xludf.DUMMYFUNCTION("""COMPUTED_VALUE"""),"NuPu")</f>
        <v>NuPu</v>
      </c>
      <c r="L3241" s="152" t="str">
        <f>IFERROR(__xludf.DUMMYFUNCTION("""COMPUTED_VALUE"""),"CLLENN")</f>
        <v>CLLENN</v>
      </c>
      <c r="M3241" s="154">
        <f>IFERROR(__xludf.DUMMYFUNCTION("""COMPUTED_VALUE"""),45792.0)</f>
        <v>45792</v>
      </c>
      <c r="N3241" s="154">
        <f>IFERROR(__xludf.DUMMYFUNCTION("""COMPUTED_VALUE"""),45854.0)</f>
        <v>45854</v>
      </c>
      <c r="O3241" s="205"/>
      <c r="P3241" s="206" t="str">
        <f>IFERROR(__xludf.DUMMYFUNCTION("""COMPUTED_VALUE"""),"可")</f>
        <v>可</v>
      </c>
      <c r="Q3241" s="205"/>
      <c r="R3241" s="205" t="str">
        <f>IFERROR(__xludf.DUMMYFUNCTION("""COMPUTED_VALUE"""),"コミットNG")</f>
        <v>コミットNG</v>
      </c>
      <c r="S3241" s="205" t="str">
        <f>IFERROR(__xludf.DUMMYFUNCTION("""COMPUTED_VALUE"""),"20250421_CLLENN_着飾って、僕だけのアルファ")</f>
        <v>20250421_CLLENN_着飾って、僕だけのアルファ</v>
      </c>
      <c r="T3241" s="205" t="str">
        <f>IFERROR(__xludf.DUMMYFUNCTION("""COMPUTED_VALUE"""),"格納済み")</f>
        <v>格納済み</v>
      </c>
      <c r="U3241" s="15" t="str">
        <f>IFERROR(__xludf.DUMMYFUNCTION("""COMPUTED_VALUE"""),"Ⓒ麻井あらた/CLLENN")</f>
        <v>Ⓒ麻井あらた/CLLENN</v>
      </c>
      <c r="V3241" s="8" t="str">
        <f>IFERROR(__xludf.DUMMYFUNCTION("""COMPUTED_VALUE"""),"アイドルが大好きで、衣装担当になることを夢見てきたスタイリストの文人(アヤ)。
ついに憧れのα二人組アイドル“Amber(アンバー)”の担当になり、張り切って仕事をしていたアヤだったけど、
メンバーのスイはなぜか冷たい態度で接してくる…。
そんなある日、アヤは深夜に一人で練習に励むスイに遭遇し、生まれて初めてのヒートがきてしまう！
「ナカが疼いて我慢できない…っ！もっと奥まで欲しい…！」とスイに思わずおねだりしてしまい…人気アイドルとこんなことダメなのに…！
圧倒的αのスーパーアイドル×遅咲きΩ"&amp;"のスタイリスト、フェロモン当てられえっちから始まる本当は根深い執着ラブ！")</f>
        <v>アイドルが大好きで、衣装担当になることを夢見てきたスタイリストの文人(アヤ)。
ついに憧れのα二人組アイドル“Amber(アンバー)”の担当になり、張り切って仕事をしていたアヤだったけど、
メンバーのスイはなぜか冷たい態度で接してくる…。
そんなある日、アヤは深夜に一人で練習に励むスイに遭遇し、生まれて初めてのヒートがきてしまう！
「ナカが疼いて我慢できない…っ！もっと奥まで欲しい…！」とスイに思わずおねだりしてしまい…人気アイドルとこんなことダメなのに…！
圧倒的αのスーパーアイドル×遅咲きΩのスタイリスト、フェロモン当てられえっちから始まる本当は根深い執着ラブ！</v>
      </c>
      <c r="W3241" s="14"/>
      <c r="X3241" s="14" t="str">
        <f>IFERROR(__xludf.DUMMYFUNCTION("""COMPUTED_VALUE"""),"有")</f>
        <v>有</v>
      </c>
      <c r="Y3241" s="8" t="str">
        <f>IFERROR(__xludf.DUMMYFUNCTION("""COMPUTED_VALUE"""),"P10まで")</f>
        <v>P10まで</v>
      </c>
      <c r="Z3241" s="7"/>
      <c r="AA3241" s="7"/>
      <c r="AB3241" s="7"/>
    </row>
    <row r="3242" ht="15.75" customHeight="1">
      <c r="A3242" s="153">
        <f>IFERROR(__xludf.DUMMYFUNCTION("""COMPUTED_VALUE"""),5312.0)</f>
        <v>5312</v>
      </c>
      <c r="B3242" s="152" t="str">
        <f>IFERROR(__xludf.DUMMYFUNCTION("""COMPUTED_VALUE"""),"確定")</f>
        <v>確定</v>
      </c>
      <c r="C3242" s="154">
        <f>IFERROR(__xludf.DUMMYFUNCTION("""COMPUTED_VALUE"""),45737.0)</f>
        <v>45737</v>
      </c>
      <c r="D3242" s="154">
        <f>IFERROR(__xludf.DUMMYFUNCTION("""COMPUTED_VALUE"""),45764.0)</f>
        <v>45764</v>
      </c>
      <c r="E3242" s="157">
        <f>IFERROR(__xludf.DUMMYFUNCTION("""COMPUTED_VALUE"""),323048.0)</f>
        <v>323048</v>
      </c>
      <c r="F3242" s="152" t="str">
        <f>IFERROR(__xludf.DUMMYFUNCTION("""COMPUTED_VALUE"""),"鳴海 光のはじめてを食べたい【R版】")</f>
        <v>鳴海 光のはじめてを食べたい【R版】</v>
      </c>
      <c r="G3242" s="152" t="str">
        <f>IFERROR(__xludf.DUMMYFUNCTION("""COMPUTED_VALUE"""),"1～3")</f>
        <v>1～3</v>
      </c>
      <c r="H3242" s="152" t="str">
        <f>IFERROR(__xludf.DUMMYFUNCTION("""COMPUTED_VALUE"""),"こんこんとちゅ。/保田飯飯/THE猥談")</f>
        <v>こんこんとちゅ。/保田飯飯/THE猥談</v>
      </c>
      <c r="I3242" s="152" t="str">
        <f>IFERROR(__xludf.DUMMYFUNCTION("""COMPUTED_VALUE"""),"アダルトマンガ")</f>
        <v>アダルトマンガ</v>
      </c>
      <c r="J3242" s="152"/>
      <c r="K3242" s="152" t="str">
        <f>IFERROR(__xludf.DUMMYFUNCTION("""COMPUTED_VALUE"""),"THE猥談")</f>
        <v>THE猥談</v>
      </c>
      <c r="L3242" s="152" t="str">
        <f>IFERROR(__xludf.DUMMYFUNCTION("""COMPUTED_VALUE"""),"DLcomics")</f>
        <v>DLcomics</v>
      </c>
      <c r="M3242" s="154">
        <f>IFERROR(__xludf.DUMMYFUNCTION("""COMPUTED_VALUE"""),45802.0)</f>
        <v>45802</v>
      </c>
      <c r="N3242" s="154">
        <f>IFERROR(__xludf.DUMMYFUNCTION("""COMPUTED_VALUE"""),45925.0)</f>
        <v>45925</v>
      </c>
      <c r="O3242" s="205"/>
      <c r="P3242" s="206" t="str">
        <f>IFERROR(__xludf.DUMMYFUNCTION("""COMPUTED_VALUE"""),"可")</f>
        <v>可</v>
      </c>
      <c r="Q3242" s="205"/>
      <c r="R3242" s="205" t="str">
        <f>IFERROR(__xludf.DUMMYFUNCTION("""COMPUTED_VALUE"""),"コミットOK")</f>
        <v>コミットOK</v>
      </c>
      <c r="S3242" s="205" t="str">
        <f>IFERROR(__xludf.DUMMYFUNCTION("""COMPUTED_VALUE"""),"20250416_DLcomics_鳴海 光のはじめてを食べたい【R版】")</f>
        <v>20250416_DLcomics_鳴海 光のはじめてを食べたい【R版】</v>
      </c>
      <c r="T3242" s="205" t="str">
        <f>IFERROR(__xludf.DUMMYFUNCTION("""COMPUTED_VALUE"""),"格納済み")</f>
        <v>格納済み</v>
      </c>
      <c r="U3242" s="9" t="str">
        <f>IFERROR(__xludf.DUMMYFUNCTION("""COMPUTED_VALUE"""),"Ⓒこんこんとちゅ。/保田飯飯/THE猥談")</f>
        <v>Ⓒこんこんとちゅ。/保田飯飯/THE猥談</v>
      </c>
      <c r="V3242" s="8" t="str">
        <f>IFERROR(__xludf.DUMMYFUNCTION("""COMPUTED_VALUE"""),"「僕、本当は童貞なんです」
深夜、私の家で後輩の鳴海がそう言った。
顔を赤くしながら相談する彼に、年上らしく応える。
常識的に、真面目にーー
ただ、
彼の『はじめて』が欲しいという欲望で
私の頭はいっぱいだった。
漫画:こんこんとちゅ。
表紙デザイン:ヱレキテルワークス
※本作は同人誌となります。
※総ページ数は20ページとなります。")</f>
        <v>「僕、本当は童貞なんです」
深夜、私の家で後輩の鳴海がそう言った。
顔を赤くしながら相談する彼に、年上らしく応える。
常識的に、真面目にーー
ただ、
彼の『はじめて』が欲しいという欲望で
私の頭はいっぱいだった。
漫画:こんこんとちゅ。
表紙デザイン:ヱレキテルワークス
※本作は同人誌となります。
※総ページ数は20ページとなります。</v>
      </c>
      <c r="W3242" s="8" t="str">
        <f>IFERROR(__xludf.DUMMYFUNCTION("""COMPUTED_VALUE"""),"#REF!")</f>
        <v>#REF!</v>
      </c>
      <c r="X3242" s="8" t="str">
        <f>IFERROR(__xludf.DUMMYFUNCTION("""COMPUTED_VALUE"""),"有")</f>
        <v>有</v>
      </c>
      <c r="Y3242" s="8" t="str">
        <f>IFERROR(__xludf.DUMMYFUNCTION("""COMPUTED_VALUE"""),"1巻無料")</f>
        <v>1巻無料</v>
      </c>
      <c r="Z3242" s="7"/>
      <c r="AA3242" s="7"/>
      <c r="AB3242" s="7"/>
    </row>
    <row r="3243" ht="15.75" customHeight="1">
      <c r="A3243" s="153">
        <f>IFERROR(__xludf.DUMMYFUNCTION("""COMPUTED_VALUE"""),5313.0)</f>
        <v>5313</v>
      </c>
      <c r="B3243" s="152" t="str">
        <f>IFERROR(__xludf.DUMMYFUNCTION("""COMPUTED_VALUE"""),"確定")</f>
        <v>確定</v>
      </c>
      <c r="C3243" s="154">
        <f>IFERROR(__xludf.DUMMYFUNCTION("""COMPUTED_VALUE"""),45737.0)</f>
        <v>45737</v>
      </c>
      <c r="D3243" s="154">
        <f>IFERROR(__xludf.DUMMYFUNCTION("""COMPUTED_VALUE"""),45764.0)</f>
        <v>45764</v>
      </c>
      <c r="E3243" s="157">
        <f>IFERROR(__xludf.DUMMYFUNCTION("""COMPUTED_VALUE"""),323050.0)</f>
        <v>323050</v>
      </c>
      <c r="F3243" s="152" t="str">
        <f>IFERROR(__xludf.DUMMYFUNCTION("""COMPUTED_VALUE"""),"鳴海 光のはじめてを食べたい")</f>
        <v>鳴海 光のはじめてを食べたい</v>
      </c>
      <c r="G3243" s="152" t="str">
        <f>IFERROR(__xludf.DUMMYFUNCTION("""COMPUTED_VALUE"""),"1～3")</f>
        <v>1～3</v>
      </c>
      <c r="H3243" s="152" t="str">
        <f>IFERROR(__xludf.DUMMYFUNCTION("""COMPUTED_VALUE"""),"こんこんとちゅ。/保田飯飯/THE猥談")</f>
        <v>こんこんとちゅ。/保田飯飯/THE猥談</v>
      </c>
      <c r="I3243" s="152" t="str">
        <f>IFERROR(__xludf.DUMMYFUNCTION("""COMPUTED_VALUE"""),"TL")</f>
        <v>TL</v>
      </c>
      <c r="J3243" s="157"/>
      <c r="K3243" s="152" t="str">
        <f>IFERROR(__xludf.DUMMYFUNCTION("""COMPUTED_VALUE"""),"THE猥談")</f>
        <v>THE猥談</v>
      </c>
      <c r="L3243" s="152" t="str">
        <f>IFERROR(__xludf.DUMMYFUNCTION("""COMPUTED_VALUE"""),"DLcomics")</f>
        <v>DLcomics</v>
      </c>
      <c r="M3243" s="154">
        <f>IFERROR(__xludf.DUMMYFUNCTION("""COMPUTED_VALUE"""),45802.0)</f>
        <v>45802</v>
      </c>
      <c r="N3243" s="154">
        <f>IFERROR(__xludf.DUMMYFUNCTION("""COMPUTED_VALUE"""),45925.0)</f>
        <v>45925</v>
      </c>
      <c r="O3243" s="205"/>
      <c r="P3243" s="206" t="str">
        <f>IFERROR(__xludf.DUMMYFUNCTION("""COMPUTED_VALUE"""),"可")</f>
        <v>可</v>
      </c>
      <c r="Q3243" s="205"/>
      <c r="R3243" s="205" t="str">
        <f>IFERROR(__xludf.DUMMYFUNCTION("""COMPUTED_VALUE"""),"コミットOK")</f>
        <v>コミットOK</v>
      </c>
      <c r="S3243" s="205" t="str">
        <f>IFERROR(__xludf.DUMMYFUNCTION("""COMPUTED_VALUE"""),"20250416_DLcomics_鳴海 光のはじめてを食べたい")</f>
        <v>20250416_DLcomics_鳴海 光のはじめてを食べたい</v>
      </c>
      <c r="T3243" s="205" t="str">
        <f>IFERROR(__xludf.DUMMYFUNCTION("""COMPUTED_VALUE"""),"格納済み")</f>
        <v>格納済み</v>
      </c>
      <c r="U3243" s="9" t="str">
        <f>IFERROR(__xludf.DUMMYFUNCTION("""COMPUTED_VALUE"""),"Ⓒこんこんとちゅ。/保田飯飯/THE猥談")</f>
        <v>Ⓒこんこんとちゅ。/保田飯飯/THE猥談</v>
      </c>
      <c r="V3243" s="8" t="str">
        <f>IFERROR(__xludf.DUMMYFUNCTION("""COMPUTED_VALUE"""),"「僕、本当は童貞なんです」
深夜、私の家で後輩の鳴海がそう言った。
顔を赤くしながら相談する彼に、年上らしく応える。
常識的に、真面目にーー
ただ、
彼の『はじめて』が欲しいという欲望で
私の頭はいっぱいだった。
漫画:こんこんとちゅ。
表紙デザイン:ヱレキテルワークス
※本作は同人誌となります。
※総ページ数は20ページとなります。")</f>
        <v>「僕、本当は童貞なんです」
深夜、私の家で後輩の鳴海がそう言った。
顔を赤くしながら相談する彼に、年上らしく応える。
常識的に、真面目にーー
ただ、
彼の『はじめて』が欲しいという欲望で
私の頭はいっぱいだった。
漫画:こんこんとちゅ。
表紙デザイン:ヱレキテルワークス
※本作は同人誌となります。
※総ページ数は20ページとなります。</v>
      </c>
      <c r="W3243" s="8" t="str">
        <f>IFERROR(__xludf.DUMMYFUNCTION("""COMPUTED_VALUE"""),"#REF!")</f>
        <v>#REF!</v>
      </c>
      <c r="X3243" s="8" t="str">
        <f>IFERROR(__xludf.DUMMYFUNCTION("""COMPUTED_VALUE"""),"有")</f>
        <v>有</v>
      </c>
      <c r="Y3243" s="8" t="str">
        <f>IFERROR(__xludf.DUMMYFUNCTION("""COMPUTED_VALUE"""),"1巻無料")</f>
        <v>1巻無料</v>
      </c>
      <c r="Z3243" s="7"/>
      <c r="AA3243" s="7"/>
      <c r="AB3243" s="7"/>
    </row>
    <row r="3244" ht="15.75" customHeight="1">
      <c r="A3244" s="153">
        <f>IFERROR(__xludf.DUMMYFUNCTION("""COMPUTED_VALUE"""),5322.0)</f>
        <v>5322</v>
      </c>
      <c r="B3244" s="152" t="str">
        <f>IFERROR(__xludf.DUMMYFUNCTION("""COMPUTED_VALUE"""),"確定")</f>
        <v>確定</v>
      </c>
      <c r="C3244" s="154">
        <f>IFERROR(__xludf.DUMMYFUNCTION("""COMPUTED_VALUE"""),45737.0)</f>
        <v>45737</v>
      </c>
      <c r="D3244" s="154">
        <f>IFERROR(__xludf.DUMMYFUNCTION("""COMPUTED_VALUE"""),45769.0)</f>
        <v>45769</v>
      </c>
      <c r="E3244" s="157">
        <f>IFERROR(__xludf.DUMMYFUNCTION("""COMPUTED_VALUE"""),323400.0)</f>
        <v>323400</v>
      </c>
      <c r="F3244" s="152" t="str">
        <f>IFERROR(__xludf.DUMMYFUNCTION("""COMPUTED_VALUE"""),"【ラブパルフェ】エロいオカズの片山くんと妄想以上のヤラしいSEX～開発部の同僚は性欲重め")</f>
        <v>【ラブパルフェ】エロいオカズの片山くんと妄想以上のヤラしいSEX～開発部の同僚は性欲重め</v>
      </c>
      <c r="G3244" s="152" t="str">
        <f>IFERROR(__xludf.DUMMYFUNCTION("""COMPUTED_VALUE"""),"1～3")</f>
        <v>1～3</v>
      </c>
      <c r="H3244" s="152" t="str">
        <f>IFERROR(__xludf.DUMMYFUNCTION("""COMPUTED_VALUE"""),"片倉みっき/佐々木みお")</f>
        <v>片倉みっき/佐々木みお</v>
      </c>
      <c r="I3244" s="152" t="str">
        <f>IFERROR(__xludf.DUMMYFUNCTION("""COMPUTED_VALUE"""),"TL")</f>
        <v>TL</v>
      </c>
      <c r="J3244" s="157"/>
      <c r="K3244" s="152" t="str">
        <f>IFERROR(__xludf.DUMMYFUNCTION("""COMPUTED_VALUE"""),"ラブパルフェ")</f>
        <v>ラブパルフェ</v>
      </c>
      <c r="L3244" s="152" t="str">
        <f>IFERROR(__xludf.DUMMYFUNCTION("""COMPUTED_VALUE"""),"オーバーラップ")</f>
        <v>オーバーラップ</v>
      </c>
      <c r="M3244" s="154">
        <f>IFERROR(__xludf.DUMMYFUNCTION("""COMPUTED_VALUE"""),45809.0)</f>
        <v>45809</v>
      </c>
      <c r="N3244" s="207">
        <f>IFERROR(__xludf.DUMMYFUNCTION("""COMPUTED_VALUE"""),45869.0)</f>
        <v>45869</v>
      </c>
      <c r="O3244" s="205"/>
      <c r="P3244" s="206" t="str">
        <f>IFERROR(__xludf.DUMMYFUNCTION("""COMPUTED_VALUE"""),"可")</f>
        <v>可</v>
      </c>
      <c r="Q3244" s="205"/>
      <c r="R3244" s="205" t="str">
        <f>IFERROR(__xludf.DUMMYFUNCTION("""COMPUTED_VALUE"""),"コミットNG")</f>
        <v>コミットNG</v>
      </c>
      <c r="S3244" s="205" t="str">
        <f>IFERROR(__xludf.DUMMYFUNCTION("""COMPUTED_VALUE"""),"20250421_オーバーラップ_エロいオカズの片山くんと妄想以上のヤラしいSEX～開発部の同僚は性欲重め")</f>
        <v>20250421_オーバーラップ_エロいオカズの片山くんと妄想以上のヤラしいSEX～開発部の同僚は性欲重め</v>
      </c>
      <c r="T3244" s="205" t="str">
        <f>IFERROR(__xludf.DUMMYFUNCTION("""COMPUTED_VALUE"""),"格納済み")</f>
        <v>格納済み</v>
      </c>
      <c r="U3244" s="9" t="str">
        <f>IFERROR(__xludf.DUMMYFUNCTION("""COMPUTED_VALUE"""),"(C)片倉みっき・佐々木みお／オーバーラップ")</f>
        <v>(C)片倉みっき・佐々木みお／オーバーラップ</v>
      </c>
      <c r="V3244" s="8" t="str">
        <f>IFERROR(__xludf.DUMMYFUNCTION("""COMPUTED_VALUE"""),"「俺でエロいこと妄想してただろ」社内のイケメンに、エッチな脳内がバレちゃって…!?
エッチな妄想が大好きな葵衣（あおい）の最近の妄想対象は同僚のイケメン片山（かたやま）。
他部署のエースで、クールで人気がある彼とは適度な距離だと思っていたら…
ある日突然、彼が異動してきて一緒に働くことに!?
おまけに歓迎会の場で、即、妄想してることがバレちゃって…!!
「さっき、俺でエロいこと妄想してただろ」
「本当にシてみようか。そのエロい妄想」
ホテルで押し倒されて、甘く熱いキスをされ、奥までとろとろにほぐされちゃっ"&amp;"て…
刺激的でエッチな妄想が現実に――!!
妄想だいすき女子×察しよすぎる男子の、スケベな脳内ダダ漏れオフィスラブ開幕☆
※本書は「ラブパルフェVOL.84-1」に収録されています。重複購入にご注意ください。")</f>
        <v>「俺でエロいこと妄想してただろ」社内のイケメンに、エッチな脳内がバレちゃって…!?
エッチな妄想が大好きな葵衣（あおい）の最近の妄想対象は同僚のイケメン片山（かたやま）。
他部署のエースで、クールで人気がある彼とは適度な距離だと思っていたら…
ある日突然、彼が異動してきて一緒に働くことに!?
おまけに歓迎会の場で、即、妄想してることがバレちゃって…!!
「さっき、俺でエロいこと妄想してただろ」
「本当にシてみようか。そのエロい妄想」
ホテルで押し倒されて、甘く熱いキスをされ、奥までとろとろにほぐされちゃって…
刺激的でエッチな妄想が現実に――!!
妄想だいすき女子×察しよすぎる男子の、スケベな脳内ダダ漏れオフィスラブ開幕☆
※本書は「ラブパルフェVOL.84-1」に収録されています。重複購入にご注意ください。</v>
      </c>
      <c r="W3244" s="8" t="str">
        <f>IFERROR(__xludf.DUMMYFUNCTION("""COMPUTED_VALUE"""),"#REF!")</f>
        <v>#REF!</v>
      </c>
      <c r="X3244" s="8" t="str">
        <f>IFERROR(__xludf.DUMMYFUNCTION("""COMPUTED_VALUE"""),"有")</f>
        <v>有</v>
      </c>
      <c r="Y3244" s="8" t="str">
        <f>IFERROR(__xludf.DUMMYFUNCTION("""COMPUTED_VALUE"""),"2025/7/31まで1巻無料")</f>
        <v>2025/7/31まで1巻無料</v>
      </c>
      <c r="Z3244" s="7"/>
      <c r="AA3244" s="7"/>
      <c r="AB3244" s="7"/>
    </row>
    <row r="3245" ht="15.75" customHeight="1">
      <c r="A3245" s="153">
        <f>IFERROR(__xludf.DUMMYFUNCTION("""COMPUTED_VALUE"""),5323.0)</f>
        <v>5323</v>
      </c>
      <c r="B3245" s="152" t="str">
        <f>IFERROR(__xludf.DUMMYFUNCTION("""COMPUTED_VALUE"""),"確定")</f>
        <v>確定</v>
      </c>
      <c r="C3245" s="154">
        <f>IFERROR(__xludf.DUMMYFUNCTION("""COMPUTED_VALUE"""),45737.0)</f>
        <v>45737</v>
      </c>
      <c r="D3245" s="154">
        <f>IFERROR(__xludf.DUMMYFUNCTION("""COMPUTED_VALUE"""),45769.0)</f>
        <v>45769</v>
      </c>
      <c r="E3245" s="157">
        <f>IFERROR(__xludf.DUMMYFUNCTION("""COMPUTED_VALUE"""),323414.0)</f>
        <v>323414</v>
      </c>
      <c r="F3245" s="152" t="str">
        <f>IFERROR(__xludf.DUMMYFUNCTION("""COMPUTED_VALUE"""),"【ラブパルフェ】溺愛すぎるハイスペ消防士の再熱愛に乱されたい～鍛えたカラダでとろとろ発情セックス")</f>
        <v>【ラブパルフェ】溺愛すぎるハイスペ消防士の再熱愛に乱されたい～鍛えたカラダでとろとろ発情セックス</v>
      </c>
      <c r="G3245" s="152" t="str">
        <f>IFERROR(__xludf.DUMMYFUNCTION("""COMPUTED_VALUE"""),"1～3")</f>
        <v>1～3</v>
      </c>
      <c r="H3245" s="152" t="str">
        <f>IFERROR(__xludf.DUMMYFUNCTION("""COMPUTED_VALUE"""),"ナヲフ")</f>
        <v>ナヲフ</v>
      </c>
      <c r="I3245" s="152" t="str">
        <f>IFERROR(__xludf.DUMMYFUNCTION("""COMPUTED_VALUE"""),"TL")</f>
        <v>TL</v>
      </c>
      <c r="J3245" s="157"/>
      <c r="K3245" s="152" t="str">
        <f>IFERROR(__xludf.DUMMYFUNCTION("""COMPUTED_VALUE"""),"ラブパルフェ")</f>
        <v>ラブパルフェ</v>
      </c>
      <c r="L3245" s="152" t="str">
        <f>IFERROR(__xludf.DUMMYFUNCTION("""COMPUTED_VALUE"""),"オーバーラップ")</f>
        <v>オーバーラップ</v>
      </c>
      <c r="M3245" s="154">
        <f>IFERROR(__xludf.DUMMYFUNCTION("""COMPUTED_VALUE"""),45809.0)</f>
        <v>45809</v>
      </c>
      <c r="N3245" s="207">
        <f>IFERROR(__xludf.DUMMYFUNCTION("""COMPUTED_VALUE"""),45869.0)</f>
        <v>45869</v>
      </c>
      <c r="O3245" s="205"/>
      <c r="P3245" s="206" t="str">
        <f>IFERROR(__xludf.DUMMYFUNCTION("""COMPUTED_VALUE"""),"可")</f>
        <v>可</v>
      </c>
      <c r="Q3245" s="205"/>
      <c r="R3245" s="205" t="str">
        <f>IFERROR(__xludf.DUMMYFUNCTION("""COMPUTED_VALUE"""),"コミットOK")</f>
        <v>コミットOK</v>
      </c>
      <c r="S3245" s="205" t="str">
        <f>IFERROR(__xludf.DUMMYFUNCTION("""COMPUTED_VALUE"""),"20250421_オーバーラップ_溺愛すぎるハイスペ消防士の再熱愛に乱されたい～鍛えたカラダでとろとろ発情セックス")</f>
        <v>20250421_オーバーラップ_溺愛すぎるハイスペ消防士の再熱愛に乱されたい～鍛えたカラダでとろとろ発情セックス</v>
      </c>
      <c r="T3245" s="205" t="str">
        <f>IFERROR(__xludf.DUMMYFUNCTION("""COMPUTED_VALUE"""),"格納済み")</f>
        <v>格納済み</v>
      </c>
      <c r="U3245" s="9" t="str">
        <f>IFERROR(__xludf.DUMMYFUNCTION("""COMPUTED_VALUE"""),"(C)ナヲフ／オーバーラップ")</f>
        <v>(C)ナヲフ／オーバーラップ</v>
      </c>
      <c r="V3245" s="8" t="str">
        <f>IFERROR(__xludf.DUMMYFUNCTION("""COMPUTED_VALUE"""),"「ほんとはオオカミかもよ、試してみる？」
元カレ消防士に敏感なところを舐めて責められ――昂る再熱愛に感じちゃう！
仕事から帰宅したら、まさかの自宅アパート全焼で!? 今日は27歳の誕生日だったのに…と落ち込んでいた春美（はるみ）。
そんな中、消火活動をしていた消防士が10年前に付き合っていた元カレ・健（たける）とわかる。
「今晩だけうち来る？」と一晩泊めてもらうことになるが、鍛えられた身体を目の前にドキドキが止まらなくて――。
学生の頃とは違う雄み全開のカレに押し倒され、トロトロ愛撫に「腰浮いて"&amp;"いるけど、ここ好き？」なんて耳元で甘く囁かれたら…ナカが疼いて何度もイっちゃうっ！
※本書は「ラブパルフェVOL.83-2」に収録されています。重複購入にご注意ください。")</f>
        <v>「ほんとはオオカミかもよ、試してみる？」
元カレ消防士に敏感なところを舐めて責められ――昂る再熱愛に感じちゃう！
仕事から帰宅したら、まさかの自宅アパート全焼で!? 今日は27歳の誕生日だったのに…と落ち込んでいた春美（はるみ）。
そんな中、消火活動をしていた消防士が10年前に付き合っていた元カレ・健（たける）とわかる。
「今晩だけうち来る？」と一晩泊めてもらうことになるが、鍛えられた身体を目の前にドキドキが止まらなくて――。
学生の頃とは違う雄み全開のカレに押し倒され、トロトロ愛撫に「腰浮いているけど、ここ好き？」なんて耳元で甘く囁かれたら…ナカが疼いて何度もイっちゃうっ！
※本書は「ラブパルフェVOL.83-2」に収録されています。重複購入にご注意ください。</v>
      </c>
      <c r="W3245" s="8" t="str">
        <f>IFERROR(__xludf.DUMMYFUNCTION("""COMPUTED_VALUE"""),"#REF!")</f>
        <v>#REF!</v>
      </c>
      <c r="X3245" s="8" t="str">
        <f>IFERROR(__xludf.DUMMYFUNCTION("""COMPUTED_VALUE"""),"有")</f>
        <v>有</v>
      </c>
      <c r="Y3245" s="8" t="str">
        <f>IFERROR(__xludf.DUMMYFUNCTION("""COMPUTED_VALUE"""),"2025/7/31まで1巻無料")</f>
        <v>2025/7/31まで1巻無料</v>
      </c>
      <c r="Z3245" s="7"/>
      <c r="AA3245" s="7"/>
      <c r="AB3245" s="7"/>
    </row>
    <row r="3246" ht="15.75" customHeight="1">
      <c r="A3246" s="153">
        <f>IFERROR(__xludf.DUMMYFUNCTION("""COMPUTED_VALUE"""),5325.0)</f>
        <v>5325</v>
      </c>
      <c r="B3246" s="152" t="str">
        <f>IFERROR(__xludf.DUMMYFUNCTION("""COMPUTED_VALUE"""),"確定")</f>
        <v>確定</v>
      </c>
      <c r="C3246" s="154">
        <f>IFERROR(__xludf.DUMMYFUNCTION("""COMPUTED_VALUE"""),45737.0)</f>
        <v>45737</v>
      </c>
      <c r="D3246" s="154">
        <f>IFERROR(__xludf.DUMMYFUNCTION("""COMPUTED_VALUE"""),45769.0)</f>
        <v>45769</v>
      </c>
      <c r="E3246" s="157">
        <f>IFERROR(__xludf.DUMMYFUNCTION("""COMPUTED_VALUE"""),323399.0)</f>
        <v>323399</v>
      </c>
      <c r="F3246" s="152" t="str">
        <f>IFERROR(__xludf.DUMMYFUNCTION("""COMPUTED_VALUE"""),"【ラブパルフェ】XL秘書とむさぼり捕食セックス ～濡れ癖つくまでオク深くズブズブに愛されてます")</f>
        <v>【ラブパルフェ】XL秘書とむさぼり捕食セックス ～濡れ癖つくまでオク深くズブズブに愛されてます</v>
      </c>
      <c r="G3246" s="152" t="str">
        <f>IFERROR(__xludf.DUMMYFUNCTION("""COMPUTED_VALUE"""),"1～3")</f>
        <v>1～3</v>
      </c>
      <c r="H3246" s="152" t="str">
        <f>IFERROR(__xludf.DUMMYFUNCTION("""COMPUTED_VALUE"""),"雪中さくらの/紺乃 藍")</f>
        <v>雪中さくらの/紺乃 藍</v>
      </c>
      <c r="I3246" s="152" t="str">
        <f>IFERROR(__xludf.DUMMYFUNCTION("""COMPUTED_VALUE"""),"TL")</f>
        <v>TL</v>
      </c>
      <c r="J3246" s="157"/>
      <c r="K3246" s="152" t="str">
        <f>IFERROR(__xludf.DUMMYFUNCTION("""COMPUTED_VALUE"""),"ラブパルフェ")</f>
        <v>ラブパルフェ</v>
      </c>
      <c r="L3246" s="152" t="str">
        <f>IFERROR(__xludf.DUMMYFUNCTION("""COMPUTED_VALUE"""),"オーバーラップ")</f>
        <v>オーバーラップ</v>
      </c>
      <c r="M3246" s="154">
        <f>IFERROR(__xludf.DUMMYFUNCTION("""COMPUTED_VALUE"""),45809.0)</f>
        <v>45809</v>
      </c>
      <c r="N3246" s="207">
        <f>IFERROR(__xludf.DUMMYFUNCTION("""COMPUTED_VALUE"""),45869.0)</f>
        <v>45869</v>
      </c>
      <c r="O3246" s="205"/>
      <c r="P3246" s="206" t="str">
        <f>IFERROR(__xludf.DUMMYFUNCTION("""COMPUTED_VALUE"""),"可")</f>
        <v>可</v>
      </c>
      <c r="Q3246" s="205"/>
      <c r="R3246" s="205" t="str">
        <f>IFERROR(__xludf.DUMMYFUNCTION("""COMPUTED_VALUE"""),"コミットOK")</f>
        <v>コミットOK</v>
      </c>
      <c r="S3246" s="205" t="str">
        <f>IFERROR(__xludf.DUMMYFUNCTION("""COMPUTED_VALUE"""),"20250421_オーバーラップ_XL秘書とむさぼり捕食セックス～濡れ癖つくまでオク深くズブズブに愛されてます")</f>
        <v>20250421_オーバーラップ_XL秘書とむさぼり捕食セックス～濡れ癖つくまでオク深くズブズブに愛されてます</v>
      </c>
      <c r="T3246" s="205" t="str">
        <f>IFERROR(__xludf.DUMMYFUNCTION("""COMPUTED_VALUE"""),"格納済み")</f>
        <v>格納済み</v>
      </c>
      <c r="U3246" s="9" t="str">
        <f>IFERROR(__xludf.DUMMYFUNCTION("""COMPUTED_VALUE"""),"(C)雪中さくらの・紺乃 藍／オーバーラップ")</f>
        <v>(C)雪中さくらの・紺乃 藍／オーバーラップ</v>
      </c>
      <c r="V3246" s="8" t="str">
        <f>IFERROR(__xludf.DUMMYFUNCTION("""COMPUTED_VALUE"""),"「煽った責任とれよ、遠慮しないからな」
ゴツゴツと長い指にナカをかき乱されて、体格差のある鍛えた身体で貪るように求められたら…ダメなのに、気持ちいい――！
アパレルメーカーの女社長・優妃（ゆき）は、幼馴染で社長秘書の弘彰（ひろあき）に長年片想い中。
けれどある日、酔いに任せ本心を漏らすと、いつものすまし顔から一変。オスの顔で迫られて!?
大きなアソコで奥まで押し上げられて、滴るほどナカが濡れちゃう…！
何度も続けてイカされ、怖いくらいの快楽にずぶずぶにされてしまい――
尽くしたがりな秘書は身体"&amp;"も愛もデカくて激重!?
膨れ上がった過剰愛と底知れぬ性欲で理解（わか）らせてきます！
※本書は「ラブパルフェVOL.81-2」に収録されています。重複購入にご注意ください。")</f>
        <v>「煽った責任とれよ、遠慮しないからな」
ゴツゴツと長い指にナカをかき乱されて、体格差のある鍛えた身体で貪るように求められたら…ダメなのに、気持ちいい――！
アパレルメーカーの女社長・優妃（ゆき）は、幼馴染で社長秘書の弘彰（ひろあき）に長年片想い中。
けれどある日、酔いに任せ本心を漏らすと、いつものすまし顔から一変。オスの顔で迫られて!?
大きなアソコで奥まで押し上げられて、滴るほどナカが濡れちゃう…！
何度も続けてイカされ、怖いくらいの快楽にずぶずぶにされてしまい――
尽くしたがりな秘書は身体も愛もデカくて激重!?
膨れ上がった過剰愛と底知れぬ性欲で理解（わか）らせてきます！
※本書は「ラブパルフェVOL.81-2」に収録されています。重複購入にご注意ください。</v>
      </c>
      <c r="W3246" s="8" t="str">
        <f>IFERROR(__xludf.DUMMYFUNCTION("""COMPUTED_VALUE"""),"#REF!")</f>
        <v>#REF!</v>
      </c>
      <c r="X3246" s="8" t="str">
        <f>IFERROR(__xludf.DUMMYFUNCTION("""COMPUTED_VALUE"""),"有")</f>
        <v>有</v>
      </c>
      <c r="Y3246" s="8" t="str">
        <f>IFERROR(__xludf.DUMMYFUNCTION("""COMPUTED_VALUE"""),"2025/7/31まで1巻無料")</f>
        <v>2025/7/31まで1巻無料</v>
      </c>
      <c r="Z3246" s="7"/>
      <c r="AA3246" s="7"/>
      <c r="AB3246" s="7"/>
    </row>
    <row r="3247" ht="15.75" customHeight="1">
      <c r="A3247" s="153">
        <f>IFERROR(__xludf.DUMMYFUNCTION("""COMPUTED_VALUE"""),5326.0)</f>
        <v>5326</v>
      </c>
      <c r="B3247" s="152" t="str">
        <f>IFERROR(__xludf.DUMMYFUNCTION("""COMPUTED_VALUE"""),"確定")</f>
        <v>確定</v>
      </c>
      <c r="C3247" s="154">
        <f>IFERROR(__xludf.DUMMYFUNCTION("""COMPUTED_VALUE"""),45737.0)</f>
        <v>45737</v>
      </c>
      <c r="D3247" s="154">
        <f>IFERROR(__xludf.DUMMYFUNCTION("""COMPUTED_VALUE"""),45769.0)</f>
        <v>45769</v>
      </c>
      <c r="E3247" s="157">
        <f>IFERROR(__xludf.DUMMYFUNCTION("""COMPUTED_VALUE"""),323412.0)</f>
        <v>323412</v>
      </c>
      <c r="F3247" s="152" t="str">
        <f>IFERROR(__xludf.DUMMYFUNCTION("""COMPUTED_VALUE"""),"【ラブパルフェ】ナカまでほぐす快感マッサージ～憧れの藤堂センパイに超絶テクで溺愛されちゃうっ")</f>
        <v>【ラブパルフェ】ナカまでほぐす快感マッサージ～憧れの藤堂センパイに超絶テクで溺愛されちゃうっ</v>
      </c>
      <c r="G3247" s="152" t="str">
        <f>IFERROR(__xludf.DUMMYFUNCTION("""COMPUTED_VALUE"""),"1～3")</f>
        <v>1～3</v>
      </c>
      <c r="H3247" s="152" t="str">
        <f>IFERROR(__xludf.DUMMYFUNCTION("""COMPUTED_VALUE"""),"あすまおみ")</f>
        <v>あすまおみ</v>
      </c>
      <c r="I3247" s="152" t="str">
        <f>IFERROR(__xludf.DUMMYFUNCTION("""COMPUTED_VALUE"""),"TL")</f>
        <v>TL</v>
      </c>
      <c r="J3247" s="157"/>
      <c r="K3247" s="152" t="str">
        <f>IFERROR(__xludf.DUMMYFUNCTION("""COMPUTED_VALUE"""),"ラブパルフェ")</f>
        <v>ラブパルフェ</v>
      </c>
      <c r="L3247" s="152" t="str">
        <f>IFERROR(__xludf.DUMMYFUNCTION("""COMPUTED_VALUE"""),"オーバーラップ")</f>
        <v>オーバーラップ</v>
      </c>
      <c r="M3247" s="154">
        <f>IFERROR(__xludf.DUMMYFUNCTION("""COMPUTED_VALUE"""),45809.0)</f>
        <v>45809</v>
      </c>
      <c r="N3247" s="207">
        <f>IFERROR(__xludf.DUMMYFUNCTION("""COMPUTED_VALUE"""),45869.0)</f>
        <v>45869</v>
      </c>
      <c r="O3247" s="205"/>
      <c r="P3247" s="206" t="str">
        <f>IFERROR(__xludf.DUMMYFUNCTION("""COMPUTED_VALUE"""),"可")</f>
        <v>可</v>
      </c>
      <c r="Q3247" s="205"/>
      <c r="R3247" s="205" t="str">
        <f>IFERROR(__xludf.DUMMYFUNCTION("""COMPUTED_VALUE"""),"コミットNG")</f>
        <v>コミットNG</v>
      </c>
      <c r="S3247" s="205" t="str">
        <f>IFERROR(__xludf.DUMMYFUNCTION("""COMPUTED_VALUE"""),"20250421_オーバーラップ_ナカまでほぐす快感マッサージ～憧れの藤堂センパイに超絶テクで溺愛されちゃうっ")</f>
        <v>20250421_オーバーラップ_ナカまでほぐす快感マッサージ～憧れの藤堂センパイに超絶テクで溺愛されちゃうっ</v>
      </c>
      <c r="T3247" s="205" t="str">
        <f>IFERROR(__xludf.DUMMYFUNCTION("""COMPUTED_VALUE"""),"格納済み")</f>
        <v>格納済み</v>
      </c>
      <c r="U3247" s="9" t="str">
        <f>IFERROR(__xludf.DUMMYFUNCTION("""COMPUTED_VALUE"""),"(C)あすまおみ／オーバーラップ")</f>
        <v>(C)あすまおみ／オーバーラップ</v>
      </c>
      <c r="V3247" s="8" t="str">
        <f>IFERROR(__xludf.DUMMYFUNCTION("""COMPUTED_VALUE"""),"「一番触って欲しいとこ、くちゅくちゅされてイっちゃうっ…!! 」熱くて長い指でぬるぬるのナカを激しくされてビンカン絶頂…っ！ 手フェチOLの奏(かなで)は仕事に追われる日々…。ご褒美に！と訪れたエステの担当は、憧れていた先輩・藤堂(とうどう)で――。骨ばって長い理想の手に執拗に触られたらどんどん奥が熱くなっちゃう…。ほてったカラダと先輩の真剣なまなざしに誘われるままホテルでナカまでほぐされて――。「先輩ので奥突かれて、もうだめ、イキすぎちゃう…っ!! 」
※本書は「ラブパルフェVOL.80-2」に収"&amp;"録されています。重複購入にご注意ください。")</f>
        <v>「一番触って欲しいとこ、くちゅくちゅされてイっちゃうっ…!! 」熱くて長い指でぬるぬるのナカを激しくされてビンカン絶頂…っ！ 手フェチOLの奏(かなで)は仕事に追われる日々…。ご褒美に！と訪れたエステの担当は、憧れていた先輩・藤堂(とうどう)で――。骨ばって長い理想の手に執拗に触られたらどんどん奥が熱くなっちゃう…。ほてったカラダと先輩の真剣なまなざしに誘われるままホテルでナカまでほぐされて――。「先輩ので奥突かれて、もうだめ、イキすぎちゃう…っ!! 」
※本書は「ラブパルフェVOL.80-2」に収録されています。重複購入にご注意ください。</v>
      </c>
      <c r="W3247" s="8" t="str">
        <f>IFERROR(__xludf.DUMMYFUNCTION("""COMPUTED_VALUE"""),"#REF!")</f>
        <v>#REF!</v>
      </c>
      <c r="X3247" s="8" t="str">
        <f>IFERROR(__xludf.DUMMYFUNCTION("""COMPUTED_VALUE"""),"有")</f>
        <v>有</v>
      </c>
      <c r="Y3247" s="8" t="str">
        <f>IFERROR(__xludf.DUMMYFUNCTION("""COMPUTED_VALUE"""),"2025/7/31まで1巻無料")</f>
        <v>2025/7/31まで1巻無料</v>
      </c>
      <c r="Z3247" s="7"/>
      <c r="AA3247" s="7"/>
      <c r="AB3247" s="7"/>
    </row>
    <row r="3248" ht="15.75" customHeight="1">
      <c r="A3248" s="153">
        <f>IFERROR(__xludf.DUMMYFUNCTION("""COMPUTED_VALUE"""),5344.0)</f>
        <v>5344</v>
      </c>
      <c r="B3248" s="152" t="str">
        <f>IFERROR(__xludf.DUMMYFUNCTION("""COMPUTED_VALUE"""),"確定")</f>
        <v>確定</v>
      </c>
      <c r="C3248" s="154">
        <f>IFERROR(__xludf.DUMMYFUNCTION("""COMPUTED_VALUE"""),45740.0)</f>
        <v>45740</v>
      </c>
      <c r="D3248" s="154">
        <f>IFERROR(__xludf.DUMMYFUNCTION("""COMPUTED_VALUE"""),45764.0)</f>
        <v>45764</v>
      </c>
      <c r="E3248" s="158">
        <f>IFERROR(__xludf.DUMMYFUNCTION("""COMPUTED_VALUE"""),322024.0)</f>
        <v>322024</v>
      </c>
      <c r="F3248" s="159" t="str">
        <f>IFERROR(__xludf.DUMMYFUNCTION("""COMPUTED_VALUE"""),"恋する天使は罪深い［1話売り］")</f>
        <v>恋する天使は罪深い［1話売り］</v>
      </c>
      <c r="G3248" s="152" t="str">
        <f>IFERROR(__xludf.DUMMYFUNCTION("""COMPUTED_VALUE"""),"1～3")</f>
        <v>1～3</v>
      </c>
      <c r="H3248" s="152" t="str">
        <f>IFERROR(__xludf.DUMMYFUNCTION("""COMPUTED_VALUE"""),"酒井ゆかり")</f>
        <v>酒井ゆかり</v>
      </c>
      <c r="I3248" s="152" t="str">
        <f>IFERROR(__xludf.DUMMYFUNCTION("""COMPUTED_VALUE"""),"少女")</f>
        <v>少女</v>
      </c>
      <c r="J3248" s="157"/>
      <c r="K3248" s="202" t="str">
        <f>IFERROR(__xludf.DUMMYFUNCTION("""COMPUTED_VALUE"""),"花とゆめ")</f>
        <v>花とゆめ</v>
      </c>
      <c r="L3248" s="152" t="str">
        <f>IFERROR(__xludf.DUMMYFUNCTION("""COMPUTED_VALUE"""),"白泉社")</f>
        <v>白泉社</v>
      </c>
      <c r="M3248" s="154">
        <f>IFERROR(__xludf.DUMMYFUNCTION("""COMPUTED_VALUE"""),45797.0)</f>
        <v>45797</v>
      </c>
      <c r="N3248" s="198">
        <f>IFERROR(__xludf.DUMMYFUNCTION("""COMPUTED_VALUE"""),45863.0)</f>
        <v>45863</v>
      </c>
      <c r="O3248" s="152"/>
      <c r="P3248" s="206" t="str">
        <f>IFERROR(__xludf.DUMMYFUNCTION("""COMPUTED_VALUE"""),"否")</f>
        <v>否</v>
      </c>
      <c r="Q3248" s="152"/>
      <c r="R3248" s="152" t="str">
        <f>IFERROR(__xludf.DUMMYFUNCTION("""COMPUTED_VALUE"""),"コミットOK")</f>
        <v>コミットOK</v>
      </c>
      <c r="S3248" s="152" t="str">
        <f>IFERROR(__xludf.DUMMYFUNCTION("""COMPUTED_VALUE"""),"20250417_白泉社_恋する天使は罪深い")</f>
        <v>20250417_白泉社_恋する天使は罪深い</v>
      </c>
      <c r="T3248" s="152" t="str">
        <f>IFERROR(__xludf.DUMMYFUNCTION("""COMPUTED_VALUE"""),"格納済み")</f>
        <v>格納済み</v>
      </c>
      <c r="U3248" s="15" t="str">
        <f>IFERROR(__xludf.DUMMYFUNCTION("""COMPUTED_VALUE"""),"Ⓒ酒井ゆかり/白泉社")</f>
        <v>Ⓒ酒井ゆかり/白泉社</v>
      </c>
      <c r="V3248" s="8" t="str">
        <f>IFERROR(__xludf.DUMMYFUNCTION("""COMPUTED_VALUE"""),"天使のいる世界。友達０の女子高生・白鳥ミソラは、優秀な天使にのみ与えられる「天使のわっか」獲得のため、日々真面目に生きている。クラスメイトの鴉越カナデと共に廃れた生徒会に加入したミソラだったが、そこにいたのは七つの大罪と対応する欲望を持った欲深天使達ばかりで…!?不器用な愛に溺れる!?逆ハー禁欲ラブコメ")</f>
        <v>天使のいる世界。友達０の女子高生・白鳥ミソラは、優秀な天使にのみ与えられる「天使のわっか」獲得のため、日々真面目に生きている。クラスメイトの鴉越カナデと共に廃れた生徒会に加入したミソラだったが、そこにいたのは七つの大罪と対応する欲望を持った欲深天使達ばかりで…!?不器用な愛に溺れる!?逆ハー禁欲ラブコメ</v>
      </c>
      <c r="W3248" s="14"/>
      <c r="X3248" s="14" t="str">
        <f>IFERROR(__xludf.DUMMYFUNCTION("""COMPUTED_VALUE"""),"有")</f>
        <v>有</v>
      </c>
      <c r="Y3248" s="8" t="str">
        <f>IFERROR(__xludf.DUMMYFUNCTION("""COMPUTED_VALUE"""),"2025/7/25まで1巻無料")</f>
        <v>2025/7/25まで1巻無料</v>
      </c>
      <c r="Z3248" s="7"/>
      <c r="AA3248" s="7"/>
      <c r="AB3248" s="7"/>
    </row>
    <row r="3249" ht="15.75" customHeight="1">
      <c r="A3249" s="153">
        <f>IFERROR(__xludf.DUMMYFUNCTION("""COMPUTED_VALUE"""),5347.0)</f>
        <v>5347</v>
      </c>
      <c r="B3249" s="152" t="str">
        <f>IFERROR(__xludf.DUMMYFUNCTION("""COMPUTED_VALUE"""),"確定")</f>
        <v>確定</v>
      </c>
      <c r="C3249" s="154">
        <f>IFERROR(__xludf.DUMMYFUNCTION("""COMPUTED_VALUE"""),45741.0)</f>
        <v>45741</v>
      </c>
      <c r="D3249" s="154">
        <f>IFERROR(__xludf.DUMMYFUNCTION("""COMPUTED_VALUE"""),45768.0)</f>
        <v>45768</v>
      </c>
      <c r="E3249" s="157">
        <f>IFERROR(__xludf.DUMMYFUNCTION("""COMPUTED_VALUE"""),322129.0)</f>
        <v>322129</v>
      </c>
      <c r="F3249" s="152" t="str">
        <f>IFERROR(__xludf.DUMMYFUNCTION("""COMPUTED_VALUE"""),"幼馴染のエロトラップ～発情した狼は甘すぎる～ [完全版]【タテヨミ】")</f>
        <v>幼馴染のエロトラップ～発情した狼は甘すぎる～ [完全版]【タテヨミ】</v>
      </c>
      <c r="G3249" s="152" t="str">
        <f>IFERROR(__xludf.DUMMYFUNCTION("""COMPUTED_VALUE"""),"1～15")</f>
        <v>1～15</v>
      </c>
      <c r="H3249" s="152" t="str">
        <f>IFERROR(__xludf.DUMMYFUNCTION("""COMPUTED_VALUE"""),"seomil, sudal, vardiba")</f>
        <v>seomil, sudal, vardiba</v>
      </c>
      <c r="I3249" s="152" t="str">
        <f>IFERROR(__xludf.DUMMYFUNCTION("""COMPUTED_VALUE"""),"TL")</f>
        <v>TL</v>
      </c>
      <c r="J3249" s="157"/>
      <c r="K3249" s="157"/>
      <c r="L3249" s="152" t="str">
        <f>IFERROR(__xludf.DUMMYFUNCTION("""COMPUTED_VALUE"""),"リバース")</f>
        <v>リバース</v>
      </c>
      <c r="M3249" s="154">
        <f>IFERROR(__xludf.DUMMYFUNCTION("""COMPUTED_VALUE"""),45809.0)</f>
        <v>45809</v>
      </c>
      <c r="N3249" s="154">
        <f>IFERROR(__xludf.DUMMYFUNCTION("""COMPUTED_VALUE"""),45872.0)</f>
        <v>45872</v>
      </c>
      <c r="O3249" s="205"/>
      <c r="P3249" s="206" t="str">
        <f>IFERROR(__xludf.DUMMYFUNCTION("""COMPUTED_VALUE"""),"可")</f>
        <v>可</v>
      </c>
      <c r="Q3249" s="205"/>
      <c r="R3249" s="205" t="str">
        <f>IFERROR(__xludf.DUMMYFUNCTION("""COMPUTED_VALUE"""),"コミットOK")</f>
        <v>コミットOK</v>
      </c>
      <c r="S3249" s="205" t="str">
        <f>IFERROR(__xludf.DUMMYFUNCTION("""COMPUTED_VALUE"""),"20250416_リバース_幼なじみのエロトラップ~発情した狼は甘すぎる~完全版【タテヨミ】")</f>
        <v>20250416_リバース_幼なじみのエロトラップ~発情した狼は甘すぎる~完全版【タテヨミ】</v>
      </c>
      <c r="T3249" s="205" t="str">
        <f>IFERROR(__xludf.DUMMYFUNCTION("""COMPUTED_VALUE"""),"格納済み")</f>
        <v>格納済み</v>
      </c>
      <c r="U3249" s="9" t="str">
        <f>IFERROR(__xludf.DUMMYFUNCTION("""COMPUTED_VALUE"""),"ⒸDCCENT / RIVERSE")</f>
        <v>ⒸDCCENT / RIVERSE</v>
      </c>
      <c r="V3249" s="8" t="str">
        <f>IFERROR(__xludf.DUMMYFUNCTION("""COMPUTED_VALUE"""),"「私たち友達でしょう...！」「エステル、俺は絶対に君を傷つけない」オオカミになって私を食べようとする幼馴染。「もう知ってるだろう。 俺のような獣が発情するとどうなるのか。」怖いけど、この気持ちはなんだろう、だんだんエッチになってくる！")</f>
        <v>「私たち友達でしょう...！」「エステル、俺は絶対に君を傷つけない」オオカミになって私を食べようとする幼馴染。「もう知ってるだろう。 俺のような獣が発情するとどうなるのか。」怖いけど、この気持ちはなんだろう、だんだんエッチになってくる！</v>
      </c>
      <c r="W3249" s="8" t="str">
        <f>IFERROR(__xludf.DUMMYFUNCTION("""COMPUTED_VALUE"""),"#REF!")</f>
        <v>#REF!</v>
      </c>
      <c r="X3249" s="8" t="str">
        <f>IFERROR(__xludf.DUMMYFUNCTION("""COMPUTED_VALUE"""),"有")</f>
        <v>有</v>
      </c>
      <c r="Y3249" s="8" t="str">
        <f>IFERROR(__xludf.DUMMYFUNCTION("""COMPUTED_VALUE"""),"1~3巻無料
2025/6/14まで4巻目無料")</f>
        <v>1~3巻無料
2025/6/14まで4巻目無料</v>
      </c>
      <c r="Z3249" s="7"/>
      <c r="AA3249" s="7"/>
      <c r="AB3249" s="7"/>
    </row>
    <row r="3250" ht="15.75" customHeight="1">
      <c r="A3250" s="153">
        <f>IFERROR(__xludf.DUMMYFUNCTION("""COMPUTED_VALUE"""),5366.0)</f>
        <v>5366</v>
      </c>
      <c r="B3250" s="152" t="str">
        <f>IFERROR(__xludf.DUMMYFUNCTION("""COMPUTED_VALUE"""),"確定")</f>
        <v>確定</v>
      </c>
      <c r="C3250" s="154">
        <f>IFERROR(__xludf.DUMMYFUNCTION("""COMPUTED_VALUE"""),45742.0)</f>
        <v>45742</v>
      </c>
      <c r="D3250" s="154">
        <f>IFERROR(__xludf.DUMMYFUNCTION("""COMPUTED_VALUE"""),45770.0)</f>
        <v>45770</v>
      </c>
      <c r="E3250" s="157">
        <f>IFERROR(__xludf.DUMMYFUNCTION("""COMPUTED_VALUE"""),323259.0)</f>
        <v>323259</v>
      </c>
      <c r="F3250" s="152" t="str">
        <f>IFERROR(__xludf.DUMMYFUNCTION("""COMPUTED_VALUE"""),"二十年ぶりに再会した母が誘惑してくる")</f>
        <v>二十年ぶりに再会した母が誘惑してくる</v>
      </c>
      <c r="G3250" s="152" t="str">
        <f>IFERROR(__xludf.DUMMYFUNCTION("""COMPUTED_VALUE"""),"1～2")</f>
        <v>1～2</v>
      </c>
      <c r="H3250" s="152" t="str">
        <f>IFERROR(__xludf.DUMMYFUNCTION("""COMPUTED_VALUE"""),"ほよよ")</f>
        <v>ほよよ</v>
      </c>
      <c r="I3250" s="152" t="str">
        <f>IFERROR(__xludf.DUMMYFUNCTION("""COMPUTED_VALUE"""),"アダルトマンガ")</f>
        <v>アダルトマンガ</v>
      </c>
      <c r="J3250" s="152"/>
      <c r="K3250" s="157"/>
      <c r="L3250" s="152" t="str">
        <f>IFERROR(__xludf.DUMMYFUNCTION("""COMPUTED_VALUE"""),"ナイトコミック")</f>
        <v>ナイトコミック</v>
      </c>
      <c r="M3250" s="154">
        <f>IFERROR(__xludf.DUMMYFUNCTION("""COMPUTED_VALUE"""),45807.0)</f>
        <v>45807</v>
      </c>
      <c r="N3250" s="154">
        <f>IFERROR(__xludf.DUMMYFUNCTION("""COMPUTED_VALUE"""),45869.0)</f>
        <v>45869</v>
      </c>
      <c r="O3250" s="205"/>
      <c r="P3250" s="205" t="str">
        <f>IFERROR(__xludf.DUMMYFUNCTION("""COMPUTED_VALUE"""),"可")</f>
        <v>可</v>
      </c>
      <c r="Q3250" s="205" t="str">
        <f>IFERROR(__xludf.DUMMYFUNCTION("""COMPUTED_VALUE"""),"【先行合わせCP】&lt;BR&gt;先行期間中（2025/05/30～2025/07/31）の試読増量が可能です。&lt;BR&gt;1巻15pまで試読増量 &lt;BR&gt;2巻20Pまで試読増量")</f>
        <v>【先行合わせCP】&lt;BR&gt;先行期間中（2025/05/30～2025/07/31）の試読増量が可能です。&lt;BR&gt;1巻15pまで試読増量 &lt;BR&gt;2巻20Pまで試読増量</v>
      </c>
      <c r="R3250" s="205" t="str">
        <f>IFERROR(__xludf.DUMMYFUNCTION("""COMPUTED_VALUE"""),"コミットOK")</f>
        <v>コミットOK</v>
      </c>
      <c r="S3250" s="205" t="str">
        <f>IFERROR(__xludf.DUMMYFUNCTION("""COMPUTED_VALUE"""),"20250326_ナイトコミック_二十年ぶりに再会した母が誘惑してくる")</f>
        <v>20250326_ナイトコミック_二十年ぶりに再会した母が誘惑してくる</v>
      </c>
      <c r="T3250" s="205" t="str">
        <f>IFERROR(__xludf.DUMMYFUNCTION("""COMPUTED_VALUE"""),"格納済み")</f>
        <v>格納済み</v>
      </c>
      <c r="U3250" s="9" t="str">
        <f>IFERROR(__xludf.DUMMYFUNCTION("""COMPUTED_VALUE"""),"Ⓒほよよ")</f>
        <v>Ⓒほよよ</v>
      </c>
      <c r="V3250" s="8" t="str">
        <f>IFERROR(__xludf.DUMMYFUNCTION("""COMPUTED_VALUE"""),"二十年前に自分を捨てた母親が、制服姿で俺の前に現れた！母親から突如会いたいと連絡が来て待ち合わせていた俺は、そのおかしな姿に戸惑いつつも彼女の話を聞くことに。「一緒に暮らそう」と言う彼女の提案を受け入れ、母親との同居が始まった。無防備な格好で俺を誘惑してくる母は、息子である俺とセックスしたいと言ってきた！俺が欲情するのを妄想して毎日オナニーを繰り返していたと告白する母は、勃起した俺のおち◯ちんを絶妙な舌使いで舐めてきて…？")</f>
        <v>二十年前に自分を捨てた母親が、制服姿で俺の前に現れた！母親から突如会いたいと連絡が来て待ち合わせていた俺は、そのおかしな姿に戸惑いつつも彼女の話を聞くことに。「一緒に暮らそう」と言う彼女の提案を受け入れ、母親との同居が始まった。無防備な格好で俺を誘惑してくる母は、息子である俺とセックスしたいと言ってきた！俺が欲情するのを妄想して毎日オナニーを繰り返していたと告白する母は、勃起した俺のおち◯ちんを絶妙な舌使いで舐めてきて…？</v>
      </c>
      <c r="W3250" s="8" t="str">
        <f>IFERROR(__xludf.DUMMYFUNCTION("""COMPUTED_VALUE"""),"#REF!")</f>
        <v>#REF!</v>
      </c>
      <c r="X3250" s="8" t="str">
        <f>IFERROR(__xludf.DUMMYFUNCTION("""COMPUTED_VALUE"""),"有")</f>
        <v>有</v>
      </c>
      <c r="Y3250" s="8" t="str">
        <f>IFERROR(__xludf.DUMMYFUNCTION("""COMPUTED_VALUE"""),"P8まで")</f>
        <v>P8まで</v>
      </c>
      <c r="Z3250" s="7"/>
      <c r="AA3250" s="7"/>
      <c r="AB3250" s="7"/>
    </row>
    <row r="3251" ht="15.75" customHeight="1">
      <c r="A3251" s="153">
        <f>IFERROR(__xludf.DUMMYFUNCTION("""COMPUTED_VALUE"""),5367.0)</f>
        <v>5367</v>
      </c>
      <c r="B3251" s="152" t="str">
        <f>IFERROR(__xludf.DUMMYFUNCTION("""COMPUTED_VALUE"""),"確定")</f>
        <v>確定</v>
      </c>
      <c r="C3251" s="154">
        <f>IFERROR(__xludf.DUMMYFUNCTION("""COMPUTED_VALUE"""),45742.0)</f>
        <v>45742</v>
      </c>
      <c r="D3251" s="154">
        <f>IFERROR(__xludf.DUMMYFUNCTION("""COMPUTED_VALUE"""),45769.0)</f>
        <v>45769</v>
      </c>
      <c r="E3251" s="155">
        <f>IFERROR(__xludf.DUMMYFUNCTION("""COMPUTED_VALUE"""),320978.0)</f>
        <v>320978</v>
      </c>
      <c r="F3251" s="156" t="str">
        <f>IFERROR(__xludf.DUMMYFUNCTION("""COMPUTED_VALUE"""),"治験に参加したらメスにされた話【R18版】")</f>
        <v>治験に参加したらメスにされた話【R18版】</v>
      </c>
      <c r="G3251" s="152" t="str">
        <f>IFERROR(__xludf.DUMMYFUNCTION("""COMPUTED_VALUE"""),"1～2")</f>
        <v>1～2</v>
      </c>
      <c r="H3251" s="152" t="str">
        <f>IFERROR(__xludf.DUMMYFUNCTION("""COMPUTED_VALUE"""),"雨天あめか")</f>
        <v>雨天あめか</v>
      </c>
      <c r="I3251" s="152" t="str">
        <f>IFERROR(__xludf.DUMMYFUNCTION("""COMPUTED_VALUE"""),"アダルトマンガ")</f>
        <v>アダルトマンガ</v>
      </c>
      <c r="J3251" s="152"/>
      <c r="K3251" s="157"/>
      <c r="L3251" s="152" t="str">
        <f>IFERROR(__xludf.DUMMYFUNCTION("""COMPUTED_VALUE"""),"ナイトコミック")</f>
        <v>ナイトコミック</v>
      </c>
      <c r="M3251" s="154">
        <f>IFERROR(__xludf.DUMMYFUNCTION("""COMPUTED_VALUE"""),45779.0)</f>
        <v>45779</v>
      </c>
      <c r="N3251" s="154">
        <f>IFERROR(__xludf.DUMMYFUNCTION("""COMPUTED_VALUE"""),45841.0)</f>
        <v>45841</v>
      </c>
      <c r="O3251" s="152"/>
      <c r="P3251" s="152" t="str">
        <f>IFERROR(__xludf.DUMMYFUNCTION("""COMPUTED_VALUE"""),"可")</f>
        <v>可</v>
      </c>
      <c r="Q3251" s="152" t="str">
        <f>IFERROR(__xludf.DUMMYFUNCTION("""COMPUTED_VALUE"""),"※素材は1～2巻目までご使用ください&lt;BR&gt;【配信スケジュール】&lt;BR&gt;先行開始希望日：&lt;BR&gt;1巻～2巻：2025/05/02～2025/07/03&lt;BR&gt;3巻：2025/06/06～2025/07/31&lt;BR&gt;4巻：2025/07/04～2025/09/04&lt;BR&gt;&lt;BR&gt;【先行合わせCP】&lt;BR&gt;先行期間中の試読増量が可能です&lt;BR&gt;1巻20pまで試読増量 2025/05/02～2025/09/04&lt;BR&gt;2巻9Pまで試読増量 22025/05/02～2025/09/04&lt;BR&gt;3巻9Pまで試読増量"&amp;" 2025/06/06～2025/09/04&lt;BR&gt;3巻11Pまで試読増量 2025/07/04～2025/09/04&lt;BR&gt;&lt;BR&gt;「ハイスペ後輩の執着快楽責めに勝てる気がしない！」と内容は同じで、カラーリング・性描写のぼかし修正の濃淡が異なる作品の為出稿コミットはどちらかのみでお願いいたします。")</f>
        <v>※素材は1～2巻目までご使用ください&lt;BR&gt;【配信スケジュール】&lt;BR&gt;先行開始希望日：&lt;BR&gt;1巻～2巻：2025/05/02～2025/07/03&lt;BR&gt;3巻：2025/06/06～2025/07/31&lt;BR&gt;4巻：2025/07/04～2025/09/04&lt;BR&gt;&lt;BR&gt;【先行合わせCP】&lt;BR&gt;先行期間中の試読増量が可能です&lt;BR&gt;1巻20pまで試読増量 2025/05/02～2025/09/04&lt;BR&gt;2巻9Pまで試読増量 22025/05/02～2025/09/04&lt;BR&gt;3巻9Pまで試読増量 2025/06/06～2025/09/04&lt;BR&gt;3巻11Pまで試読増量 2025/07/04～2025/09/04&lt;BR&gt;&lt;BR&gt;「ハイスペ後輩の執着快楽責めに勝てる気がしない！」と内容は同じで、カラーリング・性描写のぼかし修正の濃淡が異なる作品の為出稿コミットはどちらかのみでお願いいたします。</v>
      </c>
      <c r="R3251" s="152" t="str">
        <f>IFERROR(__xludf.DUMMYFUNCTION("""COMPUTED_VALUE"""),"コミットOK")</f>
        <v>コミットOK</v>
      </c>
      <c r="S3251" s="152" t="str">
        <f>IFERROR(__xludf.DUMMYFUNCTION("""COMPUTED_VALUE"""),"20250326_ナイトコミック_治験に参加したらメスにされた話【R18版】")</f>
        <v>20250326_ナイトコミック_治験に参加したらメスにされた話【R18版】</v>
      </c>
      <c r="T3251" s="152" t="str">
        <f>IFERROR(__xludf.DUMMYFUNCTION("""COMPUTED_VALUE"""),"格納済み")</f>
        <v>格納済み</v>
      </c>
      <c r="U3251" s="15" t="str">
        <f>IFERROR(__xludf.DUMMYFUNCTION("""COMPUTED_VALUE"""),"Ⓒ雨天あめか")</f>
        <v>Ⓒ雨天あめか</v>
      </c>
      <c r="V3251" s="8" t="str">
        <f>IFERROR(__xludf.DUMMYFUNCTION("""COMPUTED_VALUE"""),"主人公【宇佐美しるべ】は元後輩【夏目】に頼まれ、性転換症候群の薬の治験を受けることに。薬を飲んだ後、鏡に映るのは「女体化した自分の姿」…！？そのまま「触診」と称して後輩に身体を弄られ、できたてお〇んこを舐められて潮吹き絶頂してしまう宇佐美。夏目の策略にハマった宇佐美はラブホに連れ込まれてしまい…！？何度も膣内射精され…終わらないメスの快楽…。果たして宇佐美は…メス堕ちに抗えるのか…！？　※セックスシーンは【男×女の姿】のみですが、BL要素が苦手な方はご注意ください。")</f>
        <v>主人公【宇佐美しるべ】は元後輩【夏目】に頼まれ、性転換症候群の薬の治験を受けることに。薬を飲んだ後、鏡に映るのは「女体化した自分の姿」…！？そのまま「触診」と称して後輩に身体を弄られ、できたてお〇んこを舐められて潮吹き絶頂してしまう宇佐美。夏目の策略にハマった宇佐美はラブホに連れ込まれてしまい…！？何度も膣内射精され…終わらないメスの快楽…。果たして宇佐美は…メス堕ちに抗えるのか…！？　※セックスシーンは【男×女の姿】のみですが、BL要素が苦手な方はご注意ください。</v>
      </c>
      <c r="W3251" s="14"/>
      <c r="X3251" s="14" t="str">
        <f>IFERROR(__xludf.DUMMYFUNCTION("""COMPUTED_VALUE"""),"有")</f>
        <v>有</v>
      </c>
      <c r="Y3251" s="8" t="str">
        <f>IFERROR(__xludf.DUMMYFUNCTION("""COMPUTED_VALUE"""),"2025/9/4まで立ち読み増量
1巻P20まで
2巻P9まで")</f>
        <v>2025/9/4まで立ち読み増量
1巻P20まで
2巻P9まで</v>
      </c>
      <c r="Z3251" s="7"/>
      <c r="AA3251" s="7"/>
      <c r="AB3251" s="7"/>
    </row>
    <row r="3252" ht="15.75" customHeight="1">
      <c r="A3252" s="153">
        <f>IFERROR(__xludf.DUMMYFUNCTION("""COMPUTED_VALUE"""),5368.0)</f>
        <v>5368</v>
      </c>
      <c r="B3252" s="152" t="str">
        <f>IFERROR(__xludf.DUMMYFUNCTION("""COMPUTED_VALUE"""),"確定")</f>
        <v>確定</v>
      </c>
      <c r="C3252" s="154">
        <f>IFERROR(__xludf.DUMMYFUNCTION("""COMPUTED_VALUE"""),45742.0)</f>
        <v>45742</v>
      </c>
      <c r="D3252" s="154">
        <f>IFERROR(__xludf.DUMMYFUNCTION("""COMPUTED_VALUE"""),45770.0)</f>
        <v>45770</v>
      </c>
      <c r="E3252" s="155">
        <f>IFERROR(__xludf.DUMMYFUNCTION("""COMPUTED_VALUE"""),322012.0)</f>
        <v>322012</v>
      </c>
      <c r="F3252" s="156" t="str">
        <f>IFERROR(__xludf.DUMMYFUNCTION("""COMPUTED_VALUE"""),"ハイスペ後輩の執着快楽責めに勝てる気がしない！")</f>
        <v>ハイスペ後輩の執着快楽責めに勝てる気がしない！</v>
      </c>
      <c r="G3252" s="152" t="str">
        <f>IFERROR(__xludf.DUMMYFUNCTION("""COMPUTED_VALUE"""),"1～2")</f>
        <v>1～2</v>
      </c>
      <c r="H3252" s="152" t="str">
        <f>IFERROR(__xludf.DUMMYFUNCTION("""COMPUTED_VALUE"""),"雨天あめか")</f>
        <v>雨天あめか</v>
      </c>
      <c r="I3252" s="161" t="str">
        <f>IFERROR(__xludf.DUMMYFUNCTION("""COMPUTED_VALUE"""),"TL")</f>
        <v>TL</v>
      </c>
      <c r="J3252" s="157"/>
      <c r="K3252" s="157"/>
      <c r="L3252" s="152" t="str">
        <f>IFERROR(__xludf.DUMMYFUNCTION("""COMPUTED_VALUE"""),"ナイトコミック")</f>
        <v>ナイトコミック</v>
      </c>
      <c r="M3252" s="154">
        <f>IFERROR(__xludf.DUMMYFUNCTION("""COMPUTED_VALUE"""),45779.0)</f>
        <v>45779</v>
      </c>
      <c r="N3252" s="154">
        <f>IFERROR(__xludf.DUMMYFUNCTION("""COMPUTED_VALUE"""),45841.0)</f>
        <v>45841</v>
      </c>
      <c r="O3252" s="152"/>
      <c r="P3252" s="152" t="str">
        <f>IFERROR(__xludf.DUMMYFUNCTION("""COMPUTED_VALUE"""),"可")</f>
        <v>可</v>
      </c>
      <c r="Q3252" s="152" t="str">
        <f>IFERROR(__xludf.DUMMYFUNCTION("""COMPUTED_VALUE"""),"1～2巻目まで素材ご使用ください&lt;BR&gt;【先行合わせCP】&lt;BR&gt;先行期間中の試読増量が可能です&lt;BR&gt;1巻20pまで試読増量 2025/05/02～2025/09/04&lt;BR&gt;2巻9Pまで試読増量 22025/05/02～2025/09/04&lt;BR&gt;3巻9Pまで試読増量 2025/06/06～2025/09/04&lt;BR&gt;3巻11Pまで試読増量 2025/07/04～2025/09/04&lt;BR&gt;&lt;BR&gt;「治験に参加したらメスにされた話【R18版】」と内容は同じで、カラーリング・性描写のぼかし修正の濃淡が異"&amp;"なる作品の為出稿コミットはどちらかのみでお願いいたします。")</f>
        <v>1～2巻目まで素材ご使用ください&lt;BR&gt;【先行合わせCP】&lt;BR&gt;先行期間中の試読増量が可能です&lt;BR&gt;1巻20pまで試読増量 2025/05/02～2025/09/04&lt;BR&gt;2巻9Pまで試読増量 22025/05/02～2025/09/04&lt;BR&gt;3巻9Pまで試読増量 2025/06/06～2025/09/04&lt;BR&gt;3巻11Pまで試読増量 2025/07/04～2025/09/04&lt;BR&gt;&lt;BR&gt;「治験に参加したらメスにされた話【R18版】」と内容は同じで、カラーリング・性描写のぼかし修正の濃淡が異なる作品の為出稿コミットはどちらかのみでお願いいたします。</v>
      </c>
      <c r="R3252" s="152" t="str">
        <f>IFERROR(__xludf.DUMMYFUNCTION("""COMPUTED_VALUE"""),"コミットOK")</f>
        <v>コミットOK</v>
      </c>
      <c r="S3252" s="152" t="str">
        <f>IFERROR(__xludf.DUMMYFUNCTION("""COMPUTED_VALUE"""),"20250326_ナイトコミック_ハイスペ後輩の執着快楽責めに勝てる気がしない！")</f>
        <v>20250326_ナイトコミック_ハイスペ後輩の執着快楽責めに勝てる気がしない！</v>
      </c>
      <c r="T3252" s="152" t="str">
        <f>IFERROR(__xludf.DUMMYFUNCTION("""COMPUTED_VALUE"""),"格納済み")</f>
        <v>格納済み</v>
      </c>
      <c r="U3252" s="15" t="str">
        <f>IFERROR(__xludf.DUMMYFUNCTION("""COMPUTED_VALUE"""),"Ⓒ雨天あめか")</f>
        <v>Ⓒ雨天あめか</v>
      </c>
      <c r="V3252" s="8" t="str">
        <f>IFERROR(__xludf.DUMMYFUNCTION("""COMPUTED_VALUE"""),"主人公【宇佐美しるべ】は元後輩【夏目】に頼まれ、性転換症候群の薬の治験を受けることに。薬を飲んだ後、鏡に映るのは「女体化した自分の姿」…！？そのまま「触診」と称して後輩に身体を弄られ、できたてお〇んこを舐められて潮吹き絶頂してしまう宇佐美。夏目の策略にハマった宇佐美はラブホに連れ込まれてしまい…！？何度も膣内射精され…終わらないメスの快楽…。果たして宇佐美は…メス堕ちに抗えるのか…！？　※セックスシーンは【男×女の姿】のみですが、BL要素が苦手な方はご注意ください。")</f>
        <v>主人公【宇佐美しるべ】は元後輩【夏目】に頼まれ、性転換症候群の薬の治験を受けることに。薬を飲んだ後、鏡に映るのは「女体化した自分の姿」…！？そのまま「触診」と称して後輩に身体を弄られ、できたてお〇んこを舐められて潮吹き絶頂してしまう宇佐美。夏目の策略にハマった宇佐美はラブホに連れ込まれてしまい…！？何度も膣内射精され…終わらないメスの快楽…。果たして宇佐美は…メス堕ちに抗えるのか…！？　※セックスシーンは【男×女の姿】のみですが、BL要素が苦手な方はご注意ください。</v>
      </c>
      <c r="W3252" s="14"/>
      <c r="X3252" s="14" t="str">
        <f>IFERROR(__xludf.DUMMYFUNCTION("""COMPUTED_VALUE"""),"有")</f>
        <v>有</v>
      </c>
      <c r="Y3252" s="8" t="str">
        <f>IFERROR(__xludf.DUMMYFUNCTION("""COMPUTED_VALUE"""),"2025/9/4まで立ち読み増量P20まで")</f>
        <v>2025/9/4まで立ち読み増量P20まで</v>
      </c>
      <c r="Z3252" s="7"/>
      <c r="AA3252" s="7"/>
      <c r="AB3252" s="7"/>
    </row>
    <row r="3253" ht="15.75" customHeight="1">
      <c r="A3253" s="153">
        <f>IFERROR(__xludf.DUMMYFUNCTION("""COMPUTED_VALUE"""),5378.0)</f>
        <v>5378</v>
      </c>
      <c r="B3253" s="152" t="str">
        <f>IFERROR(__xludf.DUMMYFUNCTION("""COMPUTED_VALUE"""),"確定")</f>
        <v>確定</v>
      </c>
      <c r="C3253" s="154">
        <f>IFERROR(__xludf.DUMMYFUNCTION("""COMPUTED_VALUE"""),45744.0)</f>
        <v>45744</v>
      </c>
      <c r="D3253" s="154">
        <f>IFERROR(__xludf.DUMMYFUNCTION("""COMPUTED_VALUE"""),45770.0)</f>
        <v>45770</v>
      </c>
      <c r="E3253" s="158">
        <f>IFERROR(__xludf.DUMMYFUNCTION("""COMPUTED_VALUE"""),322405.0)</f>
        <v>322405</v>
      </c>
      <c r="F3253" s="159" t="str">
        <f>IFERROR(__xludf.DUMMYFUNCTION("""COMPUTED_VALUE"""),"極悪女帝の後宮【単話】")</f>
        <v>極悪女帝の後宮【単話】</v>
      </c>
      <c r="G3253" s="152" t="str">
        <f>IFERROR(__xludf.DUMMYFUNCTION("""COMPUTED_VALUE"""),"1～3")</f>
        <v>1～3</v>
      </c>
      <c r="H3253" s="152" t="str">
        <f>IFERROR(__xludf.DUMMYFUNCTION("""COMPUTED_VALUE"""),"宮野美嘉┴篁ふみ┴天城望")</f>
        <v>宮野美嘉┴篁ふみ┴天城望</v>
      </c>
      <c r="I3253" s="161" t="str">
        <f>IFERROR(__xludf.DUMMYFUNCTION("""COMPUTED_VALUE"""),"女性")</f>
        <v>女性</v>
      </c>
      <c r="J3253" s="157"/>
      <c r="K3253" s="152" t="str">
        <f>IFERROR(__xludf.DUMMYFUNCTION("""COMPUTED_VALUE"""),"やわらかスピリッツ女子部")</f>
        <v>やわらかスピリッツ女子部</v>
      </c>
      <c r="L3253" s="152" t="str">
        <f>IFERROR(__xludf.DUMMYFUNCTION("""COMPUTED_VALUE"""),"小学館")</f>
        <v>小学館</v>
      </c>
      <c r="M3253" s="154">
        <f>IFERROR(__xludf.DUMMYFUNCTION("""COMPUTED_VALUE"""),45799.0)</f>
        <v>45799</v>
      </c>
      <c r="N3253" s="199">
        <f>IFERROR(__xludf.DUMMYFUNCTION("""COMPUTED_VALUE"""),45828.0)</f>
        <v>45828</v>
      </c>
      <c r="O3253" s="152"/>
      <c r="P3253" s="20" t="str">
        <f>IFERROR(__xludf.DUMMYFUNCTION("""COMPUTED_VALUE"""),"可")</f>
        <v>可</v>
      </c>
      <c r="Q3253" s="152" t="str">
        <f>IFERROR(__xludf.DUMMYFUNCTION("""COMPUTED_VALUE"""),"先行延長の提案は可能
 ・本作品については小学館のバナー制作の加工部分についてのルールが緩和されましたのでアダルト面にも出稿可となりました&lt;BR&gt;※それ以外は今までと変わらず
 ※バナー監修の際には「高橋様からOK出てる」的な一言添えて頂けますとスムーズに監修が進むとのこと")</f>
        <v>先行延長の提案は可能
 ・本作品については小学館のバナー制作の加工部分についてのルールが緩和されましたのでアダルト面にも出稿可となりました&lt;BR&gt;※それ以外は今までと変わらず
 ※バナー監修の際には「高橋様からOK出てる」的な一言添えて頂けますとスムーズに監修が進むとのこと</v>
      </c>
      <c r="R3253" s="152" t="str">
        <f>IFERROR(__xludf.DUMMYFUNCTION("""COMPUTED_VALUE"""),"コミットNG")</f>
        <v>コミットNG</v>
      </c>
      <c r="S3253" s="152" t="str">
        <f>IFERROR(__xludf.DUMMYFUNCTION("""COMPUTED_VALUE"""),"20250328_小学館_極悪女帝の後宮")</f>
        <v>20250328_小学館_極悪女帝の後宮</v>
      </c>
      <c r="T3253" s="152" t="str">
        <f>IFERROR(__xludf.DUMMYFUNCTION("""COMPUTED_VALUE"""),"格納済み")</f>
        <v>格納済み</v>
      </c>
      <c r="U3253" s="15" t="str">
        <f>IFERROR(__xludf.DUMMYFUNCTION("""COMPUTED_VALUE"""),"Ⓒ宮野美嘉・篁ふみ・天城望 / 小学館")</f>
        <v>Ⓒ宮野美嘉・篁ふみ・天城望 / 小学館</v>
      </c>
      <c r="V3253" s="8" t="str">
        <f>IFERROR(__xludf.DUMMYFUNCTION("""COMPUTED_VALUE"""),"大帝国・斎（さい）には、大陸に名をはせる若き女帝が居た。
誰もが息を呑む美しさを持ち、学者すら及ばぬ知力を有し、
剣を振るえば大男すら転がす…だが、彼女の名が知れ渡ったのはこれらの抜きん出た才のせいではない。
大陸にその名が轟いた理由…それは、彼女の残虐非道な振る舞いにあった。
「その男の首をお刎ね」
逆らう者は敵味方問わず悉く首をはね、陰で「極悪女帝」とあだ名される、
そんな彼女がある日、属国から婿を迎えることに。
「言っておくけど、私の夫になれ"&amp;"る男はそういないわよ」
「俺が自分の意志であんたにひれ伏すことはない」
お似合いの美男美女の婚儀と思われたが、丁々発止のやりとりに早くも波乱のムード。
婿殿の秘密とは？後宮にはいったい何が隠されているのか？
残虐無道の極悪女帝と美貌の婿殿の波乱万丈の物語が、いま始まる…")</f>
        <v>大帝国・斎（さい）には、大陸に名をはせる若き女帝が居た。
誰もが息を呑む美しさを持ち、学者すら及ばぬ知力を有し、
剣を振るえば大男すら転がす…だが、彼女の名が知れ渡ったのはこれらの抜きん出た才のせいではない。
大陸にその名が轟いた理由…それは、彼女の残虐非道な振る舞いにあった。
「その男の首をお刎ね」
逆らう者は敵味方問わず悉く首をはね、陰で「極悪女帝」とあだ名される、
そんな彼女がある日、属国から婿を迎えることに。
「言っておくけど、私の夫になれる男はそういないわよ」
「俺が自分の意志であんたにひれ伏すことはない」
お似合いの美男美女の婚儀と思われたが、丁々発止のやりとりに早くも波乱のムード。
婿殿の秘密とは？後宮にはいったい何が隠されているのか？
残虐無道の極悪女帝と美貌の婿殿の波乱万丈の物語が、いま始まる…</v>
      </c>
      <c r="W3253" s="14"/>
      <c r="X3253" s="14" t="str">
        <f>IFERROR(__xludf.DUMMYFUNCTION("""COMPUTED_VALUE"""),"有")</f>
        <v>有</v>
      </c>
      <c r="Y3253" s="8" t="str">
        <f>IFERROR(__xludf.DUMMYFUNCTION("""COMPUTED_VALUE"""),"P6まで")</f>
        <v>P6まで</v>
      </c>
      <c r="Z3253" s="7"/>
      <c r="AA3253" s="7"/>
      <c r="AB3253" s="7"/>
    </row>
    <row r="3254" ht="15.75" customHeight="1">
      <c r="A3254" s="153">
        <f>IFERROR(__xludf.DUMMYFUNCTION("""COMPUTED_VALUE"""),5388.0)</f>
        <v>5388</v>
      </c>
      <c r="B3254" s="152" t="str">
        <f>IFERROR(__xludf.DUMMYFUNCTION("""COMPUTED_VALUE"""),"確定")</f>
        <v>確定</v>
      </c>
      <c r="C3254" s="154">
        <f>IFERROR(__xludf.DUMMYFUNCTION("""COMPUTED_VALUE"""),45747.0)</f>
        <v>45747</v>
      </c>
      <c r="D3254" s="154">
        <f>IFERROR(__xludf.DUMMYFUNCTION("""COMPUTED_VALUE"""),45770.0)</f>
        <v>45770</v>
      </c>
      <c r="E3254" s="157">
        <f>IFERROR(__xludf.DUMMYFUNCTION("""COMPUTED_VALUE"""),324508.0)</f>
        <v>324508</v>
      </c>
      <c r="F3254" s="152" t="str">
        <f>IFERROR(__xludf.DUMMYFUNCTION("""COMPUTED_VALUE"""),"死に戻りの冷害王子が賢王と呼ばれるまで～導いたのは不器用な侯爵令嬢の祈りでした～（話売り）")</f>
        <v>死に戻りの冷害王子が賢王と呼ばれるまで～導いたのは不器用な侯爵令嬢の祈りでした～（話売り）</v>
      </c>
      <c r="G3254" s="152" t="str">
        <f>IFERROR(__xludf.DUMMYFUNCTION("""COMPUTED_VALUE"""),"1～3")</f>
        <v>1～3</v>
      </c>
      <c r="H3254" s="152" t="str">
        <f>IFERROR(__xludf.DUMMYFUNCTION("""COMPUTED_VALUE"""),"サンボン （原作） 、天野なすの （ネーム構成）、小倉つくし （漫画）")</f>
        <v>サンボン （原作） 、天野なすの （ネーム構成）、小倉つくし （漫画）</v>
      </c>
      <c r="I3254" s="152" t="str">
        <f>IFERROR(__xludf.DUMMYFUNCTION("""COMPUTED_VALUE"""),"女性マンガ")</f>
        <v>女性マンガ</v>
      </c>
      <c r="J3254" s="157"/>
      <c r="K3254" s="157"/>
      <c r="L3254" s="152" t="str">
        <f>IFERROR(__xludf.DUMMYFUNCTION("""COMPUTED_VALUE"""),"秋田書店")</f>
        <v>秋田書店</v>
      </c>
      <c r="M3254" s="154">
        <f>IFERROR(__xludf.DUMMYFUNCTION("""COMPUTED_VALUE"""),45804.0)</f>
        <v>45804</v>
      </c>
      <c r="N3254" s="154">
        <f>IFERROR(__xludf.DUMMYFUNCTION("""COMPUTED_VALUE"""),45894.0)</f>
        <v>45894</v>
      </c>
      <c r="O3254" s="152"/>
      <c r="P3254" s="164" t="str">
        <f>IFERROR(__xludf.DUMMYFUNCTION("""COMPUTED_VALUE"""),"否")</f>
        <v>否</v>
      </c>
      <c r="Q3254" s="166"/>
      <c r="R3254" s="152"/>
      <c r="S3254" s="152" t="str">
        <f>IFERROR(__xludf.DUMMYFUNCTION("""COMPUTED_VALUE"""),"20250422_秋田書店_死に戻りの冷害王子が賢王と呼ばれるまで～導いたのは不器用な侯爵令嬢の祈りでした～")</f>
        <v>20250422_秋田書店_死に戻りの冷害王子が賢王と呼ばれるまで～導いたのは不器用な侯爵令嬢の祈りでした～</v>
      </c>
      <c r="T3254" s="152" t="str">
        <f>IFERROR(__xludf.DUMMYFUNCTION("""COMPUTED_VALUE"""),"格納済み")</f>
        <v>格納済み</v>
      </c>
      <c r="U3254" s="9" t="str">
        <f>IFERROR(__xludf.DUMMYFUNCTION("""COMPUTED_VALUE"""),"Ⓒサンボン・天野なすの・小倉つくし（秋田書店）")</f>
        <v>Ⓒサンボン・天野なすの・小倉つくし（秋田書店）</v>
      </c>
      <c r="V3254" s="8" t="str">
        <f>IFERROR(__xludf.DUMMYFUNCTION("""COMPUTED_VALUE"""),"氷のように凍えるほど人の心がわからぬ“冷害王子”と呼ばれるディートリヒは、権力を欲する母親の言うがまま17歳で王に即位したが、運命は残酷だった。やがて太陽のような笑顔で人々に愛される弟オスカーに王位を奪われ、公開処刑されたのだ。だが、斬首されたと思った瞬間、ディートリヒの意識はあり得ないことに4年前の13歳の頃に戻っていた。時が戻ったというのか？ 首を斬りおとされた感触まで覚えているのに？ それは女神ダリアの気まぐれな奇跡なのかもしれないが、やり直せるなら、今度こそ婚約者マルグリットを幸せにしたい。前の人"&amp;"生で愛し方がわからなかった。いとおしかったからこそ、わざと冷たく接して彼女を遠ざけたが、彼女はどんなにディートリヒに傷つけられても優しさを貫いてくれた。斬首される最後の瞬間まで、ディートリヒのために祈りを捧げてくれていた。今度こそ間違えない。なんとしても生き抜いて、マルグリットとともに幸せをつかむ！ のちに“賢王”と呼ばれる王子のリベンジが始まる！")</f>
        <v>氷のように凍えるほど人の心がわからぬ“冷害王子”と呼ばれるディートリヒは、権力を欲する母親の言うがまま17歳で王に即位したが、運命は残酷だった。やがて太陽のような笑顔で人々に愛される弟オスカーに王位を奪われ、公開処刑されたのだ。だが、斬首されたと思った瞬間、ディートリヒの意識はあり得ないことに4年前の13歳の頃に戻っていた。時が戻ったというのか？ 首を斬りおとされた感触まで覚えているのに？ それは女神ダリアの気まぐれな奇跡なのかもしれないが、やり直せるなら、今度こそ婚約者マルグリットを幸せにしたい。前の人生で愛し方がわからなかった。いとおしかったからこそ、わざと冷たく接して彼女を遠ざけたが、彼女はどんなにディートリヒに傷つけられても優しさを貫いてくれた。斬首される最後の瞬間まで、ディートリヒのために祈りを捧げてくれていた。今度こそ間違えない。なんとしても生き抜いて、マルグリットとともに幸せをつかむ！ のちに“賢王”と呼ばれる王子のリベンジが始まる！</v>
      </c>
      <c r="W3254" s="8" t="str">
        <f>IFERROR(__xludf.DUMMYFUNCTION("""COMPUTED_VALUE"""),"#REF!")</f>
        <v>#REF!</v>
      </c>
      <c r="X3254" s="8" t="str">
        <f>IFERROR(__xludf.DUMMYFUNCTION("""COMPUTED_VALUE"""),"有")</f>
        <v>有</v>
      </c>
      <c r="Y3254" s="8" t="str">
        <f>IFERROR(__xludf.DUMMYFUNCTION("""COMPUTED_VALUE"""),"2025/8/25まで1巻無料")</f>
        <v>2025/8/25まで1巻無料</v>
      </c>
      <c r="Z3254" s="7"/>
      <c r="AA3254" s="7"/>
      <c r="AB3254" s="7"/>
    </row>
    <row r="3255" ht="15.75" customHeight="1">
      <c r="A3255" s="153">
        <f>IFERROR(__xludf.DUMMYFUNCTION("""COMPUTED_VALUE"""),5409.0)</f>
        <v>5409</v>
      </c>
      <c r="B3255" s="152" t="str">
        <f>IFERROR(__xludf.DUMMYFUNCTION("""COMPUTED_VALUE"""),"確定")</f>
        <v>確定</v>
      </c>
      <c r="C3255" s="154">
        <f>IFERROR(__xludf.DUMMYFUNCTION("""COMPUTED_VALUE"""),45750.0)</f>
        <v>45750</v>
      </c>
      <c r="D3255" s="154">
        <f>IFERROR(__xludf.DUMMYFUNCTION("""COMPUTED_VALUE"""),45765.0)</f>
        <v>45765</v>
      </c>
      <c r="E3255" s="157">
        <f>IFERROR(__xludf.DUMMYFUNCTION("""COMPUTED_VALUE"""),324262.0)</f>
        <v>324262</v>
      </c>
      <c r="F3255" s="152" t="str">
        <f>IFERROR(__xludf.DUMMYFUNCTION("""COMPUTED_VALUE"""),"メッザノッテの恋人《Lovelicot》")</f>
        <v>メッザノッテの恋人《Lovelicot》</v>
      </c>
      <c r="G3255" s="152" t="str">
        <f>IFERROR(__xludf.DUMMYFUNCTION("""COMPUTED_VALUE"""),"1～2")</f>
        <v>1～2</v>
      </c>
      <c r="H3255" s="152" t="str">
        <f>IFERROR(__xludf.DUMMYFUNCTION("""COMPUTED_VALUE"""),"幾春別たかお")</f>
        <v>幾春別たかお</v>
      </c>
      <c r="I3255" s="152" t="str">
        <f>IFERROR(__xludf.DUMMYFUNCTION("""COMPUTED_VALUE"""),"TL")</f>
        <v>TL</v>
      </c>
      <c r="J3255" s="157"/>
      <c r="K3255" s="152" t="str">
        <f>IFERROR(__xludf.DUMMYFUNCTION("""COMPUTED_VALUE"""),"Lovelicot")</f>
        <v>Lovelicot</v>
      </c>
      <c r="L3255" s="152" t="str">
        <f>IFERROR(__xludf.DUMMYFUNCTION("""COMPUTED_VALUE"""),"ガールスカウトコミックス")</f>
        <v>ガールスカウトコミックス</v>
      </c>
      <c r="M3255" s="154">
        <f>IFERROR(__xludf.DUMMYFUNCTION("""COMPUTED_VALUE"""),45816.0)</f>
        <v>45816</v>
      </c>
      <c r="N3255" s="199">
        <f>IFERROR(__xludf.DUMMYFUNCTION("""COMPUTED_VALUE"""),45907.0)</f>
        <v>45907</v>
      </c>
      <c r="O3255" s="152"/>
      <c r="P3255" s="190" t="str">
        <f>IFERROR(__xludf.DUMMYFUNCTION("""COMPUTED_VALUE"""),"可")</f>
        <v>可</v>
      </c>
      <c r="Q3255" s="152"/>
      <c r="R3255" s="152" t="str">
        <f>IFERROR(__xludf.DUMMYFUNCTION("""COMPUTED_VALUE"""),"コミットOK")</f>
        <v>コミットOK</v>
      </c>
      <c r="S3255" s="152" t="str">
        <f>IFERROR(__xludf.DUMMYFUNCTION("""COMPUTED_VALUE"""),"20250417_ガールスカウトコミックス_メッザノッテの恋人《Lovelicot》")</f>
        <v>20250417_ガールスカウトコミックス_メッザノッテの恋人《Lovelicot》</v>
      </c>
      <c r="T3255" s="152" t="str">
        <f>IFERROR(__xludf.DUMMYFUNCTION("""COMPUTED_VALUE"""),"格納済み")</f>
        <v>格納済み</v>
      </c>
      <c r="U3255" s="9" t="str">
        <f>IFERROR(__xludf.DUMMYFUNCTION("""COMPUTED_VALUE"""),"Ⓒ幾春別たかお／ガールスカウトコミックス")</f>
        <v>Ⓒ幾春別たかお／ガールスカウトコミックス</v>
      </c>
      <c r="V3255" s="8" t="str">
        <f>IFERROR(__xludf.DUMMYFUNCTION("""COMPUTED_VALUE"""),"「場所はイタリア。南にあるこの町で、私はマフィアのアジトで家政婦として働いている──…」
親の借金のカタとして、ヤクザの娘の身代わりにイタリアへ売り飛ばされてしまったアキラ。
売られた先はイタリア最大のマフィア「メッザノッテ」だった──…。
そこでは5人の男達を相手に家政婦として家事、掃除、そしてエッチな奉仕を行うことに……!?
癖が強すぎるマフィアの男たち×絶対に死にたくない貧乏少女!!
魅力あふれるメンズたちとのめくるめく日々をオムニバスでお届けします。
※本作は幾春別たかおの個人"&amp;"誌作品の商業流通版となります。")</f>
        <v>「場所はイタリア。南にあるこの町で、私はマフィアのアジトで家政婦として働いている──…」
親の借金のカタとして、ヤクザの娘の身代わりにイタリアへ売り飛ばされてしまったアキラ。
売られた先はイタリア最大のマフィア「メッザノッテ」だった──…。
そこでは5人の男達を相手に家政婦として家事、掃除、そしてエッチな奉仕を行うことに……!?
癖が強すぎるマフィアの男たち×絶対に死にたくない貧乏少女!!
魅力あふれるメンズたちとのめくるめく日々をオムニバスでお届けします。
※本作は幾春別たかおの個人誌作品の商業流通版となります。</v>
      </c>
      <c r="W3255" s="8" t="str">
        <f>IFERROR(__xludf.DUMMYFUNCTION("""COMPUTED_VALUE"""),"#REF!")</f>
        <v>#REF!</v>
      </c>
      <c r="X3255" s="8" t="str">
        <f>IFERROR(__xludf.DUMMYFUNCTION("""COMPUTED_VALUE"""),"有")</f>
        <v>有</v>
      </c>
      <c r="Y3255" s="8" t="str">
        <f>IFERROR(__xludf.DUMMYFUNCTION("""COMPUTED_VALUE"""),"2025/6/21まで1巻立ち読み増量（P18）")</f>
        <v>2025/6/21まで1巻立ち読み増量（P18）</v>
      </c>
      <c r="Z3255" s="7"/>
      <c r="AA3255" s="7"/>
      <c r="AB3255" s="7"/>
    </row>
    <row r="3256" ht="15.75" customHeight="1">
      <c r="A3256" s="153">
        <f>IFERROR(__xludf.DUMMYFUNCTION("""COMPUTED_VALUE"""),5441.0)</f>
        <v>5441</v>
      </c>
      <c r="B3256" s="152" t="str">
        <f>IFERROR(__xludf.DUMMYFUNCTION("""COMPUTED_VALUE"""),"確定")</f>
        <v>確定</v>
      </c>
      <c r="C3256" s="154">
        <f>IFERROR(__xludf.DUMMYFUNCTION("""COMPUTED_VALUE"""),45754.0)</f>
        <v>45754</v>
      </c>
      <c r="D3256" s="154">
        <f>IFERROR(__xludf.DUMMYFUNCTION("""COMPUTED_VALUE"""),45770.0)</f>
        <v>45770</v>
      </c>
      <c r="E3256" s="158">
        <f>IFERROR(__xludf.DUMMYFUNCTION("""COMPUTED_VALUE"""),321903.0)</f>
        <v>321903</v>
      </c>
      <c r="F3256" s="159" t="str">
        <f>IFERROR(__xludf.DUMMYFUNCTION("""COMPUTED_VALUE"""),"黒歴史によろしく")</f>
        <v>黒歴史によろしく</v>
      </c>
      <c r="G3256" s="153">
        <f>IFERROR(__xludf.DUMMYFUNCTION("""COMPUTED_VALUE"""),1.0)</f>
        <v>1</v>
      </c>
      <c r="H3256" s="152" t="str">
        <f>IFERROR(__xludf.DUMMYFUNCTION("""COMPUTED_VALUE"""),"軟式こんにゃく")</f>
        <v>軟式こんにゃく</v>
      </c>
      <c r="I3256" s="152" t="str">
        <f>IFERROR(__xludf.DUMMYFUNCTION("""COMPUTED_VALUE"""),"BL")</f>
        <v>BL</v>
      </c>
      <c r="J3256" s="157"/>
      <c r="K3256" s="152" t="str">
        <f>IFERROR(__xludf.DUMMYFUNCTION("""COMPUTED_VALUE"""),"Cab")</f>
        <v>Cab</v>
      </c>
      <c r="L3256" s="152" t="str">
        <f>IFERROR(__xludf.DUMMYFUNCTION("""COMPUTED_VALUE"""),"東京漫画社")</f>
        <v>東京漫画社</v>
      </c>
      <c r="M3256" s="154">
        <f>IFERROR(__xludf.DUMMYFUNCTION("""COMPUTED_VALUE"""),45786.0)</f>
        <v>45786</v>
      </c>
      <c r="N3256" s="154">
        <f>IFERROR(__xludf.DUMMYFUNCTION("""COMPUTED_VALUE"""),45848.0)</f>
        <v>45848</v>
      </c>
      <c r="O3256" s="152"/>
      <c r="P3256" s="190" t="str">
        <f>IFERROR(__xludf.DUMMYFUNCTION("""COMPUTED_VALUE"""),"可")</f>
        <v>可</v>
      </c>
      <c r="Q3256" s="152"/>
      <c r="R3256" s="152" t="str">
        <f>IFERROR(__xludf.DUMMYFUNCTION("""COMPUTED_VALUE"""),"コミットNG")</f>
        <v>コミットNG</v>
      </c>
      <c r="S3256" s="152" t="str">
        <f>IFERROR(__xludf.DUMMYFUNCTION("""COMPUTED_VALUE"""),"20250407_東京漫画社_黒歴史によろしく")</f>
        <v>20250407_東京漫画社_黒歴史によろしく</v>
      </c>
      <c r="T3256" s="152" t="str">
        <f>IFERROR(__xludf.DUMMYFUNCTION("""COMPUTED_VALUE"""),"格納済み")</f>
        <v>格納済み</v>
      </c>
      <c r="U3256" s="15" t="str">
        <f>IFERROR(__xludf.DUMMYFUNCTION("""COMPUTED_VALUE"""),"Ⓒ軟式こんにゃく/東京漫画社")</f>
        <v>Ⓒ軟式こんにゃく/東京漫画社</v>
      </c>
      <c r="V3256" s="8" t="str">
        <f>IFERROR(__xludf.DUMMYFUNCTION("""COMPUTED_VALUE"""),"「やはり君は我々の研究会にぴったりだ！！」
椿光一郎はモテまくりの高校1年生。しかし中学時代は非モテで誰からも相手にされず、とある女の先輩に一目惚れしたことがきっかけでイメチェンしたのだった。先輩を追いかけてこの高校に入学したものの、どこを探しても見つからず…？
デビュー作「ぼっちゃん、追い込み愛ですよ。」に登場したあの大人達によるほろ苦青春ストーリー！
（※本電子作品は『Cab vol.97』に収録されているものと同じ内容になります。）")</f>
        <v>「やはり君は我々の研究会にぴったりだ！！」
椿光一郎はモテまくりの高校1年生。しかし中学時代は非モテで誰からも相手にされず、とある女の先輩に一目惚れしたことがきっかけでイメチェンしたのだった。先輩を追いかけてこの高校に入学したものの、どこを探しても見つからず…？
デビュー作「ぼっちゃん、追い込み愛ですよ。」に登場したあの大人達によるほろ苦青春ストーリー！
（※本電子作品は『Cab vol.97』に収録されているものと同じ内容になります。）</v>
      </c>
      <c r="W3256" s="14"/>
      <c r="X3256" s="14" t="str">
        <f>IFERROR(__xludf.DUMMYFUNCTION("""COMPUTED_VALUE"""),"有")</f>
        <v>有</v>
      </c>
      <c r="Y3256" s="8" t="str">
        <f>IFERROR(__xludf.DUMMYFUNCTION("""COMPUTED_VALUE"""),"P5まで")</f>
        <v>P5まで</v>
      </c>
      <c r="Z3256" s="7"/>
      <c r="AA3256" s="7"/>
      <c r="AB3256" s="7"/>
    </row>
    <row r="3257" ht="15.75" customHeight="1">
      <c r="A3257" s="153">
        <f>IFERROR(__xludf.DUMMYFUNCTION("""COMPUTED_VALUE"""),5474.0)</f>
        <v>5474</v>
      </c>
      <c r="B3257" s="152" t="str">
        <f>IFERROR(__xludf.DUMMYFUNCTION("""COMPUTED_VALUE"""),"確定")</f>
        <v>確定</v>
      </c>
      <c r="C3257" s="154">
        <f>IFERROR(__xludf.DUMMYFUNCTION("""COMPUTED_VALUE"""),45758.0)</f>
        <v>45758</v>
      </c>
      <c r="D3257" s="154">
        <f>IFERROR(__xludf.DUMMYFUNCTION("""COMPUTED_VALUE"""),45770.0)</f>
        <v>45770</v>
      </c>
      <c r="E3257" s="157">
        <f>IFERROR(__xludf.DUMMYFUNCTION("""COMPUTED_VALUE"""),324181.0)</f>
        <v>324181</v>
      </c>
      <c r="F3257" s="152" t="str">
        <f>IFERROR(__xludf.DUMMYFUNCTION("""COMPUTED_VALUE"""),"後宮の花結師【分冊版】")</f>
        <v>後宮の花結師【分冊版】</v>
      </c>
      <c r="G3257" s="152" t="str">
        <f>IFERROR(__xludf.DUMMYFUNCTION("""COMPUTED_VALUE"""),"1～4")</f>
        <v>1～4</v>
      </c>
      <c r="H3257" s="152" t="str">
        <f>IFERROR(__xludf.DUMMYFUNCTION("""COMPUTED_VALUE"""),"原作：彁はるこ（カドカワBOOKS／KADOKAWA刊） 作画：鈴屋瑛茉 キャラクター原案：さんど")</f>
        <v>原作：彁はるこ（カドカワBOOKS／KADOKAWA刊） 作画：鈴屋瑛茉 キャラクター原案：さんど</v>
      </c>
      <c r="I3257" s="152" t="str">
        <f>IFERROR(__xludf.DUMMYFUNCTION("""COMPUTED_VALUE"""),"女性")</f>
        <v>女性</v>
      </c>
      <c r="J3257" s="157"/>
      <c r="K3257" s="157"/>
      <c r="L3257" s="152" t="str">
        <f>IFERROR(__xludf.DUMMYFUNCTION("""COMPUTED_VALUE"""),"スクウェア・エニックス")</f>
        <v>スクウェア・エニックス</v>
      </c>
      <c r="M3257" s="154">
        <f>IFERROR(__xludf.DUMMYFUNCTION("""COMPUTED_VALUE"""),45809.0)</f>
        <v>45809</v>
      </c>
      <c r="N3257" s="154">
        <f>IFERROR(__xludf.DUMMYFUNCTION("""COMPUTED_VALUE"""),45869.0)</f>
        <v>45869</v>
      </c>
      <c r="O3257" s="152"/>
      <c r="P3257" s="152" t="str">
        <f>IFERROR(__xludf.DUMMYFUNCTION("""COMPUTED_VALUE"""),"否")</f>
        <v>否</v>
      </c>
      <c r="Q3257" s="152" t="str">
        <f>IFERROR(__xludf.DUMMYFUNCTION("""COMPUTED_VALUE"""),"4巻目まで粗材使用可能です
コピーライトの「20XX」は毎年更新")</f>
        <v>4巻目まで粗材使用可能です
コピーライトの「20XX」は毎年更新</v>
      </c>
      <c r="R3257" s="152" t="str">
        <f>IFERROR(__xludf.DUMMYFUNCTION("""COMPUTED_VALUE"""),"コミットOK")</f>
        <v>コミットOK</v>
      </c>
      <c r="S3257" s="152" t="str">
        <f>IFERROR(__xludf.DUMMYFUNCTION("""COMPUTED_VALUE"""),"250411_スクウェア・エニックス_後宮の花結師")</f>
        <v>250411_スクウェア・エニックス_後宮の花結師</v>
      </c>
      <c r="T3257" s="152" t="str">
        <f>IFERROR(__xludf.DUMMYFUNCTION("""COMPUTED_VALUE"""),"格納済み")</f>
        <v>格納済み</v>
      </c>
      <c r="U3257" s="9" t="str">
        <f>IFERROR(__xludf.DUMMYFUNCTION("""COMPUTED_VALUE"""),"ⒸHaruko Yumikaka,Sand 20XX Licensed by KADOKAWA CORPORATION (C)Ema Suzuya/SQUARE ENIX")</f>
        <v>ⒸHaruko Yumikaka,Sand 20XX Licensed by KADOKAWA CORPORATION (C)Ema Suzuya/SQUARE ENIX</v>
      </c>
      <c r="V3257" s="8" t="str">
        <f>IFERROR(__xludf.DUMMYFUNCTION("""COMPUTED_VALUE"""),"【下級女官から始まるシンデレラストーリー！】
後宮の底辺女官、草苺。雑草むしりが主な仕事の彼女には、唯一の特技があった。それは女性の命であり品位の象徴でもある「癒花」――頭部に咲く花を整える「花結い」。花結師になることを夢見ながらも、どこか諦めていた草苺だったが、ある日、癒花が傷みきった妃嬪が草苺に助けを求めてきて――…。自身の花結い技術、そして彼女の癒花の力が、やがては後宮を救う術となる…!?
※この商品は「後宮の花結師」を1話ごとに分冊したものです。
(C)Haruko Yumikaka,San"&amp;"d 2025 Licensed by KADOKAWA CORPORATION (C)2025 Ema Suzuya")</f>
        <v>【下級女官から始まるシンデレラストーリー！】
後宮の底辺女官、草苺。雑草むしりが主な仕事の彼女には、唯一の特技があった。それは女性の命であり品位の象徴でもある「癒花」――頭部に咲く花を整える「花結い」。花結師になることを夢見ながらも、どこか諦めていた草苺だったが、ある日、癒花が傷みきった妃嬪が草苺に助けを求めてきて――…。自身の花結い技術、そして彼女の癒花の力が、やがては後宮を救う術となる…!?
※この商品は「後宮の花結師」を1話ごとに分冊したものです。
(C)Haruko Yumikaka,Sand 2025 Licensed by KADOKAWA CORPORATION (C)2025 Ema Suzuya</v>
      </c>
      <c r="W3257" s="8" t="str">
        <f>IFERROR(__xludf.DUMMYFUNCTION("""COMPUTED_VALUE"""),"#REF!")</f>
        <v>#REF!</v>
      </c>
      <c r="X3257" s="8" t="str">
        <f>IFERROR(__xludf.DUMMYFUNCTION("""COMPUTED_VALUE"""),"有")</f>
        <v>有</v>
      </c>
      <c r="Y3257" s="8" t="str">
        <f>IFERROR(__xludf.DUMMYFUNCTION("""COMPUTED_VALUE"""),"2025/7/31まで1巻無料")</f>
        <v>2025/7/31まで1巻無料</v>
      </c>
      <c r="Z3257" s="7"/>
      <c r="AA3257" s="7"/>
      <c r="AB3257" s="7"/>
    </row>
    <row r="3258" ht="15.75" customHeight="1">
      <c r="A3258" s="153">
        <f>IFERROR(__xludf.DUMMYFUNCTION("""COMPUTED_VALUE"""),5475.0)</f>
        <v>5475</v>
      </c>
      <c r="B3258" s="152" t="str">
        <f>IFERROR(__xludf.DUMMYFUNCTION("""COMPUTED_VALUE"""),"確定")</f>
        <v>確定</v>
      </c>
      <c r="C3258" s="154">
        <f>IFERROR(__xludf.DUMMYFUNCTION("""COMPUTED_VALUE"""),45758.0)</f>
        <v>45758</v>
      </c>
      <c r="D3258" s="154">
        <f>IFERROR(__xludf.DUMMYFUNCTION("""COMPUTED_VALUE"""),45770.0)</f>
        <v>45770</v>
      </c>
      <c r="E3258" s="157">
        <f>IFERROR(__xludf.DUMMYFUNCTION("""COMPUTED_VALUE"""),324182.0)</f>
        <v>324182</v>
      </c>
      <c r="F3258" s="152" t="str">
        <f>IFERROR(__xludf.DUMMYFUNCTION("""COMPUTED_VALUE"""),"薬屋のひとりごと外伝 小蘭回想録【分冊版】")</f>
        <v>薬屋のひとりごと外伝 小蘭回想録【分冊版】</v>
      </c>
      <c r="G3258" s="152" t="str">
        <f>IFERROR(__xludf.DUMMYFUNCTION("""COMPUTED_VALUE"""),"1～3")</f>
        <v>1～3</v>
      </c>
      <c r="H3258" s="152" t="str">
        <f>IFERROR(__xludf.DUMMYFUNCTION("""COMPUTED_VALUE"""),"原作：日向夏（ヒーロー文庫／イマジカインフォス） 漫画：七緒一綺 キャラクター原案：しのとうこ")</f>
        <v>原作：日向夏（ヒーロー文庫／イマジカインフォス） 漫画：七緒一綺 キャラクター原案：しのとうこ</v>
      </c>
      <c r="I3258" s="152" t="str">
        <f>IFERROR(__xludf.DUMMYFUNCTION("""COMPUTED_VALUE"""),"少女")</f>
        <v>少女</v>
      </c>
      <c r="J3258" s="157"/>
      <c r="K3258" s="157"/>
      <c r="L3258" s="152" t="str">
        <f>IFERROR(__xludf.DUMMYFUNCTION("""COMPUTED_VALUE"""),"スクウェア・エニックス")</f>
        <v>スクウェア・エニックス</v>
      </c>
      <c r="M3258" s="154">
        <f>IFERROR(__xludf.DUMMYFUNCTION("""COMPUTED_VALUE"""),45809.0)</f>
        <v>45809</v>
      </c>
      <c r="N3258" s="154">
        <f>IFERROR(__xludf.DUMMYFUNCTION("""COMPUTED_VALUE"""),45869.0)</f>
        <v>45869</v>
      </c>
      <c r="O3258" s="152"/>
      <c r="P3258" s="190" t="str">
        <f>IFERROR(__xludf.DUMMYFUNCTION("""COMPUTED_VALUE"""),"否")</f>
        <v>否</v>
      </c>
      <c r="Q3258" s="152"/>
      <c r="R3258" s="152" t="str">
        <f>IFERROR(__xludf.DUMMYFUNCTION("""COMPUTED_VALUE"""),"コミットNG")</f>
        <v>コミットNG</v>
      </c>
      <c r="S3258" s="152" t="str">
        <f>IFERROR(__xludf.DUMMYFUNCTION("""COMPUTED_VALUE"""),"250411_スクウェア・エニックス_薬屋のひとりごと外伝小蘭回想録")</f>
        <v>250411_スクウェア・エニックス_薬屋のひとりごと外伝小蘭回想録</v>
      </c>
      <c r="T3258" s="152" t="str">
        <f>IFERROR(__xludf.DUMMYFUNCTION("""COMPUTED_VALUE"""),"格納済み")</f>
        <v>格納済み</v>
      </c>
      <c r="U3258" s="9" t="str">
        <f>IFERROR(__xludf.DUMMYFUNCTION("""COMPUTED_VALUE"""),"Ⓒ20XX Hyuganatsu/Imagica Infos Co., Ltd. (C)Itsuki Nanao/SQUARE ENIX")</f>
        <v>Ⓒ20XX Hyuganatsu/Imagica Infos Co., Ltd. (C)Itsuki Nanao/SQUARE ENIX</v>
      </c>
      <c r="V3258" s="8" t="str">
        <f>IFERROR(__xludf.DUMMYFUNCTION("""COMPUTED_VALUE"""),"【「薬屋のひとりごと」初の公式外伝ストーリー！】
『薬屋のひとりごと』の物語を小蘭視点で描く、日向夏書き下ろしによる初の公式外伝ストーリーを七緒一綺がコミカライズ!!
※この商品は「薬屋のひとりごと外伝 小蘭回想録」を1話ごとに分冊したものです。
(C)2025 Hyuganatsu/Imagica Infos Co., Ltd. (C)2025 Itsuki Nanao")</f>
        <v>【「薬屋のひとりごと」初の公式外伝ストーリー！】
『薬屋のひとりごと』の物語を小蘭視点で描く、日向夏書き下ろしによる初の公式外伝ストーリーを七緒一綺がコミカライズ!!
※この商品は「薬屋のひとりごと外伝 小蘭回想録」を1話ごとに分冊したものです。
(C)2025 Hyuganatsu/Imagica Infos Co., Ltd. (C)2025 Itsuki Nanao</v>
      </c>
      <c r="W3258" s="8" t="str">
        <f>IFERROR(__xludf.DUMMYFUNCTION("""COMPUTED_VALUE"""),"#REF!")</f>
        <v>#REF!</v>
      </c>
      <c r="X3258" s="8" t="str">
        <f>IFERROR(__xludf.DUMMYFUNCTION("""COMPUTED_VALUE"""),"有")</f>
        <v>有</v>
      </c>
      <c r="Y3258" s="8" t="str">
        <f>IFERROR(__xludf.DUMMYFUNCTION("""COMPUTED_VALUE"""),"2025/7/31まで1巻無料")</f>
        <v>2025/7/31まで1巻無料</v>
      </c>
      <c r="Z3258" s="7"/>
      <c r="AA3258" s="7"/>
      <c r="AB3258" s="7"/>
    </row>
    <row r="3259" ht="15.75" customHeight="1">
      <c r="A3259" s="153">
        <f>IFERROR(__xludf.DUMMYFUNCTION("""COMPUTED_VALUE"""),5498.0)</f>
        <v>5498</v>
      </c>
      <c r="B3259" s="152" t="str">
        <f>IFERROR(__xludf.DUMMYFUNCTION("""COMPUTED_VALUE"""),"確定")</f>
        <v>確定</v>
      </c>
      <c r="C3259" s="154">
        <f>IFERROR(__xludf.DUMMYFUNCTION("""COMPUTED_VALUE"""),45763.0)</f>
        <v>45763</v>
      </c>
      <c r="D3259" s="154">
        <f>IFERROR(__xludf.DUMMYFUNCTION("""COMPUTED_VALUE"""),45769.0)</f>
        <v>45769</v>
      </c>
      <c r="E3259" s="157">
        <f>IFERROR(__xludf.DUMMYFUNCTION("""COMPUTED_VALUE"""),323322.0)</f>
        <v>323322</v>
      </c>
      <c r="F3259" s="152" t="str">
        <f>IFERROR(__xludf.DUMMYFUNCTION("""COMPUTED_VALUE"""),"ヤサグレてしまった令嬢は、執着王子になびきたくない！")</f>
        <v>ヤサグレてしまった令嬢は、執着王子になびきたくない！</v>
      </c>
      <c r="G3259" s="152" t="str">
        <f>IFERROR(__xludf.DUMMYFUNCTION("""COMPUTED_VALUE"""),"1～7")</f>
        <v>1～7</v>
      </c>
      <c r="H3259" s="152" t="str">
        <f>IFERROR(__xludf.DUMMYFUNCTION("""COMPUTED_VALUE"""),"Rohdea / 鷹咲いつき/　booklistaSTUDIO")</f>
        <v>Rohdea / 鷹咲いつき/　booklistaSTUDIO</v>
      </c>
      <c r="I3259" s="152" t="str">
        <f>IFERROR(__xludf.DUMMYFUNCTION("""COMPUTED_VALUE"""),"少女")</f>
        <v>少女</v>
      </c>
      <c r="J3259" s="157"/>
      <c r="K3259" s="157"/>
      <c r="L3259" s="152" t="str">
        <f>IFERROR(__xludf.DUMMYFUNCTION("""COMPUTED_VALUE"""),"booklistaSTUDIO/SBCr")</f>
        <v>booklistaSTUDIO/SBCr</v>
      </c>
      <c r="M3259" s="154">
        <f>IFERROR(__xludf.DUMMYFUNCTION("""COMPUTED_VALUE"""),45808.0)</f>
        <v>45808</v>
      </c>
      <c r="N3259" s="154">
        <f>IFERROR(__xludf.DUMMYFUNCTION("""COMPUTED_VALUE"""),45835.0)</f>
        <v>45835</v>
      </c>
      <c r="O3259" s="152"/>
      <c r="P3259" s="190" t="str">
        <f>IFERROR(__xludf.DUMMYFUNCTION("""COMPUTED_VALUE"""),"可")</f>
        <v>可</v>
      </c>
      <c r="Q3259" s="190"/>
      <c r="R3259" s="152"/>
      <c r="S3259" s="152" t="str">
        <f>IFERROR(__xludf.DUMMYFUNCTION("""COMPUTED_VALUE"""),"20250415_SBクリエイティブ_ヤサグレてしまった令嬢は、執着王子になびきたくない！")</f>
        <v>20250415_SBクリエイティブ_ヤサグレてしまった令嬢は、執着王子になびきたくない！</v>
      </c>
      <c r="T3259" s="152" t="str">
        <f>IFERROR(__xludf.DUMMYFUNCTION("""COMPUTED_VALUE"""),"格納済み")</f>
        <v>格納済み</v>
      </c>
      <c r="U3259" s="9" t="str">
        <f>IFERROR(__xludf.DUMMYFUNCTION("""COMPUTED_VALUE"""),"ⒸbooklistaSTUDIO")</f>
        <v>ⒸbooklistaSTUDIO</v>
      </c>
      <c r="V3259" s="8" t="str">
        <f>IFERROR(__xludf.DUMMYFUNCTION("""COMPUTED_VALUE"""),"───あと何回“悪役令嬢“になれば、この人生から抜け出すことができるのかしら？〝私〟はこれまでに様々な乙女ゲームの舞台で、悪役令嬢として生きてきた。過去全ての結末は、悪役令嬢の婚約者がヒロインに心を奪われる→悪役令嬢は断罪される、というワンパターン。どうあがいても、その未来は変わることはなかった。「悪役令嬢？ 婚約破棄？ もう、どれもうんざりよ！！！！」天に向かって不満をぶち撒けた前回の最期。再び転生して“悪役令嬢キャサリン“として始まった人生は、これまでとどこか違っていた！───私を捨てるはずの婚約者様"&amp;"が、私……キャサリンを愛しているですって！？転生を繰り返しヤサグレてしまったベテラン悪役令嬢と、溺愛がとまらない執着王子のラブコメファンタジー。")</f>
        <v>───あと何回“悪役令嬢“になれば、この人生から抜け出すことができるのかしら？〝私〟はこれまでに様々な乙女ゲームの舞台で、悪役令嬢として生きてきた。過去全ての結末は、悪役令嬢の婚約者がヒロインに心を奪われる→悪役令嬢は断罪される、というワンパターン。どうあがいても、その未来は変わることはなかった。「悪役令嬢？ 婚約破棄？ もう、どれもうんざりよ！！！！」天に向かって不満をぶち撒けた前回の最期。再び転生して“悪役令嬢キャサリン“として始まった人生は、これまでとどこか違っていた！───私を捨てるはずの婚約者様が、私……キャサリンを愛しているですって！？転生を繰り返しヤサグレてしまったベテラン悪役令嬢と、溺愛がとまらない執着王子のラブコメファンタジー。</v>
      </c>
      <c r="W3259" s="8" t="str">
        <f>IFERROR(__xludf.DUMMYFUNCTION("""COMPUTED_VALUE"""),"#REF!")</f>
        <v>#REF!</v>
      </c>
      <c r="X3259" s="8" t="str">
        <f>IFERROR(__xludf.DUMMYFUNCTION("""COMPUTED_VALUE"""),"有")</f>
        <v>有</v>
      </c>
      <c r="Y3259" s="8" t="str">
        <f>IFERROR(__xludf.DUMMYFUNCTION("""COMPUTED_VALUE"""),"1巻無料
2025/6/13まで2巻無料")</f>
        <v>1巻無料
2025/6/13まで2巻無料</v>
      </c>
      <c r="Z3259" s="7"/>
      <c r="AA3259" s="7"/>
      <c r="AB3259" s="7"/>
    </row>
    <row r="3260" ht="15.75" customHeight="1">
      <c r="A3260" s="153">
        <f>IFERROR(__xludf.DUMMYFUNCTION("""COMPUTED_VALUE"""),5503.0)</f>
        <v>5503</v>
      </c>
      <c r="B3260" s="152" t="str">
        <f>IFERROR(__xludf.DUMMYFUNCTION("""COMPUTED_VALUE"""),"確定")</f>
        <v>確定</v>
      </c>
      <c r="C3260" s="154">
        <f>IFERROR(__xludf.DUMMYFUNCTION("""COMPUTED_VALUE"""),45764.0)</f>
        <v>45764</v>
      </c>
      <c r="D3260" s="154">
        <f>IFERROR(__xludf.DUMMYFUNCTION("""COMPUTED_VALUE"""),45770.0)</f>
        <v>45770</v>
      </c>
      <c r="E3260" s="157">
        <f>IFERROR(__xludf.DUMMYFUNCTION("""COMPUTED_VALUE"""),323598.0)</f>
        <v>323598</v>
      </c>
      <c r="F3260" s="152" t="str">
        <f>IFERROR(__xludf.DUMMYFUNCTION("""COMPUTED_VALUE"""),"私を叱る日鷹君と毎晩シています［ばら売り］")</f>
        <v>私を叱る日鷹君と毎晩シています［ばら売り］</v>
      </c>
      <c r="G3260" s="152" t="str">
        <f>IFERROR(__xludf.DUMMYFUNCTION("""COMPUTED_VALUE"""),"1～4")</f>
        <v>1～4</v>
      </c>
      <c r="H3260" s="152" t="str">
        <f>IFERROR(__xludf.DUMMYFUNCTION("""COMPUTED_VALUE"""),"岡舘いまり")</f>
        <v>岡舘いまり</v>
      </c>
      <c r="I3260" s="152" t="str">
        <f>IFERROR(__xludf.DUMMYFUNCTION("""COMPUTED_VALUE"""),"女性")</f>
        <v>女性</v>
      </c>
      <c r="J3260" s="157"/>
      <c r="K3260" s="152" t="str">
        <f>IFERROR(__xludf.DUMMYFUNCTION("""COMPUTED_VALUE"""),"マンガPark")</f>
        <v>マンガPark</v>
      </c>
      <c r="L3260" s="152" t="str">
        <f>IFERROR(__xludf.DUMMYFUNCTION("""COMPUTED_VALUE"""),"白泉社")</f>
        <v>白泉社</v>
      </c>
      <c r="M3260" s="154">
        <f>IFERROR(__xludf.DUMMYFUNCTION("""COMPUTED_VALUE"""),45822.0)</f>
        <v>45822</v>
      </c>
      <c r="N3260" s="199">
        <f>IFERROR(__xludf.DUMMYFUNCTION("""COMPUTED_VALUE"""),46185.66666666667)</f>
        <v>46185.66667</v>
      </c>
      <c r="O3260" s="152"/>
      <c r="P3260" s="190" t="str">
        <f>IFERROR(__xludf.DUMMYFUNCTION("""COMPUTED_VALUE"""),"可")</f>
        <v>可</v>
      </c>
      <c r="Q3260" s="190"/>
      <c r="R3260" s="152"/>
      <c r="S3260" s="152" t="str">
        <f>IFERROR(__xludf.DUMMYFUNCTION("""COMPUTED_VALUE"""),"20250422_白泉社_私を叱る日鷹君と毎晩シています［ばら売り］")</f>
        <v>20250422_白泉社_私を叱る日鷹君と毎晩シています［ばら売り］</v>
      </c>
      <c r="T3260" s="152" t="str">
        <f>IFERROR(__xludf.DUMMYFUNCTION("""COMPUTED_VALUE"""),"格納済み")</f>
        <v>格納済み</v>
      </c>
      <c r="U3260" s="9" t="str">
        <f>IFERROR(__xludf.DUMMYFUNCTION("""COMPUTED_VALUE"""),"Ⓒ岡舘いまり/白泉社")</f>
        <v>Ⓒ岡舘いまり/白泉社</v>
      </c>
      <c r="V3260" s="8"/>
      <c r="W3260" s="8"/>
      <c r="X3260" s="8" t="str">
        <f>IFERROR(__xludf.DUMMYFUNCTION("""COMPUTED_VALUE"""),"有")</f>
        <v>有</v>
      </c>
      <c r="Y3260" s="8" t="str">
        <f>IFERROR(__xludf.DUMMYFUNCTION("""COMPUTED_VALUE"""),"2025/6/27まで1巻無料")</f>
        <v>2025/6/27まで1巻無料</v>
      </c>
      <c r="Z3260" s="7"/>
      <c r="AA3260" s="7"/>
      <c r="AB3260" s="7"/>
    </row>
    <row r="3261" ht="15.75" customHeight="1">
      <c r="A3261" s="153">
        <f>IFERROR(__xludf.DUMMYFUNCTION("""COMPUTED_VALUE"""),5515.0)</f>
        <v>5515</v>
      </c>
      <c r="B3261" s="152" t="str">
        <f>IFERROR(__xludf.DUMMYFUNCTION("""COMPUTED_VALUE"""),"確定")</f>
        <v>確定</v>
      </c>
      <c r="C3261" s="154">
        <f>IFERROR(__xludf.DUMMYFUNCTION("""COMPUTED_VALUE"""),45768.0)</f>
        <v>45768</v>
      </c>
      <c r="D3261" s="154">
        <f>IFERROR(__xludf.DUMMYFUNCTION("""COMPUTED_VALUE"""),45769.0)</f>
        <v>45769</v>
      </c>
      <c r="E3261" s="157">
        <f>IFERROR(__xludf.DUMMYFUNCTION("""COMPUTED_VALUE"""),324247.0)</f>
        <v>324247</v>
      </c>
      <c r="F3261" s="152" t="str">
        <f>IFERROR(__xludf.DUMMYFUNCTION("""COMPUTED_VALUE"""),"起承転転 単話版")</f>
        <v>起承転転 単話版</v>
      </c>
      <c r="G3261" s="152" t="str">
        <f>IFERROR(__xludf.DUMMYFUNCTION("""COMPUTED_VALUE"""),"1～6")</f>
        <v>1～6</v>
      </c>
      <c r="H3261" s="152" t="str">
        <f>IFERROR(__xludf.DUMMYFUNCTION("""COMPUTED_VALUE"""),"雁須磨子")</f>
        <v>雁須磨子</v>
      </c>
      <c r="I3261" s="152" t="str">
        <f>IFERROR(__xludf.DUMMYFUNCTION("""COMPUTED_VALUE"""),"女性マンガ")</f>
        <v>女性マンガ</v>
      </c>
      <c r="J3261" s="157"/>
      <c r="K3261" s="157"/>
      <c r="L3261" s="152" t="str">
        <f>IFERROR(__xludf.DUMMYFUNCTION("""COMPUTED_VALUE"""),"太田出版")</f>
        <v>太田出版</v>
      </c>
      <c r="M3261" s="154">
        <f>IFERROR(__xludf.DUMMYFUNCTION("""COMPUTED_VALUE"""),45800.0)</f>
        <v>45800</v>
      </c>
      <c r="N3261" s="198">
        <f>IFERROR(__xludf.DUMMYFUNCTION("""COMPUTED_VALUE"""),45891.0)</f>
        <v>45891</v>
      </c>
      <c r="O3261" s="152"/>
      <c r="P3261" s="190" t="str">
        <f>IFERROR(__xludf.DUMMYFUNCTION("""COMPUTED_VALUE"""),"否")</f>
        <v>否</v>
      </c>
      <c r="Q3261" s="190"/>
      <c r="R3261" s="152"/>
      <c r="S3261" s="152" t="str">
        <f>IFERROR(__xludf.DUMMYFUNCTION("""COMPUTED_VALUE"""),"20250421_太田出版_起承転転")</f>
        <v>20250421_太田出版_起承転転</v>
      </c>
      <c r="T3261" s="152" t="str">
        <f>IFERROR(__xludf.DUMMYFUNCTION("""COMPUTED_VALUE"""),"格納済み")</f>
        <v>格納済み</v>
      </c>
      <c r="U3261" s="9" t="str">
        <f>IFERROR(__xludf.DUMMYFUNCTION("""COMPUTED_VALUE"""),"Ⓒ雁須磨子／太田出版")</f>
        <v>Ⓒ雁須磨子／太田出版</v>
      </c>
      <c r="V3261" s="8" t="str">
        <f>IFERROR(__xludf.DUMMYFUNCTION("""COMPUTED_VALUE"""),"※本作品は『起承転転　単話版1』です。2024年10月にOhtaWebComicにて発表された『起承転転』の第1話「50歳の転機」の前半に該当します。
誰かの妻にもならず、誰かの母にもならず、
娘のまま50才になった。
50代、中年から初老へ。身体の不調、気力・体力・記憶力の減退、若者とのジェネレーションギャップ、親の介護問題、同世代の訃報……など “老い”のあれこれを突き付けられ、“加齢”に向き合う日々。
そんな50代に足を踏み入れた主人公・葉子の身に起こる「人生の新展開」。
仕事を辞"&amp;"めること。東京を離れること。何かをあきらめること。
――何者にもなれなかった私が、新しい自分と出会う物語。")</f>
        <v>※本作品は『起承転転　単話版1』です。2024年10月にOhtaWebComicにて発表された『起承転転』の第1話「50歳の転機」の前半に該当します。
誰かの妻にもならず、誰かの母にもならず、
娘のまま50才になった。
50代、中年から初老へ。身体の不調、気力・体力・記憶力の減退、若者とのジェネレーションギャップ、親の介護問題、同世代の訃報……など “老い”のあれこれを突き付けられ、“加齢”に向き合う日々。
そんな50代に足を踏み入れた主人公・葉子の身に起こる「人生の新展開」。
仕事を辞めること。東京を離れること。何かをあきらめること。
――何者にもなれなかった私が、新しい自分と出会う物語。</v>
      </c>
      <c r="W3261" s="8" t="str">
        <f>IFERROR(__xludf.DUMMYFUNCTION("""COMPUTED_VALUE"""),"#REF!")</f>
        <v>#REF!</v>
      </c>
      <c r="X3261" s="8" t="str">
        <f>IFERROR(__xludf.DUMMYFUNCTION("""COMPUTED_VALUE"""),"有")</f>
        <v>有</v>
      </c>
      <c r="Y3261" s="8" t="str">
        <f>IFERROR(__xludf.DUMMYFUNCTION("""COMPUTED_VALUE"""),"2025/8/22まで1~2巻無料")</f>
        <v>2025/8/22まで1~2巻無料</v>
      </c>
      <c r="Z3261" s="7"/>
      <c r="AA3261" s="7"/>
      <c r="AB3261" s="7"/>
    </row>
    <row r="3262" ht="15.75" customHeight="1">
      <c r="A3262" s="153">
        <f>IFERROR(__xludf.DUMMYFUNCTION("""COMPUTED_VALUE"""),5517.0)</f>
        <v>5517</v>
      </c>
      <c r="B3262" s="152" t="str">
        <f>IFERROR(__xludf.DUMMYFUNCTION("""COMPUTED_VALUE"""),"確定")</f>
        <v>確定</v>
      </c>
      <c r="C3262" s="154">
        <f>IFERROR(__xludf.DUMMYFUNCTION("""COMPUTED_VALUE"""),45768.0)</f>
        <v>45768</v>
      </c>
      <c r="D3262" s="154">
        <f>IFERROR(__xludf.DUMMYFUNCTION("""COMPUTED_VALUE"""),45769.0)</f>
        <v>45769</v>
      </c>
      <c r="E3262" s="153">
        <f>IFERROR(__xludf.DUMMYFUNCTION("""COMPUTED_VALUE"""),265326.0)</f>
        <v>265326</v>
      </c>
      <c r="F3262" s="152" t="str">
        <f>IFERROR(__xludf.DUMMYFUNCTION("""COMPUTED_VALUE"""),"大好きな先生のアシはとんでも案件でした")</f>
        <v>大好きな先生のアシはとんでも案件でした</v>
      </c>
      <c r="G3262" s="152" t="str">
        <f>IFERROR(__xludf.DUMMYFUNCTION("""COMPUTED_VALUE"""),"1～2")</f>
        <v>1～2</v>
      </c>
      <c r="H3262" s="152" t="str">
        <f>IFERROR(__xludf.DUMMYFUNCTION("""COMPUTED_VALUE"""),"トリメ")</f>
        <v>トリメ</v>
      </c>
      <c r="I3262" s="152" t="str">
        <f>IFERROR(__xludf.DUMMYFUNCTION("""COMPUTED_VALUE"""),"BLマンガ")</f>
        <v>BLマンガ</v>
      </c>
      <c r="J3262" s="157"/>
      <c r="K3262" s="152" t="str">
        <f>IFERROR(__xludf.DUMMYFUNCTION("""COMPUTED_VALUE"""),"Ficus")</f>
        <v>Ficus</v>
      </c>
      <c r="L3262" s="152" t="str">
        <f>IFERROR(__xludf.DUMMYFUNCTION("""COMPUTED_VALUE"""),"シーモアコミックス")</f>
        <v>シーモアコミックス</v>
      </c>
      <c r="M3262" s="154">
        <f>IFERROR(__xludf.DUMMYFUNCTION("""COMPUTED_VALUE"""),45801.0)</f>
        <v>45801</v>
      </c>
      <c r="N3262" s="199">
        <f>IFERROR(__xludf.DUMMYFUNCTION("""COMPUTED_VALUE"""),45862.0)</f>
        <v>45862</v>
      </c>
      <c r="O3262" s="152"/>
      <c r="P3262" s="190" t="str">
        <f>IFERROR(__xludf.DUMMYFUNCTION("""COMPUTED_VALUE"""),"可")</f>
        <v>可</v>
      </c>
      <c r="Q3262" s="190"/>
      <c r="R3262" s="152"/>
      <c r="S3262" s="152" t="str">
        <f>IFERROR(__xludf.DUMMYFUNCTION("""COMPUTED_VALUE"""),"20250421_シーモアコミックス_大好きな先生のアシはとんでも案件でした")</f>
        <v>20250421_シーモアコミックス_大好きな先生のアシはとんでも案件でした</v>
      </c>
      <c r="T3262" s="152" t="str">
        <f>IFERROR(__xludf.DUMMYFUNCTION("""COMPUTED_VALUE"""),"格納済み")</f>
        <v>格納済み</v>
      </c>
      <c r="U3262" s="9" t="str">
        <f>IFERROR(__xludf.DUMMYFUNCTION("""COMPUTED_VALUE"""),"Ⓒトリメ/シーモアコミックス")</f>
        <v>Ⓒトリメ/シーモアコミックス</v>
      </c>
      <c r="V3262" s="8" t="str">
        <f>IFERROR(__xludf.DUMMYFUNCTION("""COMPUTED_VALUE"""),"先が読めない展開、キャラクターのリアルな感情…遊都(ゆうと)ぴあ先生は天才だ！ 腐男子の馬場(ばんば)は、先生に心酔するあまりアシスタントに応募してしまう。無事採用され、憧れの先生とドキドキ初対面――と思いきや、え…先生が玄関先でしゃぶられてる…!? フリーズする馬場をよそに、これは創作作業の一環だと言い放つ先生。
「俺さ、体が満たされればインスピレーションが降りてくるんだよね」わけがわからないまま気付けば押し倒されて…。先生、もしかしてコレがアシスタントの仕事ですか!?
貞操観念ゆるめのイケメン漫画"&amp;"家×一途な腐男子の恋愛シミュレーション。【フィカス】")</f>
        <v>先が読めない展開、キャラクターのリアルな感情…遊都(ゆうと)ぴあ先生は天才だ！ 腐男子の馬場(ばんば)は、先生に心酔するあまりアシスタントに応募してしまう。無事採用され、憧れの先生とドキドキ初対面――と思いきや、え…先生が玄関先でしゃぶられてる…!? フリーズする馬場をよそに、これは創作作業の一環だと言い放つ先生。
「俺さ、体が満たされればインスピレーションが降りてくるんだよね」わけがわからないまま気付けば押し倒されて…。先生、もしかしてコレがアシスタントの仕事ですか!?
貞操観念ゆるめのイケメン漫画家×一途な腐男子の恋愛シミュレーション。【フィカス】</v>
      </c>
      <c r="W3262" s="8" t="str">
        <f>IFERROR(__xludf.DUMMYFUNCTION("""COMPUTED_VALUE"""),"#REF!")</f>
        <v>#REF!</v>
      </c>
      <c r="X3262" s="8" t="str">
        <f>IFERROR(__xludf.DUMMYFUNCTION("""COMPUTED_VALUE"""),"有")</f>
        <v>有</v>
      </c>
      <c r="Y3262" s="8" t="str">
        <f>IFERROR(__xludf.DUMMYFUNCTION("""COMPUTED_VALUE"""),"P16まで")</f>
        <v>P16まで</v>
      </c>
      <c r="Z3262" s="7"/>
      <c r="AA3262" s="7"/>
      <c r="AB3262" s="7"/>
    </row>
    <row r="3263" ht="15.75" customHeight="1">
      <c r="A3263" s="153">
        <f>IFERROR(__xludf.DUMMYFUNCTION("""COMPUTED_VALUE"""),5518.0)</f>
        <v>5518</v>
      </c>
      <c r="B3263" s="152" t="str">
        <f>IFERROR(__xludf.DUMMYFUNCTION("""COMPUTED_VALUE"""),"確定")</f>
        <v>確定</v>
      </c>
      <c r="C3263" s="154">
        <f>IFERROR(__xludf.DUMMYFUNCTION("""COMPUTED_VALUE"""),45768.0)</f>
        <v>45768</v>
      </c>
      <c r="D3263" s="154">
        <f>IFERROR(__xludf.DUMMYFUNCTION("""COMPUTED_VALUE"""),45769.0)</f>
        <v>45769</v>
      </c>
      <c r="E3263" s="153">
        <f>IFERROR(__xludf.DUMMYFUNCTION("""COMPUTED_VALUE"""),290353.0)</f>
        <v>290353</v>
      </c>
      <c r="F3263" s="152" t="str">
        <f>IFERROR(__xludf.DUMMYFUNCTION("""COMPUTED_VALUE"""),"吹きこぼれの春")</f>
        <v>吹きこぼれの春</v>
      </c>
      <c r="G3263" s="152" t="str">
        <f>IFERROR(__xludf.DUMMYFUNCTION("""COMPUTED_VALUE"""),"1～3")</f>
        <v>1～3</v>
      </c>
      <c r="H3263" s="152" t="str">
        <f>IFERROR(__xludf.DUMMYFUNCTION("""COMPUTED_VALUE"""),"鳴海涼")</f>
        <v>鳴海涼</v>
      </c>
      <c r="I3263" s="152" t="str">
        <f>IFERROR(__xludf.DUMMYFUNCTION("""COMPUTED_VALUE"""),"女性マンガ")</f>
        <v>女性マンガ</v>
      </c>
      <c r="J3263" s="157"/>
      <c r="K3263" s="152" t="str">
        <f>IFERROR(__xludf.DUMMYFUNCTION("""COMPUTED_VALUE"""),"恋するソワレ＋,恋するソワレ")</f>
        <v>恋するソワレ＋,恋するソワレ</v>
      </c>
      <c r="L3263" s="152" t="str">
        <f>IFERROR(__xludf.DUMMYFUNCTION("""COMPUTED_VALUE"""),"シーモアコミックス")</f>
        <v>シーモアコミックス</v>
      </c>
      <c r="M3263" s="154">
        <f>IFERROR(__xludf.DUMMYFUNCTION("""COMPUTED_VALUE"""),45801.0)</f>
        <v>45801</v>
      </c>
      <c r="N3263" s="199">
        <f>IFERROR(__xludf.DUMMYFUNCTION("""COMPUTED_VALUE"""),2958465.7083333335)</f>
        <v>2958465.708</v>
      </c>
      <c r="O3263" s="152"/>
      <c r="P3263" s="190" t="str">
        <f>IFERROR(__xludf.DUMMYFUNCTION("""COMPUTED_VALUE"""),"可")</f>
        <v>可</v>
      </c>
      <c r="Q3263" s="190"/>
      <c r="R3263" s="152"/>
      <c r="S3263" s="152" t="str">
        <f>IFERROR(__xludf.DUMMYFUNCTION("""COMPUTED_VALUE"""),"20250421_シーモアコミックス_吹きこぼれの春")</f>
        <v>20250421_シーモアコミックス_吹きこぼれの春</v>
      </c>
      <c r="T3263" s="152" t="str">
        <f>IFERROR(__xludf.DUMMYFUNCTION("""COMPUTED_VALUE"""),"格納済み")</f>
        <v>格納済み</v>
      </c>
      <c r="U3263" s="9" t="str">
        <f>IFERROR(__xludf.DUMMYFUNCTION("""COMPUTED_VALUE"""),"Ⓒ 鳴海涼/シーモアコミックス")</f>
        <v>Ⓒ 鳴海涼/シーモアコミックス</v>
      </c>
      <c r="V3263" s="8" t="str">
        <f>IFERROR(__xludf.DUMMYFUNCTION("""COMPUTED_VALUE"""),"28歳、未婚でシングルマザー。愛する息子は…不登校。病院勤務の主人公・綿矢けいは、世間から向けられた同情の視線が痛い。学校に馴染めない息子のことで手一杯で、恋愛なんてする暇もない。そんな“訳あり”なけいの前に、女嫌いな医師・上条渚(40)が現れる。年齢が一回りも離れているうえに、はなから気が合わない二人は、絶対に惹かれることはない…はずだったのに？上条からのある提案で、二人の関係が動き出し…。愛だの恋だのに興味はない、今の生き方に後悔もない。でも、温もりがほしい夜はある──。男に冷めたシングルマザー×女嫌"&amp;"いな医師の、いびつで熱い年の差ラブ。【恋するソワレ＋】")</f>
        <v>28歳、未婚でシングルマザー。愛する息子は…不登校。病院勤務の主人公・綿矢けいは、世間から向けられた同情の視線が痛い。学校に馴染めない息子のことで手一杯で、恋愛なんてする暇もない。そんな“訳あり”なけいの前に、女嫌いな医師・上条渚(40)が現れる。年齢が一回りも離れているうえに、はなから気が合わない二人は、絶対に惹かれることはない…はずだったのに？上条からのある提案で、二人の関係が動き出し…。愛だの恋だのに興味はない、今の生き方に後悔もない。でも、温もりがほしい夜はある──。男に冷めたシングルマザー×女嫌いな医師の、いびつで熱い年の差ラブ。【恋するソワレ＋】</v>
      </c>
      <c r="W3263" s="8" t="str">
        <f>IFERROR(__xludf.DUMMYFUNCTION("""COMPUTED_VALUE"""),"#REF!")</f>
        <v>#REF!</v>
      </c>
      <c r="X3263" s="8" t="str">
        <f>IFERROR(__xludf.DUMMYFUNCTION("""COMPUTED_VALUE"""),"有")</f>
        <v>有</v>
      </c>
      <c r="Y3263" s="8" t="str">
        <f>IFERROR(__xludf.DUMMYFUNCTION("""COMPUTED_VALUE"""),"2025/6/27まで1巻無料")</f>
        <v>2025/6/27まで1巻無料</v>
      </c>
      <c r="Z3263" s="7"/>
      <c r="AA3263" s="7"/>
      <c r="AB3263" s="7"/>
    </row>
    <row r="3264" ht="15.75" customHeight="1">
      <c r="A3264" s="153">
        <f>IFERROR(__xludf.DUMMYFUNCTION("""COMPUTED_VALUE"""),5519.0)</f>
        <v>5519</v>
      </c>
      <c r="B3264" s="152" t="str">
        <f>IFERROR(__xludf.DUMMYFUNCTION("""COMPUTED_VALUE"""),"確定")</f>
        <v>確定</v>
      </c>
      <c r="C3264" s="154">
        <f>IFERROR(__xludf.DUMMYFUNCTION("""COMPUTED_VALUE"""),45768.0)</f>
        <v>45768</v>
      </c>
      <c r="D3264" s="154">
        <f>IFERROR(__xludf.DUMMYFUNCTION("""COMPUTED_VALUE"""),45769.0)</f>
        <v>45769</v>
      </c>
      <c r="E3264" s="157">
        <f>IFERROR(__xludf.DUMMYFUNCTION("""COMPUTED_VALUE"""),328119.0)</f>
        <v>328119</v>
      </c>
      <c r="F3264" s="152" t="str">
        <f>IFERROR(__xludf.DUMMYFUNCTION("""COMPUTED_VALUE"""),"凸凹×コミュニケーション")</f>
        <v>凸凹×コミュニケーション</v>
      </c>
      <c r="G3264" s="153">
        <f>IFERROR(__xludf.DUMMYFUNCTION("""COMPUTED_VALUE"""),1.0)</f>
        <v>1</v>
      </c>
      <c r="H3264" s="152" t="str">
        <f>IFERROR(__xludf.DUMMYFUNCTION("""COMPUTED_VALUE"""),"芽沢めい")</f>
        <v>芽沢めい</v>
      </c>
      <c r="I3264" s="152" t="str">
        <f>IFERROR(__xludf.DUMMYFUNCTION("""COMPUTED_VALUE"""),"BL")</f>
        <v>BL</v>
      </c>
      <c r="J3264" s="157"/>
      <c r="K3264" s="157"/>
      <c r="L3264" s="152" t="str">
        <f>IFERROR(__xludf.DUMMYFUNCTION("""COMPUTED_VALUE"""),"リブレ")</f>
        <v>リブレ</v>
      </c>
      <c r="M3264" s="154">
        <f>IFERROR(__xludf.DUMMYFUNCTION("""COMPUTED_VALUE"""),45850.0)</f>
        <v>45850</v>
      </c>
      <c r="N3264" s="199">
        <f>IFERROR(__xludf.DUMMYFUNCTION("""COMPUTED_VALUE"""),45880.0)</f>
        <v>45880</v>
      </c>
      <c r="O3264" s="152"/>
      <c r="P3264" s="190" t="str">
        <f>IFERROR(__xludf.DUMMYFUNCTION("""COMPUTED_VALUE"""),"可")</f>
        <v>可</v>
      </c>
      <c r="Q3264" s="190"/>
      <c r="R3264" s="152"/>
      <c r="S3264" s="152" t="str">
        <f>IFERROR(__xludf.DUMMYFUNCTION("""COMPUTED_VALUE"""),"20250421_リブレ_凸凹×コミュニケーション")</f>
        <v>20250421_リブレ_凸凹×コミュニケーション</v>
      </c>
      <c r="T3264" s="152" t="str">
        <f>IFERROR(__xludf.DUMMYFUNCTION("""COMPUTED_VALUE"""),"格納済み")</f>
        <v>格納済み</v>
      </c>
      <c r="U3264" s="9" t="str">
        <f>IFERROR(__xludf.DUMMYFUNCTION("""COMPUTED_VALUE"""),"Ⓒ芽沢めい/libre")</f>
        <v>Ⓒ芽沢めい/libre</v>
      </c>
      <c r="V3264" s="8"/>
      <c r="W3264" s="8"/>
      <c r="X3264" s="8" t="str">
        <f>IFERROR(__xludf.DUMMYFUNCTION("""COMPUTED_VALUE"""),"有")</f>
        <v>有</v>
      </c>
      <c r="Y3264" s="8" t="str">
        <f>IFERROR(__xludf.DUMMYFUNCTION("""COMPUTED_VALUE"""),"P31まで")</f>
        <v>P31まで</v>
      </c>
      <c r="Z3264" s="7"/>
      <c r="AA3264" s="7"/>
      <c r="AB3264" s="7"/>
    </row>
    <row r="3265" ht="15.75" customHeight="1">
      <c r="A3265" s="153">
        <f>IFERROR(__xludf.DUMMYFUNCTION("""COMPUTED_VALUE"""),4929.0)</f>
        <v>4929</v>
      </c>
      <c r="B3265" s="152" t="str">
        <f>IFERROR(__xludf.DUMMYFUNCTION("""COMPUTED_VALUE"""),"確定")</f>
        <v>確定</v>
      </c>
      <c r="C3265" s="154">
        <f>IFERROR(__xludf.DUMMYFUNCTION("""COMPUTED_VALUE"""),45685.0)</f>
        <v>45685</v>
      </c>
      <c r="D3265" s="154">
        <f>IFERROR(__xludf.DUMMYFUNCTION("""COMPUTED_VALUE"""),45775.0)</f>
        <v>45775</v>
      </c>
      <c r="E3265" s="157">
        <f>IFERROR(__xludf.DUMMYFUNCTION("""COMPUTED_VALUE"""),324256.0)</f>
        <v>324256</v>
      </c>
      <c r="F3265" s="152" t="str">
        <f>IFERROR(__xludf.DUMMYFUNCTION("""COMPUTED_VALUE"""),"会いに行った裏アカ男子が大嫌いな婚約者で詰んだ。")</f>
        <v>会いに行った裏アカ男子が大嫌いな婚約者で詰んだ。</v>
      </c>
      <c r="G3265" s="152" t="str">
        <f>IFERROR(__xludf.DUMMYFUNCTION("""COMPUTED_VALUE"""),"1～4")</f>
        <v>1～4</v>
      </c>
      <c r="H3265" s="152" t="str">
        <f>IFERROR(__xludf.DUMMYFUNCTION("""COMPUTED_VALUE"""),"夏尾／麻生ぶり")</f>
        <v>夏尾／麻生ぶり</v>
      </c>
      <c r="I3265" s="152" t="str">
        <f>IFERROR(__xludf.DUMMYFUNCTION("""COMPUTED_VALUE"""),"TL")</f>
        <v>TL</v>
      </c>
      <c r="J3265" s="157"/>
      <c r="K3265" s="157"/>
      <c r="L3265" s="152" t="str">
        <f>IFERROR(__xludf.DUMMYFUNCTION("""COMPUTED_VALUE"""),"MATA出版")</f>
        <v>MATA出版</v>
      </c>
      <c r="M3265" s="154">
        <f>IFERROR(__xludf.DUMMYFUNCTION("""COMPUTED_VALUE"""),45842.0)</f>
        <v>45842</v>
      </c>
      <c r="N3265" s="199">
        <f>IFERROR(__xludf.DUMMYFUNCTION("""COMPUTED_VALUE"""),45933.0)</f>
        <v>45933</v>
      </c>
      <c r="O3265" s="152"/>
      <c r="P3265" s="190" t="str">
        <f>IFERROR(__xludf.DUMMYFUNCTION("""COMPUTED_VALUE"""),"可")</f>
        <v>可</v>
      </c>
      <c r="Q3265" s="152"/>
      <c r="R3265" s="152" t="str">
        <f>IFERROR(__xludf.DUMMYFUNCTION("""COMPUTED_VALUE"""),"コミットOK")</f>
        <v>コミットOK</v>
      </c>
      <c r="S3265" s="152" t="str">
        <f>IFERROR(__xludf.DUMMYFUNCTION("""COMPUTED_VALUE"""),"20250418_1LDK_裏アカ男子")</f>
        <v>20250418_1LDK_裏アカ男子</v>
      </c>
      <c r="T3265" s="152" t="str">
        <f>IFERROR(__xludf.DUMMYFUNCTION("""COMPUTED_VALUE"""),"格納済み")</f>
        <v>格納済み</v>
      </c>
      <c r="U3265" s="9" t="str">
        <f>IFERROR(__xludf.DUMMYFUNCTION("""COMPUTED_VALUE"""),"Ⓒ夏尾／麻生ぶり／chucopero")</f>
        <v>Ⓒ夏尾／麻生ぶり／chucopero</v>
      </c>
      <c r="V3265" s="8"/>
      <c r="W3265" s="8"/>
      <c r="X3265" s="8" t="str">
        <f>IFERROR(__xludf.DUMMYFUNCTION("""COMPUTED_VALUE"""),"有")</f>
        <v>有</v>
      </c>
      <c r="Y3265" s="8" t="str">
        <f>IFERROR(__xludf.DUMMYFUNCTION("""COMPUTED_VALUE"""),"P13まで")</f>
        <v>P13まで</v>
      </c>
      <c r="Z3265" s="7"/>
      <c r="AA3265" s="7"/>
      <c r="AB3265" s="7"/>
    </row>
    <row r="3266" ht="15.75" customHeight="1">
      <c r="A3266" s="153">
        <f>IFERROR(__xludf.DUMMYFUNCTION("""COMPUTED_VALUE"""),4966.0)</f>
        <v>4966</v>
      </c>
      <c r="B3266" s="152" t="str">
        <f>IFERROR(__xludf.DUMMYFUNCTION("""COMPUTED_VALUE"""),"確定")</f>
        <v>確定</v>
      </c>
      <c r="C3266" s="154">
        <f>IFERROR(__xludf.DUMMYFUNCTION("""COMPUTED_VALUE"""),45693.0)</f>
        <v>45693</v>
      </c>
      <c r="D3266" s="154">
        <f>IFERROR(__xludf.DUMMYFUNCTION("""COMPUTED_VALUE"""),45775.0)</f>
        <v>45775</v>
      </c>
      <c r="E3266" s="158">
        <f>IFERROR(__xludf.DUMMYFUNCTION("""COMPUTED_VALUE"""),323033.0)</f>
        <v>323033</v>
      </c>
      <c r="F3266" s="159" t="str">
        <f>IFERROR(__xludf.DUMMYFUNCTION("""COMPUTED_VALUE"""),"仮面の吸血鬼は転生花嫁を弄ぶ（単話版）")</f>
        <v>仮面の吸血鬼は転生花嫁を弄ぶ（単話版）</v>
      </c>
      <c r="G3266" s="152" t="str">
        <f>IFERROR(__xludf.DUMMYFUNCTION("""COMPUTED_VALUE"""),"1～3")</f>
        <v>1～3</v>
      </c>
      <c r="H3266" s="152" t="str">
        <f>IFERROR(__xludf.DUMMYFUNCTION("""COMPUTED_VALUE"""),"三上骨丸")</f>
        <v>三上骨丸</v>
      </c>
      <c r="I3266" s="161" t="str">
        <f>IFERROR(__xludf.DUMMYFUNCTION("""COMPUTED_VALUE"""),"少女")</f>
        <v>少女</v>
      </c>
      <c r="J3266" s="157"/>
      <c r="K3266" s="157"/>
      <c r="L3266" s="152" t="str">
        <f>IFERROR(__xludf.DUMMYFUNCTION("""COMPUTED_VALUE"""),"コンパス")</f>
        <v>コンパス</v>
      </c>
      <c r="M3266" s="154">
        <f>IFERROR(__xludf.DUMMYFUNCTION("""COMPUTED_VALUE"""),45801.0)</f>
        <v>45801</v>
      </c>
      <c r="N3266" s="154">
        <f>IFERROR(__xludf.DUMMYFUNCTION("""COMPUTED_VALUE"""),45891.0)</f>
        <v>45891</v>
      </c>
      <c r="O3266" s="152"/>
      <c r="P3266" s="152" t="str">
        <f>IFERROR(__xludf.DUMMYFUNCTION("""COMPUTED_VALUE"""),"可")</f>
        <v>可</v>
      </c>
      <c r="Q3266" s="152" t="str">
        <f>IFERROR(__xludf.DUMMYFUNCTION("""COMPUTED_VALUE"""),"ジャンル：異世界転生+異種結婚&lt;BR&gt;類似作品：「魔法使いの嫁」「異形頭さんとニンゲンちゃん」&lt;BR&gt;作品紹介：ヒロインは不慮の交通事故で異世界へ転生。&lt;BR&gt;転生早々、命の危機に見舞われたその時、彼女を助けてくれたのは異形のヒーロー。&lt;BR&gt;助けた後、「僕の花嫁になってほしい」と突然言われ…!?&lt;BR&gt;話数：ひとまず10話（合本版2巻）予定")</f>
        <v>ジャンル：異世界転生+異種結婚&lt;BR&gt;類似作品：「魔法使いの嫁」「異形頭さんとニンゲンちゃん」&lt;BR&gt;作品紹介：ヒロインは不慮の交通事故で異世界へ転生。&lt;BR&gt;転生早々、命の危機に見舞われたその時、彼女を助けてくれたのは異形のヒーロー。&lt;BR&gt;助けた後、「僕の花嫁になってほしい」と突然言われ…!?&lt;BR&gt;話数：ひとまず10話（合本版2巻）予定</v>
      </c>
      <c r="R3266" s="152" t="str">
        <f>IFERROR(__xludf.DUMMYFUNCTION("""COMPUTED_VALUE"""),"コミットOK")</f>
        <v>コミットOK</v>
      </c>
      <c r="S3266" s="152" t="str">
        <f>IFERROR(__xludf.DUMMYFUNCTION("""COMPUTED_VALUE"""),"20250425_コンパス_仮面の吸血鬼は転生花嫁を弄ぶ")</f>
        <v>20250425_コンパス_仮面の吸血鬼は転生花嫁を弄ぶ</v>
      </c>
      <c r="T3266" s="152" t="str">
        <f>IFERROR(__xludf.DUMMYFUNCTION("""COMPUTED_VALUE"""),"格納済み")</f>
        <v>格納済み</v>
      </c>
      <c r="U3266" s="15" t="str">
        <f>IFERROR(__xludf.DUMMYFUNCTION("""COMPUTED_VALUE"""),"Ⓒ三上骨丸／コンパス")</f>
        <v>Ⓒ三上骨丸／コンパス</v>
      </c>
      <c r="V3266" s="8" t="str">
        <f>IFERROR(__xludf.DUMMYFUNCTION("""COMPUTED_VALUE"""),"「ああ 私の人生 最期まで不幸だったな」
報われない人生に終止符を打ち、転生を果たしたちかげ。異世界で助けてくれたイケメンが実はシリアルキラーで、相変わらずの報われなさに虚しさを覚えつつ果敢に立ち向かうも万事休す……と思ったら、仮面の吸血鬼ストリクが救ってくれて…!? しかもちかげを見初めたストリクからいきなりのプロポーズ！ 転生の理由を神の「呪い」だと話すストリクの思惑とは――？")</f>
        <v>「ああ 私の人生 最期まで不幸だったな」
報われない人生に終止符を打ち、転生を果たしたちかげ。異世界で助けてくれたイケメンが実はシリアルキラーで、相変わらずの報われなさに虚しさを覚えつつ果敢に立ち向かうも万事休す……と思ったら、仮面の吸血鬼ストリクが救ってくれて…!? しかもちかげを見初めたストリクからいきなりのプロポーズ！ 転生の理由を神の「呪い」だと話すストリクの思惑とは――？</v>
      </c>
      <c r="W3266" s="14"/>
      <c r="X3266" s="14" t="str">
        <f>IFERROR(__xludf.DUMMYFUNCTION("""COMPUTED_VALUE"""),"有")</f>
        <v>有</v>
      </c>
      <c r="Y3266" s="8" t="str">
        <f>IFERROR(__xludf.DUMMYFUNCTION("""COMPUTED_VALUE"""),"P22まで")</f>
        <v>P22まで</v>
      </c>
      <c r="Z3266" s="7"/>
      <c r="AA3266" s="7"/>
      <c r="AB3266" s="7"/>
    </row>
    <row r="3267" ht="15.75" customHeight="1">
      <c r="A3267" s="153">
        <f>IFERROR(__xludf.DUMMYFUNCTION("""COMPUTED_VALUE"""),4974.0)</f>
        <v>4974</v>
      </c>
      <c r="B3267" s="152" t="str">
        <f>IFERROR(__xludf.DUMMYFUNCTION("""COMPUTED_VALUE"""),"確定")</f>
        <v>確定</v>
      </c>
      <c r="C3267" s="154">
        <f>IFERROR(__xludf.DUMMYFUNCTION("""COMPUTED_VALUE"""),45694.0)</f>
        <v>45694</v>
      </c>
      <c r="D3267" s="154">
        <f>IFERROR(__xludf.DUMMYFUNCTION("""COMPUTED_VALUE"""),45777.0)</f>
        <v>45777</v>
      </c>
      <c r="E3267" s="158">
        <f>IFERROR(__xludf.DUMMYFUNCTION("""COMPUTED_VALUE"""),322438.0)</f>
        <v>322438</v>
      </c>
      <c r="F3267" s="159" t="str">
        <f>IFERROR(__xludf.DUMMYFUNCTION("""COMPUTED_VALUE"""),"虐げられ聖女は深淵の魔王に溺愛される【分冊版】")</f>
        <v>虐げられ聖女は深淵の魔王に溺愛される【分冊版】</v>
      </c>
      <c r="G3267" s="152" t="str">
        <f>IFERROR(__xludf.DUMMYFUNCTION("""COMPUTED_VALUE"""),"1～3")</f>
        <v>1～3</v>
      </c>
      <c r="H3267" s="161" t="str">
        <f>IFERROR(__xludf.DUMMYFUNCTION("""COMPUTED_VALUE"""),"清水セイカ コンノ 朝比奈萌子")</f>
        <v>清水セイカ コンノ 朝比奈萌子</v>
      </c>
      <c r="I3267" s="152" t="str">
        <f>IFERROR(__xludf.DUMMYFUNCTION("""COMPUTED_VALUE"""),"女性")</f>
        <v>女性</v>
      </c>
      <c r="J3267" s="157"/>
      <c r="K3267" s="157"/>
      <c r="L3267" s="152" t="str">
        <f>IFERROR(__xludf.DUMMYFUNCTION("""COMPUTED_VALUE"""),"Amazia")</f>
        <v>Amazia</v>
      </c>
      <c r="M3267" s="154">
        <f>IFERROR(__xludf.DUMMYFUNCTION("""COMPUTED_VALUE"""),45792.0)</f>
        <v>45792</v>
      </c>
      <c r="N3267" s="198">
        <f>IFERROR(__xludf.DUMMYFUNCTION("""COMPUTED_VALUE"""),45883.0)</f>
        <v>45883</v>
      </c>
      <c r="O3267" s="152"/>
      <c r="P3267" s="152" t="str">
        <f>IFERROR(__xludf.DUMMYFUNCTION("""COMPUTED_VALUE"""),"否")</f>
        <v>否</v>
      </c>
      <c r="Q3267" s="152" t="str">
        <f>IFERROR(__xludf.DUMMYFUNCTION("""COMPUTED_VALUE"""),"4話の素材まで格納しておりますが、1-3話の素材を使用願います。")</f>
        <v>4話の素材まで格納しておりますが、1-3話の素材を使用願います。</v>
      </c>
      <c r="R3267" s="152" t="str">
        <f>IFERROR(__xludf.DUMMYFUNCTION("""COMPUTED_VALUE"""),"コミットNG")</f>
        <v>コミットNG</v>
      </c>
      <c r="S3267" s="152" t="str">
        <f>IFERROR(__xludf.DUMMYFUNCTION("""COMPUTED_VALUE"""),"20250424_Amazia_虐げられ聖女")</f>
        <v>20250424_Amazia_虐げられ聖女</v>
      </c>
      <c r="T3267" s="152" t="str">
        <f>IFERROR(__xludf.DUMMYFUNCTION("""COMPUTED_VALUE"""),"格納済み")</f>
        <v>格納済み</v>
      </c>
      <c r="U3267" s="15" t="str">
        <f>IFERROR(__xludf.DUMMYFUNCTION("""COMPUTED_VALUE"""),"Ⓒコンノ/清水セイカ/everystar/Amazia,inc")</f>
        <v>Ⓒコンノ/清水セイカ/everystar/Amazia,inc</v>
      </c>
      <c r="V3267" s="8" t="str">
        <f>IFERROR(__xludf.DUMMYFUNCTION("""COMPUTED_VALUE"""),"聖女として治癒の力を持つイザベラは「国の為に生き国の為に死ね」と洗脳され、その人生を国に捧げていた。
あるとき傷を負った魔物『オーロ』と出会い、一緒に暮らすようになる。自由を制限されていた彼女にとって、オーロとの日々は彼女の人生で初めて感じた幸せなひと時だった。
しかし、大神官に怪しまれオーロを逃がすことになり、イザベラは心の支えを失い、またもや聖女としてただ生きる日々に戻ってしまう。
ある日、いつものように聖女として奉仕をしていると、目の前に魔物を束ねる深淵の王アザゼルが現れ、誘拐されてしまう。殺"&amp;"されると思ったイザベラだが、想像もしていなかった溺愛生活が始まり――！？
俺様魔王と幸せを知らない聖女の不器用な恋の物語！")</f>
        <v>聖女として治癒の力を持つイザベラは「国の為に生き国の為に死ね」と洗脳され、その人生を国に捧げていた。
あるとき傷を負った魔物『オーロ』と出会い、一緒に暮らすようになる。自由を制限されていた彼女にとって、オーロとの日々は彼女の人生で初めて感じた幸せなひと時だった。
しかし、大神官に怪しまれオーロを逃がすことになり、イザベラは心の支えを失い、またもや聖女としてただ生きる日々に戻ってしまう。
ある日、いつものように聖女として奉仕をしていると、目の前に魔物を束ねる深淵の王アザゼルが現れ、誘拐されてしまう。殺されると思ったイザベラだが、想像もしていなかった溺愛生活が始まり――！？
俺様魔王と幸せを知らない聖女の不器用な恋の物語！</v>
      </c>
      <c r="W3267" s="14"/>
      <c r="X3267" s="14" t="str">
        <f>IFERROR(__xludf.DUMMYFUNCTION("""COMPUTED_VALUE"""),"有")</f>
        <v>有</v>
      </c>
      <c r="Y3267" s="8" t="str">
        <f>IFERROR(__xludf.DUMMYFUNCTION("""COMPUTED_VALUE"""),"2025/8/14まで1巻無料")</f>
        <v>2025/8/14まで1巻無料</v>
      </c>
      <c r="Z3267" s="7"/>
      <c r="AA3267" s="7"/>
      <c r="AB3267" s="7"/>
    </row>
    <row r="3268" ht="15.75" customHeight="1">
      <c r="A3268" s="153">
        <f>IFERROR(__xludf.DUMMYFUNCTION("""COMPUTED_VALUE"""),5016.0)</f>
        <v>5016</v>
      </c>
      <c r="B3268" s="152" t="str">
        <f>IFERROR(__xludf.DUMMYFUNCTION("""COMPUTED_VALUE"""),"確定")</f>
        <v>確定</v>
      </c>
      <c r="C3268" s="154">
        <f>IFERROR(__xludf.DUMMYFUNCTION("""COMPUTED_VALUE"""),45701.0)</f>
        <v>45701</v>
      </c>
      <c r="D3268" s="154">
        <f>IFERROR(__xludf.DUMMYFUNCTION("""COMPUTED_VALUE"""),45775.0)</f>
        <v>45775</v>
      </c>
      <c r="E3268" s="157">
        <f>IFERROR(__xludf.DUMMYFUNCTION("""COMPUTED_VALUE"""),326632.0)</f>
        <v>326632</v>
      </c>
      <c r="F3268" s="152" t="str">
        <f>IFERROR(__xludf.DUMMYFUNCTION("""COMPUTED_VALUE"""),"怪物王子と毒草使いの姫君【分冊版】")</f>
        <v>怪物王子と毒草使いの姫君【分冊版】</v>
      </c>
      <c r="G3268" s="152" t="str">
        <f>IFERROR(__xludf.DUMMYFUNCTION("""COMPUTED_VALUE"""),"1～3")</f>
        <v>1～3</v>
      </c>
      <c r="H3268" s="152" t="str">
        <f>IFERROR(__xludf.DUMMYFUNCTION("""COMPUTED_VALUE"""),"青鹿毛スバル")</f>
        <v>青鹿毛スバル</v>
      </c>
      <c r="I3268" s="152" t="str">
        <f>IFERROR(__xludf.DUMMYFUNCTION("""COMPUTED_VALUE"""),"女性")</f>
        <v>女性</v>
      </c>
      <c r="J3268" s="157"/>
      <c r="K3268" s="157"/>
      <c r="L3268" s="152" t="str">
        <f>IFERROR(__xludf.DUMMYFUNCTION("""COMPUTED_VALUE"""),"ハーパーコリンズ・ジャパン")</f>
        <v>ハーパーコリンズ・ジャパン</v>
      </c>
      <c r="M3268" s="154">
        <f>IFERROR(__xludf.DUMMYFUNCTION("""COMPUTED_VALUE"""),45831.0)</f>
        <v>45831</v>
      </c>
      <c r="N3268" s="154">
        <f>IFERROR(__xludf.DUMMYFUNCTION("""COMPUTED_VALUE"""),45890.0)</f>
        <v>45890</v>
      </c>
      <c r="O3268" s="152"/>
      <c r="P3268" s="190" t="str">
        <f>IFERROR(__xludf.DUMMYFUNCTION("""COMPUTED_VALUE"""),"可")</f>
        <v>可</v>
      </c>
      <c r="Q3268" s="152"/>
      <c r="R3268" s="152" t="str">
        <f>IFERROR(__xludf.DUMMYFUNCTION("""COMPUTED_VALUE"""),"コミットOK")</f>
        <v>コミットOK</v>
      </c>
      <c r="S3268" s="152" t="str">
        <f>IFERROR(__xludf.DUMMYFUNCTION("""COMPUTED_VALUE"""),"20250428_ハーパーコリンズ・ジャパン_怪物王子と毒草使いの姫君【分冊版】")</f>
        <v>20250428_ハーパーコリンズ・ジャパン_怪物王子と毒草使いの姫君【分冊版】</v>
      </c>
      <c r="T3268" s="152" t="str">
        <f>IFERROR(__xludf.DUMMYFUNCTION("""COMPUTED_VALUE"""),"格納済み")</f>
        <v>格納済み</v>
      </c>
      <c r="U3268" s="9" t="str">
        <f>IFERROR(__xludf.DUMMYFUNCTION("""COMPUTED_VALUE"""),"Ⓒ青鹿毛スバル／ハーパーコリンズ・ジャパン")</f>
        <v>Ⓒ青鹿毛スバル／ハーパーコリンズ・ジャパン</v>
      </c>
      <c r="V3268" s="8"/>
      <c r="W3268" s="8"/>
      <c r="X3268" s="8" t="str">
        <f>IFERROR(__xludf.DUMMYFUNCTION("""COMPUTED_VALUE"""),"有")</f>
        <v>有</v>
      </c>
      <c r="Y3268" s="8" t="str">
        <f>IFERROR(__xludf.DUMMYFUNCTION("""COMPUTED_VALUE"""),"2025/7/6まで1巻無料")</f>
        <v>2025/7/6まで1巻無料</v>
      </c>
      <c r="Z3268" s="7"/>
      <c r="AA3268" s="7"/>
      <c r="AB3268" s="7"/>
    </row>
    <row r="3269" ht="15.75" customHeight="1">
      <c r="A3269" s="153">
        <f>IFERROR(__xludf.DUMMYFUNCTION("""COMPUTED_VALUE"""),5081.0)</f>
        <v>5081</v>
      </c>
      <c r="B3269" s="152" t="str">
        <f>IFERROR(__xludf.DUMMYFUNCTION("""COMPUTED_VALUE"""),"確定")</f>
        <v>確定</v>
      </c>
      <c r="C3269" s="154">
        <f>IFERROR(__xludf.DUMMYFUNCTION("""COMPUTED_VALUE"""),45713.0)</f>
        <v>45713</v>
      </c>
      <c r="D3269" s="154">
        <f>IFERROR(__xludf.DUMMYFUNCTION("""COMPUTED_VALUE"""),45772.0)</f>
        <v>45772</v>
      </c>
      <c r="E3269" s="158">
        <f>IFERROR(__xludf.DUMMYFUNCTION("""COMPUTED_VALUE"""),323961.0)</f>
        <v>323961</v>
      </c>
      <c r="F3269" s="159" t="str">
        <f>IFERROR(__xludf.DUMMYFUNCTION("""COMPUTED_VALUE"""),"もう恋は結構です【連載版】")</f>
        <v>もう恋は結構です【連載版】</v>
      </c>
      <c r="G3269" s="152" t="str">
        <f>IFERROR(__xludf.DUMMYFUNCTION("""COMPUTED_VALUE"""),"1～3")</f>
        <v>1～3</v>
      </c>
      <c r="H3269" s="152" t="str">
        <f>IFERROR(__xludf.DUMMYFUNCTION("""COMPUTED_VALUE"""),"なつだ大正解")</f>
        <v>なつだ大正解</v>
      </c>
      <c r="I3269" s="152" t="str">
        <f>IFERROR(__xludf.DUMMYFUNCTION("""COMPUTED_VALUE"""),"BL")</f>
        <v>BL</v>
      </c>
      <c r="J3269" s="157"/>
      <c r="K3269" s="157"/>
      <c r="L3269" s="152" t="str">
        <f>IFERROR(__xludf.DUMMYFUNCTION("""COMPUTED_VALUE"""),"ナンバーナイン")</f>
        <v>ナンバーナイン</v>
      </c>
      <c r="M3269" s="154">
        <f>IFERROR(__xludf.DUMMYFUNCTION("""COMPUTED_VALUE"""),45800.0)</f>
        <v>45800</v>
      </c>
      <c r="N3269" s="154">
        <f>IFERROR(__xludf.DUMMYFUNCTION("""COMPUTED_VALUE"""),45861.0)</f>
        <v>45861</v>
      </c>
      <c r="O3269" s="152"/>
      <c r="P3269" s="190" t="str">
        <f>IFERROR(__xludf.DUMMYFUNCTION("""COMPUTED_VALUE"""),"可")</f>
        <v>可</v>
      </c>
      <c r="Q3269" s="152"/>
      <c r="R3269" s="152" t="str">
        <f>IFERROR(__xludf.DUMMYFUNCTION("""COMPUTED_VALUE"""),"コミットOK")</f>
        <v>コミットOK</v>
      </c>
      <c r="S3269" s="152" t="str">
        <f>IFERROR(__xludf.DUMMYFUNCTION("""COMPUTED_VALUE"""),"20250424_ナンバーナイン_もう恋は結構です【連載版】")</f>
        <v>20250424_ナンバーナイン_もう恋は結構です【連載版】</v>
      </c>
      <c r="T3269" s="152" t="str">
        <f>IFERROR(__xludf.DUMMYFUNCTION("""COMPUTED_VALUE"""),"格納済み")</f>
        <v>格納済み</v>
      </c>
      <c r="U3269" s="15" t="str">
        <f>IFERROR(__xludf.DUMMYFUNCTION("""COMPUTED_VALUE"""),"Ⓒなつだ大正解／ナンバーナイン")</f>
        <v>Ⓒなつだ大正解／ナンバーナイン</v>
      </c>
      <c r="V3269" s="8" t="str">
        <f>IFERROR(__xludf.DUMMYFUNCTION("""COMPUTED_VALUE"""),"好きな男が結婚した。
初めての恋人、初めてのキス、初めてのセックス...。
きらめいていた日々が突然の結婚報告と共に終わりを告げた。
あれから3年___
淡々とした日々を過ごしながら立ち直った“つもり”でいた男・笹木祥（ささきしょう）は
ある日、柄にもなく酔った勢いでホテルへ......
ワンナイトの相手はまさかの会社の後輩・湯川 椋（ゆかわりょう）で___！？
〈一途な年下ワンコ攻め〉×〈恋愛トラウマ持ち不器用受け〉の
【バウムクーヘンエンド】から始まる救済BL___！！")</f>
        <v>好きな男が結婚した。
初めての恋人、初めてのキス、初めてのセックス...。
きらめいていた日々が突然の結婚報告と共に終わりを告げた。
あれから3年___
淡々とした日々を過ごしながら立ち直った“つもり”でいた男・笹木祥（ささきしょう）は
ある日、柄にもなく酔った勢いでホテルへ......
ワンナイトの相手はまさかの会社の後輩・湯川 椋（ゆかわりょう）で___！？
〈一途な年下ワンコ攻め〉×〈恋愛トラウマ持ち不器用受け〉の
【バウムクーヘンエンド】から始まる救済BL___！！</v>
      </c>
      <c r="W3269" s="14"/>
      <c r="X3269" s="14" t="str">
        <f>IFERROR(__xludf.DUMMYFUNCTION("""COMPUTED_VALUE"""),"有")</f>
        <v>有</v>
      </c>
      <c r="Y3269" s="8" t="str">
        <f>IFERROR(__xludf.DUMMYFUNCTION("""COMPUTED_VALUE"""),"2025/6/6まで1巻無料")</f>
        <v>2025/6/6まで1巻無料</v>
      </c>
      <c r="Z3269" s="7"/>
      <c r="AA3269" s="7"/>
      <c r="AB3269" s="7"/>
    </row>
    <row r="3270" ht="15.75" customHeight="1">
      <c r="A3270" s="153">
        <f>IFERROR(__xludf.DUMMYFUNCTION("""COMPUTED_VALUE"""),5082.0)</f>
        <v>5082</v>
      </c>
      <c r="B3270" s="152" t="str">
        <f>IFERROR(__xludf.DUMMYFUNCTION("""COMPUTED_VALUE"""),"確定")</f>
        <v>確定</v>
      </c>
      <c r="C3270" s="154">
        <f>IFERROR(__xludf.DUMMYFUNCTION("""COMPUTED_VALUE"""),45713.0)</f>
        <v>45713</v>
      </c>
      <c r="D3270" s="154">
        <f>IFERROR(__xludf.DUMMYFUNCTION("""COMPUTED_VALUE"""),45772.0)</f>
        <v>45772</v>
      </c>
      <c r="E3270" s="158">
        <f>IFERROR(__xludf.DUMMYFUNCTION("""COMPUTED_VALUE"""),322678.0)</f>
        <v>322678</v>
      </c>
      <c r="F3270" s="159" t="str">
        <f>IFERROR(__xludf.DUMMYFUNCTION("""COMPUTED_VALUE"""),"毒の寵妃は後宮で花ひらく【分冊版】")</f>
        <v>毒の寵妃は後宮で花ひらく【分冊版】</v>
      </c>
      <c r="G3270" s="152" t="str">
        <f>IFERROR(__xludf.DUMMYFUNCTION("""COMPUTED_VALUE"""),"1～2")</f>
        <v>1～2</v>
      </c>
      <c r="H3270" s="161" t="str">
        <f>IFERROR(__xludf.DUMMYFUNCTION("""COMPUTED_VALUE"""),"亜積翔太 沖田弥子")</f>
        <v>亜積翔太 沖田弥子</v>
      </c>
      <c r="I3270" s="152" t="str">
        <f>IFERROR(__xludf.DUMMYFUNCTION("""COMPUTED_VALUE"""),"女性")</f>
        <v>女性</v>
      </c>
      <c r="J3270" s="157"/>
      <c r="K3270" s="157"/>
      <c r="L3270" s="152" t="str">
        <f>IFERROR(__xludf.DUMMYFUNCTION("""COMPUTED_VALUE"""),"ハーパーコリンズ・ジャパン")</f>
        <v>ハーパーコリンズ・ジャパン</v>
      </c>
      <c r="M3270" s="154">
        <f>IFERROR(__xludf.DUMMYFUNCTION("""COMPUTED_VALUE"""),45800.0)</f>
        <v>45800</v>
      </c>
      <c r="N3270" s="154">
        <f>IFERROR(__xludf.DUMMYFUNCTION("""COMPUTED_VALUE"""),45860.0)</f>
        <v>45860</v>
      </c>
      <c r="O3270" s="152"/>
      <c r="P3270" s="190" t="str">
        <f>IFERROR(__xludf.DUMMYFUNCTION("""COMPUTED_VALUE"""),"可")</f>
        <v>可</v>
      </c>
      <c r="Q3270" s="152"/>
      <c r="R3270" s="152" t="str">
        <f>IFERROR(__xludf.DUMMYFUNCTION("""COMPUTED_VALUE"""),"コミットOK")</f>
        <v>コミットOK</v>
      </c>
      <c r="S3270" s="152" t="str">
        <f>IFERROR(__xludf.DUMMYFUNCTION("""COMPUTED_VALUE"""),"20250423_ハーパーコリンズ・ジャパン_毒の寵妃は後宮で花ひらく")</f>
        <v>20250423_ハーパーコリンズ・ジャパン_毒の寵妃は後宮で花ひらく</v>
      </c>
      <c r="T3270" s="152" t="str">
        <f>IFERROR(__xludf.DUMMYFUNCTION("""COMPUTED_VALUE"""),"格納済み")</f>
        <v>格納済み</v>
      </c>
      <c r="U3270" s="15" t="str">
        <f>IFERROR(__xludf.DUMMYFUNCTION("""COMPUTED_VALUE"""),"Ⓒ亜積翔太・沖田弥子／ハーパーコリンズ・ジャパン")</f>
        <v>Ⓒ亜積翔太・沖田弥子／ハーパーコリンズ・ジャパン</v>
      </c>
      <c r="V3270" s="8" t="str">
        <f>IFERROR(__xludf.DUMMYFUNCTION("""COMPUTED_VALUE"""),"皇帝暗殺を命じられた雪花は、後宮で初恋の人と再会し――
「玉座を取り戻す時がやって来た」──継母に毒を盛られ続け、くちづけで他人を殺せるようになった雪花。皇帝暗殺を狙う家族により後宮へ送り込まれた彼女の前に現れたのは、初恋の人・紫蓮だった。過去に「妻にする、待っててくれ」と誓ってくれた彼との再会…それは雪花にとって甘く切ないものだった。だが、毒の姫となった今、愛しい彼の隣に立つことは叶わない──…。宿命と純愛が渦巻く後宮陰謀劇、開幕！")</f>
        <v>皇帝暗殺を命じられた雪花は、後宮で初恋の人と再会し――
「玉座を取り戻す時がやって来た」──継母に毒を盛られ続け、くちづけで他人を殺せるようになった雪花。皇帝暗殺を狙う家族により後宮へ送り込まれた彼女の前に現れたのは、初恋の人・紫蓮だった。過去に「妻にする、待っててくれ」と誓ってくれた彼との再会…それは雪花にとって甘く切ないものだった。だが、毒の姫となった今、愛しい彼の隣に立つことは叶わない──…。宿命と純愛が渦巻く後宮陰謀劇、開幕！</v>
      </c>
      <c r="W3270" s="14"/>
      <c r="X3270" s="14" t="str">
        <f>IFERROR(__xludf.DUMMYFUNCTION("""COMPUTED_VALUE"""),"有")</f>
        <v>有</v>
      </c>
      <c r="Y3270" s="8" t="str">
        <f>IFERROR(__xludf.DUMMYFUNCTION("""COMPUTED_VALUE"""),"2025/6/5まで1巻無料")</f>
        <v>2025/6/5まで1巻無料</v>
      </c>
      <c r="Z3270" s="7"/>
      <c r="AA3270" s="7"/>
      <c r="AB3270" s="7"/>
    </row>
    <row r="3271" ht="15.75" customHeight="1">
      <c r="A3271" s="153">
        <f>IFERROR(__xludf.DUMMYFUNCTION("""COMPUTED_VALUE"""),5287.0)</f>
        <v>5287</v>
      </c>
      <c r="B3271" s="152" t="str">
        <f>IFERROR(__xludf.DUMMYFUNCTION("""COMPUTED_VALUE"""),"確定")</f>
        <v>確定</v>
      </c>
      <c r="C3271" s="154">
        <f>IFERROR(__xludf.DUMMYFUNCTION("""COMPUTED_VALUE"""),45734.0)</f>
        <v>45734</v>
      </c>
      <c r="D3271" s="154">
        <f>IFERROR(__xludf.DUMMYFUNCTION("""COMPUTED_VALUE"""),45775.0)</f>
        <v>45775</v>
      </c>
      <c r="E3271" s="157">
        <f>IFERROR(__xludf.DUMMYFUNCTION("""COMPUTED_VALUE"""),324052.0)</f>
        <v>324052</v>
      </c>
      <c r="F3271" s="152" t="str">
        <f>IFERROR(__xludf.DUMMYFUNCTION("""COMPUTED_VALUE"""),"クーデレ魔法師ととろあま「つがい」契約【分冊版】")</f>
        <v>クーデレ魔法師ととろあま「つがい」契約【分冊版】</v>
      </c>
      <c r="G3271" s="152" t="str">
        <f>IFERROR(__xludf.DUMMYFUNCTION("""COMPUTED_VALUE"""),"1～3")</f>
        <v>1～3</v>
      </c>
      <c r="H3271" s="152" t="str">
        <f>IFERROR(__xludf.DUMMYFUNCTION("""COMPUTED_VALUE"""),"原作：charme、漫画：水月イタチ")</f>
        <v>原作：charme、漫画：水月イタチ</v>
      </c>
      <c r="I3271" s="152" t="str">
        <f>IFERROR(__xludf.DUMMYFUNCTION("""COMPUTED_VALUE"""),"TL")</f>
        <v>TL</v>
      </c>
      <c r="J3271" s="157"/>
      <c r="K3271" s="152" t="str">
        <f>IFERROR(__xludf.DUMMYFUNCTION("""COMPUTED_VALUE"""),"ラワーレコミックス")</f>
        <v>ラワーレコミックス</v>
      </c>
      <c r="L3271" s="152" t="str">
        <f>IFERROR(__xludf.DUMMYFUNCTION("""COMPUTED_VALUE"""),"一二三書房")</f>
        <v>一二三書房</v>
      </c>
      <c r="M3271" s="154">
        <f>IFERROR(__xludf.DUMMYFUNCTION("""COMPUTED_VALUE"""),45813.0)</f>
        <v>45813</v>
      </c>
      <c r="N3271" s="204">
        <f>IFERROR(__xludf.DUMMYFUNCTION("""COMPUTED_VALUE"""),45873.0)</f>
        <v>45873</v>
      </c>
      <c r="O3271" s="152"/>
      <c r="P3271" s="190" t="str">
        <f>IFERROR(__xludf.DUMMYFUNCTION("""COMPUTED_VALUE"""),"可")</f>
        <v>可</v>
      </c>
      <c r="Q3271" s="152"/>
      <c r="R3271" s="152" t="str">
        <f>IFERROR(__xludf.DUMMYFUNCTION("""COMPUTED_VALUE"""),"コミットNG")</f>
        <v>コミットNG</v>
      </c>
      <c r="S3271" s="152" t="str">
        <f>IFERROR(__xludf.DUMMYFUNCTION("""COMPUTED_VALUE"""),"20250424_一二三書房_クーデレ魔法師ととろあま「つがい」契約～発情を止めるために中××エッチするしかないなんて聞いてない！")</f>
        <v>20250424_一二三書房_クーデレ魔法師ととろあま「つがい」契約～発情を止めるために中××エッチするしかないなんて聞いてない！</v>
      </c>
      <c r="T3271" s="152" t="str">
        <f>IFERROR(__xludf.DUMMYFUNCTION("""COMPUTED_VALUE"""),"格納済み")</f>
        <v>格納済み</v>
      </c>
      <c r="U3271" s="9" t="str">
        <f>IFERROR(__xludf.DUMMYFUNCTION("""COMPUTED_VALUE"""),"Ⓒcharme /ItachiMizuki/ TOKIFUDE ⒸHIFUMI SHOBO")</f>
        <v>Ⓒcharme /ItachiMizuki/ TOKIFUDE ⒸHIFUMI SHOBO</v>
      </c>
      <c r="V3271" s="8" t="str">
        <f>IFERROR(__xludf.DUMMYFUNCTION("""COMPUTED_VALUE"""),"[魔法薬で人々を救いたい！」お金を貯めて魔法学院に入学したサシャ。ところが、運命の「つがい」――ミハイルと出会ったことで大きな発情のうねりが襲ってきて!?「2000年の時が僕から感情を奪った――」西の魔女に不死の呪いをかけられた最強魔法師のミハイル。たとえ〝つがい〟に出会っても、フェロモンに反応するはずがないのに……?本能が求めるように、激しくカラダを重ね合う二人。どんどん強まっていくサシャの発情。普通の生活さえできなくなることに不安を感じはじめて……。責任を感じるものの、不死のミハイルはサシャと一緒に生"&amp;"きられない。ミハイルは、わざと冷たい態度をとって、距離をとろうとするのだった……。果たしてサシャは発情を抑えられるようになるのか!?　ミハイルの呪いは!?ロマンチック魔法ファンタジー、開幕！")</f>
        <v>[魔法薬で人々を救いたい！」お金を貯めて魔法学院に入学したサシャ。ところが、運命の「つがい」――ミハイルと出会ったことで大きな発情のうねりが襲ってきて!?「2000年の時が僕から感情を奪った――」西の魔女に不死の呪いをかけられた最強魔法師のミハイル。たとえ〝つがい〟に出会っても、フェロモンに反応するはずがないのに……?本能が求めるように、激しくカラダを重ね合う二人。どんどん強まっていくサシャの発情。普通の生活さえできなくなることに不安を感じはじめて……。責任を感じるものの、不死のミハイルはサシャと一緒に生きられない。ミハイルは、わざと冷たい態度をとって、距離をとろうとするのだった……。果たしてサシャは発情を抑えられるようになるのか!?　ミハイルの呪いは!?ロマンチック魔法ファンタジー、開幕！</v>
      </c>
      <c r="W3271" s="8" t="str">
        <f>IFERROR(__xludf.DUMMYFUNCTION("""COMPUTED_VALUE"""),"#REF!")</f>
        <v>#REF!</v>
      </c>
      <c r="X3271" s="8" t="str">
        <f>IFERROR(__xludf.DUMMYFUNCTION("""COMPUTED_VALUE"""),"有")</f>
        <v>有</v>
      </c>
      <c r="Y3271" s="8" t="str">
        <f>IFERROR(__xludf.DUMMYFUNCTION("""COMPUTED_VALUE"""),"2025/6/18まで1巻無料")</f>
        <v>2025/6/18まで1巻無料</v>
      </c>
      <c r="Z3271" s="7"/>
      <c r="AA3271" s="7"/>
      <c r="AB3271" s="7"/>
    </row>
    <row r="3272" ht="15.75" customHeight="1">
      <c r="A3272" s="153">
        <f>IFERROR(__xludf.DUMMYFUNCTION("""COMPUTED_VALUE"""),5351.0)</f>
        <v>5351</v>
      </c>
      <c r="B3272" s="152" t="str">
        <f>IFERROR(__xludf.DUMMYFUNCTION("""COMPUTED_VALUE"""),"確定")</f>
        <v>確定</v>
      </c>
      <c r="C3272" s="154">
        <f>IFERROR(__xludf.DUMMYFUNCTION("""COMPUTED_VALUE"""),45741.0)</f>
        <v>45741</v>
      </c>
      <c r="D3272" s="154">
        <f>IFERROR(__xludf.DUMMYFUNCTION("""COMPUTED_VALUE"""),45775.0)</f>
        <v>45775</v>
      </c>
      <c r="E3272" s="158">
        <f>IFERROR(__xludf.DUMMYFUNCTION("""COMPUTED_VALUE"""),322597.0)</f>
        <v>322597</v>
      </c>
      <c r="F3272" s="159" t="str">
        <f>IFERROR(__xludf.DUMMYFUNCTION("""COMPUTED_VALUE"""),"もらってください！おれのハジメテ 〜あかりくんの過剰で純情な欲情〜【単話】")</f>
        <v>もらってください！おれのハジメテ 〜あかりくんの過剰で純情な欲情〜【単話】</v>
      </c>
      <c r="G3272" s="152" t="str">
        <f>IFERROR(__xludf.DUMMYFUNCTION("""COMPUTED_VALUE"""),"1～3")</f>
        <v>1～3</v>
      </c>
      <c r="H3272" s="152" t="str">
        <f>IFERROR(__xludf.DUMMYFUNCTION("""COMPUTED_VALUE"""),"南国パイン")</f>
        <v>南国パイン</v>
      </c>
      <c r="I3272" s="152" t="str">
        <f>IFERROR(__xludf.DUMMYFUNCTION("""COMPUTED_VALUE"""),"TL")</f>
        <v>TL</v>
      </c>
      <c r="J3272" s="157"/>
      <c r="K3272" s="152" t="str">
        <f>IFERROR(__xludf.DUMMYFUNCTION("""COMPUTED_VALUE"""),"ミンティ")</f>
        <v>ミンティ</v>
      </c>
      <c r="L3272" s="152" t="str">
        <f>IFERROR(__xludf.DUMMYFUNCTION("""COMPUTED_VALUE"""),"オークラ出版")</f>
        <v>オークラ出版</v>
      </c>
      <c r="M3272" s="154">
        <f>IFERROR(__xludf.DUMMYFUNCTION("""COMPUTED_VALUE"""),45800.0)</f>
        <v>45800</v>
      </c>
      <c r="N3272" s="198">
        <f>IFERROR(__xludf.DUMMYFUNCTION("""COMPUTED_VALUE"""),45834.0)</f>
        <v>45834</v>
      </c>
      <c r="O3272" s="152"/>
      <c r="P3272" s="190" t="str">
        <f>IFERROR(__xludf.DUMMYFUNCTION("""COMPUTED_VALUE"""),"可")</f>
        <v>可</v>
      </c>
      <c r="Q3272" s="152" t="str">
        <f>IFERROR(__xludf.DUMMYFUNCTION("""COMPUTED_VALUE"""),"Ⓒ南国パイン/オークラ出版 ミンティ　でもOK")</f>
        <v>Ⓒ南国パイン/オークラ出版 ミンティ　でもOK</v>
      </c>
      <c r="R3272" s="152" t="str">
        <f>IFERROR(__xludf.DUMMYFUNCTION("""COMPUTED_VALUE"""),"コミットNG")</f>
        <v>コミットNG</v>
      </c>
      <c r="S3272" s="152" t="str">
        <f>IFERROR(__xludf.DUMMYFUNCTION("""COMPUTED_VALUE"""),"20250428_オークラ出版_もらってください！おれのハジメテ 〜あかりくんの過剰で純情な欲情〜【単話】")</f>
        <v>20250428_オークラ出版_もらってください！おれのハジメテ 〜あかりくんの過剰で純情な欲情〜【単話】</v>
      </c>
      <c r="T3272" s="152" t="str">
        <f>IFERROR(__xludf.DUMMYFUNCTION("""COMPUTED_VALUE"""),"格納済み")</f>
        <v>格納済み</v>
      </c>
      <c r="U3272" s="15" t="str">
        <f>IFERROR(__xludf.DUMMYFUNCTION("""COMPUTED_VALUE"""),"Ⓒ南国パイン／オークラ出版")</f>
        <v>Ⓒ南国パイン／オークラ出版</v>
      </c>
      <c r="V3272" s="8" t="str">
        <f>IFERROR(__xludf.DUMMYFUNCTION("""COMPUTED_VALUE"""),"3年半つき合っていた恋人の浮気をきっかけに、自ら別れの道を選んだ大槻あかり。
その3日後、知人の結婚式で再開したのは、幼なじみの野元灯（あかり）だった。
家はお隣同士、生まれた日も名前も一緒、小さい頃はどこか頼りなかった弟のような彼は、一流大学出身＆一流企業勤務へとキラキラ爽やかなイケメンへと育っていた…。
でも…灯とはただの幼なじみで…高校卒業以来5年間も疎遠だったはずなのに、なんで恋人の存在や別れたことまで知っているの!?
「俺、今まであーちゃんに認められたくて、頑張ってきた…"&amp;"」
一流の大学や企業に入ったのも外見を磨いてきたのも、全てはあかりのため…。
「だから…俺とつき合って、それで――――――」
衝撃的な告白から始まる、同じ名前の幼なじみとの溺愛ラブストーリー！")</f>
        <v>3年半つき合っていた恋人の浮気をきっかけに、自ら別れの道を選んだ大槻あかり。
その3日後、知人の結婚式で再開したのは、幼なじみの野元灯（あかり）だった。
家はお隣同士、生まれた日も名前も一緒、小さい頃はどこか頼りなかった弟のような彼は、一流大学出身＆一流企業勤務へとキラキラ爽やかなイケメンへと育っていた…。
でも…灯とはただの幼なじみで…高校卒業以来5年間も疎遠だったはずなのに、なんで恋人の存在や別れたことまで知っているの!?
「俺、今まであーちゃんに認められたくて、頑張ってきた…」
一流の大学や企業に入ったのも外見を磨いてきたのも、全てはあかりのため…。
「だから…俺とつき合って、それで――――――」
衝撃的な告白から始まる、同じ名前の幼なじみとの溺愛ラブストーリー！</v>
      </c>
      <c r="W3272" s="14"/>
      <c r="X3272" s="14" t="str">
        <f>IFERROR(__xludf.DUMMYFUNCTION("""COMPUTED_VALUE"""),"有")</f>
        <v>有</v>
      </c>
      <c r="Y3272" s="8" t="str">
        <f>IFERROR(__xludf.DUMMYFUNCTION("""COMPUTED_VALUE"""),"2025/6/5まで1巻無料")</f>
        <v>2025/6/5まで1巻無料</v>
      </c>
      <c r="Z3272" s="7"/>
      <c r="AA3272" s="7"/>
      <c r="AB3272" s="7"/>
    </row>
    <row r="3273" ht="15.75" customHeight="1">
      <c r="A3273" s="153">
        <f>IFERROR(__xludf.DUMMYFUNCTION("""COMPUTED_VALUE"""),5394.0)</f>
        <v>5394</v>
      </c>
      <c r="B3273" s="152" t="str">
        <f>IFERROR(__xludf.DUMMYFUNCTION("""COMPUTED_VALUE"""),"確定")</f>
        <v>確定</v>
      </c>
      <c r="C3273" s="154">
        <f>IFERROR(__xludf.DUMMYFUNCTION("""COMPUTED_VALUE"""),45748.0)</f>
        <v>45748</v>
      </c>
      <c r="D3273" s="154">
        <f>IFERROR(__xludf.DUMMYFUNCTION("""COMPUTED_VALUE"""),45775.0)</f>
        <v>45775</v>
      </c>
      <c r="E3273" s="157">
        <f>IFERROR(__xludf.DUMMYFUNCTION("""COMPUTED_VALUE"""),322972.0)</f>
        <v>322972</v>
      </c>
      <c r="F3273" s="152" t="str">
        <f>IFERROR(__xludf.DUMMYFUNCTION("""COMPUTED_VALUE"""),"エリート社長は薄幸な彼女を囲い込んで甘やかしたい【分冊版】")</f>
        <v>エリート社長は薄幸な彼女を囲い込んで甘やかしたい【分冊版】</v>
      </c>
      <c r="G3273" s="152" t="str">
        <f>IFERROR(__xludf.DUMMYFUNCTION("""COMPUTED_VALUE"""),"1～3")</f>
        <v>1～3</v>
      </c>
      <c r="H3273" s="152" t="str">
        <f>IFERROR(__xludf.DUMMYFUNCTION("""COMPUTED_VALUE"""),"青海信濃・麻生ミカリ")</f>
        <v>青海信濃・麻生ミカリ</v>
      </c>
      <c r="I3273" s="152" t="str">
        <f>IFERROR(__xludf.DUMMYFUNCTION("""COMPUTED_VALUE"""),"TL")</f>
        <v>TL</v>
      </c>
      <c r="J3273" s="157"/>
      <c r="K3273" s="152" t="str">
        <f>IFERROR(__xludf.DUMMYFUNCTION("""COMPUTED_VALUE"""),"ルネッタコミックス")</f>
        <v>ルネッタコミックス</v>
      </c>
      <c r="L3273" s="152" t="str">
        <f>IFERROR(__xludf.DUMMYFUNCTION("""COMPUTED_VALUE"""),"ハーパーコリンズ・ジャパン")</f>
        <v>ハーパーコリンズ・ジャパン</v>
      </c>
      <c r="M3273" s="154">
        <f>IFERROR(__xludf.DUMMYFUNCTION("""COMPUTED_VALUE"""),45800.0)</f>
        <v>45800</v>
      </c>
      <c r="N3273" s="154">
        <f>IFERROR(__xludf.DUMMYFUNCTION("""COMPUTED_VALUE"""),45862.0)</f>
        <v>45862</v>
      </c>
      <c r="O3273" s="152"/>
      <c r="P3273" s="190" t="str">
        <f>IFERROR(__xludf.DUMMYFUNCTION("""COMPUTED_VALUE"""),"可")</f>
        <v>可</v>
      </c>
      <c r="Q3273" s="152"/>
      <c r="R3273" s="152" t="str">
        <f>IFERROR(__xludf.DUMMYFUNCTION("""COMPUTED_VALUE"""),"コミットNG")</f>
        <v>コミットNG</v>
      </c>
      <c r="S3273" s="152" t="str">
        <f>IFERROR(__xludf.DUMMYFUNCTION("""COMPUTED_VALUE"""),"20250428_ハーパーコリンズ・ジャパン_エリート社長は薄幸な彼女を囲い込んで甘やかしたい【分冊版】")</f>
        <v>20250428_ハーパーコリンズ・ジャパン_エリート社長は薄幸な彼女を囲い込んで甘やかしたい【分冊版】</v>
      </c>
      <c r="T3273" s="152" t="str">
        <f>IFERROR(__xludf.DUMMYFUNCTION("""COMPUTED_VALUE"""),"格納済み")</f>
        <v>格納済み</v>
      </c>
      <c r="U3273" s="9" t="str">
        <f>IFERROR(__xludf.DUMMYFUNCTION("""COMPUTED_VALUE"""),"Ⓒ青海信濃・麻生ミカリ／ハーパーコリンズ・ジャパン")</f>
        <v>Ⓒ青海信濃・麻生ミカリ／ハーパーコリンズ・ジャパン</v>
      </c>
      <c r="V3273" s="8" t="str">
        <f>IFERROR(__xludf.DUMMYFUNCTION("""COMPUTED_VALUE"""),"不幸つづきの日々から甘々な日々に?
両親と祖母を亡くし、義姉の縁故で無理やり入れられたブラック企業で、心身ともに疲弊しながらも働く千織。ある日、上司が交通事故を起こし、その責任を千織に押し付けて逃げてしまう。千織は被害者の実業家・克己の病院へ付き添うが、克己は千織に優しく接してくれて――。")</f>
        <v>不幸つづきの日々から甘々な日々に?
両親と祖母を亡くし、義姉の縁故で無理やり入れられたブラック企業で、心身ともに疲弊しながらも働く千織。ある日、上司が交通事故を起こし、その責任を千織に押し付けて逃げてしまう。千織は被害者の実業家・克己の病院へ付き添うが、克己は千織に優しく接してくれて――。</v>
      </c>
      <c r="W3273" s="8" t="str">
        <f>IFERROR(__xludf.DUMMYFUNCTION("""COMPUTED_VALUE"""),"#REF!")</f>
        <v>#REF!</v>
      </c>
      <c r="X3273" s="8" t="str">
        <f>IFERROR(__xludf.DUMMYFUNCTION("""COMPUTED_VALUE"""),"有")</f>
        <v>有</v>
      </c>
      <c r="Y3273" s="8" t="str">
        <f>IFERROR(__xludf.DUMMYFUNCTION("""COMPUTED_VALUE"""),"2025/6/5まで1巻無料")</f>
        <v>2025/6/5まで1巻無料</v>
      </c>
      <c r="Z3273" s="7"/>
      <c r="AA3273" s="7"/>
      <c r="AB3273" s="7"/>
    </row>
    <row r="3274" ht="15.75" customHeight="1">
      <c r="A3274" s="153">
        <f>IFERROR(__xludf.DUMMYFUNCTION("""COMPUTED_VALUE"""),5414.0)</f>
        <v>5414</v>
      </c>
      <c r="B3274" s="152" t="str">
        <f>IFERROR(__xludf.DUMMYFUNCTION("""COMPUTED_VALUE"""),"確定")</f>
        <v>確定</v>
      </c>
      <c r="C3274" s="154">
        <f>IFERROR(__xludf.DUMMYFUNCTION("""COMPUTED_VALUE"""),45750.0)</f>
        <v>45750</v>
      </c>
      <c r="D3274" s="154">
        <f>IFERROR(__xludf.DUMMYFUNCTION("""COMPUTED_VALUE"""),45775.0)</f>
        <v>45775</v>
      </c>
      <c r="E3274" s="157">
        <f>IFERROR(__xludf.DUMMYFUNCTION("""COMPUTED_VALUE"""),325651.0)</f>
        <v>325651</v>
      </c>
      <c r="F3274" s="152" t="str">
        <f>IFERROR(__xludf.DUMMYFUNCTION("""COMPUTED_VALUE"""),"完全無欠の辺境伯と身代わり花嫁の蜜甘婚～旦那さまに磨かれて愛され妻になりました～【分冊版】")</f>
        <v>完全無欠の辺境伯と身代わり花嫁の蜜甘婚～旦那さまに磨かれて愛され妻になりました～【分冊版】</v>
      </c>
      <c r="G3274" s="152" t="str">
        <f>IFERROR(__xludf.DUMMYFUNCTION("""COMPUTED_VALUE"""),"1～2")</f>
        <v>1～2</v>
      </c>
      <c r="H3274" s="152" t="str">
        <f>IFERROR(__xludf.DUMMYFUNCTION("""COMPUTED_VALUE"""),"鳴神ゆった,桃城猫緒")</f>
        <v>鳴神ゆった,桃城猫緒</v>
      </c>
      <c r="I3274" s="152" t="str">
        <f>IFERROR(__xludf.DUMMYFUNCTION("""COMPUTED_VALUE"""),"TL")</f>
        <v>TL</v>
      </c>
      <c r="J3274" s="157"/>
      <c r="K3274" s="152" t="str">
        <f>IFERROR(__xludf.DUMMYFUNCTION("""COMPUTED_VALUE"""),"乙女ドルチェ・コミックス")</f>
        <v>乙女ドルチェ・コミックス</v>
      </c>
      <c r="L3274" s="152" t="str">
        <f>IFERROR(__xludf.DUMMYFUNCTION("""COMPUTED_VALUE"""),"乙女ドルチェ・コミックス")</f>
        <v>乙女ドルチェ・コミックス</v>
      </c>
      <c r="M3274" s="154">
        <f>IFERROR(__xludf.DUMMYFUNCTION("""COMPUTED_VALUE"""),45826.0)</f>
        <v>45826</v>
      </c>
      <c r="N3274" s="154">
        <f>IFERROR(__xludf.DUMMYFUNCTION("""COMPUTED_VALUE"""),45887.0)</f>
        <v>45887</v>
      </c>
      <c r="O3274" s="152"/>
      <c r="P3274" s="190" t="str">
        <f>IFERROR(__xludf.DUMMYFUNCTION("""COMPUTED_VALUE"""),"可")</f>
        <v>可</v>
      </c>
      <c r="Q3274" s="152"/>
      <c r="R3274" s="152" t="str">
        <f>IFERROR(__xludf.DUMMYFUNCTION("""COMPUTED_VALUE"""),"コミットNG")</f>
        <v>コミットNG</v>
      </c>
      <c r="S3274" s="152" t="str">
        <f>IFERROR(__xludf.DUMMYFUNCTION("""COMPUTED_VALUE"""),"20250428_ハーパーコリンズ・ジャパン_完全無欠の辺境伯と身代わり花嫁の蜜甘婚～旦那さまに磨かれて愛され妻になりました～【分冊版】")</f>
        <v>20250428_ハーパーコリンズ・ジャパン_完全無欠の辺境伯と身代わり花嫁の蜜甘婚～旦那さまに磨かれて愛され妻になりました～【分冊版】</v>
      </c>
      <c r="T3274" s="152" t="str">
        <f>IFERROR(__xludf.DUMMYFUNCTION("""COMPUTED_VALUE"""),"格納済み")</f>
        <v>格納済み</v>
      </c>
      <c r="U3274" s="9" t="str">
        <f>IFERROR(__xludf.DUMMYFUNCTION("""COMPUTED_VALUE"""),"Ⓒ鳴神ゆった・桃城猫緒／ハーパーコリンズ・ジャパン")</f>
        <v>Ⓒ鳴神ゆった・桃城猫緒／ハーパーコリンズ・ジャパン</v>
      </c>
      <c r="V3274" s="8"/>
      <c r="W3274" s="8"/>
      <c r="X3274" s="8" t="str">
        <f>IFERROR(__xludf.DUMMYFUNCTION("""COMPUTED_VALUE"""),"有")</f>
        <v>有</v>
      </c>
      <c r="Y3274" s="8" t="str">
        <f>IFERROR(__xludf.DUMMYFUNCTION("""COMPUTED_VALUE"""),"2025/7/17まで1巻立ち読み増量（P17まで）")</f>
        <v>2025/7/17まで1巻立ち読み増量（P17まで）</v>
      </c>
      <c r="Z3274" s="7"/>
      <c r="AA3274" s="7"/>
      <c r="AB3274" s="7"/>
    </row>
    <row r="3275" ht="15.75" customHeight="1">
      <c r="A3275" s="153">
        <f>IFERROR(__xludf.DUMMYFUNCTION("""COMPUTED_VALUE"""),5415.0)</f>
        <v>5415</v>
      </c>
      <c r="B3275" s="152" t="str">
        <f>IFERROR(__xludf.DUMMYFUNCTION("""COMPUTED_VALUE"""),"確定")</f>
        <v>確定</v>
      </c>
      <c r="C3275" s="154">
        <f>IFERROR(__xludf.DUMMYFUNCTION("""COMPUTED_VALUE"""),45750.0)</f>
        <v>45750</v>
      </c>
      <c r="D3275" s="154">
        <f>IFERROR(__xludf.DUMMYFUNCTION("""COMPUTED_VALUE"""),45777.0)</f>
        <v>45777</v>
      </c>
      <c r="E3275" s="157">
        <f>IFERROR(__xludf.DUMMYFUNCTION("""COMPUTED_VALUE"""),325650.0)</f>
        <v>325650</v>
      </c>
      <c r="F3275" s="152" t="str">
        <f>IFERROR(__xludf.DUMMYFUNCTION("""COMPUTED_VALUE"""),"はやく俺に落ちなさい～おひとり様でいたいのに、次期社長が求愛してくる～【分冊版】")</f>
        <v>はやく俺に落ちなさい～おひとり様でいたいのに、次期社長が求愛してくる～【分冊版】</v>
      </c>
      <c r="G3275" s="152" t="str">
        <f>IFERROR(__xludf.DUMMYFUNCTION("""COMPUTED_VALUE"""),"1～3")</f>
        <v>1～3</v>
      </c>
      <c r="H3275" s="152" t="str">
        <f>IFERROR(__xludf.DUMMYFUNCTION("""COMPUTED_VALUE"""),"米谷たかね,御厨翠")</f>
        <v>米谷たかね,御厨翠</v>
      </c>
      <c r="I3275" s="152" t="str">
        <f>IFERROR(__xludf.DUMMYFUNCTION("""COMPUTED_VALUE"""),"TL")</f>
        <v>TL</v>
      </c>
      <c r="J3275" s="157"/>
      <c r="K3275" s="152" t="str">
        <f>IFERROR(__xludf.DUMMYFUNCTION("""COMPUTED_VALUE"""),"乙女ドルチェ・コミックス")</f>
        <v>乙女ドルチェ・コミックス</v>
      </c>
      <c r="L3275" s="152" t="str">
        <f>IFERROR(__xludf.DUMMYFUNCTION("""COMPUTED_VALUE"""),"乙女ドルチェ・コミックス")</f>
        <v>乙女ドルチェ・コミックス</v>
      </c>
      <c r="M3275" s="154">
        <f>IFERROR(__xludf.DUMMYFUNCTION("""COMPUTED_VALUE"""),45826.0)</f>
        <v>45826</v>
      </c>
      <c r="N3275" s="154">
        <f>IFERROR(__xludf.DUMMYFUNCTION("""COMPUTED_VALUE"""),45887.0)</f>
        <v>45887</v>
      </c>
      <c r="O3275" s="152"/>
      <c r="P3275" s="190" t="str">
        <f>IFERROR(__xludf.DUMMYFUNCTION("""COMPUTED_VALUE"""),"可")</f>
        <v>可</v>
      </c>
      <c r="Q3275" s="152"/>
      <c r="R3275" s="152" t="str">
        <f>IFERROR(__xludf.DUMMYFUNCTION("""COMPUTED_VALUE"""),"コミットNG")</f>
        <v>コミットNG</v>
      </c>
      <c r="S3275" s="152" t="str">
        <f>IFERROR(__xludf.DUMMYFUNCTION("""COMPUTED_VALUE"""),"20250428_ハーパーコリンズ・ジャパン_はやく俺に落ちなさい～おひとり様でいたいのに、次期社長が求愛してくる～【分冊版】")</f>
        <v>20250428_ハーパーコリンズ・ジャパン_はやく俺に落ちなさい～おひとり様でいたいのに、次期社長が求愛してくる～【分冊版】</v>
      </c>
      <c r="T3275" s="152" t="str">
        <f>IFERROR(__xludf.DUMMYFUNCTION("""COMPUTED_VALUE"""),"格納済み")</f>
        <v>格納済み</v>
      </c>
      <c r="U3275" s="9" t="str">
        <f>IFERROR(__xludf.DUMMYFUNCTION("""COMPUTED_VALUE"""),"Ⓒ米谷たかね・御厨 翠／ハーパーコリンズ・ジャパン")</f>
        <v>Ⓒ米谷たかね・御厨 翠／ハーパーコリンズ・ジャパン</v>
      </c>
      <c r="V3275" s="8"/>
      <c r="W3275" s="8"/>
      <c r="X3275" s="8" t="str">
        <f>IFERROR(__xludf.DUMMYFUNCTION("""COMPUTED_VALUE"""),"有")</f>
        <v>有</v>
      </c>
      <c r="Y3275" s="8" t="str">
        <f>IFERROR(__xludf.DUMMYFUNCTION("""COMPUTED_VALUE"""),"2025/7/17まで1巻無料")</f>
        <v>2025/7/17まで1巻無料</v>
      </c>
      <c r="Z3275" s="7"/>
      <c r="AA3275" s="7"/>
      <c r="AB3275" s="7"/>
    </row>
    <row r="3276" ht="15.75" customHeight="1">
      <c r="A3276" s="153">
        <f>IFERROR(__xludf.DUMMYFUNCTION("""COMPUTED_VALUE"""),5417.0)</f>
        <v>5417</v>
      </c>
      <c r="B3276" s="152" t="str">
        <f>IFERROR(__xludf.DUMMYFUNCTION("""COMPUTED_VALUE"""),"確定")</f>
        <v>確定</v>
      </c>
      <c r="C3276" s="154">
        <f>IFERROR(__xludf.DUMMYFUNCTION("""COMPUTED_VALUE"""),45750.0)</f>
        <v>45750</v>
      </c>
      <c r="D3276" s="154">
        <f>IFERROR(__xludf.DUMMYFUNCTION("""COMPUTED_VALUE"""),45777.0)</f>
        <v>45777</v>
      </c>
      <c r="E3276" s="157">
        <f>IFERROR(__xludf.DUMMYFUNCTION("""COMPUTED_VALUE"""),324133.0)</f>
        <v>324133</v>
      </c>
      <c r="F3276" s="152" t="str">
        <f>IFERROR(__xludf.DUMMYFUNCTION("""COMPUTED_VALUE"""),"サレ妻〜パパの不倫相手は×××の先生〜【単話】")</f>
        <v>サレ妻〜パパの不倫相手は×××の先生〜【単話】</v>
      </c>
      <c r="G3276" s="152" t="str">
        <f>IFERROR(__xludf.DUMMYFUNCTION("""COMPUTED_VALUE"""),"1～3")</f>
        <v>1～3</v>
      </c>
      <c r="H3276" s="152" t="str">
        <f>IFERROR(__xludf.DUMMYFUNCTION("""COMPUTED_VALUE"""),"漫画：一科ハチカ／原作：貞ユリナ")</f>
        <v>漫画：一科ハチカ／原作：貞ユリナ</v>
      </c>
      <c r="I3276" s="152" t="str">
        <f>IFERROR(__xludf.DUMMYFUNCTION("""COMPUTED_VALUE"""),"女性マンガ")</f>
        <v>女性マンガ</v>
      </c>
      <c r="J3276" s="157"/>
      <c r="K3276" s="157"/>
      <c r="L3276" s="152" t="str">
        <f>IFERROR(__xludf.DUMMYFUNCTION("""COMPUTED_VALUE"""),"祥伝社")</f>
        <v>祥伝社</v>
      </c>
      <c r="M3276" s="154">
        <f>IFERROR(__xludf.DUMMYFUNCTION("""COMPUTED_VALUE"""),45821.0)</f>
        <v>45821</v>
      </c>
      <c r="N3276" s="154">
        <f>IFERROR(__xludf.DUMMYFUNCTION("""COMPUTED_VALUE"""),45884.0)</f>
        <v>45884</v>
      </c>
      <c r="O3276" s="152"/>
      <c r="P3276" s="152" t="str">
        <f>IFERROR(__xludf.DUMMYFUNCTION("""COMPUTED_VALUE"""),"可")</f>
        <v>可</v>
      </c>
      <c r="Q3276" s="152" t="str">
        <f>IFERROR(__xludf.DUMMYFUNCTION("""COMPUTED_VALUE"""),"『サレ妻の事情～理想の夫が実はクズで～』の原作である貞ユリナ先生に原作をご担当いただいております！&lt;BR&gt;今回は、不倫が子どもバレして…というところを軸に展開していく予定です。&lt;BR&gt;作画は別の先生ですので別シリーズにはなりますが、&lt;BR&gt;相変わらずキャッチーな言葉が多く、サレ妻読者に引き続き読んでもらえるのではと思っております。&lt;BR&gt;広告が大きく跳ねた場合は延長のご相談もできればと考えております。")</f>
        <v>『サレ妻の事情～理想の夫が実はクズで～』の原作である貞ユリナ先生に原作をご担当いただいております！&lt;BR&gt;今回は、不倫が子どもバレして…というところを軸に展開していく予定です。&lt;BR&gt;作画は別の先生ですので別シリーズにはなりますが、&lt;BR&gt;相変わらずキャッチーな言葉が多く、サレ妻読者に引き続き読んでもらえるのではと思っております。&lt;BR&gt;広告が大きく跳ねた場合は延長のご相談もできればと考えております。</v>
      </c>
      <c r="R3276" s="152" t="str">
        <f>IFERROR(__xludf.DUMMYFUNCTION("""COMPUTED_VALUE"""),"コミットOK")</f>
        <v>コミットOK</v>
      </c>
      <c r="S3276" s="152" t="str">
        <f>IFERROR(__xludf.DUMMYFUNCTION("""COMPUTED_VALUE"""),"20250424_祥伝社_サレ妻〜パパの不倫相手は×××の先生〜")</f>
        <v>20250424_祥伝社_サレ妻〜パパの不倫相手は×××の先生〜</v>
      </c>
      <c r="T3276" s="152" t="str">
        <f>IFERROR(__xludf.DUMMYFUNCTION("""COMPUTED_VALUE"""),"格納済み")</f>
        <v>格納済み</v>
      </c>
      <c r="U3276" s="9" t="str">
        <f>IFERROR(__xludf.DUMMYFUNCTION("""COMPUTED_VALUE"""),"Ⓒ一科ハチカ・貞ユリナ/祥伝社")</f>
        <v>Ⓒ一科ハチカ・貞ユリナ/祥伝社</v>
      </c>
      <c r="V3276" s="8" t="str">
        <f>IFERROR(__xludf.DUMMYFUNCTION("""COMPUTED_VALUE"""),"須山香織（40）は銀行員の夫と25歳で結婚後、すぐに娘を出産。しばらくはデパートで美容部員の仕事を続けていたが、育児との両立が難しくなり30歳で退職。それからは専業主婦として家族を支えてきた。大好きな仕事からは離れたけど、念願のマイホームで過ごす平穏な毎日に満足していた、はずだった…。
「ママ、私…志望校変える。パパの浮気、気づいてるんだよね？」")</f>
        <v>須山香織（40）は銀行員の夫と25歳で結婚後、すぐに娘を出産。しばらくはデパートで美容部員の仕事を続けていたが、育児との両立が難しくなり30歳で退職。それからは専業主婦として家族を支えてきた。大好きな仕事からは離れたけど、念願のマイホームで過ごす平穏な毎日に満足していた、はずだった…。
「ママ、私…志望校変える。パパの浮気、気づいてるんだよね？」</v>
      </c>
      <c r="W3276" s="8" t="str">
        <f>IFERROR(__xludf.DUMMYFUNCTION("""COMPUTED_VALUE"""),"#REF!")</f>
        <v>#REF!</v>
      </c>
      <c r="X3276" s="8" t="str">
        <f>IFERROR(__xludf.DUMMYFUNCTION("""COMPUTED_VALUE"""),"有")</f>
        <v>有</v>
      </c>
      <c r="Y3276" s="8" t="str">
        <f>IFERROR(__xludf.DUMMYFUNCTION("""COMPUTED_VALUE"""),"2025/8/14まで1巻無料")</f>
        <v>2025/8/14まで1巻無料</v>
      </c>
      <c r="Z3276" s="7"/>
      <c r="AA3276" s="7"/>
      <c r="AB3276" s="7"/>
    </row>
    <row r="3277" ht="15.75" customHeight="1">
      <c r="A3277" s="153">
        <f>IFERROR(__xludf.DUMMYFUNCTION("""COMPUTED_VALUE"""),5469.0)</f>
        <v>5469</v>
      </c>
      <c r="B3277" s="152" t="str">
        <f>IFERROR(__xludf.DUMMYFUNCTION("""COMPUTED_VALUE"""),"確定")</f>
        <v>確定</v>
      </c>
      <c r="C3277" s="154">
        <f>IFERROR(__xludf.DUMMYFUNCTION("""COMPUTED_VALUE"""),45758.0)</f>
        <v>45758</v>
      </c>
      <c r="D3277" s="154">
        <f>IFERROR(__xludf.DUMMYFUNCTION("""COMPUTED_VALUE"""),45777.0)</f>
        <v>45777</v>
      </c>
      <c r="E3277" s="158">
        <f>IFERROR(__xludf.DUMMYFUNCTION("""COMPUTED_VALUE"""),323281.0)</f>
        <v>323281</v>
      </c>
      <c r="F3277" s="159" t="str">
        <f>IFERROR(__xludf.DUMMYFUNCTION("""COMPUTED_VALUE"""),"遭難は残業扱いになりますか?")</f>
        <v>遭難は残業扱いになりますか?</v>
      </c>
      <c r="G3277" s="152" t="str">
        <f>IFERROR(__xludf.DUMMYFUNCTION("""COMPUTED_VALUE"""),"1～2")</f>
        <v>1～2</v>
      </c>
      <c r="H3277" s="152" t="str">
        <f>IFERROR(__xludf.DUMMYFUNCTION("""COMPUTED_VALUE"""),"南志都")</f>
        <v>南志都</v>
      </c>
      <c r="I3277" s="152" t="str">
        <f>IFERROR(__xludf.DUMMYFUNCTION("""COMPUTED_VALUE"""),"BL")</f>
        <v>BL</v>
      </c>
      <c r="J3277" s="157"/>
      <c r="K3277" s="152" t="str">
        <f>IFERROR(__xludf.DUMMYFUNCTION("""COMPUTED_VALUE"""),"eXピアスシリーズ")</f>
        <v>eXピアスシリーズ</v>
      </c>
      <c r="L3277" s="152" t="str">
        <f>IFERROR(__xludf.DUMMYFUNCTION("""COMPUTED_VALUE"""),"ジュネット")</f>
        <v>ジュネット</v>
      </c>
      <c r="M3277" s="154">
        <f>IFERROR(__xludf.DUMMYFUNCTION("""COMPUTED_VALUE"""),45801.0)</f>
        <v>45801</v>
      </c>
      <c r="N3277" s="47">
        <f>IFERROR(__xludf.DUMMYFUNCTION("""COMPUTED_VALUE"""),45835.0)</f>
        <v>45835</v>
      </c>
      <c r="O3277" s="152"/>
      <c r="P3277" s="190" t="str">
        <f>IFERROR(__xludf.DUMMYFUNCTION("""COMPUTED_VALUE"""),"可")</f>
        <v>可</v>
      </c>
      <c r="Q3277" s="152"/>
      <c r="R3277" s="152" t="str">
        <f>IFERROR(__xludf.DUMMYFUNCTION("""COMPUTED_VALUE"""),"コミットNG")</f>
        <v>コミットNG</v>
      </c>
      <c r="S3277" s="152" t="str">
        <f>IFERROR(__xludf.DUMMYFUNCTION("""COMPUTED_VALUE"""),"20250428_ジュネット_遭難は残業扱いになりますか")</f>
        <v>20250428_ジュネット_遭難は残業扱いになりますか</v>
      </c>
      <c r="T3277" s="152" t="str">
        <f>IFERROR(__xludf.DUMMYFUNCTION("""COMPUTED_VALUE"""),"格納済み")</f>
        <v>格納済み</v>
      </c>
      <c r="U3277" s="15" t="str">
        <f>IFERROR(__xludf.DUMMYFUNCTION("""COMPUTED_VALUE"""),"Ⓒ南志都/ジュネット")</f>
        <v>Ⓒ南志都/ジュネット</v>
      </c>
      <c r="V3277" s="8" t="str">
        <f>IFERROR(__xludf.DUMMYFUNCTION("""COMPUTED_VALUE"""),"ゲイの新入社員・財前は憧れのイケメン社長と共に海外出張へ。だが、彼らが乗った旅客機は機体故障で海へ不時着、ネットも電気も水道もない無人島に漂着してしまう。財前（♂）・金成社長（♂）・姫宮秘書（♀）の３人はサバイバル生活を乗り切るために、それぞれの持ち物を出し合うことにしたのだが、姫宮のカバンから極太バイブが出現。半ベソ状態の彼女の名誉を守るべく、「それは俺のモノだ」と社長はフォロー。だがゲイの財前からしたら、思わぬ社長のカミングアウト（誤解）に大興奮。無人島にゲイ2人（誤解）という絶好のシチュエーションに"&amp;"、財前の鼻血は止まらない!?異色の無人島サバイバルBL、果たして3人は無事生還することができるのか??")</f>
        <v>ゲイの新入社員・財前は憧れのイケメン社長と共に海外出張へ。だが、彼らが乗った旅客機は機体故障で海へ不時着、ネットも電気も水道もない無人島に漂着してしまう。財前（♂）・金成社長（♂）・姫宮秘書（♀）の３人はサバイバル生活を乗り切るために、それぞれの持ち物を出し合うことにしたのだが、姫宮のカバンから極太バイブが出現。半ベソ状態の彼女の名誉を守るべく、「それは俺のモノだ」と社長はフォロー。だがゲイの財前からしたら、思わぬ社長のカミングアウト（誤解）に大興奮。無人島にゲイ2人（誤解）という絶好のシチュエーションに、財前の鼻血は止まらない!?異色の無人島サバイバルBL、果たして3人は無事生還することができるのか??</v>
      </c>
      <c r="W3277" s="14"/>
      <c r="X3277" s="14" t="str">
        <f>IFERROR(__xludf.DUMMYFUNCTION("""COMPUTED_VALUE"""),"有")</f>
        <v>有</v>
      </c>
      <c r="Y3277" s="8" t="str">
        <f>IFERROR(__xludf.DUMMYFUNCTION("""COMPUTED_VALUE"""),"P7まで")</f>
        <v>P7まで</v>
      </c>
      <c r="Z3277" s="7"/>
      <c r="AA3277" s="7"/>
      <c r="AB3277" s="7"/>
    </row>
    <row r="3278" ht="15.75" customHeight="1">
      <c r="A3278" s="153">
        <f>IFERROR(__xludf.DUMMYFUNCTION("""COMPUTED_VALUE"""),5532.0)</f>
        <v>5532</v>
      </c>
      <c r="B3278" s="152" t="str">
        <f>IFERROR(__xludf.DUMMYFUNCTION("""COMPUTED_VALUE"""),"確定")</f>
        <v>確定</v>
      </c>
      <c r="C3278" s="154">
        <f>IFERROR(__xludf.DUMMYFUNCTION("""COMPUTED_VALUE"""),45772.0)</f>
        <v>45772</v>
      </c>
      <c r="D3278" s="154">
        <f>IFERROR(__xludf.DUMMYFUNCTION("""COMPUTED_VALUE"""),45777.0)</f>
        <v>45777</v>
      </c>
      <c r="E3278" s="158">
        <f>IFERROR(__xludf.DUMMYFUNCTION("""COMPUTED_VALUE"""),323074.0)</f>
        <v>323074</v>
      </c>
      <c r="F3278" s="159" t="str">
        <f>IFERROR(__xludf.DUMMYFUNCTION("""COMPUTED_VALUE"""),"俺は恋する女の子")</f>
        <v>俺は恋する女の子</v>
      </c>
      <c r="G3278" s="152" t="str">
        <f>IFERROR(__xludf.DUMMYFUNCTION("""COMPUTED_VALUE"""),"1～4")</f>
        <v>1～4</v>
      </c>
      <c r="H3278" s="152" t="str">
        <f>IFERROR(__xludf.DUMMYFUNCTION("""COMPUTED_VALUE"""),"蒼樹めい")</f>
        <v>蒼樹めい</v>
      </c>
      <c r="I3278" s="161" t="str">
        <f>IFERROR(__xludf.DUMMYFUNCTION("""COMPUTED_VALUE"""),"女性")</f>
        <v>女性</v>
      </c>
      <c r="J3278" s="157"/>
      <c r="K3278" s="152" t="str">
        <f>IFERROR(__xludf.DUMMYFUNCTION("""COMPUTED_VALUE"""),"マンガMee")</f>
        <v>マンガMee</v>
      </c>
      <c r="L3278" s="152" t="str">
        <f>IFERROR(__xludf.DUMMYFUNCTION("""COMPUTED_VALUE"""),"集英社")</f>
        <v>集英社</v>
      </c>
      <c r="M3278" s="154">
        <f>IFERROR(__xludf.DUMMYFUNCTION("""COMPUTED_VALUE"""),45802.0)</f>
        <v>45802</v>
      </c>
      <c r="N3278" s="59">
        <f>IFERROR(__xludf.DUMMYFUNCTION("""COMPUTED_VALUE"""),45832.0)</f>
        <v>45832</v>
      </c>
      <c r="O3278" s="152"/>
      <c r="P3278" s="190" t="str">
        <f>IFERROR(__xludf.DUMMYFUNCTION("""COMPUTED_VALUE"""),"否")</f>
        <v>否</v>
      </c>
      <c r="Q3278" s="190"/>
      <c r="R3278" s="152"/>
      <c r="S3278" s="152" t="str">
        <f>IFERROR(__xludf.DUMMYFUNCTION("""COMPUTED_VALUE"""),"20250425_集英社_俺は恋する女の子")</f>
        <v>20250425_集英社_俺は恋する女の子</v>
      </c>
      <c r="T3278" s="152" t="str">
        <f>IFERROR(__xludf.DUMMYFUNCTION("""COMPUTED_VALUE"""),"格納済み")</f>
        <v>格納済み</v>
      </c>
      <c r="U3278" s="15" t="str">
        <f>IFERROR(__xludf.DUMMYFUNCTION("""COMPUTED_VALUE"""),"Ⓒ蒼樹めい／集英社")</f>
        <v>Ⓒ蒼樹めい／集英社</v>
      </c>
      <c r="V3278" s="8" t="str">
        <f>IFERROR(__xludf.DUMMYFUNCTION("""COMPUTED_VALUE"""),"初恋の女の子「響子ちゃん」を忘れられずにいる、女川悠里（男）。響子ちゃんが男嫌いであることが判明し、初恋を諦めかけていた。そんなある日、神社で恋愛祈願をしたところ、不思議な力によって女の子に変身していて――？　心はそのまま、女の子の姿ではじまる初恋リトライ!?")</f>
        <v>初恋の女の子「響子ちゃん」を忘れられずにいる、女川悠里（男）。響子ちゃんが男嫌いであることが判明し、初恋を諦めかけていた。そんなある日、神社で恋愛祈願をしたところ、不思議な力によって女の子に変身していて――？　心はそのまま、女の子の姿ではじまる初恋リトライ!?</v>
      </c>
      <c r="W3278" s="14"/>
      <c r="X3278" s="14" t="str">
        <f>IFERROR(__xludf.DUMMYFUNCTION("""COMPUTED_VALUE"""),"有")</f>
        <v>有</v>
      </c>
      <c r="Y3278" s="8" t="str">
        <f>IFERROR(__xludf.DUMMYFUNCTION("""COMPUTED_VALUE"""),"2025/6/24まで1巻無料")</f>
        <v>2025/6/24まで1巻無料</v>
      </c>
      <c r="Z3278" s="7"/>
      <c r="AA3278" s="7"/>
      <c r="AB3278" s="7"/>
    </row>
    <row r="3279" ht="15.75" customHeight="1">
      <c r="A3279" s="153">
        <f>IFERROR(__xludf.DUMMYFUNCTION("""COMPUTED_VALUE"""),5536.0)</f>
        <v>5536</v>
      </c>
      <c r="B3279" s="152" t="str">
        <f>IFERROR(__xludf.DUMMYFUNCTION("""COMPUTED_VALUE"""),"確定")</f>
        <v>確定</v>
      </c>
      <c r="C3279" s="154">
        <f>IFERROR(__xludf.DUMMYFUNCTION("""COMPUTED_VALUE"""),45772.0)</f>
        <v>45772</v>
      </c>
      <c r="D3279" s="154">
        <f>IFERROR(__xludf.DUMMYFUNCTION("""COMPUTED_VALUE"""),45777.0)</f>
        <v>45777</v>
      </c>
      <c r="E3279" s="153">
        <f>IFERROR(__xludf.DUMMYFUNCTION("""COMPUTED_VALUE"""),300697.0)</f>
        <v>300697</v>
      </c>
      <c r="F3279" s="152" t="str">
        <f>IFERROR(__xludf.DUMMYFUNCTION("""COMPUTED_VALUE"""),"私の作った王子様～転生脇役令嬢なのに、シナリオから外れて王太子に愛されてます～")</f>
        <v>私の作った王子様～転生脇役令嬢なのに、シナリオから外れて王太子に愛されてます～</v>
      </c>
      <c r="G3279" s="152" t="str">
        <f>IFERROR(__xludf.DUMMYFUNCTION("""COMPUTED_VALUE"""),"1～3")</f>
        <v>1～3</v>
      </c>
      <c r="H3279" s="152" t="str">
        <f>IFERROR(__xludf.DUMMYFUNCTION("""COMPUTED_VALUE"""),"峰藤おはな")</f>
        <v>峰藤おはな</v>
      </c>
      <c r="I3279" s="152" t="str">
        <f>IFERROR(__xludf.DUMMYFUNCTION("""COMPUTED_VALUE"""),"少女マンガ")</f>
        <v>少女マンガ</v>
      </c>
      <c r="J3279" s="157"/>
      <c r="K3279" s="152" t="str">
        <f>IFERROR(__xludf.DUMMYFUNCTION("""COMPUTED_VALUE"""),"トレモア・ロマンス,トレモアcollection")</f>
        <v>トレモア・ロマンス,トレモアcollection</v>
      </c>
      <c r="L3279" s="152" t="str">
        <f>IFERROR(__xludf.DUMMYFUNCTION("""COMPUTED_VALUE"""),"シーモアコミックス（トレモア）")</f>
        <v>シーモアコミックス（トレモア）</v>
      </c>
      <c r="M3279" s="154">
        <f>IFERROR(__xludf.DUMMYFUNCTION("""COMPUTED_VALUE"""),45814.0)</f>
        <v>45814</v>
      </c>
      <c r="N3279" s="199">
        <f>IFERROR(__xludf.DUMMYFUNCTION("""COMPUTED_VALUE"""),2958465.0)</f>
        <v>2958465</v>
      </c>
      <c r="O3279" s="152"/>
      <c r="P3279" s="190" t="str">
        <f>IFERROR(__xludf.DUMMYFUNCTION("""COMPUTED_VALUE"""),"可")</f>
        <v>可</v>
      </c>
      <c r="Q3279" s="190"/>
      <c r="R3279" s="152"/>
      <c r="S3279" s="152" t="str">
        <f>IFERROR(__xludf.DUMMYFUNCTION("""COMPUTED_VALUE"""),"20250425_シーモアコミックス_私の作った王子様～転生脇役令嬢なのに、シナリオから外れて王太子に愛されてます～")</f>
        <v>20250425_シーモアコミックス_私の作った王子様～転生脇役令嬢なのに、シナリオから外れて王太子に愛されてます～</v>
      </c>
      <c r="T3279" s="152" t="str">
        <f>IFERROR(__xludf.DUMMYFUNCTION("""COMPUTED_VALUE"""),"格納済み")</f>
        <v>格納済み</v>
      </c>
      <c r="U3279" s="9" t="str">
        <f>IFERROR(__xludf.DUMMYFUNCTION("""COMPUTED_VALUE"""),"Ⓒ峰藤おはな/シーモアコミックス")</f>
        <v>Ⓒ峰藤おはな/シーモアコミックス</v>
      </c>
      <c r="V3279" s="8" t="str">
        <f>IFERROR(__xludf.DUMMYFUNCTION("""COMPUTED_VALUE"""),"ゲーム制作会社で働いていた前世の記憶を取り戻したアン・アンブローズ。自分が作ったゲームのキャラに転生したことに気付いたアンだけど、転生したのはただのモブキャラだった。悪役令嬢の義姉として転生したアンは、大団円ルートである「王太子ジャックルート」を目指す。しかしなぜかシナリオ通りに動かない正ヒロイン・エリカ。それに呼応するように、ただのモブキャラでしかなかったはずのアンとジャックの距離が縮まっていき――…。")</f>
        <v>ゲーム制作会社で働いていた前世の記憶を取り戻したアン・アンブローズ。自分が作ったゲームのキャラに転生したことに気付いたアンだけど、転生したのはただのモブキャラだった。悪役令嬢の義姉として転生したアンは、大団円ルートである「王太子ジャックルート」を目指す。しかしなぜかシナリオ通りに動かない正ヒロイン・エリカ。それに呼応するように、ただのモブキャラでしかなかったはずのアンとジャックの距離が縮まっていき――…。</v>
      </c>
      <c r="W3279" s="8" t="str">
        <f>IFERROR(__xludf.DUMMYFUNCTION("""COMPUTED_VALUE"""),"#REF!")</f>
        <v>#REF!</v>
      </c>
      <c r="X3279" s="8" t="str">
        <f>IFERROR(__xludf.DUMMYFUNCTION("""COMPUTED_VALUE"""),"有")</f>
        <v>有</v>
      </c>
      <c r="Y3279" s="8" t="str">
        <f>IFERROR(__xludf.DUMMYFUNCTION("""COMPUTED_VALUE"""),"2025/12/31まで1巻無料")</f>
        <v>2025/12/31まで1巻無料</v>
      </c>
      <c r="Z3279" s="7"/>
      <c r="AA3279" s="7"/>
      <c r="AB3279" s="7"/>
    </row>
    <row r="3280" ht="15.75" customHeight="1">
      <c r="A3280" s="153">
        <f>IFERROR(__xludf.DUMMYFUNCTION("""COMPUTED_VALUE"""),5196.0)</f>
        <v>5196</v>
      </c>
      <c r="B3280" s="152" t="str">
        <f>IFERROR(__xludf.DUMMYFUNCTION("""COMPUTED_VALUE"""),"確定")</f>
        <v>確定</v>
      </c>
      <c r="C3280" s="154">
        <f>IFERROR(__xludf.DUMMYFUNCTION("""COMPUTED_VALUE"""),45722.0)</f>
        <v>45722</v>
      </c>
      <c r="D3280" s="154">
        <f>IFERROR(__xludf.DUMMYFUNCTION("""COMPUTED_VALUE"""),45784.0)</f>
        <v>45784</v>
      </c>
      <c r="E3280" s="157">
        <f>IFERROR(__xludf.DUMMYFUNCTION("""COMPUTED_VALUE"""),323251.0)</f>
        <v>323251</v>
      </c>
      <c r="F3280" s="152" t="str">
        <f>IFERROR(__xludf.DUMMYFUNCTION("""COMPUTED_VALUE"""),"ロマンス公園もうない")</f>
        <v>ロマンス公園もうない</v>
      </c>
      <c r="G3280" s="152" t="str">
        <f>IFERROR(__xludf.DUMMYFUNCTION("""COMPUTED_VALUE"""),"1～2")</f>
        <v>1～2</v>
      </c>
      <c r="H3280" s="152" t="str">
        <f>IFERROR(__xludf.DUMMYFUNCTION("""COMPUTED_VALUE"""),"さらば")</f>
        <v>さらば</v>
      </c>
      <c r="I3280" s="152" t="str">
        <f>IFERROR(__xludf.DUMMYFUNCTION("""COMPUTED_VALUE"""),"BL")</f>
        <v>BL</v>
      </c>
      <c r="J3280" s="157"/>
      <c r="K3280" s="152" t="str">
        <f>IFERROR(__xludf.DUMMYFUNCTION("""COMPUTED_VALUE"""),"NuPu")</f>
        <v>NuPu</v>
      </c>
      <c r="L3280" s="152" t="str">
        <f>IFERROR(__xludf.DUMMYFUNCTION("""COMPUTED_VALUE"""),"CLLENN")</f>
        <v>CLLENN</v>
      </c>
      <c r="M3280" s="154">
        <f>IFERROR(__xludf.DUMMYFUNCTION("""COMPUTED_VALUE"""),45806.0)</f>
        <v>45806</v>
      </c>
      <c r="N3280" s="154">
        <f>IFERROR(__xludf.DUMMYFUNCTION("""COMPUTED_VALUE"""),45868.0)</f>
        <v>45868</v>
      </c>
      <c r="O3280" s="152"/>
      <c r="P3280" s="190" t="str">
        <f>IFERROR(__xludf.DUMMYFUNCTION("""COMPUTED_VALUE"""),"可")</f>
        <v>可</v>
      </c>
      <c r="Q3280" s="152"/>
      <c r="R3280" s="152" t="str">
        <f>IFERROR(__xludf.DUMMYFUNCTION("""COMPUTED_VALUE"""),"コミットNG")</f>
        <v>コミットNG</v>
      </c>
      <c r="S3280" s="152" t="str">
        <f>IFERROR(__xludf.DUMMYFUNCTION("""COMPUTED_VALUE"""),"20250502_CLLENN_ロマンス公園もうない")</f>
        <v>20250502_CLLENN_ロマンス公園もうない</v>
      </c>
      <c r="T3280" s="152" t="str">
        <f>IFERROR(__xludf.DUMMYFUNCTION("""COMPUTED_VALUE"""),"格納済み")</f>
        <v>格納済み</v>
      </c>
      <c r="U3280" s="9" t="str">
        <f>IFERROR(__xludf.DUMMYFUNCTION("""COMPUTED_VALUE"""),"Ⓒさらば/CLLENN")</f>
        <v>Ⓒさらば/CLLENN</v>
      </c>
      <c r="V3280" s="8" t="str">
        <f>IFERROR(__xludf.DUMMYFUNCTION("""COMPUTED_VALUE"""),"「普通になるための幸せ（しかく）は、誰かがくれるものなの？」
過去の傷を抱えたまま、感情を置き去りにして生きてきたさくら。
帰る場所をなくし、辿り着いたのは、幼い頃を過ごした『ロマンス公園』の跡地だった。
そこで幼馴染だと語る開（あける）と再会し、流されるまま家に招かれる。
さくらは開が自分に特別な執着を抱いていることに気づくが、その理由は分からない。
さらに、開の部屋に自分の幼少期の写真が飾られているのを見つけてしまう……。
「君と過ごしたあの時が一番きれいな思い出だから、もう一度会"&amp;"えたらってずっと思ってたんだ。」
開もまた過去に囚われ、さくらとの再会で何かが変わると信じているようだった。
求められるまま同居を始めてしまうさくらだったが、
開の好意がくすぐったく、初めて芽生える感情に戸惑い始める――。
救われない2人が寄り添い、本当の愛を知っていく救済BL。")</f>
        <v>「普通になるための幸せ（しかく）は、誰かがくれるものなの？」
過去の傷を抱えたまま、感情を置き去りにして生きてきたさくら。
帰る場所をなくし、辿り着いたのは、幼い頃を過ごした『ロマンス公園』の跡地だった。
そこで幼馴染だと語る開（あける）と再会し、流されるまま家に招かれる。
さくらは開が自分に特別な執着を抱いていることに気づくが、その理由は分からない。
さらに、開の部屋に自分の幼少期の写真が飾られているのを見つけてしまう……。
「君と過ごしたあの時が一番きれいな思い出だから、もう一度会えたらってずっと思ってたんだ。」
開もまた過去に囚われ、さくらとの再会で何かが変わると信じているようだった。
求められるまま同居を始めてしまうさくらだったが、
開の好意がくすぐったく、初めて芽生える感情に戸惑い始める――。
救われない2人が寄り添い、本当の愛を知っていく救済BL。</v>
      </c>
      <c r="W3280" s="8" t="str">
        <f>IFERROR(__xludf.DUMMYFUNCTION("""COMPUTED_VALUE"""),"#REF!")</f>
        <v>#REF!</v>
      </c>
      <c r="X3280" s="8" t="str">
        <f>IFERROR(__xludf.DUMMYFUNCTION("""COMPUTED_VALUE"""),"有")</f>
        <v>有</v>
      </c>
      <c r="Y3280" s="8" t="str">
        <f>IFERROR(__xludf.DUMMYFUNCTION("""COMPUTED_VALUE"""),"2025/6/11まで1巻立ち読み増量(P18)")</f>
        <v>2025/6/11まで1巻立ち読み増量(P18)</v>
      </c>
      <c r="Z3280" s="7"/>
      <c r="AA3280" s="7"/>
      <c r="AB3280" s="7"/>
    </row>
    <row r="3281" ht="15.75" customHeight="1">
      <c r="A3281" s="153">
        <f>IFERROR(__xludf.DUMMYFUNCTION("""COMPUTED_VALUE"""),5370.0)</f>
        <v>5370</v>
      </c>
      <c r="B3281" s="152" t="str">
        <f>IFERROR(__xludf.DUMMYFUNCTION("""COMPUTED_VALUE"""),"確定")</f>
        <v>確定</v>
      </c>
      <c r="C3281" s="154">
        <f>IFERROR(__xludf.DUMMYFUNCTION("""COMPUTED_VALUE"""),45743.0)</f>
        <v>45743</v>
      </c>
      <c r="D3281" s="154">
        <f>IFERROR(__xludf.DUMMYFUNCTION("""COMPUTED_VALUE"""),45784.0)</f>
        <v>45784</v>
      </c>
      <c r="E3281" s="157">
        <f>IFERROR(__xludf.DUMMYFUNCTION("""COMPUTED_VALUE"""),325475.0)</f>
        <v>325475</v>
      </c>
      <c r="F3281" s="152" t="str">
        <f>IFERROR(__xludf.DUMMYFUNCTION("""COMPUTED_VALUE"""),"#最推しのママになった件")</f>
        <v>#最推しのママになった件</v>
      </c>
      <c r="G3281" s="152" t="str">
        <f>IFERROR(__xludf.DUMMYFUNCTION("""COMPUTED_VALUE"""),"1～2")</f>
        <v>1～2</v>
      </c>
      <c r="H3281" s="152" t="str">
        <f>IFERROR(__xludf.DUMMYFUNCTION("""COMPUTED_VALUE"""),"あるけ")</f>
        <v>あるけ</v>
      </c>
      <c r="I3281" s="152" t="str">
        <f>IFERROR(__xludf.DUMMYFUNCTION("""COMPUTED_VALUE"""),"BL")</f>
        <v>BL</v>
      </c>
      <c r="J3281" s="157"/>
      <c r="K3281" s="152" t="str">
        <f>IFERROR(__xludf.DUMMYFUNCTION("""COMPUTED_VALUE"""),"MooiComics")</f>
        <v>MooiComics</v>
      </c>
      <c r="L3281" s="152" t="str">
        <f>IFERROR(__xludf.DUMMYFUNCTION("""COMPUTED_VALUE"""),"CLLENN")</f>
        <v>CLLENN</v>
      </c>
      <c r="M3281" s="154">
        <f>IFERROR(__xludf.DUMMYFUNCTION("""COMPUTED_VALUE"""),45825.0)</f>
        <v>45825</v>
      </c>
      <c r="N3281" s="199">
        <f>IFERROR(__xludf.DUMMYFUNCTION("""COMPUTED_VALUE"""),45887.0)</f>
        <v>45887</v>
      </c>
      <c r="O3281" s="152"/>
      <c r="P3281" s="152" t="str">
        <f>IFERROR(__xludf.DUMMYFUNCTION("""COMPUTED_VALUE"""),"可")</f>
        <v>可</v>
      </c>
      <c r="Q3281" s="152" t="str">
        <f>IFERROR(__xludf.DUMMYFUNCTION("""COMPUTED_VALUE"""),"声フェチ夢男子×エロボイス配信者の設定です。&lt;BR&gt;1-2で性描写も多くあるので、アダルト広告など出稿についてご検討頂ければ幸いです。")</f>
        <v>声フェチ夢男子×エロボイス配信者の設定です。&lt;BR&gt;1-2で性描写も多くあるので、アダルト広告など出稿についてご検討頂ければ幸いです。</v>
      </c>
      <c r="R3281" s="152" t="str">
        <f>IFERROR(__xludf.DUMMYFUNCTION("""COMPUTED_VALUE"""),"コミットOK")</f>
        <v>コミットOK</v>
      </c>
      <c r="S3281" s="152" t="str">
        <f>IFERROR(__xludf.DUMMYFUNCTION("""COMPUTED_VALUE"""),"20250502_CLLENN_#最推しのママになった件")</f>
        <v>20250502_CLLENN_#最推しのママになった件</v>
      </c>
      <c r="T3281" s="152" t="str">
        <f>IFERROR(__xludf.DUMMYFUNCTION("""COMPUTED_VALUE"""),"格納済み")</f>
        <v>格納済み</v>
      </c>
      <c r="U3281" s="9" t="str">
        <f>IFERROR(__xludf.DUMMYFUNCTION("""COMPUTED_VALUE"""),"Ⓒあるけ/CLLENN")</f>
        <v>Ⓒあるけ/CLLENN</v>
      </c>
      <c r="V3281" s="8" t="str">
        <f>IFERROR(__xludf.DUMMYFUNCTION("""COMPUTED_VALUE"""),"「抱いてやろうか？　そういう妄想…普段からしてんだろ？」ゲーム実況者「shyo(ショウ)」にガチ恋中のヲタクである賀西由希(がさい・ゆき)。趣味は彼の声をオカズに、えっちな妄想をしながらファンアートを描くこと。しかしある日、その秘密がクラスメイトの東海林要(しょうじ・かなめ)にバレてしまう。彼の自宅に呼ばれた由希だったが、実は東海林＝最推しの「shyo」本人で――！？「Vtuberとして活動するためのイラストを描いて欲しい」と大好きな甘い声で囁かれながら、身体を触られ、由希は思わず感じてしまい……。×××"&amp;"な妄想が止まらない！【俺様Vtuber×ヲタク男子】の秘密のバーチャル・ラブコメディー！！")</f>
        <v>「抱いてやろうか？　そういう妄想…普段からしてんだろ？」ゲーム実況者「shyo(ショウ)」にガチ恋中のヲタクである賀西由希(がさい・ゆき)。趣味は彼の声をオカズに、えっちな妄想をしながらファンアートを描くこと。しかしある日、その秘密がクラスメイトの東海林要(しょうじ・かなめ)にバレてしまう。彼の自宅に呼ばれた由希だったが、実は東海林＝最推しの「shyo」本人で――！？「Vtuberとして活動するためのイラストを描いて欲しい」と大好きな甘い声で囁かれながら、身体を触られ、由希は思わず感じてしまい……。×××な妄想が止まらない！【俺様Vtuber×ヲタク男子】の秘密のバーチャル・ラブコメディー！！</v>
      </c>
      <c r="W3281" s="8" t="str">
        <f>IFERROR(__xludf.DUMMYFUNCTION("""COMPUTED_VALUE"""),"#REF!")</f>
        <v>#REF!</v>
      </c>
      <c r="X3281" s="8" t="str">
        <f>IFERROR(__xludf.DUMMYFUNCTION("""COMPUTED_VALUE"""),"有")</f>
        <v>有</v>
      </c>
      <c r="Y3281" s="8" t="str">
        <f>IFERROR(__xludf.DUMMYFUNCTION("""COMPUTED_VALUE"""),"2025/6/30まで1巻立ち読み増量(P17)")</f>
        <v>2025/6/30まで1巻立ち読み増量(P17)</v>
      </c>
      <c r="Z3281" s="7"/>
      <c r="AA3281" s="7"/>
      <c r="AB3281" s="7"/>
    </row>
    <row r="3282" ht="15.75" customHeight="1">
      <c r="A3282" s="153">
        <f>IFERROR(__xludf.DUMMYFUNCTION("""COMPUTED_VALUE"""),5371.0)</f>
        <v>5371</v>
      </c>
      <c r="B3282" s="152" t="str">
        <f>IFERROR(__xludf.DUMMYFUNCTION("""COMPUTED_VALUE"""),"確定")</f>
        <v>確定</v>
      </c>
      <c r="C3282" s="154">
        <f>IFERROR(__xludf.DUMMYFUNCTION("""COMPUTED_VALUE"""),45743.0)</f>
        <v>45743</v>
      </c>
      <c r="D3282" s="154">
        <f>IFERROR(__xludf.DUMMYFUNCTION("""COMPUTED_VALUE"""),45784.0)</f>
        <v>45784</v>
      </c>
      <c r="E3282" s="157">
        <f>IFERROR(__xludf.DUMMYFUNCTION("""COMPUTED_VALUE"""),324655.0)</f>
        <v>324655</v>
      </c>
      <c r="F3282" s="152" t="str">
        <f>IFERROR(__xludf.DUMMYFUNCTION("""COMPUTED_VALUE"""),"キスはゆきどけのあとにして")</f>
        <v>キスはゆきどけのあとにして</v>
      </c>
      <c r="G3282" s="152" t="str">
        <f>IFERROR(__xludf.DUMMYFUNCTION("""COMPUTED_VALUE"""),"1～3")</f>
        <v>1～3</v>
      </c>
      <c r="H3282" s="152" t="str">
        <f>IFERROR(__xludf.DUMMYFUNCTION("""COMPUTED_VALUE"""),"天月テノ")</f>
        <v>天月テノ</v>
      </c>
      <c r="I3282" s="152" t="str">
        <f>IFERROR(__xludf.DUMMYFUNCTION("""COMPUTED_VALUE"""),"BL")</f>
        <v>BL</v>
      </c>
      <c r="J3282" s="157"/>
      <c r="K3282" s="152" t="str">
        <f>IFERROR(__xludf.DUMMYFUNCTION("""COMPUTED_VALUE"""),"spicomi")</f>
        <v>spicomi</v>
      </c>
      <c r="L3282" s="152" t="str">
        <f>IFERROR(__xludf.DUMMYFUNCTION("""COMPUTED_VALUE"""),"CLLENN")</f>
        <v>CLLENN</v>
      </c>
      <c r="M3282" s="154">
        <f>IFERROR(__xludf.DUMMYFUNCTION("""COMPUTED_VALUE"""),45815.0)</f>
        <v>45815</v>
      </c>
      <c r="N3282" s="199">
        <f>IFERROR(__xludf.DUMMYFUNCTION("""COMPUTED_VALUE"""),45877.0)</f>
        <v>45877</v>
      </c>
      <c r="O3282" s="152"/>
      <c r="P3282" s="152" t="str">
        <f>IFERROR(__xludf.DUMMYFUNCTION("""COMPUTED_VALUE"""),"可")</f>
        <v>可</v>
      </c>
      <c r="Q3282" s="152" t="str">
        <f>IFERROR(__xludf.DUMMYFUNCTION("""COMPUTED_VALUE"""),"コチラの作品、初回３話展開を考えておりまして、配信開始と同時に１話をまるっと作家さんのXでポストして訴求予定です。&lt;BR&gt;全作品で万バズした経験もある作家さんなので、今回はSNSでバズらせて売るということを挑戦してみる予定です。&lt;BR&gt;もしよろしければ初回から１話無料も投入予定なので、訴求にご協力頂ければ幸いです。")</f>
        <v>コチラの作品、初回３話展開を考えておりまして、配信開始と同時に１話をまるっと作家さんのXでポストして訴求予定です。&lt;BR&gt;全作品で万バズした経験もある作家さんなので、今回はSNSでバズらせて売るということを挑戦してみる予定です。&lt;BR&gt;もしよろしければ初回から１話無料も投入予定なので、訴求にご協力頂ければ幸いです。</v>
      </c>
      <c r="R3282" s="152" t="str">
        <f>IFERROR(__xludf.DUMMYFUNCTION("""COMPUTED_VALUE"""),"コミットOK")</f>
        <v>コミットOK</v>
      </c>
      <c r="S3282" s="152" t="str">
        <f>IFERROR(__xludf.DUMMYFUNCTION("""COMPUTED_VALUE"""),"20250502_CLLENN_キスはゆきどけのあとにして")</f>
        <v>20250502_CLLENN_キスはゆきどけのあとにして</v>
      </c>
      <c r="T3282" s="152" t="str">
        <f>IFERROR(__xludf.DUMMYFUNCTION("""COMPUTED_VALUE"""),"格納済み")</f>
        <v>格納済み</v>
      </c>
      <c r="U3282" s="9" t="str">
        <f>IFERROR(__xludf.DUMMYFUNCTION("""COMPUTED_VALUE"""),"Ⓒ天月テノ/CLLENN")</f>
        <v>Ⓒ天月テノ/CLLENN</v>
      </c>
      <c r="V3282" s="8" t="str">
        <f>IFERROR(__xludf.DUMMYFUNCTION("""COMPUTED_VALUE"""),"「あんなにイきまくってた先生に言われても…ねぇ？」――クリスマスの夜、寂しさが募ってコールボーイを呼んだ嶺央（れお）は、激あまプレイが得意な“一夜限りのカレシ”ことユウキと甘い夜を過ごす。優しい囁き、とろけるような愛撫、まるで恋人のようなセックスで空っぽの穴が温かいもので満たされていく…。――そして春、新学期。教室で、目の前に、あのときのユウキ、夕騎（ゆき）がいた。教師の俺が生徒に抱かれたなんて…。それ以来、夕騎は互いの秘密を守ることを条件に専属契約を迫ってきて…？［年下自称カレシ×不器用なキズ持ち教師］"&amp;"禁断の甘い性生活がはじまる――。")</f>
        <v>「あんなにイきまくってた先生に言われても…ねぇ？」――クリスマスの夜、寂しさが募ってコールボーイを呼んだ嶺央（れお）は、激あまプレイが得意な“一夜限りのカレシ”ことユウキと甘い夜を過ごす。優しい囁き、とろけるような愛撫、まるで恋人のようなセックスで空っぽの穴が温かいもので満たされていく…。――そして春、新学期。教室で、目の前に、あのときのユウキ、夕騎（ゆき）がいた。教師の俺が生徒に抱かれたなんて…。それ以来、夕騎は互いの秘密を守ることを条件に専属契約を迫ってきて…？［年下自称カレシ×不器用なキズ持ち教師］禁断の甘い性生活がはじまる――。</v>
      </c>
      <c r="W3282" s="8" t="str">
        <f>IFERROR(__xludf.DUMMYFUNCTION("""COMPUTED_VALUE"""),"#REF!")</f>
        <v>#REF!</v>
      </c>
      <c r="X3282" s="8" t="str">
        <f>IFERROR(__xludf.DUMMYFUNCTION("""COMPUTED_VALUE"""),"有")</f>
        <v>有</v>
      </c>
      <c r="Y3282" s="8" t="str">
        <f>IFERROR(__xludf.DUMMYFUNCTION("""COMPUTED_VALUE"""),"P10まで")</f>
        <v>P10まで</v>
      </c>
      <c r="Z3282" s="7"/>
      <c r="AA3282" s="7"/>
      <c r="AB3282" s="7"/>
    </row>
    <row r="3283" ht="15.75" customHeight="1">
      <c r="A3283" s="153">
        <f>IFERROR(__xludf.DUMMYFUNCTION("""COMPUTED_VALUE"""),5411.0)</f>
        <v>5411</v>
      </c>
      <c r="B3283" s="152" t="str">
        <f>IFERROR(__xludf.DUMMYFUNCTION("""COMPUTED_VALUE"""),"確定")</f>
        <v>確定</v>
      </c>
      <c r="C3283" s="154">
        <f>IFERROR(__xludf.DUMMYFUNCTION("""COMPUTED_VALUE"""),45750.0)</f>
        <v>45750</v>
      </c>
      <c r="D3283" s="154">
        <f>IFERROR(__xludf.DUMMYFUNCTION("""COMPUTED_VALUE"""),45784.0)</f>
        <v>45784</v>
      </c>
      <c r="E3283" s="157">
        <f>IFERROR(__xludf.DUMMYFUNCTION("""COMPUTED_VALUE"""),325483.0)</f>
        <v>325483</v>
      </c>
      <c r="F3283" s="152" t="str">
        <f>IFERROR(__xludf.DUMMYFUNCTION("""COMPUTED_VALUE"""),"ハツコイ・リプライズ")</f>
        <v>ハツコイ・リプライズ</v>
      </c>
      <c r="G3283" s="152" t="str">
        <f>IFERROR(__xludf.DUMMYFUNCTION("""COMPUTED_VALUE"""),"1～2")</f>
        <v>1～2</v>
      </c>
      <c r="H3283" s="152" t="str">
        <f>IFERROR(__xludf.DUMMYFUNCTION("""COMPUTED_VALUE"""),"紫ネル")</f>
        <v>紫ネル</v>
      </c>
      <c r="I3283" s="152" t="str">
        <f>IFERROR(__xludf.DUMMYFUNCTION("""COMPUTED_VALUE"""),"BL")</f>
        <v>BL</v>
      </c>
      <c r="J3283" s="157"/>
      <c r="K3283" s="152" t="str">
        <f>IFERROR(__xludf.DUMMYFUNCTION("""COMPUTED_VALUE"""),"NuPu")</f>
        <v>NuPu</v>
      </c>
      <c r="L3283" s="152" t="str">
        <f>IFERROR(__xludf.DUMMYFUNCTION("""COMPUTED_VALUE"""),"CLLENN")</f>
        <v>CLLENN</v>
      </c>
      <c r="M3283" s="154">
        <f>IFERROR(__xludf.DUMMYFUNCTION("""COMPUTED_VALUE"""),45834.0)</f>
        <v>45834</v>
      </c>
      <c r="N3283" s="199">
        <f>IFERROR(__xludf.DUMMYFUNCTION("""COMPUTED_VALUE"""),45896.0)</f>
        <v>45896</v>
      </c>
      <c r="O3283" s="152"/>
      <c r="P3283" s="190" t="str">
        <f>IFERROR(__xludf.DUMMYFUNCTION("""COMPUTED_VALUE"""),"可")</f>
        <v>可</v>
      </c>
      <c r="Q3283" s="152"/>
      <c r="R3283" s="152" t="str">
        <f>IFERROR(__xludf.DUMMYFUNCTION("""COMPUTED_VALUE"""),"コミットNG")</f>
        <v>コミットNG</v>
      </c>
      <c r="S3283" s="152" t="str">
        <f>IFERROR(__xludf.DUMMYFUNCTION("""COMPUTED_VALUE"""),"20250502_CLLENN_ハツコイ・リプライズ")</f>
        <v>20250502_CLLENN_ハツコイ・リプライズ</v>
      </c>
      <c r="T3283" s="152" t="str">
        <f>IFERROR(__xludf.DUMMYFUNCTION("""COMPUTED_VALUE"""),"格納済み")</f>
        <v>格納済み</v>
      </c>
      <c r="U3283" s="9" t="str">
        <f>IFERROR(__xludf.DUMMYFUNCTION("""COMPUTED_VALUE"""),"Ⓒ紫ネル/CLLENN")</f>
        <v>Ⓒ紫ネル/CLLENN</v>
      </c>
      <c r="V3283" s="8"/>
      <c r="W3283" s="8"/>
      <c r="X3283" s="8" t="str">
        <f>IFERROR(__xludf.DUMMYFUNCTION("""COMPUTED_VALUE"""),"有")</f>
        <v>有</v>
      </c>
      <c r="Y3283" s="8" t="str">
        <f>IFERROR(__xludf.DUMMYFUNCTION("""COMPUTED_VALUE"""),"P10まで")</f>
        <v>P10まで</v>
      </c>
      <c r="Z3283" s="7"/>
      <c r="AA3283" s="7"/>
      <c r="AB3283" s="7"/>
    </row>
    <row r="3284" ht="15.75" customHeight="1">
      <c r="A3284" s="153">
        <f>IFERROR(__xludf.DUMMYFUNCTION("""COMPUTED_VALUE"""),5513.0)</f>
        <v>5513</v>
      </c>
      <c r="B3284" s="152" t="str">
        <f>IFERROR(__xludf.DUMMYFUNCTION("""COMPUTED_VALUE"""),"確定")</f>
        <v>確定</v>
      </c>
      <c r="C3284" s="154">
        <f>IFERROR(__xludf.DUMMYFUNCTION("""COMPUTED_VALUE"""),45768.0)</f>
        <v>45768</v>
      </c>
      <c r="D3284" s="154">
        <f>IFERROR(__xludf.DUMMYFUNCTION("""COMPUTED_VALUE"""),45784.0)</f>
        <v>45784</v>
      </c>
      <c r="E3284" s="157">
        <f>IFERROR(__xludf.DUMMYFUNCTION("""COMPUTED_VALUE"""),326634.0)</f>
        <v>326634</v>
      </c>
      <c r="F3284" s="152" t="str">
        <f>IFERROR(__xludf.DUMMYFUNCTION("""COMPUTED_VALUE"""),"人喰い村～ケガレノマツリ～分冊版")</f>
        <v>人喰い村～ケガレノマツリ～分冊版</v>
      </c>
      <c r="G3284" s="152" t="str">
        <f>IFERROR(__xludf.DUMMYFUNCTION("""COMPUTED_VALUE"""),"1～3")</f>
        <v>1～3</v>
      </c>
      <c r="H3284" s="152" t="str">
        <f>IFERROR(__xludf.DUMMYFUNCTION("""COMPUTED_VALUE"""),"ナガイザワモトキ・羽鳥舞雪（ハトリ マユ）FTops")</f>
        <v>ナガイザワモトキ・羽鳥舞雪（ハトリ マユ）FTops</v>
      </c>
      <c r="I3284" s="152" t="str">
        <f>IFERROR(__xludf.DUMMYFUNCTION("""COMPUTED_VALUE"""),"青年")</f>
        <v>青年</v>
      </c>
      <c r="J3284" s="157"/>
      <c r="K3284" s="157"/>
      <c r="L3284" s="152" t="str">
        <f>IFERROR(__xludf.DUMMYFUNCTION("""COMPUTED_VALUE"""),"双葉社")</f>
        <v>双葉社</v>
      </c>
      <c r="M3284" s="154">
        <f>IFERROR(__xludf.DUMMYFUNCTION("""COMPUTED_VALUE"""),45830.0)</f>
        <v>45830</v>
      </c>
      <c r="N3284" s="199">
        <f>IFERROR(__xludf.DUMMYFUNCTION("""COMPUTED_VALUE"""),45951.66666666667)</f>
        <v>45951.66667</v>
      </c>
      <c r="O3284" s="152"/>
      <c r="P3284" s="190" t="str">
        <f>IFERROR(__xludf.DUMMYFUNCTION("""COMPUTED_VALUE"""),"可")</f>
        <v>可</v>
      </c>
      <c r="Q3284" s="152"/>
      <c r="R3284" s="152" t="str">
        <f>IFERROR(__xludf.DUMMYFUNCTION("""COMPUTED_VALUE"""),"コミットOK")</f>
        <v>コミットOK</v>
      </c>
      <c r="S3284" s="152" t="str">
        <f>IFERROR(__xludf.DUMMYFUNCTION("""COMPUTED_VALUE"""),"20250502_双葉社_人喰い村～ケガレノマツリ～")</f>
        <v>20250502_双葉社_人喰い村～ケガレノマツリ～</v>
      </c>
      <c r="T3284" s="152" t="str">
        <f>IFERROR(__xludf.DUMMYFUNCTION("""COMPUTED_VALUE"""),"格納済み")</f>
        <v>格納済み</v>
      </c>
      <c r="U3284" s="9" t="str">
        <f>IFERROR(__xludf.DUMMYFUNCTION("""COMPUTED_VALUE"""),"(C)ナガイザワモトキ・羽鳥舞雪・FTops/双葉社")</f>
        <v>(C)ナガイザワモトキ・羽鳥舞雪・FTops/双葉社</v>
      </c>
      <c r="V3284" s="8"/>
      <c r="W3284" s="8"/>
      <c r="X3284" s="8" t="str">
        <f>IFERROR(__xludf.DUMMYFUNCTION("""COMPUTED_VALUE"""),"有")</f>
        <v>有</v>
      </c>
      <c r="Y3284" s="8" t="str">
        <f>IFERROR(__xludf.DUMMYFUNCTION("""COMPUTED_VALUE"""),"2025/7/5まで1巻無料")</f>
        <v>2025/7/5まで1巻無料</v>
      </c>
      <c r="Z3284" s="7"/>
      <c r="AA3284" s="7"/>
      <c r="AB3284" s="7"/>
    </row>
    <row r="3285" ht="15.75" customHeight="1">
      <c r="A3285" s="153">
        <f>IFERROR(__xludf.DUMMYFUNCTION("""COMPUTED_VALUE"""),5530.0)</f>
        <v>5530</v>
      </c>
      <c r="B3285" s="152" t="str">
        <f>IFERROR(__xludf.DUMMYFUNCTION("""COMPUTED_VALUE"""),"確定")</f>
        <v>確定</v>
      </c>
      <c r="C3285" s="154">
        <f>IFERROR(__xludf.DUMMYFUNCTION("""COMPUTED_VALUE"""),45771.0)</f>
        <v>45771</v>
      </c>
      <c r="D3285" s="154">
        <f>IFERROR(__xludf.DUMMYFUNCTION("""COMPUTED_VALUE"""),45778.0)</f>
        <v>45778</v>
      </c>
      <c r="E3285" s="157">
        <f>IFERROR(__xludf.DUMMYFUNCTION("""COMPUTED_VALUE"""),325083.0)</f>
        <v>325083</v>
      </c>
      <c r="F3285" s="152" t="str">
        <f>IFERROR(__xludf.DUMMYFUNCTION("""COMPUTED_VALUE"""),"青空に村雨～土地神様の生贄ですが、花嫁として寵愛を賜っております～")</f>
        <v>青空に村雨～土地神様の生贄ですが、花嫁として寵愛を賜っております～</v>
      </c>
      <c r="G3285" s="152" t="str">
        <f>IFERROR(__xludf.DUMMYFUNCTION("""COMPUTED_VALUE"""),"1～10")</f>
        <v>1～10</v>
      </c>
      <c r="H3285" s="152" t="str">
        <f>IFERROR(__xludf.DUMMYFUNCTION("""COMPUTED_VALUE"""),"壇ダリア┴時任奏┴グルナ編集部")</f>
        <v>壇ダリア┴時任奏┴グルナ編集部</v>
      </c>
      <c r="I3285" s="152" t="str">
        <f>IFERROR(__xludf.DUMMYFUNCTION("""COMPUTED_VALUE"""),"女性")</f>
        <v>女性</v>
      </c>
      <c r="J3285" s="157"/>
      <c r="K3285" s="157"/>
      <c r="L3285" s="152" t="str">
        <f>IFERROR(__xludf.DUMMYFUNCTION("""COMPUTED_VALUE"""),"ライブコミックス")</f>
        <v>ライブコミックス</v>
      </c>
      <c r="M3285" s="154">
        <f>IFERROR(__xludf.DUMMYFUNCTION("""COMPUTED_VALUE"""),45835.0)</f>
        <v>45835</v>
      </c>
      <c r="N3285" s="199">
        <f>IFERROR(__xludf.DUMMYFUNCTION("""COMPUTED_VALUE"""),45890.0)</f>
        <v>45890</v>
      </c>
      <c r="O3285" s="152"/>
      <c r="P3285" s="152" t="str">
        <f>IFERROR(__xludf.DUMMYFUNCTION("""COMPUTED_VALUE"""),"可")</f>
        <v>可</v>
      </c>
      <c r="Q3285" s="152" t="str">
        <f>IFERROR(__xludf.DUMMYFUNCTION("""COMPUTED_VALUE"""),"BookLiveからの2次先行です&lt;BR&gt;1～7巻の情報にてご検討＆ご制作おねがいします。")</f>
        <v>BookLiveからの2次先行です&lt;BR&gt;1～7巻の情報にてご検討＆ご制作おねがいします。</v>
      </c>
      <c r="R3285" s="152" t="str">
        <f>IFERROR(__xludf.DUMMYFUNCTION("""COMPUTED_VALUE"""),"コミットOK")</f>
        <v>コミットOK</v>
      </c>
      <c r="S3285" s="152" t="str">
        <f>IFERROR(__xludf.DUMMYFUNCTION("""COMPUTED_VALUE"""),"20250424_BookLive_青空に村雨～土地神様の生贄ですが、花嫁として寵愛を賜っております～")</f>
        <v>20250424_BookLive_青空に村雨～土地神様の生贄ですが、花嫁として寵愛を賜っております～</v>
      </c>
      <c r="T3285" s="152" t="str">
        <f>IFERROR(__xludf.DUMMYFUNCTION("""COMPUTED_VALUE"""),"格納済み")</f>
        <v>格納済み</v>
      </c>
      <c r="U3285" s="9" t="str">
        <f>IFERROR(__xludf.DUMMYFUNCTION("""COMPUTED_VALUE"""),"(C)壇ダリア・時任奏/ライブコミックス")</f>
        <v>(C)壇ダリア・時任奏/ライブコミックス</v>
      </c>
      <c r="V3285" s="8"/>
      <c r="W3285" s="8"/>
      <c r="X3285" s="8" t="str">
        <f>IFERROR(__xludf.DUMMYFUNCTION("""COMPUTED_VALUE"""),"有")</f>
        <v>有</v>
      </c>
      <c r="Y3285" s="8" t="str">
        <f>IFERROR(__xludf.DUMMYFUNCTION("""COMPUTED_VALUE"""),"2025/7/24まで1~2巻無料")</f>
        <v>2025/7/24まで1~2巻無料</v>
      </c>
      <c r="Z3285" s="7"/>
      <c r="AA3285" s="7"/>
      <c r="AB3285" s="7"/>
    </row>
    <row r="3286" ht="15.75" customHeight="1">
      <c r="A3286" s="153">
        <f>IFERROR(__xludf.DUMMYFUNCTION("""COMPUTED_VALUE"""),5543.0)</f>
        <v>5543</v>
      </c>
      <c r="B3286" s="152" t="str">
        <f>IFERROR(__xludf.DUMMYFUNCTION("""COMPUTED_VALUE"""),"確定")</f>
        <v>確定</v>
      </c>
      <c r="C3286" s="154">
        <f>IFERROR(__xludf.DUMMYFUNCTION("""COMPUTED_VALUE"""),45777.0)</f>
        <v>45777</v>
      </c>
      <c r="D3286" s="154">
        <f>IFERROR(__xludf.DUMMYFUNCTION("""COMPUTED_VALUE"""),45784.0)</f>
        <v>45784</v>
      </c>
      <c r="E3286" s="153">
        <f>IFERROR(__xludf.DUMMYFUNCTION("""COMPUTED_VALUE"""),286280.0)</f>
        <v>286280</v>
      </c>
      <c r="F3286" s="152" t="str">
        <f>IFERROR(__xludf.DUMMYFUNCTION("""COMPUTED_VALUE"""),"クセあり天使と1K暮らし")</f>
        <v>クセあり天使と1K暮らし</v>
      </c>
      <c r="G3286" s="152" t="str">
        <f>IFERROR(__xludf.DUMMYFUNCTION("""COMPUTED_VALUE"""),"1～3")</f>
        <v>1～3</v>
      </c>
      <c r="H3286" s="152" t="str">
        <f>IFERROR(__xludf.DUMMYFUNCTION("""COMPUTED_VALUE"""),"むしろ")</f>
        <v>むしろ</v>
      </c>
      <c r="I3286" s="152" t="str">
        <f>IFERROR(__xludf.DUMMYFUNCTION("""COMPUTED_VALUE"""),"女性マンガ")</f>
        <v>女性マンガ</v>
      </c>
      <c r="J3286" s="157"/>
      <c r="K3286" s="152" t="str">
        <f>IFERROR(__xludf.DUMMYFUNCTION("""COMPUTED_VALUE"""),"恋するソワレ")</f>
        <v>恋するソワレ</v>
      </c>
      <c r="L3286" s="152" t="str">
        <f>IFERROR(__xludf.DUMMYFUNCTION("""COMPUTED_VALUE"""),"シーモアコミックス")</f>
        <v>シーモアコミックス</v>
      </c>
      <c r="M3286" s="154">
        <f>IFERROR(__xludf.DUMMYFUNCTION("""COMPUTED_VALUE"""),45815.0)</f>
        <v>45815</v>
      </c>
      <c r="N3286" s="199">
        <f>IFERROR(__xludf.DUMMYFUNCTION("""COMPUTED_VALUE"""),2958465.0)</f>
        <v>2958465</v>
      </c>
      <c r="O3286" s="152"/>
      <c r="P3286" s="190" t="str">
        <f>IFERROR(__xludf.DUMMYFUNCTION("""COMPUTED_VALUE"""),"可")</f>
        <v>可</v>
      </c>
      <c r="Q3286" s="190"/>
      <c r="R3286" s="152"/>
      <c r="S3286" s="152" t="str">
        <f>IFERROR(__xludf.DUMMYFUNCTION("""COMPUTED_VALUE"""),"20250502_シーモアコミックス_クセあり天使と1K暮らし")</f>
        <v>20250502_シーモアコミックス_クセあり天使と1K暮らし</v>
      </c>
      <c r="T3286" s="152" t="str">
        <f>IFERROR(__xludf.DUMMYFUNCTION("""COMPUTED_VALUE"""),"格納済み")</f>
        <v>格納済み</v>
      </c>
      <c r="U3286" s="9" t="str">
        <f>IFERROR(__xludf.DUMMYFUNCTION("""COMPUTED_VALUE"""),"(C) むしろ/シーモアコミックス")</f>
        <v>(C) むしろ/シーモアコミックス</v>
      </c>
      <c r="V3286" s="8" t="str">
        <f>IFERROR(__xludf.DUMMYFUNCTION("""COMPUTED_VALUE"""),"数年付き合っていた彼氏が友達と浮気、仕事は上司とのトラブルで謹慎処分、推しのアイドルの電撃引退…
人生どん底の森本うらら25歳、天使との暮らしはじめます――。
人生を投げ出そうとしたうららの前に現れたのは、超絶美形の天使だった。
「俺がうららを幸せにしてみせるぞ」と彼女を幸せにするために天界から派遣されてきたという…
怪しいと警戒していたが、ご飯を作ってくれたり、掃除をしてくれたり、
生活しやすい環境を作ってくれて…この生活、意外と心地いい!?
すり減ってしまった元気や自信を取り戻しながら、人生をリスタ"&amp;"ートする同居ラブコメディ！
【恋するソワレ】")</f>
        <v>数年付き合っていた彼氏が友達と浮気、仕事は上司とのトラブルで謹慎処分、推しのアイドルの電撃引退…
人生どん底の森本うらら25歳、天使との暮らしはじめます――。
人生を投げ出そうとしたうららの前に現れたのは、超絶美形の天使だった。
「俺がうららを幸せにしてみせるぞ」と彼女を幸せにするために天界から派遣されてきたという…
怪しいと警戒していたが、ご飯を作ってくれたり、掃除をしてくれたり、
生活しやすい環境を作ってくれて…この生活、意外と心地いい!?
すり減ってしまった元気や自信を取り戻しながら、人生をリスタートする同居ラブコメディ！
【恋するソワレ】</v>
      </c>
      <c r="W3286" s="8" t="str">
        <f>IFERROR(__xludf.DUMMYFUNCTION("""COMPUTED_VALUE"""),"#REF!")</f>
        <v>#REF!</v>
      </c>
      <c r="X3286" s="8" t="str">
        <f>IFERROR(__xludf.DUMMYFUNCTION("""COMPUTED_VALUE"""),"有")</f>
        <v>有</v>
      </c>
      <c r="Y3286" s="8" t="str">
        <f>IFERROR(__xludf.DUMMYFUNCTION("""COMPUTED_VALUE"""),"2025/7/4まで1巻無料")</f>
        <v>2025/7/4まで1巻無料</v>
      </c>
      <c r="Z3286" s="7"/>
      <c r="AA3286" s="7"/>
      <c r="AB3286" s="7"/>
    </row>
    <row r="3287" ht="15.75" customHeight="1">
      <c r="A3287" s="153">
        <f>IFERROR(__xludf.DUMMYFUNCTION("""COMPUTED_VALUE"""),5550.0)</f>
        <v>5550</v>
      </c>
      <c r="B3287" s="152" t="str">
        <f>IFERROR(__xludf.DUMMYFUNCTION("""COMPUTED_VALUE"""),"確定")</f>
        <v>確定</v>
      </c>
      <c r="C3287" s="154">
        <f>IFERROR(__xludf.DUMMYFUNCTION("""COMPUTED_VALUE"""),45778.0)</f>
        <v>45778</v>
      </c>
      <c r="D3287" s="154">
        <f>IFERROR(__xludf.DUMMYFUNCTION("""COMPUTED_VALUE"""),45778.0)</f>
        <v>45778</v>
      </c>
      <c r="E3287" s="157">
        <f>IFERROR(__xludf.DUMMYFUNCTION("""COMPUTED_VALUE"""),323023.0)</f>
        <v>323023</v>
      </c>
      <c r="F3287" s="152" t="str">
        <f>IFERROR(__xludf.DUMMYFUNCTION("""COMPUTED_VALUE"""),"不遇な令嬢はエリート魔術師の重すぎる愛に気がつかない")</f>
        <v>不遇な令嬢はエリート魔術師の重すぎる愛に気がつかない</v>
      </c>
      <c r="G3287" s="152" t="str">
        <f>IFERROR(__xludf.DUMMYFUNCTION("""COMPUTED_VALUE"""),"1～4")</f>
        <v>1～4</v>
      </c>
      <c r="H3287" s="152" t="str">
        <f>IFERROR(__xludf.DUMMYFUNCTION("""COMPUTED_VALUE"""),"市川ショウ/夢魔子/よしざわ未菜子")</f>
        <v>市川ショウ/夢魔子/よしざわ未菜子</v>
      </c>
      <c r="I3287" s="152" t="str">
        <f>IFERROR(__xludf.DUMMYFUNCTION("""COMPUTED_VALUE"""),"少女")</f>
        <v>少女</v>
      </c>
      <c r="J3287" s="157"/>
      <c r="K3287" s="152" t="str">
        <f>IFERROR(__xludf.DUMMYFUNCTION("""COMPUTED_VALUE"""),"comicスピラ")</f>
        <v>comicスピラ</v>
      </c>
      <c r="L3287" s="152" t="str">
        <f>IFERROR(__xludf.DUMMYFUNCTION("""COMPUTED_VALUE"""),"ファンギルド")</f>
        <v>ファンギルド</v>
      </c>
      <c r="M3287" s="154">
        <f>IFERROR(__xludf.DUMMYFUNCTION("""COMPUTED_VALUE"""),45827.0)</f>
        <v>45827</v>
      </c>
      <c r="N3287" s="199">
        <f>IFERROR(__xludf.DUMMYFUNCTION("""COMPUTED_VALUE"""),45889.0)</f>
        <v>45889</v>
      </c>
      <c r="O3287" s="152"/>
      <c r="P3287" s="190" t="str">
        <f>IFERROR(__xludf.DUMMYFUNCTION("""COMPUTED_VALUE"""),"可")</f>
        <v>可</v>
      </c>
      <c r="Q3287" s="190"/>
      <c r="R3287" s="152"/>
      <c r="S3287" s="152" t="str">
        <f>IFERROR(__xludf.DUMMYFUNCTION("""COMPUTED_VALUE"""),"20250501_ファンギルド_不遇な令嬢はエリート魔術師の重すぎる愛に気がつかない")</f>
        <v>20250501_ファンギルド_不遇な令嬢はエリート魔術師の重すぎる愛に気がつかない</v>
      </c>
      <c r="T3287" s="152" t="str">
        <f>IFERROR(__xludf.DUMMYFUNCTION("""COMPUTED_VALUE"""),"格納済み")</f>
        <v>格納済み</v>
      </c>
      <c r="U3287" s="9" t="str">
        <f>IFERROR(__xludf.DUMMYFUNCTION("""COMPUTED_VALUE"""),"Ⓒ市川ショウ/夢魔子/よしざわ未菜子/ファンギルド")</f>
        <v>Ⓒ市川ショウ/夢魔子/よしざわ未菜子/ファンギルド</v>
      </c>
      <c r="V3287" s="8"/>
      <c r="W3287" s="8"/>
      <c r="X3287" s="8" t="str">
        <f>IFERROR(__xludf.DUMMYFUNCTION("""COMPUTED_VALUE"""),"有")</f>
        <v>有</v>
      </c>
      <c r="Y3287" s="8" t="str">
        <f>IFERROR(__xludf.DUMMYFUNCTION("""COMPUTED_VALUE"""),"P13まで")</f>
        <v>P13まで</v>
      </c>
      <c r="Z3287" s="7"/>
      <c r="AA3287" s="7"/>
      <c r="AB3287" s="7"/>
    </row>
    <row r="3288" ht="15.75" customHeight="1">
      <c r="A3288" s="153">
        <f>IFERROR(__xludf.DUMMYFUNCTION("""COMPUTED_VALUE"""),5551.0)</f>
        <v>5551</v>
      </c>
      <c r="B3288" s="152" t="str">
        <f>IFERROR(__xludf.DUMMYFUNCTION("""COMPUTED_VALUE"""),"確定")</f>
        <v>確定</v>
      </c>
      <c r="C3288" s="154">
        <f>IFERROR(__xludf.DUMMYFUNCTION("""COMPUTED_VALUE"""),45778.0)</f>
        <v>45778</v>
      </c>
      <c r="D3288" s="154">
        <f>IFERROR(__xludf.DUMMYFUNCTION("""COMPUTED_VALUE"""),45778.0)</f>
        <v>45778</v>
      </c>
      <c r="E3288" s="157">
        <f>IFERROR(__xludf.DUMMYFUNCTION("""COMPUTED_VALUE"""),323031.0)</f>
        <v>323031</v>
      </c>
      <c r="F3288" s="152" t="str">
        <f>IFERROR(__xludf.DUMMYFUNCTION("""COMPUTED_VALUE"""),"先輩、濡れすぎです。～かわいい後輩の本性は過激な溺愛系～")</f>
        <v>先輩、濡れすぎです。～かわいい後輩の本性は過激な溺愛系～</v>
      </c>
      <c r="G3288" s="152" t="str">
        <f>IFERROR(__xludf.DUMMYFUNCTION("""COMPUTED_VALUE"""),"1～2")</f>
        <v>1～2</v>
      </c>
      <c r="H3288" s="152" t="str">
        <f>IFERROR(__xludf.DUMMYFUNCTION("""COMPUTED_VALUE"""),"岡江りん子")</f>
        <v>岡江りん子</v>
      </c>
      <c r="I3288" s="152" t="str">
        <f>IFERROR(__xludf.DUMMYFUNCTION("""COMPUTED_VALUE"""),"TL")</f>
        <v>TL</v>
      </c>
      <c r="J3288" s="157"/>
      <c r="K3288" s="152" t="str">
        <f>IFERROR(__xludf.DUMMYFUNCTION("""COMPUTED_VALUE"""),"ラブきゅんコミック")</f>
        <v>ラブきゅんコミック</v>
      </c>
      <c r="L3288" s="152" t="str">
        <f>IFERROR(__xludf.DUMMYFUNCTION("""COMPUTED_VALUE"""),"モバイルメディアリサーチ")</f>
        <v>モバイルメディアリサーチ</v>
      </c>
      <c r="M3288" s="154">
        <f>IFERROR(__xludf.DUMMYFUNCTION("""COMPUTED_VALUE"""),45822.0)</f>
        <v>45822</v>
      </c>
      <c r="N3288" s="199">
        <f>IFERROR(__xludf.DUMMYFUNCTION("""COMPUTED_VALUE"""),45849.0)</f>
        <v>45849</v>
      </c>
      <c r="O3288" s="152"/>
      <c r="P3288" s="190" t="str">
        <f>IFERROR(__xludf.DUMMYFUNCTION("""COMPUTED_VALUE"""),"可")</f>
        <v>可</v>
      </c>
      <c r="Q3288" s="190"/>
      <c r="R3288" s="152"/>
      <c r="S3288" s="152" t="str">
        <f>IFERROR(__xludf.DUMMYFUNCTION("""COMPUTED_VALUE"""),"20250501_ファンギルド_先輩、濡れすぎです。～かわいい後輩の本性は過激な溺愛系～")</f>
        <v>20250501_ファンギルド_先輩、濡れすぎです。～かわいい後輩の本性は過激な溺愛系～</v>
      </c>
      <c r="T3288" s="152" t="str">
        <f>IFERROR(__xludf.DUMMYFUNCTION("""COMPUTED_VALUE"""),"格納済み")</f>
        <v>格納済み</v>
      </c>
      <c r="U3288" s="9" t="str">
        <f>IFERROR(__xludf.DUMMYFUNCTION("""COMPUTED_VALUE"""),"Ⓒ岡江りん子/モバイルメディアリサーチ")</f>
        <v>Ⓒ岡江りん子/モバイルメディアリサーチ</v>
      </c>
      <c r="V3288" s="8" t="str">
        <f>IFERROR(__xludf.DUMMYFUNCTION("""COMPUTED_VALUE"""),"「気持ちいい？玲さん…ほらもうお漏らしが止まんない…」本当にシちゃうんだ…会社の後輩と、セックスを――綾瀬玲は周りから「かっこいい」と言われるクール系女子。本心では女性らしさや恋愛に憧れているけど…気づいたら処女のままアラサーに突入、一人寂しく自分を慰める日々。そんなある日、会社の愛されキャラ・高橋が真剣な眼差しで「ホントの綾瀬さんを見せてくれません？」と耳元でささやいてきて…エッチな自分の姿を暴かれて、ずっと憧れていたセックスに、初めてなのにありえないくらい感じてしまって…！？エロ過ぎるギャップを持つ後"&amp;"輩の過激な溺愛が止まりません！")</f>
        <v>「気持ちいい？玲さん…ほらもうお漏らしが止まんない…」本当にシちゃうんだ…会社の後輩と、セックスを――綾瀬玲は周りから「かっこいい」と言われるクール系女子。本心では女性らしさや恋愛に憧れているけど…気づいたら処女のままアラサーに突入、一人寂しく自分を慰める日々。そんなある日、会社の愛されキャラ・高橋が真剣な眼差しで「ホントの綾瀬さんを見せてくれません？」と耳元でささやいてきて…エッチな自分の姿を暴かれて、ずっと憧れていたセックスに、初めてなのにありえないくらい感じてしまって…！？エロ過ぎるギャップを持つ後輩の過激な溺愛が止まりません！</v>
      </c>
      <c r="W3288" s="8" t="str">
        <f>IFERROR(__xludf.DUMMYFUNCTION("""COMPUTED_VALUE"""),"#REF!")</f>
        <v>#REF!</v>
      </c>
      <c r="X3288" s="8" t="str">
        <f>IFERROR(__xludf.DUMMYFUNCTION("""COMPUTED_VALUE"""),"有")</f>
        <v>有</v>
      </c>
      <c r="Y3288" s="8" t="str">
        <f>IFERROR(__xludf.DUMMYFUNCTION("""COMPUTED_VALUE"""),"2025/6/28まで1巻立ち読み増量(P22)")</f>
        <v>2025/6/28まで1巻立ち読み増量(P22)</v>
      </c>
      <c r="Z3288" s="7"/>
      <c r="AA3288" s="7"/>
      <c r="AB3288" s="7"/>
    </row>
    <row r="3289" ht="15.75" customHeight="1">
      <c r="A3289" s="153">
        <f>IFERROR(__xludf.DUMMYFUNCTION("""COMPUTED_VALUE"""),5552.0)</f>
        <v>5552</v>
      </c>
      <c r="B3289" s="152" t="str">
        <f>IFERROR(__xludf.DUMMYFUNCTION("""COMPUTED_VALUE"""),"確定")</f>
        <v>確定</v>
      </c>
      <c r="C3289" s="154">
        <f>IFERROR(__xludf.DUMMYFUNCTION("""COMPUTED_VALUE"""),45778.0)</f>
        <v>45778</v>
      </c>
      <c r="D3289" s="154">
        <f>IFERROR(__xludf.DUMMYFUNCTION("""COMPUTED_VALUE"""),45778.0)</f>
        <v>45778</v>
      </c>
      <c r="E3289" s="157">
        <f>IFERROR(__xludf.DUMMYFUNCTION("""COMPUTED_VALUE"""),323024.0)</f>
        <v>323024</v>
      </c>
      <c r="F3289" s="152" t="str">
        <f>IFERROR(__xludf.DUMMYFUNCTION("""COMPUTED_VALUE"""),"淫らな復讐")</f>
        <v>淫らな復讐</v>
      </c>
      <c r="G3289" s="152" t="str">
        <f>IFERROR(__xludf.DUMMYFUNCTION("""COMPUTED_VALUE"""),"1～3")</f>
        <v>1～3</v>
      </c>
      <c r="H3289" s="152" t="str">
        <f>IFERROR(__xludf.DUMMYFUNCTION("""COMPUTED_VALUE"""),"Erotic think")</f>
        <v>Erotic think</v>
      </c>
      <c r="I3289" s="152" t="str">
        <f>IFERROR(__xludf.DUMMYFUNCTION("""COMPUTED_VALUE"""),"青年")</f>
        <v>青年</v>
      </c>
      <c r="J3289" s="157"/>
      <c r="K3289" s="157"/>
      <c r="L3289" s="152" t="str">
        <f>IFERROR(__xludf.DUMMYFUNCTION("""COMPUTED_VALUE"""),"Rush!")</f>
        <v>Rush!</v>
      </c>
      <c r="M3289" s="154">
        <f>IFERROR(__xludf.DUMMYFUNCTION("""COMPUTED_VALUE"""),45821.0)</f>
        <v>45821</v>
      </c>
      <c r="N3289" s="199">
        <f>IFERROR(__xludf.DUMMYFUNCTION("""COMPUTED_VALUE"""),45848.0)</f>
        <v>45848</v>
      </c>
      <c r="O3289" s="152"/>
      <c r="P3289" s="190" t="str">
        <f>IFERROR(__xludf.DUMMYFUNCTION("""COMPUTED_VALUE"""),"可")</f>
        <v>可</v>
      </c>
      <c r="Q3289" s="190"/>
      <c r="R3289" s="152"/>
      <c r="S3289" s="152" t="str">
        <f>IFERROR(__xludf.DUMMYFUNCTION("""COMPUTED_VALUE"""),"20250501_ファンギルド_淫らな復讐")</f>
        <v>20250501_ファンギルド_淫らな復讐</v>
      </c>
      <c r="T3289" s="152" t="str">
        <f>IFERROR(__xludf.DUMMYFUNCTION("""COMPUTED_VALUE"""),"格納済み")</f>
        <v>格納済み</v>
      </c>
      <c r="U3289" s="9" t="str">
        <f>IFERROR(__xludf.DUMMYFUNCTION("""COMPUTED_VALUE"""),"ⒸErotic think")</f>
        <v>ⒸErotic think</v>
      </c>
      <c r="V3289" s="8" t="str">
        <f>IFERROR(__xludf.DUMMYFUNCTION("""COMPUTED_VALUE"""),"大企業で働く工藤は恩のある会長への忠誠心から、時には汚い仕事も含め会社のために尽くしてきた。しかし会長が最愛の妻を寝取っている現場を目撃し、会社が長年し続けていた不正を暴露すると言ってしまったことから会長達の手により葬られてしまう。「もし生き返れたら…全員に復讐してやる！」薄れていく意識の中、会長達への復讐を誓う工藤…しかし次に目を覚ました時、彼の姿は誰もが知るトップアイドルの宇崎になっていた！復讐に燃える工藤は芸能人である宇崎の仕事を通して、再びかつて勤めていた企業と関わる事になり…。裏切られた男による"&amp;"欲にまみれた淫らな復讐劇が始まる――！")</f>
        <v>大企業で働く工藤は恩のある会長への忠誠心から、時には汚い仕事も含め会社のために尽くしてきた。しかし会長が最愛の妻を寝取っている現場を目撃し、会社が長年し続けていた不正を暴露すると言ってしまったことから会長達の手により葬られてしまう。「もし生き返れたら…全員に復讐してやる！」薄れていく意識の中、会長達への復讐を誓う工藤…しかし次に目を覚ました時、彼の姿は誰もが知るトップアイドルの宇崎になっていた！復讐に燃える工藤は芸能人である宇崎の仕事を通して、再びかつて勤めていた企業と関わる事になり…。裏切られた男による欲にまみれた淫らな復讐劇が始まる――！</v>
      </c>
      <c r="W3289" s="8" t="str">
        <f>IFERROR(__xludf.DUMMYFUNCTION("""COMPUTED_VALUE"""),"#REF!")</f>
        <v>#REF!</v>
      </c>
      <c r="X3289" s="8" t="str">
        <f>IFERROR(__xludf.DUMMYFUNCTION("""COMPUTED_VALUE"""),"有")</f>
        <v>有</v>
      </c>
      <c r="Y3289" s="8" t="str">
        <f>IFERROR(__xludf.DUMMYFUNCTION("""COMPUTED_VALUE"""),"2025/6/26まで1巻無料")</f>
        <v>2025/6/26まで1巻無料</v>
      </c>
      <c r="Z3289" s="7"/>
      <c r="AA3289" s="7"/>
      <c r="AB3289" s="7"/>
    </row>
    <row r="3290" ht="15.75" customHeight="1">
      <c r="A3290" s="153">
        <f>IFERROR(__xludf.DUMMYFUNCTION("""COMPUTED_VALUE"""),5553.0)</f>
        <v>5553</v>
      </c>
      <c r="B3290" s="152" t="str">
        <f>IFERROR(__xludf.DUMMYFUNCTION("""COMPUTED_VALUE"""),"確定")</f>
        <v>確定</v>
      </c>
      <c r="C3290" s="154">
        <f>IFERROR(__xludf.DUMMYFUNCTION("""COMPUTED_VALUE"""),45778.0)</f>
        <v>45778</v>
      </c>
      <c r="D3290" s="154">
        <f>IFERROR(__xludf.DUMMYFUNCTION("""COMPUTED_VALUE"""),45778.0)</f>
        <v>45778</v>
      </c>
      <c r="E3290" s="157">
        <f>IFERROR(__xludf.DUMMYFUNCTION("""COMPUTED_VALUE"""),323025.0)</f>
        <v>323025</v>
      </c>
      <c r="F3290" s="152" t="str">
        <f>IFERROR(__xludf.DUMMYFUNCTION("""COMPUTED_VALUE"""),"ダブルエッチ")</f>
        <v>ダブルエッチ</v>
      </c>
      <c r="G3290" s="152" t="str">
        <f>IFERROR(__xludf.DUMMYFUNCTION("""COMPUTED_VALUE"""),"1～3")</f>
        <v>1～3</v>
      </c>
      <c r="H3290" s="152" t="str">
        <f>IFERROR(__xludf.DUMMYFUNCTION("""COMPUTED_VALUE"""),"6ho")</f>
        <v>6ho</v>
      </c>
      <c r="I3290" s="152" t="str">
        <f>IFERROR(__xludf.DUMMYFUNCTION("""COMPUTED_VALUE"""),"青年")</f>
        <v>青年</v>
      </c>
      <c r="J3290" s="157"/>
      <c r="K3290" s="157"/>
      <c r="L3290" s="152" t="str">
        <f>IFERROR(__xludf.DUMMYFUNCTION("""COMPUTED_VALUE"""),"Rush!")</f>
        <v>Rush!</v>
      </c>
      <c r="M3290" s="154">
        <f>IFERROR(__xludf.DUMMYFUNCTION("""COMPUTED_VALUE"""),45814.0)</f>
        <v>45814</v>
      </c>
      <c r="N3290" s="199">
        <f>IFERROR(__xludf.DUMMYFUNCTION("""COMPUTED_VALUE"""),45841.0)</f>
        <v>45841</v>
      </c>
      <c r="O3290" s="152"/>
      <c r="P3290" s="190" t="str">
        <f>IFERROR(__xludf.DUMMYFUNCTION("""COMPUTED_VALUE"""),"可")</f>
        <v>可</v>
      </c>
      <c r="Q3290" s="190"/>
      <c r="R3290" s="152"/>
      <c r="S3290" s="152" t="str">
        <f>IFERROR(__xludf.DUMMYFUNCTION("""COMPUTED_VALUE"""),"20250501_ファンギルド_ダブルエッチ")</f>
        <v>20250501_ファンギルド_ダブルエッチ</v>
      </c>
      <c r="T3290" s="152" t="str">
        <f>IFERROR(__xludf.DUMMYFUNCTION("""COMPUTED_VALUE"""),"格納済み")</f>
        <v>格納済み</v>
      </c>
      <c r="U3290" s="9" t="str">
        <f>IFERROR(__xludf.DUMMYFUNCTION("""COMPUTED_VALUE"""),"©6ho/TOPTOON")</f>
        <v>©6ho/TOPTOON</v>
      </c>
      <c r="V3290" s="8" t="str">
        <f>IFERROR(__xludf.DUMMYFUNCTION("""COMPUTED_VALUE"""),"家が隣で小さい頃から幼馴染の光雄と結衣は大学生になっても息ピッタリ。しかし、お互いに「こいつが相手だなんてお断り！」と豪語する仲だった。そんなある日、飲み会で光雄が片思い中の女子といい雰囲気に。二人きりの夜道でドキドキもピークに…！と、思いきや…邪魔をするように結衣から連絡が入る。仕方なしに結衣と合流するが…振り返った先には結衣がもう一人いて…！？幼馴染が二人に分裂！？可愛さもエロさも二倍なラブコメスタート！")</f>
        <v>家が隣で小さい頃から幼馴染の光雄と結衣は大学生になっても息ピッタリ。しかし、お互いに「こいつが相手だなんてお断り！」と豪語する仲だった。そんなある日、飲み会で光雄が片思い中の女子といい雰囲気に。二人きりの夜道でドキドキもピークに…！と、思いきや…邪魔をするように結衣から連絡が入る。仕方なしに結衣と合流するが…振り返った先には結衣がもう一人いて…！？幼馴染が二人に分裂！？可愛さもエロさも二倍なラブコメスタート！</v>
      </c>
      <c r="W3290" s="8" t="str">
        <f>IFERROR(__xludf.DUMMYFUNCTION("""COMPUTED_VALUE"""),"#REF!")</f>
        <v>#REF!</v>
      </c>
      <c r="X3290" s="8" t="str">
        <f>IFERROR(__xludf.DUMMYFUNCTION("""COMPUTED_VALUE"""),"有")</f>
        <v>有</v>
      </c>
      <c r="Y3290" s="8" t="str">
        <f>IFERROR(__xludf.DUMMYFUNCTION("""COMPUTED_VALUE"""),"2025/6/19まで1巻無料")</f>
        <v>2025/6/19まで1巻無料</v>
      </c>
      <c r="Z3290" s="7"/>
      <c r="AA3290" s="7"/>
      <c r="AB3290" s="7"/>
    </row>
    <row r="3291" ht="15.75" customHeight="1">
      <c r="A3291" s="153">
        <f>IFERROR(__xludf.DUMMYFUNCTION("""COMPUTED_VALUE"""),5554.0)</f>
        <v>5554</v>
      </c>
      <c r="B3291" s="152" t="str">
        <f>IFERROR(__xludf.DUMMYFUNCTION("""COMPUTED_VALUE"""),"確定")</f>
        <v>確定</v>
      </c>
      <c r="C3291" s="154">
        <f>IFERROR(__xludf.DUMMYFUNCTION("""COMPUTED_VALUE"""),45778.0)</f>
        <v>45778</v>
      </c>
      <c r="D3291" s="154">
        <f>IFERROR(__xludf.DUMMYFUNCTION("""COMPUTED_VALUE"""),45778.0)</f>
        <v>45778</v>
      </c>
      <c r="E3291" s="157">
        <f>IFERROR(__xludf.DUMMYFUNCTION("""COMPUTED_VALUE"""),323030.0)</f>
        <v>323030</v>
      </c>
      <c r="F3291" s="152" t="str">
        <f>IFERROR(__xludf.DUMMYFUNCTION("""COMPUTED_VALUE"""),"黒い後見人")</f>
        <v>黒い後見人</v>
      </c>
      <c r="G3291" s="153">
        <f>IFERROR(__xludf.DUMMYFUNCTION("""COMPUTED_VALUE"""),1.0)</f>
        <v>1</v>
      </c>
      <c r="H3291" s="152" t="str">
        <f>IFERROR(__xludf.DUMMYFUNCTION("""COMPUTED_VALUE"""),"ss")</f>
        <v>ss</v>
      </c>
      <c r="I3291" s="152" t="str">
        <f>IFERROR(__xludf.DUMMYFUNCTION("""COMPUTED_VALUE"""),"BL")</f>
        <v>BL</v>
      </c>
      <c r="J3291" s="157"/>
      <c r="K3291" s="157"/>
      <c r="L3291" s="152" t="str">
        <f>IFERROR(__xludf.DUMMYFUNCTION("""COMPUTED_VALUE"""),"Rush!")</f>
        <v>Rush!</v>
      </c>
      <c r="M3291" s="154">
        <f>IFERROR(__xludf.DUMMYFUNCTION("""COMPUTED_VALUE"""),45819.0)</f>
        <v>45819</v>
      </c>
      <c r="N3291" s="199">
        <f>IFERROR(__xludf.DUMMYFUNCTION("""COMPUTED_VALUE"""),45846.0)</f>
        <v>45846</v>
      </c>
      <c r="O3291" s="152"/>
      <c r="P3291" s="190" t="str">
        <f>IFERROR(__xludf.DUMMYFUNCTION("""COMPUTED_VALUE"""),"可")</f>
        <v>可</v>
      </c>
      <c r="Q3291" s="190"/>
      <c r="R3291" s="152"/>
      <c r="S3291" s="152" t="str">
        <f>IFERROR(__xludf.DUMMYFUNCTION("""COMPUTED_VALUE"""),"20250501_ファンギルド_黒い後見人")</f>
        <v>20250501_ファンギルド_黒い後見人</v>
      </c>
      <c r="T3291" s="152" t="str">
        <f>IFERROR(__xludf.DUMMYFUNCTION("""COMPUTED_VALUE"""),"格納済み")</f>
        <v>格納済み</v>
      </c>
      <c r="U3291" s="9" t="str">
        <f>IFERROR(__xludf.DUMMYFUNCTION("""COMPUTED_VALUE"""),"Ⓒss/Polarfox")</f>
        <v>Ⓒss/Polarfox</v>
      </c>
      <c r="V3291" s="8" t="str">
        <f>IFERROR(__xludf.DUMMYFUNCTION("""COMPUTED_VALUE"""),"人の世に降りた悪魔のルースは、神ととある賭けを計画していた。それは、エリヤという人間の清らかな魂が堕落するのかどうか、ということ。しかし、賭けの前にエリヤに正体を見破られてしまったルースは、賭けを断念しようとするが…。「僕のことを諦めないでください」エリヤのそんな言葉に興味を持ち、彼の後見人となって成人を迎えるその日に取引することを決めた。後見人と孤児、悪魔と人間…立場も種族も違う二人の交流は、毎年贈られる誕生日プレゼントと共に積み重なっていく。そしてエリヤが成人を迎えた誕生日、ルースはエリヤの思わぬ願い"&amp;"を聞くことになる――。")</f>
        <v>人の世に降りた悪魔のルースは、神ととある賭けを計画していた。それは、エリヤという人間の清らかな魂が堕落するのかどうか、ということ。しかし、賭けの前にエリヤに正体を見破られてしまったルースは、賭けを断念しようとするが…。「僕のことを諦めないでください」エリヤのそんな言葉に興味を持ち、彼の後見人となって成人を迎えるその日に取引することを決めた。後見人と孤児、悪魔と人間…立場も種族も違う二人の交流は、毎年贈られる誕生日プレゼントと共に積み重なっていく。そしてエリヤが成人を迎えた誕生日、ルースはエリヤの思わぬ願いを聞くことになる――。</v>
      </c>
      <c r="W3291" s="8" t="str">
        <f>IFERROR(__xludf.DUMMYFUNCTION("""COMPUTED_VALUE"""),"#REF!")</f>
        <v>#REF!</v>
      </c>
      <c r="X3291" s="8" t="str">
        <f>IFERROR(__xludf.DUMMYFUNCTION("""COMPUTED_VALUE"""),"有")</f>
        <v>有</v>
      </c>
      <c r="Y3291" s="8" t="str">
        <f>IFERROR(__xludf.DUMMYFUNCTION("""COMPUTED_VALUE"""),"2025/6/24まで1巻立ち読み増量（P20まで）")</f>
        <v>2025/6/24まで1巻立ち読み増量（P20まで）</v>
      </c>
      <c r="Z3291" s="7"/>
      <c r="AA3291" s="7"/>
      <c r="AB3291" s="7"/>
    </row>
    <row r="3292" ht="15.75" customHeight="1">
      <c r="A3292" s="153">
        <f>IFERROR(__xludf.DUMMYFUNCTION("""COMPUTED_VALUE"""),5555.0)</f>
        <v>5555</v>
      </c>
      <c r="B3292" s="152" t="str">
        <f>IFERROR(__xludf.DUMMYFUNCTION("""COMPUTED_VALUE"""),"確定")</f>
        <v>確定</v>
      </c>
      <c r="C3292" s="154">
        <f>IFERROR(__xludf.DUMMYFUNCTION("""COMPUTED_VALUE"""),45778.0)</f>
        <v>45778</v>
      </c>
      <c r="D3292" s="154">
        <f>IFERROR(__xludf.DUMMYFUNCTION("""COMPUTED_VALUE"""),45778.0)</f>
        <v>45778</v>
      </c>
      <c r="E3292" s="157">
        <f>IFERROR(__xludf.DUMMYFUNCTION("""COMPUTED_VALUE"""),323026.0)</f>
        <v>323026</v>
      </c>
      <c r="F3292" s="152" t="str">
        <f>IFERROR(__xludf.DUMMYFUNCTION("""COMPUTED_VALUE"""),"脅され契約妃の白い結婚生活")</f>
        <v>脅され契約妃の白い結婚生活</v>
      </c>
      <c r="G3292" s="152" t="str">
        <f>IFERROR(__xludf.DUMMYFUNCTION("""COMPUTED_VALUE"""),"1～3")</f>
        <v>1～3</v>
      </c>
      <c r="H3292" s="152" t="str">
        <f>IFERROR(__xludf.DUMMYFUNCTION("""COMPUTED_VALUE"""),"藤野ポチョムキン/曽根原ツタ")</f>
        <v>藤野ポチョムキン/曽根原ツタ</v>
      </c>
      <c r="I3292" s="152" t="str">
        <f>IFERROR(__xludf.DUMMYFUNCTION("""COMPUTED_VALUE"""),"少女")</f>
        <v>少女</v>
      </c>
      <c r="J3292" s="157"/>
      <c r="K3292" s="157"/>
      <c r="L3292" s="152" t="str">
        <f>IFERROR(__xludf.DUMMYFUNCTION("""COMPUTED_VALUE"""),"ファンギルド")</f>
        <v>ファンギルド</v>
      </c>
      <c r="M3292" s="154">
        <f>IFERROR(__xludf.DUMMYFUNCTION("""COMPUTED_VALUE"""),45827.0)</f>
        <v>45827</v>
      </c>
      <c r="N3292" s="199">
        <f>IFERROR(__xludf.DUMMYFUNCTION("""COMPUTED_VALUE"""),45889.0)</f>
        <v>45889</v>
      </c>
      <c r="O3292" s="152"/>
      <c r="P3292" s="190" t="str">
        <f>IFERROR(__xludf.DUMMYFUNCTION("""COMPUTED_VALUE"""),"可")</f>
        <v>可</v>
      </c>
      <c r="Q3292" s="190"/>
      <c r="R3292" s="152"/>
      <c r="S3292" s="152" t="str">
        <f>IFERROR(__xludf.DUMMYFUNCTION("""COMPUTED_VALUE"""),"20250501_ファンギルド_脅され契約妃の白い結婚生活")</f>
        <v>20250501_ファンギルド_脅され契約妃の白い結婚生活</v>
      </c>
      <c r="T3292" s="152" t="str">
        <f>IFERROR(__xludf.DUMMYFUNCTION("""COMPUTED_VALUE"""),"格納済み")</f>
        <v>格納済み</v>
      </c>
      <c r="U3292" s="9" t="str">
        <f>IFERROR(__xludf.DUMMYFUNCTION("""COMPUTED_VALUE"""),"Ⓒ藤野ポチョムキン/曽根原ツタ/ファンギルド")</f>
        <v>Ⓒ藤野ポチョムキン/曽根原ツタ/ファンギルド</v>
      </c>
      <c r="V3292" s="8"/>
      <c r="W3292" s="8"/>
      <c r="X3292" s="8" t="str">
        <f>IFERROR(__xludf.DUMMYFUNCTION("""COMPUTED_VALUE"""),"有")</f>
        <v>有</v>
      </c>
      <c r="Y3292" s="8" t="str">
        <f>IFERROR(__xludf.DUMMYFUNCTION("""COMPUTED_VALUE"""),"P13まで")</f>
        <v>P13まで</v>
      </c>
      <c r="Z3292" s="7"/>
      <c r="AA3292" s="7"/>
      <c r="AB3292" s="7"/>
    </row>
    <row r="3293" ht="15.75" customHeight="1">
      <c r="A3293" s="153">
        <f>IFERROR(__xludf.DUMMYFUNCTION("""COMPUTED_VALUE"""),5557.0)</f>
        <v>5557</v>
      </c>
      <c r="B3293" s="152" t="str">
        <f>IFERROR(__xludf.DUMMYFUNCTION("""COMPUTED_VALUE"""),"確定")</f>
        <v>確定</v>
      </c>
      <c r="C3293" s="154">
        <f>IFERROR(__xludf.DUMMYFUNCTION("""COMPUTED_VALUE"""),45779.0)</f>
        <v>45779</v>
      </c>
      <c r="D3293" s="154">
        <f>IFERROR(__xludf.DUMMYFUNCTION("""COMPUTED_VALUE"""),45784.0)</f>
        <v>45784</v>
      </c>
      <c r="E3293" s="157">
        <f>IFERROR(__xludf.DUMMYFUNCTION("""COMPUTED_VALUE"""),323340.0)</f>
        <v>323340</v>
      </c>
      <c r="F3293" s="152" t="str">
        <f>IFERROR(__xludf.DUMMYFUNCTION("""COMPUTED_VALUE"""),"イクまで絶対離れない！イジワル上司の手のひらが、私に淫らに吸いつきます！？")</f>
        <v>イクまで絶対離れない！イジワル上司の手のひらが、私に淫らに吸いつきます！？</v>
      </c>
      <c r="G3293" s="152" t="str">
        <f>IFERROR(__xludf.DUMMYFUNCTION("""COMPUTED_VALUE"""),"1～3")</f>
        <v>1～3</v>
      </c>
      <c r="H3293" s="152" t="str">
        <f>IFERROR(__xludf.DUMMYFUNCTION("""COMPUTED_VALUE"""),"角霞ぼたを・南蛮いちみ")</f>
        <v>角霞ぼたを・南蛮いちみ</v>
      </c>
      <c r="I3293" s="152" t="str">
        <f>IFERROR(__xludf.DUMMYFUNCTION("""COMPUTED_VALUE"""),"TL")</f>
        <v>TL</v>
      </c>
      <c r="J3293" s="157"/>
      <c r="K3293" s="152" t="str">
        <f>IFERROR(__xludf.DUMMYFUNCTION("""COMPUTED_VALUE"""),"LOVEBITES")</f>
        <v>LOVEBITES</v>
      </c>
      <c r="L3293" s="152" t="str">
        <f>IFERROR(__xludf.DUMMYFUNCTION("""COMPUTED_VALUE"""),"一迅社")</f>
        <v>一迅社</v>
      </c>
      <c r="M3293" s="154">
        <f>IFERROR(__xludf.DUMMYFUNCTION("""COMPUTED_VALUE"""),45814.0)</f>
        <v>45814</v>
      </c>
      <c r="N3293" s="199">
        <f>IFERROR(__xludf.DUMMYFUNCTION("""COMPUTED_VALUE"""),45841.0)</f>
        <v>45841</v>
      </c>
      <c r="O3293" s="152"/>
      <c r="P3293" s="190" t="str">
        <f>IFERROR(__xludf.DUMMYFUNCTION("""COMPUTED_VALUE"""),"可")</f>
        <v>可</v>
      </c>
      <c r="Q3293" s="190"/>
      <c r="R3293" s="152"/>
      <c r="S3293" s="152" t="str">
        <f>IFERROR(__xludf.DUMMYFUNCTION("""COMPUTED_VALUE"""),"20250502_一迅社_イクまで絶対離れない！ イジワル上司の手のひらが、私に淫らに吸いつきます!")</f>
        <v>20250502_一迅社_イクまで絶対離れない！ イジワル上司の手のひらが、私に淫らに吸いつきます!</v>
      </c>
      <c r="T3293" s="152" t="str">
        <f>IFERROR(__xludf.DUMMYFUNCTION("""COMPUTED_VALUE"""),"格納済み")</f>
        <v>格納済み</v>
      </c>
      <c r="U3293" s="9" t="str">
        <f>IFERROR(__xludf.DUMMYFUNCTION("""COMPUTED_VALUE"""),"(C)角霞ぼたを・南蛮いちみ／一迅社")</f>
        <v>(C)角霞ぼたを・南蛮いちみ／一迅社</v>
      </c>
      <c r="V3293" s="8" t="str">
        <f>IFERROR(__xludf.DUMMYFUNCTION("""COMPUTED_VALUE"""),"緊張すると右手にいろいろくっけてしまう特異体質を持つ紬。そんな紬は、ある日、上司の柳課長の手のひらをくっつけてしまって……!?　図らずも手をつないでいる状態になった二人は、人目につかないようにラブホテルに避難することに。くっついている状態を解除するには、緊張状態を解けばいい、と聞いた柳課長は紬にキスしてきて……!?")</f>
        <v>緊張すると右手にいろいろくっけてしまう特異体質を持つ紬。そんな紬は、ある日、上司の柳課長の手のひらをくっつけてしまって……!?　図らずも手をつないでいる状態になった二人は、人目につかないようにラブホテルに避難することに。くっついている状態を解除するには、緊張状態を解けばいい、と聞いた柳課長は紬にキスしてきて……!?</v>
      </c>
      <c r="W3293" s="8" t="str">
        <f>IFERROR(__xludf.DUMMYFUNCTION("""COMPUTED_VALUE"""),"#REF!")</f>
        <v>#REF!</v>
      </c>
      <c r="X3293" s="8" t="str">
        <f>IFERROR(__xludf.DUMMYFUNCTION("""COMPUTED_VALUE"""),"有")</f>
        <v>有</v>
      </c>
      <c r="Y3293" s="8" t="str">
        <f>IFERROR(__xludf.DUMMYFUNCTION("""COMPUTED_VALUE"""),"2025/7/3まで1巻無料")</f>
        <v>2025/7/3まで1巻無料</v>
      </c>
      <c r="Z3293" s="7"/>
      <c r="AA3293" s="7"/>
      <c r="AB3293" s="7"/>
    </row>
    <row r="3294" ht="15.75" customHeight="1">
      <c r="A3294" s="153">
        <f>IFERROR(__xludf.DUMMYFUNCTION("""COMPUTED_VALUE"""),5558.0)</f>
        <v>5558</v>
      </c>
      <c r="B3294" s="152" t="str">
        <f>IFERROR(__xludf.DUMMYFUNCTION("""COMPUTED_VALUE"""),"確定")</f>
        <v>確定</v>
      </c>
      <c r="C3294" s="154">
        <f>IFERROR(__xludf.DUMMYFUNCTION("""COMPUTED_VALUE"""),45779.0)</f>
        <v>45779</v>
      </c>
      <c r="D3294" s="154">
        <f>IFERROR(__xludf.DUMMYFUNCTION("""COMPUTED_VALUE"""),45784.0)</f>
        <v>45784</v>
      </c>
      <c r="E3294" s="157">
        <f>IFERROR(__xludf.DUMMYFUNCTION("""COMPUTED_VALUE"""),323341.0)</f>
        <v>323341</v>
      </c>
      <c r="F3294" s="152" t="str">
        <f>IFERROR(__xludf.DUMMYFUNCTION("""COMPUTED_VALUE"""),"淫乱だなんて認めません…ッ！ 自業自得の追放聖女と漆黒勇者ののどかで淫らな冒険")</f>
        <v>淫乱だなんて認めません…ッ！ 自業自得の追放聖女と漆黒勇者ののどかで淫らな冒険</v>
      </c>
      <c r="G3294" s="152" t="str">
        <f>IFERROR(__xludf.DUMMYFUNCTION("""COMPUTED_VALUE"""),"1～3")</f>
        <v>1～3</v>
      </c>
      <c r="H3294" s="152" t="str">
        <f>IFERROR(__xludf.DUMMYFUNCTION("""COMPUTED_VALUE"""),"めし")</f>
        <v>めし</v>
      </c>
      <c r="I3294" s="152" t="str">
        <f>IFERROR(__xludf.DUMMYFUNCTION("""COMPUTED_VALUE"""),"TL")</f>
        <v>TL</v>
      </c>
      <c r="J3294" s="157"/>
      <c r="K3294" s="152" t="str">
        <f>IFERROR(__xludf.DUMMYFUNCTION("""COMPUTED_VALUE"""),"LOVEBITES")</f>
        <v>LOVEBITES</v>
      </c>
      <c r="L3294" s="152" t="str">
        <f>IFERROR(__xludf.DUMMYFUNCTION("""COMPUTED_VALUE"""),"一迅社")</f>
        <v>一迅社</v>
      </c>
      <c r="M3294" s="154">
        <f>IFERROR(__xludf.DUMMYFUNCTION("""COMPUTED_VALUE"""),45814.0)</f>
        <v>45814</v>
      </c>
      <c r="N3294" s="199">
        <f>IFERROR(__xludf.DUMMYFUNCTION("""COMPUTED_VALUE"""),45841.0)</f>
        <v>45841</v>
      </c>
      <c r="O3294" s="152"/>
      <c r="P3294" s="190" t="str">
        <f>IFERROR(__xludf.DUMMYFUNCTION("""COMPUTED_VALUE"""),"可")</f>
        <v>可</v>
      </c>
      <c r="Q3294" s="190"/>
      <c r="R3294" s="152"/>
      <c r="S3294" s="152" t="str">
        <f>IFERROR(__xludf.DUMMYFUNCTION("""COMPUTED_VALUE"""),"20250502_一迅社_淫乱だなんて認めません…ッ！ 自業自得の追放聖女と漆黒勇者ののどかで淫らな冒険")</f>
        <v>20250502_一迅社_淫乱だなんて認めません…ッ！ 自業自得の追放聖女と漆黒勇者ののどかで淫らな冒険</v>
      </c>
      <c r="T3294" s="152" t="str">
        <f>IFERROR(__xludf.DUMMYFUNCTION("""COMPUTED_VALUE"""),"格納済み")</f>
        <v>格納済み</v>
      </c>
      <c r="U3294" s="9" t="str">
        <f>IFERROR(__xludf.DUMMYFUNCTION("""COMPUTED_VALUE"""),"(C)めし／一迅社")</f>
        <v>(C)めし／一迅社</v>
      </c>
      <c r="V3294" s="8" t="str">
        <f>IFERROR(__xludf.DUMMYFUNCTION("""COMPUTED_VALUE"""),"「ずっとこのままだと【淫乱聖女】とか言われてしまうのでは!?」――王子の婚約者で王国公認の聖女だったにも関わらず、禁止書物の呪いで淫紋が刻まれ、婚約破棄と首都追放を言い渡されたエルザ。森に迷い込んだエルザは、モンスターに襲われそうになったところを通りすがりの黒ずくめの勇者に助けられる。しかし、淫紋によって発情してしまっていることに気づいた勇者は、エルザの服を突然脱がしはじめて……!?――好奇心のせいで婚約破棄された【自業自得の追放聖女】と寡黙でちょっぴりえっちな【漆黒の勇者】ののどかで淫らな冒険、スタート"&amp;"です！")</f>
        <v>「ずっとこのままだと【淫乱聖女】とか言われてしまうのでは!?」――王子の婚約者で王国公認の聖女だったにも関わらず、禁止書物の呪いで淫紋が刻まれ、婚約破棄と首都追放を言い渡されたエルザ。森に迷い込んだエルザは、モンスターに襲われそうになったところを通りすがりの黒ずくめの勇者に助けられる。しかし、淫紋によって発情してしまっていることに気づいた勇者は、エルザの服を突然脱がしはじめて……!?――好奇心のせいで婚約破棄された【自業自得の追放聖女】と寡黙でちょっぴりえっちな【漆黒の勇者】ののどかで淫らな冒険、スタートです！</v>
      </c>
      <c r="W3294" s="8" t="str">
        <f>IFERROR(__xludf.DUMMYFUNCTION("""COMPUTED_VALUE"""),"#REF!")</f>
        <v>#REF!</v>
      </c>
      <c r="X3294" s="8" t="str">
        <f>IFERROR(__xludf.DUMMYFUNCTION("""COMPUTED_VALUE"""),"有")</f>
        <v>有</v>
      </c>
      <c r="Y3294" s="8" t="str">
        <f>IFERROR(__xludf.DUMMYFUNCTION("""COMPUTED_VALUE"""),"2025/7/3まで1巻無料")</f>
        <v>2025/7/3まで1巻無料</v>
      </c>
      <c r="Z3294" s="7"/>
      <c r="AA3294" s="7"/>
      <c r="AB3294" s="7"/>
    </row>
    <row r="3295" ht="15.75" customHeight="1">
      <c r="A3295" s="153">
        <f>IFERROR(__xludf.DUMMYFUNCTION("""COMPUTED_VALUE"""),4721.0)</f>
        <v>4721</v>
      </c>
      <c r="B3295" s="152" t="str">
        <f>IFERROR(__xludf.DUMMYFUNCTION("""COMPUTED_VALUE"""),"確定")</f>
        <v>確定</v>
      </c>
      <c r="C3295" s="154">
        <f>IFERROR(__xludf.DUMMYFUNCTION("""COMPUTED_VALUE"""),45650.0)</f>
        <v>45650</v>
      </c>
      <c r="D3295" s="154">
        <f>IFERROR(__xludf.DUMMYFUNCTION("""COMPUTED_VALUE"""),45789.0)</f>
        <v>45789</v>
      </c>
      <c r="E3295" s="157">
        <f>IFERROR(__xludf.DUMMYFUNCTION("""COMPUTED_VALUE"""),324595.0)</f>
        <v>324595</v>
      </c>
      <c r="F3295" s="152" t="str">
        <f>IFERROR(__xludf.DUMMYFUNCTION("""COMPUTED_VALUE"""),"Berry’sFantasy双子王子の継母になりまして～嫌われ悪女ですが、そんなことより義息子たちが可愛すぎて困ります～")</f>
        <v>Berry’sFantasy双子王子の継母になりまして～嫌われ悪女ですが、そんなことより義息子たちが可愛すぎて困ります～</v>
      </c>
      <c r="G3295" s="152" t="str">
        <f>IFERROR(__xludf.DUMMYFUNCTION("""COMPUTED_VALUE"""),"1～5")</f>
        <v>1～5</v>
      </c>
      <c r="H3295" s="152" t="str">
        <f>IFERROR(__xludf.DUMMYFUNCTION("""COMPUTED_VALUE"""),"青井はな 糸加 月戸")</f>
        <v>青井はな 糸加 月戸</v>
      </c>
      <c r="I3295" s="152" t="str">
        <f>IFERROR(__xludf.DUMMYFUNCTION("""COMPUTED_VALUE"""),"女性")</f>
        <v>女性</v>
      </c>
      <c r="J3295" s="157"/>
      <c r="K3295" s="157"/>
      <c r="L3295" s="152" t="str">
        <f>IFERROR(__xludf.DUMMYFUNCTION("""COMPUTED_VALUE"""),"スターツ出版")</f>
        <v>スターツ出版</v>
      </c>
      <c r="M3295" s="154">
        <f>IFERROR(__xludf.DUMMYFUNCTION("""COMPUTED_VALUE"""),45800.0)</f>
        <v>45800</v>
      </c>
      <c r="N3295" s="199">
        <f>IFERROR(__xludf.DUMMYFUNCTION("""COMPUTED_VALUE"""),45862.0)</f>
        <v>45862</v>
      </c>
      <c r="O3295" s="152"/>
      <c r="P3295" s="164" t="str">
        <f>IFERROR(__xludf.DUMMYFUNCTION("""COMPUTED_VALUE"""),"否")</f>
        <v>否</v>
      </c>
      <c r="Q3295" s="166"/>
      <c r="R3295" s="152"/>
      <c r="S3295" s="152" t="str">
        <f>IFERROR(__xludf.DUMMYFUNCTION("""COMPUTED_VALUE"""),"20250507_スターツ出版_双子王子の継母になりまして～嫌われ悪女ですが、そんなことより義息子たちが可愛すぎて困ります～")</f>
        <v>20250507_スターツ出版_双子王子の継母になりまして～嫌われ悪女ですが、そんなことより義息子たちが可愛すぎて困ります～</v>
      </c>
      <c r="T3295" s="152" t="str">
        <f>IFERROR(__xludf.DUMMYFUNCTION("""COMPUTED_VALUE"""),"格納済み")</f>
        <v>格納済み</v>
      </c>
      <c r="U3295" s="9" t="str">
        <f>IFERROR(__xludf.DUMMYFUNCTION("""COMPUTED_VALUE"""),"ⒸHana Aoi・Itoka/スターツ出版")</f>
        <v>ⒸHana Aoi・Itoka/スターツ出版</v>
      </c>
      <c r="V3295" s="8" t="str">
        <f>IFERROR(__xludf.DUMMYFUNCTION("""COMPUTED_VALUE"""),"【国王のご指名で王妃兼継母に…!? ”悪魔”と呼ばれようが、天使な義息子たちを立派に育ててみせます！】
大人気シリーズ、待望のコミカライズ!!
悪人に多い黒髪に生まれたことで、家族から”悪魔”と呼ばれ迫害されてきたジュリア。それゆえ膨大な魔力の持主であることを隠してひっそり暮らしていたが、ある日突然、国王・ルイゾンの再婚相手に選ばれる。しかも、いきなり双子王子の継母になることに…!? 断るつもりが、天使のように愛らしい王子たちにもうメロメロ！ところが、「不吉な双子」という迷信と、魔力がないせいで双"&amp;"子王子たちの行く末は超絶前途多難だった…。謂れのない差別を受ける二人に、自らの境遇が重なってみえたジュリアは、継母として彼らを守り育てる覚悟を決めて――!?
『双子王子たちの笑顔は、私が守る――！』
”悪魔”と呼ばれる嫌われ悪女×天使な双子王子の家族愛溢れる子育てファンタジー、ここに開幕！
(この作品は電子コミック誌Berry’s Fantasy Vol.63に収録しております。重複購入にご注意ください)")</f>
        <v>【国王のご指名で王妃兼継母に…!? ”悪魔”と呼ばれようが、天使な義息子たちを立派に育ててみせます！】
大人気シリーズ、待望のコミカライズ!!
悪人に多い黒髪に生まれたことで、家族から”悪魔”と呼ばれ迫害されてきたジュリア。それゆえ膨大な魔力の持主であることを隠してひっそり暮らしていたが、ある日突然、国王・ルイゾンの再婚相手に選ばれる。しかも、いきなり双子王子の継母になることに…!? 断るつもりが、天使のように愛らしい王子たちにもうメロメロ！ところが、「不吉な双子」という迷信と、魔力がないせいで双子王子たちの行く末は超絶前途多難だった…。謂れのない差別を受ける二人に、自らの境遇が重なってみえたジュリアは、継母として彼らを守り育てる覚悟を決めて――!?
『双子王子たちの笑顔は、私が守る――！』
”悪魔”と呼ばれる嫌われ悪女×天使な双子王子の家族愛溢れる子育てファンタジー、ここに開幕！
(この作品は電子コミック誌Berry’s Fantasy Vol.63に収録しております。重複購入にご注意ください)</v>
      </c>
      <c r="W3295" s="8" t="str">
        <f>IFERROR(__xludf.DUMMYFUNCTION("""COMPUTED_VALUE"""),"#REF!")</f>
        <v>#REF!</v>
      </c>
      <c r="X3295" s="8" t="str">
        <f>IFERROR(__xludf.DUMMYFUNCTION("""COMPUTED_VALUE"""),"有")</f>
        <v>有</v>
      </c>
      <c r="Y3295" s="8" t="str">
        <f>IFERROR(__xludf.DUMMYFUNCTION("""COMPUTED_VALUE"""),"2025/7/24まで1巻無料")</f>
        <v>2025/7/24まで1巻無料</v>
      </c>
      <c r="Z3295" s="7"/>
      <c r="AA3295" s="7"/>
      <c r="AB3295" s="7"/>
    </row>
    <row r="3296" ht="15.75" customHeight="1">
      <c r="A3296" s="153">
        <f>IFERROR(__xludf.DUMMYFUNCTION("""COMPUTED_VALUE"""),4815.0)</f>
        <v>4815</v>
      </c>
      <c r="B3296" s="152" t="str">
        <f>IFERROR(__xludf.DUMMYFUNCTION("""COMPUTED_VALUE"""),"確定")</f>
        <v>確定</v>
      </c>
      <c r="C3296" s="154">
        <f>IFERROR(__xludf.DUMMYFUNCTION("""COMPUTED_VALUE"""),45672.0)</f>
        <v>45672</v>
      </c>
      <c r="D3296" s="154">
        <f>IFERROR(__xludf.DUMMYFUNCTION("""COMPUTED_VALUE"""),45789.0)</f>
        <v>45789</v>
      </c>
      <c r="E3296" s="157">
        <f>IFERROR(__xludf.DUMMYFUNCTION("""COMPUTED_VALUE"""),324263.0)</f>
        <v>324263</v>
      </c>
      <c r="F3296" s="152" t="str">
        <f>IFERROR(__xludf.DUMMYFUNCTION("""COMPUTED_VALUE"""),"本で死ぬなら本望です！～ゼロから始める異世界書店員ライフ～【マイクロ】")</f>
        <v>本で死ぬなら本望です！～ゼロから始める異世界書店員ライフ～【マイクロ】</v>
      </c>
      <c r="G3296" s="152" t="str">
        <f>IFERROR(__xludf.DUMMYFUNCTION("""COMPUTED_VALUE"""),"1～3")</f>
        <v>1～3</v>
      </c>
      <c r="H3296" s="152" t="str">
        <f>IFERROR(__xludf.DUMMYFUNCTION("""COMPUTED_VALUE"""),"朱音りか")</f>
        <v>朱音りか</v>
      </c>
      <c r="I3296" s="152" t="str">
        <f>IFERROR(__xludf.DUMMYFUNCTION("""COMPUTED_VALUE"""),"女性")</f>
        <v>女性</v>
      </c>
      <c r="J3296" s="157"/>
      <c r="K3296" s="157"/>
      <c r="L3296" s="152" t="str">
        <f>IFERROR(__xludf.DUMMYFUNCTION("""COMPUTED_VALUE"""),"小学館")</f>
        <v>小学館</v>
      </c>
      <c r="M3296" s="154">
        <f>IFERROR(__xludf.DUMMYFUNCTION("""COMPUTED_VALUE"""),45813.0)</f>
        <v>45813</v>
      </c>
      <c r="N3296" s="199">
        <f>IFERROR(__xludf.DUMMYFUNCTION("""COMPUTED_VALUE"""),45873.0)</f>
        <v>45873</v>
      </c>
      <c r="O3296" s="152"/>
      <c r="P3296" s="152" t="str">
        <f>IFERROR(__xludf.DUMMYFUNCTION("""COMPUTED_VALUE"""),"否")</f>
        <v>否</v>
      </c>
      <c r="Q3296" s="152" t="str">
        <f>IFERROR(__xludf.DUMMYFUNCTION("""COMPUTED_VALUE"""),"小学館さんでの連載媒体はなく、ストアでの初出し作品となります。異世界職業モノで恋愛要素も含まれるストーリーとなっております。")</f>
        <v>小学館さんでの連載媒体はなく、ストアでの初出し作品となります。異世界職業モノで恋愛要素も含まれるストーリーとなっております。</v>
      </c>
      <c r="R3296" s="152" t="str">
        <f>IFERROR(__xludf.DUMMYFUNCTION("""COMPUTED_VALUE"""),"コミットNG")</f>
        <v>コミットNG</v>
      </c>
      <c r="S3296" s="152" t="str">
        <f>IFERROR(__xludf.DUMMYFUNCTION("""COMPUTED_VALUE"""),"20250428_小学館_本で死ぬなら本望です！～ゼロから始める異世界書店員ライフ～【マイクロ】")</f>
        <v>20250428_小学館_本で死ぬなら本望です！～ゼロから始める異世界書店員ライフ～【マイクロ】</v>
      </c>
      <c r="T3296" s="152" t="str">
        <f>IFERROR(__xludf.DUMMYFUNCTION("""COMPUTED_VALUE"""),"格納済み")</f>
        <v>格納済み</v>
      </c>
      <c r="U3296" s="9" t="str">
        <f>IFERROR(__xludf.DUMMYFUNCTION("""COMPUTED_VALUE"""),"Ⓒ朱音りか / 小学館")</f>
        <v>Ⓒ朱音りか / 小学館</v>
      </c>
      <c r="V3296" s="8" t="str">
        <f>IFERROR(__xludf.DUMMYFUNCTION("""COMPUTED_VALUE"""),"本オタク書店員の恵麻は、ある日の仕事中、倒れてきた本に潰され気絶してしまう。目覚めると、そこは本のない異世界の街だった！？
街の領主・ロイドに拾われ一緒に住むことになったが、何やらロイドは本に対して嫌悪感があるようで・・・？
「それでも私、この街に書店を開きたいんです！！」
ゼロから始める、異世界×書店員ファンタジー！！")</f>
        <v>本オタク書店員の恵麻は、ある日の仕事中、倒れてきた本に潰され気絶してしまう。目覚めると、そこは本のない異世界の街だった！？
街の領主・ロイドに拾われ一緒に住むことになったが、何やらロイドは本に対して嫌悪感があるようで・・・？
「それでも私、この街に書店を開きたいんです！！」
ゼロから始める、異世界×書店員ファンタジー！！</v>
      </c>
      <c r="W3296" s="8" t="str">
        <f>IFERROR(__xludf.DUMMYFUNCTION("""COMPUTED_VALUE"""),"#REF!")</f>
        <v>#REF!</v>
      </c>
      <c r="X3296" s="8" t="str">
        <f>IFERROR(__xludf.DUMMYFUNCTION("""COMPUTED_VALUE"""),"有")</f>
        <v>有</v>
      </c>
      <c r="Y3296" s="8" t="str">
        <f>IFERROR(__xludf.DUMMYFUNCTION("""COMPUTED_VALUE"""),"P20まで")</f>
        <v>P20まで</v>
      </c>
      <c r="Z3296" s="7"/>
      <c r="AA3296" s="7"/>
      <c r="AB3296" s="7"/>
    </row>
    <row r="3297" ht="15.75" customHeight="1">
      <c r="A3297" s="153">
        <f>IFERROR(__xludf.DUMMYFUNCTION("""COMPUTED_VALUE"""),5005.0)</f>
        <v>5005</v>
      </c>
      <c r="B3297" s="152" t="str">
        <f>IFERROR(__xludf.DUMMYFUNCTION("""COMPUTED_VALUE"""),"確定")</f>
        <v>確定</v>
      </c>
      <c r="C3297" s="154">
        <f>IFERROR(__xludf.DUMMYFUNCTION("""COMPUTED_VALUE"""),45698.0)</f>
        <v>45698</v>
      </c>
      <c r="D3297" s="154">
        <f>IFERROR(__xludf.DUMMYFUNCTION("""COMPUTED_VALUE"""),45789.0)</f>
        <v>45789</v>
      </c>
      <c r="E3297" s="157">
        <f>IFERROR(__xludf.DUMMYFUNCTION("""COMPUTED_VALUE"""),327872.0)</f>
        <v>327872</v>
      </c>
      <c r="F3297" s="152" t="str">
        <f>IFERROR(__xludf.DUMMYFUNCTION("""COMPUTED_VALUE"""),"ちいさな空にさんかくの太陽【マイクロ】")</f>
        <v>ちいさな空にさんかくの太陽【マイクロ】</v>
      </c>
      <c r="G3297" s="152" t="str">
        <f>IFERROR(__xludf.DUMMYFUNCTION("""COMPUTED_VALUE"""),"1～3")</f>
        <v>1～3</v>
      </c>
      <c r="H3297" s="152" t="str">
        <f>IFERROR(__xludf.DUMMYFUNCTION("""COMPUTED_VALUE"""),"鳩さわこ")</f>
        <v>鳩さわこ</v>
      </c>
      <c r="I3297" s="152" t="str">
        <f>IFERROR(__xludf.DUMMYFUNCTION("""COMPUTED_VALUE"""),"少女")</f>
        <v>少女</v>
      </c>
      <c r="J3297" s="157"/>
      <c r="K3297" s="157"/>
      <c r="L3297" s="152" t="str">
        <f>IFERROR(__xludf.DUMMYFUNCTION("""COMPUTED_VALUE"""),"小学館")</f>
        <v>小学館</v>
      </c>
      <c r="M3297" s="154">
        <f>IFERROR(__xludf.DUMMYFUNCTION("""COMPUTED_VALUE"""),45843.0)</f>
        <v>45843</v>
      </c>
      <c r="N3297" s="199">
        <f>IFERROR(__xludf.DUMMYFUNCTION("""COMPUTED_VALUE"""),45904.0)</f>
        <v>45904</v>
      </c>
      <c r="O3297" s="152"/>
      <c r="P3297" s="152" t="str">
        <f>IFERROR(__xludf.DUMMYFUNCTION("""COMPUTED_VALUE"""),"否")</f>
        <v>否</v>
      </c>
      <c r="Q3297" s="152" t="str">
        <f>IFERROR(__xludf.DUMMYFUNCTION("""COMPUTED_VALUE"""),"男性主人公の作品で、弊社作品ですと『柚木さんちの四兄弟。』の読者と相性が良く、東京で仕事がうまく続かず田舎に戻ってきた美容師（男性）が、人懐っこい女子小学生と出会うことから始まるハートフルストーリーです。&lt;BR&gt;ほっこりと癒し・安心感を求める女性読者に刺さる作品内容かと存じます。")</f>
        <v>男性主人公の作品で、弊社作品ですと『柚木さんちの四兄弟。』の読者と相性が良く、東京で仕事がうまく続かず田舎に戻ってきた美容師（男性）が、人懐っこい女子小学生と出会うことから始まるハートフルストーリーです。&lt;BR&gt;ほっこりと癒し・安心感を求める女性読者に刺さる作品内容かと存じます。</v>
      </c>
      <c r="R3297" s="152" t="str">
        <f>IFERROR(__xludf.DUMMYFUNCTION("""COMPUTED_VALUE"""),"コミットOK")</f>
        <v>コミットOK</v>
      </c>
      <c r="S3297" s="152" t="str">
        <f>IFERROR(__xludf.DUMMYFUNCTION("""COMPUTED_VALUE"""),"20250428_小学館_ちいさな空にさんかくの太陽")</f>
        <v>20250428_小学館_ちいさな空にさんかくの太陽</v>
      </c>
      <c r="T3297" s="152" t="str">
        <f>IFERROR(__xludf.DUMMYFUNCTION("""COMPUTED_VALUE"""),"格納済み")</f>
        <v>格納済み</v>
      </c>
      <c r="U3297" s="9" t="str">
        <f>IFERROR(__xludf.DUMMYFUNCTION("""COMPUTED_VALUE"""),"Ⓒ鳩さわこ / 小学館")</f>
        <v>Ⓒ鳩さわこ / 小学館</v>
      </c>
      <c r="V3297" s="8"/>
      <c r="W3297" s="8"/>
      <c r="X3297" s="8" t="str">
        <f>IFERROR(__xludf.DUMMYFUNCTION("""COMPUTED_VALUE"""),"有")</f>
        <v>有</v>
      </c>
      <c r="Y3297" s="8" t="str">
        <f>IFERROR(__xludf.DUMMYFUNCTION("""COMPUTED_VALUE"""),"2025/9/4まで1巻無料")</f>
        <v>2025/9/4まで1巻無料</v>
      </c>
      <c r="Z3297" s="7"/>
      <c r="AA3297" s="7"/>
      <c r="AB3297" s="7"/>
    </row>
    <row r="3298" ht="15.75" customHeight="1">
      <c r="A3298" s="153">
        <f>IFERROR(__xludf.DUMMYFUNCTION("""COMPUTED_VALUE"""),5067.0)</f>
        <v>5067</v>
      </c>
      <c r="B3298" s="152" t="str">
        <f>IFERROR(__xludf.DUMMYFUNCTION("""COMPUTED_VALUE"""),"確定")</f>
        <v>確定</v>
      </c>
      <c r="C3298" s="154">
        <f>IFERROR(__xludf.DUMMYFUNCTION("""COMPUTED_VALUE"""),45707.0)</f>
        <v>45707</v>
      </c>
      <c r="D3298" s="154">
        <f>IFERROR(__xludf.DUMMYFUNCTION("""COMPUTED_VALUE"""),45789.0)</f>
        <v>45789</v>
      </c>
      <c r="E3298" s="157">
        <f>IFERROR(__xludf.DUMMYFUNCTION("""COMPUTED_VALUE"""),323335.0)</f>
        <v>323335</v>
      </c>
      <c r="F3298" s="152" t="str">
        <f>IFERROR(__xludf.DUMMYFUNCTION("""COMPUTED_VALUE"""),"【単話版】悪役の王女に転生したけど、隠しキャラが隠れてない。〜光差す世界で君と〜@COMIC")</f>
        <v>【単話版】悪役の王女に転生したけど、隠しキャラが隠れてない。〜光差す世界で君と〜@COMIC</v>
      </c>
      <c r="G3298" s="152" t="str">
        <f>IFERROR(__xludf.DUMMYFUNCTION("""COMPUTED_VALUE"""),"1～3")</f>
        <v>1～3</v>
      </c>
      <c r="H3298" s="152" t="str">
        <f>IFERROR(__xludf.DUMMYFUNCTION("""COMPUTED_VALUE"""),"こわたりひろ/早瀬黒絵/comet")</f>
        <v>こわたりひろ/早瀬黒絵/comet</v>
      </c>
      <c r="I3298" s="152" t="str">
        <f>IFERROR(__xludf.DUMMYFUNCTION("""COMPUTED_VALUE"""),"少女")</f>
        <v>少女</v>
      </c>
      <c r="J3298" s="157"/>
      <c r="K3298" s="157"/>
      <c r="L3298" s="152" t="str">
        <f>IFERROR(__xludf.DUMMYFUNCTION("""COMPUTED_VALUE"""),"TOブックス")</f>
        <v>TOブックス</v>
      </c>
      <c r="M3298" s="154">
        <f>IFERROR(__xludf.DUMMYFUNCTION("""COMPUTED_VALUE"""),45809.0)</f>
        <v>45809</v>
      </c>
      <c r="N3298" s="199">
        <f>IFERROR(__xludf.DUMMYFUNCTION("""COMPUTED_VALUE"""),45869.0)</f>
        <v>45869</v>
      </c>
      <c r="O3298" s="152"/>
      <c r="P3298" s="190" t="str">
        <f>IFERROR(__xludf.DUMMYFUNCTION("""COMPUTED_VALUE"""),"否")</f>
        <v>否</v>
      </c>
      <c r="Q3298" s="152"/>
      <c r="R3298" s="152" t="str">
        <f>IFERROR(__xludf.DUMMYFUNCTION("""COMPUTED_VALUE"""),"コミットOK")</f>
        <v>コミットOK</v>
      </c>
      <c r="S3298" s="152" t="str">
        <f>IFERROR(__xludf.DUMMYFUNCTION("""COMPUTED_VALUE"""),"20250507_TOブックス_【単話版】悪役の王女に転生したけど、隠しキャラが隠れてない。〜光差す世界で君と〜@COMIC")</f>
        <v>20250507_TOブックス_【単話版】悪役の王女に転生したけど、隠しキャラが隠れてない。〜光差す世界で君と〜@COMIC</v>
      </c>
      <c r="T3298" s="152" t="str">
        <f>IFERROR(__xludf.DUMMYFUNCTION("""COMPUTED_VALUE"""),"格納済み")</f>
        <v>格納済み</v>
      </c>
      <c r="U3298" s="9" t="str">
        <f>IFERROR(__xludf.DUMMYFUNCTION("""COMPUTED_VALUE"""),"Ⓒ Hiro Kowatari / Kuroe Hayase")</f>
        <v>Ⓒ Hiro Kowatari / Kuroe Hayase</v>
      </c>
      <c r="V3298" s="8" t="str">
        <f>IFERROR(__xludf.DUMMYFUNCTION("""COMPUTED_VALUE"""),"シリーズ累計25万部突破！（電子書籍を含む）
救ってくれた白馬の王子様は――暗殺者（隠し攻略キャラ）でした!?
新たに描く無垢な王女×腹黒アサシンの年の差・偏愛ファンタジー！コミカライズ新シリーズ開幕！
コミカライズ新シリーズ開幕！
「大丈夫、もし君が死にそうになっても、死ぬ前にオレが殺してあげる」
その“暗殺者”は、わたしににっこりと微笑みかけた――。
乙女ゲームの世界で５歳児の“悪役王女・リュシエンヌ”になって以来、ずっと王妃たちからの暴力と空腹に耐える日々だった。
そんなある日、隠"&amp;"し攻略対象の彼と出会った。名前はルフェーヴル。
薬草の手当てで寝かしつけてくれたり、動けないわたしに水やビスケットをくれたり。
生まれて初めて触れた温かさに――わたしは決めた。
「お兄ちゃんにだったら、ころされてもいいよ」
シナリオにはなかった孤独な二人の出会いが、ゲームを根底から変えていく！
新たに描く無垢な王女と腹黒アサシンの年の差・偏愛ファンタジー！")</f>
        <v>シリーズ累計25万部突破！（電子書籍を含む）
救ってくれた白馬の王子様は――暗殺者（隠し攻略キャラ）でした!?
新たに描く無垢な王女×腹黒アサシンの年の差・偏愛ファンタジー！コミカライズ新シリーズ開幕！
コミカライズ新シリーズ開幕！
「大丈夫、もし君が死にそうになっても、死ぬ前にオレが殺してあげる」
その“暗殺者”は、わたしににっこりと微笑みかけた――。
乙女ゲームの世界で５歳児の“悪役王女・リュシエンヌ”になって以来、ずっと王妃たちからの暴力と空腹に耐える日々だった。
そんなある日、隠し攻略対象の彼と出会った。名前はルフェーヴル。
薬草の手当てで寝かしつけてくれたり、動けないわたしに水やビスケットをくれたり。
生まれて初めて触れた温かさに――わたしは決めた。
「お兄ちゃんにだったら、ころされてもいいよ」
シナリオにはなかった孤独な二人の出会いが、ゲームを根底から変えていく！
新たに描く無垢な王女と腹黒アサシンの年の差・偏愛ファンタジー！</v>
      </c>
      <c r="W3298" s="8" t="str">
        <f>IFERROR(__xludf.DUMMYFUNCTION("""COMPUTED_VALUE"""),"#REF!")</f>
        <v>#REF!</v>
      </c>
      <c r="X3298" s="8" t="str">
        <f>IFERROR(__xludf.DUMMYFUNCTION("""COMPUTED_VALUE"""),"有")</f>
        <v>有</v>
      </c>
      <c r="Y3298" s="8" t="str">
        <f>IFERROR(__xludf.DUMMYFUNCTION("""COMPUTED_VALUE"""),"2025/6/7まで1巻無料")</f>
        <v>2025/6/7まで1巻無料</v>
      </c>
      <c r="Z3298" s="7"/>
      <c r="AA3298" s="7"/>
      <c r="AB3298" s="7"/>
    </row>
    <row r="3299" ht="15.75" customHeight="1">
      <c r="A3299" s="153">
        <f>IFERROR(__xludf.DUMMYFUNCTION("""COMPUTED_VALUE"""),5116.0)</f>
        <v>5116</v>
      </c>
      <c r="B3299" s="152" t="str">
        <f>IFERROR(__xludf.DUMMYFUNCTION("""COMPUTED_VALUE"""),"確定")</f>
        <v>確定</v>
      </c>
      <c r="C3299" s="154">
        <f>IFERROR(__xludf.DUMMYFUNCTION("""COMPUTED_VALUE"""),45714.0)</f>
        <v>45714</v>
      </c>
      <c r="D3299" s="154">
        <f>IFERROR(__xludf.DUMMYFUNCTION("""COMPUTED_VALUE"""),45790.0)</f>
        <v>45790</v>
      </c>
      <c r="E3299" s="157">
        <f>IFERROR(__xludf.DUMMYFUNCTION("""COMPUTED_VALUE"""),324002.0)</f>
        <v>324002</v>
      </c>
      <c r="F3299" s="152" t="str">
        <f>IFERROR(__xludf.DUMMYFUNCTION("""COMPUTED_VALUE"""),"呪われてもキミを愛す。～発情兎は四六時中ＳＥＸがシたい～")</f>
        <v>呪われてもキミを愛す。～発情兎は四六時中ＳＥＸがシたい～</v>
      </c>
      <c r="G3299" s="152" t="str">
        <f>IFERROR(__xludf.DUMMYFUNCTION("""COMPUTED_VALUE"""),"1～3")</f>
        <v>1～3</v>
      </c>
      <c r="H3299" s="152" t="str">
        <f>IFERROR(__xludf.DUMMYFUNCTION("""COMPUTED_VALUE"""),"漫画：堂夏ちくわ 原作：森野じゃむ")</f>
        <v>漫画：堂夏ちくわ 原作：森野じゃむ</v>
      </c>
      <c r="I3299" s="152" t="str">
        <f>IFERROR(__xludf.DUMMYFUNCTION("""COMPUTED_VALUE"""),"TL")</f>
        <v>TL</v>
      </c>
      <c r="J3299" s="157"/>
      <c r="K3299" s="152" t="str">
        <f>IFERROR(__xludf.DUMMYFUNCTION("""COMPUTED_VALUE"""),"Pinkcherie")</f>
        <v>Pinkcherie</v>
      </c>
      <c r="L3299" s="152" t="str">
        <f>IFERROR(__xludf.DUMMYFUNCTION("""COMPUTED_VALUE"""),"CLAPコミックス")</f>
        <v>CLAPコミックス</v>
      </c>
      <c r="M3299" s="154">
        <f>IFERROR(__xludf.DUMMYFUNCTION("""COMPUTED_VALUE"""),45814.0)</f>
        <v>45814</v>
      </c>
      <c r="N3299" s="199">
        <f>IFERROR(__xludf.DUMMYFUNCTION("""COMPUTED_VALUE"""),45905.0)</f>
        <v>45905</v>
      </c>
      <c r="O3299" s="152"/>
      <c r="P3299" s="190" t="str">
        <f>IFERROR(__xludf.DUMMYFUNCTION("""COMPUTED_VALUE"""),"可")</f>
        <v>可</v>
      </c>
      <c r="Q3299" s="152"/>
      <c r="R3299" s="152" t="str">
        <f>IFERROR(__xludf.DUMMYFUNCTION("""COMPUTED_VALUE"""),"コミットOK")</f>
        <v>コミットOK</v>
      </c>
      <c r="S3299" s="152" t="str">
        <f>IFERROR(__xludf.DUMMYFUNCTION("""COMPUTED_VALUE"""),"20250512_CLAPコミックス_呪われてもキミを愛す。～発情兎は四六時中ＳＥＸがシたい～")</f>
        <v>20250512_CLAPコミックス_呪われてもキミを愛す。～発情兎は四六時中ＳＥＸがシたい～</v>
      </c>
      <c r="T3299" s="152" t="str">
        <f>IFERROR(__xludf.DUMMYFUNCTION("""COMPUTED_VALUE"""),"格納済み")</f>
        <v>格納済み</v>
      </c>
      <c r="U3299" s="9" t="str">
        <f>IFERROR(__xludf.DUMMYFUNCTION("""COMPUTED_VALUE"""),"堂夏ちくわ・森野じゃむ／CLAPコミックス")</f>
        <v>堂夏ちくわ・森野じゃむ／CLAPコミックス</v>
      </c>
      <c r="V3299" s="8" t="str">
        <f>IFERROR(__xludf.DUMMYFUNCTION("""COMPUTED_VALUE"""),"「最初で最後なんでしょ？俺の記憶にも全部刻んでおきたい」
実家が経営している地方の旅館で、観月小春(みづきこはる)は忙しい日々を送っている。
18歳の時に、初恋の人である幼馴染の兎洞汐音(うどうしおん)が突然消えた。
今もずっと変わらず想いを寄せている彼に、気持ちを伝えることができたなら…。
そんな後悔を抱え続けていたが、仕事中に偶然見せてもらった写真に東京の街と汐音の姿が写っていた。
居ても立ってもいられなくなり、小春は突発的に上京することに。
偶然再会した汐音に、小春は一度だけ抱い"&amp;"てほしいと懇願する。
敏感なところを舌と指で優しく愛撫されたあとは、ナカまでたっぷり愛されてーー。
翌朝、自分の身体に見慣れぬ印が刻まれており、それが“呪い”のせいだと伝えられ…？")</f>
        <v>「最初で最後なんでしょ？俺の記憶にも全部刻んでおきたい」
実家が経営している地方の旅館で、観月小春(みづきこはる)は忙しい日々を送っている。
18歳の時に、初恋の人である幼馴染の兎洞汐音(うどうしおん)が突然消えた。
今もずっと変わらず想いを寄せている彼に、気持ちを伝えることができたなら…。
そんな後悔を抱え続けていたが、仕事中に偶然見せてもらった写真に東京の街と汐音の姿が写っていた。
居ても立ってもいられなくなり、小春は突発的に上京することに。
偶然再会した汐音に、小春は一度だけ抱いてほしいと懇願する。
敏感なところを舌と指で優しく愛撫されたあとは、ナカまでたっぷり愛されてーー。
翌朝、自分の身体に見慣れぬ印が刻まれており、それが“呪い”のせいだと伝えられ…？</v>
      </c>
      <c r="W3299" s="8" t="str">
        <f>IFERROR(__xludf.DUMMYFUNCTION("""COMPUTED_VALUE"""),"#REF!")</f>
        <v>#REF!</v>
      </c>
      <c r="X3299" s="8" t="str">
        <f>IFERROR(__xludf.DUMMYFUNCTION("""COMPUTED_VALUE"""),"有")</f>
        <v>有</v>
      </c>
      <c r="Y3299" s="8" t="str">
        <f>IFERROR(__xludf.DUMMYFUNCTION("""COMPUTED_VALUE"""),"2025/6/19まで1巻無料")</f>
        <v>2025/6/19まで1巻無料</v>
      </c>
      <c r="Z3299" s="7"/>
      <c r="AA3299" s="7"/>
      <c r="AB3299" s="7"/>
    </row>
    <row r="3300" ht="15.75" customHeight="1">
      <c r="A3300" s="153">
        <f>IFERROR(__xludf.DUMMYFUNCTION("""COMPUTED_VALUE"""),5184.0)</f>
        <v>5184</v>
      </c>
      <c r="B3300" s="152" t="str">
        <f>IFERROR(__xludf.DUMMYFUNCTION("""COMPUTED_VALUE"""),"確定")</f>
        <v>確定</v>
      </c>
      <c r="C3300" s="154">
        <f>IFERROR(__xludf.DUMMYFUNCTION("""COMPUTED_VALUE"""),45721.0)</f>
        <v>45721</v>
      </c>
      <c r="D3300" s="154">
        <f>IFERROR(__xludf.DUMMYFUNCTION("""COMPUTED_VALUE"""),45790.0)</f>
        <v>45790</v>
      </c>
      <c r="E3300" s="153">
        <f>IFERROR(__xludf.DUMMYFUNCTION("""COMPUTED_VALUE"""),322254.0)</f>
        <v>322254</v>
      </c>
      <c r="F3300" s="152" t="str">
        <f>IFERROR(__xludf.DUMMYFUNCTION("""COMPUTED_VALUE"""),"鬼大尉の生贄花嫁～買われたはずが、冷徹伯爵に独占寵愛されています～【分冊版】")</f>
        <v>鬼大尉の生贄花嫁～買われたはずが、冷徹伯爵に独占寵愛されています～【分冊版】</v>
      </c>
      <c r="G3300" s="152" t="str">
        <f>IFERROR(__xludf.DUMMYFUNCTION("""COMPUTED_VALUE"""),"1～3")</f>
        <v>1～3</v>
      </c>
      <c r="H3300" s="152" t="str">
        <f>IFERROR(__xludf.DUMMYFUNCTION("""COMPUTED_VALUE"""),"宇野リッカ,真彩－mahya－")</f>
        <v>宇野リッカ,真彩－mahya－</v>
      </c>
      <c r="I3300" s="152" t="str">
        <f>IFERROR(__xludf.DUMMYFUNCTION("""COMPUTED_VALUE"""),"女性マンガ")</f>
        <v>女性マンガ</v>
      </c>
      <c r="J3300" s="157"/>
      <c r="K3300" s="157"/>
      <c r="L3300" s="152" t="str">
        <f>IFERROR(__xludf.DUMMYFUNCTION("""COMPUTED_VALUE"""),"ハーパーコリンズ・ジャパン")</f>
        <v>ハーパーコリンズ・ジャパン</v>
      </c>
      <c r="M3300" s="154">
        <f>IFERROR(__xludf.DUMMYFUNCTION("""COMPUTED_VALUE"""),45796.0)</f>
        <v>45796</v>
      </c>
      <c r="N3300" s="199">
        <f>IFERROR(__xludf.DUMMYFUNCTION("""COMPUTED_VALUE"""),45855.0)</f>
        <v>45855</v>
      </c>
      <c r="O3300" s="152"/>
      <c r="P3300" s="152" t="str">
        <f>IFERROR(__xludf.DUMMYFUNCTION("""COMPUTED_VALUE"""),"可")</f>
        <v>可</v>
      </c>
      <c r="Q3300" s="152" t="str">
        <f>IFERROR(__xludf.DUMMYFUNCTION("""COMPUTED_VALUE"""),"素材の事前提供はありませんが、先行配信確定です。")</f>
        <v>素材の事前提供はありませんが、先行配信確定です。</v>
      </c>
      <c r="R3300" s="152" t="str">
        <f>IFERROR(__xludf.DUMMYFUNCTION("""COMPUTED_VALUE"""),"コミットNG")</f>
        <v>コミットNG</v>
      </c>
      <c r="S3300" s="152" t="str">
        <f>IFERROR(__xludf.DUMMYFUNCTION("""COMPUTED_VALUE"""),"20250508_ハーパーコリンズ・ジャパン_鬼大尉の生贄花嫁～買われたはずが、冷徹伯爵に独占寵愛されています～【分冊版】")</f>
        <v>20250508_ハーパーコリンズ・ジャパン_鬼大尉の生贄花嫁～買われたはずが、冷徹伯爵に独占寵愛されています～【分冊版】</v>
      </c>
      <c r="T3300" s="152" t="str">
        <f>IFERROR(__xludf.DUMMYFUNCTION("""COMPUTED_VALUE"""),"格納済み")</f>
        <v>格納済み</v>
      </c>
      <c r="U3300" s="9" t="str">
        <f>IFERROR(__xludf.DUMMYFUNCTION("""COMPUTED_VALUE"""),"Ⓒ宇野リッカ・真彩-mahya-／ハーパーコリンズ・ジャパン")</f>
        <v>Ⓒ宇野リッカ・真彩-mahya-／ハーパーコリンズ・ジャパン</v>
      </c>
      <c r="V3300" s="8" t="str">
        <f>IFERROR(__xludf.DUMMYFUNCTION("""COMPUTED_VALUE"""),"「君も俺も望まない結婚の被害者だ」
貧乏士族・寧々の縁談相手は、愛を知らない鬼大尉!?
時は大正。貧乏士族・寧々は町でナンパにあっていたところを、美しい軍人の男に助けられる。「もっと話していたかったな」彼女がそう思いながら帰宅すると、両親から縁談の話が…。寧々は突然の話に戸惑いつつも、両親のために（推定）偏屈おじさんとの縁談を引き受けることを決意する。当日、気乗りしない彼女の前に現れた結婚相手は、もう一度会いたいと思いを寄せていた「あの軍人さん」で…!?")</f>
        <v>「君も俺も望まない結婚の被害者だ」
貧乏士族・寧々の縁談相手は、愛を知らない鬼大尉!?
時は大正。貧乏士族・寧々は町でナンパにあっていたところを、美しい軍人の男に助けられる。「もっと話していたかったな」彼女がそう思いながら帰宅すると、両親から縁談の話が…。寧々は突然の話に戸惑いつつも、両親のために（推定）偏屈おじさんとの縁談を引き受けることを決意する。当日、気乗りしない彼女の前に現れた結婚相手は、もう一度会いたいと思いを寄せていた「あの軍人さん」で…!?</v>
      </c>
      <c r="W3300" s="8"/>
      <c r="X3300" s="8"/>
      <c r="Y3300" s="8"/>
      <c r="Z3300" s="7"/>
      <c r="AA3300" s="7"/>
      <c r="AB3300" s="7"/>
    </row>
    <row r="3301" ht="15.75" customHeight="1">
      <c r="A3301" s="153">
        <f>IFERROR(__xludf.DUMMYFUNCTION("""COMPUTED_VALUE"""),5271.0)</f>
        <v>5271</v>
      </c>
      <c r="B3301" s="152" t="str">
        <f>IFERROR(__xludf.DUMMYFUNCTION("""COMPUTED_VALUE"""),"確定")</f>
        <v>確定</v>
      </c>
      <c r="C3301" s="154">
        <f>IFERROR(__xludf.DUMMYFUNCTION("""COMPUTED_VALUE"""),45733.0)</f>
        <v>45733</v>
      </c>
      <c r="D3301" s="154">
        <f>IFERROR(__xludf.DUMMYFUNCTION("""COMPUTED_VALUE"""),45789.0)</f>
        <v>45789</v>
      </c>
      <c r="E3301" s="157">
        <f>IFERROR(__xludf.DUMMYFUNCTION("""COMPUTED_VALUE"""),324393.0)</f>
        <v>324393</v>
      </c>
      <c r="F3301" s="152" t="str">
        <f>IFERROR(__xludf.DUMMYFUNCTION("""COMPUTED_VALUE"""),"酔っ払い令嬢が英雄と知らず求婚した結果 ～最強の神獣騎士から溺愛がはじまりました！？～【単話版】")</f>
        <v>酔っ払い令嬢が英雄と知らず求婚した結果 ～最強の神獣騎士から溺愛がはじまりました！？～【単話版】</v>
      </c>
      <c r="G3301" s="152" t="str">
        <f>IFERROR(__xludf.DUMMYFUNCTION("""COMPUTED_VALUE"""),"1～6")</f>
        <v>1～6</v>
      </c>
      <c r="H3301" s="152" t="str">
        <f>IFERROR(__xludf.DUMMYFUNCTION("""COMPUTED_VALUE"""),"漫画：オオトリ 原作：長月おと キャラクター原案：中條由良")</f>
        <v>漫画：オオトリ 原作：長月おと キャラクター原案：中條由良</v>
      </c>
      <c r="I3301" s="152" t="str">
        <f>IFERROR(__xludf.DUMMYFUNCTION("""COMPUTED_VALUE"""),"少女")</f>
        <v>少女</v>
      </c>
      <c r="J3301" s="157"/>
      <c r="K3301" s="157"/>
      <c r="L3301" s="152" t="str">
        <f>IFERROR(__xludf.DUMMYFUNCTION("""COMPUTED_VALUE"""),"主婦と生活社")</f>
        <v>主婦と生活社</v>
      </c>
      <c r="M3301" s="154">
        <f>IFERROR(__xludf.DUMMYFUNCTION("""COMPUTED_VALUE"""),45812.0)</f>
        <v>45812</v>
      </c>
      <c r="N3301" s="199">
        <f>IFERROR(__xludf.DUMMYFUNCTION("""COMPUTED_VALUE"""),46387.70833333333)</f>
        <v>46387.70833</v>
      </c>
      <c r="O3301" s="152"/>
      <c r="P3301" s="190" t="str">
        <f>IFERROR(__xludf.DUMMYFUNCTION("""COMPUTED_VALUE"""),"可")</f>
        <v>可</v>
      </c>
      <c r="Q3301" s="152"/>
      <c r="R3301" s="152" t="str">
        <f>IFERROR(__xludf.DUMMYFUNCTION("""COMPUTED_VALUE"""),"コミットNG")</f>
        <v>コミットNG</v>
      </c>
      <c r="S3301" s="152" t="str">
        <f>IFERROR(__xludf.DUMMYFUNCTION("""COMPUTED_VALUE"""),"20250508_主婦と生活社_酔っ払い令嬢が英雄と知らず求婚した結果 〜最強の神獣騎士から溺愛がはじまりました!〜")</f>
        <v>20250508_主婦と生活社_酔っ払い令嬢が英雄と知らず求婚した結果 〜最強の神獣騎士から溺愛がはじまりました!〜</v>
      </c>
      <c r="T3301" s="152" t="str">
        <f>IFERROR(__xludf.DUMMYFUNCTION("""COMPUTED_VALUE"""),"格納済み")</f>
        <v>格納済み</v>
      </c>
      <c r="U3301" s="9" t="str">
        <f>IFERROR(__xludf.DUMMYFUNCTION("""COMPUTED_VALUE"""),"Ⓒ︎オオトリ・長月おと・中條由良 / 主婦と生活社")</f>
        <v>Ⓒ︎オオトリ・長月おと・中條由良 / 主婦と生活社</v>
      </c>
      <c r="V3301" s="8" t="str">
        <f>IFERROR(__xludf.DUMMYFUNCTION("""COMPUTED_VALUE"""),"魔法局技術課で仕事漬けの毎日をおくる、金なし・時間なし・人脈なしの貧乏令嬢ヴィエラに突如降ってきた婿探しのミッション！
偶然近くにいた初見の騎士ルカーシュに酔った勢いで「一年後なら離縁OK」と契約婿の話を持ちかけたところ、まさかの承諾。
だが後日、ルカーシュの正体を知り――！
酔っ払い同士の口約束から始まった離縁可能な契約結婚のはずが「……君を逃すつもりはない」ってどういうこと!?
有能貧乏令嬢と国最強の神獣騎士が織りなすマリアージュ・ラブファンタジー♡")</f>
        <v>魔法局技術課で仕事漬けの毎日をおくる、金なし・時間なし・人脈なしの貧乏令嬢ヴィエラに突如降ってきた婿探しのミッション！
偶然近くにいた初見の騎士ルカーシュに酔った勢いで「一年後なら離縁OK」と契約婿の話を持ちかけたところ、まさかの承諾。
だが後日、ルカーシュの正体を知り――！
酔っ払い同士の口約束から始まった離縁可能な契約結婚のはずが「……君を逃すつもりはない」ってどういうこと!?
有能貧乏令嬢と国最強の神獣騎士が織りなすマリアージュ・ラブファンタジー♡</v>
      </c>
      <c r="W3301" s="8" t="str">
        <f>IFERROR(__xludf.DUMMYFUNCTION("""COMPUTED_VALUE"""),"#REF!")</f>
        <v>#REF!</v>
      </c>
      <c r="X3301" s="8" t="str">
        <f>IFERROR(__xludf.DUMMYFUNCTION("""COMPUTED_VALUE"""),"有")</f>
        <v>有</v>
      </c>
      <c r="Y3301" s="8" t="str">
        <f>IFERROR(__xludf.DUMMYFUNCTION("""COMPUTED_VALUE"""),"1~2巻無料")</f>
        <v>1~2巻無料</v>
      </c>
      <c r="Z3301" s="7"/>
      <c r="AA3301" s="7"/>
      <c r="AB3301" s="7"/>
    </row>
    <row r="3302" ht="15.75" customHeight="1">
      <c r="A3302" s="153">
        <f>IFERROR(__xludf.DUMMYFUNCTION("""COMPUTED_VALUE"""),5314.0)</f>
        <v>5314</v>
      </c>
      <c r="B3302" s="152" t="str">
        <f>IFERROR(__xludf.DUMMYFUNCTION("""COMPUTED_VALUE"""),"確定")</f>
        <v>確定</v>
      </c>
      <c r="C3302" s="154">
        <f>IFERROR(__xludf.DUMMYFUNCTION("""COMPUTED_VALUE"""),45737.0)</f>
        <v>45737</v>
      </c>
      <c r="D3302" s="154">
        <f>IFERROR(__xludf.DUMMYFUNCTION("""COMPUTED_VALUE"""),45789.0)</f>
        <v>45789</v>
      </c>
      <c r="E3302" s="157">
        <f>IFERROR(__xludf.DUMMYFUNCTION("""COMPUTED_VALUE"""),324692.0)</f>
        <v>324692</v>
      </c>
      <c r="F3302" s="152" t="str">
        <f>IFERROR(__xludf.DUMMYFUNCTION("""COMPUTED_VALUE"""),"会社で真面目な静野さんは家で男を飼ってるらしい【R版】")</f>
        <v>会社で真面目な静野さんは家で男を飼ってるらしい【R版】</v>
      </c>
      <c r="G3302" s="152" t="str">
        <f>IFERROR(__xludf.DUMMYFUNCTION("""COMPUTED_VALUE"""),"1～3")</f>
        <v>1～3</v>
      </c>
      <c r="H3302" s="152" t="str">
        <f>IFERROR(__xludf.DUMMYFUNCTION("""COMPUTED_VALUE"""),"ユズハ")</f>
        <v>ユズハ</v>
      </c>
      <c r="I3302" s="152" t="str">
        <f>IFERROR(__xludf.DUMMYFUNCTION("""COMPUTED_VALUE"""),"アダルト")</f>
        <v>アダルト</v>
      </c>
      <c r="J3302" s="157"/>
      <c r="K3302" s="152" t="str">
        <f>IFERROR(__xludf.DUMMYFUNCTION("""COMPUTED_VALUE"""),"THE猥談")</f>
        <v>THE猥談</v>
      </c>
      <c r="L3302" s="152" t="str">
        <f>IFERROR(__xludf.DUMMYFUNCTION("""COMPUTED_VALUE"""),"DLcomics")</f>
        <v>DLcomics</v>
      </c>
      <c r="M3302" s="154">
        <f>IFERROR(__xludf.DUMMYFUNCTION("""COMPUTED_VALUE"""),45816.0)</f>
        <v>45816</v>
      </c>
      <c r="N3302" s="199">
        <f>IFERROR(__xludf.DUMMYFUNCTION("""COMPUTED_VALUE"""),45911.0)</f>
        <v>45911</v>
      </c>
      <c r="O3302" s="152"/>
      <c r="P3302" s="190" t="str">
        <f>IFERROR(__xludf.DUMMYFUNCTION("""COMPUTED_VALUE"""),"可")</f>
        <v>可</v>
      </c>
      <c r="Q3302" s="152"/>
      <c r="R3302" s="152" t="str">
        <f>IFERROR(__xludf.DUMMYFUNCTION("""COMPUTED_VALUE"""),"コミットOK")</f>
        <v>コミットOK</v>
      </c>
      <c r="S3302" s="152" t="str">
        <f>IFERROR(__xludf.DUMMYFUNCTION("""COMPUTED_VALUE"""),"20250509_DLcomics_会社で真面目な静野さんは家で男を飼ってるらしい【R版】")</f>
        <v>20250509_DLcomics_会社で真面目な静野さんは家で男を飼ってるらしい【R版】</v>
      </c>
      <c r="T3302" s="152" t="str">
        <f>IFERROR(__xludf.DUMMYFUNCTION("""COMPUTED_VALUE"""),"格納済み")</f>
        <v>格納済み</v>
      </c>
      <c r="U3302" s="9" t="str">
        <f>IFERROR(__xludf.DUMMYFUNCTION("""COMPUTED_VALUE"""),"(C)ユズハ/THE猥談")</f>
        <v>(C)ユズハ/THE猥談</v>
      </c>
      <c r="V3302" s="8" t="str">
        <f>IFERROR(__xludf.DUMMYFUNCTION("""COMPUTED_VALUE"""),"セックスして、仕事して。
帰って、セックスして、また仕事に行く。
「おかえり」「ただいま」
わたしたちは 恋人同士じゃない。
由貴はたまにいなくなっては、ふらっと帰ってくる。
いつもそれが「最後」じゃなかったらいいなと、思う。
漫画:ユズハ
表紙デザイン:ヱレキテルワークス
※本作は同人誌となります。
※総ページ数は25ページとなります。")</f>
        <v>セックスして、仕事して。
帰って、セックスして、また仕事に行く。
「おかえり」「ただいま」
わたしたちは 恋人同士じゃない。
由貴はたまにいなくなっては、ふらっと帰ってくる。
いつもそれが「最後」じゃなかったらいいなと、思う。
漫画:ユズハ
表紙デザイン:ヱレキテルワークス
※本作は同人誌となります。
※総ページ数は25ページとなります。</v>
      </c>
      <c r="W3302" s="8" t="str">
        <f>IFERROR(__xludf.DUMMYFUNCTION("""COMPUTED_VALUE"""),"#REF!")</f>
        <v>#REF!</v>
      </c>
      <c r="X3302" s="8" t="str">
        <f>IFERROR(__xludf.DUMMYFUNCTION("""COMPUTED_VALUE"""),"有")</f>
        <v>有</v>
      </c>
      <c r="Y3302" s="8" t="str">
        <f>IFERROR(__xludf.DUMMYFUNCTION("""COMPUTED_VALUE"""),"1巻無料")</f>
        <v>1巻無料</v>
      </c>
      <c r="Z3302" s="7"/>
      <c r="AA3302" s="7"/>
      <c r="AB3302" s="7"/>
    </row>
    <row r="3303" ht="15.75" customHeight="1">
      <c r="A3303" s="153">
        <f>IFERROR(__xludf.DUMMYFUNCTION("""COMPUTED_VALUE"""),5315.0)</f>
        <v>5315</v>
      </c>
      <c r="B3303" s="152" t="str">
        <f>IFERROR(__xludf.DUMMYFUNCTION("""COMPUTED_VALUE"""),"確定")</f>
        <v>確定</v>
      </c>
      <c r="C3303" s="154">
        <f>IFERROR(__xludf.DUMMYFUNCTION("""COMPUTED_VALUE"""),45737.0)</f>
        <v>45737</v>
      </c>
      <c r="D3303" s="154">
        <f>IFERROR(__xludf.DUMMYFUNCTION("""COMPUTED_VALUE"""),45789.0)</f>
        <v>45789</v>
      </c>
      <c r="E3303" s="157">
        <f>IFERROR(__xludf.DUMMYFUNCTION("""COMPUTED_VALUE"""),324693.0)</f>
        <v>324693</v>
      </c>
      <c r="F3303" s="152" t="str">
        <f>IFERROR(__xludf.DUMMYFUNCTION("""COMPUTED_VALUE"""),"会社で真面目な静野さんは家で男を飼ってるらしい")</f>
        <v>会社で真面目な静野さんは家で男を飼ってるらしい</v>
      </c>
      <c r="G3303" s="152" t="str">
        <f>IFERROR(__xludf.DUMMYFUNCTION("""COMPUTED_VALUE"""),"1～3")</f>
        <v>1～3</v>
      </c>
      <c r="H3303" s="152" t="str">
        <f>IFERROR(__xludf.DUMMYFUNCTION("""COMPUTED_VALUE"""),"ユズハ")</f>
        <v>ユズハ</v>
      </c>
      <c r="I3303" s="152" t="str">
        <f>IFERROR(__xludf.DUMMYFUNCTION("""COMPUTED_VALUE"""),"TL")</f>
        <v>TL</v>
      </c>
      <c r="J3303" s="157"/>
      <c r="K3303" s="152" t="str">
        <f>IFERROR(__xludf.DUMMYFUNCTION("""COMPUTED_VALUE"""),"THE猥談")</f>
        <v>THE猥談</v>
      </c>
      <c r="L3303" s="152" t="str">
        <f>IFERROR(__xludf.DUMMYFUNCTION("""COMPUTED_VALUE"""),"DLcomics")</f>
        <v>DLcomics</v>
      </c>
      <c r="M3303" s="154">
        <f>IFERROR(__xludf.DUMMYFUNCTION("""COMPUTED_VALUE"""),45816.0)</f>
        <v>45816</v>
      </c>
      <c r="N3303" s="199">
        <f>IFERROR(__xludf.DUMMYFUNCTION("""COMPUTED_VALUE"""),45911.0)</f>
        <v>45911</v>
      </c>
      <c r="O3303" s="152"/>
      <c r="P3303" s="190" t="str">
        <f>IFERROR(__xludf.DUMMYFUNCTION("""COMPUTED_VALUE"""),"可")</f>
        <v>可</v>
      </c>
      <c r="Q3303" s="152"/>
      <c r="R3303" s="152" t="str">
        <f>IFERROR(__xludf.DUMMYFUNCTION("""COMPUTED_VALUE"""),"コミットOK")</f>
        <v>コミットOK</v>
      </c>
      <c r="S3303" s="152" t="str">
        <f>IFERROR(__xludf.DUMMYFUNCTION("""COMPUTED_VALUE"""),"20250509_DLcomics_会社で真面目な静野さんは家で男を飼ってるらしい")</f>
        <v>20250509_DLcomics_会社で真面目な静野さんは家で男を飼ってるらしい</v>
      </c>
      <c r="T3303" s="152" t="str">
        <f>IFERROR(__xludf.DUMMYFUNCTION("""COMPUTED_VALUE"""),"格納済み")</f>
        <v>格納済み</v>
      </c>
      <c r="U3303" s="9" t="str">
        <f>IFERROR(__xludf.DUMMYFUNCTION("""COMPUTED_VALUE"""),"(C)ユズハ/THE猥談")</f>
        <v>(C)ユズハ/THE猥談</v>
      </c>
      <c r="V3303" s="8" t="str">
        <f>IFERROR(__xludf.DUMMYFUNCTION("""COMPUTED_VALUE"""),"セックスして、仕事して。
帰って、セックスして、また仕事に行く。
「おかえり」「ただいま」
わたしたちは 恋人同士じゃない。
由貴はたまにいなくなっては、ふらっと帰ってくる。
いつもそれが「最後」じゃなかったらいいなと、思う。
漫画:ユズハ
表紙デザイン:ヱレキテルワークス
※本作は同人誌となります。
※総ページ数は25ページとなります。")</f>
        <v>セックスして、仕事して。
帰って、セックスして、また仕事に行く。
「おかえり」「ただいま」
わたしたちは 恋人同士じゃない。
由貴はたまにいなくなっては、ふらっと帰ってくる。
いつもそれが「最後」じゃなかったらいいなと、思う。
漫画:ユズハ
表紙デザイン:ヱレキテルワークス
※本作は同人誌となります。
※総ページ数は25ページとなります。</v>
      </c>
      <c r="W3303" s="8" t="str">
        <f>IFERROR(__xludf.DUMMYFUNCTION("""COMPUTED_VALUE"""),"#REF!")</f>
        <v>#REF!</v>
      </c>
      <c r="X3303" s="8" t="str">
        <f>IFERROR(__xludf.DUMMYFUNCTION("""COMPUTED_VALUE"""),"有")</f>
        <v>有</v>
      </c>
      <c r="Y3303" s="8" t="str">
        <f>IFERROR(__xludf.DUMMYFUNCTION("""COMPUTED_VALUE"""),"1巻無料")</f>
        <v>1巻無料</v>
      </c>
      <c r="Z3303" s="7"/>
      <c r="AA3303" s="7"/>
      <c r="AB3303" s="7"/>
    </row>
    <row r="3304" ht="15.75" customHeight="1">
      <c r="A3304" s="153">
        <f>IFERROR(__xludf.DUMMYFUNCTION("""COMPUTED_VALUE"""),5377.0)</f>
        <v>5377</v>
      </c>
      <c r="B3304" s="152" t="str">
        <f>IFERROR(__xludf.DUMMYFUNCTION("""COMPUTED_VALUE"""),"確定")</f>
        <v>確定</v>
      </c>
      <c r="C3304" s="154">
        <f>IFERROR(__xludf.DUMMYFUNCTION("""COMPUTED_VALUE"""),45744.0)</f>
        <v>45744</v>
      </c>
      <c r="D3304" s="154">
        <f>IFERROR(__xludf.DUMMYFUNCTION("""COMPUTED_VALUE"""),45791.0)</f>
        <v>45791</v>
      </c>
      <c r="E3304" s="157">
        <f>IFERROR(__xludf.DUMMYFUNCTION("""COMPUTED_VALUE"""),325469.0)</f>
        <v>325469</v>
      </c>
      <c r="F3304" s="152" t="str">
        <f>IFERROR(__xludf.DUMMYFUNCTION("""COMPUTED_VALUE"""),"なきっつらに恋【マイクロ】")</f>
        <v>なきっつらに恋【マイクロ】</v>
      </c>
      <c r="G3304" s="152" t="str">
        <f>IFERROR(__xludf.DUMMYFUNCTION("""COMPUTED_VALUE"""),"1～3")</f>
        <v>1～3</v>
      </c>
      <c r="H3304" s="152" t="str">
        <f>IFERROR(__xludf.DUMMYFUNCTION("""COMPUTED_VALUE"""),"華谷艶")</f>
        <v>華谷艶</v>
      </c>
      <c r="I3304" s="152" t="str">
        <f>IFERROR(__xludf.DUMMYFUNCTION("""COMPUTED_VALUE"""),"少女")</f>
        <v>少女</v>
      </c>
      <c r="J3304" s="157"/>
      <c r="K3304" s="152" t="str">
        <f>IFERROR(__xludf.DUMMYFUNCTION("""COMPUTED_VALUE"""),"Cheese!")</f>
        <v>Cheese!</v>
      </c>
      <c r="L3304" s="152" t="str">
        <f>IFERROR(__xludf.DUMMYFUNCTION("""COMPUTED_VALUE"""),"小学館")</f>
        <v>小学館</v>
      </c>
      <c r="M3304" s="154">
        <f>IFERROR(__xludf.DUMMYFUNCTION("""COMPUTED_VALUE"""),45823.0)</f>
        <v>45823</v>
      </c>
      <c r="N3304" s="199">
        <f>IFERROR(__xludf.DUMMYFUNCTION("""COMPUTED_VALUE"""),45883.0)</f>
        <v>45883</v>
      </c>
      <c r="O3304" s="152"/>
      <c r="P3304" s="152" t="str">
        <f>IFERROR(__xludf.DUMMYFUNCTION("""COMPUTED_VALUE"""),"否")</f>
        <v>否</v>
      </c>
      <c r="Q3304" s="152" t="str">
        <f>IFERROR(__xludf.DUMMYFUNCTION("""COMPUTED_VALUE"""),"1巻目18ページのフキダシ確認中")</f>
        <v>1巻目18ページのフキダシ確認中</v>
      </c>
      <c r="R3304" s="152" t="str">
        <f>IFERROR(__xludf.DUMMYFUNCTION("""COMPUTED_VALUE"""),"コミットNG")</f>
        <v>コミットNG</v>
      </c>
      <c r="S3304" s="152" t="str">
        <f>IFERROR(__xludf.DUMMYFUNCTION("""COMPUTED_VALUE"""),"20250513_小学館_なきっつらに恋")</f>
        <v>20250513_小学館_なきっつらに恋</v>
      </c>
      <c r="T3304" s="152" t="str">
        <f>IFERROR(__xludf.DUMMYFUNCTION("""COMPUTED_VALUE"""),"格納済み")</f>
        <v>格納済み</v>
      </c>
      <c r="U3304" s="9" t="str">
        <f>IFERROR(__xludf.DUMMYFUNCTION("""COMPUTED_VALUE"""),"(C)華谷艶 / 小学館")</f>
        <v>(C)華谷艶 / 小学館</v>
      </c>
      <c r="V3304" s="8"/>
      <c r="W3304" s="8"/>
      <c r="X3304" s="8" t="str">
        <f>IFERROR(__xludf.DUMMYFUNCTION("""COMPUTED_VALUE"""),"有")</f>
        <v>有</v>
      </c>
      <c r="Y3304" s="8" t="str">
        <f>IFERROR(__xludf.DUMMYFUNCTION("""COMPUTED_VALUE"""),"2025/8/14まで1巻無料")</f>
        <v>2025/8/14まで1巻無料</v>
      </c>
      <c r="Z3304" s="7"/>
      <c r="AA3304" s="7"/>
      <c r="AB3304" s="7"/>
    </row>
    <row r="3305" ht="15.75" customHeight="1">
      <c r="A3305" s="153">
        <f>IFERROR(__xludf.DUMMYFUNCTION("""COMPUTED_VALUE"""),5381.0)</f>
        <v>5381</v>
      </c>
      <c r="B3305" s="152" t="str">
        <f>IFERROR(__xludf.DUMMYFUNCTION("""COMPUTED_VALUE"""),"確定")</f>
        <v>確定</v>
      </c>
      <c r="C3305" s="154">
        <f>IFERROR(__xludf.DUMMYFUNCTION("""COMPUTED_VALUE"""),45747.0)</f>
        <v>45747</v>
      </c>
      <c r="D3305" s="154">
        <f>IFERROR(__xludf.DUMMYFUNCTION("""COMPUTED_VALUE"""),45791.0)</f>
        <v>45791</v>
      </c>
      <c r="E3305" s="157">
        <f>IFERROR(__xludf.DUMMYFUNCTION("""COMPUTED_VALUE"""),325476.0)</f>
        <v>325476</v>
      </c>
      <c r="F3305" s="152" t="str">
        <f>IFERROR(__xludf.DUMMYFUNCTION("""COMPUTED_VALUE"""),"アラサーちゃんは年下学生のク○責めに抗えない!?【TL版】")</f>
        <v>アラサーちゃんは年下学生のク○責めに抗えない!?【TL版】</v>
      </c>
      <c r="G3305" s="152" t="str">
        <f>IFERROR(__xludf.DUMMYFUNCTION("""COMPUTED_VALUE"""),"1～4")</f>
        <v>1～4</v>
      </c>
      <c r="H3305" s="152" t="str">
        <f>IFERROR(__xludf.DUMMYFUNCTION("""COMPUTED_VALUE"""),"ぢぇいそん椎名")</f>
        <v>ぢぇいそん椎名</v>
      </c>
      <c r="I3305" s="152" t="str">
        <f>IFERROR(__xludf.DUMMYFUNCTION("""COMPUTED_VALUE"""),"TL")</f>
        <v>TL</v>
      </c>
      <c r="J3305" s="157"/>
      <c r="K3305" s="152" t="str">
        <f>IFERROR(__xludf.DUMMYFUNCTION("""COMPUTED_VALUE"""),"＠夜噺")</f>
        <v>＠夜噺</v>
      </c>
      <c r="L3305" s="152" t="str">
        <f>IFERROR(__xludf.DUMMYFUNCTION("""COMPUTED_VALUE"""),"DEEPER-ZERO")</f>
        <v>DEEPER-ZERO</v>
      </c>
      <c r="M3305" s="154">
        <f>IFERROR(__xludf.DUMMYFUNCTION("""COMPUTED_VALUE"""),45827.0)</f>
        <v>45827</v>
      </c>
      <c r="N3305" s="199">
        <f>IFERROR(__xludf.DUMMYFUNCTION("""COMPUTED_VALUE"""),45889.0)</f>
        <v>45889</v>
      </c>
      <c r="O3305" s="152"/>
      <c r="P3305" s="152" t="str">
        <f>IFERROR(__xludf.DUMMYFUNCTION("""COMPUTED_VALUE"""),"可")</f>
        <v>可</v>
      </c>
      <c r="Q3305" s="152"/>
      <c r="R3305" s="152" t="str">
        <f>IFERROR(__xludf.DUMMYFUNCTION("""COMPUTED_VALUE"""),"コミットOK")</f>
        <v>コミットOK</v>
      </c>
      <c r="S3305" s="152" t="str">
        <f>IFERROR(__xludf.DUMMYFUNCTION("""COMPUTED_VALUE"""),"20250513_CLLENN_アラサーちゃんは年下学生のク○責めに抗えない!")</f>
        <v>20250513_CLLENN_アラサーちゃんは年下学生のク○責めに抗えない!</v>
      </c>
      <c r="T3305" s="152" t="str">
        <f>IFERROR(__xludf.DUMMYFUNCTION("""COMPUTED_VALUE"""),"格納済み")</f>
        <v>格納済み</v>
      </c>
      <c r="U3305" s="9" t="str">
        <f>IFERROR(__xludf.DUMMYFUNCTION("""COMPUTED_VALUE"""),"Ⓒぢぇいそん椎名/DEEPER-ZERO")</f>
        <v>Ⓒぢぇいそん椎名/DEEPER-ZERO</v>
      </c>
      <c r="V3305" s="8"/>
      <c r="W3305" s="8"/>
      <c r="X3305" s="8" t="str">
        <f>IFERROR(__xludf.DUMMYFUNCTION("""COMPUTED_VALUE"""),"有")</f>
        <v>有</v>
      </c>
      <c r="Y3305" s="8" t="str">
        <f>IFERROR(__xludf.DUMMYFUNCTION("""COMPUTED_VALUE"""),"2025/7/16まで1巻立ち読み増量(P16まで)")</f>
        <v>2025/7/16まで1巻立ち読み増量(P16まで)</v>
      </c>
      <c r="Z3305" s="7"/>
      <c r="AA3305" s="7"/>
      <c r="AB3305" s="7"/>
    </row>
    <row r="3306" ht="15.75" customHeight="1">
      <c r="A3306" s="153">
        <f>IFERROR(__xludf.DUMMYFUNCTION("""COMPUTED_VALUE"""),5382.0)</f>
        <v>5382</v>
      </c>
      <c r="B3306" s="152" t="str">
        <f>IFERROR(__xludf.DUMMYFUNCTION("""COMPUTED_VALUE"""),"確定")</f>
        <v>確定</v>
      </c>
      <c r="C3306" s="154">
        <f>IFERROR(__xludf.DUMMYFUNCTION("""COMPUTED_VALUE"""),45747.0)</f>
        <v>45747</v>
      </c>
      <c r="D3306" s="154">
        <f>IFERROR(__xludf.DUMMYFUNCTION("""COMPUTED_VALUE"""),45791.0)</f>
        <v>45791</v>
      </c>
      <c r="E3306" s="157">
        <f>IFERROR(__xludf.DUMMYFUNCTION("""COMPUTED_VALUE"""),325479.0)</f>
        <v>325479</v>
      </c>
      <c r="F3306" s="152" t="str">
        <f>IFERROR(__xludf.DUMMYFUNCTION("""COMPUTED_VALUE"""),"アラサーちゃんは年下学生のク○責めに抗えない!?【R版】")</f>
        <v>アラサーちゃんは年下学生のク○責めに抗えない!?【R版】</v>
      </c>
      <c r="G3306" s="152" t="str">
        <f>IFERROR(__xludf.DUMMYFUNCTION("""COMPUTED_VALUE"""),"1～4")</f>
        <v>1～4</v>
      </c>
      <c r="H3306" s="152" t="str">
        <f>IFERROR(__xludf.DUMMYFUNCTION("""COMPUTED_VALUE"""),"ぢぇいそん椎名")</f>
        <v>ぢぇいそん椎名</v>
      </c>
      <c r="I3306" s="164" t="str">
        <f>IFERROR(__xludf.DUMMYFUNCTION("""COMPUTED_VALUE"""),"アダルトマンガ")</f>
        <v>アダルトマンガ</v>
      </c>
      <c r="J3306" s="166"/>
      <c r="K3306" s="152" t="str">
        <f>IFERROR(__xludf.DUMMYFUNCTION("""COMPUTED_VALUE"""),"＠夜噺+")</f>
        <v>＠夜噺+</v>
      </c>
      <c r="L3306" s="152" t="str">
        <f>IFERROR(__xludf.DUMMYFUNCTION("""COMPUTED_VALUE"""),"DEEPER-ZERO")</f>
        <v>DEEPER-ZERO</v>
      </c>
      <c r="M3306" s="154">
        <f>IFERROR(__xludf.DUMMYFUNCTION("""COMPUTED_VALUE"""),45827.0)</f>
        <v>45827</v>
      </c>
      <c r="N3306" s="199">
        <f>IFERROR(__xludf.DUMMYFUNCTION("""COMPUTED_VALUE"""),45889.0)</f>
        <v>45889</v>
      </c>
      <c r="O3306" s="152"/>
      <c r="P3306" s="190" t="str">
        <f>IFERROR(__xludf.DUMMYFUNCTION("""COMPUTED_VALUE"""),"可")</f>
        <v>可</v>
      </c>
      <c r="Q3306" s="152"/>
      <c r="R3306" s="152" t="str">
        <f>IFERROR(__xludf.DUMMYFUNCTION("""COMPUTED_VALUE"""),"コミットOK")</f>
        <v>コミットOK</v>
      </c>
      <c r="S3306" s="152" t="str">
        <f>IFERROR(__xludf.DUMMYFUNCTION("""COMPUTED_VALUE"""),"20250513_CLLENN_アラサーちゃんは年下学生のク○責めに抗えない!【R版】")</f>
        <v>20250513_CLLENN_アラサーちゃんは年下学生のク○責めに抗えない!【R版】</v>
      </c>
      <c r="T3306" s="152" t="str">
        <f>IFERROR(__xludf.DUMMYFUNCTION("""COMPUTED_VALUE"""),"格納済み")</f>
        <v>格納済み</v>
      </c>
      <c r="U3306" s="9" t="str">
        <f>IFERROR(__xludf.DUMMYFUNCTION("""COMPUTED_VALUE"""),"Ⓒぢぇいそん椎名/DEEPER-ZERO")</f>
        <v>Ⓒぢぇいそん椎名/DEEPER-ZERO</v>
      </c>
      <c r="V3306" s="8"/>
      <c r="W3306" s="8"/>
      <c r="X3306" s="8" t="str">
        <f>IFERROR(__xludf.DUMMYFUNCTION("""COMPUTED_VALUE"""),"有")</f>
        <v>有</v>
      </c>
      <c r="Y3306" s="8" t="str">
        <f>IFERROR(__xludf.DUMMYFUNCTION("""COMPUTED_VALUE"""),"2025/7/16まで1巻立ち読み増量(P16まで)")</f>
        <v>2025/7/16まで1巻立ち読み増量(P16まで)</v>
      </c>
      <c r="Z3306" s="7"/>
      <c r="AA3306" s="7"/>
      <c r="AB3306" s="7"/>
    </row>
    <row r="3307" ht="15.75" customHeight="1">
      <c r="A3307" s="153">
        <f>IFERROR(__xludf.DUMMYFUNCTION("""COMPUTED_VALUE"""),5416.0)</f>
        <v>5416</v>
      </c>
      <c r="B3307" s="152" t="str">
        <f>IFERROR(__xludf.DUMMYFUNCTION("""COMPUTED_VALUE"""),"確定")</f>
        <v>確定</v>
      </c>
      <c r="C3307" s="154">
        <f>IFERROR(__xludf.DUMMYFUNCTION("""COMPUTED_VALUE"""),45750.0)</f>
        <v>45750</v>
      </c>
      <c r="D3307" s="154">
        <f>IFERROR(__xludf.DUMMYFUNCTION("""COMPUTED_VALUE"""),45791.0)</f>
        <v>45791</v>
      </c>
      <c r="E3307" s="157">
        <f>IFERROR(__xludf.DUMMYFUNCTION("""COMPUTED_VALUE"""),325006.0)</f>
        <v>325006</v>
      </c>
      <c r="F3307" s="152" t="str">
        <f>IFERROR(__xludf.DUMMYFUNCTION("""COMPUTED_VALUE"""),"奴奴奴奴！【単話版】")</f>
        <v>奴奴奴奴！【単話版】</v>
      </c>
      <c r="G3307" s="152" t="str">
        <f>IFERROR(__xludf.DUMMYFUNCTION("""COMPUTED_VALUE"""),"1～3")</f>
        <v>1～3</v>
      </c>
      <c r="H3307" s="152" t="str">
        <f>IFERROR(__xludf.DUMMYFUNCTION("""COMPUTED_VALUE"""),"鈴丸れいじ")</f>
        <v>鈴丸れいじ</v>
      </c>
      <c r="I3307" s="152" t="str">
        <f>IFERROR(__xludf.DUMMYFUNCTION("""COMPUTED_VALUE"""),"青年マンガ")</f>
        <v>青年マンガ</v>
      </c>
      <c r="J3307" s="157"/>
      <c r="K3307" s="152" t="str">
        <f>IFERROR(__xludf.DUMMYFUNCTION("""COMPUTED_VALUE"""),"COMICリュウ")</f>
        <v>COMICリュウ</v>
      </c>
      <c r="L3307" s="152" t="str">
        <f>IFERROR(__xludf.DUMMYFUNCTION("""COMPUTED_VALUE"""),"徳間書店")</f>
        <v>徳間書店</v>
      </c>
      <c r="M3307" s="154">
        <f>IFERROR(__xludf.DUMMYFUNCTION("""COMPUTED_VALUE"""),45820.0)</f>
        <v>45820</v>
      </c>
      <c r="N3307" s="199">
        <f>IFERROR(__xludf.DUMMYFUNCTION("""COMPUTED_VALUE"""),46112.66666666667)</f>
        <v>46112.66667</v>
      </c>
      <c r="O3307" s="152"/>
      <c r="P3307" s="152" t="str">
        <f>IFERROR(__xludf.DUMMYFUNCTION("""COMPUTED_VALUE"""),"可")</f>
        <v>可</v>
      </c>
      <c r="Q3307" s="152" t="str">
        <f>IFERROR(__xludf.DUMMYFUNCTION("""COMPUTED_VALUE"""),"・著者：鈴丸れいじ（「地獄恋」（双葉社）など）")</f>
        <v>・著者：鈴丸れいじ（「地獄恋」（双葉社）など）</v>
      </c>
      <c r="R3307" s="152" t="str">
        <f>IFERROR(__xludf.DUMMYFUNCTION("""COMPUTED_VALUE"""),"コミットOK")</f>
        <v>コミットOK</v>
      </c>
      <c r="S3307" s="152" t="str">
        <f>IFERROR(__xludf.DUMMYFUNCTION("""COMPUTED_VALUE"""),"20250513_徳間書店_奴奴奴奴！")</f>
        <v>20250513_徳間書店_奴奴奴奴！</v>
      </c>
      <c r="T3307" s="152" t="str">
        <f>IFERROR(__xludf.DUMMYFUNCTION("""COMPUTED_VALUE"""),"格納済み")</f>
        <v>格納済み</v>
      </c>
      <c r="U3307" s="9" t="str">
        <f>IFERROR(__xludf.DUMMYFUNCTION("""COMPUTED_VALUE"""),"Ⓒ鈴丸れいじ／徳間書店")</f>
        <v>Ⓒ鈴丸れいじ／徳間書店</v>
      </c>
      <c r="V3307" s="8" t="str">
        <f>IFERROR(__xludf.DUMMYFUNCTION("""COMPUTED_VALUE"""),"【単話版】女性勝利宣言から１５０年——。全ての男は奴隷である——。奴隷には女性の放尿を受け止め、満足させる義務がある！女尊男卑の社会で、ひとりの奴隷が男女共存の国家を目指す物語。刺激と快楽！　欲望に塗れた近未来フェティッシュ・ディストピア！　※本コンテンツは「奴奴奴奴！」コミックス収録予定の「第１話」と同一内容となっております。")</f>
        <v>【単話版】女性勝利宣言から１５０年——。全ての男は奴隷である——。奴隷には女性の放尿を受け止め、満足させる義務がある！女尊男卑の社会で、ひとりの奴隷が男女共存の国家を目指す物語。刺激と快楽！　欲望に塗れた近未来フェティッシュ・ディストピア！　※本コンテンツは「奴奴奴奴！」コミックス収録予定の「第１話」と同一内容となっております。</v>
      </c>
      <c r="W3307" s="8" t="str">
        <f>IFERROR(__xludf.DUMMYFUNCTION("""COMPUTED_VALUE"""),"#REF!")</f>
        <v>#REF!</v>
      </c>
      <c r="X3307" s="8" t="str">
        <f>IFERROR(__xludf.DUMMYFUNCTION("""COMPUTED_VALUE"""),"有")</f>
        <v>有</v>
      </c>
      <c r="Y3307" s="8" t="str">
        <f>IFERROR(__xludf.DUMMYFUNCTION("""COMPUTED_VALUE"""),"2025/8/11まで1巻無料")</f>
        <v>2025/8/11まで1巻無料</v>
      </c>
      <c r="Z3307" s="7"/>
      <c r="AA3307" s="7"/>
      <c r="AB3307" s="7"/>
    </row>
    <row r="3308" ht="15.75" customHeight="1">
      <c r="A3308" s="153">
        <f>IFERROR(__xludf.DUMMYFUNCTION("""COMPUTED_VALUE"""),5444.0)</f>
        <v>5444</v>
      </c>
      <c r="B3308" s="152" t="str">
        <f>IFERROR(__xludf.DUMMYFUNCTION("""COMPUTED_VALUE"""),"確定")</f>
        <v>確定</v>
      </c>
      <c r="C3308" s="154">
        <f>IFERROR(__xludf.DUMMYFUNCTION("""COMPUTED_VALUE"""),45755.0)</f>
        <v>45755</v>
      </c>
      <c r="D3308" s="154">
        <f>IFERROR(__xludf.DUMMYFUNCTION("""COMPUTED_VALUE"""),45789.0)</f>
        <v>45789</v>
      </c>
      <c r="E3308" s="157">
        <f>IFERROR(__xludf.DUMMYFUNCTION("""COMPUTED_VALUE"""),323604.0)</f>
        <v>323604</v>
      </c>
      <c r="F3308" s="152" t="str">
        <f>IFERROR(__xludf.DUMMYFUNCTION("""COMPUTED_VALUE"""),"あなたは俺には甘すぎる～懐かない冷淡部下の切実で異質な愛し方～")</f>
        <v>あなたは俺には甘すぎる～懐かない冷淡部下の切実で異質な愛し方～</v>
      </c>
      <c r="G3308" s="152" t="str">
        <f>IFERROR(__xludf.DUMMYFUNCTION("""COMPUTED_VALUE"""),"1～3")</f>
        <v>1～3</v>
      </c>
      <c r="H3308" s="152" t="str">
        <f>IFERROR(__xludf.DUMMYFUNCTION("""COMPUTED_VALUE"""),"真坂")</f>
        <v>真坂</v>
      </c>
      <c r="I3308" s="152" t="str">
        <f>IFERROR(__xludf.DUMMYFUNCTION("""COMPUTED_VALUE"""),"TL")</f>
        <v>TL</v>
      </c>
      <c r="J3308" s="157"/>
      <c r="K3308" s="152" t="str">
        <f>IFERROR(__xludf.DUMMYFUNCTION("""COMPUTED_VALUE"""),"メルト")</f>
        <v>メルト</v>
      </c>
      <c r="L3308" s="152" t="str">
        <f>IFERROR(__xludf.DUMMYFUNCTION("""COMPUTED_VALUE"""),"小学館")</f>
        <v>小学館</v>
      </c>
      <c r="M3308" s="154">
        <f>IFERROR(__xludf.DUMMYFUNCTION("""COMPUTED_VALUE"""),45807.0)</f>
        <v>45807</v>
      </c>
      <c r="N3308" s="199">
        <f>IFERROR(__xludf.DUMMYFUNCTION("""COMPUTED_VALUE"""),45841.0)</f>
        <v>45841</v>
      </c>
      <c r="O3308" s="152"/>
      <c r="P3308" s="152" t="str">
        <f>IFERROR(__xludf.DUMMYFUNCTION("""COMPUTED_VALUE"""),"可")</f>
        <v>可</v>
      </c>
      <c r="Q3308" s="152" t="str">
        <f>IFERROR(__xludf.DUMMYFUNCTION("""COMPUTED_VALUE"""),"ぶんか社さまの人気TLタイトル『絶倫ヤクザの極上愛撫』でおなじみの真坂先生の最新作品となります。&lt;BR&gt;TLでは（おそらく）初の「ケーキバースもの」です")</f>
        <v>ぶんか社さまの人気TLタイトル『絶倫ヤクザの極上愛撫』でおなじみの真坂先生の最新作品となります。&lt;BR&gt;TLでは（おそらく）初の「ケーキバースもの」です</v>
      </c>
      <c r="R3308" s="152" t="str">
        <f>IFERROR(__xludf.DUMMYFUNCTION("""COMPUTED_VALUE"""),"コミットNG")</f>
        <v>コミットNG</v>
      </c>
      <c r="S3308" s="152" t="str">
        <f>IFERROR(__xludf.DUMMYFUNCTION("""COMPUTED_VALUE"""),"20250508_小学館_あなたは俺には甘すぎる")</f>
        <v>20250508_小学館_あなたは俺には甘すぎる</v>
      </c>
      <c r="T3308" s="152" t="str">
        <f>IFERROR(__xludf.DUMMYFUNCTION("""COMPUTED_VALUE"""),"格納済み")</f>
        <v>格納済み</v>
      </c>
      <c r="U3308" s="9" t="str">
        <f>IFERROR(__xludf.DUMMYFUNCTION("""COMPUTED_VALUE"""),"Ⓒ真坂 / 小学館")</f>
        <v>Ⓒ真坂 / 小学館</v>
      </c>
      <c r="V3308" s="8" t="str">
        <f>IFERROR(__xludf.DUMMYFUNCTION("""COMPUTED_VALUE"""),"《TLケーキバース、開幕！》「だから…嫌だったんですよ…っあなたに近づくの。ただ、最後にもう少しだけ…」初めてあなたを味わうその舌先は《甘い》──…■宝石店勤務の真白美紅（ましろ・みく）と、その部下の色銀（しきしろ）は、そろって出張に行くことに。色銀は、最低な部下の態度をとってでも真白との同行を突っぱねようとするが、ひょんなことから真白は「ケーキ」であり、色銀は「フォーク」だとお互いに知ってしまう。だが、仕事を最優先したい真白は、自らをエサに色銀を手なづけようとする。一方の色銀も、これまで「ケーキ」に遭遇"&amp;"しても欲情することはなかったが、なぜか真白を舌で味わうと下半身が熱くなってしまい…!?")</f>
        <v>《TLケーキバース、開幕！》「だから…嫌だったんですよ…っあなたに近づくの。ただ、最後にもう少しだけ…」初めてあなたを味わうその舌先は《甘い》──…■宝石店勤務の真白美紅（ましろ・みく）と、その部下の色銀（しきしろ）は、そろって出張に行くことに。色銀は、最低な部下の態度をとってでも真白との同行を突っぱねようとするが、ひょんなことから真白は「ケーキ」であり、色銀は「フォーク」だとお互いに知ってしまう。だが、仕事を最優先したい真白は、自らをエサに色銀を手なづけようとする。一方の色銀も、これまで「ケーキ」に遭遇しても欲情することはなかったが、なぜか真白を舌で味わうと下半身が熱くなってしまい…!?</v>
      </c>
      <c r="W3308" s="8" t="str">
        <f>IFERROR(__xludf.DUMMYFUNCTION("""COMPUTED_VALUE"""),"#REF!")</f>
        <v>#REF!</v>
      </c>
      <c r="X3308" s="8" t="str">
        <f>IFERROR(__xludf.DUMMYFUNCTION("""COMPUTED_VALUE"""),"有")</f>
        <v>有</v>
      </c>
      <c r="Y3308" s="8" t="str">
        <f>IFERROR(__xludf.DUMMYFUNCTION("""COMPUTED_VALUE"""),"P21まで")</f>
        <v>P21まで</v>
      </c>
      <c r="Z3308" s="7"/>
      <c r="AA3308" s="7"/>
      <c r="AB3308" s="7"/>
    </row>
    <row r="3309" ht="15.75" customHeight="1">
      <c r="A3309" s="153">
        <f>IFERROR(__xludf.DUMMYFUNCTION("""COMPUTED_VALUE"""),5447.0)</f>
        <v>5447</v>
      </c>
      <c r="B3309" s="152" t="str">
        <f>IFERROR(__xludf.DUMMYFUNCTION("""COMPUTED_VALUE"""),"確定")</f>
        <v>確定</v>
      </c>
      <c r="C3309" s="154">
        <f>IFERROR(__xludf.DUMMYFUNCTION("""COMPUTED_VALUE"""),45755.0)</f>
        <v>45755</v>
      </c>
      <c r="D3309" s="154">
        <f>IFERROR(__xludf.DUMMYFUNCTION("""COMPUTED_VALUE"""),45791.0)</f>
        <v>45791</v>
      </c>
      <c r="E3309" s="157">
        <f>IFERROR(__xludf.DUMMYFUNCTION("""COMPUTED_VALUE"""),325099.0)</f>
        <v>325099</v>
      </c>
      <c r="F3309" s="152" t="str">
        <f>IFERROR(__xludf.DUMMYFUNCTION("""COMPUTED_VALUE"""),"noicomi幼なじみは我慢をやめた。～目覚めたケモノは溺愛中～")</f>
        <v>noicomi幼なじみは我慢をやめた。～目覚めたケモノは溺愛中～</v>
      </c>
      <c r="G3309" s="152" t="str">
        <f>IFERROR(__xludf.DUMMYFUNCTION("""COMPUTED_VALUE"""),"1～5")</f>
        <v>1～5</v>
      </c>
      <c r="H3309" s="152" t="str">
        <f>IFERROR(__xludf.DUMMYFUNCTION("""COMPUTED_VALUE"""),"久楽真ろく（作画）、一ノ瀬千景（原作）")</f>
        <v>久楽真ろく（作画）、一ノ瀬千景（原作）</v>
      </c>
      <c r="I3309" s="152" t="str">
        <f>IFERROR(__xludf.DUMMYFUNCTION("""COMPUTED_VALUE"""),"少女")</f>
        <v>少女</v>
      </c>
      <c r="J3309" s="157"/>
      <c r="K3309" s="152" t="str">
        <f>IFERROR(__xludf.DUMMYFUNCTION("""COMPUTED_VALUE"""),"noicomi")</f>
        <v>noicomi</v>
      </c>
      <c r="L3309" s="152" t="str">
        <f>IFERROR(__xludf.DUMMYFUNCTION("""COMPUTED_VALUE"""),"スターツ出版")</f>
        <v>スターツ出版</v>
      </c>
      <c r="M3309" s="154">
        <f>IFERROR(__xludf.DUMMYFUNCTION("""COMPUTED_VALUE"""),45821.0)</f>
        <v>45821</v>
      </c>
      <c r="N3309" s="199">
        <f>IFERROR(__xludf.DUMMYFUNCTION("""COMPUTED_VALUE"""),45876.0)</f>
        <v>45876</v>
      </c>
      <c r="O3309" s="152"/>
      <c r="P3309" s="164" t="str">
        <f>IFERROR(__xludf.DUMMYFUNCTION("""COMPUTED_VALUE"""),"可")</f>
        <v>可</v>
      </c>
      <c r="Q3309" s="166"/>
      <c r="R3309" s="164"/>
      <c r="S3309" s="166"/>
      <c r="T3309" s="152"/>
      <c r="U3309" s="9" t="str">
        <f>IFERROR(__xludf.DUMMYFUNCTION("""COMPUTED_VALUE"""),"（C）Roku Kurama・Chikage Ichinose/スターツ出版")</f>
        <v>（C）Roku Kurama・Chikage Ichinose/スターツ出版</v>
      </c>
      <c r="V3309" s="8"/>
      <c r="W3309" s="8"/>
      <c r="X3309" s="8" t="str">
        <f>IFERROR(__xludf.DUMMYFUNCTION("""COMPUTED_VALUE"""),"有")</f>
        <v>有</v>
      </c>
      <c r="Y3309" s="8" t="str">
        <f>IFERROR(__xludf.DUMMYFUNCTION("""COMPUTED_VALUE"""),"2025/8/7まで1巻無料")</f>
        <v>2025/8/7まで1巻無料</v>
      </c>
      <c r="Z3309" s="7"/>
      <c r="AA3309" s="7"/>
      <c r="AB3309" s="7"/>
    </row>
    <row r="3310" ht="15.75" customHeight="1">
      <c r="A3310" s="153">
        <f>IFERROR(__xludf.DUMMYFUNCTION("""COMPUTED_VALUE"""),5461.0)</f>
        <v>5461</v>
      </c>
      <c r="B3310" s="152" t="str">
        <f>IFERROR(__xludf.DUMMYFUNCTION("""COMPUTED_VALUE"""),"確定")</f>
        <v>確定</v>
      </c>
      <c r="C3310" s="154">
        <f>IFERROR(__xludf.DUMMYFUNCTION("""COMPUTED_VALUE"""),45756.0)</f>
        <v>45756</v>
      </c>
      <c r="D3310" s="154">
        <f>IFERROR(__xludf.DUMMYFUNCTION("""COMPUTED_VALUE"""),45790.0)</f>
        <v>45790</v>
      </c>
      <c r="E3310" s="157">
        <f>IFERROR(__xludf.DUMMYFUNCTION("""COMPUTED_VALUE"""),322257.0)</f>
        <v>322257</v>
      </c>
      <c r="F3310" s="152" t="str">
        <f>IFERROR(__xludf.DUMMYFUNCTION("""COMPUTED_VALUE"""),"麒麟華 ~君に赤く染まった私~【タテヨミ】")</f>
        <v>麒麟華 ~君に赤く染まった私~【タテヨミ】</v>
      </c>
      <c r="G3310" s="152" t="str">
        <f>IFERROR(__xludf.DUMMYFUNCTION("""COMPUTED_VALUE"""),"1～20")</f>
        <v>1～20</v>
      </c>
      <c r="H3310" s="152" t="str">
        <f>IFERROR(__xludf.DUMMYFUNCTION("""COMPUTED_VALUE"""),"ANIFORCE, Ryu Doha")</f>
        <v>ANIFORCE, Ryu Doha</v>
      </c>
      <c r="I3310" s="152" t="str">
        <f>IFERROR(__xludf.DUMMYFUNCTION("""COMPUTED_VALUE"""),"女性")</f>
        <v>女性</v>
      </c>
      <c r="J3310" s="157"/>
      <c r="K3310" s="157"/>
      <c r="L3310" s="152" t="str">
        <f>IFERROR(__xludf.DUMMYFUNCTION("""COMPUTED_VALUE"""),"リバース")</f>
        <v>リバース</v>
      </c>
      <c r="M3310" s="154">
        <f>IFERROR(__xludf.DUMMYFUNCTION("""COMPUTED_VALUE"""),45809.0)</f>
        <v>45809</v>
      </c>
      <c r="N3310" s="204">
        <f>IFERROR(__xludf.DUMMYFUNCTION("""COMPUTED_VALUE"""),45872.0)</f>
        <v>45872</v>
      </c>
      <c r="O3310" s="152"/>
      <c r="P3310" s="190" t="str">
        <f>IFERROR(__xludf.DUMMYFUNCTION("""COMPUTED_VALUE"""),"可")</f>
        <v>可</v>
      </c>
      <c r="Q3310" s="152"/>
      <c r="R3310" s="152" t="str">
        <f>IFERROR(__xludf.DUMMYFUNCTION("""COMPUTED_VALUE"""),"コミットNG")</f>
        <v>コミットNG</v>
      </c>
      <c r="S3310" s="152" t="str">
        <f>IFERROR(__xludf.DUMMYFUNCTION("""COMPUTED_VALUE"""),"20250512_リバース_麒麟華 ~君に赤く染まった私~【タテヨミ】")</f>
        <v>20250512_リバース_麒麟華 ~君に赤く染まった私~【タテヨミ】</v>
      </c>
      <c r="T3310" s="152" t="str">
        <f>IFERROR(__xludf.DUMMYFUNCTION("""COMPUTED_VALUE"""),"格納済み")</f>
        <v>格納済み</v>
      </c>
      <c r="U3310" s="9" t="str">
        <f>IFERROR(__xludf.DUMMYFUNCTION("""COMPUTED_VALUE"""),"(c)ANIFORCE &amp; Ryu Doha, YJ Comics / RIVERSE")</f>
        <v>(c)ANIFORCE &amp; Ryu Doha, YJ Comics / RIVERSE</v>
      </c>
      <c r="V3310" s="8" t="str">
        <f>IFERROR(__xludf.DUMMYFUNCTION("""COMPUTED_VALUE"""),"華川国の太子｢ユ・ジェシン｣は、永遠に皇帝になれない身。ある日、彼は砂落島の鍛冶師から闘幕場の奴隷になってしまった｢モ・ヨファ｣に再会する。ジェシンは、彼女を戦争の武器を作る鍛冶師としてそばにおき、共に死へと向かう旅に出る。一方、ヨファは胸に咲く麒麟花が満開になったら、死を迎えるという呪いを背負っていて…。共に時を重ねるうちに憎悪ではなく愛に、死ではなく生へと…二人の生きる意味は変化していく──")</f>
        <v>華川国の太子｢ユ・ジェシン｣は、永遠に皇帝になれない身。ある日、彼は砂落島の鍛冶師から闘幕場の奴隷になってしまった｢モ・ヨファ｣に再会する。ジェシンは、彼女を戦争の武器を作る鍛冶師としてそばにおき、共に死へと向かう旅に出る。一方、ヨファは胸に咲く麒麟花が満開になったら、死を迎えるという呪いを背負っていて…。共に時を重ねるうちに憎悪ではなく愛に、死ではなく生へと…二人の生きる意味は変化していく──</v>
      </c>
      <c r="W3310" s="8" t="str">
        <f>IFERROR(__xludf.DUMMYFUNCTION("""COMPUTED_VALUE"""),"#REF!")</f>
        <v>#REF!</v>
      </c>
      <c r="X3310" s="8" t="str">
        <f>IFERROR(__xludf.DUMMYFUNCTION("""COMPUTED_VALUE"""),"有")</f>
        <v>有</v>
      </c>
      <c r="Y3310" s="8" t="str">
        <f>IFERROR(__xludf.DUMMYFUNCTION("""COMPUTED_VALUE"""),"1~3巻無料
2025/6/14まで4~5巻無料")</f>
        <v>1~3巻無料
2025/6/14まで4~5巻無料</v>
      </c>
      <c r="Z3310" s="7"/>
      <c r="AA3310" s="7"/>
      <c r="AB3310" s="7"/>
    </row>
    <row r="3311" ht="15.75" customHeight="1">
      <c r="A3311" s="153">
        <f>IFERROR(__xludf.DUMMYFUNCTION("""COMPUTED_VALUE"""),5476.0)</f>
        <v>5476</v>
      </c>
      <c r="B3311" s="152" t="str">
        <f>IFERROR(__xludf.DUMMYFUNCTION("""COMPUTED_VALUE"""),"確定")</f>
        <v>確定</v>
      </c>
      <c r="C3311" s="154">
        <f>IFERROR(__xludf.DUMMYFUNCTION("""COMPUTED_VALUE"""),45758.0)</f>
        <v>45758</v>
      </c>
      <c r="D3311" s="154">
        <f>IFERROR(__xludf.DUMMYFUNCTION("""COMPUTED_VALUE"""),45789.0)</f>
        <v>45789</v>
      </c>
      <c r="E3311" s="157">
        <f>IFERROR(__xludf.DUMMYFUNCTION("""COMPUTED_VALUE"""),324710.0)</f>
        <v>324710</v>
      </c>
      <c r="F3311" s="152" t="str">
        <f>IFERROR(__xludf.DUMMYFUNCTION("""COMPUTED_VALUE"""),"『聖女様のオマケ』と呼ばれたけど、わたしはオマケではないようです。 ～全属性の魔法が使える最強聖女でした～【単話版】")</f>
        <v>『聖女様のオマケ』と呼ばれたけど、わたしはオマケではないようです。 ～全属性の魔法が使える最強聖女でした～【単話版】</v>
      </c>
      <c r="G3311" s="152" t="str">
        <f>IFERROR(__xludf.DUMMYFUNCTION("""COMPUTED_VALUE"""),"1～6")</f>
        <v>1～6</v>
      </c>
      <c r="H3311" s="152" t="str">
        <f>IFERROR(__xludf.DUMMYFUNCTION("""COMPUTED_VALUE"""),"青峰翼 早瀬黒絵・hi8mugi")</f>
        <v>青峰翼 早瀬黒絵・hi8mugi</v>
      </c>
      <c r="I3311" s="152" t="str">
        <f>IFERROR(__xludf.DUMMYFUNCTION("""COMPUTED_VALUE"""),"少女")</f>
        <v>少女</v>
      </c>
      <c r="J3311" s="157"/>
      <c r="K3311" s="157"/>
      <c r="L3311" s="152" t="str">
        <f>IFERROR(__xludf.DUMMYFUNCTION("""COMPUTED_VALUE"""),"アース・スター エンターテイメント")</f>
        <v>アース・スター エンターテイメント</v>
      </c>
      <c r="M3311" s="154">
        <f>IFERROR(__xludf.DUMMYFUNCTION("""COMPUTED_VALUE"""),45820.0)</f>
        <v>45820</v>
      </c>
      <c r="N3311" s="204">
        <f>IFERROR(__xludf.DUMMYFUNCTION("""COMPUTED_VALUE"""),45910.0)</f>
        <v>45910</v>
      </c>
      <c r="O3311" s="152"/>
      <c r="P3311" s="164" t="str">
        <f>IFERROR(__xludf.DUMMYFUNCTION("""COMPUTED_VALUE"""),"否")</f>
        <v>否</v>
      </c>
      <c r="Q3311" s="166"/>
      <c r="R3311" s="152"/>
      <c r="S3311" s="152" t="str">
        <f>IFERROR(__xludf.DUMMYFUNCTION("""COMPUTED_VALUE"""),"20250508_アース・スター_『聖女様のオマケ』と呼ばれたけど、わたしはオマケではないようです。 ～全属性の魔法が使える最強聖女でした～")</f>
        <v>20250508_アース・スター_『聖女様のオマケ』と呼ばれたけど、わたしはオマケではないようです。 ～全属性の魔法が使える最強聖女でした～</v>
      </c>
      <c r="T3311" s="152" t="str">
        <f>IFERROR(__xludf.DUMMYFUNCTION("""COMPUTED_VALUE"""),"格納済み")</f>
        <v>格納済み</v>
      </c>
      <c r="U3311" s="9" t="str">
        <f>IFERROR(__xludf.DUMMYFUNCTION("""COMPUTED_VALUE"""),"Ⓒ 青峰翼 Ⓒ 早瀬黒絵・hi8mugi/アース・スター エンターテイメント")</f>
        <v>Ⓒ 青峰翼 Ⓒ 早瀬黒絵・hi8mugi/アース・スター エンターテイメント</v>
      </c>
      <c r="V3311" s="8" t="str">
        <f>IFERROR(__xludf.DUMMYFUNCTION("""COMPUTED_VALUE"""),"クラスメイトと共に突然異世界に召喚されてしまった篠山沙耶。
一緒に召喚されたクラスメイトは聖女として大事にされる一方、沙耶は聖女様の“オマケ”として厄介者あつかいされ、召喚されたドゥニエ王国でつらい日々を送っていた。
そんなある日、大国・ワイエル帝国の皇弟殿下が救いの手を差し伸べる！
実は全属性の魔法が使えるチート級の能力を持っていた事がのちに判明し、帝国の聖女となり、大活躍していく沙耶の、波乱万丈な異世界転移物語、堂々開幕！
「わたしを厄介者扱いしてきたやつら、逃した魚の大きさを知るがいい!!」"&amp;"
※単話版 第1話収録。")</f>
        <v>クラスメイトと共に突然異世界に召喚されてしまった篠山沙耶。
一緒に召喚されたクラスメイトは聖女として大事にされる一方、沙耶は聖女様の“オマケ”として厄介者あつかいされ、召喚されたドゥニエ王国でつらい日々を送っていた。
そんなある日、大国・ワイエル帝国の皇弟殿下が救いの手を差し伸べる！
実は全属性の魔法が使えるチート級の能力を持っていた事がのちに判明し、帝国の聖女となり、大活躍していく沙耶の、波乱万丈な異世界転移物語、堂々開幕！
「わたしを厄介者扱いしてきたやつら、逃した魚の大きさを知るがいい!!」
※単話版 第1話収録。</v>
      </c>
      <c r="W3311" s="8" t="str">
        <f>IFERROR(__xludf.DUMMYFUNCTION("""COMPUTED_VALUE"""),"#REF!")</f>
        <v>#REF!</v>
      </c>
      <c r="X3311" s="8" t="str">
        <f>IFERROR(__xludf.DUMMYFUNCTION("""COMPUTED_VALUE"""),"有")</f>
        <v>有</v>
      </c>
      <c r="Y3311" s="8" t="str">
        <f>IFERROR(__xludf.DUMMYFUNCTION("""COMPUTED_VALUE"""),"2025/9/10まで1~3巻無料")</f>
        <v>2025/9/10まで1~3巻無料</v>
      </c>
      <c r="Z3311" s="7"/>
      <c r="AA3311" s="7"/>
      <c r="AB3311" s="7"/>
    </row>
    <row r="3312" ht="15.75" customHeight="1">
      <c r="A3312" s="153">
        <f>IFERROR(__xludf.DUMMYFUNCTION("""COMPUTED_VALUE"""),5496.0)</f>
        <v>5496</v>
      </c>
      <c r="B3312" s="152" t="str">
        <f>IFERROR(__xludf.DUMMYFUNCTION("""COMPUTED_VALUE"""),"確定")</f>
        <v>確定</v>
      </c>
      <c r="C3312" s="154">
        <f>IFERROR(__xludf.DUMMYFUNCTION("""COMPUTED_VALUE"""),45762.0)</f>
        <v>45762</v>
      </c>
      <c r="D3312" s="154">
        <f>IFERROR(__xludf.DUMMYFUNCTION("""COMPUTED_VALUE"""),45790.0)</f>
        <v>45790</v>
      </c>
      <c r="E3312" s="157">
        <f>IFERROR(__xludf.DUMMYFUNCTION("""COMPUTED_VALUE"""),324701.0)</f>
        <v>324701</v>
      </c>
      <c r="F3312" s="152" t="str">
        <f>IFERROR(__xludf.DUMMYFUNCTION("""COMPUTED_VALUE"""),"【単話版】女の人生に整形って必要ですか？～美容整形の裏側がカオスだった話～")</f>
        <v>【単話版】女の人生に整形って必要ですか？～美容整形の裏側がカオスだった話～</v>
      </c>
      <c r="G3312" s="152" t="str">
        <f>IFERROR(__xludf.DUMMYFUNCTION("""COMPUTED_VALUE"""),"1～5")</f>
        <v>1～5</v>
      </c>
      <c r="H3312" s="152" t="str">
        <f>IFERROR(__xludf.DUMMYFUNCTION("""COMPUTED_VALUE"""),"原案：パチ美 漫画：金子べら")</f>
        <v>原案：パチ美 漫画：金子べら</v>
      </c>
      <c r="I3312" s="152" t="str">
        <f>IFERROR(__xludf.DUMMYFUNCTION("""COMPUTED_VALUE"""),"女性")</f>
        <v>女性</v>
      </c>
      <c r="J3312" s="157"/>
      <c r="K3312" s="157"/>
      <c r="L3312" s="152" t="str">
        <f>IFERROR(__xludf.DUMMYFUNCTION("""COMPUTED_VALUE"""),"新潮社")</f>
        <v>新潮社</v>
      </c>
      <c r="M3312" s="154">
        <f>IFERROR(__xludf.DUMMYFUNCTION("""COMPUTED_VALUE"""),45817.0)</f>
        <v>45817</v>
      </c>
      <c r="N3312" s="204">
        <f>IFERROR(__xludf.DUMMYFUNCTION("""COMPUTED_VALUE"""),45893.0)</f>
        <v>45893</v>
      </c>
      <c r="O3312" s="152"/>
      <c r="P3312" s="190" t="str">
        <f>IFERROR(__xludf.DUMMYFUNCTION("""COMPUTED_VALUE"""),"否")</f>
        <v>否</v>
      </c>
      <c r="Q3312" s="152"/>
      <c r="R3312" s="152" t="str">
        <f>IFERROR(__xludf.DUMMYFUNCTION("""COMPUTED_VALUE"""),"コミットNG")</f>
        <v>コミットNG</v>
      </c>
      <c r="S3312" s="152" t="str">
        <f>IFERROR(__xludf.DUMMYFUNCTION("""COMPUTED_VALUE"""),"20250513_新潮社_女の人生に整形って必要ですか？")</f>
        <v>20250513_新潮社_女の人生に整形って必要ですか？</v>
      </c>
      <c r="T3312" s="152" t="str">
        <f>IFERROR(__xludf.DUMMYFUNCTION("""COMPUTED_VALUE"""),"格納済み")</f>
        <v>格納済み</v>
      </c>
      <c r="U3312" s="9" t="str">
        <f>IFERROR(__xludf.DUMMYFUNCTION("""COMPUTED_VALUE"""),"(C)パチ美 金子べら／新潮社")</f>
        <v>(C)パチ美 金子べら／新潮社</v>
      </c>
      <c r="V3312" s="8" t="str">
        <f>IFERROR(__xludf.DUMMYFUNCTION("""COMPUTED_VALUE"""),"【美容整形の裏側、全部教えます！】赤城さとみは美容整形クリニックの看護助手として働き始めることに。顔面ギブスの先輩、アニメキャラの顔になりたい患者様、処女膜再生手術って誰がやるの……!?　美容整形って情報は沢山あるけど実際どうなの？　がわかる、お仕事コメディ。※この作品は美容整形を推奨するものではありません。")</f>
        <v>【美容整形の裏側、全部教えます！】赤城さとみは美容整形クリニックの看護助手として働き始めることに。顔面ギブスの先輩、アニメキャラの顔になりたい患者様、処女膜再生手術って誰がやるの……!?　美容整形って情報は沢山あるけど実際どうなの？　がわかる、お仕事コメディ。※この作品は美容整形を推奨するものではありません。</v>
      </c>
      <c r="W3312" s="8" t="str">
        <f>IFERROR(__xludf.DUMMYFUNCTION("""COMPUTED_VALUE"""),"#REF!")</f>
        <v>#REF!</v>
      </c>
      <c r="X3312" s="8" t="str">
        <f>IFERROR(__xludf.DUMMYFUNCTION("""COMPUTED_VALUE"""),"有")</f>
        <v>有</v>
      </c>
      <c r="Y3312" s="8" t="str">
        <f>IFERROR(__xludf.DUMMYFUNCTION("""COMPUTED_VALUE"""),"2025/8/31まで1巻無料")</f>
        <v>2025/8/31まで1巻無料</v>
      </c>
      <c r="Z3312" s="7"/>
      <c r="AA3312" s="7"/>
      <c r="AB3312" s="7"/>
    </row>
    <row r="3313" ht="15.75" customHeight="1">
      <c r="A3313" s="153">
        <f>IFERROR(__xludf.DUMMYFUNCTION("""COMPUTED_VALUE"""),5501.0)</f>
        <v>5501</v>
      </c>
      <c r="B3313" s="152" t="str">
        <f>IFERROR(__xludf.DUMMYFUNCTION("""COMPUTED_VALUE"""),"確定")</f>
        <v>確定</v>
      </c>
      <c r="C3313" s="154">
        <f>IFERROR(__xludf.DUMMYFUNCTION("""COMPUTED_VALUE"""),45764.0)</f>
        <v>45764</v>
      </c>
      <c r="D3313" s="154">
        <f>IFERROR(__xludf.DUMMYFUNCTION("""COMPUTED_VALUE"""),45789.0)</f>
        <v>45789</v>
      </c>
      <c r="E3313" s="157">
        <f>IFERROR(__xludf.DUMMYFUNCTION("""COMPUTED_VALUE"""),326303.0)</f>
        <v>326303</v>
      </c>
      <c r="F3313" s="152" t="str">
        <f>IFERROR(__xludf.DUMMYFUNCTION("""COMPUTED_VALUE"""),"その結婚、終わらせますか？【タテヨミ】")</f>
        <v>その結婚、終わらせますか？【タテヨミ】</v>
      </c>
      <c r="G3313" s="152" t="str">
        <f>IFERROR(__xludf.DUMMYFUNCTION("""COMPUTED_VALUE"""),"1～17")</f>
        <v>1～17</v>
      </c>
      <c r="H3313" s="152" t="str">
        <f>IFERROR(__xludf.DUMMYFUNCTION("""COMPUTED_VALUE"""),"デジタル職人 なつせ オグラクマ あネゴ かんかけ 道明寺すあま")</f>
        <v>デジタル職人 なつせ オグラクマ あネゴ かんかけ 道明寺すあま</v>
      </c>
      <c r="I3313" s="152" t="str">
        <f>IFERROR(__xludf.DUMMYFUNCTION("""COMPUTED_VALUE"""),"女性マンガ")</f>
        <v>女性マンガ</v>
      </c>
      <c r="J3313" s="157"/>
      <c r="K3313" s="157"/>
      <c r="L3313" s="152" t="str">
        <f>IFERROR(__xludf.DUMMYFUNCTION("""COMPUTED_VALUE"""),"weavin")</f>
        <v>weavin</v>
      </c>
      <c r="M3313" s="154">
        <f>IFERROR(__xludf.DUMMYFUNCTION("""COMPUTED_VALUE"""),45827.0)</f>
        <v>45827</v>
      </c>
      <c r="N3313" s="204">
        <f>IFERROR(__xludf.DUMMYFUNCTION("""COMPUTED_VALUE"""),45918.0)</f>
        <v>45918</v>
      </c>
      <c r="O3313" s="152"/>
      <c r="P3313" s="152" t="str">
        <f>IFERROR(__xludf.DUMMYFUNCTION("""COMPUTED_VALUE"""),"可")</f>
        <v>可</v>
      </c>
      <c r="Q3313" s="152" t="str">
        <f>IFERROR(__xludf.DUMMYFUNCTION("""COMPUTED_VALUE"""),"1～17巻目まで制作にご使用ください")</f>
        <v>1～17巻目まで制作にご使用ください</v>
      </c>
      <c r="R3313" s="152" t="str">
        <f>IFERROR(__xludf.DUMMYFUNCTION("""COMPUTED_VALUE"""),"コミットOK")</f>
        <v>コミットOK</v>
      </c>
      <c r="S3313" s="152" t="str">
        <f>IFERROR(__xludf.DUMMYFUNCTION("""COMPUTED_VALUE"""),"20250509_weavin_その結婚、終わらせますか？")</f>
        <v>20250509_weavin_その結婚、終わらせますか？</v>
      </c>
      <c r="T3313" s="152" t="str">
        <f>IFERROR(__xludf.DUMMYFUNCTION("""COMPUTED_VALUE"""),"格納済み")</f>
        <v>格納済み</v>
      </c>
      <c r="U3313" s="9" t="str">
        <f>IFERROR(__xludf.DUMMYFUNCTION("""COMPUTED_VALUE"""),"(C)デジタル職人／なつせ／オグラクマ／あネゴ／かんかけ／道明寺すあま／weavin")</f>
        <v>(C)デジタル職人／なつせ／オグラクマ／あネゴ／かんかけ／道明寺すあま／weavin</v>
      </c>
      <c r="V3313" s="8"/>
      <c r="W3313" s="8"/>
      <c r="X3313" s="8" t="str">
        <f>IFERROR(__xludf.DUMMYFUNCTION("""COMPUTED_VALUE"""),"有")</f>
        <v>有</v>
      </c>
      <c r="Y3313" s="8" t="str">
        <f>IFERROR(__xludf.DUMMYFUNCTION("""COMPUTED_VALUE"""),"1~4巻目無料
2025/7/2まで5~10巻目無料")</f>
        <v>1~4巻目無料
2025/7/2まで5~10巻目無料</v>
      </c>
      <c r="Z3313" s="7"/>
      <c r="AA3313" s="7"/>
      <c r="AB3313" s="7"/>
    </row>
    <row r="3314" ht="15.75" customHeight="1">
      <c r="A3314" s="153">
        <f>IFERROR(__xludf.DUMMYFUNCTION("""COMPUTED_VALUE"""),5506.0)</f>
        <v>5506</v>
      </c>
      <c r="B3314" s="152" t="str">
        <f>IFERROR(__xludf.DUMMYFUNCTION("""COMPUTED_VALUE"""),"確定")</f>
        <v>確定</v>
      </c>
      <c r="C3314" s="154">
        <f>IFERROR(__xludf.DUMMYFUNCTION("""COMPUTED_VALUE"""),45764.0)</f>
        <v>45764</v>
      </c>
      <c r="D3314" s="154">
        <f>IFERROR(__xludf.DUMMYFUNCTION("""COMPUTED_VALUE"""),45790.0)</f>
        <v>45790</v>
      </c>
      <c r="E3314" s="157">
        <f>IFERROR(__xludf.DUMMYFUNCTION("""COMPUTED_VALUE"""),320524.0)</f>
        <v>320524</v>
      </c>
      <c r="F3314" s="152" t="str">
        <f>IFERROR(__xludf.DUMMYFUNCTION("""COMPUTED_VALUE"""),"パラダイスキングダム 分冊版")</f>
        <v>パラダイスキングダム 分冊版</v>
      </c>
      <c r="G3314" s="152" t="str">
        <f>IFERROR(__xludf.DUMMYFUNCTION("""COMPUTED_VALUE"""),"1～2")</f>
        <v>1～2</v>
      </c>
      <c r="H3314" s="152" t="str">
        <f>IFERROR(__xludf.DUMMYFUNCTION("""COMPUTED_VALUE"""),"冬坂あゆる COMIC ROOM")</f>
        <v>冬坂あゆる COMIC ROOM</v>
      </c>
      <c r="I3314" s="152" t="str">
        <f>IFERROR(__xludf.DUMMYFUNCTION("""COMPUTED_VALUE"""),"青年")</f>
        <v>青年</v>
      </c>
      <c r="J3314" s="157"/>
      <c r="K3314" s="152" t="str">
        <f>IFERROR(__xludf.DUMMYFUNCTION("""COMPUTED_VALUE"""),"シーモア×COMIC ROOM")</f>
        <v>シーモア×COMIC ROOM</v>
      </c>
      <c r="L3314" s="152" t="str">
        <f>IFERROR(__xludf.DUMMYFUNCTION("""COMPUTED_VALUE"""),"双葉社")</f>
        <v>双葉社</v>
      </c>
      <c r="M3314" s="154">
        <f>IFERROR(__xludf.DUMMYFUNCTION("""COMPUTED_VALUE"""),45773.0)</f>
        <v>45773</v>
      </c>
      <c r="N3314" s="204">
        <f>IFERROR(__xludf.DUMMYFUNCTION("""COMPUTED_VALUE"""),2958465.0)</f>
        <v>2958465</v>
      </c>
      <c r="O3314" s="152"/>
      <c r="P3314" s="152" t="str">
        <f>IFERROR(__xludf.DUMMYFUNCTION("""COMPUTED_VALUE"""),"可")</f>
        <v>可</v>
      </c>
      <c r="Q3314" s="152" t="str">
        <f>IFERROR(__xludf.DUMMYFUNCTION("""COMPUTED_VALUE"""),"※配信済のため広告でき次第早めに出稿いただけますと幸いです。&lt;BR&gt;広告で大ヒットした「パラダイスヘル 分冊版」の続編となります。&lt;BR&gt;https://www.cmoa.jp/title/266867/&lt;BR&gt;本作は別タイトルIDでの配信となり、シリーズ紐づけいたします。")</f>
        <v>※配信済のため広告でき次第早めに出稿いただけますと幸いです。&lt;BR&gt;広告で大ヒットした「パラダイスヘル 分冊版」の続編となります。&lt;BR&gt;https://www.cmoa.jp/title/266867/&lt;BR&gt;本作は別タイトルIDでの配信となり、シリーズ紐づけいたします。</v>
      </c>
      <c r="R3314" s="152" t="str">
        <f>IFERROR(__xludf.DUMMYFUNCTION("""COMPUTED_VALUE"""),"コミットOK")</f>
        <v>コミットOK</v>
      </c>
      <c r="S3314" s="152" t="str">
        <f>IFERROR(__xludf.DUMMYFUNCTION("""COMPUTED_VALUE"""),"20250417_双葉社_パラダイスキングダム")</f>
        <v>20250417_双葉社_パラダイスキングダム</v>
      </c>
      <c r="T3314" s="152" t="str">
        <f>IFERROR(__xludf.DUMMYFUNCTION("""COMPUTED_VALUE"""),"格納済み")</f>
        <v>格納済み</v>
      </c>
      <c r="U3314" s="9" t="str">
        <f>IFERROR(__xludf.DUMMYFUNCTION("""COMPUTED_VALUE"""),"冬坂あゆる・COMIC ROOM／双葉社")</f>
        <v>冬坂あゆる・COMIC ROOM／双葉社</v>
      </c>
      <c r="V3314" s="8" t="str">
        <f>IFERROR(__xludf.DUMMYFUNCTION("""COMPUTED_VALUE"""),"総ダウンロード数150万超！広告がバズり倒した“伝説の不謹慎コミック”『パラダイスヘル』終了から、わずか4か月──。数々のしがらみを蹴り飛ばし、『パラダイスキングダム』として堂々復活！魔王となった神城は、名器持ちの勇者との果てなき“いとなみ”の末、新たな命を授かる。その名は、神城聖邪（カミシロ・ハイブリッド）。父となり、父性を感じている神城だったが、その陰には、孤独に苛まれるもう一人の息子・牛若丸の姿が。突如デキた腹違いの弟により、居場所を奪われた彼の胸中には、誰にも理解されない“漆黒の感情”が渦巻いてい"&amp;"た。そして、グレにグレた牛若丸は非行に走り、こう宣言する。「俺は俺の王国を創る。パラダイスキングダムを──。」日本が誇る最狂ロックエンターテインメント奇譚、ここに再始動！")</f>
        <v>総ダウンロード数150万超！広告がバズり倒した“伝説の不謹慎コミック”『パラダイスヘル』終了から、わずか4か月──。数々のしがらみを蹴り飛ばし、『パラダイスキングダム』として堂々復活！魔王となった神城は、名器持ちの勇者との果てなき“いとなみ”の末、新たな命を授かる。その名は、神城聖邪（カミシロ・ハイブリッド）。父となり、父性を感じている神城だったが、その陰には、孤独に苛まれるもう一人の息子・牛若丸の姿が。突如デキた腹違いの弟により、居場所を奪われた彼の胸中には、誰にも理解されない“漆黒の感情”が渦巻いていた。そして、グレにグレた牛若丸は非行に走り、こう宣言する。「俺は俺の王国を創る。パラダイスキングダムを──。」日本が誇る最狂ロックエンターテインメント奇譚、ここに再始動！</v>
      </c>
      <c r="W3314" s="8"/>
      <c r="X3314" s="8" t="str">
        <f>IFERROR(__xludf.DUMMYFUNCTION("""COMPUTED_VALUE"""),"有")</f>
        <v>有</v>
      </c>
      <c r="Y3314" s="8" t="str">
        <f>IFERROR(__xludf.DUMMYFUNCTION("""COMPUTED_VALUE"""),"2025/5/9まで1巻無料")</f>
        <v>2025/5/9まで1巻無料</v>
      </c>
      <c r="Z3314" s="7"/>
      <c r="AA3314" s="7"/>
      <c r="AB3314" s="7"/>
    </row>
    <row r="3315" ht="15.75" customHeight="1">
      <c r="A3315" s="153">
        <f>IFERROR(__xludf.DUMMYFUNCTION("""COMPUTED_VALUE"""),5514.0)</f>
        <v>5514</v>
      </c>
      <c r="B3315" s="152" t="str">
        <f>IFERROR(__xludf.DUMMYFUNCTION("""COMPUTED_VALUE"""),"確定")</f>
        <v>確定</v>
      </c>
      <c r="C3315" s="154">
        <f>IFERROR(__xludf.DUMMYFUNCTION("""COMPUTED_VALUE"""),45768.0)</f>
        <v>45768</v>
      </c>
      <c r="D3315" s="154">
        <f>IFERROR(__xludf.DUMMYFUNCTION("""COMPUTED_VALUE"""),45789.0)</f>
        <v>45789</v>
      </c>
      <c r="E3315" s="157">
        <f>IFERROR(__xludf.DUMMYFUNCTION("""COMPUTED_VALUE"""),326284.0)</f>
        <v>326284</v>
      </c>
      <c r="F3315" s="152" t="str">
        <f>IFERROR(__xludf.DUMMYFUNCTION("""COMPUTED_VALUE"""),"王子と騎士は男装聖女が死ぬほど愛おしい【マイクロ】")</f>
        <v>王子と騎士は男装聖女が死ぬほど愛おしい【マイクロ】</v>
      </c>
      <c r="G3315" s="152" t="str">
        <f>IFERROR(__xludf.DUMMYFUNCTION("""COMPUTED_VALUE"""),"1～3")</f>
        <v>1～3</v>
      </c>
      <c r="H3315" s="152" t="str">
        <f>IFERROR(__xludf.DUMMYFUNCTION("""COMPUTED_VALUE"""),"みなとゆみ")</f>
        <v>みなとゆみ</v>
      </c>
      <c r="I3315" s="152" t="str">
        <f>IFERROR(__xludf.DUMMYFUNCTION("""COMPUTED_VALUE"""),"女性")</f>
        <v>女性</v>
      </c>
      <c r="J3315" s="157"/>
      <c r="K3315" s="152" t="str">
        <f>IFERROR(__xludf.DUMMYFUNCTION("""COMPUTED_VALUE"""),"＆フラワー")</f>
        <v>＆フラワー</v>
      </c>
      <c r="L3315" s="152" t="str">
        <f>IFERROR(__xludf.DUMMYFUNCTION("""COMPUTED_VALUE"""),"小学館")</f>
        <v>小学館</v>
      </c>
      <c r="M3315" s="154">
        <f>IFERROR(__xludf.DUMMYFUNCTION("""COMPUTED_VALUE"""),45828.0)</f>
        <v>45828</v>
      </c>
      <c r="N3315" s="204">
        <f>IFERROR(__xludf.DUMMYFUNCTION("""COMPUTED_VALUE"""),45888.0)</f>
        <v>45888</v>
      </c>
      <c r="O3315" s="152"/>
      <c r="P3315" s="152" t="str">
        <f>IFERROR(__xludf.DUMMYFUNCTION("""COMPUTED_VALUE"""),"否")</f>
        <v>否</v>
      </c>
      <c r="Q3315" s="152" t="str">
        <f>IFERROR(__xludf.DUMMYFUNCTION("""COMPUTED_VALUE"""),"「万能の力」を持つと言われる""聖女""×軟派王子と硬派騎士の異世界を舞台とした三角関係ラブストーリーです。&lt;BR&gt;「夜伽の双子」等が好きな読者にも相性が良いかと思います。&lt;BR&gt;・2、3巻目は前後編で1巻分となります。")</f>
        <v>「万能の力」を持つと言われる"聖女"×軟派王子と硬派騎士の異世界を舞台とした三角関係ラブストーリーです。&lt;BR&gt;「夜伽の双子」等が好きな読者にも相性が良いかと思います。&lt;BR&gt;・2、3巻目は前後編で1巻分となります。</v>
      </c>
      <c r="R3315" s="152" t="str">
        <f>IFERROR(__xludf.DUMMYFUNCTION("""COMPUTED_VALUE"""),"コミットOK")</f>
        <v>コミットOK</v>
      </c>
      <c r="S3315" s="152" t="str">
        <f>IFERROR(__xludf.DUMMYFUNCTION("""COMPUTED_VALUE"""),"20250421_小学館_王子と騎士は男装聖女が死ぬほど愛おしい")</f>
        <v>20250421_小学館_王子と騎士は男装聖女が死ぬほど愛おしい</v>
      </c>
      <c r="T3315" s="152" t="str">
        <f>IFERROR(__xludf.DUMMYFUNCTION("""COMPUTED_VALUE"""),"格納済み")</f>
        <v>格納済み</v>
      </c>
      <c r="U3315" s="9" t="str">
        <f>IFERROR(__xludf.DUMMYFUNCTION("""COMPUTED_VALUE"""),"(C)みなとゆみ / 小学館")</f>
        <v>(C)みなとゆみ / 小学館</v>
      </c>
      <c r="V3315" s="8"/>
      <c r="W3315" s="8"/>
      <c r="X3315" s="8" t="str">
        <f>IFERROR(__xludf.DUMMYFUNCTION("""COMPUTED_VALUE"""),"有")</f>
        <v>有</v>
      </c>
      <c r="Y3315" s="8" t="str">
        <f>IFERROR(__xludf.DUMMYFUNCTION("""COMPUTED_VALUE"""),"2025/8/19まで1巻無料")</f>
        <v>2025/8/19まで1巻無料</v>
      </c>
      <c r="Z3315" s="7"/>
      <c r="AA3315" s="7"/>
      <c r="AB3315" s="7"/>
    </row>
    <row r="3316" ht="15.75" customHeight="1">
      <c r="A3316" s="153">
        <f>IFERROR(__xludf.DUMMYFUNCTION("""COMPUTED_VALUE"""),5533.0)</f>
        <v>5533</v>
      </c>
      <c r="B3316" s="152" t="str">
        <f>IFERROR(__xludf.DUMMYFUNCTION("""COMPUTED_VALUE"""),"確定")</f>
        <v>確定</v>
      </c>
      <c r="C3316" s="154">
        <f>IFERROR(__xludf.DUMMYFUNCTION("""COMPUTED_VALUE"""),45772.0)</f>
        <v>45772</v>
      </c>
      <c r="D3316" s="154">
        <f>IFERROR(__xludf.DUMMYFUNCTION("""COMPUTED_VALUE"""),45790.0)</f>
        <v>45790</v>
      </c>
      <c r="E3316" s="157">
        <f>IFERROR(__xludf.DUMMYFUNCTION("""COMPUTED_VALUE"""),324974.0)</f>
        <v>324974</v>
      </c>
      <c r="F3316" s="152" t="str">
        <f>IFERROR(__xludf.DUMMYFUNCTION("""COMPUTED_VALUE"""),"猟妻拳暴～モラハラ夫は躾けましょう～【単話版】")</f>
        <v>猟妻拳暴～モラハラ夫は躾けましょう～【単話版】</v>
      </c>
      <c r="G3316" s="152" t="str">
        <f>IFERROR(__xludf.DUMMYFUNCTION("""COMPUTED_VALUE"""),"1～5")</f>
        <v>1～5</v>
      </c>
      <c r="H3316" s="152" t="str">
        <f>IFERROR(__xludf.DUMMYFUNCTION("""COMPUTED_VALUE"""),"久遠ぴたごん")</f>
        <v>久遠ぴたごん</v>
      </c>
      <c r="I3316" s="152" t="str">
        <f>IFERROR(__xludf.DUMMYFUNCTION("""COMPUTED_VALUE"""),"女性")</f>
        <v>女性</v>
      </c>
      <c r="J3316" s="157"/>
      <c r="K3316" s="157"/>
      <c r="L3316" s="152" t="str">
        <f>IFERROR(__xludf.DUMMYFUNCTION("""COMPUTED_VALUE"""),"デジタルカタパルト（デジカタ編集部）")</f>
        <v>デジタルカタパルト（デジカタ編集部）</v>
      </c>
      <c r="M3316" s="154">
        <f>IFERROR(__xludf.DUMMYFUNCTION("""COMPUTED_VALUE"""),45827.0)</f>
        <v>45827</v>
      </c>
      <c r="N3316" s="199">
        <f>IFERROR(__xludf.DUMMYFUNCTION("""COMPUTED_VALUE"""),45917.0)</f>
        <v>45917</v>
      </c>
      <c r="O3316" s="152"/>
      <c r="P3316" s="152" t="str">
        <f>IFERROR(__xludf.DUMMYFUNCTION("""COMPUTED_VALUE"""),"可")</f>
        <v>可</v>
      </c>
      <c r="Q3316" s="152" t="str">
        <f>IFERROR(__xludf.DUMMYFUNCTION("""COMPUTED_VALUE"""),"1巻目無料実施")</f>
        <v>1巻目無料実施</v>
      </c>
      <c r="R3316" s="152" t="str">
        <f>IFERROR(__xludf.DUMMYFUNCTION("""COMPUTED_VALUE"""),"コミットOK")</f>
        <v>コミットOK</v>
      </c>
      <c r="S3316" s="152" t="str">
        <f>IFERROR(__xludf.DUMMYFUNCTION("""COMPUTED_VALUE"""),"20250513_デジカタ編集部_猟妻拳暴～モラハラ夫は躾けましょう～")</f>
        <v>20250513_デジカタ編集部_猟妻拳暴～モラハラ夫は躾けましょう～</v>
      </c>
      <c r="T3316" s="152" t="str">
        <f>IFERROR(__xludf.DUMMYFUNCTION("""COMPUTED_VALUE"""),"格納済み")</f>
        <v>格納済み</v>
      </c>
      <c r="U3316" s="9" t="str">
        <f>IFERROR(__xludf.DUMMYFUNCTION("""COMPUTED_VALUE"""),"Ⓒ久遠ぴたごん/デジカタ編集部")</f>
        <v>Ⓒ久遠ぴたごん/デジカタ編集部</v>
      </c>
      <c r="V3316" s="8"/>
      <c r="W3316" s="8"/>
      <c r="X3316" s="8" t="str">
        <f>IFERROR(__xludf.DUMMYFUNCTION("""COMPUTED_VALUE"""),"有")</f>
        <v>有</v>
      </c>
      <c r="Y3316" s="8" t="str">
        <f>IFERROR(__xludf.DUMMYFUNCTION("""COMPUTED_VALUE"""),"P12まで")</f>
        <v>P12まで</v>
      </c>
      <c r="Z3316" s="7"/>
      <c r="AA3316" s="7"/>
      <c r="AB3316" s="7"/>
    </row>
    <row r="3317" ht="15.75" customHeight="1">
      <c r="A3317" s="153">
        <f>IFERROR(__xludf.DUMMYFUNCTION("""COMPUTED_VALUE"""),5534.0)</f>
        <v>5534</v>
      </c>
      <c r="B3317" s="152" t="str">
        <f>IFERROR(__xludf.DUMMYFUNCTION("""COMPUTED_VALUE"""),"確定")</f>
        <v>確定</v>
      </c>
      <c r="C3317" s="154">
        <f>IFERROR(__xludf.DUMMYFUNCTION("""COMPUTED_VALUE"""),45772.0)</f>
        <v>45772</v>
      </c>
      <c r="D3317" s="154">
        <f>IFERROR(__xludf.DUMMYFUNCTION("""COMPUTED_VALUE"""),45790.0)</f>
        <v>45790</v>
      </c>
      <c r="E3317" s="157">
        <f>IFERROR(__xludf.DUMMYFUNCTION("""COMPUTED_VALUE"""),324976.0)</f>
        <v>324976</v>
      </c>
      <c r="F3317" s="152" t="str">
        <f>IFERROR(__xludf.DUMMYFUNCTION("""COMPUTED_VALUE"""),"黒の主【単話版】")</f>
        <v>黒の主【単話版】</v>
      </c>
      <c r="G3317" s="152" t="str">
        <f>IFERROR(__xludf.DUMMYFUNCTION("""COMPUTED_VALUE"""),"1～5")</f>
        <v>1～5</v>
      </c>
      <c r="H3317" s="152" t="str">
        <f>IFERROR(__xludf.DUMMYFUNCTION("""COMPUTED_VALUE"""),"みやび・沙々音凛")</f>
        <v>みやび・沙々音凛</v>
      </c>
      <c r="I3317" s="152" t="str">
        <f>IFERROR(__xludf.DUMMYFUNCTION("""COMPUTED_VALUE"""),"女性")</f>
        <v>女性</v>
      </c>
      <c r="J3317" s="157"/>
      <c r="K3317" s="157"/>
      <c r="L3317" s="152" t="str">
        <f>IFERROR(__xludf.DUMMYFUNCTION("""COMPUTED_VALUE"""),"デジタルカタパルト（デジカタ編集部）")</f>
        <v>デジタルカタパルト（デジカタ編集部）</v>
      </c>
      <c r="M3317" s="154">
        <f>IFERROR(__xludf.DUMMYFUNCTION("""COMPUTED_VALUE"""),45834.0)</f>
        <v>45834</v>
      </c>
      <c r="N3317" s="199">
        <f>IFERROR(__xludf.DUMMYFUNCTION("""COMPUTED_VALUE"""),45924.0)</f>
        <v>45924</v>
      </c>
      <c r="O3317" s="152"/>
      <c r="P3317" s="152" t="str">
        <f>IFERROR(__xludf.DUMMYFUNCTION("""COMPUTED_VALUE"""),"可")</f>
        <v>可</v>
      </c>
      <c r="Q3317" s="152" t="str">
        <f>IFERROR(__xludf.DUMMYFUNCTION("""COMPUTED_VALUE"""),"1巻目無料実施&lt;BR&gt;")</f>
        <v>1巻目無料実施&lt;BR&gt;</v>
      </c>
      <c r="R3317" s="152" t="str">
        <f>IFERROR(__xludf.DUMMYFUNCTION("""COMPUTED_VALUE"""),"コミットOK")</f>
        <v>コミットOK</v>
      </c>
      <c r="S3317" s="152" t="str">
        <f>IFERROR(__xludf.DUMMYFUNCTION("""COMPUTED_VALUE"""),"20250513_デジカタ編集部_黒の主")</f>
        <v>20250513_デジカタ編集部_黒の主</v>
      </c>
      <c r="T3317" s="152" t="str">
        <f>IFERROR(__xludf.DUMMYFUNCTION("""COMPUTED_VALUE"""),"格納済み")</f>
        <v>格納済み</v>
      </c>
      <c r="U3317" s="9" t="str">
        <f>IFERROR(__xludf.DUMMYFUNCTION("""COMPUTED_VALUE"""),"Ⓒみやび・沙々音凛/デジカタ編集部")</f>
        <v>Ⓒみやび・沙々音凛/デジカタ編集部</v>
      </c>
      <c r="V3317" s="8"/>
      <c r="W3317" s="8"/>
      <c r="X3317" s="8" t="str">
        <f>IFERROR(__xludf.DUMMYFUNCTION("""COMPUTED_VALUE"""),"有")</f>
        <v>有</v>
      </c>
      <c r="Y3317" s="8" t="str">
        <f>IFERROR(__xludf.DUMMYFUNCTION("""COMPUTED_VALUE"""),"P12まで")</f>
        <v>P12まで</v>
      </c>
      <c r="Z3317" s="7"/>
      <c r="AA3317" s="7"/>
      <c r="AB3317" s="7"/>
    </row>
    <row r="3318" ht="15.75" customHeight="1">
      <c r="A3318" s="153">
        <f>IFERROR(__xludf.DUMMYFUNCTION("""COMPUTED_VALUE"""),5535.0)</f>
        <v>5535</v>
      </c>
      <c r="B3318" s="152" t="str">
        <f>IFERROR(__xludf.DUMMYFUNCTION("""COMPUTED_VALUE"""),"確定")</f>
        <v>確定</v>
      </c>
      <c r="C3318" s="154">
        <f>IFERROR(__xludf.DUMMYFUNCTION("""COMPUTED_VALUE"""),45772.0)</f>
        <v>45772</v>
      </c>
      <c r="D3318" s="154">
        <f>IFERROR(__xludf.DUMMYFUNCTION("""COMPUTED_VALUE"""),45790.0)</f>
        <v>45790</v>
      </c>
      <c r="E3318" s="157">
        <f>IFERROR(__xludf.DUMMYFUNCTION("""COMPUTED_VALUE"""),324509.0)</f>
        <v>324509</v>
      </c>
      <c r="F3318" s="152" t="str">
        <f>IFERROR(__xludf.DUMMYFUNCTION("""COMPUTED_VALUE"""),"悪役令嬢の運命打破論。【単話版】")</f>
        <v>悪役令嬢の運命打破論。【単話版】</v>
      </c>
      <c r="G3318" s="152" t="str">
        <f>IFERROR(__xludf.DUMMYFUNCTION("""COMPUTED_VALUE"""),"1～5")</f>
        <v>1～5</v>
      </c>
      <c r="H3318" s="152" t="str">
        <f>IFERROR(__xludf.DUMMYFUNCTION("""COMPUTED_VALUE"""),"小谷梓・四季こよみ")</f>
        <v>小谷梓・四季こよみ</v>
      </c>
      <c r="I3318" s="152" t="str">
        <f>IFERROR(__xludf.DUMMYFUNCTION("""COMPUTED_VALUE"""),"女性")</f>
        <v>女性</v>
      </c>
      <c r="J3318" s="157"/>
      <c r="K3318" s="157"/>
      <c r="L3318" s="152" t="str">
        <f>IFERROR(__xludf.DUMMYFUNCTION("""COMPUTED_VALUE"""),"デジタルカタパルト（デジカタ編集部）")</f>
        <v>デジタルカタパルト（デジカタ編集部）</v>
      </c>
      <c r="M3318" s="154">
        <f>IFERROR(__xludf.DUMMYFUNCTION("""COMPUTED_VALUE"""),45820.0)</f>
        <v>45820</v>
      </c>
      <c r="N3318" s="199">
        <f>IFERROR(__xludf.DUMMYFUNCTION("""COMPUTED_VALUE"""),45910.0)</f>
        <v>45910</v>
      </c>
      <c r="O3318" s="152"/>
      <c r="P3318" s="152" t="str">
        <f>IFERROR(__xludf.DUMMYFUNCTION("""COMPUTED_VALUE"""),"可")</f>
        <v>可</v>
      </c>
      <c r="Q3318" s="152" t="str">
        <f>IFERROR(__xludf.DUMMYFUNCTION("""COMPUTED_VALUE"""),"1巻目無料実施&lt;BR&gt;")</f>
        <v>1巻目無料実施&lt;BR&gt;</v>
      </c>
      <c r="R3318" s="152" t="str">
        <f>IFERROR(__xludf.DUMMYFUNCTION("""COMPUTED_VALUE"""),"コミットOK")</f>
        <v>コミットOK</v>
      </c>
      <c r="S3318" s="152" t="str">
        <f>IFERROR(__xludf.DUMMYFUNCTION("""COMPUTED_VALUE"""),"20250513_デジカタ編集部_悪役令嬢の運命打破論。")</f>
        <v>20250513_デジカタ編集部_悪役令嬢の運命打破論。</v>
      </c>
      <c r="T3318" s="152" t="str">
        <f>IFERROR(__xludf.DUMMYFUNCTION("""COMPUTED_VALUE"""),"格納済み")</f>
        <v>格納済み</v>
      </c>
      <c r="U3318" s="9" t="str">
        <f>IFERROR(__xludf.DUMMYFUNCTION("""COMPUTED_VALUE"""),"Ⓒ小谷梓・四季こよみ/デジカタ編集部")</f>
        <v>Ⓒ小谷梓・四季こよみ/デジカタ編集部</v>
      </c>
      <c r="V3318" s="8" t="str">
        <f>IFERROR(__xludf.DUMMYFUNCTION("""COMPUTED_VALUE"""),"憧れの王子と婚約が決まった。彼と一緒に通える学園生活を心待ちにしていた少女の名はカサンドラ。だが入学式の前日思い出してしまったのは己の前世が冴えないアラサーＯＬであり、ここは乙女ゲームの世界で……自分が悪役令嬢カサンドラだという記憶。それだけならまだしも敬愛する王子が悪役どころかラスボス。真エンディングでは主人公の持つ聖剣に斃されてしまう運命だった。現れた三人の主人公、煌びやかな攻略対象、いきなり始まる乙女ゲーム生活。王子を破滅から救うため、カサンドラは王子の攻略こそが鍵だと本編になかったルートを探す。―"&amp;"―『愛こそ全て』な世界が舞台の　三者三様ラブコメディ。")</f>
        <v>憧れの王子と婚約が決まった。彼と一緒に通える学園生活を心待ちにしていた少女の名はカサンドラ。だが入学式の前日思い出してしまったのは己の前世が冴えないアラサーＯＬであり、ここは乙女ゲームの世界で……自分が悪役令嬢カサンドラだという記憶。それだけならまだしも敬愛する王子が悪役どころかラスボス。真エンディングでは主人公の持つ聖剣に斃されてしまう運命だった。現れた三人の主人公、煌びやかな攻略対象、いきなり始まる乙女ゲーム生活。王子を破滅から救うため、カサンドラは王子の攻略こそが鍵だと本編になかったルートを探す。――『愛こそ全て』な世界が舞台の　三者三様ラブコメディ。</v>
      </c>
      <c r="W3318" s="8" t="str">
        <f>IFERROR(__xludf.DUMMYFUNCTION("""COMPUTED_VALUE"""),"#REF!")</f>
        <v>#REF!</v>
      </c>
      <c r="X3318" s="8" t="str">
        <f>IFERROR(__xludf.DUMMYFUNCTION("""COMPUTED_VALUE"""),"有")</f>
        <v>有</v>
      </c>
      <c r="Y3318" s="8" t="str">
        <f>IFERROR(__xludf.DUMMYFUNCTION("""COMPUTED_VALUE"""),"P12まで")</f>
        <v>P12まで</v>
      </c>
      <c r="Z3318" s="7"/>
      <c r="AA3318" s="7"/>
      <c r="AB3318" s="7"/>
    </row>
    <row r="3319" ht="15.75" customHeight="1">
      <c r="A3319" s="153">
        <f>IFERROR(__xludf.DUMMYFUNCTION("""COMPUTED_VALUE"""),5537.0)</f>
        <v>5537</v>
      </c>
      <c r="B3319" s="152" t="str">
        <f>IFERROR(__xludf.DUMMYFUNCTION("""COMPUTED_VALUE"""),"確定")</f>
        <v>確定</v>
      </c>
      <c r="C3319" s="154">
        <f>IFERROR(__xludf.DUMMYFUNCTION("""COMPUTED_VALUE"""),45772.0)</f>
        <v>45772</v>
      </c>
      <c r="D3319" s="154">
        <f>IFERROR(__xludf.DUMMYFUNCTION("""COMPUTED_VALUE"""),45790.0)</f>
        <v>45790</v>
      </c>
      <c r="E3319" s="157">
        <f>IFERROR(__xludf.DUMMYFUNCTION("""COMPUTED_VALUE"""),324003.0)</f>
        <v>324003</v>
      </c>
      <c r="F3319" s="152" t="str">
        <f>IFERROR(__xludf.DUMMYFUNCTION("""COMPUTED_VALUE"""),"キミの瞳に魅せられて〜愛を知らないモテ上司が、地味で孤独な部下を溺愛〜")</f>
        <v>キミの瞳に魅せられて〜愛を知らないモテ上司が、地味で孤独な部下を溺愛〜</v>
      </c>
      <c r="G3319" s="152" t="str">
        <f>IFERROR(__xludf.DUMMYFUNCTION("""COMPUTED_VALUE"""),"1～5")</f>
        <v>1～5</v>
      </c>
      <c r="H3319" s="152" t="str">
        <f>IFERROR(__xludf.DUMMYFUNCTION("""COMPUTED_VALUE"""),"漫画：霧島凜・原作：深冬芽以/テラーノベル")</f>
        <v>漫画：霧島凜・原作：深冬芽以/テラーノベル</v>
      </c>
      <c r="I3319" s="152" t="str">
        <f>IFERROR(__xludf.DUMMYFUNCTION("""COMPUTED_VALUE"""),"女性")</f>
        <v>女性</v>
      </c>
      <c r="J3319" s="157"/>
      <c r="K3319" s="152" t="str">
        <f>IFERROR(__xludf.DUMMYFUNCTION("""COMPUTED_VALUE"""),"ラブ・ペイン・コミックス")</f>
        <v>ラブ・ペイン・コミックス</v>
      </c>
      <c r="L3319" s="152" t="str">
        <f>IFERROR(__xludf.DUMMYFUNCTION("""COMPUTED_VALUE"""),"グループ・ゼロ")</f>
        <v>グループ・ゼロ</v>
      </c>
      <c r="M3319" s="154">
        <f>IFERROR(__xludf.DUMMYFUNCTION("""COMPUTED_VALUE"""),45817.0)</f>
        <v>45817</v>
      </c>
      <c r="N3319" s="199">
        <f>IFERROR(__xludf.DUMMYFUNCTION("""COMPUTED_VALUE"""),45909.0)</f>
        <v>45909</v>
      </c>
      <c r="O3319" s="152"/>
      <c r="P3319" s="190" t="str">
        <f>IFERROR(__xludf.DUMMYFUNCTION("""COMPUTED_VALUE"""),"可")</f>
        <v>可</v>
      </c>
      <c r="Q3319" s="190"/>
      <c r="R3319" s="152"/>
      <c r="S3319" s="152" t="str">
        <f>IFERROR(__xludf.DUMMYFUNCTION("""COMPUTED_VALUE"""),"20250508_グループ・ゼロ_キミの瞳に魅せられて～愛を知らないモテ上司が、地味で孤独な部下を溺愛～")</f>
        <v>20250508_グループ・ゼロ_キミの瞳に魅せられて～愛を知らないモテ上司が、地味で孤独な部下を溺愛～</v>
      </c>
      <c r="T3319" s="152" t="str">
        <f>IFERROR(__xludf.DUMMYFUNCTION("""COMPUTED_VALUE"""),"格納済み")</f>
        <v>格納済み</v>
      </c>
      <c r="U3319" s="9" t="str">
        <f>IFERROR(__xludf.DUMMYFUNCTION("""COMPUTED_VALUE"""),"(C)霧島凜／深冬芽以／テラーノベル／グループ・ゼロ")</f>
        <v>(C)霧島凜／深冬芽以／テラーノベル／グループ・ゼロ</v>
      </c>
      <c r="V3319" s="8" t="str">
        <f>IFERROR(__xludf.DUMMYFUNCTION("""COMPUTED_VALUE"""),"是枝彪は30歳の若さで異例の昇進をしたエリートサラリーマン。モテモテだが、本人に結婚願望はない。実は生い立ちが複雑で結婚の良さが分からないのだが、そんな事を知らない女子社員達からは熱い眼差しを向けられている。そんな彪が一人深夜のオフィスで残業をしていると、眼鏡に三つ編みの超地味な清掃員に声を掛けられる。不出来な部下がゴミ箱に捨てた重要書類を拾ってくれたのだ。それが縁でその清掃員・柳田椿と徐々に親しくなっていく彪。これまでに出会ったどんな女性とも違う堅苦しい程に真面目で真剣な椿に、彪は心惹かれていく。しかし"&amp;"経済的な事情から常に働き詰めな上、ド天然な椿は彪のアプローチに気づく気配もなく…!?")</f>
        <v>是枝彪は30歳の若さで異例の昇進をしたエリートサラリーマン。モテモテだが、本人に結婚願望はない。実は生い立ちが複雑で結婚の良さが分からないのだが、そんな事を知らない女子社員達からは熱い眼差しを向けられている。そんな彪が一人深夜のオフィスで残業をしていると、眼鏡に三つ編みの超地味な清掃員に声を掛けられる。不出来な部下がゴミ箱に捨てた重要書類を拾ってくれたのだ。それが縁でその清掃員・柳田椿と徐々に親しくなっていく彪。これまでに出会ったどんな女性とも違う堅苦しい程に真面目で真剣な椿に、彪は心惹かれていく。しかし経済的な事情から常に働き詰めな上、ド天然な椿は彪のアプローチに気づく気配もなく…!?</v>
      </c>
      <c r="W3319" s="8" t="str">
        <f>IFERROR(__xludf.DUMMYFUNCTION("""COMPUTED_VALUE"""),"#REF!")</f>
        <v>#REF!</v>
      </c>
      <c r="X3319" s="8" t="str">
        <f>IFERROR(__xludf.DUMMYFUNCTION("""COMPUTED_VALUE"""),"有")</f>
        <v>有</v>
      </c>
      <c r="Y3319" s="8" t="str">
        <f>IFERROR(__xludf.DUMMYFUNCTION("""COMPUTED_VALUE"""),"2025/9/9まで1~2巻無料")</f>
        <v>2025/9/9まで1~2巻無料</v>
      </c>
      <c r="Z3319" s="7"/>
      <c r="AA3319" s="7"/>
      <c r="AB3319" s="7"/>
    </row>
    <row r="3320" ht="15.75" customHeight="1">
      <c r="A3320" s="153">
        <f>IFERROR(__xludf.DUMMYFUNCTION("""COMPUTED_VALUE"""),5544.0)</f>
        <v>5544</v>
      </c>
      <c r="B3320" s="152" t="str">
        <f>IFERROR(__xludf.DUMMYFUNCTION("""COMPUTED_VALUE"""),"確定")</f>
        <v>確定</v>
      </c>
      <c r="C3320" s="154">
        <f>IFERROR(__xludf.DUMMYFUNCTION("""COMPUTED_VALUE"""),45777.0)</f>
        <v>45777</v>
      </c>
      <c r="D3320" s="154">
        <f>IFERROR(__xludf.DUMMYFUNCTION("""COMPUTED_VALUE"""),45790.0)</f>
        <v>45790</v>
      </c>
      <c r="E3320" s="157">
        <f>IFERROR(__xludf.DUMMYFUNCTION("""COMPUTED_VALUE"""),324813.0)</f>
        <v>324813</v>
      </c>
      <c r="F3320" s="152" t="str">
        <f>IFERROR(__xludf.DUMMYFUNCTION("""COMPUTED_VALUE"""),"【単話版】クズ女子が本気の恋に落ちるまで-NOiPA編-")</f>
        <v>【単話版】クズ女子が本気の恋に落ちるまで-NOiPA編-</v>
      </c>
      <c r="G3320" s="152" t="str">
        <f>IFERROR(__xludf.DUMMYFUNCTION("""COMPUTED_VALUE"""),"1～3")</f>
        <v>1～3</v>
      </c>
      <c r="H3320" s="152" t="str">
        <f>IFERROR(__xludf.DUMMYFUNCTION("""COMPUTED_VALUE"""),"櫻井亜矢子")</f>
        <v>櫻井亜矢子</v>
      </c>
      <c r="I3320" s="152" t="str">
        <f>IFERROR(__xludf.DUMMYFUNCTION("""COMPUTED_VALUE"""),"青年")</f>
        <v>青年</v>
      </c>
      <c r="J3320" s="157"/>
      <c r="K3320" s="157"/>
      <c r="L3320" s="152" t="str">
        <f>IFERROR(__xludf.DUMMYFUNCTION("""COMPUTED_VALUE"""),"ジーオーティー")</f>
        <v>ジーオーティー</v>
      </c>
      <c r="M3320" s="154">
        <f>IFERROR(__xludf.DUMMYFUNCTION("""COMPUTED_VALUE"""),45839.0)</f>
        <v>45839</v>
      </c>
      <c r="N3320" s="199">
        <f>IFERROR(__xludf.DUMMYFUNCTION("""COMPUTED_VALUE"""),45900.0)</f>
        <v>45900</v>
      </c>
      <c r="O3320" s="152"/>
      <c r="P3320" s="190" t="str">
        <f>IFERROR(__xludf.DUMMYFUNCTION("""COMPUTED_VALUE"""),"可")</f>
        <v>可</v>
      </c>
      <c r="Q3320" s="152"/>
      <c r="R3320" s="152" t="str">
        <f>IFERROR(__xludf.DUMMYFUNCTION("""COMPUTED_VALUE"""),"コミットOK")</f>
        <v>コミットOK</v>
      </c>
      <c r="S3320" s="152" t="str">
        <f>IFERROR(__xludf.DUMMYFUNCTION("""COMPUTED_VALUE"""),"20250512_ジーオーティー_【単話版】クズ女子が本気の恋に落ちるまで-NOiPA編-")</f>
        <v>20250512_ジーオーティー_【単話版】クズ女子が本気の恋に落ちるまで-NOiPA編-</v>
      </c>
      <c r="T3320" s="152" t="str">
        <f>IFERROR(__xludf.DUMMYFUNCTION("""COMPUTED_VALUE"""),"格納済み")</f>
        <v>格納済み</v>
      </c>
      <c r="U3320" s="9" t="str">
        <f>IFERROR(__xludf.DUMMYFUNCTION("""COMPUTED_VALUE"""),"Ⓒ櫻井亜矢子／ジーオーティー")</f>
        <v>Ⓒ櫻井亜矢子／ジーオーティー</v>
      </c>
      <c r="V3320" s="8"/>
      <c r="W3320" s="8"/>
      <c r="X3320" s="8" t="str">
        <f>IFERROR(__xludf.DUMMYFUNCTION("""COMPUTED_VALUE"""),"有")</f>
        <v>有</v>
      </c>
      <c r="Y3320" s="8" t="str">
        <f>IFERROR(__xludf.DUMMYFUNCTION("""COMPUTED_VALUE"""),"2025/7/14まで1巻無料")</f>
        <v>2025/7/14まで1巻無料</v>
      </c>
      <c r="Z3320" s="7"/>
      <c r="AA3320" s="7"/>
      <c r="AB3320" s="7"/>
    </row>
    <row r="3321" ht="15.75" customHeight="1">
      <c r="A3321" s="153">
        <f>IFERROR(__xludf.DUMMYFUNCTION("""COMPUTED_VALUE"""),5556.0)</f>
        <v>5556</v>
      </c>
      <c r="B3321" s="152" t="str">
        <f>IFERROR(__xludf.DUMMYFUNCTION("""COMPUTED_VALUE"""),"確定")</f>
        <v>確定</v>
      </c>
      <c r="C3321" s="154">
        <f>IFERROR(__xludf.DUMMYFUNCTION("""COMPUTED_VALUE"""),45779.0)</f>
        <v>45779</v>
      </c>
      <c r="D3321" s="154">
        <f>IFERROR(__xludf.DUMMYFUNCTION("""COMPUTED_VALUE"""),45791.0)</f>
        <v>45791</v>
      </c>
      <c r="E3321" s="157">
        <f>IFERROR(__xludf.DUMMYFUNCTION("""COMPUTED_VALUE"""),325410.0)</f>
        <v>325410</v>
      </c>
      <c r="F3321" s="152" t="str">
        <f>IFERROR(__xludf.DUMMYFUNCTION("""COMPUTED_VALUE"""),"運命の初恋は紋章とともに -結婚を誓った相手は次期領主様でした-")</f>
        <v>運命の初恋は紋章とともに -結婚を誓った相手は次期領主様でした-</v>
      </c>
      <c r="G3321" s="152" t="str">
        <f>IFERROR(__xludf.DUMMYFUNCTION("""COMPUTED_VALUE"""),"1～2")</f>
        <v>1～2</v>
      </c>
      <c r="H3321" s="152" t="str">
        <f>IFERROR(__xludf.DUMMYFUNCTION("""COMPUTED_VALUE"""),"東野ねこ")</f>
        <v>東野ねこ</v>
      </c>
      <c r="I3321" s="152" t="str">
        <f>IFERROR(__xludf.DUMMYFUNCTION("""COMPUTED_VALUE"""),"少女")</f>
        <v>少女</v>
      </c>
      <c r="J3321" s="157"/>
      <c r="K3321" s="157"/>
      <c r="L3321" s="152" t="str">
        <f>IFERROR(__xludf.DUMMYFUNCTION("""COMPUTED_VALUE"""),"ナイトコミック")</f>
        <v>ナイトコミック</v>
      </c>
      <c r="M3321" s="154">
        <f>IFERROR(__xludf.DUMMYFUNCTION("""COMPUTED_VALUE"""),45814.0)</f>
        <v>45814</v>
      </c>
      <c r="N3321" s="199">
        <f>IFERROR(__xludf.DUMMYFUNCTION("""COMPUTED_VALUE"""),45869.0)</f>
        <v>45869</v>
      </c>
      <c r="O3321" s="152"/>
      <c r="P3321" s="152" t="str">
        <f>IFERROR(__xludf.DUMMYFUNCTION("""COMPUTED_VALUE"""),"可")</f>
        <v>可</v>
      </c>
      <c r="Q3321" s="152" t="str">
        <f>IFERROR(__xludf.DUMMYFUNCTION("""COMPUTED_VALUE"""),"素材は1～2巻目までご使用ください")</f>
        <v>素材は1～2巻目までご使用ください</v>
      </c>
      <c r="R3321" s="152" t="str">
        <f>IFERROR(__xludf.DUMMYFUNCTION("""COMPUTED_VALUE"""),"コミットNG")</f>
        <v>コミットNG</v>
      </c>
      <c r="S3321" s="152" t="str">
        <f>IFERROR(__xludf.DUMMYFUNCTION("""COMPUTED_VALUE"""),"20250502_ナイトコミック_運命の初恋は紋章とともに -結婚を誓った相手は次期領主様でした-")</f>
        <v>20250502_ナイトコミック_運命の初恋は紋章とともに -結婚を誓った相手は次期領主様でした-</v>
      </c>
      <c r="T3321" s="152" t="str">
        <f>IFERROR(__xludf.DUMMYFUNCTION("""COMPUTED_VALUE"""),"格納済み")</f>
        <v>格納済み</v>
      </c>
      <c r="U3321" s="9" t="str">
        <f>IFERROR(__xludf.DUMMYFUNCTION("""COMPUTED_VALUE"""),"Ⓒ東野ねこ")</f>
        <v>Ⓒ東野ねこ</v>
      </c>
      <c r="V3321" s="8" t="str">
        <f>IFERROR(__xludf.DUMMYFUNCTION("""COMPUTED_VALUE"""),"「リリー、僕と結婚してくれる？」
幼い頃、名前も知らない少年と交わした約束を胸に、リリーは「医者になる」と誓った。彼が残してくれたのは、紋章入りのハンカチだけ──。だが数年後、医学試験には何度挑んでも不合格。診療所で兄の助手を務めるも、「女に医者は無理だ」と冷たくあしらわれる日々が続いていた。
そんなある日、猛毒蛇に噛まれた瀕死の男が運び込まれる。兄は不在、治療法もない。覚悟を決めたリリーが施した治療で、男は奇跡的に回復。目を覚ました彼は──あの日、結婚を誓った少年・カイだった。そして、なんと次期領主"&amp;"様！？運命の再会が、二人の未来を大きく動かし始める！")</f>
        <v>「リリー、僕と結婚してくれる？」
幼い頃、名前も知らない少年と交わした約束を胸に、リリーは「医者になる」と誓った。彼が残してくれたのは、紋章入りのハンカチだけ──。だが数年後、医学試験には何度挑んでも不合格。診療所で兄の助手を務めるも、「女に医者は無理だ」と冷たくあしらわれる日々が続いていた。
そんなある日、猛毒蛇に噛まれた瀕死の男が運び込まれる。兄は不在、治療法もない。覚悟を決めたリリーが施した治療で、男は奇跡的に回復。目を覚ました彼は──あの日、結婚を誓った少年・カイだった。そして、なんと次期領主様！？運命の再会が、二人の未来を大きく動かし始める！</v>
      </c>
      <c r="W3321" s="8" t="str">
        <f>IFERROR(__xludf.DUMMYFUNCTION("""COMPUTED_VALUE"""),"#REF!")</f>
        <v>#REF!</v>
      </c>
      <c r="X3321" s="8" t="str">
        <f>IFERROR(__xludf.DUMMYFUNCTION("""COMPUTED_VALUE"""),"有")</f>
        <v>有</v>
      </c>
      <c r="Y3321" s="8" t="str">
        <f>IFERROR(__xludf.DUMMYFUNCTION("""COMPUTED_VALUE"""),"P11まで")</f>
        <v>P11まで</v>
      </c>
      <c r="Z3321" s="7"/>
      <c r="AA3321" s="7"/>
      <c r="AB3321" s="7"/>
    </row>
    <row r="3322" ht="15.75" customHeight="1">
      <c r="A3322" s="153">
        <f>IFERROR(__xludf.DUMMYFUNCTION("""COMPUTED_VALUE"""),5583.0)</f>
        <v>5583</v>
      </c>
      <c r="B3322" s="152" t="str">
        <f>IFERROR(__xludf.DUMMYFUNCTION("""COMPUTED_VALUE"""),"確定")</f>
        <v>確定</v>
      </c>
      <c r="C3322" s="154">
        <f>IFERROR(__xludf.DUMMYFUNCTION("""COMPUTED_VALUE"""),45785.0)</f>
        <v>45785</v>
      </c>
      <c r="D3322" s="154">
        <f>IFERROR(__xludf.DUMMYFUNCTION("""COMPUTED_VALUE"""),45790.0)</f>
        <v>45790</v>
      </c>
      <c r="E3322" s="157">
        <f>IFERROR(__xludf.DUMMYFUNCTION("""COMPUTED_VALUE"""),324949.0)</f>
        <v>324949</v>
      </c>
      <c r="F3322" s="152" t="str">
        <f>IFERROR(__xludf.DUMMYFUNCTION("""COMPUTED_VALUE"""),"真理子さんと僕 バイト先の人妻との不倫関係")</f>
        <v>真理子さんと僕 バイト先の人妻との不倫関係</v>
      </c>
      <c r="G3322" s="152" t="str">
        <f>IFERROR(__xludf.DUMMYFUNCTION("""COMPUTED_VALUE"""),"1～2")</f>
        <v>1～2</v>
      </c>
      <c r="H3322" s="152" t="str">
        <f>IFERROR(__xludf.DUMMYFUNCTION("""COMPUTED_VALUE"""),"黄金紳士俱楽部")</f>
        <v>黄金紳士俱楽部</v>
      </c>
      <c r="I3322" s="164" t="str">
        <f>IFERROR(__xludf.DUMMYFUNCTION("""COMPUTED_VALUE"""),"アダルトマンガ")</f>
        <v>アダルトマンガ</v>
      </c>
      <c r="J3322" s="166"/>
      <c r="K3322" s="157"/>
      <c r="L3322" s="152" t="str">
        <f>IFERROR(__xludf.DUMMYFUNCTION("""COMPUTED_VALUE"""),"セ・キララ文庫")</f>
        <v>セ・キララ文庫</v>
      </c>
      <c r="M3322" s="154">
        <f>IFERROR(__xludf.DUMMYFUNCTION("""COMPUTED_VALUE"""),45814.0)</f>
        <v>45814</v>
      </c>
      <c r="N3322" s="204">
        <f>IFERROR(__xludf.DUMMYFUNCTION("""COMPUTED_VALUE"""),45847.0)</f>
        <v>45847</v>
      </c>
      <c r="O3322" s="152"/>
      <c r="P3322" s="190" t="str">
        <f>IFERROR(__xludf.DUMMYFUNCTION("""COMPUTED_VALUE"""),"可")</f>
        <v>可</v>
      </c>
      <c r="Q3322" s="190"/>
      <c r="R3322" s="152"/>
      <c r="S3322" s="152" t="str">
        <f>IFERROR(__xludf.DUMMYFUNCTION("""COMPUTED_VALUE"""),"20250508_ライドオン_真理子さんと僕")</f>
        <v>20250508_ライドオン_真理子さんと僕</v>
      </c>
      <c r="T3322" s="152" t="str">
        <f>IFERROR(__xludf.DUMMYFUNCTION("""COMPUTED_VALUE"""),"格納済み")</f>
        <v>格納済み</v>
      </c>
      <c r="U3322" s="9" t="str">
        <f>IFERROR(__xludf.DUMMYFUNCTION("""COMPUTED_VALUE"""),"Ⓒ黄金紳士俱楽部/セ・キララ文庫")</f>
        <v>Ⓒ黄金紳士俱楽部/セ・キララ文庫</v>
      </c>
      <c r="V3322" s="8" t="str">
        <f>IFERROR(__xludf.DUMMYFUNCTION("""COMPUTED_VALUE"""),"「私…息子の友達に…大事なところ見られちゃってる…っ」
――主婦の真理子のパート先には、息子の幼馴染、大輝も働いていた。
立派な働きぶりに日々感心していたが、ある日、彼から告白される。
「ずっと真理子さんのことが好きでした!!」
動揺しつつもやんわり断って帰宅するが、家に帰っても夫に求められることはなく…
その後、大輝に押し負けて一度きりとデートをするが、何度も真剣に愛を告げられオンナとして揺れ動いてしまう…
この関係も、一度だけなら…
火照った身体は耐えられず、禁断の不倫セックスが始まった"&amp;"――")</f>
        <v>「私…息子の友達に…大事なところ見られちゃってる…っ」
――主婦の真理子のパート先には、息子の幼馴染、大輝も働いていた。
立派な働きぶりに日々感心していたが、ある日、彼から告白される。
「ずっと真理子さんのことが好きでした!!」
動揺しつつもやんわり断って帰宅するが、家に帰っても夫に求められることはなく…
その後、大輝に押し負けて一度きりとデートをするが、何度も真剣に愛を告げられオンナとして揺れ動いてしまう…
この関係も、一度だけなら…
火照った身体は耐えられず、禁断の不倫セックスが始まった――</v>
      </c>
      <c r="W3322" s="8" t="str">
        <f>IFERROR(__xludf.DUMMYFUNCTION("""COMPUTED_VALUE"""),"#REF!")</f>
        <v>#REF!</v>
      </c>
      <c r="X3322" s="8" t="str">
        <f>IFERROR(__xludf.DUMMYFUNCTION("""COMPUTED_VALUE"""),"有")</f>
        <v>有</v>
      </c>
      <c r="Y3322" s="8" t="str">
        <f>IFERROR(__xludf.DUMMYFUNCTION("""COMPUTED_VALUE"""),"2025/7/9まで1巻立ち読み増量(P18)")</f>
        <v>2025/7/9まで1巻立ち読み増量(P18)</v>
      </c>
      <c r="Z3322" s="7"/>
      <c r="AA3322" s="7"/>
      <c r="AB3322" s="7"/>
    </row>
    <row r="3323" ht="15.75" customHeight="1">
      <c r="A3323" s="153">
        <f>IFERROR(__xludf.DUMMYFUNCTION("""COMPUTED_VALUE"""),5586.0)</f>
        <v>5586</v>
      </c>
      <c r="B3323" s="152" t="str">
        <f>IFERROR(__xludf.DUMMYFUNCTION("""COMPUTED_VALUE"""),"確定")</f>
        <v>確定</v>
      </c>
      <c r="C3323" s="154">
        <f>IFERROR(__xludf.DUMMYFUNCTION("""COMPUTED_VALUE"""),45785.0)</f>
        <v>45785</v>
      </c>
      <c r="D3323" s="154">
        <f>IFERROR(__xludf.DUMMYFUNCTION("""COMPUTED_VALUE"""),45790.0)</f>
        <v>45790</v>
      </c>
      <c r="E3323" s="157">
        <f>IFERROR(__xludf.DUMMYFUNCTION("""COMPUTED_VALUE"""),323627.0)</f>
        <v>323627</v>
      </c>
      <c r="F3323" s="152" t="str">
        <f>IFERROR(__xludf.DUMMYFUNCTION("""COMPUTED_VALUE"""),"ザ・チートバッター ～金も名誉も女もファインプレー～【タテヨミ】")</f>
        <v>ザ・チートバッター ～金も名誉も女もファインプレー～【タテヨミ】</v>
      </c>
      <c r="G3323" s="152" t="str">
        <f>IFERROR(__xludf.DUMMYFUNCTION("""COMPUTED_VALUE"""),"1～65")</f>
        <v>1～65</v>
      </c>
      <c r="H3323" s="152" t="str">
        <f>IFERROR(__xludf.DUMMYFUNCTION("""COMPUTED_VALUE"""),"レッドペーパー")</f>
        <v>レッドペーパー</v>
      </c>
      <c r="I3323" s="152" t="str">
        <f>IFERROR(__xludf.DUMMYFUNCTION("""COMPUTED_VALUE"""),"青年")</f>
        <v>青年</v>
      </c>
      <c r="J3323" s="157"/>
      <c r="K3323" s="157"/>
      <c r="L3323" s="152" t="str">
        <f>IFERROR(__xludf.DUMMYFUNCTION("""COMPUTED_VALUE"""),"TOPCO JAPAN")</f>
        <v>TOPCO JAPAN</v>
      </c>
      <c r="M3323" s="154">
        <f>IFERROR(__xludf.DUMMYFUNCTION("""COMPUTED_VALUE"""),45821.0)</f>
        <v>45821</v>
      </c>
      <c r="N3323" s="199">
        <f>IFERROR(__xludf.DUMMYFUNCTION("""COMPUTED_VALUE"""),45913.0)</f>
        <v>45913</v>
      </c>
      <c r="O3323" s="152"/>
      <c r="P3323" s="190" t="str">
        <f>IFERROR(__xludf.DUMMYFUNCTION("""COMPUTED_VALUE"""),"可")</f>
        <v>可</v>
      </c>
      <c r="Q3323" s="190"/>
      <c r="R3323" s="152"/>
      <c r="S3323" s="152" t="str">
        <f>IFERROR(__xludf.DUMMYFUNCTION("""COMPUTED_VALUE"""),"20250507_TOPCO_ザ・チートバッター ～金も名誉も女もファインプレー～【タテヨミ】")</f>
        <v>20250507_TOPCO_ザ・チートバッター ～金も名誉も女もファインプレー～【タテヨミ】</v>
      </c>
      <c r="T3323" s="152" t="str">
        <f>IFERROR(__xludf.DUMMYFUNCTION("""COMPUTED_VALUE"""),"格納済み")</f>
        <v>格納済み</v>
      </c>
      <c r="U3323" s="9" t="str">
        <f>IFERROR(__xludf.DUMMYFUNCTION("""COMPUTED_VALUE"""),"Ⓒレッドペーパー/TOPTOON")</f>
        <v>Ⓒレッドペーパー/TOPTOON</v>
      </c>
      <c r="V3323" s="8" t="str">
        <f>IFERROR(__xludf.DUMMYFUNCTION("""COMPUTED_VALUE"""),"事故で両親を亡くし体を負傷しながら地獄のような人生を送っている大学野球選手・池谷 虎牙。彼は伝説のメジャーリーガーの化身と契約を結び人生が180度変わることになる。チート能力で落ちこぼれから有望株に変わった虎牙はプロ野球と女、両方を征服すると決めるが…")</f>
        <v>事故で両親を亡くし体を負傷しながら地獄のような人生を送っている大学野球選手・池谷 虎牙。彼は伝説のメジャーリーガーの化身と契約を結び人生が180度変わることになる。チート能力で落ちこぼれから有望株に変わった虎牙はプロ野球と女、両方を征服すると決めるが…</v>
      </c>
      <c r="W3323" s="8" t="str">
        <f>IFERROR(__xludf.DUMMYFUNCTION("""COMPUTED_VALUE"""),"#REF!")</f>
        <v>#REF!</v>
      </c>
      <c r="X3323" s="8" t="str">
        <f>IFERROR(__xludf.DUMMYFUNCTION("""COMPUTED_VALUE"""),"有")</f>
        <v>有</v>
      </c>
      <c r="Y3323" s="8" t="str">
        <f>IFERROR(__xludf.DUMMYFUNCTION("""COMPUTED_VALUE"""),"1～3巻無料")</f>
        <v>1～3巻無料</v>
      </c>
      <c r="Z3323" s="7"/>
      <c r="AA3323" s="7"/>
      <c r="AB3323" s="7"/>
    </row>
    <row r="3324" ht="15.75" customHeight="1">
      <c r="A3324" s="153">
        <f>IFERROR(__xludf.DUMMYFUNCTION("""COMPUTED_VALUE"""),5591.0)</f>
        <v>5591</v>
      </c>
      <c r="B3324" s="152" t="str">
        <f>IFERROR(__xludf.DUMMYFUNCTION("""COMPUTED_VALUE"""),"確定")</f>
        <v>確定</v>
      </c>
      <c r="C3324" s="154">
        <f>IFERROR(__xludf.DUMMYFUNCTION("""COMPUTED_VALUE"""),45786.0)</f>
        <v>45786</v>
      </c>
      <c r="D3324" s="154">
        <f>IFERROR(__xludf.DUMMYFUNCTION("""COMPUTED_VALUE"""),45790.0)</f>
        <v>45790</v>
      </c>
      <c r="E3324" s="157">
        <f>IFERROR(__xludf.DUMMYFUNCTION("""COMPUTED_VALUE"""),324381.0)</f>
        <v>324381</v>
      </c>
      <c r="F3324" s="152" t="str">
        <f>IFERROR(__xludf.DUMMYFUNCTION("""COMPUTED_VALUE"""),"婚約破棄された辺境伯令嬢ですが、敵国王に求愛されて花嫁になりました")</f>
        <v>婚約破棄された辺境伯令嬢ですが、敵国王に求愛されて花嫁になりました</v>
      </c>
      <c r="G3324" s="152" t="str">
        <f>IFERROR(__xludf.DUMMYFUNCTION("""COMPUTED_VALUE"""),"1～3")</f>
        <v>1～3</v>
      </c>
      <c r="H3324" s="152" t="str">
        <f>IFERROR(__xludf.DUMMYFUNCTION("""COMPUTED_VALUE"""),"漫画：市川るき／原作：涼原カンナ／キャラクター原案：あかば")</f>
        <v>漫画：市川るき／原作：涼原カンナ／キャラクター原案：あかば</v>
      </c>
      <c r="I3324" s="152" t="str">
        <f>IFERROR(__xludf.DUMMYFUNCTION("""COMPUTED_VALUE"""),"女性")</f>
        <v>女性</v>
      </c>
      <c r="J3324" s="157"/>
      <c r="K3324" s="152" t="str">
        <f>IFERROR(__xludf.DUMMYFUNCTION("""COMPUTED_VALUE"""),"異世界マーガレット")</f>
        <v>異世界マーガレット</v>
      </c>
      <c r="L3324" s="152" t="str">
        <f>IFERROR(__xludf.DUMMYFUNCTION("""COMPUTED_VALUE"""),"集英社")</f>
        <v>集英社</v>
      </c>
      <c r="M3324" s="154">
        <f>IFERROR(__xludf.DUMMYFUNCTION("""COMPUTED_VALUE"""),45809.0)</f>
        <v>45809</v>
      </c>
      <c r="N3324" s="199">
        <f>IFERROR(__xludf.DUMMYFUNCTION("""COMPUTED_VALUE"""),45838.0)</f>
        <v>45838</v>
      </c>
      <c r="O3324" s="152"/>
      <c r="P3324" s="190" t="str">
        <f>IFERROR(__xludf.DUMMYFUNCTION("""COMPUTED_VALUE"""),"否")</f>
        <v>否</v>
      </c>
      <c r="Q3324" s="190"/>
      <c r="R3324" s="152"/>
      <c r="S3324" s="152" t="str">
        <f>IFERROR(__xludf.DUMMYFUNCTION("""COMPUTED_VALUE"""),"20250509_集英社_婚約破棄された辺境伯令嬢ですが、敵国王に求愛されて花嫁になりました")</f>
        <v>20250509_集英社_婚約破棄された辺境伯令嬢ですが、敵国王に求愛されて花嫁になりました</v>
      </c>
      <c r="T3324" s="152" t="str">
        <f>IFERROR(__xludf.DUMMYFUNCTION("""COMPUTED_VALUE"""),"格納済み")</f>
        <v>格納済み</v>
      </c>
      <c r="U3324" s="9" t="str">
        <f>IFERROR(__xludf.DUMMYFUNCTION("""COMPUTED_VALUE"""),"(C)市川るき・涼原カンナ／集英社")</f>
        <v>(C)市川るき・涼原カンナ／集英社</v>
      </c>
      <c r="V3324" s="8" t="str">
        <f>IFERROR(__xludf.DUMMYFUNCTION("""COMPUTED_VALUE"""),"【集英社シフォン文庫の人気作が待望のコミカライズ化！】「きっとこの交わりが毒なのよ――」　辺境貴族の令嬢エマは、毒薬の研究が趣味の変わり者。婚約していた王太子シャルルに突然婚約破棄を言い渡され傷心のまま帰省したが、今度は隣国の王アルフォンスから突然のプロポーズ!?　断れば戦争になると脅され、やむなくアルフォンスに嫁いだエマだったが、毒の効かない彼に興味を持ち、その秘密を知るためにカラダを重ね合い――…。")</f>
        <v>【集英社シフォン文庫の人気作が待望のコミカライズ化！】「きっとこの交わりが毒なのよ――」　辺境貴族の令嬢エマは、毒薬の研究が趣味の変わり者。婚約していた王太子シャルルに突然婚約破棄を言い渡され傷心のまま帰省したが、今度は隣国の王アルフォンスから突然のプロポーズ!?　断れば戦争になると脅され、やむなくアルフォンスに嫁いだエマだったが、毒の効かない彼に興味を持ち、その秘密を知るためにカラダを重ね合い――…。</v>
      </c>
      <c r="W3324" s="8" t="str">
        <f>IFERROR(__xludf.DUMMYFUNCTION("""COMPUTED_VALUE"""),"#REF!")</f>
        <v>#REF!</v>
      </c>
      <c r="X3324" s="8" t="str">
        <f>IFERROR(__xludf.DUMMYFUNCTION("""COMPUTED_VALUE"""),"有")</f>
        <v>有</v>
      </c>
      <c r="Y3324" s="8" t="str">
        <f>IFERROR(__xludf.DUMMYFUNCTION("""COMPUTED_VALUE"""),"2025/6/30まで1巻無料")</f>
        <v>2025/6/30まで1巻無料</v>
      </c>
      <c r="Z3324" s="7"/>
      <c r="AA3324" s="7"/>
      <c r="AB3324" s="7"/>
    </row>
    <row r="3325" ht="15.75" customHeight="1">
      <c r="A3325" s="153">
        <f>IFERROR(__xludf.DUMMYFUNCTION("""COMPUTED_VALUE"""),5592.0)</f>
        <v>5592</v>
      </c>
      <c r="B3325" s="152" t="str">
        <f>IFERROR(__xludf.DUMMYFUNCTION("""COMPUTED_VALUE"""),"確定")</f>
        <v>確定</v>
      </c>
      <c r="C3325" s="154">
        <f>IFERROR(__xludf.DUMMYFUNCTION("""COMPUTED_VALUE"""),45786.0)</f>
        <v>45786</v>
      </c>
      <c r="D3325" s="154">
        <f>IFERROR(__xludf.DUMMYFUNCTION("""COMPUTED_VALUE"""),45790.0)</f>
        <v>45790</v>
      </c>
      <c r="E3325" s="157">
        <f>IFERROR(__xludf.DUMMYFUNCTION("""COMPUTED_VALUE"""),324382.0)</f>
        <v>324382</v>
      </c>
      <c r="F3325" s="152" t="str">
        <f>IFERROR(__xludf.DUMMYFUNCTION("""COMPUTED_VALUE"""),"婚約者に選ばれなかったので、死神さんと運命を変えてみせます！")</f>
        <v>婚約者に選ばれなかったので、死神さんと運命を変えてみせます！</v>
      </c>
      <c r="G3325" s="152" t="str">
        <f>IFERROR(__xludf.DUMMYFUNCTION("""COMPUTED_VALUE"""),"1～3")</f>
        <v>1～3</v>
      </c>
      <c r="H3325" s="152" t="str">
        <f>IFERROR(__xludf.DUMMYFUNCTION("""COMPUTED_VALUE"""),"漫画：リゼ倉田／原作：まるねこ")</f>
        <v>漫画：リゼ倉田／原作：まるねこ</v>
      </c>
      <c r="I3325" s="152" t="str">
        <f>IFERROR(__xludf.DUMMYFUNCTION("""COMPUTED_VALUE"""),"女性")</f>
        <v>女性</v>
      </c>
      <c r="J3325" s="157"/>
      <c r="K3325" s="152" t="str">
        <f>IFERROR(__xludf.DUMMYFUNCTION("""COMPUTED_VALUE"""),"異世界マーガレット")</f>
        <v>異世界マーガレット</v>
      </c>
      <c r="L3325" s="152" t="str">
        <f>IFERROR(__xludf.DUMMYFUNCTION("""COMPUTED_VALUE"""),"集英社")</f>
        <v>集英社</v>
      </c>
      <c r="M3325" s="154">
        <f>IFERROR(__xludf.DUMMYFUNCTION("""COMPUTED_VALUE"""),45809.0)</f>
        <v>45809</v>
      </c>
      <c r="N3325" s="199">
        <f>IFERROR(__xludf.DUMMYFUNCTION("""COMPUTED_VALUE"""),45838.0)</f>
        <v>45838</v>
      </c>
      <c r="O3325" s="152"/>
      <c r="P3325" s="190" t="str">
        <f>IFERROR(__xludf.DUMMYFUNCTION("""COMPUTED_VALUE"""),"否")</f>
        <v>否</v>
      </c>
      <c r="Q3325" s="190"/>
      <c r="R3325" s="152"/>
      <c r="S3325" s="152" t="str">
        <f>IFERROR(__xludf.DUMMYFUNCTION("""COMPUTED_VALUE"""),"20250509_集英社_婚約者に選ばれなかったので、死神さんと運命を変えてみせます！")</f>
        <v>20250509_集英社_婚約者に選ばれなかったので、死神さんと運命を変えてみせます！</v>
      </c>
      <c r="T3325" s="152" t="str">
        <f>IFERROR(__xludf.DUMMYFUNCTION("""COMPUTED_VALUE"""),"格納済み")</f>
        <v>格納済み</v>
      </c>
      <c r="U3325" s="9" t="str">
        <f>IFERROR(__xludf.DUMMYFUNCTION("""COMPUTED_VALUE"""),"(C)リゼ倉田・まるねこ／集英社")</f>
        <v>(C)リゼ倉田・まるねこ／集英社</v>
      </c>
      <c r="V3325" s="8" t="str">
        <f>IFERROR(__xludf.DUMMYFUNCTION("""COMPUTED_VALUE"""),"侯爵令嬢マノアは、婚約者と王宮のお茶会に参加していた。楽しいひと時を過ごすはずが、お茶を口にした瞬間、突然息苦しさに襲われ倒れてしまう。意識を失う直前、彼女の目に映ったのは別の令嬢を助けに駆け寄る婚約者の姿だった。マノアが目を覚ますと、目の前に死神が現れ「魂をもらいにきた」と言い――!?")</f>
        <v>侯爵令嬢マノアは、婚約者と王宮のお茶会に参加していた。楽しいひと時を過ごすはずが、お茶を口にした瞬間、突然息苦しさに襲われ倒れてしまう。意識を失う直前、彼女の目に映ったのは別の令嬢を助けに駆け寄る婚約者の姿だった。マノアが目を覚ますと、目の前に死神が現れ「魂をもらいにきた」と言い――!?</v>
      </c>
      <c r="W3325" s="8" t="str">
        <f>IFERROR(__xludf.DUMMYFUNCTION("""COMPUTED_VALUE"""),"#REF!")</f>
        <v>#REF!</v>
      </c>
      <c r="X3325" s="8" t="str">
        <f>IFERROR(__xludf.DUMMYFUNCTION("""COMPUTED_VALUE"""),"有")</f>
        <v>有</v>
      </c>
      <c r="Y3325" s="8" t="str">
        <f>IFERROR(__xludf.DUMMYFUNCTION("""COMPUTED_VALUE"""),"2025/6/30まで1巻無料")</f>
        <v>2025/6/30まで1巻無料</v>
      </c>
      <c r="Z3325" s="7"/>
      <c r="AA3325" s="7"/>
      <c r="AB3325" s="7"/>
    </row>
    <row r="3326" ht="15.75" customHeight="1">
      <c r="A3326" s="153">
        <f>IFERROR(__xludf.DUMMYFUNCTION("""COMPUTED_VALUE"""),5599.0)</f>
        <v>5599</v>
      </c>
      <c r="B3326" s="152" t="str">
        <f>IFERROR(__xludf.DUMMYFUNCTION("""COMPUTED_VALUE"""),"確定")</f>
        <v>確定</v>
      </c>
      <c r="C3326" s="154">
        <f>IFERROR(__xludf.DUMMYFUNCTION("""COMPUTED_VALUE"""),45789.0)</f>
        <v>45789</v>
      </c>
      <c r="D3326" s="154">
        <f>IFERROR(__xludf.DUMMYFUNCTION("""COMPUTED_VALUE"""),45790.0)</f>
        <v>45790</v>
      </c>
      <c r="E3326" s="153">
        <f>IFERROR(__xludf.DUMMYFUNCTION("""COMPUTED_VALUE"""),308958.0)</f>
        <v>308958</v>
      </c>
      <c r="F3326" s="152" t="str">
        <f>IFERROR(__xludf.DUMMYFUNCTION("""COMPUTED_VALUE"""),"キミはボクのトリコ")</f>
        <v>キミはボクのトリコ</v>
      </c>
      <c r="G3326" s="153">
        <f>IFERROR(__xludf.DUMMYFUNCTION("""COMPUTED_VALUE"""),1.0)</f>
        <v>1</v>
      </c>
      <c r="H3326" s="152" t="str">
        <f>IFERROR(__xludf.DUMMYFUNCTION("""COMPUTED_VALUE"""),"藤衣里采")</f>
        <v>藤衣里采</v>
      </c>
      <c r="I3326" s="152" t="str">
        <f>IFERROR(__xludf.DUMMYFUNCTION("""COMPUTED_VALUE"""),"BLマンガ")</f>
        <v>BLマンガ</v>
      </c>
      <c r="J3326" s="157"/>
      <c r="K3326" s="152" t="str">
        <f>IFERROR(__xludf.DUMMYFUNCTION("""COMPUTED_VALUE"""),"Ficus")</f>
        <v>Ficus</v>
      </c>
      <c r="L3326" s="152" t="str">
        <f>IFERROR(__xludf.DUMMYFUNCTION("""COMPUTED_VALUE"""),"シーモアコミックス")</f>
        <v>シーモアコミックス</v>
      </c>
      <c r="M3326" s="154">
        <f>IFERROR(__xludf.DUMMYFUNCTION("""COMPUTED_VALUE"""),45822.0)</f>
        <v>45822</v>
      </c>
      <c r="N3326" s="199">
        <f>IFERROR(__xludf.DUMMYFUNCTION("""COMPUTED_VALUE"""),45883.0)</f>
        <v>45883</v>
      </c>
      <c r="O3326" s="152"/>
      <c r="P3326" s="164" t="str">
        <f>IFERROR(__xludf.DUMMYFUNCTION("""COMPUTED_VALUE"""),"可")</f>
        <v>可</v>
      </c>
      <c r="Q3326" s="166"/>
      <c r="R3326" s="152"/>
      <c r="S3326" s="152" t="str">
        <f>IFERROR(__xludf.DUMMYFUNCTION("""COMPUTED_VALUE"""),"20250512_シーモアコミックス_キミはボクのトリコ")</f>
        <v>20250512_シーモアコミックス_キミはボクのトリコ</v>
      </c>
      <c r="T3326" s="152" t="str">
        <f>IFERROR(__xludf.DUMMYFUNCTION("""COMPUTED_VALUE"""),"格納済み")</f>
        <v>格納済み</v>
      </c>
      <c r="U3326" s="9" t="str">
        <f>IFERROR(__xludf.DUMMYFUNCTION("""COMPUTED_VALUE"""),"(C) 藤衣里采/シーモアコミックス")</f>
        <v>(C) 藤衣里采/シーモアコミックス</v>
      </c>
      <c r="V3326" s="8" t="str">
        <f>IFERROR(__xludf.DUMMYFUNCTION("""COMPUTED_VALUE"""),"妖艶なバンドマンとピュア大学生、刺激的なバックステージラブ☆
大学生の智也のあこがれは、人気バンドのベーシスト・真澄さん。ある日のライブ中、真澄さんからピックを渡される神ファンサを受けてしまった! しかも裏には電話番号が書いてあって…!? 【フィカス】")</f>
        <v>妖艶なバンドマンとピュア大学生、刺激的なバックステージラブ☆
大学生の智也のあこがれは、人気バンドのベーシスト・真澄さん。ある日のライブ中、真澄さんからピックを渡される神ファンサを受けてしまった! しかも裏には電話番号が書いてあって…!? 【フィカス】</v>
      </c>
      <c r="W3326" s="8" t="str">
        <f>IFERROR(__xludf.DUMMYFUNCTION("""COMPUTED_VALUE"""),"#REF!")</f>
        <v>#REF!</v>
      </c>
      <c r="X3326" s="8" t="str">
        <f>IFERROR(__xludf.DUMMYFUNCTION("""COMPUTED_VALUE"""),"有")</f>
        <v>有</v>
      </c>
      <c r="Y3326" s="8" t="str">
        <f>IFERROR(__xludf.DUMMYFUNCTION("""COMPUTED_VALUE"""),"P8まで")</f>
        <v>P8まで</v>
      </c>
      <c r="Z3326" s="7"/>
      <c r="AA3326" s="7"/>
      <c r="AB3326" s="7"/>
    </row>
    <row r="3327" ht="15.75" customHeight="1">
      <c r="A3327" s="153">
        <f>IFERROR(__xludf.DUMMYFUNCTION("""COMPUTED_VALUE"""),5608.0)</f>
        <v>5608</v>
      </c>
      <c r="B3327" s="152" t="str">
        <f>IFERROR(__xludf.DUMMYFUNCTION("""COMPUTED_VALUE"""),"確定")</f>
        <v>確定</v>
      </c>
      <c r="C3327" s="154">
        <f>IFERROR(__xludf.DUMMYFUNCTION("""COMPUTED_VALUE"""),45790.0)</f>
        <v>45790</v>
      </c>
      <c r="D3327" s="154">
        <f>IFERROR(__xludf.DUMMYFUNCTION("""COMPUTED_VALUE"""),45790.0)</f>
        <v>45790</v>
      </c>
      <c r="E3327" s="153">
        <f>IFERROR(__xludf.DUMMYFUNCTION("""COMPUTED_VALUE"""),294306.0)</f>
        <v>294306</v>
      </c>
      <c r="F3327" s="152" t="str">
        <f>IFERROR(__xludf.DUMMYFUNCTION("""COMPUTED_VALUE"""),"嘘つきカノジョの影盛さん(フルカラー)")</f>
        <v>嘘つきカノジョの影盛さん(フルカラー)</v>
      </c>
      <c r="G3327" s="152" t="str">
        <f>IFERROR(__xludf.DUMMYFUNCTION("""COMPUTED_VALUE"""),"1～3")</f>
        <v>1～3</v>
      </c>
      <c r="H3327" s="152" t="str">
        <f>IFERROR(__xludf.DUMMYFUNCTION("""COMPUTED_VALUE"""),"倉澤もこ,小西カツトシ,木島祥尭")</f>
        <v>倉澤もこ,小西カツトシ,木島祥尭</v>
      </c>
      <c r="I3327" s="152" t="str">
        <f>IFERROR(__xludf.DUMMYFUNCTION("""COMPUTED_VALUE"""),"青年マンガ")</f>
        <v>青年マンガ</v>
      </c>
      <c r="J3327" s="157"/>
      <c r="K3327" s="152" t="str">
        <f>IFERROR(__xludf.DUMMYFUNCTION("""COMPUTED_VALUE"""),"トレモア・スプラッシュ,トレモアcollection")</f>
        <v>トレモア・スプラッシュ,トレモアcollection</v>
      </c>
      <c r="L3327" s="152" t="str">
        <f>IFERROR(__xludf.DUMMYFUNCTION("""COMPUTED_VALUE"""),"シーモアコミックス（トレモア）")</f>
        <v>シーモアコミックス（トレモア）</v>
      </c>
      <c r="M3327" s="154">
        <f>IFERROR(__xludf.DUMMYFUNCTION("""COMPUTED_VALUE"""),45835.0)</f>
        <v>45835</v>
      </c>
      <c r="N3327" s="199">
        <f>IFERROR(__xludf.DUMMYFUNCTION("""COMPUTED_VALUE"""),45988.0)</f>
        <v>45988</v>
      </c>
      <c r="O3327" s="152"/>
      <c r="P3327" s="190" t="str">
        <f>IFERROR(__xludf.DUMMYFUNCTION("""COMPUTED_VALUE"""),"可")</f>
        <v>可</v>
      </c>
      <c r="Q3327" s="190"/>
      <c r="R3327" s="152"/>
      <c r="S3327" s="152" t="str">
        <f>IFERROR(__xludf.DUMMYFUNCTION("""COMPUTED_VALUE"""),"20250513_シーモアコミックス_嘘つきカノジョの影盛さん(フルカラー)")</f>
        <v>20250513_シーモアコミックス_嘘つきカノジョの影盛さん(フルカラー)</v>
      </c>
      <c r="T3327" s="152" t="str">
        <f>IFERROR(__xludf.DUMMYFUNCTION("""COMPUTED_VALUE"""),"格納済み")</f>
        <v>格納済み</v>
      </c>
      <c r="U3327" s="9" t="str">
        <f>IFERROR(__xludf.DUMMYFUNCTION("""COMPUTED_VALUE"""),"(C) 倉澤もこ/小西カツトシ/木島祥尭/シーモアコミックス")</f>
        <v>(C) 倉澤もこ/小西カツトシ/木島祥尭/シーモアコミックス</v>
      </c>
      <c r="V3327" s="8"/>
      <c r="W3327" s="8"/>
      <c r="X3327" s="8" t="str">
        <f>IFERROR(__xludf.DUMMYFUNCTION("""COMPUTED_VALUE"""),"有")</f>
        <v>有</v>
      </c>
      <c r="Y3327" s="8" t="str">
        <f>IFERROR(__xludf.DUMMYFUNCTION("""COMPUTED_VALUE"""),"P10まで")</f>
        <v>P10まで</v>
      </c>
      <c r="Z3327" s="7"/>
      <c r="AA3327" s="7"/>
      <c r="AB3327" s="7"/>
    </row>
    <row r="3328" ht="15.75" customHeight="1">
      <c r="A3328" s="153">
        <f>IFERROR(__xludf.DUMMYFUNCTION("""COMPUTED_VALUE"""),5609.0)</f>
        <v>5609</v>
      </c>
      <c r="B3328" s="152" t="str">
        <f>IFERROR(__xludf.DUMMYFUNCTION("""COMPUTED_VALUE"""),"確定")</f>
        <v>確定</v>
      </c>
      <c r="C3328" s="154">
        <f>IFERROR(__xludf.DUMMYFUNCTION("""COMPUTED_VALUE"""),45790.0)</f>
        <v>45790</v>
      </c>
      <c r="D3328" s="154">
        <f>IFERROR(__xludf.DUMMYFUNCTION("""COMPUTED_VALUE"""),45790.0)</f>
        <v>45790</v>
      </c>
      <c r="E3328" s="153">
        <f>IFERROR(__xludf.DUMMYFUNCTION("""COMPUTED_VALUE"""),296470.0)</f>
        <v>296470</v>
      </c>
      <c r="F3328" s="152" t="str">
        <f>IFERROR(__xludf.DUMMYFUNCTION("""COMPUTED_VALUE"""),"僕の吸血姫を笑わせたい")</f>
        <v>僕の吸血姫を笑わせたい</v>
      </c>
      <c r="G3328" s="152" t="str">
        <f>IFERROR(__xludf.DUMMYFUNCTION("""COMPUTED_VALUE"""),"1～3")</f>
        <v>1～3</v>
      </c>
      <c r="H3328" s="152" t="str">
        <f>IFERROR(__xludf.DUMMYFUNCTION("""COMPUTED_VALUE"""),"春ねむ,林檎ゆゆ")</f>
        <v>春ねむ,林檎ゆゆ</v>
      </c>
      <c r="I3328" s="152" t="str">
        <f>IFERROR(__xludf.DUMMYFUNCTION("""COMPUTED_VALUE"""),"青年マンガ")</f>
        <v>青年マンガ</v>
      </c>
      <c r="J3328" s="157"/>
      <c r="K3328" s="152" t="str">
        <f>IFERROR(__xludf.DUMMYFUNCTION("""COMPUTED_VALUE"""),"トレモア・スプラッシュ,トレモアcollection")</f>
        <v>トレモア・スプラッシュ,トレモアcollection</v>
      </c>
      <c r="L3328" s="152" t="str">
        <f>IFERROR(__xludf.DUMMYFUNCTION("""COMPUTED_VALUE"""),"シーモアコミックス（トレモア）")</f>
        <v>シーモアコミックス（トレモア）</v>
      </c>
      <c r="M3328" s="154">
        <f>IFERROR(__xludf.DUMMYFUNCTION("""COMPUTED_VALUE"""),45835.0)</f>
        <v>45835</v>
      </c>
      <c r="N3328" s="199">
        <f>IFERROR(__xludf.DUMMYFUNCTION("""COMPUTED_VALUE"""),45988.0)</f>
        <v>45988</v>
      </c>
      <c r="O3328" s="152"/>
      <c r="P3328" s="190" t="str">
        <f>IFERROR(__xludf.DUMMYFUNCTION("""COMPUTED_VALUE"""),"可")</f>
        <v>可</v>
      </c>
      <c r="Q3328" s="190"/>
      <c r="R3328" s="152"/>
      <c r="S3328" s="152" t="str">
        <f>IFERROR(__xludf.DUMMYFUNCTION("""COMPUTED_VALUE"""),"20250513_シーモアコミックス_僕の吸血姫を笑わせたい")</f>
        <v>20250513_シーモアコミックス_僕の吸血姫を笑わせたい</v>
      </c>
      <c r="T3328" s="152" t="str">
        <f>IFERROR(__xludf.DUMMYFUNCTION("""COMPUTED_VALUE"""),"格納済み")</f>
        <v>格納済み</v>
      </c>
      <c r="U3328" s="9" t="str">
        <f>IFERROR(__xludf.DUMMYFUNCTION("""COMPUTED_VALUE"""),"(C) 春ねむ/林檎ゆゆ/シーモアコミックス")</f>
        <v>(C) 春ねむ/林檎ゆゆ/シーモアコミックス</v>
      </c>
      <c r="V3328" s="8"/>
      <c r="W3328" s="8"/>
      <c r="X3328" s="8" t="str">
        <f>IFERROR(__xludf.DUMMYFUNCTION("""COMPUTED_VALUE"""),"有")</f>
        <v>有</v>
      </c>
      <c r="Y3328" s="8" t="str">
        <f>IFERROR(__xludf.DUMMYFUNCTION("""COMPUTED_VALUE"""),"P10まで")</f>
        <v>P10まで</v>
      </c>
      <c r="Z3328" s="7"/>
      <c r="AA3328" s="7"/>
      <c r="AB3328" s="7"/>
    </row>
    <row r="3329" ht="15.75" customHeight="1">
      <c r="A3329" s="26">
        <f>IFERROR(__xludf.DUMMYFUNCTION("""COMPUTED_VALUE"""),5086.0)</f>
        <v>5086</v>
      </c>
      <c r="B3329" s="22" t="str">
        <f>IFERROR(__xludf.DUMMYFUNCTION("""COMPUTED_VALUE"""),"確定")</f>
        <v>確定</v>
      </c>
      <c r="C3329" s="28">
        <f>IFERROR(__xludf.DUMMYFUNCTION("""COMPUTED_VALUE"""),45713.0)</f>
        <v>45713</v>
      </c>
      <c r="D3329" s="28">
        <f>IFERROR(__xludf.DUMMYFUNCTION("""COMPUTED_VALUE"""),45798.0)</f>
        <v>45798</v>
      </c>
      <c r="E3329" s="26">
        <f>IFERROR(__xludf.DUMMYFUNCTION("""COMPUTED_VALUE"""),327452.0)</f>
        <v>327452</v>
      </c>
      <c r="F3329" s="22" t="str">
        <f>IFERROR(__xludf.DUMMYFUNCTION("""COMPUTED_VALUE"""),"初恋と約束")</f>
        <v>初恋と約束</v>
      </c>
      <c r="G3329" s="20">
        <f>IFERROR(__xludf.DUMMYFUNCTION("""COMPUTED_VALUE"""),1.0)</f>
        <v>1</v>
      </c>
      <c r="H3329" s="22" t="str">
        <f>IFERROR(__xludf.DUMMYFUNCTION("""COMPUTED_VALUE"""),"白良木羅々 原作：当麻リコ")</f>
        <v>白良木羅々 原作：当麻リコ</v>
      </c>
      <c r="I3329" s="22" t="str">
        <f>IFERROR(__xludf.DUMMYFUNCTION("""COMPUTED_VALUE"""),"少女")</f>
        <v>少女</v>
      </c>
      <c r="J3329" s="22"/>
      <c r="K3329" s="22" t="str">
        <f>IFERROR(__xludf.DUMMYFUNCTION("""COMPUTED_VALUE"""),"ZERO-SUMコミックス")</f>
        <v>ZERO-SUMコミックス</v>
      </c>
      <c r="L3329" s="22" t="str">
        <f>IFERROR(__xludf.DUMMYFUNCTION("""COMPUTED_VALUE"""),"一迅社")</f>
        <v>一迅社</v>
      </c>
      <c r="M3329" s="33">
        <f>IFERROR(__xludf.DUMMYFUNCTION("""COMPUTED_VALUE"""),45839.0)</f>
        <v>45839</v>
      </c>
      <c r="N3329" s="33">
        <f>IFERROR(__xludf.DUMMYFUNCTION("""COMPUTED_VALUE"""),45869.0)</f>
        <v>45869</v>
      </c>
      <c r="O3329" s="20"/>
      <c r="P3329" s="32" t="str">
        <f>IFERROR(__xludf.DUMMYFUNCTION("""COMPUTED_VALUE"""),"否")</f>
        <v>否</v>
      </c>
      <c r="Q3329" s="30" t="str">
        <f>IFERROR(__xludf.DUMMYFUNCTION("""COMPUTED_VALUE"""),"虐げられ乙女の幸せな嫁入り アンソロジーコミック: 3からの単話化&lt;BR&gt;3～42ページご使用ください")</f>
        <v>虐げられ乙女の幸せな嫁入り アンソロジーコミック: 3からの単話化&lt;BR&gt;3～42ページご使用ください</v>
      </c>
      <c r="R3329" s="22"/>
      <c r="S3329" s="22" t="str">
        <f>IFERROR(__xludf.DUMMYFUNCTION("""COMPUTED_VALUE"""),"20250521_一迅社_初恋と約束")</f>
        <v>20250521_一迅社_初恋と約束</v>
      </c>
      <c r="T3329" s="22" t="str">
        <f>IFERROR(__xludf.DUMMYFUNCTION("""COMPUTED_VALUE"""),"格納済み")</f>
        <v>格納済み</v>
      </c>
      <c r="U3329" s="9" t="str">
        <f>IFERROR(__xludf.DUMMYFUNCTION("""COMPUTED_VALUE"""),"（C）白良木羅々・当麻リコ／一迅社")</f>
        <v>（C）白良木羅々・当麻リコ／一迅社</v>
      </c>
      <c r="V3329" s="8"/>
      <c r="W3329" s="8"/>
      <c r="X3329" s="8" t="str">
        <f>IFERROR(__xludf.DUMMYFUNCTION("""COMPUTED_VALUE"""),"有")</f>
        <v>有</v>
      </c>
      <c r="Y3329" s="8" t="str">
        <f>IFERROR(__xludf.DUMMYFUNCTION("""COMPUTED_VALUE"""),"P8まで")</f>
        <v>P8まで</v>
      </c>
      <c r="Z3329" s="7"/>
      <c r="AA3329" s="7"/>
      <c r="AB3329" s="7"/>
    </row>
    <row r="3330" ht="15.75" customHeight="1">
      <c r="A3330" s="26">
        <f>IFERROR(__xludf.DUMMYFUNCTION("""COMPUTED_VALUE"""),5087.0)</f>
        <v>5087</v>
      </c>
      <c r="B3330" s="22" t="str">
        <f>IFERROR(__xludf.DUMMYFUNCTION("""COMPUTED_VALUE"""),"確定")</f>
        <v>確定</v>
      </c>
      <c r="C3330" s="28">
        <f>IFERROR(__xludf.DUMMYFUNCTION("""COMPUTED_VALUE"""),45713.0)</f>
        <v>45713</v>
      </c>
      <c r="D3330" s="28">
        <f>IFERROR(__xludf.DUMMYFUNCTION("""COMPUTED_VALUE"""),45798.0)</f>
        <v>45798</v>
      </c>
      <c r="E3330" s="26">
        <f>IFERROR(__xludf.DUMMYFUNCTION("""COMPUTED_VALUE"""),327454.0)</f>
        <v>327454</v>
      </c>
      <c r="F3330" s="22" t="str">
        <f>IFERROR(__xludf.DUMMYFUNCTION("""COMPUTED_VALUE"""),"心恋し、おもひでの君")</f>
        <v>心恋し、おもひでの君</v>
      </c>
      <c r="G3330" s="20">
        <f>IFERROR(__xludf.DUMMYFUNCTION("""COMPUTED_VALUE"""),1.0)</f>
        <v>1</v>
      </c>
      <c r="H3330" s="22" t="str">
        <f>IFERROR(__xludf.DUMMYFUNCTION("""COMPUTED_VALUE"""),"sawaco 原作：和泉")</f>
        <v>sawaco 原作：和泉</v>
      </c>
      <c r="I3330" s="22" t="str">
        <f>IFERROR(__xludf.DUMMYFUNCTION("""COMPUTED_VALUE"""),"少女")</f>
        <v>少女</v>
      </c>
      <c r="J3330" s="22"/>
      <c r="K3330" s="22" t="str">
        <f>IFERROR(__xludf.DUMMYFUNCTION("""COMPUTED_VALUE"""),"ZERO-SUMコミックス")</f>
        <v>ZERO-SUMコミックス</v>
      </c>
      <c r="L3330" s="22" t="str">
        <f>IFERROR(__xludf.DUMMYFUNCTION("""COMPUTED_VALUE"""),"一迅社")</f>
        <v>一迅社</v>
      </c>
      <c r="M3330" s="33">
        <f>IFERROR(__xludf.DUMMYFUNCTION("""COMPUTED_VALUE"""),45839.0)</f>
        <v>45839</v>
      </c>
      <c r="N3330" s="33">
        <f>IFERROR(__xludf.DUMMYFUNCTION("""COMPUTED_VALUE"""),45869.0)</f>
        <v>45869</v>
      </c>
      <c r="O3330" s="20"/>
      <c r="P3330" s="32" t="str">
        <f>IFERROR(__xludf.DUMMYFUNCTION("""COMPUTED_VALUE"""),"否")</f>
        <v>否</v>
      </c>
      <c r="Q3330" s="30" t="str">
        <f>IFERROR(__xludf.DUMMYFUNCTION("""COMPUTED_VALUE"""),"虐げられ乙女の幸せな嫁入り アンソロジーコミック: 3からの単話化&lt;BR&gt;43～86ページご使用ください")</f>
        <v>虐げられ乙女の幸せな嫁入り アンソロジーコミック: 3からの単話化&lt;BR&gt;43～86ページご使用ください</v>
      </c>
      <c r="R3330" s="22"/>
      <c r="S3330" s="22" t="str">
        <f>IFERROR(__xludf.DUMMYFUNCTION("""COMPUTED_VALUE"""),"20250521_一迅社_心恋し、おもひでの君")</f>
        <v>20250521_一迅社_心恋し、おもひでの君</v>
      </c>
      <c r="T3330" s="22" t="str">
        <f>IFERROR(__xludf.DUMMYFUNCTION("""COMPUTED_VALUE"""),"格納済み")</f>
        <v>格納済み</v>
      </c>
      <c r="U3330" s="9" t="str">
        <f>IFERROR(__xludf.DUMMYFUNCTION("""COMPUTED_VALUE"""),"（C）sawaco・和泉／一迅社")</f>
        <v>（C）sawaco・和泉／一迅社</v>
      </c>
      <c r="V3330" s="8"/>
      <c r="W3330" s="8"/>
      <c r="X3330" s="8" t="str">
        <f>IFERROR(__xludf.DUMMYFUNCTION("""COMPUTED_VALUE"""),"有")</f>
        <v>有</v>
      </c>
      <c r="Y3330" s="8" t="str">
        <f>IFERROR(__xludf.DUMMYFUNCTION("""COMPUTED_VALUE"""),"P9まで")</f>
        <v>P9まで</v>
      </c>
      <c r="Z3330" s="7"/>
      <c r="AA3330" s="7"/>
      <c r="AB3330" s="7"/>
    </row>
    <row r="3331" ht="15.75" customHeight="1">
      <c r="A3331" s="26">
        <f>IFERROR(__xludf.DUMMYFUNCTION("""COMPUTED_VALUE"""),5088.0)</f>
        <v>5088</v>
      </c>
      <c r="B3331" s="22" t="str">
        <f>IFERROR(__xludf.DUMMYFUNCTION("""COMPUTED_VALUE"""),"確定")</f>
        <v>確定</v>
      </c>
      <c r="C3331" s="28">
        <f>IFERROR(__xludf.DUMMYFUNCTION("""COMPUTED_VALUE"""),45713.0)</f>
        <v>45713</v>
      </c>
      <c r="D3331" s="28">
        <f>IFERROR(__xludf.DUMMYFUNCTION("""COMPUTED_VALUE"""),45798.0)</f>
        <v>45798</v>
      </c>
      <c r="E3331" s="26">
        <f>IFERROR(__xludf.DUMMYFUNCTION("""COMPUTED_VALUE"""),327449.0)</f>
        <v>327449</v>
      </c>
      <c r="F3331" s="22" t="str">
        <f>IFERROR(__xludf.DUMMYFUNCTION("""COMPUTED_VALUE"""),"鳥と少女")</f>
        <v>鳥と少女</v>
      </c>
      <c r="G3331" s="20">
        <f>IFERROR(__xludf.DUMMYFUNCTION("""COMPUTED_VALUE"""),1.0)</f>
        <v>1</v>
      </c>
      <c r="H3331" s="22" t="str">
        <f>IFERROR(__xludf.DUMMYFUNCTION("""COMPUTED_VALUE"""),"ぽんぬ 原作：雨宮小傘")</f>
        <v>ぽんぬ 原作：雨宮小傘</v>
      </c>
      <c r="I3331" s="22" t="str">
        <f>IFERROR(__xludf.DUMMYFUNCTION("""COMPUTED_VALUE"""),"少女")</f>
        <v>少女</v>
      </c>
      <c r="J3331" s="22"/>
      <c r="K3331" s="22" t="str">
        <f>IFERROR(__xludf.DUMMYFUNCTION("""COMPUTED_VALUE"""),"ZERO-SUMコミックス")</f>
        <v>ZERO-SUMコミックス</v>
      </c>
      <c r="L3331" s="22" t="str">
        <f>IFERROR(__xludf.DUMMYFUNCTION("""COMPUTED_VALUE"""),"一迅社")</f>
        <v>一迅社</v>
      </c>
      <c r="M3331" s="33">
        <f>IFERROR(__xludf.DUMMYFUNCTION("""COMPUTED_VALUE"""),45839.0)</f>
        <v>45839</v>
      </c>
      <c r="N3331" s="33">
        <f>IFERROR(__xludf.DUMMYFUNCTION("""COMPUTED_VALUE"""),45869.0)</f>
        <v>45869</v>
      </c>
      <c r="O3331" s="20"/>
      <c r="P3331" s="32" t="str">
        <f>IFERROR(__xludf.DUMMYFUNCTION("""COMPUTED_VALUE"""),"否")</f>
        <v>否</v>
      </c>
      <c r="Q3331" s="30" t="str">
        <f>IFERROR(__xludf.DUMMYFUNCTION("""COMPUTED_VALUE"""),"虐げられ乙女の幸せな嫁入り アンソロジーコミック: 3からの単話化&lt;BR&gt;87～126ページご使用ください")</f>
        <v>虐げられ乙女の幸せな嫁入り アンソロジーコミック: 3からの単話化&lt;BR&gt;87～126ページご使用ください</v>
      </c>
      <c r="R3331" s="22"/>
      <c r="S3331" s="22" t="str">
        <f>IFERROR(__xludf.DUMMYFUNCTION("""COMPUTED_VALUE"""),"20250521_一迅社_鳥と少女")</f>
        <v>20250521_一迅社_鳥と少女</v>
      </c>
      <c r="T3331" s="22" t="str">
        <f>IFERROR(__xludf.DUMMYFUNCTION("""COMPUTED_VALUE"""),"格納済み")</f>
        <v>格納済み</v>
      </c>
      <c r="U3331" s="9" t="str">
        <f>IFERROR(__xludf.DUMMYFUNCTION("""COMPUTED_VALUE"""),"（C）ぽんぬ・雨宮小傘／一迅社")</f>
        <v>（C）ぽんぬ・雨宮小傘／一迅社</v>
      </c>
      <c r="V3331" s="8"/>
      <c r="W3331" s="8"/>
      <c r="X3331" s="8" t="str">
        <f>IFERROR(__xludf.DUMMYFUNCTION("""COMPUTED_VALUE"""),"有")</f>
        <v>有</v>
      </c>
      <c r="Y3331" s="8" t="str">
        <f>IFERROR(__xludf.DUMMYFUNCTION("""COMPUTED_VALUE"""),"P8まで")</f>
        <v>P8まで</v>
      </c>
      <c r="Z3331" s="7"/>
      <c r="AA3331" s="7"/>
      <c r="AB3331" s="7"/>
    </row>
    <row r="3332" ht="15.75" customHeight="1">
      <c r="A3332" s="26">
        <f>IFERROR(__xludf.DUMMYFUNCTION("""COMPUTED_VALUE"""),5089.0)</f>
        <v>5089</v>
      </c>
      <c r="B3332" s="22" t="str">
        <f>IFERROR(__xludf.DUMMYFUNCTION("""COMPUTED_VALUE"""),"確定")</f>
        <v>確定</v>
      </c>
      <c r="C3332" s="28">
        <f>IFERROR(__xludf.DUMMYFUNCTION("""COMPUTED_VALUE"""),45713.0)</f>
        <v>45713</v>
      </c>
      <c r="D3332" s="28">
        <f>IFERROR(__xludf.DUMMYFUNCTION("""COMPUTED_VALUE"""),45798.0)</f>
        <v>45798</v>
      </c>
      <c r="E3332" s="26">
        <f>IFERROR(__xludf.DUMMYFUNCTION("""COMPUTED_VALUE"""),327453.0)</f>
        <v>327453</v>
      </c>
      <c r="F3332" s="22" t="str">
        <f>IFERROR(__xludf.DUMMYFUNCTION("""COMPUTED_VALUE"""),"君の笑顔が見たいから")</f>
        <v>君の笑顔が見たいから</v>
      </c>
      <c r="G3332" s="20">
        <f>IFERROR(__xludf.DUMMYFUNCTION("""COMPUTED_VALUE"""),1.0)</f>
        <v>1</v>
      </c>
      <c r="H3332" s="22" t="str">
        <f>IFERROR(__xludf.DUMMYFUNCTION("""COMPUTED_VALUE"""),"うき太郎 原作：まきぶろ")</f>
        <v>うき太郎 原作：まきぶろ</v>
      </c>
      <c r="I3332" s="22" t="str">
        <f>IFERROR(__xludf.DUMMYFUNCTION("""COMPUTED_VALUE"""),"少女")</f>
        <v>少女</v>
      </c>
      <c r="J3332" s="22"/>
      <c r="K3332" s="22" t="str">
        <f>IFERROR(__xludf.DUMMYFUNCTION("""COMPUTED_VALUE"""),"ZERO-SUMコミックス")</f>
        <v>ZERO-SUMコミックス</v>
      </c>
      <c r="L3332" s="22" t="str">
        <f>IFERROR(__xludf.DUMMYFUNCTION("""COMPUTED_VALUE"""),"一迅社")</f>
        <v>一迅社</v>
      </c>
      <c r="M3332" s="33">
        <f>IFERROR(__xludf.DUMMYFUNCTION("""COMPUTED_VALUE"""),45839.0)</f>
        <v>45839</v>
      </c>
      <c r="N3332" s="33">
        <f>IFERROR(__xludf.DUMMYFUNCTION("""COMPUTED_VALUE"""),45869.0)</f>
        <v>45869</v>
      </c>
      <c r="O3332" s="20"/>
      <c r="P3332" s="32" t="str">
        <f>IFERROR(__xludf.DUMMYFUNCTION("""COMPUTED_VALUE"""),"否")</f>
        <v>否</v>
      </c>
      <c r="Q3332" s="30" t="str">
        <f>IFERROR(__xludf.DUMMYFUNCTION("""COMPUTED_VALUE"""),"虐げられ乙女の幸せな嫁入り アンソロジーコミック: 3からの単話化&lt;BR&gt;127～160ページご使用ください")</f>
        <v>虐げられ乙女の幸せな嫁入り アンソロジーコミック: 3からの単話化&lt;BR&gt;127～160ページご使用ください</v>
      </c>
      <c r="R3332" s="22"/>
      <c r="S3332" s="22" t="str">
        <f>IFERROR(__xludf.DUMMYFUNCTION("""COMPUTED_VALUE"""),"20250521_一迅社_君の笑顔が見たいから")</f>
        <v>20250521_一迅社_君の笑顔が見たいから</v>
      </c>
      <c r="T3332" s="22" t="str">
        <f>IFERROR(__xludf.DUMMYFUNCTION("""COMPUTED_VALUE"""),"格納済み")</f>
        <v>格納済み</v>
      </c>
      <c r="U3332" s="9" t="str">
        <f>IFERROR(__xludf.DUMMYFUNCTION("""COMPUTED_VALUE"""),"（C）うき太郎・まきぶろ／一迅社")</f>
        <v>（C）うき太郎・まきぶろ／一迅社</v>
      </c>
      <c r="V3332" s="8"/>
      <c r="W3332" s="8"/>
      <c r="X3332" s="8" t="str">
        <f>IFERROR(__xludf.DUMMYFUNCTION("""COMPUTED_VALUE"""),"有")</f>
        <v>有</v>
      </c>
      <c r="Y3332" s="8" t="str">
        <f>IFERROR(__xludf.DUMMYFUNCTION("""COMPUTED_VALUE"""),"P7まで")</f>
        <v>P7まで</v>
      </c>
      <c r="Z3332" s="7"/>
      <c r="AA3332" s="7"/>
      <c r="AB3332" s="7"/>
    </row>
    <row r="3333" ht="15.75" customHeight="1">
      <c r="A3333" s="26">
        <f>IFERROR(__xludf.DUMMYFUNCTION("""COMPUTED_VALUE"""),5090.0)</f>
        <v>5090</v>
      </c>
      <c r="B3333" s="22" t="str">
        <f>IFERROR(__xludf.DUMMYFUNCTION("""COMPUTED_VALUE"""),"確定")</f>
        <v>確定</v>
      </c>
      <c r="C3333" s="28">
        <f>IFERROR(__xludf.DUMMYFUNCTION("""COMPUTED_VALUE"""),45713.0)</f>
        <v>45713</v>
      </c>
      <c r="D3333" s="28">
        <f>IFERROR(__xludf.DUMMYFUNCTION("""COMPUTED_VALUE"""),45798.0)</f>
        <v>45798</v>
      </c>
      <c r="E3333" s="26">
        <f>IFERROR(__xludf.DUMMYFUNCTION("""COMPUTED_VALUE"""),327451.0)</f>
        <v>327451</v>
      </c>
      <c r="F3333" s="22" t="str">
        <f>IFERROR(__xludf.DUMMYFUNCTION("""COMPUTED_VALUE"""),"咲けぬ桜花の華嫁は不器用な雲雀に愛される")</f>
        <v>咲けぬ桜花の華嫁は不器用な雲雀に愛される</v>
      </c>
      <c r="G3333" s="20">
        <f>IFERROR(__xludf.DUMMYFUNCTION("""COMPUTED_VALUE"""),1.0)</f>
        <v>1</v>
      </c>
      <c r="H3333" s="22" t="str">
        <f>IFERROR(__xludf.DUMMYFUNCTION("""COMPUTED_VALUE"""),"羽おり 原作：道草家守")</f>
        <v>羽おり 原作：道草家守</v>
      </c>
      <c r="I3333" s="22" t="str">
        <f>IFERROR(__xludf.DUMMYFUNCTION("""COMPUTED_VALUE"""),"少女")</f>
        <v>少女</v>
      </c>
      <c r="J3333" s="22"/>
      <c r="K3333" s="22" t="str">
        <f>IFERROR(__xludf.DUMMYFUNCTION("""COMPUTED_VALUE"""),"ZERO-SUMコミックス")</f>
        <v>ZERO-SUMコミックス</v>
      </c>
      <c r="L3333" s="22" t="str">
        <f>IFERROR(__xludf.DUMMYFUNCTION("""COMPUTED_VALUE"""),"一迅社")</f>
        <v>一迅社</v>
      </c>
      <c r="M3333" s="33">
        <f>IFERROR(__xludf.DUMMYFUNCTION("""COMPUTED_VALUE"""),45839.0)</f>
        <v>45839</v>
      </c>
      <c r="N3333" s="33">
        <f>IFERROR(__xludf.DUMMYFUNCTION("""COMPUTED_VALUE"""),45869.0)</f>
        <v>45869</v>
      </c>
      <c r="O3333" s="20"/>
      <c r="P3333" s="32" t="str">
        <f>IFERROR(__xludf.DUMMYFUNCTION("""COMPUTED_VALUE"""),"否")</f>
        <v>否</v>
      </c>
      <c r="Q3333" s="30" t="str">
        <f>IFERROR(__xludf.DUMMYFUNCTION("""COMPUTED_VALUE"""),"虐げられ乙女の幸せな嫁入り アンソロジーコミック: 3からの単話化&lt;BR&gt;161～ご使用ください")</f>
        <v>虐げられ乙女の幸せな嫁入り アンソロジーコミック: 3からの単話化&lt;BR&gt;161～ご使用ください</v>
      </c>
      <c r="R3333" s="22"/>
      <c r="S3333" s="22" t="str">
        <f>IFERROR(__xludf.DUMMYFUNCTION("""COMPUTED_VALUE"""),"20250521_一迅社_咲けぬ桜花の華嫁は不器用な雲雀に愛される")</f>
        <v>20250521_一迅社_咲けぬ桜花の華嫁は不器用な雲雀に愛される</v>
      </c>
      <c r="T3333" s="22" t="str">
        <f>IFERROR(__xludf.DUMMYFUNCTION("""COMPUTED_VALUE"""),"格納済み")</f>
        <v>格納済み</v>
      </c>
      <c r="U3333" s="9" t="str">
        <f>IFERROR(__xludf.DUMMYFUNCTION("""COMPUTED_VALUE"""),"（C）羽おり・道草家守／一迅社")</f>
        <v>（C）羽おり・道草家守／一迅社</v>
      </c>
      <c r="V3333" s="8"/>
      <c r="W3333" s="8"/>
      <c r="X3333" s="8" t="str">
        <f>IFERROR(__xludf.DUMMYFUNCTION("""COMPUTED_VALUE"""),"有")</f>
        <v>有</v>
      </c>
      <c r="Y3333" s="8" t="str">
        <f>IFERROR(__xludf.DUMMYFUNCTION("""COMPUTED_VALUE"""),"P9まで")</f>
        <v>P9まで</v>
      </c>
      <c r="Z3333" s="7"/>
      <c r="AA3333" s="7"/>
      <c r="AB3333" s="7"/>
    </row>
    <row r="3334" ht="15.75" customHeight="1">
      <c r="A3334" s="26">
        <f>IFERROR(__xludf.DUMMYFUNCTION("""COMPUTED_VALUE"""),5231.0)</f>
        <v>5231</v>
      </c>
      <c r="B3334" s="22" t="str">
        <f>IFERROR(__xludf.DUMMYFUNCTION("""COMPUTED_VALUE"""),"確定")</f>
        <v>確定</v>
      </c>
      <c r="C3334" s="28">
        <f>IFERROR(__xludf.DUMMYFUNCTION("""COMPUTED_VALUE"""),45728.0)</f>
        <v>45728</v>
      </c>
      <c r="D3334" s="28">
        <f>IFERROR(__xludf.DUMMYFUNCTION("""COMPUTED_VALUE"""),45796.0)</f>
        <v>45796</v>
      </c>
      <c r="E3334" s="26">
        <f>IFERROR(__xludf.DUMMYFUNCTION("""COMPUTED_VALUE"""),326581.0)</f>
        <v>326581</v>
      </c>
      <c r="F3334" s="22" t="str">
        <f>IFERROR(__xludf.DUMMYFUNCTION("""COMPUTED_VALUE"""),"予言された悪役令嬢は小鳥と謳う ～未来を知る専属執事に「君を救う」と言われました～ 分冊版")</f>
        <v>予言された悪役令嬢は小鳥と謳う ～未来を知る専属執事に「君を救う」と言われました～ 分冊版</v>
      </c>
      <c r="G3334" s="20" t="str">
        <f>IFERROR(__xludf.DUMMYFUNCTION("""COMPUTED_VALUE"""),"1～5")</f>
        <v>1～5</v>
      </c>
      <c r="H3334" s="22" t="str">
        <f>IFERROR(__xludf.DUMMYFUNCTION("""COMPUTED_VALUE"""),"原作：吉高花 漫画：maco キャラクター原案：氷堂れん")</f>
        <v>原作：吉高花 漫画：maco キャラクター原案：氷堂れん</v>
      </c>
      <c r="I3334" s="22" t="str">
        <f>IFERROR(__xludf.DUMMYFUNCTION("""COMPUTED_VALUE"""),"女性")</f>
        <v>女性</v>
      </c>
      <c r="J3334" s="22"/>
      <c r="K3334" s="22" t="str">
        <f>IFERROR(__xludf.DUMMYFUNCTION("""COMPUTED_VALUE"""),"水曜日はまったりダッシュエックスコミック")</f>
        <v>水曜日はまったりダッシュエックスコミック</v>
      </c>
      <c r="L3334" s="22" t="str">
        <f>IFERROR(__xludf.DUMMYFUNCTION("""COMPUTED_VALUE"""),"集英社")</f>
        <v>集英社</v>
      </c>
      <c r="M3334" s="33">
        <f>IFERROR(__xludf.DUMMYFUNCTION("""COMPUTED_VALUE"""),45818.0)</f>
        <v>45818</v>
      </c>
      <c r="N3334" s="33">
        <f>IFERROR(__xludf.DUMMYFUNCTION("""COMPUTED_VALUE"""),45878.0)</f>
        <v>45878</v>
      </c>
      <c r="O3334" s="20"/>
      <c r="P3334" s="32" t="str">
        <f>IFERROR(__xludf.DUMMYFUNCTION("""COMPUTED_VALUE"""),"否")</f>
        <v>否</v>
      </c>
      <c r="Q3334" s="30"/>
      <c r="R3334" s="22" t="str">
        <f>IFERROR(__xludf.DUMMYFUNCTION("""COMPUTED_VALUE"""),"コミットNG")</f>
        <v>コミットNG</v>
      </c>
      <c r="S3334" s="22" t="str">
        <f>IFERROR(__xludf.DUMMYFUNCTION("""COMPUTED_VALUE"""),"20250519_集英社_予言された悪役令嬢は小鳥と謳う")</f>
        <v>20250519_集英社_予言された悪役令嬢は小鳥と謳う</v>
      </c>
      <c r="T3334" s="22" t="str">
        <f>IFERROR(__xludf.DUMMYFUNCTION("""COMPUTED_VALUE"""),"格納済み")</f>
        <v>格納済み</v>
      </c>
      <c r="U3334" s="9" t="str">
        <f>IFERROR(__xludf.DUMMYFUNCTION("""COMPUTED_VALUE"""),"(c)吉高花・maco・氷堂れん／集英社")</f>
        <v>(c)吉高花・maco・氷堂れん／集英社</v>
      </c>
      <c r="V3334" s="8" t="str">
        <f>IFERROR(__xludf.DUMMYFUNCTION("""COMPUTED_VALUE"""),"公爵令嬢アスタリスクはある日突然、平民の男ギャレットから婚約破棄を予言される。最初は信じないアスタリスクであったが、ギャレットの予言通りに婚約者の第二王子フラットと男爵令嬢フィーネが親密になっていく様子を見せつけられる。ギャレットの予言を半信半疑に思いつつも、自身のバッドエンドを回避するべく会うようになるアスタリスクとギャレット。…気が付けば、ギャレットはアスタリスクの「専属執事」とまで呼ばれるようになっていた。そして、迎えた婚約破棄の日。二人は万全の準備でイベントに挑む！　バットエンドの回避目的で会って"&amp;"いた二人だが、いつしか身分違いの恋へと発展、その恋の行方はいかに…!?")</f>
        <v>公爵令嬢アスタリスクはある日突然、平民の男ギャレットから婚約破棄を予言される。最初は信じないアスタリスクであったが、ギャレットの予言通りに婚約者の第二王子フラットと男爵令嬢フィーネが親密になっていく様子を見せつけられる。ギャレットの予言を半信半疑に思いつつも、自身のバッドエンドを回避するべく会うようになるアスタリスクとギャレット。…気が付けば、ギャレットはアスタリスクの「専属執事」とまで呼ばれるようになっていた。そして、迎えた婚約破棄の日。二人は万全の準備でイベントに挑む！　バットエンドの回避目的で会っていた二人だが、いつしか身分違いの恋へと発展、その恋の行方はいかに…!?</v>
      </c>
      <c r="W3334" s="8" t="str">
        <f>IFERROR(__xludf.DUMMYFUNCTION("""COMPUTED_VALUE"""),"#REF!")</f>
        <v>#REF!</v>
      </c>
      <c r="X3334" s="8" t="str">
        <f>IFERROR(__xludf.DUMMYFUNCTION("""COMPUTED_VALUE"""),"有")</f>
        <v>有</v>
      </c>
      <c r="Y3334" s="8" t="str">
        <f>IFERROR(__xludf.DUMMYFUNCTION("""COMPUTED_VALUE"""),"2025/6/23まで1巻無料")</f>
        <v>2025/6/23まで1巻無料</v>
      </c>
      <c r="Z3334" s="7"/>
      <c r="AA3334" s="7"/>
      <c r="AB3334" s="7"/>
    </row>
    <row r="3335" ht="15.75" customHeight="1">
      <c r="A3335" s="26">
        <f>IFERROR(__xludf.DUMMYFUNCTION("""COMPUTED_VALUE"""),5324.0)</f>
        <v>5324</v>
      </c>
      <c r="B3335" s="22" t="str">
        <f>IFERROR(__xludf.DUMMYFUNCTION("""COMPUTED_VALUE"""),"確定")</f>
        <v>確定</v>
      </c>
      <c r="C3335" s="28">
        <f>IFERROR(__xludf.DUMMYFUNCTION("""COMPUTED_VALUE"""),45737.0)</f>
        <v>45737</v>
      </c>
      <c r="D3335" s="28">
        <f>IFERROR(__xludf.DUMMYFUNCTION("""COMPUTED_VALUE"""),45796.0)</f>
        <v>45796</v>
      </c>
      <c r="E3335" s="26">
        <f>IFERROR(__xludf.DUMMYFUNCTION("""COMPUTED_VALUE"""),322356.0)</f>
        <v>322356</v>
      </c>
      <c r="F3335" s="22" t="str">
        <f>IFERROR(__xludf.DUMMYFUNCTION("""COMPUTED_VALUE"""),"再会幼なじみにトドメのくちづけ《カノンミア》")</f>
        <v>再会幼なじみにトドメのくちづけ《カノンミア》</v>
      </c>
      <c r="G3335" s="20">
        <f>IFERROR(__xludf.DUMMYFUNCTION("""COMPUTED_VALUE"""),1.0)</f>
        <v>1</v>
      </c>
      <c r="H3335" s="22" t="str">
        <f>IFERROR(__xludf.DUMMYFUNCTION("""COMPUTED_VALUE"""),"ミケヤナ")</f>
        <v>ミケヤナ</v>
      </c>
      <c r="I3335" s="22" t="str">
        <f>IFERROR(__xludf.DUMMYFUNCTION("""COMPUTED_VALUE"""),"TL")</f>
        <v>TL</v>
      </c>
      <c r="J3335" s="22"/>
      <c r="K3335" s="22" t="str">
        <f>IFERROR(__xludf.DUMMYFUNCTION("""COMPUTED_VALUE"""),"カノンミアコミックス")</f>
        <v>カノンミアコミックス</v>
      </c>
      <c r="L3335" s="22" t="str">
        <f>IFERROR(__xludf.DUMMYFUNCTION("""COMPUTED_VALUE"""),"英和出版社")</f>
        <v>英和出版社</v>
      </c>
      <c r="M3335" s="33">
        <f>IFERROR(__xludf.DUMMYFUNCTION("""COMPUTED_VALUE"""),45797.0)</f>
        <v>45797</v>
      </c>
      <c r="N3335" s="33">
        <f>IFERROR(__xludf.DUMMYFUNCTION("""COMPUTED_VALUE"""),45827.0)</f>
        <v>45827</v>
      </c>
      <c r="O3335" s="20"/>
      <c r="P3335" s="32" t="str">
        <f>IFERROR(__xludf.DUMMYFUNCTION("""COMPUTED_VALUE"""),"可")</f>
        <v>可</v>
      </c>
      <c r="Q3335" s="30" t="str">
        <f>IFERROR(__xludf.DUMMYFUNCTION("""COMPUTED_VALUE"""),"初回配信1巻目の素材をご使用ください&lt;BR&gt;「再会幼なじみにトドメのくちづけ1話完成データ」内のデータが広告用素材となります")</f>
        <v>初回配信1巻目の素材をご使用ください&lt;BR&gt;「再会幼なじみにトドメのくちづけ1話完成データ」内のデータが広告用素材となります</v>
      </c>
      <c r="R3335" s="22" t="str">
        <f>IFERROR(__xludf.DUMMYFUNCTION("""COMPUTED_VALUE"""),"コミットNG")</f>
        <v>コミットNG</v>
      </c>
      <c r="S3335" s="22" t="str">
        <f>IFERROR(__xludf.DUMMYFUNCTION("""COMPUTED_VALUE"""),"20250515_メディアソフト_再会幼なじみにトドメのくちづけ")</f>
        <v>20250515_メディアソフト_再会幼なじみにトドメのくちづけ</v>
      </c>
      <c r="T3335" s="22" t="str">
        <f>IFERROR(__xludf.DUMMYFUNCTION("""COMPUTED_VALUE"""),"格納済み")</f>
        <v>格納済み</v>
      </c>
      <c r="U3335" s="9" t="str">
        <f>IFERROR(__xludf.DUMMYFUNCTION("""COMPUTED_VALUE"""),"Ⓒミケヤナ/英和出版社	")</f>
        <v>Ⓒミケヤナ/英和出版社	</v>
      </c>
      <c r="V3335" s="8" t="str">
        <f>IFERROR(__xludf.DUMMYFUNCTION("""COMPUTED_VALUE"""),"《一途な恋愛なんて存在しないのかもしれない》
失恋をして恋に臆病になった衣織はある日、学生のころ弟のように可愛がっていた幼なじみの潮と職場で再会。
彼は派手髪・ピアスのヤンキーみたいな見た目で昔の面影なんかないのに、あのころの話をするとつい昔に戻った気分になる…
そんな帰り道に「俺はずっと好きだった」と突然の告白！？
失恋をしたばかりの衣織は、今は気持ちが切り替えられないと断ると、諦めない宣言！！
「過去の男のことなんか忘れたらいい、全部俺のせいにしていいから」
「俺のことだけ考えて、"&amp;"衣織」と迫られて…
全部を素直に受け入れたい気持ちとまた裏切られる怖さに心が揺れ動く――
“ほろ苦いはずなのにやさしくて甘い初恋リスタート”
年下幼なじみ男子の止まっていた初恋の続きが今動き出す…！！！！")</f>
        <v>《一途な恋愛なんて存在しないのかもしれない》
失恋をして恋に臆病になった衣織はある日、学生のころ弟のように可愛がっていた幼なじみの潮と職場で再会。
彼は派手髪・ピアスのヤンキーみたいな見た目で昔の面影なんかないのに、あのころの話をするとつい昔に戻った気分になる…
そんな帰り道に「俺はずっと好きだった」と突然の告白！？
失恋をしたばかりの衣織は、今は気持ちが切り替えられないと断ると、諦めない宣言！！
「過去の男のことなんか忘れたらいい、全部俺のせいにしていいから」
「俺のことだけ考えて、衣織」と迫られて…
全部を素直に受け入れたい気持ちとまた裏切られる怖さに心が揺れ動く――
“ほろ苦いはずなのにやさしくて甘い初恋リスタート”
年下幼なじみ男子の止まっていた初恋の続きが今動き出す…！！！！</v>
      </c>
      <c r="W3335" s="8" t="str">
        <f>IFERROR(__xludf.DUMMYFUNCTION("""COMPUTED_VALUE"""),"#REF!")</f>
        <v>#REF!</v>
      </c>
      <c r="X3335" s="8" t="str">
        <f>IFERROR(__xludf.DUMMYFUNCTION("""COMPUTED_VALUE"""),"有")</f>
        <v>有</v>
      </c>
      <c r="Y3335" s="8" t="str">
        <f>IFERROR(__xludf.DUMMYFUNCTION("""COMPUTED_VALUE"""),"P12まで")</f>
        <v>P12まで</v>
      </c>
      <c r="Z3335" s="7"/>
      <c r="AA3335" s="7"/>
      <c r="AB3335" s="7"/>
    </row>
    <row r="3336" ht="15.75" customHeight="1">
      <c r="A3336" s="26">
        <f>IFERROR(__xludf.DUMMYFUNCTION("""COMPUTED_VALUE"""),5407.0)</f>
        <v>5407</v>
      </c>
      <c r="B3336" s="22" t="str">
        <f>IFERROR(__xludf.DUMMYFUNCTION("""COMPUTED_VALUE"""),"確定")</f>
        <v>確定</v>
      </c>
      <c r="C3336" s="28">
        <f>IFERROR(__xludf.DUMMYFUNCTION("""COMPUTED_VALUE"""),45750.0)</f>
        <v>45750</v>
      </c>
      <c r="D3336" s="28">
        <f>IFERROR(__xludf.DUMMYFUNCTION("""COMPUTED_VALUE"""),45796.0)</f>
        <v>45796</v>
      </c>
      <c r="E3336" s="26">
        <f>IFERROR(__xludf.DUMMYFUNCTION("""COMPUTED_VALUE"""),325495.0)</f>
        <v>325495</v>
      </c>
      <c r="F3336" s="22" t="str">
        <f>IFERROR(__xludf.DUMMYFUNCTION("""COMPUTED_VALUE"""),"大正復讐代行クロユリ【単話版】")</f>
        <v>大正復讐代行クロユリ【単話版】</v>
      </c>
      <c r="G3336" s="20" t="str">
        <f>IFERROR(__xludf.DUMMYFUNCTION("""COMPUTED_VALUE"""),"1～5")</f>
        <v>1～5</v>
      </c>
      <c r="H3336" s="22" t="str">
        <f>IFERROR(__xludf.DUMMYFUNCTION("""COMPUTED_VALUE"""),"原作協力：八重樫ひのめ／作画：天城五寸釘／COMIC ROOM")</f>
        <v>原作協力：八重樫ひのめ／作画：天城五寸釘／COMIC ROOM</v>
      </c>
      <c r="I3336" s="22" t="str">
        <f>IFERROR(__xludf.DUMMYFUNCTION("""COMPUTED_VALUE"""),"青年")</f>
        <v>青年</v>
      </c>
      <c r="J3336" s="22"/>
      <c r="K3336" s="22" t="str">
        <f>IFERROR(__xludf.DUMMYFUNCTION("""COMPUTED_VALUE"""),"COMIC MOON")</f>
        <v>COMIC MOON</v>
      </c>
      <c r="L3336" s="22" t="str">
        <f>IFERROR(__xludf.DUMMYFUNCTION("""COMPUTED_VALUE"""),"コミックルーム")</f>
        <v>コミックルーム</v>
      </c>
      <c r="M3336" s="33">
        <f>IFERROR(__xludf.DUMMYFUNCTION("""COMPUTED_VALUE"""),45824.0)</f>
        <v>45824</v>
      </c>
      <c r="N3336" s="33">
        <f>IFERROR(__xludf.DUMMYFUNCTION("""COMPUTED_VALUE"""),45915.0)</f>
        <v>45915</v>
      </c>
      <c r="O3336" s="20"/>
      <c r="P3336" s="32" t="str">
        <f>IFERROR(__xludf.DUMMYFUNCTION("""COMPUTED_VALUE"""),"可")</f>
        <v>可</v>
      </c>
      <c r="Q3336" s="30" t="str">
        <f>IFERROR(__xludf.DUMMYFUNCTION("""COMPUTED_VALUE"""),"・初回配信最終話に次巻予告が入る予定です（キリが良く、離脱が想定されるため）")</f>
        <v>・初回配信最終話に次巻予告が入る予定です（キリが良く、離脱が想定されるため）</v>
      </c>
      <c r="R3336" s="22" t="str">
        <f>IFERROR(__xludf.DUMMYFUNCTION("""COMPUTED_VALUE"""),"コミットOK")</f>
        <v>コミットOK</v>
      </c>
      <c r="S3336" s="22" t="str">
        <f>IFERROR(__xludf.DUMMYFUNCTION("""COMPUTED_VALUE"""),"20250519_コミックルーム_復讐代行喫茶クロユリ")</f>
        <v>20250519_コミックルーム_復讐代行喫茶クロユリ</v>
      </c>
      <c r="T3336" s="22" t="str">
        <f>IFERROR(__xludf.DUMMYFUNCTION("""COMPUTED_VALUE"""),"格納済み")</f>
        <v>格納済み</v>
      </c>
      <c r="U3336" s="9" t="str">
        <f>IFERROR(__xludf.DUMMYFUNCTION("""COMPUTED_VALUE"""),"(C)天城五寸釘／COMIC ROOM")</f>
        <v>(C)天城五寸釘／COMIC ROOM</v>
      </c>
      <c r="V3336" s="8" t="str">
        <f>IFERROR(__xludf.DUMMYFUNCTION("""COMPUTED_VALUE"""),"時は大正。
華やかな帝都の裏側では、権力者たちが誘拐、強姦、人身売買など
欲望のままに悪行を重ねていた。
しかし、帝都にはそんな外道どもを決して許さぬ組織も存在する。
その名は《復讐代行クロユリ》。
隠された真実を暴くため、クロユリは今宵も“罰”を下す。
不条理が渦巻く現代社会で、
目の前の相手を●したいと思ったあなたへ贈る、
痛快無比な大正ダークヒーローストーリー、ここに開幕！")</f>
        <v>時は大正。
華やかな帝都の裏側では、権力者たちが誘拐、強姦、人身売買など
欲望のままに悪行を重ねていた。
しかし、帝都にはそんな外道どもを決して許さぬ組織も存在する。
その名は《復讐代行クロユリ》。
隠された真実を暴くため、クロユリは今宵も“罰”を下す。
不条理が渦巻く現代社会で、
目の前の相手を●したいと思ったあなたへ贈る、
痛快無比な大正ダークヒーローストーリー、ここに開幕！</v>
      </c>
      <c r="W3336" s="8" t="str">
        <f>IFERROR(__xludf.DUMMYFUNCTION("""COMPUTED_VALUE"""),"#REF!")</f>
        <v>#REF!</v>
      </c>
      <c r="X3336" s="8" t="str">
        <f>IFERROR(__xludf.DUMMYFUNCTION("""COMPUTED_VALUE"""),"有")</f>
        <v>有</v>
      </c>
      <c r="Y3336" s="8" t="str">
        <f>IFERROR(__xludf.DUMMYFUNCTION("""COMPUTED_VALUE"""),"P7まで")</f>
        <v>P7まで</v>
      </c>
      <c r="Z3336" s="7"/>
      <c r="AA3336" s="7"/>
      <c r="AB3336" s="7"/>
    </row>
    <row r="3337" ht="15.75" customHeight="1">
      <c r="A3337" s="26">
        <f>IFERROR(__xludf.DUMMYFUNCTION("""COMPUTED_VALUE"""),5440.0)</f>
        <v>5440</v>
      </c>
      <c r="B3337" s="22" t="str">
        <f>IFERROR(__xludf.DUMMYFUNCTION("""COMPUTED_VALUE"""),"確定")</f>
        <v>確定</v>
      </c>
      <c r="C3337" s="28">
        <f>IFERROR(__xludf.DUMMYFUNCTION("""COMPUTED_VALUE"""),45754.0)</f>
        <v>45754</v>
      </c>
      <c r="D3337" s="28">
        <f>IFERROR(__xludf.DUMMYFUNCTION("""COMPUTED_VALUE"""),45797.0)</f>
        <v>45797</v>
      </c>
      <c r="E3337" s="26">
        <f>IFERROR(__xludf.DUMMYFUNCTION("""COMPUTED_VALUE"""),326610.0)</f>
        <v>326610</v>
      </c>
      <c r="F3337" s="22" t="str">
        <f>IFERROR(__xludf.DUMMYFUNCTION("""COMPUTED_VALUE"""),"初恋を諦めたいのに魔法の指輪が外れません！【単話売】")</f>
        <v>初恋を諦めたいのに魔法の指輪が外れません！【単話売】</v>
      </c>
      <c r="G3337" s="20" t="str">
        <f>IFERROR(__xludf.DUMMYFUNCTION("""COMPUTED_VALUE"""),"1～3")</f>
        <v>1～3</v>
      </c>
      <c r="H3337" s="22" t="str">
        <f>IFERROR(__xludf.DUMMYFUNCTION("""COMPUTED_VALUE"""),"砦")</f>
        <v>砦</v>
      </c>
      <c r="I3337" s="22" t="str">
        <f>IFERROR(__xludf.DUMMYFUNCTION("""COMPUTED_VALUE"""),"少女マンガ")</f>
        <v>少女マンガ</v>
      </c>
      <c r="J3337" s="22"/>
      <c r="K3337" s="22"/>
      <c r="L3337" s="22" t="str">
        <f>IFERROR(__xludf.DUMMYFUNCTION("""COMPUTED_VALUE"""),"ジュリアンパブリッシング")</f>
        <v>ジュリアンパブリッシング</v>
      </c>
      <c r="M3337" s="33">
        <f>IFERROR(__xludf.DUMMYFUNCTION("""COMPUTED_VALUE"""),45828.0)</f>
        <v>45828</v>
      </c>
      <c r="N3337" s="33">
        <f>IFERROR(__xludf.DUMMYFUNCTION("""COMPUTED_VALUE"""),45883.0)</f>
        <v>45883</v>
      </c>
      <c r="O3337" s="20"/>
      <c r="P3337" s="32" t="str">
        <f>IFERROR(__xludf.DUMMYFUNCTION("""COMPUTED_VALUE"""),"否")</f>
        <v>否</v>
      </c>
      <c r="Q3337" s="30"/>
      <c r="R3337" s="22" t="str">
        <f>IFERROR(__xludf.DUMMYFUNCTION("""COMPUTED_VALUE"""),"コミットOK")</f>
        <v>コミットOK</v>
      </c>
      <c r="S3337" s="22" t="str">
        <f>IFERROR(__xludf.DUMMYFUNCTION("""COMPUTED_VALUE"""),"20250519_ジュリアンパブリッシング_初恋を諦めたいのに魔法の指輪が外れません！")</f>
        <v>20250519_ジュリアンパブリッシング_初恋を諦めたいのに魔法の指輪が外れません！</v>
      </c>
      <c r="T3337" s="22" t="str">
        <f>IFERROR(__xludf.DUMMYFUNCTION("""COMPUTED_VALUE"""),"格納済み")</f>
        <v>格納済み</v>
      </c>
      <c r="U3337" s="9" t="str">
        <f>IFERROR(__xludf.DUMMYFUNCTION("""COMPUTED_VALUE"""),"Ⓒ砦／ジュリアンパブリッシング")</f>
        <v>Ⓒ砦／ジュリアンパブリッシング</v>
      </c>
      <c r="V3337" s="8"/>
      <c r="W3337" s="8"/>
      <c r="X3337" s="8" t="str">
        <f>IFERROR(__xludf.DUMMYFUNCTION("""COMPUTED_VALUE"""),"有")</f>
        <v>有</v>
      </c>
      <c r="Y3337" s="8" t="str">
        <f>IFERROR(__xludf.DUMMYFUNCTION("""COMPUTED_VALUE"""),"P10まで")</f>
        <v>P10まで</v>
      </c>
      <c r="Z3337" s="7"/>
      <c r="AA3337" s="7"/>
      <c r="AB3337" s="7"/>
    </row>
    <row r="3338" ht="15.75" customHeight="1">
      <c r="A3338" s="26">
        <f>IFERROR(__xludf.DUMMYFUNCTION("""COMPUTED_VALUE"""),5456.0)</f>
        <v>5456</v>
      </c>
      <c r="B3338" s="22" t="str">
        <f>IFERROR(__xludf.DUMMYFUNCTION("""COMPUTED_VALUE"""),"確定")</f>
        <v>確定</v>
      </c>
      <c r="C3338" s="28">
        <f>IFERROR(__xludf.DUMMYFUNCTION("""COMPUTED_VALUE"""),45756.0)</f>
        <v>45756</v>
      </c>
      <c r="D3338" s="28">
        <f>IFERROR(__xludf.DUMMYFUNCTION("""COMPUTED_VALUE"""),45797.0)</f>
        <v>45797</v>
      </c>
      <c r="E3338" s="26">
        <f>IFERROR(__xludf.DUMMYFUNCTION("""COMPUTED_VALUE"""),323606.0)</f>
        <v>323606</v>
      </c>
      <c r="F3338" s="22" t="str">
        <f>IFERROR(__xludf.DUMMYFUNCTION("""COMPUTED_VALUE"""),"蒼くんステイ！～負けヒロインなので溺愛には不慣れです!?～【分冊版】")</f>
        <v>蒼くんステイ！～負けヒロインなので溺愛には不慣れです!?～【分冊版】</v>
      </c>
      <c r="G3338" s="20" t="str">
        <f>IFERROR(__xludf.DUMMYFUNCTION("""COMPUTED_VALUE"""),"1～3")</f>
        <v>1～3</v>
      </c>
      <c r="H3338" s="22" t="str">
        <f>IFERROR(__xludf.DUMMYFUNCTION("""COMPUTED_VALUE"""),"藤咲ゆう⊥ache")</f>
        <v>藤咲ゆう⊥ache</v>
      </c>
      <c r="I3338" s="22" t="str">
        <f>IFERROR(__xludf.DUMMYFUNCTION("""COMPUTED_VALUE"""),"TL")</f>
        <v>TL</v>
      </c>
      <c r="J3338" s="22"/>
      <c r="K3338" s="22" t="str">
        <f>IFERROR(__xludf.DUMMYFUNCTION("""COMPUTED_VALUE"""),"ラブチュコラ")</f>
        <v>ラブチュコラ</v>
      </c>
      <c r="L3338" s="22" t="str">
        <f>IFERROR(__xludf.DUMMYFUNCTION("""COMPUTED_VALUE"""),"笠倉出版社")</f>
        <v>笠倉出版社</v>
      </c>
      <c r="M3338" s="33">
        <f>IFERROR(__xludf.DUMMYFUNCTION("""COMPUTED_VALUE"""),45813.0)</f>
        <v>45813</v>
      </c>
      <c r="N3338" s="33">
        <f>IFERROR(__xludf.DUMMYFUNCTION("""COMPUTED_VALUE"""),45875.0)</f>
        <v>45875</v>
      </c>
      <c r="O3338" s="20"/>
      <c r="P3338" s="32" t="str">
        <f>IFERROR(__xludf.DUMMYFUNCTION("""COMPUTED_VALUE"""),"可")</f>
        <v>可</v>
      </c>
      <c r="Q3338" s="30"/>
      <c r="R3338" s="22" t="str">
        <f>IFERROR(__xludf.DUMMYFUNCTION("""COMPUTED_VALUE"""),"コミットNG")</f>
        <v>コミットNG</v>
      </c>
      <c r="S3338" s="22" t="str">
        <f>IFERROR(__xludf.DUMMYFUNCTION("""COMPUTED_VALUE"""),"20250515_笠倉出版社_蒼くんステイ！～負けヒロインなので溺愛には不慣れです！？～【分冊版】")</f>
        <v>20250515_笠倉出版社_蒼くんステイ！～負けヒロインなので溺愛には不慣れです！？～【分冊版】</v>
      </c>
      <c r="T3338" s="22" t="str">
        <f>IFERROR(__xludf.DUMMYFUNCTION("""COMPUTED_VALUE"""),"格納済み")</f>
        <v>格納済み</v>
      </c>
      <c r="U3338" s="9" t="str">
        <f>IFERROR(__xludf.DUMMYFUNCTION("""COMPUTED_VALUE"""),"Ⓒ藤咲ゆう/笠倉出版社")</f>
        <v>Ⓒ藤咲ゆう/笠倉出版社</v>
      </c>
      <c r="V3338" s="8" t="str">
        <f>IFERROR(__xludf.DUMMYFUNCTION("""COMPUTED_VALUE"""),"「我慢するのはもうやめる」「抱かれてるときは、俺だけ見てろ」むさぼるようにキスする彼の、熱を孕んだ瞳にからめとられる。何度も身体を重ねてるのにどうして、壊れちゃったみたいにアソコが疼いてとまらない…。――大学2年生の燈果〈とうか〉と蒼〈あお〉は高校からの腐れ縁。周囲からニコイチ認定されるくらい仲よしだけど、実はセフレだなんて誰にも言えない！彼の兄・ひろにぃに失恋した日から、慰めてもらう口実で始まった淫らな関係。気持ちの整理がつかないままずるずる続けるうちに、いつのまにか蒼の優しさにときめくようになっちゃっ"&amp;"て…。そんななか届いたひろにぃの結婚報告。動揺していると、思いがけず蒼から「俺じゃダメなの？」と迫られて!?――恋に敗れた“負けヒロイン”に一途な愛が降りそそぐ、焦れキュン必至の溺愛わからせTL！")</f>
        <v>「我慢するのはもうやめる」「抱かれてるときは、俺だけ見てろ」むさぼるようにキスする彼の、熱を孕んだ瞳にからめとられる。何度も身体を重ねてるのにどうして、壊れちゃったみたいにアソコが疼いてとまらない…。――大学2年生の燈果〈とうか〉と蒼〈あお〉は高校からの腐れ縁。周囲からニコイチ認定されるくらい仲よしだけど、実はセフレだなんて誰にも言えない！彼の兄・ひろにぃに失恋した日から、慰めてもらう口実で始まった淫らな関係。気持ちの整理がつかないままずるずる続けるうちに、いつのまにか蒼の優しさにときめくようになっちゃって…。そんななか届いたひろにぃの結婚報告。動揺していると、思いがけず蒼から「俺じゃダメなの？」と迫られて!?――恋に敗れた“負けヒロイン”に一途な愛が降りそそぐ、焦れキュン必至の溺愛わからせTL！</v>
      </c>
      <c r="W3338" s="8" t="str">
        <f>IFERROR(__xludf.DUMMYFUNCTION("""COMPUTED_VALUE"""),"#REF!")</f>
        <v>#REF!</v>
      </c>
      <c r="X3338" s="8" t="str">
        <f>IFERROR(__xludf.DUMMYFUNCTION("""COMPUTED_VALUE"""),"有")</f>
        <v>有</v>
      </c>
      <c r="Y3338" s="8" t="str">
        <f>IFERROR(__xludf.DUMMYFUNCTION("""COMPUTED_VALUE"""),"2025/6/18まで1巻無料")</f>
        <v>2025/6/18まで1巻無料</v>
      </c>
      <c r="Z3338" s="7"/>
      <c r="AA3338" s="7"/>
      <c r="AB3338" s="7"/>
    </row>
    <row r="3339" ht="15.75" customHeight="1">
      <c r="A3339" s="26">
        <f>IFERROR(__xludf.DUMMYFUNCTION("""COMPUTED_VALUE"""),5462.0)</f>
        <v>5462</v>
      </c>
      <c r="B3339" s="22" t="str">
        <f>IFERROR(__xludf.DUMMYFUNCTION("""COMPUTED_VALUE"""),"確定")</f>
        <v>確定</v>
      </c>
      <c r="C3339" s="28">
        <f>IFERROR(__xludf.DUMMYFUNCTION("""COMPUTED_VALUE"""),45757.0)</f>
        <v>45757</v>
      </c>
      <c r="D3339" s="28">
        <f>IFERROR(__xludf.DUMMYFUNCTION("""COMPUTED_VALUE"""),45797.0)</f>
        <v>45797</v>
      </c>
      <c r="E3339" s="26">
        <f>IFERROR(__xludf.DUMMYFUNCTION("""COMPUTED_VALUE"""),324265.0)</f>
        <v>324265</v>
      </c>
      <c r="F3339" s="22" t="str">
        <f>IFERROR(__xludf.DUMMYFUNCTION("""COMPUTED_VALUE"""),"腹黒女の転落【マイクロ】")</f>
        <v>腹黒女の転落【マイクロ】</v>
      </c>
      <c r="G3339" s="20" t="str">
        <f>IFERROR(__xludf.DUMMYFUNCTION("""COMPUTED_VALUE"""),"1～4")</f>
        <v>1～4</v>
      </c>
      <c r="H3339" s="22" t="str">
        <f>IFERROR(__xludf.DUMMYFUNCTION("""COMPUTED_VALUE"""),"横嶋やよい")</f>
        <v>横嶋やよい</v>
      </c>
      <c r="I3339" s="22" t="str">
        <f>IFERROR(__xludf.DUMMYFUNCTION("""COMPUTED_VALUE"""),"女性")</f>
        <v>女性</v>
      </c>
      <c r="J3339" s="22"/>
      <c r="K3339" s="22"/>
      <c r="L3339" s="22" t="str">
        <f>IFERROR(__xludf.DUMMYFUNCTION("""COMPUTED_VALUE"""),"小学館")</f>
        <v>小学館</v>
      </c>
      <c r="M3339" s="33">
        <f>IFERROR(__xludf.DUMMYFUNCTION("""COMPUTED_VALUE"""),45810.0)</f>
        <v>45810</v>
      </c>
      <c r="N3339" s="33">
        <f>IFERROR(__xludf.DUMMYFUNCTION("""COMPUTED_VALUE"""),45870.0)</f>
        <v>45870</v>
      </c>
      <c r="O3339" s="20"/>
      <c r="P3339" s="32" t="str">
        <f>IFERROR(__xludf.DUMMYFUNCTION("""COMPUTED_VALUE"""),"否")</f>
        <v>否</v>
      </c>
      <c r="Q3339" s="30" t="str">
        <f>IFERROR(__xludf.DUMMYFUNCTION("""COMPUTED_VALUE"""),"「自称デキる女たち」のような、それぞれのテーマがある形式の５話で、単行本１巻も同時に出ます！")</f>
        <v>「自称デキる女たち」のような、それぞれのテーマがある形式の５話で、単行本１巻も同時に出ます！</v>
      </c>
      <c r="R3339" s="22" t="str">
        <f>IFERROR(__xludf.DUMMYFUNCTION("""COMPUTED_VALUE"""),"コミットNG")</f>
        <v>コミットNG</v>
      </c>
      <c r="S3339" s="22" t="str">
        <f>IFERROR(__xludf.DUMMYFUNCTION("""COMPUTED_VALUE"""),"20250515_小学館_腹黒女の転落【マイクロ】")</f>
        <v>20250515_小学館_腹黒女の転落【マイクロ】</v>
      </c>
      <c r="T3339" s="22" t="str">
        <f>IFERROR(__xludf.DUMMYFUNCTION("""COMPUTED_VALUE"""),"格納済み")</f>
        <v>格納済み</v>
      </c>
      <c r="U3339" s="9" t="str">
        <f>IFERROR(__xludf.DUMMYFUNCTION("""COMPUTED_VALUE"""),"(C)横嶋やよい / ニャン")</f>
        <v>(C)横嶋やよい / ニャン</v>
      </c>
      <c r="V3339" s="8" t="str">
        <f>IFERROR(__xludf.DUMMYFUNCTION("""COMPUTED_VALUE"""),"他人の幸せは私の不幸…だから奪っちゃってもいいよね？代わりに私の不幸をおすそわけしてあげる。
家族でも友人でも同僚でも、妬みや嫉みで八つ当たりする自己中女たちを待ち受ける因果応報スパイラル！貴女、どこに行っても幸せにはなれないわよ。")</f>
        <v>他人の幸せは私の不幸…だから奪っちゃってもいいよね？代わりに私の不幸をおすそわけしてあげる。
家族でも友人でも同僚でも、妬みや嫉みで八つ当たりする自己中女たちを待ち受ける因果応報スパイラル！貴女、どこに行っても幸せにはなれないわよ。</v>
      </c>
      <c r="W3339" s="8" t="str">
        <f>IFERROR(__xludf.DUMMYFUNCTION("""COMPUTED_VALUE"""),"#REF!")</f>
        <v>#REF!</v>
      </c>
      <c r="X3339" s="8" t="str">
        <f>IFERROR(__xludf.DUMMYFUNCTION("""COMPUTED_VALUE"""),"有")</f>
        <v>有</v>
      </c>
      <c r="Y3339" s="8" t="str">
        <f>IFERROR(__xludf.DUMMYFUNCTION("""COMPUTED_VALUE"""),"2025/8/1まで1巻無料")</f>
        <v>2025/8/1まで1巻無料</v>
      </c>
      <c r="Z3339" s="7"/>
      <c r="AA3339" s="7"/>
      <c r="AB3339" s="7"/>
    </row>
    <row r="3340" ht="15.75" customHeight="1">
      <c r="A3340" s="26">
        <f>IFERROR(__xludf.DUMMYFUNCTION("""COMPUTED_VALUE"""),5520.0)</f>
        <v>5520</v>
      </c>
      <c r="B3340" s="22" t="str">
        <f>IFERROR(__xludf.DUMMYFUNCTION("""COMPUTED_VALUE"""),"確定")</f>
        <v>確定</v>
      </c>
      <c r="C3340" s="28">
        <f>IFERROR(__xludf.DUMMYFUNCTION("""COMPUTED_VALUE"""),45769.0)</f>
        <v>45769</v>
      </c>
      <c r="D3340" s="28">
        <f>IFERROR(__xludf.DUMMYFUNCTION("""COMPUTED_VALUE"""),45793.0)</f>
        <v>45793</v>
      </c>
      <c r="E3340" s="26">
        <f>IFERROR(__xludf.DUMMYFUNCTION("""COMPUTED_VALUE"""),324378.0)</f>
        <v>324378</v>
      </c>
      <c r="F3340" s="22" t="str">
        <f>IFERROR(__xludf.DUMMYFUNCTION("""COMPUTED_VALUE"""),"203号室【単話】")</f>
        <v>203号室【単話】</v>
      </c>
      <c r="G3340" s="20" t="str">
        <f>IFERROR(__xludf.DUMMYFUNCTION("""COMPUTED_VALUE"""),"1～3")</f>
        <v>1～3</v>
      </c>
      <c r="H3340" s="22" t="str">
        <f>IFERROR(__xludf.DUMMYFUNCTION("""COMPUTED_VALUE"""),"百鬼夜行")</f>
        <v>百鬼夜行</v>
      </c>
      <c r="I3340" s="22" t="str">
        <f>IFERROR(__xludf.DUMMYFUNCTION("""COMPUTED_VALUE"""),"青年")</f>
        <v>青年</v>
      </c>
      <c r="J3340" s="22"/>
      <c r="K3340" s="22"/>
      <c r="L3340" s="22" t="str">
        <f>IFERROR(__xludf.DUMMYFUNCTION("""COMPUTED_VALUE"""),"朝日新聞出版")</f>
        <v>朝日新聞出版</v>
      </c>
      <c r="M3340" s="33">
        <f>IFERROR(__xludf.DUMMYFUNCTION("""COMPUTED_VALUE"""),45807.0)</f>
        <v>45807</v>
      </c>
      <c r="N3340" s="33">
        <f>IFERROR(__xludf.DUMMYFUNCTION("""COMPUTED_VALUE"""),46108.66666666667)</f>
        <v>46108.66667</v>
      </c>
      <c r="O3340" s="20"/>
      <c r="P3340" s="32" t="str">
        <f>IFERROR(__xludf.DUMMYFUNCTION("""COMPUTED_VALUE"""),"可")</f>
        <v>可</v>
      </c>
      <c r="Q3340" s="30" t="str">
        <f>IFERROR(__xludf.DUMMYFUNCTION("""COMPUTED_VALUE"""),"素材使用は3巻目まででお願いいたします")</f>
        <v>素材使用は3巻目まででお願いいたします</v>
      </c>
      <c r="R3340" s="22" t="str">
        <f>IFERROR(__xludf.DUMMYFUNCTION("""COMPUTED_VALUE"""),"コミットOK")</f>
        <v>コミットOK</v>
      </c>
      <c r="S3340" s="22" t="str">
        <f>IFERROR(__xludf.DUMMYFUNCTION("""COMPUTED_VALUE"""),"20250422_朝日新聞出版_203号室")</f>
        <v>20250422_朝日新聞出版_203号室</v>
      </c>
      <c r="T3340" s="22" t="str">
        <f>IFERROR(__xludf.DUMMYFUNCTION("""COMPUTED_VALUE"""),"格納済み")</f>
        <v>格納済み</v>
      </c>
      <c r="U3340" s="9" t="str">
        <f>IFERROR(__xludf.DUMMYFUNCTION("""COMPUTED_VALUE"""),"Ⓒ百鬼夜行/朝日新聞出版")</f>
        <v>Ⓒ百鬼夜行/朝日新聞出版</v>
      </c>
      <c r="V3340" s="8" t="str">
        <f>IFERROR(__xludf.DUMMYFUNCTION("""COMPUTED_VALUE"""),"大学へと進学した蓮が入居したのは古い木造アパート。隣人への引っ越しの挨拶をすると、目つきのおかしい年配女性・高梨がでてきて、蓮をみると無言で部屋へと戻っていった。その日から蓮の周囲になぜか高梨がよくあらわれるようになる。やがてストーカー行為はどんどんエスカレートしていき、蓮に彼女ができた時、最悪の事態がおきてしまう――。")</f>
        <v>大学へと進学した蓮が入居したのは古い木造アパート。隣人への引っ越しの挨拶をすると、目つきのおかしい年配女性・高梨がでてきて、蓮をみると無言で部屋へと戻っていった。その日から蓮の周囲になぜか高梨がよくあらわれるようになる。やがてストーカー行為はどんどんエスカレートしていき、蓮に彼女ができた時、最悪の事態がおきてしまう――。</v>
      </c>
      <c r="W3340" s="8" t="str">
        <f>IFERROR(__xludf.DUMMYFUNCTION("""COMPUTED_VALUE"""),"#REF!")</f>
        <v>#REF!</v>
      </c>
      <c r="X3340" s="8" t="str">
        <f>IFERROR(__xludf.DUMMYFUNCTION("""COMPUTED_VALUE"""),"有")</f>
        <v>有</v>
      </c>
      <c r="Y3340" s="8" t="str">
        <f>IFERROR(__xludf.DUMMYFUNCTION("""COMPUTED_VALUE"""),"2025/9/29まで1巻無料")</f>
        <v>2025/9/29まで1巻無料</v>
      </c>
      <c r="Z3340" s="7"/>
      <c r="AA3340" s="7"/>
      <c r="AB3340" s="7"/>
    </row>
    <row r="3341" ht="15.75" customHeight="1">
      <c r="A3341" s="26">
        <f>IFERROR(__xludf.DUMMYFUNCTION("""COMPUTED_VALUE"""),5521.0)</f>
        <v>5521</v>
      </c>
      <c r="B3341" s="22" t="str">
        <f>IFERROR(__xludf.DUMMYFUNCTION("""COMPUTED_VALUE"""),"確定")</f>
        <v>確定</v>
      </c>
      <c r="C3341" s="28">
        <f>IFERROR(__xludf.DUMMYFUNCTION("""COMPUTED_VALUE"""),45769.0)</f>
        <v>45769</v>
      </c>
      <c r="D3341" s="28">
        <f>IFERROR(__xludf.DUMMYFUNCTION("""COMPUTED_VALUE"""),45793.0)</f>
        <v>45793</v>
      </c>
      <c r="E3341" s="26">
        <f>IFERROR(__xludf.DUMMYFUNCTION("""COMPUTED_VALUE"""),324389.0)</f>
        <v>324389</v>
      </c>
      <c r="F3341" s="22" t="str">
        <f>IFERROR(__xludf.DUMMYFUNCTION("""COMPUTED_VALUE"""),"ＮＴＲ～ネトライアングル～【単話】")</f>
        <v>ＮＴＲ～ネトライアングル～【単話】</v>
      </c>
      <c r="G3341" s="20" t="str">
        <f>IFERROR(__xludf.DUMMYFUNCTION("""COMPUTED_VALUE"""),"1～5")</f>
        <v>1～5</v>
      </c>
      <c r="H3341" s="22" t="str">
        <f>IFERROR(__xludf.DUMMYFUNCTION("""COMPUTED_VALUE"""),"日山依")</f>
        <v>日山依</v>
      </c>
      <c r="I3341" s="22" t="str">
        <f>IFERROR(__xludf.DUMMYFUNCTION("""COMPUTED_VALUE"""),"女性")</f>
        <v>女性</v>
      </c>
      <c r="J3341" s="22"/>
      <c r="K3341" s="22"/>
      <c r="L3341" s="22" t="str">
        <f>IFERROR(__xludf.DUMMYFUNCTION("""COMPUTED_VALUE"""),"朝日新聞出版")</f>
        <v>朝日新聞出版</v>
      </c>
      <c r="M3341" s="33">
        <f>IFERROR(__xludf.DUMMYFUNCTION("""COMPUTED_VALUE"""),45807.0)</f>
        <v>45807</v>
      </c>
      <c r="N3341" s="33">
        <f>IFERROR(__xludf.DUMMYFUNCTION("""COMPUTED_VALUE"""),45929.0)</f>
        <v>45929</v>
      </c>
      <c r="O3341" s="20"/>
      <c r="P3341" s="32" t="str">
        <f>IFERROR(__xludf.DUMMYFUNCTION("""COMPUTED_VALUE"""),"可")</f>
        <v>可</v>
      </c>
      <c r="Q3341" s="30" t="str">
        <f>IFERROR(__xludf.DUMMYFUNCTION("""COMPUTED_VALUE"""),"1巻目無料実施していただけます")</f>
        <v>1巻目無料実施していただけます</v>
      </c>
      <c r="R3341" s="22" t="str">
        <f>IFERROR(__xludf.DUMMYFUNCTION("""COMPUTED_VALUE"""),"コミットOK")</f>
        <v>コミットOK</v>
      </c>
      <c r="S3341" s="22" t="str">
        <f>IFERROR(__xludf.DUMMYFUNCTION("""COMPUTED_VALUE"""),"20250422_朝日新聞出版_ＮＴＲ ～ネトライアングル～")</f>
        <v>20250422_朝日新聞出版_ＮＴＲ ～ネトライアングル～</v>
      </c>
      <c r="T3341" s="22" t="str">
        <f>IFERROR(__xludf.DUMMYFUNCTION("""COMPUTED_VALUE"""),"格納済み")</f>
        <v>格納済み</v>
      </c>
      <c r="U3341" s="9" t="str">
        <f>IFERROR(__xludf.DUMMYFUNCTION("""COMPUTED_VALUE"""),"Ⓒ日山依/朝日新聞出版")</f>
        <v>Ⓒ日山依/朝日新聞出版</v>
      </c>
      <c r="V3341" s="8" t="str">
        <f>IFERROR(__xludf.DUMMYFUNCTION("""COMPUTED_VALUE"""),"ＩＴ企業に勤める27歳の松山志桜は、父の会社を救うため取引先の長男・悠一郎と見合いをすることになった。人身御供的なお見合いだと思っていたが現れたのはイケメン社長。志桜の決死のアプローチにより、ホテルに入ったふたり。ついに結ばれるかと思ったが、そこで悠一郎から衝撃の事実を聞かされる。悠一郎は好きな人が他の人に襲われているシチュエーションでしか興奮できない、ＮＴＲ体質だったのだ。志桜と悠一郎は、志桜の会社の社長で悠一郎の友人・ノアに協力をあおぐことに。ノアの協力もあり、志桜と悠一郎はめでたく結ばれることに成功"&amp;"するが、3人のいびつな関係はやがて――。")</f>
        <v>ＩＴ企業に勤める27歳の松山志桜は、父の会社を救うため取引先の長男・悠一郎と見合いをすることになった。人身御供的なお見合いだと思っていたが現れたのはイケメン社長。志桜の決死のアプローチにより、ホテルに入ったふたり。ついに結ばれるかと思ったが、そこで悠一郎から衝撃の事実を聞かされる。悠一郎は好きな人が他の人に襲われているシチュエーションでしか興奮できない、ＮＴＲ体質だったのだ。志桜と悠一郎は、志桜の会社の社長で悠一郎の友人・ノアに協力をあおぐことに。ノアの協力もあり、志桜と悠一郎はめでたく結ばれることに成功するが、3人のいびつな関係はやがて――。</v>
      </c>
      <c r="W3341" s="8" t="str">
        <f>IFERROR(__xludf.DUMMYFUNCTION("""COMPUTED_VALUE"""),"#REF!")</f>
        <v>#REF!</v>
      </c>
      <c r="X3341" s="8" t="str">
        <f>IFERROR(__xludf.DUMMYFUNCTION("""COMPUTED_VALUE"""),"有")</f>
        <v>有</v>
      </c>
      <c r="Y3341" s="8" t="str">
        <f>IFERROR(__xludf.DUMMYFUNCTION("""COMPUTED_VALUE"""),"2026/4/29まで1巻無料")</f>
        <v>2026/4/29まで1巻無料</v>
      </c>
      <c r="Z3341" s="7"/>
      <c r="AA3341" s="7"/>
      <c r="AB3341" s="7"/>
    </row>
    <row r="3342" ht="15.75" customHeight="1">
      <c r="A3342" s="26">
        <f>IFERROR(__xludf.DUMMYFUNCTION("""COMPUTED_VALUE"""),5522.0)</f>
        <v>5522</v>
      </c>
      <c r="B3342" s="22" t="str">
        <f>IFERROR(__xludf.DUMMYFUNCTION("""COMPUTED_VALUE"""),"確定")</f>
        <v>確定</v>
      </c>
      <c r="C3342" s="28">
        <f>IFERROR(__xludf.DUMMYFUNCTION("""COMPUTED_VALUE"""),45769.0)</f>
        <v>45769</v>
      </c>
      <c r="D3342" s="28">
        <f>IFERROR(__xludf.DUMMYFUNCTION("""COMPUTED_VALUE"""),45796.0)</f>
        <v>45796</v>
      </c>
      <c r="E3342" s="26">
        <f>IFERROR(__xludf.DUMMYFUNCTION("""COMPUTED_VALUE"""),324386.0)</f>
        <v>324386</v>
      </c>
      <c r="F3342" s="22" t="str">
        <f>IFERROR(__xludf.DUMMYFUNCTION("""COMPUTED_VALUE"""),"母の元カレ【単話】")</f>
        <v>母の元カレ【単話】</v>
      </c>
      <c r="G3342" s="20" t="str">
        <f>IFERROR(__xludf.DUMMYFUNCTION("""COMPUTED_VALUE"""),"1～3")</f>
        <v>1～3</v>
      </c>
      <c r="H3342" s="22" t="str">
        <f>IFERROR(__xludf.DUMMYFUNCTION("""COMPUTED_VALUE"""),"山田可南")</f>
        <v>山田可南</v>
      </c>
      <c r="I3342" s="22" t="str">
        <f>IFERROR(__xludf.DUMMYFUNCTION("""COMPUTED_VALUE"""),"女性")</f>
        <v>女性</v>
      </c>
      <c r="J3342" s="22"/>
      <c r="K3342" s="22"/>
      <c r="L3342" s="22" t="str">
        <f>IFERROR(__xludf.DUMMYFUNCTION("""COMPUTED_VALUE"""),"朝日新聞出版")</f>
        <v>朝日新聞出版</v>
      </c>
      <c r="M3342" s="33">
        <f>IFERROR(__xludf.DUMMYFUNCTION("""COMPUTED_VALUE"""),45807.0)</f>
        <v>45807</v>
      </c>
      <c r="N3342" s="33">
        <f>IFERROR(__xludf.DUMMYFUNCTION("""COMPUTED_VALUE"""),45898.0)</f>
        <v>45898</v>
      </c>
      <c r="O3342" s="20"/>
      <c r="P3342" s="32" t="str">
        <f>IFERROR(__xludf.DUMMYFUNCTION("""COMPUTED_VALUE"""),"可")</f>
        <v>可</v>
      </c>
      <c r="Q3342" s="30"/>
      <c r="R3342" s="22" t="str">
        <f>IFERROR(__xludf.DUMMYFUNCTION("""COMPUTED_VALUE"""),"コミットNG")</f>
        <v>コミットNG</v>
      </c>
      <c r="S3342" s="22" t="str">
        <f>IFERROR(__xludf.DUMMYFUNCTION("""COMPUTED_VALUE"""),"20250422_朝日新聞出版_母の元カレ")</f>
        <v>20250422_朝日新聞出版_母の元カレ</v>
      </c>
      <c r="T3342" s="22" t="str">
        <f>IFERROR(__xludf.DUMMYFUNCTION("""COMPUTED_VALUE"""),"格納済み")</f>
        <v>格納済み</v>
      </c>
      <c r="U3342" s="9" t="str">
        <f>IFERROR(__xludf.DUMMYFUNCTION("""COMPUTED_VALUE"""),"Ⓒ山田可南/朝日新聞出版")</f>
        <v>Ⓒ山田可南/朝日新聞出版</v>
      </c>
      <c r="V3342" s="8" t="str">
        <f>IFERROR(__xludf.DUMMYFUNCTION("""COMPUTED_VALUE"""),"主人公・直臣（なおみ）は愛する勇太と結婚式を挙げ、あとは婚姻届をだすだけ。しかし保証人として判を押してくれるはずの母が失踪してしまった。海外赴任のため勇太は先に渡米し、直臣がひとり母を探すことに。情報をもとめ、母の行きつけのカフェに行ってみると、イケメンの店主が抱き着いてくる。実は、母の元カレで、母が突如失踪したために、憔悴しきっているという。直臣は、カフェ店主とともに母を探すが、そのうちに店主のことが気になり始めてしまうのだった――。")</f>
        <v>主人公・直臣（なおみ）は愛する勇太と結婚式を挙げ、あとは婚姻届をだすだけ。しかし保証人として判を押してくれるはずの母が失踪してしまった。海外赴任のため勇太は先に渡米し、直臣がひとり母を探すことに。情報をもとめ、母の行きつけのカフェに行ってみると、イケメンの店主が抱き着いてくる。実は、母の元カレで、母が突如失踪したために、憔悴しきっているという。直臣は、カフェ店主とともに母を探すが、そのうちに店主のことが気になり始めてしまうのだった――。</v>
      </c>
      <c r="W3342" s="8" t="str">
        <f>IFERROR(__xludf.DUMMYFUNCTION("""COMPUTED_VALUE"""),"#REF!")</f>
        <v>#REF!</v>
      </c>
      <c r="X3342" s="8" t="str">
        <f>IFERROR(__xludf.DUMMYFUNCTION("""COMPUTED_VALUE"""),"有")</f>
        <v>有</v>
      </c>
      <c r="Y3342" s="8" t="str">
        <f>IFERROR(__xludf.DUMMYFUNCTION("""COMPUTED_VALUE"""),"2026/4/29まで1巻無料")</f>
        <v>2026/4/29まで1巻無料</v>
      </c>
      <c r="Z3342" s="7"/>
      <c r="AA3342" s="7"/>
      <c r="AB3342" s="7"/>
    </row>
    <row r="3343" ht="15.75" customHeight="1">
      <c r="A3343" s="26">
        <f>IFERROR(__xludf.DUMMYFUNCTION("""COMPUTED_VALUE"""),5523.0)</f>
        <v>5523</v>
      </c>
      <c r="B3343" s="22" t="str">
        <f>IFERROR(__xludf.DUMMYFUNCTION("""COMPUTED_VALUE"""),"確定")</f>
        <v>確定</v>
      </c>
      <c r="C3343" s="28">
        <f>IFERROR(__xludf.DUMMYFUNCTION("""COMPUTED_VALUE"""),45769.0)</f>
        <v>45769</v>
      </c>
      <c r="D3343" s="28">
        <f>IFERROR(__xludf.DUMMYFUNCTION("""COMPUTED_VALUE"""),45796.0)</f>
        <v>45796</v>
      </c>
      <c r="E3343" s="26">
        <f>IFERROR(__xludf.DUMMYFUNCTION("""COMPUTED_VALUE"""),324388.0)</f>
        <v>324388</v>
      </c>
      <c r="F3343" s="22" t="str">
        <f>IFERROR(__xludf.DUMMYFUNCTION("""COMPUTED_VALUE"""),"赤眼と白狐の生贄婚【単話】")</f>
        <v>赤眼と白狐の生贄婚【単話】</v>
      </c>
      <c r="G3343" s="20" t="str">
        <f>IFERROR(__xludf.DUMMYFUNCTION("""COMPUTED_VALUE"""),"1～3")</f>
        <v>1～3</v>
      </c>
      <c r="H3343" s="22" t="str">
        <f>IFERROR(__xludf.DUMMYFUNCTION("""COMPUTED_VALUE"""),"原作・葵日向 ／ 作画・高橋えむ太")</f>
        <v>原作・葵日向 ／ 作画・高橋えむ太</v>
      </c>
      <c r="I3343" s="22" t="str">
        <f>IFERROR(__xludf.DUMMYFUNCTION("""COMPUTED_VALUE"""),"女性")</f>
        <v>女性</v>
      </c>
      <c r="J3343" s="22"/>
      <c r="K3343" s="22"/>
      <c r="L3343" s="22" t="str">
        <f>IFERROR(__xludf.DUMMYFUNCTION("""COMPUTED_VALUE"""),"朝日新聞出版")</f>
        <v>朝日新聞出版</v>
      </c>
      <c r="M3343" s="33">
        <f>IFERROR(__xludf.DUMMYFUNCTION("""COMPUTED_VALUE"""),45807.0)</f>
        <v>45807</v>
      </c>
      <c r="N3343" s="33">
        <f>IFERROR(__xludf.DUMMYFUNCTION("""COMPUTED_VALUE"""),45898.0)</f>
        <v>45898</v>
      </c>
      <c r="O3343" s="20"/>
      <c r="P3343" s="32" t="str">
        <f>IFERROR(__xludf.DUMMYFUNCTION("""COMPUTED_VALUE"""),"可")</f>
        <v>可</v>
      </c>
      <c r="Q3343" s="30"/>
      <c r="R3343" s="22" t="str">
        <f>IFERROR(__xludf.DUMMYFUNCTION("""COMPUTED_VALUE"""),"コミットNG")</f>
        <v>コミットNG</v>
      </c>
      <c r="S3343" s="22" t="str">
        <f>IFERROR(__xludf.DUMMYFUNCTION("""COMPUTED_VALUE"""),"20250422_朝日新聞出版_赤眼と白狐の生贄婚")</f>
        <v>20250422_朝日新聞出版_赤眼と白狐の生贄婚</v>
      </c>
      <c r="T3343" s="22" t="str">
        <f>IFERROR(__xludf.DUMMYFUNCTION("""COMPUTED_VALUE"""),"格納済み")</f>
        <v>格納済み</v>
      </c>
      <c r="U3343" s="9" t="str">
        <f>IFERROR(__xludf.DUMMYFUNCTION("""COMPUTED_VALUE"""),"Ⓒ葵日向・高橋えむ太/朝日新聞出版")</f>
        <v>Ⓒ葵日向・高橋えむ太/朝日新聞出版</v>
      </c>
      <c r="V3343" s="8" t="str">
        <f>IFERROR(__xludf.DUMMYFUNCTION("""COMPUTED_VALUE"""),"代々村長を務める伊集隠家の長女・梅は、赤い目と赤い髪を持つことから「呪いの子」と呼ばれ、一族から疎まれて育つ。幼い頃、罠にかかった白い狐を助けた時も咎められ、厳しい罰を受ける。それから五年、田畑の実りが悪く、飢饉の兆しに不安を募らせた村人たちは、狐の妖を鎮めるための生贄を求める。そして梅は、妹・桜の代わりに差し出されることになり――。")</f>
        <v>代々村長を務める伊集隠家の長女・梅は、赤い目と赤い髪を持つことから「呪いの子」と呼ばれ、一族から疎まれて育つ。幼い頃、罠にかかった白い狐を助けた時も咎められ、厳しい罰を受ける。それから五年、田畑の実りが悪く、飢饉の兆しに不安を募らせた村人たちは、狐の妖を鎮めるための生贄を求める。そして梅は、妹・桜の代わりに差し出されることになり――。</v>
      </c>
      <c r="W3343" s="8" t="str">
        <f>IFERROR(__xludf.DUMMYFUNCTION("""COMPUTED_VALUE"""),"#REF!")</f>
        <v>#REF!</v>
      </c>
      <c r="X3343" s="8" t="str">
        <f>IFERROR(__xludf.DUMMYFUNCTION("""COMPUTED_VALUE"""),"有")</f>
        <v>有</v>
      </c>
      <c r="Y3343" s="8" t="str">
        <f>IFERROR(__xludf.DUMMYFUNCTION("""COMPUTED_VALUE"""),"2026/4/29まで1巻無料")</f>
        <v>2026/4/29まで1巻無料</v>
      </c>
      <c r="Z3343" s="7"/>
      <c r="AA3343" s="7"/>
      <c r="AB3343" s="7"/>
    </row>
    <row r="3344" ht="15.75" customHeight="1">
      <c r="A3344" s="26">
        <f>IFERROR(__xludf.DUMMYFUNCTION("""COMPUTED_VALUE"""),5575.0)</f>
        <v>5575</v>
      </c>
      <c r="B3344" s="22" t="str">
        <f>IFERROR(__xludf.DUMMYFUNCTION("""COMPUTED_VALUE"""),"確定")</f>
        <v>確定</v>
      </c>
      <c r="C3344" s="28">
        <f>IFERROR(__xludf.DUMMYFUNCTION("""COMPUTED_VALUE"""),45785.0)</f>
        <v>45785</v>
      </c>
      <c r="D3344" s="28">
        <f>IFERROR(__xludf.DUMMYFUNCTION("""COMPUTED_VALUE"""),45791.0)</f>
        <v>45791</v>
      </c>
      <c r="E3344" s="26">
        <f>IFERROR(__xludf.DUMMYFUNCTION("""COMPUTED_VALUE"""),324709.0)</f>
        <v>324709</v>
      </c>
      <c r="F3344" s="22" t="str">
        <f>IFERROR(__xludf.DUMMYFUNCTION("""COMPUTED_VALUE"""),"後宮の鬼【分冊版】")</f>
        <v>後宮の鬼【分冊版】</v>
      </c>
      <c r="G3344" s="20" t="str">
        <f>IFERROR(__xludf.DUMMYFUNCTION("""COMPUTED_VALUE"""),"1～5")</f>
        <v>1～5</v>
      </c>
      <c r="H3344" s="22" t="str">
        <f>IFERROR(__xludf.DUMMYFUNCTION("""COMPUTED_VALUE"""),"春日かおる┴ひなた カスガカオル┴ヒナタ 漫画┴原作")</f>
        <v>春日かおる┴ひなた カスガカオル┴ヒナタ 漫画┴原作</v>
      </c>
      <c r="I3344" s="22" t="str">
        <f>IFERROR(__xludf.DUMMYFUNCTION("""COMPUTED_VALUE"""),"女性")</f>
        <v>女性</v>
      </c>
      <c r="J3344" s="22"/>
      <c r="K3344" s="22"/>
      <c r="L3344" s="22" t="str">
        <f>IFERROR(__xludf.DUMMYFUNCTION("""COMPUTED_VALUE"""),"Amazia")</f>
        <v>Amazia</v>
      </c>
      <c r="M3344" s="33">
        <f>IFERROR(__xludf.DUMMYFUNCTION("""COMPUTED_VALUE"""),45809.0)</f>
        <v>45809</v>
      </c>
      <c r="N3344" s="33">
        <f>IFERROR(__xludf.DUMMYFUNCTION("""COMPUTED_VALUE"""),45900.0)</f>
        <v>45900</v>
      </c>
      <c r="O3344" s="20"/>
      <c r="P3344" s="32" t="str">
        <f>IFERROR(__xludf.DUMMYFUNCTION("""COMPUTED_VALUE"""),"可")</f>
        <v>可</v>
      </c>
      <c r="Q3344" s="30"/>
      <c r="R3344" s="22"/>
      <c r="S3344" s="22" t="str">
        <f>IFERROR(__xludf.DUMMYFUNCTION("""COMPUTED_VALUE"""),"20250508_Amazia_後宮の鬼")</f>
        <v>20250508_Amazia_後宮の鬼</v>
      </c>
      <c r="T3344" s="22" t="str">
        <f>IFERROR(__xludf.DUMMYFUNCTION("""COMPUTED_VALUE"""),"格納済み")</f>
        <v>格納済み</v>
      </c>
      <c r="U3344" s="9" t="str">
        <f>IFERROR(__xludf.DUMMYFUNCTION("""COMPUTED_VALUE"""),"Ⓒ春日かおる/ひなた/everystar/Amazia,inc.")</f>
        <v>Ⓒ春日かおる/ひなた/everystar/Amazia,inc.</v>
      </c>
      <c r="V3344" s="8" t="str">
        <f>IFERROR(__xludf.DUMMYFUNCTION("""COMPUTED_VALUE"""),"『帝の寵愛を受ける選ばれし姫は、実は醜い鬼だったーー』
小説投稿サイト「エブリスタ」で大人気！ 女のドロドロ×異種間恋愛×背後にうごめく陰謀を描いた
平安ロマンス・ファンタジー『後宮の鬼』が待望のコミカライズ!!
時は平安――。入内した姫たちが暮らす後宮には、帝の寵愛をめぐる女同士の激しい嫉妬や嫌がらせ、帝を玉座から引きずりおろそうとする男たちの陰謀など、人間たちの浅ましい欲望が渦巻いていた。ある時、帝が余命いくばくもないという噂が流れ始める。それは、天上から愚かな人間たちを眺めていた鬼の間"&amp;"でも噂され、ひとりの鬼が内裏に入ることを決意した。その鬼の名は、梦月（むげつ）。幼い頃の帝とある“約束”をしたという梦月は、その約束を果たすため、陰陽師が張った結界をかいくぐり入内を試みるが…。果たして梦月は、魑魅魍魎よりも恐ろしい人間たちの愛憎と謀略が渦巻く後宮で、帝を救えるのかーー。また、鬼の梦月と帝の間に芽生える感情の行方はーー!?")</f>
        <v>『帝の寵愛を受ける選ばれし姫は、実は醜い鬼だったーー』
小説投稿サイト「エブリスタ」で大人気！ 女のドロドロ×異種間恋愛×背後にうごめく陰謀を描いた
平安ロマンス・ファンタジー『後宮の鬼』が待望のコミカライズ!!
時は平安――。入内した姫たちが暮らす後宮には、帝の寵愛をめぐる女同士の激しい嫉妬や嫌がらせ、帝を玉座から引きずりおろそうとする男たちの陰謀など、人間たちの浅ましい欲望が渦巻いていた。ある時、帝が余命いくばくもないという噂が流れ始める。それは、天上から愚かな人間たちを眺めていた鬼の間でも噂され、ひとりの鬼が内裏に入ることを決意した。その鬼の名は、梦月（むげつ）。幼い頃の帝とある“約束”をしたという梦月は、その約束を果たすため、陰陽師が張った結界をかいくぐり入内を試みるが…。果たして梦月は、魑魅魍魎よりも恐ろしい人間たちの愛憎と謀略が渦巻く後宮で、帝を救えるのかーー。また、鬼の梦月と帝の間に芽生える感情の行方はーー!?</v>
      </c>
      <c r="W3344" s="8" t="str">
        <f>IFERROR(__xludf.DUMMYFUNCTION("""COMPUTED_VALUE"""),"#REF!")</f>
        <v>#REF!</v>
      </c>
      <c r="X3344" s="8" t="str">
        <f>IFERROR(__xludf.DUMMYFUNCTION("""COMPUTED_VALUE"""),"有")</f>
        <v>有</v>
      </c>
      <c r="Y3344" s="8" t="str">
        <f>IFERROR(__xludf.DUMMYFUNCTION("""COMPUTED_VALUE"""),"2025/8/31まで1巻無料")</f>
        <v>2025/8/31まで1巻無料</v>
      </c>
      <c r="Z3344" s="7"/>
      <c r="AA3344" s="7"/>
      <c r="AB3344" s="7"/>
    </row>
    <row r="3345" ht="15.75" customHeight="1">
      <c r="A3345" s="26">
        <f>IFERROR(__xludf.DUMMYFUNCTION("""COMPUTED_VALUE"""),5603.0)</f>
        <v>5603</v>
      </c>
      <c r="B3345" s="22" t="str">
        <f>IFERROR(__xludf.DUMMYFUNCTION("""COMPUTED_VALUE"""),"確定")</f>
        <v>確定</v>
      </c>
      <c r="C3345" s="28">
        <f>IFERROR(__xludf.DUMMYFUNCTION("""COMPUTED_VALUE"""),45789.0)</f>
        <v>45789</v>
      </c>
      <c r="D3345" s="28">
        <f>IFERROR(__xludf.DUMMYFUNCTION("""COMPUTED_VALUE"""),45797.0)</f>
        <v>45797</v>
      </c>
      <c r="E3345" s="26">
        <f>IFERROR(__xludf.DUMMYFUNCTION("""COMPUTED_VALUE"""),313416.0)</f>
        <v>313416</v>
      </c>
      <c r="F3345" s="22" t="str">
        <f>IFERROR(__xludf.DUMMYFUNCTION("""COMPUTED_VALUE"""),"幼馴染のかくしごと")</f>
        <v>幼馴染のかくしごと</v>
      </c>
      <c r="G3345" s="20">
        <f>IFERROR(__xludf.DUMMYFUNCTION("""COMPUTED_VALUE"""),1.0)</f>
        <v>1</v>
      </c>
      <c r="H3345" s="22" t="str">
        <f>IFERROR(__xludf.DUMMYFUNCTION("""COMPUTED_VALUE"""),"甘奈かな")</f>
        <v>甘奈かな</v>
      </c>
      <c r="I3345" s="22" t="str">
        <f>IFERROR(__xludf.DUMMYFUNCTION("""COMPUTED_VALUE"""),"BLマンガ")</f>
        <v>BLマンガ</v>
      </c>
      <c r="J3345" s="22"/>
      <c r="K3345" s="22" t="str">
        <f>IFERROR(__xludf.DUMMYFUNCTION("""COMPUTED_VALUE"""),"Ficus")</f>
        <v>Ficus</v>
      </c>
      <c r="L3345" s="22" t="str">
        <f>IFERROR(__xludf.DUMMYFUNCTION("""COMPUTED_VALUE"""),"シーモアコミックス")</f>
        <v>シーモアコミックス</v>
      </c>
      <c r="M3345" s="33">
        <f>IFERROR(__xludf.DUMMYFUNCTION("""COMPUTED_VALUE"""),45822.0)</f>
        <v>45822</v>
      </c>
      <c r="N3345" s="33">
        <f>IFERROR(__xludf.DUMMYFUNCTION("""COMPUTED_VALUE"""),45974.0)</f>
        <v>45974</v>
      </c>
      <c r="O3345" s="20"/>
      <c r="P3345" s="32" t="str">
        <f>IFERROR(__xludf.DUMMYFUNCTION("""COMPUTED_VALUE"""),"可")</f>
        <v>可</v>
      </c>
      <c r="Q3345" s="30" t="str">
        <f>IFERROR(__xludf.DUMMYFUNCTION("""COMPUTED_VALUE"""),"※読み切り作品のため1巻のみですが出稿お願いします")</f>
        <v>※読み切り作品のため1巻のみですが出稿お願いします</v>
      </c>
      <c r="R3345" s="22"/>
      <c r="S3345" s="22" t="str">
        <f>IFERROR(__xludf.DUMMYFUNCTION("""COMPUTED_VALUE"""),"20250512_シーモアコミックス_幼馴染のかくしごと")</f>
        <v>20250512_シーモアコミックス_幼馴染のかくしごと</v>
      </c>
      <c r="T3345" s="22" t="str">
        <f>IFERROR(__xludf.DUMMYFUNCTION("""COMPUTED_VALUE"""),"格納済み")</f>
        <v>格納済み</v>
      </c>
      <c r="U3345" s="9" t="str">
        <f>IFERROR(__xludf.DUMMYFUNCTION("""COMPUTED_VALUE"""),"(C) 甘奈かな/シーモアコミックス")</f>
        <v>(C) 甘奈かな/シーモアコミックス</v>
      </c>
      <c r="V3345" s="8" t="str">
        <f>IFERROR(__xludf.DUMMYFUNCTION("""COMPUTED_VALUE"""),"かわいくて刺激的! 幼馴染の関係ががらりと変わる一夜ラブ☆
五月（さつき）と葵（あおい）は中学・高校・大学、さらには就職先も同じ幼馴染だ。やる気が空回り気味の五月と対照的に、葵は高額契約もゲットする職場のエース。少し差を感じるけれど、職場を出ればなんでも話し合える大親友…のはずだったのに、葵の家でまさかの秘密があらわになって!?【フィカス】")</f>
        <v>かわいくて刺激的! 幼馴染の関係ががらりと変わる一夜ラブ☆
五月（さつき）と葵（あおい）は中学・高校・大学、さらには就職先も同じ幼馴染だ。やる気が空回り気味の五月と対照的に、葵は高額契約もゲットする職場のエース。少し差を感じるけれど、職場を出ればなんでも話し合える大親友…のはずだったのに、葵の家でまさかの秘密があらわになって!?【フィカス】</v>
      </c>
      <c r="W3345" s="8" t="str">
        <f>IFERROR(__xludf.DUMMYFUNCTION("""COMPUTED_VALUE"""),"#REF!")</f>
        <v>#REF!</v>
      </c>
      <c r="X3345" s="8" t="str">
        <f>IFERROR(__xludf.DUMMYFUNCTION("""COMPUTED_VALUE"""),"有")</f>
        <v>有</v>
      </c>
      <c r="Y3345" s="8" t="str">
        <f>IFERROR(__xludf.DUMMYFUNCTION("""COMPUTED_VALUE"""),"P7まで")</f>
        <v>P7まで</v>
      </c>
      <c r="Z3345" s="7"/>
      <c r="AA3345" s="7"/>
      <c r="AB3345" s="7"/>
    </row>
    <row r="3346" ht="15.75" customHeight="1">
      <c r="A3346" s="26">
        <f>IFERROR(__xludf.DUMMYFUNCTION("""COMPUTED_VALUE"""),5612.0)</f>
        <v>5612</v>
      </c>
      <c r="B3346" s="22" t="str">
        <f>IFERROR(__xludf.DUMMYFUNCTION("""COMPUTED_VALUE"""),"確定")</f>
        <v>確定</v>
      </c>
      <c r="C3346" s="28">
        <f>IFERROR(__xludf.DUMMYFUNCTION("""COMPUTED_VALUE"""),45790.0)</f>
        <v>45790</v>
      </c>
      <c r="D3346" s="28">
        <f>IFERROR(__xludf.DUMMYFUNCTION("""COMPUTED_VALUE"""),45798.0)</f>
        <v>45798</v>
      </c>
      <c r="E3346" s="26">
        <f>IFERROR(__xludf.DUMMYFUNCTION("""COMPUTED_VALUE"""),326723.0)</f>
        <v>326723</v>
      </c>
      <c r="F3346" s="22" t="str">
        <f>IFERROR(__xludf.DUMMYFUNCTION("""COMPUTED_VALUE"""),"ダブルリベンジ～サレ妻とサレ夫の復讐計画～")</f>
        <v>ダブルリベンジ～サレ妻とサレ夫の復讐計画～</v>
      </c>
      <c r="G3346" s="20" t="str">
        <f>IFERROR(__xludf.DUMMYFUNCTION("""COMPUTED_VALUE"""),"1～13")</f>
        <v>1～13</v>
      </c>
      <c r="H3346" s="22" t="str">
        <f>IFERROR(__xludf.DUMMYFUNCTION("""COMPUTED_VALUE"""),"なつまろ。┴エトワール編集部")</f>
        <v>なつまろ。┴エトワール編集部</v>
      </c>
      <c r="I3346" s="22" t="str">
        <f>IFERROR(__xludf.DUMMYFUNCTION("""COMPUTED_VALUE"""),"女性")</f>
        <v>女性</v>
      </c>
      <c r="J3346" s="22"/>
      <c r="K3346" s="22"/>
      <c r="L3346" s="22" t="str">
        <f>IFERROR(__xludf.DUMMYFUNCTION("""COMPUTED_VALUE"""),"ライブコミックス")</f>
        <v>ライブコミックス</v>
      </c>
      <c r="M3346" s="33">
        <f>IFERROR(__xludf.DUMMYFUNCTION("""COMPUTED_VALUE"""),45835.0)</f>
        <v>45835</v>
      </c>
      <c r="N3346" s="33">
        <f>IFERROR(__xludf.DUMMYFUNCTION("""COMPUTED_VALUE"""),45925.0)</f>
        <v>45925</v>
      </c>
      <c r="O3346" s="20"/>
      <c r="P3346" s="32" t="str">
        <f>IFERROR(__xludf.DUMMYFUNCTION("""COMPUTED_VALUE"""),"可")</f>
        <v>可</v>
      </c>
      <c r="Q3346" s="30" t="str">
        <f>IFERROR(__xludf.DUMMYFUNCTION("""COMPUTED_VALUE"""),"BookLiveからの2次先行です。&lt;BR&gt;1～11巻までの内容にてご検討＆ご制作をお願いします。")</f>
        <v>BookLiveからの2次先行です。&lt;BR&gt;1～11巻までの内容にてご検討＆ご制作をお願いします。</v>
      </c>
      <c r="R3346" s="22" t="str">
        <f>IFERROR(__xludf.DUMMYFUNCTION("""COMPUTED_VALUE"""),"コミットOK")</f>
        <v>コミットOK</v>
      </c>
      <c r="S3346" s="22" t="str">
        <f>IFERROR(__xludf.DUMMYFUNCTION("""COMPUTED_VALUE"""),"20250513_BookLive_ダブルリベンジ～サレ妻とサレ夫の復讐計画～")</f>
        <v>20250513_BookLive_ダブルリベンジ～サレ妻とサレ夫の復讐計画～</v>
      </c>
      <c r="T3346" s="22" t="str">
        <f>IFERROR(__xludf.DUMMYFUNCTION("""COMPUTED_VALUE"""),"格納済み")</f>
        <v>格納済み</v>
      </c>
      <c r="U3346" s="9" t="str">
        <f>IFERROR(__xludf.DUMMYFUNCTION("""COMPUTED_VALUE"""),"(C)なつまろ。/ライブコミックス")</f>
        <v>(C)なつまろ。/ライブコミックス</v>
      </c>
      <c r="V3346" s="8"/>
      <c r="W3346" s="8"/>
      <c r="X3346" s="8" t="str">
        <f>IFERROR(__xludf.DUMMYFUNCTION("""COMPUTED_VALUE"""),"有")</f>
        <v>有</v>
      </c>
      <c r="Y3346" s="8" t="str">
        <f>IFERROR(__xludf.DUMMYFUNCTION("""COMPUTED_VALUE"""),"2025/9/25まで1~2巻無料")</f>
        <v>2025/9/25まで1~2巻無料</v>
      </c>
      <c r="Z3346" s="7"/>
      <c r="AA3346" s="7"/>
      <c r="AB3346" s="7"/>
    </row>
    <row r="3347" ht="15.75" customHeight="1">
      <c r="A3347" s="26">
        <f>IFERROR(__xludf.DUMMYFUNCTION("""COMPUTED_VALUE"""),5616.0)</f>
        <v>5616</v>
      </c>
      <c r="B3347" s="22" t="str">
        <f>IFERROR(__xludf.DUMMYFUNCTION("""COMPUTED_VALUE"""),"確定")</f>
        <v>確定</v>
      </c>
      <c r="C3347" s="28">
        <f>IFERROR(__xludf.DUMMYFUNCTION("""COMPUTED_VALUE"""),45791.0)</f>
        <v>45791</v>
      </c>
      <c r="D3347" s="28">
        <f>IFERROR(__xludf.DUMMYFUNCTION("""COMPUTED_VALUE"""),45798.0)</f>
        <v>45798</v>
      </c>
      <c r="E3347" s="26">
        <f>IFERROR(__xludf.DUMMYFUNCTION("""COMPUTED_VALUE"""),327794.0)</f>
        <v>327794</v>
      </c>
      <c r="F3347" s="22" t="str">
        <f>IFERROR(__xludf.DUMMYFUNCTION("""COMPUTED_VALUE"""),"宮廷鍵師、【時間停止（ロック）】と【分子分解（リリース）】の能力を隠していたら追放される～封印していた魔王が暴れ出したみたいだけど、S級冒険者とダンジョン制覇するのでもう遅いです～【分冊版】")</f>
        <v>宮廷鍵師、【時間停止（ロック）】と【分子分解（リリース）】の能力を隠していたら追放される～封印していた魔王が暴れ出したみたいだけど、S級冒険者とダンジョン制覇するのでもう遅いです～【分冊版】</v>
      </c>
      <c r="G3347" s="20" t="str">
        <f>IFERROR(__xludf.DUMMYFUNCTION("""COMPUTED_VALUE"""),"1～7")</f>
        <v>1～7</v>
      </c>
      <c r="H3347" s="22" t="str">
        <f>IFERROR(__xludf.DUMMYFUNCTION("""COMPUTED_VALUE"""),"原作：延野正行 漫画：水陸カラカ")</f>
        <v>原作：延野正行 漫画：水陸カラカ</v>
      </c>
      <c r="I3347" s="22" t="str">
        <f>IFERROR(__xludf.DUMMYFUNCTION("""COMPUTED_VALUE"""),"少年")</f>
        <v>少年</v>
      </c>
      <c r="J3347" s="22"/>
      <c r="K3347" s="22"/>
      <c r="L3347" s="22" t="str">
        <f>IFERROR(__xludf.DUMMYFUNCTION("""COMPUTED_VALUE"""),"マンガボックス")</f>
        <v>マンガボックス</v>
      </c>
      <c r="M3347" s="33">
        <f>IFERROR(__xludf.DUMMYFUNCTION("""COMPUTED_VALUE"""),45838.0)</f>
        <v>45838</v>
      </c>
      <c r="N3347" s="33">
        <f>IFERROR(__xludf.DUMMYFUNCTION("""COMPUTED_VALUE"""),45990.70833333333)</f>
        <v>45990.70833</v>
      </c>
      <c r="O3347" s="20"/>
      <c r="P3347" s="32" t="str">
        <f>IFERROR(__xludf.DUMMYFUNCTION("""COMPUTED_VALUE"""),"可")</f>
        <v>可</v>
      </c>
      <c r="Q3347" s="30" t="str">
        <f>IFERROR(__xludf.DUMMYFUNCTION("""COMPUTED_VALUE"""),"マンガボックス様編集部内でもかなり期待値の高い作品とのことですので、どうぞよろしくお願いいたします！&lt;BR&gt;・単行本も先行です&lt;BR&gt;・シーモア独占になりました！")</f>
        <v>マンガボックス様編集部内でもかなり期待値の高い作品とのことですので、どうぞよろしくお願いいたします！&lt;BR&gt;・単行本も先行です&lt;BR&gt;・シーモア独占になりました！</v>
      </c>
      <c r="R3347" s="22" t="str">
        <f>IFERROR(__xludf.DUMMYFUNCTION("""COMPUTED_VALUE"""),"コミットOK")</f>
        <v>コミットOK</v>
      </c>
      <c r="S3347" s="22" t="str">
        <f>IFERROR(__xludf.DUMMYFUNCTION("""COMPUTED_VALUE"""),"20250520_マンガボックス_宮廷鍵師")</f>
        <v>20250520_マンガボックス_宮廷鍵師</v>
      </c>
      <c r="T3347" s="22" t="str">
        <f>IFERROR(__xludf.DUMMYFUNCTION("""COMPUTED_VALUE"""),"格納済み")</f>
        <v>格納済み</v>
      </c>
      <c r="U3347" s="9" t="str">
        <f>IFERROR(__xludf.DUMMYFUNCTION("""COMPUTED_VALUE"""),"Ⓒ延野正行・水陸カラカ/マンガボックス")</f>
        <v>Ⓒ延野正行・水陸カラカ/マンガボックス</v>
      </c>
      <c r="V3347" s="8"/>
      <c r="W3347" s="8"/>
      <c r="X3347" s="8" t="str">
        <f>IFERROR(__xludf.DUMMYFUNCTION("""COMPUTED_VALUE"""),"有")</f>
        <v>有</v>
      </c>
      <c r="Y3347" s="8" t="str">
        <f>IFERROR(__xludf.DUMMYFUNCTION("""COMPUTED_VALUE"""),"P24まで")</f>
        <v>P24まで</v>
      </c>
      <c r="Z3347" s="7"/>
      <c r="AA3347" s="7"/>
      <c r="AB3347" s="7"/>
    </row>
    <row r="3348" ht="15.75" customHeight="1">
      <c r="A3348" s="26">
        <f>IFERROR(__xludf.DUMMYFUNCTION("""COMPUTED_VALUE"""),5617.0)</f>
        <v>5617</v>
      </c>
      <c r="B3348" s="22" t="str">
        <f>IFERROR(__xludf.DUMMYFUNCTION("""COMPUTED_VALUE"""),"確定")</f>
        <v>確定</v>
      </c>
      <c r="C3348" s="28">
        <f>IFERROR(__xludf.DUMMYFUNCTION("""COMPUTED_VALUE"""),45791.0)</f>
        <v>45791</v>
      </c>
      <c r="D3348" s="28">
        <f>IFERROR(__xludf.DUMMYFUNCTION("""COMPUTED_VALUE"""),45797.0)</f>
        <v>45797</v>
      </c>
      <c r="E3348" s="26">
        <f>IFERROR(__xludf.DUMMYFUNCTION("""COMPUTED_VALUE"""),324966.0)</f>
        <v>324966</v>
      </c>
      <c r="F3348" s="22" t="str">
        <f>IFERROR(__xludf.DUMMYFUNCTION("""COMPUTED_VALUE"""),"今更、私を溺愛ですか？あんなに冷たかった婚約者からの執着に困惑してます！")</f>
        <v>今更、私を溺愛ですか？あんなに冷たかった婚約者からの執着に困惑してます！</v>
      </c>
      <c r="G3348" s="20" t="str">
        <f>IFERROR(__xludf.DUMMYFUNCTION("""COMPUTED_VALUE"""),"1～2")</f>
        <v>1～2</v>
      </c>
      <c r="H3348" s="22" t="str">
        <f>IFERROR(__xludf.DUMMYFUNCTION("""COMPUTED_VALUE"""),"いさ／COMIC ROOM")</f>
        <v>いさ／COMIC ROOM</v>
      </c>
      <c r="I3348" s="22" t="str">
        <f>IFERROR(__xludf.DUMMYFUNCTION("""COMPUTED_VALUE"""),"女性")</f>
        <v>女性</v>
      </c>
      <c r="J3348" s="22"/>
      <c r="K3348" s="22" t="str">
        <f>IFERROR(__xludf.DUMMYFUNCTION("""COMPUTED_VALUE"""),"COMIC MOON")</f>
        <v>COMIC MOON</v>
      </c>
      <c r="L3348" s="22" t="str">
        <f>IFERROR(__xludf.DUMMYFUNCTION("""COMPUTED_VALUE"""),"コミックルーム")</f>
        <v>コミックルーム</v>
      </c>
      <c r="M3348" s="33">
        <f>IFERROR(__xludf.DUMMYFUNCTION("""COMPUTED_VALUE"""),45823.0)</f>
        <v>45823</v>
      </c>
      <c r="N3348" s="33">
        <f>IFERROR(__xludf.DUMMYFUNCTION("""COMPUTED_VALUE"""),45914.0)</f>
        <v>45914</v>
      </c>
      <c r="O3348" s="20"/>
      <c r="P3348" s="32" t="str">
        <f>IFERROR(__xludf.DUMMYFUNCTION("""COMPUTED_VALUE"""),"可")</f>
        <v>可</v>
      </c>
      <c r="Q3348" s="30"/>
      <c r="R3348" s="22"/>
      <c r="S3348" s="22" t="str">
        <f>IFERROR(__xludf.DUMMYFUNCTION("""COMPUTED_VALUE"""),"20250514_コミックルーム_今更、私を溺愛ですか？あんなに冷たかった婚約者からの執着に困惑してます！")</f>
        <v>20250514_コミックルーム_今更、私を溺愛ですか？あんなに冷たかった婚約者からの執着に困惑してます！</v>
      </c>
      <c r="T3348" s="22" t="str">
        <f>IFERROR(__xludf.DUMMYFUNCTION("""COMPUTED_VALUE"""),"格納済み")</f>
        <v>格納済み</v>
      </c>
      <c r="U3348" s="9" t="str">
        <f>IFERROR(__xludf.DUMMYFUNCTION("""COMPUTED_VALUE"""),"(c)いさ／COMIC ROOM")</f>
        <v>(c)いさ／COMIC ROOM</v>
      </c>
      <c r="V3348" s="8"/>
      <c r="W3348" s="8"/>
      <c r="X3348" s="8" t="str">
        <f>IFERROR(__xludf.DUMMYFUNCTION("""COMPUTED_VALUE"""),"有")</f>
        <v>有</v>
      </c>
      <c r="Y3348" s="8" t="str">
        <f>IFERROR(__xludf.DUMMYFUNCTION("""COMPUTED_VALUE"""),"P14まで")</f>
        <v>P14まで</v>
      </c>
      <c r="Z3348" s="7"/>
      <c r="AA3348" s="7"/>
      <c r="AB3348" s="7"/>
    </row>
    <row r="3349" ht="15.75" customHeight="1">
      <c r="A3349" s="26">
        <f>IFERROR(__xludf.DUMMYFUNCTION("""COMPUTED_VALUE"""),5618.0)</f>
        <v>5618</v>
      </c>
      <c r="B3349" s="22" t="str">
        <f>IFERROR(__xludf.DUMMYFUNCTION("""COMPUTED_VALUE"""),"確定")</f>
        <v>確定</v>
      </c>
      <c r="C3349" s="28">
        <f>IFERROR(__xludf.DUMMYFUNCTION("""COMPUTED_VALUE"""),45791.0)</f>
        <v>45791</v>
      </c>
      <c r="D3349" s="28">
        <f>IFERROR(__xludf.DUMMYFUNCTION("""COMPUTED_VALUE"""),45797.0)</f>
        <v>45797</v>
      </c>
      <c r="E3349" s="26">
        <f>IFERROR(__xludf.DUMMYFUNCTION("""COMPUTED_VALUE"""),324967.0)</f>
        <v>324967</v>
      </c>
      <c r="F3349" s="22" t="str">
        <f>IFERROR(__xludf.DUMMYFUNCTION("""COMPUTED_VALUE"""),"身分差婚の申し入れですか！？…侯爵様、私、家庭教師でしたよね！？")</f>
        <v>身分差婚の申し入れですか！？…侯爵様、私、家庭教師でしたよね！？</v>
      </c>
      <c r="G3349" s="20" t="str">
        <f>IFERROR(__xludf.DUMMYFUNCTION("""COMPUTED_VALUE"""),"1～2")</f>
        <v>1～2</v>
      </c>
      <c r="H3349" s="22" t="str">
        <f>IFERROR(__xludf.DUMMYFUNCTION("""COMPUTED_VALUE"""),"米田マリコ／COMIC ROOM")</f>
        <v>米田マリコ／COMIC ROOM</v>
      </c>
      <c r="I3349" s="22" t="str">
        <f>IFERROR(__xludf.DUMMYFUNCTION("""COMPUTED_VALUE"""),"女性")</f>
        <v>女性</v>
      </c>
      <c r="J3349" s="22"/>
      <c r="K3349" s="22" t="str">
        <f>IFERROR(__xludf.DUMMYFUNCTION("""COMPUTED_VALUE"""),"COMIC MOON")</f>
        <v>COMIC MOON</v>
      </c>
      <c r="L3349" s="22" t="str">
        <f>IFERROR(__xludf.DUMMYFUNCTION("""COMPUTED_VALUE"""),"コミックルーム")</f>
        <v>コミックルーム</v>
      </c>
      <c r="M3349" s="33">
        <f>IFERROR(__xludf.DUMMYFUNCTION("""COMPUTED_VALUE"""),45823.0)</f>
        <v>45823</v>
      </c>
      <c r="N3349" s="33">
        <f>IFERROR(__xludf.DUMMYFUNCTION("""COMPUTED_VALUE"""),45914.0)</f>
        <v>45914</v>
      </c>
      <c r="O3349" s="20"/>
      <c r="P3349" s="32" t="str">
        <f>IFERROR(__xludf.DUMMYFUNCTION("""COMPUTED_VALUE"""),"可")</f>
        <v>可</v>
      </c>
      <c r="Q3349" s="30"/>
      <c r="R3349" s="22"/>
      <c r="S3349" s="22" t="str">
        <f>IFERROR(__xludf.DUMMYFUNCTION("""COMPUTED_VALUE"""),"20250514_コミックルーム_身分差婚の申し入れですか！？…侯爵様、私、家庭教師でしたよね！？")</f>
        <v>20250514_コミックルーム_身分差婚の申し入れですか！？…侯爵様、私、家庭教師でしたよね！？</v>
      </c>
      <c r="T3349" s="22" t="str">
        <f>IFERROR(__xludf.DUMMYFUNCTION("""COMPUTED_VALUE"""),"格納済み")</f>
        <v>格納済み</v>
      </c>
      <c r="U3349" s="9" t="str">
        <f>IFERROR(__xludf.DUMMYFUNCTION("""COMPUTED_VALUE"""),"(c)米田マリコ／COMIC ROOM")</f>
        <v>(c)米田マリコ／COMIC ROOM</v>
      </c>
      <c r="V3349" s="8"/>
      <c r="W3349" s="8"/>
      <c r="X3349" s="8" t="str">
        <f>IFERROR(__xludf.DUMMYFUNCTION("""COMPUTED_VALUE"""),"有")</f>
        <v>有</v>
      </c>
      <c r="Y3349" s="8" t="str">
        <f>IFERROR(__xludf.DUMMYFUNCTION("""COMPUTED_VALUE"""),"P15まで")</f>
        <v>P15まで</v>
      </c>
      <c r="Z3349" s="7"/>
      <c r="AA3349" s="7"/>
      <c r="AB3349" s="7"/>
    </row>
    <row r="3350" ht="15.75" customHeight="1">
      <c r="A3350" s="26">
        <f>IFERROR(__xludf.DUMMYFUNCTION("""COMPUTED_VALUE"""),5619.0)</f>
        <v>5619</v>
      </c>
      <c r="B3350" s="22" t="str">
        <f>IFERROR(__xludf.DUMMYFUNCTION("""COMPUTED_VALUE"""),"確定")</f>
        <v>確定</v>
      </c>
      <c r="C3350" s="28">
        <f>IFERROR(__xludf.DUMMYFUNCTION("""COMPUTED_VALUE"""),45791.0)</f>
        <v>45791</v>
      </c>
      <c r="D3350" s="28">
        <f>IFERROR(__xludf.DUMMYFUNCTION("""COMPUTED_VALUE"""),45797.0)</f>
        <v>45797</v>
      </c>
      <c r="E3350" s="26">
        <f>IFERROR(__xludf.DUMMYFUNCTION("""COMPUTED_VALUE"""),324969.0)</f>
        <v>324969</v>
      </c>
      <c r="F3350" s="22" t="str">
        <f>IFERROR(__xludf.DUMMYFUNCTION("""COMPUTED_VALUE"""),"婚約バトルで華麗に大逆転しました！")</f>
        <v>婚約バトルで華麗に大逆転しました！</v>
      </c>
      <c r="G3350" s="20" t="str">
        <f>IFERROR(__xludf.DUMMYFUNCTION("""COMPUTED_VALUE"""),"1～2")</f>
        <v>1～2</v>
      </c>
      <c r="H3350" s="22" t="str">
        <f>IFERROR(__xludf.DUMMYFUNCTION("""COMPUTED_VALUE"""),"光星影月／COMIC ROOM")</f>
        <v>光星影月／COMIC ROOM</v>
      </c>
      <c r="I3350" s="22" t="str">
        <f>IFERROR(__xludf.DUMMYFUNCTION("""COMPUTED_VALUE"""),"女性")</f>
        <v>女性</v>
      </c>
      <c r="J3350" s="22"/>
      <c r="K3350" s="22" t="str">
        <f>IFERROR(__xludf.DUMMYFUNCTION("""COMPUTED_VALUE"""),"COMIC MOON")</f>
        <v>COMIC MOON</v>
      </c>
      <c r="L3350" s="22" t="str">
        <f>IFERROR(__xludf.DUMMYFUNCTION("""COMPUTED_VALUE"""),"コミックルーム")</f>
        <v>コミックルーム</v>
      </c>
      <c r="M3350" s="33">
        <f>IFERROR(__xludf.DUMMYFUNCTION("""COMPUTED_VALUE"""),45823.0)</f>
        <v>45823</v>
      </c>
      <c r="N3350" s="33">
        <f>IFERROR(__xludf.DUMMYFUNCTION("""COMPUTED_VALUE"""),45914.0)</f>
        <v>45914</v>
      </c>
      <c r="O3350" s="20"/>
      <c r="P3350" s="32" t="str">
        <f>IFERROR(__xludf.DUMMYFUNCTION("""COMPUTED_VALUE"""),"可")</f>
        <v>可</v>
      </c>
      <c r="Q3350" s="30"/>
      <c r="R3350" s="22"/>
      <c r="S3350" s="22" t="str">
        <f>IFERROR(__xludf.DUMMYFUNCTION("""COMPUTED_VALUE"""),"20250514_コミックルーム_婚約バトルで華麗に大逆転しました")</f>
        <v>20250514_コミックルーム_婚約バトルで華麗に大逆転しました</v>
      </c>
      <c r="T3350" s="22" t="str">
        <f>IFERROR(__xludf.DUMMYFUNCTION("""COMPUTED_VALUE"""),"格納済み")</f>
        <v>格納済み</v>
      </c>
      <c r="U3350" s="9" t="str">
        <f>IFERROR(__xludf.DUMMYFUNCTION("""COMPUTED_VALUE"""),"(c)光星影月／COMIC ROOM")</f>
        <v>(c)光星影月／COMIC ROOM</v>
      </c>
      <c r="V3350" s="8"/>
      <c r="W3350" s="8"/>
      <c r="X3350" s="8" t="str">
        <f>IFERROR(__xludf.DUMMYFUNCTION("""COMPUTED_VALUE"""),"有")</f>
        <v>有</v>
      </c>
      <c r="Y3350" s="8" t="str">
        <f>IFERROR(__xludf.DUMMYFUNCTION("""COMPUTED_VALUE"""),"P13まで")</f>
        <v>P13まで</v>
      </c>
      <c r="Z3350" s="7"/>
      <c r="AA3350" s="7"/>
      <c r="AB3350" s="7"/>
    </row>
    <row r="3351" ht="15.75" customHeight="1">
      <c r="A3351" s="26">
        <f>IFERROR(__xludf.DUMMYFUNCTION("""COMPUTED_VALUE"""),5620.0)</f>
        <v>5620</v>
      </c>
      <c r="B3351" s="22" t="str">
        <f>IFERROR(__xludf.DUMMYFUNCTION("""COMPUTED_VALUE"""),"確定")</f>
        <v>確定</v>
      </c>
      <c r="C3351" s="28">
        <f>IFERROR(__xludf.DUMMYFUNCTION("""COMPUTED_VALUE"""),45791.0)</f>
        <v>45791</v>
      </c>
      <c r="D3351" s="28">
        <f>IFERROR(__xludf.DUMMYFUNCTION("""COMPUTED_VALUE"""),45797.0)</f>
        <v>45797</v>
      </c>
      <c r="E3351" s="26">
        <f>IFERROR(__xludf.DUMMYFUNCTION("""COMPUTED_VALUE"""),324970.0)</f>
        <v>324970</v>
      </c>
      <c r="F3351" s="22" t="str">
        <f>IFERROR(__xludf.DUMMYFUNCTION("""COMPUTED_VALUE"""),"こんな私はお嫌いですか？〜世話焼き令嬢は誰からも恐れられる侯爵様に愛される〜")</f>
        <v>こんな私はお嫌いですか？〜世話焼き令嬢は誰からも恐れられる侯爵様に愛される〜</v>
      </c>
      <c r="G3351" s="20" t="str">
        <f>IFERROR(__xludf.DUMMYFUNCTION("""COMPUTED_VALUE"""),"1～2")</f>
        <v>1～2</v>
      </c>
      <c r="H3351" s="22" t="str">
        <f>IFERROR(__xludf.DUMMYFUNCTION("""COMPUTED_VALUE"""),"海月ラムネ／COMIC ROOM")</f>
        <v>海月ラムネ／COMIC ROOM</v>
      </c>
      <c r="I3351" s="22" t="str">
        <f>IFERROR(__xludf.DUMMYFUNCTION("""COMPUTED_VALUE"""),"女性")</f>
        <v>女性</v>
      </c>
      <c r="J3351" s="22"/>
      <c r="K3351" s="22" t="str">
        <f>IFERROR(__xludf.DUMMYFUNCTION("""COMPUTED_VALUE"""),"COMIC MOON")</f>
        <v>COMIC MOON</v>
      </c>
      <c r="L3351" s="22" t="str">
        <f>IFERROR(__xludf.DUMMYFUNCTION("""COMPUTED_VALUE"""),"コミックルーム")</f>
        <v>コミックルーム</v>
      </c>
      <c r="M3351" s="33">
        <f>IFERROR(__xludf.DUMMYFUNCTION("""COMPUTED_VALUE"""),45823.0)</f>
        <v>45823</v>
      </c>
      <c r="N3351" s="33">
        <f>IFERROR(__xludf.DUMMYFUNCTION("""COMPUTED_VALUE"""),45914.0)</f>
        <v>45914</v>
      </c>
      <c r="O3351" s="20"/>
      <c r="P3351" s="32" t="str">
        <f>IFERROR(__xludf.DUMMYFUNCTION("""COMPUTED_VALUE"""),"可")</f>
        <v>可</v>
      </c>
      <c r="Q3351" s="30"/>
      <c r="R3351" s="22"/>
      <c r="S3351" s="22" t="str">
        <f>IFERROR(__xludf.DUMMYFUNCTION("""COMPUTED_VALUE"""),"20250514_コミックルーム_こんな私はお嫌いですか？〜世話焼き令嬢は誰からも恐れられる侯爵様に愛される〜")</f>
        <v>20250514_コミックルーム_こんな私はお嫌いですか？〜世話焼き令嬢は誰からも恐れられる侯爵様に愛される〜</v>
      </c>
      <c r="T3351" s="22" t="str">
        <f>IFERROR(__xludf.DUMMYFUNCTION("""COMPUTED_VALUE"""),"格納済み")</f>
        <v>格納済み</v>
      </c>
      <c r="U3351" s="9" t="str">
        <f>IFERROR(__xludf.DUMMYFUNCTION("""COMPUTED_VALUE"""),"(c)海月ラムネ／COMIC ROOM")</f>
        <v>(c)海月ラムネ／COMIC ROOM</v>
      </c>
      <c r="V3351" s="8"/>
      <c r="W3351" s="8"/>
      <c r="X3351" s="8" t="str">
        <f>IFERROR(__xludf.DUMMYFUNCTION("""COMPUTED_VALUE"""),"有")</f>
        <v>有</v>
      </c>
      <c r="Y3351" s="8" t="str">
        <f>IFERROR(__xludf.DUMMYFUNCTION("""COMPUTED_VALUE"""),"P14まで")</f>
        <v>P14まで</v>
      </c>
      <c r="Z3351" s="7"/>
      <c r="AA3351" s="7"/>
      <c r="AB3351" s="7"/>
    </row>
    <row r="3352" ht="15.75" customHeight="1">
      <c r="A3352" s="26">
        <f>IFERROR(__xludf.DUMMYFUNCTION("""COMPUTED_VALUE"""),5621.0)</f>
        <v>5621</v>
      </c>
      <c r="B3352" s="22" t="str">
        <f>IFERROR(__xludf.DUMMYFUNCTION("""COMPUTED_VALUE"""),"確定")</f>
        <v>確定</v>
      </c>
      <c r="C3352" s="28">
        <f>IFERROR(__xludf.DUMMYFUNCTION("""COMPUTED_VALUE"""),45791.0)</f>
        <v>45791</v>
      </c>
      <c r="D3352" s="28">
        <f>IFERROR(__xludf.DUMMYFUNCTION("""COMPUTED_VALUE"""),45797.0)</f>
        <v>45797</v>
      </c>
      <c r="E3352" s="26">
        <f>IFERROR(__xludf.DUMMYFUNCTION("""COMPUTED_VALUE"""),324971.0)</f>
        <v>324971</v>
      </c>
      <c r="F3352" s="22" t="str">
        <f>IFERROR(__xludf.DUMMYFUNCTION("""COMPUTED_VALUE"""),"家庭教師の報酬は、溺愛のようです！")</f>
        <v>家庭教師の報酬は、溺愛のようです！</v>
      </c>
      <c r="G3352" s="20" t="str">
        <f>IFERROR(__xludf.DUMMYFUNCTION("""COMPUTED_VALUE"""),"1～2")</f>
        <v>1～2</v>
      </c>
      <c r="H3352" s="22" t="str">
        <f>IFERROR(__xludf.DUMMYFUNCTION("""COMPUTED_VALUE"""),"鹿ノ子もよう／COMIC ROOM")</f>
        <v>鹿ノ子もよう／COMIC ROOM</v>
      </c>
      <c r="I3352" s="22" t="str">
        <f>IFERROR(__xludf.DUMMYFUNCTION("""COMPUTED_VALUE"""),"女性")</f>
        <v>女性</v>
      </c>
      <c r="J3352" s="22"/>
      <c r="K3352" s="22" t="str">
        <f>IFERROR(__xludf.DUMMYFUNCTION("""COMPUTED_VALUE"""),"COMIC MOON")</f>
        <v>COMIC MOON</v>
      </c>
      <c r="L3352" s="22" t="str">
        <f>IFERROR(__xludf.DUMMYFUNCTION("""COMPUTED_VALUE"""),"コミックルーム")</f>
        <v>コミックルーム</v>
      </c>
      <c r="M3352" s="33">
        <f>IFERROR(__xludf.DUMMYFUNCTION("""COMPUTED_VALUE"""),45823.0)</f>
        <v>45823</v>
      </c>
      <c r="N3352" s="33">
        <f>IFERROR(__xludf.DUMMYFUNCTION("""COMPUTED_VALUE"""),45914.0)</f>
        <v>45914</v>
      </c>
      <c r="O3352" s="20"/>
      <c r="P3352" s="32" t="str">
        <f>IFERROR(__xludf.DUMMYFUNCTION("""COMPUTED_VALUE"""),"可")</f>
        <v>可</v>
      </c>
      <c r="Q3352" s="30"/>
      <c r="R3352" s="22"/>
      <c r="S3352" s="22" t="str">
        <f>IFERROR(__xludf.DUMMYFUNCTION("""COMPUTED_VALUE"""),"20250514_コミックルーム_家庭教師の報酬は、溺愛のようです！")</f>
        <v>20250514_コミックルーム_家庭教師の報酬は、溺愛のようです！</v>
      </c>
      <c r="T3352" s="22" t="str">
        <f>IFERROR(__xludf.DUMMYFUNCTION("""COMPUTED_VALUE"""),"格納済み")</f>
        <v>格納済み</v>
      </c>
      <c r="U3352" s="9" t="str">
        <f>IFERROR(__xludf.DUMMYFUNCTION("""COMPUTED_VALUE"""),"(c)鹿ノ子もよう／COMIC ROOM")</f>
        <v>(c)鹿ノ子もよう／COMIC ROOM</v>
      </c>
      <c r="V3352" s="8"/>
      <c r="W3352" s="8"/>
      <c r="X3352" s="8" t="str">
        <f>IFERROR(__xludf.DUMMYFUNCTION("""COMPUTED_VALUE"""),"有")</f>
        <v>有</v>
      </c>
      <c r="Y3352" s="8" t="str">
        <f>IFERROR(__xludf.DUMMYFUNCTION("""COMPUTED_VALUE"""),"P15まで")</f>
        <v>P15まで</v>
      </c>
      <c r="Z3352" s="7"/>
      <c r="AA3352" s="7"/>
      <c r="AB3352" s="7"/>
    </row>
    <row r="3353" ht="15.75" customHeight="1">
      <c r="A3353" s="26">
        <f>IFERROR(__xludf.DUMMYFUNCTION("""COMPUTED_VALUE"""),5623.0)</f>
        <v>5623</v>
      </c>
      <c r="B3353" s="22" t="str">
        <f>IFERROR(__xludf.DUMMYFUNCTION("""COMPUTED_VALUE"""),"確定")</f>
        <v>確定</v>
      </c>
      <c r="C3353" s="28">
        <f>IFERROR(__xludf.DUMMYFUNCTION("""COMPUTED_VALUE"""),45792.0)</f>
        <v>45792</v>
      </c>
      <c r="D3353" s="28">
        <f>IFERROR(__xludf.DUMMYFUNCTION("""COMPUTED_VALUE"""),45797.0)</f>
        <v>45797</v>
      </c>
      <c r="E3353" s="26">
        <f>IFERROR(__xludf.DUMMYFUNCTION("""COMPUTED_VALUE"""),326631.0)</f>
        <v>326631</v>
      </c>
      <c r="F3353" s="22" t="str">
        <f>IFERROR(__xludf.DUMMYFUNCTION("""COMPUTED_VALUE"""),"スパダリ上司の溺愛包囲網～お前は俺を好きになる")</f>
        <v>スパダリ上司の溺愛包囲網～お前は俺を好きになる</v>
      </c>
      <c r="G3353" s="20" t="str">
        <f>IFERROR(__xludf.DUMMYFUNCTION("""COMPUTED_VALUE"""),"1～2")</f>
        <v>1～2</v>
      </c>
      <c r="H3353" s="22" t="str">
        <f>IFERROR(__xludf.DUMMYFUNCTION("""COMPUTED_VALUE"""),"華茵Cain／七原みさ")</f>
        <v>華茵Cain／七原みさ</v>
      </c>
      <c r="I3353" s="22" t="str">
        <f>IFERROR(__xludf.DUMMYFUNCTION("""COMPUTED_VALUE"""),"TL")</f>
        <v>TL</v>
      </c>
      <c r="J3353" s="22"/>
      <c r="K3353" s="22" t="str">
        <f>IFERROR(__xludf.DUMMYFUNCTION("""COMPUTED_VALUE"""),"ラブきゅんコミック")</f>
        <v>ラブきゅんコミック</v>
      </c>
      <c r="L3353" s="22" t="str">
        <f>IFERROR(__xludf.DUMMYFUNCTION("""COMPUTED_VALUE"""),"モバイルメディアリサーチ")</f>
        <v>モバイルメディアリサーチ</v>
      </c>
      <c r="M3353" s="33">
        <f>IFERROR(__xludf.DUMMYFUNCTION("""COMPUTED_VALUE"""),45829.0)</f>
        <v>45829</v>
      </c>
      <c r="N3353" s="33">
        <f>IFERROR(__xludf.DUMMYFUNCTION("""COMPUTED_VALUE"""),45891.0)</f>
        <v>45891</v>
      </c>
      <c r="O3353" s="20"/>
      <c r="P3353" s="32" t="str">
        <f>IFERROR(__xludf.DUMMYFUNCTION("""COMPUTED_VALUE"""),"可")</f>
        <v>可</v>
      </c>
      <c r="Q3353" s="30"/>
      <c r="R3353" s="22"/>
      <c r="S3353" s="22" t="str">
        <f>IFERROR(__xludf.DUMMYFUNCTION("""COMPUTED_VALUE"""),"20250515_ファンギルド_スパダリ上司の溺愛包囲網～お前は俺を好きになる")</f>
        <v>20250515_ファンギルド_スパダリ上司の溺愛包囲網～お前は俺を好きになる</v>
      </c>
      <c r="T3353" s="22" t="str">
        <f>IFERROR(__xludf.DUMMYFUNCTION("""COMPUTED_VALUE"""),"格納済み")</f>
        <v>格納済み</v>
      </c>
      <c r="U3353" s="9" t="str">
        <f>IFERROR(__xludf.DUMMYFUNCTION("""COMPUTED_VALUE"""),"Ⓒ華茵Cain/七原みさ/モバイルメディアリサーチ")</f>
        <v>Ⓒ華茵Cain/七原みさ/モバイルメディアリサーチ</v>
      </c>
      <c r="V3353" s="8"/>
      <c r="W3353" s="8"/>
      <c r="X3353" s="8" t="str">
        <f>IFERROR(__xludf.DUMMYFUNCTION("""COMPUTED_VALUE"""),"有")</f>
        <v>有</v>
      </c>
      <c r="Y3353" s="8" t="str">
        <f>IFERROR(__xludf.DUMMYFUNCTION("""COMPUTED_VALUE"""),"P7まで")</f>
        <v>P7まで</v>
      </c>
      <c r="Z3353" s="7"/>
      <c r="AA3353" s="7"/>
      <c r="AB3353" s="7"/>
    </row>
    <row r="3354" ht="15.75" customHeight="1">
      <c r="A3354" s="26">
        <f>IFERROR(__xludf.DUMMYFUNCTION("""COMPUTED_VALUE"""),5624.0)</f>
        <v>5624</v>
      </c>
      <c r="B3354" s="22" t="str">
        <f>IFERROR(__xludf.DUMMYFUNCTION("""COMPUTED_VALUE"""),"確定")</f>
        <v>確定</v>
      </c>
      <c r="C3354" s="28">
        <f>IFERROR(__xludf.DUMMYFUNCTION("""COMPUTED_VALUE"""),45792.0)</f>
        <v>45792</v>
      </c>
      <c r="D3354" s="28">
        <f>IFERROR(__xludf.DUMMYFUNCTION("""COMPUTED_VALUE"""),45797.0)</f>
        <v>45797</v>
      </c>
      <c r="E3354" s="26">
        <f>IFERROR(__xludf.DUMMYFUNCTION("""COMPUTED_VALUE"""),326657.0)</f>
        <v>326657</v>
      </c>
      <c r="F3354" s="22" t="str">
        <f>IFERROR(__xludf.DUMMYFUNCTION("""COMPUTED_VALUE"""),"「魅了」スキルがバレて追放された元聖女です。今度は自分のためにスキルを使って冒険者として成り上がります")</f>
        <v>「魅了」スキルがバレて追放された元聖女です。今度は自分のためにスキルを使って冒険者として成り上がります</v>
      </c>
      <c r="G3354" s="20" t="str">
        <f>IFERROR(__xludf.DUMMYFUNCTION("""COMPUTED_VALUE"""),"1～5")</f>
        <v>1～5</v>
      </c>
      <c r="H3354" s="22" t="str">
        <f>IFERROR(__xludf.DUMMYFUNCTION("""COMPUTED_VALUE"""),"屑木ナナ/加上")</f>
        <v>屑木ナナ/加上</v>
      </c>
      <c r="I3354" s="22" t="str">
        <f>IFERROR(__xludf.DUMMYFUNCTION("""COMPUTED_VALUE"""),"少年")</f>
        <v>少年</v>
      </c>
      <c r="J3354" s="22"/>
      <c r="K3354" s="22"/>
      <c r="L3354" s="22" t="str">
        <f>IFERROR(__xludf.DUMMYFUNCTION("""COMPUTED_VALUE"""),"ファンギルド")</f>
        <v>ファンギルド</v>
      </c>
      <c r="M3354" s="33">
        <f>IFERROR(__xludf.DUMMYFUNCTION("""COMPUTED_VALUE"""),45830.0)</f>
        <v>45830</v>
      </c>
      <c r="N3354" s="33">
        <f>IFERROR(__xludf.DUMMYFUNCTION("""COMPUTED_VALUE"""),45890.0)</f>
        <v>45890</v>
      </c>
      <c r="O3354" s="20"/>
      <c r="P3354" s="32" t="str">
        <f>IFERROR(__xludf.DUMMYFUNCTION("""COMPUTED_VALUE"""),"可")</f>
        <v>可</v>
      </c>
      <c r="Q3354" s="30"/>
      <c r="R3354" s="22"/>
      <c r="S3354" s="22" t="str">
        <f>IFERROR(__xludf.DUMMYFUNCTION("""COMPUTED_VALUE"""),"20250515_ファンギルド_「魅了」スキルがバレて追放された元聖女です。今度は自分のためにスキルを使って冒険者として成り上がります")</f>
        <v>20250515_ファンギルド_「魅了」スキルがバレて追放された元聖女です。今度は自分のためにスキルを使って冒険者として成り上がります</v>
      </c>
      <c r="T3354" s="22" t="str">
        <f>IFERROR(__xludf.DUMMYFUNCTION("""COMPUTED_VALUE"""),"格納済み")</f>
        <v>格納済み</v>
      </c>
      <c r="U3354" s="9" t="str">
        <f>IFERROR(__xludf.DUMMYFUNCTION("""COMPUTED_VALUE"""),"Ⓒ屑木ナナ/加上/ファンギルド")</f>
        <v>Ⓒ屑木ナナ/加上/ファンギルド</v>
      </c>
      <c r="V3354" s="8"/>
      <c r="W3354" s="8"/>
      <c r="X3354" s="8" t="str">
        <f>IFERROR(__xludf.DUMMYFUNCTION("""COMPUTED_VALUE"""),"有")</f>
        <v>有</v>
      </c>
      <c r="Y3354" s="8" t="str">
        <f>IFERROR(__xludf.DUMMYFUNCTION("""COMPUTED_VALUE"""),"P9まで")</f>
        <v>P9まで</v>
      </c>
      <c r="Z3354" s="7"/>
      <c r="AA3354" s="7"/>
      <c r="AB3354" s="7"/>
    </row>
    <row r="3355" ht="15.75" customHeight="1">
      <c r="A3355" s="26">
        <f>IFERROR(__xludf.DUMMYFUNCTION("""COMPUTED_VALUE"""),5625.0)</f>
        <v>5625</v>
      </c>
      <c r="B3355" s="22" t="str">
        <f>IFERROR(__xludf.DUMMYFUNCTION("""COMPUTED_VALUE"""),"確定")</f>
        <v>確定</v>
      </c>
      <c r="C3355" s="28">
        <f>IFERROR(__xludf.DUMMYFUNCTION("""COMPUTED_VALUE"""),45792.0)</f>
        <v>45792</v>
      </c>
      <c r="D3355" s="28">
        <f>IFERROR(__xludf.DUMMYFUNCTION("""COMPUTED_VALUE"""),45797.0)</f>
        <v>45797</v>
      </c>
      <c r="E3355" s="26">
        <f>IFERROR(__xludf.DUMMYFUNCTION("""COMPUTED_VALUE"""),326660.0)</f>
        <v>326660</v>
      </c>
      <c r="F3355" s="22" t="str">
        <f>IFERROR(__xludf.DUMMYFUNCTION("""COMPUTED_VALUE"""),"嘘告された侯爵令嬢イヴェットの偽りの婚約期間")</f>
        <v>嘘告された侯爵令嬢イヴェットの偽りの婚約期間</v>
      </c>
      <c r="G3355" s="20">
        <f>IFERROR(__xludf.DUMMYFUNCTION("""COMPUTED_VALUE"""),1.0)</f>
        <v>1</v>
      </c>
      <c r="H3355" s="22" t="str">
        <f>IFERROR(__xludf.DUMMYFUNCTION("""COMPUTED_VALUE"""),"餅守楠/喜楽直人")</f>
        <v>餅守楠/喜楽直人</v>
      </c>
      <c r="I3355" s="22" t="str">
        <f>IFERROR(__xludf.DUMMYFUNCTION("""COMPUTED_VALUE"""),"少女")</f>
        <v>少女</v>
      </c>
      <c r="J3355" s="22"/>
      <c r="K3355" s="22"/>
      <c r="L3355" s="22" t="str">
        <f>IFERROR(__xludf.DUMMYFUNCTION("""COMPUTED_VALUE"""),"ファンギルド")</f>
        <v>ファンギルド</v>
      </c>
      <c r="M3355" s="33">
        <f>IFERROR(__xludf.DUMMYFUNCTION("""COMPUTED_VALUE"""),45855.0)</f>
        <v>45855</v>
      </c>
      <c r="N3355" s="33">
        <f>IFERROR(__xludf.DUMMYFUNCTION("""COMPUTED_VALUE"""),45889.0)</f>
        <v>45889</v>
      </c>
      <c r="O3355" s="20"/>
      <c r="P3355" s="32" t="str">
        <f>IFERROR(__xludf.DUMMYFUNCTION("""COMPUTED_VALUE"""),"可")</f>
        <v>可</v>
      </c>
      <c r="Q3355" s="30"/>
      <c r="R3355" s="22"/>
      <c r="S3355" s="22" t="str">
        <f>IFERROR(__xludf.DUMMYFUNCTION("""COMPUTED_VALUE"""),"20250515_ファンギルド_嘘告された侯爵令嬢イヴェットの偽りの婚約期間")</f>
        <v>20250515_ファンギルド_嘘告された侯爵令嬢イヴェットの偽りの婚約期間</v>
      </c>
      <c r="T3355" s="22" t="str">
        <f>IFERROR(__xludf.DUMMYFUNCTION("""COMPUTED_VALUE"""),"格納済み")</f>
        <v>格納済み</v>
      </c>
      <c r="U3355" s="9" t="str">
        <f>IFERROR(__xludf.DUMMYFUNCTION("""COMPUTED_VALUE"""),"Ⓒ餅守楠/喜楽直人/ファンギルド")</f>
        <v>Ⓒ餅守楠/喜楽直人/ファンギルド</v>
      </c>
      <c r="V3355" s="8"/>
      <c r="W3355" s="8"/>
      <c r="X3355" s="8" t="str">
        <f>IFERROR(__xludf.DUMMYFUNCTION("""COMPUTED_VALUE"""),"有")</f>
        <v>有</v>
      </c>
      <c r="Y3355" s="8" t="str">
        <f>IFERROR(__xludf.DUMMYFUNCTION("""COMPUTED_VALUE"""),"P6まで")</f>
        <v>P6まで</v>
      </c>
      <c r="Z3355" s="7"/>
      <c r="AA3355" s="7"/>
      <c r="AB3355" s="7"/>
    </row>
    <row r="3356" ht="15.75" customHeight="1">
      <c r="A3356" s="26">
        <f>IFERROR(__xludf.DUMMYFUNCTION("""COMPUTED_VALUE"""),5627.0)</f>
        <v>5627</v>
      </c>
      <c r="B3356" s="22" t="str">
        <f>IFERROR(__xludf.DUMMYFUNCTION("""COMPUTED_VALUE"""),"確定")</f>
        <v>確定</v>
      </c>
      <c r="C3356" s="28">
        <f>IFERROR(__xludf.DUMMYFUNCTION("""COMPUTED_VALUE"""),45792.0)</f>
        <v>45792</v>
      </c>
      <c r="D3356" s="28">
        <f>IFERROR(__xludf.DUMMYFUNCTION("""COMPUTED_VALUE"""),45798.0)</f>
        <v>45798</v>
      </c>
      <c r="E3356" s="26">
        <f>IFERROR(__xludf.DUMMYFUNCTION("""COMPUTED_VALUE"""),326661.0)</f>
        <v>326661</v>
      </c>
      <c r="F3356" s="22" t="str">
        <f>IFERROR(__xludf.DUMMYFUNCTION("""COMPUTED_VALUE"""),"女友達の正体が実は次期公爵様だった話")</f>
        <v>女友達の正体が実は次期公爵様だった話</v>
      </c>
      <c r="G3356" s="20">
        <f>IFERROR(__xludf.DUMMYFUNCTION("""COMPUTED_VALUE"""),1.0)</f>
        <v>1</v>
      </c>
      <c r="H3356" s="22" t="str">
        <f>IFERROR(__xludf.DUMMYFUNCTION("""COMPUTED_VALUE"""),"桜井ゆっけ/心音瑠璃")</f>
        <v>桜井ゆっけ/心音瑠璃</v>
      </c>
      <c r="I3356" s="22" t="str">
        <f>IFERROR(__xludf.DUMMYFUNCTION("""COMPUTED_VALUE"""),"少女")</f>
        <v>少女</v>
      </c>
      <c r="J3356" s="22"/>
      <c r="K3356" s="22"/>
      <c r="L3356" s="22" t="str">
        <f>IFERROR(__xludf.DUMMYFUNCTION("""COMPUTED_VALUE"""),"ファンギルド")</f>
        <v>ファンギルド</v>
      </c>
      <c r="M3356" s="33">
        <f>IFERROR(__xludf.DUMMYFUNCTION("""COMPUTED_VALUE"""),45855.0)</f>
        <v>45855</v>
      </c>
      <c r="N3356" s="33">
        <f>IFERROR(__xludf.DUMMYFUNCTION("""COMPUTED_VALUE"""),45889.0)</f>
        <v>45889</v>
      </c>
      <c r="O3356" s="20"/>
      <c r="P3356" s="32" t="str">
        <f>IFERROR(__xludf.DUMMYFUNCTION("""COMPUTED_VALUE"""),"可")</f>
        <v>可</v>
      </c>
      <c r="Q3356" s="30"/>
      <c r="R3356" s="22"/>
      <c r="S3356" s="22" t="str">
        <f>IFERROR(__xludf.DUMMYFUNCTION("""COMPUTED_VALUE"""),"20250515_ファンギルド_女友達の正体が実は次期公爵様だった話")</f>
        <v>20250515_ファンギルド_女友達の正体が実は次期公爵様だった話</v>
      </c>
      <c r="T3356" s="22" t="str">
        <f>IFERROR(__xludf.DUMMYFUNCTION("""COMPUTED_VALUE"""),"格納済み")</f>
        <v>格納済み</v>
      </c>
      <c r="U3356" s="9" t="str">
        <f>IFERROR(__xludf.DUMMYFUNCTION("""COMPUTED_VALUE"""),"Ⓒ桜井ゆっけ/心音瑠璃/ファンギルド")</f>
        <v>Ⓒ桜井ゆっけ/心音瑠璃/ファンギルド</v>
      </c>
      <c r="V3356" s="8"/>
      <c r="W3356" s="8"/>
      <c r="X3356" s="8" t="str">
        <f>IFERROR(__xludf.DUMMYFUNCTION("""COMPUTED_VALUE"""),"有")</f>
        <v>有</v>
      </c>
      <c r="Y3356" s="8" t="str">
        <f>IFERROR(__xludf.DUMMYFUNCTION("""COMPUTED_VALUE"""),"P7まで")</f>
        <v>P7まで</v>
      </c>
      <c r="Z3356" s="7"/>
      <c r="AA3356" s="7"/>
      <c r="AB3356" s="7"/>
    </row>
    <row r="3357" ht="15.75" customHeight="1">
      <c r="A3357" s="26">
        <f>IFERROR(__xludf.DUMMYFUNCTION("""COMPUTED_VALUE"""),5628.0)</f>
        <v>5628</v>
      </c>
      <c r="B3357" s="22" t="str">
        <f>IFERROR(__xludf.DUMMYFUNCTION("""COMPUTED_VALUE"""),"確定")</f>
        <v>確定</v>
      </c>
      <c r="C3357" s="28">
        <f>IFERROR(__xludf.DUMMYFUNCTION("""COMPUTED_VALUE"""),45792.0)</f>
        <v>45792</v>
      </c>
      <c r="D3357" s="28">
        <f>IFERROR(__xludf.DUMMYFUNCTION("""COMPUTED_VALUE"""),45798.0)</f>
        <v>45798</v>
      </c>
      <c r="E3357" s="26">
        <f>IFERROR(__xludf.DUMMYFUNCTION("""COMPUTED_VALUE"""),326662.0)</f>
        <v>326662</v>
      </c>
      <c r="F3357" s="22" t="str">
        <f>IFERROR(__xludf.DUMMYFUNCTION("""COMPUTED_VALUE"""),"子爵令嬢クラリッサの婚姻譚～旦那様と一緒に劇場復興を目指します～")</f>
        <v>子爵令嬢クラリッサの婚姻譚～旦那様と一緒に劇場復興を目指します～</v>
      </c>
      <c r="G3357" s="20">
        <f>IFERROR(__xludf.DUMMYFUNCTION("""COMPUTED_VALUE"""),1.0)</f>
        <v>1</v>
      </c>
      <c r="H3357" s="22" t="str">
        <f>IFERROR(__xludf.DUMMYFUNCTION("""COMPUTED_VALUE"""),"盧/comic スピラ")</f>
        <v>盧/comic スピラ</v>
      </c>
      <c r="I3357" s="22" t="str">
        <f>IFERROR(__xludf.DUMMYFUNCTION("""COMPUTED_VALUE"""),"少女")</f>
        <v>少女</v>
      </c>
      <c r="J3357" s="22"/>
      <c r="K3357" s="22"/>
      <c r="L3357" s="22" t="str">
        <f>IFERROR(__xludf.DUMMYFUNCTION("""COMPUTED_VALUE"""),"ファンギルド")</f>
        <v>ファンギルド</v>
      </c>
      <c r="M3357" s="33">
        <f>IFERROR(__xludf.DUMMYFUNCTION("""COMPUTED_VALUE"""),45855.0)</f>
        <v>45855</v>
      </c>
      <c r="N3357" s="33">
        <f>IFERROR(__xludf.DUMMYFUNCTION("""COMPUTED_VALUE"""),45889.0)</f>
        <v>45889</v>
      </c>
      <c r="O3357" s="20"/>
      <c r="P3357" s="32" t="str">
        <f>IFERROR(__xludf.DUMMYFUNCTION("""COMPUTED_VALUE"""),"可")</f>
        <v>可</v>
      </c>
      <c r="Q3357" s="30"/>
      <c r="R3357" s="22"/>
      <c r="S3357" s="22" t="str">
        <f>IFERROR(__xludf.DUMMYFUNCTION("""COMPUTED_VALUE"""),"20250515_ファンギルド_子爵令嬢クラリッサの婚姻譚～旦那様と一緒に劇場復興を目指します～")</f>
        <v>20250515_ファンギルド_子爵令嬢クラリッサの婚姻譚～旦那様と一緒に劇場復興を目指します～</v>
      </c>
      <c r="T3357" s="22" t="str">
        <f>IFERROR(__xludf.DUMMYFUNCTION("""COMPUTED_VALUE"""),"格納済み")</f>
        <v>格納済み</v>
      </c>
      <c r="U3357" s="9" t="str">
        <f>IFERROR(__xludf.DUMMYFUNCTION("""COMPUTED_VALUE"""),"Ⓒ盧/comic スピラ/ファンギルド")</f>
        <v>Ⓒ盧/comic スピラ/ファンギルド</v>
      </c>
      <c r="V3357" s="8"/>
      <c r="W3357" s="8"/>
      <c r="X3357" s="8" t="str">
        <f>IFERROR(__xludf.DUMMYFUNCTION("""COMPUTED_VALUE"""),"有")</f>
        <v>有</v>
      </c>
      <c r="Y3357" s="8" t="str">
        <f>IFERROR(__xludf.DUMMYFUNCTION("""COMPUTED_VALUE"""),"P7まで")</f>
        <v>P7まで</v>
      </c>
      <c r="Z3357" s="7"/>
      <c r="AA3357" s="7"/>
      <c r="AB3357" s="7"/>
    </row>
    <row r="3358" ht="15.75" customHeight="1">
      <c r="A3358" s="26">
        <f>IFERROR(__xludf.DUMMYFUNCTION("""COMPUTED_VALUE"""),5644.0)</f>
        <v>5644</v>
      </c>
      <c r="B3358" s="22" t="str">
        <f>IFERROR(__xludf.DUMMYFUNCTION("""COMPUTED_VALUE"""),"確定")</f>
        <v>確定</v>
      </c>
      <c r="C3358" s="28">
        <f>IFERROR(__xludf.DUMMYFUNCTION("""COMPUTED_VALUE"""),45796.0)</f>
        <v>45796</v>
      </c>
      <c r="D3358" s="28">
        <f>IFERROR(__xludf.DUMMYFUNCTION("""COMPUTED_VALUE"""),45798.0)</f>
        <v>45798</v>
      </c>
      <c r="E3358" s="26">
        <f>IFERROR(__xludf.DUMMYFUNCTION("""COMPUTED_VALUE"""),326944.0)</f>
        <v>326944</v>
      </c>
      <c r="F3358" s="22" t="str">
        <f>IFERROR(__xludf.DUMMYFUNCTION("""COMPUTED_VALUE"""),"100回殺される私")</f>
        <v>100回殺される私</v>
      </c>
      <c r="G3358" s="20" t="str">
        <f>IFERROR(__xludf.DUMMYFUNCTION("""COMPUTED_VALUE"""),"1～3")</f>
        <v>1～3</v>
      </c>
      <c r="H3358" s="22" t="str">
        <f>IFERROR(__xludf.DUMMYFUNCTION("""COMPUTED_VALUE"""),"原作：河本ほむら／武野光／東雲佑 漫画：磯咲渓一     テラーノベル")</f>
        <v>原作：河本ほむら／武野光／東雲佑 漫画：磯咲渓一     テラーノベル</v>
      </c>
      <c r="I3358" s="22" t="str">
        <f>IFERROR(__xludf.DUMMYFUNCTION("""COMPUTED_VALUE"""),"青年")</f>
        <v>青年</v>
      </c>
      <c r="J3358" s="22"/>
      <c r="K3358" s="22" t="str">
        <f>IFERROR(__xludf.DUMMYFUNCTION("""COMPUTED_VALUE"""),"テラーコミックス")</f>
        <v>テラーコミックス</v>
      </c>
      <c r="L3358" s="22" t="str">
        <f>IFERROR(__xludf.DUMMYFUNCTION("""COMPUTED_VALUE"""),"Freedia")</f>
        <v>Freedia</v>
      </c>
      <c r="M3358" s="33">
        <f>IFERROR(__xludf.DUMMYFUNCTION("""COMPUTED_VALUE"""),45835.0)</f>
        <v>45835</v>
      </c>
      <c r="N3358" s="33">
        <f>IFERROR(__xludf.DUMMYFUNCTION("""COMPUTED_VALUE"""),45956.0)</f>
        <v>45956</v>
      </c>
      <c r="O3358" s="20"/>
      <c r="P3358" s="32" t="str">
        <f>IFERROR(__xludf.DUMMYFUNCTION("""COMPUTED_VALUE"""),"可")</f>
        <v>可</v>
      </c>
      <c r="Q3358" s="30" t="str">
        <f>IFERROR(__xludf.DUMMYFUNCTION("""COMPUTED_VALUE"""),"■配信内容&lt;BR&gt;・先行期間：独占先行期間4ヵ月以上&lt;BR&gt;・価格施策：初回配信時に1話以上無料")</f>
        <v>■配信内容&lt;BR&gt;・先行期間：独占先行期間4ヵ月以上&lt;BR&gt;・価格施策：初回配信時に1話以上無料</v>
      </c>
      <c r="R3358" s="22"/>
      <c r="S3358" s="22" t="str">
        <f>IFERROR(__xludf.DUMMYFUNCTION("""COMPUTED_VALUE"""),"20250512_Freedia_100回殺される私")</f>
        <v>20250512_Freedia_100回殺される私</v>
      </c>
      <c r="T3358" s="22" t="str">
        <f>IFERROR(__xludf.DUMMYFUNCTION("""COMPUTED_VALUE"""),"格納済み")</f>
        <v>格納済み</v>
      </c>
      <c r="U3358" s="9" t="str">
        <f>IFERROR(__xludf.DUMMYFUNCTION("""COMPUTED_VALUE"""),"Ⓒ磯咲渓一・武野光・東雲佑・河本ほむら／Freedia・テラーノベル")</f>
        <v>Ⓒ磯咲渓一・武野光・東雲佑・河本ほむら／Freedia・テラーノベル</v>
      </c>
      <c r="V3358" s="8"/>
      <c r="W3358" s="8"/>
      <c r="X3358" s="8" t="str">
        <f>IFERROR(__xludf.DUMMYFUNCTION("""COMPUTED_VALUE"""),"有")</f>
        <v>有</v>
      </c>
      <c r="Y3358" s="8" t="str">
        <f>IFERROR(__xludf.DUMMYFUNCTION("""COMPUTED_VALUE"""),"P5まで")</f>
        <v>P5まで</v>
      </c>
      <c r="Z3358" s="7"/>
      <c r="AA3358" s="7"/>
      <c r="AB3358" s="7"/>
    </row>
    <row r="3359" ht="15.75" customHeight="1">
      <c r="A3359" s="26">
        <f>IFERROR(__xludf.DUMMYFUNCTION("""COMPUTED_VALUE"""),5645.0)</f>
        <v>5645</v>
      </c>
      <c r="B3359" s="22" t="str">
        <f>IFERROR(__xludf.DUMMYFUNCTION("""COMPUTED_VALUE"""),"確定")</f>
        <v>確定</v>
      </c>
      <c r="C3359" s="28">
        <f>IFERROR(__xludf.DUMMYFUNCTION("""COMPUTED_VALUE"""),45796.0)</f>
        <v>45796</v>
      </c>
      <c r="D3359" s="28">
        <f>IFERROR(__xludf.DUMMYFUNCTION("""COMPUTED_VALUE"""),45798.0)</f>
        <v>45798</v>
      </c>
      <c r="E3359" s="26">
        <f>IFERROR(__xludf.DUMMYFUNCTION("""COMPUTED_VALUE"""),324380.0)</f>
        <v>324380</v>
      </c>
      <c r="F3359" s="22" t="str">
        <f>IFERROR(__xludf.DUMMYFUNCTION("""COMPUTED_VALUE"""),"冷酷騎士の溺愛指導 -10年分の甘い愛にとろけ中-")</f>
        <v>冷酷騎士の溺愛指導 -10年分の甘い愛にとろけ中-</v>
      </c>
      <c r="G3359" s="20" t="str">
        <f>IFERROR(__xludf.DUMMYFUNCTION("""COMPUTED_VALUE"""),"1～3")</f>
        <v>1～3</v>
      </c>
      <c r="H3359" s="22" t="str">
        <f>IFERROR(__xludf.DUMMYFUNCTION("""COMPUTED_VALUE"""),"宮藤華")</f>
        <v>宮藤華</v>
      </c>
      <c r="I3359" s="22" t="str">
        <f>IFERROR(__xludf.DUMMYFUNCTION("""COMPUTED_VALUE"""),"女性")</f>
        <v>女性</v>
      </c>
      <c r="J3359" s="22"/>
      <c r="K3359" s="22" t="str">
        <f>IFERROR(__xludf.DUMMYFUNCTION("""COMPUTED_VALUE"""),"異世界マーガレット")</f>
        <v>異世界マーガレット</v>
      </c>
      <c r="L3359" s="22" t="str">
        <f>IFERROR(__xludf.DUMMYFUNCTION("""COMPUTED_VALUE"""),"集英社")</f>
        <v>集英社</v>
      </c>
      <c r="M3359" s="33">
        <f>IFERROR(__xludf.DUMMYFUNCTION("""COMPUTED_VALUE"""),45809.0)</f>
        <v>45809</v>
      </c>
      <c r="N3359" s="33">
        <f>IFERROR(__xludf.DUMMYFUNCTION("""COMPUTED_VALUE"""),45838.0)</f>
        <v>45838</v>
      </c>
      <c r="O3359" s="20"/>
      <c r="P3359" s="32" t="str">
        <f>IFERROR(__xludf.DUMMYFUNCTION("""COMPUTED_VALUE"""),"否")</f>
        <v>否</v>
      </c>
      <c r="Q3359" s="30"/>
      <c r="R3359" s="22"/>
      <c r="S3359" s="22" t="str">
        <f>IFERROR(__xludf.DUMMYFUNCTION("""COMPUTED_VALUE"""),"20250519_集英社_冷酷騎士の溺愛指導 10年分の甘い愛にとろけ中")</f>
        <v>20250519_集英社_冷酷騎士の溺愛指導 10年分の甘い愛にとろけ中</v>
      </c>
      <c r="T3359" s="22" t="str">
        <f>IFERROR(__xludf.DUMMYFUNCTION("""COMPUTED_VALUE"""),"格納済み")</f>
        <v>格納済み</v>
      </c>
      <c r="U3359" s="9" t="str">
        <f>IFERROR(__xludf.DUMMYFUNCTION("""COMPUTED_VALUE"""),"(C)宮藤華／集英社")</f>
        <v>(C)宮藤華／集英社</v>
      </c>
      <c r="V3359" s="8" t="str">
        <f>IFERROR(__xludf.DUMMYFUNCTION("""COMPUTED_VALUE"""),"「なんでこんなに優しいキスするの…？」　学園唯一の女騎士、レア・エマニュエル侯爵令嬢はある日突然、前世の世界でハマっていた異世界TL小説の悪役女騎士に転生したことに気づいてしまう――。死亡エンドを回避するために婚約者を受け入れなくてはいけない状況だったが、前世でも今世でも男性に免疫がないレア。絶望しているところに現れた、レアのライバルでもあり、前世での推しキャラ冷酷騎士のアルベール。なぜか彼はレアのエッチの練習相手になってやると言ってきて!?　アルベールの優しいキスや愛撫に戸惑うレアは、次第に身体を委ねて"&amp;"いき――。冷酷騎士のとろける溺愛が止まらない！　セクシー・ラブロマンス開幕！")</f>
        <v>「なんでこんなに優しいキスするの…？」　学園唯一の女騎士、レア・エマニュエル侯爵令嬢はある日突然、前世の世界でハマっていた異世界TL小説の悪役女騎士に転生したことに気づいてしまう――。死亡エンドを回避するために婚約者を受け入れなくてはいけない状況だったが、前世でも今世でも男性に免疫がないレア。絶望しているところに現れた、レアのライバルでもあり、前世での推しキャラ冷酷騎士のアルベール。なぜか彼はレアのエッチの練習相手になってやると言ってきて!?　アルベールの優しいキスや愛撫に戸惑うレアは、次第に身体を委ねていき――。冷酷騎士のとろける溺愛が止まらない！　セクシー・ラブロマンス開幕！</v>
      </c>
      <c r="W3359" s="8" t="str">
        <f>IFERROR(__xludf.DUMMYFUNCTION("""COMPUTED_VALUE"""),"#REF!")</f>
        <v>#REF!</v>
      </c>
      <c r="X3359" s="8" t="str">
        <f>IFERROR(__xludf.DUMMYFUNCTION("""COMPUTED_VALUE"""),"有")</f>
        <v>有</v>
      </c>
      <c r="Y3359" s="8" t="str">
        <f>IFERROR(__xludf.DUMMYFUNCTION("""COMPUTED_VALUE"""),"2025/6/30まで1巻無料")</f>
        <v>2025/6/30まで1巻無料</v>
      </c>
      <c r="Z3359" s="7"/>
      <c r="AA3359" s="7"/>
      <c r="AB3359" s="7"/>
    </row>
    <row r="3360" ht="15.75" customHeight="1">
      <c r="A3360" s="26">
        <f>IFERROR(__xludf.DUMMYFUNCTION("""COMPUTED_VALUE"""),5651.0)</f>
        <v>5651</v>
      </c>
      <c r="B3360" s="22" t="str">
        <f>IFERROR(__xludf.DUMMYFUNCTION("""COMPUTED_VALUE"""),"確定")</f>
        <v>確定</v>
      </c>
      <c r="C3360" s="28">
        <f>IFERROR(__xludf.DUMMYFUNCTION("""COMPUTED_VALUE"""),45798.0)</f>
        <v>45798</v>
      </c>
      <c r="D3360" s="28">
        <f>IFERROR(__xludf.DUMMYFUNCTION("""COMPUTED_VALUE"""),45798.0)</f>
        <v>45798</v>
      </c>
      <c r="E3360" s="26">
        <f>IFERROR(__xludf.DUMMYFUNCTION("""COMPUTED_VALUE"""),326630.0)</f>
        <v>326630</v>
      </c>
      <c r="F3360" s="22" t="str">
        <f>IFERROR(__xludf.DUMMYFUNCTION("""COMPUTED_VALUE"""),"義父が性欲の化け物になった日")</f>
        <v>義父が性欲の化け物になった日</v>
      </c>
      <c r="G3360" s="20" t="str">
        <f>IFERROR(__xludf.DUMMYFUNCTION("""COMPUTED_VALUE"""),"1～3")</f>
        <v>1～3</v>
      </c>
      <c r="H3360" s="22" t="str">
        <f>IFERROR(__xludf.DUMMYFUNCTION("""COMPUTED_VALUE"""),"ポロリビスタ")</f>
        <v>ポロリビスタ</v>
      </c>
      <c r="I3360" s="22" t="str">
        <f>IFERROR(__xludf.DUMMYFUNCTION("""COMPUTED_VALUE"""),"アダルトマンガ")</f>
        <v>アダルトマンガ</v>
      </c>
      <c r="J3360" s="22"/>
      <c r="K3360" s="22"/>
      <c r="L3360" s="22" t="str">
        <f>IFERROR(__xludf.DUMMYFUNCTION("""COMPUTED_VALUE"""),"セ・キララ文庫")</f>
        <v>セ・キララ文庫</v>
      </c>
      <c r="M3360" s="33">
        <f>IFERROR(__xludf.DUMMYFUNCTION("""COMPUTED_VALUE"""),45829.0)</f>
        <v>45829</v>
      </c>
      <c r="N3360" s="33">
        <f>IFERROR(__xludf.DUMMYFUNCTION("""COMPUTED_VALUE"""),45893.66666666667)</f>
        <v>45893.66667</v>
      </c>
      <c r="O3360" s="20"/>
      <c r="P3360" s="32" t="str">
        <f>IFERROR(__xludf.DUMMYFUNCTION("""COMPUTED_VALUE"""),"可")</f>
        <v>可</v>
      </c>
      <c r="Q3360" s="30"/>
      <c r="R3360" s="22"/>
      <c r="S3360" s="22" t="str">
        <f>IFERROR(__xludf.DUMMYFUNCTION("""COMPUTED_VALUE"""),"20250521_ライドオン_義父が性欲の化け物になった日")</f>
        <v>20250521_ライドオン_義父が性欲の化け物になった日</v>
      </c>
      <c r="T3360" s="22" t="str">
        <f>IFERROR(__xludf.DUMMYFUNCTION("""COMPUTED_VALUE"""),"格納済み")</f>
        <v>格納済み</v>
      </c>
      <c r="U3360" s="9" t="str">
        <f>IFERROR(__xludf.DUMMYFUNCTION("""COMPUTED_VALUE"""),"Ⓒポロリビスタ/セ・キララ文庫")</f>
        <v>Ⓒポロリビスタ/セ・キララ文庫</v>
      </c>
      <c r="V3360" s="8"/>
      <c r="W3360" s="8"/>
      <c r="X3360" s="8" t="str">
        <f>IFERROR(__xludf.DUMMYFUNCTION("""COMPUTED_VALUE"""),"有")</f>
        <v>有</v>
      </c>
      <c r="Y3360" s="8" t="str">
        <f>IFERROR(__xludf.DUMMYFUNCTION("""COMPUTED_VALUE"""),"P11まで")</f>
        <v>P11まで</v>
      </c>
      <c r="Z3360" s="7"/>
      <c r="AA3360" s="7"/>
      <c r="AB3360" s="7"/>
    </row>
    <row r="3361" ht="15.75" customHeight="1">
      <c r="A3361" s="26">
        <f>IFERROR(__xludf.DUMMYFUNCTION("""COMPUTED_VALUE"""),4854.0)</f>
        <v>4854</v>
      </c>
      <c r="B3361" s="22" t="str">
        <f>IFERROR(__xludf.DUMMYFUNCTION("""COMPUTED_VALUE"""),"確定")</f>
        <v>確定</v>
      </c>
      <c r="C3361" s="28">
        <f>IFERROR(__xludf.DUMMYFUNCTION("""COMPUTED_VALUE"""),45677.0)</f>
        <v>45677</v>
      </c>
      <c r="D3361" s="28">
        <f>IFERROR(__xludf.DUMMYFUNCTION("""COMPUTED_VALUE"""),45804.0)</f>
        <v>45804</v>
      </c>
      <c r="E3361" s="26">
        <f>IFERROR(__xludf.DUMMYFUNCTION("""COMPUTED_VALUE"""),325677.0)</f>
        <v>325677</v>
      </c>
      <c r="F3361" s="22" t="str">
        <f>IFERROR(__xludf.DUMMYFUNCTION("""COMPUTED_VALUE"""),"堅物夫が私（妻）と浮気しています!?【分冊版】")</f>
        <v>堅物夫が私（妻）と浮気しています!?【分冊版】</v>
      </c>
      <c r="G3361" s="20" t="str">
        <f>IFERROR(__xludf.DUMMYFUNCTION("""COMPUTED_VALUE"""),"1～3")</f>
        <v>1～3</v>
      </c>
      <c r="H3361" s="22" t="str">
        <f>IFERROR(__xludf.DUMMYFUNCTION("""COMPUTED_VALUE"""),"秋月 綾,あさぎ千夜春")</f>
        <v>秋月 綾,あさぎ千夜春</v>
      </c>
      <c r="I3361" s="22" t="str">
        <f>IFERROR(__xludf.DUMMYFUNCTION("""COMPUTED_VALUE"""),"女性")</f>
        <v>女性</v>
      </c>
      <c r="J3361" s="22"/>
      <c r="K3361" s="22"/>
      <c r="L3361" s="22" t="str">
        <f>IFERROR(__xludf.DUMMYFUNCTION("""COMPUTED_VALUE"""),"ハーパーコリンズ・ジャパン")</f>
        <v>ハーパーコリンズ・ジャパン</v>
      </c>
      <c r="M3361" s="33">
        <f>IFERROR(__xludf.DUMMYFUNCTION("""COMPUTED_VALUE"""),45827.0)</f>
        <v>45827</v>
      </c>
      <c r="N3361" s="33">
        <f>IFERROR(__xludf.DUMMYFUNCTION("""COMPUTED_VALUE"""),45887.0)</f>
        <v>45887</v>
      </c>
      <c r="O3361" s="20"/>
      <c r="P3361" s="32" t="str">
        <f>IFERROR(__xludf.DUMMYFUNCTION("""COMPUTED_VALUE"""),"可")</f>
        <v>可</v>
      </c>
      <c r="Q3361" s="30"/>
      <c r="R3361" s="22" t="str">
        <f>IFERROR(__xludf.DUMMYFUNCTION("""COMPUTED_VALUE"""),"コミットOK")</f>
        <v>コミットOK</v>
      </c>
      <c r="S3361" s="22" t="str">
        <f>IFERROR(__xludf.DUMMYFUNCTION("""COMPUTED_VALUE"""),"20250527_ハーパーコリンズ・ジャパン_堅物夫が私（妻）と浮気しています!【分冊版】")</f>
        <v>20250527_ハーパーコリンズ・ジャパン_堅物夫が私（妻）と浮気しています!【分冊版】</v>
      </c>
      <c r="T3361" s="22" t="str">
        <f>IFERROR(__xludf.DUMMYFUNCTION("""COMPUTED_VALUE"""),"格納済み")</f>
        <v>格納済み</v>
      </c>
      <c r="U3361" s="9" t="str">
        <f>IFERROR(__xludf.DUMMYFUNCTION("""COMPUTED_VALUE"""),"Ⓒ秋月 綾・あさぎ千夜春／ハーパーコリンズ・ジャパン")</f>
        <v>Ⓒ秋月 綾・あさぎ千夜春／ハーパーコリンズ・ジャパン</v>
      </c>
      <c r="V3361" s="8"/>
      <c r="W3361" s="8"/>
      <c r="X3361" s="8" t="str">
        <f>IFERROR(__xludf.DUMMYFUNCTION("""COMPUTED_VALUE"""),"有")</f>
        <v>有</v>
      </c>
      <c r="Y3361" s="8" t="str">
        <f>IFERROR(__xludf.DUMMYFUNCTION("""COMPUTED_VALUE"""),"P11まで")</f>
        <v>P11まで</v>
      </c>
      <c r="Z3361" s="7"/>
      <c r="AA3361" s="7"/>
      <c r="AB3361" s="7"/>
    </row>
    <row r="3362" ht="15.75" customHeight="1">
      <c r="A3362" s="26">
        <f>IFERROR(__xludf.DUMMYFUNCTION("""COMPUTED_VALUE"""),4890.0)</f>
        <v>4890</v>
      </c>
      <c r="B3362" s="22" t="str">
        <f>IFERROR(__xludf.DUMMYFUNCTION("""COMPUTED_VALUE"""),"確定")</f>
        <v>確定</v>
      </c>
      <c r="C3362" s="28">
        <f>IFERROR(__xludf.DUMMYFUNCTION("""COMPUTED_VALUE"""),45681.0)</f>
        <v>45681</v>
      </c>
      <c r="D3362" s="28">
        <f>IFERROR(__xludf.DUMMYFUNCTION("""COMPUTED_VALUE"""),45803.0)</f>
        <v>45803</v>
      </c>
      <c r="E3362" s="26">
        <f>IFERROR(__xludf.DUMMYFUNCTION("""COMPUTED_VALUE"""),326664.0)</f>
        <v>326664</v>
      </c>
      <c r="F3362" s="22" t="str">
        <f>IFERROR(__xludf.DUMMYFUNCTION("""COMPUTED_VALUE"""),"私は悪くありません！～鞍馬法律事務所のヤバすぎる依頼者たち～")</f>
        <v>私は悪くありません！～鞍馬法律事務所のヤバすぎる依頼者たち～</v>
      </c>
      <c r="G3362" s="20" t="str">
        <f>IFERROR(__xludf.DUMMYFUNCTION("""COMPUTED_VALUE"""),"1～3")</f>
        <v>1～3</v>
      </c>
      <c r="H3362" s="22" t="str">
        <f>IFERROR(__xludf.DUMMYFUNCTION("""COMPUTED_VALUE"""),"作画：下地のりこ 原作：深智")</f>
        <v>作画：下地のりこ 原作：深智</v>
      </c>
      <c r="I3362" s="22" t="str">
        <f>IFERROR(__xludf.DUMMYFUNCTION("""COMPUTED_VALUE"""),"女性")</f>
        <v>女性</v>
      </c>
      <c r="J3362" s="22"/>
      <c r="K3362" s="22" t="str">
        <f>IFERROR(__xludf.DUMMYFUNCTION("""COMPUTED_VALUE"""),"ウーコミ！")</f>
        <v>ウーコミ！</v>
      </c>
      <c r="L3362" s="22" t="str">
        <f>IFERROR(__xludf.DUMMYFUNCTION("""COMPUTED_VALUE"""),"CLLENN")</f>
        <v>CLLENN</v>
      </c>
      <c r="M3362" s="33">
        <f>IFERROR(__xludf.DUMMYFUNCTION("""COMPUTED_VALUE"""),45831.0)</f>
        <v>45831</v>
      </c>
      <c r="N3362" s="33">
        <f>IFERROR(__xludf.DUMMYFUNCTION("""COMPUTED_VALUE"""),45893.0)</f>
        <v>45893</v>
      </c>
      <c r="O3362" s="20"/>
      <c r="P3362" s="32" t="str">
        <f>IFERROR(__xludf.DUMMYFUNCTION("""COMPUTED_VALUE"""),"可")</f>
        <v>可</v>
      </c>
      <c r="Q3362" s="30" t="str">
        <f>IFERROR(__xludf.DUMMYFUNCTION("""COMPUTED_VALUE"""),"連載先行")</f>
        <v>連載先行</v>
      </c>
      <c r="R3362" s="22" t="str">
        <f>IFERROR(__xludf.DUMMYFUNCTION("""COMPUTED_VALUE"""),"コミットOK")</f>
        <v>コミットOK</v>
      </c>
      <c r="S3362" s="22" t="str">
        <f>IFERROR(__xludf.DUMMYFUNCTION("""COMPUTED_VALUE"""),"20250522_CLLENN_鞍馬法律相談所")</f>
        <v>20250522_CLLENN_鞍馬法律相談所</v>
      </c>
      <c r="T3362" s="22" t="str">
        <f>IFERROR(__xludf.DUMMYFUNCTION("""COMPUTED_VALUE"""),"格納済み")</f>
        <v>格納済み</v>
      </c>
      <c r="U3362" s="9" t="str">
        <f>IFERROR(__xludf.DUMMYFUNCTION("""COMPUTED_VALUE"""),"Ⓒ下地のりこ・深智/CLLENN  ")</f>
        <v>Ⓒ下地のりこ・深智/CLLENN  </v>
      </c>
      <c r="V3362" s="8"/>
      <c r="W3362" s="8"/>
      <c r="X3362" s="8" t="str">
        <f>IFERROR(__xludf.DUMMYFUNCTION("""COMPUTED_VALUE"""),"有")</f>
        <v>有</v>
      </c>
      <c r="Y3362" s="8" t="str">
        <f>IFERROR(__xludf.DUMMYFUNCTION("""COMPUTED_VALUE"""),"P10まで")</f>
        <v>P10まで</v>
      </c>
      <c r="Z3362" s="7"/>
      <c r="AA3362" s="7"/>
      <c r="AB3362" s="7"/>
    </row>
    <row r="3363" ht="15.75" customHeight="1">
      <c r="A3363" s="26">
        <f>IFERROR(__xludf.DUMMYFUNCTION("""COMPUTED_VALUE"""),5072.0)</f>
        <v>5072</v>
      </c>
      <c r="B3363" s="22" t="str">
        <f>IFERROR(__xludf.DUMMYFUNCTION("""COMPUTED_VALUE"""),"確定")</f>
        <v>確定</v>
      </c>
      <c r="C3363" s="28">
        <f>IFERROR(__xludf.DUMMYFUNCTION("""COMPUTED_VALUE"""),45708.0)</f>
        <v>45708</v>
      </c>
      <c r="D3363" s="28">
        <f>IFERROR(__xludf.DUMMYFUNCTION("""COMPUTED_VALUE"""),45804.0)</f>
        <v>45804</v>
      </c>
      <c r="E3363" s="26">
        <f>IFERROR(__xludf.DUMMYFUNCTION("""COMPUTED_VALUE"""),325685.0)</f>
        <v>325685</v>
      </c>
      <c r="F3363" s="22" t="str">
        <f>IFERROR(__xludf.DUMMYFUNCTION("""COMPUTED_VALUE"""),"離婚しようと記憶喪失のふりをしたら、怜悧な旦那様が激甘に愛してきます【分冊版】")</f>
        <v>離婚しようと記憶喪失のふりをしたら、怜悧な旦那様が激甘に愛してきます【分冊版】</v>
      </c>
      <c r="G3363" s="20" t="str">
        <f>IFERROR(__xludf.DUMMYFUNCTION("""COMPUTED_VALUE"""),"1～3")</f>
        <v>1～3</v>
      </c>
      <c r="H3363" s="22" t="str">
        <f>IFERROR(__xludf.DUMMYFUNCTION("""COMPUTED_VALUE"""),"由多いり,宇佐木")</f>
        <v>由多いり,宇佐木</v>
      </c>
      <c r="I3363" s="22" t="str">
        <f>IFERROR(__xludf.DUMMYFUNCTION("""COMPUTED_VALUE"""),"女性")</f>
        <v>女性</v>
      </c>
      <c r="J3363" s="22"/>
      <c r="K3363" s="22"/>
      <c r="L3363" s="22" t="str">
        <f>IFERROR(__xludf.DUMMYFUNCTION("""COMPUTED_VALUE"""),"ハーパーコリンズ・ジャパン")</f>
        <v>ハーパーコリンズ・ジャパン</v>
      </c>
      <c r="M3363" s="33">
        <f>IFERROR(__xludf.DUMMYFUNCTION("""COMPUTED_VALUE"""),45827.0)</f>
        <v>45827</v>
      </c>
      <c r="N3363" s="33">
        <f>IFERROR(__xludf.DUMMYFUNCTION("""COMPUTED_VALUE"""),45887.0)</f>
        <v>45887</v>
      </c>
      <c r="O3363" s="20"/>
      <c r="P3363" s="32" t="str">
        <f>IFERROR(__xludf.DUMMYFUNCTION("""COMPUTED_VALUE"""),"可")</f>
        <v>可</v>
      </c>
      <c r="Q3363" s="30"/>
      <c r="R3363" s="22" t="str">
        <f>IFERROR(__xludf.DUMMYFUNCTION("""COMPUTED_VALUE"""),"コミットOK")</f>
        <v>コミットOK</v>
      </c>
      <c r="S3363" s="22" t="str">
        <f>IFERROR(__xludf.DUMMYFUNCTION("""COMPUTED_VALUE"""),"20250527_ハーパーコリンズ・ジャパン_離婚しようと記憶喪失のふりをしたら、怜悧な旦那様が激甘に愛してきます【分冊版】")</f>
        <v>20250527_ハーパーコリンズ・ジャパン_離婚しようと記憶喪失のふりをしたら、怜悧な旦那様が激甘に愛してきます【分冊版】</v>
      </c>
      <c r="T3363" s="22" t="str">
        <f>IFERROR(__xludf.DUMMYFUNCTION("""COMPUTED_VALUE"""),"格納済み")</f>
        <v>格納済み</v>
      </c>
      <c r="U3363" s="9" t="str">
        <f>IFERROR(__xludf.DUMMYFUNCTION("""COMPUTED_VALUE"""),"Ⓒ由多いり・宇佐木／ハーパーコリンズ・ジャパン")</f>
        <v>Ⓒ由多いり・宇佐木／ハーパーコリンズ・ジャパン</v>
      </c>
      <c r="V3363" s="8"/>
      <c r="W3363" s="8"/>
      <c r="X3363" s="8" t="str">
        <f>IFERROR(__xludf.DUMMYFUNCTION("""COMPUTED_VALUE"""),"有")</f>
        <v>有</v>
      </c>
      <c r="Y3363" s="8" t="str">
        <f>IFERROR(__xludf.DUMMYFUNCTION("""COMPUTED_VALUE"""),"P9まで")</f>
        <v>P9まで</v>
      </c>
      <c r="Z3363" s="7"/>
      <c r="AA3363" s="7"/>
      <c r="AB3363" s="7"/>
    </row>
    <row r="3364" ht="15.75" customHeight="1">
      <c r="A3364" s="26">
        <f>IFERROR(__xludf.DUMMYFUNCTION("""COMPUTED_VALUE"""),5293.0)</f>
        <v>5293</v>
      </c>
      <c r="B3364" s="22" t="str">
        <f>IFERROR(__xludf.DUMMYFUNCTION("""COMPUTED_VALUE"""),"確定")</f>
        <v>確定</v>
      </c>
      <c r="C3364" s="28">
        <f>IFERROR(__xludf.DUMMYFUNCTION("""COMPUTED_VALUE"""),45735.0)</f>
        <v>45735</v>
      </c>
      <c r="D3364" s="28">
        <f>IFERROR(__xludf.DUMMYFUNCTION("""COMPUTED_VALUE"""),45737.0)</f>
        <v>45737</v>
      </c>
      <c r="E3364" s="26">
        <f>IFERROR(__xludf.DUMMYFUNCTION("""COMPUTED_VALUE"""),327443.0)</f>
        <v>327443</v>
      </c>
      <c r="F3364" s="22" t="str">
        <f>IFERROR(__xludf.DUMMYFUNCTION("""COMPUTED_VALUE"""),"怪異の掃除人・曽根崎慎司の事件ファイル 【連載版】")</f>
        <v>怪異の掃除人・曽根崎慎司の事件ファイル 【連載版】</v>
      </c>
      <c r="G3364" s="20" t="str">
        <f>IFERROR(__xludf.DUMMYFUNCTION("""COMPUTED_VALUE"""),"1～5")</f>
        <v>1～5</v>
      </c>
      <c r="H3364" s="22" t="str">
        <f>IFERROR(__xludf.DUMMYFUNCTION("""COMPUTED_VALUE"""),"漫画：八橋はち 原作：長埜恵")</f>
        <v>漫画：八橋はち 原作：長埜恵</v>
      </c>
      <c r="I3364" s="22" t="str">
        <f>IFERROR(__xludf.DUMMYFUNCTION("""COMPUTED_VALUE"""),"少女")</f>
        <v>少女</v>
      </c>
      <c r="J3364" s="22"/>
      <c r="K3364" s="22" t="str">
        <f>IFERROR(__xludf.DUMMYFUNCTION("""COMPUTED_VALUE"""),"ZERO-SUMコミックス")</f>
        <v>ZERO-SUMコミックス</v>
      </c>
      <c r="L3364" s="22" t="str">
        <f>IFERROR(__xludf.DUMMYFUNCTION("""COMPUTED_VALUE"""),"一迅社")</f>
        <v>一迅社</v>
      </c>
      <c r="M3364" s="33">
        <f>IFERROR(__xludf.DUMMYFUNCTION("""COMPUTED_VALUE"""),45839.0)</f>
        <v>45839</v>
      </c>
      <c r="N3364" s="33">
        <f>IFERROR(__xludf.DUMMYFUNCTION("""COMPUTED_VALUE"""),45869.0)</f>
        <v>45869</v>
      </c>
      <c r="O3364" s="20"/>
      <c r="P3364" s="32" t="str">
        <f>IFERROR(__xludf.DUMMYFUNCTION("""COMPUTED_VALUE"""),"否")</f>
        <v>否</v>
      </c>
      <c r="Q3364" s="30" t="str">
        <f>IFERROR(__xludf.DUMMYFUNCTION("""COMPUTED_VALUE"""),"先行配信施策2話まで無料。初回素材4話までで制作お願いいたします。")</f>
        <v>先行配信施策2話まで無料。初回素材4話までで制作お願いいたします。</v>
      </c>
      <c r="R3364" s="22"/>
      <c r="S3364" s="22" t="str">
        <f>IFERROR(__xludf.DUMMYFUNCTION("""COMPUTED_VALUE"""),"20250528_一迅社_怪異の掃除人
")</f>
        <v>20250528_一迅社_怪異の掃除人
</v>
      </c>
      <c r="T3364" s="22" t="str">
        <f>IFERROR(__xludf.DUMMYFUNCTION("""COMPUTED_VALUE"""),"格納済み")</f>
        <v>格納済み</v>
      </c>
      <c r="U3364" s="9" t="str">
        <f>IFERROR(__xludf.DUMMYFUNCTION("""COMPUTED_VALUE"""),"Ⓒ八橋はち／一迅社／長埜恵／宝島社        ")</f>
        <v>Ⓒ八橋はち／一迅社／長埜恵／宝島社        </v>
      </c>
      <c r="V3364" s="8"/>
      <c r="W3364" s="8"/>
      <c r="X3364" s="8" t="str">
        <f>IFERROR(__xludf.DUMMYFUNCTION("""COMPUTED_VALUE"""),"有")</f>
        <v>有</v>
      </c>
      <c r="Y3364" s="8" t="str">
        <f>IFERROR(__xludf.DUMMYFUNCTION("""COMPUTED_VALUE"""),"2025/7/31まで1~2巻無料")</f>
        <v>2025/7/31まで1~2巻無料</v>
      </c>
      <c r="Z3364" s="7"/>
      <c r="AA3364" s="7"/>
      <c r="AB3364" s="7"/>
    </row>
    <row r="3365">
      <c r="A3365" s="26">
        <f>IFERROR(__xludf.DUMMYFUNCTION("""COMPUTED_VALUE"""),5445.0)</f>
        <v>5445</v>
      </c>
      <c r="B3365" s="22" t="str">
        <f>IFERROR(__xludf.DUMMYFUNCTION("""COMPUTED_VALUE"""),"確定")</f>
        <v>確定</v>
      </c>
      <c r="C3365" s="28">
        <f>IFERROR(__xludf.DUMMYFUNCTION("""COMPUTED_VALUE"""),45755.0)</f>
        <v>45755</v>
      </c>
      <c r="D3365" s="28">
        <f>IFERROR(__xludf.DUMMYFUNCTION("""COMPUTED_VALUE"""),45805.0)</f>
        <v>45805</v>
      </c>
      <c r="E3365" s="26">
        <f>IFERROR(__xludf.DUMMYFUNCTION("""COMPUTED_VALUE"""),324053.0)</f>
        <v>324053</v>
      </c>
      <c r="F3365" s="22" t="str">
        <f>IFERROR(__xludf.DUMMYFUNCTION("""COMPUTED_VALUE"""),"セーデルホルムの魔女の家【分冊版】")</f>
        <v>セーデルホルムの魔女の家【分冊版】</v>
      </c>
      <c r="G3365" s="20" t="str">
        <f>IFERROR(__xludf.DUMMYFUNCTION("""COMPUTED_VALUE"""),"1～7")</f>
        <v>1～7</v>
      </c>
      <c r="H3365" s="22" t="str">
        <f>IFERROR(__xludf.DUMMYFUNCTION("""COMPUTED_VALUE"""),"彩瀬あいり 山水みこ とき間")</f>
        <v>彩瀬あいり 山水みこ とき間</v>
      </c>
      <c r="I3365" s="22" t="str">
        <f>IFERROR(__xludf.DUMMYFUNCTION("""COMPUTED_VALUE"""),"女性")</f>
        <v>女性</v>
      </c>
      <c r="J3365" s="22"/>
      <c r="K3365" s="22" t="str">
        <f>IFERROR(__xludf.DUMMYFUNCTION("""COMPUTED_VALUE"""),"ラワーレコミックス")</f>
        <v>ラワーレコミックス</v>
      </c>
      <c r="L3365" s="22" t="str">
        <f>IFERROR(__xludf.DUMMYFUNCTION("""COMPUTED_VALUE"""),"一二三書房")</f>
        <v>一二三書房</v>
      </c>
      <c r="M3365" s="33">
        <f>IFERROR(__xludf.DUMMYFUNCTION("""COMPUTED_VALUE"""),45813.0)</f>
        <v>45813</v>
      </c>
      <c r="N3365" s="33">
        <f>IFERROR(__xludf.DUMMYFUNCTION("""COMPUTED_VALUE"""),45873.0)</f>
        <v>45873</v>
      </c>
      <c r="O3365" s="20"/>
      <c r="P3365" s="32" t="str">
        <f>IFERROR(__xludf.DUMMYFUNCTION("""COMPUTED_VALUE"""),"可")</f>
        <v>可</v>
      </c>
      <c r="Q3365" s="30" t="str">
        <f>IFERROR(__xludf.DUMMYFUNCTION("""COMPUTED_VALUE"""),"■配信スケジュール&lt;BR&gt;8話以降（7月以降）は月次更新を予定&lt;BR&gt;■あらすじ&lt;BR&gt;妖精の姿を見ることができるメルヴィは、各地の御邸を転々としながら働く派遣型のハウスメイド。今回の仕事は、冬の休暇を別荘で過ごすためにやってきた軍人アダム・スペンサーと、養い子ケイトリンの身の回りの世話をすること。契約期間は一か月。 何人ものメイドを辞めさせてきたという癇癪持ちの少女も、どうやら妖精の姿が見えているようで――。感情を表に出すことが不得手な軍人とその養い子の少女と、他人の心の声が聞こえてしまう不思議なちから"&amp;"を持つメイドが、精霊信仰が息づく地で過ごす、冬のひと月の物語。")</f>
        <v>■配信スケジュール&lt;BR&gt;8話以降（7月以降）は月次更新を予定&lt;BR&gt;■あらすじ&lt;BR&gt;妖精の姿を見ることができるメルヴィは、各地の御邸を転々としながら働く派遣型のハウスメイド。今回の仕事は、冬の休暇を別荘で過ごすためにやってきた軍人アダム・スペンサーと、養い子ケイトリンの身の回りの世話をすること。契約期間は一か月。 何人ものメイドを辞めさせてきたという癇癪持ちの少女も、どうやら妖精の姿が見えているようで――。感情を表に出すことが不得手な軍人とその養い子の少女と、他人の心の声が聞こえてしまう不思議なちからを持つメイドが、精霊信仰が息づく地で過ごす、冬のひと月の物語。</v>
      </c>
      <c r="R3365" s="22" t="str">
        <f>IFERROR(__xludf.DUMMYFUNCTION("""COMPUTED_VALUE"""),"コミットNG")</f>
        <v>コミットNG</v>
      </c>
      <c r="S3365" s="22" t="str">
        <f>IFERROR(__xludf.DUMMYFUNCTION("""COMPUTED_VALUE"""),"20250527_一二三書房_セーデルホルムの魔女の家")</f>
        <v>20250527_一二三書房_セーデルホルムの魔女の家</v>
      </c>
      <c r="T3365" s="22" t="str">
        <f>IFERROR(__xludf.DUMMYFUNCTION("""COMPUTED_VALUE"""),"格納済み")</f>
        <v>格納済み</v>
      </c>
      <c r="U3365" s="9" t="str">
        <f>IFERROR(__xludf.DUMMYFUNCTION("""COMPUTED_VALUE"""),"©Airi Ayase ©Miko Sansui ©HIFUMI SHOBO")</f>
        <v>©Airi Ayase ©Miko Sansui ©HIFUMI SHOBO</v>
      </c>
      <c r="V3365" s="8" t="str">
        <f>IFERROR(__xludf.DUMMYFUNCTION("""COMPUTED_VALUE"""),"妖精の姿を見ることができるメルヴィは、各地の御邸を転々としながら働く派遣型のハウスメイド。
今回の仕事は、冬の休暇を別荘で過ごすためにやってきた軍人アダム・スペンサーと、養い子ケイトリンの身の回りの世話をすること。
契約期間は一か月。 何人ものメイドを辞めさせてきたという癇癪持ちの少女も、どうやら妖精の姿が見えているようで――。
感情を表に出すことが不得手な軍人とその養い子の少女と、他人の心の声が聞こえてしまう不思議なちからを持つメイドが、精霊信仰が息づく地で過ごす、冬のひと月の物語。")</f>
        <v>妖精の姿を見ることができるメルヴィは、各地の御邸を転々としながら働く派遣型のハウスメイド。
今回の仕事は、冬の休暇を別荘で過ごすためにやってきた軍人アダム・スペンサーと、養い子ケイトリンの身の回りの世話をすること。
契約期間は一か月。 何人ものメイドを辞めさせてきたという癇癪持ちの少女も、どうやら妖精の姿が見えているようで――。
感情を表に出すことが不得手な軍人とその養い子の少女と、他人の心の声が聞こえてしまう不思議なちからを持つメイドが、精霊信仰が息づく地で過ごす、冬のひと月の物語。</v>
      </c>
      <c r="W3365" s="8" t="str">
        <f>IFERROR(__xludf.DUMMYFUNCTION("""COMPUTED_VALUE"""),"#REF!")</f>
        <v>#REF!</v>
      </c>
      <c r="X3365" s="8" t="str">
        <f>IFERROR(__xludf.DUMMYFUNCTION("""COMPUTED_VALUE"""),"有")</f>
        <v>有</v>
      </c>
      <c r="Y3365" s="8" t="str">
        <f>IFERROR(__xludf.DUMMYFUNCTION("""COMPUTED_VALUE"""),"2025/6/18まで1~2巻無料")</f>
        <v>2025/6/18まで1~2巻無料</v>
      </c>
      <c r="Z3365" s="7"/>
      <c r="AA3365" s="7"/>
      <c r="AB3365" s="7"/>
    </row>
    <row r="3366" ht="15.75" customHeight="1">
      <c r="A3366" s="26">
        <f>IFERROR(__xludf.DUMMYFUNCTION("""COMPUTED_VALUE"""),5451.0)</f>
        <v>5451</v>
      </c>
      <c r="B3366" s="22" t="str">
        <f>IFERROR(__xludf.DUMMYFUNCTION("""COMPUTED_VALUE"""),"確定")</f>
        <v>確定</v>
      </c>
      <c r="C3366" s="28">
        <f>IFERROR(__xludf.DUMMYFUNCTION("""COMPUTED_VALUE"""),45756.0)</f>
        <v>45756</v>
      </c>
      <c r="D3366" s="28">
        <f>IFERROR(__xludf.DUMMYFUNCTION("""COMPUTED_VALUE"""),45803.0)</f>
        <v>45803</v>
      </c>
      <c r="E3366" s="26">
        <f>IFERROR(__xludf.DUMMYFUNCTION("""COMPUTED_VALUE"""),326421.0)</f>
        <v>326421</v>
      </c>
      <c r="F3366" s="22" t="str">
        <f>IFERROR(__xludf.DUMMYFUNCTION("""COMPUTED_VALUE"""),"Dressing 美容外科医 森野まりあ 分冊版")</f>
        <v>Dressing 美容外科医 森野まりあ 分冊版</v>
      </c>
      <c r="G3366" s="20" t="str">
        <f>IFERROR(__xludf.DUMMYFUNCTION("""COMPUTED_VALUE"""),"1～3")</f>
        <v>1～3</v>
      </c>
      <c r="H3366" s="22" t="str">
        <f>IFERROR(__xludf.DUMMYFUNCTION("""COMPUTED_VALUE"""),"藤川よつ葉/山本亜季/林みどり")</f>
        <v>藤川よつ葉/山本亜季/林みどり</v>
      </c>
      <c r="I3366" s="22" t="str">
        <f>IFERROR(__xludf.DUMMYFUNCTION("""COMPUTED_VALUE"""),"青年")</f>
        <v>青年</v>
      </c>
      <c r="J3366" s="22"/>
      <c r="K3366" s="22"/>
      <c r="L3366" s="22" t="str">
        <f>IFERROR(__xludf.DUMMYFUNCTION("""COMPUTED_VALUE"""),"コアミックス")</f>
        <v>コアミックス</v>
      </c>
      <c r="M3366" s="33">
        <f>IFERROR(__xludf.DUMMYFUNCTION("""COMPUTED_VALUE"""),45826.0)</f>
        <v>45826</v>
      </c>
      <c r="N3366" s="33">
        <f>IFERROR(__xludf.DUMMYFUNCTION("""COMPUTED_VALUE"""),45855.0)</f>
        <v>45855</v>
      </c>
      <c r="O3366" s="20"/>
      <c r="P3366" s="32" t="str">
        <f>IFERROR(__xludf.DUMMYFUNCTION("""COMPUTED_VALUE"""),"否")</f>
        <v>否</v>
      </c>
      <c r="Q3366" s="30" t="str">
        <f>IFERROR(__xludf.DUMMYFUNCTION("""COMPUTED_VALUE"""),"素材は4話まで格納しておりますが、初回配信話数分3話まで素材ご使用ください")</f>
        <v>素材は4話まで格納しておりますが、初回配信話数分3話まで素材ご使用ください</v>
      </c>
      <c r="R3366" s="22" t="str">
        <f>IFERROR(__xludf.DUMMYFUNCTION("""COMPUTED_VALUE"""),"コミットNG")</f>
        <v>コミットNG</v>
      </c>
      <c r="S3366" s="22" t="str">
        <f>IFERROR(__xludf.DUMMYFUNCTION("""COMPUTED_VALUE"""),"20250523_コアミックス_Dressing 美容外科医 森野まりあ")</f>
        <v>20250523_コアミックス_Dressing 美容外科医 森野まりあ</v>
      </c>
      <c r="T3366" s="22" t="str">
        <f>IFERROR(__xludf.DUMMYFUNCTION("""COMPUTED_VALUE"""),"格納済み")</f>
        <v>格納済み</v>
      </c>
      <c r="U3366" s="9" t="str">
        <f>IFERROR(__xludf.DUMMYFUNCTION("""COMPUTED_VALUE"""),"Ⓒ藤川よつ葉・山本亜季／コアミックス")</f>
        <v>Ⓒ藤川よつ葉・山本亜季／コアミックス</v>
      </c>
      <c r="V3366" s="8"/>
      <c r="W3366" s="8"/>
      <c r="X3366" s="8" t="str">
        <f>IFERROR(__xludf.DUMMYFUNCTION("""COMPUTED_VALUE"""),"有")</f>
        <v>有</v>
      </c>
      <c r="Y3366" s="8" t="str">
        <f>IFERROR(__xludf.DUMMYFUNCTION("""COMPUTED_VALUE"""),"2025/7/17まで1巻無料")</f>
        <v>2025/7/17まで1巻無料</v>
      </c>
      <c r="Z3366" s="7"/>
      <c r="AA3366" s="7"/>
      <c r="AB3366" s="7"/>
    </row>
    <row r="3367" ht="15.75" customHeight="1">
      <c r="A3367" s="26">
        <f>IFERROR(__xludf.DUMMYFUNCTION("""COMPUTED_VALUE"""),5452.0)</f>
        <v>5452</v>
      </c>
      <c r="B3367" s="22" t="str">
        <f>IFERROR(__xludf.DUMMYFUNCTION("""COMPUTED_VALUE"""),"確定")</f>
        <v>確定</v>
      </c>
      <c r="C3367" s="28">
        <f>IFERROR(__xludf.DUMMYFUNCTION("""COMPUTED_VALUE"""),45756.0)</f>
        <v>45756</v>
      </c>
      <c r="D3367" s="28">
        <f>IFERROR(__xludf.DUMMYFUNCTION("""COMPUTED_VALUE"""),45803.0)</f>
        <v>45803</v>
      </c>
      <c r="E3367" s="26">
        <f>IFERROR(__xludf.DUMMYFUNCTION("""COMPUTED_VALUE"""),326420.0)</f>
        <v>326420</v>
      </c>
      <c r="F3367" s="22" t="str">
        <f>IFERROR(__xludf.DUMMYFUNCTION("""COMPUTED_VALUE"""),"マトリの推し事 芸能人の家宅捜索をやりたくて 分冊版")</f>
        <v>マトリの推し事 芸能人の家宅捜索をやりたくて 分冊版</v>
      </c>
      <c r="G3367" s="20" t="str">
        <f>IFERROR(__xludf.DUMMYFUNCTION("""COMPUTED_VALUE"""),"1～5")</f>
        <v>1～5</v>
      </c>
      <c r="H3367" s="22" t="str">
        <f>IFERROR(__xludf.DUMMYFUNCTION("""COMPUTED_VALUE"""),"漫画／清家孝春 監修／廣畑徹（元厚生労働省麻薬取締部捜査第一課長）")</f>
        <v>漫画／清家孝春 監修／廣畑徹（元厚生労働省麻薬取締部捜査第一課長）</v>
      </c>
      <c r="I3367" s="22" t="str">
        <f>IFERROR(__xludf.DUMMYFUNCTION("""COMPUTED_VALUE"""),"青年")</f>
        <v>青年</v>
      </c>
      <c r="J3367" s="22"/>
      <c r="K3367" s="22"/>
      <c r="L3367" s="22" t="str">
        <f>IFERROR(__xludf.DUMMYFUNCTION("""COMPUTED_VALUE"""),"コアミックス")</f>
        <v>コアミックス</v>
      </c>
      <c r="M3367" s="33">
        <f>IFERROR(__xludf.DUMMYFUNCTION("""COMPUTED_VALUE"""),45814.0)</f>
        <v>45814</v>
      </c>
      <c r="N3367" s="33">
        <f>IFERROR(__xludf.DUMMYFUNCTION("""COMPUTED_VALUE"""),45888.0)</f>
        <v>45888</v>
      </c>
      <c r="O3367" s="20"/>
      <c r="P3367" s="32" t="str">
        <f>IFERROR(__xludf.DUMMYFUNCTION("""COMPUTED_VALUE"""),"否")</f>
        <v>否</v>
      </c>
      <c r="Q3367" s="30"/>
      <c r="R3367" s="22" t="str">
        <f>IFERROR(__xludf.DUMMYFUNCTION("""COMPUTED_VALUE"""),"コミットOK")</f>
        <v>コミットOK</v>
      </c>
      <c r="S3367" s="22" t="str">
        <f>IFERROR(__xludf.DUMMYFUNCTION("""COMPUTED_VALUE"""),"20250523_コアミックス_マトリの推し事 芸能人の家宅捜索をやりたくて")</f>
        <v>20250523_コアミックス_マトリの推し事 芸能人の家宅捜索をやりたくて</v>
      </c>
      <c r="T3367" s="22" t="str">
        <f>IFERROR(__xludf.DUMMYFUNCTION("""COMPUTED_VALUE"""),"格納済み")</f>
        <v>格納済み</v>
      </c>
      <c r="U3367" s="9" t="str">
        <f>IFERROR(__xludf.DUMMYFUNCTION("""COMPUTED_VALUE"""),"Ⓒ清家孝春／コアミックス")</f>
        <v>Ⓒ清家孝春／コアミックス</v>
      </c>
      <c r="V3367" s="8" t="str">
        <f>IFERROR(__xludf.DUMMYFUNCTION("""COMPUTED_VALUE"""),"入省三年目の麻薬取締官・城戸久美子(26)はやさぐれていた。意気揚々と入省したものの、現実は歯抜けのジャンキーや半グレの相手をさせられるばかりの日々。そんな久美子の唯一の癒しは、華やかで見目麗しい芸能人たちを推すこと。特に今の最推しは今をときめく気鋭の俳優・江崎曽蘭。 妄想の中で“推し”に癒され前向きになった久美子は新たな仕事に取り掛かる。しかし、その被疑者のリストの中になんと絶賛どハマり中の【最推し】江崎がおり…。")</f>
        <v>入省三年目の麻薬取締官・城戸久美子(26)はやさぐれていた。意気揚々と入省したものの、現実は歯抜けのジャンキーや半グレの相手をさせられるばかりの日々。そんな久美子の唯一の癒しは、華やかで見目麗しい芸能人たちを推すこと。特に今の最推しは今をときめく気鋭の俳優・江崎曽蘭。 妄想の中で“推し”に癒され前向きになった久美子は新たな仕事に取り掛かる。しかし、その被疑者のリストの中になんと絶賛どハマり中の【最推し】江崎がおり…。</v>
      </c>
      <c r="W3367" s="8" t="str">
        <f>IFERROR(__xludf.DUMMYFUNCTION("""COMPUTED_VALUE"""),"#REF!")</f>
        <v>#REF!</v>
      </c>
      <c r="X3367" s="8" t="str">
        <f>IFERROR(__xludf.DUMMYFUNCTION("""COMPUTED_VALUE"""),"有")</f>
        <v>有</v>
      </c>
      <c r="Y3367" s="8" t="str">
        <f>IFERROR(__xludf.DUMMYFUNCTION("""COMPUTED_VALUE"""),"2025/8/19まで1巻無料")</f>
        <v>2025/8/19まで1巻無料</v>
      </c>
      <c r="Z3367" s="7"/>
      <c r="AA3367" s="7"/>
      <c r="AB3367" s="7"/>
    </row>
    <row r="3368" ht="15.75" customHeight="1">
      <c r="A3368" s="26">
        <f>IFERROR(__xludf.DUMMYFUNCTION("""COMPUTED_VALUE"""),5508.0)</f>
        <v>5508</v>
      </c>
      <c r="B3368" s="22" t="str">
        <f>IFERROR(__xludf.DUMMYFUNCTION("""COMPUTED_VALUE"""),"確定")</f>
        <v>確定</v>
      </c>
      <c r="C3368" s="28">
        <f>IFERROR(__xludf.DUMMYFUNCTION("""COMPUTED_VALUE"""),45765.0)</f>
        <v>45765</v>
      </c>
      <c r="D3368" s="28">
        <f>IFERROR(__xludf.DUMMYFUNCTION("""COMPUTED_VALUE"""),45803.0)</f>
        <v>45803</v>
      </c>
      <c r="E3368" s="26">
        <f>IFERROR(__xludf.DUMMYFUNCTION("""COMPUTED_VALUE"""),326792.0)</f>
        <v>326792</v>
      </c>
      <c r="F3368" s="22" t="str">
        <f>IFERROR(__xludf.DUMMYFUNCTION("""COMPUTED_VALUE"""),"おしえて執事くん プチデザ")</f>
        <v>おしえて執事くん プチデザ</v>
      </c>
      <c r="G3368" s="20" t="str">
        <f>IFERROR(__xludf.DUMMYFUNCTION("""COMPUTED_VALUE"""),"1～4")</f>
        <v>1～4</v>
      </c>
      <c r="H3368" s="22" t="str">
        <f>IFERROR(__xludf.DUMMYFUNCTION("""COMPUTED_VALUE"""),"眞生みち")</f>
        <v>眞生みち</v>
      </c>
      <c r="I3368" s="22" t="str">
        <f>IFERROR(__xludf.DUMMYFUNCTION("""COMPUTED_VALUE"""),"少女")</f>
        <v>少女</v>
      </c>
      <c r="J3368" s="22"/>
      <c r="K3368" s="22"/>
      <c r="L3368" s="22" t="str">
        <f>IFERROR(__xludf.DUMMYFUNCTION("""COMPUTED_VALUE"""),"講談社")</f>
        <v>講談社</v>
      </c>
      <c r="M3368" s="33">
        <f>IFERROR(__xludf.DUMMYFUNCTION("""COMPUTED_VALUE"""),45833.0)</f>
        <v>45833</v>
      </c>
      <c r="N3368" s="33">
        <f>IFERROR(__xludf.DUMMYFUNCTION("""COMPUTED_VALUE"""),45913.0)</f>
        <v>45913</v>
      </c>
      <c r="O3368" s="20"/>
      <c r="P3368" s="32" t="str">
        <f>IFERROR(__xludf.DUMMYFUNCTION("""COMPUTED_VALUE"""),"否")</f>
        <v>否</v>
      </c>
      <c r="Q3368" s="30" t="str">
        <f>IFERROR(__xludf.DUMMYFUNCTION("""COMPUTED_VALUE"""),"9月中旬には単行本配信が決定&lt;BR&gt;素材はナノデータでの14話なので、分冊版4話分となります")</f>
        <v>9月中旬には単行本配信が決定&lt;BR&gt;素材はナノデータでの14話なので、分冊版4話分となります</v>
      </c>
      <c r="R3368" s="22" t="str">
        <f>IFERROR(__xludf.DUMMYFUNCTION("""COMPUTED_VALUE"""),"コミットOK")</f>
        <v>コミットOK</v>
      </c>
      <c r="S3368" s="22" t="str">
        <f>IFERROR(__xludf.DUMMYFUNCTION("""COMPUTED_VALUE"""),"20250521_講談社_おしえて執事くん")</f>
        <v>20250521_講談社_おしえて執事くん</v>
      </c>
      <c r="T3368" s="22" t="str">
        <f>IFERROR(__xludf.DUMMYFUNCTION("""COMPUTED_VALUE"""),"格納済み")</f>
        <v>格納済み</v>
      </c>
      <c r="U3368" s="9" t="str">
        <f>IFERROR(__xludf.DUMMYFUNCTION("""COMPUTED_VALUE"""),"Ⓒ眞生みち／講談社")</f>
        <v>Ⓒ眞生みち／講談社</v>
      </c>
      <c r="V3368" s="8"/>
      <c r="W3368" s="8"/>
      <c r="X3368" s="8" t="str">
        <f>IFERROR(__xludf.DUMMYFUNCTION("""COMPUTED_VALUE"""),"有")</f>
        <v>有</v>
      </c>
      <c r="Y3368" s="8" t="str">
        <f>IFERROR(__xludf.DUMMYFUNCTION("""COMPUTED_VALUE"""),"2025/9/13まで1巻無料")</f>
        <v>2025/9/13まで1巻無料</v>
      </c>
      <c r="Z3368" s="7"/>
      <c r="AA3368" s="7"/>
      <c r="AB3368" s="7"/>
    </row>
    <row r="3369" ht="15.75" customHeight="1">
      <c r="A3369" s="26">
        <f>IFERROR(__xludf.DUMMYFUNCTION("""COMPUTED_VALUE"""),5525.0)</f>
        <v>5525</v>
      </c>
      <c r="B3369" s="22" t="str">
        <f>IFERROR(__xludf.DUMMYFUNCTION("""COMPUTED_VALUE"""),"確定")</f>
        <v>確定</v>
      </c>
      <c r="C3369" s="28">
        <f>IFERROR(__xludf.DUMMYFUNCTION("""COMPUTED_VALUE"""),45769.0)</f>
        <v>45769</v>
      </c>
      <c r="D3369" s="28">
        <f>IFERROR(__xludf.DUMMYFUNCTION("""COMPUTED_VALUE"""),45803.0)</f>
        <v>45803</v>
      </c>
      <c r="E3369" s="26">
        <f>IFERROR(__xludf.DUMMYFUNCTION("""COMPUTED_VALUE"""),329290.0)</f>
        <v>329290</v>
      </c>
      <c r="F3369" s="22" t="str">
        <f>IFERROR(__xludf.DUMMYFUNCTION("""COMPUTED_VALUE"""),"魔王様の花嫁候補になりました")</f>
        <v>魔王様の花嫁候補になりました</v>
      </c>
      <c r="G3369" s="20" t="str">
        <f>IFERROR(__xludf.DUMMYFUNCTION("""COMPUTED_VALUE"""),"1～4")</f>
        <v>1～4</v>
      </c>
      <c r="H3369" s="22" t="str">
        <f>IFERROR(__xludf.DUMMYFUNCTION("""COMPUTED_VALUE"""),"漫画/愛田カノン 原作/時岡継美")</f>
        <v>漫画/愛田カノン 原作/時岡継美</v>
      </c>
      <c r="I3369" s="22" t="str">
        <f>IFERROR(__xludf.DUMMYFUNCTION("""COMPUTED_VALUE"""),"少女")</f>
        <v>少女</v>
      </c>
      <c r="J3369" s="22"/>
      <c r="K3369" s="22"/>
      <c r="L3369" s="22" t="str">
        <f>IFERROR(__xludf.DUMMYFUNCTION("""COMPUTED_VALUE"""),"アイエムエー")</f>
        <v>アイエムエー</v>
      </c>
      <c r="M3369" s="33">
        <f>IFERROR(__xludf.DUMMYFUNCTION("""COMPUTED_VALUE"""),45870.0)</f>
        <v>45870</v>
      </c>
      <c r="N3369" s="33">
        <f>IFERROR(__xludf.DUMMYFUNCTION("""COMPUTED_VALUE"""),45961.0)</f>
        <v>45961</v>
      </c>
      <c r="O3369" s="20"/>
      <c r="P3369" s="32" t="str">
        <f>IFERROR(__xludf.DUMMYFUNCTION("""COMPUTED_VALUE"""),"可")</f>
        <v>可</v>
      </c>
      <c r="Q3369" s="30" t="str">
        <f>IFERROR(__xludf.DUMMYFUNCTION("""COMPUTED_VALUE"""),"無料施策：あり")</f>
        <v>無料施策：あり</v>
      </c>
      <c r="R3369" s="22"/>
      <c r="S3369" s="22" t="str">
        <f>IFERROR(__xludf.DUMMYFUNCTION("""COMPUTED_VALUE"""),"20250523_アイエムエー_魔王様の花嫁候補になりました")</f>
        <v>20250523_アイエムエー_魔王様の花嫁候補になりました</v>
      </c>
      <c r="T3369" s="22" t="str">
        <f>IFERROR(__xludf.DUMMYFUNCTION("""COMPUTED_VALUE"""),"格納済み")</f>
        <v>格納済み</v>
      </c>
      <c r="U3369" s="9" t="str">
        <f>IFERROR(__xludf.DUMMYFUNCTION("""COMPUTED_VALUE"""),"Ⓒ愛田カノン／時岡継美／アイエムエー")</f>
        <v>Ⓒ愛田カノン／時岡継美／アイエムエー</v>
      </c>
      <c r="V3369" s="8"/>
      <c r="W3369" s="8"/>
      <c r="X3369" s="8" t="str">
        <f>IFERROR(__xludf.DUMMYFUNCTION("""COMPUTED_VALUE"""),"有")</f>
        <v>有</v>
      </c>
      <c r="Y3369" s="8" t="str">
        <f>IFERROR(__xludf.DUMMYFUNCTION("""COMPUTED_VALUE"""),"P10まで")</f>
        <v>P10まで</v>
      </c>
      <c r="Z3369" s="7"/>
      <c r="AA3369" s="7"/>
      <c r="AB3369" s="7"/>
    </row>
    <row r="3370" ht="15.75" customHeight="1">
      <c r="A3370" s="26">
        <f>IFERROR(__xludf.DUMMYFUNCTION("""COMPUTED_VALUE"""),5531.0)</f>
        <v>5531</v>
      </c>
      <c r="B3370" s="22" t="str">
        <f>IFERROR(__xludf.DUMMYFUNCTION("""COMPUTED_VALUE"""),"確定")</f>
        <v>確定</v>
      </c>
      <c r="C3370" s="28">
        <f>IFERROR(__xludf.DUMMYFUNCTION("""COMPUTED_VALUE"""),45771.0)</f>
        <v>45771</v>
      </c>
      <c r="D3370" s="28">
        <f>IFERROR(__xludf.DUMMYFUNCTION("""COMPUTED_VALUE"""),45804.0)</f>
        <v>45804</v>
      </c>
      <c r="E3370" s="26">
        <f>IFERROR(__xludf.DUMMYFUNCTION("""COMPUTED_VALUE"""),326304.0)</f>
        <v>326304</v>
      </c>
      <c r="F3370" s="22" t="str">
        <f>IFERROR(__xludf.DUMMYFUNCTION("""COMPUTED_VALUE"""),"Cry Baby Killer")</f>
        <v>Cry Baby Killer</v>
      </c>
      <c r="G3370" s="20" t="str">
        <f>IFERROR(__xludf.DUMMYFUNCTION("""COMPUTED_VALUE"""),"1～3")</f>
        <v>1～3</v>
      </c>
      <c r="H3370" s="22" t="str">
        <f>IFERROR(__xludf.DUMMYFUNCTION("""COMPUTED_VALUE"""),"町田響")</f>
        <v>町田響</v>
      </c>
      <c r="I3370" s="22" t="str">
        <f>IFERROR(__xludf.DUMMYFUNCTION("""COMPUTED_VALUE"""),"BL")</f>
        <v>BL</v>
      </c>
      <c r="J3370" s="22"/>
      <c r="K3370" s="22"/>
      <c r="L3370" s="22" t="str">
        <f>IFERROR(__xludf.DUMMYFUNCTION("""COMPUTED_VALUE"""),"Freedia")</f>
        <v>Freedia</v>
      </c>
      <c r="M3370" s="33">
        <f>IFERROR(__xludf.DUMMYFUNCTION("""COMPUTED_VALUE"""),45828.0)</f>
        <v>45828</v>
      </c>
      <c r="N3370" s="33">
        <f>IFERROR(__xludf.DUMMYFUNCTION("""COMPUTED_VALUE"""),45919.0)</f>
        <v>45919</v>
      </c>
      <c r="O3370" s="20"/>
      <c r="P3370" s="32" t="str">
        <f>IFERROR(__xludf.DUMMYFUNCTION("""COMPUTED_VALUE"""),"可")</f>
        <v>可</v>
      </c>
      <c r="Q3370" s="30"/>
      <c r="R3370" s="22" t="str">
        <f>IFERROR(__xludf.DUMMYFUNCTION("""COMPUTED_VALUE"""),"コミットNG")</f>
        <v>コミットNG</v>
      </c>
      <c r="S3370" s="22" t="str">
        <f>IFERROR(__xludf.DUMMYFUNCTION("""COMPUTED_VALUE"""),"20250527_Freedia_Cry Baby Killer")</f>
        <v>20250527_Freedia_Cry Baby Killer</v>
      </c>
      <c r="T3370" s="22" t="str">
        <f>IFERROR(__xludf.DUMMYFUNCTION("""COMPUTED_VALUE"""),"格納済み")</f>
        <v>格納済み</v>
      </c>
      <c r="U3370" s="9" t="str">
        <f>IFERROR(__xludf.DUMMYFUNCTION("""COMPUTED_VALUE"""),"Ⓒ町田響/Freedia")</f>
        <v>Ⓒ町田響/Freedia</v>
      </c>
      <c r="V3370" s="8"/>
      <c r="W3370" s="8"/>
      <c r="X3370" s="8" t="str">
        <f>IFERROR(__xludf.DUMMYFUNCTION("""COMPUTED_VALUE"""),"有")</f>
        <v>有</v>
      </c>
      <c r="Y3370" s="8" t="str">
        <f>IFERROR(__xludf.DUMMYFUNCTION("""COMPUTED_VALUE"""),"2025/9/19まで1巻無料")</f>
        <v>2025/9/19まで1巻無料</v>
      </c>
      <c r="Z3370" s="7"/>
      <c r="AA3370" s="7"/>
      <c r="AB3370" s="7"/>
    </row>
    <row r="3371" ht="15.75" customHeight="1">
      <c r="A3371" s="26">
        <f>IFERROR(__xludf.DUMMYFUNCTION("""COMPUTED_VALUE"""),5538.0)</f>
        <v>5538</v>
      </c>
      <c r="B3371" s="22" t="str">
        <f>IFERROR(__xludf.DUMMYFUNCTION("""COMPUTED_VALUE"""),"確定")</f>
        <v>確定</v>
      </c>
      <c r="C3371" s="28">
        <f>IFERROR(__xludf.DUMMYFUNCTION("""COMPUTED_VALUE"""),45775.0)</f>
        <v>45775</v>
      </c>
      <c r="D3371" s="28">
        <f>IFERROR(__xludf.DUMMYFUNCTION("""COMPUTED_VALUE"""),45803.0)</f>
        <v>45803</v>
      </c>
      <c r="E3371" s="26">
        <f>IFERROR(__xludf.DUMMYFUNCTION("""COMPUTED_VALUE"""),326875.0)</f>
        <v>326875</v>
      </c>
      <c r="F3371" s="22" t="str">
        <f>IFERROR(__xludf.DUMMYFUNCTION("""COMPUTED_VALUE"""),"ハリネズミの恋")</f>
        <v>ハリネズミの恋</v>
      </c>
      <c r="G3371" s="20" t="str">
        <f>IFERROR(__xludf.DUMMYFUNCTION("""COMPUTED_VALUE"""),"1～3")</f>
        <v>1～3</v>
      </c>
      <c r="H3371" s="22" t="str">
        <f>IFERROR(__xludf.DUMMYFUNCTION("""COMPUTED_VALUE"""),"ヤナギナギ")</f>
        <v>ヤナギナギ</v>
      </c>
      <c r="I3371" s="22" t="str">
        <f>IFERROR(__xludf.DUMMYFUNCTION("""COMPUTED_VALUE"""),"女性マンガ")</f>
        <v>女性マンガ</v>
      </c>
      <c r="J3371" s="22"/>
      <c r="K3371" s="22" t="str">
        <f>IFERROR(__xludf.DUMMYFUNCTION("""COMPUTED_VALUE"""),"re:belle")</f>
        <v>re:belle</v>
      </c>
      <c r="L3371" s="22" t="str">
        <f>IFERROR(__xludf.DUMMYFUNCTION("""COMPUTED_VALUE"""),"CLAPコミックス")</f>
        <v>CLAPコミックス</v>
      </c>
      <c r="M3371" s="33">
        <f>IFERROR(__xludf.DUMMYFUNCTION("""COMPUTED_VALUE"""),45834.0)</f>
        <v>45834</v>
      </c>
      <c r="N3371" s="33">
        <f>IFERROR(__xludf.DUMMYFUNCTION("""COMPUTED_VALUE"""),45924.0)</f>
        <v>45924</v>
      </c>
      <c r="O3371" s="20"/>
      <c r="P3371" s="32" t="str">
        <f>IFERROR(__xludf.DUMMYFUNCTION("""COMPUTED_VALUE"""),"可")</f>
        <v>可</v>
      </c>
      <c r="Q3371" s="30" t="str">
        <f>IFERROR(__xludf.DUMMYFUNCTION("""COMPUTED_VALUE"""),"著者既刊『名も知らず』ふゅーじょんぷろだくと&lt;BR&gt;")</f>
        <v>著者既刊『名も知らず』ふゅーじょんぷろだくと&lt;BR&gt;</v>
      </c>
      <c r="R3371" s="22" t="str">
        <f>IFERROR(__xludf.DUMMYFUNCTION("""COMPUTED_VALUE"""),"コミットOK")</f>
        <v>コミットOK</v>
      </c>
      <c r="S3371" s="22" t="str">
        <f>IFERROR(__xludf.DUMMYFUNCTION("""COMPUTED_VALUE"""),"20250523_CLAPコミックス_ハリネズミの恋")</f>
        <v>20250523_CLAPコミックス_ハリネズミの恋</v>
      </c>
      <c r="T3371" s="22" t="str">
        <f>IFERROR(__xludf.DUMMYFUNCTION("""COMPUTED_VALUE"""),"格納済み")</f>
        <v>格納済み</v>
      </c>
      <c r="U3371" s="9" t="str">
        <f>IFERROR(__xludf.DUMMYFUNCTION("""COMPUTED_VALUE"""),"Ⓒヤナギナギ／CLAPコミックス")</f>
        <v>Ⓒヤナギナギ／CLAPコミックス</v>
      </c>
      <c r="V3371" s="8"/>
      <c r="W3371" s="8"/>
      <c r="X3371" s="8" t="str">
        <f>IFERROR(__xludf.DUMMYFUNCTION("""COMPUTED_VALUE"""),"有")</f>
        <v>有</v>
      </c>
      <c r="Y3371" s="8" t="str">
        <f>IFERROR(__xludf.DUMMYFUNCTION("""COMPUTED_VALUE"""),"2025/7/9まで1巻無料")</f>
        <v>2025/7/9まで1巻無料</v>
      </c>
      <c r="Z3371" s="7"/>
      <c r="AA3371" s="7"/>
      <c r="AB3371" s="7"/>
    </row>
    <row r="3372" ht="15.75" customHeight="1">
      <c r="A3372" s="26">
        <f>IFERROR(__xludf.DUMMYFUNCTION("""COMPUTED_VALUE"""),5588.0)</f>
        <v>5588</v>
      </c>
      <c r="B3372" s="22" t="str">
        <f>IFERROR(__xludf.DUMMYFUNCTION("""COMPUTED_VALUE"""),"確定")</f>
        <v>確定</v>
      </c>
      <c r="C3372" s="28">
        <f>IFERROR(__xludf.DUMMYFUNCTION("""COMPUTED_VALUE"""),45786.0)</f>
        <v>45786</v>
      </c>
      <c r="D3372" s="28">
        <f>IFERROR(__xludf.DUMMYFUNCTION("""COMPUTED_VALUE"""),45803.0)</f>
        <v>45803</v>
      </c>
      <c r="E3372" s="26">
        <f>IFERROR(__xludf.DUMMYFUNCTION("""COMPUTED_VALUE"""),326709.0)</f>
        <v>326709</v>
      </c>
      <c r="F3372" s="22" t="str">
        <f>IFERROR(__xludf.DUMMYFUNCTION("""COMPUTED_VALUE"""),"たろうのまにまに【単話】")</f>
        <v>たろうのまにまに【単話】</v>
      </c>
      <c r="G3372" s="20" t="str">
        <f>IFERROR(__xludf.DUMMYFUNCTION("""COMPUTED_VALUE"""),"1～3")</f>
        <v>1～3</v>
      </c>
      <c r="H3372" s="22" t="str">
        <f>IFERROR(__xludf.DUMMYFUNCTION("""COMPUTED_VALUE"""),"八海つむ")</f>
        <v>八海つむ</v>
      </c>
      <c r="I3372" s="22" t="str">
        <f>IFERROR(__xludf.DUMMYFUNCTION("""COMPUTED_VALUE"""),"女性")</f>
        <v>女性</v>
      </c>
      <c r="J3372" s="22"/>
      <c r="K3372" s="22" t="str">
        <f>IFERROR(__xludf.DUMMYFUNCTION("""COMPUTED_VALUE"""),"マンガワン女子部")</f>
        <v>マンガワン女子部</v>
      </c>
      <c r="L3372" s="22" t="str">
        <f>IFERROR(__xludf.DUMMYFUNCTION("""COMPUTED_VALUE"""),"小学館")</f>
        <v>小学館</v>
      </c>
      <c r="M3372" s="33">
        <f>IFERROR(__xludf.DUMMYFUNCTION("""COMPUTED_VALUE"""),45826.0)</f>
        <v>45826</v>
      </c>
      <c r="N3372" s="33">
        <f>IFERROR(__xludf.DUMMYFUNCTION("""COMPUTED_VALUE"""),45918.66666666667)</f>
        <v>45918.66667</v>
      </c>
      <c r="O3372" s="20"/>
      <c r="P3372" s="32" t="str">
        <f>IFERROR(__xludf.DUMMYFUNCTION("""COMPUTED_VALUE"""),"否")</f>
        <v>否</v>
      </c>
      <c r="Q3372" s="30" t="str">
        <f>IFERROR(__xludf.DUMMYFUNCTION("""COMPUTED_VALUE"""),"先行配信しておりました『ひともんちゃくなら喜んで！』の八海つむ先生の最新作です。とにかくヒモ男のビジュが良く、接近するシーンもあるので広告映えするかなと思います。内容も元セフレのクズ男が登場し、軽くぎゃふんな展開もあり…という感じです。
・初回配信だけ2ヵ月、続話は1ヵ月　※延長可能")</f>
        <v>先行配信しておりました『ひともんちゃくなら喜んで！』の八海つむ先生の最新作です。とにかくヒモ男のビジュが良く、接近するシーンもあるので広告映えするかなと思います。内容も元セフレのクズ男が登場し、軽くぎゃふんな展開もあり…という感じです。
・初回配信だけ2ヵ月、続話は1ヵ月　※延長可能</v>
      </c>
      <c r="R3372" s="22" t="str">
        <f>IFERROR(__xludf.DUMMYFUNCTION("""COMPUTED_VALUE"""),"コミットOK")</f>
        <v>コミットOK</v>
      </c>
      <c r="S3372" s="22" t="str">
        <f>IFERROR(__xludf.DUMMYFUNCTION("""COMPUTED_VALUE"""),"20250523_小学館_たろうのまにまに")</f>
        <v>20250523_小学館_たろうのまにまに</v>
      </c>
      <c r="T3372" s="22" t="str">
        <f>IFERROR(__xludf.DUMMYFUNCTION("""COMPUTED_VALUE"""),"格納済み")</f>
        <v>格納済み</v>
      </c>
      <c r="U3372" s="9" t="str">
        <f>IFERROR(__xludf.DUMMYFUNCTION("""COMPUTED_VALUE"""),"Ⓒ八海つむ / 小学館")</f>
        <v>Ⓒ八海つむ / 小学館</v>
      </c>
      <c r="V3372" s="8"/>
      <c r="W3372" s="8"/>
      <c r="X3372" s="8" t="str">
        <f>IFERROR(__xludf.DUMMYFUNCTION("""COMPUTED_VALUE"""),"有")</f>
        <v>有</v>
      </c>
      <c r="Y3372" s="8" t="str">
        <f>IFERROR(__xludf.DUMMYFUNCTION("""COMPUTED_VALUE"""),"P34まで")</f>
        <v>P34まで</v>
      </c>
      <c r="Z3372" s="7"/>
      <c r="AA3372" s="7"/>
      <c r="AB3372" s="7"/>
    </row>
    <row r="3373" ht="15.75" customHeight="1">
      <c r="A3373" s="26">
        <f>IFERROR(__xludf.DUMMYFUNCTION("""COMPUTED_VALUE"""),5597.0)</f>
        <v>5597</v>
      </c>
      <c r="B3373" s="22" t="str">
        <f>IFERROR(__xludf.DUMMYFUNCTION("""COMPUTED_VALUE"""),"確定")</f>
        <v>確定</v>
      </c>
      <c r="C3373" s="28">
        <f>IFERROR(__xludf.DUMMYFUNCTION("""COMPUTED_VALUE"""),45789.0)</f>
        <v>45789</v>
      </c>
      <c r="D3373" s="28">
        <f>IFERROR(__xludf.DUMMYFUNCTION("""COMPUTED_VALUE"""),45803.0)</f>
        <v>45803</v>
      </c>
      <c r="E3373" s="26">
        <f>IFERROR(__xludf.DUMMYFUNCTION("""COMPUTED_VALUE"""),325485.0)</f>
        <v>325485</v>
      </c>
      <c r="F3373" s="22" t="str">
        <f>IFERROR(__xludf.DUMMYFUNCTION("""COMPUTED_VALUE"""),"守って！ボディーガード【タテヨミ】")</f>
        <v>守って！ボディーガード【タテヨミ】</v>
      </c>
      <c r="G3373" s="20" t="str">
        <f>IFERROR(__xludf.DUMMYFUNCTION("""COMPUTED_VALUE"""),"1～30")</f>
        <v>1～30</v>
      </c>
      <c r="H3373" s="22" t="str">
        <f>IFERROR(__xludf.DUMMYFUNCTION("""COMPUTED_VALUE"""),"G-goon, C.Dyce")</f>
        <v>G-goon, C.Dyce</v>
      </c>
      <c r="I3373" s="22" t="str">
        <f>IFERROR(__xludf.DUMMYFUNCTION("""COMPUTED_VALUE"""),"青年")</f>
        <v>青年</v>
      </c>
      <c r="J3373" s="22"/>
      <c r="K3373" s="22"/>
      <c r="L3373" s="22" t="str">
        <f>IFERROR(__xludf.DUMMYFUNCTION("""COMPUTED_VALUE"""),"リバース")</f>
        <v>リバース</v>
      </c>
      <c r="M3373" s="33">
        <f>IFERROR(__xludf.DUMMYFUNCTION("""COMPUTED_VALUE"""),45830.0)</f>
        <v>45830</v>
      </c>
      <c r="N3373" s="33">
        <f>IFERROR(__xludf.DUMMYFUNCTION("""COMPUTED_VALUE"""),45893.0)</f>
        <v>45893</v>
      </c>
      <c r="O3373" s="20"/>
      <c r="P3373" s="32" t="str">
        <f>IFERROR(__xludf.DUMMYFUNCTION("""COMPUTED_VALUE"""),"可")</f>
        <v>可</v>
      </c>
      <c r="Q3373" s="30"/>
      <c r="R3373" s="22" t="str">
        <f>IFERROR(__xludf.DUMMYFUNCTION("""COMPUTED_VALUE"""),"コミットOK")</f>
        <v>コミットOK</v>
      </c>
      <c r="S3373" s="22" t="str">
        <f>IFERROR(__xludf.DUMMYFUNCTION("""COMPUTED_VALUE"""),"20250526_リバース_守って！ボディーガード【タテヨミ】")</f>
        <v>20250526_リバース_守って！ボディーガード【タテヨミ】</v>
      </c>
      <c r="T3373" s="22" t="str">
        <f>IFERROR(__xludf.DUMMYFUNCTION("""COMPUTED_VALUE"""),"格納済み")</f>
        <v>格納済み</v>
      </c>
      <c r="U3373" s="9" t="str">
        <f>IFERROR(__xludf.DUMMYFUNCTION("""COMPUTED_VALUE"""),"ⒸG-goon, C.Dyce, Toomics")</f>
        <v>ⒸG-goon, C.Dyce, Toomics</v>
      </c>
      <c r="V3373" s="8"/>
      <c r="W3373" s="8"/>
      <c r="X3373" s="8" t="str">
        <f>IFERROR(__xludf.DUMMYFUNCTION("""COMPUTED_VALUE"""),"有")</f>
        <v>有</v>
      </c>
      <c r="Y3373" s="8" t="str">
        <f>IFERROR(__xludf.DUMMYFUNCTION("""COMPUTED_VALUE"""),"1~3巻目無料
2025/7/5まで4~7巻目無料")</f>
        <v>1~3巻目無料
2025/7/5まで4~7巻目無料</v>
      </c>
      <c r="Z3373" s="7"/>
      <c r="AA3373" s="7"/>
      <c r="AB3373" s="7"/>
    </row>
    <row r="3374" ht="15.75" customHeight="1">
      <c r="A3374" s="26">
        <f>IFERROR(__xludf.DUMMYFUNCTION("""COMPUTED_VALUE"""),5602.0)</f>
        <v>5602</v>
      </c>
      <c r="B3374" s="22" t="str">
        <f>IFERROR(__xludf.DUMMYFUNCTION("""COMPUTED_VALUE"""),"確定")</f>
        <v>確定</v>
      </c>
      <c r="C3374" s="28">
        <f>IFERROR(__xludf.DUMMYFUNCTION("""COMPUTED_VALUE"""),45789.0)</f>
        <v>45789</v>
      </c>
      <c r="D3374" s="28">
        <f>IFERROR(__xludf.DUMMYFUNCTION("""COMPUTED_VALUE"""),45805.0)</f>
        <v>45805</v>
      </c>
      <c r="E3374" s="26">
        <f>IFERROR(__xludf.DUMMYFUNCTION("""COMPUTED_VALUE"""),325486.0)</f>
        <v>325486</v>
      </c>
      <c r="F3374" s="22" t="str">
        <f>IFERROR(__xludf.DUMMYFUNCTION("""COMPUTED_VALUE"""),"ただのトモダチ？【タテヨミ】")</f>
        <v>ただのトモダチ？【タテヨミ】</v>
      </c>
      <c r="G3374" s="20" t="str">
        <f>IFERROR(__xludf.DUMMYFUNCTION("""COMPUTED_VALUE"""),"1～20")</f>
        <v>1～20</v>
      </c>
      <c r="H3374" s="22" t="str">
        <f>IFERROR(__xludf.DUMMYFUNCTION("""COMPUTED_VALUE"""),"O2Lin, サット")</f>
        <v>O2Lin, サット</v>
      </c>
      <c r="I3374" s="22" t="str">
        <f>IFERROR(__xludf.DUMMYFUNCTION("""COMPUTED_VALUE"""),"青年")</f>
        <v>青年</v>
      </c>
      <c r="J3374" s="22"/>
      <c r="K3374" s="22"/>
      <c r="L3374" s="22" t="str">
        <f>IFERROR(__xludf.DUMMYFUNCTION("""COMPUTED_VALUE"""),"リバース")</f>
        <v>リバース</v>
      </c>
      <c r="M3374" s="33">
        <f>IFERROR(__xludf.DUMMYFUNCTION("""COMPUTED_VALUE"""),45830.0)</f>
        <v>45830</v>
      </c>
      <c r="N3374" s="33">
        <f>IFERROR(__xludf.DUMMYFUNCTION("""COMPUTED_VALUE"""),45893.0)</f>
        <v>45893</v>
      </c>
      <c r="O3374" s="20"/>
      <c r="P3374" s="32" t="str">
        <f>IFERROR(__xludf.DUMMYFUNCTION("""COMPUTED_VALUE"""),"可")</f>
        <v>可</v>
      </c>
      <c r="Q3374" s="30"/>
      <c r="R3374" s="22" t="str">
        <f>IFERROR(__xludf.DUMMYFUNCTION("""COMPUTED_VALUE"""),"コミットNG")</f>
        <v>コミットNG</v>
      </c>
      <c r="S3374" s="22" t="str">
        <f>IFERROR(__xludf.DUMMYFUNCTION("""COMPUTED_VALUE"""),"20250527_リバース_ただのトモダチ？")</f>
        <v>20250527_リバース_ただのトモダチ？</v>
      </c>
      <c r="T3374" s="22" t="str">
        <f>IFERROR(__xludf.DUMMYFUNCTION("""COMPUTED_VALUE"""),"格納済み")</f>
        <v>格納済み</v>
      </c>
      <c r="U3374" s="9" t="str">
        <f>IFERROR(__xludf.DUMMYFUNCTION("""COMPUTED_VALUE"""),"ⒸO2Lin, サット, Toomics")</f>
        <v>ⒸO2Lin, サット, Toomics</v>
      </c>
      <c r="V3374" s="8"/>
      <c r="W3374" s="8"/>
      <c r="X3374" s="8" t="str">
        <f>IFERROR(__xludf.DUMMYFUNCTION("""COMPUTED_VALUE"""),"有")</f>
        <v>有</v>
      </c>
      <c r="Y3374" s="8" t="str">
        <f>IFERROR(__xludf.DUMMYFUNCTION("""COMPUTED_VALUE"""),"1~3巻無料
2025/7/5まで4~5巻目無料")</f>
        <v>1~3巻無料
2025/7/5まで4~5巻目無料</v>
      </c>
      <c r="Z3374" s="7"/>
      <c r="AA3374" s="7"/>
      <c r="AB3374" s="7"/>
    </row>
    <row r="3375" ht="15.75" customHeight="1">
      <c r="A3375" s="26">
        <f>IFERROR(__xludf.DUMMYFUNCTION("""COMPUTED_VALUE"""),5604.0)</f>
        <v>5604</v>
      </c>
      <c r="B3375" s="22" t="str">
        <f>IFERROR(__xludf.DUMMYFUNCTION("""COMPUTED_VALUE"""),"確定")</f>
        <v>確定</v>
      </c>
      <c r="C3375" s="28">
        <f>IFERROR(__xludf.DUMMYFUNCTION("""COMPUTED_VALUE"""),45789.0)</f>
        <v>45789</v>
      </c>
      <c r="D3375" s="28">
        <f>IFERROR(__xludf.DUMMYFUNCTION("""COMPUTED_VALUE"""),45804.0)</f>
        <v>45804</v>
      </c>
      <c r="E3375" s="26">
        <f>IFERROR(__xludf.DUMMYFUNCTION("""COMPUTED_VALUE"""),324972.0)</f>
        <v>324972</v>
      </c>
      <c r="F3375" s="22" t="str">
        <f>IFERROR(__xludf.DUMMYFUNCTION("""COMPUTED_VALUE"""),"敏感男子、調教される【タテヨミ】")</f>
        <v>敏感男子、調教される【タテヨミ】</v>
      </c>
      <c r="G3375" s="20" t="str">
        <f>IFERROR(__xludf.DUMMYFUNCTION("""COMPUTED_VALUE"""),"1～20")</f>
        <v>1～20</v>
      </c>
      <c r="H3375" s="22" t="str">
        <f>IFERROR(__xludf.DUMMYFUNCTION("""COMPUTED_VALUE"""),"四季施しあ")</f>
        <v>四季施しあ</v>
      </c>
      <c r="I3375" s="22" t="str">
        <f>IFERROR(__xludf.DUMMYFUNCTION("""COMPUTED_VALUE"""),"BL")</f>
        <v>BL</v>
      </c>
      <c r="J3375" s="22"/>
      <c r="K3375" s="22"/>
      <c r="L3375" s="22" t="str">
        <f>IFERROR(__xludf.DUMMYFUNCTION("""COMPUTED_VALUE"""),"NHN comico")</f>
        <v>NHN comico</v>
      </c>
      <c r="M3375" s="33">
        <f>IFERROR(__xludf.DUMMYFUNCTION("""COMPUTED_VALUE"""),45824.0)</f>
        <v>45824</v>
      </c>
      <c r="N3375" s="33">
        <f>IFERROR(__xludf.DUMMYFUNCTION("""COMPUTED_VALUE"""),45884.0)</f>
        <v>45884</v>
      </c>
      <c r="O3375" s="20"/>
      <c r="P3375" s="32" t="str">
        <f>IFERROR(__xludf.DUMMYFUNCTION("""COMPUTED_VALUE"""),"可")</f>
        <v>可</v>
      </c>
      <c r="Q3375" s="30"/>
      <c r="R3375" s="22" t="str">
        <f>IFERROR(__xludf.DUMMYFUNCTION("""COMPUTED_VALUE"""),"コミットOK")</f>
        <v>コミットOK</v>
      </c>
      <c r="S3375" s="22" t="str">
        <f>IFERROR(__xludf.DUMMYFUNCTION("""COMPUTED_VALUE"""),"20250527_comico_敏感男子、調教される【タテヨミ】")</f>
        <v>20250527_comico_敏感男子、調教される【タテヨミ】</v>
      </c>
      <c r="T3375" s="22" t="str">
        <f>IFERROR(__xludf.DUMMYFUNCTION("""COMPUTED_VALUE"""),"格納済み")</f>
        <v>格納済み</v>
      </c>
      <c r="U3375" s="9" t="str">
        <f>IFERROR(__xludf.DUMMYFUNCTION("""COMPUTED_VALUE"""),"Ⓒ四季施しあ/Studio comico")</f>
        <v>Ⓒ四季施しあ/Studio comico</v>
      </c>
      <c r="V3375" s="8"/>
      <c r="W3375" s="8"/>
      <c r="X3375" s="8" t="str">
        <f>IFERROR(__xludf.DUMMYFUNCTION("""COMPUTED_VALUE"""),"有")</f>
        <v>有</v>
      </c>
      <c r="Y3375" s="8" t="str">
        <f>IFERROR(__xludf.DUMMYFUNCTION("""COMPUTED_VALUE"""),"1~2巻無料")</f>
        <v>1~2巻無料</v>
      </c>
      <c r="Z3375" s="7"/>
      <c r="AA3375" s="7"/>
      <c r="AB3375" s="7"/>
    </row>
    <row r="3376" ht="15.75" customHeight="1">
      <c r="A3376" s="26">
        <f>IFERROR(__xludf.DUMMYFUNCTION("""COMPUTED_VALUE"""),5654.0)</f>
        <v>5654</v>
      </c>
      <c r="B3376" s="22" t="str">
        <f>IFERROR(__xludf.DUMMYFUNCTION("""COMPUTED_VALUE"""),"確定")</f>
        <v>確定</v>
      </c>
      <c r="C3376" s="28">
        <f>IFERROR(__xludf.DUMMYFUNCTION("""COMPUTED_VALUE"""),45798.0)</f>
        <v>45798</v>
      </c>
      <c r="D3376" s="28">
        <f>IFERROR(__xludf.DUMMYFUNCTION("""COMPUTED_VALUE"""),45803.0)</f>
        <v>45803</v>
      </c>
      <c r="E3376" s="26">
        <f>IFERROR(__xludf.DUMMYFUNCTION("""COMPUTED_VALUE"""),326778.0)</f>
        <v>326778</v>
      </c>
      <c r="F3376" s="22" t="str">
        <f>IFERROR(__xludf.DUMMYFUNCTION("""COMPUTED_VALUE"""),"最低なあの子に捧ぐこの復讐　分冊版")</f>
        <v>最低なあの子に捧ぐこの復讐　分冊版</v>
      </c>
      <c r="G3376" s="20" t="str">
        <f>IFERROR(__xludf.DUMMYFUNCTION("""COMPUTED_VALUE"""),"1～4")</f>
        <v>1～4</v>
      </c>
      <c r="H3376" s="22" t="str">
        <f>IFERROR(__xludf.DUMMYFUNCTION("""COMPUTED_VALUE"""),"漫画：古仲なこ 原作：成瀬ちはや")</f>
        <v>漫画：古仲なこ 原作：成瀬ちはや</v>
      </c>
      <c r="I3376" s="22" t="str">
        <f>IFERROR(__xludf.DUMMYFUNCTION("""COMPUTED_VALUE"""),"少女")</f>
        <v>少女</v>
      </c>
      <c r="J3376" s="22"/>
      <c r="K3376" s="22"/>
      <c r="L3376" s="22" t="str">
        <f>IFERROR(__xludf.DUMMYFUNCTION("""COMPUTED_VALUE"""),"講談社")</f>
        <v>講談社</v>
      </c>
      <c r="M3376" s="33">
        <f>IFERROR(__xludf.DUMMYFUNCTION("""COMPUTED_VALUE"""),45833.0)</f>
        <v>45833</v>
      </c>
      <c r="N3376" s="33">
        <f>IFERROR(__xludf.DUMMYFUNCTION("""COMPUTED_VALUE"""),45924.0)</f>
        <v>45924</v>
      </c>
      <c r="O3376" s="20"/>
      <c r="P3376" s="32" t="str">
        <f>IFERROR(__xludf.DUMMYFUNCTION("""COMPUTED_VALUE"""),"否")</f>
        <v>否</v>
      </c>
      <c r="Q3376" s="30" t="str">
        <f>IFERROR(__xludf.DUMMYFUNCTION("""COMPUTED_VALUE"""),"先行確定なので可能であればお願いします&lt;BR&gt;素材はナノデータでの14話なので、分冊版4話分となります")</f>
        <v>先行確定なので可能であればお願いします&lt;BR&gt;素材はナノデータでの14話なので、分冊版4話分となります</v>
      </c>
      <c r="R3376" s="22"/>
      <c r="S3376" s="22" t="str">
        <f>IFERROR(__xludf.DUMMYFUNCTION("""COMPUTED_VALUE"""),"20250521_講談社_最低なあの子に捧ぐこの復讐")</f>
        <v>20250521_講談社_最低なあの子に捧ぐこの復讐</v>
      </c>
      <c r="T3376" s="22" t="str">
        <f>IFERROR(__xludf.DUMMYFUNCTION("""COMPUTED_VALUE"""),"格納済み")</f>
        <v>格納済み</v>
      </c>
      <c r="U3376" s="9" t="str">
        <f>IFERROR(__xludf.DUMMYFUNCTION("""COMPUTED_VALUE"""),"Ⓒ成瀬ちはや・古仲なこ／講談社")</f>
        <v>Ⓒ成瀬ちはや・古仲なこ／講談社</v>
      </c>
      <c r="V3376" s="8"/>
      <c r="W3376" s="8"/>
      <c r="X3376" s="8" t="str">
        <f>IFERROR(__xludf.DUMMYFUNCTION("""COMPUTED_VALUE"""),"有")</f>
        <v>有</v>
      </c>
      <c r="Y3376" s="8" t="str">
        <f>IFERROR(__xludf.DUMMYFUNCTION("""COMPUTED_VALUE"""),"2025/9/24まで1巻無料")</f>
        <v>2025/9/24まで1巻無料</v>
      </c>
      <c r="Z3376" s="7"/>
      <c r="AA3376" s="7"/>
      <c r="AB3376" s="7"/>
    </row>
    <row r="3377" ht="15.75" customHeight="1">
      <c r="A3377" s="26">
        <f>IFERROR(__xludf.DUMMYFUNCTION("""COMPUTED_VALUE"""),5655.0)</f>
        <v>5655</v>
      </c>
      <c r="B3377" s="22" t="str">
        <f>IFERROR(__xludf.DUMMYFUNCTION("""COMPUTED_VALUE"""),"確定")</f>
        <v>確定</v>
      </c>
      <c r="C3377" s="28">
        <f>IFERROR(__xludf.DUMMYFUNCTION("""COMPUTED_VALUE"""),45799.0)</f>
        <v>45799</v>
      </c>
      <c r="D3377" s="28">
        <f>IFERROR(__xludf.DUMMYFUNCTION("""COMPUTED_VALUE"""),45803.0)</f>
        <v>45803</v>
      </c>
      <c r="E3377" s="26">
        <f>IFERROR(__xludf.DUMMYFUNCTION("""COMPUTED_VALUE"""),326638.0)</f>
        <v>326638</v>
      </c>
      <c r="F3377" s="22" t="str">
        <f>IFERROR(__xludf.DUMMYFUNCTION("""COMPUTED_VALUE"""),"怪怪ギギギギギ 分冊版")</f>
        <v>怪怪ギギギギギ 分冊版</v>
      </c>
      <c r="G3377" s="20" t="str">
        <f>IFERROR(__xludf.DUMMYFUNCTION("""COMPUTED_VALUE"""),"1~3")</f>
        <v>1~3</v>
      </c>
      <c r="H3377" s="22" t="str">
        <f>IFERROR(__xludf.DUMMYFUNCTION("""COMPUTED_VALUE"""),"うぐいす祥子")</f>
        <v>うぐいす祥子</v>
      </c>
      <c r="I3377" s="22" t="str">
        <f>IFERROR(__xludf.DUMMYFUNCTION("""COMPUTED_VALUE"""),"青年")</f>
        <v>青年</v>
      </c>
      <c r="J3377" s="22"/>
      <c r="K3377" s="22" t="str">
        <f>IFERROR(__xludf.DUMMYFUNCTION("""COMPUTED_VALUE"""),"アクションコミックス")</f>
        <v>アクションコミックス</v>
      </c>
      <c r="L3377" s="22" t="str">
        <f>IFERROR(__xludf.DUMMYFUNCTION("""COMPUTED_VALUE"""),"双葉社")</f>
        <v>双葉社</v>
      </c>
      <c r="M3377" s="33">
        <f>IFERROR(__xludf.DUMMYFUNCTION("""COMPUTED_VALUE"""),45830.0)</f>
        <v>45830</v>
      </c>
      <c r="N3377" s="33">
        <f>IFERROR(__xludf.DUMMYFUNCTION("""COMPUTED_VALUE"""),45890.0)</f>
        <v>45890</v>
      </c>
      <c r="O3377" s="20"/>
      <c r="P3377" s="32" t="str">
        <f>IFERROR(__xludf.DUMMYFUNCTION("""COMPUTED_VALUE"""),"可")</f>
        <v>可</v>
      </c>
      <c r="Q3377" s="30" t="str">
        <f>IFERROR(__xludf.DUMMYFUNCTION("""COMPUTED_VALUE"""),"河上さん事前確認済みタイトル")</f>
        <v>河上さん事前確認済みタイトル</v>
      </c>
      <c r="R3377" s="22" t="str">
        <f>IFERROR(__xludf.DUMMYFUNCTION("""COMPUTED_VALUE"""),"コミットOK")</f>
        <v>コミットOK</v>
      </c>
      <c r="S3377" s="22" t="str">
        <f>IFERROR(__xludf.DUMMYFUNCTION("""COMPUTED_VALUE"""),"20250522_双葉社_怪怪ギギギギギ 分冊版")</f>
        <v>20250522_双葉社_怪怪ギギギギギ 分冊版</v>
      </c>
      <c r="T3377" s="22" t="str">
        <f>IFERROR(__xludf.DUMMYFUNCTION("""COMPUTED_VALUE"""),"格納済み")</f>
        <v>格納済み</v>
      </c>
      <c r="U3377" s="9" t="str">
        <f>IFERROR(__xludf.DUMMYFUNCTION("""COMPUTED_VALUE"""),"Ⓒうぐいす祥子/双葉社")</f>
        <v>Ⓒうぐいす祥子/双葉社</v>
      </c>
      <c r="V3377" s="8"/>
      <c r="W3377" s="8"/>
      <c r="X3377" s="8" t="str">
        <f>IFERROR(__xludf.DUMMYFUNCTION("""COMPUTED_VALUE"""),"有")</f>
        <v>有</v>
      </c>
      <c r="Y3377" s="8" t="str">
        <f>IFERROR(__xludf.DUMMYFUNCTION("""COMPUTED_VALUE"""),"2025/7/5まで1巻無料")</f>
        <v>2025/7/5まで1巻無料</v>
      </c>
      <c r="Z3377" s="7"/>
      <c r="AA3377" s="7"/>
      <c r="AB3377" s="7"/>
    </row>
    <row r="3378" ht="15.75" customHeight="1">
      <c r="A3378" s="26">
        <f>IFERROR(__xludf.DUMMYFUNCTION("""COMPUTED_VALUE"""),5656.0)</f>
        <v>5656</v>
      </c>
      <c r="B3378" s="22" t="str">
        <f>IFERROR(__xludf.DUMMYFUNCTION("""COMPUTED_VALUE"""),"確定")</f>
        <v>確定</v>
      </c>
      <c r="C3378" s="28">
        <f>IFERROR(__xludf.DUMMYFUNCTION("""COMPUTED_VALUE"""),45799.0)</f>
        <v>45799</v>
      </c>
      <c r="D3378" s="28">
        <f>IFERROR(__xludf.DUMMYFUNCTION("""COMPUTED_VALUE"""),45803.0)</f>
        <v>45803</v>
      </c>
      <c r="E3378" s="26">
        <f>IFERROR(__xludf.DUMMYFUNCTION("""COMPUTED_VALUE"""),305931.0)</f>
        <v>305931</v>
      </c>
      <c r="F3378" s="22" t="str">
        <f>IFERROR(__xludf.DUMMYFUNCTION("""COMPUTED_VALUE"""),"あなたの「奥さん」やめさせてもらうね？")</f>
        <v>あなたの「奥さん」やめさせてもらうね？</v>
      </c>
      <c r="G3378" s="20" t="str">
        <f>IFERROR(__xludf.DUMMYFUNCTION("""COMPUTED_VALUE"""),"1～3")</f>
        <v>1～3</v>
      </c>
      <c r="H3378" s="22" t="str">
        <f>IFERROR(__xludf.DUMMYFUNCTION("""COMPUTED_VALUE"""),"SAKI")</f>
        <v>SAKI</v>
      </c>
      <c r="I3378" s="22" t="str">
        <f>IFERROR(__xludf.DUMMYFUNCTION("""COMPUTED_VALUE"""),"女性マンガ")</f>
        <v>女性マンガ</v>
      </c>
      <c r="J3378" s="22"/>
      <c r="K3378" s="22" t="str">
        <f>IFERROR(__xludf.DUMMYFUNCTION("""COMPUTED_VALUE"""),"トレモア・リアルラブ,トレモアcollection")</f>
        <v>トレモア・リアルラブ,トレモアcollection</v>
      </c>
      <c r="L3378" s="22" t="str">
        <f>IFERROR(__xludf.DUMMYFUNCTION("""COMPUTED_VALUE"""),"シーモアコミックス（トレモア）")</f>
        <v>シーモアコミックス（トレモア）</v>
      </c>
      <c r="M3378" s="33">
        <f>IFERROR(__xludf.DUMMYFUNCTION("""COMPUTED_VALUE"""),45849.0)</f>
        <v>45849</v>
      </c>
      <c r="N3378" s="33">
        <f>IFERROR(__xludf.DUMMYFUNCTION("""COMPUTED_VALUE"""),46170.66666666667)</f>
        <v>46170.66667</v>
      </c>
      <c r="O3378" s="20"/>
      <c r="P3378" s="32" t="str">
        <f>IFERROR(__xludf.DUMMYFUNCTION("""COMPUTED_VALUE"""),"可")</f>
        <v>可</v>
      </c>
      <c r="Q3378" s="30"/>
      <c r="R3378" s="22"/>
      <c r="S3378" s="22" t="str">
        <f>IFERROR(__xludf.DUMMYFUNCTION("""COMPUTED_VALUE"""),"20250522_シーモアコミックス_あなたの「奥さん」やめさせてもらうね？")</f>
        <v>20250522_シーモアコミックス_あなたの「奥さん」やめさせてもらうね？</v>
      </c>
      <c r="T3378" s="22" t="str">
        <f>IFERROR(__xludf.DUMMYFUNCTION("""COMPUTED_VALUE"""),"格納済み")</f>
        <v>格納済み</v>
      </c>
      <c r="U3378" s="9" t="str">
        <f>IFERROR(__xludf.DUMMYFUNCTION("""COMPUTED_VALUE"""),"Ⓒ SAKI/シーモアコミックス")</f>
        <v>Ⓒ SAKI/シーモアコミックス</v>
      </c>
      <c r="V3378" s="8"/>
      <c r="W3378" s="8"/>
      <c r="X3378" s="8" t="str">
        <f>IFERROR(__xludf.DUMMYFUNCTION("""COMPUTED_VALUE"""),"有")</f>
        <v>有</v>
      </c>
      <c r="Y3378" s="8" t="str">
        <f>IFERROR(__xludf.DUMMYFUNCTION("""COMPUTED_VALUE"""),"2025/12/31まで1巻無料")</f>
        <v>2025/12/31まで1巻無料</v>
      </c>
      <c r="Z3378" s="7"/>
      <c r="AA3378" s="7"/>
      <c r="AB3378" s="7"/>
    </row>
    <row r="3379" ht="15.75" customHeight="1">
      <c r="A3379" s="26">
        <f>IFERROR(__xludf.DUMMYFUNCTION("""COMPUTED_VALUE"""),5657.0)</f>
        <v>5657</v>
      </c>
      <c r="B3379" s="22" t="str">
        <f>IFERROR(__xludf.DUMMYFUNCTION("""COMPUTED_VALUE"""),"確定")</f>
        <v>確定</v>
      </c>
      <c r="C3379" s="28">
        <f>IFERROR(__xludf.DUMMYFUNCTION("""COMPUTED_VALUE"""),45799.0)</f>
        <v>45799</v>
      </c>
      <c r="D3379" s="28">
        <f>IFERROR(__xludf.DUMMYFUNCTION("""COMPUTED_VALUE"""),45803.0)</f>
        <v>45803</v>
      </c>
      <c r="E3379" s="26">
        <f>IFERROR(__xludf.DUMMYFUNCTION("""COMPUTED_VALUE"""),292405.0)</f>
        <v>292405</v>
      </c>
      <c r="F3379" s="22" t="str">
        <f>IFERROR(__xludf.DUMMYFUNCTION("""COMPUTED_VALUE"""),"孤独な令嬢は公爵の庭で溺愛される")</f>
        <v>孤独な令嬢は公爵の庭で溺愛される</v>
      </c>
      <c r="G3379" s="20" t="str">
        <f>IFERROR(__xludf.DUMMYFUNCTION("""COMPUTED_VALUE"""),"1～3")</f>
        <v>1～3</v>
      </c>
      <c r="H3379" s="22" t="str">
        <f>IFERROR(__xludf.DUMMYFUNCTION("""COMPUTED_VALUE"""),"苔丸,恵莉ひなこ（ElephanteLtd.）")</f>
        <v>苔丸,恵莉ひなこ（ElephanteLtd.）</v>
      </c>
      <c r="I3379" s="22" t="str">
        <f>IFERROR(__xludf.DUMMYFUNCTION("""COMPUTED_VALUE"""),"少女マンガ")</f>
        <v>少女マンガ</v>
      </c>
      <c r="J3379" s="22"/>
      <c r="K3379" s="22" t="str">
        <f>IFERROR(__xludf.DUMMYFUNCTION("""COMPUTED_VALUE"""),"トレモア・ロマンス,トレモアcollection")</f>
        <v>トレモア・ロマンス,トレモアcollection</v>
      </c>
      <c r="L3379" s="22" t="str">
        <f>IFERROR(__xludf.DUMMYFUNCTION("""COMPUTED_VALUE"""),"シーモアコミックス（トレモア）")</f>
        <v>シーモアコミックス（トレモア）</v>
      </c>
      <c r="M3379" s="33">
        <f>IFERROR(__xludf.DUMMYFUNCTION("""COMPUTED_VALUE"""),45842.0)</f>
        <v>45842</v>
      </c>
      <c r="N3379" s="33">
        <f>IFERROR(__xludf.DUMMYFUNCTION("""COMPUTED_VALUE"""),2958465.0)</f>
        <v>2958465</v>
      </c>
      <c r="O3379" s="20"/>
      <c r="P3379" s="32" t="str">
        <f>IFERROR(__xludf.DUMMYFUNCTION("""COMPUTED_VALUE"""),"可")</f>
        <v>可</v>
      </c>
      <c r="Q3379" s="30"/>
      <c r="R3379" s="22"/>
      <c r="S3379" s="22" t="str">
        <f>IFERROR(__xludf.DUMMYFUNCTION("""COMPUTED_VALUE"""),"20250522_シーモアコミックス_孤独な令嬢は公爵の庭で溺愛される")</f>
        <v>20250522_シーモアコミックス_孤独な令嬢は公爵の庭で溺愛される</v>
      </c>
      <c r="T3379" s="22" t="str">
        <f>IFERROR(__xludf.DUMMYFUNCTION("""COMPUTED_VALUE"""),"格納済み")</f>
        <v>格納済み</v>
      </c>
      <c r="U3379" s="9" t="str">
        <f>IFERROR(__xludf.DUMMYFUNCTION("""COMPUTED_VALUE"""),"Ⓒ苔丸/恵莉ひなこ（ElephanteLtd.）/シーモアコミックス")</f>
        <v>Ⓒ苔丸/恵莉ひなこ（ElephanteLtd.）/シーモアコミックス</v>
      </c>
      <c r="V3379" s="8"/>
      <c r="W3379" s="8"/>
      <c r="X3379" s="8" t="str">
        <f>IFERROR(__xludf.DUMMYFUNCTION("""COMPUTED_VALUE"""),"有")</f>
        <v>有</v>
      </c>
      <c r="Y3379" s="8" t="str">
        <f>IFERROR(__xludf.DUMMYFUNCTION("""COMPUTED_VALUE"""),"2025/12/31まで1巻無料")</f>
        <v>2025/12/31まで1巻無料</v>
      </c>
      <c r="Z3379" s="7"/>
      <c r="AA3379" s="7"/>
      <c r="AB3379" s="7"/>
    </row>
    <row r="3380" ht="15.75" customHeight="1">
      <c r="A3380" s="26">
        <f>IFERROR(__xludf.DUMMYFUNCTION("""COMPUTED_VALUE"""),5659.0)</f>
        <v>5659</v>
      </c>
      <c r="B3380" s="22" t="str">
        <f>IFERROR(__xludf.DUMMYFUNCTION("""COMPUTED_VALUE"""),"確定")</f>
        <v>確定</v>
      </c>
      <c r="C3380" s="28">
        <f>IFERROR(__xludf.DUMMYFUNCTION("""COMPUTED_VALUE"""),45800.0)</f>
        <v>45800</v>
      </c>
      <c r="D3380" s="28">
        <f>IFERROR(__xludf.DUMMYFUNCTION("""COMPUTED_VALUE"""),45804.0)</f>
        <v>45804</v>
      </c>
      <c r="E3380" s="26">
        <f>IFERROR(__xludf.DUMMYFUNCTION("""COMPUTED_VALUE"""),325010.0)</f>
        <v>325010</v>
      </c>
      <c r="F3380" s="22" t="str">
        <f>IFERROR(__xludf.DUMMYFUNCTION("""COMPUTED_VALUE"""),"9-nine- 分冊版")</f>
        <v>9-nine- 分冊版</v>
      </c>
      <c r="G3380" s="20" t="str">
        <f>IFERROR(__xludf.DUMMYFUNCTION("""COMPUTED_VALUE"""),"1～10")</f>
        <v>1～10</v>
      </c>
      <c r="H3380" s="22" t="str">
        <f>IFERROR(__xludf.DUMMYFUNCTION("""COMPUTED_VALUE"""),"河内和泉,ぱれっと,和泉つばす")</f>
        <v>河内和泉,ぱれっと,和泉つばす</v>
      </c>
      <c r="I3380" s="22" t="str">
        <f>IFERROR(__xludf.DUMMYFUNCTION("""COMPUTED_VALUE"""),"青年")</f>
        <v>青年</v>
      </c>
      <c r="J3380" s="22"/>
      <c r="K3380" s="22" t="str">
        <f>IFERROR(__xludf.DUMMYFUNCTION("""COMPUTED_VALUE"""),"アクションコミックス")</f>
        <v>アクションコミックス</v>
      </c>
      <c r="L3380" s="22" t="str">
        <f>IFERROR(__xludf.DUMMYFUNCTION("""COMPUTED_VALUE"""),"双葉社")</f>
        <v>双葉社</v>
      </c>
      <c r="M3380" s="33">
        <f>IFERROR(__xludf.DUMMYFUNCTION("""COMPUTED_VALUE"""),45820.0)</f>
        <v>45820</v>
      </c>
      <c r="N3380" s="33">
        <f>IFERROR(__xludf.DUMMYFUNCTION("""COMPUTED_VALUE"""),45840.0)</f>
        <v>45840</v>
      </c>
      <c r="O3380" s="20"/>
      <c r="P3380" s="32" t="str">
        <f>IFERROR(__xludf.DUMMYFUNCTION("""COMPUTED_VALUE"""),"可")</f>
        <v>可</v>
      </c>
      <c r="Q3380" s="30" t="str">
        <f>IFERROR(__xludf.DUMMYFUNCTION("""COMPUTED_VALUE"""),"河上さん事前確認済み作品&lt;BR&gt;素材は10巻目までご使用ください")</f>
        <v>河上さん事前確認済み作品&lt;BR&gt;素材は10巻目までご使用ください</v>
      </c>
      <c r="R3380" s="22" t="str">
        <f>IFERROR(__xludf.DUMMYFUNCTION("""COMPUTED_VALUE"""),"コミットOK")</f>
        <v>コミットOK</v>
      </c>
      <c r="S3380" s="22" t="str">
        <f>IFERROR(__xludf.DUMMYFUNCTION("""COMPUTED_VALUE"""),"20250523_双葉社_9-nine- 分冊版")</f>
        <v>20250523_双葉社_9-nine- 分冊版</v>
      </c>
      <c r="T3380" s="22" t="str">
        <f>IFERROR(__xludf.DUMMYFUNCTION("""COMPUTED_VALUE"""),"格納済み")</f>
        <v>格納済み</v>
      </c>
      <c r="U3380" s="9" t="str">
        <f>IFERROR(__xludf.DUMMYFUNCTION("""COMPUTED_VALUE"""),"Ⓒ河内和泉・ぱれっと・和泉つばす/双葉社")</f>
        <v>Ⓒ河内和泉・ぱれっと・和泉つばす/双葉社</v>
      </c>
      <c r="V3380" s="8" t="str">
        <f>IFERROR(__xludf.DUMMYFUNCTION("""COMPUTED_VALUE"""),"ある公園で石化したひとりの少女が発見された。これを機に新海翔とクラスメイトの九條都は奇怪な事件に巻き込まれていく。 その影には異能に目覚めた少年少女達の姿が。超人気ゲーム『9-nine-』を完全コミカライズ！")</f>
        <v>ある公園で石化したひとりの少女が発見された。これを機に新海翔とクラスメイトの九條都は奇怪な事件に巻き込まれていく。 その影には異能に目覚めた少年少女達の姿が。超人気ゲーム『9-nine-』を完全コミカライズ！</v>
      </c>
      <c r="W3380" s="8" t="str">
        <f>IFERROR(__xludf.DUMMYFUNCTION("""COMPUTED_VALUE"""),"#REF!")</f>
        <v>#REF!</v>
      </c>
      <c r="X3380" s="8" t="str">
        <f>IFERROR(__xludf.DUMMYFUNCTION("""COMPUTED_VALUE"""),"有")</f>
        <v>有</v>
      </c>
      <c r="Y3380" s="8" t="str">
        <f>IFERROR(__xludf.DUMMYFUNCTION("""COMPUTED_VALUE"""),"2025/6/25まで1巻無料")</f>
        <v>2025/6/25まで1巻無料</v>
      </c>
      <c r="Z3380" s="7"/>
      <c r="AA3380" s="7"/>
      <c r="AB3380" s="7"/>
    </row>
    <row r="3381" ht="15.75" customHeight="1">
      <c r="A3381" s="26">
        <f>IFERROR(__xludf.DUMMYFUNCTION("""COMPUTED_VALUE"""),4630.0)</f>
        <v>4630</v>
      </c>
      <c r="B3381" s="22" t="str">
        <f>IFERROR(__xludf.DUMMYFUNCTION("""COMPUTED_VALUE"""),"確定")</f>
        <v>確定</v>
      </c>
      <c r="C3381" s="28">
        <f>IFERROR(__xludf.DUMMYFUNCTION("""COMPUTED_VALUE"""),45631.0)</f>
        <v>45631</v>
      </c>
      <c r="D3381" s="28">
        <f>IFERROR(__xludf.DUMMYFUNCTION("""COMPUTED_VALUE"""),45805.0)</f>
        <v>45805</v>
      </c>
      <c r="E3381" s="26">
        <f>IFERROR(__xludf.DUMMYFUNCTION("""COMPUTED_VALUE"""),327797.0)</f>
        <v>327797</v>
      </c>
      <c r="F3381" s="22" t="str">
        <f>IFERROR(__xludf.DUMMYFUNCTION("""COMPUTED_VALUE"""),"独身おじさんの異世界ライフ～結婚しません、フリーな独身こそ最高です～【分冊版】")</f>
        <v>独身おじさんの異世界ライフ～結婚しません、フリーな独身こそ最高です～【分冊版】</v>
      </c>
      <c r="G3381" s="20" t="str">
        <f>IFERROR(__xludf.DUMMYFUNCTION("""COMPUTED_VALUE"""),"1～7")</f>
        <v>1～7</v>
      </c>
      <c r="H3381" s="22" t="str">
        <f>IFERROR(__xludf.DUMMYFUNCTION("""COMPUTED_VALUE"""),"原作：さとう　漫画：比内ハツ")</f>
        <v>原作：さとう　漫画：比内ハツ</v>
      </c>
      <c r="I3381" s="22" t="str">
        <f>IFERROR(__xludf.DUMMYFUNCTION("""COMPUTED_VALUE"""),"青年")</f>
        <v>青年</v>
      </c>
      <c r="J3381" s="22"/>
      <c r="K3381" s="22"/>
      <c r="L3381" s="22" t="str">
        <f>IFERROR(__xludf.DUMMYFUNCTION("""COMPUTED_VALUE"""),"マンガボックス")</f>
        <v>マンガボックス</v>
      </c>
      <c r="M3381" s="33">
        <f>IFERROR(__xludf.DUMMYFUNCTION("""COMPUTED_VALUE"""),45838.0)</f>
        <v>45838</v>
      </c>
      <c r="N3381" s="33">
        <f>IFERROR(__xludf.DUMMYFUNCTION("""COMPUTED_VALUE"""),45929.0)</f>
        <v>45929</v>
      </c>
      <c r="O3381" s="20"/>
      <c r="P3381" s="32" t="str">
        <f>IFERROR(__xludf.DUMMYFUNCTION("""COMPUTED_VALUE"""),"可")</f>
        <v>可</v>
      </c>
      <c r="Q3381" s="30"/>
      <c r="R3381" s="22" t="str">
        <f>IFERROR(__xludf.DUMMYFUNCTION("""COMPUTED_VALUE"""),"コミットNG")</f>
        <v>コミットNG</v>
      </c>
      <c r="S3381" s="22" t="str">
        <f>IFERROR(__xludf.DUMMYFUNCTION("""COMPUTED_VALUE"""),"20250528_マンガボックス_独身おじさんの異世界ライフ～結婚しません、フリーな独身こそ最高です～")</f>
        <v>20250528_マンガボックス_独身おじさんの異世界ライフ～結婚しません、フリーな独身こそ最高です～</v>
      </c>
      <c r="T3381" s="22" t="str">
        <f>IFERROR(__xludf.DUMMYFUNCTION("""COMPUTED_VALUE"""),"格納済み")</f>
        <v>格納済み</v>
      </c>
      <c r="U3381" s="9" t="str">
        <f>IFERROR(__xludf.DUMMYFUNCTION("""COMPUTED_VALUE"""),"Ⓒさとう・比内ハツ/マンガボックス")</f>
        <v>Ⓒさとう・比内ハツ/マンガボックス</v>
      </c>
      <c r="V3381" s="8"/>
      <c r="W3381" s="8"/>
      <c r="X3381" s="8" t="str">
        <f>IFERROR(__xludf.DUMMYFUNCTION("""COMPUTED_VALUE"""),"有")</f>
        <v>有</v>
      </c>
      <c r="Y3381" s="8" t="str">
        <f>IFERROR(__xludf.DUMMYFUNCTION("""COMPUTED_VALUE"""),"P20まで")</f>
        <v>P20まで</v>
      </c>
      <c r="Z3381" s="7"/>
      <c r="AA3381" s="7"/>
      <c r="AB3381" s="7"/>
    </row>
    <row r="3382" ht="15.75" customHeight="1">
      <c r="A3382" s="26">
        <f>IFERROR(__xludf.DUMMYFUNCTION("""COMPUTED_VALUE"""),4549.0)</f>
        <v>4549</v>
      </c>
      <c r="B3382" s="22" t="str">
        <f>IFERROR(__xludf.DUMMYFUNCTION("""COMPUTED_VALUE"""),"確定")</f>
        <v>確定</v>
      </c>
      <c r="C3382" s="28">
        <f>IFERROR(__xludf.DUMMYFUNCTION("""COMPUTED_VALUE"""),45618.0)</f>
        <v>45618</v>
      </c>
      <c r="D3382" s="28">
        <f>IFERROR(__xludf.DUMMYFUNCTION("""COMPUTED_VALUE"""),45805.0)</f>
        <v>45805</v>
      </c>
      <c r="E3382" s="26">
        <f>IFERROR(__xludf.DUMMYFUNCTION("""COMPUTED_VALUE"""),327444.0)</f>
        <v>327444</v>
      </c>
      <c r="F3382" s="22" t="str">
        <f>IFERROR(__xludf.DUMMYFUNCTION("""COMPUTED_VALUE"""),"今更戻れと言われても、醜いカエルの追放聖女の私がやっと元の姿になれたので、もう二度と戻りません。")</f>
        <v>今更戻れと言われても、醜いカエルの追放聖女の私がやっと元の姿になれたので、もう二度と戻りません。</v>
      </c>
      <c r="G3382" s="20">
        <f>IFERROR(__xludf.DUMMYFUNCTION("""COMPUTED_VALUE"""),1.0)</f>
        <v>1</v>
      </c>
      <c r="H3382" s="22" t="str">
        <f>IFERROR(__xludf.DUMMYFUNCTION("""COMPUTED_VALUE"""),"春乃まい／原作：大野ちた")</f>
        <v>春乃まい／原作：大野ちた</v>
      </c>
      <c r="I3382" s="22" t="str">
        <f>IFERROR(__xludf.DUMMYFUNCTION("""COMPUTED_VALUE"""),"少女")</f>
        <v>少女</v>
      </c>
      <c r="J3382" s="22"/>
      <c r="K3382" s="22" t="str">
        <f>IFERROR(__xludf.DUMMYFUNCTION("""COMPUTED_VALUE"""),"ZERO-SUMコミックス")</f>
        <v>ZERO-SUMコミックス</v>
      </c>
      <c r="L3382" s="22" t="str">
        <f>IFERROR(__xludf.DUMMYFUNCTION("""COMPUTED_VALUE"""),"一迅社")</f>
        <v>一迅社</v>
      </c>
      <c r="M3382" s="33">
        <f>IFERROR(__xludf.DUMMYFUNCTION("""COMPUTED_VALUE"""),45839.0)</f>
        <v>45839</v>
      </c>
      <c r="N3382" s="33">
        <f>IFERROR(__xludf.DUMMYFUNCTION("""COMPUTED_VALUE"""),45900.66666666667)</f>
        <v>45900.66667</v>
      </c>
      <c r="O3382" s="20"/>
      <c r="P3382" s="32" t="str">
        <f>IFERROR(__xludf.DUMMYFUNCTION("""COMPUTED_VALUE"""),"否")</f>
        <v>否</v>
      </c>
      <c r="Q3382" s="30" t="str">
        <f>IFERROR(__xludf.DUMMYFUNCTION("""COMPUTED_VALUE"""),"P133～176をご使用ください")</f>
        <v>P133～176をご使用ください</v>
      </c>
      <c r="R3382" s="22" t="str">
        <f>IFERROR(__xludf.DUMMYFUNCTION("""COMPUTED_VALUE"""),"コミットOK")</f>
        <v>コミットOK</v>
      </c>
      <c r="S3382" s="22" t="str">
        <f>IFERROR(__xludf.DUMMYFUNCTION("""COMPUTED_VALUE"""),"20250528_一迅社_婚約破棄されましたが、幸せに暮らしておりますわ！アンソロジーコミック 7巻")</f>
        <v>20250528_一迅社_婚約破棄されましたが、幸せに暮らしておりますわ！アンソロジーコミック 7巻</v>
      </c>
      <c r="T3382" s="22" t="str">
        <f>IFERROR(__xludf.DUMMYFUNCTION("""COMPUTED_VALUE"""),"格納済み")</f>
        <v>格納済み</v>
      </c>
      <c r="U3382" s="9" t="str">
        <f>IFERROR(__xludf.DUMMYFUNCTION("""COMPUTED_VALUE"""),"Ⓒ春乃まい・大野ちた／一迅社")</f>
        <v>Ⓒ春乃まい・大野ちた／一迅社</v>
      </c>
      <c r="V3382" s="8"/>
      <c r="W3382" s="8"/>
      <c r="X3382" s="8" t="str">
        <f>IFERROR(__xludf.DUMMYFUNCTION("""COMPUTED_VALUE"""),"有")</f>
        <v>有</v>
      </c>
      <c r="Y3382" s="8" t="str">
        <f>IFERROR(__xludf.DUMMYFUNCTION("""COMPUTED_VALUE"""),"P9まで")</f>
        <v>P9まで</v>
      </c>
      <c r="Z3382" s="7"/>
      <c r="AA3382" s="7"/>
      <c r="AB3382" s="7"/>
    </row>
    <row r="3383" ht="15.75" customHeight="1">
      <c r="A3383" s="26">
        <f>IFERROR(__xludf.DUMMYFUNCTION("""COMPUTED_VALUE"""),4955.0)</f>
        <v>4955</v>
      </c>
      <c r="B3383" s="22" t="str">
        <f>IFERROR(__xludf.DUMMYFUNCTION("""COMPUTED_VALUE"""),"確定")</f>
        <v>確定</v>
      </c>
      <c r="C3383" s="28">
        <f>IFERROR(__xludf.DUMMYFUNCTION("""COMPUTED_VALUE"""),45692.0)</f>
        <v>45692</v>
      </c>
      <c r="D3383" s="28">
        <f>IFERROR(__xludf.DUMMYFUNCTION("""COMPUTED_VALUE"""),45811.0)</f>
        <v>45811</v>
      </c>
      <c r="E3383" s="26">
        <f>IFERROR(__xludf.DUMMYFUNCTION("""COMPUTED_VALUE"""),326673.0)</f>
        <v>326673</v>
      </c>
      <c r="F3383" s="22" t="str">
        <f>IFERROR(__xludf.DUMMYFUNCTION("""COMPUTED_VALUE"""),"【単話売】恋の相手はバツイチ上司、同僚、元彼…？")</f>
        <v>【単話売】恋の相手はバツイチ上司、同僚、元彼…？</v>
      </c>
      <c r="G3383" s="20" t="str">
        <f>IFERROR(__xludf.DUMMYFUNCTION("""COMPUTED_VALUE"""),"1～3")</f>
        <v>1～3</v>
      </c>
      <c r="H3383" s="22" t="str">
        <f>IFERROR(__xludf.DUMMYFUNCTION("""COMPUTED_VALUE"""),"神月ひな")</f>
        <v>神月ひな</v>
      </c>
      <c r="I3383" s="22" t="str">
        <f>IFERROR(__xludf.DUMMYFUNCTION("""COMPUTED_VALUE"""),"女性")</f>
        <v>女性</v>
      </c>
      <c r="J3383" s="22"/>
      <c r="K3383" s="22" t="str">
        <f>IFERROR(__xludf.DUMMYFUNCTION("""COMPUTED_VALUE"""),"MC")</f>
        <v>MC</v>
      </c>
      <c r="L3383" s="22" t="str">
        <f>IFERROR(__xludf.DUMMYFUNCTION("""COMPUTED_VALUE"""),"集英社")</f>
        <v>集英社</v>
      </c>
      <c r="M3383" s="33">
        <f>IFERROR(__xludf.DUMMYFUNCTION("""COMPUTED_VALUE"""),45830.0)</f>
        <v>45830</v>
      </c>
      <c r="N3383" s="33">
        <f>IFERROR(__xludf.DUMMYFUNCTION("""COMPUTED_VALUE"""),45924.0)</f>
        <v>45924</v>
      </c>
      <c r="O3383" s="20"/>
      <c r="P3383" s="32" t="str">
        <f>IFERROR(__xludf.DUMMYFUNCTION("""COMPUTED_VALUE"""),"否")</f>
        <v>否</v>
      </c>
      <c r="Q3383" s="30"/>
      <c r="R3383" s="22" t="str">
        <f>IFERROR(__xludf.DUMMYFUNCTION("""COMPUTED_VALUE"""),"コミットNG")</f>
        <v>コミットNG</v>
      </c>
      <c r="S3383" s="22" t="str">
        <f>IFERROR(__xludf.DUMMYFUNCTION("""COMPUTED_VALUE"""),"20250530_集英社_【単話売】恋の相手はバツイチ上司、同僚、元彼…？")</f>
        <v>20250530_集英社_【単話売】恋の相手はバツイチ上司、同僚、元彼…？</v>
      </c>
      <c r="T3383" s="22" t="str">
        <f>IFERROR(__xludf.DUMMYFUNCTION("""COMPUTED_VALUE"""),"格納済み")</f>
        <v>格納済み</v>
      </c>
      <c r="U3383" s="9" t="str">
        <f>IFERROR(__xludf.DUMMYFUNCTION("""COMPUTED_VALUE"""),"Ⓒ神月ひな／集英社クリエイティブ")</f>
        <v>Ⓒ神月ひな／集英社クリエイティブ</v>
      </c>
      <c r="V3383" s="8"/>
      <c r="W3383" s="8"/>
      <c r="X3383" s="8" t="str">
        <f>IFERROR(__xludf.DUMMYFUNCTION("""COMPUTED_VALUE"""),"有")</f>
        <v>有</v>
      </c>
      <c r="Y3383" s="8" t="str">
        <f>IFERROR(__xludf.DUMMYFUNCTION("""COMPUTED_VALUE"""),"2025/7/21まで1巻無料")</f>
        <v>2025/7/21まで1巻無料</v>
      </c>
      <c r="Z3383" s="7"/>
      <c r="AA3383" s="7"/>
      <c r="AB3383" s="7"/>
    </row>
    <row r="3384" ht="15.75" customHeight="1">
      <c r="A3384" s="26">
        <f>IFERROR(__xludf.DUMMYFUNCTION("""COMPUTED_VALUE"""),5283.0)</f>
        <v>5283</v>
      </c>
      <c r="B3384" s="22" t="str">
        <f>IFERROR(__xludf.DUMMYFUNCTION("""COMPUTED_VALUE"""),"確定")</f>
        <v>確定</v>
      </c>
      <c r="C3384" s="28">
        <f>IFERROR(__xludf.DUMMYFUNCTION("""COMPUTED_VALUE"""),45734.0)</f>
        <v>45734</v>
      </c>
      <c r="D3384" s="28">
        <f>IFERROR(__xludf.DUMMYFUNCTION("""COMPUTED_VALUE"""),45811.0)</f>
        <v>45811</v>
      </c>
      <c r="E3384" s="26">
        <f>IFERROR(__xludf.DUMMYFUNCTION("""COMPUTED_VALUE"""),326672.0)</f>
        <v>326672</v>
      </c>
      <c r="F3384" s="22" t="str">
        <f>IFERROR(__xludf.DUMMYFUNCTION("""COMPUTED_VALUE"""),"【単話売】ハルキくんは今日もあなたを癒やします。")</f>
        <v>【単話売】ハルキくんは今日もあなたを癒やします。</v>
      </c>
      <c r="G3384" s="20" t="str">
        <f>IFERROR(__xludf.DUMMYFUNCTION("""COMPUTED_VALUE"""),"1～5")</f>
        <v>1～5</v>
      </c>
      <c r="H3384" s="22" t="str">
        <f>IFERROR(__xludf.DUMMYFUNCTION("""COMPUTED_VALUE"""),"原田妙子")</f>
        <v>原田妙子</v>
      </c>
      <c r="I3384" s="22" t="str">
        <f>IFERROR(__xludf.DUMMYFUNCTION("""COMPUTED_VALUE"""),"女性")</f>
        <v>女性</v>
      </c>
      <c r="J3384" s="22"/>
      <c r="K3384" s="22" t="str">
        <f>IFERROR(__xludf.DUMMYFUNCTION("""COMPUTED_VALUE"""),"オフィスユー")</f>
        <v>オフィスユー</v>
      </c>
      <c r="L3384" s="22" t="str">
        <f>IFERROR(__xludf.DUMMYFUNCTION("""COMPUTED_VALUE"""),"集英社")</f>
        <v>集英社</v>
      </c>
      <c r="M3384" s="33">
        <f>IFERROR(__xludf.DUMMYFUNCTION("""COMPUTED_VALUE"""),45830.0)</f>
        <v>45830</v>
      </c>
      <c r="N3384" s="33">
        <f>IFERROR(__xludf.DUMMYFUNCTION("""COMPUTED_VALUE"""),45862.0)</f>
        <v>45862</v>
      </c>
      <c r="O3384" s="20"/>
      <c r="P3384" s="32" t="str">
        <f>IFERROR(__xludf.DUMMYFUNCTION("""COMPUTED_VALUE"""),"否")</f>
        <v>否</v>
      </c>
      <c r="Q3384" s="30"/>
      <c r="R3384" s="22" t="str">
        <f>IFERROR(__xludf.DUMMYFUNCTION("""COMPUTED_VALUE"""),"コミットNG")</f>
        <v>コミットNG</v>
      </c>
      <c r="S3384" s="22" t="str">
        <f>IFERROR(__xludf.DUMMYFUNCTION("""COMPUTED_VALUE"""),"20250530_集英社_【単話売】ハルキくんは今日もあなたを癒やします。")</f>
        <v>20250530_集英社_【単話売】ハルキくんは今日もあなたを癒やします。</v>
      </c>
      <c r="T3384" s="22" t="str">
        <f>IFERROR(__xludf.DUMMYFUNCTION("""COMPUTED_VALUE"""),"格納済み")</f>
        <v>格納済み</v>
      </c>
      <c r="U3384" s="9" t="str">
        <f>IFERROR(__xludf.DUMMYFUNCTION("""COMPUTED_VALUE"""),"Ⓒ原田妙子／集英社クリエイティブ")</f>
        <v>Ⓒ原田妙子／集英社クリエイティブ</v>
      </c>
      <c r="V3384" s="8"/>
      <c r="W3384" s="8"/>
      <c r="X3384" s="8" t="str">
        <f>IFERROR(__xludf.DUMMYFUNCTION("""COMPUTED_VALUE"""),"有")</f>
        <v>有</v>
      </c>
      <c r="Y3384" s="8" t="str">
        <f>IFERROR(__xludf.DUMMYFUNCTION("""COMPUTED_VALUE"""),"2025/7/21まで1巻無料")</f>
        <v>2025/7/21まで1巻無料</v>
      </c>
      <c r="Z3384" s="7"/>
      <c r="AA3384" s="7"/>
      <c r="AB3384" s="7"/>
    </row>
    <row r="3385" ht="15.75" customHeight="1">
      <c r="A3385" s="26">
        <f>IFERROR(__xludf.DUMMYFUNCTION("""COMPUTED_VALUE"""),5316.0)</f>
        <v>5316</v>
      </c>
      <c r="B3385" s="22" t="str">
        <f>IFERROR(__xludf.DUMMYFUNCTION("""COMPUTED_VALUE"""),"確定")</f>
        <v>確定</v>
      </c>
      <c r="C3385" s="28">
        <f>IFERROR(__xludf.DUMMYFUNCTION("""COMPUTED_VALUE"""),45737.0)</f>
        <v>45737</v>
      </c>
      <c r="D3385" s="28">
        <f>IFERROR(__xludf.DUMMYFUNCTION("""COMPUTED_VALUE"""),45812.0)</f>
        <v>45812</v>
      </c>
      <c r="E3385" s="26">
        <f>IFERROR(__xludf.DUMMYFUNCTION("""COMPUTED_VALUE"""),327312.0)</f>
        <v>327312</v>
      </c>
      <c r="F3385" s="22" t="str">
        <f>IFERROR(__xludf.DUMMYFUNCTION("""COMPUTED_VALUE"""),"年上後輩 船井くんに『愛されてる』ってわからされる【R版】")</f>
        <v>年上後輩 船井くんに『愛されてる』ってわからされる【R版】</v>
      </c>
      <c r="G3385" s="20" t="str">
        <f>IFERROR(__xludf.DUMMYFUNCTION("""COMPUTED_VALUE"""),"1～3")</f>
        <v>1～3</v>
      </c>
      <c r="H3385" s="22" t="str">
        <f>IFERROR(__xludf.DUMMYFUNCTION("""COMPUTED_VALUE"""),"Meyto/保田飯飯")</f>
        <v>Meyto/保田飯飯</v>
      </c>
      <c r="I3385" s="22" t="str">
        <f>IFERROR(__xludf.DUMMYFUNCTION("""COMPUTED_VALUE"""),"アダルト")</f>
        <v>アダルト</v>
      </c>
      <c r="J3385" s="22"/>
      <c r="K3385" s="22" t="str">
        <f>IFERROR(__xludf.DUMMYFUNCTION("""COMPUTED_VALUE"""),"THE猥談")</f>
        <v>THE猥談</v>
      </c>
      <c r="L3385" s="22" t="str">
        <f>IFERROR(__xludf.DUMMYFUNCTION("""COMPUTED_VALUE"""),"DLcomics")</f>
        <v>DLcomics</v>
      </c>
      <c r="M3385" s="33">
        <f>IFERROR(__xludf.DUMMYFUNCTION("""COMPUTED_VALUE"""),45837.0)</f>
        <v>45837</v>
      </c>
      <c r="N3385" s="33">
        <f>IFERROR(__xludf.DUMMYFUNCTION("""COMPUTED_VALUE"""),45960.0)</f>
        <v>45960</v>
      </c>
      <c r="O3385" s="20"/>
      <c r="P3385" s="32" t="str">
        <f>IFERROR(__xludf.DUMMYFUNCTION("""COMPUTED_VALUE"""),"可")</f>
        <v>可</v>
      </c>
      <c r="Q3385" s="30"/>
      <c r="R3385" s="22" t="str">
        <f>IFERROR(__xludf.DUMMYFUNCTION("""COMPUTED_VALUE"""),"コミットOK")</f>
        <v>コミットOK</v>
      </c>
      <c r="S3385" s="22" t="str">
        <f>IFERROR(__xludf.DUMMYFUNCTION("""COMPUTED_VALUE"""),"20250604_DLcomics_年上後輩 船井くんに”愛されてる”ってわからされる【R版】")</f>
        <v>20250604_DLcomics_年上後輩 船井くんに”愛されてる”ってわからされる【R版】</v>
      </c>
      <c r="T3385" s="22" t="str">
        <f>IFERROR(__xludf.DUMMYFUNCTION("""COMPUTED_VALUE"""),"格納済み")</f>
        <v>格納済み</v>
      </c>
      <c r="U3385" s="9" t="str">
        <f>IFERROR(__xludf.DUMMYFUNCTION("""COMPUTED_VALUE"""),"ⒸMeyto/保田飯飯/THE猥談")</f>
        <v>ⒸMeyto/保田飯飯/THE猥談</v>
      </c>
      <c r="V3385" s="8"/>
      <c r="W3385" s="8"/>
      <c r="X3385" s="8" t="str">
        <f>IFERROR(__xludf.DUMMYFUNCTION("""COMPUTED_VALUE"""),"有")</f>
        <v>有</v>
      </c>
      <c r="Y3385" s="8" t="str">
        <f>IFERROR(__xludf.DUMMYFUNCTION("""COMPUTED_VALUE"""),"1巻無料")</f>
        <v>1巻無料</v>
      </c>
      <c r="Z3385" s="7"/>
      <c r="AA3385" s="7"/>
      <c r="AB3385" s="7"/>
    </row>
    <row r="3386" ht="15.75" customHeight="1">
      <c r="A3386" s="26">
        <f>IFERROR(__xludf.DUMMYFUNCTION("""COMPUTED_VALUE"""),5317.0)</f>
        <v>5317</v>
      </c>
      <c r="B3386" s="22" t="str">
        <f>IFERROR(__xludf.DUMMYFUNCTION("""COMPUTED_VALUE"""),"確定")</f>
        <v>確定</v>
      </c>
      <c r="C3386" s="28">
        <f>IFERROR(__xludf.DUMMYFUNCTION("""COMPUTED_VALUE"""),45737.0)</f>
        <v>45737</v>
      </c>
      <c r="D3386" s="28">
        <f>IFERROR(__xludf.DUMMYFUNCTION("""COMPUTED_VALUE"""),45812.0)</f>
        <v>45812</v>
      </c>
      <c r="E3386" s="26">
        <f>IFERROR(__xludf.DUMMYFUNCTION("""COMPUTED_VALUE"""),327314.0)</f>
        <v>327314</v>
      </c>
      <c r="F3386" s="22" t="str">
        <f>IFERROR(__xludf.DUMMYFUNCTION("""COMPUTED_VALUE"""),"年上後輩 船井くんに『愛されてる』ってわからされる")</f>
        <v>年上後輩 船井くんに『愛されてる』ってわからされる</v>
      </c>
      <c r="G3386" s="20" t="str">
        <f>IFERROR(__xludf.DUMMYFUNCTION("""COMPUTED_VALUE"""),"1～3")</f>
        <v>1～3</v>
      </c>
      <c r="H3386" s="22" t="str">
        <f>IFERROR(__xludf.DUMMYFUNCTION("""COMPUTED_VALUE"""),"Meyto/保田飯飯")</f>
        <v>Meyto/保田飯飯</v>
      </c>
      <c r="I3386" s="22" t="str">
        <f>IFERROR(__xludf.DUMMYFUNCTION("""COMPUTED_VALUE"""),"TL")</f>
        <v>TL</v>
      </c>
      <c r="J3386" s="22"/>
      <c r="K3386" s="22" t="str">
        <f>IFERROR(__xludf.DUMMYFUNCTION("""COMPUTED_VALUE"""),"THE猥談")</f>
        <v>THE猥談</v>
      </c>
      <c r="L3386" s="22" t="str">
        <f>IFERROR(__xludf.DUMMYFUNCTION("""COMPUTED_VALUE"""),"DLcomics")</f>
        <v>DLcomics</v>
      </c>
      <c r="M3386" s="33">
        <f>IFERROR(__xludf.DUMMYFUNCTION("""COMPUTED_VALUE"""),45837.0)</f>
        <v>45837</v>
      </c>
      <c r="N3386" s="33">
        <f>IFERROR(__xludf.DUMMYFUNCTION("""COMPUTED_VALUE"""),45960.0)</f>
        <v>45960</v>
      </c>
      <c r="O3386" s="20"/>
      <c r="P3386" s="32" t="str">
        <f>IFERROR(__xludf.DUMMYFUNCTION("""COMPUTED_VALUE"""),"可")</f>
        <v>可</v>
      </c>
      <c r="Q3386" s="30"/>
      <c r="R3386" s="22" t="str">
        <f>IFERROR(__xludf.DUMMYFUNCTION("""COMPUTED_VALUE"""),"コミットOK")</f>
        <v>コミットOK</v>
      </c>
      <c r="S3386" s="22" t="str">
        <f>IFERROR(__xludf.DUMMYFUNCTION("""COMPUTED_VALUE"""),"20250604_DLcomics_年上後輩 船井くんに”愛されてる”ってわからされる")</f>
        <v>20250604_DLcomics_年上後輩 船井くんに”愛されてる”ってわからされる</v>
      </c>
      <c r="T3386" s="22" t="str">
        <f>IFERROR(__xludf.DUMMYFUNCTION("""COMPUTED_VALUE"""),"格納済み")</f>
        <v>格納済み</v>
      </c>
      <c r="U3386" s="9" t="str">
        <f>IFERROR(__xludf.DUMMYFUNCTION("""COMPUTED_VALUE"""),"ⒸMeyto/保田飯飯/THE猥談")</f>
        <v>ⒸMeyto/保田飯飯/THE猥談</v>
      </c>
      <c r="V3386" s="8"/>
      <c r="W3386" s="8"/>
      <c r="X3386" s="8" t="str">
        <f>IFERROR(__xludf.DUMMYFUNCTION("""COMPUTED_VALUE"""),"有")</f>
        <v>有</v>
      </c>
      <c r="Y3386" s="8" t="str">
        <f>IFERROR(__xludf.DUMMYFUNCTION("""COMPUTED_VALUE"""),"1巻無料")</f>
        <v>1巻無料</v>
      </c>
      <c r="Z3386" s="7"/>
      <c r="AA3386" s="7"/>
      <c r="AB3386" s="7"/>
    </row>
    <row r="3387" ht="15.75" customHeight="1">
      <c r="A3387" s="26">
        <f>IFERROR(__xludf.DUMMYFUNCTION("""COMPUTED_VALUE"""),5393.0)</f>
        <v>5393</v>
      </c>
      <c r="B3387" s="22" t="str">
        <f>IFERROR(__xludf.DUMMYFUNCTION("""COMPUTED_VALUE"""),"確定")</f>
        <v>確定</v>
      </c>
      <c r="C3387" s="28">
        <f>IFERROR(__xludf.DUMMYFUNCTION("""COMPUTED_VALUE"""),45747.0)</f>
        <v>45747</v>
      </c>
      <c r="D3387" s="28">
        <f>IFERROR(__xludf.DUMMYFUNCTION("""COMPUTED_VALUE"""),45812.0)</f>
        <v>45812</v>
      </c>
      <c r="E3387" s="26">
        <f>IFERROR(__xludf.DUMMYFUNCTION("""COMPUTED_VALUE"""),331148.0)</f>
        <v>331148</v>
      </c>
      <c r="F3387" s="22" t="str">
        <f>IFERROR(__xludf.DUMMYFUNCTION("""COMPUTED_VALUE"""),"冷酷なる氷帝の、妻でございます ～義妹に婚約者を押し付けられたけど、意外と可愛い彼に溺愛され幸せに暮らしてる～")</f>
        <v>冷酷なる氷帝の、妻でございます ～義妹に婚約者を押し付けられたけど、意外と可愛い彼に溺愛され幸せに暮らしてる～</v>
      </c>
      <c r="G3387" s="20" t="str">
        <f>IFERROR(__xludf.DUMMYFUNCTION("""COMPUTED_VALUE"""),"1～5")</f>
        <v>1～5</v>
      </c>
      <c r="H3387" s="22" t="str">
        <f>IFERROR(__xludf.DUMMYFUNCTION("""COMPUTED_VALUE"""),"原作／茨木野 漫画・キャラクター原案／すがはら竜")</f>
        <v>原作／茨木野 漫画・キャラクター原案／すがはら竜</v>
      </c>
      <c r="I3387" s="22" t="str">
        <f>IFERROR(__xludf.DUMMYFUNCTION("""COMPUTED_VALUE"""),"女性")</f>
        <v>女性</v>
      </c>
      <c r="J3387" s="22"/>
      <c r="K3387" s="22"/>
      <c r="L3387" s="22" t="str">
        <f>IFERROR(__xludf.DUMMYFUNCTION("""COMPUTED_VALUE"""),"集英社")</f>
        <v>集英社</v>
      </c>
      <c r="M3387" s="33">
        <f>IFERROR(__xludf.DUMMYFUNCTION("""COMPUTED_VALUE"""),45879.0)</f>
        <v>45879</v>
      </c>
      <c r="N3387" s="33">
        <f>IFERROR(__xludf.DUMMYFUNCTION("""COMPUTED_VALUE"""),45909.0)</f>
        <v>45909</v>
      </c>
      <c r="O3387" s="20"/>
      <c r="P3387" s="32" t="str">
        <f>IFERROR(__xludf.DUMMYFUNCTION("""COMPUTED_VALUE"""),"否")</f>
        <v>否</v>
      </c>
      <c r="Q3387" s="30"/>
      <c r="R3387" s="22" t="str">
        <f>IFERROR(__xludf.DUMMYFUNCTION("""COMPUTED_VALUE"""),"コミットNG")</f>
        <v>コミットNG</v>
      </c>
      <c r="S3387" s="22" t="str">
        <f>IFERROR(__xludf.DUMMYFUNCTION("""COMPUTED_VALUE"""),"20250604_集英社_冷酷なる氷帝の妻でございます")</f>
        <v>20250604_集英社_冷酷なる氷帝の妻でございます</v>
      </c>
      <c r="T3387" s="22" t="str">
        <f>IFERROR(__xludf.DUMMYFUNCTION("""COMPUTED_VALUE"""),"格納済み")</f>
        <v>格納済み</v>
      </c>
      <c r="U3387" s="9" t="str">
        <f>IFERROR(__xludf.DUMMYFUNCTION("""COMPUTED_VALUE"""),"Ⓒ茨木野・すがはら竜／集英社")</f>
        <v>Ⓒ茨木野・すがはら竜／集英社</v>
      </c>
      <c r="V3387" s="8"/>
      <c r="W3387" s="8"/>
      <c r="X3387" s="8" t="str">
        <f>IFERROR(__xludf.DUMMYFUNCTION("""COMPUTED_VALUE"""),"有")</f>
        <v>有</v>
      </c>
      <c r="Y3387" s="8" t="str">
        <f>IFERROR(__xludf.DUMMYFUNCTION("""COMPUTED_VALUE"""),"2025/8/23まで1巻無料")</f>
        <v>2025/8/23まで1巻無料</v>
      </c>
      <c r="Z3387" s="7"/>
      <c r="AA3387" s="7"/>
      <c r="AB3387" s="7"/>
    </row>
    <row r="3388" ht="15.75" customHeight="1">
      <c r="A3388" s="133">
        <f>IFERROR(__xludf.DUMMYFUNCTION("""COMPUTED_VALUE"""),5406.0)</f>
        <v>5406</v>
      </c>
      <c r="B3388" s="134" t="str">
        <f>IFERROR(__xludf.DUMMYFUNCTION("""COMPUTED_VALUE"""),"確定")</f>
        <v>確定</v>
      </c>
      <c r="C3388" s="135">
        <f>IFERROR(__xludf.DUMMYFUNCTION("""COMPUTED_VALUE"""),45750.0)</f>
        <v>45750</v>
      </c>
      <c r="D3388" s="135">
        <f>IFERROR(__xludf.DUMMYFUNCTION("""COMPUTED_VALUE"""),45811.0)</f>
        <v>45811</v>
      </c>
      <c r="E3388" s="133">
        <f>IFERROR(__xludf.DUMMYFUNCTION("""COMPUTED_VALUE"""),327328.0)</f>
        <v>327328</v>
      </c>
      <c r="F3388" s="134" t="str">
        <f>IFERROR(__xludf.DUMMYFUNCTION("""COMPUTED_VALUE"""),"噛まれてとろけて恋に堕ちて【単話版】（出版社都合により配信取り下げ）")</f>
        <v>噛まれてとろけて恋に堕ちて【単話版】（出版社都合により配信取り下げ）</v>
      </c>
      <c r="G3388" s="208" t="str">
        <f>IFERROR(__xludf.DUMMYFUNCTION("""COMPUTED_VALUE"""),"1～5")</f>
        <v>1～5</v>
      </c>
      <c r="H3388" s="134" t="str">
        <f>IFERROR(__xludf.DUMMYFUNCTION("""COMPUTED_VALUE"""),"作画：梅園すず 原作：COMIC ROOM")</f>
        <v>作画：梅園すず 原作：COMIC ROOM</v>
      </c>
      <c r="I3388" s="134" t="str">
        <f>IFERROR(__xludf.DUMMYFUNCTION("""COMPUTED_VALUE"""),"女性")</f>
        <v>女性</v>
      </c>
      <c r="J3388" s="134"/>
      <c r="K3388" s="134" t="str">
        <f>IFERROR(__xludf.DUMMYFUNCTION("""COMPUTED_VALUE"""),"COMIC MOON")</f>
        <v>COMIC MOON</v>
      </c>
      <c r="L3388" s="134" t="str">
        <f>IFERROR(__xludf.DUMMYFUNCTION("""COMPUTED_VALUE"""),"コミックルーム")</f>
        <v>コミックルーム</v>
      </c>
      <c r="M3388" s="209">
        <f>IFERROR(__xludf.DUMMYFUNCTION("""COMPUTED_VALUE"""),45838.0)</f>
        <v>45838</v>
      </c>
      <c r="N3388" s="209">
        <f>IFERROR(__xludf.DUMMYFUNCTION("""COMPUTED_VALUE"""),45929.0)</f>
        <v>45929</v>
      </c>
      <c r="O3388" s="208"/>
      <c r="P3388" s="210" t="str">
        <f>IFERROR(__xludf.DUMMYFUNCTION("""COMPUTED_VALUE"""),"可")</f>
        <v>可</v>
      </c>
      <c r="Q3388" s="139"/>
      <c r="R3388" s="134" t="str">
        <f>IFERROR(__xludf.DUMMYFUNCTION("""COMPUTED_VALUE"""),"コミットOK")</f>
        <v>コミットOK</v>
      </c>
      <c r="S3388" s="134" t="str">
        <f>IFERROR(__xludf.DUMMYFUNCTION("""COMPUTED_VALUE"""),"20250602_コミックルーム_噛まれてとろけて恋に堕ちて")</f>
        <v>20250602_コミックルーム_噛まれてとろけて恋に堕ちて</v>
      </c>
      <c r="T3388" s="134" t="str">
        <f>IFERROR(__xludf.DUMMYFUNCTION("""COMPUTED_VALUE"""),"格納済み")</f>
        <v>格納済み</v>
      </c>
      <c r="U3388" s="140" t="str">
        <f>IFERROR(__xludf.DUMMYFUNCTION("""COMPUTED_VALUE"""),"Ⓒ梅園すず／COMIC ROOM")</f>
        <v>Ⓒ梅園すず／COMIC ROOM</v>
      </c>
      <c r="V3388" s="143"/>
      <c r="W3388" s="143"/>
      <c r="X3388" s="8" t="str">
        <f>IFERROR(__xludf.DUMMYFUNCTION("""COMPUTED_VALUE"""),"有")</f>
        <v>有</v>
      </c>
      <c r="Y3388" s="8" t="str">
        <f>IFERROR(__xludf.DUMMYFUNCTION("""COMPUTED_VALUE"""),"P6まで")</f>
        <v>P6まで</v>
      </c>
      <c r="Z3388" s="7"/>
      <c r="AA3388" s="7"/>
      <c r="AB3388" s="7"/>
    </row>
    <row r="3389" ht="15.75" customHeight="1">
      <c r="A3389" s="26">
        <f>IFERROR(__xludf.DUMMYFUNCTION("""COMPUTED_VALUE"""),5465.0)</f>
        <v>5465</v>
      </c>
      <c r="B3389" s="22" t="str">
        <f>IFERROR(__xludf.DUMMYFUNCTION("""COMPUTED_VALUE"""),"確定")</f>
        <v>確定</v>
      </c>
      <c r="C3389" s="28">
        <f>IFERROR(__xludf.DUMMYFUNCTION("""COMPUTED_VALUE"""),45757.0)</f>
        <v>45757</v>
      </c>
      <c r="D3389" s="28">
        <f>IFERROR(__xludf.DUMMYFUNCTION("""COMPUTED_VALUE"""),45811.0)</f>
        <v>45811</v>
      </c>
      <c r="E3389" s="26">
        <f>IFERROR(__xludf.DUMMYFUNCTION("""COMPUTED_VALUE"""),327060.0)</f>
        <v>327060</v>
      </c>
      <c r="F3389" s="22" t="str">
        <f>IFERROR(__xludf.DUMMYFUNCTION("""COMPUTED_VALUE"""),"孤独な魔女はひきこもり絶倫王子に毎晩イかされ溺愛されています【分冊版】")</f>
        <v>孤独な魔女はひきこもり絶倫王子に毎晩イかされ溺愛されています【分冊版】</v>
      </c>
      <c r="G3389" s="20" t="str">
        <f>IFERROR(__xludf.DUMMYFUNCTION("""COMPUTED_VALUE"""),"1～3")</f>
        <v>1～3</v>
      </c>
      <c r="H3389" s="22" t="str">
        <f>IFERROR(__xludf.DUMMYFUNCTION("""COMPUTED_VALUE"""),"秋元奈美")</f>
        <v>秋元奈美</v>
      </c>
      <c r="I3389" s="22" t="str">
        <f>IFERROR(__xludf.DUMMYFUNCTION("""COMPUTED_VALUE"""),"TL")</f>
        <v>TL</v>
      </c>
      <c r="J3389" s="22"/>
      <c r="K3389" s="22" t="str">
        <f>IFERROR(__xludf.DUMMYFUNCTION("""COMPUTED_VALUE"""),"ルネッタコミックス")</f>
        <v>ルネッタコミックス</v>
      </c>
      <c r="L3389" s="22" t="str">
        <f>IFERROR(__xludf.DUMMYFUNCTION("""COMPUTED_VALUE"""),"ハーパーコリンズ・ジャパン")</f>
        <v>ハーパーコリンズ・ジャパン</v>
      </c>
      <c r="M3389" s="33">
        <f>IFERROR(__xludf.DUMMYFUNCTION("""COMPUTED_VALUE"""),45835.0)</f>
        <v>45835</v>
      </c>
      <c r="N3389" s="33">
        <f>IFERROR(__xludf.DUMMYFUNCTION("""COMPUTED_VALUE"""),45890.0)</f>
        <v>45890</v>
      </c>
      <c r="O3389" s="20"/>
      <c r="P3389" s="32" t="str">
        <f>IFERROR(__xludf.DUMMYFUNCTION("""COMPUTED_VALUE"""),"可")</f>
        <v>可</v>
      </c>
      <c r="Q3389" s="30"/>
      <c r="R3389" s="22" t="str">
        <f>IFERROR(__xludf.DUMMYFUNCTION("""COMPUTED_VALUE"""),"コミットNG")</f>
        <v>コミットNG</v>
      </c>
      <c r="S3389" s="22" t="str">
        <f>IFERROR(__xludf.DUMMYFUNCTION("""COMPUTED_VALUE"""),"20250602_ハーパーコリンズ・ジャパン_孤独な魔女はひきこもり絶倫王子に毎晩イかされ溺愛されています【分冊版】")</f>
        <v>20250602_ハーパーコリンズ・ジャパン_孤独な魔女はひきこもり絶倫王子に毎晩イかされ溺愛されています【分冊版】</v>
      </c>
      <c r="T3389" s="22" t="str">
        <f>IFERROR(__xludf.DUMMYFUNCTION("""COMPUTED_VALUE"""),"格納済み")</f>
        <v>格納済み</v>
      </c>
      <c r="U3389" s="9" t="str">
        <f>IFERROR(__xludf.DUMMYFUNCTION("""COMPUTED_VALUE"""),"Ⓒ秋元奈美／ハーパーコリンズ・ジャパン")</f>
        <v>Ⓒ秋元奈美／ハーパーコリンズ・ジャパン</v>
      </c>
      <c r="V3389" s="8"/>
      <c r="W3389" s="8"/>
      <c r="X3389" s="8" t="str">
        <f>IFERROR(__xludf.DUMMYFUNCTION("""COMPUTED_VALUE"""),"有")</f>
        <v>有</v>
      </c>
      <c r="Y3389" s="8" t="str">
        <f>IFERROR(__xludf.DUMMYFUNCTION("""COMPUTED_VALUE"""),"2025/7/10まで1巻無料")</f>
        <v>2025/7/10まで1巻無料</v>
      </c>
      <c r="Z3389" s="7"/>
      <c r="AA3389" s="7"/>
      <c r="AB3389" s="7"/>
    </row>
    <row r="3390" ht="15.75" customHeight="1">
      <c r="A3390" s="26">
        <f>IFERROR(__xludf.DUMMYFUNCTION("""COMPUTED_VALUE"""),5512.0)</f>
        <v>5512</v>
      </c>
      <c r="B3390" s="22" t="str">
        <f>IFERROR(__xludf.DUMMYFUNCTION("""COMPUTED_VALUE"""),"確定")</f>
        <v>確定</v>
      </c>
      <c r="C3390" s="28">
        <f>IFERROR(__xludf.DUMMYFUNCTION("""COMPUTED_VALUE"""),45768.0)</f>
        <v>45768</v>
      </c>
      <c r="D3390" s="28">
        <f>IFERROR(__xludf.DUMMYFUNCTION("""COMPUTED_VALUE"""),45811.0)</f>
        <v>45811</v>
      </c>
      <c r="E3390" s="26">
        <f>IFERROR(__xludf.DUMMYFUNCTION("""COMPUTED_VALUE"""),325697.0)</f>
        <v>325697</v>
      </c>
      <c r="F3390" s="22" t="str">
        <f>IFERROR(__xludf.DUMMYFUNCTION("""COMPUTED_VALUE"""),"裏ダンジョンおくさん【単話】")</f>
        <v>裏ダンジョンおくさん【単話】</v>
      </c>
      <c r="G3390" s="20" t="str">
        <f>IFERROR(__xludf.DUMMYFUNCTION("""COMPUTED_VALUE"""),"1～3")</f>
        <v>1～3</v>
      </c>
      <c r="H3390" s="22" t="str">
        <f>IFERROR(__xludf.DUMMYFUNCTION("""COMPUTED_VALUE"""),"原作：大井昌和 作画：いのまる")</f>
        <v>原作：大井昌和 作画：いのまる</v>
      </c>
      <c r="I3390" s="22" t="str">
        <f>IFERROR(__xludf.DUMMYFUNCTION("""COMPUTED_VALUE"""),"少年")</f>
        <v>少年</v>
      </c>
      <c r="J3390" s="22"/>
      <c r="K3390" s="22"/>
      <c r="L3390" s="22" t="str">
        <f>IFERROR(__xludf.DUMMYFUNCTION("""COMPUTED_VALUE"""),"小学館")</f>
        <v>小学館</v>
      </c>
      <c r="M3390" s="33">
        <f>IFERROR(__xludf.DUMMYFUNCTION("""COMPUTED_VALUE"""),45818.0)</f>
        <v>45818</v>
      </c>
      <c r="N3390" s="33">
        <f>IFERROR(__xludf.DUMMYFUNCTION("""COMPUTED_VALUE"""),45847.0)</f>
        <v>45847</v>
      </c>
      <c r="O3390" s="20"/>
      <c r="P3390" s="32" t="str">
        <f>IFERROR(__xludf.DUMMYFUNCTION("""COMPUTED_VALUE"""),"可")</f>
        <v>可</v>
      </c>
      <c r="Q3390" s="30" t="str">
        <f>IFERROR(__xludf.DUMMYFUNCTION("""COMPUTED_VALUE"""),"・本作品については小学館のバナー制作の加工部分についてのルールが緩和されましたのでアダルト面にも出稿可となりました&lt;BR&gt;※それ以外は今までと変わらず&lt;BR&gt;※バナー監修の際には「高橋様からOK出てる」的な一言添えて頂けますとスムーズに監修が進むとのこと")</f>
        <v>・本作品については小学館のバナー制作の加工部分についてのルールが緩和されましたのでアダルト面にも出稿可となりました&lt;BR&gt;※それ以外は今までと変わらず&lt;BR&gt;※バナー監修の際には「高橋様からOK出てる」的な一言添えて頂けますとスムーズに監修が進むとのこと</v>
      </c>
      <c r="R3390" s="22" t="str">
        <f>IFERROR(__xludf.DUMMYFUNCTION("""COMPUTED_VALUE"""),"コミットNG")</f>
        <v>コミットNG</v>
      </c>
      <c r="S3390" s="22" t="str">
        <f>IFERROR(__xludf.DUMMYFUNCTION("""COMPUTED_VALUE"""),"20250602_小学館_裏ダンジョンおくさん")</f>
        <v>20250602_小学館_裏ダンジョンおくさん</v>
      </c>
      <c r="T3390" s="22" t="str">
        <f>IFERROR(__xludf.DUMMYFUNCTION("""COMPUTED_VALUE"""),"格納済み")</f>
        <v>格納済み</v>
      </c>
      <c r="U3390" s="9" t="str">
        <f>IFERROR(__xludf.DUMMYFUNCTION("""COMPUTED_VALUE"""),"Ⓒ大井昌和・いのまる / 小学館")</f>
        <v>Ⓒ大井昌和・いのまる / 小学館</v>
      </c>
      <c r="V3390" s="8" t="str">
        <f>IFERROR(__xludf.DUMMYFUNCTION("""COMPUTED_VALUE"""),"武道家LV99、おくさんLV1に転職し凶悪ダンジョン攻略！
魔王が討伐されし後、辺境の町に突如出現した”裏ダンジョン”──
そこには想像を絶する魔物が跋扈し、とんでもない秘宝が眠るという!!
ダンジョン攻略に挑まんとする新妻・ユイにはとある秘密が…!?
世界を救った武道家LV99が、おくさんLV1に転職するも
凶悪ダンジョンに挑むはめに──！
無双武道家の新婚ダンジョン攻略ダイアリー!!")</f>
        <v>武道家LV99、おくさんLV1に転職し凶悪ダンジョン攻略！
魔王が討伐されし後、辺境の町に突如出現した”裏ダンジョン”──
そこには想像を絶する魔物が跋扈し、とんでもない秘宝が眠るという!!
ダンジョン攻略に挑まんとする新妻・ユイにはとある秘密が…!?
世界を救った武道家LV99が、おくさんLV1に転職するも
凶悪ダンジョンに挑むはめに──！
無双武道家の新婚ダンジョン攻略ダイアリー!!</v>
      </c>
      <c r="W3390" s="8" t="str">
        <f>IFERROR(__xludf.DUMMYFUNCTION("""COMPUTED_VALUE"""),"#REF!")</f>
        <v>#REF!</v>
      </c>
      <c r="X3390" s="8" t="str">
        <f>IFERROR(__xludf.DUMMYFUNCTION("""COMPUTED_VALUE"""),"有")</f>
        <v>有</v>
      </c>
      <c r="Y3390" s="8" t="str">
        <f>IFERROR(__xludf.DUMMYFUNCTION("""COMPUTED_VALUE"""),"2025/7/9まで1巻無料")</f>
        <v>2025/7/9まで1巻無料</v>
      </c>
      <c r="Z3390" s="7"/>
      <c r="AA3390" s="7"/>
      <c r="AB3390" s="7"/>
    </row>
    <row r="3391" ht="15.75" customHeight="1">
      <c r="A3391" s="26">
        <f>IFERROR(__xludf.DUMMYFUNCTION("""COMPUTED_VALUE"""),5527.0)</f>
        <v>5527</v>
      </c>
      <c r="B3391" s="22" t="str">
        <f>IFERROR(__xludf.DUMMYFUNCTION("""COMPUTED_VALUE"""),"確定")</f>
        <v>確定</v>
      </c>
      <c r="C3391" s="28">
        <f>IFERROR(__xludf.DUMMYFUNCTION("""COMPUTED_VALUE"""),45769.0)</f>
        <v>45769</v>
      </c>
      <c r="D3391" s="28">
        <f>IFERROR(__xludf.DUMMYFUNCTION("""COMPUTED_VALUE"""),45807.0)</f>
        <v>45807</v>
      </c>
      <c r="E3391" s="26">
        <f>IFERROR(__xludf.DUMMYFUNCTION("""COMPUTED_VALUE"""),328361.0)</f>
        <v>328361</v>
      </c>
      <c r="F3391" s="22" t="str">
        <f>IFERROR(__xludf.DUMMYFUNCTION("""COMPUTED_VALUE"""),"異世界から帰還したら地球もかなりファンタジーでした。あと、負けヒロインどもこっち見んな。 連載版")</f>
        <v>異世界から帰還したら地球もかなりファンタジーでした。あと、負けヒロインどもこっち見んな。 連載版</v>
      </c>
      <c r="G3391" s="20" t="str">
        <f>IFERROR(__xludf.DUMMYFUNCTION("""COMPUTED_VALUE"""),"1～4")</f>
        <v>1～4</v>
      </c>
      <c r="H3391" s="22" t="str">
        <f>IFERROR(__xludf.DUMMYFUNCTION("""COMPUTED_VALUE"""),"高槻今城 / 飯田栄静 / 桑島黎音")</f>
        <v>高槻今城 / 飯田栄静 / 桑島黎音</v>
      </c>
      <c r="I3391" s="22" t="str">
        <f>IFERROR(__xludf.DUMMYFUNCTION("""COMPUTED_VALUE"""),"青年")</f>
        <v>青年</v>
      </c>
      <c r="J3391" s="22"/>
      <c r="K3391" s="22"/>
      <c r="L3391" s="22" t="str">
        <f>IFERROR(__xludf.DUMMYFUNCTION("""COMPUTED_VALUE"""),"ブシロードワークス")</f>
        <v>ブシロードワークス</v>
      </c>
      <c r="M3391" s="33">
        <f>IFERROR(__xludf.DUMMYFUNCTION("""COMPUTED_VALUE"""),45839.0)</f>
        <v>45839</v>
      </c>
      <c r="N3391" s="33">
        <f>IFERROR(__xludf.DUMMYFUNCTION("""COMPUTED_VALUE"""),45901.0)</f>
        <v>45901</v>
      </c>
      <c r="O3391" s="20"/>
      <c r="P3391" s="32" t="str">
        <f>IFERROR(__xludf.DUMMYFUNCTION("""COMPUTED_VALUE"""),"可")</f>
        <v>可</v>
      </c>
      <c r="Q3391" s="30" t="str">
        <f>IFERROR(__xludf.DUMMYFUNCTION("""COMPUTED_VALUE"""),"2話無料で配信予定です。")</f>
        <v>2話無料で配信予定です。</v>
      </c>
      <c r="R3391" s="22" t="str">
        <f>IFERROR(__xludf.DUMMYFUNCTION("""COMPUTED_VALUE"""),"コミットNG")</f>
        <v>コミットNG</v>
      </c>
      <c r="S3391" s="22" t="str">
        <f>IFERROR(__xludf.DUMMYFUNCTION("""COMPUTED_VALUE"""),"20250529_ブシロードワークス_異世界から帰還したら地球もかなりファンタジーでした。あと、負けヒロインどもこっち見んな 連載版")</f>
        <v>20250529_ブシロードワークス_異世界から帰還したら地球もかなりファンタジーでした。あと、負けヒロインどもこっち見んな 連載版</v>
      </c>
      <c r="T3391" s="22" t="str">
        <f>IFERROR(__xludf.DUMMYFUNCTION("""COMPUTED_VALUE"""),"格納済み")</f>
        <v>格納済み</v>
      </c>
      <c r="U3391" s="9" t="str">
        <f>IFERROR(__xludf.DUMMYFUNCTION("""COMPUTED_VALUE"""),"ⒸImashiro Takatsuki, Eisei Iida, Rein Kuwashima / BUSHIROAD WORKS")</f>
        <v>ⒸImashiro Takatsuki, Eisei Iida, Rein Kuwashima / BUSHIROAD WORKS</v>
      </c>
      <c r="V3391" s="8"/>
      <c r="W3391" s="8"/>
      <c r="X3391" s="8" t="str">
        <f>IFERROR(__xludf.DUMMYFUNCTION("""COMPUTED_VALUE"""),"有")</f>
        <v>有</v>
      </c>
      <c r="Y3391" s="8" t="str">
        <f>IFERROR(__xludf.DUMMYFUNCTION("""COMPUTED_VALUE"""),"2025/9/1まで1~2巻無料")</f>
        <v>2025/9/1まで1~2巻無料</v>
      </c>
      <c r="Z3391" s="7"/>
      <c r="AA3391" s="7"/>
      <c r="AB3391" s="7"/>
    </row>
    <row r="3392" ht="15.75" customHeight="1">
      <c r="A3392" s="26">
        <f>IFERROR(__xludf.DUMMYFUNCTION("""COMPUTED_VALUE"""),5540.0)</f>
        <v>5540</v>
      </c>
      <c r="B3392" s="22" t="str">
        <f>IFERROR(__xludf.DUMMYFUNCTION("""COMPUTED_VALUE"""),"確定")</f>
        <v>確定</v>
      </c>
      <c r="C3392" s="28">
        <f>IFERROR(__xludf.DUMMYFUNCTION("""COMPUTED_VALUE"""),45775.0)</f>
        <v>45775</v>
      </c>
      <c r="D3392" s="28">
        <f>IFERROR(__xludf.DUMMYFUNCTION("""COMPUTED_VALUE"""),45807.0)</f>
        <v>45807</v>
      </c>
      <c r="E3392" s="26">
        <f>IFERROR(__xludf.DUMMYFUNCTION("""COMPUTED_VALUE"""),326946.0)</f>
        <v>326946</v>
      </c>
      <c r="F3392" s="22" t="str">
        <f>IFERROR(__xludf.DUMMYFUNCTION("""COMPUTED_VALUE"""),"溺愛絶頂XXX～超絶テクで開発されちゃう!?～【単話】")</f>
        <v>溺愛絶頂XXX～超絶テクで開発されちゃう!?～【単話】</v>
      </c>
      <c r="G3392" s="20" t="str">
        <f>IFERROR(__xludf.DUMMYFUNCTION("""COMPUTED_VALUE"""),"1～3")</f>
        <v>1～3</v>
      </c>
      <c r="H3392" s="22" t="str">
        <f>IFERROR(__xludf.DUMMYFUNCTION("""COMPUTED_VALUE"""),"春宮ぱんだ")</f>
        <v>春宮ぱんだ</v>
      </c>
      <c r="I3392" s="22" t="str">
        <f>IFERROR(__xludf.DUMMYFUNCTION("""COMPUTED_VALUE"""),"TL")</f>
        <v>TL</v>
      </c>
      <c r="J3392" s="22"/>
      <c r="K3392" s="22" t="str">
        <f>IFERROR(__xludf.DUMMYFUNCTION("""COMPUTED_VALUE"""),"ミンティ")</f>
        <v>ミンティ</v>
      </c>
      <c r="L3392" s="22" t="str">
        <f>IFERROR(__xludf.DUMMYFUNCTION("""COMPUTED_VALUE"""),"オークラ出版")</f>
        <v>オークラ出版</v>
      </c>
      <c r="M3392" s="33">
        <f>IFERROR(__xludf.DUMMYFUNCTION("""COMPUTED_VALUE"""),45835.0)</f>
        <v>45835</v>
      </c>
      <c r="N3392" s="33">
        <f>IFERROR(__xludf.DUMMYFUNCTION("""COMPUTED_VALUE"""),45862.0)</f>
        <v>45862</v>
      </c>
      <c r="O3392" s="20"/>
      <c r="P3392" s="32" t="str">
        <f>IFERROR(__xludf.DUMMYFUNCTION("""COMPUTED_VALUE"""),"可")</f>
        <v>可</v>
      </c>
      <c r="Q3392" s="30"/>
      <c r="R3392" s="22" t="str">
        <f>IFERROR(__xludf.DUMMYFUNCTION("""COMPUTED_VALUE"""),"コミットNG")</f>
        <v>コミットNG</v>
      </c>
      <c r="S3392" s="22" t="str">
        <f>IFERROR(__xludf.DUMMYFUNCTION("""COMPUTED_VALUE"""),"20250528_オークラ出版_溺愛絶頂XXX ～超絶テクで開発されちゃう!～【単話】")</f>
        <v>20250528_オークラ出版_溺愛絶頂XXX ～超絶テクで開発されちゃう!～【単話】</v>
      </c>
      <c r="T3392" s="22" t="str">
        <f>IFERROR(__xludf.DUMMYFUNCTION("""COMPUTED_VALUE"""),"格納済み")</f>
        <v>格納済み</v>
      </c>
      <c r="U3392" s="9" t="str">
        <f>IFERROR(__xludf.DUMMYFUNCTION("""COMPUTED_VALUE"""),"Ⓒ春宮ぱんだ/オークラ出版 ミンティ")</f>
        <v>Ⓒ春宮ぱんだ/オークラ出版 ミンティ</v>
      </c>
      <c r="V3392" s="8"/>
      <c r="W3392" s="8"/>
      <c r="X3392" s="8" t="str">
        <f>IFERROR(__xludf.DUMMYFUNCTION("""COMPUTED_VALUE"""),"有")</f>
        <v>有</v>
      </c>
      <c r="Y3392" s="8" t="str">
        <f>IFERROR(__xludf.DUMMYFUNCTION("""COMPUTED_VALUE"""),"P8まで")</f>
        <v>P8まで</v>
      </c>
      <c r="Z3392" s="7"/>
      <c r="AA3392" s="7"/>
      <c r="AB3392" s="7"/>
    </row>
    <row r="3393" ht="15.75" customHeight="1">
      <c r="A3393" s="26">
        <f>IFERROR(__xludf.DUMMYFUNCTION("""COMPUTED_VALUE"""),5568.0)</f>
        <v>5568</v>
      </c>
      <c r="B3393" s="22" t="str">
        <f>IFERROR(__xludf.DUMMYFUNCTION("""COMPUTED_VALUE"""),"確定")</f>
        <v>確定</v>
      </c>
      <c r="C3393" s="28">
        <f>IFERROR(__xludf.DUMMYFUNCTION("""COMPUTED_VALUE"""),45784.0)</f>
        <v>45784</v>
      </c>
      <c r="D3393" s="28">
        <f>IFERROR(__xludf.DUMMYFUNCTION("""COMPUTED_VALUE"""),45811.0)</f>
        <v>45811</v>
      </c>
      <c r="E3393" s="26">
        <f>IFERROR(__xludf.DUMMYFUNCTION("""COMPUTED_VALUE"""),327302.0)</f>
        <v>327302</v>
      </c>
      <c r="F3393" s="22" t="str">
        <f>IFERROR(__xludf.DUMMYFUNCTION("""COMPUTED_VALUE"""),"忠犬ボディーガードが偽物令嬢の嘘と身体を暴くまで。")</f>
        <v>忠犬ボディーガードが偽物令嬢の嘘と身体を暴くまで。</v>
      </c>
      <c r="G3393" s="20" t="str">
        <f>IFERROR(__xludf.DUMMYFUNCTION("""COMPUTED_VALUE"""),"1～7")</f>
        <v>1～7</v>
      </c>
      <c r="H3393" s="22" t="str">
        <f>IFERROR(__xludf.DUMMYFUNCTION("""COMPUTED_VALUE"""),"晴海にいな")</f>
        <v>晴海にいな</v>
      </c>
      <c r="I3393" s="22" t="str">
        <f>IFERROR(__xludf.DUMMYFUNCTION("""COMPUTED_VALUE"""),"TL")</f>
        <v>TL</v>
      </c>
      <c r="J3393" s="22"/>
      <c r="K3393" s="22" t="str">
        <f>IFERROR(__xludf.DUMMYFUNCTION("""COMPUTED_VALUE"""),"Close Moon")</f>
        <v>Close Moon</v>
      </c>
      <c r="L3393" s="22" t="str">
        <f>IFERROR(__xludf.DUMMYFUNCTION("""COMPUTED_VALUE"""),"ナンバーナイン")</f>
        <v>ナンバーナイン</v>
      </c>
      <c r="M3393" s="33">
        <f>IFERROR(__xludf.DUMMYFUNCTION("""COMPUTED_VALUE"""),45835.0)</f>
        <v>45835</v>
      </c>
      <c r="N3393" s="33">
        <f>IFERROR(__xludf.DUMMYFUNCTION("""COMPUTED_VALUE"""),45895.0)</f>
        <v>45895</v>
      </c>
      <c r="O3393" s="20"/>
      <c r="P3393" s="32" t="str">
        <f>IFERROR(__xludf.DUMMYFUNCTION("""COMPUTED_VALUE"""),"可")</f>
        <v>可</v>
      </c>
      <c r="Q3393" s="30"/>
      <c r="R3393" s="22" t="str">
        <f>IFERROR(__xludf.DUMMYFUNCTION("""COMPUTED_VALUE"""),"コミットNG")</f>
        <v>コミットNG</v>
      </c>
      <c r="S3393" s="22" t="str">
        <f>IFERROR(__xludf.DUMMYFUNCTION("""COMPUTED_VALUE"""),"20250603_ナンバーナイン_忠犬ボディーガードが偽物令嬢の嘘と身体を暴くまで。")</f>
        <v>20250603_ナンバーナイン_忠犬ボディーガードが偽物令嬢の嘘と身体を暴くまで。</v>
      </c>
      <c r="T3393" s="22" t="str">
        <f>IFERROR(__xludf.DUMMYFUNCTION("""COMPUTED_VALUE"""),"格納済み")</f>
        <v>格納済み</v>
      </c>
      <c r="U3393" s="9" t="str">
        <f>IFERROR(__xludf.DUMMYFUNCTION("""COMPUTED_VALUE"""),"Ⓒ晴海にいな/ナンバーナイン")</f>
        <v>Ⓒ晴海にいな/ナンバーナイン</v>
      </c>
      <c r="V3393" s="8"/>
      <c r="W3393" s="8"/>
      <c r="X3393" s="8" t="str">
        <f>IFERROR(__xludf.DUMMYFUNCTION("""COMPUTED_VALUE"""),"有")</f>
        <v>有</v>
      </c>
      <c r="Y3393" s="8" t="str">
        <f>IFERROR(__xludf.DUMMYFUNCTION("""COMPUTED_VALUE"""),"1巻無料")</f>
        <v>1巻無料</v>
      </c>
      <c r="Z3393" s="7"/>
      <c r="AA3393" s="7"/>
      <c r="AB3393" s="7"/>
    </row>
    <row r="3394" ht="15.75" customHeight="1">
      <c r="A3394" s="26">
        <f>IFERROR(__xludf.DUMMYFUNCTION("""COMPUTED_VALUE"""),5569.0)</f>
        <v>5569</v>
      </c>
      <c r="B3394" s="22" t="str">
        <f>IFERROR(__xludf.DUMMYFUNCTION("""COMPUTED_VALUE"""),"確定")</f>
        <v>確定</v>
      </c>
      <c r="C3394" s="28">
        <f>IFERROR(__xludf.DUMMYFUNCTION("""COMPUTED_VALUE"""),45784.0)</f>
        <v>45784</v>
      </c>
      <c r="D3394" s="28">
        <f>IFERROR(__xludf.DUMMYFUNCTION("""COMPUTED_VALUE"""),45811.0)</f>
        <v>45811</v>
      </c>
      <c r="E3394" s="26">
        <f>IFERROR(__xludf.DUMMYFUNCTION("""COMPUTED_VALUE"""),327309.0)</f>
        <v>327309</v>
      </c>
      <c r="F3394" s="22" t="str">
        <f>IFERROR(__xludf.DUMMYFUNCTION("""COMPUTED_VALUE"""),"忠犬ボディーガードが偽物令嬢の嘘と身体を暴くまで。【R-18版】")</f>
        <v>忠犬ボディーガードが偽物令嬢の嘘と身体を暴くまで。【R-18版】</v>
      </c>
      <c r="G3394" s="20" t="str">
        <f>IFERROR(__xludf.DUMMYFUNCTION("""COMPUTED_VALUE"""),"1～7")</f>
        <v>1～7</v>
      </c>
      <c r="H3394" s="22" t="str">
        <f>IFERROR(__xludf.DUMMYFUNCTION("""COMPUTED_VALUE"""),"晴海にいな")</f>
        <v>晴海にいな</v>
      </c>
      <c r="I3394" s="22" t="str">
        <f>IFERROR(__xludf.DUMMYFUNCTION("""COMPUTED_VALUE"""),"アダルト")</f>
        <v>アダルト</v>
      </c>
      <c r="J3394" s="22"/>
      <c r="K3394" s="22" t="str">
        <f>IFERROR(__xludf.DUMMYFUNCTION("""COMPUTED_VALUE"""),"Close Moon")</f>
        <v>Close Moon</v>
      </c>
      <c r="L3394" s="22" t="str">
        <f>IFERROR(__xludf.DUMMYFUNCTION("""COMPUTED_VALUE"""),"ナンバーナイン")</f>
        <v>ナンバーナイン</v>
      </c>
      <c r="M3394" s="33">
        <f>IFERROR(__xludf.DUMMYFUNCTION("""COMPUTED_VALUE"""),45835.0)</f>
        <v>45835</v>
      </c>
      <c r="N3394" s="33">
        <f>IFERROR(__xludf.DUMMYFUNCTION("""COMPUTED_VALUE"""),45895.0)</f>
        <v>45895</v>
      </c>
      <c r="O3394" s="20"/>
      <c r="P3394" s="32" t="str">
        <f>IFERROR(__xludf.DUMMYFUNCTION("""COMPUTED_VALUE"""),"可")</f>
        <v>可</v>
      </c>
      <c r="Q3394" s="30"/>
      <c r="R3394" s="22" t="str">
        <f>IFERROR(__xludf.DUMMYFUNCTION("""COMPUTED_VALUE"""),"コミットOK")</f>
        <v>コミットOK</v>
      </c>
      <c r="S3394" s="22" t="str">
        <f>IFERROR(__xludf.DUMMYFUNCTION("""COMPUTED_VALUE"""),"20250603_ナンバーナイン_忠犬ボディーガードが偽物令嬢の嘘と身体を暴くまで。【R-18版】")</f>
        <v>20250603_ナンバーナイン_忠犬ボディーガードが偽物令嬢の嘘と身体を暴くまで。【R-18版】</v>
      </c>
      <c r="T3394" s="22" t="str">
        <f>IFERROR(__xludf.DUMMYFUNCTION("""COMPUTED_VALUE"""),"格納済み")</f>
        <v>格納済み</v>
      </c>
      <c r="U3394" s="9" t="str">
        <f>IFERROR(__xludf.DUMMYFUNCTION("""COMPUTED_VALUE"""),"Ⓒ晴海にいな/ナンバーナイン")</f>
        <v>Ⓒ晴海にいな/ナンバーナイン</v>
      </c>
      <c r="V3394" s="8"/>
      <c r="W3394" s="8"/>
      <c r="X3394" s="8" t="str">
        <f>IFERROR(__xludf.DUMMYFUNCTION("""COMPUTED_VALUE"""),"有")</f>
        <v>有</v>
      </c>
      <c r="Y3394" s="8" t="str">
        <f>IFERROR(__xludf.DUMMYFUNCTION("""COMPUTED_VALUE"""),"1巻無料")</f>
        <v>1巻無料</v>
      </c>
      <c r="Z3394" s="7"/>
      <c r="AA3394" s="7"/>
      <c r="AB3394" s="7"/>
    </row>
    <row r="3395" ht="15.75" customHeight="1">
      <c r="A3395" s="26">
        <f>IFERROR(__xludf.DUMMYFUNCTION("""COMPUTED_VALUE"""),5570.0)</f>
        <v>5570</v>
      </c>
      <c r="B3395" s="22" t="str">
        <f>IFERROR(__xludf.DUMMYFUNCTION("""COMPUTED_VALUE"""),"確定")</f>
        <v>確定</v>
      </c>
      <c r="C3395" s="28">
        <f>IFERROR(__xludf.DUMMYFUNCTION("""COMPUTED_VALUE"""),45784.0)</f>
        <v>45784</v>
      </c>
      <c r="D3395" s="28">
        <f>IFERROR(__xludf.DUMMYFUNCTION("""COMPUTED_VALUE"""),45811.0)</f>
        <v>45811</v>
      </c>
      <c r="E3395" s="26">
        <f>IFERROR(__xludf.DUMMYFUNCTION("""COMPUTED_VALUE"""),322337.0)</f>
        <v>322337</v>
      </c>
      <c r="F3395" s="22" t="str">
        <f>IFERROR(__xludf.DUMMYFUNCTION("""COMPUTED_VALUE"""),"加執くんの愛は重すぎる(分冊版)")</f>
        <v>加執くんの愛は重すぎる(分冊版)</v>
      </c>
      <c r="G3395" s="20" t="str">
        <f>IFERROR(__xludf.DUMMYFUNCTION("""COMPUTED_VALUE"""),"1～3")</f>
        <v>1～3</v>
      </c>
      <c r="H3395" s="22" t="str">
        <f>IFERROR(__xludf.DUMMYFUNCTION("""COMPUTED_VALUE"""),"宍戸まめぞう")</f>
        <v>宍戸まめぞう</v>
      </c>
      <c r="I3395" s="22" t="str">
        <f>IFERROR(__xludf.DUMMYFUNCTION("""COMPUTED_VALUE"""),"TL")</f>
        <v>TL</v>
      </c>
      <c r="J3395" s="22"/>
      <c r="K3395" s="22" t="str">
        <f>IFERROR(__xludf.DUMMYFUNCTION("""COMPUTED_VALUE"""),"Close Moon")</f>
        <v>Close Moon</v>
      </c>
      <c r="L3395" s="22" t="str">
        <f>IFERROR(__xludf.DUMMYFUNCTION("""COMPUTED_VALUE"""),"ナンバーナイン")</f>
        <v>ナンバーナイン</v>
      </c>
      <c r="M3395" s="33">
        <f>IFERROR(__xludf.DUMMYFUNCTION("""COMPUTED_VALUE"""),45828.0)</f>
        <v>45828</v>
      </c>
      <c r="N3395" s="33">
        <f>IFERROR(__xludf.DUMMYFUNCTION("""COMPUTED_VALUE"""),45888.0)</f>
        <v>45888</v>
      </c>
      <c r="O3395" s="20"/>
      <c r="P3395" s="32" t="str">
        <f>IFERROR(__xludf.DUMMYFUNCTION("""COMPUTED_VALUE"""),"可")</f>
        <v>可</v>
      </c>
      <c r="Q3395" s="30"/>
      <c r="R3395" s="22" t="str">
        <f>IFERROR(__xludf.DUMMYFUNCTION("""COMPUTED_VALUE"""),"コミットNG")</f>
        <v>コミットNG</v>
      </c>
      <c r="S3395" s="22" t="str">
        <f>IFERROR(__xludf.DUMMYFUNCTION("""COMPUTED_VALUE"""),"20250603_ナンバーナイン_加執くんの愛は重すぎる(分冊版)")</f>
        <v>20250603_ナンバーナイン_加執くんの愛は重すぎる(分冊版)</v>
      </c>
      <c r="T3395" s="22" t="str">
        <f>IFERROR(__xludf.DUMMYFUNCTION("""COMPUTED_VALUE"""),"格納済み")</f>
        <v>格納済み</v>
      </c>
      <c r="U3395" s="9" t="str">
        <f>IFERROR(__xludf.DUMMYFUNCTION("""COMPUTED_VALUE"""),"Ⓒ宍戸まめぞう/ナンバーナイン")</f>
        <v>Ⓒ宍戸まめぞう/ナンバーナイン</v>
      </c>
      <c r="V3395" s="8"/>
      <c r="W3395" s="8"/>
      <c r="X3395" s="8" t="str">
        <f>IFERROR(__xludf.DUMMYFUNCTION("""COMPUTED_VALUE"""),"有")</f>
        <v>有</v>
      </c>
      <c r="Y3395" s="8" t="str">
        <f>IFERROR(__xludf.DUMMYFUNCTION("""COMPUTED_VALUE"""),"1巻無料")</f>
        <v>1巻無料</v>
      </c>
      <c r="Z3395" s="7"/>
      <c r="AA3395" s="7"/>
      <c r="AB3395" s="7"/>
    </row>
    <row r="3396" ht="15.75" customHeight="1">
      <c r="A3396" s="26">
        <f>IFERROR(__xludf.DUMMYFUNCTION("""COMPUTED_VALUE"""),5571.0)</f>
        <v>5571</v>
      </c>
      <c r="B3396" s="22" t="str">
        <f>IFERROR(__xludf.DUMMYFUNCTION("""COMPUTED_VALUE"""),"確定")</f>
        <v>確定</v>
      </c>
      <c r="C3396" s="28">
        <f>IFERROR(__xludf.DUMMYFUNCTION("""COMPUTED_VALUE"""),45784.0)</f>
        <v>45784</v>
      </c>
      <c r="D3396" s="28">
        <f>IFERROR(__xludf.DUMMYFUNCTION("""COMPUTED_VALUE"""),45811.0)</f>
        <v>45811</v>
      </c>
      <c r="E3396" s="26">
        <f>IFERROR(__xludf.DUMMYFUNCTION("""COMPUTED_VALUE"""),322396.0)</f>
        <v>322396</v>
      </c>
      <c r="F3396" s="22" t="str">
        <f>IFERROR(__xludf.DUMMYFUNCTION("""COMPUTED_VALUE"""),"加執くんの愛は重すぎる(R-18版)")</f>
        <v>加執くんの愛は重すぎる(R-18版)</v>
      </c>
      <c r="G3396" s="20" t="str">
        <f>IFERROR(__xludf.DUMMYFUNCTION("""COMPUTED_VALUE"""),"1～3")</f>
        <v>1～3</v>
      </c>
      <c r="H3396" s="22" t="str">
        <f>IFERROR(__xludf.DUMMYFUNCTION("""COMPUTED_VALUE"""),"宍戸まめぞう")</f>
        <v>宍戸まめぞう</v>
      </c>
      <c r="I3396" s="22" t="str">
        <f>IFERROR(__xludf.DUMMYFUNCTION("""COMPUTED_VALUE"""),"アダルト")</f>
        <v>アダルト</v>
      </c>
      <c r="J3396" s="22"/>
      <c r="K3396" s="22" t="str">
        <f>IFERROR(__xludf.DUMMYFUNCTION("""COMPUTED_VALUE"""),"Close Moon")</f>
        <v>Close Moon</v>
      </c>
      <c r="L3396" s="22" t="str">
        <f>IFERROR(__xludf.DUMMYFUNCTION("""COMPUTED_VALUE"""),"ナンバーナイン")</f>
        <v>ナンバーナイン</v>
      </c>
      <c r="M3396" s="33">
        <f>IFERROR(__xludf.DUMMYFUNCTION("""COMPUTED_VALUE"""),45828.0)</f>
        <v>45828</v>
      </c>
      <c r="N3396" s="33">
        <f>IFERROR(__xludf.DUMMYFUNCTION("""COMPUTED_VALUE"""),45888.0)</f>
        <v>45888</v>
      </c>
      <c r="O3396" s="20"/>
      <c r="P3396" s="32" t="str">
        <f>IFERROR(__xludf.DUMMYFUNCTION("""COMPUTED_VALUE"""),"可")</f>
        <v>可</v>
      </c>
      <c r="Q3396" s="30"/>
      <c r="R3396" s="22" t="str">
        <f>IFERROR(__xludf.DUMMYFUNCTION("""COMPUTED_VALUE"""),"コミットOK")</f>
        <v>コミットOK</v>
      </c>
      <c r="S3396" s="22" t="str">
        <f>IFERROR(__xludf.DUMMYFUNCTION("""COMPUTED_VALUE"""),"20250603_ナンバーナイン_加執くんの愛は重すぎる(R-18版)")</f>
        <v>20250603_ナンバーナイン_加執くんの愛は重すぎる(R-18版)</v>
      </c>
      <c r="T3396" s="22" t="str">
        <f>IFERROR(__xludf.DUMMYFUNCTION("""COMPUTED_VALUE"""),"格納済み")</f>
        <v>格納済み</v>
      </c>
      <c r="U3396" s="9" t="str">
        <f>IFERROR(__xludf.DUMMYFUNCTION("""COMPUTED_VALUE"""),"Ⓒ宍戸まめぞう/ナンバーナイン")</f>
        <v>Ⓒ宍戸まめぞう/ナンバーナイン</v>
      </c>
      <c r="V3396" s="8"/>
      <c r="W3396" s="8"/>
      <c r="X3396" s="8" t="str">
        <f>IFERROR(__xludf.DUMMYFUNCTION("""COMPUTED_VALUE"""),"有")</f>
        <v>有</v>
      </c>
      <c r="Y3396" s="8" t="str">
        <f>IFERROR(__xludf.DUMMYFUNCTION("""COMPUTED_VALUE"""),"1巻無料")</f>
        <v>1巻無料</v>
      </c>
      <c r="Z3396" s="7"/>
      <c r="AA3396" s="7"/>
      <c r="AB3396" s="7"/>
    </row>
    <row r="3397" ht="15.75" customHeight="1">
      <c r="A3397" s="26">
        <f>IFERROR(__xludf.DUMMYFUNCTION("""COMPUTED_VALUE"""),5598.0)</f>
        <v>5598</v>
      </c>
      <c r="B3397" s="22" t="str">
        <f>IFERROR(__xludf.DUMMYFUNCTION("""COMPUTED_VALUE"""),"確定")</f>
        <v>確定</v>
      </c>
      <c r="C3397" s="28">
        <f>IFERROR(__xludf.DUMMYFUNCTION("""COMPUTED_VALUE"""),45789.0)</f>
        <v>45789</v>
      </c>
      <c r="D3397" s="28">
        <f>IFERROR(__xludf.DUMMYFUNCTION("""COMPUTED_VALUE"""),45811.0)</f>
        <v>45811</v>
      </c>
      <c r="E3397" s="26">
        <f>IFERROR(__xludf.DUMMYFUNCTION("""COMPUTED_VALUE"""),328577.0)</f>
        <v>328577</v>
      </c>
      <c r="F3397" s="22" t="str">
        <f>IFERROR(__xludf.DUMMYFUNCTION("""COMPUTED_VALUE"""),"傷うつし令嬢の逃亡計画は、王子の溺愛で阻止されました【分冊版】")</f>
        <v>傷うつし令嬢の逃亡計画は、王子の溺愛で阻止されました【分冊版】</v>
      </c>
      <c r="G3397" s="20" t="str">
        <f>IFERROR(__xludf.DUMMYFUNCTION("""COMPUTED_VALUE"""),"1～2")</f>
        <v>1～2</v>
      </c>
      <c r="H3397" s="22" t="str">
        <f>IFERROR(__xludf.DUMMYFUNCTION("""COMPUTED_VALUE"""),"天点")</f>
        <v>天点</v>
      </c>
      <c r="I3397" s="22" t="str">
        <f>IFERROR(__xludf.DUMMYFUNCTION("""COMPUTED_VALUE"""),"TL")</f>
        <v>TL</v>
      </c>
      <c r="J3397" s="22"/>
      <c r="K3397" s="22" t="str">
        <f>IFERROR(__xludf.DUMMYFUNCTION("""COMPUTED_VALUE"""),"乙女ドルチェ・コミックス")</f>
        <v>乙女ドルチェ・コミックス</v>
      </c>
      <c r="L3397" s="22" t="str">
        <f>IFERROR(__xludf.DUMMYFUNCTION("""COMPUTED_VALUE"""),"乙女ドルチェ・コミックス")</f>
        <v>乙女ドルチェ・コミックス</v>
      </c>
      <c r="M3397" s="33">
        <f>IFERROR(__xludf.DUMMYFUNCTION("""COMPUTED_VALUE"""),45856.0)</f>
        <v>45856</v>
      </c>
      <c r="N3397" s="33">
        <f>IFERROR(__xludf.DUMMYFUNCTION("""COMPUTED_VALUE"""),45917.0)</f>
        <v>45917</v>
      </c>
      <c r="O3397" s="20"/>
      <c r="P3397" s="32" t="str">
        <f>IFERROR(__xludf.DUMMYFUNCTION("""COMPUTED_VALUE"""),"可")</f>
        <v>可</v>
      </c>
      <c r="Q3397" s="30"/>
      <c r="R3397" s="22" t="str">
        <f>IFERROR(__xludf.DUMMYFUNCTION("""COMPUTED_VALUE"""),"コミットNG")</f>
        <v>コミットNG</v>
      </c>
      <c r="S3397" s="22" t="str">
        <f>IFERROR(__xludf.DUMMYFUNCTION("""COMPUTED_VALUE"""),"20250602_ハーパーコリンズ・ジャパン_傷うつし令嬢の逃亡計画は、王子の溺愛で阻止されました")</f>
        <v>20250602_ハーパーコリンズ・ジャパン_傷うつし令嬢の逃亡計画は、王子の溺愛で阻止されました</v>
      </c>
      <c r="T3397" s="22" t="str">
        <f>IFERROR(__xludf.DUMMYFUNCTION("""COMPUTED_VALUE"""),"格納済み")</f>
        <v>格納済み</v>
      </c>
      <c r="U3397" s="9" t="str">
        <f>IFERROR(__xludf.DUMMYFUNCTION("""COMPUTED_VALUE"""),"Ⓒ天点／ハーパーコリンズ・ジャパン")</f>
        <v>Ⓒ天点／ハーパーコリンズ・ジャパン</v>
      </c>
      <c r="V3397" s="8"/>
      <c r="W3397" s="8"/>
      <c r="X3397" s="8" t="str">
        <f>IFERROR(__xludf.DUMMYFUNCTION("""COMPUTED_VALUE"""),"有")</f>
        <v>有</v>
      </c>
      <c r="Y3397" s="8" t="str">
        <f>IFERROR(__xludf.DUMMYFUNCTION("""COMPUTED_VALUE"""),"2025/8/18まで1巻立ち読み増量(P17)")</f>
        <v>2025/8/18まで1巻立ち読み増量(P17)</v>
      </c>
      <c r="Z3397" s="7"/>
      <c r="AA3397" s="7"/>
      <c r="AB3397" s="7"/>
    </row>
    <row r="3398" ht="15.75" customHeight="1">
      <c r="A3398" s="26">
        <f>IFERROR(__xludf.DUMMYFUNCTION("""COMPUTED_VALUE"""),5601.0)</f>
        <v>5601</v>
      </c>
      <c r="B3398" s="22" t="str">
        <f>IFERROR(__xludf.DUMMYFUNCTION("""COMPUTED_VALUE"""),"確定")</f>
        <v>確定</v>
      </c>
      <c r="C3398" s="28">
        <f>IFERROR(__xludf.DUMMYFUNCTION("""COMPUTED_VALUE"""),45789.0)</f>
        <v>45789</v>
      </c>
      <c r="D3398" s="28">
        <f>IFERROR(__xludf.DUMMYFUNCTION("""COMPUTED_VALUE"""),45811.0)</f>
        <v>45811</v>
      </c>
      <c r="E3398" s="26">
        <f>IFERROR(__xludf.DUMMYFUNCTION("""COMPUTED_VALUE"""),328561.0)</f>
        <v>328561</v>
      </c>
      <c r="F3398" s="22" t="str">
        <f>IFERROR(__xludf.DUMMYFUNCTION("""COMPUTED_VALUE"""),"カタブツ騎士の溺愛蜜月～強がり若奥様は甘くとろける～")</f>
        <v>カタブツ騎士の溺愛蜜月～強がり若奥様は甘くとろける～</v>
      </c>
      <c r="G3398" s="20">
        <f>IFERROR(__xludf.DUMMYFUNCTION("""COMPUTED_VALUE"""),1.0)</f>
        <v>1</v>
      </c>
      <c r="H3398" s="22" t="str">
        <f>IFERROR(__xludf.DUMMYFUNCTION("""COMPUTED_VALUE"""),"藤臣美弥子,吉田行")</f>
        <v>藤臣美弥子,吉田行</v>
      </c>
      <c r="I3398" s="22" t="str">
        <f>IFERROR(__xludf.DUMMYFUNCTION("""COMPUTED_VALUE"""),"TL")</f>
        <v>TL</v>
      </c>
      <c r="J3398" s="22"/>
      <c r="K3398" s="22" t="str">
        <f>IFERROR(__xludf.DUMMYFUNCTION("""COMPUTED_VALUE"""),"乙女ドルチェ・コミックス")</f>
        <v>乙女ドルチェ・コミックス</v>
      </c>
      <c r="L3398" s="22" t="str">
        <f>IFERROR(__xludf.DUMMYFUNCTION("""COMPUTED_VALUE"""),"乙女ドルチェ・コミックス")</f>
        <v>乙女ドルチェ・コミックス</v>
      </c>
      <c r="M3398" s="33">
        <f>IFERROR(__xludf.DUMMYFUNCTION("""COMPUTED_VALUE"""),45856.0)</f>
        <v>45856</v>
      </c>
      <c r="N3398" s="33">
        <f>IFERROR(__xludf.DUMMYFUNCTION("""COMPUTED_VALUE"""),45917.0)</f>
        <v>45917</v>
      </c>
      <c r="O3398" s="20"/>
      <c r="P3398" s="32" t="str">
        <f>IFERROR(__xludf.DUMMYFUNCTION("""COMPUTED_VALUE"""),"可")</f>
        <v>可</v>
      </c>
      <c r="Q3398" s="30"/>
      <c r="R3398" s="22"/>
      <c r="S3398" s="22" t="str">
        <f>IFERROR(__xludf.DUMMYFUNCTION("""COMPUTED_VALUE"""),"20250602_ハーパーコリンズ・ジャパン_カタブツ騎士の溺愛蜜月～強がり若奥様は甘くとろける～")</f>
        <v>20250602_ハーパーコリンズ・ジャパン_カタブツ騎士の溺愛蜜月～強がり若奥様は甘くとろける～</v>
      </c>
      <c r="T3398" s="22" t="str">
        <f>IFERROR(__xludf.DUMMYFUNCTION("""COMPUTED_VALUE"""),"格納済み")</f>
        <v>格納済み</v>
      </c>
      <c r="U3398" s="9" t="str">
        <f>IFERROR(__xludf.DUMMYFUNCTION("""COMPUTED_VALUE"""),"Ⓒ藤臣美弥子・吉田 行／ハーパーコリンズ・ジャパン")</f>
        <v>Ⓒ藤臣美弥子・吉田 行／ハーパーコリンズ・ジャパン</v>
      </c>
      <c r="V3398" s="8"/>
      <c r="W3398" s="8"/>
      <c r="X3398" s="8" t="str">
        <f>IFERROR(__xludf.DUMMYFUNCTION("""COMPUTED_VALUE"""),"有")</f>
        <v>有</v>
      </c>
      <c r="Y3398" s="8" t="str">
        <f>IFERROR(__xludf.DUMMYFUNCTION("""COMPUTED_VALUE"""),"2025/8/18まで1巻立ち読み増量(P48)")</f>
        <v>2025/8/18まで1巻立ち読み増量(P48)</v>
      </c>
      <c r="Z3398" s="7"/>
      <c r="AA3398" s="7"/>
      <c r="AB3398" s="7"/>
    </row>
    <row r="3399" ht="15.75" customHeight="1">
      <c r="A3399" s="26">
        <f>IFERROR(__xludf.DUMMYFUNCTION("""COMPUTED_VALUE"""),5640.0)</f>
        <v>5640</v>
      </c>
      <c r="B3399" s="22" t="str">
        <f>IFERROR(__xludf.DUMMYFUNCTION("""COMPUTED_VALUE"""),"確定")</f>
        <v>確定</v>
      </c>
      <c r="C3399" s="28">
        <f>IFERROR(__xludf.DUMMYFUNCTION("""COMPUTED_VALUE"""),45796.0)</f>
        <v>45796</v>
      </c>
      <c r="D3399" s="28">
        <f>IFERROR(__xludf.DUMMYFUNCTION("""COMPUTED_VALUE"""),45811.0)</f>
        <v>45811</v>
      </c>
      <c r="E3399" s="26">
        <f>IFERROR(__xludf.DUMMYFUNCTION("""COMPUTED_VALUE"""),327692.0)</f>
        <v>327692</v>
      </c>
      <c r="F3399" s="22" t="str">
        <f>IFERROR(__xludf.DUMMYFUNCTION("""COMPUTED_VALUE"""),"忠犬騎士様は没落令嬢への重い愛がとまらない これって恩返し婚じゃないんですか！？")</f>
        <v>忠犬騎士様は没落令嬢への重い愛がとまらない これって恩返し婚じゃないんですか！？</v>
      </c>
      <c r="G3399" s="20" t="str">
        <f>IFERROR(__xludf.DUMMYFUNCTION("""COMPUTED_VALUE"""),"1～3")</f>
        <v>1～3</v>
      </c>
      <c r="H3399" s="22" t="str">
        <f>IFERROR(__xludf.DUMMYFUNCTION("""COMPUTED_VALUE"""),"はにぃ┴千賀つづら")</f>
        <v>はにぃ┴千賀つづら</v>
      </c>
      <c r="I3399" s="22" t="str">
        <f>IFERROR(__xludf.DUMMYFUNCTION("""COMPUTED_VALUE"""),"TL")</f>
        <v>TL</v>
      </c>
      <c r="J3399" s="22"/>
      <c r="K3399" s="22" t="str">
        <f>IFERROR(__xludf.DUMMYFUNCTION("""COMPUTED_VALUE"""),"lou lou")</f>
        <v>lou lou</v>
      </c>
      <c r="L3399" s="22" t="str">
        <f>IFERROR(__xludf.DUMMYFUNCTION("""COMPUTED_VALUE"""),"渋谷六花舎")</f>
        <v>渋谷六花舎</v>
      </c>
      <c r="M3399" s="33">
        <f>IFERROR(__xludf.DUMMYFUNCTION("""COMPUTED_VALUE"""),45839.0)</f>
        <v>45839</v>
      </c>
      <c r="N3399" s="33">
        <f>IFERROR(__xludf.DUMMYFUNCTION("""COMPUTED_VALUE"""),45930.0)</f>
        <v>45930</v>
      </c>
      <c r="O3399" s="20"/>
      <c r="P3399" s="32" t="str">
        <f>IFERROR(__xludf.DUMMYFUNCTION("""COMPUTED_VALUE"""),"可")</f>
        <v>可</v>
      </c>
      <c r="Q3399" s="30"/>
      <c r="R3399" s="22" t="str">
        <f>IFERROR(__xludf.DUMMYFUNCTION("""COMPUTED_VALUE"""),"コミットNG")</f>
        <v>コミットNG</v>
      </c>
      <c r="S3399" s="22" t="str">
        <f>IFERROR(__xludf.DUMMYFUNCTION("""COMPUTED_VALUE"""),"20250603_渋谷六花舎_忠犬騎士様は没落令嬢への重い愛がとまらない")</f>
        <v>20250603_渋谷六花舎_忠犬騎士様は没落令嬢への重い愛がとまらない</v>
      </c>
      <c r="T3399" s="22" t="str">
        <f>IFERROR(__xludf.DUMMYFUNCTION("""COMPUTED_VALUE"""),"格納済み")</f>
        <v>格納済み</v>
      </c>
      <c r="U3399" s="9" t="str">
        <f>IFERROR(__xludf.DUMMYFUNCTION("""COMPUTED_VALUE"""),"Ⓒはにぃ/千賀つづら/lou lou")</f>
        <v>Ⓒはにぃ/千賀つづら/lou lou</v>
      </c>
      <c r="V3399" s="8"/>
      <c r="W3399" s="8"/>
      <c r="X3399" s="8" t="str">
        <f>IFERROR(__xludf.DUMMYFUNCTION("""COMPUTED_VALUE"""),"有")</f>
        <v>有</v>
      </c>
      <c r="Y3399" s="8" t="str">
        <f>IFERROR(__xludf.DUMMYFUNCTION("""COMPUTED_VALUE"""),"2025/7/22まで1巻無料")</f>
        <v>2025/7/22まで1巻無料</v>
      </c>
      <c r="Z3399" s="7"/>
      <c r="AA3399" s="7"/>
      <c r="AB3399" s="7"/>
    </row>
    <row r="3400" ht="15.75" customHeight="1">
      <c r="A3400" s="26">
        <f>IFERROR(__xludf.DUMMYFUNCTION("""COMPUTED_VALUE"""),5662.0)</f>
        <v>5662</v>
      </c>
      <c r="B3400" s="22" t="str">
        <f>IFERROR(__xludf.DUMMYFUNCTION("""COMPUTED_VALUE"""),"確定")</f>
        <v>確定</v>
      </c>
      <c r="C3400" s="28">
        <f>IFERROR(__xludf.DUMMYFUNCTION("""COMPUTED_VALUE"""),45803.0)</f>
        <v>45803</v>
      </c>
      <c r="D3400" s="28">
        <f>IFERROR(__xludf.DUMMYFUNCTION("""COMPUTED_VALUE"""),45807.0)</f>
        <v>45807</v>
      </c>
      <c r="E3400" s="26">
        <f>IFERROR(__xludf.DUMMYFUNCTION("""COMPUTED_VALUE"""),306542.0)</f>
        <v>306542</v>
      </c>
      <c r="F3400" s="22" t="str">
        <f>IFERROR(__xludf.DUMMYFUNCTION("""COMPUTED_VALUE"""),"とって食ったりしねぇから～元ヤンくんとの恋事情～")</f>
        <v>とって食ったりしねぇから～元ヤンくんとの恋事情～</v>
      </c>
      <c r="G3400" s="20" t="str">
        <f>IFERROR(__xludf.DUMMYFUNCTION("""COMPUTED_VALUE"""),"1～3")</f>
        <v>1～3</v>
      </c>
      <c r="H3400" s="22" t="str">
        <f>IFERROR(__xludf.DUMMYFUNCTION("""COMPUTED_VALUE"""),"右田いこい")</f>
        <v>右田いこい</v>
      </c>
      <c r="I3400" s="22" t="str">
        <f>IFERROR(__xludf.DUMMYFUNCTION("""COMPUTED_VALUE"""),"女性マンガ")</f>
        <v>女性マンガ</v>
      </c>
      <c r="J3400" s="22"/>
      <c r="K3400" s="22" t="str">
        <f>IFERROR(__xludf.DUMMYFUNCTION("""COMPUTED_VALUE"""),"恋するソワレ＋,恋するソワレ")</f>
        <v>恋するソワレ＋,恋するソワレ</v>
      </c>
      <c r="L3400" s="22" t="str">
        <f>IFERROR(__xludf.DUMMYFUNCTION("""COMPUTED_VALUE"""),"シーモアコミックス")</f>
        <v>シーモアコミックス</v>
      </c>
      <c r="M3400" s="33">
        <f>IFERROR(__xludf.DUMMYFUNCTION("""COMPUTED_VALUE"""),45836.0)</f>
        <v>45836</v>
      </c>
      <c r="N3400" s="33">
        <f>IFERROR(__xludf.DUMMYFUNCTION("""COMPUTED_VALUE"""),46177.66666666667)</f>
        <v>46177.66667</v>
      </c>
      <c r="O3400" s="20"/>
      <c r="P3400" s="32" t="str">
        <f>IFERROR(__xludf.DUMMYFUNCTION("""COMPUTED_VALUE"""),"可")</f>
        <v>可</v>
      </c>
      <c r="Q3400" s="30"/>
      <c r="R3400" s="22"/>
      <c r="S3400" s="22" t="str">
        <f>IFERROR(__xludf.DUMMYFUNCTION("""COMPUTED_VALUE"""),"20250526_シーモアコミックス_とって食ったりしねぇから～元ヤンくんとの恋事情～")</f>
        <v>20250526_シーモアコミックス_とって食ったりしねぇから～元ヤンくんとの恋事情～</v>
      </c>
      <c r="T3400" s="22" t="str">
        <f>IFERROR(__xludf.DUMMYFUNCTION("""COMPUTED_VALUE"""),"格納済み")</f>
        <v>格納済み</v>
      </c>
      <c r="U3400" s="9" t="str">
        <f>IFERROR(__xludf.DUMMYFUNCTION("""COMPUTED_VALUE"""),"Ⓒ右田いこい/シーモアコミックス")</f>
        <v>Ⓒ右田いこい/シーモアコミックス</v>
      </c>
      <c r="V3400" s="8"/>
      <c r="W3400" s="8"/>
      <c r="X3400" s="8" t="str">
        <f>IFERROR(__xludf.DUMMYFUNCTION("""COMPUTED_VALUE"""),"有")</f>
        <v>有</v>
      </c>
      <c r="Y3400" s="8" t="str">
        <f>IFERROR(__xludf.DUMMYFUNCTION("""COMPUTED_VALUE"""),"2025/7/25まで1巻無料")</f>
        <v>2025/7/25まで1巻無料</v>
      </c>
      <c r="Z3400" s="7"/>
      <c r="AA3400" s="7"/>
      <c r="AB3400" s="7"/>
    </row>
    <row r="3401" ht="15.75" customHeight="1">
      <c r="A3401" s="26">
        <f>IFERROR(__xludf.DUMMYFUNCTION("""COMPUTED_VALUE"""),5663.0)</f>
        <v>5663</v>
      </c>
      <c r="B3401" s="22" t="str">
        <f>IFERROR(__xludf.DUMMYFUNCTION("""COMPUTED_VALUE"""),"確定")</f>
        <v>確定</v>
      </c>
      <c r="C3401" s="28">
        <f>IFERROR(__xludf.DUMMYFUNCTION("""COMPUTED_VALUE"""),45803.0)</f>
        <v>45803</v>
      </c>
      <c r="D3401" s="28">
        <f>IFERROR(__xludf.DUMMYFUNCTION("""COMPUTED_VALUE"""),45811.0)</f>
        <v>45811</v>
      </c>
      <c r="E3401" s="26">
        <f>IFERROR(__xludf.DUMMYFUNCTION("""COMPUTED_VALUE"""),311027.0)</f>
        <v>311027</v>
      </c>
      <c r="F3401" s="22" t="str">
        <f>IFERROR(__xludf.DUMMYFUNCTION("""COMPUTED_VALUE"""),"不本意ですが、鳴瀬に堕とされました")</f>
        <v>不本意ですが、鳴瀬に堕とされました</v>
      </c>
      <c r="G3401" s="20" t="str">
        <f>IFERROR(__xludf.DUMMYFUNCTION("""COMPUTED_VALUE"""),"1～3")</f>
        <v>1～3</v>
      </c>
      <c r="H3401" s="22" t="str">
        <f>IFERROR(__xludf.DUMMYFUNCTION("""COMPUTED_VALUE"""),"アキラ")</f>
        <v>アキラ</v>
      </c>
      <c r="I3401" s="22" t="str">
        <f>IFERROR(__xludf.DUMMYFUNCTION("""COMPUTED_VALUE"""),"女性マンガ")</f>
        <v>女性マンガ</v>
      </c>
      <c r="J3401" s="22"/>
      <c r="K3401" s="22" t="str">
        <f>IFERROR(__xludf.DUMMYFUNCTION("""COMPUTED_VALUE"""),"恋するソワレ＋,恋するソワレ")</f>
        <v>恋するソワレ＋,恋するソワレ</v>
      </c>
      <c r="L3401" s="22" t="str">
        <f>IFERROR(__xludf.DUMMYFUNCTION("""COMPUTED_VALUE"""),"シーモアコミックス")</f>
        <v>シーモアコミックス</v>
      </c>
      <c r="M3401" s="33">
        <f>IFERROR(__xludf.DUMMYFUNCTION("""COMPUTED_VALUE"""),45837.0)</f>
        <v>45837</v>
      </c>
      <c r="N3401" s="33">
        <f>IFERROR(__xludf.DUMMYFUNCTION("""COMPUTED_VALUE"""),46002.70833333333)</f>
        <v>46002.70833</v>
      </c>
      <c r="O3401" s="20"/>
      <c r="P3401" s="32" t="str">
        <f>IFERROR(__xludf.DUMMYFUNCTION("""COMPUTED_VALUE"""),"可")</f>
        <v>可</v>
      </c>
      <c r="Q3401" s="30"/>
      <c r="R3401" s="22"/>
      <c r="S3401" s="22" t="str">
        <f>IFERROR(__xludf.DUMMYFUNCTION("""COMPUTED_VALUE"""),"20250526_シーモアコミックス_不本意ですが、鳴瀬に堕とされました")</f>
        <v>20250526_シーモアコミックス_不本意ですが、鳴瀬に堕とされました</v>
      </c>
      <c r="T3401" s="22" t="str">
        <f>IFERROR(__xludf.DUMMYFUNCTION("""COMPUTED_VALUE"""),"格納済み")</f>
        <v>格納済み</v>
      </c>
      <c r="U3401" s="9" t="str">
        <f>IFERROR(__xludf.DUMMYFUNCTION("""COMPUTED_VALUE"""),"Ⓒアキラ/シーモアコミックス")</f>
        <v>Ⓒアキラ/シーモアコミックス</v>
      </c>
      <c r="V3401" s="8"/>
      <c r="W3401" s="8"/>
      <c r="X3401" s="8" t="str">
        <f>IFERROR(__xludf.DUMMYFUNCTION("""COMPUTED_VALUE"""),"有")</f>
        <v>有</v>
      </c>
      <c r="Y3401" s="8" t="str">
        <f>IFERROR(__xludf.DUMMYFUNCTION("""COMPUTED_VALUE"""),"2025/7/12まで1巻無料")</f>
        <v>2025/7/12まで1巻無料</v>
      </c>
      <c r="Z3401" s="7"/>
      <c r="AA3401" s="7"/>
      <c r="AB3401" s="7"/>
    </row>
    <row r="3402" ht="15.75" customHeight="1">
      <c r="A3402" s="26">
        <f>IFERROR(__xludf.DUMMYFUNCTION("""COMPUTED_VALUE"""),5680.0)</f>
        <v>5680</v>
      </c>
      <c r="B3402" s="22" t="str">
        <f>IFERROR(__xludf.DUMMYFUNCTION("""COMPUTED_VALUE"""),"確定")</f>
        <v>確定</v>
      </c>
      <c r="C3402" s="28">
        <f>IFERROR(__xludf.DUMMYFUNCTION("""COMPUTED_VALUE"""),45806.0)</f>
        <v>45806</v>
      </c>
      <c r="D3402" s="28">
        <f>IFERROR(__xludf.DUMMYFUNCTION("""COMPUTED_VALUE"""),45806.0)</f>
        <v>45806</v>
      </c>
      <c r="E3402" s="26">
        <f>IFERROR(__xludf.DUMMYFUNCTION("""COMPUTED_VALUE"""),327171.0)</f>
        <v>327171</v>
      </c>
      <c r="F3402" s="22" t="str">
        <f>IFERROR(__xludf.DUMMYFUNCTION("""COMPUTED_VALUE"""),"ソナタはいったい誰なんだ(話売り)")</f>
        <v>ソナタはいったい誰なんだ(話売り)</v>
      </c>
      <c r="G3402" s="20" t="str">
        <f>IFERROR(__xludf.DUMMYFUNCTION("""COMPUTED_VALUE"""),"1～4")</f>
        <v>1～4</v>
      </c>
      <c r="H3402" s="22" t="str">
        <f>IFERROR(__xludf.DUMMYFUNCTION("""COMPUTED_VALUE"""),"猪ノ谷言葉")</f>
        <v>猪ノ谷言葉</v>
      </c>
      <c r="I3402" s="22" t="str">
        <f>IFERROR(__xludf.DUMMYFUNCTION("""COMPUTED_VALUE"""),"少年")</f>
        <v>少年</v>
      </c>
      <c r="J3402" s="22"/>
      <c r="K3402" s="22"/>
      <c r="L3402" s="22" t="str">
        <f>IFERROR(__xludf.DUMMYFUNCTION("""COMPUTED_VALUE"""),"秋田書店")</f>
        <v>秋田書店</v>
      </c>
      <c r="M3402" s="33">
        <f>IFERROR(__xludf.DUMMYFUNCTION("""COMPUTED_VALUE"""),45822.0)</f>
        <v>45822</v>
      </c>
      <c r="N3402" s="33">
        <f>IFERROR(__xludf.DUMMYFUNCTION("""COMPUTED_VALUE"""),45875.0)</f>
        <v>45875</v>
      </c>
      <c r="O3402" s="20"/>
      <c r="P3402" s="32" t="str">
        <f>IFERROR(__xludf.DUMMYFUNCTION("""COMPUTED_VALUE"""),"否")</f>
        <v>否</v>
      </c>
      <c r="Q3402" s="30" t="str">
        <f>IFERROR(__xludf.DUMMYFUNCTION("""COMPUTED_VALUE"""),"・週チャンのチャレンジ作品で、単行本解禁までの独占先行、解禁後は、全書店一斉配信となるのですが、よろしくお願いいたします！&lt;BR&gt;・2話までの素材で、クリエイティブ制作をお願いできますでしょうか。")</f>
        <v>・週チャンのチャレンジ作品で、単行本解禁までの独占先行、解禁後は、全書店一斉配信となるのですが、よろしくお願いいたします！&lt;BR&gt;・2話までの素材で、クリエイティブ制作をお願いできますでしょうか。</v>
      </c>
      <c r="R3402" s="22"/>
      <c r="S3402" s="22" t="str">
        <f>IFERROR(__xludf.DUMMYFUNCTION("""COMPUTED_VALUE"""),"20250529_秋田書店_ソナタはいったい誰なんだ")</f>
        <v>20250529_秋田書店_ソナタはいったい誰なんだ</v>
      </c>
      <c r="T3402" s="22" t="str">
        <f>IFERROR(__xludf.DUMMYFUNCTION("""COMPUTED_VALUE"""),"格納済み")</f>
        <v>格納済み</v>
      </c>
      <c r="U3402" s="9" t="str">
        <f>IFERROR(__xludf.DUMMYFUNCTION("""COMPUTED_VALUE"""),"Ⓒ猪ノ谷言葉(秋田書店）")</f>
        <v>Ⓒ猪ノ谷言葉(秋田書店）</v>
      </c>
      <c r="V3402" s="8"/>
      <c r="W3402" s="8"/>
      <c r="X3402" s="8" t="str">
        <f>IFERROR(__xludf.DUMMYFUNCTION("""COMPUTED_VALUE"""),"有")</f>
        <v>有</v>
      </c>
      <c r="Y3402" s="8" t="str">
        <f>IFERROR(__xludf.DUMMYFUNCTION("""COMPUTED_VALUE"""),"2025/8/6まで1巻無料")</f>
        <v>2025/8/6まで1巻無料</v>
      </c>
      <c r="Z3402" s="7"/>
      <c r="AA3402" s="7"/>
      <c r="AB3402" s="7"/>
    </row>
    <row r="3403" ht="15.75" customHeight="1">
      <c r="A3403" s="26">
        <f>IFERROR(__xludf.DUMMYFUNCTION("""COMPUTED_VALUE"""),5693.0)</f>
        <v>5693</v>
      </c>
      <c r="B3403" s="22" t="str">
        <f>IFERROR(__xludf.DUMMYFUNCTION("""COMPUTED_VALUE"""),"確定")</f>
        <v>確定</v>
      </c>
      <c r="C3403" s="28">
        <f>IFERROR(__xludf.DUMMYFUNCTION("""COMPUTED_VALUE"""),45810.0)</f>
        <v>45810</v>
      </c>
      <c r="D3403" s="28">
        <f>IFERROR(__xludf.DUMMYFUNCTION("""COMPUTED_VALUE"""),45811.0)</f>
        <v>45811</v>
      </c>
      <c r="E3403" s="26">
        <f>IFERROR(__xludf.DUMMYFUNCTION("""COMPUTED_VALUE"""),327836.0)</f>
        <v>327836</v>
      </c>
      <c r="F3403" s="22" t="str">
        <f>IFERROR(__xludf.DUMMYFUNCTION("""COMPUTED_VALUE"""),"生真面目競泳女子、性に溺れる")</f>
        <v>生真面目競泳女子、性に溺れる</v>
      </c>
      <c r="G3403" s="20">
        <f>IFERROR(__xludf.DUMMYFUNCTION("""COMPUTED_VALUE"""),1.0)</f>
        <v>1</v>
      </c>
      <c r="H3403" s="22" t="str">
        <f>IFERROR(__xludf.DUMMYFUNCTION("""COMPUTED_VALUE"""),"エノキドォ")</f>
        <v>エノキドォ</v>
      </c>
      <c r="I3403" s="22" t="str">
        <f>IFERROR(__xludf.DUMMYFUNCTION("""COMPUTED_VALUE"""),"アダルトマンガ")</f>
        <v>アダルトマンガ</v>
      </c>
      <c r="J3403" s="22"/>
      <c r="K3403" s="22"/>
      <c r="L3403" s="22" t="str">
        <f>IFERROR(__xludf.DUMMYFUNCTION("""COMPUTED_VALUE"""),"ナイトコミック")</f>
        <v>ナイトコミック</v>
      </c>
      <c r="M3403" s="33">
        <f>IFERROR(__xludf.DUMMYFUNCTION("""COMPUTED_VALUE"""),45842.0)</f>
        <v>45842</v>
      </c>
      <c r="N3403" s="33">
        <f>IFERROR(__xludf.DUMMYFUNCTION("""COMPUTED_VALUE"""),45904.0)</f>
        <v>45904</v>
      </c>
      <c r="O3403" s="20"/>
      <c r="P3403" s="32" t="str">
        <f>IFERROR(__xludf.DUMMYFUNCTION("""COMPUTED_VALUE"""),"可")</f>
        <v>可</v>
      </c>
      <c r="Q3403" s="30"/>
      <c r="R3403" s="22"/>
      <c r="S3403" s="22" t="str">
        <f>IFERROR(__xludf.DUMMYFUNCTION("""COMPUTED_VALUE"""),"20250602_ナイトコミック_生真面目競泳女子、性に溺れる")</f>
        <v>20250602_ナイトコミック_生真面目競泳女子、性に溺れる</v>
      </c>
      <c r="T3403" s="22" t="str">
        <f>IFERROR(__xludf.DUMMYFUNCTION("""COMPUTED_VALUE"""),"格納済み")</f>
        <v>格納済み</v>
      </c>
      <c r="U3403" s="9" t="str">
        <f>IFERROR(__xludf.DUMMYFUNCTION("""COMPUTED_VALUE"""),"Ⓒエノキドォ")</f>
        <v>Ⓒエノキドォ</v>
      </c>
      <c r="V3403" s="8"/>
      <c r="W3403" s="8"/>
      <c r="X3403" s="8" t="str">
        <f>IFERROR(__xludf.DUMMYFUNCTION("""COMPUTED_VALUE"""),"有")</f>
        <v>有</v>
      </c>
      <c r="Y3403" s="8" t="str">
        <f>IFERROR(__xludf.DUMMYFUNCTION("""COMPUTED_VALUE"""),"2025/9/4まで1巻立ち読み増量(P19まで)")</f>
        <v>2025/9/4まで1巻立ち読み増量(P19まで)</v>
      </c>
      <c r="Z3403" s="7"/>
      <c r="AA3403" s="7"/>
      <c r="AB3403" s="7"/>
    </row>
    <row r="3404" ht="15.75" customHeight="1">
      <c r="A3404" s="26">
        <f>IFERROR(__xludf.DUMMYFUNCTION("""COMPUTED_VALUE"""),5695.0)</f>
        <v>5695</v>
      </c>
      <c r="B3404" s="22" t="str">
        <f>IFERROR(__xludf.DUMMYFUNCTION("""COMPUTED_VALUE"""),"確定")</f>
        <v>確定</v>
      </c>
      <c r="C3404" s="28">
        <f>IFERROR(__xludf.DUMMYFUNCTION("""COMPUTED_VALUE"""),45810.0)</f>
        <v>45810</v>
      </c>
      <c r="D3404" s="28">
        <f>IFERROR(__xludf.DUMMYFUNCTION("""COMPUTED_VALUE"""),45811.0)</f>
        <v>45811</v>
      </c>
      <c r="E3404" s="26">
        <f>IFERROR(__xludf.DUMMYFUNCTION("""COMPUTED_VALUE"""),290969.0)</f>
        <v>290969</v>
      </c>
      <c r="F3404" s="22" t="str">
        <f>IFERROR(__xludf.DUMMYFUNCTION("""COMPUTED_VALUE"""),"死に戻りの花嫁～二度目の人生は帝国の最強退魔師に溺愛される～")</f>
        <v>死に戻りの花嫁～二度目の人生は帝国の最強退魔師に溺愛される～</v>
      </c>
      <c r="G3404" s="20" t="str">
        <f>IFERROR(__xludf.DUMMYFUNCTION("""COMPUTED_VALUE"""),"1～3")</f>
        <v>1～3</v>
      </c>
      <c r="H3404" s="22" t="str">
        <f>IFERROR(__xludf.DUMMYFUNCTION("""COMPUTED_VALUE"""),"おShaNe,青季ふゆ")</f>
        <v>おShaNe,青季ふゆ</v>
      </c>
      <c r="I3404" s="22" t="str">
        <f>IFERROR(__xludf.DUMMYFUNCTION("""COMPUTED_VALUE"""),"少女マンガ")</f>
        <v>少女マンガ</v>
      </c>
      <c r="J3404" s="22"/>
      <c r="K3404" s="22" t="str">
        <f>IFERROR(__xludf.DUMMYFUNCTION("""COMPUTED_VALUE"""),"恋するソワレ")</f>
        <v>恋するソワレ</v>
      </c>
      <c r="L3404" s="22" t="str">
        <f>IFERROR(__xludf.DUMMYFUNCTION("""COMPUTED_VALUE"""),"シーモアコミックス")</f>
        <v>シーモアコミックス</v>
      </c>
      <c r="M3404" s="33">
        <f>IFERROR(__xludf.DUMMYFUNCTION("""COMPUTED_VALUE"""),45844.0)</f>
        <v>45844</v>
      </c>
      <c r="N3404" s="33">
        <f>IFERROR(__xludf.DUMMYFUNCTION("""COMPUTED_VALUE"""),45995.70833333333)</f>
        <v>45995.70833</v>
      </c>
      <c r="O3404" s="20"/>
      <c r="P3404" s="32" t="str">
        <f>IFERROR(__xludf.DUMMYFUNCTION("""COMPUTED_VALUE"""),"可")</f>
        <v>可</v>
      </c>
      <c r="Q3404" s="30"/>
      <c r="R3404" s="22"/>
      <c r="S3404" s="22" t="str">
        <f>IFERROR(__xludf.DUMMYFUNCTION("""COMPUTED_VALUE"""),"20250602_シーモアコミックス_死に戻りの花嫁～二度目の人生は帝国の最強退魔師に溺愛される～")</f>
        <v>20250602_シーモアコミックス_死に戻りの花嫁～二度目の人生は帝国の最強退魔師に溺愛される～</v>
      </c>
      <c r="T3404" s="22" t="str">
        <f>IFERROR(__xludf.DUMMYFUNCTION("""COMPUTED_VALUE"""),"格納済み")</f>
        <v>格納済み</v>
      </c>
      <c r="U3404" s="9" t="str">
        <f>IFERROR(__xludf.DUMMYFUNCTION("""COMPUTED_VALUE"""),"ⒸおShaNe/青季ふゆ/シーモアコミックス")</f>
        <v>ⒸおShaNe/青季ふゆ/シーモアコミックス</v>
      </c>
      <c r="V3404" s="8"/>
      <c r="W3404" s="8"/>
      <c r="X3404" s="8" t="str">
        <f>IFERROR(__xludf.DUMMYFUNCTION("""COMPUTED_VALUE"""),"有")</f>
        <v>有</v>
      </c>
      <c r="Y3404" s="8" t="str">
        <f>IFERROR(__xludf.DUMMYFUNCTION("""COMPUTED_VALUE"""),"2025/8/2まで1巻無料")</f>
        <v>2025/8/2まで1巻無料</v>
      </c>
      <c r="Z3404" s="7"/>
      <c r="AA3404" s="7"/>
      <c r="AB3404" s="7"/>
    </row>
    <row r="3405" ht="15.75" customHeight="1">
      <c r="A3405" s="26">
        <f>IFERROR(__xludf.DUMMYFUNCTION("""COMPUTED_VALUE"""),5697.0)</f>
        <v>5697</v>
      </c>
      <c r="B3405" s="22" t="str">
        <f>IFERROR(__xludf.DUMMYFUNCTION("""COMPUTED_VALUE"""),"確定")</f>
        <v>確定</v>
      </c>
      <c r="C3405" s="28">
        <f>IFERROR(__xludf.DUMMYFUNCTION("""COMPUTED_VALUE"""),45810.0)</f>
        <v>45810</v>
      </c>
      <c r="D3405" s="28">
        <f>IFERROR(__xludf.DUMMYFUNCTION("""COMPUTED_VALUE"""),45811.0)</f>
        <v>45811</v>
      </c>
      <c r="E3405" s="26">
        <f>IFERROR(__xludf.DUMMYFUNCTION("""COMPUTED_VALUE"""),329419.0)</f>
        <v>329419</v>
      </c>
      <c r="F3405" s="22" t="str">
        <f>IFERROR(__xludf.DUMMYFUNCTION("""COMPUTED_VALUE"""),"ほすぴたるふぁーむ")</f>
        <v>ほすぴたるふぁーむ</v>
      </c>
      <c r="G3405" s="20" t="str">
        <f>IFERROR(__xludf.DUMMYFUNCTION("""COMPUTED_VALUE"""),"1～2")</f>
        <v>1～2</v>
      </c>
      <c r="H3405" s="22" t="str">
        <f>IFERROR(__xludf.DUMMYFUNCTION("""COMPUTED_VALUE"""),"真夜中足穂")</f>
        <v>真夜中足穂</v>
      </c>
      <c r="I3405" s="22" t="str">
        <f>IFERROR(__xludf.DUMMYFUNCTION("""COMPUTED_VALUE"""),"アダルトマンガ")</f>
        <v>アダルトマンガ</v>
      </c>
      <c r="J3405" s="22"/>
      <c r="K3405" s="22"/>
      <c r="L3405" s="22" t="str">
        <f>IFERROR(__xludf.DUMMYFUNCTION("""COMPUTED_VALUE"""),"ナイトコミック")</f>
        <v>ナイトコミック</v>
      </c>
      <c r="M3405" s="33">
        <f>IFERROR(__xludf.DUMMYFUNCTION("""COMPUTED_VALUE"""),45849.0)</f>
        <v>45849</v>
      </c>
      <c r="N3405" s="33">
        <f>IFERROR(__xludf.DUMMYFUNCTION("""COMPUTED_VALUE"""),45911.0)</f>
        <v>45911</v>
      </c>
      <c r="O3405" s="20"/>
      <c r="P3405" s="32" t="str">
        <f>IFERROR(__xludf.DUMMYFUNCTION("""COMPUTED_VALUE"""),"可")</f>
        <v>可</v>
      </c>
      <c r="Q3405" s="30" t="str">
        <f>IFERROR(__xludf.DUMMYFUNCTION("""COMPUTED_VALUE"""),"先行配信期間：
1巻：2025/07/11～2025/09/11
2巻：2025/07/11～2025/09/11
3巻：2025/08/08～2025/10/09
4巻：2025/09/12～2025/11/13")</f>
        <v>先行配信期間：
1巻：2025/07/11～2025/09/11
2巻：2025/07/11～2025/09/11
3巻：2025/08/08～2025/10/09
4巻：2025/09/12～2025/11/13</v>
      </c>
      <c r="R3405" s="22"/>
      <c r="S3405" s="22" t="str">
        <f>IFERROR(__xludf.DUMMYFUNCTION("""COMPUTED_VALUE"""),"20250602_ナイトコミック_ほすぴたるふぁーむ")</f>
        <v>20250602_ナイトコミック_ほすぴたるふぁーむ</v>
      </c>
      <c r="T3405" s="22" t="str">
        <f>IFERROR(__xludf.DUMMYFUNCTION("""COMPUTED_VALUE"""),"格納済み")</f>
        <v>格納済み</v>
      </c>
      <c r="U3405" s="9" t="str">
        <f>IFERROR(__xludf.DUMMYFUNCTION("""COMPUTED_VALUE"""),"Ⓒ真夜中足穂")</f>
        <v>Ⓒ真夜中足穂</v>
      </c>
      <c r="V3405" s="8"/>
      <c r="W3405" s="8"/>
      <c r="X3405" s="8" t="str">
        <f>IFERROR(__xludf.DUMMYFUNCTION("""COMPUTED_VALUE"""),"有")</f>
        <v>有</v>
      </c>
      <c r="Y3405" s="8" t="str">
        <f>IFERROR(__xludf.DUMMYFUNCTION("""COMPUTED_VALUE"""),"2025/11/13まで1~2巻立ち読み増量
(1巻：P22まで、2巻：P10まで)")</f>
        <v>2025/11/13まで1~2巻立ち読み増量
(1巻：P22まで、2巻：P10まで)</v>
      </c>
      <c r="Z3405" s="7"/>
      <c r="AA3405" s="7"/>
      <c r="AB3405" s="7"/>
    </row>
    <row r="3406" ht="15.75" customHeight="1">
      <c r="A3406" s="26">
        <f>IFERROR(__xludf.DUMMYFUNCTION("""COMPUTED_VALUE"""),5698.0)</f>
        <v>5698</v>
      </c>
      <c r="B3406" s="22" t="str">
        <f>IFERROR(__xludf.DUMMYFUNCTION("""COMPUTED_VALUE"""),"確定")</f>
        <v>確定</v>
      </c>
      <c r="C3406" s="28">
        <f>IFERROR(__xludf.DUMMYFUNCTION("""COMPUTED_VALUE"""),45810.0)</f>
        <v>45810</v>
      </c>
      <c r="D3406" s="28">
        <f>IFERROR(__xludf.DUMMYFUNCTION("""COMPUTED_VALUE"""),45811.0)</f>
        <v>45811</v>
      </c>
      <c r="E3406" s="26">
        <f>IFERROR(__xludf.DUMMYFUNCTION("""COMPUTED_VALUE"""),328502.0)</f>
        <v>328502</v>
      </c>
      <c r="F3406" s="22" t="str">
        <f>IFERROR(__xludf.DUMMYFUNCTION("""COMPUTED_VALUE"""),"定時後は私とセックスです")</f>
        <v>定時後は私とセックスです</v>
      </c>
      <c r="G3406" s="20" t="str">
        <f>IFERROR(__xludf.DUMMYFUNCTION("""COMPUTED_VALUE"""),"1～2")</f>
        <v>1～2</v>
      </c>
      <c r="H3406" s="22" t="str">
        <f>IFERROR(__xludf.DUMMYFUNCTION("""COMPUTED_VALUE"""),"やまなし娘。")</f>
        <v>やまなし娘。</v>
      </c>
      <c r="I3406" s="22" t="str">
        <f>IFERROR(__xludf.DUMMYFUNCTION("""COMPUTED_VALUE"""),"アダルトマンガ")</f>
        <v>アダルトマンガ</v>
      </c>
      <c r="J3406" s="22"/>
      <c r="K3406" s="22"/>
      <c r="L3406" s="22" t="str">
        <f>IFERROR(__xludf.DUMMYFUNCTION("""COMPUTED_VALUE"""),"ナイトコミック")</f>
        <v>ナイトコミック</v>
      </c>
      <c r="M3406" s="33">
        <f>IFERROR(__xludf.DUMMYFUNCTION("""COMPUTED_VALUE"""),45856.0)</f>
        <v>45856</v>
      </c>
      <c r="N3406" s="33">
        <f>IFERROR(__xludf.DUMMYFUNCTION("""COMPUTED_VALUE"""),45918.0)</f>
        <v>45918</v>
      </c>
      <c r="O3406" s="20"/>
      <c r="P3406" s="32" t="str">
        <f>IFERROR(__xludf.DUMMYFUNCTION("""COMPUTED_VALUE"""),"可")</f>
        <v>可</v>
      </c>
      <c r="Q3406" s="30" t="str">
        <f>IFERROR(__xludf.DUMMYFUNCTION("""COMPUTED_VALUE"""),"4話まで素材格納してますが、初回配信話数は2話までご使用ください")</f>
        <v>4話まで素材格納してますが、初回配信話数は2話までご使用ください</v>
      </c>
      <c r="R3406" s="22"/>
      <c r="S3406" s="22" t="str">
        <f>IFERROR(__xludf.DUMMYFUNCTION("""COMPUTED_VALUE"""),"20250602_ナイトコミック_定時後は私とセックスです")</f>
        <v>20250602_ナイトコミック_定時後は私とセックスです</v>
      </c>
      <c r="T3406" s="22" t="str">
        <f>IFERROR(__xludf.DUMMYFUNCTION("""COMPUTED_VALUE"""),"格納済み")</f>
        <v>格納済み</v>
      </c>
      <c r="U3406" s="9" t="str">
        <f>IFERROR(__xludf.DUMMYFUNCTION("""COMPUTED_VALUE"""),"Ⓒやまなし娘。")</f>
        <v>Ⓒやまなし娘。</v>
      </c>
      <c r="V3406" s="8"/>
      <c r="W3406" s="8"/>
      <c r="X3406" s="8" t="str">
        <f>IFERROR(__xludf.DUMMYFUNCTION("""COMPUTED_VALUE"""),"有")</f>
        <v>有</v>
      </c>
      <c r="Y3406" s="8" t="str">
        <f>IFERROR(__xludf.DUMMYFUNCTION("""COMPUTED_VALUE"""),"2025/11/20まで1~2巻立ち読み増量
1巻：P21
2巻：P10")</f>
        <v>2025/11/20まで1~2巻立ち読み増量
1巻：P21
2巻：P10</v>
      </c>
      <c r="Z3406" s="7"/>
      <c r="AA3406" s="7"/>
      <c r="AB3406" s="7"/>
    </row>
    <row r="3407" ht="15.75" customHeight="1">
      <c r="A3407" s="133">
        <f>IFERROR(__xludf.DUMMYFUNCTION("""COMPUTED_VALUE"""),5715.0)</f>
        <v>5715</v>
      </c>
      <c r="B3407" s="134" t="str">
        <f>IFERROR(__xludf.DUMMYFUNCTION("""COMPUTED_VALUE"""),"確定")</f>
        <v>確定</v>
      </c>
      <c r="C3407" s="135">
        <f>IFERROR(__xludf.DUMMYFUNCTION("""COMPUTED_VALUE"""),45811.0)</f>
        <v>45811</v>
      </c>
      <c r="D3407" s="135">
        <f>IFERROR(__xludf.DUMMYFUNCTION("""COMPUTED_VALUE"""),45811.0)</f>
        <v>45811</v>
      </c>
      <c r="E3407" s="133" t="str">
        <f>IFERROR(__xludf.DUMMYFUNCTION("""COMPUTED_VALUE"""),"ー")</f>
        <v>ー</v>
      </c>
      <c r="F3407" s="134" t="str">
        <f>IFERROR(__xludf.DUMMYFUNCTION("""COMPUTED_VALUE"""),"乳とりどり【分冊版】　※ポリシーNGのため先行取り下げ")</f>
        <v>乳とりどり【分冊版】　※ポリシーNGのため先行取り下げ</v>
      </c>
      <c r="G3407" s="208" t="str">
        <f>IFERROR(__xludf.DUMMYFUNCTION("""COMPUTED_VALUE"""),"1～3")</f>
        <v>1～3</v>
      </c>
      <c r="H3407" s="134" t="str">
        <f>IFERROR(__xludf.DUMMYFUNCTION("""COMPUTED_VALUE"""),"実々みみず")</f>
        <v>実々みみず</v>
      </c>
      <c r="I3407" s="134" t="str">
        <f>IFERROR(__xludf.DUMMYFUNCTION("""COMPUTED_VALUE"""),"アダルトマンガ")</f>
        <v>アダルトマンガ</v>
      </c>
      <c r="J3407" s="134"/>
      <c r="K3407" s="134"/>
      <c r="L3407" s="134" t="str">
        <f>IFERROR(__xludf.DUMMYFUNCTION("""COMPUTED_VALUE"""),"セ・キララ文庫")</f>
        <v>セ・キララ文庫</v>
      </c>
      <c r="M3407" s="209">
        <f>IFERROR(__xludf.DUMMYFUNCTION("""COMPUTED_VALUE"""),45842.0)</f>
        <v>45842</v>
      </c>
      <c r="N3407" s="209" t="str">
        <f>IFERROR(__xludf.DUMMYFUNCTION("""COMPUTED_VALUE"""),"配信から1か月後")</f>
        <v>配信から1か月後</v>
      </c>
      <c r="O3407" s="208"/>
      <c r="P3407" s="210" t="str">
        <f>IFERROR(__xludf.DUMMYFUNCTION("""COMPUTED_VALUE"""),"可")</f>
        <v>可</v>
      </c>
      <c r="Q3407" s="139"/>
      <c r="R3407" s="134"/>
      <c r="S3407" s="134" t="str">
        <f>IFERROR(__xludf.DUMMYFUNCTION("""COMPUTED_VALUE"""),"20250603_ライドオン_乳とりどり【分冊版】")</f>
        <v>20250603_ライドオン_乳とりどり【分冊版】</v>
      </c>
      <c r="T3407" s="134" t="str">
        <f>IFERROR(__xludf.DUMMYFUNCTION("""COMPUTED_VALUE"""),"格納済み")</f>
        <v>格納済み</v>
      </c>
      <c r="U3407" s="140" t="str">
        <f>IFERROR(__xludf.DUMMYFUNCTION("""COMPUTED_VALUE"""),"Ⓒ実々みみず/ヒット出版社")</f>
        <v>Ⓒ実々みみず/ヒット出版社</v>
      </c>
      <c r="V3407" s="143"/>
      <c r="W3407" s="143"/>
      <c r="X3407" s="143"/>
      <c r="Y3407" s="8"/>
      <c r="Z3407" s="7"/>
      <c r="AA3407" s="7"/>
      <c r="AB3407" s="7"/>
    </row>
    <row r="3408" ht="15.75" customHeight="1">
      <c r="A3408" s="26">
        <f>IFERROR(__xludf.DUMMYFUNCTION("""COMPUTED_VALUE"""),5716.0)</f>
        <v>5716</v>
      </c>
      <c r="B3408" s="22" t="str">
        <f>IFERROR(__xludf.DUMMYFUNCTION("""COMPUTED_VALUE"""),"確定")</f>
        <v>確定</v>
      </c>
      <c r="C3408" s="28">
        <f>IFERROR(__xludf.DUMMYFUNCTION("""COMPUTED_VALUE"""),45811.0)</f>
        <v>45811</v>
      </c>
      <c r="D3408" s="28">
        <f>IFERROR(__xludf.DUMMYFUNCTION("""COMPUTED_VALUE"""),45811.0)</f>
        <v>45811</v>
      </c>
      <c r="E3408" s="26">
        <f>IFERROR(__xludf.DUMMYFUNCTION("""COMPUTED_VALUE"""),328398.0)</f>
        <v>328398</v>
      </c>
      <c r="F3408" s="22" t="str">
        <f>IFERROR(__xludf.DUMMYFUNCTION("""COMPUTED_VALUE"""),"シャイニング娘。【分冊版】")</f>
        <v>シャイニング娘。【分冊版】</v>
      </c>
      <c r="G3408" s="20" t="str">
        <f>IFERROR(__xludf.DUMMYFUNCTION("""COMPUTED_VALUE"""),"1～3")</f>
        <v>1～3</v>
      </c>
      <c r="H3408" s="22" t="str">
        <f>IFERROR(__xludf.DUMMYFUNCTION("""COMPUTED_VALUE"""),"師走の翁/ヒット出版社")</f>
        <v>師走の翁/ヒット出版社</v>
      </c>
      <c r="I3408" s="22" t="str">
        <f>IFERROR(__xludf.DUMMYFUNCTION("""COMPUTED_VALUE"""),"アダルトマンガ")</f>
        <v>アダルトマンガ</v>
      </c>
      <c r="J3408" s="22"/>
      <c r="K3408" s="22"/>
      <c r="L3408" s="22" t="str">
        <f>IFERROR(__xludf.DUMMYFUNCTION("""COMPUTED_VALUE"""),"セ・キララ文庫")</f>
        <v>セ・キララ文庫</v>
      </c>
      <c r="M3408" s="33">
        <f>IFERROR(__xludf.DUMMYFUNCTION("""COMPUTED_VALUE"""),45842.0)</f>
        <v>45842</v>
      </c>
      <c r="N3408" s="33">
        <f>IFERROR(__xludf.DUMMYFUNCTION("""COMPUTED_VALUE"""),45878.0)</f>
        <v>45878</v>
      </c>
      <c r="O3408" s="20"/>
      <c r="P3408" s="32" t="str">
        <f>IFERROR(__xludf.DUMMYFUNCTION("""COMPUTED_VALUE"""),"可")</f>
        <v>可</v>
      </c>
      <c r="Q3408" s="30"/>
      <c r="R3408" s="22"/>
      <c r="S3408" s="22" t="str">
        <f>IFERROR(__xludf.DUMMYFUNCTION("""COMPUTED_VALUE"""),"20250603_ライドオン_シャイニング娘。【分冊版】")</f>
        <v>20250603_ライドオン_シャイニング娘。【分冊版】</v>
      </c>
      <c r="T3408" s="22" t="str">
        <f>IFERROR(__xludf.DUMMYFUNCTION("""COMPUTED_VALUE"""),"格納済み")</f>
        <v>格納済み</v>
      </c>
      <c r="U3408" s="9" t="str">
        <f>IFERROR(__xludf.DUMMYFUNCTION("""COMPUTED_VALUE"""),"Ⓒ師走の翁/ヒット出版社")</f>
        <v>Ⓒ師走の翁/ヒット出版社</v>
      </c>
      <c r="V3408" s="8"/>
      <c r="W3408" s="8"/>
      <c r="X3408" s="8" t="str">
        <f>IFERROR(__xludf.DUMMYFUNCTION("""COMPUTED_VALUE"""),"有")</f>
        <v>有</v>
      </c>
      <c r="Y3408" s="8" t="str">
        <f>IFERROR(__xludf.DUMMYFUNCTION("""COMPUTED_VALUE"""),"2025/8/9まで1巻無料")</f>
        <v>2025/8/9まで1巻無料</v>
      </c>
      <c r="Z3408" s="7"/>
      <c r="AA3408" s="7"/>
      <c r="AB3408" s="7"/>
    </row>
    <row r="3409" ht="15.75" customHeight="1">
      <c r="A3409" s="26">
        <f>IFERROR(__xludf.DUMMYFUNCTION("""COMPUTED_VALUE"""),5412.0)</f>
        <v>5412</v>
      </c>
      <c r="B3409" s="22" t="str">
        <f>IFERROR(__xludf.DUMMYFUNCTION("""COMPUTED_VALUE"""),"確定")</f>
        <v>確定</v>
      </c>
      <c r="C3409" s="28">
        <f>IFERROR(__xludf.DUMMYFUNCTION("""COMPUTED_VALUE"""),45750.0)</f>
        <v>45750</v>
      </c>
      <c r="D3409" s="28">
        <f>IFERROR(__xludf.DUMMYFUNCTION("""COMPUTED_VALUE"""),45810.0)</f>
        <v>45810</v>
      </c>
      <c r="E3409" s="26">
        <f>IFERROR(__xludf.DUMMYFUNCTION("""COMPUTED_VALUE"""),324964.0)</f>
        <v>324964</v>
      </c>
      <c r="F3409" s="22" t="str">
        <f>IFERROR(__xludf.DUMMYFUNCTION("""COMPUTED_VALUE"""),"妖精専属菓子職人【マイクロ】")</f>
        <v>妖精専属菓子職人【マイクロ】</v>
      </c>
      <c r="G3409" s="20" t="str">
        <f>IFERROR(__xludf.DUMMYFUNCTION("""COMPUTED_VALUE"""),"1～3")</f>
        <v>1～3</v>
      </c>
      <c r="H3409" s="22" t="str">
        <f>IFERROR(__xludf.DUMMYFUNCTION("""COMPUTED_VALUE"""),"じろあるば┴おきょう")</f>
        <v>じろあるば┴おきょう</v>
      </c>
      <c r="I3409" s="22" t="str">
        <f>IFERROR(__xludf.DUMMYFUNCTION("""COMPUTED_VALUE"""),"女性")</f>
        <v>女性</v>
      </c>
      <c r="J3409" s="22"/>
      <c r="K3409" s="22" t="str">
        <f>IFERROR(__xludf.DUMMYFUNCTION("""COMPUTED_VALUE"""),"異世界フラワーコミックス")</f>
        <v>異世界フラワーコミックス</v>
      </c>
      <c r="L3409" s="22" t="str">
        <f>IFERROR(__xludf.DUMMYFUNCTION("""COMPUTED_VALUE"""),"小学館")</f>
        <v>小学館</v>
      </c>
      <c r="M3409" s="33">
        <f>IFERROR(__xludf.DUMMYFUNCTION("""COMPUTED_VALUE"""),45818.0)</f>
        <v>45818</v>
      </c>
      <c r="N3409" s="33">
        <f>IFERROR(__xludf.DUMMYFUNCTION("""COMPUTED_VALUE"""),45878.0)</f>
        <v>45878</v>
      </c>
      <c r="O3409" s="20"/>
      <c r="P3409" s="32" t="str">
        <f>IFERROR(__xludf.DUMMYFUNCTION("""COMPUTED_VALUE"""),"否")</f>
        <v>否</v>
      </c>
      <c r="Q3409" s="30"/>
      <c r="R3409" s="22" t="str">
        <f>IFERROR(__xludf.DUMMYFUNCTION("""COMPUTED_VALUE"""),"コミットNG")</f>
        <v>コミットNG</v>
      </c>
      <c r="S3409" s="22" t="str">
        <f>IFERROR(__xludf.DUMMYFUNCTION("""COMPUTED_VALUE"""),"20250422_小学館_妖精専属菓子職人")</f>
        <v>20250422_小学館_妖精専属菓子職人</v>
      </c>
      <c r="T3409" s="22" t="str">
        <f>IFERROR(__xludf.DUMMYFUNCTION("""COMPUTED_VALUE"""),"格納済み")</f>
        <v>格納済み</v>
      </c>
      <c r="U3409" s="9" t="str">
        <f>IFERROR(__xludf.DUMMYFUNCTION("""COMPUTED_VALUE"""),"(C)じろあるば・おきょう / 小学館")</f>
        <v>(C)じろあるば・おきょう / 小学館</v>
      </c>
      <c r="V3409" s="8" t="str">
        <f>IFERROR(__xludf.DUMMYFUNCTION("""COMPUTED_VALUE"""),"「僕の奥さんになってよ、おねーサン?(黒笑)」
ある日突然、妖精を魅了する菓子を作る""力""を得たソフィア。
『あまいのだせや』と妖精たちが騒がしい中、伯爵家に招かれるが――相手は10歳のお子様!?
しかもまるで天使なルーカス様が突然、高圧的な態度で「僕と結婚するよね、おねーサン?(黒笑)」と脅してきて……!?
""とんでも年の差婚""を回避するために、少年伯爵の胃袋と素顔の秘密、掴みます!!!
ビーズログ文庫の大人気小説、『妖精専属菓子職人』が待望のコミカライズ！！")</f>
        <v>「僕の奥さんになってよ、おねーサン?(黒笑)」
ある日突然、妖精を魅了する菓子を作る"力"を得たソフィア。
『あまいのだせや』と妖精たちが騒がしい中、伯爵家に招かれるが――相手は10歳のお子様!?
しかもまるで天使なルーカス様が突然、高圧的な態度で「僕と結婚するよね、おねーサン?(黒笑)」と脅してきて……!?
"とんでも年の差婚"を回避するために、少年伯爵の胃袋と素顔の秘密、掴みます!!!
ビーズログ文庫の大人気小説、『妖精専属菓子職人』が待望のコミカライズ！！</v>
      </c>
      <c r="W3409" s="8" t="str">
        <f>IFERROR(__xludf.DUMMYFUNCTION("""COMPUTED_VALUE"""),"#REF!")</f>
        <v>#REF!</v>
      </c>
      <c r="X3409" s="8" t="str">
        <f>IFERROR(__xludf.DUMMYFUNCTION("""COMPUTED_VALUE"""),"有")</f>
        <v>有</v>
      </c>
      <c r="Y3409" s="8" t="str">
        <f>IFERROR(__xludf.DUMMYFUNCTION("""COMPUTED_VALUE"""),"2025/8/9まで1巻無料")</f>
        <v>2025/8/9まで1巻無料</v>
      </c>
      <c r="Z3409" s="7"/>
      <c r="AA3409" s="7"/>
      <c r="AB3409" s="7"/>
    </row>
    <row r="3410" ht="15.75" customHeight="1">
      <c r="A3410" s="26">
        <f>IFERROR(__xludf.DUMMYFUNCTION("""COMPUTED_VALUE"""),5131.0)</f>
        <v>5131</v>
      </c>
      <c r="B3410" s="22" t="str">
        <f>IFERROR(__xludf.DUMMYFUNCTION("""COMPUTED_VALUE"""),"確定")</f>
        <v>確定</v>
      </c>
      <c r="C3410" s="28">
        <f>IFERROR(__xludf.DUMMYFUNCTION("""COMPUTED_VALUE"""),45715.0)</f>
        <v>45715</v>
      </c>
      <c r="D3410" s="28">
        <f>IFERROR(__xludf.DUMMYFUNCTION("""COMPUTED_VALUE"""),45818.0)</f>
        <v>45818</v>
      </c>
      <c r="E3410" s="26">
        <f>IFERROR(__xludf.DUMMYFUNCTION("""COMPUTED_VALUE"""),327824.0)</f>
        <v>327824</v>
      </c>
      <c r="F3410" s="22" t="str">
        <f>IFERROR(__xludf.DUMMYFUNCTION("""COMPUTED_VALUE"""),"いつも優しい長谷川くんは、サドな本性で私をイキ堕とす")</f>
        <v>いつも優しい長谷川くんは、サドな本性で私をイキ堕とす</v>
      </c>
      <c r="G3410" s="20" t="str">
        <f>IFERROR(__xludf.DUMMYFUNCTION("""COMPUTED_VALUE"""),"1～3")</f>
        <v>1～3</v>
      </c>
      <c r="H3410" s="22" t="str">
        <f>IFERROR(__xludf.DUMMYFUNCTION("""COMPUTED_VALUE"""),"小枝まめ子")</f>
        <v>小枝まめ子</v>
      </c>
      <c r="I3410" s="22" t="str">
        <f>IFERROR(__xludf.DUMMYFUNCTION("""COMPUTED_VALUE"""),"アダルト")</f>
        <v>アダルト</v>
      </c>
      <c r="J3410" s="22"/>
      <c r="K3410" s="22" t="str">
        <f>IFERROR(__xludf.DUMMYFUNCTION("""COMPUTED_VALUE"""),"カゲキヤコミック")</f>
        <v>カゲキヤコミック</v>
      </c>
      <c r="L3410" s="22" t="str">
        <f>IFERROR(__xludf.DUMMYFUNCTION("""COMPUTED_VALUE"""),"DEEPER-ZERO")</f>
        <v>DEEPER-ZERO</v>
      </c>
      <c r="M3410" s="33">
        <f>IFERROR(__xludf.DUMMYFUNCTION("""COMPUTED_VALUE"""),45842.0)</f>
        <v>45842</v>
      </c>
      <c r="N3410" s="33">
        <f>IFERROR(__xludf.DUMMYFUNCTION("""COMPUTED_VALUE"""),45911.0)</f>
        <v>45911</v>
      </c>
      <c r="O3410" s="20"/>
      <c r="P3410" s="32" t="str">
        <f>IFERROR(__xludf.DUMMYFUNCTION("""COMPUTED_VALUE"""),"可")</f>
        <v>可</v>
      </c>
      <c r="Q3410" s="30"/>
      <c r="R3410" s="22" t="str">
        <f>IFERROR(__xludf.DUMMYFUNCTION("""COMPUTED_VALUE"""),"コミットOK")</f>
        <v>コミットOK</v>
      </c>
      <c r="S3410" s="22" t="str">
        <f>IFERROR(__xludf.DUMMYFUNCTION("""COMPUTED_VALUE"""),"20250609_DEEPER-ZERO_いつも優しい長谷川くんは、サドな本性で私をイキ堕とす")</f>
        <v>20250609_DEEPER-ZERO_いつも優しい長谷川くんは、サドな本性で私をイキ堕とす</v>
      </c>
      <c r="T3410" s="22" t="str">
        <f>IFERROR(__xludf.DUMMYFUNCTION("""COMPUTED_VALUE"""),"格納済み")</f>
        <v>格納済み</v>
      </c>
      <c r="U3410" s="9" t="str">
        <f>IFERROR(__xludf.DUMMYFUNCTION("""COMPUTED_VALUE"""),"Ⓒ小枝まめ子/DEEPER-ZERO")</f>
        <v>Ⓒ小枝まめ子/DEEPER-ZERO</v>
      </c>
      <c r="V3410" s="8"/>
      <c r="W3410" s="8"/>
      <c r="X3410" s="8" t="str">
        <f>IFERROR(__xludf.DUMMYFUNCTION("""COMPUTED_VALUE"""),"有")</f>
        <v>有</v>
      </c>
      <c r="Y3410" s="8" t="str">
        <f>IFERROR(__xludf.DUMMYFUNCTION("""COMPUTED_VALUE"""),"2025/7/17まで1巻無料")</f>
        <v>2025/7/17まで1巻無料</v>
      </c>
      <c r="Z3410" s="7"/>
      <c r="AA3410" s="7"/>
      <c r="AB3410" s="7"/>
    </row>
    <row r="3411" ht="15.75" customHeight="1">
      <c r="A3411" s="26">
        <f>IFERROR(__xludf.DUMMYFUNCTION("""COMPUTED_VALUE"""),5205.0)</f>
        <v>5205</v>
      </c>
      <c r="B3411" s="22" t="str">
        <f>IFERROR(__xludf.DUMMYFUNCTION("""COMPUTED_VALUE"""),"確定")</f>
        <v>確定</v>
      </c>
      <c r="C3411" s="28">
        <f>IFERROR(__xludf.DUMMYFUNCTION("""COMPUTED_VALUE"""),45722.0)</f>
        <v>45722</v>
      </c>
      <c r="D3411" s="28">
        <f>IFERROR(__xludf.DUMMYFUNCTION("""COMPUTED_VALUE"""),45814.0)</f>
        <v>45814</v>
      </c>
      <c r="E3411" s="26">
        <f>IFERROR(__xludf.DUMMYFUNCTION("""COMPUTED_VALUE"""),327799.0)</f>
        <v>327799</v>
      </c>
      <c r="F3411" s="22" t="str">
        <f>IFERROR(__xludf.DUMMYFUNCTION("""COMPUTED_VALUE"""),"白天狗の贄嫁　～毒持ちの令嬢はかりそめの妻となる～【単話】")</f>
        <v>白天狗の贄嫁　～毒持ちの令嬢はかりそめの妻となる～【単話】</v>
      </c>
      <c r="G3411" s="20" t="str">
        <f>IFERROR(__xludf.DUMMYFUNCTION("""COMPUTED_VALUE"""),"1～3")</f>
        <v>1～3</v>
      </c>
      <c r="H3411" s="22" t="str">
        <f>IFERROR(__xludf.DUMMYFUNCTION("""COMPUTED_VALUE"""),"朝比奈希夜┴桜花舞┴田中文")</f>
        <v>朝比奈希夜┴桜花舞┴田中文</v>
      </c>
      <c r="I3411" s="22" t="str">
        <f>IFERROR(__xludf.DUMMYFUNCTION("""COMPUTED_VALUE"""),"女性")</f>
        <v>女性</v>
      </c>
      <c r="J3411" s="22"/>
      <c r="K3411" s="22" t="str">
        <f>IFERROR(__xludf.DUMMYFUNCTION("""COMPUTED_VALUE"""),"やわらかスピリッツ女子部")</f>
        <v>やわらかスピリッツ女子部</v>
      </c>
      <c r="L3411" s="22" t="str">
        <f>IFERROR(__xludf.DUMMYFUNCTION("""COMPUTED_VALUE"""),"小学館")</f>
        <v>小学館</v>
      </c>
      <c r="M3411" s="33">
        <f>IFERROR(__xludf.DUMMYFUNCTION("""COMPUTED_VALUE"""),45841.0)</f>
        <v>45841</v>
      </c>
      <c r="N3411" s="33">
        <f>IFERROR(__xludf.DUMMYFUNCTION("""COMPUTED_VALUE"""),45870.0)</f>
        <v>45870</v>
      </c>
      <c r="O3411" s="20"/>
      <c r="P3411" s="32" t="str">
        <f>IFERROR(__xludf.DUMMYFUNCTION("""COMPUTED_VALUE"""),"可")</f>
        <v>可</v>
      </c>
      <c r="Q3411" s="30" t="str">
        <f>IFERROR(__xludf.DUMMYFUNCTION("""COMPUTED_VALUE"""),"・延長の提案は可能&lt;BR&gt;・本作品については小学館のバナー制作の加工部分についてのルールが緩和されましたのでアダルト面にも出稿可となりました&lt;BR&gt;※それ以外は今までと変わらず&lt;BR&gt;※バナー監修の際には「高橋様からOK出てる」的な一言添えて頂けますとスムーズに監修が進むとのこと")</f>
        <v>・延長の提案は可能&lt;BR&gt;・本作品については小学館のバナー制作の加工部分についてのルールが緩和されましたのでアダルト面にも出稿可となりました&lt;BR&gt;※それ以外は今までと変わらず&lt;BR&gt;※バナー監修の際には「高橋様からOK出てる」的な一言添えて頂けますとスムーズに監修が進むとのこと</v>
      </c>
      <c r="R3411" s="22" t="str">
        <f>IFERROR(__xludf.DUMMYFUNCTION("""COMPUTED_VALUE"""),"コミットOK")</f>
        <v>コミットOK</v>
      </c>
      <c r="S3411" s="22" t="str">
        <f>IFERROR(__xludf.DUMMYFUNCTION("""COMPUTED_VALUE"""),"20250604_小学館_白天狗の贄嫁　～毒持ちの令嬢はかりそめの妻となる～【単話】")</f>
        <v>20250604_小学館_白天狗の贄嫁　～毒持ちの令嬢はかりそめの妻となる～【単話】</v>
      </c>
      <c r="T3411" s="22" t="str">
        <f>IFERROR(__xludf.DUMMYFUNCTION("""COMPUTED_VALUE"""),"格納済み")</f>
        <v>格納済み</v>
      </c>
      <c r="U3411" s="9" t="str">
        <f>IFERROR(__xludf.DUMMYFUNCTION("""COMPUTED_VALUE"""),"Ⓒ朝比奈希夜・桜花舞・田中文 / 小学館")</f>
        <v>Ⓒ朝比奈希夜・桜花舞・田中文 / 小学館</v>
      </c>
      <c r="V3411" s="8"/>
      <c r="W3411" s="8"/>
      <c r="X3411" s="8" t="str">
        <f>IFERROR(__xludf.DUMMYFUNCTION("""COMPUTED_VALUE"""),"有")</f>
        <v>有</v>
      </c>
      <c r="Y3411" s="8" t="str">
        <f>IFERROR(__xludf.DUMMYFUNCTION("""COMPUTED_VALUE"""),"P6まで")</f>
        <v>P6まで</v>
      </c>
      <c r="Z3411" s="7"/>
      <c r="AA3411" s="7"/>
      <c r="AB3411" s="7"/>
    </row>
    <row r="3412" ht="15.75" customHeight="1">
      <c r="A3412" s="26">
        <f>IFERROR(__xludf.DUMMYFUNCTION("""COMPUTED_VALUE"""),5207.0)</f>
        <v>5207</v>
      </c>
      <c r="B3412" s="22" t="str">
        <f>IFERROR(__xludf.DUMMYFUNCTION("""COMPUTED_VALUE"""),"確定")</f>
        <v>確定</v>
      </c>
      <c r="C3412" s="28">
        <f>IFERROR(__xludf.DUMMYFUNCTION("""COMPUTED_VALUE"""),45722.0)</f>
        <v>45722</v>
      </c>
      <c r="D3412" s="28">
        <f>IFERROR(__xludf.DUMMYFUNCTION("""COMPUTED_VALUE"""),45818.0)</f>
        <v>45818</v>
      </c>
      <c r="E3412" s="26">
        <f>IFERROR(__xludf.DUMMYFUNCTION("""COMPUTED_VALUE"""),328800.0)</f>
        <v>328800</v>
      </c>
      <c r="F3412" s="22" t="str">
        <f>IFERROR(__xludf.DUMMYFUNCTION("""COMPUTED_VALUE"""),"のけもの恋がたり～稀血の娘とあやかし狐～【単話】")</f>
        <v>のけもの恋がたり～稀血の娘とあやかし狐～【単話】</v>
      </c>
      <c r="G3412" s="20" t="str">
        <f>IFERROR(__xludf.DUMMYFUNCTION("""COMPUTED_VALUE"""),"1～4")</f>
        <v>1～4</v>
      </c>
      <c r="H3412" s="22" t="str">
        <f>IFERROR(__xludf.DUMMYFUNCTION("""COMPUTED_VALUE"""),"糸川一成")</f>
        <v>糸川一成</v>
      </c>
      <c r="I3412" s="22" t="str">
        <f>IFERROR(__xludf.DUMMYFUNCTION("""COMPUTED_VALUE"""),"少女")</f>
        <v>少女</v>
      </c>
      <c r="J3412" s="22"/>
      <c r="K3412" s="22" t="str">
        <f>IFERROR(__xludf.DUMMYFUNCTION("""COMPUTED_VALUE"""),"マンガワン女子部")</f>
        <v>マンガワン女子部</v>
      </c>
      <c r="L3412" s="22" t="str">
        <f>IFERROR(__xludf.DUMMYFUNCTION("""COMPUTED_VALUE"""),"小学館")</f>
        <v>小学館</v>
      </c>
      <c r="M3412" s="33">
        <f>IFERROR(__xludf.DUMMYFUNCTION("""COMPUTED_VALUE"""),45855.0)</f>
        <v>45855</v>
      </c>
      <c r="N3412" s="33">
        <f>IFERROR(__xludf.DUMMYFUNCTION("""COMPUTED_VALUE"""),45918.0)</f>
        <v>45918</v>
      </c>
      <c r="O3412" s="20"/>
      <c r="P3412" s="32" t="str">
        <f>IFERROR(__xludf.DUMMYFUNCTION("""COMPUTED_VALUE"""),"否")</f>
        <v>否</v>
      </c>
      <c r="Q3412" s="30" t="str">
        <f>IFERROR(__xludf.DUMMYFUNCTION("""COMPUTED_VALUE"""),"『BLACK BIRD』を強く意識した作品で、半人半妖の黒髪イケメンが「あやかし」からヒロインを守ってくれる…という設定です。絵がとても綺麗なので、バナーで映えること間違いなしですし、1話のストーリー構成もよく出来ているので、個人的にも期待作とのことです！")</f>
        <v>『BLACK BIRD』を強く意識した作品で、半人半妖の黒髪イケメンが「あやかし」からヒロインを守ってくれる…という設定です。絵がとても綺麗なので、バナーで映えること間違いなしですし、1話のストーリー構成もよく出来ているので、個人的にも期待作とのことです！</v>
      </c>
      <c r="R3412" s="22" t="str">
        <f>IFERROR(__xludf.DUMMYFUNCTION("""COMPUTED_VALUE"""),"コミットOK")</f>
        <v>コミットOK</v>
      </c>
      <c r="S3412" s="22" t="str">
        <f>IFERROR(__xludf.DUMMYFUNCTION("""COMPUTED_VALUE"""),"20250609_小学館_のけもの恋がたり")</f>
        <v>20250609_小学館_のけもの恋がたり</v>
      </c>
      <c r="T3412" s="22" t="str">
        <f>IFERROR(__xludf.DUMMYFUNCTION("""COMPUTED_VALUE"""),"格納済み")</f>
        <v>格納済み</v>
      </c>
      <c r="U3412" s="9" t="str">
        <f>IFERROR(__xludf.DUMMYFUNCTION("""COMPUTED_VALUE"""),"(C)糸川一成 / 小学館")</f>
        <v>(C)糸川一成 / 小学館</v>
      </c>
      <c r="V3412" s="8"/>
      <c r="W3412" s="8"/>
      <c r="X3412" s="8" t="str">
        <f>IFERROR(__xludf.DUMMYFUNCTION("""COMPUTED_VALUE"""),"有")</f>
        <v>有</v>
      </c>
      <c r="Y3412" s="8" t="str">
        <f>IFERROR(__xludf.DUMMYFUNCTION("""COMPUTED_VALUE"""),"P31まで")</f>
        <v>P31まで</v>
      </c>
      <c r="Z3412" s="7"/>
      <c r="AA3412" s="7"/>
      <c r="AB3412" s="7"/>
    </row>
    <row r="3413" ht="15.75" customHeight="1">
      <c r="A3413" s="26">
        <f>IFERROR(__xludf.DUMMYFUNCTION("""COMPUTED_VALUE"""),5229.0)</f>
        <v>5229</v>
      </c>
      <c r="B3413" s="22" t="str">
        <f>IFERROR(__xludf.DUMMYFUNCTION("""COMPUTED_VALUE"""),"確定")</f>
        <v>確定</v>
      </c>
      <c r="C3413" s="28">
        <f>IFERROR(__xludf.DUMMYFUNCTION("""COMPUTED_VALUE"""),45727.0)</f>
        <v>45727</v>
      </c>
      <c r="D3413" s="28">
        <f>IFERROR(__xludf.DUMMYFUNCTION("""COMPUTED_VALUE"""),45818.0)</f>
        <v>45818</v>
      </c>
      <c r="E3413" s="26">
        <f>IFERROR(__xludf.DUMMYFUNCTION("""COMPUTED_VALUE"""),327170.0)</f>
        <v>327170</v>
      </c>
      <c r="F3413" s="22" t="str">
        <f>IFERROR(__xludf.DUMMYFUNCTION("""COMPUTED_VALUE"""),"今日こそ本番しちゃいます！？～堅物カレシの理性を壊したら～")</f>
        <v>今日こそ本番しちゃいます！？～堅物カレシの理性を壊したら～</v>
      </c>
      <c r="G3413" s="20" t="str">
        <f>IFERROR(__xludf.DUMMYFUNCTION("""COMPUTED_VALUE"""),"1～3")</f>
        <v>1～3</v>
      </c>
      <c r="H3413" s="22" t="str">
        <f>IFERROR(__xludf.DUMMYFUNCTION("""COMPUTED_VALUE"""),"麦酒アオル")</f>
        <v>麦酒アオル</v>
      </c>
      <c r="I3413" s="22" t="str">
        <f>IFERROR(__xludf.DUMMYFUNCTION("""COMPUTED_VALUE"""),"TL")</f>
        <v>TL</v>
      </c>
      <c r="J3413" s="22"/>
      <c r="K3413" s="22" t="str">
        <f>IFERROR(__xludf.DUMMYFUNCTION("""COMPUTED_VALUE"""),"乙女チック")</f>
        <v>乙女チック</v>
      </c>
      <c r="L3413" s="22" t="str">
        <f>IFERROR(__xludf.DUMMYFUNCTION("""COMPUTED_VALUE"""),"CLLENN")</f>
        <v>CLLENN</v>
      </c>
      <c r="M3413" s="33">
        <f>IFERROR(__xludf.DUMMYFUNCTION("""COMPUTED_VALUE"""),45836.0)</f>
        <v>45836</v>
      </c>
      <c r="N3413" s="33">
        <f>IFERROR(__xludf.DUMMYFUNCTION("""COMPUTED_VALUE"""),45891.0)</f>
        <v>45891</v>
      </c>
      <c r="O3413" s="20"/>
      <c r="P3413" s="32" t="str">
        <f>IFERROR(__xludf.DUMMYFUNCTION("""COMPUTED_VALUE"""),"可")</f>
        <v>可</v>
      </c>
      <c r="Q3413" s="30"/>
      <c r="R3413" s="22" t="str">
        <f>IFERROR(__xludf.DUMMYFUNCTION("""COMPUTED_VALUE"""),"コミットOK")</f>
        <v>コミットOK</v>
      </c>
      <c r="S3413" s="22" t="str">
        <f>IFERROR(__xludf.DUMMYFUNCTION("""COMPUTED_VALUE"""),"20250610_CLLENN_今日こそ本番しちゃいます！？～堅物カレシの理性を壊したら～")</f>
        <v>20250610_CLLENN_今日こそ本番しちゃいます！？～堅物カレシの理性を壊したら～</v>
      </c>
      <c r="T3413" s="22" t="str">
        <f>IFERROR(__xludf.DUMMYFUNCTION("""COMPUTED_VALUE"""),"格納済み")</f>
        <v>格納済み</v>
      </c>
      <c r="U3413" s="9" t="str">
        <f>IFERROR(__xludf.DUMMYFUNCTION("""COMPUTED_VALUE"""),"Ⓒ麦酒アオル/CLLENN")</f>
        <v>Ⓒ麦酒アオル/CLLENN</v>
      </c>
      <c r="V3413" s="8"/>
      <c r="W3413" s="8"/>
      <c r="X3413" s="8" t="str">
        <f>IFERROR(__xludf.DUMMYFUNCTION("""COMPUTED_VALUE"""),"有")</f>
        <v>有</v>
      </c>
      <c r="Y3413" s="8" t="str">
        <f>IFERROR(__xludf.DUMMYFUNCTION("""COMPUTED_VALUE"""),"P10まで")</f>
        <v>P10まで</v>
      </c>
      <c r="Z3413" s="7"/>
      <c r="AA3413" s="7"/>
      <c r="AB3413" s="7"/>
    </row>
    <row r="3414" ht="15.75" customHeight="1">
      <c r="A3414" s="26">
        <f>IFERROR(__xludf.DUMMYFUNCTION("""COMPUTED_VALUE"""),5482.0)</f>
        <v>5482</v>
      </c>
      <c r="B3414" s="22" t="str">
        <f>IFERROR(__xludf.DUMMYFUNCTION("""COMPUTED_VALUE"""),"確定")</f>
        <v>確定</v>
      </c>
      <c r="C3414" s="28">
        <f>IFERROR(__xludf.DUMMYFUNCTION("""COMPUTED_VALUE"""),45761.0)</f>
        <v>45761</v>
      </c>
      <c r="D3414" s="28">
        <f>IFERROR(__xludf.DUMMYFUNCTION("""COMPUTED_VALUE"""),45817.0)</f>
        <v>45817</v>
      </c>
      <c r="E3414" s="26">
        <f>IFERROR(__xludf.DUMMYFUNCTION("""COMPUTED_VALUE"""),328132.0)</f>
        <v>328132</v>
      </c>
      <c r="F3414" s="22" t="str">
        <f>IFERROR(__xludf.DUMMYFUNCTION("""COMPUTED_VALUE"""),"ゆいは影でしか生きられない【単話版】")</f>
        <v>ゆいは影でしか生きられない【単話版】</v>
      </c>
      <c r="G3414" s="20" t="str">
        <f>IFERROR(__xludf.DUMMYFUNCTION("""COMPUTED_VALUE"""),"1～6")</f>
        <v>1～6</v>
      </c>
      <c r="H3414" s="22" t="str">
        <f>IFERROR(__xludf.DUMMYFUNCTION("""COMPUTED_VALUE"""),"みとうゆう")</f>
        <v>みとうゆう</v>
      </c>
      <c r="I3414" s="22" t="str">
        <f>IFERROR(__xludf.DUMMYFUNCTION("""COMPUTED_VALUE"""),"少年")</f>
        <v>少年</v>
      </c>
      <c r="J3414" s="22"/>
      <c r="K3414" s="22"/>
      <c r="L3414" s="22" t="str">
        <f>IFERROR(__xludf.DUMMYFUNCTION("""COMPUTED_VALUE"""),"GANMA!")</f>
        <v>GANMA!</v>
      </c>
      <c r="M3414" s="33">
        <f>IFERROR(__xludf.DUMMYFUNCTION("""COMPUTED_VALUE"""),45839.0)</f>
        <v>45839</v>
      </c>
      <c r="N3414" s="33">
        <f>IFERROR(__xludf.DUMMYFUNCTION("""COMPUTED_VALUE"""),45930.0)</f>
        <v>45930</v>
      </c>
      <c r="O3414" s="20"/>
      <c r="P3414" s="32" t="str">
        <f>IFERROR(__xludf.DUMMYFUNCTION("""COMPUTED_VALUE"""),"可")</f>
        <v>可</v>
      </c>
      <c r="Q3414" s="30" t="str">
        <f>IFERROR(__xludf.DUMMYFUNCTION("""COMPUTED_VALUE"""),"値引き対応は2話まで可能です")</f>
        <v>値引き対応は2話まで可能です</v>
      </c>
      <c r="R3414" s="22" t="str">
        <f>IFERROR(__xludf.DUMMYFUNCTION("""COMPUTED_VALUE"""),"コミットOK")</f>
        <v>コミットOK</v>
      </c>
      <c r="S3414" s="22" t="str">
        <f>IFERROR(__xludf.DUMMYFUNCTION("""COMPUTED_VALUE"""),"20250609_GANMA_ゆいは影でしか生きられない")</f>
        <v>20250609_GANMA_ゆいは影でしか生きられない</v>
      </c>
      <c r="T3414" s="22" t="str">
        <f>IFERROR(__xludf.DUMMYFUNCTION("""COMPUTED_VALUE"""),"格納済み")</f>
        <v>格納済み</v>
      </c>
      <c r="U3414" s="9" t="str">
        <f>IFERROR(__xludf.DUMMYFUNCTION("""COMPUTED_VALUE"""),"Ⓒみとうゆう／COMISMA INC.")</f>
        <v>Ⓒみとうゆう／COMISMA INC.</v>
      </c>
      <c r="V3414" s="8"/>
      <c r="W3414" s="8"/>
      <c r="X3414" s="8" t="str">
        <f>IFERROR(__xludf.DUMMYFUNCTION("""COMPUTED_VALUE"""),"有")</f>
        <v>有</v>
      </c>
      <c r="Y3414" s="8" t="str">
        <f>IFERROR(__xludf.DUMMYFUNCTION("""COMPUTED_VALUE"""),"2025/7/31まで1~2巻無料")</f>
        <v>2025/7/31まで1~2巻無料</v>
      </c>
      <c r="Z3414" s="7"/>
      <c r="AA3414" s="7"/>
      <c r="AB3414" s="7"/>
    </row>
    <row r="3415" ht="15.75" customHeight="1">
      <c r="A3415" s="26">
        <f>IFERROR(__xludf.DUMMYFUNCTION("""COMPUTED_VALUE"""),5483.0)</f>
        <v>5483</v>
      </c>
      <c r="B3415" s="22" t="str">
        <f>IFERROR(__xludf.DUMMYFUNCTION("""COMPUTED_VALUE"""),"確定")</f>
        <v>確定</v>
      </c>
      <c r="C3415" s="28">
        <f>IFERROR(__xludf.DUMMYFUNCTION("""COMPUTED_VALUE"""),45761.0)</f>
        <v>45761</v>
      </c>
      <c r="D3415" s="28">
        <f>IFERROR(__xludf.DUMMYFUNCTION("""COMPUTED_VALUE"""),45817.0)</f>
        <v>45817</v>
      </c>
      <c r="E3415" s="26">
        <f>IFERROR(__xludf.DUMMYFUNCTION("""COMPUTED_VALUE"""),328133.0)</f>
        <v>328133</v>
      </c>
      <c r="F3415" s="22" t="str">
        <f>IFERROR(__xludf.DUMMYFUNCTION("""COMPUTED_VALUE"""),"薄幸祓い屋少女の相棒は最凶あやかし女王～なりゆきで御曹司と偽装婚約も始めました～【単話版】")</f>
        <v>薄幸祓い屋少女の相棒は最凶あやかし女王～なりゆきで御曹司と偽装婚約も始めました～【単話版】</v>
      </c>
      <c r="G3415" s="20" t="str">
        <f>IFERROR(__xludf.DUMMYFUNCTION("""COMPUTED_VALUE"""),"1～5")</f>
        <v>1～5</v>
      </c>
      <c r="H3415" s="22" t="str">
        <f>IFERROR(__xludf.DUMMYFUNCTION("""COMPUTED_VALUE"""),"原作：日部星花　作画：大居シシィ")</f>
        <v>原作：日部星花　作画：大居シシィ</v>
      </c>
      <c r="I3415" s="22" t="str">
        <f>IFERROR(__xludf.DUMMYFUNCTION("""COMPUTED_VALUE"""),"少女")</f>
        <v>少女</v>
      </c>
      <c r="J3415" s="22"/>
      <c r="K3415" s="22"/>
      <c r="L3415" s="22" t="str">
        <f>IFERROR(__xludf.DUMMYFUNCTION("""COMPUTED_VALUE"""),"GANMA!")</f>
        <v>GANMA!</v>
      </c>
      <c r="M3415" s="33">
        <f>IFERROR(__xludf.DUMMYFUNCTION("""COMPUTED_VALUE"""),45839.0)</f>
        <v>45839</v>
      </c>
      <c r="N3415" s="33">
        <f>IFERROR(__xludf.DUMMYFUNCTION("""COMPUTED_VALUE"""),45930.0)</f>
        <v>45930</v>
      </c>
      <c r="O3415" s="20"/>
      <c r="P3415" s="32" t="str">
        <f>IFERROR(__xludf.DUMMYFUNCTION("""COMPUTED_VALUE"""),"可")</f>
        <v>可</v>
      </c>
      <c r="Q3415" s="30" t="str">
        <f>IFERROR(__xludf.DUMMYFUNCTION("""COMPUTED_VALUE"""),"値引き対応は2話まで可（今後配信数が増えた場合は要相談）")</f>
        <v>値引き対応は2話まで可（今後配信数が増えた場合は要相談）</v>
      </c>
      <c r="R3415" s="22" t="str">
        <f>IFERROR(__xludf.DUMMYFUNCTION("""COMPUTED_VALUE"""),"コミットOK")</f>
        <v>コミットOK</v>
      </c>
      <c r="S3415" s="22" t="str">
        <f>IFERROR(__xludf.DUMMYFUNCTION("""COMPUTED_VALUE"""),"20250606_GANMA_薄幸祓い屋少女の相棒は最凶あやかし女王～なりゆきで御曹司と偽装婚約も始めました～")</f>
        <v>20250606_GANMA_薄幸祓い屋少女の相棒は最凶あやかし女王～なりゆきで御曹司と偽装婚約も始めました～</v>
      </c>
      <c r="T3415" s="22" t="str">
        <f>IFERROR(__xludf.DUMMYFUNCTION("""COMPUTED_VALUE"""),"格納済み")</f>
        <v>格納済み</v>
      </c>
      <c r="U3415" s="9" t="str">
        <f>IFERROR(__xludf.DUMMYFUNCTION("""COMPUTED_VALUE"""),"Ⓒ日部星花／GMO Media, Inc. Ⓒ大居シシィ／COMISMA INC.")</f>
        <v>Ⓒ日部星花／GMO Media, Inc. Ⓒ大居シシィ／COMISMA INC.</v>
      </c>
      <c r="V3415" s="8"/>
      <c r="W3415" s="8"/>
      <c r="X3415" s="8" t="str">
        <f>IFERROR(__xludf.DUMMYFUNCTION("""COMPUTED_VALUE"""),"有")</f>
        <v>有</v>
      </c>
      <c r="Y3415" s="8" t="str">
        <f>IFERROR(__xludf.DUMMYFUNCTION("""COMPUTED_VALUE"""),"2025/7/31まで1~2巻無料")</f>
        <v>2025/7/31まで1~2巻無料</v>
      </c>
      <c r="Z3415" s="7"/>
      <c r="AA3415" s="7"/>
      <c r="AB3415" s="7"/>
    </row>
    <row r="3416" ht="15.75" customHeight="1">
      <c r="A3416" s="26">
        <f>IFERROR(__xludf.DUMMYFUNCTION("""COMPUTED_VALUE"""),5510.0)</f>
        <v>5510</v>
      </c>
      <c r="B3416" s="22" t="str">
        <f>IFERROR(__xludf.DUMMYFUNCTION("""COMPUTED_VALUE"""),"確定")</f>
        <v>確定</v>
      </c>
      <c r="C3416" s="28">
        <f>IFERROR(__xludf.DUMMYFUNCTION("""COMPUTED_VALUE"""),45768.0)</f>
        <v>45768</v>
      </c>
      <c r="D3416" s="28">
        <f>IFERROR(__xludf.DUMMYFUNCTION("""COMPUTED_VALUE"""),45818.0)</f>
        <v>45818</v>
      </c>
      <c r="E3416" s="26">
        <f>IFERROR(__xludf.DUMMYFUNCTION("""COMPUTED_VALUE"""),327660.0)</f>
        <v>327660</v>
      </c>
      <c r="F3416" s="22" t="str">
        <f>IFERROR(__xludf.DUMMYFUNCTION("""COMPUTED_VALUE"""),"【ラブパルフェ】恋愛小説家に抱かれる蜜夜。～布団の上で艶めく色香に濡らされて")</f>
        <v>【ラブパルフェ】恋愛小説家に抱かれる蜜夜。～布団の上で艶めく色香に濡らされて</v>
      </c>
      <c r="G3416" s="20" t="str">
        <f>IFERROR(__xludf.DUMMYFUNCTION("""COMPUTED_VALUE"""),"1～3")</f>
        <v>1～3</v>
      </c>
      <c r="H3416" s="22" t="str">
        <f>IFERROR(__xludf.DUMMYFUNCTION("""COMPUTED_VALUE"""),"ヒラツカしの/佐々木みお")</f>
        <v>ヒラツカしの/佐々木みお</v>
      </c>
      <c r="I3416" s="22" t="str">
        <f>IFERROR(__xludf.DUMMYFUNCTION("""COMPUTED_VALUE"""),"TL")</f>
        <v>TL</v>
      </c>
      <c r="J3416" s="22"/>
      <c r="K3416" s="22" t="str">
        <f>IFERROR(__xludf.DUMMYFUNCTION("""COMPUTED_VALUE"""),"ラブパルフェ")</f>
        <v>ラブパルフェ</v>
      </c>
      <c r="L3416" s="22" t="str">
        <f>IFERROR(__xludf.DUMMYFUNCTION("""COMPUTED_VALUE"""),"オーバーラップ")</f>
        <v>オーバーラップ</v>
      </c>
      <c r="M3416" s="33">
        <f>IFERROR(__xludf.DUMMYFUNCTION("""COMPUTED_VALUE"""),45839.0)</f>
        <v>45839</v>
      </c>
      <c r="N3416" s="33">
        <f>IFERROR(__xludf.DUMMYFUNCTION("""COMPUTED_VALUE"""),45900.0)</f>
        <v>45900</v>
      </c>
      <c r="O3416" s="20"/>
      <c r="P3416" s="32" t="str">
        <f>IFERROR(__xludf.DUMMYFUNCTION("""COMPUTED_VALUE"""),"可")</f>
        <v>可</v>
      </c>
      <c r="Q3416" s="30" t="str">
        <f>IFERROR(__xludf.DUMMYFUNCTION("""COMPUTED_VALUE"""),"4話以降は先行期間は1カ月")</f>
        <v>4話以降は先行期間は1カ月</v>
      </c>
      <c r="R3416" s="22" t="str">
        <f>IFERROR(__xludf.DUMMYFUNCTION("""COMPUTED_VALUE"""),"コミットNG")</f>
        <v>コミットNG</v>
      </c>
      <c r="S3416" s="22" t="str">
        <f>IFERROR(__xludf.DUMMYFUNCTION("""COMPUTED_VALUE"""),"20250610_オーバーラップ_恋愛小説家に抱かれる蜜夜。～布団の上で艶めく色香に濡らされて")</f>
        <v>20250610_オーバーラップ_恋愛小説家に抱かれる蜜夜。～布団の上で艶めく色香に濡らされて</v>
      </c>
      <c r="T3416" s="22" t="str">
        <f>IFERROR(__xludf.DUMMYFUNCTION("""COMPUTED_VALUE"""),"格納済み")</f>
        <v>格納済み</v>
      </c>
      <c r="U3416" s="9" t="str">
        <f>IFERROR(__xludf.DUMMYFUNCTION("""COMPUTED_VALUE"""),"(C)ヒラツカしの・佐々木みお／オーバーラップ")</f>
        <v>(C)ヒラツカしの・佐々木みお／オーバーラップ</v>
      </c>
      <c r="V3416" s="8"/>
      <c r="W3416" s="8"/>
      <c r="X3416" s="8" t="str">
        <f>IFERROR(__xludf.DUMMYFUNCTION("""COMPUTED_VALUE"""),"有")</f>
        <v>有</v>
      </c>
      <c r="Y3416" s="8" t="str">
        <f>IFERROR(__xludf.DUMMYFUNCTION("""COMPUTED_VALUE"""),"2025/8/31まで1巻無料")</f>
        <v>2025/8/31まで1巻無料</v>
      </c>
      <c r="Z3416" s="7"/>
      <c r="AA3416" s="7"/>
      <c r="AB3416" s="7"/>
    </row>
    <row r="3417" ht="15.75" customHeight="1">
      <c r="A3417" s="26">
        <f>IFERROR(__xludf.DUMMYFUNCTION("""COMPUTED_VALUE"""),5511.0)</f>
        <v>5511</v>
      </c>
      <c r="B3417" s="22" t="str">
        <f>IFERROR(__xludf.DUMMYFUNCTION("""COMPUTED_VALUE"""),"確定")</f>
        <v>確定</v>
      </c>
      <c r="C3417" s="28">
        <f>IFERROR(__xludf.DUMMYFUNCTION("""COMPUTED_VALUE"""),45768.0)</f>
        <v>45768</v>
      </c>
      <c r="D3417" s="28">
        <f>IFERROR(__xludf.DUMMYFUNCTION("""COMPUTED_VALUE"""),45818.0)</f>
        <v>45818</v>
      </c>
      <c r="E3417" s="26">
        <f>IFERROR(__xludf.DUMMYFUNCTION("""COMPUTED_VALUE"""),327656.0)</f>
        <v>327656</v>
      </c>
      <c r="F3417" s="22" t="str">
        <f>IFERROR(__xludf.DUMMYFUNCTION("""COMPUTED_VALUE"""),"【ラブパルフェ】8年越しの愛欲はあふれて濡れて激重い～凄腕上司赤羽さんの絡まる本音")</f>
        <v>【ラブパルフェ】8年越しの愛欲はあふれて濡れて激重い～凄腕上司赤羽さんの絡まる本音</v>
      </c>
      <c r="G3417" s="20" t="str">
        <f>IFERROR(__xludf.DUMMYFUNCTION("""COMPUTED_VALUE"""),"1～3")</f>
        <v>1～3</v>
      </c>
      <c r="H3417" s="22" t="str">
        <f>IFERROR(__xludf.DUMMYFUNCTION("""COMPUTED_VALUE"""),"桜井飛鳥")</f>
        <v>桜井飛鳥</v>
      </c>
      <c r="I3417" s="22" t="str">
        <f>IFERROR(__xludf.DUMMYFUNCTION("""COMPUTED_VALUE"""),"TL")</f>
        <v>TL</v>
      </c>
      <c r="J3417" s="22"/>
      <c r="K3417" s="22" t="str">
        <f>IFERROR(__xludf.DUMMYFUNCTION("""COMPUTED_VALUE"""),"ラブパルフェ")</f>
        <v>ラブパルフェ</v>
      </c>
      <c r="L3417" s="22" t="str">
        <f>IFERROR(__xludf.DUMMYFUNCTION("""COMPUTED_VALUE"""),"オーバーラップ")</f>
        <v>オーバーラップ</v>
      </c>
      <c r="M3417" s="33">
        <f>IFERROR(__xludf.DUMMYFUNCTION("""COMPUTED_VALUE"""),45839.0)</f>
        <v>45839</v>
      </c>
      <c r="N3417" s="33">
        <f>IFERROR(__xludf.DUMMYFUNCTION("""COMPUTED_VALUE"""),45900.0)</f>
        <v>45900</v>
      </c>
      <c r="O3417" s="20"/>
      <c r="P3417" s="32" t="str">
        <f>IFERROR(__xludf.DUMMYFUNCTION("""COMPUTED_VALUE"""),"可")</f>
        <v>可</v>
      </c>
      <c r="Q3417" s="30" t="str">
        <f>IFERROR(__xludf.DUMMYFUNCTION("""COMPUTED_VALUE"""),"先行期間&lt;BR&gt;1-3話(初回配信分)：2か月&lt;BR&gt;4話以降：1か月")</f>
        <v>先行期間&lt;BR&gt;1-3話(初回配信分)：2か月&lt;BR&gt;4話以降：1か月</v>
      </c>
      <c r="R3417" s="22" t="str">
        <f>IFERROR(__xludf.DUMMYFUNCTION("""COMPUTED_VALUE"""),"コミットOK")</f>
        <v>コミットOK</v>
      </c>
      <c r="S3417" s="22" t="str">
        <f>IFERROR(__xludf.DUMMYFUNCTION("""COMPUTED_VALUE"""),"20250610_オーバーラップ_8年越しの愛欲はあふれて濡れて激重い～凄腕上司赤羽さんの絡まる本音")</f>
        <v>20250610_オーバーラップ_8年越しの愛欲はあふれて濡れて激重い～凄腕上司赤羽さんの絡まる本音</v>
      </c>
      <c r="T3417" s="22" t="str">
        <f>IFERROR(__xludf.DUMMYFUNCTION("""COMPUTED_VALUE"""),"格納済み")</f>
        <v>格納済み</v>
      </c>
      <c r="U3417" s="9" t="str">
        <f>IFERROR(__xludf.DUMMYFUNCTION("""COMPUTED_VALUE"""),"(C)桜井飛鳥／オーバーラップ")</f>
        <v>(C)桜井飛鳥／オーバーラップ</v>
      </c>
      <c r="V3417" s="8"/>
      <c r="W3417" s="8"/>
      <c r="X3417" s="8" t="str">
        <f>IFERROR(__xludf.DUMMYFUNCTION("""COMPUTED_VALUE"""),"有")</f>
        <v>有</v>
      </c>
      <c r="Y3417" s="8" t="str">
        <f>IFERROR(__xludf.DUMMYFUNCTION("""COMPUTED_VALUE"""),"2025/8/31まで1巻無料")</f>
        <v>2025/8/31まで1巻無料</v>
      </c>
      <c r="Z3417" s="7"/>
      <c r="AA3417" s="7"/>
      <c r="AB3417" s="7"/>
    </row>
    <row r="3418" ht="15.75" customHeight="1">
      <c r="A3418" s="26">
        <f>IFERROR(__xludf.DUMMYFUNCTION("""COMPUTED_VALUE"""),5560.0)</f>
        <v>5560</v>
      </c>
      <c r="B3418" s="22" t="str">
        <f>IFERROR(__xludf.DUMMYFUNCTION("""COMPUTED_VALUE"""),"確定")</f>
        <v>確定</v>
      </c>
      <c r="C3418" s="28">
        <f>IFERROR(__xludf.DUMMYFUNCTION("""COMPUTED_VALUE"""),45779.0)</f>
        <v>45779</v>
      </c>
      <c r="D3418" s="28">
        <f>IFERROR(__xludf.DUMMYFUNCTION("""COMPUTED_VALUE"""),45813.0)</f>
        <v>45813</v>
      </c>
      <c r="E3418" s="26">
        <f>IFERROR(__xludf.DUMMYFUNCTION("""COMPUTED_VALUE"""),328007.0)</f>
        <v>328007</v>
      </c>
      <c r="F3418" s="22" t="str">
        <f>IFERROR(__xludf.DUMMYFUNCTION("""COMPUTED_VALUE"""),"エリート社員はタヌキ系同期を今日も甘くいじめたい")</f>
        <v>エリート社員はタヌキ系同期を今日も甘くいじめたい</v>
      </c>
      <c r="G3418" s="20" t="str">
        <f>IFERROR(__xludf.DUMMYFUNCTION("""COMPUTED_VALUE"""),"1～2")</f>
        <v>1～2</v>
      </c>
      <c r="H3418" s="22" t="str">
        <f>IFERROR(__xludf.DUMMYFUNCTION("""COMPUTED_VALUE"""),"しりの")</f>
        <v>しりの</v>
      </c>
      <c r="I3418" s="22" t="str">
        <f>IFERROR(__xludf.DUMMYFUNCTION("""COMPUTED_VALUE"""),"BL")</f>
        <v>BL</v>
      </c>
      <c r="J3418" s="22"/>
      <c r="K3418" s="22" t="str">
        <f>IFERROR(__xludf.DUMMYFUNCTION("""COMPUTED_VALUE"""),"NuPu")</f>
        <v>NuPu</v>
      </c>
      <c r="L3418" s="22" t="str">
        <f>IFERROR(__xludf.DUMMYFUNCTION("""COMPUTED_VALUE"""),"CLLENN")</f>
        <v>CLLENN</v>
      </c>
      <c r="M3418" s="33">
        <f>IFERROR(__xludf.DUMMYFUNCTION("""COMPUTED_VALUE"""),45848.0)</f>
        <v>45848</v>
      </c>
      <c r="N3418" s="33">
        <f>IFERROR(__xludf.DUMMYFUNCTION("""COMPUTED_VALUE"""),45910.0)</f>
        <v>45910</v>
      </c>
      <c r="O3418" s="20"/>
      <c r="P3418" s="32" t="str">
        <f>IFERROR(__xludf.DUMMYFUNCTION("""COMPUTED_VALUE"""),"可")</f>
        <v>可</v>
      </c>
      <c r="Q3418" s="30"/>
      <c r="R3418" s="22" t="str">
        <f>IFERROR(__xludf.DUMMYFUNCTION("""COMPUTED_VALUE"""),"コミットNG")</f>
        <v>コミットNG</v>
      </c>
      <c r="S3418" s="22" t="str">
        <f>IFERROR(__xludf.DUMMYFUNCTION("""COMPUTED_VALUE"""),"20250605_CLLENN_エリート社員はタヌキ系同期を今日も甘くいじめたい")</f>
        <v>20250605_CLLENN_エリート社員はタヌキ系同期を今日も甘くいじめたい</v>
      </c>
      <c r="T3418" s="22" t="str">
        <f>IFERROR(__xludf.DUMMYFUNCTION("""COMPUTED_VALUE"""),"格納済み")</f>
        <v>格納済み</v>
      </c>
      <c r="U3418" s="9" t="str">
        <f>IFERROR(__xludf.DUMMYFUNCTION("""COMPUTED_VALUE"""),"Ⓒしりの/CLLENN")</f>
        <v>Ⓒしりの/CLLENN</v>
      </c>
      <c r="V3418" s="8"/>
      <c r="W3418" s="8"/>
      <c r="X3418" s="8" t="str">
        <f>IFERROR(__xludf.DUMMYFUNCTION("""COMPUTED_VALUE"""),"有")</f>
        <v>有</v>
      </c>
      <c r="Y3418" s="8" t="str">
        <f>IFERROR(__xludf.DUMMYFUNCTION("""COMPUTED_VALUE"""),"2025/7/23まで1巻立ち読み増量(P15まで)")</f>
        <v>2025/7/23まで1巻立ち読み増量(P15まで)</v>
      </c>
      <c r="Z3418" s="7"/>
      <c r="AA3418" s="7"/>
      <c r="AB3418" s="7"/>
    </row>
    <row r="3419" ht="15.75" customHeight="1">
      <c r="A3419" s="26">
        <f>IFERROR(__xludf.DUMMYFUNCTION("""COMPUTED_VALUE"""),5585.0)</f>
        <v>5585</v>
      </c>
      <c r="B3419" s="22" t="str">
        <f>IFERROR(__xludf.DUMMYFUNCTION("""COMPUTED_VALUE"""),"確定")</f>
        <v>確定</v>
      </c>
      <c r="C3419" s="28">
        <f>IFERROR(__xludf.DUMMYFUNCTION("""COMPUTED_VALUE"""),45785.0)</f>
        <v>45785</v>
      </c>
      <c r="D3419" s="28">
        <f>IFERROR(__xludf.DUMMYFUNCTION("""COMPUTED_VALUE"""),45818.0)</f>
        <v>45818</v>
      </c>
      <c r="E3419" s="26">
        <f>IFERROR(__xludf.DUMMYFUNCTION("""COMPUTED_VALUE"""),328024.0)</f>
        <v>328024</v>
      </c>
      <c r="F3419" s="22" t="str">
        <f>IFERROR(__xludf.DUMMYFUNCTION("""COMPUTED_VALUE"""),"禁断は二十歳になってから【マイクロ】")</f>
        <v>禁断は二十歳になってから【マイクロ】</v>
      </c>
      <c r="G3419" s="20" t="str">
        <f>IFERROR(__xludf.DUMMYFUNCTION("""COMPUTED_VALUE"""),"1～3")</f>
        <v>1～3</v>
      </c>
      <c r="H3419" s="22" t="str">
        <f>IFERROR(__xludf.DUMMYFUNCTION("""COMPUTED_VALUE"""),"見崎なつみ")</f>
        <v>見崎なつみ</v>
      </c>
      <c r="I3419" s="22" t="str">
        <f>IFERROR(__xludf.DUMMYFUNCTION("""COMPUTED_VALUE"""),"少女")</f>
        <v>少女</v>
      </c>
      <c r="J3419" s="22"/>
      <c r="K3419" s="22"/>
      <c r="L3419" s="22" t="str">
        <f>IFERROR(__xludf.DUMMYFUNCTION("""COMPUTED_VALUE"""),"小学館")</f>
        <v>小学館</v>
      </c>
      <c r="M3419" s="33">
        <f>IFERROR(__xludf.DUMMYFUNCTION("""COMPUTED_VALUE"""),45848.0)</f>
        <v>45848</v>
      </c>
      <c r="N3419" s="33">
        <f>IFERROR(__xludf.DUMMYFUNCTION("""COMPUTED_VALUE"""),45909.0)</f>
        <v>45909</v>
      </c>
      <c r="O3419" s="20"/>
      <c r="P3419" s="32" t="str">
        <f>IFERROR(__xludf.DUMMYFUNCTION("""COMPUTED_VALUE"""),"否")</f>
        <v>否</v>
      </c>
      <c r="Q3419" s="30" t="str">
        <f>IFERROR(__xludf.DUMMYFUNCTION("""COMPUTED_VALUE"""),"生徒の距離感がつかめずショックを受ける新人教師と、&lt;BR&gt;海外留学から戻ってきた成人男子高校生（20歳）との禁断のラブストーリーです。教師という立場上、生徒と恋に落ちるのはモラル的に問題ないかと苦慮しながらも、&lt;BR&gt;距離感が近い男子高校生の一挙一動にきゅんとしてしまう…そして法的には合法な20歳…！という”合法だけど禁断”な恋の行方が見どころです。")</f>
        <v>生徒の距離感がつかめずショックを受ける新人教師と、&lt;BR&gt;海外留学から戻ってきた成人男子高校生（20歳）との禁断のラブストーリーです。教師という立場上、生徒と恋に落ちるのはモラル的に問題ないかと苦慮しながらも、&lt;BR&gt;距離感が近い男子高校生の一挙一動にきゅんとしてしまう…そして法的には合法な20歳…！という”合法だけど禁断”な恋の行方が見どころです。</v>
      </c>
      <c r="R3419" s="22" t="str">
        <f>IFERROR(__xludf.DUMMYFUNCTION("""COMPUTED_VALUE"""),"コミットOK")</f>
        <v>コミットOK</v>
      </c>
      <c r="S3419" s="22" t="str">
        <f>IFERROR(__xludf.DUMMYFUNCTION("""COMPUTED_VALUE"""),"20250609_小学館_禁断は二十歳になってから")</f>
        <v>20250609_小学館_禁断は二十歳になってから</v>
      </c>
      <c r="T3419" s="22" t="str">
        <f>IFERROR(__xludf.DUMMYFUNCTION("""COMPUTED_VALUE"""),"格納済み")</f>
        <v>格納済み</v>
      </c>
      <c r="U3419" s="9" t="str">
        <f>IFERROR(__xludf.DUMMYFUNCTION("""COMPUTED_VALUE"""),"(C)見崎なつみ / 小学館")</f>
        <v>(C)見崎なつみ / 小学館</v>
      </c>
      <c r="V3419" s="8"/>
      <c r="W3419" s="8"/>
      <c r="X3419" s="8" t="str">
        <f>IFERROR(__xludf.DUMMYFUNCTION("""COMPUTED_VALUE"""),"有")</f>
        <v>有</v>
      </c>
      <c r="Y3419" s="8" t="str">
        <f>IFERROR(__xludf.DUMMYFUNCTION("""COMPUTED_VALUE"""),"2025/9/9まで1巻無料")</f>
        <v>2025/9/9まで1巻無料</v>
      </c>
      <c r="Z3419" s="7"/>
      <c r="AA3419" s="7"/>
      <c r="AB3419" s="7"/>
    </row>
    <row r="3420" ht="15.75" customHeight="1">
      <c r="A3420" s="26">
        <f>IFERROR(__xludf.DUMMYFUNCTION("""COMPUTED_VALUE"""),5596.0)</f>
        <v>5596</v>
      </c>
      <c r="B3420" s="22" t="str">
        <f>IFERROR(__xludf.DUMMYFUNCTION("""COMPUTED_VALUE"""),"確定")</f>
        <v>確定</v>
      </c>
      <c r="C3420" s="28">
        <f>IFERROR(__xludf.DUMMYFUNCTION("""COMPUTED_VALUE"""),45789.0)</f>
        <v>45789</v>
      </c>
      <c r="D3420" s="28">
        <f>IFERROR(__xludf.DUMMYFUNCTION("""COMPUTED_VALUE"""),45817.0)</f>
        <v>45817</v>
      </c>
      <c r="E3420" s="26">
        <f>IFERROR(__xludf.DUMMYFUNCTION("""COMPUTED_VALUE"""),327645.0)</f>
        <v>327645</v>
      </c>
      <c r="F3420" s="22" t="str">
        <f>IFERROR(__xludf.DUMMYFUNCTION("""COMPUTED_VALUE"""),"八彩国の後宮物語～退屈仙皇帝と本好き姫～ 連載版")</f>
        <v>八彩国の後宮物語～退屈仙皇帝と本好き姫～ 連載版</v>
      </c>
      <c r="G3420" s="20" t="str">
        <f>IFERROR(__xludf.DUMMYFUNCTION("""COMPUTED_VALUE"""),"1～4")</f>
        <v>1～4</v>
      </c>
      <c r="H3420" s="22" t="str">
        <f>IFERROR(__xludf.DUMMYFUNCTION("""COMPUTED_VALUE"""),"島辺津テイ/富士とまと/森野きこり")</f>
        <v>島辺津テイ/富士とまと/森野きこり</v>
      </c>
      <c r="I3420" s="22" t="str">
        <f>IFERROR(__xludf.DUMMYFUNCTION("""COMPUTED_VALUE"""),"女性")</f>
        <v>女性</v>
      </c>
      <c r="J3420" s="22"/>
      <c r="K3420" s="22"/>
      <c r="L3420" s="22" t="str">
        <f>IFERROR(__xludf.DUMMYFUNCTION("""COMPUTED_VALUE"""),"ブシロードワークス")</f>
        <v>ブシロードワークス</v>
      </c>
      <c r="M3420" s="33">
        <f>IFERROR(__xludf.DUMMYFUNCTION("""COMPUTED_VALUE"""),45849.0)</f>
        <v>45849</v>
      </c>
      <c r="N3420" s="33">
        <f>IFERROR(__xludf.DUMMYFUNCTION("""COMPUTED_VALUE"""),45876.0)</f>
        <v>45876</v>
      </c>
      <c r="O3420" s="20"/>
      <c r="P3420" s="32" t="str">
        <f>IFERROR(__xludf.DUMMYFUNCTION("""COMPUTED_VALUE"""),"可")</f>
        <v>可</v>
      </c>
      <c r="Q3420" s="30" t="str">
        <f>IFERROR(__xludf.DUMMYFUNCTION("""COMPUTED_VALUE"""),"1巻目を2分割して初回1～4巻")</f>
        <v>1巻目を2分割して初回1～4巻</v>
      </c>
      <c r="R3420" s="22" t="str">
        <f>IFERROR(__xludf.DUMMYFUNCTION("""COMPUTED_VALUE"""),"コミットNG")</f>
        <v>コミットNG</v>
      </c>
      <c r="S3420" s="22" t="str">
        <f>IFERROR(__xludf.DUMMYFUNCTION("""COMPUTED_VALUE"""),"20250609_ブシロードワークス_八彩国の後宮物語～退屈仙皇帝と本好き姫～ 連載版")</f>
        <v>20250609_ブシロードワークス_八彩国の後宮物語～退屈仙皇帝と本好き姫～ 連載版</v>
      </c>
      <c r="T3420" s="22" t="str">
        <f>IFERROR(__xludf.DUMMYFUNCTION("""COMPUTED_VALUE"""),"格納済み")</f>
        <v>格納済み</v>
      </c>
      <c r="U3420" s="9" t="str">
        <f>IFERROR(__xludf.DUMMYFUNCTION("""COMPUTED_VALUE"""),"Ⓒ島辺津テイ Ⓒ富士とまと ⒸBUSHIROAD WORKS")</f>
        <v>Ⓒ島辺津テイ Ⓒ富士とまと ⒸBUSHIROAD WORKS</v>
      </c>
      <c r="V3420" s="8"/>
      <c r="W3420" s="8"/>
      <c r="X3420" s="8" t="str">
        <f>IFERROR(__xludf.DUMMYFUNCTION("""COMPUTED_VALUE"""),"有")</f>
        <v>有</v>
      </c>
      <c r="Y3420" s="8" t="str">
        <f>IFERROR(__xludf.DUMMYFUNCTION("""COMPUTED_VALUE"""),"2025/8/7まで1~2巻無料")</f>
        <v>2025/8/7まで1~2巻無料</v>
      </c>
      <c r="Z3420" s="7"/>
      <c r="AA3420" s="7"/>
      <c r="AB3420" s="7"/>
    </row>
    <row r="3421" ht="15.75" customHeight="1">
      <c r="A3421" s="26">
        <f>IFERROR(__xludf.DUMMYFUNCTION("""COMPUTED_VALUE"""),5600.0)</f>
        <v>5600</v>
      </c>
      <c r="B3421" s="22" t="str">
        <f>IFERROR(__xludf.DUMMYFUNCTION("""COMPUTED_VALUE"""),"確定")</f>
        <v>確定</v>
      </c>
      <c r="C3421" s="28">
        <f>IFERROR(__xludf.DUMMYFUNCTION("""COMPUTED_VALUE"""),45789.0)</f>
        <v>45789</v>
      </c>
      <c r="D3421" s="28">
        <f>IFERROR(__xludf.DUMMYFUNCTION("""COMPUTED_VALUE"""),45818.0)</f>
        <v>45818</v>
      </c>
      <c r="E3421" s="26">
        <f>IFERROR(__xludf.DUMMYFUNCTION("""COMPUTED_VALUE"""),328564.0)</f>
        <v>328564</v>
      </c>
      <c r="F3421" s="22" t="str">
        <f>IFERROR(__xludf.DUMMYFUNCTION("""COMPUTED_VALUE"""),"クロノス様の契約花嫁～重すぎる純愛にからめとられてます～【分冊版】")</f>
        <v>クロノス様の契約花嫁～重すぎる純愛にからめとられてます～【分冊版】</v>
      </c>
      <c r="G3421" s="20" t="str">
        <f>IFERROR(__xludf.DUMMYFUNCTION("""COMPUTED_VALUE"""),"1～2")</f>
        <v>1～2</v>
      </c>
      <c r="H3421" s="22" t="str">
        <f>IFERROR(__xludf.DUMMYFUNCTION("""COMPUTED_VALUE"""),"杉本ふぁりな")</f>
        <v>杉本ふぁりな</v>
      </c>
      <c r="I3421" s="22" t="str">
        <f>IFERROR(__xludf.DUMMYFUNCTION("""COMPUTED_VALUE"""),"TL")</f>
        <v>TL</v>
      </c>
      <c r="J3421" s="22"/>
      <c r="K3421" s="22" t="str">
        <f>IFERROR(__xludf.DUMMYFUNCTION("""COMPUTED_VALUE"""),"乙女ドルチェ・コミックス")</f>
        <v>乙女ドルチェ・コミックス</v>
      </c>
      <c r="L3421" s="22" t="str">
        <f>IFERROR(__xludf.DUMMYFUNCTION("""COMPUTED_VALUE"""),"乙女ドルチェ・コミックス")</f>
        <v>乙女ドルチェ・コミックス</v>
      </c>
      <c r="M3421" s="33">
        <f>IFERROR(__xludf.DUMMYFUNCTION("""COMPUTED_VALUE"""),45856.0)</f>
        <v>45856</v>
      </c>
      <c r="N3421" s="33">
        <f>IFERROR(__xludf.DUMMYFUNCTION("""COMPUTED_VALUE"""),45917.0)</f>
        <v>45917</v>
      </c>
      <c r="O3421" s="20"/>
      <c r="P3421" s="32" t="str">
        <f>IFERROR(__xludf.DUMMYFUNCTION("""COMPUTED_VALUE"""),"可")</f>
        <v>可</v>
      </c>
      <c r="Q3421" s="30"/>
      <c r="R3421" s="22" t="str">
        <f>IFERROR(__xludf.DUMMYFUNCTION("""COMPUTED_VALUE"""),"コミットNG")</f>
        <v>コミットNG</v>
      </c>
      <c r="S3421" s="22" t="str">
        <f>IFERROR(__xludf.DUMMYFUNCTION("""COMPUTED_VALUE"""),"20250609_ハーパーコリンズ_クロノス様の契約花嫁～重すぎる純愛にからめとられてます～")</f>
        <v>20250609_ハーパーコリンズ_クロノス様の契約花嫁～重すぎる純愛にからめとられてます～</v>
      </c>
      <c r="T3421" s="22" t="str">
        <f>IFERROR(__xludf.DUMMYFUNCTION("""COMPUTED_VALUE"""),"格納済み")</f>
        <v>格納済み</v>
      </c>
      <c r="U3421" s="9" t="str">
        <f>IFERROR(__xludf.DUMMYFUNCTION("""COMPUTED_VALUE"""),"（C)杉本ふぁりな／ハーパーコリンズ・ジャパン")</f>
        <v>（C)杉本ふぁりな／ハーパーコリンズ・ジャパン</v>
      </c>
      <c r="V3421" s="8"/>
      <c r="W3421" s="8"/>
      <c r="X3421" s="8" t="str">
        <f>IFERROR(__xludf.DUMMYFUNCTION("""COMPUTED_VALUE"""),"有")</f>
        <v>有</v>
      </c>
      <c r="Y3421" s="8" t="str">
        <f>IFERROR(__xludf.DUMMYFUNCTION("""COMPUTED_VALUE"""),"2025/8/18まで1巻立ち読み増量(P17)")</f>
        <v>2025/8/18まで1巻立ち読み増量(P17)</v>
      </c>
      <c r="Z3421" s="7"/>
      <c r="AA3421" s="7"/>
      <c r="AB3421" s="7"/>
    </row>
    <row r="3422" ht="15.75" customHeight="1">
      <c r="A3422" s="26">
        <f>IFERROR(__xludf.DUMMYFUNCTION("""COMPUTED_VALUE"""),5631.0)</f>
        <v>5631</v>
      </c>
      <c r="B3422" s="22" t="str">
        <f>IFERROR(__xludf.DUMMYFUNCTION("""COMPUTED_VALUE"""),"確定")</f>
        <v>確定</v>
      </c>
      <c r="C3422" s="28">
        <f>IFERROR(__xludf.DUMMYFUNCTION("""COMPUTED_VALUE"""),45792.0)</f>
        <v>45792</v>
      </c>
      <c r="D3422" s="28">
        <f>IFERROR(__xludf.DUMMYFUNCTION("""COMPUTED_VALUE"""),45813.0)</f>
        <v>45813</v>
      </c>
      <c r="E3422" s="26">
        <f>IFERROR(__xludf.DUMMYFUNCTION("""COMPUTED_VALUE"""),325408.0)</f>
        <v>325408</v>
      </c>
      <c r="F3422" s="22" t="str">
        <f>IFERROR(__xludf.DUMMYFUNCTION("""COMPUTED_VALUE"""),"拗らせすぎて好きが言えない 年上幼なじみの愛は深くて不器用《カノンミア》")</f>
        <v>拗らせすぎて好きが言えない 年上幼なじみの愛は深くて不器用《カノンミア》</v>
      </c>
      <c r="G3422" s="20" t="str">
        <f>IFERROR(__xludf.DUMMYFUNCTION("""COMPUTED_VALUE"""),"1～2")</f>
        <v>1～2</v>
      </c>
      <c r="H3422" s="22" t="str">
        <f>IFERROR(__xludf.DUMMYFUNCTION("""COMPUTED_VALUE"""),"みなと")</f>
        <v>みなと</v>
      </c>
      <c r="I3422" s="22" t="str">
        <f>IFERROR(__xludf.DUMMYFUNCTION("""COMPUTED_VALUE"""),"TL")</f>
        <v>TL</v>
      </c>
      <c r="J3422" s="22"/>
      <c r="K3422" s="22" t="str">
        <f>IFERROR(__xludf.DUMMYFUNCTION("""COMPUTED_VALUE"""),"カノンミアコミックス")</f>
        <v>カノンミアコミックス</v>
      </c>
      <c r="L3422" s="22" t="str">
        <f>IFERROR(__xludf.DUMMYFUNCTION("""COMPUTED_VALUE"""),"英和出版社")</f>
        <v>英和出版社</v>
      </c>
      <c r="M3422" s="33">
        <f>IFERROR(__xludf.DUMMYFUNCTION("""COMPUTED_VALUE"""),45828.0)</f>
        <v>45828</v>
      </c>
      <c r="N3422" s="33">
        <f>IFERROR(__xludf.DUMMYFUNCTION("""COMPUTED_VALUE"""),45857.0)</f>
        <v>45857</v>
      </c>
      <c r="O3422" s="20"/>
      <c r="P3422" s="32" t="str">
        <f>IFERROR(__xludf.DUMMYFUNCTION("""COMPUTED_VALUE"""),"可")</f>
        <v>可</v>
      </c>
      <c r="Q3422" s="30"/>
      <c r="R3422" s="22" t="str">
        <f>IFERROR(__xludf.DUMMYFUNCTION("""COMPUTED_VALUE"""),"コミットNG")</f>
        <v>コミットNG</v>
      </c>
      <c r="S3422" s="22" t="str">
        <f>IFERROR(__xludf.DUMMYFUNCTION("""COMPUTED_VALUE"""),"20250605_英和出版社_拗らせすぎて好きが言えない 年上幼なじみの愛は深くて不器用")</f>
        <v>20250605_英和出版社_拗らせすぎて好きが言えない 年上幼なじみの愛は深くて不器用</v>
      </c>
      <c r="T3422" s="22" t="str">
        <f>IFERROR(__xludf.DUMMYFUNCTION("""COMPUTED_VALUE"""),"格納済み")</f>
        <v>格納済み</v>
      </c>
      <c r="U3422" s="9" t="str">
        <f>IFERROR(__xludf.DUMMYFUNCTION("""COMPUTED_VALUE"""),"みなと/英和出版社")</f>
        <v>みなと/英和出版社</v>
      </c>
      <c r="V3422" s="8"/>
      <c r="W3422" s="8"/>
      <c r="X3422" s="8" t="str">
        <f>IFERROR(__xludf.DUMMYFUNCTION("""COMPUTED_VALUE"""),"有")</f>
        <v>有</v>
      </c>
      <c r="Y3422" s="8" t="str">
        <f>IFERROR(__xludf.DUMMYFUNCTION("""COMPUTED_VALUE"""),"P8まで")</f>
        <v>P8まで</v>
      </c>
      <c r="Z3422" s="7"/>
      <c r="AA3422" s="7"/>
      <c r="AB3422" s="7"/>
    </row>
    <row r="3423" ht="15.75" customHeight="1">
      <c r="A3423" s="26">
        <f>IFERROR(__xludf.DUMMYFUNCTION("""COMPUTED_VALUE"""),5632.0)</f>
        <v>5632</v>
      </c>
      <c r="B3423" s="22" t="str">
        <f>IFERROR(__xludf.DUMMYFUNCTION("""COMPUTED_VALUE"""),"確定")</f>
        <v>確定</v>
      </c>
      <c r="C3423" s="28">
        <f>IFERROR(__xludf.DUMMYFUNCTION("""COMPUTED_VALUE"""),45792.0)</f>
        <v>45792</v>
      </c>
      <c r="D3423" s="28">
        <f>IFERROR(__xludf.DUMMYFUNCTION("""COMPUTED_VALUE"""),45819.0)</f>
        <v>45819</v>
      </c>
      <c r="E3423" s="26">
        <f>IFERROR(__xludf.DUMMYFUNCTION("""COMPUTED_VALUE"""),328411.0)</f>
        <v>328411</v>
      </c>
      <c r="F3423" s="22" t="str">
        <f>IFERROR(__xludf.DUMMYFUNCTION("""COMPUTED_VALUE"""),"危ない彼と沼愛事情 甘やかし上手な御曹司に絆されえっち《カノンミア》")</f>
        <v>危ない彼と沼愛事情 甘やかし上手な御曹司に絆されえっち《カノンミア》</v>
      </c>
      <c r="G3423" s="20" t="str">
        <f>IFERROR(__xludf.DUMMYFUNCTION("""COMPUTED_VALUE"""),"1～3")</f>
        <v>1～3</v>
      </c>
      <c r="H3423" s="22" t="str">
        <f>IFERROR(__xludf.DUMMYFUNCTION("""COMPUTED_VALUE"""),"有馬いち")</f>
        <v>有馬いち</v>
      </c>
      <c r="I3423" s="22" t="str">
        <f>IFERROR(__xludf.DUMMYFUNCTION("""COMPUTED_VALUE"""),"TL")</f>
        <v>TL</v>
      </c>
      <c r="J3423" s="22"/>
      <c r="K3423" s="22" t="str">
        <f>IFERROR(__xludf.DUMMYFUNCTION("""COMPUTED_VALUE"""),"カノンミアコミックス")</f>
        <v>カノンミアコミックス</v>
      </c>
      <c r="L3423" s="22" t="str">
        <f>IFERROR(__xludf.DUMMYFUNCTION("""COMPUTED_VALUE"""),"英和出版社")</f>
        <v>英和出版社</v>
      </c>
      <c r="M3423" s="33">
        <f>IFERROR(__xludf.DUMMYFUNCTION("""COMPUTED_VALUE"""),45848.0)</f>
        <v>45848</v>
      </c>
      <c r="N3423" s="33">
        <f>IFERROR(__xludf.DUMMYFUNCTION("""COMPUTED_VALUE"""),45939.0)</f>
        <v>45939</v>
      </c>
      <c r="O3423" s="20"/>
      <c r="P3423" s="32" t="str">
        <f>IFERROR(__xludf.DUMMYFUNCTION("""COMPUTED_VALUE"""),"可")</f>
        <v>可</v>
      </c>
      <c r="Q3423" s="30"/>
      <c r="R3423" s="22" t="str">
        <f>IFERROR(__xludf.DUMMYFUNCTION("""COMPUTED_VALUE"""),"コミットOK")</f>
        <v>コミットOK</v>
      </c>
      <c r="S3423" s="22" t="str">
        <f>IFERROR(__xludf.DUMMYFUNCTION("""COMPUTED_VALUE"""),"20250610_英和出版社_危ない彼と沼愛事情")</f>
        <v>20250610_英和出版社_危ない彼と沼愛事情</v>
      </c>
      <c r="T3423" s="22" t="str">
        <f>IFERROR(__xludf.DUMMYFUNCTION("""COMPUTED_VALUE"""),"格納済み")</f>
        <v>格納済み</v>
      </c>
      <c r="U3423" s="9" t="str">
        <f>IFERROR(__xludf.DUMMYFUNCTION("""COMPUTED_VALUE"""),"有馬いち/英和出版社")</f>
        <v>有馬いち/英和出版社</v>
      </c>
      <c r="V3423" s="8"/>
      <c r="W3423" s="8"/>
      <c r="X3423" s="8" t="str">
        <f>IFERROR(__xludf.DUMMYFUNCTION("""COMPUTED_VALUE"""),"有")</f>
        <v>有</v>
      </c>
      <c r="Y3423" s="8" t="str">
        <f>IFERROR(__xludf.DUMMYFUNCTION("""COMPUTED_VALUE"""),"P10まで")</f>
        <v>P10まで</v>
      </c>
      <c r="Z3423" s="7"/>
      <c r="AA3423" s="7"/>
      <c r="AB3423" s="7"/>
    </row>
    <row r="3424" ht="15.75" customHeight="1">
      <c r="A3424" s="26">
        <f>IFERROR(__xludf.DUMMYFUNCTION("""COMPUTED_VALUE"""),5633.0)</f>
        <v>5633</v>
      </c>
      <c r="B3424" s="22" t="str">
        <f>IFERROR(__xludf.DUMMYFUNCTION("""COMPUTED_VALUE"""),"確定")</f>
        <v>確定</v>
      </c>
      <c r="C3424" s="28">
        <f>IFERROR(__xludf.DUMMYFUNCTION("""COMPUTED_VALUE"""),45793.0)</f>
        <v>45793</v>
      </c>
      <c r="D3424" s="28">
        <f>IFERROR(__xludf.DUMMYFUNCTION("""COMPUTED_VALUE"""),45817.0)</f>
        <v>45817</v>
      </c>
      <c r="E3424" s="26">
        <f>IFERROR(__xludf.DUMMYFUNCTION("""COMPUTED_VALUE"""),328029.0)</f>
        <v>328029</v>
      </c>
      <c r="F3424" s="22" t="str">
        <f>IFERROR(__xludf.DUMMYFUNCTION("""COMPUTED_VALUE"""),"悪の令嬢と十二の瞳　～最強従者たちと伝説の悪女、人生二度目の華麗なる無双録～【単話版】")</f>
        <v>悪の令嬢と十二の瞳　～最強従者たちと伝説の悪女、人生二度目の華麗なる無双録～【単話版】</v>
      </c>
      <c r="G3424" s="20" t="str">
        <f>IFERROR(__xludf.DUMMYFUNCTION("""COMPUTED_VALUE"""),"1～3")</f>
        <v>1～3</v>
      </c>
      <c r="H3424" s="22" t="str">
        <f>IFERROR(__xludf.DUMMYFUNCTION("""COMPUTED_VALUE"""),"佐和井ムギ/駄犬/saino")</f>
        <v>佐和井ムギ/駄犬/saino</v>
      </c>
      <c r="I3424" s="22" t="str">
        <f>IFERROR(__xludf.DUMMYFUNCTION("""COMPUTED_VALUE"""),"少年")</f>
        <v>少年</v>
      </c>
      <c r="J3424" s="22"/>
      <c r="K3424" s="22"/>
      <c r="L3424" s="22" t="str">
        <f>IFERROR(__xludf.DUMMYFUNCTION("""COMPUTED_VALUE"""),"オーバーラップ")</f>
        <v>オーバーラップ</v>
      </c>
      <c r="M3424" s="33">
        <f>IFERROR(__xludf.DUMMYFUNCTION("""COMPUTED_VALUE"""),45847.0)</f>
        <v>45847</v>
      </c>
      <c r="N3424" s="33">
        <f>IFERROR(__xludf.DUMMYFUNCTION("""COMPUTED_VALUE"""),73050.0)</f>
        <v>73050</v>
      </c>
      <c r="O3424" s="20"/>
      <c r="P3424" s="32" t="str">
        <f>IFERROR(__xludf.DUMMYFUNCTION("""COMPUTED_VALUE"""),"否")</f>
        <v>否</v>
      </c>
      <c r="Q3424" s="30"/>
      <c r="R3424" s="22"/>
      <c r="S3424" s="22" t="str">
        <f>IFERROR(__xludf.DUMMYFUNCTION("""COMPUTED_VALUE"""),"20250604_オーバーラップ_悪の令嬢と十二の瞳")</f>
        <v>20250604_オーバーラップ_悪の令嬢と十二の瞳</v>
      </c>
      <c r="T3424" s="22" t="str">
        <f>IFERROR(__xludf.DUMMYFUNCTION("""COMPUTED_VALUE"""),"格納済み")</f>
        <v>格納済み</v>
      </c>
      <c r="U3424" s="9" t="str">
        <f>IFERROR(__xludf.DUMMYFUNCTION("""COMPUTED_VALUE"""),"(c)佐和井ムギ (c)駄犬／オーバーラップ")</f>
        <v>(c)佐和井ムギ (c)駄犬／オーバーラップ</v>
      </c>
      <c r="V3424" s="8"/>
      <c r="W3424" s="8"/>
      <c r="X3424" s="8" t="str">
        <f>IFERROR(__xludf.DUMMYFUNCTION("""COMPUTED_VALUE"""),"有")</f>
        <v>有</v>
      </c>
      <c r="Y3424" s="8" t="str">
        <f>IFERROR(__xludf.DUMMYFUNCTION("""COMPUTED_VALUE"""),"2025/10/9まで1巻無料")</f>
        <v>2025/10/9まで1巻無料</v>
      </c>
      <c r="Z3424" s="7"/>
      <c r="AA3424" s="7"/>
      <c r="AB3424" s="7"/>
    </row>
    <row r="3425" ht="15.75" customHeight="1">
      <c r="A3425" s="26">
        <f>IFERROR(__xludf.DUMMYFUNCTION("""COMPUTED_VALUE"""),5636.0)</f>
        <v>5636</v>
      </c>
      <c r="B3425" s="22" t="str">
        <f>IFERROR(__xludf.DUMMYFUNCTION("""COMPUTED_VALUE"""),"確定")</f>
        <v>確定</v>
      </c>
      <c r="C3425" s="28">
        <f>IFERROR(__xludf.DUMMYFUNCTION("""COMPUTED_VALUE"""),45796.0)</f>
        <v>45796</v>
      </c>
      <c r="D3425" s="28">
        <f>IFERROR(__xludf.DUMMYFUNCTION("""COMPUTED_VALUE"""),45818.0)</f>
        <v>45818</v>
      </c>
      <c r="E3425" s="26">
        <f>IFERROR(__xludf.DUMMYFUNCTION("""COMPUTED_VALUE"""),327658.0)</f>
        <v>327658</v>
      </c>
      <c r="F3425" s="22" t="str">
        <f>IFERROR(__xludf.DUMMYFUNCTION("""COMPUTED_VALUE"""),"【ラブパルフェ】しごできクールな鬼原さんは名器な私に欲情中。～絶倫上司の激愛ラブハメが重すぎる")</f>
        <v>【ラブパルフェ】しごできクールな鬼原さんは名器な私に欲情中。～絶倫上司の激愛ラブハメが重すぎる</v>
      </c>
      <c r="G3425" s="20" t="str">
        <f>IFERROR(__xludf.DUMMYFUNCTION("""COMPUTED_VALUE"""),"1～3")</f>
        <v>1～3</v>
      </c>
      <c r="H3425" s="22" t="str">
        <f>IFERROR(__xludf.DUMMYFUNCTION("""COMPUTED_VALUE"""),"照坂てら")</f>
        <v>照坂てら</v>
      </c>
      <c r="I3425" s="22" t="str">
        <f>IFERROR(__xludf.DUMMYFUNCTION("""COMPUTED_VALUE"""),"TL")</f>
        <v>TL</v>
      </c>
      <c r="J3425" s="22"/>
      <c r="K3425" s="22" t="str">
        <f>IFERROR(__xludf.DUMMYFUNCTION("""COMPUTED_VALUE"""),"ラブパルフェ")</f>
        <v>ラブパルフェ</v>
      </c>
      <c r="L3425" s="22" t="str">
        <f>IFERROR(__xludf.DUMMYFUNCTION("""COMPUTED_VALUE"""),"オーバーラップ")</f>
        <v>オーバーラップ</v>
      </c>
      <c r="M3425" s="33">
        <f>IFERROR(__xludf.DUMMYFUNCTION("""COMPUTED_VALUE"""),45839.0)</f>
        <v>45839</v>
      </c>
      <c r="N3425" s="33">
        <f>IFERROR(__xludf.DUMMYFUNCTION("""COMPUTED_VALUE"""),45900.0)</f>
        <v>45900</v>
      </c>
      <c r="O3425" s="20"/>
      <c r="P3425" s="32" t="str">
        <f>IFERROR(__xludf.DUMMYFUNCTION("""COMPUTED_VALUE"""),"可")</f>
        <v>可</v>
      </c>
      <c r="Q3425" s="30"/>
      <c r="R3425" s="22" t="str">
        <f>IFERROR(__xludf.DUMMYFUNCTION("""COMPUTED_VALUE"""),"コミットNG")</f>
        <v>コミットNG</v>
      </c>
      <c r="S3425" s="22" t="str">
        <f>IFERROR(__xludf.DUMMYFUNCTION("""COMPUTED_VALUE"""),"20250610_オーバーラップ_しごできクールな鬼原さんは名器な私に欲情中。～絶倫上司の激愛ラブハメが重すぎる")</f>
        <v>20250610_オーバーラップ_しごできクールな鬼原さんは名器な私に欲情中。～絶倫上司の激愛ラブハメが重すぎる</v>
      </c>
      <c r="T3425" s="22" t="str">
        <f>IFERROR(__xludf.DUMMYFUNCTION("""COMPUTED_VALUE"""),"格納済み")</f>
        <v>格納済み</v>
      </c>
      <c r="U3425" s="9" t="str">
        <f>IFERROR(__xludf.DUMMYFUNCTION("""COMPUTED_VALUE"""),"(C)照坂てら／オーバーラップ")</f>
        <v>(C)照坂てら／オーバーラップ</v>
      </c>
      <c r="V3425" s="8"/>
      <c r="W3425" s="8"/>
      <c r="X3425" s="8" t="str">
        <f>IFERROR(__xludf.DUMMYFUNCTION("""COMPUTED_VALUE"""),"有")</f>
        <v>有</v>
      </c>
      <c r="Y3425" s="8" t="str">
        <f>IFERROR(__xludf.DUMMYFUNCTION("""COMPUTED_VALUE"""),"2025/8/31まで1巻無料")</f>
        <v>2025/8/31まで1巻無料</v>
      </c>
      <c r="Z3425" s="7"/>
      <c r="AA3425" s="7"/>
      <c r="AB3425" s="7"/>
    </row>
    <row r="3426" ht="15.75" customHeight="1">
      <c r="A3426" s="26">
        <f>IFERROR(__xludf.DUMMYFUNCTION("""COMPUTED_VALUE"""),5637.0)</f>
        <v>5637</v>
      </c>
      <c r="B3426" s="22" t="str">
        <f>IFERROR(__xludf.DUMMYFUNCTION("""COMPUTED_VALUE"""),"確定")</f>
        <v>確定</v>
      </c>
      <c r="C3426" s="28">
        <f>IFERROR(__xludf.DUMMYFUNCTION("""COMPUTED_VALUE"""),45796.0)</f>
        <v>45796</v>
      </c>
      <c r="D3426" s="28">
        <f>IFERROR(__xludf.DUMMYFUNCTION("""COMPUTED_VALUE"""),45818.0)</f>
        <v>45818</v>
      </c>
      <c r="E3426" s="26">
        <f>IFERROR(__xludf.DUMMYFUNCTION("""COMPUTED_VALUE"""),327659.0)</f>
        <v>327659</v>
      </c>
      <c r="F3426" s="22" t="str">
        <f>IFERROR(__xludf.DUMMYFUNCTION("""COMPUTED_VALUE"""),"【ラブパルフェ】執着系水瀬くんのやみつき溺愛セックス～絶倫同僚と淫らな恋人契約～")</f>
        <v>【ラブパルフェ】執着系水瀬くんのやみつき溺愛セックス～絶倫同僚と淫らな恋人契約～</v>
      </c>
      <c r="G3426" s="20" t="str">
        <f>IFERROR(__xludf.DUMMYFUNCTION("""COMPUTED_VALUE"""),"1～3")</f>
        <v>1～3</v>
      </c>
      <c r="H3426" s="22" t="str">
        <f>IFERROR(__xludf.DUMMYFUNCTION("""COMPUTED_VALUE"""),"芳村 瀧")</f>
        <v>芳村 瀧</v>
      </c>
      <c r="I3426" s="22" t="str">
        <f>IFERROR(__xludf.DUMMYFUNCTION("""COMPUTED_VALUE"""),"TL")</f>
        <v>TL</v>
      </c>
      <c r="J3426" s="22"/>
      <c r="K3426" s="22" t="str">
        <f>IFERROR(__xludf.DUMMYFUNCTION("""COMPUTED_VALUE"""),"ラブパルフェ")</f>
        <v>ラブパルフェ</v>
      </c>
      <c r="L3426" s="22" t="str">
        <f>IFERROR(__xludf.DUMMYFUNCTION("""COMPUTED_VALUE"""),"オーバーラップ")</f>
        <v>オーバーラップ</v>
      </c>
      <c r="M3426" s="33">
        <f>IFERROR(__xludf.DUMMYFUNCTION("""COMPUTED_VALUE"""),45839.0)</f>
        <v>45839</v>
      </c>
      <c r="N3426" s="33">
        <f>IFERROR(__xludf.DUMMYFUNCTION("""COMPUTED_VALUE"""),45900.0)</f>
        <v>45900</v>
      </c>
      <c r="O3426" s="20"/>
      <c r="P3426" s="32" t="str">
        <f>IFERROR(__xludf.DUMMYFUNCTION("""COMPUTED_VALUE"""),"可")</f>
        <v>可</v>
      </c>
      <c r="Q3426" s="30"/>
      <c r="R3426" s="22" t="str">
        <f>IFERROR(__xludf.DUMMYFUNCTION("""COMPUTED_VALUE"""),"コミットOK")</f>
        <v>コミットOK</v>
      </c>
      <c r="S3426" s="22" t="str">
        <f>IFERROR(__xludf.DUMMYFUNCTION("""COMPUTED_VALUE"""),"20250610_オーバーラップ_執着系水瀬くんのやみつき溺愛セックス～絶倫同僚と淫らな恋人契約～")</f>
        <v>20250610_オーバーラップ_執着系水瀬くんのやみつき溺愛セックス～絶倫同僚と淫らな恋人契約～</v>
      </c>
      <c r="T3426" s="22" t="str">
        <f>IFERROR(__xludf.DUMMYFUNCTION("""COMPUTED_VALUE"""),"格納済み")</f>
        <v>格納済み</v>
      </c>
      <c r="U3426" s="9" t="str">
        <f>IFERROR(__xludf.DUMMYFUNCTION("""COMPUTED_VALUE"""),"(C)芳村 瀧／オーバーラップ")</f>
        <v>(C)芳村 瀧／オーバーラップ</v>
      </c>
      <c r="V3426" s="8"/>
      <c r="W3426" s="8"/>
      <c r="X3426" s="8" t="str">
        <f>IFERROR(__xludf.DUMMYFUNCTION("""COMPUTED_VALUE"""),"有")</f>
        <v>有</v>
      </c>
      <c r="Y3426" s="8" t="str">
        <f>IFERROR(__xludf.DUMMYFUNCTION("""COMPUTED_VALUE"""),"2025/8/31まで1巻無料")</f>
        <v>2025/8/31まで1巻無料</v>
      </c>
      <c r="Z3426" s="7"/>
      <c r="AA3426" s="7"/>
      <c r="AB3426" s="7"/>
    </row>
    <row r="3427" ht="15.75" customHeight="1">
      <c r="A3427" s="26">
        <f>IFERROR(__xludf.DUMMYFUNCTION("""COMPUTED_VALUE"""),5638.0)</f>
        <v>5638</v>
      </c>
      <c r="B3427" s="22" t="str">
        <f>IFERROR(__xludf.DUMMYFUNCTION("""COMPUTED_VALUE"""),"確定")</f>
        <v>確定</v>
      </c>
      <c r="C3427" s="28">
        <f>IFERROR(__xludf.DUMMYFUNCTION("""COMPUTED_VALUE"""),45796.0)</f>
        <v>45796</v>
      </c>
      <c r="D3427" s="28">
        <f>IFERROR(__xludf.DUMMYFUNCTION("""COMPUTED_VALUE"""),45819.0)</f>
        <v>45819</v>
      </c>
      <c r="E3427" s="26">
        <f>IFERROR(__xludf.DUMMYFUNCTION("""COMPUTED_VALUE"""),328826.0)</f>
        <v>328826</v>
      </c>
      <c r="F3427" s="22" t="str">
        <f>IFERROR(__xludf.DUMMYFUNCTION("""COMPUTED_VALUE"""),"侯爵家の次女は姿を隠す【単話版】")</f>
        <v>侯爵家の次女は姿を隠す【単話版】</v>
      </c>
      <c r="G3427" s="20" t="str">
        <f>IFERROR(__xludf.DUMMYFUNCTION("""COMPUTED_VALUE"""),"1～3")</f>
        <v>1～3</v>
      </c>
      <c r="H3427" s="22" t="str">
        <f>IFERROR(__xludf.DUMMYFUNCTION("""COMPUTED_VALUE"""),"乾 しろ/中村 猫/コユコム")</f>
        <v>乾 しろ/中村 猫/コユコム</v>
      </c>
      <c r="I3427" s="22" t="str">
        <f>IFERROR(__xludf.DUMMYFUNCTION("""COMPUTED_VALUE"""),"少女")</f>
        <v>少女</v>
      </c>
      <c r="J3427" s="22"/>
      <c r="K3427" s="22"/>
      <c r="L3427" s="22" t="str">
        <f>IFERROR(__xludf.DUMMYFUNCTION("""COMPUTED_VALUE"""),"オーバーラップ")</f>
        <v>オーバーラップ</v>
      </c>
      <c r="M3427" s="33">
        <f>IFERROR(__xludf.DUMMYFUNCTION("""COMPUTED_VALUE"""),45861.0)</f>
        <v>45861</v>
      </c>
      <c r="N3427" s="33">
        <f>IFERROR(__xludf.DUMMYFUNCTION("""COMPUTED_VALUE"""),73050.0)</f>
        <v>73050</v>
      </c>
      <c r="O3427" s="20"/>
      <c r="P3427" s="32" t="str">
        <f>IFERROR(__xludf.DUMMYFUNCTION("""COMPUTED_VALUE"""),"否")</f>
        <v>否</v>
      </c>
      <c r="Q3427" s="30"/>
      <c r="R3427" s="22" t="str">
        <f>IFERROR(__xludf.DUMMYFUNCTION("""COMPUTED_VALUE"""),"コミットNG")</f>
        <v>コミットNG</v>
      </c>
      <c r="S3427" s="22" t="str">
        <f>IFERROR(__xludf.DUMMYFUNCTION("""COMPUTED_VALUE"""),"20250610_オーバーラップ_侯爵家の次女は姿を隠す")</f>
        <v>20250610_オーバーラップ_侯爵家の次女は姿を隠す</v>
      </c>
      <c r="T3427" s="22" t="str">
        <f>IFERROR(__xludf.DUMMYFUNCTION("""COMPUTED_VALUE"""),"格納済み")</f>
        <v>格納済み</v>
      </c>
      <c r="U3427" s="9" t="str">
        <f>IFERROR(__xludf.DUMMYFUNCTION("""COMPUTED_VALUE"""),"(c)乾しろ/ (c)中村猫／オーバーラップ")</f>
        <v>(c)乾しろ/ (c)中村猫／オーバーラップ</v>
      </c>
      <c r="V3427" s="8"/>
      <c r="W3427" s="8"/>
      <c r="X3427" s="8" t="str">
        <f>IFERROR(__xludf.DUMMYFUNCTION("""COMPUTED_VALUE"""),"有")</f>
        <v>有</v>
      </c>
      <c r="Y3427" s="8" t="str">
        <f>IFERROR(__xludf.DUMMYFUNCTION("""COMPUTED_VALUE"""),"2025/10/23まで1巻無料")</f>
        <v>2025/10/23まで1巻無料</v>
      </c>
      <c r="Z3427" s="7"/>
      <c r="AA3427" s="7"/>
      <c r="AB3427" s="7"/>
    </row>
    <row r="3428" ht="15.75" customHeight="1">
      <c r="A3428" s="26">
        <f>IFERROR(__xludf.DUMMYFUNCTION("""COMPUTED_VALUE"""),5647.0)</f>
        <v>5647</v>
      </c>
      <c r="B3428" s="22" t="str">
        <f>IFERROR(__xludf.DUMMYFUNCTION("""COMPUTED_VALUE"""),"確定")</f>
        <v>確定</v>
      </c>
      <c r="C3428" s="28">
        <f>IFERROR(__xludf.DUMMYFUNCTION("""COMPUTED_VALUE"""),45797.0)</f>
        <v>45797</v>
      </c>
      <c r="D3428" s="28">
        <f>IFERROR(__xludf.DUMMYFUNCTION("""COMPUTED_VALUE"""),45817.0)</f>
        <v>45817</v>
      </c>
      <c r="E3428" s="26">
        <f>IFERROR(__xludf.DUMMYFUNCTION("""COMPUTED_VALUE"""),329240.0)</f>
        <v>329240</v>
      </c>
      <c r="F3428" s="22" t="str">
        <f>IFERROR(__xludf.DUMMYFUNCTION("""COMPUTED_VALUE"""),"海の向こう君のとなり")</f>
        <v>海の向こう君のとなり</v>
      </c>
      <c r="G3428" s="20" t="str">
        <f>IFERROR(__xludf.DUMMYFUNCTION("""COMPUTED_VALUE"""),"1～3")</f>
        <v>1～3</v>
      </c>
      <c r="H3428" s="22" t="str">
        <f>IFERROR(__xludf.DUMMYFUNCTION("""COMPUTED_VALUE"""),"紫妲たかゆき")</f>
        <v>紫妲たかゆき</v>
      </c>
      <c r="I3428" s="22" t="str">
        <f>IFERROR(__xludf.DUMMYFUNCTION("""COMPUTED_VALUE"""),"BL")</f>
        <v>BL</v>
      </c>
      <c r="J3428" s="22"/>
      <c r="K3428" s="22" t="str">
        <f>IFERROR(__xludf.DUMMYFUNCTION("""COMPUTED_VALUE"""),"B.Pilz")</f>
        <v>B.Pilz</v>
      </c>
      <c r="L3428" s="22" t="str">
        <f>IFERROR(__xludf.DUMMYFUNCTION("""COMPUTED_VALUE"""),"ブライト出版")</f>
        <v>ブライト出版</v>
      </c>
      <c r="M3428" s="33">
        <f>IFERROR(__xludf.DUMMYFUNCTION("""COMPUTED_VALUE"""),45869.0)</f>
        <v>45869</v>
      </c>
      <c r="N3428" s="33">
        <f>IFERROR(__xludf.DUMMYFUNCTION("""COMPUTED_VALUE"""),45973.0)</f>
        <v>45973</v>
      </c>
      <c r="O3428" s="20"/>
      <c r="P3428" s="32" t="str">
        <f>IFERROR(__xludf.DUMMYFUNCTION("""COMPUTED_VALUE"""),"可")</f>
        <v>可</v>
      </c>
      <c r="Q3428" s="30" t="str">
        <f>IFERROR(__xludf.DUMMYFUNCTION("""COMPUTED_VALUE"""),"&lt;BR&gt;")</f>
        <v>&lt;BR&gt;</v>
      </c>
      <c r="R3428" s="22" t="str">
        <f>IFERROR(__xludf.DUMMYFUNCTION("""COMPUTED_VALUE"""),"コミットNG")</f>
        <v>コミットNG</v>
      </c>
      <c r="S3428" s="22" t="str">
        <f>IFERROR(__xludf.DUMMYFUNCTION("""COMPUTED_VALUE"""),"20250606_一晃社_海の向こう君のとなり")</f>
        <v>20250606_一晃社_海の向こう君のとなり</v>
      </c>
      <c r="T3428" s="22" t="str">
        <f>IFERROR(__xludf.DUMMYFUNCTION("""COMPUTED_VALUE"""),"格納済み")</f>
        <v>格納済み</v>
      </c>
      <c r="U3428" s="9" t="str">
        <f>IFERROR(__xludf.DUMMYFUNCTION("""COMPUTED_VALUE"""),"(C)紫妲たかゆき/ブライト出版")</f>
        <v>(C)紫妲たかゆき/ブライト出版</v>
      </c>
      <c r="V3428" s="8"/>
      <c r="W3428" s="8"/>
      <c r="X3428" s="8" t="str">
        <f>IFERROR(__xludf.DUMMYFUNCTION("""COMPUTED_VALUE"""),"有")</f>
        <v>有</v>
      </c>
      <c r="Y3428" s="8" t="str">
        <f>IFERROR(__xludf.DUMMYFUNCTION("""COMPUTED_VALUE"""),"2025/8/13まで1巻無料")</f>
        <v>2025/8/13まで1巻無料</v>
      </c>
      <c r="Z3428" s="7"/>
      <c r="AA3428" s="7"/>
      <c r="AB3428" s="7"/>
    </row>
    <row r="3429" ht="15.75" customHeight="1">
      <c r="A3429" s="26">
        <f>IFERROR(__xludf.DUMMYFUNCTION("""COMPUTED_VALUE"""),5652.0)</f>
        <v>5652</v>
      </c>
      <c r="B3429" s="22" t="str">
        <f>IFERROR(__xludf.DUMMYFUNCTION("""COMPUTED_VALUE"""),"確定")</f>
        <v>確定</v>
      </c>
      <c r="C3429" s="28">
        <f>IFERROR(__xludf.DUMMYFUNCTION("""COMPUTED_VALUE"""),45798.0)</f>
        <v>45798</v>
      </c>
      <c r="D3429" s="28">
        <f>IFERROR(__xludf.DUMMYFUNCTION("""COMPUTED_VALUE"""),45817.0)</f>
        <v>45817</v>
      </c>
      <c r="E3429" s="26">
        <f>IFERROR(__xludf.DUMMYFUNCTION("""COMPUTED_VALUE"""),330266.0)</f>
        <v>330266</v>
      </c>
      <c r="F3429" s="22" t="str">
        <f>IFERROR(__xludf.DUMMYFUNCTION("""COMPUTED_VALUE"""),"【ラブパルフェ】舌テク社長のHなおくちに溺れたい～絶倫くちゅくちゅ舐め愛にイかされっぱなしです！")</f>
        <v>【ラブパルフェ】舌テク社長のHなおくちに溺れたい～絶倫くちゅくちゅ舐め愛にイかされっぱなしです！</v>
      </c>
      <c r="G3429" s="20" t="str">
        <f>IFERROR(__xludf.DUMMYFUNCTION("""COMPUTED_VALUE"""),"1～3")</f>
        <v>1～3</v>
      </c>
      <c r="H3429" s="22" t="str">
        <f>IFERROR(__xludf.DUMMYFUNCTION("""COMPUTED_VALUE"""),"麦野スミレ")</f>
        <v>麦野スミレ</v>
      </c>
      <c r="I3429" s="22" t="str">
        <f>IFERROR(__xludf.DUMMYFUNCTION("""COMPUTED_VALUE"""),"TL")</f>
        <v>TL</v>
      </c>
      <c r="J3429" s="22"/>
      <c r="K3429" s="22" t="str">
        <f>IFERROR(__xludf.DUMMYFUNCTION("""COMPUTED_VALUE"""),"ラブパルフェ")</f>
        <v>ラブパルフェ</v>
      </c>
      <c r="L3429" s="22" t="str">
        <f>IFERROR(__xludf.DUMMYFUNCTION("""COMPUTED_VALUE"""),"オーバーラップ")</f>
        <v>オーバーラップ</v>
      </c>
      <c r="M3429" s="33">
        <f>IFERROR(__xludf.DUMMYFUNCTION("""COMPUTED_VALUE"""),45870.0)</f>
        <v>45870</v>
      </c>
      <c r="N3429" s="33">
        <f>IFERROR(__xludf.DUMMYFUNCTION("""COMPUTED_VALUE"""),45930.0)</f>
        <v>45930</v>
      </c>
      <c r="O3429" s="20"/>
      <c r="P3429" s="32" t="str">
        <f>IFERROR(__xludf.DUMMYFUNCTION("""COMPUTED_VALUE"""),"可")</f>
        <v>可</v>
      </c>
      <c r="Q3429" s="30" t="str">
        <f>IFERROR(__xludf.DUMMYFUNCTION("""COMPUTED_VALUE"""),"【初回配信時施策】1話無料")</f>
        <v>【初回配信時施策】1話無料</v>
      </c>
      <c r="R3429" s="22" t="str">
        <f>IFERROR(__xludf.DUMMYFUNCTION("""COMPUTED_VALUE"""),"コミットNG")</f>
        <v>コミットNG</v>
      </c>
      <c r="S3429" s="22" t="str">
        <f>IFERROR(__xludf.DUMMYFUNCTION("""COMPUTED_VALUE"""),"20250519_オーバーラップ_舌テク社長のHなおくちに溺れたい～絶倫くちゅくちゅ舐め愛にイかされっぱなしです！")</f>
        <v>20250519_オーバーラップ_舌テク社長のHなおくちに溺れたい～絶倫くちゅくちゅ舐め愛にイかされっぱなしです！</v>
      </c>
      <c r="T3429" s="22" t="str">
        <f>IFERROR(__xludf.DUMMYFUNCTION("""COMPUTED_VALUE"""),"格納済み")</f>
        <v>格納済み</v>
      </c>
      <c r="U3429" s="9" t="str">
        <f>IFERROR(__xludf.DUMMYFUNCTION("""COMPUTED_VALUE"""),"(C)麦野スミレ／オーバーラップ")</f>
        <v>(C)麦野スミレ／オーバーラップ</v>
      </c>
      <c r="V3429" s="8"/>
      <c r="W3429" s="8"/>
      <c r="X3429" s="8" t="str">
        <f>IFERROR(__xludf.DUMMYFUNCTION("""COMPUTED_VALUE"""),"有")</f>
        <v>有</v>
      </c>
      <c r="Y3429" s="8" t="str">
        <f>IFERROR(__xludf.DUMMYFUNCTION("""COMPUTED_VALUE"""),"2025/9/30まで1巻無料")</f>
        <v>2025/9/30まで1巻無料</v>
      </c>
      <c r="Z3429" s="7"/>
      <c r="AA3429" s="7"/>
      <c r="AB3429" s="7"/>
    </row>
    <row r="3430" ht="15.75" customHeight="1">
      <c r="A3430" s="26">
        <f>IFERROR(__xludf.DUMMYFUNCTION("""COMPUTED_VALUE"""),5664.0)</f>
        <v>5664</v>
      </c>
      <c r="B3430" s="22" t="str">
        <f>IFERROR(__xludf.DUMMYFUNCTION("""COMPUTED_VALUE"""),"確定")</f>
        <v>確定</v>
      </c>
      <c r="C3430" s="28">
        <f>IFERROR(__xludf.DUMMYFUNCTION("""COMPUTED_VALUE"""),45803.0)</f>
        <v>45803</v>
      </c>
      <c r="D3430" s="28">
        <f>IFERROR(__xludf.DUMMYFUNCTION("""COMPUTED_VALUE"""),45817.0)</f>
        <v>45817</v>
      </c>
      <c r="E3430" s="26">
        <f>IFERROR(__xludf.DUMMYFUNCTION("""COMPUTED_VALUE"""),328865.0)</f>
        <v>328865</v>
      </c>
      <c r="F3430" s="22" t="str">
        <f>IFERROR(__xludf.DUMMYFUNCTION("""COMPUTED_VALUE"""),"聖女と呼ばれていましたが ""ざまぁ""しちゃってもいいですわよね？")</f>
        <v>聖女と呼ばれていましたが "ざまぁ"しちゃってもいいですわよね？</v>
      </c>
      <c r="G3430" s="20" t="str">
        <f>IFERROR(__xludf.DUMMYFUNCTION("""COMPUTED_VALUE"""),"1～9")</f>
        <v>1～9</v>
      </c>
      <c r="H3430" s="22" t="str">
        <f>IFERROR(__xludf.DUMMYFUNCTION("""COMPUTED_VALUE"""),"坂本鈴┴町子┴グルナ編集部")</f>
        <v>坂本鈴┴町子┴グルナ編集部</v>
      </c>
      <c r="I3430" s="22" t="str">
        <f>IFERROR(__xludf.DUMMYFUNCTION("""COMPUTED_VALUE"""),"女性")</f>
        <v>女性</v>
      </c>
      <c r="J3430" s="22"/>
      <c r="K3430" s="22"/>
      <c r="L3430" s="22" t="str">
        <f>IFERROR(__xludf.DUMMYFUNCTION("""COMPUTED_VALUE"""),"ライブコミックス")</f>
        <v>ライブコミックス</v>
      </c>
      <c r="M3430" s="33">
        <f>IFERROR(__xludf.DUMMYFUNCTION("""COMPUTED_VALUE"""),45863.0)</f>
        <v>45863</v>
      </c>
      <c r="N3430" s="33">
        <f>IFERROR(__xludf.DUMMYFUNCTION("""COMPUTED_VALUE"""),45925.0)</f>
        <v>45925</v>
      </c>
      <c r="O3430" s="20"/>
      <c r="P3430" s="32" t="str">
        <f>IFERROR(__xludf.DUMMYFUNCTION("""COMPUTED_VALUE"""),"可")</f>
        <v>可</v>
      </c>
      <c r="Q3430" s="30" t="str">
        <f>IFERROR(__xludf.DUMMYFUNCTION("""COMPUTED_VALUE"""),"BookLiveからの2次先行です。&lt;BR&gt;1～7巻までの素材にてご検討＆バナー制作をお願いします。")</f>
        <v>BookLiveからの2次先行です。&lt;BR&gt;1～7巻までの素材にてご検討＆バナー制作をお願いします。</v>
      </c>
      <c r="R3430" s="22" t="str">
        <f>IFERROR(__xludf.DUMMYFUNCTION("""COMPUTED_VALUE"""),"コミットOK")</f>
        <v>コミットOK</v>
      </c>
      <c r="S3430" s="22" t="str">
        <f>IFERROR(__xludf.DUMMYFUNCTION("""COMPUTED_VALUE"""),"20250526_BookLive_聖女と呼ばれていましたが ざまぁしちゃってもいいですわよね？")</f>
        <v>20250526_BookLive_聖女と呼ばれていましたが ざまぁしちゃってもいいですわよね？</v>
      </c>
      <c r="T3430" s="22" t="str">
        <f>IFERROR(__xludf.DUMMYFUNCTION("""COMPUTED_VALUE"""),"格納済み")</f>
        <v>格納済み</v>
      </c>
      <c r="U3430" s="9" t="str">
        <f>IFERROR(__xludf.DUMMYFUNCTION("""COMPUTED_VALUE"""),"(C)坂本鈴・町子/ライブコミックス")</f>
        <v>(C)坂本鈴・町子/ライブコミックス</v>
      </c>
      <c r="V3430" s="8"/>
      <c r="W3430" s="8"/>
      <c r="X3430" s="8" t="str">
        <f>IFERROR(__xludf.DUMMYFUNCTION("""COMPUTED_VALUE"""),"有")</f>
        <v>有</v>
      </c>
      <c r="Y3430" s="8" t="str">
        <f>IFERROR(__xludf.DUMMYFUNCTION("""COMPUTED_VALUE"""),"2025/9/25まで1~2巻無料")</f>
        <v>2025/9/25まで1~2巻無料</v>
      </c>
      <c r="Z3430" s="7"/>
      <c r="AA3430" s="7"/>
      <c r="AB3430" s="7"/>
    </row>
    <row r="3431" ht="15.75" customHeight="1">
      <c r="A3431" s="26">
        <f>IFERROR(__xludf.DUMMYFUNCTION("""COMPUTED_VALUE"""),5669.0)</f>
        <v>5669</v>
      </c>
      <c r="B3431" s="22" t="str">
        <f>IFERROR(__xludf.DUMMYFUNCTION("""COMPUTED_VALUE"""),"確定")</f>
        <v>確定</v>
      </c>
      <c r="C3431" s="28">
        <f>IFERROR(__xludf.DUMMYFUNCTION("""COMPUTED_VALUE"""),45805.0)</f>
        <v>45805</v>
      </c>
      <c r="D3431" s="28">
        <f>IFERROR(__xludf.DUMMYFUNCTION("""COMPUTED_VALUE"""),45819.0)</f>
        <v>45819</v>
      </c>
      <c r="E3431" s="26">
        <f>IFERROR(__xludf.DUMMYFUNCTION("""COMPUTED_VALUE"""),329196.0)</f>
        <v>329196</v>
      </c>
      <c r="F3431" s="22" t="str">
        <f>IFERROR(__xludf.DUMMYFUNCTION("""COMPUTED_VALUE"""),"マイハーフ【単話】")</f>
        <v>マイハーフ【単話】</v>
      </c>
      <c r="G3431" s="20" t="str">
        <f>IFERROR(__xludf.DUMMYFUNCTION("""COMPUTED_VALUE"""),"1～3")</f>
        <v>1～3</v>
      </c>
      <c r="H3431" s="22" t="str">
        <f>IFERROR(__xludf.DUMMYFUNCTION("""COMPUTED_VALUE"""),"あらをか青い")</f>
        <v>あらをか青い</v>
      </c>
      <c r="I3431" s="22" t="str">
        <f>IFERROR(__xludf.DUMMYFUNCTION("""COMPUTED_VALUE"""),"女性")</f>
        <v>女性</v>
      </c>
      <c r="J3431" s="22"/>
      <c r="K3431" s="22"/>
      <c r="L3431" s="22" t="str">
        <f>IFERROR(__xludf.DUMMYFUNCTION("""COMPUTED_VALUE"""),"朝日新聞出版")</f>
        <v>朝日新聞出版</v>
      </c>
      <c r="M3431" s="33">
        <f>IFERROR(__xludf.DUMMYFUNCTION("""COMPUTED_VALUE"""),45868.0)</f>
        <v>45868</v>
      </c>
      <c r="N3431" s="33">
        <f>IFERROR(__xludf.DUMMYFUNCTION("""COMPUTED_VALUE"""),45959.0)</f>
        <v>45959</v>
      </c>
      <c r="O3431" s="20"/>
      <c r="P3431" s="32" t="str">
        <f>IFERROR(__xludf.DUMMYFUNCTION("""COMPUTED_VALUE"""),"可")</f>
        <v>可</v>
      </c>
      <c r="Q3431" s="30" t="str">
        <f>IFERROR(__xludf.DUMMYFUNCTION("""COMPUTED_VALUE"""),"初回1話無料予定です。")</f>
        <v>初回1話無料予定です。</v>
      </c>
      <c r="R3431" s="22" t="str">
        <f>IFERROR(__xludf.DUMMYFUNCTION("""COMPUTED_VALUE"""),"コミットOK")</f>
        <v>コミットOK</v>
      </c>
      <c r="S3431" s="22" t="str">
        <f>IFERROR(__xludf.DUMMYFUNCTION("""COMPUTED_VALUE"""),"20250528_朝日新聞出版_マイハーフ")</f>
        <v>20250528_朝日新聞出版_マイハーフ</v>
      </c>
      <c r="T3431" s="22" t="str">
        <f>IFERROR(__xludf.DUMMYFUNCTION("""COMPUTED_VALUE"""),"格納済み")</f>
        <v>格納済み</v>
      </c>
      <c r="U3431" s="9" t="str">
        <f>IFERROR(__xludf.DUMMYFUNCTION("""COMPUTED_VALUE"""),"Ⓒあらをか青い/朝日新聞出版")</f>
        <v>Ⓒあらをか青い/朝日新聞出版</v>
      </c>
      <c r="V3431" s="8"/>
      <c r="W3431" s="8"/>
      <c r="X3431" s="8" t="str">
        <f>IFERROR(__xludf.DUMMYFUNCTION("""COMPUTED_VALUE"""),"有")</f>
        <v>有</v>
      </c>
      <c r="Y3431" s="8" t="str">
        <f>IFERROR(__xludf.DUMMYFUNCTION("""COMPUTED_VALUE"""),"2025/6/29まで1巻無料")</f>
        <v>2025/6/29まで1巻無料</v>
      </c>
      <c r="Z3431" s="7"/>
      <c r="AA3431" s="7"/>
      <c r="AB3431" s="7"/>
    </row>
    <row r="3432" ht="15.75" customHeight="1">
      <c r="A3432" s="26">
        <f>IFERROR(__xludf.DUMMYFUNCTION("""COMPUTED_VALUE"""),5670.0)</f>
        <v>5670</v>
      </c>
      <c r="B3432" s="22" t="str">
        <f>IFERROR(__xludf.DUMMYFUNCTION("""COMPUTED_VALUE"""),"確定")</f>
        <v>確定</v>
      </c>
      <c r="C3432" s="28">
        <f>IFERROR(__xludf.DUMMYFUNCTION("""COMPUTED_VALUE"""),45805.0)</f>
        <v>45805</v>
      </c>
      <c r="D3432" s="28">
        <f>IFERROR(__xludf.DUMMYFUNCTION("""COMPUTED_VALUE"""),45819.0)</f>
        <v>45819</v>
      </c>
      <c r="E3432" s="26">
        <f>IFERROR(__xludf.DUMMYFUNCTION("""COMPUTED_VALUE"""),329198.0)</f>
        <v>329198</v>
      </c>
      <c r="F3432" s="22" t="str">
        <f>IFERROR(__xludf.DUMMYFUNCTION("""COMPUTED_VALUE"""),"不感症女の恋【単話】")</f>
        <v>不感症女の恋【単話】</v>
      </c>
      <c r="G3432" s="20" t="str">
        <f>IFERROR(__xludf.DUMMYFUNCTION("""COMPUTED_VALUE"""),"1～3")</f>
        <v>1～3</v>
      </c>
      <c r="H3432" s="22" t="str">
        <f>IFERROR(__xludf.DUMMYFUNCTION("""COMPUTED_VALUE"""),"ＹＯＨ・村崎ハネル")</f>
        <v>ＹＯＨ・村崎ハネル</v>
      </c>
      <c r="I3432" s="22" t="str">
        <f>IFERROR(__xludf.DUMMYFUNCTION("""COMPUTED_VALUE"""),"女性")</f>
        <v>女性</v>
      </c>
      <c r="J3432" s="22"/>
      <c r="K3432" s="22"/>
      <c r="L3432" s="22" t="str">
        <f>IFERROR(__xludf.DUMMYFUNCTION("""COMPUTED_VALUE"""),"朝日新聞出版")</f>
        <v>朝日新聞出版</v>
      </c>
      <c r="M3432" s="33">
        <f>IFERROR(__xludf.DUMMYFUNCTION("""COMPUTED_VALUE"""),45868.0)</f>
        <v>45868</v>
      </c>
      <c r="N3432" s="33">
        <f>IFERROR(__xludf.DUMMYFUNCTION("""COMPUTED_VALUE"""),45959.0)</f>
        <v>45959</v>
      </c>
      <c r="O3432" s="20"/>
      <c r="P3432" s="32" t="str">
        <f>IFERROR(__xludf.DUMMYFUNCTION("""COMPUTED_VALUE"""),"可")</f>
        <v>可</v>
      </c>
      <c r="Q3432" s="30" t="str">
        <f>IFERROR(__xludf.DUMMYFUNCTION("""COMPUTED_VALUE"""),"初回1話無料予定")</f>
        <v>初回1話無料予定</v>
      </c>
      <c r="R3432" s="22" t="str">
        <f>IFERROR(__xludf.DUMMYFUNCTION("""COMPUTED_VALUE"""),"コミットNG")</f>
        <v>コミットNG</v>
      </c>
      <c r="S3432" s="22" t="str">
        <f>IFERROR(__xludf.DUMMYFUNCTION("""COMPUTED_VALUE"""),"20250528_朝日新聞出版_不感症女の恋")</f>
        <v>20250528_朝日新聞出版_不感症女の恋</v>
      </c>
      <c r="T3432" s="22" t="str">
        <f>IFERROR(__xludf.DUMMYFUNCTION("""COMPUTED_VALUE"""),"格納済み")</f>
        <v>格納済み</v>
      </c>
      <c r="U3432" s="9" t="str">
        <f>IFERROR(__xludf.DUMMYFUNCTION("""COMPUTED_VALUE"""),"©村崎ハネル・YOH/朝日新聞出版")</f>
        <v>©村崎ハネル・YOH/朝日新聞出版</v>
      </c>
      <c r="V3432" s="8"/>
      <c r="W3432" s="8"/>
      <c r="X3432" s="8" t="str">
        <f>IFERROR(__xludf.DUMMYFUNCTION("""COMPUTED_VALUE"""),"有")</f>
        <v>有</v>
      </c>
      <c r="Y3432" s="8" t="str">
        <f>IFERROR(__xludf.DUMMYFUNCTION("""COMPUTED_VALUE"""),"2025/6/29まで1巻無料")</f>
        <v>2025/6/29まで1巻無料</v>
      </c>
      <c r="Z3432" s="7"/>
      <c r="AA3432" s="7"/>
      <c r="AB3432" s="7"/>
    </row>
    <row r="3433" ht="15.75" customHeight="1">
      <c r="A3433" s="26">
        <f>IFERROR(__xludf.DUMMYFUNCTION("""COMPUTED_VALUE"""),5671.0)</f>
        <v>5671</v>
      </c>
      <c r="B3433" s="22" t="str">
        <f>IFERROR(__xludf.DUMMYFUNCTION("""COMPUTED_VALUE"""),"確定")</f>
        <v>確定</v>
      </c>
      <c r="C3433" s="28">
        <f>IFERROR(__xludf.DUMMYFUNCTION("""COMPUTED_VALUE"""),45805.0)</f>
        <v>45805</v>
      </c>
      <c r="D3433" s="28">
        <f>IFERROR(__xludf.DUMMYFUNCTION("""COMPUTED_VALUE"""),45819.0)</f>
        <v>45819</v>
      </c>
      <c r="E3433" s="26">
        <f>IFERROR(__xludf.DUMMYFUNCTION("""COMPUTED_VALUE"""),329199.0)</f>
        <v>329199</v>
      </c>
      <c r="F3433" s="22" t="str">
        <f>IFERROR(__xludf.DUMMYFUNCTION("""COMPUTED_VALUE"""),"叔父さんと恋に落ちた日【単話】")</f>
        <v>叔父さんと恋に落ちた日【単話】</v>
      </c>
      <c r="G3433" s="20" t="str">
        <f>IFERROR(__xludf.DUMMYFUNCTION("""COMPUTED_VALUE"""),"1～3")</f>
        <v>1～3</v>
      </c>
      <c r="H3433" s="22" t="str">
        <f>IFERROR(__xludf.DUMMYFUNCTION("""COMPUTED_VALUE"""),"梨莉子・ちゃま")</f>
        <v>梨莉子・ちゃま</v>
      </c>
      <c r="I3433" s="22" t="str">
        <f>IFERROR(__xludf.DUMMYFUNCTION("""COMPUTED_VALUE"""),"女性")</f>
        <v>女性</v>
      </c>
      <c r="J3433" s="22"/>
      <c r="K3433" s="22"/>
      <c r="L3433" s="22" t="str">
        <f>IFERROR(__xludf.DUMMYFUNCTION("""COMPUTED_VALUE"""),"朝日新聞出版")</f>
        <v>朝日新聞出版</v>
      </c>
      <c r="M3433" s="33">
        <f>IFERROR(__xludf.DUMMYFUNCTION("""COMPUTED_VALUE"""),45868.0)</f>
        <v>45868</v>
      </c>
      <c r="N3433" s="33">
        <f>IFERROR(__xludf.DUMMYFUNCTION("""COMPUTED_VALUE"""),45959.0)</f>
        <v>45959</v>
      </c>
      <c r="O3433" s="20"/>
      <c r="P3433" s="32" t="str">
        <f>IFERROR(__xludf.DUMMYFUNCTION("""COMPUTED_VALUE"""),"可")</f>
        <v>可</v>
      </c>
      <c r="Q3433" s="30" t="str">
        <f>IFERROR(__xludf.DUMMYFUNCTION("""COMPUTED_VALUE"""),"初回1話無料予定")</f>
        <v>初回1話無料予定</v>
      </c>
      <c r="R3433" s="22" t="str">
        <f>IFERROR(__xludf.DUMMYFUNCTION("""COMPUTED_VALUE"""),"コミットNG")</f>
        <v>コミットNG</v>
      </c>
      <c r="S3433" s="22" t="str">
        <f>IFERROR(__xludf.DUMMYFUNCTION("""COMPUTED_VALUE"""),"20250528_朝日新聞出版_叔父さんと恋に落ちた日")</f>
        <v>20250528_朝日新聞出版_叔父さんと恋に落ちた日</v>
      </c>
      <c r="T3433" s="22" t="str">
        <f>IFERROR(__xludf.DUMMYFUNCTION("""COMPUTED_VALUE"""),"格納済み")</f>
        <v>格納済み</v>
      </c>
      <c r="U3433" s="9" t="str">
        <f>IFERROR(__xludf.DUMMYFUNCTION("""COMPUTED_VALUE"""),"Ⓒ梨莉子・ちゃま/朝日新聞出版")</f>
        <v>Ⓒ梨莉子・ちゃま/朝日新聞出版</v>
      </c>
      <c r="V3433" s="8"/>
      <c r="W3433" s="8"/>
      <c r="X3433" s="8" t="str">
        <f>IFERROR(__xludf.DUMMYFUNCTION("""COMPUTED_VALUE"""),"有")</f>
        <v>有</v>
      </c>
      <c r="Y3433" s="8" t="str">
        <f>IFERROR(__xludf.DUMMYFUNCTION("""COMPUTED_VALUE"""),"2025/6/29まで1巻無料")</f>
        <v>2025/6/29まで1巻無料</v>
      </c>
      <c r="Z3433" s="7"/>
      <c r="AA3433" s="7"/>
      <c r="AB3433" s="7"/>
    </row>
    <row r="3434" ht="15.75" customHeight="1">
      <c r="A3434" s="26">
        <f>IFERROR(__xludf.DUMMYFUNCTION("""COMPUTED_VALUE"""),5673.0)</f>
        <v>5673</v>
      </c>
      <c r="B3434" s="22" t="str">
        <f>IFERROR(__xludf.DUMMYFUNCTION("""COMPUTED_VALUE"""),"確定")</f>
        <v>確定</v>
      </c>
      <c r="C3434" s="28">
        <f>IFERROR(__xludf.DUMMYFUNCTION("""COMPUTED_VALUE"""),45805.0)</f>
        <v>45805</v>
      </c>
      <c r="D3434" s="28">
        <f>IFERROR(__xludf.DUMMYFUNCTION("""COMPUTED_VALUE"""),45819.0)</f>
        <v>45819</v>
      </c>
      <c r="E3434" s="26">
        <f>IFERROR(__xludf.DUMMYFUNCTION("""COMPUTED_VALUE"""),331352.0)</f>
        <v>331352</v>
      </c>
      <c r="F3434" s="22" t="str">
        <f>IFERROR(__xludf.DUMMYFUNCTION("""COMPUTED_VALUE"""),"上司のわんこに転移しちゃいました【単話】")</f>
        <v>上司のわんこに転移しちゃいました【単話】</v>
      </c>
      <c r="G3434" s="20" t="str">
        <f>IFERROR(__xludf.DUMMYFUNCTION("""COMPUTED_VALUE"""),"1～3")</f>
        <v>1～3</v>
      </c>
      <c r="H3434" s="22" t="str">
        <f>IFERROR(__xludf.DUMMYFUNCTION("""COMPUTED_VALUE"""),"さわだ")</f>
        <v>さわだ</v>
      </c>
      <c r="I3434" s="22" t="str">
        <f>IFERROR(__xludf.DUMMYFUNCTION("""COMPUTED_VALUE"""),"女性")</f>
        <v>女性</v>
      </c>
      <c r="J3434" s="22"/>
      <c r="K3434" s="22"/>
      <c r="L3434" s="22" t="str">
        <f>IFERROR(__xludf.DUMMYFUNCTION("""COMPUTED_VALUE"""),"朝日新聞出版")</f>
        <v>朝日新聞出版</v>
      </c>
      <c r="M3434" s="33">
        <f>IFERROR(__xludf.DUMMYFUNCTION("""COMPUTED_VALUE"""),45868.0)</f>
        <v>45868</v>
      </c>
      <c r="N3434" s="33">
        <f>IFERROR(__xludf.DUMMYFUNCTION("""COMPUTED_VALUE"""),45959.0)</f>
        <v>45959</v>
      </c>
      <c r="O3434" s="20"/>
      <c r="P3434" s="32" t="str">
        <f>IFERROR(__xludf.DUMMYFUNCTION("""COMPUTED_VALUE"""),"可")</f>
        <v>可</v>
      </c>
      <c r="Q3434" s="30" t="str">
        <f>IFERROR(__xludf.DUMMYFUNCTION("""COMPUTED_VALUE"""),"初回1話無料")</f>
        <v>初回1話無料</v>
      </c>
      <c r="R3434" s="22" t="str">
        <f>IFERROR(__xludf.DUMMYFUNCTION("""COMPUTED_VALUE"""),"コミットNG")</f>
        <v>コミットNG</v>
      </c>
      <c r="S3434" s="22" t="str">
        <f>IFERROR(__xludf.DUMMYFUNCTION("""COMPUTED_VALUE"""),"20250528_朝日新聞出版_上司のわんこに移転しちゃいました")</f>
        <v>20250528_朝日新聞出版_上司のわんこに移転しちゃいました</v>
      </c>
      <c r="T3434" s="22" t="str">
        <f>IFERROR(__xludf.DUMMYFUNCTION("""COMPUTED_VALUE"""),"格納済み")</f>
        <v>格納済み</v>
      </c>
      <c r="U3434" s="9" t="str">
        <f>IFERROR(__xludf.DUMMYFUNCTION("""COMPUTED_VALUE"""),"Ⓒさわだ/朝日新聞出版")</f>
        <v>Ⓒさわだ/朝日新聞出版</v>
      </c>
      <c r="V3434" s="8"/>
      <c r="W3434" s="8"/>
      <c r="X3434" s="8" t="str">
        <f>IFERROR(__xludf.DUMMYFUNCTION("""COMPUTED_VALUE"""),"有")</f>
        <v>有</v>
      </c>
      <c r="Y3434" s="8" t="str">
        <f>IFERROR(__xludf.DUMMYFUNCTION("""COMPUTED_VALUE"""),"2025/6/29まで1巻無料")</f>
        <v>2025/6/29まで1巻無料</v>
      </c>
      <c r="Z3434" s="7"/>
      <c r="AA3434" s="7"/>
      <c r="AB3434" s="7"/>
    </row>
    <row r="3435" ht="15.75" customHeight="1">
      <c r="A3435" s="26">
        <f>IFERROR(__xludf.DUMMYFUNCTION("""COMPUTED_VALUE"""),5679.0)</f>
        <v>5679</v>
      </c>
      <c r="B3435" s="22" t="str">
        <f>IFERROR(__xludf.DUMMYFUNCTION("""COMPUTED_VALUE"""),"確定")</f>
        <v>確定</v>
      </c>
      <c r="C3435" s="28">
        <f>IFERROR(__xludf.DUMMYFUNCTION("""COMPUTED_VALUE"""),45806.0)</f>
        <v>45806</v>
      </c>
      <c r="D3435" s="28">
        <f>IFERROR(__xludf.DUMMYFUNCTION("""COMPUTED_VALUE"""),45818.0)</f>
        <v>45818</v>
      </c>
      <c r="E3435" s="26">
        <f>IFERROR(__xludf.DUMMYFUNCTION("""COMPUTED_VALUE"""),328208.0)</f>
        <v>328208</v>
      </c>
      <c r="F3435" s="22" t="str">
        <f>IFERROR(__xludf.DUMMYFUNCTION("""COMPUTED_VALUE"""),"前の住人がやって来た")</f>
        <v>前の住人がやって来た</v>
      </c>
      <c r="G3435" s="20" t="str">
        <f>IFERROR(__xludf.DUMMYFUNCTION("""COMPUTED_VALUE"""),"1～3")</f>
        <v>1～3</v>
      </c>
      <c r="H3435" s="22" t="str">
        <f>IFERROR(__xludf.DUMMYFUNCTION("""COMPUTED_VALUE"""),"原作∕⼤城密 漫画∕上⻄淳⼆ 編集協⼒∕サイドランチ　taskey STUDIO")</f>
        <v>原作∕⼤城密 漫画∕上⻄淳⼆ 編集協⼒∕サイドランチ　taskey STUDIO</v>
      </c>
      <c r="I3435" s="22" t="str">
        <f>IFERROR(__xludf.DUMMYFUNCTION("""COMPUTED_VALUE"""),"青年")</f>
        <v>青年</v>
      </c>
      <c r="J3435" s="22"/>
      <c r="K3435" s="22"/>
      <c r="L3435" s="22" t="str">
        <f>IFERROR(__xludf.DUMMYFUNCTION("""COMPUTED_VALUE"""),"taskey")</f>
        <v>taskey</v>
      </c>
      <c r="M3435" s="33">
        <f>IFERROR(__xludf.DUMMYFUNCTION("""COMPUTED_VALUE"""),45852.0)</f>
        <v>45852</v>
      </c>
      <c r="N3435" s="33">
        <f>IFERROR(__xludf.DUMMYFUNCTION("""COMPUTED_VALUE"""),45961.66666666667)</f>
        <v>45961.66667</v>
      </c>
      <c r="O3435" s="20"/>
      <c r="P3435" s="32" t="str">
        <f>IFERROR(__xludf.DUMMYFUNCTION("""COMPUTED_VALUE"""),"可")</f>
        <v>可</v>
      </c>
      <c r="Q3435" s="30"/>
      <c r="R3435" s="22" t="str">
        <f>IFERROR(__xludf.DUMMYFUNCTION("""COMPUTED_VALUE"""),"コミットOK")</f>
        <v>コミットOK</v>
      </c>
      <c r="S3435" s="22" t="str">
        <f>IFERROR(__xludf.DUMMYFUNCTION("""COMPUTED_VALUE"""),"20250610_taskey_前の住人がやって来た")</f>
        <v>20250610_taskey_前の住人がやって来た</v>
      </c>
      <c r="T3435" s="22" t="str">
        <f>IFERROR(__xludf.DUMMYFUNCTION("""COMPUTED_VALUE"""),"格納済み")</f>
        <v>格納済み</v>
      </c>
      <c r="U3435" s="9" t="str">
        <f>IFERROR(__xludf.DUMMYFUNCTION("""COMPUTED_VALUE"""),"Ⓒtaskey 原作∕⼤城密 漫画∕上⻄淳⼆ 編集協⼒∕サイドランチ")</f>
        <v>Ⓒtaskey 原作∕⼤城密 漫画∕上⻄淳⼆ 編集協⼒∕サイドランチ</v>
      </c>
      <c r="V3435" s="8"/>
      <c r="W3435" s="8"/>
      <c r="X3435" s="8" t="str">
        <f>IFERROR(__xludf.DUMMYFUNCTION("""COMPUTED_VALUE"""),"有")</f>
        <v>有</v>
      </c>
      <c r="Y3435" s="8" t="str">
        <f>IFERROR(__xludf.DUMMYFUNCTION("""COMPUTED_VALUE"""),"2025/10/13まで1巻無料")</f>
        <v>2025/10/13まで1巻無料</v>
      </c>
      <c r="Z3435" s="7"/>
      <c r="AA3435" s="7"/>
      <c r="AB3435" s="7"/>
    </row>
    <row r="3436" ht="15.75" customHeight="1">
      <c r="A3436" s="26">
        <f>IFERROR(__xludf.DUMMYFUNCTION("""COMPUTED_VALUE"""),5733.0)</f>
        <v>5733</v>
      </c>
      <c r="B3436" s="22" t="str">
        <f>IFERROR(__xludf.DUMMYFUNCTION("""COMPUTED_VALUE"""),"確定")</f>
        <v>確定</v>
      </c>
      <c r="C3436" s="28">
        <f>IFERROR(__xludf.DUMMYFUNCTION("""COMPUTED_VALUE"""),45813.0)</f>
        <v>45813</v>
      </c>
      <c r="D3436" s="28">
        <f>IFERROR(__xludf.DUMMYFUNCTION("""COMPUTED_VALUE"""),45817.0)</f>
        <v>45817</v>
      </c>
      <c r="E3436" s="26">
        <f>IFERROR(__xludf.DUMMYFUNCTION("""COMPUTED_VALUE"""),327995.0)</f>
        <v>327995</v>
      </c>
      <c r="F3436" s="22" t="str">
        <f>IFERROR(__xludf.DUMMYFUNCTION("""COMPUTED_VALUE"""),"大人の夏休み～セフレだった同級生と、むせ返る暑さで貪る三日間")</f>
        <v>大人の夏休み～セフレだった同級生と、むせ返る暑さで貪る三日間</v>
      </c>
      <c r="G3436" s="20" t="str">
        <f>IFERROR(__xludf.DUMMYFUNCTION("""COMPUTED_VALUE"""),"1～2")</f>
        <v>1～2</v>
      </c>
      <c r="H3436" s="22" t="str">
        <f>IFERROR(__xludf.DUMMYFUNCTION("""COMPUTED_VALUE"""),"山田愛妃/ひつじぐも")</f>
        <v>山田愛妃/ひつじぐも</v>
      </c>
      <c r="I3436" s="22" t="str">
        <f>IFERROR(__xludf.DUMMYFUNCTION("""COMPUTED_VALUE"""),"TL")</f>
        <v>TL</v>
      </c>
      <c r="J3436" s="22"/>
      <c r="K3436" s="22" t="str">
        <f>IFERROR(__xludf.DUMMYFUNCTION("""COMPUTED_VALUE"""),"ラブきゅんコミック")</f>
        <v>ラブきゅんコミック</v>
      </c>
      <c r="L3436" s="22" t="str">
        <f>IFERROR(__xludf.DUMMYFUNCTION("""COMPUTED_VALUE"""),"モバイルメディアリサーチ")</f>
        <v>モバイルメディアリサーチ</v>
      </c>
      <c r="M3436" s="33">
        <f>IFERROR(__xludf.DUMMYFUNCTION("""COMPUTED_VALUE"""),45864.0)</f>
        <v>45864</v>
      </c>
      <c r="N3436" s="33">
        <f>IFERROR(__xludf.DUMMYFUNCTION("""COMPUTED_VALUE"""),45919.0)</f>
        <v>45919</v>
      </c>
      <c r="O3436" s="20"/>
      <c r="P3436" s="32" t="str">
        <f>IFERROR(__xludf.DUMMYFUNCTION("""COMPUTED_VALUE"""),"可")</f>
        <v>可</v>
      </c>
      <c r="Q3436" s="30"/>
      <c r="R3436" s="22"/>
      <c r="S3436" s="22" t="str">
        <f>IFERROR(__xludf.DUMMYFUNCTION("""COMPUTED_VALUE"""),"20250605_ファンギルド_大人の夏休み～セフレだった同級生と、むせ返る暑さで貪る三日間")</f>
        <v>20250605_ファンギルド_大人の夏休み～セフレだった同級生と、むせ返る暑さで貪る三日間</v>
      </c>
      <c r="T3436" s="22" t="str">
        <f>IFERROR(__xludf.DUMMYFUNCTION("""COMPUTED_VALUE"""),"格納済み")</f>
        <v>格納済み</v>
      </c>
      <c r="U3436" s="9" t="str">
        <f>IFERROR(__xludf.DUMMYFUNCTION("""COMPUTED_VALUE"""),"ⒸAihi Yamada/HITUZIGUMO/MMR")</f>
        <v>ⒸAihi Yamada/HITUZIGUMO/MMR</v>
      </c>
      <c r="V3436" s="8"/>
      <c r="W3436" s="8"/>
      <c r="X3436" s="8" t="str">
        <f>IFERROR(__xludf.DUMMYFUNCTION("""COMPUTED_VALUE"""),"有")</f>
        <v>有</v>
      </c>
      <c r="Y3436" s="8" t="str">
        <f>IFERROR(__xludf.DUMMYFUNCTION("""COMPUTED_VALUE"""),"P7まで")</f>
        <v>P7まで</v>
      </c>
      <c r="Z3436" s="7"/>
      <c r="AA3436" s="7"/>
      <c r="AB3436" s="7"/>
    </row>
    <row r="3437" ht="15.75" customHeight="1">
      <c r="A3437" s="26">
        <f>IFERROR(__xludf.DUMMYFUNCTION("""COMPUTED_VALUE"""),5734.0)</f>
        <v>5734</v>
      </c>
      <c r="B3437" s="22" t="str">
        <f>IFERROR(__xludf.DUMMYFUNCTION("""COMPUTED_VALUE"""),"確定")</f>
        <v>確定</v>
      </c>
      <c r="C3437" s="28">
        <f>IFERROR(__xludf.DUMMYFUNCTION("""COMPUTED_VALUE"""),45813.0)</f>
        <v>45813</v>
      </c>
      <c r="D3437" s="28">
        <f>IFERROR(__xludf.DUMMYFUNCTION("""COMPUTED_VALUE"""),45817.0)</f>
        <v>45817</v>
      </c>
      <c r="E3437" s="26">
        <f>IFERROR(__xludf.DUMMYFUNCTION("""COMPUTED_VALUE"""),327996.0)</f>
        <v>327996</v>
      </c>
      <c r="F3437" s="22" t="str">
        <f>IFERROR(__xludf.DUMMYFUNCTION("""COMPUTED_VALUE"""),"家族攻略～アイツの女を堕とすまで～")</f>
        <v>家族攻略～アイツの女を堕とすまで～</v>
      </c>
      <c r="G3437" s="20" t="str">
        <f>IFERROR(__xludf.DUMMYFUNCTION("""COMPUTED_VALUE"""),"1～4")</f>
        <v>1～4</v>
      </c>
      <c r="H3437" s="22" t="str">
        <f>IFERROR(__xludf.DUMMYFUNCTION("""COMPUTED_VALUE"""),"Park Dae Man")</f>
        <v>Park Dae Man</v>
      </c>
      <c r="I3437" s="22" t="str">
        <f>IFERROR(__xludf.DUMMYFUNCTION("""COMPUTED_VALUE"""),"青年")</f>
        <v>青年</v>
      </c>
      <c r="J3437" s="22"/>
      <c r="K3437" s="22"/>
      <c r="L3437" s="22" t="str">
        <f>IFERROR(__xludf.DUMMYFUNCTION("""COMPUTED_VALUE"""),"Rush!")</f>
        <v>Rush!</v>
      </c>
      <c r="M3437" s="33">
        <f>IFERROR(__xludf.DUMMYFUNCTION("""COMPUTED_VALUE"""),45849.0)</f>
        <v>45849</v>
      </c>
      <c r="N3437" s="33">
        <f>IFERROR(__xludf.DUMMYFUNCTION("""COMPUTED_VALUE"""),45876.0)</f>
        <v>45876</v>
      </c>
      <c r="O3437" s="20"/>
      <c r="P3437" s="32" t="str">
        <f>IFERROR(__xludf.DUMMYFUNCTION("""COMPUTED_VALUE"""),"可")</f>
        <v>可</v>
      </c>
      <c r="Q3437" s="30"/>
      <c r="R3437" s="22"/>
      <c r="S3437" s="22" t="str">
        <f>IFERROR(__xludf.DUMMYFUNCTION("""COMPUTED_VALUE"""),"20250605_ファンギルド_家族攻略～アイツの女を堕とすまで～")</f>
        <v>20250605_ファンギルド_家族攻略～アイツの女を堕とすまで～</v>
      </c>
      <c r="T3437" s="22" t="str">
        <f>IFERROR(__xludf.DUMMYFUNCTION("""COMPUTED_VALUE"""),"格納済み")</f>
        <v>格納済み</v>
      </c>
      <c r="U3437" s="9" t="str">
        <f>IFERROR(__xludf.DUMMYFUNCTION("""COMPUTED_VALUE"""),"ⒸPark Dae Man/TOPTOON")</f>
        <v>ⒸPark Dae Man/TOPTOON</v>
      </c>
      <c r="V3437" s="8"/>
      <c r="W3437" s="8"/>
      <c r="X3437" s="8" t="str">
        <f>IFERROR(__xludf.DUMMYFUNCTION("""COMPUTED_VALUE"""),"有")</f>
        <v>有</v>
      </c>
      <c r="Y3437" s="8" t="str">
        <f>IFERROR(__xludf.DUMMYFUNCTION("""COMPUTED_VALUE"""),"2025/8/7まで1巻無料")</f>
        <v>2025/8/7まで1巻無料</v>
      </c>
      <c r="Z3437" s="7"/>
      <c r="AA3437" s="7"/>
      <c r="AB3437" s="7"/>
    </row>
    <row r="3438" ht="15.75" customHeight="1">
      <c r="A3438" s="26">
        <f>IFERROR(__xludf.DUMMYFUNCTION("""COMPUTED_VALUE"""),5735.0)</f>
        <v>5735</v>
      </c>
      <c r="B3438" s="22" t="str">
        <f>IFERROR(__xludf.DUMMYFUNCTION("""COMPUTED_VALUE"""),"確定")</f>
        <v>確定</v>
      </c>
      <c r="C3438" s="28">
        <f>IFERROR(__xludf.DUMMYFUNCTION("""COMPUTED_VALUE"""),45813.0)</f>
        <v>45813</v>
      </c>
      <c r="D3438" s="28">
        <f>IFERROR(__xludf.DUMMYFUNCTION("""COMPUTED_VALUE"""),45817.0)</f>
        <v>45817</v>
      </c>
      <c r="E3438" s="26">
        <f>IFERROR(__xludf.DUMMYFUNCTION("""COMPUTED_VALUE"""),327997.0)</f>
        <v>327997</v>
      </c>
      <c r="F3438" s="22" t="str">
        <f>IFERROR(__xludf.DUMMYFUNCTION("""COMPUTED_VALUE"""),"夜伽物語～ご先祖からヤれと言われまして～")</f>
        <v>夜伽物語～ご先祖からヤれと言われまして～</v>
      </c>
      <c r="G3438" s="20" t="str">
        <f>IFERROR(__xludf.DUMMYFUNCTION("""COMPUTED_VALUE"""),"1～4")</f>
        <v>1～4</v>
      </c>
      <c r="H3438" s="22" t="str">
        <f>IFERROR(__xludf.DUMMYFUNCTION("""COMPUTED_VALUE"""),"Gyou/なめる")</f>
        <v>Gyou/なめる</v>
      </c>
      <c r="I3438" s="22" t="str">
        <f>IFERROR(__xludf.DUMMYFUNCTION("""COMPUTED_VALUE"""),"青年")</f>
        <v>青年</v>
      </c>
      <c r="J3438" s="22"/>
      <c r="K3438" s="22"/>
      <c r="L3438" s="22" t="str">
        <f>IFERROR(__xludf.DUMMYFUNCTION("""COMPUTED_VALUE"""),"Rush!")</f>
        <v>Rush!</v>
      </c>
      <c r="M3438" s="33">
        <f>IFERROR(__xludf.DUMMYFUNCTION("""COMPUTED_VALUE"""),45863.0)</f>
        <v>45863</v>
      </c>
      <c r="N3438" s="33">
        <f>IFERROR(__xludf.DUMMYFUNCTION("""COMPUTED_VALUE"""),45890.0)</f>
        <v>45890</v>
      </c>
      <c r="O3438" s="20"/>
      <c r="P3438" s="32" t="str">
        <f>IFERROR(__xludf.DUMMYFUNCTION("""COMPUTED_VALUE"""),"可")</f>
        <v>可</v>
      </c>
      <c r="Q3438" s="30"/>
      <c r="R3438" s="22"/>
      <c r="S3438" s="22" t="str">
        <f>IFERROR(__xludf.DUMMYFUNCTION("""COMPUTED_VALUE"""),"20250605_ファンギルド_夜伽物語～ご先祖からヤれと言われまして～")</f>
        <v>20250605_ファンギルド_夜伽物語～ご先祖からヤれと言われまして～</v>
      </c>
      <c r="T3438" s="22" t="str">
        <f>IFERROR(__xludf.DUMMYFUNCTION("""COMPUTED_VALUE"""),"格納済み")</f>
        <v>格納済み</v>
      </c>
      <c r="U3438" s="9" t="str">
        <f>IFERROR(__xludf.DUMMYFUNCTION("""COMPUTED_VALUE"""),"ⒸGyou/なめる/TOPTOON")</f>
        <v>ⒸGyou/なめる/TOPTOON</v>
      </c>
      <c r="V3438" s="8"/>
      <c r="W3438" s="8"/>
      <c r="X3438" s="8" t="str">
        <f>IFERROR(__xludf.DUMMYFUNCTION("""COMPUTED_VALUE"""),"有")</f>
        <v>有</v>
      </c>
      <c r="Y3438" s="8" t="str">
        <f>IFERROR(__xludf.DUMMYFUNCTION("""COMPUTED_VALUE"""),"2025/8/7まで1巻無料")</f>
        <v>2025/8/7まで1巻無料</v>
      </c>
      <c r="Z3438" s="7"/>
      <c r="AA3438" s="7"/>
      <c r="AB3438" s="7"/>
    </row>
    <row r="3439" ht="15.75" customHeight="1">
      <c r="A3439" s="26">
        <f>IFERROR(__xludf.DUMMYFUNCTION("""COMPUTED_VALUE"""),5736.0)</f>
        <v>5736</v>
      </c>
      <c r="B3439" s="22" t="str">
        <f>IFERROR(__xludf.DUMMYFUNCTION("""COMPUTED_VALUE"""),"確定")</f>
        <v>確定</v>
      </c>
      <c r="C3439" s="28">
        <f>IFERROR(__xludf.DUMMYFUNCTION("""COMPUTED_VALUE"""),45813.0)</f>
        <v>45813</v>
      </c>
      <c r="D3439" s="28">
        <f>IFERROR(__xludf.DUMMYFUNCTION("""COMPUTED_VALUE"""),45817.0)</f>
        <v>45817</v>
      </c>
      <c r="E3439" s="26">
        <f>IFERROR(__xludf.DUMMYFUNCTION("""COMPUTED_VALUE"""),327998.0)</f>
        <v>327998</v>
      </c>
      <c r="F3439" s="22" t="str">
        <f>IFERROR(__xludf.DUMMYFUNCTION("""COMPUTED_VALUE"""),"恋の始まりは秘密から")</f>
        <v>恋の始まりは秘密から</v>
      </c>
      <c r="G3439" s="20" t="str">
        <f>IFERROR(__xludf.DUMMYFUNCTION("""COMPUTED_VALUE"""),"1～4")</f>
        <v>1～4</v>
      </c>
      <c r="H3439" s="22" t="str">
        <f>IFERROR(__xludf.DUMMYFUNCTION("""COMPUTED_VALUE"""),"チョコチップ")</f>
        <v>チョコチップ</v>
      </c>
      <c r="I3439" s="22" t="str">
        <f>IFERROR(__xludf.DUMMYFUNCTION("""COMPUTED_VALUE"""),"女性")</f>
        <v>女性</v>
      </c>
      <c r="J3439" s="22"/>
      <c r="K3439" s="22"/>
      <c r="L3439" s="22" t="str">
        <f>IFERROR(__xludf.DUMMYFUNCTION("""COMPUTED_VALUE"""),"Rush!")</f>
        <v>Rush!</v>
      </c>
      <c r="M3439" s="33">
        <f>IFERROR(__xludf.DUMMYFUNCTION("""COMPUTED_VALUE"""),45870.0)</f>
        <v>45870</v>
      </c>
      <c r="N3439" s="33">
        <f>IFERROR(__xludf.DUMMYFUNCTION("""COMPUTED_VALUE"""),45897.0)</f>
        <v>45897</v>
      </c>
      <c r="O3439" s="20"/>
      <c r="P3439" s="32" t="str">
        <f>IFERROR(__xludf.DUMMYFUNCTION("""COMPUTED_VALUE"""),"可")</f>
        <v>可</v>
      </c>
      <c r="Q3439" s="30"/>
      <c r="R3439" s="22"/>
      <c r="S3439" s="22" t="str">
        <f>IFERROR(__xludf.DUMMYFUNCTION("""COMPUTED_VALUE"""),"20250605_ファンギルド_恋の始まりは秘密から")</f>
        <v>20250605_ファンギルド_恋の始まりは秘密から</v>
      </c>
      <c r="T3439" s="22" t="str">
        <f>IFERROR(__xludf.DUMMYFUNCTION("""COMPUTED_VALUE"""),"格納済み")</f>
        <v>格納済み</v>
      </c>
      <c r="U3439" s="9" t="str">
        <f>IFERROR(__xludf.DUMMYFUNCTION("""COMPUTED_VALUE"""),"Ⓒチョコチップ/TOPTOON")</f>
        <v>Ⓒチョコチップ/TOPTOON</v>
      </c>
      <c r="V3439" s="8"/>
      <c r="W3439" s="8"/>
      <c r="X3439" s="8" t="str">
        <f>IFERROR(__xludf.DUMMYFUNCTION("""COMPUTED_VALUE"""),"有")</f>
        <v>有</v>
      </c>
      <c r="Y3439" s="8" t="str">
        <f>IFERROR(__xludf.DUMMYFUNCTION("""COMPUTED_VALUE"""),"P29まで")</f>
        <v>P29まで</v>
      </c>
      <c r="Z3439" s="7"/>
      <c r="AA3439" s="7"/>
      <c r="AB3439" s="7"/>
    </row>
    <row r="3440" ht="15.75" customHeight="1">
      <c r="A3440" s="26">
        <f>IFERROR(__xludf.DUMMYFUNCTION("""COMPUTED_VALUE"""),5737.0)</f>
        <v>5737</v>
      </c>
      <c r="B3440" s="22" t="str">
        <f>IFERROR(__xludf.DUMMYFUNCTION("""COMPUTED_VALUE"""),"確定")</f>
        <v>確定</v>
      </c>
      <c r="C3440" s="28">
        <f>IFERROR(__xludf.DUMMYFUNCTION("""COMPUTED_VALUE"""),45813.0)</f>
        <v>45813</v>
      </c>
      <c r="D3440" s="28">
        <f>IFERROR(__xludf.DUMMYFUNCTION("""COMPUTED_VALUE"""),45817.0)</f>
        <v>45817</v>
      </c>
      <c r="E3440" s="26">
        <f>IFERROR(__xludf.DUMMYFUNCTION("""COMPUTED_VALUE"""),328003.0)</f>
        <v>328003</v>
      </c>
      <c r="F3440" s="22" t="str">
        <f>IFERROR(__xludf.DUMMYFUNCTION("""COMPUTED_VALUE"""),"二世界ハーレム～エロゲのしすぎで現実無双～")</f>
        <v>二世界ハーレム～エロゲのしすぎで現実無双～</v>
      </c>
      <c r="G3440" s="20" t="str">
        <f>IFERROR(__xludf.DUMMYFUNCTION("""COMPUTED_VALUE"""),"1～3")</f>
        <v>1～3</v>
      </c>
      <c r="H3440" s="22" t="str">
        <f>IFERROR(__xludf.DUMMYFUNCTION("""COMPUTED_VALUE"""),"kokodor/wicked black")</f>
        <v>kokodor/wicked black</v>
      </c>
      <c r="I3440" s="22" t="str">
        <f>IFERROR(__xludf.DUMMYFUNCTION("""COMPUTED_VALUE"""),"青年")</f>
        <v>青年</v>
      </c>
      <c r="J3440" s="22"/>
      <c r="K3440" s="22"/>
      <c r="L3440" s="22" t="str">
        <f>IFERROR(__xludf.DUMMYFUNCTION("""COMPUTED_VALUE"""),"Rush!")</f>
        <v>Rush!</v>
      </c>
      <c r="M3440" s="33">
        <f>IFERROR(__xludf.DUMMYFUNCTION("""COMPUTED_VALUE"""),45863.0)</f>
        <v>45863</v>
      </c>
      <c r="N3440" s="33">
        <f>IFERROR(__xludf.DUMMYFUNCTION("""COMPUTED_VALUE"""),45890.0)</f>
        <v>45890</v>
      </c>
      <c r="O3440" s="20"/>
      <c r="P3440" s="32" t="str">
        <f>IFERROR(__xludf.DUMMYFUNCTION("""COMPUTED_VALUE"""),"可")</f>
        <v>可</v>
      </c>
      <c r="Q3440" s="30"/>
      <c r="R3440" s="22"/>
      <c r="S3440" s="22" t="str">
        <f>IFERROR(__xludf.DUMMYFUNCTION("""COMPUTED_VALUE"""),"20250605_ファンギルド_二世界ハーレム～エロゲのしすぎで現実無双～")</f>
        <v>20250605_ファンギルド_二世界ハーレム～エロゲのしすぎで現実無双～</v>
      </c>
      <c r="T3440" s="22" t="str">
        <f>IFERROR(__xludf.DUMMYFUNCTION("""COMPUTED_VALUE"""),"格納済み")</f>
        <v>格納済み</v>
      </c>
      <c r="U3440" s="9" t="str">
        <f>IFERROR(__xludf.DUMMYFUNCTION("""COMPUTED_VALUE"""),"Ⓒkokodor/wicked black")</f>
        <v>Ⓒkokodor/wicked black</v>
      </c>
      <c r="V3440" s="8"/>
      <c r="W3440" s="8"/>
      <c r="X3440" s="8" t="str">
        <f>IFERROR(__xludf.DUMMYFUNCTION("""COMPUTED_VALUE"""),"有")</f>
        <v>有</v>
      </c>
      <c r="Y3440" s="8" t="str">
        <f>IFERROR(__xludf.DUMMYFUNCTION("""COMPUTED_VALUE"""),"2025/8/7まで1巻無料")</f>
        <v>2025/8/7まで1巻無料</v>
      </c>
      <c r="Z3440" s="7"/>
      <c r="AA3440" s="7"/>
      <c r="AB3440" s="7"/>
    </row>
    <row r="3441" ht="15.75" customHeight="1">
      <c r="A3441" s="26">
        <f>IFERROR(__xludf.DUMMYFUNCTION("""COMPUTED_VALUE"""),5738.0)</f>
        <v>5738</v>
      </c>
      <c r="B3441" s="22" t="str">
        <f>IFERROR(__xludf.DUMMYFUNCTION("""COMPUTED_VALUE"""),"確定")</f>
        <v>確定</v>
      </c>
      <c r="C3441" s="28">
        <f>IFERROR(__xludf.DUMMYFUNCTION("""COMPUTED_VALUE"""),45813.0)</f>
        <v>45813</v>
      </c>
      <c r="D3441" s="28">
        <f>IFERROR(__xludf.DUMMYFUNCTION("""COMPUTED_VALUE"""),45817.0)</f>
        <v>45817</v>
      </c>
      <c r="E3441" s="26">
        <f>IFERROR(__xludf.DUMMYFUNCTION("""COMPUTED_VALUE"""),327999.0)</f>
        <v>327999</v>
      </c>
      <c r="F3441" s="22" t="str">
        <f>IFERROR(__xludf.DUMMYFUNCTION("""COMPUTED_VALUE"""),"シンデレラ・ドール～脱いだらはじまる、この恋は～")</f>
        <v>シンデレラ・ドール～脱いだらはじまる、この恋は～</v>
      </c>
      <c r="G3441" s="20" t="str">
        <f>IFERROR(__xludf.DUMMYFUNCTION("""COMPUTED_VALUE"""),"1～5")</f>
        <v>1～5</v>
      </c>
      <c r="H3441" s="22" t="str">
        <f>IFERROR(__xludf.DUMMYFUNCTION("""COMPUTED_VALUE"""),"小鳥遊はな")</f>
        <v>小鳥遊はな</v>
      </c>
      <c r="I3441" s="22" t="str">
        <f>IFERROR(__xludf.DUMMYFUNCTION("""COMPUTED_VALUE"""),"少女")</f>
        <v>少女</v>
      </c>
      <c r="J3441" s="22"/>
      <c r="K3441" s="22"/>
      <c r="L3441" s="22" t="str">
        <f>IFERROR(__xludf.DUMMYFUNCTION("""COMPUTED_VALUE"""),"ファンギルド")</f>
        <v>ファンギルド</v>
      </c>
      <c r="M3441" s="33">
        <f>IFERROR(__xludf.DUMMYFUNCTION("""COMPUTED_VALUE"""),45861.0)</f>
        <v>45861</v>
      </c>
      <c r="N3441" s="33">
        <f>IFERROR(__xludf.DUMMYFUNCTION("""COMPUTED_VALUE"""),45895.0)</f>
        <v>45895</v>
      </c>
      <c r="O3441" s="20"/>
      <c r="P3441" s="32" t="str">
        <f>IFERROR(__xludf.DUMMYFUNCTION("""COMPUTED_VALUE"""),"可")</f>
        <v>可</v>
      </c>
      <c r="Q3441" s="30"/>
      <c r="R3441" s="22"/>
      <c r="S3441" s="22" t="str">
        <f>IFERROR(__xludf.DUMMYFUNCTION("""COMPUTED_VALUE"""),"20250605_ファンギルド_シンデレラ・ドール～脱いだらはじまる、この恋は～")</f>
        <v>20250605_ファンギルド_シンデレラ・ドール～脱いだらはじまる、この恋は～</v>
      </c>
      <c r="T3441" s="22" t="str">
        <f>IFERROR(__xludf.DUMMYFUNCTION("""COMPUTED_VALUE"""),"格納済み")</f>
        <v>格納済み</v>
      </c>
      <c r="U3441" s="9" t="str">
        <f>IFERROR(__xludf.DUMMYFUNCTION("""COMPUTED_VALUE"""),"Ⓒ小鳥遊はな/ファンギルド")</f>
        <v>Ⓒ小鳥遊はな/ファンギルド</v>
      </c>
      <c r="V3441" s="8"/>
      <c r="W3441" s="8"/>
      <c r="X3441" s="8" t="str">
        <f>IFERROR(__xludf.DUMMYFUNCTION("""COMPUTED_VALUE"""),"有")</f>
        <v>有</v>
      </c>
      <c r="Y3441" s="8" t="str">
        <f>IFERROR(__xludf.DUMMYFUNCTION("""COMPUTED_VALUE"""),"P7まで")</f>
        <v>P7まで</v>
      </c>
      <c r="Z3441" s="7"/>
      <c r="AA3441" s="7"/>
      <c r="AB3441" s="7"/>
    </row>
    <row r="3442" ht="15.75" customHeight="1">
      <c r="A3442" s="26">
        <f>IFERROR(__xludf.DUMMYFUNCTION("""COMPUTED_VALUE"""),5739.0)</f>
        <v>5739</v>
      </c>
      <c r="B3442" s="22" t="str">
        <f>IFERROR(__xludf.DUMMYFUNCTION("""COMPUTED_VALUE"""),"確定")</f>
        <v>確定</v>
      </c>
      <c r="C3442" s="28">
        <f>IFERROR(__xludf.DUMMYFUNCTION("""COMPUTED_VALUE"""),45813.0)</f>
        <v>45813</v>
      </c>
      <c r="D3442" s="28">
        <f>IFERROR(__xludf.DUMMYFUNCTION("""COMPUTED_VALUE"""),45818.0)</f>
        <v>45818</v>
      </c>
      <c r="E3442" s="26">
        <f>IFERROR(__xludf.DUMMYFUNCTION("""COMPUTED_VALUE"""),328000.0)</f>
        <v>328000</v>
      </c>
      <c r="F3442" s="22" t="str">
        <f>IFERROR(__xludf.DUMMYFUNCTION("""COMPUTED_VALUE"""),"若き社長は婚約者の姉を溺愛する")</f>
        <v>若き社長は婚約者の姉を溺愛する</v>
      </c>
      <c r="G3442" s="20" t="str">
        <f>IFERROR(__xludf.DUMMYFUNCTION("""COMPUTED_VALUE"""),"1～4")</f>
        <v>1～4</v>
      </c>
      <c r="H3442" s="22" t="str">
        <f>IFERROR(__xludf.DUMMYFUNCTION("""COMPUTED_VALUE"""),"黒蜜イチゴ/椿蛍")</f>
        <v>黒蜜イチゴ/椿蛍</v>
      </c>
      <c r="I3442" s="22" t="str">
        <f>IFERROR(__xludf.DUMMYFUNCTION("""COMPUTED_VALUE"""),"女性")</f>
        <v>女性</v>
      </c>
      <c r="J3442" s="22"/>
      <c r="K3442" s="22"/>
      <c r="L3442" s="22" t="str">
        <f>IFERROR(__xludf.DUMMYFUNCTION("""COMPUTED_VALUE"""),"ファンギルド")</f>
        <v>ファンギルド</v>
      </c>
      <c r="M3442" s="33">
        <f>IFERROR(__xludf.DUMMYFUNCTION("""COMPUTED_VALUE"""),45847.0)</f>
        <v>45847</v>
      </c>
      <c r="N3442" s="33">
        <f>IFERROR(__xludf.DUMMYFUNCTION("""COMPUTED_VALUE"""),45881.0)</f>
        <v>45881</v>
      </c>
      <c r="O3442" s="20"/>
      <c r="P3442" s="32" t="str">
        <f>IFERROR(__xludf.DUMMYFUNCTION("""COMPUTED_VALUE"""),"可")</f>
        <v>可</v>
      </c>
      <c r="Q3442" s="30"/>
      <c r="R3442" s="22"/>
      <c r="S3442" s="22" t="str">
        <f>IFERROR(__xludf.DUMMYFUNCTION("""COMPUTED_VALUE"""),"20250605_ファンギルド_若き社長は婚約者の姉を溺愛する")</f>
        <v>20250605_ファンギルド_若き社長は婚約者の姉を溺愛する</v>
      </c>
      <c r="T3442" s="22" t="str">
        <f>IFERROR(__xludf.DUMMYFUNCTION("""COMPUTED_VALUE"""),"格納済み")</f>
        <v>格納済み</v>
      </c>
      <c r="U3442" s="9" t="str">
        <f>IFERROR(__xludf.DUMMYFUNCTION("""COMPUTED_VALUE"""),"ⒸIchigo Kuromitsu/Hotaru Tubaki/FUNGUILD")</f>
        <v>ⒸIchigo Kuromitsu/Hotaru Tubaki/FUNGUILD</v>
      </c>
      <c r="V3442" s="8"/>
      <c r="W3442" s="8"/>
      <c r="X3442" s="8" t="str">
        <f>IFERROR(__xludf.DUMMYFUNCTION("""COMPUTED_VALUE"""),"有")</f>
        <v>有</v>
      </c>
      <c r="Y3442" s="8" t="str">
        <f>IFERROR(__xludf.DUMMYFUNCTION("""COMPUTED_VALUE"""),"2025/7/22まで1巻無料")</f>
        <v>2025/7/22まで1巻無料</v>
      </c>
      <c r="Z3442" s="7"/>
      <c r="AA3442" s="7"/>
      <c r="AB3442" s="7"/>
    </row>
    <row r="3443" ht="15.75" customHeight="1">
      <c r="A3443" s="26">
        <f>IFERROR(__xludf.DUMMYFUNCTION("""COMPUTED_VALUE"""),5740.0)</f>
        <v>5740</v>
      </c>
      <c r="B3443" s="22" t="str">
        <f>IFERROR(__xludf.DUMMYFUNCTION("""COMPUTED_VALUE"""),"確定")</f>
        <v>確定</v>
      </c>
      <c r="C3443" s="28">
        <f>IFERROR(__xludf.DUMMYFUNCTION("""COMPUTED_VALUE"""),45813.0)</f>
        <v>45813</v>
      </c>
      <c r="D3443" s="28">
        <f>IFERROR(__xludf.DUMMYFUNCTION("""COMPUTED_VALUE"""),45818.0)</f>
        <v>45818</v>
      </c>
      <c r="E3443" s="26">
        <f>IFERROR(__xludf.DUMMYFUNCTION("""COMPUTED_VALUE"""),328001.0)</f>
        <v>328001</v>
      </c>
      <c r="F3443" s="22" t="str">
        <f>IFERROR(__xludf.DUMMYFUNCTION("""COMPUTED_VALUE"""),"失踪妻～消えた彼女の秘密")</f>
        <v>失踪妻～消えた彼女の秘密</v>
      </c>
      <c r="G3443" s="20" t="str">
        <f>IFERROR(__xludf.DUMMYFUNCTION("""COMPUTED_VALUE"""),"1～5")</f>
        <v>1～5</v>
      </c>
      <c r="H3443" s="22" t="str">
        <f>IFERROR(__xludf.DUMMYFUNCTION("""COMPUTED_VALUE"""),"只ノ葉月")</f>
        <v>只ノ葉月</v>
      </c>
      <c r="I3443" s="22" t="str">
        <f>IFERROR(__xludf.DUMMYFUNCTION("""COMPUTED_VALUE"""),"青年")</f>
        <v>青年</v>
      </c>
      <c r="J3443" s="22"/>
      <c r="K3443" s="22"/>
      <c r="L3443" s="22" t="str">
        <f>IFERROR(__xludf.DUMMYFUNCTION("""COMPUTED_VALUE"""),"ファンギルド")</f>
        <v>ファンギルド</v>
      </c>
      <c r="M3443" s="33">
        <f>IFERROR(__xludf.DUMMYFUNCTION("""COMPUTED_VALUE"""),45850.0)</f>
        <v>45850</v>
      </c>
      <c r="N3443" s="33">
        <f>IFERROR(__xludf.DUMMYFUNCTION("""COMPUTED_VALUE"""),45912.0)</f>
        <v>45912</v>
      </c>
      <c r="O3443" s="20"/>
      <c r="P3443" s="32" t="str">
        <f>IFERROR(__xludf.DUMMYFUNCTION("""COMPUTED_VALUE"""),"可")</f>
        <v>可</v>
      </c>
      <c r="Q3443" s="30"/>
      <c r="R3443" s="22"/>
      <c r="S3443" s="22" t="str">
        <f>IFERROR(__xludf.DUMMYFUNCTION("""COMPUTED_VALUE"""),"20250605_ファンギルド_失踪妻～消えた彼女の秘密")</f>
        <v>20250605_ファンギルド_失踪妻～消えた彼女の秘密</v>
      </c>
      <c r="T3443" s="22" t="str">
        <f>IFERROR(__xludf.DUMMYFUNCTION("""COMPUTED_VALUE"""),"格納済み")</f>
        <v>格納済み</v>
      </c>
      <c r="U3443" s="9" t="str">
        <f>IFERROR(__xludf.DUMMYFUNCTION("""COMPUTED_VALUE"""),"ⒸHazuki Tadano/FUNGUILD")</f>
        <v>ⒸHazuki Tadano/FUNGUILD</v>
      </c>
      <c r="V3443" s="8"/>
      <c r="W3443" s="8"/>
      <c r="X3443" s="8" t="str">
        <f>IFERROR(__xludf.DUMMYFUNCTION("""COMPUTED_VALUE"""),"有")</f>
        <v>有</v>
      </c>
      <c r="Y3443" s="8" t="str">
        <f>IFERROR(__xludf.DUMMYFUNCTION("""COMPUTED_VALUE"""),"2025/9/12まで1巻無料")</f>
        <v>2025/9/12まで1巻無料</v>
      </c>
      <c r="Z3443" s="7"/>
      <c r="AA3443" s="7"/>
      <c r="AB3443" s="7"/>
    </row>
    <row r="3444" ht="15.75" customHeight="1">
      <c r="A3444" s="26">
        <f>IFERROR(__xludf.DUMMYFUNCTION("""COMPUTED_VALUE"""),5741.0)</f>
        <v>5741</v>
      </c>
      <c r="B3444" s="22" t="str">
        <f>IFERROR(__xludf.DUMMYFUNCTION("""COMPUTED_VALUE"""),"確定")</f>
        <v>確定</v>
      </c>
      <c r="C3444" s="28">
        <f>IFERROR(__xludf.DUMMYFUNCTION("""COMPUTED_VALUE"""),45813.0)</f>
        <v>45813</v>
      </c>
      <c r="D3444" s="28">
        <f>IFERROR(__xludf.DUMMYFUNCTION("""COMPUTED_VALUE"""),45818.0)</f>
        <v>45818</v>
      </c>
      <c r="E3444" s="26">
        <f>IFERROR(__xludf.DUMMYFUNCTION("""COMPUTED_VALUE"""),328002.0)</f>
        <v>328002</v>
      </c>
      <c r="F3444" s="22" t="str">
        <f>IFERROR(__xludf.DUMMYFUNCTION("""COMPUTED_VALUE"""),"私の彼氏は殺人者")</f>
        <v>私の彼氏は殺人者</v>
      </c>
      <c r="G3444" s="20" t="str">
        <f>IFERROR(__xludf.DUMMYFUNCTION("""COMPUTED_VALUE"""),"1～5")</f>
        <v>1～5</v>
      </c>
      <c r="H3444" s="22" t="str">
        <f>IFERROR(__xludf.DUMMYFUNCTION("""COMPUTED_VALUE"""),"黒川緤")</f>
        <v>黒川緤</v>
      </c>
      <c r="I3444" s="22" t="str">
        <f>IFERROR(__xludf.DUMMYFUNCTION("""COMPUTED_VALUE"""),"青年")</f>
        <v>青年</v>
      </c>
      <c r="J3444" s="22"/>
      <c r="K3444" s="22"/>
      <c r="L3444" s="22" t="str">
        <f>IFERROR(__xludf.DUMMYFUNCTION("""COMPUTED_VALUE"""),"ファンギルド")</f>
        <v>ファンギルド</v>
      </c>
      <c r="M3444" s="33">
        <f>IFERROR(__xludf.DUMMYFUNCTION("""COMPUTED_VALUE"""),45850.0)</f>
        <v>45850</v>
      </c>
      <c r="N3444" s="33">
        <f>IFERROR(__xludf.DUMMYFUNCTION("""COMPUTED_VALUE"""),45912.0)</f>
        <v>45912</v>
      </c>
      <c r="O3444" s="20"/>
      <c r="P3444" s="32" t="str">
        <f>IFERROR(__xludf.DUMMYFUNCTION("""COMPUTED_VALUE"""),"可")</f>
        <v>可</v>
      </c>
      <c r="Q3444" s="30"/>
      <c r="R3444" s="22"/>
      <c r="S3444" s="22" t="str">
        <f>IFERROR(__xludf.DUMMYFUNCTION("""COMPUTED_VALUE"""),"20250605_ファンギルド_私の彼氏は殺人者")</f>
        <v>20250605_ファンギルド_私の彼氏は殺人者</v>
      </c>
      <c r="T3444" s="22" t="str">
        <f>IFERROR(__xludf.DUMMYFUNCTION("""COMPUTED_VALUE"""),"格納済み")</f>
        <v>格納済み</v>
      </c>
      <c r="U3444" s="9" t="str">
        <f>IFERROR(__xludf.DUMMYFUNCTION("""COMPUTED_VALUE"""),"Ⓒ黒川緤/ファンギルド")</f>
        <v>Ⓒ黒川緤/ファンギルド</v>
      </c>
      <c r="V3444" s="8"/>
      <c r="W3444" s="8"/>
      <c r="X3444" s="8" t="str">
        <f>IFERROR(__xludf.DUMMYFUNCTION("""COMPUTED_VALUE"""),"有")</f>
        <v>有</v>
      </c>
      <c r="Y3444" s="8" t="str">
        <f>IFERROR(__xludf.DUMMYFUNCTION("""COMPUTED_VALUE"""),"2025/9/12まで1巻無料")</f>
        <v>2025/9/12まで1巻無料</v>
      </c>
      <c r="Z3444" s="7"/>
      <c r="AA3444" s="7"/>
      <c r="AB3444" s="7"/>
    </row>
    <row r="3445" ht="15.75" customHeight="1">
      <c r="A3445" s="26">
        <f>IFERROR(__xludf.DUMMYFUNCTION("""COMPUTED_VALUE"""),5743.0)</f>
        <v>5743</v>
      </c>
      <c r="B3445" s="22" t="str">
        <f>IFERROR(__xludf.DUMMYFUNCTION("""COMPUTED_VALUE"""),"確定")</f>
        <v>確定</v>
      </c>
      <c r="C3445" s="28">
        <f>IFERROR(__xludf.DUMMYFUNCTION("""COMPUTED_VALUE"""),45814.0)</f>
        <v>45814</v>
      </c>
      <c r="D3445" s="28">
        <f>IFERROR(__xludf.DUMMYFUNCTION("""COMPUTED_VALUE"""),45818.0)</f>
        <v>45818</v>
      </c>
      <c r="E3445" s="26">
        <f>IFERROR(__xludf.DUMMYFUNCTION("""COMPUTED_VALUE"""),327619.0)</f>
        <v>327619</v>
      </c>
      <c r="F3445" s="22" t="str">
        <f>IFERROR(__xludf.DUMMYFUNCTION("""COMPUTED_VALUE"""),"わたしが選ぶ理想の結婚")</f>
        <v>わたしが選ぶ理想の結婚</v>
      </c>
      <c r="G3445" s="20" t="str">
        <f>IFERROR(__xludf.DUMMYFUNCTION("""COMPUTED_VALUE"""),"1～6")</f>
        <v>1～6</v>
      </c>
      <c r="H3445" s="22" t="str">
        <f>IFERROR(__xludf.DUMMYFUNCTION("""COMPUTED_VALUE"""),"真山りあ　（漫画）、夏川ゆきの（エブリスタ）　（原作）")</f>
        <v>真山りあ　（漫画）、夏川ゆきの（エブリスタ）　（原作）</v>
      </c>
      <c r="I3445" s="22" t="str">
        <f>IFERROR(__xludf.DUMMYFUNCTION("""COMPUTED_VALUE"""),"女性")</f>
        <v>女性</v>
      </c>
      <c r="J3445" s="22"/>
      <c r="K3445" s="22"/>
      <c r="L3445" s="22" t="str">
        <f>IFERROR(__xludf.DUMMYFUNCTION("""COMPUTED_VALUE"""),"一迅社")</f>
        <v>一迅社</v>
      </c>
      <c r="M3445" s="33">
        <f>IFERROR(__xludf.DUMMYFUNCTION("""COMPUTED_VALUE"""),45842.0)</f>
        <v>45842</v>
      </c>
      <c r="N3445" s="33">
        <f>IFERROR(__xludf.DUMMYFUNCTION("""COMPUTED_VALUE"""),46177.66666666667)</f>
        <v>46177.66667</v>
      </c>
      <c r="O3445" s="20"/>
      <c r="P3445" s="32" t="str">
        <f>IFERROR(__xludf.DUMMYFUNCTION("""COMPUTED_VALUE"""),"否")</f>
        <v>否</v>
      </c>
      <c r="Q3445" s="30"/>
      <c r="R3445" s="22"/>
      <c r="S3445" s="22" t="str">
        <f>IFERROR(__xludf.DUMMYFUNCTION("""COMPUTED_VALUE"""),"20250606_一迅社_わたしが選ぶ理想の結婚")</f>
        <v>20250606_一迅社_わたしが選ぶ理想の結婚</v>
      </c>
      <c r="T3445" s="22" t="str">
        <f>IFERROR(__xludf.DUMMYFUNCTION("""COMPUTED_VALUE"""),"格納済み")</f>
        <v>格納済み</v>
      </c>
      <c r="U3445" s="9" t="str">
        <f>IFERROR(__xludf.DUMMYFUNCTION("""COMPUTED_VALUE"""),"(c)真山りあ／一迅社　(c)夏川ゆきの／エブリスタ")</f>
        <v>(c)真山りあ／一迅社　(c)夏川ゆきの／エブリスタ</v>
      </c>
      <c r="V3445" s="8"/>
      <c r="W3445" s="8"/>
      <c r="X3445" s="8" t="str">
        <f>IFERROR(__xludf.DUMMYFUNCTION("""COMPUTED_VALUE"""),"有")</f>
        <v>有</v>
      </c>
      <c r="Y3445" s="8" t="str">
        <f>IFERROR(__xludf.DUMMYFUNCTION("""COMPUTED_VALUE"""),"2025/10/2まで1巻無料")</f>
        <v>2025/10/2まで1巻無料</v>
      </c>
      <c r="Z3445" s="7"/>
      <c r="AA3445" s="7"/>
      <c r="AB3445" s="7"/>
    </row>
    <row r="3446" ht="15.75" customHeight="1">
      <c r="A3446" s="26">
        <f>IFERROR(__xludf.DUMMYFUNCTION("""COMPUTED_VALUE"""),5819.0)</f>
        <v>5819</v>
      </c>
      <c r="B3446" s="22" t="str">
        <f>IFERROR(__xludf.DUMMYFUNCTION("""COMPUTED_VALUE"""),"確定")</f>
        <v>確定</v>
      </c>
      <c r="C3446" s="28">
        <f>IFERROR(__xludf.DUMMYFUNCTION("""COMPUTED_VALUE"""),45817.0)</f>
        <v>45817</v>
      </c>
      <c r="D3446" s="28">
        <f>IFERROR(__xludf.DUMMYFUNCTION("""COMPUTED_VALUE"""),45818.0)</f>
        <v>45818</v>
      </c>
      <c r="E3446" s="26">
        <f>IFERROR(__xludf.DUMMYFUNCTION("""COMPUTED_VALUE"""),327994.0)</f>
        <v>327994</v>
      </c>
      <c r="F3446" s="22" t="str">
        <f>IFERROR(__xludf.DUMMYFUNCTION("""COMPUTED_VALUE"""),"大正イノセントストーリー 麗しの君に。")</f>
        <v>大正イノセントストーリー 麗しの君に。</v>
      </c>
      <c r="G3446" s="20" t="str">
        <f>IFERROR(__xludf.DUMMYFUNCTION("""COMPUTED_VALUE"""),"1～5")</f>
        <v>1～5</v>
      </c>
      <c r="H3446" s="22" t="str">
        <f>IFERROR(__xludf.DUMMYFUNCTION("""COMPUTED_VALUE"""),"漫画：一春／原作：井川奎（エブリスタ）")</f>
        <v>漫画：一春／原作：井川奎（エブリスタ）</v>
      </c>
      <c r="I3446" s="22" t="str">
        <f>IFERROR(__xludf.DUMMYFUNCTION("""COMPUTED_VALUE"""),"女性")</f>
        <v>女性</v>
      </c>
      <c r="J3446" s="22"/>
      <c r="K3446" s="22"/>
      <c r="L3446" s="22" t="str">
        <f>IFERROR(__xludf.DUMMYFUNCTION("""COMPUTED_VALUE"""),"集英社")</f>
        <v>集英社</v>
      </c>
      <c r="M3446" s="33">
        <f>IFERROR(__xludf.DUMMYFUNCTION("""COMPUTED_VALUE"""),45839.0)</f>
        <v>45839</v>
      </c>
      <c r="N3446" s="33">
        <f>IFERROR(__xludf.DUMMYFUNCTION("""COMPUTED_VALUE"""),45869.0)</f>
        <v>45869</v>
      </c>
      <c r="O3446" s="20"/>
      <c r="P3446" s="32" t="str">
        <f>IFERROR(__xludf.DUMMYFUNCTION("""COMPUTED_VALUE"""),"否")</f>
        <v>否</v>
      </c>
      <c r="Q3446" s="30"/>
      <c r="R3446" s="22"/>
      <c r="S3446" s="22" t="str">
        <f>IFERROR(__xludf.DUMMYFUNCTION("""COMPUTED_VALUE"""),"20250609_集英社_大正イノセントストーリー 麗しの君に。")</f>
        <v>20250609_集英社_大正イノセントストーリー 麗しの君に。</v>
      </c>
      <c r="T3446" s="22" t="str">
        <f>IFERROR(__xludf.DUMMYFUNCTION("""COMPUTED_VALUE"""),"格納済み")</f>
        <v>格納済み</v>
      </c>
      <c r="U3446" s="9" t="str">
        <f>IFERROR(__xludf.DUMMYFUNCTION("""COMPUTED_VALUE"""),"(C)一春・井川奎（エブリスタ）／集英社")</f>
        <v>(C)一春・井川奎（エブリスタ）／集英社</v>
      </c>
      <c r="V3446" s="8"/>
      <c r="W3446" s="8"/>
      <c r="X3446" s="8" t="str">
        <f>IFERROR(__xludf.DUMMYFUNCTION("""COMPUTED_VALUE"""),"有")</f>
        <v>有</v>
      </c>
      <c r="Y3446" s="8" t="str">
        <f>IFERROR(__xludf.DUMMYFUNCTION("""COMPUTED_VALUE"""),"P10まで")</f>
        <v>P10まで</v>
      </c>
      <c r="Z3446" s="7"/>
      <c r="AA3446" s="7"/>
      <c r="AB3446" s="7"/>
    </row>
    <row r="3447" ht="15.75" customHeight="1">
      <c r="A3447" s="26">
        <f>IFERROR(__xludf.DUMMYFUNCTION("""COMPUTED_VALUE"""),5528.0)</f>
        <v>5528</v>
      </c>
      <c r="B3447" s="22" t="str">
        <f>IFERROR(__xludf.DUMMYFUNCTION("""COMPUTED_VALUE"""),"確定")</f>
        <v>確定</v>
      </c>
      <c r="C3447" s="28">
        <f>IFERROR(__xludf.DUMMYFUNCTION("""COMPUTED_VALUE"""),45771.0)</f>
        <v>45771</v>
      </c>
      <c r="D3447" s="28">
        <f>IFERROR(__xludf.DUMMYFUNCTION("""COMPUTED_VALUE"""),45825.0)</f>
        <v>45825</v>
      </c>
      <c r="E3447" s="26">
        <f>IFERROR(__xludf.DUMMYFUNCTION("""COMPUTED_VALUE"""),328096.0)</f>
        <v>328096</v>
      </c>
      <c r="F3447" s="22" t="str">
        <f>IFERROR(__xludf.DUMMYFUNCTION("""COMPUTED_VALUE"""),"崖っぷち令嬢は騎士様の求愛に気づかない【単話売】")</f>
        <v>崖っぷち令嬢は騎士様の求愛に気づかない【単話売】</v>
      </c>
      <c r="G3447" s="20" t="str">
        <f>IFERROR(__xludf.DUMMYFUNCTION("""COMPUTED_VALUE"""),"1～3")</f>
        <v>1～3</v>
      </c>
      <c r="H3447" s="22" t="str">
        <f>IFERROR(__xludf.DUMMYFUNCTION("""COMPUTED_VALUE"""),"著者　山悠希／原作　日向そら／キャラクター原案　八美☆わん")</f>
        <v>著者　山悠希／原作　日向そら／キャラクター原案　八美☆わん</v>
      </c>
      <c r="I3447" s="22" t="str">
        <f>IFERROR(__xludf.DUMMYFUNCTION("""COMPUTED_VALUE"""),"少女")</f>
        <v>少女</v>
      </c>
      <c r="J3447" s="22"/>
      <c r="K3447" s="22"/>
      <c r="L3447" s="22" t="str">
        <f>IFERROR(__xludf.DUMMYFUNCTION("""COMPUTED_VALUE"""),"ジュリアンパブリッシング")</f>
        <v>ジュリアンパブリッシング</v>
      </c>
      <c r="M3447" s="33">
        <f>IFERROR(__xludf.DUMMYFUNCTION("""COMPUTED_VALUE"""),45849.0)</f>
        <v>45849</v>
      </c>
      <c r="N3447" s="33">
        <f>IFERROR(__xludf.DUMMYFUNCTION("""COMPUTED_VALUE"""),45911.0)</f>
        <v>45911</v>
      </c>
      <c r="O3447" s="20"/>
      <c r="P3447" s="32" t="str">
        <f>IFERROR(__xludf.DUMMYFUNCTION("""COMPUTED_VALUE"""),"否")</f>
        <v>否</v>
      </c>
      <c r="Q3447" s="30" t="str">
        <f>IFERROR(__xludf.DUMMYFUNCTION("""COMPUTED_VALUE"""),"・フェアリーキス『崖っぷち令嬢は騎士様の求愛に気づかない』のコミカライズ作品です。&lt;BR&gt;・先行配信に合わせた施策を実施する予定でございます。")</f>
        <v>・フェアリーキス『崖っぷち令嬢は騎士様の求愛に気づかない』のコミカライズ作品です。&lt;BR&gt;・先行配信に合わせた施策を実施する予定でございます。</v>
      </c>
      <c r="R3447" s="22" t="str">
        <f>IFERROR(__xludf.DUMMYFUNCTION("""COMPUTED_VALUE"""),"コミットOK")</f>
        <v>コミットOK</v>
      </c>
      <c r="S3447" s="22" t="str">
        <f>IFERROR(__xludf.DUMMYFUNCTION("""COMPUTED_VALUE"""),"20250616_ジュリアンパブリッシング_崖っぷち令嬢は騎士様の求愛に気づかない")</f>
        <v>20250616_ジュリアンパブリッシング_崖っぷち令嬢は騎士様の求愛に気づかない</v>
      </c>
      <c r="T3447" s="22" t="str">
        <f>IFERROR(__xludf.DUMMYFUNCTION("""COMPUTED_VALUE"""),"格納済み")</f>
        <v>格納済み</v>
      </c>
      <c r="U3447" s="9" t="str">
        <f>IFERROR(__xludf.DUMMYFUNCTION("""COMPUTED_VALUE"""),"(C)山悠希/日向そら/八美☆わん/ジュリアンパブリッシング")</f>
        <v>(C)山悠希/日向そら/八美☆わん/ジュリアンパブリッシング</v>
      </c>
      <c r="V3447" s="8"/>
      <c r="W3447" s="8"/>
      <c r="X3447" s="8" t="str">
        <f>IFERROR(__xludf.DUMMYFUNCTION("""COMPUTED_VALUE"""),"有")</f>
        <v>有</v>
      </c>
      <c r="Y3447" s="8" t="str">
        <f>IFERROR(__xludf.DUMMYFUNCTION("""COMPUTED_VALUE"""),"2025/9/11まで1巻無料")</f>
        <v>2025/9/11まで1巻無料</v>
      </c>
      <c r="Z3447" s="7"/>
      <c r="AA3447" s="7"/>
      <c r="AB3447" s="7"/>
    </row>
    <row r="3448" ht="15.75" customHeight="1">
      <c r="A3448" s="26">
        <f>IFERROR(__xludf.DUMMYFUNCTION("""COMPUTED_VALUE"""),5547.0)</f>
        <v>5547</v>
      </c>
      <c r="B3448" s="22" t="str">
        <f>IFERROR(__xludf.DUMMYFUNCTION("""COMPUTED_VALUE"""),"確定")</f>
        <v>確定</v>
      </c>
      <c r="C3448" s="28">
        <f>IFERROR(__xludf.DUMMYFUNCTION("""COMPUTED_VALUE"""),45777.0)</f>
        <v>45777</v>
      </c>
      <c r="D3448" s="28">
        <f>IFERROR(__xludf.DUMMYFUNCTION("""COMPUTED_VALUE"""),45825.0)</f>
        <v>45825</v>
      </c>
      <c r="E3448" s="26">
        <f>IFERROR(__xludf.DUMMYFUNCTION("""COMPUTED_VALUE"""),328418.0)</f>
        <v>328418</v>
      </c>
      <c r="F3448" s="22" t="str">
        <f>IFERROR(__xludf.DUMMYFUNCTION("""COMPUTED_VALUE"""),"再会幼なじみの執着は愛を奏でる 〜甘い仕返しはベッドの上で〜")</f>
        <v>再会幼なじみの執着は愛を奏でる 〜甘い仕返しはベッドの上で〜</v>
      </c>
      <c r="G3448" s="20" t="str">
        <f>IFERROR(__xludf.DUMMYFUNCTION("""COMPUTED_VALUE"""),"1～3")</f>
        <v>1～3</v>
      </c>
      <c r="H3448" s="22" t="str">
        <f>IFERROR(__xludf.DUMMYFUNCTION("""COMPUTED_VALUE"""),"嶋永のの")</f>
        <v>嶋永のの</v>
      </c>
      <c r="I3448" s="22" t="str">
        <f>IFERROR(__xludf.DUMMYFUNCTION("""COMPUTED_VALUE"""),"TL")</f>
        <v>TL</v>
      </c>
      <c r="J3448" s="22"/>
      <c r="K3448" s="22"/>
      <c r="L3448" s="22" t="str">
        <f>IFERROR(__xludf.DUMMYFUNCTION("""COMPUTED_VALUE"""),"BBB")</f>
        <v>BBB</v>
      </c>
      <c r="M3448" s="33">
        <f>IFERROR(__xludf.DUMMYFUNCTION("""COMPUTED_VALUE"""),45856.0)</f>
        <v>45856</v>
      </c>
      <c r="N3448" s="33">
        <f>IFERROR(__xludf.DUMMYFUNCTION("""COMPUTED_VALUE"""),45917.0)</f>
        <v>45917</v>
      </c>
      <c r="O3448" s="20"/>
      <c r="P3448" s="32" t="str">
        <f>IFERROR(__xludf.DUMMYFUNCTION("""COMPUTED_VALUE"""),"可")</f>
        <v>可</v>
      </c>
      <c r="Q3448" s="30" t="str">
        <f>IFERROR(__xludf.DUMMYFUNCTION("""COMPUTED_VALUE"""),"配信時の施策：期間限定1話無料")</f>
        <v>配信時の施策：期間限定1話無料</v>
      </c>
      <c r="R3448" s="22" t="str">
        <f>IFERROR(__xludf.DUMMYFUNCTION("""COMPUTED_VALUE"""),"コミットNG")</f>
        <v>コミットNG</v>
      </c>
      <c r="S3448" s="22" t="str">
        <f>IFERROR(__xludf.DUMMYFUNCTION("""COMPUTED_VALUE"""),"20250617_BBB_再会幼なじみの執着は愛を奏でる 〜甘い仕返しはベッドの上で〜")</f>
        <v>20250617_BBB_再会幼なじみの執着は愛を奏でる 〜甘い仕返しはベッドの上で〜</v>
      </c>
      <c r="T3448" s="22" t="str">
        <f>IFERROR(__xludf.DUMMYFUNCTION("""COMPUTED_VALUE"""),"格納済み")</f>
        <v>格納済み</v>
      </c>
      <c r="U3448" s="9" t="str">
        <f>IFERROR(__xludf.DUMMYFUNCTION("""COMPUTED_VALUE"""),"Ⓒ嶋永のの/ラブプリズム")</f>
        <v>Ⓒ嶋永のの/ラブプリズム</v>
      </c>
      <c r="V3448" s="8"/>
      <c r="W3448" s="8"/>
      <c r="X3448" s="8" t="str">
        <f>IFERROR(__xludf.DUMMYFUNCTION("""COMPUTED_VALUE"""),"有")</f>
        <v>有</v>
      </c>
      <c r="Y3448" s="8" t="str">
        <f>IFERROR(__xludf.DUMMYFUNCTION("""COMPUTED_VALUE"""),"2025/9/17まで1巻無料")</f>
        <v>2025/9/17まで1巻無料</v>
      </c>
      <c r="Z3448" s="7"/>
      <c r="AA3448" s="7"/>
      <c r="AB3448" s="7"/>
    </row>
    <row r="3449" ht="15.75" customHeight="1">
      <c r="A3449" s="26">
        <f>IFERROR(__xludf.DUMMYFUNCTION("""COMPUTED_VALUE"""),5548.0)</f>
        <v>5548</v>
      </c>
      <c r="B3449" s="22" t="str">
        <f>IFERROR(__xludf.DUMMYFUNCTION("""COMPUTED_VALUE"""),"確定")</f>
        <v>確定</v>
      </c>
      <c r="C3449" s="28">
        <f>IFERROR(__xludf.DUMMYFUNCTION("""COMPUTED_VALUE"""),45777.0)</f>
        <v>45777</v>
      </c>
      <c r="D3449" s="28">
        <f>IFERROR(__xludf.DUMMYFUNCTION("""COMPUTED_VALUE"""),45825.0)</f>
        <v>45825</v>
      </c>
      <c r="E3449" s="26">
        <f>IFERROR(__xludf.DUMMYFUNCTION("""COMPUTED_VALUE"""),328419.0)</f>
        <v>328419</v>
      </c>
      <c r="F3449" s="22" t="str">
        <f>IFERROR(__xludf.DUMMYFUNCTION("""COMPUTED_VALUE"""),"お狐様にすべてを捧げます〜初恋のお兄ちゃんと魔除けxxx〜")</f>
        <v>お狐様にすべてを捧げます〜初恋のお兄ちゃんと魔除けxxx〜</v>
      </c>
      <c r="G3449" s="20" t="str">
        <f>IFERROR(__xludf.DUMMYFUNCTION("""COMPUTED_VALUE"""),"1～2")</f>
        <v>1～2</v>
      </c>
      <c r="H3449" s="22" t="str">
        <f>IFERROR(__xludf.DUMMYFUNCTION("""COMPUTED_VALUE"""),"夜行性")</f>
        <v>夜行性</v>
      </c>
      <c r="I3449" s="22" t="str">
        <f>IFERROR(__xludf.DUMMYFUNCTION("""COMPUTED_VALUE"""),"TL")</f>
        <v>TL</v>
      </c>
      <c r="J3449" s="22"/>
      <c r="K3449" s="22"/>
      <c r="L3449" s="22" t="str">
        <f>IFERROR(__xludf.DUMMYFUNCTION("""COMPUTED_VALUE"""),"BBB")</f>
        <v>BBB</v>
      </c>
      <c r="M3449" s="33">
        <f>IFERROR(__xludf.DUMMYFUNCTION("""COMPUTED_VALUE"""),45856.0)</f>
        <v>45856</v>
      </c>
      <c r="N3449" s="33">
        <f>IFERROR(__xludf.DUMMYFUNCTION("""COMPUTED_VALUE"""),45917.0)</f>
        <v>45917</v>
      </c>
      <c r="O3449" s="20"/>
      <c r="P3449" s="32" t="str">
        <f>IFERROR(__xludf.DUMMYFUNCTION("""COMPUTED_VALUE"""),"可")</f>
        <v>可</v>
      </c>
      <c r="Q3449" s="30" t="str">
        <f>IFERROR(__xludf.DUMMYFUNCTION("""COMPUTED_VALUE"""),"配信時の施策：期間限定立ち読み増量&lt;BR&gt;")</f>
        <v>配信時の施策：期間限定立ち読み増量&lt;BR&gt;</v>
      </c>
      <c r="R3449" s="22" t="str">
        <f>IFERROR(__xludf.DUMMYFUNCTION("""COMPUTED_VALUE"""),"コミットOK")</f>
        <v>コミットOK</v>
      </c>
      <c r="S3449" s="22" t="str">
        <f>IFERROR(__xludf.DUMMYFUNCTION("""COMPUTED_VALUE"""),"20250617_BBB_お狐様にすべてを捧げます〜初恋のお兄ちゃんと魔除けxxx〜")</f>
        <v>20250617_BBB_お狐様にすべてを捧げます〜初恋のお兄ちゃんと魔除けxxx〜</v>
      </c>
      <c r="T3449" s="22" t="str">
        <f>IFERROR(__xludf.DUMMYFUNCTION("""COMPUTED_VALUE"""),"格納済み")</f>
        <v>格納済み</v>
      </c>
      <c r="U3449" s="9" t="str">
        <f>IFERROR(__xludf.DUMMYFUNCTION("""COMPUTED_VALUE"""),"Ⓒ夜行性/キケンな男子図鑑/ Caleido Comics")</f>
        <v>Ⓒ夜行性/キケンな男子図鑑/ Caleido Comics</v>
      </c>
      <c r="V3449" s="8"/>
      <c r="W3449" s="8"/>
      <c r="X3449" s="8" t="str">
        <f>IFERROR(__xludf.DUMMYFUNCTION("""COMPUTED_VALUE"""),"有")</f>
        <v>有</v>
      </c>
      <c r="Y3449" s="8" t="str">
        <f>IFERROR(__xludf.DUMMYFUNCTION("""COMPUTED_VALUE"""),"2025/9/17まで1巻立ち読み増量(P35)")</f>
        <v>2025/9/17まで1巻立ち読み増量(P35)</v>
      </c>
      <c r="Z3449" s="7"/>
      <c r="AA3449" s="7"/>
      <c r="AB3449" s="7"/>
    </row>
    <row r="3450" ht="15.75" customHeight="1">
      <c r="A3450" s="26">
        <f>IFERROR(__xludf.DUMMYFUNCTION("""COMPUTED_VALUE"""),5574.0)</f>
        <v>5574</v>
      </c>
      <c r="B3450" s="22" t="str">
        <f>IFERROR(__xludf.DUMMYFUNCTION("""COMPUTED_VALUE"""),"確定")</f>
        <v>確定</v>
      </c>
      <c r="C3450" s="28">
        <f>IFERROR(__xludf.DUMMYFUNCTION("""COMPUTED_VALUE"""),45784.0)</f>
        <v>45784</v>
      </c>
      <c r="D3450" s="28">
        <f>IFERROR(__xludf.DUMMYFUNCTION("""COMPUTED_VALUE"""),45825.0)</f>
        <v>45825</v>
      </c>
      <c r="E3450" s="26">
        <f>IFERROR(__xludf.DUMMYFUNCTION("""COMPUTED_VALUE"""),328872.0)</f>
        <v>328872</v>
      </c>
      <c r="F3450" s="22" t="str">
        <f>IFERROR(__xludf.DUMMYFUNCTION("""COMPUTED_VALUE"""),"シナジー")</f>
        <v>シナジー</v>
      </c>
      <c r="G3450" s="20" t="str">
        <f>IFERROR(__xludf.DUMMYFUNCTION("""COMPUTED_VALUE"""),"1～3")</f>
        <v>1～3</v>
      </c>
      <c r="H3450" s="22" t="str">
        <f>IFERROR(__xludf.DUMMYFUNCTION("""COMPUTED_VALUE"""),"かみしまあきら")</f>
        <v>かみしまあきら</v>
      </c>
      <c r="I3450" s="22" t="str">
        <f>IFERROR(__xludf.DUMMYFUNCTION("""COMPUTED_VALUE"""),"女性")</f>
        <v>女性</v>
      </c>
      <c r="J3450" s="22"/>
      <c r="K3450" s="22"/>
      <c r="L3450" s="22" t="str">
        <f>IFERROR(__xludf.DUMMYFUNCTION("""COMPUTED_VALUE"""),"ナンバーナイン")</f>
        <v>ナンバーナイン</v>
      </c>
      <c r="M3450" s="33">
        <f>IFERROR(__xludf.DUMMYFUNCTION("""COMPUTED_VALUE"""),45849.0)</f>
        <v>45849</v>
      </c>
      <c r="N3450" s="33">
        <f>IFERROR(__xludf.DUMMYFUNCTION("""COMPUTED_VALUE"""),45910.0)</f>
        <v>45910</v>
      </c>
      <c r="O3450" s="20"/>
      <c r="P3450" s="32" t="str">
        <f>IFERROR(__xludf.DUMMYFUNCTION("""COMPUTED_VALUE"""),"可")</f>
        <v>可</v>
      </c>
      <c r="Q3450" s="30"/>
      <c r="R3450" s="22" t="str">
        <f>IFERROR(__xludf.DUMMYFUNCTION("""COMPUTED_VALUE"""),"コミットOK")</f>
        <v>コミットOK</v>
      </c>
      <c r="S3450" s="22" t="str">
        <f>IFERROR(__xludf.DUMMYFUNCTION("""COMPUTED_VALUE"""),"20250617_ナンバーナイン_シナジー")</f>
        <v>20250617_ナンバーナイン_シナジー</v>
      </c>
      <c r="T3450" s="22" t="str">
        <f>IFERROR(__xludf.DUMMYFUNCTION("""COMPUTED_VALUE"""),"格納済み")</f>
        <v>格納済み</v>
      </c>
      <c r="U3450" s="9" t="str">
        <f>IFERROR(__xludf.DUMMYFUNCTION("""COMPUTED_VALUE"""),"(C)かみしまあきら/ナンバーナイン")</f>
        <v>(C)かみしまあきら/ナンバーナイン</v>
      </c>
      <c r="V3450" s="8"/>
      <c r="W3450" s="8"/>
      <c r="X3450" s="8" t="str">
        <f>IFERROR(__xludf.DUMMYFUNCTION("""COMPUTED_VALUE"""),"有")</f>
        <v>有</v>
      </c>
      <c r="Y3450" s="8" t="str">
        <f>IFERROR(__xludf.DUMMYFUNCTION("""COMPUTED_VALUE"""),"1巻無料")</f>
        <v>1巻無料</v>
      </c>
      <c r="Z3450" s="7"/>
      <c r="AA3450" s="7"/>
      <c r="AB3450" s="7"/>
    </row>
    <row r="3451" ht="15.75" customHeight="1">
      <c r="A3451" s="26">
        <f>IFERROR(__xludf.DUMMYFUNCTION("""COMPUTED_VALUE"""),5577.0)</f>
        <v>5577</v>
      </c>
      <c r="B3451" s="22" t="str">
        <f>IFERROR(__xludf.DUMMYFUNCTION("""COMPUTED_VALUE"""),"確定")</f>
        <v>確定</v>
      </c>
      <c r="C3451" s="28">
        <f>IFERROR(__xludf.DUMMYFUNCTION("""COMPUTED_VALUE"""),45785.0)</f>
        <v>45785</v>
      </c>
      <c r="D3451" s="28">
        <f>IFERROR(__xludf.DUMMYFUNCTION("""COMPUTED_VALUE"""),45824.0)</f>
        <v>45824</v>
      </c>
      <c r="E3451" s="26">
        <f>IFERROR(__xludf.DUMMYFUNCTION("""COMPUTED_VALUE"""),328625.0)</f>
        <v>328625</v>
      </c>
      <c r="F3451" s="22" t="str">
        <f>IFERROR(__xludf.DUMMYFUNCTION("""COMPUTED_VALUE"""),"ひとつ屋根の下、幼馴染はふしだらに。【白抜き修正版】")</f>
        <v>ひとつ屋根の下、幼馴染はふしだらに。【白抜き修正版】</v>
      </c>
      <c r="G3451" s="20" t="str">
        <f>IFERROR(__xludf.DUMMYFUNCTION("""COMPUTED_VALUE"""),"1～3")</f>
        <v>1～3</v>
      </c>
      <c r="H3451" s="22" t="str">
        <f>IFERROR(__xludf.DUMMYFUNCTION("""COMPUTED_VALUE"""),"中条亮")</f>
        <v>中条亮</v>
      </c>
      <c r="I3451" s="22" t="str">
        <f>IFERROR(__xludf.DUMMYFUNCTION("""COMPUTED_VALUE"""),"TL")</f>
        <v>TL</v>
      </c>
      <c r="J3451" s="22"/>
      <c r="K3451" s="22" t="str">
        <f>IFERROR(__xludf.DUMMYFUNCTION("""COMPUTED_VALUE"""),"Close Moon")</f>
        <v>Close Moon</v>
      </c>
      <c r="L3451" s="22" t="str">
        <f>IFERROR(__xludf.DUMMYFUNCTION("""COMPUTED_VALUE"""),"ナンバーナイン")</f>
        <v>ナンバーナイン</v>
      </c>
      <c r="M3451" s="33">
        <f>IFERROR(__xludf.DUMMYFUNCTION("""COMPUTED_VALUE"""),45842.0)</f>
        <v>45842</v>
      </c>
      <c r="N3451" s="33">
        <f>IFERROR(__xludf.DUMMYFUNCTION("""COMPUTED_VALUE"""),45903.0)</f>
        <v>45903</v>
      </c>
      <c r="O3451" s="20"/>
      <c r="P3451" s="32" t="str">
        <f>IFERROR(__xludf.DUMMYFUNCTION("""COMPUTED_VALUE"""),"可")</f>
        <v>可</v>
      </c>
      <c r="Q3451" s="30"/>
      <c r="R3451" s="22" t="str">
        <f>IFERROR(__xludf.DUMMYFUNCTION("""COMPUTED_VALUE"""),"コミットNG")</f>
        <v>コミットNG</v>
      </c>
      <c r="S3451" s="22" t="str">
        <f>IFERROR(__xludf.DUMMYFUNCTION("""COMPUTED_VALUE"""),"20250616_ナンバーナイン_ひとつ屋根の下、幼馴染はふしだらに。【白抜き修正版】")</f>
        <v>20250616_ナンバーナイン_ひとつ屋根の下、幼馴染はふしだらに。【白抜き修正版】</v>
      </c>
      <c r="T3451" s="22" t="str">
        <f>IFERROR(__xludf.DUMMYFUNCTION("""COMPUTED_VALUE"""),"格納済み")</f>
        <v>格納済み</v>
      </c>
      <c r="U3451" s="9" t="str">
        <f>IFERROR(__xludf.DUMMYFUNCTION("""COMPUTED_VALUE"""),"(C)中条亮/ナンバーナイン")</f>
        <v>(C)中条亮/ナンバーナイン</v>
      </c>
      <c r="V3451" s="8"/>
      <c r="W3451" s="8"/>
      <c r="X3451" s="8" t="str">
        <f>IFERROR(__xludf.DUMMYFUNCTION("""COMPUTED_VALUE"""),"有")</f>
        <v>有</v>
      </c>
      <c r="Y3451" s="8" t="str">
        <f>IFERROR(__xludf.DUMMYFUNCTION("""COMPUTED_VALUE"""),"P9まで")</f>
        <v>P9まで</v>
      </c>
      <c r="Z3451" s="7"/>
      <c r="AA3451" s="7"/>
      <c r="AB3451" s="7"/>
    </row>
    <row r="3452" ht="15.75" customHeight="1">
      <c r="A3452" s="26">
        <f>IFERROR(__xludf.DUMMYFUNCTION("""COMPUTED_VALUE"""),5578.0)</f>
        <v>5578</v>
      </c>
      <c r="B3452" s="22" t="str">
        <f>IFERROR(__xludf.DUMMYFUNCTION("""COMPUTED_VALUE"""),"確定")</f>
        <v>確定</v>
      </c>
      <c r="C3452" s="28">
        <f>IFERROR(__xludf.DUMMYFUNCTION("""COMPUTED_VALUE"""),45785.0)</f>
        <v>45785</v>
      </c>
      <c r="D3452" s="28">
        <f>IFERROR(__xludf.DUMMYFUNCTION("""COMPUTED_VALUE"""),45824.0)</f>
        <v>45824</v>
      </c>
      <c r="E3452" s="26">
        <f>IFERROR(__xludf.DUMMYFUNCTION("""COMPUTED_VALUE"""),328590.0)</f>
        <v>328590</v>
      </c>
      <c r="F3452" s="22" t="str">
        <f>IFERROR(__xludf.DUMMYFUNCTION("""COMPUTED_VALUE"""),"ひとつ屋根の下、幼馴染はふしだらに。【棒消し修正版】")</f>
        <v>ひとつ屋根の下、幼馴染はふしだらに。【棒消し修正版】</v>
      </c>
      <c r="G3452" s="20" t="str">
        <f>IFERROR(__xludf.DUMMYFUNCTION("""COMPUTED_VALUE"""),"1～3")</f>
        <v>1～3</v>
      </c>
      <c r="H3452" s="22" t="str">
        <f>IFERROR(__xludf.DUMMYFUNCTION("""COMPUTED_VALUE"""),"中条亮")</f>
        <v>中条亮</v>
      </c>
      <c r="I3452" s="22" t="str">
        <f>IFERROR(__xludf.DUMMYFUNCTION("""COMPUTED_VALUE"""),"アダルト")</f>
        <v>アダルト</v>
      </c>
      <c r="J3452" s="22"/>
      <c r="K3452" s="22" t="str">
        <f>IFERROR(__xludf.DUMMYFUNCTION("""COMPUTED_VALUE"""),"Close Moon")</f>
        <v>Close Moon</v>
      </c>
      <c r="L3452" s="22" t="str">
        <f>IFERROR(__xludf.DUMMYFUNCTION("""COMPUTED_VALUE"""),"ナンバーナイン")</f>
        <v>ナンバーナイン</v>
      </c>
      <c r="M3452" s="33">
        <f>IFERROR(__xludf.DUMMYFUNCTION("""COMPUTED_VALUE"""),45842.0)</f>
        <v>45842</v>
      </c>
      <c r="N3452" s="33">
        <f>IFERROR(__xludf.DUMMYFUNCTION("""COMPUTED_VALUE"""),45903.0)</f>
        <v>45903</v>
      </c>
      <c r="O3452" s="20"/>
      <c r="P3452" s="32" t="str">
        <f>IFERROR(__xludf.DUMMYFUNCTION("""COMPUTED_VALUE"""),"可")</f>
        <v>可</v>
      </c>
      <c r="Q3452" s="30"/>
      <c r="R3452" s="22" t="str">
        <f>IFERROR(__xludf.DUMMYFUNCTION("""COMPUTED_VALUE"""),"コミットOK")</f>
        <v>コミットOK</v>
      </c>
      <c r="S3452" s="22" t="str">
        <f>IFERROR(__xludf.DUMMYFUNCTION("""COMPUTED_VALUE"""),"20250616_ナンバーナイン_ひとつ屋根の下、幼馴染はふしだらに。【棒消し修正版】")</f>
        <v>20250616_ナンバーナイン_ひとつ屋根の下、幼馴染はふしだらに。【棒消し修正版】</v>
      </c>
      <c r="T3452" s="22" t="str">
        <f>IFERROR(__xludf.DUMMYFUNCTION("""COMPUTED_VALUE"""),"格納済み")</f>
        <v>格納済み</v>
      </c>
      <c r="U3452" s="9" t="str">
        <f>IFERROR(__xludf.DUMMYFUNCTION("""COMPUTED_VALUE"""),"(C)中条亮/ナンバーナイン")</f>
        <v>(C)中条亮/ナンバーナイン</v>
      </c>
      <c r="V3452" s="8"/>
      <c r="W3452" s="8"/>
      <c r="X3452" s="8" t="str">
        <f>IFERROR(__xludf.DUMMYFUNCTION("""COMPUTED_VALUE"""),"有")</f>
        <v>有</v>
      </c>
      <c r="Y3452" s="8" t="str">
        <f>IFERROR(__xludf.DUMMYFUNCTION("""COMPUTED_VALUE"""),"2025/9/3まで1巻無料")</f>
        <v>2025/9/3まで1巻無料</v>
      </c>
      <c r="Z3452" s="7"/>
      <c r="AA3452" s="7"/>
      <c r="AB3452" s="7"/>
    </row>
    <row r="3453" ht="15.75" customHeight="1">
      <c r="A3453" s="26">
        <f>IFERROR(__xludf.DUMMYFUNCTION("""COMPUTED_VALUE"""),5650.0)</f>
        <v>5650</v>
      </c>
      <c r="B3453" s="22" t="str">
        <f>IFERROR(__xludf.DUMMYFUNCTION("""COMPUTED_VALUE"""),"確定")</f>
        <v>確定</v>
      </c>
      <c r="C3453" s="28">
        <f>IFERROR(__xludf.DUMMYFUNCTION("""COMPUTED_VALUE"""),45797.0)</f>
        <v>45797</v>
      </c>
      <c r="D3453" s="28">
        <f>IFERROR(__xludf.DUMMYFUNCTION("""COMPUTED_VALUE"""),45826.0)</f>
        <v>45826</v>
      </c>
      <c r="E3453" s="26">
        <f>IFERROR(__xludf.DUMMYFUNCTION("""COMPUTED_VALUE"""),327873.0)</f>
        <v>327873</v>
      </c>
      <c r="F3453" s="22" t="str">
        <f>IFERROR(__xludf.DUMMYFUNCTION("""COMPUTED_VALUE"""),"少年は私を独りじめしたがる【マイクロ】")</f>
        <v>少年は私を独りじめしたがる【マイクロ】</v>
      </c>
      <c r="G3453" s="20" t="str">
        <f>IFERROR(__xludf.DUMMYFUNCTION("""COMPUTED_VALUE"""),"1～3")</f>
        <v>1～3</v>
      </c>
      <c r="H3453" s="22" t="str">
        <f>IFERROR(__xludf.DUMMYFUNCTION("""COMPUTED_VALUE"""),"新めぐみ")</f>
        <v>新めぐみ</v>
      </c>
      <c r="I3453" s="22" t="str">
        <f>IFERROR(__xludf.DUMMYFUNCTION("""COMPUTED_VALUE"""),"女性")</f>
        <v>女性</v>
      </c>
      <c r="J3453" s="22"/>
      <c r="K3453" s="22" t="str">
        <f>IFERROR(__xludf.DUMMYFUNCTION("""COMPUTED_VALUE"""),"プチコミック")</f>
        <v>プチコミック</v>
      </c>
      <c r="L3453" s="22" t="str">
        <f>IFERROR(__xludf.DUMMYFUNCTION("""COMPUTED_VALUE"""),"小学館")</f>
        <v>小学館</v>
      </c>
      <c r="M3453" s="33">
        <f>IFERROR(__xludf.DUMMYFUNCTION("""COMPUTED_VALUE"""),45843.0)</f>
        <v>45843</v>
      </c>
      <c r="N3453" s="33">
        <f>IFERROR(__xludf.DUMMYFUNCTION("""COMPUTED_VALUE"""),45873.0)</f>
        <v>45873</v>
      </c>
      <c r="O3453" s="20"/>
      <c r="P3453" s="32" t="str">
        <f>IFERROR(__xludf.DUMMYFUNCTION("""COMPUTED_VALUE"""),"否")</f>
        <v>否</v>
      </c>
      <c r="Q3453" s="30" t="str">
        <f>IFERROR(__xludf.DUMMYFUNCTION("""COMPUTED_VALUE"""),"『3LDK猫と虎つき。』の新先生の新規配信作品で、&lt;BR&gt;年下男子に執着される年の差・同居ラブストーリーとなっております。前作に比べ、男性キャラの表情等がブラッシュアップされており、より広告クリエイティブとの相性が良くなっているのではないかと考えております…！
※好調の場合延長可能")</f>
        <v>『3LDK猫と虎つき。』の新先生の新規配信作品で、&lt;BR&gt;年下男子に執着される年の差・同居ラブストーリーとなっております。前作に比べ、男性キャラの表情等がブラッシュアップされており、より広告クリエイティブとの相性が良くなっているのではないかと考えております…！
※好調の場合延長可能</v>
      </c>
      <c r="R3453" s="22" t="str">
        <f>IFERROR(__xludf.DUMMYFUNCTION("""COMPUTED_VALUE"""),"コミットNG")</f>
        <v>コミットNG</v>
      </c>
      <c r="S3453" s="22" t="str">
        <f>IFERROR(__xludf.DUMMYFUNCTION("""COMPUTED_VALUE"""),"20250618_小学館_少年は私を独りじめしたがる")</f>
        <v>20250618_小学館_少年は私を独りじめしたがる</v>
      </c>
      <c r="T3453" s="22" t="str">
        <f>IFERROR(__xludf.DUMMYFUNCTION("""COMPUTED_VALUE"""),"格納済み")</f>
        <v>格納済み</v>
      </c>
      <c r="U3453" s="9" t="str">
        <f>IFERROR(__xludf.DUMMYFUNCTION("""COMPUTED_VALUE"""),"(C)新めぐみ / 小学館")</f>
        <v>(C)新めぐみ / 小学館</v>
      </c>
      <c r="V3453" s="8"/>
      <c r="W3453" s="8"/>
      <c r="X3453" s="8" t="str">
        <f>IFERROR(__xludf.DUMMYFUNCTION("""COMPUTED_VALUE"""),"有")</f>
        <v>有</v>
      </c>
      <c r="Y3453" s="8" t="str">
        <f>IFERROR(__xludf.DUMMYFUNCTION("""COMPUTED_VALUE"""),"2025/8/4まで1巻無料")</f>
        <v>2025/8/4まで1巻無料</v>
      </c>
      <c r="Z3453" s="7"/>
      <c r="AA3453" s="7"/>
      <c r="AB3453" s="7"/>
    </row>
    <row r="3454" ht="15.75" customHeight="1">
      <c r="A3454" s="26">
        <f>IFERROR(__xludf.DUMMYFUNCTION("""COMPUTED_VALUE"""),5653.0)</f>
        <v>5653</v>
      </c>
      <c r="B3454" s="22" t="str">
        <f>IFERROR(__xludf.DUMMYFUNCTION("""COMPUTED_VALUE"""),"確定")</f>
        <v>確定</v>
      </c>
      <c r="C3454" s="28">
        <f>IFERROR(__xludf.DUMMYFUNCTION("""COMPUTED_VALUE"""),45798.0)</f>
        <v>45798</v>
      </c>
      <c r="D3454" s="28">
        <f>IFERROR(__xludf.DUMMYFUNCTION("""COMPUTED_VALUE"""),45826.0)</f>
        <v>45826</v>
      </c>
      <c r="E3454" s="26">
        <f>IFERROR(__xludf.DUMMYFUNCTION("""COMPUTED_VALUE"""),327690.0)</f>
        <v>327690</v>
      </c>
      <c r="F3454" s="22" t="str">
        <f>IFERROR(__xludf.DUMMYFUNCTION("""COMPUTED_VALUE"""),"フェンリル王子は私を番にしました")</f>
        <v>フェンリル王子は私を番にしました</v>
      </c>
      <c r="G3454" s="20" t="str">
        <f>IFERROR(__xludf.DUMMYFUNCTION("""COMPUTED_VALUE"""),"1～2")</f>
        <v>1～2</v>
      </c>
      <c r="H3454" s="22" t="str">
        <f>IFERROR(__xludf.DUMMYFUNCTION("""COMPUTED_VALUE"""),"原作：杓子ねこ　作画：みこしはち")</f>
        <v>原作：杓子ねこ　作画：みこしはち</v>
      </c>
      <c r="I3454" s="22" t="str">
        <f>IFERROR(__xludf.DUMMYFUNCTION("""COMPUTED_VALUE"""),"少女")</f>
        <v>少女</v>
      </c>
      <c r="J3454" s="22"/>
      <c r="K3454" s="22"/>
      <c r="L3454" s="22" t="str">
        <f>IFERROR(__xludf.DUMMYFUNCTION("""COMPUTED_VALUE"""),"Evolution（EVOパブリッシング）")</f>
        <v>Evolution（EVOパブリッシング）</v>
      </c>
      <c r="M3454" s="33">
        <f>IFERROR(__xludf.DUMMYFUNCTION("""COMPUTED_VALUE"""),45842.0)</f>
        <v>45842</v>
      </c>
      <c r="N3454" s="33">
        <f>IFERROR(__xludf.DUMMYFUNCTION("""COMPUTED_VALUE"""),45932.0)</f>
        <v>45932</v>
      </c>
      <c r="O3454" s="20"/>
      <c r="P3454" s="32" t="str">
        <f>IFERROR(__xludf.DUMMYFUNCTION("""COMPUTED_VALUE"""),"可")</f>
        <v>可</v>
      </c>
      <c r="Q3454" s="30" t="str">
        <f>IFERROR(__xludf.DUMMYFUNCTION("""COMPUTED_VALUE"""),"初回2話リリースですが2週間後に3話リリース、その2週間後に4話リリース、以降5話目からは1ヶ月に1話追加リリースを予定しています。&lt;BR&gt;")</f>
        <v>初回2話リリースですが2週間後に3話リリース、その2週間後に4話リリース、以降5話目からは1ヶ月に1話追加リリースを予定しています。&lt;BR&gt;</v>
      </c>
      <c r="R3454" s="22" t="str">
        <f>IFERROR(__xludf.DUMMYFUNCTION("""COMPUTED_VALUE"""),"コミットNG")</f>
        <v>コミットNG</v>
      </c>
      <c r="S3454" s="22" t="str">
        <f>IFERROR(__xludf.DUMMYFUNCTION("""COMPUTED_VALUE"""),"20250617_Evolution（EVOパブリッシング）_フェンリル王子は私を番にしました")</f>
        <v>20250617_Evolution（EVOパブリッシング）_フェンリル王子は私を番にしました</v>
      </c>
      <c r="T3454" s="22" t="str">
        <f>IFERROR(__xludf.DUMMYFUNCTION("""COMPUTED_VALUE"""),"格納済み")</f>
        <v>格納済み</v>
      </c>
      <c r="U3454" s="9" t="str">
        <f>IFERROR(__xludf.DUMMYFUNCTION("""COMPUTED_VALUE"""),"Ⓒ杓子ねこ/みこしはち/EVOパブリッシング")</f>
        <v>Ⓒ杓子ねこ/みこしはち/EVOパブリッシング</v>
      </c>
      <c r="V3454" s="8"/>
      <c r="W3454" s="8"/>
      <c r="X3454" s="8" t="str">
        <f>IFERROR(__xludf.DUMMYFUNCTION("""COMPUTED_VALUE"""),"有")</f>
        <v>有</v>
      </c>
      <c r="Y3454" s="8" t="str">
        <f>IFERROR(__xludf.DUMMYFUNCTION("""COMPUTED_VALUE"""),"P10まで")</f>
        <v>P10まで</v>
      </c>
      <c r="Z3454" s="7"/>
      <c r="AA3454" s="7"/>
      <c r="AB3454" s="7"/>
    </row>
    <row r="3455" ht="15.75" customHeight="1">
      <c r="A3455" s="26">
        <f>IFERROR(__xludf.DUMMYFUNCTION("""COMPUTED_VALUE"""),5661.0)</f>
        <v>5661</v>
      </c>
      <c r="B3455" s="22" t="str">
        <f>IFERROR(__xludf.DUMMYFUNCTION("""COMPUTED_VALUE"""),"確定")</f>
        <v>確定</v>
      </c>
      <c r="C3455" s="28">
        <f>IFERROR(__xludf.DUMMYFUNCTION("""COMPUTED_VALUE"""),45803.0)</f>
        <v>45803</v>
      </c>
      <c r="D3455" s="28">
        <f>IFERROR(__xludf.DUMMYFUNCTION("""COMPUTED_VALUE"""),45826.0)</f>
        <v>45826</v>
      </c>
      <c r="E3455" s="26">
        <f>IFERROR(__xludf.DUMMYFUNCTION("""COMPUTED_VALUE"""),327840.0)</f>
        <v>327840</v>
      </c>
      <c r="F3455" s="22" t="str">
        <f>IFERROR(__xludf.DUMMYFUNCTION("""COMPUTED_VALUE"""),"自称・保護者の騎士様が後方腕組み彼氏面で私（聖女）のお見合いを邪魔してきます！")</f>
        <v>自称・保護者の騎士様が後方腕組み彼氏面で私（聖女）のお見合いを邪魔してきます！</v>
      </c>
      <c r="G3455" s="20" t="str">
        <f>IFERROR(__xludf.DUMMYFUNCTION("""COMPUTED_VALUE"""),"1～3")</f>
        <v>1～3</v>
      </c>
      <c r="H3455" s="22" t="str">
        <f>IFERROR(__xludf.DUMMYFUNCTION("""COMPUTED_VALUE"""),"著者：きゃっするのーす　原作：あさぎ千夜春")</f>
        <v>著者：きゃっするのーす　原作：あさぎ千夜春</v>
      </c>
      <c r="I3455" s="22" t="str">
        <f>IFERROR(__xludf.DUMMYFUNCTION("""COMPUTED_VALUE"""),"女性")</f>
        <v>女性</v>
      </c>
      <c r="J3455" s="22"/>
      <c r="K3455" s="22" t="str">
        <f>IFERROR(__xludf.DUMMYFUNCTION("""COMPUTED_VALUE"""),"オパールCOMICS kiss")</f>
        <v>オパールCOMICS kiss</v>
      </c>
      <c r="L3455" s="22" t="str">
        <f>IFERROR(__xludf.DUMMYFUNCTION("""COMPUTED_VALUE"""),"プランタン出版")</f>
        <v>プランタン出版</v>
      </c>
      <c r="M3455" s="33">
        <f>IFERROR(__xludf.DUMMYFUNCTION("""COMPUTED_VALUE"""),45842.0)</f>
        <v>45842</v>
      </c>
      <c r="N3455" s="33">
        <f>IFERROR(__xludf.DUMMYFUNCTION("""COMPUTED_VALUE"""),45869.0)</f>
        <v>45869</v>
      </c>
      <c r="O3455" s="20"/>
      <c r="P3455" s="32" t="str">
        <f>IFERROR(__xludf.DUMMYFUNCTION("""COMPUTED_VALUE"""),"可")</f>
        <v>可</v>
      </c>
      <c r="Q3455" s="30"/>
      <c r="R3455" s="22" t="str">
        <f>IFERROR(__xludf.DUMMYFUNCTION("""COMPUTED_VALUE"""),"コミットNG")</f>
        <v>コミットNG</v>
      </c>
      <c r="S3455" s="22" t="str">
        <f>IFERROR(__xludf.DUMMYFUNCTION("""COMPUTED_VALUE"""),"20250617_フランス書院_自称・保護者の騎士様が後方腕組み彼氏面で私（聖女）のお見合いを邪魔してきます！")</f>
        <v>20250617_フランス書院_自称・保護者の騎士様が後方腕組み彼氏面で私（聖女）のお見合いを邪魔してきます！</v>
      </c>
      <c r="T3455" s="22" t="str">
        <f>IFERROR(__xludf.DUMMYFUNCTION("""COMPUTED_VALUE"""),"格納済み")</f>
        <v>格納済み</v>
      </c>
      <c r="U3455" s="9" t="str">
        <f>IFERROR(__xludf.DUMMYFUNCTION("""COMPUTED_VALUE"""),"(C)きゃっするのーす/あさぎ千夜春/プランタン出版")</f>
        <v>(C)きゃっするのーす/あさぎ千夜春/プランタン出版</v>
      </c>
      <c r="V3455" s="8"/>
      <c r="W3455" s="8"/>
      <c r="X3455" s="8" t="str">
        <f>IFERROR(__xludf.DUMMYFUNCTION("""COMPUTED_VALUE"""),"有")</f>
        <v>有</v>
      </c>
      <c r="Y3455" s="8" t="str">
        <f>IFERROR(__xludf.DUMMYFUNCTION("""COMPUTED_VALUE"""),"P11まで")</f>
        <v>P11まで</v>
      </c>
      <c r="Z3455" s="7"/>
      <c r="AA3455" s="7"/>
      <c r="AB3455" s="7"/>
    </row>
    <row r="3456" ht="15.75" customHeight="1">
      <c r="A3456" s="26">
        <f>IFERROR(__xludf.DUMMYFUNCTION("""COMPUTED_VALUE"""),5672.0)</f>
        <v>5672</v>
      </c>
      <c r="B3456" s="22" t="str">
        <f>IFERROR(__xludf.DUMMYFUNCTION("""COMPUTED_VALUE"""),"確定")</f>
        <v>確定</v>
      </c>
      <c r="C3456" s="28">
        <f>IFERROR(__xludf.DUMMYFUNCTION("""COMPUTED_VALUE"""),45805.0)</f>
        <v>45805</v>
      </c>
      <c r="D3456" s="28">
        <f>IFERROR(__xludf.DUMMYFUNCTION("""COMPUTED_VALUE"""),45826.0)</f>
        <v>45826</v>
      </c>
      <c r="E3456" s="26">
        <f>IFERROR(__xludf.DUMMYFUNCTION("""COMPUTED_VALUE"""),329195.0)</f>
        <v>329195</v>
      </c>
      <c r="F3456" s="22" t="str">
        <f>IFERROR(__xludf.DUMMYFUNCTION("""COMPUTED_VALUE"""),"半径45センチのアノマリー【単話】")</f>
        <v>半径45センチのアノマリー【単話】</v>
      </c>
      <c r="G3456" s="20" t="str">
        <f>IFERROR(__xludf.DUMMYFUNCTION("""COMPUTED_VALUE"""),"1～3")</f>
        <v>1～3</v>
      </c>
      <c r="H3456" s="22" t="str">
        <f>IFERROR(__xludf.DUMMYFUNCTION("""COMPUTED_VALUE"""),"あらふじぺす")</f>
        <v>あらふじぺす</v>
      </c>
      <c r="I3456" s="22" t="str">
        <f>IFERROR(__xludf.DUMMYFUNCTION("""COMPUTED_VALUE"""),"女性")</f>
        <v>女性</v>
      </c>
      <c r="J3456" s="22"/>
      <c r="K3456" s="22"/>
      <c r="L3456" s="22" t="str">
        <f>IFERROR(__xludf.DUMMYFUNCTION("""COMPUTED_VALUE"""),"朝日新聞出版")</f>
        <v>朝日新聞出版</v>
      </c>
      <c r="M3456" s="33">
        <f>IFERROR(__xludf.DUMMYFUNCTION("""COMPUTED_VALUE"""),45868.0)</f>
        <v>45868</v>
      </c>
      <c r="N3456" s="33">
        <f>IFERROR(__xludf.DUMMYFUNCTION("""COMPUTED_VALUE"""),45990.0)</f>
        <v>45990</v>
      </c>
      <c r="O3456" s="20"/>
      <c r="P3456" s="32" t="str">
        <f>IFERROR(__xludf.DUMMYFUNCTION("""COMPUTED_VALUE"""),"可")</f>
        <v>可</v>
      </c>
      <c r="Q3456" s="30" t="str">
        <f>IFERROR(__xludf.DUMMYFUNCTION("""COMPUTED_VALUE"""),"初回1話無料")</f>
        <v>初回1話無料</v>
      </c>
      <c r="R3456" s="22" t="str">
        <f>IFERROR(__xludf.DUMMYFUNCTION("""COMPUTED_VALUE"""),"コミットOK")</f>
        <v>コミットOK</v>
      </c>
      <c r="S3456" s="22" t="str">
        <f>IFERROR(__xludf.DUMMYFUNCTION("""COMPUTED_VALUE"""),"20250528_朝日新聞出版_半径45センチのアノマリー")</f>
        <v>20250528_朝日新聞出版_半径45センチのアノマリー</v>
      </c>
      <c r="T3456" s="22" t="str">
        <f>IFERROR(__xludf.DUMMYFUNCTION("""COMPUTED_VALUE"""),"格納済み")</f>
        <v>格納済み</v>
      </c>
      <c r="U3456" s="9" t="str">
        <f>IFERROR(__xludf.DUMMYFUNCTION("""COMPUTED_VALUE"""),"Ⓒあらふじぺす/朝日新聞出版")</f>
        <v>Ⓒあらふじぺす/朝日新聞出版</v>
      </c>
      <c r="V3456" s="8"/>
      <c r="W3456" s="8"/>
      <c r="X3456" s="8" t="str">
        <f>IFERROR(__xludf.DUMMYFUNCTION("""COMPUTED_VALUE"""),"有")</f>
        <v>有</v>
      </c>
      <c r="Y3456" s="8" t="str">
        <f>IFERROR(__xludf.DUMMYFUNCTION("""COMPUTED_VALUE"""),"2026/6/29まで1巻無料")</f>
        <v>2026/6/29まで1巻無料</v>
      </c>
      <c r="Z3456" s="7"/>
      <c r="AA3456" s="7"/>
      <c r="AB3456" s="7"/>
    </row>
    <row r="3457" ht="15.75" customHeight="1">
      <c r="A3457" s="26">
        <f>IFERROR(__xludf.DUMMYFUNCTION("""COMPUTED_VALUE"""),5677.0)</f>
        <v>5677</v>
      </c>
      <c r="B3457" s="22" t="str">
        <f>IFERROR(__xludf.DUMMYFUNCTION("""COMPUTED_VALUE"""),"確定")</f>
        <v>確定</v>
      </c>
      <c r="C3457" s="28">
        <f>IFERROR(__xludf.DUMMYFUNCTION("""COMPUTED_VALUE"""),45806.0)</f>
        <v>45806</v>
      </c>
      <c r="D3457" s="28">
        <f>IFERROR(__xludf.DUMMYFUNCTION("""COMPUTED_VALUE"""),45826.0)</f>
        <v>45826</v>
      </c>
      <c r="E3457" s="26">
        <f>IFERROR(__xludf.DUMMYFUNCTION("""COMPUTED_VALUE"""),333021.0)</f>
        <v>333021</v>
      </c>
      <c r="F3457" s="22" t="str">
        <f>IFERROR(__xludf.DUMMYFUNCTION("""COMPUTED_VALUE"""),"【ラブチーク】エッチな倫理観の壊れた世界で溺愛魔術師から逃げられない～転生悪役令嬢フィリエラの困惑～")</f>
        <v>【ラブチーク】エッチな倫理観の壊れた世界で溺愛魔術師から逃げられない～転生悪役令嬢フィリエラの困惑～</v>
      </c>
      <c r="G3457" s="20" t="str">
        <f>IFERROR(__xludf.DUMMYFUNCTION("""COMPUTED_VALUE"""),"1～3")</f>
        <v>1～3</v>
      </c>
      <c r="H3457" s="22" t="str">
        <f>IFERROR(__xludf.DUMMYFUNCTION("""COMPUTED_VALUE"""),"漫画：やさい　原作：黒衣")</f>
        <v>漫画：やさい　原作：黒衣</v>
      </c>
      <c r="I3457" s="22" t="str">
        <f>IFERROR(__xludf.DUMMYFUNCTION("""COMPUTED_VALUE"""),"TL")</f>
        <v>TL</v>
      </c>
      <c r="J3457" s="22"/>
      <c r="K3457" s="22" t="str">
        <f>IFERROR(__xludf.DUMMYFUNCTION("""COMPUTED_VALUE"""),"ラブチーク")</f>
        <v>ラブチーク</v>
      </c>
      <c r="L3457" s="22" t="str">
        <f>IFERROR(__xludf.DUMMYFUNCTION("""COMPUTED_VALUE"""),"ブライト出版")</f>
        <v>ブライト出版</v>
      </c>
      <c r="M3457" s="33">
        <f>IFERROR(__xludf.DUMMYFUNCTION("""COMPUTED_VALUE"""),45887.0)</f>
        <v>45887</v>
      </c>
      <c r="N3457" s="33">
        <f>IFERROR(__xludf.DUMMYFUNCTION("""COMPUTED_VALUE"""),45991.0)</f>
        <v>45991</v>
      </c>
      <c r="O3457" s="20"/>
      <c r="P3457" s="32" t="str">
        <f>IFERROR(__xludf.DUMMYFUNCTION("""COMPUTED_VALUE"""),"可")</f>
        <v>可</v>
      </c>
      <c r="Q3457" s="30"/>
      <c r="R3457" s="22" t="str">
        <f>IFERROR(__xludf.DUMMYFUNCTION("""COMPUTED_VALUE"""),"コミットNG")</f>
        <v>コミットNG</v>
      </c>
      <c r="S3457" s="22" t="str">
        <f>IFERROR(__xludf.DUMMYFUNCTION("""COMPUTED_VALUE"""),"20250617_ブライト出版_【ラブチーク】エッチな倫理観の壊れた世界で溺愛魔術師から逃げられない")</f>
        <v>20250617_ブライト出版_【ラブチーク】エッチな倫理観の壊れた世界で溺愛魔術師から逃げられない</v>
      </c>
      <c r="T3457" s="22" t="str">
        <f>IFERROR(__xludf.DUMMYFUNCTION("""COMPUTED_VALUE"""),"格納済み")</f>
        <v>格納済み</v>
      </c>
      <c r="U3457" s="9" t="str">
        <f>IFERROR(__xludf.DUMMYFUNCTION("""COMPUTED_VALUE"""),"(C)やさい・黒衣／ブライト出版")</f>
        <v>(C)やさい・黒衣／ブライト出版</v>
      </c>
      <c r="V3457" s="8"/>
      <c r="W3457" s="8"/>
      <c r="X3457" s="8" t="str">
        <f>IFERROR(__xludf.DUMMYFUNCTION("""COMPUTED_VALUE"""),"有")</f>
        <v>有</v>
      </c>
      <c r="Y3457" s="8" t="str">
        <f>IFERROR(__xludf.DUMMYFUNCTION("""COMPUTED_VALUE"""),"2025/8/31まで1巻無料")</f>
        <v>2025/8/31まで1巻無料</v>
      </c>
      <c r="Z3457" s="7"/>
      <c r="AA3457" s="7"/>
      <c r="AB3457" s="7"/>
    </row>
    <row r="3458" ht="15.75" customHeight="1">
      <c r="A3458" s="26">
        <f>IFERROR(__xludf.DUMMYFUNCTION("""COMPUTED_VALUE"""),5720.0)</f>
        <v>5720</v>
      </c>
      <c r="B3458" s="22" t="str">
        <f>IFERROR(__xludf.DUMMYFUNCTION("""COMPUTED_VALUE"""),"確定")</f>
        <v>確定</v>
      </c>
      <c r="C3458" s="28">
        <f>IFERROR(__xludf.DUMMYFUNCTION("""COMPUTED_VALUE"""),45811.0)</f>
        <v>45811</v>
      </c>
      <c r="D3458" s="28">
        <f>IFERROR(__xludf.DUMMYFUNCTION("""COMPUTED_VALUE"""),45826.0)</f>
        <v>45826</v>
      </c>
      <c r="E3458" s="26">
        <f>IFERROR(__xludf.DUMMYFUNCTION("""COMPUTED_VALUE"""),328968.0)</f>
        <v>328968</v>
      </c>
      <c r="F3458" s="22" t="str">
        <f>IFERROR(__xludf.DUMMYFUNCTION("""COMPUTED_VALUE"""),"菫の皇女と黒き覇王")</f>
        <v>菫の皇女と黒き覇王</v>
      </c>
      <c r="G3458" s="20" t="str">
        <f>IFERROR(__xludf.DUMMYFUNCTION("""COMPUTED_VALUE"""),"1～11")</f>
        <v>1～11</v>
      </c>
      <c r="H3458" s="22" t="str">
        <f>IFERROR(__xludf.DUMMYFUNCTION("""COMPUTED_VALUE"""),"兎宮卯紗┴エトワール編集部")</f>
        <v>兎宮卯紗┴エトワール編集部</v>
      </c>
      <c r="I3458" s="22" t="str">
        <f>IFERROR(__xludf.DUMMYFUNCTION("""COMPUTED_VALUE"""),"女性")</f>
        <v>女性</v>
      </c>
      <c r="J3458" s="22"/>
      <c r="K3458" s="22"/>
      <c r="L3458" s="22" t="str">
        <f>IFERROR(__xludf.DUMMYFUNCTION("""COMPUTED_VALUE"""),"ライブコミックス")</f>
        <v>ライブコミックス</v>
      </c>
      <c r="M3458" s="33">
        <f>IFERROR(__xludf.DUMMYFUNCTION("""COMPUTED_VALUE"""),45863.0)</f>
        <v>45863</v>
      </c>
      <c r="N3458" s="33">
        <f>IFERROR(__xludf.DUMMYFUNCTION("""COMPUTED_VALUE"""),45953.0)</f>
        <v>45953</v>
      </c>
      <c r="O3458" s="20"/>
      <c r="P3458" s="32" t="str">
        <f>IFERROR(__xludf.DUMMYFUNCTION("""COMPUTED_VALUE"""),"可")</f>
        <v>可</v>
      </c>
      <c r="Q3458" s="30" t="str">
        <f>IFERROR(__xludf.DUMMYFUNCTION("""COMPUTED_VALUE"""),"BookLiveからの2次先行です。&lt;BR&gt;1～9巻の内容にてご検討＆バナー制作をお願いします。")</f>
        <v>BookLiveからの2次先行です。&lt;BR&gt;1～9巻の内容にてご検討＆バナー制作をお願いします。</v>
      </c>
      <c r="R3458" s="22" t="str">
        <f>IFERROR(__xludf.DUMMYFUNCTION("""COMPUTED_VALUE"""),"コミットOK")</f>
        <v>コミットOK</v>
      </c>
      <c r="S3458" s="22" t="str">
        <f>IFERROR(__xludf.DUMMYFUNCTION("""COMPUTED_VALUE"""),"20250603_BookLive_菫の皇女と黒き覇王")</f>
        <v>20250603_BookLive_菫の皇女と黒き覇王</v>
      </c>
      <c r="T3458" s="22" t="str">
        <f>IFERROR(__xludf.DUMMYFUNCTION("""COMPUTED_VALUE"""),"格納済み")</f>
        <v>格納済み</v>
      </c>
      <c r="U3458" s="9" t="str">
        <f>IFERROR(__xludf.DUMMYFUNCTION("""COMPUTED_VALUE"""),"(C)兎宮卯紗/ライブコミックス")</f>
        <v>(C)兎宮卯紗/ライブコミックス</v>
      </c>
      <c r="V3458" s="8"/>
      <c r="W3458" s="8"/>
      <c r="X3458" s="8" t="str">
        <f>IFERROR(__xludf.DUMMYFUNCTION("""COMPUTED_VALUE"""),"有")</f>
        <v>有</v>
      </c>
      <c r="Y3458" s="8" t="str">
        <f>IFERROR(__xludf.DUMMYFUNCTION("""COMPUTED_VALUE"""),"2025/10/23まで1～2巻無料")</f>
        <v>2025/10/23まで1～2巻無料</v>
      </c>
      <c r="Z3458" s="7"/>
      <c r="AA3458" s="7"/>
      <c r="AB3458" s="7"/>
    </row>
    <row r="3459" ht="15.75" customHeight="1">
      <c r="A3459" s="26">
        <f>IFERROR(__xludf.DUMMYFUNCTION("""COMPUTED_VALUE"""),5722.0)</f>
        <v>5722</v>
      </c>
      <c r="B3459" s="22" t="str">
        <f>IFERROR(__xludf.DUMMYFUNCTION("""COMPUTED_VALUE"""),"確定")</f>
        <v>確定</v>
      </c>
      <c r="C3459" s="28">
        <f>IFERROR(__xludf.DUMMYFUNCTION("""COMPUTED_VALUE"""),45811.0)</f>
        <v>45811</v>
      </c>
      <c r="D3459" s="28">
        <f>IFERROR(__xludf.DUMMYFUNCTION("""COMPUTED_VALUE"""),45824.0)</f>
        <v>45824</v>
      </c>
      <c r="E3459" s="26">
        <f>IFERROR(__xludf.DUMMYFUNCTION("""COMPUTED_VALUE"""),327640.0)</f>
        <v>327640</v>
      </c>
      <c r="F3459" s="22" t="str">
        <f>IFERROR(__xludf.DUMMYFUNCTION("""COMPUTED_VALUE"""),"俺様な推しのギャップがメロすぎる")</f>
        <v>俺様な推しのギャップがメロすぎる</v>
      </c>
      <c r="G3459" s="20" t="str">
        <f>IFERROR(__xludf.DUMMYFUNCTION("""COMPUTED_VALUE"""),"1～2")</f>
        <v>1～2</v>
      </c>
      <c r="H3459" s="22" t="str">
        <f>IFERROR(__xludf.DUMMYFUNCTION("""COMPUTED_VALUE"""),"仲村拓彦┴アスティル編集部")</f>
        <v>仲村拓彦┴アスティル編集部</v>
      </c>
      <c r="I3459" s="22" t="str">
        <f>IFERROR(__xludf.DUMMYFUNCTION("""COMPUTED_VALUE"""),"BL")</f>
        <v>BL</v>
      </c>
      <c r="J3459" s="22"/>
      <c r="K3459" s="22"/>
      <c r="L3459" s="22" t="str">
        <f>IFERROR(__xludf.DUMMYFUNCTION("""COMPUTED_VALUE"""),"ライブコミックス")</f>
        <v>ライブコミックス</v>
      </c>
      <c r="M3459" s="33">
        <f>IFERROR(__xludf.DUMMYFUNCTION("""COMPUTED_VALUE"""),45875.0)</f>
        <v>45875</v>
      </c>
      <c r="N3459" s="33">
        <f>IFERROR(__xludf.DUMMYFUNCTION("""COMPUTED_VALUE"""),45944.0)</f>
        <v>45944</v>
      </c>
      <c r="O3459" s="20"/>
      <c r="P3459" s="32" t="str">
        <f>IFERROR(__xludf.DUMMYFUNCTION("""COMPUTED_VALUE"""),"可")</f>
        <v>可</v>
      </c>
      <c r="Q3459" s="30" t="str">
        <f>IFERROR(__xludf.DUMMYFUNCTION("""COMPUTED_VALUE"""),"BookLiveとの2社先行です。&lt;BR&gt;&lt;BR&gt;")</f>
        <v>BookLiveとの2社先行です。&lt;BR&gt;&lt;BR&gt;</v>
      </c>
      <c r="R3459" s="22" t="str">
        <f>IFERROR(__xludf.DUMMYFUNCTION("""COMPUTED_VALUE"""),"コミットOK")</f>
        <v>コミットOK</v>
      </c>
      <c r="S3459" s="22" t="str">
        <f>IFERROR(__xludf.DUMMYFUNCTION("""COMPUTED_VALUE"""),"20250603_BookLive_俺様な推しのギャップがメロすぎる")</f>
        <v>20250603_BookLive_俺様な推しのギャップがメロすぎる</v>
      </c>
      <c r="T3459" s="22" t="str">
        <f>IFERROR(__xludf.DUMMYFUNCTION("""COMPUTED_VALUE"""),"格納済み")</f>
        <v>格納済み</v>
      </c>
      <c r="U3459" s="9" t="str">
        <f>IFERROR(__xludf.DUMMYFUNCTION("""COMPUTED_VALUE"""),"(C)仲村拓彦/ライブコミックス")</f>
        <v>(C)仲村拓彦/ライブコミックス</v>
      </c>
      <c r="V3459" s="8"/>
      <c r="W3459" s="8"/>
      <c r="X3459" s="8" t="str">
        <f>IFERROR(__xludf.DUMMYFUNCTION("""COMPUTED_VALUE"""),"有")</f>
        <v>有</v>
      </c>
      <c r="Y3459" s="8" t="str">
        <f>IFERROR(__xludf.DUMMYFUNCTION("""COMPUTED_VALUE"""),"2025/9/2まで1巻立ち読み増量(P14)")</f>
        <v>2025/9/2まで1巻立ち読み増量(P14)</v>
      </c>
      <c r="Z3459" s="7"/>
      <c r="AA3459" s="7"/>
      <c r="AB3459" s="7"/>
    </row>
    <row r="3460" ht="15.75" customHeight="1">
      <c r="A3460" s="26">
        <f>IFERROR(__xludf.DUMMYFUNCTION("""COMPUTED_VALUE"""),5730.0)</f>
        <v>5730</v>
      </c>
      <c r="B3460" s="22" t="str">
        <f>IFERROR(__xludf.DUMMYFUNCTION("""COMPUTED_VALUE"""),"確定")</f>
        <v>確定</v>
      </c>
      <c r="C3460" s="28">
        <f>IFERROR(__xludf.DUMMYFUNCTION("""COMPUTED_VALUE"""),45813.0)</f>
        <v>45813</v>
      </c>
      <c r="D3460" s="28">
        <f>IFERROR(__xludf.DUMMYFUNCTION("""COMPUTED_VALUE"""),45825.0)</f>
        <v>45825</v>
      </c>
      <c r="E3460" s="26">
        <f>IFERROR(__xludf.DUMMYFUNCTION("""COMPUTED_VALUE"""),328182.0)</f>
        <v>328182</v>
      </c>
      <c r="F3460" s="22" t="str">
        <f>IFERROR(__xludf.DUMMYFUNCTION("""COMPUTED_VALUE"""),"成長痛")</f>
        <v>成長痛</v>
      </c>
      <c r="G3460" s="20">
        <f>IFERROR(__xludf.DUMMYFUNCTION("""COMPUTED_VALUE"""),1.0)</f>
        <v>1</v>
      </c>
      <c r="H3460" s="22" t="str">
        <f>IFERROR(__xludf.DUMMYFUNCTION("""COMPUTED_VALUE"""),"さきしたせんむ")</f>
        <v>さきしたせんむ</v>
      </c>
      <c r="I3460" s="22" t="str">
        <f>IFERROR(__xludf.DUMMYFUNCTION("""COMPUTED_VALUE"""),"BL")</f>
        <v>BL</v>
      </c>
      <c r="J3460" s="22"/>
      <c r="K3460" s="22"/>
      <c r="L3460" s="22" t="str">
        <f>IFERROR(__xludf.DUMMYFUNCTION("""COMPUTED_VALUE"""),"東京漫画社")</f>
        <v>東京漫画社</v>
      </c>
      <c r="M3460" s="33">
        <f>IFERROR(__xludf.DUMMYFUNCTION("""COMPUTED_VALUE"""),45849.0)</f>
        <v>45849</v>
      </c>
      <c r="N3460" s="33">
        <f>IFERROR(__xludf.DUMMYFUNCTION("""COMPUTED_VALUE"""),45911.0)</f>
        <v>45911</v>
      </c>
      <c r="O3460" s="20"/>
      <c r="P3460" s="32" t="str">
        <f>IFERROR(__xludf.DUMMYFUNCTION("""COMPUTED_VALUE"""),"可")</f>
        <v>可</v>
      </c>
      <c r="Q3460" s="30" t="str">
        <f>IFERROR(__xludf.DUMMYFUNCTION("""COMPUTED_VALUE"""),"1話試読増量を予定")</f>
        <v>1話試読増量を予定</v>
      </c>
      <c r="R3460" s="22" t="str">
        <f>IFERROR(__xludf.DUMMYFUNCTION("""COMPUTED_VALUE"""),"コミットOK")</f>
        <v>コミットOK</v>
      </c>
      <c r="S3460" s="22" t="str">
        <f>IFERROR(__xludf.DUMMYFUNCTION("""COMPUTED_VALUE"""),"20250605_東京漫画社_成長痛")</f>
        <v>20250605_東京漫画社_成長痛</v>
      </c>
      <c r="T3460" s="22" t="str">
        <f>IFERROR(__xludf.DUMMYFUNCTION("""COMPUTED_VALUE"""),"格納済み")</f>
        <v>格納済み</v>
      </c>
      <c r="U3460" s="9" t="str">
        <f>IFERROR(__xludf.DUMMYFUNCTION("""COMPUTED_VALUE"""),"Ⓒさきしたせんむ/東京漫画社")</f>
        <v>Ⓒさきしたせんむ/東京漫画社</v>
      </c>
      <c r="V3460" s="8"/>
      <c r="W3460" s="8"/>
      <c r="X3460" s="8" t="str">
        <f>IFERROR(__xludf.DUMMYFUNCTION("""COMPUTED_VALUE"""),"有")</f>
        <v>有</v>
      </c>
      <c r="Y3460" s="8" t="str">
        <f>IFERROR(__xludf.DUMMYFUNCTION("""COMPUTED_VALUE"""),"2025/9/11まで1巻立ち読み増量(P10まで)")</f>
        <v>2025/9/11まで1巻立ち読み増量(P10まで)</v>
      </c>
      <c r="Z3460" s="7"/>
      <c r="AA3460" s="7"/>
      <c r="AB3460" s="7"/>
    </row>
    <row r="3461" ht="15.75" customHeight="1">
      <c r="A3461" s="26">
        <f>IFERROR(__xludf.DUMMYFUNCTION("""COMPUTED_VALUE"""),5784.0)</f>
        <v>5784</v>
      </c>
      <c r="B3461" s="22" t="str">
        <f>IFERROR(__xludf.DUMMYFUNCTION("""COMPUTED_VALUE"""),"確定")</f>
        <v>確定</v>
      </c>
      <c r="C3461" s="28">
        <f>IFERROR(__xludf.DUMMYFUNCTION("""COMPUTED_VALUE"""),45817.0)</f>
        <v>45817</v>
      </c>
      <c r="D3461" s="28">
        <f>IFERROR(__xludf.DUMMYFUNCTION("""COMPUTED_VALUE"""),45824.0)</f>
        <v>45824</v>
      </c>
      <c r="E3461" s="26">
        <f>IFERROR(__xludf.DUMMYFUNCTION("""COMPUTED_VALUE"""),301069.0)</f>
        <v>301069</v>
      </c>
      <c r="F3461" s="22" t="str">
        <f>IFERROR(__xludf.DUMMYFUNCTION("""COMPUTED_VALUE"""),"神先生はΩを隠したい")</f>
        <v>神先生はΩを隠したい</v>
      </c>
      <c r="G3461" s="20" t="str">
        <f>IFERROR(__xludf.DUMMYFUNCTION("""COMPUTED_VALUE"""),"1～3")</f>
        <v>1～3</v>
      </c>
      <c r="H3461" s="22" t="str">
        <f>IFERROR(__xludf.DUMMYFUNCTION("""COMPUTED_VALUE"""),"汐生遊")</f>
        <v>汐生遊</v>
      </c>
      <c r="I3461" s="22" t="str">
        <f>IFERROR(__xludf.DUMMYFUNCTION("""COMPUTED_VALUE"""),"BLマンガ")</f>
        <v>BLマンガ</v>
      </c>
      <c r="J3461" s="22"/>
      <c r="K3461" s="22" t="str">
        <f>IFERROR(__xludf.DUMMYFUNCTION("""COMPUTED_VALUE"""),"Ficus")</f>
        <v>Ficus</v>
      </c>
      <c r="L3461" s="22" t="str">
        <f>IFERROR(__xludf.DUMMYFUNCTION("""COMPUTED_VALUE"""),"シーモアコミックス")</f>
        <v>シーモアコミックス</v>
      </c>
      <c r="M3461" s="33">
        <f>IFERROR(__xludf.DUMMYFUNCTION("""COMPUTED_VALUE"""),45850.0)</f>
        <v>45850</v>
      </c>
      <c r="N3461" s="33">
        <f>IFERROR(__xludf.DUMMYFUNCTION("""COMPUTED_VALUE"""),46002.70833333333)</f>
        <v>46002.70833</v>
      </c>
      <c r="O3461" s="20"/>
      <c r="P3461" s="32" t="str">
        <f>IFERROR(__xludf.DUMMYFUNCTION("""COMPUTED_VALUE"""),"可")</f>
        <v>可</v>
      </c>
      <c r="Q3461" s="30"/>
      <c r="R3461" s="22"/>
      <c r="S3461" s="22" t="str">
        <f>IFERROR(__xludf.DUMMYFUNCTION("""COMPUTED_VALUE"""),"20250609_シーモアコミックス_神先生はΩを隠したい")</f>
        <v>20250609_シーモアコミックス_神先生はΩを隠したい</v>
      </c>
      <c r="T3461" s="22" t="str">
        <f>IFERROR(__xludf.DUMMYFUNCTION("""COMPUTED_VALUE"""),"格納済み")</f>
        <v>格納済み</v>
      </c>
      <c r="U3461" s="9" t="str">
        <f>IFERROR(__xludf.DUMMYFUNCTION("""COMPUTED_VALUE"""),"(C) 汐生遊/シーモアコミックス")</f>
        <v>(C) 汐生遊/シーモアコミックス</v>
      </c>
      <c r="V3461" s="8"/>
      <c r="W3461" s="8"/>
      <c r="X3461" s="8" t="str">
        <f>IFERROR(__xludf.DUMMYFUNCTION("""COMPUTED_VALUE"""),"有")</f>
        <v>有</v>
      </c>
      <c r="Y3461" s="8" t="str">
        <f>IFERROR(__xludf.DUMMYFUNCTION("""COMPUTED_VALUE"""),"2025/8/8まで1巻無料")</f>
        <v>2025/8/8まで1巻無料</v>
      </c>
      <c r="Z3461" s="7"/>
      <c r="AA3461" s="7"/>
      <c r="AB3461" s="7"/>
    </row>
    <row r="3462" ht="15.75" customHeight="1">
      <c r="A3462" s="26">
        <f>IFERROR(__xludf.DUMMYFUNCTION("""COMPUTED_VALUE"""),5836.0)</f>
        <v>5836</v>
      </c>
      <c r="B3462" s="22" t="str">
        <f>IFERROR(__xludf.DUMMYFUNCTION("""COMPUTED_VALUE"""),"確定")</f>
        <v>確定</v>
      </c>
      <c r="C3462" s="28">
        <f>IFERROR(__xludf.DUMMYFUNCTION("""COMPUTED_VALUE"""),45819.0)</f>
        <v>45819</v>
      </c>
      <c r="D3462" s="28">
        <f>IFERROR(__xludf.DUMMYFUNCTION("""COMPUTED_VALUE"""),45824.0)</f>
        <v>45824</v>
      </c>
      <c r="E3462" s="26">
        <f>IFERROR(__xludf.DUMMYFUNCTION("""COMPUTED_VALUE"""),320552.0)</f>
        <v>320552</v>
      </c>
      <c r="F3462" s="22" t="str">
        <f>IFERROR(__xludf.DUMMYFUNCTION("""COMPUTED_VALUE"""),"ささやき刺さる佐々木さん")</f>
        <v>ささやき刺さる佐々木さん</v>
      </c>
      <c r="G3462" s="20" t="str">
        <f>IFERROR(__xludf.DUMMYFUNCTION("""COMPUTED_VALUE"""),"1～3")</f>
        <v>1～3</v>
      </c>
      <c r="H3462" s="22" t="str">
        <f>IFERROR(__xludf.DUMMYFUNCTION("""COMPUTED_VALUE"""),"むらた壱")</f>
        <v>むらた壱</v>
      </c>
      <c r="I3462" s="22" t="str">
        <f>IFERROR(__xludf.DUMMYFUNCTION("""COMPUTED_VALUE"""),"青年マンガ")</f>
        <v>青年マンガ</v>
      </c>
      <c r="J3462" s="22"/>
      <c r="K3462" s="22" t="str">
        <f>IFERROR(__xludf.DUMMYFUNCTION("""COMPUTED_VALUE"""),"トレモア・スプラッシュ,トレモアcollection")</f>
        <v>トレモア・スプラッシュ,トレモアcollection</v>
      </c>
      <c r="L3462" s="22" t="str">
        <f>IFERROR(__xludf.DUMMYFUNCTION("""COMPUTED_VALUE"""),"シーモアコミックス（トレモア）")</f>
        <v>シーモアコミックス（トレモア）</v>
      </c>
      <c r="M3462" s="33">
        <f>IFERROR(__xludf.DUMMYFUNCTION("""COMPUTED_VALUE"""),45863.0)</f>
        <v>45863</v>
      </c>
      <c r="N3462" s="33">
        <f>IFERROR(__xludf.DUMMYFUNCTION("""COMPUTED_VALUE"""),46163.66666666667)</f>
        <v>46163.66667</v>
      </c>
      <c r="O3462" s="20"/>
      <c r="P3462" s="32" t="str">
        <f>IFERROR(__xludf.DUMMYFUNCTION("""COMPUTED_VALUE"""),"可")</f>
        <v>可</v>
      </c>
      <c r="Q3462" s="30"/>
      <c r="R3462" s="22"/>
      <c r="S3462" s="22" t="str">
        <f>IFERROR(__xludf.DUMMYFUNCTION("""COMPUTED_VALUE"""),"20250611_シーモアコミックス_ささやき刺さる佐々木さん")</f>
        <v>20250611_シーモアコミックス_ささやき刺さる佐々木さん</v>
      </c>
      <c r="T3462" s="22" t="str">
        <f>IFERROR(__xludf.DUMMYFUNCTION("""COMPUTED_VALUE"""),"格納済み")</f>
        <v>格納済み</v>
      </c>
      <c r="U3462" s="9" t="str">
        <f>IFERROR(__xludf.DUMMYFUNCTION("""COMPUTED_VALUE"""),"(C) むらた壱/シーモアコミックス")</f>
        <v>(C) むらた壱/シーモアコミックス</v>
      </c>
      <c r="V3462" s="8"/>
      <c r="W3462" s="8"/>
      <c r="X3462" s="8" t="str">
        <f>IFERROR(__xludf.DUMMYFUNCTION("""COMPUTED_VALUE"""),"有")</f>
        <v>有</v>
      </c>
      <c r="Y3462" s="8" t="str">
        <f>IFERROR(__xludf.DUMMYFUNCTION("""COMPUTED_VALUE"""),"2025/12/31まで1巻無料")</f>
        <v>2025/12/31まで1巻無料</v>
      </c>
      <c r="Z3462" s="7"/>
      <c r="AA3462" s="7"/>
      <c r="AB3462" s="7"/>
    </row>
    <row r="3463" ht="15.75" customHeight="1">
      <c r="A3463" s="26">
        <f>IFERROR(__xludf.DUMMYFUNCTION("""COMPUTED_VALUE"""),5838.0)</f>
        <v>5838</v>
      </c>
      <c r="B3463" s="22" t="str">
        <f>IFERROR(__xludf.DUMMYFUNCTION("""COMPUTED_VALUE"""),"確定")</f>
        <v>確定</v>
      </c>
      <c r="C3463" s="28">
        <f>IFERROR(__xludf.DUMMYFUNCTION("""COMPUTED_VALUE"""),45819.0)</f>
        <v>45819</v>
      </c>
      <c r="D3463" s="28">
        <f>IFERROR(__xludf.DUMMYFUNCTION("""COMPUTED_VALUE"""),45824.0)</f>
        <v>45824</v>
      </c>
      <c r="E3463" s="26">
        <f>IFERROR(__xludf.DUMMYFUNCTION("""COMPUTED_VALUE"""),327871.0)</f>
        <v>327871</v>
      </c>
      <c r="F3463" s="22" t="str">
        <f>IFERROR(__xludf.DUMMYFUNCTION("""COMPUTED_VALUE"""),"平成ナマイキアイドル様がずっと憑いてる 分冊版")</f>
        <v>平成ナマイキアイドル様がずっと憑いてる 分冊版</v>
      </c>
      <c r="G3463" s="20" t="str">
        <f>IFERROR(__xludf.DUMMYFUNCTION("""COMPUTED_VALUE"""),"1～4")</f>
        <v>1～4</v>
      </c>
      <c r="H3463" s="22" t="str">
        <f>IFERROR(__xludf.DUMMYFUNCTION("""COMPUTED_VALUE"""),"とめおにぎり")</f>
        <v>とめおにぎり</v>
      </c>
      <c r="I3463" s="22" t="str">
        <f>IFERROR(__xludf.DUMMYFUNCTION("""COMPUTED_VALUE"""),"青年")</f>
        <v>青年</v>
      </c>
      <c r="J3463" s="22"/>
      <c r="K3463" s="22"/>
      <c r="L3463" s="22" t="str">
        <f>IFERROR(__xludf.DUMMYFUNCTION("""COMPUTED_VALUE"""),"コアミックス")</f>
        <v>コアミックス</v>
      </c>
      <c r="M3463" s="33">
        <f>IFERROR(__xludf.DUMMYFUNCTION("""COMPUTED_VALUE"""),45835.0)</f>
        <v>45835</v>
      </c>
      <c r="N3463" s="33">
        <f>IFERROR(__xludf.DUMMYFUNCTION("""COMPUTED_VALUE"""),45888.0)</f>
        <v>45888</v>
      </c>
      <c r="O3463" s="20"/>
      <c r="P3463" s="32" t="str">
        <f>IFERROR(__xludf.DUMMYFUNCTION("""COMPUTED_VALUE"""),"可")</f>
        <v>可</v>
      </c>
      <c r="Q3463" s="30"/>
      <c r="R3463" s="22"/>
      <c r="S3463" s="22" t="str">
        <f>IFERROR(__xludf.DUMMYFUNCTION("""COMPUTED_VALUE"""),"20250611_コアミックス_平成ナマイキアイドル様がずっと憑いてる")</f>
        <v>20250611_コアミックス_平成ナマイキアイドル様がずっと憑いてる</v>
      </c>
      <c r="T3463" s="22" t="str">
        <f>IFERROR(__xludf.DUMMYFUNCTION("""COMPUTED_VALUE"""),"格納済み")</f>
        <v>格納済み</v>
      </c>
      <c r="U3463" s="9" t="str">
        <f>IFERROR(__xludf.DUMMYFUNCTION("""COMPUTED_VALUE"""),"Ⓒとめおにぎり／コアミックス")</f>
        <v>Ⓒとめおにぎり／コアミックス</v>
      </c>
      <c r="V3463" s="8"/>
      <c r="W3463" s="8"/>
      <c r="X3463" s="8" t="str">
        <f>IFERROR(__xludf.DUMMYFUNCTION("""COMPUTED_VALUE"""),"有")</f>
        <v>有</v>
      </c>
      <c r="Y3463" s="8" t="str">
        <f>IFERROR(__xludf.DUMMYFUNCTION("""COMPUTED_VALUE"""),"2025/8/19まで1巻無料")</f>
        <v>2025/8/19まで1巻無料</v>
      </c>
      <c r="Z3463" s="7"/>
      <c r="AA3463" s="7"/>
      <c r="AB3463" s="7"/>
    </row>
    <row r="3464" ht="15.75" customHeight="1">
      <c r="A3464" s="26">
        <f>IFERROR(__xludf.DUMMYFUNCTION("""COMPUTED_VALUE"""),5839.0)</f>
        <v>5839</v>
      </c>
      <c r="B3464" s="22" t="str">
        <f>IFERROR(__xludf.DUMMYFUNCTION("""COMPUTED_VALUE"""),"確定")</f>
        <v>確定</v>
      </c>
      <c r="C3464" s="28">
        <f>IFERROR(__xludf.DUMMYFUNCTION("""COMPUTED_VALUE"""),45820.0)</f>
        <v>45820</v>
      </c>
      <c r="D3464" s="28">
        <f>IFERROR(__xludf.DUMMYFUNCTION("""COMPUTED_VALUE"""),45824.0)</f>
        <v>45824</v>
      </c>
      <c r="E3464" s="26">
        <f>IFERROR(__xludf.DUMMYFUNCTION("""COMPUTED_VALUE"""),328221.0)</f>
        <v>328221</v>
      </c>
      <c r="F3464" s="22" t="str">
        <f>IFERROR(__xludf.DUMMYFUNCTION("""COMPUTED_VALUE"""),"虜〜貴方を私だけが独り占め〜")</f>
        <v>虜〜貴方を私だけが独り占め〜</v>
      </c>
      <c r="G3464" s="20" t="str">
        <f>IFERROR(__xludf.DUMMYFUNCTION("""COMPUTED_VALUE"""),"1～2")</f>
        <v>1～2</v>
      </c>
      <c r="H3464" s="22" t="str">
        <f>IFERROR(__xludf.DUMMYFUNCTION("""COMPUTED_VALUE"""),"橋岡リツキ／COMIC ROOM")</f>
        <v>橋岡リツキ／COMIC ROOM</v>
      </c>
      <c r="I3464" s="22" t="str">
        <f>IFERROR(__xludf.DUMMYFUNCTION("""COMPUTED_VALUE"""),"女性")</f>
        <v>女性</v>
      </c>
      <c r="J3464" s="22"/>
      <c r="K3464" s="22"/>
      <c r="L3464" s="22" t="str">
        <f>IFERROR(__xludf.DUMMYFUNCTION("""COMPUTED_VALUE"""),"コミックルーム")</f>
        <v>コミックルーム</v>
      </c>
      <c r="M3464" s="33">
        <f>IFERROR(__xludf.DUMMYFUNCTION("""COMPUTED_VALUE"""),45853.0)</f>
        <v>45853</v>
      </c>
      <c r="N3464" s="33">
        <f>IFERROR(__xludf.DUMMYFUNCTION("""COMPUTED_VALUE"""),45944.0)</f>
        <v>45944</v>
      </c>
      <c r="O3464" s="20"/>
      <c r="P3464" s="32" t="str">
        <f>IFERROR(__xludf.DUMMYFUNCTION("""COMPUTED_VALUE"""),"可")</f>
        <v>可</v>
      </c>
      <c r="Q3464" s="30"/>
      <c r="R3464" s="22"/>
      <c r="S3464" s="22" t="str">
        <f>IFERROR(__xludf.DUMMYFUNCTION("""COMPUTED_VALUE"""),"20250612_コミックルーム_虜〜貴方を私だけが独り占め〜")</f>
        <v>20250612_コミックルーム_虜〜貴方を私だけが独り占め〜</v>
      </c>
      <c r="T3464" s="22" t="str">
        <f>IFERROR(__xludf.DUMMYFUNCTION("""COMPUTED_VALUE"""),"格納済み")</f>
        <v>格納済み</v>
      </c>
      <c r="U3464" s="9" t="str">
        <f>IFERROR(__xludf.DUMMYFUNCTION("""COMPUTED_VALUE"""),"(c)橋岡リツキ／COMIC ROOM")</f>
        <v>(c)橋岡リツキ／COMIC ROOM</v>
      </c>
      <c r="V3464" s="8"/>
      <c r="W3464" s="8"/>
      <c r="X3464" s="8" t="str">
        <f>IFERROR(__xludf.DUMMYFUNCTION("""COMPUTED_VALUE"""),"有")</f>
        <v>有</v>
      </c>
      <c r="Y3464" s="8" t="str">
        <f>IFERROR(__xludf.DUMMYFUNCTION("""COMPUTED_VALUE"""),"P11まで")</f>
        <v>P11まで</v>
      </c>
      <c r="Z3464" s="7"/>
      <c r="AA3464" s="7"/>
      <c r="AB3464" s="7"/>
    </row>
    <row r="3465" ht="15.75" customHeight="1">
      <c r="A3465" s="26">
        <f>IFERROR(__xludf.DUMMYFUNCTION("""COMPUTED_VALUE"""),5840.0)</f>
        <v>5840</v>
      </c>
      <c r="B3465" s="22" t="str">
        <f>IFERROR(__xludf.DUMMYFUNCTION("""COMPUTED_VALUE"""),"確定")</f>
        <v>確定</v>
      </c>
      <c r="C3465" s="28">
        <f>IFERROR(__xludf.DUMMYFUNCTION("""COMPUTED_VALUE"""),45820.0)</f>
        <v>45820</v>
      </c>
      <c r="D3465" s="28">
        <f>IFERROR(__xludf.DUMMYFUNCTION("""COMPUTED_VALUE"""),45824.0)</f>
        <v>45824</v>
      </c>
      <c r="E3465" s="26">
        <f>IFERROR(__xludf.DUMMYFUNCTION("""COMPUTED_VALUE"""),328222.0)</f>
        <v>328222</v>
      </c>
      <c r="F3465" s="22" t="str">
        <f>IFERROR(__xludf.DUMMYFUNCTION("""COMPUTED_VALUE"""),"侯爵騎士様の深愛に押しつぶされそうなのですが！")</f>
        <v>侯爵騎士様の深愛に押しつぶされそうなのですが！</v>
      </c>
      <c r="G3465" s="20" t="str">
        <f>IFERROR(__xludf.DUMMYFUNCTION("""COMPUTED_VALUE"""),"1～2")</f>
        <v>1～2</v>
      </c>
      <c r="H3465" s="22" t="str">
        <f>IFERROR(__xludf.DUMMYFUNCTION("""COMPUTED_VALUE"""),"さんじょうカノ／COMIC ROOM")</f>
        <v>さんじょうカノ／COMIC ROOM</v>
      </c>
      <c r="I3465" s="22" t="str">
        <f>IFERROR(__xludf.DUMMYFUNCTION("""COMPUTED_VALUE"""),"女性")</f>
        <v>女性</v>
      </c>
      <c r="J3465" s="22"/>
      <c r="K3465" s="22"/>
      <c r="L3465" s="22" t="str">
        <f>IFERROR(__xludf.DUMMYFUNCTION("""COMPUTED_VALUE"""),"コミックルーム")</f>
        <v>コミックルーム</v>
      </c>
      <c r="M3465" s="33">
        <f>IFERROR(__xludf.DUMMYFUNCTION("""COMPUTED_VALUE"""),45853.0)</f>
        <v>45853</v>
      </c>
      <c r="N3465" s="33">
        <f>IFERROR(__xludf.DUMMYFUNCTION("""COMPUTED_VALUE"""),45944.0)</f>
        <v>45944</v>
      </c>
      <c r="O3465" s="20"/>
      <c r="P3465" s="32" t="str">
        <f>IFERROR(__xludf.DUMMYFUNCTION("""COMPUTED_VALUE"""),"可")</f>
        <v>可</v>
      </c>
      <c r="Q3465" s="30"/>
      <c r="R3465" s="22"/>
      <c r="S3465" s="22" t="str">
        <f>IFERROR(__xludf.DUMMYFUNCTION("""COMPUTED_VALUE"""),"20250612_コミックルーム_侯爵騎士様の深愛に押しつぶされそうなのですが！")</f>
        <v>20250612_コミックルーム_侯爵騎士様の深愛に押しつぶされそうなのですが！</v>
      </c>
      <c r="T3465" s="22" t="str">
        <f>IFERROR(__xludf.DUMMYFUNCTION("""COMPUTED_VALUE"""),"格納済み")</f>
        <v>格納済み</v>
      </c>
      <c r="U3465" s="9" t="str">
        <f>IFERROR(__xludf.DUMMYFUNCTION("""COMPUTED_VALUE"""),"(c)さんじょうカノ／COMIC ROOM")</f>
        <v>(c)さんじょうカノ／COMIC ROOM</v>
      </c>
      <c r="V3465" s="8"/>
      <c r="W3465" s="8"/>
      <c r="X3465" s="8" t="str">
        <f>IFERROR(__xludf.DUMMYFUNCTION("""COMPUTED_VALUE"""),"有")</f>
        <v>有</v>
      </c>
      <c r="Y3465" s="8" t="str">
        <f>IFERROR(__xludf.DUMMYFUNCTION("""COMPUTED_VALUE"""),"P11まで")</f>
        <v>P11まで</v>
      </c>
      <c r="Z3465" s="7"/>
      <c r="AA3465" s="7"/>
      <c r="AB3465" s="7"/>
    </row>
    <row r="3466" ht="15.75" customHeight="1">
      <c r="A3466" s="26">
        <f>IFERROR(__xludf.DUMMYFUNCTION("""COMPUTED_VALUE"""),5841.0)</f>
        <v>5841</v>
      </c>
      <c r="B3466" s="22" t="str">
        <f>IFERROR(__xludf.DUMMYFUNCTION("""COMPUTED_VALUE"""),"確定")</f>
        <v>確定</v>
      </c>
      <c r="C3466" s="28">
        <f>IFERROR(__xludf.DUMMYFUNCTION("""COMPUTED_VALUE"""),45820.0)</f>
        <v>45820</v>
      </c>
      <c r="D3466" s="28">
        <f>IFERROR(__xludf.DUMMYFUNCTION("""COMPUTED_VALUE"""),45824.0)</f>
        <v>45824</v>
      </c>
      <c r="E3466" s="26">
        <f>IFERROR(__xludf.DUMMYFUNCTION("""COMPUTED_VALUE"""),328224.0)</f>
        <v>328224</v>
      </c>
      <c r="F3466" s="22" t="str">
        <f>IFERROR(__xludf.DUMMYFUNCTION("""COMPUTED_VALUE"""),"あなたに興味を失ってしまいましたが、どうぞお元気で。")</f>
        <v>あなたに興味を失ってしまいましたが、どうぞお元気で。</v>
      </c>
      <c r="G3466" s="20" t="str">
        <f>IFERROR(__xludf.DUMMYFUNCTION("""COMPUTED_VALUE"""),"1～2")</f>
        <v>1～2</v>
      </c>
      <c r="H3466" s="22" t="str">
        <f>IFERROR(__xludf.DUMMYFUNCTION("""COMPUTED_VALUE"""),"PUKU／COMIC ROOM")</f>
        <v>PUKU／COMIC ROOM</v>
      </c>
      <c r="I3466" s="22" t="str">
        <f>IFERROR(__xludf.DUMMYFUNCTION("""COMPUTED_VALUE"""),"女性")</f>
        <v>女性</v>
      </c>
      <c r="J3466" s="22"/>
      <c r="K3466" s="22"/>
      <c r="L3466" s="22" t="str">
        <f>IFERROR(__xludf.DUMMYFUNCTION("""COMPUTED_VALUE"""),"コミックルーム")</f>
        <v>コミックルーム</v>
      </c>
      <c r="M3466" s="33">
        <f>IFERROR(__xludf.DUMMYFUNCTION("""COMPUTED_VALUE"""),45853.0)</f>
        <v>45853</v>
      </c>
      <c r="N3466" s="33">
        <f>IFERROR(__xludf.DUMMYFUNCTION("""COMPUTED_VALUE"""),45944.0)</f>
        <v>45944</v>
      </c>
      <c r="O3466" s="20"/>
      <c r="P3466" s="32" t="str">
        <f>IFERROR(__xludf.DUMMYFUNCTION("""COMPUTED_VALUE"""),"可")</f>
        <v>可</v>
      </c>
      <c r="Q3466" s="30"/>
      <c r="R3466" s="22"/>
      <c r="S3466" s="22" t="str">
        <f>IFERROR(__xludf.DUMMYFUNCTION("""COMPUTED_VALUE"""),"20250612_コミックルーム_あなたに興味を失ってしまいましたが、どうぞお元気で。")</f>
        <v>20250612_コミックルーム_あなたに興味を失ってしまいましたが、どうぞお元気で。</v>
      </c>
      <c r="T3466" s="22" t="str">
        <f>IFERROR(__xludf.DUMMYFUNCTION("""COMPUTED_VALUE"""),"格納済み")</f>
        <v>格納済み</v>
      </c>
      <c r="U3466" s="9" t="str">
        <f>IFERROR(__xludf.DUMMYFUNCTION("""COMPUTED_VALUE"""),"(c)PUKU／COMIC ROOM")</f>
        <v>(c)PUKU／COMIC ROOM</v>
      </c>
      <c r="V3466" s="8"/>
      <c r="W3466" s="8"/>
      <c r="X3466" s="8" t="str">
        <f>IFERROR(__xludf.DUMMYFUNCTION("""COMPUTED_VALUE"""),"有")</f>
        <v>有</v>
      </c>
      <c r="Y3466" s="8" t="str">
        <f>IFERROR(__xludf.DUMMYFUNCTION("""COMPUTED_VALUE"""),"P11まで")</f>
        <v>P11まで</v>
      </c>
      <c r="Z3466" s="7"/>
      <c r="AA3466" s="7"/>
      <c r="AB3466" s="7"/>
    </row>
    <row r="3467" ht="15.75" customHeight="1">
      <c r="A3467" s="26">
        <f>IFERROR(__xludf.DUMMYFUNCTION("""COMPUTED_VALUE"""),5842.0)</f>
        <v>5842</v>
      </c>
      <c r="B3467" s="22" t="str">
        <f>IFERROR(__xludf.DUMMYFUNCTION("""COMPUTED_VALUE"""),"確定")</f>
        <v>確定</v>
      </c>
      <c r="C3467" s="28">
        <f>IFERROR(__xludf.DUMMYFUNCTION("""COMPUTED_VALUE"""),45820.0)</f>
        <v>45820</v>
      </c>
      <c r="D3467" s="28">
        <f>IFERROR(__xludf.DUMMYFUNCTION("""COMPUTED_VALUE"""),45824.0)</f>
        <v>45824</v>
      </c>
      <c r="E3467" s="26">
        <f>IFERROR(__xludf.DUMMYFUNCTION("""COMPUTED_VALUE"""),328234.0)</f>
        <v>328234</v>
      </c>
      <c r="F3467" s="22" t="str">
        <f>IFERROR(__xludf.DUMMYFUNCTION("""COMPUTED_VALUE"""),"無能な令嬢がその子守唄で王太子の心を射止めるまで")</f>
        <v>無能な令嬢がその子守唄で王太子の心を射止めるまで</v>
      </c>
      <c r="G3467" s="20" t="str">
        <f>IFERROR(__xludf.DUMMYFUNCTION("""COMPUTED_VALUE"""),"1～2")</f>
        <v>1～2</v>
      </c>
      <c r="H3467" s="22" t="str">
        <f>IFERROR(__xludf.DUMMYFUNCTION("""COMPUTED_VALUE"""),"戸倉梅松／COMIC ROOM")</f>
        <v>戸倉梅松／COMIC ROOM</v>
      </c>
      <c r="I3467" s="22" t="str">
        <f>IFERROR(__xludf.DUMMYFUNCTION("""COMPUTED_VALUE"""),"女性")</f>
        <v>女性</v>
      </c>
      <c r="J3467" s="22"/>
      <c r="K3467" s="22"/>
      <c r="L3467" s="22" t="str">
        <f>IFERROR(__xludf.DUMMYFUNCTION("""COMPUTED_VALUE"""),"コミックルーム")</f>
        <v>コミックルーム</v>
      </c>
      <c r="M3467" s="33">
        <f>IFERROR(__xludf.DUMMYFUNCTION("""COMPUTED_VALUE"""),45853.0)</f>
        <v>45853</v>
      </c>
      <c r="N3467" s="33">
        <f>IFERROR(__xludf.DUMMYFUNCTION("""COMPUTED_VALUE"""),45944.0)</f>
        <v>45944</v>
      </c>
      <c r="O3467" s="20"/>
      <c r="P3467" s="32" t="str">
        <f>IFERROR(__xludf.DUMMYFUNCTION("""COMPUTED_VALUE"""),"可")</f>
        <v>可</v>
      </c>
      <c r="Q3467" s="30"/>
      <c r="R3467" s="22"/>
      <c r="S3467" s="22" t="str">
        <f>IFERROR(__xludf.DUMMYFUNCTION("""COMPUTED_VALUE"""),"20250612_コミックルーム_無能な令嬢がその子守唄で王太子の心を射止めるまで")</f>
        <v>20250612_コミックルーム_無能な令嬢がその子守唄で王太子の心を射止めるまで</v>
      </c>
      <c r="T3467" s="22" t="str">
        <f>IFERROR(__xludf.DUMMYFUNCTION("""COMPUTED_VALUE"""),"格納済み")</f>
        <v>格納済み</v>
      </c>
      <c r="U3467" s="9" t="str">
        <f>IFERROR(__xludf.DUMMYFUNCTION("""COMPUTED_VALUE"""),"(c)戸倉梅松／COMIC ROOM")</f>
        <v>(c)戸倉梅松／COMIC ROOM</v>
      </c>
      <c r="V3467" s="8"/>
      <c r="W3467" s="8"/>
      <c r="X3467" s="8" t="str">
        <f>IFERROR(__xludf.DUMMYFUNCTION("""COMPUTED_VALUE"""),"有")</f>
        <v>有</v>
      </c>
      <c r="Y3467" s="8" t="str">
        <f>IFERROR(__xludf.DUMMYFUNCTION("""COMPUTED_VALUE"""),"P10まで")</f>
        <v>P10まで</v>
      </c>
      <c r="Z3467" s="7"/>
      <c r="AA3467" s="7"/>
      <c r="AB3467" s="7"/>
    </row>
    <row r="3468" ht="15.75" customHeight="1">
      <c r="A3468" s="26">
        <f>IFERROR(__xludf.DUMMYFUNCTION("""COMPUTED_VALUE"""),5843.0)</f>
        <v>5843</v>
      </c>
      <c r="B3468" s="22" t="str">
        <f>IFERROR(__xludf.DUMMYFUNCTION("""COMPUTED_VALUE"""),"確定")</f>
        <v>確定</v>
      </c>
      <c r="C3468" s="28">
        <f>IFERROR(__xludf.DUMMYFUNCTION("""COMPUTED_VALUE"""),45820.0)</f>
        <v>45820</v>
      </c>
      <c r="D3468" s="28">
        <f>IFERROR(__xludf.DUMMYFUNCTION("""COMPUTED_VALUE"""),45824.0)</f>
        <v>45824</v>
      </c>
      <c r="E3468" s="26">
        <f>IFERROR(__xludf.DUMMYFUNCTION("""COMPUTED_VALUE"""),328223.0)</f>
        <v>328223</v>
      </c>
      <c r="F3468" s="22" t="str">
        <f>IFERROR(__xludf.DUMMYFUNCTION("""COMPUTED_VALUE"""),"私、討伐対象ですが、王子の溺愛につき生存ルート突入です。")</f>
        <v>私、討伐対象ですが、王子の溺愛につき生存ルート突入です。</v>
      </c>
      <c r="G3468" s="20" t="str">
        <f>IFERROR(__xludf.DUMMYFUNCTION("""COMPUTED_VALUE"""),"1～2")</f>
        <v>1～2</v>
      </c>
      <c r="H3468" s="22" t="str">
        <f>IFERROR(__xludf.DUMMYFUNCTION("""COMPUTED_VALUE"""),"終宵ロギ／COMIC ROOM")</f>
        <v>終宵ロギ／COMIC ROOM</v>
      </c>
      <c r="I3468" s="22" t="str">
        <f>IFERROR(__xludf.DUMMYFUNCTION("""COMPUTED_VALUE"""),"女性")</f>
        <v>女性</v>
      </c>
      <c r="J3468" s="22"/>
      <c r="K3468" s="22"/>
      <c r="L3468" s="22" t="str">
        <f>IFERROR(__xludf.DUMMYFUNCTION("""COMPUTED_VALUE"""),"コミックルーム")</f>
        <v>コミックルーム</v>
      </c>
      <c r="M3468" s="33">
        <f>IFERROR(__xludf.DUMMYFUNCTION("""COMPUTED_VALUE"""),45853.0)</f>
        <v>45853</v>
      </c>
      <c r="N3468" s="33">
        <f>IFERROR(__xludf.DUMMYFUNCTION("""COMPUTED_VALUE"""),45944.0)</f>
        <v>45944</v>
      </c>
      <c r="O3468" s="20"/>
      <c r="P3468" s="32" t="str">
        <f>IFERROR(__xludf.DUMMYFUNCTION("""COMPUTED_VALUE"""),"可")</f>
        <v>可</v>
      </c>
      <c r="Q3468" s="30"/>
      <c r="R3468" s="22"/>
      <c r="S3468" s="22" t="str">
        <f>IFERROR(__xludf.DUMMYFUNCTION("""COMPUTED_VALUE"""),"20250612_コミックルーム_私、討伐対象ですが、王子の溺愛につき生存ルート突入です。")</f>
        <v>20250612_コミックルーム_私、討伐対象ですが、王子の溺愛につき生存ルート突入です。</v>
      </c>
      <c r="T3468" s="22" t="str">
        <f>IFERROR(__xludf.DUMMYFUNCTION("""COMPUTED_VALUE"""),"格納済み")</f>
        <v>格納済み</v>
      </c>
      <c r="U3468" s="9" t="str">
        <f>IFERROR(__xludf.DUMMYFUNCTION("""COMPUTED_VALUE"""),"(c)終宵ロギ／COMIC ROOM")</f>
        <v>(c)終宵ロギ／COMIC ROOM</v>
      </c>
      <c r="V3468" s="8"/>
      <c r="W3468" s="8"/>
      <c r="X3468" s="8" t="str">
        <f>IFERROR(__xludf.DUMMYFUNCTION("""COMPUTED_VALUE"""),"有")</f>
        <v>有</v>
      </c>
      <c r="Y3468" s="8" t="str">
        <f>IFERROR(__xludf.DUMMYFUNCTION("""COMPUTED_VALUE"""),"P11まで")</f>
        <v>P11まで</v>
      </c>
      <c r="Z3468" s="7"/>
      <c r="AA3468" s="7"/>
      <c r="AB3468" s="7"/>
    </row>
    <row r="3469" ht="15.75" customHeight="1">
      <c r="A3469" s="26">
        <f>IFERROR(__xludf.DUMMYFUNCTION("""COMPUTED_VALUE"""),5869.0)</f>
        <v>5869</v>
      </c>
      <c r="B3469" s="22" t="str">
        <f>IFERROR(__xludf.DUMMYFUNCTION("""COMPUTED_VALUE"""),"確定")</f>
        <v>確定</v>
      </c>
      <c r="C3469" s="28">
        <f>IFERROR(__xludf.DUMMYFUNCTION("""COMPUTED_VALUE"""),45826.0)</f>
        <v>45826</v>
      </c>
      <c r="D3469" s="28">
        <f>IFERROR(__xludf.DUMMYFUNCTION("""COMPUTED_VALUE"""),45826.0)</f>
        <v>45826</v>
      </c>
      <c r="E3469" s="26">
        <f>IFERROR(__xludf.DUMMYFUNCTION("""COMPUTED_VALUE"""),329596.0)</f>
        <v>329596</v>
      </c>
      <c r="F3469" s="22" t="str">
        <f>IFERROR(__xludf.DUMMYFUNCTION("""COMPUTED_VALUE"""),"リピート・ヴァイス～悪役貴族は死にたくないので四天王になるのをやめました～【分冊版】")</f>
        <v>リピート・ヴァイス～悪役貴族は死にたくないので四天王になるのをやめました～【分冊版】</v>
      </c>
      <c r="G3469" s="20" t="str">
        <f>IFERROR(__xludf.DUMMYFUNCTION("""COMPUTED_VALUE"""),"1～4")</f>
        <v>1～4</v>
      </c>
      <c r="H3469" s="22" t="str">
        <f>IFERROR(__xludf.DUMMYFUNCTION("""COMPUTED_VALUE"""),"原作：黒川陽継（HJ文庫／ホビージャパン刊） 漫画：太平洋海 キャラクター原案：釧路くき・daichi")</f>
        <v>原作：黒川陽継（HJ文庫／ホビージャパン刊） 漫画：太平洋海 キャラクター原案：釧路くき・daichi</v>
      </c>
      <c r="I3469" s="22" t="str">
        <f>IFERROR(__xludf.DUMMYFUNCTION("""COMPUTED_VALUE"""),"少年")</f>
        <v>少年</v>
      </c>
      <c r="J3469" s="22"/>
      <c r="K3469" s="22"/>
      <c r="L3469" s="22" t="str">
        <f>IFERROR(__xludf.DUMMYFUNCTION("""COMPUTED_VALUE"""),"スクウェア・エニックス")</f>
        <v>スクウェア・エニックス</v>
      </c>
      <c r="M3469" s="33">
        <f>IFERROR(__xludf.DUMMYFUNCTION("""COMPUTED_VALUE"""),45853.0)</f>
        <v>45853</v>
      </c>
      <c r="N3469" s="33">
        <f>IFERROR(__xludf.DUMMYFUNCTION("""COMPUTED_VALUE"""),45900.0)</f>
        <v>45900</v>
      </c>
      <c r="O3469" s="20"/>
      <c r="P3469" s="32" t="str">
        <f>IFERROR(__xludf.DUMMYFUNCTION("""COMPUTED_VALUE"""),"否")</f>
        <v>否</v>
      </c>
      <c r="Q3469" s="30" t="str">
        <f>IFERROR(__xludf.DUMMYFUNCTION("""COMPUTED_VALUE"""),"植戸さん、成瀬さん相談案件")</f>
        <v>植戸さん、成瀬さん相談案件</v>
      </c>
      <c r="R3469" s="22"/>
      <c r="S3469" s="22" t="str">
        <f>IFERROR(__xludf.DUMMYFUNCTION("""COMPUTED_VALUE"""),"20250618_スクウェア・エニックス_リピート・ヴァイス～悪役貴族は死にたくないので四天王になるのをやめました～【分冊版】")</f>
        <v>20250618_スクウェア・エニックス_リピート・ヴァイス～悪役貴族は死にたくないので四天王になるのをやめました～【分冊版】</v>
      </c>
      <c r="T3469" s="22" t="str">
        <f>IFERROR(__xludf.DUMMYFUNCTION("""COMPUTED_VALUE"""),"格納済み")</f>
        <v>格納済み</v>
      </c>
      <c r="U3469" s="9" t="str">
        <f>IFERROR(__xludf.DUMMYFUNCTION("""COMPUTED_VALUE"""),"(C)Kurokawa Hitsugi (C)Kushiro Kuki (C)daichi (C)Taihei Hiromi/SQUARE ENIX")</f>
        <v>(C)Kurokawa Hitsugi (C)Kushiro Kuki (C)daichi (C)Taihei Hiromi/SQUARE ENIX</v>
      </c>
      <c r="V3469" s="8"/>
      <c r="W3469" s="8"/>
      <c r="X3469" s="8" t="str">
        <f>IFERROR(__xludf.DUMMYFUNCTION("""COMPUTED_VALUE"""),"有")</f>
        <v>有</v>
      </c>
      <c r="Y3469" s="8" t="str">
        <f>IFERROR(__xludf.DUMMYFUNCTION("""COMPUTED_VALUE"""),"2025/8/31まで1巻無料")</f>
        <v>2025/8/31まで1巻無料</v>
      </c>
      <c r="Z3469" s="7"/>
      <c r="AA3469" s="7"/>
      <c r="AB3469" s="7"/>
    </row>
    <row r="3470" ht="15.75" customHeight="1">
      <c r="A3470" s="26">
        <f>IFERROR(__xludf.DUMMYFUNCTION("""COMPUTED_VALUE"""),4852.0)</f>
        <v>4852</v>
      </c>
      <c r="B3470" s="22" t="str">
        <f>IFERROR(__xludf.DUMMYFUNCTION("""COMPUTED_VALUE"""),"確定")</f>
        <v>確定</v>
      </c>
      <c r="C3470" s="28">
        <f>IFERROR(__xludf.DUMMYFUNCTION("""COMPUTED_VALUE"""),45677.0)</f>
        <v>45677</v>
      </c>
      <c r="D3470" s="28">
        <f>IFERROR(__xludf.DUMMYFUNCTION("""COMPUTED_VALUE"""),45832.0)</f>
        <v>45832</v>
      </c>
      <c r="E3470" s="26">
        <f>IFERROR(__xludf.DUMMYFUNCTION("""COMPUTED_VALUE"""),328543.0)</f>
        <v>328543</v>
      </c>
      <c r="F3470" s="22" t="str">
        <f>IFERROR(__xludf.DUMMYFUNCTION("""COMPUTED_VALUE"""),"独占求婚～エリート社長に愛でられすぎてます～【分冊版】")</f>
        <v>独占求婚～エリート社長に愛でられすぎてます～【分冊版】</v>
      </c>
      <c r="G3470" s="20" t="str">
        <f>IFERROR(__xludf.DUMMYFUNCTION("""COMPUTED_VALUE"""),"1～3")</f>
        <v>1～3</v>
      </c>
      <c r="H3470" s="22" t="str">
        <f>IFERROR(__xludf.DUMMYFUNCTION("""COMPUTED_VALUE"""),"朔野かがり,桜羽真央")</f>
        <v>朔野かがり,桜羽真央</v>
      </c>
      <c r="I3470" s="22" t="str">
        <f>IFERROR(__xludf.DUMMYFUNCTION("""COMPUTED_VALUE"""),"女性")</f>
        <v>女性</v>
      </c>
      <c r="J3470" s="22"/>
      <c r="K3470" s="22"/>
      <c r="L3470" s="22" t="str">
        <f>IFERROR(__xludf.DUMMYFUNCTION("""COMPUTED_VALUE"""),"ハーパーコリンズ・ジャパン")</f>
        <v>ハーパーコリンズ・ジャパン</v>
      </c>
      <c r="M3470" s="33">
        <f>IFERROR(__xludf.DUMMYFUNCTION("""COMPUTED_VALUE"""),45856.0)</f>
        <v>45856</v>
      </c>
      <c r="N3470" s="33">
        <f>IFERROR(__xludf.DUMMYFUNCTION("""COMPUTED_VALUE"""),45918.0)</f>
        <v>45918</v>
      </c>
      <c r="O3470" s="20"/>
      <c r="P3470" s="32" t="str">
        <f>IFERROR(__xludf.DUMMYFUNCTION("""COMPUTED_VALUE"""),"可")</f>
        <v>可</v>
      </c>
      <c r="Q3470" s="30"/>
      <c r="R3470" s="22" t="str">
        <f>IFERROR(__xludf.DUMMYFUNCTION("""COMPUTED_VALUE"""),"コミットNG")</f>
        <v>コミットNG</v>
      </c>
      <c r="S3470" s="22" t="str">
        <f>IFERROR(__xludf.DUMMYFUNCTION("""COMPUTED_VALUE"""),"20250624_ハーパーコリンズ・ジャパン_独占求婚～エリート社長に愛でられすぎてます～【分冊版】")</f>
        <v>20250624_ハーパーコリンズ・ジャパン_独占求婚～エリート社長に愛でられすぎてます～【分冊版】</v>
      </c>
      <c r="T3470" s="22" t="str">
        <f>IFERROR(__xludf.DUMMYFUNCTION("""COMPUTED_VALUE"""),"格納済み")</f>
        <v>格納済み</v>
      </c>
      <c r="U3470" s="9" t="str">
        <f>IFERROR(__xludf.DUMMYFUNCTION("""COMPUTED_VALUE"""),"Ⓒ朔野かがり・桜羽真央／ハーパーコリンズ・ジャパン")</f>
        <v>Ⓒ朔野かがり・桜羽真央／ハーパーコリンズ・ジャパン</v>
      </c>
      <c r="V3470" s="8"/>
      <c r="W3470" s="8"/>
      <c r="X3470" s="8" t="str">
        <f>IFERROR(__xludf.DUMMYFUNCTION("""COMPUTED_VALUE"""),"有")</f>
        <v>有</v>
      </c>
      <c r="Y3470" s="8" t="str">
        <f>IFERROR(__xludf.DUMMYFUNCTION("""COMPUTED_VALUE"""),"P9まで")</f>
        <v>P9まで</v>
      </c>
      <c r="Z3470" s="7"/>
      <c r="AA3470" s="7"/>
      <c r="AB3470" s="7"/>
    </row>
    <row r="3471" ht="15.75" customHeight="1">
      <c r="A3471" s="26">
        <f>IFERROR(__xludf.DUMMYFUNCTION("""COMPUTED_VALUE"""),4855.0)</f>
        <v>4855</v>
      </c>
      <c r="B3471" s="22" t="str">
        <f>IFERROR(__xludf.DUMMYFUNCTION("""COMPUTED_VALUE"""),"確定")</f>
        <v>確定</v>
      </c>
      <c r="C3471" s="28">
        <f>IFERROR(__xludf.DUMMYFUNCTION("""COMPUTED_VALUE"""),45677.0)</f>
        <v>45677</v>
      </c>
      <c r="D3471" s="28">
        <f>IFERROR(__xludf.DUMMYFUNCTION("""COMPUTED_VALUE"""),45832.0)</f>
        <v>45832</v>
      </c>
      <c r="E3471" s="26">
        <f>IFERROR(__xludf.DUMMYFUNCTION("""COMPUTED_VALUE"""),328544.0)</f>
        <v>328544</v>
      </c>
      <c r="F3471" s="22" t="str">
        <f>IFERROR(__xludf.DUMMYFUNCTION("""COMPUTED_VALUE"""),"身ごもったら、この結婚は終わりにしましょう～身代わり花嫁はＳ系弁護士の溺愛に毎夜甘く啼かされる～【分冊版】")</f>
        <v>身ごもったら、この結婚は終わりにしましょう～身代わり花嫁はＳ系弁護士の溺愛に毎夜甘く啼かされる～【分冊版】</v>
      </c>
      <c r="G3471" s="20" t="str">
        <f>IFERROR(__xludf.DUMMYFUNCTION("""COMPUTED_VALUE"""),"1～3")</f>
        <v>1～3</v>
      </c>
      <c r="H3471" s="22" t="str">
        <f>IFERROR(__xludf.DUMMYFUNCTION("""COMPUTED_VALUE"""),"黒田うらら,一ノ瀬千景")</f>
        <v>黒田うらら,一ノ瀬千景</v>
      </c>
      <c r="I3471" s="22" t="str">
        <f>IFERROR(__xludf.DUMMYFUNCTION("""COMPUTED_VALUE"""),"女性")</f>
        <v>女性</v>
      </c>
      <c r="J3471" s="22"/>
      <c r="K3471" s="22" t="str">
        <f>IFERROR(__xludf.DUMMYFUNCTION("""COMPUTED_VALUE"""),"マーマレードコミックス")</f>
        <v>マーマレードコミックス</v>
      </c>
      <c r="L3471" s="22" t="str">
        <f>IFERROR(__xludf.DUMMYFUNCTION("""COMPUTED_VALUE"""),"ハーパーコリンズ・ジャパン")</f>
        <v>ハーパーコリンズ・ジャパン</v>
      </c>
      <c r="M3471" s="33">
        <f>IFERROR(__xludf.DUMMYFUNCTION("""COMPUTED_VALUE"""),45856.0)</f>
        <v>45856</v>
      </c>
      <c r="N3471" s="33">
        <f>IFERROR(__xludf.DUMMYFUNCTION("""COMPUTED_VALUE"""),45918.0)</f>
        <v>45918</v>
      </c>
      <c r="O3471" s="20"/>
      <c r="P3471" s="32" t="str">
        <f>IFERROR(__xludf.DUMMYFUNCTION("""COMPUTED_VALUE"""),"可")</f>
        <v>可</v>
      </c>
      <c r="Q3471" s="30"/>
      <c r="R3471" s="22" t="str">
        <f>IFERROR(__xludf.DUMMYFUNCTION("""COMPUTED_VALUE"""),"コミットOK")</f>
        <v>コミットOK</v>
      </c>
      <c r="S3471" s="22" t="str">
        <f>IFERROR(__xludf.DUMMYFUNCTION("""COMPUTED_VALUE"""),"20250624_ハーパーコリンズ・ジャパン_身ごもったら、この結婚は終わりにしましょう～身代わり花嫁はＳ系弁護士の溺愛に毎夜甘く啼かされる～【分冊版】")</f>
        <v>20250624_ハーパーコリンズ・ジャパン_身ごもったら、この結婚は終わりにしましょう～身代わり花嫁はＳ系弁護士の溺愛に毎夜甘く啼かされる～【分冊版】</v>
      </c>
      <c r="T3471" s="22" t="str">
        <f>IFERROR(__xludf.DUMMYFUNCTION("""COMPUTED_VALUE"""),"格納済み")</f>
        <v>格納済み</v>
      </c>
      <c r="U3471" s="9" t="str">
        <f>IFERROR(__xludf.DUMMYFUNCTION("""COMPUTED_VALUE"""),"Ⓒ黒田うらら・一ノ瀬千景／ハーパーコリンズ・ジャパン")</f>
        <v>Ⓒ黒田うらら・一ノ瀬千景／ハーパーコリンズ・ジャパン</v>
      </c>
      <c r="V3471" s="8"/>
      <c r="W3471" s="8"/>
      <c r="X3471" s="8" t="str">
        <f>IFERROR(__xludf.DUMMYFUNCTION("""COMPUTED_VALUE"""),"有")</f>
        <v>有</v>
      </c>
      <c r="Y3471" s="8" t="str">
        <f>IFERROR(__xludf.DUMMYFUNCTION("""COMPUTED_VALUE"""),"P11まで")</f>
        <v>P11まで</v>
      </c>
      <c r="Z3471" s="7"/>
      <c r="AA3471" s="7"/>
      <c r="AB3471" s="7"/>
    </row>
    <row r="3472" ht="15.75" customHeight="1">
      <c r="A3472" s="26">
        <f>IFERROR(__xludf.DUMMYFUNCTION("""COMPUTED_VALUE"""),4973.0)</f>
        <v>4973</v>
      </c>
      <c r="B3472" s="22" t="str">
        <f>IFERROR(__xludf.DUMMYFUNCTION("""COMPUTED_VALUE"""),"確定")</f>
        <v>確定</v>
      </c>
      <c r="C3472" s="28">
        <f>IFERROR(__xludf.DUMMYFUNCTION("""COMPUTED_VALUE"""),45693.0)</f>
        <v>45693</v>
      </c>
      <c r="D3472" s="28">
        <f>IFERROR(__xludf.DUMMYFUNCTION("""COMPUTED_VALUE"""),45832.0)</f>
        <v>45832</v>
      </c>
      <c r="E3472" s="26">
        <f>IFERROR(__xludf.DUMMYFUNCTION("""COMPUTED_VALUE"""),329237.0)</f>
        <v>329237</v>
      </c>
      <c r="F3472" s="22" t="str">
        <f>IFERROR(__xludf.DUMMYFUNCTION("""COMPUTED_VALUE"""),"ファイナルベッツの夜に")</f>
        <v>ファイナルベッツの夜に</v>
      </c>
      <c r="G3472" s="20" t="str">
        <f>IFERROR(__xludf.DUMMYFUNCTION("""COMPUTED_VALUE"""),"1～3")</f>
        <v>1～3</v>
      </c>
      <c r="H3472" s="22" t="str">
        <f>IFERROR(__xludf.DUMMYFUNCTION("""COMPUTED_VALUE"""),"みつこ")</f>
        <v>みつこ</v>
      </c>
      <c r="I3472" s="22" t="str">
        <f>IFERROR(__xludf.DUMMYFUNCTION("""COMPUTED_VALUE"""),"BL")</f>
        <v>BL</v>
      </c>
      <c r="J3472" s="22"/>
      <c r="K3472" s="22" t="str">
        <f>IFERROR(__xludf.DUMMYFUNCTION("""COMPUTED_VALUE"""),"BABY")</f>
        <v>BABY</v>
      </c>
      <c r="L3472" s="22" t="str">
        <f>IFERROR(__xludf.DUMMYFUNCTION("""COMPUTED_VALUE"""),"ふゅーじょんぷろだくと")</f>
        <v>ふゅーじょんぷろだくと</v>
      </c>
      <c r="M3472" s="33">
        <f>IFERROR(__xludf.DUMMYFUNCTION("""COMPUTED_VALUE"""),45869.0)</f>
        <v>45869</v>
      </c>
      <c r="N3472" s="33">
        <f>IFERROR(__xludf.DUMMYFUNCTION("""COMPUTED_VALUE"""),45960.0)</f>
        <v>45960</v>
      </c>
      <c r="O3472" s="20"/>
      <c r="P3472" s="32" t="str">
        <f>IFERROR(__xludf.DUMMYFUNCTION("""COMPUTED_VALUE"""),"可")</f>
        <v>可</v>
      </c>
      <c r="Q3472" s="30"/>
      <c r="R3472" s="22" t="str">
        <f>IFERROR(__xludf.DUMMYFUNCTION("""COMPUTED_VALUE"""),"コミットOK")</f>
        <v>コミットOK</v>
      </c>
      <c r="S3472" s="22" t="str">
        <f>IFERROR(__xludf.DUMMYFUNCTION("""COMPUTED_VALUE"""),"20250623_ふゅーじょんぷろだくと_ファイナルベッツの夜に")</f>
        <v>20250623_ふゅーじょんぷろだくと_ファイナルベッツの夜に</v>
      </c>
      <c r="T3472" s="22" t="str">
        <f>IFERROR(__xludf.DUMMYFUNCTION("""COMPUTED_VALUE"""),"格納済み")</f>
        <v>格納済み</v>
      </c>
      <c r="U3472" s="9" t="str">
        <f>IFERROR(__xludf.DUMMYFUNCTION("""COMPUTED_VALUE"""),"Ⓒみつこ／FUSION PRODUCT")</f>
        <v>Ⓒみつこ／FUSION PRODUCT</v>
      </c>
      <c r="V3472" s="8"/>
      <c r="W3472" s="8"/>
      <c r="X3472" s="8" t="str">
        <f>IFERROR(__xludf.DUMMYFUNCTION("""COMPUTED_VALUE"""),"有")</f>
        <v>有</v>
      </c>
      <c r="Y3472" s="8" t="str">
        <f>IFERROR(__xludf.DUMMYFUNCTION("""COMPUTED_VALUE"""),"P10まで")</f>
        <v>P10まで</v>
      </c>
      <c r="Z3472" s="7"/>
      <c r="AA3472" s="7"/>
      <c r="AB3472" s="7"/>
    </row>
    <row r="3473" ht="15.75" customHeight="1">
      <c r="A3473" s="26">
        <f>IFERROR(__xludf.DUMMYFUNCTION("""COMPUTED_VALUE"""),5524.0)</f>
        <v>5524</v>
      </c>
      <c r="B3473" s="22" t="str">
        <f>IFERROR(__xludf.DUMMYFUNCTION("""COMPUTED_VALUE"""),"確定")</f>
        <v>確定</v>
      </c>
      <c r="C3473" s="28">
        <f>IFERROR(__xludf.DUMMYFUNCTION("""COMPUTED_VALUE"""),45769.0)</f>
        <v>45769</v>
      </c>
      <c r="D3473" s="28">
        <f>IFERROR(__xludf.DUMMYFUNCTION("""COMPUTED_VALUE"""),45828.0)</f>
        <v>45828</v>
      </c>
      <c r="E3473" s="26">
        <f>IFERROR(__xludf.DUMMYFUNCTION("""COMPUTED_VALUE"""),328219.0)</f>
        <v>328219</v>
      </c>
      <c r="F3473" s="22" t="str">
        <f>IFERROR(__xludf.DUMMYFUNCTION("""COMPUTED_VALUE"""),"殿下、ちょっと一言よろしいですか？ ～無能な悪女だと罵られて婚約破棄されそうですが、その前にあなたの悪事を暴かせていただきますね！〜 分冊版")</f>
        <v>殿下、ちょっと一言よろしいですか？ ～無能な悪女だと罵られて婚約破棄されそうですが、その前にあなたの悪事を暴かせていただきますね！〜 分冊版</v>
      </c>
      <c r="G3473" s="20" t="str">
        <f>IFERROR(__xludf.DUMMYFUNCTION("""COMPUTED_VALUE"""),"1～5")</f>
        <v>1～5</v>
      </c>
      <c r="H3473" s="22" t="str">
        <f>IFERROR(__xludf.DUMMYFUNCTION("""COMPUTED_VALUE"""),"原作／斧名田マニマニ 漫画家／生煮え ネーム構成／君塚   祥 キャラクター原案／ゆき哉")</f>
        <v>原作／斧名田マニマニ 漫画家／生煮え ネーム構成／君塚   祥 キャラクター原案／ゆき哉</v>
      </c>
      <c r="I3473" s="22" t="str">
        <f>IFERROR(__xludf.DUMMYFUNCTION("""COMPUTED_VALUE"""),"女性")</f>
        <v>女性</v>
      </c>
      <c r="J3473" s="22"/>
      <c r="K3473" s="22"/>
      <c r="L3473" s="22" t="str">
        <f>IFERROR(__xludf.DUMMYFUNCTION("""COMPUTED_VALUE"""),"集英社")</f>
        <v>集英社</v>
      </c>
      <c r="M3473" s="33">
        <f>IFERROR(__xludf.DUMMYFUNCTION("""COMPUTED_VALUE"""),45848.0)</f>
        <v>45848</v>
      </c>
      <c r="N3473" s="33">
        <f>IFERROR(__xludf.DUMMYFUNCTION("""COMPUTED_VALUE"""),45939.0)</f>
        <v>45939</v>
      </c>
      <c r="O3473" s="20"/>
      <c r="P3473" s="32" t="str">
        <f>IFERROR(__xludf.DUMMYFUNCTION("""COMPUTED_VALUE"""),"否")</f>
        <v>否</v>
      </c>
      <c r="Q3473" s="30"/>
      <c r="R3473" s="22" t="str">
        <f>IFERROR(__xludf.DUMMYFUNCTION("""COMPUTED_VALUE"""),"コミットOK")</f>
        <v>コミットOK</v>
      </c>
      <c r="S3473" s="22" t="str">
        <f>IFERROR(__xludf.DUMMYFUNCTION("""COMPUTED_VALUE"""),"20250618_集英社_殿下、ちょっと一言よろしいですか？")</f>
        <v>20250618_集英社_殿下、ちょっと一言よろしいですか？</v>
      </c>
      <c r="T3473" s="22" t="str">
        <f>IFERROR(__xludf.DUMMYFUNCTION("""COMPUTED_VALUE"""),"格納済み")</f>
        <v>格納済み</v>
      </c>
      <c r="U3473" s="9" t="str">
        <f>IFERROR(__xludf.DUMMYFUNCTION("""COMPUTED_VALUE"""),"Ⓒ斧名田マニマニ・生煮え・君塚 祥・ゆき哉／集英社")</f>
        <v>Ⓒ斧名田マニマニ・生煮え・君塚 祥・ゆき哉／集英社</v>
      </c>
      <c r="V3473" s="8"/>
      <c r="W3473" s="8"/>
      <c r="X3473" s="8" t="str">
        <f>IFERROR(__xludf.DUMMYFUNCTION("""COMPUTED_VALUE"""),"有")</f>
        <v>有</v>
      </c>
      <c r="Y3473" s="8" t="str">
        <f>IFERROR(__xludf.DUMMYFUNCTION("""COMPUTED_VALUE"""),"P5まで")</f>
        <v>P5まで</v>
      </c>
      <c r="Z3473" s="7"/>
      <c r="AA3473" s="7"/>
      <c r="AB3473" s="7"/>
    </row>
    <row r="3474" ht="15.75" customHeight="1">
      <c r="A3474" s="26">
        <f>IFERROR(__xludf.DUMMYFUNCTION("""COMPUTED_VALUE"""),5526.0)</f>
        <v>5526</v>
      </c>
      <c r="B3474" s="22" t="str">
        <f>IFERROR(__xludf.DUMMYFUNCTION("""COMPUTED_VALUE"""),"確定")</f>
        <v>確定</v>
      </c>
      <c r="C3474" s="28">
        <f>IFERROR(__xludf.DUMMYFUNCTION("""COMPUTED_VALUE"""),45769.0)</f>
        <v>45769</v>
      </c>
      <c r="D3474" s="28">
        <f>IFERROR(__xludf.DUMMYFUNCTION("""COMPUTED_VALUE"""),45832.0)</f>
        <v>45832</v>
      </c>
      <c r="E3474" s="26">
        <f>IFERROR(__xludf.DUMMYFUNCTION("""COMPUTED_VALUE"""),328580.0)</f>
        <v>328580</v>
      </c>
      <c r="F3474" s="22" t="str">
        <f>IFERROR(__xludf.DUMMYFUNCTION("""COMPUTED_VALUE"""),"九条社長が私を溺愛する理由（ワケ）【単話版】")</f>
        <v>九条社長が私を溺愛する理由（ワケ）【単話版】</v>
      </c>
      <c r="G3474" s="20" t="str">
        <f>IFERROR(__xludf.DUMMYFUNCTION("""COMPUTED_VALUE"""),"1～9")</f>
        <v>1～9</v>
      </c>
      <c r="H3474" s="22" t="str">
        <f>IFERROR(__xludf.DUMMYFUNCTION("""COMPUTED_VALUE"""),"五目／COMIC ROOM")</f>
        <v>五目／COMIC ROOM</v>
      </c>
      <c r="I3474" s="22" t="str">
        <f>IFERROR(__xludf.DUMMYFUNCTION("""COMPUTED_VALUE"""),"女性")</f>
        <v>女性</v>
      </c>
      <c r="J3474" s="22"/>
      <c r="K3474" s="22" t="str">
        <f>IFERROR(__xludf.DUMMYFUNCTION("""COMPUTED_VALUE"""),"COMIC MOON")</f>
        <v>COMIC MOON</v>
      </c>
      <c r="L3474" s="22" t="str">
        <f>IFERROR(__xludf.DUMMYFUNCTION("""COMPUTED_VALUE"""),"コミックルーム")</f>
        <v>コミックルーム</v>
      </c>
      <c r="M3474" s="33">
        <f>IFERROR(__xludf.DUMMYFUNCTION("""COMPUTED_VALUE"""),45858.0)</f>
        <v>45858</v>
      </c>
      <c r="N3474" s="33">
        <f>IFERROR(__xludf.DUMMYFUNCTION("""COMPUTED_VALUE"""),45949.0)</f>
        <v>45949</v>
      </c>
      <c r="O3474" s="20"/>
      <c r="P3474" s="32" t="str">
        <f>IFERROR(__xludf.DUMMYFUNCTION("""COMPUTED_VALUE"""),"可")</f>
        <v>可</v>
      </c>
      <c r="Q3474" s="30" t="str">
        <f>IFERROR(__xludf.DUMMYFUNCTION("""COMPUTED_VALUE"""),"・配信開始時、3巻無料＋4巻目1ptのキャンペーンを実施します。")</f>
        <v>・配信開始時、3巻無料＋4巻目1ptのキャンペーンを実施します。</v>
      </c>
      <c r="R3474" s="22" t="str">
        <f>IFERROR(__xludf.DUMMYFUNCTION("""COMPUTED_VALUE"""),"コミットOK")</f>
        <v>コミットOK</v>
      </c>
      <c r="S3474" s="22" t="str">
        <f>IFERROR(__xludf.DUMMYFUNCTION("""COMPUTED_VALUE"""),"20250623_コミックルーム_九条社長が私を溺愛する理由")</f>
        <v>20250623_コミックルーム_九条社長が私を溺愛する理由</v>
      </c>
      <c r="T3474" s="22" t="str">
        <f>IFERROR(__xludf.DUMMYFUNCTION("""COMPUTED_VALUE"""),"格納済み")</f>
        <v>格納済み</v>
      </c>
      <c r="U3474" s="9" t="str">
        <f>IFERROR(__xludf.DUMMYFUNCTION("""COMPUTED_VALUE"""),"Ⓒ五目／COMIC ROOM")</f>
        <v>Ⓒ五目／COMIC ROOM</v>
      </c>
      <c r="V3474" s="8"/>
      <c r="W3474" s="8"/>
      <c r="X3474" s="8" t="str">
        <f>IFERROR(__xludf.DUMMYFUNCTION("""COMPUTED_VALUE"""),"有")</f>
        <v>有</v>
      </c>
      <c r="Y3474" s="8" t="str">
        <f>IFERROR(__xludf.DUMMYFUNCTION("""COMPUTED_VALUE"""),"P7まで")</f>
        <v>P7まで</v>
      </c>
      <c r="Z3474" s="7"/>
      <c r="AA3474" s="7"/>
      <c r="AB3474" s="7"/>
    </row>
    <row r="3475" ht="15.75" customHeight="1">
      <c r="A3475" s="26">
        <f>IFERROR(__xludf.DUMMYFUNCTION("""COMPUTED_VALUE"""),5542.0)</f>
        <v>5542</v>
      </c>
      <c r="B3475" s="22" t="str">
        <f>IFERROR(__xludf.DUMMYFUNCTION("""COMPUTED_VALUE"""),"確定")</f>
        <v>確定</v>
      </c>
      <c r="C3475" s="28">
        <f>IFERROR(__xludf.DUMMYFUNCTION("""COMPUTED_VALUE"""),45777.0)</f>
        <v>45777</v>
      </c>
      <c r="D3475" s="28">
        <f>IFERROR(__xludf.DUMMYFUNCTION("""COMPUTED_VALUE"""),45828.0)</f>
        <v>45828</v>
      </c>
      <c r="E3475" s="26">
        <f>IFERROR(__xludf.DUMMYFUNCTION("""COMPUTED_VALUE"""),328374.0)</f>
        <v>328374</v>
      </c>
      <c r="F3475" s="22" t="str">
        <f>IFERROR(__xludf.DUMMYFUNCTION("""COMPUTED_VALUE"""),"SERVANT HERO")</f>
        <v>SERVANT HERO</v>
      </c>
      <c r="G3475" s="20" t="str">
        <f>IFERROR(__xludf.DUMMYFUNCTION("""COMPUTED_VALUE"""),"1～4")</f>
        <v>1～4</v>
      </c>
      <c r="H3475" s="22" t="str">
        <f>IFERROR(__xludf.DUMMYFUNCTION("""COMPUTED_VALUE"""),"TEEM BOOK、高橋翔、鈴木大雅、小野塚郁巳、山鳥萌史")</f>
        <v>TEEM BOOK、高橋翔、鈴木大雅、小野塚郁巳、山鳥萌史</v>
      </c>
      <c r="I3475" s="22" t="str">
        <f>IFERROR(__xludf.DUMMYFUNCTION("""COMPUTED_VALUE"""),"青年")</f>
        <v>青年</v>
      </c>
      <c r="J3475" s="22"/>
      <c r="K3475" s="22"/>
      <c r="L3475" s="22" t="str">
        <f>IFERROR(__xludf.DUMMYFUNCTION("""COMPUTED_VALUE"""),"ブックマークジャパン（タツノコプロ）")</f>
        <v>ブックマークジャパン（タツノコプロ）</v>
      </c>
      <c r="M3475" s="33">
        <f>IFERROR(__xludf.DUMMYFUNCTION("""COMPUTED_VALUE"""),45851.0)</f>
        <v>45851</v>
      </c>
      <c r="N3475" s="33">
        <f>IFERROR(__xludf.DUMMYFUNCTION("""COMPUTED_VALUE"""),45941.0)</f>
        <v>45941</v>
      </c>
      <c r="O3475" s="20"/>
      <c r="P3475" s="32" t="str">
        <f>IFERROR(__xludf.DUMMYFUNCTION("""COMPUTED_VALUE"""),"否")</f>
        <v>否</v>
      </c>
      <c r="Q3475" s="30" t="str">
        <f>IFERROR(__xludf.DUMMYFUNCTION("""COMPUTED_VALUE"""),"版元でのクリエイティブのチェック必須になります。&lt;BR&gt;一話目を50％割引かつ、一話目は試読増量（24/48ページまで読める）を実施予定。")</f>
        <v>版元でのクリエイティブのチェック必須になります。&lt;BR&gt;一話目を50％割引かつ、一話目は試読増量（24/48ページまで読める）を実施予定。</v>
      </c>
      <c r="R3475" s="22" t="str">
        <f>IFERROR(__xludf.DUMMYFUNCTION("""COMPUTED_VALUE"""),"コミットOK")</f>
        <v>コミットOK</v>
      </c>
      <c r="S3475" s="22" t="str">
        <f>IFERROR(__xludf.DUMMYFUNCTION("""COMPUTED_VALUE"""),"250620_ブックマークジャパン(タツノコプロ)_SERVANT HERO")</f>
        <v>250620_ブックマークジャパン(タツノコプロ)_SERVANT HERO</v>
      </c>
      <c r="T3475" s="22" t="str">
        <f>IFERROR(__xludf.DUMMYFUNCTION("""COMPUTED_VALUE"""),"格納済み")</f>
        <v>格納済み</v>
      </c>
      <c r="U3475" s="9" t="str">
        <f>IFERROR(__xludf.DUMMYFUNCTION("""COMPUTED_VALUE"""),"ⒸTEEM BOOK/Tatsunoko Production")</f>
        <v>ⒸTEEM BOOK/Tatsunoko Production</v>
      </c>
      <c r="V3475" s="8"/>
      <c r="W3475" s="8"/>
      <c r="X3475" s="8" t="str">
        <f>IFERROR(__xludf.DUMMYFUNCTION("""COMPUTED_VALUE"""),"有")</f>
        <v>有</v>
      </c>
      <c r="Y3475" s="8" t="str">
        <f>IFERROR(__xludf.DUMMYFUNCTION("""COMPUTED_VALUE"""),"2025/8/31まで1巻立ち読み増量(P26)")</f>
        <v>2025/8/31まで1巻立ち読み増量(P26)</v>
      </c>
      <c r="Z3475" s="7"/>
      <c r="AA3475" s="7"/>
      <c r="AB3475" s="7"/>
    </row>
    <row r="3476" ht="15.75" customHeight="1">
      <c r="A3476" s="26">
        <f>IFERROR(__xludf.DUMMYFUNCTION("""COMPUTED_VALUE"""),5629.0)</f>
        <v>5629</v>
      </c>
      <c r="B3476" s="22" t="str">
        <f>IFERROR(__xludf.DUMMYFUNCTION("""COMPUTED_VALUE"""),"確定")</f>
        <v>確定</v>
      </c>
      <c r="C3476" s="28">
        <f>IFERROR(__xludf.DUMMYFUNCTION("""COMPUTED_VALUE"""),45792.0)</f>
        <v>45792</v>
      </c>
      <c r="D3476" s="28">
        <f>IFERROR(__xludf.DUMMYFUNCTION("""COMPUTED_VALUE"""),45831.0)</f>
        <v>45831</v>
      </c>
      <c r="E3476" s="26">
        <f>IFERROR(__xludf.DUMMYFUNCTION("""COMPUTED_VALUE"""),328244.0)</f>
        <v>328244</v>
      </c>
      <c r="F3476" s="22" t="str">
        <f>IFERROR(__xludf.DUMMYFUNCTION("""COMPUTED_VALUE"""),"輝夜先輩は抱かれる前に叶えてほしい")</f>
        <v>輝夜先輩は抱かれる前に叶えてほしい</v>
      </c>
      <c r="G3476" s="20" t="str">
        <f>IFERROR(__xludf.DUMMYFUNCTION("""COMPUTED_VALUE"""),"1～2")</f>
        <v>1～2</v>
      </c>
      <c r="H3476" s="22" t="str">
        <f>IFERROR(__xludf.DUMMYFUNCTION("""COMPUTED_VALUE"""),"会田小路ちょこぷでぃんぐ")</f>
        <v>会田小路ちょこぷでぃんぐ</v>
      </c>
      <c r="I3476" s="22" t="str">
        <f>IFERROR(__xludf.DUMMYFUNCTION("""COMPUTED_VALUE"""),"BL")</f>
        <v>BL</v>
      </c>
      <c r="J3476" s="22"/>
      <c r="K3476" s="22" t="str">
        <f>IFERROR(__xludf.DUMMYFUNCTION("""COMPUTED_VALUE"""),"MooiComics")</f>
        <v>MooiComics</v>
      </c>
      <c r="L3476" s="22" t="str">
        <f>IFERROR(__xludf.DUMMYFUNCTION("""COMPUTED_VALUE"""),"CLLENN")</f>
        <v>CLLENN</v>
      </c>
      <c r="M3476" s="33">
        <f>IFERROR(__xludf.DUMMYFUNCTION("""COMPUTED_VALUE"""),45853.0)</f>
        <v>45853</v>
      </c>
      <c r="N3476" s="33">
        <f>IFERROR(__xludf.DUMMYFUNCTION("""COMPUTED_VALUE"""),45915.0)</f>
        <v>45915</v>
      </c>
      <c r="O3476" s="20"/>
      <c r="P3476" s="32" t="str">
        <f>IFERROR(__xludf.DUMMYFUNCTION("""COMPUTED_VALUE"""),"可")</f>
        <v>可</v>
      </c>
      <c r="Q3476" s="30"/>
      <c r="R3476" s="22" t="str">
        <f>IFERROR(__xludf.DUMMYFUNCTION("""COMPUTED_VALUE"""),"コミットNG")</f>
        <v>コミットNG</v>
      </c>
      <c r="S3476" s="22" t="str">
        <f>IFERROR(__xludf.DUMMYFUNCTION("""COMPUTED_VALUE"""),"20250620_CLLENN_輝夜先輩は抱かれる前に叶えてほしい")</f>
        <v>20250620_CLLENN_輝夜先輩は抱かれる前に叶えてほしい</v>
      </c>
      <c r="T3476" s="22" t="str">
        <f>IFERROR(__xludf.DUMMYFUNCTION("""COMPUTED_VALUE"""),"格納済み")</f>
        <v>格納済み</v>
      </c>
      <c r="U3476" s="9" t="str">
        <f>IFERROR(__xludf.DUMMYFUNCTION("""COMPUTED_VALUE"""),"Ⓒ会田小路ちょこぷでぃんぐ/CLLENN")</f>
        <v>Ⓒ会田小路ちょこぷでぃんぐ/CLLENN</v>
      </c>
      <c r="V3476" s="8"/>
      <c r="W3476" s="8"/>
      <c r="X3476" s="8" t="str">
        <f>IFERROR(__xludf.DUMMYFUNCTION("""COMPUTED_VALUE"""),"有")</f>
        <v>有</v>
      </c>
      <c r="Y3476" s="8" t="str">
        <f>IFERROR(__xludf.DUMMYFUNCTION("""COMPUTED_VALUE"""),"2025/7/28まで1巻立ち読み増量(P19まで)")</f>
        <v>2025/7/28まで1巻立ち読み増量(P19まで)</v>
      </c>
      <c r="Z3476" s="7"/>
      <c r="AA3476" s="7"/>
      <c r="AB3476" s="7"/>
    </row>
    <row r="3477" ht="15.75" customHeight="1">
      <c r="A3477" s="26">
        <f>IFERROR(__xludf.DUMMYFUNCTION("""COMPUTED_VALUE"""),5646.0)</f>
        <v>5646</v>
      </c>
      <c r="B3477" s="22" t="str">
        <f>IFERROR(__xludf.DUMMYFUNCTION("""COMPUTED_VALUE"""),"確定")</f>
        <v>確定</v>
      </c>
      <c r="C3477" s="28">
        <f>IFERROR(__xludf.DUMMYFUNCTION("""COMPUTED_VALUE"""),45797.0)</f>
        <v>45797</v>
      </c>
      <c r="D3477" s="28">
        <f>IFERROR(__xludf.DUMMYFUNCTION("""COMPUTED_VALUE"""),45833.0)</f>
        <v>45833</v>
      </c>
      <c r="E3477" s="26">
        <f>IFERROR(__xludf.DUMMYFUNCTION("""COMPUTED_VALUE"""),328840.0)</f>
        <v>328840</v>
      </c>
      <c r="F3477" s="22" t="str">
        <f>IFERROR(__xludf.DUMMYFUNCTION("""COMPUTED_VALUE"""),"24時過ぎのスカーレット・リリィ")</f>
        <v>24時過ぎのスカーレット・リリィ</v>
      </c>
      <c r="G3477" s="20" t="str">
        <f>IFERROR(__xludf.DUMMYFUNCTION("""COMPUTED_VALUE"""),"1～2")</f>
        <v>1～2</v>
      </c>
      <c r="H3477" s="22" t="str">
        <f>IFERROR(__xludf.DUMMYFUNCTION("""COMPUTED_VALUE"""),"京古")</f>
        <v>京古</v>
      </c>
      <c r="I3477" s="22" t="str">
        <f>IFERROR(__xludf.DUMMYFUNCTION("""COMPUTED_VALUE"""),"BL")</f>
        <v>BL</v>
      </c>
      <c r="J3477" s="22"/>
      <c r="K3477" s="22" t="str">
        <f>IFERROR(__xludf.DUMMYFUNCTION("""COMPUTED_VALUE"""),"NuPu")</f>
        <v>NuPu</v>
      </c>
      <c r="L3477" s="22" t="str">
        <f>IFERROR(__xludf.DUMMYFUNCTION("""COMPUTED_VALUE"""),"CLLENN")</f>
        <v>CLLENN</v>
      </c>
      <c r="M3477" s="33">
        <f>IFERROR(__xludf.DUMMYFUNCTION("""COMPUTED_VALUE"""),45862.0)</f>
        <v>45862</v>
      </c>
      <c r="N3477" s="33">
        <f>IFERROR(__xludf.DUMMYFUNCTION("""COMPUTED_VALUE"""),45924.0)</f>
        <v>45924</v>
      </c>
      <c r="O3477" s="20"/>
      <c r="P3477" s="32" t="str">
        <f>IFERROR(__xludf.DUMMYFUNCTION("""COMPUTED_VALUE"""),"可")</f>
        <v>可</v>
      </c>
      <c r="Q3477" s="30"/>
      <c r="R3477" s="22" t="str">
        <f>IFERROR(__xludf.DUMMYFUNCTION("""COMPUTED_VALUE"""),"コミットOK")</f>
        <v>コミットOK</v>
      </c>
      <c r="S3477" s="22" t="str">
        <f>IFERROR(__xludf.DUMMYFUNCTION("""COMPUTED_VALUE"""),"20250623_CLLENN_24時過ぎのスカーレット・リリィ")</f>
        <v>20250623_CLLENN_24時過ぎのスカーレット・リリィ</v>
      </c>
      <c r="T3477" s="22" t="str">
        <f>IFERROR(__xludf.DUMMYFUNCTION("""COMPUTED_VALUE"""),"格納済み")</f>
        <v>格納済み</v>
      </c>
      <c r="U3477" s="9" t="str">
        <f>IFERROR(__xludf.DUMMYFUNCTION("""COMPUTED_VALUE"""),"Ⓒ京古/CLLENN")</f>
        <v>Ⓒ京古/CLLENN</v>
      </c>
      <c r="V3477" s="8"/>
      <c r="W3477" s="8"/>
      <c r="X3477" s="8" t="str">
        <f>IFERROR(__xludf.DUMMYFUNCTION("""COMPUTED_VALUE"""),"有")</f>
        <v>有</v>
      </c>
      <c r="Y3477" s="8" t="str">
        <f>IFERROR(__xludf.DUMMYFUNCTION("""COMPUTED_VALUE"""),"P10まで")</f>
        <v>P10まで</v>
      </c>
      <c r="Z3477" s="7"/>
      <c r="AA3477" s="7"/>
      <c r="AB3477" s="7"/>
    </row>
    <row r="3478" ht="15.75" customHeight="1">
      <c r="A3478" s="26">
        <f>IFERROR(__xludf.DUMMYFUNCTION("""COMPUTED_VALUE"""),5681.0)</f>
        <v>5681</v>
      </c>
      <c r="B3478" s="22" t="str">
        <f>IFERROR(__xludf.DUMMYFUNCTION("""COMPUTED_VALUE"""),"確定")</f>
        <v>確定</v>
      </c>
      <c r="C3478" s="28">
        <f>IFERROR(__xludf.DUMMYFUNCTION("""COMPUTED_VALUE"""),45807.0)</f>
        <v>45807</v>
      </c>
      <c r="D3478" s="28">
        <f>IFERROR(__xludf.DUMMYFUNCTION("""COMPUTED_VALUE"""),45833.0)</f>
        <v>45833</v>
      </c>
      <c r="E3478" s="26">
        <f>IFERROR(__xludf.DUMMYFUNCTION("""COMPUTED_VALUE"""),328969.0)</f>
        <v>328969</v>
      </c>
      <c r="F3478" s="22" t="str">
        <f>IFERROR(__xludf.DUMMYFUNCTION("""COMPUTED_VALUE"""),"僕のかわいい待つ人よ")</f>
        <v>僕のかわいい待つ人よ</v>
      </c>
      <c r="G3478" s="20" t="str">
        <f>IFERROR(__xludf.DUMMYFUNCTION("""COMPUTED_VALUE"""),"1～3")</f>
        <v>1～3</v>
      </c>
      <c r="H3478" s="22" t="str">
        <f>IFERROR(__xludf.DUMMYFUNCTION("""COMPUTED_VALUE"""),"宮越和草")</f>
        <v>宮越和草</v>
      </c>
      <c r="I3478" s="22" t="str">
        <f>IFERROR(__xludf.DUMMYFUNCTION("""COMPUTED_VALUE"""),"女性")</f>
        <v>女性</v>
      </c>
      <c r="J3478" s="22"/>
      <c r="K3478" s="22" t="str">
        <f>IFERROR(__xludf.DUMMYFUNCTION("""COMPUTED_VALUE"""),"ラブ・ペイン・コミックス")</f>
        <v>ラブ・ペイン・コミックス</v>
      </c>
      <c r="L3478" s="22" t="str">
        <f>IFERROR(__xludf.DUMMYFUNCTION("""COMPUTED_VALUE"""),"グループ・ゼロ")</f>
        <v>グループ・ゼロ</v>
      </c>
      <c r="M3478" s="33">
        <f>IFERROR(__xludf.DUMMYFUNCTION("""COMPUTED_VALUE"""),45863.0)</f>
        <v>45863</v>
      </c>
      <c r="N3478" s="33">
        <f>IFERROR(__xludf.DUMMYFUNCTION("""COMPUTED_VALUE"""),45925.0)</f>
        <v>45925</v>
      </c>
      <c r="O3478" s="20"/>
      <c r="P3478" s="32" t="str">
        <f>IFERROR(__xludf.DUMMYFUNCTION("""COMPUTED_VALUE"""),"可")</f>
        <v>可</v>
      </c>
      <c r="Q3478" s="30"/>
      <c r="R3478" s="22" t="str">
        <f>IFERROR(__xludf.DUMMYFUNCTION("""COMPUTED_VALUE"""),"コミットOK")</f>
        <v>コミットOK</v>
      </c>
      <c r="S3478" s="22" t="str">
        <f>IFERROR(__xludf.DUMMYFUNCTION("""COMPUTED_VALUE"""),"20250623_グループ・ゼロ_僕のかわいい待つ人よ")</f>
        <v>20250623_グループ・ゼロ_僕のかわいい待つ人よ</v>
      </c>
      <c r="T3478" s="22" t="str">
        <f>IFERROR(__xludf.DUMMYFUNCTION("""COMPUTED_VALUE"""),"格納済み")</f>
        <v>格納済み</v>
      </c>
      <c r="U3478" s="9" t="str">
        <f>IFERROR(__xludf.DUMMYFUNCTION("""COMPUTED_VALUE"""),"Ⓒ宮越和草／グループ・ゼロ")</f>
        <v>Ⓒ宮越和草／グループ・ゼロ</v>
      </c>
      <c r="V3478" s="8"/>
      <c r="W3478" s="8"/>
      <c r="X3478" s="8" t="str">
        <f>IFERROR(__xludf.DUMMYFUNCTION("""COMPUTED_VALUE"""),"有")</f>
        <v>有</v>
      </c>
      <c r="Y3478" s="8" t="str">
        <f>IFERROR(__xludf.DUMMYFUNCTION("""COMPUTED_VALUE"""),"2025/9/25まで1巻無料")</f>
        <v>2025/9/25まで1巻無料</v>
      </c>
      <c r="Z3478" s="7"/>
      <c r="AA3478" s="7"/>
      <c r="AB3478" s="7"/>
    </row>
    <row r="3479" ht="15.75" customHeight="1">
      <c r="A3479" s="26">
        <f>IFERROR(__xludf.DUMMYFUNCTION("""COMPUTED_VALUE"""),5690.0)</f>
        <v>5690</v>
      </c>
      <c r="B3479" s="22" t="str">
        <f>IFERROR(__xludf.DUMMYFUNCTION("""COMPUTED_VALUE"""),"確定")</f>
        <v>確定</v>
      </c>
      <c r="C3479" s="28">
        <f>IFERROR(__xludf.DUMMYFUNCTION("""COMPUTED_VALUE"""),45810.0)</f>
        <v>45810</v>
      </c>
      <c r="D3479" s="28">
        <f>IFERROR(__xludf.DUMMYFUNCTION("""COMPUTED_VALUE"""),45833.0)</f>
        <v>45833</v>
      </c>
      <c r="E3479" s="26">
        <f>IFERROR(__xludf.DUMMYFUNCTION("""COMPUTED_VALUE"""),332334.0)</f>
        <v>332334</v>
      </c>
      <c r="F3479" s="22" t="str">
        <f>IFERROR(__xludf.DUMMYFUNCTION("""COMPUTED_VALUE"""),"なかよくしようね《Lovelicot》")</f>
        <v>なかよくしようね《Lovelicot》</v>
      </c>
      <c r="G3479" s="20">
        <f>IFERROR(__xludf.DUMMYFUNCTION("""COMPUTED_VALUE"""),1.0)</f>
        <v>1</v>
      </c>
      <c r="H3479" s="22" t="str">
        <f>IFERROR(__xludf.DUMMYFUNCTION("""COMPUTED_VALUE"""),"スガワラエスコ")</f>
        <v>スガワラエスコ</v>
      </c>
      <c r="I3479" s="22" t="str">
        <f>IFERROR(__xludf.DUMMYFUNCTION("""COMPUTED_VALUE"""),"TL")</f>
        <v>TL</v>
      </c>
      <c r="J3479" s="22"/>
      <c r="K3479" s="22" t="str">
        <f>IFERROR(__xludf.DUMMYFUNCTION("""COMPUTED_VALUE"""),"Lovelicot")</f>
        <v>Lovelicot</v>
      </c>
      <c r="L3479" s="22" t="str">
        <f>IFERROR(__xludf.DUMMYFUNCTION("""COMPUTED_VALUE"""),"ガールスカウトコミックス")</f>
        <v>ガールスカウトコミックス</v>
      </c>
      <c r="M3479" s="33">
        <f>IFERROR(__xludf.DUMMYFUNCTION("""COMPUTED_VALUE"""),45893.0)</f>
        <v>45893</v>
      </c>
      <c r="N3479" s="33">
        <f>IFERROR(__xludf.DUMMYFUNCTION("""COMPUTED_VALUE"""),45984.0)</f>
        <v>45984</v>
      </c>
      <c r="O3479" s="20"/>
      <c r="P3479" s="32" t="str">
        <f>IFERROR(__xludf.DUMMYFUNCTION("""COMPUTED_VALUE"""),"可")</f>
        <v>可</v>
      </c>
      <c r="Q3479" s="30"/>
      <c r="R3479" s="22" t="str">
        <f>IFERROR(__xludf.DUMMYFUNCTION("""COMPUTED_VALUE"""),"コミットOK")</f>
        <v>コミットOK</v>
      </c>
      <c r="S3479" s="22" t="str">
        <f>IFERROR(__xludf.DUMMYFUNCTION("""COMPUTED_VALUE"""),"20250625_ガールスカウトコミックス_なかよくしようね《Lovelicot》")</f>
        <v>20250625_ガールスカウトコミックス_なかよくしようね《Lovelicot》</v>
      </c>
      <c r="T3479" s="22" t="str">
        <f>IFERROR(__xludf.DUMMYFUNCTION("""COMPUTED_VALUE"""),"格納済み")</f>
        <v>格納済み</v>
      </c>
      <c r="U3479" s="9" t="str">
        <f>IFERROR(__xludf.DUMMYFUNCTION("""COMPUTED_VALUE"""),"Ⓒスガワラエスコ／ガールスカウトコミックス")</f>
        <v>Ⓒスガワラエスコ／ガールスカウトコミックス</v>
      </c>
      <c r="V3479" s="8"/>
      <c r="W3479" s="8"/>
      <c r="X3479" s="8" t="str">
        <f>IFERROR(__xludf.DUMMYFUNCTION("""COMPUTED_VALUE"""),"有")</f>
        <v>有</v>
      </c>
      <c r="Y3479" s="8" t="str">
        <f>IFERROR(__xludf.DUMMYFUNCTION("""COMPUTED_VALUE"""),"2025/9/6まで1巻立ち読み増量(P17)")</f>
        <v>2025/9/6まで1巻立ち読み増量(P17)</v>
      </c>
      <c r="Z3479" s="7"/>
      <c r="AA3479" s="7"/>
      <c r="AB3479" s="7"/>
    </row>
    <row r="3480" ht="15.75" customHeight="1">
      <c r="A3480" s="26">
        <f>IFERROR(__xludf.DUMMYFUNCTION("""COMPUTED_VALUE"""),5723.0)</f>
        <v>5723</v>
      </c>
      <c r="B3480" s="22" t="str">
        <f>IFERROR(__xludf.DUMMYFUNCTION("""COMPUTED_VALUE"""),"確定")</f>
        <v>確定</v>
      </c>
      <c r="C3480" s="28">
        <f>IFERROR(__xludf.DUMMYFUNCTION("""COMPUTED_VALUE"""),45811.0)</f>
        <v>45811</v>
      </c>
      <c r="D3480" s="28">
        <f>IFERROR(__xludf.DUMMYFUNCTION("""COMPUTED_VALUE"""),45833.0)</f>
        <v>45833</v>
      </c>
      <c r="E3480" s="26">
        <f>IFERROR(__xludf.DUMMYFUNCTION("""COMPUTED_VALUE"""),330482.0)</f>
        <v>330482</v>
      </c>
      <c r="F3480" s="22" t="str">
        <f>IFERROR(__xludf.DUMMYFUNCTION("""COMPUTED_VALUE"""),"長身部族と遭難学者～とろけるセックス異文化交流～")</f>
        <v>長身部族と遭難学者～とろけるセックス異文化交流～</v>
      </c>
      <c r="G3480" s="20" t="str">
        <f>IFERROR(__xludf.DUMMYFUNCTION("""COMPUTED_VALUE"""),"1～2")</f>
        <v>1～2</v>
      </c>
      <c r="H3480" s="22" t="str">
        <f>IFERROR(__xludf.DUMMYFUNCTION("""COMPUTED_VALUE"""),"朝原ミナ┴ズップス")</f>
        <v>朝原ミナ┴ズップス</v>
      </c>
      <c r="I3480" s="22" t="str">
        <f>IFERROR(__xludf.DUMMYFUNCTION("""COMPUTED_VALUE"""),"BL")</f>
        <v>BL</v>
      </c>
      <c r="J3480" s="22"/>
      <c r="K3480" s="22"/>
      <c r="L3480" s="22" t="str">
        <f>IFERROR(__xludf.DUMMYFUNCTION("""COMPUTED_VALUE"""),"ライブコミックス")</f>
        <v>ライブコミックス</v>
      </c>
      <c r="M3480" s="33">
        <f>IFERROR(__xludf.DUMMYFUNCTION("""COMPUTED_VALUE"""),45875.0)</f>
        <v>45875</v>
      </c>
      <c r="N3480" s="33">
        <f>IFERROR(__xludf.DUMMYFUNCTION("""COMPUTED_VALUE"""),45944.0)</f>
        <v>45944</v>
      </c>
      <c r="O3480" s="20"/>
      <c r="P3480" s="32" t="str">
        <f>IFERROR(__xludf.DUMMYFUNCTION("""COMPUTED_VALUE"""),"可")</f>
        <v>可</v>
      </c>
      <c r="Q3480" s="30" t="str">
        <f>IFERROR(__xludf.DUMMYFUNCTION("""COMPUTED_VALUE"""),"BookLiveとの2社先行です。")</f>
        <v>BookLiveとの2社先行です。</v>
      </c>
      <c r="R3480" s="22" t="str">
        <f>IFERROR(__xludf.DUMMYFUNCTION("""COMPUTED_VALUE"""),"コミットOK")</f>
        <v>コミットOK</v>
      </c>
      <c r="S3480" s="22" t="str">
        <f>IFERROR(__xludf.DUMMYFUNCTION("""COMPUTED_VALUE"""),"20250624_BookLive_長身部族と遭難学者～とろけるセックス異文化交流～")</f>
        <v>20250624_BookLive_長身部族と遭難学者～とろけるセックス異文化交流～</v>
      </c>
      <c r="T3480" s="22" t="str">
        <f>IFERROR(__xludf.DUMMYFUNCTION("""COMPUTED_VALUE"""),"格納済み")</f>
        <v>格納済み</v>
      </c>
      <c r="U3480" s="9" t="str">
        <f>IFERROR(__xludf.DUMMYFUNCTION("""COMPUTED_VALUE"""),"Ⓒ朝原ミナ・ズップス/ライブコミックス")</f>
        <v>Ⓒ朝原ミナ・ズップス/ライブコミックス</v>
      </c>
      <c r="V3480" s="8"/>
      <c r="W3480" s="8"/>
      <c r="X3480" s="8" t="str">
        <f>IFERROR(__xludf.DUMMYFUNCTION("""COMPUTED_VALUE"""),"有")</f>
        <v>有</v>
      </c>
      <c r="Y3480" s="8" t="str">
        <f>IFERROR(__xludf.DUMMYFUNCTION("""COMPUTED_VALUE"""),"2025/9/2まで1巻立ち読み増量(P16)")</f>
        <v>2025/9/2まで1巻立ち読み増量(P16)</v>
      </c>
      <c r="Z3480" s="7"/>
      <c r="AA3480" s="7"/>
      <c r="AB3480" s="7"/>
    </row>
    <row r="3481" ht="15.75" customHeight="1">
      <c r="A3481" s="26">
        <f>IFERROR(__xludf.DUMMYFUNCTION("""COMPUTED_VALUE"""),5731.0)</f>
        <v>5731</v>
      </c>
      <c r="B3481" s="22" t="str">
        <f>IFERROR(__xludf.DUMMYFUNCTION("""COMPUTED_VALUE"""),"確定")</f>
        <v>確定</v>
      </c>
      <c r="C3481" s="28">
        <f>IFERROR(__xludf.DUMMYFUNCTION("""COMPUTED_VALUE"""),45813.0)</f>
        <v>45813</v>
      </c>
      <c r="D3481" s="28">
        <f>IFERROR(__xludf.DUMMYFUNCTION("""COMPUTED_VALUE"""),45833.0)</f>
        <v>45833</v>
      </c>
      <c r="E3481" s="26">
        <f>IFERROR(__xludf.DUMMYFUNCTION("""COMPUTED_VALUE"""),330496.0)</f>
        <v>330496</v>
      </c>
      <c r="F3481" s="22" t="str">
        <f>IFERROR(__xludf.DUMMYFUNCTION("""COMPUTED_VALUE"""),"さみしがりやの裏アカ男子はキスによわい")</f>
        <v>さみしがりやの裏アカ男子はキスによわい</v>
      </c>
      <c r="G3481" s="20">
        <f>IFERROR(__xludf.DUMMYFUNCTION("""COMPUTED_VALUE"""),1.0)</f>
        <v>1</v>
      </c>
      <c r="H3481" s="22" t="str">
        <f>IFERROR(__xludf.DUMMYFUNCTION("""COMPUTED_VALUE"""),"蒼間かなた┴アスティル編集部")</f>
        <v>蒼間かなた┴アスティル編集部</v>
      </c>
      <c r="I3481" s="22" t="str">
        <f>IFERROR(__xludf.DUMMYFUNCTION("""COMPUTED_VALUE"""),"BL")</f>
        <v>BL</v>
      </c>
      <c r="J3481" s="22"/>
      <c r="K3481" s="22"/>
      <c r="L3481" s="22" t="str">
        <f>IFERROR(__xludf.DUMMYFUNCTION("""COMPUTED_VALUE"""),"ライブコミックス")</f>
        <v>ライブコミックス</v>
      </c>
      <c r="M3481" s="33">
        <f>IFERROR(__xludf.DUMMYFUNCTION("""COMPUTED_VALUE"""),45875.0)</f>
        <v>45875</v>
      </c>
      <c r="N3481" s="33">
        <f>IFERROR(__xludf.DUMMYFUNCTION("""COMPUTED_VALUE"""),45944.0)</f>
        <v>45944</v>
      </c>
      <c r="O3481" s="20"/>
      <c r="P3481" s="32" t="str">
        <f>IFERROR(__xludf.DUMMYFUNCTION("""COMPUTED_VALUE"""),"可")</f>
        <v>可</v>
      </c>
      <c r="Q3481" s="30" t="str">
        <f>IFERROR(__xludf.DUMMYFUNCTION("""COMPUTED_VALUE"""),"BookLiveとの2社先行です。")</f>
        <v>BookLiveとの2社先行です。</v>
      </c>
      <c r="R3481" s="22" t="str">
        <f>IFERROR(__xludf.DUMMYFUNCTION("""COMPUTED_VALUE"""),"コミットOK")</f>
        <v>コミットOK</v>
      </c>
      <c r="S3481" s="22" t="str">
        <f>IFERROR(__xludf.DUMMYFUNCTION("""COMPUTED_VALUE"""),"20250624_BookLive_さみしがりやの裏アカ男子はキスによわい")</f>
        <v>20250624_BookLive_さみしがりやの裏アカ男子はキスによわい</v>
      </c>
      <c r="T3481" s="22" t="str">
        <f>IFERROR(__xludf.DUMMYFUNCTION("""COMPUTED_VALUE"""),"格納済み")</f>
        <v>格納済み</v>
      </c>
      <c r="U3481" s="9" t="str">
        <f>IFERROR(__xludf.DUMMYFUNCTION("""COMPUTED_VALUE"""),"Ⓒ蒼間かなた/ライブコミックス")</f>
        <v>Ⓒ蒼間かなた/ライブコミックス</v>
      </c>
      <c r="V3481" s="8"/>
      <c r="W3481" s="8"/>
      <c r="X3481" s="8" t="str">
        <f>IFERROR(__xludf.DUMMYFUNCTION("""COMPUTED_VALUE"""),"有")</f>
        <v>有</v>
      </c>
      <c r="Y3481" s="8" t="str">
        <f>IFERROR(__xludf.DUMMYFUNCTION("""COMPUTED_VALUE"""),"P12まで")</f>
        <v>P12まで</v>
      </c>
      <c r="Z3481" s="7"/>
      <c r="AA3481" s="7"/>
      <c r="AB3481" s="7"/>
    </row>
    <row r="3482" ht="15.75" customHeight="1">
      <c r="A3482" s="26">
        <f>IFERROR(__xludf.DUMMYFUNCTION("""COMPUTED_VALUE"""),5732.0)</f>
        <v>5732</v>
      </c>
      <c r="B3482" s="22" t="str">
        <f>IFERROR(__xludf.DUMMYFUNCTION("""COMPUTED_VALUE"""),"確定")</f>
        <v>確定</v>
      </c>
      <c r="C3482" s="28">
        <f>IFERROR(__xludf.DUMMYFUNCTION("""COMPUTED_VALUE"""),45813.0)</f>
        <v>45813</v>
      </c>
      <c r="D3482" s="28">
        <f>IFERROR(__xludf.DUMMYFUNCTION("""COMPUTED_VALUE"""),45831.0)</f>
        <v>45831</v>
      </c>
      <c r="E3482" s="26">
        <f>IFERROR(__xludf.DUMMYFUNCTION("""COMPUTED_VALUE"""),329640.0)</f>
        <v>329640</v>
      </c>
      <c r="F3482" s="22" t="str">
        <f>IFERROR(__xludf.DUMMYFUNCTION("""COMPUTED_VALUE"""),"溺愛婚　海軍公爵は愛しの薄幸令嬢をなんとしても妻にしたい")</f>
        <v>溺愛婚　海軍公爵は愛しの薄幸令嬢をなんとしても妻にしたい</v>
      </c>
      <c r="G3482" s="20" t="str">
        <f>IFERROR(__xludf.DUMMYFUNCTION("""COMPUTED_VALUE"""),"1～3")</f>
        <v>1～3</v>
      </c>
      <c r="H3482" s="22" t="str">
        <f>IFERROR(__xludf.DUMMYFUNCTION("""COMPUTED_VALUE"""),"著者：くりおね。　原作：せらひなこ")</f>
        <v>著者：くりおね。　原作：せらひなこ</v>
      </c>
      <c r="I3482" s="22" t="str">
        <f>IFERROR(__xludf.DUMMYFUNCTION("""COMPUTED_VALUE"""),"女性マンガ")</f>
        <v>女性マンガ</v>
      </c>
      <c r="J3482" s="22"/>
      <c r="K3482" s="22" t="str">
        <f>IFERROR(__xludf.DUMMYFUNCTION("""COMPUTED_VALUE"""),"オパールCOMICS kiss")</f>
        <v>オパールCOMICS kiss</v>
      </c>
      <c r="L3482" s="22" t="str">
        <f>IFERROR(__xludf.DUMMYFUNCTION("""COMPUTED_VALUE"""),"プランタン出版")</f>
        <v>プランタン出版</v>
      </c>
      <c r="M3482" s="33">
        <f>IFERROR(__xludf.DUMMYFUNCTION("""COMPUTED_VALUE"""),45870.0)</f>
        <v>45870</v>
      </c>
      <c r="N3482" s="33">
        <f>IFERROR(__xludf.DUMMYFUNCTION("""COMPUTED_VALUE"""),45967.0)</f>
        <v>45967</v>
      </c>
      <c r="O3482" s="20"/>
      <c r="P3482" s="32" t="str">
        <f>IFERROR(__xludf.DUMMYFUNCTION("""COMPUTED_VALUE"""),"可")</f>
        <v>可</v>
      </c>
      <c r="Q3482" s="30"/>
      <c r="R3482" s="22" t="str">
        <f>IFERROR(__xludf.DUMMYFUNCTION("""COMPUTED_VALUE"""),"コミットOK")</f>
        <v>コミットOK</v>
      </c>
      <c r="S3482" s="22" t="str">
        <f>IFERROR(__xludf.DUMMYFUNCTION("""COMPUTED_VALUE"""),"20250620_フランス書院_海軍公爵は愛しの薄幸令嬢をなんとしても妻にしたい")</f>
        <v>20250620_フランス書院_海軍公爵は愛しの薄幸令嬢をなんとしても妻にしたい</v>
      </c>
      <c r="T3482" s="22" t="str">
        <f>IFERROR(__xludf.DUMMYFUNCTION("""COMPUTED_VALUE"""),"格納済み")</f>
        <v>格納済み</v>
      </c>
      <c r="U3482" s="9" t="str">
        <f>IFERROR(__xludf.DUMMYFUNCTION("""COMPUTED_VALUE"""),"Ⓒくりおね。/せらひなこ/プランタン出版")</f>
        <v>Ⓒくりおね。/せらひなこ/プランタン出版</v>
      </c>
      <c r="V3482" s="8"/>
      <c r="W3482" s="8"/>
      <c r="X3482" s="8" t="str">
        <f>IFERROR(__xludf.DUMMYFUNCTION("""COMPUTED_VALUE"""),"有")</f>
        <v>有</v>
      </c>
      <c r="Y3482" s="8" t="str">
        <f>IFERROR(__xludf.DUMMYFUNCTION("""COMPUTED_VALUE"""),"P8まで")</f>
        <v>P8まで</v>
      </c>
      <c r="Z3482" s="7"/>
      <c r="AA3482" s="7"/>
      <c r="AB3482" s="7"/>
    </row>
    <row r="3483" ht="15.75" customHeight="1">
      <c r="A3483" s="26">
        <f>IFERROR(__xludf.DUMMYFUNCTION("""COMPUTED_VALUE"""),5750.0)</f>
        <v>5750</v>
      </c>
      <c r="B3483" s="22" t="str">
        <f>IFERROR(__xludf.DUMMYFUNCTION("""COMPUTED_VALUE"""),"確定")</f>
        <v>確定</v>
      </c>
      <c r="C3483" s="28">
        <f>IFERROR(__xludf.DUMMYFUNCTION("""COMPUTED_VALUE"""),45817.0)</f>
        <v>45817</v>
      </c>
      <c r="D3483" s="28">
        <f>IFERROR(__xludf.DUMMYFUNCTION("""COMPUTED_VALUE"""),45827.0)</f>
        <v>45827</v>
      </c>
      <c r="E3483" s="26">
        <f>IFERROR(__xludf.DUMMYFUNCTION("""COMPUTED_VALUE"""),328769.0)</f>
        <v>328769</v>
      </c>
      <c r="F3483" s="22" t="str">
        <f>IFERROR(__xludf.DUMMYFUNCTION("""COMPUTED_VALUE"""),"好感度MAXな神様と同棲することになりまして…?　【R-18版】")</f>
        <v>好感度MAXな神様と同棲することになりまして…?　【R-18版】</v>
      </c>
      <c r="G3483" s="20" t="str">
        <f>IFERROR(__xludf.DUMMYFUNCTION("""COMPUTED_VALUE"""),"1～4")</f>
        <v>1～4</v>
      </c>
      <c r="H3483" s="22" t="str">
        <f>IFERROR(__xludf.DUMMYFUNCTION("""COMPUTED_VALUE"""),"もふもふまんじゅう")</f>
        <v>もふもふまんじゅう</v>
      </c>
      <c r="I3483" s="22" t="str">
        <f>IFERROR(__xludf.DUMMYFUNCTION("""COMPUTED_VALUE"""),"アダルト")</f>
        <v>アダルト</v>
      </c>
      <c r="J3483" s="22"/>
      <c r="K3483" s="22" t="str">
        <f>IFERROR(__xludf.DUMMYFUNCTION("""COMPUTED_VALUE"""),"Close Moon")</f>
        <v>Close Moon</v>
      </c>
      <c r="L3483" s="22" t="str">
        <f>IFERROR(__xludf.DUMMYFUNCTION("""COMPUTED_VALUE"""),"ナンバーナイン")</f>
        <v>ナンバーナイン</v>
      </c>
      <c r="M3483" s="33">
        <f>IFERROR(__xludf.DUMMYFUNCTION("""COMPUTED_VALUE"""),45842.0)</f>
        <v>45842</v>
      </c>
      <c r="N3483" s="33">
        <f>IFERROR(__xludf.DUMMYFUNCTION("""COMPUTED_VALUE"""),45933.0)</f>
        <v>45933</v>
      </c>
      <c r="O3483" s="20"/>
      <c r="P3483" s="32" t="str">
        <f>IFERROR(__xludf.DUMMYFUNCTION("""COMPUTED_VALUE"""),"可")</f>
        <v>可</v>
      </c>
      <c r="Q3483" s="30" t="str">
        <f>IFERROR(__xludf.DUMMYFUNCTION("""COMPUTED_VALUE"""),"がるまに")</f>
        <v>がるまに</v>
      </c>
      <c r="R3483" s="22"/>
      <c r="S3483" s="22" t="str">
        <f>IFERROR(__xludf.DUMMYFUNCTION("""COMPUTED_VALUE"""),"20250618_ナンバーナイン_好感度MAXな神様と同棲することになりまして…_　【R-18版】")</f>
        <v>20250618_ナンバーナイン_好感度MAXな神様と同棲することになりまして…_　【R-18版】</v>
      </c>
      <c r="T3483" s="22" t="str">
        <f>IFERROR(__xludf.DUMMYFUNCTION("""COMPUTED_VALUE"""),"格納済み")</f>
        <v>格納済み</v>
      </c>
      <c r="U3483" s="9" t="str">
        <f>IFERROR(__xludf.DUMMYFUNCTION("""COMPUTED_VALUE"""),"Ⓒもふもふまんじゅう/ナンバーナイン")</f>
        <v>Ⓒもふもふまんじゅう/ナンバーナイン</v>
      </c>
      <c r="V3483" s="8"/>
      <c r="W3483" s="8"/>
      <c r="X3483" s="8" t="str">
        <f>IFERROR(__xludf.DUMMYFUNCTION("""COMPUTED_VALUE"""),"有")</f>
        <v>有</v>
      </c>
      <c r="Y3483" s="8" t="str">
        <f>IFERROR(__xludf.DUMMYFUNCTION("""COMPUTED_VALUE"""),"1巻無料")</f>
        <v>1巻無料</v>
      </c>
      <c r="Z3483" s="7"/>
      <c r="AA3483" s="7"/>
      <c r="AB3483" s="7"/>
    </row>
    <row r="3484" ht="15.75" customHeight="1">
      <c r="A3484" s="26">
        <f>IFERROR(__xludf.DUMMYFUNCTION("""COMPUTED_VALUE"""),5751.0)</f>
        <v>5751</v>
      </c>
      <c r="B3484" s="22" t="str">
        <f>IFERROR(__xludf.DUMMYFUNCTION("""COMPUTED_VALUE"""),"確定")</f>
        <v>確定</v>
      </c>
      <c r="C3484" s="28">
        <f>IFERROR(__xludf.DUMMYFUNCTION("""COMPUTED_VALUE"""),45817.0)</f>
        <v>45817</v>
      </c>
      <c r="D3484" s="28">
        <f>IFERROR(__xludf.DUMMYFUNCTION("""COMPUTED_VALUE"""),45833.0)</f>
        <v>45833</v>
      </c>
      <c r="E3484" s="26">
        <f>IFERROR(__xludf.DUMMYFUNCTION("""COMPUTED_VALUE"""),328770.0)</f>
        <v>328770</v>
      </c>
      <c r="F3484" s="22" t="str">
        <f>IFERROR(__xludf.DUMMYFUNCTION("""COMPUTED_VALUE"""),"仔羊は誰の手に～魔法学園、男装少女の運命～【R-18版】")</f>
        <v>仔羊は誰の手に～魔法学園、男装少女の運命～【R-18版】</v>
      </c>
      <c r="G3484" s="20" t="str">
        <f>IFERROR(__xludf.DUMMYFUNCTION("""COMPUTED_VALUE"""),"1～4")</f>
        <v>1～4</v>
      </c>
      <c r="H3484" s="22" t="str">
        <f>IFERROR(__xludf.DUMMYFUNCTION("""COMPUTED_VALUE"""),"かんたま,雲蚊霞")</f>
        <v>かんたま,雲蚊霞</v>
      </c>
      <c r="I3484" s="22" t="str">
        <f>IFERROR(__xludf.DUMMYFUNCTION("""COMPUTED_VALUE"""),"アダルト")</f>
        <v>アダルト</v>
      </c>
      <c r="J3484" s="22"/>
      <c r="K3484" s="22" t="str">
        <f>IFERROR(__xludf.DUMMYFUNCTION("""COMPUTED_VALUE"""),"Close Moon")</f>
        <v>Close Moon</v>
      </c>
      <c r="L3484" s="22" t="str">
        <f>IFERROR(__xludf.DUMMYFUNCTION("""COMPUTED_VALUE"""),"ナンバーナイン")</f>
        <v>ナンバーナイン</v>
      </c>
      <c r="M3484" s="33">
        <f>IFERROR(__xludf.DUMMYFUNCTION("""COMPUTED_VALUE"""),45842.0)</f>
        <v>45842</v>
      </c>
      <c r="N3484" s="33">
        <f>IFERROR(__xludf.DUMMYFUNCTION("""COMPUTED_VALUE"""),45933.0)</f>
        <v>45933</v>
      </c>
      <c r="O3484" s="20"/>
      <c r="P3484" s="32" t="str">
        <f>IFERROR(__xludf.DUMMYFUNCTION("""COMPUTED_VALUE"""),"可")</f>
        <v>可</v>
      </c>
      <c r="Q3484" s="30" t="str">
        <f>IFERROR(__xludf.DUMMYFUNCTION("""COMPUTED_VALUE"""),"がるまに")</f>
        <v>がるまに</v>
      </c>
      <c r="R3484" s="22"/>
      <c r="S3484" s="22" t="str">
        <f>IFERROR(__xludf.DUMMYFUNCTION("""COMPUTED_VALUE"""),"20250620_ナンバーナイン_仔羊は誰の手に～魔法学園、男装少女の運命～【R-18版】")</f>
        <v>20250620_ナンバーナイン_仔羊は誰の手に～魔法学園、男装少女の運命～【R-18版】</v>
      </c>
      <c r="T3484" s="22" t="str">
        <f>IFERROR(__xludf.DUMMYFUNCTION("""COMPUTED_VALUE"""),"格納済み")</f>
        <v>格納済み</v>
      </c>
      <c r="U3484" s="9" t="str">
        <f>IFERROR(__xludf.DUMMYFUNCTION("""COMPUTED_VALUE"""),"ⒸYellow Post/ナンバーナイン")</f>
        <v>ⒸYellow Post/ナンバーナイン</v>
      </c>
      <c r="V3484" s="8"/>
      <c r="W3484" s="8"/>
      <c r="X3484" s="8" t="str">
        <f>IFERROR(__xludf.DUMMYFUNCTION("""COMPUTED_VALUE"""),"有")</f>
        <v>有</v>
      </c>
      <c r="Y3484" s="8" t="str">
        <f>IFERROR(__xludf.DUMMYFUNCTION("""COMPUTED_VALUE"""),"P4まで")</f>
        <v>P4まで</v>
      </c>
      <c r="Z3484" s="7"/>
      <c r="AA3484" s="7"/>
      <c r="AB3484" s="7"/>
    </row>
    <row r="3485" ht="15.75" customHeight="1">
      <c r="A3485" s="26">
        <f>IFERROR(__xludf.DUMMYFUNCTION("""COMPUTED_VALUE"""),5753.0)</f>
        <v>5753</v>
      </c>
      <c r="B3485" s="22" t="str">
        <f>IFERROR(__xludf.DUMMYFUNCTION("""COMPUTED_VALUE"""),"確定")</f>
        <v>確定</v>
      </c>
      <c r="C3485" s="28">
        <f>IFERROR(__xludf.DUMMYFUNCTION("""COMPUTED_VALUE"""),45817.0)</f>
        <v>45817</v>
      </c>
      <c r="D3485" s="28">
        <f>IFERROR(__xludf.DUMMYFUNCTION("""COMPUTED_VALUE"""),45833.0)</f>
        <v>45833</v>
      </c>
      <c r="E3485" s="26">
        <f>IFERROR(__xludf.DUMMYFUNCTION("""COMPUTED_VALUE"""),328767.0)</f>
        <v>328767</v>
      </c>
      <c r="F3485" s="22" t="str">
        <f>IFERROR(__xludf.DUMMYFUNCTION("""COMPUTED_VALUE"""),"SEX TOY-大人のおもちゃの付喪神-【R-18版】")</f>
        <v>SEX TOY-大人のおもちゃの付喪神-【R-18版】</v>
      </c>
      <c r="G3485" s="20" t="str">
        <f>IFERROR(__xludf.DUMMYFUNCTION("""COMPUTED_VALUE"""),"1～2")</f>
        <v>1～2</v>
      </c>
      <c r="H3485" s="22" t="str">
        <f>IFERROR(__xludf.DUMMYFUNCTION("""COMPUTED_VALUE"""),"画狂 三芳とわ")</f>
        <v>画狂 三芳とわ</v>
      </c>
      <c r="I3485" s="22" t="str">
        <f>IFERROR(__xludf.DUMMYFUNCTION("""COMPUTED_VALUE"""),"アダルト")</f>
        <v>アダルト</v>
      </c>
      <c r="J3485" s="22"/>
      <c r="K3485" s="22" t="str">
        <f>IFERROR(__xludf.DUMMYFUNCTION("""COMPUTED_VALUE"""),"Close Moon")</f>
        <v>Close Moon</v>
      </c>
      <c r="L3485" s="22" t="str">
        <f>IFERROR(__xludf.DUMMYFUNCTION("""COMPUTED_VALUE"""),"ナンバーナイン")</f>
        <v>ナンバーナイン</v>
      </c>
      <c r="M3485" s="33">
        <f>IFERROR(__xludf.DUMMYFUNCTION("""COMPUTED_VALUE"""),45842.0)</f>
        <v>45842</v>
      </c>
      <c r="N3485" s="33">
        <f>IFERROR(__xludf.DUMMYFUNCTION("""COMPUTED_VALUE"""),45933.0)</f>
        <v>45933</v>
      </c>
      <c r="O3485" s="20"/>
      <c r="P3485" s="32" t="str">
        <f>IFERROR(__xludf.DUMMYFUNCTION("""COMPUTED_VALUE"""),"可")</f>
        <v>可</v>
      </c>
      <c r="Q3485" s="30" t="str">
        <f>IFERROR(__xludf.DUMMYFUNCTION("""COMPUTED_VALUE"""),"がるまに")</f>
        <v>がるまに</v>
      </c>
      <c r="R3485" s="22"/>
      <c r="S3485" s="22" t="str">
        <f>IFERROR(__xludf.DUMMYFUNCTION("""COMPUTED_VALUE"""),"20250620_ナンバーナイン_SEX TOY-大人のおもちゃの付喪神-【R-18版】")</f>
        <v>20250620_ナンバーナイン_SEX TOY-大人のおもちゃの付喪神-【R-18版】</v>
      </c>
      <c r="T3485" s="22" t="str">
        <f>IFERROR(__xludf.DUMMYFUNCTION("""COMPUTED_VALUE"""),"格納済み")</f>
        <v>格納済み</v>
      </c>
      <c r="U3485" s="9" t="str">
        <f>IFERROR(__xludf.DUMMYFUNCTION("""COMPUTED_VALUE"""),"ⒸYellow Post/ナンバーナイン")</f>
        <v>ⒸYellow Post/ナンバーナイン</v>
      </c>
      <c r="V3485" s="8"/>
      <c r="W3485" s="8"/>
      <c r="X3485" s="8" t="str">
        <f>IFERROR(__xludf.DUMMYFUNCTION("""COMPUTED_VALUE"""),"有")</f>
        <v>有</v>
      </c>
      <c r="Y3485" s="8" t="str">
        <f>IFERROR(__xludf.DUMMYFUNCTION("""COMPUTED_VALUE"""),"P4まで")</f>
        <v>P4まで</v>
      </c>
      <c r="Z3485" s="7"/>
      <c r="AA3485" s="7"/>
      <c r="AB3485" s="7"/>
    </row>
    <row r="3486" ht="15.75" customHeight="1">
      <c r="A3486" s="26">
        <f>IFERROR(__xludf.DUMMYFUNCTION("""COMPUTED_VALUE"""),5756.0)</f>
        <v>5756</v>
      </c>
      <c r="B3486" s="22" t="str">
        <f>IFERROR(__xludf.DUMMYFUNCTION("""COMPUTED_VALUE"""),"確定")</f>
        <v>確定</v>
      </c>
      <c r="C3486" s="28">
        <f>IFERROR(__xludf.DUMMYFUNCTION("""COMPUTED_VALUE"""),45817.0)</f>
        <v>45817</v>
      </c>
      <c r="D3486" s="28">
        <f>IFERROR(__xludf.DUMMYFUNCTION("""COMPUTED_VALUE"""),45833.0)</f>
        <v>45833</v>
      </c>
      <c r="E3486" s="26">
        <f>IFERROR(__xludf.DUMMYFUNCTION("""COMPUTED_VALUE"""),328766.0)</f>
        <v>328766</v>
      </c>
      <c r="F3486" s="22" t="str">
        <f>IFERROR(__xludf.DUMMYFUNCTION("""COMPUTED_VALUE"""),"アイドル学園の寮母さん～ある日のナイトルーティーン【R-18版】")</f>
        <v>アイドル学園の寮母さん～ある日のナイトルーティーン【R-18版】</v>
      </c>
      <c r="G3486" s="20" t="str">
        <f>IFERROR(__xludf.DUMMYFUNCTION("""COMPUTED_VALUE"""),"1～2")</f>
        <v>1～2</v>
      </c>
      <c r="H3486" s="22" t="str">
        <f>IFERROR(__xludf.DUMMYFUNCTION("""COMPUTED_VALUE"""),"千歳あさひ,かんたま")</f>
        <v>千歳あさひ,かんたま</v>
      </c>
      <c r="I3486" s="22" t="str">
        <f>IFERROR(__xludf.DUMMYFUNCTION("""COMPUTED_VALUE"""),"アダルト")</f>
        <v>アダルト</v>
      </c>
      <c r="J3486" s="22"/>
      <c r="K3486" s="22" t="str">
        <f>IFERROR(__xludf.DUMMYFUNCTION("""COMPUTED_VALUE"""),"Close Moon")</f>
        <v>Close Moon</v>
      </c>
      <c r="L3486" s="22" t="str">
        <f>IFERROR(__xludf.DUMMYFUNCTION("""COMPUTED_VALUE"""),"ナンバーナイン")</f>
        <v>ナンバーナイン</v>
      </c>
      <c r="M3486" s="33">
        <f>IFERROR(__xludf.DUMMYFUNCTION("""COMPUTED_VALUE"""),45842.0)</f>
        <v>45842</v>
      </c>
      <c r="N3486" s="33">
        <f>IFERROR(__xludf.DUMMYFUNCTION("""COMPUTED_VALUE"""),45933.0)</f>
        <v>45933</v>
      </c>
      <c r="O3486" s="20"/>
      <c r="P3486" s="32" t="str">
        <f>IFERROR(__xludf.DUMMYFUNCTION("""COMPUTED_VALUE"""),"可")</f>
        <v>可</v>
      </c>
      <c r="Q3486" s="30" t="str">
        <f>IFERROR(__xludf.DUMMYFUNCTION("""COMPUTED_VALUE"""),"がるまに")</f>
        <v>がるまに</v>
      </c>
      <c r="R3486" s="22"/>
      <c r="S3486" s="22" t="str">
        <f>IFERROR(__xludf.DUMMYFUNCTION("""COMPUTED_VALUE"""),"20250620_ナンバーナイン_アイドル学園の寮母さん～ある日のナイトルーティーン【R-18版】")</f>
        <v>20250620_ナンバーナイン_アイドル学園の寮母さん～ある日のナイトルーティーン【R-18版】</v>
      </c>
      <c r="T3486" s="22" t="str">
        <f>IFERROR(__xludf.DUMMYFUNCTION("""COMPUTED_VALUE"""),"格納済み")</f>
        <v>格納済み</v>
      </c>
      <c r="U3486" s="9" t="str">
        <f>IFERROR(__xludf.DUMMYFUNCTION("""COMPUTED_VALUE"""),"ⒸYellow Post/ナンバーナイン")</f>
        <v>ⒸYellow Post/ナンバーナイン</v>
      </c>
      <c r="V3486" s="8"/>
      <c r="W3486" s="8"/>
      <c r="X3486" s="8" t="str">
        <f>IFERROR(__xludf.DUMMYFUNCTION("""COMPUTED_VALUE"""),"有")</f>
        <v>有</v>
      </c>
      <c r="Y3486" s="8" t="str">
        <f>IFERROR(__xludf.DUMMYFUNCTION("""COMPUTED_VALUE"""),"P7まで")</f>
        <v>P7まで</v>
      </c>
      <c r="Z3486" s="7"/>
      <c r="AA3486" s="7"/>
      <c r="AB3486" s="7"/>
    </row>
    <row r="3487" ht="15.75" customHeight="1">
      <c r="A3487" s="26">
        <f>IFERROR(__xludf.DUMMYFUNCTION("""COMPUTED_VALUE"""),5757.0)</f>
        <v>5757</v>
      </c>
      <c r="B3487" s="22" t="str">
        <f>IFERROR(__xludf.DUMMYFUNCTION("""COMPUTED_VALUE"""),"確定")</f>
        <v>確定</v>
      </c>
      <c r="C3487" s="28">
        <f>IFERROR(__xludf.DUMMYFUNCTION("""COMPUTED_VALUE"""),45817.0)</f>
        <v>45817</v>
      </c>
      <c r="D3487" s="28">
        <f>IFERROR(__xludf.DUMMYFUNCTION("""COMPUTED_VALUE"""),45833.0)</f>
        <v>45833</v>
      </c>
      <c r="E3487" s="26">
        <f>IFERROR(__xludf.DUMMYFUNCTION("""COMPUTED_VALUE"""),328765.0)</f>
        <v>328765</v>
      </c>
      <c r="F3487" s="22" t="str">
        <f>IFERROR(__xludf.DUMMYFUNCTION("""COMPUTED_VALUE"""),"悪役皇女は悲しい恋を忘れない～転生王子と甘く激しく愛され初夜を【R-18版】")</f>
        <v>悪役皇女は悲しい恋を忘れない～転生王子と甘く激しく愛され初夜を【R-18版】</v>
      </c>
      <c r="G3487" s="20" t="str">
        <f>IFERROR(__xludf.DUMMYFUNCTION("""COMPUTED_VALUE"""),"1～2")</f>
        <v>1～2</v>
      </c>
      <c r="H3487" s="22" t="str">
        <f>IFERROR(__xludf.DUMMYFUNCTION("""COMPUTED_VALUE"""),"丸まるこ。,かんたま")</f>
        <v>丸まるこ。,かんたま</v>
      </c>
      <c r="I3487" s="22" t="str">
        <f>IFERROR(__xludf.DUMMYFUNCTION("""COMPUTED_VALUE"""),"アダルト")</f>
        <v>アダルト</v>
      </c>
      <c r="J3487" s="22"/>
      <c r="K3487" s="22" t="str">
        <f>IFERROR(__xludf.DUMMYFUNCTION("""COMPUTED_VALUE"""),"Close Moon")</f>
        <v>Close Moon</v>
      </c>
      <c r="L3487" s="22" t="str">
        <f>IFERROR(__xludf.DUMMYFUNCTION("""COMPUTED_VALUE"""),"ナンバーナイン")</f>
        <v>ナンバーナイン</v>
      </c>
      <c r="M3487" s="33">
        <f>IFERROR(__xludf.DUMMYFUNCTION("""COMPUTED_VALUE"""),45842.0)</f>
        <v>45842</v>
      </c>
      <c r="N3487" s="33">
        <f>IFERROR(__xludf.DUMMYFUNCTION("""COMPUTED_VALUE"""),45933.0)</f>
        <v>45933</v>
      </c>
      <c r="O3487" s="20"/>
      <c r="P3487" s="32" t="str">
        <f>IFERROR(__xludf.DUMMYFUNCTION("""COMPUTED_VALUE"""),"可")</f>
        <v>可</v>
      </c>
      <c r="Q3487" s="30" t="str">
        <f>IFERROR(__xludf.DUMMYFUNCTION("""COMPUTED_VALUE"""),"がるまに")</f>
        <v>がるまに</v>
      </c>
      <c r="R3487" s="22"/>
      <c r="S3487" s="22" t="str">
        <f>IFERROR(__xludf.DUMMYFUNCTION("""COMPUTED_VALUE"""),"20250620_ナンバーナイン_悪役皇女は悲しい恋を忘れない～転生王子と甘く激しく愛され初夜を【R-18版】")</f>
        <v>20250620_ナンバーナイン_悪役皇女は悲しい恋を忘れない～転生王子と甘く激しく愛され初夜を【R-18版】</v>
      </c>
      <c r="T3487" s="22" t="str">
        <f>IFERROR(__xludf.DUMMYFUNCTION("""COMPUTED_VALUE"""),"格納済み")</f>
        <v>格納済み</v>
      </c>
      <c r="U3487" s="9" t="str">
        <f>IFERROR(__xludf.DUMMYFUNCTION("""COMPUTED_VALUE"""),"ⒸYellow Post/ナンバーナイン")</f>
        <v>ⒸYellow Post/ナンバーナイン</v>
      </c>
      <c r="V3487" s="8"/>
      <c r="W3487" s="8"/>
      <c r="X3487" s="8" t="str">
        <f>IFERROR(__xludf.DUMMYFUNCTION("""COMPUTED_VALUE"""),"有")</f>
        <v>有</v>
      </c>
      <c r="Y3487" s="8" t="str">
        <f>IFERROR(__xludf.DUMMYFUNCTION("""COMPUTED_VALUE"""),"P7まで")</f>
        <v>P7まで</v>
      </c>
      <c r="Z3487" s="7"/>
      <c r="AA3487" s="7"/>
      <c r="AB3487" s="7"/>
    </row>
    <row r="3488" ht="15.75" customHeight="1">
      <c r="A3488" s="26">
        <f>IFERROR(__xludf.DUMMYFUNCTION("""COMPUTED_VALUE"""),5760.0)</f>
        <v>5760</v>
      </c>
      <c r="B3488" s="22" t="str">
        <f>IFERROR(__xludf.DUMMYFUNCTION("""COMPUTED_VALUE"""),"確定")</f>
        <v>確定</v>
      </c>
      <c r="C3488" s="28">
        <f>IFERROR(__xludf.DUMMYFUNCTION("""COMPUTED_VALUE"""),45817.0)</f>
        <v>45817</v>
      </c>
      <c r="D3488" s="28">
        <f>IFERROR(__xludf.DUMMYFUNCTION("""COMPUTED_VALUE"""),45833.0)</f>
        <v>45833</v>
      </c>
      <c r="E3488" s="26">
        <f>IFERROR(__xludf.DUMMYFUNCTION("""COMPUTED_VALUE"""),328757.0)</f>
        <v>328757</v>
      </c>
      <c r="F3488" s="22" t="str">
        <f>IFERROR(__xludf.DUMMYFUNCTION("""COMPUTED_VALUE"""),"淫紋症【R-18版】")</f>
        <v>淫紋症【R-18版】</v>
      </c>
      <c r="G3488" s="20">
        <f>IFERROR(__xludf.DUMMYFUNCTION("""COMPUTED_VALUE"""),1.0)</f>
        <v>1</v>
      </c>
      <c r="H3488" s="22" t="str">
        <f>IFERROR(__xludf.DUMMYFUNCTION("""COMPUTED_VALUE"""),"丸まるこ。,かんたま")</f>
        <v>丸まるこ。,かんたま</v>
      </c>
      <c r="I3488" s="22" t="str">
        <f>IFERROR(__xludf.DUMMYFUNCTION("""COMPUTED_VALUE"""),"アダルト")</f>
        <v>アダルト</v>
      </c>
      <c r="J3488" s="22">
        <f>IFERROR(__xludf.DUMMYFUNCTION("""COMPUTED_VALUE"""),1.0)</f>
        <v>1</v>
      </c>
      <c r="K3488" s="22" t="str">
        <f>IFERROR(__xludf.DUMMYFUNCTION("""COMPUTED_VALUE"""),"Close Moon")</f>
        <v>Close Moon</v>
      </c>
      <c r="L3488" s="22" t="str">
        <f>IFERROR(__xludf.DUMMYFUNCTION("""COMPUTED_VALUE"""),"ナンバーナイン")</f>
        <v>ナンバーナイン</v>
      </c>
      <c r="M3488" s="33">
        <f>IFERROR(__xludf.DUMMYFUNCTION("""COMPUTED_VALUE"""),45842.0)</f>
        <v>45842</v>
      </c>
      <c r="N3488" s="33">
        <f>IFERROR(__xludf.DUMMYFUNCTION("""COMPUTED_VALUE"""),45933.0)</f>
        <v>45933</v>
      </c>
      <c r="O3488" s="20"/>
      <c r="P3488" s="32" t="str">
        <f>IFERROR(__xludf.DUMMYFUNCTION("""COMPUTED_VALUE"""),"可")</f>
        <v>可</v>
      </c>
      <c r="Q3488" s="30" t="str">
        <f>IFERROR(__xludf.DUMMYFUNCTION("""COMPUTED_VALUE"""),"がるまに")</f>
        <v>がるまに</v>
      </c>
      <c r="R3488" s="22"/>
      <c r="S3488" s="22" t="str">
        <f>IFERROR(__xludf.DUMMYFUNCTION("""COMPUTED_VALUE"""),"20250620_ナンバーナイン_淫紋症【R-18版】")</f>
        <v>20250620_ナンバーナイン_淫紋症【R-18版】</v>
      </c>
      <c r="T3488" s="22" t="str">
        <f>IFERROR(__xludf.DUMMYFUNCTION("""COMPUTED_VALUE"""),"格納済み")</f>
        <v>格納済み</v>
      </c>
      <c r="U3488" s="9" t="str">
        <f>IFERROR(__xludf.DUMMYFUNCTION("""COMPUTED_VALUE"""),"ⒸYellow Post/ナンバーナイン")</f>
        <v>ⒸYellow Post/ナンバーナイン</v>
      </c>
      <c r="V3488" s="8"/>
      <c r="W3488" s="8"/>
      <c r="X3488" s="8" t="str">
        <f>IFERROR(__xludf.DUMMYFUNCTION("""COMPUTED_VALUE"""),"有")</f>
        <v>有</v>
      </c>
      <c r="Y3488" s="8" t="str">
        <f>IFERROR(__xludf.DUMMYFUNCTION("""COMPUTED_VALUE"""),"P7まで")</f>
        <v>P7まで</v>
      </c>
      <c r="Z3488" s="7"/>
      <c r="AA3488" s="7"/>
      <c r="AB3488" s="7"/>
    </row>
    <row r="3489" ht="15.75" customHeight="1">
      <c r="A3489" s="26">
        <f>IFERROR(__xludf.DUMMYFUNCTION("""COMPUTED_VALUE"""),5762.0)</f>
        <v>5762</v>
      </c>
      <c r="B3489" s="22" t="str">
        <f>IFERROR(__xludf.DUMMYFUNCTION("""COMPUTED_VALUE"""),"確定")</f>
        <v>確定</v>
      </c>
      <c r="C3489" s="28">
        <f>IFERROR(__xludf.DUMMYFUNCTION("""COMPUTED_VALUE"""),45817.0)</f>
        <v>45817</v>
      </c>
      <c r="D3489" s="28">
        <f>IFERROR(__xludf.DUMMYFUNCTION("""COMPUTED_VALUE"""),45833.0)</f>
        <v>45833</v>
      </c>
      <c r="E3489" s="26">
        <f>IFERROR(__xludf.DUMMYFUNCTION("""COMPUTED_VALUE"""),328756.0)</f>
        <v>328756</v>
      </c>
      <c r="F3489" s="22" t="str">
        <f>IFERROR(__xludf.DUMMYFUNCTION("""COMPUTED_VALUE"""),"救国の英雄は烏の魔女を冀う【R-18版】")</f>
        <v>救国の英雄は烏の魔女を冀う【R-18版】</v>
      </c>
      <c r="G3489" s="20" t="str">
        <f>IFERROR(__xludf.DUMMYFUNCTION("""COMPUTED_VALUE"""),"1～2")</f>
        <v>1～2</v>
      </c>
      <c r="H3489" s="22" t="str">
        <f>IFERROR(__xludf.DUMMYFUNCTION("""COMPUTED_VALUE"""),"田鶴チトセ かんたま")</f>
        <v>田鶴チトセ かんたま</v>
      </c>
      <c r="I3489" s="22" t="str">
        <f>IFERROR(__xludf.DUMMYFUNCTION("""COMPUTED_VALUE"""),"アダルト")</f>
        <v>アダルト</v>
      </c>
      <c r="J3489" s="22">
        <f>IFERROR(__xludf.DUMMYFUNCTION("""COMPUTED_VALUE"""),1.0)</f>
        <v>1</v>
      </c>
      <c r="K3489" s="22" t="str">
        <f>IFERROR(__xludf.DUMMYFUNCTION("""COMPUTED_VALUE"""),"Close Moon")</f>
        <v>Close Moon</v>
      </c>
      <c r="L3489" s="22" t="str">
        <f>IFERROR(__xludf.DUMMYFUNCTION("""COMPUTED_VALUE"""),"ナンバーナイン")</f>
        <v>ナンバーナイン</v>
      </c>
      <c r="M3489" s="33">
        <f>IFERROR(__xludf.DUMMYFUNCTION("""COMPUTED_VALUE"""),45842.0)</f>
        <v>45842</v>
      </c>
      <c r="N3489" s="33">
        <f>IFERROR(__xludf.DUMMYFUNCTION("""COMPUTED_VALUE"""),45933.0)</f>
        <v>45933</v>
      </c>
      <c r="O3489" s="20"/>
      <c r="P3489" s="32" t="str">
        <f>IFERROR(__xludf.DUMMYFUNCTION("""COMPUTED_VALUE"""),"可")</f>
        <v>可</v>
      </c>
      <c r="Q3489" s="30" t="str">
        <f>IFERROR(__xludf.DUMMYFUNCTION("""COMPUTED_VALUE"""),"がるまに")</f>
        <v>がるまに</v>
      </c>
      <c r="R3489" s="22"/>
      <c r="S3489" s="22" t="str">
        <f>IFERROR(__xludf.DUMMYFUNCTION("""COMPUTED_VALUE"""),"20250620_ナンバーナイン_救国の英雄は烏の魔女を冀う【R-18版】")</f>
        <v>20250620_ナンバーナイン_救国の英雄は烏の魔女を冀う【R-18版】</v>
      </c>
      <c r="T3489" s="22" t="str">
        <f>IFERROR(__xludf.DUMMYFUNCTION("""COMPUTED_VALUE"""),"格納済み")</f>
        <v>格納済み</v>
      </c>
      <c r="U3489" s="9" t="str">
        <f>IFERROR(__xludf.DUMMYFUNCTION("""COMPUTED_VALUE"""),"ⒸYellow Post/ナンバーナイン")</f>
        <v>ⒸYellow Post/ナンバーナイン</v>
      </c>
      <c r="V3489" s="8"/>
      <c r="W3489" s="8"/>
      <c r="X3489" s="8" t="str">
        <f>IFERROR(__xludf.DUMMYFUNCTION("""COMPUTED_VALUE"""),"有")</f>
        <v>有</v>
      </c>
      <c r="Y3489" s="8" t="str">
        <f>IFERROR(__xludf.DUMMYFUNCTION("""COMPUTED_VALUE"""),"P7まで")</f>
        <v>P7まで</v>
      </c>
      <c r="Z3489" s="7"/>
      <c r="AA3489" s="7"/>
      <c r="AB3489" s="7"/>
    </row>
    <row r="3490" ht="15.75" customHeight="1">
      <c r="A3490" s="26">
        <f>IFERROR(__xludf.DUMMYFUNCTION("""COMPUTED_VALUE"""),5763.0)</f>
        <v>5763</v>
      </c>
      <c r="B3490" s="22" t="str">
        <f>IFERROR(__xludf.DUMMYFUNCTION("""COMPUTED_VALUE"""),"確定")</f>
        <v>確定</v>
      </c>
      <c r="C3490" s="28">
        <f>IFERROR(__xludf.DUMMYFUNCTION("""COMPUTED_VALUE"""),45817.0)</f>
        <v>45817</v>
      </c>
      <c r="D3490" s="28">
        <f>IFERROR(__xludf.DUMMYFUNCTION("""COMPUTED_VALUE"""),45833.0)</f>
        <v>45833</v>
      </c>
      <c r="E3490" s="26">
        <f>IFERROR(__xludf.DUMMYFUNCTION("""COMPUTED_VALUE"""),328758.0)</f>
        <v>328758</v>
      </c>
      <c r="F3490" s="22" t="str">
        <f>IFERROR(__xludf.DUMMYFUNCTION("""COMPUTED_VALUE"""),"俺様部下に溺愛されてしまいました【R-18版】")</f>
        <v>俺様部下に溺愛されてしまいました【R-18版】</v>
      </c>
      <c r="G3490" s="20" t="str">
        <f>IFERROR(__xludf.DUMMYFUNCTION("""COMPUTED_VALUE"""),"1～2")</f>
        <v>1～2</v>
      </c>
      <c r="H3490" s="22" t="str">
        <f>IFERROR(__xludf.DUMMYFUNCTION("""COMPUTED_VALUE"""),"チキ かんたま")</f>
        <v>チキ かんたま</v>
      </c>
      <c r="I3490" s="22" t="str">
        <f>IFERROR(__xludf.DUMMYFUNCTION("""COMPUTED_VALUE"""),"アダルト")</f>
        <v>アダルト</v>
      </c>
      <c r="J3490" s="22">
        <f>IFERROR(__xludf.DUMMYFUNCTION("""COMPUTED_VALUE"""),1.0)</f>
        <v>1</v>
      </c>
      <c r="K3490" s="22" t="str">
        <f>IFERROR(__xludf.DUMMYFUNCTION("""COMPUTED_VALUE"""),"Close Moon")</f>
        <v>Close Moon</v>
      </c>
      <c r="L3490" s="22" t="str">
        <f>IFERROR(__xludf.DUMMYFUNCTION("""COMPUTED_VALUE"""),"ナンバーナイン")</f>
        <v>ナンバーナイン</v>
      </c>
      <c r="M3490" s="33">
        <f>IFERROR(__xludf.DUMMYFUNCTION("""COMPUTED_VALUE"""),45842.0)</f>
        <v>45842</v>
      </c>
      <c r="N3490" s="33">
        <f>IFERROR(__xludf.DUMMYFUNCTION("""COMPUTED_VALUE"""),45933.0)</f>
        <v>45933</v>
      </c>
      <c r="O3490" s="20"/>
      <c r="P3490" s="32" t="str">
        <f>IFERROR(__xludf.DUMMYFUNCTION("""COMPUTED_VALUE"""),"可")</f>
        <v>可</v>
      </c>
      <c r="Q3490" s="30" t="str">
        <f>IFERROR(__xludf.DUMMYFUNCTION("""COMPUTED_VALUE"""),"がるまに")</f>
        <v>がるまに</v>
      </c>
      <c r="R3490" s="22"/>
      <c r="S3490" s="22" t="str">
        <f>IFERROR(__xludf.DUMMYFUNCTION("""COMPUTED_VALUE"""),"20250620_ナンバーナイン_俺様部下に溺愛されてしまいました【R-18版】")</f>
        <v>20250620_ナンバーナイン_俺様部下に溺愛されてしまいました【R-18版】</v>
      </c>
      <c r="T3490" s="22" t="str">
        <f>IFERROR(__xludf.DUMMYFUNCTION("""COMPUTED_VALUE"""),"格納済み")</f>
        <v>格納済み</v>
      </c>
      <c r="U3490" s="9" t="str">
        <f>IFERROR(__xludf.DUMMYFUNCTION("""COMPUTED_VALUE"""),"ⒸYellow Post/ナンバーナイン")</f>
        <v>ⒸYellow Post/ナンバーナイン</v>
      </c>
      <c r="V3490" s="8"/>
      <c r="W3490" s="8"/>
      <c r="X3490" s="8" t="str">
        <f>IFERROR(__xludf.DUMMYFUNCTION("""COMPUTED_VALUE"""),"有")</f>
        <v>有</v>
      </c>
      <c r="Y3490" s="8" t="str">
        <f>IFERROR(__xludf.DUMMYFUNCTION("""COMPUTED_VALUE"""),"P4まで")</f>
        <v>P4まで</v>
      </c>
      <c r="Z3490" s="7"/>
      <c r="AA3490" s="7"/>
      <c r="AB3490" s="7"/>
    </row>
    <row r="3491" ht="15.75" customHeight="1">
      <c r="A3491" s="26">
        <f>IFERROR(__xludf.DUMMYFUNCTION("""COMPUTED_VALUE"""),5766.0)</f>
        <v>5766</v>
      </c>
      <c r="B3491" s="22" t="str">
        <f>IFERROR(__xludf.DUMMYFUNCTION("""COMPUTED_VALUE"""),"確定")</f>
        <v>確定</v>
      </c>
      <c r="C3491" s="28">
        <f>IFERROR(__xludf.DUMMYFUNCTION("""COMPUTED_VALUE"""),45817.0)</f>
        <v>45817</v>
      </c>
      <c r="D3491" s="28">
        <f>IFERROR(__xludf.DUMMYFUNCTION("""COMPUTED_VALUE"""),45833.0)</f>
        <v>45833</v>
      </c>
      <c r="E3491" s="26">
        <f>IFERROR(__xludf.DUMMYFUNCTION("""COMPUTED_VALUE"""),328754.0)</f>
        <v>328754</v>
      </c>
      <c r="F3491" s="22" t="str">
        <f>IFERROR(__xludf.DUMMYFUNCTION("""COMPUTED_VALUE"""),"怪盗は貴女のすべてを奪いたい【R-18版】")</f>
        <v>怪盗は貴女のすべてを奪いたい【R-18版】</v>
      </c>
      <c r="G3491" s="20" t="str">
        <f>IFERROR(__xludf.DUMMYFUNCTION("""COMPUTED_VALUE"""),"1～3")</f>
        <v>1～3</v>
      </c>
      <c r="H3491" s="22" t="str">
        <f>IFERROR(__xludf.DUMMYFUNCTION("""COMPUTED_VALUE"""),"紅碧 かんたま")</f>
        <v>紅碧 かんたま</v>
      </c>
      <c r="I3491" s="22" t="str">
        <f>IFERROR(__xludf.DUMMYFUNCTION("""COMPUTED_VALUE"""),"アダルト")</f>
        <v>アダルト</v>
      </c>
      <c r="J3491" s="22"/>
      <c r="K3491" s="22" t="str">
        <f>IFERROR(__xludf.DUMMYFUNCTION("""COMPUTED_VALUE"""),"Close Moon")</f>
        <v>Close Moon</v>
      </c>
      <c r="L3491" s="22" t="str">
        <f>IFERROR(__xludf.DUMMYFUNCTION("""COMPUTED_VALUE"""),"ナンバーナイン")</f>
        <v>ナンバーナイン</v>
      </c>
      <c r="M3491" s="33">
        <f>IFERROR(__xludf.DUMMYFUNCTION("""COMPUTED_VALUE"""),45842.0)</f>
        <v>45842</v>
      </c>
      <c r="N3491" s="33">
        <f>IFERROR(__xludf.DUMMYFUNCTION("""COMPUTED_VALUE"""),45933.0)</f>
        <v>45933</v>
      </c>
      <c r="O3491" s="20"/>
      <c r="P3491" s="32" t="str">
        <f>IFERROR(__xludf.DUMMYFUNCTION("""COMPUTED_VALUE"""),"可")</f>
        <v>可</v>
      </c>
      <c r="Q3491" s="30" t="str">
        <f>IFERROR(__xludf.DUMMYFUNCTION("""COMPUTED_VALUE"""),"がるまに")</f>
        <v>がるまに</v>
      </c>
      <c r="R3491" s="22"/>
      <c r="S3491" s="22" t="str">
        <f>IFERROR(__xludf.DUMMYFUNCTION("""COMPUTED_VALUE"""),"20250620_ナンバーナイン_怪盗は貴女のすべてを奪いたい【R-18版】")</f>
        <v>20250620_ナンバーナイン_怪盗は貴女のすべてを奪いたい【R-18版】</v>
      </c>
      <c r="T3491" s="22" t="str">
        <f>IFERROR(__xludf.DUMMYFUNCTION("""COMPUTED_VALUE"""),"格納済み")</f>
        <v>格納済み</v>
      </c>
      <c r="U3491" s="9" t="str">
        <f>IFERROR(__xludf.DUMMYFUNCTION("""COMPUTED_VALUE"""),"ⒸYellow Post/ナンバーナイン")</f>
        <v>ⒸYellow Post/ナンバーナイン</v>
      </c>
      <c r="V3491" s="8"/>
      <c r="W3491" s="8"/>
      <c r="X3491" s="8" t="str">
        <f>IFERROR(__xludf.DUMMYFUNCTION("""COMPUTED_VALUE"""),"有")</f>
        <v>有</v>
      </c>
      <c r="Y3491" s="8" t="str">
        <f>IFERROR(__xludf.DUMMYFUNCTION("""COMPUTED_VALUE"""),"P7まで")</f>
        <v>P7まで</v>
      </c>
      <c r="Z3491" s="7"/>
      <c r="AA3491" s="7"/>
      <c r="AB3491" s="7"/>
    </row>
    <row r="3492" ht="15.75" customHeight="1">
      <c r="A3492" s="26">
        <f>IFERROR(__xludf.DUMMYFUNCTION("""COMPUTED_VALUE"""),5767.0)</f>
        <v>5767</v>
      </c>
      <c r="B3492" s="22" t="str">
        <f>IFERROR(__xludf.DUMMYFUNCTION("""COMPUTED_VALUE"""),"確定")</f>
        <v>確定</v>
      </c>
      <c r="C3492" s="28">
        <f>IFERROR(__xludf.DUMMYFUNCTION("""COMPUTED_VALUE"""),45817.0)</f>
        <v>45817</v>
      </c>
      <c r="D3492" s="28">
        <f>IFERROR(__xludf.DUMMYFUNCTION("""COMPUTED_VALUE"""),45833.0)</f>
        <v>45833</v>
      </c>
      <c r="E3492" s="26">
        <f>IFERROR(__xludf.DUMMYFUNCTION("""COMPUTED_VALUE"""),328749.0)</f>
        <v>328749</v>
      </c>
      <c r="F3492" s="22" t="str">
        <f>IFERROR(__xludf.DUMMYFUNCTION("""COMPUTED_VALUE"""),"最低上司の溺愛調教【R-18版】")</f>
        <v>最低上司の溺愛調教【R-18版】</v>
      </c>
      <c r="G3492" s="20" t="str">
        <f>IFERROR(__xludf.DUMMYFUNCTION("""COMPUTED_VALUE"""),"1～3")</f>
        <v>1～3</v>
      </c>
      <c r="H3492" s="22" t="str">
        <f>IFERROR(__xludf.DUMMYFUNCTION("""COMPUTED_VALUE"""),"紅碧 かんたま")</f>
        <v>紅碧 かんたま</v>
      </c>
      <c r="I3492" s="22" t="str">
        <f>IFERROR(__xludf.DUMMYFUNCTION("""COMPUTED_VALUE"""),"アダルト")</f>
        <v>アダルト</v>
      </c>
      <c r="J3492" s="22"/>
      <c r="K3492" s="22" t="str">
        <f>IFERROR(__xludf.DUMMYFUNCTION("""COMPUTED_VALUE"""),"Close Moon")</f>
        <v>Close Moon</v>
      </c>
      <c r="L3492" s="22" t="str">
        <f>IFERROR(__xludf.DUMMYFUNCTION("""COMPUTED_VALUE"""),"ナンバーナイン")</f>
        <v>ナンバーナイン</v>
      </c>
      <c r="M3492" s="33">
        <f>IFERROR(__xludf.DUMMYFUNCTION("""COMPUTED_VALUE"""),45842.0)</f>
        <v>45842</v>
      </c>
      <c r="N3492" s="33">
        <f>IFERROR(__xludf.DUMMYFUNCTION("""COMPUTED_VALUE"""),45933.0)</f>
        <v>45933</v>
      </c>
      <c r="O3492" s="20"/>
      <c r="P3492" s="32" t="str">
        <f>IFERROR(__xludf.DUMMYFUNCTION("""COMPUTED_VALUE"""),"可")</f>
        <v>可</v>
      </c>
      <c r="Q3492" s="30" t="str">
        <f>IFERROR(__xludf.DUMMYFUNCTION("""COMPUTED_VALUE"""),"がるまに")</f>
        <v>がるまに</v>
      </c>
      <c r="R3492" s="22"/>
      <c r="S3492" s="22" t="str">
        <f>IFERROR(__xludf.DUMMYFUNCTION("""COMPUTED_VALUE"""),"20250624_ナンバーナイン_最低上司の溺愛調教【R-18版】")</f>
        <v>20250624_ナンバーナイン_最低上司の溺愛調教【R-18版】</v>
      </c>
      <c r="T3492" s="22" t="str">
        <f>IFERROR(__xludf.DUMMYFUNCTION("""COMPUTED_VALUE"""),"格納済み")</f>
        <v>格納済み</v>
      </c>
      <c r="U3492" s="9" t="str">
        <f>IFERROR(__xludf.DUMMYFUNCTION("""COMPUTED_VALUE"""),"ⒸYellow Post/ナンバーナイン")</f>
        <v>ⒸYellow Post/ナンバーナイン</v>
      </c>
      <c r="V3492" s="8"/>
      <c r="W3492" s="8"/>
      <c r="X3492" s="8" t="str">
        <f>IFERROR(__xludf.DUMMYFUNCTION("""COMPUTED_VALUE"""),"有")</f>
        <v>有</v>
      </c>
      <c r="Y3492" s="8" t="str">
        <f>IFERROR(__xludf.DUMMYFUNCTION("""COMPUTED_VALUE"""),"P4まで")</f>
        <v>P4まで</v>
      </c>
      <c r="Z3492" s="7"/>
      <c r="AA3492" s="7"/>
      <c r="AB3492" s="7"/>
    </row>
    <row r="3493" ht="15.75" customHeight="1">
      <c r="A3493" s="26">
        <f>IFERROR(__xludf.DUMMYFUNCTION("""COMPUTED_VALUE"""),5770.0)</f>
        <v>5770</v>
      </c>
      <c r="B3493" s="22" t="str">
        <f>IFERROR(__xludf.DUMMYFUNCTION("""COMPUTED_VALUE"""),"確定")</f>
        <v>確定</v>
      </c>
      <c r="C3493" s="28">
        <f>IFERROR(__xludf.DUMMYFUNCTION("""COMPUTED_VALUE"""),45817.0)</f>
        <v>45817</v>
      </c>
      <c r="D3493" s="28">
        <f>IFERROR(__xludf.DUMMYFUNCTION("""COMPUTED_VALUE"""),45833.0)</f>
        <v>45833</v>
      </c>
      <c r="E3493" s="26">
        <f>IFERROR(__xludf.DUMMYFUNCTION("""COMPUTED_VALUE"""),328748.0)</f>
        <v>328748</v>
      </c>
      <c r="F3493" s="22" t="str">
        <f>IFERROR(__xludf.DUMMYFUNCTION("""COMPUTED_VALUE"""),"純潔の弔歌【R-18版】")</f>
        <v>純潔の弔歌【R-18版】</v>
      </c>
      <c r="G3493" s="20" t="str">
        <f>IFERROR(__xludf.DUMMYFUNCTION("""COMPUTED_VALUE"""),"1～3")</f>
        <v>1～3</v>
      </c>
      <c r="H3493" s="22" t="str">
        <f>IFERROR(__xludf.DUMMYFUNCTION("""COMPUTED_VALUE"""),"鴨鹿梁 かんたま")</f>
        <v>鴨鹿梁 かんたま</v>
      </c>
      <c r="I3493" s="22" t="str">
        <f>IFERROR(__xludf.DUMMYFUNCTION("""COMPUTED_VALUE"""),"アダルト")</f>
        <v>アダルト</v>
      </c>
      <c r="J3493" s="22"/>
      <c r="K3493" s="22" t="str">
        <f>IFERROR(__xludf.DUMMYFUNCTION("""COMPUTED_VALUE"""),"Close Moon")</f>
        <v>Close Moon</v>
      </c>
      <c r="L3493" s="22" t="str">
        <f>IFERROR(__xludf.DUMMYFUNCTION("""COMPUTED_VALUE"""),"ナンバーナイン")</f>
        <v>ナンバーナイン</v>
      </c>
      <c r="M3493" s="33">
        <f>IFERROR(__xludf.DUMMYFUNCTION("""COMPUTED_VALUE"""),45842.0)</f>
        <v>45842</v>
      </c>
      <c r="N3493" s="33">
        <f>IFERROR(__xludf.DUMMYFUNCTION("""COMPUTED_VALUE"""),45933.0)</f>
        <v>45933</v>
      </c>
      <c r="O3493" s="20"/>
      <c r="P3493" s="32" t="str">
        <f>IFERROR(__xludf.DUMMYFUNCTION("""COMPUTED_VALUE"""),"可")</f>
        <v>可</v>
      </c>
      <c r="Q3493" s="30" t="str">
        <f>IFERROR(__xludf.DUMMYFUNCTION("""COMPUTED_VALUE"""),"がるまに")</f>
        <v>がるまに</v>
      </c>
      <c r="R3493" s="22"/>
      <c r="S3493" s="22" t="str">
        <f>IFERROR(__xludf.DUMMYFUNCTION("""COMPUTED_VALUE"""),"20250620_ナンバーナイン_純潔の弔歌【R-18版】")</f>
        <v>20250620_ナンバーナイン_純潔の弔歌【R-18版】</v>
      </c>
      <c r="T3493" s="22" t="str">
        <f>IFERROR(__xludf.DUMMYFUNCTION("""COMPUTED_VALUE"""),"格納済み")</f>
        <v>格納済み</v>
      </c>
      <c r="U3493" s="9" t="str">
        <f>IFERROR(__xludf.DUMMYFUNCTION("""COMPUTED_VALUE"""),"ⒸYellow Post/ナンバーナイン")</f>
        <v>ⒸYellow Post/ナンバーナイン</v>
      </c>
      <c r="V3493" s="8"/>
      <c r="W3493" s="8"/>
      <c r="X3493" s="8" t="str">
        <f>IFERROR(__xludf.DUMMYFUNCTION("""COMPUTED_VALUE"""),"有")</f>
        <v>有</v>
      </c>
      <c r="Y3493" s="8" t="str">
        <f>IFERROR(__xludf.DUMMYFUNCTION("""COMPUTED_VALUE"""),"P4まで")</f>
        <v>P4まで</v>
      </c>
      <c r="Z3493" s="7"/>
      <c r="AA3493" s="7"/>
      <c r="AB3493" s="7"/>
    </row>
    <row r="3494" ht="15.75" customHeight="1">
      <c r="A3494" s="26">
        <f>IFERROR(__xludf.DUMMYFUNCTION("""COMPUTED_VALUE"""),5771.0)</f>
        <v>5771</v>
      </c>
      <c r="B3494" s="22" t="str">
        <f>IFERROR(__xludf.DUMMYFUNCTION("""COMPUTED_VALUE"""),"確定")</f>
        <v>確定</v>
      </c>
      <c r="C3494" s="28">
        <f>IFERROR(__xludf.DUMMYFUNCTION("""COMPUTED_VALUE"""),45817.0)</f>
        <v>45817</v>
      </c>
      <c r="D3494" s="28">
        <f>IFERROR(__xludf.DUMMYFUNCTION("""COMPUTED_VALUE"""),45833.0)</f>
        <v>45833</v>
      </c>
      <c r="E3494" s="26">
        <f>IFERROR(__xludf.DUMMYFUNCTION("""COMPUTED_VALUE"""),328746.0)</f>
        <v>328746</v>
      </c>
      <c r="F3494" s="22" t="str">
        <f>IFERROR(__xludf.DUMMYFUNCTION("""COMPUTED_VALUE"""),"都合の良い結婚相手【R-18版】")</f>
        <v>都合の良い結婚相手【R-18版】</v>
      </c>
      <c r="G3494" s="20" t="str">
        <f>IFERROR(__xludf.DUMMYFUNCTION("""COMPUTED_VALUE"""),"1～2")</f>
        <v>1～2</v>
      </c>
      <c r="H3494" s="22" t="str">
        <f>IFERROR(__xludf.DUMMYFUNCTION("""COMPUTED_VALUE"""),"千歳あさひ かんたま")</f>
        <v>千歳あさひ かんたま</v>
      </c>
      <c r="I3494" s="22" t="str">
        <f>IFERROR(__xludf.DUMMYFUNCTION("""COMPUTED_VALUE"""),"アダルト")</f>
        <v>アダルト</v>
      </c>
      <c r="J3494" s="22"/>
      <c r="K3494" s="22" t="str">
        <f>IFERROR(__xludf.DUMMYFUNCTION("""COMPUTED_VALUE"""),"Close Moon")</f>
        <v>Close Moon</v>
      </c>
      <c r="L3494" s="22" t="str">
        <f>IFERROR(__xludf.DUMMYFUNCTION("""COMPUTED_VALUE"""),"ナンバーナイン")</f>
        <v>ナンバーナイン</v>
      </c>
      <c r="M3494" s="33">
        <f>IFERROR(__xludf.DUMMYFUNCTION("""COMPUTED_VALUE"""),45842.0)</f>
        <v>45842</v>
      </c>
      <c r="N3494" s="33">
        <f>IFERROR(__xludf.DUMMYFUNCTION("""COMPUTED_VALUE"""),45933.0)</f>
        <v>45933</v>
      </c>
      <c r="O3494" s="20"/>
      <c r="P3494" s="32" t="str">
        <f>IFERROR(__xludf.DUMMYFUNCTION("""COMPUTED_VALUE"""),"可")</f>
        <v>可</v>
      </c>
      <c r="Q3494" s="30" t="str">
        <f>IFERROR(__xludf.DUMMYFUNCTION("""COMPUTED_VALUE"""),"がるまに")</f>
        <v>がるまに</v>
      </c>
      <c r="R3494" s="22"/>
      <c r="S3494" s="22" t="str">
        <f>IFERROR(__xludf.DUMMYFUNCTION("""COMPUTED_VALUE"""),"20250620_ナンバーナイン_都合の良い結婚相手【R-18版】")</f>
        <v>20250620_ナンバーナイン_都合の良い結婚相手【R-18版】</v>
      </c>
      <c r="T3494" s="22" t="str">
        <f>IFERROR(__xludf.DUMMYFUNCTION("""COMPUTED_VALUE"""),"格納済み")</f>
        <v>格納済み</v>
      </c>
      <c r="U3494" s="9" t="str">
        <f>IFERROR(__xludf.DUMMYFUNCTION("""COMPUTED_VALUE"""),"ⒸYellow Post/ナンバーナイン")</f>
        <v>ⒸYellow Post/ナンバーナイン</v>
      </c>
      <c r="V3494" s="8"/>
      <c r="W3494" s="8"/>
      <c r="X3494" s="8" t="str">
        <f>IFERROR(__xludf.DUMMYFUNCTION("""COMPUTED_VALUE"""),"有")</f>
        <v>有</v>
      </c>
      <c r="Y3494" s="8" t="str">
        <f>IFERROR(__xludf.DUMMYFUNCTION("""COMPUTED_VALUE"""),"P4まで")</f>
        <v>P4まで</v>
      </c>
      <c r="Z3494" s="7"/>
      <c r="AA3494" s="7"/>
      <c r="AB3494" s="7"/>
    </row>
    <row r="3495" ht="15.75" customHeight="1">
      <c r="A3495" s="26">
        <f>IFERROR(__xludf.DUMMYFUNCTION("""COMPUTED_VALUE"""),5773.0)</f>
        <v>5773</v>
      </c>
      <c r="B3495" s="22" t="str">
        <f>IFERROR(__xludf.DUMMYFUNCTION("""COMPUTED_VALUE"""),"確定")</f>
        <v>確定</v>
      </c>
      <c r="C3495" s="28">
        <f>IFERROR(__xludf.DUMMYFUNCTION("""COMPUTED_VALUE"""),45817.0)</f>
        <v>45817</v>
      </c>
      <c r="D3495" s="28">
        <f>IFERROR(__xludf.DUMMYFUNCTION("""COMPUTED_VALUE"""),45833.0)</f>
        <v>45833</v>
      </c>
      <c r="E3495" s="26">
        <f>IFERROR(__xludf.DUMMYFUNCTION("""COMPUTED_VALUE"""),328745.0)</f>
        <v>328745</v>
      </c>
      <c r="F3495" s="22" t="str">
        <f>IFERROR(__xludf.DUMMYFUNCTION("""COMPUTED_VALUE"""),"年下彼氏くんは策士な狼【R-18版】")</f>
        <v>年下彼氏くんは策士な狼【R-18版】</v>
      </c>
      <c r="G3495" s="20">
        <f>IFERROR(__xludf.DUMMYFUNCTION("""COMPUTED_VALUE"""),1.0)</f>
        <v>1</v>
      </c>
      <c r="H3495" s="22" t="str">
        <f>IFERROR(__xludf.DUMMYFUNCTION("""COMPUTED_VALUE"""),"滲裏フミ かんたま")</f>
        <v>滲裏フミ かんたま</v>
      </c>
      <c r="I3495" s="22" t="str">
        <f>IFERROR(__xludf.DUMMYFUNCTION("""COMPUTED_VALUE"""),"アダルト")</f>
        <v>アダルト</v>
      </c>
      <c r="J3495" s="22"/>
      <c r="K3495" s="22" t="str">
        <f>IFERROR(__xludf.DUMMYFUNCTION("""COMPUTED_VALUE"""),"Close Moon")</f>
        <v>Close Moon</v>
      </c>
      <c r="L3495" s="22" t="str">
        <f>IFERROR(__xludf.DUMMYFUNCTION("""COMPUTED_VALUE"""),"ナンバーナイン")</f>
        <v>ナンバーナイン</v>
      </c>
      <c r="M3495" s="33">
        <f>IFERROR(__xludf.DUMMYFUNCTION("""COMPUTED_VALUE"""),45842.0)</f>
        <v>45842</v>
      </c>
      <c r="N3495" s="33">
        <f>IFERROR(__xludf.DUMMYFUNCTION("""COMPUTED_VALUE"""),45933.0)</f>
        <v>45933</v>
      </c>
      <c r="O3495" s="20"/>
      <c r="P3495" s="32" t="str">
        <f>IFERROR(__xludf.DUMMYFUNCTION("""COMPUTED_VALUE"""),"可")</f>
        <v>可</v>
      </c>
      <c r="Q3495" s="30" t="str">
        <f>IFERROR(__xludf.DUMMYFUNCTION("""COMPUTED_VALUE"""),"がるまに")</f>
        <v>がるまに</v>
      </c>
      <c r="R3495" s="22"/>
      <c r="S3495" s="22" t="str">
        <f>IFERROR(__xludf.DUMMYFUNCTION("""COMPUTED_VALUE"""),"20250620_ナンバーナイン_年下彼氏くんは策士な狼【R-18版】")</f>
        <v>20250620_ナンバーナイン_年下彼氏くんは策士な狼【R-18版】</v>
      </c>
      <c r="T3495" s="22" t="str">
        <f>IFERROR(__xludf.DUMMYFUNCTION("""COMPUTED_VALUE"""),"格納済み")</f>
        <v>格納済み</v>
      </c>
      <c r="U3495" s="9" t="str">
        <f>IFERROR(__xludf.DUMMYFUNCTION("""COMPUTED_VALUE"""),"ⒸYellow Post/ナンバーナイン")</f>
        <v>ⒸYellow Post/ナンバーナイン</v>
      </c>
      <c r="V3495" s="8"/>
      <c r="W3495" s="8"/>
      <c r="X3495" s="8" t="str">
        <f>IFERROR(__xludf.DUMMYFUNCTION("""COMPUTED_VALUE"""),"有")</f>
        <v>有</v>
      </c>
      <c r="Y3495" s="8" t="str">
        <f>IFERROR(__xludf.DUMMYFUNCTION("""COMPUTED_VALUE"""),"P7まで")</f>
        <v>P7まで</v>
      </c>
      <c r="Z3495" s="7"/>
      <c r="AA3495" s="7"/>
      <c r="AB3495" s="7"/>
    </row>
    <row r="3496" ht="15.75" customHeight="1">
      <c r="A3496" s="26">
        <f>IFERROR(__xludf.DUMMYFUNCTION("""COMPUTED_VALUE"""),5774.0)</f>
        <v>5774</v>
      </c>
      <c r="B3496" s="22" t="str">
        <f>IFERROR(__xludf.DUMMYFUNCTION("""COMPUTED_VALUE"""),"確定")</f>
        <v>確定</v>
      </c>
      <c r="C3496" s="28">
        <f>IFERROR(__xludf.DUMMYFUNCTION("""COMPUTED_VALUE"""),45817.0)</f>
        <v>45817</v>
      </c>
      <c r="D3496" s="28">
        <f>IFERROR(__xludf.DUMMYFUNCTION("""COMPUTED_VALUE"""),45833.0)</f>
        <v>45833</v>
      </c>
      <c r="E3496" s="26">
        <f>IFERROR(__xludf.DUMMYFUNCTION("""COMPUTED_VALUE"""),328744.0)</f>
        <v>328744</v>
      </c>
      <c r="F3496" s="22" t="str">
        <f>IFERROR(__xludf.DUMMYFUNCTION("""COMPUTED_VALUE"""),"年下の幼馴染がスパダリに成長して私を溺愛する【R-18版】")</f>
        <v>年下の幼馴染がスパダリに成長して私を溺愛する【R-18版】</v>
      </c>
      <c r="G3496" s="20" t="str">
        <f>IFERROR(__xludf.DUMMYFUNCTION("""COMPUTED_VALUE"""),"1～2")</f>
        <v>1～2</v>
      </c>
      <c r="H3496" s="22" t="str">
        <f>IFERROR(__xludf.DUMMYFUNCTION("""COMPUTED_VALUE"""),"すずきつき かんたま")</f>
        <v>すずきつき かんたま</v>
      </c>
      <c r="I3496" s="22" t="str">
        <f>IFERROR(__xludf.DUMMYFUNCTION("""COMPUTED_VALUE"""),"アダルト")</f>
        <v>アダルト</v>
      </c>
      <c r="J3496" s="22"/>
      <c r="K3496" s="22" t="str">
        <f>IFERROR(__xludf.DUMMYFUNCTION("""COMPUTED_VALUE"""),"Close Moon")</f>
        <v>Close Moon</v>
      </c>
      <c r="L3496" s="22" t="str">
        <f>IFERROR(__xludf.DUMMYFUNCTION("""COMPUTED_VALUE"""),"ナンバーナイン")</f>
        <v>ナンバーナイン</v>
      </c>
      <c r="M3496" s="33">
        <f>IFERROR(__xludf.DUMMYFUNCTION("""COMPUTED_VALUE"""),45842.0)</f>
        <v>45842</v>
      </c>
      <c r="N3496" s="33">
        <f>IFERROR(__xludf.DUMMYFUNCTION("""COMPUTED_VALUE"""),45933.0)</f>
        <v>45933</v>
      </c>
      <c r="O3496" s="20"/>
      <c r="P3496" s="32" t="str">
        <f>IFERROR(__xludf.DUMMYFUNCTION("""COMPUTED_VALUE"""),"可")</f>
        <v>可</v>
      </c>
      <c r="Q3496" s="30" t="str">
        <f>IFERROR(__xludf.DUMMYFUNCTION("""COMPUTED_VALUE"""),"がるまに")</f>
        <v>がるまに</v>
      </c>
      <c r="R3496" s="22"/>
      <c r="S3496" s="22" t="str">
        <f>IFERROR(__xludf.DUMMYFUNCTION("""COMPUTED_VALUE"""),"20250620_ナンバーナイン_年下の幼馴染がスパダリに成長して私を溺愛する【R-18版】")</f>
        <v>20250620_ナンバーナイン_年下の幼馴染がスパダリに成長して私を溺愛する【R-18版】</v>
      </c>
      <c r="T3496" s="22" t="str">
        <f>IFERROR(__xludf.DUMMYFUNCTION("""COMPUTED_VALUE"""),"格納済み")</f>
        <v>格納済み</v>
      </c>
      <c r="U3496" s="9" t="str">
        <f>IFERROR(__xludf.DUMMYFUNCTION("""COMPUTED_VALUE"""),"ⒸYellow Post/ナンバーナイン")</f>
        <v>ⒸYellow Post/ナンバーナイン</v>
      </c>
      <c r="V3496" s="8"/>
      <c r="W3496" s="8"/>
      <c r="X3496" s="8" t="str">
        <f>IFERROR(__xludf.DUMMYFUNCTION("""COMPUTED_VALUE"""),"有")</f>
        <v>有</v>
      </c>
      <c r="Y3496" s="8" t="str">
        <f>IFERROR(__xludf.DUMMYFUNCTION("""COMPUTED_VALUE"""),"P4まで")</f>
        <v>P4まで</v>
      </c>
      <c r="Z3496" s="7"/>
      <c r="AA3496" s="7"/>
      <c r="AB3496" s="7"/>
    </row>
    <row r="3497" ht="15.75" customHeight="1">
      <c r="A3497" s="26">
        <f>IFERROR(__xludf.DUMMYFUNCTION("""COMPUTED_VALUE"""),5776.0)</f>
        <v>5776</v>
      </c>
      <c r="B3497" s="22" t="str">
        <f>IFERROR(__xludf.DUMMYFUNCTION("""COMPUTED_VALUE"""),"確定")</f>
        <v>確定</v>
      </c>
      <c r="C3497" s="28">
        <f>IFERROR(__xludf.DUMMYFUNCTION("""COMPUTED_VALUE"""),45817.0)</f>
        <v>45817</v>
      </c>
      <c r="D3497" s="28">
        <f>IFERROR(__xludf.DUMMYFUNCTION("""COMPUTED_VALUE"""),45833.0)</f>
        <v>45833</v>
      </c>
      <c r="E3497" s="26">
        <f>IFERROR(__xludf.DUMMYFUNCTION("""COMPUTED_VALUE"""),328741.0)</f>
        <v>328741</v>
      </c>
      <c r="F3497" s="22" t="str">
        <f>IFERROR(__xludf.DUMMYFUNCTION("""COMPUTED_VALUE"""),"妖怪アイドルのマネージャー(玩具)になりました!!【R-18版】")</f>
        <v>妖怪アイドルのマネージャー(玩具)になりました!!【R-18版】</v>
      </c>
      <c r="G3497" s="20">
        <f>IFERROR(__xludf.DUMMYFUNCTION("""COMPUTED_VALUE"""),1.0)</f>
        <v>1</v>
      </c>
      <c r="H3497" s="22" t="str">
        <f>IFERROR(__xludf.DUMMYFUNCTION("""COMPUTED_VALUE"""),"チキ かんたま")</f>
        <v>チキ かんたま</v>
      </c>
      <c r="I3497" s="22" t="str">
        <f>IFERROR(__xludf.DUMMYFUNCTION("""COMPUTED_VALUE"""),"アダルト")</f>
        <v>アダルト</v>
      </c>
      <c r="J3497" s="22"/>
      <c r="K3497" s="22" t="str">
        <f>IFERROR(__xludf.DUMMYFUNCTION("""COMPUTED_VALUE"""),"Close Moon")</f>
        <v>Close Moon</v>
      </c>
      <c r="L3497" s="22" t="str">
        <f>IFERROR(__xludf.DUMMYFUNCTION("""COMPUTED_VALUE"""),"ナンバーナイン")</f>
        <v>ナンバーナイン</v>
      </c>
      <c r="M3497" s="33">
        <f>IFERROR(__xludf.DUMMYFUNCTION("""COMPUTED_VALUE"""),45842.0)</f>
        <v>45842</v>
      </c>
      <c r="N3497" s="33">
        <f>IFERROR(__xludf.DUMMYFUNCTION("""COMPUTED_VALUE"""),45933.0)</f>
        <v>45933</v>
      </c>
      <c r="O3497" s="20"/>
      <c r="P3497" s="32" t="str">
        <f>IFERROR(__xludf.DUMMYFUNCTION("""COMPUTED_VALUE"""),"可")</f>
        <v>可</v>
      </c>
      <c r="Q3497" s="30" t="str">
        <f>IFERROR(__xludf.DUMMYFUNCTION("""COMPUTED_VALUE"""),"がるまに")</f>
        <v>がるまに</v>
      </c>
      <c r="R3497" s="22"/>
      <c r="S3497" s="22" t="str">
        <f>IFERROR(__xludf.DUMMYFUNCTION("""COMPUTED_VALUE"""),"20250620_ナンバーナイン_妖怪アイドルのマネージャー(玩具)になりました!!【R-18版】")</f>
        <v>20250620_ナンバーナイン_妖怪アイドルのマネージャー(玩具)になりました!!【R-18版】</v>
      </c>
      <c r="T3497" s="22" t="str">
        <f>IFERROR(__xludf.DUMMYFUNCTION("""COMPUTED_VALUE"""),"格納済み")</f>
        <v>格納済み</v>
      </c>
      <c r="U3497" s="9" t="str">
        <f>IFERROR(__xludf.DUMMYFUNCTION("""COMPUTED_VALUE"""),"ⒸYellow Post/ナンバーナイン")</f>
        <v>ⒸYellow Post/ナンバーナイン</v>
      </c>
      <c r="V3497" s="8"/>
      <c r="W3497" s="8"/>
      <c r="X3497" s="8" t="str">
        <f>IFERROR(__xludf.DUMMYFUNCTION("""COMPUTED_VALUE"""),"有")</f>
        <v>有</v>
      </c>
      <c r="Y3497" s="8" t="str">
        <f>IFERROR(__xludf.DUMMYFUNCTION("""COMPUTED_VALUE"""),"P7まで")</f>
        <v>P7まで</v>
      </c>
      <c r="Z3497" s="7"/>
      <c r="AA3497" s="7"/>
      <c r="AB3497" s="7"/>
    </row>
    <row r="3498" ht="15.75" customHeight="1">
      <c r="A3498" s="26">
        <f>IFERROR(__xludf.DUMMYFUNCTION("""COMPUTED_VALUE"""),5779.0)</f>
        <v>5779</v>
      </c>
      <c r="B3498" s="22" t="str">
        <f>IFERROR(__xludf.DUMMYFUNCTION("""COMPUTED_VALUE"""),"確定")</f>
        <v>確定</v>
      </c>
      <c r="C3498" s="28">
        <f>IFERROR(__xludf.DUMMYFUNCTION("""COMPUTED_VALUE"""),45817.0)</f>
        <v>45817</v>
      </c>
      <c r="D3498" s="28">
        <f>IFERROR(__xludf.DUMMYFUNCTION("""COMPUTED_VALUE"""),45833.0)</f>
        <v>45833</v>
      </c>
      <c r="E3498" s="26">
        <f>IFERROR(__xludf.DUMMYFUNCTION("""COMPUTED_VALUE"""),328740.0)</f>
        <v>328740</v>
      </c>
      <c r="F3498" s="22" t="str">
        <f>IFERROR(__xludf.DUMMYFUNCTION("""COMPUTED_VALUE"""),"干物女はデキ愛社長のユメを見るか【R-18版】")</f>
        <v>干物女はデキ愛社長のユメを見るか【R-18版】</v>
      </c>
      <c r="G3498" s="20" t="str">
        <f>IFERROR(__xludf.DUMMYFUNCTION("""COMPUTED_VALUE"""),"1～4")</f>
        <v>1～4</v>
      </c>
      <c r="H3498" s="22" t="str">
        <f>IFERROR(__xludf.DUMMYFUNCTION("""COMPUTED_VALUE"""),"田鶴チトセ かんたま")</f>
        <v>田鶴チトセ かんたま</v>
      </c>
      <c r="I3498" s="22" t="str">
        <f>IFERROR(__xludf.DUMMYFUNCTION("""COMPUTED_VALUE"""),"アダルト")</f>
        <v>アダルト</v>
      </c>
      <c r="J3498" s="22"/>
      <c r="K3498" s="22" t="str">
        <f>IFERROR(__xludf.DUMMYFUNCTION("""COMPUTED_VALUE"""),"Close Moon")</f>
        <v>Close Moon</v>
      </c>
      <c r="L3498" s="22" t="str">
        <f>IFERROR(__xludf.DUMMYFUNCTION("""COMPUTED_VALUE"""),"ナンバーナイン")</f>
        <v>ナンバーナイン</v>
      </c>
      <c r="M3498" s="33">
        <f>IFERROR(__xludf.DUMMYFUNCTION("""COMPUTED_VALUE"""),45842.0)</f>
        <v>45842</v>
      </c>
      <c r="N3498" s="33">
        <f>IFERROR(__xludf.DUMMYFUNCTION("""COMPUTED_VALUE"""),45933.0)</f>
        <v>45933</v>
      </c>
      <c r="O3498" s="20"/>
      <c r="P3498" s="32" t="str">
        <f>IFERROR(__xludf.DUMMYFUNCTION("""COMPUTED_VALUE"""),"可")</f>
        <v>可</v>
      </c>
      <c r="Q3498" s="30" t="str">
        <f>IFERROR(__xludf.DUMMYFUNCTION("""COMPUTED_VALUE"""),"がるまに")</f>
        <v>がるまに</v>
      </c>
      <c r="R3498" s="22"/>
      <c r="S3498" s="22" t="str">
        <f>IFERROR(__xludf.DUMMYFUNCTION("""COMPUTED_VALUE"""),"20250624_ナンバーナイン_干物女はデキ愛社長のユメを見るか【R-18版】")</f>
        <v>20250624_ナンバーナイン_干物女はデキ愛社長のユメを見るか【R-18版】</v>
      </c>
      <c r="T3498" s="22" t="str">
        <f>IFERROR(__xludf.DUMMYFUNCTION("""COMPUTED_VALUE"""),"格納済み")</f>
        <v>格納済み</v>
      </c>
      <c r="U3498" s="9" t="str">
        <f>IFERROR(__xludf.DUMMYFUNCTION("""COMPUTED_VALUE"""),"ⒸYellow Post/ナンバーナイン")</f>
        <v>ⒸYellow Post/ナンバーナイン</v>
      </c>
      <c r="V3498" s="8"/>
      <c r="W3498" s="8"/>
      <c r="X3498" s="8" t="str">
        <f>IFERROR(__xludf.DUMMYFUNCTION("""COMPUTED_VALUE"""),"有")</f>
        <v>有</v>
      </c>
      <c r="Y3498" s="8" t="str">
        <f>IFERROR(__xludf.DUMMYFUNCTION("""COMPUTED_VALUE"""),"P7まで")</f>
        <v>P7まで</v>
      </c>
      <c r="Z3498" s="7"/>
      <c r="AA3498" s="7"/>
      <c r="AB3498" s="7"/>
    </row>
    <row r="3499" ht="15.75" customHeight="1">
      <c r="A3499" s="26">
        <f>IFERROR(__xludf.DUMMYFUNCTION("""COMPUTED_VALUE"""),5781.0)</f>
        <v>5781</v>
      </c>
      <c r="B3499" s="22" t="str">
        <f>IFERROR(__xludf.DUMMYFUNCTION("""COMPUTED_VALUE"""),"確定")</f>
        <v>確定</v>
      </c>
      <c r="C3499" s="28">
        <f>IFERROR(__xludf.DUMMYFUNCTION("""COMPUTED_VALUE"""),45817.0)</f>
        <v>45817</v>
      </c>
      <c r="D3499" s="28">
        <f>IFERROR(__xludf.DUMMYFUNCTION("""COMPUTED_VALUE"""),45833.0)</f>
        <v>45833</v>
      </c>
      <c r="E3499" s="26">
        <f>IFERROR(__xludf.DUMMYFUNCTION("""COMPUTED_VALUE"""),328743.0)</f>
        <v>328743</v>
      </c>
      <c r="F3499" s="22" t="str">
        <f>IFERROR(__xludf.DUMMYFUNCTION("""COMPUTED_VALUE"""),"天野博士の快楽レポートー遠隔クリイキ装置による生ハメ懇願過程ー【R-18版】")</f>
        <v>天野博士の快楽レポートー遠隔クリイキ装置による生ハメ懇願過程ー【R-18版】</v>
      </c>
      <c r="G3499" s="20">
        <f>IFERROR(__xludf.DUMMYFUNCTION("""COMPUTED_VALUE"""),1.0)</f>
        <v>1</v>
      </c>
      <c r="H3499" s="22" t="str">
        <f>IFERROR(__xludf.DUMMYFUNCTION("""COMPUTED_VALUE"""),"かんたま 鴨鹿梁")</f>
        <v>かんたま 鴨鹿梁</v>
      </c>
      <c r="I3499" s="22" t="str">
        <f>IFERROR(__xludf.DUMMYFUNCTION("""COMPUTED_VALUE"""),"アダルト")</f>
        <v>アダルト</v>
      </c>
      <c r="J3499" s="22"/>
      <c r="K3499" s="22" t="str">
        <f>IFERROR(__xludf.DUMMYFUNCTION("""COMPUTED_VALUE"""),"Close Moon")</f>
        <v>Close Moon</v>
      </c>
      <c r="L3499" s="22" t="str">
        <f>IFERROR(__xludf.DUMMYFUNCTION("""COMPUTED_VALUE"""),"ナンバーナイン")</f>
        <v>ナンバーナイン</v>
      </c>
      <c r="M3499" s="33">
        <f>IFERROR(__xludf.DUMMYFUNCTION("""COMPUTED_VALUE"""),45842.0)</f>
        <v>45842</v>
      </c>
      <c r="N3499" s="33">
        <f>IFERROR(__xludf.DUMMYFUNCTION("""COMPUTED_VALUE"""),45933.0)</f>
        <v>45933</v>
      </c>
      <c r="O3499" s="20"/>
      <c r="P3499" s="32" t="str">
        <f>IFERROR(__xludf.DUMMYFUNCTION("""COMPUTED_VALUE"""),"可")</f>
        <v>可</v>
      </c>
      <c r="Q3499" s="30" t="str">
        <f>IFERROR(__xludf.DUMMYFUNCTION("""COMPUTED_VALUE"""),"がるまに")</f>
        <v>がるまに</v>
      </c>
      <c r="R3499" s="22"/>
      <c r="S3499" s="22" t="str">
        <f>IFERROR(__xludf.DUMMYFUNCTION("""COMPUTED_VALUE"""),"20250620_ナンバーナイン_天野博士の快楽レポートー遠隔クリイキ装置による生ハメ懇願過程ー【R-18版】")</f>
        <v>20250620_ナンバーナイン_天野博士の快楽レポートー遠隔クリイキ装置による生ハメ懇願過程ー【R-18版】</v>
      </c>
      <c r="T3499" s="22" t="str">
        <f>IFERROR(__xludf.DUMMYFUNCTION("""COMPUTED_VALUE"""),"格納済み")</f>
        <v>格納済み</v>
      </c>
      <c r="U3499" s="9" t="str">
        <f>IFERROR(__xludf.DUMMYFUNCTION("""COMPUTED_VALUE"""),"ⒸYellow Post/ナンバーナイン")</f>
        <v>ⒸYellow Post/ナンバーナイン</v>
      </c>
      <c r="V3499" s="8"/>
      <c r="W3499" s="8"/>
      <c r="X3499" s="8" t="str">
        <f>IFERROR(__xludf.DUMMYFUNCTION("""COMPUTED_VALUE"""),"有")</f>
        <v>有</v>
      </c>
      <c r="Y3499" s="8" t="str">
        <f>IFERROR(__xludf.DUMMYFUNCTION("""COMPUTED_VALUE"""),"P7まで")</f>
        <v>P7まで</v>
      </c>
      <c r="Z3499" s="7"/>
      <c r="AA3499" s="7"/>
      <c r="AB3499" s="7"/>
    </row>
    <row r="3500" ht="15.75" customHeight="1">
      <c r="A3500" s="211">
        <f>IFERROR(__xludf.DUMMYFUNCTION("""COMPUTED_VALUE"""),5783.0)</f>
        <v>5783</v>
      </c>
      <c r="B3500" s="212" t="str">
        <f>IFERROR(__xludf.DUMMYFUNCTION("""COMPUTED_VALUE"""),"確定")</f>
        <v>確定</v>
      </c>
      <c r="C3500" s="213">
        <f>IFERROR(__xludf.DUMMYFUNCTION("""COMPUTED_VALUE"""),45817.0)</f>
        <v>45817</v>
      </c>
      <c r="D3500" s="213">
        <f>IFERROR(__xludf.DUMMYFUNCTION("""COMPUTED_VALUE"""),45833.0)</f>
        <v>45833</v>
      </c>
      <c r="E3500" s="211" t="str">
        <f>IFERROR(__xludf.DUMMYFUNCTION("""COMPUTED_VALUE"""),"ー")</f>
        <v>ー</v>
      </c>
      <c r="F3500" s="212" t="str">
        <f>IFERROR(__xludf.DUMMYFUNCTION("""COMPUTED_VALUE"""),"Mellis Maleficarum【R-18版】
※TL版が先に配信済みかつコミット済みのため削除")</f>
        <v>Mellis Maleficarum【R-18版】
※TL版が先に配信済みかつコミット済みのため削除</v>
      </c>
      <c r="G3500" s="214" t="str">
        <f>IFERROR(__xludf.DUMMYFUNCTION("""COMPUTED_VALUE"""),"1～4")</f>
        <v>1～4</v>
      </c>
      <c r="H3500" s="212" t="str">
        <f>IFERROR(__xludf.DUMMYFUNCTION("""COMPUTED_VALUE"""),"亀戸ざき")</f>
        <v>亀戸ざき</v>
      </c>
      <c r="I3500" s="212" t="str">
        <f>IFERROR(__xludf.DUMMYFUNCTION("""COMPUTED_VALUE"""),"アダルト")</f>
        <v>アダルト</v>
      </c>
      <c r="J3500" s="212"/>
      <c r="K3500" s="212" t="str">
        <f>IFERROR(__xludf.DUMMYFUNCTION("""COMPUTED_VALUE"""),"Close Moon")</f>
        <v>Close Moon</v>
      </c>
      <c r="L3500" s="212" t="str">
        <f>IFERROR(__xludf.DUMMYFUNCTION("""COMPUTED_VALUE"""),"ナンバーナイン")</f>
        <v>ナンバーナイン</v>
      </c>
      <c r="M3500" s="215">
        <f>IFERROR(__xludf.DUMMYFUNCTION("""COMPUTED_VALUE"""),45863.0)</f>
        <v>45863</v>
      </c>
      <c r="N3500" s="215">
        <f>IFERROR(__xludf.DUMMYFUNCTION("""COMPUTED_VALUE"""),45924.0)</f>
        <v>45924</v>
      </c>
      <c r="O3500" s="214"/>
      <c r="P3500" s="216" t="str">
        <f>IFERROR(__xludf.DUMMYFUNCTION("""COMPUTED_VALUE"""),"可")</f>
        <v>可</v>
      </c>
      <c r="Q3500" s="217"/>
      <c r="R3500" s="212"/>
      <c r="S3500" s="212" t="str">
        <f>IFERROR(__xludf.DUMMYFUNCTION("""COMPUTED_VALUE"""),"20250618_ナンバーナイン_Mellis Maleficarum【R-18版】")</f>
        <v>20250618_ナンバーナイン_Mellis Maleficarum【R-18版】</v>
      </c>
      <c r="T3500" s="212" t="str">
        <f>IFERROR(__xludf.DUMMYFUNCTION("""COMPUTED_VALUE"""),"格納済み")</f>
        <v>格納済み</v>
      </c>
      <c r="U3500" s="218" t="str">
        <f>IFERROR(__xludf.DUMMYFUNCTION("""COMPUTED_VALUE"""),"Ⓒ亀戸ざき/ナンバーナイン")</f>
        <v>Ⓒ亀戸ざき/ナンバーナイン</v>
      </c>
      <c r="V3500" s="219"/>
      <c r="W3500" s="219"/>
      <c r="X3500" s="219"/>
      <c r="Y3500" s="8"/>
      <c r="Z3500" s="7"/>
      <c r="AA3500" s="7"/>
      <c r="AB3500" s="7"/>
    </row>
    <row r="3501" ht="15.75" customHeight="1">
      <c r="A3501" s="26">
        <f>IFERROR(__xludf.DUMMYFUNCTION("""COMPUTED_VALUE"""),5817.0)</f>
        <v>5817</v>
      </c>
      <c r="B3501" s="22" t="str">
        <f>IFERROR(__xludf.DUMMYFUNCTION("""COMPUTED_VALUE"""),"確定")</f>
        <v>確定</v>
      </c>
      <c r="C3501" s="28">
        <f>IFERROR(__xludf.DUMMYFUNCTION("""COMPUTED_VALUE"""),45817.0)</f>
        <v>45817</v>
      </c>
      <c r="D3501" s="28">
        <f>IFERROR(__xludf.DUMMYFUNCTION("""COMPUTED_VALUE"""),45831.0)</f>
        <v>45831</v>
      </c>
      <c r="E3501" s="26">
        <f>IFERROR(__xludf.DUMMYFUNCTION("""COMPUTED_VALUE"""),329347.0)</f>
        <v>329347</v>
      </c>
      <c r="F3501" s="22" t="str">
        <f>IFERROR(__xludf.DUMMYFUNCTION("""COMPUTED_VALUE"""),"閻魔の教室(話売り)")</f>
        <v>閻魔の教室(話売り)</v>
      </c>
      <c r="G3501" s="20" t="str">
        <f>IFERROR(__xludf.DUMMYFUNCTION("""COMPUTED_VALUE"""),"1～10")</f>
        <v>1～10</v>
      </c>
      <c r="H3501" s="22" t="str">
        <f>IFERROR(__xludf.DUMMYFUNCTION("""COMPUTED_VALUE"""),"田中優吏")</f>
        <v>田中優吏</v>
      </c>
      <c r="I3501" s="22" t="str">
        <f>IFERROR(__xludf.DUMMYFUNCTION("""COMPUTED_VALUE"""),"少年")</f>
        <v>少年</v>
      </c>
      <c r="J3501" s="22"/>
      <c r="K3501" s="22"/>
      <c r="L3501" s="22" t="str">
        <f>IFERROR(__xludf.DUMMYFUNCTION("""COMPUTED_VALUE"""),"秋田書店")</f>
        <v>秋田書店</v>
      </c>
      <c r="M3501" s="33">
        <f>IFERROR(__xludf.DUMMYFUNCTION("""COMPUTED_VALUE"""),45846.0)</f>
        <v>45846</v>
      </c>
      <c r="N3501" s="33">
        <f>IFERROR(__xludf.DUMMYFUNCTION("""COMPUTED_VALUE"""),45907.0)</f>
        <v>45907</v>
      </c>
      <c r="O3501" s="20"/>
      <c r="P3501" s="32" t="str">
        <f>IFERROR(__xludf.DUMMYFUNCTION("""COMPUTED_VALUE"""),"否")</f>
        <v>否</v>
      </c>
      <c r="Q3501" s="30" t="str">
        <f>IFERROR(__xludf.DUMMYFUNCTION("""COMPUTED_VALUE"""),"・素材ですが、雑誌から取得お願いしたく、&lt;BR&gt;　フォルダ内メモに該当箇所記載しました。&lt;BR&gt;・以降のスケジュール……&lt;BR&gt;　毎週火曜日更新&lt;BR&gt;　（雑誌休載時は更新なし。週チャン掲載の翌々週火曜日に配信になります）")</f>
        <v>・素材ですが、雑誌から取得お願いしたく、&lt;BR&gt;　フォルダ内メモに該当箇所記載しました。&lt;BR&gt;・以降のスケジュール……&lt;BR&gt;　毎週火曜日更新&lt;BR&gt;　（雑誌休載時は更新なし。週チャン掲載の翌々週火曜日に配信になります）</v>
      </c>
      <c r="R3501" s="22"/>
      <c r="S3501" s="22" t="str">
        <f>IFERROR(__xludf.DUMMYFUNCTION("""COMPUTED_VALUE"""),"20250623_秋田書店_閻魔の教室")</f>
        <v>20250623_秋田書店_閻魔の教室</v>
      </c>
      <c r="T3501" s="22" t="str">
        <f>IFERROR(__xludf.DUMMYFUNCTION("""COMPUTED_VALUE"""),"格納済み")</f>
        <v>格納済み</v>
      </c>
      <c r="U3501" s="9" t="str">
        <f>IFERROR(__xludf.DUMMYFUNCTION("""COMPUTED_VALUE"""),"Ⓒ田中優吏（秋田書店）")</f>
        <v>Ⓒ田中優吏（秋田書店）</v>
      </c>
      <c r="V3501" s="8"/>
      <c r="W3501" s="8"/>
      <c r="X3501" s="8" t="str">
        <f>IFERROR(__xludf.DUMMYFUNCTION("""COMPUTED_VALUE"""),"有")</f>
        <v>有</v>
      </c>
      <c r="Y3501" s="8" t="str">
        <f>IFERROR(__xludf.DUMMYFUNCTION("""COMPUTED_VALUE"""),"2026/9/7まで1巻無料")</f>
        <v>2026/9/7まで1巻無料</v>
      </c>
      <c r="Z3501" s="7"/>
      <c r="AA3501" s="7"/>
      <c r="AB3501" s="7"/>
    </row>
    <row r="3502" ht="15.75" customHeight="1">
      <c r="A3502" s="26">
        <f>IFERROR(__xludf.DUMMYFUNCTION("""COMPUTED_VALUE"""),5846.0)</f>
        <v>5846</v>
      </c>
      <c r="B3502" s="22" t="str">
        <f>IFERROR(__xludf.DUMMYFUNCTION("""COMPUTED_VALUE"""),"確定")</f>
        <v>確定</v>
      </c>
      <c r="C3502" s="28">
        <f>IFERROR(__xludf.DUMMYFUNCTION("""COMPUTED_VALUE"""),45820.0)</f>
        <v>45820</v>
      </c>
      <c r="D3502" s="28">
        <f>IFERROR(__xludf.DUMMYFUNCTION("""COMPUTED_VALUE"""),45833.0)</f>
        <v>45833</v>
      </c>
      <c r="E3502" s="26">
        <f>IFERROR(__xludf.DUMMYFUNCTION("""COMPUTED_VALUE"""),330289.0)</f>
        <v>330289</v>
      </c>
      <c r="F3502" s="22" t="str">
        <f>IFERROR(__xludf.DUMMYFUNCTION("""COMPUTED_VALUE"""),"悪の皇女はもう誰も殺さない【分冊版】")</f>
        <v>悪の皇女はもう誰も殺さない【分冊版】</v>
      </c>
      <c r="G3502" s="20" t="str">
        <f>IFERROR(__xludf.DUMMYFUNCTION("""COMPUTED_VALUE"""),"1～4")</f>
        <v>1～4</v>
      </c>
      <c r="H3502" s="22" t="str">
        <f>IFERROR(__xludf.DUMMYFUNCTION("""COMPUTED_VALUE"""),"原作／やきいもほくほく 漫画／おちゃぼ水")</f>
        <v>原作／やきいもほくほく 漫画／おちゃぼ水</v>
      </c>
      <c r="I3502" s="22" t="str">
        <f>IFERROR(__xludf.DUMMYFUNCTION("""COMPUTED_VALUE"""),"女性")</f>
        <v>女性</v>
      </c>
      <c r="J3502" s="22"/>
      <c r="K3502" s="22"/>
      <c r="L3502" s="22" t="str">
        <f>IFERROR(__xludf.DUMMYFUNCTION("""COMPUTED_VALUE"""),"スクウェア・エニックス")</f>
        <v>スクウェア・エニックス</v>
      </c>
      <c r="M3502" s="33">
        <f>IFERROR(__xludf.DUMMYFUNCTION("""COMPUTED_VALUE"""),45870.0)</f>
        <v>45870</v>
      </c>
      <c r="N3502" s="33">
        <f>IFERROR(__xludf.DUMMYFUNCTION("""COMPUTED_VALUE"""),45900.0)</f>
        <v>45900</v>
      </c>
      <c r="O3502" s="20"/>
      <c r="P3502" s="32" t="str">
        <f>IFERROR(__xludf.DUMMYFUNCTION("""COMPUTED_VALUE"""),"否")</f>
        <v>否</v>
      </c>
      <c r="Q3502" s="30"/>
      <c r="R3502" s="22" t="str">
        <f>IFERROR(__xludf.DUMMYFUNCTION("""COMPUTED_VALUE"""),"コミットOK")</f>
        <v>コミットOK</v>
      </c>
      <c r="S3502" s="22" t="str">
        <f>IFERROR(__xludf.DUMMYFUNCTION("""COMPUTED_VALUE"""),"250612_スクウェア・エニックス_悪の皇女はもう誰も殺さない【分冊版】")</f>
        <v>250612_スクウェア・エニックス_悪の皇女はもう誰も殺さない【分冊版】</v>
      </c>
      <c r="T3502" s="22" t="str">
        <f>IFERROR(__xludf.DUMMYFUNCTION("""COMPUTED_VALUE"""),"格納済み")</f>
        <v>格納済み</v>
      </c>
      <c r="U3502" s="9" t="str">
        <f>IFERROR(__xludf.DUMMYFUNCTION("""COMPUTED_VALUE"""),"ⒸYakiimohokuhoku (C)Otyabomizu/SQUARE ENIX")</f>
        <v>ⒸYakiimohokuhoku (C)Otyabomizu/SQUARE ENIX</v>
      </c>
      <c r="V3502" s="8"/>
      <c r="W3502" s="8"/>
      <c r="X3502" s="8" t="str">
        <f>IFERROR(__xludf.DUMMYFUNCTION("""COMPUTED_VALUE"""),"有")</f>
        <v>有</v>
      </c>
      <c r="Y3502" s="8" t="str">
        <f>IFERROR(__xludf.DUMMYFUNCTION("""COMPUTED_VALUE"""),"2025/8/31まで1巻無料")</f>
        <v>2025/8/31まで1巻無料</v>
      </c>
      <c r="Z3502" s="7"/>
      <c r="AA3502" s="7"/>
      <c r="AB3502" s="7"/>
    </row>
    <row r="3503" ht="15.75" customHeight="1">
      <c r="A3503" s="26">
        <f>IFERROR(__xludf.DUMMYFUNCTION("""COMPUTED_VALUE"""),5863.0)</f>
        <v>5863</v>
      </c>
      <c r="B3503" s="22" t="str">
        <f>IFERROR(__xludf.DUMMYFUNCTION("""COMPUTED_VALUE"""),"確定")</f>
        <v>確定</v>
      </c>
      <c r="C3503" s="28">
        <f>IFERROR(__xludf.DUMMYFUNCTION("""COMPUTED_VALUE"""),45825.0)</f>
        <v>45825</v>
      </c>
      <c r="D3503" s="28">
        <f>IFERROR(__xludf.DUMMYFUNCTION("""COMPUTED_VALUE"""),45833.0)</f>
        <v>45833</v>
      </c>
      <c r="E3503" s="26">
        <f>IFERROR(__xludf.DUMMYFUNCTION("""COMPUTED_VALUE"""),331112.0)</f>
        <v>331112</v>
      </c>
      <c r="F3503" s="22" t="str">
        <f>IFERROR(__xludf.DUMMYFUNCTION("""COMPUTED_VALUE"""),"狐の花嫁～今宵、呪われ妻は鬼将校に愛でられる～［ばら売り］")</f>
        <v>狐の花嫁～今宵、呪われ妻は鬼将校に愛でられる～［ばら売り］</v>
      </c>
      <c r="G3503" s="20" t="str">
        <f>IFERROR(__xludf.DUMMYFUNCTION("""COMPUTED_VALUE"""),"1～3")</f>
        <v>1～3</v>
      </c>
      <c r="H3503" s="22" t="str">
        <f>IFERROR(__xludf.DUMMYFUNCTION("""COMPUTED_VALUE"""),"たまき棗")</f>
        <v>たまき棗</v>
      </c>
      <c r="I3503" s="22" t="str">
        <f>IFERROR(__xludf.DUMMYFUNCTION("""COMPUTED_VALUE"""),"女性")</f>
        <v>女性</v>
      </c>
      <c r="J3503" s="22"/>
      <c r="K3503" s="22"/>
      <c r="L3503" s="22" t="str">
        <f>IFERROR(__xludf.DUMMYFUNCTION("""COMPUTED_VALUE"""),"白泉社")</f>
        <v>白泉社</v>
      </c>
      <c r="M3503" s="33">
        <f>IFERROR(__xludf.DUMMYFUNCTION("""COMPUTED_VALUE"""),45878.0)</f>
        <v>45878</v>
      </c>
      <c r="N3503" s="33">
        <f>IFERROR(__xludf.DUMMYFUNCTION("""COMPUTED_VALUE"""),45940.0)</f>
        <v>45940</v>
      </c>
      <c r="O3503" s="20"/>
      <c r="P3503" s="32" t="str">
        <f>IFERROR(__xludf.DUMMYFUNCTION("""COMPUTED_VALUE"""),"可")</f>
        <v>可</v>
      </c>
      <c r="Q3503" s="30" t="str">
        <f>IFERROR(__xludf.DUMMYFUNCTION("""COMPUTED_VALUE"""),"『マンガPark』作品です。")</f>
        <v>『マンガPark』作品です。</v>
      </c>
      <c r="R3503" s="22"/>
      <c r="S3503" s="22" t="str">
        <f>IFERROR(__xludf.DUMMYFUNCTION("""COMPUTED_VALUE"""),"20250623_白泉社_狐の花嫁")</f>
        <v>20250623_白泉社_狐の花嫁</v>
      </c>
      <c r="T3503" s="22" t="str">
        <f>IFERROR(__xludf.DUMMYFUNCTION("""COMPUTED_VALUE"""),"格納済み")</f>
        <v>格納済み</v>
      </c>
      <c r="U3503" s="9" t="str">
        <f>IFERROR(__xludf.DUMMYFUNCTION("""COMPUTED_VALUE"""),"Ⓒたまき棗/白泉社")</f>
        <v>Ⓒたまき棗/白泉社</v>
      </c>
      <c r="V3503" s="8"/>
      <c r="W3503" s="8"/>
      <c r="X3503" s="8" t="str">
        <f>IFERROR(__xludf.DUMMYFUNCTION("""COMPUTED_VALUE"""),"有")</f>
        <v>有</v>
      </c>
      <c r="Y3503" s="8" t="str">
        <f>IFERROR(__xludf.DUMMYFUNCTION("""COMPUTED_VALUE"""),"P10まで")</f>
        <v>P10まで</v>
      </c>
      <c r="Z3503" s="7"/>
      <c r="AA3503" s="7"/>
      <c r="AB3503" s="7"/>
    </row>
    <row r="3504" ht="15.75" customHeight="1">
      <c r="A3504" s="26">
        <f>IFERROR(__xludf.DUMMYFUNCTION("""COMPUTED_VALUE"""),5876.0)</f>
        <v>5876</v>
      </c>
      <c r="B3504" s="22" t="str">
        <f>IFERROR(__xludf.DUMMYFUNCTION("""COMPUTED_VALUE"""),"確定")</f>
        <v>確定</v>
      </c>
      <c r="C3504" s="28">
        <f>IFERROR(__xludf.DUMMYFUNCTION("""COMPUTED_VALUE"""),45826.0)</f>
        <v>45826</v>
      </c>
      <c r="D3504" s="28">
        <f>IFERROR(__xludf.DUMMYFUNCTION("""COMPUTED_VALUE"""),45828.0)</f>
        <v>45828</v>
      </c>
      <c r="E3504" s="26">
        <f>IFERROR(__xludf.DUMMYFUNCTION("""COMPUTED_VALUE"""),329348.0)</f>
        <v>329348</v>
      </c>
      <c r="F3504" s="22" t="str">
        <f>IFERROR(__xludf.DUMMYFUNCTION("""COMPUTED_VALUE"""),"内気な幼馴染は弄ばれる。～きみが先輩に都合の良いオモチャにされるまで～")</f>
        <v>内気な幼馴染は弄ばれる。～きみが先輩に都合の良いオモチャにされるまで～</v>
      </c>
      <c r="G3504" s="20" t="str">
        <f>IFERROR(__xludf.DUMMYFUNCTION("""COMPUTED_VALUE"""),"1～3")</f>
        <v>1～3</v>
      </c>
      <c r="H3504" s="22" t="str">
        <f>IFERROR(__xludf.DUMMYFUNCTION("""COMPUTED_VALUE"""),"ちゃえ")</f>
        <v>ちゃえ</v>
      </c>
      <c r="I3504" s="22" t="str">
        <f>IFERROR(__xludf.DUMMYFUNCTION("""COMPUTED_VALUE"""),"アダルトマンガ")</f>
        <v>アダルトマンガ</v>
      </c>
      <c r="J3504" s="22"/>
      <c r="K3504" s="22"/>
      <c r="L3504" s="22" t="str">
        <f>IFERROR(__xludf.DUMMYFUNCTION("""COMPUTED_VALUE"""),"セ・キララ文庫")</f>
        <v>セ・キララ文庫</v>
      </c>
      <c r="M3504" s="33">
        <f>IFERROR(__xludf.DUMMYFUNCTION("""COMPUTED_VALUE"""),45856.0)</f>
        <v>45856</v>
      </c>
      <c r="N3504" s="33">
        <f>IFERROR(__xludf.DUMMYFUNCTION("""COMPUTED_VALUE"""),45893.0)</f>
        <v>45893</v>
      </c>
      <c r="O3504" s="20"/>
      <c r="P3504" s="32" t="str">
        <f>IFERROR(__xludf.DUMMYFUNCTION("""COMPUTED_VALUE"""),"可")</f>
        <v>可</v>
      </c>
      <c r="Q3504" s="30"/>
      <c r="R3504" s="22"/>
      <c r="S3504" s="22" t="str">
        <f>IFERROR(__xludf.DUMMYFUNCTION("""COMPUTED_VALUE"""),"20250618_ライドオン_内気な幼馴染は弄ばれる。～きみが先輩に都合の良いオモチャにされるまで～")</f>
        <v>20250618_ライドオン_内気な幼馴染は弄ばれる。～きみが先輩に都合の良いオモチャにされるまで～</v>
      </c>
      <c r="T3504" s="22" t="str">
        <f>IFERROR(__xludf.DUMMYFUNCTION("""COMPUTED_VALUE"""),"格納済み")</f>
        <v>格納済み</v>
      </c>
      <c r="U3504" s="9" t="str">
        <f>IFERROR(__xludf.DUMMYFUNCTION("""COMPUTED_VALUE"""),"Ⓒちゃえ/セ・キララ文庫")</f>
        <v>Ⓒちゃえ/セ・キララ文庫</v>
      </c>
      <c r="V3504" s="8"/>
      <c r="W3504" s="8"/>
      <c r="X3504" s="8" t="str">
        <f>IFERROR(__xludf.DUMMYFUNCTION("""COMPUTED_VALUE"""),"有")</f>
        <v>有</v>
      </c>
      <c r="Y3504" s="8" t="str">
        <f>IFERROR(__xludf.DUMMYFUNCTION("""COMPUTED_VALUE"""),"2025/8/24まで1巻無料")</f>
        <v>2025/8/24まで1巻無料</v>
      </c>
      <c r="Z3504" s="7"/>
      <c r="AA3504" s="7"/>
      <c r="AB3504" s="7"/>
    </row>
    <row r="3505" ht="15.75" customHeight="1">
      <c r="A3505" s="26">
        <f>IFERROR(__xludf.DUMMYFUNCTION("""COMPUTED_VALUE"""),5880.0)</f>
        <v>5880</v>
      </c>
      <c r="B3505" s="22" t="str">
        <f>IFERROR(__xludf.DUMMYFUNCTION("""COMPUTED_VALUE"""),"確定")</f>
        <v>確定</v>
      </c>
      <c r="C3505" s="28">
        <f>IFERROR(__xludf.DUMMYFUNCTION("""COMPUTED_VALUE"""),45828.0)</f>
        <v>45828</v>
      </c>
      <c r="D3505" s="28">
        <f>IFERROR(__xludf.DUMMYFUNCTION("""COMPUTED_VALUE"""),45828.0)</f>
        <v>45828</v>
      </c>
      <c r="E3505" s="26">
        <f>IFERROR(__xludf.DUMMYFUNCTION("""COMPUTED_VALUE"""),327329.0)</f>
        <v>327329</v>
      </c>
      <c r="F3505" s="22" t="str">
        <f>IFERROR(__xludf.DUMMYFUNCTION("""COMPUTED_VALUE"""),"悪魔で天使～生まれ変わってもそばにいたい～【単話】")</f>
        <v>悪魔で天使～生まれ変わってもそばにいたい～【単話】</v>
      </c>
      <c r="G3505" s="20" t="str">
        <f>IFERROR(__xludf.DUMMYFUNCTION("""COMPUTED_VALUE"""),"1～5")</f>
        <v>1～5</v>
      </c>
      <c r="H3505" s="22" t="str">
        <f>IFERROR(__xludf.DUMMYFUNCTION("""COMPUTED_VALUE"""),"シライシモモ")</f>
        <v>シライシモモ</v>
      </c>
      <c r="I3505" s="22" t="str">
        <f>IFERROR(__xludf.DUMMYFUNCTION("""COMPUTED_VALUE"""),"BL")</f>
        <v>BL</v>
      </c>
      <c r="J3505" s="22"/>
      <c r="K3505" s="22"/>
      <c r="L3505" s="22" t="str">
        <f>IFERROR(__xludf.DUMMYFUNCTION("""COMPUTED_VALUE"""),"朝日新聞出版")</f>
        <v>朝日新聞出版</v>
      </c>
      <c r="M3505" s="33">
        <f>IFERROR(__xludf.DUMMYFUNCTION("""COMPUTED_VALUE"""),45838.0)</f>
        <v>45838</v>
      </c>
      <c r="N3505" s="33">
        <f>IFERROR(__xludf.DUMMYFUNCTION("""COMPUTED_VALUE"""),45929.0)</f>
        <v>45929</v>
      </c>
      <c r="O3505" s="20"/>
      <c r="P3505" s="32" t="str">
        <f>IFERROR(__xludf.DUMMYFUNCTION("""COMPUTED_VALUE"""),"可")</f>
        <v>可</v>
      </c>
      <c r="Q3505" s="30"/>
      <c r="R3505" s="22"/>
      <c r="S3505" s="22" t="str">
        <f>IFERROR(__xludf.DUMMYFUNCTION("""COMPUTED_VALUE"""),"20250528_朝日新聞出版_悪魔で天使～生まれ変わってもそばにいたい～")</f>
        <v>20250528_朝日新聞出版_悪魔で天使～生まれ変わってもそばにいたい～</v>
      </c>
      <c r="T3505" s="22" t="str">
        <f>IFERROR(__xludf.DUMMYFUNCTION("""COMPUTED_VALUE"""),"格納済み")</f>
        <v>格納済み</v>
      </c>
      <c r="U3505" s="9" t="str">
        <f>IFERROR(__xludf.DUMMYFUNCTION("""COMPUTED_VALUE"""),"Ⓒシライシモモ/朝日新聞出版")</f>
        <v>Ⓒシライシモモ/朝日新聞出版</v>
      </c>
      <c r="V3505" s="8"/>
      <c r="W3505" s="8"/>
      <c r="X3505" s="8" t="str">
        <f>IFERROR(__xludf.DUMMYFUNCTION("""COMPUTED_VALUE"""),"有")</f>
        <v>有</v>
      </c>
      <c r="Y3505" s="8" t="str">
        <f>IFERROR(__xludf.DUMMYFUNCTION("""COMPUTED_VALUE"""),"2026/5/29まで1巻無料")</f>
        <v>2026/5/29まで1巻無料</v>
      </c>
      <c r="Z3505" s="7"/>
      <c r="AA3505" s="7"/>
      <c r="AB3505" s="7"/>
    </row>
    <row r="3506" ht="15.75" customHeight="1">
      <c r="A3506" s="26">
        <f>IFERROR(__xludf.DUMMYFUNCTION("""COMPUTED_VALUE"""),5881.0)</f>
        <v>5881</v>
      </c>
      <c r="B3506" s="22" t="str">
        <f>IFERROR(__xludf.DUMMYFUNCTION("""COMPUTED_VALUE"""),"確定")</f>
        <v>確定</v>
      </c>
      <c r="C3506" s="28">
        <f>IFERROR(__xludf.DUMMYFUNCTION("""COMPUTED_VALUE"""),45828.0)</f>
        <v>45828</v>
      </c>
      <c r="D3506" s="28">
        <f>IFERROR(__xludf.DUMMYFUNCTION("""COMPUTED_VALUE"""),45828.0)</f>
        <v>45828</v>
      </c>
      <c r="E3506" s="26">
        <f>IFERROR(__xludf.DUMMYFUNCTION("""COMPUTED_VALUE"""),327465.0)</f>
        <v>327465</v>
      </c>
      <c r="F3506" s="22" t="str">
        <f>IFERROR(__xludf.DUMMYFUNCTION("""COMPUTED_VALUE"""),"死に戻り令嬢は、二度目の人生で愛を知る")</f>
        <v>死に戻り令嬢は、二度目の人生で愛を知る</v>
      </c>
      <c r="G3506" s="20" t="str">
        <f>IFERROR(__xludf.DUMMYFUNCTION("""COMPUTED_VALUE"""),"1～5")</f>
        <v>1～5</v>
      </c>
      <c r="H3506" s="22" t="str">
        <f>IFERROR(__xludf.DUMMYFUNCTION("""COMPUTED_VALUE"""),"和泉宗谷/佐野雪奈")</f>
        <v>和泉宗谷/佐野雪奈</v>
      </c>
      <c r="I3506" s="22" t="str">
        <f>IFERROR(__xludf.DUMMYFUNCTION("""COMPUTED_VALUE"""),"女性")</f>
        <v>女性</v>
      </c>
      <c r="J3506" s="22"/>
      <c r="K3506" s="22"/>
      <c r="L3506" s="22" t="str">
        <f>IFERROR(__xludf.DUMMYFUNCTION("""COMPUTED_VALUE"""),"ライドオン")</f>
        <v>ライドオン</v>
      </c>
      <c r="M3506" s="33">
        <f>IFERROR(__xludf.DUMMYFUNCTION("""COMPUTED_VALUE"""),45842.0)</f>
        <v>45842</v>
      </c>
      <c r="N3506" s="33">
        <f>IFERROR(__xludf.DUMMYFUNCTION("""COMPUTED_VALUE"""),46024.0)</f>
        <v>46024</v>
      </c>
      <c r="O3506" s="20"/>
      <c r="P3506" s="32" t="str">
        <f>IFERROR(__xludf.DUMMYFUNCTION("""COMPUTED_VALUE"""),"可")</f>
        <v>可</v>
      </c>
      <c r="Q3506" s="30"/>
      <c r="R3506" s="22"/>
      <c r="S3506" s="22" t="str">
        <f>IFERROR(__xludf.DUMMYFUNCTION("""COMPUTED_VALUE"""),"20250620_ライドオン_死に戻り令嬢は、二度目の人生で愛を知る")</f>
        <v>20250620_ライドオン_死に戻り令嬢は、二度目の人生で愛を知る</v>
      </c>
      <c r="T3506" s="22" t="str">
        <f>IFERROR(__xludf.DUMMYFUNCTION("""COMPUTED_VALUE"""),"格納済み")</f>
        <v>格納済み</v>
      </c>
      <c r="U3506" s="9" t="str">
        <f>IFERROR(__xludf.DUMMYFUNCTION("""COMPUTED_VALUE"""),"Ⓒ和泉宗谷/佐野雪奈/ライドオン")</f>
        <v>Ⓒ和泉宗谷/佐野雪奈/ライドオン</v>
      </c>
      <c r="V3506" s="8"/>
      <c r="W3506" s="8"/>
      <c r="X3506" s="8" t="str">
        <f>IFERROR(__xludf.DUMMYFUNCTION("""COMPUTED_VALUE"""),"有")</f>
        <v>有</v>
      </c>
      <c r="Y3506" s="8" t="str">
        <f>IFERROR(__xludf.DUMMYFUNCTION("""COMPUTED_VALUE"""),"2025/7/31まで1巻無料")</f>
        <v>2025/7/31まで1巻無料</v>
      </c>
      <c r="Z3506" s="7"/>
      <c r="AA3506" s="7"/>
      <c r="AB3506" s="7"/>
    </row>
    <row r="3507" ht="15.75" customHeight="1">
      <c r="A3507" s="26">
        <f>IFERROR(__xludf.DUMMYFUNCTION("""COMPUTED_VALUE"""),5883.0)</f>
        <v>5883</v>
      </c>
      <c r="B3507" s="22" t="str">
        <f>IFERROR(__xludf.DUMMYFUNCTION("""COMPUTED_VALUE"""),"確定")</f>
        <v>確定</v>
      </c>
      <c r="C3507" s="28">
        <f>IFERROR(__xludf.DUMMYFUNCTION("""COMPUTED_VALUE"""),45828.0)</f>
        <v>45828</v>
      </c>
      <c r="D3507" s="28">
        <f>IFERROR(__xludf.DUMMYFUNCTION("""COMPUTED_VALUE"""),45828.0)</f>
        <v>45828</v>
      </c>
      <c r="E3507" s="26">
        <f>IFERROR(__xludf.DUMMYFUNCTION("""COMPUTED_VALUE"""),315699.0)</f>
        <v>315699</v>
      </c>
      <c r="F3507" s="22" t="str">
        <f>IFERROR(__xludf.DUMMYFUNCTION("""COMPUTED_VALUE"""),"冷徹幼馴染と秘密の結婚生活")</f>
        <v>冷徹幼馴染と秘密の結婚生活</v>
      </c>
      <c r="G3507" s="20" t="str">
        <f>IFERROR(__xludf.DUMMYFUNCTION("""COMPUTED_VALUE"""),"1～3")</f>
        <v>1～3</v>
      </c>
      <c r="H3507" s="22" t="str">
        <f>IFERROR(__xludf.DUMMYFUNCTION("""COMPUTED_VALUE"""),"優姫夢")</f>
        <v>優姫夢</v>
      </c>
      <c r="I3507" s="22" t="str">
        <f>IFERROR(__xludf.DUMMYFUNCTION("""COMPUTED_VALUE"""),"女性マンガ")</f>
        <v>女性マンガ</v>
      </c>
      <c r="J3507" s="22"/>
      <c r="K3507" s="22" t="str">
        <f>IFERROR(__xludf.DUMMYFUNCTION("""COMPUTED_VALUE"""),"トレモア・リアルラブ,トレモアcollection")</f>
        <v>トレモア・リアルラブ,トレモアcollection</v>
      </c>
      <c r="L3507" s="22" t="str">
        <f>IFERROR(__xludf.DUMMYFUNCTION("""COMPUTED_VALUE"""),"シーモアコミックス（トレモア）")</f>
        <v>シーモアコミックス（トレモア）</v>
      </c>
      <c r="M3507" s="33">
        <f>IFERROR(__xludf.DUMMYFUNCTION("""COMPUTED_VALUE"""),45877.0)</f>
        <v>45877</v>
      </c>
      <c r="N3507" s="33">
        <f>IFERROR(__xludf.DUMMYFUNCTION("""COMPUTED_VALUE"""),2958465.0)</f>
        <v>2958465</v>
      </c>
      <c r="O3507" s="20"/>
      <c r="P3507" s="32" t="str">
        <f>IFERROR(__xludf.DUMMYFUNCTION("""COMPUTED_VALUE"""),"可")</f>
        <v>可</v>
      </c>
      <c r="Q3507" s="30"/>
      <c r="R3507" s="22"/>
      <c r="S3507" s="22" t="str">
        <f>IFERROR(__xludf.DUMMYFUNCTION("""COMPUTED_VALUE"""),"20250620_シーモアコミックス_冷徹幼馴染と秘密の結婚生活")</f>
        <v>20250620_シーモアコミックス_冷徹幼馴染と秘密の結婚生活</v>
      </c>
      <c r="T3507" s="22" t="str">
        <f>IFERROR(__xludf.DUMMYFUNCTION("""COMPUTED_VALUE"""),"格納済み")</f>
        <v>格納済み</v>
      </c>
      <c r="U3507" s="9" t="str">
        <f>IFERROR(__xludf.DUMMYFUNCTION("""COMPUTED_VALUE"""),"Ⓒ 優姫夢/シーモアコミックス")</f>
        <v>Ⓒ 優姫夢/シーモアコミックス</v>
      </c>
      <c r="V3507" s="8"/>
      <c r="W3507" s="8"/>
      <c r="X3507" s="8" t="str">
        <f>IFERROR(__xludf.DUMMYFUNCTION("""COMPUTED_VALUE"""),"有")</f>
        <v>有</v>
      </c>
      <c r="Y3507" s="8" t="str">
        <f>IFERROR(__xludf.DUMMYFUNCTION("""COMPUTED_VALUE"""),"P19まで")</f>
        <v>P19まで</v>
      </c>
      <c r="Z3507" s="7"/>
      <c r="AA3507" s="7"/>
      <c r="AB3507" s="7"/>
    </row>
    <row r="3508" ht="15.75" customHeight="1">
      <c r="A3508" s="26">
        <f>IFERROR(__xludf.DUMMYFUNCTION("""COMPUTED_VALUE"""),5884.0)</f>
        <v>5884</v>
      </c>
      <c r="B3508" s="22" t="str">
        <f>IFERROR(__xludf.DUMMYFUNCTION("""COMPUTED_VALUE"""),"確定")</f>
        <v>確定</v>
      </c>
      <c r="C3508" s="28">
        <f>IFERROR(__xludf.DUMMYFUNCTION("""COMPUTED_VALUE"""),45828.0)</f>
        <v>45828</v>
      </c>
      <c r="D3508" s="28">
        <f>IFERROR(__xludf.DUMMYFUNCTION("""COMPUTED_VALUE"""),45828.0)</f>
        <v>45828</v>
      </c>
      <c r="E3508" s="26">
        <f>IFERROR(__xludf.DUMMYFUNCTION("""COMPUTED_VALUE"""),313419.0)</f>
        <v>313419</v>
      </c>
      <c r="F3508" s="22" t="str">
        <f>IFERROR(__xludf.DUMMYFUNCTION("""COMPUTED_VALUE"""),"断罪回避に失敗した悪役令嬢ですが、ワケあり公爵に溺愛されています！")</f>
        <v>断罪回避に失敗した悪役令嬢ですが、ワケあり公爵に溺愛されています！</v>
      </c>
      <c r="G3508" s="20" t="str">
        <f>IFERROR(__xludf.DUMMYFUNCTION("""COMPUTED_VALUE"""),"1～3")</f>
        <v>1～3</v>
      </c>
      <c r="H3508" s="22" t="str">
        <f>IFERROR(__xludf.DUMMYFUNCTION("""COMPUTED_VALUE"""),"謝花ゆき,猫柴")</f>
        <v>謝花ゆき,猫柴</v>
      </c>
      <c r="I3508" s="22" t="str">
        <f>IFERROR(__xludf.DUMMYFUNCTION("""COMPUTED_VALUE"""),"少女マンガ")</f>
        <v>少女マンガ</v>
      </c>
      <c r="J3508" s="22"/>
      <c r="K3508" s="22" t="str">
        <f>IFERROR(__xludf.DUMMYFUNCTION("""COMPUTED_VALUE"""),"トレモア・ロマンス,トレモアcollection")</f>
        <v>トレモア・ロマンス,トレモアcollection</v>
      </c>
      <c r="L3508" s="22" t="str">
        <f>IFERROR(__xludf.DUMMYFUNCTION("""COMPUTED_VALUE"""),"シーモアコミックス（トレモア）")</f>
        <v>シーモアコミックス（トレモア）</v>
      </c>
      <c r="M3508" s="33">
        <f>IFERROR(__xludf.DUMMYFUNCTION("""COMPUTED_VALUE"""),45870.0)</f>
        <v>45870</v>
      </c>
      <c r="N3508" s="33">
        <f>IFERROR(__xludf.DUMMYFUNCTION("""COMPUTED_VALUE"""),2958465.0)</f>
        <v>2958465</v>
      </c>
      <c r="O3508" s="20"/>
      <c r="P3508" s="32" t="str">
        <f>IFERROR(__xludf.DUMMYFUNCTION("""COMPUTED_VALUE"""),"可")</f>
        <v>可</v>
      </c>
      <c r="Q3508" s="30"/>
      <c r="R3508" s="22"/>
      <c r="S3508" s="22" t="str">
        <f>IFERROR(__xludf.DUMMYFUNCTION("""COMPUTED_VALUE"""),"20250620_シーモアコミックス_断罪回避に失敗した悪役令嬢ですが、ワケあり公爵に溺愛されています！")</f>
        <v>20250620_シーモアコミックス_断罪回避に失敗した悪役令嬢ですが、ワケあり公爵に溺愛されています！</v>
      </c>
      <c r="T3508" s="22" t="str">
        <f>IFERROR(__xludf.DUMMYFUNCTION("""COMPUTED_VALUE"""),"格納済み")</f>
        <v>格納済み</v>
      </c>
      <c r="U3508" s="9" t="str">
        <f>IFERROR(__xludf.DUMMYFUNCTION("""COMPUTED_VALUE"""),"Ⓒ 謝花ゆき/猫柴/シーモアコミックス")</f>
        <v>Ⓒ 謝花ゆき/猫柴/シーモアコミックス</v>
      </c>
      <c r="V3508" s="8"/>
      <c r="W3508" s="8"/>
      <c r="X3508" s="8" t="str">
        <f>IFERROR(__xludf.DUMMYFUNCTION("""COMPUTED_VALUE"""),"有")</f>
        <v>有</v>
      </c>
      <c r="Y3508" s="8" t="str">
        <f>IFERROR(__xludf.DUMMYFUNCTION("""COMPUTED_VALUE"""),"P8まで")</f>
        <v>P8まで</v>
      </c>
      <c r="Z3508" s="7"/>
      <c r="AA3508" s="7"/>
      <c r="AB3508" s="7"/>
    </row>
    <row r="3509" ht="15.75" customHeight="1">
      <c r="A3509" s="26">
        <f>IFERROR(__xludf.DUMMYFUNCTION("""COMPUTED_VALUE"""),5885.0)</f>
        <v>5885</v>
      </c>
      <c r="B3509" s="22" t="str">
        <f>IFERROR(__xludf.DUMMYFUNCTION("""COMPUTED_VALUE"""),"確定")</f>
        <v>確定</v>
      </c>
      <c r="C3509" s="28">
        <f>IFERROR(__xludf.DUMMYFUNCTION("""COMPUTED_VALUE"""),45828.0)</f>
        <v>45828</v>
      </c>
      <c r="D3509" s="28">
        <f>IFERROR(__xludf.DUMMYFUNCTION("""COMPUTED_VALUE"""),45828.0)</f>
        <v>45828</v>
      </c>
      <c r="E3509" s="26">
        <f>IFERROR(__xludf.DUMMYFUNCTION("""COMPUTED_VALUE"""),315698.0)</f>
        <v>315698</v>
      </c>
      <c r="F3509" s="22" t="str">
        <f>IFERROR(__xludf.DUMMYFUNCTION("""COMPUTED_VALUE"""),"大正政略恋物語")</f>
        <v>大正政略恋物語</v>
      </c>
      <c r="G3509" s="20" t="str">
        <f>IFERROR(__xludf.DUMMYFUNCTION("""COMPUTED_VALUE"""),"1～3")</f>
        <v>1～3</v>
      </c>
      <c r="H3509" s="22" t="str">
        <f>IFERROR(__xludf.DUMMYFUNCTION("""COMPUTED_VALUE"""),"天月みご,遠野まさみ（エブリスタ）")</f>
        <v>天月みご,遠野まさみ（エブリスタ）</v>
      </c>
      <c r="I3509" s="22" t="str">
        <f>IFERROR(__xludf.DUMMYFUNCTION("""COMPUTED_VALUE"""),"少女マンガ")</f>
        <v>少女マンガ</v>
      </c>
      <c r="J3509" s="22"/>
      <c r="K3509" s="22" t="str">
        <f>IFERROR(__xludf.DUMMYFUNCTION("""COMPUTED_VALUE"""),"トレモア・ロマンス,トレモアcollection")</f>
        <v>トレモア・ロマンス,トレモアcollection</v>
      </c>
      <c r="L3509" s="22" t="str">
        <f>IFERROR(__xludf.DUMMYFUNCTION("""COMPUTED_VALUE"""),"シーモアコミックス（トレモア）")</f>
        <v>シーモアコミックス（トレモア）</v>
      </c>
      <c r="M3509" s="33">
        <f>IFERROR(__xludf.DUMMYFUNCTION("""COMPUTED_VALUE"""),45870.0)</f>
        <v>45870</v>
      </c>
      <c r="N3509" s="33">
        <f>IFERROR(__xludf.DUMMYFUNCTION("""COMPUTED_VALUE"""),2958465.0)</f>
        <v>2958465</v>
      </c>
      <c r="O3509" s="20"/>
      <c r="P3509" s="32" t="str">
        <f>IFERROR(__xludf.DUMMYFUNCTION("""COMPUTED_VALUE"""),"可")</f>
        <v>可</v>
      </c>
      <c r="Q3509" s="30" t="str">
        <f>IFERROR(__xludf.DUMMYFUNCTION("""COMPUTED_VALUE"""),"CP名について、2CPあり上記登録では出てこないため正しいCP名下記に記載させていただきます。&lt;BR&gt;---------------------&lt;BR&gt;パーソルメディアスイッチ（天月みご）（8.00）（モアコミトレモア編プロ）,エブリスタ（遠野まさみ）（5.00）（モアコミトレモア編プロ）&lt;BR&gt;---------------------")</f>
        <v>CP名について、2CPあり上記登録では出てこないため正しいCP名下記に記載させていただきます。&lt;BR&gt;---------------------&lt;BR&gt;パーソルメディアスイッチ（天月みご）（8.00）（モアコミトレモア編プロ）,エブリスタ（遠野まさみ）（5.00）（モアコミトレモア編プロ）&lt;BR&gt;---------------------</v>
      </c>
      <c r="R3509" s="22"/>
      <c r="S3509" s="22" t="str">
        <f>IFERROR(__xludf.DUMMYFUNCTION("""COMPUTED_VALUE"""),"20250620_シーモアコミックス_大正政略恋物語")</f>
        <v>20250620_シーモアコミックス_大正政略恋物語</v>
      </c>
      <c r="T3509" s="22" t="str">
        <f>IFERROR(__xludf.DUMMYFUNCTION("""COMPUTED_VALUE"""),"格納済み")</f>
        <v>格納済み</v>
      </c>
      <c r="U3509" s="9" t="str">
        <f>IFERROR(__xludf.DUMMYFUNCTION("""COMPUTED_VALUE"""),"Ⓒ 天月みご/遠野まさみ（エブリスタ）/シーモアコミックス")</f>
        <v>Ⓒ 天月みご/遠野まさみ（エブリスタ）/シーモアコミックス</v>
      </c>
      <c r="V3509" s="8"/>
      <c r="W3509" s="8"/>
      <c r="X3509" s="8" t="str">
        <f>IFERROR(__xludf.DUMMYFUNCTION("""COMPUTED_VALUE"""),"有")</f>
        <v>有</v>
      </c>
      <c r="Y3509" s="8" t="str">
        <f>IFERROR(__xludf.DUMMYFUNCTION("""COMPUTED_VALUE"""),"P14まで")</f>
        <v>P14まで</v>
      </c>
      <c r="Z3509" s="7"/>
      <c r="AA3509" s="7"/>
      <c r="AB3509" s="7"/>
    </row>
    <row r="3510" ht="15.75" customHeight="1">
      <c r="A3510" s="26">
        <f>IFERROR(__xludf.DUMMYFUNCTION("""COMPUTED_VALUE"""),5886.0)</f>
        <v>5886</v>
      </c>
      <c r="B3510" s="22" t="str">
        <f>IFERROR(__xludf.DUMMYFUNCTION("""COMPUTED_VALUE"""),"確定")</f>
        <v>確定</v>
      </c>
      <c r="C3510" s="28">
        <f>IFERROR(__xludf.DUMMYFUNCTION("""COMPUTED_VALUE"""),45828.0)</f>
        <v>45828</v>
      </c>
      <c r="D3510" s="28">
        <f>IFERROR(__xludf.DUMMYFUNCTION("""COMPUTED_VALUE"""),45833.0)</f>
        <v>45833</v>
      </c>
      <c r="E3510" s="26">
        <f>IFERROR(__xludf.DUMMYFUNCTION("""COMPUTED_VALUE"""),322269.0)</f>
        <v>322269</v>
      </c>
      <c r="F3510" s="22" t="str">
        <f>IFERROR(__xludf.DUMMYFUNCTION("""COMPUTED_VALUE"""),"死神姫の白い結婚")</f>
        <v>死神姫の白い結婚</v>
      </c>
      <c r="G3510" s="20" t="str">
        <f>IFERROR(__xludf.DUMMYFUNCTION("""COMPUTED_VALUE"""),"1～3")</f>
        <v>1～3</v>
      </c>
      <c r="H3510" s="22" t="str">
        <f>IFERROR(__xludf.DUMMYFUNCTION("""COMPUTED_VALUE"""),"あさいじょう,忍丸,姐川")</f>
        <v>あさいじょう,忍丸,姐川</v>
      </c>
      <c r="I3510" s="22" t="str">
        <f>IFERROR(__xludf.DUMMYFUNCTION("""COMPUTED_VALUE"""),"少女マンガ")</f>
        <v>少女マンガ</v>
      </c>
      <c r="J3510" s="22"/>
      <c r="K3510" s="22" t="str">
        <f>IFERROR(__xludf.DUMMYFUNCTION("""COMPUTED_VALUE"""),"トレモア・ロマンス,トレモアcollection")</f>
        <v>トレモア・ロマンス,トレモアcollection</v>
      </c>
      <c r="L3510" s="22" t="str">
        <f>IFERROR(__xludf.DUMMYFUNCTION("""COMPUTED_VALUE"""),"シーモアコミックス（トレモア）")</f>
        <v>シーモアコミックス（トレモア）</v>
      </c>
      <c r="M3510" s="33">
        <f>IFERROR(__xludf.DUMMYFUNCTION("""COMPUTED_VALUE"""),45870.0)</f>
        <v>45870</v>
      </c>
      <c r="N3510" s="33">
        <f>IFERROR(__xludf.DUMMYFUNCTION("""COMPUTED_VALUE"""),2958465.0)</f>
        <v>2958465</v>
      </c>
      <c r="O3510" s="20"/>
      <c r="P3510" s="32" t="str">
        <f>IFERROR(__xludf.DUMMYFUNCTION("""COMPUTED_VALUE"""),"可")</f>
        <v>可</v>
      </c>
      <c r="Q3510" s="30"/>
      <c r="R3510" s="22"/>
      <c r="S3510" s="22" t="str">
        <f>IFERROR(__xludf.DUMMYFUNCTION("""COMPUTED_VALUE"""),"20250620_シーモアコミックス_死神姫の白い結婚")</f>
        <v>20250620_シーモアコミックス_死神姫の白い結婚</v>
      </c>
      <c r="T3510" s="22" t="str">
        <f>IFERROR(__xludf.DUMMYFUNCTION("""COMPUTED_VALUE"""),"格納済み")</f>
        <v>格納済み</v>
      </c>
      <c r="U3510" s="9" t="str">
        <f>IFERROR(__xludf.DUMMYFUNCTION("""COMPUTED_VALUE"""),"Ⓒ あさいじょう/忍丸/シーモアコミックス")</f>
        <v>Ⓒ あさいじょう/忍丸/シーモアコミックス</v>
      </c>
      <c r="V3510" s="8"/>
      <c r="W3510" s="8"/>
      <c r="X3510" s="8" t="str">
        <f>IFERROR(__xludf.DUMMYFUNCTION("""COMPUTED_VALUE"""),"有")</f>
        <v>有</v>
      </c>
      <c r="Y3510" s="8" t="str">
        <f>IFERROR(__xludf.DUMMYFUNCTION("""COMPUTED_VALUE"""),"P19まで")</f>
        <v>P19まで</v>
      </c>
      <c r="Z3510" s="7"/>
      <c r="AA3510" s="7"/>
      <c r="AB3510" s="7"/>
    </row>
    <row r="3511" ht="15.75" customHeight="1">
      <c r="A3511" s="26">
        <f>IFERROR(__xludf.DUMMYFUNCTION("""COMPUTED_VALUE"""),5893.0)</f>
        <v>5893</v>
      </c>
      <c r="B3511" s="22" t="str">
        <f>IFERROR(__xludf.DUMMYFUNCTION("""COMPUTED_VALUE"""),"確定")</f>
        <v>確定</v>
      </c>
      <c r="C3511" s="28">
        <f>IFERROR(__xludf.DUMMYFUNCTION("""COMPUTED_VALUE"""),45828.0)</f>
        <v>45828</v>
      </c>
      <c r="D3511" s="28">
        <f>IFERROR(__xludf.DUMMYFUNCTION("""COMPUTED_VALUE"""),45831.0)</f>
        <v>45831</v>
      </c>
      <c r="E3511" s="26">
        <f>IFERROR(__xludf.DUMMYFUNCTION("""COMPUTED_VALUE"""),332081.0)</f>
        <v>332081</v>
      </c>
      <c r="F3511" s="22" t="str">
        <f>IFERROR(__xludf.DUMMYFUNCTION("""COMPUTED_VALUE"""),"月島さん家の日常")</f>
        <v>月島さん家の日常</v>
      </c>
      <c r="G3511" s="20" t="str">
        <f>IFERROR(__xludf.DUMMYFUNCTION("""COMPUTED_VALUE"""),"1～2")</f>
        <v>1～2</v>
      </c>
      <c r="H3511" s="22" t="str">
        <f>IFERROR(__xludf.DUMMYFUNCTION("""COMPUTED_VALUE"""),"ぽきの家")</f>
        <v>ぽきの家</v>
      </c>
      <c r="I3511" s="22" t="str">
        <f>IFERROR(__xludf.DUMMYFUNCTION("""COMPUTED_VALUE"""),"アダルト")</f>
        <v>アダルト</v>
      </c>
      <c r="J3511" s="22"/>
      <c r="K3511" s="22"/>
      <c r="L3511" s="22" t="str">
        <f>IFERROR(__xludf.DUMMYFUNCTION("""COMPUTED_VALUE"""),"ナイトコミック")</f>
        <v>ナイトコミック</v>
      </c>
      <c r="M3511" s="33">
        <f>IFERROR(__xludf.DUMMYFUNCTION("""COMPUTED_VALUE"""),45891.0)</f>
        <v>45891</v>
      </c>
      <c r="N3511" s="33">
        <f>IFERROR(__xludf.DUMMYFUNCTION("""COMPUTED_VALUE"""),45953.0)</f>
        <v>45953</v>
      </c>
      <c r="O3511" s="20"/>
      <c r="P3511" s="32" t="str">
        <f>IFERROR(__xludf.DUMMYFUNCTION("""COMPUTED_VALUE"""),"可")</f>
        <v>可</v>
      </c>
      <c r="Q3511" s="30" t="str">
        <f>IFERROR(__xludf.DUMMYFUNCTION("""COMPUTED_VALUE"""),"3話分のデータを入れてますが、初回配信話数は1-2話です。&lt;BR&gt;初回配信時予定施策&lt;BR&gt;月島さん家の日常(1)：18Pまで試読増量　&lt;BR&gt;月島さん家の日常(2)：8Pまで試読増量")</f>
        <v>3話分のデータを入れてますが、初回配信話数は1-2話です。&lt;BR&gt;初回配信時予定施策&lt;BR&gt;月島さん家の日常(1)：18Pまで試読増量　&lt;BR&gt;月島さん家の日常(2)：8Pまで試読増量</v>
      </c>
      <c r="R3511" s="22"/>
      <c r="S3511" s="22" t="str">
        <f>IFERROR(__xludf.DUMMYFUNCTION("""COMPUTED_VALUE"""),"20250620_ナイトコミック_月島さん家の日常")</f>
        <v>20250620_ナイトコミック_月島さん家の日常</v>
      </c>
      <c r="T3511" s="22" t="str">
        <f>IFERROR(__xludf.DUMMYFUNCTION("""COMPUTED_VALUE"""),"格納済み")</f>
        <v>格納済み</v>
      </c>
      <c r="U3511" s="9" t="str">
        <f>IFERROR(__xludf.DUMMYFUNCTION("""COMPUTED_VALUE"""),"Ⓒぽきの家")</f>
        <v>Ⓒぽきの家</v>
      </c>
      <c r="V3511" s="8"/>
      <c r="W3511" s="8"/>
      <c r="X3511" s="8" t="str">
        <f>IFERROR(__xludf.DUMMYFUNCTION("""COMPUTED_VALUE"""),"有")</f>
        <v>有</v>
      </c>
      <c r="Y3511" s="8" t="str">
        <f>IFERROR(__xludf.DUMMYFUNCTION("""COMPUTED_VALUE"""),"P13まで")</f>
        <v>P13まで</v>
      </c>
      <c r="Z3511" s="7"/>
      <c r="AA3511" s="7"/>
      <c r="AB3511" s="7"/>
    </row>
    <row r="3512" ht="15.75" customHeight="1">
      <c r="A3512" s="26">
        <f>IFERROR(__xludf.DUMMYFUNCTION("""COMPUTED_VALUE"""),5894.0)</f>
        <v>5894</v>
      </c>
      <c r="B3512" s="22" t="str">
        <f>IFERROR(__xludf.DUMMYFUNCTION("""COMPUTED_VALUE"""),"確定")</f>
        <v>確定</v>
      </c>
      <c r="C3512" s="28">
        <f>IFERROR(__xludf.DUMMYFUNCTION("""COMPUTED_VALUE"""),45828.0)</f>
        <v>45828</v>
      </c>
      <c r="D3512" s="28">
        <f>IFERROR(__xludf.DUMMYFUNCTION("""COMPUTED_VALUE"""),45831.0)</f>
        <v>45831</v>
      </c>
      <c r="E3512" s="26">
        <f>IFERROR(__xludf.DUMMYFUNCTION("""COMPUTED_VALUE"""),332913.0)</f>
        <v>332913</v>
      </c>
      <c r="F3512" s="22" t="str">
        <f>IFERROR(__xludf.DUMMYFUNCTION("""COMPUTED_VALUE"""),"お義父さんが骨折したので嫁の私が介護します！")</f>
        <v>お義父さんが骨折したので嫁の私が介護します！</v>
      </c>
      <c r="G3512" s="20" t="str">
        <f>IFERROR(__xludf.DUMMYFUNCTION("""COMPUTED_VALUE"""),"1～2")</f>
        <v>1～2</v>
      </c>
      <c r="H3512" s="22" t="str">
        <f>IFERROR(__xludf.DUMMYFUNCTION("""COMPUTED_VALUE"""),"ほよよ")</f>
        <v>ほよよ</v>
      </c>
      <c r="I3512" s="22" t="str">
        <f>IFERROR(__xludf.DUMMYFUNCTION("""COMPUTED_VALUE"""),"アダルト")</f>
        <v>アダルト</v>
      </c>
      <c r="J3512" s="22"/>
      <c r="K3512" s="22"/>
      <c r="L3512" s="22" t="str">
        <f>IFERROR(__xludf.DUMMYFUNCTION("""COMPUTED_VALUE"""),"ナイトコミック")</f>
        <v>ナイトコミック</v>
      </c>
      <c r="M3512" s="33">
        <f>IFERROR(__xludf.DUMMYFUNCTION("""COMPUTED_VALUE"""),45898.0)</f>
        <v>45898</v>
      </c>
      <c r="N3512" s="33">
        <f>IFERROR(__xludf.DUMMYFUNCTION("""COMPUTED_VALUE"""),45960.0)</f>
        <v>45960</v>
      </c>
      <c r="O3512" s="20"/>
      <c r="P3512" s="32" t="str">
        <f>IFERROR(__xludf.DUMMYFUNCTION("""COMPUTED_VALUE"""),"可")</f>
        <v>可</v>
      </c>
      <c r="Q3512" s="30" t="str">
        <f>IFERROR(__xludf.DUMMYFUNCTION("""COMPUTED_VALUE"""),"初回配信時のキャンペーンです。&lt;BR&gt;1巻⇒18Pまで試読増量&lt;BR&gt;2巻⇒8Pまで試読増量")</f>
        <v>初回配信時のキャンペーンです。&lt;BR&gt;1巻⇒18Pまで試読増量&lt;BR&gt;2巻⇒8Pまで試読増量</v>
      </c>
      <c r="R3512" s="22"/>
      <c r="S3512" s="22" t="str">
        <f>IFERROR(__xludf.DUMMYFUNCTION("""COMPUTED_VALUE"""),"20250620_ナイトコミック_お義父さんが骨折したので嫁の私が介護します！")</f>
        <v>20250620_ナイトコミック_お義父さんが骨折したので嫁の私が介護します！</v>
      </c>
      <c r="T3512" s="22" t="str">
        <f>IFERROR(__xludf.DUMMYFUNCTION("""COMPUTED_VALUE"""),"格納済み")</f>
        <v>格納済み</v>
      </c>
      <c r="U3512" s="9" t="str">
        <f>IFERROR(__xludf.DUMMYFUNCTION("""COMPUTED_VALUE"""),"Ⓒほよよ")</f>
        <v>Ⓒほよよ</v>
      </c>
      <c r="V3512" s="8"/>
      <c r="W3512" s="8"/>
      <c r="X3512" s="8" t="str">
        <f>IFERROR(__xludf.DUMMYFUNCTION("""COMPUTED_VALUE"""),"有")</f>
        <v>有</v>
      </c>
      <c r="Y3512" s="8" t="str">
        <f>IFERROR(__xludf.DUMMYFUNCTION("""COMPUTED_VALUE"""),"2025/10/30まで1巻立ち読み増量
1巻：P18
2巻：P8")</f>
        <v>2025/10/30まで1巻立ち読み増量
1巻：P18
2巻：P8</v>
      </c>
      <c r="Z3512" s="7"/>
      <c r="AA3512" s="7"/>
      <c r="AB3512" s="7"/>
    </row>
    <row r="3513" ht="15.75" customHeight="1">
      <c r="A3513" s="26">
        <f>IFERROR(__xludf.DUMMYFUNCTION("""COMPUTED_VALUE"""),5895.0)</f>
        <v>5895</v>
      </c>
      <c r="B3513" s="22" t="str">
        <f>IFERROR(__xludf.DUMMYFUNCTION("""COMPUTED_VALUE"""),"確定")</f>
        <v>確定</v>
      </c>
      <c r="C3513" s="28">
        <f>IFERROR(__xludf.DUMMYFUNCTION("""COMPUTED_VALUE"""),45828.0)</f>
        <v>45828</v>
      </c>
      <c r="D3513" s="28">
        <f>IFERROR(__xludf.DUMMYFUNCTION("""COMPUTED_VALUE"""),45831.0)</f>
        <v>45831</v>
      </c>
      <c r="E3513" s="26">
        <f>IFERROR(__xludf.DUMMYFUNCTION("""COMPUTED_VALUE"""),330962.0)</f>
        <v>330962</v>
      </c>
      <c r="F3513" s="22" t="str">
        <f>IFERROR(__xludf.DUMMYFUNCTION("""COMPUTED_VALUE"""),"もっとやらしくしてもいい？優しい幼馴染の溺愛は執着に変わる。")</f>
        <v>もっとやらしくしてもいい？優しい幼馴染の溺愛は執着に変わる。</v>
      </c>
      <c r="G3513" s="20" t="str">
        <f>IFERROR(__xludf.DUMMYFUNCTION("""COMPUTED_VALUE"""),"1～2")</f>
        <v>1～2</v>
      </c>
      <c r="H3513" s="22" t="str">
        <f>IFERROR(__xludf.DUMMYFUNCTION("""COMPUTED_VALUE"""),"雀こうじ")</f>
        <v>雀こうじ</v>
      </c>
      <c r="I3513" s="22" t="str">
        <f>IFERROR(__xludf.DUMMYFUNCTION("""COMPUTED_VALUE"""),"TL")</f>
        <v>TL</v>
      </c>
      <c r="J3513" s="22"/>
      <c r="K3513" s="22"/>
      <c r="L3513" s="22" t="str">
        <f>IFERROR(__xludf.DUMMYFUNCTION("""COMPUTED_VALUE"""),"ナイトコミック")</f>
        <v>ナイトコミック</v>
      </c>
      <c r="M3513" s="33">
        <f>IFERROR(__xludf.DUMMYFUNCTION("""COMPUTED_VALUE"""),45877.0)</f>
        <v>45877</v>
      </c>
      <c r="N3513" s="33">
        <f>IFERROR(__xludf.DUMMYFUNCTION("""COMPUTED_VALUE"""),45939.0)</f>
        <v>45939</v>
      </c>
      <c r="O3513" s="20"/>
      <c r="P3513" s="32" t="str">
        <f>IFERROR(__xludf.DUMMYFUNCTION("""COMPUTED_VALUE"""),"可")</f>
        <v>可</v>
      </c>
      <c r="Q3513" s="30" t="str">
        <f>IFERROR(__xludf.DUMMYFUNCTION("""COMPUTED_VALUE"""),"先行獲得できました。&lt;BR&gt;可能な範囲で出稿お願い致します。")</f>
        <v>先行獲得できました。&lt;BR&gt;可能な範囲で出稿お願い致します。</v>
      </c>
      <c r="R3513" s="22"/>
      <c r="S3513" s="22" t="str">
        <f>IFERROR(__xludf.DUMMYFUNCTION("""COMPUTED_VALUE"""),"20250620_ナイトコミック_もっとやらしくしてもいい？優しい幼馴染の溺愛は執着に変わる。")</f>
        <v>20250620_ナイトコミック_もっとやらしくしてもいい？優しい幼馴染の溺愛は執着に変わる。</v>
      </c>
      <c r="T3513" s="22" t="str">
        <f>IFERROR(__xludf.DUMMYFUNCTION("""COMPUTED_VALUE"""),"格納済み")</f>
        <v>格納済み</v>
      </c>
      <c r="U3513" s="9" t="str">
        <f>IFERROR(__xludf.DUMMYFUNCTION("""COMPUTED_VALUE"""),"Ⓒ雀こうじ")</f>
        <v>Ⓒ雀こうじ</v>
      </c>
      <c r="V3513" s="8"/>
      <c r="W3513" s="8"/>
      <c r="X3513" s="8" t="str">
        <f>IFERROR(__xludf.DUMMYFUNCTION("""COMPUTED_VALUE"""),"有")</f>
        <v>有</v>
      </c>
      <c r="Y3513" s="8" t="str">
        <f>IFERROR(__xludf.DUMMYFUNCTION("""COMPUTED_VALUE"""),"P12まで")</f>
        <v>P12まで</v>
      </c>
      <c r="Z3513" s="7"/>
      <c r="AA3513" s="7"/>
      <c r="AB3513" s="7"/>
    </row>
    <row r="3514" ht="15.75" customHeight="1">
      <c r="A3514" s="26">
        <f>IFERROR(__xludf.DUMMYFUNCTION("""COMPUTED_VALUE"""),5896.0)</f>
        <v>5896</v>
      </c>
      <c r="B3514" s="22" t="str">
        <f>IFERROR(__xludf.DUMMYFUNCTION("""COMPUTED_VALUE"""),"確定")</f>
        <v>確定</v>
      </c>
      <c r="C3514" s="28">
        <f>IFERROR(__xludf.DUMMYFUNCTION("""COMPUTED_VALUE"""),45831.0)</f>
        <v>45831</v>
      </c>
      <c r="D3514" s="28">
        <f>IFERROR(__xludf.DUMMYFUNCTION("""COMPUTED_VALUE"""),45831.0)</f>
        <v>45831</v>
      </c>
      <c r="E3514" s="26">
        <f>IFERROR(__xludf.DUMMYFUNCTION("""COMPUTED_VALUE"""),328091.0)</f>
        <v>328091</v>
      </c>
      <c r="F3514" s="22" t="str">
        <f>IFERROR(__xludf.DUMMYFUNCTION("""COMPUTED_VALUE"""),"愛し恋しき夏の花【分冊版】")</f>
        <v>愛し恋しき夏の花【分冊版】</v>
      </c>
      <c r="G3514" s="20" t="str">
        <f>IFERROR(__xludf.DUMMYFUNCTION("""COMPUTED_VALUE"""),"1～2")</f>
        <v>1～2</v>
      </c>
      <c r="H3514" s="22" t="str">
        <f>IFERROR(__xludf.DUMMYFUNCTION("""COMPUTED_VALUE"""),"比谷")</f>
        <v>比谷</v>
      </c>
      <c r="I3514" s="22" t="str">
        <f>IFERROR(__xludf.DUMMYFUNCTION("""COMPUTED_VALUE"""),"BL")</f>
        <v>BL</v>
      </c>
      <c r="J3514" s="22"/>
      <c r="K3514" s="22" t="str">
        <f>IFERROR(__xludf.DUMMYFUNCTION("""COMPUTED_VALUE"""),"equal")</f>
        <v>equal</v>
      </c>
      <c r="L3514" s="22" t="str">
        <f>IFERROR(__xludf.DUMMYFUNCTION("""COMPUTED_VALUE"""),"笠倉出版社")</f>
        <v>笠倉出版社</v>
      </c>
      <c r="M3514" s="33">
        <f>IFERROR(__xludf.DUMMYFUNCTION("""COMPUTED_VALUE"""),45849.0)</f>
        <v>45849</v>
      </c>
      <c r="N3514" s="33">
        <f>IFERROR(__xludf.DUMMYFUNCTION("""COMPUTED_VALUE"""),45876.0)</f>
        <v>45876</v>
      </c>
      <c r="O3514" s="20"/>
      <c r="P3514" s="32" t="str">
        <f>IFERROR(__xludf.DUMMYFUNCTION("""COMPUTED_VALUE"""),"可")</f>
        <v>可</v>
      </c>
      <c r="Q3514" s="30" t="str">
        <f>IFERROR(__xludf.DUMMYFUNCTION("""COMPUTED_VALUE"""),"隔月配信　5-6話完結")</f>
        <v>隔月配信　5-6話完結</v>
      </c>
      <c r="R3514" s="22"/>
      <c r="S3514" s="22" t="str">
        <f>IFERROR(__xludf.DUMMYFUNCTION("""COMPUTED_VALUE"""),"20250623_笠倉出版社_愛し恋しき夏の花【分冊版】")</f>
        <v>20250623_笠倉出版社_愛し恋しき夏の花【分冊版】</v>
      </c>
      <c r="T3514" s="22" t="str">
        <f>IFERROR(__xludf.DUMMYFUNCTION("""COMPUTED_VALUE"""),"格納済み")</f>
        <v>格納済み</v>
      </c>
      <c r="U3514" s="9" t="str">
        <f>IFERROR(__xludf.DUMMYFUNCTION("""COMPUTED_VALUE"""),"Ⓒ比谷/笠倉出版社")</f>
        <v>Ⓒ比谷/笠倉出版社</v>
      </c>
      <c r="V3514" s="8"/>
      <c r="W3514" s="8"/>
      <c r="X3514" s="8" t="str">
        <f>IFERROR(__xludf.DUMMYFUNCTION("""COMPUTED_VALUE"""),"有")</f>
        <v>有</v>
      </c>
      <c r="Y3514" s="8" t="str">
        <f>IFERROR(__xludf.DUMMYFUNCTION("""COMPUTED_VALUE"""),"P6まで")</f>
        <v>P6まで</v>
      </c>
      <c r="Z3514" s="7"/>
      <c r="AA3514" s="7"/>
      <c r="AB3514" s="7"/>
    </row>
    <row r="3515" ht="15.75" customHeight="1">
      <c r="A3515" s="26">
        <f>IFERROR(__xludf.DUMMYFUNCTION("""COMPUTED_VALUE"""),5897.0)</f>
        <v>5897</v>
      </c>
      <c r="B3515" s="22" t="str">
        <f>IFERROR(__xludf.DUMMYFUNCTION("""COMPUTED_VALUE"""),"確定")</f>
        <v>確定</v>
      </c>
      <c r="C3515" s="28">
        <f>IFERROR(__xludf.DUMMYFUNCTION("""COMPUTED_VALUE"""),45831.0)</f>
        <v>45831</v>
      </c>
      <c r="D3515" s="28">
        <f>IFERROR(__xludf.DUMMYFUNCTION("""COMPUTED_VALUE"""),45831.0)</f>
        <v>45831</v>
      </c>
      <c r="E3515" s="26">
        <f>IFERROR(__xludf.DUMMYFUNCTION("""COMPUTED_VALUE"""),327991.0)</f>
        <v>327991</v>
      </c>
      <c r="F3515" s="22" t="str">
        <f>IFERROR(__xludf.DUMMYFUNCTION("""COMPUTED_VALUE"""),"裏切りの魔女は帝国で微笑む")</f>
        <v>裏切りの魔女は帝国で微笑む</v>
      </c>
      <c r="G3515" s="20">
        <f>IFERROR(__xludf.DUMMYFUNCTION("""COMPUTED_VALUE"""),1.0)</f>
        <v>1</v>
      </c>
      <c r="H3515" s="22" t="str">
        <f>IFERROR(__xludf.DUMMYFUNCTION("""COMPUTED_VALUE"""),"おちゃ芥⊥宮之みやこ")</f>
        <v>おちゃ芥⊥宮之みやこ</v>
      </c>
      <c r="I3515" s="22" t="str">
        <f>IFERROR(__xludf.DUMMYFUNCTION("""COMPUTED_VALUE"""),"少女")</f>
        <v>少女</v>
      </c>
      <c r="J3515" s="22"/>
      <c r="K3515" s="22" t="str">
        <f>IFERROR(__xludf.DUMMYFUNCTION("""COMPUTED_VALUE"""),"Niμ")</f>
        <v>Niμ</v>
      </c>
      <c r="L3515" s="22" t="str">
        <f>IFERROR(__xludf.DUMMYFUNCTION("""COMPUTED_VALUE"""),"笠倉出版社")</f>
        <v>笠倉出版社</v>
      </c>
      <c r="M3515" s="33">
        <f>IFERROR(__xludf.DUMMYFUNCTION("""COMPUTED_VALUE"""),45848.0)</f>
        <v>45848</v>
      </c>
      <c r="N3515" s="33">
        <f>IFERROR(__xludf.DUMMYFUNCTION("""COMPUTED_VALUE"""),45878.0)</f>
        <v>45878</v>
      </c>
      <c r="O3515" s="20"/>
      <c r="P3515" s="32" t="str">
        <f>IFERROR(__xludf.DUMMYFUNCTION("""COMPUTED_VALUE"""),"可")</f>
        <v>可</v>
      </c>
      <c r="Q3515" s="30" t="str">
        <f>IFERROR(__xludf.DUMMYFUNCTION("""COMPUTED_VALUE"""),"単話　「悪役令嬢のはずなのに溺愛ルートが加速中！？どういうことですの？アンソロジーコミック 2巻」収録作品")</f>
        <v>単話　「悪役令嬢のはずなのに溺愛ルートが加速中！？どういうことですの？アンソロジーコミック 2巻」収録作品</v>
      </c>
      <c r="R3515" s="22"/>
      <c r="S3515" s="22" t="str">
        <f>IFERROR(__xludf.DUMMYFUNCTION("""COMPUTED_VALUE"""),"20250623_笠倉出版社_裏切りの魔女は帝国で微笑む")</f>
        <v>20250623_笠倉出版社_裏切りの魔女は帝国で微笑む</v>
      </c>
      <c r="T3515" s="22" t="str">
        <f>IFERROR(__xludf.DUMMYFUNCTION("""COMPUTED_VALUE"""),"格納済み")</f>
        <v>格納済み</v>
      </c>
      <c r="U3515" s="9" t="str">
        <f>IFERROR(__xludf.DUMMYFUNCTION("""COMPUTED_VALUE"""),"Ⓒおちゃ芥/宮之みやこ/笠倉出版社")</f>
        <v>Ⓒおちゃ芥/宮之みやこ/笠倉出版社</v>
      </c>
      <c r="V3515" s="8"/>
      <c r="W3515" s="8"/>
      <c r="X3515" s="8" t="str">
        <f>IFERROR(__xludf.DUMMYFUNCTION("""COMPUTED_VALUE"""),"有")</f>
        <v>有</v>
      </c>
      <c r="Y3515" s="8" t="str">
        <f>IFERROR(__xludf.DUMMYFUNCTION("""COMPUTED_VALUE"""),"P10まで")</f>
        <v>P10まで</v>
      </c>
      <c r="Z3515" s="7"/>
      <c r="AA3515" s="7"/>
      <c r="AB3515" s="7"/>
    </row>
    <row r="3516" ht="15.75" customHeight="1">
      <c r="A3516" s="26">
        <f>IFERROR(__xludf.DUMMYFUNCTION("""COMPUTED_VALUE"""),5898.0)</f>
        <v>5898</v>
      </c>
      <c r="B3516" s="22" t="str">
        <f>IFERROR(__xludf.DUMMYFUNCTION("""COMPUTED_VALUE"""),"確定")</f>
        <v>確定</v>
      </c>
      <c r="C3516" s="28">
        <f>IFERROR(__xludf.DUMMYFUNCTION("""COMPUTED_VALUE"""),45831.0)</f>
        <v>45831</v>
      </c>
      <c r="D3516" s="28">
        <f>IFERROR(__xludf.DUMMYFUNCTION("""COMPUTED_VALUE"""),45831.0)</f>
        <v>45831</v>
      </c>
      <c r="E3516" s="26">
        <f>IFERROR(__xludf.DUMMYFUNCTION("""COMPUTED_VALUE"""),327992.0)</f>
        <v>327992</v>
      </c>
      <c r="F3516" s="22" t="str">
        <f>IFERROR(__xludf.DUMMYFUNCTION("""COMPUTED_VALUE"""),"美形苦手な悪役令嬢なのに攻略対象（美形）が狙ってくる")</f>
        <v>美形苦手な悪役令嬢なのに攻略対象（美形）が狙ってくる</v>
      </c>
      <c r="G3516" s="20">
        <f>IFERROR(__xludf.DUMMYFUNCTION("""COMPUTED_VALUE"""),1.0)</f>
        <v>1</v>
      </c>
      <c r="H3516" s="22" t="str">
        <f>IFERROR(__xludf.DUMMYFUNCTION("""COMPUTED_VALUE"""),"コロ虎⊥菜口いず")</f>
        <v>コロ虎⊥菜口いず</v>
      </c>
      <c r="I3516" s="22" t="str">
        <f>IFERROR(__xludf.DUMMYFUNCTION("""COMPUTED_VALUE"""),"少女")</f>
        <v>少女</v>
      </c>
      <c r="J3516" s="22"/>
      <c r="K3516" s="22" t="str">
        <f>IFERROR(__xludf.DUMMYFUNCTION("""COMPUTED_VALUE"""),"Niμ")</f>
        <v>Niμ</v>
      </c>
      <c r="L3516" s="22" t="str">
        <f>IFERROR(__xludf.DUMMYFUNCTION("""COMPUTED_VALUE"""),"笠倉出版社")</f>
        <v>笠倉出版社</v>
      </c>
      <c r="M3516" s="33">
        <f>IFERROR(__xludf.DUMMYFUNCTION("""COMPUTED_VALUE"""),45848.0)</f>
        <v>45848</v>
      </c>
      <c r="N3516" s="33">
        <f>IFERROR(__xludf.DUMMYFUNCTION("""COMPUTED_VALUE"""),45878.0)</f>
        <v>45878</v>
      </c>
      <c r="O3516" s="20"/>
      <c r="P3516" s="32" t="str">
        <f>IFERROR(__xludf.DUMMYFUNCTION("""COMPUTED_VALUE"""),"可")</f>
        <v>可</v>
      </c>
      <c r="Q3516" s="30" t="str">
        <f>IFERROR(__xludf.DUMMYFUNCTION("""COMPUTED_VALUE"""),"単話　「悪役令嬢のはずなのに溺愛ルートが加速中！？どういうことですの？アンソロジーコミック 2巻」収録作品")</f>
        <v>単話　「悪役令嬢のはずなのに溺愛ルートが加速中！？どういうことですの？アンソロジーコミック 2巻」収録作品</v>
      </c>
      <c r="R3516" s="22"/>
      <c r="S3516" s="22" t="str">
        <f>IFERROR(__xludf.DUMMYFUNCTION("""COMPUTED_VALUE"""),"20250623_笠倉出版社_美形苦手な悪役令嬢なのに攻略対象（美形）が狙ってくる")</f>
        <v>20250623_笠倉出版社_美形苦手な悪役令嬢なのに攻略対象（美形）が狙ってくる</v>
      </c>
      <c r="T3516" s="22" t="str">
        <f>IFERROR(__xludf.DUMMYFUNCTION("""COMPUTED_VALUE"""),"格納済み")</f>
        <v>格納済み</v>
      </c>
      <c r="U3516" s="9" t="str">
        <f>IFERROR(__xludf.DUMMYFUNCTION("""COMPUTED_VALUE"""),"Ⓒコロ虎/菜口いず/笠倉出版社")</f>
        <v>Ⓒコロ虎/菜口いず/笠倉出版社</v>
      </c>
      <c r="V3516" s="8"/>
      <c r="W3516" s="8"/>
      <c r="X3516" s="8" t="str">
        <f>IFERROR(__xludf.DUMMYFUNCTION("""COMPUTED_VALUE"""),"有")</f>
        <v>有</v>
      </c>
      <c r="Y3516" s="8" t="str">
        <f>IFERROR(__xludf.DUMMYFUNCTION("""COMPUTED_VALUE"""),"P9まで")</f>
        <v>P9まで</v>
      </c>
      <c r="Z3516" s="7"/>
      <c r="AA3516" s="7"/>
      <c r="AB3516" s="7"/>
    </row>
    <row r="3517" ht="15.75" customHeight="1">
      <c r="A3517" s="26">
        <f>IFERROR(__xludf.DUMMYFUNCTION("""COMPUTED_VALUE"""),5904.0)</f>
        <v>5904</v>
      </c>
      <c r="B3517" s="22" t="str">
        <f>IFERROR(__xludf.DUMMYFUNCTION("""COMPUTED_VALUE"""),"確定")</f>
        <v>確定</v>
      </c>
      <c r="C3517" s="28">
        <f>IFERROR(__xludf.DUMMYFUNCTION("""COMPUTED_VALUE"""),45831.0)</f>
        <v>45831</v>
      </c>
      <c r="D3517" s="28">
        <f>IFERROR(__xludf.DUMMYFUNCTION("""COMPUTED_VALUE"""),45831.0)</f>
        <v>45831</v>
      </c>
      <c r="E3517" s="26">
        <f>IFERROR(__xludf.DUMMYFUNCTION("""COMPUTED_VALUE"""),313399.0)</f>
        <v>313399</v>
      </c>
      <c r="F3517" s="22" t="str">
        <f>IFERROR(__xludf.DUMMYFUNCTION("""COMPUTED_VALUE"""),"女ハンターを堕とすとレベルアップ(フルカラー)")</f>
        <v>女ハンターを堕とすとレベルアップ(フルカラー)</v>
      </c>
      <c r="G3517" s="20" t="str">
        <f>IFERROR(__xludf.DUMMYFUNCTION("""COMPUTED_VALUE"""),"1～5")</f>
        <v>1～5</v>
      </c>
      <c r="H3517" s="22" t="str">
        <f>IFERROR(__xludf.DUMMYFUNCTION("""COMPUTED_VALUE"""),"AstroCall,Hungr,Testing Dummy,hoero")</f>
        <v>AstroCall,Hungr,Testing Dummy,hoero</v>
      </c>
      <c r="I3517" s="22" t="str">
        <f>IFERROR(__xludf.DUMMYFUNCTION("""COMPUTED_VALUE"""),"青年マンガ")</f>
        <v>青年マンガ</v>
      </c>
      <c r="J3517" s="22"/>
      <c r="K3517" s="22" t="str">
        <f>IFERROR(__xludf.DUMMYFUNCTION("""COMPUTED_VALUE"""),"桃色エンジェル")</f>
        <v>桃色エンジェル</v>
      </c>
      <c r="L3517" s="22" t="str">
        <f>IFERROR(__xludf.DUMMYFUNCTION("""COMPUTED_VALUE"""),"シーモアコミックス")</f>
        <v>シーモアコミックス</v>
      </c>
      <c r="M3517" s="33">
        <f>IFERROR(__xludf.DUMMYFUNCTION("""COMPUTED_VALUE"""),45864.0)</f>
        <v>45864</v>
      </c>
      <c r="N3517" s="33">
        <f>IFERROR(__xludf.DUMMYFUNCTION("""COMPUTED_VALUE"""),45925.0)</f>
        <v>45925</v>
      </c>
      <c r="O3517" s="20"/>
      <c r="P3517" s="32" t="str">
        <f>IFERROR(__xludf.DUMMYFUNCTION("""COMPUTED_VALUE"""),"可")</f>
        <v>可</v>
      </c>
      <c r="Q3517" s="30" t="str">
        <f>IFERROR(__xludf.DUMMYFUNCTION("""COMPUTED_VALUE"""),"【アダルト作品扱い】	")</f>
        <v>【アダルト作品扱い】	</v>
      </c>
      <c r="R3517" s="22"/>
      <c r="S3517" s="22" t="str">
        <f>IFERROR(__xludf.DUMMYFUNCTION("""COMPUTED_VALUE"""),"20250623_シーモアコミックス_女ハンターを堕とすとレベルアップ(フルカラー)")</f>
        <v>20250623_シーモアコミックス_女ハンターを堕とすとレベルアップ(フルカラー)</v>
      </c>
      <c r="T3517" s="22" t="str">
        <f>IFERROR(__xludf.DUMMYFUNCTION("""COMPUTED_VALUE"""),"格納済み")</f>
        <v>格納済み</v>
      </c>
      <c r="U3517" s="9" t="str">
        <f>IFERROR(__xludf.DUMMYFUNCTION("""COMPUTED_VALUE"""),"Ⓒ AstroCall/Hungr/Testing Dummy/hoero/TOPCO/シーモアコミックス")</f>
        <v>Ⓒ AstroCall/Hungr/Testing Dummy/hoero/TOPCO/シーモアコミックス</v>
      </c>
      <c r="V3517" s="8"/>
      <c r="W3517" s="8"/>
      <c r="X3517" s="8" t="str">
        <f>IFERROR(__xludf.DUMMYFUNCTION("""COMPUTED_VALUE"""),"有")</f>
        <v>有</v>
      </c>
      <c r="Y3517" s="8" t="str">
        <f>IFERROR(__xludf.DUMMYFUNCTION("""COMPUTED_VALUE"""),"2025/8/22まで1巻無料")</f>
        <v>2025/8/22まで1巻無料</v>
      </c>
      <c r="Z3517" s="7"/>
      <c r="AA3517" s="7"/>
      <c r="AB3517" s="7"/>
    </row>
    <row r="3518" ht="15.75" customHeight="1">
      <c r="A3518" s="26">
        <f>IFERROR(__xludf.DUMMYFUNCTION("""COMPUTED_VALUE"""),5905.0)</f>
        <v>5905</v>
      </c>
      <c r="B3518" s="22" t="str">
        <f>IFERROR(__xludf.DUMMYFUNCTION("""COMPUTED_VALUE"""),"確定")</f>
        <v>確定</v>
      </c>
      <c r="C3518" s="28">
        <f>IFERROR(__xludf.DUMMYFUNCTION("""COMPUTED_VALUE"""),45831.0)</f>
        <v>45831</v>
      </c>
      <c r="D3518" s="28">
        <f>IFERROR(__xludf.DUMMYFUNCTION("""COMPUTED_VALUE"""),45831.0)</f>
        <v>45831</v>
      </c>
      <c r="E3518" s="26">
        <f>IFERROR(__xludf.DUMMYFUNCTION("""COMPUTED_VALUE"""),313400.0)</f>
        <v>313400</v>
      </c>
      <c r="F3518" s="22" t="str">
        <f>IFERROR(__xludf.DUMMYFUNCTION("""COMPUTED_VALUE"""),"女ハンターを堕とすとレベルアップ【タテヨミ】")</f>
        <v>女ハンターを堕とすとレベルアップ【タテヨミ】</v>
      </c>
      <c r="G3518" s="20" t="str">
        <f>IFERROR(__xludf.DUMMYFUNCTION("""COMPUTED_VALUE"""),"1～10")</f>
        <v>1～10</v>
      </c>
      <c r="H3518" s="22" t="str">
        <f>IFERROR(__xludf.DUMMYFUNCTION("""COMPUTED_VALUE"""),"AstroCall,Hungr,Testing Dummy,hoero")</f>
        <v>AstroCall,Hungr,Testing Dummy,hoero</v>
      </c>
      <c r="I3518" s="22" t="str">
        <f>IFERROR(__xludf.DUMMYFUNCTION("""COMPUTED_VALUE"""),"青年マンガ")</f>
        <v>青年マンガ</v>
      </c>
      <c r="J3518" s="22"/>
      <c r="K3518" s="22" t="str">
        <f>IFERROR(__xludf.DUMMYFUNCTION("""COMPUTED_VALUE"""),"桃色エンジェル")</f>
        <v>桃色エンジェル</v>
      </c>
      <c r="L3518" s="22" t="str">
        <f>IFERROR(__xludf.DUMMYFUNCTION("""COMPUTED_VALUE"""),"シーモアコミックス")</f>
        <v>シーモアコミックス</v>
      </c>
      <c r="M3518" s="33">
        <f>IFERROR(__xludf.DUMMYFUNCTION("""COMPUTED_VALUE"""),45864.0)</f>
        <v>45864</v>
      </c>
      <c r="N3518" s="33">
        <f>IFERROR(__xludf.DUMMYFUNCTION("""COMPUTED_VALUE"""),45925.0)</f>
        <v>45925</v>
      </c>
      <c r="O3518" s="20"/>
      <c r="P3518" s="32" t="str">
        <f>IFERROR(__xludf.DUMMYFUNCTION("""COMPUTED_VALUE"""),"可")</f>
        <v>可</v>
      </c>
      <c r="Q3518" s="30" t="str">
        <f>IFERROR(__xludf.DUMMYFUNCTION("""COMPUTED_VALUE"""),"【アダルト作品扱い】        
※コマサム等素材は「313399　女ハンターを堕とすとレベルアップ(フルカラー)」の方をお使いください。&lt;BR&gt;バナー制作はフルカラー版の素材を利用して問題ございません。")</f>
        <v>【アダルト作品扱い】        
※コマサム等素材は「313399　女ハンターを堕とすとレベルアップ(フルカラー)」の方をお使いください。&lt;BR&gt;バナー制作はフルカラー版の素材を利用して問題ございません。</v>
      </c>
      <c r="R3518" s="22"/>
      <c r="S3518" s="22" t="str">
        <f>IFERROR(__xludf.DUMMYFUNCTION("""COMPUTED_VALUE"""),"20250623_シーモアコミックス_女ハンターを堕とすとレベルアップ【タテヨミ】")</f>
        <v>20250623_シーモアコミックス_女ハンターを堕とすとレベルアップ【タテヨミ】</v>
      </c>
      <c r="T3518" s="22" t="str">
        <f>IFERROR(__xludf.DUMMYFUNCTION("""COMPUTED_VALUE"""),"格納済み")</f>
        <v>格納済み</v>
      </c>
      <c r="U3518" s="9" t="str">
        <f>IFERROR(__xludf.DUMMYFUNCTION("""COMPUTED_VALUE"""),"Ⓒ AstroCall/Hungr/Testing Dummy/hoero/TOPCO/シーモアコミックス")</f>
        <v>Ⓒ AstroCall/Hungr/Testing Dummy/hoero/TOPCO/シーモアコミックス</v>
      </c>
      <c r="V3518" s="8"/>
      <c r="W3518" s="8"/>
      <c r="X3518" s="8" t="str">
        <f>IFERROR(__xludf.DUMMYFUNCTION("""COMPUTED_VALUE"""),"有")</f>
        <v>有</v>
      </c>
      <c r="Y3518" s="8" t="str">
        <f>IFERROR(__xludf.DUMMYFUNCTION("""COMPUTED_VALUE"""),"2025/8/22まで1~2巻無料")</f>
        <v>2025/8/22まで1~2巻無料</v>
      </c>
      <c r="Z3518" s="7"/>
      <c r="AA3518" s="7"/>
      <c r="AB3518" s="7"/>
    </row>
    <row r="3519" ht="15.75" customHeight="1">
      <c r="A3519" s="26">
        <f>IFERROR(__xludf.DUMMYFUNCTION("""COMPUTED_VALUE"""),5908.0)</f>
        <v>5908</v>
      </c>
      <c r="B3519" s="22" t="str">
        <f>IFERROR(__xludf.DUMMYFUNCTION("""COMPUTED_VALUE"""),"確定")</f>
        <v>確定</v>
      </c>
      <c r="C3519" s="28">
        <f>IFERROR(__xludf.DUMMYFUNCTION("""COMPUTED_VALUE"""),45831.0)</f>
        <v>45831</v>
      </c>
      <c r="D3519" s="28">
        <f>IFERROR(__xludf.DUMMYFUNCTION("""COMPUTED_VALUE"""),45831.0)</f>
        <v>45831</v>
      </c>
      <c r="E3519" s="26">
        <f>IFERROR(__xludf.DUMMYFUNCTION("""COMPUTED_VALUE"""),328037.0)</f>
        <v>328037</v>
      </c>
      <c r="F3519" s="22" t="str">
        <f>IFERROR(__xludf.DUMMYFUNCTION("""COMPUTED_VALUE"""),"じょうずに我慢できるまで【分冊版】")</f>
        <v>じょうずに我慢できるまで【分冊版】</v>
      </c>
      <c r="G3519" s="20" t="str">
        <f>IFERROR(__xludf.DUMMYFUNCTION("""COMPUTED_VALUE"""),"1～2")</f>
        <v>1～2</v>
      </c>
      <c r="H3519" s="22" t="str">
        <f>IFERROR(__xludf.DUMMYFUNCTION("""COMPUTED_VALUE"""),"日高あゆこ")</f>
        <v>日高あゆこ</v>
      </c>
      <c r="I3519" s="22" t="str">
        <f>IFERROR(__xludf.DUMMYFUNCTION("""COMPUTED_VALUE"""),"BL")</f>
        <v>BL</v>
      </c>
      <c r="J3519" s="22"/>
      <c r="K3519" s="22" t="str">
        <f>IFERROR(__xludf.DUMMYFUNCTION("""COMPUTED_VALUE"""),"equal")</f>
        <v>equal</v>
      </c>
      <c r="L3519" s="22" t="str">
        <f>IFERROR(__xludf.DUMMYFUNCTION("""COMPUTED_VALUE"""),"笠倉出版社")</f>
        <v>笠倉出版社</v>
      </c>
      <c r="M3519" s="33">
        <f>IFERROR(__xludf.DUMMYFUNCTION("""COMPUTED_VALUE"""),45849.0)</f>
        <v>45849</v>
      </c>
      <c r="N3519" s="33">
        <f>IFERROR(__xludf.DUMMYFUNCTION("""COMPUTED_VALUE"""),45876.0)</f>
        <v>45876</v>
      </c>
      <c r="O3519" s="20"/>
      <c r="P3519" s="32" t="str">
        <f>IFERROR(__xludf.DUMMYFUNCTION("""COMPUTED_VALUE"""),"可")</f>
        <v>可</v>
      </c>
      <c r="Q3519" s="30" t="str">
        <f>IFERROR(__xludf.DUMMYFUNCTION("""COMPUTED_VALUE"""),"隔月配信　5-6話完結")</f>
        <v>隔月配信　5-6話完結</v>
      </c>
      <c r="R3519" s="22"/>
      <c r="S3519" s="22" t="str">
        <f>IFERROR(__xludf.DUMMYFUNCTION("""COMPUTED_VALUE"""),"20250623_笠倉出版社_じょうずに我慢できるまで【分冊版】")</f>
        <v>20250623_笠倉出版社_じょうずに我慢できるまで【分冊版】</v>
      </c>
      <c r="T3519" s="22" t="str">
        <f>IFERROR(__xludf.DUMMYFUNCTION("""COMPUTED_VALUE"""),"格納済み")</f>
        <v>格納済み</v>
      </c>
      <c r="U3519" s="9" t="str">
        <f>IFERROR(__xludf.DUMMYFUNCTION("""COMPUTED_VALUE"""),"Ⓒ日高あゆこ/笠倉出版社")</f>
        <v>Ⓒ日高あゆこ/笠倉出版社</v>
      </c>
      <c r="V3519" s="8"/>
      <c r="W3519" s="8"/>
      <c r="X3519" s="8" t="str">
        <f>IFERROR(__xludf.DUMMYFUNCTION("""COMPUTED_VALUE"""),"有")</f>
        <v>有</v>
      </c>
      <c r="Y3519" s="8" t="str">
        <f>IFERROR(__xludf.DUMMYFUNCTION("""COMPUTED_VALUE"""),"P6まで")</f>
        <v>P6まで</v>
      </c>
      <c r="Z3519" s="7"/>
      <c r="AA3519" s="7"/>
      <c r="AB3519" s="7"/>
    </row>
    <row r="3520" ht="15.75" customHeight="1">
      <c r="A3520" s="26">
        <f>IFERROR(__xludf.DUMMYFUNCTION("""COMPUTED_VALUE"""),5911.0)</f>
        <v>5911</v>
      </c>
      <c r="B3520" s="22" t="str">
        <f>IFERROR(__xludf.DUMMYFUNCTION("""COMPUTED_VALUE"""),"確定")</f>
        <v>確定</v>
      </c>
      <c r="C3520" s="28">
        <f>IFERROR(__xludf.DUMMYFUNCTION("""COMPUTED_VALUE"""),45831.0)</f>
        <v>45831</v>
      </c>
      <c r="D3520" s="28">
        <f>IFERROR(__xludf.DUMMYFUNCTION("""COMPUTED_VALUE"""),45831.0)</f>
        <v>45831</v>
      </c>
      <c r="E3520" s="26">
        <f>IFERROR(__xludf.DUMMYFUNCTION("""COMPUTED_VALUE"""),330975.0)</f>
        <v>330975</v>
      </c>
      <c r="F3520" s="22" t="str">
        <f>IFERROR(__xludf.DUMMYFUNCTION("""COMPUTED_VALUE"""),"美波瑠のはじめて")</f>
        <v>美波瑠のはじめて</v>
      </c>
      <c r="G3520" s="20" t="str">
        <f>IFERROR(__xludf.DUMMYFUNCTION("""COMPUTED_VALUE"""),"1～2")</f>
        <v>1～2</v>
      </c>
      <c r="H3520" s="22" t="str">
        <f>IFERROR(__xludf.DUMMYFUNCTION("""COMPUTED_VALUE"""),"メメ50")</f>
        <v>メメ50</v>
      </c>
      <c r="I3520" s="22" t="str">
        <f>IFERROR(__xludf.DUMMYFUNCTION("""COMPUTED_VALUE"""),"アダルト")</f>
        <v>アダルト</v>
      </c>
      <c r="J3520" s="22"/>
      <c r="K3520" s="22"/>
      <c r="L3520" s="22" t="str">
        <f>IFERROR(__xludf.DUMMYFUNCTION("""COMPUTED_VALUE"""),"ナイトコミック")</f>
        <v>ナイトコミック</v>
      </c>
      <c r="M3520" s="33">
        <f>IFERROR(__xludf.DUMMYFUNCTION("""COMPUTED_VALUE"""),45877.0)</f>
        <v>45877</v>
      </c>
      <c r="N3520" s="33">
        <f>IFERROR(__xludf.DUMMYFUNCTION("""COMPUTED_VALUE"""),45939.0)</f>
        <v>45939</v>
      </c>
      <c r="O3520" s="20"/>
      <c r="P3520" s="32" t="str">
        <f>IFERROR(__xludf.DUMMYFUNCTION("""COMPUTED_VALUE"""),"可")</f>
        <v>可</v>
      </c>
      <c r="Q3520" s="30" t="str">
        <f>IFERROR(__xludf.DUMMYFUNCTION("""COMPUTED_VALUE"""),"先行獲得です。&lt;BR&gt;可能な範囲で出稿お願い致します。")</f>
        <v>先行獲得です。&lt;BR&gt;可能な範囲で出稿お願い致します。</v>
      </c>
      <c r="R3520" s="22"/>
      <c r="S3520" s="22" t="str">
        <f>IFERROR(__xludf.DUMMYFUNCTION("""COMPUTED_VALUE"""),"20250623_ナイトコミック_美波瑠のはじめて01-02")</f>
        <v>20250623_ナイトコミック_美波瑠のはじめて01-02</v>
      </c>
      <c r="T3520" s="22" t="str">
        <f>IFERROR(__xludf.DUMMYFUNCTION("""COMPUTED_VALUE"""),"格納済み")</f>
        <v>格納済み</v>
      </c>
      <c r="U3520" s="9" t="str">
        <f>IFERROR(__xludf.DUMMYFUNCTION("""COMPUTED_VALUE"""),"Ⓒメメ50")</f>
        <v>Ⓒメメ50</v>
      </c>
      <c r="V3520" s="8"/>
      <c r="W3520" s="8"/>
      <c r="X3520" s="8" t="str">
        <f>IFERROR(__xludf.DUMMYFUNCTION("""COMPUTED_VALUE"""),"有")</f>
        <v>有</v>
      </c>
      <c r="Y3520" s="8" t="str">
        <f>IFERROR(__xludf.DUMMYFUNCTION("""COMPUTED_VALUE"""),"2025/10/9まで立ち読み増量
1巻(P16まで)
1巻(P8まで)")</f>
        <v>2025/10/9まで立ち読み増量
1巻(P16まで)
1巻(P8まで)</v>
      </c>
      <c r="Z3520" s="7"/>
      <c r="AA3520" s="7"/>
      <c r="AB3520" s="7"/>
    </row>
    <row r="3521" ht="15.75" customHeight="1">
      <c r="A3521" s="26">
        <f>IFERROR(__xludf.DUMMYFUNCTION("""COMPUTED_VALUE"""),5091.0)</f>
        <v>5091</v>
      </c>
      <c r="B3521" s="22" t="str">
        <f>IFERROR(__xludf.DUMMYFUNCTION("""COMPUTED_VALUE"""),"確定")</f>
        <v>確定</v>
      </c>
      <c r="C3521" s="28">
        <f>IFERROR(__xludf.DUMMYFUNCTION("""COMPUTED_VALUE"""),45713.0)</f>
        <v>45713</v>
      </c>
      <c r="D3521" s="28">
        <f>IFERROR(__xludf.DUMMYFUNCTION("""COMPUTED_VALUE"""),45834.0)</f>
        <v>45834</v>
      </c>
      <c r="E3521" s="26">
        <f>IFERROR(__xludf.DUMMYFUNCTION("""COMPUTED_VALUE"""),329456.0)</f>
        <v>329456</v>
      </c>
      <c r="F3521" s="22" t="str">
        <f>IFERROR(__xludf.DUMMYFUNCTION("""COMPUTED_VALUE"""),"無能の小鳥は冷徹軍人の愛しいつがい")</f>
        <v>無能の小鳥は冷徹軍人の愛しいつがい</v>
      </c>
      <c r="G3521" s="20">
        <f>IFERROR(__xludf.DUMMYFUNCTION("""COMPUTED_VALUE"""),1.0)</f>
        <v>1</v>
      </c>
      <c r="H3521" s="22" t="str">
        <f>IFERROR(__xludf.DUMMYFUNCTION("""COMPUTED_VALUE"""),"漫画：紅蜜ゆず　原作：あさぎ千夜春")</f>
        <v>漫画：紅蜜ゆず　原作：あさぎ千夜春</v>
      </c>
      <c r="I3521" s="22" t="str">
        <f>IFERROR(__xludf.DUMMYFUNCTION("""COMPUTED_VALUE"""),"少女")</f>
        <v>少女</v>
      </c>
      <c r="J3521" s="22"/>
      <c r="K3521" s="22" t="str">
        <f>IFERROR(__xludf.DUMMYFUNCTION("""COMPUTED_VALUE"""),"ZERO-SUMコミックス")</f>
        <v>ZERO-SUMコミックス</v>
      </c>
      <c r="L3521" s="22" t="str">
        <f>IFERROR(__xludf.DUMMYFUNCTION("""COMPUTED_VALUE"""),"一迅社")</f>
        <v>一迅社</v>
      </c>
      <c r="M3521" s="33">
        <f>IFERROR(__xludf.DUMMYFUNCTION("""COMPUTED_VALUE"""),45870.0)</f>
        <v>45870</v>
      </c>
      <c r="N3521" s="33">
        <f>IFERROR(__xludf.DUMMYFUNCTION("""COMPUTED_VALUE"""),45900.0)</f>
        <v>45900</v>
      </c>
      <c r="O3521" s="20"/>
      <c r="P3521" s="32" t="str">
        <f>IFERROR(__xludf.DUMMYFUNCTION("""COMPUTED_VALUE"""),"否")</f>
        <v>否</v>
      </c>
      <c r="Q3521" s="30" t="str">
        <f>IFERROR(__xludf.DUMMYFUNCTION("""COMPUTED_VALUE"""),"虐げられ乙女の幸せな嫁入り アンソロジーコミック: 4からの単話化")</f>
        <v>虐げられ乙女の幸せな嫁入り アンソロジーコミック: 4からの単話化</v>
      </c>
      <c r="R3521" s="22"/>
      <c r="S3521" s="22" t="str">
        <f>IFERROR(__xludf.DUMMYFUNCTION("""COMPUTED_VALUE"""),"20250626_一迅社_無能の小鳥は冷徹軍人の愛しいつがい")</f>
        <v>20250626_一迅社_無能の小鳥は冷徹軍人の愛しいつがい</v>
      </c>
      <c r="T3521" s="22" t="str">
        <f>IFERROR(__xludf.DUMMYFUNCTION("""COMPUTED_VALUE"""),"格納済み")</f>
        <v>格納済み</v>
      </c>
      <c r="U3521" s="9" t="str">
        <f>IFERROR(__xludf.DUMMYFUNCTION("""COMPUTED_VALUE"""),"（C）紅蜜ゆず・あさぎ千夜春／一迅社")</f>
        <v>（C）紅蜜ゆず・あさぎ千夜春／一迅社</v>
      </c>
      <c r="V3521" s="8"/>
      <c r="W3521" s="8"/>
      <c r="X3521" s="8" t="str">
        <f>IFERROR(__xludf.DUMMYFUNCTION("""COMPUTED_VALUE"""),"有")</f>
        <v>有</v>
      </c>
      <c r="Y3521" s="8" t="str">
        <f>IFERROR(__xludf.DUMMYFUNCTION("""COMPUTED_VALUE"""),"P9まで")</f>
        <v>P9まで</v>
      </c>
      <c r="Z3521" s="7"/>
      <c r="AA3521" s="7"/>
      <c r="AB3521" s="7"/>
    </row>
    <row r="3522" ht="15.75" customHeight="1">
      <c r="A3522" s="26">
        <f>IFERROR(__xludf.DUMMYFUNCTION("""COMPUTED_VALUE"""),5092.0)</f>
        <v>5092</v>
      </c>
      <c r="B3522" s="22" t="str">
        <f>IFERROR(__xludf.DUMMYFUNCTION("""COMPUTED_VALUE"""),"確定")</f>
        <v>確定</v>
      </c>
      <c r="C3522" s="28">
        <f>IFERROR(__xludf.DUMMYFUNCTION("""COMPUTED_VALUE"""),45713.0)</f>
        <v>45713</v>
      </c>
      <c r="D3522" s="28">
        <f>IFERROR(__xludf.DUMMYFUNCTION("""COMPUTED_VALUE"""),45834.0)</f>
        <v>45834</v>
      </c>
      <c r="E3522" s="26">
        <f>IFERROR(__xludf.DUMMYFUNCTION("""COMPUTED_VALUE"""),329457.0)</f>
        <v>329457</v>
      </c>
      <c r="F3522" s="22" t="str">
        <f>IFERROR(__xludf.DUMMYFUNCTION("""COMPUTED_VALUE"""),"わたしに甘い婚約者様")</f>
        <v>わたしに甘い婚約者様</v>
      </c>
      <c r="G3522" s="20">
        <f>IFERROR(__xludf.DUMMYFUNCTION("""COMPUTED_VALUE"""),1.0)</f>
        <v>1</v>
      </c>
      <c r="H3522" s="22" t="str">
        <f>IFERROR(__xludf.DUMMYFUNCTION("""COMPUTED_VALUE"""),"ののせりん")</f>
        <v>ののせりん</v>
      </c>
      <c r="I3522" s="22" t="str">
        <f>IFERROR(__xludf.DUMMYFUNCTION("""COMPUTED_VALUE"""),"少女")</f>
        <v>少女</v>
      </c>
      <c r="J3522" s="22"/>
      <c r="K3522" s="22" t="str">
        <f>IFERROR(__xludf.DUMMYFUNCTION("""COMPUTED_VALUE"""),"ZERO-SUMコミックス")</f>
        <v>ZERO-SUMコミックス</v>
      </c>
      <c r="L3522" s="22" t="str">
        <f>IFERROR(__xludf.DUMMYFUNCTION("""COMPUTED_VALUE"""),"一迅社")</f>
        <v>一迅社</v>
      </c>
      <c r="M3522" s="33">
        <f>IFERROR(__xludf.DUMMYFUNCTION("""COMPUTED_VALUE"""),45870.0)</f>
        <v>45870</v>
      </c>
      <c r="N3522" s="33">
        <f>IFERROR(__xludf.DUMMYFUNCTION("""COMPUTED_VALUE"""),45900.0)</f>
        <v>45900</v>
      </c>
      <c r="O3522" s="20"/>
      <c r="P3522" s="32" t="str">
        <f>IFERROR(__xludf.DUMMYFUNCTION("""COMPUTED_VALUE"""),"否")</f>
        <v>否</v>
      </c>
      <c r="Q3522" s="30" t="str">
        <f>IFERROR(__xludf.DUMMYFUNCTION("""COMPUTED_VALUE"""),"虐げられ乙女の幸せな嫁入り アンソロジーコミック: 4からの単話化")</f>
        <v>虐げられ乙女の幸せな嫁入り アンソロジーコミック: 4からの単話化</v>
      </c>
      <c r="R3522" s="22"/>
      <c r="S3522" s="22" t="str">
        <f>IFERROR(__xludf.DUMMYFUNCTION("""COMPUTED_VALUE"""),"20250626_一迅社_わたしに甘い婚約者様")</f>
        <v>20250626_一迅社_わたしに甘い婚約者様</v>
      </c>
      <c r="T3522" s="22" t="str">
        <f>IFERROR(__xludf.DUMMYFUNCTION("""COMPUTED_VALUE"""),"格納済み")</f>
        <v>格納済み</v>
      </c>
      <c r="U3522" s="9" t="str">
        <f>IFERROR(__xludf.DUMMYFUNCTION("""COMPUTED_VALUE"""),"（C）ののせりん／一迅社")</f>
        <v>（C）ののせりん／一迅社</v>
      </c>
      <c r="V3522" s="8"/>
      <c r="W3522" s="8"/>
      <c r="X3522" s="8" t="str">
        <f>IFERROR(__xludf.DUMMYFUNCTION("""COMPUTED_VALUE"""),"有")</f>
        <v>有</v>
      </c>
      <c r="Y3522" s="8" t="str">
        <f>IFERROR(__xludf.DUMMYFUNCTION("""COMPUTED_VALUE"""),"P7まで")</f>
        <v>P7まで</v>
      </c>
      <c r="Z3522" s="7"/>
      <c r="AA3522" s="7"/>
      <c r="AB3522" s="7"/>
    </row>
    <row r="3523" ht="15.75" customHeight="1">
      <c r="A3523" s="26">
        <f>IFERROR(__xludf.DUMMYFUNCTION("""COMPUTED_VALUE"""),5093.0)</f>
        <v>5093</v>
      </c>
      <c r="B3523" s="22" t="str">
        <f>IFERROR(__xludf.DUMMYFUNCTION("""COMPUTED_VALUE"""),"確定")</f>
        <v>確定</v>
      </c>
      <c r="C3523" s="28">
        <f>IFERROR(__xludf.DUMMYFUNCTION("""COMPUTED_VALUE"""),45713.0)</f>
        <v>45713</v>
      </c>
      <c r="D3523" s="28">
        <f>IFERROR(__xludf.DUMMYFUNCTION("""COMPUTED_VALUE"""),45834.0)</f>
        <v>45834</v>
      </c>
      <c r="E3523" s="26">
        <f>IFERROR(__xludf.DUMMYFUNCTION("""COMPUTED_VALUE"""),329458.0)</f>
        <v>329458</v>
      </c>
      <c r="F3523" s="22" t="str">
        <f>IFERROR(__xludf.DUMMYFUNCTION("""COMPUTED_VALUE"""),"みにくい花嫁は竜神のつがい")</f>
        <v>みにくい花嫁は竜神のつがい</v>
      </c>
      <c r="G3523" s="20">
        <f>IFERROR(__xludf.DUMMYFUNCTION("""COMPUTED_VALUE"""),1.0)</f>
        <v>1</v>
      </c>
      <c r="H3523" s="22" t="str">
        <f>IFERROR(__xludf.DUMMYFUNCTION("""COMPUTED_VALUE"""),"漫画：藍澤さつき　原作：マチバリ")</f>
        <v>漫画：藍澤さつき　原作：マチバリ</v>
      </c>
      <c r="I3523" s="22" t="str">
        <f>IFERROR(__xludf.DUMMYFUNCTION("""COMPUTED_VALUE"""),"少女")</f>
        <v>少女</v>
      </c>
      <c r="J3523" s="22"/>
      <c r="K3523" s="22" t="str">
        <f>IFERROR(__xludf.DUMMYFUNCTION("""COMPUTED_VALUE"""),"ZERO-SUMコミックス")</f>
        <v>ZERO-SUMコミックス</v>
      </c>
      <c r="L3523" s="22" t="str">
        <f>IFERROR(__xludf.DUMMYFUNCTION("""COMPUTED_VALUE"""),"一迅社")</f>
        <v>一迅社</v>
      </c>
      <c r="M3523" s="33">
        <f>IFERROR(__xludf.DUMMYFUNCTION("""COMPUTED_VALUE"""),45870.0)</f>
        <v>45870</v>
      </c>
      <c r="N3523" s="33">
        <f>IFERROR(__xludf.DUMMYFUNCTION("""COMPUTED_VALUE"""),45900.0)</f>
        <v>45900</v>
      </c>
      <c r="O3523" s="20"/>
      <c r="P3523" s="32" t="str">
        <f>IFERROR(__xludf.DUMMYFUNCTION("""COMPUTED_VALUE"""),"否")</f>
        <v>否</v>
      </c>
      <c r="Q3523" s="30" t="str">
        <f>IFERROR(__xludf.DUMMYFUNCTION("""COMPUTED_VALUE"""),"虐げられ乙女の幸せな嫁入り アンソロジーコミック: 4からの単話化")</f>
        <v>虐げられ乙女の幸せな嫁入り アンソロジーコミック: 4からの単話化</v>
      </c>
      <c r="R3523" s="22"/>
      <c r="S3523" s="22" t="str">
        <f>IFERROR(__xludf.DUMMYFUNCTION("""COMPUTED_VALUE"""),"20250626_一迅社_みにくい花嫁は竜神のつがい")</f>
        <v>20250626_一迅社_みにくい花嫁は竜神のつがい</v>
      </c>
      <c r="T3523" s="22" t="str">
        <f>IFERROR(__xludf.DUMMYFUNCTION("""COMPUTED_VALUE"""),"格納済み")</f>
        <v>格納済み</v>
      </c>
      <c r="U3523" s="9" t="str">
        <f>IFERROR(__xludf.DUMMYFUNCTION("""COMPUTED_VALUE"""),"（C）藍澤さつき・マチバリ／一迅社")</f>
        <v>（C）藍澤さつき・マチバリ／一迅社</v>
      </c>
      <c r="V3523" s="8"/>
      <c r="W3523" s="8"/>
      <c r="X3523" s="8" t="str">
        <f>IFERROR(__xludf.DUMMYFUNCTION("""COMPUTED_VALUE"""),"有")</f>
        <v>有</v>
      </c>
      <c r="Y3523" s="8" t="str">
        <f>IFERROR(__xludf.DUMMYFUNCTION("""COMPUTED_VALUE"""),"P8まで")</f>
        <v>P8まで</v>
      </c>
      <c r="Z3523" s="7"/>
      <c r="AA3523" s="7"/>
      <c r="AB3523" s="7"/>
    </row>
    <row r="3524" ht="15.75" customHeight="1">
      <c r="A3524" s="26">
        <f>IFERROR(__xludf.DUMMYFUNCTION("""COMPUTED_VALUE"""),5094.0)</f>
        <v>5094</v>
      </c>
      <c r="B3524" s="22" t="str">
        <f>IFERROR(__xludf.DUMMYFUNCTION("""COMPUTED_VALUE"""),"確定")</f>
        <v>確定</v>
      </c>
      <c r="C3524" s="28">
        <f>IFERROR(__xludf.DUMMYFUNCTION("""COMPUTED_VALUE"""),45713.0)</f>
        <v>45713</v>
      </c>
      <c r="D3524" s="28">
        <f>IFERROR(__xludf.DUMMYFUNCTION("""COMPUTED_VALUE"""),45834.0)</f>
        <v>45834</v>
      </c>
      <c r="E3524" s="26">
        <f>IFERROR(__xludf.DUMMYFUNCTION("""COMPUTED_VALUE"""),329459.0)</f>
        <v>329459</v>
      </c>
      <c r="F3524" s="22" t="str">
        <f>IFERROR(__xludf.DUMMYFUNCTION("""COMPUTED_VALUE"""),"愛されなかった花嫁のとある婚姻譚〜初恋の君は、結婚相手の弟でした〜")</f>
        <v>愛されなかった花嫁のとある婚姻譚〜初恋の君は、結婚相手の弟でした〜</v>
      </c>
      <c r="G3524" s="20">
        <f>IFERROR(__xludf.DUMMYFUNCTION("""COMPUTED_VALUE"""),1.0)</f>
        <v>1</v>
      </c>
      <c r="H3524" s="22" t="str">
        <f>IFERROR(__xludf.DUMMYFUNCTION("""COMPUTED_VALUE"""),"漫画：知鳥チセ　原作：イシクロ")</f>
        <v>漫画：知鳥チセ　原作：イシクロ</v>
      </c>
      <c r="I3524" s="22" t="str">
        <f>IFERROR(__xludf.DUMMYFUNCTION("""COMPUTED_VALUE"""),"少女")</f>
        <v>少女</v>
      </c>
      <c r="J3524" s="22"/>
      <c r="K3524" s="22" t="str">
        <f>IFERROR(__xludf.DUMMYFUNCTION("""COMPUTED_VALUE"""),"ZERO-SUMコミックス")</f>
        <v>ZERO-SUMコミックス</v>
      </c>
      <c r="L3524" s="22" t="str">
        <f>IFERROR(__xludf.DUMMYFUNCTION("""COMPUTED_VALUE"""),"一迅社")</f>
        <v>一迅社</v>
      </c>
      <c r="M3524" s="33">
        <f>IFERROR(__xludf.DUMMYFUNCTION("""COMPUTED_VALUE"""),45870.0)</f>
        <v>45870</v>
      </c>
      <c r="N3524" s="33">
        <f>IFERROR(__xludf.DUMMYFUNCTION("""COMPUTED_VALUE"""),45900.0)</f>
        <v>45900</v>
      </c>
      <c r="O3524" s="20"/>
      <c r="P3524" s="32" t="str">
        <f>IFERROR(__xludf.DUMMYFUNCTION("""COMPUTED_VALUE"""),"否")</f>
        <v>否</v>
      </c>
      <c r="Q3524" s="30" t="str">
        <f>IFERROR(__xludf.DUMMYFUNCTION("""COMPUTED_VALUE"""),"虐げられ乙女の幸せな嫁入り アンソロジーコミック: 4からの単話化&lt;BR&gt;")</f>
        <v>虐げられ乙女の幸せな嫁入り アンソロジーコミック: 4からの単話化&lt;BR&gt;</v>
      </c>
      <c r="R3524" s="22"/>
      <c r="S3524" s="22" t="str">
        <f>IFERROR(__xludf.DUMMYFUNCTION("""COMPUTED_VALUE"""),"20250626_一迅社_愛されなかった花嫁のとある婚姻譚〜初恋の君は、結婚相手の弟でした〜")</f>
        <v>20250626_一迅社_愛されなかった花嫁のとある婚姻譚〜初恋の君は、結婚相手の弟でした〜</v>
      </c>
      <c r="T3524" s="22" t="str">
        <f>IFERROR(__xludf.DUMMYFUNCTION("""COMPUTED_VALUE"""),"格納済み")</f>
        <v>格納済み</v>
      </c>
      <c r="U3524" s="9" t="str">
        <f>IFERROR(__xludf.DUMMYFUNCTION("""COMPUTED_VALUE"""),"（C）知鳥チセ・イシクロ／一迅社")</f>
        <v>（C）知鳥チセ・イシクロ／一迅社</v>
      </c>
      <c r="V3524" s="8"/>
      <c r="W3524" s="8"/>
      <c r="X3524" s="8" t="str">
        <f>IFERROR(__xludf.DUMMYFUNCTION("""COMPUTED_VALUE"""),"有")</f>
        <v>有</v>
      </c>
      <c r="Y3524" s="8" t="str">
        <f>IFERROR(__xludf.DUMMYFUNCTION("""COMPUTED_VALUE"""),"P7まで")</f>
        <v>P7まで</v>
      </c>
      <c r="Z3524" s="7"/>
      <c r="AA3524" s="7"/>
      <c r="AB3524" s="7"/>
    </row>
    <row r="3525" ht="15.75" customHeight="1">
      <c r="A3525" s="26">
        <f>IFERROR(__xludf.DUMMYFUNCTION("""COMPUTED_VALUE"""),5095.0)</f>
        <v>5095</v>
      </c>
      <c r="B3525" s="22" t="str">
        <f>IFERROR(__xludf.DUMMYFUNCTION("""COMPUTED_VALUE"""),"確定")</f>
        <v>確定</v>
      </c>
      <c r="C3525" s="28">
        <f>IFERROR(__xludf.DUMMYFUNCTION("""COMPUTED_VALUE"""),45713.0)</f>
        <v>45713</v>
      </c>
      <c r="D3525" s="28">
        <f>IFERROR(__xludf.DUMMYFUNCTION("""COMPUTED_VALUE"""),45834.0)</f>
        <v>45834</v>
      </c>
      <c r="E3525" s="26">
        <f>IFERROR(__xludf.DUMMYFUNCTION("""COMPUTED_VALUE"""),329460.0)</f>
        <v>329460</v>
      </c>
      <c r="F3525" s="22" t="str">
        <f>IFERROR(__xludf.DUMMYFUNCTION("""COMPUTED_VALUE"""),"先読み神子の嫁入り〜嫌われ巫女は妖狐に望まれる〜")</f>
        <v>先読み神子の嫁入り〜嫌われ巫女は妖狐に望まれる〜</v>
      </c>
      <c r="G3525" s="20">
        <f>IFERROR(__xludf.DUMMYFUNCTION("""COMPUTED_VALUE"""),1.0)</f>
        <v>1</v>
      </c>
      <c r="H3525" s="22" t="str">
        <f>IFERROR(__xludf.DUMMYFUNCTION("""COMPUTED_VALUE"""),"漫画：青井よる　原作：関谷れい")</f>
        <v>漫画：青井よる　原作：関谷れい</v>
      </c>
      <c r="I3525" s="22" t="str">
        <f>IFERROR(__xludf.DUMMYFUNCTION("""COMPUTED_VALUE"""),"少女")</f>
        <v>少女</v>
      </c>
      <c r="J3525" s="22"/>
      <c r="K3525" s="22" t="str">
        <f>IFERROR(__xludf.DUMMYFUNCTION("""COMPUTED_VALUE"""),"ZERO-SUMコミックス")</f>
        <v>ZERO-SUMコミックス</v>
      </c>
      <c r="L3525" s="22" t="str">
        <f>IFERROR(__xludf.DUMMYFUNCTION("""COMPUTED_VALUE"""),"一迅社")</f>
        <v>一迅社</v>
      </c>
      <c r="M3525" s="33">
        <f>IFERROR(__xludf.DUMMYFUNCTION("""COMPUTED_VALUE"""),45870.0)</f>
        <v>45870</v>
      </c>
      <c r="N3525" s="33">
        <f>IFERROR(__xludf.DUMMYFUNCTION("""COMPUTED_VALUE"""),45900.0)</f>
        <v>45900</v>
      </c>
      <c r="O3525" s="20"/>
      <c r="P3525" s="32" t="str">
        <f>IFERROR(__xludf.DUMMYFUNCTION("""COMPUTED_VALUE"""),"否")</f>
        <v>否</v>
      </c>
      <c r="Q3525" s="30" t="str">
        <f>IFERROR(__xludf.DUMMYFUNCTION("""COMPUTED_VALUE"""),"虐げられ乙女の幸せな嫁入り アンソロジーコミック: 4からの単話化")</f>
        <v>虐げられ乙女の幸せな嫁入り アンソロジーコミック: 4からの単話化</v>
      </c>
      <c r="R3525" s="22"/>
      <c r="S3525" s="22" t="str">
        <f>IFERROR(__xludf.DUMMYFUNCTION("""COMPUTED_VALUE"""),"20250626_一迅社_先読み神子の嫁入り〜嫌われ巫女は妖狐に望まれる〜")</f>
        <v>20250626_一迅社_先読み神子の嫁入り〜嫌われ巫女は妖狐に望まれる〜</v>
      </c>
      <c r="T3525" s="22" t="str">
        <f>IFERROR(__xludf.DUMMYFUNCTION("""COMPUTED_VALUE"""),"格納済み")</f>
        <v>格納済み</v>
      </c>
      <c r="U3525" s="9" t="str">
        <f>IFERROR(__xludf.DUMMYFUNCTION("""COMPUTED_VALUE"""),"（C）青井よる・関谷れい／一迅社")</f>
        <v>（C）青井よる・関谷れい／一迅社</v>
      </c>
      <c r="V3525" s="8"/>
      <c r="W3525" s="8"/>
      <c r="X3525" s="8" t="str">
        <f>IFERROR(__xludf.DUMMYFUNCTION("""COMPUTED_VALUE"""),"有")</f>
        <v>有</v>
      </c>
      <c r="Y3525" s="8" t="str">
        <f>IFERROR(__xludf.DUMMYFUNCTION("""COMPUTED_VALUE"""),"P7まで")</f>
        <v>P7まで</v>
      </c>
      <c r="Z3525" s="7"/>
      <c r="AA3525" s="7"/>
      <c r="AB3525" s="7"/>
    </row>
    <row r="3526" ht="15.75" customHeight="1">
      <c r="A3526" s="26">
        <f>IFERROR(__xludf.DUMMYFUNCTION("""COMPUTED_VALUE"""),5215.0)</f>
        <v>5215</v>
      </c>
      <c r="B3526" s="22" t="str">
        <f>IFERROR(__xludf.DUMMYFUNCTION("""COMPUTED_VALUE"""),"確定")</f>
        <v>確定</v>
      </c>
      <c r="C3526" s="28">
        <f>IFERROR(__xludf.DUMMYFUNCTION("""COMPUTED_VALUE"""),45726.0)</f>
        <v>45726</v>
      </c>
      <c r="D3526" s="28">
        <f>IFERROR(__xludf.DUMMYFUNCTION("""COMPUTED_VALUE"""),45840.0)</f>
        <v>45840</v>
      </c>
      <c r="E3526" s="26">
        <f>IFERROR(__xludf.DUMMYFUNCTION("""COMPUTED_VALUE"""),328970.0)</f>
        <v>328970</v>
      </c>
      <c r="F3526" s="22" t="str">
        <f>IFERROR(__xludf.DUMMYFUNCTION("""COMPUTED_VALUE"""),"【単話版】モンスターマザー")</f>
        <v>【単話版】モンスターマザー</v>
      </c>
      <c r="G3526" s="220" t="str">
        <f>IFERROR(__xludf.DUMMYFUNCTION("""COMPUTED_VALUE"""),"1～8")</f>
        <v>1～8</v>
      </c>
      <c r="H3526" s="22" t="str">
        <f>IFERROR(__xludf.DUMMYFUNCTION("""COMPUTED_VALUE"""),"原案：福田ますみ／漫画：長堀かおる")</f>
        <v>原案：福田ますみ／漫画：長堀かおる</v>
      </c>
      <c r="I3526" s="22" t="str">
        <f>IFERROR(__xludf.DUMMYFUNCTION("""COMPUTED_VALUE"""),"青年")</f>
        <v>青年</v>
      </c>
      <c r="J3526" s="22"/>
      <c r="K3526" s="22"/>
      <c r="L3526" s="22" t="str">
        <f>IFERROR(__xludf.DUMMYFUNCTION("""COMPUTED_VALUE"""),"新潮社")</f>
        <v>新潮社</v>
      </c>
      <c r="M3526" s="33">
        <f>IFERROR(__xludf.DUMMYFUNCTION("""COMPUTED_VALUE"""),45894.0)</f>
        <v>45894</v>
      </c>
      <c r="N3526" s="33">
        <f>IFERROR(__xludf.DUMMYFUNCTION("""COMPUTED_VALUE"""),46021.0)</f>
        <v>46021</v>
      </c>
      <c r="O3526" s="20"/>
      <c r="P3526" s="32" t="str">
        <f>IFERROR(__xludf.DUMMYFUNCTION("""COMPUTED_VALUE"""),"可")</f>
        <v>可</v>
      </c>
      <c r="Q3526" s="30" t="str">
        <f>IFERROR(__xludf.DUMMYFUNCTION("""COMPUTED_VALUE"""),"続刊9話は9/9配信予定です！&lt;BR&gt;よろしくお願いいたします。")</f>
        <v>続刊9話は9/9配信予定です！&lt;BR&gt;よろしくお願いいたします。</v>
      </c>
      <c r="R3526" s="22" t="str">
        <f>IFERROR(__xludf.DUMMYFUNCTION("""COMPUTED_VALUE"""),"コミットOK")</f>
        <v>コミットOK</v>
      </c>
      <c r="S3526" s="22" t="str">
        <f>IFERROR(__xludf.DUMMYFUNCTION("""COMPUTED_VALUE"""),"20250630_新潮社_モンスターマザー")</f>
        <v>20250630_新潮社_モンスターマザー</v>
      </c>
      <c r="T3526" s="22" t="str">
        <f>IFERROR(__xludf.DUMMYFUNCTION("""COMPUTED_VALUE"""),"格納済み")</f>
        <v>格納済み</v>
      </c>
      <c r="U3526" s="9" t="str">
        <f>IFERROR(__xludf.DUMMYFUNCTION("""COMPUTED_VALUE"""),"Ⓒ福田ますみ 長堀かおる／新潮社")</f>
        <v>Ⓒ福田ますみ 長堀かおる／新潮社</v>
      </c>
      <c r="V3526" s="8"/>
      <c r="W3526" s="8"/>
      <c r="X3526" s="8" t="str">
        <f>IFERROR(__xludf.DUMMYFUNCTION("""COMPUTED_VALUE"""),"有")</f>
        <v>有</v>
      </c>
      <c r="Y3526" s="8" t="str">
        <f>IFERROR(__xludf.DUMMYFUNCTION("""COMPUTED_VALUE"""),"2025/11/30まで1~3巻無料")</f>
        <v>2025/11/30まで1~3巻無料</v>
      </c>
      <c r="Z3526" s="7"/>
      <c r="AA3526" s="7"/>
      <c r="AB3526" s="7"/>
    </row>
    <row r="3527" ht="15.75" customHeight="1">
      <c r="A3527" s="26">
        <f>IFERROR(__xludf.DUMMYFUNCTION("""COMPUTED_VALUE"""),5395.0)</f>
        <v>5395</v>
      </c>
      <c r="B3527" s="22" t="str">
        <f>IFERROR(__xludf.DUMMYFUNCTION("""COMPUTED_VALUE"""),"確定")</f>
        <v>確定</v>
      </c>
      <c r="C3527" s="28">
        <f>IFERROR(__xludf.DUMMYFUNCTION("""COMPUTED_VALUE"""),45748.0)</f>
        <v>45748</v>
      </c>
      <c r="D3527" s="28">
        <f>IFERROR(__xludf.DUMMYFUNCTION("""COMPUTED_VALUE"""),45838.0)</f>
        <v>45838</v>
      </c>
      <c r="E3527" s="26">
        <f>IFERROR(__xludf.DUMMYFUNCTION("""COMPUTED_VALUE"""),328823.0)</f>
        <v>328823</v>
      </c>
      <c r="F3527" s="22" t="str">
        <f>IFERROR(__xludf.DUMMYFUNCTION("""COMPUTED_VALUE"""),"龍神皇帝と秘密のつがいの寵妃～深愛を注がれ世継ぎを身ごもりました～【分冊版】")</f>
        <v>龍神皇帝と秘密のつがいの寵妃～深愛を注がれ世継ぎを身ごもりました～【分冊版】</v>
      </c>
      <c r="G3527" s="220" t="str">
        <f>IFERROR(__xludf.DUMMYFUNCTION("""COMPUTED_VALUE"""),"1～3")</f>
        <v>1～3</v>
      </c>
      <c r="H3527" s="22" t="str">
        <f>IFERROR(__xludf.DUMMYFUNCTION("""COMPUTED_VALUE"""),"天領寺セナ,吉澤紗矢")</f>
        <v>天領寺セナ,吉澤紗矢</v>
      </c>
      <c r="I3527" s="22" t="str">
        <f>IFERROR(__xludf.DUMMYFUNCTION("""COMPUTED_VALUE"""),"女性")</f>
        <v>女性</v>
      </c>
      <c r="J3527" s="22"/>
      <c r="K3527" s="22" t="str">
        <f>IFERROR(__xludf.DUMMYFUNCTION("""COMPUTED_VALUE"""),"プティルファンタジーコミックス")</f>
        <v>プティルファンタジーコミックス</v>
      </c>
      <c r="L3527" s="22" t="str">
        <f>IFERROR(__xludf.DUMMYFUNCTION("""COMPUTED_VALUE"""),"ハーパーコリンズ・ジャパン")</f>
        <v>ハーパーコリンズ・ジャパン</v>
      </c>
      <c r="M3527" s="33">
        <f>IFERROR(__xludf.DUMMYFUNCTION("""COMPUTED_VALUE"""),45861.0)</f>
        <v>45861</v>
      </c>
      <c r="N3527" s="33">
        <f>IFERROR(__xludf.DUMMYFUNCTION("""COMPUTED_VALUE"""),45921.0)</f>
        <v>45921</v>
      </c>
      <c r="O3527" s="20"/>
      <c r="P3527" s="32" t="str">
        <f>IFERROR(__xludf.DUMMYFUNCTION("""COMPUTED_VALUE"""),"可")</f>
        <v>可</v>
      </c>
      <c r="Q3527" s="30"/>
      <c r="R3527" s="22" t="str">
        <f>IFERROR(__xludf.DUMMYFUNCTION("""COMPUTED_VALUE"""),"コミットNG")</f>
        <v>コミットNG</v>
      </c>
      <c r="S3527" s="22" t="str">
        <f>IFERROR(__xludf.DUMMYFUNCTION("""COMPUTED_VALUE"""),"20250630_ハーパーコリンズ・ジャパン_龍神皇帝と秘密のつがいの寵妃～深愛を注がれ世継ぎを身ごもりました～【分冊版】")</f>
        <v>20250630_ハーパーコリンズ・ジャパン_龍神皇帝と秘密のつがいの寵妃～深愛を注がれ世継ぎを身ごもりました～【分冊版】</v>
      </c>
      <c r="T3527" s="22" t="str">
        <f>IFERROR(__xludf.DUMMYFUNCTION("""COMPUTED_VALUE"""),"格納済み")</f>
        <v>格納済み</v>
      </c>
      <c r="U3527" s="9" t="str">
        <f>IFERROR(__xludf.DUMMYFUNCTION("""COMPUTED_VALUE"""),"Ⓒ天領寺セナ・吉澤紗矢／ハーパーコリンズ・ジャパン")</f>
        <v>Ⓒ天領寺セナ・吉澤紗矢／ハーパーコリンズ・ジャパン</v>
      </c>
      <c r="V3527" s="8"/>
      <c r="W3527" s="8"/>
      <c r="X3527" s="8" t="str">
        <f>IFERROR(__xludf.DUMMYFUNCTION("""COMPUTED_VALUE"""),"有")</f>
        <v>有</v>
      </c>
      <c r="Y3527" s="8" t="str">
        <f>IFERROR(__xludf.DUMMYFUNCTION("""COMPUTED_VALUE"""),"2025/8/5まで1巻無料")</f>
        <v>2025/8/5まで1巻無料</v>
      </c>
      <c r="Z3527" s="7"/>
      <c r="AA3527" s="7"/>
      <c r="AB3527" s="7"/>
    </row>
    <row r="3528" ht="15.75" customHeight="1">
      <c r="A3528" s="26">
        <f>IFERROR(__xludf.DUMMYFUNCTION("""COMPUTED_VALUE"""),5497.0)</f>
        <v>5497</v>
      </c>
      <c r="B3528" s="22" t="str">
        <f>IFERROR(__xludf.DUMMYFUNCTION("""COMPUTED_VALUE"""),"確定")</f>
        <v>確定</v>
      </c>
      <c r="C3528" s="28">
        <f>IFERROR(__xludf.DUMMYFUNCTION("""COMPUTED_VALUE"""),45763.0)</f>
        <v>45763</v>
      </c>
      <c r="D3528" s="28">
        <f>IFERROR(__xludf.DUMMYFUNCTION("""COMPUTED_VALUE"""),45838.0)</f>
        <v>45838</v>
      </c>
      <c r="E3528" s="26">
        <f>IFERROR(__xludf.DUMMYFUNCTION("""COMPUTED_VALUE"""),329082.0)</f>
        <v>329082</v>
      </c>
      <c r="F3528" s="22" t="str">
        <f>IFERROR(__xludf.DUMMYFUNCTION("""COMPUTED_VALUE"""),"はじめてのおにいちゃん 分冊版")</f>
        <v>はじめてのおにいちゃん 分冊版</v>
      </c>
      <c r="G3528" s="220" t="str">
        <f>IFERROR(__xludf.DUMMYFUNCTION("""COMPUTED_VALUE"""),"1～4")</f>
        <v>1～4</v>
      </c>
      <c r="H3528" s="22" t="str">
        <f>IFERROR(__xludf.DUMMYFUNCTION("""COMPUTED_VALUE"""),"香純裕子")</f>
        <v>香純裕子</v>
      </c>
      <c r="I3528" s="22" t="str">
        <f>IFERROR(__xludf.DUMMYFUNCTION("""COMPUTED_VALUE"""),"少女")</f>
        <v>少女</v>
      </c>
      <c r="J3528" s="22"/>
      <c r="K3528" s="22"/>
      <c r="L3528" s="22" t="str">
        <f>IFERROR(__xludf.DUMMYFUNCTION("""COMPUTED_VALUE"""),"集英社")</f>
        <v>集英社</v>
      </c>
      <c r="M3528" s="33">
        <f>IFERROR(__xludf.DUMMYFUNCTION("""COMPUTED_VALUE"""),45863.0)</f>
        <v>45863</v>
      </c>
      <c r="N3528" s="33">
        <f>IFERROR(__xludf.DUMMYFUNCTION("""COMPUTED_VALUE"""),45953.66666666667)</f>
        <v>45953.66667</v>
      </c>
      <c r="O3528" s="20"/>
      <c r="P3528" s="32" t="str">
        <f>IFERROR(__xludf.DUMMYFUNCTION("""COMPUTED_VALUE"""),"否")</f>
        <v>否</v>
      </c>
      <c r="Q3528" s="30"/>
      <c r="R3528" s="22" t="str">
        <f>IFERROR(__xludf.DUMMYFUNCTION("""COMPUTED_VALUE"""),"コミットOK")</f>
        <v>コミットOK</v>
      </c>
      <c r="S3528" s="22" t="str">
        <f>IFERROR(__xludf.DUMMYFUNCTION("""COMPUTED_VALUE"""),"20260626_集英社_はじめてのおにいちゃん")</f>
        <v>20260626_集英社_はじめてのおにいちゃん</v>
      </c>
      <c r="T3528" s="22" t="str">
        <f>IFERROR(__xludf.DUMMYFUNCTION("""COMPUTED_VALUE"""),"格納済み")</f>
        <v>格納済み</v>
      </c>
      <c r="U3528" s="9" t="str">
        <f>IFERROR(__xludf.DUMMYFUNCTION("""COMPUTED_VALUE"""),"(C)香純裕子／集英社")</f>
        <v>(C)香純裕子／集英社</v>
      </c>
      <c r="V3528" s="8"/>
      <c r="W3528" s="8"/>
      <c r="X3528" s="8" t="str">
        <f>IFERROR(__xludf.DUMMYFUNCTION("""COMPUTED_VALUE"""),"有")</f>
        <v>有</v>
      </c>
      <c r="Y3528" s="8" t="str">
        <f>IFERROR(__xludf.DUMMYFUNCTION("""COMPUTED_VALUE"""),"2025/8/24まで1巻無料")</f>
        <v>2025/8/24まで1巻無料</v>
      </c>
      <c r="Z3528" s="7"/>
      <c r="AA3528" s="7"/>
      <c r="AB3528" s="7"/>
    </row>
    <row r="3529" ht="15.75" customHeight="1">
      <c r="A3529" s="26">
        <f>IFERROR(__xludf.DUMMYFUNCTION("""COMPUTED_VALUE"""),5579.0)</f>
        <v>5579</v>
      </c>
      <c r="B3529" s="22" t="str">
        <f>IFERROR(__xludf.DUMMYFUNCTION("""COMPUTED_VALUE"""),"確定")</f>
        <v>確定</v>
      </c>
      <c r="C3529" s="28">
        <f>IFERROR(__xludf.DUMMYFUNCTION("""COMPUTED_VALUE"""),45785.0)</f>
        <v>45785</v>
      </c>
      <c r="D3529" s="28">
        <f>IFERROR(__xludf.DUMMYFUNCTION("""COMPUTED_VALUE"""),45833.0)</f>
        <v>45833</v>
      </c>
      <c r="E3529" s="26">
        <f>IFERROR(__xludf.DUMMYFUNCTION("""COMPUTED_VALUE"""),328858.0)</f>
        <v>328858</v>
      </c>
      <c r="F3529" s="22" t="str">
        <f>IFERROR(__xludf.DUMMYFUNCTION("""COMPUTED_VALUE"""),"果報を待っていた【白抜き修正版】")</f>
        <v>果報を待っていた【白抜き修正版】</v>
      </c>
      <c r="G3529" s="20">
        <f>IFERROR(__xludf.DUMMYFUNCTION("""COMPUTED_VALUE"""),1.0)</f>
        <v>1</v>
      </c>
      <c r="H3529" s="22" t="str">
        <f>IFERROR(__xludf.DUMMYFUNCTION("""COMPUTED_VALUE"""),"五梅えるこ")</f>
        <v>五梅えるこ</v>
      </c>
      <c r="I3529" s="22" t="str">
        <f>IFERROR(__xludf.DUMMYFUNCTION("""COMPUTED_VALUE"""),"BL")</f>
        <v>BL</v>
      </c>
      <c r="J3529" s="22"/>
      <c r="K3529" s="22" t="str">
        <f>IFERROR(__xludf.DUMMYFUNCTION("""COMPUTED_VALUE"""),"Blend")</f>
        <v>Blend</v>
      </c>
      <c r="L3529" s="22" t="str">
        <f>IFERROR(__xludf.DUMMYFUNCTION("""COMPUTED_VALUE"""),"ナンバーナイン")</f>
        <v>ナンバーナイン</v>
      </c>
      <c r="M3529" s="33">
        <f>IFERROR(__xludf.DUMMYFUNCTION("""COMPUTED_VALUE"""),45849.0)</f>
        <v>45849</v>
      </c>
      <c r="N3529" s="33">
        <f>IFERROR(__xludf.DUMMYFUNCTION("""COMPUTED_VALUE"""),45910.0)</f>
        <v>45910</v>
      </c>
      <c r="O3529" s="20"/>
      <c r="P3529" s="32" t="str">
        <f>IFERROR(__xludf.DUMMYFUNCTION("""COMPUTED_VALUE"""),"可")</f>
        <v>可</v>
      </c>
      <c r="Q3529" s="30" t="str">
        <f>IFERROR(__xludf.DUMMYFUNCTION("""COMPUTED_VALUE"""),"【アダルト作品扱い】")</f>
        <v>【アダルト作品扱い】</v>
      </c>
      <c r="R3529" s="22"/>
      <c r="S3529" s="22" t="str">
        <f>IFERROR(__xludf.DUMMYFUNCTION("""COMPUTED_VALUE"""),"20250623_ナンバーナイン_果報を待っていた【白抜き修正版】")</f>
        <v>20250623_ナンバーナイン_果報を待っていた【白抜き修正版】</v>
      </c>
      <c r="T3529" s="22" t="str">
        <f>IFERROR(__xludf.DUMMYFUNCTION("""COMPUTED_VALUE"""),"格納済み")</f>
        <v>格納済み</v>
      </c>
      <c r="U3529" s="9" t="str">
        <f>IFERROR(__xludf.DUMMYFUNCTION("""COMPUTED_VALUE"""),"(C)五梅えるこ/ナンバーナイン")</f>
        <v>(C)五梅えるこ/ナンバーナイン</v>
      </c>
      <c r="V3529" s="8"/>
      <c r="W3529" s="8"/>
      <c r="X3529" s="8" t="str">
        <f>IFERROR(__xludf.DUMMYFUNCTION("""COMPUTED_VALUE"""),"有")</f>
        <v>有</v>
      </c>
      <c r="Y3529" s="8" t="str">
        <f>IFERROR(__xludf.DUMMYFUNCTION("""COMPUTED_VALUE"""),"P14まで")</f>
        <v>P14まで</v>
      </c>
      <c r="Z3529" s="7"/>
      <c r="AA3529" s="7"/>
      <c r="AB3529" s="7"/>
    </row>
    <row r="3530" ht="15.75" customHeight="1">
      <c r="A3530" s="26">
        <f>IFERROR(__xludf.DUMMYFUNCTION("""COMPUTED_VALUE"""),5580.0)</f>
        <v>5580</v>
      </c>
      <c r="B3530" s="22" t="str">
        <f>IFERROR(__xludf.DUMMYFUNCTION("""COMPUTED_VALUE"""),"確定")</f>
        <v>確定</v>
      </c>
      <c r="C3530" s="28">
        <f>IFERROR(__xludf.DUMMYFUNCTION("""COMPUTED_VALUE"""),45785.0)</f>
        <v>45785</v>
      </c>
      <c r="D3530" s="28">
        <f>IFERROR(__xludf.DUMMYFUNCTION("""COMPUTED_VALUE"""),45833.0)</f>
        <v>45833</v>
      </c>
      <c r="E3530" s="26">
        <f>IFERROR(__xludf.DUMMYFUNCTION("""COMPUTED_VALUE"""),328857.0)</f>
        <v>328857</v>
      </c>
      <c r="F3530" s="22" t="str">
        <f>IFERROR(__xludf.DUMMYFUNCTION("""COMPUTED_VALUE"""),"果報を待っていた【R-18版】")</f>
        <v>果報を待っていた【R-18版】</v>
      </c>
      <c r="G3530" s="20">
        <f>IFERROR(__xludf.DUMMYFUNCTION("""COMPUTED_VALUE"""),1.0)</f>
        <v>1</v>
      </c>
      <c r="H3530" s="22" t="str">
        <f>IFERROR(__xludf.DUMMYFUNCTION("""COMPUTED_VALUE"""),"五梅えるこ")</f>
        <v>五梅えるこ</v>
      </c>
      <c r="I3530" s="22" t="str">
        <f>IFERROR(__xludf.DUMMYFUNCTION("""COMPUTED_VALUE"""),"BL")</f>
        <v>BL</v>
      </c>
      <c r="J3530" s="22"/>
      <c r="K3530" s="22" t="str">
        <f>IFERROR(__xludf.DUMMYFUNCTION("""COMPUTED_VALUE"""),"Blend")</f>
        <v>Blend</v>
      </c>
      <c r="L3530" s="22" t="str">
        <f>IFERROR(__xludf.DUMMYFUNCTION("""COMPUTED_VALUE"""),"ナンバーナイン")</f>
        <v>ナンバーナイン</v>
      </c>
      <c r="M3530" s="33">
        <f>IFERROR(__xludf.DUMMYFUNCTION("""COMPUTED_VALUE"""),45849.0)</f>
        <v>45849</v>
      </c>
      <c r="N3530" s="33">
        <f>IFERROR(__xludf.DUMMYFUNCTION("""COMPUTED_VALUE"""),45910.0)</f>
        <v>45910</v>
      </c>
      <c r="O3530" s="20"/>
      <c r="P3530" s="32" t="str">
        <f>IFERROR(__xludf.DUMMYFUNCTION("""COMPUTED_VALUE"""),"可")</f>
        <v>可</v>
      </c>
      <c r="Q3530" s="30" t="str">
        <f>IFERROR(__xludf.DUMMYFUNCTION("""COMPUTED_VALUE"""),"【アダルト作品扱い】")</f>
        <v>【アダルト作品扱い】</v>
      </c>
      <c r="R3530" s="22"/>
      <c r="S3530" s="22" t="str">
        <f>IFERROR(__xludf.DUMMYFUNCTION("""COMPUTED_VALUE"""),"20250623_ナンバーナイン_果報を待っていた【R18版】")</f>
        <v>20250623_ナンバーナイン_果報を待っていた【R18版】</v>
      </c>
      <c r="T3530" s="22" t="str">
        <f>IFERROR(__xludf.DUMMYFUNCTION("""COMPUTED_VALUE"""),"格納済み")</f>
        <v>格納済み</v>
      </c>
      <c r="U3530" s="9" t="str">
        <f>IFERROR(__xludf.DUMMYFUNCTION("""COMPUTED_VALUE"""),"(C)五梅えるこ/ナンバーナイン")</f>
        <v>(C)五梅えるこ/ナンバーナイン</v>
      </c>
      <c r="V3530" s="8"/>
      <c r="W3530" s="8"/>
      <c r="X3530" s="8" t="str">
        <f>IFERROR(__xludf.DUMMYFUNCTION("""COMPUTED_VALUE"""),"有")</f>
        <v>有</v>
      </c>
      <c r="Y3530" s="8" t="str">
        <f>IFERROR(__xludf.DUMMYFUNCTION("""COMPUTED_VALUE"""),"2025/9/10まで1巻立ち読み増量(P24まで)")</f>
        <v>2025/9/10まで1巻立ち読み増量(P24まで)</v>
      </c>
      <c r="Z3530" s="7"/>
      <c r="AA3530" s="7"/>
      <c r="AB3530" s="7"/>
    </row>
    <row r="3531" ht="15.75" customHeight="1">
      <c r="A3531" s="26">
        <f>IFERROR(__xludf.DUMMYFUNCTION("""COMPUTED_VALUE"""),5581.0)</f>
        <v>5581</v>
      </c>
      <c r="B3531" s="22" t="str">
        <f>IFERROR(__xludf.DUMMYFUNCTION("""COMPUTED_VALUE"""),"確定")</f>
        <v>確定</v>
      </c>
      <c r="C3531" s="28">
        <f>IFERROR(__xludf.DUMMYFUNCTION("""COMPUTED_VALUE"""),45785.0)</f>
        <v>45785</v>
      </c>
      <c r="D3531" s="28">
        <f>IFERROR(__xludf.DUMMYFUNCTION("""COMPUTED_VALUE"""),45833.0)</f>
        <v>45833</v>
      </c>
      <c r="E3531" s="26">
        <f>IFERROR(__xludf.DUMMYFUNCTION("""COMPUTED_VALUE"""),328855.0)</f>
        <v>328855</v>
      </c>
      <c r="F3531" s="22" t="str">
        <f>IFERROR(__xludf.DUMMYFUNCTION("""COMPUTED_VALUE"""),"果報を待っていた【白抜き修正・分冊版】")</f>
        <v>果報を待っていた【白抜き修正・分冊版】</v>
      </c>
      <c r="G3531" s="220" t="str">
        <f>IFERROR(__xludf.DUMMYFUNCTION("""COMPUTED_VALUE"""),"1～2")</f>
        <v>1～2</v>
      </c>
      <c r="H3531" s="22" t="str">
        <f>IFERROR(__xludf.DUMMYFUNCTION("""COMPUTED_VALUE"""),"五梅えるこ")</f>
        <v>五梅えるこ</v>
      </c>
      <c r="I3531" s="22" t="str">
        <f>IFERROR(__xludf.DUMMYFUNCTION("""COMPUTED_VALUE"""),"BL")</f>
        <v>BL</v>
      </c>
      <c r="J3531" s="22"/>
      <c r="K3531" s="22" t="str">
        <f>IFERROR(__xludf.DUMMYFUNCTION("""COMPUTED_VALUE"""),"Blend")</f>
        <v>Blend</v>
      </c>
      <c r="L3531" s="22" t="str">
        <f>IFERROR(__xludf.DUMMYFUNCTION("""COMPUTED_VALUE"""),"ナンバーナイン")</f>
        <v>ナンバーナイン</v>
      </c>
      <c r="M3531" s="33">
        <f>IFERROR(__xludf.DUMMYFUNCTION("""COMPUTED_VALUE"""),45849.0)</f>
        <v>45849</v>
      </c>
      <c r="N3531" s="33">
        <f>IFERROR(__xludf.DUMMYFUNCTION("""COMPUTED_VALUE"""),45910.0)</f>
        <v>45910</v>
      </c>
      <c r="O3531" s="20"/>
      <c r="P3531" s="32" t="str">
        <f>IFERROR(__xludf.DUMMYFUNCTION("""COMPUTED_VALUE"""),"可")</f>
        <v>可</v>
      </c>
      <c r="Q3531" s="30" t="str">
        <f>IFERROR(__xludf.DUMMYFUNCTION("""COMPUTED_VALUE"""),"【アダルト作品扱い】")</f>
        <v>【アダルト作品扱い】</v>
      </c>
      <c r="R3531" s="22" t="str">
        <f>IFERROR(__xludf.DUMMYFUNCTION("""COMPUTED_VALUE"""),"コミットNG")</f>
        <v>コミットNG</v>
      </c>
      <c r="S3531" s="22" t="str">
        <f>IFERROR(__xludf.DUMMYFUNCTION("""COMPUTED_VALUE"""),"20250623_ナンバーナイン_果報を待っていた 【白抜き修正・分冊版】")</f>
        <v>20250623_ナンバーナイン_果報を待っていた 【白抜き修正・分冊版】</v>
      </c>
      <c r="T3531" s="22" t="str">
        <f>IFERROR(__xludf.DUMMYFUNCTION("""COMPUTED_VALUE"""),"格納済み")</f>
        <v>格納済み</v>
      </c>
      <c r="U3531" s="9" t="str">
        <f>IFERROR(__xludf.DUMMYFUNCTION("""COMPUTED_VALUE"""),"(C)五梅えるこ/ナンバーナイン")</f>
        <v>(C)五梅えるこ/ナンバーナイン</v>
      </c>
      <c r="V3531" s="8"/>
      <c r="W3531" s="8"/>
      <c r="X3531" s="8" t="str">
        <f>IFERROR(__xludf.DUMMYFUNCTION("""COMPUTED_VALUE"""),"有")</f>
        <v>有</v>
      </c>
      <c r="Y3531" s="8" t="str">
        <f>IFERROR(__xludf.DUMMYFUNCTION("""COMPUTED_VALUE"""),"P14まで")</f>
        <v>P14まで</v>
      </c>
      <c r="Z3531" s="7"/>
      <c r="AA3531" s="7"/>
      <c r="AB3531" s="7"/>
    </row>
    <row r="3532" ht="15.75" customHeight="1">
      <c r="A3532" s="26">
        <f>IFERROR(__xludf.DUMMYFUNCTION("""COMPUTED_VALUE"""),5582.0)</f>
        <v>5582</v>
      </c>
      <c r="B3532" s="22" t="str">
        <f>IFERROR(__xludf.DUMMYFUNCTION("""COMPUTED_VALUE"""),"確定")</f>
        <v>確定</v>
      </c>
      <c r="C3532" s="28">
        <f>IFERROR(__xludf.DUMMYFUNCTION("""COMPUTED_VALUE"""),45785.0)</f>
        <v>45785</v>
      </c>
      <c r="D3532" s="28">
        <f>IFERROR(__xludf.DUMMYFUNCTION("""COMPUTED_VALUE"""),45833.0)</f>
        <v>45833</v>
      </c>
      <c r="E3532" s="26">
        <f>IFERROR(__xludf.DUMMYFUNCTION("""COMPUTED_VALUE"""),328856.0)</f>
        <v>328856</v>
      </c>
      <c r="F3532" s="22" t="str">
        <f>IFERROR(__xludf.DUMMYFUNCTION("""COMPUTED_VALUE"""),"果報を待っていた【R-18・分冊版】")</f>
        <v>果報を待っていた【R-18・分冊版】</v>
      </c>
      <c r="G3532" s="220" t="str">
        <f>IFERROR(__xludf.DUMMYFUNCTION("""COMPUTED_VALUE"""),"1～2")</f>
        <v>1～2</v>
      </c>
      <c r="H3532" s="22" t="str">
        <f>IFERROR(__xludf.DUMMYFUNCTION("""COMPUTED_VALUE"""),"五梅えるこ")</f>
        <v>五梅えるこ</v>
      </c>
      <c r="I3532" s="22" t="str">
        <f>IFERROR(__xludf.DUMMYFUNCTION("""COMPUTED_VALUE"""),"BL")</f>
        <v>BL</v>
      </c>
      <c r="J3532" s="22"/>
      <c r="K3532" s="22" t="str">
        <f>IFERROR(__xludf.DUMMYFUNCTION("""COMPUTED_VALUE"""),"Blend")</f>
        <v>Blend</v>
      </c>
      <c r="L3532" s="22" t="str">
        <f>IFERROR(__xludf.DUMMYFUNCTION("""COMPUTED_VALUE"""),"ナンバーナイン")</f>
        <v>ナンバーナイン</v>
      </c>
      <c r="M3532" s="33">
        <f>IFERROR(__xludf.DUMMYFUNCTION("""COMPUTED_VALUE"""),45849.0)</f>
        <v>45849</v>
      </c>
      <c r="N3532" s="33">
        <f>IFERROR(__xludf.DUMMYFUNCTION("""COMPUTED_VALUE"""),45910.0)</f>
        <v>45910</v>
      </c>
      <c r="O3532" s="20"/>
      <c r="P3532" s="32" t="str">
        <f>IFERROR(__xludf.DUMMYFUNCTION("""COMPUTED_VALUE"""),"可")</f>
        <v>可</v>
      </c>
      <c r="Q3532" s="30" t="str">
        <f>IFERROR(__xludf.DUMMYFUNCTION("""COMPUTED_VALUE"""),"アダルト面のみ出稿可")</f>
        <v>アダルト面のみ出稿可</v>
      </c>
      <c r="R3532" s="22" t="str">
        <f>IFERROR(__xludf.DUMMYFUNCTION("""COMPUTED_VALUE"""),"コミットOK")</f>
        <v>コミットOK</v>
      </c>
      <c r="S3532" s="22" t="str">
        <f>IFERROR(__xludf.DUMMYFUNCTION("""COMPUTED_VALUE"""),"20250623_ナンバーナイン_果報を待っていた【R18・分冊版】")</f>
        <v>20250623_ナンバーナイン_果報を待っていた【R18・分冊版】</v>
      </c>
      <c r="T3532" s="22" t="str">
        <f>IFERROR(__xludf.DUMMYFUNCTION("""COMPUTED_VALUE"""),"格納済み")</f>
        <v>格納済み</v>
      </c>
      <c r="U3532" s="9" t="str">
        <f>IFERROR(__xludf.DUMMYFUNCTION("""COMPUTED_VALUE"""),"Ⓒ五梅えるこ/ナンバーナイン")</f>
        <v>Ⓒ五梅えるこ/ナンバーナイン</v>
      </c>
      <c r="V3532" s="8"/>
      <c r="W3532" s="8"/>
      <c r="X3532" s="8" t="str">
        <f>IFERROR(__xludf.DUMMYFUNCTION("""COMPUTED_VALUE"""),"有")</f>
        <v>有</v>
      </c>
      <c r="Y3532" s="8" t="str">
        <f>IFERROR(__xludf.DUMMYFUNCTION("""COMPUTED_VALUE"""),"2025/9/10まで1巻立ち読み増量(P24まで)")</f>
        <v>2025/9/10まで1巻立ち読み増量(P24まで)</v>
      </c>
      <c r="Z3532" s="7"/>
      <c r="AA3532" s="7"/>
      <c r="AB3532" s="7"/>
    </row>
    <row r="3533" ht="15.75" customHeight="1">
      <c r="A3533" s="26">
        <f>IFERROR(__xludf.DUMMYFUNCTION("""COMPUTED_VALUE"""),5594.0)</f>
        <v>5594</v>
      </c>
      <c r="B3533" s="22" t="str">
        <f>IFERROR(__xludf.DUMMYFUNCTION("""COMPUTED_VALUE"""),"確定")</f>
        <v>確定</v>
      </c>
      <c r="C3533" s="28">
        <f>IFERROR(__xludf.DUMMYFUNCTION("""COMPUTED_VALUE"""),45789.0)</f>
        <v>45789</v>
      </c>
      <c r="D3533" s="28">
        <f>IFERROR(__xludf.DUMMYFUNCTION("""COMPUTED_VALUE"""),45839.0)</f>
        <v>45839</v>
      </c>
      <c r="E3533" s="26">
        <f>IFERROR(__xludf.DUMMYFUNCTION("""COMPUTED_VALUE"""),330484.0)</f>
        <v>330484</v>
      </c>
      <c r="F3533" s="22" t="str">
        <f>IFERROR(__xludf.DUMMYFUNCTION("""COMPUTED_VALUE"""),"海猫の泣く頃、君と港で")</f>
        <v>海猫の泣く頃、君と港で</v>
      </c>
      <c r="G3533" s="220" t="str">
        <f>IFERROR(__xludf.DUMMYFUNCTION("""COMPUTED_VALUE"""),"1～3")</f>
        <v>1～3</v>
      </c>
      <c r="H3533" s="22" t="str">
        <f>IFERROR(__xludf.DUMMYFUNCTION("""COMPUTED_VALUE"""),"八重代七瑚")</f>
        <v>八重代七瑚</v>
      </c>
      <c r="I3533" s="22" t="str">
        <f>IFERROR(__xludf.DUMMYFUNCTION("""COMPUTED_VALUE"""),"TL")</f>
        <v>TL</v>
      </c>
      <c r="J3533" s="22"/>
      <c r="K3533" s="22" t="str">
        <f>IFERROR(__xludf.DUMMYFUNCTION("""COMPUTED_VALUE"""),"メルト")</f>
        <v>メルト</v>
      </c>
      <c r="L3533" s="22" t="str">
        <f>IFERROR(__xludf.DUMMYFUNCTION("""COMPUTED_VALUE"""),"小学館")</f>
        <v>小学館</v>
      </c>
      <c r="M3533" s="33">
        <f>IFERROR(__xludf.DUMMYFUNCTION("""COMPUTED_VALUE"""),45870.0)</f>
        <v>45870</v>
      </c>
      <c r="N3533" s="33">
        <f>IFERROR(__xludf.DUMMYFUNCTION("""COMPUTED_VALUE"""),45932.0)</f>
        <v>45932</v>
      </c>
      <c r="O3533" s="20"/>
      <c r="P3533" s="32" t="str">
        <f>IFERROR(__xludf.DUMMYFUNCTION("""COMPUTED_VALUE"""),"可")</f>
        <v>可</v>
      </c>
      <c r="Q3533" s="30" t="str">
        <f>IFERROR(__xludf.DUMMYFUNCTION("""COMPUTED_VALUE"""),"シーモアでも好調な『甘く痺れて抜けない、義兄の棘～駿ちゃん、大好きです…』を配信中の八重代七瑚先生の新作となります。&lt;BR&gt;今作ではかなりドラマをしっかり描かれているので、&lt;BR&gt;展開はゆっくりですが読みごたえがある作品になるかと思いますし、12～15話くらいまでは連載が決定している現状となります。")</f>
        <v>シーモアでも好調な『甘く痺れて抜けない、義兄の棘～駿ちゃん、大好きです…』を配信中の八重代七瑚先生の新作となります。&lt;BR&gt;今作ではかなりドラマをしっかり描かれているので、&lt;BR&gt;展開はゆっくりですが読みごたえがある作品になるかと思いますし、12～15話くらいまでは連載が決定している現状となります。</v>
      </c>
      <c r="R3533" s="22" t="str">
        <f>IFERROR(__xludf.DUMMYFUNCTION("""COMPUTED_VALUE"""),"コミットNG")</f>
        <v>コミットNG</v>
      </c>
      <c r="S3533" s="22" t="str">
        <f>IFERROR(__xludf.DUMMYFUNCTION("""COMPUTED_VALUE"""),"20250801_小学館_海猫の泣く頃、君と港で")</f>
        <v>20250801_小学館_海猫の泣く頃、君と港で</v>
      </c>
      <c r="T3533" s="22" t="str">
        <f>IFERROR(__xludf.DUMMYFUNCTION("""COMPUTED_VALUE"""),"格納済み")</f>
        <v>格納済み</v>
      </c>
      <c r="U3533" s="9" t="str">
        <f>IFERROR(__xludf.DUMMYFUNCTION("""COMPUTED_VALUE"""),"(C)八重代七瑚 / 小学館")</f>
        <v>(C)八重代七瑚 / 小学館</v>
      </c>
      <c r="V3533" s="8"/>
      <c r="W3533" s="8"/>
      <c r="X3533" s="8" t="str">
        <f>IFERROR(__xludf.DUMMYFUNCTION("""COMPUTED_VALUE"""),"有")</f>
        <v>有</v>
      </c>
      <c r="Y3533" s="8" t="str">
        <f>IFERROR(__xludf.DUMMYFUNCTION("""COMPUTED_VALUE"""),"P14まで")</f>
        <v>P14まで</v>
      </c>
      <c r="Z3533" s="7"/>
      <c r="AA3533" s="7"/>
      <c r="AB3533" s="7"/>
    </row>
    <row r="3534" ht="15.75" customHeight="1">
      <c r="A3534" s="26">
        <f>IFERROR(__xludf.DUMMYFUNCTION("""COMPUTED_VALUE"""),5622.0)</f>
        <v>5622</v>
      </c>
      <c r="B3534" s="22" t="str">
        <f>IFERROR(__xludf.DUMMYFUNCTION("""COMPUTED_VALUE"""),"確定")</f>
        <v>確定</v>
      </c>
      <c r="C3534" s="28">
        <f>IFERROR(__xludf.DUMMYFUNCTION("""COMPUTED_VALUE"""),45791.0)</f>
        <v>45791</v>
      </c>
      <c r="D3534" s="28">
        <f>IFERROR(__xludf.DUMMYFUNCTION("""COMPUTED_VALUE"""),45840.0)</f>
        <v>45840</v>
      </c>
      <c r="E3534" s="26">
        <f>IFERROR(__xludf.DUMMYFUNCTION("""COMPUTED_VALUE"""),330558.0)</f>
        <v>330558</v>
      </c>
      <c r="F3534" s="22" t="str">
        <f>IFERROR(__xludf.DUMMYFUNCTION("""COMPUTED_VALUE"""),"身代わり男装令嬢は氷血の騎士に甘く愛される")</f>
        <v>身代わり男装令嬢は氷血の騎士に甘く愛される</v>
      </c>
      <c r="G3534" s="220" t="str">
        <f>IFERROR(__xludf.DUMMYFUNCTION("""COMPUTED_VALUE"""),"1～3")</f>
        <v>1～3</v>
      </c>
      <c r="H3534" s="22" t="str">
        <f>IFERROR(__xludf.DUMMYFUNCTION("""COMPUTED_VALUE"""),"狛笹（こまざさ）")</f>
        <v>狛笹（こまざさ）</v>
      </c>
      <c r="I3534" s="22" t="str">
        <f>IFERROR(__xludf.DUMMYFUNCTION("""COMPUTED_VALUE"""),"女性")</f>
        <v>女性</v>
      </c>
      <c r="J3534" s="22"/>
      <c r="K3534" s="22"/>
      <c r="L3534" s="22" t="str">
        <f>IFERROR(__xludf.DUMMYFUNCTION("""COMPUTED_VALUE"""),"DPNブックス")</f>
        <v>DPNブックス</v>
      </c>
      <c r="M3534" s="33">
        <f>IFERROR(__xludf.DUMMYFUNCTION("""COMPUTED_VALUE"""),45868.0)</f>
        <v>45868</v>
      </c>
      <c r="N3534" s="33">
        <f>IFERROR(__xludf.DUMMYFUNCTION("""COMPUTED_VALUE"""),45898.0)</f>
        <v>45898</v>
      </c>
      <c r="O3534" s="20"/>
      <c r="P3534" s="32" t="str">
        <f>IFERROR(__xludf.DUMMYFUNCTION("""COMPUTED_VALUE"""),"可")</f>
        <v>可</v>
      </c>
      <c r="Q3534" s="30" t="str">
        <f>IFERROR(__xludf.DUMMYFUNCTION("""COMPUTED_VALUE"""),"・自社書店であmusic.jpとの二社先行です")</f>
        <v>・自社書店であmusic.jpとの二社先行です</v>
      </c>
      <c r="R3534" s="22" t="str">
        <f>IFERROR(__xludf.DUMMYFUNCTION("""COMPUTED_VALUE"""),"コミットOK")</f>
        <v>コミットOK</v>
      </c>
      <c r="S3534" s="22" t="str">
        <f>IFERROR(__xludf.DUMMYFUNCTION("""COMPUTED_VALUE"""),"20250702_DPNブックス_身代わり男装令嬢は氷血の騎士に甘く愛される_広告使用可能素材")</f>
        <v>20250702_DPNブックス_身代わり男装令嬢は氷血の騎士に甘く愛される_広告使用可能素材</v>
      </c>
      <c r="T3534" s="22" t="str">
        <f>IFERROR(__xludf.DUMMYFUNCTION("""COMPUTED_VALUE"""),"格納済み")</f>
        <v>格納済み</v>
      </c>
      <c r="U3534" s="9" t="str">
        <f>IFERROR(__xludf.DUMMYFUNCTION("""COMPUTED_VALUE"""),"(C)狛笹／DPNブックス")</f>
        <v>(C)狛笹／DPNブックス</v>
      </c>
      <c r="V3534" s="8"/>
      <c r="W3534" s="8"/>
      <c r="X3534" s="8" t="str">
        <f>IFERROR(__xludf.DUMMYFUNCTION("""COMPUTED_VALUE"""),"有")</f>
        <v>有</v>
      </c>
      <c r="Y3534" s="8" t="str">
        <f>IFERROR(__xludf.DUMMYFUNCTION("""COMPUTED_VALUE"""),"2025/8/29まで1巻無料")</f>
        <v>2025/8/29まで1巻無料</v>
      </c>
      <c r="Z3534" s="7"/>
      <c r="AA3534" s="7"/>
      <c r="AB3534" s="7"/>
    </row>
    <row r="3535" ht="15.75" customHeight="1">
      <c r="A3535" s="26">
        <f>IFERROR(__xludf.DUMMYFUNCTION("""COMPUTED_VALUE"""),5642.0)</f>
        <v>5642</v>
      </c>
      <c r="B3535" s="22" t="str">
        <f>IFERROR(__xludf.DUMMYFUNCTION("""COMPUTED_VALUE"""),"確定")</f>
        <v>確定</v>
      </c>
      <c r="C3535" s="28">
        <f>IFERROR(__xludf.DUMMYFUNCTION("""COMPUTED_VALUE"""),45796.0)</f>
        <v>45796</v>
      </c>
      <c r="D3535" s="28">
        <f>IFERROR(__xludf.DUMMYFUNCTION("""COMPUTED_VALUE"""),45839.0)</f>
        <v>45839</v>
      </c>
      <c r="E3535" s="26">
        <f>IFERROR(__xludf.DUMMYFUNCTION("""COMPUTED_VALUE"""),330382.0)</f>
        <v>330382</v>
      </c>
      <c r="F3535" s="22" t="str">
        <f>IFERROR(__xludf.DUMMYFUNCTION("""COMPUTED_VALUE"""),"高梨さんは私を愛し尽くしたい")</f>
        <v>高梨さんは私を愛し尽くしたい</v>
      </c>
      <c r="G3535" s="220" t="str">
        <f>IFERROR(__xludf.DUMMYFUNCTION("""COMPUTED_VALUE"""),"1～3")</f>
        <v>1～3</v>
      </c>
      <c r="H3535" s="22" t="str">
        <f>IFERROR(__xludf.DUMMYFUNCTION("""COMPUTED_VALUE"""),"深水恵")</f>
        <v>深水恵</v>
      </c>
      <c r="I3535" s="22" t="str">
        <f>IFERROR(__xludf.DUMMYFUNCTION("""COMPUTED_VALUE"""),"女性")</f>
        <v>女性</v>
      </c>
      <c r="J3535" s="22"/>
      <c r="K3535" s="22" t="str">
        <f>IFERROR(__xludf.DUMMYFUNCTION("""COMPUTED_VALUE"""),"COMIC stella")</f>
        <v>COMIC stella</v>
      </c>
      <c r="L3535" s="22" t="str">
        <f>IFERROR(__xludf.DUMMYFUNCTION("""COMPUTED_VALUE"""),"COMIC stella")</f>
        <v>COMIC stella</v>
      </c>
      <c r="M3535" s="33">
        <f>IFERROR(__xludf.DUMMYFUNCTION("""COMPUTED_VALUE"""),45871.0)</f>
        <v>45871</v>
      </c>
      <c r="N3535" s="33">
        <f>IFERROR(__xludf.DUMMYFUNCTION("""COMPUTED_VALUE"""),45962.0)</f>
        <v>45962</v>
      </c>
      <c r="O3535" s="20"/>
      <c r="P3535" s="32" t="str">
        <f>IFERROR(__xludf.DUMMYFUNCTION("""COMPUTED_VALUE"""),"可")</f>
        <v>可</v>
      </c>
      <c r="Q3535" s="30"/>
      <c r="R3535" s="22" t="str">
        <f>IFERROR(__xludf.DUMMYFUNCTION("""COMPUTED_VALUE"""),"コミットOK")</f>
        <v>コミットOK</v>
      </c>
      <c r="S3535" s="22" t="str">
        <f>IFERROR(__xludf.DUMMYFUNCTION("""COMPUTED_VALUE"""),"20250701_COMIC stella_高梨さんは私を愛し尽くしたい")</f>
        <v>20250701_COMIC stella_高梨さんは私を愛し尽くしたい</v>
      </c>
      <c r="T3535" s="22" t="str">
        <f>IFERROR(__xludf.DUMMYFUNCTION("""COMPUTED_VALUE"""),"格納済み")</f>
        <v>格納済み</v>
      </c>
      <c r="U3535" s="9" t="str">
        <f>IFERROR(__xludf.DUMMYFUNCTION("""COMPUTED_VALUE"""),"（C）深水恵／COMIC stella")</f>
        <v>（C）深水恵／COMIC stella</v>
      </c>
      <c r="V3535" s="8"/>
      <c r="W3535" s="8"/>
      <c r="X3535" s="8" t="str">
        <f>IFERROR(__xludf.DUMMYFUNCTION("""COMPUTED_VALUE"""),"有")</f>
        <v>有</v>
      </c>
      <c r="Y3535" s="8" t="str">
        <f>IFERROR(__xludf.DUMMYFUNCTION("""COMPUTED_VALUE"""),"P5まで")</f>
        <v>P5まで</v>
      </c>
      <c r="Z3535" s="7"/>
      <c r="AA3535" s="7"/>
      <c r="AB3535" s="7"/>
    </row>
    <row r="3536" ht="15.75" customHeight="1">
      <c r="A3536" s="26">
        <f>IFERROR(__xludf.DUMMYFUNCTION("""COMPUTED_VALUE"""),5643.0)</f>
        <v>5643</v>
      </c>
      <c r="B3536" s="22" t="str">
        <f>IFERROR(__xludf.DUMMYFUNCTION("""COMPUTED_VALUE"""),"確定")</f>
        <v>確定</v>
      </c>
      <c r="C3536" s="28">
        <f>IFERROR(__xludf.DUMMYFUNCTION("""COMPUTED_VALUE"""),45796.0)</f>
        <v>45796</v>
      </c>
      <c r="D3536" s="28">
        <f>IFERROR(__xludf.DUMMYFUNCTION("""COMPUTED_VALUE"""),45839.0)</f>
        <v>45839</v>
      </c>
      <c r="E3536" s="26">
        <f>IFERROR(__xludf.DUMMYFUNCTION("""COMPUTED_VALUE"""),330381.0)</f>
        <v>330381</v>
      </c>
      <c r="F3536" s="22" t="str">
        <f>IFERROR(__xludf.DUMMYFUNCTION("""COMPUTED_VALUE"""),"婚約破棄された聖女は執着系元年下魔法使いに尽くされる")</f>
        <v>婚約破棄された聖女は執着系元年下魔法使いに尽くされる</v>
      </c>
      <c r="G3536" s="220" t="str">
        <f>IFERROR(__xludf.DUMMYFUNCTION("""COMPUTED_VALUE"""),"1～3")</f>
        <v>1～3</v>
      </c>
      <c r="H3536" s="22" t="str">
        <f>IFERROR(__xludf.DUMMYFUNCTION("""COMPUTED_VALUE"""),"鳴田るな・さくらのふみ")</f>
        <v>鳴田るな・さくらのふみ</v>
      </c>
      <c r="I3536" s="22" t="str">
        <f>IFERROR(__xludf.DUMMYFUNCTION("""COMPUTED_VALUE"""),"女性")</f>
        <v>女性</v>
      </c>
      <c r="J3536" s="22"/>
      <c r="K3536" s="22" t="str">
        <f>IFERROR(__xludf.DUMMYFUNCTION("""COMPUTED_VALUE"""),"COMIC stella")</f>
        <v>COMIC stella</v>
      </c>
      <c r="L3536" s="22" t="str">
        <f>IFERROR(__xludf.DUMMYFUNCTION("""COMPUTED_VALUE"""),"COMIC stella")</f>
        <v>COMIC stella</v>
      </c>
      <c r="M3536" s="33">
        <f>IFERROR(__xludf.DUMMYFUNCTION("""COMPUTED_VALUE"""),45871.0)</f>
        <v>45871</v>
      </c>
      <c r="N3536" s="33">
        <f>IFERROR(__xludf.DUMMYFUNCTION("""COMPUTED_VALUE"""),45962.0)</f>
        <v>45962</v>
      </c>
      <c r="O3536" s="20"/>
      <c r="P3536" s="32" t="str">
        <f>IFERROR(__xludf.DUMMYFUNCTION("""COMPUTED_VALUE"""),"可")</f>
        <v>可</v>
      </c>
      <c r="Q3536" s="30"/>
      <c r="R3536" s="22" t="str">
        <f>IFERROR(__xludf.DUMMYFUNCTION("""COMPUTED_VALUE"""),"コミットOK")</f>
        <v>コミットOK</v>
      </c>
      <c r="S3536" s="22" t="str">
        <f>IFERROR(__xludf.DUMMYFUNCTION("""COMPUTED_VALUE"""),"20250703_COMIC stella_婚約破棄された聖女は執着系元年下魔法使いに尽くされる")</f>
        <v>20250703_COMIC stella_婚約破棄された聖女は執着系元年下魔法使いに尽くされる</v>
      </c>
      <c r="T3536" s="22" t="str">
        <f>IFERROR(__xludf.DUMMYFUNCTION("""COMPUTED_VALUE"""),"格納済み")</f>
        <v>格納済み</v>
      </c>
      <c r="U3536" s="9" t="str">
        <f>IFERROR(__xludf.DUMMYFUNCTION("""COMPUTED_VALUE"""),"（C）鳴田るな・さくらのふみ／COMIC stella")</f>
        <v>（C）鳴田るな・さくらのふみ／COMIC stella</v>
      </c>
      <c r="V3536" s="8"/>
      <c r="W3536" s="8"/>
      <c r="X3536" s="8" t="str">
        <f>IFERROR(__xludf.DUMMYFUNCTION("""COMPUTED_VALUE"""),"有")</f>
        <v>有</v>
      </c>
      <c r="Y3536" s="8" t="str">
        <f>IFERROR(__xludf.DUMMYFUNCTION("""COMPUTED_VALUE"""),"P5まで")</f>
        <v>P5まで</v>
      </c>
      <c r="Z3536" s="7"/>
      <c r="AA3536" s="7"/>
      <c r="AB3536" s="7"/>
    </row>
    <row r="3537" ht="15.75" customHeight="1">
      <c r="A3537" s="26">
        <f>IFERROR(__xludf.DUMMYFUNCTION("""COMPUTED_VALUE"""),5648.0)</f>
        <v>5648</v>
      </c>
      <c r="B3537" s="22" t="str">
        <f>IFERROR(__xludf.DUMMYFUNCTION("""COMPUTED_VALUE"""),"確定")</f>
        <v>確定</v>
      </c>
      <c r="C3537" s="28">
        <f>IFERROR(__xludf.DUMMYFUNCTION("""COMPUTED_VALUE"""),45797.0)</f>
        <v>45797</v>
      </c>
      <c r="D3537" s="28">
        <f>IFERROR(__xludf.DUMMYFUNCTION("""COMPUTED_VALUE"""),45833.0)</f>
        <v>45833</v>
      </c>
      <c r="E3537" s="26">
        <f>IFERROR(__xludf.DUMMYFUNCTION("""COMPUTED_VALUE"""),328400.0)</f>
        <v>328400</v>
      </c>
      <c r="F3537" s="22" t="str">
        <f>IFERROR(__xludf.DUMMYFUNCTION("""COMPUTED_VALUE"""),"社畜OLが淫魔兄弟に甘々わからせえっち(…されちゃいます!?)【TL版】")</f>
        <v>社畜OLが淫魔兄弟に甘々わからせえっち(…されちゃいます!?)【TL版】</v>
      </c>
      <c r="G3537" s="220" t="str">
        <f>IFERROR(__xludf.DUMMYFUNCTION("""COMPUTED_VALUE"""),"1～3")</f>
        <v>1～3</v>
      </c>
      <c r="H3537" s="22" t="str">
        <f>IFERROR(__xludf.DUMMYFUNCTION("""COMPUTED_VALUE"""),"林田花,チンプル堀田")</f>
        <v>林田花,チンプル堀田</v>
      </c>
      <c r="I3537" s="22" t="str">
        <f>IFERROR(__xludf.DUMMYFUNCTION("""COMPUTED_VALUE"""),"TL")</f>
        <v>TL</v>
      </c>
      <c r="J3537" s="22"/>
      <c r="K3537" s="22" t="str">
        <f>IFERROR(__xludf.DUMMYFUNCTION("""COMPUTED_VALUE"""),"＠夜噺")</f>
        <v>＠夜噺</v>
      </c>
      <c r="L3537" s="22" t="str">
        <f>IFERROR(__xludf.DUMMYFUNCTION("""COMPUTED_VALUE"""),"DEEPER-ZERO")</f>
        <v>DEEPER-ZERO</v>
      </c>
      <c r="M3537" s="33">
        <f>IFERROR(__xludf.DUMMYFUNCTION("""COMPUTED_VALUE"""),45855.0)</f>
        <v>45855</v>
      </c>
      <c r="N3537" s="33">
        <f>IFERROR(__xludf.DUMMYFUNCTION("""COMPUTED_VALUE"""),45945.0)</f>
        <v>45945</v>
      </c>
      <c r="O3537" s="20"/>
      <c r="P3537" s="32" t="str">
        <f>IFERROR(__xludf.DUMMYFUNCTION("""COMPUTED_VALUE"""),"可")</f>
        <v>可</v>
      </c>
      <c r="Q3537" s="30"/>
      <c r="R3537" s="22" t="str">
        <f>IFERROR(__xludf.DUMMYFUNCTION("""COMPUTED_VALUE"""),"コミットOK")</f>
        <v>コミットOK</v>
      </c>
      <c r="S3537" s="22" t="str">
        <f>IFERROR(__xludf.DUMMYFUNCTION("""COMPUTED_VALUE"""),"20250625_DEEPER-ZERO_社畜OLが淫魔兄弟に甘々わからせえっち(…されちゃいます！？)【TL版】")</f>
        <v>20250625_DEEPER-ZERO_社畜OLが淫魔兄弟に甘々わからせえっち(…されちゃいます！？)【TL版】</v>
      </c>
      <c r="T3537" s="22" t="str">
        <f>IFERROR(__xludf.DUMMYFUNCTION("""COMPUTED_VALUE"""),"格納済み")</f>
        <v>格納済み</v>
      </c>
      <c r="U3537" s="9" t="str">
        <f>IFERROR(__xludf.DUMMYFUNCTION("""COMPUTED_VALUE"""),"©林田花・チンプル堀田/DEEPER-ZERO")</f>
        <v>©林田花・チンプル堀田/DEEPER-ZERO</v>
      </c>
      <c r="V3537" s="8"/>
      <c r="W3537" s="8"/>
      <c r="X3537" s="8" t="str">
        <f>IFERROR(__xludf.DUMMYFUNCTION("""COMPUTED_VALUE"""),"有")</f>
        <v>有</v>
      </c>
      <c r="Y3537" s="8" t="str">
        <f>IFERROR(__xludf.DUMMYFUNCTION("""COMPUTED_VALUE"""),"P10まで")</f>
        <v>P10まで</v>
      </c>
      <c r="Z3537" s="7"/>
      <c r="AA3537" s="7"/>
      <c r="AB3537" s="7"/>
    </row>
    <row r="3538" ht="15.75" customHeight="1">
      <c r="A3538" s="26">
        <f>IFERROR(__xludf.DUMMYFUNCTION("""COMPUTED_VALUE"""),5649.0)</f>
        <v>5649</v>
      </c>
      <c r="B3538" s="22" t="str">
        <f>IFERROR(__xludf.DUMMYFUNCTION("""COMPUTED_VALUE"""),"確定")</f>
        <v>確定</v>
      </c>
      <c r="C3538" s="28">
        <f>IFERROR(__xludf.DUMMYFUNCTION("""COMPUTED_VALUE"""),45797.0)</f>
        <v>45797</v>
      </c>
      <c r="D3538" s="28">
        <f>IFERROR(__xludf.DUMMYFUNCTION("""COMPUTED_VALUE"""),45833.0)</f>
        <v>45833</v>
      </c>
      <c r="E3538" s="26">
        <f>IFERROR(__xludf.DUMMYFUNCTION("""COMPUTED_VALUE"""),328401.0)</f>
        <v>328401</v>
      </c>
      <c r="F3538" s="22" t="str">
        <f>IFERROR(__xludf.DUMMYFUNCTION("""COMPUTED_VALUE"""),"社畜OLが淫魔兄弟に甘々わからせえっち(…されちゃいます!?)【R版】")</f>
        <v>社畜OLが淫魔兄弟に甘々わからせえっち(…されちゃいます!?)【R版】</v>
      </c>
      <c r="G3538" s="220" t="str">
        <f>IFERROR(__xludf.DUMMYFUNCTION("""COMPUTED_VALUE"""),"1～3")</f>
        <v>1～3</v>
      </c>
      <c r="H3538" s="22" t="str">
        <f>IFERROR(__xludf.DUMMYFUNCTION("""COMPUTED_VALUE"""),"林田花,チンプル堀田")</f>
        <v>林田花,チンプル堀田</v>
      </c>
      <c r="I3538" s="22" t="str">
        <f>IFERROR(__xludf.DUMMYFUNCTION("""COMPUTED_VALUE"""),"アダルト")</f>
        <v>アダルト</v>
      </c>
      <c r="J3538" s="22"/>
      <c r="K3538" s="22" t="str">
        <f>IFERROR(__xludf.DUMMYFUNCTION("""COMPUTED_VALUE"""),"＠夜噺+")</f>
        <v>＠夜噺+</v>
      </c>
      <c r="L3538" s="22" t="str">
        <f>IFERROR(__xludf.DUMMYFUNCTION("""COMPUTED_VALUE"""),"DEEPER-ZERO")</f>
        <v>DEEPER-ZERO</v>
      </c>
      <c r="M3538" s="33">
        <f>IFERROR(__xludf.DUMMYFUNCTION("""COMPUTED_VALUE"""),45855.0)</f>
        <v>45855</v>
      </c>
      <c r="N3538" s="33">
        <f>IFERROR(__xludf.DUMMYFUNCTION("""COMPUTED_VALUE"""),45945.0)</f>
        <v>45945</v>
      </c>
      <c r="O3538" s="20"/>
      <c r="P3538" s="32" t="str">
        <f>IFERROR(__xludf.DUMMYFUNCTION("""COMPUTED_VALUE"""),"可")</f>
        <v>可</v>
      </c>
      <c r="Q3538" s="30"/>
      <c r="R3538" s="22" t="str">
        <f>IFERROR(__xludf.DUMMYFUNCTION("""COMPUTED_VALUE"""),"コミットOK")</f>
        <v>コミットOK</v>
      </c>
      <c r="S3538" s="22" t="str">
        <f>IFERROR(__xludf.DUMMYFUNCTION("""COMPUTED_VALUE"""),"20250625_DEEPER-ZERO_社畜OLが淫魔兄弟に甘々わからせえっち(…されちゃいます！？)【R版】")</f>
        <v>20250625_DEEPER-ZERO_社畜OLが淫魔兄弟に甘々わからせえっち(…されちゃいます！？)【R版】</v>
      </c>
      <c r="T3538" s="22" t="str">
        <f>IFERROR(__xludf.DUMMYFUNCTION("""COMPUTED_VALUE"""),"格納済み")</f>
        <v>格納済み</v>
      </c>
      <c r="U3538" s="9" t="str">
        <f>IFERROR(__xludf.DUMMYFUNCTION("""COMPUTED_VALUE"""),"©林田花・チンプル堀田/DEEPER-ZERO")</f>
        <v>©林田花・チンプル堀田/DEEPER-ZERO</v>
      </c>
      <c r="V3538" s="8"/>
      <c r="W3538" s="8"/>
      <c r="X3538" s="8" t="str">
        <f>IFERROR(__xludf.DUMMYFUNCTION("""COMPUTED_VALUE"""),"有")</f>
        <v>有</v>
      </c>
      <c r="Y3538" s="8" t="str">
        <f>IFERROR(__xludf.DUMMYFUNCTION("""COMPUTED_VALUE"""),"P10まで")</f>
        <v>P10まで</v>
      </c>
      <c r="Z3538" s="7"/>
      <c r="AA3538" s="7"/>
      <c r="AB3538" s="7"/>
    </row>
    <row r="3539" ht="15.75" customHeight="1">
      <c r="A3539" s="26">
        <f>IFERROR(__xludf.DUMMYFUNCTION("""COMPUTED_VALUE"""),5667.0)</f>
        <v>5667</v>
      </c>
      <c r="B3539" s="22" t="str">
        <f>IFERROR(__xludf.DUMMYFUNCTION("""COMPUTED_VALUE"""),"確定")</f>
        <v>確定</v>
      </c>
      <c r="C3539" s="28">
        <f>IFERROR(__xludf.DUMMYFUNCTION("""COMPUTED_VALUE"""),45803.0)</f>
        <v>45803</v>
      </c>
      <c r="D3539" s="28">
        <f>IFERROR(__xludf.DUMMYFUNCTION("""COMPUTED_VALUE"""),45838.0)</f>
        <v>45838</v>
      </c>
      <c r="E3539" s="26">
        <f>IFERROR(__xludf.DUMMYFUNCTION("""COMPUTED_VALUE"""),331174.0)</f>
        <v>331174</v>
      </c>
      <c r="F3539" s="22" t="str">
        <f>IFERROR(__xludf.DUMMYFUNCTION("""COMPUTED_VALUE"""),"私より可愛いＪＫがいたらＯす【マイクロ】")</f>
        <v>私より可愛いＪＫがいたらＯす【マイクロ】</v>
      </c>
      <c r="G3539" s="220" t="str">
        <f>IFERROR(__xludf.DUMMYFUNCTION("""COMPUTED_VALUE"""),"1～3")</f>
        <v>1～3</v>
      </c>
      <c r="H3539" s="22" t="str">
        <f>IFERROR(__xludf.DUMMYFUNCTION("""COMPUTED_VALUE"""),"三浦コズミ")</f>
        <v>三浦コズミ</v>
      </c>
      <c r="I3539" s="22" t="str">
        <f>IFERROR(__xludf.DUMMYFUNCTION("""COMPUTED_VALUE"""),"少女")</f>
        <v>少女</v>
      </c>
      <c r="J3539" s="22"/>
      <c r="K3539" s="22" t="str">
        <f>IFERROR(__xludf.DUMMYFUNCTION("""COMPUTED_VALUE"""),"Cheese!")</f>
        <v>Cheese!</v>
      </c>
      <c r="L3539" s="22" t="str">
        <f>IFERROR(__xludf.DUMMYFUNCTION("""COMPUTED_VALUE"""),"小学館")</f>
        <v>小学館</v>
      </c>
      <c r="M3539" s="33">
        <f>IFERROR(__xludf.DUMMYFUNCTION("""COMPUTED_VALUE"""),45879.0)</f>
        <v>45879</v>
      </c>
      <c r="N3539" s="33">
        <f>IFERROR(__xludf.DUMMYFUNCTION("""COMPUTED_VALUE"""),45939.0)</f>
        <v>45939</v>
      </c>
      <c r="O3539" s="20"/>
      <c r="P3539" s="32" t="str">
        <f>IFERROR(__xludf.DUMMYFUNCTION("""COMPUTED_VALUE"""),"否")</f>
        <v>否</v>
      </c>
      <c r="Q3539" s="30" t="str">
        <f>IFERROR(__xludf.DUMMYFUNCTION("""COMPUTED_VALUE"""),"Cheese!のなかでは珍しく恋愛中心のお話ではなく、&lt;BR&gt;「かわいい女の子」に一言二言ある高校生たちの学園群像劇です。シスターフッドや友情や時々恋など…学校生活の人間模様が描かれる作品です。作品を読んでいただいたらわかりますが、やや過激なように感じられるタイトルは、&lt;BR&gt;実は「O（お）す」と読み、”推す”の意味がかかっています。※書誌情報では「Ｏ」アルファベットのオーの大文字を使っています。&lt;BR&gt;顔面がとにかく”強い”メインキャラたちを中心としつつ、&lt;BR&gt;色々なキャラの悩みや青春が垣間見られる作"&amp;"品となっております。本誌のアンケートでも初登場で上位にランクインするなど、従来のCheese!読者にも好印象なスタートを切ることが出来ました。
※初回配信分は2か月、続話は1か月
※タイトル名の「JK」は全角表記")</f>
        <v>Cheese!のなかでは珍しく恋愛中心のお話ではなく、&lt;BR&gt;「かわいい女の子」に一言二言ある高校生たちの学園群像劇です。シスターフッドや友情や時々恋など…学校生活の人間模様が描かれる作品です。作品を読んでいただいたらわかりますが、やや過激なように感じられるタイトルは、&lt;BR&gt;実は「O（お）す」と読み、”推す”の意味がかかっています。※書誌情報では「Ｏ」アルファベットのオーの大文字を使っています。&lt;BR&gt;顔面がとにかく”強い”メインキャラたちを中心としつつ、&lt;BR&gt;色々なキャラの悩みや青春が垣間見られる作品となっております。本誌のアンケートでも初登場で上位にランクインするなど、従来のCheese!読者にも好印象なスタートを切ることが出来ました。
※初回配信分は2か月、続話は1か月
※タイトル名の「JK」は全角表記</v>
      </c>
      <c r="R3539" s="22" t="str">
        <f>IFERROR(__xludf.DUMMYFUNCTION("""COMPUTED_VALUE"""),"コミットOK")</f>
        <v>コミットOK</v>
      </c>
      <c r="S3539" s="22" t="str">
        <f>IFERROR(__xludf.DUMMYFUNCTION("""COMPUTED_VALUE"""),"20250625_小学館_私より可愛いJKがいたらOす")</f>
        <v>20250625_小学館_私より可愛いJKがいたらOす</v>
      </c>
      <c r="T3539" s="22" t="str">
        <f>IFERROR(__xludf.DUMMYFUNCTION("""COMPUTED_VALUE"""),"格納済み")</f>
        <v>格納済み</v>
      </c>
      <c r="U3539" s="9" t="str">
        <f>IFERROR(__xludf.DUMMYFUNCTION("""COMPUTED_VALUE"""),"(C)三浦コズミ / 小学館")</f>
        <v>(C)三浦コズミ / 小学館</v>
      </c>
      <c r="V3539" s="8"/>
      <c r="W3539" s="8"/>
      <c r="X3539" s="8" t="str">
        <f>IFERROR(__xludf.DUMMYFUNCTION("""COMPUTED_VALUE"""),"有")</f>
        <v>有</v>
      </c>
      <c r="Y3539" s="8" t="str">
        <f>IFERROR(__xludf.DUMMYFUNCTION("""COMPUTED_VALUE"""),"2025/10/9まで1巻無料")</f>
        <v>2025/10/9まで1巻無料</v>
      </c>
      <c r="Z3539" s="7"/>
      <c r="AA3539" s="7"/>
      <c r="AB3539" s="7"/>
    </row>
    <row r="3540" ht="15.75" customHeight="1">
      <c r="A3540" s="26">
        <f>IFERROR(__xludf.DUMMYFUNCTION("""COMPUTED_VALUE"""),5683.0)</f>
        <v>5683</v>
      </c>
      <c r="B3540" s="22" t="str">
        <f>IFERROR(__xludf.DUMMYFUNCTION("""COMPUTED_VALUE"""),"確定")</f>
        <v>確定</v>
      </c>
      <c r="C3540" s="28">
        <f>IFERROR(__xludf.DUMMYFUNCTION("""COMPUTED_VALUE"""),45810.0)</f>
        <v>45810</v>
      </c>
      <c r="D3540" s="28">
        <f>IFERROR(__xludf.DUMMYFUNCTION("""COMPUTED_VALUE"""),45840.0)</f>
        <v>45840</v>
      </c>
      <c r="E3540" s="26">
        <f>IFERROR(__xludf.DUMMYFUNCTION("""COMPUTED_VALUE"""),330480.0)</f>
        <v>330480</v>
      </c>
      <c r="F3540" s="22" t="str">
        <f>IFERROR(__xludf.DUMMYFUNCTION("""COMPUTED_VALUE"""),"理由ありオメガの密やかな恋【タテヨミ】")</f>
        <v>理由ありオメガの密やかな恋【タテヨミ】</v>
      </c>
      <c r="G3540" s="220" t="str">
        <f>IFERROR(__xludf.DUMMYFUNCTION("""COMPUTED_VALUE"""),"1～4")</f>
        <v>1～4</v>
      </c>
      <c r="H3540" s="22" t="str">
        <f>IFERROR(__xludf.DUMMYFUNCTION("""COMPUTED_VALUE"""),"清白妙┴MUGEN FACTORY")</f>
        <v>清白妙┴MUGEN FACTORY</v>
      </c>
      <c r="I3540" s="22" t="str">
        <f>IFERROR(__xludf.DUMMYFUNCTION("""COMPUTED_VALUE"""),"BL")</f>
        <v>BL</v>
      </c>
      <c r="J3540" s="22"/>
      <c r="K3540" s="22" t="str">
        <f>IFERROR(__xludf.DUMMYFUNCTION("""COMPUTED_VALUE"""),"エクレアコミック")</f>
        <v>エクレアコミック</v>
      </c>
      <c r="L3540" s="22" t="str">
        <f>IFERROR(__xludf.DUMMYFUNCTION("""COMPUTED_VALUE"""),"MUGENUP")</f>
        <v>MUGENUP</v>
      </c>
      <c r="M3540" s="33">
        <f>IFERROR(__xludf.DUMMYFUNCTION("""COMPUTED_VALUE"""),45866.0)</f>
        <v>45866</v>
      </c>
      <c r="N3540" s="33">
        <f>IFERROR(__xludf.DUMMYFUNCTION("""COMPUTED_VALUE"""),45957.0)</f>
        <v>45957</v>
      </c>
      <c r="O3540" s="20"/>
      <c r="P3540" s="32" t="str">
        <f>IFERROR(__xludf.DUMMYFUNCTION("""COMPUTED_VALUE"""),"可")</f>
        <v>可</v>
      </c>
      <c r="Q3540" s="30" t="str">
        <f>IFERROR(__xludf.DUMMYFUNCTION("""COMPUTED_VALUE"""),"全4話（0話+1-3話）完結、0話は常時無料を予定。出稿＋ストア内露出希望（掲載面相談）。")</f>
        <v>全4話（0話+1-3話）完結、0話は常時無料を予定。出稿＋ストア内露出希望（掲載面相談）。</v>
      </c>
      <c r="R3540" s="22" t="str">
        <f>IFERROR(__xludf.DUMMYFUNCTION("""COMPUTED_VALUE"""),"コミットOK")</f>
        <v>コミットOK</v>
      </c>
      <c r="S3540" s="22" t="str">
        <f>IFERROR(__xludf.DUMMYFUNCTION("""COMPUTED_VALUE"""),"20250702_MUGENUP_理由ありオメガの密やかな恋～耽溺アルファに堕とされて～【タテヨミ】")</f>
        <v>20250702_MUGENUP_理由ありオメガの密やかな恋～耽溺アルファに堕とされて～【タテヨミ】</v>
      </c>
      <c r="T3540" s="22" t="str">
        <f>IFERROR(__xludf.DUMMYFUNCTION("""COMPUTED_VALUE"""),"格納済み")</f>
        <v>格納済み</v>
      </c>
      <c r="U3540" s="9" t="str">
        <f>IFERROR(__xludf.DUMMYFUNCTION("""COMPUTED_VALUE"""),"(C)Tae Suzushiro 2025・MUGEN FACTORY/MUGENUP")</f>
        <v>(C)Tae Suzushiro 2025・MUGEN FACTORY/MUGENUP</v>
      </c>
      <c r="V3540" s="8"/>
      <c r="W3540" s="8"/>
      <c r="X3540" s="8" t="str">
        <f>IFERROR(__xludf.DUMMYFUNCTION("""COMPUTED_VALUE"""),"有")</f>
        <v>有</v>
      </c>
      <c r="Y3540" s="8" t="str">
        <f>IFERROR(__xludf.DUMMYFUNCTION("""COMPUTED_VALUE"""),"1巻(第0巻)無料")</f>
        <v>1巻(第0巻)無料</v>
      </c>
      <c r="Z3540" s="7"/>
      <c r="AA3540" s="7"/>
      <c r="AB3540" s="7"/>
    </row>
    <row r="3541" ht="15.75" customHeight="1">
      <c r="A3541" s="26">
        <f>IFERROR(__xludf.DUMMYFUNCTION("""COMPUTED_VALUE"""),5688.0)</f>
        <v>5688</v>
      </c>
      <c r="B3541" s="22" t="str">
        <f>IFERROR(__xludf.DUMMYFUNCTION("""COMPUTED_VALUE"""),"確定")</f>
        <v>確定</v>
      </c>
      <c r="C3541" s="28">
        <f>IFERROR(__xludf.DUMMYFUNCTION("""COMPUTED_VALUE"""),45810.0)</f>
        <v>45810</v>
      </c>
      <c r="D3541" s="28">
        <f>IFERROR(__xludf.DUMMYFUNCTION("""COMPUTED_VALUE"""),45839.0)</f>
        <v>45839</v>
      </c>
      <c r="E3541" s="26">
        <f>IFERROR(__xludf.DUMMYFUNCTION("""COMPUTED_VALUE"""),330379.0)</f>
        <v>330379</v>
      </c>
      <c r="F3541" s="22" t="str">
        <f>IFERROR(__xludf.DUMMYFUNCTION("""COMPUTED_VALUE"""),"ふたなりジム職員ちゃん×まじめ●●教師ちゃん")</f>
        <v>ふたなりジム職員ちゃん×まじめ●●教師ちゃん</v>
      </c>
      <c r="G3541" s="220" t="str">
        <f>IFERROR(__xludf.DUMMYFUNCTION("""COMPUTED_VALUE"""),"1～4")</f>
        <v>1～4</v>
      </c>
      <c r="H3541" s="22" t="str">
        <f>IFERROR(__xludf.DUMMYFUNCTION("""COMPUTED_VALUE"""),"Ginger L")</f>
        <v>Ginger L</v>
      </c>
      <c r="I3541" s="22" t="str">
        <f>IFERROR(__xludf.DUMMYFUNCTION("""COMPUTED_VALUE"""),"アダルト")</f>
        <v>アダルト</v>
      </c>
      <c r="J3541" s="22"/>
      <c r="K3541" s="22" t="str">
        <f>IFERROR(__xludf.DUMMYFUNCTION("""COMPUTED_VALUE"""),"セクラボ")</f>
        <v>セクラボ</v>
      </c>
      <c r="L3541" s="22" t="str">
        <f>IFERROR(__xludf.DUMMYFUNCTION("""COMPUTED_VALUE"""),"ガールスカウトコミックス")</f>
        <v>ガールスカウトコミックス</v>
      </c>
      <c r="M3541" s="33">
        <f>IFERROR(__xludf.DUMMYFUNCTION("""COMPUTED_VALUE"""),45872.0)</f>
        <v>45872</v>
      </c>
      <c r="N3541" s="33">
        <f>IFERROR(__xludf.DUMMYFUNCTION("""COMPUTED_VALUE"""),45963.0)</f>
        <v>45963</v>
      </c>
      <c r="O3541" s="20"/>
      <c r="P3541" s="32" t="str">
        <f>IFERROR(__xludf.DUMMYFUNCTION("""COMPUTED_VALUE"""),"可")</f>
        <v>可</v>
      </c>
      <c r="Q3541" s="30" t="str">
        <f>IFERROR(__xludf.DUMMYFUNCTION("""COMPUTED_VALUE"""),"同人ストア配信中、商業は初になります。")</f>
        <v>同人ストア配信中、商業は初になります。</v>
      </c>
      <c r="R3541" s="22" t="str">
        <f>IFERROR(__xludf.DUMMYFUNCTION("""COMPUTED_VALUE"""),"コミットOK")</f>
        <v>コミットOK</v>
      </c>
      <c r="S3541" s="22" t="str">
        <f>IFERROR(__xludf.DUMMYFUNCTION("""COMPUTED_VALUE"""),"20250701_ガールスカウトコミックス_ふたなりジム職員ちゃん×まじめ●●教師ちゃん")</f>
        <v>20250701_ガールスカウトコミックス_ふたなりジム職員ちゃん×まじめ●●教師ちゃん</v>
      </c>
      <c r="T3541" s="22" t="str">
        <f>IFERROR(__xludf.DUMMYFUNCTION("""COMPUTED_VALUE"""),"格納済み")</f>
        <v>格納済み</v>
      </c>
      <c r="U3541" s="9" t="str">
        <f>IFERROR(__xludf.DUMMYFUNCTION("""COMPUTED_VALUE"""),"(C)Ginger L／ガールスカウトコミックス")</f>
        <v>(C)Ginger L／ガールスカウトコミックス</v>
      </c>
      <c r="V3541" s="8"/>
      <c r="W3541" s="8"/>
      <c r="X3541" s="8" t="str">
        <f>IFERROR(__xludf.DUMMYFUNCTION("""COMPUTED_VALUE"""),"有")</f>
        <v>有</v>
      </c>
      <c r="Y3541" s="8" t="str">
        <f>IFERROR(__xludf.DUMMYFUNCTION("""COMPUTED_VALUE"""),"2025/8/16まで1巻無料")</f>
        <v>2025/8/16まで1巻無料</v>
      </c>
      <c r="Z3541" s="7"/>
      <c r="AA3541" s="7"/>
      <c r="AB3541" s="7"/>
    </row>
    <row r="3542" ht="15.75" customHeight="1">
      <c r="A3542" s="26">
        <f>IFERROR(__xludf.DUMMYFUNCTION("""COMPUTED_VALUE"""),5696.0)</f>
        <v>5696</v>
      </c>
      <c r="B3542" s="22" t="str">
        <f>IFERROR(__xludf.DUMMYFUNCTION("""COMPUTED_VALUE"""),"確定")</f>
        <v>確定</v>
      </c>
      <c r="C3542" s="28">
        <f>IFERROR(__xludf.DUMMYFUNCTION("""COMPUTED_VALUE"""),45810.0)</f>
        <v>45810</v>
      </c>
      <c r="D3542" s="28">
        <f>IFERROR(__xludf.DUMMYFUNCTION("""COMPUTED_VALUE"""),45838.0)</f>
        <v>45838</v>
      </c>
      <c r="E3542" s="26">
        <f>IFERROR(__xludf.DUMMYFUNCTION("""COMPUTED_VALUE"""),329463.0)</f>
        <v>329463</v>
      </c>
      <c r="F3542" s="22" t="str">
        <f>IFERROR(__xludf.DUMMYFUNCTION("""COMPUTED_VALUE"""),"甘く柔らかな檻　冷徹な龍は贄の花嫁を前世から愛しすぎている【分冊版】")</f>
        <v>甘く柔らかな檻　冷徹な龍は贄の花嫁を前世から愛しすぎている【分冊版】</v>
      </c>
      <c r="G3542" s="220" t="str">
        <f>IFERROR(__xludf.DUMMYFUNCTION("""COMPUTED_VALUE"""),"1～2")</f>
        <v>1～2</v>
      </c>
      <c r="H3542" s="22" t="str">
        <f>IFERROR(__xludf.DUMMYFUNCTION("""COMPUTED_VALUE"""),"香森かずら,あさぎ千夜春")</f>
        <v>香森かずら,あさぎ千夜春</v>
      </c>
      <c r="I3542" s="22" t="str">
        <f>IFERROR(__xludf.DUMMYFUNCTION("""COMPUTED_VALUE"""),"TL")</f>
        <v>TL</v>
      </c>
      <c r="J3542" s="22"/>
      <c r="K3542" s="22" t="str">
        <f>IFERROR(__xludf.DUMMYFUNCTION("""COMPUTED_VALUE"""),"ルネッタコミックス")</f>
        <v>ルネッタコミックス</v>
      </c>
      <c r="L3542" s="22" t="str">
        <f>IFERROR(__xludf.DUMMYFUNCTION("""COMPUTED_VALUE"""),"ハーパーコリンズ・ジャパン")</f>
        <v>ハーパーコリンズ・ジャパン</v>
      </c>
      <c r="M3542" s="33">
        <f>IFERROR(__xludf.DUMMYFUNCTION("""COMPUTED_VALUE"""),45863.0)</f>
        <v>45863</v>
      </c>
      <c r="N3542" s="33">
        <f>IFERROR(__xludf.DUMMYFUNCTION("""COMPUTED_VALUE"""),45925.0)</f>
        <v>45925</v>
      </c>
      <c r="O3542" s="20"/>
      <c r="P3542" s="32" t="str">
        <f>IFERROR(__xludf.DUMMYFUNCTION("""COMPUTED_VALUE"""),"可")</f>
        <v>可</v>
      </c>
      <c r="Q3542" s="30"/>
      <c r="R3542" s="22" t="str">
        <f>IFERROR(__xludf.DUMMYFUNCTION("""COMPUTED_VALUE"""),"コミットNG")</f>
        <v>コミットNG</v>
      </c>
      <c r="S3542" s="22" t="str">
        <f>IFERROR(__xludf.DUMMYFUNCTION("""COMPUTED_VALUE"""),"20250630_ハーパーコリンズ・ジャパン_甘く柔らかな檻　冷徹な龍は贄の花嫁を前世から愛しすぎている")</f>
        <v>20250630_ハーパーコリンズ・ジャパン_甘く柔らかな檻　冷徹な龍は贄の花嫁を前世から愛しすぎている</v>
      </c>
      <c r="T3542" s="22" t="str">
        <f>IFERROR(__xludf.DUMMYFUNCTION("""COMPUTED_VALUE"""),"格納済み")</f>
        <v>格納済み</v>
      </c>
      <c r="U3542" s="9" t="str">
        <f>IFERROR(__xludf.DUMMYFUNCTION("""COMPUTED_VALUE"""),"（C)香森かずら・あさぎ千夜春／ハーパーコリンズ・ジャパン")</f>
        <v>（C)香森かずら・あさぎ千夜春／ハーパーコリンズ・ジャパン</v>
      </c>
      <c r="V3542" s="8"/>
      <c r="W3542" s="8"/>
      <c r="X3542" s="8" t="str">
        <f>IFERROR(__xludf.DUMMYFUNCTION("""COMPUTED_VALUE"""),"有")</f>
        <v>有</v>
      </c>
      <c r="Y3542" s="8" t="str">
        <f>IFERROR(__xludf.DUMMYFUNCTION("""COMPUTED_VALUE"""),"2025/8/7まで1巻無料")</f>
        <v>2025/8/7まで1巻無料</v>
      </c>
      <c r="Z3542" s="7"/>
      <c r="AA3542" s="7"/>
      <c r="AB3542" s="7"/>
    </row>
    <row r="3543" ht="15.75" customHeight="1">
      <c r="A3543" s="26">
        <f>IFERROR(__xludf.DUMMYFUNCTION("""COMPUTED_VALUE"""),5712.0)</f>
        <v>5712</v>
      </c>
      <c r="B3543" s="22" t="str">
        <f>IFERROR(__xludf.DUMMYFUNCTION("""COMPUTED_VALUE"""),"確定")</f>
        <v>確定</v>
      </c>
      <c r="C3543" s="28">
        <f>IFERROR(__xludf.DUMMYFUNCTION("""COMPUTED_VALUE"""),45811.0)</f>
        <v>45811</v>
      </c>
      <c r="D3543" s="28">
        <f>IFERROR(__xludf.DUMMYFUNCTION("""COMPUTED_VALUE"""),45839.0)</f>
        <v>45839</v>
      </c>
      <c r="E3543" s="26">
        <f>IFERROR(__xludf.DUMMYFUNCTION("""COMPUTED_VALUE"""),329295.0)</f>
        <v>329295</v>
      </c>
      <c r="F3543" s="22" t="str">
        <f>IFERROR(__xludf.DUMMYFUNCTION("""COMPUTED_VALUE"""),"高嶺の花は、甘く優しく…縛られたい。")</f>
        <v>高嶺の花は、甘く優しく…縛られたい。</v>
      </c>
      <c r="G3543" s="220" t="str">
        <f>IFERROR(__xludf.DUMMYFUNCTION("""COMPUTED_VALUE"""),"1～3")</f>
        <v>1～3</v>
      </c>
      <c r="H3543" s="22" t="str">
        <f>IFERROR(__xludf.DUMMYFUNCTION("""COMPUTED_VALUE"""),"キリエあやめ")</f>
        <v>キリエあやめ</v>
      </c>
      <c r="I3543" s="22" t="str">
        <f>IFERROR(__xludf.DUMMYFUNCTION("""COMPUTED_VALUE"""),"TL")</f>
        <v>TL</v>
      </c>
      <c r="J3543" s="22"/>
      <c r="K3543" s="22" t="str">
        <f>IFERROR(__xludf.DUMMYFUNCTION("""COMPUTED_VALUE"""),"恋愛ショコラ")</f>
        <v>恋愛ショコラ</v>
      </c>
      <c r="L3543" s="22" t="str">
        <f>IFERROR(__xludf.DUMMYFUNCTION("""COMPUTED_VALUE"""),"forcs")</f>
        <v>forcs</v>
      </c>
      <c r="M3543" s="33">
        <f>IFERROR(__xludf.DUMMYFUNCTION("""COMPUTED_VALUE"""),45870.0)</f>
        <v>45870</v>
      </c>
      <c r="N3543" s="33">
        <f>IFERROR(__xludf.DUMMYFUNCTION("""COMPUTED_VALUE"""),45932.0)</f>
        <v>45932</v>
      </c>
      <c r="O3543" s="20"/>
      <c r="P3543" s="32" t="str">
        <f>IFERROR(__xludf.DUMMYFUNCTION("""COMPUTED_VALUE"""),"可")</f>
        <v>可</v>
      </c>
      <c r="Q3543" s="30" t="str">
        <f>IFERROR(__xludf.DUMMYFUNCTION("""COMPUTED_VALUE"""),"エロいことに興味がありありなムッツリスケベなヒロインが、ワンコ系部下にSMの扉を開かれる…というストーリーです。&lt;BR&gt;貴社TLユーザーはムッツリスケベ当事者が多いかと思いますので、共感しやすい物語の導入となっております。&lt;BR&gt;SMのプレイ内容も、緊縛・貞操帯など、SMに興味がないユーザーでもドキドキしやすいプレイ内容が満載です。&lt;BR&gt;また、ヒーローの普段のワンコキャラとSキャラのギャップも魅力の一つです。&lt;BR&gt;エロの妄想をするヒロインのコマや、SMの導入シーンなど広告シーンで興味を引きやすいコマが"&amp;"多いので、ぜひ貴社での先行を通して売り伸ばしを図れればと存じます。")</f>
        <v>エロいことに興味がありありなムッツリスケベなヒロインが、ワンコ系部下にSMの扉を開かれる…というストーリーです。&lt;BR&gt;貴社TLユーザーはムッツリスケベ当事者が多いかと思いますので、共感しやすい物語の導入となっております。&lt;BR&gt;SMのプレイ内容も、緊縛・貞操帯など、SMに興味がないユーザーでもドキドキしやすいプレイ内容が満載です。&lt;BR&gt;また、ヒーローの普段のワンコキャラとSキャラのギャップも魅力の一つです。&lt;BR&gt;エロの妄想をするヒロインのコマや、SMの導入シーンなど広告シーンで興味を引きやすいコマが多いので、ぜひ貴社での先行を通して売り伸ばしを図れればと存じます。</v>
      </c>
      <c r="R3543" s="22" t="str">
        <f>IFERROR(__xludf.DUMMYFUNCTION("""COMPUTED_VALUE"""),"コミットOK")</f>
        <v>コミットOK</v>
      </c>
      <c r="S3543" s="22" t="str">
        <f>IFERROR(__xludf.DUMMYFUNCTION("""COMPUTED_VALUE"""),"20250630_forcs_高嶺の花は、甘く優しく…縛られたい。_広告素材")</f>
        <v>20250630_forcs_高嶺の花は、甘く優しく…縛られたい。_広告素材</v>
      </c>
      <c r="T3543" s="22" t="str">
        <f>IFERROR(__xludf.DUMMYFUNCTION("""COMPUTED_VALUE"""),"格納済み")</f>
        <v>格納済み</v>
      </c>
      <c r="U3543" s="9" t="str">
        <f>IFERROR(__xludf.DUMMYFUNCTION("""COMPUTED_VALUE"""),"Ⓒキリエあやめ/forcs")</f>
        <v>Ⓒキリエあやめ/forcs</v>
      </c>
      <c r="V3543" s="8"/>
      <c r="W3543" s="8"/>
      <c r="X3543" s="8" t="str">
        <f>IFERROR(__xludf.DUMMYFUNCTION("""COMPUTED_VALUE"""),"有")</f>
        <v>有</v>
      </c>
      <c r="Y3543" s="8" t="str">
        <f>IFERROR(__xludf.DUMMYFUNCTION("""COMPUTED_VALUE"""),"2025/8/15まで1巻無料")</f>
        <v>2025/8/15まで1巻無料</v>
      </c>
      <c r="Z3543" s="7"/>
      <c r="AA3543" s="7"/>
      <c r="AB3543" s="7"/>
    </row>
    <row r="3544" ht="15.75" customHeight="1">
      <c r="A3544" s="26">
        <f>IFERROR(__xludf.DUMMYFUNCTION("""COMPUTED_VALUE"""),5724.0)</f>
        <v>5724</v>
      </c>
      <c r="B3544" s="22" t="str">
        <f>IFERROR(__xludf.DUMMYFUNCTION("""COMPUTED_VALUE"""),"確定")</f>
        <v>確定</v>
      </c>
      <c r="C3544" s="28">
        <f>IFERROR(__xludf.DUMMYFUNCTION("""COMPUTED_VALUE"""),45812.0)</f>
        <v>45812</v>
      </c>
      <c r="D3544" s="28">
        <f>IFERROR(__xludf.DUMMYFUNCTION("""COMPUTED_VALUE"""),45838.0)</f>
        <v>45838</v>
      </c>
      <c r="E3544" s="26">
        <f>IFERROR(__xludf.DUMMYFUNCTION("""COMPUTED_VALUE"""),329461.0)</f>
        <v>329461</v>
      </c>
      <c r="F3544" s="22" t="str">
        <f>IFERROR(__xludf.DUMMYFUNCTION("""COMPUTED_VALUE"""),"ヴァンパイア♡溺愛パラダイス 【連載版】")</f>
        <v>ヴァンパイア♡溺愛パラダイス 【連載版】</v>
      </c>
      <c r="G3544" s="220" t="str">
        <f>IFERROR(__xludf.DUMMYFUNCTION("""COMPUTED_VALUE"""),"1～4")</f>
        <v>1～4</v>
      </c>
      <c r="H3544" s="22" t="str">
        <f>IFERROR(__xludf.DUMMYFUNCTION("""COMPUTED_VALUE"""),"漫画：へき　原作：碧井こなつ")</f>
        <v>漫画：へき　原作：碧井こなつ</v>
      </c>
      <c r="I3544" s="22" t="str">
        <f>IFERROR(__xludf.DUMMYFUNCTION("""COMPUTED_VALUE"""),"少女")</f>
        <v>少女</v>
      </c>
      <c r="J3544" s="22"/>
      <c r="K3544" s="22" t="str">
        <f>IFERROR(__xludf.DUMMYFUNCTION("""COMPUTED_VALUE"""),"ZERO-SUMコミックス")</f>
        <v>ZERO-SUMコミックス</v>
      </c>
      <c r="L3544" s="22" t="str">
        <f>IFERROR(__xludf.DUMMYFUNCTION("""COMPUTED_VALUE"""),"一迅社")</f>
        <v>一迅社</v>
      </c>
      <c r="M3544" s="33">
        <f>IFERROR(__xludf.DUMMYFUNCTION("""COMPUTED_VALUE"""),45870.0)</f>
        <v>45870</v>
      </c>
      <c r="N3544" s="33">
        <f>IFERROR(__xludf.DUMMYFUNCTION("""COMPUTED_VALUE"""),45930.0)</f>
        <v>45930</v>
      </c>
      <c r="O3544" s="20"/>
      <c r="P3544" s="32" t="str">
        <f>IFERROR(__xludf.DUMMYFUNCTION("""COMPUTED_VALUE"""),"否")</f>
        <v>否</v>
      </c>
      <c r="Q3544" s="30" t="str">
        <f>IFERROR(__xludf.DUMMYFUNCTION("""COMPUTED_VALUE"""),"配信登録の都合上詳細ページは「ヴァンパイア・溺愛パラダイス」となっているが
正式表記は「ヴァンパイア♡溺愛パラダイス」
初回配信は4巻分ですが、3巻目までで進めていただけますと幸いです。
スターツ出版様「野いちごジュニア文庫」の人気シリーズのコミカライズ。https://www.no-ichigo.jp/article/junior/vampire&lt;BR&gt;・併売イメージは集英社様『総長さま、溺愛中につき。』、講談社様『ヴァンパイア男子寮』など。&lt;BR&gt;・コミックス1巻は10月発売予定。&lt;BR&gt;若いユーザー"&amp;"層の獲得も狙えればと考えています。")</f>
        <v>配信登録の都合上詳細ページは「ヴァンパイア・溺愛パラダイス」となっているが
正式表記は「ヴァンパイア♡溺愛パラダイス」
初回配信は4巻分ですが、3巻目までで進めていただけますと幸いです。
スターツ出版様「野いちごジュニア文庫」の人気シリーズのコミカライズ。https://www.no-ichigo.jp/article/junior/vampire&lt;BR&gt;・併売イメージは集英社様『総長さま、溺愛中につき。』、講談社様『ヴァンパイア男子寮』など。&lt;BR&gt;・コミックス1巻は10月発売予定。&lt;BR&gt;若いユーザー層の獲得も狙えればと考えています。</v>
      </c>
      <c r="R3544" s="22" t="str">
        <f>IFERROR(__xludf.DUMMYFUNCTION("""COMPUTED_VALUE"""),"コミットOK")</f>
        <v>コミットOK</v>
      </c>
      <c r="S3544" s="22" t="str">
        <f>IFERROR(__xludf.DUMMYFUNCTION("""COMPUTED_VALUE"""),"20250626_一迅社_ヴァンパイア・溺愛パラダイス")</f>
        <v>20250626_一迅社_ヴァンパイア・溺愛パラダイス</v>
      </c>
      <c r="T3544" s="22" t="str">
        <f>IFERROR(__xludf.DUMMYFUNCTION("""COMPUTED_VALUE"""),"格納済み")</f>
        <v>格納済み</v>
      </c>
      <c r="U3544" s="9" t="str">
        <f>IFERROR(__xludf.DUMMYFUNCTION("""COMPUTED_VALUE"""),"(C)へき／一迅社／碧井こなつ／スターツ出版")</f>
        <v>(C)へき／一迅社／碧井こなつ／スターツ出版</v>
      </c>
      <c r="V3544" s="8"/>
      <c r="W3544" s="8"/>
      <c r="X3544" s="8" t="str">
        <f>IFERROR(__xludf.DUMMYFUNCTION("""COMPUTED_VALUE"""),"有")</f>
        <v>有</v>
      </c>
      <c r="Y3544" s="8" t="str">
        <f>IFERROR(__xludf.DUMMYFUNCTION("""COMPUTED_VALUE"""),"2025/9/30まで1巻無料")</f>
        <v>2025/9/30まで1巻無料</v>
      </c>
      <c r="Z3544" s="7"/>
      <c r="AA3544" s="7"/>
      <c r="AB3544" s="7"/>
    </row>
    <row r="3545" ht="15.75" customHeight="1">
      <c r="A3545" s="26">
        <f>IFERROR(__xludf.DUMMYFUNCTION("""COMPUTED_VALUE"""),5728.0)</f>
        <v>5728</v>
      </c>
      <c r="B3545" s="22" t="str">
        <f>IFERROR(__xludf.DUMMYFUNCTION("""COMPUTED_VALUE"""),"確定")</f>
        <v>確定</v>
      </c>
      <c r="C3545" s="28">
        <f>IFERROR(__xludf.DUMMYFUNCTION("""COMPUTED_VALUE"""),45813.0)</f>
        <v>45813</v>
      </c>
      <c r="D3545" s="28">
        <f>IFERROR(__xludf.DUMMYFUNCTION("""COMPUTED_VALUE"""),45838.0)</f>
        <v>45838</v>
      </c>
      <c r="E3545" s="26">
        <f>IFERROR(__xludf.DUMMYFUNCTION("""COMPUTED_VALUE"""),330438.0)</f>
        <v>330438</v>
      </c>
      <c r="F3545" s="22" t="str">
        <f>IFERROR(__xludf.DUMMYFUNCTION("""COMPUTED_VALUE"""),"ワン・モア・ハッピーエンド～愛を知らない大魔女が、憎まれそして愛されるまで～")</f>
        <v>ワン・モア・ハッピーエンド～愛を知らない大魔女が、憎まれそして愛されるまで～</v>
      </c>
      <c r="G3545" s="220" t="str">
        <f>IFERROR(__xludf.DUMMYFUNCTION("""COMPUTED_VALUE"""),"1～3")</f>
        <v>1～3</v>
      </c>
      <c r="H3545" s="22" t="str">
        <f>IFERROR(__xludf.DUMMYFUNCTION("""COMPUTED_VALUE"""),"漫画：はたはた／原作：六つ花えいこ")</f>
        <v>漫画：はたはた／原作：六つ花えいこ</v>
      </c>
      <c r="I3545" s="22" t="str">
        <f>IFERROR(__xludf.DUMMYFUNCTION("""COMPUTED_VALUE"""),"女性")</f>
        <v>女性</v>
      </c>
      <c r="J3545" s="22"/>
      <c r="K3545" s="22" t="str">
        <f>IFERROR(__xludf.DUMMYFUNCTION("""COMPUTED_VALUE"""),"異世界マーガレット")</f>
        <v>異世界マーガレット</v>
      </c>
      <c r="L3545" s="22" t="str">
        <f>IFERROR(__xludf.DUMMYFUNCTION("""COMPUTED_VALUE"""),"集英社")</f>
        <v>集英社</v>
      </c>
      <c r="M3545" s="33">
        <f>IFERROR(__xludf.DUMMYFUNCTION("""COMPUTED_VALUE"""),45870.0)</f>
        <v>45870</v>
      </c>
      <c r="N3545" s="33">
        <f>IFERROR(__xludf.DUMMYFUNCTION("""COMPUTED_VALUE"""),45930.0)</f>
        <v>45930</v>
      </c>
      <c r="O3545" s="20"/>
      <c r="P3545" s="32" t="str">
        <f>IFERROR(__xludf.DUMMYFUNCTION("""COMPUTED_VALUE"""),"否")</f>
        <v>否</v>
      </c>
      <c r="Q3545" s="30" t="str">
        <f>IFERROR(__xludf.DUMMYFUNCTION("""COMPUTED_VALUE"""),"・元作が『死に戻りの魔法学校生活を、元恋人とプロローグから』の原作者、六つ花先生です。&lt;BR&gt;・同日配信で、集英社様から原作ノベルの配信もあります。出稿確約でこちらの原作ノベルも先行をいただけます。&lt;BR&gt;・ペースがゆっくりめの作品ではありますが、大魔女の二面性、なぜ大魔女は人々を苦しめるようになったのか、等、引き込まれる作品です。")</f>
        <v>・元作が『死に戻りの魔法学校生活を、元恋人とプロローグから』の原作者、六つ花先生です。&lt;BR&gt;・同日配信で、集英社様から原作ノベルの配信もあります。出稿確約でこちらの原作ノベルも先行をいただけます。&lt;BR&gt;・ペースがゆっくりめの作品ではありますが、大魔女の二面性、なぜ大魔女は人々を苦しめるようになったのか、等、引き込まれる作品です。</v>
      </c>
      <c r="R3545" s="22" t="str">
        <f>IFERROR(__xludf.DUMMYFUNCTION("""COMPUTED_VALUE"""),"コミットOK")</f>
        <v>コミットOK</v>
      </c>
      <c r="S3545" s="22" t="str">
        <f>IFERROR(__xludf.DUMMYFUNCTION("""COMPUTED_VALUE"""),"20250625_集英社_ワン・モア・ハッピーエンド")</f>
        <v>20250625_集英社_ワン・モア・ハッピーエンド</v>
      </c>
      <c r="T3545" s="22" t="str">
        <f>IFERROR(__xludf.DUMMYFUNCTION("""COMPUTED_VALUE"""),"格納済み")</f>
        <v>格納済み</v>
      </c>
      <c r="U3545" s="9" t="str">
        <f>IFERROR(__xludf.DUMMYFUNCTION("""COMPUTED_VALUE"""),"(c)六つ花えいこ・はたはた／集英社")</f>
        <v>(c)六つ花えいこ・はたはた／集英社</v>
      </c>
      <c r="V3545" s="8"/>
      <c r="W3545" s="8"/>
      <c r="X3545" s="8" t="str">
        <f>IFERROR(__xludf.DUMMYFUNCTION("""COMPUTED_VALUE"""),"有")</f>
        <v>有</v>
      </c>
      <c r="Y3545" s="8" t="str">
        <f>IFERROR(__xludf.DUMMYFUNCTION("""COMPUTED_VALUE"""),"2025/8/31まで1巻無料")</f>
        <v>2025/8/31まで1巻無料</v>
      </c>
      <c r="Z3545" s="7"/>
      <c r="AA3545" s="7"/>
      <c r="AB3545" s="7"/>
    </row>
    <row r="3546" ht="15.75" customHeight="1">
      <c r="A3546" s="26">
        <f>IFERROR(__xludf.DUMMYFUNCTION("""COMPUTED_VALUE"""),5746.0)</f>
        <v>5746</v>
      </c>
      <c r="B3546" s="22" t="str">
        <f>IFERROR(__xludf.DUMMYFUNCTION("""COMPUTED_VALUE"""),"確定")</f>
        <v>確定</v>
      </c>
      <c r="C3546" s="28">
        <f>IFERROR(__xludf.DUMMYFUNCTION("""COMPUTED_VALUE"""),45814.0)</f>
        <v>45814</v>
      </c>
      <c r="D3546" s="28">
        <f>IFERROR(__xludf.DUMMYFUNCTION("""COMPUTED_VALUE"""),45839.0)</f>
        <v>45839</v>
      </c>
      <c r="E3546" s="26">
        <f>IFERROR(__xludf.DUMMYFUNCTION("""COMPUTED_VALUE"""),329293.0)</f>
        <v>329293</v>
      </c>
      <c r="F3546" s="22" t="str">
        <f>IFERROR(__xludf.DUMMYFUNCTION("""COMPUTED_VALUE"""),"霧山課長、推しになる。～その厚い胸板に秘密の×××！～")</f>
        <v>霧山課長、推しになる。～その厚い胸板に秘密の×××！～</v>
      </c>
      <c r="G3546" s="220" t="str">
        <f>IFERROR(__xludf.DUMMYFUNCTION("""COMPUTED_VALUE"""),"1～3")</f>
        <v>1～3</v>
      </c>
      <c r="H3546" s="22" t="str">
        <f>IFERROR(__xludf.DUMMYFUNCTION("""COMPUTED_VALUE"""),"丸田マノ")</f>
        <v>丸田マノ</v>
      </c>
      <c r="I3546" s="22" t="str">
        <f>IFERROR(__xludf.DUMMYFUNCTION("""COMPUTED_VALUE"""),"女性マンガ")</f>
        <v>女性マンガ</v>
      </c>
      <c r="J3546" s="22"/>
      <c r="K3546" s="22"/>
      <c r="L3546" s="22" t="str">
        <f>IFERROR(__xludf.DUMMYFUNCTION("""COMPUTED_VALUE"""),"アイプロダクション")</f>
        <v>アイプロダクション</v>
      </c>
      <c r="M3546" s="33">
        <f>IFERROR(__xludf.DUMMYFUNCTION("""COMPUTED_VALUE"""),45870.0)</f>
        <v>45870</v>
      </c>
      <c r="N3546" s="33">
        <f>IFERROR(__xludf.DUMMYFUNCTION("""COMPUTED_VALUE"""),45930.0)</f>
        <v>45930</v>
      </c>
      <c r="O3546" s="20"/>
      <c r="P3546" s="32" t="str">
        <f>IFERROR(__xludf.DUMMYFUNCTION("""COMPUTED_VALUE"""),"可")</f>
        <v>可</v>
      </c>
      <c r="Q3546" s="30" t="str">
        <f>IFERROR(__xludf.DUMMYFUNCTION("""COMPUTED_VALUE"""),"※著者他作品：https://www.cmoa.jp/search/author/179421/&lt;BR&gt;　（インスタやX等SNSで音楽・日常レポエッセイ系を描いてらっしゃいます。）&lt;BR&gt;■あらすじ・キーワード&lt;BR&gt;出版社で事務職として働いている津田原エナの生き甲斐は、大好きなロックバンドの追っかけをすること。そしてそのライブレポートを漫画にしてSNSにアップすることを密かな楽しみとしていた。そのおかげで、会社の飲み会や行事を断っているエナは、周りから愛想のない人、付き合いの悪い人と認識されていた。ある"&amp;"日、いつものように推しのバンドのライブに参戦したエナは、ライブ中白熱するあまりダイブ！だが、目測を誤ってしまい、誰もいないフロアに落ちてしまうかと思いきや、間一髪、大柄な男性に受け止められ助けられる。&lt;BR&gt;なんとその男性は同じ会社の課長で、ちょっとミステリアスな雰囲気の霧山だった!?&lt;BR&gt;なぜ、霧山課長がこんなところに！と訳が分からずじまいのエナだったが、霧山はエナがロック好きなことも、SNSに漫画をアップしてることもすべて知っていた。会社にバレてしまうことを恐れていたエナに、霧山はバラさない代わりに"&amp;"ある契約を持ちかける。そして明かされた霧山課長の正体とは――――⁉")</f>
        <v>※著者他作品：https://www.cmoa.jp/search/author/179421/&lt;BR&gt;　（インスタやX等SNSで音楽・日常レポエッセイ系を描いてらっしゃいます。）&lt;BR&gt;■あらすじ・キーワード&lt;BR&gt;出版社で事務職として働いている津田原エナの生き甲斐は、大好きなロックバンドの追っかけをすること。そしてそのライブレポートを漫画にしてSNSにアップすることを密かな楽しみとしていた。そのおかげで、会社の飲み会や行事を断っているエナは、周りから愛想のない人、付き合いの悪い人と認識されていた。ある日、いつものように推しのバンドのライブに参戦したエナは、ライブ中白熱するあまりダイブ！だが、目測を誤ってしまい、誰もいないフロアに落ちてしまうかと思いきや、間一髪、大柄な男性に受け止められ助けられる。&lt;BR&gt;なんとその男性は同じ会社の課長で、ちょっとミステリアスな雰囲気の霧山だった!?&lt;BR&gt;なぜ、霧山課長がこんなところに！と訳が分からずじまいのエナだったが、霧山はエナがロック好きなことも、SNSに漫画をアップしてることもすべて知っていた。会社にバレてしまうことを恐れていたエナに、霧山はバラさない代わりにある契約を持ちかける。そして明かされた霧山課長の正体とは――――⁉</v>
      </c>
      <c r="R3546" s="22" t="str">
        <f>IFERROR(__xludf.DUMMYFUNCTION("""COMPUTED_VALUE"""),"コミットOK")</f>
        <v>コミットOK</v>
      </c>
      <c r="S3546" s="22" t="str">
        <f>IFERROR(__xludf.DUMMYFUNCTION("""COMPUTED_VALUE"""),"20250701_アイプロダクション_霧山課長、推しになる。～その厚い胸板に秘密の×××！～")</f>
        <v>20250701_アイプロダクション_霧山課長、推しになる。～その厚い胸板に秘密の×××！～</v>
      </c>
      <c r="T3546" s="22" t="str">
        <f>IFERROR(__xludf.DUMMYFUNCTION("""COMPUTED_VALUE"""),"格納済み")</f>
        <v>格納済み</v>
      </c>
      <c r="U3546" s="9" t="str">
        <f>IFERROR(__xludf.DUMMYFUNCTION("""COMPUTED_VALUE"""),"丸田マノ/アイプロダクション")</f>
        <v>丸田マノ/アイプロダクション</v>
      </c>
      <c r="V3546" s="8"/>
      <c r="W3546" s="8"/>
      <c r="X3546" s="8" t="str">
        <f>IFERROR(__xludf.DUMMYFUNCTION("""COMPUTED_VALUE"""),"有")</f>
        <v>有</v>
      </c>
      <c r="Y3546" s="8" t="str">
        <f>IFERROR(__xludf.DUMMYFUNCTION("""COMPUTED_VALUE"""),"2025/8/14まで1巻無料")</f>
        <v>2025/8/14まで1巻無料</v>
      </c>
      <c r="Z3546" s="7"/>
      <c r="AA3546" s="7"/>
      <c r="AB3546" s="7"/>
    </row>
    <row r="3547" ht="15.75" customHeight="1">
      <c r="A3547" s="26">
        <f>IFERROR(__xludf.DUMMYFUNCTION("""COMPUTED_VALUE"""),5878.0)</f>
        <v>5878</v>
      </c>
      <c r="B3547" s="22" t="str">
        <f>IFERROR(__xludf.DUMMYFUNCTION("""COMPUTED_VALUE"""),"確定")</f>
        <v>確定</v>
      </c>
      <c r="C3547" s="28">
        <f>IFERROR(__xludf.DUMMYFUNCTION("""COMPUTED_VALUE"""),45827.0)</f>
        <v>45827</v>
      </c>
      <c r="D3547" s="28">
        <f>IFERROR(__xludf.DUMMYFUNCTION("""COMPUTED_VALUE"""),45839.0)</f>
        <v>45839</v>
      </c>
      <c r="E3547" s="26">
        <f>IFERROR(__xludf.DUMMYFUNCTION("""COMPUTED_VALUE"""),329201.0)</f>
        <v>329201</v>
      </c>
      <c r="F3547" s="22" t="str">
        <f>IFERROR(__xludf.DUMMYFUNCTION("""COMPUTED_VALUE"""),"魔女もどきと欠陥王子の結婚事情 ～心が読めちゃうので、あなたの本心なんてお見通しです～【単話売】")</f>
        <v>魔女もどきと欠陥王子の結婚事情 ～心が読めちゃうので、あなたの本心なんてお見通しです～【単話売】</v>
      </c>
      <c r="G3547" s="220" t="str">
        <f>IFERROR(__xludf.DUMMYFUNCTION("""COMPUTED_VALUE"""),"1～3")</f>
        <v>1～3</v>
      </c>
      <c r="H3547" s="22" t="str">
        <f>IFERROR(__xludf.DUMMYFUNCTION("""COMPUTED_VALUE"""),"みずの雪見/深石千尋/まるはな郁哉")</f>
        <v>みずの雪見/深石千尋/まるはな郁哉</v>
      </c>
      <c r="I3547" s="22" t="str">
        <f>IFERROR(__xludf.DUMMYFUNCTION("""COMPUTED_VALUE"""),"TL")</f>
        <v>TL</v>
      </c>
      <c r="J3547" s="22"/>
      <c r="K3547" s="22" t="str">
        <f>IFERROR(__xludf.DUMMYFUNCTION("""COMPUTED_VALUE"""),"恋愛白書シェリーKiss")</f>
        <v>恋愛白書シェリーKiss</v>
      </c>
      <c r="L3547" s="22" t="str">
        <f>IFERROR(__xludf.DUMMYFUNCTION("""COMPUTED_VALUE"""),"宙出版")</f>
        <v>宙出版</v>
      </c>
      <c r="M3547" s="33">
        <f>IFERROR(__xludf.DUMMYFUNCTION("""COMPUTED_VALUE"""),45870.0)</f>
        <v>45870</v>
      </c>
      <c r="N3547" s="33">
        <f>IFERROR(__xludf.DUMMYFUNCTION("""COMPUTED_VALUE"""),45930.0)</f>
        <v>45930</v>
      </c>
      <c r="O3547" s="20"/>
      <c r="P3547" s="32" t="str">
        <f>IFERROR(__xludf.DUMMYFUNCTION("""COMPUTED_VALUE"""),"可")</f>
        <v>可</v>
      </c>
      <c r="Q3547" s="30"/>
      <c r="R3547" s="22" t="str">
        <f>IFERROR(__xludf.DUMMYFUNCTION("""COMPUTED_VALUE"""),"コミットOK")</f>
        <v>コミットOK</v>
      </c>
      <c r="S3547" s="22" t="str">
        <f>IFERROR(__xludf.DUMMYFUNCTION("""COMPUTED_VALUE"""),"20250701_宙出版_魔女もどきと欠陥王子の結婚事情")</f>
        <v>20250701_宙出版_魔女もどきと欠陥王子の結婚事情</v>
      </c>
      <c r="T3547" s="22" t="str">
        <f>IFERROR(__xludf.DUMMYFUNCTION("""COMPUTED_VALUE"""),"格納済み")</f>
        <v>格納済み</v>
      </c>
      <c r="U3547" s="9" t="str">
        <f>IFERROR(__xludf.DUMMYFUNCTION("""COMPUTED_VALUE"""),"Ⓒみずの雪見/深石千尋/まるはな郁哉/宙出版")</f>
        <v>Ⓒみずの雪見/深石千尋/まるはな郁哉/宙出版</v>
      </c>
      <c r="V3547" s="8"/>
      <c r="W3547" s="8"/>
      <c r="X3547" s="8" t="str">
        <f>IFERROR(__xludf.DUMMYFUNCTION("""COMPUTED_VALUE"""),"有")</f>
        <v>有</v>
      </c>
      <c r="Y3547" s="8" t="str">
        <f>IFERROR(__xludf.DUMMYFUNCTION("""COMPUTED_VALUE"""),"P8まで")</f>
        <v>P8まで</v>
      </c>
      <c r="Z3547" s="7"/>
      <c r="AA3547" s="7"/>
      <c r="AB3547" s="7"/>
    </row>
    <row r="3548" ht="15.75" customHeight="1">
      <c r="A3548" s="26">
        <f>IFERROR(__xludf.DUMMYFUNCTION("""COMPUTED_VALUE"""),5906.0)</f>
        <v>5906</v>
      </c>
      <c r="B3548" s="22" t="str">
        <f>IFERROR(__xludf.DUMMYFUNCTION("""COMPUTED_VALUE"""),"確定")</f>
        <v>確定</v>
      </c>
      <c r="C3548" s="28">
        <f>IFERROR(__xludf.DUMMYFUNCTION("""COMPUTED_VALUE"""),45831.0)</f>
        <v>45831</v>
      </c>
      <c r="D3548" s="28">
        <f>IFERROR(__xludf.DUMMYFUNCTION("""COMPUTED_VALUE"""),45838.0)</f>
        <v>45838</v>
      </c>
      <c r="E3548" s="26">
        <f>IFERROR(__xludf.DUMMYFUNCTION("""COMPUTED_VALUE"""),297107.0)</f>
        <v>297107</v>
      </c>
      <c r="F3548" s="22" t="str">
        <f>IFERROR(__xludf.DUMMYFUNCTION("""COMPUTED_VALUE"""),"スターな義弟はαさま ～ふつうの姉弟でいたいのに～")</f>
        <v>スターな義弟はαさま ～ふつうの姉弟でいたいのに～</v>
      </c>
      <c r="G3548" s="220" t="str">
        <f>IFERROR(__xludf.DUMMYFUNCTION("""COMPUTED_VALUE"""),"1～3")</f>
        <v>1～3</v>
      </c>
      <c r="H3548" s="22" t="str">
        <f>IFERROR(__xludf.DUMMYFUNCTION("""COMPUTED_VALUE"""),"Re:mimu")</f>
        <v>Re:mimu</v>
      </c>
      <c r="I3548" s="22" t="str">
        <f>IFERROR(__xludf.DUMMYFUNCTION("""COMPUTED_VALUE"""),"女性マンガ")</f>
        <v>女性マンガ</v>
      </c>
      <c r="J3548" s="22"/>
      <c r="K3548" s="22" t="str">
        <f>IFERROR(__xludf.DUMMYFUNCTION("""COMPUTED_VALUE"""),"スキして?桃色日記")</f>
        <v>スキして?桃色日記</v>
      </c>
      <c r="L3548" s="22" t="str">
        <f>IFERROR(__xludf.DUMMYFUNCTION("""COMPUTED_VALUE"""),"シーモアコミックス")</f>
        <v>シーモアコミックス</v>
      </c>
      <c r="M3548" s="33">
        <f>IFERROR(__xludf.DUMMYFUNCTION("""COMPUTED_VALUE"""),45864.0)</f>
        <v>45864</v>
      </c>
      <c r="N3548" s="33">
        <f>IFERROR(__xludf.DUMMYFUNCTION("""COMPUTED_VALUE"""),45925.0)</f>
        <v>45925</v>
      </c>
      <c r="O3548" s="20"/>
      <c r="P3548" s="32" t="str">
        <f>IFERROR(__xludf.DUMMYFUNCTION("""COMPUTED_VALUE"""),"可")</f>
        <v>可</v>
      </c>
      <c r="Q3548" s="30"/>
      <c r="R3548" s="22"/>
      <c r="S3548" s="22" t="str">
        <f>IFERROR(__xludf.DUMMYFUNCTION("""COMPUTED_VALUE"""),"20250623_シーモアコミックス_スターな義弟はαさま ～ふつうの姉弟でいたいのに～")</f>
        <v>20250623_シーモアコミックス_スターな義弟はαさま ～ふつうの姉弟でいたいのに～</v>
      </c>
      <c r="T3548" s="22" t="str">
        <f>IFERROR(__xludf.DUMMYFUNCTION("""COMPUTED_VALUE"""),"格納済み")</f>
        <v>格納済み</v>
      </c>
      <c r="U3548" s="9" t="str">
        <f>IFERROR(__xludf.DUMMYFUNCTION("""COMPUTED_VALUE"""),"(C) Re:mimu/シーモアコミックス")</f>
        <v>(C) Re:mimu/シーモアコミックス</v>
      </c>
      <c r="V3548" s="8"/>
      <c r="W3548" s="8"/>
      <c r="X3548" s="8" t="str">
        <f>IFERROR(__xludf.DUMMYFUNCTION("""COMPUTED_VALUE"""),"有")</f>
        <v>有</v>
      </c>
      <c r="Y3548" s="8" t="str">
        <f>IFERROR(__xludf.DUMMYFUNCTION("""COMPUTED_VALUE"""),"2025/8/22まで1巻無料")</f>
        <v>2025/8/22まで1巻無料</v>
      </c>
      <c r="Z3548" s="7"/>
      <c r="AA3548" s="7"/>
      <c r="AB3548" s="7"/>
    </row>
    <row r="3549" ht="15.75" customHeight="1">
      <c r="A3549" s="26">
        <f>IFERROR(__xludf.DUMMYFUNCTION("""COMPUTED_VALUE"""),5907.0)</f>
        <v>5907</v>
      </c>
      <c r="B3549" s="22" t="str">
        <f>IFERROR(__xludf.DUMMYFUNCTION("""COMPUTED_VALUE"""),"確定")</f>
        <v>確定</v>
      </c>
      <c r="C3549" s="28">
        <f>IFERROR(__xludf.DUMMYFUNCTION("""COMPUTED_VALUE"""),45831.0)</f>
        <v>45831</v>
      </c>
      <c r="D3549" s="28">
        <f>IFERROR(__xludf.DUMMYFUNCTION("""COMPUTED_VALUE"""),45838.0)</f>
        <v>45838</v>
      </c>
      <c r="E3549" s="26">
        <f>IFERROR(__xludf.DUMMYFUNCTION("""COMPUTED_VALUE"""),298690.0)</f>
        <v>298690</v>
      </c>
      <c r="F3549" s="22" t="str">
        <f>IFERROR(__xludf.DUMMYFUNCTION("""COMPUTED_VALUE"""),"私に起きた恋の話 ～レトロ喫茶のお兄さん～")</f>
        <v>私に起きた恋の話 ～レトロ喫茶のお兄さん～</v>
      </c>
      <c r="G3549" s="220" t="str">
        <f>IFERROR(__xludf.DUMMYFUNCTION("""COMPUTED_VALUE"""),"1～3")</f>
        <v>1～3</v>
      </c>
      <c r="H3549" s="22" t="str">
        <f>IFERROR(__xludf.DUMMYFUNCTION("""COMPUTED_VALUE"""),"Gato")</f>
        <v>Gato</v>
      </c>
      <c r="I3549" s="22" t="str">
        <f>IFERROR(__xludf.DUMMYFUNCTION("""COMPUTED_VALUE"""),"少女マンガ")</f>
        <v>少女マンガ</v>
      </c>
      <c r="J3549" s="22"/>
      <c r="K3549" s="22" t="str">
        <f>IFERROR(__xludf.DUMMYFUNCTION("""COMPUTED_VALUE"""),"恋するソワレ")</f>
        <v>恋するソワレ</v>
      </c>
      <c r="L3549" s="22" t="str">
        <f>IFERROR(__xludf.DUMMYFUNCTION("""COMPUTED_VALUE"""),"シーモアコミックス")</f>
        <v>シーモアコミックス</v>
      </c>
      <c r="M3549" s="33">
        <f>IFERROR(__xludf.DUMMYFUNCTION("""COMPUTED_VALUE"""),45864.0)</f>
        <v>45864</v>
      </c>
      <c r="N3549" s="33">
        <f>IFERROR(__xludf.DUMMYFUNCTION("""COMPUTED_VALUE"""),45925.0)</f>
        <v>45925</v>
      </c>
      <c r="O3549" s="20"/>
      <c r="P3549" s="32" t="str">
        <f>IFERROR(__xludf.DUMMYFUNCTION("""COMPUTED_VALUE"""),"可")</f>
        <v>可</v>
      </c>
      <c r="Q3549" s="30"/>
      <c r="R3549" s="22"/>
      <c r="S3549" s="22" t="str">
        <f>IFERROR(__xludf.DUMMYFUNCTION("""COMPUTED_VALUE"""),"20250623_シーモアコミックス_私に起きた恋の話 ～レトロ喫茶のお兄さん～")</f>
        <v>20250623_シーモアコミックス_私に起きた恋の話 ～レトロ喫茶のお兄さん～</v>
      </c>
      <c r="T3549" s="22" t="str">
        <f>IFERROR(__xludf.DUMMYFUNCTION("""COMPUTED_VALUE"""),"格納済み")</f>
        <v>格納済み</v>
      </c>
      <c r="U3549" s="9" t="str">
        <f>IFERROR(__xludf.DUMMYFUNCTION("""COMPUTED_VALUE"""),"(C) Gato/シーモアコミックス")</f>
        <v>(C) Gato/シーモアコミックス</v>
      </c>
      <c r="V3549" s="8"/>
      <c r="W3549" s="8"/>
      <c r="X3549" s="8" t="str">
        <f>IFERROR(__xludf.DUMMYFUNCTION("""COMPUTED_VALUE"""),"有")</f>
        <v>有</v>
      </c>
      <c r="Y3549" s="8" t="str">
        <f>IFERROR(__xludf.DUMMYFUNCTION("""COMPUTED_VALUE"""),"2025/8/22まで1巻無料")</f>
        <v>2025/8/22まで1巻無料</v>
      </c>
      <c r="Z3549" s="7"/>
      <c r="AA3549" s="7"/>
      <c r="AB3549" s="7"/>
    </row>
    <row r="3550" ht="15.75" customHeight="1">
      <c r="A3550" s="26">
        <f>IFERROR(__xludf.DUMMYFUNCTION("""COMPUTED_VALUE"""),5934.0)</f>
        <v>5934</v>
      </c>
      <c r="B3550" s="22" t="str">
        <f>IFERROR(__xludf.DUMMYFUNCTION("""COMPUTED_VALUE"""),"確定")</f>
        <v>確定</v>
      </c>
      <c r="C3550" s="28">
        <f>IFERROR(__xludf.DUMMYFUNCTION("""COMPUTED_VALUE"""),45833.0)</f>
        <v>45833</v>
      </c>
      <c r="D3550" s="28">
        <f>IFERROR(__xludf.DUMMYFUNCTION("""COMPUTED_VALUE"""),45839.0)</f>
        <v>45839</v>
      </c>
      <c r="E3550" s="26">
        <f>IFERROR(__xludf.DUMMYFUNCTION("""COMPUTED_VALUE"""),330920.0)</f>
        <v>330920</v>
      </c>
      <c r="F3550" s="22" t="str">
        <f>IFERROR(__xludf.DUMMYFUNCTION("""COMPUTED_VALUE"""),"真っ白い殺人鬼")</f>
        <v>真っ白い殺人鬼</v>
      </c>
      <c r="G3550" s="20" t="str">
        <f>IFERROR(__xludf.DUMMYFUNCTION("""COMPUTED_VALUE"""),"1～9")</f>
        <v>1～9</v>
      </c>
      <c r="H3550" s="22" t="str">
        <f>IFERROR(__xludf.DUMMYFUNCTION("""COMPUTED_VALUE"""),"三輪・キャナウェイ┴清原紘┴Clappers")</f>
        <v>三輪・キャナウェイ┴清原紘┴Clappers</v>
      </c>
      <c r="I3550" s="22" t="str">
        <f>IFERROR(__xludf.DUMMYFUNCTION("""COMPUTED_VALUE"""),"青年")</f>
        <v>青年</v>
      </c>
      <c r="J3550" s="22"/>
      <c r="K3550" s="22"/>
      <c r="L3550" s="22" t="str">
        <f>IFERROR(__xludf.DUMMYFUNCTION("""COMPUTED_VALUE"""),"Clappers")</f>
        <v>Clappers</v>
      </c>
      <c r="M3550" s="33">
        <f>IFERROR(__xludf.DUMMYFUNCTION("""COMPUTED_VALUE"""),45877.0)</f>
        <v>45877</v>
      </c>
      <c r="N3550" s="33">
        <f>IFERROR(__xludf.DUMMYFUNCTION("""COMPUTED_VALUE"""),45991.0)</f>
        <v>45991</v>
      </c>
      <c r="O3550" s="20"/>
      <c r="P3550" s="32" t="str">
        <f>IFERROR(__xludf.DUMMYFUNCTION("""COMPUTED_VALUE"""),"可")</f>
        <v>可</v>
      </c>
      <c r="Q3550" s="30"/>
      <c r="R3550" s="22"/>
      <c r="S3550" s="22" t="str">
        <f>IFERROR(__xludf.DUMMYFUNCTION("""COMPUTED_VALUE"""),"20250625_Clappers_真っ白い殺人鬼")</f>
        <v>20250625_Clappers_真っ白い殺人鬼</v>
      </c>
      <c r="T3550" s="22" t="str">
        <f>IFERROR(__xludf.DUMMYFUNCTION("""COMPUTED_VALUE"""),"格納済み")</f>
        <v>格納済み</v>
      </c>
      <c r="U3550" s="9" t="str">
        <f>IFERROR(__xludf.DUMMYFUNCTION("""COMPUTED_VALUE"""),"（ｃ）三輪・キャナウェイ／IIV／Clappers")</f>
        <v>（ｃ）三輪・キャナウェイ／IIV／Clappers</v>
      </c>
      <c r="V3550" s="8"/>
      <c r="W3550" s="8"/>
      <c r="X3550" s="8" t="str">
        <f>IFERROR(__xludf.DUMMYFUNCTION("""COMPUTED_VALUE"""),"有")</f>
        <v>有</v>
      </c>
      <c r="Y3550" s="8" t="str">
        <f>IFERROR(__xludf.DUMMYFUNCTION("""COMPUTED_VALUE"""),"2025/11/30まで1～3巻無料")</f>
        <v>2025/11/30まで1～3巻無料</v>
      </c>
      <c r="Z3550" s="7"/>
      <c r="AA3550" s="7"/>
      <c r="AB3550" s="7"/>
    </row>
    <row r="3551" ht="15.75" customHeight="1">
      <c r="A3551" s="26">
        <f>IFERROR(__xludf.DUMMYFUNCTION("""COMPUTED_VALUE"""),5940.0)</f>
        <v>5940</v>
      </c>
      <c r="B3551" s="22" t="str">
        <f>IFERROR(__xludf.DUMMYFUNCTION("""COMPUTED_VALUE"""),"確定")</f>
        <v>確定</v>
      </c>
      <c r="C3551" s="28">
        <f>IFERROR(__xludf.DUMMYFUNCTION("""COMPUTED_VALUE"""),45835.0)</f>
        <v>45835</v>
      </c>
      <c r="D3551" s="28">
        <f>IFERROR(__xludf.DUMMYFUNCTION("""COMPUTED_VALUE"""),45840.0)</f>
        <v>45840</v>
      </c>
      <c r="E3551" s="26">
        <f>IFERROR(__xludf.DUMMYFUNCTION("""COMPUTED_VALUE"""),329510.0)</f>
        <v>329510</v>
      </c>
      <c r="F3551" s="22" t="str">
        <f>IFERROR(__xludf.DUMMYFUNCTION("""COMPUTED_VALUE"""),"[ハレム]桜田の○○レポ")</f>
        <v>[ハレム]桜田の○○レポ</v>
      </c>
      <c r="G3551" s="220" t="str">
        <f>IFERROR(__xludf.DUMMYFUNCTION("""COMPUTED_VALUE"""),"1～3")</f>
        <v>1～3</v>
      </c>
      <c r="H3551" s="22" t="str">
        <f>IFERROR(__xludf.DUMMYFUNCTION("""COMPUTED_VALUE"""),"桜田")</f>
        <v>桜田</v>
      </c>
      <c r="I3551" s="22" t="str">
        <f>IFERROR(__xludf.DUMMYFUNCTION("""COMPUTED_VALUE"""),"青年")</f>
        <v>青年</v>
      </c>
      <c r="J3551" s="22"/>
      <c r="K3551" s="22" t="str">
        <f>IFERROR(__xludf.DUMMYFUNCTION("""COMPUTED_VALUE"""),"ハレム")</f>
        <v>ハレム</v>
      </c>
      <c r="L3551" s="22" t="str">
        <f>IFERROR(__xludf.DUMMYFUNCTION("""COMPUTED_VALUE"""),"白泉社")</f>
        <v>白泉社</v>
      </c>
      <c r="M3551" s="33">
        <f>IFERROR(__xludf.DUMMYFUNCTION("""COMPUTED_VALUE"""),45867.0)</f>
        <v>45867</v>
      </c>
      <c r="N3551" s="33">
        <f>IFERROR(__xludf.DUMMYFUNCTION("""COMPUTED_VALUE"""),45958.0)</f>
        <v>45958</v>
      </c>
      <c r="O3551" s="20"/>
      <c r="P3551" s="32" t="str">
        <f>IFERROR(__xludf.DUMMYFUNCTION("""COMPUTED_VALUE"""),"可")</f>
        <v>可</v>
      </c>
      <c r="Q3551" s="30" t="str">
        <f>IFERROR(__xludf.DUMMYFUNCTION("""COMPUTED_VALUE"""),"【アダルト作品扱い】&lt;BR&gt;新作の出稿を前提にレーベル先行をいただいた『ハレム』レーベル作品です。&lt;BR&gt;")</f>
        <v>【アダルト作品扱い】&lt;BR&gt;新作の出稿を前提にレーベル先行をいただいた『ハレム』レーベル作品です。&lt;BR&gt;</v>
      </c>
      <c r="R3551" s="22"/>
      <c r="S3551" s="22" t="str">
        <f>IFERROR(__xludf.DUMMYFUNCTION("""COMPUTED_VALUE"""),"20250627_白泉社_桜田の○○レポ")</f>
        <v>20250627_白泉社_桜田の○○レポ</v>
      </c>
      <c r="T3551" s="22" t="str">
        <f>IFERROR(__xludf.DUMMYFUNCTION("""COMPUTED_VALUE"""),"格納済み")</f>
        <v>格納済み</v>
      </c>
      <c r="U3551" s="9" t="str">
        <f>IFERROR(__xludf.DUMMYFUNCTION("""COMPUTED_VALUE"""),"Ⓒ桜田／白泉社")</f>
        <v>Ⓒ桜田／白泉社</v>
      </c>
      <c r="V3551" s="8"/>
      <c r="W3551" s="8"/>
      <c r="X3551" s="8" t="str">
        <f>IFERROR(__xludf.DUMMYFUNCTION("""COMPUTED_VALUE"""),"有")</f>
        <v>有</v>
      </c>
      <c r="Y3551" s="8" t="str">
        <f>IFERROR(__xludf.DUMMYFUNCTION("""COMPUTED_VALUE"""),"2025/8/11まで1巻無料")</f>
        <v>2025/8/11まで1巻無料</v>
      </c>
      <c r="Z3551" s="7"/>
      <c r="AA3551" s="7"/>
      <c r="AB3551" s="7"/>
    </row>
    <row r="3552" ht="15.75" customHeight="1">
      <c r="A3552" s="26">
        <f>IFERROR(__xludf.DUMMYFUNCTION("""COMPUTED_VALUE"""),5955.0)</f>
        <v>5955</v>
      </c>
      <c r="B3552" s="22" t="str">
        <f>IFERROR(__xludf.DUMMYFUNCTION("""COMPUTED_VALUE"""),"確定")</f>
        <v>確定</v>
      </c>
      <c r="C3552" s="28">
        <f>IFERROR(__xludf.DUMMYFUNCTION("""COMPUTED_VALUE"""),45838.0)</f>
        <v>45838</v>
      </c>
      <c r="D3552" s="28">
        <f>IFERROR(__xludf.DUMMYFUNCTION("""COMPUTED_VALUE"""),45839.0)</f>
        <v>45839</v>
      </c>
      <c r="E3552" s="26">
        <f>IFERROR(__xludf.DUMMYFUNCTION("""COMPUTED_VALUE"""),330795.0)</f>
        <v>330795</v>
      </c>
      <c r="F3552" s="22" t="str">
        <f>IFERROR(__xludf.DUMMYFUNCTION("""COMPUTED_VALUE"""),"Rainy Day Doggy【TL版】")</f>
        <v>Rainy Day Doggy【TL版】</v>
      </c>
      <c r="G3552" s="20">
        <f>IFERROR(__xludf.DUMMYFUNCTION("""COMPUTED_VALUE"""),1.0)</f>
        <v>1</v>
      </c>
      <c r="H3552" s="22" t="str">
        <f>IFERROR(__xludf.DUMMYFUNCTION("""COMPUTED_VALUE"""),"小中えみ")</f>
        <v>小中えみ</v>
      </c>
      <c r="I3552" s="22" t="str">
        <f>IFERROR(__xludf.DUMMYFUNCTION("""COMPUTED_VALUE"""),"TL")</f>
        <v>TL</v>
      </c>
      <c r="J3552" s="22"/>
      <c r="K3552" s="22" t="str">
        <f>IFERROR(__xludf.DUMMYFUNCTION("""COMPUTED_VALUE"""),"ズレット！")</f>
        <v>ズレット！</v>
      </c>
      <c r="L3552" s="22" t="str">
        <f>IFERROR(__xludf.DUMMYFUNCTION("""COMPUTED_VALUE"""),"ライブコミックス")</f>
        <v>ライブコミックス</v>
      </c>
      <c r="M3552" s="33">
        <f>IFERROR(__xludf.DUMMYFUNCTION("""COMPUTED_VALUE"""),45856.0)</f>
        <v>45856</v>
      </c>
      <c r="N3552" s="33">
        <f>IFERROR(__xludf.DUMMYFUNCTION("""COMPUTED_VALUE"""),45918.0)</f>
        <v>45918</v>
      </c>
      <c r="O3552" s="20"/>
      <c r="P3552" s="32" t="str">
        <f>IFERROR(__xludf.DUMMYFUNCTION("""COMPUTED_VALUE"""),"可")</f>
        <v>可</v>
      </c>
      <c r="Q3552" s="30"/>
      <c r="R3552" s="22"/>
      <c r="S3552" s="22" t="str">
        <f>IFERROR(__xludf.DUMMYFUNCTION("""COMPUTED_VALUE"""),"20250630_BookLive_Rainy Day Doggy")</f>
        <v>20250630_BookLive_Rainy Day Doggy</v>
      </c>
      <c r="T3552" s="22" t="str">
        <f>IFERROR(__xludf.DUMMYFUNCTION("""COMPUTED_VALUE"""),"格納済み")</f>
        <v>格納済み</v>
      </c>
      <c r="U3552" s="9" t="str">
        <f>IFERROR(__xludf.DUMMYFUNCTION("""COMPUTED_VALUE"""),"Ⓒ小中えみ/ライブコミックス")</f>
        <v>Ⓒ小中えみ/ライブコミックス</v>
      </c>
      <c r="V3552" s="8"/>
      <c r="W3552" s="8"/>
      <c r="X3552" s="8" t="str">
        <f>IFERROR(__xludf.DUMMYFUNCTION("""COMPUTED_VALUE"""),"有")</f>
        <v>有</v>
      </c>
      <c r="Y3552" s="8" t="str">
        <f>IFERROR(__xludf.DUMMYFUNCTION("""COMPUTED_VALUE"""),"P7まで")</f>
        <v>P7まで</v>
      </c>
      <c r="Z3552" s="7"/>
      <c r="AA3552" s="7"/>
      <c r="AB3552" s="7"/>
    </row>
    <row r="3553" ht="15.75" customHeight="1">
      <c r="A3553" s="26">
        <f>IFERROR(__xludf.DUMMYFUNCTION("""COMPUTED_VALUE"""),5956.0)</f>
        <v>5956</v>
      </c>
      <c r="B3553" s="22" t="str">
        <f>IFERROR(__xludf.DUMMYFUNCTION("""COMPUTED_VALUE"""),"確定")</f>
        <v>確定</v>
      </c>
      <c r="C3553" s="28">
        <f>IFERROR(__xludf.DUMMYFUNCTION("""COMPUTED_VALUE"""),45838.0)</f>
        <v>45838</v>
      </c>
      <c r="D3553" s="28">
        <f>IFERROR(__xludf.DUMMYFUNCTION("""COMPUTED_VALUE"""),45840.0)</f>
        <v>45840</v>
      </c>
      <c r="E3553" s="26">
        <f>IFERROR(__xludf.DUMMYFUNCTION("""COMPUTED_VALUE"""),330798.0)</f>
        <v>330798</v>
      </c>
      <c r="F3553" s="22" t="str">
        <f>IFERROR(__xludf.DUMMYFUNCTION("""COMPUTED_VALUE"""),"吸血鬼のご主人様【TL版】")</f>
        <v>吸血鬼のご主人様【TL版】</v>
      </c>
      <c r="G3553" s="20">
        <f>IFERROR(__xludf.DUMMYFUNCTION("""COMPUTED_VALUE"""),1.0)</f>
        <v>1</v>
      </c>
      <c r="H3553" s="22" t="str">
        <f>IFERROR(__xludf.DUMMYFUNCTION("""COMPUTED_VALUE"""),"ゆうき湯葉")</f>
        <v>ゆうき湯葉</v>
      </c>
      <c r="I3553" s="22" t="str">
        <f>IFERROR(__xludf.DUMMYFUNCTION("""COMPUTED_VALUE"""),"TL")</f>
        <v>TL</v>
      </c>
      <c r="J3553" s="22"/>
      <c r="K3553" s="22" t="str">
        <f>IFERROR(__xludf.DUMMYFUNCTION("""COMPUTED_VALUE"""),"ズレット！")</f>
        <v>ズレット！</v>
      </c>
      <c r="L3553" s="22" t="str">
        <f>IFERROR(__xludf.DUMMYFUNCTION("""COMPUTED_VALUE"""),"ライブコミックス")</f>
        <v>ライブコミックス</v>
      </c>
      <c r="M3553" s="33">
        <f>IFERROR(__xludf.DUMMYFUNCTION("""COMPUTED_VALUE"""),45856.0)</f>
        <v>45856</v>
      </c>
      <c r="N3553" s="33">
        <f>IFERROR(__xludf.DUMMYFUNCTION("""COMPUTED_VALUE"""),45918.0)</f>
        <v>45918</v>
      </c>
      <c r="O3553" s="20"/>
      <c r="P3553" s="32" t="str">
        <f>IFERROR(__xludf.DUMMYFUNCTION("""COMPUTED_VALUE"""),"可")</f>
        <v>可</v>
      </c>
      <c r="Q3553" s="30"/>
      <c r="R3553" s="22"/>
      <c r="S3553" s="22" t="str">
        <f>IFERROR(__xludf.DUMMYFUNCTION("""COMPUTED_VALUE"""),"20250630_BookLive_吸血鬼のご主人様")</f>
        <v>20250630_BookLive_吸血鬼のご主人様</v>
      </c>
      <c r="T3553" s="22" t="str">
        <f>IFERROR(__xludf.DUMMYFUNCTION("""COMPUTED_VALUE"""),"格納済み")</f>
        <v>格納済み</v>
      </c>
      <c r="U3553" s="9" t="str">
        <f>IFERROR(__xludf.DUMMYFUNCTION("""COMPUTED_VALUE"""),"Ⓒゆうき湯葉/ライブコミックス")</f>
        <v>Ⓒゆうき湯葉/ライブコミックス</v>
      </c>
      <c r="V3553" s="8"/>
      <c r="W3553" s="8"/>
      <c r="X3553" s="8" t="str">
        <f>IFERROR(__xludf.DUMMYFUNCTION("""COMPUTED_VALUE"""),"有")</f>
        <v>有</v>
      </c>
      <c r="Y3553" s="8" t="str">
        <f>IFERROR(__xludf.DUMMYFUNCTION("""COMPUTED_VALUE"""),"P7まで")</f>
        <v>P7まで</v>
      </c>
      <c r="Z3553" s="7"/>
      <c r="AA3553" s="7"/>
      <c r="AB3553" s="7"/>
    </row>
    <row r="3554" ht="15.75" customHeight="1">
      <c r="A3554" s="26">
        <f>IFERROR(__xludf.DUMMYFUNCTION("""COMPUTED_VALUE"""),5957.0)</f>
        <v>5957</v>
      </c>
      <c r="B3554" s="22" t="str">
        <f>IFERROR(__xludf.DUMMYFUNCTION("""COMPUTED_VALUE"""),"確定")</f>
        <v>確定</v>
      </c>
      <c r="C3554" s="28">
        <f>IFERROR(__xludf.DUMMYFUNCTION("""COMPUTED_VALUE"""),45838.0)</f>
        <v>45838</v>
      </c>
      <c r="D3554" s="28">
        <f>IFERROR(__xludf.DUMMYFUNCTION("""COMPUTED_VALUE"""),45840.0)</f>
        <v>45840</v>
      </c>
      <c r="E3554" s="26">
        <f>IFERROR(__xludf.DUMMYFUNCTION("""COMPUTED_VALUE"""),330797.0)</f>
        <v>330797</v>
      </c>
      <c r="F3554" s="22" t="str">
        <f>IFERROR(__xludf.DUMMYFUNCTION("""COMPUTED_VALUE"""),"ネコ治癒士はオオカミ冒険者に発情したくないのに！【TL版】")</f>
        <v>ネコ治癒士はオオカミ冒険者に発情したくないのに！【TL版】</v>
      </c>
      <c r="G3554" s="20">
        <f>IFERROR(__xludf.DUMMYFUNCTION("""COMPUTED_VALUE"""),1.0)</f>
        <v>1</v>
      </c>
      <c r="H3554" s="22" t="str">
        <f>IFERROR(__xludf.DUMMYFUNCTION("""COMPUTED_VALUE"""),"みな藻")</f>
        <v>みな藻</v>
      </c>
      <c r="I3554" s="22" t="str">
        <f>IFERROR(__xludf.DUMMYFUNCTION("""COMPUTED_VALUE"""),"TL")</f>
        <v>TL</v>
      </c>
      <c r="J3554" s="22"/>
      <c r="K3554" s="22" t="str">
        <f>IFERROR(__xludf.DUMMYFUNCTION("""COMPUTED_VALUE"""),"ズレット！")</f>
        <v>ズレット！</v>
      </c>
      <c r="L3554" s="22" t="str">
        <f>IFERROR(__xludf.DUMMYFUNCTION("""COMPUTED_VALUE"""),"ライブコミックス")</f>
        <v>ライブコミックス</v>
      </c>
      <c r="M3554" s="33">
        <f>IFERROR(__xludf.DUMMYFUNCTION("""COMPUTED_VALUE"""),45856.0)</f>
        <v>45856</v>
      </c>
      <c r="N3554" s="33">
        <f>IFERROR(__xludf.DUMMYFUNCTION("""COMPUTED_VALUE"""),45918.0)</f>
        <v>45918</v>
      </c>
      <c r="O3554" s="20"/>
      <c r="P3554" s="32" t="str">
        <f>IFERROR(__xludf.DUMMYFUNCTION("""COMPUTED_VALUE"""),"可")</f>
        <v>可</v>
      </c>
      <c r="Q3554" s="30"/>
      <c r="R3554" s="22"/>
      <c r="S3554" s="22" t="str">
        <f>IFERROR(__xludf.DUMMYFUNCTION("""COMPUTED_VALUE"""),"20250630_BookLive_ネコ治癒士はオオカミ冒険者に発情したくないのに！")</f>
        <v>20250630_BookLive_ネコ治癒士はオオカミ冒険者に発情したくないのに！</v>
      </c>
      <c r="T3554" s="22" t="str">
        <f>IFERROR(__xludf.DUMMYFUNCTION("""COMPUTED_VALUE"""),"格納済み")</f>
        <v>格納済み</v>
      </c>
      <c r="U3554" s="9" t="str">
        <f>IFERROR(__xludf.DUMMYFUNCTION("""COMPUTED_VALUE"""),"Ⓒみな藻/ライブコミックス")</f>
        <v>Ⓒみな藻/ライブコミックス</v>
      </c>
      <c r="V3554" s="8"/>
      <c r="W3554" s="8"/>
      <c r="X3554" s="8" t="str">
        <f>IFERROR(__xludf.DUMMYFUNCTION("""COMPUTED_VALUE"""),"有")</f>
        <v>有</v>
      </c>
      <c r="Y3554" s="8" t="str">
        <f>IFERROR(__xludf.DUMMYFUNCTION("""COMPUTED_VALUE"""),"P7まで")</f>
        <v>P7まで</v>
      </c>
      <c r="Z3554" s="7"/>
      <c r="AA3554" s="7"/>
      <c r="AB3554" s="7"/>
    </row>
    <row r="3555" ht="15.75" customHeight="1">
      <c r="A3555" s="26">
        <f>IFERROR(__xludf.DUMMYFUNCTION("""COMPUTED_VALUE"""),5958.0)</f>
        <v>5958</v>
      </c>
      <c r="B3555" s="22" t="str">
        <f>IFERROR(__xludf.DUMMYFUNCTION("""COMPUTED_VALUE"""),"確定")</f>
        <v>確定</v>
      </c>
      <c r="C3555" s="28">
        <f>IFERROR(__xludf.DUMMYFUNCTION("""COMPUTED_VALUE"""),45838.0)</f>
        <v>45838</v>
      </c>
      <c r="D3555" s="28">
        <f>IFERROR(__xludf.DUMMYFUNCTION("""COMPUTED_VALUE"""),45840.0)</f>
        <v>45840</v>
      </c>
      <c r="E3555" s="26">
        <f>IFERROR(__xludf.DUMMYFUNCTION("""COMPUTED_VALUE"""),330796.0)</f>
        <v>330796</v>
      </c>
      <c r="F3555" s="22" t="str">
        <f>IFERROR(__xludf.DUMMYFUNCTION("""COMPUTED_VALUE"""),"オナニー専用インスタント触手はイってもイってもやめてくれない【TL版】")</f>
        <v>オナニー専用インスタント触手はイってもイってもやめてくれない【TL版】</v>
      </c>
      <c r="G3555" s="20">
        <f>IFERROR(__xludf.DUMMYFUNCTION("""COMPUTED_VALUE"""),1.0)</f>
        <v>1</v>
      </c>
      <c r="H3555" s="22" t="str">
        <f>IFERROR(__xludf.DUMMYFUNCTION("""COMPUTED_VALUE"""),"尚乱歩ゝぽ")</f>
        <v>尚乱歩ゝぽ</v>
      </c>
      <c r="I3555" s="22" t="str">
        <f>IFERROR(__xludf.DUMMYFUNCTION("""COMPUTED_VALUE"""),"TL")</f>
        <v>TL</v>
      </c>
      <c r="J3555" s="22"/>
      <c r="K3555" s="22" t="str">
        <f>IFERROR(__xludf.DUMMYFUNCTION("""COMPUTED_VALUE"""),"ズレット！")</f>
        <v>ズレット！</v>
      </c>
      <c r="L3555" s="22" t="str">
        <f>IFERROR(__xludf.DUMMYFUNCTION("""COMPUTED_VALUE"""),"ライブコミックス")</f>
        <v>ライブコミックス</v>
      </c>
      <c r="M3555" s="33">
        <f>IFERROR(__xludf.DUMMYFUNCTION("""COMPUTED_VALUE"""),45856.0)</f>
        <v>45856</v>
      </c>
      <c r="N3555" s="33">
        <f>IFERROR(__xludf.DUMMYFUNCTION("""COMPUTED_VALUE"""),45918.0)</f>
        <v>45918</v>
      </c>
      <c r="O3555" s="20"/>
      <c r="P3555" s="32" t="str">
        <f>IFERROR(__xludf.DUMMYFUNCTION("""COMPUTED_VALUE"""),"可")</f>
        <v>可</v>
      </c>
      <c r="Q3555" s="30" t="str">
        <f>IFERROR(__xludf.DUMMYFUNCTION("""COMPUTED_VALUE"""),"【アダルト作品扱い】")</f>
        <v>【アダルト作品扱い】</v>
      </c>
      <c r="R3555" s="22"/>
      <c r="S3555" s="22" t="str">
        <f>IFERROR(__xludf.DUMMYFUNCTION("""COMPUTED_VALUE"""),"20250630_BookLive_オナニー専用インスタント触手はイってもイってもやめてくれない")</f>
        <v>20250630_BookLive_オナニー専用インスタント触手はイってもイってもやめてくれない</v>
      </c>
      <c r="T3555" s="22" t="str">
        <f>IFERROR(__xludf.DUMMYFUNCTION("""COMPUTED_VALUE"""),"格納済み")</f>
        <v>格納済み</v>
      </c>
      <c r="U3555" s="9" t="str">
        <f>IFERROR(__xludf.DUMMYFUNCTION("""COMPUTED_VALUE"""),"Ⓒ尚乱歩ゝぽ/ライブコミックス")</f>
        <v>Ⓒ尚乱歩ゝぽ/ライブコミックス</v>
      </c>
      <c r="V3555" s="8"/>
      <c r="W3555" s="8"/>
      <c r="X3555" s="8" t="str">
        <f>IFERROR(__xludf.DUMMYFUNCTION("""COMPUTED_VALUE"""),"有")</f>
        <v>有</v>
      </c>
      <c r="Y3555" s="8" t="str">
        <f>IFERROR(__xludf.DUMMYFUNCTION("""COMPUTED_VALUE"""),"P7まで")</f>
        <v>P7まで</v>
      </c>
      <c r="Z3555" s="7"/>
      <c r="AA3555" s="7"/>
      <c r="AB3555" s="7"/>
    </row>
    <row r="3556" ht="15.75" customHeight="1">
      <c r="A3556" s="26">
        <f>IFERROR(__xludf.DUMMYFUNCTION("""COMPUTED_VALUE"""),5959.0)</f>
        <v>5959</v>
      </c>
      <c r="B3556" s="22" t="str">
        <f>IFERROR(__xludf.DUMMYFUNCTION("""COMPUTED_VALUE"""),"確定")</f>
        <v>確定</v>
      </c>
      <c r="C3556" s="28">
        <f>IFERROR(__xludf.DUMMYFUNCTION("""COMPUTED_VALUE"""),45838.0)</f>
        <v>45838</v>
      </c>
      <c r="D3556" s="28">
        <f>IFERROR(__xludf.DUMMYFUNCTION("""COMPUTED_VALUE"""),45839.0)</f>
        <v>45839</v>
      </c>
      <c r="E3556" s="26">
        <f>IFERROR(__xludf.DUMMYFUNCTION("""COMPUTED_VALUE"""),330784.0)</f>
        <v>330784</v>
      </c>
      <c r="F3556" s="22" t="str">
        <f>IFERROR(__xludf.DUMMYFUNCTION("""COMPUTED_VALUE"""),"Rainy Day Doggy【R版】")</f>
        <v>Rainy Day Doggy【R版】</v>
      </c>
      <c r="G3556" s="20">
        <f>IFERROR(__xludf.DUMMYFUNCTION("""COMPUTED_VALUE"""),1.0)</f>
        <v>1</v>
      </c>
      <c r="H3556" s="22" t="str">
        <f>IFERROR(__xludf.DUMMYFUNCTION("""COMPUTED_VALUE"""),"小中えみ,穴乱")</f>
        <v>小中えみ,穴乱</v>
      </c>
      <c r="I3556" s="22" t="str">
        <f>IFERROR(__xludf.DUMMYFUNCTION("""COMPUTED_VALUE"""),"アダルトマンガ")</f>
        <v>アダルトマンガ</v>
      </c>
      <c r="J3556" s="22"/>
      <c r="K3556" s="22" t="str">
        <f>IFERROR(__xludf.DUMMYFUNCTION("""COMPUTED_VALUE"""),"KATTS")</f>
        <v>KATTS</v>
      </c>
      <c r="L3556" s="22" t="str">
        <f>IFERROR(__xludf.DUMMYFUNCTION("""COMPUTED_VALUE"""),"KATTS")</f>
        <v>KATTS</v>
      </c>
      <c r="M3556" s="33">
        <f>IFERROR(__xludf.DUMMYFUNCTION("""COMPUTED_VALUE"""),45856.0)</f>
        <v>45856</v>
      </c>
      <c r="N3556" s="33">
        <f>IFERROR(__xludf.DUMMYFUNCTION("""COMPUTED_VALUE"""),45918.0)</f>
        <v>45918</v>
      </c>
      <c r="O3556" s="20"/>
      <c r="P3556" s="32" t="str">
        <f>IFERROR(__xludf.DUMMYFUNCTION("""COMPUTED_VALUE"""),"可")</f>
        <v>可</v>
      </c>
      <c r="Q3556" s="30"/>
      <c r="R3556" s="22"/>
      <c r="S3556" s="22" t="str">
        <f>IFERROR(__xludf.DUMMYFUNCTION("""COMPUTED_VALUE"""),"20250630_BookLive_Rainy Day Doggy【R版】")</f>
        <v>20250630_BookLive_Rainy Day Doggy【R版】</v>
      </c>
      <c r="T3556" s="22" t="str">
        <f>IFERROR(__xludf.DUMMYFUNCTION("""COMPUTED_VALUE"""),"格納済み")</f>
        <v>格納済み</v>
      </c>
      <c r="U3556" s="9" t="str">
        <f>IFERROR(__xludf.DUMMYFUNCTION("""COMPUTED_VALUE"""),"ⒸKATTS")</f>
        <v>ⒸKATTS</v>
      </c>
      <c r="V3556" s="8"/>
      <c r="W3556" s="8"/>
      <c r="X3556" s="8" t="str">
        <f>IFERROR(__xludf.DUMMYFUNCTION("""COMPUTED_VALUE"""),"有")</f>
        <v>有</v>
      </c>
      <c r="Y3556" s="8" t="str">
        <f>IFERROR(__xludf.DUMMYFUNCTION("""COMPUTED_VALUE"""),"P7まで")</f>
        <v>P7まで</v>
      </c>
      <c r="Z3556" s="7"/>
      <c r="AA3556" s="7"/>
      <c r="AB3556" s="7"/>
    </row>
    <row r="3557" ht="15.75" customHeight="1">
      <c r="A3557" s="26">
        <f>IFERROR(__xludf.DUMMYFUNCTION("""COMPUTED_VALUE"""),5960.0)</f>
        <v>5960</v>
      </c>
      <c r="B3557" s="22" t="str">
        <f>IFERROR(__xludf.DUMMYFUNCTION("""COMPUTED_VALUE"""),"確定")</f>
        <v>確定</v>
      </c>
      <c r="C3557" s="28">
        <f>IFERROR(__xludf.DUMMYFUNCTION("""COMPUTED_VALUE"""),45838.0)</f>
        <v>45838</v>
      </c>
      <c r="D3557" s="28">
        <f>IFERROR(__xludf.DUMMYFUNCTION("""COMPUTED_VALUE"""),45840.0)</f>
        <v>45840</v>
      </c>
      <c r="E3557" s="26">
        <f>IFERROR(__xludf.DUMMYFUNCTION("""COMPUTED_VALUE"""),330787.0)</f>
        <v>330787</v>
      </c>
      <c r="F3557" s="22" t="str">
        <f>IFERROR(__xludf.DUMMYFUNCTION("""COMPUTED_VALUE"""),"吸血鬼のご主人様【R版】")</f>
        <v>吸血鬼のご主人様【R版】</v>
      </c>
      <c r="G3557" s="20">
        <f>IFERROR(__xludf.DUMMYFUNCTION("""COMPUTED_VALUE"""),1.0)</f>
        <v>1</v>
      </c>
      <c r="H3557" s="22" t="str">
        <f>IFERROR(__xludf.DUMMYFUNCTION("""COMPUTED_VALUE"""),"ゆうき湯葉,穴乱")</f>
        <v>ゆうき湯葉,穴乱</v>
      </c>
      <c r="I3557" s="22" t="str">
        <f>IFERROR(__xludf.DUMMYFUNCTION("""COMPUTED_VALUE"""),"アダルトマンガ")</f>
        <v>アダルトマンガ</v>
      </c>
      <c r="J3557" s="22"/>
      <c r="K3557" s="22" t="str">
        <f>IFERROR(__xludf.DUMMYFUNCTION("""COMPUTED_VALUE"""),"KATTS")</f>
        <v>KATTS</v>
      </c>
      <c r="L3557" s="22" t="str">
        <f>IFERROR(__xludf.DUMMYFUNCTION("""COMPUTED_VALUE"""),"KATTS")</f>
        <v>KATTS</v>
      </c>
      <c r="M3557" s="33">
        <f>IFERROR(__xludf.DUMMYFUNCTION("""COMPUTED_VALUE"""),45856.0)</f>
        <v>45856</v>
      </c>
      <c r="N3557" s="33">
        <f>IFERROR(__xludf.DUMMYFUNCTION("""COMPUTED_VALUE"""),45918.0)</f>
        <v>45918</v>
      </c>
      <c r="O3557" s="20"/>
      <c r="P3557" s="32" t="str">
        <f>IFERROR(__xludf.DUMMYFUNCTION("""COMPUTED_VALUE"""),"可")</f>
        <v>可</v>
      </c>
      <c r="Q3557" s="30"/>
      <c r="R3557" s="22"/>
      <c r="S3557" s="22" t="str">
        <f>IFERROR(__xludf.DUMMYFUNCTION("""COMPUTED_VALUE"""),"20250630_BookLive_吸血鬼のご主人様【R版】")</f>
        <v>20250630_BookLive_吸血鬼のご主人様【R版】</v>
      </c>
      <c r="T3557" s="22" t="str">
        <f>IFERROR(__xludf.DUMMYFUNCTION("""COMPUTED_VALUE"""),"格納済み")</f>
        <v>格納済み</v>
      </c>
      <c r="U3557" s="9" t="str">
        <f>IFERROR(__xludf.DUMMYFUNCTION("""COMPUTED_VALUE"""),"ⒸKATTS")</f>
        <v>ⒸKATTS</v>
      </c>
      <c r="V3557" s="8"/>
      <c r="W3557" s="8"/>
      <c r="X3557" s="8" t="str">
        <f>IFERROR(__xludf.DUMMYFUNCTION("""COMPUTED_VALUE"""),"有")</f>
        <v>有</v>
      </c>
      <c r="Y3557" s="8" t="str">
        <f>IFERROR(__xludf.DUMMYFUNCTION("""COMPUTED_VALUE"""),"P7まで")</f>
        <v>P7まで</v>
      </c>
      <c r="Z3557" s="7"/>
      <c r="AA3557" s="7"/>
      <c r="AB3557" s="7"/>
    </row>
    <row r="3558" ht="15.75" customHeight="1">
      <c r="A3558" s="26">
        <f>IFERROR(__xludf.DUMMYFUNCTION("""COMPUTED_VALUE"""),5961.0)</f>
        <v>5961</v>
      </c>
      <c r="B3558" s="22" t="str">
        <f>IFERROR(__xludf.DUMMYFUNCTION("""COMPUTED_VALUE"""),"確定")</f>
        <v>確定</v>
      </c>
      <c r="C3558" s="28">
        <f>IFERROR(__xludf.DUMMYFUNCTION("""COMPUTED_VALUE"""),45838.0)</f>
        <v>45838</v>
      </c>
      <c r="D3558" s="28">
        <f>IFERROR(__xludf.DUMMYFUNCTION("""COMPUTED_VALUE"""),45840.0)</f>
        <v>45840</v>
      </c>
      <c r="E3558" s="26">
        <f>IFERROR(__xludf.DUMMYFUNCTION("""COMPUTED_VALUE"""),330786.0)</f>
        <v>330786</v>
      </c>
      <c r="F3558" s="22" t="str">
        <f>IFERROR(__xludf.DUMMYFUNCTION("""COMPUTED_VALUE"""),"ネコ治癒士はオオカミ冒険者に発情したくないのに！【R版】")</f>
        <v>ネコ治癒士はオオカミ冒険者に発情したくないのに！【R版】</v>
      </c>
      <c r="G3558" s="20">
        <f>IFERROR(__xludf.DUMMYFUNCTION("""COMPUTED_VALUE"""),1.0)</f>
        <v>1</v>
      </c>
      <c r="H3558" s="22" t="str">
        <f>IFERROR(__xludf.DUMMYFUNCTION("""COMPUTED_VALUE"""),"みな藻,穴乱")</f>
        <v>みな藻,穴乱</v>
      </c>
      <c r="I3558" s="22" t="str">
        <f>IFERROR(__xludf.DUMMYFUNCTION("""COMPUTED_VALUE"""),"アダルトマンガ")</f>
        <v>アダルトマンガ</v>
      </c>
      <c r="J3558" s="22"/>
      <c r="K3558" s="22" t="str">
        <f>IFERROR(__xludf.DUMMYFUNCTION("""COMPUTED_VALUE"""),"KATTS")</f>
        <v>KATTS</v>
      </c>
      <c r="L3558" s="22" t="str">
        <f>IFERROR(__xludf.DUMMYFUNCTION("""COMPUTED_VALUE"""),"KATTS")</f>
        <v>KATTS</v>
      </c>
      <c r="M3558" s="33">
        <f>IFERROR(__xludf.DUMMYFUNCTION("""COMPUTED_VALUE"""),45856.0)</f>
        <v>45856</v>
      </c>
      <c r="N3558" s="33">
        <f>IFERROR(__xludf.DUMMYFUNCTION("""COMPUTED_VALUE"""),45918.0)</f>
        <v>45918</v>
      </c>
      <c r="O3558" s="20"/>
      <c r="P3558" s="32" t="str">
        <f>IFERROR(__xludf.DUMMYFUNCTION("""COMPUTED_VALUE"""),"可")</f>
        <v>可</v>
      </c>
      <c r="Q3558" s="30"/>
      <c r="R3558" s="22"/>
      <c r="S3558" s="22" t="str">
        <f>IFERROR(__xludf.DUMMYFUNCTION("""COMPUTED_VALUE"""),"20250630_BookLive_ネコ治癒士はオオカミ冒険者に発情したくないのに！【R版】")</f>
        <v>20250630_BookLive_ネコ治癒士はオオカミ冒険者に発情したくないのに！【R版】</v>
      </c>
      <c r="T3558" s="22" t="str">
        <f>IFERROR(__xludf.DUMMYFUNCTION("""COMPUTED_VALUE"""),"格納済み")</f>
        <v>格納済み</v>
      </c>
      <c r="U3558" s="9" t="str">
        <f>IFERROR(__xludf.DUMMYFUNCTION("""COMPUTED_VALUE"""),"ⒸKATTS")</f>
        <v>ⒸKATTS</v>
      </c>
      <c r="V3558" s="8"/>
      <c r="W3558" s="8"/>
      <c r="X3558" s="8" t="str">
        <f>IFERROR(__xludf.DUMMYFUNCTION("""COMPUTED_VALUE"""),"有")</f>
        <v>有</v>
      </c>
      <c r="Y3558" s="8" t="str">
        <f>IFERROR(__xludf.DUMMYFUNCTION("""COMPUTED_VALUE"""),"P7まで")</f>
        <v>P7まで</v>
      </c>
      <c r="Z3558" s="7"/>
      <c r="AA3558" s="7"/>
      <c r="AB3558" s="7"/>
    </row>
    <row r="3559" ht="15.75" customHeight="1">
      <c r="A3559" s="26">
        <f>IFERROR(__xludf.DUMMYFUNCTION("""COMPUTED_VALUE"""),5962.0)</f>
        <v>5962</v>
      </c>
      <c r="B3559" s="22" t="str">
        <f>IFERROR(__xludf.DUMMYFUNCTION("""COMPUTED_VALUE"""),"確定")</f>
        <v>確定</v>
      </c>
      <c r="C3559" s="28">
        <f>IFERROR(__xludf.DUMMYFUNCTION("""COMPUTED_VALUE"""),45838.0)</f>
        <v>45838</v>
      </c>
      <c r="D3559" s="28">
        <f>IFERROR(__xludf.DUMMYFUNCTION("""COMPUTED_VALUE"""),45839.0)</f>
        <v>45839</v>
      </c>
      <c r="E3559" s="26">
        <f>IFERROR(__xludf.DUMMYFUNCTION("""COMPUTED_VALUE"""),330785.0)</f>
        <v>330785</v>
      </c>
      <c r="F3559" s="22" t="str">
        <f>IFERROR(__xludf.DUMMYFUNCTION("""COMPUTED_VALUE"""),"オナニー専用インスタント触手はイってもイってもやめてくれない【R版】")</f>
        <v>オナニー専用インスタント触手はイってもイってもやめてくれない【R版】</v>
      </c>
      <c r="G3559" s="20">
        <f>IFERROR(__xludf.DUMMYFUNCTION("""COMPUTED_VALUE"""),1.0)</f>
        <v>1</v>
      </c>
      <c r="H3559" s="22" t="str">
        <f>IFERROR(__xludf.DUMMYFUNCTION("""COMPUTED_VALUE"""),"尚乱歩ゝぽ,穴乱")</f>
        <v>尚乱歩ゝぽ,穴乱</v>
      </c>
      <c r="I3559" s="22" t="str">
        <f>IFERROR(__xludf.DUMMYFUNCTION("""COMPUTED_VALUE"""),"アダルトマンガ")</f>
        <v>アダルトマンガ</v>
      </c>
      <c r="J3559" s="22"/>
      <c r="K3559" s="22" t="str">
        <f>IFERROR(__xludf.DUMMYFUNCTION("""COMPUTED_VALUE"""),"KATTS")</f>
        <v>KATTS</v>
      </c>
      <c r="L3559" s="22" t="str">
        <f>IFERROR(__xludf.DUMMYFUNCTION("""COMPUTED_VALUE"""),"KATTS")</f>
        <v>KATTS</v>
      </c>
      <c r="M3559" s="33">
        <f>IFERROR(__xludf.DUMMYFUNCTION("""COMPUTED_VALUE"""),45856.0)</f>
        <v>45856</v>
      </c>
      <c r="N3559" s="33">
        <f>IFERROR(__xludf.DUMMYFUNCTION("""COMPUTED_VALUE"""),45918.0)</f>
        <v>45918</v>
      </c>
      <c r="O3559" s="20"/>
      <c r="P3559" s="32" t="str">
        <f>IFERROR(__xludf.DUMMYFUNCTION("""COMPUTED_VALUE"""),"可")</f>
        <v>可</v>
      </c>
      <c r="Q3559" s="30"/>
      <c r="R3559" s="22"/>
      <c r="S3559" s="22" t="str">
        <f>IFERROR(__xludf.DUMMYFUNCTION("""COMPUTED_VALUE"""),"20250630_BookLive_オナニー専用インスタント触手はイってもイってもやめてくれない【R版】")</f>
        <v>20250630_BookLive_オナニー専用インスタント触手はイってもイってもやめてくれない【R版】</v>
      </c>
      <c r="T3559" s="22" t="str">
        <f>IFERROR(__xludf.DUMMYFUNCTION("""COMPUTED_VALUE"""),"格納済み")</f>
        <v>格納済み</v>
      </c>
      <c r="U3559" s="9" t="str">
        <f>IFERROR(__xludf.DUMMYFUNCTION("""COMPUTED_VALUE"""),"ⒸKATTS")</f>
        <v>ⒸKATTS</v>
      </c>
      <c r="V3559" s="8"/>
      <c r="W3559" s="8"/>
      <c r="X3559" s="8" t="str">
        <f>IFERROR(__xludf.DUMMYFUNCTION("""COMPUTED_VALUE"""),"有")</f>
        <v>有</v>
      </c>
      <c r="Y3559" s="8" t="str">
        <f>IFERROR(__xludf.DUMMYFUNCTION("""COMPUTED_VALUE"""),"P7まで")</f>
        <v>P7まで</v>
      </c>
      <c r="Z3559" s="7"/>
      <c r="AA3559" s="7"/>
      <c r="AB3559" s="7"/>
    </row>
    <row r="3560" ht="15.75" customHeight="1">
      <c r="A3560" s="26">
        <f>IFERROR(__xludf.DUMMYFUNCTION("""COMPUTED_VALUE"""),5964.0)</f>
        <v>5964</v>
      </c>
      <c r="B3560" s="22" t="str">
        <f>IFERROR(__xludf.DUMMYFUNCTION("""COMPUTED_VALUE"""),"確定")</f>
        <v>確定</v>
      </c>
      <c r="C3560" s="28">
        <f>IFERROR(__xludf.DUMMYFUNCTION("""COMPUTED_VALUE"""),45839.0)</f>
        <v>45839</v>
      </c>
      <c r="D3560" s="28">
        <f>IFERROR(__xludf.DUMMYFUNCTION("""COMPUTED_VALUE"""),45839.0)</f>
        <v>45839</v>
      </c>
      <c r="E3560" s="26">
        <f>IFERROR(__xludf.DUMMYFUNCTION("""COMPUTED_VALUE"""),331146.0)</f>
        <v>331146</v>
      </c>
      <c r="F3560" s="22" t="str">
        <f>IFERROR(__xludf.DUMMYFUNCTION("""COMPUTED_VALUE"""),"春情に溺れる")</f>
        <v>春情に溺れる</v>
      </c>
      <c r="G3560" s="220" t="str">
        <f>IFERROR(__xludf.DUMMYFUNCTION("""COMPUTED_VALUE"""),"1～2")</f>
        <v>1～2</v>
      </c>
      <c r="H3560" s="22" t="str">
        <f>IFERROR(__xludf.DUMMYFUNCTION("""COMPUTED_VALUE"""),"煤雲なぎ")</f>
        <v>煤雲なぎ</v>
      </c>
      <c r="I3560" s="22" t="str">
        <f>IFERROR(__xludf.DUMMYFUNCTION("""COMPUTED_VALUE"""),"アダルトマンガ")</f>
        <v>アダルトマンガ</v>
      </c>
      <c r="J3560" s="22"/>
      <c r="K3560" s="22"/>
      <c r="L3560" s="22" t="str">
        <f>IFERROR(__xludf.DUMMYFUNCTION("""COMPUTED_VALUE"""),"セ・キララ文庫")</f>
        <v>セ・キララ文庫</v>
      </c>
      <c r="M3560" s="33">
        <f>IFERROR(__xludf.DUMMYFUNCTION("""COMPUTED_VALUE"""),45870.0)</f>
        <v>45870</v>
      </c>
      <c r="N3560" s="33">
        <f>IFERROR(__xludf.DUMMYFUNCTION("""COMPUTED_VALUE"""),45909.0)</f>
        <v>45909</v>
      </c>
      <c r="O3560" s="20"/>
      <c r="P3560" s="32" t="str">
        <f>IFERROR(__xludf.DUMMYFUNCTION("""COMPUTED_VALUE"""),"可")</f>
        <v>可</v>
      </c>
      <c r="Q3560" s="30"/>
      <c r="R3560" s="22"/>
      <c r="S3560" s="22" t="str">
        <f>IFERROR(__xludf.DUMMYFUNCTION("""COMPUTED_VALUE"""),"20250701_ライドオン_春情に溺れる")</f>
        <v>20250701_ライドオン_春情に溺れる</v>
      </c>
      <c r="T3560" s="22" t="str">
        <f>IFERROR(__xludf.DUMMYFUNCTION("""COMPUTED_VALUE"""),"格納済み")</f>
        <v>格納済み</v>
      </c>
      <c r="U3560" s="9" t="str">
        <f>IFERROR(__xludf.DUMMYFUNCTION("""COMPUTED_VALUE"""),"Ⓒ煤雲なぎ/セ・キララ文庫")</f>
        <v>Ⓒ煤雲なぎ/セ・キララ文庫</v>
      </c>
      <c r="V3560" s="8"/>
      <c r="W3560" s="8"/>
      <c r="X3560" s="8" t="str">
        <f>IFERROR(__xludf.DUMMYFUNCTION("""COMPUTED_VALUE"""),"有")</f>
        <v>有</v>
      </c>
      <c r="Y3560" s="8" t="str">
        <f>IFERROR(__xludf.DUMMYFUNCTION("""COMPUTED_VALUE"""),"P9まで")</f>
        <v>P9まで</v>
      </c>
      <c r="Z3560" s="7"/>
      <c r="AA3560" s="7"/>
      <c r="AB3560" s="7"/>
    </row>
    <row r="3561" ht="15.75" customHeight="1">
      <c r="A3561" s="26">
        <f>IFERROR(__xludf.DUMMYFUNCTION("""COMPUTED_VALUE"""),5268.0)</f>
        <v>5268</v>
      </c>
      <c r="B3561" s="22" t="str">
        <f>IFERROR(__xludf.DUMMYFUNCTION("""COMPUTED_VALUE"""),"確定")</f>
        <v>確定</v>
      </c>
      <c r="C3561" s="28">
        <f>IFERROR(__xludf.DUMMYFUNCTION("""COMPUTED_VALUE"""),45733.0)</f>
        <v>45733</v>
      </c>
      <c r="D3561" s="28">
        <f>IFERROR(__xludf.DUMMYFUNCTION("""COMPUTED_VALUE"""),45846.0)</f>
        <v>45846</v>
      </c>
      <c r="E3561" s="26">
        <f>IFERROR(__xludf.DUMMYFUNCTION("""COMPUTED_VALUE"""),329628.0)</f>
        <v>329628</v>
      </c>
      <c r="F3561" s="22" t="str">
        <f>IFERROR(__xludf.DUMMYFUNCTION("""COMPUTED_VALUE"""),"プリエールキス～王子様の呪いを解く魔法～【連載版】")</f>
        <v>プリエールキス～王子様の呪いを解く魔法～【連載版】</v>
      </c>
      <c r="G3561" s="20" t="str">
        <f>IFERROR(__xludf.DUMMYFUNCTION("""COMPUTED_VALUE"""),"1～5")</f>
        <v>1～5</v>
      </c>
      <c r="H3561" s="22" t="str">
        <f>IFERROR(__xludf.DUMMYFUNCTION("""COMPUTED_VALUE"""),"ぽんぬ")</f>
        <v>ぽんぬ</v>
      </c>
      <c r="I3561" s="22" t="str">
        <f>IFERROR(__xludf.DUMMYFUNCTION("""COMPUTED_VALUE"""),"少女")</f>
        <v>少女</v>
      </c>
      <c r="J3561" s="22"/>
      <c r="K3561" s="22" t="str">
        <f>IFERROR(__xludf.DUMMYFUNCTION("""COMPUTED_VALUE"""),"ZERO-SUMコミックス")</f>
        <v>ZERO-SUMコミックス</v>
      </c>
      <c r="L3561" s="22" t="str">
        <f>IFERROR(__xludf.DUMMYFUNCTION("""COMPUTED_VALUE"""),"一迅社")</f>
        <v>一迅社</v>
      </c>
      <c r="M3561" s="33">
        <f>IFERROR(__xludf.DUMMYFUNCTION("""COMPUTED_VALUE"""),45883.0)</f>
        <v>45883</v>
      </c>
      <c r="N3561" s="33">
        <f>IFERROR(__xludf.DUMMYFUNCTION("""COMPUTED_VALUE"""),45913.0)</f>
        <v>45913</v>
      </c>
      <c r="O3561" s="20"/>
      <c r="P3561" s="32" t="str">
        <f>IFERROR(__xludf.DUMMYFUNCTION("""COMPUTED_VALUE"""),"可")</f>
        <v>可</v>
      </c>
      <c r="Q3561" s="30"/>
      <c r="R3561" s="22" t="str">
        <f>IFERROR(__xludf.DUMMYFUNCTION("""COMPUTED_VALUE"""),"コミットOK")</f>
        <v>コミットOK</v>
      </c>
      <c r="S3561" s="22" t="str">
        <f>IFERROR(__xludf.DUMMYFUNCTION("""COMPUTED_VALUE"""),"20250708_一迅社_プリエールキス～王子様の呪いを解く魔法〜")</f>
        <v>20250708_一迅社_プリエールキス～王子様の呪いを解く魔法〜</v>
      </c>
      <c r="T3561" s="22" t="str">
        <f>IFERROR(__xludf.DUMMYFUNCTION("""COMPUTED_VALUE"""),"格納済み")</f>
        <v>格納済み</v>
      </c>
      <c r="U3561" s="9" t="str">
        <f>IFERROR(__xludf.DUMMYFUNCTION("""COMPUTED_VALUE"""),"Ⓒぽんぬ／一迅社")</f>
        <v>Ⓒぽんぬ／一迅社</v>
      </c>
      <c r="V3561" s="8"/>
      <c r="W3561" s="8"/>
      <c r="X3561" s="8" t="str">
        <f>IFERROR(__xludf.DUMMYFUNCTION("""COMPUTED_VALUE"""),"有")</f>
        <v>有</v>
      </c>
      <c r="Y3561" s="8" t="str">
        <f>IFERROR(__xludf.DUMMYFUNCTION("""COMPUTED_VALUE"""),"2025/9/13まで1巻無料")</f>
        <v>2025/9/13まで1巻無料</v>
      </c>
      <c r="Z3561" s="7"/>
      <c r="AA3561" s="7"/>
      <c r="AB3561" s="7"/>
    </row>
    <row r="3562" ht="15.75" customHeight="1">
      <c r="A3562" s="26">
        <f>IFERROR(__xludf.DUMMYFUNCTION("""COMPUTED_VALUE"""),5516.0)</f>
        <v>5516</v>
      </c>
      <c r="B3562" s="22" t="str">
        <f>IFERROR(__xludf.DUMMYFUNCTION("""COMPUTED_VALUE"""),"確定")</f>
        <v>確定</v>
      </c>
      <c r="C3562" s="28">
        <f>IFERROR(__xludf.DUMMYFUNCTION("""COMPUTED_VALUE"""),45768.0)</f>
        <v>45768</v>
      </c>
      <c r="D3562" s="28">
        <f>IFERROR(__xludf.DUMMYFUNCTION("""COMPUTED_VALUE"""),45845.0)</f>
        <v>45845</v>
      </c>
      <c r="E3562" s="26">
        <f>IFERROR(__xludf.DUMMYFUNCTION("""COMPUTED_VALUE"""),332072.0)</f>
        <v>332072</v>
      </c>
      <c r="F3562" s="22" t="str">
        <f>IFERROR(__xludf.DUMMYFUNCTION("""COMPUTED_VALUE"""),"悪役令嬢の成り上がり～隣国で宝石の聖女と呼ばれるまで～（コミック） 分冊版")</f>
        <v>悪役令嬢の成り上がり～隣国で宝石の聖女と呼ばれるまで～（コミック） 分冊版</v>
      </c>
      <c r="G3562" s="20" t="str">
        <f>IFERROR(__xludf.DUMMYFUNCTION("""COMPUTED_VALUE"""),"1～3")</f>
        <v>1～3</v>
      </c>
      <c r="H3562" s="22" t="str">
        <f>IFERROR(__xludf.DUMMYFUNCTION("""COMPUTED_VALUE"""),"笹塚だい・三萩せんや")</f>
        <v>笹塚だい・三萩せんや</v>
      </c>
      <c r="I3562" s="22" t="str">
        <f>IFERROR(__xludf.DUMMYFUNCTION("""COMPUTED_VALUE"""),"女性")</f>
        <v>女性</v>
      </c>
      <c r="J3562" s="22"/>
      <c r="K3562" s="22"/>
      <c r="L3562" s="22" t="str">
        <f>IFERROR(__xludf.DUMMYFUNCTION("""COMPUTED_VALUE"""),"双葉社")</f>
        <v>双葉社</v>
      </c>
      <c r="M3562" s="33">
        <f>IFERROR(__xludf.DUMMYFUNCTION("""COMPUTED_VALUE"""),45891.0)</f>
        <v>45891</v>
      </c>
      <c r="N3562" s="33">
        <f>IFERROR(__xludf.DUMMYFUNCTION("""COMPUTED_VALUE"""),45982.0)</f>
        <v>45982</v>
      </c>
      <c r="O3562" s="20"/>
      <c r="P3562" s="32" t="str">
        <f>IFERROR(__xludf.DUMMYFUNCTION("""COMPUTED_VALUE"""),"可")</f>
        <v>可</v>
      </c>
      <c r="Q3562" s="30" t="str">
        <f>IFERROR(__xludf.DUMMYFUNCTION("""COMPUTED_VALUE"""),"2話分の素材が入っておりますが、シーモアでは分割して3話として配信されます。(初回配信3巻分)&lt;BR&gt;ずたぼろ令嬢の原作者で期待作です。&lt;BR&gt;広告イメージの資料を付けて頂いているので、ご参考にしていただけますと幸いです。&lt;BR&gt;・広告イメージ「悪役令嬢の成り上がり」提案資料&lt;BR&gt;※あくまでイメージなので、この内容通りでなくても全く問題ございません。")</f>
        <v>2話分の素材が入っておりますが、シーモアでは分割して3話として配信されます。(初回配信3巻分)&lt;BR&gt;ずたぼろ令嬢の原作者で期待作です。&lt;BR&gt;広告イメージの資料を付けて頂いているので、ご参考にしていただけますと幸いです。&lt;BR&gt;・広告イメージ「悪役令嬢の成り上がり」提案資料&lt;BR&gt;※あくまでイメージなので、この内容通りでなくても全く問題ございません。</v>
      </c>
      <c r="R3562" s="22" t="str">
        <f>IFERROR(__xludf.DUMMYFUNCTION("""COMPUTED_VALUE"""),"コミットOK")</f>
        <v>コミットOK</v>
      </c>
      <c r="S3562" s="22" t="str">
        <f>IFERROR(__xludf.DUMMYFUNCTION("""COMPUTED_VALUE"""),"20250703_双葉社_悪役令嬢の成り上がり～隣国で宝石の聖女と呼ばれるまで～（コミック） 分冊版")</f>
        <v>20250703_双葉社_悪役令嬢の成り上がり～隣国で宝石の聖女と呼ばれるまで～（コミック） 分冊版</v>
      </c>
      <c r="T3562" s="22" t="str">
        <f>IFERROR(__xludf.DUMMYFUNCTION("""COMPUTED_VALUE"""),"格納済み")</f>
        <v>格納済み</v>
      </c>
      <c r="U3562" s="9" t="str">
        <f>IFERROR(__xludf.DUMMYFUNCTION("""COMPUTED_VALUE"""),"Ⓒ笹塚だい・三萩せんや/双葉社")</f>
        <v>Ⓒ笹塚だい・三萩せんや/双葉社</v>
      </c>
      <c r="V3562" s="8"/>
      <c r="W3562" s="8"/>
      <c r="X3562" s="8" t="str">
        <f>IFERROR(__xludf.DUMMYFUNCTION("""COMPUTED_VALUE"""),"有")</f>
        <v>有</v>
      </c>
      <c r="Y3562" s="8" t="str">
        <f>IFERROR(__xludf.DUMMYFUNCTION("""COMPUTED_VALUE"""),"P9まで")</f>
        <v>P9まで</v>
      </c>
      <c r="Z3562" s="7"/>
      <c r="AA3562" s="7"/>
      <c r="AB3562" s="7"/>
    </row>
    <row r="3563" ht="15.75" customHeight="1">
      <c r="A3563" s="26">
        <f>IFERROR(__xludf.DUMMYFUNCTION("""COMPUTED_VALUE"""),5561.0)</f>
        <v>5561</v>
      </c>
      <c r="B3563" s="22" t="str">
        <f>IFERROR(__xludf.DUMMYFUNCTION("""COMPUTED_VALUE"""),"確定")</f>
        <v>確定</v>
      </c>
      <c r="C3563" s="28">
        <f>IFERROR(__xludf.DUMMYFUNCTION("""COMPUTED_VALUE"""),45779.0)</f>
        <v>45779</v>
      </c>
      <c r="D3563" s="28">
        <f>IFERROR(__xludf.DUMMYFUNCTION("""COMPUTED_VALUE"""),45845.0)</f>
        <v>45845</v>
      </c>
      <c r="E3563" s="26">
        <f>IFERROR(__xludf.DUMMYFUNCTION("""COMPUTED_VALUE"""),328841.0)</f>
        <v>328841</v>
      </c>
      <c r="F3563" s="22" t="str">
        <f>IFERROR(__xludf.DUMMYFUNCTION("""COMPUTED_VALUE"""),"クレイジー・ハイ・メンテナンス")</f>
        <v>クレイジー・ハイ・メンテナンス</v>
      </c>
      <c r="G3563" s="20" t="str">
        <f>IFERROR(__xludf.DUMMYFUNCTION("""COMPUTED_VALUE"""),"1～2")</f>
        <v>1～2</v>
      </c>
      <c r="H3563" s="22" t="str">
        <f>IFERROR(__xludf.DUMMYFUNCTION("""COMPUTED_VALUE"""),"掴田")</f>
        <v>掴田</v>
      </c>
      <c r="I3563" s="22" t="str">
        <f>IFERROR(__xludf.DUMMYFUNCTION("""COMPUTED_VALUE"""),"BL")</f>
        <v>BL</v>
      </c>
      <c r="J3563" s="22"/>
      <c r="K3563" s="22" t="str">
        <f>IFERROR(__xludf.DUMMYFUNCTION("""COMPUTED_VALUE"""),"NuPu")</f>
        <v>NuPu</v>
      </c>
      <c r="L3563" s="22" t="str">
        <f>IFERROR(__xludf.DUMMYFUNCTION("""COMPUTED_VALUE"""),"CLLENN")</f>
        <v>CLLENN</v>
      </c>
      <c r="M3563" s="33">
        <f>IFERROR(__xludf.DUMMYFUNCTION("""COMPUTED_VALUE"""),45862.0)</f>
        <v>45862</v>
      </c>
      <c r="N3563" s="33">
        <f>IFERROR(__xludf.DUMMYFUNCTION("""COMPUTED_VALUE"""),45924.0)</f>
        <v>45924</v>
      </c>
      <c r="O3563" s="20"/>
      <c r="P3563" s="32" t="str">
        <f>IFERROR(__xludf.DUMMYFUNCTION("""COMPUTED_VALUE"""),"可")</f>
        <v>可</v>
      </c>
      <c r="Q3563" s="30" t="str">
        <f>IFERROR(__xludf.DUMMYFUNCTION("""COMPUTED_VALUE"""),"【アダルト作品扱い】&lt;BR&gt;")</f>
        <v>【アダルト作品扱い】&lt;BR&gt;</v>
      </c>
      <c r="R3563" s="22" t="str">
        <f>IFERROR(__xludf.DUMMYFUNCTION("""COMPUTED_VALUE"""),"コミットOK")</f>
        <v>コミットOK</v>
      </c>
      <c r="S3563" s="22" t="str">
        <f>IFERROR(__xludf.DUMMYFUNCTION("""COMPUTED_VALUE"""),"20250703_CLLENN_クレイジー・ハイ・メンテナンス_2")</f>
        <v>20250703_CLLENN_クレイジー・ハイ・メンテナンス_2</v>
      </c>
      <c r="T3563" s="22" t="str">
        <f>IFERROR(__xludf.DUMMYFUNCTION("""COMPUTED_VALUE"""),"格納済み")</f>
        <v>格納済み</v>
      </c>
      <c r="U3563" s="9" t="str">
        <f>IFERROR(__xludf.DUMMYFUNCTION("""COMPUTED_VALUE"""),"Ⓒ掴田/CLLENN")</f>
        <v>Ⓒ掴田/CLLENN</v>
      </c>
      <c r="V3563" s="8"/>
      <c r="W3563" s="8"/>
      <c r="X3563" s="8" t="str">
        <f>IFERROR(__xludf.DUMMYFUNCTION("""COMPUTED_VALUE"""),"有")</f>
        <v>有</v>
      </c>
      <c r="Y3563" s="8" t="str">
        <f>IFERROR(__xludf.DUMMYFUNCTION("""COMPUTED_VALUE"""),"P10まで")</f>
        <v>P10まで</v>
      </c>
      <c r="Z3563" s="7"/>
      <c r="AA3563" s="7"/>
      <c r="AB3563" s="7"/>
    </row>
    <row r="3564" ht="15.75" customHeight="1">
      <c r="A3564" s="26">
        <f>IFERROR(__xludf.DUMMYFUNCTION("""COMPUTED_VALUE"""),5595.0)</f>
        <v>5595</v>
      </c>
      <c r="B3564" s="22" t="str">
        <f>IFERROR(__xludf.DUMMYFUNCTION("""COMPUTED_VALUE"""),"確定")</f>
        <v>確定</v>
      </c>
      <c r="C3564" s="28">
        <f>IFERROR(__xludf.DUMMYFUNCTION("""COMPUTED_VALUE"""),45789.0)</f>
        <v>45789</v>
      </c>
      <c r="D3564" s="28">
        <f>IFERROR(__xludf.DUMMYFUNCTION("""COMPUTED_VALUE"""),45846.0)</f>
        <v>45846</v>
      </c>
      <c r="E3564" s="26">
        <f>IFERROR(__xludf.DUMMYFUNCTION("""COMPUTED_VALUE"""),328981.0)</f>
        <v>328981</v>
      </c>
      <c r="F3564" s="22" t="str">
        <f>IFERROR(__xludf.DUMMYFUNCTION("""COMPUTED_VALUE"""),"婚約破棄されたら異国の王子に溺愛されました甘～いキスは悦楽の予感【短編】")</f>
        <v>婚約破棄されたら異国の王子に溺愛されました甘～いキスは悦楽の予感【短編】</v>
      </c>
      <c r="G3564" s="20" t="str">
        <f>IFERROR(__xludf.DUMMYFUNCTION("""COMPUTED_VALUE"""),"1～3")</f>
        <v>1～3</v>
      </c>
      <c r="H3564" s="22" t="str">
        <f>IFERROR(__xludf.DUMMYFUNCTION("""COMPUTED_VALUE"""),"七福さゆり・ 弥生一六")</f>
        <v>七福さゆり・ 弥生一六</v>
      </c>
      <c r="I3564" s="22" t="str">
        <f>IFERROR(__xludf.DUMMYFUNCTION("""COMPUTED_VALUE"""),"女性")</f>
        <v>女性</v>
      </c>
      <c r="J3564" s="22"/>
      <c r="K3564" s="22" t="str">
        <f>IFERROR(__xludf.DUMMYFUNCTION("""COMPUTED_VALUE"""),"華猫")</f>
        <v>華猫</v>
      </c>
      <c r="L3564" s="22" t="str">
        <f>IFERROR(__xludf.DUMMYFUNCTION("""COMPUTED_VALUE"""),"竹書房")</f>
        <v>竹書房</v>
      </c>
      <c r="M3564" s="33">
        <f>IFERROR(__xludf.DUMMYFUNCTION("""COMPUTED_VALUE"""),45870.0)</f>
        <v>45870</v>
      </c>
      <c r="N3564" s="33">
        <f>IFERROR(__xludf.DUMMYFUNCTION("""COMPUTED_VALUE"""),45930.0)</f>
        <v>45930</v>
      </c>
      <c r="O3564" s="20"/>
      <c r="P3564" s="32" t="str">
        <f>IFERROR(__xludf.DUMMYFUNCTION("""COMPUTED_VALUE"""),"否")</f>
        <v>否</v>
      </c>
      <c r="Q3564" s="30"/>
      <c r="R3564" s="22" t="str">
        <f>IFERROR(__xludf.DUMMYFUNCTION("""COMPUTED_VALUE"""),"コミットOK")</f>
        <v>コミットOK</v>
      </c>
      <c r="S3564" s="22" t="str">
        <f>IFERROR(__xludf.DUMMYFUNCTION("""COMPUTED_VALUE"""),"20250707_竹書房_婚約破棄されたら異国の王子に溺愛されました甘～いキスは悦楽の予感【短編】")</f>
        <v>20250707_竹書房_婚約破棄されたら異国の王子に溺愛されました甘～いキスは悦楽の予感【短編】</v>
      </c>
      <c r="T3564" s="22" t="str">
        <f>IFERROR(__xludf.DUMMYFUNCTION("""COMPUTED_VALUE"""),"格納済み")</f>
        <v>格納済み</v>
      </c>
      <c r="U3564" s="9" t="str">
        <f>IFERROR(__xludf.DUMMYFUNCTION("""COMPUTED_VALUE"""),"Ⓒ七福さゆり・ 弥生一六／竹書房")</f>
        <v>Ⓒ七福さゆり・ 弥生一六／竹書房</v>
      </c>
      <c r="V3564" s="8"/>
      <c r="W3564" s="8"/>
      <c r="X3564" s="8" t="str">
        <f>IFERROR(__xludf.DUMMYFUNCTION("""COMPUTED_VALUE"""),"有")</f>
        <v>有</v>
      </c>
      <c r="Y3564" s="8" t="str">
        <f>IFERROR(__xludf.DUMMYFUNCTION("""COMPUTED_VALUE"""),"P6まで")</f>
        <v>P6まで</v>
      </c>
      <c r="Z3564" s="7"/>
      <c r="AA3564" s="7"/>
      <c r="AB3564" s="7"/>
    </row>
    <row r="3565" ht="15.75" customHeight="1">
      <c r="A3565" s="26">
        <f>IFERROR(__xludf.DUMMYFUNCTION("""COMPUTED_VALUE"""),5613.0)</f>
        <v>5613</v>
      </c>
      <c r="B3565" s="22" t="str">
        <f>IFERROR(__xludf.DUMMYFUNCTION("""COMPUTED_VALUE"""),"確定")</f>
        <v>確定</v>
      </c>
      <c r="C3565" s="28">
        <f>IFERROR(__xludf.DUMMYFUNCTION("""COMPUTED_VALUE"""),45790.0)</f>
        <v>45790</v>
      </c>
      <c r="D3565" s="28">
        <f>IFERROR(__xludf.DUMMYFUNCTION("""COMPUTED_VALUE"""),45845.0)</f>
        <v>45845</v>
      </c>
      <c r="E3565" s="26">
        <f>IFERROR(__xludf.DUMMYFUNCTION("""COMPUTED_VALUE"""),331172.0)</f>
        <v>331172</v>
      </c>
      <c r="F3565" s="22" t="str">
        <f>IFERROR(__xludf.DUMMYFUNCTION("""COMPUTED_VALUE"""),"虎くんは今日もお嬢様に試される【マイクロ】")</f>
        <v>虎くんは今日もお嬢様に試される【マイクロ】</v>
      </c>
      <c r="G3565" s="20" t="str">
        <f>IFERROR(__xludf.DUMMYFUNCTION("""COMPUTED_VALUE"""),"1～3")</f>
        <v>1～3</v>
      </c>
      <c r="H3565" s="22" t="str">
        <f>IFERROR(__xludf.DUMMYFUNCTION("""COMPUTED_VALUE"""),"菊乃杏")</f>
        <v>菊乃杏</v>
      </c>
      <c r="I3565" s="22" t="str">
        <f>IFERROR(__xludf.DUMMYFUNCTION("""COMPUTED_VALUE"""),"少女")</f>
        <v>少女</v>
      </c>
      <c r="J3565" s="22"/>
      <c r="K3565" s="22" t="str">
        <f>IFERROR(__xludf.DUMMYFUNCTION("""COMPUTED_VALUE"""),"Cheese!")</f>
        <v>Cheese!</v>
      </c>
      <c r="L3565" s="22" t="str">
        <f>IFERROR(__xludf.DUMMYFUNCTION("""COMPUTED_VALUE"""),"小学館")</f>
        <v>小学館</v>
      </c>
      <c r="M3565" s="33">
        <f>IFERROR(__xludf.DUMMYFUNCTION("""COMPUTED_VALUE"""),45874.0)</f>
        <v>45874</v>
      </c>
      <c r="N3565" s="33">
        <f>IFERROR(__xludf.DUMMYFUNCTION("""COMPUTED_VALUE"""),45934.0)</f>
        <v>45934</v>
      </c>
      <c r="O3565" s="20"/>
      <c r="P3565" s="32" t="str">
        <f>IFERROR(__xludf.DUMMYFUNCTION("""COMPUTED_VALUE"""),"否")</f>
        <v>否</v>
      </c>
      <c r="Q3565" s="30" t="str">
        <f>IFERROR(__xludf.DUMMYFUNCTION("""COMPUTED_VALUE"""),"『パーフェクトスキャンダル』の菊乃杏氏による新作です。「恋を知らない箱入り娘」×「見た目チャラいが誠実な幼なじみ」との恋愛漫画です。恋愛に関して無知なヒロインが積極的に攻め、ヒーローである”虎くん”の赤面姿や翻弄される様子が見られる作品です。&lt;BR&gt;実績も十分な作家様の新規作品となりますので是非ご注目ください。")</f>
        <v>『パーフェクトスキャンダル』の菊乃杏氏による新作です。「恋を知らない箱入り娘」×「見た目チャラいが誠実な幼なじみ」との恋愛漫画です。恋愛に関して無知なヒロインが積極的に攻め、ヒーローである”虎くん”の赤面姿や翻弄される様子が見られる作品です。&lt;BR&gt;実績も十分な作家様の新規作品となりますので是非ご注目ください。</v>
      </c>
      <c r="R3565" s="22" t="str">
        <f>IFERROR(__xludf.DUMMYFUNCTION("""COMPUTED_VALUE"""),"コミットOK")</f>
        <v>コミットOK</v>
      </c>
      <c r="S3565" s="22" t="str">
        <f>IFERROR(__xludf.DUMMYFUNCTION("""COMPUTED_VALUE"""),"20250702_小学館_虎くんは今日もお嬢様に試される")</f>
        <v>20250702_小学館_虎くんは今日もお嬢様に試される</v>
      </c>
      <c r="T3565" s="22" t="str">
        <f>IFERROR(__xludf.DUMMYFUNCTION("""COMPUTED_VALUE"""),"格納済み")</f>
        <v>格納済み</v>
      </c>
      <c r="U3565" s="9" t="str">
        <f>IFERROR(__xludf.DUMMYFUNCTION("""COMPUTED_VALUE"""),"Ⓒ菊乃杏 / 小学館")</f>
        <v>Ⓒ菊乃杏 / 小学館</v>
      </c>
      <c r="V3565" s="8"/>
      <c r="W3565" s="8"/>
      <c r="X3565" s="8" t="str">
        <f>IFERROR(__xludf.DUMMYFUNCTION("""COMPUTED_VALUE"""),"有")</f>
        <v>有</v>
      </c>
      <c r="Y3565" s="8" t="str">
        <f>IFERROR(__xludf.DUMMYFUNCTION("""COMPUTED_VALUE"""),"2025/10/4まで1巻無料")</f>
        <v>2025/10/4まで1巻無料</v>
      </c>
      <c r="Z3565" s="7"/>
      <c r="AA3565" s="7"/>
      <c r="AB3565" s="7"/>
    </row>
    <row r="3566" ht="15.75" customHeight="1">
      <c r="A3566" s="26">
        <f>IFERROR(__xludf.DUMMYFUNCTION("""COMPUTED_VALUE"""),5639.0)</f>
        <v>5639</v>
      </c>
      <c r="B3566" s="22" t="str">
        <f>IFERROR(__xludf.DUMMYFUNCTION("""COMPUTED_VALUE"""),"確定")</f>
        <v>確定</v>
      </c>
      <c r="C3566" s="28">
        <f>IFERROR(__xludf.DUMMYFUNCTION("""COMPUTED_VALUE"""),45796.0)</f>
        <v>45796</v>
      </c>
      <c r="D3566" s="28">
        <f>IFERROR(__xludf.DUMMYFUNCTION("""COMPUTED_VALUE"""),45846.0)</f>
        <v>45846</v>
      </c>
      <c r="E3566" s="26">
        <f>IFERROR(__xludf.DUMMYFUNCTION("""COMPUTED_VALUE"""),331517.0)</f>
        <v>331517</v>
      </c>
      <c r="F3566" s="22" t="str">
        <f>IFERROR(__xludf.DUMMYFUNCTION("""COMPUTED_VALUE"""),"うまくいかない深月ちゃんと（なぜか？）構いたがりの大我くん")</f>
        <v>うまくいかない深月ちゃんと（なぜか？）構いたがりの大我くん</v>
      </c>
      <c r="G3566" s="20" t="str">
        <f>IFERROR(__xludf.DUMMYFUNCTION("""COMPUTED_VALUE"""),"1～3")</f>
        <v>1～3</v>
      </c>
      <c r="H3566" s="22" t="str">
        <f>IFERROR(__xludf.DUMMYFUNCTION("""COMPUTED_VALUE"""),"夏八木しづく┴月村祐孝")</f>
        <v>夏八木しづく┴月村祐孝</v>
      </c>
      <c r="I3566" s="22" t="str">
        <f>IFERROR(__xludf.DUMMYFUNCTION("""COMPUTED_VALUE"""),"女性")</f>
        <v>女性</v>
      </c>
      <c r="J3566" s="22"/>
      <c r="K3566" s="22" t="str">
        <f>IFERROR(__xludf.DUMMYFUNCTION("""COMPUTED_VALUE"""),"GSComic")</f>
        <v>GSComic</v>
      </c>
      <c r="L3566" s="22" t="str">
        <f>IFERROR(__xludf.DUMMYFUNCTION("""COMPUTED_VALUE"""),"ガールスカウトコミックス")</f>
        <v>ガールスカウトコミックス</v>
      </c>
      <c r="M3566" s="33">
        <f>IFERROR(__xludf.DUMMYFUNCTION("""COMPUTED_VALUE"""),45882.0)</f>
        <v>45882</v>
      </c>
      <c r="N3566" s="33">
        <f>IFERROR(__xludf.DUMMYFUNCTION("""COMPUTED_VALUE"""),45973.0)</f>
        <v>45973</v>
      </c>
      <c r="O3566" s="20"/>
      <c r="P3566" s="32" t="str">
        <f>IFERROR(__xludf.DUMMYFUNCTION("""COMPUTED_VALUE"""),"可")</f>
        <v>可</v>
      </c>
      <c r="Q3566" s="30"/>
      <c r="R3566" s="22" t="str">
        <f>IFERROR(__xludf.DUMMYFUNCTION("""COMPUTED_VALUE"""),"コミットOK")</f>
        <v>コミットOK</v>
      </c>
      <c r="S3566" s="22" t="str">
        <f>IFERROR(__xludf.DUMMYFUNCTION("""COMPUTED_VALUE"""),"20250704_ガールスカウトコミックス_うまくいかない深月ちゃんと世話焼き大我くん")</f>
        <v>20250704_ガールスカウトコミックス_うまくいかない深月ちゃんと世話焼き大我くん</v>
      </c>
      <c r="T3566" s="22" t="str">
        <f>IFERROR(__xludf.DUMMYFUNCTION("""COMPUTED_VALUE"""),"格納済み")</f>
        <v>格納済み</v>
      </c>
      <c r="U3566" s="9" t="str">
        <f>IFERROR(__xludf.DUMMYFUNCTION("""COMPUTED_VALUE"""),"Ⓒ夏八木しづく／ガールスカウトコミックス")</f>
        <v>Ⓒ夏八木しづく／ガールスカウトコミックス</v>
      </c>
      <c r="V3566" s="8"/>
      <c r="W3566" s="8"/>
      <c r="X3566" s="8" t="str">
        <f>IFERROR(__xludf.DUMMYFUNCTION("""COMPUTED_VALUE"""),"有")</f>
        <v>有</v>
      </c>
      <c r="Y3566" s="8" t="str">
        <f>IFERROR(__xludf.DUMMYFUNCTION("""COMPUTED_VALUE"""),"2025/8/26まで1巻無料")</f>
        <v>2025/8/26まで1巻無料</v>
      </c>
      <c r="Z3566" s="7"/>
      <c r="AA3566" s="7"/>
      <c r="AB3566" s="7"/>
    </row>
    <row r="3567" ht="15.75" customHeight="1">
      <c r="A3567" s="26">
        <f>IFERROR(__xludf.DUMMYFUNCTION("""COMPUTED_VALUE"""),5694.0)</f>
        <v>5694</v>
      </c>
      <c r="B3567" s="22" t="str">
        <f>IFERROR(__xludf.DUMMYFUNCTION("""COMPUTED_VALUE"""),"確定")</f>
        <v>確定</v>
      </c>
      <c r="C3567" s="28">
        <f>IFERROR(__xludf.DUMMYFUNCTION("""COMPUTED_VALUE"""),45810.0)</f>
        <v>45810</v>
      </c>
      <c r="D3567" s="28">
        <f>IFERROR(__xludf.DUMMYFUNCTION("""COMPUTED_VALUE"""),45845.0)</f>
        <v>45845</v>
      </c>
      <c r="E3567" s="26">
        <f>IFERROR(__xludf.DUMMYFUNCTION("""COMPUTED_VALUE"""),331811.0)</f>
        <v>331811</v>
      </c>
      <c r="F3567" s="22" t="str">
        <f>IFERROR(__xludf.DUMMYFUNCTION("""COMPUTED_VALUE"""),"銭甕ーぜにがめー")</f>
        <v>銭甕ーぜにがめー</v>
      </c>
      <c r="G3567" s="20" t="str">
        <f>IFERROR(__xludf.DUMMYFUNCTION("""COMPUTED_VALUE"""),"1～3")</f>
        <v>1～3</v>
      </c>
      <c r="H3567" s="22" t="str">
        <f>IFERROR(__xludf.DUMMYFUNCTION("""COMPUTED_VALUE"""),"大賀零")</f>
        <v>大賀零</v>
      </c>
      <c r="I3567" s="22" t="str">
        <f>IFERROR(__xludf.DUMMYFUNCTION("""COMPUTED_VALUE"""),"青年")</f>
        <v>青年</v>
      </c>
      <c r="J3567" s="22"/>
      <c r="K3567" s="22"/>
      <c r="L3567" s="22" t="str">
        <f>IFERROR(__xludf.DUMMYFUNCTION("""COMPUTED_VALUE"""),"Bコミ")</f>
        <v>Bコミ</v>
      </c>
      <c r="M3567" s="33">
        <f>IFERROR(__xludf.DUMMYFUNCTION("""COMPUTED_VALUE"""),45886.0)</f>
        <v>45886</v>
      </c>
      <c r="N3567" s="33">
        <f>IFERROR(__xludf.DUMMYFUNCTION("""COMPUTED_VALUE"""),45962.0)</f>
        <v>45962</v>
      </c>
      <c r="O3567" s="20"/>
      <c r="P3567" s="32" t="str">
        <f>IFERROR(__xludf.DUMMYFUNCTION("""COMPUTED_VALUE"""),"可")</f>
        <v>可</v>
      </c>
      <c r="Q3567" s="30"/>
      <c r="R3567" s="22" t="str">
        <f>IFERROR(__xludf.DUMMYFUNCTION("""COMPUTED_VALUE"""),"コミットOK")</f>
        <v>コミットOK</v>
      </c>
      <c r="S3567" s="22" t="str">
        <f>IFERROR(__xludf.DUMMYFUNCTION("""COMPUTED_VALUE"""),"20250703_ブックマークジャパン_銭亀")</f>
        <v>20250703_ブックマークジャパン_銭亀</v>
      </c>
      <c r="T3567" s="22" t="str">
        <f>IFERROR(__xludf.DUMMYFUNCTION("""COMPUTED_VALUE"""),"格納済み")</f>
        <v>格納済み</v>
      </c>
      <c r="U3567" s="9" t="str">
        <f>IFERROR(__xludf.DUMMYFUNCTION("""COMPUTED_VALUE"""),"🄫大賀零/Bコミ")</f>
        <v>🄫大賀零/Bコミ</v>
      </c>
      <c r="V3567" s="8"/>
      <c r="W3567" s="8"/>
      <c r="X3567" s="8" t="str">
        <f>IFERROR(__xludf.DUMMYFUNCTION("""COMPUTED_VALUE"""),"有")</f>
        <v>有</v>
      </c>
      <c r="Y3567" s="8" t="str">
        <f>IFERROR(__xludf.DUMMYFUNCTION("""COMPUTED_VALUE"""),"2025/9/1まで1巻無料")</f>
        <v>2025/9/1まで1巻無料</v>
      </c>
      <c r="Z3567" s="7"/>
      <c r="AA3567" s="7"/>
      <c r="AB3567" s="7"/>
    </row>
    <row r="3568" ht="15.75" customHeight="1">
      <c r="A3568" s="26">
        <f>IFERROR(__xludf.DUMMYFUNCTION("""COMPUTED_VALUE"""),5708.0)</f>
        <v>5708</v>
      </c>
      <c r="B3568" s="22" t="str">
        <f>IFERROR(__xludf.DUMMYFUNCTION("""COMPUTED_VALUE"""),"確定")</f>
        <v>確定</v>
      </c>
      <c r="C3568" s="28">
        <f>IFERROR(__xludf.DUMMYFUNCTION("""COMPUTED_VALUE"""),45810.0)</f>
        <v>45810</v>
      </c>
      <c r="D3568" s="28">
        <f>IFERROR(__xludf.DUMMYFUNCTION("""COMPUTED_VALUE"""),45845.0)</f>
        <v>45845</v>
      </c>
      <c r="E3568" s="26">
        <f>IFERROR(__xludf.DUMMYFUNCTION("""COMPUTED_VALUE"""),328860.0)</f>
        <v>328860</v>
      </c>
      <c r="F3568" s="22" t="str">
        <f>IFERROR(__xludf.DUMMYFUNCTION("""COMPUTED_VALUE"""),"成功志向系ガイド ～彼を幸せにするために～【タテヨミ】")</f>
        <v>成功志向系ガイド ～彼を幸せにするために～【タテヨミ】</v>
      </c>
      <c r="G3568" s="20" t="str">
        <f>IFERROR(__xludf.DUMMYFUNCTION("""COMPUTED_VALUE"""),"1～20")</f>
        <v>1～20</v>
      </c>
      <c r="H3568" s="22" t="str">
        <f>IFERROR(__xludf.DUMMYFUNCTION("""COMPUTED_VALUE"""),"ee SONA Beep-beep PARKBOYUL studioALIVE")</f>
        <v>ee SONA Beep-beep PARKBOYUL studioALIVE</v>
      </c>
      <c r="I3568" s="22" t="str">
        <f>IFERROR(__xludf.DUMMYFUNCTION("""COMPUTED_VALUE"""),"BL")</f>
        <v>BL</v>
      </c>
      <c r="J3568" s="22"/>
      <c r="K3568" s="22"/>
      <c r="L3568" s="22" t="str">
        <f>IFERROR(__xludf.DUMMYFUNCTION("""COMPUTED_VALUE"""),"リバース")</f>
        <v>リバース</v>
      </c>
      <c r="M3568" s="33">
        <f>IFERROR(__xludf.DUMMYFUNCTION("""COMPUTED_VALUE"""),45862.0)</f>
        <v>45862</v>
      </c>
      <c r="N3568" s="33">
        <f>IFERROR(__xludf.DUMMYFUNCTION("""COMPUTED_VALUE"""),45925.0)</f>
        <v>45925</v>
      </c>
      <c r="O3568" s="20"/>
      <c r="P3568" s="32" t="str">
        <f>IFERROR(__xludf.DUMMYFUNCTION("""COMPUTED_VALUE"""),"可")</f>
        <v>可</v>
      </c>
      <c r="Q3568" s="30" t="str">
        <f>IFERROR(__xludf.DUMMYFUNCTION("""COMPUTED_VALUE"""),"・出稿可能な場合、1ヶ月間5話無料まで実施可能です")</f>
        <v>・出稿可能な場合、1ヶ月間5話無料まで実施可能です</v>
      </c>
      <c r="R3568" s="22" t="str">
        <f>IFERROR(__xludf.DUMMYFUNCTION("""COMPUTED_VALUE"""),"コミットNG")</f>
        <v>コミットNG</v>
      </c>
      <c r="S3568" s="22" t="str">
        <f>IFERROR(__xludf.DUMMYFUNCTION("""COMPUTED_VALUE"""),"20250702_リバース_成功志向系ガイド ～彼を幸せにするために～")</f>
        <v>20250702_リバース_成功志向系ガイド ～彼を幸せにするために～</v>
      </c>
      <c r="T3568" s="22" t="str">
        <f>IFERROR(__xludf.DUMMYFUNCTION("""COMPUTED_VALUE"""),"格納済み")</f>
        <v>格納済み</v>
      </c>
      <c r="U3568" s="9" t="str">
        <f>IFERROR(__xludf.DUMMYFUNCTION("""COMPUTED_VALUE"""),"ⒸLee SONA, Beep-beep, PARKBOYUL, studioALIVE / RIVERSE")</f>
        <v>ⒸLee SONA, Beep-beep, PARKBOYUL, studioALIVE / RIVERSE</v>
      </c>
      <c r="V3568" s="8"/>
      <c r="W3568" s="8"/>
      <c r="X3568" s="8" t="str">
        <f>IFERROR(__xludf.DUMMYFUNCTION("""COMPUTED_VALUE"""),"有")</f>
        <v>有</v>
      </c>
      <c r="Y3568" s="8" t="str">
        <f>IFERROR(__xludf.DUMMYFUNCTION("""COMPUTED_VALUE"""),"1～3巻無料")</f>
        <v>1～3巻無料</v>
      </c>
      <c r="Z3568" s="7"/>
      <c r="AA3568" s="7"/>
      <c r="AB3568" s="7"/>
    </row>
    <row r="3569" ht="15.75" customHeight="1">
      <c r="A3569" s="26">
        <f>IFERROR(__xludf.DUMMYFUNCTION("""COMPUTED_VALUE"""),5709.0)</f>
        <v>5709</v>
      </c>
      <c r="B3569" s="22" t="str">
        <f>IFERROR(__xludf.DUMMYFUNCTION("""COMPUTED_VALUE"""),"確定")</f>
        <v>確定</v>
      </c>
      <c r="C3569" s="28">
        <f>IFERROR(__xludf.DUMMYFUNCTION("""COMPUTED_VALUE"""),45810.0)</f>
        <v>45810</v>
      </c>
      <c r="D3569" s="28">
        <f>IFERROR(__xludf.DUMMYFUNCTION("""COMPUTED_VALUE"""),45845.0)</f>
        <v>45845</v>
      </c>
      <c r="E3569" s="26">
        <f>IFERROR(__xludf.DUMMYFUNCTION("""COMPUTED_VALUE"""),328861.0)</f>
        <v>328861</v>
      </c>
      <c r="F3569" s="22" t="str">
        <f>IFERROR(__xludf.DUMMYFUNCTION("""COMPUTED_VALUE"""),"私が捨てた男の奴隷になった【タテヨミ】")</f>
        <v>私が捨てた男の奴隷になった【タテヨミ】</v>
      </c>
      <c r="G3569" s="20" t="str">
        <f>IFERROR(__xludf.DUMMYFUNCTION("""COMPUTED_VALUE"""),"1～20")</f>
        <v>1～20</v>
      </c>
      <c r="H3569" s="22" t="str">
        <f>IFERROR(__xludf.DUMMYFUNCTION("""COMPUTED_VALUE"""),"N.BOB, BIN, Ki Yuhwa")</f>
        <v>N.BOB, BIN, Ki Yuhwa</v>
      </c>
      <c r="I3569" s="22" t="str">
        <f>IFERROR(__xludf.DUMMYFUNCTION("""COMPUTED_VALUE"""),"BL")</f>
        <v>BL</v>
      </c>
      <c r="J3569" s="22"/>
      <c r="K3569" s="22"/>
      <c r="L3569" s="22" t="str">
        <f>IFERROR(__xludf.DUMMYFUNCTION("""COMPUTED_VALUE"""),"リバース")</f>
        <v>リバース</v>
      </c>
      <c r="M3569" s="33">
        <f>IFERROR(__xludf.DUMMYFUNCTION("""COMPUTED_VALUE"""),45862.0)</f>
        <v>45862</v>
      </c>
      <c r="N3569" s="33">
        <f>IFERROR(__xludf.DUMMYFUNCTION("""COMPUTED_VALUE"""),45925.0)</f>
        <v>45925</v>
      </c>
      <c r="O3569" s="20"/>
      <c r="P3569" s="32" t="str">
        <f>IFERROR(__xludf.DUMMYFUNCTION("""COMPUTED_VALUE"""),"可")</f>
        <v>可</v>
      </c>
      <c r="Q3569" s="30" t="str">
        <f>IFERROR(__xludf.DUMMYFUNCTION("""COMPUTED_VALUE"""),"・出稿可能な場合、1ヶ月間5話無料まで実施可能です")</f>
        <v>・出稿可能な場合、1ヶ月間5話無料まで実施可能です</v>
      </c>
      <c r="R3569" s="22" t="str">
        <f>IFERROR(__xludf.DUMMYFUNCTION("""COMPUTED_VALUE"""),"コミットOK")</f>
        <v>コミットOK</v>
      </c>
      <c r="S3569" s="22" t="str">
        <f>IFERROR(__xludf.DUMMYFUNCTION("""COMPUTED_VALUE"""),"20250707_リバース_私が捨てた男の奴隷になった【タテヨミ】")</f>
        <v>20250707_リバース_私が捨てた男の奴隷になった【タテヨミ】</v>
      </c>
      <c r="T3569" s="22" t="str">
        <f>IFERROR(__xludf.DUMMYFUNCTION("""COMPUTED_VALUE"""),"格納済み")</f>
        <v>格納済み</v>
      </c>
      <c r="U3569" s="9" t="str">
        <f>IFERROR(__xludf.DUMMYFUNCTION("""COMPUTED_VALUE"""),"ⒸN.BOB, BIN, Ki Yuhwa/ RIVERSE")</f>
        <v>ⒸN.BOB, BIN, Ki Yuhwa/ RIVERSE</v>
      </c>
      <c r="V3569" s="8"/>
      <c r="W3569" s="8"/>
      <c r="X3569" s="8" t="str">
        <f>IFERROR(__xludf.DUMMYFUNCTION("""COMPUTED_VALUE"""),"有")</f>
        <v>有</v>
      </c>
      <c r="Y3569" s="8" t="str">
        <f>IFERROR(__xludf.DUMMYFUNCTION("""COMPUTED_VALUE"""),"1～3巻無料")</f>
        <v>1～3巻無料</v>
      </c>
      <c r="Z3569" s="7"/>
      <c r="AA3569" s="7"/>
      <c r="AB3569" s="7"/>
    </row>
    <row r="3570" ht="15.75" customHeight="1">
      <c r="A3570" s="26">
        <f>IFERROR(__xludf.DUMMYFUNCTION("""COMPUTED_VALUE"""),5713.0)</f>
        <v>5713</v>
      </c>
      <c r="B3570" s="22" t="str">
        <f>IFERROR(__xludf.DUMMYFUNCTION("""COMPUTED_VALUE"""),"確定")</f>
        <v>確定</v>
      </c>
      <c r="C3570" s="28">
        <f>IFERROR(__xludf.DUMMYFUNCTION("""COMPUTED_VALUE"""),45811.0)</f>
        <v>45811</v>
      </c>
      <c r="D3570" s="28">
        <f>IFERROR(__xludf.DUMMYFUNCTION("""COMPUTED_VALUE"""),45846.0)</f>
        <v>45846</v>
      </c>
      <c r="E3570" s="26">
        <f>IFERROR(__xludf.DUMMYFUNCTION("""COMPUTED_VALUE"""),330601.0)</f>
        <v>330601</v>
      </c>
      <c r="F3570" s="22" t="str">
        <f>IFERROR(__xludf.DUMMYFUNCTION("""COMPUTED_VALUE"""),"かじりついてロマンス")</f>
        <v>かじりついてロマンス</v>
      </c>
      <c r="G3570" s="20" t="str">
        <f>IFERROR(__xludf.DUMMYFUNCTION("""COMPUTED_VALUE"""),"1～3")</f>
        <v>1～3</v>
      </c>
      <c r="H3570" s="22" t="str">
        <f>IFERROR(__xludf.DUMMYFUNCTION("""COMPUTED_VALUE"""),"タイシ")</f>
        <v>タイシ</v>
      </c>
      <c r="I3570" s="22" t="str">
        <f>IFERROR(__xludf.DUMMYFUNCTION("""COMPUTED_VALUE"""),"BL")</f>
        <v>BL</v>
      </c>
      <c r="J3570" s="22"/>
      <c r="K3570" s="22" t="str">
        <f>IFERROR(__xludf.DUMMYFUNCTION("""COMPUTED_VALUE"""),"piu")</f>
        <v>piu</v>
      </c>
      <c r="L3570" s="22" t="str">
        <f>IFERROR(__xludf.DUMMYFUNCTION("""COMPUTED_VALUE"""),"forcs")</f>
        <v>forcs</v>
      </c>
      <c r="M3570" s="33">
        <f>IFERROR(__xludf.DUMMYFUNCTION("""COMPUTED_VALUE"""),45877.0)</f>
        <v>45877</v>
      </c>
      <c r="N3570" s="33">
        <f>IFERROR(__xludf.DUMMYFUNCTION("""COMPUTED_VALUE"""),45939.0)</f>
        <v>45939</v>
      </c>
      <c r="O3570" s="20"/>
      <c r="P3570" s="32" t="str">
        <f>IFERROR(__xludf.DUMMYFUNCTION("""COMPUTED_VALUE"""),"可")</f>
        <v>可</v>
      </c>
      <c r="Q3570" s="30" t="str">
        <f>IFERROR(__xludf.DUMMYFUNCTION("""COMPUTED_VALUE"""),"コミュ障な受けと偏屈な攻めという、孤独を抱えたふたりが不器用ながらに恋をしていくお話です。&lt;BR&gt;片方の距離が近づいては、もう片方が離れて……といった恋愛のもどかしさを丁寧に描いているので、エロシーン抜きで広告クリエイティブにも使いやすいかと思います。&lt;BR&gt;BLヘビーユーザーの多い貴社でも目を引くきれいな線画と、今どきのリアルさが伝わる細かい描写も特徴です。")</f>
        <v>コミュ障な受けと偏屈な攻めという、孤独を抱えたふたりが不器用ながらに恋をしていくお話です。&lt;BR&gt;片方の距離が近づいては、もう片方が離れて……といった恋愛のもどかしさを丁寧に描いているので、エロシーン抜きで広告クリエイティブにも使いやすいかと思います。&lt;BR&gt;BLヘビーユーザーの多い貴社でも目を引くきれいな線画と、今どきのリアルさが伝わる細かい描写も特徴です。</v>
      </c>
      <c r="R3570" s="22" t="str">
        <f>IFERROR(__xludf.DUMMYFUNCTION("""COMPUTED_VALUE"""),"コミットOK")</f>
        <v>コミットOK</v>
      </c>
      <c r="S3570" s="22" t="str">
        <f>IFERROR(__xludf.DUMMYFUNCTION("""COMPUTED_VALUE"""),"20250708_forcs_かじりついてロマンス")</f>
        <v>20250708_forcs_かじりついてロマンス</v>
      </c>
      <c r="T3570" s="22" t="str">
        <f>IFERROR(__xludf.DUMMYFUNCTION("""COMPUTED_VALUE"""),"格納済み")</f>
        <v>格納済み</v>
      </c>
      <c r="U3570" s="9" t="str">
        <f>IFERROR(__xludf.DUMMYFUNCTION("""COMPUTED_VALUE"""),"Ⓒタイシ/forcs")</f>
        <v>Ⓒタイシ/forcs</v>
      </c>
      <c r="V3570" s="8"/>
      <c r="W3570" s="8"/>
      <c r="X3570" s="8" t="str">
        <f>IFERROR(__xludf.DUMMYFUNCTION("""COMPUTED_VALUE"""),"有")</f>
        <v>有</v>
      </c>
      <c r="Y3570" s="8" t="str">
        <f>IFERROR(__xludf.DUMMYFUNCTION("""COMPUTED_VALUE"""),"P15まで")</f>
        <v>P15まで</v>
      </c>
      <c r="Z3570" s="7"/>
      <c r="AA3570" s="7"/>
      <c r="AB3570" s="7"/>
    </row>
    <row r="3571" ht="15.75" customHeight="1">
      <c r="A3571" s="26">
        <f>IFERROR(__xludf.DUMMYFUNCTION("""COMPUTED_VALUE"""),5742.0)</f>
        <v>5742</v>
      </c>
      <c r="B3571" s="22" t="str">
        <f>IFERROR(__xludf.DUMMYFUNCTION("""COMPUTED_VALUE"""),"確定")</f>
        <v>確定</v>
      </c>
      <c r="C3571" s="28">
        <f>IFERROR(__xludf.DUMMYFUNCTION("""COMPUTED_VALUE"""),45813.0)</f>
        <v>45813</v>
      </c>
      <c r="D3571" s="28">
        <f>IFERROR(__xludf.DUMMYFUNCTION("""COMPUTED_VALUE"""),45846.0)</f>
        <v>45846</v>
      </c>
      <c r="E3571" s="26">
        <f>IFERROR(__xludf.DUMMYFUNCTION("""COMPUTED_VALUE"""),329453.0)</f>
        <v>329453</v>
      </c>
      <c r="F3571" s="22" t="str">
        <f>IFERROR(__xludf.DUMMYFUNCTION("""COMPUTED_VALUE"""),"今日を流す")</f>
        <v>今日を流す</v>
      </c>
      <c r="G3571" s="20">
        <f>IFERROR(__xludf.DUMMYFUNCTION("""COMPUTED_VALUE"""),1.0)</f>
        <v>1</v>
      </c>
      <c r="H3571" s="22" t="str">
        <f>IFERROR(__xludf.DUMMYFUNCTION("""COMPUTED_VALUE"""),"いけだ")</f>
        <v>いけだ</v>
      </c>
      <c r="I3571" s="22" t="str">
        <f>IFERROR(__xludf.DUMMYFUNCTION("""COMPUTED_VALUE"""),"BL")</f>
        <v>BL</v>
      </c>
      <c r="J3571" s="22"/>
      <c r="K3571" s="22" t="str">
        <f>IFERROR(__xludf.DUMMYFUNCTION("""COMPUTED_VALUE"""),"BABY")</f>
        <v>BABY</v>
      </c>
      <c r="L3571" s="22" t="str">
        <f>IFERROR(__xludf.DUMMYFUNCTION("""COMPUTED_VALUE"""),"ふゅーじょんぷろだくと")</f>
        <v>ふゅーじょんぷろだくと</v>
      </c>
      <c r="M3571" s="33">
        <f>IFERROR(__xludf.DUMMYFUNCTION("""COMPUTED_VALUE"""),45869.0)</f>
        <v>45869</v>
      </c>
      <c r="N3571" s="33">
        <f>IFERROR(__xludf.DUMMYFUNCTION("""COMPUTED_VALUE"""),45897.0)</f>
        <v>45897</v>
      </c>
      <c r="O3571" s="20"/>
      <c r="P3571" s="32" t="str">
        <f>IFERROR(__xludf.DUMMYFUNCTION("""COMPUTED_VALUE"""),"可")</f>
        <v>可</v>
      </c>
      <c r="Q3571" s="30"/>
      <c r="R3571" s="22" t="str">
        <f>IFERROR(__xludf.DUMMYFUNCTION("""COMPUTED_VALUE"""),"コミットNG")</f>
        <v>コミットNG</v>
      </c>
      <c r="S3571" s="22" t="str">
        <f>IFERROR(__xludf.DUMMYFUNCTION("""COMPUTED_VALUE"""),"20250707_ふゅーじょんぷろだくと_今日を流す")</f>
        <v>20250707_ふゅーじょんぷろだくと_今日を流す</v>
      </c>
      <c r="T3571" s="22" t="str">
        <f>IFERROR(__xludf.DUMMYFUNCTION("""COMPUTED_VALUE"""),"格納済み")</f>
        <v>格納済み</v>
      </c>
      <c r="U3571" s="9" t="str">
        <f>IFERROR(__xludf.DUMMYFUNCTION("""COMPUTED_VALUE"""),"『今日を流す』Ⓒいけだ／FUSION PRODUCT")</f>
        <v>『今日を流す』Ⓒいけだ／FUSION PRODUCT</v>
      </c>
      <c r="V3571" s="8"/>
      <c r="W3571" s="8"/>
      <c r="X3571" s="8" t="str">
        <f>IFERROR(__xludf.DUMMYFUNCTION("""COMPUTED_VALUE"""),"有")</f>
        <v>有</v>
      </c>
      <c r="Y3571" s="8" t="str">
        <f>IFERROR(__xludf.DUMMYFUNCTION("""COMPUTED_VALUE"""),"P10まで")</f>
        <v>P10まで</v>
      </c>
      <c r="Z3571" s="7"/>
      <c r="AA3571" s="7"/>
      <c r="AB3571" s="7"/>
    </row>
    <row r="3572" ht="15.75" customHeight="1">
      <c r="A3572" s="26">
        <f>IFERROR(__xludf.DUMMYFUNCTION("""COMPUTED_VALUE"""),5816.0)</f>
        <v>5816</v>
      </c>
      <c r="B3572" s="22" t="str">
        <f>IFERROR(__xludf.DUMMYFUNCTION("""COMPUTED_VALUE"""),"確定")</f>
        <v>確定</v>
      </c>
      <c r="C3572" s="28">
        <f>IFERROR(__xludf.DUMMYFUNCTION("""COMPUTED_VALUE"""),45817.0)</f>
        <v>45817</v>
      </c>
      <c r="D3572" s="28">
        <f>IFERROR(__xludf.DUMMYFUNCTION("""COMPUTED_VALUE"""),45845.0)</f>
        <v>45845</v>
      </c>
      <c r="E3572" s="26">
        <f>IFERROR(__xludf.DUMMYFUNCTION("""COMPUTED_VALUE"""),330448.0)</f>
        <v>330448</v>
      </c>
      <c r="F3572" s="22" t="str">
        <f>IFERROR(__xludf.DUMMYFUNCTION("""COMPUTED_VALUE"""),"幸運の初期値が異常に高かった高校生が、缶詰ガチャで手に入れたスキルを使って現代ダンジョンで最強になる物語 連載版")</f>
        <v>幸運の初期値が異常に高かった高校生が、缶詰ガチャで手に入れたスキルを使って現代ダンジョンで最強になる物語 連載版</v>
      </c>
      <c r="G3572" s="20" t="str">
        <f>IFERROR(__xludf.DUMMYFUNCTION("""COMPUTED_VALUE"""),"1～3")</f>
        <v>1～3</v>
      </c>
      <c r="H3572" s="22" t="str">
        <f>IFERROR(__xludf.DUMMYFUNCTION("""COMPUTED_VALUE"""),"キヨミ屋、時野洋輔、さす")</f>
        <v>キヨミ屋、時野洋輔、さす</v>
      </c>
      <c r="I3572" s="22" t="str">
        <f>IFERROR(__xludf.DUMMYFUNCTION("""COMPUTED_VALUE"""),"青年")</f>
        <v>青年</v>
      </c>
      <c r="J3572" s="22"/>
      <c r="K3572" s="22"/>
      <c r="L3572" s="22" t="str">
        <f>IFERROR(__xludf.DUMMYFUNCTION("""COMPUTED_VALUE"""),"ブシロードワークス")</f>
        <v>ブシロードワークス</v>
      </c>
      <c r="M3572" s="33">
        <f>IFERROR(__xludf.DUMMYFUNCTION("""COMPUTED_VALUE"""),45872.0)</f>
        <v>45872</v>
      </c>
      <c r="N3572" s="33">
        <f>IFERROR(__xludf.DUMMYFUNCTION("""COMPUTED_VALUE"""),45934.0)</f>
        <v>45934</v>
      </c>
      <c r="O3572" s="20"/>
      <c r="P3572" s="32" t="str">
        <f>IFERROR(__xludf.DUMMYFUNCTION("""COMPUTED_VALUE"""),"可")</f>
        <v>可</v>
      </c>
      <c r="Q3572" s="30" t="str">
        <f>IFERROR(__xludf.DUMMYFUNCTION("""COMPUTED_VALUE"""),"冒頭1巻無料を実施予定です。")</f>
        <v>冒頭1巻無料を実施予定です。</v>
      </c>
      <c r="R3572" s="22" t="str">
        <f>IFERROR(__xludf.DUMMYFUNCTION("""COMPUTED_VALUE"""),"コミットOK")</f>
        <v>コミットOK</v>
      </c>
      <c r="S3572" s="22" t="str">
        <f>IFERROR(__xludf.DUMMYFUNCTION("""COMPUTED_VALUE"""),"20250702_ブシロードワークス_幸運の初期値が異常に高かった高校生が、缶詰ガチャで手に入れたスキルを使って最強になる物語 連載版")</f>
        <v>20250702_ブシロードワークス_幸運の初期値が異常に高かった高校生が、缶詰ガチャで手に入れたスキルを使って最強になる物語 連載版</v>
      </c>
      <c r="T3572" s="22" t="str">
        <f>IFERROR(__xludf.DUMMYFUNCTION("""COMPUTED_VALUE"""),"格納済み")</f>
        <v>格納済み</v>
      </c>
      <c r="U3572" s="9" t="str">
        <f>IFERROR(__xludf.DUMMYFUNCTION("""COMPUTED_VALUE"""),"©Kiyomiya, Yousuke Tokino / BUSHIROAD WORKS")</f>
        <v>©Kiyomiya, Yousuke Tokino / BUSHIROAD WORKS</v>
      </c>
      <c r="V3572" s="8"/>
      <c r="W3572" s="8"/>
      <c r="X3572" s="8" t="str">
        <f>IFERROR(__xludf.DUMMYFUNCTION("""COMPUTED_VALUE"""),"有")</f>
        <v>有</v>
      </c>
      <c r="Y3572" s="8" t="str">
        <f>IFERROR(__xludf.DUMMYFUNCTION("""COMPUTED_VALUE"""),"2025/10/4まで1巻無料")</f>
        <v>2025/10/4まで1巻無料</v>
      </c>
      <c r="Z3572" s="7"/>
      <c r="AA3572" s="7"/>
      <c r="AB3572" s="7"/>
    </row>
    <row r="3573" ht="15.75" customHeight="1">
      <c r="A3573" s="26">
        <f>IFERROR(__xludf.DUMMYFUNCTION("""COMPUTED_VALUE"""),5820.0)</f>
        <v>5820</v>
      </c>
      <c r="B3573" s="22" t="str">
        <f>IFERROR(__xludf.DUMMYFUNCTION("""COMPUTED_VALUE"""),"確定")</f>
        <v>確定</v>
      </c>
      <c r="C3573" s="28">
        <f>IFERROR(__xludf.DUMMYFUNCTION("""COMPUTED_VALUE"""),45818.0)</f>
        <v>45818</v>
      </c>
      <c r="D3573" s="28">
        <f>IFERROR(__xludf.DUMMYFUNCTION("""COMPUTED_VALUE"""),45845.0)</f>
        <v>45845</v>
      </c>
      <c r="E3573" s="26">
        <f>IFERROR(__xludf.DUMMYFUNCTION("""COMPUTED_VALUE"""),331988.0)</f>
        <v>331988</v>
      </c>
      <c r="F3573" s="22" t="str">
        <f>IFERROR(__xludf.DUMMYFUNCTION("""COMPUTED_VALUE"""),"魔法少女イナバ 連載版")</f>
        <v>魔法少女イナバ 連載版</v>
      </c>
      <c r="G3573" s="20" t="str">
        <f>IFERROR(__xludf.DUMMYFUNCTION("""COMPUTED_VALUE"""),"1～4")</f>
        <v>1～4</v>
      </c>
      <c r="H3573" s="22" t="str">
        <f>IFERROR(__xludf.DUMMYFUNCTION("""COMPUTED_VALUE"""),"猫にゃん")</f>
        <v>猫にゃん</v>
      </c>
      <c r="I3573" s="22" t="str">
        <f>IFERROR(__xludf.DUMMYFUNCTION("""COMPUTED_VALUE"""),"青年")</f>
        <v>青年</v>
      </c>
      <c r="J3573" s="22"/>
      <c r="K3573" s="22"/>
      <c r="L3573" s="22" t="str">
        <f>IFERROR(__xludf.DUMMYFUNCTION("""COMPUTED_VALUE"""),"ブシロードワークス")</f>
        <v>ブシロードワークス</v>
      </c>
      <c r="M3573" s="33">
        <f>IFERROR(__xludf.DUMMYFUNCTION("""COMPUTED_VALUE"""),45888.0)</f>
        <v>45888</v>
      </c>
      <c r="N3573" s="33">
        <f>IFERROR(__xludf.DUMMYFUNCTION("""COMPUTED_VALUE"""),45950.0)</f>
        <v>45950</v>
      </c>
      <c r="O3573" s="20"/>
      <c r="P3573" s="32" t="str">
        <f>IFERROR(__xludf.DUMMYFUNCTION("""COMPUTED_VALUE"""),"可")</f>
        <v>可</v>
      </c>
      <c r="Q3573" s="30" t="str">
        <f>IFERROR(__xludf.DUMMYFUNCTION("""COMPUTED_VALUE"""),"初回配信時1-2話無料予定&lt;BR&gt;今後の続話については隔週配信で「毎月第3火曜更新分→翌々月第3火曜前日」まで先行")</f>
        <v>初回配信時1-2話無料予定&lt;BR&gt;今後の続話については隔週配信で「毎月第3火曜更新分→翌々月第3火曜前日」まで先行</v>
      </c>
      <c r="R3573" s="22" t="str">
        <f>IFERROR(__xludf.DUMMYFUNCTION("""COMPUTED_VALUE"""),"コミットOK")</f>
        <v>コミットOK</v>
      </c>
      <c r="S3573" s="22" t="str">
        <f>IFERROR(__xludf.DUMMYFUNCTION("""COMPUTED_VALUE"""),"20250702_ブシロードワークス_魔法少女イナバ 連載版")</f>
        <v>20250702_ブシロードワークス_魔法少女イナバ 連載版</v>
      </c>
      <c r="T3573" s="22" t="str">
        <f>IFERROR(__xludf.DUMMYFUNCTION("""COMPUTED_VALUE"""),"格納済み")</f>
        <v>格納済み</v>
      </c>
      <c r="U3573" s="9" t="str">
        <f>IFERROR(__xludf.DUMMYFUNCTION("""COMPUTED_VALUE"""),"©Neko nyan / BUSHIROAD WORKS")</f>
        <v>©Neko nyan / BUSHIROAD WORKS</v>
      </c>
      <c r="V3573" s="8"/>
      <c r="W3573" s="8"/>
      <c r="X3573" s="8" t="str">
        <f>IFERROR(__xludf.DUMMYFUNCTION("""COMPUTED_VALUE"""),"有")</f>
        <v>有</v>
      </c>
      <c r="Y3573" s="8" t="str">
        <f>IFERROR(__xludf.DUMMYFUNCTION("""COMPUTED_VALUE"""),"20250/10/20まで1～2巻無料")</f>
        <v>20250/10/20まで1～2巻無料</v>
      </c>
      <c r="Z3573" s="7"/>
      <c r="AA3573" s="7"/>
      <c r="AB3573" s="7"/>
    </row>
    <row r="3574" ht="15.75" customHeight="1">
      <c r="A3574" s="26">
        <f>IFERROR(__xludf.DUMMYFUNCTION("""COMPUTED_VALUE"""),5830.0)</f>
        <v>5830</v>
      </c>
      <c r="B3574" s="22" t="str">
        <f>IFERROR(__xludf.DUMMYFUNCTION("""COMPUTED_VALUE"""),"確定")</f>
        <v>確定</v>
      </c>
      <c r="C3574" s="28">
        <f>IFERROR(__xludf.DUMMYFUNCTION("""COMPUTED_VALUE"""),45819.0)</f>
        <v>45819</v>
      </c>
      <c r="D3574" s="28">
        <f>IFERROR(__xludf.DUMMYFUNCTION("""COMPUTED_VALUE"""),45845.0)</f>
        <v>45845</v>
      </c>
      <c r="E3574" s="26">
        <f>IFERROR(__xludf.DUMMYFUNCTION("""COMPUTED_VALUE"""),329292.0)</f>
        <v>329292</v>
      </c>
      <c r="F3574" s="22" t="str">
        <f>IFERROR(__xludf.DUMMYFUNCTION("""COMPUTED_VALUE"""),"アンバランス～私だけがブスだった～")</f>
        <v>アンバランス～私だけがブスだった～</v>
      </c>
      <c r="G3574" s="20" t="str">
        <f>IFERROR(__xludf.DUMMYFUNCTION("""COMPUTED_VALUE"""),"1～5")</f>
        <v>1～5</v>
      </c>
      <c r="H3574" s="22" t="str">
        <f>IFERROR(__xludf.DUMMYFUNCTION("""COMPUTED_VALUE"""),"原作：朝野いずみ、漫画：嵯峨根グミ")</f>
        <v>原作：朝野いずみ、漫画：嵯峨根グミ</v>
      </c>
      <c r="I3574" s="22" t="str">
        <f>IFERROR(__xludf.DUMMYFUNCTION("""COMPUTED_VALUE"""),"女性")</f>
        <v>女性</v>
      </c>
      <c r="J3574" s="22"/>
      <c r="K3574" s="22"/>
      <c r="L3574" s="22" t="str">
        <f>IFERROR(__xludf.DUMMYFUNCTION("""COMPUTED_VALUE"""),"ビーグリー")</f>
        <v>ビーグリー</v>
      </c>
      <c r="M3574" s="33">
        <f>IFERROR(__xludf.DUMMYFUNCTION("""COMPUTED_VALUE"""),45870.0)</f>
        <v>45870</v>
      </c>
      <c r="N3574" s="33">
        <f>IFERROR(__xludf.DUMMYFUNCTION("""COMPUTED_VALUE"""),46022.70833333333)</f>
        <v>46022.70833</v>
      </c>
      <c r="O3574" s="20"/>
      <c r="P3574" s="32" t="str">
        <f>IFERROR(__xludf.DUMMYFUNCTION("""COMPUTED_VALUE"""),"可")</f>
        <v>可</v>
      </c>
      <c r="Q3574" s="30"/>
      <c r="R3574" s="22" t="str">
        <f>IFERROR(__xludf.DUMMYFUNCTION("""COMPUTED_VALUE"""),"コミットOK")</f>
        <v>コミットOK</v>
      </c>
      <c r="S3574" s="22" t="str">
        <f>IFERROR(__xludf.DUMMYFUNCTION("""COMPUTED_VALUE"""),"20250707_ビーグリー_アンバランス")</f>
        <v>20250707_ビーグリー_アンバランス</v>
      </c>
      <c r="T3574" s="22" t="str">
        <f>IFERROR(__xludf.DUMMYFUNCTION("""COMPUTED_VALUE"""),"格納済み")</f>
        <v>格納済み</v>
      </c>
      <c r="U3574" s="9" t="str">
        <f>IFERROR(__xludf.DUMMYFUNCTION("""COMPUTED_VALUE"""),"Ⓒ嵯峨根グミ・朝野いずみ/大洋図書/ビーグリー")</f>
        <v>Ⓒ嵯峨根グミ・朝野いずみ/大洋図書/ビーグリー</v>
      </c>
      <c r="V3574" s="8"/>
      <c r="W3574" s="8"/>
      <c r="X3574" s="8" t="str">
        <f>IFERROR(__xludf.DUMMYFUNCTION("""COMPUTED_VALUE"""),"有")</f>
        <v>有</v>
      </c>
      <c r="Y3574" s="8" t="str">
        <f>IFERROR(__xludf.DUMMYFUNCTION("""COMPUTED_VALUE"""),"2025/8/14まで1巻無料")</f>
        <v>2025/8/14まで1巻無料</v>
      </c>
      <c r="Z3574" s="7"/>
      <c r="AA3574" s="7"/>
      <c r="AB3574" s="7"/>
    </row>
    <row r="3575" ht="15.75" customHeight="1">
      <c r="A3575" s="26">
        <f>IFERROR(__xludf.DUMMYFUNCTION("""COMPUTED_VALUE"""),5831.0)</f>
        <v>5831</v>
      </c>
      <c r="B3575" s="22" t="str">
        <f>IFERROR(__xludf.DUMMYFUNCTION("""COMPUTED_VALUE"""),"確定")</f>
        <v>確定</v>
      </c>
      <c r="C3575" s="28">
        <f>IFERROR(__xludf.DUMMYFUNCTION("""COMPUTED_VALUE"""),45819.0)</f>
        <v>45819</v>
      </c>
      <c r="D3575" s="28">
        <f>IFERROR(__xludf.DUMMYFUNCTION("""COMPUTED_VALUE"""),45845.0)</f>
        <v>45845</v>
      </c>
      <c r="E3575" s="26">
        <f>IFERROR(__xludf.DUMMYFUNCTION("""COMPUTED_VALUE"""),329079.0)</f>
        <v>329079</v>
      </c>
      <c r="F3575" s="22" t="str">
        <f>IFERROR(__xludf.DUMMYFUNCTION("""COMPUTED_VALUE"""),"年の離れた元カレの弟を飼っています。")</f>
        <v>年の離れた元カレの弟を飼っています。</v>
      </c>
      <c r="G3575" s="20" t="str">
        <f>IFERROR(__xludf.DUMMYFUNCTION("""COMPUTED_VALUE"""),"1～5")</f>
        <v>1～5</v>
      </c>
      <c r="H3575" s="22" t="str">
        <f>IFERROR(__xludf.DUMMYFUNCTION("""COMPUTED_VALUE"""),"柴咲さや")</f>
        <v>柴咲さや</v>
      </c>
      <c r="I3575" s="22" t="str">
        <f>IFERROR(__xludf.DUMMYFUNCTION("""COMPUTED_VALUE"""),"少女")</f>
        <v>少女</v>
      </c>
      <c r="J3575" s="22"/>
      <c r="K3575" s="22"/>
      <c r="L3575" s="22" t="str">
        <f>IFERROR(__xludf.DUMMYFUNCTION("""COMPUTED_VALUE"""),"テライド出版")</f>
        <v>テライド出版</v>
      </c>
      <c r="M3575" s="33">
        <f>IFERROR(__xludf.DUMMYFUNCTION("""COMPUTED_VALUE"""),45865.0)</f>
        <v>45865</v>
      </c>
      <c r="N3575" s="33">
        <f>IFERROR(__xludf.DUMMYFUNCTION("""COMPUTED_VALUE"""),45957.0)</f>
        <v>45957</v>
      </c>
      <c r="O3575" s="20"/>
      <c r="P3575" s="32" t="str">
        <f>IFERROR(__xludf.DUMMYFUNCTION("""COMPUTED_VALUE"""),"可")</f>
        <v>可</v>
      </c>
      <c r="Q3575" s="30"/>
      <c r="R3575" s="22" t="str">
        <f>IFERROR(__xludf.DUMMYFUNCTION("""COMPUTED_VALUE"""),"コミットOK")</f>
        <v>コミットOK</v>
      </c>
      <c r="S3575" s="22" t="str">
        <f>IFERROR(__xludf.DUMMYFUNCTION("""COMPUTED_VALUE"""),"20250703_ライドオン_年の離れた元カレの弟を飼っています")</f>
        <v>20250703_ライドオン_年の離れた元カレの弟を飼っています</v>
      </c>
      <c r="T3575" s="22" t="str">
        <f>IFERROR(__xludf.DUMMYFUNCTION("""COMPUTED_VALUE"""),"格納済み")</f>
        <v>格納済み</v>
      </c>
      <c r="U3575" s="9" t="str">
        <f>IFERROR(__xludf.DUMMYFUNCTION("""COMPUTED_VALUE"""),"Ⓒ柴咲さや/AMUSE CREATIVE STUDIO")</f>
        <v>Ⓒ柴咲さや/AMUSE CREATIVE STUDIO</v>
      </c>
      <c r="V3575" s="8"/>
      <c r="W3575" s="8"/>
      <c r="X3575" s="8" t="str">
        <f>IFERROR(__xludf.DUMMYFUNCTION("""COMPUTED_VALUE"""),"有")</f>
        <v>有</v>
      </c>
      <c r="Y3575" s="8" t="str">
        <f>IFERROR(__xludf.DUMMYFUNCTION("""COMPUTED_VALUE"""),"2025/8/9まで1~2巻無料")</f>
        <v>2025/8/9まで1~2巻無料</v>
      </c>
      <c r="Z3575" s="7"/>
      <c r="AA3575" s="7"/>
      <c r="AB3575" s="7"/>
    </row>
    <row r="3576" ht="15.75" customHeight="1">
      <c r="A3576" s="26">
        <f>IFERROR(__xludf.DUMMYFUNCTION("""COMPUTED_VALUE"""),5834.0)</f>
        <v>5834</v>
      </c>
      <c r="B3576" s="22" t="str">
        <f>IFERROR(__xludf.DUMMYFUNCTION("""COMPUTED_VALUE"""),"確定")</f>
        <v>確定</v>
      </c>
      <c r="C3576" s="28">
        <f>IFERROR(__xludf.DUMMYFUNCTION("""COMPUTED_VALUE"""),45819.0)</f>
        <v>45819</v>
      </c>
      <c r="D3576" s="28">
        <f>IFERROR(__xludf.DUMMYFUNCTION("""COMPUTED_VALUE"""),45846.0)</f>
        <v>45846</v>
      </c>
      <c r="E3576" s="26">
        <f>IFERROR(__xludf.DUMMYFUNCTION("""COMPUTED_VALUE"""),331128.0)</f>
        <v>331128</v>
      </c>
      <c r="F3576" s="22" t="str">
        <f>IFERROR(__xludf.DUMMYFUNCTION("""COMPUTED_VALUE"""),"獣王子の偽恋花嫁(話売り)")</f>
        <v>獣王子の偽恋花嫁(話売り)</v>
      </c>
      <c r="G3576" s="20" t="str">
        <f>IFERROR(__xludf.DUMMYFUNCTION("""COMPUTED_VALUE"""),"1～3")</f>
        <v>1～3</v>
      </c>
      <c r="H3576" s="22" t="str">
        <f>IFERROR(__xludf.DUMMYFUNCTION("""COMPUTED_VALUE"""),"稲乃芽子")</f>
        <v>稲乃芽子</v>
      </c>
      <c r="I3576" s="22" t="str">
        <f>IFERROR(__xludf.DUMMYFUNCTION("""COMPUTED_VALUE"""),"少女")</f>
        <v>少女</v>
      </c>
      <c r="J3576" s="22"/>
      <c r="K3576" s="22"/>
      <c r="L3576" s="22" t="str">
        <f>IFERROR(__xludf.DUMMYFUNCTION("""COMPUTED_VALUE"""),"秋田書店")</f>
        <v>秋田書店</v>
      </c>
      <c r="M3576" s="33">
        <f>IFERROR(__xludf.DUMMYFUNCTION("""COMPUTED_VALUE"""),45879.0)</f>
        <v>45879</v>
      </c>
      <c r="N3576" s="33">
        <f>IFERROR(__xludf.DUMMYFUNCTION("""COMPUTED_VALUE"""),45970.0)</f>
        <v>45970</v>
      </c>
      <c r="O3576" s="20"/>
      <c r="P3576" s="32" t="str">
        <f>IFERROR(__xludf.DUMMYFUNCTION("""COMPUTED_VALUE"""),"否")</f>
        <v>否</v>
      </c>
      <c r="Q3576" s="30" t="str">
        <f>IFERROR(__xludf.DUMMYFUNCTION("""COMPUTED_VALUE"""),"▼稲乃芽子先生のX&lt;BR&gt;https://x.com/mame_hoshiko/status/1920042555837706674&lt;BR&gt;・素材について&lt;BR&gt;プリンセスの雑誌より利用ください&lt;BR&gt;⇒２巻分の素材で制作お願いします")</f>
        <v>▼稲乃芽子先生のX&lt;BR&gt;https://x.com/mame_hoshiko/status/1920042555837706674&lt;BR&gt;・素材について&lt;BR&gt;プリンセスの雑誌より利用ください&lt;BR&gt;⇒２巻分の素材で制作お願いします</v>
      </c>
      <c r="R3576" s="22"/>
      <c r="S3576" s="22" t="str">
        <f>IFERROR(__xludf.DUMMYFUNCTION("""COMPUTED_VALUE"""),"20250708_秋田書店_獣王子の偽恋花嫁")</f>
        <v>20250708_秋田書店_獣王子の偽恋花嫁</v>
      </c>
      <c r="T3576" s="22" t="str">
        <f>IFERROR(__xludf.DUMMYFUNCTION("""COMPUTED_VALUE"""),"格納済み")</f>
        <v>格納済み</v>
      </c>
      <c r="U3576" s="9" t="str">
        <f>IFERROR(__xludf.DUMMYFUNCTION("""COMPUTED_VALUE"""),"Ⓒ稲乃芽子（秋田書店）")</f>
        <v>Ⓒ稲乃芽子（秋田書店）</v>
      </c>
      <c r="V3576" s="8"/>
      <c r="W3576" s="8"/>
      <c r="X3576" s="8" t="str">
        <f>IFERROR(__xludf.DUMMYFUNCTION("""COMPUTED_VALUE"""),"有")</f>
        <v>有</v>
      </c>
      <c r="Y3576" s="8" t="str">
        <f>IFERROR(__xludf.DUMMYFUNCTION("""COMPUTED_VALUE"""),"2025/11/9まで1巻無料")</f>
        <v>2025/11/9まで1巻無料</v>
      </c>
      <c r="Z3576" s="7"/>
      <c r="AA3576" s="7"/>
      <c r="AB3576" s="7"/>
    </row>
    <row r="3577" ht="15.75" customHeight="1">
      <c r="A3577" s="26">
        <f>IFERROR(__xludf.DUMMYFUNCTION("""COMPUTED_VALUE"""),5854.0)</f>
        <v>5854</v>
      </c>
      <c r="B3577" s="22" t="str">
        <f>IFERROR(__xludf.DUMMYFUNCTION("""COMPUTED_VALUE"""),"確定")</f>
        <v>確定</v>
      </c>
      <c r="C3577" s="28">
        <f>IFERROR(__xludf.DUMMYFUNCTION("""COMPUTED_VALUE"""),45824.0)</f>
        <v>45824</v>
      </c>
      <c r="D3577" s="28">
        <f>IFERROR(__xludf.DUMMYFUNCTION("""COMPUTED_VALUE"""),45847.0)</f>
        <v>45847</v>
      </c>
      <c r="E3577" s="26">
        <f>IFERROR(__xludf.DUMMYFUNCTION("""COMPUTED_VALUE"""),333540.0)</f>
        <v>333540</v>
      </c>
      <c r="F3577" s="22" t="str">
        <f>IFERROR(__xludf.DUMMYFUNCTION("""COMPUTED_VALUE"""),"乱歩十五歳、初恋は“君”でした【タテヨミ】")</f>
        <v>乱歩十五歳、初恋は“君”でした【タテヨミ】</v>
      </c>
      <c r="G3577" s="20" t="str">
        <f>IFERROR(__xludf.DUMMYFUNCTION("""COMPUTED_VALUE"""),"1～15")</f>
        <v>1～15</v>
      </c>
      <c r="H3577" s="22" t="str">
        <f>IFERROR(__xludf.DUMMYFUNCTION("""COMPUTED_VALUE"""),"串田壮史|ANUa|GEEK WONDERS")</f>
        <v>串田壮史|ANUa|GEEK WONDERS</v>
      </c>
      <c r="I3577" s="22" t="str">
        <f>IFERROR(__xludf.DUMMYFUNCTION("""COMPUTED_VALUE"""),"女性")</f>
        <v>女性</v>
      </c>
      <c r="J3577" s="22"/>
      <c r="K3577" s="22"/>
      <c r="L3577" s="22" t="str">
        <f>IFERROR(__xludf.DUMMYFUNCTION("""COMPUTED_VALUE"""),"weavin")</f>
        <v>weavin</v>
      </c>
      <c r="M3577" s="33">
        <f>IFERROR(__xludf.DUMMYFUNCTION("""COMPUTED_VALUE"""),45884.0)</f>
        <v>45884</v>
      </c>
      <c r="N3577" s="33">
        <f>IFERROR(__xludf.DUMMYFUNCTION("""COMPUTED_VALUE"""),45981.0)</f>
        <v>45981</v>
      </c>
      <c r="O3577" s="20"/>
      <c r="P3577" s="32" t="str">
        <f>IFERROR(__xludf.DUMMYFUNCTION("""COMPUTED_VALUE"""),"否")</f>
        <v>否</v>
      </c>
      <c r="Q3577" s="30" t="str">
        <f>IFERROR(__xludf.DUMMYFUNCTION("""COMPUTED_VALUE"""),"・配信時のキャンペーンでは1～8話無料まで可能です（8話間までの希望範囲でキャンペーンいただけます）")</f>
        <v>・配信時のキャンペーンでは1～8話無料まで可能です（8話間までの希望範囲でキャンペーンいただけます）</v>
      </c>
      <c r="R3577" s="22" t="str">
        <f>IFERROR(__xludf.DUMMYFUNCTION("""COMPUTED_VALUE"""),"コミットOK")</f>
        <v>コミットOK</v>
      </c>
      <c r="S3577" s="22" t="str">
        <f>IFERROR(__xludf.DUMMYFUNCTION("""COMPUTED_VALUE"""),"20250708_weavin_乱歩十五歳、初恋は_君_でした")</f>
        <v>20250708_weavin_乱歩十五歳、初恋は_君_でした</v>
      </c>
      <c r="T3577" s="22" t="str">
        <f>IFERROR(__xludf.DUMMYFUNCTION("""COMPUTED_VALUE"""),"格納済み")</f>
        <v>格納済み</v>
      </c>
      <c r="U3577" s="9" t="str">
        <f>IFERROR(__xludf.DUMMYFUNCTION("""COMPUTED_VALUE"""),"Ⓒ串田壮史／ANUa／GEEK WONDERS／weavin")</f>
        <v>Ⓒ串田壮史／ANUa／GEEK WONDERS／weavin</v>
      </c>
      <c r="V3577" s="8"/>
      <c r="W3577" s="8"/>
      <c r="X3577" s="8" t="str">
        <f>IFERROR(__xludf.DUMMYFUNCTION("""COMPUTED_VALUE"""),"有")</f>
        <v>有</v>
      </c>
      <c r="Y3577" s="8" t="str">
        <f>IFERROR(__xludf.DUMMYFUNCTION("""COMPUTED_VALUE"""),"1~4巻無料")</f>
        <v>1~4巻無料</v>
      </c>
      <c r="Z3577" s="7"/>
      <c r="AA3577" s="7"/>
      <c r="AB3577" s="7"/>
    </row>
    <row r="3578" ht="15.75" customHeight="1">
      <c r="A3578" s="26">
        <f>IFERROR(__xludf.DUMMYFUNCTION("""COMPUTED_VALUE"""),5862.0)</f>
        <v>5862</v>
      </c>
      <c r="B3578" s="22" t="str">
        <f>IFERROR(__xludf.DUMMYFUNCTION("""COMPUTED_VALUE"""),"確定")</f>
        <v>確定</v>
      </c>
      <c r="C3578" s="28">
        <f>IFERROR(__xludf.DUMMYFUNCTION("""COMPUTED_VALUE"""),45824.0)</f>
        <v>45824</v>
      </c>
      <c r="D3578" s="28">
        <f>IFERROR(__xludf.DUMMYFUNCTION("""COMPUTED_VALUE"""),45846.0)</f>
        <v>45846</v>
      </c>
      <c r="E3578" s="26">
        <f>IFERROR(__xludf.DUMMYFUNCTION("""COMPUTED_VALUE"""),331734.0)</f>
        <v>331734</v>
      </c>
      <c r="F3578" s="22" t="str">
        <f>IFERROR(__xludf.DUMMYFUNCTION("""COMPUTED_VALUE"""),"婚約破棄は至高の選択です！【タテヨミ】")</f>
        <v>婚約破棄は至高の選択です！【タテヨミ】</v>
      </c>
      <c r="G3578" s="20" t="str">
        <f>IFERROR(__xludf.DUMMYFUNCTION("""COMPUTED_VALUE"""),"1～15")</f>
        <v>1～15</v>
      </c>
      <c r="H3578" s="22" t="str">
        <f>IFERROR(__xludf.DUMMYFUNCTION("""COMPUTED_VALUE"""),"OTCL／まひるまや／桜木／GEEK WONDERS")</f>
        <v>OTCL／まひるまや／桜木／GEEK WONDERS</v>
      </c>
      <c r="I3578" s="22" t="str">
        <f>IFERROR(__xludf.DUMMYFUNCTION("""COMPUTED_VALUE"""),"少女")</f>
        <v>少女</v>
      </c>
      <c r="J3578" s="22"/>
      <c r="K3578" s="22"/>
      <c r="L3578" s="22" t="str">
        <f>IFERROR(__xludf.DUMMYFUNCTION("""COMPUTED_VALUE"""),"weavin")</f>
        <v>weavin</v>
      </c>
      <c r="M3578" s="33">
        <f>IFERROR(__xludf.DUMMYFUNCTION("""COMPUTED_VALUE"""),45884.0)</f>
        <v>45884</v>
      </c>
      <c r="N3578" s="33">
        <f>IFERROR(__xludf.DUMMYFUNCTION("""COMPUTED_VALUE"""),45981.0)</f>
        <v>45981</v>
      </c>
      <c r="O3578" s="20"/>
      <c r="P3578" s="32" t="str">
        <f>IFERROR(__xludf.DUMMYFUNCTION("""COMPUTED_VALUE"""),"否")</f>
        <v>否</v>
      </c>
      <c r="Q3578" s="30" t="str">
        <f>IFERROR(__xludf.DUMMYFUNCTION("""COMPUTED_VALUE"""),"・シーモア独占先行です&lt;BR&gt;・配信から1ヶ月、最大8話無料可能です&lt;BR&gt;")</f>
        <v>・シーモア独占先行です&lt;BR&gt;・配信から1ヶ月、最大8話無料可能です&lt;BR&gt;</v>
      </c>
      <c r="R3578" s="22" t="str">
        <f>IFERROR(__xludf.DUMMYFUNCTION("""COMPUTED_VALUE"""),"コミットOK")</f>
        <v>コミットOK</v>
      </c>
      <c r="S3578" s="22" t="str">
        <f>IFERROR(__xludf.DUMMYFUNCTION("""COMPUTED_VALUE"""),"20250711_weavin_婚約破棄は至高の選択です")</f>
        <v>20250711_weavin_婚約破棄は至高の選択です</v>
      </c>
      <c r="T3578" s="22" t="str">
        <f>IFERROR(__xludf.DUMMYFUNCTION("""COMPUTED_VALUE"""),"格納済み")</f>
        <v>格納済み</v>
      </c>
      <c r="U3578" s="9" t="str">
        <f>IFERROR(__xludf.DUMMYFUNCTION("""COMPUTED_VALUE"""),"ⒸOTCL／まひるまや／桜木／WONDER TOON LAB／weavin")</f>
        <v>ⒸOTCL／まひるまや／桜木／WONDER TOON LAB／weavin</v>
      </c>
      <c r="V3578" s="8"/>
      <c r="W3578" s="8"/>
      <c r="X3578" s="8" t="str">
        <f>IFERROR(__xludf.DUMMYFUNCTION("""COMPUTED_VALUE"""),"有")</f>
        <v>有</v>
      </c>
      <c r="Y3578" s="8" t="str">
        <f>IFERROR(__xludf.DUMMYFUNCTION("""COMPUTED_VALUE"""),"1~4巻無料
2025/9/15まで5~6巻目無料")</f>
        <v>1~4巻無料
2025/9/15まで5~6巻目無料</v>
      </c>
      <c r="Z3578" s="7"/>
      <c r="AA3578" s="7"/>
      <c r="AB3578" s="7"/>
    </row>
    <row r="3579" ht="15.75" customHeight="1">
      <c r="A3579" s="26">
        <f>IFERROR(__xludf.DUMMYFUNCTION("""COMPUTED_VALUE"""),5875.0)</f>
        <v>5875</v>
      </c>
      <c r="B3579" s="22" t="str">
        <f>IFERROR(__xludf.DUMMYFUNCTION("""COMPUTED_VALUE"""),"確定")</f>
        <v>確定</v>
      </c>
      <c r="C3579" s="28">
        <f>IFERROR(__xludf.DUMMYFUNCTION("""COMPUTED_VALUE"""),45826.0)</f>
        <v>45826</v>
      </c>
      <c r="D3579" s="28">
        <f>IFERROR(__xludf.DUMMYFUNCTION("""COMPUTED_VALUE"""),45845.0)</f>
        <v>45845</v>
      </c>
      <c r="E3579" s="26">
        <f>IFERROR(__xludf.DUMMYFUNCTION("""COMPUTED_VALUE"""),330818.0)</f>
        <v>330818</v>
      </c>
      <c r="F3579" s="22" t="str">
        <f>IFERROR(__xludf.DUMMYFUNCTION("""COMPUTED_VALUE"""),"もういい加減にして...〜「理想の夫」は自己中クズ男〜")</f>
        <v>もういい加減にして...〜「理想の夫」は自己中クズ男〜</v>
      </c>
      <c r="G3579" s="20" t="str">
        <f>IFERROR(__xludf.DUMMYFUNCTION("""COMPUTED_VALUE"""),"1～4")</f>
        <v>1～4</v>
      </c>
      <c r="H3579" s="22" t="str">
        <f>IFERROR(__xludf.DUMMYFUNCTION("""COMPUTED_VALUE"""),"赤川遊子/椎葉きのこ")</f>
        <v>赤川遊子/椎葉きのこ</v>
      </c>
      <c r="I3579" s="22" t="str">
        <f>IFERROR(__xludf.DUMMYFUNCTION("""COMPUTED_VALUE"""),"女性")</f>
        <v>女性</v>
      </c>
      <c r="J3579" s="22"/>
      <c r="K3579" s="22"/>
      <c r="L3579" s="22" t="str">
        <f>IFERROR(__xludf.DUMMYFUNCTION("""COMPUTED_VALUE"""),"1LDK")</f>
        <v>1LDK</v>
      </c>
      <c r="M3579" s="33">
        <f>IFERROR(__xludf.DUMMYFUNCTION("""COMPUTED_VALUE"""),45884.0)</f>
        <v>45884</v>
      </c>
      <c r="N3579" s="33">
        <f>IFERROR(__xludf.DUMMYFUNCTION("""COMPUTED_VALUE"""),45976.0)</f>
        <v>45976</v>
      </c>
      <c r="O3579" s="20"/>
      <c r="P3579" s="32" t="str">
        <f>IFERROR(__xludf.DUMMYFUNCTION("""COMPUTED_VALUE"""),"可")</f>
        <v>可</v>
      </c>
      <c r="Q3579" s="30"/>
      <c r="R3579" s="22"/>
      <c r="S3579" s="22" t="str">
        <f>IFERROR(__xludf.DUMMYFUNCTION("""COMPUTED_VALUE"""),"20250704_1LDK_もういい加減にして...〜「理想の夫」は自己中クズ男〜")</f>
        <v>20250704_1LDK_もういい加減にして...〜「理想の夫」は自己中クズ男〜</v>
      </c>
      <c r="T3579" s="22" t="str">
        <f>IFERROR(__xludf.DUMMYFUNCTION("""COMPUTED_VALUE"""),"格納済み")</f>
        <v>格納済み</v>
      </c>
      <c r="U3579" s="9" t="str">
        <f>IFERROR(__xludf.DUMMYFUNCTION("""COMPUTED_VALUE"""),"Ⓒ赤川遊子/椎葉きのこ/Be yourself（FANY Studio/1LDK）")</f>
        <v>Ⓒ赤川遊子/椎葉きのこ/Be yourself（FANY Studio/1LDK）</v>
      </c>
      <c r="V3579" s="8"/>
      <c r="W3579" s="8"/>
      <c r="X3579" s="8" t="str">
        <f>IFERROR(__xludf.DUMMYFUNCTION("""COMPUTED_VALUE"""),"有")</f>
        <v>有</v>
      </c>
      <c r="Y3579" s="8" t="str">
        <f>IFERROR(__xludf.DUMMYFUNCTION("""COMPUTED_VALUE"""),"2025/11/15まで1巻無料")</f>
        <v>2025/11/15まで1巻無料</v>
      </c>
      <c r="Z3579" s="7"/>
      <c r="AA3579" s="7"/>
      <c r="AB3579" s="7"/>
    </row>
    <row r="3580" ht="15.75" customHeight="1">
      <c r="A3580" s="26">
        <f>IFERROR(__xludf.DUMMYFUNCTION("""COMPUTED_VALUE"""),5899.0)</f>
        <v>5899</v>
      </c>
      <c r="B3580" s="22" t="str">
        <f>IFERROR(__xludf.DUMMYFUNCTION("""COMPUTED_VALUE"""),"確定")</f>
        <v>確定</v>
      </c>
      <c r="C3580" s="28">
        <f>IFERROR(__xludf.DUMMYFUNCTION("""COMPUTED_VALUE"""),45831.0)</f>
        <v>45831</v>
      </c>
      <c r="D3580" s="28">
        <f>IFERROR(__xludf.DUMMYFUNCTION("""COMPUTED_VALUE"""),45845.0)</f>
        <v>45845</v>
      </c>
      <c r="E3580" s="26">
        <f>IFERROR(__xludf.DUMMYFUNCTION("""COMPUTED_VALUE"""),329523.0)</f>
        <v>329523</v>
      </c>
      <c r="F3580" s="22" t="str">
        <f>IFERROR(__xludf.DUMMYFUNCTION("""COMPUTED_VALUE"""),"冬王の花嫁")</f>
        <v>冬王の花嫁</v>
      </c>
      <c r="G3580" s="20" t="str">
        <f>IFERROR(__xludf.DUMMYFUNCTION("""COMPUTED_VALUE"""),"1～7")</f>
        <v>1～7</v>
      </c>
      <c r="H3580" s="22" t="str">
        <f>IFERROR(__xludf.DUMMYFUNCTION("""COMPUTED_VALUE"""),"冴葉 / 星乃みなみ")</f>
        <v>冴葉 / 星乃みなみ</v>
      </c>
      <c r="I3580" s="22" t="str">
        <f>IFERROR(__xludf.DUMMYFUNCTION("""COMPUTED_VALUE"""),"女性")</f>
        <v>女性</v>
      </c>
      <c r="J3580" s="22"/>
      <c r="K3580" s="22"/>
      <c r="L3580" s="22" t="str">
        <f>IFERROR(__xludf.DUMMYFUNCTION("""COMPUTED_VALUE"""),"BookLive Link")</f>
        <v>BookLive Link</v>
      </c>
      <c r="M3580" s="33">
        <f>IFERROR(__xludf.DUMMYFUNCTION("""COMPUTED_VALUE"""),45854.0)</f>
        <v>45854</v>
      </c>
      <c r="N3580" s="33">
        <f>IFERROR(__xludf.DUMMYFUNCTION("""COMPUTED_VALUE"""),45916.0)</f>
        <v>45916</v>
      </c>
      <c r="O3580" s="20"/>
      <c r="P3580" s="32" t="str">
        <f>IFERROR(__xludf.DUMMYFUNCTION("""COMPUTED_VALUE"""),"可")</f>
        <v>可</v>
      </c>
      <c r="Q3580" s="30" t="str">
        <f>IFERROR(__xludf.DUMMYFUNCTION("""COMPUTED_VALUE"""),"BookLiveからの2次先行です")</f>
        <v>BookLiveからの2次先行です</v>
      </c>
      <c r="R3580" s="22" t="str">
        <f>IFERROR(__xludf.DUMMYFUNCTION("""COMPUTED_VALUE"""),"コミットOK")</f>
        <v>コミットOK</v>
      </c>
      <c r="S3580" s="22" t="str">
        <f>IFERROR(__xludf.DUMMYFUNCTION("""COMPUTED_VALUE"""),"20250623_BookLive_冬王の花嫁")</f>
        <v>20250623_BookLive_冬王の花嫁</v>
      </c>
      <c r="T3580" s="22" t="str">
        <f>IFERROR(__xludf.DUMMYFUNCTION("""COMPUTED_VALUE"""),"格納済み")</f>
        <v>格納済み</v>
      </c>
      <c r="U3580" s="9" t="str">
        <f>IFERROR(__xludf.DUMMYFUNCTION("""COMPUTED_VALUE"""),"Ⓒ冴葉/星乃みなみ/デジタル職人")</f>
        <v>Ⓒ冴葉/星乃みなみ/デジタル職人</v>
      </c>
      <c r="V3580" s="8"/>
      <c r="W3580" s="8"/>
      <c r="X3580" s="8" t="str">
        <f>IFERROR(__xludf.DUMMYFUNCTION("""COMPUTED_VALUE"""),"有")</f>
        <v>有</v>
      </c>
      <c r="Y3580" s="8" t="str">
        <f>IFERROR(__xludf.DUMMYFUNCTION("""COMPUTED_VALUE"""),"P11まで")</f>
        <v>P11まで</v>
      </c>
      <c r="Z3580" s="7"/>
      <c r="AA3580" s="7"/>
      <c r="AB3580" s="7"/>
    </row>
    <row r="3581" ht="15.75" customHeight="1">
      <c r="A3581" s="26">
        <f>IFERROR(__xludf.DUMMYFUNCTION("""COMPUTED_VALUE"""),5909.0)</f>
        <v>5909</v>
      </c>
      <c r="B3581" s="22" t="str">
        <f>IFERROR(__xludf.DUMMYFUNCTION("""COMPUTED_VALUE"""),"確定")</f>
        <v>確定</v>
      </c>
      <c r="C3581" s="28">
        <f>IFERROR(__xludf.DUMMYFUNCTION("""COMPUTED_VALUE"""),45831.0)</f>
        <v>45831</v>
      </c>
      <c r="D3581" s="28">
        <f>IFERROR(__xludf.DUMMYFUNCTION("""COMPUTED_VALUE"""),45866.0)</f>
        <v>45866</v>
      </c>
      <c r="E3581" s="26">
        <f>IFERROR(__xludf.DUMMYFUNCTION("""COMPUTED_VALUE"""),331173.0)</f>
        <v>331173</v>
      </c>
      <c r="F3581" s="22" t="str">
        <f>IFERROR(__xludf.DUMMYFUNCTION("""COMPUTED_VALUE"""),"一生ひとりで生きていくと決めたのに血のつながらない兄が同居してきて困ってます【マイクロ】")</f>
        <v>一生ひとりで生きていくと決めたのに血のつながらない兄が同居してきて困ってます【マイクロ】</v>
      </c>
      <c r="G3581" s="20" t="str">
        <f>IFERROR(__xludf.DUMMYFUNCTION("""COMPUTED_VALUE"""),"1～3")</f>
        <v>1～3</v>
      </c>
      <c r="H3581" s="22" t="str">
        <f>IFERROR(__xludf.DUMMYFUNCTION("""COMPUTED_VALUE"""),"あらいきよこ")</f>
        <v>あらいきよこ</v>
      </c>
      <c r="I3581" s="22" t="str">
        <f>IFERROR(__xludf.DUMMYFUNCTION("""COMPUTED_VALUE"""),"女性")</f>
        <v>女性</v>
      </c>
      <c r="J3581" s="22"/>
      <c r="K3581" s="22" t="str">
        <f>IFERROR(__xludf.DUMMYFUNCTION("""COMPUTED_VALUE"""),"プチコミック ")</f>
        <v>プチコミック </v>
      </c>
      <c r="L3581" s="22" t="str">
        <f>IFERROR(__xludf.DUMMYFUNCTION("""COMPUTED_VALUE"""),"小学館")</f>
        <v>小学館</v>
      </c>
      <c r="M3581" s="33">
        <f>IFERROR(__xludf.DUMMYFUNCTION("""COMPUTED_VALUE"""),45874.0)</f>
        <v>45874</v>
      </c>
      <c r="N3581" s="33">
        <f>IFERROR(__xludf.DUMMYFUNCTION("""COMPUTED_VALUE"""),45934.0)</f>
        <v>45934</v>
      </c>
      <c r="O3581" s="20"/>
      <c r="P3581" s="32" t="str">
        <f>IFERROR(__xludf.DUMMYFUNCTION("""COMPUTED_VALUE"""),"否")</f>
        <v>否</v>
      </c>
      <c r="Q3581" s="30" t="str">
        <f>IFERROR(__xludf.DUMMYFUNCTION("""COMPUTED_VALUE"""),"結婚式前日に相手が結婚詐欺で逮捕されてしまうほど&lt;BR&gt;男を見る目がない不幸体質なヒロインが、&lt;BR&gt;一人で生きていくと覚悟した矢先に、&lt;BR&gt;血の繋がらないハイスペックな兄との同居が決まり…&lt;BR&gt;という作品となります。")</f>
        <v>結婚式前日に相手が結婚詐欺で逮捕されてしまうほど&lt;BR&gt;男を見る目がない不幸体質なヒロインが、&lt;BR&gt;一人で生きていくと覚悟した矢先に、&lt;BR&gt;血の繋がらないハイスペックな兄との同居が決まり…&lt;BR&gt;という作品となります。</v>
      </c>
      <c r="R3581" s="22" t="str">
        <f>IFERROR(__xludf.DUMMYFUNCTION("""COMPUTED_VALUE"""),"コミットNG")</f>
        <v>コミットNG</v>
      </c>
      <c r="S3581" s="22" t="str">
        <f>IFERROR(__xludf.DUMMYFUNCTION("""COMPUTED_VALUE"""),"20250708_小学館_一生ひとりで生きていくと決めたのに血のつながらない兄が同居してきて困ってます")</f>
        <v>20250708_小学館_一生ひとりで生きていくと決めたのに血のつながらない兄が同居してきて困ってます</v>
      </c>
      <c r="T3581" s="22" t="str">
        <f>IFERROR(__xludf.DUMMYFUNCTION("""COMPUTED_VALUE"""),"格納済み")</f>
        <v>格納済み</v>
      </c>
      <c r="U3581" s="9" t="str">
        <f>IFERROR(__xludf.DUMMYFUNCTION("""COMPUTED_VALUE"""),"Ⓒあらいきよこ / 小学館")</f>
        <v>Ⓒあらいきよこ / 小学館</v>
      </c>
      <c r="V3581" s="8"/>
      <c r="W3581" s="8"/>
      <c r="X3581" s="8" t="str">
        <f>IFERROR(__xludf.DUMMYFUNCTION("""COMPUTED_VALUE"""),"有")</f>
        <v>有</v>
      </c>
      <c r="Y3581" s="8" t="str">
        <f>IFERROR(__xludf.DUMMYFUNCTION("""COMPUTED_VALUE"""),"P14まで")</f>
        <v>P14まで</v>
      </c>
      <c r="Z3581" s="7"/>
      <c r="AA3581" s="7"/>
      <c r="AB3581" s="7"/>
    </row>
    <row r="3582" ht="15.75" customHeight="1">
      <c r="A3582" s="26">
        <f>IFERROR(__xludf.DUMMYFUNCTION("""COMPUTED_VALUE"""),5920.0)</f>
        <v>5920</v>
      </c>
      <c r="B3582" s="22" t="str">
        <f>IFERROR(__xludf.DUMMYFUNCTION("""COMPUTED_VALUE"""),"確定")</f>
        <v>確定</v>
      </c>
      <c r="C3582" s="28">
        <f>IFERROR(__xludf.DUMMYFUNCTION("""COMPUTED_VALUE"""),45832.0)</f>
        <v>45832</v>
      </c>
      <c r="D3582" s="28">
        <f>IFERROR(__xludf.DUMMYFUNCTION("""COMPUTED_VALUE"""),45845.0)</f>
        <v>45845</v>
      </c>
      <c r="E3582" s="26">
        <f>IFERROR(__xludf.DUMMYFUNCTION("""COMPUTED_VALUE"""),332056.0)</f>
        <v>332056</v>
      </c>
      <c r="F3582" s="22" t="str">
        <f>IFERROR(__xludf.DUMMYFUNCTION("""COMPUTED_VALUE"""),"貴方ともう一度愛し合いたいの 猫かぶり令嬢は今世も一途わんこな彼にプロポーズする【単話売】")</f>
        <v>貴方ともう一度愛し合いたいの 猫かぶり令嬢は今世も一途わんこな彼にプロポーズする【単話売】</v>
      </c>
      <c r="G3582" s="20" t="str">
        <f>IFERROR(__xludf.DUMMYFUNCTION("""COMPUTED_VALUE"""),"1～4")</f>
        <v>1～4</v>
      </c>
      <c r="H3582" s="22" t="str">
        <f>IFERROR(__xludf.DUMMYFUNCTION("""COMPUTED_VALUE"""),"玄野さわ")</f>
        <v>玄野さわ</v>
      </c>
      <c r="I3582" s="22" t="str">
        <f>IFERROR(__xludf.DUMMYFUNCTION("""COMPUTED_VALUE"""),"TL")</f>
        <v>TL</v>
      </c>
      <c r="J3582" s="22"/>
      <c r="K3582" s="22" t="str">
        <f>IFERROR(__xludf.DUMMYFUNCTION("""COMPUTED_VALUE"""),"Young Love Comic aya")</f>
        <v>Young Love Comic aya</v>
      </c>
      <c r="L3582" s="22" t="str">
        <f>IFERROR(__xludf.DUMMYFUNCTION("""COMPUTED_VALUE"""),"宙出版")</f>
        <v>宙出版</v>
      </c>
      <c r="M3582" s="33">
        <f>IFERROR(__xludf.DUMMYFUNCTION("""COMPUTED_VALUE"""),45890.0)</f>
        <v>45890</v>
      </c>
      <c r="N3582" s="33">
        <f>IFERROR(__xludf.DUMMYFUNCTION("""COMPUTED_VALUE"""),45968.0)</f>
        <v>45968</v>
      </c>
      <c r="O3582" s="20"/>
      <c r="P3582" s="32" t="str">
        <f>IFERROR(__xludf.DUMMYFUNCTION("""COMPUTED_VALUE"""),"可")</f>
        <v>可</v>
      </c>
      <c r="Q3582" s="30" t="str">
        <f>IFERROR(__xludf.DUMMYFUNCTION("""COMPUTED_VALUE"""),"それぞれ1話を2つに分割し、計4話分にて初回配信します。")</f>
        <v>それぞれ1話を2つに分割し、計4話分にて初回配信します。</v>
      </c>
      <c r="R3582" s="22" t="str">
        <f>IFERROR(__xludf.DUMMYFUNCTION("""COMPUTED_VALUE"""),"コミットOK")</f>
        <v>コミットOK</v>
      </c>
      <c r="S3582" s="22" t="str">
        <f>IFERROR(__xludf.DUMMYFUNCTION("""COMPUTED_VALUE"""),"20250707_宙出版_貴方ともう一度愛し合いたいの")</f>
        <v>20250707_宙出版_貴方ともう一度愛し合いたいの</v>
      </c>
      <c r="T3582" s="22" t="str">
        <f>IFERROR(__xludf.DUMMYFUNCTION("""COMPUTED_VALUE"""),"格納済み")</f>
        <v>格納済み</v>
      </c>
      <c r="U3582" s="9" t="str">
        <f>IFERROR(__xludf.DUMMYFUNCTION("""COMPUTED_VALUE"""),"Ⓒ玄野さわ/宙出版")</f>
        <v>Ⓒ玄野さわ/宙出版</v>
      </c>
      <c r="V3582" s="8"/>
      <c r="W3582" s="8"/>
      <c r="X3582" s="8" t="str">
        <f>IFERROR(__xludf.DUMMYFUNCTION("""COMPUTED_VALUE"""),"有")</f>
        <v>有</v>
      </c>
      <c r="Y3582" s="8" t="str">
        <f>IFERROR(__xludf.DUMMYFUNCTION("""COMPUTED_VALUE"""),"2025/9/3まで1巻無料")</f>
        <v>2025/9/3まで1巻無料</v>
      </c>
      <c r="Z3582" s="7"/>
      <c r="AA3582" s="7"/>
      <c r="AB3582" s="7"/>
    </row>
    <row r="3583" ht="15.75" customHeight="1">
      <c r="A3583" s="26">
        <f>IFERROR(__xludf.DUMMYFUNCTION("""COMPUTED_VALUE"""),5928.0)</f>
        <v>5928</v>
      </c>
      <c r="B3583" s="22" t="str">
        <f>IFERROR(__xludf.DUMMYFUNCTION("""COMPUTED_VALUE"""),"確定")</f>
        <v>確定</v>
      </c>
      <c r="C3583" s="28">
        <f>IFERROR(__xludf.DUMMYFUNCTION("""COMPUTED_VALUE"""),45833.0)</f>
        <v>45833</v>
      </c>
      <c r="D3583" s="28">
        <f>IFERROR(__xludf.DUMMYFUNCTION("""COMPUTED_VALUE"""),45845.0)</f>
        <v>45845</v>
      </c>
      <c r="E3583" s="26">
        <f>IFERROR(__xludf.DUMMYFUNCTION("""COMPUTED_VALUE"""),330509.0)</f>
        <v>330509</v>
      </c>
      <c r="F3583" s="22" t="str">
        <f>IFERROR(__xludf.DUMMYFUNCTION("""COMPUTED_VALUE"""),"【ラブコフレ】ほどいて、ひらいて、甘やかして ～幼馴染は溺愛執着系で偽装（？）結婚相手です～")</f>
        <v>【ラブコフレ】ほどいて、ひらいて、甘やかして ～幼馴染は溺愛執着系で偽装（？）結婚相手です～</v>
      </c>
      <c r="G3583" s="20" t="str">
        <f>IFERROR(__xludf.DUMMYFUNCTION("""COMPUTED_VALUE"""),"1～3")</f>
        <v>1～3</v>
      </c>
      <c r="H3583" s="22" t="str">
        <f>IFERROR(__xludf.DUMMYFUNCTION("""COMPUTED_VALUE"""),"旭 晨薫")</f>
        <v>旭 晨薫</v>
      </c>
      <c r="I3583" s="22" t="str">
        <f>IFERROR(__xludf.DUMMYFUNCTION("""COMPUTED_VALUE"""),"TL")</f>
        <v>TL</v>
      </c>
      <c r="J3583" s="22"/>
      <c r="K3583" s="22" t="str">
        <f>IFERROR(__xludf.DUMMYFUNCTION("""COMPUTED_VALUE"""),"ラブコフレ")</f>
        <v>ラブコフレ</v>
      </c>
      <c r="L3583" s="22" t="str">
        <f>IFERROR(__xludf.DUMMYFUNCTION("""COMPUTED_VALUE"""),"大誠社")</f>
        <v>大誠社</v>
      </c>
      <c r="M3583" s="33">
        <f>IFERROR(__xludf.DUMMYFUNCTION("""COMPUTED_VALUE"""),45876.0)</f>
        <v>45876</v>
      </c>
      <c r="N3583" s="33">
        <f>IFERROR(__xludf.DUMMYFUNCTION("""COMPUTED_VALUE"""),45991.0)</f>
        <v>45991</v>
      </c>
      <c r="O3583" s="20"/>
      <c r="P3583" s="32" t="str">
        <f>IFERROR(__xludf.DUMMYFUNCTION("""COMPUTED_VALUE"""),"可")</f>
        <v>可</v>
      </c>
      <c r="Q3583" s="30"/>
      <c r="R3583" s="22" t="str">
        <f>IFERROR(__xludf.DUMMYFUNCTION("""COMPUTED_VALUE"""),"コミットOK")</f>
        <v>コミットOK</v>
      </c>
      <c r="S3583" s="22" t="str">
        <f>IFERROR(__xludf.DUMMYFUNCTION("""COMPUTED_VALUE"""),"20250704_大誠社_【ラブコフレ】ほどいて、ひらいて、甘やかして ～幼馴染は溺愛執着系で偽装（？）結婚相手です～")</f>
        <v>20250704_大誠社_【ラブコフレ】ほどいて、ひらいて、甘やかして ～幼馴染は溺愛執着系で偽装（？）結婚相手です～</v>
      </c>
      <c r="T3583" s="22" t="str">
        <f>IFERROR(__xludf.DUMMYFUNCTION("""COMPUTED_VALUE"""),"格納済み")</f>
        <v>格納済み</v>
      </c>
      <c r="U3583" s="9" t="str">
        <f>IFERROR(__xludf.DUMMYFUNCTION("""COMPUTED_VALUE"""),"Ⓒ 旭 晨薫/大誠社")</f>
        <v>Ⓒ 旭 晨薫/大誠社</v>
      </c>
      <c r="V3583" s="8"/>
      <c r="W3583" s="8"/>
      <c r="X3583" s="8" t="str">
        <f>IFERROR(__xludf.DUMMYFUNCTION("""COMPUTED_VALUE"""),"有")</f>
        <v>有</v>
      </c>
      <c r="Y3583" s="8" t="str">
        <f>IFERROR(__xludf.DUMMYFUNCTION("""COMPUTED_VALUE"""),"2025/8/20まで1巻無料")</f>
        <v>2025/8/20まで1巻無料</v>
      </c>
      <c r="Z3583" s="7"/>
      <c r="AA3583" s="7"/>
      <c r="AB3583" s="7"/>
    </row>
    <row r="3584" ht="15.75" customHeight="1">
      <c r="A3584" s="26">
        <f>IFERROR(__xludf.DUMMYFUNCTION("""COMPUTED_VALUE"""),5929.0)</f>
        <v>5929</v>
      </c>
      <c r="B3584" s="22" t="str">
        <f>IFERROR(__xludf.DUMMYFUNCTION("""COMPUTED_VALUE"""),"確定")</f>
        <v>確定</v>
      </c>
      <c r="C3584" s="28">
        <f>IFERROR(__xludf.DUMMYFUNCTION("""COMPUTED_VALUE"""),45833.0)</f>
        <v>45833</v>
      </c>
      <c r="D3584" s="28">
        <f>IFERROR(__xludf.DUMMYFUNCTION("""COMPUTED_VALUE"""),45845.0)</f>
        <v>45845</v>
      </c>
      <c r="E3584" s="26">
        <f>IFERROR(__xludf.DUMMYFUNCTION("""COMPUTED_VALUE"""),332639.0)</f>
        <v>332639</v>
      </c>
      <c r="F3584" s="22" t="str">
        <f>IFERROR(__xludf.DUMMYFUNCTION("""COMPUTED_VALUE"""),"君がくれたスポットライト")</f>
        <v>君がくれたスポットライト</v>
      </c>
      <c r="G3584" s="20" t="str">
        <f>IFERROR(__xludf.DUMMYFUNCTION("""COMPUTED_VALUE"""),"1～3")</f>
        <v>1～3</v>
      </c>
      <c r="H3584" s="22" t="str">
        <f>IFERROR(__xludf.DUMMYFUNCTION("""COMPUTED_VALUE"""),"河飯じろう")</f>
        <v>河飯じろう</v>
      </c>
      <c r="I3584" s="22" t="str">
        <f>IFERROR(__xludf.DUMMYFUNCTION("""COMPUTED_VALUE"""),"BL")</f>
        <v>BL</v>
      </c>
      <c r="J3584" s="22"/>
      <c r="K3584" s="22" t="str">
        <f>IFERROR(__xludf.DUMMYFUNCTION("""COMPUTED_VALUE"""),"B.Pilz")</f>
        <v>B.Pilz</v>
      </c>
      <c r="L3584" s="22" t="str">
        <f>IFERROR(__xludf.DUMMYFUNCTION("""COMPUTED_VALUE"""),"ブライト出版")</f>
        <v>ブライト出版</v>
      </c>
      <c r="M3584" s="33">
        <f>IFERROR(__xludf.DUMMYFUNCTION("""COMPUTED_VALUE"""),45897.0)</f>
        <v>45897</v>
      </c>
      <c r="N3584" s="33">
        <f>IFERROR(__xludf.DUMMYFUNCTION("""COMPUTED_VALUE"""),46001.0)</f>
        <v>46001</v>
      </c>
      <c r="O3584" s="20"/>
      <c r="P3584" s="32" t="str">
        <f>IFERROR(__xludf.DUMMYFUNCTION("""COMPUTED_VALUE"""),"可")</f>
        <v>可</v>
      </c>
      <c r="Q3584" s="30"/>
      <c r="R3584" s="22" t="str">
        <f>IFERROR(__xludf.DUMMYFUNCTION("""COMPUTED_VALUE"""),"コミットOK")</f>
        <v>コミットOK</v>
      </c>
      <c r="S3584" s="22" t="str">
        <f>IFERROR(__xludf.DUMMYFUNCTION("""COMPUTED_VALUE"""),"20250704_ブライト出版_君がくれたスポットライト")</f>
        <v>20250704_ブライト出版_君がくれたスポットライト</v>
      </c>
      <c r="T3584" s="22" t="str">
        <f>IFERROR(__xludf.DUMMYFUNCTION("""COMPUTED_VALUE"""),"格納済み")</f>
        <v>格納済み</v>
      </c>
      <c r="U3584" s="9" t="str">
        <f>IFERROR(__xludf.DUMMYFUNCTION("""COMPUTED_VALUE"""),"Ⓒ河飯じろう/ブライト出版")</f>
        <v>Ⓒ河飯じろう/ブライト出版</v>
      </c>
      <c r="V3584" s="8"/>
      <c r="W3584" s="8"/>
      <c r="X3584" s="8" t="str">
        <f>IFERROR(__xludf.DUMMYFUNCTION("""COMPUTED_VALUE"""),"有")</f>
        <v>有</v>
      </c>
      <c r="Y3584" s="8" t="str">
        <f>IFERROR(__xludf.DUMMYFUNCTION("""COMPUTED_VALUE"""),"P10まで")</f>
        <v>P10まで</v>
      </c>
      <c r="Z3584" s="7"/>
      <c r="AA3584" s="7"/>
      <c r="AB3584" s="7"/>
    </row>
    <row r="3585" ht="15.75" customHeight="1">
      <c r="A3585" s="26">
        <f>IFERROR(__xludf.DUMMYFUNCTION("""COMPUTED_VALUE"""),5936.0)</f>
        <v>5936</v>
      </c>
      <c r="B3585" s="22" t="str">
        <f>IFERROR(__xludf.DUMMYFUNCTION("""COMPUTED_VALUE"""),"確定")</f>
        <v>確定</v>
      </c>
      <c r="C3585" s="28">
        <f>IFERROR(__xludf.DUMMYFUNCTION("""COMPUTED_VALUE"""),45835.0)</f>
        <v>45835</v>
      </c>
      <c r="D3585" s="28">
        <f>IFERROR(__xludf.DUMMYFUNCTION("""COMPUTED_VALUE"""),45845.0)</f>
        <v>45845</v>
      </c>
      <c r="E3585" s="26">
        <f>IFERROR(__xludf.DUMMYFUNCTION("""COMPUTED_VALUE"""),330267.0)</f>
        <v>330267</v>
      </c>
      <c r="F3585" s="22" t="str">
        <f>IFERROR(__xludf.DUMMYFUNCTION("""COMPUTED_VALUE"""),"＃年下紳士はとろけるほど甘い熱愛系～純なキミの初恋の続き～")</f>
        <v>＃年下紳士はとろけるほど甘い熱愛系～純なキミの初恋の続き～</v>
      </c>
      <c r="G3585" s="20" t="str">
        <f>IFERROR(__xludf.DUMMYFUNCTION("""COMPUTED_VALUE"""),"1～3")</f>
        <v>1～3</v>
      </c>
      <c r="H3585" s="22" t="str">
        <f>IFERROR(__xludf.DUMMYFUNCTION("""COMPUTED_VALUE"""),"莢乃りお,宇佐木")</f>
        <v>莢乃りお,宇佐木</v>
      </c>
      <c r="I3585" s="22" t="str">
        <f>IFERROR(__xludf.DUMMYFUNCTION("""COMPUTED_VALUE"""),"少女")</f>
        <v>少女</v>
      </c>
      <c r="J3585" s="22"/>
      <c r="K3585" s="22"/>
      <c r="L3585" s="22" t="str">
        <f>IFERROR(__xludf.DUMMYFUNCTION("""COMPUTED_VALUE"""),"夢中文庫")</f>
        <v>夢中文庫</v>
      </c>
      <c r="M3585" s="33">
        <f>IFERROR(__xludf.DUMMYFUNCTION("""COMPUTED_VALUE"""),45870.0)</f>
        <v>45870</v>
      </c>
      <c r="N3585" s="33">
        <f>IFERROR(__xludf.DUMMYFUNCTION("""COMPUTED_VALUE"""),45967.0)</f>
        <v>45967</v>
      </c>
      <c r="O3585" s="20"/>
      <c r="P3585" s="32" t="str">
        <f>IFERROR(__xludf.DUMMYFUNCTION("""COMPUTED_VALUE"""),"可")</f>
        <v>可</v>
      </c>
      <c r="Q3585" s="30"/>
      <c r="R3585" s="22" t="str">
        <f>IFERROR(__xludf.DUMMYFUNCTION("""COMPUTED_VALUE"""),"コミットOK")</f>
        <v>コミットOK</v>
      </c>
      <c r="S3585" s="22" t="str">
        <f>IFERROR(__xludf.DUMMYFUNCTION("""COMPUTED_VALUE"""),"20250703_夢中文庫_＃年下紳士はとろけるほど甘い熱愛系～純なキミの初恋の続き～")</f>
        <v>20250703_夢中文庫_＃年下紳士はとろけるほど甘い熱愛系～純なキミの初恋の続き～</v>
      </c>
      <c r="T3585" s="22" t="str">
        <f>IFERROR(__xludf.DUMMYFUNCTION("""COMPUTED_VALUE"""),"格納済み")</f>
        <v>格納済み</v>
      </c>
      <c r="U3585" s="9" t="str">
        <f>IFERROR(__xludf.DUMMYFUNCTION("""COMPUTED_VALUE"""),"Ⓒ莢乃りお/宇佐木/ゆめこみ")</f>
        <v>Ⓒ莢乃りお/宇佐木/ゆめこみ</v>
      </c>
      <c r="V3585" s="8"/>
      <c r="W3585" s="8"/>
      <c r="X3585" s="8" t="str">
        <f>IFERROR(__xludf.DUMMYFUNCTION("""COMPUTED_VALUE"""),"有")</f>
        <v>有</v>
      </c>
      <c r="Y3585" s="8" t="str">
        <f>IFERROR(__xludf.DUMMYFUNCTION("""COMPUTED_VALUE"""),"P7まで")</f>
        <v>P7まで</v>
      </c>
      <c r="Z3585" s="7"/>
      <c r="AA3585" s="7"/>
      <c r="AB3585" s="7"/>
    </row>
    <row r="3586" ht="15.75" customHeight="1">
      <c r="A3586" s="26">
        <f>IFERROR(__xludf.DUMMYFUNCTION("""COMPUTED_VALUE"""),5941.0)</f>
        <v>5941</v>
      </c>
      <c r="B3586" s="22" t="str">
        <f>IFERROR(__xludf.DUMMYFUNCTION("""COMPUTED_VALUE"""),"確定")</f>
        <v>確定</v>
      </c>
      <c r="C3586" s="28">
        <f>IFERROR(__xludf.DUMMYFUNCTION("""COMPUTED_VALUE"""),45838.0)</f>
        <v>45838</v>
      </c>
      <c r="D3586" s="28">
        <f>IFERROR(__xludf.DUMMYFUNCTION("""COMPUTED_VALUE"""),45845.0)</f>
        <v>45845</v>
      </c>
      <c r="E3586" s="26">
        <f>IFERROR(__xludf.DUMMYFUNCTION("""COMPUTED_VALUE"""),301404.0)</f>
        <v>301404</v>
      </c>
      <c r="F3586" s="22" t="str">
        <f>IFERROR(__xludf.DUMMYFUNCTION("""COMPUTED_VALUE"""),"きみと全部、ハジメテ。 ～財閥令嬢はフツウの恋がしたい～")</f>
        <v>きみと全部、ハジメテ。 ～財閥令嬢はフツウの恋がしたい～</v>
      </c>
      <c r="G3586" s="20" t="str">
        <f>IFERROR(__xludf.DUMMYFUNCTION("""COMPUTED_VALUE"""),"1～3")</f>
        <v>1～3</v>
      </c>
      <c r="H3586" s="22" t="str">
        <f>IFERROR(__xludf.DUMMYFUNCTION("""COMPUTED_VALUE"""),"犬甘すしか")</f>
        <v>犬甘すしか</v>
      </c>
      <c r="I3586" s="22" t="str">
        <f>IFERROR(__xludf.DUMMYFUNCTION("""COMPUTED_VALUE"""),"女性マンガ")</f>
        <v>女性マンガ</v>
      </c>
      <c r="J3586" s="22"/>
      <c r="K3586" s="22" t="str">
        <f>IFERROR(__xludf.DUMMYFUNCTION("""COMPUTED_VALUE"""),"スキして?桃色日記")</f>
        <v>スキして?桃色日記</v>
      </c>
      <c r="L3586" s="22" t="str">
        <f>IFERROR(__xludf.DUMMYFUNCTION("""COMPUTED_VALUE"""),"シーモアコミックス")</f>
        <v>シーモアコミックス</v>
      </c>
      <c r="M3586" s="33">
        <f>IFERROR(__xludf.DUMMYFUNCTION("""COMPUTED_VALUE"""),45871.0)</f>
        <v>45871</v>
      </c>
      <c r="N3586" s="33">
        <f>IFERROR(__xludf.DUMMYFUNCTION("""COMPUTED_VALUE"""),2958465.0)</f>
        <v>2958465</v>
      </c>
      <c r="O3586" s="20"/>
      <c r="P3586" s="32" t="str">
        <f>IFERROR(__xludf.DUMMYFUNCTION("""COMPUTED_VALUE"""),"可")</f>
        <v>可</v>
      </c>
      <c r="Q3586" s="30"/>
      <c r="R3586" s="22"/>
      <c r="S3586" s="22" t="str">
        <f>IFERROR(__xludf.DUMMYFUNCTION("""COMPUTED_VALUE"""),"20250630_シーモアコミックス_きみと全部、ハジメテ。 ～財閥令嬢はフツウの恋がしたい～")</f>
        <v>20250630_シーモアコミックス_きみと全部、ハジメテ。 ～財閥令嬢はフツウの恋がしたい～</v>
      </c>
      <c r="T3586" s="22" t="str">
        <f>IFERROR(__xludf.DUMMYFUNCTION("""COMPUTED_VALUE"""),"格納済み")</f>
        <v>格納済み</v>
      </c>
      <c r="U3586" s="9" t="str">
        <f>IFERROR(__xludf.DUMMYFUNCTION("""COMPUTED_VALUE"""),"Ⓒ 犬甘すしか/シーモアコミックス")</f>
        <v>Ⓒ 犬甘すしか/シーモアコミックス</v>
      </c>
      <c r="V3586" s="8"/>
      <c r="W3586" s="8"/>
      <c r="X3586" s="8" t="str">
        <f>IFERROR(__xludf.DUMMYFUNCTION("""COMPUTED_VALUE"""),"有")</f>
        <v>有</v>
      </c>
      <c r="Y3586" s="8" t="str">
        <f>IFERROR(__xludf.DUMMYFUNCTION("""COMPUTED_VALUE"""),"2025/9/5まで1巻無料")</f>
        <v>2025/9/5まで1巻無料</v>
      </c>
      <c r="Z3586" s="7"/>
      <c r="AA3586" s="7"/>
      <c r="AB3586" s="7"/>
    </row>
    <row r="3587" ht="15.75" customHeight="1">
      <c r="A3587" s="26">
        <f>IFERROR(__xludf.DUMMYFUNCTION("""COMPUTED_VALUE"""),5942.0)</f>
        <v>5942</v>
      </c>
      <c r="B3587" s="22" t="str">
        <f>IFERROR(__xludf.DUMMYFUNCTION("""COMPUTED_VALUE"""),"確定")</f>
        <v>確定</v>
      </c>
      <c r="C3587" s="28">
        <f>IFERROR(__xludf.DUMMYFUNCTION("""COMPUTED_VALUE"""),45838.0)</f>
        <v>45838</v>
      </c>
      <c r="D3587" s="28">
        <f>IFERROR(__xludf.DUMMYFUNCTION("""COMPUTED_VALUE"""),45845.0)</f>
        <v>45845</v>
      </c>
      <c r="E3587" s="26">
        <f>IFERROR(__xludf.DUMMYFUNCTION("""COMPUTED_VALUE"""),308522.0)</f>
        <v>308522</v>
      </c>
      <c r="F3587" s="22" t="str">
        <f>IFERROR(__xludf.DUMMYFUNCTION("""COMPUTED_VALUE"""),"名のなき毒(フルカラー)")</f>
        <v>名のなき毒(フルカラー)</v>
      </c>
      <c r="G3587" s="20" t="str">
        <f>IFERROR(__xludf.DUMMYFUNCTION("""COMPUTED_VALUE"""),"1～3")</f>
        <v>1～3</v>
      </c>
      <c r="H3587" s="22" t="str">
        <f>IFERROR(__xludf.DUMMYFUNCTION("""COMPUTED_VALUE"""),"Nunnu,Mechanist,Doroh")</f>
        <v>Nunnu,Mechanist,Doroh</v>
      </c>
      <c r="I3587" s="22" t="str">
        <f>IFERROR(__xludf.DUMMYFUNCTION("""COMPUTED_VALUE"""),"BLマンガ")</f>
        <v>BLマンガ</v>
      </c>
      <c r="J3587" s="22"/>
      <c r="K3587" s="22" t="str">
        <f>IFERROR(__xludf.DUMMYFUNCTION("""COMPUTED_VALUE"""),"Ficus")</f>
        <v>Ficus</v>
      </c>
      <c r="L3587" s="22" t="str">
        <f>IFERROR(__xludf.DUMMYFUNCTION("""COMPUTED_VALUE"""),"シーモアコミックス")</f>
        <v>シーモアコミックス</v>
      </c>
      <c r="M3587" s="33">
        <f>IFERROR(__xludf.DUMMYFUNCTION("""COMPUTED_VALUE"""),45871.0)</f>
        <v>45871</v>
      </c>
      <c r="N3587" s="33">
        <f>IFERROR(__xludf.DUMMYFUNCTION("""COMPUTED_VALUE"""),46023.70833333333)</f>
        <v>46023.70833</v>
      </c>
      <c r="O3587" s="20"/>
      <c r="P3587" s="32" t="str">
        <f>IFERROR(__xludf.DUMMYFUNCTION("""COMPUTED_VALUE"""),"可")</f>
        <v>可</v>
      </c>
      <c r="Q3587" s="30"/>
      <c r="R3587" s="22"/>
      <c r="S3587" s="22" t="str">
        <f>IFERROR(__xludf.DUMMYFUNCTION("""COMPUTED_VALUE"""),"20250630_シーモアコミックス_名のなき毒（フルカラー）")</f>
        <v>20250630_シーモアコミックス_名のなき毒（フルカラー）</v>
      </c>
      <c r="T3587" s="22" t="str">
        <f>IFERROR(__xludf.DUMMYFUNCTION("""COMPUTED_VALUE"""),"格納済み")</f>
        <v>格納済み</v>
      </c>
      <c r="U3587" s="9" t="str">
        <f>IFERROR(__xludf.DUMMYFUNCTION("""COMPUTED_VALUE"""),"ⒸNunnu/Mechanist/Doroh/ミスターブルー/シーモアコミックス")</f>
        <v>ⒸNunnu/Mechanist/Doroh/ミスターブルー/シーモアコミックス</v>
      </c>
      <c r="V3587" s="8"/>
      <c r="W3587" s="8"/>
      <c r="X3587" s="8" t="str">
        <f>IFERROR(__xludf.DUMMYFUNCTION("""COMPUTED_VALUE"""),"有")</f>
        <v>有</v>
      </c>
      <c r="Y3587" s="8" t="str">
        <f>IFERROR(__xludf.DUMMYFUNCTION("""COMPUTED_VALUE"""),"2025/9/5まで1巻無料")</f>
        <v>2025/9/5まで1巻無料</v>
      </c>
      <c r="Z3587" s="7"/>
      <c r="AA3587" s="7"/>
      <c r="AB3587" s="7"/>
    </row>
    <row r="3588" ht="15.75" customHeight="1">
      <c r="A3588" s="26">
        <f>IFERROR(__xludf.DUMMYFUNCTION("""COMPUTED_VALUE"""),5943.0)</f>
        <v>5943</v>
      </c>
      <c r="B3588" s="22" t="str">
        <f>IFERROR(__xludf.DUMMYFUNCTION("""COMPUTED_VALUE"""),"確定")</f>
        <v>確定</v>
      </c>
      <c r="C3588" s="28">
        <f>IFERROR(__xludf.DUMMYFUNCTION("""COMPUTED_VALUE"""),45838.0)</f>
        <v>45838</v>
      </c>
      <c r="D3588" s="28">
        <f>IFERROR(__xludf.DUMMYFUNCTION("""COMPUTED_VALUE"""),45845.0)</f>
        <v>45845</v>
      </c>
      <c r="E3588" s="26">
        <f>IFERROR(__xludf.DUMMYFUNCTION("""COMPUTED_VALUE"""),308523.0)</f>
        <v>308523</v>
      </c>
      <c r="F3588" s="22" t="str">
        <f>IFERROR(__xludf.DUMMYFUNCTION("""COMPUTED_VALUE"""),"名のなき毒【タテヨミ】")</f>
        <v>名のなき毒【タテヨミ】</v>
      </c>
      <c r="G3588" s="20" t="str">
        <f>IFERROR(__xludf.DUMMYFUNCTION("""COMPUTED_VALUE"""),"1～12")</f>
        <v>1～12</v>
      </c>
      <c r="H3588" s="22" t="str">
        <f>IFERROR(__xludf.DUMMYFUNCTION("""COMPUTED_VALUE"""),"Nunnu,Mechanist,Doroh")</f>
        <v>Nunnu,Mechanist,Doroh</v>
      </c>
      <c r="I3588" s="22" t="str">
        <f>IFERROR(__xludf.DUMMYFUNCTION("""COMPUTED_VALUE"""),"BLマンガ")</f>
        <v>BLマンガ</v>
      </c>
      <c r="J3588" s="22"/>
      <c r="K3588" s="22" t="str">
        <f>IFERROR(__xludf.DUMMYFUNCTION("""COMPUTED_VALUE"""),"Ficus")</f>
        <v>Ficus</v>
      </c>
      <c r="L3588" s="22" t="str">
        <f>IFERROR(__xludf.DUMMYFUNCTION("""COMPUTED_VALUE"""),"シーモアコミックス")</f>
        <v>シーモアコミックス</v>
      </c>
      <c r="M3588" s="33">
        <f>IFERROR(__xludf.DUMMYFUNCTION("""COMPUTED_VALUE"""),45871.0)</f>
        <v>45871</v>
      </c>
      <c r="N3588" s="33">
        <f>IFERROR(__xludf.DUMMYFUNCTION("""COMPUTED_VALUE"""),46023.70833333333)</f>
        <v>46023.70833</v>
      </c>
      <c r="O3588" s="20"/>
      <c r="P3588" s="32" t="str">
        <f>IFERROR(__xludf.DUMMYFUNCTION("""COMPUTED_VALUE"""),"可")</f>
        <v>可</v>
      </c>
      <c r="Q3588" s="30" t="str">
        <f>IFERROR(__xludf.DUMMYFUNCTION("""COMPUTED_VALUE"""),"※コマサム等素材は「308522 名のなき毒(フルカラー)&lt;BR&gt;」の方をお使いください。&lt;BR&gt;バナー制作はフルカラー版の素材を利用して問題ございません。")</f>
        <v>※コマサム等素材は「308522 名のなき毒(フルカラー)&lt;BR&gt;」の方をお使いください。&lt;BR&gt;バナー制作はフルカラー版の素材を利用して問題ございません。</v>
      </c>
      <c r="R3588" s="22"/>
      <c r="S3588" s="22" t="str">
        <f>IFERROR(__xludf.DUMMYFUNCTION("""COMPUTED_VALUE"""),"20250630_シーモアコミックス_名のなき毒【タテヨミ】")</f>
        <v>20250630_シーモアコミックス_名のなき毒【タテヨミ】</v>
      </c>
      <c r="T3588" s="22" t="str">
        <f>IFERROR(__xludf.DUMMYFUNCTION("""COMPUTED_VALUE"""),"格納済み")</f>
        <v>格納済み</v>
      </c>
      <c r="U3588" s="9" t="str">
        <f>IFERROR(__xludf.DUMMYFUNCTION("""COMPUTED_VALUE"""),"Ⓒ Nunnu/Mechanist/Doroh/ミスターブルー/シーモアコミックス")</f>
        <v>Ⓒ Nunnu/Mechanist/Doroh/ミスターブルー/シーモアコミックス</v>
      </c>
      <c r="V3588" s="8"/>
      <c r="W3588" s="8"/>
      <c r="X3588" s="8" t="str">
        <f>IFERROR(__xludf.DUMMYFUNCTION("""COMPUTED_VALUE"""),"有")</f>
        <v>有</v>
      </c>
      <c r="Y3588" s="8" t="str">
        <f>IFERROR(__xludf.DUMMYFUNCTION("""COMPUTED_VALUE"""),"2025/9/5まで1~4巻無料")</f>
        <v>2025/9/5まで1~4巻無料</v>
      </c>
      <c r="Z3588" s="7"/>
      <c r="AA3588" s="7"/>
      <c r="AB3588" s="7"/>
    </row>
    <row r="3589" ht="15.75" customHeight="1">
      <c r="A3589" s="26">
        <f>IFERROR(__xludf.DUMMYFUNCTION("""COMPUTED_VALUE"""),5945.0)</f>
        <v>5945</v>
      </c>
      <c r="B3589" s="22" t="str">
        <f>IFERROR(__xludf.DUMMYFUNCTION("""COMPUTED_VALUE"""),"確定")</f>
        <v>確定</v>
      </c>
      <c r="C3589" s="28">
        <f>IFERROR(__xludf.DUMMYFUNCTION("""COMPUTED_VALUE"""),45838.0)</f>
        <v>45838</v>
      </c>
      <c r="D3589" s="28">
        <f>IFERROR(__xludf.DUMMYFUNCTION("""COMPUTED_VALUE"""),45847.0)</f>
        <v>45847</v>
      </c>
      <c r="E3589" s="26">
        <f>IFERROR(__xludf.DUMMYFUNCTION("""COMPUTED_VALUE"""),330424.0)</f>
        <v>330424</v>
      </c>
      <c r="F3589" s="22" t="str">
        <f>IFERROR(__xludf.DUMMYFUNCTION("""COMPUTED_VALUE"""),"転生悪役令嬢の贖罪～2人の従者からの執着愛に身も心も堕とされる～")</f>
        <v>転生悪役令嬢の贖罪～2人の従者からの執着愛に身も心も堕とされる～</v>
      </c>
      <c r="G3589" s="20" t="str">
        <f>IFERROR(__xludf.DUMMYFUNCTION("""COMPUTED_VALUE"""),"1～3")</f>
        <v>1～3</v>
      </c>
      <c r="H3589" s="22" t="str">
        <f>IFERROR(__xludf.DUMMYFUNCTION("""COMPUTED_VALUE"""),"夕槻ちや / 千賀つづら")</f>
        <v>夕槻ちや / 千賀つづら</v>
      </c>
      <c r="I3589" s="22" t="str">
        <f>IFERROR(__xludf.DUMMYFUNCTION("""COMPUTED_VALUE"""),"TL")</f>
        <v>TL</v>
      </c>
      <c r="J3589" s="22"/>
      <c r="K3589" s="22" t="str">
        <f>IFERROR(__xludf.DUMMYFUNCTION("""COMPUTED_VALUE"""),"lou lou")</f>
        <v>lou lou</v>
      </c>
      <c r="L3589" s="22" t="str">
        <f>IFERROR(__xludf.DUMMYFUNCTION("""COMPUTED_VALUE"""),"渋谷六花舎")</f>
        <v>渋谷六花舎</v>
      </c>
      <c r="M3589" s="33">
        <f>IFERROR(__xludf.DUMMYFUNCTION("""COMPUTED_VALUE"""),45872.0)</f>
        <v>45872</v>
      </c>
      <c r="N3589" s="33">
        <f>IFERROR(__xludf.DUMMYFUNCTION("""COMPUTED_VALUE"""),45963.0)</f>
        <v>45963</v>
      </c>
      <c r="O3589" s="20"/>
      <c r="P3589" s="32" t="str">
        <f>IFERROR(__xludf.DUMMYFUNCTION("""COMPUTED_VALUE"""),"可")</f>
        <v>可</v>
      </c>
      <c r="Q3589" s="30" t="str">
        <f>IFERROR(__xludf.DUMMYFUNCTION("""COMPUTED_VALUE"""),"同人ストア配信中、商業は初になります。送付済データを分割して配信します。(2次先行扱いになります)")</f>
        <v>同人ストア配信中、商業は初になります。送付済データを分割して配信します。(2次先行扱いになります)</v>
      </c>
      <c r="R3589" s="22" t="str">
        <f>IFERROR(__xludf.DUMMYFUNCTION("""COMPUTED_VALUE"""),"コミットOK")</f>
        <v>コミットOK</v>
      </c>
      <c r="S3589" s="22" t="str">
        <f>IFERROR(__xludf.DUMMYFUNCTION("""COMPUTED_VALUE"""),"20250709_渋谷六花舎_転生悪役令嬢の贖罪～2人の従者からの執着愛に身も心も堕とされる～")</f>
        <v>20250709_渋谷六花舎_転生悪役令嬢の贖罪～2人の従者からの執着愛に身も心も堕とされる～</v>
      </c>
      <c r="T3589" s="22" t="str">
        <f>IFERROR(__xludf.DUMMYFUNCTION("""COMPUTED_VALUE"""),"格納済み")</f>
        <v>格納済み</v>
      </c>
      <c r="U3589" s="9" t="str">
        <f>IFERROR(__xludf.DUMMYFUNCTION("""COMPUTED_VALUE"""),"Ⓒ夕槻ちや / 千賀つづら/lou lou")</f>
        <v>Ⓒ夕槻ちや / 千賀つづら/lou lou</v>
      </c>
      <c r="V3589" s="8"/>
      <c r="W3589" s="8"/>
      <c r="X3589" s="8" t="str">
        <f>IFERROR(__xludf.DUMMYFUNCTION("""COMPUTED_VALUE"""),"有")</f>
        <v>有</v>
      </c>
      <c r="Y3589" s="8" t="str">
        <f>IFERROR(__xludf.DUMMYFUNCTION("""COMPUTED_VALUE"""),"2025/8/16まで1巻無料")</f>
        <v>2025/8/16まで1巻無料</v>
      </c>
      <c r="Z3589" s="7"/>
      <c r="AA3589" s="7"/>
      <c r="AB3589" s="7"/>
    </row>
    <row r="3590" ht="15.75" customHeight="1">
      <c r="A3590" s="26">
        <f>IFERROR(__xludf.DUMMYFUNCTION("""COMPUTED_VALUE"""),5974.0)</f>
        <v>5974</v>
      </c>
      <c r="B3590" s="22" t="str">
        <f>IFERROR(__xludf.DUMMYFUNCTION("""COMPUTED_VALUE"""),"確定")</f>
        <v>確定</v>
      </c>
      <c r="C3590" s="28">
        <f>IFERROR(__xludf.DUMMYFUNCTION("""COMPUTED_VALUE"""),45840.0)</f>
        <v>45840</v>
      </c>
      <c r="D3590" s="28">
        <f>IFERROR(__xludf.DUMMYFUNCTION("""COMPUTED_VALUE"""),45846.0)</f>
        <v>45846</v>
      </c>
      <c r="E3590" s="26">
        <f>IFERROR(__xludf.DUMMYFUNCTION("""COMPUTED_VALUE"""),331184.0)</f>
        <v>331184</v>
      </c>
      <c r="F3590" s="22" t="str">
        <f>IFERROR(__xludf.DUMMYFUNCTION("""COMPUTED_VALUE"""),"仮面夫婦 〜夫の不倫備忘録〜")</f>
        <v>仮面夫婦 〜夫の不倫備忘録〜</v>
      </c>
      <c r="G3590" s="20" t="str">
        <f>IFERROR(__xludf.DUMMYFUNCTION("""COMPUTED_VALUE"""),"1～3")</f>
        <v>1～3</v>
      </c>
      <c r="H3590" s="22" t="str">
        <f>IFERROR(__xludf.DUMMYFUNCTION("""COMPUTED_VALUE"""),"坂井皆・mayan・テラーノベル")</f>
        <v>坂井皆・mayan・テラーノベル</v>
      </c>
      <c r="I3590" s="22" t="str">
        <f>IFERROR(__xludf.DUMMYFUNCTION("""COMPUTED_VALUE"""),"女性")</f>
        <v>女性</v>
      </c>
      <c r="J3590" s="22"/>
      <c r="K3590" s="22"/>
      <c r="L3590" s="22" t="str">
        <f>IFERROR(__xludf.DUMMYFUNCTION("""COMPUTED_VALUE"""),"Freedia")</f>
        <v>Freedia</v>
      </c>
      <c r="M3590" s="33">
        <f>IFERROR(__xludf.DUMMYFUNCTION("""COMPUTED_VALUE"""),45881.0)</f>
        <v>45881</v>
      </c>
      <c r="N3590" s="33">
        <f>IFERROR(__xludf.DUMMYFUNCTION("""COMPUTED_VALUE"""),45972.0)</f>
        <v>45972</v>
      </c>
      <c r="O3590" s="20"/>
      <c r="P3590" s="32" t="str">
        <f>IFERROR(__xludf.DUMMYFUNCTION("""COMPUTED_VALUE"""),"可")</f>
        <v>可</v>
      </c>
      <c r="Q3590" s="30" t="str">
        <f>IFERROR(__xludf.DUMMYFUNCTION("""COMPUTED_VALUE"""),"冒頭1話無料&lt;BR&gt;※「テラーノベル」")</f>
        <v>冒頭1話無料&lt;BR&gt;※「テラーノベル」</v>
      </c>
      <c r="R3590" s="22"/>
      <c r="S3590" s="22" t="str">
        <f>IFERROR(__xludf.DUMMYFUNCTION("""COMPUTED_VALUE"""),"20250703_Freedia_仮面夫婦")</f>
        <v>20250703_Freedia_仮面夫婦</v>
      </c>
      <c r="T3590" s="22" t="str">
        <f>IFERROR(__xludf.DUMMYFUNCTION("""COMPUTED_VALUE"""),"格納済み")</f>
        <v>格納済み</v>
      </c>
      <c r="U3590" s="9" t="str">
        <f>IFERROR(__xludf.DUMMYFUNCTION("""COMPUTED_VALUE"""),"(C)坂井皆・mayan/Freedia・テラーノベル")</f>
        <v>(C)坂井皆・mayan/Freedia・テラーノベル</v>
      </c>
      <c r="V3590" s="8"/>
      <c r="W3590" s="8"/>
      <c r="X3590" s="8" t="str">
        <f>IFERROR(__xludf.DUMMYFUNCTION("""COMPUTED_VALUE"""),"有")</f>
        <v>有</v>
      </c>
      <c r="Y3590" s="8" t="str">
        <f>IFERROR(__xludf.DUMMYFUNCTION("""COMPUTED_VALUE"""),"2025/11/11まで1巻無料")</f>
        <v>2025/11/11まで1巻無料</v>
      </c>
      <c r="Z3590" s="7"/>
      <c r="AA3590" s="7"/>
      <c r="AB3590" s="7"/>
    </row>
    <row r="3591" ht="15.75" customHeight="1">
      <c r="A3591" s="26">
        <f>IFERROR(__xludf.DUMMYFUNCTION("""COMPUTED_VALUE"""),5979.0)</f>
        <v>5979</v>
      </c>
      <c r="B3591" s="22" t="str">
        <f>IFERROR(__xludf.DUMMYFUNCTION("""COMPUTED_VALUE"""),"確定")</f>
        <v>確定</v>
      </c>
      <c r="C3591" s="28">
        <f>IFERROR(__xludf.DUMMYFUNCTION("""COMPUTED_VALUE"""),45840.0)</f>
        <v>45840</v>
      </c>
      <c r="D3591" s="28">
        <f>IFERROR(__xludf.DUMMYFUNCTION("""COMPUTED_VALUE"""),45846.0)</f>
        <v>45846</v>
      </c>
      <c r="E3591" s="26">
        <f>IFERROR(__xludf.DUMMYFUNCTION("""COMPUTED_VALUE"""),329647.0)</f>
        <v>329647</v>
      </c>
      <c r="F3591" s="22" t="str">
        <f>IFERROR(__xludf.DUMMYFUNCTION("""COMPUTED_VALUE"""),"放課後、もう一度")</f>
        <v>放課後、もう一度</v>
      </c>
      <c r="G3591" s="20">
        <f>IFERROR(__xludf.DUMMYFUNCTION("""COMPUTED_VALUE"""),1.0)</f>
        <v>1</v>
      </c>
      <c r="H3591" s="22" t="str">
        <f>IFERROR(__xludf.DUMMYFUNCTION("""COMPUTED_VALUE"""),"柴崎ショージ")</f>
        <v>柴崎ショージ</v>
      </c>
      <c r="I3591" s="22" t="str">
        <f>IFERROR(__xludf.DUMMYFUNCTION("""COMPUTED_VALUE"""),"TL")</f>
        <v>TL</v>
      </c>
      <c r="J3591" s="22"/>
      <c r="K3591" s="22"/>
      <c r="L3591" s="22" t="str">
        <f>IFERROR(__xludf.DUMMYFUNCTION("""COMPUTED_VALUE"""),"ナイトコミック")</f>
        <v>ナイトコミック</v>
      </c>
      <c r="M3591" s="33">
        <f>IFERROR(__xludf.DUMMYFUNCTION("""COMPUTED_VALUE"""),45870.0)</f>
        <v>45870</v>
      </c>
      <c r="N3591" s="33">
        <f>IFERROR(__xludf.DUMMYFUNCTION("""COMPUTED_VALUE"""),45932.0)</f>
        <v>45932</v>
      </c>
      <c r="O3591" s="20"/>
      <c r="P3591" s="32" t="str">
        <f>IFERROR(__xludf.DUMMYFUNCTION("""COMPUTED_VALUE"""),"可")</f>
        <v>可</v>
      </c>
      <c r="Q3591" s="30" t="str">
        <f>IFERROR(__xludf.DUMMYFUNCTION("""COMPUTED_VALUE"""),"【アダルト作品扱い】【先行合わせCP】試読増量&lt;BR&gt;放課後、もう一度(1)：15Pまで試読増量 &lt;BR&gt;2025/08/01～2026/02/12")</f>
        <v>【アダルト作品扱い】【先行合わせCP】試読増量&lt;BR&gt;放課後、もう一度(1)：15Pまで試読増量 &lt;BR&gt;2025/08/01～2026/02/12</v>
      </c>
      <c r="R3591" s="22"/>
      <c r="S3591" s="22" t="str">
        <f>IFERROR(__xludf.DUMMYFUNCTION("""COMPUTED_VALUE"""),"20250702_ナイトコミック_放課後、もう一度")</f>
        <v>20250702_ナイトコミック_放課後、もう一度</v>
      </c>
      <c r="T3591" s="22" t="str">
        <f>IFERROR(__xludf.DUMMYFUNCTION("""COMPUTED_VALUE"""),"格納済み")</f>
        <v>格納済み</v>
      </c>
      <c r="U3591" s="9" t="str">
        <f>IFERROR(__xludf.DUMMYFUNCTION("""COMPUTED_VALUE"""),"Ⓒ柴崎ショージ")</f>
        <v>Ⓒ柴崎ショージ</v>
      </c>
      <c r="V3591" s="8"/>
      <c r="W3591" s="8"/>
      <c r="X3591" s="8" t="str">
        <f>IFERROR(__xludf.DUMMYFUNCTION("""COMPUTED_VALUE"""),"有")</f>
        <v>有</v>
      </c>
      <c r="Y3591" s="8" t="str">
        <f>IFERROR(__xludf.DUMMYFUNCTION("""COMPUTED_VALUE"""),"2025/10/2まで1巻立ち読み増量(P15)")</f>
        <v>2025/10/2まで1巻立ち読み増量(P15)</v>
      </c>
      <c r="Z3591" s="7"/>
      <c r="AA3591" s="7"/>
      <c r="AB3591" s="7"/>
    </row>
    <row r="3592" ht="15.75" customHeight="1">
      <c r="A3592" s="26">
        <f>IFERROR(__xludf.DUMMYFUNCTION("""COMPUTED_VALUE"""),5983.0)</f>
        <v>5983</v>
      </c>
      <c r="B3592" s="22" t="str">
        <f>IFERROR(__xludf.DUMMYFUNCTION("""COMPUTED_VALUE"""),"確定")</f>
        <v>確定</v>
      </c>
      <c r="C3592" s="28">
        <f>IFERROR(__xludf.DUMMYFUNCTION("""COMPUTED_VALUE"""),45841.0)</f>
        <v>45841</v>
      </c>
      <c r="D3592" s="28">
        <f>IFERROR(__xludf.DUMMYFUNCTION("""COMPUTED_VALUE"""),45846.0)</f>
        <v>45846</v>
      </c>
      <c r="E3592" s="26">
        <f>IFERROR(__xludf.DUMMYFUNCTION("""COMPUTED_VALUE"""),330233.0)</f>
        <v>330233</v>
      </c>
      <c r="F3592" s="22" t="str">
        <f>IFERROR(__xludf.DUMMYFUNCTION("""COMPUTED_VALUE"""),"転生シンデレラはガラスの靴を履きたくない【マイクロ】")</f>
        <v>転生シンデレラはガラスの靴を履きたくない【マイクロ】</v>
      </c>
      <c r="G3592" s="20" t="str">
        <f>IFERROR(__xludf.DUMMYFUNCTION("""COMPUTED_VALUE"""),"1～6")</f>
        <v>1～6</v>
      </c>
      <c r="H3592" s="22" t="str">
        <f>IFERROR(__xludf.DUMMYFUNCTION("""COMPUTED_VALUE"""),"七尾美緒┴藤間麗")</f>
        <v>七尾美緒┴藤間麗</v>
      </c>
      <c r="I3592" s="22" t="str">
        <f>IFERROR(__xludf.DUMMYFUNCTION("""COMPUTED_VALUE"""),"女性")</f>
        <v>女性</v>
      </c>
      <c r="J3592" s="22"/>
      <c r="K3592" s="22" t="str">
        <f>IFERROR(__xludf.DUMMYFUNCTION("""COMPUTED_VALUE"""),"異世界フラワーコミックス")</f>
        <v>異世界フラワーコミックス</v>
      </c>
      <c r="L3592" s="22" t="str">
        <f>IFERROR(__xludf.DUMMYFUNCTION("""COMPUTED_VALUE"""),"小学館")</f>
        <v>小学館</v>
      </c>
      <c r="M3592" s="33">
        <f>IFERROR(__xludf.DUMMYFUNCTION("""COMPUTED_VALUE"""),45862.0)</f>
        <v>45862</v>
      </c>
      <c r="N3592" s="33">
        <f>IFERROR(__xludf.DUMMYFUNCTION("""COMPUTED_VALUE"""),45953.0)</f>
        <v>45953</v>
      </c>
      <c r="O3592" s="20"/>
      <c r="P3592" s="32" t="str">
        <f>IFERROR(__xludf.DUMMYFUNCTION("""COMPUTED_VALUE"""),"否")</f>
        <v>否</v>
      </c>
      <c r="Q3592" s="30" t="str">
        <f>IFERROR(__xludf.DUMMYFUNCTION("""COMPUTED_VALUE"""),"七尾先生新作で読み切り作品を同じタイトルIDで6話一挙配信する件です。&lt;BR&gt;単話配信順番&lt;BR&gt;１～２ 転生シンデレラはガラスの靴を履きたくない&lt;BR&gt;３～４ 転生白雪姫は毒リンゴを食べたくない&lt;BR&gt;５～６ 転生人魚姫は泡になって消えたくない")</f>
        <v>七尾先生新作で読み切り作品を同じタイトルIDで6話一挙配信する件です。&lt;BR&gt;単話配信順番&lt;BR&gt;１～２ 転生シンデレラはガラスの靴を履きたくない&lt;BR&gt;３～４ 転生白雪姫は毒リンゴを食べたくない&lt;BR&gt;５～６ 転生人魚姫は泡になって消えたくない</v>
      </c>
      <c r="R3592" s="22"/>
      <c r="S3592" s="22" t="str">
        <f>IFERROR(__xludf.DUMMYFUNCTION("""COMPUTED_VALUE"""),"20250703_小学館_転生シンデレラはガラスの靴を履きたくない")</f>
        <v>20250703_小学館_転生シンデレラはガラスの靴を履きたくない</v>
      </c>
      <c r="T3592" s="22" t="str">
        <f>IFERROR(__xludf.DUMMYFUNCTION("""COMPUTED_VALUE"""),"格納済み")</f>
        <v>格納済み</v>
      </c>
      <c r="U3592" s="9" t="str">
        <f>IFERROR(__xludf.DUMMYFUNCTION("""COMPUTED_VALUE"""),"Ⓒ七尾美緒・藤間麗 / 小学館")</f>
        <v>Ⓒ七尾美緒・藤間麗 / 小学館</v>
      </c>
      <c r="V3592" s="8"/>
      <c r="W3592" s="8"/>
      <c r="X3592" s="8" t="str">
        <f>IFERROR(__xludf.DUMMYFUNCTION("""COMPUTED_VALUE"""),"有")</f>
        <v>有</v>
      </c>
      <c r="Y3592" s="8" t="str">
        <f>IFERROR(__xludf.DUMMYFUNCTION("""COMPUTED_VALUE"""),"2025/8/7まで1巻無料")</f>
        <v>2025/8/7まで1巻無料</v>
      </c>
      <c r="Z3592" s="7"/>
      <c r="AA3592" s="7"/>
      <c r="AB3592" s="7"/>
    </row>
    <row r="3593" ht="15.75" customHeight="1">
      <c r="A3593" s="26">
        <f>IFERROR(__xludf.DUMMYFUNCTION("""COMPUTED_VALUE"""),5992.0)</f>
        <v>5992</v>
      </c>
      <c r="B3593" s="22" t="str">
        <f>IFERROR(__xludf.DUMMYFUNCTION("""COMPUTED_VALUE"""),"確定")</f>
        <v>確定</v>
      </c>
      <c r="C3593" s="28">
        <f>IFERROR(__xludf.DUMMYFUNCTION("""COMPUTED_VALUE"""),45842.0)</f>
        <v>45842</v>
      </c>
      <c r="D3593" s="28">
        <f>IFERROR(__xludf.DUMMYFUNCTION("""COMPUTED_VALUE"""),45846.0)</f>
        <v>45846</v>
      </c>
      <c r="E3593" s="26">
        <f>IFERROR(__xludf.DUMMYFUNCTION("""COMPUTED_VALUE"""),301066.0)</f>
        <v>301066</v>
      </c>
      <c r="F3593" s="22" t="str">
        <f>IFERROR(__xludf.DUMMYFUNCTION("""COMPUTED_VALUE"""),"どうしても貴方の秘書になりたくて")</f>
        <v>どうしても貴方の秘書になりたくて</v>
      </c>
      <c r="G3593" s="20">
        <f>IFERROR(__xludf.DUMMYFUNCTION("""COMPUTED_VALUE"""),1.0)</f>
        <v>1</v>
      </c>
      <c r="H3593" s="22" t="str">
        <f>IFERROR(__xludf.DUMMYFUNCTION("""COMPUTED_VALUE"""),"はこね優季")</f>
        <v>はこね優季</v>
      </c>
      <c r="I3593" s="22" t="str">
        <f>IFERROR(__xludf.DUMMYFUNCTION("""COMPUTED_VALUE"""),"BLマンガ")</f>
        <v>BLマンガ</v>
      </c>
      <c r="J3593" s="22"/>
      <c r="K3593" s="22" t="str">
        <f>IFERROR(__xludf.DUMMYFUNCTION("""COMPUTED_VALUE"""),"Ficus")</f>
        <v>Ficus</v>
      </c>
      <c r="L3593" s="22" t="str">
        <f>IFERROR(__xludf.DUMMYFUNCTION("""COMPUTED_VALUE"""),"シーモアコミックス")</f>
        <v>シーモアコミックス</v>
      </c>
      <c r="M3593" s="33">
        <f>IFERROR(__xludf.DUMMYFUNCTION("""COMPUTED_VALUE"""),45787.0)</f>
        <v>45787</v>
      </c>
      <c r="N3593" s="33">
        <f>IFERROR(__xludf.DUMMYFUNCTION("""COMPUTED_VALUE"""),45848.0)</f>
        <v>45848</v>
      </c>
      <c r="O3593" s="20"/>
      <c r="P3593" s="32" t="str">
        <f>IFERROR(__xludf.DUMMYFUNCTION("""COMPUTED_VALUE"""),"可")</f>
        <v>可</v>
      </c>
      <c r="Q3593" s="30" t="str">
        <f>IFERROR(__xludf.DUMMYFUNCTION("""COMPUTED_VALUE"""),"※リリース済タイトルです。恐れ入りますが、出稿よろしくお願いいたします")</f>
        <v>※リリース済タイトルです。恐れ入りますが、出稿よろしくお願いいたします</v>
      </c>
      <c r="R3593" s="22"/>
      <c r="S3593" s="22" t="str">
        <f>IFERROR(__xludf.DUMMYFUNCTION("""COMPUTED_VALUE"""),"20250704_シーモアコミックス_どうしても貴方の秘書になりたくて")</f>
        <v>20250704_シーモアコミックス_どうしても貴方の秘書になりたくて</v>
      </c>
      <c r="T3593" s="22" t="str">
        <f>IFERROR(__xludf.DUMMYFUNCTION("""COMPUTED_VALUE"""),"格納済み")</f>
        <v>格納済み</v>
      </c>
      <c r="U3593" s="9" t="str">
        <f>IFERROR(__xludf.DUMMYFUNCTION("""COMPUTED_VALUE"""),"Ⓒ はこね優季/シーモアコミックス")</f>
        <v>Ⓒ はこね優季/シーモアコミックス</v>
      </c>
      <c r="V3593" s="8"/>
      <c r="W3593" s="8"/>
      <c r="X3593" s="8" t="str">
        <f>IFERROR(__xludf.DUMMYFUNCTION("""COMPUTED_VALUE"""),"有")</f>
        <v>有</v>
      </c>
      <c r="Y3593" s="8" t="str">
        <f>IFERROR(__xludf.DUMMYFUNCTION("""COMPUTED_VALUE"""),"P15まで")</f>
        <v>P15まで</v>
      </c>
      <c r="Z3593" s="7"/>
      <c r="AA3593" s="7"/>
      <c r="AB3593" s="7"/>
    </row>
    <row r="3594" ht="15.75" customHeight="1">
      <c r="A3594" s="26">
        <f>IFERROR(__xludf.DUMMYFUNCTION("""COMPUTED_VALUE"""),5996.0)</f>
        <v>5996</v>
      </c>
      <c r="B3594" s="22" t="str">
        <f>IFERROR(__xludf.DUMMYFUNCTION("""COMPUTED_VALUE"""),"確定")</f>
        <v>確定</v>
      </c>
      <c r="C3594" s="28">
        <f>IFERROR(__xludf.DUMMYFUNCTION("""COMPUTED_VALUE"""),45845.0)</f>
        <v>45845</v>
      </c>
      <c r="D3594" s="28">
        <f>IFERROR(__xludf.DUMMYFUNCTION("""COMPUTED_VALUE"""),45846.0)</f>
        <v>45846</v>
      </c>
      <c r="E3594" s="26">
        <f>IFERROR(__xludf.DUMMYFUNCTION("""COMPUTED_VALUE"""),308524.0)</f>
        <v>308524</v>
      </c>
      <c r="F3594" s="22" t="str">
        <f>IFERROR(__xludf.DUMMYFUNCTION("""COMPUTED_VALUE"""),"ゴールデン・ブラッディ・セレブリティー(フルカラー)")</f>
        <v>ゴールデン・ブラッディ・セレブリティー(フルカラー)</v>
      </c>
      <c r="G3594" s="20" t="str">
        <f>IFERROR(__xludf.DUMMYFUNCTION("""COMPUTED_VALUE"""),"1～10")</f>
        <v>1～10</v>
      </c>
      <c r="H3594" s="22" t="str">
        <f>IFERROR(__xludf.DUMMYFUNCTION("""COMPUTED_VALUE"""),"Cheongbori")</f>
        <v>Cheongbori</v>
      </c>
      <c r="I3594" s="22" t="str">
        <f>IFERROR(__xludf.DUMMYFUNCTION("""COMPUTED_VALUE"""),"少女マンガ")</f>
        <v>少女マンガ</v>
      </c>
      <c r="J3594" s="22"/>
      <c r="K3594" s="22" t="str">
        <f>IFERROR(__xludf.DUMMYFUNCTION("""COMPUTED_VALUE"""),"恋するソワレ")</f>
        <v>恋するソワレ</v>
      </c>
      <c r="L3594" s="22" t="str">
        <f>IFERROR(__xludf.DUMMYFUNCTION("""COMPUTED_VALUE"""),"シーモアコミックス")</f>
        <v>シーモアコミックス</v>
      </c>
      <c r="M3594" s="33">
        <f>IFERROR(__xludf.DUMMYFUNCTION("""COMPUTED_VALUE"""),45878.0)</f>
        <v>45878</v>
      </c>
      <c r="N3594" s="33">
        <f>IFERROR(__xludf.DUMMYFUNCTION("""COMPUTED_VALUE"""),46030.70833333333)</f>
        <v>46030.70833</v>
      </c>
      <c r="O3594" s="20"/>
      <c r="P3594" s="32" t="str">
        <f>IFERROR(__xludf.DUMMYFUNCTION("""COMPUTED_VALUE"""),"可")</f>
        <v>可</v>
      </c>
      <c r="Q3594" s="30"/>
      <c r="R3594" s="22"/>
      <c r="S3594" s="22" t="str">
        <f>IFERROR(__xludf.DUMMYFUNCTION("""COMPUTED_VALUE"""),"20250707_シーモアコミックス_ゴールデン・ブラッディ・セレブリティー（フルカラー）")</f>
        <v>20250707_シーモアコミックス_ゴールデン・ブラッディ・セレブリティー（フルカラー）</v>
      </c>
      <c r="T3594" s="22" t="str">
        <f>IFERROR(__xludf.DUMMYFUNCTION("""COMPUTED_VALUE"""),"格納済み")</f>
        <v>格納済み</v>
      </c>
      <c r="U3594" s="9" t="str">
        <f>IFERROR(__xludf.DUMMYFUNCTION("""COMPUTED_VALUE"""),"Ⓒ Cheongbori/Daewon C.I. Inc./シーモアコミックス")</f>
        <v>Ⓒ Cheongbori/Daewon C.I. Inc./シーモアコミックス</v>
      </c>
      <c r="V3594" s="8"/>
      <c r="W3594" s="8"/>
      <c r="X3594" s="8" t="str">
        <f>IFERROR(__xludf.DUMMYFUNCTION("""COMPUTED_VALUE"""),"有")</f>
        <v>有</v>
      </c>
      <c r="Y3594" s="8" t="str">
        <f>IFERROR(__xludf.DUMMYFUNCTION("""COMPUTED_VALUE"""),"2025/9/12まで1~3巻無料")</f>
        <v>2025/9/12まで1~3巻無料</v>
      </c>
      <c r="Z3594" s="7"/>
      <c r="AA3594" s="7"/>
      <c r="AB3594" s="7"/>
    </row>
    <row r="3595" ht="15.75" customHeight="1">
      <c r="A3595" s="26">
        <f>IFERROR(__xludf.DUMMYFUNCTION("""COMPUTED_VALUE"""),5997.0)</f>
        <v>5997</v>
      </c>
      <c r="B3595" s="22" t="str">
        <f>IFERROR(__xludf.DUMMYFUNCTION("""COMPUTED_VALUE"""),"確定")</f>
        <v>確定</v>
      </c>
      <c r="C3595" s="28">
        <f>IFERROR(__xludf.DUMMYFUNCTION("""COMPUTED_VALUE"""),45845.0)</f>
        <v>45845</v>
      </c>
      <c r="D3595" s="28">
        <f>IFERROR(__xludf.DUMMYFUNCTION("""COMPUTED_VALUE"""),45846.0)</f>
        <v>45846</v>
      </c>
      <c r="E3595" s="26">
        <f>IFERROR(__xludf.DUMMYFUNCTION("""COMPUTED_VALUE"""),308525.0)</f>
        <v>308525</v>
      </c>
      <c r="F3595" s="22" t="str">
        <f>IFERROR(__xludf.DUMMYFUNCTION("""COMPUTED_VALUE"""),"ゴールデン・ブラッディ・セレブリティー【タテヨミ】")</f>
        <v>ゴールデン・ブラッディ・セレブリティー【タテヨミ】</v>
      </c>
      <c r="G3595" s="20" t="str">
        <f>IFERROR(__xludf.DUMMYFUNCTION("""COMPUTED_VALUE"""),"1～30")</f>
        <v>1～30</v>
      </c>
      <c r="H3595" s="22" t="str">
        <f>IFERROR(__xludf.DUMMYFUNCTION("""COMPUTED_VALUE"""),"Cheongbori")</f>
        <v>Cheongbori</v>
      </c>
      <c r="I3595" s="22" t="str">
        <f>IFERROR(__xludf.DUMMYFUNCTION("""COMPUTED_VALUE"""),"少女マンガ")</f>
        <v>少女マンガ</v>
      </c>
      <c r="J3595" s="22"/>
      <c r="K3595" s="22" t="str">
        <f>IFERROR(__xludf.DUMMYFUNCTION("""COMPUTED_VALUE"""),"恋するソワレ")</f>
        <v>恋するソワレ</v>
      </c>
      <c r="L3595" s="22" t="str">
        <f>IFERROR(__xludf.DUMMYFUNCTION("""COMPUTED_VALUE"""),"シーモアコミックス")</f>
        <v>シーモアコミックス</v>
      </c>
      <c r="M3595" s="33">
        <f>IFERROR(__xludf.DUMMYFUNCTION("""COMPUTED_VALUE"""),45878.0)</f>
        <v>45878</v>
      </c>
      <c r="N3595" s="33">
        <f>IFERROR(__xludf.DUMMYFUNCTION("""COMPUTED_VALUE"""),46030.70833333333)</f>
        <v>46030.70833</v>
      </c>
      <c r="O3595" s="20"/>
      <c r="P3595" s="32" t="str">
        <f>IFERROR(__xludf.DUMMYFUNCTION("""COMPUTED_VALUE"""),"可")</f>
        <v>可</v>
      </c>
      <c r="Q3595" s="30" t="str">
        <f>IFERROR(__xludf.DUMMYFUNCTION("""COMPUTED_VALUE"""),"※コマサム等素材は「308524 ゴールデン・ブラッディ・セレブリティー(フルカラー)」の方をお使いください。&lt;BR&gt;バナー制作はフルカラー版の素材を利用して問題ございません。")</f>
        <v>※コマサム等素材は「308524 ゴールデン・ブラッディ・セレブリティー(フルカラー)」の方をお使いください。&lt;BR&gt;バナー制作はフルカラー版の素材を利用して問題ございません。</v>
      </c>
      <c r="R3595" s="22"/>
      <c r="S3595" s="22" t="str">
        <f>IFERROR(__xludf.DUMMYFUNCTION("""COMPUTED_VALUE"""),"20250707_シーモアコミックス_ゴールデン・ブラッディ・セレブリティー【タテヨミ】")</f>
        <v>20250707_シーモアコミックス_ゴールデン・ブラッディ・セレブリティー【タテヨミ】</v>
      </c>
      <c r="T3595" s="22" t="str">
        <f>IFERROR(__xludf.DUMMYFUNCTION("""COMPUTED_VALUE"""),"格納済み")</f>
        <v>格納済み</v>
      </c>
      <c r="U3595" s="9" t="str">
        <f>IFERROR(__xludf.DUMMYFUNCTION("""COMPUTED_VALUE"""),"Ⓒ Cheongbori/Daewon C.I. Inc./シーモアコミックス")</f>
        <v>Ⓒ Cheongbori/Daewon C.I. Inc./シーモアコミックス</v>
      </c>
      <c r="V3595" s="8"/>
      <c r="W3595" s="8"/>
      <c r="X3595" s="8" t="str">
        <f>IFERROR(__xludf.DUMMYFUNCTION("""COMPUTED_VALUE"""),"有")</f>
        <v>有</v>
      </c>
      <c r="Y3595" s="8" t="str">
        <f>IFERROR(__xludf.DUMMYFUNCTION("""COMPUTED_VALUE"""),"2025/9/12まで1~9巻無料")</f>
        <v>2025/9/12まで1~9巻無料</v>
      </c>
      <c r="Z3595" s="7"/>
      <c r="AA3595" s="7"/>
      <c r="AB3595" s="7"/>
    </row>
    <row r="3596" ht="15.75" customHeight="1">
      <c r="A3596" s="26">
        <f>IFERROR(__xludf.DUMMYFUNCTION("""COMPUTED_VALUE"""),6008.0)</f>
        <v>6008</v>
      </c>
      <c r="B3596" s="22" t="str">
        <f>IFERROR(__xludf.DUMMYFUNCTION("""COMPUTED_VALUE"""),"確定")</f>
        <v>確定</v>
      </c>
      <c r="C3596" s="28">
        <f>IFERROR(__xludf.DUMMYFUNCTION("""COMPUTED_VALUE"""),45845.0)</f>
        <v>45845</v>
      </c>
      <c r="D3596" s="28">
        <f>IFERROR(__xludf.DUMMYFUNCTION("""COMPUTED_VALUE"""),45846.0)</f>
        <v>45846</v>
      </c>
      <c r="E3596" s="26">
        <f>IFERROR(__xludf.DUMMYFUNCTION("""COMPUTED_VALUE"""),330500.0)</f>
        <v>330500</v>
      </c>
      <c r="F3596" s="22" t="str">
        <f>IFERROR(__xludf.DUMMYFUNCTION("""COMPUTED_VALUE"""),"大好きな婚約者様、もうお別れしましょう。")</f>
        <v>大好きな婚約者様、もうお別れしましょう。</v>
      </c>
      <c r="G3596" s="20" t="str">
        <f>IFERROR(__xludf.DUMMYFUNCTION("""COMPUTED_VALUE"""),"1～3")</f>
        <v>1～3</v>
      </c>
      <c r="H3596" s="22" t="str">
        <f>IFERROR(__xludf.DUMMYFUNCTION("""COMPUTED_VALUE"""),"維澄ヨウ/曽根原ツタ")</f>
        <v>維澄ヨウ/曽根原ツタ</v>
      </c>
      <c r="I3596" s="22" t="str">
        <f>IFERROR(__xludf.DUMMYFUNCTION("""COMPUTED_VALUE"""),"少女")</f>
        <v>少女</v>
      </c>
      <c r="J3596" s="22"/>
      <c r="K3596" s="22"/>
      <c r="L3596" s="22" t="str">
        <f>IFERROR(__xludf.DUMMYFUNCTION("""COMPUTED_VALUE"""),"ファンギルド")</f>
        <v>ファンギルド</v>
      </c>
      <c r="M3596" s="33">
        <f>IFERROR(__xludf.DUMMYFUNCTION("""COMPUTED_VALUE"""),45876.0)</f>
        <v>45876</v>
      </c>
      <c r="N3596" s="33">
        <f>IFERROR(__xludf.DUMMYFUNCTION("""COMPUTED_VALUE"""),45931.0)</f>
        <v>45931</v>
      </c>
      <c r="O3596" s="20"/>
      <c r="P3596" s="32" t="str">
        <f>IFERROR(__xludf.DUMMYFUNCTION("""COMPUTED_VALUE"""),"可")</f>
        <v>可</v>
      </c>
      <c r="Q3596" s="30"/>
      <c r="R3596" s="22"/>
      <c r="S3596" s="22" t="str">
        <f>IFERROR(__xludf.DUMMYFUNCTION("""COMPUTED_VALUE"""),"20250707_ファンギルド_大好きな婚約者様、もうお別れしましょう。")</f>
        <v>20250707_ファンギルド_大好きな婚約者様、もうお別れしましょう。</v>
      </c>
      <c r="T3596" s="22" t="str">
        <f>IFERROR(__xludf.DUMMYFUNCTION("""COMPUTED_VALUE"""),"格納済み")</f>
        <v>格納済み</v>
      </c>
      <c r="U3596" s="9" t="str">
        <f>IFERROR(__xludf.DUMMYFUNCTION("""COMPUTED_VALUE"""),"Ⓒ維澄ヨウ/曽根原ツタ/ファンギルド")</f>
        <v>Ⓒ維澄ヨウ/曽根原ツタ/ファンギルド</v>
      </c>
      <c r="V3596" s="8"/>
      <c r="W3596" s="8"/>
      <c r="X3596" s="8" t="str">
        <f>IFERROR(__xludf.DUMMYFUNCTION("""COMPUTED_VALUE"""),"有")</f>
        <v>有</v>
      </c>
      <c r="Y3596" s="8" t="str">
        <f>IFERROR(__xludf.DUMMYFUNCTION("""COMPUTED_VALUE"""),"P10まで")</f>
        <v>P10まで</v>
      </c>
      <c r="Z3596" s="7"/>
      <c r="AA3596" s="7"/>
      <c r="AB3596" s="7"/>
    </row>
    <row r="3597" ht="15.75" customHeight="1">
      <c r="A3597" s="26">
        <f>IFERROR(__xludf.DUMMYFUNCTION("""COMPUTED_VALUE"""),6009.0)</f>
        <v>6009</v>
      </c>
      <c r="B3597" s="22" t="str">
        <f>IFERROR(__xludf.DUMMYFUNCTION("""COMPUTED_VALUE"""),"確定")</f>
        <v>確定</v>
      </c>
      <c r="C3597" s="28">
        <f>IFERROR(__xludf.DUMMYFUNCTION("""COMPUTED_VALUE"""),45845.0)</f>
        <v>45845</v>
      </c>
      <c r="D3597" s="28">
        <f>IFERROR(__xludf.DUMMYFUNCTION("""COMPUTED_VALUE"""),45847.0)</f>
        <v>45847</v>
      </c>
      <c r="E3597" s="26">
        <f>IFERROR(__xludf.DUMMYFUNCTION("""COMPUTED_VALUE"""),328894.0)</f>
        <v>328894</v>
      </c>
      <c r="F3597" s="22" t="str">
        <f>IFERROR(__xludf.DUMMYFUNCTION("""COMPUTED_VALUE"""),"意中人")</f>
        <v>意中人</v>
      </c>
      <c r="G3597" s="20" t="str">
        <f>IFERROR(__xludf.DUMMYFUNCTION("""COMPUTED_VALUE"""),"1～4")</f>
        <v>1～4</v>
      </c>
      <c r="H3597" s="22" t="str">
        <f>IFERROR(__xludf.DUMMYFUNCTION("""COMPUTED_VALUE"""),"奇了漫画工作室")</f>
        <v>奇了漫画工作室</v>
      </c>
      <c r="I3597" s="22" t="str">
        <f>IFERROR(__xludf.DUMMYFUNCTION("""COMPUTED_VALUE"""),"BL")</f>
        <v>BL</v>
      </c>
      <c r="J3597" s="22"/>
      <c r="K3597" s="22"/>
      <c r="L3597" s="22" t="str">
        <f>IFERROR(__xludf.DUMMYFUNCTION("""COMPUTED_VALUE"""),"Rush!")</f>
        <v>Rush!</v>
      </c>
      <c r="M3597" s="33">
        <f>IFERROR(__xludf.DUMMYFUNCTION("""COMPUTED_VALUE"""),45875.0)</f>
        <v>45875</v>
      </c>
      <c r="N3597" s="33">
        <f>IFERROR(__xludf.DUMMYFUNCTION("""COMPUTED_VALUE"""),45909.0)</f>
        <v>45909</v>
      </c>
      <c r="O3597" s="20"/>
      <c r="P3597" s="32" t="str">
        <f>IFERROR(__xludf.DUMMYFUNCTION("""COMPUTED_VALUE"""),"可")</f>
        <v>可</v>
      </c>
      <c r="Q3597" s="30"/>
      <c r="R3597" s="22"/>
      <c r="S3597" s="22" t="str">
        <f>IFERROR(__xludf.DUMMYFUNCTION("""COMPUTED_VALUE"""),"20250707_ファンギルド_意中人")</f>
        <v>20250707_ファンギルド_意中人</v>
      </c>
      <c r="T3597" s="22" t="str">
        <f>IFERROR(__xludf.DUMMYFUNCTION("""COMPUTED_VALUE"""),"格納済み")</f>
        <v>格納済み</v>
      </c>
      <c r="U3597" s="9" t="str">
        <f>IFERROR(__xludf.DUMMYFUNCTION("""COMPUTED_VALUE"""),"Ⓒ奇了漫画工作室")</f>
        <v>Ⓒ奇了漫画工作室</v>
      </c>
      <c r="V3597" s="8"/>
      <c r="W3597" s="8"/>
      <c r="X3597" s="8" t="str">
        <f>IFERROR(__xludf.DUMMYFUNCTION("""COMPUTED_VALUE"""),"有")</f>
        <v>有</v>
      </c>
      <c r="Y3597" s="8" t="str">
        <f>IFERROR(__xludf.DUMMYFUNCTION("""COMPUTED_VALUE"""),"P20まで")</f>
        <v>P20まで</v>
      </c>
      <c r="Z3597" s="7"/>
      <c r="AA3597" s="7"/>
      <c r="AB3597" s="7"/>
    </row>
    <row r="3598" ht="15.75" customHeight="1">
      <c r="A3598" s="26">
        <f>IFERROR(__xludf.DUMMYFUNCTION("""COMPUTED_VALUE"""),6010.0)</f>
        <v>6010</v>
      </c>
      <c r="B3598" s="22" t="str">
        <f>IFERROR(__xludf.DUMMYFUNCTION("""COMPUTED_VALUE"""),"確定")</f>
        <v>確定</v>
      </c>
      <c r="C3598" s="28">
        <f>IFERROR(__xludf.DUMMYFUNCTION("""COMPUTED_VALUE"""),45845.0)</f>
        <v>45845</v>
      </c>
      <c r="D3598" s="28">
        <f>IFERROR(__xludf.DUMMYFUNCTION("""COMPUTED_VALUE"""),45847.0)</f>
        <v>45847</v>
      </c>
      <c r="E3598" s="26">
        <f>IFERROR(__xludf.DUMMYFUNCTION("""COMPUTED_VALUE"""),330502.0)</f>
        <v>330502</v>
      </c>
      <c r="F3598" s="22" t="str">
        <f>IFERROR(__xludf.DUMMYFUNCTION("""COMPUTED_VALUE"""),"純白の世界")</f>
        <v>純白の世界</v>
      </c>
      <c r="G3598" s="20">
        <f>IFERROR(__xludf.DUMMYFUNCTION("""COMPUTED_VALUE"""),1.0)</f>
        <v>1</v>
      </c>
      <c r="H3598" s="22" t="str">
        <f>IFERROR(__xludf.DUMMYFUNCTION("""COMPUTED_VALUE"""),"ss")</f>
        <v>ss</v>
      </c>
      <c r="I3598" s="22" t="str">
        <f>IFERROR(__xludf.DUMMYFUNCTION("""COMPUTED_VALUE"""),"BL")</f>
        <v>BL</v>
      </c>
      <c r="J3598" s="22"/>
      <c r="K3598" s="22"/>
      <c r="L3598" s="22" t="str">
        <f>IFERROR(__xludf.DUMMYFUNCTION("""COMPUTED_VALUE"""),"Rush!")</f>
        <v>Rush!</v>
      </c>
      <c r="M3598" s="33">
        <f>IFERROR(__xludf.DUMMYFUNCTION("""COMPUTED_VALUE"""),45875.0)</f>
        <v>45875</v>
      </c>
      <c r="N3598" s="33">
        <f>IFERROR(__xludf.DUMMYFUNCTION("""COMPUTED_VALUE"""),45902.0)</f>
        <v>45902</v>
      </c>
      <c r="O3598" s="20"/>
      <c r="P3598" s="32" t="str">
        <f>IFERROR(__xludf.DUMMYFUNCTION("""COMPUTED_VALUE"""),"可")</f>
        <v>可</v>
      </c>
      <c r="Q3598" s="30"/>
      <c r="R3598" s="22"/>
      <c r="S3598" s="22" t="str">
        <f>IFERROR(__xludf.DUMMYFUNCTION("""COMPUTED_VALUE"""),"20250707_ファンギルド_純白の世界")</f>
        <v>20250707_ファンギルド_純白の世界</v>
      </c>
      <c r="T3598" s="22" t="str">
        <f>IFERROR(__xludf.DUMMYFUNCTION("""COMPUTED_VALUE"""),"格納済み")</f>
        <v>格納済み</v>
      </c>
      <c r="U3598" s="9" t="str">
        <f>IFERROR(__xludf.DUMMYFUNCTION("""COMPUTED_VALUE"""),"Ⓒss/Polarfox")</f>
        <v>Ⓒss/Polarfox</v>
      </c>
      <c r="V3598" s="8"/>
      <c r="W3598" s="8"/>
      <c r="X3598" s="8" t="str">
        <f>IFERROR(__xludf.DUMMYFUNCTION("""COMPUTED_VALUE"""),"有")</f>
        <v>有</v>
      </c>
      <c r="Y3598" s="8" t="str">
        <f>IFERROR(__xludf.DUMMYFUNCTION("""COMPUTED_VALUE"""),"P10まで")</f>
        <v>P10まで</v>
      </c>
      <c r="Z3598" s="7"/>
      <c r="AA3598" s="7"/>
      <c r="AB3598" s="7"/>
    </row>
    <row r="3599" ht="15.75" customHeight="1">
      <c r="A3599" s="26">
        <f>IFERROR(__xludf.DUMMYFUNCTION("""COMPUTED_VALUE"""),6011.0)</f>
        <v>6011</v>
      </c>
      <c r="B3599" s="22" t="str">
        <f>IFERROR(__xludf.DUMMYFUNCTION("""COMPUTED_VALUE"""),"確定")</f>
        <v>確定</v>
      </c>
      <c r="C3599" s="28">
        <f>IFERROR(__xludf.DUMMYFUNCTION("""COMPUTED_VALUE"""),45845.0)</f>
        <v>45845</v>
      </c>
      <c r="D3599" s="28">
        <f>IFERROR(__xludf.DUMMYFUNCTION("""COMPUTED_VALUE"""),45847.0)</f>
        <v>45847</v>
      </c>
      <c r="E3599" s="26">
        <f>IFERROR(__xludf.DUMMYFUNCTION("""COMPUTED_VALUE"""),330511.0)</f>
        <v>330511</v>
      </c>
      <c r="F3599" s="22" t="str">
        <f>IFERROR(__xludf.DUMMYFUNCTION("""COMPUTED_VALUE"""),"クズの快楽")</f>
        <v>クズの快楽</v>
      </c>
      <c r="G3599" s="20" t="str">
        <f>IFERROR(__xludf.DUMMYFUNCTION("""COMPUTED_VALUE"""),"1～3")</f>
        <v>1～3</v>
      </c>
      <c r="H3599" s="22" t="str">
        <f>IFERROR(__xludf.DUMMYFUNCTION("""COMPUTED_VALUE"""),"Dokta/NENEV/Defiler")</f>
        <v>Dokta/NENEV/Defiler</v>
      </c>
      <c r="I3599" s="22" t="str">
        <f>IFERROR(__xludf.DUMMYFUNCTION("""COMPUTED_VALUE"""),"青年")</f>
        <v>青年</v>
      </c>
      <c r="J3599" s="22"/>
      <c r="K3599" s="22"/>
      <c r="L3599" s="22" t="str">
        <f>IFERROR(__xludf.DUMMYFUNCTION("""COMPUTED_VALUE"""),"Rush!")</f>
        <v>Rush!</v>
      </c>
      <c r="M3599" s="33">
        <f>IFERROR(__xludf.DUMMYFUNCTION("""COMPUTED_VALUE"""),45884.0)</f>
        <v>45884</v>
      </c>
      <c r="N3599" s="33">
        <f>IFERROR(__xludf.DUMMYFUNCTION("""COMPUTED_VALUE"""),45911.0)</f>
        <v>45911</v>
      </c>
      <c r="O3599" s="20"/>
      <c r="P3599" s="32" t="str">
        <f>IFERROR(__xludf.DUMMYFUNCTION("""COMPUTED_VALUE"""),"可")</f>
        <v>可</v>
      </c>
      <c r="Q3599" s="30" t="str">
        <f>IFERROR(__xludf.DUMMYFUNCTION("""COMPUTED_VALUE"""),"【アダルト作品扱い】
")</f>
        <v>【アダルト作品扱い】
</v>
      </c>
      <c r="R3599" s="22"/>
      <c r="S3599" s="22" t="str">
        <f>IFERROR(__xludf.DUMMYFUNCTION("""COMPUTED_VALUE"""),"20250707_ファンギルド_クズの快楽")</f>
        <v>20250707_ファンギルド_クズの快楽</v>
      </c>
      <c r="T3599" s="22" t="str">
        <f>IFERROR(__xludf.DUMMYFUNCTION("""COMPUTED_VALUE"""),"格納済み")</f>
        <v>格納済み</v>
      </c>
      <c r="U3599" s="9" t="str">
        <f>IFERROR(__xludf.DUMMYFUNCTION("""COMPUTED_VALUE"""),"ⒸDokta/NENEV/Defiler/TOPTOON")</f>
        <v>ⒸDokta/NENEV/Defiler/TOPTOON</v>
      </c>
      <c r="V3599" s="8"/>
      <c r="W3599" s="8"/>
      <c r="X3599" s="8" t="str">
        <f>IFERROR(__xludf.DUMMYFUNCTION("""COMPUTED_VALUE"""),"有")</f>
        <v>有</v>
      </c>
      <c r="Y3599" s="8" t="str">
        <f>IFERROR(__xludf.DUMMYFUNCTION("""COMPUTED_VALUE"""),"P20まで")</f>
        <v>P20まで</v>
      </c>
      <c r="Z3599" s="7"/>
      <c r="AA3599" s="7"/>
      <c r="AB3599" s="7"/>
    </row>
    <row r="3600" ht="15.75" customHeight="1">
      <c r="A3600" s="26">
        <f>IFERROR(__xludf.DUMMYFUNCTION("""COMPUTED_VALUE"""),6012.0)</f>
        <v>6012</v>
      </c>
      <c r="B3600" s="22" t="str">
        <f>IFERROR(__xludf.DUMMYFUNCTION("""COMPUTED_VALUE"""),"確定")</f>
        <v>確定</v>
      </c>
      <c r="C3600" s="28">
        <f>IFERROR(__xludf.DUMMYFUNCTION("""COMPUTED_VALUE"""),45845.0)</f>
        <v>45845</v>
      </c>
      <c r="D3600" s="28">
        <f>IFERROR(__xludf.DUMMYFUNCTION("""COMPUTED_VALUE"""),45847.0)</f>
        <v>45847</v>
      </c>
      <c r="E3600" s="26">
        <f>IFERROR(__xludf.DUMMYFUNCTION("""COMPUTED_VALUE"""),330515.0)</f>
        <v>330515</v>
      </c>
      <c r="F3600" s="22" t="str">
        <f>IFERROR(__xludf.DUMMYFUNCTION("""COMPUTED_VALUE"""),"もう一度、君に")</f>
        <v>もう一度、君に</v>
      </c>
      <c r="G3600" s="20" t="str">
        <f>IFERROR(__xludf.DUMMYFUNCTION("""COMPUTED_VALUE"""),"1～3")</f>
        <v>1～3</v>
      </c>
      <c r="H3600" s="22" t="str">
        <f>IFERROR(__xludf.DUMMYFUNCTION("""COMPUTED_VALUE"""),"duck")</f>
        <v>duck</v>
      </c>
      <c r="I3600" s="22" t="str">
        <f>IFERROR(__xludf.DUMMYFUNCTION("""COMPUTED_VALUE"""),"青年")</f>
        <v>青年</v>
      </c>
      <c r="J3600" s="22"/>
      <c r="K3600" s="22"/>
      <c r="L3600" s="22" t="str">
        <f>IFERROR(__xludf.DUMMYFUNCTION("""COMPUTED_VALUE"""),"Rush!")</f>
        <v>Rush!</v>
      </c>
      <c r="M3600" s="33">
        <f>IFERROR(__xludf.DUMMYFUNCTION("""COMPUTED_VALUE"""),45877.0)</f>
        <v>45877</v>
      </c>
      <c r="N3600" s="33">
        <f>IFERROR(__xludf.DUMMYFUNCTION("""COMPUTED_VALUE"""),45904.0)</f>
        <v>45904</v>
      </c>
      <c r="O3600" s="20"/>
      <c r="P3600" s="32" t="str">
        <f>IFERROR(__xludf.DUMMYFUNCTION("""COMPUTED_VALUE"""),"可")</f>
        <v>可</v>
      </c>
      <c r="Q3600" s="30"/>
      <c r="R3600" s="22"/>
      <c r="S3600" s="22" t="str">
        <f>IFERROR(__xludf.DUMMYFUNCTION("""COMPUTED_VALUE"""),"20250707_ファンギルド_もう一度、君に")</f>
        <v>20250707_ファンギルド_もう一度、君に</v>
      </c>
      <c r="T3600" s="22" t="str">
        <f>IFERROR(__xludf.DUMMYFUNCTION("""COMPUTED_VALUE"""),"格納済み")</f>
        <v>格納済み</v>
      </c>
      <c r="U3600" s="9" t="str">
        <f>IFERROR(__xludf.DUMMYFUNCTION("""COMPUTED_VALUE"""),"Ⓒduck/TOPTOON")</f>
        <v>Ⓒduck/TOPTOON</v>
      </c>
      <c r="V3600" s="8"/>
      <c r="W3600" s="8"/>
      <c r="X3600" s="8" t="str">
        <f>IFERROR(__xludf.DUMMYFUNCTION("""COMPUTED_VALUE"""),"有")</f>
        <v>有</v>
      </c>
      <c r="Y3600" s="8" t="str">
        <f>IFERROR(__xludf.DUMMYFUNCTION("""COMPUTED_VALUE"""),"P21まで")</f>
        <v>P21まで</v>
      </c>
      <c r="Z3600" s="7"/>
      <c r="AA3600" s="7"/>
      <c r="AB3600" s="7"/>
    </row>
    <row r="3601" ht="15.75" customHeight="1">
      <c r="A3601" s="26">
        <f>IFERROR(__xludf.DUMMYFUNCTION("""COMPUTED_VALUE"""),6016.0)</f>
        <v>6016</v>
      </c>
      <c r="B3601" s="22" t="str">
        <f>IFERROR(__xludf.DUMMYFUNCTION("""COMPUTED_VALUE"""),"確定")</f>
        <v>確定</v>
      </c>
      <c r="C3601" s="28">
        <f>IFERROR(__xludf.DUMMYFUNCTION("""COMPUTED_VALUE"""),45845.0)</f>
        <v>45845</v>
      </c>
      <c r="D3601" s="28">
        <f>IFERROR(__xludf.DUMMYFUNCTION("""COMPUTED_VALUE"""),45846.0)</f>
        <v>45846</v>
      </c>
      <c r="E3601" s="26">
        <f>IFERROR(__xludf.DUMMYFUNCTION("""COMPUTED_VALUE"""),329587.0)</f>
        <v>329587</v>
      </c>
      <c r="F3601" s="22" t="str">
        <f>IFERROR(__xludf.DUMMYFUNCTION("""COMPUTED_VALUE"""),"【フルカラー】大人の読書サークル")</f>
        <v>【フルカラー】大人の読書サークル</v>
      </c>
      <c r="G3601" s="20" t="str">
        <f>IFERROR(__xludf.DUMMYFUNCTION("""COMPUTED_VALUE"""),"1～4")</f>
        <v>1～4</v>
      </c>
      <c r="H3601" s="22" t="str">
        <f>IFERROR(__xludf.DUMMYFUNCTION("""COMPUTED_VALUE"""),"原作:gold_pochi / 作画:vanvan")</f>
        <v>原作:gold_pochi / 作画:vanvan</v>
      </c>
      <c r="I3601" s="22" t="str">
        <f>IFERROR(__xludf.DUMMYFUNCTION("""COMPUTED_VALUE"""),"TL")</f>
        <v>TL</v>
      </c>
      <c r="J3601" s="22"/>
      <c r="K3601" s="22"/>
      <c r="L3601" s="22" t="str">
        <f>IFERROR(__xludf.DUMMYFUNCTION("""COMPUTED_VALUE"""),"レジンコミックス")</f>
        <v>レジンコミックス</v>
      </c>
      <c r="M3601" s="33">
        <f>IFERROR(__xludf.DUMMYFUNCTION("""COMPUTED_VALUE"""),45854.0)</f>
        <v>45854</v>
      </c>
      <c r="N3601" s="33">
        <f>IFERROR(__xludf.DUMMYFUNCTION("""COMPUTED_VALUE"""),45946.0)</f>
        <v>45946</v>
      </c>
      <c r="O3601" s="20"/>
      <c r="P3601" s="32" t="str">
        <f>IFERROR(__xludf.DUMMYFUNCTION("""COMPUTED_VALUE"""),"可")</f>
        <v>可</v>
      </c>
      <c r="Q3601" s="30" t="str">
        <f>IFERROR(__xludf.DUMMYFUNCTION("""COMPUTED_VALUE"""),"素材は全て使用していただいて問題ございません。&lt;BR&gt;配信日までの期間が短いため可能なタイミングからの出稿よろしくお願いいたします。")</f>
        <v>素材は全て使用していただいて問題ございません。&lt;BR&gt;配信日までの期間が短いため可能なタイミングからの出稿よろしくお願いいたします。</v>
      </c>
      <c r="R3601" s="22"/>
      <c r="S3601" s="22" t="str">
        <f>IFERROR(__xludf.DUMMYFUNCTION("""COMPUTED_VALUE"""),"20250708_レジンコミックス_大人の読書サークル【フルカラー】")</f>
        <v>20250708_レジンコミックス_大人の読書サークル【フルカラー】</v>
      </c>
      <c r="T3601" s="22" t="str">
        <f>IFERROR(__xludf.DUMMYFUNCTION("""COMPUTED_VALUE"""),"格納済み")</f>
        <v>格納済み</v>
      </c>
      <c r="U3601" s="9" t="str">
        <f>IFERROR(__xludf.DUMMYFUNCTION("""COMPUTED_VALUE"""),"Ⓒ 原作:gold_pochi / 作画:vanvan / レジンコミックス")</f>
        <v>Ⓒ 原作:gold_pochi / 作画:vanvan / レジンコミックス</v>
      </c>
      <c r="V3601" s="8"/>
      <c r="W3601" s="8"/>
      <c r="X3601" s="8" t="str">
        <f>IFERROR(__xludf.DUMMYFUNCTION("""COMPUTED_VALUE"""),"有")</f>
        <v>有</v>
      </c>
      <c r="Y3601" s="8" t="str">
        <f>IFERROR(__xludf.DUMMYFUNCTION("""COMPUTED_VALUE"""),"2025/7/20まで1巻無料")</f>
        <v>2025/7/20まで1巻無料</v>
      </c>
      <c r="Z3601" s="7"/>
      <c r="AA3601" s="7"/>
      <c r="AB3601" s="7"/>
    </row>
    <row r="3602" ht="15.75" customHeight="1">
      <c r="A3602" s="26">
        <f>IFERROR(__xludf.DUMMYFUNCTION("""COMPUTED_VALUE"""),6017.0)</f>
        <v>6017</v>
      </c>
      <c r="B3602" s="22" t="str">
        <f>IFERROR(__xludf.DUMMYFUNCTION("""COMPUTED_VALUE"""),"確定")</f>
        <v>確定</v>
      </c>
      <c r="C3602" s="28">
        <f>IFERROR(__xludf.DUMMYFUNCTION("""COMPUTED_VALUE"""),45845.0)</f>
        <v>45845</v>
      </c>
      <c r="D3602" s="28">
        <f>IFERROR(__xludf.DUMMYFUNCTION("""COMPUTED_VALUE"""),45846.0)</f>
        <v>45846</v>
      </c>
      <c r="E3602" s="26">
        <f>IFERROR(__xludf.DUMMYFUNCTION("""COMPUTED_VALUE"""),329589.0)</f>
        <v>329589</v>
      </c>
      <c r="F3602" s="22" t="str">
        <f>IFERROR(__xludf.DUMMYFUNCTION("""COMPUTED_VALUE"""),"【フルカラー】エステでの出来事")</f>
        <v>【フルカラー】エステでの出来事</v>
      </c>
      <c r="G3602" s="20" t="str">
        <f>IFERROR(__xludf.DUMMYFUNCTION("""COMPUTED_VALUE"""),"1～4")</f>
        <v>1～4</v>
      </c>
      <c r="H3602" s="22" t="str">
        <f>IFERROR(__xludf.DUMMYFUNCTION("""COMPUTED_VALUE"""),"原作:Neulhana / 作画:Alice Crazy")</f>
        <v>原作:Neulhana / 作画:Alice Crazy</v>
      </c>
      <c r="I3602" s="22" t="str">
        <f>IFERROR(__xludf.DUMMYFUNCTION("""COMPUTED_VALUE"""),"青年")</f>
        <v>青年</v>
      </c>
      <c r="J3602" s="22"/>
      <c r="K3602" s="22"/>
      <c r="L3602" s="22" t="str">
        <f>IFERROR(__xludf.DUMMYFUNCTION("""COMPUTED_VALUE"""),"レジンコミックス")</f>
        <v>レジンコミックス</v>
      </c>
      <c r="M3602" s="33">
        <f>IFERROR(__xludf.DUMMYFUNCTION("""COMPUTED_VALUE"""),45854.0)</f>
        <v>45854</v>
      </c>
      <c r="N3602" s="33">
        <f>IFERROR(__xludf.DUMMYFUNCTION("""COMPUTED_VALUE"""),45946.0)</f>
        <v>45946</v>
      </c>
      <c r="O3602" s="20"/>
      <c r="P3602" s="32" t="str">
        <f>IFERROR(__xludf.DUMMYFUNCTION("""COMPUTED_VALUE"""),"可")</f>
        <v>可</v>
      </c>
      <c r="Q3602" s="30" t="str">
        <f>IFERROR(__xludf.DUMMYFUNCTION("""COMPUTED_VALUE"""),"素材は全て使用していただいて問題ございません。&lt;BR&gt;配信日までの期間が短いため可能なタイミングからの出稿よろしくお願いいたします。")</f>
        <v>素材は全て使用していただいて問題ございません。&lt;BR&gt;配信日までの期間が短いため可能なタイミングからの出稿よろしくお願いいたします。</v>
      </c>
      <c r="R3602" s="22"/>
      <c r="S3602" s="22" t="str">
        <f>IFERROR(__xludf.DUMMYFUNCTION("""COMPUTED_VALUE"""),"20250708_レジンコミックス_エステでの出来事【フルカラー】")</f>
        <v>20250708_レジンコミックス_エステでの出来事【フルカラー】</v>
      </c>
      <c r="T3602" s="22" t="str">
        <f>IFERROR(__xludf.DUMMYFUNCTION("""COMPUTED_VALUE"""),"格納済み")</f>
        <v>格納済み</v>
      </c>
      <c r="U3602" s="9" t="str">
        <f>IFERROR(__xludf.DUMMYFUNCTION("""COMPUTED_VALUE"""),"Ⓒ 原作:Neulhana / 作画:Alice Crazy / レジンコミックス")</f>
        <v>Ⓒ 原作:Neulhana / 作画:Alice Crazy / レジンコミックス</v>
      </c>
      <c r="V3602" s="8"/>
      <c r="W3602" s="8"/>
      <c r="X3602" s="8" t="str">
        <f>IFERROR(__xludf.DUMMYFUNCTION("""COMPUTED_VALUE"""),"有")</f>
        <v>有</v>
      </c>
      <c r="Y3602" s="8" t="str">
        <f>IFERROR(__xludf.DUMMYFUNCTION("""COMPUTED_VALUE"""),"2025/7/20まで1巻無料")</f>
        <v>2025/7/20まで1巻無料</v>
      </c>
      <c r="Z3602" s="7"/>
      <c r="AA3602" s="7"/>
      <c r="AB3602" s="7"/>
    </row>
    <row r="3603" ht="15.75" customHeight="1">
      <c r="A3603" s="26">
        <f>IFERROR(__xludf.DUMMYFUNCTION("""COMPUTED_VALUE"""),6029.0)</f>
        <v>6029</v>
      </c>
      <c r="B3603" s="22" t="str">
        <f>IFERROR(__xludf.DUMMYFUNCTION("""COMPUTED_VALUE"""),"確定")</f>
        <v>確定</v>
      </c>
      <c r="C3603" s="28">
        <f>IFERROR(__xludf.DUMMYFUNCTION("""COMPUTED_VALUE"""),45846.0)</f>
        <v>45846</v>
      </c>
      <c r="D3603" s="28">
        <f>IFERROR(__xludf.DUMMYFUNCTION("""COMPUTED_VALUE"""),45847.0)</f>
        <v>45847</v>
      </c>
      <c r="E3603" s="26">
        <f>IFERROR(__xludf.DUMMYFUNCTION("""COMPUTED_VALUE"""),331702.0)</f>
        <v>331702</v>
      </c>
      <c r="F3603" s="22" t="str">
        <f>IFERROR(__xludf.DUMMYFUNCTION("""COMPUTED_VALUE"""),"ダウナーなデカ乳メイドさんはお仕置きご奉仕をおねだりする。～本性は下品でドスケベすぎる積極的な召使い～")</f>
        <v>ダウナーなデカ乳メイドさんはお仕置きご奉仕をおねだりする。～本性は下品でドスケベすぎる積極的な召使い～</v>
      </c>
      <c r="G3603" s="20" t="str">
        <f>IFERROR(__xludf.DUMMYFUNCTION("""COMPUTED_VALUE"""),"1～3")</f>
        <v>1～3</v>
      </c>
      <c r="H3603" s="22" t="str">
        <f>IFERROR(__xludf.DUMMYFUNCTION("""COMPUTED_VALUE"""),"1号,AkibaComic")</f>
        <v>1号,AkibaComic</v>
      </c>
      <c r="I3603" s="22" t="str">
        <f>IFERROR(__xludf.DUMMYFUNCTION("""COMPUTED_VALUE"""),"アダルトマンガ")</f>
        <v>アダルトマンガ</v>
      </c>
      <c r="J3603" s="22"/>
      <c r="K3603" s="22"/>
      <c r="L3603" s="22" t="str">
        <f>IFERROR(__xludf.DUMMYFUNCTION("""COMPUTED_VALUE"""),"セ・キララ文庫")</f>
        <v>セ・キララ文庫</v>
      </c>
      <c r="M3603" s="33">
        <f>IFERROR(__xludf.DUMMYFUNCTION("""COMPUTED_VALUE"""),45877.0)</f>
        <v>45877</v>
      </c>
      <c r="N3603" s="33">
        <f>IFERROR(__xludf.DUMMYFUNCTION("""COMPUTED_VALUE"""),45909.0)</f>
        <v>45909</v>
      </c>
      <c r="O3603" s="20"/>
      <c r="P3603" s="32" t="str">
        <f>IFERROR(__xludf.DUMMYFUNCTION("""COMPUTED_VALUE"""),"可")</f>
        <v>可</v>
      </c>
      <c r="Q3603" s="30"/>
      <c r="R3603" s="22"/>
      <c r="S3603" s="22" t="str">
        <f>IFERROR(__xludf.DUMMYFUNCTION("""COMPUTED_VALUE"""),"20250708_ライドオン_ダウナーなデカ乳メイドさんはお仕置きご奉仕をおねだりする。")</f>
        <v>20250708_ライドオン_ダウナーなデカ乳メイドさんはお仕置きご奉仕をおねだりする。</v>
      </c>
      <c r="T3603" s="22" t="str">
        <f>IFERROR(__xludf.DUMMYFUNCTION("""COMPUTED_VALUE"""),"格納済み")</f>
        <v>格納済み</v>
      </c>
      <c r="U3603" s="9" t="str">
        <f>IFERROR(__xludf.DUMMYFUNCTION("""COMPUTED_VALUE"""),"Ⓒ1号/AkibaComic")</f>
        <v>Ⓒ1号/AkibaComic</v>
      </c>
      <c r="V3603" s="8"/>
      <c r="W3603" s="8"/>
      <c r="X3603" s="8" t="str">
        <f>IFERROR(__xludf.DUMMYFUNCTION("""COMPUTED_VALUE"""),"有")</f>
        <v>有</v>
      </c>
      <c r="Y3603" s="8" t="str">
        <f>IFERROR(__xludf.DUMMYFUNCTION("""COMPUTED_VALUE"""),"P12まで")</f>
        <v>P12まで</v>
      </c>
      <c r="Z3603" s="7"/>
      <c r="AA3603" s="7"/>
      <c r="AB3603" s="7"/>
    </row>
    <row r="3604" ht="15.75" customHeight="1">
      <c r="A3604" s="26">
        <f>IFERROR(__xludf.DUMMYFUNCTION("""COMPUTED_VALUE"""),6030.0)</f>
        <v>6030</v>
      </c>
      <c r="B3604" s="22" t="str">
        <f>IFERROR(__xludf.DUMMYFUNCTION("""COMPUTED_VALUE"""),"確定")</f>
        <v>確定</v>
      </c>
      <c r="C3604" s="28">
        <f>IFERROR(__xludf.DUMMYFUNCTION("""COMPUTED_VALUE"""),45846.0)</f>
        <v>45846</v>
      </c>
      <c r="D3604" s="28">
        <f>IFERROR(__xludf.DUMMYFUNCTION("""COMPUTED_VALUE"""),45847.0)</f>
        <v>45847</v>
      </c>
      <c r="E3604" s="26">
        <f>IFERROR(__xludf.DUMMYFUNCTION("""COMPUTED_VALUE"""),331703.0)</f>
        <v>331703</v>
      </c>
      <c r="F3604" s="22" t="str">
        <f>IFERROR(__xludf.DUMMYFUNCTION("""COMPUTED_VALUE"""),"隣部屋に住む人妻が学生時代の憧れの先輩だったので、純愛NTRで光堕ちさせた話")</f>
        <v>隣部屋に住む人妻が学生時代の憧れの先輩だったので、純愛NTRで光堕ちさせた話</v>
      </c>
      <c r="G3604" s="20" t="str">
        <f>IFERROR(__xludf.DUMMYFUNCTION("""COMPUTED_VALUE"""),"1～2")</f>
        <v>1～2</v>
      </c>
      <c r="H3604" s="22" t="str">
        <f>IFERROR(__xludf.DUMMYFUNCTION("""COMPUTED_VALUE"""),"糸田しゅんた,AkibaComic")</f>
        <v>糸田しゅんた,AkibaComic</v>
      </c>
      <c r="I3604" s="22" t="str">
        <f>IFERROR(__xludf.DUMMYFUNCTION("""COMPUTED_VALUE"""),"アダルトマンガ")</f>
        <v>アダルトマンガ</v>
      </c>
      <c r="J3604" s="22"/>
      <c r="K3604" s="22"/>
      <c r="L3604" s="22" t="str">
        <f>IFERROR(__xludf.DUMMYFUNCTION("""COMPUTED_VALUE"""),"セ・キララ文庫")</f>
        <v>セ・キララ文庫</v>
      </c>
      <c r="M3604" s="33">
        <f>IFERROR(__xludf.DUMMYFUNCTION("""COMPUTED_VALUE"""),45877.0)</f>
        <v>45877</v>
      </c>
      <c r="N3604" s="33">
        <f>IFERROR(__xludf.DUMMYFUNCTION("""COMPUTED_VALUE"""),45909.0)</f>
        <v>45909</v>
      </c>
      <c r="O3604" s="20"/>
      <c r="P3604" s="32" t="str">
        <f>IFERROR(__xludf.DUMMYFUNCTION("""COMPUTED_VALUE"""),"可")</f>
        <v>可</v>
      </c>
      <c r="Q3604" s="30"/>
      <c r="R3604" s="22"/>
      <c r="S3604" s="22" t="str">
        <f>IFERROR(__xludf.DUMMYFUNCTION("""COMPUTED_VALUE"""),"20250708_ライドオン_隣部屋に住む人妻が学生時代の憧れの先輩だったので、純愛NTRで光堕ちさせた話")</f>
        <v>20250708_ライドオン_隣部屋に住む人妻が学生時代の憧れの先輩だったので、純愛NTRで光堕ちさせた話</v>
      </c>
      <c r="T3604" s="22" t="str">
        <f>IFERROR(__xludf.DUMMYFUNCTION("""COMPUTED_VALUE"""),"格納済み")</f>
        <v>格納済み</v>
      </c>
      <c r="U3604" s="9" t="str">
        <f>IFERROR(__xludf.DUMMYFUNCTION("""COMPUTED_VALUE"""),"Ⓒ糸田しゅんた/AkibaComic")</f>
        <v>Ⓒ糸田しゅんた/AkibaComic</v>
      </c>
      <c r="V3604" s="8"/>
      <c r="W3604" s="8"/>
      <c r="X3604" s="8" t="str">
        <f>IFERROR(__xludf.DUMMYFUNCTION("""COMPUTED_VALUE"""),"有")</f>
        <v>有</v>
      </c>
      <c r="Y3604" s="8" t="str">
        <f>IFERROR(__xludf.DUMMYFUNCTION("""COMPUTED_VALUE"""),"P12まで")</f>
        <v>P12まで</v>
      </c>
      <c r="Z3604" s="7"/>
      <c r="AA3604" s="7"/>
      <c r="AB3604" s="7"/>
    </row>
    <row r="3605" ht="15.75" customHeight="1">
      <c r="A3605" s="221">
        <f>IFERROR(__xludf.DUMMYFUNCTION("""COMPUTED_VALUE"""),6031.0)</f>
        <v>6031</v>
      </c>
      <c r="B3605" s="222" t="str">
        <f>IFERROR(__xludf.DUMMYFUNCTION("""COMPUTED_VALUE"""),"確定")</f>
        <v>確定</v>
      </c>
      <c r="C3605" s="223">
        <f>IFERROR(__xludf.DUMMYFUNCTION("""COMPUTED_VALUE"""),45846.0)</f>
        <v>45846</v>
      </c>
      <c r="D3605" s="223">
        <f>IFERROR(__xludf.DUMMYFUNCTION("""COMPUTED_VALUE"""),45847.0)</f>
        <v>45847</v>
      </c>
      <c r="E3605" s="221" t="str">
        <f>IFERROR(__xludf.DUMMYFUNCTION("""COMPUTED_VALUE"""),"ー")</f>
        <v>ー</v>
      </c>
      <c r="F3605" s="222" t="str">
        <f>IFERROR(__xludf.DUMMYFUNCTION("""COMPUTED_VALUE"""),"幼馴染ごっこに沼ってます　配信日延期で、配信見込みがないため取り下げ")</f>
        <v>幼馴染ごっこに沼ってます　配信日延期で、配信見込みがないため取り下げ</v>
      </c>
      <c r="G3605" s="224" t="str">
        <f>IFERROR(__xludf.DUMMYFUNCTION("""COMPUTED_VALUE"""),"1～4")</f>
        <v>1～4</v>
      </c>
      <c r="H3605" s="222" t="str">
        <f>IFERROR(__xludf.DUMMYFUNCTION("""COMPUTED_VALUE"""),"桔梗シロ")</f>
        <v>桔梗シロ</v>
      </c>
      <c r="I3605" s="222" t="str">
        <f>IFERROR(__xludf.DUMMYFUNCTION("""COMPUTED_VALUE"""),"少女マンガ")</f>
        <v>少女マンガ</v>
      </c>
      <c r="J3605" s="222"/>
      <c r="K3605" s="222"/>
      <c r="L3605" s="222" t="str">
        <f>IFERROR(__xludf.DUMMYFUNCTION("""COMPUTED_VALUE"""),"テライド出版")</f>
        <v>テライド出版</v>
      </c>
      <c r="M3605" s="225">
        <f>IFERROR(__xludf.DUMMYFUNCTION("""COMPUTED_VALUE"""),45883.0)</f>
        <v>45883</v>
      </c>
      <c r="N3605" s="225" t="str">
        <f>IFERROR(__xludf.DUMMYFUNCTION("""COMPUTED_VALUE"""),"配信から1か月後")</f>
        <v>配信から1か月後</v>
      </c>
      <c r="O3605" s="224"/>
      <c r="P3605" s="226" t="str">
        <f>IFERROR(__xludf.DUMMYFUNCTION("""COMPUTED_VALUE"""),"可")</f>
        <v>可</v>
      </c>
      <c r="Q3605" s="227"/>
      <c r="R3605" s="222"/>
      <c r="S3605" s="222" t="str">
        <f>IFERROR(__xludf.DUMMYFUNCTION("""COMPUTED_VALUE"""),"20250708_ライドオン_幼馴染ごっこに沼ってます")</f>
        <v>20250708_ライドオン_幼馴染ごっこに沼ってます</v>
      </c>
      <c r="T3605" s="222" t="str">
        <f>IFERROR(__xludf.DUMMYFUNCTION("""COMPUTED_VALUE"""),"格納済み")</f>
        <v>格納済み</v>
      </c>
      <c r="U3605" s="228" t="str">
        <f>IFERROR(__xludf.DUMMYFUNCTION("""COMPUTED_VALUE"""),"Ⓒ桔梗シロ/ AMUSE CREATIVE STUDIO")</f>
        <v>Ⓒ桔梗シロ/ AMUSE CREATIVE STUDIO</v>
      </c>
      <c r="V3605" s="229"/>
      <c r="W3605" s="229"/>
      <c r="X3605" s="8"/>
      <c r="Y3605" s="8"/>
      <c r="Z3605" s="7"/>
      <c r="AA3605" s="7"/>
      <c r="AB3605" s="7"/>
    </row>
    <row r="3606" ht="15.75" customHeight="1">
      <c r="A3606" s="26">
        <f>IFERROR(__xludf.DUMMYFUNCTION("""COMPUTED_VALUE"""),5685.0)</f>
        <v>5685</v>
      </c>
      <c r="B3606" s="22" t="str">
        <f>IFERROR(__xludf.DUMMYFUNCTION("""COMPUTED_VALUE"""),"確定")</f>
        <v>確定</v>
      </c>
      <c r="C3606" s="28">
        <f>IFERROR(__xludf.DUMMYFUNCTION("""COMPUTED_VALUE"""),45810.0)</f>
        <v>45810</v>
      </c>
      <c r="D3606" s="28">
        <f>IFERROR(__xludf.DUMMYFUNCTION("""COMPUTED_VALUE"""),45853.0)</f>
        <v>45853</v>
      </c>
      <c r="E3606" s="26">
        <f>IFERROR(__xludf.DUMMYFUNCTION("""COMPUTED_VALUE"""),328032.0)</f>
        <v>328032</v>
      </c>
      <c r="F3606" s="22" t="str">
        <f>IFERROR(__xludf.DUMMYFUNCTION("""COMPUTED_VALUE"""),"ドラゴンパパ探してます。")</f>
        <v>ドラゴンパパ探してます。</v>
      </c>
      <c r="G3606" s="20" t="str">
        <f>IFERROR(__xludf.DUMMYFUNCTION("""COMPUTED_VALUE"""),"1～3")</f>
        <v>1～3</v>
      </c>
      <c r="H3606" s="22" t="str">
        <f>IFERROR(__xludf.DUMMYFUNCTION("""COMPUTED_VALUE"""),"丹野ちくわぶ,佐々ミノル,みずかねりょう")</f>
        <v>丹野ちくわぶ,佐々ミノル,みずかねりょう</v>
      </c>
      <c r="I3606" s="22" t="str">
        <f>IFERROR(__xludf.DUMMYFUNCTION("""COMPUTED_VALUE"""),"BL")</f>
        <v>BL</v>
      </c>
      <c r="J3606" s="22"/>
      <c r="K3606" s="22" t="str">
        <f>IFERROR(__xludf.DUMMYFUNCTION("""COMPUTED_VALUE"""),"エクレアコミック")</f>
        <v>エクレアコミック</v>
      </c>
      <c r="L3606" s="22" t="str">
        <f>IFERROR(__xludf.DUMMYFUNCTION("""COMPUTED_VALUE"""),"MUGENUP")</f>
        <v>MUGENUP</v>
      </c>
      <c r="M3606" s="33">
        <f>IFERROR(__xludf.DUMMYFUNCTION("""COMPUTED_VALUE"""),45883.0)</f>
        <v>45883</v>
      </c>
      <c r="N3606" s="33">
        <f>IFERROR(__xludf.DUMMYFUNCTION("""COMPUTED_VALUE"""),45974.0)</f>
        <v>45974</v>
      </c>
      <c r="O3606" s="20"/>
      <c r="P3606" s="32" t="str">
        <f>IFERROR(__xludf.DUMMYFUNCTION("""COMPUTED_VALUE"""),"可")</f>
        <v>可</v>
      </c>
      <c r="Q3606" s="30" t="str">
        <f>IFERROR(__xludf.DUMMYFUNCTION("""COMPUTED_VALUE"""),"コミカライズ作品（https://www.cmoa.jp/title/1101440016/）")</f>
        <v>コミカライズ作品（https://www.cmoa.jp/title/1101440016/）</v>
      </c>
      <c r="R3606" s="22" t="str">
        <f>IFERROR(__xludf.DUMMYFUNCTION("""COMPUTED_VALUE"""),"コミットOK")</f>
        <v>コミットOK</v>
      </c>
      <c r="S3606" s="22" t="str">
        <f>IFERROR(__xludf.DUMMYFUNCTION("""COMPUTED_VALUE"""),"20250715_MUGENUP_ドラゴンパパ探してます。")</f>
        <v>20250715_MUGENUP_ドラゴンパパ探してます。</v>
      </c>
      <c r="T3606" s="22" t="str">
        <f>IFERROR(__xludf.DUMMYFUNCTION("""COMPUTED_VALUE"""),"格納済み")</f>
        <v>格納済み</v>
      </c>
      <c r="U3606" s="9" t="str">
        <f>IFERROR(__xludf.DUMMYFUNCTION("""COMPUTED_VALUE"""),"Ⓒ丹野ちくわぶ・佐々ミノル／MUGENUP")</f>
        <v>Ⓒ丹野ちくわぶ・佐々ミノル／MUGENUP</v>
      </c>
      <c r="V3606" s="8"/>
      <c r="W3606" s="8"/>
      <c r="X3606" s="8" t="str">
        <f>IFERROR(__xludf.DUMMYFUNCTION("""COMPUTED_VALUE"""),"有")</f>
        <v>有</v>
      </c>
      <c r="Y3606" s="8" t="str">
        <f>IFERROR(__xludf.DUMMYFUNCTION("""COMPUTED_VALUE"""),"P15まで")</f>
        <v>P15まで</v>
      </c>
      <c r="Z3606" s="7"/>
      <c r="AA3606" s="7"/>
      <c r="AB3606" s="7"/>
    </row>
    <row r="3607" ht="15.75" customHeight="1">
      <c r="A3607" s="26">
        <f>IFERROR(__xludf.DUMMYFUNCTION("""COMPUTED_VALUE"""),5700.0)</f>
        <v>5700</v>
      </c>
      <c r="B3607" s="22" t="str">
        <f>IFERROR(__xludf.DUMMYFUNCTION("""COMPUTED_VALUE"""),"確定")</f>
        <v>確定</v>
      </c>
      <c r="C3607" s="28">
        <f>IFERROR(__xludf.DUMMYFUNCTION("""COMPUTED_VALUE"""),45810.0)</f>
        <v>45810</v>
      </c>
      <c r="D3607" s="28">
        <f>IFERROR(__xludf.DUMMYFUNCTION("""COMPUTED_VALUE"""),45853.0)</f>
        <v>45853</v>
      </c>
      <c r="E3607" s="26">
        <f>IFERROR(__xludf.DUMMYFUNCTION("""COMPUTED_VALUE"""),329070.0)</f>
        <v>329070</v>
      </c>
      <c r="F3607" s="22" t="str">
        <f>IFERROR(__xludf.DUMMYFUNCTION("""COMPUTED_VALUE"""),"いい歳して、矢野くんと4年越しの恋をする【R版】")</f>
        <v>いい歳して、矢野くんと4年越しの恋をする【R版】</v>
      </c>
      <c r="G3607" s="20" t="str">
        <f>IFERROR(__xludf.DUMMYFUNCTION("""COMPUTED_VALUE"""),"1～3")</f>
        <v>1～3</v>
      </c>
      <c r="H3607" s="22" t="str">
        <f>IFERROR(__xludf.DUMMYFUNCTION("""COMPUTED_VALUE"""),"あぶく/保田飯飯")</f>
        <v>あぶく/保田飯飯</v>
      </c>
      <c r="I3607" s="22" t="str">
        <f>IFERROR(__xludf.DUMMYFUNCTION("""COMPUTED_VALUE"""),"アダルト")</f>
        <v>アダルト</v>
      </c>
      <c r="J3607" s="22"/>
      <c r="K3607" s="22" t="str">
        <f>IFERROR(__xludf.DUMMYFUNCTION("""COMPUTED_VALUE"""),"THE猥談")</f>
        <v>THE猥談</v>
      </c>
      <c r="L3607" s="22" t="str">
        <f>IFERROR(__xludf.DUMMYFUNCTION("""COMPUTED_VALUE"""),"DLcomics")</f>
        <v>DLcomics</v>
      </c>
      <c r="M3607" s="33">
        <f>IFERROR(__xludf.DUMMYFUNCTION("""COMPUTED_VALUE"""),45863.0)</f>
        <v>45863</v>
      </c>
      <c r="N3607" s="33">
        <f>IFERROR(__xludf.DUMMYFUNCTION("""COMPUTED_VALUE"""),45960.0)</f>
        <v>45960</v>
      </c>
      <c r="O3607" s="20"/>
      <c r="P3607" s="32" t="str">
        <f>IFERROR(__xludf.DUMMYFUNCTION("""COMPUTED_VALUE"""),"可")</f>
        <v>可</v>
      </c>
      <c r="Q3607" s="30"/>
      <c r="R3607" s="22" t="str">
        <f>IFERROR(__xludf.DUMMYFUNCTION("""COMPUTED_VALUE"""),"コミットOK")</f>
        <v>コミットOK</v>
      </c>
      <c r="S3607" s="22" t="str">
        <f>IFERROR(__xludf.DUMMYFUNCTION("""COMPUTED_VALUE"""),"20250714_DLcomics_いい歳して、矢野くんと4年越しの恋をする【R版】")</f>
        <v>20250714_DLcomics_いい歳して、矢野くんと4年越しの恋をする【R版】</v>
      </c>
      <c r="T3607" s="22" t="str">
        <f>IFERROR(__xludf.DUMMYFUNCTION("""COMPUTED_VALUE"""),"格納済み")</f>
        <v>格納済み</v>
      </c>
      <c r="U3607" s="9" t="str">
        <f>IFERROR(__xludf.DUMMYFUNCTION("""COMPUTED_VALUE"""),"Ⓒあぶく/保田飯飯/THE猥談")</f>
        <v>Ⓒあぶく/保田飯飯/THE猥談</v>
      </c>
      <c r="V3607" s="8"/>
      <c r="W3607" s="8"/>
      <c r="X3607" s="8" t="str">
        <f>IFERROR(__xludf.DUMMYFUNCTION("""COMPUTED_VALUE"""),"有")</f>
        <v>有</v>
      </c>
      <c r="Y3607" s="8" t="str">
        <f>IFERROR(__xludf.DUMMYFUNCTION("""COMPUTED_VALUE"""),"2025/10/30まで1巻無料")</f>
        <v>2025/10/30まで1巻無料</v>
      </c>
      <c r="Z3607" s="7"/>
      <c r="AA3607" s="7"/>
      <c r="AB3607" s="7"/>
    </row>
    <row r="3608" ht="15.75" customHeight="1">
      <c r="A3608" s="26">
        <f>IFERROR(__xludf.DUMMYFUNCTION("""COMPUTED_VALUE"""),5701.0)</f>
        <v>5701</v>
      </c>
      <c r="B3608" s="22" t="str">
        <f>IFERROR(__xludf.DUMMYFUNCTION("""COMPUTED_VALUE"""),"確定")</f>
        <v>確定</v>
      </c>
      <c r="C3608" s="28">
        <f>IFERROR(__xludf.DUMMYFUNCTION("""COMPUTED_VALUE"""),45810.0)</f>
        <v>45810</v>
      </c>
      <c r="D3608" s="28">
        <f>IFERROR(__xludf.DUMMYFUNCTION("""COMPUTED_VALUE"""),45852.0)</f>
        <v>45852</v>
      </c>
      <c r="E3608" s="26">
        <f>IFERROR(__xludf.DUMMYFUNCTION("""COMPUTED_VALUE"""),329064.0)</f>
        <v>329064</v>
      </c>
      <c r="F3608" s="22" t="str">
        <f>IFERROR(__xludf.DUMMYFUNCTION("""COMPUTED_VALUE"""),"いい歳して、矢野くんと4年越しの恋をする")</f>
        <v>いい歳して、矢野くんと4年越しの恋をする</v>
      </c>
      <c r="G3608" s="20" t="str">
        <f>IFERROR(__xludf.DUMMYFUNCTION("""COMPUTED_VALUE"""),"1～3")</f>
        <v>1～3</v>
      </c>
      <c r="H3608" s="22" t="str">
        <f>IFERROR(__xludf.DUMMYFUNCTION("""COMPUTED_VALUE"""),"あぶく/保田飯飯")</f>
        <v>あぶく/保田飯飯</v>
      </c>
      <c r="I3608" s="22" t="str">
        <f>IFERROR(__xludf.DUMMYFUNCTION("""COMPUTED_VALUE"""),"TL")</f>
        <v>TL</v>
      </c>
      <c r="J3608" s="22"/>
      <c r="K3608" s="22" t="str">
        <f>IFERROR(__xludf.DUMMYFUNCTION("""COMPUTED_VALUE"""),"THE猥談")</f>
        <v>THE猥談</v>
      </c>
      <c r="L3608" s="22" t="str">
        <f>IFERROR(__xludf.DUMMYFUNCTION("""COMPUTED_VALUE"""),"DLcomics")</f>
        <v>DLcomics</v>
      </c>
      <c r="M3608" s="33">
        <f>IFERROR(__xludf.DUMMYFUNCTION("""COMPUTED_VALUE"""),45863.0)</f>
        <v>45863</v>
      </c>
      <c r="N3608" s="33">
        <f>IFERROR(__xludf.DUMMYFUNCTION("""COMPUTED_VALUE"""),45960.0)</f>
        <v>45960</v>
      </c>
      <c r="O3608" s="20"/>
      <c r="P3608" s="32" t="str">
        <f>IFERROR(__xludf.DUMMYFUNCTION("""COMPUTED_VALUE"""),"可")</f>
        <v>可</v>
      </c>
      <c r="Q3608" s="30"/>
      <c r="R3608" s="22" t="str">
        <f>IFERROR(__xludf.DUMMYFUNCTION("""COMPUTED_VALUE"""),"コミットNG")</f>
        <v>コミットNG</v>
      </c>
      <c r="S3608" s="22" t="str">
        <f>IFERROR(__xludf.DUMMYFUNCTION("""COMPUTED_VALUE"""),"20250714_DLcomics_いい歳して、矢野くんと4年越しの恋をする")</f>
        <v>20250714_DLcomics_いい歳して、矢野くんと4年越しの恋をする</v>
      </c>
      <c r="T3608" s="22" t="str">
        <f>IFERROR(__xludf.DUMMYFUNCTION("""COMPUTED_VALUE"""),"格納済み")</f>
        <v>格納済み</v>
      </c>
      <c r="U3608" s="9" t="str">
        <f>IFERROR(__xludf.DUMMYFUNCTION("""COMPUTED_VALUE"""),"Ⓒあぶく/保田飯飯/THE猥談")</f>
        <v>Ⓒあぶく/保田飯飯/THE猥談</v>
      </c>
      <c r="V3608" s="8"/>
      <c r="W3608" s="8"/>
      <c r="X3608" s="8" t="str">
        <f>IFERROR(__xludf.DUMMYFUNCTION("""COMPUTED_VALUE"""),"有")</f>
        <v>有</v>
      </c>
      <c r="Y3608" s="8" t="str">
        <f>IFERROR(__xludf.DUMMYFUNCTION("""COMPUTED_VALUE"""),"2025/10/30まで1巻無料")</f>
        <v>2025/10/30まで1巻無料</v>
      </c>
      <c r="Z3608" s="7"/>
      <c r="AA3608" s="7"/>
      <c r="AB3608" s="7"/>
    </row>
    <row r="3609" ht="15.75" customHeight="1">
      <c r="A3609" s="26">
        <f>IFERROR(__xludf.DUMMYFUNCTION("""COMPUTED_VALUE"""),5702.0)</f>
        <v>5702</v>
      </c>
      <c r="B3609" s="22" t="str">
        <f>IFERROR(__xludf.DUMMYFUNCTION("""COMPUTED_VALUE"""),"確定")</f>
        <v>確定</v>
      </c>
      <c r="C3609" s="28">
        <f>IFERROR(__xludf.DUMMYFUNCTION("""COMPUTED_VALUE"""),45810.0)</f>
        <v>45810</v>
      </c>
      <c r="D3609" s="28">
        <f>IFERROR(__xludf.DUMMYFUNCTION("""COMPUTED_VALUE"""),45853.0)</f>
        <v>45853</v>
      </c>
      <c r="E3609" s="26">
        <f>IFERROR(__xludf.DUMMYFUNCTION("""COMPUTED_VALUE"""),329071.0)</f>
        <v>329071</v>
      </c>
      <c r="F3609" s="22" t="str">
        <f>IFERROR(__xludf.DUMMYFUNCTION("""COMPUTED_VALUE"""),"「推し」に抱かれる順番が、私のとこまで回ってきた【R版】")</f>
        <v>「推し」に抱かれる順番が、私のとこまで回ってきた【R版】</v>
      </c>
      <c r="G3609" s="20" t="str">
        <f>IFERROR(__xludf.DUMMYFUNCTION("""COMPUTED_VALUE"""),"1～3")</f>
        <v>1～3</v>
      </c>
      <c r="H3609" s="22" t="str">
        <f>IFERROR(__xludf.DUMMYFUNCTION("""COMPUTED_VALUE"""),"Luria/保田飯飯")</f>
        <v>Luria/保田飯飯</v>
      </c>
      <c r="I3609" s="22" t="str">
        <f>IFERROR(__xludf.DUMMYFUNCTION("""COMPUTED_VALUE"""),"アダルト")</f>
        <v>アダルト</v>
      </c>
      <c r="J3609" s="22"/>
      <c r="K3609" s="22" t="str">
        <f>IFERROR(__xludf.DUMMYFUNCTION("""COMPUTED_VALUE"""),"THE猥談")</f>
        <v>THE猥談</v>
      </c>
      <c r="L3609" s="22" t="str">
        <f>IFERROR(__xludf.DUMMYFUNCTION("""COMPUTED_VALUE"""),"DLcomics")</f>
        <v>DLcomics</v>
      </c>
      <c r="M3609" s="33">
        <f>IFERROR(__xludf.DUMMYFUNCTION("""COMPUTED_VALUE"""),45863.0)</f>
        <v>45863</v>
      </c>
      <c r="N3609" s="33">
        <f>IFERROR(__xludf.DUMMYFUNCTION("""COMPUTED_VALUE"""),45960.0)</f>
        <v>45960</v>
      </c>
      <c r="O3609" s="20"/>
      <c r="P3609" s="32" t="str">
        <f>IFERROR(__xludf.DUMMYFUNCTION("""COMPUTED_VALUE"""),"可")</f>
        <v>可</v>
      </c>
      <c r="Q3609" s="30"/>
      <c r="R3609" s="22" t="str">
        <f>IFERROR(__xludf.DUMMYFUNCTION("""COMPUTED_VALUE"""),"コミットOK")</f>
        <v>コミットOK</v>
      </c>
      <c r="S3609" s="22" t="str">
        <f>IFERROR(__xludf.DUMMYFUNCTION("""COMPUTED_VALUE"""),"20250714_DLcomics_「推し」に抱かれる順番が、私のとこまで回ってきた【R版】")</f>
        <v>20250714_DLcomics_「推し」に抱かれる順番が、私のとこまで回ってきた【R版】</v>
      </c>
      <c r="T3609" s="22" t="str">
        <f>IFERROR(__xludf.DUMMYFUNCTION("""COMPUTED_VALUE"""),"格納済み")</f>
        <v>格納済み</v>
      </c>
      <c r="U3609" s="9" t="str">
        <f>IFERROR(__xludf.DUMMYFUNCTION("""COMPUTED_VALUE"""),"ⒸLuria/保田飯飯/THE猥談")</f>
        <v>ⒸLuria/保田飯飯/THE猥談</v>
      </c>
      <c r="V3609" s="8"/>
      <c r="W3609" s="8"/>
      <c r="X3609" s="8" t="str">
        <f>IFERROR(__xludf.DUMMYFUNCTION("""COMPUTED_VALUE"""),"有")</f>
        <v>有</v>
      </c>
      <c r="Y3609" s="8" t="str">
        <f>IFERROR(__xludf.DUMMYFUNCTION("""COMPUTED_VALUE"""),"2025/10/30まで1巻無料")</f>
        <v>2025/10/30まで1巻無料</v>
      </c>
      <c r="Z3609" s="7"/>
      <c r="AA3609" s="7"/>
      <c r="AB3609" s="7"/>
    </row>
    <row r="3610" ht="15.75" customHeight="1">
      <c r="A3610" s="26">
        <f>IFERROR(__xludf.DUMMYFUNCTION("""COMPUTED_VALUE"""),5703.0)</f>
        <v>5703</v>
      </c>
      <c r="B3610" s="22" t="str">
        <f>IFERROR(__xludf.DUMMYFUNCTION("""COMPUTED_VALUE"""),"確定")</f>
        <v>確定</v>
      </c>
      <c r="C3610" s="28">
        <f>IFERROR(__xludf.DUMMYFUNCTION("""COMPUTED_VALUE"""),45810.0)</f>
        <v>45810</v>
      </c>
      <c r="D3610" s="28">
        <f>IFERROR(__xludf.DUMMYFUNCTION("""COMPUTED_VALUE"""),45852.0)</f>
        <v>45852</v>
      </c>
      <c r="E3610" s="26">
        <f>IFERROR(__xludf.DUMMYFUNCTION("""COMPUTED_VALUE"""),329066.0)</f>
        <v>329066</v>
      </c>
      <c r="F3610" s="22" t="str">
        <f>IFERROR(__xludf.DUMMYFUNCTION("""COMPUTED_VALUE"""),"「推し」に抱かれる順番が、私のとこまで回ってきた")</f>
        <v>「推し」に抱かれる順番が、私のとこまで回ってきた</v>
      </c>
      <c r="G3610" s="20" t="str">
        <f>IFERROR(__xludf.DUMMYFUNCTION("""COMPUTED_VALUE"""),"1～3")</f>
        <v>1～3</v>
      </c>
      <c r="H3610" s="22" t="str">
        <f>IFERROR(__xludf.DUMMYFUNCTION("""COMPUTED_VALUE"""),"Luria/保田飯飯")</f>
        <v>Luria/保田飯飯</v>
      </c>
      <c r="I3610" s="22" t="str">
        <f>IFERROR(__xludf.DUMMYFUNCTION("""COMPUTED_VALUE"""),"TL")</f>
        <v>TL</v>
      </c>
      <c r="J3610" s="22"/>
      <c r="K3610" s="22" t="str">
        <f>IFERROR(__xludf.DUMMYFUNCTION("""COMPUTED_VALUE"""),"THE猥談")</f>
        <v>THE猥談</v>
      </c>
      <c r="L3610" s="22" t="str">
        <f>IFERROR(__xludf.DUMMYFUNCTION("""COMPUTED_VALUE"""),"DLcomics")</f>
        <v>DLcomics</v>
      </c>
      <c r="M3610" s="33">
        <f>IFERROR(__xludf.DUMMYFUNCTION("""COMPUTED_VALUE"""),45863.0)</f>
        <v>45863</v>
      </c>
      <c r="N3610" s="33">
        <f>IFERROR(__xludf.DUMMYFUNCTION("""COMPUTED_VALUE"""),45960.0)</f>
        <v>45960</v>
      </c>
      <c r="O3610" s="20"/>
      <c r="P3610" s="32" t="str">
        <f>IFERROR(__xludf.DUMMYFUNCTION("""COMPUTED_VALUE"""),"可")</f>
        <v>可</v>
      </c>
      <c r="Q3610" s="30"/>
      <c r="R3610" s="22" t="str">
        <f>IFERROR(__xludf.DUMMYFUNCTION("""COMPUTED_VALUE"""),"コミットNG")</f>
        <v>コミットNG</v>
      </c>
      <c r="S3610" s="22" t="str">
        <f>IFERROR(__xludf.DUMMYFUNCTION("""COMPUTED_VALUE"""),"20250714_DLcomics_「推し」に抱かれる順番が、私のとこまで回ってきた")</f>
        <v>20250714_DLcomics_「推し」に抱かれる順番が、私のとこまで回ってきた</v>
      </c>
      <c r="T3610" s="22" t="str">
        <f>IFERROR(__xludf.DUMMYFUNCTION("""COMPUTED_VALUE"""),"格納済み")</f>
        <v>格納済み</v>
      </c>
      <c r="U3610" s="9" t="str">
        <f>IFERROR(__xludf.DUMMYFUNCTION("""COMPUTED_VALUE"""),"ⒸLuria/保田飯飯/THE猥談")</f>
        <v>ⒸLuria/保田飯飯/THE猥談</v>
      </c>
      <c r="V3610" s="8"/>
      <c r="W3610" s="8"/>
      <c r="X3610" s="8" t="str">
        <f>IFERROR(__xludf.DUMMYFUNCTION("""COMPUTED_VALUE"""),"有")</f>
        <v>有</v>
      </c>
      <c r="Y3610" s="8" t="str">
        <f>IFERROR(__xludf.DUMMYFUNCTION("""COMPUTED_VALUE"""),"2025/10/30まで1巻無料")</f>
        <v>2025/10/30まで1巻無料</v>
      </c>
      <c r="Z3610" s="7"/>
      <c r="AA3610" s="7"/>
      <c r="AB3610" s="7"/>
    </row>
    <row r="3611" ht="15.75" customHeight="1">
      <c r="A3611" s="26">
        <f>IFERROR(__xludf.DUMMYFUNCTION("""COMPUTED_VALUE"""),5785.0)</f>
        <v>5785</v>
      </c>
      <c r="B3611" s="22" t="str">
        <f>IFERROR(__xludf.DUMMYFUNCTION("""COMPUTED_VALUE"""),"確定")</f>
        <v>確定</v>
      </c>
      <c r="C3611" s="28">
        <f>IFERROR(__xludf.DUMMYFUNCTION("""COMPUTED_VALUE"""),45817.0)</f>
        <v>45817</v>
      </c>
      <c r="D3611" s="28">
        <f>IFERROR(__xludf.DUMMYFUNCTION("""COMPUTED_VALUE"""),45853.0)</f>
        <v>45853</v>
      </c>
      <c r="E3611" s="26">
        <f>IFERROR(__xludf.DUMMYFUNCTION("""COMPUTED_VALUE"""),331297.0)</f>
        <v>331297</v>
      </c>
      <c r="F3611" s="22" t="str">
        <f>IFERROR(__xludf.DUMMYFUNCTION("""COMPUTED_VALUE"""),"夜月姉妹の非常食【R-18版】")</f>
        <v>夜月姉妹の非常食【R-18版】</v>
      </c>
      <c r="G3611" s="20" t="str">
        <f>IFERROR(__xludf.DUMMYFUNCTION("""COMPUTED_VALUE"""),"1～6")</f>
        <v>1～6</v>
      </c>
      <c r="H3611" s="22" t="str">
        <f>IFERROR(__xludf.DUMMYFUNCTION("""COMPUTED_VALUE"""),"佐々木篠,しにま")</f>
        <v>佐々木篠,しにま</v>
      </c>
      <c r="I3611" s="22" t="str">
        <f>IFERROR(__xludf.DUMMYFUNCTION("""COMPUTED_VALUE"""),"アダルト")</f>
        <v>アダルト</v>
      </c>
      <c r="J3611" s="22"/>
      <c r="K3611" s="22"/>
      <c r="L3611" s="22" t="str">
        <f>IFERROR(__xludf.DUMMYFUNCTION("""COMPUTED_VALUE"""),"ナンバーナイン")</f>
        <v>ナンバーナイン</v>
      </c>
      <c r="M3611" s="33">
        <f>IFERROR(__xludf.DUMMYFUNCTION("""COMPUTED_VALUE"""),45870.0)</f>
        <v>45870</v>
      </c>
      <c r="N3611" s="33">
        <f>IFERROR(__xludf.DUMMYFUNCTION("""COMPUTED_VALUE"""),45930.0)</f>
        <v>45930</v>
      </c>
      <c r="O3611" s="20"/>
      <c r="P3611" s="32" t="str">
        <f>IFERROR(__xludf.DUMMYFUNCTION("""COMPUTED_VALUE"""),"可")</f>
        <v>可</v>
      </c>
      <c r="Q3611" s="30"/>
      <c r="R3611" s="22" t="str">
        <f>IFERROR(__xludf.DUMMYFUNCTION("""COMPUTED_VALUE"""),"コミットOK")</f>
        <v>コミットOK</v>
      </c>
      <c r="S3611" s="22" t="str">
        <f>IFERROR(__xludf.DUMMYFUNCTION("""COMPUTED_VALUE"""),"20250715_ナンバーナイン_夜月姉妹の非常食【R-18版】")</f>
        <v>20250715_ナンバーナイン_夜月姉妹の非常食【R-18版】</v>
      </c>
      <c r="T3611" s="22" t="str">
        <f>IFERROR(__xludf.DUMMYFUNCTION("""COMPUTED_VALUE"""),"格納済み")</f>
        <v>格納済み</v>
      </c>
      <c r="U3611" s="9" t="str">
        <f>IFERROR(__xludf.DUMMYFUNCTION("""COMPUTED_VALUE"""),"Ⓒ佐々木篠/しにま/ナンバーナイン")</f>
        <v>Ⓒ佐々木篠/しにま/ナンバーナイン</v>
      </c>
      <c r="V3611" s="8"/>
      <c r="W3611" s="8"/>
      <c r="X3611" s="8" t="str">
        <f>IFERROR(__xludf.DUMMYFUNCTION("""COMPUTED_VALUE"""),"有")</f>
        <v>有</v>
      </c>
      <c r="Y3611" s="8" t="str">
        <f>IFERROR(__xludf.DUMMYFUNCTION("""COMPUTED_VALUE"""),"P8まで")</f>
        <v>P8まで</v>
      </c>
      <c r="Z3611" s="7"/>
      <c r="AA3611" s="7"/>
      <c r="AB3611" s="7"/>
    </row>
    <row r="3612" ht="15.75" customHeight="1">
      <c r="A3612" s="26">
        <f>IFERROR(__xludf.DUMMYFUNCTION("""COMPUTED_VALUE"""),5792.0)</f>
        <v>5792</v>
      </c>
      <c r="B3612" s="22" t="str">
        <f>IFERROR(__xludf.DUMMYFUNCTION("""COMPUTED_VALUE"""),"確定")</f>
        <v>確定</v>
      </c>
      <c r="C3612" s="28">
        <f>IFERROR(__xludf.DUMMYFUNCTION("""COMPUTED_VALUE"""),45817.0)</f>
        <v>45817</v>
      </c>
      <c r="D3612" s="28">
        <f>IFERROR(__xludf.DUMMYFUNCTION("""COMPUTED_VALUE"""),45854.0)</f>
        <v>45854</v>
      </c>
      <c r="E3612" s="26">
        <f>IFERROR(__xludf.DUMMYFUNCTION("""COMPUTED_VALUE"""),331442.0)</f>
        <v>331442</v>
      </c>
      <c r="F3612" s="22" t="str">
        <f>IFERROR(__xludf.DUMMYFUNCTION("""COMPUTED_VALUE"""),"年下王子は元家庭教師を娶りたい【R-18版】")</f>
        <v>年下王子は元家庭教師を娶りたい【R-18版】</v>
      </c>
      <c r="G3612" s="20" t="str">
        <f>IFERROR(__xludf.DUMMYFUNCTION("""COMPUTED_VALUE"""),"1～7")</f>
        <v>1～7</v>
      </c>
      <c r="H3612" s="22" t="str">
        <f>IFERROR(__xludf.DUMMYFUNCTION("""COMPUTED_VALUE"""),"サバ缶")</f>
        <v>サバ缶</v>
      </c>
      <c r="I3612" s="22" t="str">
        <f>IFERROR(__xludf.DUMMYFUNCTION("""COMPUTED_VALUE"""),"アダルト")</f>
        <v>アダルト</v>
      </c>
      <c r="J3612" s="22"/>
      <c r="K3612" s="22" t="str">
        <f>IFERROR(__xludf.DUMMYFUNCTION("""COMPUTED_VALUE"""),"Close Moon")</f>
        <v>Close Moon</v>
      </c>
      <c r="L3612" s="22" t="str">
        <f>IFERROR(__xludf.DUMMYFUNCTION("""COMPUTED_VALUE"""),"ナンバーナイン")</f>
        <v>ナンバーナイン</v>
      </c>
      <c r="M3612" s="33">
        <f>IFERROR(__xludf.DUMMYFUNCTION("""COMPUTED_VALUE"""),45877.0)</f>
        <v>45877</v>
      </c>
      <c r="N3612" s="33">
        <f>IFERROR(__xludf.DUMMYFUNCTION("""COMPUTED_VALUE"""),45968.0)</f>
        <v>45968</v>
      </c>
      <c r="O3612" s="20"/>
      <c r="P3612" s="32" t="str">
        <f>IFERROR(__xludf.DUMMYFUNCTION("""COMPUTED_VALUE"""),"可")</f>
        <v>可</v>
      </c>
      <c r="Q3612" s="30" t="str">
        <f>IFERROR(__xludf.DUMMYFUNCTION("""COMPUTED_VALUE"""),"がるまに")</f>
        <v>がるまに</v>
      </c>
      <c r="R3612" s="22"/>
      <c r="S3612" s="22" t="str">
        <f>IFERROR(__xludf.DUMMYFUNCTION("""COMPUTED_VALUE"""),"20250716_ナンバーナイン_年下王子は元家庭教師を娶りたい【R-18版】")</f>
        <v>20250716_ナンバーナイン_年下王子は元家庭教師を娶りたい【R-18版】</v>
      </c>
      <c r="T3612" s="22" t="str">
        <f>IFERROR(__xludf.DUMMYFUNCTION("""COMPUTED_VALUE"""),"格納済み")</f>
        <v>格納済み</v>
      </c>
      <c r="U3612" s="9" t="str">
        <f>IFERROR(__xludf.DUMMYFUNCTION("""COMPUTED_VALUE"""),"Ⓒサバ缶/ナンバーナイン")</f>
        <v>Ⓒサバ缶/ナンバーナイン</v>
      </c>
      <c r="V3612" s="8"/>
      <c r="W3612" s="8"/>
      <c r="X3612" s="8" t="str">
        <f>IFERROR(__xludf.DUMMYFUNCTION("""COMPUTED_VALUE"""),"有")</f>
        <v>有</v>
      </c>
      <c r="Y3612" s="8" t="str">
        <f>IFERROR(__xludf.DUMMYFUNCTION("""COMPUTED_VALUE"""),"1巻無料")</f>
        <v>1巻無料</v>
      </c>
      <c r="Z3612" s="7"/>
      <c r="AA3612" s="7"/>
      <c r="AB3612" s="7"/>
    </row>
    <row r="3613" ht="15.75" customHeight="1">
      <c r="A3613" s="26">
        <f>IFERROR(__xludf.DUMMYFUNCTION("""COMPUTED_VALUE"""),5794.0)</f>
        <v>5794</v>
      </c>
      <c r="B3613" s="22" t="str">
        <f>IFERROR(__xludf.DUMMYFUNCTION("""COMPUTED_VALUE"""),"確定")</f>
        <v>確定</v>
      </c>
      <c r="C3613" s="28">
        <f>IFERROR(__xludf.DUMMYFUNCTION("""COMPUTED_VALUE"""),45817.0)</f>
        <v>45817</v>
      </c>
      <c r="D3613" s="28">
        <f>IFERROR(__xludf.DUMMYFUNCTION("""COMPUTED_VALUE"""),45854.0)</f>
        <v>45854</v>
      </c>
      <c r="E3613" s="26">
        <f>IFERROR(__xludf.DUMMYFUNCTION("""COMPUTED_VALUE"""),331450.0)</f>
        <v>331450</v>
      </c>
      <c r="F3613" s="22" t="str">
        <f>IFERROR(__xludf.DUMMYFUNCTION("""COMPUTED_VALUE"""),"沼おじさんの偏愛は呪いより重い【R-18版】【分冊版】")</f>
        <v>沼おじさんの偏愛は呪いより重い【R-18版】【分冊版】</v>
      </c>
      <c r="G3613" s="20" t="str">
        <f>IFERROR(__xludf.DUMMYFUNCTION("""COMPUTED_VALUE"""),"1～4")</f>
        <v>1～4</v>
      </c>
      <c r="H3613" s="22" t="str">
        <f>IFERROR(__xludf.DUMMYFUNCTION("""COMPUTED_VALUE"""),"氷ウインナー")</f>
        <v>氷ウインナー</v>
      </c>
      <c r="I3613" s="22" t="str">
        <f>IFERROR(__xludf.DUMMYFUNCTION("""COMPUTED_VALUE"""),"アダルト")</f>
        <v>アダルト</v>
      </c>
      <c r="J3613" s="22"/>
      <c r="K3613" s="22" t="str">
        <f>IFERROR(__xludf.DUMMYFUNCTION("""COMPUTED_VALUE"""),"Close Moon")</f>
        <v>Close Moon</v>
      </c>
      <c r="L3613" s="22" t="str">
        <f>IFERROR(__xludf.DUMMYFUNCTION("""COMPUTED_VALUE"""),"ナンバーナイン")</f>
        <v>ナンバーナイン</v>
      </c>
      <c r="M3613" s="33">
        <f>IFERROR(__xludf.DUMMYFUNCTION("""COMPUTED_VALUE"""),45877.0)</f>
        <v>45877</v>
      </c>
      <c r="N3613" s="33">
        <f>IFERROR(__xludf.DUMMYFUNCTION("""COMPUTED_VALUE"""),45968.0)</f>
        <v>45968</v>
      </c>
      <c r="O3613" s="20"/>
      <c r="P3613" s="32" t="str">
        <f>IFERROR(__xludf.DUMMYFUNCTION("""COMPUTED_VALUE"""),"可")</f>
        <v>可</v>
      </c>
      <c r="Q3613" s="30" t="str">
        <f>IFERROR(__xludf.DUMMYFUNCTION("""COMPUTED_VALUE"""),"がるまに")</f>
        <v>がるまに</v>
      </c>
      <c r="R3613" s="22"/>
      <c r="S3613" s="22" t="str">
        <f>IFERROR(__xludf.DUMMYFUNCTION("""COMPUTED_VALUE"""),"20250716_ナンバーナイン_沼おじさんの偏愛は呪いより重い【R-18版】【分冊版】")</f>
        <v>20250716_ナンバーナイン_沼おじさんの偏愛は呪いより重い【R-18版】【分冊版】</v>
      </c>
      <c r="T3613" s="22" t="str">
        <f>IFERROR(__xludf.DUMMYFUNCTION("""COMPUTED_VALUE"""),"格納済み")</f>
        <v>格納済み</v>
      </c>
      <c r="U3613" s="9" t="str">
        <f>IFERROR(__xludf.DUMMYFUNCTION("""COMPUTED_VALUE"""),"Ⓒ氷ウインナー/ナンバーナイン")</f>
        <v>Ⓒ氷ウインナー/ナンバーナイン</v>
      </c>
      <c r="V3613" s="8"/>
      <c r="W3613" s="8"/>
      <c r="X3613" s="8" t="str">
        <f>IFERROR(__xludf.DUMMYFUNCTION("""COMPUTED_VALUE"""),"有")</f>
        <v>有</v>
      </c>
      <c r="Y3613" s="8" t="str">
        <f>IFERROR(__xludf.DUMMYFUNCTION("""COMPUTED_VALUE"""),"1巻無料")</f>
        <v>1巻無料</v>
      </c>
      <c r="Z3613" s="7"/>
      <c r="AA3613" s="7"/>
      <c r="AB3613" s="7"/>
    </row>
    <row r="3614" ht="15.75" customHeight="1">
      <c r="A3614" s="26">
        <f>IFERROR(__xludf.DUMMYFUNCTION("""COMPUTED_VALUE"""),5800.0)</f>
        <v>5800</v>
      </c>
      <c r="B3614" s="22" t="str">
        <f>IFERROR(__xludf.DUMMYFUNCTION("""COMPUTED_VALUE"""),"確定")</f>
        <v>確定</v>
      </c>
      <c r="C3614" s="28">
        <f>IFERROR(__xludf.DUMMYFUNCTION("""COMPUTED_VALUE"""),45817.0)</f>
        <v>45817</v>
      </c>
      <c r="D3614" s="28">
        <f>IFERROR(__xludf.DUMMYFUNCTION("""COMPUTED_VALUE"""),45854.0)</f>
        <v>45854</v>
      </c>
      <c r="E3614" s="26">
        <f>IFERROR(__xludf.DUMMYFUNCTION("""COMPUTED_VALUE"""),331390.0)</f>
        <v>331390</v>
      </c>
      <c r="F3614" s="22" t="str">
        <f>IFERROR(__xludf.DUMMYFUNCTION("""COMPUTED_VALUE"""),"星5で話題のお店はエッチなマッサージ店でした【R-18版】")</f>
        <v>星5で話題のお店はエッチなマッサージ店でした【R-18版】</v>
      </c>
      <c r="G3614" s="20" t="str">
        <f>IFERROR(__xludf.DUMMYFUNCTION("""COMPUTED_VALUE"""),"1～4")</f>
        <v>1～4</v>
      </c>
      <c r="H3614" s="22" t="str">
        <f>IFERROR(__xludf.DUMMYFUNCTION("""COMPUTED_VALUE"""),"柚木マチ")</f>
        <v>柚木マチ</v>
      </c>
      <c r="I3614" s="22" t="str">
        <f>IFERROR(__xludf.DUMMYFUNCTION("""COMPUTED_VALUE"""),"アダルト")</f>
        <v>アダルト</v>
      </c>
      <c r="J3614" s="22"/>
      <c r="K3614" s="22" t="str">
        <f>IFERROR(__xludf.DUMMYFUNCTION("""COMPUTED_VALUE"""),"Close Moon")</f>
        <v>Close Moon</v>
      </c>
      <c r="L3614" s="22" t="str">
        <f>IFERROR(__xludf.DUMMYFUNCTION("""COMPUTED_VALUE"""),"ナンバーナイン")</f>
        <v>ナンバーナイン</v>
      </c>
      <c r="M3614" s="33">
        <f>IFERROR(__xludf.DUMMYFUNCTION("""COMPUTED_VALUE"""),45870.0)</f>
        <v>45870</v>
      </c>
      <c r="N3614" s="33">
        <f>IFERROR(__xludf.DUMMYFUNCTION("""COMPUTED_VALUE"""),45961.0)</f>
        <v>45961</v>
      </c>
      <c r="O3614" s="20"/>
      <c r="P3614" s="32" t="str">
        <f>IFERROR(__xludf.DUMMYFUNCTION("""COMPUTED_VALUE"""),"可")</f>
        <v>可</v>
      </c>
      <c r="Q3614" s="30" t="str">
        <f>IFERROR(__xludf.DUMMYFUNCTION("""COMPUTED_VALUE"""),"がるまに")</f>
        <v>がるまに</v>
      </c>
      <c r="R3614" s="22"/>
      <c r="S3614" s="22" t="str">
        <f>IFERROR(__xludf.DUMMYFUNCTION("""COMPUTED_VALUE"""),"20250716_ナンバーナイン_星5で話題のお店はエッチなマッサージ店でした【R-18版】")</f>
        <v>20250716_ナンバーナイン_星5で話題のお店はエッチなマッサージ店でした【R-18版】</v>
      </c>
      <c r="T3614" s="22" t="str">
        <f>IFERROR(__xludf.DUMMYFUNCTION("""COMPUTED_VALUE"""),"格納済み")</f>
        <v>格納済み</v>
      </c>
      <c r="U3614" s="9" t="str">
        <f>IFERROR(__xludf.DUMMYFUNCTION("""COMPUTED_VALUE"""),"Ⓒ柚木マチ/ナンバーナイン")</f>
        <v>Ⓒ柚木マチ/ナンバーナイン</v>
      </c>
      <c r="V3614" s="8"/>
      <c r="W3614" s="8"/>
      <c r="X3614" s="8" t="str">
        <f>IFERROR(__xludf.DUMMYFUNCTION("""COMPUTED_VALUE"""),"有")</f>
        <v>有</v>
      </c>
      <c r="Y3614" s="8" t="str">
        <f>IFERROR(__xludf.DUMMYFUNCTION("""COMPUTED_VALUE"""),"1巻無料")</f>
        <v>1巻無料</v>
      </c>
      <c r="Z3614" s="7"/>
      <c r="AA3614" s="7"/>
      <c r="AB3614" s="7"/>
    </row>
    <row r="3615" ht="15.75" customHeight="1">
      <c r="A3615" s="26">
        <f>IFERROR(__xludf.DUMMYFUNCTION("""COMPUTED_VALUE"""),5802.0)</f>
        <v>5802</v>
      </c>
      <c r="B3615" s="22" t="str">
        <f>IFERROR(__xludf.DUMMYFUNCTION("""COMPUTED_VALUE"""),"確定")</f>
        <v>確定</v>
      </c>
      <c r="C3615" s="28">
        <f>IFERROR(__xludf.DUMMYFUNCTION("""COMPUTED_VALUE"""),45817.0)</f>
        <v>45817</v>
      </c>
      <c r="D3615" s="28">
        <f>IFERROR(__xludf.DUMMYFUNCTION("""COMPUTED_VALUE"""),45854.0)</f>
        <v>45854</v>
      </c>
      <c r="E3615" s="26">
        <f>IFERROR(__xludf.DUMMYFUNCTION("""COMPUTED_VALUE"""),331388.0)</f>
        <v>331388</v>
      </c>
      <c r="F3615" s="22" t="str">
        <f>IFERROR(__xludf.DUMMYFUNCTION("""COMPUTED_VALUE"""),"快感麻酔脱毛サロン～イったら全部痛くない?～【R-18版】")</f>
        <v>快感麻酔脱毛サロン～イったら全部痛くない?～【R-18版】</v>
      </c>
      <c r="G3615" s="20" t="str">
        <f>IFERROR(__xludf.DUMMYFUNCTION("""COMPUTED_VALUE"""),"1～2")</f>
        <v>1～2</v>
      </c>
      <c r="H3615" s="22" t="str">
        <f>IFERROR(__xludf.DUMMYFUNCTION("""COMPUTED_VALUE"""),"柚木マチ")</f>
        <v>柚木マチ</v>
      </c>
      <c r="I3615" s="22" t="str">
        <f>IFERROR(__xludf.DUMMYFUNCTION("""COMPUTED_VALUE"""),"アダルト")</f>
        <v>アダルト</v>
      </c>
      <c r="J3615" s="22"/>
      <c r="K3615" s="22" t="str">
        <f>IFERROR(__xludf.DUMMYFUNCTION("""COMPUTED_VALUE"""),"Close Moon")</f>
        <v>Close Moon</v>
      </c>
      <c r="L3615" s="22" t="str">
        <f>IFERROR(__xludf.DUMMYFUNCTION("""COMPUTED_VALUE"""),"ナンバーナイン")</f>
        <v>ナンバーナイン</v>
      </c>
      <c r="M3615" s="33">
        <f>IFERROR(__xludf.DUMMYFUNCTION("""COMPUTED_VALUE"""),45870.0)</f>
        <v>45870</v>
      </c>
      <c r="N3615" s="33">
        <f>IFERROR(__xludf.DUMMYFUNCTION("""COMPUTED_VALUE"""),45961.0)</f>
        <v>45961</v>
      </c>
      <c r="O3615" s="20"/>
      <c r="P3615" s="32" t="str">
        <f>IFERROR(__xludf.DUMMYFUNCTION("""COMPUTED_VALUE"""),"可")</f>
        <v>可</v>
      </c>
      <c r="Q3615" s="30" t="str">
        <f>IFERROR(__xludf.DUMMYFUNCTION("""COMPUTED_VALUE"""),"がるまに")</f>
        <v>がるまに</v>
      </c>
      <c r="R3615" s="22"/>
      <c r="S3615" s="22" t="str">
        <f>IFERROR(__xludf.DUMMYFUNCTION("""COMPUTED_VALUE"""),"20250716_ナンバーナイン_快感麻酔脱毛サロン～イったら全部痛くない_～【R-18版】")</f>
        <v>20250716_ナンバーナイン_快感麻酔脱毛サロン～イったら全部痛くない_～【R-18版】</v>
      </c>
      <c r="T3615" s="22" t="str">
        <f>IFERROR(__xludf.DUMMYFUNCTION("""COMPUTED_VALUE"""),"格納済み")</f>
        <v>格納済み</v>
      </c>
      <c r="U3615" s="9" t="str">
        <f>IFERROR(__xludf.DUMMYFUNCTION("""COMPUTED_VALUE"""),"Ⓒ柚木マチ/ナンバーナイン")</f>
        <v>Ⓒ柚木マチ/ナンバーナイン</v>
      </c>
      <c r="V3615" s="8"/>
      <c r="W3615" s="8"/>
      <c r="X3615" s="8" t="str">
        <f>IFERROR(__xludf.DUMMYFUNCTION("""COMPUTED_VALUE"""),"有")</f>
        <v>有</v>
      </c>
      <c r="Y3615" s="8" t="str">
        <f>IFERROR(__xludf.DUMMYFUNCTION("""COMPUTED_VALUE"""),"1巻無料")</f>
        <v>1巻無料</v>
      </c>
      <c r="Z3615" s="7"/>
      <c r="AA3615" s="7"/>
      <c r="AB3615" s="7"/>
    </row>
    <row r="3616" ht="15.75" customHeight="1">
      <c r="A3616" s="26">
        <f>IFERROR(__xludf.DUMMYFUNCTION("""COMPUTED_VALUE"""),5804.0)</f>
        <v>5804</v>
      </c>
      <c r="B3616" s="22" t="str">
        <f>IFERROR(__xludf.DUMMYFUNCTION("""COMPUTED_VALUE"""),"確定")</f>
        <v>確定</v>
      </c>
      <c r="C3616" s="28">
        <f>IFERROR(__xludf.DUMMYFUNCTION("""COMPUTED_VALUE"""),45817.0)</f>
        <v>45817</v>
      </c>
      <c r="D3616" s="28">
        <f>IFERROR(__xludf.DUMMYFUNCTION("""COMPUTED_VALUE"""),45854.0)</f>
        <v>45854</v>
      </c>
      <c r="E3616" s="26">
        <f>IFERROR(__xludf.DUMMYFUNCTION("""COMPUTED_VALUE"""),331391.0)</f>
        <v>331391</v>
      </c>
      <c r="F3616" s="22" t="str">
        <f>IFERROR(__xludf.DUMMYFUNCTION("""COMPUTED_VALUE"""),"苦手だった同級生と堕ちる秘密の職場ラブ【R-18版】")</f>
        <v>苦手だった同級生と堕ちる秘密の職場ラブ【R-18版】</v>
      </c>
      <c r="G3616" s="20" t="str">
        <f>IFERROR(__xludf.DUMMYFUNCTION("""COMPUTED_VALUE"""),"1～3")</f>
        <v>1～3</v>
      </c>
      <c r="H3616" s="22" t="str">
        <f>IFERROR(__xludf.DUMMYFUNCTION("""COMPUTED_VALUE"""),"はににた")</f>
        <v>はににた</v>
      </c>
      <c r="I3616" s="22" t="str">
        <f>IFERROR(__xludf.DUMMYFUNCTION("""COMPUTED_VALUE"""),"アダルト")</f>
        <v>アダルト</v>
      </c>
      <c r="J3616" s="22"/>
      <c r="K3616" s="22" t="str">
        <f>IFERROR(__xludf.DUMMYFUNCTION("""COMPUTED_VALUE"""),"Close Moon")</f>
        <v>Close Moon</v>
      </c>
      <c r="L3616" s="22" t="str">
        <f>IFERROR(__xludf.DUMMYFUNCTION("""COMPUTED_VALUE"""),"ナンバーナイン")</f>
        <v>ナンバーナイン</v>
      </c>
      <c r="M3616" s="33">
        <f>IFERROR(__xludf.DUMMYFUNCTION("""COMPUTED_VALUE"""),45870.0)</f>
        <v>45870</v>
      </c>
      <c r="N3616" s="33">
        <f>IFERROR(__xludf.DUMMYFUNCTION("""COMPUTED_VALUE"""),45961.0)</f>
        <v>45961</v>
      </c>
      <c r="O3616" s="20"/>
      <c r="P3616" s="32" t="str">
        <f>IFERROR(__xludf.DUMMYFUNCTION("""COMPUTED_VALUE"""),"可")</f>
        <v>可</v>
      </c>
      <c r="Q3616" s="30" t="str">
        <f>IFERROR(__xludf.DUMMYFUNCTION("""COMPUTED_VALUE"""),"がるまに")</f>
        <v>がるまに</v>
      </c>
      <c r="R3616" s="22"/>
      <c r="S3616" s="22" t="str">
        <f>IFERROR(__xludf.DUMMYFUNCTION("""COMPUTED_VALUE"""),"20250716_ナンバーナイン_苦手だった同級生と堕ちる秘密の職場ラブ【R-18版】")</f>
        <v>20250716_ナンバーナイン_苦手だった同級生と堕ちる秘密の職場ラブ【R-18版】</v>
      </c>
      <c r="T3616" s="22" t="str">
        <f>IFERROR(__xludf.DUMMYFUNCTION("""COMPUTED_VALUE"""),"格納済み")</f>
        <v>格納済み</v>
      </c>
      <c r="U3616" s="9" t="str">
        <f>IFERROR(__xludf.DUMMYFUNCTION("""COMPUTED_VALUE"""),"Ⓒはににた/ナンバーナイン")</f>
        <v>Ⓒはににた/ナンバーナイン</v>
      </c>
      <c r="V3616" s="8"/>
      <c r="W3616" s="8"/>
      <c r="X3616" s="8" t="str">
        <f>IFERROR(__xludf.DUMMYFUNCTION("""COMPUTED_VALUE"""),"有")</f>
        <v>有</v>
      </c>
      <c r="Y3616" s="8" t="str">
        <f>IFERROR(__xludf.DUMMYFUNCTION("""COMPUTED_VALUE"""),"2025/9/30まで1巻無料")</f>
        <v>2025/9/30まで1巻無料</v>
      </c>
      <c r="Z3616" s="7"/>
      <c r="AA3616" s="7"/>
      <c r="AB3616" s="7"/>
    </row>
    <row r="3617" ht="15.75" customHeight="1">
      <c r="A3617" s="26">
        <f>IFERROR(__xludf.DUMMYFUNCTION("""COMPUTED_VALUE"""),5806.0)</f>
        <v>5806</v>
      </c>
      <c r="B3617" s="22" t="str">
        <f>IFERROR(__xludf.DUMMYFUNCTION("""COMPUTED_VALUE"""),"確定")</f>
        <v>確定</v>
      </c>
      <c r="C3617" s="28">
        <f>IFERROR(__xludf.DUMMYFUNCTION("""COMPUTED_VALUE"""),45817.0)</f>
        <v>45817</v>
      </c>
      <c r="D3617" s="28">
        <f>IFERROR(__xludf.DUMMYFUNCTION("""COMPUTED_VALUE"""),45854.0)</f>
        <v>45854</v>
      </c>
      <c r="E3617" s="26">
        <f>IFERROR(__xludf.DUMMYFUNCTION("""COMPUTED_VALUE"""),331296.0)</f>
        <v>331296</v>
      </c>
      <c r="F3617" s="22" t="str">
        <f>IFERROR(__xludf.DUMMYFUNCTION("""COMPUTED_VALUE"""),"ミッドナイト孕ませDRIVE～送迎ドライバーの気になるあの人とお店にヒミツで完全合意子作りエッチ♡～【R-18版】")</f>
        <v>ミッドナイト孕ませDRIVE～送迎ドライバーの気になるあの人とお店にヒミツで完全合意子作りエッチ♡～【R-18版】</v>
      </c>
      <c r="G3617" s="20" t="str">
        <f>IFERROR(__xludf.DUMMYFUNCTION("""COMPUTED_VALUE"""),"1～3")</f>
        <v>1～3</v>
      </c>
      <c r="H3617" s="22" t="str">
        <f>IFERROR(__xludf.DUMMYFUNCTION("""COMPUTED_VALUE"""),"うつぼのるつぼ,はににた")</f>
        <v>うつぼのるつぼ,はににた</v>
      </c>
      <c r="I3617" s="22" t="str">
        <f>IFERROR(__xludf.DUMMYFUNCTION("""COMPUTED_VALUE"""),"アダルト")</f>
        <v>アダルト</v>
      </c>
      <c r="J3617" s="22"/>
      <c r="K3617" s="22" t="str">
        <f>IFERROR(__xludf.DUMMYFUNCTION("""COMPUTED_VALUE"""),"Close Moon")</f>
        <v>Close Moon</v>
      </c>
      <c r="L3617" s="22" t="str">
        <f>IFERROR(__xludf.DUMMYFUNCTION("""COMPUTED_VALUE"""),"ナンバーナイン")</f>
        <v>ナンバーナイン</v>
      </c>
      <c r="M3617" s="33">
        <f>IFERROR(__xludf.DUMMYFUNCTION("""COMPUTED_VALUE"""),45870.0)</f>
        <v>45870</v>
      </c>
      <c r="N3617" s="33">
        <f>IFERROR(__xludf.DUMMYFUNCTION("""COMPUTED_VALUE"""),45961.0)</f>
        <v>45961</v>
      </c>
      <c r="O3617" s="20"/>
      <c r="P3617" s="32" t="str">
        <f>IFERROR(__xludf.DUMMYFUNCTION("""COMPUTED_VALUE"""),"可")</f>
        <v>可</v>
      </c>
      <c r="Q3617" s="30" t="str">
        <f>IFERROR(__xludf.DUMMYFUNCTION("""COMPUTED_VALUE"""),"がるまに")</f>
        <v>がるまに</v>
      </c>
      <c r="R3617" s="22"/>
      <c r="S3617" s="22" t="str">
        <f>IFERROR(__xludf.DUMMYFUNCTION("""COMPUTED_VALUE"""),"20250716_ナンバーナイン_ミッドナイト孕ませDRIVE～送迎ドライバーの気になるあの人とお店にヒミツで完全合意子作りエッチ♡～【R-18版】")</f>
        <v>20250716_ナンバーナイン_ミッドナイト孕ませDRIVE～送迎ドライバーの気になるあの人とお店にヒミツで完全合意子作りエッチ♡～【R-18版】</v>
      </c>
      <c r="T3617" s="22" t="str">
        <f>IFERROR(__xludf.DUMMYFUNCTION("""COMPUTED_VALUE"""),"格納済み")</f>
        <v>格納済み</v>
      </c>
      <c r="U3617" s="9" t="str">
        <f>IFERROR(__xludf.DUMMYFUNCTION("""COMPUTED_VALUE"""),"Ⓒうつぼのるつぼ/ナンバーナイン")</f>
        <v>Ⓒうつぼのるつぼ/ナンバーナイン</v>
      </c>
      <c r="V3617" s="8"/>
      <c r="W3617" s="8"/>
      <c r="X3617" s="8" t="str">
        <f>IFERROR(__xludf.DUMMYFUNCTION("""COMPUTED_VALUE"""),"有")</f>
        <v>有</v>
      </c>
      <c r="Y3617" s="8" t="str">
        <f>IFERROR(__xludf.DUMMYFUNCTION("""COMPUTED_VALUE"""),"2025/9/30まで1巻無料")</f>
        <v>2025/9/30まで1巻無料</v>
      </c>
      <c r="Z3617" s="7"/>
      <c r="AA3617" s="7"/>
      <c r="AB3617" s="7"/>
    </row>
    <row r="3618" ht="15.75" customHeight="1">
      <c r="A3618" s="26">
        <f>IFERROR(__xludf.DUMMYFUNCTION("""COMPUTED_VALUE"""),5847.0)</f>
        <v>5847</v>
      </c>
      <c r="B3618" s="22" t="str">
        <f>IFERROR(__xludf.DUMMYFUNCTION("""COMPUTED_VALUE"""),"確定")</f>
        <v>確定</v>
      </c>
      <c r="C3618" s="28">
        <f>IFERROR(__xludf.DUMMYFUNCTION("""COMPUTED_VALUE"""),45820.0)</f>
        <v>45820</v>
      </c>
      <c r="D3618" s="28">
        <f>IFERROR(__xludf.DUMMYFUNCTION("""COMPUTED_VALUE"""),45852.0)</f>
        <v>45852</v>
      </c>
      <c r="E3618" s="26">
        <f>IFERROR(__xludf.DUMMYFUNCTION("""COMPUTED_VALUE"""),332272.0)</f>
        <v>332272</v>
      </c>
      <c r="F3618" s="22" t="str">
        <f>IFERROR(__xludf.DUMMYFUNCTION("""COMPUTED_VALUE"""),"イケメン上司からの溺愛宣言～ハイスペ男子はコリゴリだと思っていたのに～")</f>
        <v>イケメン上司からの溺愛宣言～ハイスペ男子はコリゴリだと思っていたのに～</v>
      </c>
      <c r="G3618" s="20" t="str">
        <f>IFERROR(__xludf.DUMMYFUNCTION("""COMPUTED_VALUE"""),"1～3")</f>
        <v>1～3</v>
      </c>
      <c r="H3618" s="22" t="str">
        <f>IFERROR(__xludf.DUMMYFUNCTION("""COMPUTED_VALUE"""),"蒼瀬サキ/結来月ひろは")</f>
        <v>蒼瀬サキ/結来月ひろは</v>
      </c>
      <c r="I3618" s="22" t="str">
        <f>IFERROR(__xludf.DUMMYFUNCTION("""COMPUTED_VALUE"""),"女性")</f>
        <v>女性</v>
      </c>
      <c r="J3618" s="22"/>
      <c r="K3618" s="22"/>
      <c r="L3618" s="22" t="str">
        <f>IFERROR(__xludf.DUMMYFUNCTION("""COMPUTED_VALUE"""),"DPNブックス")</f>
        <v>DPNブックス</v>
      </c>
      <c r="M3618" s="33">
        <f>IFERROR(__xludf.DUMMYFUNCTION("""COMPUTED_VALUE"""),45894.0)</f>
        <v>45894</v>
      </c>
      <c r="N3618" s="33">
        <f>IFERROR(__xludf.DUMMYFUNCTION("""COMPUTED_VALUE"""),45924.0)</f>
        <v>45924</v>
      </c>
      <c r="O3618" s="20"/>
      <c r="P3618" s="32" t="str">
        <f>IFERROR(__xludf.DUMMYFUNCTION("""COMPUTED_VALUE"""),"可")</f>
        <v>可</v>
      </c>
      <c r="Q3618" s="30" t="str">
        <f>IFERROR(__xludf.DUMMYFUNCTION("""COMPUTED_VALUE"""),"・自社書店（music.jp）との2社先行です。&lt;BR&gt;・広告ヒット時の先行延長は可能です。")</f>
        <v>・自社書店（music.jp）との2社先行です。&lt;BR&gt;・広告ヒット時の先行延長は可能です。</v>
      </c>
      <c r="R3618" s="22" t="str">
        <f>IFERROR(__xludf.DUMMYFUNCTION("""COMPUTED_VALUE"""),"コミットOK")</f>
        <v>コミットOK</v>
      </c>
      <c r="S3618" s="22" t="str">
        <f>IFERROR(__xludf.DUMMYFUNCTION("""COMPUTED_VALUE"""),"20250714_DPNブックス_イケメン上司からの溺愛宣言")</f>
        <v>20250714_DPNブックス_イケメン上司からの溺愛宣言</v>
      </c>
      <c r="T3618" s="22" t="str">
        <f>IFERROR(__xludf.DUMMYFUNCTION("""COMPUTED_VALUE"""),"格納済み")</f>
        <v>格納済み</v>
      </c>
      <c r="U3618" s="9" t="str">
        <f>IFERROR(__xludf.DUMMYFUNCTION("""COMPUTED_VALUE"""),"Ⓒ蒼瀬サキ／結来月ひろは／TREND-PRO／DPNブックス")</f>
        <v>Ⓒ蒼瀬サキ／結来月ひろは／TREND-PRO／DPNブックス</v>
      </c>
      <c r="V3618" s="8"/>
      <c r="W3618" s="8"/>
      <c r="X3618" s="8" t="str">
        <f>IFERROR(__xludf.DUMMYFUNCTION("""COMPUTED_VALUE"""),"有")</f>
        <v>有</v>
      </c>
      <c r="Y3618" s="8" t="str">
        <f>IFERROR(__xludf.DUMMYFUNCTION("""COMPUTED_VALUE"""),"2025/9/24まで1巻無料")</f>
        <v>2025/9/24まで1巻無料</v>
      </c>
      <c r="Z3618" s="7"/>
      <c r="AA3618" s="7"/>
      <c r="AB3618" s="7"/>
    </row>
    <row r="3619" ht="15.75" customHeight="1">
      <c r="A3619" s="26">
        <f>IFERROR(__xludf.DUMMYFUNCTION("""COMPUTED_VALUE"""),5849.0)</f>
        <v>5849</v>
      </c>
      <c r="B3619" s="22" t="str">
        <f>IFERROR(__xludf.DUMMYFUNCTION("""COMPUTED_VALUE"""),"確定")</f>
        <v>確定</v>
      </c>
      <c r="C3619" s="28">
        <f>IFERROR(__xludf.DUMMYFUNCTION("""COMPUTED_VALUE"""),45824.0)</f>
        <v>45824</v>
      </c>
      <c r="D3619" s="28">
        <f>IFERROR(__xludf.DUMMYFUNCTION("""COMPUTED_VALUE"""),45849.0)</f>
        <v>45849</v>
      </c>
      <c r="E3619" s="26">
        <f>IFERROR(__xludf.DUMMYFUNCTION("""COMPUTED_VALUE"""),331638.0)</f>
        <v>331638</v>
      </c>
      <c r="F3619" s="22" t="str">
        <f>IFERROR(__xludf.DUMMYFUNCTION("""COMPUTED_VALUE"""),"暗黒街の王の寵愛から逃れる術など皆無です【単話版】")</f>
        <v>暗黒街の王の寵愛から逃れる術など皆無です【単話版】</v>
      </c>
      <c r="G3619" s="20" t="str">
        <f>IFERROR(__xludf.DUMMYFUNCTION("""COMPUTED_VALUE"""),"1～6")</f>
        <v>1～6</v>
      </c>
      <c r="H3619" s="22" t="str">
        <f>IFERROR(__xludf.DUMMYFUNCTION("""COMPUTED_VALUE"""),"光野風夏／COMIC ROOM")</f>
        <v>光野風夏／COMIC ROOM</v>
      </c>
      <c r="I3619" s="22" t="str">
        <f>IFERROR(__xludf.DUMMYFUNCTION("""COMPUTED_VALUE"""),"女性")</f>
        <v>女性</v>
      </c>
      <c r="J3619" s="22"/>
      <c r="K3619" s="22"/>
      <c r="L3619" s="22" t="str">
        <f>IFERROR(__xludf.DUMMYFUNCTION("""COMPUTED_VALUE"""),"コミックルーム")</f>
        <v>コミックルーム</v>
      </c>
      <c r="M3619" s="33">
        <f>IFERROR(__xludf.DUMMYFUNCTION("""COMPUTED_VALUE"""),45884.0)</f>
        <v>45884</v>
      </c>
      <c r="N3619" s="33">
        <f>IFERROR(__xludf.DUMMYFUNCTION("""COMPUTED_VALUE"""),45975.0)</f>
        <v>45975</v>
      </c>
      <c r="O3619" s="20"/>
      <c r="P3619" s="32" t="str">
        <f>IFERROR(__xludf.DUMMYFUNCTION("""COMPUTED_VALUE"""),"可")</f>
        <v>可</v>
      </c>
      <c r="Q3619" s="30"/>
      <c r="R3619" s="22"/>
      <c r="S3619" s="22" t="str">
        <f>IFERROR(__xludf.DUMMYFUNCTION("""COMPUTED_VALUE"""),"20250710_コミックルーム_暗黒街の王の寵愛から逃れる術など皆無です【単話版】")</f>
        <v>20250710_コミックルーム_暗黒街の王の寵愛から逃れる術など皆無です【単話版】</v>
      </c>
      <c r="T3619" s="22" t="str">
        <f>IFERROR(__xludf.DUMMYFUNCTION("""COMPUTED_VALUE"""),"格納済み")</f>
        <v>格納済み</v>
      </c>
      <c r="U3619" s="9" t="str">
        <f>IFERROR(__xludf.DUMMYFUNCTION("""COMPUTED_VALUE"""),"Ⓒ光野風夏／COMIC ROOM")</f>
        <v>Ⓒ光野風夏／COMIC ROOM</v>
      </c>
      <c r="V3619" s="8"/>
      <c r="W3619" s="8"/>
      <c r="X3619" s="8" t="str">
        <f>IFERROR(__xludf.DUMMYFUNCTION("""COMPUTED_VALUE"""),"有")</f>
        <v>有</v>
      </c>
      <c r="Y3619" s="8" t="str">
        <f>IFERROR(__xludf.DUMMYFUNCTION("""COMPUTED_VALUE"""),"P12まで")</f>
        <v>P12まで</v>
      </c>
      <c r="Z3619" s="7"/>
      <c r="AA3619" s="7"/>
      <c r="AB3619" s="7"/>
    </row>
    <row r="3620" ht="15.75" customHeight="1">
      <c r="A3620" s="26">
        <f>IFERROR(__xludf.DUMMYFUNCTION("""COMPUTED_VALUE"""),5944.0)</f>
        <v>5944</v>
      </c>
      <c r="B3620" s="22" t="str">
        <f>IFERROR(__xludf.DUMMYFUNCTION("""COMPUTED_VALUE"""),"確定")</f>
        <v>確定</v>
      </c>
      <c r="C3620" s="28">
        <f>IFERROR(__xludf.DUMMYFUNCTION("""COMPUTED_VALUE"""),45838.0)</f>
        <v>45838</v>
      </c>
      <c r="D3620" s="28">
        <f>IFERROR(__xludf.DUMMYFUNCTION("""COMPUTED_VALUE"""),45852.0)</f>
        <v>45852</v>
      </c>
      <c r="E3620" s="26">
        <f>IFERROR(__xludf.DUMMYFUNCTION("""COMPUTED_VALUE"""),330523.0)</f>
        <v>330523</v>
      </c>
      <c r="F3620" s="22" t="str">
        <f>IFERROR(__xludf.DUMMYFUNCTION("""COMPUTED_VALUE"""),"褒められる快感–Switchの女ボスはDomの側近に褒められたい–【Dom/Subユニバース】《Lovelicot》")</f>
        <v>褒められる快感–Switchの女ボスはDomの側近に褒められたい–【Dom/Subユニバース】《Lovelicot》</v>
      </c>
      <c r="G3620" s="20" t="str">
        <f>IFERROR(__xludf.DUMMYFUNCTION("""COMPUTED_VALUE"""),"1～2")</f>
        <v>1～2</v>
      </c>
      <c r="H3620" s="22" t="str">
        <f>IFERROR(__xludf.DUMMYFUNCTION("""COMPUTED_VALUE"""),"秋丸とらお")</f>
        <v>秋丸とらお</v>
      </c>
      <c r="I3620" s="22" t="str">
        <f>IFERROR(__xludf.DUMMYFUNCTION("""COMPUTED_VALUE"""),"TL")</f>
        <v>TL</v>
      </c>
      <c r="J3620" s="22"/>
      <c r="K3620" s="22" t="str">
        <f>IFERROR(__xludf.DUMMYFUNCTION("""COMPUTED_VALUE"""),"Lovelicot")</f>
        <v>Lovelicot</v>
      </c>
      <c r="L3620" s="22" t="str">
        <f>IFERROR(__xludf.DUMMYFUNCTION("""COMPUTED_VALUE"""),"ガールスカウトコミックス")</f>
        <v>ガールスカウトコミックス</v>
      </c>
      <c r="M3620" s="33">
        <f>IFERROR(__xludf.DUMMYFUNCTION("""COMPUTED_VALUE"""),45875.0)</f>
        <v>45875</v>
      </c>
      <c r="N3620" s="33">
        <f>IFERROR(__xludf.DUMMYFUNCTION("""COMPUTED_VALUE"""),45969.0)</f>
        <v>45969</v>
      </c>
      <c r="O3620" s="20"/>
      <c r="P3620" s="32" t="str">
        <f>IFERROR(__xludf.DUMMYFUNCTION("""COMPUTED_VALUE"""),"可")</f>
        <v>可</v>
      </c>
      <c r="Q3620" s="30" t="str">
        <f>IFERROR(__xludf.DUMMYFUNCTION("""COMPUTED_VALUE"""),"同人ストア配信中、売上に応じて3話以降継続を予定。素材は2分割して、初回1～2巻として配信。(2次先行扱いになります)")</f>
        <v>同人ストア配信中、売上に応じて3話以降継続を予定。素材は2分割して、初回1～2巻として配信。(2次先行扱いになります)</v>
      </c>
      <c r="R3620" s="22" t="str">
        <f>IFERROR(__xludf.DUMMYFUNCTION("""COMPUTED_VALUE"""),"コミットOK")</f>
        <v>コミットOK</v>
      </c>
      <c r="S3620" s="22" t="str">
        <f>IFERROR(__xludf.DUMMYFUNCTION("""COMPUTED_VALUE"""),"20250711_ガールスカウトコミックス_褒められる快感-Switchの女ボスはDomの側近に褒められたい-【Dom／Subユニバース】《Lovelicot》")</f>
        <v>20250711_ガールスカウトコミックス_褒められる快感-Switchの女ボスはDomの側近に褒められたい-【Dom／Subユニバース】《Lovelicot》</v>
      </c>
      <c r="T3620" s="22" t="str">
        <f>IFERROR(__xludf.DUMMYFUNCTION("""COMPUTED_VALUE"""),"格納済み")</f>
        <v>格納済み</v>
      </c>
      <c r="U3620" s="9" t="str">
        <f>IFERROR(__xludf.DUMMYFUNCTION("""COMPUTED_VALUE"""),"Ⓒ秋丸とらお／ガールスカウトコミックス")</f>
        <v>Ⓒ秋丸とらお／ガールスカウトコミックス</v>
      </c>
      <c r="V3620" s="8"/>
      <c r="W3620" s="8"/>
      <c r="X3620" s="8" t="str">
        <f>IFERROR(__xludf.DUMMYFUNCTION("""COMPUTED_VALUE"""),"有")</f>
        <v>有</v>
      </c>
      <c r="Y3620" s="8" t="str">
        <f>IFERROR(__xludf.DUMMYFUNCTION("""COMPUTED_VALUE"""),"P12まで")</f>
        <v>P12まで</v>
      </c>
      <c r="Z3620" s="7"/>
      <c r="AA3620" s="7"/>
      <c r="AB3620" s="7"/>
    </row>
    <row r="3621" ht="15.75" customHeight="1">
      <c r="A3621" s="26">
        <f>IFERROR(__xludf.DUMMYFUNCTION("""COMPUTED_VALUE"""),5949.0)</f>
        <v>5949</v>
      </c>
      <c r="B3621" s="22" t="str">
        <f>IFERROR(__xludf.DUMMYFUNCTION("""COMPUTED_VALUE"""),"確定")</f>
        <v>確定</v>
      </c>
      <c r="C3621" s="28">
        <f>IFERROR(__xludf.DUMMYFUNCTION("""COMPUTED_VALUE"""),45838.0)</f>
        <v>45838</v>
      </c>
      <c r="D3621" s="28">
        <f>IFERROR(__xludf.DUMMYFUNCTION("""COMPUTED_VALUE"""),45854.0)</f>
        <v>45854</v>
      </c>
      <c r="E3621" s="26">
        <f>IFERROR(__xludf.DUMMYFUNCTION("""COMPUTED_VALUE"""),330978.0)</f>
        <v>330978</v>
      </c>
      <c r="F3621" s="22" t="str">
        <f>IFERROR(__xludf.DUMMYFUNCTION("""COMPUTED_VALUE"""),"和菓子屋ラ・メール")</f>
        <v>和菓子屋ラ・メール</v>
      </c>
      <c r="G3621" s="20" t="str">
        <f>IFERROR(__xludf.DUMMYFUNCTION("""COMPUTED_VALUE"""),"1～7")</f>
        <v>1～7</v>
      </c>
      <c r="H3621" s="22" t="str">
        <f>IFERROR(__xludf.DUMMYFUNCTION("""COMPUTED_VALUE"""),"山田朋佳┴mahora┴アンブル編集部")</f>
        <v>山田朋佳┴mahora┴アンブル編集部</v>
      </c>
      <c r="I3621" s="22" t="str">
        <f>IFERROR(__xludf.DUMMYFUNCTION("""COMPUTED_VALUE"""),"青年")</f>
        <v>青年</v>
      </c>
      <c r="J3621" s="22"/>
      <c r="K3621" s="22"/>
      <c r="L3621" s="22" t="str">
        <f>IFERROR(__xludf.DUMMYFUNCTION("""COMPUTED_VALUE"""),"ライブコミックス")</f>
        <v>ライブコミックス</v>
      </c>
      <c r="M3621" s="33">
        <f>IFERROR(__xludf.DUMMYFUNCTION("""COMPUTED_VALUE"""),45912.0)</f>
        <v>45912</v>
      </c>
      <c r="N3621" s="33">
        <f>IFERROR(__xludf.DUMMYFUNCTION("""COMPUTED_VALUE"""),45974.0)</f>
        <v>45974</v>
      </c>
      <c r="O3621" s="20"/>
      <c r="P3621" s="32" t="str">
        <f>IFERROR(__xludf.DUMMYFUNCTION("""COMPUTED_VALUE"""),"可")</f>
        <v>可</v>
      </c>
      <c r="Q3621" s="30" t="str">
        <f>IFERROR(__xludf.DUMMYFUNCTION("""COMPUTED_VALUE"""),"BookLiveからの2次先行です。&lt;BR&gt;1~5巻の内容にてバナー制作いただければと思います。")</f>
        <v>BookLiveからの2次先行です。&lt;BR&gt;1~5巻の内容にてバナー制作いただければと思います。</v>
      </c>
      <c r="R3621" s="22" t="str">
        <f>IFERROR(__xludf.DUMMYFUNCTION("""COMPUTED_VALUE"""),"コミットOK")</f>
        <v>コミットOK</v>
      </c>
      <c r="S3621" s="22" t="str">
        <f>IFERROR(__xludf.DUMMYFUNCTION("""COMPUTED_VALUE"""),"20250715_Booklive_和菓子屋ラ・メール")</f>
        <v>20250715_Booklive_和菓子屋ラ・メール</v>
      </c>
      <c r="T3621" s="22" t="str">
        <f>IFERROR(__xludf.DUMMYFUNCTION("""COMPUTED_VALUE"""),"格納済み")</f>
        <v>格納済み</v>
      </c>
      <c r="U3621" s="9" t="str">
        <f>IFERROR(__xludf.DUMMYFUNCTION("""COMPUTED_VALUE"""),"Ⓒ山田朋佳・mahora/ライブコミックス")</f>
        <v>Ⓒ山田朋佳・mahora/ライブコミックス</v>
      </c>
      <c r="V3621" s="8"/>
      <c r="W3621" s="8"/>
      <c r="X3621" s="8" t="str">
        <f>IFERROR(__xludf.DUMMYFUNCTION("""COMPUTED_VALUE"""),"有")</f>
        <v>有</v>
      </c>
      <c r="Y3621" s="8" t="str">
        <f>IFERROR(__xludf.DUMMYFUNCTION("""COMPUTED_VALUE"""),"2025/10/9まで1～2巻無料")</f>
        <v>2025/10/9まで1～2巻無料</v>
      </c>
      <c r="Z3621" s="7"/>
      <c r="AA3621" s="7"/>
      <c r="AB3621" s="7"/>
    </row>
    <row r="3622" ht="15.75" customHeight="1">
      <c r="A3622" s="26">
        <f>IFERROR(__xludf.DUMMYFUNCTION("""COMPUTED_VALUE"""),5950.0)</f>
        <v>5950</v>
      </c>
      <c r="B3622" s="22" t="str">
        <f>IFERROR(__xludf.DUMMYFUNCTION("""COMPUTED_VALUE"""),"確定")</f>
        <v>確定</v>
      </c>
      <c r="C3622" s="28">
        <f>IFERROR(__xludf.DUMMYFUNCTION("""COMPUTED_VALUE"""),45838.0)</f>
        <v>45838</v>
      </c>
      <c r="D3622" s="28">
        <f>IFERROR(__xludf.DUMMYFUNCTION("""COMPUTED_VALUE"""),45852.0)</f>
        <v>45852</v>
      </c>
      <c r="E3622" s="26">
        <f>IFERROR(__xludf.DUMMYFUNCTION("""COMPUTED_VALUE"""),330923.0)</f>
        <v>330923</v>
      </c>
      <c r="F3622" s="22" t="str">
        <f>IFERROR(__xludf.DUMMYFUNCTION("""COMPUTED_VALUE"""),"朝のイチゴはときどき甘い")</f>
        <v>朝のイチゴはときどき甘い</v>
      </c>
      <c r="G3622" s="20" t="str">
        <f>IFERROR(__xludf.DUMMYFUNCTION("""COMPUTED_VALUE"""),"1～7")</f>
        <v>1～7</v>
      </c>
      <c r="H3622" s="22" t="str">
        <f>IFERROR(__xludf.DUMMYFUNCTION("""COMPUTED_VALUE"""),"岡村みのり┴アンブル編集部")</f>
        <v>岡村みのり┴アンブル編集部</v>
      </c>
      <c r="I3622" s="22" t="str">
        <f>IFERROR(__xludf.DUMMYFUNCTION("""COMPUTED_VALUE"""),"青年")</f>
        <v>青年</v>
      </c>
      <c r="J3622" s="22"/>
      <c r="K3622" s="22"/>
      <c r="L3622" s="22" t="str">
        <f>IFERROR(__xludf.DUMMYFUNCTION("""COMPUTED_VALUE"""),"ライブコミックス")</f>
        <v>ライブコミックス</v>
      </c>
      <c r="M3622" s="33">
        <f>IFERROR(__xludf.DUMMYFUNCTION("""COMPUTED_VALUE"""),45877.0)</f>
        <v>45877</v>
      </c>
      <c r="N3622" s="33">
        <f>IFERROR(__xludf.DUMMYFUNCTION("""COMPUTED_VALUE"""),45939.0)</f>
        <v>45939</v>
      </c>
      <c r="O3622" s="20"/>
      <c r="P3622" s="32" t="str">
        <f>IFERROR(__xludf.DUMMYFUNCTION("""COMPUTED_VALUE"""),"可")</f>
        <v>可</v>
      </c>
      <c r="Q3622" s="30" t="str">
        <f>IFERROR(__xludf.DUMMYFUNCTION("""COMPUTED_VALUE"""),"BookLiveからの2次先行です&lt;BR&gt;1~5巻分の内容にてご検討＆ご制作をお願いします。")</f>
        <v>BookLiveからの2次先行です&lt;BR&gt;1~5巻分の内容にてご検討＆ご制作をお願いします。</v>
      </c>
      <c r="R3622" s="22" t="str">
        <f>IFERROR(__xludf.DUMMYFUNCTION("""COMPUTED_VALUE"""),"コミットOK")</f>
        <v>コミットOK</v>
      </c>
      <c r="S3622" s="22" t="str">
        <f>IFERROR(__xludf.DUMMYFUNCTION("""COMPUTED_VALUE"""),"20250627_BookLive_朝のイチゴはときどき甘い")</f>
        <v>20250627_BookLive_朝のイチゴはときどき甘い</v>
      </c>
      <c r="T3622" s="22" t="str">
        <f>IFERROR(__xludf.DUMMYFUNCTION("""COMPUTED_VALUE"""),"格納済み")</f>
        <v>格納済み</v>
      </c>
      <c r="U3622" s="9" t="str">
        <f>IFERROR(__xludf.DUMMYFUNCTION("""COMPUTED_VALUE"""),"Ⓒ岡村みのり/ライブコミックス")</f>
        <v>Ⓒ岡村みのり/ライブコミックス</v>
      </c>
      <c r="V3622" s="8"/>
      <c r="W3622" s="8"/>
      <c r="X3622" s="8" t="str">
        <f>IFERROR(__xludf.DUMMYFUNCTION("""COMPUTED_VALUE"""),"有")</f>
        <v>有</v>
      </c>
      <c r="Y3622" s="8" t="str">
        <f>IFERROR(__xludf.DUMMYFUNCTION("""COMPUTED_VALUE"""),"P10まで")</f>
        <v>P10まで</v>
      </c>
      <c r="Z3622" s="7"/>
      <c r="AA3622" s="7"/>
      <c r="AB3622" s="7"/>
    </row>
    <row r="3623" ht="15.75" customHeight="1">
      <c r="A3623" s="26">
        <f>IFERROR(__xludf.DUMMYFUNCTION("""COMPUTED_VALUE"""),5951.0)</f>
        <v>5951</v>
      </c>
      <c r="B3623" s="22" t="str">
        <f>IFERROR(__xludf.DUMMYFUNCTION("""COMPUTED_VALUE"""),"確定")</f>
        <v>確定</v>
      </c>
      <c r="C3623" s="28">
        <f>IFERROR(__xludf.DUMMYFUNCTION("""COMPUTED_VALUE"""),45838.0)</f>
        <v>45838</v>
      </c>
      <c r="D3623" s="28">
        <f>IFERROR(__xludf.DUMMYFUNCTION("""COMPUTED_VALUE"""),45852.0)</f>
        <v>45852</v>
      </c>
      <c r="E3623" s="26">
        <f>IFERROR(__xludf.DUMMYFUNCTION("""COMPUTED_VALUE"""),332075.0)</f>
        <v>332075</v>
      </c>
      <c r="F3623" s="22" t="str">
        <f>IFERROR(__xludf.DUMMYFUNCTION("""COMPUTED_VALUE"""),"【立入禁止】ヤバい噂の館～色情霊に襲われる配信者たち～")</f>
        <v>【立入禁止】ヤバい噂の館～色情霊に襲われる配信者たち～</v>
      </c>
      <c r="G3623" s="20" t="str">
        <f>IFERROR(__xludf.DUMMYFUNCTION("""COMPUTED_VALUE"""),"1～6")</f>
        <v>1～6</v>
      </c>
      <c r="H3623" s="22" t="str">
        <f>IFERROR(__xludf.DUMMYFUNCTION("""COMPUTED_VALUE"""),"岡田鯛┴ヤングアンブル編集部")</f>
        <v>岡田鯛┴ヤングアンブル編集部</v>
      </c>
      <c r="I3623" s="22" t="str">
        <f>IFERROR(__xludf.DUMMYFUNCTION("""COMPUTED_VALUE"""),"青年")</f>
        <v>青年</v>
      </c>
      <c r="J3623" s="22"/>
      <c r="K3623" s="22"/>
      <c r="L3623" s="22" t="str">
        <f>IFERROR(__xludf.DUMMYFUNCTION("""COMPUTED_VALUE"""),"ライブコミックス")</f>
        <v>ライブコミックス</v>
      </c>
      <c r="M3623" s="33">
        <f>IFERROR(__xludf.DUMMYFUNCTION("""COMPUTED_VALUE"""),45891.0)</f>
        <v>45891</v>
      </c>
      <c r="N3623" s="33">
        <f>IFERROR(__xludf.DUMMYFUNCTION("""COMPUTED_VALUE"""),45953.0)</f>
        <v>45953</v>
      </c>
      <c r="O3623" s="20"/>
      <c r="P3623" s="32" t="str">
        <f>IFERROR(__xludf.DUMMYFUNCTION("""COMPUTED_VALUE"""),"可")</f>
        <v>可</v>
      </c>
      <c r="Q3623" s="30" t="str">
        <f>IFERROR(__xludf.DUMMYFUNCTION("""COMPUTED_VALUE"""),"BookLiveからの2次先行です。&lt;BR&gt;1~6話までの内容にてご検討＆ご制作をお願いします。")</f>
        <v>BookLiveからの2次先行です。&lt;BR&gt;1~6話までの内容にてご検討＆ご制作をお願いします。</v>
      </c>
      <c r="R3623" s="22" t="str">
        <f>IFERROR(__xludf.DUMMYFUNCTION("""COMPUTED_VALUE"""),"コミットOK")</f>
        <v>コミットOK</v>
      </c>
      <c r="S3623" s="22" t="str">
        <f>IFERROR(__xludf.DUMMYFUNCTION("""COMPUTED_VALUE"""),"20250627_BookLive_【立入禁止】ヤバい噂の館～色情霊に襲われる配信者たち～")</f>
        <v>20250627_BookLive_【立入禁止】ヤバい噂の館～色情霊に襲われる配信者たち～</v>
      </c>
      <c r="T3623" s="22" t="str">
        <f>IFERROR(__xludf.DUMMYFUNCTION("""COMPUTED_VALUE"""),"格納済み")</f>
        <v>格納済み</v>
      </c>
      <c r="U3623" s="9" t="str">
        <f>IFERROR(__xludf.DUMMYFUNCTION("""COMPUTED_VALUE"""),"Ⓒ岡田鯛/ライブコミックス")</f>
        <v>Ⓒ岡田鯛/ライブコミックス</v>
      </c>
      <c r="V3623" s="8"/>
      <c r="W3623" s="8"/>
      <c r="X3623" s="8" t="str">
        <f>IFERROR(__xludf.DUMMYFUNCTION("""COMPUTED_VALUE"""),"有")</f>
        <v>有</v>
      </c>
      <c r="Y3623" s="8" t="str">
        <f>IFERROR(__xludf.DUMMYFUNCTION("""COMPUTED_VALUE"""),"P20まで")</f>
        <v>P20まで</v>
      </c>
      <c r="Z3623" s="7"/>
      <c r="AA3623" s="7"/>
      <c r="AB3623" s="7"/>
    </row>
    <row r="3624" ht="15.75" customHeight="1">
      <c r="A3624" s="26">
        <f>IFERROR(__xludf.DUMMYFUNCTION("""COMPUTED_VALUE"""),5972.0)</f>
        <v>5972</v>
      </c>
      <c r="B3624" s="22" t="str">
        <f>IFERROR(__xludf.DUMMYFUNCTION("""COMPUTED_VALUE"""),"確定")</f>
        <v>確定</v>
      </c>
      <c r="C3624" s="28">
        <f>IFERROR(__xludf.DUMMYFUNCTION("""COMPUTED_VALUE"""),45840.0)</f>
        <v>45840</v>
      </c>
      <c r="D3624" s="28">
        <f>IFERROR(__xludf.DUMMYFUNCTION("""COMPUTED_VALUE"""),45853.0)</f>
        <v>45853</v>
      </c>
      <c r="E3624" s="26">
        <f>IFERROR(__xludf.DUMMYFUNCTION("""COMPUTED_VALUE"""),333020.0)</f>
        <v>333020</v>
      </c>
      <c r="F3624" s="22" t="str">
        <f>IFERROR(__xludf.DUMMYFUNCTION("""COMPUTED_VALUE"""),"わたしのおでかけ準備 Get Ready With Me")</f>
        <v>わたしのおでかけ準備 Get Ready With Me</v>
      </c>
      <c r="G3624" s="20" t="str">
        <f>IFERROR(__xludf.DUMMYFUNCTION("""COMPUTED_VALUE"""),"1～6")</f>
        <v>1～6</v>
      </c>
      <c r="H3624" s="22" t="str">
        <f>IFERROR(__xludf.DUMMYFUNCTION("""COMPUTED_VALUE"""),"みみかん")</f>
        <v>みみかん</v>
      </c>
      <c r="I3624" s="22" t="str">
        <f>IFERROR(__xludf.DUMMYFUNCTION("""COMPUTED_VALUE"""),"女性")</f>
        <v>女性</v>
      </c>
      <c r="J3624" s="22"/>
      <c r="K3624" s="22"/>
      <c r="L3624" s="22" t="str">
        <f>IFERROR(__xludf.DUMMYFUNCTION("""COMPUTED_VALUE"""),"飛鳥新社")</f>
        <v>飛鳥新社</v>
      </c>
      <c r="M3624" s="33">
        <f>IFERROR(__xludf.DUMMYFUNCTION("""COMPUTED_VALUE"""),45884.0)</f>
        <v>45884</v>
      </c>
      <c r="N3624" s="33">
        <f>IFERROR(__xludf.DUMMYFUNCTION("""COMPUTED_VALUE"""),45975.0)</f>
        <v>45975</v>
      </c>
      <c r="O3624" s="20"/>
      <c r="P3624" s="32" t="str">
        <f>IFERROR(__xludf.DUMMYFUNCTION("""COMPUTED_VALUE"""),"可")</f>
        <v>可</v>
      </c>
      <c r="Q3624" s="30" t="str">
        <f>IFERROR(__xludf.DUMMYFUNCTION("""COMPUTED_VALUE"""),"冒頭1話無料")</f>
        <v>冒頭1話無料</v>
      </c>
      <c r="R3624" s="22" t="str">
        <f>IFERROR(__xludf.DUMMYFUNCTION("""COMPUTED_VALUE"""),"コミットNG")</f>
        <v>コミットNG</v>
      </c>
      <c r="S3624" s="22" t="str">
        <f>IFERROR(__xludf.DUMMYFUNCTION("""COMPUTED_VALUE"""),"20250702_飛鳥新社_わたしのおでかけ準備")</f>
        <v>20250702_飛鳥新社_わたしのおでかけ準備</v>
      </c>
      <c r="T3624" s="22" t="str">
        <f>IFERROR(__xludf.DUMMYFUNCTION("""COMPUTED_VALUE"""),"格納済み")</f>
        <v>格納済み</v>
      </c>
      <c r="U3624" s="9" t="str">
        <f>IFERROR(__xludf.DUMMYFUNCTION("""COMPUTED_VALUE"""),"Ⓒみみかん/飛鳥新社")</f>
        <v>Ⓒみみかん/飛鳥新社</v>
      </c>
      <c r="V3624" s="8"/>
      <c r="W3624" s="8"/>
      <c r="X3624" s="8" t="str">
        <f>IFERROR(__xludf.DUMMYFUNCTION("""COMPUTED_VALUE"""),"有")</f>
        <v>有</v>
      </c>
      <c r="Y3624" s="8" t="str">
        <f>IFERROR(__xludf.DUMMYFUNCTION("""COMPUTED_VALUE"""),"P2まで")</f>
        <v>P2まで</v>
      </c>
      <c r="Z3624" s="7"/>
      <c r="AA3624" s="7"/>
      <c r="AB3624" s="7"/>
    </row>
    <row r="3625" ht="15.75" customHeight="1">
      <c r="A3625" s="26">
        <f>IFERROR(__xludf.DUMMYFUNCTION("""COMPUTED_VALUE"""),5973.0)</f>
        <v>5973</v>
      </c>
      <c r="B3625" s="22" t="str">
        <f>IFERROR(__xludf.DUMMYFUNCTION("""COMPUTED_VALUE"""),"確定")</f>
        <v>確定</v>
      </c>
      <c r="C3625" s="28">
        <f>IFERROR(__xludf.DUMMYFUNCTION("""COMPUTED_VALUE"""),45840.0)</f>
        <v>45840</v>
      </c>
      <c r="D3625" s="28">
        <f>IFERROR(__xludf.DUMMYFUNCTION("""COMPUTED_VALUE"""),45853.0)</f>
        <v>45853</v>
      </c>
      <c r="E3625" s="26">
        <f>IFERROR(__xludf.DUMMYFUNCTION("""COMPUTED_VALUE"""),332720.0)</f>
        <v>332720</v>
      </c>
      <c r="F3625" s="22" t="str">
        <f>IFERROR(__xludf.DUMMYFUNCTION("""COMPUTED_VALUE"""),"妹なんか生まれてこなければよかったのに -きょうだい児が自分を取り戻す物語-")</f>
        <v>妹なんか生まれてこなければよかったのに -きょうだい児が自分を取り戻す物語-</v>
      </c>
      <c r="G3625" s="20" t="str">
        <f>IFERROR(__xludf.DUMMYFUNCTION("""COMPUTED_VALUE"""),"1～11")</f>
        <v>1～11</v>
      </c>
      <c r="H3625" s="22" t="str">
        <f>IFERROR(__xludf.DUMMYFUNCTION("""COMPUTED_VALUE"""),"うみこ")</f>
        <v>うみこ</v>
      </c>
      <c r="I3625" s="22" t="str">
        <f>IFERROR(__xludf.DUMMYFUNCTION("""COMPUTED_VALUE"""),"女性")</f>
        <v>女性</v>
      </c>
      <c r="J3625" s="22"/>
      <c r="K3625" s="22"/>
      <c r="L3625" s="22" t="str">
        <f>IFERROR(__xludf.DUMMYFUNCTION("""COMPUTED_VALUE"""),"飛鳥新社")</f>
        <v>飛鳥新社</v>
      </c>
      <c r="M3625" s="33">
        <f>IFERROR(__xludf.DUMMYFUNCTION("""COMPUTED_VALUE"""),45884.0)</f>
        <v>45884</v>
      </c>
      <c r="N3625" s="33">
        <f>IFERROR(__xludf.DUMMYFUNCTION("""COMPUTED_VALUE"""),45975.0)</f>
        <v>45975</v>
      </c>
      <c r="O3625" s="20"/>
      <c r="P3625" s="32" t="str">
        <f>IFERROR(__xludf.DUMMYFUNCTION("""COMPUTED_VALUE"""),"可")</f>
        <v>可</v>
      </c>
      <c r="Q3625" s="30" t="str">
        <f>IFERROR(__xludf.DUMMYFUNCTION("""COMPUTED_VALUE"""),"冒頭1話無料&lt;BR&gt;")</f>
        <v>冒頭1話無料&lt;BR&gt;</v>
      </c>
      <c r="R3625" s="22" t="str">
        <f>IFERROR(__xludf.DUMMYFUNCTION("""COMPUTED_VALUE"""),"コミットNG")</f>
        <v>コミットNG</v>
      </c>
      <c r="S3625" s="22" t="str">
        <f>IFERROR(__xludf.DUMMYFUNCTION("""COMPUTED_VALUE"""),"20250702_飛鳥新社_妹なんか生まれなければよかったのに")</f>
        <v>20250702_飛鳥新社_妹なんか生まれなければよかったのに</v>
      </c>
      <c r="T3625" s="22" t="str">
        <f>IFERROR(__xludf.DUMMYFUNCTION("""COMPUTED_VALUE"""),"格納済み")</f>
        <v>格納済み</v>
      </c>
      <c r="U3625" s="9" t="str">
        <f>IFERROR(__xludf.DUMMYFUNCTION("""COMPUTED_VALUE"""),"Ⓒうみこ/飛鳥新社")</f>
        <v>Ⓒうみこ/飛鳥新社</v>
      </c>
      <c r="V3625" s="8"/>
      <c r="W3625" s="8"/>
      <c r="X3625" s="8" t="str">
        <f>IFERROR(__xludf.DUMMYFUNCTION("""COMPUTED_VALUE"""),"有")</f>
        <v>有</v>
      </c>
      <c r="Y3625" s="8" t="str">
        <f>IFERROR(__xludf.DUMMYFUNCTION("""COMPUTED_VALUE"""),"2025/10/22まで1巻無料")</f>
        <v>2025/10/22まで1巻無料</v>
      </c>
      <c r="Z3625" s="7"/>
      <c r="AA3625" s="7"/>
      <c r="AB3625" s="7"/>
    </row>
    <row r="3626" ht="15.75" customHeight="1">
      <c r="A3626" s="26">
        <f>IFERROR(__xludf.DUMMYFUNCTION("""COMPUTED_VALUE"""),5976.0)</f>
        <v>5976</v>
      </c>
      <c r="B3626" s="22" t="str">
        <f>IFERROR(__xludf.DUMMYFUNCTION("""COMPUTED_VALUE"""),"確定")</f>
        <v>確定</v>
      </c>
      <c r="C3626" s="28">
        <f>IFERROR(__xludf.DUMMYFUNCTION("""COMPUTED_VALUE"""),45840.0)</f>
        <v>45840</v>
      </c>
      <c r="D3626" s="28">
        <f>IFERROR(__xludf.DUMMYFUNCTION("""COMPUTED_VALUE"""),45853.0)</f>
        <v>45853</v>
      </c>
      <c r="E3626" s="26">
        <f>IFERROR(__xludf.DUMMYFUNCTION("""COMPUTED_VALUE"""),333033.0)</f>
        <v>333033</v>
      </c>
      <c r="F3626" s="22" t="str">
        <f>IFERROR(__xludf.DUMMYFUNCTION("""COMPUTED_VALUE"""),"禁断の果実に口づけを【単話】")</f>
        <v>禁断の果実に口づけを【単話】</v>
      </c>
      <c r="G3626" s="20" t="str">
        <f>IFERROR(__xludf.DUMMYFUNCTION("""COMPUTED_VALUE"""),"1～3")</f>
        <v>1～3</v>
      </c>
      <c r="H3626" s="22" t="str">
        <f>IFERROR(__xludf.DUMMYFUNCTION("""COMPUTED_VALUE"""),"げろねば")</f>
        <v>げろねば</v>
      </c>
      <c r="I3626" s="22" t="str">
        <f>IFERROR(__xludf.DUMMYFUNCTION("""COMPUTED_VALUE"""),"BL")</f>
        <v>BL</v>
      </c>
      <c r="J3626" s="22"/>
      <c r="K3626" s="22"/>
      <c r="L3626" s="22" t="str">
        <f>IFERROR(__xludf.DUMMYFUNCTION("""COMPUTED_VALUE"""),"朝日新聞出版")</f>
        <v>朝日新聞出版</v>
      </c>
      <c r="M3626" s="33">
        <f>IFERROR(__xludf.DUMMYFUNCTION("""COMPUTED_VALUE"""),45899.0)</f>
        <v>45899</v>
      </c>
      <c r="N3626" s="33">
        <f>IFERROR(__xludf.DUMMYFUNCTION("""COMPUTED_VALUE"""),45990.0)</f>
        <v>45990</v>
      </c>
      <c r="O3626" s="20"/>
      <c r="P3626" s="32" t="str">
        <f>IFERROR(__xludf.DUMMYFUNCTION("""COMPUTED_VALUE"""),"可")</f>
        <v>可</v>
      </c>
      <c r="Q3626" s="30" t="str">
        <f>IFERROR(__xludf.DUMMYFUNCTION("""COMPUTED_VALUE"""),"冒頭1話無料")</f>
        <v>冒頭1話無料</v>
      </c>
      <c r="R3626" s="22" t="str">
        <f>IFERROR(__xludf.DUMMYFUNCTION("""COMPUTED_VALUE"""),"コミットOK")</f>
        <v>コミットOK</v>
      </c>
      <c r="S3626" s="22" t="str">
        <f>IFERROR(__xludf.DUMMYFUNCTION("""COMPUTED_VALUE"""),"20250702_朝日新聞出版_禁断の果実に口づけを")</f>
        <v>20250702_朝日新聞出版_禁断の果実に口づけを</v>
      </c>
      <c r="T3626" s="22" t="str">
        <f>IFERROR(__xludf.DUMMYFUNCTION("""COMPUTED_VALUE"""),"格納済み")</f>
        <v>格納済み</v>
      </c>
      <c r="U3626" s="9" t="str">
        <f>IFERROR(__xludf.DUMMYFUNCTION("""COMPUTED_VALUE"""),"Ⓒ げろねば／朝日新聞出版")</f>
        <v>Ⓒ げろねば／朝日新聞出版</v>
      </c>
      <c r="V3626" s="8"/>
      <c r="W3626" s="8"/>
      <c r="X3626" s="8" t="str">
        <f>IFERROR(__xludf.DUMMYFUNCTION("""COMPUTED_VALUE"""),"有")</f>
        <v>有</v>
      </c>
      <c r="Y3626" s="8" t="str">
        <f>IFERROR(__xludf.DUMMYFUNCTION("""COMPUTED_VALUE"""),"P3まで")</f>
        <v>P3まで</v>
      </c>
      <c r="Z3626" s="7"/>
      <c r="AA3626" s="7"/>
      <c r="AB3626" s="7"/>
    </row>
    <row r="3627" ht="15.75" customHeight="1">
      <c r="A3627" s="26">
        <f>IFERROR(__xludf.DUMMYFUNCTION("""COMPUTED_VALUE"""),5991.0)</f>
        <v>5991</v>
      </c>
      <c r="B3627" s="22" t="str">
        <f>IFERROR(__xludf.DUMMYFUNCTION("""COMPUTED_VALUE"""),"確定")</f>
        <v>確定</v>
      </c>
      <c r="C3627" s="28">
        <f>IFERROR(__xludf.DUMMYFUNCTION("""COMPUTED_VALUE"""),45841.0)</f>
        <v>45841</v>
      </c>
      <c r="D3627" s="28">
        <f>IFERROR(__xludf.DUMMYFUNCTION("""COMPUTED_VALUE"""),45853.0)</f>
        <v>45853</v>
      </c>
      <c r="E3627" s="26">
        <f>IFERROR(__xludf.DUMMYFUNCTION("""COMPUTED_VALUE"""),332980.0)</f>
        <v>332980</v>
      </c>
      <c r="F3627" s="22" t="str">
        <f>IFERROR(__xludf.DUMMYFUNCTION("""COMPUTED_VALUE"""),"お嬢様系底辺ダンジョン配信者、迷惑系をボコったらバズって伝説になってますわ!?【単話】")</f>
        <v>お嬢様系底辺ダンジョン配信者、迷惑系をボコったらバズって伝説になってますわ!?【単話】</v>
      </c>
      <c r="G3627" s="20" t="str">
        <f>IFERROR(__xludf.DUMMYFUNCTION("""COMPUTED_VALUE"""),"1～5")</f>
        <v>1～5</v>
      </c>
      <c r="H3627" s="22" t="str">
        <f>IFERROR(__xludf.DUMMYFUNCTION("""COMPUTED_VALUE"""),"赤城大空┴山田孝太郎┴福きつね")</f>
        <v>赤城大空┴山田孝太郎┴福きつね</v>
      </c>
      <c r="I3627" s="22" t="str">
        <f>IFERROR(__xludf.DUMMYFUNCTION("""COMPUTED_VALUE"""),"少年")</f>
        <v>少年</v>
      </c>
      <c r="J3627" s="22"/>
      <c r="K3627" s="22"/>
      <c r="L3627" s="22" t="str">
        <f>IFERROR(__xludf.DUMMYFUNCTION("""COMPUTED_VALUE"""),"小学館")</f>
        <v>小学館</v>
      </c>
      <c r="M3627" s="33">
        <f>IFERROR(__xludf.DUMMYFUNCTION("""COMPUTED_VALUE"""),45883.0)</f>
        <v>45883</v>
      </c>
      <c r="N3627" s="33">
        <f>IFERROR(__xludf.DUMMYFUNCTION("""COMPUTED_VALUE"""),45942.0)</f>
        <v>45942</v>
      </c>
      <c r="O3627" s="20"/>
      <c r="P3627" s="32" t="str">
        <f>IFERROR(__xludf.DUMMYFUNCTION("""COMPUTED_VALUE"""),"否")</f>
        <v>否</v>
      </c>
      <c r="Q3627" s="30" t="str">
        <f>IFERROR(__xludf.DUMMYFUNCTION("""COMPUTED_VALUE"""),"5話素材はzipファイルのほうをご使用ください。")</f>
        <v>5話素材はzipファイルのほうをご使用ください。</v>
      </c>
      <c r="R3627" s="22" t="str">
        <f>IFERROR(__xludf.DUMMYFUNCTION("""COMPUTED_VALUE"""),"コミットOK")</f>
        <v>コミットOK</v>
      </c>
      <c r="S3627" s="22" t="str">
        <f>IFERROR(__xludf.DUMMYFUNCTION("""COMPUTED_VALUE"""),"20250814_小学館_お嬢様系底辺ダンジョン配信者、迷惑系をボコったらバズって伝説になってますわ!【単話】")</f>
        <v>20250814_小学館_お嬢様系底辺ダンジョン配信者、迷惑系をボコったらバズって伝説になってますわ!【単話】</v>
      </c>
      <c r="T3627" s="22" t="str">
        <f>IFERROR(__xludf.DUMMYFUNCTION("""COMPUTED_VALUE"""),"格納済み")</f>
        <v>格納済み</v>
      </c>
      <c r="U3627" s="9" t="str">
        <f>IFERROR(__xludf.DUMMYFUNCTION("""COMPUTED_VALUE"""),"Ⓒ赤城大空・山田孝太郎・福きつね / 小学館")</f>
        <v>Ⓒ赤城大空・山田孝太郎・福きつね / 小学館</v>
      </c>
      <c r="V3627" s="8"/>
      <c r="W3627" s="8"/>
      <c r="X3627" s="8" t="str">
        <f>IFERROR(__xludf.DUMMYFUNCTION("""COMPUTED_VALUE"""),"有")</f>
        <v>有</v>
      </c>
      <c r="Y3627" s="8" t="str">
        <f>IFERROR(__xludf.DUMMYFUNCTION("""COMPUTED_VALUE"""),"2025/10/12まで1巻無料")</f>
        <v>2025/10/12まで1巻無料</v>
      </c>
      <c r="Z3627" s="7"/>
      <c r="AA3627" s="7"/>
      <c r="AB3627" s="7"/>
    </row>
    <row r="3628" ht="15.75" customHeight="1">
      <c r="A3628" s="26">
        <f>IFERROR(__xludf.DUMMYFUNCTION("""COMPUTED_VALUE"""),6049.0)</f>
        <v>6049</v>
      </c>
      <c r="B3628" s="22" t="str">
        <f>IFERROR(__xludf.DUMMYFUNCTION("""COMPUTED_VALUE"""),"確定")</f>
        <v>確定</v>
      </c>
      <c r="C3628" s="28">
        <f>IFERROR(__xludf.DUMMYFUNCTION("""COMPUTED_VALUE"""),45848.0)</f>
        <v>45848</v>
      </c>
      <c r="D3628" s="28">
        <f>IFERROR(__xludf.DUMMYFUNCTION("""COMPUTED_VALUE"""),45852.0)</f>
        <v>45852</v>
      </c>
      <c r="E3628" s="26">
        <f>IFERROR(__xludf.DUMMYFUNCTION("""COMPUTED_VALUE"""),331648.0)</f>
        <v>331648</v>
      </c>
      <c r="F3628" s="22" t="str">
        <f>IFERROR(__xludf.DUMMYFUNCTION("""COMPUTED_VALUE"""),"才能豊かな私を婚約破棄するんですか？〜転校した令嬢は魔法で無双し王太子殿下に溺愛される〜")</f>
        <v>才能豊かな私を婚約破棄するんですか？〜転校した令嬢は魔法で無双し王太子殿下に溺愛される〜</v>
      </c>
      <c r="G3628" s="20" t="str">
        <f>IFERROR(__xludf.DUMMYFUNCTION("""COMPUTED_VALUE"""),"1～2")</f>
        <v>1～2</v>
      </c>
      <c r="H3628" s="22" t="str">
        <f>IFERROR(__xludf.DUMMYFUNCTION("""COMPUTED_VALUE"""),"大居シシィ／COMIC ROOM")</f>
        <v>大居シシィ／COMIC ROOM</v>
      </c>
      <c r="I3628" s="22" t="str">
        <f>IFERROR(__xludf.DUMMYFUNCTION("""COMPUTED_VALUE"""),"女性")</f>
        <v>女性</v>
      </c>
      <c r="J3628" s="22"/>
      <c r="K3628" s="22"/>
      <c r="L3628" s="22" t="str">
        <f>IFERROR(__xludf.DUMMYFUNCTION("""COMPUTED_VALUE"""),"コミックルーム")</f>
        <v>コミックルーム</v>
      </c>
      <c r="M3628" s="33">
        <f>IFERROR(__xludf.DUMMYFUNCTION("""COMPUTED_VALUE"""),45884.0)</f>
        <v>45884</v>
      </c>
      <c r="N3628" s="33">
        <f>IFERROR(__xludf.DUMMYFUNCTION("""COMPUTED_VALUE"""),45975.0)</f>
        <v>45975</v>
      </c>
      <c r="O3628" s="20"/>
      <c r="P3628" s="32" t="str">
        <f>IFERROR(__xludf.DUMMYFUNCTION("""COMPUTED_VALUE"""),"可")</f>
        <v>可</v>
      </c>
      <c r="Q3628" s="30"/>
      <c r="R3628" s="22"/>
      <c r="S3628" s="22" t="str">
        <f>IFERROR(__xludf.DUMMYFUNCTION("""COMPUTED_VALUE"""),"20250710_コミックルーム_才能豊かな私を婚約破棄するんですか？〜転校した令嬢は魔術で無双し王太子殿下に溺愛される。")</f>
        <v>20250710_コミックルーム_才能豊かな私を婚約破棄するんですか？〜転校した令嬢は魔術で無双し王太子殿下に溺愛される。</v>
      </c>
      <c r="T3628" s="22" t="str">
        <f>IFERROR(__xludf.DUMMYFUNCTION("""COMPUTED_VALUE"""),"格納済み")</f>
        <v>格納済み</v>
      </c>
      <c r="U3628" s="9" t="str">
        <f>IFERROR(__xludf.DUMMYFUNCTION("""COMPUTED_VALUE"""),"Ⓒ大居シシィ／COMIC ROOM")</f>
        <v>Ⓒ大居シシィ／COMIC ROOM</v>
      </c>
      <c r="V3628" s="8"/>
      <c r="W3628" s="8"/>
      <c r="X3628" s="8" t="str">
        <f>IFERROR(__xludf.DUMMYFUNCTION("""COMPUTED_VALUE"""),"有")</f>
        <v>有</v>
      </c>
      <c r="Y3628" s="8" t="str">
        <f>IFERROR(__xludf.DUMMYFUNCTION("""COMPUTED_VALUE"""),"P12まで")</f>
        <v>P12まで</v>
      </c>
      <c r="Z3628" s="7"/>
      <c r="AA3628" s="7"/>
      <c r="AB3628" s="7"/>
    </row>
    <row r="3629" ht="15.75" customHeight="1">
      <c r="A3629" s="26">
        <f>IFERROR(__xludf.DUMMYFUNCTION("""COMPUTED_VALUE"""),6050.0)</f>
        <v>6050</v>
      </c>
      <c r="B3629" s="22" t="str">
        <f>IFERROR(__xludf.DUMMYFUNCTION("""COMPUTED_VALUE"""),"確定")</f>
        <v>確定</v>
      </c>
      <c r="C3629" s="28">
        <f>IFERROR(__xludf.DUMMYFUNCTION("""COMPUTED_VALUE"""),45848.0)</f>
        <v>45848</v>
      </c>
      <c r="D3629" s="28">
        <f>IFERROR(__xludf.DUMMYFUNCTION("""COMPUTED_VALUE"""),45852.0)</f>
        <v>45852</v>
      </c>
      <c r="E3629" s="26">
        <f>IFERROR(__xludf.DUMMYFUNCTION("""COMPUTED_VALUE"""),331641.0)</f>
        <v>331641</v>
      </c>
      <c r="F3629" s="22" t="str">
        <f>IFERROR(__xludf.DUMMYFUNCTION("""COMPUTED_VALUE"""),"天才魔導士様を骨抜きにしました")</f>
        <v>天才魔導士様を骨抜きにしました</v>
      </c>
      <c r="G3629" s="20" t="str">
        <f>IFERROR(__xludf.DUMMYFUNCTION("""COMPUTED_VALUE"""),"1～2")</f>
        <v>1～2</v>
      </c>
      <c r="H3629" s="22" t="str">
        <f>IFERROR(__xludf.DUMMYFUNCTION("""COMPUTED_VALUE"""),"夏空あめ／COMIC ROOM")</f>
        <v>夏空あめ／COMIC ROOM</v>
      </c>
      <c r="I3629" s="22" t="str">
        <f>IFERROR(__xludf.DUMMYFUNCTION("""COMPUTED_VALUE"""),"女性")</f>
        <v>女性</v>
      </c>
      <c r="J3629" s="22"/>
      <c r="K3629" s="22"/>
      <c r="L3629" s="22" t="str">
        <f>IFERROR(__xludf.DUMMYFUNCTION("""COMPUTED_VALUE"""),"コミックルーム")</f>
        <v>コミックルーム</v>
      </c>
      <c r="M3629" s="33">
        <f>IFERROR(__xludf.DUMMYFUNCTION("""COMPUTED_VALUE"""),45884.0)</f>
        <v>45884</v>
      </c>
      <c r="N3629" s="33">
        <f>IFERROR(__xludf.DUMMYFUNCTION("""COMPUTED_VALUE"""),45975.0)</f>
        <v>45975</v>
      </c>
      <c r="O3629" s="20"/>
      <c r="P3629" s="32" t="str">
        <f>IFERROR(__xludf.DUMMYFUNCTION("""COMPUTED_VALUE"""),"可")</f>
        <v>可</v>
      </c>
      <c r="Q3629" s="30"/>
      <c r="R3629" s="22"/>
      <c r="S3629" s="22" t="str">
        <f>IFERROR(__xludf.DUMMYFUNCTION("""COMPUTED_VALUE"""),"20250710_コミックルーム_天才魔道士を骨抜きにしました")</f>
        <v>20250710_コミックルーム_天才魔道士を骨抜きにしました</v>
      </c>
      <c r="T3629" s="22" t="str">
        <f>IFERROR(__xludf.DUMMYFUNCTION("""COMPUTED_VALUE"""),"格納済み")</f>
        <v>格納済み</v>
      </c>
      <c r="U3629" s="9" t="str">
        <f>IFERROR(__xludf.DUMMYFUNCTION("""COMPUTED_VALUE"""),"Ⓒ夏空あめ／COMIC ROOM")</f>
        <v>Ⓒ夏空あめ／COMIC ROOM</v>
      </c>
      <c r="V3629" s="8"/>
      <c r="W3629" s="8"/>
      <c r="X3629" s="8" t="str">
        <f>IFERROR(__xludf.DUMMYFUNCTION("""COMPUTED_VALUE"""),"有")</f>
        <v>有</v>
      </c>
      <c r="Y3629" s="8" t="str">
        <f>IFERROR(__xludf.DUMMYFUNCTION("""COMPUTED_VALUE"""),"P12まで")</f>
        <v>P12まで</v>
      </c>
      <c r="Z3629" s="7"/>
      <c r="AA3629" s="7"/>
      <c r="AB3629" s="7"/>
    </row>
    <row r="3630" ht="15.75" customHeight="1">
      <c r="A3630" s="26">
        <f>IFERROR(__xludf.DUMMYFUNCTION("""COMPUTED_VALUE"""),6051.0)</f>
        <v>6051</v>
      </c>
      <c r="B3630" s="22" t="str">
        <f>IFERROR(__xludf.DUMMYFUNCTION("""COMPUTED_VALUE"""),"確定")</f>
        <v>確定</v>
      </c>
      <c r="C3630" s="28">
        <f>IFERROR(__xludf.DUMMYFUNCTION("""COMPUTED_VALUE"""),45848.0)</f>
        <v>45848</v>
      </c>
      <c r="D3630" s="28">
        <f>IFERROR(__xludf.DUMMYFUNCTION("""COMPUTED_VALUE"""),45852.0)</f>
        <v>45852</v>
      </c>
      <c r="E3630" s="26">
        <f>IFERROR(__xludf.DUMMYFUNCTION("""COMPUTED_VALUE"""),331642.0)</f>
        <v>331642</v>
      </c>
      <c r="F3630" s="22" t="str">
        <f>IFERROR(__xludf.DUMMYFUNCTION("""COMPUTED_VALUE"""),"年下の彼とのラブ・アフェア〜婚約者の弟は私のことを愛している〜")</f>
        <v>年下の彼とのラブ・アフェア〜婚約者の弟は私のことを愛している〜</v>
      </c>
      <c r="G3630" s="20" t="str">
        <f>IFERROR(__xludf.DUMMYFUNCTION("""COMPUTED_VALUE"""),"1～2")</f>
        <v>1～2</v>
      </c>
      <c r="H3630" s="22" t="str">
        <f>IFERROR(__xludf.DUMMYFUNCTION("""COMPUTED_VALUE"""),"はなぶさかえ／COMIC ROOM")</f>
        <v>はなぶさかえ／COMIC ROOM</v>
      </c>
      <c r="I3630" s="22" t="str">
        <f>IFERROR(__xludf.DUMMYFUNCTION("""COMPUTED_VALUE"""),"女性")</f>
        <v>女性</v>
      </c>
      <c r="J3630" s="22"/>
      <c r="K3630" s="22"/>
      <c r="L3630" s="22" t="str">
        <f>IFERROR(__xludf.DUMMYFUNCTION("""COMPUTED_VALUE"""),"コミックルーム")</f>
        <v>コミックルーム</v>
      </c>
      <c r="M3630" s="33">
        <f>IFERROR(__xludf.DUMMYFUNCTION("""COMPUTED_VALUE"""),45884.0)</f>
        <v>45884</v>
      </c>
      <c r="N3630" s="33">
        <f>IFERROR(__xludf.DUMMYFUNCTION("""COMPUTED_VALUE"""),45975.0)</f>
        <v>45975</v>
      </c>
      <c r="O3630" s="20"/>
      <c r="P3630" s="32" t="str">
        <f>IFERROR(__xludf.DUMMYFUNCTION("""COMPUTED_VALUE"""),"可")</f>
        <v>可</v>
      </c>
      <c r="Q3630" s="30"/>
      <c r="R3630" s="22"/>
      <c r="S3630" s="22" t="str">
        <f>IFERROR(__xludf.DUMMYFUNCTION("""COMPUTED_VALUE"""),"20250710_コミックルーム_年下の彼とのラブ・アフェア？")</f>
        <v>20250710_コミックルーム_年下の彼とのラブ・アフェア？</v>
      </c>
      <c r="T3630" s="22" t="str">
        <f>IFERROR(__xludf.DUMMYFUNCTION("""COMPUTED_VALUE"""),"格納済み")</f>
        <v>格納済み</v>
      </c>
      <c r="U3630" s="9" t="str">
        <f>IFERROR(__xludf.DUMMYFUNCTION("""COMPUTED_VALUE"""),"Ⓒはなぶさかえ／COMIC ROOM")</f>
        <v>Ⓒはなぶさかえ／COMIC ROOM</v>
      </c>
      <c r="V3630" s="8"/>
      <c r="W3630" s="8"/>
      <c r="X3630" s="8" t="str">
        <f>IFERROR(__xludf.DUMMYFUNCTION("""COMPUTED_VALUE"""),"有")</f>
        <v>有</v>
      </c>
      <c r="Y3630" s="8" t="str">
        <f>IFERROR(__xludf.DUMMYFUNCTION("""COMPUTED_VALUE"""),"P14まで")</f>
        <v>P14まで</v>
      </c>
      <c r="Z3630" s="7"/>
      <c r="AA3630" s="7"/>
      <c r="AB3630" s="7"/>
    </row>
    <row r="3631" ht="15.75" customHeight="1">
      <c r="A3631" s="26">
        <f>IFERROR(__xludf.DUMMYFUNCTION("""COMPUTED_VALUE"""),6052.0)</f>
        <v>6052</v>
      </c>
      <c r="B3631" s="22" t="str">
        <f>IFERROR(__xludf.DUMMYFUNCTION("""COMPUTED_VALUE"""),"確定")</f>
        <v>確定</v>
      </c>
      <c r="C3631" s="28">
        <f>IFERROR(__xludf.DUMMYFUNCTION("""COMPUTED_VALUE"""),45848.0)</f>
        <v>45848</v>
      </c>
      <c r="D3631" s="28">
        <f>IFERROR(__xludf.DUMMYFUNCTION("""COMPUTED_VALUE"""),45852.0)</f>
        <v>45852</v>
      </c>
      <c r="E3631" s="26">
        <f>IFERROR(__xludf.DUMMYFUNCTION("""COMPUTED_VALUE"""),331644.0)</f>
        <v>331644</v>
      </c>
      <c r="F3631" s="22" t="str">
        <f>IFERROR(__xludf.DUMMYFUNCTION("""COMPUTED_VALUE"""),"ハイスペ公爵様はオートクチュールをご所望です。")</f>
        <v>ハイスペ公爵様はオートクチュールをご所望です。</v>
      </c>
      <c r="G3631" s="20" t="str">
        <f>IFERROR(__xludf.DUMMYFUNCTION("""COMPUTED_VALUE"""),"1～2")</f>
        <v>1～2</v>
      </c>
      <c r="H3631" s="22" t="str">
        <f>IFERROR(__xludf.DUMMYFUNCTION("""COMPUTED_VALUE"""),"岸本悠希／COMIC ROOM")</f>
        <v>岸本悠希／COMIC ROOM</v>
      </c>
      <c r="I3631" s="22" t="str">
        <f>IFERROR(__xludf.DUMMYFUNCTION("""COMPUTED_VALUE"""),"女性")</f>
        <v>女性</v>
      </c>
      <c r="J3631" s="22"/>
      <c r="K3631" s="22"/>
      <c r="L3631" s="22" t="str">
        <f>IFERROR(__xludf.DUMMYFUNCTION("""COMPUTED_VALUE"""),"コミックルーム")</f>
        <v>コミックルーム</v>
      </c>
      <c r="M3631" s="33">
        <f>IFERROR(__xludf.DUMMYFUNCTION("""COMPUTED_VALUE"""),45884.0)</f>
        <v>45884</v>
      </c>
      <c r="N3631" s="33">
        <f>IFERROR(__xludf.DUMMYFUNCTION("""COMPUTED_VALUE"""),45975.0)</f>
        <v>45975</v>
      </c>
      <c r="O3631" s="20"/>
      <c r="P3631" s="32" t="str">
        <f>IFERROR(__xludf.DUMMYFUNCTION("""COMPUTED_VALUE"""),"可")</f>
        <v>可</v>
      </c>
      <c r="Q3631" s="30"/>
      <c r="R3631" s="22"/>
      <c r="S3631" s="22" t="str">
        <f>IFERROR(__xludf.DUMMYFUNCTION("""COMPUTED_VALUE"""),"20250710_コミックルーム_ハイスペ公爵様はオートクチュールをご所望です")</f>
        <v>20250710_コミックルーム_ハイスペ公爵様はオートクチュールをご所望です</v>
      </c>
      <c r="T3631" s="22" t="str">
        <f>IFERROR(__xludf.DUMMYFUNCTION("""COMPUTED_VALUE"""),"格納済み")</f>
        <v>格納済み</v>
      </c>
      <c r="U3631" s="9" t="str">
        <f>IFERROR(__xludf.DUMMYFUNCTION("""COMPUTED_VALUE"""),"Ⓒ岸本悠希／COMIC ROOM")</f>
        <v>Ⓒ岸本悠希／COMIC ROOM</v>
      </c>
      <c r="V3631" s="8"/>
      <c r="W3631" s="8"/>
      <c r="X3631" s="8" t="str">
        <f>IFERROR(__xludf.DUMMYFUNCTION("""COMPUTED_VALUE"""),"有")</f>
        <v>有</v>
      </c>
      <c r="Y3631" s="8" t="str">
        <f>IFERROR(__xludf.DUMMYFUNCTION("""COMPUTED_VALUE"""),"P13まで")</f>
        <v>P13まで</v>
      </c>
      <c r="Z3631" s="7"/>
      <c r="AA3631" s="7"/>
      <c r="AB3631" s="7"/>
    </row>
    <row r="3632" ht="15.75" customHeight="1">
      <c r="A3632" s="26">
        <f>IFERROR(__xludf.DUMMYFUNCTION("""COMPUTED_VALUE"""),6053.0)</f>
        <v>6053</v>
      </c>
      <c r="B3632" s="22" t="str">
        <f>IFERROR(__xludf.DUMMYFUNCTION("""COMPUTED_VALUE"""),"確定")</f>
        <v>確定</v>
      </c>
      <c r="C3632" s="28">
        <f>IFERROR(__xludf.DUMMYFUNCTION("""COMPUTED_VALUE"""),45848.0)</f>
        <v>45848</v>
      </c>
      <c r="D3632" s="28">
        <f>IFERROR(__xludf.DUMMYFUNCTION("""COMPUTED_VALUE"""),45852.0)</f>
        <v>45852</v>
      </c>
      <c r="E3632" s="26">
        <f>IFERROR(__xludf.DUMMYFUNCTION("""COMPUTED_VALUE"""),331645.0)</f>
        <v>331645</v>
      </c>
      <c r="F3632" s="22" t="str">
        <f>IFERROR(__xludf.DUMMYFUNCTION("""COMPUTED_VALUE"""),"スパダリ公爵と忌み子の私〜公爵家メイドとして生涯を終える予定でしたが、公爵様が家族になれと迫ってきます〜")</f>
        <v>スパダリ公爵と忌み子の私〜公爵家メイドとして生涯を終える予定でしたが、公爵様が家族になれと迫ってきます〜</v>
      </c>
      <c r="G3632" s="20" t="str">
        <f>IFERROR(__xludf.DUMMYFUNCTION("""COMPUTED_VALUE"""),"1～2")</f>
        <v>1～2</v>
      </c>
      <c r="H3632" s="22" t="str">
        <f>IFERROR(__xludf.DUMMYFUNCTION("""COMPUTED_VALUE"""),"若本雪水／COMIC ROOM")</f>
        <v>若本雪水／COMIC ROOM</v>
      </c>
      <c r="I3632" s="22" t="str">
        <f>IFERROR(__xludf.DUMMYFUNCTION("""COMPUTED_VALUE"""),"女性")</f>
        <v>女性</v>
      </c>
      <c r="J3632" s="22"/>
      <c r="K3632" s="22"/>
      <c r="L3632" s="22" t="str">
        <f>IFERROR(__xludf.DUMMYFUNCTION("""COMPUTED_VALUE"""),"コミックルーム")</f>
        <v>コミックルーム</v>
      </c>
      <c r="M3632" s="33">
        <f>IFERROR(__xludf.DUMMYFUNCTION("""COMPUTED_VALUE"""),45884.0)</f>
        <v>45884</v>
      </c>
      <c r="N3632" s="33">
        <f>IFERROR(__xludf.DUMMYFUNCTION("""COMPUTED_VALUE"""),45975.0)</f>
        <v>45975</v>
      </c>
      <c r="O3632" s="20"/>
      <c r="P3632" s="32" t="str">
        <f>IFERROR(__xludf.DUMMYFUNCTION("""COMPUTED_VALUE"""),"可")</f>
        <v>可</v>
      </c>
      <c r="Q3632" s="30"/>
      <c r="R3632" s="22"/>
      <c r="S3632" s="22" t="str">
        <f>IFERROR(__xludf.DUMMYFUNCTION("""COMPUTED_VALUE"""),"20250710_コミックルーム_スパダリ公爵と忌み子の私〜公爵家メイドとして生涯を終える予定でしたが、公爵様が家族になれと迫ってきます〜")</f>
        <v>20250710_コミックルーム_スパダリ公爵と忌み子の私〜公爵家メイドとして生涯を終える予定でしたが、公爵様が家族になれと迫ってきます〜</v>
      </c>
      <c r="T3632" s="22" t="str">
        <f>IFERROR(__xludf.DUMMYFUNCTION("""COMPUTED_VALUE"""),"格納済み")</f>
        <v>格納済み</v>
      </c>
      <c r="U3632" s="9" t="str">
        <f>IFERROR(__xludf.DUMMYFUNCTION("""COMPUTED_VALUE"""),"Ⓒ若本雪水／COMIC ROOM")</f>
        <v>Ⓒ若本雪水／COMIC ROOM</v>
      </c>
      <c r="V3632" s="8"/>
      <c r="W3632" s="8"/>
      <c r="X3632" s="8" t="str">
        <f>IFERROR(__xludf.DUMMYFUNCTION("""COMPUTED_VALUE"""),"有")</f>
        <v>有</v>
      </c>
      <c r="Y3632" s="8" t="str">
        <f>IFERROR(__xludf.DUMMYFUNCTION("""COMPUTED_VALUE"""),"P10まで")</f>
        <v>P10まで</v>
      </c>
      <c r="Z3632" s="7"/>
      <c r="AA3632" s="7"/>
      <c r="AB3632" s="7"/>
    </row>
    <row r="3633" ht="15.75" customHeight="1">
      <c r="A3633" s="26">
        <f>IFERROR(__xludf.DUMMYFUNCTION("""COMPUTED_VALUE"""),6056.0)</f>
        <v>6056</v>
      </c>
      <c r="B3633" s="22" t="str">
        <f>IFERROR(__xludf.DUMMYFUNCTION("""COMPUTED_VALUE"""),"確定")</f>
        <v>確定</v>
      </c>
      <c r="C3633" s="28">
        <f>IFERROR(__xludf.DUMMYFUNCTION("""COMPUTED_VALUE"""),45849.0)</f>
        <v>45849</v>
      </c>
      <c r="D3633" s="28">
        <f>IFERROR(__xludf.DUMMYFUNCTION("""COMPUTED_VALUE"""),45849.0)</f>
        <v>45849</v>
      </c>
      <c r="E3633" s="26">
        <f>IFERROR(__xludf.DUMMYFUNCTION("""COMPUTED_VALUE"""),328246.0)</f>
        <v>328246</v>
      </c>
      <c r="F3633" s="22" t="str">
        <f>IFERROR(__xludf.DUMMYFUNCTION("""COMPUTED_VALUE"""),"俺ではない炎上（コミック） 分冊版")</f>
        <v>俺ではない炎上（コミック） 分冊版</v>
      </c>
      <c r="G3633" s="20" t="str">
        <f>IFERROR(__xludf.DUMMYFUNCTION("""COMPUTED_VALUE"""),"1～2")</f>
        <v>1～2</v>
      </c>
      <c r="H3633" s="22" t="str">
        <f>IFERROR(__xludf.DUMMYFUNCTION("""COMPUTED_VALUE"""),"浅倉秋成・桜鳥556")</f>
        <v>浅倉秋成・桜鳥556</v>
      </c>
      <c r="I3633" s="22" t="str">
        <f>IFERROR(__xludf.DUMMYFUNCTION("""COMPUTED_VALUE"""),"青年")</f>
        <v>青年</v>
      </c>
      <c r="J3633" s="22"/>
      <c r="K3633" s="22" t="str">
        <f>IFERROR(__xludf.DUMMYFUNCTION("""COMPUTED_VALUE"""),"アクションコミックス")</f>
        <v>アクションコミックス</v>
      </c>
      <c r="L3633" s="22" t="str">
        <f>IFERROR(__xludf.DUMMYFUNCTION("""COMPUTED_VALUE"""),"双葉社")</f>
        <v>双葉社</v>
      </c>
      <c r="M3633" s="33">
        <f>IFERROR(__xludf.DUMMYFUNCTION("""COMPUTED_VALUE"""),45853.0)</f>
        <v>45853</v>
      </c>
      <c r="N3633" s="33">
        <f>IFERROR(__xludf.DUMMYFUNCTION("""COMPUTED_VALUE"""),45924.0)</f>
        <v>45924</v>
      </c>
      <c r="O3633" s="20"/>
      <c r="P3633" s="32" t="str">
        <f>IFERROR(__xludf.DUMMYFUNCTION("""COMPUTED_VALUE"""),"可")</f>
        <v>可</v>
      </c>
      <c r="Q3633" s="30" t="str">
        <f>IFERROR(__xludf.DUMMYFUNCTION("""COMPUTED_VALUE"""),"9/26に映画化を控えているタイトルです。&lt;BR&gt;配信までの期日が短く申し訳ございませんが、可能な範囲で出稿をお願いいたします。&lt;BR&gt;「1~2話」のファイル内のデータを分割するため初回配信話数は２話となります。")</f>
        <v>9/26に映画化を控えているタイトルです。&lt;BR&gt;配信までの期日が短く申し訳ございませんが、可能な範囲で出稿をお願いいたします。&lt;BR&gt;「1~2話」のファイル内のデータを分割するため初回配信話数は２話となります。</v>
      </c>
      <c r="R3633" s="22"/>
      <c r="S3633" s="22" t="str">
        <f>IFERROR(__xludf.DUMMYFUNCTION("""COMPUTED_VALUE"""),"20250711_双葉社_俺ではない炎上（コミック） 分冊版")</f>
        <v>20250711_双葉社_俺ではない炎上（コミック） 分冊版</v>
      </c>
      <c r="T3633" s="22" t="str">
        <f>IFERROR(__xludf.DUMMYFUNCTION("""COMPUTED_VALUE"""),"格納済み")</f>
        <v>格納済み</v>
      </c>
      <c r="U3633" s="9" t="str">
        <f>IFERROR(__xludf.DUMMYFUNCTION("""COMPUTED_VALUE"""),"Ⓒ浅倉秋成・桜鳥556/双葉社")</f>
        <v>Ⓒ浅倉秋成・桜鳥556/双葉社</v>
      </c>
      <c r="V3633" s="8"/>
      <c r="W3633" s="8"/>
      <c r="X3633" s="8" t="str">
        <f>IFERROR(__xludf.DUMMYFUNCTION("""COMPUTED_VALUE"""),"有")</f>
        <v>有</v>
      </c>
      <c r="Y3633" s="8" t="str">
        <f>IFERROR(__xludf.DUMMYFUNCTION("""COMPUTED_VALUE"""),"2025/7/28まで1巻無料")</f>
        <v>2025/7/28まで1巻無料</v>
      </c>
      <c r="Z3633" s="7"/>
      <c r="AA3633" s="7"/>
      <c r="AB3633" s="7"/>
    </row>
    <row r="3634" ht="15.75" customHeight="1">
      <c r="A3634" s="26">
        <f>IFERROR(__xludf.DUMMYFUNCTION("""COMPUTED_VALUE"""),6059.0)</f>
        <v>6059</v>
      </c>
      <c r="B3634" s="22" t="str">
        <f>IFERROR(__xludf.DUMMYFUNCTION("""COMPUTED_VALUE"""),"確定")</f>
        <v>確定</v>
      </c>
      <c r="C3634" s="28">
        <f>IFERROR(__xludf.DUMMYFUNCTION("""COMPUTED_VALUE"""),45849.0)</f>
        <v>45849</v>
      </c>
      <c r="D3634" s="28">
        <f>IFERROR(__xludf.DUMMYFUNCTION("""COMPUTED_VALUE"""),45852.0)</f>
        <v>45852</v>
      </c>
      <c r="E3634" s="26">
        <f>IFERROR(__xludf.DUMMYFUNCTION("""COMPUTED_VALUE"""),329073.0)</f>
        <v>329073</v>
      </c>
      <c r="F3634" s="22" t="str">
        <f>IFERROR(__xludf.DUMMYFUNCTION("""COMPUTED_VALUE"""),"泣き虫くんの太陽")</f>
        <v>泣き虫くんの太陽</v>
      </c>
      <c r="G3634" s="20" t="str">
        <f>IFERROR(__xludf.DUMMYFUNCTION("""COMPUTED_VALUE"""),"1～4")</f>
        <v>1～4</v>
      </c>
      <c r="H3634" s="22" t="str">
        <f>IFERROR(__xludf.DUMMYFUNCTION("""COMPUTED_VALUE"""),"柿原揚子")</f>
        <v>柿原揚子</v>
      </c>
      <c r="I3634" s="22" t="str">
        <f>IFERROR(__xludf.DUMMYFUNCTION("""COMPUTED_VALUE"""),"BL")</f>
        <v>BL</v>
      </c>
      <c r="J3634" s="22"/>
      <c r="K3634" s="22"/>
      <c r="L3634" s="22" t="str">
        <f>IFERROR(__xludf.DUMMYFUNCTION("""COMPUTED_VALUE"""),"集英社")</f>
        <v>集英社</v>
      </c>
      <c r="M3634" s="33">
        <f>IFERROR(__xludf.DUMMYFUNCTION("""COMPUTED_VALUE"""),45863.0)</f>
        <v>45863</v>
      </c>
      <c r="N3634" s="33">
        <f>IFERROR(__xludf.DUMMYFUNCTION("""COMPUTED_VALUE"""),45893.0)</f>
        <v>45893</v>
      </c>
      <c r="O3634" s="20"/>
      <c r="P3634" s="32" t="str">
        <f>IFERROR(__xludf.DUMMYFUNCTION("""COMPUTED_VALUE"""),"否")</f>
        <v>否</v>
      </c>
      <c r="Q3634" s="30" t="str">
        <f>IFERROR(__xludf.DUMMYFUNCTION("""COMPUTED_VALUE"""),"ライトBLです")</f>
        <v>ライトBLです</v>
      </c>
      <c r="R3634" s="22"/>
      <c r="S3634" s="22" t="str">
        <f>IFERROR(__xludf.DUMMYFUNCTION("""COMPUTED_VALUE"""),"20250711_集英社_泣き虫くんの太陽")</f>
        <v>20250711_集英社_泣き虫くんの太陽</v>
      </c>
      <c r="T3634" s="22" t="str">
        <f>IFERROR(__xludf.DUMMYFUNCTION("""COMPUTED_VALUE"""),"格納済み")</f>
        <v>格納済み</v>
      </c>
      <c r="U3634" s="9" t="str">
        <f>IFERROR(__xludf.DUMMYFUNCTION("""COMPUTED_VALUE"""),"Ⓒ柿原揚子／集英社")</f>
        <v>Ⓒ柿原揚子／集英社</v>
      </c>
      <c r="V3634" s="8"/>
      <c r="W3634" s="8"/>
      <c r="X3634" s="8" t="str">
        <f>IFERROR(__xludf.DUMMYFUNCTION("""COMPUTED_VALUE"""),"有")</f>
        <v>有</v>
      </c>
      <c r="Y3634" s="8" t="str">
        <f>IFERROR(__xludf.DUMMYFUNCTION("""COMPUTED_VALUE"""),"2025/8/24まで1巻無料")</f>
        <v>2025/8/24まで1巻無料</v>
      </c>
      <c r="Z3634" s="7"/>
      <c r="AA3634" s="7"/>
      <c r="AB3634" s="7"/>
    </row>
    <row r="3635" ht="15.75" customHeight="1">
      <c r="A3635" s="26">
        <f>IFERROR(__xludf.DUMMYFUNCTION("""COMPUTED_VALUE"""),6060.0)</f>
        <v>6060</v>
      </c>
      <c r="B3635" s="22" t="str">
        <f>IFERROR(__xludf.DUMMYFUNCTION("""COMPUTED_VALUE"""),"確定")</f>
        <v>確定</v>
      </c>
      <c r="C3635" s="28">
        <f>IFERROR(__xludf.DUMMYFUNCTION("""COMPUTED_VALUE"""),45849.0)</f>
        <v>45849</v>
      </c>
      <c r="D3635" s="28">
        <f>IFERROR(__xludf.DUMMYFUNCTION("""COMPUTED_VALUE"""),45852.0)</f>
        <v>45852</v>
      </c>
      <c r="E3635" s="26">
        <f>IFERROR(__xludf.DUMMYFUNCTION("""COMPUTED_VALUE"""),329080.0)</f>
        <v>329080</v>
      </c>
      <c r="F3635" s="22" t="str">
        <f>IFERROR(__xludf.DUMMYFUNCTION("""COMPUTED_VALUE"""),"恋になるかな")</f>
        <v>恋になるかな</v>
      </c>
      <c r="G3635" s="20" t="str">
        <f>IFERROR(__xludf.DUMMYFUNCTION("""COMPUTED_VALUE"""),"1～4")</f>
        <v>1～4</v>
      </c>
      <c r="H3635" s="22" t="str">
        <f>IFERROR(__xludf.DUMMYFUNCTION("""COMPUTED_VALUE"""),"ののおかはな")</f>
        <v>ののおかはな</v>
      </c>
      <c r="I3635" s="22" t="str">
        <f>IFERROR(__xludf.DUMMYFUNCTION("""COMPUTED_VALUE"""),"女性")</f>
        <v>女性</v>
      </c>
      <c r="J3635" s="22"/>
      <c r="K3635" s="22"/>
      <c r="L3635" s="22" t="str">
        <f>IFERROR(__xludf.DUMMYFUNCTION("""COMPUTED_VALUE"""),"集英社")</f>
        <v>集英社</v>
      </c>
      <c r="M3635" s="33">
        <f>IFERROR(__xludf.DUMMYFUNCTION("""COMPUTED_VALUE"""),45863.0)</f>
        <v>45863</v>
      </c>
      <c r="N3635" s="33">
        <f>IFERROR(__xludf.DUMMYFUNCTION("""COMPUTED_VALUE"""),45893.0)</f>
        <v>45893</v>
      </c>
      <c r="O3635" s="20"/>
      <c r="P3635" s="32" t="str">
        <f>IFERROR(__xludf.DUMMYFUNCTION("""COMPUTED_VALUE"""),"否")</f>
        <v>否</v>
      </c>
      <c r="Q3635" s="30"/>
      <c r="R3635" s="22"/>
      <c r="S3635" s="22" t="str">
        <f>IFERROR(__xludf.DUMMYFUNCTION("""COMPUTED_VALUE"""),"20250711_集英社_恋になるかな")</f>
        <v>20250711_集英社_恋になるかな</v>
      </c>
      <c r="T3635" s="22" t="str">
        <f>IFERROR(__xludf.DUMMYFUNCTION("""COMPUTED_VALUE"""),"格納済み")</f>
        <v>格納済み</v>
      </c>
      <c r="U3635" s="9" t="str">
        <f>IFERROR(__xludf.DUMMYFUNCTION("""COMPUTED_VALUE"""),"Ⓒののおかはな／集英社")</f>
        <v>Ⓒののおかはな／集英社</v>
      </c>
      <c r="V3635" s="8"/>
      <c r="W3635" s="8"/>
      <c r="X3635" s="8" t="str">
        <f>IFERROR(__xludf.DUMMYFUNCTION("""COMPUTED_VALUE"""),"有")</f>
        <v>有</v>
      </c>
      <c r="Y3635" s="8" t="str">
        <f>IFERROR(__xludf.DUMMYFUNCTION("""COMPUTED_VALUE"""),"2025/8/24まで1巻無料")</f>
        <v>2025/8/24まで1巻無料</v>
      </c>
      <c r="Z3635" s="7"/>
      <c r="AA3635" s="7"/>
      <c r="AB3635" s="7"/>
    </row>
    <row r="3636" ht="15.75" customHeight="1">
      <c r="A3636" s="26">
        <f>IFERROR(__xludf.DUMMYFUNCTION("""COMPUTED_VALUE"""),6061.0)</f>
        <v>6061</v>
      </c>
      <c r="B3636" s="22" t="str">
        <f>IFERROR(__xludf.DUMMYFUNCTION("""COMPUTED_VALUE"""),"確定")</f>
        <v>確定</v>
      </c>
      <c r="C3636" s="28">
        <f>IFERROR(__xludf.DUMMYFUNCTION("""COMPUTED_VALUE"""),45849.0)</f>
        <v>45849</v>
      </c>
      <c r="D3636" s="28">
        <f>IFERROR(__xludf.DUMMYFUNCTION("""COMPUTED_VALUE"""),45852.0)</f>
        <v>45852</v>
      </c>
      <c r="E3636" s="26">
        <f>IFERROR(__xludf.DUMMYFUNCTION("""COMPUTED_VALUE"""),329236.0)</f>
        <v>329236</v>
      </c>
      <c r="F3636" s="22" t="str">
        <f>IFERROR(__xludf.DUMMYFUNCTION("""COMPUTED_VALUE"""),"さざなみ ゆれて ふれる")</f>
        <v>さざなみ ゆれて ふれる</v>
      </c>
      <c r="G3636" s="20">
        <f>IFERROR(__xludf.DUMMYFUNCTION("""COMPUTED_VALUE"""),1.0)</f>
        <v>1</v>
      </c>
      <c r="H3636" s="22" t="str">
        <f>IFERROR(__xludf.DUMMYFUNCTION("""COMPUTED_VALUE"""),"松尾夏生")</f>
        <v>松尾夏生</v>
      </c>
      <c r="I3636" s="22" t="str">
        <f>IFERROR(__xludf.DUMMYFUNCTION("""COMPUTED_VALUE"""),"少女")</f>
        <v>少女</v>
      </c>
      <c r="J3636" s="22"/>
      <c r="K3636" s="22" t="str">
        <f>IFERROR(__xludf.DUMMYFUNCTION("""COMPUTED_VALUE"""),"別冊マーガレット")</f>
        <v>別冊マーガレット</v>
      </c>
      <c r="L3636" s="22" t="str">
        <f>IFERROR(__xludf.DUMMYFUNCTION("""COMPUTED_VALUE"""),"集英社")</f>
        <v>集英社</v>
      </c>
      <c r="M3636" s="33">
        <f>IFERROR(__xludf.DUMMYFUNCTION("""COMPUTED_VALUE"""),45865.0)</f>
        <v>45865</v>
      </c>
      <c r="N3636" s="33">
        <f>IFERROR(__xludf.DUMMYFUNCTION("""COMPUTED_VALUE"""),45893.0)</f>
        <v>45893</v>
      </c>
      <c r="O3636" s="20"/>
      <c r="P3636" s="32" t="str">
        <f>IFERROR(__xludf.DUMMYFUNCTION("""COMPUTED_VALUE"""),"否")</f>
        <v>否</v>
      </c>
      <c r="Q3636" s="30"/>
      <c r="R3636" s="22"/>
      <c r="S3636" s="22" t="str">
        <f>IFERROR(__xludf.DUMMYFUNCTION("""COMPUTED_VALUE"""),"20250711_集英社_さざなみ ゆれて ふれる")</f>
        <v>20250711_集英社_さざなみ ゆれて ふれる</v>
      </c>
      <c r="T3636" s="22" t="str">
        <f>IFERROR(__xludf.DUMMYFUNCTION("""COMPUTED_VALUE"""),"格納済み")</f>
        <v>格納済み</v>
      </c>
      <c r="U3636" s="9" t="str">
        <f>IFERROR(__xludf.DUMMYFUNCTION("""COMPUTED_VALUE"""),"Ⓒ松尾夏生／集英社")</f>
        <v>Ⓒ松尾夏生／集英社</v>
      </c>
      <c r="V3636" s="8"/>
      <c r="W3636" s="8"/>
      <c r="X3636" s="8" t="str">
        <f>IFERROR(__xludf.DUMMYFUNCTION("""COMPUTED_VALUE"""),"有")</f>
        <v>有</v>
      </c>
      <c r="Y3636" s="8" t="str">
        <f>IFERROR(__xludf.DUMMYFUNCTION("""COMPUTED_VALUE"""),"2025/8/26まで1巻立ち読み増量(P80)")</f>
        <v>2025/8/26まで1巻立ち読み増量(P80)</v>
      </c>
      <c r="Z3636" s="7"/>
      <c r="AA3636" s="7"/>
      <c r="AB3636" s="7"/>
    </row>
    <row r="3637" ht="15.75" customHeight="1">
      <c r="A3637" s="26">
        <f>IFERROR(__xludf.DUMMYFUNCTION("""COMPUTED_VALUE"""),6062.0)</f>
        <v>6062</v>
      </c>
      <c r="B3637" s="22" t="str">
        <f>IFERROR(__xludf.DUMMYFUNCTION("""COMPUTED_VALUE"""),"確定")</f>
        <v>確定</v>
      </c>
      <c r="C3637" s="28">
        <f>IFERROR(__xludf.DUMMYFUNCTION("""COMPUTED_VALUE"""),45849.0)</f>
        <v>45849</v>
      </c>
      <c r="D3637" s="28">
        <f>IFERROR(__xludf.DUMMYFUNCTION("""COMPUTED_VALUE"""),45852.0)</f>
        <v>45852</v>
      </c>
      <c r="E3637" s="26">
        <f>IFERROR(__xludf.DUMMYFUNCTION("""COMPUTED_VALUE"""),329078.0)</f>
        <v>329078</v>
      </c>
      <c r="F3637" s="22" t="str">
        <f>IFERROR(__xludf.DUMMYFUNCTION("""COMPUTED_VALUE"""),"ありあまるシュガー")</f>
        <v>ありあまるシュガー</v>
      </c>
      <c r="G3637" s="20">
        <f>IFERROR(__xludf.DUMMYFUNCTION("""COMPUTED_VALUE"""),1.0)</f>
        <v>1</v>
      </c>
      <c r="H3637" s="22" t="str">
        <f>IFERROR(__xludf.DUMMYFUNCTION("""COMPUTED_VALUE"""),"槻岡あに")</f>
        <v>槻岡あに</v>
      </c>
      <c r="I3637" s="22" t="str">
        <f>IFERROR(__xludf.DUMMYFUNCTION("""COMPUTED_VALUE"""),"BL")</f>
        <v>BL</v>
      </c>
      <c r="J3637" s="22"/>
      <c r="K3637" s="22"/>
      <c r="L3637" s="22" t="str">
        <f>IFERROR(__xludf.DUMMYFUNCTION("""COMPUTED_VALUE"""),"集英社")</f>
        <v>集英社</v>
      </c>
      <c r="M3637" s="33">
        <f>IFERROR(__xludf.DUMMYFUNCTION("""COMPUTED_VALUE"""),45863.0)</f>
        <v>45863</v>
      </c>
      <c r="N3637" s="33">
        <f>IFERROR(__xludf.DUMMYFUNCTION("""COMPUTED_VALUE"""),45893.0)</f>
        <v>45893</v>
      </c>
      <c r="O3637" s="20"/>
      <c r="P3637" s="32" t="str">
        <f>IFERROR(__xludf.DUMMYFUNCTION("""COMPUTED_VALUE"""),"否")</f>
        <v>否</v>
      </c>
      <c r="Q3637" s="30" t="str">
        <f>IFERROR(__xludf.DUMMYFUNCTION("""COMPUTED_VALUE"""),"ライトBLです")</f>
        <v>ライトBLです</v>
      </c>
      <c r="R3637" s="22"/>
      <c r="S3637" s="22" t="str">
        <f>IFERROR(__xludf.DUMMYFUNCTION("""COMPUTED_VALUE"""),"20250711_集英社_ありあまるシュガー")</f>
        <v>20250711_集英社_ありあまるシュガー</v>
      </c>
      <c r="T3637" s="22" t="str">
        <f>IFERROR(__xludf.DUMMYFUNCTION("""COMPUTED_VALUE"""),"格納済み")</f>
        <v>格納済み</v>
      </c>
      <c r="U3637" s="9" t="str">
        <f>IFERROR(__xludf.DUMMYFUNCTION("""COMPUTED_VALUE"""),"Ⓒ槻岡あに／集英社")</f>
        <v>Ⓒ槻岡あに／集英社</v>
      </c>
      <c r="V3637" s="8"/>
      <c r="W3637" s="8"/>
      <c r="X3637" s="8" t="str">
        <f>IFERROR(__xludf.DUMMYFUNCTION("""COMPUTED_VALUE"""),"有")</f>
        <v>有</v>
      </c>
      <c r="Y3637" s="8" t="str">
        <f>IFERROR(__xludf.DUMMYFUNCTION("""COMPUTED_VALUE"""),"2025/8/24まで1巻立ち読み増量(P80)")</f>
        <v>2025/8/24まで1巻立ち読み増量(P80)</v>
      </c>
      <c r="Z3637" s="7"/>
      <c r="AA3637" s="7"/>
      <c r="AB3637" s="7"/>
    </row>
    <row r="3638" ht="15.75" customHeight="1">
      <c r="A3638" s="26">
        <f>IFERROR(__xludf.DUMMYFUNCTION("""COMPUTED_VALUE"""),6063.0)</f>
        <v>6063</v>
      </c>
      <c r="B3638" s="22" t="str">
        <f>IFERROR(__xludf.DUMMYFUNCTION("""COMPUTED_VALUE"""),"確定")</f>
        <v>確定</v>
      </c>
      <c r="C3638" s="28">
        <f>IFERROR(__xludf.DUMMYFUNCTION("""COMPUTED_VALUE"""),45849.0)</f>
        <v>45849</v>
      </c>
      <c r="D3638" s="28">
        <f>IFERROR(__xludf.DUMMYFUNCTION("""COMPUTED_VALUE"""),45852.0)</f>
        <v>45852</v>
      </c>
      <c r="E3638" s="26">
        <f>IFERROR(__xludf.DUMMYFUNCTION("""COMPUTED_VALUE"""),169488.0)</f>
        <v>169488</v>
      </c>
      <c r="F3638" s="22" t="str">
        <f>IFERROR(__xludf.DUMMYFUNCTION("""COMPUTED_VALUE"""),"ヤンキーの津田くんは生徒指導の増田先生と仲が悪い【電子単行本】")</f>
        <v>ヤンキーの津田くんは生徒指導の増田先生と仲が悪い【電子単行本】</v>
      </c>
      <c r="G3638" s="20">
        <f>IFERROR(__xludf.DUMMYFUNCTION("""COMPUTED_VALUE"""),3.0)</f>
        <v>3</v>
      </c>
      <c r="H3638" s="22" t="str">
        <f>IFERROR(__xludf.DUMMYFUNCTION("""COMPUTED_VALUE"""),"多賀タイラ / 多賀")</f>
        <v>多賀タイラ / 多賀</v>
      </c>
      <c r="I3638" s="22" t="str">
        <f>IFERROR(__xludf.DUMMYFUNCTION("""COMPUTED_VALUE"""),"BLマンガ")</f>
        <v>BLマンガ</v>
      </c>
      <c r="J3638" s="22"/>
      <c r="K3638" s="22"/>
      <c r="L3638" s="22" t="str">
        <f>IFERROR(__xludf.DUMMYFUNCTION("""COMPUTED_VALUE"""),"秋田書店")</f>
        <v>秋田書店</v>
      </c>
      <c r="M3638" s="33">
        <f>IFERROR(__xludf.DUMMYFUNCTION("""COMPUTED_VALUE"""),45878.0)</f>
        <v>45878</v>
      </c>
      <c r="N3638" s="33">
        <f>IFERROR(__xludf.DUMMYFUNCTION("""COMPUTED_VALUE"""),73050.0)</f>
        <v>73050</v>
      </c>
      <c r="O3638" s="20"/>
      <c r="P3638" s="32" t="str">
        <f>IFERROR(__xludf.DUMMYFUNCTION("""COMPUTED_VALUE"""),"可")</f>
        <v>可</v>
      </c>
      <c r="Q3638" s="30" t="str">
        <f>IFERROR(__xludf.DUMMYFUNCTION("""COMPUTED_VALUE"""),"「シーモア限定BOOK」作品です。&lt;BR&gt;")</f>
        <v>「シーモア限定BOOK」作品です。&lt;BR&gt;</v>
      </c>
      <c r="R3638" s="22"/>
      <c r="S3638" s="22" t="str">
        <f>IFERROR(__xludf.DUMMYFUNCTION("""COMPUTED_VALUE"""),"20250709_秋田書店_ヤンキーの津田くんは生徒指導の増田先生と仲が悪い【電子単行本】")</f>
        <v>20250709_秋田書店_ヤンキーの津田くんは生徒指導の増田先生と仲が悪い【電子単行本】</v>
      </c>
      <c r="T3638" s="22" t="str">
        <f>IFERROR(__xludf.DUMMYFUNCTION("""COMPUTED_VALUE"""),"格納済み")</f>
        <v>格納済み</v>
      </c>
      <c r="U3638" s="9" t="str">
        <f>IFERROR(__xludf.DUMMYFUNCTION("""COMPUTED_VALUE"""),"Ⓒ多賀タイラ（秋田書店）")</f>
        <v>Ⓒ多賀タイラ（秋田書店）</v>
      </c>
      <c r="V3638" s="8"/>
      <c r="W3638" s="8"/>
      <c r="X3638" s="8" t="str">
        <f>IFERROR(__xludf.DUMMYFUNCTION("""COMPUTED_VALUE"""),"有")</f>
        <v>有</v>
      </c>
      <c r="Y3638" s="8" t="str">
        <f>IFERROR(__xludf.DUMMYFUNCTION("""COMPUTED_VALUE"""),"2025/9/8まで1巻立ち読み増量(P63)")</f>
        <v>2025/9/8まで1巻立ち読み増量(P63)</v>
      </c>
      <c r="Z3638" s="7"/>
      <c r="AA3638" s="7"/>
      <c r="AB3638" s="7"/>
    </row>
    <row r="3639" ht="15.75" customHeight="1">
      <c r="A3639" s="26">
        <f>IFERROR(__xludf.DUMMYFUNCTION("""COMPUTED_VALUE"""),6064.0)</f>
        <v>6064</v>
      </c>
      <c r="B3639" s="22" t="str">
        <f>IFERROR(__xludf.DUMMYFUNCTION("""COMPUTED_VALUE"""),"確定")</f>
        <v>確定</v>
      </c>
      <c r="C3639" s="28">
        <f>IFERROR(__xludf.DUMMYFUNCTION("""COMPUTED_VALUE"""),45849.0)</f>
        <v>45849</v>
      </c>
      <c r="D3639" s="28">
        <f>IFERROR(__xludf.DUMMYFUNCTION("""COMPUTED_VALUE"""),45852.0)</f>
        <v>45852</v>
      </c>
      <c r="E3639" s="26">
        <f>IFERROR(__xludf.DUMMYFUNCTION("""COMPUTED_VALUE"""),330901.0)</f>
        <v>330901</v>
      </c>
      <c r="F3639" s="22" t="str">
        <f>IFERROR(__xludf.DUMMYFUNCTION("""COMPUTED_VALUE"""),"不死の聖女に生まれ変わった私は、悪女として自由に生きることに決めました～ヤンデレ魔術師と呪いの契約～")</f>
        <v>不死の聖女に生まれ変わった私は、悪女として自由に生きることに決めました～ヤンデレ魔術師と呪いの契約～</v>
      </c>
      <c r="G3639" s="20" t="str">
        <f>IFERROR(__xludf.DUMMYFUNCTION("""COMPUTED_VALUE"""),"1～5")</f>
        <v>1～5</v>
      </c>
      <c r="H3639" s="22" t="str">
        <f>IFERROR(__xludf.DUMMYFUNCTION("""COMPUTED_VALUE"""),"葉波拓巳/やまだ有見")</f>
        <v>葉波拓巳/やまだ有見</v>
      </c>
      <c r="I3639" s="22" t="str">
        <f>IFERROR(__xludf.DUMMYFUNCTION("""COMPUTED_VALUE"""),"女性")</f>
        <v>女性</v>
      </c>
      <c r="J3639" s="22"/>
      <c r="K3639" s="22"/>
      <c r="L3639" s="22" t="str">
        <f>IFERROR(__xludf.DUMMYFUNCTION("""COMPUTED_VALUE"""),"ライドオン")</f>
        <v>ライドオン</v>
      </c>
      <c r="M3639" s="33">
        <f>IFERROR(__xludf.DUMMYFUNCTION("""COMPUTED_VALUE"""),45877.0)</f>
        <v>45877</v>
      </c>
      <c r="N3639" s="33">
        <f>IFERROR(__xludf.DUMMYFUNCTION("""COMPUTED_VALUE"""),46059.0)</f>
        <v>46059</v>
      </c>
      <c r="O3639" s="20"/>
      <c r="P3639" s="32" t="str">
        <f>IFERROR(__xludf.DUMMYFUNCTION("""COMPUTED_VALUE"""),"可")</f>
        <v>可</v>
      </c>
      <c r="Q3639" s="30" t="str">
        <f>IFERROR(__xludf.DUMMYFUNCTION("""COMPUTED_VALUE"""),"協業レーベル『シーモア×アラモード』作品です。")</f>
        <v>協業レーベル『シーモア×アラモード』作品です。</v>
      </c>
      <c r="R3639" s="22"/>
      <c r="S3639" s="22" t="str">
        <f>IFERROR(__xludf.DUMMYFUNCTION("""COMPUTED_VALUE"""),"20250711_ライドオン_不死の聖女に生まれ変わった私は、悪女として自由に生きることに決めました～ヤンデレ魔術師と呪いの契約～")</f>
        <v>20250711_ライドオン_不死の聖女に生まれ変わった私は、悪女として自由に生きることに決めました～ヤンデレ魔術師と呪いの契約～</v>
      </c>
      <c r="T3639" s="22" t="str">
        <f>IFERROR(__xludf.DUMMYFUNCTION("""COMPUTED_VALUE"""),"格納済み")</f>
        <v>格納済み</v>
      </c>
      <c r="U3639" s="9" t="str">
        <f>IFERROR(__xludf.DUMMYFUNCTION("""COMPUTED_VALUE"""),"Ⓒ葉波拓巳/やまだ有見/ライドオン        ")</f>
        <v>Ⓒ葉波拓巳/やまだ有見/ライドオン        </v>
      </c>
      <c r="V3639" s="8"/>
      <c r="W3639" s="8"/>
      <c r="X3639" s="8" t="str">
        <f>IFERROR(__xludf.DUMMYFUNCTION("""COMPUTED_VALUE"""),"有")</f>
        <v>有</v>
      </c>
      <c r="Y3639" s="8" t="str">
        <f>IFERROR(__xludf.DUMMYFUNCTION("""COMPUTED_VALUE"""),"2026/2/6まで1巻無料")</f>
        <v>2026/2/6まで1巻無料</v>
      </c>
      <c r="Z3639" s="7"/>
      <c r="AA3639" s="7"/>
      <c r="AB3639" s="7"/>
    </row>
    <row r="3640" ht="15.75" customHeight="1">
      <c r="A3640" s="26">
        <f>IFERROR(__xludf.DUMMYFUNCTION("""COMPUTED_VALUE"""),6065.0)</f>
        <v>6065</v>
      </c>
      <c r="B3640" s="22" t="str">
        <f>IFERROR(__xludf.DUMMYFUNCTION("""COMPUTED_VALUE"""),"確定")</f>
        <v>確定</v>
      </c>
      <c r="C3640" s="28">
        <f>IFERROR(__xludf.DUMMYFUNCTION("""COMPUTED_VALUE"""),45849.0)</f>
        <v>45849</v>
      </c>
      <c r="D3640" s="28">
        <f>IFERROR(__xludf.DUMMYFUNCTION("""COMPUTED_VALUE"""),45852.0)</f>
        <v>45852</v>
      </c>
      <c r="E3640" s="26">
        <f>IFERROR(__xludf.DUMMYFUNCTION("""COMPUTED_VALUE"""),330906.0)</f>
        <v>330906</v>
      </c>
      <c r="F3640" s="22" t="str">
        <f>IFERROR(__xludf.DUMMYFUNCTION("""COMPUTED_VALUE"""),"人魚姫、その後。～幸せに暮らせなかったお姫様は今度こそ真実の恋をする～（フルカラー）")</f>
        <v>人魚姫、その後。～幸せに暮らせなかったお姫様は今度こそ真実の恋をする～（フルカラー）</v>
      </c>
      <c r="G3640" s="20" t="str">
        <f>IFERROR(__xludf.DUMMYFUNCTION("""COMPUTED_VALUE"""),"1～5")</f>
        <v>1～5</v>
      </c>
      <c r="H3640" s="22" t="str">
        <f>IFERROR(__xludf.DUMMYFUNCTION("""COMPUTED_VALUE"""),"yusura")</f>
        <v>yusura</v>
      </c>
      <c r="I3640" s="22" t="str">
        <f>IFERROR(__xludf.DUMMYFUNCTION("""COMPUTED_VALUE"""),"少女")</f>
        <v>少女</v>
      </c>
      <c r="J3640" s="22"/>
      <c r="K3640" s="22"/>
      <c r="L3640" s="22" t="str">
        <f>IFERROR(__xludf.DUMMYFUNCTION("""COMPUTED_VALUE"""),"ライドオン")</f>
        <v>ライドオン</v>
      </c>
      <c r="M3640" s="33">
        <f>IFERROR(__xludf.DUMMYFUNCTION("""COMPUTED_VALUE"""),45877.0)</f>
        <v>45877</v>
      </c>
      <c r="N3640" s="33">
        <f>IFERROR(__xludf.DUMMYFUNCTION("""COMPUTED_VALUE"""),45904.0)</f>
        <v>45904</v>
      </c>
      <c r="O3640" s="20"/>
      <c r="P3640" s="32" t="str">
        <f>IFERROR(__xludf.DUMMYFUNCTION("""COMPUTED_VALUE"""),"可")</f>
        <v>可</v>
      </c>
      <c r="Q3640" s="30" t="str">
        <f>IFERROR(__xludf.DUMMYFUNCTION("""COMPUTED_VALUE"""),"協業レーベル『シーモア×アラモード』作品です。")</f>
        <v>協業レーベル『シーモア×アラモード』作品です。</v>
      </c>
      <c r="R3640" s="22"/>
      <c r="S3640" s="22" t="str">
        <f>IFERROR(__xludf.DUMMYFUNCTION("""COMPUTED_VALUE"""),"20250711_ライドオン_人魚姫、その後。～幸せに暮らせなかったお姫様は今度こそ真実の恋をする～（フルカラー）")</f>
        <v>20250711_ライドオン_人魚姫、その後。～幸せに暮らせなかったお姫様は今度こそ真実の恋をする～（フルカラー）</v>
      </c>
      <c r="T3640" s="22" t="str">
        <f>IFERROR(__xludf.DUMMYFUNCTION("""COMPUTED_VALUE"""),"格納済み")</f>
        <v>格納済み</v>
      </c>
      <c r="U3640" s="9" t="str">
        <f>IFERROR(__xludf.DUMMYFUNCTION("""COMPUTED_VALUE"""),"Ⓒyusura/ライドオン")</f>
        <v>Ⓒyusura/ライドオン</v>
      </c>
      <c r="V3640" s="8"/>
      <c r="W3640" s="8"/>
      <c r="X3640" s="8" t="str">
        <f>IFERROR(__xludf.DUMMYFUNCTION("""COMPUTED_VALUE"""),"有")</f>
        <v>有</v>
      </c>
      <c r="Y3640" s="8" t="str">
        <f>IFERROR(__xludf.DUMMYFUNCTION("""COMPUTED_VALUE"""),"2025/9/4まで1巻無料")</f>
        <v>2025/9/4まで1巻無料</v>
      </c>
      <c r="Z3640" s="7"/>
      <c r="AA3640" s="7"/>
      <c r="AB3640" s="7"/>
    </row>
    <row r="3641" ht="15.75" customHeight="1">
      <c r="A3641" s="26">
        <f>IFERROR(__xludf.DUMMYFUNCTION("""COMPUTED_VALUE"""),6067.0)</f>
        <v>6067</v>
      </c>
      <c r="B3641" s="22" t="str">
        <f>IFERROR(__xludf.DUMMYFUNCTION("""COMPUTED_VALUE"""),"確定")</f>
        <v>確定</v>
      </c>
      <c r="C3641" s="28">
        <f>IFERROR(__xludf.DUMMYFUNCTION("""COMPUTED_VALUE"""),45852.0)</f>
        <v>45852</v>
      </c>
      <c r="D3641" s="28">
        <f>IFERROR(__xludf.DUMMYFUNCTION("""COMPUTED_VALUE"""),45852.0)</f>
        <v>45852</v>
      </c>
      <c r="E3641" s="26">
        <f>IFERROR(__xludf.DUMMYFUNCTION("""COMPUTED_VALUE"""),332331.0)</f>
        <v>332331</v>
      </c>
      <c r="F3641" s="22" t="str">
        <f>IFERROR(__xludf.DUMMYFUNCTION("""COMPUTED_VALUE"""),"「姉のスペア」と呼ばれた身代わり人生は、今日でやめることにします～辺境で自由を満喫中なので、今さら真の聖女と言われても知りません！～")</f>
        <v>「姉のスペア」と呼ばれた身代わり人生は、今日でやめることにします～辺境で自由を満喫中なので、今さら真の聖女と言われても知りません！～</v>
      </c>
      <c r="G3641" s="20" t="str">
        <f>IFERROR(__xludf.DUMMYFUNCTION("""COMPUTED_VALUE"""),"1～3")</f>
        <v>1～3</v>
      </c>
      <c r="H3641" s="22" t="str">
        <f>IFERROR(__xludf.DUMMYFUNCTION("""COMPUTED_VALUE"""),"晴瀬リン/結生まひろ")</f>
        <v>晴瀬リン/結生まひろ</v>
      </c>
      <c r="I3641" s="22" t="str">
        <f>IFERROR(__xludf.DUMMYFUNCTION("""COMPUTED_VALUE"""),"少女")</f>
        <v>少女</v>
      </c>
      <c r="J3641" s="22"/>
      <c r="K3641" s="22"/>
      <c r="L3641" s="22" t="str">
        <f>IFERROR(__xludf.DUMMYFUNCTION("""COMPUTED_VALUE"""),"ファンギルド")</f>
        <v>ファンギルド</v>
      </c>
      <c r="M3641" s="33">
        <f>IFERROR(__xludf.DUMMYFUNCTION("""COMPUTED_VALUE"""),45904.0)</f>
        <v>45904</v>
      </c>
      <c r="N3641" s="33">
        <f>IFERROR(__xludf.DUMMYFUNCTION("""COMPUTED_VALUE"""),45966.0)</f>
        <v>45966</v>
      </c>
      <c r="O3641" s="20"/>
      <c r="P3641" s="32" t="str">
        <f>IFERROR(__xludf.DUMMYFUNCTION("""COMPUTED_VALUE"""),"可")</f>
        <v>可</v>
      </c>
      <c r="Q3641" s="30"/>
      <c r="R3641" s="22"/>
      <c r="S3641" s="22" t="str">
        <f>IFERROR(__xludf.DUMMYFUNCTION("""COMPUTED_VALUE"""),"20250714_ファンギルド_「姉のスペア」と呼ばれた身代わり人生は、今日でやめることにします～辺境で自由を満喫中なので、今さら真の聖女と言われても知りません！～")</f>
        <v>20250714_ファンギルド_「姉のスペア」と呼ばれた身代わり人生は、今日でやめることにします～辺境で自由を満喫中なので、今さら真の聖女と言われても知りません！～</v>
      </c>
      <c r="T3641" s="22" t="str">
        <f>IFERROR(__xludf.DUMMYFUNCTION("""COMPUTED_VALUE"""),"格納済み")</f>
        <v>格納済み</v>
      </c>
      <c r="U3641" s="9" t="str">
        <f>IFERROR(__xludf.DUMMYFUNCTION("""COMPUTED_VALUE"""),"Ⓒ晴瀬リン/結生まひろ/ファンギルド")</f>
        <v>Ⓒ晴瀬リン/結生まひろ/ファンギルド</v>
      </c>
      <c r="V3641" s="8"/>
      <c r="W3641" s="8"/>
      <c r="X3641" s="8" t="str">
        <f>IFERROR(__xludf.DUMMYFUNCTION("""COMPUTED_VALUE"""),"有")</f>
        <v>有</v>
      </c>
      <c r="Y3641" s="8" t="str">
        <f>IFERROR(__xludf.DUMMYFUNCTION("""COMPUTED_VALUE"""),"2025/9/17まで1巻無料")</f>
        <v>2025/9/17まで1巻無料</v>
      </c>
      <c r="Z3641" s="7"/>
      <c r="AA3641" s="7"/>
      <c r="AB3641" s="7"/>
    </row>
    <row r="3642" ht="15.75" customHeight="1">
      <c r="A3642" s="26">
        <f>IFERROR(__xludf.DUMMYFUNCTION("""COMPUTED_VALUE"""),6068.0)</f>
        <v>6068</v>
      </c>
      <c r="B3642" s="22" t="str">
        <f>IFERROR(__xludf.DUMMYFUNCTION("""COMPUTED_VALUE"""),"確定")</f>
        <v>確定</v>
      </c>
      <c r="C3642" s="28">
        <f>IFERROR(__xludf.DUMMYFUNCTION("""COMPUTED_VALUE"""),45852.0)</f>
        <v>45852</v>
      </c>
      <c r="D3642" s="28">
        <f>IFERROR(__xludf.DUMMYFUNCTION("""COMPUTED_VALUE"""),45852.0)</f>
        <v>45852</v>
      </c>
      <c r="E3642" s="26">
        <f>IFERROR(__xludf.DUMMYFUNCTION("""COMPUTED_VALUE"""),332332.0)</f>
        <v>332332</v>
      </c>
      <c r="F3642" s="22" t="str">
        <f>IFERROR(__xludf.DUMMYFUNCTION("""COMPUTED_VALUE"""),"闇金クロサキ～復讐は計画的に～")</f>
        <v>闇金クロサキ～復讐は計画的に～</v>
      </c>
      <c r="G3642" s="20" t="str">
        <f>IFERROR(__xludf.DUMMYFUNCTION("""COMPUTED_VALUE"""),"1～3")</f>
        <v>1～3</v>
      </c>
      <c r="H3642" s="22" t="str">
        <f>IFERROR(__xludf.DUMMYFUNCTION("""COMPUTED_VALUE"""),"久石らい／まつくろ")</f>
        <v>久石らい／まつくろ</v>
      </c>
      <c r="I3642" s="22" t="str">
        <f>IFERROR(__xludf.DUMMYFUNCTION("""COMPUTED_VALUE"""),"青年")</f>
        <v>青年</v>
      </c>
      <c r="J3642" s="22"/>
      <c r="K3642" s="22"/>
      <c r="L3642" s="22" t="str">
        <f>IFERROR(__xludf.DUMMYFUNCTION("""COMPUTED_VALUE"""),"ファンギルド")</f>
        <v>ファンギルド</v>
      </c>
      <c r="M3642" s="33">
        <f>IFERROR(__xludf.DUMMYFUNCTION("""COMPUTED_VALUE"""),45892.0)</f>
        <v>45892</v>
      </c>
      <c r="N3642" s="33">
        <f>IFERROR(__xludf.DUMMYFUNCTION("""COMPUTED_VALUE"""),45954.0)</f>
        <v>45954</v>
      </c>
      <c r="O3642" s="20"/>
      <c r="P3642" s="32" t="str">
        <f>IFERROR(__xludf.DUMMYFUNCTION("""COMPUTED_VALUE"""),"可")</f>
        <v>可</v>
      </c>
      <c r="Q3642" s="30"/>
      <c r="R3642" s="22"/>
      <c r="S3642" s="22" t="str">
        <f>IFERROR(__xludf.DUMMYFUNCTION("""COMPUTED_VALUE"""),"20250714_ファンギルド_闇金クロサキ～復讐は計画的に～")</f>
        <v>20250714_ファンギルド_闇金クロサキ～復讐は計画的に～</v>
      </c>
      <c r="T3642" s="22" t="str">
        <f>IFERROR(__xludf.DUMMYFUNCTION("""COMPUTED_VALUE"""),"格納済み")</f>
        <v>格納済み</v>
      </c>
      <c r="U3642" s="9" t="str">
        <f>IFERROR(__xludf.DUMMYFUNCTION("""COMPUTED_VALUE"""),"Ⓒ久石らい/まつくろ/ファンギルド")</f>
        <v>Ⓒ久石らい/まつくろ/ファンギルド</v>
      </c>
      <c r="V3642" s="8"/>
      <c r="W3642" s="8"/>
      <c r="X3642" s="8" t="str">
        <f>IFERROR(__xludf.DUMMYFUNCTION("""COMPUTED_VALUE"""),"有")</f>
        <v>有</v>
      </c>
      <c r="Y3642" s="8" t="str">
        <f>IFERROR(__xludf.DUMMYFUNCTION("""COMPUTED_VALUE"""),"P7まで")</f>
        <v>P7まで</v>
      </c>
      <c r="Z3642" s="7"/>
      <c r="AA3642" s="7"/>
      <c r="AB3642" s="7"/>
    </row>
    <row r="3643" ht="15.75" customHeight="1">
      <c r="A3643" s="26">
        <f>IFERROR(__xludf.DUMMYFUNCTION("""COMPUTED_VALUE"""),6069.0)</f>
        <v>6069</v>
      </c>
      <c r="B3643" s="22" t="str">
        <f>IFERROR(__xludf.DUMMYFUNCTION("""COMPUTED_VALUE"""),"確定")</f>
        <v>確定</v>
      </c>
      <c r="C3643" s="28">
        <f>IFERROR(__xludf.DUMMYFUNCTION("""COMPUTED_VALUE"""),45852.0)</f>
        <v>45852</v>
      </c>
      <c r="D3643" s="28">
        <f>IFERROR(__xludf.DUMMYFUNCTION("""COMPUTED_VALUE"""),45852.0)</f>
        <v>45852</v>
      </c>
      <c r="E3643" s="26">
        <f>IFERROR(__xludf.DUMMYFUNCTION("""COMPUTED_VALUE"""),332333.0)</f>
        <v>332333</v>
      </c>
      <c r="F3643" s="22" t="str">
        <f>IFERROR(__xludf.DUMMYFUNCTION("""COMPUTED_VALUE"""),"美熟女の定期便")</f>
        <v>美熟女の定期便</v>
      </c>
      <c r="G3643" s="20" t="str">
        <f>IFERROR(__xludf.DUMMYFUNCTION("""COMPUTED_VALUE"""),"1～3")</f>
        <v>1～3</v>
      </c>
      <c r="H3643" s="22" t="str">
        <f>IFERROR(__xludf.DUMMYFUNCTION("""COMPUTED_VALUE"""),"ttwook/Sara Jin/Gongsimi")</f>
        <v>ttwook/Sara Jin/Gongsimi</v>
      </c>
      <c r="I3643" s="22" t="str">
        <f>IFERROR(__xludf.DUMMYFUNCTION("""COMPUTED_VALUE"""),"青年")</f>
        <v>青年</v>
      </c>
      <c r="J3643" s="22"/>
      <c r="K3643" s="22"/>
      <c r="L3643" s="22" t="str">
        <f>IFERROR(__xludf.DUMMYFUNCTION("""COMPUTED_VALUE"""),"Rush!")</f>
        <v>Rush!</v>
      </c>
      <c r="M3643" s="33">
        <f>IFERROR(__xludf.DUMMYFUNCTION("""COMPUTED_VALUE"""),45905.0)</f>
        <v>45905</v>
      </c>
      <c r="N3643" s="33">
        <f>IFERROR(__xludf.DUMMYFUNCTION("""COMPUTED_VALUE"""),45932.0)</f>
        <v>45932</v>
      </c>
      <c r="O3643" s="20"/>
      <c r="P3643" s="32" t="str">
        <f>IFERROR(__xludf.DUMMYFUNCTION("""COMPUTED_VALUE"""),"可")</f>
        <v>可</v>
      </c>
      <c r="Q3643" s="30"/>
      <c r="R3643" s="22"/>
      <c r="S3643" s="22" t="str">
        <f>IFERROR(__xludf.DUMMYFUNCTION("""COMPUTED_VALUE"""),"20250714_ファンギルド_美熟女の定期便")</f>
        <v>20250714_ファンギルド_美熟女の定期便</v>
      </c>
      <c r="T3643" s="22" t="str">
        <f>IFERROR(__xludf.DUMMYFUNCTION("""COMPUTED_VALUE"""),"格納済み")</f>
        <v>格納済み</v>
      </c>
      <c r="U3643" s="9" t="str">
        <f>IFERROR(__xludf.DUMMYFUNCTION("""COMPUTED_VALUE"""),"Ⓒttwook/Sara Jin/Gongsimi/TOPTOON")</f>
        <v>Ⓒttwook/Sara Jin/Gongsimi/TOPTOON</v>
      </c>
      <c r="V3643" s="8"/>
      <c r="W3643" s="8"/>
      <c r="X3643" s="8" t="str">
        <f>IFERROR(__xludf.DUMMYFUNCTION("""COMPUTED_VALUE"""),"有")</f>
        <v>有</v>
      </c>
      <c r="Y3643" s="8" t="str">
        <f>IFERROR(__xludf.DUMMYFUNCTION("""COMPUTED_VALUE"""),"2025/9/18まで1巻無料")</f>
        <v>2025/9/18まで1巻無料</v>
      </c>
      <c r="Z3643" s="7"/>
      <c r="AA3643" s="7"/>
      <c r="AB3643" s="7"/>
    </row>
    <row r="3644" ht="15.75" customHeight="1">
      <c r="A3644" s="26">
        <f>IFERROR(__xludf.DUMMYFUNCTION("""COMPUTED_VALUE"""),6070.0)</f>
        <v>6070</v>
      </c>
      <c r="B3644" s="22" t="str">
        <f>IFERROR(__xludf.DUMMYFUNCTION("""COMPUTED_VALUE"""),"確定")</f>
        <v>確定</v>
      </c>
      <c r="C3644" s="28">
        <f>IFERROR(__xludf.DUMMYFUNCTION("""COMPUTED_VALUE"""),45852.0)</f>
        <v>45852</v>
      </c>
      <c r="D3644" s="28">
        <f>IFERROR(__xludf.DUMMYFUNCTION("""COMPUTED_VALUE"""),45852.0)</f>
        <v>45852</v>
      </c>
      <c r="E3644" s="26">
        <f>IFERROR(__xludf.DUMMYFUNCTION("""COMPUTED_VALUE"""),332219.0)</f>
        <v>332219</v>
      </c>
      <c r="F3644" s="22" t="str">
        <f>IFERROR(__xludf.DUMMYFUNCTION("""COMPUTED_VALUE"""),"生意気なアノコは俺の言いなり")</f>
        <v>生意気なアノコは俺の言いなり</v>
      </c>
      <c r="G3644" s="20" t="str">
        <f>IFERROR(__xludf.DUMMYFUNCTION("""COMPUTED_VALUE"""),"1～4")</f>
        <v>1～4</v>
      </c>
      <c r="H3644" s="22" t="str">
        <f>IFERROR(__xludf.DUMMYFUNCTION("""COMPUTED_VALUE"""),"chiko/DAYAMONGD/SnackLife")</f>
        <v>chiko/DAYAMONGD/SnackLife</v>
      </c>
      <c r="I3644" s="22" t="str">
        <f>IFERROR(__xludf.DUMMYFUNCTION("""COMPUTED_VALUE"""),"青年")</f>
        <v>青年</v>
      </c>
      <c r="J3644" s="22"/>
      <c r="K3644" s="22"/>
      <c r="L3644" s="22" t="str">
        <f>IFERROR(__xludf.DUMMYFUNCTION("""COMPUTED_VALUE"""),"Rush!")</f>
        <v>Rush!</v>
      </c>
      <c r="M3644" s="33">
        <f>IFERROR(__xludf.DUMMYFUNCTION("""COMPUTED_VALUE"""),45898.0)</f>
        <v>45898</v>
      </c>
      <c r="N3644" s="33">
        <f>IFERROR(__xludf.DUMMYFUNCTION("""COMPUTED_VALUE"""),45925.0)</f>
        <v>45925</v>
      </c>
      <c r="O3644" s="20"/>
      <c r="P3644" s="32" t="str">
        <f>IFERROR(__xludf.DUMMYFUNCTION("""COMPUTED_VALUE"""),"可")</f>
        <v>可</v>
      </c>
      <c r="Q3644" s="30"/>
      <c r="R3644" s="22"/>
      <c r="S3644" s="22" t="str">
        <f>IFERROR(__xludf.DUMMYFUNCTION("""COMPUTED_VALUE"""),"20250714_ファンギルド_生意気なアノコは俺の言いなり")</f>
        <v>20250714_ファンギルド_生意気なアノコは俺の言いなり</v>
      </c>
      <c r="T3644" s="22" t="str">
        <f>IFERROR(__xludf.DUMMYFUNCTION("""COMPUTED_VALUE"""),"格納済み")</f>
        <v>格納済み</v>
      </c>
      <c r="U3644" s="9" t="str">
        <f>IFERROR(__xludf.DUMMYFUNCTION("""COMPUTED_VALUE"""),"Ⓒchiko/DAYAMONGD/SnackLife/TOPTOON")</f>
        <v>Ⓒchiko/DAYAMONGD/SnackLife/TOPTOON</v>
      </c>
      <c r="V3644" s="8"/>
      <c r="W3644" s="8"/>
      <c r="X3644" s="8" t="str">
        <f>IFERROR(__xludf.DUMMYFUNCTION("""COMPUTED_VALUE"""),"有")</f>
        <v>有</v>
      </c>
      <c r="Y3644" s="8" t="str">
        <f>IFERROR(__xludf.DUMMYFUNCTION("""COMPUTED_VALUE"""),"2025/9/11まで1巻無料")</f>
        <v>2025/9/11まで1巻無料</v>
      </c>
      <c r="Z3644" s="7"/>
      <c r="AA3644" s="7"/>
      <c r="AB3644" s="7"/>
    </row>
    <row r="3645" ht="15.75" customHeight="1">
      <c r="A3645" s="26">
        <f>IFERROR(__xludf.DUMMYFUNCTION("""COMPUTED_VALUE"""),6093.0)</f>
        <v>6093</v>
      </c>
      <c r="B3645" s="22" t="str">
        <f>IFERROR(__xludf.DUMMYFUNCTION("""COMPUTED_VALUE"""),"確定")</f>
        <v>確定</v>
      </c>
      <c r="C3645" s="28">
        <f>IFERROR(__xludf.DUMMYFUNCTION("""COMPUTED_VALUE"""),45853.0)</f>
        <v>45853</v>
      </c>
      <c r="D3645" s="28">
        <f>IFERROR(__xludf.DUMMYFUNCTION("""COMPUTED_VALUE"""),45853.0)</f>
        <v>45853</v>
      </c>
      <c r="E3645" s="26">
        <f>IFERROR(__xludf.DUMMYFUNCTION("""COMPUTED_VALUE"""),156845.0)</f>
        <v>156845</v>
      </c>
      <c r="F3645" s="22" t="str">
        <f>IFERROR(__xludf.DUMMYFUNCTION("""COMPUTED_VALUE"""),"サハラの黒鷲")</f>
        <v>サハラの黒鷲</v>
      </c>
      <c r="G3645" s="20">
        <f>IFERROR(__xludf.DUMMYFUNCTION("""COMPUTED_VALUE"""),4.0)</f>
        <v>4</v>
      </c>
      <c r="H3645" s="22" t="str">
        <f>IFERROR(__xludf.DUMMYFUNCTION("""COMPUTED_VALUE"""),"五月女えむ")</f>
        <v>五月女えむ</v>
      </c>
      <c r="I3645" s="22" t="str">
        <f>IFERROR(__xludf.DUMMYFUNCTION("""COMPUTED_VALUE"""),"BLマンガ")</f>
        <v>BLマンガ</v>
      </c>
      <c r="J3645" s="22"/>
      <c r="K3645" s="22" t="str">
        <f>IFERROR(__xludf.DUMMYFUNCTION("""COMPUTED_VALUE"""),"ジュネットコミックス / ピアスシリーズ")</f>
        <v>ジュネットコミックス / ピアスシリーズ</v>
      </c>
      <c r="L3645" s="22" t="str">
        <f>IFERROR(__xludf.DUMMYFUNCTION("""COMPUTED_VALUE"""),"ジュネット")</f>
        <v>ジュネット</v>
      </c>
      <c r="M3645" s="33">
        <f>IFERROR(__xludf.DUMMYFUNCTION("""COMPUTED_VALUE"""),45878.0)</f>
        <v>45878</v>
      </c>
      <c r="N3645" s="33">
        <f>IFERROR(__xludf.DUMMYFUNCTION("""COMPUTED_VALUE"""),2958465.0)</f>
        <v>2958465</v>
      </c>
      <c r="O3645" s="20"/>
      <c r="P3645" s="32" t="str">
        <f>IFERROR(__xludf.DUMMYFUNCTION("""COMPUTED_VALUE"""),"可")</f>
        <v>可</v>
      </c>
      <c r="Q3645" s="30" t="str">
        <f>IFERROR(__xludf.DUMMYFUNCTION("""COMPUTED_VALUE"""),"シーモア限定BOOKです&lt;BR&gt;")</f>
        <v>シーモア限定BOOKです&lt;BR&gt;</v>
      </c>
      <c r="R3645" s="22" t="str">
        <f>IFERROR(__xludf.DUMMYFUNCTION("""COMPUTED_VALUE"""),"コミットOK")</f>
        <v>コミットOK</v>
      </c>
      <c r="S3645" s="22" t="str">
        <f>IFERROR(__xludf.DUMMYFUNCTION("""COMPUTED_VALUE"""),"20250715_ジュネット_サハラの黒鷲【シーモア限定BOOK】")</f>
        <v>20250715_ジュネット_サハラの黒鷲【シーモア限定BOOK】</v>
      </c>
      <c r="T3645" s="22" t="str">
        <f>IFERROR(__xludf.DUMMYFUNCTION("""COMPUTED_VALUE"""),"格納済み")</f>
        <v>格納済み</v>
      </c>
      <c r="U3645" s="9" t="str">
        <f>IFERROR(__xludf.DUMMYFUNCTION("""COMPUTED_VALUE"""),"Ⓒ五月女えむ/ジュネット")</f>
        <v>Ⓒ五月女えむ/ジュネット</v>
      </c>
      <c r="V3645" s="8"/>
      <c r="W3645" s="8"/>
      <c r="X3645" s="8" t="str">
        <f>IFERROR(__xludf.DUMMYFUNCTION("""COMPUTED_VALUE"""),"有")</f>
        <v>有</v>
      </c>
      <c r="Y3645" s="8" t="str">
        <f>IFERROR(__xludf.DUMMYFUNCTION("""COMPUTED_VALUE"""),"2025/9/8まで1巻立ち読み増量(P56)")</f>
        <v>2025/9/8まで1巻立ち読み増量(P56)</v>
      </c>
      <c r="Z3645" s="7"/>
      <c r="AA3645" s="7"/>
      <c r="AB3645" s="7"/>
    </row>
    <row r="3646" ht="15.75" customHeight="1">
      <c r="A3646" s="26">
        <f>IFERROR(__xludf.DUMMYFUNCTION("""COMPUTED_VALUE"""),6098.0)</f>
        <v>6098</v>
      </c>
      <c r="B3646" s="22" t="str">
        <f>IFERROR(__xludf.DUMMYFUNCTION("""COMPUTED_VALUE"""),"確定")</f>
        <v>確定</v>
      </c>
      <c r="C3646" s="28">
        <f>IFERROR(__xludf.DUMMYFUNCTION("""COMPUTED_VALUE"""),45854.0)</f>
        <v>45854</v>
      </c>
      <c r="D3646" s="28">
        <f>IFERROR(__xludf.DUMMYFUNCTION("""COMPUTED_VALUE"""),45854.0)</f>
        <v>45854</v>
      </c>
      <c r="E3646" s="26">
        <f>IFERROR(__xludf.DUMMYFUNCTION("""COMPUTED_VALUE"""),332073.0)</f>
        <v>332073</v>
      </c>
      <c r="F3646" s="22" t="str">
        <f>IFERROR(__xludf.DUMMYFUNCTION("""COMPUTED_VALUE"""),"なごみ吸血鬼のこごみさん　分冊版")</f>
        <v>なごみ吸血鬼のこごみさん　分冊版</v>
      </c>
      <c r="G3646" s="20" t="str">
        <f>IFERROR(__xludf.DUMMYFUNCTION("""COMPUTED_VALUE"""),"1～5")</f>
        <v>1～5</v>
      </c>
      <c r="H3646" s="22" t="str">
        <f>IFERROR(__xludf.DUMMYFUNCTION("""COMPUTED_VALUE"""),"天色ちゆ")</f>
        <v>天色ちゆ</v>
      </c>
      <c r="I3646" s="22" t="str">
        <f>IFERROR(__xludf.DUMMYFUNCTION("""COMPUTED_VALUE"""),"女性")</f>
        <v>女性</v>
      </c>
      <c r="J3646" s="22"/>
      <c r="K3646" s="22"/>
      <c r="L3646" s="22" t="str">
        <f>IFERROR(__xludf.DUMMYFUNCTION("""COMPUTED_VALUE"""),"双葉社")</f>
        <v>双葉社</v>
      </c>
      <c r="M3646" s="33">
        <f>IFERROR(__xludf.DUMMYFUNCTION("""COMPUTED_VALUE"""),45891.0)</f>
        <v>45891</v>
      </c>
      <c r="N3646" s="33">
        <f>IFERROR(__xludf.DUMMYFUNCTION("""COMPUTED_VALUE"""),45973.0)</f>
        <v>45973</v>
      </c>
      <c r="O3646" s="20"/>
      <c r="P3646" s="32" t="str">
        <f>IFERROR(__xludf.DUMMYFUNCTION("""COMPUTED_VALUE"""),"可")</f>
        <v>可</v>
      </c>
      <c r="Q3646" s="30"/>
      <c r="R3646" s="22"/>
      <c r="S3646" s="22" t="str">
        <f>IFERROR(__xludf.DUMMYFUNCTION("""COMPUTED_VALUE"""),"20250716_双葉社_なごみ吸血鬼のこごみ 分冊版")</f>
        <v>20250716_双葉社_なごみ吸血鬼のこごみ 分冊版</v>
      </c>
      <c r="T3646" s="22" t="str">
        <f>IFERROR(__xludf.DUMMYFUNCTION("""COMPUTED_VALUE"""),"格納済み")</f>
        <v>格納済み</v>
      </c>
      <c r="U3646" s="9" t="str">
        <f>IFERROR(__xludf.DUMMYFUNCTION("""COMPUTED_VALUE"""),"Ⓒ天色ちゆ/双葉社")</f>
        <v>Ⓒ天色ちゆ/双葉社</v>
      </c>
      <c r="V3646" s="8"/>
      <c r="W3646" s="8"/>
      <c r="X3646" s="8" t="str">
        <f>IFERROR(__xludf.DUMMYFUNCTION("""COMPUTED_VALUE"""),"有")</f>
        <v>有</v>
      </c>
      <c r="Y3646" s="8" t="str">
        <f>IFERROR(__xludf.DUMMYFUNCTION("""COMPUTED_VALUE"""),"2025/9/4まで1巻無料")</f>
        <v>2025/9/4まで1巻無料</v>
      </c>
      <c r="Z3646" s="7"/>
      <c r="AA3646" s="7"/>
      <c r="AB3646" s="7"/>
    </row>
    <row r="3647" ht="15.75" customHeight="1">
      <c r="A3647" s="26">
        <f>IFERROR(__xludf.DUMMYFUNCTION("""COMPUTED_VALUE"""),4853.0)</f>
        <v>4853</v>
      </c>
      <c r="B3647" s="22" t="str">
        <f>IFERROR(__xludf.DUMMYFUNCTION("""COMPUTED_VALUE"""),"確定")</f>
        <v>確定</v>
      </c>
      <c r="C3647" s="28">
        <f>IFERROR(__xludf.DUMMYFUNCTION("""COMPUTED_VALUE"""),45677.0)</f>
        <v>45677</v>
      </c>
      <c r="D3647" s="28">
        <f>IFERROR(__xludf.DUMMYFUNCTION("""COMPUTED_VALUE"""),45861.0)</f>
        <v>45861</v>
      </c>
      <c r="E3647" s="26">
        <f>IFERROR(__xludf.DUMMYFUNCTION("""COMPUTED_VALUE"""),332010.0)</f>
        <v>332010</v>
      </c>
      <c r="F3647" s="22" t="str">
        <f>IFERROR(__xludf.DUMMYFUNCTION("""COMPUTED_VALUE"""),"地味男を餌付けしたら、実はイケメン御曹司でした【分冊版】")</f>
        <v>地味男を餌付けしたら、実はイケメン御曹司でした【分冊版】</v>
      </c>
      <c r="G3647" s="20" t="str">
        <f>IFERROR(__xludf.DUMMYFUNCTION("""COMPUTED_VALUE"""),"1～3")</f>
        <v>1～3</v>
      </c>
      <c r="H3647" s="22" t="str">
        <f>IFERROR(__xludf.DUMMYFUNCTION("""COMPUTED_VALUE"""),"ながさわさとる,佐倉朱音")</f>
        <v>ながさわさとる,佐倉朱音</v>
      </c>
      <c r="I3647" s="22" t="str">
        <f>IFERROR(__xludf.DUMMYFUNCTION("""COMPUTED_VALUE"""),"女性")</f>
        <v>女性</v>
      </c>
      <c r="J3647" s="22"/>
      <c r="K3647" s="22"/>
      <c r="L3647" s="22" t="str">
        <f>IFERROR(__xludf.DUMMYFUNCTION("""COMPUTED_VALUE"""),"ハーパーコリンズ・ジャパン")</f>
        <v>ハーパーコリンズ・ジャパン</v>
      </c>
      <c r="M3647" s="33">
        <f>IFERROR(__xludf.DUMMYFUNCTION("""COMPUTED_VALUE"""),45888.0)</f>
        <v>45888</v>
      </c>
      <c r="N3647" s="33">
        <f>IFERROR(__xludf.DUMMYFUNCTION("""COMPUTED_VALUE"""),45949.0)</f>
        <v>45949</v>
      </c>
      <c r="O3647" s="20"/>
      <c r="P3647" s="32" t="str">
        <f>IFERROR(__xludf.DUMMYFUNCTION("""COMPUTED_VALUE"""),"可")</f>
        <v>可</v>
      </c>
      <c r="Q3647" s="30"/>
      <c r="R3647" s="22" t="str">
        <f>IFERROR(__xludf.DUMMYFUNCTION("""COMPUTED_VALUE"""),"コミットOK")</f>
        <v>コミットOK</v>
      </c>
      <c r="S3647" s="22" t="str">
        <f>IFERROR(__xludf.DUMMYFUNCTION("""COMPUTED_VALUE"""),"20250722_ハーパーコリンズ・ジャパン_地味男を餌付けしたら、実はイケメン御曹司でした【分冊版】")</f>
        <v>20250722_ハーパーコリンズ・ジャパン_地味男を餌付けしたら、実はイケメン御曹司でした【分冊版】</v>
      </c>
      <c r="T3647" s="22" t="str">
        <f>IFERROR(__xludf.DUMMYFUNCTION("""COMPUTED_VALUE"""),"格納済み")</f>
        <v>格納済み</v>
      </c>
      <c r="U3647" s="9" t="str">
        <f>IFERROR(__xludf.DUMMYFUNCTION("""COMPUTED_VALUE"""),"Ⓒながさわさとる・佐倉朱音／ハーパーコリンズ・ジャパン")</f>
        <v>Ⓒながさわさとる・佐倉朱音／ハーパーコリンズ・ジャパン</v>
      </c>
      <c r="V3647" s="8"/>
      <c r="W3647" s="8"/>
      <c r="X3647" s="8" t="str">
        <f>IFERROR(__xludf.DUMMYFUNCTION("""COMPUTED_VALUE"""),"有")</f>
        <v>有</v>
      </c>
      <c r="Y3647" s="8" t="str">
        <f>IFERROR(__xludf.DUMMYFUNCTION("""COMPUTED_VALUE"""),"P8まで")</f>
        <v>P8まで</v>
      </c>
      <c r="Z3647" s="7"/>
      <c r="AA3647" s="7"/>
      <c r="AB3647" s="7"/>
    </row>
    <row r="3648" ht="15.75" customHeight="1">
      <c r="A3648" s="26">
        <f>IFERROR(__xludf.DUMMYFUNCTION("""COMPUTED_VALUE"""),5727.0)</f>
        <v>5727</v>
      </c>
      <c r="B3648" s="22" t="str">
        <f>IFERROR(__xludf.DUMMYFUNCTION("""COMPUTED_VALUE"""),"確定")</f>
        <v>確定</v>
      </c>
      <c r="C3648" s="28">
        <f>IFERROR(__xludf.DUMMYFUNCTION("""COMPUTED_VALUE"""),45813.0)</f>
        <v>45813</v>
      </c>
      <c r="D3648" s="28">
        <f>IFERROR(__xludf.DUMMYFUNCTION("""COMPUTED_VALUE"""),45860.0)</f>
        <v>45860</v>
      </c>
      <c r="E3648" s="26">
        <f>IFERROR(__xludf.DUMMYFUNCTION("""COMPUTED_VALUE"""),331155.0)</f>
        <v>331155</v>
      </c>
      <c r="F3648" s="22" t="str">
        <f>IFERROR(__xludf.DUMMYFUNCTION("""COMPUTED_VALUE"""),"マンガラバー 分冊版")</f>
        <v>マンガラバー 分冊版</v>
      </c>
      <c r="G3648" s="20" t="str">
        <f>IFERROR(__xludf.DUMMYFUNCTION("""COMPUTED_VALUE"""),"1～5")</f>
        <v>1～5</v>
      </c>
      <c r="H3648" s="22" t="str">
        <f>IFERROR(__xludf.DUMMYFUNCTION("""COMPUTED_VALUE"""),"文村公")</f>
        <v>文村公</v>
      </c>
      <c r="I3648" s="22" t="str">
        <f>IFERROR(__xludf.DUMMYFUNCTION("""COMPUTED_VALUE"""),"女性")</f>
        <v>女性</v>
      </c>
      <c r="J3648" s="22"/>
      <c r="K3648" s="22"/>
      <c r="L3648" s="22" t="str">
        <f>IFERROR(__xludf.DUMMYFUNCTION("""COMPUTED_VALUE"""),"講談社")</f>
        <v>講談社</v>
      </c>
      <c r="M3648" s="33">
        <f>IFERROR(__xludf.DUMMYFUNCTION("""COMPUTED_VALUE"""),45884.0)</f>
        <v>45884</v>
      </c>
      <c r="N3648" s="33">
        <f>IFERROR(__xludf.DUMMYFUNCTION("""COMPUTED_VALUE"""),45952.0)</f>
        <v>45952</v>
      </c>
      <c r="O3648" s="20"/>
      <c r="P3648" s="32" t="str">
        <f>IFERROR(__xludf.DUMMYFUNCTION("""COMPUTED_VALUE"""),"可")</f>
        <v>可</v>
      </c>
      <c r="Q3648" s="30"/>
      <c r="R3648" s="22"/>
      <c r="S3648" s="22" t="str">
        <f>IFERROR(__xludf.DUMMYFUNCTION("""COMPUTED_VALUE"""),"20250722_講談社_マンガラバー")</f>
        <v>20250722_講談社_マンガラバー</v>
      </c>
      <c r="T3648" s="22" t="str">
        <f>IFERROR(__xludf.DUMMYFUNCTION("""COMPUTED_VALUE"""),"格納済み")</f>
        <v>格納済み</v>
      </c>
      <c r="U3648" s="9" t="str">
        <f>IFERROR(__xludf.DUMMYFUNCTION("""COMPUTED_VALUE"""),"Ⓒ文村公／講談社")</f>
        <v>Ⓒ文村公／講談社</v>
      </c>
      <c r="V3648" s="8"/>
      <c r="W3648" s="8"/>
      <c r="X3648" s="8" t="str">
        <f>IFERROR(__xludf.DUMMYFUNCTION("""COMPUTED_VALUE"""),"有")</f>
        <v>有</v>
      </c>
      <c r="Y3648" s="8" t="str">
        <f>IFERROR(__xludf.DUMMYFUNCTION("""COMPUTED_VALUE"""),"2025/10/22まで1巻無料")</f>
        <v>2025/10/22まで1巻無料</v>
      </c>
      <c r="Z3648" s="7"/>
      <c r="AA3648" s="7"/>
      <c r="AB3648" s="7"/>
    </row>
    <row r="3649" ht="15.75" customHeight="1">
      <c r="A3649" s="26">
        <f>IFERROR(__xludf.DUMMYFUNCTION("""COMPUTED_VALUE"""),5729.0)</f>
        <v>5729</v>
      </c>
      <c r="B3649" s="22" t="str">
        <f>IFERROR(__xludf.DUMMYFUNCTION("""COMPUTED_VALUE"""),"確定")</f>
        <v>確定</v>
      </c>
      <c r="C3649" s="28">
        <f>IFERROR(__xludf.DUMMYFUNCTION("""COMPUTED_VALUE"""),45813.0)</f>
        <v>45813</v>
      </c>
      <c r="D3649" s="28">
        <f>IFERROR(__xludf.DUMMYFUNCTION("""COMPUTED_VALUE"""),45860.0)</f>
        <v>45860</v>
      </c>
      <c r="E3649" s="26">
        <f>IFERROR(__xludf.DUMMYFUNCTION("""COMPUTED_VALUE"""),332020.0)</f>
        <v>332020</v>
      </c>
      <c r="F3649" s="22" t="str">
        <f>IFERROR(__xludf.DUMMYFUNCTION("""COMPUTED_VALUE"""),"わんと鳴くなら撫でてやる")</f>
        <v>わんと鳴くなら撫でてやる</v>
      </c>
      <c r="G3649" s="20">
        <f>IFERROR(__xludf.DUMMYFUNCTION("""COMPUTED_VALUE"""),1.0)</f>
        <v>1</v>
      </c>
      <c r="H3649" s="22" t="str">
        <f>IFERROR(__xludf.DUMMYFUNCTION("""COMPUTED_VALUE"""),"七嶋なつ")</f>
        <v>七嶋なつ</v>
      </c>
      <c r="I3649" s="22" t="str">
        <f>IFERROR(__xludf.DUMMYFUNCTION("""COMPUTED_VALUE"""),"BL")</f>
        <v>BL</v>
      </c>
      <c r="J3649" s="22"/>
      <c r="K3649" s="22"/>
      <c r="L3649" s="22" t="str">
        <f>IFERROR(__xludf.DUMMYFUNCTION("""COMPUTED_VALUE"""),"リブレ")</f>
        <v>リブレ</v>
      </c>
      <c r="M3649" s="33">
        <f>IFERROR(__xludf.DUMMYFUNCTION("""COMPUTED_VALUE"""),45889.0)</f>
        <v>45889</v>
      </c>
      <c r="N3649" s="33">
        <f>IFERROR(__xludf.DUMMYFUNCTION("""COMPUTED_VALUE"""),45919.0)</f>
        <v>45919</v>
      </c>
      <c r="O3649" s="20"/>
      <c r="P3649" s="32" t="str">
        <f>IFERROR(__xludf.DUMMYFUNCTION("""COMPUTED_VALUE"""),"可")</f>
        <v>可</v>
      </c>
      <c r="Q3649" s="30"/>
      <c r="R3649" s="22"/>
      <c r="S3649" s="22" t="str">
        <f>IFERROR(__xludf.DUMMYFUNCTION("""COMPUTED_VALUE"""),"20250722_リブレ_わんと鳴くなら撫でてやる")</f>
        <v>20250722_リブレ_わんと鳴くなら撫でてやる</v>
      </c>
      <c r="T3649" s="22" t="str">
        <f>IFERROR(__xludf.DUMMYFUNCTION("""COMPUTED_VALUE"""),"格納済み")</f>
        <v>格納済み</v>
      </c>
      <c r="U3649" s="9" t="str">
        <f>IFERROR(__xludf.DUMMYFUNCTION("""COMPUTED_VALUE"""),"(C)七嶋なつ/libre")</f>
        <v>(C)七嶋なつ/libre</v>
      </c>
      <c r="V3649" s="8"/>
      <c r="W3649" s="8"/>
      <c r="X3649" s="8" t="str">
        <f>IFERROR(__xludf.DUMMYFUNCTION("""COMPUTED_VALUE"""),"有")</f>
        <v>有</v>
      </c>
      <c r="Y3649" s="8" t="str">
        <f>IFERROR(__xludf.DUMMYFUNCTION("""COMPUTED_VALUE"""),"P28まで")</f>
        <v>P28まで</v>
      </c>
      <c r="Z3649" s="7"/>
      <c r="AA3649" s="7"/>
      <c r="AB3649" s="7"/>
    </row>
    <row r="3650" ht="15.75" customHeight="1">
      <c r="A3650" s="26">
        <f>IFERROR(__xludf.DUMMYFUNCTION("""COMPUTED_VALUE"""),5745.0)</f>
        <v>5745</v>
      </c>
      <c r="B3650" s="22" t="str">
        <f>IFERROR(__xludf.DUMMYFUNCTION("""COMPUTED_VALUE"""),"確定")</f>
        <v>確定</v>
      </c>
      <c r="C3650" s="28">
        <f>IFERROR(__xludf.DUMMYFUNCTION("""COMPUTED_VALUE"""),45814.0)</f>
        <v>45814</v>
      </c>
      <c r="D3650" s="28">
        <f>IFERROR(__xludf.DUMMYFUNCTION("""COMPUTED_VALUE"""),45855.0)</f>
        <v>45855</v>
      </c>
      <c r="E3650" s="26">
        <f>IFERROR(__xludf.DUMMYFUNCTION("""COMPUTED_VALUE"""),331884.0)</f>
        <v>331884</v>
      </c>
      <c r="F3650" s="22" t="str">
        <f>IFERROR(__xludf.DUMMYFUNCTION("""COMPUTED_VALUE"""),"モラハラ夫とリロード妻 ～私たちの未来、変えてみせます～")</f>
        <v>モラハラ夫とリロード妻 ～私たちの未来、変えてみせます～</v>
      </c>
      <c r="G3650" s="20" t="str">
        <f>IFERROR(__xludf.DUMMYFUNCTION("""COMPUTED_VALUE"""),"1～3")</f>
        <v>1～3</v>
      </c>
      <c r="H3650" s="22" t="str">
        <f>IFERROR(__xludf.DUMMYFUNCTION("""COMPUTED_VALUE"""),"＜作画＞岡崎シゲル/＜原作＞森田りょう")</f>
        <v>＜作画＞岡崎シゲル/＜原作＞森田りょう</v>
      </c>
      <c r="I3650" s="22" t="str">
        <f>IFERROR(__xludf.DUMMYFUNCTION("""COMPUTED_VALUE"""),"女性")</f>
        <v>女性</v>
      </c>
      <c r="J3650" s="22"/>
      <c r="K3650" s="22"/>
      <c r="L3650" s="22" t="str">
        <f>IFERROR(__xludf.DUMMYFUNCTION("""COMPUTED_VALUE"""),"DPNプラス")</f>
        <v>DPNプラス</v>
      </c>
      <c r="M3650" s="33">
        <f>IFERROR(__xludf.DUMMYFUNCTION("""COMPUTED_VALUE"""),45881.0)</f>
        <v>45881</v>
      </c>
      <c r="N3650" s="33">
        <f>IFERROR(__xludf.DUMMYFUNCTION("""COMPUTED_VALUE"""),45972.0)</f>
        <v>45972</v>
      </c>
      <c r="O3650" s="20"/>
      <c r="P3650" s="32" t="str">
        <f>IFERROR(__xludf.DUMMYFUNCTION("""COMPUTED_VALUE"""),"否")</f>
        <v>否</v>
      </c>
      <c r="Q3650" s="30"/>
      <c r="R3650" s="22" t="str">
        <f>IFERROR(__xludf.DUMMYFUNCTION("""COMPUTED_VALUE"""),"コミットNG")</f>
        <v>コミットNG</v>
      </c>
      <c r="S3650" s="22" t="str">
        <f>IFERROR(__xludf.DUMMYFUNCTION("""COMPUTED_VALUE"""),"20250717_DPNプラス_モラハラ夫とリロード妻")</f>
        <v>20250717_DPNプラス_モラハラ夫とリロード妻</v>
      </c>
      <c r="T3650" s="22" t="str">
        <f>IFERROR(__xludf.DUMMYFUNCTION("""COMPUTED_VALUE"""),"格納済み")</f>
        <v>格納済み</v>
      </c>
      <c r="U3650" s="9" t="str">
        <f>IFERROR(__xludf.DUMMYFUNCTION("""COMPUTED_VALUE"""),"(c)Shigeru Okazaki・Ryo Morita／DPNプラス")</f>
        <v>(c)Shigeru Okazaki・Ryo Morita／DPNプラス</v>
      </c>
      <c r="V3650" s="8"/>
      <c r="W3650" s="8"/>
      <c r="X3650" s="8" t="str">
        <f>IFERROR(__xludf.DUMMYFUNCTION("""COMPUTED_VALUE"""),"有")</f>
        <v>有</v>
      </c>
      <c r="Y3650" s="8" t="str">
        <f>IFERROR(__xludf.DUMMYFUNCTION("""COMPUTED_VALUE"""),"2025/11/11まで1巻無料")</f>
        <v>2025/11/11まで1巻無料</v>
      </c>
      <c r="Z3650" s="7"/>
      <c r="AA3650" s="7"/>
      <c r="AB3650" s="7"/>
    </row>
    <row r="3651" ht="15.75" customHeight="1">
      <c r="A3651" s="26">
        <f>IFERROR(__xludf.DUMMYFUNCTION("""COMPUTED_VALUE"""),5873.0)</f>
        <v>5873</v>
      </c>
      <c r="B3651" s="22" t="str">
        <f>IFERROR(__xludf.DUMMYFUNCTION("""COMPUTED_VALUE"""),"確定")</f>
        <v>確定</v>
      </c>
      <c r="C3651" s="28">
        <f>IFERROR(__xludf.DUMMYFUNCTION("""COMPUTED_VALUE"""),45826.0)</f>
        <v>45826</v>
      </c>
      <c r="D3651" s="28">
        <f>IFERROR(__xludf.DUMMYFUNCTION("""COMPUTED_VALUE"""),45861.0)</f>
        <v>45861</v>
      </c>
      <c r="E3651" s="26">
        <f>IFERROR(__xludf.DUMMYFUNCTION("""COMPUTED_VALUE"""),332770.0)</f>
        <v>332770</v>
      </c>
      <c r="F3651" s="22" t="str">
        <f>IFERROR(__xludf.DUMMYFUNCTION("""COMPUTED_VALUE"""),"ティプシー ピンキー アディクション")</f>
        <v>ティプシー ピンキー アディクション</v>
      </c>
      <c r="G3651" s="20" t="str">
        <f>IFERROR(__xludf.DUMMYFUNCTION("""COMPUTED_VALUE"""),"1～2")</f>
        <v>1～2</v>
      </c>
      <c r="H3651" s="22" t="str">
        <f>IFERROR(__xludf.DUMMYFUNCTION("""COMPUTED_VALUE"""),"かれい煮太郎")</f>
        <v>かれい煮太郎</v>
      </c>
      <c r="I3651" s="22" t="str">
        <f>IFERROR(__xludf.DUMMYFUNCTION("""COMPUTED_VALUE"""),"BL")</f>
        <v>BL</v>
      </c>
      <c r="J3651" s="22"/>
      <c r="K3651" s="22" t="str">
        <f>IFERROR(__xludf.DUMMYFUNCTION("""COMPUTED_VALUE"""),"MooiComics")</f>
        <v>MooiComics</v>
      </c>
      <c r="L3651" s="22" t="str">
        <f>IFERROR(__xludf.DUMMYFUNCTION("""COMPUTED_VALUE"""),"CLLENN")</f>
        <v>CLLENN</v>
      </c>
      <c r="M3651" s="33">
        <f>IFERROR(__xludf.DUMMYFUNCTION("""COMPUTED_VALUE"""),45888.0)</f>
        <v>45888</v>
      </c>
      <c r="N3651" s="33">
        <f>IFERROR(__xludf.DUMMYFUNCTION("""COMPUTED_VALUE"""),45950.0)</f>
        <v>45950</v>
      </c>
      <c r="O3651" s="20"/>
      <c r="P3651" s="32" t="str">
        <f>IFERROR(__xludf.DUMMYFUNCTION("""COMPUTED_VALUE"""),"可")</f>
        <v>可</v>
      </c>
      <c r="Q3651" s="30"/>
      <c r="R3651" s="22" t="str">
        <f>IFERROR(__xludf.DUMMYFUNCTION("""COMPUTED_VALUE"""),"コミットNG")</f>
        <v>コミットNG</v>
      </c>
      <c r="S3651" s="22" t="str">
        <f>IFERROR(__xludf.DUMMYFUNCTION("""COMPUTED_VALUE"""),"20250717_CLLENN_ティプシー ピンキー アディクション")</f>
        <v>20250717_CLLENN_ティプシー ピンキー アディクション</v>
      </c>
      <c r="T3651" s="22" t="str">
        <f>IFERROR(__xludf.DUMMYFUNCTION("""COMPUTED_VALUE"""),"格納済み")</f>
        <v>格納済み</v>
      </c>
      <c r="U3651" s="9" t="str">
        <f>IFERROR(__xludf.DUMMYFUNCTION("""COMPUTED_VALUE"""),"Ⓒかれい煮太郎/CLLENN")</f>
        <v>Ⓒかれい煮太郎/CLLENN</v>
      </c>
      <c r="V3651" s="8"/>
      <c r="W3651" s="8"/>
      <c r="X3651" s="8" t="str">
        <f>IFERROR(__xludf.DUMMYFUNCTION("""COMPUTED_VALUE"""),"有")</f>
        <v>有</v>
      </c>
      <c r="Y3651" s="8" t="str">
        <f>IFERROR(__xludf.DUMMYFUNCTION("""COMPUTED_VALUE"""),"2025/9/1まで1巻立ち読み増量(P19)")</f>
        <v>2025/9/1まで1巻立ち読み増量(P19)</v>
      </c>
      <c r="Z3651" s="7"/>
      <c r="AA3651" s="7"/>
      <c r="AB3651" s="7"/>
    </row>
    <row r="3652" ht="15.75" customHeight="1">
      <c r="A3652" s="26">
        <f>IFERROR(__xludf.DUMMYFUNCTION("""COMPUTED_VALUE"""),5891.0)</f>
        <v>5891</v>
      </c>
      <c r="B3652" s="22" t="str">
        <f>IFERROR(__xludf.DUMMYFUNCTION("""COMPUTED_VALUE"""),"確定")</f>
        <v>確定</v>
      </c>
      <c r="C3652" s="28">
        <f>IFERROR(__xludf.DUMMYFUNCTION("""COMPUTED_VALUE"""),45828.0)</f>
        <v>45828</v>
      </c>
      <c r="D3652" s="28">
        <f>IFERROR(__xludf.DUMMYFUNCTION("""COMPUTED_VALUE"""),45856.0)</f>
        <v>45856</v>
      </c>
      <c r="E3652" s="26">
        <f>IFERROR(__xludf.DUMMYFUNCTION("""COMPUTED_VALUE"""),331090.0)</f>
        <v>331090</v>
      </c>
      <c r="F3652" s="22" t="str">
        <f>IFERROR(__xludf.DUMMYFUNCTION("""COMPUTED_VALUE"""),"妻を寝取らせた俺は、間違っていたのだろうか。")</f>
        <v>妻を寝取らせた俺は、間違っていたのだろうか。</v>
      </c>
      <c r="G3652" s="20">
        <f>IFERROR(__xludf.DUMMYFUNCTION("""COMPUTED_VALUE"""),1.0)</f>
        <v>1</v>
      </c>
      <c r="H3652" s="22" t="str">
        <f>IFERROR(__xludf.DUMMYFUNCTION("""COMPUTED_VALUE"""),"どうしょく┴泡未アオ┴もえまん")</f>
        <v>どうしょく┴泡未アオ┴もえまん</v>
      </c>
      <c r="I3652" s="22" t="str">
        <f>IFERROR(__xludf.DUMMYFUNCTION("""COMPUTED_VALUE"""),"アダルト")</f>
        <v>アダルト</v>
      </c>
      <c r="J3652" s="22"/>
      <c r="K3652" s="22"/>
      <c r="L3652" s="22" t="str">
        <f>IFERROR(__xludf.DUMMYFUNCTION("""COMPUTED_VALUE"""),"アド・グッド")</f>
        <v>アド・グッド</v>
      </c>
      <c r="M3652" s="33">
        <f>IFERROR(__xludf.DUMMYFUNCTION("""COMPUTED_VALUE"""),45869.0)</f>
        <v>45869</v>
      </c>
      <c r="N3652" s="33">
        <f>IFERROR(__xludf.DUMMYFUNCTION("""COMPUTED_VALUE"""),45924.0)</f>
        <v>45924</v>
      </c>
      <c r="O3652" s="20"/>
      <c r="P3652" s="32" t="str">
        <f>IFERROR(__xludf.DUMMYFUNCTION("""COMPUTED_VALUE"""),"可")</f>
        <v>可</v>
      </c>
      <c r="Q3652" s="30"/>
      <c r="R3652" s="22" t="str">
        <f>IFERROR(__xludf.DUMMYFUNCTION("""COMPUTED_VALUE"""),"コミットOK")</f>
        <v>コミットOK</v>
      </c>
      <c r="S3652" s="22" t="str">
        <f>IFERROR(__xludf.DUMMYFUNCTION("""COMPUTED_VALUE"""),"20250620_アドグッド_妻を寝取らせた俺は、間違っていたのだろうか。")</f>
        <v>20250620_アドグッド_妻を寝取らせた俺は、間違っていたのだろうか。</v>
      </c>
      <c r="T3652" s="22" t="str">
        <f>IFERROR(__xludf.DUMMYFUNCTION("""COMPUTED_VALUE"""),"格納済み")</f>
        <v>格納済み</v>
      </c>
      <c r="U3652" s="9" t="str">
        <f>IFERROR(__xludf.DUMMYFUNCTION("""COMPUTED_VALUE"""),"(C)どうしょく/泡未アオ/もえまん")</f>
        <v>(C)どうしょく/泡未アオ/もえまん</v>
      </c>
      <c r="V3652" s="8"/>
      <c r="W3652" s="8"/>
      <c r="X3652" s="8" t="str">
        <f>IFERROR(__xludf.DUMMYFUNCTION("""COMPUTED_VALUE"""),"有")</f>
        <v>有</v>
      </c>
      <c r="Y3652" s="8" t="str">
        <f>IFERROR(__xludf.DUMMYFUNCTION("""COMPUTED_VALUE"""),"P7まで")</f>
        <v>P7まで</v>
      </c>
      <c r="Z3652" s="7"/>
      <c r="AA3652" s="7"/>
      <c r="AB3652" s="7"/>
    </row>
    <row r="3653" ht="15.75" customHeight="1">
      <c r="A3653" s="26">
        <f>IFERROR(__xludf.DUMMYFUNCTION("""COMPUTED_VALUE"""),5892.0)</f>
        <v>5892</v>
      </c>
      <c r="B3653" s="22" t="str">
        <f>IFERROR(__xludf.DUMMYFUNCTION("""COMPUTED_VALUE"""),"確定")</f>
        <v>確定</v>
      </c>
      <c r="C3653" s="28">
        <f>IFERROR(__xludf.DUMMYFUNCTION("""COMPUTED_VALUE"""),45828.0)</f>
        <v>45828</v>
      </c>
      <c r="D3653" s="28">
        <f>IFERROR(__xludf.DUMMYFUNCTION("""COMPUTED_VALUE"""),45856.0)</f>
        <v>45856</v>
      </c>
      <c r="E3653" s="26">
        <f>IFERROR(__xludf.DUMMYFUNCTION("""COMPUTED_VALUE"""),331089.0)</f>
        <v>331089</v>
      </c>
      <c r="F3653" s="22" t="str">
        <f>IFERROR(__xludf.DUMMYFUNCTION("""COMPUTED_VALUE"""),"文系カノジョと濃密エッチ～清楚なあの子は淫乱痴女だった～")</f>
        <v>文系カノジョと濃密エッチ～清楚なあの子は淫乱痴女だった～</v>
      </c>
      <c r="G3653" s="20">
        <f>IFERROR(__xludf.DUMMYFUNCTION("""COMPUTED_VALUE"""),1.0)</f>
        <v>1</v>
      </c>
      <c r="H3653" s="22" t="str">
        <f>IFERROR(__xludf.DUMMYFUNCTION("""COMPUTED_VALUE"""),"ぷちしょく┴ぽやむ┴もえまん")</f>
        <v>ぷちしょく┴ぽやむ┴もえまん</v>
      </c>
      <c r="I3653" s="22" t="str">
        <f>IFERROR(__xludf.DUMMYFUNCTION("""COMPUTED_VALUE"""),"アダルト")</f>
        <v>アダルト</v>
      </c>
      <c r="J3653" s="22"/>
      <c r="K3653" s="22"/>
      <c r="L3653" s="22" t="str">
        <f>IFERROR(__xludf.DUMMYFUNCTION("""COMPUTED_VALUE"""),"アド・グッド")</f>
        <v>アド・グッド</v>
      </c>
      <c r="M3653" s="33">
        <f>IFERROR(__xludf.DUMMYFUNCTION("""COMPUTED_VALUE"""),45869.0)</f>
        <v>45869</v>
      </c>
      <c r="N3653" s="33">
        <f>IFERROR(__xludf.DUMMYFUNCTION("""COMPUTED_VALUE"""),45924.0)</f>
        <v>45924</v>
      </c>
      <c r="O3653" s="20"/>
      <c r="P3653" s="32" t="str">
        <f>IFERROR(__xludf.DUMMYFUNCTION("""COMPUTED_VALUE"""),"可")</f>
        <v>可</v>
      </c>
      <c r="Q3653" s="30"/>
      <c r="R3653" s="22" t="str">
        <f>IFERROR(__xludf.DUMMYFUNCTION("""COMPUTED_VALUE"""),"コミットOK")</f>
        <v>コミットOK</v>
      </c>
      <c r="S3653" s="22" t="str">
        <f>IFERROR(__xludf.DUMMYFUNCTION("""COMPUTED_VALUE"""),"20250620_アドグッド_文系カノジョと濃密エッチ～清楚なあの子は淫乱痴女だった～")</f>
        <v>20250620_アドグッド_文系カノジョと濃密エッチ～清楚なあの子は淫乱痴女だった～</v>
      </c>
      <c r="T3653" s="22" t="str">
        <f>IFERROR(__xludf.DUMMYFUNCTION("""COMPUTED_VALUE"""),"格納済み")</f>
        <v>格納済み</v>
      </c>
      <c r="U3653" s="9" t="str">
        <f>IFERROR(__xludf.DUMMYFUNCTION("""COMPUTED_VALUE"""),"(C)ぷちしょく/ぽやむ/もえまん")</f>
        <v>(C)ぷちしょく/ぽやむ/もえまん</v>
      </c>
      <c r="V3653" s="8"/>
      <c r="W3653" s="8"/>
      <c r="X3653" s="8" t="str">
        <f>IFERROR(__xludf.DUMMYFUNCTION("""COMPUTED_VALUE"""),"有")</f>
        <v>有</v>
      </c>
      <c r="Y3653" s="8" t="str">
        <f>IFERROR(__xludf.DUMMYFUNCTION("""COMPUTED_VALUE"""),"P6まで")</f>
        <v>P6まで</v>
      </c>
      <c r="Z3653" s="7"/>
      <c r="AA3653" s="7"/>
      <c r="AB3653" s="7"/>
    </row>
    <row r="3654" ht="15.75" customHeight="1">
      <c r="A3654" s="26">
        <f>IFERROR(__xludf.DUMMYFUNCTION("""COMPUTED_VALUE"""),5900.0)</f>
        <v>5900</v>
      </c>
      <c r="B3654" s="22" t="str">
        <f>IFERROR(__xludf.DUMMYFUNCTION("""COMPUTED_VALUE"""),"確定")</f>
        <v>確定</v>
      </c>
      <c r="C3654" s="28">
        <f>IFERROR(__xludf.DUMMYFUNCTION("""COMPUTED_VALUE"""),45831.0)</f>
        <v>45831</v>
      </c>
      <c r="D3654" s="28">
        <f>IFERROR(__xludf.DUMMYFUNCTION("""COMPUTED_VALUE"""),45861.0)</f>
        <v>45861</v>
      </c>
      <c r="E3654" s="26">
        <f>IFERROR(__xludf.DUMMYFUNCTION("""COMPUTED_VALUE"""),332288.0)</f>
        <v>332288</v>
      </c>
      <c r="F3654" s="22" t="str">
        <f>IFERROR(__xludf.DUMMYFUNCTION("""COMPUTED_VALUE"""),"陰キャ後輩くんの正体は強引絶倫男でした～毎晩の執着エッチに身が持ちません～【単話版】")</f>
        <v>陰キャ後輩くんの正体は強引絶倫男でした～毎晩の執着エッチに身が持ちません～【単話版】</v>
      </c>
      <c r="G3654" s="20" t="str">
        <f>IFERROR(__xludf.DUMMYFUNCTION("""COMPUTED_VALUE"""),"1～4")</f>
        <v>1～4</v>
      </c>
      <c r="H3654" s="22" t="str">
        <f>IFERROR(__xludf.DUMMYFUNCTION("""COMPUTED_VALUE"""),"結城つぶら")</f>
        <v>結城つぶら</v>
      </c>
      <c r="I3654" s="22" t="str">
        <f>IFERROR(__xludf.DUMMYFUNCTION("""COMPUTED_VALUE"""),"TL")</f>
        <v>TL</v>
      </c>
      <c r="J3654" s="22"/>
      <c r="K3654" s="22" t="str">
        <f>IFERROR(__xludf.DUMMYFUNCTION("""COMPUTED_VALUE"""),"-")</f>
        <v>-</v>
      </c>
      <c r="L3654" s="22" t="str">
        <f>IFERROR(__xludf.DUMMYFUNCTION("""COMPUTED_VALUE"""),"デジタルカタパルト（デジカタ編集部）")</f>
        <v>デジタルカタパルト（デジカタ編集部）</v>
      </c>
      <c r="M3654" s="33">
        <f>IFERROR(__xludf.DUMMYFUNCTION("""COMPUTED_VALUE"""),45892.0)</f>
        <v>45892</v>
      </c>
      <c r="N3654" s="33">
        <f>IFERROR(__xludf.DUMMYFUNCTION("""COMPUTED_VALUE"""),45922.0)</f>
        <v>45922</v>
      </c>
      <c r="O3654" s="20"/>
      <c r="P3654" s="32" t="str">
        <f>IFERROR(__xludf.DUMMYFUNCTION("""COMPUTED_VALUE"""),"可")</f>
        <v>可</v>
      </c>
      <c r="Q3654" s="30" t="str">
        <f>IFERROR(__xludf.DUMMYFUNCTION("""COMPUTED_VALUE"""),"&lt;BR&gt;&lt;BR&gt;&lt;BR&gt;")</f>
        <v>&lt;BR&gt;&lt;BR&gt;&lt;BR&gt;</v>
      </c>
      <c r="R3654" s="22" t="str">
        <f>IFERROR(__xludf.DUMMYFUNCTION("""COMPUTED_VALUE"""),"コミットNG")</f>
        <v>コミットNG</v>
      </c>
      <c r="S3654" s="22" t="str">
        <f>IFERROR(__xludf.DUMMYFUNCTION("""COMPUTED_VALUE"""),"20250717_デジカタ編集部_陰キャ後輩くんの正体は強引絶倫男でした～毎晩の執着エッチに身が持ちません～")</f>
        <v>20250717_デジカタ編集部_陰キャ後輩くんの正体は強引絶倫男でした～毎晩の執着エッチに身が持ちません～</v>
      </c>
      <c r="T3654" s="22" t="str">
        <f>IFERROR(__xludf.DUMMYFUNCTION("""COMPUTED_VALUE"""),"格納済み")</f>
        <v>格納済み</v>
      </c>
      <c r="U3654" s="9" t="str">
        <f>IFERROR(__xludf.DUMMYFUNCTION("""COMPUTED_VALUE"""),"Ⓒ結城つぶら/デジカタ編集部")</f>
        <v>Ⓒ結城つぶら/デジカタ編集部</v>
      </c>
      <c r="V3654" s="8"/>
      <c r="W3654" s="8"/>
      <c r="X3654" s="8" t="str">
        <f>IFERROR(__xludf.DUMMYFUNCTION("""COMPUTED_VALUE"""),"有")</f>
        <v>有</v>
      </c>
      <c r="Y3654" s="8" t="str">
        <f>IFERROR(__xludf.DUMMYFUNCTION("""COMPUTED_VALUE"""),"P12まで")</f>
        <v>P12まで</v>
      </c>
      <c r="Z3654" s="7"/>
      <c r="AA3654" s="7"/>
      <c r="AB3654" s="7"/>
    </row>
    <row r="3655" ht="15.75" customHeight="1">
      <c r="A3655" s="26">
        <f>IFERROR(__xludf.DUMMYFUNCTION("""COMPUTED_VALUE"""),5913.0)</f>
        <v>5913</v>
      </c>
      <c r="B3655" s="22" t="str">
        <f>IFERROR(__xludf.DUMMYFUNCTION("""COMPUTED_VALUE"""),"確定")</f>
        <v>確定</v>
      </c>
      <c r="C3655" s="28">
        <f>IFERROR(__xludf.DUMMYFUNCTION("""COMPUTED_VALUE"""),45831.0)</f>
        <v>45831</v>
      </c>
      <c r="D3655" s="28">
        <f>IFERROR(__xludf.DUMMYFUNCTION("""COMPUTED_VALUE"""),45860.0)</f>
        <v>45860</v>
      </c>
      <c r="E3655" s="26">
        <f>IFERROR(__xludf.DUMMYFUNCTION("""COMPUTED_VALUE"""),332026.0)</f>
        <v>332026</v>
      </c>
      <c r="F3655" s="22" t="str">
        <f>IFERROR(__xludf.DUMMYFUNCTION("""COMPUTED_VALUE"""),"殿下とは契約結婚のはずですがっ！～婚約破棄は熱愛の始まり～【分冊版】")</f>
        <v>殿下とは契約結婚のはずですがっ！～婚約破棄は熱愛の始まり～【分冊版】</v>
      </c>
      <c r="G3655" s="20" t="str">
        <f>IFERROR(__xludf.DUMMYFUNCTION("""COMPUTED_VALUE"""),"1～2")</f>
        <v>1～2</v>
      </c>
      <c r="H3655" s="22" t="str">
        <f>IFERROR(__xludf.DUMMYFUNCTION("""COMPUTED_VALUE"""),"宴,マチバリ")</f>
        <v>宴,マチバリ</v>
      </c>
      <c r="I3655" s="22" t="str">
        <f>IFERROR(__xludf.DUMMYFUNCTION("""COMPUTED_VALUE"""),"TL")</f>
        <v>TL</v>
      </c>
      <c r="J3655" s="22"/>
      <c r="K3655" s="22" t="str">
        <f>IFERROR(__xludf.DUMMYFUNCTION("""COMPUTED_VALUE"""),"乙女ドルチェ・コミックス")</f>
        <v>乙女ドルチェ・コミックス</v>
      </c>
      <c r="L3655" s="22" t="str">
        <f>IFERROR(__xludf.DUMMYFUNCTION("""COMPUTED_VALUE"""),"乙女ドルチェ・コミックス")</f>
        <v>乙女ドルチェ・コミックス</v>
      </c>
      <c r="M3655" s="33">
        <f>IFERROR(__xludf.DUMMYFUNCTION("""COMPUTED_VALUE"""),45888.0)</f>
        <v>45888</v>
      </c>
      <c r="N3655" s="33">
        <f>IFERROR(__xludf.DUMMYFUNCTION("""COMPUTED_VALUE"""),45946.0)</f>
        <v>45946</v>
      </c>
      <c r="O3655" s="20"/>
      <c r="P3655" s="32" t="str">
        <f>IFERROR(__xludf.DUMMYFUNCTION("""COMPUTED_VALUE"""),"可")</f>
        <v>可</v>
      </c>
      <c r="Q3655" s="30"/>
      <c r="R3655" s="22" t="str">
        <f>IFERROR(__xludf.DUMMYFUNCTION("""COMPUTED_VALUE"""),"コミットNG")</f>
        <v>コミットNG</v>
      </c>
      <c r="S3655" s="22" t="str">
        <f>IFERROR(__xludf.DUMMYFUNCTION("""COMPUTED_VALUE"""),"20250722_乙女ドルチェ_殿下とは契約結婚のはずですがっ！～婚約破棄は熱愛の始まり～")</f>
        <v>20250722_乙女ドルチェ_殿下とは契約結婚のはずですがっ！～婚約破棄は熱愛の始まり～</v>
      </c>
      <c r="T3655" s="22" t="str">
        <f>IFERROR(__xludf.DUMMYFUNCTION("""COMPUTED_VALUE"""),"格納済み")</f>
        <v>格納済み</v>
      </c>
      <c r="U3655" s="9" t="str">
        <f>IFERROR(__xludf.DUMMYFUNCTION("""COMPUTED_VALUE"""),"（C)宴・マチバリ／ハーパーコリンズ・ジャパン")</f>
        <v>（C)宴・マチバリ／ハーパーコリンズ・ジャパン</v>
      </c>
      <c r="V3655" s="8"/>
      <c r="W3655" s="8"/>
      <c r="X3655" s="8" t="str">
        <f>IFERROR(__xludf.DUMMYFUNCTION("""COMPUTED_VALUE"""),"有")</f>
        <v>有</v>
      </c>
      <c r="Y3655" s="8" t="str">
        <f>IFERROR(__xludf.DUMMYFUNCTION("""COMPUTED_VALUE"""),"2025/9/17まで1巻立ち読み増量(P16)")</f>
        <v>2025/9/17まで1巻立ち読み増量(P16)</v>
      </c>
      <c r="Z3655" s="7"/>
      <c r="AA3655" s="7"/>
      <c r="AB3655" s="7"/>
    </row>
    <row r="3656" ht="15.75" customHeight="1">
      <c r="A3656" s="26">
        <f>IFERROR(__xludf.DUMMYFUNCTION("""COMPUTED_VALUE"""),5948.0)</f>
        <v>5948</v>
      </c>
      <c r="B3656" s="22" t="str">
        <f>IFERROR(__xludf.DUMMYFUNCTION("""COMPUTED_VALUE"""),"確定")</f>
        <v>確定</v>
      </c>
      <c r="C3656" s="28">
        <f>IFERROR(__xludf.DUMMYFUNCTION("""COMPUTED_VALUE"""),45838.0)</f>
        <v>45838</v>
      </c>
      <c r="D3656" s="28">
        <f>IFERROR(__xludf.DUMMYFUNCTION("""COMPUTED_VALUE"""),45861.0)</f>
        <v>45861</v>
      </c>
      <c r="E3656" s="26">
        <f>IFERROR(__xludf.DUMMYFUNCTION("""COMPUTED_VALUE"""),333581.0)</f>
        <v>333581</v>
      </c>
      <c r="F3656" s="22" t="str">
        <f>IFERROR(__xludf.DUMMYFUNCTION("""COMPUTED_VALUE"""),"一途な律くんのいちゃとろ愛撫 甘やかし幼馴染の「好き」がとまらない！")</f>
        <v>一途な律くんのいちゃとろ愛撫 甘やかし幼馴染の「好き」がとまらない！</v>
      </c>
      <c r="G3656" s="20" t="str">
        <f>IFERROR(__xludf.DUMMYFUNCTION("""COMPUTED_VALUE"""),"1～3")</f>
        <v>1～3</v>
      </c>
      <c r="H3656" s="22" t="str">
        <f>IFERROR(__xludf.DUMMYFUNCTION("""COMPUTED_VALUE"""),"政れお")</f>
        <v>政れお</v>
      </c>
      <c r="I3656" s="22" t="str">
        <f>IFERROR(__xludf.DUMMYFUNCTION("""COMPUTED_VALUE"""),"TL")</f>
        <v>TL</v>
      </c>
      <c r="J3656" s="22"/>
      <c r="K3656" s="22" t="str">
        <f>IFERROR(__xludf.DUMMYFUNCTION("""COMPUTED_VALUE"""),"lou lou")</f>
        <v>lou lou</v>
      </c>
      <c r="L3656" s="22" t="str">
        <f>IFERROR(__xludf.DUMMYFUNCTION("""COMPUTED_VALUE"""),"渋谷六花舎")</f>
        <v>渋谷六花舎</v>
      </c>
      <c r="M3656" s="33">
        <f>IFERROR(__xludf.DUMMYFUNCTION("""COMPUTED_VALUE"""),45903.0)</f>
        <v>45903</v>
      </c>
      <c r="N3656" s="33">
        <f>IFERROR(__xludf.DUMMYFUNCTION("""COMPUTED_VALUE"""),45993.0)</f>
        <v>45993</v>
      </c>
      <c r="O3656" s="20"/>
      <c r="P3656" s="32" t="str">
        <f>IFERROR(__xludf.DUMMYFUNCTION("""COMPUTED_VALUE"""),"可")</f>
        <v>可</v>
      </c>
      <c r="Q3656" s="30" t="str">
        <f>IFERROR(__xludf.DUMMYFUNCTION("""COMPUTED_VALUE"""),"素材は3分割して、初回1～3巻として配信(2次先行扱いになります)")</f>
        <v>素材は3分割して、初回1～3巻として配信(2次先行扱いになります)</v>
      </c>
      <c r="R3656" s="22" t="str">
        <f>IFERROR(__xludf.DUMMYFUNCTION("""COMPUTED_VALUE"""),"コミットOK")</f>
        <v>コミットOK</v>
      </c>
      <c r="S3656" s="22" t="str">
        <f>IFERROR(__xludf.DUMMYFUNCTION("""COMPUTED_VALUE"""),"20250717_渋谷六花舎_一途な律くんのいちゃとろ愛撫 甘やかし幼馴染の「好き」がとまらない！")</f>
        <v>20250717_渋谷六花舎_一途な律くんのいちゃとろ愛撫 甘やかし幼馴染の「好き」がとまらない！</v>
      </c>
      <c r="T3656" s="22" t="str">
        <f>IFERROR(__xludf.DUMMYFUNCTION("""COMPUTED_VALUE"""),"格納済み")</f>
        <v>格納済み</v>
      </c>
      <c r="U3656" s="9" t="str">
        <f>IFERROR(__xludf.DUMMYFUNCTION("""COMPUTED_VALUE"""),"（C）政れお/lou lou")</f>
        <v>（C）政れお/lou lou</v>
      </c>
      <c r="V3656" s="8"/>
      <c r="W3656" s="8"/>
      <c r="X3656" s="8" t="str">
        <f>IFERROR(__xludf.DUMMYFUNCTION("""COMPUTED_VALUE"""),"有")</f>
        <v>有</v>
      </c>
      <c r="Y3656" s="8" t="str">
        <f>IFERROR(__xludf.DUMMYFUNCTION("""COMPUTED_VALUE"""),"P10まで")</f>
        <v>P10まで</v>
      </c>
      <c r="Z3656" s="7"/>
      <c r="AA3656" s="7"/>
      <c r="AB3656" s="7"/>
    </row>
    <row r="3657" ht="15.75" customHeight="1">
      <c r="A3657" s="26">
        <f>IFERROR(__xludf.DUMMYFUNCTION("""COMPUTED_VALUE"""),6002.0)</f>
        <v>6002</v>
      </c>
      <c r="B3657" s="22" t="str">
        <f>IFERROR(__xludf.DUMMYFUNCTION("""COMPUTED_VALUE"""),"確定")</f>
        <v>確定</v>
      </c>
      <c r="C3657" s="28">
        <f>IFERROR(__xludf.DUMMYFUNCTION("""COMPUTED_VALUE"""),45845.0)</f>
        <v>45845</v>
      </c>
      <c r="D3657" s="28">
        <f>IFERROR(__xludf.DUMMYFUNCTION("""COMPUTED_VALUE"""),45856.0)</f>
        <v>45856</v>
      </c>
      <c r="E3657" s="26">
        <f>IFERROR(__xludf.DUMMYFUNCTION("""COMPUTED_VALUE"""),332285.0)</f>
        <v>332285</v>
      </c>
      <c r="F3657" s="22" t="str">
        <f>IFERROR(__xludf.DUMMYFUNCTION("""COMPUTED_VALUE"""),"異世界では現代コスメが無敵でした  分冊版")</f>
        <v>異世界では現代コスメが無敵でした  分冊版</v>
      </c>
      <c r="G3657" s="20" t="str">
        <f>IFERROR(__xludf.DUMMYFUNCTION("""COMPUTED_VALUE"""),"1～4")</f>
        <v>1～4</v>
      </c>
      <c r="H3657" s="22" t="str">
        <f>IFERROR(__xludf.DUMMYFUNCTION("""COMPUTED_VALUE"""),"真冬日/椎名明")</f>
        <v>真冬日/椎名明</v>
      </c>
      <c r="I3657" s="22" t="str">
        <f>IFERROR(__xludf.DUMMYFUNCTION("""COMPUTED_VALUE"""),"女性ジャンル")</f>
        <v>女性ジャンル</v>
      </c>
      <c r="J3657" s="22"/>
      <c r="K3657" s="22"/>
      <c r="L3657" s="22" t="str">
        <f>IFERROR(__xludf.DUMMYFUNCTION("""COMPUTED_VALUE"""),"コアミックス")</f>
        <v>コアミックス</v>
      </c>
      <c r="M3657" s="33">
        <f>IFERROR(__xludf.DUMMYFUNCTION("""COMPUTED_VALUE"""),45884.0)</f>
        <v>45884</v>
      </c>
      <c r="N3657" s="33">
        <f>IFERROR(__xludf.DUMMYFUNCTION("""COMPUTED_VALUE"""),45967.0)</f>
        <v>45967</v>
      </c>
      <c r="O3657" s="20"/>
      <c r="P3657" s="32" t="str">
        <f>IFERROR(__xludf.DUMMYFUNCTION("""COMPUTED_VALUE"""),"可")</f>
        <v>可</v>
      </c>
      <c r="Q3657" s="30" t="str">
        <f>IFERROR(__xludf.DUMMYFUNCTION("""COMPUTED_VALUE"""),"冒頭1話無料です！")</f>
        <v>冒頭1話無料です！</v>
      </c>
      <c r="R3657" s="22" t="str">
        <f>IFERROR(__xludf.DUMMYFUNCTION("""COMPUTED_VALUE"""),"コミットNG")</f>
        <v>コミットNG</v>
      </c>
      <c r="S3657" s="22" t="str">
        <f>IFERROR(__xludf.DUMMYFUNCTION("""COMPUTED_VALUE"""),"20250815_コアミックス__異世界では現代コスメが無敵でした")</f>
        <v>20250815_コアミックス__異世界では現代コスメが無敵でした</v>
      </c>
      <c r="T3657" s="22" t="str">
        <f>IFERROR(__xludf.DUMMYFUNCTION("""COMPUTED_VALUE"""),"格納済み")</f>
        <v>格納済み</v>
      </c>
      <c r="U3657" s="9" t="str">
        <f>IFERROR(__xludf.DUMMYFUNCTION("""COMPUTED_VALUE"""),"Ⓒ︎真冬日・椎名明／コアミックス")</f>
        <v>Ⓒ︎真冬日・椎名明／コアミックス</v>
      </c>
      <c r="V3657" s="8"/>
      <c r="W3657" s="8"/>
      <c r="X3657" s="8" t="str">
        <f>IFERROR(__xludf.DUMMYFUNCTION("""COMPUTED_VALUE"""),"有")</f>
        <v>有</v>
      </c>
      <c r="Y3657" s="8" t="str">
        <f>IFERROR(__xludf.DUMMYFUNCTION("""COMPUTED_VALUE"""),"2025/11/6まで1巻無料")</f>
        <v>2025/11/6まで1巻無料</v>
      </c>
      <c r="Z3657" s="7"/>
      <c r="AA3657" s="7"/>
      <c r="AB3657" s="7"/>
    </row>
    <row r="3658" ht="15.75" customHeight="1">
      <c r="A3658" s="26">
        <f>IFERROR(__xludf.DUMMYFUNCTION("""COMPUTED_VALUE"""),6004.0)</f>
        <v>6004</v>
      </c>
      <c r="B3658" s="22" t="str">
        <f>IFERROR(__xludf.DUMMYFUNCTION("""COMPUTED_VALUE"""),"確定")</f>
        <v>確定</v>
      </c>
      <c r="C3658" s="28">
        <f>IFERROR(__xludf.DUMMYFUNCTION("""COMPUTED_VALUE"""),45845.0)</f>
        <v>45845</v>
      </c>
      <c r="D3658" s="28">
        <f>IFERROR(__xludf.DUMMYFUNCTION("""COMPUTED_VALUE"""),45860.0)</f>
        <v>45860</v>
      </c>
      <c r="E3658" s="26">
        <f>IFERROR(__xludf.DUMMYFUNCTION("""COMPUTED_VALUE"""),332942.0)</f>
        <v>332942</v>
      </c>
      <c r="F3658" s="22" t="str">
        <f>IFERROR(__xludf.DUMMYFUNCTION("""COMPUTED_VALUE"""),"没落令嬢だけど何故か王子さまに溺愛されています【単話売】")</f>
        <v>没落令嬢だけど何故か王子さまに溺愛されています【単話売】</v>
      </c>
      <c r="G3658" s="20" t="str">
        <f>IFERROR(__xludf.DUMMYFUNCTION("""COMPUTED_VALUE"""),"1～3")</f>
        <v>1～3</v>
      </c>
      <c r="H3658" s="22" t="str">
        <f>IFERROR(__xludf.DUMMYFUNCTION("""COMPUTED_VALUE"""),"白崎詩乃/園内かな/ちょめ仔")</f>
        <v>白崎詩乃/園内かな/ちょめ仔</v>
      </c>
      <c r="I3658" s="22" t="str">
        <f>IFERROR(__xludf.DUMMYFUNCTION("""COMPUTED_VALUE"""),"TL")</f>
        <v>TL</v>
      </c>
      <c r="J3658" s="22"/>
      <c r="K3658" s="22" t="str">
        <f>IFERROR(__xludf.DUMMYFUNCTION("""COMPUTED_VALUE"""),"恋愛白書シェリーKiss")</f>
        <v>恋愛白書シェリーKiss</v>
      </c>
      <c r="L3658" s="22" t="str">
        <f>IFERROR(__xludf.DUMMYFUNCTION("""COMPUTED_VALUE"""),"宙出版")</f>
        <v>宙出版</v>
      </c>
      <c r="M3658" s="33">
        <f>IFERROR(__xludf.DUMMYFUNCTION("""COMPUTED_VALUE"""),45901.0)</f>
        <v>45901</v>
      </c>
      <c r="N3658" s="33">
        <f>IFERROR(__xludf.DUMMYFUNCTION("""COMPUTED_VALUE"""),45961.0)</f>
        <v>45961</v>
      </c>
      <c r="O3658" s="20"/>
      <c r="P3658" s="32" t="str">
        <f>IFERROR(__xludf.DUMMYFUNCTION("""COMPUTED_VALUE"""),"可")</f>
        <v>可</v>
      </c>
      <c r="Q3658" s="30"/>
      <c r="R3658" s="22" t="str">
        <f>IFERROR(__xludf.DUMMYFUNCTION("""COMPUTED_VALUE"""),"コミットOK")</f>
        <v>コミットOK</v>
      </c>
      <c r="S3658" s="22" t="str">
        <f>IFERROR(__xludf.DUMMYFUNCTION("""COMPUTED_VALUE"""),"20250722_宙出版_没落令嬢だけど何故か王子さまに溺愛されています【単話売】")</f>
        <v>20250722_宙出版_没落令嬢だけど何故か王子さまに溺愛されています【単話売】</v>
      </c>
      <c r="T3658" s="22" t="str">
        <f>IFERROR(__xludf.DUMMYFUNCTION("""COMPUTED_VALUE"""),"格納済み")</f>
        <v>格納済み</v>
      </c>
      <c r="U3658" s="9" t="str">
        <f>IFERROR(__xludf.DUMMYFUNCTION("""COMPUTED_VALUE"""),"Ⓒ白崎詩乃/園内かな/ちょめ仔/宙出版")</f>
        <v>Ⓒ白崎詩乃/園内かな/ちょめ仔/宙出版</v>
      </c>
      <c r="V3658" s="8"/>
      <c r="W3658" s="8"/>
      <c r="X3658" s="8" t="str">
        <f>IFERROR(__xludf.DUMMYFUNCTION("""COMPUTED_VALUE"""),"有")</f>
        <v>有</v>
      </c>
      <c r="Y3658" s="8" t="str">
        <f>IFERROR(__xludf.DUMMYFUNCTION("""COMPUTED_VALUE"""),"P8まで")</f>
        <v>P8まで</v>
      </c>
      <c r="Z3658" s="7"/>
      <c r="AA3658" s="7"/>
      <c r="AB3658" s="7"/>
    </row>
    <row r="3659" ht="15.75" customHeight="1">
      <c r="A3659" s="26">
        <f>IFERROR(__xludf.DUMMYFUNCTION("""COMPUTED_VALUE"""),6013.0)</f>
        <v>6013</v>
      </c>
      <c r="B3659" s="22" t="str">
        <f>IFERROR(__xludf.DUMMYFUNCTION("""COMPUTED_VALUE"""),"確定")</f>
        <v>確定</v>
      </c>
      <c r="C3659" s="28">
        <f>IFERROR(__xludf.DUMMYFUNCTION("""COMPUTED_VALUE"""),45845.0)</f>
        <v>45845</v>
      </c>
      <c r="D3659" s="28">
        <f>IFERROR(__xludf.DUMMYFUNCTION("""COMPUTED_VALUE"""),45861.0)</f>
        <v>45861</v>
      </c>
      <c r="E3659" s="26">
        <f>IFERROR(__xludf.DUMMYFUNCTION("""COMPUTED_VALUE"""),333679.0)</f>
        <v>333679</v>
      </c>
      <c r="F3659" s="22" t="str">
        <f>IFERROR(__xludf.DUMMYFUNCTION("""COMPUTED_VALUE"""),"ひざまずいて、愛を乞え～御曹司の一途な愛執～")</f>
        <v>ひざまずいて、愛を乞え～御曹司の一途な愛執～</v>
      </c>
      <c r="G3659" s="20" t="str">
        <f>IFERROR(__xludf.DUMMYFUNCTION("""COMPUTED_VALUE"""),"1～3")</f>
        <v>1～3</v>
      </c>
      <c r="H3659" s="22" t="str">
        <f>IFERROR(__xludf.DUMMYFUNCTION("""COMPUTED_VALUE"""),"原作：あさぎ千夜春　作画：ゴゴちゃん")</f>
        <v>原作：あさぎ千夜春　作画：ゴゴちゃん</v>
      </c>
      <c r="I3659" s="22" t="str">
        <f>IFERROR(__xludf.DUMMYFUNCTION("""COMPUTED_VALUE"""),"女性")</f>
        <v>女性</v>
      </c>
      <c r="J3659" s="22"/>
      <c r="K3659" s="22"/>
      <c r="L3659" s="22" t="str">
        <f>IFERROR(__xludf.DUMMYFUNCTION("""COMPUTED_VALUE"""),"スタンダード（DTSパブリッシング）")</f>
        <v>スタンダード（DTSパブリッシング）</v>
      </c>
      <c r="M3659" s="33">
        <f>IFERROR(__xludf.DUMMYFUNCTION("""COMPUTED_VALUE"""),45905.0)</f>
        <v>45905</v>
      </c>
      <c r="N3659" s="33">
        <f>IFERROR(__xludf.DUMMYFUNCTION("""COMPUTED_VALUE"""),45995.0)</f>
        <v>45995</v>
      </c>
      <c r="O3659" s="20"/>
      <c r="P3659" s="32" t="str">
        <f>IFERROR(__xludf.DUMMYFUNCTION("""COMPUTED_VALUE"""),"可")</f>
        <v>可</v>
      </c>
      <c r="Q3659" s="30" t="str">
        <f>IFERROR(__xludf.DUMMYFUNCTION("""COMPUTED_VALUE"""),"初回配信1話無料。")</f>
        <v>初回配信1話無料。</v>
      </c>
      <c r="R3659" s="22" t="str">
        <f>IFERROR(__xludf.DUMMYFUNCTION("""COMPUTED_VALUE"""),"コミットOK")</f>
        <v>コミットOK</v>
      </c>
      <c r="S3659" s="22" t="str">
        <f>IFERROR(__xludf.DUMMYFUNCTION("""COMPUTED_VALUE"""),"20250718_DTSパブリッシング_ひざまずいて、愛を乞え～御曹司の一途な愛執～")</f>
        <v>20250718_DTSパブリッシング_ひざまずいて、愛を乞え～御曹司の一途な愛執～</v>
      </c>
      <c r="T3659" s="22" t="str">
        <f>IFERROR(__xludf.DUMMYFUNCTION("""COMPUTED_VALUE"""),"格納済み")</f>
        <v>格納済み</v>
      </c>
      <c r="U3659" s="9" t="str">
        <f>IFERROR(__xludf.DUMMYFUNCTION("""COMPUTED_VALUE"""),"Ⓒあさぎ千夜春/ゴゴちゃん/DTSパブリッシング        ")</f>
        <v>Ⓒあさぎ千夜春/ゴゴちゃん/DTSパブリッシング        </v>
      </c>
      <c r="V3659" s="8"/>
      <c r="W3659" s="8"/>
      <c r="X3659" s="8" t="str">
        <f>IFERROR(__xludf.DUMMYFUNCTION("""COMPUTED_VALUE"""),"有")</f>
        <v>有</v>
      </c>
      <c r="Y3659" s="8" t="str">
        <f>IFERROR(__xludf.DUMMYFUNCTION("""COMPUTED_VALUE"""),"P11まで")</f>
        <v>P11まで</v>
      </c>
      <c r="Z3659" s="7"/>
      <c r="AA3659" s="7"/>
      <c r="AB3659" s="7"/>
    </row>
    <row r="3660" ht="15.75" customHeight="1">
      <c r="A3660" s="26">
        <f>IFERROR(__xludf.DUMMYFUNCTION("""COMPUTED_VALUE"""),6037.0)</f>
        <v>6037</v>
      </c>
      <c r="B3660" s="22" t="str">
        <f>IFERROR(__xludf.DUMMYFUNCTION("""COMPUTED_VALUE"""),"確定")</f>
        <v>確定</v>
      </c>
      <c r="C3660" s="28">
        <f>IFERROR(__xludf.DUMMYFUNCTION("""COMPUTED_VALUE"""),45847.0)</f>
        <v>45847</v>
      </c>
      <c r="D3660" s="28">
        <f>IFERROR(__xludf.DUMMYFUNCTION("""COMPUTED_VALUE"""),45860.0)</f>
        <v>45860</v>
      </c>
      <c r="E3660" s="26">
        <f>IFERROR(__xludf.DUMMYFUNCTION("""COMPUTED_VALUE"""),332981.0)</f>
        <v>332981</v>
      </c>
      <c r="F3660" s="22" t="str">
        <f>IFERROR(__xludf.DUMMYFUNCTION("""COMPUTED_VALUE"""),"ハーレム相続【単話】")</f>
        <v>ハーレム相続【単話】</v>
      </c>
      <c r="G3660" s="20" t="str">
        <f>IFERROR(__xludf.DUMMYFUNCTION("""COMPUTED_VALUE"""),"1～5")</f>
        <v>1～5</v>
      </c>
      <c r="H3660" s="22" t="str">
        <f>IFERROR(__xludf.DUMMYFUNCTION("""COMPUTED_VALUE"""),"マサイ┴あしもとよいか")</f>
        <v>マサイ┴あしもとよいか</v>
      </c>
      <c r="I3660" s="22" t="str">
        <f>IFERROR(__xludf.DUMMYFUNCTION("""COMPUTED_VALUE"""),"青年")</f>
        <v>青年</v>
      </c>
      <c r="J3660" s="22"/>
      <c r="K3660" s="22" t="str">
        <f>IFERROR(__xludf.DUMMYFUNCTION("""COMPUTED_VALUE"""),"ビッグコミックス")</f>
        <v>ビッグコミックス</v>
      </c>
      <c r="L3660" s="22" t="str">
        <f>IFERROR(__xludf.DUMMYFUNCTION("""COMPUTED_VALUE"""),"小学館")</f>
        <v>小学館</v>
      </c>
      <c r="M3660" s="33">
        <f>IFERROR(__xludf.DUMMYFUNCTION("""COMPUTED_VALUE"""),45885.0)</f>
        <v>45885</v>
      </c>
      <c r="N3660" s="33">
        <f>IFERROR(__xludf.DUMMYFUNCTION("""COMPUTED_VALUE"""),45961.0)</f>
        <v>45961</v>
      </c>
      <c r="O3660" s="20"/>
      <c r="P3660" s="32" t="str">
        <f>IFERROR(__xludf.DUMMYFUNCTION("""COMPUTED_VALUE"""),"可")</f>
        <v>可</v>
      </c>
      <c r="Q3660" s="30" t="str">
        <f>IFERROR(__xludf.DUMMYFUNCTION("""COMPUTED_VALUE"""),"・広告クリエイティブの加工OK作品となります。&lt;BR&gt;・初回配信分フォルダ内、各話zipデータをご使用ください。")</f>
        <v>・広告クリエイティブの加工OK作品となります。&lt;BR&gt;・初回配信分フォルダ内、各話zipデータをご使用ください。</v>
      </c>
      <c r="R3660" s="22" t="str">
        <f>IFERROR(__xludf.DUMMYFUNCTION("""COMPUTED_VALUE"""),"コミットOK")</f>
        <v>コミットOK</v>
      </c>
      <c r="S3660" s="22" t="str">
        <f>IFERROR(__xludf.DUMMYFUNCTION("""COMPUTED_VALUE"""),"20250717_小学館_ハーレム相続【単話】")</f>
        <v>20250717_小学館_ハーレム相続【単話】</v>
      </c>
      <c r="T3660" s="22" t="str">
        <f>IFERROR(__xludf.DUMMYFUNCTION("""COMPUTED_VALUE"""),"格納済み")</f>
        <v>格納済み</v>
      </c>
      <c r="U3660" s="9" t="str">
        <f>IFERROR(__xludf.DUMMYFUNCTION("""COMPUTED_VALUE"""),"(C)マサイ・あしもとよいか / 小学館")</f>
        <v>(C)マサイ・あしもとよいか / 小学館</v>
      </c>
      <c r="V3660" s="8"/>
      <c r="W3660" s="8"/>
      <c r="X3660" s="8" t="str">
        <f>IFERROR(__xludf.DUMMYFUNCTION("""COMPUTED_VALUE"""),"有")</f>
        <v>有</v>
      </c>
      <c r="Y3660" s="8" t="str">
        <f>IFERROR(__xludf.DUMMYFUNCTION("""COMPUTED_VALUE"""),"P6まで")</f>
        <v>P6まで</v>
      </c>
      <c r="Z3660" s="7"/>
      <c r="AA3660" s="7"/>
      <c r="AB3660" s="7"/>
    </row>
    <row r="3661" ht="15.75" customHeight="1">
      <c r="A3661" s="26">
        <f>IFERROR(__xludf.DUMMYFUNCTION("""COMPUTED_VALUE"""),6080.0)</f>
        <v>6080</v>
      </c>
      <c r="B3661" s="22" t="str">
        <f>IFERROR(__xludf.DUMMYFUNCTION("""COMPUTED_VALUE"""),"確定")</f>
        <v>確定</v>
      </c>
      <c r="C3661" s="28">
        <f>IFERROR(__xludf.DUMMYFUNCTION("""COMPUTED_VALUE"""),45852.0)</f>
        <v>45852</v>
      </c>
      <c r="D3661" s="28">
        <f>IFERROR(__xludf.DUMMYFUNCTION("""COMPUTED_VALUE"""),45860.0)</f>
        <v>45860</v>
      </c>
      <c r="E3661" s="26">
        <f>IFERROR(__xludf.DUMMYFUNCTION("""COMPUTED_VALUE"""),325161.0)</f>
        <v>325161</v>
      </c>
      <c r="F3661" s="22" t="str">
        <f>IFERROR(__xludf.DUMMYFUNCTION("""COMPUTED_VALUE"""),"カーテンコールが聴こえたら")</f>
        <v>カーテンコールが聴こえたら</v>
      </c>
      <c r="G3661" s="20">
        <f>IFERROR(__xludf.DUMMYFUNCTION("""COMPUTED_VALUE"""),1.0)</f>
        <v>1</v>
      </c>
      <c r="H3661" s="22" t="str">
        <f>IFERROR(__xludf.DUMMYFUNCTION("""COMPUTED_VALUE"""),"嶋二")</f>
        <v>嶋二</v>
      </c>
      <c r="I3661" s="22" t="str">
        <f>IFERROR(__xludf.DUMMYFUNCTION("""COMPUTED_VALUE"""),"BLマンガ")</f>
        <v>BLマンガ</v>
      </c>
      <c r="J3661" s="22"/>
      <c r="K3661" s="22" t="str">
        <f>IFERROR(__xludf.DUMMYFUNCTION("""COMPUTED_VALUE"""),"Ficus")</f>
        <v>Ficus</v>
      </c>
      <c r="L3661" s="22" t="str">
        <f>IFERROR(__xludf.DUMMYFUNCTION("""COMPUTED_VALUE"""),"シーモアコミックス")</f>
        <v>シーモアコミックス</v>
      </c>
      <c r="M3661" s="33">
        <f>IFERROR(__xludf.DUMMYFUNCTION("""COMPUTED_VALUE"""),45886.0)</f>
        <v>45886</v>
      </c>
      <c r="N3661" s="33">
        <f>IFERROR(__xludf.DUMMYFUNCTION("""COMPUTED_VALUE"""),46072.70833333333)</f>
        <v>46072.70833</v>
      </c>
      <c r="O3661" s="20"/>
      <c r="P3661" s="32" t="str">
        <f>IFERROR(__xludf.DUMMYFUNCTION("""COMPUTED_VALUE"""),"可")</f>
        <v>可</v>
      </c>
      <c r="Q3661" s="30"/>
      <c r="R3661" s="22"/>
      <c r="S3661" s="22" t="str">
        <f>IFERROR(__xludf.DUMMYFUNCTION("""COMPUTED_VALUE"""),"20250714_シーモアコミックス_カーテンコールが聴こえたら")</f>
        <v>20250714_シーモアコミックス_カーテンコールが聴こえたら</v>
      </c>
      <c r="T3661" s="22" t="str">
        <f>IFERROR(__xludf.DUMMYFUNCTION("""COMPUTED_VALUE"""),"格納済み")</f>
        <v>格納済み</v>
      </c>
      <c r="U3661" s="9" t="str">
        <f>IFERROR(__xludf.DUMMYFUNCTION("""COMPUTED_VALUE"""),"(C) 嶋二/シーモアコミックス")</f>
        <v>(C) 嶋二/シーモアコミックス</v>
      </c>
      <c r="V3661" s="8"/>
      <c r="W3661" s="8"/>
      <c r="X3661" s="8" t="str">
        <f>IFERROR(__xludf.DUMMYFUNCTION("""COMPUTED_VALUE"""),"有")</f>
        <v>有</v>
      </c>
      <c r="Y3661" s="8" t="str">
        <f>IFERROR(__xludf.DUMMYFUNCTION("""COMPUTED_VALUE"""),"2025/9/13まで1巻立ち読み増量(P14)")</f>
        <v>2025/9/13まで1巻立ち読み増量(P14)</v>
      </c>
      <c r="Z3661" s="7"/>
      <c r="AA3661" s="7"/>
      <c r="AB3661" s="7"/>
    </row>
    <row r="3662" ht="15.75" customHeight="1">
      <c r="A3662" s="26">
        <f>IFERROR(__xludf.DUMMYFUNCTION("""COMPUTED_VALUE"""),6081.0)</f>
        <v>6081</v>
      </c>
      <c r="B3662" s="22" t="str">
        <f>IFERROR(__xludf.DUMMYFUNCTION("""COMPUTED_VALUE"""),"確定")</f>
        <v>確定</v>
      </c>
      <c r="C3662" s="28">
        <f>IFERROR(__xludf.DUMMYFUNCTION("""COMPUTED_VALUE"""),45852.0)</f>
        <v>45852</v>
      </c>
      <c r="D3662" s="28">
        <f>IFERROR(__xludf.DUMMYFUNCTION("""COMPUTED_VALUE"""),45861.0)</f>
        <v>45861</v>
      </c>
      <c r="E3662" s="26">
        <f>IFERROR(__xludf.DUMMYFUNCTION("""COMPUTED_VALUE"""),317955.0)</f>
        <v>317955</v>
      </c>
      <c r="F3662" s="22" t="str">
        <f>IFERROR(__xludf.DUMMYFUNCTION("""COMPUTED_VALUE"""),"てのひらの恋とか愛")</f>
        <v>てのひらの恋とか愛</v>
      </c>
      <c r="G3662" s="20">
        <f>IFERROR(__xludf.DUMMYFUNCTION("""COMPUTED_VALUE"""),1.0)</f>
        <v>1</v>
      </c>
      <c r="H3662" s="22" t="str">
        <f>IFERROR(__xludf.DUMMYFUNCTION("""COMPUTED_VALUE"""),"波真田かもめ")</f>
        <v>波真田かもめ</v>
      </c>
      <c r="I3662" s="22" t="str">
        <f>IFERROR(__xludf.DUMMYFUNCTION("""COMPUTED_VALUE"""),"BLマンガ")</f>
        <v>BLマンガ</v>
      </c>
      <c r="J3662" s="22"/>
      <c r="K3662" s="22" t="str">
        <f>IFERROR(__xludf.DUMMYFUNCTION("""COMPUTED_VALUE"""),"Ficus")</f>
        <v>Ficus</v>
      </c>
      <c r="L3662" s="22" t="str">
        <f>IFERROR(__xludf.DUMMYFUNCTION("""COMPUTED_VALUE"""),"シーモアコミックス")</f>
        <v>シーモアコミックス</v>
      </c>
      <c r="M3662" s="33">
        <f>IFERROR(__xludf.DUMMYFUNCTION("""COMPUTED_VALUE"""),45886.0)</f>
        <v>45886</v>
      </c>
      <c r="N3662" s="33">
        <f>IFERROR(__xludf.DUMMYFUNCTION("""COMPUTED_VALUE"""),46072.70833333333)</f>
        <v>46072.70833</v>
      </c>
      <c r="O3662" s="20"/>
      <c r="P3662" s="32" t="str">
        <f>IFERROR(__xludf.DUMMYFUNCTION("""COMPUTED_VALUE"""),"可")</f>
        <v>可</v>
      </c>
      <c r="Q3662" s="30" t="str">
        <f>IFERROR(__xludf.DUMMYFUNCTION("""COMPUTED_VALUE"""),"&lt;BR&gt;")</f>
        <v>&lt;BR&gt;</v>
      </c>
      <c r="R3662" s="22"/>
      <c r="S3662" s="22" t="str">
        <f>IFERROR(__xludf.DUMMYFUNCTION("""COMPUTED_VALUE"""),"20250714_シーモアコミックス_てのひらの恋とか愛")</f>
        <v>20250714_シーモアコミックス_てのひらの恋とか愛</v>
      </c>
      <c r="T3662" s="22" t="str">
        <f>IFERROR(__xludf.DUMMYFUNCTION("""COMPUTED_VALUE"""),"格納済み")</f>
        <v>格納済み</v>
      </c>
      <c r="U3662" s="9" t="str">
        <f>IFERROR(__xludf.DUMMYFUNCTION("""COMPUTED_VALUE"""),"(C) 波真田かもめ/シーモアコミックス")</f>
        <v>(C) 波真田かもめ/シーモアコミックス</v>
      </c>
      <c r="V3662" s="8"/>
      <c r="W3662" s="8"/>
      <c r="X3662" s="8" t="str">
        <f>IFERROR(__xludf.DUMMYFUNCTION("""COMPUTED_VALUE"""),"有")</f>
        <v>有</v>
      </c>
      <c r="Y3662" s="8" t="str">
        <f>IFERROR(__xludf.DUMMYFUNCTION("""COMPUTED_VALUE"""),"2025/9/13まで1巻立ち読み増量(P16)")</f>
        <v>2025/9/13まで1巻立ち読み増量(P16)</v>
      </c>
      <c r="Z3662" s="7"/>
      <c r="AA3662" s="7"/>
      <c r="AB3662" s="7"/>
    </row>
    <row r="3663" ht="15.75" customHeight="1">
      <c r="A3663" s="26">
        <f>IFERROR(__xludf.DUMMYFUNCTION("""COMPUTED_VALUE"""),6082.0)</f>
        <v>6082</v>
      </c>
      <c r="B3663" s="22" t="str">
        <f>IFERROR(__xludf.DUMMYFUNCTION("""COMPUTED_VALUE"""),"確定")</f>
        <v>確定</v>
      </c>
      <c r="C3663" s="28">
        <f>IFERROR(__xludf.DUMMYFUNCTION("""COMPUTED_VALUE"""),45852.0)</f>
        <v>45852</v>
      </c>
      <c r="D3663" s="28">
        <f>IFERROR(__xludf.DUMMYFUNCTION("""COMPUTED_VALUE"""),45861.0)</f>
        <v>45861</v>
      </c>
      <c r="E3663" s="26">
        <f>IFERROR(__xludf.DUMMYFUNCTION("""COMPUTED_VALUE"""),304142.0)</f>
        <v>304142</v>
      </c>
      <c r="F3663" s="22" t="str">
        <f>IFERROR(__xludf.DUMMYFUNCTION("""COMPUTED_VALUE"""),"きみと嘘のキス")</f>
        <v>きみと嘘のキス</v>
      </c>
      <c r="G3663" s="20" t="str">
        <f>IFERROR(__xludf.DUMMYFUNCTION("""COMPUTED_VALUE"""),"1～3")</f>
        <v>1～3</v>
      </c>
      <c r="H3663" s="22" t="str">
        <f>IFERROR(__xludf.DUMMYFUNCTION("""COMPUTED_VALUE"""),"Arinco")</f>
        <v>Arinco</v>
      </c>
      <c r="I3663" s="22" t="str">
        <f>IFERROR(__xludf.DUMMYFUNCTION("""COMPUTED_VALUE"""),"BLマンガ")</f>
        <v>BLマンガ</v>
      </c>
      <c r="J3663" s="22"/>
      <c r="K3663" s="22" t="str">
        <f>IFERROR(__xludf.DUMMYFUNCTION("""COMPUTED_VALUE"""),"Ficus")</f>
        <v>Ficus</v>
      </c>
      <c r="L3663" s="22" t="str">
        <f>IFERROR(__xludf.DUMMYFUNCTION("""COMPUTED_VALUE"""),"シーモアコミックス")</f>
        <v>シーモアコミックス</v>
      </c>
      <c r="M3663" s="33">
        <f>IFERROR(__xludf.DUMMYFUNCTION("""COMPUTED_VALUE"""),45886.0)</f>
        <v>45886</v>
      </c>
      <c r="N3663" s="33">
        <f>IFERROR(__xludf.DUMMYFUNCTION("""COMPUTED_VALUE"""),46072.70833333333)</f>
        <v>46072.70833</v>
      </c>
      <c r="O3663" s="20"/>
      <c r="P3663" s="32" t="str">
        <f>IFERROR(__xludf.DUMMYFUNCTION("""COMPUTED_VALUE"""),"可")</f>
        <v>可</v>
      </c>
      <c r="Q3663" s="30"/>
      <c r="R3663" s="22"/>
      <c r="S3663" s="22" t="str">
        <f>IFERROR(__xludf.DUMMYFUNCTION("""COMPUTED_VALUE"""),"20250714_シーモアコミックス_きみと嘘のキス")</f>
        <v>20250714_シーモアコミックス_きみと嘘のキス</v>
      </c>
      <c r="T3663" s="22" t="str">
        <f>IFERROR(__xludf.DUMMYFUNCTION("""COMPUTED_VALUE"""),"格納済み")</f>
        <v>格納済み</v>
      </c>
      <c r="U3663" s="9" t="str">
        <f>IFERROR(__xludf.DUMMYFUNCTION("""COMPUTED_VALUE"""),"(C) Arinco/シーモアコミックス")</f>
        <v>(C) Arinco/シーモアコミックス</v>
      </c>
      <c r="V3663" s="8"/>
      <c r="W3663" s="8"/>
      <c r="X3663" s="8" t="str">
        <f>IFERROR(__xludf.DUMMYFUNCTION("""COMPUTED_VALUE"""),"有")</f>
        <v>有</v>
      </c>
      <c r="Y3663" s="8" t="str">
        <f>IFERROR(__xludf.DUMMYFUNCTION("""COMPUTED_VALUE"""),"2025/9/13まで1巻無料")</f>
        <v>2025/9/13まで1巻無料</v>
      </c>
      <c r="Z3663" s="7"/>
      <c r="AA3663" s="7"/>
      <c r="AB3663" s="7"/>
    </row>
    <row r="3664" ht="15.75" customHeight="1">
      <c r="A3664" s="26">
        <f>IFERROR(__xludf.DUMMYFUNCTION("""COMPUTED_VALUE"""),6100.0)</f>
        <v>6100</v>
      </c>
      <c r="B3664" s="22" t="str">
        <f>IFERROR(__xludf.DUMMYFUNCTION("""COMPUTED_VALUE"""),"確定")</f>
        <v>確定</v>
      </c>
      <c r="C3664" s="28">
        <f>IFERROR(__xludf.DUMMYFUNCTION("""COMPUTED_VALUE"""),45854.0)</f>
        <v>45854</v>
      </c>
      <c r="D3664" s="28">
        <f>IFERROR(__xludf.DUMMYFUNCTION("""COMPUTED_VALUE"""),45854.0)</f>
        <v>45854</v>
      </c>
      <c r="E3664" s="26">
        <f>IFERROR(__xludf.DUMMYFUNCTION("""COMPUTED_VALUE"""),296738.0)</f>
        <v>296738</v>
      </c>
      <c r="F3664" s="22" t="str">
        <f>IFERROR(__xludf.DUMMYFUNCTION("""COMPUTED_VALUE"""),"リベンジビルディング")</f>
        <v>リベンジビルディング</v>
      </c>
      <c r="G3664" s="20" t="str">
        <f>IFERROR(__xludf.DUMMYFUNCTION("""COMPUTED_VALUE"""),"1～3")</f>
        <v>1～3</v>
      </c>
      <c r="H3664" s="22" t="str">
        <f>IFERROR(__xludf.DUMMYFUNCTION("""COMPUTED_VALUE"""),"白桃めぐむ,春井環二,沢上水也")</f>
        <v>白桃めぐむ,春井環二,沢上水也</v>
      </c>
      <c r="I3664" s="22" t="str">
        <f>IFERROR(__xludf.DUMMYFUNCTION("""COMPUTED_VALUE"""),"青年マンガ")</f>
        <v>青年マンガ</v>
      </c>
      <c r="J3664" s="22"/>
      <c r="K3664" s="22" t="str">
        <f>IFERROR(__xludf.DUMMYFUNCTION("""COMPUTED_VALUE"""),"トレモア・スプラッシュ,トレモアcollection")</f>
        <v>トレモア・スプラッシュ,トレモアcollection</v>
      </c>
      <c r="L3664" s="22" t="str">
        <f>IFERROR(__xludf.DUMMYFUNCTION("""COMPUTED_VALUE"""),"シーモアコミックス（トレモア）")</f>
        <v>シーモアコミックス（トレモア）</v>
      </c>
      <c r="M3664" s="33">
        <f>IFERROR(__xludf.DUMMYFUNCTION("""COMPUTED_VALUE"""),45898.0)</f>
        <v>45898</v>
      </c>
      <c r="N3664" s="33">
        <f>IFERROR(__xludf.DUMMYFUNCTION("""COMPUTED_VALUE"""),46051.0)</f>
        <v>46051</v>
      </c>
      <c r="O3664" s="20"/>
      <c r="P3664" s="32" t="str">
        <f>IFERROR(__xludf.DUMMYFUNCTION("""COMPUTED_VALUE"""),"可")</f>
        <v>可</v>
      </c>
      <c r="Q3664" s="30"/>
      <c r="R3664" s="22"/>
      <c r="S3664" s="22" t="str">
        <f>IFERROR(__xludf.DUMMYFUNCTION("""COMPUTED_VALUE"""),"20250716_シーモアコミックス_リベンジビルディング")</f>
        <v>20250716_シーモアコミックス_リベンジビルディング</v>
      </c>
      <c r="T3664" s="22" t="str">
        <f>IFERROR(__xludf.DUMMYFUNCTION("""COMPUTED_VALUE"""),"格納済み")</f>
        <v>格納済み</v>
      </c>
      <c r="U3664" s="9" t="str">
        <f>IFERROR(__xludf.DUMMYFUNCTION("""COMPUTED_VALUE"""),"(C) 白桃めぐむ/春井環二/沢上水也/シーモアコミックス")</f>
        <v>(C) 白桃めぐむ/春井環二/沢上水也/シーモアコミックス</v>
      </c>
      <c r="V3664" s="8"/>
      <c r="W3664" s="8"/>
      <c r="X3664" s="8" t="str">
        <f>IFERROR(__xludf.DUMMYFUNCTION("""COMPUTED_VALUE"""),"有")</f>
        <v>有</v>
      </c>
      <c r="Y3664" s="8" t="str">
        <f>IFERROR(__xludf.DUMMYFUNCTION("""COMPUTED_VALUE"""),"2025/12/31まで1巻無料")</f>
        <v>2025/12/31まで1巻無料</v>
      </c>
      <c r="Z3664" s="7"/>
      <c r="AA3664" s="7"/>
      <c r="AB3664" s="7"/>
    </row>
    <row r="3665" ht="15.75" customHeight="1">
      <c r="A3665" s="26">
        <f>IFERROR(__xludf.DUMMYFUNCTION("""COMPUTED_VALUE"""),6101.0)</f>
        <v>6101</v>
      </c>
      <c r="B3665" s="22" t="str">
        <f>IFERROR(__xludf.DUMMYFUNCTION("""COMPUTED_VALUE"""),"確定")</f>
        <v>確定</v>
      </c>
      <c r="C3665" s="28">
        <f>IFERROR(__xludf.DUMMYFUNCTION("""COMPUTED_VALUE"""),45854.0)</f>
        <v>45854</v>
      </c>
      <c r="D3665" s="28">
        <f>IFERROR(__xludf.DUMMYFUNCTION("""COMPUTED_VALUE"""),45854.0)</f>
        <v>45854</v>
      </c>
      <c r="E3665" s="26">
        <f>IFERROR(__xludf.DUMMYFUNCTION("""COMPUTED_VALUE"""),296469.0)</f>
        <v>296469</v>
      </c>
      <c r="F3665" s="22" t="str">
        <f>IFERROR(__xludf.DUMMYFUNCTION("""COMPUTED_VALUE"""),"清純派アイドルの正体を僕だけが知っている")</f>
        <v>清純派アイドルの正体を僕だけが知っている</v>
      </c>
      <c r="G3665" s="20" t="str">
        <f>IFERROR(__xludf.DUMMYFUNCTION("""COMPUTED_VALUE"""),"1～3")</f>
        <v>1～3</v>
      </c>
      <c r="H3665" s="22" t="str">
        <f>IFERROR(__xludf.DUMMYFUNCTION("""COMPUTED_VALUE"""),"ゆきみねく,武田かい,鳥木木鳥")</f>
        <v>ゆきみねく,武田かい,鳥木木鳥</v>
      </c>
      <c r="I3665" s="22" t="str">
        <f>IFERROR(__xludf.DUMMYFUNCTION("""COMPUTED_VALUE"""),"青年マンガ")</f>
        <v>青年マンガ</v>
      </c>
      <c r="J3665" s="22"/>
      <c r="K3665" s="22" t="str">
        <f>IFERROR(__xludf.DUMMYFUNCTION("""COMPUTED_VALUE"""),"トレモア・スプラッシュ,トレモアcollection")</f>
        <v>トレモア・スプラッシュ,トレモアcollection</v>
      </c>
      <c r="L3665" s="22" t="str">
        <f>IFERROR(__xludf.DUMMYFUNCTION("""COMPUTED_VALUE"""),"シーモアコミックス（トレモア）")</f>
        <v>シーモアコミックス（トレモア）</v>
      </c>
      <c r="M3665" s="33">
        <f>IFERROR(__xludf.DUMMYFUNCTION("""COMPUTED_VALUE"""),45898.0)</f>
        <v>45898</v>
      </c>
      <c r="N3665" s="33">
        <f>IFERROR(__xludf.DUMMYFUNCTION("""COMPUTED_VALUE"""),46051.0)</f>
        <v>46051</v>
      </c>
      <c r="O3665" s="20"/>
      <c r="P3665" s="32" t="str">
        <f>IFERROR(__xludf.DUMMYFUNCTION("""COMPUTED_VALUE"""),"可")</f>
        <v>可</v>
      </c>
      <c r="Q3665" s="30"/>
      <c r="R3665" s="22"/>
      <c r="S3665" s="22" t="str">
        <f>IFERROR(__xludf.DUMMYFUNCTION("""COMPUTED_VALUE"""),"20250716_シーモアコミックス_清純派アイドルの正体を僕だけが知っている")</f>
        <v>20250716_シーモアコミックス_清純派アイドルの正体を僕だけが知っている</v>
      </c>
      <c r="T3665" s="22" t="str">
        <f>IFERROR(__xludf.DUMMYFUNCTION("""COMPUTED_VALUE"""),"格納済み")</f>
        <v>格納済み</v>
      </c>
      <c r="U3665" s="9" t="str">
        <f>IFERROR(__xludf.DUMMYFUNCTION("""COMPUTED_VALUE"""),"(C) ゆきみねく/武田かい/鳥木木鳥/シーモアコミックス")</f>
        <v>(C) ゆきみねく/武田かい/鳥木木鳥/シーモアコミックス</v>
      </c>
      <c r="V3665" s="8"/>
      <c r="W3665" s="8"/>
      <c r="X3665" s="8" t="str">
        <f>IFERROR(__xludf.DUMMYFUNCTION("""COMPUTED_VALUE"""),"有")</f>
        <v>有</v>
      </c>
      <c r="Y3665" s="8" t="str">
        <f>IFERROR(__xludf.DUMMYFUNCTION("""COMPUTED_VALUE"""),"2025/12/31まで1巻無料")</f>
        <v>2025/12/31まで1巻無料</v>
      </c>
      <c r="Z3665" s="7"/>
      <c r="AA3665" s="7"/>
      <c r="AB3665" s="7"/>
    </row>
    <row r="3666" ht="15.75" customHeight="1">
      <c r="A3666" s="26">
        <f>IFERROR(__xludf.DUMMYFUNCTION("""COMPUTED_VALUE"""),6103.0)</f>
        <v>6103</v>
      </c>
      <c r="B3666" s="22" t="str">
        <f>IFERROR(__xludf.DUMMYFUNCTION("""COMPUTED_VALUE"""),"確定")</f>
        <v>確定</v>
      </c>
      <c r="C3666" s="28">
        <f>IFERROR(__xludf.DUMMYFUNCTION("""COMPUTED_VALUE"""),45855.0)</f>
        <v>45855</v>
      </c>
      <c r="D3666" s="28">
        <f>IFERROR(__xludf.DUMMYFUNCTION("""COMPUTED_VALUE"""),45855.0)</f>
        <v>45855</v>
      </c>
      <c r="E3666" s="26">
        <f>IFERROR(__xludf.DUMMYFUNCTION("""COMPUTED_VALUE"""),336580.0)</f>
        <v>336580</v>
      </c>
      <c r="F3666" s="22" t="str">
        <f>IFERROR(__xludf.DUMMYFUNCTION("""COMPUTED_VALUE"""),"危ない上司と出会った後は―… 霊から始まる運命の恋")</f>
        <v>危ない上司と出会った後は―… 霊から始まる運命の恋</v>
      </c>
      <c r="G3666" s="20" t="str">
        <f>IFERROR(__xludf.DUMMYFUNCTION("""COMPUTED_VALUE"""),"1～3")</f>
        <v>1～3</v>
      </c>
      <c r="H3666" s="22" t="str">
        <f>IFERROR(__xludf.DUMMYFUNCTION("""COMPUTED_VALUE"""),"那由多ゆに")</f>
        <v>那由多ゆに</v>
      </c>
      <c r="I3666" s="22" t="str">
        <f>IFERROR(__xludf.DUMMYFUNCTION("""COMPUTED_VALUE"""),"女性")</f>
        <v>女性</v>
      </c>
      <c r="J3666" s="22"/>
      <c r="K3666" s="22"/>
      <c r="L3666" s="22" t="str">
        <f>IFERROR(__xludf.DUMMYFUNCTION("""COMPUTED_VALUE"""),"DPNプラス")</f>
        <v>DPNプラス</v>
      </c>
      <c r="M3666" s="33">
        <f>IFERROR(__xludf.DUMMYFUNCTION("""COMPUTED_VALUE"""),45919.0)</f>
        <v>45919</v>
      </c>
      <c r="N3666" s="33">
        <f>IFERROR(__xludf.DUMMYFUNCTION("""COMPUTED_VALUE"""),46009.0)</f>
        <v>46009</v>
      </c>
      <c r="O3666" s="20"/>
      <c r="P3666" s="32" t="str">
        <f>IFERROR(__xludf.DUMMYFUNCTION("""COMPUTED_VALUE"""),"否")</f>
        <v>否</v>
      </c>
      <c r="Q3666" s="30"/>
      <c r="R3666" s="22"/>
      <c r="S3666" s="22" t="str">
        <f>IFERROR(__xludf.DUMMYFUNCTION("""COMPUTED_VALUE"""),"20250717_DPNプラス_危ない上司と出会った後は―… 霊から始まる運命の恋")</f>
        <v>20250717_DPNプラス_危ない上司と出会った後は―… 霊から始まる運命の恋</v>
      </c>
      <c r="T3666" s="22" t="str">
        <f>IFERROR(__xludf.DUMMYFUNCTION("""COMPUTED_VALUE"""),"格納済み")</f>
        <v>格納済み</v>
      </c>
      <c r="U3666" s="9" t="str">
        <f>IFERROR(__xludf.DUMMYFUNCTION("""COMPUTED_VALUE"""),"ⒸYuni Nayuta ／DPNプラス")</f>
        <v>ⒸYuni Nayuta ／DPNプラス</v>
      </c>
      <c r="V3666" s="8"/>
      <c r="W3666" s="8"/>
      <c r="X3666" s="8" t="str">
        <f>IFERROR(__xludf.DUMMYFUNCTION("""COMPUTED_VALUE"""),"有")</f>
        <v>有</v>
      </c>
      <c r="Y3666" s="8" t="str">
        <f>IFERROR(__xludf.DUMMYFUNCTION("""COMPUTED_VALUE"""),"2025/12/18まで1巻無料")</f>
        <v>2025/12/18まで1巻無料</v>
      </c>
      <c r="Z3666" s="7"/>
      <c r="AA3666" s="7"/>
      <c r="AB3666" s="7"/>
    </row>
    <row r="3667" ht="15.75" customHeight="1">
      <c r="A3667" s="26">
        <f>IFERROR(__xludf.DUMMYFUNCTION("""COMPUTED_VALUE"""),6115.0)</f>
        <v>6115</v>
      </c>
      <c r="B3667" s="22" t="str">
        <f>IFERROR(__xludf.DUMMYFUNCTION("""COMPUTED_VALUE"""),"確定")</f>
        <v>確定</v>
      </c>
      <c r="C3667" s="28">
        <f>IFERROR(__xludf.DUMMYFUNCTION("""COMPUTED_VALUE"""),45860.0)</f>
        <v>45860</v>
      </c>
      <c r="D3667" s="28">
        <f>IFERROR(__xludf.DUMMYFUNCTION("""COMPUTED_VALUE"""),45861.0)</f>
        <v>45861</v>
      </c>
      <c r="E3667" s="26">
        <f>IFERROR(__xludf.DUMMYFUNCTION("""COMPUTED_VALUE"""),330600.0)</f>
        <v>330600</v>
      </c>
      <c r="F3667" s="22" t="str">
        <f>IFERROR(__xludf.DUMMYFUNCTION("""COMPUTED_VALUE"""),"天野くんのはれ恋【分冊版】")</f>
        <v>天野くんのはれ恋【分冊版】</v>
      </c>
      <c r="G3667" s="20">
        <f>IFERROR(__xludf.DUMMYFUNCTION("""COMPUTED_VALUE"""),1.0)</f>
        <v>1</v>
      </c>
      <c r="H3667" s="22" t="str">
        <f>IFERROR(__xludf.DUMMYFUNCTION("""COMPUTED_VALUE"""),"球体")</f>
        <v>球体</v>
      </c>
      <c r="I3667" s="22" t="str">
        <f>IFERROR(__xludf.DUMMYFUNCTION("""COMPUTED_VALUE"""),"BL")</f>
        <v>BL</v>
      </c>
      <c r="J3667" s="22"/>
      <c r="K3667" s="22" t="str">
        <f>IFERROR(__xludf.DUMMYFUNCTION("""COMPUTED_VALUE"""),"equal")</f>
        <v>equal</v>
      </c>
      <c r="L3667" s="22" t="str">
        <f>IFERROR(__xludf.DUMMYFUNCTION("""COMPUTED_VALUE"""),"笠倉出版社")</f>
        <v>笠倉出版社</v>
      </c>
      <c r="M3667" s="33">
        <f>IFERROR(__xludf.DUMMYFUNCTION("""COMPUTED_VALUE"""),45877.0)</f>
        <v>45877</v>
      </c>
      <c r="N3667" s="33">
        <f>IFERROR(__xludf.DUMMYFUNCTION("""COMPUTED_VALUE"""),45911.0)</f>
        <v>45911</v>
      </c>
      <c r="O3667" s="20"/>
      <c r="P3667" s="32" t="str">
        <f>IFERROR(__xludf.DUMMYFUNCTION("""COMPUTED_VALUE"""),"可")</f>
        <v>可</v>
      </c>
      <c r="Q3667" s="30" t="str">
        <f>IFERROR(__xludf.DUMMYFUNCTION("""COMPUTED_VALUE"""),"3話完結　8月より毎月配信")</f>
        <v>3話完結　8月より毎月配信</v>
      </c>
      <c r="R3667" s="22"/>
      <c r="S3667" s="22" t="str">
        <f>IFERROR(__xludf.DUMMYFUNCTION("""COMPUTED_VALUE"""),"20250722_笠倉出版社_天野くんのはれ恋【分冊版】")</f>
        <v>20250722_笠倉出版社_天野くんのはれ恋【分冊版】</v>
      </c>
      <c r="T3667" s="22" t="str">
        <f>IFERROR(__xludf.DUMMYFUNCTION("""COMPUTED_VALUE"""),"格納済み")</f>
        <v>格納済み</v>
      </c>
      <c r="U3667" s="9" t="str">
        <f>IFERROR(__xludf.DUMMYFUNCTION("""COMPUTED_VALUE"""),"Ⓒ球体/笠倉出版社")</f>
        <v>Ⓒ球体/笠倉出版社</v>
      </c>
      <c r="V3667" s="8"/>
      <c r="W3667" s="8"/>
      <c r="X3667" s="8" t="str">
        <f>IFERROR(__xludf.DUMMYFUNCTION("""COMPUTED_VALUE"""),"有")</f>
        <v>有</v>
      </c>
      <c r="Y3667" s="8" t="str">
        <f>IFERROR(__xludf.DUMMYFUNCTION("""COMPUTED_VALUE"""),"P8まで")</f>
        <v>P8まで</v>
      </c>
      <c r="Z3667" s="7"/>
      <c r="AA3667" s="7"/>
      <c r="AB3667" s="7"/>
    </row>
    <row r="3668" ht="15.75" customHeight="1">
      <c r="A3668" s="26">
        <f>IFERROR(__xludf.DUMMYFUNCTION("""COMPUTED_VALUE"""),6116.0)</f>
        <v>6116</v>
      </c>
      <c r="B3668" s="22" t="str">
        <f>IFERROR(__xludf.DUMMYFUNCTION("""COMPUTED_VALUE"""),"確定")</f>
        <v>確定</v>
      </c>
      <c r="C3668" s="28">
        <f>IFERROR(__xludf.DUMMYFUNCTION("""COMPUTED_VALUE"""),45860.0)</f>
        <v>45860</v>
      </c>
      <c r="D3668" s="28">
        <f>IFERROR(__xludf.DUMMYFUNCTION("""COMPUTED_VALUE"""),45861.0)</f>
        <v>45861</v>
      </c>
      <c r="E3668" s="26">
        <f>IFERROR(__xludf.DUMMYFUNCTION("""COMPUTED_VALUE"""),331127.0)</f>
        <v>331127</v>
      </c>
      <c r="F3668" s="22" t="str">
        <f>IFERROR(__xludf.DUMMYFUNCTION("""COMPUTED_VALUE"""),"籠の鳥は首枷の鬼神に愛を誓う")</f>
        <v>籠の鳥は首枷の鬼神に愛を誓う</v>
      </c>
      <c r="G3668" s="20">
        <f>IFERROR(__xludf.DUMMYFUNCTION("""COMPUTED_VALUE"""),1.0)</f>
        <v>1</v>
      </c>
      <c r="H3668" s="22" t="str">
        <f>IFERROR(__xludf.DUMMYFUNCTION("""COMPUTED_VALUE"""),"宙見こよい⊥乙原ゆん")</f>
        <v>宙見こよい⊥乙原ゆん</v>
      </c>
      <c r="I3668" s="22" t="str">
        <f>IFERROR(__xludf.DUMMYFUNCTION("""COMPUTED_VALUE"""),"少女")</f>
        <v>少女</v>
      </c>
      <c r="J3668" s="22"/>
      <c r="K3668" s="22" t="str">
        <f>IFERROR(__xludf.DUMMYFUNCTION("""COMPUTED_VALUE"""),"Niμ")</f>
        <v>Niμ</v>
      </c>
      <c r="L3668" s="22" t="str">
        <f>IFERROR(__xludf.DUMMYFUNCTION("""COMPUTED_VALUE"""),"笠倉出版社")</f>
        <v>笠倉出版社</v>
      </c>
      <c r="M3668" s="33">
        <f>IFERROR(__xludf.DUMMYFUNCTION("""COMPUTED_VALUE"""),45879.0)</f>
        <v>45879</v>
      </c>
      <c r="N3668" s="33">
        <f>IFERROR(__xludf.DUMMYFUNCTION("""COMPUTED_VALUE"""),45909.0)</f>
        <v>45909</v>
      </c>
      <c r="O3668" s="20"/>
      <c r="P3668" s="32" t="str">
        <f>IFERROR(__xludf.DUMMYFUNCTION("""COMPUTED_VALUE"""),"可")</f>
        <v>可</v>
      </c>
      <c r="Q3668" s="30" t="str">
        <f>IFERROR(__xludf.DUMMYFUNCTION("""COMPUTED_VALUE"""),"単話　「あやかし様へ嫁入りいたします～永久に愛されて幸せです～アンソロジーコミックアンソロジー①」収録作品")</f>
        <v>単話　「あやかし様へ嫁入りいたします～永久に愛されて幸せです～アンソロジーコミックアンソロジー①」収録作品</v>
      </c>
      <c r="R3668" s="22"/>
      <c r="S3668" s="22" t="str">
        <f>IFERROR(__xludf.DUMMYFUNCTION("""COMPUTED_VALUE"""),"20250722_笠倉出版社_籠の鳥は首枷の鬼神に愛を誓う")</f>
        <v>20250722_笠倉出版社_籠の鳥は首枷の鬼神に愛を誓う</v>
      </c>
      <c r="T3668" s="22" t="str">
        <f>IFERROR(__xludf.DUMMYFUNCTION("""COMPUTED_VALUE"""),"格納済み")</f>
        <v>格納済み</v>
      </c>
      <c r="U3668" s="9" t="str">
        <f>IFERROR(__xludf.DUMMYFUNCTION("""COMPUTED_VALUE"""),"Ⓒ宙見こよい/乙原ゆん/笠倉出版社")</f>
        <v>Ⓒ宙見こよい/乙原ゆん/笠倉出版社</v>
      </c>
      <c r="V3668" s="8"/>
      <c r="W3668" s="8"/>
      <c r="X3668" s="8" t="str">
        <f>IFERROR(__xludf.DUMMYFUNCTION("""COMPUTED_VALUE"""),"有")</f>
        <v>有</v>
      </c>
      <c r="Y3668" s="8" t="str">
        <f>IFERROR(__xludf.DUMMYFUNCTION("""COMPUTED_VALUE"""),"P10まで")</f>
        <v>P10まで</v>
      </c>
      <c r="Z3668" s="7"/>
      <c r="AA3668" s="7"/>
      <c r="AB3668" s="7"/>
    </row>
    <row r="3669" ht="15.75" customHeight="1">
      <c r="A3669" s="26">
        <f>IFERROR(__xludf.DUMMYFUNCTION("""COMPUTED_VALUE"""),6003.0)</f>
        <v>6003</v>
      </c>
      <c r="B3669" s="22" t="str">
        <f>IFERROR(__xludf.DUMMYFUNCTION("""COMPUTED_VALUE"""),"確定")</f>
        <v>確定</v>
      </c>
      <c r="C3669" s="28">
        <f>IFERROR(__xludf.DUMMYFUNCTION("""COMPUTED_VALUE"""),45845.0)</f>
        <v>45845</v>
      </c>
      <c r="D3669" s="28">
        <f>IFERROR(__xludf.DUMMYFUNCTION("""COMPUTED_VALUE"""),45861.0)</f>
        <v>45861</v>
      </c>
      <c r="E3669" s="26">
        <f>IFERROR(__xludf.DUMMYFUNCTION("""COMPUTED_VALUE"""),330355.0)</f>
        <v>330355</v>
      </c>
      <c r="F3669" s="22" t="str">
        <f>IFERROR(__xludf.DUMMYFUNCTION("""COMPUTED_VALUE"""),"【分冊版】隣人さんは臆病者")</f>
        <v>【分冊版】隣人さんは臆病者</v>
      </c>
      <c r="G3669" s="20" t="str">
        <f>IFERROR(__xludf.DUMMYFUNCTION("""COMPUTED_VALUE"""),"1～3")</f>
        <v>1～3</v>
      </c>
      <c r="H3669" s="22" t="str">
        <f>IFERROR(__xludf.DUMMYFUNCTION("""COMPUTED_VALUE"""),"伊香亞紀")</f>
        <v>伊香亞紀</v>
      </c>
      <c r="I3669" s="22" t="str">
        <f>IFERROR(__xludf.DUMMYFUNCTION("""COMPUTED_VALUE"""),"BL")</f>
        <v>BL</v>
      </c>
      <c r="J3669" s="22"/>
      <c r="K3669" s="22"/>
      <c r="L3669" s="22" t="str">
        <f>IFERROR(__xludf.DUMMYFUNCTION("""COMPUTED_VALUE"""),"ジーオーティー")</f>
        <v>ジーオーティー</v>
      </c>
      <c r="M3669" s="33">
        <f>IFERROR(__xludf.DUMMYFUNCTION("""COMPUTED_VALUE"""),45865.0)</f>
        <v>45865</v>
      </c>
      <c r="N3669" s="33">
        <f>IFERROR(__xludf.DUMMYFUNCTION("""COMPUTED_VALUE"""),45926.0)</f>
        <v>45926</v>
      </c>
      <c r="O3669" s="20"/>
      <c r="P3669" s="32" t="str">
        <f>IFERROR(__xludf.DUMMYFUNCTION("""COMPUTED_VALUE"""),"可")</f>
        <v>可</v>
      </c>
      <c r="Q3669" s="30"/>
      <c r="R3669" s="22" t="str">
        <f>IFERROR(__xludf.DUMMYFUNCTION("""COMPUTED_VALUE"""),"コミットNG")</f>
        <v>コミットNG</v>
      </c>
      <c r="S3669" s="22" t="str">
        <f>IFERROR(__xludf.DUMMYFUNCTION("""COMPUTED_VALUE"""),"20250723_ジーオーティー_隣人さんは臆病者")</f>
        <v>20250723_ジーオーティー_隣人さんは臆病者</v>
      </c>
      <c r="T3669" s="22" t="str">
        <f>IFERROR(__xludf.DUMMYFUNCTION("""COMPUTED_VALUE"""),"格納済み")</f>
        <v>格納済み</v>
      </c>
      <c r="U3669" s="9" t="str">
        <f>IFERROR(__xludf.DUMMYFUNCTION("""COMPUTED_VALUE"""),"Ⓒ伊香亞紀／ジーオーティー")</f>
        <v>Ⓒ伊香亞紀／ジーオーティー</v>
      </c>
      <c r="V3669" s="8"/>
      <c r="W3669" s="8"/>
      <c r="X3669" s="8" t="str">
        <f>IFERROR(__xludf.DUMMYFUNCTION("""COMPUTED_VALUE"""),"有")</f>
        <v>有</v>
      </c>
      <c r="Y3669" s="8" t="str">
        <f>IFERROR(__xludf.DUMMYFUNCTION("""COMPUTED_VALUE"""),"2025/8/26まで1巻無料")</f>
        <v>2025/8/26まで1巻無料</v>
      </c>
      <c r="Z3669" s="7"/>
      <c r="AA3669" s="7"/>
      <c r="AB3669" s="7"/>
    </row>
    <row r="3670" ht="15.75" customHeight="1">
      <c r="A3670" s="26">
        <f>IFERROR(__xludf.DUMMYFUNCTION("""COMPUTED_VALUE"""),6036.0)</f>
        <v>6036</v>
      </c>
      <c r="B3670" s="22" t="str">
        <f>IFERROR(__xludf.DUMMYFUNCTION("""COMPUTED_VALUE"""),"確定")</f>
        <v>確定</v>
      </c>
      <c r="C3670" s="28">
        <f>IFERROR(__xludf.DUMMYFUNCTION("""COMPUTED_VALUE"""),45846.0)</f>
        <v>45846</v>
      </c>
      <c r="D3670" s="28">
        <f>IFERROR(__xludf.DUMMYFUNCTION("""COMPUTED_VALUE"""),45861.0)</f>
        <v>45861</v>
      </c>
      <c r="E3670" s="26">
        <f>IFERROR(__xludf.DUMMYFUNCTION("""COMPUTED_VALUE"""),333612.0)</f>
        <v>333612</v>
      </c>
      <c r="F3670" s="22" t="str">
        <f>IFERROR(__xludf.DUMMYFUNCTION("""COMPUTED_VALUE"""),"ナイショのお隣さん［1話売り］")</f>
        <v>ナイショのお隣さん［1話売り］</v>
      </c>
      <c r="G3670" s="20" t="str">
        <f>IFERROR(__xludf.DUMMYFUNCTION("""COMPUTED_VALUE"""),"1～5")</f>
        <v>1～5</v>
      </c>
      <c r="H3670" s="22" t="str">
        <f>IFERROR(__xludf.DUMMYFUNCTION("""COMPUTED_VALUE"""),"風花")</f>
        <v>風花</v>
      </c>
      <c r="I3670" s="22" t="str">
        <f>IFERROR(__xludf.DUMMYFUNCTION("""COMPUTED_VALUE"""),"少女マンガ")</f>
        <v>少女マンガ</v>
      </c>
      <c r="J3670" s="22"/>
      <c r="K3670" s="22" t="str">
        <f>IFERROR(__xludf.DUMMYFUNCTION("""COMPUTED_VALUE"""),"花とゆめ")</f>
        <v>花とゆめ</v>
      </c>
      <c r="L3670" s="22" t="str">
        <f>IFERROR(__xludf.DUMMYFUNCTION("""COMPUTED_VALUE"""),"白泉社")</f>
        <v>白泉社</v>
      </c>
      <c r="M3670" s="33">
        <f>IFERROR(__xludf.DUMMYFUNCTION("""COMPUTED_VALUE"""),45901.0)</f>
        <v>45901</v>
      </c>
      <c r="N3670" s="33">
        <f>IFERROR(__xludf.DUMMYFUNCTION("""COMPUTED_VALUE"""),45982.0)</f>
        <v>45982</v>
      </c>
      <c r="O3670" s="20"/>
      <c r="P3670" s="32" t="str">
        <f>IFERROR(__xludf.DUMMYFUNCTION("""COMPUTED_VALUE"""),"可")</f>
        <v>可</v>
      </c>
      <c r="Q3670" s="30"/>
      <c r="R3670" s="22" t="str">
        <f>IFERROR(__xludf.DUMMYFUNCTION("""COMPUTED_VALUE"""),"コミットOK")</f>
        <v>コミットOK</v>
      </c>
      <c r="S3670" s="22" t="str">
        <f>IFERROR(__xludf.DUMMYFUNCTION("""COMPUTED_VALUE"""),"20250722_白泉社_ナイショのお隣さん")</f>
        <v>20250722_白泉社_ナイショのお隣さん</v>
      </c>
      <c r="T3670" s="22" t="str">
        <f>IFERROR(__xludf.DUMMYFUNCTION("""COMPUTED_VALUE"""),"格納済み")</f>
        <v>格納済み</v>
      </c>
      <c r="U3670" s="9" t="str">
        <f>IFERROR(__xludf.DUMMYFUNCTION("""COMPUTED_VALUE"""),"Ⓒ風花/白泉社")</f>
        <v>Ⓒ風花/白泉社</v>
      </c>
      <c r="V3670" s="8"/>
      <c r="W3670" s="8"/>
      <c r="X3670" s="8" t="str">
        <f>IFERROR(__xludf.DUMMYFUNCTION("""COMPUTED_VALUE"""),"有")</f>
        <v>有</v>
      </c>
      <c r="Y3670" s="8" t="str">
        <f>IFERROR(__xludf.DUMMYFUNCTION("""COMPUTED_VALUE"""),"P10まで")</f>
        <v>P10まで</v>
      </c>
      <c r="Z3670" s="7"/>
      <c r="AA3670" s="7"/>
      <c r="AB3670" s="7"/>
    </row>
    <row r="3671" ht="15.75" customHeight="1">
      <c r="A3671" s="26">
        <f>IFERROR(__xludf.DUMMYFUNCTION("""COMPUTED_VALUE"""),5173.0)</f>
        <v>5173</v>
      </c>
      <c r="B3671" s="22" t="str">
        <f>IFERROR(__xludf.DUMMYFUNCTION("""COMPUTED_VALUE"""),"確定")</f>
        <v>確定</v>
      </c>
      <c r="C3671" s="28">
        <f>IFERROR(__xludf.DUMMYFUNCTION("""COMPUTED_VALUE"""),45720.0)</f>
        <v>45720</v>
      </c>
      <c r="D3671" s="28">
        <f>IFERROR(__xludf.DUMMYFUNCTION("""COMPUTED_VALUE"""),45861.0)</f>
        <v>45861</v>
      </c>
      <c r="E3671" s="26">
        <f>IFERROR(__xludf.DUMMYFUNCTION("""COMPUTED_VALUE"""),334118.0)</f>
        <v>334118</v>
      </c>
      <c r="F3671" s="22" t="str">
        <f>IFERROR(__xludf.DUMMYFUNCTION("""COMPUTED_VALUE"""),"伝説のおっさん、ダンジョン配信者になる【分冊版】")</f>
        <v>伝説のおっさん、ダンジョン配信者になる【分冊版】</v>
      </c>
      <c r="G3671" s="20" t="str">
        <f>IFERROR(__xludf.DUMMYFUNCTION("""COMPUTED_VALUE"""),"1～6")</f>
        <v>1～6</v>
      </c>
      <c r="H3671" s="22" t="str">
        <f>IFERROR(__xludf.DUMMYFUNCTION("""COMPUTED_VALUE"""),"原作：りょうと かえ　漫画：はらまき")</f>
        <v>原作：りょうと かえ　漫画：はらまき</v>
      </c>
      <c r="I3671" s="22" t="str">
        <f>IFERROR(__xludf.DUMMYFUNCTION("""COMPUTED_VALUE"""),"少年")</f>
        <v>少年</v>
      </c>
      <c r="J3671" s="22"/>
      <c r="K3671" s="22"/>
      <c r="L3671" s="22" t="str">
        <f>IFERROR(__xludf.DUMMYFUNCTION("""COMPUTED_VALUE"""),"マンガボックス")</f>
        <v>マンガボックス</v>
      </c>
      <c r="M3671" s="33">
        <f>IFERROR(__xludf.DUMMYFUNCTION("""COMPUTED_VALUE"""),45900.0)</f>
        <v>45900</v>
      </c>
      <c r="N3671" s="33">
        <f>IFERROR(__xludf.DUMMYFUNCTION("""COMPUTED_VALUE"""),45990.0)</f>
        <v>45990</v>
      </c>
      <c r="O3671" s="20"/>
      <c r="P3671" s="32" t="str">
        <f>IFERROR(__xludf.DUMMYFUNCTION("""COMPUTED_VALUE"""),"可")</f>
        <v>可</v>
      </c>
      <c r="Q3671" s="30"/>
      <c r="R3671" s="22" t="str">
        <f>IFERROR(__xludf.DUMMYFUNCTION("""COMPUTED_VALUE"""),"コミットOK")</f>
        <v>コミットOK</v>
      </c>
      <c r="S3671" s="22" t="str">
        <f>IFERROR(__xludf.DUMMYFUNCTION("""COMPUTED_VALUE"""),"20250723_マンガボックス_伝説のおっさん、ダンジョン配信者になる")</f>
        <v>20250723_マンガボックス_伝説のおっさん、ダンジョン配信者になる</v>
      </c>
      <c r="T3671" s="22" t="str">
        <f>IFERROR(__xludf.DUMMYFUNCTION("""COMPUTED_VALUE"""),"格納済み")</f>
        <v>格納済み</v>
      </c>
      <c r="U3671" s="9" t="str">
        <f>IFERROR(__xludf.DUMMYFUNCTION("""COMPUTED_VALUE"""),"(c)りょうと かえ・はらまき/マンガボックス")</f>
        <v>(c)りょうと かえ・はらまき/マンガボックス</v>
      </c>
      <c r="V3671" s="8"/>
      <c r="W3671" s="8"/>
      <c r="X3671" s="8" t="str">
        <f>IFERROR(__xludf.DUMMYFUNCTION("""COMPUTED_VALUE"""),"有")</f>
        <v>有</v>
      </c>
      <c r="Y3671" s="8" t="str">
        <f>IFERROR(__xludf.DUMMYFUNCTION("""COMPUTED_VALUE"""),"P23まで")</f>
        <v>P23まで</v>
      </c>
      <c r="Z3671" s="7"/>
      <c r="AA3671" s="7"/>
      <c r="AB3671" s="7"/>
    </row>
    <row r="3672" ht="15.75" customHeight="1">
      <c r="A3672" s="26">
        <f>IFERROR(__xludf.DUMMYFUNCTION("""COMPUTED_VALUE"""),5200.0)</f>
        <v>5200</v>
      </c>
      <c r="B3672" s="22" t="str">
        <f>IFERROR(__xludf.DUMMYFUNCTION("""COMPUTED_VALUE"""),"確定")</f>
        <v>確定</v>
      </c>
      <c r="C3672" s="28">
        <f>IFERROR(__xludf.DUMMYFUNCTION("""COMPUTED_VALUE"""),45722.0)</f>
        <v>45722</v>
      </c>
      <c r="D3672" s="28">
        <f>IFERROR(__xludf.DUMMYFUNCTION("""COMPUTED_VALUE"""),45866.0)</f>
        <v>45866</v>
      </c>
      <c r="E3672" s="26">
        <f>IFERROR(__xludf.DUMMYFUNCTION("""COMPUTED_VALUE"""),331993.0)</f>
        <v>331993</v>
      </c>
      <c r="F3672" s="22" t="str">
        <f>IFERROR(__xludf.DUMMYFUNCTION("""COMPUTED_VALUE"""),"黒豹殿下、フェロモンがダダ漏れです！　淫紋持ち神子ですが、毎晩迫ってこられても困ります【連載版】")</f>
        <v>黒豹殿下、フェロモンがダダ漏れです！　淫紋持ち神子ですが、毎晩迫ってこられても困ります【連載版】</v>
      </c>
      <c r="G3672" s="20" t="str">
        <f>IFERROR(__xludf.DUMMYFUNCTION("""COMPUTED_VALUE"""),"1～3")</f>
        <v>1～3</v>
      </c>
      <c r="H3672" s="22" t="str">
        <f>IFERROR(__xludf.DUMMYFUNCTION("""COMPUTED_VALUE"""),"漫画：猫田れお　原作：竹輪　キャラクターデザイン：すらだまみ")</f>
        <v>漫画：猫田れお　原作：竹輪　キャラクターデザイン：すらだまみ</v>
      </c>
      <c r="I3672" s="22" t="str">
        <f>IFERROR(__xludf.DUMMYFUNCTION("""COMPUTED_VALUE"""),"TL")</f>
        <v>TL</v>
      </c>
      <c r="J3672" s="22"/>
      <c r="K3672" s="22" t="str">
        <f>IFERROR(__xludf.DUMMYFUNCTION("""COMPUTED_VALUE"""),"ベビードールCOMICS")</f>
        <v>ベビードールCOMICS</v>
      </c>
      <c r="L3672" s="22" t="str">
        <f>IFERROR(__xludf.DUMMYFUNCTION("""COMPUTED_VALUE"""),"一迅社")</f>
        <v>一迅社</v>
      </c>
      <c r="M3672" s="33">
        <f>IFERROR(__xludf.DUMMYFUNCTION("""COMPUTED_VALUE"""),45894.0)</f>
        <v>45894</v>
      </c>
      <c r="N3672" s="33">
        <f>IFERROR(__xludf.DUMMYFUNCTION("""COMPUTED_VALUE"""),45924.0)</f>
        <v>45924</v>
      </c>
      <c r="O3672" s="20"/>
      <c r="P3672" s="32" t="str">
        <f>IFERROR(__xludf.DUMMYFUNCTION("""COMPUTED_VALUE"""),"可")</f>
        <v>可</v>
      </c>
      <c r="Q3672" s="30"/>
      <c r="R3672" s="22" t="str">
        <f>IFERROR(__xludf.DUMMYFUNCTION("""COMPUTED_VALUE"""),"コミットOK")</f>
        <v>コミットOK</v>
      </c>
      <c r="S3672" s="22" t="str">
        <f>IFERROR(__xludf.DUMMYFUNCTION("""COMPUTED_VALUE"""),"20250725_一迅社_黒豹殿下、フェロモンがダダ漏れです！　淫紋持ち神子ですが、毎晩迫ってこられても困ります")</f>
        <v>20250725_一迅社_黒豹殿下、フェロモンがダダ漏れです！　淫紋持ち神子ですが、毎晩迫ってこられても困ります</v>
      </c>
      <c r="T3672" s="22" t="str">
        <f>IFERROR(__xludf.DUMMYFUNCTION("""COMPUTED_VALUE"""),"格納済み")</f>
        <v>格納済み</v>
      </c>
      <c r="U3672" s="9" t="str">
        <f>IFERROR(__xludf.DUMMYFUNCTION("""COMPUTED_VALUE"""),"(C)猫田れお・竹輪・すらだ まみ／一迅社")</f>
        <v>(C)猫田れお・竹輪・すらだ まみ／一迅社</v>
      </c>
      <c r="V3672" s="8"/>
      <c r="W3672" s="8"/>
      <c r="X3672" s="8" t="str">
        <f>IFERROR(__xludf.DUMMYFUNCTION("""COMPUTED_VALUE"""),"有")</f>
        <v>有</v>
      </c>
      <c r="Y3672" s="8" t="str">
        <f>IFERROR(__xludf.DUMMYFUNCTION("""COMPUTED_VALUE"""),"2025/9/24まで1巻無料")</f>
        <v>2025/9/24まで1巻無料</v>
      </c>
      <c r="Z3672" s="7"/>
      <c r="AA3672" s="7"/>
      <c r="AB3672" s="7"/>
    </row>
    <row r="3673" ht="15.75" customHeight="1">
      <c r="A3673" s="26">
        <f>IFERROR(__xludf.DUMMYFUNCTION("""COMPUTED_VALUE"""),5453.0)</f>
        <v>5453</v>
      </c>
      <c r="B3673" s="22" t="str">
        <f>IFERROR(__xludf.DUMMYFUNCTION("""COMPUTED_VALUE"""),"確定")</f>
        <v>確定</v>
      </c>
      <c r="C3673" s="28">
        <f>IFERROR(__xludf.DUMMYFUNCTION("""COMPUTED_VALUE"""),45756.0)</f>
        <v>45756</v>
      </c>
      <c r="D3673" s="28">
        <f>IFERROR(__xludf.DUMMYFUNCTION("""COMPUTED_VALUE"""),45868.0)</f>
        <v>45868</v>
      </c>
      <c r="E3673" s="26">
        <f>IFERROR(__xludf.DUMMYFUNCTION("""COMPUTED_VALUE"""),332284.0)</f>
        <v>332284</v>
      </c>
      <c r="F3673" s="22" t="str">
        <f>IFERROR(__xludf.DUMMYFUNCTION("""COMPUTED_VALUE"""),"棄てられ王子の最強イカダ国家〜お前はゴミだと追放されたので、無駄スキル【リサイクル】を使ってゴミ扱いされたモノたちで海上都市を築きます〜 分冊版")</f>
        <v>棄てられ王子の最強イカダ国家〜お前はゴミだと追放されたので、無駄スキル【リサイクル】を使ってゴミ扱いされたモノたちで海上都市を築きます〜 分冊版</v>
      </c>
      <c r="G3673" s="20" t="str">
        <f>IFERROR(__xludf.DUMMYFUNCTION("""COMPUTED_VALUE"""),"1～5")</f>
        <v>1～5</v>
      </c>
      <c r="H3673" s="22" t="str">
        <f>IFERROR(__xludf.DUMMYFUNCTION("""COMPUTED_VALUE"""),"フミキチ/タック")</f>
        <v>フミキチ/タック</v>
      </c>
      <c r="I3673" s="22" t="str">
        <f>IFERROR(__xludf.DUMMYFUNCTION("""COMPUTED_VALUE"""),"青年")</f>
        <v>青年</v>
      </c>
      <c r="J3673" s="22"/>
      <c r="K3673" s="22"/>
      <c r="L3673" s="22" t="str">
        <f>IFERROR(__xludf.DUMMYFUNCTION("""COMPUTED_VALUE"""),"コアミックス")</f>
        <v>コアミックス</v>
      </c>
      <c r="M3673" s="33">
        <f>IFERROR(__xludf.DUMMYFUNCTION("""COMPUTED_VALUE"""),45877.0)</f>
        <v>45877</v>
      </c>
      <c r="N3673" s="33">
        <f>IFERROR(__xludf.DUMMYFUNCTION("""COMPUTED_VALUE"""),45995.0)</f>
        <v>45995</v>
      </c>
      <c r="O3673" s="20"/>
      <c r="P3673" s="32" t="str">
        <f>IFERROR(__xludf.DUMMYFUNCTION("""COMPUTED_VALUE"""),"可")</f>
        <v>可</v>
      </c>
      <c r="Q3673" s="30"/>
      <c r="R3673" s="22" t="str">
        <f>IFERROR(__xludf.DUMMYFUNCTION("""COMPUTED_VALUE"""),"コミットNG")</f>
        <v>コミットNG</v>
      </c>
      <c r="S3673" s="22" t="str">
        <f>IFERROR(__xludf.DUMMYFUNCTION("""COMPUTED_VALUE"""),"20250728_コアミックス_棄てられ王子の最強イカダ国家")</f>
        <v>20250728_コアミックス_棄てられ王子の最強イカダ国家</v>
      </c>
      <c r="T3673" s="22" t="str">
        <f>IFERROR(__xludf.DUMMYFUNCTION("""COMPUTED_VALUE"""),"格納済み")</f>
        <v>格納済み</v>
      </c>
      <c r="U3673" s="9" t="str">
        <f>IFERROR(__xludf.DUMMYFUNCTION("""COMPUTED_VALUE"""),"Ⓒフミキチ・タック／コアミックス")</f>
        <v>Ⓒフミキチ・タック／コアミックス</v>
      </c>
      <c r="V3673" s="8"/>
      <c r="W3673" s="8"/>
      <c r="X3673" s="8" t="str">
        <f>IFERROR(__xludf.DUMMYFUNCTION("""COMPUTED_VALUE"""),"有")</f>
        <v>有</v>
      </c>
      <c r="Y3673" s="8" t="str">
        <f>IFERROR(__xludf.DUMMYFUNCTION("""COMPUTED_VALUE"""),"2025/12/4まで1巻無料")</f>
        <v>2025/12/4まで1巻無料</v>
      </c>
      <c r="Z3673" s="7"/>
      <c r="AA3673" s="7"/>
      <c r="AB3673" s="7"/>
    </row>
    <row r="3674" ht="15.75" customHeight="1">
      <c r="A3674" s="26">
        <f>IFERROR(__xludf.DUMMYFUNCTION("""COMPUTED_VALUE"""),5486.0)</f>
        <v>5486</v>
      </c>
      <c r="B3674" s="22" t="str">
        <f>IFERROR(__xludf.DUMMYFUNCTION("""COMPUTED_VALUE"""),"確定")</f>
        <v>確定</v>
      </c>
      <c r="C3674" s="28">
        <f>IFERROR(__xludf.DUMMYFUNCTION("""COMPUTED_VALUE"""),45761.0)</f>
        <v>45761</v>
      </c>
      <c r="D3674" s="28">
        <f>IFERROR(__xludf.DUMMYFUNCTION("""COMPUTED_VALUE"""),45867.0)</f>
        <v>45867</v>
      </c>
      <c r="E3674" s="26">
        <f>IFERROR(__xludf.DUMMYFUNCTION("""COMPUTED_VALUE"""),332212.0)</f>
        <v>332212</v>
      </c>
      <c r="F3674" s="22" t="str">
        <f>IFERROR(__xludf.DUMMYFUNCTION("""COMPUTED_VALUE"""),"贄屍忌鯉 ニシキゴイ 分冊版")</f>
        <v>贄屍忌鯉 ニシキゴイ 分冊版</v>
      </c>
      <c r="G3674" s="20" t="str">
        <f>IFERROR(__xludf.DUMMYFUNCTION("""COMPUTED_VALUE"""),"1～4")</f>
        <v>1～4</v>
      </c>
      <c r="H3674" s="22" t="str">
        <f>IFERROR(__xludf.DUMMYFUNCTION("""COMPUTED_VALUE"""),"山口貴巳")</f>
        <v>山口貴巳</v>
      </c>
      <c r="I3674" s="22" t="str">
        <f>IFERROR(__xludf.DUMMYFUNCTION("""COMPUTED_VALUE"""),"青年")</f>
        <v>青年</v>
      </c>
      <c r="J3674" s="22"/>
      <c r="K3674" s="22" t="str">
        <f>IFERROR(__xludf.DUMMYFUNCTION("""COMPUTED_VALUE"""),"漫画アクション")</f>
        <v>漫画アクション</v>
      </c>
      <c r="L3674" s="22" t="str">
        <f>IFERROR(__xludf.DUMMYFUNCTION("""COMPUTED_VALUE"""),"双葉社")</f>
        <v>双葉社</v>
      </c>
      <c r="M3674" s="33">
        <f>IFERROR(__xludf.DUMMYFUNCTION("""COMPUTED_VALUE"""),45893.0)</f>
        <v>45893</v>
      </c>
      <c r="N3674" s="33">
        <f>IFERROR(__xludf.DUMMYFUNCTION("""COMPUTED_VALUE"""),45953.0)</f>
        <v>45953</v>
      </c>
      <c r="O3674" s="20"/>
      <c r="P3674" s="32" t="str">
        <f>IFERROR(__xludf.DUMMYFUNCTION("""COMPUTED_VALUE"""),"可")</f>
        <v>可</v>
      </c>
      <c r="Q3674" s="30" t="str">
        <f>IFERROR(__xludf.DUMMYFUNCTION("""COMPUTED_VALUE"""),"作者はゼノン編集部で連載中の『渦神』山口貴巳さんです。&lt;BR&gt;ホラー×エロと売れ筋を抑えた作品なので、ぜひご検討いただけますと幸いです。")</f>
        <v>作者はゼノン編集部で連載中の『渦神』山口貴巳さんです。&lt;BR&gt;ホラー×エロと売れ筋を抑えた作品なので、ぜひご検討いただけますと幸いです。</v>
      </c>
      <c r="R3674" s="22" t="str">
        <f>IFERROR(__xludf.DUMMYFUNCTION("""COMPUTED_VALUE"""),"コミットOK")</f>
        <v>コミットOK</v>
      </c>
      <c r="S3674" s="22" t="str">
        <f>IFERROR(__xludf.DUMMYFUNCTION("""COMPUTED_VALUE"""),"20250729_双葉社_贄屍忌鯉 ニシキゴイ 分冊版")</f>
        <v>20250729_双葉社_贄屍忌鯉 ニシキゴイ 分冊版</v>
      </c>
      <c r="T3674" s="22" t="str">
        <f>IFERROR(__xludf.DUMMYFUNCTION("""COMPUTED_VALUE"""),"格納済み")</f>
        <v>格納済み</v>
      </c>
      <c r="U3674" s="9" t="str">
        <f>IFERROR(__xludf.DUMMYFUNCTION("""COMPUTED_VALUE"""),"Ⓒ山口貴巳/双葉社")</f>
        <v>Ⓒ山口貴巳/双葉社</v>
      </c>
      <c r="V3674" s="8"/>
      <c r="W3674" s="8"/>
      <c r="X3674" s="8" t="str">
        <f>IFERROR(__xludf.DUMMYFUNCTION("""COMPUTED_VALUE"""),"有")</f>
        <v>有</v>
      </c>
      <c r="Y3674" s="8" t="str">
        <f>IFERROR(__xludf.DUMMYFUNCTION("""COMPUTED_VALUE"""),"P9まで")</f>
        <v>P9まで</v>
      </c>
      <c r="Z3674" s="7"/>
      <c r="AA3674" s="7"/>
      <c r="AB3674" s="7"/>
    </row>
    <row r="3675" ht="15.75" customHeight="1">
      <c r="A3675" s="26">
        <f>IFERROR(__xludf.DUMMYFUNCTION("""COMPUTED_VALUE"""),5587.0)</f>
        <v>5587</v>
      </c>
      <c r="B3675" s="22" t="str">
        <f>IFERROR(__xludf.DUMMYFUNCTION("""COMPUTED_VALUE"""),"確定")</f>
        <v>確定</v>
      </c>
      <c r="C3675" s="28">
        <f>IFERROR(__xludf.DUMMYFUNCTION("""COMPUTED_VALUE"""),45785.0)</f>
        <v>45785</v>
      </c>
      <c r="D3675" s="28">
        <f>IFERROR(__xludf.DUMMYFUNCTION("""COMPUTED_VALUE"""),45866.0)</f>
        <v>45866</v>
      </c>
      <c r="E3675" s="26">
        <f>IFERROR(__xludf.DUMMYFUNCTION("""COMPUTED_VALUE"""),332542.0)</f>
        <v>332542</v>
      </c>
      <c r="F3675" s="22" t="str">
        <f>IFERROR(__xludf.DUMMYFUNCTION("""COMPUTED_VALUE"""),"かわいい同盟【単話】")</f>
        <v>かわいい同盟【単話】</v>
      </c>
      <c r="G3675" s="20" t="str">
        <f>IFERROR(__xludf.DUMMYFUNCTION("""COMPUTED_VALUE"""),"1～5")</f>
        <v>1～5</v>
      </c>
      <c r="H3675" s="22" t="str">
        <f>IFERROR(__xludf.DUMMYFUNCTION("""COMPUTED_VALUE"""),"南文夏")</f>
        <v>南文夏</v>
      </c>
      <c r="I3675" s="22" t="str">
        <f>IFERROR(__xludf.DUMMYFUNCTION("""COMPUTED_VALUE"""),"少女")</f>
        <v>少女</v>
      </c>
      <c r="J3675" s="22"/>
      <c r="K3675" s="22" t="str">
        <f>IFERROR(__xludf.DUMMYFUNCTION("""COMPUTED_VALUE"""),"マンガワン女子部")</f>
        <v>マンガワン女子部</v>
      </c>
      <c r="L3675" s="22" t="str">
        <f>IFERROR(__xludf.DUMMYFUNCTION("""COMPUTED_VALUE"""),"小学館")</f>
        <v>小学館</v>
      </c>
      <c r="M3675" s="33">
        <f>IFERROR(__xludf.DUMMYFUNCTION("""COMPUTED_VALUE"""),45888.0)</f>
        <v>45888</v>
      </c>
      <c r="N3675" s="33">
        <f>IFERROR(__xludf.DUMMYFUNCTION("""COMPUTED_VALUE"""),45979.0)</f>
        <v>45979</v>
      </c>
      <c r="O3675" s="20"/>
      <c r="P3675" s="32" t="str">
        <f>IFERROR(__xludf.DUMMYFUNCTION("""COMPUTED_VALUE"""),"否")</f>
        <v>否</v>
      </c>
      <c r="Q3675" s="30" t="str">
        <f>IFERROR(__xludf.DUMMYFUNCTION("""COMPUTED_VALUE"""),"初回配信時1巻目無料")</f>
        <v>初回配信時1巻目無料</v>
      </c>
      <c r="R3675" s="22"/>
      <c r="S3675" s="22" t="str">
        <f>IFERROR(__xludf.DUMMYFUNCTION("""COMPUTED_VALUE"""),"20250728_小学館_かわいい同盟")</f>
        <v>20250728_小学館_かわいい同盟</v>
      </c>
      <c r="T3675" s="22" t="str">
        <f>IFERROR(__xludf.DUMMYFUNCTION("""COMPUTED_VALUE"""),"格納済み")</f>
        <v>格納済み</v>
      </c>
      <c r="U3675" s="9" t="str">
        <f>IFERROR(__xludf.DUMMYFUNCTION("""COMPUTED_VALUE"""),"(C)南文夏 / 小学館")</f>
        <v>(C)南文夏 / 小学館</v>
      </c>
      <c r="V3675" s="8"/>
      <c r="W3675" s="8"/>
      <c r="X3675" s="8" t="str">
        <f>IFERROR(__xludf.DUMMYFUNCTION("""COMPUTED_VALUE"""),"有")</f>
        <v>有</v>
      </c>
      <c r="Y3675" s="8" t="str">
        <f>IFERROR(__xludf.DUMMYFUNCTION("""COMPUTED_VALUE"""),"P27まで")</f>
        <v>P27まで</v>
      </c>
      <c r="Z3675" s="7"/>
      <c r="AA3675" s="7"/>
      <c r="AB3675" s="7"/>
    </row>
    <row r="3676" ht="15.75" customHeight="1">
      <c r="A3676" s="26">
        <f>IFERROR(__xludf.DUMMYFUNCTION("""COMPUTED_VALUE"""),5704.0)</f>
        <v>5704</v>
      </c>
      <c r="B3676" s="22" t="str">
        <f>IFERROR(__xludf.DUMMYFUNCTION("""COMPUTED_VALUE"""),"確定")</f>
        <v>確定</v>
      </c>
      <c r="C3676" s="28">
        <f>IFERROR(__xludf.DUMMYFUNCTION("""COMPUTED_VALUE"""),45810.0)</f>
        <v>45810</v>
      </c>
      <c r="D3676" s="28">
        <f>IFERROR(__xludf.DUMMYFUNCTION("""COMPUTED_VALUE"""),45866.0)</f>
        <v>45866</v>
      </c>
      <c r="E3676" s="26">
        <f>IFERROR(__xludf.DUMMYFUNCTION("""COMPUTED_VALUE"""),333025.0)</f>
        <v>333025</v>
      </c>
      <c r="F3676" s="22" t="str">
        <f>IFERROR(__xludf.DUMMYFUNCTION("""COMPUTED_VALUE"""),"Sだぞ!みたいな雰囲気出てる同期の谷口、ドMらしい??【R版】")</f>
        <v>Sだぞ!みたいな雰囲気出てる同期の谷口、ドMらしい??【R版】</v>
      </c>
      <c r="G3676" s="20" t="str">
        <f>IFERROR(__xludf.DUMMYFUNCTION("""COMPUTED_VALUE"""),"1～3")</f>
        <v>1～3</v>
      </c>
      <c r="H3676" s="22" t="str">
        <f>IFERROR(__xludf.DUMMYFUNCTION("""COMPUTED_VALUE"""),"DAICON/保田飯飯")</f>
        <v>DAICON/保田飯飯</v>
      </c>
      <c r="I3676" s="22" t="str">
        <f>IFERROR(__xludf.DUMMYFUNCTION("""COMPUTED_VALUE"""),"アダルト")</f>
        <v>アダルト</v>
      </c>
      <c r="J3676" s="22"/>
      <c r="K3676" s="22" t="str">
        <f>IFERROR(__xludf.DUMMYFUNCTION("""COMPUTED_VALUE"""),"THE猥談")</f>
        <v>THE猥談</v>
      </c>
      <c r="L3676" s="22" t="str">
        <f>IFERROR(__xludf.DUMMYFUNCTION("""COMPUTED_VALUE"""),"DLcomics")</f>
        <v>DLcomics</v>
      </c>
      <c r="M3676" s="33">
        <f>IFERROR(__xludf.DUMMYFUNCTION("""COMPUTED_VALUE"""),45898.0)</f>
        <v>45898</v>
      </c>
      <c r="N3676" s="33">
        <f>IFERROR(__xludf.DUMMYFUNCTION("""COMPUTED_VALUE"""),45995.0)</f>
        <v>45995</v>
      </c>
      <c r="O3676" s="20"/>
      <c r="P3676" s="32" t="str">
        <f>IFERROR(__xludf.DUMMYFUNCTION("""COMPUTED_VALUE"""),"可")</f>
        <v>可</v>
      </c>
      <c r="Q3676" s="30" t="str">
        <f>IFERROR(__xludf.DUMMYFUNCTION("""COMPUTED_VALUE"""),"広告制作時はフォルダの末尾にsmpが付いていないフォルダに格納されている素材をご使用ください。")</f>
        <v>広告制作時はフォルダの末尾にsmpが付いていないフォルダに格納されている素材をご使用ください。</v>
      </c>
      <c r="R3676" s="22" t="str">
        <f>IFERROR(__xludf.DUMMYFUNCTION("""COMPUTED_VALUE"""),"コミットOK")</f>
        <v>コミットOK</v>
      </c>
      <c r="S3676" s="22" t="str">
        <f>IFERROR(__xludf.DUMMYFUNCTION("""COMPUTED_VALUE"""),"20250723_DLcomics_Sだぞ!みたいな雰囲気出てる同期の谷口、ドMらしい？？【R版】")</f>
        <v>20250723_DLcomics_Sだぞ!みたいな雰囲気出てる同期の谷口、ドMらしい？？【R版】</v>
      </c>
      <c r="T3676" s="22" t="str">
        <f>IFERROR(__xludf.DUMMYFUNCTION("""COMPUTED_VALUE"""),"格納済み")</f>
        <v>格納済み</v>
      </c>
      <c r="U3676" s="9" t="str">
        <f>IFERROR(__xludf.DUMMYFUNCTION("""COMPUTED_VALUE"""),"(C)DAICON/保田飯飯/THE猥談")</f>
        <v>(C)DAICON/保田飯飯/THE猥談</v>
      </c>
      <c r="V3676" s="8"/>
      <c r="W3676" s="8"/>
      <c r="X3676" s="8" t="str">
        <f>IFERROR(__xludf.DUMMYFUNCTION("""COMPUTED_VALUE"""),"有")</f>
        <v>有</v>
      </c>
      <c r="Y3676" s="8" t="str">
        <f>IFERROR(__xludf.DUMMYFUNCTION("""COMPUTED_VALUE"""),"2025/12/4まで1巻無料")</f>
        <v>2025/12/4まで1巻無料</v>
      </c>
      <c r="Z3676" s="7"/>
      <c r="AA3676" s="7"/>
      <c r="AB3676" s="7"/>
    </row>
    <row r="3677" ht="15.75" customHeight="1">
      <c r="A3677" s="26">
        <f>IFERROR(__xludf.DUMMYFUNCTION("""COMPUTED_VALUE"""),5705.0)</f>
        <v>5705</v>
      </c>
      <c r="B3677" s="22" t="str">
        <f>IFERROR(__xludf.DUMMYFUNCTION("""COMPUTED_VALUE"""),"確定")</f>
        <v>確定</v>
      </c>
      <c r="C3677" s="28">
        <f>IFERROR(__xludf.DUMMYFUNCTION("""COMPUTED_VALUE"""),45810.0)</f>
        <v>45810</v>
      </c>
      <c r="D3677" s="28">
        <f>IFERROR(__xludf.DUMMYFUNCTION("""COMPUTED_VALUE"""),45866.0)</f>
        <v>45866</v>
      </c>
      <c r="E3677" s="26">
        <f>IFERROR(__xludf.DUMMYFUNCTION("""COMPUTED_VALUE"""),333027.0)</f>
        <v>333027</v>
      </c>
      <c r="F3677" s="22" t="str">
        <f>IFERROR(__xludf.DUMMYFUNCTION("""COMPUTED_VALUE"""),"Sだぞ!みたいな雰囲気出てる同期の谷口、ドMらしい??")</f>
        <v>Sだぞ!みたいな雰囲気出てる同期の谷口、ドMらしい??</v>
      </c>
      <c r="G3677" s="20" t="str">
        <f>IFERROR(__xludf.DUMMYFUNCTION("""COMPUTED_VALUE"""),"1～3")</f>
        <v>1～3</v>
      </c>
      <c r="H3677" s="22" t="str">
        <f>IFERROR(__xludf.DUMMYFUNCTION("""COMPUTED_VALUE"""),"DAICON/保田飯飯")</f>
        <v>DAICON/保田飯飯</v>
      </c>
      <c r="I3677" s="22" t="str">
        <f>IFERROR(__xludf.DUMMYFUNCTION("""COMPUTED_VALUE"""),"TL")</f>
        <v>TL</v>
      </c>
      <c r="J3677" s="22"/>
      <c r="K3677" s="22" t="str">
        <f>IFERROR(__xludf.DUMMYFUNCTION("""COMPUTED_VALUE"""),"THE猥談")</f>
        <v>THE猥談</v>
      </c>
      <c r="L3677" s="22" t="str">
        <f>IFERROR(__xludf.DUMMYFUNCTION("""COMPUTED_VALUE"""),"DLcomics")</f>
        <v>DLcomics</v>
      </c>
      <c r="M3677" s="33">
        <f>IFERROR(__xludf.DUMMYFUNCTION("""COMPUTED_VALUE"""),45898.0)</f>
        <v>45898</v>
      </c>
      <c r="N3677" s="33">
        <f>IFERROR(__xludf.DUMMYFUNCTION("""COMPUTED_VALUE"""),45995.0)</f>
        <v>45995</v>
      </c>
      <c r="O3677" s="20"/>
      <c r="P3677" s="32" t="str">
        <f>IFERROR(__xludf.DUMMYFUNCTION("""COMPUTED_VALUE"""),"可")</f>
        <v>可</v>
      </c>
      <c r="Q3677" s="30" t="str">
        <f>IFERROR(__xludf.DUMMYFUNCTION("""COMPUTED_VALUE"""),"【アダルト作品扱い】&lt;BR&gt;広告制作時はフォルダの末尾にsmpが付いていないフォルダに格納されている素材をご使用ください。")</f>
        <v>【アダルト作品扱い】&lt;BR&gt;広告制作時はフォルダの末尾にsmpが付いていないフォルダに格納されている素材をご使用ください。</v>
      </c>
      <c r="R3677" s="22" t="str">
        <f>IFERROR(__xludf.DUMMYFUNCTION("""COMPUTED_VALUE"""),"コミットNG")</f>
        <v>コミットNG</v>
      </c>
      <c r="S3677" s="22" t="str">
        <f>IFERROR(__xludf.DUMMYFUNCTION("""COMPUTED_VALUE"""),"20250723_DLcomics_Sだぞ!みたいな雰囲気出てる同期の谷口、ドMらしい？？")</f>
        <v>20250723_DLcomics_Sだぞ!みたいな雰囲気出てる同期の谷口、ドMらしい？？</v>
      </c>
      <c r="T3677" s="22" t="str">
        <f>IFERROR(__xludf.DUMMYFUNCTION("""COMPUTED_VALUE"""),"格納済み")</f>
        <v>格納済み</v>
      </c>
      <c r="U3677" s="9"/>
      <c r="V3677" s="8"/>
      <c r="W3677" s="8"/>
      <c r="X3677" s="8" t="str">
        <f>IFERROR(__xludf.DUMMYFUNCTION("""COMPUTED_VALUE"""),"有")</f>
        <v>有</v>
      </c>
      <c r="Y3677" s="8" t="str">
        <f>IFERROR(__xludf.DUMMYFUNCTION("""COMPUTED_VALUE"""),"P12まで")</f>
        <v>P12まで</v>
      </c>
      <c r="Z3677" s="7"/>
      <c r="AA3677" s="7"/>
      <c r="AB3677" s="7"/>
    </row>
    <row r="3678" ht="15.75" customHeight="1">
      <c r="A3678" s="26">
        <f>IFERROR(__xludf.DUMMYFUNCTION("""COMPUTED_VALUE"""),5706.0)</f>
        <v>5706</v>
      </c>
      <c r="B3678" s="22" t="str">
        <f>IFERROR(__xludf.DUMMYFUNCTION("""COMPUTED_VALUE"""),"確定")</f>
        <v>確定</v>
      </c>
      <c r="C3678" s="28">
        <f>IFERROR(__xludf.DUMMYFUNCTION("""COMPUTED_VALUE"""),45810.0)</f>
        <v>45810</v>
      </c>
      <c r="D3678" s="28">
        <f>IFERROR(__xludf.DUMMYFUNCTION("""COMPUTED_VALUE"""),45866.0)</f>
        <v>45866</v>
      </c>
      <c r="E3678" s="26">
        <f>IFERROR(__xludf.DUMMYFUNCTION("""COMPUTED_VALUE"""),333026.0)</f>
        <v>333026</v>
      </c>
      <c r="F3678" s="22" t="str">
        <f>IFERROR(__xludf.DUMMYFUNCTION("""COMPUTED_VALUE"""),"かわいい(元)後輩 辻くんに誘われ、堕とされ、囲われて【R版】")</f>
        <v>かわいい(元)後輩 辻くんに誘われ、堕とされ、囲われて【R版】</v>
      </c>
      <c r="G3678" s="20" t="str">
        <f>IFERROR(__xludf.DUMMYFUNCTION("""COMPUTED_VALUE"""),"1～2")</f>
        <v>1～2</v>
      </c>
      <c r="H3678" s="22" t="str">
        <f>IFERROR(__xludf.DUMMYFUNCTION("""COMPUTED_VALUE"""),"ながむらあさひ/保田飯飯")</f>
        <v>ながむらあさひ/保田飯飯</v>
      </c>
      <c r="I3678" s="22" t="str">
        <f>IFERROR(__xludf.DUMMYFUNCTION("""COMPUTED_VALUE"""),"アダルト")</f>
        <v>アダルト</v>
      </c>
      <c r="J3678" s="22"/>
      <c r="K3678" s="22" t="str">
        <f>IFERROR(__xludf.DUMMYFUNCTION("""COMPUTED_VALUE"""),"THE猥談")</f>
        <v>THE猥談</v>
      </c>
      <c r="L3678" s="22" t="str">
        <f>IFERROR(__xludf.DUMMYFUNCTION("""COMPUTED_VALUE"""),"DLcomics")</f>
        <v>DLcomics</v>
      </c>
      <c r="M3678" s="33">
        <f>IFERROR(__xludf.DUMMYFUNCTION("""COMPUTED_VALUE"""),45898.0)</f>
        <v>45898</v>
      </c>
      <c r="N3678" s="33">
        <f>IFERROR(__xludf.DUMMYFUNCTION("""COMPUTED_VALUE"""),45995.0)</f>
        <v>45995</v>
      </c>
      <c r="O3678" s="20"/>
      <c r="P3678" s="32" t="str">
        <f>IFERROR(__xludf.DUMMYFUNCTION("""COMPUTED_VALUE"""),"可")</f>
        <v>可</v>
      </c>
      <c r="Q3678" s="30" t="str">
        <f>IFERROR(__xludf.DUMMYFUNCTION("""COMPUTED_VALUE"""),"広告制作時はフォルダの末尾にsmpが付いていないフォルダに格納されている素材をご使用ください。")</f>
        <v>広告制作時はフォルダの末尾にsmpが付いていないフォルダに格納されている素材をご使用ください。</v>
      </c>
      <c r="R3678" s="22" t="str">
        <f>IFERROR(__xludf.DUMMYFUNCTION("""COMPUTED_VALUE"""),"コミットOK")</f>
        <v>コミットOK</v>
      </c>
      <c r="S3678" s="22" t="str">
        <f>IFERROR(__xludf.DUMMYFUNCTION("""COMPUTED_VALUE"""),"20250723_DLcomics_かわいい(元)後輩 辻くんに誘われ、堕とされ、囲われて【R版】")</f>
        <v>20250723_DLcomics_かわいい(元)後輩 辻くんに誘われ、堕とされ、囲われて【R版】</v>
      </c>
      <c r="T3678" s="22" t="str">
        <f>IFERROR(__xludf.DUMMYFUNCTION("""COMPUTED_VALUE"""),"格納済み")</f>
        <v>格納済み</v>
      </c>
      <c r="U3678" s="9" t="str">
        <f>IFERROR(__xludf.DUMMYFUNCTION("""COMPUTED_VALUE"""),"(C)ながむらあさひ/保田飯飯/THE猥談")</f>
        <v>(C)ながむらあさひ/保田飯飯/THE猥談</v>
      </c>
      <c r="V3678" s="8"/>
      <c r="W3678" s="8"/>
      <c r="X3678" s="8" t="str">
        <f>IFERROR(__xludf.DUMMYFUNCTION("""COMPUTED_VALUE"""),"有")</f>
        <v>有</v>
      </c>
      <c r="Y3678" s="8" t="str">
        <f>IFERROR(__xludf.DUMMYFUNCTION("""COMPUTED_VALUE"""),"2025/12/4まで1巻無料")</f>
        <v>2025/12/4まで1巻無料</v>
      </c>
      <c r="Z3678" s="7"/>
      <c r="AA3678" s="7"/>
      <c r="AB3678" s="7"/>
    </row>
    <row r="3679" ht="15.75" customHeight="1">
      <c r="A3679" s="26">
        <f>IFERROR(__xludf.DUMMYFUNCTION("""COMPUTED_VALUE"""),5707.0)</f>
        <v>5707</v>
      </c>
      <c r="B3679" s="22" t="str">
        <f>IFERROR(__xludf.DUMMYFUNCTION("""COMPUTED_VALUE"""),"確定")</f>
        <v>確定</v>
      </c>
      <c r="C3679" s="28">
        <f>IFERROR(__xludf.DUMMYFUNCTION("""COMPUTED_VALUE"""),45810.0)</f>
        <v>45810</v>
      </c>
      <c r="D3679" s="28">
        <f>IFERROR(__xludf.DUMMYFUNCTION("""COMPUTED_VALUE"""),45866.0)</f>
        <v>45866</v>
      </c>
      <c r="E3679" s="26">
        <f>IFERROR(__xludf.DUMMYFUNCTION("""COMPUTED_VALUE"""),333028.0)</f>
        <v>333028</v>
      </c>
      <c r="F3679" s="22" t="str">
        <f>IFERROR(__xludf.DUMMYFUNCTION("""COMPUTED_VALUE"""),"かわいい(元)後輩 辻くんに誘われ、堕とされ、囲われて")</f>
        <v>かわいい(元)後輩 辻くんに誘われ、堕とされ、囲われて</v>
      </c>
      <c r="G3679" s="20" t="str">
        <f>IFERROR(__xludf.DUMMYFUNCTION("""COMPUTED_VALUE"""),"1～2")</f>
        <v>1～2</v>
      </c>
      <c r="H3679" s="22" t="str">
        <f>IFERROR(__xludf.DUMMYFUNCTION("""COMPUTED_VALUE"""),"ながむらあさひ/保田飯飯")</f>
        <v>ながむらあさひ/保田飯飯</v>
      </c>
      <c r="I3679" s="22" t="str">
        <f>IFERROR(__xludf.DUMMYFUNCTION("""COMPUTED_VALUE"""),"TL")</f>
        <v>TL</v>
      </c>
      <c r="J3679" s="22"/>
      <c r="K3679" s="22" t="str">
        <f>IFERROR(__xludf.DUMMYFUNCTION("""COMPUTED_VALUE"""),"THE猥談")</f>
        <v>THE猥談</v>
      </c>
      <c r="L3679" s="22" t="str">
        <f>IFERROR(__xludf.DUMMYFUNCTION("""COMPUTED_VALUE"""),"DLcomics")</f>
        <v>DLcomics</v>
      </c>
      <c r="M3679" s="33">
        <f>IFERROR(__xludf.DUMMYFUNCTION("""COMPUTED_VALUE"""),45898.0)</f>
        <v>45898</v>
      </c>
      <c r="N3679" s="33">
        <f>IFERROR(__xludf.DUMMYFUNCTION("""COMPUTED_VALUE"""),45995.0)</f>
        <v>45995</v>
      </c>
      <c r="O3679" s="20"/>
      <c r="P3679" s="32" t="str">
        <f>IFERROR(__xludf.DUMMYFUNCTION("""COMPUTED_VALUE"""),"可")</f>
        <v>可</v>
      </c>
      <c r="Q3679" s="30" t="str">
        <f>IFERROR(__xludf.DUMMYFUNCTION("""COMPUTED_VALUE"""),"広告制作時はフォルダの末尾にsmpが付いていないフォルダに格納されている素材をご使用ください。")</f>
        <v>広告制作時はフォルダの末尾にsmpが付いていないフォルダに格納されている素材をご使用ください。</v>
      </c>
      <c r="R3679" s="22" t="str">
        <f>IFERROR(__xludf.DUMMYFUNCTION("""COMPUTED_VALUE"""),"コミットNG")</f>
        <v>コミットNG</v>
      </c>
      <c r="S3679" s="22" t="str">
        <f>IFERROR(__xludf.DUMMYFUNCTION("""COMPUTED_VALUE"""),"20250723_DLcomics_かわいい(元)後輩 辻くんに誘われ、堕とされ、囲われて")</f>
        <v>20250723_DLcomics_かわいい(元)後輩 辻くんに誘われ、堕とされ、囲われて</v>
      </c>
      <c r="T3679" s="22" t="str">
        <f>IFERROR(__xludf.DUMMYFUNCTION("""COMPUTED_VALUE"""),"格納済み")</f>
        <v>格納済み</v>
      </c>
      <c r="U3679" s="9" t="str">
        <f>IFERROR(__xludf.DUMMYFUNCTION("""COMPUTED_VALUE"""),"(C)ながむらあさひ/保田飯飯/THE猥談")</f>
        <v>(C)ながむらあさひ/保田飯飯/THE猥談</v>
      </c>
      <c r="V3679" s="8"/>
      <c r="W3679" s="8"/>
      <c r="X3679" s="8" t="str">
        <f>IFERROR(__xludf.DUMMYFUNCTION("""COMPUTED_VALUE"""),"有")</f>
        <v>有</v>
      </c>
      <c r="Y3679" s="8" t="str">
        <f>IFERROR(__xludf.DUMMYFUNCTION("""COMPUTED_VALUE"""),"P14まで")</f>
        <v>P14まで</v>
      </c>
      <c r="Z3679" s="7"/>
      <c r="AA3679" s="7"/>
      <c r="AB3679" s="7"/>
    </row>
    <row r="3680" ht="15.75" customHeight="1">
      <c r="A3680" s="26">
        <f>IFERROR(__xludf.DUMMYFUNCTION("""COMPUTED_VALUE"""),5717.0)</f>
        <v>5717</v>
      </c>
      <c r="B3680" s="22" t="str">
        <f>IFERROR(__xludf.DUMMYFUNCTION("""COMPUTED_VALUE"""),"確定")</f>
        <v>確定</v>
      </c>
      <c r="C3680" s="28">
        <f>IFERROR(__xludf.DUMMYFUNCTION("""COMPUTED_VALUE"""),45811.0)</f>
        <v>45811</v>
      </c>
      <c r="D3680" s="28">
        <f>IFERROR(__xludf.DUMMYFUNCTION("""COMPUTED_VALUE"""),45868.0)</f>
        <v>45868</v>
      </c>
      <c r="E3680" s="26">
        <f>IFERROR(__xludf.DUMMYFUNCTION("""COMPUTED_VALUE"""),332061.0)</f>
        <v>332061</v>
      </c>
      <c r="F3680" s="22" t="str">
        <f>IFERROR(__xludf.DUMMYFUNCTION("""COMPUTED_VALUE"""),"許して阿形さん～イジワル同僚の執着責めから逃げられない～【TL版】")</f>
        <v>許して阿形さん～イジワル同僚の執着責めから逃げられない～【TL版】</v>
      </c>
      <c r="G3680" s="20" t="str">
        <f>IFERROR(__xludf.DUMMYFUNCTION("""COMPUTED_VALUE"""),"1～2")</f>
        <v>1～2</v>
      </c>
      <c r="H3680" s="22" t="str">
        <f>IFERROR(__xludf.DUMMYFUNCTION("""COMPUTED_VALUE"""),"ぢぇいそん椎名")</f>
        <v>ぢぇいそん椎名</v>
      </c>
      <c r="I3680" s="22" t="str">
        <f>IFERROR(__xludf.DUMMYFUNCTION("""COMPUTED_VALUE"""),"TL")</f>
        <v>TL</v>
      </c>
      <c r="J3680" s="22"/>
      <c r="K3680" s="22" t="str">
        <f>IFERROR(__xludf.DUMMYFUNCTION("""COMPUTED_VALUE"""),"＠夜噺")</f>
        <v>＠夜噺</v>
      </c>
      <c r="L3680" s="22" t="str">
        <f>IFERROR(__xludf.DUMMYFUNCTION("""COMPUTED_VALUE"""),"DEEPER-ZERO")</f>
        <v>DEEPER-ZERO</v>
      </c>
      <c r="M3680" s="33">
        <f>IFERROR(__xludf.DUMMYFUNCTION("""COMPUTED_VALUE"""),45890.0)</f>
        <v>45890</v>
      </c>
      <c r="N3680" s="33">
        <f>IFERROR(__xludf.DUMMYFUNCTION("""COMPUTED_VALUE"""),45945.0)</f>
        <v>45945</v>
      </c>
      <c r="O3680" s="20"/>
      <c r="P3680" s="32" t="str">
        <f>IFERROR(__xludf.DUMMYFUNCTION("""COMPUTED_VALUE"""),"可")</f>
        <v>可</v>
      </c>
      <c r="Q3680" s="30" t="str">
        <f>IFERROR(__xludf.DUMMYFUNCTION("""COMPUTED_VALUE"""),"【アダルト作品扱い】&lt;BR&gt;")</f>
        <v>【アダルト作品扱い】&lt;BR&gt;</v>
      </c>
      <c r="R3680" s="22" t="str">
        <f>IFERROR(__xludf.DUMMYFUNCTION("""COMPUTED_VALUE"""),"コミットNG")</f>
        <v>コミットNG</v>
      </c>
      <c r="S3680" s="22" t="str">
        <f>IFERROR(__xludf.DUMMYFUNCTION("""COMPUTED_VALUE"""),"20250723_DEEPER-ZERO_許して阿形さん～イジワル同僚の執着責めから逃げられない～")</f>
        <v>20250723_DEEPER-ZERO_許して阿形さん～イジワル同僚の執着責めから逃げられない～</v>
      </c>
      <c r="T3680" s="22" t="str">
        <f>IFERROR(__xludf.DUMMYFUNCTION("""COMPUTED_VALUE"""),"格納済み")</f>
        <v>格納済み</v>
      </c>
      <c r="U3680" s="9" t="str">
        <f>IFERROR(__xludf.DUMMYFUNCTION("""COMPUTED_VALUE"""),"Ⓒぢぇいそん椎名/DEEPER-ZERO")</f>
        <v>Ⓒぢぇいそん椎名/DEEPER-ZERO</v>
      </c>
      <c r="V3680" s="8"/>
      <c r="W3680" s="8"/>
      <c r="X3680" s="8" t="str">
        <f>IFERROR(__xludf.DUMMYFUNCTION("""COMPUTED_VALUE"""),"有")</f>
        <v>有</v>
      </c>
      <c r="Y3680" s="8" t="str">
        <f>IFERROR(__xludf.DUMMYFUNCTION("""COMPUTED_VALUE"""),"P10まで")</f>
        <v>P10まで</v>
      </c>
      <c r="Z3680" s="7"/>
      <c r="AA3680" s="7"/>
      <c r="AB3680" s="7"/>
    </row>
    <row r="3681" ht="15.75" customHeight="1">
      <c r="A3681" s="26">
        <f>IFERROR(__xludf.DUMMYFUNCTION("""COMPUTED_VALUE"""),5718.0)</f>
        <v>5718</v>
      </c>
      <c r="B3681" s="22" t="str">
        <f>IFERROR(__xludf.DUMMYFUNCTION("""COMPUTED_VALUE"""),"確定")</f>
        <v>確定</v>
      </c>
      <c r="C3681" s="28">
        <f>IFERROR(__xludf.DUMMYFUNCTION("""COMPUTED_VALUE"""),45811.0)</f>
        <v>45811</v>
      </c>
      <c r="D3681" s="28">
        <f>IFERROR(__xludf.DUMMYFUNCTION("""COMPUTED_VALUE"""),45868.0)</f>
        <v>45868</v>
      </c>
      <c r="E3681" s="26">
        <f>IFERROR(__xludf.DUMMYFUNCTION("""COMPUTED_VALUE"""),332066.0)</f>
        <v>332066</v>
      </c>
      <c r="F3681" s="22" t="str">
        <f>IFERROR(__xludf.DUMMYFUNCTION("""COMPUTED_VALUE"""),"許して阿形さん～イジワル同僚の執着責めから逃げられない～【R版】")</f>
        <v>許して阿形さん～イジワル同僚の執着責めから逃げられない～【R版】</v>
      </c>
      <c r="G3681" s="20" t="str">
        <f>IFERROR(__xludf.DUMMYFUNCTION("""COMPUTED_VALUE"""),"1～2")</f>
        <v>1～2</v>
      </c>
      <c r="H3681" s="22" t="str">
        <f>IFERROR(__xludf.DUMMYFUNCTION("""COMPUTED_VALUE"""),"ぢぇいそん椎名")</f>
        <v>ぢぇいそん椎名</v>
      </c>
      <c r="I3681" s="22" t="str">
        <f>IFERROR(__xludf.DUMMYFUNCTION("""COMPUTED_VALUE"""),"アダルト")</f>
        <v>アダルト</v>
      </c>
      <c r="J3681" s="22"/>
      <c r="K3681" s="22" t="str">
        <f>IFERROR(__xludf.DUMMYFUNCTION("""COMPUTED_VALUE"""),"＠夜噺+")</f>
        <v>＠夜噺+</v>
      </c>
      <c r="L3681" s="22" t="str">
        <f>IFERROR(__xludf.DUMMYFUNCTION("""COMPUTED_VALUE"""),"DEEPER-ZERO")</f>
        <v>DEEPER-ZERO</v>
      </c>
      <c r="M3681" s="33">
        <f>IFERROR(__xludf.DUMMYFUNCTION("""COMPUTED_VALUE"""),45890.0)</f>
        <v>45890</v>
      </c>
      <c r="N3681" s="33">
        <f>IFERROR(__xludf.DUMMYFUNCTION("""COMPUTED_VALUE"""),45945.0)</f>
        <v>45945</v>
      </c>
      <c r="O3681" s="20"/>
      <c r="P3681" s="32" t="str">
        <f>IFERROR(__xludf.DUMMYFUNCTION("""COMPUTED_VALUE"""),"可")</f>
        <v>可</v>
      </c>
      <c r="Q3681" s="30"/>
      <c r="R3681" s="22" t="str">
        <f>IFERROR(__xludf.DUMMYFUNCTION("""COMPUTED_VALUE"""),"コミットOK")</f>
        <v>コミットOK</v>
      </c>
      <c r="S3681" s="22" t="str">
        <f>IFERROR(__xludf.DUMMYFUNCTION("""COMPUTED_VALUE"""),"20250723_DEEPER-ZERO_許して阿形さん～イジワル同僚の執着責めから逃げられない～Ｒ版")</f>
        <v>20250723_DEEPER-ZERO_許して阿形さん～イジワル同僚の執着責めから逃げられない～Ｒ版</v>
      </c>
      <c r="T3681" s="22" t="str">
        <f>IFERROR(__xludf.DUMMYFUNCTION("""COMPUTED_VALUE"""),"格納済み")</f>
        <v>格納済み</v>
      </c>
      <c r="U3681" s="9" t="str">
        <f>IFERROR(__xludf.DUMMYFUNCTION("""COMPUTED_VALUE"""),"Ⓒぢぇいそん椎名/DEEPER-ZERO")</f>
        <v>Ⓒぢぇいそん椎名/DEEPER-ZERO</v>
      </c>
      <c r="V3681" s="8"/>
      <c r="W3681" s="8"/>
      <c r="X3681" s="8" t="str">
        <f>IFERROR(__xludf.DUMMYFUNCTION("""COMPUTED_VALUE"""),"有")</f>
        <v>有</v>
      </c>
      <c r="Y3681" s="8" t="str">
        <f>IFERROR(__xludf.DUMMYFUNCTION("""COMPUTED_VALUE"""),"2025/9/17まで1巻立ち読み増量(P12)")</f>
        <v>2025/9/17まで1巻立ち読み増量(P12)</v>
      </c>
      <c r="Z3681" s="7"/>
      <c r="AA3681" s="7"/>
      <c r="AB3681" s="7"/>
    </row>
    <row r="3682" ht="15.75" customHeight="1">
      <c r="A3682" s="26">
        <f>IFERROR(__xludf.DUMMYFUNCTION("""COMPUTED_VALUE"""),5796.0)</f>
        <v>5796</v>
      </c>
      <c r="B3682" s="22" t="str">
        <f>IFERROR(__xludf.DUMMYFUNCTION("""COMPUTED_VALUE"""),"確定")</f>
        <v>確定</v>
      </c>
      <c r="C3682" s="28">
        <f>IFERROR(__xludf.DUMMYFUNCTION("""COMPUTED_VALUE"""),45817.0)</f>
        <v>45817</v>
      </c>
      <c r="D3682" s="28">
        <f>IFERROR(__xludf.DUMMYFUNCTION("""COMPUTED_VALUE"""),45866.0)</f>
        <v>45866</v>
      </c>
      <c r="E3682" s="26">
        <f>IFERROR(__xludf.DUMMYFUNCTION("""COMPUTED_VALUE"""),331389.0)</f>
        <v>331389</v>
      </c>
      <c r="F3682" s="22" t="str">
        <f>IFERROR(__xludf.DUMMYFUNCTION("""COMPUTED_VALUE"""),"イケオジになった愛犬が 毎晩私でオ〇ニーしてます【R-18版】")</f>
        <v>イケオジになった愛犬が 毎晩私でオ〇ニーしてます【R-18版】</v>
      </c>
      <c r="G3682" s="20" t="str">
        <f>IFERROR(__xludf.DUMMYFUNCTION("""COMPUTED_VALUE"""),"1～3")</f>
        <v>1～3</v>
      </c>
      <c r="H3682" s="22" t="str">
        <f>IFERROR(__xludf.DUMMYFUNCTION("""COMPUTED_VALUE"""),"柚木マチ")</f>
        <v>柚木マチ</v>
      </c>
      <c r="I3682" s="22" t="str">
        <f>IFERROR(__xludf.DUMMYFUNCTION("""COMPUTED_VALUE"""),"アダルト")</f>
        <v>アダルト</v>
      </c>
      <c r="J3682" s="22"/>
      <c r="K3682" s="22" t="str">
        <f>IFERROR(__xludf.DUMMYFUNCTION("""COMPUTED_VALUE"""),"Close Moon")</f>
        <v>Close Moon</v>
      </c>
      <c r="L3682" s="22" t="str">
        <f>IFERROR(__xludf.DUMMYFUNCTION("""COMPUTED_VALUE"""),"ナンバーナイン")</f>
        <v>ナンバーナイン</v>
      </c>
      <c r="M3682" s="33">
        <f>IFERROR(__xludf.DUMMYFUNCTION("""COMPUTED_VALUE"""),45870.0)</f>
        <v>45870</v>
      </c>
      <c r="N3682" s="33">
        <f>IFERROR(__xludf.DUMMYFUNCTION("""COMPUTED_VALUE"""),45961.0)</f>
        <v>45961</v>
      </c>
      <c r="O3682" s="20"/>
      <c r="P3682" s="32" t="str">
        <f>IFERROR(__xludf.DUMMYFUNCTION("""COMPUTED_VALUE"""),"可")</f>
        <v>可</v>
      </c>
      <c r="Q3682" s="30" t="str">
        <f>IFERROR(__xludf.DUMMYFUNCTION("""COMPUTED_VALUE"""),"がるまに")</f>
        <v>がるまに</v>
      </c>
      <c r="R3682" s="22"/>
      <c r="S3682" s="22" t="str">
        <f>IFERROR(__xludf.DUMMYFUNCTION("""COMPUTED_VALUE"""),"20250728_ナンバーナイン_イケオジになった愛犬が 毎晩私でオ〇ニーしてます【R-18版】")</f>
        <v>20250728_ナンバーナイン_イケオジになった愛犬が 毎晩私でオ〇ニーしてます【R-18版】</v>
      </c>
      <c r="T3682" s="22" t="str">
        <f>IFERROR(__xludf.DUMMYFUNCTION("""COMPUTED_VALUE"""),"格納済み")</f>
        <v>格納済み</v>
      </c>
      <c r="U3682" s="9" t="str">
        <f>IFERROR(__xludf.DUMMYFUNCTION("""COMPUTED_VALUE"""),"(C)柚木マチ/ナンバーナイン")</f>
        <v>(C)柚木マチ/ナンバーナイン</v>
      </c>
      <c r="V3682" s="8"/>
      <c r="W3682" s="8"/>
      <c r="X3682" s="8" t="str">
        <f>IFERROR(__xludf.DUMMYFUNCTION("""COMPUTED_VALUE"""),"有")</f>
        <v>有</v>
      </c>
      <c r="Y3682" s="8" t="str">
        <f>IFERROR(__xludf.DUMMYFUNCTION("""COMPUTED_VALUE"""),"1巻無料")</f>
        <v>1巻無料</v>
      </c>
      <c r="Z3682" s="7"/>
      <c r="AA3682" s="7"/>
      <c r="AB3682" s="7"/>
    </row>
    <row r="3683" ht="15.75" customHeight="1">
      <c r="A3683" s="26">
        <f>IFERROR(__xludf.DUMMYFUNCTION("""COMPUTED_VALUE"""),5798.0)</f>
        <v>5798</v>
      </c>
      <c r="B3683" s="22" t="str">
        <f>IFERROR(__xludf.DUMMYFUNCTION("""COMPUTED_VALUE"""),"確定")</f>
        <v>確定</v>
      </c>
      <c r="C3683" s="28">
        <f>IFERROR(__xludf.DUMMYFUNCTION("""COMPUTED_VALUE"""),45817.0)</f>
        <v>45817</v>
      </c>
      <c r="D3683" s="28">
        <f>IFERROR(__xludf.DUMMYFUNCTION("""COMPUTED_VALUE"""),45867.0)</f>
        <v>45867</v>
      </c>
      <c r="E3683" s="26">
        <f>IFERROR(__xludf.DUMMYFUNCTION("""COMPUTED_VALUE"""),331386.0)</f>
        <v>331386</v>
      </c>
      <c r="F3683" s="22" t="str">
        <f>IFERROR(__xludf.DUMMYFUNCTION("""COMPUTED_VALUE"""),"神様この縁切ってくださいー縁切りの神は限界OLに執着するー【R-18版】")</f>
        <v>神様この縁切ってくださいー縁切りの神は限界OLに執着するー【R-18版】</v>
      </c>
      <c r="G3683" s="20" t="str">
        <f>IFERROR(__xludf.DUMMYFUNCTION("""COMPUTED_VALUE"""),"1～4")</f>
        <v>1～4</v>
      </c>
      <c r="H3683" s="22" t="str">
        <f>IFERROR(__xludf.DUMMYFUNCTION("""COMPUTED_VALUE"""),"柚木マチ")</f>
        <v>柚木マチ</v>
      </c>
      <c r="I3683" s="22" t="str">
        <f>IFERROR(__xludf.DUMMYFUNCTION("""COMPUTED_VALUE"""),"アダルトマンガ")</f>
        <v>アダルトマンガ</v>
      </c>
      <c r="J3683" s="22"/>
      <c r="K3683" s="22" t="str">
        <f>IFERROR(__xludf.DUMMYFUNCTION("""COMPUTED_VALUE"""),"Close Moon")</f>
        <v>Close Moon</v>
      </c>
      <c r="L3683" s="22" t="str">
        <f>IFERROR(__xludf.DUMMYFUNCTION("""COMPUTED_VALUE"""),"ナンバーナイン")</f>
        <v>ナンバーナイン</v>
      </c>
      <c r="M3683" s="33">
        <f>IFERROR(__xludf.DUMMYFUNCTION("""COMPUTED_VALUE"""),45870.0)</f>
        <v>45870</v>
      </c>
      <c r="N3683" s="33">
        <f>IFERROR(__xludf.DUMMYFUNCTION("""COMPUTED_VALUE"""),45961.0)</f>
        <v>45961</v>
      </c>
      <c r="O3683" s="20"/>
      <c r="P3683" s="32" t="str">
        <f>IFERROR(__xludf.DUMMYFUNCTION("""COMPUTED_VALUE"""),"可")</f>
        <v>可</v>
      </c>
      <c r="Q3683" s="30" t="str">
        <f>IFERROR(__xludf.DUMMYFUNCTION("""COMPUTED_VALUE"""),"がるまに")</f>
        <v>がるまに</v>
      </c>
      <c r="R3683" s="22"/>
      <c r="S3683" s="22" t="str">
        <f>IFERROR(__xludf.DUMMYFUNCTION("""COMPUTED_VALUE"""),"20250728_ナンバーナイン_神様この縁切ってくださいー縁切りの神は限界OLに執着するー【R-18版】")</f>
        <v>20250728_ナンバーナイン_神様この縁切ってくださいー縁切りの神は限界OLに執着するー【R-18版】</v>
      </c>
      <c r="T3683" s="22" t="str">
        <f>IFERROR(__xludf.DUMMYFUNCTION("""COMPUTED_VALUE"""),"格納済み")</f>
        <v>格納済み</v>
      </c>
      <c r="U3683" s="9" t="str">
        <f>IFERROR(__xludf.DUMMYFUNCTION("""COMPUTED_VALUE"""),"(C)柚木マチ/ナンバーナイン")</f>
        <v>(C)柚木マチ/ナンバーナイン</v>
      </c>
      <c r="V3683" s="8"/>
      <c r="W3683" s="8"/>
      <c r="X3683" s="8" t="str">
        <f>IFERROR(__xludf.DUMMYFUNCTION("""COMPUTED_VALUE"""),"有")</f>
        <v>有</v>
      </c>
      <c r="Y3683" s="8" t="str">
        <f>IFERROR(__xludf.DUMMYFUNCTION("""COMPUTED_VALUE"""),"1巻無料")</f>
        <v>1巻無料</v>
      </c>
      <c r="Z3683" s="7"/>
      <c r="AA3683" s="7"/>
      <c r="AB3683" s="7"/>
    </row>
    <row r="3684" ht="15.75" customHeight="1">
      <c r="A3684" s="26">
        <f>IFERROR(__xludf.DUMMYFUNCTION("""COMPUTED_VALUE"""),5825.0)</f>
        <v>5825</v>
      </c>
      <c r="B3684" s="22" t="str">
        <f>IFERROR(__xludf.DUMMYFUNCTION("""COMPUTED_VALUE"""),"確定")</f>
        <v>確定</v>
      </c>
      <c r="C3684" s="28">
        <f>IFERROR(__xludf.DUMMYFUNCTION("""COMPUTED_VALUE"""),45818.0)</f>
        <v>45818</v>
      </c>
      <c r="D3684" s="28">
        <f>IFERROR(__xludf.DUMMYFUNCTION("""COMPUTED_VALUE"""),45862.0)</f>
        <v>45862</v>
      </c>
      <c r="E3684" s="26">
        <f>IFERROR(__xludf.DUMMYFUNCTION("""COMPUTED_VALUE"""),332768.0)</f>
        <v>332768</v>
      </c>
      <c r="F3684" s="22" t="str">
        <f>IFERROR(__xludf.DUMMYFUNCTION("""COMPUTED_VALUE"""),"はじめての××は異世界で")</f>
        <v>はじめての××は異世界で</v>
      </c>
      <c r="G3684" s="20" t="str">
        <f>IFERROR(__xludf.DUMMYFUNCTION("""COMPUTED_VALUE"""),"1～2")</f>
        <v>1～2</v>
      </c>
      <c r="H3684" s="22" t="str">
        <f>IFERROR(__xludf.DUMMYFUNCTION("""COMPUTED_VALUE"""),"夜泣き屋pika")</f>
        <v>夜泣き屋pika</v>
      </c>
      <c r="I3684" s="22" t="str">
        <f>IFERROR(__xludf.DUMMYFUNCTION("""COMPUTED_VALUE"""),"BL")</f>
        <v>BL</v>
      </c>
      <c r="J3684" s="22"/>
      <c r="K3684" s="22" t="str">
        <f>IFERROR(__xludf.DUMMYFUNCTION("""COMPUTED_VALUE"""),"MooiComics")</f>
        <v>MooiComics</v>
      </c>
      <c r="L3684" s="22" t="str">
        <f>IFERROR(__xludf.DUMMYFUNCTION("""COMPUTED_VALUE"""),"CLLENN")</f>
        <v>CLLENN</v>
      </c>
      <c r="M3684" s="33">
        <f>IFERROR(__xludf.DUMMYFUNCTION("""COMPUTED_VALUE"""),45888.0)</f>
        <v>45888</v>
      </c>
      <c r="N3684" s="33">
        <f>IFERROR(__xludf.DUMMYFUNCTION("""COMPUTED_VALUE"""),45950.0)</f>
        <v>45950</v>
      </c>
      <c r="O3684" s="20"/>
      <c r="P3684" s="32" t="str">
        <f>IFERROR(__xludf.DUMMYFUNCTION("""COMPUTED_VALUE"""),"可")</f>
        <v>可</v>
      </c>
      <c r="Q3684" s="30"/>
      <c r="R3684" s="22" t="str">
        <f>IFERROR(__xludf.DUMMYFUNCTION("""COMPUTED_VALUE"""),"コミットOK")</f>
        <v>コミットOK</v>
      </c>
      <c r="S3684" s="22" t="str">
        <f>IFERROR(__xludf.DUMMYFUNCTION("""COMPUTED_VALUE"""),"20250724_CLLENN_はじめての××は異世界で")</f>
        <v>20250724_CLLENN_はじめての××は異世界で</v>
      </c>
      <c r="T3684" s="22" t="str">
        <f>IFERROR(__xludf.DUMMYFUNCTION("""COMPUTED_VALUE"""),"格納済み")</f>
        <v>格納済み</v>
      </c>
      <c r="U3684" s="9" t="str">
        <f>IFERROR(__xludf.DUMMYFUNCTION("""COMPUTED_VALUE"""),"Ⓒ夜泣き屋pika/CLLENN")</f>
        <v>Ⓒ夜泣き屋pika/CLLENN</v>
      </c>
      <c r="V3684" s="8"/>
      <c r="W3684" s="8"/>
      <c r="X3684" s="8" t="str">
        <f>IFERROR(__xludf.DUMMYFUNCTION("""COMPUTED_VALUE"""),"有")</f>
        <v>有</v>
      </c>
      <c r="Y3684" s="8" t="str">
        <f>IFERROR(__xludf.DUMMYFUNCTION("""COMPUTED_VALUE"""),"2025/9/1まで1巻立ち読み増量(P19)")</f>
        <v>2025/9/1まで1巻立ち読み増量(P19)</v>
      </c>
      <c r="Z3684" s="7"/>
      <c r="AA3684" s="7"/>
      <c r="AB3684" s="7"/>
    </row>
    <row r="3685" ht="15.75" customHeight="1">
      <c r="A3685" s="26">
        <f>IFERROR(__xludf.DUMMYFUNCTION("""COMPUTED_VALUE"""),5826.0)</f>
        <v>5826</v>
      </c>
      <c r="B3685" s="22" t="str">
        <f>IFERROR(__xludf.DUMMYFUNCTION("""COMPUTED_VALUE"""),"確定")</f>
        <v>確定</v>
      </c>
      <c r="C3685" s="28">
        <f>IFERROR(__xludf.DUMMYFUNCTION("""COMPUTED_VALUE"""),45818.0)</f>
        <v>45818</v>
      </c>
      <c r="D3685" s="28">
        <f>IFERROR(__xludf.DUMMYFUNCTION("""COMPUTED_VALUE"""),45862.0)</f>
        <v>45862</v>
      </c>
      <c r="E3685" s="26">
        <f>IFERROR(__xludf.DUMMYFUNCTION("""COMPUTED_VALUE"""),332769.0)</f>
        <v>332769</v>
      </c>
      <c r="F3685" s="22" t="str">
        <f>IFERROR(__xludf.DUMMYFUNCTION("""COMPUTED_VALUE"""),"あたらよのほし")</f>
        <v>あたらよのほし</v>
      </c>
      <c r="G3685" s="20" t="str">
        <f>IFERROR(__xludf.DUMMYFUNCTION("""COMPUTED_VALUE"""),"1～2")</f>
        <v>1～2</v>
      </c>
      <c r="H3685" s="22" t="str">
        <f>IFERROR(__xludf.DUMMYFUNCTION("""COMPUTED_VALUE"""),"灰音")</f>
        <v>灰音</v>
      </c>
      <c r="I3685" s="22" t="str">
        <f>IFERROR(__xludf.DUMMYFUNCTION("""COMPUTED_VALUE"""),"BL")</f>
        <v>BL</v>
      </c>
      <c r="J3685" s="22"/>
      <c r="K3685" s="22" t="str">
        <f>IFERROR(__xludf.DUMMYFUNCTION("""COMPUTED_VALUE"""),"MooiComics")</f>
        <v>MooiComics</v>
      </c>
      <c r="L3685" s="22" t="str">
        <f>IFERROR(__xludf.DUMMYFUNCTION("""COMPUTED_VALUE"""),"CLLENN")</f>
        <v>CLLENN</v>
      </c>
      <c r="M3685" s="33">
        <f>IFERROR(__xludf.DUMMYFUNCTION("""COMPUTED_VALUE"""),45888.0)</f>
        <v>45888</v>
      </c>
      <c r="N3685" s="33">
        <f>IFERROR(__xludf.DUMMYFUNCTION("""COMPUTED_VALUE"""),45950.0)</f>
        <v>45950</v>
      </c>
      <c r="O3685" s="20"/>
      <c r="P3685" s="32" t="str">
        <f>IFERROR(__xludf.DUMMYFUNCTION("""COMPUTED_VALUE"""),"可")</f>
        <v>可</v>
      </c>
      <c r="Q3685" s="30"/>
      <c r="R3685" s="22" t="str">
        <f>IFERROR(__xludf.DUMMYFUNCTION("""COMPUTED_VALUE"""),"コミットOK")</f>
        <v>コミットOK</v>
      </c>
      <c r="S3685" s="22" t="str">
        <f>IFERROR(__xludf.DUMMYFUNCTION("""COMPUTED_VALUE"""),"20250724_CLLENN_あたらよのほし")</f>
        <v>20250724_CLLENN_あたらよのほし</v>
      </c>
      <c r="T3685" s="22" t="str">
        <f>IFERROR(__xludf.DUMMYFUNCTION("""COMPUTED_VALUE"""),"格納済み")</f>
        <v>格納済み</v>
      </c>
      <c r="U3685" s="9" t="str">
        <f>IFERROR(__xludf.DUMMYFUNCTION("""COMPUTED_VALUE"""),"Ⓒ灰音/CLLENN")</f>
        <v>Ⓒ灰音/CLLENN</v>
      </c>
      <c r="V3685" s="8"/>
      <c r="W3685" s="8"/>
      <c r="X3685" s="8" t="str">
        <f>IFERROR(__xludf.DUMMYFUNCTION("""COMPUTED_VALUE"""),"有")</f>
        <v>有</v>
      </c>
      <c r="Y3685" s="8" t="str">
        <f>IFERROR(__xludf.DUMMYFUNCTION("""COMPUTED_VALUE"""),"2025/9/1まで1巻立ち読み増量(P21)")</f>
        <v>2025/9/1まで1巻立ち読み増量(P21)</v>
      </c>
      <c r="Z3685" s="7"/>
      <c r="AA3685" s="7"/>
      <c r="AB3685" s="7"/>
    </row>
    <row r="3686" ht="15.75" customHeight="1">
      <c r="A3686" s="26">
        <f>IFERROR(__xludf.DUMMYFUNCTION("""COMPUTED_VALUE"""),5848.0)</f>
        <v>5848</v>
      </c>
      <c r="B3686" s="22" t="str">
        <f>IFERROR(__xludf.DUMMYFUNCTION("""COMPUTED_VALUE"""),"確定")</f>
        <v>確定</v>
      </c>
      <c r="C3686" s="28">
        <f>IFERROR(__xludf.DUMMYFUNCTION("""COMPUTED_VALUE"""),45824.0)</f>
        <v>45824</v>
      </c>
      <c r="D3686" s="28">
        <f>IFERROR(__xludf.DUMMYFUNCTION("""COMPUTED_VALUE"""),45867.0)</f>
        <v>45867</v>
      </c>
      <c r="E3686" s="26">
        <f>IFERROR(__xludf.DUMMYFUNCTION("""COMPUTED_VALUE"""),340356.0)</f>
        <v>340356</v>
      </c>
      <c r="F3686" s="22" t="str">
        <f>IFERROR(__xludf.DUMMYFUNCTION("""COMPUTED_VALUE"""),"琴森さん、私の全部知ってるクセに【単話】")</f>
        <v>琴森さん、私の全部知ってるクセに【単話】</v>
      </c>
      <c r="G3686" s="20" t="str">
        <f>IFERROR(__xludf.DUMMYFUNCTION("""COMPUTED_VALUE"""),"1～3")</f>
        <v>1～3</v>
      </c>
      <c r="H3686" s="22" t="str">
        <f>IFERROR(__xludf.DUMMYFUNCTION("""COMPUTED_VALUE"""),"卯月しお")</f>
        <v>卯月しお</v>
      </c>
      <c r="I3686" s="22" t="str">
        <f>IFERROR(__xludf.DUMMYFUNCTION("""COMPUTED_VALUE"""),"TL")</f>
        <v>TL</v>
      </c>
      <c r="J3686" s="22"/>
      <c r="K3686" s="22" t="str">
        <f>IFERROR(__xludf.DUMMYFUNCTION("""COMPUTED_VALUE"""),"ミンティ")</f>
        <v>ミンティ</v>
      </c>
      <c r="L3686" s="22" t="str">
        <f>IFERROR(__xludf.DUMMYFUNCTION("""COMPUTED_VALUE"""),"オークラ出版")</f>
        <v>オークラ出版</v>
      </c>
      <c r="M3686" s="33">
        <f>IFERROR(__xludf.DUMMYFUNCTION("""COMPUTED_VALUE"""),45954.0)</f>
        <v>45954</v>
      </c>
      <c r="N3686" s="33">
        <f>IFERROR(__xludf.DUMMYFUNCTION("""COMPUTED_VALUE"""),45988.0)</f>
        <v>45988</v>
      </c>
      <c r="O3686" s="20"/>
      <c r="P3686" s="32" t="str">
        <f>IFERROR(__xludf.DUMMYFUNCTION("""COMPUTED_VALUE"""),"可")</f>
        <v>可</v>
      </c>
      <c r="Q3686" s="30"/>
      <c r="R3686" s="22" t="str">
        <f>IFERROR(__xludf.DUMMYFUNCTION("""COMPUTED_VALUE"""),"コミットNG")</f>
        <v>コミットNG</v>
      </c>
      <c r="S3686" s="22" t="str">
        <f>IFERROR(__xludf.DUMMYFUNCTION("""COMPUTED_VALUE"""),"20250729_オークラ出版_琴森さん、私の全部知ってるクセに【単話】")</f>
        <v>20250729_オークラ出版_琴森さん、私の全部知ってるクセに【単話】</v>
      </c>
      <c r="T3686" s="22" t="str">
        <f>IFERROR(__xludf.DUMMYFUNCTION("""COMPUTED_VALUE"""),"格納済み")</f>
        <v>格納済み</v>
      </c>
      <c r="U3686" s="9" t="str">
        <f>IFERROR(__xludf.DUMMYFUNCTION("""COMPUTED_VALUE"""),"（C）卯月しお ／オークラ出版 ミンティ")</f>
        <v>（C）卯月しお ／オークラ出版 ミンティ</v>
      </c>
      <c r="V3686" s="8"/>
      <c r="W3686" s="8"/>
      <c r="X3686" s="8" t="str">
        <f>IFERROR(__xludf.DUMMYFUNCTION("""COMPUTED_VALUE"""),"有")</f>
        <v>有</v>
      </c>
      <c r="Y3686" s="8" t="str">
        <f>IFERROR(__xludf.DUMMYFUNCTION("""COMPUTED_VALUE"""),"2025/11/6まで1巻無料")</f>
        <v>2025/11/6まで1巻無料</v>
      </c>
      <c r="Z3686" s="7"/>
      <c r="AA3686" s="7"/>
      <c r="AB3686" s="7"/>
    </row>
    <row r="3687" ht="15.75" customHeight="1">
      <c r="A3687" s="26">
        <f>IFERROR(__xludf.DUMMYFUNCTION("""COMPUTED_VALUE"""),5871.0)</f>
        <v>5871</v>
      </c>
      <c r="B3687" s="22" t="str">
        <f>IFERROR(__xludf.DUMMYFUNCTION("""COMPUTED_VALUE"""),"確定")</f>
        <v>確定</v>
      </c>
      <c r="C3687" s="28">
        <f>IFERROR(__xludf.DUMMYFUNCTION("""COMPUTED_VALUE"""),45826.0)</f>
        <v>45826</v>
      </c>
      <c r="D3687" s="28">
        <f>IFERROR(__xludf.DUMMYFUNCTION("""COMPUTED_VALUE"""),45867.0)</f>
        <v>45867</v>
      </c>
      <c r="E3687" s="26">
        <f>IFERROR(__xludf.DUMMYFUNCTION("""COMPUTED_VALUE"""),331480.0)</f>
        <v>331480</v>
      </c>
      <c r="F3687" s="22" t="str">
        <f>IFERROR(__xludf.DUMMYFUNCTION("""COMPUTED_VALUE"""),"忠犬Domは東主任を甘やかしたい")</f>
        <v>忠犬Domは東主任を甘やかしたい</v>
      </c>
      <c r="G3687" s="20" t="str">
        <f>IFERROR(__xludf.DUMMYFUNCTION("""COMPUTED_VALUE"""),"1～2")</f>
        <v>1～2</v>
      </c>
      <c r="H3687" s="22" t="str">
        <f>IFERROR(__xludf.DUMMYFUNCTION("""COMPUTED_VALUE"""),"夜鳴フニャ")</f>
        <v>夜鳴フニャ</v>
      </c>
      <c r="I3687" s="22" t="str">
        <f>IFERROR(__xludf.DUMMYFUNCTION("""COMPUTED_VALUE"""),"BL")</f>
        <v>BL</v>
      </c>
      <c r="J3687" s="22"/>
      <c r="K3687" s="22" t="str">
        <f>IFERROR(__xludf.DUMMYFUNCTION("""COMPUTED_VALUE"""),"spicomi")</f>
        <v>spicomi</v>
      </c>
      <c r="L3687" s="22" t="str">
        <f>IFERROR(__xludf.DUMMYFUNCTION("""COMPUTED_VALUE"""),"CLLENN")</f>
        <v>CLLENN</v>
      </c>
      <c r="M3687" s="33">
        <f>IFERROR(__xludf.DUMMYFUNCTION("""COMPUTED_VALUE"""),45878.0)</f>
        <v>45878</v>
      </c>
      <c r="N3687" s="33">
        <f>IFERROR(__xludf.DUMMYFUNCTION("""COMPUTED_VALUE"""),45940.0)</f>
        <v>45940</v>
      </c>
      <c r="O3687" s="20"/>
      <c r="P3687" s="32" t="str">
        <f>IFERROR(__xludf.DUMMYFUNCTION("""COMPUTED_VALUE"""),"可")</f>
        <v>可</v>
      </c>
      <c r="Q3687" s="30"/>
      <c r="R3687" s="22" t="str">
        <f>IFERROR(__xludf.DUMMYFUNCTION("""COMPUTED_VALUE"""),"コミットOK")</f>
        <v>コミットOK</v>
      </c>
      <c r="S3687" s="22" t="str">
        <f>IFERROR(__xludf.DUMMYFUNCTION("""COMPUTED_VALUE"""),"20250729_CLLENN_忠犬Domは東主任を甘やかしたい")</f>
        <v>20250729_CLLENN_忠犬Domは東主任を甘やかしたい</v>
      </c>
      <c r="T3687" s="22" t="str">
        <f>IFERROR(__xludf.DUMMYFUNCTION("""COMPUTED_VALUE"""),"格納済み")</f>
        <v>格納済み</v>
      </c>
      <c r="U3687" s="9" t="str">
        <f>IFERROR(__xludf.DUMMYFUNCTION("""COMPUTED_VALUE"""),"Ⓒ夜鳴フニャ/CLLENN")</f>
        <v>Ⓒ夜鳴フニャ/CLLENN</v>
      </c>
      <c r="V3687" s="8"/>
      <c r="W3687" s="8"/>
      <c r="X3687" s="8" t="str">
        <f>IFERROR(__xludf.DUMMYFUNCTION("""COMPUTED_VALUE"""),"有")</f>
        <v>有</v>
      </c>
      <c r="Y3687" s="8" t="str">
        <f>IFERROR(__xludf.DUMMYFUNCTION("""COMPUTED_VALUE"""),"P10まで")</f>
        <v>P10まで</v>
      </c>
      <c r="Z3687" s="7"/>
      <c r="AA3687" s="7"/>
      <c r="AB3687" s="7"/>
    </row>
    <row r="3688" ht="15.75" customHeight="1">
      <c r="A3688" s="26">
        <f>IFERROR(__xludf.DUMMYFUNCTION("""COMPUTED_VALUE"""),5877.0)</f>
        <v>5877</v>
      </c>
      <c r="B3688" s="22" t="str">
        <f>IFERROR(__xludf.DUMMYFUNCTION("""COMPUTED_VALUE"""),"確定")</f>
        <v>確定</v>
      </c>
      <c r="C3688" s="28">
        <f>IFERROR(__xludf.DUMMYFUNCTION("""COMPUTED_VALUE"""),45827.0)</f>
        <v>45827</v>
      </c>
      <c r="D3688" s="28">
        <f>IFERROR(__xludf.DUMMYFUNCTION("""COMPUTED_VALUE"""),45867.0)</f>
        <v>45867</v>
      </c>
      <c r="E3688" s="26">
        <f>IFERROR(__xludf.DUMMYFUNCTION("""COMPUTED_VALUE"""),331479.0)</f>
        <v>331479</v>
      </c>
      <c r="F3688" s="22" t="str">
        <f>IFERROR(__xludf.DUMMYFUNCTION("""COMPUTED_VALUE"""),"酔ってキスして、スーツを脱いで。")</f>
        <v>酔ってキスして、スーツを脱いで。</v>
      </c>
      <c r="G3688" s="20" t="str">
        <f>IFERROR(__xludf.DUMMYFUNCTION("""COMPUTED_VALUE"""),"1～2")</f>
        <v>1～2</v>
      </c>
      <c r="H3688" s="22" t="str">
        <f>IFERROR(__xludf.DUMMYFUNCTION("""COMPUTED_VALUE"""),"柚依りい太")</f>
        <v>柚依りい太</v>
      </c>
      <c r="I3688" s="22" t="str">
        <f>IFERROR(__xludf.DUMMYFUNCTION("""COMPUTED_VALUE"""),"BL")</f>
        <v>BL</v>
      </c>
      <c r="J3688" s="22"/>
      <c r="K3688" s="22" t="str">
        <f>IFERROR(__xludf.DUMMYFUNCTION("""COMPUTED_VALUE"""),"spicomi")</f>
        <v>spicomi</v>
      </c>
      <c r="L3688" s="22" t="str">
        <f>IFERROR(__xludf.DUMMYFUNCTION("""COMPUTED_VALUE"""),"CLLENN")</f>
        <v>CLLENN</v>
      </c>
      <c r="M3688" s="33">
        <f>IFERROR(__xludf.DUMMYFUNCTION("""COMPUTED_VALUE"""),45878.0)</f>
        <v>45878</v>
      </c>
      <c r="N3688" s="33">
        <f>IFERROR(__xludf.DUMMYFUNCTION("""COMPUTED_VALUE"""),45940.0)</f>
        <v>45940</v>
      </c>
      <c r="O3688" s="20"/>
      <c r="P3688" s="32" t="str">
        <f>IFERROR(__xludf.DUMMYFUNCTION("""COMPUTED_VALUE"""),"可")</f>
        <v>可</v>
      </c>
      <c r="Q3688" s="30"/>
      <c r="R3688" s="22" t="str">
        <f>IFERROR(__xludf.DUMMYFUNCTION("""COMPUTED_VALUE"""),"コミットOK")</f>
        <v>コミットOK</v>
      </c>
      <c r="S3688" s="22" t="str">
        <f>IFERROR(__xludf.DUMMYFUNCTION("""COMPUTED_VALUE"""),"20250729_CLLENN_酔ってキスして、スーツを脱いで。")</f>
        <v>20250729_CLLENN_酔ってキスして、スーツを脱いで。</v>
      </c>
      <c r="T3688" s="22" t="str">
        <f>IFERROR(__xludf.DUMMYFUNCTION("""COMPUTED_VALUE"""),"格納済み")</f>
        <v>格納済み</v>
      </c>
      <c r="U3688" s="9" t="str">
        <f>IFERROR(__xludf.DUMMYFUNCTION("""COMPUTED_VALUE"""),"Ⓒ柚依りい太/CLLENN")</f>
        <v>Ⓒ柚依りい太/CLLENN</v>
      </c>
      <c r="V3688" s="8"/>
      <c r="W3688" s="8"/>
      <c r="X3688" s="8" t="str">
        <f>IFERROR(__xludf.DUMMYFUNCTION("""COMPUTED_VALUE"""),"有")</f>
        <v>有</v>
      </c>
      <c r="Y3688" s="8" t="str">
        <f>IFERROR(__xludf.DUMMYFUNCTION("""COMPUTED_VALUE"""),"P10まで")</f>
        <v>P10まで</v>
      </c>
      <c r="Z3688" s="7"/>
      <c r="AA3688" s="7"/>
      <c r="AB3688" s="7"/>
    </row>
    <row r="3689" ht="15.75" customHeight="1">
      <c r="A3689" s="26">
        <f>IFERROR(__xludf.DUMMYFUNCTION("""COMPUTED_VALUE"""),5887.0)</f>
        <v>5887</v>
      </c>
      <c r="B3689" s="22" t="str">
        <f>IFERROR(__xludf.DUMMYFUNCTION("""COMPUTED_VALUE"""),"確定")</f>
        <v>確定</v>
      </c>
      <c r="C3689" s="28">
        <f>IFERROR(__xludf.DUMMYFUNCTION("""COMPUTED_VALUE"""),45828.0)</f>
        <v>45828</v>
      </c>
      <c r="D3689" s="28">
        <f>IFERROR(__xludf.DUMMYFUNCTION("""COMPUTED_VALUE"""),45863.0)</f>
        <v>45863</v>
      </c>
      <c r="E3689" s="26">
        <f>IFERROR(__xludf.DUMMYFUNCTION("""COMPUTED_VALUE"""),333880.0)</f>
        <v>333880</v>
      </c>
      <c r="F3689" s="22" t="str">
        <f>IFERROR(__xludf.DUMMYFUNCTION("""COMPUTED_VALUE"""),"【ラブパルフェ】開発上手な男友達に初イキ捧げます～関西弁男子と蜜あまレッスン")</f>
        <v>【ラブパルフェ】開発上手な男友達に初イキ捧げます～関西弁男子と蜜あまレッスン</v>
      </c>
      <c r="G3689" s="20" t="str">
        <f>IFERROR(__xludf.DUMMYFUNCTION("""COMPUTED_VALUE"""),"1～3")</f>
        <v>1～3</v>
      </c>
      <c r="H3689" s="22" t="str">
        <f>IFERROR(__xludf.DUMMYFUNCTION("""COMPUTED_VALUE"""),"堀田はご")</f>
        <v>堀田はご</v>
      </c>
      <c r="I3689" s="22" t="str">
        <f>IFERROR(__xludf.DUMMYFUNCTION("""COMPUTED_VALUE"""),"TL")</f>
        <v>TL</v>
      </c>
      <c r="J3689" s="22"/>
      <c r="K3689" s="22" t="str">
        <f>IFERROR(__xludf.DUMMYFUNCTION("""COMPUTED_VALUE"""),"ラブパルフェ")</f>
        <v>ラブパルフェ</v>
      </c>
      <c r="L3689" s="22" t="str">
        <f>IFERROR(__xludf.DUMMYFUNCTION("""COMPUTED_VALUE"""),"オーバーラップ")</f>
        <v>オーバーラップ</v>
      </c>
      <c r="M3689" s="33">
        <f>IFERROR(__xludf.DUMMYFUNCTION("""COMPUTED_VALUE"""),45901.0)</f>
        <v>45901</v>
      </c>
      <c r="N3689" s="33">
        <f>IFERROR(__xludf.DUMMYFUNCTION("""COMPUTED_VALUE"""),45961.0)</f>
        <v>45961</v>
      </c>
      <c r="O3689" s="20"/>
      <c r="P3689" s="32" t="str">
        <f>IFERROR(__xludf.DUMMYFUNCTION("""COMPUTED_VALUE"""),"可")</f>
        <v>可</v>
      </c>
      <c r="Q3689" s="30" t="str">
        <f>IFERROR(__xludf.DUMMYFUNCTION("""COMPUTED_VALUE"""),"先行期間&lt;BR&gt;1-3話(初回配信分)：2か月&lt;BR&gt;4話以降：1か月")</f>
        <v>先行期間&lt;BR&gt;1-3話(初回配信分)：2か月&lt;BR&gt;4話以降：1か月</v>
      </c>
      <c r="R3689" s="22" t="str">
        <f>IFERROR(__xludf.DUMMYFUNCTION("""COMPUTED_VALUE"""),"コミットNG")</f>
        <v>コミットNG</v>
      </c>
      <c r="S3689" s="22" t="str">
        <f>IFERROR(__xludf.DUMMYFUNCTION("""COMPUTED_VALUE"""),"20250725_オーバーラップ_開発上手な男友達に初イキ捧げます～関西弁男子と蜜あまレッスン")</f>
        <v>20250725_オーバーラップ_開発上手な男友達に初イキ捧げます～関西弁男子と蜜あまレッスン</v>
      </c>
      <c r="T3689" s="22" t="str">
        <f>IFERROR(__xludf.DUMMYFUNCTION("""COMPUTED_VALUE"""),"格納済み")</f>
        <v>格納済み</v>
      </c>
      <c r="U3689" s="9" t="str">
        <f>IFERROR(__xludf.DUMMYFUNCTION("""COMPUTED_VALUE"""),"(C)堀田はご／オーバーラップ")</f>
        <v>(C)堀田はご／オーバーラップ</v>
      </c>
      <c r="V3689" s="8"/>
      <c r="W3689" s="8"/>
      <c r="X3689" s="8" t="str">
        <f>IFERROR(__xludf.DUMMYFUNCTION("""COMPUTED_VALUE"""),"有")</f>
        <v>有</v>
      </c>
      <c r="Y3689" s="8" t="str">
        <f>IFERROR(__xludf.DUMMYFUNCTION("""COMPUTED_VALUE"""),"2025/10/31まで1巻無料")</f>
        <v>2025/10/31まで1巻無料</v>
      </c>
      <c r="Z3689" s="7"/>
      <c r="AA3689" s="7"/>
      <c r="AB3689" s="7"/>
    </row>
    <row r="3690" ht="15.75" customHeight="1">
      <c r="A3690" s="26">
        <f>IFERROR(__xludf.DUMMYFUNCTION("""COMPUTED_VALUE"""),5888.0)</f>
        <v>5888</v>
      </c>
      <c r="B3690" s="22" t="str">
        <f>IFERROR(__xludf.DUMMYFUNCTION("""COMPUTED_VALUE"""),"確定")</f>
        <v>確定</v>
      </c>
      <c r="C3690" s="28">
        <f>IFERROR(__xludf.DUMMYFUNCTION("""COMPUTED_VALUE"""),45828.0)</f>
        <v>45828</v>
      </c>
      <c r="D3690" s="28">
        <f>IFERROR(__xludf.DUMMYFUNCTION("""COMPUTED_VALUE"""),45868.0)</f>
        <v>45868</v>
      </c>
      <c r="E3690" s="26">
        <f>IFERROR(__xludf.DUMMYFUNCTION("""COMPUTED_VALUE"""),333879.0)</f>
        <v>333879</v>
      </c>
      <c r="F3690" s="22" t="str">
        <f>IFERROR(__xludf.DUMMYFUNCTION("""COMPUTED_VALUE"""),"【ラブパルフェ】発情アロマで暴く憧れ上司の独占愛～疼くところを愛でて溶かして")</f>
        <v>【ラブパルフェ】発情アロマで暴く憧れ上司の独占愛～疼くところを愛でて溶かして</v>
      </c>
      <c r="G3690" s="20" t="str">
        <f>IFERROR(__xludf.DUMMYFUNCTION("""COMPUTED_VALUE"""),"1～3")</f>
        <v>1～3</v>
      </c>
      <c r="H3690" s="22" t="str">
        <f>IFERROR(__xludf.DUMMYFUNCTION("""COMPUTED_VALUE"""),"秋生")</f>
        <v>秋生</v>
      </c>
      <c r="I3690" s="22" t="str">
        <f>IFERROR(__xludf.DUMMYFUNCTION("""COMPUTED_VALUE"""),"TL")</f>
        <v>TL</v>
      </c>
      <c r="J3690" s="22"/>
      <c r="K3690" s="22" t="str">
        <f>IFERROR(__xludf.DUMMYFUNCTION("""COMPUTED_VALUE"""),"ラブパルフェ")</f>
        <v>ラブパルフェ</v>
      </c>
      <c r="L3690" s="22" t="str">
        <f>IFERROR(__xludf.DUMMYFUNCTION("""COMPUTED_VALUE"""),"オーバーラップ")</f>
        <v>オーバーラップ</v>
      </c>
      <c r="M3690" s="33">
        <f>IFERROR(__xludf.DUMMYFUNCTION("""COMPUTED_VALUE"""),45901.0)</f>
        <v>45901</v>
      </c>
      <c r="N3690" s="33">
        <f>IFERROR(__xludf.DUMMYFUNCTION("""COMPUTED_VALUE"""),45961.0)</f>
        <v>45961</v>
      </c>
      <c r="O3690" s="20"/>
      <c r="P3690" s="32" t="str">
        <f>IFERROR(__xludf.DUMMYFUNCTION("""COMPUTED_VALUE"""),"可")</f>
        <v>可</v>
      </c>
      <c r="Q3690" s="30"/>
      <c r="R3690" s="22" t="str">
        <f>IFERROR(__xludf.DUMMYFUNCTION("""COMPUTED_VALUE"""),"コミットOK")</f>
        <v>コミットOK</v>
      </c>
      <c r="S3690" s="22" t="str">
        <f>IFERROR(__xludf.DUMMYFUNCTION("""COMPUTED_VALUE"""),"20250725_オーバーラップ_ 発情アロマで暴く憧れ上司の独占愛～疼くところを愛でて溶かして")</f>
        <v>20250725_オーバーラップ_ 発情アロマで暴く憧れ上司の独占愛～疼くところを愛でて溶かして</v>
      </c>
      <c r="T3690" s="22" t="str">
        <f>IFERROR(__xludf.DUMMYFUNCTION("""COMPUTED_VALUE"""),"素材確認中(7/30)")</f>
        <v>素材確認中(7/30)</v>
      </c>
      <c r="U3690" s="9" t="str">
        <f>IFERROR(__xludf.DUMMYFUNCTION("""COMPUTED_VALUE"""),"(C)秋生／オーバーラップ")</f>
        <v>(C)秋生／オーバーラップ</v>
      </c>
      <c r="V3690" s="8"/>
      <c r="W3690" s="8"/>
      <c r="X3690" s="8" t="str">
        <f>IFERROR(__xludf.DUMMYFUNCTION("""COMPUTED_VALUE"""),"有")</f>
        <v>有</v>
      </c>
      <c r="Y3690" s="8" t="str">
        <f>IFERROR(__xludf.DUMMYFUNCTION("""COMPUTED_VALUE"""),"2025/10/31まで1巻無料")</f>
        <v>2025/10/31まで1巻無料</v>
      </c>
      <c r="Z3690" s="7"/>
      <c r="AA3690" s="7"/>
      <c r="AB3690" s="7"/>
    </row>
    <row r="3691" ht="15.75" customHeight="1">
      <c r="A3691" s="26">
        <f>IFERROR(__xludf.DUMMYFUNCTION("""COMPUTED_VALUE"""),5889.0)</f>
        <v>5889</v>
      </c>
      <c r="B3691" s="22" t="str">
        <f>IFERROR(__xludf.DUMMYFUNCTION("""COMPUTED_VALUE"""),"確定")</f>
        <v>確定</v>
      </c>
      <c r="C3691" s="28">
        <f>IFERROR(__xludf.DUMMYFUNCTION("""COMPUTED_VALUE"""),45828.0)</f>
        <v>45828</v>
      </c>
      <c r="D3691" s="28">
        <f>IFERROR(__xludf.DUMMYFUNCTION("""COMPUTED_VALUE"""),45868.0)</f>
        <v>45868</v>
      </c>
      <c r="E3691" s="26">
        <f>IFERROR(__xludf.DUMMYFUNCTION("""COMPUTED_VALUE"""),333878.0)</f>
        <v>333878</v>
      </c>
      <c r="F3691" s="22" t="str">
        <f>IFERROR(__xludf.DUMMYFUNCTION("""COMPUTED_VALUE"""),"【ラブパルフェ】ハジメテ、拾われました。～限界OLは世話焼き幼なじみに毎晩啼かされる")</f>
        <v>【ラブパルフェ】ハジメテ、拾われました。～限界OLは世話焼き幼なじみに毎晩啼かされる</v>
      </c>
      <c r="G3691" s="20" t="str">
        <f>IFERROR(__xludf.DUMMYFUNCTION("""COMPUTED_VALUE"""),"1～3")</f>
        <v>1～3</v>
      </c>
      <c r="H3691" s="22" t="str">
        <f>IFERROR(__xludf.DUMMYFUNCTION("""COMPUTED_VALUE"""),"日咲")</f>
        <v>日咲</v>
      </c>
      <c r="I3691" s="22" t="str">
        <f>IFERROR(__xludf.DUMMYFUNCTION("""COMPUTED_VALUE"""),"TL")</f>
        <v>TL</v>
      </c>
      <c r="J3691" s="22"/>
      <c r="K3691" s="22" t="str">
        <f>IFERROR(__xludf.DUMMYFUNCTION("""COMPUTED_VALUE"""),"ラブパルフェ")</f>
        <v>ラブパルフェ</v>
      </c>
      <c r="L3691" s="22" t="str">
        <f>IFERROR(__xludf.DUMMYFUNCTION("""COMPUTED_VALUE"""),"オーバーラップ")</f>
        <v>オーバーラップ</v>
      </c>
      <c r="M3691" s="33">
        <f>IFERROR(__xludf.DUMMYFUNCTION("""COMPUTED_VALUE"""),45901.0)</f>
        <v>45901</v>
      </c>
      <c r="N3691" s="33">
        <f>IFERROR(__xludf.DUMMYFUNCTION("""COMPUTED_VALUE"""),45961.0)</f>
        <v>45961</v>
      </c>
      <c r="O3691" s="20"/>
      <c r="P3691" s="32" t="str">
        <f>IFERROR(__xludf.DUMMYFUNCTION("""COMPUTED_VALUE"""),"可")</f>
        <v>可</v>
      </c>
      <c r="Q3691" s="30"/>
      <c r="R3691" s="22" t="str">
        <f>IFERROR(__xludf.DUMMYFUNCTION("""COMPUTED_VALUE"""),"コミットOK")</f>
        <v>コミットOK</v>
      </c>
      <c r="S3691" s="22" t="str">
        <f>IFERROR(__xludf.DUMMYFUNCTION("""COMPUTED_VALUE"""),"20250725_オーバーラップ_ハジメテ、拾われました。～限界OLは世話焼き幼なじみに毎晩啼かされる")</f>
        <v>20250725_オーバーラップ_ハジメテ、拾われました。～限界OLは世話焼き幼なじみに毎晩啼かされる</v>
      </c>
      <c r="T3691" s="22" t="str">
        <f>IFERROR(__xludf.DUMMYFUNCTION("""COMPUTED_VALUE"""),"素材確認中(7/30)")</f>
        <v>素材確認中(7/30)</v>
      </c>
      <c r="U3691" s="9" t="str">
        <f>IFERROR(__xludf.DUMMYFUNCTION("""COMPUTED_VALUE"""),"(C)日咲／オーバーラップ")</f>
        <v>(C)日咲／オーバーラップ</v>
      </c>
      <c r="V3691" s="8"/>
      <c r="W3691" s="8"/>
      <c r="X3691" s="8" t="str">
        <f>IFERROR(__xludf.DUMMYFUNCTION("""COMPUTED_VALUE"""),"有")</f>
        <v>有</v>
      </c>
      <c r="Y3691" s="8" t="str">
        <f>IFERROR(__xludf.DUMMYFUNCTION("""COMPUTED_VALUE"""),"2025/10/31まで1巻無料")</f>
        <v>2025/10/31まで1巻無料</v>
      </c>
      <c r="Z3691" s="7"/>
      <c r="AA3691" s="7"/>
      <c r="AB3691" s="7"/>
    </row>
    <row r="3692" ht="15.75" customHeight="1">
      <c r="A3692" s="26">
        <f>IFERROR(__xludf.DUMMYFUNCTION("""COMPUTED_VALUE"""),5919.0)</f>
        <v>5919</v>
      </c>
      <c r="B3692" s="22" t="str">
        <f>IFERROR(__xludf.DUMMYFUNCTION("""COMPUTED_VALUE"""),"確定")</f>
        <v>確定</v>
      </c>
      <c r="C3692" s="28">
        <f>IFERROR(__xludf.DUMMYFUNCTION("""COMPUTED_VALUE"""),45832.0)</f>
        <v>45832</v>
      </c>
      <c r="D3692" s="28">
        <f>IFERROR(__xludf.DUMMYFUNCTION("""COMPUTED_VALUE"""),45861.0)</f>
        <v>45861</v>
      </c>
      <c r="E3692" s="26">
        <f>IFERROR(__xludf.DUMMYFUNCTION("""COMPUTED_VALUE"""),338836.0)</f>
        <v>338836</v>
      </c>
      <c r="F3692" s="22" t="str">
        <f>IFERROR(__xludf.DUMMYFUNCTION("""COMPUTED_VALUE"""),"婚約した理想の王子が呪われていました【単話売】")</f>
        <v>婚約した理想の王子が呪われていました【単話売】</v>
      </c>
      <c r="G3692" s="20" t="str">
        <f>IFERROR(__xludf.DUMMYFUNCTION("""COMPUTED_VALUE"""),"1～3")</f>
        <v>1～3</v>
      </c>
      <c r="H3692" s="22" t="str">
        <f>IFERROR(__xludf.DUMMYFUNCTION("""COMPUTED_VALUE"""),"著者　 十嶋あわこ／原作　ナツ／キャラクター原案　八千代ハル")</f>
        <v>著者　 十嶋あわこ／原作　ナツ／キャラクター原案　八千代ハル</v>
      </c>
      <c r="I3692" s="22" t="str">
        <f>IFERROR(__xludf.DUMMYFUNCTION("""COMPUTED_VALUE"""),"少女コミック")</f>
        <v>少女コミック</v>
      </c>
      <c r="J3692" s="22"/>
      <c r="K3692" s="22"/>
      <c r="L3692" s="22" t="str">
        <f>IFERROR(__xludf.DUMMYFUNCTION("""COMPUTED_VALUE"""),"ジュリアンパブリッシング")</f>
        <v>ジュリアンパブリッシング</v>
      </c>
      <c r="M3692" s="33">
        <f>IFERROR(__xludf.DUMMYFUNCTION("""COMPUTED_VALUE"""),45947.0)</f>
        <v>45947</v>
      </c>
      <c r="N3692" s="33">
        <f>IFERROR(__xludf.DUMMYFUNCTION("""COMPUTED_VALUE"""),45672.0)</f>
        <v>45672</v>
      </c>
      <c r="O3692" s="20"/>
      <c r="P3692" s="32" t="str">
        <f>IFERROR(__xludf.DUMMYFUNCTION("""COMPUTED_VALUE"""),"可")</f>
        <v>可</v>
      </c>
      <c r="Q3692" s="30" t="str">
        <f>IFERROR(__xludf.DUMMYFUNCTION("""COMPUTED_VALUE"""),"3巻目素材は「婚約した理想の王子が呪われていました_3話修正版」のフォルダをご使用ください")</f>
        <v>3巻目素材は「婚約した理想の王子が呪われていました_3話修正版」のフォルダをご使用ください</v>
      </c>
      <c r="R3692" s="22" t="str">
        <f>IFERROR(__xludf.DUMMYFUNCTION("""COMPUTED_VALUE"""),"コミットNG")</f>
        <v>コミットNG</v>
      </c>
      <c r="S3692" s="22" t="str">
        <f>IFERROR(__xludf.DUMMYFUNCTION("""COMPUTED_VALUE"""),"20250624_ジュリアンパブリッシング_婚約した理想の王子が呪われていました")</f>
        <v>20250624_ジュリアンパブリッシング_婚約した理想の王子が呪われていました</v>
      </c>
      <c r="T3692" s="22" t="str">
        <f>IFERROR(__xludf.DUMMYFUNCTION("""COMPUTED_VALUE"""),"格納済み")</f>
        <v>格納済み</v>
      </c>
      <c r="U3692" s="9" t="str">
        <f>IFERROR(__xludf.DUMMYFUNCTION("""COMPUTED_VALUE"""),"Ⓒ十嶋あわこ／ナツ／八千代ハル／ジュリアンパブリッシング")</f>
        <v>Ⓒ十嶋あわこ／ナツ／八千代ハル／ジュリアンパブリッシング</v>
      </c>
      <c r="V3692" s="8"/>
      <c r="W3692" s="8"/>
      <c r="X3692" s="8" t="str">
        <f>IFERROR(__xludf.DUMMYFUNCTION("""COMPUTED_VALUE"""),"有")</f>
        <v>有</v>
      </c>
      <c r="Y3692" s="8" t="str">
        <f>IFERROR(__xludf.DUMMYFUNCTION("""COMPUTED_VALUE"""),"2025/11/20まで1巻無料")</f>
        <v>2025/11/20まで1巻無料</v>
      </c>
      <c r="Z3692" s="7"/>
      <c r="AA3692" s="7"/>
      <c r="AB3692" s="7"/>
    </row>
    <row r="3693" ht="15.75" customHeight="1">
      <c r="A3693" s="26">
        <f>IFERROR(__xludf.DUMMYFUNCTION("""COMPUTED_VALUE"""),5935.0)</f>
        <v>5935</v>
      </c>
      <c r="B3693" s="22" t="str">
        <f>IFERROR(__xludf.DUMMYFUNCTION("""COMPUTED_VALUE"""),"確定")</f>
        <v>確定</v>
      </c>
      <c r="C3693" s="28">
        <f>IFERROR(__xludf.DUMMYFUNCTION("""COMPUTED_VALUE"""),45834.0)</f>
        <v>45834</v>
      </c>
      <c r="D3693" s="28">
        <f>IFERROR(__xludf.DUMMYFUNCTION("""COMPUTED_VALUE"""),45866.0)</f>
        <v>45866</v>
      </c>
      <c r="E3693" s="26">
        <f>IFERROR(__xludf.DUMMYFUNCTION("""COMPUTED_VALUE"""),332436.0)</f>
        <v>332436</v>
      </c>
      <c r="F3693" s="22" t="str">
        <f>IFERROR(__xludf.DUMMYFUNCTION("""COMPUTED_VALUE"""),"ふたつのちぶさ")</f>
        <v>ふたつのちぶさ</v>
      </c>
      <c r="G3693" s="20" t="str">
        <f>IFERROR(__xludf.DUMMYFUNCTION("""COMPUTED_VALUE"""),"1～3")</f>
        <v>1～3</v>
      </c>
      <c r="H3693" s="22" t="str">
        <f>IFERROR(__xludf.DUMMYFUNCTION("""COMPUTED_VALUE"""),"柏屋コッコ")</f>
        <v>柏屋コッコ</v>
      </c>
      <c r="I3693" s="22" t="str">
        <f>IFERROR(__xludf.DUMMYFUNCTION("""COMPUTED_VALUE"""),"女性")</f>
        <v>女性</v>
      </c>
      <c r="J3693" s="22"/>
      <c r="K3693" s="22" t="str">
        <f>IFERROR(__xludf.DUMMYFUNCTION("""COMPUTED_VALUE"""),"GG-COMICS")</f>
        <v>GG-COMICS</v>
      </c>
      <c r="L3693" s="22" t="str">
        <f>IFERROR(__xludf.DUMMYFUNCTION("""COMPUTED_VALUE"""),"CLLENN")</f>
        <v>CLLENN</v>
      </c>
      <c r="M3693" s="33">
        <f>IFERROR(__xludf.DUMMYFUNCTION("""COMPUTED_VALUE"""),45894.0)</f>
        <v>45894</v>
      </c>
      <c r="N3693" s="33">
        <f>IFERROR(__xludf.DUMMYFUNCTION("""COMPUTED_VALUE"""),45954.0)</f>
        <v>45954</v>
      </c>
      <c r="O3693" s="20"/>
      <c r="P3693" s="32" t="str">
        <f>IFERROR(__xludf.DUMMYFUNCTION("""COMPUTED_VALUE"""),"可")</f>
        <v>可</v>
      </c>
      <c r="Q3693" s="30"/>
      <c r="R3693" s="22" t="str">
        <f>IFERROR(__xludf.DUMMYFUNCTION("""COMPUTED_VALUE"""),"コミットOK")</f>
        <v>コミットOK</v>
      </c>
      <c r="S3693" s="22" t="str">
        <f>IFERROR(__xludf.DUMMYFUNCTION("""COMPUTED_VALUE"""),"20250728_CLLENN_ふたつのちぶさ")</f>
        <v>20250728_CLLENN_ふたつのちぶさ</v>
      </c>
      <c r="T3693" s="22" t="str">
        <f>IFERROR(__xludf.DUMMYFUNCTION("""COMPUTED_VALUE"""),"格納済み")</f>
        <v>格納済み</v>
      </c>
      <c r="U3693" s="9" t="str">
        <f>IFERROR(__xludf.DUMMYFUNCTION("""COMPUTED_VALUE"""),"Ⓒ柏屋コッコ/CLLENN")</f>
        <v>Ⓒ柏屋コッコ/CLLENN</v>
      </c>
      <c r="V3693" s="8"/>
      <c r="W3693" s="8"/>
      <c r="X3693" s="8" t="str">
        <f>IFERROR(__xludf.DUMMYFUNCTION("""COMPUTED_VALUE"""),"有")</f>
        <v>有</v>
      </c>
      <c r="Y3693" s="8" t="str">
        <f>IFERROR(__xludf.DUMMYFUNCTION("""COMPUTED_VALUE"""),"2025/9/7まで1巻無料")</f>
        <v>2025/9/7まで1巻無料</v>
      </c>
      <c r="Z3693" s="7"/>
      <c r="AA3693" s="7"/>
      <c r="AB3693" s="7"/>
    </row>
    <row r="3694" ht="15.75" customHeight="1">
      <c r="A3694" s="26">
        <f>IFERROR(__xludf.DUMMYFUNCTION("""COMPUTED_VALUE"""),5946.0)</f>
        <v>5946</v>
      </c>
      <c r="B3694" s="22" t="str">
        <f>IFERROR(__xludf.DUMMYFUNCTION("""COMPUTED_VALUE"""),"確定")</f>
        <v>確定</v>
      </c>
      <c r="C3694" s="28">
        <f>IFERROR(__xludf.DUMMYFUNCTION("""COMPUTED_VALUE"""),45838.0)</f>
        <v>45838</v>
      </c>
      <c r="D3694" s="28">
        <f>IFERROR(__xludf.DUMMYFUNCTION("""COMPUTED_VALUE"""),45866.0)</f>
        <v>45866</v>
      </c>
      <c r="E3694" s="26">
        <f>IFERROR(__xludf.DUMMYFUNCTION("""COMPUTED_VALUE"""),332339.0)</f>
        <v>332339</v>
      </c>
      <c r="F3694" s="22" t="str">
        <f>IFERROR(__xludf.DUMMYFUNCTION("""COMPUTED_VALUE"""),"ふたりが幸せになっていく姿を見るくらいなら死んだほうがいい。")</f>
        <v>ふたりが幸せになっていく姿を見るくらいなら死んだほうがいい。</v>
      </c>
      <c r="G3694" s="20" t="str">
        <f>IFERROR(__xludf.DUMMYFUNCTION("""COMPUTED_VALUE"""),"1～2")</f>
        <v>1～2</v>
      </c>
      <c r="H3694" s="22" t="str">
        <f>IFERROR(__xludf.DUMMYFUNCTION("""COMPUTED_VALUE"""),"茶菓山しん太")</f>
        <v>茶菓山しん太</v>
      </c>
      <c r="I3694" s="22" t="str">
        <f>IFERROR(__xludf.DUMMYFUNCTION("""COMPUTED_VALUE"""),"アダルト")</f>
        <v>アダルト</v>
      </c>
      <c r="J3694" s="22"/>
      <c r="K3694" s="22" t="str">
        <f>IFERROR(__xludf.DUMMYFUNCTION("""COMPUTED_VALUE"""),"アシオナcomic")</f>
        <v>アシオナcomic</v>
      </c>
      <c r="L3694" s="22" t="str">
        <f>IFERROR(__xludf.DUMMYFUNCTION("""COMPUTED_VALUE"""),"渋谷六花舎")</f>
        <v>渋谷六花舎</v>
      </c>
      <c r="M3694" s="33">
        <f>IFERROR(__xludf.DUMMYFUNCTION("""COMPUTED_VALUE"""),45892.0)</f>
        <v>45892</v>
      </c>
      <c r="N3694" s="33">
        <f>IFERROR(__xludf.DUMMYFUNCTION("""COMPUTED_VALUE"""),45990.0)</f>
        <v>45990</v>
      </c>
      <c r="O3694" s="20"/>
      <c r="P3694" s="32" t="str">
        <f>IFERROR(__xludf.DUMMYFUNCTION("""COMPUTED_VALUE"""),"可")</f>
        <v>可</v>
      </c>
      <c r="Q3694" s="30" t="str">
        <f>IFERROR(__xludf.DUMMYFUNCTION("""COMPUTED_VALUE"""),"同人ストア配信中、続話（80p）も配信予定。&lt;BR&gt;2次先行扱いになります。")</f>
        <v>同人ストア配信中、続話（80p）も配信予定。&lt;BR&gt;2次先行扱いになります。</v>
      </c>
      <c r="R3694" s="22" t="str">
        <f>IFERROR(__xludf.DUMMYFUNCTION("""COMPUTED_VALUE"""),"コミットOK")</f>
        <v>コミットOK</v>
      </c>
      <c r="S3694" s="22" t="str">
        <f>IFERROR(__xludf.DUMMYFUNCTION("""COMPUTED_VALUE"""),"20250728_渋谷六花舎_ふたりが幸せになっていく姿を見るくらいなら死んだほうがいい。")</f>
        <v>20250728_渋谷六花舎_ふたりが幸せになっていく姿を見るくらいなら死んだほうがいい。</v>
      </c>
      <c r="T3694" s="22" t="str">
        <f>IFERROR(__xludf.DUMMYFUNCTION("""COMPUTED_VALUE"""),"格納済み")</f>
        <v>格納済み</v>
      </c>
      <c r="U3694" s="9" t="str">
        <f>IFERROR(__xludf.DUMMYFUNCTION("""COMPUTED_VALUE"""),"（C）茶菓山しん太／アシオナcomic")</f>
        <v>（C）茶菓山しん太／アシオナcomic</v>
      </c>
      <c r="V3694" s="8"/>
      <c r="W3694" s="8"/>
      <c r="X3694" s="8" t="str">
        <f>IFERROR(__xludf.DUMMYFUNCTION("""COMPUTED_VALUE"""),"有")</f>
        <v>有</v>
      </c>
      <c r="Y3694" s="8" t="str">
        <f>IFERROR(__xludf.DUMMYFUNCTION("""COMPUTED_VALUE"""),"P9まで")</f>
        <v>P9まで</v>
      </c>
      <c r="Z3694" s="7"/>
      <c r="AA3694" s="7"/>
      <c r="AB3694" s="7"/>
    </row>
    <row r="3695" ht="15.75" customHeight="1">
      <c r="A3695" s="26">
        <f>IFERROR(__xludf.DUMMYFUNCTION("""COMPUTED_VALUE"""),5947.0)</f>
        <v>5947</v>
      </c>
      <c r="B3695" s="22" t="str">
        <f>IFERROR(__xludf.DUMMYFUNCTION("""COMPUTED_VALUE"""),"確定")</f>
        <v>確定</v>
      </c>
      <c r="C3695" s="28">
        <f>IFERROR(__xludf.DUMMYFUNCTION("""COMPUTED_VALUE"""),45838.0)</f>
        <v>45838</v>
      </c>
      <c r="D3695" s="28">
        <f>IFERROR(__xludf.DUMMYFUNCTION("""COMPUTED_VALUE"""),45867.0)</f>
        <v>45867</v>
      </c>
      <c r="E3695" s="26">
        <f>IFERROR(__xludf.DUMMYFUNCTION("""COMPUTED_VALUE"""),334890.0)</f>
        <v>334890</v>
      </c>
      <c r="F3695" s="22" t="str">
        <f>IFERROR(__xludf.DUMMYFUNCTION("""COMPUTED_VALUE"""),"思い出したくないこと")</f>
        <v>思い出したくないこと</v>
      </c>
      <c r="G3695" s="20" t="str">
        <f>IFERROR(__xludf.DUMMYFUNCTION("""COMPUTED_VALUE"""),"1～2")</f>
        <v>1～2</v>
      </c>
      <c r="H3695" s="22" t="str">
        <f>IFERROR(__xludf.DUMMYFUNCTION("""COMPUTED_VALUE"""),"UDS")</f>
        <v>UDS</v>
      </c>
      <c r="I3695" s="22" t="str">
        <f>IFERROR(__xludf.DUMMYFUNCTION("""COMPUTED_VALUE"""),"アダルト")</f>
        <v>アダルト</v>
      </c>
      <c r="J3695" s="22"/>
      <c r="K3695" s="22" t="str">
        <f>IFERROR(__xludf.DUMMYFUNCTION("""COMPUTED_VALUE"""),"アシオナcomic")</f>
        <v>アシオナcomic</v>
      </c>
      <c r="L3695" s="22" t="str">
        <f>IFERROR(__xludf.DUMMYFUNCTION("""COMPUTED_VALUE"""),"渋谷六花舎")</f>
        <v>渋谷六花舎</v>
      </c>
      <c r="M3695" s="33">
        <f>IFERROR(__xludf.DUMMYFUNCTION("""COMPUTED_VALUE"""),45899.0)</f>
        <v>45899</v>
      </c>
      <c r="N3695" s="33">
        <f>IFERROR(__xludf.DUMMYFUNCTION("""COMPUTED_VALUE"""),45990.0)</f>
        <v>45990</v>
      </c>
      <c r="O3695" s="20"/>
      <c r="P3695" s="32" t="str">
        <f>IFERROR(__xludf.DUMMYFUNCTION("""COMPUTED_VALUE"""),"可")</f>
        <v>可</v>
      </c>
      <c r="Q3695" s="30" t="str">
        <f>IFERROR(__xludf.DUMMYFUNCTION("""COMPUTED_VALUE"""),"同人ストア配信中、商業は初になります。&lt;BR&gt;2次先行扱いになります。")</f>
        <v>同人ストア配信中、商業は初になります。&lt;BR&gt;2次先行扱いになります。</v>
      </c>
      <c r="R3695" s="22" t="str">
        <f>IFERROR(__xludf.DUMMYFUNCTION("""COMPUTED_VALUE"""),"コミットOK")</f>
        <v>コミットOK</v>
      </c>
      <c r="S3695" s="22" t="str">
        <f>IFERROR(__xludf.DUMMYFUNCTION("""COMPUTED_VALUE"""),"20250728_渋谷六花舎_思い出したくないこと")</f>
        <v>20250728_渋谷六花舎_思い出したくないこと</v>
      </c>
      <c r="T3695" s="22" t="str">
        <f>IFERROR(__xludf.DUMMYFUNCTION("""COMPUTED_VALUE"""),"格納済み")</f>
        <v>格納済み</v>
      </c>
      <c r="U3695" s="9" t="str">
        <f>IFERROR(__xludf.DUMMYFUNCTION("""COMPUTED_VALUE"""),"（C）UDS／アシオナcomic")</f>
        <v>（C）UDS／アシオナcomic</v>
      </c>
      <c r="V3695" s="8"/>
      <c r="W3695" s="8"/>
      <c r="X3695" s="8" t="str">
        <f>IFERROR(__xludf.DUMMYFUNCTION("""COMPUTED_VALUE"""),"有")</f>
        <v>有</v>
      </c>
      <c r="Y3695" s="8" t="str">
        <f>IFERROR(__xludf.DUMMYFUNCTION("""COMPUTED_VALUE"""),"P10まで")</f>
        <v>P10まで</v>
      </c>
      <c r="Z3695" s="7"/>
      <c r="AA3695" s="7"/>
      <c r="AB3695" s="7"/>
    </row>
    <row r="3696" ht="15.75" customHeight="1">
      <c r="A3696" s="26">
        <f>IFERROR(__xludf.DUMMYFUNCTION("""COMPUTED_VALUE"""),5977.0)</f>
        <v>5977</v>
      </c>
      <c r="B3696" s="22" t="str">
        <f>IFERROR(__xludf.DUMMYFUNCTION("""COMPUTED_VALUE"""),"確定")</f>
        <v>確定</v>
      </c>
      <c r="C3696" s="28">
        <f>IFERROR(__xludf.DUMMYFUNCTION("""COMPUTED_VALUE"""),45840.0)</f>
        <v>45840</v>
      </c>
      <c r="D3696" s="28">
        <f>IFERROR(__xludf.DUMMYFUNCTION("""COMPUTED_VALUE"""),45863.0)</f>
        <v>45863</v>
      </c>
      <c r="E3696" s="26">
        <f>IFERROR(__xludf.DUMMYFUNCTION("""COMPUTED_VALUE"""),333035.0)</f>
        <v>333035</v>
      </c>
      <c r="F3696" s="22" t="str">
        <f>IFERROR(__xludf.DUMMYFUNCTION("""COMPUTED_VALUE"""),"グウェンドリンと賢者の書【単話】")</f>
        <v>グウェンドリンと賢者の書【単話】</v>
      </c>
      <c r="G3696" s="20" t="str">
        <f>IFERROR(__xludf.DUMMYFUNCTION("""COMPUTED_VALUE"""),"1～3")</f>
        <v>1～3</v>
      </c>
      <c r="H3696" s="22" t="str">
        <f>IFERROR(__xludf.DUMMYFUNCTION("""COMPUTED_VALUE"""),"セトリコ")</f>
        <v>セトリコ</v>
      </c>
      <c r="I3696" s="22" t="str">
        <f>IFERROR(__xludf.DUMMYFUNCTION("""COMPUTED_VALUE"""),"女性")</f>
        <v>女性</v>
      </c>
      <c r="J3696" s="22"/>
      <c r="K3696" s="22"/>
      <c r="L3696" s="22" t="str">
        <f>IFERROR(__xludf.DUMMYFUNCTION("""COMPUTED_VALUE"""),"朝日新聞出版")</f>
        <v>朝日新聞出版</v>
      </c>
      <c r="M3696" s="33">
        <f>IFERROR(__xludf.DUMMYFUNCTION("""COMPUTED_VALUE"""),45899.0)</f>
        <v>45899</v>
      </c>
      <c r="N3696" s="33">
        <f>IFERROR(__xludf.DUMMYFUNCTION("""COMPUTED_VALUE"""),45990.0)</f>
        <v>45990</v>
      </c>
      <c r="O3696" s="20"/>
      <c r="P3696" s="32" t="str">
        <f>IFERROR(__xludf.DUMMYFUNCTION("""COMPUTED_VALUE"""),"可")</f>
        <v>可</v>
      </c>
      <c r="Q3696" s="30" t="str">
        <f>IFERROR(__xludf.DUMMYFUNCTION("""COMPUTED_VALUE"""),"冒頭1話無料&lt;BR&gt;")</f>
        <v>冒頭1話無料&lt;BR&gt;</v>
      </c>
      <c r="R3696" s="22" t="str">
        <f>IFERROR(__xludf.DUMMYFUNCTION("""COMPUTED_VALUE"""),"コミットNG")</f>
        <v>コミットNG</v>
      </c>
      <c r="S3696" s="22" t="str">
        <f>IFERROR(__xludf.DUMMYFUNCTION("""COMPUTED_VALUE"""),"20250702_朝日新聞出版_グウェンドリンと賢者の書")</f>
        <v>20250702_朝日新聞出版_グウェンドリンと賢者の書</v>
      </c>
      <c r="T3696" s="22" t="str">
        <f>IFERROR(__xludf.DUMMYFUNCTION("""COMPUTED_VALUE"""),"格納済み")</f>
        <v>格納済み</v>
      </c>
      <c r="U3696" s="9" t="str">
        <f>IFERROR(__xludf.DUMMYFUNCTION("""COMPUTED_VALUE"""),"(C) セトリコ／朝日新聞出版")</f>
        <v>(C) セトリコ／朝日新聞出版</v>
      </c>
      <c r="V3696" s="8"/>
      <c r="W3696" s="8"/>
      <c r="X3696" s="8" t="str">
        <f>IFERROR(__xludf.DUMMYFUNCTION("""COMPUTED_VALUE"""),"有")</f>
        <v>有</v>
      </c>
      <c r="Y3696" s="8" t="str">
        <f>IFERROR(__xludf.DUMMYFUNCTION("""COMPUTED_VALUE"""),"P3まで")</f>
        <v>P3まで</v>
      </c>
      <c r="Z3696" s="7"/>
      <c r="AA3696" s="7"/>
      <c r="AB3696" s="7"/>
    </row>
    <row r="3697" ht="15.75" customHeight="1">
      <c r="A3697" s="26">
        <f>IFERROR(__xludf.DUMMYFUNCTION("""COMPUTED_VALUE"""),5978.0)</f>
        <v>5978</v>
      </c>
      <c r="B3697" s="22" t="str">
        <f>IFERROR(__xludf.DUMMYFUNCTION("""COMPUTED_VALUE"""),"確定")</f>
        <v>確定</v>
      </c>
      <c r="C3697" s="28">
        <f>IFERROR(__xludf.DUMMYFUNCTION("""COMPUTED_VALUE"""),45840.0)</f>
        <v>45840</v>
      </c>
      <c r="D3697" s="28">
        <f>IFERROR(__xludf.DUMMYFUNCTION("""COMPUTED_VALUE"""),45863.0)</f>
        <v>45863</v>
      </c>
      <c r="E3697" s="26">
        <f>IFERROR(__xludf.DUMMYFUNCTION("""COMPUTED_VALUE"""),333034.0)</f>
        <v>333034</v>
      </c>
      <c r="F3697" s="22" t="str">
        <f>IFERROR(__xludf.DUMMYFUNCTION("""COMPUTED_VALUE"""),"オンナノカベ～女性向け風俗の付き添い始めました～【単話】")</f>
        <v>オンナノカベ～女性向け風俗の付き添い始めました～【単話】</v>
      </c>
      <c r="G3697" s="20" t="str">
        <f>IFERROR(__xludf.DUMMYFUNCTION("""COMPUTED_VALUE"""),"1～3")</f>
        <v>1～3</v>
      </c>
      <c r="H3697" s="22" t="str">
        <f>IFERROR(__xludf.DUMMYFUNCTION("""COMPUTED_VALUE"""),"作画／サイトウユリ　原作／女性向け風俗セラピストA、NARATA")</f>
        <v>作画／サイトウユリ　原作／女性向け風俗セラピストA、NARATA</v>
      </c>
      <c r="I3697" s="22" t="str">
        <f>IFERROR(__xludf.DUMMYFUNCTION("""COMPUTED_VALUE"""),"女性")</f>
        <v>女性</v>
      </c>
      <c r="J3697" s="22"/>
      <c r="K3697" s="22"/>
      <c r="L3697" s="22" t="str">
        <f>IFERROR(__xludf.DUMMYFUNCTION("""COMPUTED_VALUE"""),"朝日新聞出版")</f>
        <v>朝日新聞出版</v>
      </c>
      <c r="M3697" s="33">
        <f>IFERROR(__xludf.DUMMYFUNCTION("""COMPUTED_VALUE"""),45899.0)</f>
        <v>45899</v>
      </c>
      <c r="N3697" s="33">
        <f>IFERROR(__xludf.DUMMYFUNCTION("""COMPUTED_VALUE"""),45990.0)</f>
        <v>45990</v>
      </c>
      <c r="O3697" s="20"/>
      <c r="P3697" s="32" t="str">
        <f>IFERROR(__xludf.DUMMYFUNCTION("""COMPUTED_VALUE"""),"可")</f>
        <v>可</v>
      </c>
      <c r="Q3697" s="30" t="str">
        <f>IFERROR(__xludf.DUMMYFUNCTION("""COMPUTED_VALUE"""),"冒頭1話無料&lt;BR&gt;")</f>
        <v>冒頭1話無料&lt;BR&gt;</v>
      </c>
      <c r="R3697" s="22" t="str">
        <f>IFERROR(__xludf.DUMMYFUNCTION("""COMPUTED_VALUE"""),"コミットNG")</f>
        <v>コミットNG</v>
      </c>
      <c r="S3697" s="22" t="str">
        <f>IFERROR(__xludf.DUMMYFUNCTION("""COMPUTED_VALUE"""),"20250702_朝日新聞出版_オンナノカベ～女性向け風俗の付き添い始めました～")</f>
        <v>20250702_朝日新聞出版_オンナノカベ～女性向け風俗の付き添い始めました～</v>
      </c>
      <c r="T3697" s="22" t="str">
        <f>IFERROR(__xludf.DUMMYFUNCTION("""COMPUTED_VALUE"""),"格納済み")</f>
        <v>格納済み</v>
      </c>
      <c r="U3697" s="9" t="str">
        <f>IFERROR(__xludf.DUMMYFUNCTION("""COMPUTED_VALUE"""),"(C) サイトウユリ・女性向け風俗セラピストＡ・NARATA／朝日新聞出版")</f>
        <v>(C) サイトウユリ・女性向け風俗セラピストＡ・NARATA／朝日新聞出版</v>
      </c>
      <c r="V3697" s="8"/>
      <c r="W3697" s="8"/>
      <c r="X3697" s="8" t="str">
        <f>IFERROR(__xludf.DUMMYFUNCTION("""COMPUTED_VALUE"""),"有")</f>
        <v>有</v>
      </c>
      <c r="Y3697" s="8" t="str">
        <f>IFERROR(__xludf.DUMMYFUNCTION("""COMPUTED_VALUE"""),"P3まで")</f>
        <v>P3まで</v>
      </c>
      <c r="Z3697" s="7"/>
      <c r="AA3697" s="7"/>
      <c r="AB3697" s="7"/>
    </row>
    <row r="3698" ht="15.75" customHeight="1">
      <c r="A3698" s="26">
        <f>IFERROR(__xludf.DUMMYFUNCTION("""COMPUTED_VALUE"""),5989.0)</f>
        <v>5989</v>
      </c>
      <c r="B3698" s="22" t="str">
        <f>IFERROR(__xludf.DUMMYFUNCTION("""COMPUTED_VALUE"""),"確定")</f>
        <v>確定</v>
      </c>
      <c r="C3698" s="28">
        <f>IFERROR(__xludf.DUMMYFUNCTION("""COMPUTED_VALUE"""),45841.0)</f>
        <v>45841</v>
      </c>
      <c r="D3698" s="28">
        <f>IFERROR(__xludf.DUMMYFUNCTION("""COMPUTED_VALUE"""),45866.0)</f>
        <v>45866</v>
      </c>
      <c r="E3698" s="26">
        <f>IFERROR(__xludf.DUMMYFUNCTION("""COMPUTED_VALUE"""),334108.0)</f>
        <v>334108</v>
      </c>
      <c r="F3698" s="22" t="str">
        <f>IFERROR(__xludf.DUMMYFUNCTION("""COMPUTED_VALUE"""),"壊された結婚～サレ妻とサイコ悪女の攻防戦～")</f>
        <v>壊された結婚～サレ妻とサイコ悪女の攻防戦～</v>
      </c>
      <c r="G3698" s="20" t="str">
        <f>IFERROR(__xludf.DUMMYFUNCTION("""COMPUTED_VALUE"""),"1～3")</f>
        <v>1～3</v>
      </c>
      <c r="H3698" s="22" t="str">
        <f>IFERROR(__xludf.DUMMYFUNCTION("""COMPUTED_VALUE"""),"著者：みずや実莉　原作：糸長忍")</f>
        <v>著者：みずや実莉　原作：糸長忍</v>
      </c>
      <c r="I3698" s="22" t="str">
        <f>IFERROR(__xludf.DUMMYFUNCTION("""COMPUTED_VALUE"""),"女性")</f>
        <v>女性</v>
      </c>
      <c r="J3698" s="22"/>
      <c r="K3698" s="22" t="str">
        <f>IFERROR(__xludf.DUMMYFUNCTION("""COMPUTED_VALUE"""),"オパールCOMICS kiss")</f>
        <v>オパールCOMICS kiss</v>
      </c>
      <c r="L3698" s="22" t="str">
        <f>IFERROR(__xludf.DUMMYFUNCTION("""COMPUTED_VALUE"""),"プランタン出版")</f>
        <v>プランタン出版</v>
      </c>
      <c r="M3698" s="33">
        <f>IFERROR(__xludf.DUMMYFUNCTION("""COMPUTED_VALUE"""),45905.0)</f>
        <v>45905</v>
      </c>
      <c r="N3698" s="33">
        <f>IFERROR(__xludf.DUMMYFUNCTION("""COMPUTED_VALUE"""),45995.0)</f>
        <v>45995</v>
      </c>
      <c r="O3698" s="20"/>
      <c r="P3698" s="32" t="str">
        <f>IFERROR(__xludf.DUMMYFUNCTION("""COMPUTED_VALUE"""),"可")</f>
        <v>可</v>
      </c>
      <c r="Q3698" s="30"/>
      <c r="R3698" s="22" t="str">
        <f>IFERROR(__xludf.DUMMYFUNCTION("""COMPUTED_VALUE"""),"コミットOK")</f>
        <v>コミットOK</v>
      </c>
      <c r="S3698" s="22" t="str">
        <f>IFERROR(__xludf.DUMMYFUNCTION("""COMPUTED_VALUE"""),"20250725_フランス書院_壊された結婚～サレ妻とサイコ悪女の攻防戦")</f>
        <v>20250725_フランス書院_壊された結婚～サレ妻とサイコ悪女の攻防戦</v>
      </c>
      <c r="T3698" s="22" t="str">
        <f>IFERROR(__xludf.DUMMYFUNCTION("""COMPUTED_VALUE"""),"格納済み")</f>
        <v>格納済み</v>
      </c>
      <c r="U3698" s="9" t="str">
        <f>IFERROR(__xludf.DUMMYFUNCTION("""COMPUTED_VALUE"""),"(C)みずや実莉/糸長忍/プランタン出版")</f>
        <v>(C)みずや実莉/糸長忍/プランタン出版</v>
      </c>
      <c r="V3698" s="8"/>
      <c r="W3698" s="8"/>
      <c r="X3698" s="8" t="str">
        <f>IFERROR(__xludf.DUMMYFUNCTION("""COMPUTED_VALUE"""),"有")</f>
        <v>有</v>
      </c>
      <c r="Y3698" s="8" t="str">
        <f>IFERROR(__xludf.DUMMYFUNCTION("""COMPUTED_VALUE"""),"P11まで")</f>
        <v>P11まで</v>
      </c>
      <c r="Z3698" s="7"/>
      <c r="AA3698" s="7"/>
      <c r="AB3698" s="7"/>
    </row>
    <row r="3699" ht="15.75" customHeight="1">
      <c r="A3699" s="26">
        <f>IFERROR(__xludf.DUMMYFUNCTION("""COMPUTED_VALUE"""),5999.0)</f>
        <v>5999</v>
      </c>
      <c r="B3699" s="22" t="str">
        <f>IFERROR(__xludf.DUMMYFUNCTION("""COMPUTED_VALUE"""),"確定")</f>
        <v>確定</v>
      </c>
      <c r="C3699" s="28">
        <f>IFERROR(__xludf.DUMMYFUNCTION("""COMPUTED_VALUE"""),45845.0)</f>
        <v>45845</v>
      </c>
      <c r="D3699" s="28">
        <f>IFERROR(__xludf.DUMMYFUNCTION("""COMPUTED_VALUE"""),45866.0)</f>
        <v>45866</v>
      </c>
      <c r="E3699" s="26">
        <f>IFERROR(__xludf.DUMMYFUNCTION("""COMPUTED_VALUE"""),332091.0)</f>
        <v>332091</v>
      </c>
      <c r="F3699" s="22" t="str">
        <f>IFERROR(__xludf.DUMMYFUNCTION("""COMPUTED_VALUE"""),"さえずらないで、初恋")</f>
        <v>さえずらないで、初恋</v>
      </c>
      <c r="G3699" s="20" t="str">
        <f>IFERROR(__xludf.DUMMYFUNCTION("""COMPUTED_VALUE"""),"1～3")</f>
        <v>1～3</v>
      </c>
      <c r="H3699" s="22" t="str">
        <f>IFERROR(__xludf.DUMMYFUNCTION("""COMPUTED_VALUE"""),"淵")</f>
        <v>淵</v>
      </c>
      <c r="I3699" s="22" t="str">
        <f>IFERROR(__xludf.DUMMYFUNCTION("""COMPUTED_VALUE"""),"BL")</f>
        <v>BL</v>
      </c>
      <c r="J3699" s="22"/>
      <c r="K3699" s="22"/>
      <c r="L3699" s="22" t="str">
        <f>IFERROR(__xludf.DUMMYFUNCTION("""COMPUTED_VALUE"""),"Freedia(フリーディア)")</f>
        <v>Freedia(フリーディア)</v>
      </c>
      <c r="M3699" s="33">
        <f>IFERROR(__xludf.DUMMYFUNCTION("""COMPUTED_VALUE"""),45891.0)</f>
        <v>45891</v>
      </c>
      <c r="N3699" s="33">
        <f>IFERROR(__xludf.DUMMYFUNCTION("""COMPUTED_VALUE"""),45982.0)</f>
        <v>45982</v>
      </c>
      <c r="O3699" s="20"/>
      <c r="P3699" s="32" t="str">
        <f>IFERROR(__xludf.DUMMYFUNCTION("""COMPUTED_VALUE"""),"可")</f>
        <v>可</v>
      </c>
      <c r="Q3699" s="30" t="str">
        <f>IFERROR(__xludf.DUMMYFUNCTION("""COMPUTED_VALUE"""),"【初回配信時施策】1話無料&lt;BR&gt;")</f>
        <v>【初回配信時施策】1話無料&lt;BR&gt;</v>
      </c>
      <c r="R3699" s="22" t="str">
        <f>IFERROR(__xludf.DUMMYFUNCTION("""COMPUTED_VALUE"""),"コミットNG")</f>
        <v>コミットNG</v>
      </c>
      <c r="S3699" s="22" t="str">
        <f>IFERROR(__xludf.DUMMYFUNCTION("""COMPUTED_VALUE"""),"20250718_Freedia_さえずらないで、初恋")</f>
        <v>20250718_Freedia_さえずらないで、初恋</v>
      </c>
      <c r="T3699" s="22" t="str">
        <f>IFERROR(__xludf.DUMMYFUNCTION("""COMPUTED_VALUE"""),"格納済み")</f>
        <v>格納済み</v>
      </c>
      <c r="U3699" s="9" t="str">
        <f>IFERROR(__xludf.DUMMYFUNCTION("""COMPUTED_VALUE"""),"Ⓒ淵/Freedia")</f>
        <v>Ⓒ淵/Freedia</v>
      </c>
      <c r="V3699" s="8"/>
      <c r="W3699" s="8"/>
      <c r="X3699" s="8" t="str">
        <f>IFERROR(__xludf.DUMMYFUNCTION("""COMPUTED_VALUE"""),"有")</f>
        <v>有</v>
      </c>
      <c r="Y3699" s="8" t="str">
        <f>IFERROR(__xludf.DUMMYFUNCTION("""COMPUTED_VALUE"""),"P5まで")</f>
        <v>P5まで</v>
      </c>
      <c r="Z3699" s="7"/>
      <c r="AA3699" s="7"/>
      <c r="AB3699" s="7"/>
    </row>
    <row r="3700" ht="15.75" customHeight="1">
      <c r="A3700" s="26">
        <f>IFERROR(__xludf.DUMMYFUNCTION("""COMPUTED_VALUE"""),6014.0)</f>
        <v>6014</v>
      </c>
      <c r="B3700" s="22" t="str">
        <f>IFERROR(__xludf.DUMMYFUNCTION("""COMPUTED_VALUE"""),"確定")</f>
        <v>確定</v>
      </c>
      <c r="C3700" s="28">
        <f>IFERROR(__xludf.DUMMYFUNCTION("""COMPUTED_VALUE"""),45845.0)</f>
        <v>45845</v>
      </c>
      <c r="D3700" s="28">
        <f>IFERROR(__xludf.DUMMYFUNCTION("""COMPUTED_VALUE"""),45862.0)</f>
        <v>45862</v>
      </c>
      <c r="E3700" s="26">
        <f>IFERROR(__xludf.DUMMYFUNCTION("""COMPUTED_VALUE"""),333852.0)</f>
        <v>333852</v>
      </c>
      <c r="F3700" s="22" t="str">
        <f>IFERROR(__xludf.DUMMYFUNCTION("""COMPUTED_VALUE"""),"冒涜のピンクは嗤う【単話版】")</f>
        <v>冒涜のピンクは嗤う【単話版】</v>
      </c>
      <c r="G3700" s="20" t="str">
        <f>IFERROR(__xludf.DUMMYFUNCTION("""COMPUTED_VALUE"""),"1～7")</f>
        <v>1～7</v>
      </c>
      <c r="H3700" s="22" t="str">
        <f>IFERROR(__xludf.DUMMYFUNCTION("""COMPUTED_VALUE"""),"氷室")</f>
        <v>氷室</v>
      </c>
      <c r="I3700" s="22" t="str">
        <f>IFERROR(__xludf.DUMMYFUNCTION("""COMPUTED_VALUE"""),"青年")</f>
        <v>青年</v>
      </c>
      <c r="J3700" s="22"/>
      <c r="K3700" s="22"/>
      <c r="L3700" s="22" t="str">
        <f>IFERROR(__xludf.DUMMYFUNCTION("""COMPUTED_VALUE"""),"GANMA!")</f>
        <v>GANMA!</v>
      </c>
      <c r="M3700" s="33">
        <f>IFERROR(__xludf.DUMMYFUNCTION("""COMPUTED_VALUE"""),45904.0)</f>
        <v>45904</v>
      </c>
      <c r="N3700" s="33">
        <f>IFERROR(__xludf.DUMMYFUNCTION("""COMPUTED_VALUE"""),45994.0)</f>
        <v>45994</v>
      </c>
      <c r="O3700" s="20"/>
      <c r="P3700" s="32" t="str">
        <f>IFERROR(__xludf.DUMMYFUNCTION("""COMPUTED_VALUE"""),"可")</f>
        <v>可</v>
      </c>
      <c r="Q3700" s="30" t="str">
        <f>IFERROR(__xludf.DUMMYFUNCTION("""COMPUTED_VALUE"""),"初回2話無料")</f>
        <v>初回2話無料</v>
      </c>
      <c r="R3700" s="22"/>
      <c r="S3700" s="22" t="str">
        <f>IFERROR(__xludf.DUMMYFUNCTION("""COMPUTED_VALUE"""),"20250724_コミスマ_冒涜のピンクは嗤う")</f>
        <v>20250724_コミスマ_冒涜のピンクは嗤う</v>
      </c>
      <c r="T3700" s="22" t="str">
        <f>IFERROR(__xludf.DUMMYFUNCTION("""COMPUTED_VALUE"""),"格納済み")</f>
        <v>格納済み</v>
      </c>
      <c r="U3700" s="9" t="str">
        <f>IFERROR(__xludf.DUMMYFUNCTION("""COMPUTED_VALUE"""),"Ⓒ氷室／COMISMA INC.")</f>
        <v>Ⓒ氷室／COMISMA INC.</v>
      </c>
      <c r="V3700" s="8"/>
      <c r="W3700" s="8"/>
      <c r="X3700" s="8" t="str">
        <f>IFERROR(__xludf.DUMMYFUNCTION("""COMPUTED_VALUE"""),"有")</f>
        <v>有</v>
      </c>
      <c r="Y3700" s="8" t="str">
        <f>IFERROR(__xludf.DUMMYFUNCTION("""COMPUTED_VALUE"""),"2025/9/30まで1~2巻無料")</f>
        <v>2025/9/30まで1~2巻無料</v>
      </c>
      <c r="Z3700" s="7"/>
      <c r="AA3700" s="7"/>
      <c r="AB3700" s="7"/>
    </row>
    <row r="3701" ht="15.75" customHeight="1">
      <c r="A3701" s="26">
        <f>IFERROR(__xludf.DUMMYFUNCTION("""COMPUTED_VALUE"""),6015.0)</f>
        <v>6015</v>
      </c>
      <c r="B3701" s="22" t="str">
        <f>IFERROR(__xludf.DUMMYFUNCTION("""COMPUTED_VALUE"""),"確定")</f>
        <v>確定</v>
      </c>
      <c r="C3701" s="28">
        <f>IFERROR(__xludf.DUMMYFUNCTION("""COMPUTED_VALUE"""),45845.0)</f>
        <v>45845</v>
      </c>
      <c r="D3701" s="28">
        <f>IFERROR(__xludf.DUMMYFUNCTION("""COMPUTED_VALUE"""),45862.0)</f>
        <v>45862</v>
      </c>
      <c r="E3701" s="26">
        <f>IFERROR(__xludf.DUMMYFUNCTION("""COMPUTED_VALUE"""),333853.0)</f>
        <v>333853</v>
      </c>
      <c r="F3701" s="22" t="str">
        <f>IFERROR(__xludf.DUMMYFUNCTION("""COMPUTED_VALUE"""),"柳の恋 〜皇太子殿下とワケあり男装姫の東宮譚〜【単話版】")</f>
        <v>柳の恋 〜皇太子殿下とワケあり男装姫の東宮譚〜【単話版】</v>
      </c>
      <c r="G3701" s="20" t="str">
        <f>IFERROR(__xludf.DUMMYFUNCTION("""COMPUTED_VALUE"""),"1～5")</f>
        <v>1～5</v>
      </c>
      <c r="H3701" s="22" t="str">
        <f>IFERROR(__xludf.DUMMYFUNCTION("""COMPUTED_VALUE"""),"一穆")</f>
        <v>一穆</v>
      </c>
      <c r="I3701" s="22" t="str">
        <f>IFERROR(__xludf.DUMMYFUNCTION("""COMPUTED_VALUE"""),"女性")</f>
        <v>女性</v>
      </c>
      <c r="J3701" s="22"/>
      <c r="K3701" s="22"/>
      <c r="L3701" s="22" t="str">
        <f>IFERROR(__xludf.DUMMYFUNCTION("""COMPUTED_VALUE"""),"GANMA!")</f>
        <v>GANMA!</v>
      </c>
      <c r="M3701" s="33">
        <f>IFERROR(__xludf.DUMMYFUNCTION("""COMPUTED_VALUE"""),45904.0)</f>
        <v>45904</v>
      </c>
      <c r="N3701" s="33">
        <f>IFERROR(__xludf.DUMMYFUNCTION("""COMPUTED_VALUE"""),45994.0)</f>
        <v>45994</v>
      </c>
      <c r="O3701" s="20"/>
      <c r="P3701" s="32" t="str">
        <f>IFERROR(__xludf.DUMMYFUNCTION("""COMPUTED_VALUE"""),"可")</f>
        <v>可</v>
      </c>
      <c r="Q3701" s="30" t="str">
        <f>IFERROR(__xludf.DUMMYFUNCTION("""COMPUTED_VALUE"""),"冒頭2話無料")</f>
        <v>冒頭2話無料</v>
      </c>
      <c r="R3701" s="22" t="str">
        <f>IFERROR(__xludf.DUMMYFUNCTION("""COMPUTED_VALUE"""),"コミットOK")</f>
        <v>コミットOK</v>
      </c>
      <c r="S3701" s="22" t="str">
        <f>IFERROR(__xludf.DUMMYFUNCTION("""COMPUTED_VALUE"""),"20250724_コミスマ_柳の恋 〜皇太子殿下とワケあり男装姫の東宮譚〜")</f>
        <v>20250724_コミスマ_柳の恋 〜皇太子殿下とワケあり男装姫の東宮譚〜</v>
      </c>
      <c r="T3701" s="22" t="str">
        <f>IFERROR(__xludf.DUMMYFUNCTION("""COMPUTED_VALUE"""),"格納済み")</f>
        <v>格納済み</v>
      </c>
      <c r="U3701" s="9" t="str">
        <f>IFERROR(__xludf.DUMMYFUNCTION("""COMPUTED_VALUE"""),"Ⓒ一穆／COMISMA INC.")</f>
        <v>Ⓒ一穆／COMISMA INC.</v>
      </c>
      <c r="V3701" s="8"/>
      <c r="W3701" s="8"/>
      <c r="X3701" s="8" t="str">
        <f>IFERROR(__xludf.DUMMYFUNCTION("""COMPUTED_VALUE"""),"有")</f>
        <v>有</v>
      </c>
      <c r="Y3701" s="8" t="str">
        <f>IFERROR(__xludf.DUMMYFUNCTION("""COMPUTED_VALUE"""),"P5まで")</f>
        <v>P5まで</v>
      </c>
      <c r="Z3701" s="7"/>
      <c r="AA3701" s="7"/>
      <c r="AB3701" s="7"/>
    </row>
    <row r="3702" ht="15.75" customHeight="1">
      <c r="A3702" s="26">
        <f>IFERROR(__xludf.DUMMYFUNCTION("""COMPUTED_VALUE"""),6033.0)</f>
        <v>6033</v>
      </c>
      <c r="B3702" s="22" t="str">
        <f>IFERROR(__xludf.DUMMYFUNCTION("""COMPUTED_VALUE"""),"確定")</f>
        <v>確定</v>
      </c>
      <c r="C3702" s="28">
        <f>IFERROR(__xludf.DUMMYFUNCTION("""COMPUTED_VALUE"""),45846.0)</f>
        <v>45846</v>
      </c>
      <c r="D3702" s="28">
        <f>IFERROR(__xludf.DUMMYFUNCTION("""COMPUTED_VALUE"""),45863.0)</f>
        <v>45863</v>
      </c>
      <c r="E3702" s="26">
        <f>IFERROR(__xludf.DUMMYFUNCTION("""COMPUTED_VALUE"""),333673.0)</f>
        <v>333673</v>
      </c>
      <c r="F3702" s="22" t="str">
        <f>IFERROR(__xludf.DUMMYFUNCTION("""COMPUTED_VALUE"""),"身代わりなのに、執愛ヤンデレ王子の束縛から逃げられません")</f>
        <v>身代わりなのに、執愛ヤンデレ王子の束縛から逃げられません</v>
      </c>
      <c r="G3702" s="20" t="str">
        <f>IFERROR(__xludf.DUMMYFUNCTION("""COMPUTED_VALUE"""),"1～5")</f>
        <v>1～5</v>
      </c>
      <c r="H3702" s="22" t="str">
        <f>IFERROR(__xludf.DUMMYFUNCTION("""COMPUTED_VALUE"""),"弓月バク┴ズレット編集部")</f>
        <v>弓月バク┴ズレット編集部</v>
      </c>
      <c r="I3702" s="22" t="str">
        <f>IFERROR(__xludf.DUMMYFUNCTION("""COMPUTED_VALUE"""),"TL")</f>
        <v>TL</v>
      </c>
      <c r="J3702" s="22"/>
      <c r="K3702" s="22" t="str">
        <f>IFERROR(__xludf.DUMMYFUNCTION("""COMPUTED_VALUE"""),"ズレット！")</f>
        <v>ズレット！</v>
      </c>
      <c r="L3702" s="22" t="str">
        <f>IFERROR(__xludf.DUMMYFUNCTION("""COMPUTED_VALUE"""),"ライブコミックス")</f>
        <v>ライブコミックス</v>
      </c>
      <c r="M3702" s="33">
        <f>IFERROR(__xludf.DUMMYFUNCTION("""COMPUTED_VALUE"""),45905.0)</f>
        <v>45905</v>
      </c>
      <c r="N3702" s="33">
        <f>IFERROR(__xludf.DUMMYFUNCTION("""COMPUTED_VALUE"""),45967.0)</f>
        <v>45967</v>
      </c>
      <c r="O3702" s="20"/>
      <c r="P3702" s="32" t="str">
        <f>IFERROR(__xludf.DUMMYFUNCTION("""COMPUTED_VALUE"""),"可")</f>
        <v>可</v>
      </c>
      <c r="Q3702" s="30" t="str">
        <f>IFERROR(__xludf.DUMMYFUNCTION("""COMPUTED_VALUE"""),"BookLiveとの2社先行です。&lt;BR&gt;")</f>
        <v>BookLiveとの2社先行です。&lt;BR&gt;</v>
      </c>
      <c r="R3702" s="22" t="str">
        <f>IFERROR(__xludf.DUMMYFUNCTION("""COMPUTED_VALUE"""),"コミットOK")</f>
        <v>コミットOK</v>
      </c>
      <c r="S3702" s="22" t="str">
        <f>IFERROR(__xludf.DUMMYFUNCTION("""COMPUTED_VALUE"""),"20250724_Booklive_身代わりなのに、執愛ヤンデレ王子の束縛から逃げられません")</f>
        <v>20250724_Booklive_身代わりなのに、執愛ヤンデレ王子の束縛から逃げられません</v>
      </c>
      <c r="T3702" s="22" t="str">
        <f>IFERROR(__xludf.DUMMYFUNCTION("""COMPUTED_VALUE"""),"格納済み")</f>
        <v>格納済み</v>
      </c>
      <c r="U3702" s="9" t="str">
        <f>IFERROR(__xludf.DUMMYFUNCTION("""COMPUTED_VALUE"""),"(c)弓月バク/ライブコミックス")</f>
        <v>(c)弓月バク/ライブコミックス</v>
      </c>
      <c r="V3702" s="8"/>
      <c r="W3702" s="8"/>
      <c r="X3702" s="8" t="str">
        <f>IFERROR(__xludf.DUMMYFUNCTION("""COMPUTED_VALUE"""),"有")</f>
        <v>有</v>
      </c>
      <c r="Y3702" s="8" t="str">
        <f>IFERROR(__xludf.DUMMYFUNCTION("""COMPUTED_VALUE"""),"P12まで")</f>
        <v>P12まで</v>
      </c>
      <c r="Z3702" s="7"/>
      <c r="AA3702" s="7"/>
      <c r="AB3702" s="7"/>
    </row>
    <row r="3703" ht="15.75" customHeight="1">
      <c r="A3703" s="26">
        <f>IFERROR(__xludf.DUMMYFUNCTION("""COMPUTED_VALUE"""),6083.0)</f>
        <v>6083</v>
      </c>
      <c r="B3703" s="22" t="str">
        <f>IFERROR(__xludf.DUMMYFUNCTION("""COMPUTED_VALUE"""),"確定")</f>
        <v>確定</v>
      </c>
      <c r="C3703" s="28">
        <f>IFERROR(__xludf.DUMMYFUNCTION("""COMPUTED_VALUE"""),45852.0)</f>
        <v>45852</v>
      </c>
      <c r="D3703" s="28">
        <f>IFERROR(__xludf.DUMMYFUNCTION("""COMPUTED_VALUE"""),45863.0)</f>
        <v>45863</v>
      </c>
      <c r="E3703" s="26">
        <f>IFERROR(__xludf.DUMMYFUNCTION("""COMPUTED_VALUE"""),277973.0)</f>
        <v>277973</v>
      </c>
      <c r="F3703" s="22" t="str">
        <f>IFERROR(__xludf.DUMMYFUNCTION("""COMPUTED_VALUE"""),"恋愛至上主義区域(フルカラー)")</f>
        <v>恋愛至上主義区域(フルカラー)</v>
      </c>
      <c r="G3703" s="20" t="str">
        <f>IFERROR(__xludf.DUMMYFUNCTION("""COMPUTED_VALUE"""),"1～5")</f>
        <v>1～5</v>
      </c>
      <c r="H3703" s="22" t="str">
        <f>IFERROR(__xludf.DUMMYFUNCTION("""COMPUTED_VALUE"""),"Kkokkeu,Hwacha,Aquram")</f>
        <v>Kkokkeu,Hwacha,Aquram</v>
      </c>
      <c r="I3703" s="22" t="str">
        <f>IFERROR(__xludf.DUMMYFUNCTION("""COMPUTED_VALUE"""),"BLマンガ")</f>
        <v>BLマンガ</v>
      </c>
      <c r="J3703" s="22"/>
      <c r="K3703" s="22" t="str">
        <f>IFERROR(__xludf.DUMMYFUNCTION("""COMPUTED_VALUE"""),"Ficus")</f>
        <v>Ficus</v>
      </c>
      <c r="L3703" s="22" t="str">
        <f>IFERROR(__xludf.DUMMYFUNCTION("""COMPUTED_VALUE"""),"シーモアコミックス")</f>
        <v>シーモアコミックス</v>
      </c>
      <c r="M3703" s="33">
        <f>IFERROR(__xludf.DUMMYFUNCTION("""COMPUTED_VALUE"""),45885.0)</f>
        <v>45885</v>
      </c>
      <c r="N3703" s="33">
        <f>IFERROR(__xludf.DUMMYFUNCTION("""COMPUTED_VALUE"""),2958465.0)</f>
        <v>2958465</v>
      </c>
      <c r="O3703" s="20"/>
      <c r="P3703" s="32" t="str">
        <f>IFERROR(__xludf.DUMMYFUNCTION("""COMPUTED_VALUE"""),"可")</f>
        <v>可</v>
      </c>
      <c r="Q3703" s="30"/>
      <c r="R3703" s="22"/>
      <c r="S3703" s="22" t="str">
        <f>IFERROR(__xludf.DUMMYFUNCTION("""COMPUTED_VALUE"""),"20250714_シーモアコミックス_恋愛至上主義区域（フルカラー）")</f>
        <v>20250714_シーモアコミックス_恋愛至上主義区域（フルカラー）</v>
      </c>
      <c r="T3703" s="22" t="str">
        <f>IFERROR(__xludf.DUMMYFUNCTION("""COMPUTED_VALUE"""),"格納済み")</f>
        <v>格納済み</v>
      </c>
      <c r="U3703" s="9" t="str">
        <f>IFERROR(__xludf.DUMMYFUNCTION("""COMPUTED_VALUE"""),"(C) Kkokkeu/Hwacha/Aquram/Daewon C.I. Inc./シーモアコミックス")</f>
        <v>(C) Kkokkeu/Hwacha/Aquram/Daewon C.I. Inc./シーモアコミックス</v>
      </c>
      <c r="V3703" s="8"/>
      <c r="W3703" s="8"/>
      <c r="X3703" s="8" t="str">
        <f>IFERROR(__xludf.DUMMYFUNCTION("""COMPUTED_VALUE"""),"有")</f>
        <v>有</v>
      </c>
      <c r="Y3703" s="8" t="str">
        <f>IFERROR(__xludf.DUMMYFUNCTION("""COMPUTED_VALUE"""),"2025/9/19まで1～2巻無料")</f>
        <v>2025/9/19まで1～2巻無料</v>
      </c>
      <c r="Z3703" s="7"/>
      <c r="AA3703" s="7"/>
      <c r="AB3703" s="7"/>
    </row>
    <row r="3704" ht="15.75" customHeight="1">
      <c r="A3704" s="26">
        <f>IFERROR(__xludf.DUMMYFUNCTION("""COMPUTED_VALUE"""),6084.0)</f>
        <v>6084</v>
      </c>
      <c r="B3704" s="22" t="str">
        <f>IFERROR(__xludf.DUMMYFUNCTION("""COMPUTED_VALUE"""),"確定")</f>
        <v>確定</v>
      </c>
      <c r="C3704" s="28">
        <f>IFERROR(__xludf.DUMMYFUNCTION("""COMPUTED_VALUE"""),45852.0)</f>
        <v>45852</v>
      </c>
      <c r="D3704" s="28">
        <f>IFERROR(__xludf.DUMMYFUNCTION("""COMPUTED_VALUE"""),45863.0)</f>
        <v>45863</v>
      </c>
      <c r="E3704" s="26">
        <f>IFERROR(__xludf.DUMMYFUNCTION("""COMPUTED_VALUE"""),291642.0)</f>
        <v>291642</v>
      </c>
      <c r="F3704" s="22" t="str">
        <f>IFERROR(__xludf.DUMMYFUNCTION("""COMPUTED_VALUE"""),"恋愛至上主義区域【タテヨミ】")</f>
        <v>恋愛至上主義区域【タテヨミ】</v>
      </c>
      <c r="G3704" s="20" t="str">
        <f>IFERROR(__xludf.DUMMYFUNCTION("""COMPUTED_VALUE"""),"1～10")</f>
        <v>1～10</v>
      </c>
      <c r="H3704" s="22" t="str">
        <f>IFERROR(__xludf.DUMMYFUNCTION("""COMPUTED_VALUE"""),"Kkokkeu,Hwacha,Aquram")</f>
        <v>Kkokkeu,Hwacha,Aquram</v>
      </c>
      <c r="I3704" s="22" t="str">
        <f>IFERROR(__xludf.DUMMYFUNCTION("""COMPUTED_VALUE"""),"BLマンガ")</f>
        <v>BLマンガ</v>
      </c>
      <c r="J3704" s="22"/>
      <c r="K3704" s="22" t="str">
        <f>IFERROR(__xludf.DUMMYFUNCTION("""COMPUTED_VALUE"""),"Ficus")</f>
        <v>Ficus</v>
      </c>
      <c r="L3704" s="22" t="str">
        <f>IFERROR(__xludf.DUMMYFUNCTION("""COMPUTED_VALUE"""),"シーモアコミックス")</f>
        <v>シーモアコミックス</v>
      </c>
      <c r="M3704" s="33">
        <f>IFERROR(__xludf.DUMMYFUNCTION("""COMPUTED_VALUE"""),45885.0)</f>
        <v>45885</v>
      </c>
      <c r="N3704" s="33">
        <f>IFERROR(__xludf.DUMMYFUNCTION("""COMPUTED_VALUE"""),2958465.0)</f>
        <v>2958465</v>
      </c>
      <c r="O3704" s="20"/>
      <c r="P3704" s="32" t="str">
        <f>IFERROR(__xludf.DUMMYFUNCTION("""COMPUTED_VALUE"""),"可")</f>
        <v>可</v>
      </c>
      <c r="Q3704" s="30" t="str">
        <f>IFERROR(__xludf.DUMMYFUNCTION("""COMPUTED_VALUE"""),"※コマサム等素材は「277973　恋愛至上主義区域(フルカラー)」のほうをお使いください。バナー制作はフルカラー版の素材を利用して問題ございません。&lt;BR&gt;")</f>
        <v>※コマサム等素材は「277973　恋愛至上主義区域(フルカラー)」のほうをお使いください。バナー制作はフルカラー版の素材を利用して問題ございません。&lt;BR&gt;</v>
      </c>
      <c r="R3704" s="22"/>
      <c r="S3704" s="22" t="str">
        <f>IFERROR(__xludf.DUMMYFUNCTION("""COMPUTED_VALUE"""),"20250714_シーモアコミックス_恋愛至上主義区域【タテヨミ】")</f>
        <v>20250714_シーモアコミックス_恋愛至上主義区域【タテヨミ】</v>
      </c>
      <c r="T3704" s="22" t="str">
        <f>IFERROR(__xludf.DUMMYFUNCTION("""COMPUTED_VALUE"""),"格納済み")</f>
        <v>格納済み</v>
      </c>
      <c r="U3704" s="9" t="str">
        <f>IFERROR(__xludf.DUMMYFUNCTION("""COMPUTED_VALUE"""),"(C) Kkokkeu/Hwacha/Aquram/Daewon C.I. Inc./シーモアコミックス")</f>
        <v>(C) Kkokkeu/Hwacha/Aquram/Daewon C.I. Inc./シーモアコミックス</v>
      </c>
      <c r="V3704" s="8"/>
      <c r="W3704" s="8"/>
      <c r="X3704" s="8" t="str">
        <f>IFERROR(__xludf.DUMMYFUNCTION("""COMPUTED_VALUE"""),"有")</f>
        <v>有</v>
      </c>
      <c r="Y3704" s="8" t="str">
        <f>IFERROR(__xludf.DUMMYFUNCTION("""COMPUTED_VALUE"""),"2025/9/19まで1～4巻無料")</f>
        <v>2025/9/19まで1～4巻無料</v>
      </c>
      <c r="Z3704" s="7"/>
      <c r="AA3704" s="7"/>
      <c r="AB3704" s="7"/>
    </row>
    <row r="3705" ht="15.75" customHeight="1">
      <c r="A3705" s="26">
        <f>IFERROR(__xludf.DUMMYFUNCTION("""COMPUTED_VALUE"""),6096.0)</f>
        <v>6096</v>
      </c>
      <c r="B3705" s="22" t="str">
        <f>IFERROR(__xludf.DUMMYFUNCTION("""COMPUTED_VALUE"""),"確定")</f>
        <v>確定</v>
      </c>
      <c r="C3705" s="28">
        <f>IFERROR(__xludf.DUMMYFUNCTION("""COMPUTED_VALUE"""),45853.0)</f>
        <v>45853</v>
      </c>
      <c r="D3705" s="28">
        <f>IFERROR(__xludf.DUMMYFUNCTION("""COMPUTED_VALUE"""),45863.0)</f>
        <v>45863</v>
      </c>
      <c r="E3705" s="26">
        <f>IFERROR(__xludf.DUMMYFUNCTION("""COMPUTED_VALUE"""),335067.0)</f>
        <v>335067</v>
      </c>
      <c r="F3705" s="22" t="str">
        <f>IFERROR(__xludf.DUMMYFUNCTION("""COMPUTED_VALUE"""),"妥協結婚　満たされない私たち")</f>
        <v>妥協結婚　満たされない私たち</v>
      </c>
      <c r="G3705" s="20" t="str">
        <f>IFERROR(__xludf.DUMMYFUNCTION("""COMPUTED_VALUE"""),"1～7")</f>
        <v>1～7</v>
      </c>
      <c r="H3705" s="22" t="str">
        <f>IFERROR(__xludf.DUMMYFUNCTION("""COMPUTED_VALUE"""),"小松鳩┴エトワール編集部")</f>
        <v>小松鳩┴エトワール編集部</v>
      </c>
      <c r="I3705" s="22" t="str">
        <f>IFERROR(__xludf.DUMMYFUNCTION("""COMPUTED_VALUE"""),"女性")</f>
        <v>女性</v>
      </c>
      <c r="J3705" s="22"/>
      <c r="K3705" s="22"/>
      <c r="L3705" s="22" t="str">
        <f>IFERROR(__xludf.DUMMYFUNCTION("""COMPUTED_VALUE"""),"ライブコミックス")</f>
        <v>ライブコミックス</v>
      </c>
      <c r="M3705" s="33">
        <f>IFERROR(__xludf.DUMMYFUNCTION("""COMPUTED_VALUE"""),45926.0)</f>
        <v>45926</v>
      </c>
      <c r="N3705" s="33">
        <f>IFERROR(__xludf.DUMMYFUNCTION("""COMPUTED_VALUE"""),46016.0)</f>
        <v>46016</v>
      </c>
      <c r="O3705" s="20"/>
      <c r="P3705" s="32" t="str">
        <f>IFERROR(__xludf.DUMMYFUNCTION("""COMPUTED_VALUE"""),"可")</f>
        <v>可</v>
      </c>
      <c r="Q3705" s="30" t="str">
        <f>IFERROR(__xludf.DUMMYFUNCTION("""COMPUTED_VALUE"""),"Bookliveからの2次先行です。&lt;BR&gt;1~4巻までの内容にてご検討＆バナーご制作をお願いします。")</f>
        <v>Bookliveからの2次先行です。&lt;BR&gt;1~4巻までの内容にてご検討＆バナーご制作をお願いします。</v>
      </c>
      <c r="R3705" s="22" t="str">
        <f>IFERROR(__xludf.DUMMYFUNCTION("""COMPUTED_VALUE"""),"コミットOK")</f>
        <v>コミットOK</v>
      </c>
      <c r="S3705" s="22" t="str">
        <f>IFERROR(__xludf.DUMMYFUNCTION("""COMPUTED_VALUE"""),"20250716_Booklive_妥協結婚　満たされない私たち")</f>
        <v>20250716_Booklive_妥協結婚　満たされない私たち</v>
      </c>
      <c r="T3705" s="22" t="str">
        <f>IFERROR(__xludf.DUMMYFUNCTION("""COMPUTED_VALUE"""),"格納済み")</f>
        <v>格納済み</v>
      </c>
      <c r="U3705" s="9" t="str">
        <f>IFERROR(__xludf.DUMMYFUNCTION("""COMPUTED_VALUE"""),"(C)小松鳩/ライブコミックス")</f>
        <v>(C)小松鳩/ライブコミックス</v>
      </c>
      <c r="V3705" s="8"/>
      <c r="W3705" s="8"/>
      <c r="X3705" s="8" t="str">
        <f>IFERROR(__xludf.DUMMYFUNCTION("""COMPUTED_VALUE"""),"有")</f>
        <v>有</v>
      </c>
      <c r="Y3705" s="8" t="str">
        <f>IFERROR(__xludf.DUMMYFUNCTION("""COMPUTED_VALUE"""),"2025/10/25まで1巻無料")</f>
        <v>2025/10/25まで1巻無料</v>
      </c>
      <c r="Z3705" s="7"/>
      <c r="AA3705" s="7"/>
      <c r="AB3705" s="7"/>
    </row>
    <row r="3706" ht="15.75" customHeight="1">
      <c r="A3706" s="26">
        <f>IFERROR(__xludf.DUMMYFUNCTION("""COMPUTED_VALUE"""),6099.0)</f>
        <v>6099</v>
      </c>
      <c r="B3706" s="22" t="str">
        <f>IFERROR(__xludf.DUMMYFUNCTION("""COMPUTED_VALUE"""),"確定")</f>
        <v>確定</v>
      </c>
      <c r="C3706" s="28">
        <f>IFERROR(__xludf.DUMMYFUNCTION("""COMPUTED_VALUE"""),45854.0)</f>
        <v>45854</v>
      </c>
      <c r="D3706" s="28">
        <f>IFERROR(__xludf.DUMMYFUNCTION("""COMPUTED_VALUE"""),45867.0)</f>
        <v>45867</v>
      </c>
      <c r="E3706" s="26">
        <f>IFERROR(__xludf.DUMMYFUNCTION("""COMPUTED_VALUE"""),334779.0)</f>
        <v>334779</v>
      </c>
      <c r="F3706" s="22" t="str">
        <f>IFERROR(__xludf.DUMMYFUNCTION("""COMPUTED_VALUE"""),"仮初めの花嫁　一条家に嫁いだ私の偽り婚姻譚［ばら売り］")</f>
        <v>仮初めの花嫁　一条家に嫁いだ私の偽り婚姻譚［ばら売り］</v>
      </c>
      <c r="G3706" s="20" t="str">
        <f>IFERROR(__xludf.DUMMYFUNCTION("""COMPUTED_VALUE"""),"1～4")</f>
        <v>1～4</v>
      </c>
      <c r="H3706" s="22" t="str">
        <f>IFERROR(__xludf.DUMMYFUNCTION("""COMPUTED_VALUE"""),"漫画：粉子すわる／原作：別所燈")</f>
        <v>漫画：粉子すわる／原作：別所燈</v>
      </c>
      <c r="I3706" s="22" t="str">
        <f>IFERROR(__xludf.DUMMYFUNCTION("""COMPUTED_VALUE"""),"女性")</f>
        <v>女性</v>
      </c>
      <c r="J3706" s="22"/>
      <c r="K3706" s="22" t="str">
        <f>IFERROR(__xludf.DUMMYFUNCTION("""COMPUTED_VALUE"""),"マンガPark")</f>
        <v>マンガPark</v>
      </c>
      <c r="L3706" s="22" t="str">
        <f>IFERROR(__xludf.DUMMYFUNCTION("""COMPUTED_VALUE"""),"白泉社")</f>
        <v>白泉社</v>
      </c>
      <c r="M3706" s="33">
        <f>IFERROR(__xludf.DUMMYFUNCTION("""COMPUTED_VALUE"""),45913.0)</f>
        <v>45913</v>
      </c>
      <c r="N3706" s="33">
        <f>IFERROR(__xludf.DUMMYFUNCTION("""COMPUTED_VALUE"""),46066.70833333333)</f>
        <v>46066.70833</v>
      </c>
      <c r="O3706" s="20"/>
      <c r="P3706" s="32" t="str">
        <f>IFERROR(__xludf.DUMMYFUNCTION("""COMPUTED_VALUE"""),"可")</f>
        <v>可</v>
      </c>
      <c r="Q3706" s="30"/>
      <c r="R3706" s="22"/>
      <c r="S3706" s="22" t="str">
        <f>IFERROR(__xludf.DUMMYFUNCTION("""COMPUTED_VALUE"""),"20250729_白泉社_仮初めの花嫁　一条家に嫁いだ私の偽り婚姻譚")</f>
        <v>20250729_白泉社_仮初めの花嫁　一条家に嫁いだ私の偽り婚姻譚</v>
      </c>
      <c r="T3706" s="22" t="str">
        <f>IFERROR(__xludf.DUMMYFUNCTION("""COMPUTED_VALUE"""),"格納済み")</f>
        <v>格納済み</v>
      </c>
      <c r="U3706" s="9" t="str">
        <f>IFERROR(__xludf.DUMMYFUNCTION("""COMPUTED_VALUE"""),"(C)粉子すわる・別所燈／白泉社")</f>
        <v>(C)粉子すわる・別所燈／白泉社</v>
      </c>
      <c r="V3706" s="8"/>
      <c r="W3706" s="8"/>
      <c r="X3706" s="8" t="str">
        <f>IFERROR(__xludf.DUMMYFUNCTION("""COMPUTED_VALUE"""),"有")</f>
        <v>有</v>
      </c>
      <c r="Y3706" s="8" t="str">
        <f>IFERROR(__xludf.DUMMYFUNCTION("""COMPUTED_VALUE"""),"P10まで")</f>
        <v>P10まで</v>
      </c>
      <c r="Z3706" s="7"/>
      <c r="AA3706" s="7"/>
      <c r="AB3706" s="7"/>
    </row>
    <row r="3707" ht="15.75" customHeight="1">
      <c r="A3707" s="26">
        <f>IFERROR(__xludf.DUMMYFUNCTION("""COMPUTED_VALUE"""),6105.0)</f>
        <v>6105</v>
      </c>
      <c r="B3707" s="22" t="str">
        <f>IFERROR(__xludf.DUMMYFUNCTION("""COMPUTED_VALUE"""),"確定")</f>
        <v>確定</v>
      </c>
      <c r="C3707" s="28">
        <f>IFERROR(__xludf.DUMMYFUNCTION("""COMPUTED_VALUE"""),45860.0)</f>
        <v>45860</v>
      </c>
      <c r="D3707" s="28">
        <f>IFERROR(__xludf.DUMMYFUNCTION("""COMPUTED_VALUE"""),45867.0)</f>
        <v>45867</v>
      </c>
      <c r="E3707" s="26">
        <f>IFERROR(__xludf.DUMMYFUNCTION("""COMPUTED_VALUE"""),332983.0)</f>
        <v>332983</v>
      </c>
      <c r="F3707" s="22" t="str">
        <f>IFERROR(__xludf.DUMMYFUNCTION("""COMPUTED_VALUE"""),"光って！月魄さん【単話】")</f>
        <v>光って！月魄さん【単話】</v>
      </c>
      <c r="G3707" s="20" t="str">
        <f>IFERROR(__xludf.DUMMYFUNCTION("""COMPUTED_VALUE"""),"1～4")</f>
        <v>1～4</v>
      </c>
      <c r="H3707" s="22" t="str">
        <f>IFERROR(__xludf.DUMMYFUNCTION("""COMPUTED_VALUE"""),"安彦晴")</f>
        <v>安彦晴</v>
      </c>
      <c r="I3707" s="22" t="str">
        <f>IFERROR(__xludf.DUMMYFUNCTION("""COMPUTED_VALUE"""),"女性")</f>
        <v>女性</v>
      </c>
      <c r="J3707" s="22"/>
      <c r="K3707" s="22" t="str">
        <f>IFERROR(__xludf.DUMMYFUNCTION("""COMPUTED_VALUE"""),"ビッグコミックスペリオール")</f>
        <v>ビッグコミックスペリオール</v>
      </c>
      <c r="L3707" s="22" t="str">
        <f>IFERROR(__xludf.DUMMYFUNCTION("""COMPUTED_VALUE"""),"小学館")</f>
        <v>小学館</v>
      </c>
      <c r="M3707" s="33">
        <f>IFERROR(__xludf.DUMMYFUNCTION("""COMPUTED_VALUE"""),45891.0)</f>
        <v>45891</v>
      </c>
      <c r="N3707" s="33">
        <f>IFERROR(__xludf.DUMMYFUNCTION("""COMPUTED_VALUE"""),45953.0)</f>
        <v>45953</v>
      </c>
      <c r="O3707" s="20"/>
      <c r="P3707" s="32" t="str">
        <f>IFERROR(__xludf.DUMMYFUNCTION("""COMPUTED_VALUE"""),"否")</f>
        <v>否</v>
      </c>
      <c r="Q3707" s="30" t="str">
        <f>IFERROR(__xludf.DUMMYFUNCTION("""COMPUTED_VALUE"""),"先行期間に合わせた１巻無料有。&lt;BR&gt;")</f>
        <v>先行期間に合わせた１巻無料有。&lt;BR&gt;</v>
      </c>
      <c r="R3707" s="22"/>
      <c r="S3707" s="22" t="str">
        <f>IFERROR(__xludf.DUMMYFUNCTION("""COMPUTED_VALUE"""),"20250728_小学館_光って！月魄さん")</f>
        <v>20250728_小学館_光って！月魄さん</v>
      </c>
      <c r="T3707" s="22" t="str">
        <f>IFERROR(__xludf.DUMMYFUNCTION("""COMPUTED_VALUE"""),"格納済み")</f>
        <v>格納済み</v>
      </c>
      <c r="U3707" s="9" t="str">
        <f>IFERROR(__xludf.DUMMYFUNCTION("""COMPUTED_VALUE"""),"(C)安彦晴 / 小学館")</f>
        <v>(C)安彦晴 / 小学館</v>
      </c>
      <c r="V3707" s="8"/>
      <c r="W3707" s="8"/>
      <c r="X3707" s="8" t="str">
        <f>IFERROR(__xludf.DUMMYFUNCTION("""COMPUTED_VALUE"""),"有")</f>
        <v>有</v>
      </c>
      <c r="Y3707" s="8" t="str">
        <f>IFERROR(__xludf.DUMMYFUNCTION("""COMPUTED_VALUE"""),"2025/10/23まで1巻無料")</f>
        <v>2025/10/23まで1巻無料</v>
      </c>
      <c r="Z3707" s="7"/>
      <c r="AA3707" s="7"/>
      <c r="AB3707" s="7"/>
    </row>
    <row r="3708" ht="15.75" customHeight="1">
      <c r="A3708" s="26">
        <f>IFERROR(__xludf.DUMMYFUNCTION("""COMPUTED_VALUE"""),6106.0)</f>
        <v>6106</v>
      </c>
      <c r="B3708" s="22" t="str">
        <f>IFERROR(__xludf.DUMMYFUNCTION("""COMPUTED_VALUE"""),"確定")</f>
        <v>確定</v>
      </c>
      <c r="C3708" s="28">
        <f>IFERROR(__xludf.DUMMYFUNCTION("""COMPUTED_VALUE"""),45860.0)</f>
        <v>45860</v>
      </c>
      <c r="D3708" s="28">
        <f>IFERROR(__xludf.DUMMYFUNCTION("""COMPUTED_VALUE"""),45866.0)</f>
        <v>45866</v>
      </c>
      <c r="E3708" s="26">
        <f>IFERROR(__xludf.DUMMYFUNCTION("""COMPUTED_VALUE"""),316386.0)</f>
        <v>316386</v>
      </c>
      <c r="F3708" s="22" t="str">
        <f>IFERROR(__xludf.DUMMYFUNCTION("""COMPUTED_VALUE"""),"真夜中の公爵邸では(フルカラー)")</f>
        <v>真夜中の公爵邸では(フルカラー)</v>
      </c>
      <c r="G3708" s="20" t="str">
        <f>IFERROR(__xludf.DUMMYFUNCTION("""COMPUTED_VALUE"""),"1～3")</f>
        <v>1～3</v>
      </c>
      <c r="H3708" s="22" t="str">
        <f>IFERROR(__xludf.DUMMYFUNCTION("""COMPUTED_VALUE"""),"黒トカゲ,J.PLUM,リヌ")</f>
        <v>黒トカゲ,J.PLUM,リヌ</v>
      </c>
      <c r="I3708" s="22" t="str">
        <f>IFERROR(__xludf.DUMMYFUNCTION("""COMPUTED_VALUE"""),"女性マンガ")</f>
        <v>女性マンガ</v>
      </c>
      <c r="J3708" s="22"/>
      <c r="K3708" s="22" t="str">
        <f>IFERROR(__xludf.DUMMYFUNCTION("""COMPUTED_VALUE"""),"リア×ロマ,スキして?桃色日記")</f>
        <v>リア×ロマ,スキして?桃色日記</v>
      </c>
      <c r="L3708" s="22" t="str">
        <f>IFERROR(__xludf.DUMMYFUNCTION("""COMPUTED_VALUE"""),"シーモアコミックス")</f>
        <v>シーモアコミックス</v>
      </c>
      <c r="M3708" s="33">
        <f>IFERROR(__xludf.DUMMYFUNCTION("""COMPUTED_VALUE"""),45892.0)</f>
        <v>45892</v>
      </c>
      <c r="N3708" s="33">
        <f>IFERROR(__xludf.DUMMYFUNCTION("""COMPUTED_VALUE"""),46044.70833333333)</f>
        <v>46044.70833</v>
      </c>
      <c r="O3708" s="20"/>
      <c r="P3708" s="32" t="str">
        <f>IFERROR(__xludf.DUMMYFUNCTION("""COMPUTED_VALUE"""),"可")</f>
        <v>可</v>
      </c>
      <c r="Q3708" s="30" t="str">
        <f>IFERROR(__xludf.DUMMYFUNCTION("""COMPUTED_VALUE"""),"アダルト作品扱い")</f>
        <v>アダルト作品扱い</v>
      </c>
      <c r="R3708" s="22"/>
      <c r="S3708" s="22" t="str">
        <f>IFERROR(__xludf.DUMMYFUNCTION("""COMPUTED_VALUE"""),"20250722_シーモアコミックス_真夜中の公爵邸では（フルカラー）")</f>
        <v>20250722_シーモアコミックス_真夜中の公爵邸では（フルカラー）</v>
      </c>
      <c r="T3708" s="22" t="str">
        <f>IFERROR(__xludf.DUMMYFUNCTION("""COMPUTED_VALUE"""),"格納済み")</f>
        <v>格納済み</v>
      </c>
      <c r="U3708" s="9" t="str">
        <f>IFERROR(__xludf.DUMMYFUNCTION("""COMPUTED_VALUE"""),"(C) 黒トカゲ/J.PLUM/リヌ/GTENT/鶴山文化社/シーモアコミックス")</f>
        <v>(C) 黒トカゲ/J.PLUM/リヌ/GTENT/鶴山文化社/シーモアコミックス</v>
      </c>
      <c r="V3708" s="8"/>
      <c r="W3708" s="8"/>
      <c r="X3708" s="8" t="str">
        <f>IFERROR(__xludf.DUMMYFUNCTION("""COMPUTED_VALUE"""),"有")</f>
        <v>有</v>
      </c>
      <c r="Y3708" s="8" t="str">
        <f>IFERROR(__xludf.DUMMYFUNCTION("""COMPUTED_VALUE"""),"2025/9/26まで1巻無料")</f>
        <v>2025/9/26まで1巻無料</v>
      </c>
      <c r="Z3708" s="7"/>
      <c r="AA3708" s="7"/>
      <c r="AB3708" s="7"/>
    </row>
    <row r="3709" ht="15.75" customHeight="1">
      <c r="A3709" s="26">
        <f>IFERROR(__xludf.DUMMYFUNCTION("""COMPUTED_VALUE"""),6108.0)</f>
        <v>6108</v>
      </c>
      <c r="B3709" s="22" t="str">
        <f>IFERROR(__xludf.DUMMYFUNCTION("""COMPUTED_VALUE"""),"確定")</f>
        <v>確定</v>
      </c>
      <c r="C3709" s="28">
        <f>IFERROR(__xludf.DUMMYFUNCTION("""COMPUTED_VALUE"""),45860.0)</f>
        <v>45860</v>
      </c>
      <c r="D3709" s="28">
        <f>IFERROR(__xludf.DUMMYFUNCTION("""COMPUTED_VALUE"""),45866.0)</f>
        <v>45866</v>
      </c>
      <c r="E3709" s="26">
        <f>IFERROR(__xludf.DUMMYFUNCTION("""COMPUTED_VALUE"""),316387.0)</f>
        <v>316387</v>
      </c>
      <c r="F3709" s="22" t="str">
        <f>IFERROR(__xludf.DUMMYFUNCTION("""COMPUTED_VALUE"""),"真夜中の公爵邸では【タテヨミ】")</f>
        <v>真夜中の公爵邸では【タテヨミ】</v>
      </c>
      <c r="G3709" s="20" t="str">
        <f>IFERROR(__xludf.DUMMYFUNCTION("""COMPUTED_VALUE"""),"1～12")</f>
        <v>1～12</v>
      </c>
      <c r="H3709" s="22" t="str">
        <f>IFERROR(__xludf.DUMMYFUNCTION("""COMPUTED_VALUE"""),"黒トカゲ,J.PLUM,リヌ")</f>
        <v>黒トカゲ,J.PLUM,リヌ</v>
      </c>
      <c r="I3709" s="22" t="str">
        <f>IFERROR(__xludf.DUMMYFUNCTION("""COMPUTED_VALUE"""),"女性マンガ")</f>
        <v>女性マンガ</v>
      </c>
      <c r="J3709" s="22"/>
      <c r="K3709" s="22" t="str">
        <f>IFERROR(__xludf.DUMMYFUNCTION("""COMPUTED_VALUE"""),"リア×ロマ,スキして?桃色日記")</f>
        <v>リア×ロマ,スキして?桃色日記</v>
      </c>
      <c r="L3709" s="22" t="str">
        <f>IFERROR(__xludf.DUMMYFUNCTION("""COMPUTED_VALUE"""),"シーモアコミックス")</f>
        <v>シーモアコミックス</v>
      </c>
      <c r="M3709" s="33">
        <f>IFERROR(__xludf.DUMMYFUNCTION("""COMPUTED_VALUE"""),45892.0)</f>
        <v>45892</v>
      </c>
      <c r="N3709" s="33">
        <f>IFERROR(__xludf.DUMMYFUNCTION("""COMPUTED_VALUE"""),46044.70833333333)</f>
        <v>46044.70833</v>
      </c>
      <c r="O3709" s="20"/>
      <c r="P3709" s="32" t="str">
        <f>IFERROR(__xludf.DUMMYFUNCTION("""COMPUTED_VALUE"""),"可")</f>
        <v>可</v>
      </c>
      <c r="Q3709" s="30" t="str">
        <f>IFERROR(__xludf.DUMMYFUNCTION("""COMPUTED_VALUE"""),"アダルト作品扱い")</f>
        <v>アダルト作品扱い</v>
      </c>
      <c r="R3709" s="22"/>
      <c r="S3709" s="22" t="str">
        <f>IFERROR(__xludf.DUMMYFUNCTION("""COMPUTED_VALUE"""),"20250722_シーモアコミックス_真夜中の公爵邸では【タテヨミ】")</f>
        <v>20250722_シーモアコミックス_真夜中の公爵邸では【タテヨミ】</v>
      </c>
      <c r="T3709" s="22" t="str">
        <f>IFERROR(__xludf.DUMMYFUNCTION("""COMPUTED_VALUE"""),"格納済み")</f>
        <v>格納済み</v>
      </c>
      <c r="U3709" s="9" t="str">
        <f>IFERROR(__xludf.DUMMYFUNCTION("""COMPUTED_VALUE"""),"(C) 黒トカゲ/J.PLUM/リヌ/GTENT/鶴山文化社/シーモアコミックス")</f>
        <v>(C) 黒トカゲ/J.PLUM/リヌ/GTENT/鶴山文化社/シーモアコミックス</v>
      </c>
      <c r="V3709" s="8"/>
      <c r="W3709" s="8"/>
      <c r="X3709" s="8" t="str">
        <f>IFERROR(__xludf.DUMMYFUNCTION("""COMPUTED_VALUE"""),"有")</f>
        <v>有</v>
      </c>
      <c r="Y3709" s="8" t="str">
        <f>IFERROR(__xludf.DUMMYFUNCTION("""COMPUTED_VALUE"""),"2025/9/26まで1~4巻無料")</f>
        <v>2025/9/26まで1~4巻無料</v>
      </c>
      <c r="Z3709" s="7"/>
      <c r="AA3709" s="7"/>
      <c r="AB3709" s="7"/>
    </row>
    <row r="3710" ht="15.75" customHeight="1">
      <c r="A3710" s="26">
        <f>IFERROR(__xludf.DUMMYFUNCTION("""COMPUTED_VALUE"""),6126.0)</f>
        <v>6126</v>
      </c>
      <c r="B3710" s="22" t="str">
        <f>IFERROR(__xludf.DUMMYFUNCTION("""COMPUTED_VALUE"""),"確定")</f>
        <v>確定</v>
      </c>
      <c r="C3710" s="28">
        <f>IFERROR(__xludf.DUMMYFUNCTION("""COMPUTED_VALUE"""),45863.0)</f>
        <v>45863</v>
      </c>
      <c r="D3710" s="28">
        <f>IFERROR(__xludf.DUMMYFUNCTION("""COMPUTED_VALUE"""),45863.0)</f>
        <v>45863</v>
      </c>
      <c r="E3710" s="26">
        <f>IFERROR(__xludf.DUMMYFUNCTION("""COMPUTED_VALUE"""),282561.0)</f>
        <v>282561</v>
      </c>
      <c r="F3710" s="22" t="str">
        <f>IFERROR(__xludf.DUMMYFUNCTION("""COMPUTED_VALUE"""),"価値ナシ令嬢は人嫌い大尉に守護される")</f>
        <v>価値ナシ令嬢は人嫌い大尉に守護される</v>
      </c>
      <c r="G3710" s="20" t="str">
        <f>IFERROR(__xludf.DUMMYFUNCTION("""COMPUTED_VALUE"""),"1～3")</f>
        <v>1～3</v>
      </c>
      <c r="H3710" s="22" t="str">
        <f>IFERROR(__xludf.DUMMYFUNCTION("""COMPUTED_VALUE"""),"山泉ないる")</f>
        <v>山泉ないる</v>
      </c>
      <c r="I3710" s="22" t="str">
        <f>IFERROR(__xludf.DUMMYFUNCTION("""COMPUTED_VALUE"""),"少女マンガ")</f>
        <v>少女マンガ</v>
      </c>
      <c r="J3710" s="22"/>
      <c r="K3710" s="22" t="str">
        <f>IFERROR(__xludf.DUMMYFUNCTION("""COMPUTED_VALUE"""),"トレモア・ロマンス,トレモアcollection")</f>
        <v>トレモア・ロマンス,トレモアcollection</v>
      </c>
      <c r="L3710" s="22" t="str">
        <f>IFERROR(__xludf.DUMMYFUNCTION("""COMPUTED_VALUE"""),"シーモアコミックス（トレモア）")</f>
        <v>シーモアコミックス（トレモア）</v>
      </c>
      <c r="M3710" s="33">
        <f>IFERROR(__xludf.DUMMYFUNCTION("""COMPUTED_VALUE"""),45905.0)</f>
        <v>45905</v>
      </c>
      <c r="N3710" s="33">
        <f>IFERROR(__xludf.DUMMYFUNCTION("""COMPUTED_VALUE"""),2958465.0)</f>
        <v>2958465</v>
      </c>
      <c r="O3710" s="20"/>
      <c r="P3710" s="32" t="str">
        <f>IFERROR(__xludf.DUMMYFUNCTION("""COMPUTED_VALUE"""),"可")</f>
        <v>可</v>
      </c>
      <c r="Q3710" s="30"/>
      <c r="R3710" s="22"/>
      <c r="S3710" s="22" t="str">
        <f>IFERROR(__xludf.DUMMYFUNCTION("""COMPUTED_VALUE"""),"20250725_シーモアコミックス_価値ナシ令嬢は人嫌い大尉に守護される")</f>
        <v>20250725_シーモアコミックス_価値ナシ令嬢は人嫌い大尉に守護される</v>
      </c>
      <c r="T3710" s="22" t="str">
        <f>IFERROR(__xludf.DUMMYFUNCTION("""COMPUTED_VALUE"""),"格納済み")</f>
        <v>格納済み</v>
      </c>
      <c r="U3710" s="9" t="str">
        <f>IFERROR(__xludf.DUMMYFUNCTION("""COMPUTED_VALUE"""),"(C) 山泉ないる/シーモアコミックス")</f>
        <v>(C) 山泉ないる/シーモアコミックス</v>
      </c>
      <c r="V3710" s="8"/>
      <c r="W3710" s="8"/>
      <c r="X3710" s="8" t="str">
        <f>IFERROR(__xludf.DUMMYFUNCTION("""COMPUTED_VALUE"""),"有")</f>
        <v>有</v>
      </c>
      <c r="Y3710" s="8" t="str">
        <f>IFERROR(__xludf.DUMMYFUNCTION("""COMPUTED_VALUE"""),"P8まで")</f>
        <v>P8まで</v>
      </c>
      <c r="Z3710" s="7"/>
      <c r="AA3710" s="7"/>
      <c r="AB3710" s="7"/>
    </row>
    <row r="3711" ht="15.75" customHeight="1">
      <c r="A3711" s="26">
        <f>IFERROR(__xludf.DUMMYFUNCTION("""COMPUTED_VALUE"""),6127.0)</f>
        <v>6127</v>
      </c>
      <c r="B3711" s="22" t="str">
        <f>IFERROR(__xludf.DUMMYFUNCTION("""COMPUTED_VALUE"""),"確定")</f>
        <v>確定</v>
      </c>
      <c r="C3711" s="28">
        <f>IFERROR(__xludf.DUMMYFUNCTION("""COMPUTED_VALUE"""),45863.0)</f>
        <v>45863</v>
      </c>
      <c r="D3711" s="28">
        <f>IFERROR(__xludf.DUMMYFUNCTION("""COMPUTED_VALUE"""),45863.0)</f>
        <v>45863</v>
      </c>
      <c r="E3711" s="26">
        <f>IFERROR(__xludf.DUMMYFUNCTION("""COMPUTED_VALUE"""),284027.0)</f>
        <v>284027</v>
      </c>
      <c r="F3711" s="22" t="str">
        <f>IFERROR(__xludf.DUMMYFUNCTION("""COMPUTED_VALUE"""),"龍属の手に咲く華となりて")</f>
        <v>龍属の手に咲く華となりて</v>
      </c>
      <c r="G3711" s="20" t="str">
        <f>IFERROR(__xludf.DUMMYFUNCTION("""COMPUTED_VALUE"""),"1～3")</f>
        <v>1～3</v>
      </c>
      <c r="H3711" s="22" t="str">
        <f>IFERROR(__xludf.DUMMYFUNCTION("""COMPUTED_VALUE"""),"せなななせ,花井カオリ（ElephanteLtd.）")</f>
        <v>せなななせ,花井カオリ（ElephanteLtd.）</v>
      </c>
      <c r="I3711" s="22" t="str">
        <f>IFERROR(__xludf.DUMMYFUNCTION("""COMPUTED_VALUE"""),"少女マンガ")</f>
        <v>少女マンガ</v>
      </c>
      <c r="J3711" s="22"/>
      <c r="K3711" s="22" t="str">
        <f>IFERROR(__xludf.DUMMYFUNCTION("""COMPUTED_VALUE"""),"トレモア・ロマンス,トレモアcollection")</f>
        <v>トレモア・ロマンス,トレモアcollection</v>
      </c>
      <c r="L3711" s="22" t="str">
        <f>IFERROR(__xludf.DUMMYFUNCTION("""COMPUTED_VALUE"""),"シーモアコミックス（トレモア）")</f>
        <v>シーモアコミックス（トレモア）</v>
      </c>
      <c r="M3711" s="33">
        <f>IFERROR(__xludf.DUMMYFUNCTION("""COMPUTED_VALUE"""),45905.0)</f>
        <v>45905</v>
      </c>
      <c r="N3711" s="33">
        <f>IFERROR(__xludf.DUMMYFUNCTION("""COMPUTED_VALUE"""),2958465.0)</f>
        <v>2958465</v>
      </c>
      <c r="O3711" s="20"/>
      <c r="P3711" s="32" t="str">
        <f>IFERROR(__xludf.DUMMYFUNCTION("""COMPUTED_VALUE"""),"可")</f>
        <v>可</v>
      </c>
      <c r="Q3711" s="30"/>
      <c r="R3711" s="22"/>
      <c r="S3711" s="22" t="str">
        <f>IFERROR(__xludf.DUMMYFUNCTION("""COMPUTED_VALUE"""),"20250725_シーモアコミックス_龍属の手に咲く華となりて")</f>
        <v>20250725_シーモアコミックス_龍属の手に咲く華となりて</v>
      </c>
      <c r="T3711" s="22" t="str">
        <f>IFERROR(__xludf.DUMMYFUNCTION("""COMPUTED_VALUE"""),"格納済み")</f>
        <v>格納済み</v>
      </c>
      <c r="U3711" s="9" t="str">
        <f>IFERROR(__xludf.DUMMYFUNCTION("""COMPUTED_VALUE"""),"(C) せなななせ/花井カオリ（ElephanteLtd.）/シーモアコミックス")</f>
        <v>(C) せなななせ/花井カオリ（ElephanteLtd.）/シーモアコミックス</v>
      </c>
      <c r="V3711" s="8"/>
      <c r="W3711" s="8"/>
      <c r="X3711" s="8" t="str">
        <f>IFERROR(__xludf.DUMMYFUNCTION("""COMPUTED_VALUE"""),"有")</f>
        <v>有</v>
      </c>
      <c r="Y3711" s="8" t="str">
        <f>IFERROR(__xludf.DUMMYFUNCTION("""COMPUTED_VALUE"""),"P9まで")</f>
        <v>P9まで</v>
      </c>
      <c r="Z3711" s="7"/>
      <c r="AA3711" s="7"/>
      <c r="AB3711" s="7"/>
    </row>
    <row r="3712" ht="15.75" customHeight="1">
      <c r="A3712" s="26">
        <f>IFERROR(__xludf.DUMMYFUNCTION("""COMPUTED_VALUE"""),6128.0)</f>
        <v>6128</v>
      </c>
      <c r="B3712" s="22" t="str">
        <f>IFERROR(__xludf.DUMMYFUNCTION("""COMPUTED_VALUE"""),"確定")</f>
        <v>確定</v>
      </c>
      <c r="C3712" s="28">
        <f>IFERROR(__xludf.DUMMYFUNCTION("""COMPUTED_VALUE"""),45863.0)</f>
        <v>45863</v>
      </c>
      <c r="D3712" s="28">
        <f>IFERROR(__xludf.DUMMYFUNCTION("""COMPUTED_VALUE"""),45863.0)</f>
        <v>45863</v>
      </c>
      <c r="E3712" s="26">
        <f>IFERROR(__xludf.DUMMYFUNCTION("""COMPUTED_VALUE"""),301403.0)</f>
        <v>301403</v>
      </c>
      <c r="F3712" s="22" t="str">
        <f>IFERROR(__xludf.DUMMYFUNCTION("""COMPUTED_VALUE"""),"愛されないとわかっていても辺境伯と結婚します")</f>
        <v>愛されないとわかっていても辺境伯と結婚します</v>
      </c>
      <c r="G3712" s="20" t="str">
        <f>IFERROR(__xludf.DUMMYFUNCTION("""COMPUTED_VALUE"""),"1～3")</f>
        <v>1～3</v>
      </c>
      <c r="H3712" s="22" t="str">
        <f>IFERROR(__xludf.DUMMYFUNCTION("""COMPUTED_VALUE"""),"子羊ノニク,梨莉子")</f>
        <v>子羊ノニク,梨莉子</v>
      </c>
      <c r="I3712" s="22" t="str">
        <f>IFERROR(__xludf.DUMMYFUNCTION("""COMPUTED_VALUE"""),"少女マンガ")</f>
        <v>少女マンガ</v>
      </c>
      <c r="J3712" s="22"/>
      <c r="K3712" s="22" t="str">
        <f>IFERROR(__xludf.DUMMYFUNCTION("""COMPUTED_VALUE"""),"トレモア・ロマンス,トレモアcollection")</f>
        <v>トレモア・ロマンス,トレモアcollection</v>
      </c>
      <c r="L3712" s="22" t="str">
        <f>IFERROR(__xludf.DUMMYFUNCTION("""COMPUTED_VALUE"""),"シーモアコミックス（トレモア）")</f>
        <v>シーモアコミックス（トレモア）</v>
      </c>
      <c r="M3712" s="33">
        <f>IFERROR(__xludf.DUMMYFUNCTION("""COMPUTED_VALUE"""),45905.0)</f>
        <v>45905</v>
      </c>
      <c r="N3712" s="33">
        <f>IFERROR(__xludf.DUMMYFUNCTION("""COMPUTED_VALUE"""),2958465.0)</f>
        <v>2958465</v>
      </c>
      <c r="O3712" s="20"/>
      <c r="P3712" s="32" t="str">
        <f>IFERROR(__xludf.DUMMYFUNCTION("""COMPUTED_VALUE"""),"可")</f>
        <v>可</v>
      </c>
      <c r="Q3712" s="30"/>
      <c r="R3712" s="22"/>
      <c r="S3712" s="22" t="str">
        <f>IFERROR(__xludf.DUMMYFUNCTION("""COMPUTED_VALUE"""),"20250725_シーモアコミックス_愛されないとわかっていても辺境伯と結婚します")</f>
        <v>20250725_シーモアコミックス_愛されないとわかっていても辺境伯と結婚します</v>
      </c>
      <c r="T3712" s="22" t="str">
        <f>IFERROR(__xludf.DUMMYFUNCTION("""COMPUTED_VALUE"""),"格納済み")</f>
        <v>格納済み</v>
      </c>
      <c r="U3712" s="9" t="str">
        <f>IFERROR(__xludf.DUMMYFUNCTION("""COMPUTED_VALUE"""),"(C) 子羊ノニク/梨莉子/シーモアコミックス")</f>
        <v>(C) 子羊ノニク/梨莉子/シーモアコミックス</v>
      </c>
      <c r="V3712" s="8"/>
      <c r="W3712" s="8"/>
      <c r="X3712" s="8" t="str">
        <f>IFERROR(__xludf.DUMMYFUNCTION("""COMPUTED_VALUE"""),"有")</f>
        <v>有</v>
      </c>
      <c r="Y3712" s="8" t="str">
        <f>IFERROR(__xludf.DUMMYFUNCTION("""COMPUTED_VALUE"""),"P9まで")</f>
        <v>P9まで</v>
      </c>
      <c r="Z3712" s="7"/>
      <c r="AA3712" s="7"/>
      <c r="AB3712" s="7"/>
    </row>
    <row r="3713" ht="15.75" customHeight="1">
      <c r="A3713" s="26">
        <f>IFERROR(__xludf.DUMMYFUNCTION("""COMPUTED_VALUE"""),6129.0)</f>
        <v>6129</v>
      </c>
      <c r="B3713" s="22" t="str">
        <f>IFERROR(__xludf.DUMMYFUNCTION("""COMPUTED_VALUE"""),"確定")</f>
        <v>確定</v>
      </c>
      <c r="C3713" s="28">
        <f>IFERROR(__xludf.DUMMYFUNCTION("""COMPUTED_VALUE"""),45863.0)</f>
        <v>45863</v>
      </c>
      <c r="D3713" s="28">
        <f>IFERROR(__xludf.DUMMYFUNCTION("""COMPUTED_VALUE"""),45863.0)</f>
        <v>45863</v>
      </c>
      <c r="E3713" s="26">
        <f>IFERROR(__xludf.DUMMYFUNCTION("""COMPUTED_VALUE"""),318847.0)</f>
        <v>318847</v>
      </c>
      <c r="F3713" s="22" t="str">
        <f>IFERROR(__xludf.DUMMYFUNCTION("""COMPUTED_VALUE"""),"婚約者は悪霊憑き～貴族様は呪われていますが、愛することにしました～")</f>
        <v>婚約者は悪霊憑き～貴族様は呪われていますが、愛することにしました～</v>
      </c>
      <c r="G3713" s="20" t="str">
        <f>IFERROR(__xludf.DUMMYFUNCTION("""COMPUTED_VALUE"""),"1～3")</f>
        <v>1～3</v>
      </c>
      <c r="H3713" s="22" t="str">
        <f>IFERROR(__xludf.DUMMYFUNCTION("""COMPUTED_VALUE"""),"清水ラボ,うおまち時ノ")</f>
        <v>清水ラボ,うおまち時ノ</v>
      </c>
      <c r="I3713" s="22" t="str">
        <f>IFERROR(__xludf.DUMMYFUNCTION("""COMPUTED_VALUE"""),"少女マンガ")</f>
        <v>少女マンガ</v>
      </c>
      <c r="J3713" s="22"/>
      <c r="K3713" s="22" t="str">
        <f>IFERROR(__xludf.DUMMYFUNCTION("""COMPUTED_VALUE"""),"トレモア・ロマンス,トレモアcollection")</f>
        <v>トレモア・ロマンス,トレモアcollection</v>
      </c>
      <c r="L3713" s="22" t="str">
        <f>IFERROR(__xludf.DUMMYFUNCTION("""COMPUTED_VALUE"""),"シーモアコミックス（トレモア）")</f>
        <v>シーモアコミックス（トレモア）</v>
      </c>
      <c r="M3713" s="33">
        <f>IFERROR(__xludf.DUMMYFUNCTION("""COMPUTED_VALUE"""),45905.0)</f>
        <v>45905</v>
      </c>
      <c r="N3713" s="33">
        <f>IFERROR(__xludf.DUMMYFUNCTION("""COMPUTED_VALUE"""),2958465.0)</f>
        <v>2958465</v>
      </c>
      <c r="O3713" s="20"/>
      <c r="P3713" s="32" t="str">
        <f>IFERROR(__xludf.DUMMYFUNCTION("""COMPUTED_VALUE"""),"可")</f>
        <v>可</v>
      </c>
      <c r="Q3713" s="30"/>
      <c r="R3713" s="22"/>
      <c r="S3713" s="22" t="str">
        <f>IFERROR(__xludf.DUMMYFUNCTION("""COMPUTED_VALUE"""),"20250725_シーモアコミックス_婚約者は悪霊憑き～貴族様は呪われていますが、愛することにしました～")</f>
        <v>20250725_シーモアコミックス_婚約者は悪霊憑き～貴族様は呪われていますが、愛することにしました～</v>
      </c>
      <c r="T3713" s="22" t="str">
        <f>IFERROR(__xludf.DUMMYFUNCTION("""COMPUTED_VALUE"""),"格納済み")</f>
        <v>格納済み</v>
      </c>
      <c r="U3713" s="9" t="str">
        <f>IFERROR(__xludf.DUMMYFUNCTION("""COMPUTED_VALUE"""),"(C) 清水ラボ/うおまち時ノ/シーモアコミックス")</f>
        <v>(C) 清水ラボ/うおまち時ノ/シーモアコミックス</v>
      </c>
      <c r="V3713" s="8"/>
      <c r="W3713" s="8"/>
      <c r="X3713" s="8" t="str">
        <f>IFERROR(__xludf.DUMMYFUNCTION("""COMPUTED_VALUE"""),"有")</f>
        <v>有</v>
      </c>
      <c r="Y3713" s="8" t="str">
        <f>IFERROR(__xludf.DUMMYFUNCTION("""COMPUTED_VALUE"""),"P5まで")</f>
        <v>P5まで</v>
      </c>
      <c r="Z3713" s="7"/>
      <c r="AA3713" s="7"/>
      <c r="AB3713" s="7"/>
    </row>
    <row r="3714" ht="15.75" customHeight="1">
      <c r="A3714" s="26">
        <f>IFERROR(__xludf.DUMMYFUNCTION("""COMPUTED_VALUE"""),6145.0)</f>
        <v>6145</v>
      </c>
      <c r="B3714" s="22" t="str">
        <f>IFERROR(__xludf.DUMMYFUNCTION("""COMPUTED_VALUE"""),"確定")</f>
        <v>確定</v>
      </c>
      <c r="C3714" s="28">
        <f>IFERROR(__xludf.DUMMYFUNCTION("""COMPUTED_VALUE"""),45866.0)</f>
        <v>45866</v>
      </c>
      <c r="D3714" s="28">
        <f>IFERROR(__xludf.DUMMYFUNCTION("""COMPUTED_VALUE"""),45866.0)</f>
        <v>45866</v>
      </c>
      <c r="E3714" s="26">
        <f>IFERROR(__xludf.DUMMYFUNCTION("""COMPUTED_VALUE"""),334158.0)</f>
        <v>334158</v>
      </c>
      <c r="F3714" s="22" t="str">
        <f>IFERROR(__xludf.DUMMYFUNCTION("""COMPUTED_VALUE"""),"取引先のイケメンと興味本位で脱処女しました-流されエッチが運命になるなんて！-")</f>
        <v>取引先のイケメンと興味本位で脱処女しました-流されエッチが運命になるなんて！-</v>
      </c>
      <c r="G3714" s="20" t="str">
        <f>IFERROR(__xludf.DUMMYFUNCTION("""COMPUTED_VALUE"""),"1～2")</f>
        <v>1～2</v>
      </c>
      <c r="H3714" s="22" t="str">
        <f>IFERROR(__xludf.DUMMYFUNCTION("""COMPUTED_VALUE"""),"益尾カカオ")</f>
        <v>益尾カカオ</v>
      </c>
      <c r="I3714" s="22" t="str">
        <f>IFERROR(__xludf.DUMMYFUNCTION("""COMPUTED_VALUE"""),"TL")</f>
        <v>TL</v>
      </c>
      <c r="J3714" s="22"/>
      <c r="K3714" s="22"/>
      <c r="L3714" s="22" t="str">
        <f>IFERROR(__xludf.DUMMYFUNCTION("""COMPUTED_VALUE"""),"キャスティーン")</f>
        <v>キャスティーン</v>
      </c>
      <c r="M3714" s="33">
        <f>IFERROR(__xludf.DUMMYFUNCTION("""COMPUTED_VALUE"""),45906.0)</f>
        <v>45906</v>
      </c>
      <c r="N3714" s="33">
        <f>IFERROR(__xludf.DUMMYFUNCTION("""COMPUTED_VALUE"""),45961.0)</f>
        <v>45961</v>
      </c>
      <c r="O3714" s="20"/>
      <c r="P3714" s="32" t="str">
        <f>IFERROR(__xludf.DUMMYFUNCTION("""COMPUTED_VALUE"""),"可")</f>
        <v>可</v>
      </c>
      <c r="Q3714" s="30"/>
      <c r="R3714" s="22"/>
      <c r="S3714" s="22" t="str">
        <f>IFERROR(__xludf.DUMMYFUNCTION("""COMPUTED_VALUE"""),"20250728_キャスコミ_取引先のイケメンと興味本位で脱処女しました-流されエッチが運命になるなんて！-")</f>
        <v>20250728_キャスコミ_取引先のイケメンと興味本位で脱処女しました-流されエッチが運命になるなんて！-</v>
      </c>
      <c r="T3714" s="22" t="str">
        <f>IFERROR(__xludf.DUMMYFUNCTION("""COMPUTED_VALUE"""),"格納済み")</f>
        <v>格納済み</v>
      </c>
      <c r="U3714" s="9" t="str">
        <f>IFERROR(__xludf.DUMMYFUNCTION("""COMPUTED_VALUE"""),"Ⓒ益尾カカオ")</f>
        <v>Ⓒ益尾カカオ</v>
      </c>
      <c r="V3714" s="8"/>
      <c r="W3714" s="8"/>
      <c r="X3714" s="8" t="str">
        <f>IFERROR(__xludf.DUMMYFUNCTION("""COMPUTED_VALUE"""),"有")</f>
        <v>有</v>
      </c>
      <c r="Y3714" s="8" t="str">
        <f>IFERROR(__xludf.DUMMYFUNCTION("""COMPUTED_VALUE"""),"P14まで")</f>
        <v>P14まで</v>
      </c>
      <c r="Z3714" s="7"/>
      <c r="AA3714" s="7"/>
      <c r="AB3714" s="7"/>
    </row>
    <row r="3715" ht="15.75" customHeight="1">
      <c r="A3715" s="26">
        <f>IFERROR(__xludf.DUMMYFUNCTION("""COMPUTED_VALUE"""),6154.0)</f>
        <v>6154</v>
      </c>
      <c r="B3715" s="22" t="str">
        <f>IFERROR(__xludf.DUMMYFUNCTION("""COMPUTED_VALUE"""),"確定")</f>
        <v>確定</v>
      </c>
      <c r="C3715" s="28">
        <f>IFERROR(__xludf.DUMMYFUNCTION("""COMPUTED_VALUE"""),45867.0)</f>
        <v>45867</v>
      </c>
      <c r="D3715" s="28">
        <f>IFERROR(__xludf.DUMMYFUNCTION("""COMPUTED_VALUE"""),45867.0)</f>
        <v>45867</v>
      </c>
      <c r="E3715" s="26">
        <f>IFERROR(__xludf.DUMMYFUNCTION("""COMPUTED_VALUE"""),332911.0)</f>
        <v>332911</v>
      </c>
      <c r="F3715" s="22" t="str">
        <f>IFERROR(__xludf.DUMMYFUNCTION("""COMPUTED_VALUE"""),"「おにい…大好き」～久々に再会したらドスケベJDになっていた嫁の妹に搾りとられまくる浮気SEX～")</f>
        <v>「おにい…大好き」～久々に再会したらドスケベJDになっていた嫁の妹に搾りとられまくる浮気SEX～</v>
      </c>
      <c r="G3715" s="20" t="str">
        <f>IFERROR(__xludf.DUMMYFUNCTION("""COMPUTED_VALUE"""),"1～2")</f>
        <v>1～2</v>
      </c>
      <c r="H3715" s="22" t="str">
        <f>IFERROR(__xludf.DUMMYFUNCTION("""COMPUTED_VALUE"""),"おはら誠")</f>
        <v>おはら誠</v>
      </c>
      <c r="I3715" s="22" t="str">
        <f>IFERROR(__xludf.DUMMYFUNCTION("""COMPUTED_VALUE"""),"アダルトマンガ")</f>
        <v>アダルトマンガ</v>
      </c>
      <c r="J3715" s="22"/>
      <c r="K3715" s="22"/>
      <c r="L3715" s="22" t="str">
        <f>IFERROR(__xludf.DUMMYFUNCTION("""COMPUTED_VALUE"""),"セ・キララ文庫")</f>
        <v>セ・キララ文庫</v>
      </c>
      <c r="M3715" s="33">
        <f>IFERROR(__xludf.DUMMYFUNCTION("""COMPUTED_VALUE"""),45898.0)</f>
        <v>45898</v>
      </c>
      <c r="N3715" s="33">
        <f>IFERROR(__xludf.DUMMYFUNCTION("""COMPUTED_VALUE"""),45924.0)</f>
        <v>45924</v>
      </c>
      <c r="O3715" s="20"/>
      <c r="P3715" s="32" t="str">
        <f>IFERROR(__xludf.DUMMYFUNCTION("""COMPUTED_VALUE"""),"可")</f>
        <v>可</v>
      </c>
      <c r="Q3715" s="30"/>
      <c r="R3715" s="22"/>
      <c r="S3715" s="22" t="str">
        <f>IFERROR(__xludf.DUMMYFUNCTION("""COMPUTED_VALUE"""),"20250729_ライドオン_「おにい…大好き」～久々に再会したらドスケベJDになっていた嫁の妹に搾りとられまくる浮気SEX～")</f>
        <v>20250729_ライドオン_「おにい…大好き」～久々に再会したらドスケベJDになっていた嫁の妹に搾りとられまくる浮気SEX～</v>
      </c>
      <c r="T3715" s="22" t="str">
        <f>IFERROR(__xludf.DUMMYFUNCTION("""COMPUTED_VALUE"""),"格納済み")</f>
        <v>格納済み</v>
      </c>
      <c r="U3715" s="9" t="str">
        <f>IFERROR(__xludf.DUMMYFUNCTION("""COMPUTED_VALUE"""),"Ⓒおはら誠/セ・キララ文庫")</f>
        <v>Ⓒおはら誠/セ・キララ文庫</v>
      </c>
      <c r="V3715" s="8"/>
      <c r="W3715" s="8"/>
      <c r="X3715" s="8" t="str">
        <f>IFERROR(__xludf.DUMMYFUNCTION("""COMPUTED_VALUE"""),"有")</f>
        <v>有</v>
      </c>
      <c r="Y3715" s="8" t="str">
        <f>IFERROR(__xludf.DUMMYFUNCTION("""COMPUTED_VALUE"""),"P11まで")</f>
        <v>P11まで</v>
      </c>
      <c r="Z3715" s="7"/>
      <c r="AA3715" s="7"/>
      <c r="AB3715" s="7"/>
    </row>
    <row r="3716" ht="15.75" customHeight="1">
      <c r="A3716" s="26">
        <f>IFERROR(__xludf.DUMMYFUNCTION("""COMPUTED_VALUE"""),6155.0)</f>
        <v>6155</v>
      </c>
      <c r="B3716" s="22" t="str">
        <f>IFERROR(__xludf.DUMMYFUNCTION("""COMPUTED_VALUE"""),"確定")</f>
        <v>確定</v>
      </c>
      <c r="C3716" s="28">
        <f>IFERROR(__xludf.DUMMYFUNCTION("""COMPUTED_VALUE"""),45867.0)</f>
        <v>45867</v>
      </c>
      <c r="D3716" s="28">
        <f>IFERROR(__xludf.DUMMYFUNCTION("""COMPUTED_VALUE"""),45867.0)</f>
        <v>45867</v>
      </c>
      <c r="E3716" s="26">
        <f>IFERROR(__xludf.DUMMYFUNCTION("""COMPUTED_VALUE"""),332910.0)</f>
        <v>332910</v>
      </c>
      <c r="F3716" s="22" t="str">
        <f>IFERROR(__xludf.DUMMYFUNCTION("""COMPUTED_VALUE"""),"娘の彼氏と種付け交尾")</f>
        <v>娘の彼氏と種付け交尾</v>
      </c>
      <c r="G3716" s="20" t="str">
        <f>IFERROR(__xludf.DUMMYFUNCTION("""COMPUTED_VALUE"""),"1～2")</f>
        <v>1～2</v>
      </c>
      <c r="H3716" s="22" t="str">
        <f>IFERROR(__xludf.DUMMYFUNCTION("""COMPUTED_VALUE"""),"なしを。")</f>
        <v>なしを。</v>
      </c>
      <c r="I3716" s="22" t="str">
        <f>IFERROR(__xludf.DUMMYFUNCTION("""COMPUTED_VALUE"""),"アダルトマンガ")</f>
        <v>アダルトマンガ</v>
      </c>
      <c r="J3716" s="22"/>
      <c r="K3716" s="22"/>
      <c r="L3716" s="22" t="str">
        <f>IFERROR(__xludf.DUMMYFUNCTION("""COMPUTED_VALUE"""),"セ・キララ文庫")</f>
        <v>セ・キララ文庫</v>
      </c>
      <c r="M3716" s="33">
        <f>IFERROR(__xludf.DUMMYFUNCTION("""COMPUTED_VALUE"""),45898.0)</f>
        <v>45898</v>
      </c>
      <c r="N3716" s="33">
        <f>IFERROR(__xludf.DUMMYFUNCTION("""COMPUTED_VALUE"""),45924.0)</f>
        <v>45924</v>
      </c>
      <c r="O3716" s="20"/>
      <c r="P3716" s="32" t="str">
        <f>IFERROR(__xludf.DUMMYFUNCTION("""COMPUTED_VALUE"""),"可")</f>
        <v>可</v>
      </c>
      <c r="Q3716" s="30"/>
      <c r="R3716" s="22"/>
      <c r="S3716" s="22" t="str">
        <f>IFERROR(__xludf.DUMMYFUNCTION("""COMPUTED_VALUE"""),"20250729_ライドオン_娘の彼氏と種付け交尾")</f>
        <v>20250729_ライドオン_娘の彼氏と種付け交尾</v>
      </c>
      <c r="T3716" s="22" t="str">
        <f>IFERROR(__xludf.DUMMYFUNCTION("""COMPUTED_VALUE"""),"格納済み")</f>
        <v>格納済み</v>
      </c>
      <c r="U3716" s="9" t="str">
        <f>IFERROR(__xludf.DUMMYFUNCTION("""COMPUTED_VALUE"""),"Ⓒなしを。/セ・キララ文庫")</f>
        <v>Ⓒなしを。/セ・キララ文庫</v>
      </c>
      <c r="V3716" s="8"/>
      <c r="W3716" s="8"/>
      <c r="X3716" s="8" t="str">
        <f>IFERROR(__xludf.DUMMYFUNCTION("""COMPUTED_VALUE"""),"有")</f>
        <v>有</v>
      </c>
      <c r="Y3716" s="8" t="str">
        <f>IFERROR(__xludf.DUMMYFUNCTION("""COMPUTED_VALUE"""),"P11まで")</f>
        <v>P11まで</v>
      </c>
      <c r="Z3716" s="7"/>
      <c r="AA3716" s="7"/>
      <c r="AB3716" s="7"/>
    </row>
    <row r="3717" ht="15.75" customHeight="1">
      <c r="A3717" s="26">
        <f>IFERROR(__xludf.DUMMYFUNCTION("""COMPUTED_VALUE"""),5182.0)</f>
        <v>5182</v>
      </c>
      <c r="B3717" s="22" t="str">
        <f>IFERROR(__xludf.DUMMYFUNCTION("""COMPUTED_VALUE"""),"確定")</f>
        <v>確定</v>
      </c>
      <c r="C3717" s="28">
        <f>IFERROR(__xludf.DUMMYFUNCTION("""COMPUTED_VALUE"""),45721.0)</f>
        <v>45721</v>
      </c>
      <c r="D3717" s="28">
        <f>IFERROR(__xludf.DUMMYFUNCTION("""COMPUTED_VALUE"""),45868.0)</f>
        <v>45868</v>
      </c>
      <c r="E3717" s="26">
        <f>IFERROR(__xludf.DUMMYFUNCTION("""COMPUTED_VALUE"""),330915.0)</f>
        <v>330915</v>
      </c>
      <c r="F3717" s="22" t="str">
        <f>IFERROR(__xludf.DUMMYFUNCTION("""COMPUTED_VALUE"""),"梟と番様【連載版】")</f>
        <v>梟と番様【連載版】</v>
      </c>
      <c r="G3717" s="20" t="str">
        <f>IFERROR(__xludf.DUMMYFUNCTION("""COMPUTED_VALUE"""),"1～5")</f>
        <v>1～5</v>
      </c>
      <c r="H3717" s="22" t="str">
        <f>IFERROR(__xludf.DUMMYFUNCTION("""COMPUTED_VALUE"""),"コミック：よねやませつこ、原作：藤森フクロウ、キャラクター原案：笹原亜美")</f>
        <v>コミック：よねやませつこ、原作：藤森フクロウ、キャラクター原案：笹原亜美</v>
      </c>
      <c r="I3717" s="22" t="str">
        <f>IFERROR(__xludf.DUMMYFUNCTION("""COMPUTED_VALUE"""),"少女")</f>
        <v>少女</v>
      </c>
      <c r="J3717" s="22"/>
      <c r="K3717" s="22"/>
      <c r="L3717" s="22" t="str">
        <f>IFERROR(__xludf.DUMMYFUNCTION("""COMPUTED_VALUE"""),"一迅社")</f>
        <v>一迅社</v>
      </c>
      <c r="M3717" s="33">
        <f>IFERROR(__xludf.DUMMYFUNCTION("""COMPUTED_VALUE"""),45901.0)</f>
        <v>45901</v>
      </c>
      <c r="N3717" s="33">
        <f>IFERROR(__xludf.DUMMYFUNCTION("""COMPUTED_VALUE"""),46016.70833333333)</f>
        <v>46016.70833</v>
      </c>
      <c r="O3717" s="20"/>
      <c r="P3717" s="32" t="str">
        <f>IFERROR(__xludf.DUMMYFUNCTION("""COMPUTED_VALUE"""),"否")</f>
        <v>否</v>
      </c>
      <c r="Q3717" s="30"/>
      <c r="R3717" s="22"/>
      <c r="S3717" s="22" t="str">
        <f>IFERROR(__xludf.DUMMYFUNCTION("""COMPUTED_VALUE"""),"20250730_一迅社_梟と番様")</f>
        <v>20250730_一迅社_梟と番様</v>
      </c>
      <c r="T3717" s="22" t="str">
        <f>IFERROR(__xludf.DUMMYFUNCTION("""COMPUTED_VALUE"""),"格納済み")</f>
        <v>格納済み</v>
      </c>
      <c r="U3717" s="9" t="str">
        <f>IFERROR(__xludf.DUMMYFUNCTION("""COMPUTED_VALUE"""),"（C）よねやませつこ・藤森フクロウ・笹原亜美／一迅社")</f>
        <v>（C）よねやませつこ・藤森フクロウ・笹原亜美／一迅社</v>
      </c>
      <c r="V3717" s="8"/>
      <c r="W3717" s="8"/>
      <c r="X3717" s="8" t="str">
        <f>IFERROR(__xludf.DUMMYFUNCTION("""COMPUTED_VALUE"""),"有")</f>
        <v>有</v>
      </c>
      <c r="Y3717" s="8" t="str">
        <f>IFERROR(__xludf.DUMMYFUNCTION("""COMPUTED_VALUE"""),"2025/9/30まで1巻無料")</f>
        <v>2025/9/30まで1巻無料</v>
      </c>
      <c r="Z3717" s="7"/>
      <c r="AA3717" s="7"/>
      <c r="AB3717" s="7"/>
    </row>
    <row r="3718" ht="15.75" customHeight="1">
      <c r="A3718" s="26">
        <f>IFERROR(__xludf.DUMMYFUNCTION("""COMPUTED_VALUE"""),5405.0)</f>
        <v>5405</v>
      </c>
      <c r="B3718" s="22" t="str">
        <f>IFERROR(__xludf.DUMMYFUNCTION("""COMPUTED_VALUE"""),"確定")</f>
        <v>確定</v>
      </c>
      <c r="C3718" s="28">
        <f>IFERROR(__xludf.DUMMYFUNCTION("""COMPUTED_VALUE"""),45749.0)</f>
        <v>45749</v>
      </c>
      <c r="D3718" s="28">
        <f>IFERROR(__xludf.DUMMYFUNCTION("""COMPUTED_VALUE"""),45874.0)</f>
        <v>45874</v>
      </c>
      <c r="E3718" s="26">
        <f>IFERROR(__xludf.DUMMYFUNCTION("""COMPUTED_VALUE"""),333603.0)</f>
        <v>333603</v>
      </c>
      <c r="F3718" s="22" t="str">
        <f>IFERROR(__xludf.DUMMYFUNCTION("""COMPUTED_VALUE"""),"そんな、14歳。")</f>
        <v>そんな、14歳。</v>
      </c>
      <c r="G3718" s="20">
        <f>IFERROR(__xludf.DUMMYFUNCTION("""COMPUTED_VALUE"""),1.0)</f>
        <v>1</v>
      </c>
      <c r="H3718" s="22" t="str">
        <f>IFERROR(__xludf.DUMMYFUNCTION("""COMPUTED_VALUE"""),"藤原ゆん")</f>
        <v>藤原ゆん</v>
      </c>
      <c r="I3718" s="22" t="str">
        <f>IFERROR(__xludf.DUMMYFUNCTION("""COMPUTED_VALUE"""),"少女")</f>
        <v>少女</v>
      </c>
      <c r="J3718" s="22"/>
      <c r="K3718" s="22" t="str">
        <f>IFERROR(__xludf.DUMMYFUNCTION("""COMPUTED_VALUE"""),"MC")</f>
        <v>MC</v>
      </c>
      <c r="L3718" s="22" t="str">
        <f>IFERROR(__xludf.DUMMYFUNCTION("""COMPUTED_VALUE"""),"集英社")</f>
        <v>集英社</v>
      </c>
      <c r="M3718" s="33">
        <f>IFERROR(__xludf.DUMMYFUNCTION("""COMPUTED_VALUE"""),45900.0)</f>
        <v>45900</v>
      </c>
      <c r="N3718" s="33">
        <f>IFERROR(__xludf.DUMMYFUNCTION("""COMPUTED_VALUE"""),45924.0)</f>
        <v>45924</v>
      </c>
      <c r="O3718" s="20"/>
      <c r="P3718" s="32" t="str">
        <f>IFERROR(__xludf.DUMMYFUNCTION("""COMPUTED_VALUE"""),"否")</f>
        <v>否</v>
      </c>
      <c r="Q3718" s="30" t="str">
        <f>IFERROR(__xludf.DUMMYFUNCTION("""COMPUTED_VALUE"""),"・アンケートがぶっちぎり1位の作品です。&lt;BR&gt;")</f>
        <v>・アンケートがぶっちぎり1位の作品です。&lt;BR&gt;</v>
      </c>
      <c r="R3718" s="22" t="str">
        <f>IFERROR(__xludf.DUMMYFUNCTION("""COMPUTED_VALUE"""),"コミットNG")</f>
        <v>コミットNG</v>
      </c>
      <c r="S3718" s="22" t="str">
        <f>IFERROR(__xludf.DUMMYFUNCTION("""COMPUTED_VALUE"""),"20250805_集英社_そんな、14歳。")</f>
        <v>20250805_集英社_そんな、14歳。</v>
      </c>
      <c r="T3718" s="22" t="str">
        <f>IFERROR(__xludf.DUMMYFUNCTION("""COMPUTED_VALUE"""),"格納済み")</f>
        <v>格納済み</v>
      </c>
      <c r="U3718" s="9" t="str">
        <f>IFERROR(__xludf.DUMMYFUNCTION("""COMPUTED_VALUE"""),"(C)藤原ゆん／集英社")</f>
        <v>(C)藤原ゆん／集英社</v>
      </c>
      <c r="V3718" s="8"/>
      <c r="W3718" s="8"/>
      <c r="X3718" s="8" t="str">
        <f>IFERROR(__xludf.DUMMYFUNCTION("""COMPUTED_VALUE"""),"有")</f>
        <v>有</v>
      </c>
      <c r="Y3718" s="8" t="str">
        <f>IFERROR(__xludf.DUMMYFUNCTION("""COMPUTED_VALUE"""),"P50まで")</f>
        <v>P50まで</v>
      </c>
      <c r="Z3718" s="7"/>
      <c r="AA3718" s="7"/>
      <c r="AB3718" s="7"/>
    </row>
    <row r="3719" ht="15.75" customHeight="1">
      <c r="A3719" s="26">
        <f>IFERROR(__xludf.DUMMYFUNCTION("""COMPUTED_VALUE"""),5630.0)</f>
        <v>5630</v>
      </c>
      <c r="B3719" s="22" t="str">
        <f>IFERROR(__xludf.DUMMYFUNCTION("""COMPUTED_VALUE"""),"確定")</f>
        <v>確定</v>
      </c>
      <c r="C3719" s="28">
        <f>IFERROR(__xludf.DUMMYFUNCTION("""COMPUTED_VALUE"""),45792.0)</f>
        <v>45792</v>
      </c>
      <c r="D3719" s="28">
        <f>IFERROR(__xludf.DUMMYFUNCTION("""COMPUTED_VALUE"""),45873.0)</f>
        <v>45873</v>
      </c>
      <c r="E3719" s="26">
        <f>IFERROR(__xludf.DUMMYFUNCTION("""COMPUTED_VALUE"""),333059.0)</f>
        <v>333059</v>
      </c>
      <c r="F3719" s="22" t="str">
        <f>IFERROR(__xludf.DUMMYFUNCTION("""COMPUTED_VALUE"""),"来世も君に恋う～京華族と没落令嬢の輪廻婚～")</f>
        <v>来世も君に恋う～京華族と没落令嬢の輪廻婚～</v>
      </c>
      <c r="G3719" s="20" t="str">
        <f>IFERROR(__xludf.DUMMYFUNCTION("""COMPUTED_VALUE"""),"1～4")</f>
        <v>1～4</v>
      </c>
      <c r="H3719" s="22" t="str">
        <f>IFERROR(__xludf.DUMMYFUNCTION("""COMPUTED_VALUE"""),"蒔々")</f>
        <v>蒔々</v>
      </c>
      <c r="I3719" s="22" t="str">
        <f>IFERROR(__xludf.DUMMYFUNCTION("""COMPUTED_VALUE"""),"女性マンガ")</f>
        <v>女性マンガ</v>
      </c>
      <c r="J3719" s="22"/>
      <c r="K3719" s="22"/>
      <c r="L3719" s="22" t="str">
        <f>IFERROR(__xludf.DUMMYFUNCTION("""COMPUTED_VALUE"""),"アイプロダクション")</f>
        <v>アイプロダクション</v>
      </c>
      <c r="M3719" s="33">
        <f>IFERROR(__xludf.DUMMYFUNCTION("""COMPUTED_VALUE"""),45901.0)</f>
        <v>45901</v>
      </c>
      <c r="N3719" s="33">
        <f>IFERROR(__xludf.DUMMYFUNCTION("""COMPUTED_VALUE"""),45961.0)</f>
        <v>45961</v>
      </c>
      <c r="O3719" s="20"/>
      <c r="P3719" s="32" t="str">
        <f>IFERROR(__xludf.DUMMYFUNCTION("""COMPUTED_VALUE"""),"可")</f>
        <v>可</v>
      </c>
      <c r="Q3719" s="30" t="str">
        <f>IFERROR(__xludf.DUMMYFUNCTION("""COMPUTED_VALUE"""),"※著者他作品：https://www.cmoa.jp/search/author/59233/&lt;BR&gt;他出版社様で配信している作品で、電子コミック大賞2025エントリーされていたようです。&lt;BR&gt;&lt;BR&gt;")</f>
        <v>※著者他作品：https://www.cmoa.jp/search/author/59233/&lt;BR&gt;他出版社様で配信している作品で、電子コミック大賞2025エントリーされていたようです。&lt;BR&gt;&lt;BR&gt;</v>
      </c>
      <c r="R3719" s="22" t="str">
        <f>IFERROR(__xludf.DUMMYFUNCTION("""COMPUTED_VALUE"""),"コミットOK")</f>
        <v>コミットOK</v>
      </c>
      <c r="S3719" s="22" t="str">
        <f>IFERROR(__xludf.DUMMYFUNCTION("""COMPUTED_VALUE"""),"20250731_小学館クリエイティブ_来世も君に恋う")</f>
        <v>20250731_小学館クリエイティブ_来世も君に恋う</v>
      </c>
      <c r="T3719" s="22" t="str">
        <f>IFERROR(__xludf.DUMMYFUNCTION("""COMPUTED_VALUE"""),"格納済み")</f>
        <v>格納済み</v>
      </c>
      <c r="U3719" s="9" t="str">
        <f>IFERROR(__xludf.DUMMYFUNCTION("""COMPUTED_VALUE"""),"蒔々/アイプロダクション")</f>
        <v>蒔々/アイプロダクション</v>
      </c>
      <c r="V3719" s="8"/>
      <c r="W3719" s="8"/>
      <c r="X3719" s="8" t="str">
        <f>IFERROR(__xludf.DUMMYFUNCTION("""COMPUTED_VALUE"""),"有")</f>
        <v>有</v>
      </c>
      <c r="Y3719" s="8" t="str">
        <f>IFERROR(__xludf.DUMMYFUNCTION("""COMPUTED_VALUE"""),"2025/9/14まで1～2巻無料")</f>
        <v>2025/9/14まで1～2巻無料</v>
      </c>
      <c r="Z3719" s="7"/>
      <c r="AA3719" s="7"/>
      <c r="AB3719" s="7"/>
    </row>
    <row r="3720" ht="15.75" customHeight="1">
      <c r="A3720" s="26">
        <f>IFERROR(__xludf.DUMMYFUNCTION("""COMPUTED_VALUE"""),5678.0)</f>
        <v>5678</v>
      </c>
      <c r="B3720" s="22" t="str">
        <f>IFERROR(__xludf.DUMMYFUNCTION("""COMPUTED_VALUE"""),"確定")</f>
        <v>確定</v>
      </c>
      <c r="C3720" s="28">
        <f>IFERROR(__xludf.DUMMYFUNCTION("""COMPUTED_VALUE"""),45806.0)</f>
        <v>45806</v>
      </c>
      <c r="D3720" s="28">
        <f>IFERROR(__xludf.DUMMYFUNCTION("""COMPUTED_VALUE"""),45874.0)</f>
        <v>45874</v>
      </c>
      <c r="E3720" s="26">
        <f>IFERROR(__xludf.DUMMYFUNCTION("""COMPUTED_VALUE"""),333023.0)</f>
        <v>333023</v>
      </c>
      <c r="F3720" s="22" t="str">
        <f>IFERROR(__xludf.DUMMYFUNCTION("""COMPUTED_VALUE"""),"シキくんのずるい甘噛み ～ワケあり同居人の秘密な目論見～")</f>
        <v>シキくんのずるい甘噛み ～ワケあり同居人の秘密な目論見～</v>
      </c>
      <c r="G3720" s="20" t="str">
        <f>IFERROR(__xludf.DUMMYFUNCTION("""COMPUTED_VALUE"""),"1～3")</f>
        <v>1～3</v>
      </c>
      <c r="H3720" s="22" t="str">
        <f>IFERROR(__xludf.DUMMYFUNCTION("""COMPUTED_VALUE"""),"真山しん")</f>
        <v>真山しん</v>
      </c>
      <c r="I3720" s="22" t="str">
        <f>IFERROR(__xludf.DUMMYFUNCTION("""COMPUTED_VALUE"""),"TL")</f>
        <v>TL</v>
      </c>
      <c r="J3720" s="22"/>
      <c r="K3720" s="22" t="str">
        <f>IFERROR(__xludf.DUMMYFUNCTION("""COMPUTED_VALUE"""),"メルト")</f>
        <v>メルト</v>
      </c>
      <c r="L3720" s="22" t="str">
        <f>IFERROR(__xludf.DUMMYFUNCTION("""COMPUTED_VALUE"""),"小学館")</f>
        <v>小学館</v>
      </c>
      <c r="M3720" s="33">
        <f>IFERROR(__xludf.DUMMYFUNCTION("""COMPUTED_VALUE"""),45898.0)</f>
        <v>45898</v>
      </c>
      <c r="N3720" s="33">
        <f>IFERROR(__xludf.DUMMYFUNCTION("""COMPUTED_VALUE"""),45960.0)</f>
        <v>45960</v>
      </c>
      <c r="O3720" s="20"/>
      <c r="P3720" s="32" t="str">
        <f>IFERROR(__xludf.DUMMYFUNCTION("""COMPUTED_VALUE"""),"可")</f>
        <v>可</v>
      </c>
      <c r="Q3720" s="30" t="str">
        <f>IFERROR(__xludf.DUMMYFUNCTION("""COMPUTED_VALUE"""),"初回配信分は（外部広告出稿可能な場合）2か月、続話は1か月")</f>
        <v>初回配信分は（外部広告出稿可能な場合）2か月、続話は1か月</v>
      </c>
      <c r="R3720" s="22" t="str">
        <f>IFERROR(__xludf.DUMMYFUNCTION("""COMPUTED_VALUE"""),"コミットOK")</f>
        <v>コミットOK</v>
      </c>
      <c r="S3720" s="22" t="str">
        <f>IFERROR(__xludf.DUMMYFUNCTION("""COMPUTED_VALUE"""),"20250731_小学館_シキくんのずるい甘噛み ～ワケあり同居人の秘密な目論見～")</f>
        <v>20250731_小学館_シキくんのずるい甘噛み ～ワケあり同居人の秘密な目論見～</v>
      </c>
      <c r="T3720" s="22" t="str">
        <f>IFERROR(__xludf.DUMMYFUNCTION("""COMPUTED_VALUE"""),"格納済み")</f>
        <v>格納済み</v>
      </c>
      <c r="U3720" s="9" t="str">
        <f>IFERROR(__xludf.DUMMYFUNCTION("""COMPUTED_VALUE"""),"(C)真山しん / 小学館")</f>
        <v>(C)真山しん / 小学館</v>
      </c>
      <c r="V3720" s="8"/>
      <c r="W3720" s="8"/>
      <c r="X3720" s="8" t="str">
        <f>IFERROR(__xludf.DUMMYFUNCTION("""COMPUTED_VALUE"""),"有")</f>
        <v>有</v>
      </c>
      <c r="Y3720" s="8" t="str">
        <f>IFERROR(__xludf.DUMMYFUNCTION("""COMPUTED_VALUE"""),"P6まで")</f>
        <v>P6まで</v>
      </c>
      <c r="Z3720" s="7"/>
      <c r="AA3720" s="7"/>
      <c r="AB3720" s="7"/>
    </row>
    <row r="3721" ht="15.75" customHeight="1">
      <c r="A3721" s="26">
        <f>IFERROR(__xludf.DUMMYFUNCTION("""COMPUTED_VALUE"""),5714.0)</f>
        <v>5714</v>
      </c>
      <c r="B3721" s="22" t="str">
        <f>IFERROR(__xludf.DUMMYFUNCTION("""COMPUTED_VALUE"""),"確定")</f>
        <v>確定</v>
      </c>
      <c r="C3721" s="28">
        <f>IFERROR(__xludf.DUMMYFUNCTION("""COMPUTED_VALUE"""),45811.0)</f>
        <v>45811</v>
      </c>
      <c r="D3721" s="28">
        <f>IFERROR(__xludf.DUMMYFUNCTION("""COMPUTED_VALUE"""),45874.0)</f>
        <v>45874</v>
      </c>
      <c r="E3721" s="26">
        <f>IFERROR(__xludf.DUMMYFUNCTION("""COMPUTED_VALUE"""),333899.0)</f>
        <v>333899</v>
      </c>
      <c r="F3721" s="22" t="str">
        <f>IFERROR(__xludf.DUMMYFUNCTION("""COMPUTED_VALUE"""),"奥様に捨てられた伯爵様～虐げられてきた奥様は、思い切りよく第二の人生に向かいます！～【連載版】")</f>
        <v>奥様に捨てられた伯爵様～虐げられてきた奥様は、思い切りよく第二の人生に向かいます！～【連載版】</v>
      </c>
      <c r="G3721" s="20" t="str">
        <f>IFERROR(__xludf.DUMMYFUNCTION("""COMPUTED_VALUE"""),"1～3")</f>
        <v>1～3</v>
      </c>
      <c r="H3721" s="22" t="str">
        <f>IFERROR(__xludf.DUMMYFUNCTION("""COMPUTED_VALUE"""),"原作：三輪有利佳　作画：セメント食べ太郎")</f>
        <v>原作：三輪有利佳　作画：セメント食べ太郎</v>
      </c>
      <c r="I3721" s="22" t="str">
        <f>IFERROR(__xludf.DUMMYFUNCTION("""COMPUTED_VALUE"""),"女性")</f>
        <v>女性</v>
      </c>
      <c r="J3721" s="22"/>
      <c r="K3721" s="22" t="str">
        <f>IFERROR(__xludf.DUMMYFUNCTION("""COMPUTED_VALUE"""),"comic LAKE")</f>
        <v>comic LAKE</v>
      </c>
      <c r="L3721" s="22" t="str">
        <f>IFERROR(__xludf.DUMMYFUNCTION("""COMPUTED_VALUE"""),"一迅社")</f>
        <v>一迅社</v>
      </c>
      <c r="M3721" s="33">
        <f>IFERROR(__xludf.DUMMYFUNCTION("""COMPUTED_VALUE"""),45919.0)</f>
        <v>45919</v>
      </c>
      <c r="N3721" s="33">
        <f>IFERROR(__xludf.DUMMYFUNCTION("""COMPUTED_VALUE"""),46016.70833333333)</f>
        <v>46016.70833</v>
      </c>
      <c r="O3721" s="20"/>
      <c r="P3721" s="32" t="str">
        <f>IFERROR(__xludf.DUMMYFUNCTION("""COMPUTED_VALUE"""),"否")</f>
        <v>否</v>
      </c>
      <c r="Q3721" s="30" t="str">
        <f>IFERROR(__xludf.DUMMYFUNCTION("""COMPUTED_VALUE"""),"1巻目が0話のプロローグとなっています。&lt;BR&gt;")</f>
        <v>1巻目が0話のプロローグとなっています。&lt;BR&gt;</v>
      </c>
      <c r="R3721" s="22" t="str">
        <f>IFERROR(__xludf.DUMMYFUNCTION("""COMPUTED_VALUE"""),"コミットOK")</f>
        <v>コミットOK</v>
      </c>
      <c r="S3721" s="22" t="str">
        <f>IFERROR(__xludf.DUMMYFUNCTION("""COMPUTED_VALUE"""),"20250804_一迅社_奥様に捨てられた伯爵様～虐げられてきた奥様は、思い切りよく第二の人生に向かいます！～")</f>
        <v>20250804_一迅社_奥様に捨てられた伯爵様～虐げられてきた奥様は、思い切りよく第二の人生に向かいます！～</v>
      </c>
      <c r="T3721" s="22" t="str">
        <f>IFERROR(__xludf.DUMMYFUNCTION("""COMPUTED_VALUE"""),"格納済み")</f>
        <v>格納済み</v>
      </c>
      <c r="U3721" s="9" t="str">
        <f>IFERROR(__xludf.DUMMYFUNCTION("""COMPUTED_VALUE"""),"(C)セメント食べ太郎・三輪有利佳／一迅社")</f>
        <v>(C)セメント食べ太郎・三輪有利佳／一迅社</v>
      </c>
      <c r="V3721" s="8"/>
      <c r="W3721" s="8"/>
      <c r="X3721" s="8" t="str">
        <f>IFERROR(__xludf.DUMMYFUNCTION("""COMPUTED_VALUE"""),"有")</f>
        <v>有</v>
      </c>
      <c r="Y3721" s="8" t="str">
        <f>IFERROR(__xludf.DUMMYFUNCTION("""COMPUTED_VALUE"""),"2025/11/20まで1巻無料")</f>
        <v>2025/11/20まで1巻無料</v>
      </c>
      <c r="Z3721" s="7"/>
      <c r="AA3721" s="7"/>
      <c r="AB3721" s="7"/>
    </row>
    <row r="3722" ht="15.75" customHeight="1">
      <c r="A3722" s="26">
        <f>IFERROR(__xludf.DUMMYFUNCTION("""COMPUTED_VALUE"""),5870.0)</f>
        <v>5870</v>
      </c>
      <c r="B3722" s="22" t="str">
        <f>IFERROR(__xludf.DUMMYFUNCTION("""COMPUTED_VALUE"""),"確定")</f>
        <v>確定</v>
      </c>
      <c r="C3722" s="28">
        <f>IFERROR(__xludf.DUMMYFUNCTION("""COMPUTED_VALUE"""),45826.0)</f>
        <v>45826</v>
      </c>
      <c r="D3722" s="28">
        <f>IFERROR(__xludf.DUMMYFUNCTION("""COMPUTED_VALUE"""),45875.0)</f>
        <v>45875</v>
      </c>
      <c r="E3722" s="26">
        <f>IFERROR(__xludf.DUMMYFUNCTION("""COMPUTED_VALUE"""),331812.0)</f>
        <v>331812</v>
      </c>
      <c r="F3722" s="22" t="str">
        <f>IFERROR(__xludf.DUMMYFUNCTION("""COMPUTED_VALUE"""),"狂気のサブ攻めに憑依した俺がメイン受けにケツを狙われるハメになりました【タテヨミ】")</f>
        <v>狂気のサブ攻めに憑依した俺がメイン受けにケツを狙われるハメになりました【タテヨミ】</v>
      </c>
      <c r="G3722" s="20" t="str">
        <f>IFERROR(__xludf.DUMMYFUNCTION("""COMPUTED_VALUE"""),"1～30")</f>
        <v>1～30</v>
      </c>
      <c r="H3722" s="22" t="str">
        <f>IFERROR(__xludf.DUMMYFUNCTION("""COMPUTED_VALUE"""),"NeukdaeByeol, HAETAE, namin,REDICE STUDIO")</f>
        <v>NeukdaeByeol, HAETAE, namin,REDICE STUDIO</v>
      </c>
      <c r="I3722" s="22" t="str">
        <f>IFERROR(__xludf.DUMMYFUNCTION("""COMPUTED_VALUE"""),"BL")</f>
        <v>BL</v>
      </c>
      <c r="J3722" s="22"/>
      <c r="K3722" s="22"/>
      <c r="L3722" s="22" t="str">
        <f>IFERROR(__xludf.DUMMYFUNCTION("""COMPUTED_VALUE"""),"リバース")</f>
        <v>リバース</v>
      </c>
      <c r="M3722" s="33">
        <f>IFERROR(__xludf.DUMMYFUNCTION("""COMPUTED_VALUE"""),45890.0)</f>
        <v>45890</v>
      </c>
      <c r="N3722" s="33">
        <f>IFERROR(__xludf.DUMMYFUNCTION("""COMPUTED_VALUE"""),45953.0)</f>
        <v>45953</v>
      </c>
      <c r="O3722" s="20"/>
      <c r="P3722" s="32" t="str">
        <f>IFERROR(__xludf.DUMMYFUNCTION("""COMPUTED_VALUE"""),"可")</f>
        <v>可</v>
      </c>
      <c r="Q3722" s="30" t="str">
        <f>IFERROR(__xludf.DUMMYFUNCTION("""COMPUTED_VALUE"""),"常時3話無料となります")</f>
        <v>常時3話無料となります</v>
      </c>
      <c r="R3722" s="22" t="str">
        <f>IFERROR(__xludf.DUMMYFUNCTION("""COMPUTED_VALUE"""),"コミットNG")</f>
        <v>コミットNG</v>
      </c>
      <c r="S3722" s="22" t="str">
        <f>IFERROR(__xludf.DUMMYFUNCTION("""COMPUTED_VALUE"""),"20250722_リバース_狂気のサブ攻めに憑依した俺がメイン受けにケツを狙われるハメになりました")</f>
        <v>20250722_リバース_狂気のサブ攻めに憑依した俺がメイン受けにケツを狙われるハメになりました</v>
      </c>
      <c r="T3722" s="22" t="str">
        <f>IFERROR(__xludf.DUMMYFUNCTION("""COMPUTED_VALUE"""),"格納済み")</f>
        <v>格納済み</v>
      </c>
      <c r="U3722" s="9" t="str">
        <f>IFERROR(__xludf.DUMMYFUNCTION("""COMPUTED_VALUE"""),"(c)NeukdaeByeol, HAETAE, namin, REDICE STUDIO / RIVERSE")</f>
        <v>(c)NeukdaeByeol, HAETAE, namin, REDICE STUDIO / RIVERSE</v>
      </c>
      <c r="V3722" s="8"/>
      <c r="W3722" s="8"/>
      <c r="X3722" s="8" t="str">
        <f>IFERROR(__xludf.DUMMYFUNCTION("""COMPUTED_VALUE"""),"有")</f>
        <v>有</v>
      </c>
      <c r="Y3722" s="8" t="str">
        <f>IFERROR(__xludf.DUMMYFUNCTION("""COMPUTED_VALUE"""),"1~3巻無料
2025/9/3まで4~7巻目無料")</f>
        <v>1~3巻無料
2025/9/3まで4~7巻目無料</v>
      </c>
      <c r="Z3722" s="7"/>
      <c r="AA3722" s="7"/>
      <c r="AB3722" s="7"/>
    </row>
    <row r="3723" ht="15.75" customHeight="1">
      <c r="A3723" s="26">
        <f>IFERROR(__xludf.DUMMYFUNCTION("""COMPUTED_VALUE"""),5930.0)</f>
        <v>5930</v>
      </c>
      <c r="B3723" s="22" t="str">
        <f>IFERROR(__xludf.DUMMYFUNCTION("""COMPUTED_VALUE"""),"確定")</f>
        <v>確定</v>
      </c>
      <c r="C3723" s="28">
        <f>IFERROR(__xludf.DUMMYFUNCTION("""COMPUTED_VALUE"""),45833.0)</f>
        <v>45833</v>
      </c>
      <c r="D3723" s="28">
        <f>IFERROR(__xludf.DUMMYFUNCTION("""COMPUTED_VALUE"""),45873.0)</f>
        <v>45873</v>
      </c>
      <c r="E3723" s="26">
        <f>IFERROR(__xludf.DUMMYFUNCTION("""COMPUTED_VALUE"""),334201.0)</f>
        <v>334201</v>
      </c>
      <c r="F3723" s="22" t="str">
        <f>IFERROR(__xludf.DUMMYFUNCTION("""COMPUTED_VALUE"""),"サレタ側の私たち～夫と親友を地獄へ落とすまで～")</f>
        <v>サレタ側の私たち～夫と親友を地獄へ落とすまで～</v>
      </c>
      <c r="G3723" s="20" t="str">
        <f>IFERROR(__xludf.DUMMYFUNCTION("""COMPUTED_VALUE"""),"1～3")</f>
        <v>1～3</v>
      </c>
      <c r="H3723" s="22" t="str">
        <f>IFERROR(__xludf.DUMMYFUNCTION("""COMPUTED_VALUE"""),"鈴木野ミドリ")</f>
        <v>鈴木野ミドリ</v>
      </c>
      <c r="I3723" s="22" t="str">
        <f>IFERROR(__xludf.DUMMYFUNCTION("""COMPUTED_VALUE"""),"女性")</f>
        <v>女性</v>
      </c>
      <c r="J3723" s="22"/>
      <c r="K3723" s="22" t="str">
        <f>IFERROR(__xludf.DUMMYFUNCTION("""COMPUTED_VALUE"""),"コイパレ")</f>
        <v>コイパレ</v>
      </c>
      <c r="L3723" s="22" t="str">
        <f>IFERROR(__xludf.DUMMYFUNCTION("""COMPUTED_VALUE"""),"CLLENN")</f>
        <v>CLLENN</v>
      </c>
      <c r="M3723" s="33">
        <f>IFERROR(__xludf.DUMMYFUNCTION("""COMPUTED_VALUE"""),45903.0)</f>
        <v>45903</v>
      </c>
      <c r="N3723" s="33">
        <f>IFERROR(__xludf.DUMMYFUNCTION("""COMPUTED_VALUE"""),45993.70833333333)</f>
        <v>45993.70833</v>
      </c>
      <c r="O3723" s="20"/>
      <c r="P3723" s="32" t="str">
        <f>IFERROR(__xludf.DUMMYFUNCTION("""COMPUTED_VALUE"""),"可")</f>
        <v>可</v>
      </c>
      <c r="Q3723" s="30"/>
      <c r="R3723" s="22" t="str">
        <f>IFERROR(__xludf.DUMMYFUNCTION("""COMPUTED_VALUE"""),"コミットOK")</f>
        <v>コミットOK</v>
      </c>
      <c r="S3723" s="22" t="str">
        <f>IFERROR(__xludf.DUMMYFUNCTION("""COMPUTED_VALUE"""),"20250804_CLLENN_サレタ側の私たち～夫と親友を地獄へ落とすまで～")</f>
        <v>20250804_CLLENN_サレタ側の私たち～夫と親友を地獄へ落とすまで～</v>
      </c>
      <c r="T3723" s="22" t="str">
        <f>IFERROR(__xludf.DUMMYFUNCTION("""COMPUTED_VALUE"""),"格納済み")</f>
        <v>格納済み</v>
      </c>
      <c r="U3723" s="9" t="str">
        <f>IFERROR(__xludf.DUMMYFUNCTION("""COMPUTED_VALUE"""),"Ⓒ鈴木野ミドリ/CLLENN")</f>
        <v>Ⓒ鈴木野ミドリ/CLLENN</v>
      </c>
      <c r="V3723" s="8"/>
      <c r="W3723" s="8"/>
      <c r="X3723" s="8" t="str">
        <f>IFERROR(__xludf.DUMMYFUNCTION("""COMPUTED_VALUE"""),"有")</f>
        <v>有</v>
      </c>
      <c r="Y3723" s="8" t="str">
        <f>IFERROR(__xludf.DUMMYFUNCTION("""COMPUTED_VALUE"""),"P10まで")</f>
        <v>P10まで</v>
      </c>
      <c r="Z3723" s="7"/>
      <c r="AA3723" s="7"/>
      <c r="AB3723" s="7"/>
    </row>
    <row r="3724" ht="15.75" customHeight="1">
      <c r="A3724" s="26">
        <f>IFERROR(__xludf.DUMMYFUNCTION("""COMPUTED_VALUE"""),5993.0)</f>
        <v>5993</v>
      </c>
      <c r="B3724" s="22" t="str">
        <f>IFERROR(__xludf.DUMMYFUNCTION("""COMPUTED_VALUE"""),"確定")</f>
        <v>確定</v>
      </c>
      <c r="C3724" s="28">
        <f>IFERROR(__xludf.DUMMYFUNCTION("""COMPUTED_VALUE"""),45842.0)</f>
        <v>45842</v>
      </c>
      <c r="D3724" s="28">
        <f>IFERROR(__xludf.DUMMYFUNCTION("""COMPUTED_VALUE"""),45874.0)</f>
        <v>45874</v>
      </c>
      <c r="E3724" s="26">
        <f>IFERROR(__xludf.DUMMYFUNCTION("""COMPUTED_VALUE"""),334674.0)</f>
        <v>334674</v>
      </c>
      <c r="F3724" s="22" t="str">
        <f>IFERROR(__xludf.DUMMYFUNCTION("""COMPUTED_VALUE"""),"素直になれない雪乙女は眠れる竜騎士に甘くとかされる コミック版（分冊版）")</f>
        <v>素直になれない雪乙女は眠れる竜騎士に甘くとかされる コミック版（分冊版）</v>
      </c>
      <c r="G3724" s="20" t="str">
        <f>IFERROR(__xludf.DUMMYFUNCTION("""COMPUTED_VALUE"""),"1～3")</f>
        <v>1～3</v>
      </c>
      <c r="H3724" s="22" t="str">
        <f>IFERROR(__xludf.DUMMYFUNCTION("""COMPUTED_VALUE"""),"水瀬はづき（作画）・待鳥園子（原作）")</f>
        <v>水瀬はづき（作画）・待鳥園子（原作）</v>
      </c>
      <c r="I3724" s="22" t="str">
        <f>IFERROR(__xludf.DUMMYFUNCTION("""COMPUTED_VALUE"""),"女性")</f>
        <v>女性</v>
      </c>
      <c r="J3724" s="22"/>
      <c r="K3724" s="22" t="str">
        <f>IFERROR(__xludf.DUMMYFUNCTION("""COMPUTED_VALUE"""),"BKコミックスf")</f>
        <v>BKコミックスf</v>
      </c>
      <c r="L3724" s="22" t="str">
        <f>IFERROR(__xludf.DUMMYFUNCTION("""COMPUTED_VALUE"""),"ぶんか社")</f>
        <v>ぶんか社</v>
      </c>
      <c r="M3724" s="33">
        <f>IFERROR(__xludf.DUMMYFUNCTION("""COMPUTED_VALUE"""),45912.0)</f>
        <v>45912</v>
      </c>
      <c r="N3724" s="33">
        <f>IFERROR(__xludf.DUMMYFUNCTION("""COMPUTED_VALUE"""),46016.0)</f>
        <v>46016</v>
      </c>
      <c r="O3724" s="20"/>
      <c r="P3724" s="32" t="str">
        <f>IFERROR(__xludf.DUMMYFUNCTION("""COMPUTED_VALUE"""),"可")</f>
        <v>可</v>
      </c>
      <c r="Q3724" s="30"/>
      <c r="R3724" s="22" t="str">
        <f>IFERROR(__xludf.DUMMYFUNCTION("""COMPUTED_VALUE"""),"コミットOK")</f>
        <v>コミットOK</v>
      </c>
      <c r="S3724" s="22" t="str">
        <f>IFERROR(__xludf.DUMMYFUNCTION("""COMPUTED_VALUE"""),"20250805_ぶんか社_素直になれない雪乙女は眠れる竜騎士に甘くとかされる")</f>
        <v>20250805_ぶんか社_素直になれない雪乙女は眠れる竜騎士に甘くとかされる</v>
      </c>
      <c r="T3724" s="22" t="str">
        <f>IFERROR(__xludf.DUMMYFUNCTION("""COMPUTED_VALUE"""),"格納済み")</f>
        <v>格納済み</v>
      </c>
      <c r="U3724" s="9" t="str">
        <f>IFERROR(__xludf.DUMMYFUNCTION("""COMPUTED_VALUE"""),"Ⓒ水瀬はづき・待鳥園子/ぶんか社")</f>
        <v>Ⓒ水瀬はづき・待鳥園子/ぶんか社</v>
      </c>
      <c r="V3724" s="8"/>
      <c r="W3724" s="8"/>
      <c r="X3724" s="8" t="str">
        <f>IFERROR(__xludf.DUMMYFUNCTION("""COMPUTED_VALUE"""),"有")</f>
        <v>有</v>
      </c>
      <c r="Y3724" s="8" t="str">
        <f>IFERROR(__xludf.DUMMYFUNCTION("""COMPUTED_VALUE"""),"2025/12/25まで1巻無料")</f>
        <v>2025/12/25まで1巻無料</v>
      </c>
      <c r="Z3724" s="7"/>
      <c r="AA3724" s="7"/>
      <c r="AB3724" s="7"/>
    </row>
    <row r="3725" ht="15.75" customHeight="1">
      <c r="A3725" s="26">
        <f>IFERROR(__xludf.DUMMYFUNCTION("""COMPUTED_VALUE"""),5998.0)</f>
        <v>5998</v>
      </c>
      <c r="B3725" s="22" t="str">
        <f>IFERROR(__xludf.DUMMYFUNCTION("""COMPUTED_VALUE"""),"確定")</f>
        <v>確定</v>
      </c>
      <c r="C3725" s="28">
        <f>IFERROR(__xludf.DUMMYFUNCTION("""COMPUTED_VALUE"""),45845.0)</f>
        <v>45845</v>
      </c>
      <c r="D3725" s="28">
        <f>IFERROR(__xludf.DUMMYFUNCTION("""COMPUTED_VALUE"""),45873.0)</f>
        <v>45873</v>
      </c>
      <c r="E3725" s="26">
        <f>IFERROR(__xludf.DUMMYFUNCTION("""COMPUTED_VALUE"""),332038.0)</f>
        <v>332038</v>
      </c>
      <c r="F3725" s="22" t="str">
        <f>IFERROR(__xludf.DUMMYFUNCTION("""COMPUTED_VALUE"""),"魔導細工師ノーミィの異世界クラフト生活 ～前世知識とチートなアイテムで、魔王城をどんどん快適にします！～ 連載版")</f>
        <v>魔導細工師ノーミィの異世界クラフト生活 ～前世知識とチートなアイテムで、魔王城をどんどん快適にします！～ 連載版</v>
      </c>
      <c r="G3725" s="20" t="str">
        <f>IFERROR(__xludf.DUMMYFUNCTION("""COMPUTED_VALUE"""),"1～4")</f>
        <v>1～4</v>
      </c>
      <c r="H3725" s="22" t="str">
        <f>IFERROR(__xludf.DUMMYFUNCTION("""COMPUTED_VALUE"""),"石月メロコア,くすだま琴,かるかるめ")</f>
        <v>石月メロコア,くすだま琴,かるかるめ</v>
      </c>
      <c r="I3725" s="22" t="str">
        <f>IFERROR(__xludf.DUMMYFUNCTION("""COMPUTED_VALUE"""),"女性")</f>
        <v>女性</v>
      </c>
      <c r="J3725" s="22"/>
      <c r="K3725" s="22"/>
      <c r="L3725" s="22" t="str">
        <f>IFERROR(__xludf.DUMMYFUNCTION("""COMPUTED_VALUE"""),"ブシロードワークス")</f>
        <v>ブシロードワークス</v>
      </c>
      <c r="M3725" s="33">
        <f>IFERROR(__xludf.DUMMYFUNCTION("""COMPUTED_VALUE"""),45885.0)</f>
        <v>45885</v>
      </c>
      <c r="N3725" s="33">
        <f>IFERROR(__xludf.DUMMYFUNCTION("""COMPUTED_VALUE"""),45947.0)</f>
        <v>45947</v>
      </c>
      <c r="O3725" s="20"/>
      <c r="P3725" s="32" t="str">
        <f>IFERROR(__xludf.DUMMYFUNCTION("""COMPUTED_VALUE"""),"可")</f>
        <v>可</v>
      </c>
      <c r="Q3725" s="30" t="str">
        <f>IFERROR(__xludf.DUMMYFUNCTION("""COMPUTED_VALUE"""),"1話について、素材は2分割して、初回1～2巻として配信。")</f>
        <v>1話について、素材は2分割して、初回1～2巻として配信。</v>
      </c>
      <c r="R3725" s="22" t="str">
        <f>IFERROR(__xludf.DUMMYFUNCTION("""COMPUTED_VALUE"""),"コミットNG")</f>
        <v>コミットNG</v>
      </c>
      <c r="S3725" s="22" t="str">
        <f>IFERROR(__xludf.DUMMYFUNCTION("""COMPUTED_VALUE"""),"20250804_ブシロードワークス_魔導細工師ノーミィの異世界クラフト生活 ～前世知識とチートなアイテムで、魔王城をどんどん快適にします！～ 連載版")</f>
        <v>20250804_ブシロードワークス_魔導細工師ノーミィの異世界クラフト生活 ～前世知識とチートなアイテムで、魔王城をどんどん快適にします！～ 連載版</v>
      </c>
      <c r="T3725" s="22" t="str">
        <f>IFERROR(__xludf.DUMMYFUNCTION("""COMPUTED_VALUE"""),"格納済み")</f>
        <v>格納済み</v>
      </c>
      <c r="U3725" s="9" t="str">
        <f>IFERROR(__xludf.DUMMYFUNCTION("""COMPUTED_VALUE"""),"©Merocore Ishiduki / BUSHIROAD WORKS ©Koto Kusudama")</f>
        <v>©Merocore Ishiduki / BUSHIROAD WORKS ©Koto Kusudama</v>
      </c>
      <c r="V3725" s="8"/>
      <c r="W3725" s="8"/>
      <c r="X3725" s="8" t="str">
        <f>IFERROR(__xludf.DUMMYFUNCTION("""COMPUTED_VALUE"""),"有")</f>
        <v>有</v>
      </c>
      <c r="Y3725" s="8" t="str">
        <f>IFERROR(__xludf.DUMMYFUNCTION("""COMPUTED_VALUE"""),"P3まで")</f>
        <v>P3まで</v>
      </c>
      <c r="Z3725" s="7"/>
      <c r="AA3725" s="7"/>
      <c r="AB3725" s="7"/>
    </row>
    <row r="3726" ht="15.75" customHeight="1">
      <c r="A3726" s="26">
        <f>IFERROR(__xludf.DUMMYFUNCTION("""COMPUTED_VALUE"""),6001.0)</f>
        <v>6001</v>
      </c>
      <c r="B3726" s="22" t="str">
        <f>IFERROR(__xludf.DUMMYFUNCTION("""COMPUTED_VALUE"""),"確定")</f>
        <v>確定</v>
      </c>
      <c r="C3726" s="28">
        <f>IFERROR(__xludf.DUMMYFUNCTION("""COMPUTED_VALUE"""),45845.0)</f>
        <v>45845</v>
      </c>
      <c r="D3726" s="28">
        <f>IFERROR(__xludf.DUMMYFUNCTION("""COMPUTED_VALUE"""),45874.0)</f>
        <v>45874</v>
      </c>
      <c r="E3726" s="26">
        <f>IFERROR(__xludf.DUMMYFUNCTION("""COMPUTED_VALUE"""),329646.0)</f>
        <v>329646</v>
      </c>
      <c r="F3726" s="22" t="str">
        <f>IFERROR(__xludf.DUMMYFUNCTION("""COMPUTED_VALUE"""),"転校先のド田舎でクラスの彼女候補たちが全員発情期すぎる")</f>
        <v>転校先のド田舎でクラスの彼女候補たちが全員発情期すぎる</v>
      </c>
      <c r="G3726" s="20" t="str">
        <f>IFERROR(__xludf.DUMMYFUNCTION("""COMPUTED_VALUE"""),"1～2")</f>
        <v>1～2</v>
      </c>
      <c r="H3726" s="22" t="str">
        <f>IFERROR(__xludf.DUMMYFUNCTION("""COMPUTED_VALUE"""),"cielo")</f>
        <v>cielo</v>
      </c>
      <c r="I3726" s="22" t="str">
        <f>IFERROR(__xludf.DUMMYFUNCTION("""COMPUTED_VALUE"""),"アダルト")</f>
        <v>アダルト</v>
      </c>
      <c r="J3726" s="22"/>
      <c r="K3726" s="22"/>
      <c r="L3726" s="22" t="str">
        <f>IFERROR(__xludf.DUMMYFUNCTION("""COMPUTED_VALUE"""),"ナイトコミック")</f>
        <v>ナイトコミック</v>
      </c>
      <c r="M3726" s="33">
        <f>IFERROR(__xludf.DUMMYFUNCTION("""COMPUTED_VALUE"""),45870.0)</f>
        <v>45870</v>
      </c>
      <c r="N3726" s="33">
        <f>IFERROR(__xludf.DUMMYFUNCTION("""COMPUTED_VALUE"""),45942.0)</f>
        <v>45942</v>
      </c>
      <c r="O3726" s="20"/>
      <c r="P3726" s="32" t="str">
        <f>IFERROR(__xludf.DUMMYFUNCTION("""COMPUTED_VALUE"""),"可")</f>
        <v>可</v>
      </c>
      <c r="Q3726" s="30"/>
      <c r="R3726" s="22" t="str">
        <f>IFERROR(__xludf.DUMMYFUNCTION("""COMPUTED_VALUE"""),"コミットOK")</f>
        <v>コミットOK</v>
      </c>
      <c r="S3726" s="22" t="str">
        <f>IFERROR(__xludf.DUMMYFUNCTION("""COMPUTED_VALUE"""),"20250805_ナイトコミック_転校先のド田舎でクラスの彼女候補たちが全員発情期すぎる01-02")</f>
        <v>20250805_ナイトコミック_転校先のド田舎でクラスの彼女候補たちが全員発情期すぎる01-02</v>
      </c>
      <c r="T3726" s="22" t="str">
        <f>IFERROR(__xludf.DUMMYFUNCTION("""COMPUTED_VALUE"""),"格納済み")</f>
        <v>格納済み</v>
      </c>
      <c r="U3726" s="9" t="str">
        <f>IFERROR(__xludf.DUMMYFUNCTION("""COMPUTED_VALUE"""),"Ⓒcielo")</f>
        <v>Ⓒcielo</v>
      </c>
      <c r="V3726" s="8"/>
      <c r="W3726" s="8"/>
      <c r="X3726" s="8" t="str">
        <f>IFERROR(__xludf.DUMMYFUNCTION("""COMPUTED_VALUE"""),"有")</f>
        <v>有</v>
      </c>
      <c r="Y3726" s="8" t="str">
        <f>IFERROR(__xludf.DUMMYFUNCTION("""COMPUTED_VALUE"""),"2025/2/12まで1巻立ち読み増量(P18)")</f>
        <v>2025/2/12まで1巻立ち読み増量(P18)</v>
      </c>
      <c r="Z3726" s="7"/>
      <c r="AA3726" s="7"/>
      <c r="AB3726" s="7"/>
    </row>
    <row r="3727" ht="15.75" customHeight="1">
      <c r="A3727" s="26">
        <f>IFERROR(__xludf.DUMMYFUNCTION("""COMPUTED_VALUE"""),6032.0)</f>
        <v>6032</v>
      </c>
      <c r="B3727" s="22" t="str">
        <f>IFERROR(__xludf.DUMMYFUNCTION("""COMPUTED_VALUE"""),"確定")</f>
        <v>確定</v>
      </c>
      <c r="C3727" s="28">
        <f>IFERROR(__xludf.DUMMYFUNCTION("""COMPUTED_VALUE"""),45846.0)</f>
        <v>45846</v>
      </c>
      <c r="D3727" s="28">
        <f>IFERROR(__xludf.DUMMYFUNCTION("""COMPUTED_VALUE"""),45875.0)</f>
        <v>45875</v>
      </c>
      <c r="E3727" s="26">
        <f>IFERROR(__xludf.DUMMYFUNCTION("""COMPUTED_VALUE"""),332701.0)</f>
        <v>332701</v>
      </c>
      <c r="F3727" s="22" t="str">
        <f>IFERROR(__xludf.DUMMYFUNCTION("""COMPUTED_VALUE"""),"死神の婚姻")</f>
        <v>死神の婚姻</v>
      </c>
      <c r="G3727" s="20" t="str">
        <f>IFERROR(__xludf.DUMMYFUNCTION("""COMPUTED_VALUE"""),"1～3")</f>
        <v>1～3</v>
      </c>
      <c r="H3727" s="22" t="str">
        <f>IFERROR(__xludf.DUMMYFUNCTION("""COMPUTED_VALUE"""),"宇海乃そら")</f>
        <v>宇海乃そら</v>
      </c>
      <c r="I3727" s="22" t="str">
        <f>IFERROR(__xludf.DUMMYFUNCTION("""COMPUTED_VALUE"""),"女性マンガ")</f>
        <v>女性マンガ</v>
      </c>
      <c r="J3727" s="22"/>
      <c r="K3727" s="22"/>
      <c r="L3727" s="22" t="str">
        <f>IFERROR(__xludf.DUMMYFUNCTION("""COMPUTED_VALUE"""),"ガラン")</f>
        <v>ガラン</v>
      </c>
      <c r="M3727" s="33">
        <f>IFERROR(__xludf.DUMMYFUNCTION("""COMPUTED_VALUE"""),45882.0)</f>
        <v>45882</v>
      </c>
      <c r="N3727" s="33">
        <f>IFERROR(__xludf.DUMMYFUNCTION("""COMPUTED_VALUE"""),46007.0)</f>
        <v>46007</v>
      </c>
      <c r="O3727" s="20"/>
      <c r="P3727" s="32" t="str">
        <f>IFERROR(__xludf.DUMMYFUNCTION("""COMPUTED_VALUE"""),"可")</f>
        <v>可</v>
      </c>
      <c r="Q3727" s="30"/>
      <c r="R3727" s="22" t="str">
        <f>IFERROR(__xludf.DUMMYFUNCTION("""COMPUTED_VALUE"""),"コミットNG")</f>
        <v>コミットNG</v>
      </c>
      <c r="S3727" s="22" t="str">
        <f>IFERROR(__xludf.DUMMYFUNCTION("""COMPUTED_VALUE"""),"20250805_ガラン_死神の婚姻")</f>
        <v>20250805_ガラン_死神の婚姻</v>
      </c>
      <c r="T3727" s="22" t="str">
        <f>IFERROR(__xludf.DUMMYFUNCTION("""COMPUTED_VALUE"""),"格納済み")</f>
        <v>格納済み</v>
      </c>
      <c r="U3727" s="9" t="str">
        <f>IFERROR(__xludf.DUMMYFUNCTION("""COMPUTED_VALUE"""),"宇海乃そら／Haute Couture")</f>
        <v>宇海乃そら／Haute Couture</v>
      </c>
      <c r="V3727" s="8"/>
      <c r="W3727" s="8"/>
      <c r="X3727" s="8" t="str">
        <f>IFERROR(__xludf.DUMMYFUNCTION("""COMPUTED_VALUE"""),"有")</f>
        <v>有</v>
      </c>
      <c r="Y3727" s="8" t="str">
        <f>IFERROR(__xludf.DUMMYFUNCTION("""COMPUTED_VALUE"""),"1巻無料")</f>
        <v>1巻無料</v>
      </c>
      <c r="Z3727" s="7"/>
      <c r="AA3727" s="7"/>
      <c r="AB3727" s="7"/>
    </row>
    <row r="3728" ht="15.75" customHeight="1">
      <c r="A3728" s="26">
        <f>IFERROR(__xludf.DUMMYFUNCTION("""COMPUTED_VALUE"""),6111.0)</f>
        <v>6111</v>
      </c>
      <c r="B3728" s="22" t="str">
        <f>IFERROR(__xludf.DUMMYFUNCTION("""COMPUTED_VALUE"""),"確定")</f>
        <v>確定</v>
      </c>
      <c r="C3728" s="28">
        <f>IFERROR(__xludf.DUMMYFUNCTION("""COMPUTED_VALUE"""),45860.0)</f>
        <v>45860</v>
      </c>
      <c r="D3728" s="28">
        <f>IFERROR(__xludf.DUMMYFUNCTION("""COMPUTED_VALUE"""),45874.0)</f>
        <v>45874</v>
      </c>
      <c r="E3728" s="26">
        <f>IFERROR(__xludf.DUMMYFUNCTION("""COMPUTED_VALUE"""),332909.0)</f>
        <v>332909</v>
      </c>
      <c r="F3728" s="22" t="str">
        <f>IFERROR(__xludf.DUMMYFUNCTION("""COMPUTED_VALUE"""),"スイート・ショット【タテヨミ】")</f>
        <v>スイート・ショット【タテヨミ】</v>
      </c>
      <c r="G3728" s="20" t="str">
        <f>IFERROR(__xludf.DUMMYFUNCTION("""COMPUTED_VALUE"""),"1～15")</f>
        <v>1～15</v>
      </c>
      <c r="H3728" s="22" t="str">
        <f>IFERROR(__xludf.DUMMYFUNCTION("""COMPUTED_VALUE"""),"Nateach,Sari Ramyeon,Ramin,CHASAM")</f>
        <v>Nateach,Sari Ramyeon,Ramin,CHASAM</v>
      </c>
      <c r="I3728" s="22" t="str">
        <f>IFERROR(__xludf.DUMMYFUNCTION("""COMPUTED_VALUE"""),"BL")</f>
        <v>BL</v>
      </c>
      <c r="J3728" s="22"/>
      <c r="K3728" s="22"/>
      <c r="L3728" s="22" t="str">
        <f>IFERROR(__xludf.DUMMYFUNCTION("""COMPUTED_VALUE"""),"NHN comico")</f>
        <v>NHN comico</v>
      </c>
      <c r="M3728" s="33">
        <f>IFERROR(__xludf.DUMMYFUNCTION("""COMPUTED_VALUE"""),45898.0)</f>
        <v>45898</v>
      </c>
      <c r="N3728" s="33">
        <f>IFERROR(__xludf.DUMMYFUNCTION("""COMPUTED_VALUE"""),45958.0)</f>
        <v>45958</v>
      </c>
      <c r="O3728" s="20"/>
      <c r="P3728" s="32" t="str">
        <f>IFERROR(__xludf.DUMMYFUNCTION("""COMPUTED_VALUE"""),"可")</f>
        <v>可</v>
      </c>
      <c r="Q3728" s="30"/>
      <c r="R3728" s="22" t="str">
        <f>IFERROR(__xludf.DUMMYFUNCTION("""COMPUTED_VALUE"""),"コミットOK")</f>
        <v>コミットOK</v>
      </c>
      <c r="S3728" s="22" t="str">
        <f>IFERROR(__xludf.DUMMYFUNCTION("""COMPUTED_VALUE"""),"20250805_NHN comico_スイート・ショット【タテヨミ】")</f>
        <v>20250805_NHN comico_スイート・ショット【タテヨミ】</v>
      </c>
      <c r="T3728" s="22" t="str">
        <f>IFERROR(__xludf.DUMMYFUNCTION("""COMPUTED_VALUE"""),"格納済み")</f>
        <v>格納済み</v>
      </c>
      <c r="U3728" s="9" t="str">
        <f>IFERROR(__xludf.DUMMYFUNCTION("""COMPUTED_VALUE"""),"Ⓒ Ramin, CHASAM, Sari Ramyeon, Nateach /Wisdomhouse")</f>
        <v>Ⓒ Ramin, CHASAM, Sari Ramyeon, Nateach /Wisdomhouse</v>
      </c>
      <c r="V3728" s="8"/>
      <c r="W3728" s="8"/>
      <c r="X3728" s="8" t="str">
        <f>IFERROR(__xludf.DUMMYFUNCTION("""COMPUTED_VALUE"""),"有")</f>
        <v>有</v>
      </c>
      <c r="Y3728" s="8" t="str">
        <f>IFERROR(__xludf.DUMMYFUNCTION("""COMPUTED_VALUE"""),"1~2巻無料")</f>
        <v>1~2巻無料</v>
      </c>
      <c r="Z3728" s="7"/>
      <c r="AA3728" s="7"/>
      <c r="AB3728" s="7"/>
    </row>
    <row r="3729" ht="15.75" customHeight="1">
      <c r="A3729" s="26">
        <f>IFERROR(__xludf.DUMMYFUNCTION("""COMPUTED_VALUE"""),6125.0)</f>
        <v>6125</v>
      </c>
      <c r="B3729" s="22" t="str">
        <f>IFERROR(__xludf.DUMMYFUNCTION("""COMPUTED_VALUE"""),"確定")</f>
        <v>確定</v>
      </c>
      <c r="C3729" s="28">
        <f>IFERROR(__xludf.DUMMYFUNCTION("""COMPUTED_VALUE"""),45862.0)</f>
        <v>45862</v>
      </c>
      <c r="D3729" s="28">
        <f>IFERROR(__xludf.DUMMYFUNCTION("""COMPUTED_VALUE"""),45874.0)</f>
        <v>45874</v>
      </c>
      <c r="E3729" s="26">
        <f>IFERROR(__xludf.DUMMYFUNCTION("""COMPUTED_VALUE"""),333675.0)</f>
        <v>333675</v>
      </c>
      <c r="F3729" s="22" t="str">
        <f>IFERROR(__xludf.DUMMYFUNCTION("""COMPUTED_VALUE"""),"イジメの時間シリーズ【R版】分冊版")</f>
        <v>イジメの時間シリーズ【R版】分冊版</v>
      </c>
      <c r="G3729" s="20" t="str">
        <f>IFERROR(__xludf.DUMMYFUNCTION("""COMPUTED_VALUE"""),"1～4")</f>
        <v>1～4</v>
      </c>
      <c r="H3729" s="22" t="str">
        <f>IFERROR(__xludf.DUMMYFUNCTION("""COMPUTED_VALUE"""),"Nike")</f>
        <v>Nike</v>
      </c>
      <c r="I3729" s="22" t="str">
        <f>IFERROR(__xludf.DUMMYFUNCTION("""COMPUTED_VALUE"""),"アダルトマンガ")</f>
        <v>アダルトマンガ</v>
      </c>
      <c r="J3729" s="22"/>
      <c r="K3729" s="22"/>
      <c r="L3729" s="22" t="str">
        <f>IFERROR(__xludf.DUMMYFUNCTION("""COMPUTED_VALUE"""),"クロスフォリオ出版")</f>
        <v>クロスフォリオ出版</v>
      </c>
      <c r="M3729" s="33">
        <f>IFERROR(__xludf.DUMMYFUNCTION("""COMPUTED_VALUE"""),45905.0)</f>
        <v>45905</v>
      </c>
      <c r="N3729" s="33">
        <f>IFERROR(__xludf.DUMMYFUNCTION("""COMPUTED_VALUE"""),45967.0)</f>
        <v>45967</v>
      </c>
      <c r="O3729" s="20"/>
      <c r="P3729" s="32" t="str">
        <f>IFERROR(__xludf.DUMMYFUNCTION("""COMPUTED_VALUE"""),"可")</f>
        <v>可</v>
      </c>
      <c r="Q3729" s="30" t="str">
        <f>IFERROR(__xludf.DUMMYFUNCTION("""COMPUTED_VALUE"""),"Bookliveとの2社先行です。")</f>
        <v>Bookliveとの2社先行です。</v>
      </c>
      <c r="R3729" s="22" t="str">
        <f>IFERROR(__xludf.DUMMYFUNCTION("""COMPUTED_VALUE"""),"コミットOK")</f>
        <v>コミットOK</v>
      </c>
      <c r="S3729" s="22" t="str">
        <f>IFERROR(__xludf.DUMMYFUNCTION("""COMPUTED_VALUE"""),"20250724_Booklive_イジメの時間シリーズ【R版】分冊版")</f>
        <v>20250724_Booklive_イジメの時間シリーズ【R版】分冊版</v>
      </c>
      <c r="T3729" s="22" t="str">
        <f>IFERROR(__xludf.DUMMYFUNCTION("""COMPUTED_VALUE"""),"格納済み")</f>
        <v>格納済み</v>
      </c>
      <c r="U3729" s="9" t="str">
        <f>IFERROR(__xludf.DUMMYFUNCTION("""COMPUTED_VALUE"""),"(c)Nike/バ行のバカ/クロスフォリオ出版")</f>
        <v>(c)Nike/バ行のバカ/クロスフォリオ出版</v>
      </c>
      <c r="V3729" s="8"/>
      <c r="W3729" s="8"/>
      <c r="X3729" s="8" t="str">
        <f>IFERROR(__xludf.DUMMYFUNCTION("""COMPUTED_VALUE"""),"有")</f>
        <v>有</v>
      </c>
      <c r="Y3729" s="8" t="str">
        <f>IFERROR(__xludf.DUMMYFUNCTION("""COMPUTED_VALUE"""),"P15まで")</f>
        <v>P15まで</v>
      </c>
      <c r="Z3729" s="7"/>
      <c r="AA3729" s="7"/>
      <c r="AB3729" s="7"/>
    </row>
    <row r="3730" ht="15.75" customHeight="1">
      <c r="A3730" s="26">
        <f>IFERROR(__xludf.DUMMYFUNCTION("""COMPUTED_VALUE"""),6136.0)</f>
        <v>6136</v>
      </c>
      <c r="B3730" s="22" t="str">
        <f>IFERROR(__xludf.DUMMYFUNCTION("""COMPUTED_VALUE"""),"確定")</f>
        <v>確定</v>
      </c>
      <c r="C3730" s="28">
        <f>IFERROR(__xludf.DUMMYFUNCTION("""COMPUTED_VALUE"""),45866.0)</f>
        <v>45866</v>
      </c>
      <c r="D3730" s="28">
        <f>IFERROR(__xludf.DUMMYFUNCTION("""COMPUTED_VALUE"""),45874.0)</f>
        <v>45874</v>
      </c>
      <c r="E3730" s="26">
        <f>IFERROR(__xludf.DUMMYFUNCTION("""COMPUTED_VALUE"""),320553.0)</f>
        <v>320553</v>
      </c>
      <c r="F3730" s="22" t="str">
        <f>IFERROR(__xludf.DUMMYFUNCTION("""COMPUTED_VALUE"""),"言えない欲は皿の上")</f>
        <v>言えない欲は皿の上</v>
      </c>
      <c r="G3730" s="20">
        <f>IFERROR(__xludf.DUMMYFUNCTION("""COMPUTED_VALUE"""),1.0)</f>
        <v>1</v>
      </c>
      <c r="H3730" s="22" t="str">
        <f>IFERROR(__xludf.DUMMYFUNCTION("""COMPUTED_VALUE"""),"相野ココ")</f>
        <v>相野ココ</v>
      </c>
      <c r="I3730" s="22" t="str">
        <f>IFERROR(__xludf.DUMMYFUNCTION("""COMPUTED_VALUE"""),"BLマンガ")</f>
        <v>BLマンガ</v>
      </c>
      <c r="J3730" s="22"/>
      <c r="K3730" s="22" t="str">
        <f>IFERROR(__xludf.DUMMYFUNCTION("""COMPUTED_VALUE"""),"Ficus")</f>
        <v>Ficus</v>
      </c>
      <c r="L3730" s="22" t="str">
        <f>IFERROR(__xludf.DUMMYFUNCTION("""COMPUTED_VALUE"""),"シーモアコミックス")</f>
        <v>シーモアコミックス</v>
      </c>
      <c r="M3730" s="33">
        <f>IFERROR(__xludf.DUMMYFUNCTION("""COMPUTED_VALUE"""),45900.0)</f>
        <v>45900</v>
      </c>
      <c r="N3730" s="33">
        <f>IFERROR(__xludf.DUMMYFUNCTION("""COMPUTED_VALUE"""),46086.0)</f>
        <v>46086</v>
      </c>
      <c r="O3730" s="20"/>
      <c r="P3730" s="32" t="str">
        <f>IFERROR(__xludf.DUMMYFUNCTION("""COMPUTED_VALUE"""),"可")</f>
        <v>可</v>
      </c>
      <c r="Q3730" s="30" t="str">
        <f>IFERROR(__xludf.DUMMYFUNCTION("""COMPUTED_VALUE"""),"※本作品はFicus Party 6th朗読イベント作品です。&lt;BR&gt;")</f>
        <v>※本作品はFicus Party 6th朗読イベント作品です。&lt;BR&gt;</v>
      </c>
      <c r="R3730" s="22"/>
      <c r="S3730" s="22" t="str">
        <f>IFERROR(__xludf.DUMMYFUNCTION("""COMPUTED_VALUE"""),"20250728_シーモアコミックス_言えない欲は皿の上")</f>
        <v>20250728_シーモアコミックス_言えない欲は皿の上</v>
      </c>
      <c r="T3730" s="22" t="str">
        <f>IFERROR(__xludf.DUMMYFUNCTION("""COMPUTED_VALUE"""),"格納済み")</f>
        <v>格納済み</v>
      </c>
      <c r="U3730" s="9" t="str">
        <f>IFERROR(__xludf.DUMMYFUNCTION("""COMPUTED_VALUE"""),"(C) 相野ココ/シーモアコミックス")</f>
        <v>(C) 相野ココ/シーモアコミックス</v>
      </c>
      <c r="V3730" s="8"/>
      <c r="W3730" s="8"/>
      <c r="X3730" s="8" t="str">
        <f>IFERROR(__xludf.DUMMYFUNCTION("""COMPUTED_VALUE"""),"有")</f>
        <v>有</v>
      </c>
      <c r="Y3730" s="8" t="str">
        <f>IFERROR(__xludf.DUMMYFUNCTION("""COMPUTED_VALUE"""),"2025/9/30まで1巻立ち読み増量(P16)")</f>
        <v>2025/9/30まで1巻立ち読み増量(P16)</v>
      </c>
      <c r="Z3730" s="7"/>
      <c r="AA3730" s="7"/>
      <c r="AB3730" s="7"/>
    </row>
    <row r="3731" ht="15.75" customHeight="1">
      <c r="A3731" s="26">
        <f>IFERROR(__xludf.DUMMYFUNCTION("""COMPUTED_VALUE"""),6137.0)</f>
        <v>6137</v>
      </c>
      <c r="B3731" s="22" t="str">
        <f>IFERROR(__xludf.DUMMYFUNCTION("""COMPUTED_VALUE"""),"確定")</f>
        <v>確定</v>
      </c>
      <c r="C3731" s="28">
        <f>IFERROR(__xludf.DUMMYFUNCTION("""COMPUTED_VALUE"""),45866.0)</f>
        <v>45866</v>
      </c>
      <c r="D3731" s="28">
        <f>IFERROR(__xludf.DUMMYFUNCTION("""COMPUTED_VALUE"""),45874.0)</f>
        <v>45874</v>
      </c>
      <c r="E3731" s="26">
        <f>IFERROR(__xludf.DUMMYFUNCTION("""COMPUTED_VALUE"""),304143.0)</f>
        <v>304143</v>
      </c>
      <c r="F3731" s="22" t="str">
        <f>IFERROR(__xludf.DUMMYFUNCTION("""COMPUTED_VALUE"""),"推しアイドル様のお気に召すまま")</f>
        <v>推しアイドル様のお気に召すまま</v>
      </c>
      <c r="G3731" s="20" t="str">
        <f>IFERROR(__xludf.DUMMYFUNCTION("""COMPUTED_VALUE"""),"1～3")</f>
        <v>1～3</v>
      </c>
      <c r="H3731" s="22" t="str">
        <f>IFERROR(__xludf.DUMMYFUNCTION("""COMPUTED_VALUE"""),"栗原カナ")</f>
        <v>栗原カナ</v>
      </c>
      <c r="I3731" s="22" t="str">
        <f>IFERROR(__xludf.DUMMYFUNCTION("""COMPUTED_VALUE"""),"BLマンガ")</f>
        <v>BLマンガ</v>
      </c>
      <c r="J3731" s="22"/>
      <c r="K3731" s="22" t="str">
        <f>IFERROR(__xludf.DUMMYFUNCTION("""COMPUTED_VALUE"""),"Ficus")</f>
        <v>Ficus</v>
      </c>
      <c r="L3731" s="22" t="str">
        <f>IFERROR(__xludf.DUMMYFUNCTION("""COMPUTED_VALUE"""),"シーモアコミックス")</f>
        <v>シーモアコミックス</v>
      </c>
      <c r="M3731" s="33">
        <f>IFERROR(__xludf.DUMMYFUNCTION("""COMPUTED_VALUE"""),45900.0)</f>
        <v>45900</v>
      </c>
      <c r="N3731" s="33">
        <f>IFERROR(__xludf.DUMMYFUNCTION("""COMPUTED_VALUE"""),46086.0)</f>
        <v>46086</v>
      </c>
      <c r="O3731" s="20"/>
      <c r="P3731" s="32" t="str">
        <f>IFERROR(__xludf.DUMMYFUNCTION("""COMPUTED_VALUE"""),"可")</f>
        <v>可</v>
      </c>
      <c r="Q3731" s="30" t="str">
        <f>IFERROR(__xludf.DUMMYFUNCTION("""COMPUTED_VALUE"""),"※本作品はFicus Party 6th朗読イベント作品です。")</f>
        <v>※本作品はFicus Party 6th朗読イベント作品です。</v>
      </c>
      <c r="R3731" s="22"/>
      <c r="S3731" s="22" t="str">
        <f>IFERROR(__xludf.DUMMYFUNCTION("""COMPUTED_VALUE"""),"20250728_シーモアコミックス_推しアイドル様のお気に召すまま")</f>
        <v>20250728_シーモアコミックス_推しアイドル様のお気に召すまま</v>
      </c>
      <c r="T3731" s="22" t="str">
        <f>IFERROR(__xludf.DUMMYFUNCTION("""COMPUTED_VALUE"""),"格納済み")</f>
        <v>格納済み</v>
      </c>
      <c r="U3731" s="9" t="str">
        <f>IFERROR(__xludf.DUMMYFUNCTION("""COMPUTED_VALUE"""),"(C) 栗原カナ/シーモアコミックス")</f>
        <v>(C) 栗原カナ/シーモアコミックス</v>
      </c>
      <c r="V3731" s="8"/>
      <c r="W3731" s="8"/>
      <c r="X3731" s="8" t="str">
        <f>IFERROR(__xludf.DUMMYFUNCTION("""COMPUTED_VALUE"""),"有")</f>
        <v>有</v>
      </c>
      <c r="Y3731" s="8" t="str">
        <f>IFERROR(__xludf.DUMMYFUNCTION("""COMPUTED_VALUE"""),"2025/9/30まで1巻無料")</f>
        <v>2025/9/30まで1巻無料</v>
      </c>
      <c r="Z3731" s="7"/>
      <c r="AA3731" s="7"/>
      <c r="AB3731" s="7"/>
    </row>
    <row r="3732" ht="15.75" customHeight="1">
      <c r="A3732" s="26">
        <f>IFERROR(__xludf.DUMMYFUNCTION("""COMPUTED_VALUE"""),6138.0)</f>
        <v>6138</v>
      </c>
      <c r="B3732" s="22" t="str">
        <f>IFERROR(__xludf.DUMMYFUNCTION("""COMPUTED_VALUE"""),"確定")</f>
        <v>確定</v>
      </c>
      <c r="C3732" s="28">
        <f>IFERROR(__xludf.DUMMYFUNCTION("""COMPUTED_VALUE"""),45866.0)</f>
        <v>45866</v>
      </c>
      <c r="D3732" s="28">
        <f>IFERROR(__xludf.DUMMYFUNCTION("""COMPUTED_VALUE"""),45874.0)</f>
        <v>45874</v>
      </c>
      <c r="E3732" s="26">
        <f>IFERROR(__xludf.DUMMYFUNCTION("""COMPUTED_VALUE"""),302739.0)</f>
        <v>302739</v>
      </c>
      <c r="F3732" s="22" t="str">
        <f>IFERROR(__xludf.DUMMYFUNCTION("""COMPUTED_VALUE"""),"リスタート ～転生ゲーマーの無双リベンジ～(フルカラー)")</f>
        <v>リスタート ～転生ゲーマーの無双リベンジ～(フルカラー)</v>
      </c>
      <c r="G3732" s="20" t="str">
        <f>IFERROR(__xludf.DUMMYFUNCTION("""COMPUTED_VALUE"""),"1～10")</f>
        <v>1～10</v>
      </c>
      <c r="H3732" s="22" t="str">
        <f>IFERROR(__xludf.DUMMYFUNCTION("""COMPUTED_VALUE"""),"Arnandra,Hwagong,Hoon")</f>
        <v>Arnandra,Hwagong,Hoon</v>
      </c>
      <c r="I3732" s="22" t="str">
        <f>IFERROR(__xludf.DUMMYFUNCTION("""COMPUTED_VALUE"""),"青年マンガ")</f>
        <v>青年マンガ</v>
      </c>
      <c r="J3732" s="22"/>
      <c r="K3732" s="22" t="str">
        <f>IFERROR(__xludf.DUMMYFUNCTION("""COMPUTED_VALUE"""),"ズズズキュン！")</f>
        <v>ズズズキュン！</v>
      </c>
      <c r="L3732" s="22" t="str">
        <f>IFERROR(__xludf.DUMMYFUNCTION("""COMPUTED_VALUE"""),"シーモアコミックス")</f>
        <v>シーモアコミックス</v>
      </c>
      <c r="M3732" s="33">
        <f>IFERROR(__xludf.DUMMYFUNCTION("""COMPUTED_VALUE"""),45899.0)</f>
        <v>45899</v>
      </c>
      <c r="N3732" s="33">
        <f>IFERROR(__xludf.DUMMYFUNCTION("""COMPUTED_VALUE"""),45988.0)</f>
        <v>45988</v>
      </c>
      <c r="O3732" s="20"/>
      <c r="P3732" s="32" t="str">
        <f>IFERROR(__xludf.DUMMYFUNCTION("""COMPUTED_VALUE"""),"可")</f>
        <v>可</v>
      </c>
      <c r="Q3732" s="30"/>
      <c r="R3732" s="22"/>
      <c r="S3732" s="22" t="str">
        <f>IFERROR(__xludf.DUMMYFUNCTION("""COMPUTED_VALUE"""),"20250728_シーモアコミックス_リスタート ～転生ゲーマーの無双リベンジ～（フルカラー）")</f>
        <v>20250728_シーモアコミックス_リスタート ～転生ゲーマーの無双リベンジ～（フルカラー）</v>
      </c>
      <c r="T3732" s="22" t="str">
        <f>IFERROR(__xludf.DUMMYFUNCTION("""COMPUTED_VALUE"""),"格納済み")</f>
        <v>格納済み</v>
      </c>
      <c r="U3732" s="9" t="str">
        <f>IFERROR(__xludf.DUMMYFUNCTION("""COMPUTED_VALUE"""),"(C) Arnandra/Hwagong/Hoon/MSTORYHUB/シーモアコミックス")</f>
        <v>(C) Arnandra/Hwagong/Hoon/MSTORYHUB/シーモアコミックス</v>
      </c>
      <c r="V3732" s="8"/>
      <c r="W3732" s="8"/>
      <c r="X3732" s="8" t="str">
        <f>IFERROR(__xludf.DUMMYFUNCTION("""COMPUTED_VALUE"""),"有")</f>
        <v>有</v>
      </c>
      <c r="Y3732" s="8" t="str">
        <f>IFERROR(__xludf.DUMMYFUNCTION("""COMPUTED_VALUE"""),"2025/9/26まで1～3巻無料")</f>
        <v>2025/9/26まで1～3巻無料</v>
      </c>
      <c r="Z3732" s="7"/>
      <c r="AA3732" s="7"/>
      <c r="AB3732" s="7"/>
    </row>
    <row r="3733" ht="15.75" customHeight="1">
      <c r="A3733" s="26">
        <f>IFERROR(__xludf.DUMMYFUNCTION("""COMPUTED_VALUE"""),6139.0)</f>
        <v>6139</v>
      </c>
      <c r="B3733" s="22" t="str">
        <f>IFERROR(__xludf.DUMMYFUNCTION("""COMPUTED_VALUE"""),"確定")</f>
        <v>確定</v>
      </c>
      <c r="C3733" s="28">
        <f>IFERROR(__xludf.DUMMYFUNCTION("""COMPUTED_VALUE"""),45866.0)</f>
        <v>45866</v>
      </c>
      <c r="D3733" s="28">
        <f>IFERROR(__xludf.DUMMYFUNCTION("""COMPUTED_VALUE"""),45874.0)</f>
        <v>45874</v>
      </c>
      <c r="E3733" s="26">
        <f>IFERROR(__xludf.DUMMYFUNCTION("""COMPUTED_VALUE"""),302740.0)</f>
        <v>302740</v>
      </c>
      <c r="F3733" s="22" t="str">
        <f>IFERROR(__xludf.DUMMYFUNCTION("""COMPUTED_VALUE"""),"リスタート ～転生ゲーマーの無双リベンジ～【タテヨミ】")</f>
        <v>リスタート ～転生ゲーマーの無双リベンジ～【タテヨミ】</v>
      </c>
      <c r="G3733" s="20" t="str">
        <f>IFERROR(__xludf.DUMMYFUNCTION("""COMPUTED_VALUE"""),"1～30")</f>
        <v>1～30</v>
      </c>
      <c r="H3733" s="22" t="str">
        <f>IFERROR(__xludf.DUMMYFUNCTION("""COMPUTED_VALUE"""),"Arnandra,Hwagong,Hoon")</f>
        <v>Arnandra,Hwagong,Hoon</v>
      </c>
      <c r="I3733" s="22" t="str">
        <f>IFERROR(__xludf.DUMMYFUNCTION("""COMPUTED_VALUE"""),"青年マンガ")</f>
        <v>青年マンガ</v>
      </c>
      <c r="J3733" s="22"/>
      <c r="K3733" s="22" t="str">
        <f>IFERROR(__xludf.DUMMYFUNCTION("""COMPUTED_VALUE"""),"ズズズキュン！")</f>
        <v>ズズズキュン！</v>
      </c>
      <c r="L3733" s="22" t="str">
        <f>IFERROR(__xludf.DUMMYFUNCTION("""COMPUTED_VALUE"""),"シーモアコミックス")</f>
        <v>シーモアコミックス</v>
      </c>
      <c r="M3733" s="33">
        <f>IFERROR(__xludf.DUMMYFUNCTION("""COMPUTED_VALUE"""),45899.0)</f>
        <v>45899</v>
      </c>
      <c r="N3733" s="33">
        <f>IFERROR(__xludf.DUMMYFUNCTION("""COMPUTED_VALUE"""),45988.0)</f>
        <v>45988</v>
      </c>
      <c r="O3733" s="20"/>
      <c r="P3733" s="32" t="str">
        <f>IFERROR(__xludf.DUMMYFUNCTION("""COMPUTED_VALUE"""),"可")</f>
        <v>可</v>
      </c>
      <c r="Q3733" s="30" t="str">
        <f>IFERROR(__xludf.DUMMYFUNCTION("""COMPUTED_VALUE"""),"※コマサム等素材は「302739　リスタート ～転生ゲーマーの無双リベンジ～(フルカラー)」の方をお使いください。バナー制作はフルカラー版の素材を利用して問題ございません。&lt;BR&gt;")</f>
        <v>※コマサム等素材は「302739　リスタート ～転生ゲーマーの無双リベンジ～(フルカラー)」の方をお使いください。バナー制作はフルカラー版の素材を利用して問題ございません。&lt;BR&gt;</v>
      </c>
      <c r="R3733" s="22"/>
      <c r="S3733" s="22" t="str">
        <f>IFERROR(__xludf.DUMMYFUNCTION("""COMPUTED_VALUE"""),"20250728_シーモアコミックス_リスタート ～転生ゲーマーの無双リベンジ～【タテヨミ】")</f>
        <v>20250728_シーモアコミックス_リスタート ～転生ゲーマーの無双リベンジ～【タテヨミ】</v>
      </c>
      <c r="T3733" s="22" t="str">
        <f>IFERROR(__xludf.DUMMYFUNCTION("""COMPUTED_VALUE"""),"格納済み")</f>
        <v>格納済み</v>
      </c>
      <c r="U3733" s="9" t="str">
        <f>IFERROR(__xludf.DUMMYFUNCTION("""COMPUTED_VALUE"""),"(C) Arnandra/Hwagong/Hoon/MSTORYHUB/シーモアコミックス")</f>
        <v>(C) Arnandra/Hwagong/Hoon/MSTORYHUB/シーモアコミックス</v>
      </c>
      <c r="V3733" s="8"/>
      <c r="W3733" s="8"/>
      <c r="X3733" s="8" t="str">
        <f>IFERROR(__xludf.DUMMYFUNCTION("""COMPUTED_VALUE"""),"有")</f>
        <v>有</v>
      </c>
      <c r="Y3733" s="8" t="str">
        <f>IFERROR(__xludf.DUMMYFUNCTION("""COMPUTED_VALUE"""),"2025/9/26まで1～9巻無料")</f>
        <v>2025/9/26まで1～9巻無料</v>
      </c>
      <c r="Z3733" s="7"/>
      <c r="AA3733" s="7"/>
      <c r="AB3733" s="7"/>
    </row>
    <row r="3734" ht="15.75" customHeight="1">
      <c r="A3734" s="26">
        <f>IFERROR(__xludf.DUMMYFUNCTION("""COMPUTED_VALUE"""),6140.0)</f>
        <v>6140</v>
      </c>
      <c r="B3734" s="22" t="str">
        <f>IFERROR(__xludf.DUMMYFUNCTION("""COMPUTED_VALUE"""),"確定")</f>
        <v>確定</v>
      </c>
      <c r="C3734" s="28">
        <f>IFERROR(__xludf.DUMMYFUNCTION("""COMPUTED_VALUE"""),45866.0)</f>
        <v>45866</v>
      </c>
      <c r="D3734" s="28">
        <f>IFERROR(__xludf.DUMMYFUNCTION("""COMPUTED_VALUE"""),45874.0)</f>
        <v>45874</v>
      </c>
      <c r="E3734" s="26">
        <f>IFERROR(__xludf.DUMMYFUNCTION("""COMPUTED_VALUE"""),313396.0)</f>
        <v>313396</v>
      </c>
      <c r="F3734" s="22" t="str">
        <f>IFERROR(__xludf.DUMMYFUNCTION("""COMPUTED_VALUE"""),"回帰者は強くなりたくない(フルカラー)")</f>
        <v>回帰者は強くなりたくない(フルカラー)</v>
      </c>
      <c r="G3734" s="20" t="str">
        <f>IFERROR(__xludf.DUMMYFUNCTION("""COMPUTED_VALUE"""),"1～10")</f>
        <v>1～10</v>
      </c>
      <c r="H3734" s="22" t="str">
        <f>IFERROR(__xludf.DUMMYFUNCTION("""COMPUTED_VALUE"""),"GM,ビチュ")</f>
        <v>GM,ビチュ</v>
      </c>
      <c r="I3734" s="22" t="str">
        <f>IFERROR(__xludf.DUMMYFUNCTION("""COMPUTED_VALUE"""),"青年マンガ")</f>
        <v>青年マンガ</v>
      </c>
      <c r="J3734" s="22"/>
      <c r="K3734" s="22" t="str">
        <f>IFERROR(__xludf.DUMMYFUNCTION("""COMPUTED_VALUE"""),"ズズズキュン！")</f>
        <v>ズズズキュン！</v>
      </c>
      <c r="L3734" s="22" t="str">
        <f>IFERROR(__xludf.DUMMYFUNCTION("""COMPUTED_VALUE"""),"シーモアコミックス")</f>
        <v>シーモアコミックス</v>
      </c>
      <c r="M3734" s="33">
        <f>IFERROR(__xludf.DUMMYFUNCTION("""COMPUTED_VALUE"""),45899.0)</f>
        <v>45899</v>
      </c>
      <c r="N3734" s="33">
        <f>IFERROR(__xludf.DUMMYFUNCTION("""COMPUTED_VALUE"""),46051.0)</f>
        <v>46051</v>
      </c>
      <c r="O3734" s="20"/>
      <c r="P3734" s="32" t="str">
        <f>IFERROR(__xludf.DUMMYFUNCTION("""COMPUTED_VALUE"""),"可")</f>
        <v>可</v>
      </c>
      <c r="Q3734" s="30"/>
      <c r="R3734" s="22"/>
      <c r="S3734" s="22" t="str">
        <f>IFERROR(__xludf.DUMMYFUNCTION("""COMPUTED_VALUE"""),"20250728_シーモアコミックス_回帰者は強くなりたくない（フルカラー）")</f>
        <v>20250728_シーモアコミックス_回帰者は強くなりたくない（フルカラー）</v>
      </c>
      <c r="T3734" s="22" t="str">
        <f>IFERROR(__xludf.DUMMYFUNCTION("""COMPUTED_VALUE"""),"格納済み")</f>
        <v>格納済み</v>
      </c>
      <c r="U3734" s="9" t="str">
        <f>IFERROR(__xludf.DUMMYFUNCTION("""COMPUTED_VALUE"""),"(C) GM/ビチュ/KWBOOKS/シーモアコミックス")</f>
        <v>(C) GM/ビチュ/KWBOOKS/シーモアコミックス</v>
      </c>
      <c r="V3734" s="8"/>
      <c r="W3734" s="8"/>
      <c r="X3734" s="8" t="str">
        <f>IFERROR(__xludf.DUMMYFUNCTION("""COMPUTED_VALUE"""),"有")</f>
        <v>有</v>
      </c>
      <c r="Y3734" s="8" t="str">
        <f>IFERROR(__xludf.DUMMYFUNCTION("""COMPUTED_VALUE"""),"2025/9/26まで1～3巻無料")</f>
        <v>2025/9/26まで1～3巻無料</v>
      </c>
      <c r="Z3734" s="7"/>
      <c r="AA3734" s="7"/>
      <c r="AB3734" s="7"/>
    </row>
    <row r="3735" ht="15.75" customHeight="1">
      <c r="A3735" s="26">
        <f>IFERROR(__xludf.DUMMYFUNCTION("""COMPUTED_VALUE"""),6141.0)</f>
        <v>6141</v>
      </c>
      <c r="B3735" s="22" t="str">
        <f>IFERROR(__xludf.DUMMYFUNCTION("""COMPUTED_VALUE"""),"確定")</f>
        <v>確定</v>
      </c>
      <c r="C3735" s="28">
        <f>IFERROR(__xludf.DUMMYFUNCTION("""COMPUTED_VALUE"""),45866.0)</f>
        <v>45866</v>
      </c>
      <c r="D3735" s="28">
        <f>IFERROR(__xludf.DUMMYFUNCTION("""COMPUTED_VALUE"""),45874.0)</f>
        <v>45874</v>
      </c>
      <c r="E3735" s="26">
        <f>IFERROR(__xludf.DUMMYFUNCTION("""COMPUTED_VALUE"""),313397.0)</f>
        <v>313397</v>
      </c>
      <c r="F3735" s="22" t="str">
        <f>IFERROR(__xludf.DUMMYFUNCTION("""COMPUTED_VALUE"""),"回帰者は強くなりたくない【タテヨミ】")</f>
        <v>回帰者は強くなりたくない【タテヨミ】</v>
      </c>
      <c r="G3735" s="20" t="str">
        <f>IFERROR(__xludf.DUMMYFUNCTION("""COMPUTED_VALUE"""),"1～20")</f>
        <v>1～20</v>
      </c>
      <c r="H3735" s="22" t="str">
        <f>IFERROR(__xludf.DUMMYFUNCTION("""COMPUTED_VALUE"""),"GM,ビチュ")</f>
        <v>GM,ビチュ</v>
      </c>
      <c r="I3735" s="22" t="str">
        <f>IFERROR(__xludf.DUMMYFUNCTION("""COMPUTED_VALUE"""),"青年マンガ")</f>
        <v>青年マンガ</v>
      </c>
      <c r="J3735" s="22"/>
      <c r="K3735" s="22" t="str">
        <f>IFERROR(__xludf.DUMMYFUNCTION("""COMPUTED_VALUE"""),"ズズズキュン！")</f>
        <v>ズズズキュン！</v>
      </c>
      <c r="L3735" s="22" t="str">
        <f>IFERROR(__xludf.DUMMYFUNCTION("""COMPUTED_VALUE"""),"シーモアコミックス")</f>
        <v>シーモアコミックス</v>
      </c>
      <c r="M3735" s="33">
        <f>IFERROR(__xludf.DUMMYFUNCTION("""COMPUTED_VALUE"""),45899.0)</f>
        <v>45899</v>
      </c>
      <c r="N3735" s="33">
        <f>IFERROR(__xludf.DUMMYFUNCTION("""COMPUTED_VALUE"""),46051.0)</f>
        <v>46051</v>
      </c>
      <c r="O3735" s="20"/>
      <c r="P3735" s="32" t="str">
        <f>IFERROR(__xludf.DUMMYFUNCTION("""COMPUTED_VALUE"""),"可")</f>
        <v>可</v>
      </c>
      <c r="Q3735" s="30" t="str">
        <f>IFERROR(__xludf.DUMMYFUNCTION("""COMPUTED_VALUE"""),"※コマサム等素材は「313396　回帰者は強くなりたくない(フルカラー)」の方をお使いください。バナー制作はフルカラー版の素材を利用して問題ございません。&lt;BR&gt;")</f>
        <v>※コマサム等素材は「313396　回帰者は強くなりたくない(フルカラー)」の方をお使いください。バナー制作はフルカラー版の素材を利用して問題ございません。&lt;BR&gt;</v>
      </c>
      <c r="R3735" s="22"/>
      <c r="S3735" s="22" t="str">
        <f>IFERROR(__xludf.DUMMYFUNCTION("""COMPUTED_VALUE"""),"20250728_シーモアコミックス_回帰者は強くなりたくない【タテヨミ】")</f>
        <v>20250728_シーモアコミックス_回帰者は強くなりたくない【タテヨミ】</v>
      </c>
      <c r="T3735" s="22" t="str">
        <f>IFERROR(__xludf.DUMMYFUNCTION("""COMPUTED_VALUE"""),"格納済み")</f>
        <v>格納済み</v>
      </c>
      <c r="U3735" s="9" t="str">
        <f>IFERROR(__xludf.DUMMYFUNCTION("""COMPUTED_VALUE"""),"(C) GM/ビチュ/KWBOOKS/シーモアコミックス")</f>
        <v>(C) GM/ビチュ/KWBOOKS/シーモアコミックス</v>
      </c>
      <c r="V3735" s="8"/>
      <c r="W3735" s="8"/>
      <c r="X3735" s="8" t="str">
        <f>IFERROR(__xludf.DUMMYFUNCTION("""COMPUTED_VALUE"""),"有")</f>
        <v>有</v>
      </c>
      <c r="Y3735" s="8" t="str">
        <f>IFERROR(__xludf.DUMMYFUNCTION("""COMPUTED_VALUE"""),"2025/9/26まで1～6巻無料")</f>
        <v>2025/9/26まで1～6巻無料</v>
      </c>
      <c r="Z3735" s="7"/>
      <c r="AA3735" s="7"/>
      <c r="AB3735" s="7"/>
    </row>
    <row r="3736" ht="15.75" customHeight="1">
      <c r="A3736" s="26">
        <f>IFERROR(__xludf.DUMMYFUNCTION("""COMPUTED_VALUE"""),6159.0)</f>
        <v>6159</v>
      </c>
      <c r="B3736" s="22" t="str">
        <f>IFERROR(__xludf.DUMMYFUNCTION("""COMPUTED_VALUE"""),"確定")</f>
        <v>確定</v>
      </c>
      <c r="C3736" s="28">
        <f>IFERROR(__xludf.DUMMYFUNCTION("""COMPUTED_VALUE"""),45868.0)</f>
        <v>45868</v>
      </c>
      <c r="D3736" s="28">
        <f>IFERROR(__xludf.DUMMYFUNCTION("""COMPUTED_VALUE"""),45874.0)</f>
        <v>45874</v>
      </c>
      <c r="E3736" s="26">
        <f>IFERROR(__xludf.DUMMYFUNCTION("""COMPUTED_VALUE"""),334083.0)</f>
        <v>334083</v>
      </c>
      <c r="F3736" s="22" t="str">
        <f>IFERROR(__xludf.DUMMYFUNCTION("""COMPUTED_VALUE"""),"叱って許して頭を撫でて -爆乳清楚な介護士がおじさん大好きな理由-")</f>
        <v>叱って許して頭を撫でて -爆乳清楚な介護士がおじさん大好きな理由-</v>
      </c>
      <c r="G3736" s="20" t="str">
        <f>IFERROR(__xludf.DUMMYFUNCTION("""COMPUTED_VALUE"""),"1～2")</f>
        <v>1～2</v>
      </c>
      <c r="H3736" s="22" t="str">
        <f>IFERROR(__xludf.DUMMYFUNCTION("""COMPUTED_VALUE"""),"翁賀馬乃助")</f>
        <v>翁賀馬乃助</v>
      </c>
      <c r="I3736" s="22" t="str">
        <f>IFERROR(__xludf.DUMMYFUNCTION("""COMPUTED_VALUE"""),"アダルト")</f>
        <v>アダルト</v>
      </c>
      <c r="J3736" s="22"/>
      <c r="K3736" s="22"/>
      <c r="L3736" s="22" t="str">
        <f>IFERROR(__xludf.DUMMYFUNCTION("""COMPUTED_VALUE"""),"ナイトコミック")</f>
        <v>ナイトコミック</v>
      </c>
      <c r="M3736" s="33">
        <f>IFERROR(__xludf.DUMMYFUNCTION("""COMPUTED_VALUE"""),45905.0)</f>
        <v>45905</v>
      </c>
      <c r="N3736" s="33">
        <f>IFERROR(__xludf.DUMMYFUNCTION("""COMPUTED_VALUE"""),45967.0)</f>
        <v>45967</v>
      </c>
      <c r="O3736" s="20"/>
      <c r="P3736" s="32" t="str">
        <f>IFERROR(__xludf.DUMMYFUNCTION("""COMPUTED_VALUE"""),"可")</f>
        <v>可</v>
      </c>
      <c r="Q3736" s="30"/>
      <c r="R3736" s="22"/>
      <c r="S3736" s="22" t="str">
        <f>IFERROR(__xludf.DUMMYFUNCTION("""COMPUTED_VALUE"""),"20250730_ナイトコミック_叱って許して頭を撫でて")</f>
        <v>20250730_ナイトコミック_叱って許して頭を撫でて</v>
      </c>
      <c r="T3736" s="22" t="str">
        <f>IFERROR(__xludf.DUMMYFUNCTION("""COMPUTED_VALUE"""),"格納済み")</f>
        <v>格納済み</v>
      </c>
      <c r="U3736" s="9" t="str">
        <f>IFERROR(__xludf.DUMMYFUNCTION("""COMPUTED_VALUE"""),"Ⓒ翁賀馬乃助")</f>
        <v>Ⓒ翁賀馬乃助</v>
      </c>
      <c r="V3736" s="8"/>
      <c r="W3736" s="8"/>
      <c r="X3736" s="8" t="str">
        <f>IFERROR(__xludf.DUMMYFUNCTION("""COMPUTED_VALUE"""),"有")</f>
        <v>有</v>
      </c>
      <c r="Y3736" s="8" t="str">
        <f>IFERROR(__xludf.DUMMYFUNCTION("""COMPUTED_VALUE"""),"2025/11/6まで1～2巻立ち読み増量
1巻：P17まで
2巻：P9まで")</f>
        <v>2025/11/6まで1～2巻立ち読み増量
1巻：P17まで
2巻：P9まで</v>
      </c>
      <c r="Z3736" s="7"/>
      <c r="AA3736" s="7"/>
      <c r="AB3736" s="7"/>
    </row>
    <row r="3737" ht="15.75" customHeight="1">
      <c r="A3737" s="26">
        <f>IFERROR(__xludf.DUMMYFUNCTION("""COMPUTED_VALUE"""),6163.0)</f>
        <v>6163</v>
      </c>
      <c r="B3737" s="22" t="str">
        <f>IFERROR(__xludf.DUMMYFUNCTION("""COMPUTED_VALUE"""),"確定")</f>
        <v>確定</v>
      </c>
      <c r="C3737" s="28">
        <f>IFERROR(__xludf.DUMMYFUNCTION("""COMPUTED_VALUE"""),45870.0)</f>
        <v>45870</v>
      </c>
      <c r="D3737" s="28">
        <f>IFERROR(__xludf.DUMMYFUNCTION("""COMPUTED_VALUE"""),45870.0)</f>
        <v>45870</v>
      </c>
      <c r="E3737" s="26">
        <f>IFERROR(__xludf.DUMMYFUNCTION("""COMPUTED_VALUE"""),332645.0)</f>
        <v>332645</v>
      </c>
      <c r="F3737" s="22" t="str">
        <f>IFERROR(__xludf.DUMMYFUNCTION("""COMPUTED_VALUE"""),"腹黒妹キャラ令嬢のダークな調理法【マイクロ】")</f>
        <v>腹黒妹キャラ令嬢のダークな調理法【マイクロ】</v>
      </c>
      <c r="G3737" s="20">
        <f>IFERROR(__xludf.DUMMYFUNCTION("""COMPUTED_VALUE"""),1.0)</f>
        <v>1</v>
      </c>
      <c r="H3737" s="22" t="str">
        <f>IFERROR(__xludf.DUMMYFUNCTION("""COMPUTED_VALUE"""),"まきぶろ┴清水まみ")</f>
        <v>まきぶろ┴清水まみ</v>
      </c>
      <c r="I3737" s="22" t="str">
        <f>IFERROR(__xludf.DUMMYFUNCTION("""COMPUTED_VALUE"""),"少女")</f>
        <v>少女</v>
      </c>
      <c r="J3737" s="22"/>
      <c r="K3737" s="22"/>
      <c r="L3737" s="22" t="str">
        <f>IFERROR(__xludf.DUMMYFUNCTION("""COMPUTED_VALUE"""),"小学館")</f>
        <v>小学館</v>
      </c>
      <c r="M3737" s="33">
        <f>IFERROR(__xludf.DUMMYFUNCTION("""COMPUTED_VALUE"""),45893.0)</f>
        <v>45893</v>
      </c>
      <c r="N3737" s="33">
        <f>IFERROR(__xludf.DUMMYFUNCTION("""COMPUTED_VALUE"""),45953.0)</f>
        <v>45953</v>
      </c>
      <c r="O3737" s="20"/>
      <c r="P3737" s="32" t="str">
        <f>IFERROR(__xludf.DUMMYFUNCTION("""COMPUTED_VALUE"""),"否")</f>
        <v>否</v>
      </c>
      <c r="Q3737" s="30" t="str">
        <f>IFERROR(__xludf.DUMMYFUNCTION("""COMPUTED_VALUE"""),"&lt;BR&gt;")</f>
        <v>&lt;BR&gt;</v>
      </c>
      <c r="R3737" s="22"/>
      <c r="S3737" s="22" t="str">
        <f>IFERROR(__xludf.DUMMYFUNCTION("""COMPUTED_VALUE"""),"20250801_小学館_腹黒妹キャラ令嬢のダークな調理法【マイクロ】")</f>
        <v>20250801_小学館_腹黒妹キャラ令嬢のダークな調理法【マイクロ】</v>
      </c>
      <c r="T3737" s="22" t="str">
        <f>IFERROR(__xludf.DUMMYFUNCTION("""COMPUTED_VALUE"""),"格納済み")</f>
        <v>格納済み</v>
      </c>
      <c r="U3737" s="9" t="str">
        <f>IFERROR(__xludf.DUMMYFUNCTION("""COMPUTED_VALUE"""),"(C)まきぶろ・清水まみ / 小学館")</f>
        <v>(C)まきぶろ・清水まみ / 小学館</v>
      </c>
      <c r="V3737" s="8"/>
      <c r="W3737" s="8"/>
      <c r="X3737" s="8" t="str">
        <f>IFERROR(__xludf.DUMMYFUNCTION("""COMPUTED_VALUE"""),"有")</f>
        <v>有</v>
      </c>
      <c r="Y3737" s="8" t="str">
        <f>IFERROR(__xludf.DUMMYFUNCTION("""COMPUTED_VALUE"""),"P10まで")</f>
        <v>P10まで</v>
      </c>
      <c r="Z3737" s="7"/>
      <c r="AA3737" s="7"/>
      <c r="AB3737" s="7"/>
    </row>
    <row r="3738" ht="15.75" customHeight="1">
      <c r="A3738" s="26">
        <f>IFERROR(__xludf.DUMMYFUNCTION("""COMPUTED_VALUE"""),6164.0)</f>
        <v>6164</v>
      </c>
      <c r="B3738" s="22" t="str">
        <f>IFERROR(__xludf.DUMMYFUNCTION("""COMPUTED_VALUE"""),"確定")</f>
        <v>確定</v>
      </c>
      <c r="C3738" s="28">
        <f>IFERROR(__xludf.DUMMYFUNCTION("""COMPUTED_VALUE"""),45870.0)</f>
        <v>45870</v>
      </c>
      <c r="D3738" s="28">
        <f>IFERROR(__xludf.DUMMYFUNCTION("""COMPUTED_VALUE"""),45870.0)</f>
        <v>45870</v>
      </c>
      <c r="E3738" s="26">
        <f>IFERROR(__xludf.DUMMYFUNCTION("""COMPUTED_VALUE"""),332642.0)</f>
        <v>332642</v>
      </c>
      <c r="F3738" s="22" t="str">
        <f>IFERROR(__xludf.DUMMYFUNCTION("""COMPUTED_VALUE"""),"嫌われ聖女は幸運のもふもふを拾う【マイクロ】")</f>
        <v>嫌われ聖女は幸運のもふもふを拾う【マイクロ】</v>
      </c>
      <c r="G3738" s="20">
        <f>IFERROR(__xludf.DUMMYFUNCTION("""COMPUTED_VALUE"""),1.0)</f>
        <v>1</v>
      </c>
      <c r="H3738" s="22" t="str">
        <f>IFERROR(__xludf.DUMMYFUNCTION("""COMPUTED_VALUE"""),"まきぶろ┴大ノ木さよし")</f>
        <v>まきぶろ┴大ノ木さよし</v>
      </c>
      <c r="I3738" s="22" t="str">
        <f>IFERROR(__xludf.DUMMYFUNCTION("""COMPUTED_VALUE"""),"少女")</f>
        <v>少女</v>
      </c>
      <c r="J3738" s="22"/>
      <c r="K3738" s="22"/>
      <c r="L3738" s="22" t="str">
        <f>IFERROR(__xludf.DUMMYFUNCTION("""COMPUTED_VALUE"""),"小学館")</f>
        <v>小学館</v>
      </c>
      <c r="M3738" s="33">
        <f>IFERROR(__xludf.DUMMYFUNCTION("""COMPUTED_VALUE"""),45893.0)</f>
        <v>45893</v>
      </c>
      <c r="N3738" s="33">
        <f>IFERROR(__xludf.DUMMYFUNCTION("""COMPUTED_VALUE"""),45953.0)</f>
        <v>45953</v>
      </c>
      <c r="O3738" s="20"/>
      <c r="P3738" s="32" t="str">
        <f>IFERROR(__xludf.DUMMYFUNCTION("""COMPUTED_VALUE"""),"否")</f>
        <v>否</v>
      </c>
      <c r="Q3738" s="30" t="str">
        <f>IFERROR(__xludf.DUMMYFUNCTION("""COMPUTED_VALUE"""),"「悪女の末路　～悪役令嬢は究極の愛を手に入れる～アンソロジーコミック～」先行配信アンソロの単話切り出し作品です。")</f>
        <v>「悪女の末路　～悪役令嬢は究極の愛を手に入れる～アンソロジーコミック～」先行配信アンソロの単話切り出し作品です。</v>
      </c>
      <c r="R3738" s="22"/>
      <c r="S3738" s="22" t="str">
        <f>IFERROR(__xludf.DUMMYFUNCTION("""COMPUTED_VALUE"""),"20250801_小学館_嫌われ聖女は幸運のもふもふを拾う【マイクロ】")</f>
        <v>20250801_小学館_嫌われ聖女は幸運のもふもふを拾う【マイクロ】</v>
      </c>
      <c r="T3738" s="22" t="str">
        <f>IFERROR(__xludf.DUMMYFUNCTION("""COMPUTED_VALUE"""),"格納済み")</f>
        <v>格納済み</v>
      </c>
      <c r="U3738" s="9" t="str">
        <f>IFERROR(__xludf.DUMMYFUNCTION("""COMPUTED_VALUE"""),"(C)まきぶろ・大ノ木さよし / 小学館")</f>
        <v>(C)まきぶろ・大ノ木さよし / 小学館</v>
      </c>
      <c r="V3738" s="8"/>
      <c r="W3738" s="8"/>
      <c r="X3738" s="8" t="str">
        <f>IFERROR(__xludf.DUMMYFUNCTION("""COMPUTED_VALUE"""),"有")</f>
        <v>有</v>
      </c>
      <c r="Y3738" s="8" t="str">
        <f>IFERROR(__xludf.DUMMYFUNCTION("""COMPUTED_VALUE"""),"P14まで")</f>
        <v>P14まで</v>
      </c>
      <c r="Z3738" s="7"/>
      <c r="AA3738" s="7"/>
      <c r="AB3738" s="7"/>
    </row>
    <row r="3739" ht="15.75" customHeight="1">
      <c r="A3739" s="26">
        <f>IFERROR(__xludf.DUMMYFUNCTION("""COMPUTED_VALUE"""),6165.0)</f>
        <v>6165</v>
      </c>
      <c r="B3739" s="22" t="str">
        <f>IFERROR(__xludf.DUMMYFUNCTION("""COMPUTED_VALUE"""),"確定")</f>
        <v>確定</v>
      </c>
      <c r="C3739" s="28">
        <f>IFERROR(__xludf.DUMMYFUNCTION("""COMPUTED_VALUE"""),45870.0)</f>
        <v>45870</v>
      </c>
      <c r="D3739" s="28">
        <f>IFERROR(__xludf.DUMMYFUNCTION("""COMPUTED_VALUE"""),45873.0)</f>
        <v>45873</v>
      </c>
      <c r="E3739" s="26">
        <f>IFERROR(__xludf.DUMMYFUNCTION("""COMPUTED_VALUE"""),332643.0)</f>
        <v>332643</v>
      </c>
      <c r="F3739" s="22" t="str">
        <f>IFERROR(__xludf.DUMMYFUNCTION("""COMPUTED_VALUE"""),"婚約破棄の仕返しに最高の王子育てます【マイクロ】")</f>
        <v>婚約破棄の仕返しに最高の王子育てます【マイクロ】</v>
      </c>
      <c r="G3739" s="20">
        <f>IFERROR(__xludf.DUMMYFUNCTION("""COMPUTED_VALUE"""),1.0)</f>
        <v>1</v>
      </c>
      <c r="H3739" s="22" t="str">
        <f>IFERROR(__xludf.DUMMYFUNCTION("""COMPUTED_VALUE"""),"まきぶろ┴高内藤花")</f>
        <v>まきぶろ┴高内藤花</v>
      </c>
      <c r="I3739" s="22" t="str">
        <f>IFERROR(__xludf.DUMMYFUNCTION("""COMPUTED_VALUE"""),"少女")</f>
        <v>少女</v>
      </c>
      <c r="J3739" s="22"/>
      <c r="K3739" s="22"/>
      <c r="L3739" s="22" t="str">
        <f>IFERROR(__xludf.DUMMYFUNCTION("""COMPUTED_VALUE"""),"小学館")</f>
        <v>小学館</v>
      </c>
      <c r="M3739" s="33">
        <f>IFERROR(__xludf.DUMMYFUNCTION("""COMPUTED_VALUE"""),45893.0)</f>
        <v>45893</v>
      </c>
      <c r="N3739" s="33">
        <f>IFERROR(__xludf.DUMMYFUNCTION("""COMPUTED_VALUE"""),45953.0)</f>
        <v>45953</v>
      </c>
      <c r="O3739" s="20"/>
      <c r="P3739" s="32" t="str">
        <f>IFERROR(__xludf.DUMMYFUNCTION("""COMPUTED_VALUE"""),"否")</f>
        <v>否</v>
      </c>
      <c r="Q3739" s="30" t="str">
        <f>IFERROR(__xludf.DUMMYFUNCTION("""COMPUTED_VALUE"""),"「悪女の末路　～悪役令嬢は究極の愛を手に入れる～アンソロジーコミック～」先行アンソロの単話きりだし作品です。")</f>
        <v>「悪女の末路　～悪役令嬢は究極の愛を手に入れる～アンソロジーコミック～」先行アンソロの単話きりだし作品です。</v>
      </c>
      <c r="R3739" s="22"/>
      <c r="S3739" s="22" t="str">
        <f>IFERROR(__xludf.DUMMYFUNCTION("""COMPUTED_VALUE"""),"20250801_小学館_婚約破棄の仕返しに最高の王子育てます【マイクロ】")</f>
        <v>20250801_小学館_婚約破棄の仕返しに最高の王子育てます【マイクロ】</v>
      </c>
      <c r="T3739" s="22" t="str">
        <f>IFERROR(__xludf.DUMMYFUNCTION("""COMPUTED_VALUE"""),"格納済み")</f>
        <v>格納済み</v>
      </c>
      <c r="U3739" s="9" t="str">
        <f>IFERROR(__xludf.DUMMYFUNCTION("""COMPUTED_VALUE"""),"(C)まきぶろ・高内藤花 / 小学館")</f>
        <v>(C)まきぶろ・高内藤花 / 小学館</v>
      </c>
      <c r="V3739" s="8"/>
      <c r="W3739" s="8"/>
      <c r="X3739" s="8" t="str">
        <f>IFERROR(__xludf.DUMMYFUNCTION("""COMPUTED_VALUE"""),"有")</f>
        <v>有</v>
      </c>
      <c r="Y3739" s="8" t="str">
        <f>IFERROR(__xludf.DUMMYFUNCTION("""COMPUTED_VALUE"""),"P12まで")</f>
        <v>P12まで</v>
      </c>
      <c r="Z3739" s="7"/>
      <c r="AA3739" s="7"/>
      <c r="AB3739" s="7"/>
    </row>
    <row r="3740" ht="15.75" customHeight="1">
      <c r="A3740" s="26">
        <f>IFERROR(__xludf.DUMMYFUNCTION("""COMPUTED_VALUE"""),6166.0)</f>
        <v>6166</v>
      </c>
      <c r="B3740" s="22" t="str">
        <f>IFERROR(__xludf.DUMMYFUNCTION("""COMPUTED_VALUE"""),"確定")</f>
        <v>確定</v>
      </c>
      <c r="C3740" s="28">
        <f>IFERROR(__xludf.DUMMYFUNCTION("""COMPUTED_VALUE"""),45870.0)</f>
        <v>45870</v>
      </c>
      <c r="D3740" s="28">
        <f>IFERROR(__xludf.DUMMYFUNCTION("""COMPUTED_VALUE"""),45870.0)</f>
        <v>45870</v>
      </c>
      <c r="E3740" s="26">
        <f>IFERROR(__xludf.DUMMYFUNCTION("""COMPUTED_VALUE"""),332644.0)</f>
        <v>332644</v>
      </c>
      <c r="F3740" s="22" t="str">
        <f>IFERROR(__xludf.DUMMYFUNCTION("""COMPUTED_VALUE"""),"転生悪役令嬢は最恐悪魔に愛されてます～ただし二人とも無自覚です～【マイクロ】")</f>
        <v>転生悪役令嬢は最恐悪魔に愛されてます～ただし二人とも無自覚です～【マイクロ】</v>
      </c>
      <c r="G3740" s="20">
        <f>IFERROR(__xludf.DUMMYFUNCTION("""COMPUTED_VALUE"""),1.0)</f>
        <v>1</v>
      </c>
      <c r="H3740" s="22" t="str">
        <f>IFERROR(__xludf.DUMMYFUNCTION("""COMPUTED_VALUE"""),"まきぶろ┴藤間麗")</f>
        <v>まきぶろ┴藤間麗</v>
      </c>
      <c r="I3740" s="22" t="str">
        <f>IFERROR(__xludf.DUMMYFUNCTION("""COMPUTED_VALUE"""),"少女")</f>
        <v>少女</v>
      </c>
      <c r="J3740" s="22"/>
      <c r="K3740" s="22"/>
      <c r="L3740" s="22" t="str">
        <f>IFERROR(__xludf.DUMMYFUNCTION("""COMPUTED_VALUE"""),"小学館")</f>
        <v>小学館</v>
      </c>
      <c r="M3740" s="33">
        <f>IFERROR(__xludf.DUMMYFUNCTION("""COMPUTED_VALUE"""),45893.0)</f>
        <v>45893</v>
      </c>
      <c r="N3740" s="33">
        <f>IFERROR(__xludf.DUMMYFUNCTION("""COMPUTED_VALUE"""),45953.0)</f>
        <v>45953</v>
      </c>
      <c r="O3740" s="20"/>
      <c r="P3740" s="32" t="str">
        <f>IFERROR(__xludf.DUMMYFUNCTION("""COMPUTED_VALUE"""),"否")</f>
        <v>否</v>
      </c>
      <c r="Q3740" s="30" t="str">
        <f>IFERROR(__xludf.DUMMYFUNCTION("""COMPUTED_VALUE"""),"「悪女の末路　～悪役令嬢は究極の愛を手に入れる～アンソロジーコミック～」先行アンソロの切り出し単話です。")</f>
        <v>「悪女の末路　～悪役令嬢は究極の愛を手に入れる～アンソロジーコミック～」先行アンソロの切り出し単話です。</v>
      </c>
      <c r="R3740" s="22"/>
      <c r="S3740" s="22" t="str">
        <f>IFERROR(__xludf.DUMMYFUNCTION("""COMPUTED_VALUE"""),"20250801_小学館_転生悪役令嬢は最恐悪魔に愛されてます～ただし二人とも無自覚です～【マイクロ】")</f>
        <v>20250801_小学館_転生悪役令嬢は最恐悪魔に愛されてます～ただし二人とも無自覚です～【マイクロ】</v>
      </c>
      <c r="T3740" s="22" t="str">
        <f>IFERROR(__xludf.DUMMYFUNCTION("""COMPUTED_VALUE"""),"格納済み")</f>
        <v>格納済み</v>
      </c>
      <c r="U3740" s="9" t="str">
        <f>IFERROR(__xludf.DUMMYFUNCTION("""COMPUTED_VALUE"""),"(C)まきぶろ・藤間麗 / 小学館")</f>
        <v>(C)まきぶろ・藤間麗 / 小学館</v>
      </c>
      <c r="V3740" s="8"/>
      <c r="W3740" s="8"/>
      <c r="X3740" s="8" t="str">
        <f>IFERROR(__xludf.DUMMYFUNCTION("""COMPUTED_VALUE"""),"有")</f>
        <v>有</v>
      </c>
      <c r="Y3740" s="8" t="str">
        <f>IFERROR(__xludf.DUMMYFUNCTION("""COMPUTED_VALUE"""),"P10まで")</f>
        <v>P10まで</v>
      </c>
      <c r="Z3740" s="7"/>
      <c r="AA3740" s="7"/>
      <c r="AB3740" s="7"/>
    </row>
    <row r="3741" ht="15.75" customHeight="1">
      <c r="A3741" s="26">
        <f>IFERROR(__xludf.DUMMYFUNCTION("""COMPUTED_VALUE"""),6167.0)</f>
        <v>6167</v>
      </c>
      <c r="B3741" s="22" t="str">
        <f>IFERROR(__xludf.DUMMYFUNCTION("""COMPUTED_VALUE"""),"確定")</f>
        <v>確定</v>
      </c>
      <c r="C3741" s="28">
        <f>IFERROR(__xludf.DUMMYFUNCTION("""COMPUTED_VALUE"""),45870.0)</f>
        <v>45870</v>
      </c>
      <c r="D3741" s="28">
        <f>IFERROR(__xludf.DUMMYFUNCTION("""COMPUTED_VALUE"""),45874.0)</f>
        <v>45874</v>
      </c>
      <c r="E3741" s="26">
        <f>IFERROR(__xludf.DUMMYFUNCTION("""COMPUTED_VALUE"""),335124.0)</f>
        <v>335124</v>
      </c>
      <c r="F3741" s="22" t="str">
        <f>IFERROR(__xludf.DUMMYFUNCTION("""COMPUTED_VALUE"""),"悪女の末路 ～悪役令嬢は究極の愛を手に入れる～アンソロジーコミック")</f>
        <v>悪女の末路 ～悪役令嬢は究極の愛を手に入れる～アンソロジーコミック</v>
      </c>
      <c r="G3741" s="20">
        <f>IFERROR(__xludf.DUMMYFUNCTION("""COMPUTED_VALUE"""),1.0)</f>
        <v>1</v>
      </c>
      <c r="H3741" s="22" t="str">
        <f>IFERROR(__xludf.DUMMYFUNCTION("""COMPUTED_VALUE"""),"まきぶろ┴藤間麗┴高内藤花┴大ノ木さよし┴清水まみ")</f>
        <v>まきぶろ┴藤間麗┴高内藤花┴大ノ木さよし┴清水まみ</v>
      </c>
      <c r="I3741" s="22" t="str">
        <f>IFERROR(__xludf.DUMMYFUNCTION("""COMPUTED_VALUE"""),"少女")</f>
        <v>少女</v>
      </c>
      <c r="J3741" s="22"/>
      <c r="K3741" s="22"/>
      <c r="L3741" s="22" t="str">
        <f>IFERROR(__xludf.DUMMYFUNCTION("""COMPUTED_VALUE"""),"小学館")</f>
        <v>小学館</v>
      </c>
      <c r="M3741" s="33">
        <f>IFERROR(__xludf.DUMMYFUNCTION("""COMPUTED_VALUE"""),45893.0)</f>
        <v>45893</v>
      </c>
      <c r="N3741" s="33">
        <f>IFERROR(__xludf.DUMMYFUNCTION("""COMPUTED_VALUE"""),45953.0)</f>
        <v>45953</v>
      </c>
      <c r="O3741" s="20"/>
      <c r="P3741" s="32" t="str">
        <f>IFERROR(__xludf.DUMMYFUNCTION("""COMPUTED_VALUE"""),"否")</f>
        <v>否</v>
      </c>
      <c r="Q3741" s="30" t="str">
        <f>IFERROR(__xludf.DUMMYFUNCTION("""COMPUTED_VALUE"""),"アンソロの先行分です。")</f>
        <v>アンソロの先行分です。</v>
      </c>
      <c r="R3741" s="22"/>
      <c r="S3741" s="22" t="str">
        <f>IFERROR(__xludf.DUMMYFUNCTION("""COMPUTED_VALUE"""),"20250801_小学館_悪女の末路　～悪役令嬢は究極の愛を手に入れる～アンソロジーコミック～")</f>
        <v>20250801_小学館_悪女の末路　～悪役令嬢は究極の愛を手に入れる～アンソロジーコミック～</v>
      </c>
      <c r="T3741" s="22" t="str">
        <f>IFERROR(__xludf.DUMMYFUNCTION("""COMPUTED_VALUE"""),"格納済み")</f>
        <v>格納済み</v>
      </c>
      <c r="U3741" s="9" t="str">
        <f>IFERROR(__xludf.DUMMYFUNCTION("""COMPUTED_VALUE"""),"(C)まきぶろ・藤間麗・高内藤花・大ノ木さよし・清水まみ / 小学館")</f>
        <v>(C)まきぶろ・藤間麗・高内藤花・大ノ木さよし・清水まみ / 小学館</v>
      </c>
      <c r="V3741" s="8"/>
      <c r="W3741" s="8"/>
      <c r="X3741" s="8" t="str">
        <f>IFERROR(__xludf.DUMMYFUNCTION("""COMPUTED_VALUE"""),"有")</f>
        <v>有</v>
      </c>
      <c r="Y3741" s="8" t="str">
        <f>IFERROR(__xludf.DUMMYFUNCTION("""COMPUTED_VALUE"""),"P51まで")</f>
        <v>P51まで</v>
      </c>
      <c r="Z3741" s="7"/>
      <c r="AA3741" s="7"/>
      <c r="AB3741" s="7"/>
    </row>
    <row r="3742" ht="15.75" customHeight="1">
      <c r="A3742" s="26">
        <f>IFERROR(__xludf.DUMMYFUNCTION("""COMPUTED_VALUE"""),6168.0)</f>
        <v>6168</v>
      </c>
      <c r="B3742" s="22" t="str">
        <f>IFERROR(__xludf.DUMMYFUNCTION("""COMPUTED_VALUE"""),"確定")</f>
        <v>確定</v>
      </c>
      <c r="C3742" s="28">
        <f>IFERROR(__xludf.DUMMYFUNCTION("""COMPUTED_VALUE"""),45870.0)</f>
        <v>45870</v>
      </c>
      <c r="D3742" s="28">
        <f>IFERROR(__xludf.DUMMYFUNCTION("""COMPUTED_VALUE"""),45875.0)</f>
        <v>45875</v>
      </c>
      <c r="E3742" s="26">
        <f>IFERROR(__xludf.DUMMYFUNCTION("""COMPUTED_VALUE"""),333046.0)</f>
        <v>333046</v>
      </c>
      <c r="F3742" s="22" t="str">
        <f>IFERROR(__xludf.DUMMYFUNCTION("""COMPUTED_VALUE"""),"復讐を誓った元勇者、二週目人生でヤリ返す")</f>
        <v>復讐を誓った元勇者、二週目人生でヤリ返す</v>
      </c>
      <c r="G3742" s="20" t="str">
        <f>IFERROR(__xludf.DUMMYFUNCTION("""COMPUTED_VALUE"""),"1～3")</f>
        <v>1～3</v>
      </c>
      <c r="H3742" s="22" t="str">
        <f>IFERROR(__xludf.DUMMYFUNCTION("""COMPUTED_VALUE"""),"ET/Ushong")</f>
        <v>ET/Ushong</v>
      </c>
      <c r="I3742" s="22" t="str">
        <f>IFERROR(__xludf.DUMMYFUNCTION("""COMPUTED_VALUE"""),"青年")</f>
        <v>青年</v>
      </c>
      <c r="J3742" s="22"/>
      <c r="K3742" s="22"/>
      <c r="L3742" s="22" t="str">
        <f>IFERROR(__xludf.DUMMYFUNCTION("""COMPUTED_VALUE"""),"Rush!")</f>
        <v>Rush!</v>
      </c>
      <c r="M3742" s="33">
        <f>IFERROR(__xludf.DUMMYFUNCTION("""COMPUTED_VALUE"""),45905.0)</f>
        <v>45905</v>
      </c>
      <c r="N3742" s="33">
        <f>IFERROR(__xludf.DUMMYFUNCTION("""COMPUTED_VALUE"""),45932.0)</f>
        <v>45932</v>
      </c>
      <c r="O3742" s="20"/>
      <c r="P3742" s="32" t="str">
        <f>IFERROR(__xludf.DUMMYFUNCTION("""COMPUTED_VALUE"""),"可")</f>
        <v>可</v>
      </c>
      <c r="Q3742" s="30" t="str">
        <f>IFERROR(__xludf.DUMMYFUNCTION("""COMPUTED_VALUE"""),"【アダルト作品扱い】")</f>
        <v>【アダルト作品扱い】</v>
      </c>
      <c r="R3742" s="22"/>
      <c r="S3742" s="22" t="str">
        <f>IFERROR(__xludf.DUMMYFUNCTION("""COMPUTED_VALUE"""),"20250731_ファンギルド_復讐を誓った元勇者、二週目人生でヤリ返す")</f>
        <v>20250731_ファンギルド_復讐を誓った元勇者、二週目人生でヤリ返す</v>
      </c>
      <c r="T3742" s="22" t="str">
        <f>IFERROR(__xludf.DUMMYFUNCTION("""COMPUTED_VALUE"""),"格納済み")</f>
        <v>格納済み</v>
      </c>
      <c r="U3742" s="9" t="str">
        <f>IFERROR(__xludf.DUMMYFUNCTION("""COMPUTED_VALUE"""),"ⒸET/Ushong/TOPTOON")</f>
        <v>ⒸET/Ushong/TOPTOON</v>
      </c>
      <c r="V3742" s="8"/>
      <c r="W3742" s="8"/>
      <c r="X3742" s="8" t="str">
        <f>IFERROR(__xludf.DUMMYFUNCTION("""COMPUTED_VALUE"""),"有")</f>
        <v>有</v>
      </c>
      <c r="Y3742" s="8" t="str">
        <f>IFERROR(__xludf.DUMMYFUNCTION("""COMPUTED_VALUE"""),"2025/9/18まで1巻無料")</f>
        <v>2025/9/18まで1巻無料</v>
      </c>
      <c r="Z3742" s="7"/>
      <c r="AA3742" s="7"/>
      <c r="AB3742" s="7"/>
    </row>
    <row r="3743" ht="15.75" customHeight="1">
      <c r="A3743" s="26">
        <f>IFERROR(__xludf.DUMMYFUNCTION("""COMPUTED_VALUE"""),6169.0)</f>
        <v>6169</v>
      </c>
      <c r="B3743" s="22" t="str">
        <f>IFERROR(__xludf.DUMMYFUNCTION("""COMPUTED_VALUE"""),"確定")</f>
        <v>確定</v>
      </c>
      <c r="C3743" s="28">
        <f>IFERROR(__xludf.DUMMYFUNCTION("""COMPUTED_VALUE"""),45870.0)</f>
        <v>45870</v>
      </c>
      <c r="D3743" s="28">
        <f>IFERROR(__xludf.DUMMYFUNCTION("""COMPUTED_VALUE"""),45874.0)</f>
        <v>45874</v>
      </c>
      <c r="E3743" s="26">
        <f>IFERROR(__xludf.DUMMYFUNCTION("""COMPUTED_VALUE"""),333047.0)</f>
        <v>333047</v>
      </c>
      <c r="F3743" s="22" t="str">
        <f>IFERROR(__xludf.DUMMYFUNCTION("""COMPUTED_VALUE"""),"底辺陰キャのわからせハーレム")</f>
        <v>底辺陰キャのわからせハーレム</v>
      </c>
      <c r="G3743" s="20" t="str">
        <f>IFERROR(__xludf.DUMMYFUNCTION("""COMPUTED_VALUE"""),"1～3")</f>
        <v>1～3</v>
      </c>
      <c r="H3743" s="22" t="str">
        <f>IFERROR(__xludf.DUMMYFUNCTION("""COMPUTED_VALUE"""),"UMS")</f>
        <v>UMS</v>
      </c>
      <c r="I3743" s="22" t="str">
        <f>IFERROR(__xludf.DUMMYFUNCTION("""COMPUTED_VALUE"""),"青年")</f>
        <v>青年</v>
      </c>
      <c r="J3743" s="22"/>
      <c r="K3743" s="22"/>
      <c r="L3743" s="22" t="str">
        <f>IFERROR(__xludf.DUMMYFUNCTION("""COMPUTED_VALUE"""),"Rush!")</f>
        <v>Rush!</v>
      </c>
      <c r="M3743" s="33">
        <f>IFERROR(__xludf.DUMMYFUNCTION("""COMPUTED_VALUE"""),45926.0)</f>
        <v>45926</v>
      </c>
      <c r="N3743" s="33">
        <f>IFERROR(__xludf.DUMMYFUNCTION("""COMPUTED_VALUE"""),45953.0)</f>
        <v>45953</v>
      </c>
      <c r="O3743" s="20"/>
      <c r="P3743" s="32" t="str">
        <f>IFERROR(__xludf.DUMMYFUNCTION("""COMPUTED_VALUE"""),"可")</f>
        <v>可</v>
      </c>
      <c r="Q3743" s="30"/>
      <c r="R3743" s="22"/>
      <c r="S3743" s="22" t="str">
        <f>IFERROR(__xludf.DUMMYFUNCTION("""COMPUTED_VALUE"""),"20250731_ファンギルド_底辺陰キャのわからせハーレム")</f>
        <v>20250731_ファンギルド_底辺陰キャのわからせハーレム</v>
      </c>
      <c r="T3743" s="22" t="str">
        <f>IFERROR(__xludf.DUMMYFUNCTION("""COMPUTED_VALUE"""),"格納済み")</f>
        <v>格納済み</v>
      </c>
      <c r="U3743" s="9" t="str">
        <f>IFERROR(__xludf.DUMMYFUNCTION("""COMPUTED_VALUE"""),"ⒸUMS/TOPTOON")</f>
        <v>ⒸUMS/TOPTOON</v>
      </c>
      <c r="V3743" s="8"/>
      <c r="W3743" s="8"/>
      <c r="X3743" s="8" t="str">
        <f>IFERROR(__xludf.DUMMYFUNCTION("""COMPUTED_VALUE"""),"有")</f>
        <v>有</v>
      </c>
      <c r="Y3743" s="8" t="str">
        <f>IFERROR(__xludf.DUMMYFUNCTION("""COMPUTED_VALUE"""),"P21まで")</f>
        <v>P21まで</v>
      </c>
      <c r="Z3743" s="7"/>
      <c r="AA3743" s="7"/>
      <c r="AB3743" s="7"/>
    </row>
    <row r="3744" ht="15.75" customHeight="1">
      <c r="A3744" s="26">
        <f>IFERROR(__xludf.DUMMYFUNCTION("""COMPUTED_VALUE"""),6170.0)</f>
        <v>6170</v>
      </c>
      <c r="B3744" s="22" t="str">
        <f>IFERROR(__xludf.DUMMYFUNCTION("""COMPUTED_VALUE"""),"確定")</f>
        <v>確定</v>
      </c>
      <c r="C3744" s="28">
        <f>IFERROR(__xludf.DUMMYFUNCTION("""COMPUTED_VALUE"""),45870.0)</f>
        <v>45870</v>
      </c>
      <c r="D3744" s="28">
        <f>IFERROR(__xludf.DUMMYFUNCTION("""COMPUTED_VALUE"""),45874.0)</f>
        <v>45874</v>
      </c>
      <c r="E3744" s="26">
        <f>IFERROR(__xludf.DUMMYFUNCTION("""COMPUTED_VALUE"""),333036.0)</f>
        <v>333036</v>
      </c>
      <c r="F3744" s="22" t="str">
        <f>IFERROR(__xludf.DUMMYFUNCTION("""COMPUTED_VALUE"""),"守って抱いて、離さない～最強幼なじみの鉄壁溺愛～")</f>
        <v>守って抱いて、離さない～最強幼なじみの鉄壁溺愛～</v>
      </c>
      <c r="G3744" s="20" t="str">
        <f>IFERROR(__xludf.DUMMYFUNCTION("""COMPUTED_VALUE"""),"1～2")</f>
        <v>1～2</v>
      </c>
      <c r="H3744" s="22" t="str">
        <f>IFERROR(__xludf.DUMMYFUNCTION("""COMPUTED_VALUE"""),"エトウユツキ")</f>
        <v>エトウユツキ</v>
      </c>
      <c r="I3744" s="22" t="str">
        <f>IFERROR(__xludf.DUMMYFUNCTION("""COMPUTED_VALUE"""),"TL")</f>
        <v>TL</v>
      </c>
      <c r="J3744" s="22"/>
      <c r="K3744" s="22" t="str">
        <f>IFERROR(__xludf.DUMMYFUNCTION("""COMPUTED_VALUE"""),"ラブきゅんコミック")</f>
        <v>ラブきゅんコミック</v>
      </c>
      <c r="L3744" s="22" t="str">
        <f>IFERROR(__xludf.DUMMYFUNCTION("""COMPUTED_VALUE"""),"モバイルメディアリサーチ")</f>
        <v>モバイルメディアリサーチ</v>
      </c>
      <c r="M3744" s="33">
        <f>IFERROR(__xludf.DUMMYFUNCTION("""COMPUTED_VALUE"""),45899.0)</f>
        <v>45899</v>
      </c>
      <c r="N3744" s="33">
        <f>IFERROR(__xludf.DUMMYFUNCTION("""COMPUTED_VALUE"""),45954.0)</f>
        <v>45954</v>
      </c>
      <c r="O3744" s="20"/>
      <c r="P3744" s="32" t="str">
        <f>IFERROR(__xludf.DUMMYFUNCTION("""COMPUTED_VALUE"""),"可")</f>
        <v>可</v>
      </c>
      <c r="Q3744" s="30"/>
      <c r="R3744" s="22"/>
      <c r="S3744" s="22" t="str">
        <f>IFERROR(__xludf.DUMMYFUNCTION("""COMPUTED_VALUE"""),"20250731_ファンギルド_守って抱いて、離さない～最強幼なじみの鉄壁溺愛～")</f>
        <v>20250731_ファンギルド_守って抱いて、離さない～最強幼なじみの鉄壁溺愛～</v>
      </c>
      <c r="T3744" s="22" t="str">
        <f>IFERROR(__xludf.DUMMYFUNCTION("""COMPUTED_VALUE"""),"格納済み")</f>
        <v>格納済み</v>
      </c>
      <c r="U3744" s="9" t="str">
        <f>IFERROR(__xludf.DUMMYFUNCTION("""COMPUTED_VALUE"""),"Ⓒエトウユツキ/モバイルメディアリサーチ")</f>
        <v>Ⓒエトウユツキ/モバイルメディアリサーチ</v>
      </c>
      <c r="V3744" s="8"/>
      <c r="W3744" s="8"/>
      <c r="X3744" s="8" t="str">
        <f>IFERROR(__xludf.DUMMYFUNCTION("""COMPUTED_VALUE"""),"有")</f>
        <v>有</v>
      </c>
      <c r="Y3744" s="8" t="str">
        <f>IFERROR(__xludf.DUMMYFUNCTION("""COMPUTED_VALUE"""),"2025/9/12まで1巻立ち読み増量(P16)")</f>
        <v>2025/9/12まで1巻立ち読み増量(P16)</v>
      </c>
      <c r="Z3744" s="7"/>
      <c r="AA3744" s="7"/>
      <c r="AB3744" s="7"/>
    </row>
    <row r="3745" ht="15.75" customHeight="1">
      <c r="A3745" s="26">
        <f>IFERROR(__xludf.DUMMYFUNCTION("""COMPUTED_VALUE"""),6177.0)</f>
        <v>6177</v>
      </c>
      <c r="B3745" s="22" t="str">
        <f>IFERROR(__xludf.DUMMYFUNCTION("""COMPUTED_VALUE"""),"確定")</f>
        <v>確定</v>
      </c>
      <c r="C3745" s="28">
        <f>IFERROR(__xludf.DUMMYFUNCTION("""COMPUTED_VALUE"""),45873.0)</f>
        <v>45873</v>
      </c>
      <c r="D3745" s="28">
        <f>IFERROR(__xludf.DUMMYFUNCTION("""COMPUTED_VALUE"""),45874.0)</f>
        <v>45874</v>
      </c>
      <c r="E3745" s="26">
        <f>IFERROR(__xludf.DUMMYFUNCTION("""COMPUTED_VALUE"""),298692.0)</f>
        <v>298692</v>
      </c>
      <c r="F3745" s="22" t="str">
        <f>IFERROR(__xludf.DUMMYFUNCTION("""COMPUTED_VALUE"""),"神ノ獣に抱かれる夜")</f>
        <v>神ノ獣に抱かれる夜</v>
      </c>
      <c r="G3745" s="20" t="str">
        <f>IFERROR(__xludf.DUMMYFUNCTION("""COMPUTED_VALUE"""),"1～3")</f>
        <v>1～3</v>
      </c>
      <c r="H3745" s="22" t="str">
        <f>IFERROR(__xludf.DUMMYFUNCTION("""COMPUTED_VALUE"""),"幸村サラダ,向坂氷緒")</f>
        <v>幸村サラダ,向坂氷緒</v>
      </c>
      <c r="I3745" s="22" t="str">
        <f>IFERROR(__xludf.DUMMYFUNCTION("""COMPUTED_VALUE"""),"女性マンガ")</f>
        <v>女性マンガ</v>
      </c>
      <c r="J3745" s="22"/>
      <c r="K3745" s="22" t="str">
        <f>IFERROR(__xludf.DUMMYFUNCTION("""COMPUTED_VALUE"""),"スキして?桃色日記")</f>
        <v>スキして?桃色日記</v>
      </c>
      <c r="L3745" s="22" t="str">
        <f>IFERROR(__xludf.DUMMYFUNCTION("""COMPUTED_VALUE"""),"シーモアコミックス")</f>
        <v>シーモアコミックス</v>
      </c>
      <c r="M3745" s="33">
        <f>IFERROR(__xludf.DUMMYFUNCTION("""COMPUTED_VALUE"""),45906.0)</f>
        <v>45906</v>
      </c>
      <c r="N3745" s="33">
        <f>IFERROR(__xludf.DUMMYFUNCTION("""COMPUTED_VALUE"""),46058.70833333333)</f>
        <v>46058.70833</v>
      </c>
      <c r="O3745" s="20"/>
      <c r="P3745" s="32" t="str">
        <f>IFERROR(__xludf.DUMMYFUNCTION("""COMPUTED_VALUE"""),"可")</f>
        <v>可</v>
      </c>
      <c r="Q3745" s="30"/>
      <c r="R3745" s="22"/>
      <c r="S3745" s="22" t="str">
        <f>IFERROR(__xludf.DUMMYFUNCTION("""COMPUTED_VALUE"""),"20250804_シーモアコミックス_神ノ獣に抱かれる夜")</f>
        <v>20250804_シーモアコミックス_神ノ獣に抱かれる夜</v>
      </c>
      <c r="T3745" s="22" t="str">
        <f>IFERROR(__xludf.DUMMYFUNCTION("""COMPUTED_VALUE"""),"格納済み")</f>
        <v>格納済み</v>
      </c>
      <c r="U3745" s="9" t="str">
        <f>IFERROR(__xludf.DUMMYFUNCTION("""COMPUTED_VALUE"""),"(C) 幸村サラダ/向坂氷緒/シーモアコミックス")</f>
        <v>(C) 幸村サラダ/向坂氷緒/シーモアコミックス</v>
      </c>
      <c r="V3745" s="8"/>
      <c r="W3745" s="8"/>
      <c r="X3745" s="8" t="str">
        <f>IFERROR(__xludf.DUMMYFUNCTION("""COMPUTED_VALUE"""),"有")</f>
        <v>有</v>
      </c>
      <c r="Y3745" s="8" t="str">
        <f>IFERROR(__xludf.DUMMYFUNCTION("""COMPUTED_VALUE"""),"2025/10/3まで1巻無料")</f>
        <v>2025/10/3まで1巻無料</v>
      </c>
      <c r="Z3745" s="7"/>
      <c r="AA3745" s="7"/>
      <c r="AB3745" s="7"/>
    </row>
    <row r="3746" ht="15.75" customHeight="1">
      <c r="A3746" s="26">
        <f>IFERROR(__xludf.DUMMYFUNCTION("""COMPUTED_VALUE"""),6180.0)</f>
        <v>6180</v>
      </c>
      <c r="B3746" s="22" t="str">
        <f>IFERROR(__xludf.DUMMYFUNCTION("""COMPUTED_VALUE"""),"確定")</f>
        <v>確定</v>
      </c>
      <c r="C3746" s="28">
        <f>IFERROR(__xludf.DUMMYFUNCTION("""COMPUTED_VALUE"""),45873.0)</f>
        <v>45873</v>
      </c>
      <c r="D3746" s="28">
        <f>IFERROR(__xludf.DUMMYFUNCTION("""COMPUTED_VALUE"""),45874.0)</f>
        <v>45874</v>
      </c>
      <c r="E3746" s="26">
        <f>IFERROR(__xludf.DUMMYFUNCTION("""COMPUTED_VALUE"""),290769.0)</f>
        <v>290769</v>
      </c>
      <c r="F3746" s="22" t="str">
        <f>IFERROR(__xludf.DUMMYFUNCTION("""COMPUTED_VALUE"""),"唇に毒薬～死なずの王子は彼女の愛で眠りにつきたい～")</f>
        <v>唇に毒薬～死なずの王子は彼女の愛で眠りにつきたい～</v>
      </c>
      <c r="G3746" s="20" t="str">
        <f>IFERROR(__xludf.DUMMYFUNCTION("""COMPUTED_VALUE"""),"1～3")</f>
        <v>1～3</v>
      </c>
      <c r="H3746" s="22" t="str">
        <f>IFERROR(__xludf.DUMMYFUNCTION("""COMPUTED_VALUE"""),"らむ菜")</f>
        <v>らむ菜</v>
      </c>
      <c r="I3746" s="22" t="str">
        <f>IFERROR(__xludf.DUMMYFUNCTION("""COMPUTED_VALUE"""),"少女マンガ")</f>
        <v>少女マンガ</v>
      </c>
      <c r="J3746" s="22"/>
      <c r="K3746" s="22" t="str">
        <f>IFERROR(__xludf.DUMMYFUNCTION("""COMPUTED_VALUE"""),"恋するソワレ")</f>
        <v>恋するソワレ</v>
      </c>
      <c r="L3746" s="22" t="str">
        <f>IFERROR(__xludf.DUMMYFUNCTION("""COMPUTED_VALUE"""),"シーモアコミックス")</f>
        <v>シーモアコミックス</v>
      </c>
      <c r="M3746" s="33">
        <f>IFERROR(__xludf.DUMMYFUNCTION("""COMPUTED_VALUE"""),45907.0)</f>
        <v>45907</v>
      </c>
      <c r="N3746" s="33">
        <f>IFERROR(__xludf.DUMMYFUNCTION("""COMPUTED_VALUE"""),46058.70833333333)</f>
        <v>46058.70833</v>
      </c>
      <c r="O3746" s="20"/>
      <c r="P3746" s="32" t="str">
        <f>IFERROR(__xludf.DUMMYFUNCTION("""COMPUTED_VALUE"""),"可")</f>
        <v>可</v>
      </c>
      <c r="Q3746" s="30"/>
      <c r="R3746" s="22"/>
      <c r="S3746" s="22" t="str">
        <f>IFERROR(__xludf.DUMMYFUNCTION("""COMPUTED_VALUE"""),"20250804_シーモアコミックス_唇に毒薬～死なずの王子は彼女の愛で眠りにつきたい～")</f>
        <v>20250804_シーモアコミックス_唇に毒薬～死なずの王子は彼女の愛で眠りにつきたい～</v>
      </c>
      <c r="T3746" s="22" t="str">
        <f>IFERROR(__xludf.DUMMYFUNCTION("""COMPUTED_VALUE"""),"格納済み")</f>
        <v>格納済み</v>
      </c>
      <c r="U3746" s="9" t="str">
        <f>IFERROR(__xludf.DUMMYFUNCTION("""COMPUTED_VALUE"""),"(C) らむ菜/シーモアコミックス")</f>
        <v>(C) らむ菜/シーモアコミックス</v>
      </c>
      <c r="V3746" s="8"/>
      <c r="W3746" s="8"/>
      <c r="X3746" s="8" t="str">
        <f>IFERROR(__xludf.DUMMYFUNCTION("""COMPUTED_VALUE"""),"有")</f>
        <v>有</v>
      </c>
      <c r="Y3746" s="8" t="str">
        <f>IFERROR(__xludf.DUMMYFUNCTION("""COMPUTED_VALUE"""),"2025/10/4まで1巻無料")</f>
        <v>2025/10/4まで1巻無料</v>
      </c>
      <c r="Z3746" s="7"/>
      <c r="AA3746" s="7"/>
      <c r="AB3746" s="7"/>
    </row>
    <row r="3747" ht="15.75" customHeight="1">
      <c r="A3747" s="26">
        <f>IFERROR(__xludf.DUMMYFUNCTION("""COMPUTED_VALUE"""),6181.0)</f>
        <v>6181</v>
      </c>
      <c r="B3747" s="22" t="str">
        <f>IFERROR(__xludf.DUMMYFUNCTION("""COMPUTED_VALUE"""),"確定")</f>
        <v>確定</v>
      </c>
      <c r="C3747" s="28">
        <f>IFERROR(__xludf.DUMMYFUNCTION("""COMPUTED_VALUE"""),45873.0)</f>
        <v>45873</v>
      </c>
      <c r="D3747" s="28">
        <f>IFERROR(__xludf.DUMMYFUNCTION("""COMPUTED_VALUE"""),45874.0)</f>
        <v>45874</v>
      </c>
      <c r="E3747" s="26">
        <f>IFERROR(__xludf.DUMMYFUNCTION("""COMPUTED_VALUE"""),301405.0)</f>
        <v>301405</v>
      </c>
      <c r="F3747" s="22" t="str">
        <f>IFERROR(__xludf.DUMMYFUNCTION("""COMPUTED_VALUE"""),"神様の花嫁 (フルカラー)")</f>
        <v>神様の花嫁 (フルカラー)</v>
      </c>
      <c r="G3747" s="20" t="str">
        <f>IFERROR(__xludf.DUMMYFUNCTION("""COMPUTED_VALUE"""),"1～3")</f>
        <v>1～3</v>
      </c>
      <c r="H3747" s="22" t="str">
        <f>IFERROR(__xludf.DUMMYFUNCTION("""COMPUTED_VALUE"""),"しましま")</f>
        <v>しましま</v>
      </c>
      <c r="I3747" s="22" t="str">
        <f>IFERROR(__xludf.DUMMYFUNCTION("""COMPUTED_VALUE"""),"女性マンガ")</f>
        <v>女性マンガ</v>
      </c>
      <c r="J3747" s="22"/>
      <c r="K3747" s="22" t="str">
        <f>IFERROR(__xludf.DUMMYFUNCTION("""COMPUTED_VALUE"""),"ズズズキュン！")</f>
        <v>ズズズキュン！</v>
      </c>
      <c r="L3747" s="22" t="str">
        <f>IFERROR(__xludf.DUMMYFUNCTION("""COMPUTED_VALUE"""),"シーモアコミックス")</f>
        <v>シーモアコミックス</v>
      </c>
      <c r="M3747" s="33">
        <f>IFERROR(__xludf.DUMMYFUNCTION("""COMPUTED_VALUE"""),45906.0)</f>
        <v>45906</v>
      </c>
      <c r="N3747" s="33">
        <f>IFERROR(__xludf.DUMMYFUNCTION("""COMPUTED_VALUE"""),46058.70833333333)</f>
        <v>46058.70833</v>
      </c>
      <c r="O3747" s="20"/>
      <c r="P3747" s="32" t="str">
        <f>IFERROR(__xludf.DUMMYFUNCTION("""COMPUTED_VALUE"""),"可")</f>
        <v>可</v>
      </c>
      <c r="Q3747" s="30" t="str">
        <f>IFERROR(__xludf.DUMMYFUNCTION("""COMPUTED_VALUE"""),"&lt;BR&gt;")</f>
        <v>&lt;BR&gt;</v>
      </c>
      <c r="R3747" s="22"/>
      <c r="S3747" s="22" t="str">
        <f>IFERROR(__xludf.DUMMYFUNCTION("""COMPUTED_VALUE"""),"20250804_シーモアコミックス_神様の花嫁（フルカラー）")</f>
        <v>20250804_シーモアコミックス_神様の花嫁（フルカラー）</v>
      </c>
      <c r="T3747" s="22" t="str">
        <f>IFERROR(__xludf.DUMMYFUNCTION("""COMPUTED_VALUE"""),"格納済み")</f>
        <v>格納済み</v>
      </c>
      <c r="U3747" s="9" t="str">
        <f>IFERROR(__xludf.DUMMYFUNCTION("""COMPUTED_VALUE"""),"(C) しましま/シーモアコミックス")</f>
        <v>(C) しましま/シーモアコミックス</v>
      </c>
      <c r="V3747" s="8"/>
      <c r="W3747" s="8"/>
      <c r="X3747" s="8" t="str">
        <f>IFERROR(__xludf.DUMMYFUNCTION("""COMPUTED_VALUE"""),"有")</f>
        <v>有</v>
      </c>
      <c r="Y3747" s="8" t="str">
        <f>IFERROR(__xludf.DUMMYFUNCTION("""COMPUTED_VALUE"""),"2025/10/3まで1巻無料")</f>
        <v>2025/10/3まで1巻無料</v>
      </c>
      <c r="Z3747" s="7"/>
      <c r="AA3747" s="7"/>
      <c r="AB3747" s="7"/>
    </row>
    <row r="3748" ht="15.75" customHeight="1">
      <c r="A3748" s="26">
        <f>IFERROR(__xludf.DUMMYFUNCTION("""COMPUTED_VALUE"""),6181.0)</f>
        <v>6181</v>
      </c>
      <c r="B3748" s="22" t="str">
        <f>IFERROR(__xludf.DUMMYFUNCTION("""COMPUTED_VALUE"""),"確定")</f>
        <v>確定</v>
      </c>
      <c r="C3748" s="28">
        <f>IFERROR(__xludf.DUMMYFUNCTION("""COMPUTED_VALUE"""),45873.0)</f>
        <v>45873</v>
      </c>
      <c r="D3748" s="28">
        <f>IFERROR(__xludf.DUMMYFUNCTION("""COMPUTED_VALUE"""),45874.0)</f>
        <v>45874</v>
      </c>
      <c r="E3748" s="26">
        <f>IFERROR(__xludf.DUMMYFUNCTION("""COMPUTED_VALUE"""),301406.0)</f>
        <v>301406</v>
      </c>
      <c r="F3748" s="22" t="str">
        <f>IFERROR(__xludf.DUMMYFUNCTION("""COMPUTED_VALUE"""),"神様の花嫁 【タテヨミ】")</f>
        <v>神様の花嫁 【タテヨミ】</v>
      </c>
      <c r="G3748" s="20" t="str">
        <f>IFERROR(__xludf.DUMMYFUNCTION("""COMPUTED_VALUE"""),"1～9")</f>
        <v>1～9</v>
      </c>
      <c r="H3748" s="22" t="str">
        <f>IFERROR(__xludf.DUMMYFUNCTION("""COMPUTED_VALUE"""),"しましま")</f>
        <v>しましま</v>
      </c>
      <c r="I3748" s="22" t="str">
        <f>IFERROR(__xludf.DUMMYFUNCTION("""COMPUTED_VALUE"""),"女性マンガ")</f>
        <v>女性マンガ</v>
      </c>
      <c r="J3748" s="22"/>
      <c r="K3748" s="22" t="str">
        <f>IFERROR(__xludf.DUMMYFUNCTION("""COMPUTED_VALUE"""),"ズズズキュン！")</f>
        <v>ズズズキュン！</v>
      </c>
      <c r="L3748" s="22" t="str">
        <f>IFERROR(__xludf.DUMMYFUNCTION("""COMPUTED_VALUE"""),"シーモアコミックス")</f>
        <v>シーモアコミックス</v>
      </c>
      <c r="M3748" s="33">
        <f>IFERROR(__xludf.DUMMYFUNCTION("""COMPUTED_VALUE"""),45906.0)</f>
        <v>45906</v>
      </c>
      <c r="N3748" s="33">
        <f>IFERROR(__xludf.DUMMYFUNCTION("""COMPUTED_VALUE"""),46058.70833333333)</f>
        <v>46058.70833</v>
      </c>
      <c r="O3748" s="20"/>
      <c r="P3748" s="32" t="str">
        <f>IFERROR(__xludf.DUMMYFUNCTION("""COMPUTED_VALUE"""),"可")</f>
        <v>可</v>
      </c>
      <c r="Q3748" s="30" t="str">
        <f>IFERROR(__xludf.DUMMYFUNCTION("""COMPUTED_VALUE"""),"※コマサム等素材は「301405　神様の花嫁 (フルカラー)」の方をお使いください。&lt;BR&gt;バナー制作はフルカラー版の素材を利用して問題ございません。&lt;BR&gt;")</f>
        <v>※コマサム等素材は「301405　神様の花嫁 (フルカラー)」の方をお使いください。&lt;BR&gt;バナー制作はフルカラー版の素材を利用して問題ございません。&lt;BR&gt;</v>
      </c>
      <c r="R3748" s="22"/>
      <c r="S3748" s="22" t="str">
        <f>IFERROR(__xludf.DUMMYFUNCTION("""COMPUTED_VALUE"""),"20250804_シーモアコミックス_神様の花嫁 【タテヨミ】")</f>
        <v>20250804_シーモアコミックス_神様の花嫁 【タテヨミ】</v>
      </c>
      <c r="T3748" s="22" t="str">
        <f>IFERROR(__xludf.DUMMYFUNCTION("""COMPUTED_VALUE"""),"格納済み")</f>
        <v>格納済み</v>
      </c>
      <c r="U3748" s="9" t="str">
        <f>IFERROR(__xludf.DUMMYFUNCTION("""COMPUTED_VALUE"""),"(C) しましま/シーモアコミックス")</f>
        <v>(C) しましま/シーモアコミックス</v>
      </c>
      <c r="V3748" s="8"/>
      <c r="W3748" s="8"/>
      <c r="X3748" s="8" t="str">
        <f>IFERROR(__xludf.DUMMYFUNCTION("""COMPUTED_VALUE"""),"有")</f>
        <v>有</v>
      </c>
      <c r="Y3748" s="8" t="str">
        <f>IFERROR(__xludf.DUMMYFUNCTION("""COMPUTED_VALUE"""),"2025/10/3まで1～3巻無料")</f>
        <v>2025/10/3まで1～3巻無料</v>
      </c>
      <c r="Z3748" s="7"/>
      <c r="AA3748" s="7"/>
      <c r="AB3748" s="7"/>
    </row>
    <row r="3749" ht="15.75" customHeight="1">
      <c r="A3749" s="26">
        <f>IFERROR(__xludf.DUMMYFUNCTION("""COMPUTED_VALUE"""),6187.0)</f>
        <v>6187</v>
      </c>
      <c r="B3749" s="22" t="str">
        <f>IFERROR(__xludf.DUMMYFUNCTION("""COMPUTED_VALUE"""),"確定")</f>
        <v>確定</v>
      </c>
      <c r="C3749" s="28">
        <f>IFERROR(__xludf.DUMMYFUNCTION("""COMPUTED_VALUE"""),45874.0)</f>
        <v>45874</v>
      </c>
      <c r="D3749" s="28">
        <f>IFERROR(__xludf.DUMMYFUNCTION("""COMPUTED_VALUE"""),45874.0)</f>
        <v>45874</v>
      </c>
      <c r="E3749" s="26">
        <f>IFERROR(__xludf.DUMMYFUNCTION("""COMPUTED_VALUE"""),332514.0)</f>
        <v>332514</v>
      </c>
      <c r="F3749" s="22" t="str">
        <f>IFERROR(__xludf.DUMMYFUNCTION("""COMPUTED_VALUE"""),"ストロベリー♯コード")</f>
        <v>ストロベリー♯コード</v>
      </c>
      <c r="G3749" s="20" t="str">
        <f>IFERROR(__xludf.DUMMYFUNCTION("""COMPUTED_VALUE"""),"1～5")</f>
        <v>1～5</v>
      </c>
      <c r="H3749" s="22" t="str">
        <f>IFERROR(__xludf.DUMMYFUNCTION("""COMPUTED_VALUE"""),"ヒデツロ")</f>
        <v>ヒデツロ</v>
      </c>
      <c r="I3749" s="22" t="str">
        <f>IFERROR(__xludf.DUMMYFUNCTION("""COMPUTED_VALUE"""),"女性")</f>
        <v>女性</v>
      </c>
      <c r="J3749" s="22"/>
      <c r="K3749" s="22"/>
      <c r="L3749" s="22" t="str">
        <f>IFERROR(__xludf.DUMMYFUNCTION("""COMPUTED_VALUE"""),"集英社")</f>
        <v>集英社</v>
      </c>
      <c r="M3749" s="33">
        <f>IFERROR(__xludf.DUMMYFUNCTION("""COMPUTED_VALUE"""),45894.0)</f>
        <v>45894</v>
      </c>
      <c r="N3749" s="33">
        <f>IFERROR(__xludf.DUMMYFUNCTION("""COMPUTED_VALUE"""),45924.0)</f>
        <v>45924</v>
      </c>
      <c r="O3749" s="20"/>
      <c r="P3749" s="32" t="str">
        <f>IFERROR(__xludf.DUMMYFUNCTION("""COMPUTED_VALUE"""),"否")</f>
        <v>否</v>
      </c>
      <c r="Q3749" s="30"/>
      <c r="R3749" s="22"/>
      <c r="S3749" s="22" t="str">
        <f>IFERROR(__xludf.DUMMYFUNCTION("""COMPUTED_VALUE"""),"20250805_集英社_ストロベリー♯コード")</f>
        <v>20250805_集英社_ストロベリー♯コード</v>
      </c>
      <c r="T3749" s="22" t="str">
        <f>IFERROR(__xludf.DUMMYFUNCTION("""COMPUTED_VALUE"""),"格納済み")</f>
        <v>格納済み</v>
      </c>
      <c r="U3749" s="9" t="str">
        <f>IFERROR(__xludf.DUMMYFUNCTION("""COMPUTED_VALUE"""),"(C)ヒデツロ／集英社")</f>
        <v>(C)ヒデツロ／集英社</v>
      </c>
      <c r="V3749" s="8"/>
      <c r="W3749" s="8"/>
      <c r="X3749" s="8" t="str">
        <f>IFERROR(__xludf.DUMMYFUNCTION("""COMPUTED_VALUE"""),"有")</f>
        <v>有</v>
      </c>
      <c r="Y3749" s="8" t="str">
        <f>IFERROR(__xludf.DUMMYFUNCTION("""COMPUTED_VALUE"""),"2025/9/24まで1巻無料")</f>
        <v>2025/9/24まで1巻無料</v>
      </c>
      <c r="Z3749" s="7"/>
      <c r="AA3749" s="7"/>
      <c r="AB3749" s="7"/>
    </row>
    <row r="3750" ht="15.75" customHeight="1">
      <c r="A3750" s="26">
        <f>IFERROR(__xludf.DUMMYFUNCTION("""COMPUTED_VALUE"""),6188.0)</f>
        <v>6188</v>
      </c>
      <c r="B3750" s="22" t="str">
        <f>IFERROR(__xludf.DUMMYFUNCTION("""COMPUTED_VALUE"""),"確定")</f>
        <v>確定</v>
      </c>
      <c r="C3750" s="28">
        <f>IFERROR(__xludf.DUMMYFUNCTION("""COMPUTED_VALUE"""),45874.0)</f>
        <v>45874</v>
      </c>
      <c r="D3750" s="28">
        <f>IFERROR(__xludf.DUMMYFUNCTION("""COMPUTED_VALUE"""),45874.0)</f>
        <v>45874</v>
      </c>
      <c r="E3750" s="26">
        <f>IFERROR(__xludf.DUMMYFUNCTION("""COMPUTED_VALUE"""),332516.0)</f>
        <v>332516</v>
      </c>
      <c r="F3750" s="22" t="str">
        <f>IFERROR(__xludf.DUMMYFUNCTION("""COMPUTED_VALUE"""),"愛のベクトルがバグってる！")</f>
        <v>愛のベクトルがバグってる！</v>
      </c>
      <c r="G3750" s="20" t="str">
        <f>IFERROR(__xludf.DUMMYFUNCTION("""COMPUTED_VALUE"""),"1～4")</f>
        <v>1～4</v>
      </c>
      <c r="H3750" s="22" t="str">
        <f>IFERROR(__xludf.DUMMYFUNCTION("""COMPUTED_VALUE"""),"春夏冬ユカ")</f>
        <v>春夏冬ユカ</v>
      </c>
      <c r="I3750" s="22" t="str">
        <f>IFERROR(__xludf.DUMMYFUNCTION("""COMPUTED_VALUE"""),"女性")</f>
        <v>女性</v>
      </c>
      <c r="J3750" s="22"/>
      <c r="K3750" s="22"/>
      <c r="L3750" s="22" t="str">
        <f>IFERROR(__xludf.DUMMYFUNCTION("""COMPUTED_VALUE"""),"集英社")</f>
        <v>集英社</v>
      </c>
      <c r="M3750" s="33">
        <f>IFERROR(__xludf.DUMMYFUNCTION("""COMPUTED_VALUE"""),45894.0)</f>
        <v>45894</v>
      </c>
      <c r="N3750" s="33">
        <f>IFERROR(__xludf.DUMMYFUNCTION("""COMPUTED_VALUE"""),45924.0)</f>
        <v>45924</v>
      </c>
      <c r="O3750" s="20"/>
      <c r="P3750" s="32" t="str">
        <f>IFERROR(__xludf.DUMMYFUNCTION("""COMPUTED_VALUE"""),"否")</f>
        <v>否</v>
      </c>
      <c r="Q3750" s="30"/>
      <c r="R3750" s="22"/>
      <c r="S3750" s="22" t="str">
        <f>IFERROR(__xludf.DUMMYFUNCTION("""COMPUTED_VALUE"""),"20250805_集英社__愛のベクトルがバグってる！")</f>
        <v>20250805_集英社__愛のベクトルがバグってる！</v>
      </c>
      <c r="T3750" s="22" t="str">
        <f>IFERROR(__xludf.DUMMYFUNCTION("""COMPUTED_VALUE"""),"格納済み")</f>
        <v>格納済み</v>
      </c>
      <c r="U3750" s="9" t="str">
        <f>IFERROR(__xludf.DUMMYFUNCTION("""COMPUTED_VALUE"""),"(C)春夏冬ユカ／集英社")</f>
        <v>(C)春夏冬ユカ／集英社</v>
      </c>
      <c r="V3750" s="8"/>
      <c r="W3750" s="8"/>
      <c r="X3750" s="8" t="str">
        <f>IFERROR(__xludf.DUMMYFUNCTION("""COMPUTED_VALUE"""),"有")</f>
        <v>有</v>
      </c>
      <c r="Y3750" s="8" t="str">
        <f>IFERROR(__xludf.DUMMYFUNCTION("""COMPUTED_VALUE"""),"2025/9/24まで1巻無料")</f>
        <v>2025/9/24まで1巻無料</v>
      </c>
      <c r="Z3750" s="7"/>
      <c r="AA3750" s="7"/>
      <c r="AB3750" s="7"/>
    </row>
    <row r="3751" ht="15.75" customHeight="1">
      <c r="A3751" s="26">
        <f>IFERROR(__xludf.DUMMYFUNCTION("""COMPUTED_VALUE"""),6189.0)</f>
        <v>6189</v>
      </c>
      <c r="B3751" s="22" t="str">
        <f>IFERROR(__xludf.DUMMYFUNCTION("""COMPUTED_VALUE"""),"確定")</f>
        <v>確定</v>
      </c>
      <c r="C3751" s="28">
        <f>IFERROR(__xludf.DUMMYFUNCTION("""COMPUTED_VALUE"""),45874.0)</f>
        <v>45874</v>
      </c>
      <c r="D3751" s="28">
        <f>IFERROR(__xludf.DUMMYFUNCTION("""COMPUTED_VALUE"""),45875.0)</f>
        <v>45875</v>
      </c>
      <c r="E3751" s="26">
        <f>IFERROR(__xludf.DUMMYFUNCTION("""COMPUTED_VALUE"""),332515.0)</f>
        <v>332515</v>
      </c>
      <c r="F3751" s="22" t="str">
        <f>IFERROR(__xludf.DUMMYFUNCTION("""COMPUTED_VALUE"""),"夢見るアリスは恋も知らずに")</f>
        <v>夢見るアリスは恋も知らずに</v>
      </c>
      <c r="G3751" s="20" t="str">
        <f>IFERROR(__xludf.DUMMYFUNCTION("""COMPUTED_VALUE"""),"1～5")</f>
        <v>1～5</v>
      </c>
      <c r="H3751" s="22" t="str">
        <f>IFERROR(__xludf.DUMMYFUNCTION("""COMPUTED_VALUE"""),"ねこ田太子")</f>
        <v>ねこ田太子</v>
      </c>
      <c r="I3751" s="22" t="str">
        <f>IFERROR(__xludf.DUMMYFUNCTION("""COMPUTED_VALUE"""),"女性")</f>
        <v>女性</v>
      </c>
      <c r="J3751" s="22"/>
      <c r="K3751" s="22"/>
      <c r="L3751" s="22" t="str">
        <f>IFERROR(__xludf.DUMMYFUNCTION("""COMPUTED_VALUE"""),"集英社")</f>
        <v>集英社</v>
      </c>
      <c r="M3751" s="33">
        <f>IFERROR(__xludf.DUMMYFUNCTION("""COMPUTED_VALUE"""),45894.0)</f>
        <v>45894</v>
      </c>
      <c r="N3751" s="33">
        <f>IFERROR(__xludf.DUMMYFUNCTION("""COMPUTED_VALUE"""),45924.0)</f>
        <v>45924</v>
      </c>
      <c r="O3751" s="20"/>
      <c r="P3751" s="32" t="str">
        <f>IFERROR(__xludf.DUMMYFUNCTION("""COMPUTED_VALUE"""),"否")</f>
        <v>否</v>
      </c>
      <c r="Q3751" s="30"/>
      <c r="R3751" s="22"/>
      <c r="S3751" s="22" t="str">
        <f>IFERROR(__xludf.DUMMYFUNCTION("""COMPUTED_VALUE"""),"20250805_集英社_夢見るアリスは恋も知らずに")</f>
        <v>20250805_集英社_夢見るアリスは恋も知らずに</v>
      </c>
      <c r="T3751" s="22" t="str">
        <f>IFERROR(__xludf.DUMMYFUNCTION("""COMPUTED_VALUE"""),"格納済み")</f>
        <v>格納済み</v>
      </c>
      <c r="U3751" s="9" t="str">
        <f>IFERROR(__xludf.DUMMYFUNCTION("""COMPUTED_VALUE"""),"(C)ねこ田太子／集英社")</f>
        <v>(C)ねこ田太子／集英社</v>
      </c>
      <c r="V3751" s="8"/>
      <c r="W3751" s="8"/>
      <c r="X3751" s="8" t="str">
        <f>IFERROR(__xludf.DUMMYFUNCTION("""COMPUTED_VALUE"""),"有")</f>
        <v>有</v>
      </c>
      <c r="Y3751" s="8" t="str">
        <f>IFERROR(__xludf.DUMMYFUNCTION("""COMPUTED_VALUE"""),"2025/9/24まで1巻無料")</f>
        <v>2025/9/24まで1巻無料</v>
      </c>
      <c r="Z3751" s="7"/>
      <c r="AA3751" s="7"/>
      <c r="AB3751" s="7"/>
    </row>
    <row r="3752" ht="15.75" customHeight="1">
      <c r="A3752" s="26">
        <f>IFERROR(__xludf.DUMMYFUNCTION("""COMPUTED_VALUE"""),6191.0)</f>
        <v>6191</v>
      </c>
      <c r="B3752" s="22" t="str">
        <f>IFERROR(__xludf.DUMMYFUNCTION("""COMPUTED_VALUE"""),"確定")</f>
        <v>確定</v>
      </c>
      <c r="C3752" s="28">
        <f>IFERROR(__xludf.DUMMYFUNCTION("""COMPUTED_VALUE"""),45874.0)</f>
        <v>45874</v>
      </c>
      <c r="D3752" s="28">
        <f>IFERROR(__xludf.DUMMYFUNCTION("""COMPUTED_VALUE"""),45874.0)</f>
        <v>45874</v>
      </c>
      <c r="E3752" s="26">
        <f>IFERROR(__xludf.DUMMYFUNCTION("""COMPUTED_VALUE"""),225676.0)</f>
        <v>225676</v>
      </c>
      <c r="F3752" s="22" t="str">
        <f>IFERROR(__xludf.DUMMYFUNCTION("""COMPUTED_VALUE"""),"サハラの隻眼狼【コミックス版】")</f>
        <v>サハラの隻眼狼【コミックス版】</v>
      </c>
      <c r="G3752" s="20">
        <f>IFERROR(__xludf.DUMMYFUNCTION("""COMPUTED_VALUE"""),2.0)</f>
        <v>2</v>
      </c>
      <c r="H3752" s="22" t="str">
        <f>IFERROR(__xludf.DUMMYFUNCTION("""COMPUTED_VALUE"""),"五月女えむ")</f>
        <v>五月女えむ</v>
      </c>
      <c r="I3752" s="22" t="str">
        <f>IFERROR(__xludf.DUMMYFUNCTION("""COMPUTED_VALUE"""),"BLマンガ")</f>
        <v>BLマンガ</v>
      </c>
      <c r="J3752" s="22"/>
      <c r="K3752" s="22" t="str">
        <f>IFERROR(__xludf.DUMMYFUNCTION("""COMPUTED_VALUE"""),"ジュネットコミックス / ピアスシリーズ")</f>
        <v>ジュネットコミックス / ピアスシリーズ</v>
      </c>
      <c r="L3752" s="22" t="str">
        <f>IFERROR(__xludf.DUMMYFUNCTION("""COMPUTED_VALUE"""),"ジュネット")</f>
        <v>ジュネット</v>
      </c>
      <c r="M3752" s="33">
        <f>IFERROR(__xludf.DUMMYFUNCTION("""COMPUTED_VALUE"""),45878.0)</f>
        <v>45878</v>
      </c>
      <c r="N3752" s="33">
        <f>IFERROR(__xludf.DUMMYFUNCTION("""COMPUTED_VALUE"""),2958465.0)</f>
        <v>2958465</v>
      </c>
      <c r="O3752" s="20"/>
      <c r="P3752" s="32" t="str">
        <f>IFERROR(__xludf.DUMMYFUNCTION("""COMPUTED_VALUE"""),"可")</f>
        <v>可</v>
      </c>
      <c r="Q3752" s="30" t="str">
        <f>IFERROR(__xludf.DUMMYFUNCTION("""COMPUTED_VALUE"""),"シーモア限定BOOKです")</f>
        <v>シーモア限定BOOKです</v>
      </c>
      <c r="R3752" s="22" t="str">
        <f>IFERROR(__xludf.DUMMYFUNCTION("""COMPUTED_VALUE"""),"コミットOK")</f>
        <v>コミットOK</v>
      </c>
      <c r="S3752" s="22" t="str">
        <f>IFERROR(__xludf.DUMMYFUNCTION("""COMPUTED_VALUE"""),"20250805_ジュネット_サハラの隻眼狼【コミックス版】")</f>
        <v>20250805_ジュネット_サハラの隻眼狼【コミックス版】</v>
      </c>
      <c r="T3752" s="22" t="str">
        <f>IFERROR(__xludf.DUMMYFUNCTION("""COMPUTED_VALUE"""),"格納済み")</f>
        <v>格納済み</v>
      </c>
      <c r="U3752" s="9" t="str">
        <f>IFERROR(__xludf.DUMMYFUNCTION("""COMPUTED_VALUE"""),"Ⓒ五月女えむ/ジュネット")</f>
        <v>Ⓒ五月女えむ/ジュネット</v>
      </c>
      <c r="V3752" s="8"/>
      <c r="W3752" s="8"/>
      <c r="X3752" s="8" t="str">
        <f>IFERROR(__xludf.DUMMYFUNCTION("""COMPUTED_VALUE"""),"有")</f>
        <v>有</v>
      </c>
      <c r="Y3752" s="8" t="str">
        <f>IFERROR(__xludf.DUMMYFUNCTION("""COMPUTED_VALUE"""),"2025/9/8まで1巻立ち読み増量(P63)")</f>
        <v>2025/9/8まで1巻立ち読み増量(P63)</v>
      </c>
      <c r="Z3752" s="7"/>
      <c r="AA3752" s="7"/>
      <c r="AB3752" s="7"/>
    </row>
    <row r="3753" ht="15.75" customHeight="1">
      <c r="A3753" s="26">
        <f>IFERROR(__xludf.DUMMYFUNCTION("""COMPUTED_VALUE"""),6196.0)</f>
        <v>6196</v>
      </c>
      <c r="B3753" s="22" t="str">
        <f>IFERROR(__xludf.DUMMYFUNCTION("""COMPUTED_VALUE"""),"確定")</f>
        <v>確定</v>
      </c>
      <c r="C3753" s="28">
        <f>IFERROR(__xludf.DUMMYFUNCTION("""COMPUTED_VALUE"""),45874.0)</f>
        <v>45874</v>
      </c>
      <c r="D3753" s="28">
        <f>IFERROR(__xludf.DUMMYFUNCTION("""COMPUTED_VALUE"""),45875.0)</f>
        <v>45875</v>
      </c>
      <c r="E3753" s="26">
        <f>IFERROR(__xludf.DUMMYFUNCTION("""COMPUTED_VALUE"""),335155.0)</f>
        <v>335155</v>
      </c>
      <c r="F3753" s="22" t="str">
        <f>IFERROR(__xludf.DUMMYFUNCTION("""COMPUTED_VALUE"""),"【フルカラー】Placebo：プラセボ")</f>
        <v>【フルカラー】Placebo：プラセボ</v>
      </c>
      <c r="G3753" s="20" t="str">
        <f>IFERROR(__xludf.DUMMYFUNCTION("""COMPUTED_VALUE"""),"1～3")</f>
        <v>1～3</v>
      </c>
      <c r="H3753" s="22" t="str">
        <f>IFERROR(__xludf.DUMMYFUNCTION("""COMPUTED_VALUE"""),"きゅうり石鹸")</f>
        <v>きゅうり石鹸</v>
      </c>
      <c r="I3753" s="22" t="str">
        <f>IFERROR(__xludf.DUMMYFUNCTION("""COMPUTED_VALUE"""),"BL")</f>
        <v>BL</v>
      </c>
      <c r="J3753" s="22"/>
      <c r="K3753" s="22"/>
      <c r="L3753" s="22" t="str">
        <f>IFERROR(__xludf.DUMMYFUNCTION("""COMPUTED_VALUE"""),"レジンコミックス")</f>
        <v>レジンコミックス</v>
      </c>
      <c r="M3753" s="33">
        <f>IFERROR(__xludf.DUMMYFUNCTION("""COMPUTED_VALUE"""),45912.0)</f>
        <v>45912</v>
      </c>
      <c r="N3753" s="33">
        <f>IFERROR(__xludf.DUMMYFUNCTION("""COMPUTED_VALUE"""),2958465.0)</f>
        <v>2958465</v>
      </c>
      <c r="O3753" s="20"/>
      <c r="P3753" s="32" t="str">
        <f>IFERROR(__xludf.DUMMYFUNCTION("""COMPUTED_VALUE"""),"可")</f>
        <v>可</v>
      </c>
      <c r="Q3753" s="30"/>
      <c r="R3753" s="22"/>
      <c r="S3753" s="22" t="str">
        <f>IFERROR(__xludf.DUMMYFUNCTION("""COMPUTED_VALUE"""),"20250805_レジンエンターテインメント_Placebo：プラセボ")</f>
        <v>20250805_レジンエンターテインメント_Placebo：プラセボ</v>
      </c>
      <c r="T3753" s="22" t="str">
        <f>IFERROR(__xludf.DUMMYFUNCTION("""COMPUTED_VALUE"""),"格納済み")</f>
        <v>格納済み</v>
      </c>
      <c r="U3753" s="9" t="str">
        <f>IFERROR(__xludf.DUMMYFUNCTION("""COMPUTED_VALUE"""),"Ⓒ きゅうり石鹸 / レジンコミックス")</f>
        <v>Ⓒ きゅうり石鹸 / レジンコミックス</v>
      </c>
      <c r="V3753" s="8"/>
      <c r="W3753" s="8"/>
      <c r="X3753" s="8" t="str">
        <f>IFERROR(__xludf.DUMMYFUNCTION("""COMPUTED_VALUE"""),"有")</f>
        <v>有</v>
      </c>
      <c r="Y3753" s="8" t="str">
        <f>IFERROR(__xludf.DUMMYFUNCTION("""COMPUTED_VALUE"""),"P22まで")</f>
        <v>P22まで</v>
      </c>
      <c r="Z3753" s="7"/>
      <c r="AA3753" s="7"/>
      <c r="AB3753" s="7"/>
    </row>
    <row r="3754" ht="15.75" customHeight="1">
      <c r="A3754" s="26">
        <f>IFERROR(__xludf.DUMMYFUNCTION("""COMPUTED_VALUE"""),6197.0)</f>
        <v>6197</v>
      </c>
      <c r="B3754" s="22" t="str">
        <f>IFERROR(__xludf.DUMMYFUNCTION("""COMPUTED_VALUE"""),"確定")</f>
        <v>確定</v>
      </c>
      <c r="C3754" s="28">
        <f>IFERROR(__xludf.DUMMYFUNCTION("""COMPUTED_VALUE"""),45874.0)</f>
        <v>45874</v>
      </c>
      <c r="D3754" s="28">
        <f>IFERROR(__xludf.DUMMYFUNCTION("""COMPUTED_VALUE"""),45875.0)</f>
        <v>45875</v>
      </c>
      <c r="E3754" s="26">
        <f>IFERROR(__xludf.DUMMYFUNCTION("""COMPUTED_VALUE"""),333680.0)</f>
        <v>333680</v>
      </c>
      <c r="F3754" s="22" t="str">
        <f>IFERROR(__xludf.DUMMYFUNCTION("""COMPUTED_VALUE"""),"新歓ネトリ～あこがれの巨乳女子アナ風先輩編～")</f>
        <v>新歓ネトリ～あこがれの巨乳女子アナ風先輩編～</v>
      </c>
      <c r="G3754" s="20" t="str">
        <f>IFERROR(__xludf.DUMMYFUNCTION("""COMPUTED_VALUE"""),"1～2")</f>
        <v>1～2</v>
      </c>
      <c r="H3754" s="22" t="str">
        <f>IFERROR(__xludf.DUMMYFUNCTION("""COMPUTED_VALUE"""),"銀木星ねむる")</f>
        <v>銀木星ねむる</v>
      </c>
      <c r="I3754" s="22" t="str">
        <f>IFERROR(__xludf.DUMMYFUNCTION("""COMPUTED_VALUE"""),"アダルトマンガ")</f>
        <v>アダルトマンガ</v>
      </c>
      <c r="J3754" s="22"/>
      <c r="K3754" s="22"/>
      <c r="L3754" s="22" t="str">
        <f>IFERROR(__xludf.DUMMYFUNCTION("""COMPUTED_VALUE"""),"セ・キララ文庫")</f>
        <v>セ・キララ文庫</v>
      </c>
      <c r="M3754" s="33">
        <f>IFERROR(__xludf.DUMMYFUNCTION("""COMPUTED_VALUE"""),45905.0)</f>
        <v>45905</v>
      </c>
      <c r="N3754" s="33">
        <f>IFERROR(__xludf.DUMMYFUNCTION("""COMPUTED_VALUE"""),45939.0)</f>
        <v>45939</v>
      </c>
      <c r="O3754" s="20"/>
      <c r="P3754" s="32" t="str">
        <f>IFERROR(__xludf.DUMMYFUNCTION("""COMPUTED_VALUE"""),"可")</f>
        <v>可</v>
      </c>
      <c r="Q3754" s="30"/>
      <c r="R3754" s="22"/>
      <c r="S3754" s="22" t="str">
        <f>IFERROR(__xludf.DUMMYFUNCTION("""COMPUTED_VALUE"""),"20250805_ライドオン_新歓ネトリ～あこがれの巨乳女子アナ風先輩編～")</f>
        <v>20250805_ライドオン_新歓ネトリ～あこがれの巨乳女子アナ風先輩編～</v>
      </c>
      <c r="T3754" s="22" t="str">
        <f>IFERROR(__xludf.DUMMYFUNCTION("""COMPUTED_VALUE"""),"格納済み")</f>
        <v>格納済み</v>
      </c>
      <c r="U3754" s="9" t="str">
        <f>IFERROR(__xludf.DUMMYFUNCTION("""COMPUTED_VALUE"""),"Ⓒ銀木星ねむる/セ・キララ文庫")</f>
        <v>Ⓒ銀木星ねむる/セ・キララ文庫</v>
      </c>
      <c r="V3754" s="8"/>
      <c r="W3754" s="8"/>
      <c r="X3754" s="8" t="str">
        <f>IFERROR(__xludf.DUMMYFUNCTION("""COMPUTED_VALUE"""),"有")</f>
        <v>有</v>
      </c>
      <c r="Y3754" s="8" t="str">
        <f>IFERROR(__xludf.DUMMYFUNCTION("""COMPUTED_VALUE"""),"P14まで")</f>
        <v>P14まで</v>
      </c>
      <c r="Z3754" s="7"/>
      <c r="AA3754" s="7"/>
      <c r="AB3754" s="7"/>
    </row>
    <row r="3755" ht="15.75" customHeight="1">
      <c r="A3755" s="26">
        <f>IFERROR(__xludf.DUMMYFUNCTION("""COMPUTED_VALUE"""),6199.0)</f>
        <v>6199</v>
      </c>
      <c r="B3755" s="22" t="str">
        <f>IFERROR(__xludf.DUMMYFUNCTION("""COMPUTED_VALUE"""),"確定")</f>
        <v>確定</v>
      </c>
      <c r="C3755" s="28">
        <f>IFERROR(__xludf.DUMMYFUNCTION("""COMPUTED_VALUE"""),45874.0)</f>
        <v>45874</v>
      </c>
      <c r="D3755" s="28">
        <f>IFERROR(__xludf.DUMMYFUNCTION("""COMPUTED_VALUE"""),45875.0)</f>
        <v>45875</v>
      </c>
      <c r="E3755" s="26">
        <f>IFERROR(__xludf.DUMMYFUNCTION("""COMPUTED_VALUE"""),333681.0)</f>
        <v>333681</v>
      </c>
      <c r="F3755" s="22" t="str">
        <f>IFERROR(__xludf.DUMMYFUNCTION("""COMPUTED_VALUE"""),"エッチな本を拾ったら4Pした話～クズ男子3人組にハメられた性欲旺盛巨乳美少女～")</f>
        <v>エッチな本を拾ったら4Pした話～クズ男子3人組にハメられた性欲旺盛巨乳美少女～</v>
      </c>
      <c r="G3755" s="20" t="str">
        <f>IFERROR(__xludf.DUMMYFUNCTION("""COMPUTED_VALUE"""),"1～2")</f>
        <v>1～2</v>
      </c>
      <c r="H3755" s="22" t="str">
        <f>IFERROR(__xludf.DUMMYFUNCTION("""COMPUTED_VALUE"""),"飯島らると")</f>
        <v>飯島らると</v>
      </c>
      <c r="I3755" s="22" t="str">
        <f>IFERROR(__xludf.DUMMYFUNCTION("""COMPUTED_VALUE"""),"アダルトマンガ")</f>
        <v>アダルトマンガ</v>
      </c>
      <c r="J3755" s="22"/>
      <c r="K3755" s="22"/>
      <c r="L3755" s="22" t="str">
        <f>IFERROR(__xludf.DUMMYFUNCTION("""COMPUTED_VALUE"""),"セ・キララ文庫")</f>
        <v>セ・キララ文庫</v>
      </c>
      <c r="M3755" s="33">
        <f>IFERROR(__xludf.DUMMYFUNCTION("""COMPUTED_VALUE"""),45905.0)</f>
        <v>45905</v>
      </c>
      <c r="N3755" s="33">
        <f>IFERROR(__xludf.DUMMYFUNCTION("""COMPUTED_VALUE"""),45939.0)</f>
        <v>45939</v>
      </c>
      <c r="O3755" s="20"/>
      <c r="P3755" s="32" t="str">
        <f>IFERROR(__xludf.DUMMYFUNCTION("""COMPUTED_VALUE"""),"可")</f>
        <v>可</v>
      </c>
      <c r="Q3755" s="30"/>
      <c r="R3755" s="22"/>
      <c r="S3755" s="22" t="str">
        <f>IFERROR(__xludf.DUMMYFUNCTION("""COMPUTED_VALUE"""),"20250805_ライドオン_エッチな本を拾ったら4Pした話～クズ男子3人組にハメられた性欲旺盛巨乳美少女～")</f>
        <v>20250805_ライドオン_エッチな本を拾ったら4Pした話～クズ男子3人組にハメられた性欲旺盛巨乳美少女～</v>
      </c>
      <c r="T3755" s="22" t="str">
        <f>IFERROR(__xludf.DUMMYFUNCTION("""COMPUTED_VALUE"""),"格納済み")</f>
        <v>格納済み</v>
      </c>
      <c r="U3755" s="9" t="str">
        <f>IFERROR(__xludf.DUMMYFUNCTION("""COMPUTED_VALUE"""),"Ⓒ飯島らると/セ・キララ文庫")</f>
        <v>Ⓒ飯島らると/セ・キララ文庫</v>
      </c>
      <c r="V3755" s="8"/>
      <c r="W3755" s="8"/>
      <c r="X3755" s="8" t="str">
        <f>IFERROR(__xludf.DUMMYFUNCTION("""COMPUTED_VALUE"""),"有")</f>
        <v>有</v>
      </c>
      <c r="Y3755" s="8" t="str">
        <f>IFERROR(__xludf.DUMMYFUNCTION("""COMPUTED_VALUE"""),"P11まで")</f>
        <v>P11まで</v>
      </c>
      <c r="Z3755" s="7"/>
      <c r="AA3755" s="7"/>
      <c r="AB3755" s="7"/>
    </row>
    <row r="3756" ht="15.75" customHeight="1">
      <c r="A3756" s="26">
        <f>IFERROR(__xludf.DUMMYFUNCTION("""COMPUTED_VALUE"""),6200.0)</f>
        <v>6200</v>
      </c>
      <c r="B3756" s="22" t="str">
        <f>IFERROR(__xludf.DUMMYFUNCTION("""COMPUTED_VALUE"""),"確定")</f>
        <v>確定</v>
      </c>
      <c r="C3756" s="28">
        <f>IFERROR(__xludf.DUMMYFUNCTION("""COMPUTED_VALUE"""),45874.0)</f>
        <v>45874</v>
      </c>
      <c r="D3756" s="28">
        <f>IFERROR(__xludf.DUMMYFUNCTION("""COMPUTED_VALUE"""),45875.0)</f>
        <v>45875</v>
      </c>
      <c r="E3756" s="26">
        <f>IFERROR(__xludf.DUMMYFUNCTION("""COMPUTED_VALUE"""),333682.0)</f>
        <v>333682</v>
      </c>
      <c r="F3756" s="22" t="str">
        <f>IFERROR(__xludf.DUMMYFUNCTION("""COMPUTED_VALUE"""),"初恋こじらせ軍人伯爵の暴走愛～私、婚約解消二回の没落令嬢なんですけど!?～")</f>
        <v>初恋こじらせ軍人伯爵の暴走愛～私、婚約解消二回の没落令嬢なんですけど!?～</v>
      </c>
      <c r="G3756" s="20" t="str">
        <f>IFERROR(__xludf.DUMMYFUNCTION("""COMPUTED_VALUE"""),"1～3")</f>
        <v>1～3</v>
      </c>
      <c r="H3756" s="22" t="str">
        <f>IFERROR(__xludf.DUMMYFUNCTION("""COMPUTED_VALUE"""),"藤村綾生/藍井恵")</f>
        <v>藤村綾生/藍井恵</v>
      </c>
      <c r="I3756" s="22" t="str">
        <f>IFERROR(__xludf.DUMMYFUNCTION("""COMPUTED_VALUE"""),"女性")</f>
        <v>女性</v>
      </c>
      <c r="J3756" s="22"/>
      <c r="K3756" s="22"/>
      <c r="L3756" s="22" t="str">
        <f>IFERROR(__xludf.DUMMYFUNCTION("""COMPUTED_VALUE"""),"ライドオン")</f>
        <v>ライドオン</v>
      </c>
      <c r="M3756" s="33">
        <f>IFERROR(__xludf.DUMMYFUNCTION("""COMPUTED_VALUE"""),45905.0)</f>
        <v>45905</v>
      </c>
      <c r="N3756" s="33">
        <f>IFERROR(__xludf.DUMMYFUNCTION("""COMPUTED_VALUE"""),45932.0)</f>
        <v>45932</v>
      </c>
      <c r="O3756" s="20"/>
      <c r="P3756" s="32" t="str">
        <f>IFERROR(__xludf.DUMMYFUNCTION("""COMPUTED_VALUE"""),"可")</f>
        <v>可</v>
      </c>
      <c r="Q3756" s="30"/>
      <c r="R3756" s="22"/>
      <c r="S3756" s="22" t="str">
        <f>IFERROR(__xludf.DUMMYFUNCTION("""COMPUTED_VALUE"""),"20250805_ライドオン_初恋こじらせ軍人伯爵の暴走愛～私、婚約解消二回の没落令嬢なんですけど!～")</f>
        <v>20250805_ライドオン_初恋こじらせ軍人伯爵の暴走愛～私、婚約解消二回の没落令嬢なんですけど!～</v>
      </c>
      <c r="T3756" s="22" t="str">
        <f>IFERROR(__xludf.DUMMYFUNCTION("""COMPUTED_VALUE"""),"格納済み")</f>
        <v>格納済み</v>
      </c>
      <c r="U3756" s="9" t="str">
        <f>IFERROR(__xludf.DUMMYFUNCTION("""COMPUTED_VALUE"""),"Ⓒ藤村綾生/藍井恵/ライドオン")</f>
        <v>Ⓒ藤村綾生/藍井恵/ライドオン</v>
      </c>
      <c r="V3756" s="8"/>
      <c r="W3756" s="8"/>
      <c r="X3756" s="8" t="str">
        <f>IFERROR(__xludf.DUMMYFUNCTION("""COMPUTED_VALUE"""),"有")</f>
        <v>有</v>
      </c>
      <c r="Y3756" s="8" t="str">
        <f>IFERROR(__xludf.DUMMYFUNCTION("""COMPUTED_VALUE"""),"P15まで")</f>
        <v>P15まで</v>
      </c>
      <c r="Z3756" s="7"/>
      <c r="AA3756" s="7"/>
      <c r="AB3756" s="7"/>
    </row>
    <row r="3757" ht="15.75" customHeight="1">
      <c r="A3757" s="26">
        <f>IFERROR(__xludf.DUMMYFUNCTION("""COMPUTED_VALUE"""),6202.0)</f>
        <v>6202</v>
      </c>
      <c r="B3757" s="22" t="str">
        <f>IFERROR(__xludf.DUMMYFUNCTION("""COMPUTED_VALUE"""),"確定")</f>
        <v>確定</v>
      </c>
      <c r="C3757" s="28">
        <f>IFERROR(__xludf.DUMMYFUNCTION("""COMPUTED_VALUE"""),45874.0)</f>
        <v>45874</v>
      </c>
      <c r="D3757" s="28">
        <f>IFERROR(__xludf.DUMMYFUNCTION("""COMPUTED_VALUE"""),45875.0)</f>
        <v>45875</v>
      </c>
      <c r="E3757" s="26">
        <f>IFERROR(__xludf.DUMMYFUNCTION("""COMPUTED_VALUE"""),334235.0)</f>
        <v>334235</v>
      </c>
      <c r="F3757" s="22" t="str">
        <f>IFERROR(__xludf.DUMMYFUNCTION("""COMPUTED_VALUE"""),"花紡ぎの聖女は初恋の皇太子に溺愛される")</f>
        <v>花紡ぎの聖女は初恋の皇太子に溺愛される</v>
      </c>
      <c r="G3757" s="20" t="str">
        <f>IFERROR(__xludf.DUMMYFUNCTION("""COMPUTED_VALUE"""),"1～3")</f>
        <v>1～3</v>
      </c>
      <c r="H3757" s="22" t="str">
        <f>IFERROR(__xludf.DUMMYFUNCTION("""COMPUTED_VALUE"""),"漫画：塩谷びび／ネーム：灰音アサナ／原作：青季ふゆ")</f>
        <v>漫画：塩谷びび／ネーム：灰音アサナ／原作：青季ふゆ</v>
      </c>
      <c r="I3757" s="22" t="str">
        <f>IFERROR(__xludf.DUMMYFUNCTION("""COMPUTED_VALUE"""),"女性")</f>
        <v>女性</v>
      </c>
      <c r="J3757" s="22"/>
      <c r="K3757" s="22"/>
      <c r="L3757" s="22" t="str">
        <f>IFERROR(__xludf.DUMMYFUNCTION("""COMPUTED_VALUE"""),"集英社")</f>
        <v>集英社</v>
      </c>
      <c r="M3757" s="33">
        <f>IFERROR(__xludf.DUMMYFUNCTION("""COMPUTED_VALUE"""),45901.0)</f>
        <v>45901</v>
      </c>
      <c r="N3757" s="33">
        <f>IFERROR(__xludf.DUMMYFUNCTION("""COMPUTED_VALUE"""),45930.0)</f>
        <v>45930</v>
      </c>
      <c r="O3757" s="20"/>
      <c r="P3757" s="32" t="str">
        <f>IFERROR(__xludf.DUMMYFUNCTION("""COMPUTED_VALUE"""),"否")</f>
        <v>否</v>
      </c>
      <c r="Q3757" s="30"/>
      <c r="R3757" s="22"/>
      <c r="S3757" s="22" t="str">
        <f>IFERROR(__xludf.DUMMYFUNCTION("""COMPUTED_VALUE"""),"20250805_集英社_花紡ぎの聖女は初恋の皇太子に溺愛される")</f>
        <v>20250805_集英社_花紡ぎの聖女は初恋の皇太子に溺愛される</v>
      </c>
      <c r="T3757" s="22" t="str">
        <f>IFERROR(__xludf.DUMMYFUNCTION("""COMPUTED_VALUE"""),"格納済み")</f>
        <v>格納済み</v>
      </c>
      <c r="U3757" s="9" t="str">
        <f>IFERROR(__xludf.DUMMYFUNCTION("""COMPUTED_VALUE"""),"(C)塩谷びび・灰音アサナ・青季ふゆ／集英社")</f>
        <v>(C)塩谷びび・灰音アサナ・青季ふゆ／集英社</v>
      </c>
      <c r="V3757" s="8"/>
      <c r="W3757" s="8"/>
      <c r="X3757" s="8" t="str">
        <f>IFERROR(__xludf.DUMMYFUNCTION("""COMPUTED_VALUE"""),"有")</f>
        <v>有</v>
      </c>
      <c r="Y3757" s="8" t="str">
        <f>IFERROR(__xludf.DUMMYFUNCTION("""COMPUTED_VALUE"""),"P34まで")</f>
        <v>P34まで</v>
      </c>
      <c r="Z3757" s="7"/>
      <c r="AA3757" s="7"/>
      <c r="AB3757" s="7"/>
    </row>
    <row r="3758" ht="15.75" customHeight="1">
      <c r="A3758" s="26">
        <f>IFERROR(__xludf.DUMMYFUNCTION("""COMPUTED_VALUE"""),6203.0)</f>
        <v>6203</v>
      </c>
      <c r="B3758" s="22" t="str">
        <f>IFERROR(__xludf.DUMMYFUNCTION("""COMPUTED_VALUE"""),"確定")</f>
        <v>確定</v>
      </c>
      <c r="C3758" s="28">
        <f>IFERROR(__xludf.DUMMYFUNCTION("""COMPUTED_VALUE"""),45874.0)</f>
        <v>45874</v>
      </c>
      <c r="D3758" s="28">
        <f>IFERROR(__xludf.DUMMYFUNCTION("""COMPUTED_VALUE"""),45875.0)</f>
        <v>45875</v>
      </c>
      <c r="E3758" s="26">
        <f>IFERROR(__xludf.DUMMYFUNCTION("""COMPUTED_VALUE"""),333898.0)</f>
        <v>333898</v>
      </c>
      <c r="F3758" s="22" t="str">
        <f>IFERROR(__xludf.DUMMYFUNCTION("""COMPUTED_VALUE"""),"婚約破棄された令嬢の家族は華麗なる復讐を果たす")</f>
        <v>婚約破棄された令嬢の家族は華麗なる復讐を果たす</v>
      </c>
      <c r="G3758" s="20" t="str">
        <f>IFERROR(__xludf.DUMMYFUNCTION("""COMPUTED_VALUE"""),"1～4")</f>
        <v>1～4</v>
      </c>
      <c r="H3758" s="22" t="str">
        <f>IFERROR(__xludf.DUMMYFUNCTION("""COMPUTED_VALUE"""),"氷野ゆの")</f>
        <v>氷野ゆの</v>
      </c>
      <c r="I3758" s="22" t="str">
        <f>IFERROR(__xludf.DUMMYFUNCTION("""COMPUTED_VALUE"""),"女性")</f>
        <v>女性</v>
      </c>
      <c r="J3758" s="22"/>
      <c r="K3758" s="22" t="str">
        <f>IFERROR(__xludf.DUMMYFUNCTION("""COMPUTED_VALUE"""),"echo")</f>
        <v>echo</v>
      </c>
      <c r="L3758" s="22" t="str">
        <f>IFERROR(__xludf.DUMMYFUNCTION("""COMPUTED_VALUE"""),"一迅社")</f>
        <v>一迅社</v>
      </c>
      <c r="M3758" s="33">
        <f>IFERROR(__xludf.DUMMYFUNCTION("""COMPUTED_VALUE"""),45905.0)</f>
        <v>45905</v>
      </c>
      <c r="N3758" s="33">
        <f>IFERROR(__xludf.DUMMYFUNCTION("""COMPUTED_VALUE"""),45995.0)</f>
        <v>45995</v>
      </c>
      <c r="O3758" s="20"/>
      <c r="P3758" s="32" t="str">
        <f>IFERROR(__xludf.DUMMYFUNCTION("""COMPUTED_VALUE"""),"否")</f>
        <v>否</v>
      </c>
      <c r="Q3758" s="30"/>
      <c r="R3758" s="22"/>
      <c r="S3758" s="22" t="str">
        <f>IFERROR(__xludf.DUMMYFUNCTION("""COMPUTED_VALUE"""),"20250805_一迅社_婚約破棄された令嬢の家族は華麗なる復讐を果たす")</f>
        <v>20250805_一迅社_婚約破棄された令嬢の家族は華麗なる復讐を果たす</v>
      </c>
      <c r="T3758" s="22" t="str">
        <f>IFERROR(__xludf.DUMMYFUNCTION("""COMPUTED_VALUE"""),"格納済み")</f>
        <v>格納済み</v>
      </c>
      <c r="U3758" s="9" t="str">
        <f>IFERROR(__xludf.DUMMYFUNCTION("""COMPUTED_VALUE"""),"(c)氷野ゆの／一迅社")</f>
        <v>(c)氷野ゆの／一迅社</v>
      </c>
      <c r="V3758" s="8"/>
      <c r="W3758" s="8"/>
      <c r="X3758" s="8" t="str">
        <f>IFERROR(__xludf.DUMMYFUNCTION("""COMPUTED_VALUE"""),"有")</f>
        <v>有</v>
      </c>
      <c r="Y3758" s="8" t="str">
        <f>IFERROR(__xludf.DUMMYFUNCTION("""COMPUTED_VALUE"""),"P7まで")</f>
        <v>P7まで</v>
      </c>
      <c r="Z3758" s="7"/>
      <c r="AA3758" s="7"/>
      <c r="AB3758" s="7"/>
    </row>
    <row r="3759" ht="15.75" customHeight="1">
      <c r="A3759" s="26">
        <f>IFERROR(__xludf.DUMMYFUNCTION("""COMPUTED_VALUE"""),6205.0)</f>
        <v>6205</v>
      </c>
      <c r="B3759" s="22" t="str">
        <f>IFERROR(__xludf.DUMMYFUNCTION("""COMPUTED_VALUE"""),"確定")</f>
        <v>確定</v>
      </c>
      <c r="C3759" s="28">
        <f>IFERROR(__xludf.DUMMYFUNCTION("""COMPUTED_VALUE"""),45874.0)</f>
        <v>45874</v>
      </c>
      <c r="D3759" s="28">
        <f>IFERROR(__xludf.DUMMYFUNCTION("""COMPUTED_VALUE"""),45875.0)</f>
        <v>45875</v>
      </c>
      <c r="E3759" s="26">
        <f>IFERROR(__xludf.DUMMYFUNCTION("""COMPUTED_VALUE"""),333897.0)</f>
        <v>333897</v>
      </c>
      <c r="F3759" s="22" t="str">
        <f>IFERROR(__xludf.DUMMYFUNCTION("""COMPUTED_VALUE"""),"淫魔なカレはワタシ中毒！？")</f>
        <v>淫魔なカレはワタシ中毒！？</v>
      </c>
      <c r="G3759" s="20" t="str">
        <f>IFERROR(__xludf.DUMMYFUNCTION("""COMPUTED_VALUE"""),"1～4")</f>
        <v>1～4</v>
      </c>
      <c r="H3759" s="22" t="str">
        <f>IFERROR(__xludf.DUMMYFUNCTION("""COMPUTED_VALUE"""),"夜行性")</f>
        <v>夜行性</v>
      </c>
      <c r="I3759" s="22" t="str">
        <f>IFERROR(__xludf.DUMMYFUNCTION("""COMPUTED_VALUE"""),"TL")</f>
        <v>TL</v>
      </c>
      <c r="J3759" s="22"/>
      <c r="K3759" s="22" t="str">
        <f>IFERROR(__xludf.DUMMYFUNCTION("""COMPUTED_VALUE"""),"LOVEBITES")</f>
        <v>LOVEBITES</v>
      </c>
      <c r="L3759" s="22" t="str">
        <f>IFERROR(__xludf.DUMMYFUNCTION("""COMPUTED_VALUE"""),"一迅社")</f>
        <v>一迅社</v>
      </c>
      <c r="M3759" s="33">
        <f>IFERROR(__xludf.DUMMYFUNCTION("""COMPUTED_VALUE"""),45905.0)</f>
        <v>45905</v>
      </c>
      <c r="N3759" s="33">
        <f>IFERROR(__xludf.DUMMYFUNCTION("""COMPUTED_VALUE"""),45932.0)</f>
        <v>45932</v>
      </c>
      <c r="O3759" s="20"/>
      <c r="P3759" s="32" t="str">
        <f>IFERROR(__xludf.DUMMYFUNCTION("""COMPUTED_VALUE"""),"可")</f>
        <v>可</v>
      </c>
      <c r="Q3759" s="30"/>
      <c r="R3759" s="22"/>
      <c r="S3759" s="22" t="str">
        <f>IFERROR(__xludf.DUMMYFUNCTION("""COMPUTED_VALUE"""),"20250805_一迅社_淫魔なカレはワタシ中毒！？")</f>
        <v>20250805_一迅社_淫魔なカレはワタシ中毒！？</v>
      </c>
      <c r="T3759" s="22" t="str">
        <f>IFERROR(__xludf.DUMMYFUNCTION("""COMPUTED_VALUE"""),"格納済み")</f>
        <v>格納済み</v>
      </c>
      <c r="U3759" s="9" t="str">
        <f>IFERROR(__xludf.DUMMYFUNCTION("""COMPUTED_VALUE"""),"(C)夜行性／一迅社")</f>
        <v>(C)夜行性／一迅社</v>
      </c>
      <c r="V3759" s="8"/>
      <c r="W3759" s="8"/>
      <c r="X3759" s="8" t="str">
        <f>IFERROR(__xludf.DUMMYFUNCTION("""COMPUTED_VALUE"""),"有")</f>
        <v>有</v>
      </c>
      <c r="Y3759" s="8" t="str">
        <f>IFERROR(__xludf.DUMMYFUNCTION("""COMPUTED_VALUE"""),"2025/10/2まで1巻無料")</f>
        <v>2025/10/2まで1巻無料</v>
      </c>
      <c r="Z3759" s="7"/>
      <c r="AA3759" s="7"/>
      <c r="AB3759" s="7"/>
    </row>
    <row r="3760" ht="15.75" customHeight="1">
      <c r="A3760" s="26">
        <f>IFERROR(__xludf.DUMMYFUNCTION("""COMPUTED_VALUE"""),6206.0)</f>
        <v>6206</v>
      </c>
      <c r="B3760" s="22" t="str">
        <f>IFERROR(__xludf.DUMMYFUNCTION("""COMPUTED_VALUE"""),"確定")</f>
        <v>確定</v>
      </c>
      <c r="C3760" s="28">
        <f>IFERROR(__xludf.DUMMYFUNCTION("""COMPUTED_VALUE"""),45875.0)</f>
        <v>45875</v>
      </c>
      <c r="D3760" s="28">
        <f>IFERROR(__xludf.DUMMYFUNCTION("""COMPUTED_VALUE"""),45875.0)</f>
        <v>45875</v>
      </c>
      <c r="E3760" s="26">
        <f>IFERROR(__xludf.DUMMYFUNCTION("""COMPUTED_VALUE"""),334234.0)</f>
        <v>334234</v>
      </c>
      <c r="F3760" s="22" t="str">
        <f>IFERROR(__xludf.DUMMYFUNCTION("""COMPUTED_VALUE"""),"人生3度目の悪役姫は物語からの退場を希望する")</f>
        <v>人生3度目の悪役姫は物語からの退場を希望する</v>
      </c>
      <c r="G3760" s="20" t="str">
        <f>IFERROR(__xludf.DUMMYFUNCTION("""COMPUTED_VALUE"""),"1～3")</f>
        <v>1～3</v>
      </c>
      <c r="H3760" s="22" t="str">
        <f>IFERROR(__xludf.DUMMYFUNCTION("""COMPUTED_VALUE"""),"漫画：山本りこ／原作：イチカ（エブリスタ）")</f>
        <v>漫画：山本りこ／原作：イチカ（エブリスタ）</v>
      </c>
      <c r="I3760" s="22" t="str">
        <f>IFERROR(__xludf.DUMMYFUNCTION("""COMPUTED_VALUE"""),"女性")</f>
        <v>女性</v>
      </c>
      <c r="J3760" s="22"/>
      <c r="K3760" s="22"/>
      <c r="L3760" s="22" t="str">
        <f>IFERROR(__xludf.DUMMYFUNCTION("""COMPUTED_VALUE"""),"集英社")</f>
        <v>集英社</v>
      </c>
      <c r="M3760" s="33">
        <f>IFERROR(__xludf.DUMMYFUNCTION("""COMPUTED_VALUE"""),45901.0)</f>
        <v>45901</v>
      </c>
      <c r="N3760" s="33">
        <f>IFERROR(__xludf.DUMMYFUNCTION("""COMPUTED_VALUE"""),45930.0)</f>
        <v>45930</v>
      </c>
      <c r="O3760" s="20"/>
      <c r="P3760" s="32" t="str">
        <f>IFERROR(__xludf.DUMMYFUNCTION("""COMPUTED_VALUE"""),"否")</f>
        <v>否</v>
      </c>
      <c r="Q3760" s="30" t="str">
        <f>IFERROR(__xludf.DUMMYFUNCTION("""COMPUTED_VALUE"""),"レーベルロゴ不要")</f>
        <v>レーベルロゴ不要</v>
      </c>
      <c r="R3760" s="22"/>
      <c r="S3760" s="22" t="str">
        <f>IFERROR(__xludf.DUMMYFUNCTION("""COMPUTED_VALUE"""),"20250806_集英社_人生3度目の悪役姫は物語からの退場を希望する")</f>
        <v>20250806_集英社_人生3度目の悪役姫は物語からの退場を希望する</v>
      </c>
      <c r="T3760" s="22" t="str">
        <f>IFERROR(__xludf.DUMMYFUNCTION("""COMPUTED_VALUE"""),"格納済み")</f>
        <v>格納済み</v>
      </c>
      <c r="U3760" s="9" t="str">
        <f>IFERROR(__xludf.DUMMYFUNCTION("""COMPUTED_VALUE"""),"(C)山本りこ・イチカ（エブリスタ）／集英社")</f>
        <v>(C)山本りこ・イチカ（エブリスタ）／集英社</v>
      </c>
      <c r="V3760" s="8"/>
      <c r="W3760" s="8"/>
      <c r="X3760" s="8" t="str">
        <f>IFERROR(__xludf.DUMMYFUNCTION("""COMPUTED_VALUE"""),"有")</f>
        <v>有</v>
      </c>
      <c r="Y3760" s="8" t="str">
        <f>IFERROR(__xludf.DUMMYFUNCTION("""COMPUTED_VALUE"""),"P33まで")</f>
        <v>P33まで</v>
      </c>
      <c r="Z3760" s="7"/>
      <c r="AA3760" s="7"/>
      <c r="AB3760" s="7"/>
    </row>
    <row r="3761" ht="15.75" customHeight="1">
      <c r="A3761" s="26">
        <f>IFERROR(__xludf.DUMMYFUNCTION("""COMPUTED_VALUE"""),5686.0)</f>
        <v>5686</v>
      </c>
      <c r="B3761" s="22" t="str">
        <f>IFERROR(__xludf.DUMMYFUNCTION("""COMPUTED_VALUE"""),"確定")</f>
        <v>確定</v>
      </c>
      <c r="C3761" s="28">
        <f>IFERROR(__xludf.DUMMYFUNCTION("""COMPUTED_VALUE"""),45810.0)</f>
        <v>45810</v>
      </c>
      <c r="D3761" s="28">
        <f>IFERROR(__xludf.DUMMYFUNCTION("""COMPUTED_VALUE"""),45875.0)</f>
        <v>45875</v>
      </c>
      <c r="E3761" s="26">
        <f>IFERROR(__xludf.DUMMYFUNCTION("""COMPUTED_VALUE"""),333871.0)</f>
        <v>333871</v>
      </c>
      <c r="F3761" s="22" t="str">
        <f>IFERROR(__xludf.DUMMYFUNCTION("""COMPUTED_VALUE"""),"無敵のシスコン三兄弟は、断罪を力技で回避する。")</f>
        <v>無敵のシスコン三兄弟は、断罪を力技で回避する。</v>
      </c>
      <c r="G3761" s="20">
        <f>IFERROR(__xludf.DUMMYFUNCTION("""COMPUTED_VALUE"""),1.0)</f>
        <v>1</v>
      </c>
      <c r="H3761" s="22" t="str">
        <f>IFERROR(__xludf.DUMMYFUNCTION("""COMPUTED_VALUE"""),"かしい葵／原作：櫻野くるみ")</f>
        <v>かしい葵／原作：櫻野くるみ</v>
      </c>
      <c r="I3761" s="22" t="str">
        <f>IFERROR(__xludf.DUMMYFUNCTION("""COMPUTED_VALUE"""),"少女")</f>
        <v>少女</v>
      </c>
      <c r="J3761" s="22"/>
      <c r="K3761" s="22" t="str">
        <f>IFERROR(__xludf.DUMMYFUNCTION("""COMPUTED_VALUE"""),"ZERO-SUMコミックス")</f>
        <v>ZERO-SUMコミックス</v>
      </c>
      <c r="L3761" s="22" t="str">
        <f>IFERROR(__xludf.DUMMYFUNCTION("""COMPUTED_VALUE"""),"一迅社")</f>
        <v>一迅社</v>
      </c>
      <c r="M3761" s="33">
        <f>IFERROR(__xludf.DUMMYFUNCTION("""COMPUTED_VALUE"""),45901.0)</f>
        <v>45901</v>
      </c>
      <c r="N3761" s="33">
        <f>IFERROR(__xludf.DUMMYFUNCTION("""COMPUTED_VALUE"""),45930.0)</f>
        <v>45930</v>
      </c>
      <c r="O3761" s="20"/>
      <c r="P3761" s="32" t="str">
        <f>IFERROR(__xludf.DUMMYFUNCTION("""COMPUTED_VALUE"""),"否")</f>
        <v>否</v>
      </c>
      <c r="Q3761" s="30" t="str">
        <f>IFERROR(__xludf.DUMMYFUNCTION("""COMPUTED_VALUE"""),"「婚約破棄されましたが、幸せに暮らしておりますわ！アンソロジーコミック: 8」の単話化作品です。&lt;BR&gt;")</f>
        <v>「婚約破棄されましたが、幸せに暮らしておりますわ！アンソロジーコミック: 8」の単話化作品です。&lt;BR&gt;</v>
      </c>
      <c r="R3761" s="22"/>
      <c r="S3761" s="22" t="str">
        <f>IFERROR(__xludf.DUMMYFUNCTION("""COMPUTED_VALUE"""),"20250804_一迅社_無敵のシスコン三兄弟は、断罪を力技で回避する。")</f>
        <v>20250804_一迅社_無敵のシスコン三兄弟は、断罪を力技で回避する。</v>
      </c>
      <c r="T3761" s="22" t="str">
        <f>IFERROR(__xludf.DUMMYFUNCTION("""COMPUTED_VALUE"""),"格納済み")</f>
        <v>格納済み</v>
      </c>
      <c r="U3761" s="9" t="str">
        <f>IFERROR(__xludf.DUMMYFUNCTION("""COMPUTED_VALUE"""),"(C)かしい葵・櫻野くるみ／一迅社")</f>
        <v>(C)かしい葵・櫻野くるみ／一迅社</v>
      </c>
      <c r="V3761" s="8"/>
      <c r="W3761" s="8"/>
      <c r="X3761" s="8" t="str">
        <f>IFERROR(__xludf.DUMMYFUNCTION("""COMPUTED_VALUE"""),"有")</f>
        <v>有</v>
      </c>
      <c r="Y3761" s="8" t="str">
        <f>IFERROR(__xludf.DUMMYFUNCTION("""COMPUTED_VALUE"""),"P9まで")</f>
        <v>P9まで</v>
      </c>
      <c r="Z3761" s="7"/>
      <c r="AA3761" s="7"/>
      <c r="AB3761" s="7"/>
    </row>
    <row r="3762" ht="15.75" customHeight="1">
      <c r="A3762" s="26">
        <f>IFERROR(__xludf.DUMMYFUNCTION("""COMPUTED_VALUE"""),5687.0)</f>
        <v>5687</v>
      </c>
      <c r="B3762" s="22" t="str">
        <f>IFERROR(__xludf.DUMMYFUNCTION("""COMPUTED_VALUE"""),"確定")</f>
        <v>確定</v>
      </c>
      <c r="C3762" s="28">
        <f>IFERROR(__xludf.DUMMYFUNCTION("""COMPUTED_VALUE"""),45810.0)</f>
        <v>45810</v>
      </c>
      <c r="D3762" s="28">
        <f>IFERROR(__xludf.DUMMYFUNCTION("""COMPUTED_VALUE"""),45875.0)</f>
        <v>45875</v>
      </c>
      <c r="E3762" s="26">
        <f>IFERROR(__xludf.DUMMYFUNCTION("""COMPUTED_VALUE"""),333865.0)</f>
        <v>333865</v>
      </c>
      <c r="F3762" s="22" t="str">
        <f>IFERROR(__xludf.DUMMYFUNCTION("""COMPUTED_VALUE"""),"実は白い結婚でしたの。元悪役令嬢は未亡人になったので今度こそ推しを見守りたい。")</f>
        <v>実は白い結婚でしたの。元悪役令嬢は未亡人になったので今度こそ推しを見守りたい。</v>
      </c>
      <c r="G3762" s="20">
        <f>IFERROR(__xludf.DUMMYFUNCTION("""COMPUTED_VALUE"""),1.0)</f>
        <v>1</v>
      </c>
      <c r="H3762" s="22" t="str">
        <f>IFERROR(__xludf.DUMMYFUNCTION("""COMPUTED_VALUE"""),"ののせりん／原作：氷雨そら")</f>
        <v>ののせりん／原作：氷雨そら</v>
      </c>
      <c r="I3762" s="22" t="str">
        <f>IFERROR(__xludf.DUMMYFUNCTION("""COMPUTED_VALUE"""),"少女")</f>
        <v>少女</v>
      </c>
      <c r="J3762" s="22"/>
      <c r="K3762" s="22" t="str">
        <f>IFERROR(__xludf.DUMMYFUNCTION("""COMPUTED_VALUE"""),"ZERO-SUMコミックス")</f>
        <v>ZERO-SUMコミックス</v>
      </c>
      <c r="L3762" s="22" t="str">
        <f>IFERROR(__xludf.DUMMYFUNCTION("""COMPUTED_VALUE"""),"一迅社")</f>
        <v>一迅社</v>
      </c>
      <c r="M3762" s="33">
        <f>IFERROR(__xludf.DUMMYFUNCTION("""COMPUTED_VALUE"""),45901.0)</f>
        <v>45901</v>
      </c>
      <c r="N3762" s="33">
        <f>IFERROR(__xludf.DUMMYFUNCTION("""COMPUTED_VALUE"""),45930.0)</f>
        <v>45930</v>
      </c>
      <c r="O3762" s="20"/>
      <c r="P3762" s="32" t="str">
        <f>IFERROR(__xludf.DUMMYFUNCTION("""COMPUTED_VALUE"""),"否")</f>
        <v>否</v>
      </c>
      <c r="Q3762" s="30" t="str">
        <f>IFERROR(__xludf.DUMMYFUNCTION("""COMPUTED_VALUE"""),"「婚約破棄されましたが、幸せに暮らしておりますわ！アンソロジーコミック: 8」の単話化作品です。&lt;BR&gt;")</f>
        <v>「婚約破棄されましたが、幸せに暮らしておりますわ！アンソロジーコミック: 8」の単話化作品です。&lt;BR&gt;</v>
      </c>
      <c r="R3762" s="22"/>
      <c r="S3762" s="22" t="str">
        <f>IFERROR(__xludf.DUMMYFUNCTION("""COMPUTED_VALUE"""),"20250804_一迅社_実は白い結婚でしたの。元悪役令嬢は未亡人になったので今度こそ推しを見守りたい。")</f>
        <v>20250804_一迅社_実は白い結婚でしたの。元悪役令嬢は未亡人になったので今度こそ推しを見守りたい。</v>
      </c>
      <c r="T3762" s="22" t="str">
        <f>IFERROR(__xludf.DUMMYFUNCTION("""COMPUTED_VALUE"""),"格納済み")</f>
        <v>格納済み</v>
      </c>
      <c r="U3762" s="9" t="str">
        <f>IFERROR(__xludf.DUMMYFUNCTION("""COMPUTED_VALUE"""),"(C)ののせりん・氷雨そら／一迅社")</f>
        <v>(C)ののせりん・氷雨そら／一迅社</v>
      </c>
      <c r="V3762" s="8"/>
      <c r="W3762" s="8"/>
      <c r="X3762" s="8" t="str">
        <f>IFERROR(__xludf.DUMMYFUNCTION("""COMPUTED_VALUE"""),"有")</f>
        <v>有</v>
      </c>
      <c r="Y3762" s="8" t="str">
        <f>IFERROR(__xludf.DUMMYFUNCTION("""COMPUTED_VALUE"""),"P7まで")</f>
        <v>P7まで</v>
      </c>
      <c r="Z3762" s="7"/>
      <c r="AA3762" s="7"/>
      <c r="AB3762" s="7"/>
    </row>
    <row r="3763" ht="15.75" customHeight="1">
      <c r="A3763" s="26">
        <f>IFERROR(__xludf.DUMMYFUNCTION("""COMPUTED_VALUE"""),5689.0)</f>
        <v>5689</v>
      </c>
      <c r="B3763" s="22" t="str">
        <f>IFERROR(__xludf.DUMMYFUNCTION("""COMPUTED_VALUE"""),"確定")</f>
        <v>確定</v>
      </c>
      <c r="C3763" s="28">
        <f>IFERROR(__xludf.DUMMYFUNCTION("""COMPUTED_VALUE"""),45810.0)</f>
        <v>45810</v>
      </c>
      <c r="D3763" s="28">
        <f>IFERROR(__xludf.DUMMYFUNCTION("""COMPUTED_VALUE"""),45882.0)</f>
        <v>45882</v>
      </c>
      <c r="E3763" s="26">
        <f>IFERROR(__xludf.DUMMYFUNCTION("""COMPUTED_VALUE"""),336597.0)</f>
        <v>336597</v>
      </c>
      <c r="F3763" s="22" t="str">
        <f>IFERROR(__xludf.DUMMYFUNCTION("""COMPUTED_VALUE"""),"「男を愛してしまった」と言って婚約破棄されましたが、それって男装した私ですか！？")</f>
        <v>「男を愛してしまった」と言って婚約破棄されましたが、それって男装した私ですか！？</v>
      </c>
      <c r="G3763" s="20">
        <f>IFERROR(__xludf.DUMMYFUNCTION("""COMPUTED_VALUE"""),1.0)</f>
        <v>1</v>
      </c>
      <c r="H3763" s="22" t="str">
        <f>IFERROR(__xludf.DUMMYFUNCTION("""COMPUTED_VALUE"""),"橘ミズキ／原作：田井ノエル")</f>
        <v>橘ミズキ／原作：田井ノエル</v>
      </c>
      <c r="I3763" s="22" t="str">
        <f>IFERROR(__xludf.DUMMYFUNCTION("""COMPUTED_VALUE"""),"少女")</f>
        <v>少女</v>
      </c>
      <c r="J3763" s="22"/>
      <c r="K3763" s="22" t="str">
        <f>IFERROR(__xludf.DUMMYFUNCTION("""COMPUTED_VALUE"""),"ZERO-SUMコミックス")</f>
        <v>ZERO-SUMコミックス</v>
      </c>
      <c r="L3763" s="22" t="str">
        <f>IFERROR(__xludf.DUMMYFUNCTION("""COMPUTED_VALUE"""),"一迅社")</f>
        <v>一迅社</v>
      </c>
      <c r="M3763" s="33">
        <f>IFERROR(__xludf.DUMMYFUNCTION("""COMPUTED_VALUE"""),45931.0)</f>
        <v>45931</v>
      </c>
      <c r="N3763" s="33">
        <f>IFERROR(__xludf.DUMMYFUNCTION("""COMPUTED_VALUE"""),45961.0)</f>
        <v>45961</v>
      </c>
      <c r="O3763" s="20"/>
      <c r="P3763" s="32" t="str">
        <f>IFERROR(__xludf.DUMMYFUNCTION("""COMPUTED_VALUE"""),"否")</f>
        <v>否</v>
      </c>
      <c r="Q3763" s="30" t="str">
        <f>IFERROR(__xludf.DUMMYFUNCTION("""COMPUTED_VALUE"""),"「婚約破棄されましたが、幸せに暮らしておりますわ！アンソロジーコミック: 8」の単話化作品です。&lt;BR&gt;")</f>
        <v>「婚約破棄されましたが、幸せに暮らしておりますわ！アンソロジーコミック: 8」の単話化作品です。&lt;BR&gt;</v>
      </c>
      <c r="R3763" s="22"/>
      <c r="S3763" s="22" t="str">
        <f>IFERROR(__xludf.DUMMYFUNCTION("""COMPUTED_VALUE"""),"20250812_一迅社_「男を愛してしまった」と言って婚約破棄されましたが、それって男装した私ですか！？")</f>
        <v>20250812_一迅社_「男を愛してしまった」と言って婚約破棄されましたが、それって男装した私ですか！？</v>
      </c>
      <c r="T3763" s="22" t="str">
        <f>IFERROR(__xludf.DUMMYFUNCTION("""COMPUTED_VALUE"""),"格納済み")</f>
        <v>格納済み</v>
      </c>
      <c r="U3763" s="9" t="str">
        <f>IFERROR(__xludf.DUMMYFUNCTION("""COMPUTED_VALUE"""),"(C)橘ミズキ・田井ノエル／一迅社")</f>
        <v>(C)橘ミズキ・田井ノエル／一迅社</v>
      </c>
      <c r="V3763" s="8"/>
      <c r="W3763" s="8"/>
      <c r="X3763" s="8" t="str">
        <f>IFERROR(__xludf.DUMMYFUNCTION("""COMPUTED_VALUE"""),"有")</f>
        <v>有</v>
      </c>
      <c r="Y3763" s="8" t="str">
        <f>IFERROR(__xludf.DUMMYFUNCTION("""COMPUTED_VALUE"""),"P9まで")</f>
        <v>P9まで</v>
      </c>
      <c r="Z3763" s="7"/>
      <c r="AA3763" s="7"/>
      <c r="AB3763" s="7"/>
    </row>
    <row r="3764" ht="15.75" customHeight="1">
      <c r="A3764" s="26">
        <f>IFERROR(__xludf.DUMMYFUNCTION("""COMPUTED_VALUE"""),5691.0)</f>
        <v>5691</v>
      </c>
      <c r="B3764" s="22" t="str">
        <f>IFERROR(__xludf.DUMMYFUNCTION("""COMPUTED_VALUE"""),"確定")</f>
        <v>確定</v>
      </c>
      <c r="C3764" s="28">
        <f>IFERROR(__xludf.DUMMYFUNCTION("""COMPUTED_VALUE"""),45810.0)</f>
        <v>45810</v>
      </c>
      <c r="D3764" s="28">
        <f>IFERROR(__xludf.DUMMYFUNCTION("""COMPUTED_VALUE"""),45882.0)</f>
        <v>45882</v>
      </c>
      <c r="E3764" s="26">
        <f>IFERROR(__xludf.DUMMYFUNCTION("""COMPUTED_VALUE"""),336598.0)</f>
        <v>336598</v>
      </c>
      <c r="F3764" s="22" t="str">
        <f>IFERROR(__xludf.DUMMYFUNCTION("""COMPUTED_VALUE"""),"婚約破棄された男前女騎士を私（※男）が完璧な淑女にしてみせるわ！")</f>
        <v>婚約破棄された男前女騎士を私（※男）が完璧な淑女にしてみせるわ！</v>
      </c>
      <c r="G3764" s="20">
        <f>IFERROR(__xludf.DUMMYFUNCTION("""COMPUTED_VALUE"""),1.0)</f>
        <v>1</v>
      </c>
      <c r="H3764" s="22" t="str">
        <f>IFERROR(__xludf.DUMMYFUNCTION("""COMPUTED_VALUE"""),"白松／原作：風見まつり")</f>
        <v>白松／原作：風見まつり</v>
      </c>
      <c r="I3764" s="22" t="str">
        <f>IFERROR(__xludf.DUMMYFUNCTION("""COMPUTED_VALUE"""),"少女")</f>
        <v>少女</v>
      </c>
      <c r="J3764" s="22"/>
      <c r="K3764" s="22" t="str">
        <f>IFERROR(__xludf.DUMMYFUNCTION("""COMPUTED_VALUE"""),"ZERO-SUMコミックス")</f>
        <v>ZERO-SUMコミックス</v>
      </c>
      <c r="L3764" s="22" t="str">
        <f>IFERROR(__xludf.DUMMYFUNCTION("""COMPUTED_VALUE"""),"一迅社")</f>
        <v>一迅社</v>
      </c>
      <c r="M3764" s="33">
        <f>IFERROR(__xludf.DUMMYFUNCTION("""COMPUTED_VALUE"""),45931.0)</f>
        <v>45931</v>
      </c>
      <c r="N3764" s="33">
        <f>IFERROR(__xludf.DUMMYFUNCTION("""COMPUTED_VALUE"""),45961.0)</f>
        <v>45961</v>
      </c>
      <c r="O3764" s="20"/>
      <c r="P3764" s="32" t="str">
        <f>IFERROR(__xludf.DUMMYFUNCTION("""COMPUTED_VALUE"""),"否")</f>
        <v>否</v>
      </c>
      <c r="Q3764" s="30" t="str">
        <f>IFERROR(__xludf.DUMMYFUNCTION("""COMPUTED_VALUE"""),"「婚約破棄されましたが、幸せに暮らしておりますわ！アンソロジーコミック: 8」の単話化作品です。&lt;BR&gt;")</f>
        <v>「婚約破棄されましたが、幸せに暮らしておりますわ！アンソロジーコミック: 8」の単話化作品です。&lt;BR&gt;</v>
      </c>
      <c r="R3764" s="22"/>
      <c r="S3764" s="22" t="str">
        <f>IFERROR(__xludf.DUMMYFUNCTION("""COMPUTED_VALUE"""),"20250812_一迅社_婚約破棄された男前女騎士を私（※男）が完璧な淑女にしてみせるわ！")</f>
        <v>20250812_一迅社_婚約破棄された男前女騎士を私（※男）が完璧な淑女にしてみせるわ！</v>
      </c>
      <c r="T3764" s="22" t="str">
        <f>IFERROR(__xludf.DUMMYFUNCTION("""COMPUTED_VALUE"""),"格納済み")</f>
        <v>格納済み</v>
      </c>
      <c r="U3764" s="9" t="str">
        <f>IFERROR(__xludf.DUMMYFUNCTION("""COMPUTED_VALUE"""),"(C)白松・風見まつり／一迅社")</f>
        <v>(C)白松・風見まつり／一迅社</v>
      </c>
      <c r="V3764" s="8"/>
      <c r="W3764" s="8"/>
      <c r="X3764" s="8" t="str">
        <f>IFERROR(__xludf.DUMMYFUNCTION("""COMPUTED_VALUE"""),"有")</f>
        <v>有</v>
      </c>
      <c r="Y3764" s="8" t="str">
        <f>IFERROR(__xludf.DUMMYFUNCTION("""COMPUTED_VALUE"""),"P8まで")</f>
        <v>P8まで</v>
      </c>
      <c r="Z3764" s="7"/>
      <c r="AA3764" s="7"/>
      <c r="AB3764" s="7"/>
    </row>
    <row r="3765" ht="15.75" customHeight="1">
      <c r="A3765" s="26">
        <f>IFERROR(__xludf.DUMMYFUNCTION("""COMPUTED_VALUE"""),5692.0)</f>
        <v>5692</v>
      </c>
      <c r="B3765" s="22" t="str">
        <f>IFERROR(__xludf.DUMMYFUNCTION("""COMPUTED_VALUE"""),"確定")</f>
        <v>確定</v>
      </c>
      <c r="C3765" s="28">
        <f>IFERROR(__xludf.DUMMYFUNCTION("""COMPUTED_VALUE"""),45810.0)</f>
        <v>45810</v>
      </c>
      <c r="D3765" s="28">
        <f>IFERROR(__xludf.DUMMYFUNCTION("""COMPUTED_VALUE"""),45882.0)</f>
        <v>45882</v>
      </c>
      <c r="E3765" s="26">
        <f>IFERROR(__xludf.DUMMYFUNCTION("""COMPUTED_VALUE"""),336600.0)</f>
        <v>336600</v>
      </c>
      <c r="F3765" s="22" t="str">
        <f>IFERROR(__xludf.DUMMYFUNCTION("""COMPUTED_VALUE"""),"婚約破棄された公爵令嬢は、星の光に導かれて")</f>
        <v>婚約破棄された公爵令嬢は、星の光に導かれて</v>
      </c>
      <c r="G3765" s="20">
        <f>IFERROR(__xludf.DUMMYFUNCTION("""COMPUTED_VALUE"""),1.0)</f>
        <v>1</v>
      </c>
      <c r="H3765" s="22" t="str">
        <f>IFERROR(__xludf.DUMMYFUNCTION("""COMPUTED_VALUE"""),"如月芳規／原作：彩戸ゆめ")</f>
        <v>如月芳規／原作：彩戸ゆめ</v>
      </c>
      <c r="I3765" s="22" t="str">
        <f>IFERROR(__xludf.DUMMYFUNCTION("""COMPUTED_VALUE"""),"少女")</f>
        <v>少女</v>
      </c>
      <c r="J3765" s="22"/>
      <c r="K3765" s="22" t="str">
        <f>IFERROR(__xludf.DUMMYFUNCTION("""COMPUTED_VALUE"""),"ZERO-SUMコミックス")</f>
        <v>ZERO-SUMコミックス</v>
      </c>
      <c r="L3765" s="22" t="str">
        <f>IFERROR(__xludf.DUMMYFUNCTION("""COMPUTED_VALUE"""),"一迅社")</f>
        <v>一迅社</v>
      </c>
      <c r="M3765" s="33">
        <f>IFERROR(__xludf.DUMMYFUNCTION("""COMPUTED_VALUE"""),45931.0)</f>
        <v>45931</v>
      </c>
      <c r="N3765" s="33">
        <f>IFERROR(__xludf.DUMMYFUNCTION("""COMPUTED_VALUE"""),45961.0)</f>
        <v>45961</v>
      </c>
      <c r="O3765" s="20"/>
      <c r="P3765" s="32" t="str">
        <f>IFERROR(__xludf.DUMMYFUNCTION("""COMPUTED_VALUE"""),"否")</f>
        <v>否</v>
      </c>
      <c r="Q3765" s="30" t="str">
        <f>IFERROR(__xludf.DUMMYFUNCTION("""COMPUTED_VALUE"""),"「婚約破棄されましたが、幸せに暮らしておりますわ！アンソロジーコミック: 8」の単話化作品です。&lt;BR&gt;")</f>
        <v>「婚約破棄されましたが、幸せに暮らしておりますわ！アンソロジーコミック: 8」の単話化作品です。&lt;BR&gt;</v>
      </c>
      <c r="R3765" s="22"/>
      <c r="S3765" s="22" t="str">
        <f>IFERROR(__xludf.DUMMYFUNCTION("""COMPUTED_VALUE"""),"20250812_一迅社_婚約破棄された公爵令嬢は、星の光に導かれて")</f>
        <v>20250812_一迅社_婚約破棄された公爵令嬢は、星の光に導かれて</v>
      </c>
      <c r="T3765" s="22" t="str">
        <f>IFERROR(__xludf.DUMMYFUNCTION("""COMPUTED_VALUE"""),"格納済み")</f>
        <v>格納済み</v>
      </c>
      <c r="U3765" s="9" t="str">
        <f>IFERROR(__xludf.DUMMYFUNCTION("""COMPUTED_VALUE"""),"(C)如月芳規・彩戸ゆめ／一迅社")</f>
        <v>(C)如月芳規・彩戸ゆめ／一迅社</v>
      </c>
      <c r="V3765" s="8"/>
      <c r="W3765" s="8"/>
      <c r="X3765" s="8" t="str">
        <f>IFERROR(__xludf.DUMMYFUNCTION("""COMPUTED_VALUE"""),"有")</f>
        <v>有</v>
      </c>
      <c r="Y3765" s="8" t="str">
        <f>IFERROR(__xludf.DUMMYFUNCTION("""COMPUTED_VALUE"""),"P11まで")</f>
        <v>P11まで</v>
      </c>
      <c r="Z3765" s="7"/>
      <c r="AA3765" s="7"/>
      <c r="AB3765" s="7"/>
    </row>
    <row r="3766" ht="15.75" customHeight="1">
      <c r="A3766" s="26">
        <f>IFERROR(__xludf.DUMMYFUNCTION("""COMPUTED_VALUE"""),5719.0)</f>
        <v>5719</v>
      </c>
      <c r="B3766" s="22" t="str">
        <f>IFERROR(__xludf.DUMMYFUNCTION("""COMPUTED_VALUE"""),"確定")</f>
        <v>確定</v>
      </c>
      <c r="C3766" s="28">
        <f>IFERROR(__xludf.DUMMYFUNCTION("""COMPUTED_VALUE"""),45811.0)</f>
        <v>45811</v>
      </c>
      <c r="D3766" s="28">
        <f>IFERROR(__xludf.DUMMYFUNCTION("""COMPUTED_VALUE"""),45882.0)</f>
        <v>45882</v>
      </c>
      <c r="E3766" s="26">
        <f>IFERROR(__xludf.DUMMYFUNCTION("""COMPUTED_VALUE"""),330976.0)</f>
        <v>330976</v>
      </c>
      <c r="F3766" s="22" t="str">
        <f>IFERROR(__xludf.DUMMYFUNCTION("""COMPUTED_VALUE"""),"絶頂開発クリニック～マッサージから始まる性感治療～【フルカラー】")</f>
        <v>絶頂開発クリニック～マッサージから始まる性感治療～【フルカラー】</v>
      </c>
      <c r="G3766" s="20" t="str">
        <f>IFERROR(__xludf.DUMMYFUNCTION("""COMPUTED_VALUE"""),"1～3")</f>
        <v>1～3</v>
      </c>
      <c r="H3766" s="22" t="str">
        <f>IFERROR(__xludf.DUMMYFUNCTION("""COMPUTED_VALUE"""),"カニトマト")</f>
        <v>カニトマト</v>
      </c>
      <c r="I3766" s="22" t="str">
        <f>IFERROR(__xludf.DUMMYFUNCTION("""COMPUTED_VALUE"""),"アダルト")</f>
        <v>アダルト</v>
      </c>
      <c r="J3766" s="22"/>
      <c r="K3766" s="22" t="str">
        <f>IFERROR(__xludf.DUMMYFUNCTION("""COMPUTED_VALUE"""),"カゲキヤコミック")</f>
        <v>カゲキヤコミック</v>
      </c>
      <c r="L3766" s="22" t="str">
        <f>IFERROR(__xludf.DUMMYFUNCTION("""COMPUTED_VALUE"""),"DEEPER-ZERO")</f>
        <v>DEEPER-ZERO</v>
      </c>
      <c r="M3766" s="33">
        <f>IFERROR(__xludf.DUMMYFUNCTION("""COMPUTED_VALUE"""),45877.0)</f>
        <v>45877</v>
      </c>
      <c r="N3766" s="33">
        <f>IFERROR(__xludf.DUMMYFUNCTION("""COMPUTED_VALUE"""),45939.0)</f>
        <v>45939</v>
      </c>
      <c r="O3766" s="20"/>
      <c r="P3766" s="32" t="str">
        <f>IFERROR(__xludf.DUMMYFUNCTION("""COMPUTED_VALUE"""),"可")</f>
        <v>可</v>
      </c>
      <c r="Q3766" s="30" t="str">
        <f>IFERROR(__xludf.DUMMYFUNCTION("""COMPUTED_VALUE"""),"初回配信話数を変更いたしました。6月5日&lt;BR&gt;&lt;BR&gt;変更前&lt;BR&gt;１～２巻&lt;BR&gt;&lt;BR&gt;変更後&lt;BR&gt;１～３巻&lt;BR&gt;&lt;BR&gt;")</f>
        <v>初回配信話数を変更いたしました。6月5日&lt;BR&gt;&lt;BR&gt;変更前&lt;BR&gt;１～２巻&lt;BR&gt;&lt;BR&gt;変更後&lt;BR&gt;１～３巻&lt;BR&gt;&lt;BR&gt;</v>
      </c>
      <c r="R3766" s="22" t="str">
        <f>IFERROR(__xludf.DUMMYFUNCTION("""COMPUTED_VALUE"""),"コミットOK")</f>
        <v>コミットOK</v>
      </c>
      <c r="S3766" s="22" t="str">
        <f>IFERROR(__xludf.DUMMYFUNCTION("""COMPUTED_VALUE"""),"20250813_CLLENN_絶頂開発クリニック～マッサージから始まる性感治療～【フルカラー】")</f>
        <v>20250813_CLLENN_絶頂開発クリニック～マッサージから始まる性感治療～【フルカラー】</v>
      </c>
      <c r="T3766" s="22" t="str">
        <f>IFERROR(__xludf.DUMMYFUNCTION("""COMPUTED_VALUE"""),"格納済み")</f>
        <v>格納済み</v>
      </c>
      <c r="U3766" s="9" t="str">
        <f>IFERROR(__xludf.DUMMYFUNCTION("""COMPUTED_VALUE"""),"Ⓒカニトマト/DEEPER-ZERO")</f>
        <v>Ⓒカニトマト/DEEPER-ZERO</v>
      </c>
      <c r="V3766" s="8"/>
      <c r="W3766" s="8"/>
      <c r="X3766" s="8" t="str">
        <f>IFERROR(__xludf.DUMMYFUNCTION("""COMPUTED_VALUE"""),"有")</f>
        <v>有</v>
      </c>
      <c r="Y3766" s="8" t="str">
        <f>IFERROR(__xludf.DUMMYFUNCTION("""COMPUTED_VALUE"""),"P12まで")</f>
        <v>P12まで</v>
      </c>
      <c r="Z3766" s="7"/>
      <c r="AA3766" s="7"/>
      <c r="AB3766" s="7"/>
    </row>
    <row r="3767" ht="15.75" customHeight="1">
      <c r="A3767" s="26">
        <f>IFERROR(__xludf.DUMMYFUNCTION("""COMPUTED_VALUE"""),5747.0)</f>
        <v>5747</v>
      </c>
      <c r="B3767" s="22" t="str">
        <f>IFERROR(__xludf.DUMMYFUNCTION("""COMPUTED_VALUE"""),"確定")</f>
        <v>確定</v>
      </c>
      <c r="C3767" s="28">
        <f>IFERROR(__xludf.DUMMYFUNCTION("""COMPUTED_VALUE"""),45814.0)</f>
        <v>45814</v>
      </c>
      <c r="D3767" s="28">
        <f>IFERROR(__xludf.DUMMYFUNCTION("""COMPUTED_VALUE"""),45877.0)</f>
        <v>45877</v>
      </c>
      <c r="E3767" s="26">
        <f>IFERROR(__xludf.DUMMYFUNCTION("""COMPUTED_VALUE"""),334389.0)</f>
        <v>334389</v>
      </c>
      <c r="F3767" s="22" t="str">
        <f>IFERROR(__xludf.DUMMYFUNCTION("""COMPUTED_VALUE"""),"さみしいマモノと偽勇者")</f>
        <v>さみしいマモノと偽勇者</v>
      </c>
      <c r="G3767" s="20" t="str">
        <f>IFERROR(__xludf.DUMMYFUNCTION("""COMPUTED_VALUE"""),"1～3")</f>
        <v>1～3</v>
      </c>
      <c r="H3767" s="22" t="str">
        <f>IFERROR(__xludf.DUMMYFUNCTION("""COMPUTED_VALUE"""),"鹿島こたる")</f>
        <v>鹿島こたる</v>
      </c>
      <c r="I3767" s="22" t="str">
        <f>IFERROR(__xludf.DUMMYFUNCTION("""COMPUTED_VALUE"""),"BL")</f>
        <v>BL</v>
      </c>
      <c r="J3767" s="22"/>
      <c r="K3767" s="22" t="str">
        <f>IFERROR(__xludf.DUMMYFUNCTION("""COMPUTED_VALUE"""),"69ロッキュー")</f>
        <v>69ロッキュー</v>
      </c>
      <c r="L3767" s="22" t="str">
        <f>IFERROR(__xludf.DUMMYFUNCTION("""COMPUTED_VALUE"""),"アイプロダクション")</f>
        <v>アイプロダクション</v>
      </c>
      <c r="M3767" s="33">
        <f>IFERROR(__xludf.DUMMYFUNCTION("""COMPUTED_VALUE"""),45912.0)</f>
        <v>45912</v>
      </c>
      <c r="N3767" s="33">
        <f>IFERROR(__xludf.DUMMYFUNCTION("""COMPUTED_VALUE"""),45972.0)</f>
        <v>45972</v>
      </c>
      <c r="O3767" s="20"/>
      <c r="P3767" s="32" t="str">
        <f>IFERROR(__xludf.DUMMYFUNCTION("""COMPUTED_VALUE"""),"可")</f>
        <v>可</v>
      </c>
      <c r="Q3767" s="30" t="str">
        <f>IFERROR(__xludf.DUMMYFUNCTION("""COMPUTED_VALUE"""),"■著者&lt;BR&gt;　鹿島こたる&lt;BR&gt;　※弊社出版過去作品『ゆめみるヴァンパイア』 https://www.cmoa.jp/title/217203/&lt;BR&gt;　※著者他作品：https://www.cmoa.jp/search/author/81756/&lt;BR&gt;&lt;BR&gt;■あらすじ・キーワード&lt;BR&gt;旅先で「勇者」や「僧侶」を騙っては村人から謝礼金を受け取り、ハッタリ人生を謳歌しているペテン師のニルス。&lt;BR&gt;ある日、魔物に困っているという村に辿り着いたニルスは、いつもの手口で「勇者のこの俺が魔物を退治してやろ"&amp;"う」と申し出、喜んだ村人からの歓待を受ける。&lt;BR&gt;ところが魔物の話を聞くうちに、とても自分が敵う相手ではないと悟ったニルスは、こっそり逃亡を企てるもタイミングを逃し、&lt;BR&gt;あれよあれよの間に、魔物の要求する花嫁の身代わりとして、魔物に捧げられることになってしまった――！&lt;BR&gt;こうなったら戦うしかないと腹を括ったニルスだったが、巨大な魔物にまったく歯が立たない。&lt;BR&gt;ところが魔物はニルスに好意を持ったようで、「本当の花嫁にする」と言い出すのだった。&lt;BR&gt;そして新婚初夜。こんな巨体に挿入されたら、俺"&amp;"のカラダは壊れちまう…！なら自分が抱く側になるしかない、と魔物を抱くことを決めたニルス。&lt;BR&gt;ところが意外にも、ニルスに抱かれる魔物が見せた表情は、可愛くトロけたエッチなもので……!?&lt;BR&gt;ペテン師勇者のニルスと、ひとりぼっちで生きてきた謎の魔物・グリューによる、人外ファンタジーBL！&lt;BR&gt;")</f>
        <v>■著者&lt;BR&gt;　鹿島こたる&lt;BR&gt;　※弊社出版過去作品『ゆめみるヴァンパイア』 https://www.cmoa.jp/title/217203/&lt;BR&gt;　※著者他作品：https://www.cmoa.jp/search/author/81756/&lt;BR&gt;&lt;BR&gt;■あらすじ・キーワード&lt;BR&gt;旅先で「勇者」や「僧侶」を騙っては村人から謝礼金を受け取り、ハッタリ人生を謳歌しているペテン師のニルス。&lt;BR&gt;ある日、魔物に困っているという村に辿り着いたニルスは、いつもの手口で「勇者のこの俺が魔物を退治してやろう」と申し出、喜んだ村人からの歓待を受ける。&lt;BR&gt;ところが魔物の話を聞くうちに、とても自分が敵う相手ではないと悟ったニルスは、こっそり逃亡を企てるもタイミングを逃し、&lt;BR&gt;あれよあれよの間に、魔物の要求する花嫁の身代わりとして、魔物に捧げられることになってしまった――！&lt;BR&gt;こうなったら戦うしかないと腹を括ったニルスだったが、巨大な魔物にまったく歯が立たない。&lt;BR&gt;ところが魔物はニルスに好意を持ったようで、「本当の花嫁にする」と言い出すのだった。&lt;BR&gt;そして新婚初夜。こんな巨体に挿入されたら、俺のカラダは壊れちまう…！なら自分が抱く側になるしかない、と魔物を抱くことを決めたニルス。&lt;BR&gt;ところが意外にも、ニルスに抱かれる魔物が見せた表情は、可愛くトロけたエッチなもので……!?&lt;BR&gt;ペテン師勇者のニルスと、ひとりぼっちで生きてきた謎の魔物・グリューによる、人外ファンタジーBL！&lt;BR&gt;</v>
      </c>
      <c r="R3767" s="22" t="str">
        <f>IFERROR(__xludf.DUMMYFUNCTION("""COMPUTED_VALUE"""),"コミットOK")</f>
        <v>コミットOK</v>
      </c>
      <c r="S3767" s="22" t="str">
        <f>IFERROR(__xludf.DUMMYFUNCTION("""COMPUTED_VALUE"""),"20250807_アイプロダクション_さみしいマモノと偽勇者")</f>
        <v>20250807_アイプロダクション_さみしいマモノと偽勇者</v>
      </c>
      <c r="T3767" s="22" t="str">
        <f>IFERROR(__xludf.DUMMYFUNCTION("""COMPUTED_VALUE"""),"格納済み")</f>
        <v>格納済み</v>
      </c>
      <c r="U3767" s="9" t="str">
        <f>IFERROR(__xludf.DUMMYFUNCTION("""COMPUTED_VALUE"""),"鹿島こたる/アイプロダクション")</f>
        <v>鹿島こたる/アイプロダクション</v>
      </c>
      <c r="V3767" s="8"/>
      <c r="W3767" s="8"/>
      <c r="X3767" s="8" t="str">
        <f>IFERROR(__xludf.DUMMYFUNCTION("""COMPUTED_VALUE"""),"有")</f>
        <v>有</v>
      </c>
      <c r="Y3767" s="8" t="str">
        <f>IFERROR(__xludf.DUMMYFUNCTION("""COMPUTED_VALUE"""),"2025/9/25まで1巻無料")</f>
        <v>2025/9/25まで1巻無料</v>
      </c>
      <c r="Z3767" s="7"/>
      <c r="AA3767" s="7"/>
      <c r="AB3767" s="7"/>
    </row>
    <row r="3768" ht="15.75" customHeight="1">
      <c r="A3768" s="26">
        <f>IFERROR(__xludf.DUMMYFUNCTION("""COMPUTED_VALUE"""),5818.0)</f>
        <v>5818</v>
      </c>
      <c r="B3768" s="22" t="str">
        <f>IFERROR(__xludf.DUMMYFUNCTION("""COMPUTED_VALUE"""),"確定")</f>
        <v>確定</v>
      </c>
      <c r="C3768" s="28">
        <f>IFERROR(__xludf.DUMMYFUNCTION("""COMPUTED_VALUE"""),45817.0)</f>
        <v>45817</v>
      </c>
      <c r="D3768" s="28">
        <f>IFERROR(__xludf.DUMMYFUNCTION("""COMPUTED_VALUE"""),45883.0)</f>
        <v>45883</v>
      </c>
      <c r="E3768" s="26">
        <f>IFERROR(__xludf.DUMMYFUNCTION("""COMPUTED_VALUE"""),334896.0)</f>
        <v>334896</v>
      </c>
      <c r="F3768" s="22" t="str">
        <f>IFERROR(__xludf.DUMMYFUNCTION("""COMPUTED_VALUE"""),"生まれ変わってやり直させて【マイクロ】")</f>
        <v>生まれ変わってやり直させて【マイクロ】</v>
      </c>
      <c r="G3768" s="20" t="str">
        <f>IFERROR(__xludf.DUMMYFUNCTION("""COMPUTED_VALUE"""),"1～5")</f>
        <v>1～5</v>
      </c>
      <c r="H3768" s="22" t="str">
        <f>IFERROR(__xludf.DUMMYFUNCTION("""COMPUTED_VALUE"""),"七尾美緒")</f>
        <v>七尾美緒</v>
      </c>
      <c r="I3768" s="22" t="str">
        <f>IFERROR(__xludf.DUMMYFUNCTION("""COMPUTED_VALUE"""),"女性")</f>
        <v>女性</v>
      </c>
      <c r="J3768" s="22"/>
      <c r="K3768" s="22"/>
      <c r="L3768" s="22" t="str">
        <f>IFERROR(__xludf.DUMMYFUNCTION("""COMPUTED_VALUE"""),"小学館")</f>
        <v>小学館</v>
      </c>
      <c r="M3768" s="33">
        <f>IFERROR(__xludf.DUMMYFUNCTION("""COMPUTED_VALUE"""),45905.0)</f>
        <v>45905</v>
      </c>
      <c r="N3768" s="33">
        <f>IFERROR(__xludf.DUMMYFUNCTION("""COMPUTED_VALUE"""),45995.70833333333)</f>
        <v>45995.70833</v>
      </c>
      <c r="O3768" s="20"/>
      <c r="P3768" s="32" t="str">
        <f>IFERROR(__xludf.DUMMYFUNCTION("""COMPUTED_VALUE"""),"否")</f>
        <v>否</v>
      </c>
      <c r="Q3768" s="30" t="str">
        <f>IFERROR(__xludf.DUMMYFUNCTION("""COMPUTED_VALUE"""),"七尾美緒先生作品のため出稿コミット。")</f>
        <v>七尾美緒先生作品のため出稿コミット。</v>
      </c>
      <c r="R3768" s="22"/>
      <c r="S3768" s="22" t="str">
        <f>IFERROR(__xludf.DUMMYFUNCTION("""COMPUTED_VALUE"""),"20250814_小学館_生まれ変わってやり直させて【マイクロ】")</f>
        <v>20250814_小学館_生まれ変わってやり直させて【マイクロ】</v>
      </c>
      <c r="T3768" s="22" t="str">
        <f>IFERROR(__xludf.DUMMYFUNCTION("""COMPUTED_VALUE"""),"格納済み")</f>
        <v>格納済み</v>
      </c>
      <c r="U3768" s="9" t="str">
        <f>IFERROR(__xludf.DUMMYFUNCTION("""COMPUTED_VALUE"""),"Ⓒ七尾美緒 / 小学館")</f>
        <v>Ⓒ七尾美緒 / 小学館</v>
      </c>
      <c r="V3768" s="8"/>
      <c r="W3768" s="8"/>
      <c r="X3768" s="8" t="str">
        <f>IFERROR(__xludf.DUMMYFUNCTION("""COMPUTED_VALUE"""),"有")</f>
        <v>有</v>
      </c>
      <c r="Y3768" s="8" t="str">
        <f>IFERROR(__xludf.DUMMYFUNCTION("""COMPUTED_VALUE"""),"2025/11/4まで1巻無料")</f>
        <v>2025/11/4まで1巻無料</v>
      </c>
      <c r="Z3768" s="7"/>
      <c r="AA3768" s="7"/>
      <c r="AB3768" s="7"/>
    </row>
    <row r="3769" ht="15.75" customHeight="1">
      <c r="A3769" s="26">
        <f>IFERROR(__xludf.DUMMYFUNCTION("""COMPUTED_VALUE"""),5824.0)</f>
        <v>5824</v>
      </c>
      <c r="B3769" s="22" t="str">
        <f>IFERROR(__xludf.DUMMYFUNCTION("""COMPUTED_VALUE"""),"確定")</f>
        <v>確定</v>
      </c>
      <c r="C3769" s="28">
        <f>IFERROR(__xludf.DUMMYFUNCTION("""COMPUTED_VALUE"""),45818.0)</f>
        <v>45818</v>
      </c>
      <c r="D3769" s="28">
        <f>IFERROR(__xludf.DUMMYFUNCTION("""COMPUTED_VALUE"""),45876.0)</f>
        <v>45876</v>
      </c>
      <c r="E3769" s="26">
        <f>IFERROR(__xludf.DUMMYFUNCTION("""COMPUTED_VALUE"""),332467.0)</f>
        <v>332467</v>
      </c>
      <c r="F3769" s="22" t="str">
        <f>IFERROR(__xludf.DUMMYFUNCTION("""COMPUTED_VALUE"""),"【単話版】花神遊戯伝 ～異世界で溺愛と思いきや、厄災だらけで前途多難!?～")</f>
        <v>【単話版】花神遊戯伝 ～異世界で溺愛と思いきや、厄災だらけで前途多難!?～</v>
      </c>
      <c r="G3769" s="20" t="str">
        <f>IFERROR(__xludf.DUMMYFUNCTION("""COMPUTED_VALUE"""),"1～9")</f>
        <v>1～9</v>
      </c>
      <c r="H3769" s="22" t="str">
        <f>IFERROR(__xludf.DUMMYFUNCTION("""COMPUTED_VALUE"""),"糸森環,鳴海ゆき,片倉みっき")</f>
        <v>糸森環,鳴海ゆき,片倉みっき</v>
      </c>
      <c r="I3769" s="22" t="str">
        <f>IFERROR(__xludf.DUMMYFUNCTION("""COMPUTED_VALUE"""),"女性")</f>
        <v>女性</v>
      </c>
      <c r="J3769" s="22"/>
      <c r="K3769" s="22"/>
      <c r="L3769" s="22" t="str">
        <f>IFERROR(__xludf.DUMMYFUNCTION("""COMPUTED_VALUE"""),"新潮社")</f>
        <v>新潮社</v>
      </c>
      <c r="M3769" s="33">
        <f>IFERROR(__xludf.DUMMYFUNCTION("""COMPUTED_VALUE"""),45894.0)</f>
        <v>45894</v>
      </c>
      <c r="N3769" s="33">
        <f>IFERROR(__xludf.DUMMYFUNCTION("""COMPUTED_VALUE"""),46021.0)</f>
        <v>46021</v>
      </c>
      <c r="O3769" s="20"/>
      <c r="P3769" s="32" t="str">
        <f>IFERROR(__xludf.DUMMYFUNCTION("""COMPUTED_VALUE"""),"可")</f>
        <v>可</v>
      </c>
      <c r="Q3769" s="30" t="str">
        <f>IFERROR(__xludf.DUMMYFUNCTION("""COMPUTED_VALUE"""),"▼配信スケジュール&lt;BR&gt;・8/25：1～8話＋番外編1話&lt;BR&gt;　※番外編データは準備が遅れており、格納してません&lt;BR&gt;・9/25：9話")</f>
        <v>▼配信スケジュール&lt;BR&gt;・8/25：1～8話＋番外編1話&lt;BR&gt;　※番外編データは準備が遅れており、格納してません&lt;BR&gt;・9/25：9話</v>
      </c>
      <c r="R3769" s="22" t="str">
        <f>IFERROR(__xludf.DUMMYFUNCTION("""COMPUTED_VALUE"""),"コミットOK")</f>
        <v>コミットOK</v>
      </c>
      <c r="S3769" s="22" t="str">
        <f>IFERROR(__xludf.DUMMYFUNCTION("""COMPUTED_VALUE"""),"20250805_新潮社_花神遊戯伝　よろしく遊べ、この異世界")</f>
        <v>20250805_新潮社_花神遊戯伝　よろしく遊べ、この異世界</v>
      </c>
      <c r="T3769" s="22" t="str">
        <f>IFERROR(__xludf.DUMMYFUNCTION("""COMPUTED_VALUE"""),"格納済み")</f>
        <v>格納済み</v>
      </c>
      <c r="U3769" s="9" t="str">
        <f>IFERROR(__xludf.DUMMYFUNCTION("""COMPUTED_VALUE"""),"Ⓒ糸森環 片倉みっき 鳴海ゆき／新潮社")</f>
        <v>Ⓒ糸森環 片倉みっき 鳴海ゆき／新潮社</v>
      </c>
      <c r="V3769" s="8"/>
      <c r="W3769" s="8"/>
      <c r="X3769" s="8" t="str">
        <f>IFERROR(__xludf.DUMMYFUNCTION("""COMPUTED_VALUE"""),"有")</f>
        <v>有</v>
      </c>
      <c r="Y3769" s="8" t="str">
        <f>IFERROR(__xludf.DUMMYFUNCTION("""COMPUTED_VALUE"""),"2025/9/7まで1～2巻無料")</f>
        <v>2025/9/7まで1～2巻無料</v>
      </c>
      <c r="Z3769" s="7"/>
      <c r="AA3769" s="7"/>
      <c r="AB3769" s="7"/>
    </row>
    <row r="3770" ht="15.75" customHeight="1">
      <c r="A3770" s="26">
        <f>IFERROR(__xludf.DUMMYFUNCTION("""COMPUTED_VALUE"""),5859.0)</f>
        <v>5859</v>
      </c>
      <c r="B3770" s="22" t="str">
        <f>IFERROR(__xludf.DUMMYFUNCTION("""COMPUTED_VALUE"""),"確定")</f>
        <v>確定</v>
      </c>
      <c r="C3770" s="28">
        <f>IFERROR(__xludf.DUMMYFUNCTION("""COMPUTED_VALUE"""),45824.0)</f>
        <v>45824</v>
      </c>
      <c r="D3770" s="28">
        <f>IFERROR(__xludf.DUMMYFUNCTION("""COMPUTED_VALUE"""),45882.0)</f>
        <v>45882</v>
      </c>
      <c r="E3770" s="26">
        <f>IFERROR(__xludf.DUMMYFUNCTION("""COMPUTED_VALUE"""),335960.0)</f>
        <v>335960</v>
      </c>
      <c r="F3770" s="22" t="str">
        <f>IFERROR(__xludf.DUMMYFUNCTION("""COMPUTED_VALUE"""),"余命わずかな悪役を救わずに旅立ちます【タテヨミ】")</f>
        <v>余命わずかな悪役を救わずに旅立ちます【タテヨミ】</v>
      </c>
      <c r="G3770" s="20" t="str">
        <f>IFERROR(__xludf.DUMMYFUNCTION("""COMPUTED_VALUE"""),"1～25")</f>
        <v>1～25</v>
      </c>
      <c r="H3770" s="22" t="str">
        <f>IFERROR(__xludf.DUMMYFUNCTION("""COMPUTED_VALUE"""),"Relight Studio|Mojojojo|Bluemountainsoft.Inc|KENAZ")</f>
        <v>Relight Studio|Mojojojo|Bluemountainsoft.Inc|KENAZ</v>
      </c>
      <c r="I3770" s="22" t="str">
        <f>IFERROR(__xludf.DUMMYFUNCTION("""COMPUTED_VALUE"""),"少女")</f>
        <v>少女</v>
      </c>
      <c r="J3770" s="22"/>
      <c r="K3770" s="22"/>
      <c r="L3770" s="22" t="str">
        <f>IFERROR(__xludf.DUMMYFUNCTION("""COMPUTED_VALUE"""),"weavin")</f>
        <v>weavin</v>
      </c>
      <c r="M3770" s="33">
        <f>IFERROR(__xludf.DUMMYFUNCTION("""COMPUTED_VALUE"""),45912.0)</f>
        <v>45912</v>
      </c>
      <c r="N3770" s="33">
        <f>IFERROR(__xludf.DUMMYFUNCTION("""COMPUTED_VALUE"""),46009.0)</f>
        <v>46009</v>
      </c>
      <c r="O3770" s="20"/>
      <c r="P3770" s="32" t="str">
        <f>IFERROR(__xludf.DUMMYFUNCTION("""COMPUTED_VALUE"""),"否")</f>
        <v>否</v>
      </c>
      <c r="Q3770" s="30" t="str">
        <f>IFERROR(__xludf.DUMMYFUNCTION("""COMPUTED_VALUE"""),"・dブックと二社先行です&lt;BR&gt;・配信時のキャンペーンは1～15巻無料まで可能です（15巻までの希望の範囲でキャンペーンいただけます）&lt;BR&gt;15話までの素材で広告制作お願いいいたします。&lt;BR&gt;")</f>
        <v>・dブックと二社先行です&lt;BR&gt;・配信時のキャンペーンは1～15巻無料まで可能です（15巻までの希望の範囲でキャンペーンいただけます）&lt;BR&gt;15話までの素材で広告制作お願いいいたします。&lt;BR&gt;</v>
      </c>
      <c r="R3770" s="22" t="str">
        <f>IFERROR(__xludf.DUMMYFUNCTION("""COMPUTED_VALUE"""),"コミットOK")</f>
        <v>コミットOK</v>
      </c>
      <c r="S3770" s="22" t="str">
        <f>IFERROR(__xludf.DUMMYFUNCTION("""COMPUTED_VALUE"""),"20250808_weavin_余命わずかな悪役を救わずに旅立ちます")</f>
        <v>20250808_weavin_余命わずかな悪役を救わずに旅立ちます</v>
      </c>
      <c r="T3770" s="22" t="str">
        <f>IFERROR(__xludf.DUMMYFUNCTION("""COMPUTED_VALUE"""),"格納済み")</f>
        <v>格納済み</v>
      </c>
      <c r="U3770" s="9" t="str">
        <f>IFERROR(__xludf.DUMMYFUNCTION("""COMPUTED_VALUE"""),"(C)Relight Studio, Mojojojo／KENAZ／weavin")</f>
        <v>(C)Relight Studio, Mojojojo／KENAZ／weavin</v>
      </c>
      <c r="V3770" s="8"/>
      <c r="W3770" s="8"/>
      <c r="X3770" s="8" t="str">
        <f>IFERROR(__xludf.DUMMYFUNCTION("""COMPUTED_VALUE"""),"有")</f>
        <v>有</v>
      </c>
      <c r="Y3770" s="8" t="str">
        <f>IFERROR(__xludf.DUMMYFUNCTION("""COMPUTED_VALUE"""),"1~7巻無料")</f>
        <v>1~7巻無料</v>
      </c>
      <c r="Z3770" s="7"/>
      <c r="AA3770" s="7"/>
      <c r="AB3770" s="7"/>
    </row>
    <row r="3771" ht="15.75" customHeight="1">
      <c r="A3771" s="26">
        <f>IFERROR(__xludf.DUMMYFUNCTION("""COMPUTED_VALUE"""),5872.0)</f>
        <v>5872</v>
      </c>
      <c r="B3771" s="22" t="str">
        <f>IFERROR(__xludf.DUMMYFUNCTION("""COMPUTED_VALUE"""),"確定")</f>
        <v>確定</v>
      </c>
      <c r="C3771" s="28">
        <f>IFERROR(__xludf.DUMMYFUNCTION("""COMPUTED_VALUE"""),45826.0)</f>
        <v>45826</v>
      </c>
      <c r="D3771" s="28">
        <f>IFERROR(__xludf.DUMMYFUNCTION("""COMPUTED_VALUE"""),45877.0)</f>
        <v>45877</v>
      </c>
      <c r="E3771" s="26">
        <f>IFERROR(__xludf.DUMMYFUNCTION("""COMPUTED_VALUE"""),332929.0)</f>
        <v>332929</v>
      </c>
      <c r="F3771" s="22" t="str">
        <f>IFERROR(__xludf.DUMMYFUNCTION("""COMPUTED_VALUE"""),"絡みつく愛でとじこめて。")</f>
        <v>絡みつく愛でとじこめて。</v>
      </c>
      <c r="G3771" s="20" t="str">
        <f>IFERROR(__xludf.DUMMYFUNCTION("""COMPUTED_VALUE"""),"1～2")</f>
        <v>1～2</v>
      </c>
      <c r="H3771" s="22" t="str">
        <f>IFERROR(__xludf.DUMMYFUNCTION("""COMPUTED_VALUE"""),"水沢バスコ")</f>
        <v>水沢バスコ</v>
      </c>
      <c r="I3771" s="22" t="str">
        <f>IFERROR(__xludf.DUMMYFUNCTION("""COMPUTED_VALUE"""),"BL")</f>
        <v>BL</v>
      </c>
      <c r="J3771" s="22"/>
      <c r="K3771" s="22" t="str">
        <f>IFERROR(__xludf.DUMMYFUNCTION("""COMPUTED_VALUE"""),"spicomi")</f>
        <v>spicomi</v>
      </c>
      <c r="L3771" s="22" t="str">
        <f>IFERROR(__xludf.DUMMYFUNCTION("""COMPUTED_VALUE"""),"CLLENN")</f>
        <v>CLLENN</v>
      </c>
      <c r="M3771" s="33">
        <f>IFERROR(__xludf.DUMMYFUNCTION("""COMPUTED_VALUE"""),45899.0)</f>
        <v>45899</v>
      </c>
      <c r="N3771" s="33">
        <f>IFERROR(__xludf.DUMMYFUNCTION("""COMPUTED_VALUE"""),45954.0)</f>
        <v>45954</v>
      </c>
      <c r="O3771" s="20"/>
      <c r="P3771" s="32" t="str">
        <f>IFERROR(__xludf.DUMMYFUNCTION("""COMPUTED_VALUE"""),"可")</f>
        <v>可</v>
      </c>
      <c r="Q3771" s="30"/>
      <c r="R3771" s="22" t="str">
        <f>IFERROR(__xludf.DUMMYFUNCTION("""COMPUTED_VALUE"""),"コミットNG")</f>
        <v>コミットNG</v>
      </c>
      <c r="S3771" s="22" t="str">
        <f>IFERROR(__xludf.DUMMYFUNCTION("""COMPUTED_VALUE"""),"20250808_CLLENN_絡みつく愛でとじこめて。")</f>
        <v>20250808_CLLENN_絡みつく愛でとじこめて。</v>
      </c>
      <c r="T3771" s="22" t="str">
        <f>IFERROR(__xludf.DUMMYFUNCTION("""COMPUTED_VALUE"""),"格納済み")</f>
        <v>格納済み</v>
      </c>
      <c r="U3771" s="9" t="str">
        <f>IFERROR(__xludf.DUMMYFUNCTION("""COMPUTED_VALUE"""),"Ⓒ水沢バスコ/CLLENN")</f>
        <v>Ⓒ水沢バスコ/CLLENN</v>
      </c>
      <c r="V3771" s="8"/>
      <c r="W3771" s="8"/>
      <c r="X3771" s="8" t="str">
        <f>IFERROR(__xludf.DUMMYFUNCTION("""COMPUTED_VALUE"""),"有")</f>
        <v>有</v>
      </c>
      <c r="Y3771" s="8" t="str">
        <f>IFERROR(__xludf.DUMMYFUNCTION("""COMPUTED_VALUE"""),"2025/9/12まで1巻立ち読み増量(P21)")</f>
        <v>2025/9/12まで1巻立ち読み増量(P21)</v>
      </c>
      <c r="Z3771" s="7"/>
      <c r="AA3771" s="7"/>
      <c r="AB3771" s="7"/>
    </row>
    <row r="3772" ht="15.75" customHeight="1">
      <c r="A3772" s="26">
        <f>IFERROR(__xludf.DUMMYFUNCTION("""COMPUTED_VALUE"""),5921.0)</f>
        <v>5921</v>
      </c>
      <c r="B3772" s="22" t="str">
        <f>IFERROR(__xludf.DUMMYFUNCTION("""COMPUTED_VALUE"""),"確定")</f>
        <v>確定</v>
      </c>
      <c r="C3772" s="28">
        <f>IFERROR(__xludf.DUMMYFUNCTION("""COMPUTED_VALUE"""),45832.0)</f>
        <v>45832</v>
      </c>
      <c r="D3772" s="28">
        <f>IFERROR(__xludf.DUMMYFUNCTION("""COMPUTED_VALUE"""),45882.0)</f>
        <v>45882</v>
      </c>
      <c r="E3772" s="26">
        <f>IFERROR(__xludf.DUMMYFUNCTION("""COMPUTED_VALUE"""),336594.0)</f>
        <v>336594</v>
      </c>
      <c r="F3772" s="22" t="str">
        <f>IFERROR(__xludf.DUMMYFUNCTION("""COMPUTED_VALUE"""),"クセつよゲーム？そんなの関係ありません～断罪後の悪役令嬢は余生を静かに暮らしたい～")</f>
        <v>クセつよゲーム？そんなの関係ありません～断罪後の悪役令嬢は余生を静かに暮らしたい～</v>
      </c>
      <c r="G3772" s="20">
        <f>IFERROR(__xludf.DUMMYFUNCTION("""COMPUTED_VALUE"""),1.0)</f>
        <v>1</v>
      </c>
      <c r="H3772" s="22" t="str">
        <f>IFERROR(__xludf.DUMMYFUNCTION("""COMPUTED_VALUE"""),"城鐘ナコ")</f>
        <v>城鐘ナコ</v>
      </c>
      <c r="I3772" s="22" t="str">
        <f>IFERROR(__xludf.DUMMYFUNCTION("""COMPUTED_VALUE"""),"少女")</f>
        <v>少女</v>
      </c>
      <c r="J3772" s="22"/>
      <c r="K3772" s="22" t="str">
        <f>IFERROR(__xludf.DUMMYFUNCTION("""COMPUTED_VALUE"""),"ZERO-SUMコミックス")</f>
        <v>ZERO-SUMコミックス</v>
      </c>
      <c r="L3772" s="22" t="str">
        <f>IFERROR(__xludf.DUMMYFUNCTION("""COMPUTED_VALUE"""),"一迅社")</f>
        <v>一迅社</v>
      </c>
      <c r="M3772" s="33">
        <f>IFERROR(__xludf.DUMMYFUNCTION("""COMPUTED_VALUE"""),45931.0)</f>
        <v>45931</v>
      </c>
      <c r="N3772" s="33">
        <f>IFERROR(__xludf.DUMMYFUNCTION("""COMPUTED_VALUE"""),45961.0)</f>
        <v>45961</v>
      </c>
      <c r="O3772" s="20"/>
      <c r="P3772" s="32" t="str">
        <f>IFERROR(__xludf.DUMMYFUNCTION("""COMPUTED_VALUE"""),"否")</f>
        <v>否</v>
      </c>
      <c r="Q3772" s="30" t="str">
        <f>IFERROR(__xludf.DUMMYFUNCTION("""COMPUTED_VALUE"""),"「悪役令嬢ですが、幸せになってみせますわ！ アンソロジーコミック: 14」掲載作品です")</f>
        <v>「悪役令嬢ですが、幸せになってみせますわ！ アンソロジーコミック: 14」掲載作品です</v>
      </c>
      <c r="R3772" s="22"/>
      <c r="S3772" s="22" t="str">
        <f>IFERROR(__xludf.DUMMYFUNCTION("""COMPUTED_VALUE"""),"20250812_一迅社_クセつよゲーム？そんなの関係ありません～断罪後の悪役令嬢は余生を静かに暮らしたい～")</f>
        <v>20250812_一迅社_クセつよゲーム？そんなの関係ありません～断罪後の悪役令嬢は余生を静かに暮らしたい～</v>
      </c>
      <c r="T3772" s="22" t="str">
        <f>IFERROR(__xludf.DUMMYFUNCTION("""COMPUTED_VALUE"""),"格納済み")</f>
        <v>格納済み</v>
      </c>
      <c r="U3772" s="9" t="str">
        <f>IFERROR(__xludf.DUMMYFUNCTION("""COMPUTED_VALUE"""),"(C)城鐘ナコ／一迅社")</f>
        <v>(C)城鐘ナコ／一迅社</v>
      </c>
      <c r="V3772" s="8"/>
      <c r="W3772" s="8"/>
      <c r="X3772" s="8" t="str">
        <f>IFERROR(__xludf.DUMMYFUNCTION("""COMPUTED_VALUE"""),"有")</f>
        <v>有</v>
      </c>
      <c r="Y3772" s="8" t="str">
        <f>IFERROR(__xludf.DUMMYFUNCTION("""COMPUTED_VALUE"""),"P7まで")</f>
        <v>P7まで</v>
      </c>
      <c r="Z3772" s="7"/>
      <c r="AA3772" s="7"/>
      <c r="AB3772" s="7"/>
    </row>
    <row r="3773" ht="15.75" customHeight="1">
      <c r="A3773" s="26">
        <f>IFERROR(__xludf.DUMMYFUNCTION("""COMPUTED_VALUE"""),5922.0)</f>
        <v>5922</v>
      </c>
      <c r="B3773" s="22" t="str">
        <f>IFERROR(__xludf.DUMMYFUNCTION("""COMPUTED_VALUE"""),"確定")</f>
        <v>確定</v>
      </c>
      <c r="C3773" s="28">
        <f>IFERROR(__xludf.DUMMYFUNCTION("""COMPUTED_VALUE"""),45832.0)</f>
        <v>45832</v>
      </c>
      <c r="D3773" s="28">
        <f>IFERROR(__xludf.DUMMYFUNCTION("""COMPUTED_VALUE"""),45882.0)</f>
        <v>45882</v>
      </c>
      <c r="E3773" s="26">
        <f>IFERROR(__xludf.DUMMYFUNCTION("""COMPUTED_VALUE"""),354310.0)</f>
        <v>354310</v>
      </c>
      <c r="F3773" s="22" t="str">
        <f>IFERROR(__xludf.DUMMYFUNCTION("""COMPUTED_VALUE"""),"死神と令嬢　【連載版】")</f>
        <v>死神と令嬢　【連載版】</v>
      </c>
      <c r="G3773" s="20" t="str">
        <f>IFERROR(__xludf.DUMMYFUNCTION("""COMPUTED_VALUE"""),"1～5")</f>
        <v>1～5</v>
      </c>
      <c r="H3773" s="22" t="str">
        <f>IFERROR(__xludf.DUMMYFUNCTION("""COMPUTED_VALUE"""),"漫画：宮本福助　原作：別府マコト")</f>
        <v>漫画：宮本福助　原作：別府マコト</v>
      </c>
      <c r="I3773" s="22" t="str">
        <f>IFERROR(__xludf.DUMMYFUNCTION("""COMPUTED_VALUE"""),"少女")</f>
        <v>少女</v>
      </c>
      <c r="J3773" s="22"/>
      <c r="K3773" s="22" t="str">
        <f>IFERROR(__xludf.DUMMYFUNCTION("""COMPUTED_VALUE"""),"ZERO-SUMコミックス")</f>
        <v>ZERO-SUMコミックス</v>
      </c>
      <c r="L3773" s="22" t="str">
        <f>IFERROR(__xludf.DUMMYFUNCTION("""COMPUTED_VALUE"""),"一迅社")</f>
        <v>一迅社</v>
      </c>
      <c r="M3773" s="33">
        <f>IFERROR(__xludf.DUMMYFUNCTION("""COMPUTED_VALUE"""),46113.0)</f>
        <v>46113</v>
      </c>
      <c r="N3773" s="33">
        <f>IFERROR(__xludf.DUMMYFUNCTION("""COMPUTED_VALUE"""),46265.66666666667)</f>
        <v>46265.66667</v>
      </c>
      <c r="O3773" s="20"/>
      <c r="P3773" s="32" t="str">
        <f>IFERROR(__xludf.DUMMYFUNCTION("""COMPUTED_VALUE"""),"否")</f>
        <v>否</v>
      </c>
      <c r="Q3773" s="30" t="str">
        <f>IFERROR(__xludf.DUMMYFUNCTION("""COMPUTED_VALUE"""),"「悪役令嬢ですが、幸せになってみせますわ！ アンソロジーコミック: 14」掲載作品です")</f>
        <v>「悪役令嬢ですが、幸せになってみせますわ！ アンソロジーコミック: 14」掲載作品です</v>
      </c>
      <c r="R3773" s="22"/>
      <c r="S3773" s="22" t="str">
        <f>IFERROR(__xludf.DUMMYFUNCTION("""COMPUTED_VALUE"""),"20260401_一迅社_死神と令嬢")</f>
        <v>20260401_一迅社_死神と令嬢</v>
      </c>
      <c r="T3773" s="22" t="str">
        <f>IFERROR(__xludf.DUMMYFUNCTION("""COMPUTED_VALUE"""),"格納済み")</f>
        <v>格納済み</v>
      </c>
      <c r="U3773" s="9" t="str">
        <f>IFERROR(__xludf.DUMMYFUNCTION("""COMPUTED_VALUE"""),"(C)宮本福助・別府マコト／一迅社")</f>
        <v>(C)宮本福助・別府マコト／一迅社</v>
      </c>
      <c r="V3773" s="8"/>
      <c r="W3773" s="8"/>
      <c r="X3773" s="8" t="str">
        <f>IFERROR(__xludf.DUMMYFUNCTION("""COMPUTED_VALUE"""),"有")</f>
        <v>有</v>
      </c>
      <c r="Y3773" s="8" t="str">
        <f>IFERROR(__xludf.DUMMYFUNCTION("""COMPUTED_VALUE"""),"2026/5/31まで1巻無料")</f>
        <v>2026/5/31まで1巻無料</v>
      </c>
      <c r="Z3773" s="7"/>
      <c r="AA3773" s="7"/>
      <c r="AB3773" s="7"/>
    </row>
    <row r="3774" ht="15.75" customHeight="1">
      <c r="A3774" s="26">
        <f>IFERROR(__xludf.DUMMYFUNCTION("""COMPUTED_VALUE"""),5923.0)</f>
        <v>5923</v>
      </c>
      <c r="B3774" s="22" t="str">
        <f>IFERROR(__xludf.DUMMYFUNCTION("""COMPUTED_VALUE"""),"確定")</f>
        <v>確定</v>
      </c>
      <c r="C3774" s="28">
        <f>IFERROR(__xludf.DUMMYFUNCTION("""COMPUTED_VALUE"""),45832.0)</f>
        <v>45832</v>
      </c>
      <c r="D3774" s="28">
        <f>IFERROR(__xludf.DUMMYFUNCTION("""COMPUTED_VALUE"""),45882.0)</f>
        <v>45882</v>
      </c>
      <c r="E3774" s="26">
        <f>IFERROR(__xludf.DUMMYFUNCTION("""COMPUTED_VALUE"""),336596.0)</f>
        <v>336596</v>
      </c>
      <c r="F3774" s="22" t="str">
        <f>IFERROR(__xludf.DUMMYFUNCTION("""COMPUTED_VALUE"""),"傍若無人王子をヨシヨシしてたら、どこに出しても恥ずかしくないヤンデレになりました。")</f>
        <v>傍若無人王子をヨシヨシしてたら、どこに出しても恥ずかしくないヤンデレになりました。</v>
      </c>
      <c r="G3774" s="20">
        <f>IFERROR(__xludf.DUMMYFUNCTION("""COMPUTED_VALUE"""),1.0)</f>
        <v>1</v>
      </c>
      <c r="H3774" s="22" t="str">
        <f>IFERROR(__xludf.DUMMYFUNCTION("""COMPUTED_VALUE"""),"漫画：八坂アキヲ　原作：忍丸")</f>
        <v>漫画：八坂アキヲ　原作：忍丸</v>
      </c>
      <c r="I3774" s="22" t="str">
        <f>IFERROR(__xludf.DUMMYFUNCTION("""COMPUTED_VALUE"""),"少女")</f>
        <v>少女</v>
      </c>
      <c r="J3774" s="22"/>
      <c r="K3774" s="22" t="str">
        <f>IFERROR(__xludf.DUMMYFUNCTION("""COMPUTED_VALUE"""),"ZERO-SUMコミックス")</f>
        <v>ZERO-SUMコミックス</v>
      </c>
      <c r="L3774" s="22" t="str">
        <f>IFERROR(__xludf.DUMMYFUNCTION("""COMPUTED_VALUE"""),"一迅社")</f>
        <v>一迅社</v>
      </c>
      <c r="M3774" s="33">
        <f>IFERROR(__xludf.DUMMYFUNCTION("""COMPUTED_VALUE"""),45931.0)</f>
        <v>45931</v>
      </c>
      <c r="N3774" s="33">
        <f>IFERROR(__xludf.DUMMYFUNCTION("""COMPUTED_VALUE"""),46265.66666666667)</f>
        <v>46265.66667</v>
      </c>
      <c r="O3774" s="20"/>
      <c r="P3774" s="32" t="str">
        <f>IFERROR(__xludf.DUMMYFUNCTION("""COMPUTED_VALUE"""),"否")</f>
        <v>否</v>
      </c>
      <c r="Q3774" s="30" t="str">
        <f>IFERROR(__xludf.DUMMYFUNCTION("""COMPUTED_VALUE"""),"「悪役令嬢ですが、幸せになってみせますわ！ アンソロジーコミック: 14」掲載作品です")</f>
        <v>「悪役令嬢ですが、幸せになってみせますわ！ アンソロジーコミック: 14」掲載作品です</v>
      </c>
      <c r="R3774" s="22"/>
      <c r="S3774" s="22" t="str">
        <f>IFERROR(__xludf.DUMMYFUNCTION("""COMPUTED_VALUE"""),"20250812_一迅社_傍若無人王子をヨシヨシしてたら、どこに出しても恥ずかしくないヤンデレになりました。")</f>
        <v>20250812_一迅社_傍若無人王子をヨシヨシしてたら、どこに出しても恥ずかしくないヤンデレになりました。</v>
      </c>
      <c r="T3774" s="22" t="str">
        <f>IFERROR(__xludf.DUMMYFUNCTION("""COMPUTED_VALUE"""),"格納済み")</f>
        <v>格納済み</v>
      </c>
      <c r="U3774" s="9" t="str">
        <f>IFERROR(__xludf.DUMMYFUNCTION("""COMPUTED_VALUE"""),"(C)八坂アキヲ・忍丸／一迅社")</f>
        <v>(C)八坂アキヲ・忍丸／一迅社</v>
      </c>
      <c r="V3774" s="8"/>
      <c r="W3774" s="8"/>
      <c r="X3774" s="8" t="str">
        <f>IFERROR(__xludf.DUMMYFUNCTION("""COMPUTED_VALUE"""),"有")</f>
        <v>有</v>
      </c>
      <c r="Y3774" s="8" t="str">
        <f>IFERROR(__xludf.DUMMYFUNCTION("""COMPUTED_VALUE"""),"P8まで")</f>
        <v>P8まで</v>
      </c>
      <c r="Z3774" s="7"/>
      <c r="AA3774" s="7"/>
      <c r="AB3774" s="7"/>
    </row>
    <row r="3775" ht="15.75" customHeight="1">
      <c r="A3775" s="26">
        <f>IFERROR(__xludf.DUMMYFUNCTION("""COMPUTED_VALUE"""),5966.0)</f>
        <v>5966</v>
      </c>
      <c r="B3775" s="22" t="str">
        <f>IFERROR(__xludf.DUMMYFUNCTION("""COMPUTED_VALUE"""),"確定")</f>
        <v>確定</v>
      </c>
      <c r="C3775" s="28">
        <f>IFERROR(__xludf.DUMMYFUNCTION("""COMPUTED_VALUE"""),45840.0)</f>
        <v>45840</v>
      </c>
      <c r="D3775" s="28">
        <f>IFERROR(__xludf.DUMMYFUNCTION("""COMPUTED_VALUE"""),45875.0)</f>
        <v>45875</v>
      </c>
      <c r="E3775" s="26">
        <f>IFERROR(__xludf.DUMMYFUNCTION("""COMPUTED_VALUE"""),333864.0)</f>
        <v>333864</v>
      </c>
      <c r="F3775" s="22" t="str">
        <f>IFERROR(__xludf.DUMMYFUNCTION("""COMPUTED_VALUE"""),"おでぶ令嬢と砂糖菓子のような恋")</f>
        <v>おでぶ令嬢と砂糖菓子のような恋</v>
      </c>
      <c r="G3775" s="20">
        <f>IFERROR(__xludf.DUMMYFUNCTION("""COMPUTED_VALUE"""),1.0)</f>
        <v>1</v>
      </c>
      <c r="H3775" s="22" t="str">
        <f>IFERROR(__xludf.DUMMYFUNCTION("""COMPUTED_VALUE"""),"漫画：名護マチオ／原作：香月航")</f>
        <v>漫画：名護マチオ／原作：香月航</v>
      </c>
      <c r="I3775" s="22" t="str">
        <f>IFERROR(__xludf.DUMMYFUNCTION("""COMPUTED_VALUE"""),"少女")</f>
        <v>少女</v>
      </c>
      <c r="J3775" s="22"/>
      <c r="K3775" s="22" t="str">
        <f>IFERROR(__xludf.DUMMYFUNCTION("""COMPUTED_VALUE"""),"ZERO-SUMコミックス")</f>
        <v>ZERO-SUMコミックス</v>
      </c>
      <c r="L3775" s="22" t="str">
        <f>IFERROR(__xludf.DUMMYFUNCTION("""COMPUTED_VALUE"""),"一迅社")</f>
        <v>一迅社</v>
      </c>
      <c r="M3775" s="33">
        <f>IFERROR(__xludf.DUMMYFUNCTION("""COMPUTED_VALUE"""),45901.0)</f>
        <v>45901</v>
      </c>
      <c r="N3775" s="33">
        <f>IFERROR(__xludf.DUMMYFUNCTION("""COMPUTED_VALUE"""),45930.0)</f>
        <v>45930</v>
      </c>
      <c r="O3775" s="20"/>
      <c r="P3775" s="32" t="str">
        <f>IFERROR(__xludf.DUMMYFUNCTION("""COMPUTED_VALUE"""),"否")</f>
        <v>否</v>
      </c>
      <c r="Q3775" s="30" t="str">
        <f>IFERROR(__xludf.DUMMYFUNCTION("""COMPUTED_VALUE"""),"「悪役令嬢が婚約破棄されたので、いまから俺が幸せにします。 アンソロジーコミック: 3」掲載作品です")</f>
        <v>「悪役令嬢が婚約破棄されたので、いまから俺が幸せにします。 アンソロジーコミック: 3」掲載作品です</v>
      </c>
      <c r="R3775" s="22"/>
      <c r="S3775" s="22" t="str">
        <f>IFERROR(__xludf.DUMMYFUNCTION("""COMPUTED_VALUE"""),"20250804_一迅社_おでぶ令嬢と砂糖菓子のような恋")</f>
        <v>20250804_一迅社_おでぶ令嬢と砂糖菓子のような恋</v>
      </c>
      <c r="T3775" s="22" t="str">
        <f>IFERROR(__xludf.DUMMYFUNCTION("""COMPUTED_VALUE"""),"格納済み")</f>
        <v>格納済み</v>
      </c>
      <c r="U3775" s="9" t="str">
        <f>IFERROR(__xludf.DUMMYFUNCTION("""COMPUTED_VALUE"""),"(C)名護マチオ・香月航／一迅社")</f>
        <v>(C)名護マチオ・香月航／一迅社</v>
      </c>
      <c r="V3775" s="8"/>
      <c r="W3775" s="8"/>
      <c r="X3775" s="8" t="str">
        <f>IFERROR(__xludf.DUMMYFUNCTION("""COMPUTED_VALUE"""),"有")</f>
        <v>有</v>
      </c>
      <c r="Y3775" s="8" t="str">
        <f>IFERROR(__xludf.DUMMYFUNCTION("""COMPUTED_VALUE"""),"P6まで")</f>
        <v>P6まで</v>
      </c>
      <c r="Z3775" s="7"/>
      <c r="AA3775" s="7"/>
      <c r="AB3775" s="7"/>
    </row>
    <row r="3776" ht="15.75" customHeight="1">
      <c r="A3776" s="26">
        <f>IFERROR(__xludf.DUMMYFUNCTION("""COMPUTED_VALUE"""),5967.0)</f>
        <v>5967</v>
      </c>
      <c r="B3776" s="22" t="str">
        <f>IFERROR(__xludf.DUMMYFUNCTION("""COMPUTED_VALUE"""),"確定")</f>
        <v>確定</v>
      </c>
      <c r="C3776" s="28">
        <f>IFERROR(__xludf.DUMMYFUNCTION("""COMPUTED_VALUE"""),45840.0)</f>
        <v>45840</v>
      </c>
      <c r="D3776" s="28">
        <f>IFERROR(__xludf.DUMMYFUNCTION("""COMPUTED_VALUE"""),45875.0)</f>
        <v>45875</v>
      </c>
      <c r="E3776" s="26">
        <f>IFERROR(__xludf.DUMMYFUNCTION("""COMPUTED_VALUE"""),333861.0)</f>
        <v>333861</v>
      </c>
      <c r="F3776" s="22" t="str">
        <f>IFERROR(__xludf.DUMMYFUNCTION("""COMPUTED_VALUE"""),"その日、しがない魔法使いが悪役令嬢を拾いまして。")</f>
        <v>その日、しがない魔法使いが悪役令嬢を拾いまして。</v>
      </c>
      <c r="G3776" s="20">
        <f>IFERROR(__xludf.DUMMYFUNCTION("""COMPUTED_VALUE"""),1.0)</f>
        <v>1</v>
      </c>
      <c r="H3776" s="22" t="str">
        <f>IFERROR(__xludf.DUMMYFUNCTION("""COMPUTED_VALUE"""),"漫画：森倉チロル／原作：芦永")</f>
        <v>漫画：森倉チロル／原作：芦永</v>
      </c>
      <c r="I3776" s="22" t="str">
        <f>IFERROR(__xludf.DUMMYFUNCTION("""COMPUTED_VALUE"""),"少女")</f>
        <v>少女</v>
      </c>
      <c r="J3776" s="22"/>
      <c r="K3776" s="22" t="str">
        <f>IFERROR(__xludf.DUMMYFUNCTION("""COMPUTED_VALUE"""),"ZERO-SUMコミックス")</f>
        <v>ZERO-SUMコミックス</v>
      </c>
      <c r="L3776" s="22" t="str">
        <f>IFERROR(__xludf.DUMMYFUNCTION("""COMPUTED_VALUE"""),"一迅社")</f>
        <v>一迅社</v>
      </c>
      <c r="M3776" s="33">
        <f>IFERROR(__xludf.DUMMYFUNCTION("""COMPUTED_VALUE"""),45901.0)</f>
        <v>45901</v>
      </c>
      <c r="N3776" s="33">
        <f>IFERROR(__xludf.DUMMYFUNCTION("""COMPUTED_VALUE"""),45930.0)</f>
        <v>45930</v>
      </c>
      <c r="O3776" s="20"/>
      <c r="P3776" s="32" t="str">
        <f>IFERROR(__xludf.DUMMYFUNCTION("""COMPUTED_VALUE"""),"否")</f>
        <v>否</v>
      </c>
      <c r="Q3776" s="30" t="str">
        <f>IFERROR(__xludf.DUMMYFUNCTION("""COMPUTED_VALUE"""),"「悪役令嬢が婚約破棄されたので、いまから俺が幸せにします。 アンソロジーコミック: 3」掲載作品です")</f>
        <v>「悪役令嬢が婚約破棄されたので、いまから俺が幸せにします。 アンソロジーコミック: 3」掲載作品です</v>
      </c>
      <c r="R3776" s="22"/>
      <c r="S3776" s="22" t="str">
        <f>IFERROR(__xludf.DUMMYFUNCTION("""COMPUTED_VALUE"""),"20250804_一迅社_その日、しがない魔法使いが悪役令嬢を拾いまして。")</f>
        <v>20250804_一迅社_その日、しがない魔法使いが悪役令嬢を拾いまして。</v>
      </c>
      <c r="T3776" s="22" t="str">
        <f>IFERROR(__xludf.DUMMYFUNCTION("""COMPUTED_VALUE"""),"格納済み")</f>
        <v>格納済み</v>
      </c>
      <c r="U3776" s="9" t="str">
        <f>IFERROR(__xludf.DUMMYFUNCTION("""COMPUTED_VALUE"""),"(C)森倉チロル・芦永／一迅社")</f>
        <v>(C)森倉チロル・芦永／一迅社</v>
      </c>
      <c r="V3776" s="8"/>
      <c r="W3776" s="8"/>
      <c r="X3776" s="8" t="str">
        <f>IFERROR(__xludf.DUMMYFUNCTION("""COMPUTED_VALUE"""),"有")</f>
        <v>有</v>
      </c>
      <c r="Y3776" s="8" t="str">
        <f>IFERROR(__xludf.DUMMYFUNCTION("""COMPUTED_VALUE"""),"P7まで")</f>
        <v>P7まで</v>
      </c>
      <c r="Z3776" s="7"/>
      <c r="AA3776" s="7"/>
      <c r="AB3776" s="7"/>
    </row>
    <row r="3777" ht="15.75" customHeight="1">
      <c r="A3777" s="26">
        <f>IFERROR(__xludf.DUMMYFUNCTION("""COMPUTED_VALUE"""),5968.0)</f>
        <v>5968</v>
      </c>
      <c r="B3777" s="22" t="str">
        <f>IFERROR(__xludf.DUMMYFUNCTION("""COMPUTED_VALUE"""),"確定")</f>
        <v>確定</v>
      </c>
      <c r="C3777" s="28">
        <f>IFERROR(__xludf.DUMMYFUNCTION("""COMPUTED_VALUE"""),45840.0)</f>
        <v>45840</v>
      </c>
      <c r="D3777" s="28">
        <f>IFERROR(__xludf.DUMMYFUNCTION("""COMPUTED_VALUE"""),45875.0)</f>
        <v>45875</v>
      </c>
      <c r="E3777" s="26">
        <f>IFERROR(__xludf.DUMMYFUNCTION("""COMPUTED_VALUE"""),333860.0)</f>
        <v>333860</v>
      </c>
      <c r="F3777" s="22" t="str">
        <f>IFERROR(__xludf.DUMMYFUNCTION("""COMPUTED_VALUE"""),"王太子に婚約解消された従兄妹が復讐をする気らしい")</f>
        <v>王太子に婚約解消された従兄妹が復讐をする気らしい</v>
      </c>
      <c r="G3777" s="20">
        <f>IFERROR(__xludf.DUMMYFUNCTION("""COMPUTED_VALUE"""),1.0)</f>
        <v>1</v>
      </c>
      <c r="H3777" s="22" t="str">
        <f>IFERROR(__xludf.DUMMYFUNCTION("""COMPUTED_VALUE"""),"漫画：きなつk／原作：餡子")</f>
        <v>漫画：きなつk／原作：餡子</v>
      </c>
      <c r="I3777" s="22" t="str">
        <f>IFERROR(__xludf.DUMMYFUNCTION("""COMPUTED_VALUE"""),"少女")</f>
        <v>少女</v>
      </c>
      <c r="J3777" s="22"/>
      <c r="K3777" s="22" t="str">
        <f>IFERROR(__xludf.DUMMYFUNCTION("""COMPUTED_VALUE"""),"ZERO-SUMコミックス")</f>
        <v>ZERO-SUMコミックス</v>
      </c>
      <c r="L3777" s="22" t="str">
        <f>IFERROR(__xludf.DUMMYFUNCTION("""COMPUTED_VALUE"""),"一迅社")</f>
        <v>一迅社</v>
      </c>
      <c r="M3777" s="33">
        <f>IFERROR(__xludf.DUMMYFUNCTION("""COMPUTED_VALUE"""),45901.0)</f>
        <v>45901</v>
      </c>
      <c r="N3777" s="33">
        <f>IFERROR(__xludf.DUMMYFUNCTION("""COMPUTED_VALUE"""),45930.0)</f>
        <v>45930</v>
      </c>
      <c r="O3777" s="20"/>
      <c r="P3777" s="32" t="str">
        <f>IFERROR(__xludf.DUMMYFUNCTION("""COMPUTED_VALUE"""),"否")</f>
        <v>否</v>
      </c>
      <c r="Q3777" s="30" t="str">
        <f>IFERROR(__xludf.DUMMYFUNCTION("""COMPUTED_VALUE"""),"「悪役令嬢が婚約破棄されたので、いまから俺が幸せにします。 アンソロジーコミック: 3」掲載作品です")</f>
        <v>「悪役令嬢が婚約破棄されたので、いまから俺が幸せにします。 アンソロジーコミック: 3」掲載作品です</v>
      </c>
      <c r="R3777" s="22"/>
      <c r="S3777" s="22" t="str">
        <f>IFERROR(__xludf.DUMMYFUNCTION("""COMPUTED_VALUE"""),"20250804_一迅社_王太子に婚約解消された従兄妹が復讐をする気らしい")</f>
        <v>20250804_一迅社_王太子に婚約解消された従兄妹が復讐をする気らしい</v>
      </c>
      <c r="T3777" s="22" t="str">
        <f>IFERROR(__xludf.DUMMYFUNCTION("""COMPUTED_VALUE"""),"格納済み")</f>
        <v>格納済み</v>
      </c>
      <c r="U3777" s="9" t="str">
        <f>IFERROR(__xludf.DUMMYFUNCTION("""COMPUTED_VALUE"""),"(C)きなつk・餡子／一迅社")</f>
        <v>(C)きなつk・餡子／一迅社</v>
      </c>
      <c r="V3777" s="8"/>
      <c r="W3777" s="8"/>
      <c r="X3777" s="8" t="str">
        <f>IFERROR(__xludf.DUMMYFUNCTION("""COMPUTED_VALUE"""),"有")</f>
        <v>有</v>
      </c>
      <c r="Y3777" s="8" t="str">
        <f>IFERROR(__xludf.DUMMYFUNCTION("""COMPUTED_VALUE"""),"P7まで")</f>
        <v>P7まで</v>
      </c>
      <c r="Z3777" s="7"/>
      <c r="AA3777" s="7"/>
      <c r="AB3777" s="7"/>
    </row>
    <row r="3778" ht="15.75" customHeight="1">
      <c r="A3778" s="26">
        <f>IFERROR(__xludf.DUMMYFUNCTION("""COMPUTED_VALUE"""),5969.0)</f>
        <v>5969</v>
      </c>
      <c r="B3778" s="22" t="str">
        <f>IFERROR(__xludf.DUMMYFUNCTION("""COMPUTED_VALUE"""),"確定")</f>
        <v>確定</v>
      </c>
      <c r="C3778" s="28">
        <f>IFERROR(__xludf.DUMMYFUNCTION("""COMPUTED_VALUE"""),45840.0)</f>
        <v>45840</v>
      </c>
      <c r="D3778" s="28">
        <f>IFERROR(__xludf.DUMMYFUNCTION("""COMPUTED_VALUE"""),45875.0)</f>
        <v>45875</v>
      </c>
      <c r="E3778" s="26">
        <f>IFERROR(__xludf.DUMMYFUNCTION("""COMPUTED_VALUE"""),333859.0)</f>
        <v>333859</v>
      </c>
      <c r="F3778" s="22" t="str">
        <f>IFERROR(__xludf.DUMMYFUNCTION("""COMPUTED_VALUE"""),"世界で１番愛する義姉を傷付けられたので、俺が全員地獄に落とします")</f>
        <v>世界で１番愛する義姉を傷付けられたので、俺が全員地獄に落とします</v>
      </c>
      <c r="G3778" s="20">
        <f>IFERROR(__xludf.DUMMYFUNCTION("""COMPUTED_VALUE"""),1.0)</f>
        <v>1</v>
      </c>
      <c r="H3778" s="22" t="str">
        <f>IFERROR(__xludf.DUMMYFUNCTION("""COMPUTED_VALUE"""),"漫画：藤代千鶴／原作：琴子")</f>
        <v>漫画：藤代千鶴／原作：琴子</v>
      </c>
      <c r="I3778" s="22" t="str">
        <f>IFERROR(__xludf.DUMMYFUNCTION("""COMPUTED_VALUE"""),"少女")</f>
        <v>少女</v>
      </c>
      <c r="J3778" s="22"/>
      <c r="K3778" s="22" t="str">
        <f>IFERROR(__xludf.DUMMYFUNCTION("""COMPUTED_VALUE"""),"ZERO-SUMコミックス")</f>
        <v>ZERO-SUMコミックス</v>
      </c>
      <c r="L3778" s="22" t="str">
        <f>IFERROR(__xludf.DUMMYFUNCTION("""COMPUTED_VALUE"""),"一迅社")</f>
        <v>一迅社</v>
      </c>
      <c r="M3778" s="33">
        <f>IFERROR(__xludf.DUMMYFUNCTION("""COMPUTED_VALUE"""),45901.0)</f>
        <v>45901</v>
      </c>
      <c r="N3778" s="33">
        <f>IFERROR(__xludf.DUMMYFUNCTION("""COMPUTED_VALUE"""),45930.0)</f>
        <v>45930</v>
      </c>
      <c r="O3778" s="20"/>
      <c r="P3778" s="32" t="str">
        <f>IFERROR(__xludf.DUMMYFUNCTION("""COMPUTED_VALUE"""),"否")</f>
        <v>否</v>
      </c>
      <c r="Q3778" s="30" t="str">
        <f>IFERROR(__xludf.DUMMYFUNCTION("""COMPUTED_VALUE"""),"「悪役令嬢が婚約破棄されたので、いまから俺が幸せにします。 アンソロジーコミック: 3」掲載作品です")</f>
        <v>「悪役令嬢が婚約破棄されたので、いまから俺が幸せにします。 アンソロジーコミック: 3」掲載作品です</v>
      </c>
      <c r="R3778" s="22"/>
      <c r="S3778" s="22" t="str">
        <f>IFERROR(__xludf.DUMMYFUNCTION("""COMPUTED_VALUE"""),"20250804_一迅社_世界で１番愛する義姉を傷付けられたので、俺が全員地獄に落とします")</f>
        <v>20250804_一迅社_世界で１番愛する義姉を傷付けられたので、俺が全員地獄に落とします</v>
      </c>
      <c r="T3778" s="22" t="str">
        <f>IFERROR(__xludf.DUMMYFUNCTION("""COMPUTED_VALUE"""),"格納済み")</f>
        <v>格納済み</v>
      </c>
      <c r="U3778" s="9" t="str">
        <f>IFERROR(__xludf.DUMMYFUNCTION("""COMPUTED_VALUE"""),"(C)藤代千鶴・琴子／一迅社")</f>
        <v>(C)藤代千鶴・琴子／一迅社</v>
      </c>
      <c r="V3778" s="8"/>
      <c r="W3778" s="8"/>
      <c r="X3778" s="8" t="str">
        <f>IFERROR(__xludf.DUMMYFUNCTION("""COMPUTED_VALUE"""),"有")</f>
        <v>有</v>
      </c>
      <c r="Y3778" s="8" t="str">
        <f>IFERROR(__xludf.DUMMYFUNCTION("""COMPUTED_VALUE"""),"P8まで")</f>
        <v>P8まで</v>
      </c>
      <c r="Z3778" s="7"/>
      <c r="AA3778" s="7"/>
      <c r="AB3778" s="7"/>
    </row>
    <row r="3779" ht="15.75" customHeight="1">
      <c r="A3779" s="26">
        <f>IFERROR(__xludf.DUMMYFUNCTION("""COMPUTED_VALUE"""),5970.0)</f>
        <v>5970</v>
      </c>
      <c r="B3779" s="22" t="str">
        <f>IFERROR(__xludf.DUMMYFUNCTION("""COMPUTED_VALUE"""),"確定")</f>
        <v>確定</v>
      </c>
      <c r="C3779" s="28">
        <f>IFERROR(__xludf.DUMMYFUNCTION("""COMPUTED_VALUE"""),45840.0)</f>
        <v>45840</v>
      </c>
      <c r="D3779" s="28">
        <f>IFERROR(__xludf.DUMMYFUNCTION("""COMPUTED_VALUE"""),45883.0)</f>
        <v>45883</v>
      </c>
      <c r="E3779" s="26">
        <f>IFERROR(__xludf.DUMMYFUNCTION("""COMPUTED_VALUE"""),339801.0)</f>
        <v>339801</v>
      </c>
      <c r="F3779" s="22" t="str">
        <f>IFERROR(__xludf.DUMMYFUNCTION("""COMPUTED_VALUE"""),"断罪された俺の最愛のお嬢様へ。マントの中に勝手に入るのは可愛すぎるからダメっス。")</f>
        <v>断罪された俺の最愛のお嬢様へ。マントの中に勝手に入るのは可愛すぎるからダメっス。</v>
      </c>
      <c r="G3779" s="20">
        <f>IFERROR(__xludf.DUMMYFUNCTION("""COMPUTED_VALUE"""),1.0)</f>
        <v>1</v>
      </c>
      <c r="H3779" s="22" t="str">
        <f>IFERROR(__xludf.DUMMYFUNCTION("""COMPUTED_VALUE"""),"漫画：かわのあきこ／原作：櫻井三丸")</f>
        <v>漫画：かわのあきこ／原作：櫻井三丸</v>
      </c>
      <c r="I3779" s="22" t="str">
        <f>IFERROR(__xludf.DUMMYFUNCTION("""COMPUTED_VALUE"""),"少女")</f>
        <v>少女</v>
      </c>
      <c r="J3779" s="22"/>
      <c r="K3779" s="22" t="str">
        <f>IFERROR(__xludf.DUMMYFUNCTION("""COMPUTED_VALUE"""),"ZERO-SUMコミックス")</f>
        <v>ZERO-SUMコミックス</v>
      </c>
      <c r="L3779" s="22" t="str">
        <f>IFERROR(__xludf.DUMMYFUNCTION("""COMPUTED_VALUE"""),"一迅社")</f>
        <v>一迅社</v>
      </c>
      <c r="M3779" s="33">
        <f>IFERROR(__xludf.DUMMYFUNCTION("""COMPUTED_VALUE"""),45962.0)</f>
        <v>45962</v>
      </c>
      <c r="N3779" s="33">
        <f>IFERROR(__xludf.DUMMYFUNCTION("""COMPUTED_VALUE"""),45991.0)</f>
        <v>45991</v>
      </c>
      <c r="O3779" s="20"/>
      <c r="P3779" s="32" t="str">
        <f>IFERROR(__xludf.DUMMYFUNCTION("""COMPUTED_VALUE"""),"否")</f>
        <v>否</v>
      </c>
      <c r="Q3779" s="30" t="str">
        <f>IFERROR(__xludf.DUMMYFUNCTION("""COMPUTED_VALUE"""),"「悪役令嬢が婚約破棄されたので、いまから俺が幸せにします。 アンソロジーコミック: 3」掲載作品です")</f>
        <v>「悪役令嬢が婚約破棄されたので、いまから俺が幸せにします。 アンソロジーコミック: 3」掲載作品です</v>
      </c>
      <c r="R3779" s="22"/>
      <c r="S3779" s="22" t="str">
        <f>IFERROR(__xludf.DUMMYFUNCTION("""COMPUTED_VALUE"""),"20250812_一迅社_断罪された俺の最愛のお嬢様へ。マントの中に勝手に入るのは可愛すぎるからダメっス。")</f>
        <v>20250812_一迅社_断罪された俺の最愛のお嬢様へ。マントの中に勝手に入るのは可愛すぎるからダメっス。</v>
      </c>
      <c r="T3779" s="22" t="str">
        <f>IFERROR(__xludf.DUMMYFUNCTION("""COMPUTED_VALUE"""),"格納済み")</f>
        <v>格納済み</v>
      </c>
      <c r="U3779" s="9" t="str">
        <f>IFERROR(__xludf.DUMMYFUNCTION("""COMPUTED_VALUE"""),"(C)かわのあきこ・櫻井三丸／一迅社")</f>
        <v>(C)かわのあきこ・櫻井三丸／一迅社</v>
      </c>
      <c r="V3779" s="8"/>
      <c r="W3779" s="8"/>
      <c r="X3779" s="8" t="str">
        <f>IFERROR(__xludf.DUMMYFUNCTION("""COMPUTED_VALUE"""),"有")</f>
        <v>有</v>
      </c>
      <c r="Y3779" s="8" t="str">
        <f>IFERROR(__xludf.DUMMYFUNCTION("""COMPUTED_VALUE"""),"P7まで")</f>
        <v>P7まで</v>
      </c>
      <c r="Z3779" s="7"/>
      <c r="AA3779" s="7"/>
      <c r="AB3779" s="7"/>
    </row>
    <row r="3780" ht="15.75" customHeight="1">
      <c r="A3780" s="26">
        <f>IFERROR(__xludf.DUMMYFUNCTION("""COMPUTED_VALUE"""),6071.0)</f>
        <v>6071</v>
      </c>
      <c r="B3780" s="22" t="str">
        <f>IFERROR(__xludf.DUMMYFUNCTION("""COMPUTED_VALUE"""),"確定")</f>
        <v>確定</v>
      </c>
      <c r="C3780" s="28">
        <f>IFERROR(__xludf.DUMMYFUNCTION("""COMPUTED_VALUE"""),45852.0)</f>
        <v>45852</v>
      </c>
      <c r="D3780" s="28">
        <f>IFERROR(__xludf.DUMMYFUNCTION("""COMPUTED_VALUE"""),45889.0)</f>
        <v>45889</v>
      </c>
      <c r="E3780" s="26">
        <f>IFERROR(__xludf.DUMMYFUNCTION("""COMPUTED_VALUE"""),336184.0)</f>
        <v>336184</v>
      </c>
      <c r="F3780" s="22" t="str">
        <f>IFERROR(__xludf.DUMMYFUNCTION("""COMPUTED_VALUE"""),"『一軍男子』良実くん、眼中に無かった女に狂う【R版】")</f>
        <v>『一軍男子』良実くん、眼中に無かった女に狂う【R版】</v>
      </c>
      <c r="G3780" s="20" t="str">
        <f>IFERROR(__xludf.DUMMYFUNCTION("""COMPUTED_VALUE"""),"1～4")</f>
        <v>1～4</v>
      </c>
      <c r="H3780" s="22" t="str">
        <f>IFERROR(__xludf.DUMMYFUNCTION("""COMPUTED_VALUE"""),"輪子湖わこ/保田飯飯")</f>
        <v>輪子湖わこ/保田飯飯</v>
      </c>
      <c r="I3780" s="22" t="str">
        <f>IFERROR(__xludf.DUMMYFUNCTION("""COMPUTED_VALUE"""),"アダルト")</f>
        <v>アダルト</v>
      </c>
      <c r="J3780" s="22"/>
      <c r="K3780" s="22" t="str">
        <f>IFERROR(__xludf.DUMMYFUNCTION("""COMPUTED_VALUE"""),"THE猥談")</f>
        <v>THE猥談</v>
      </c>
      <c r="L3780" s="22" t="str">
        <f>IFERROR(__xludf.DUMMYFUNCTION("""COMPUTED_VALUE"""),"DLcomics")</f>
        <v>DLcomics</v>
      </c>
      <c r="M3780" s="33">
        <f>IFERROR(__xludf.DUMMYFUNCTION("""COMPUTED_VALUE"""),45926.0)</f>
        <v>45926</v>
      </c>
      <c r="N3780" s="33">
        <f>IFERROR(__xludf.DUMMYFUNCTION("""COMPUTED_VALUE"""),46023.0)</f>
        <v>46023</v>
      </c>
      <c r="O3780" s="20"/>
      <c r="P3780" s="32" t="str">
        <f>IFERROR(__xludf.DUMMYFUNCTION("""COMPUTED_VALUE"""),"可")</f>
        <v>可</v>
      </c>
      <c r="Q3780" s="30"/>
      <c r="R3780" s="22" t="str">
        <f>IFERROR(__xludf.DUMMYFUNCTION("""COMPUTED_VALUE"""),"コミットOK")</f>
        <v>コミットOK</v>
      </c>
      <c r="S3780" s="22" t="str">
        <f>IFERROR(__xludf.DUMMYFUNCTION("""COMPUTED_VALUE"""),"20250820_DLcomics_“一軍男子”良実くん、眼中に無かった女に狂う【R版】")</f>
        <v>20250820_DLcomics_“一軍男子”良実くん、眼中に無かった女に狂う【R版】</v>
      </c>
      <c r="T3780" s="22" t="str">
        <f>IFERROR(__xludf.DUMMYFUNCTION("""COMPUTED_VALUE"""),"格納済み")</f>
        <v>格納済み</v>
      </c>
      <c r="U3780" s="9" t="str">
        <f>IFERROR(__xludf.DUMMYFUNCTION("""COMPUTED_VALUE"""),"(C)輪子湖わこ/保田飯飯/THE猥談")</f>
        <v>(C)輪子湖わこ/保田飯飯/THE猥談</v>
      </c>
      <c r="V3780" s="8"/>
      <c r="W3780" s="8"/>
      <c r="X3780" s="8" t="str">
        <f>IFERROR(__xludf.DUMMYFUNCTION("""COMPUTED_VALUE"""),"有")</f>
        <v>有</v>
      </c>
      <c r="Y3780" s="8" t="str">
        <f>IFERROR(__xludf.DUMMYFUNCTION("""COMPUTED_VALUE"""),"P8まで")</f>
        <v>P8まで</v>
      </c>
      <c r="Z3780" s="7"/>
      <c r="AA3780" s="7"/>
      <c r="AB3780" s="7"/>
    </row>
    <row r="3781" ht="15.75" customHeight="1">
      <c r="A3781" s="26">
        <f>IFERROR(__xludf.DUMMYFUNCTION("""COMPUTED_VALUE"""),6073.0)</f>
        <v>6073</v>
      </c>
      <c r="B3781" s="22" t="str">
        <f>IFERROR(__xludf.DUMMYFUNCTION("""COMPUTED_VALUE"""),"確定")</f>
        <v>確定</v>
      </c>
      <c r="C3781" s="28">
        <f>IFERROR(__xludf.DUMMYFUNCTION("""COMPUTED_VALUE"""),45852.0)</f>
        <v>45852</v>
      </c>
      <c r="D3781" s="28">
        <f>IFERROR(__xludf.DUMMYFUNCTION("""COMPUTED_VALUE"""),45889.0)</f>
        <v>45889</v>
      </c>
      <c r="E3781" s="26">
        <f>IFERROR(__xludf.DUMMYFUNCTION("""COMPUTED_VALUE"""),336185.0)</f>
        <v>336185</v>
      </c>
      <c r="F3781" s="22" t="str">
        <f>IFERROR(__xludf.DUMMYFUNCTION("""COMPUTED_VALUE"""),"あの宗像先生が、新人教師の私なんかに欲情してる【R版】")</f>
        <v>あの宗像先生が、新人教師の私なんかに欲情してる【R版】</v>
      </c>
      <c r="G3781" s="20" t="str">
        <f>IFERROR(__xludf.DUMMYFUNCTION("""COMPUTED_VALUE"""),"1～4")</f>
        <v>1～4</v>
      </c>
      <c r="H3781" s="22" t="str">
        <f>IFERROR(__xludf.DUMMYFUNCTION("""COMPUTED_VALUE"""),"道外コノメ/保田飯飯")</f>
        <v>道外コノメ/保田飯飯</v>
      </c>
      <c r="I3781" s="22" t="str">
        <f>IFERROR(__xludf.DUMMYFUNCTION("""COMPUTED_VALUE"""),"アダルト")</f>
        <v>アダルト</v>
      </c>
      <c r="J3781" s="22"/>
      <c r="K3781" s="22" t="str">
        <f>IFERROR(__xludf.DUMMYFUNCTION("""COMPUTED_VALUE"""),"THE猥談")</f>
        <v>THE猥談</v>
      </c>
      <c r="L3781" s="22" t="str">
        <f>IFERROR(__xludf.DUMMYFUNCTION("""COMPUTED_VALUE"""),"DLcomics")</f>
        <v>DLcomics</v>
      </c>
      <c r="M3781" s="33">
        <f>IFERROR(__xludf.DUMMYFUNCTION("""COMPUTED_VALUE"""),45926.0)</f>
        <v>45926</v>
      </c>
      <c r="N3781" s="33">
        <f>IFERROR(__xludf.DUMMYFUNCTION("""COMPUTED_VALUE"""),46023.0)</f>
        <v>46023</v>
      </c>
      <c r="O3781" s="20"/>
      <c r="P3781" s="32" t="str">
        <f>IFERROR(__xludf.DUMMYFUNCTION("""COMPUTED_VALUE"""),"可")</f>
        <v>可</v>
      </c>
      <c r="Q3781" s="30"/>
      <c r="R3781" s="22" t="str">
        <f>IFERROR(__xludf.DUMMYFUNCTION("""COMPUTED_VALUE"""),"コミットOK")</f>
        <v>コミットOK</v>
      </c>
      <c r="S3781" s="22" t="str">
        <f>IFERROR(__xludf.DUMMYFUNCTION("""COMPUTED_VALUE"""),"20250820_DLcomics_あの宗像先生が、新人教師の私なんかに欲情してる【R版】")</f>
        <v>20250820_DLcomics_あの宗像先生が、新人教師の私なんかに欲情してる【R版】</v>
      </c>
      <c r="T3781" s="22" t="str">
        <f>IFERROR(__xludf.DUMMYFUNCTION("""COMPUTED_VALUE"""),"格納済み")</f>
        <v>格納済み</v>
      </c>
      <c r="U3781" s="9" t="str">
        <f>IFERROR(__xludf.DUMMYFUNCTION("""COMPUTED_VALUE"""),"(C)道外コノメ/保田飯飯/THE猥談")</f>
        <v>(C)道外コノメ/保田飯飯/THE猥談</v>
      </c>
      <c r="V3781" s="8"/>
      <c r="W3781" s="8"/>
      <c r="X3781" s="8" t="str">
        <f>IFERROR(__xludf.DUMMYFUNCTION("""COMPUTED_VALUE"""),"有")</f>
        <v>有</v>
      </c>
      <c r="Y3781" s="8" t="str">
        <f>IFERROR(__xludf.DUMMYFUNCTION("""COMPUTED_VALUE"""),"P10まで")</f>
        <v>P10まで</v>
      </c>
      <c r="Z3781" s="7"/>
      <c r="AA3781" s="7"/>
      <c r="AB3781" s="7"/>
    </row>
    <row r="3782" ht="15.75" customHeight="1">
      <c r="A3782" s="26">
        <f>IFERROR(__xludf.DUMMYFUNCTION("""COMPUTED_VALUE"""),6075.0)</f>
        <v>6075</v>
      </c>
      <c r="B3782" s="22" t="str">
        <f>IFERROR(__xludf.DUMMYFUNCTION("""COMPUTED_VALUE"""),"確定")</f>
        <v>確定</v>
      </c>
      <c r="C3782" s="28">
        <f>IFERROR(__xludf.DUMMYFUNCTION("""COMPUTED_VALUE"""),45852.0)</f>
        <v>45852</v>
      </c>
      <c r="D3782" s="28">
        <f>IFERROR(__xludf.DUMMYFUNCTION("""COMPUTED_VALUE"""),45883.0)</f>
        <v>45883</v>
      </c>
      <c r="E3782" s="26">
        <f>IFERROR(__xludf.DUMMYFUNCTION("""COMPUTED_VALUE"""),335088.0)</f>
        <v>335088</v>
      </c>
      <c r="F3782" s="22" t="str">
        <f>IFERROR(__xludf.DUMMYFUNCTION("""COMPUTED_VALUE"""),"花妻と宵闇～没落令嬢は純血を捧ぐ～【マイクロ】")</f>
        <v>花妻と宵闇～没落令嬢は純血を捧ぐ～【マイクロ】</v>
      </c>
      <c r="G3782" s="20" t="str">
        <f>IFERROR(__xludf.DUMMYFUNCTION("""COMPUTED_VALUE"""),"1～3")</f>
        <v>1～3</v>
      </c>
      <c r="H3782" s="22" t="str">
        <f>IFERROR(__xludf.DUMMYFUNCTION("""COMPUTED_VALUE"""),"高内藤花")</f>
        <v>高内藤花</v>
      </c>
      <c r="I3782" s="22" t="str">
        <f>IFERROR(__xludf.DUMMYFUNCTION("""COMPUTED_VALUE"""),"少女")</f>
        <v>少女</v>
      </c>
      <c r="J3782" s="22"/>
      <c r="K3782" s="22" t="str">
        <f>IFERROR(__xludf.DUMMYFUNCTION("""COMPUTED_VALUE"""),"異世界フラワーコミックス")</f>
        <v>異世界フラワーコミックス</v>
      </c>
      <c r="L3782" s="22" t="str">
        <f>IFERROR(__xludf.DUMMYFUNCTION("""COMPUTED_VALUE"""),"小学館")</f>
        <v>小学館</v>
      </c>
      <c r="M3782" s="33">
        <f>IFERROR(__xludf.DUMMYFUNCTION("""COMPUTED_VALUE"""),45910.0)</f>
        <v>45910</v>
      </c>
      <c r="N3782" s="33">
        <f>IFERROR(__xludf.DUMMYFUNCTION("""COMPUTED_VALUE"""),45970.0)</f>
        <v>45970</v>
      </c>
      <c r="O3782" s="20"/>
      <c r="P3782" s="32" t="str">
        <f>IFERROR(__xludf.DUMMYFUNCTION("""COMPUTED_VALUE"""),"否")</f>
        <v>否</v>
      </c>
      <c r="Q3782" s="30" t="str">
        <f>IFERROR(__xludf.DUMMYFUNCTION("""COMPUTED_VALUE"""),"和風レトロモダンファンタジー作品です。&lt;BR&gt;目立つ風貌によって家族から虐げられてきた令嬢・リラと、ある事情から引きこもっていた公爵家長男・安曇との結婚から始まるラブストーリーです。非常に読み応えがあり、絵も映えるため是非ご注目いただきたい作品です。")</f>
        <v>和風レトロモダンファンタジー作品です。&lt;BR&gt;目立つ風貌によって家族から虐げられてきた令嬢・リラと、ある事情から引きこもっていた公爵家長男・安曇との結婚から始まるラブストーリーです。非常に読み応えがあり、絵も映えるため是非ご注目いただきたい作品です。</v>
      </c>
      <c r="R3782" s="22" t="str">
        <f>IFERROR(__xludf.DUMMYFUNCTION("""COMPUTED_VALUE"""),"コミットOK")</f>
        <v>コミットOK</v>
      </c>
      <c r="S3782" s="22" t="str">
        <f>IFERROR(__xludf.DUMMYFUNCTION("""COMPUTED_VALUE"""),"20250814_小学館_花妻と宵闇～没落令嬢は純血を捧ぐ～【マイクロ】")</f>
        <v>20250814_小学館_花妻と宵闇～没落令嬢は純血を捧ぐ～【マイクロ】</v>
      </c>
      <c r="T3782" s="22" t="str">
        <f>IFERROR(__xludf.DUMMYFUNCTION("""COMPUTED_VALUE"""),"格納済み")</f>
        <v>格納済み</v>
      </c>
      <c r="U3782" s="9" t="str">
        <f>IFERROR(__xludf.DUMMYFUNCTION("""COMPUTED_VALUE"""),"Ⓒ高内藤花 / 小学館")</f>
        <v>Ⓒ高内藤花 / 小学館</v>
      </c>
      <c r="V3782" s="8"/>
      <c r="W3782" s="8"/>
      <c r="X3782" s="8" t="str">
        <f>IFERROR(__xludf.DUMMYFUNCTION("""COMPUTED_VALUE"""),"有")</f>
        <v>有</v>
      </c>
      <c r="Y3782" s="8" t="str">
        <f>IFERROR(__xludf.DUMMYFUNCTION("""COMPUTED_VALUE"""),"P26まで")</f>
        <v>P26まで</v>
      </c>
      <c r="Z3782" s="7"/>
      <c r="AA3782" s="7"/>
      <c r="AB3782" s="7"/>
    </row>
    <row r="3783" ht="15.75" customHeight="1">
      <c r="A3783" s="26">
        <f>IFERROR(__xludf.DUMMYFUNCTION("""COMPUTED_VALUE"""),6077.0)</f>
        <v>6077</v>
      </c>
      <c r="B3783" s="22" t="str">
        <f>IFERROR(__xludf.DUMMYFUNCTION("""COMPUTED_VALUE"""),"確定")</f>
        <v>確定</v>
      </c>
      <c r="C3783" s="28">
        <f>IFERROR(__xludf.DUMMYFUNCTION("""COMPUTED_VALUE"""),45852.0)</f>
        <v>45852</v>
      </c>
      <c r="D3783" s="28">
        <f>IFERROR(__xludf.DUMMYFUNCTION("""COMPUTED_VALUE"""),45888.0)</f>
        <v>45888</v>
      </c>
      <c r="E3783" s="26">
        <f>IFERROR(__xludf.DUMMYFUNCTION("""COMPUTED_VALUE"""),336144.0)</f>
        <v>336144</v>
      </c>
      <c r="F3783" s="22" t="str">
        <f>IFERROR(__xludf.DUMMYFUNCTION("""COMPUTED_VALUE"""),"しがない文官ですが、公爵様が離してくれません！")</f>
        <v>しがない文官ですが、公爵様が離してくれません！</v>
      </c>
      <c r="G3783" s="20" t="str">
        <f>IFERROR(__xludf.DUMMYFUNCTION("""COMPUTED_VALUE"""),"1～3")</f>
        <v>1～3</v>
      </c>
      <c r="H3783" s="22" t="str">
        <f>IFERROR(__xludf.DUMMYFUNCTION("""COMPUTED_VALUE"""),"素夜/アキヤマ 　原作：宇城とよむ")</f>
        <v>素夜/アキヤマ 　原作：宇城とよむ</v>
      </c>
      <c r="I3783" s="22" t="str">
        <f>IFERROR(__xludf.DUMMYFUNCTION("""COMPUTED_VALUE"""),"女性")</f>
        <v>女性</v>
      </c>
      <c r="J3783" s="22"/>
      <c r="K3783" s="22"/>
      <c r="L3783" s="22" t="str">
        <f>IFERROR(__xludf.DUMMYFUNCTION("""COMPUTED_VALUE"""),"DPNブックス")</f>
        <v>DPNブックス</v>
      </c>
      <c r="M3783" s="33">
        <f>IFERROR(__xludf.DUMMYFUNCTION("""COMPUTED_VALUE"""),45926.0)</f>
        <v>45926</v>
      </c>
      <c r="N3783" s="33">
        <f>IFERROR(__xludf.DUMMYFUNCTION("""COMPUTED_VALUE"""),45955.0)</f>
        <v>45955</v>
      </c>
      <c r="O3783" s="20"/>
      <c r="P3783" s="32" t="str">
        <f>IFERROR(__xludf.DUMMYFUNCTION("""COMPUTED_VALUE"""),"可")</f>
        <v>可</v>
      </c>
      <c r="Q3783" s="30" t="str">
        <f>IFERROR(__xludf.DUMMYFUNCTION("""COMPUTED_VALUE"""),"・自社書店music.jpとの2社先行です")</f>
        <v>・自社書店music.jpとの2社先行です</v>
      </c>
      <c r="R3783" s="22" t="str">
        <f>IFERROR(__xludf.DUMMYFUNCTION("""COMPUTED_VALUE"""),"コミットOK")</f>
        <v>コミットOK</v>
      </c>
      <c r="S3783" s="22" t="str">
        <f>IFERROR(__xludf.DUMMYFUNCTION("""COMPUTED_VALUE"""),"20250818_DPNブックス_しがない文官ですが、公爵様が離してくれません！")</f>
        <v>20250818_DPNブックス_しがない文官ですが、公爵様が離してくれません！</v>
      </c>
      <c r="T3783" s="22" t="str">
        <f>IFERROR(__xludf.DUMMYFUNCTION("""COMPUTED_VALUE"""),"格納済み")</f>
        <v>格納済み</v>
      </c>
      <c r="U3783" s="9" t="str">
        <f>IFERROR(__xludf.DUMMYFUNCTION("""COMPUTED_VALUE"""),"(C)素夜・アキヤマ・宇城とよむ／DPNブックス")</f>
        <v>(C)素夜・アキヤマ・宇城とよむ／DPNブックス</v>
      </c>
      <c r="V3783" s="8"/>
      <c r="W3783" s="8"/>
      <c r="X3783" s="8" t="str">
        <f>IFERROR(__xludf.DUMMYFUNCTION("""COMPUTED_VALUE"""),"有")</f>
        <v>有</v>
      </c>
      <c r="Y3783" s="8" t="str">
        <f>IFERROR(__xludf.DUMMYFUNCTION("""COMPUTED_VALUE"""),"2025/10/25まで1巻無料")</f>
        <v>2025/10/25まで1巻無料</v>
      </c>
      <c r="Z3783" s="7"/>
      <c r="AA3783" s="7"/>
      <c r="AB3783" s="7"/>
    </row>
    <row r="3784" ht="15.75" customHeight="1">
      <c r="A3784" s="26">
        <f>IFERROR(__xludf.DUMMYFUNCTION("""COMPUTED_VALUE"""),6092.0)</f>
        <v>6092</v>
      </c>
      <c r="B3784" s="22" t="str">
        <f>IFERROR(__xludf.DUMMYFUNCTION("""COMPUTED_VALUE"""),"確定")</f>
        <v>確定</v>
      </c>
      <c r="C3784" s="28">
        <f>IFERROR(__xludf.DUMMYFUNCTION("""COMPUTED_VALUE"""),45853.0)</f>
        <v>45853</v>
      </c>
      <c r="D3784" s="28">
        <f>IFERROR(__xludf.DUMMYFUNCTION("""COMPUTED_VALUE"""),45888.0)</f>
        <v>45888</v>
      </c>
      <c r="E3784" s="26">
        <f>IFERROR(__xludf.DUMMYFUNCTION("""COMPUTED_VALUE"""),334895.0)</f>
        <v>334895</v>
      </c>
      <c r="F3784" s="22" t="str">
        <f>IFERROR(__xludf.DUMMYFUNCTION("""COMPUTED_VALUE"""),"モブ侍女に転生したので虐殺皇帝をまっとうに育てたら執着溺愛されました【マイクロ】")</f>
        <v>モブ侍女に転生したので虐殺皇帝をまっとうに育てたら執着溺愛されました【マイクロ】</v>
      </c>
      <c r="G3784" s="20" t="str">
        <f>IFERROR(__xludf.DUMMYFUNCTION("""COMPUTED_VALUE"""),"1～3")</f>
        <v>1～3</v>
      </c>
      <c r="H3784" s="22" t="str">
        <f>IFERROR(__xludf.DUMMYFUNCTION("""COMPUTED_VALUE"""),"川瀬あや")</f>
        <v>川瀬あや</v>
      </c>
      <c r="I3784" s="22" t="str">
        <f>IFERROR(__xludf.DUMMYFUNCTION("""COMPUTED_VALUE"""),"女性")</f>
        <v>女性</v>
      </c>
      <c r="J3784" s="22"/>
      <c r="K3784" s="22" t="str">
        <f>IFERROR(__xludf.DUMMYFUNCTION("""COMPUTED_VALUE"""),"異世界FC")</f>
        <v>異世界FC</v>
      </c>
      <c r="L3784" s="22" t="str">
        <f>IFERROR(__xludf.DUMMYFUNCTION("""COMPUTED_VALUE"""),"小学館")</f>
        <v>小学館</v>
      </c>
      <c r="M3784" s="33">
        <f>IFERROR(__xludf.DUMMYFUNCTION("""COMPUTED_VALUE"""),45905.0)</f>
        <v>45905</v>
      </c>
      <c r="N3784" s="33">
        <f>IFERROR(__xludf.DUMMYFUNCTION("""COMPUTED_VALUE"""),45965.0)</f>
        <v>45965</v>
      </c>
      <c r="O3784" s="20"/>
      <c r="P3784" s="32" t="str">
        <f>IFERROR(__xludf.DUMMYFUNCTION("""COMPUTED_VALUE"""),"否")</f>
        <v>否</v>
      </c>
      <c r="Q3784" s="30" t="str">
        <f>IFERROR(__xludf.DUMMYFUNCTION("""COMPUTED_VALUE"""),"・素材は3分割して、初回1～2巻として配信&lt;BR&gt;・好調であれば続話更新予定&lt;BR&gt;・作品について&lt;BR&gt;「プチコミック」にて『これは犯罪ではなく恋です。』を連載中の、川瀬あや先生による新規配信タイトルです。&lt;BR&gt;コメディー色がやや強く、広告で映える令嬢モノとはややズレるかもしれませんが、内容は面白いですし「虐殺皇帝×溺愛執着」とキャッチ―さはあるかなと思いますので、&lt;BR&gt;ぜひプッシュしていただけますと幸いです！")</f>
        <v>・素材は3分割して、初回1～2巻として配信&lt;BR&gt;・好調であれば続話更新予定&lt;BR&gt;・作品について&lt;BR&gt;「プチコミック」にて『これは犯罪ではなく恋です。』を連載中の、川瀬あや先生による新規配信タイトルです。&lt;BR&gt;コメディー色がやや強く、広告で映える令嬢モノとはややズレるかもしれませんが、内容は面白いですし「虐殺皇帝×溺愛執着」とキャッチ―さはあるかなと思いますので、&lt;BR&gt;ぜひプッシュしていただけますと幸いです！</v>
      </c>
      <c r="R3784" s="22" t="str">
        <f>IFERROR(__xludf.DUMMYFUNCTION("""COMPUTED_VALUE"""),"コミットNG")</f>
        <v>コミットNG</v>
      </c>
      <c r="S3784" s="22" t="str">
        <f>IFERROR(__xludf.DUMMYFUNCTION("""COMPUTED_VALUE"""),"20250818_小学館_モブ侍女に転生したので虐殺皇帝をまっとうに育てたら執着溺愛されました【マイクロ】")</f>
        <v>20250818_小学館_モブ侍女に転生したので虐殺皇帝をまっとうに育てたら執着溺愛されました【マイクロ】</v>
      </c>
      <c r="T3784" s="22" t="str">
        <f>IFERROR(__xludf.DUMMYFUNCTION("""COMPUTED_VALUE"""),"格納済み")</f>
        <v>格納済み</v>
      </c>
      <c r="U3784" s="9" t="str">
        <f>IFERROR(__xludf.DUMMYFUNCTION("""COMPUTED_VALUE"""),"(C)川瀬あや / 小学館")</f>
        <v>(C)川瀬あや / 小学館</v>
      </c>
      <c r="V3784" s="8"/>
      <c r="W3784" s="8"/>
      <c r="X3784" s="8" t="str">
        <f>IFERROR(__xludf.DUMMYFUNCTION("""COMPUTED_VALUE"""),"有")</f>
        <v>有</v>
      </c>
      <c r="Y3784" s="8" t="str">
        <f>IFERROR(__xludf.DUMMYFUNCTION("""COMPUTED_VALUE"""),"2025/11/4まで1巻無料")</f>
        <v>2025/11/4まで1巻無料</v>
      </c>
      <c r="Z3784" s="7"/>
      <c r="AA3784" s="7"/>
      <c r="AB3784" s="7"/>
    </row>
    <row r="3785" ht="15.75" customHeight="1">
      <c r="A3785" s="26">
        <f>IFERROR(__xludf.DUMMYFUNCTION("""COMPUTED_VALUE"""),6114.0)</f>
        <v>6114</v>
      </c>
      <c r="B3785" s="22" t="str">
        <f>IFERROR(__xludf.DUMMYFUNCTION("""COMPUTED_VALUE"""),"確定")</f>
        <v>確定</v>
      </c>
      <c r="C3785" s="28">
        <f>IFERROR(__xludf.DUMMYFUNCTION("""COMPUTED_VALUE"""),45860.0)</f>
        <v>45860</v>
      </c>
      <c r="D3785" s="28">
        <f>IFERROR(__xludf.DUMMYFUNCTION("""COMPUTED_VALUE"""),45889.0)</f>
        <v>45889</v>
      </c>
      <c r="E3785" s="26">
        <f>IFERROR(__xludf.DUMMYFUNCTION("""COMPUTED_VALUE"""),334379.0)</f>
        <v>334379</v>
      </c>
      <c r="F3785" s="22" t="str">
        <f>IFERROR(__xludf.DUMMYFUNCTION("""COMPUTED_VALUE"""),"呪われ公爵と甘く淫らな契約婚～癒やしの令嬢はとろける口づけで愛を注ぐ～")</f>
        <v>呪われ公爵と甘く淫らな契約婚～癒やしの令嬢はとろける口づけで愛を注ぐ～</v>
      </c>
      <c r="G3785" s="20" t="str">
        <f>IFERROR(__xludf.DUMMYFUNCTION("""COMPUTED_VALUE"""),"1~2")</f>
        <v>1~2</v>
      </c>
      <c r="H3785" s="22" t="str">
        <f>IFERROR(__xludf.DUMMYFUNCTION("""COMPUTED_VALUE"""),"猫柴")</f>
        <v>猫柴</v>
      </c>
      <c r="I3785" s="22" t="str">
        <f>IFERROR(__xludf.DUMMYFUNCTION("""COMPUTED_VALUE"""),"TL")</f>
        <v>TL</v>
      </c>
      <c r="J3785" s="22"/>
      <c r="K3785" s="22" t="str">
        <f>IFERROR(__xludf.DUMMYFUNCTION("""COMPUTED_VALUE"""),"恋＊COMACHI")</f>
        <v>恋＊COMACHI</v>
      </c>
      <c r="L3785" s="22" t="str">
        <f>IFERROR(__xludf.DUMMYFUNCTION("""COMPUTED_VALUE"""),"大洋図書")</f>
        <v>大洋図書</v>
      </c>
      <c r="M3785" s="33">
        <f>IFERROR(__xludf.DUMMYFUNCTION("""COMPUTED_VALUE"""),45912.0)</f>
        <v>45912</v>
      </c>
      <c r="N3785" s="33">
        <f>IFERROR(__xludf.DUMMYFUNCTION("""COMPUTED_VALUE"""),45974.0)</f>
        <v>45974</v>
      </c>
      <c r="O3785" s="20"/>
      <c r="P3785" s="32" t="str">
        <f>IFERROR(__xludf.DUMMYFUNCTION("""COMPUTED_VALUE"""),"可")</f>
        <v>可</v>
      </c>
      <c r="Q3785" s="30"/>
      <c r="R3785" s="22" t="str">
        <f>IFERROR(__xludf.DUMMYFUNCTION("""COMPUTED_VALUE"""),"コミットOK")</f>
        <v>コミットOK</v>
      </c>
      <c r="S3785" s="22" t="str">
        <f>IFERROR(__xludf.DUMMYFUNCTION("""COMPUTED_VALUE"""),"20250818_大洋図書_呪われ公爵")</f>
        <v>20250818_大洋図書_呪われ公爵</v>
      </c>
      <c r="T3785" s="22" t="str">
        <f>IFERROR(__xludf.DUMMYFUNCTION("""COMPUTED_VALUE"""),"格納済み")</f>
        <v>格納済み</v>
      </c>
      <c r="U3785" s="9" t="str">
        <f>IFERROR(__xludf.DUMMYFUNCTION("""COMPUTED_VALUE"""),"(C) 猫柴/大洋図書")</f>
        <v>(C) 猫柴/大洋図書</v>
      </c>
      <c r="V3785" s="8"/>
      <c r="W3785" s="8"/>
      <c r="X3785" s="8" t="str">
        <f>IFERROR(__xludf.DUMMYFUNCTION("""COMPUTED_VALUE"""),"有")</f>
        <v>有</v>
      </c>
      <c r="Y3785" s="8" t="str">
        <f>IFERROR(__xludf.DUMMYFUNCTION("""COMPUTED_VALUE"""),"P9まで")</f>
        <v>P9まで</v>
      </c>
      <c r="Z3785" s="7"/>
      <c r="AA3785" s="7"/>
      <c r="AB3785" s="7"/>
    </row>
    <row r="3786" ht="15.75" customHeight="1">
      <c r="A3786" s="26">
        <f>IFERROR(__xludf.DUMMYFUNCTION("""COMPUTED_VALUE"""),6120.0)</f>
        <v>6120</v>
      </c>
      <c r="B3786" s="22" t="str">
        <f>IFERROR(__xludf.DUMMYFUNCTION("""COMPUTED_VALUE"""),"確定")</f>
        <v>確定</v>
      </c>
      <c r="C3786" s="28">
        <f>IFERROR(__xludf.DUMMYFUNCTION("""COMPUTED_VALUE"""),45861.0)</f>
        <v>45861</v>
      </c>
      <c r="D3786" s="28">
        <f>IFERROR(__xludf.DUMMYFUNCTION("""COMPUTED_VALUE"""),45861.0)</f>
        <v>45861</v>
      </c>
      <c r="E3786" s="26">
        <f>IFERROR(__xludf.DUMMYFUNCTION("""COMPUTED_VALUE"""),336853.0)</f>
        <v>336853</v>
      </c>
      <c r="F3786" s="22" t="str">
        <f>IFERROR(__xludf.DUMMYFUNCTION("""COMPUTED_VALUE"""),"二人で一人、開始します！【分冊版】")</f>
        <v>二人で一人、開始します！【分冊版】</v>
      </c>
      <c r="G3786" s="20" t="str">
        <f>IFERROR(__xludf.DUMMYFUNCTION("""COMPUTED_VALUE"""),"1～5")</f>
        <v>1～5</v>
      </c>
      <c r="H3786" s="22" t="str">
        <f>IFERROR(__xludf.DUMMYFUNCTION("""COMPUTED_VALUE"""),"原作：みなと／作画：トミダトモミ／構成：Ai")</f>
        <v>原作：みなと／作画：トミダトモミ／構成：Ai</v>
      </c>
      <c r="I3786" s="22" t="str">
        <f>IFERROR(__xludf.DUMMYFUNCTION("""COMPUTED_VALUE"""),"女性")</f>
        <v>女性</v>
      </c>
      <c r="J3786" s="22"/>
      <c r="K3786" s="22"/>
      <c r="L3786" s="22" t="str">
        <f>IFERROR(__xludf.DUMMYFUNCTION("""COMPUTED_VALUE"""),"マンガボックス")</f>
        <v>マンガボックス</v>
      </c>
      <c r="M3786" s="33">
        <f>IFERROR(__xludf.DUMMYFUNCTION("""COMPUTED_VALUE"""),45916.0)</f>
        <v>45916</v>
      </c>
      <c r="N3786" s="33">
        <f>IFERROR(__xludf.DUMMYFUNCTION("""COMPUTED_VALUE"""),46006.0)</f>
        <v>46006</v>
      </c>
      <c r="O3786" s="20"/>
      <c r="P3786" s="32" t="str">
        <f>IFERROR(__xludf.DUMMYFUNCTION("""COMPUTED_VALUE"""),"否")</f>
        <v>否</v>
      </c>
      <c r="Q3786" s="30" t="str">
        <f>IFERROR(__xludf.DUMMYFUNCTION("""COMPUTED_VALUE"""),"※初回分冊版5巻までの配信となりますが、5巻目のデータ準備がギリギリとなりそうなため、分冊版4巻分（単行本1巻収録分）でのご共有となります。")</f>
        <v>※初回分冊版5巻までの配信となりますが、5巻目のデータ準備がギリギリとなりそうなため、分冊版4巻分（単行本1巻収録分）でのご共有となります。</v>
      </c>
      <c r="R3786" s="22" t="str">
        <f>IFERROR(__xludf.DUMMYFUNCTION("""COMPUTED_VALUE"""),"コミットOK")</f>
        <v>コミットOK</v>
      </c>
      <c r="S3786" s="22" t="str">
        <f>IFERROR(__xludf.DUMMYFUNCTION("""COMPUTED_VALUE"""),"20250820_マンガボックス_二人で一人、開始します！")</f>
        <v>20250820_マンガボックス_二人で一人、開始します！</v>
      </c>
      <c r="T3786" s="22" t="str">
        <f>IFERROR(__xludf.DUMMYFUNCTION("""COMPUTED_VALUE"""),"格納済み")</f>
        <v>格納済み</v>
      </c>
      <c r="U3786" s="9" t="str">
        <f>IFERROR(__xludf.DUMMYFUNCTION("""COMPUTED_VALUE"""),"Ⓒみなと・トミダトモミ・Ai/マンガボックス")</f>
        <v>Ⓒみなと・トミダトモミ・Ai/マンガボックス</v>
      </c>
      <c r="V3786" s="8"/>
      <c r="W3786" s="8"/>
      <c r="X3786" s="8" t="str">
        <f>IFERROR(__xludf.DUMMYFUNCTION("""COMPUTED_VALUE"""),"有")</f>
        <v>有</v>
      </c>
      <c r="Y3786" s="8" t="str">
        <f>IFERROR(__xludf.DUMMYFUNCTION("""COMPUTED_VALUE"""),"2025/10/6まで1巻無料")</f>
        <v>2025/10/6まで1巻無料</v>
      </c>
      <c r="Z3786" s="7"/>
      <c r="AA3786" s="7"/>
      <c r="AB3786" s="7"/>
    </row>
    <row r="3787" ht="15.75" customHeight="1">
      <c r="A3787" s="26">
        <f>IFERROR(__xludf.DUMMYFUNCTION("""COMPUTED_VALUE"""),6132.0)</f>
        <v>6132</v>
      </c>
      <c r="B3787" s="22" t="str">
        <f>IFERROR(__xludf.DUMMYFUNCTION("""COMPUTED_VALUE"""),"確定")</f>
        <v>確定</v>
      </c>
      <c r="C3787" s="28">
        <f>IFERROR(__xludf.DUMMYFUNCTION("""COMPUTED_VALUE"""),45863.0)</f>
        <v>45863</v>
      </c>
      <c r="D3787" s="28">
        <f>IFERROR(__xludf.DUMMYFUNCTION("""COMPUTED_VALUE"""),45888.0)</f>
        <v>45888</v>
      </c>
      <c r="E3787" s="26">
        <f>IFERROR(__xludf.DUMMYFUNCTION("""COMPUTED_VALUE"""),335212.0)</f>
        <v>335212</v>
      </c>
      <c r="F3787" s="22" t="str">
        <f>IFERROR(__xludf.DUMMYFUNCTION("""COMPUTED_VALUE"""),"ギャルとガリ勉～入り浸り勉強会でお礼セックス～【R版】")</f>
        <v>ギャルとガリ勉～入り浸り勉強会でお礼セックス～【R版】</v>
      </c>
      <c r="G3787" s="20" t="str">
        <f>IFERROR(__xludf.DUMMYFUNCTION("""COMPUTED_VALUE"""),"1～3")</f>
        <v>1～3</v>
      </c>
      <c r="H3787" s="22" t="str">
        <f>IFERROR(__xludf.DUMMYFUNCTION("""COMPUTED_VALUE"""),"阿賀まりの")</f>
        <v>阿賀まりの</v>
      </c>
      <c r="I3787" s="22" t="str">
        <f>IFERROR(__xludf.DUMMYFUNCTION("""COMPUTED_VALUE"""),"アダルト")</f>
        <v>アダルト</v>
      </c>
      <c r="J3787" s="22"/>
      <c r="K3787" s="22" t="str">
        <f>IFERROR(__xludf.DUMMYFUNCTION("""COMPUTED_VALUE"""),"もえスタビースト")</f>
        <v>もえスタビースト</v>
      </c>
      <c r="L3787" s="22" t="str">
        <f>IFERROR(__xludf.DUMMYFUNCTION("""COMPUTED_VALUE"""),"DEEPER-ZERO")</f>
        <v>DEEPER-ZERO</v>
      </c>
      <c r="M3787" s="33">
        <f>IFERROR(__xludf.DUMMYFUNCTION("""COMPUTED_VALUE"""),45913.0)</f>
        <v>45913</v>
      </c>
      <c r="N3787" s="33">
        <f>IFERROR(__xludf.DUMMYFUNCTION("""COMPUTED_VALUE"""),45968.0)</f>
        <v>45968</v>
      </c>
      <c r="O3787" s="20"/>
      <c r="P3787" s="32" t="str">
        <f>IFERROR(__xludf.DUMMYFUNCTION("""COMPUTED_VALUE"""),"可")</f>
        <v>可</v>
      </c>
      <c r="Q3787" s="30" t="str">
        <f>IFERROR(__xludf.DUMMYFUNCTION("""COMPUTED_VALUE"""),"連載先行(数社)")</f>
        <v>連載先行(数社)</v>
      </c>
      <c r="R3787" s="22" t="str">
        <f>IFERROR(__xludf.DUMMYFUNCTION("""COMPUTED_VALUE"""),"コミットOK")</f>
        <v>コミットOK</v>
      </c>
      <c r="S3787" s="22" t="str">
        <f>IFERROR(__xludf.DUMMYFUNCTION("""COMPUTED_VALUE"""),"20250819_DEEPER-ZERO_ギャルとガリ勉～入り浸り勉強会でお礼セックス～")</f>
        <v>20250819_DEEPER-ZERO_ギャルとガリ勉～入り浸り勉強会でお礼セックス～</v>
      </c>
      <c r="T3787" s="22" t="str">
        <f>IFERROR(__xludf.DUMMYFUNCTION("""COMPUTED_VALUE"""),"格納済み")</f>
        <v>格納済み</v>
      </c>
      <c r="U3787" s="9" t="str">
        <f>IFERROR(__xludf.DUMMYFUNCTION("""COMPUTED_VALUE"""),"Ⓒ阿賀まりの/DEEPER-ZERO")</f>
        <v>Ⓒ阿賀まりの/DEEPER-ZERO</v>
      </c>
      <c r="V3787" s="8"/>
      <c r="W3787" s="8"/>
      <c r="X3787" s="8" t="str">
        <f>IFERROR(__xludf.DUMMYFUNCTION("""COMPUTED_VALUE"""),"有")</f>
        <v>有</v>
      </c>
      <c r="Y3787" s="8" t="str">
        <f>IFERROR(__xludf.DUMMYFUNCTION("""COMPUTED_VALUE"""),"P10まで")</f>
        <v>P10まで</v>
      </c>
      <c r="Z3787" s="7"/>
      <c r="AA3787" s="7"/>
      <c r="AB3787" s="7"/>
    </row>
    <row r="3788" ht="15.75" customHeight="1">
      <c r="A3788" s="26">
        <f>IFERROR(__xludf.DUMMYFUNCTION("""COMPUTED_VALUE"""),6151.0)</f>
        <v>6151</v>
      </c>
      <c r="B3788" s="22" t="str">
        <f>IFERROR(__xludf.DUMMYFUNCTION("""COMPUTED_VALUE"""),"確定")</f>
        <v>確定</v>
      </c>
      <c r="C3788" s="28">
        <f>IFERROR(__xludf.DUMMYFUNCTION("""COMPUTED_VALUE"""),45867.0)</f>
        <v>45867</v>
      </c>
      <c r="D3788" s="28">
        <f>IFERROR(__xludf.DUMMYFUNCTION("""COMPUTED_VALUE"""),45887.0)</f>
        <v>45887</v>
      </c>
      <c r="E3788" s="26">
        <f>IFERROR(__xludf.DUMMYFUNCTION("""COMPUTED_VALUE"""),339496.0)</f>
        <v>339496</v>
      </c>
      <c r="F3788" s="22" t="str">
        <f>IFERROR(__xludf.DUMMYFUNCTION("""COMPUTED_VALUE"""),"王子様と恋できない魔法にかけられています")</f>
        <v>王子様と恋できない魔法にかけられています</v>
      </c>
      <c r="G3788" s="20" t="str">
        <f>IFERROR(__xludf.DUMMYFUNCTION("""COMPUTED_VALUE"""),"1～3")</f>
        <v>1～3</v>
      </c>
      <c r="H3788" s="22" t="str">
        <f>IFERROR(__xludf.DUMMYFUNCTION("""COMPUTED_VALUE"""),"奥めぐ美")</f>
        <v>奥めぐ美</v>
      </c>
      <c r="I3788" s="22" t="str">
        <f>IFERROR(__xludf.DUMMYFUNCTION("""COMPUTED_VALUE"""),"女性")</f>
        <v>女性</v>
      </c>
      <c r="J3788" s="22"/>
      <c r="K3788" s="22"/>
      <c r="L3788" s="22" t="str">
        <f>IFERROR(__xludf.DUMMYFUNCTION("""COMPUTED_VALUE"""),"リブレ")</f>
        <v>リブレ</v>
      </c>
      <c r="M3788" s="33">
        <f>IFERROR(__xludf.DUMMYFUNCTION("""COMPUTED_VALUE"""),45960.0)</f>
        <v>45960</v>
      </c>
      <c r="N3788" s="33">
        <f>IFERROR(__xludf.DUMMYFUNCTION("""COMPUTED_VALUE"""),46015.0)</f>
        <v>46015</v>
      </c>
      <c r="O3788" s="20"/>
      <c r="P3788" s="32" t="str">
        <f>IFERROR(__xludf.DUMMYFUNCTION("""COMPUTED_VALUE"""),"可")</f>
        <v>可</v>
      </c>
      <c r="Q3788" s="30"/>
      <c r="R3788" s="22" t="str">
        <f>IFERROR(__xludf.DUMMYFUNCTION("""COMPUTED_VALUE"""),"コミットOK")</f>
        <v>コミットOK</v>
      </c>
      <c r="S3788" s="22" t="str">
        <f>IFERROR(__xludf.DUMMYFUNCTION("""COMPUTED_VALUE"""),"20250818_リブレ_王子様と恋できない魔法にかけられています")</f>
        <v>20250818_リブレ_王子様と恋できない魔法にかけられています</v>
      </c>
      <c r="T3788" s="22" t="str">
        <f>IFERROR(__xludf.DUMMYFUNCTION("""COMPUTED_VALUE"""),"格納済み")</f>
        <v>格納済み</v>
      </c>
      <c r="U3788" s="9" t="str">
        <f>IFERROR(__xludf.DUMMYFUNCTION("""COMPUTED_VALUE"""),"(C)奥めぐ美/libre")</f>
        <v>(C)奥めぐ美/libre</v>
      </c>
      <c r="V3788" s="8"/>
      <c r="W3788" s="8"/>
      <c r="X3788" s="8" t="str">
        <f>IFERROR(__xludf.DUMMYFUNCTION("""COMPUTED_VALUE"""),"有")</f>
        <v>有</v>
      </c>
      <c r="Y3788" s="8" t="str">
        <f>IFERROR(__xludf.DUMMYFUNCTION("""COMPUTED_VALUE"""),"P9まで")</f>
        <v>P9まで</v>
      </c>
      <c r="Z3788" s="7"/>
      <c r="AA3788" s="7"/>
      <c r="AB3788" s="7"/>
    </row>
    <row r="3789" ht="15.75" customHeight="1">
      <c r="A3789" s="26">
        <f>IFERROR(__xludf.DUMMYFUNCTION("""COMPUTED_VALUE"""),6160.0)</f>
        <v>6160</v>
      </c>
      <c r="B3789" s="22" t="str">
        <f>IFERROR(__xludf.DUMMYFUNCTION("""COMPUTED_VALUE"""),"確定")</f>
        <v>確定</v>
      </c>
      <c r="C3789" s="28">
        <f>IFERROR(__xludf.DUMMYFUNCTION("""COMPUTED_VALUE"""),45868.0)</f>
        <v>45868</v>
      </c>
      <c r="D3789" s="28">
        <f>IFERROR(__xludf.DUMMYFUNCTION("""COMPUTED_VALUE"""),45882.0)</f>
        <v>45882</v>
      </c>
      <c r="E3789" s="26">
        <f>IFERROR(__xludf.DUMMYFUNCTION("""COMPUTED_VALUE"""),334178.0)</f>
        <v>334178</v>
      </c>
      <c r="F3789" s="22" t="str">
        <f>IFERROR(__xludf.DUMMYFUNCTION("""COMPUTED_VALUE"""),"【ラブコフレ】月のない夜に抱いて")</f>
        <v>【ラブコフレ】月のない夜に抱いて</v>
      </c>
      <c r="G3789" s="20" t="str">
        <f>IFERROR(__xludf.DUMMYFUNCTION("""COMPUTED_VALUE"""),"1～3")</f>
        <v>1～3</v>
      </c>
      <c r="H3789" s="22" t="str">
        <f>IFERROR(__xludf.DUMMYFUNCTION("""COMPUTED_VALUE"""),"墨リンダ")</f>
        <v>墨リンダ</v>
      </c>
      <c r="I3789" s="22" t="str">
        <f>IFERROR(__xludf.DUMMYFUNCTION("""COMPUTED_VALUE"""),"TLマンガ")</f>
        <v>TLマンガ</v>
      </c>
      <c r="J3789" s="22"/>
      <c r="K3789" s="22" t="str">
        <f>IFERROR(__xludf.DUMMYFUNCTION("""COMPUTED_VALUE"""),"ラブコフレ")</f>
        <v>ラブコフレ</v>
      </c>
      <c r="L3789" s="22" t="str">
        <f>IFERROR(__xludf.DUMMYFUNCTION("""COMPUTED_VALUE"""),"大誠社")</f>
        <v>大誠社</v>
      </c>
      <c r="M3789" s="33">
        <f>IFERROR(__xludf.DUMMYFUNCTION("""COMPUTED_VALUE"""),45911.0)</f>
        <v>45911</v>
      </c>
      <c r="N3789" s="33">
        <f>IFERROR(__xludf.DUMMYFUNCTION("""COMPUTED_VALUE"""),46022.0)</f>
        <v>46022</v>
      </c>
      <c r="O3789" s="20"/>
      <c r="P3789" s="32" t="str">
        <f>IFERROR(__xludf.DUMMYFUNCTION("""COMPUTED_VALUE"""),"可")</f>
        <v>可</v>
      </c>
      <c r="Q3789" s="30" t="str">
        <f>IFERROR(__xludf.DUMMYFUNCTION("""COMPUTED_VALUE"""),"【アダルト作品扱い】")</f>
        <v>【アダルト作品扱い】</v>
      </c>
      <c r="R3789" s="22" t="str">
        <f>IFERROR(__xludf.DUMMYFUNCTION("""COMPUTED_VALUE"""),"コミットOK")</f>
        <v>コミットOK</v>
      </c>
      <c r="S3789" s="22" t="str">
        <f>IFERROR(__xludf.DUMMYFUNCTION("""COMPUTED_VALUE"""),"20250812_大誠社_【ラブコフレ】月のない夜に抱いて")</f>
        <v>20250812_大誠社_【ラブコフレ】月のない夜に抱いて</v>
      </c>
      <c r="T3789" s="22" t="str">
        <f>IFERROR(__xludf.DUMMYFUNCTION("""COMPUTED_VALUE"""),"格納済み")</f>
        <v>格納済み</v>
      </c>
      <c r="U3789" s="9" t="str">
        <f>IFERROR(__xludf.DUMMYFUNCTION("""COMPUTED_VALUE"""),"(C)墨リンダ/大誠社")</f>
        <v>(C)墨リンダ/大誠社</v>
      </c>
      <c r="V3789" s="8"/>
      <c r="W3789" s="8"/>
      <c r="X3789" s="8" t="str">
        <f>IFERROR(__xludf.DUMMYFUNCTION("""COMPUTED_VALUE"""),"有")</f>
        <v>有</v>
      </c>
      <c r="Y3789" s="8" t="str">
        <f>IFERROR(__xludf.DUMMYFUNCTION("""COMPUTED_VALUE"""),"P27まで")</f>
        <v>P27まで</v>
      </c>
      <c r="Z3789" s="7"/>
      <c r="AA3789" s="7"/>
      <c r="AB3789" s="7"/>
    </row>
    <row r="3790" ht="15.75" customHeight="1">
      <c r="A3790" s="26">
        <f>IFERROR(__xludf.DUMMYFUNCTION("""COMPUTED_VALUE"""),6179.0)</f>
        <v>6179</v>
      </c>
      <c r="B3790" s="22" t="str">
        <f>IFERROR(__xludf.DUMMYFUNCTION("""COMPUTED_VALUE"""),"確定")</f>
        <v>確定</v>
      </c>
      <c r="C3790" s="28">
        <f>IFERROR(__xludf.DUMMYFUNCTION("""COMPUTED_VALUE"""),45873.0)</f>
        <v>45873</v>
      </c>
      <c r="D3790" s="28">
        <f>IFERROR(__xludf.DUMMYFUNCTION("""COMPUTED_VALUE"""),45888.0)</f>
        <v>45888</v>
      </c>
      <c r="E3790" s="26">
        <f>IFERROR(__xludf.DUMMYFUNCTION("""COMPUTED_VALUE"""),336466.0)</f>
        <v>336466</v>
      </c>
      <c r="F3790" s="22" t="str">
        <f>IFERROR(__xludf.DUMMYFUNCTION("""COMPUTED_VALUE"""),"既婚の恋は害悪〜トキメキが幸福を蝕む〜【単話】")</f>
        <v>既婚の恋は害悪〜トキメキが幸福を蝕む〜【単話】</v>
      </c>
      <c r="G3790" s="20" t="str">
        <f>IFERROR(__xludf.DUMMYFUNCTION("""COMPUTED_VALUE"""),"1～3")</f>
        <v>1～3</v>
      </c>
      <c r="H3790" s="22" t="str">
        <f>IFERROR(__xludf.DUMMYFUNCTION("""COMPUTED_VALUE"""),"玉城るか")</f>
        <v>玉城るか</v>
      </c>
      <c r="I3790" s="22" t="str">
        <f>IFERROR(__xludf.DUMMYFUNCTION("""COMPUTED_VALUE"""),"女性")</f>
        <v>女性</v>
      </c>
      <c r="J3790" s="22"/>
      <c r="K3790" s="22"/>
      <c r="L3790" s="22" t="str">
        <f>IFERROR(__xludf.DUMMYFUNCTION("""COMPUTED_VALUE"""),"朝日新聞出版")</f>
        <v>朝日新聞出版</v>
      </c>
      <c r="M3790" s="33">
        <f>IFERROR(__xludf.DUMMYFUNCTION("""COMPUTED_VALUE"""),45930.0)</f>
        <v>45930</v>
      </c>
      <c r="N3790" s="33">
        <f>IFERROR(__xludf.DUMMYFUNCTION("""COMPUTED_VALUE"""),46020.0)</f>
        <v>46020</v>
      </c>
      <c r="O3790" s="20"/>
      <c r="P3790" s="32" t="str">
        <f>IFERROR(__xludf.DUMMYFUNCTION("""COMPUTED_VALUE"""),"可")</f>
        <v>可</v>
      </c>
      <c r="Q3790" s="30" t="str">
        <f>IFERROR(__xludf.DUMMYFUNCTION("""COMPUTED_VALUE"""),"・初回配信時施策：1話無料&lt;BR&gt;")</f>
        <v>・初回配信時施策：1話無料&lt;BR&gt;</v>
      </c>
      <c r="R3790" s="22" t="str">
        <f>IFERROR(__xludf.DUMMYFUNCTION("""COMPUTED_VALUE"""),"コミットOK")</f>
        <v>コミットOK</v>
      </c>
      <c r="S3790" s="22" t="str">
        <f>IFERROR(__xludf.DUMMYFUNCTION("""COMPUTED_VALUE"""),"20250808_朝日新聞出版_既婚の恋は害悪〜トキメキが幸福を蝕む〜【単話】")</f>
        <v>20250808_朝日新聞出版_既婚の恋は害悪〜トキメキが幸福を蝕む〜【単話】</v>
      </c>
      <c r="T3790" s="22" t="str">
        <f>IFERROR(__xludf.DUMMYFUNCTION("""COMPUTED_VALUE"""),"格納済み")</f>
        <v>格納済み</v>
      </c>
      <c r="U3790" s="9" t="str">
        <f>IFERROR(__xludf.DUMMYFUNCTION("""COMPUTED_VALUE"""),"(C) 玉城るか／朝日新聞出版")</f>
        <v>(C) 玉城るか／朝日新聞出版</v>
      </c>
      <c r="V3790" s="8"/>
      <c r="W3790" s="8"/>
      <c r="X3790" s="8" t="str">
        <f>IFERROR(__xludf.DUMMYFUNCTION("""COMPUTED_VALUE"""),"有")</f>
        <v>有</v>
      </c>
      <c r="Y3790" s="8" t="str">
        <f>IFERROR(__xludf.DUMMYFUNCTION("""COMPUTED_VALUE"""),"2025/9/29まで1巻無料")</f>
        <v>2025/9/29まで1巻無料</v>
      </c>
      <c r="Z3790" s="7"/>
      <c r="AA3790" s="7"/>
      <c r="AB3790" s="7"/>
    </row>
    <row r="3791" ht="15.75" customHeight="1">
      <c r="A3791" s="26">
        <f>IFERROR(__xludf.DUMMYFUNCTION("""COMPUTED_VALUE"""),6193.0)</f>
        <v>6193</v>
      </c>
      <c r="B3791" s="22" t="str">
        <f>IFERROR(__xludf.DUMMYFUNCTION("""COMPUTED_VALUE"""),"確定")</f>
        <v>確定</v>
      </c>
      <c r="C3791" s="28">
        <f>IFERROR(__xludf.DUMMYFUNCTION("""COMPUTED_VALUE"""),45874.0)</f>
        <v>45874</v>
      </c>
      <c r="D3791" s="28">
        <f>IFERROR(__xludf.DUMMYFUNCTION("""COMPUTED_VALUE"""),45888.0)</f>
        <v>45888</v>
      </c>
      <c r="E3791" s="26">
        <f>IFERROR(__xludf.DUMMYFUNCTION("""COMPUTED_VALUE"""),337880.0)</f>
        <v>337880</v>
      </c>
      <c r="F3791" s="22" t="str">
        <f>IFERROR(__xludf.DUMMYFUNCTION("""COMPUTED_VALUE"""),"超有能兵士の部下に嫌われていると思ってたら、長年虎視眈々と狙われていた話（単話版）")</f>
        <v>超有能兵士の部下に嫌われていると思ってたら、長年虎視眈々と狙われていた話（単話版）</v>
      </c>
      <c r="G3791" s="20" t="str">
        <f>IFERROR(__xludf.DUMMYFUNCTION("""COMPUTED_VALUE"""),"1～3")</f>
        <v>1～3</v>
      </c>
      <c r="H3791" s="22" t="str">
        <f>IFERROR(__xludf.DUMMYFUNCTION("""COMPUTED_VALUE"""),"作画：本多モコ 原作：永")</f>
        <v>作画：本多モコ 原作：永</v>
      </c>
      <c r="I3791" s="22" t="str">
        <f>IFERROR(__xludf.DUMMYFUNCTION("""COMPUTED_VALUE"""),"少女")</f>
        <v>少女</v>
      </c>
      <c r="J3791" s="22"/>
      <c r="K3791" s="22"/>
      <c r="L3791" s="22" t="str">
        <f>IFERROR(__xludf.DUMMYFUNCTION("""COMPUTED_VALUE"""),"コンパス")</f>
        <v>コンパス</v>
      </c>
      <c r="M3791" s="33">
        <f>IFERROR(__xludf.DUMMYFUNCTION("""COMPUTED_VALUE"""),45927.0)</f>
        <v>45927</v>
      </c>
      <c r="N3791" s="33">
        <f>IFERROR(__xludf.DUMMYFUNCTION("""COMPUTED_VALUE"""),46017.0)</f>
        <v>46017</v>
      </c>
      <c r="O3791" s="20"/>
      <c r="P3791" s="32" t="str">
        <f>IFERROR(__xludf.DUMMYFUNCTION("""COMPUTED_VALUE"""),"否")</f>
        <v>否</v>
      </c>
      <c r="Q3791" s="30" t="str">
        <f>IFERROR(__xludf.DUMMYFUNCTION("""COMPUTED_VALUE"""),"あらすじ：国軍の連隊を率いる女隊長シシィは、直属の部下であるセシルとの間に埋まらない溝を感じていた。優秀で眉目秀麗、家柄も良い彼は、部下としてパーフェクト。だが、シシィにだけ無愛想で可愛気がないのだ。そんな中とある任務がきっかけで、シシィに対するセシルの態度がガラリと変わってーー！？&lt;BR&gt;作画は「やっとお前が地獄に行くとこ見れるね～商社マンに遠距離不倫されていた私の5年間～」の作家さんです。&lt;BR&gt;シーモア様でもレビューが多数ついております。&lt;BR&gt;絵柄も綺麗で、クールビューティーな年下男子にぐいぐい迫"&amp;"られるシチュエーションが満載でたまらない作品です。")</f>
        <v>あらすじ：国軍の連隊を率いる女隊長シシィは、直属の部下であるセシルとの間に埋まらない溝を感じていた。優秀で眉目秀麗、家柄も良い彼は、部下としてパーフェクト。だが、シシィにだけ無愛想で可愛気がないのだ。そんな中とある任務がきっかけで、シシィに対するセシルの態度がガラリと変わってーー！？&lt;BR&gt;作画は「やっとお前が地獄に行くとこ見れるね～商社マンに遠距離不倫されていた私の5年間～」の作家さんです。&lt;BR&gt;シーモア様でもレビューが多数ついております。&lt;BR&gt;絵柄も綺麗で、クールビューティーな年下男子にぐいぐい迫られるシチュエーションが満載でたまらない作品です。</v>
      </c>
      <c r="R3791" s="22" t="str">
        <f>IFERROR(__xludf.DUMMYFUNCTION("""COMPUTED_VALUE"""),"コミットOK")</f>
        <v>コミットOK</v>
      </c>
      <c r="S3791" s="22" t="str">
        <f>IFERROR(__xludf.DUMMYFUNCTION("""COMPUTED_VALUE"""),"20250819_コンパス_超有能兵士の部下に嫌われていると思ってたら、長年虎視眈々と狙われていた話")</f>
        <v>20250819_コンパス_超有能兵士の部下に嫌われていると思ってたら、長年虎視眈々と狙われていた話</v>
      </c>
      <c r="T3791" s="22" t="str">
        <f>IFERROR(__xludf.DUMMYFUNCTION("""COMPUTED_VALUE"""),"格納済み")</f>
        <v>格納済み</v>
      </c>
      <c r="U3791" s="9" t="str">
        <f>IFERROR(__xludf.DUMMYFUNCTION("""COMPUTED_VALUE"""),"(C)本多モコ・永／コンパス")</f>
        <v>(C)本多モコ・永／コンパス</v>
      </c>
      <c r="V3791" s="8"/>
      <c r="W3791" s="8"/>
      <c r="X3791" s="8" t="str">
        <f>IFERROR(__xludf.DUMMYFUNCTION("""COMPUTED_VALUE"""),"有")</f>
        <v>有</v>
      </c>
      <c r="Y3791" s="8" t="str">
        <f>IFERROR(__xludf.DUMMYFUNCTION("""COMPUTED_VALUE"""),"2025/10/10まで1巻無料")</f>
        <v>2025/10/10まで1巻無料</v>
      </c>
      <c r="Z3791" s="7"/>
      <c r="AA3791" s="7"/>
      <c r="AB3791" s="7"/>
    </row>
    <row r="3792" ht="15.75" customHeight="1">
      <c r="A3792" s="26">
        <f>IFERROR(__xludf.DUMMYFUNCTION("""COMPUTED_VALUE"""),6231.0)</f>
        <v>6231</v>
      </c>
      <c r="B3792" s="22" t="str">
        <f>IFERROR(__xludf.DUMMYFUNCTION("""COMPUTED_VALUE"""),"確定")</f>
        <v>確定</v>
      </c>
      <c r="C3792" s="28">
        <f>IFERROR(__xludf.DUMMYFUNCTION("""COMPUTED_VALUE"""),45876.0)</f>
        <v>45876</v>
      </c>
      <c r="D3792" s="28">
        <f>IFERROR(__xludf.DUMMYFUNCTION("""COMPUTED_VALUE"""),45877.0)</f>
        <v>45877</v>
      </c>
      <c r="E3792" s="26">
        <f>IFERROR(__xludf.DUMMYFUNCTION("""COMPUTED_VALUE"""),334385.0)</f>
        <v>334385</v>
      </c>
      <c r="F3792" s="22" t="str">
        <f>IFERROR(__xludf.DUMMYFUNCTION("""COMPUTED_VALUE"""),"有能すぎて婚約破棄されましたが、王子は私にゾッコンなので問題ありません。")</f>
        <v>有能すぎて婚約破棄されましたが、王子は私にゾッコンなので問題ありません。</v>
      </c>
      <c r="G3792" s="20" t="str">
        <f>IFERROR(__xludf.DUMMYFUNCTION("""COMPUTED_VALUE"""),"1～2")</f>
        <v>1～2</v>
      </c>
      <c r="H3792" s="22" t="str">
        <f>IFERROR(__xludf.DUMMYFUNCTION("""COMPUTED_VALUE"""),"水村あくと／COMIC ROOM")</f>
        <v>水村あくと／COMIC ROOM</v>
      </c>
      <c r="I3792" s="22" t="str">
        <f>IFERROR(__xludf.DUMMYFUNCTION("""COMPUTED_VALUE"""),"女性")</f>
        <v>女性</v>
      </c>
      <c r="J3792" s="22"/>
      <c r="K3792" s="22"/>
      <c r="L3792" s="22" t="str">
        <f>IFERROR(__xludf.DUMMYFUNCTION("""COMPUTED_VALUE"""),"コミックルーム")</f>
        <v>コミックルーム</v>
      </c>
      <c r="M3792" s="33">
        <f>IFERROR(__xludf.DUMMYFUNCTION("""COMPUTED_VALUE"""),45915.0)</f>
        <v>45915</v>
      </c>
      <c r="N3792" s="33">
        <f>IFERROR(__xludf.DUMMYFUNCTION("""COMPUTED_VALUE"""),46005.0)</f>
        <v>46005</v>
      </c>
      <c r="O3792" s="20"/>
      <c r="P3792" s="32" t="str">
        <f>IFERROR(__xludf.DUMMYFUNCTION("""COMPUTED_VALUE"""),"可")</f>
        <v>可</v>
      </c>
      <c r="Q3792" s="30"/>
      <c r="R3792" s="22"/>
      <c r="S3792" s="22" t="str">
        <f>IFERROR(__xludf.DUMMYFUNCTION("""COMPUTED_VALUE"""),"20250807_コミックルーム_有能すぎて婚約破棄されましたが、王子は私にゾッコンなので問題ありません。")</f>
        <v>20250807_コミックルーム_有能すぎて婚約破棄されましたが、王子は私にゾッコンなので問題ありません。</v>
      </c>
      <c r="T3792" s="22" t="str">
        <f>IFERROR(__xludf.DUMMYFUNCTION("""COMPUTED_VALUE"""),"格納済み")</f>
        <v>格納済み</v>
      </c>
      <c r="U3792" s="9" t="str">
        <f>IFERROR(__xludf.DUMMYFUNCTION("""COMPUTED_VALUE"""),"(c)水村あくと／COMIC ROOM")</f>
        <v>(c)水村あくと／COMIC ROOM</v>
      </c>
      <c r="V3792" s="8"/>
      <c r="W3792" s="8"/>
      <c r="X3792" s="8" t="str">
        <f>IFERROR(__xludf.DUMMYFUNCTION("""COMPUTED_VALUE"""),"有")</f>
        <v>有</v>
      </c>
      <c r="Y3792" s="8" t="str">
        <f>IFERROR(__xludf.DUMMYFUNCTION("""COMPUTED_VALUE"""),"P9まで")</f>
        <v>P9まで</v>
      </c>
      <c r="Z3792" s="7"/>
      <c r="AA3792" s="7"/>
      <c r="AB3792" s="7"/>
    </row>
    <row r="3793" ht="15.75" customHeight="1">
      <c r="A3793" s="26">
        <f>IFERROR(__xludf.DUMMYFUNCTION("""COMPUTED_VALUE"""),6232.0)</f>
        <v>6232</v>
      </c>
      <c r="B3793" s="22" t="str">
        <f>IFERROR(__xludf.DUMMYFUNCTION("""COMPUTED_VALUE"""),"確定")</f>
        <v>確定</v>
      </c>
      <c r="C3793" s="28">
        <f>IFERROR(__xludf.DUMMYFUNCTION("""COMPUTED_VALUE"""),45876.0)</f>
        <v>45876</v>
      </c>
      <c r="D3793" s="28">
        <f>IFERROR(__xludf.DUMMYFUNCTION("""COMPUTED_VALUE"""),45877.0)</f>
        <v>45877</v>
      </c>
      <c r="E3793" s="26">
        <f>IFERROR(__xludf.DUMMYFUNCTION("""COMPUTED_VALUE"""),334384.0)</f>
        <v>334384</v>
      </c>
      <c r="F3793" s="22" t="str">
        <f>IFERROR(__xludf.DUMMYFUNCTION("""COMPUTED_VALUE"""),"気味が悪いと蔑まれた令嬢ですが、女嫌いの辺境伯様は私を娶って溺愛してくださいます")</f>
        <v>気味が悪いと蔑まれた令嬢ですが、女嫌いの辺境伯様は私を娶って溺愛してくださいます</v>
      </c>
      <c r="G3793" s="20" t="str">
        <f>IFERROR(__xludf.DUMMYFUNCTION("""COMPUTED_VALUE"""),"1～2")</f>
        <v>1～2</v>
      </c>
      <c r="H3793" s="22" t="str">
        <f>IFERROR(__xludf.DUMMYFUNCTION("""COMPUTED_VALUE"""),"サイハラナオ／COMIC ROOM")</f>
        <v>サイハラナオ／COMIC ROOM</v>
      </c>
      <c r="I3793" s="22" t="str">
        <f>IFERROR(__xludf.DUMMYFUNCTION("""COMPUTED_VALUE"""),"女性")</f>
        <v>女性</v>
      </c>
      <c r="J3793" s="22"/>
      <c r="K3793" s="22"/>
      <c r="L3793" s="22" t="str">
        <f>IFERROR(__xludf.DUMMYFUNCTION("""COMPUTED_VALUE"""),"コミックルーム")</f>
        <v>コミックルーム</v>
      </c>
      <c r="M3793" s="33">
        <f>IFERROR(__xludf.DUMMYFUNCTION("""COMPUTED_VALUE"""),45915.0)</f>
        <v>45915</v>
      </c>
      <c r="N3793" s="33">
        <f>IFERROR(__xludf.DUMMYFUNCTION("""COMPUTED_VALUE"""),46005.0)</f>
        <v>46005</v>
      </c>
      <c r="O3793" s="20"/>
      <c r="P3793" s="32" t="str">
        <f>IFERROR(__xludf.DUMMYFUNCTION("""COMPUTED_VALUE"""),"可")</f>
        <v>可</v>
      </c>
      <c r="Q3793" s="30"/>
      <c r="R3793" s="22"/>
      <c r="S3793" s="22" t="str">
        <f>IFERROR(__xludf.DUMMYFUNCTION("""COMPUTED_VALUE"""),"20250807_コミックルーム_気味が悪いと蔑まれた令嬢ですが、女嫌いの辺境伯様は私を娶って溺愛してくださいます")</f>
        <v>20250807_コミックルーム_気味が悪いと蔑まれた令嬢ですが、女嫌いの辺境伯様は私を娶って溺愛してくださいます</v>
      </c>
      <c r="T3793" s="22" t="str">
        <f>IFERROR(__xludf.DUMMYFUNCTION("""COMPUTED_VALUE"""),"格納済み")</f>
        <v>格納済み</v>
      </c>
      <c r="U3793" s="9" t="str">
        <f>IFERROR(__xludf.DUMMYFUNCTION("""COMPUTED_VALUE"""),"(c)サイハラナオ／COMIC ROOM")</f>
        <v>(c)サイハラナオ／COMIC ROOM</v>
      </c>
      <c r="V3793" s="8"/>
      <c r="W3793" s="8"/>
      <c r="X3793" s="8" t="str">
        <f>IFERROR(__xludf.DUMMYFUNCTION("""COMPUTED_VALUE"""),"有")</f>
        <v>有</v>
      </c>
      <c r="Y3793" s="8" t="str">
        <f>IFERROR(__xludf.DUMMYFUNCTION("""COMPUTED_VALUE"""),"P17まで")</f>
        <v>P17まで</v>
      </c>
      <c r="Z3793" s="7"/>
      <c r="AA3793" s="7"/>
      <c r="AB3793" s="7"/>
    </row>
    <row r="3794" ht="15.75" customHeight="1">
      <c r="A3794" s="26">
        <f>IFERROR(__xludf.DUMMYFUNCTION("""COMPUTED_VALUE"""),6233.0)</f>
        <v>6233</v>
      </c>
      <c r="B3794" s="22" t="str">
        <f>IFERROR(__xludf.DUMMYFUNCTION("""COMPUTED_VALUE"""),"確定")</f>
        <v>確定</v>
      </c>
      <c r="C3794" s="28">
        <f>IFERROR(__xludf.DUMMYFUNCTION("""COMPUTED_VALUE"""),45876.0)</f>
        <v>45876</v>
      </c>
      <c r="D3794" s="28">
        <f>IFERROR(__xludf.DUMMYFUNCTION("""COMPUTED_VALUE"""),45877.0)</f>
        <v>45877</v>
      </c>
      <c r="E3794" s="26">
        <f>IFERROR(__xludf.DUMMYFUNCTION("""COMPUTED_VALUE"""),334387.0)</f>
        <v>334387</v>
      </c>
      <c r="F3794" s="22" t="str">
        <f>IFERROR(__xludf.DUMMYFUNCTION("""COMPUTED_VALUE"""),"地味なせいで家族中からハブられましたが、読心スキルで優しい騎士団長様と甘い未来を掴みます！")</f>
        <v>地味なせいで家族中からハブられましたが、読心スキルで優しい騎士団長様と甘い未来を掴みます！</v>
      </c>
      <c r="G3794" s="20" t="str">
        <f>IFERROR(__xludf.DUMMYFUNCTION("""COMPUTED_VALUE"""),"1～2")</f>
        <v>1～2</v>
      </c>
      <c r="H3794" s="22" t="str">
        <f>IFERROR(__xludf.DUMMYFUNCTION("""COMPUTED_VALUE"""),"くさなか／COMIC ROOM")</f>
        <v>くさなか／COMIC ROOM</v>
      </c>
      <c r="I3794" s="22" t="str">
        <f>IFERROR(__xludf.DUMMYFUNCTION("""COMPUTED_VALUE"""),"女性")</f>
        <v>女性</v>
      </c>
      <c r="J3794" s="22"/>
      <c r="K3794" s="22"/>
      <c r="L3794" s="22" t="str">
        <f>IFERROR(__xludf.DUMMYFUNCTION("""COMPUTED_VALUE"""),"コミックルーム")</f>
        <v>コミックルーム</v>
      </c>
      <c r="M3794" s="33">
        <f>IFERROR(__xludf.DUMMYFUNCTION("""COMPUTED_VALUE"""),45915.0)</f>
        <v>45915</v>
      </c>
      <c r="N3794" s="33">
        <f>IFERROR(__xludf.DUMMYFUNCTION("""COMPUTED_VALUE"""),46005.0)</f>
        <v>46005</v>
      </c>
      <c r="O3794" s="20"/>
      <c r="P3794" s="32" t="str">
        <f>IFERROR(__xludf.DUMMYFUNCTION("""COMPUTED_VALUE"""),"可")</f>
        <v>可</v>
      </c>
      <c r="Q3794" s="30"/>
      <c r="R3794" s="22"/>
      <c r="S3794" s="22" t="str">
        <f>IFERROR(__xludf.DUMMYFUNCTION("""COMPUTED_VALUE"""),"20250807_コミックルーム_地味なせいで家族中からハブられましたが、読心スキルで優しい騎士団長様と甘い未来を掴みます！")</f>
        <v>20250807_コミックルーム_地味なせいで家族中からハブられましたが、読心スキルで優しい騎士団長様と甘い未来を掴みます！</v>
      </c>
      <c r="T3794" s="22" t="str">
        <f>IFERROR(__xludf.DUMMYFUNCTION("""COMPUTED_VALUE"""),"格納済み")</f>
        <v>格納済み</v>
      </c>
      <c r="U3794" s="9" t="str">
        <f>IFERROR(__xludf.DUMMYFUNCTION("""COMPUTED_VALUE"""),"(c)くさなか／COMIC ROOM")</f>
        <v>(c)くさなか／COMIC ROOM</v>
      </c>
      <c r="V3794" s="8"/>
      <c r="W3794" s="8"/>
      <c r="X3794" s="8" t="str">
        <f>IFERROR(__xludf.DUMMYFUNCTION("""COMPUTED_VALUE"""),"有")</f>
        <v>有</v>
      </c>
      <c r="Y3794" s="8" t="str">
        <f>IFERROR(__xludf.DUMMYFUNCTION("""COMPUTED_VALUE"""),"P14まで")</f>
        <v>P14まで</v>
      </c>
      <c r="Z3794" s="7"/>
      <c r="AA3794" s="7"/>
      <c r="AB3794" s="7"/>
    </row>
    <row r="3795" ht="15.75" customHeight="1">
      <c r="A3795" s="26">
        <f>IFERROR(__xludf.DUMMYFUNCTION("""COMPUTED_VALUE"""),6234.0)</f>
        <v>6234</v>
      </c>
      <c r="B3795" s="22" t="str">
        <f>IFERROR(__xludf.DUMMYFUNCTION("""COMPUTED_VALUE"""),"確定")</f>
        <v>確定</v>
      </c>
      <c r="C3795" s="28">
        <f>IFERROR(__xludf.DUMMYFUNCTION("""COMPUTED_VALUE"""),45876.0)</f>
        <v>45876</v>
      </c>
      <c r="D3795" s="28">
        <f>IFERROR(__xludf.DUMMYFUNCTION("""COMPUTED_VALUE"""),45877.0)</f>
        <v>45877</v>
      </c>
      <c r="E3795" s="26">
        <f>IFERROR(__xludf.DUMMYFUNCTION("""COMPUTED_VALUE"""),334386.0)</f>
        <v>334386</v>
      </c>
      <c r="F3795" s="22" t="str">
        <f>IFERROR(__xludf.DUMMYFUNCTION("""COMPUTED_VALUE"""),"さよなら婚約者様〜二股男を成敗したら、公爵様の溺愛が待っていました〜")</f>
        <v>さよなら婚約者様〜二股男を成敗したら、公爵様の溺愛が待っていました〜</v>
      </c>
      <c r="G3795" s="20" t="str">
        <f>IFERROR(__xludf.DUMMYFUNCTION("""COMPUTED_VALUE"""),"1～2")</f>
        <v>1～2</v>
      </c>
      <c r="H3795" s="22" t="str">
        <f>IFERROR(__xludf.DUMMYFUNCTION("""COMPUTED_VALUE"""),"齋宮太郎／COMIC ROOM")</f>
        <v>齋宮太郎／COMIC ROOM</v>
      </c>
      <c r="I3795" s="22" t="str">
        <f>IFERROR(__xludf.DUMMYFUNCTION("""COMPUTED_VALUE"""),"女性")</f>
        <v>女性</v>
      </c>
      <c r="J3795" s="22"/>
      <c r="K3795" s="22"/>
      <c r="L3795" s="22" t="str">
        <f>IFERROR(__xludf.DUMMYFUNCTION("""COMPUTED_VALUE"""),"コミックルーム")</f>
        <v>コミックルーム</v>
      </c>
      <c r="M3795" s="33">
        <f>IFERROR(__xludf.DUMMYFUNCTION("""COMPUTED_VALUE"""),45915.0)</f>
        <v>45915</v>
      </c>
      <c r="N3795" s="33">
        <f>IFERROR(__xludf.DUMMYFUNCTION("""COMPUTED_VALUE"""),46005.0)</f>
        <v>46005</v>
      </c>
      <c r="O3795" s="20"/>
      <c r="P3795" s="32" t="str">
        <f>IFERROR(__xludf.DUMMYFUNCTION("""COMPUTED_VALUE"""),"可")</f>
        <v>可</v>
      </c>
      <c r="Q3795" s="30"/>
      <c r="R3795" s="22"/>
      <c r="S3795" s="22" t="str">
        <f>IFERROR(__xludf.DUMMYFUNCTION("""COMPUTED_VALUE"""),"20250807_コミックルーム_さよなら婚約者様〜二股男を成敗したら、公爵様の溺愛が待っていました〜")</f>
        <v>20250807_コミックルーム_さよなら婚約者様〜二股男を成敗したら、公爵様の溺愛が待っていました〜</v>
      </c>
      <c r="T3795" s="22" t="str">
        <f>IFERROR(__xludf.DUMMYFUNCTION("""COMPUTED_VALUE"""),"格納済み")</f>
        <v>格納済み</v>
      </c>
      <c r="U3795" s="9" t="str">
        <f>IFERROR(__xludf.DUMMYFUNCTION("""COMPUTED_VALUE"""),"(c)齋宮太郎／COMIC ROOM")</f>
        <v>(c)齋宮太郎／COMIC ROOM</v>
      </c>
      <c r="V3795" s="8"/>
      <c r="W3795" s="8"/>
      <c r="X3795" s="8" t="str">
        <f>IFERROR(__xludf.DUMMYFUNCTION("""COMPUTED_VALUE"""),"有")</f>
        <v>有</v>
      </c>
      <c r="Y3795" s="8" t="str">
        <f>IFERROR(__xludf.DUMMYFUNCTION("""COMPUTED_VALUE"""),"P12まで")</f>
        <v>P12まで</v>
      </c>
      <c r="Z3795" s="7"/>
      <c r="AA3795" s="7"/>
      <c r="AB3795" s="7"/>
    </row>
    <row r="3796" ht="15.75" customHeight="1">
      <c r="A3796" s="26">
        <f>IFERROR(__xludf.DUMMYFUNCTION("""COMPUTED_VALUE"""),6235.0)</f>
        <v>6235</v>
      </c>
      <c r="B3796" s="22" t="str">
        <f>IFERROR(__xludf.DUMMYFUNCTION("""COMPUTED_VALUE"""),"確定")</f>
        <v>確定</v>
      </c>
      <c r="C3796" s="28">
        <f>IFERROR(__xludf.DUMMYFUNCTION("""COMPUTED_VALUE"""),45876.0)</f>
        <v>45876</v>
      </c>
      <c r="D3796" s="28">
        <f>IFERROR(__xludf.DUMMYFUNCTION("""COMPUTED_VALUE"""),45883.0)</f>
        <v>45883</v>
      </c>
      <c r="E3796" s="26">
        <f>IFERROR(__xludf.DUMMYFUNCTION("""COMPUTED_VALUE"""),332083.0)</f>
        <v>332083</v>
      </c>
      <c r="F3796" s="22" t="str">
        <f>IFERROR(__xludf.DUMMYFUNCTION("""COMPUTED_VALUE"""),"この恋は諦めたはずなのに、助けた王子が今日も甘い")</f>
        <v>この恋は諦めたはずなのに、助けた王子が今日も甘い</v>
      </c>
      <c r="G3796" s="20">
        <f>IFERROR(__xludf.DUMMYFUNCTION("""COMPUTED_VALUE"""),1.0)</f>
        <v>1</v>
      </c>
      <c r="H3796" s="22" t="str">
        <f>IFERROR(__xludf.DUMMYFUNCTION("""COMPUTED_VALUE"""),"花散ここ,美琴アヤ")</f>
        <v>花散ここ,美琴アヤ</v>
      </c>
      <c r="I3796" s="22" t="str">
        <f>IFERROR(__xludf.DUMMYFUNCTION("""COMPUTED_VALUE"""),"少女マンガ")</f>
        <v>少女マンガ</v>
      </c>
      <c r="J3796" s="22"/>
      <c r="K3796" s="22"/>
      <c r="L3796" s="22" t="str">
        <f>IFERROR(__xludf.DUMMYFUNCTION("""COMPUTED_VALUE"""),"ファンギルド")</f>
        <v>ファンギルド</v>
      </c>
      <c r="M3796" s="33">
        <f>IFERROR(__xludf.DUMMYFUNCTION("""COMPUTED_VALUE"""),45890.0)</f>
        <v>45890</v>
      </c>
      <c r="N3796" s="33">
        <f>IFERROR(__xludf.DUMMYFUNCTION("""COMPUTED_VALUE"""),45917.0)</f>
        <v>45917</v>
      </c>
      <c r="O3796" s="20"/>
      <c r="P3796" s="32" t="str">
        <f>IFERROR(__xludf.DUMMYFUNCTION("""COMPUTED_VALUE"""),"可")</f>
        <v>可</v>
      </c>
      <c r="Q3796" s="30"/>
      <c r="R3796" s="22"/>
      <c r="S3796" s="22" t="str">
        <f>IFERROR(__xludf.DUMMYFUNCTION("""COMPUTED_VALUE"""),"20250807_ファンギルド_この恋は諦めたはずなのに、助けた王子が今日も甘い")</f>
        <v>20250807_ファンギルド_この恋は諦めたはずなのに、助けた王子が今日も甘い</v>
      </c>
      <c r="T3796" s="22" t="str">
        <f>IFERROR(__xludf.DUMMYFUNCTION("""COMPUTED_VALUE"""),"格納済み")</f>
        <v>格納済み</v>
      </c>
      <c r="U3796" s="9" t="str">
        <f>IFERROR(__xludf.DUMMYFUNCTION("""COMPUTED_VALUE"""),"Ⓒ美琴アヤ/花散ここ/ファンギルド")</f>
        <v>Ⓒ美琴アヤ/花散ここ/ファンギルド</v>
      </c>
      <c r="V3796" s="8"/>
      <c r="W3796" s="8"/>
      <c r="X3796" s="8"/>
      <c r="Y3796" s="8"/>
      <c r="Z3796" s="7"/>
      <c r="AA3796" s="7"/>
      <c r="AB3796" s="7"/>
    </row>
    <row r="3797" ht="15.75" customHeight="1">
      <c r="A3797" s="26">
        <f>IFERROR(__xludf.DUMMYFUNCTION("""COMPUTED_VALUE"""),6236.0)</f>
        <v>6236</v>
      </c>
      <c r="B3797" s="22" t="str">
        <f>IFERROR(__xludf.DUMMYFUNCTION("""COMPUTED_VALUE"""),"確定")</f>
        <v>確定</v>
      </c>
      <c r="C3797" s="28">
        <f>IFERROR(__xludf.DUMMYFUNCTION("""COMPUTED_VALUE"""),45876.0)</f>
        <v>45876</v>
      </c>
      <c r="D3797" s="28">
        <f>IFERROR(__xludf.DUMMYFUNCTION("""COMPUTED_VALUE"""),45877.0)</f>
        <v>45877</v>
      </c>
      <c r="E3797" s="26">
        <f>IFERROR(__xludf.DUMMYFUNCTION("""COMPUTED_VALUE"""),332084.0)</f>
        <v>332084</v>
      </c>
      <c r="F3797" s="22" t="str">
        <f>IFERROR(__xludf.DUMMYFUNCTION("""COMPUTED_VALUE"""),"寡黙な婚約者様には理由（わけ）がある")</f>
        <v>寡黙な婚約者様には理由（わけ）がある</v>
      </c>
      <c r="G3797" s="20">
        <f>IFERROR(__xludf.DUMMYFUNCTION("""COMPUTED_VALUE"""),1.0)</f>
        <v>1</v>
      </c>
      <c r="H3797" s="22" t="str">
        <f>IFERROR(__xludf.DUMMYFUNCTION("""COMPUTED_VALUE"""),"晴瀬リン/四折柊")</f>
        <v>晴瀬リン/四折柊</v>
      </c>
      <c r="I3797" s="22" t="str">
        <f>IFERROR(__xludf.DUMMYFUNCTION("""COMPUTED_VALUE"""),"少女マンガ")</f>
        <v>少女マンガ</v>
      </c>
      <c r="J3797" s="22"/>
      <c r="K3797" s="22"/>
      <c r="L3797" s="22" t="str">
        <f>IFERROR(__xludf.DUMMYFUNCTION("""COMPUTED_VALUE"""),"ファンギルド")</f>
        <v>ファンギルド</v>
      </c>
      <c r="M3797" s="33">
        <f>IFERROR(__xludf.DUMMYFUNCTION("""COMPUTED_VALUE"""),45890.0)</f>
        <v>45890</v>
      </c>
      <c r="N3797" s="33">
        <f>IFERROR(__xludf.DUMMYFUNCTION("""COMPUTED_VALUE"""),45917.0)</f>
        <v>45917</v>
      </c>
      <c r="O3797" s="20"/>
      <c r="P3797" s="32" t="str">
        <f>IFERROR(__xludf.DUMMYFUNCTION("""COMPUTED_VALUE"""),"可")</f>
        <v>可</v>
      </c>
      <c r="Q3797" s="30"/>
      <c r="R3797" s="22"/>
      <c r="S3797" s="22" t="str">
        <f>IFERROR(__xludf.DUMMYFUNCTION("""COMPUTED_VALUE"""),"20250807_ファンギルド_寡黙な婚約者様には理由（わけ）がある")</f>
        <v>20250807_ファンギルド_寡黙な婚約者様には理由（わけ）がある</v>
      </c>
      <c r="T3797" s="22" t="str">
        <f>IFERROR(__xludf.DUMMYFUNCTION("""COMPUTED_VALUE"""),"格納済み")</f>
        <v>格納済み</v>
      </c>
      <c r="U3797" s="9" t="str">
        <f>IFERROR(__xludf.DUMMYFUNCTION("""COMPUTED_VALUE"""),"Ⓒ晴瀬リン/四折柊/ファンギルド")</f>
        <v>Ⓒ晴瀬リン/四折柊/ファンギルド</v>
      </c>
      <c r="V3797" s="8"/>
      <c r="W3797" s="8"/>
      <c r="X3797" s="8" t="str">
        <f>IFERROR(__xludf.DUMMYFUNCTION("""COMPUTED_VALUE"""),"有")</f>
        <v>有</v>
      </c>
      <c r="Y3797" s="8" t="str">
        <f>IFERROR(__xludf.DUMMYFUNCTION("""COMPUTED_VALUE"""),"P7まで")</f>
        <v>P7まで</v>
      </c>
      <c r="Z3797" s="7"/>
      <c r="AA3797" s="7"/>
      <c r="AB3797" s="7"/>
    </row>
    <row r="3798" ht="15.75" customHeight="1">
      <c r="A3798" s="26">
        <f>IFERROR(__xludf.DUMMYFUNCTION("""COMPUTED_VALUE"""),6248.0)</f>
        <v>6248</v>
      </c>
      <c r="B3798" s="22" t="str">
        <f>IFERROR(__xludf.DUMMYFUNCTION("""COMPUTED_VALUE"""),"確定")</f>
        <v>確定</v>
      </c>
      <c r="C3798" s="28">
        <f>IFERROR(__xludf.DUMMYFUNCTION("""COMPUTED_VALUE"""),45881.0)</f>
        <v>45881</v>
      </c>
      <c r="D3798" s="28">
        <f>IFERROR(__xludf.DUMMYFUNCTION("""COMPUTED_VALUE"""),45887.0)</f>
        <v>45887</v>
      </c>
      <c r="E3798" s="26">
        <f>IFERROR(__xludf.DUMMYFUNCTION("""COMPUTED_VALUE"""),327091.0)</f>
        <v>327091</v>
      </c>
      <c r="F3798" s="22" t="str">
        <f>IFERROR(__xludf.DUMMYFUNCTION("""COMPUTED_VALUE"""),"かわいいはつくれる")</f>
        <v>かわいいはつくれる</v>
      </c>
      <c r="G3798" s="20">
        <f>IFERROR(__xludf.DUMMYFUNCTION("""COMPUTED_VALUE"""),1.0)</f>
        <v>1</v>
      </c>
      <c r="H3798" s="22" t="str">
        <f>IFERROR(__xludf.DUMMYFUNCTION("""COMPUTED_VALUE"""),"屋良なと")</f>
        <v>屋良なと</v>
      </c>
      <c r="I3798" s="22" t="str">
        <f>IFERROR(__xludf.DUMMYFUNCTION("""COMPUTED_VALUE"""),"BLマンガ")</f>
        <v>BLマンガ</v>
      </c>
      <c r="J3798" s="22"/>
      <c r="K3798" s="22" t="str">
        <f>IFERROR(__xludf.DUMMYFUNCTION("""COMPUTED_VALUE"""),"Ficus")</f>
        <v>Ficus</v>
      </c>
      <c r="L3798" s="22" t="str">
        <f>IFERROR(__xludf.DUMMYFUNCTION("""COMPUTED_VALUE"""),"シーモアコミックス")</f>
        <v>シーモアコミックス</v>
      </c>
      <c r="M3798" s="33">
        <f>IFERROR(__xludf.DUMMYFUNCTION("""COMPUTED_VALUE"""),45913.0)</f>
        <v>45913</v>
      </c>
      <c r="N3798" s="33">
        <f>IFERROR(__xludf.DUMMYFUNCTION("""COMPUTED_VALUE"""),2958465.0)</f>
        <v>2958465</v>
      </c>
      <c r="O3798" s="20"/>
      <c r="P3798" s="32" t="str">
        <f>IFERROR(__xludf.DUMMYFUNCTION("""COMPUTED_VALUE"""),"可")</f>
        <v>可</v>
      </c>
      <c r="Q3798" s="30" t="str">
        <f>IFERROR(__xludf.DUMMYFUNCTION("""COMPUTED_VALUE"""),"※読み切り作品")</f>
        <v>※読み切り作品</v>
      </c>
      <c r="R3798" s="22"/>
      <c r="S3798" s="22" t="str">
        <f>IFERROR(__xludf.DUMMYFUNCTION("""COMPUTED_VALUE"""),"20250812_シーモアコミックス_かわいいはつくれる")</f>
        <v>20250812_シーモアコミックス_かわいいはつくれる</v>
      </c>
      <c r="T3798" s="22" t="str">
        <f>IFERROR(__xludf.DUMMYFUNCTION("""COMPUTED_VALUE"""),"格納済み")</f>
        <v>格納済み</v>
      </c>
      <c r="U3798" s="9" t="str">
        <f>IFERROR(__xludf.DUMMYFUNCTION("""COMPUTED_VALUE"""),"(C) 屋良なと/シーモアコミックス")</f>
        <v>(C) 屋良なと/シーモアコミックス</v>
      </c>
      <c r="V3798" s="8"/>
      <c r="W3798" s="8"/>
      <c r="X3798" s="8" t="str">
        <f>IFERROR(__xludf.DUMMYFUNCTION("""COMPUTED_VALUE"""),"有")</f>
        <v>有</v>
      </c>
      <c r="Y3798" s="8" t="str">
        <f>IFERROR(__xludf.DUMMYFUNCTION("""COMPUTED_VALUE"""),"P8まで")</f>
        <v>P8まで</v>
      </c>
      <c r="Z3798" s="7"/>
      <c r="AA3798" s="7"/>
      <c r="AB3798" s="7"/>
    </row>
    <row r="3799" ht="15.75" customHeight="1">
      <c r="A3799" s="26">
        <f>IFERROR(__xludf.DUMMYFUNCTION("""COMPUTED_VALUE"""),6249.0)</f>
        <v>6249</v>
      </c>
      <c r="B3799" s="22" t="str">
        <f>IFERROR(__xludf.DUMMYFUNCTION("""COMPUTED_VALUE"""),"確定")</f>
        <v>確定</v>
      </c>
      <c r="C3799" s="28">
        <f>IFERROR(__xludf.DUMMYFUNCTION("""COMPUTED_VALUE"""),45881.0)</f>
        <v>45881</v>
      </c>
      <c r="D3799" s="28">
        <f>IFERROR(__xludf.DUMMYFUNCTION("""COMPUTED_VALUE"""),45887.0)</f>
        <v>45887</v>
      </c>
      <c r="E3799" s="26">
        <f>IFERROR(__xludf.DUMMYFUNCTION("""COMPUTED_VALUE"""),314123.0)</f>
        <v>314123</v>
      </c>
      <c r="F3799" s="22" t="str">
        <f>IFERROR(__xludf.DUMMYFUNCTION("""COMPUTED_VALUE"""),"カットの合図は王子のキスで")</f>
        <v>カットの合図は王子のキスで</v>
      </c>
      <c r="G3799" s="20">
        <f>IFERROR(__xludf.DUMMYFUNCTION("""COMPUTED_VALUE"""),1.0)</f>
        <v>1</v>
      </c>
      <c r="H3799" s="22" t="str">
        <f>IFERROR(__xludf.DUMMYFUNCTION("""COMPUTED_VALUE"""),"蜂巣")</f>
        <v>蜂巣</v>
      </c>
      <c r="I3799" s="22" t="str">
        <f>IFERROR(__xludf.DUMMYFUNCTION("""COMPUTED_VALUE"""),"BLマンガ")</f>
        <v>BLマンガ</v>
      </c>
      <c r="J3799" s="22"/>
      <c r="K3799" s="22" t="str">
        <f>IFERROR(__xludf.DUMMYFUNCTION("""COMPUTED_VALUE"""),"Ficus")</f>
        <v>Ficus</v>
      </c>
      <c r="L3799" s="22" t="str">
        <f>IFERROR(__xludf.DUMMYFUNCTION("""COMPUTED_VALUE"""),"シーモアコミックス")</f>
        <v>シーモアコミックス</v>
      </c>
      <c r="M3799" s="33">
        <f>IFERROR(__xludf.DUMMYFUNCTION("""COMPUTED_VALUE"""),45914.0)</f>
        <v>45914</v>
      </c>
      <c r="N3799" s="33">
        <f>IFERROR(__xludf.DUMMYFUNCTION("""COMPUTED_VALUE"""),46093.66666666667)</f>
        <v>46093.66667</v>
      </c>
      <c r="O3799" s="20"/>
      <c r="P3799" s="32" t="str">
        <f>IFERROR(__xludf.DUMMYFUNCTION("""COMPUTED_VALUE"""),"可")</f>
        <v>可</v>
      </c>
      <c r="Q3799" s="30"/>
      <c r="R3799" s="22"/>
      <c r="S3799" s="22" t="str">
        <f>IFERROR(__xludf.DUMMYFUNCTION("""COMPUTED_VALUE"""),"20250812_シーモアコミックス_カットの合図は王子のキスで")</f>
        <v>20250812_シーモアコミックス_カットの合図は王子のキスで</v>
      </c>
      <c r="T3799" s="22" t="str">
        <f>IFERROR(__xludf.DUMMYFUNCTION("""COMPUTED_VALUE"""),"格納済み")</f>
        <v>格納済み</v>
      </c>
      <c r="U3799" s="9" t="str">
        <f>IFERROR(__xludf.DUMMYFUNCTION("""COMPUTED_VALUE"""),"(C) 蜂巣/シーモアコミックス")</f>
        <v>(C) 蜂巣/シーモアコミックス</v>
      </c>
      <c r="V3799" s="8"/>
      <c r="W3799" s="8"/>
      <c r="X3799" s="8" t="str">
        <f>IFERROR(__xludf.DUMMYFUNCTION("""COMPUTED_VALUE"""),"有")</f>
        <v>有</v>
      </c>
      <c r="Y3799" s="8" t="str">
        <f>IFERROR(__xludf.DUMMYFUNCTION("""COMPUTED_VALUE"""),"2025/10/11まで1巻立ち読み増量(P16)")</f>
        <v>2025/10/11まで1巻立ち読み増量(P16)</v>
      </c>
      <c r="Z3799" s="7"/>
      <c r="AA3799" s="7"/>
      <c r="AB3799" s="7"/>
    </row>
    <row r="3800" ht="15.75" customHeight="1">
      <c r="A3800" s="26">
        <f>IFERROR(__xludf.DUMMYFUNCTION("""COMPUTED_VALUE"""),6250.0)</f>
        <v>6250</v>
      </c>
      <c r="B3800" s="22" t="str">
        <f>IFERROR(__xludf.DUMMYFUNCTION("""COMPUTED_VALUE"""),"確定")</f>
        <v>確定</v>
      </c>
      <c r="C3800" s="28">
        <f>IFERROR(__xludf.DUMMYFUNCTION("""COMPUTED_VALUE"""),45881.0)</f>
        <v>45881</v>
      </c>
      <c r="D3800" s="28">
        <f>IFERROR(__xludf.DUMMYFUNCTION("""COMPUTED_VALUE"""),45888.0)</f>
        <v>45888</v>
      </c>
      <c r="E3800" s="26">
        <f>IFERROR(__xludf.DUMMYFUNCTION("""COMPUTED_VALUE"""),312013.0)</f>
        <v>312013</v>
      </c>
      <c r="F3800" s="22" t="str">
        <f>IFERROR(__xludf.DUMMYFUNCTION("""COMPUTED_VALUE"""),"腐男子も歩けば恋に沼る")</f>
        <v>腐男子も歩けば恋に沼る</v>
      </c>
      <c r="G3800" s="20" t="str">
        <f>IFERROR(__xludf.DUMMYFUNCTION("""COMPUTED_VALUE"""),"1～4")</f>
        <v>1～4</v>
      </c>
      <c r="H3800" s="22" t="str">
        <f>IFERROR(__xludf.DUMMYFUNCTION("""COMPUTED_VALUE"""),"赤いシラフ")</f>
        <v>赤いシラフ</v>
      </c>
      <c r="I3800" s="22" t="str">
        <f>IFERROR(__xludf.DUMMYFUNCTION("""COMPUTED_VALUE"""),"BLマンガ")</f>
        <v>BLマンガ</v>
      </c>
      <c r="J3800" s="22"/>
      <c r="K3800" s="22" t="str">
        <f>IFERROR(__xludf.DUMMYFUNCTION("""COMPUTED_VALUE"""),"Ficus")</f>
        <v>Ficus</v>
      </c>
      <c r="L3800" s="22" t="str">
        <f>IFERROR(__xludf.DUMMYFUNCTION("""COMPUTED_VALUE"""),"シーモアコミックス")</f>
        <v>シーモアコミックス</v>
      </c>
      <c r="M3800" s="33">
        <f>IFERROR(__xludf.DUMMYFUNCTION("""COMPUTED_VALUE"""),45914.0)</f>
        <v>45914</v>
      </c>
      <c r="N3800" s="33">
        <f>IFERROR(__xludf.DUMMYFUNCTION("""COMPUTED_VALUE"""),46093.66666666667)</f>
        <v>46093.66667</v>
      </c>
      <c r="O3800" s="20"/>
      <c r="P3800" s="32" t="str">
        <f>IFERROR(__xludf.DUMMYFUNCTION("""COMPUTED_VALUE"""),"可")</f>
        <v>可</v>
      </c>
      <c r="Q3800" s="30" t="str">
        <f>IFERROR(__xludf.DUMMYFUNCTION("""COMPUTED_VALUE"""),"※本作品はFicus Party 6th朗読イベント作品です。")</f>
        <v>※本作品はFicus Party 6th朗読イベント作品です。</v>
      </c>
      <c r="R3800" s="22"/>
      <c r="S3800" s="22" t="str">
        <f>IFERROR(__xludf.DUMMYFUNCTION("""COMPUTED_VALUE"""),"20250812_シーモアコミックス_腐男子も歩けば恋に沼る")</f>
        <v>20250812_シーモアコミックス_腐男子も歩けば恋に沼る</v>
      </c>
      <c r="T3800" s="22" t="str">
        <f>IFERROR(__xludf.DUMMYFUNCTION("""COMPUTED_VALUE"""),"格納済み")</f>
        <v>格納済み</v>
      </c>
      <c r="U3800" s="9" t="str">
        <f>IFERROR(__xludf.DUMMYFUNCTION("""COMPUTED_VALUE"""),"(C) 赤いシラフ/シーモアコミックス")</f>
        <v>(C) 赤いシラフ/シーモアコミックス</v>
      </c>
      <c r="V3800" s="8"/>
      <c r="W3800" s="8"/>
      <c r="X3800" s="8" t="str">
        <f>IFERROR(__xludf.DUMMYFUNCTION("""COMPUTED_VALUE"""),"有")</f>
        <v>有</v>
      </c>
      <c r="Y3800" s="8" t="str">
        <f>IFERROR(__xludf.DUMMYFUNCTION("""COMPUTED_VALUE"""),"2025/10/11まで1巻無料")</f>
        <v>2025/10/11まで1巻無料</v>
      </c>
      <c r="Z3800" s="7"/>
      <c r="AA3800" s="7"/>
      <c r="AB3800" s="7"/>
    </row>
    <row r="3801" ht="15.75" customHeight="1">
      <c r="A3801" s="26">
        <f>IFERROR(__xludf.DUMMYFUNCTION("""COMPUTED_VALUE"""),6254.0)</f>
        <v>6254</v>
      </c>
      <c r="B3801" s="22" t="str">
        <f>IFERROR(__xludf.DUMMYFUNCTION("""COMPUTED_VALUE"""),"確定")</f>
        <v>確定</v>
      </c>
      <c r="C3801" s="28">
        <f>IFERROR(__xludf.DUMMYFUNCTION("""COMPUTED_VALUE"""),45882.0)</f>
        <v>45882</v>
      </c>
      <c r="D3801" s="28">
        <f>IFERROR(__xludf.DUMMYFUNCTION("""COMPUTED_VALUE"""),45887.0)</f>
        <v>45887</v>
      </c>
      <c r="E3801" s="26">
        <f>IFERROR(__xludf.DUMMYFUNCTION("""COMPUTED_VALUE"""),335058.0)</f>
        <v>335058</v>
      </c>
      <c r="F3801" s="22" t="str">
        <f>IFERROR(__xludf.DUMMYFUNCTION("""COMPUTED_VALUE"""),"狼に衣 ～ドジなふりした幼馴染の執着体格差えっちに抗えない～【R-18版】")</f>
        <v>狼に衣 ～ドジなふりした幼馴染の執着体格差えっちに抗えない～【R-18版】</v>
      </c>
      <c r="G3801" s="20" t="str">
        <f>IFERROR(__xludf.DUMMYFUNCTION("""COMPUTED_VALUE"""),"1～3")</f>
        <v>1～3</v>
      </c>
      <c r="H3801" s="22" t="str">
        <f>IFERROR(__xludf.DUMMYFUNCTION("""COMPUTED_VALUE"""),"準社員井上")</f>
        <v>準社員井上</v>
      </c>
      <c r="I3801" s="22" t="str">
        <f>IFERROR(__xludf.DUMMYFUNCTION("""COMPUTED_VALUE"""),"アダルト")</f>
        <v>アダルト</v>
      </c>
      <c r="J3801" s="22"/>
      <c r="K3801" s="22" t="str">
        <f>IFERROR(__xludf.DUMMYFUNCTION("""COMPUTED_VALUE"""),"Close Moon")</f>
        <v>Close Moon</v>
      </c>
      <c r="L3801" s="22" t="str">
        <f>IFERROR(__xludf.DUMMYFUNCTION("""COMPUTED_VALUE"""),"ナンバーナイン")</f>
        <v>ナンバーナイン</v>
      </c>
      <c r="M3801" s="33">
        <f>IFERROR(__xludf.DUMMYFUNCTION("""COMPUTED_VALUE"""),45912.0)</f>
        <v>45912</v>
      </c>
      <c r="N3801" s="33">
        <f>IFERROR(__xludf.DUMMYFUNCTION("""COMPUTED_VALUE"""),46002.0)</f>
        <v>46002</v>
      </c>
      <c r="O3801" s="20"/>
      <c r="P3801" s="32" t="str">
        <f>IFERROR(__xludf.DUMMYFUNCTION("""COMPUTED_VALUE"""),"可")</f>
        <v>可</v>
      </c>
      <c r="Q3801" s="30" t="str">
        <f>IFERROR(__xludf.DUMMYFUNCTION("""COMPUTED_VALUE"""),"がるまに")</f>
        <v>がるまに</v>
      </c>
      <c r="R3801" s="22"/>
      <c r="S3801" s="22" t="str">
        <f>IFERROR(__xludf.DUMMYFUNCTION("""COMPUTED_VALUE"""),"20250813_ナンバーナイン_狼に衣 ～ドジなふりした幼馴染の執着体格差えっちに抗えない～【R-18版】")</f>
        <v>20250813_ナンバーナイン_狼に衣 ～ドジなふりした幼馴染の執着体格差えっちに抗えない～【R-18版】</v>
      </c>
      <c r="T3801" s="22" t="str">
        <f>IFERROR(__xludf.DUMMYFUNCTION("""COMPUTED_VALUE"""),"格納済み")</f>
        <v>格納済み</v>
      </c>
      <c r="U3801" s="9" t="str">
        <f>IFERROR(__xludf.DUMMYFUNCTION("""COMPUTED_VALUE"""),"(C)準社員井上/ナンバーナイン")</f>
        <v>(C)準社員井上/ナンバーナイン</v>
      </c>
      <c r="V3801" s="8"/>
      <c r="W3801" s="8"/>
      <c r="X3801" s="8" t="str">
        <f>IFERROR(__xludf.DUMMYFUNCTION("""COMPUTED_VALUE"""),"有")</f>
        <v>有</v>
      </c>
      <c r="Y3801" s="8" t="str">
        <f>IFERROR(__xludf.DUMMYFUNCTION("""COMPUTED_VALUE"""),"2025/9/26まで1巻無料")</f>
        <v>2025/9/26まで1巻無料</v>
      </c>
      <c r="Z3801" s="7"/>
      <c r="AA3801" s="7"/>
      <c r="AB3801" s="7"/>
    </row>
    <row r="3802" ht="15.75" customHeight="1">
      <c r="A3802" s="26">
        <f>IFERROR(__xludf.DUMMYFUNCTION("""COMPUTED_VALUE"""),6255.0)</f>
        <v>6255</v>
      </c>
      <c r="B3802" s="22" t="str">
        <f>IFERROR(__xludf.DUMMYFUNCTION("""COMPUTED_VALUE"""),"確定")</f>
        <v>確定</v>
      </c>
      <c r="C3802" s="28">
        <f>IFERROR(__xludf.DUMMYFUNCTION("""COMPUTED_VALUE"""),45882.0)</f>
        <v>45882</v>
      </c>
      <c r="D3802" s="28">
        <f>IFERROR(__xludf.DUMMYFUNCTION("""COMPUTED_VALUE"""),45882.0)</f>
        <v>45882</v>
      </c>
      <c r="E3802" s="26">
        <f>IFERROR(__xludf.DUMMYFUNCTION("""COMPUTED_VALUE"""),336619.0)</f>
        <v>336619</v>
      </c>
      <c r="F3802" s="22" t="str">
        <f>IFERROR(__xludf.DUMMYFUNCTION("""COMPUTED_VALUE"""),"初恋遊女～花街で再会したのは、私を捨てた婚約者でした～")</f>
        <v>初恋遊女～花街で再会したのは、私を捨てた婚約者でした～</v>
      </c>
      <c r="G3802" s="20" t="str">
        <f>IFERROR(__xludf.DUMMYFUNCTION("""COMPUTED_VALUE"""),"1～5")</f>
        <v>1～5</v>
      </c>
      <c r="H3802" s="22" t="str">
        <f>IFERROR(__xludf.DUMMYFUNCTION("""COMPUTED_VALUE"""),"阿路乃もと")</f>
        <v>阿路乃もと</v>
      </c>
      <c r="I3802" s="22" t="str">
        <f>IFERROR(__xludf.DUMMYFUNCTION("""COMPUTED_VALUE"""),"女性マンガ")</f>
        <v>女性マンガ</v>
      </c>
      <c r="J3802" s="22"/>
      <c r="K3802" s="22" t="str">
        <f>IFERROR(__xludf.DUMMYFUNCTION("""COMPUTED_VALUE"""),"シーモア×hachico")</f>
        <v>シーモア×hachico</v>
      </c>
      <c r="L3802" s="22" t="str">
        <f>IFERROR(__xludf.DUMMYFUNCTION("""COMPUTED_VALUE"""),"Bevy")</f>
        <v>Bevy</v>
      </c>
      <c r="M3802" s="33">
        <f>IFERROR(__xludf.DUMMYFUNCTION("""COMPUTED_VALUE"""),45931.0)</f>
        <v>45931</v>
      </c>
      <c r="N3802" s="33">
        <f>IFERROR(__xludf.DUMMYFUNCTION("""COMPUTED_VALUE"""),46112.0)</f>
        <v>46112</v>
      </c>
      <c r="O3802" s="20"/>
      <c r="P3802" s="32" t="str">
        <f>IFERROR(__xludf.DUMMYFUNCTION("""COMPUTED_VALUE"""),"可")</f>
        <v>可</v>
      </c>
      <c r="Q3802" s="30" t="str">
        <f>IFERROR(__xludf.DUMMYFUNCTION("""COMPUTED_VALUE"""),"協業作品です。&lt;BR&gt;よろしくお願いいたします。")</f>
        <v>協業作品です。&lt;BR&gt;よろしくお願いいたします。</v>
      </c>
      <c r="R3802" s="22"/>
      <c r="S3802" s="22" t="str">
        <f>IFERROR(__xludf.DUMMYFUNCTION("""COMPUTED_VALUE"""),"20250813_Bevy_初恋遊女～花街で再会したのは、私を捨てた婚約者でした～")</f>
        <v>20250813_Bevy_初恋遊女～花街で再会したのは、私を捨てた婚約者でした～</v>
      </c>
      <c r="T3802" s="22" t="str">
        <f>IFERROR(__xludf.DUMMYFUNCTION("""COMPUTED_VALUE"""),"格納済み")</f>
        <v>格納済み</v>
      </c>
      <c r="U3802" s="9" t="str">
        <f>IFERROR(__xludf.DUMMYFUNCTION("""COMPUTED_VALUE"""),"（C）Ajino Moto 2025")</f>
        <v>（C）Ajino Moto 2025</v>
      </c>
      <c r="V3802" s="8"/>
      <c r="W3802" s="8"/>
      <c r="X3802" s="8" t="str">
        <f>IFERROR(__xludf.DUMMYFUNCTION("""COMPUTED_VALUE"""),"有")</f>
        <v>有</v>
      </c>
      <c r="Y3802" s="8" t="str">
        <f>IFERROR(__xludf.DUMMYFUNCTION("""COMPUTED_VALUE"""),"2026/3/31まで1巻無料")</f>
        <v>2026/3/31まで1巻無料</v>
      </c>
      <c r="Z3802" s="7"/>
      <c r="AA3802" s="7"/>
      <c r="AB3802" s="7"/>
    </row>
    <row r="3803" ht="15.75" customHeight="1">
      <c r="A3803" s="26">
        <f>IFERROR(__xludf.DUMMYFUNCTION("""COMPUTED_VALUE"""),6266.0)</f>
        <v>6266</v>
      </c>
      <c r="B3803" s="22" t="str">
        <f>IFERROR(__xludf.DUMMYFUNCTION("""COMPUTED_VALUE"""),"確定")</f>
        <v>確定</v>
      </c>
      <c r="C3803" s="28">
        <f>IFERROR(__xludf.DUMMYFUNCTION("""COMPUTED_VALUE"""),45884.0)</f>
        <v>45884</v>
      </c>
      <c r="D3803" s="28">
        <f>IFERROR(__xludf.DUMMYFUNCTION("""COMPUTED_VALUE"""),45884.0)</f>
        <v>45884</v>
      </c>
      <c r="E3803" s="26">
        <f>IFERROR(__xludf.DUMMYFUNCTION("""COMPUTED_VALUE"""),313415.0)</f>
        <v>313415</v>
      </c>
      <c r="F3803" s="22" t="str">
        <f>IFERROR(__xludf.DUMMYFUNCTION("""COMPUTED_VALUE"""),"株式会社終幕～最期の願い、復讐代行いたします～")</f>
        <v>株式会社終幕～最期の願い、復讐代行いたします～</v>
      </c>
      <c r="G3803" s="20" t="str">
        <f>IFERROR(__xludf.DUMMYFUNCTION("""COMPUTED_VALUE"""),"1～3")</f>
        <v>1～3</v>
      </c>
      <c r="H3803" s="22" t="str">
        <f>IFERROR(__xludf.DUMMYFUNCTION("""COMPUTED_VALUE"""),"佐野升星,荒井チェイサー")</f>
        <v>佐野升星,荒井チェイサー</v>
      </c>
      <c r="I3803" s="22" t="str">
        <f>IFERROR(__xludf.DUMMYFUNCTION("""COMPUTED_VALUE"""),"青年マンガ")</f>
        <v>青年マンガ</v>
      </c>
      <c r="J3803" s="22"/>
      <c r="K3803" s="22" t="str">
        <f>IFERROR(__xludf.DUMMYFUNCTION("""COMPUTED_VALUE"""),"トレモア・スプラッシュ,トレモアcollection")</f>
        <v>トレモア・スプラッシュ,トレモアcollection</v>
      </c>
      <c r="L3803" s="22" t="str">
        <f>IFERROR(__xludf.DUMMYFUNCTION("""COMPUTED_VALUE"""),"シーモアコミックス（トレモア）")</f>
        <v>シーモアコミックス（トレモア）</v>
      </c>
      <c r="M3803" s="33">
        <f>IFERROR(__xludf.DUMMYFUNCTION("""COMPUTED_VALUE"""),45926.0)</f>
        <v>45926</v>
      </c>
      <c r="N3803" s="33">
        <f>IFERROR(__xludf.DUMMYFUNCTION("""COMPUTED_VALUE"""),2958465.0)</f>
        <v>2958465</v>
      </c>
      <c r="O3803" s="20"/>
      <c r="P3803" s="32" t="str">
        <f>IFERROR(__xludf.DUMMYFUNCTION("""COMPUTED_VALUE"""),"可")</f>
        <v>可</v>
      </c>
      <c r="Q3803" s="30"/>
      <c r="R3803" s="22"/>
      <c r="S3803" s="22" t="str">
        <f>IFERROR(__xludf.DUMMYFUNCTION("""COMPUTED_VALUE"""),"20250815_シーモアコミックス_株式会社終幕～最期の願い、復讐代行いたします～")</f>
        <v>20250815_シーモアコミックス_株式会社終幕～最期の願い、復讐代行いたします～</v>
      </c>
      <c r="T3803" s="22" t="str">
        <f>IFERROR(__xludf.DUMMYFUNCTION("""COMPUTED_VALUE"""),"格納済み")</f>
        <v>格納済み</v>
      </c>
      <c r="U3803" s="9" t="str">
        <f>IFERROR(__xludf.DUMMYFUNCTION("""COMPUTED_VALUE"""),"(C) 佐野升星/荒井チェイサー/シーモアコミックス")</f>
        <v>(C) 佐野升星/荒井チェイサー/シーモアコミックス</v>
      </c>
      <c r="V3803" s="8"/>
      <c r="W3803" s="8"/>
      <c r="X3803" s="8" t="str">
        <f>IFERROR(__xludf.DUMMYFUNCTION("""COMPUTED_VALUE"""),"有")</f>
        <v>有</v>
      </c>
      <c r="Y3803" s="8" t="str">
        <f>IFERROR(__xludf.DUMMYFUNCTION("""COMPUTED_VALUE"""),"2025/12/31まで1巻無料")</f>
        <v>2025/12/31まで1巻無料</v>
      </c>
      <c r="Z3803" s="7"/>
      <c r="AA3803" s="7"/>
      <c r="AB3803" s="7"/>
    </row>
    <row r="3804" ht="15.75" customHeight="1">
      <c r="A3804" s="26">
        <f>IFERROR(__xludf.DUMMYFUNCTION("""COMPUTED_VALUE"""),6267.0)</f>
        <v>6267</v>
      </c>
      <c r="B3804" s="22" t="str">
        <f>IFERROR(__xludf.DUMMYFUNCTION("""COMPUTED_VALUE"""),"確定")</f>
        <v>確定</v>
      </c>
      <c r="C3804" s="28">
        <f>IFERROR(__xludf.DUMMYFUNCTION("""COMPUTED_VALUE"""),45884.0)</f>
        <v>45884</v>
      </c>
      <c r="D3804" s="28">
        <f>IFERROR(__xludf.DUMMYFUNCTION("""COMPUTED_VALUE"""),45884.0)</f>
        <v>45884</v>
      </c>
      <c r="E3804" s="26">
        <f>IFERROR(__xludf.DUMMYFUNCTION("""COMPUTED_VALUE"""),306538.0)</f>
        <v>306538</v>
      </c>
      <c r="F3804" s="22" t="str">
        <f>IFERROR(__xludf.DUMMYFUNCTION("""COMPUTED_VALUE"""),"アンデッド・スクール～半分死んだら無敵になったので復讐始めます～")</f>
        <v>アンデッド・スクール～半分死んだら無敵になったので復讐始めます～</v>
      </c>
      <c r="G3804" s="20" t="str">
        <f>IFERROR(__xludf.DUMMYFUNCTION("""COMPUTED_VALUE"""),"1～3")</f>
        <v>1～3</v>
      </c>
      <c r="H3804" s="22" t="str">
        <f>IFERROR(__xludf.DUMMYFUNCTION("""COMPUTED_VALUE"""),"みやあきむつえ,荒井チェイサー")</f>
        <v>みやあきむつえ,荒井チェイサー</v>
      </c>
      <c r="I3804" s="22" t="str">
        <f>IFERROR(__xludf.DUMMYFUNCTION("""COMPUTED_VALUE"""),"青年マンガ")</f>
        <v>青年マンガ</v>
      </c>
      <c r="J3804" s="22"/>
      <c r="K3804" s="22" t="str">
        <f>IFERROR(__xludf.DUMMYFUNCTION("""COMPUTED_VALUE"""),"トレモア・スプラッシュ,トレモアcollection")</f>
        <v>トレモア・スプラッシュ,トレモアcollection</v>
      </c>
      <c r="L3804" s="22" t="str">
        <f>IFERROR(__xludf.DUMMYFUNCTION("""COMPUTED_VALUE"""),"シーモアコミックス（トレモア）")</f>
        <v>シーモアコミックス（トレモア）</v>
      </c>
      <c r="M3804" s="33">
        <f>IFERROR(__xludf.DUMMYFUNCTION("""COMPUTED_VALUE"""),45926.0)</f>
        <v>45926</v>
      </c>
      <c r="N3804" s="33">
        <f>IFERROR(__xludf.DUMMYFUNCTION("""COMPUTED_VALUE"""),46059.0)</f>
        <v>46059</v>
      </c>
      <c r="O3804" s="20"/>
      <c r="P3804" s="32" t="str">
        <f>IFERROR(__xludf.DUMMYFUNCTION("""COMPUTED_VALUE"""),"可")</f>
        <v>可</v>
      </c>
      <c r="Q3804" s="30"/>
      <c r="R3804" s="22"/>
      <c r="S3804" s="22" t="str">
        <f>IFERROR(__xludf.DUMMYFUNCTION("""COMPUTED_VALUE"""),"20250815_シーモアコミックス_アンデッド・スクール～半分死んだら無敵になったので復讐始めます～")</f>
        <v>20250815_シーモアコミックス_アンデッド・スクール～半分死んだら無敵になったので復讐始めます～</v>
      </c>
      <c r="T3804" s="22" t="str">
        <f>IFERROR(__xludf.DUMMYFUNCTION("""COMPUTED_VALUE"""),"格納済み")</f>
        <v>格納済み</v>
      </c>
      <c r="U3804" s="9" t="str">
        <f>IFERROR(__xludf.DUMMYFUNCTION("""COMPUTED_VALUE"""),"(C) みやあきむつえ/荒井チェイサー/シーモアコミックス")</f>
        <v>(C) みやあきむつえ/荒井チェイサー/シーモアコミックス</v>
      </c>
      <c r="V3804" s="8"/>
      <c r="W3804" s="8"/>
      <c r="X3804" s="8" t="str">
        <f>IFERROR(__xludf.DUMMYFUNCTION("""COMPUTED_VALUE"""),"有")</f>
        <v>有</v>
      </c>
      <c r="Y3804" s="8" t="str">
        <f>IFERROR(__xludf.DUMMYFUNCTION("""COMPUTED_VALUE"""),"2025/12/31まで1巻無料")</f>
        <v>2025/12/31まで1巻無料</v>
      </c>
      <c r="Z3804" s="7"/>
      <c r="AA3804" s="7"/>
      <c r="AB3804" s="7"/>
    </row>
    <row r="3805" ht="15.75" customHeight="1">
      <c r="A3805" s="26">
        <f>IFERROR(__xludf.DUMMYFUNCTION("""COMPUTED_VALUE"""),6269.0)</f>
        <v>6269</v>
      </c>
      <c r="B3805" s="22" t="str">
        <f>IFERROR(__xludf.DUMMYFUNCTION("""COMPUTED_VALUE"""),"確定")</f>
        <v>確定</v>
      </c>
      <c r="C3805" s="28">
        <f>IFERROR(__xludf.DUMMYFUNCTION("""COMPUTED_VALUE"""),45887.0)</f>
        <v>45887</v>
      </c>
      <c r="D3805" s="28">
        <f>IFERROR(__xludf.DUMMYFUNCTION("""COMPUTED_VALUE"""),45887.0)</f>
        <v>45887</v>
      </c>
      <c r="E3805" s="26">
        <f>IFERROR(__xludf.DUMMYFUNCTION("""COMPUTED_VALUE"""),334535.0)</f>
        <v>334535</v>
      </c>
      <c r="F3805" s="22" t="str">
        <f>IFERROR(__xludf.DUMMYFUNCTION("""COMPUTED_VALUE"""),"セックスの気持ちよさを知ったから人生楽しくなりそうです")</f>
        <v>セックスの気持ちよさを知ったから人生楽しくなりそうです</v>
      </c>
      <c r="G3805" s="20" t="str">
        <f>IFERROR(__xludf.DUMMYFUNCTION("""COMPUTED_VALUE"""),"1～2")</f>
        <v>1～2</v>
      </c>
      <c r="H3805" s="22" t="str">
        <f>IFERROR(__xludf.DUMMYFUNCTION("""COMPUTED_VALUE"""),"館いやし")</f>
        <v>館いやし</v>
      </c>
      <c r="I3805" s="22" t="str">
        <f>IFERROR(__xludf.DUMMYFUNCTION("""COMPUTED_VALUE"""),"アダルトマンガ")</f>
        <v>アダルトマンガ</v>
      </c>
      <c r="J3805" s="22"/>
      <c r="K3805" s="22"/>
      <c r="L3805" s="22" t="str">
        <f>IFERROR(__xludf.DUMMYFUNCTION("""COMPUTED_VALUE"""),"セ・キララ文庫")</f>
        <v>セ・キララ文庫</v>
      </c>
      <c r="M3805" s="33">
        <f>IFERROR(__xludf.DUMMYFUNCTION("""COMPUTED_VALUE"""),45912.0)</f>
        <v>45912</v>
      </c>
      <c r="N3805" s="33">
        <f>IFERROR(__xludf.DUMMYFUNCTION("""COMPUTED_VALUE"""),45939.0)</f>
        <v>45939</v>
      </c>
      <c r="O3805" s="20"/>
      <c r="P3805" s="32" t="str">
        <f>IFERROR(__xludf.DUMMYFUNCTION("""COMPUTED_VALUE"""),"可")</f>
        <v>可</v>
      </c>
      <c r="Q3805" s="30"/>
      <c r="R3805" s="22"/>
      <c r="S3805" s="22" t="str">
        <f>IFERROR(__xludf.DUMMYFUNCTION("""COMPUTED_VALUE"""),"20250818_ライドオン_セックスの気持ちよさを知ったから人生楽しくなりそうです")</f>
        <v>20250818_ライドオン_セックスの気持ちよさを知ったから人生楽しくなりそうです</v>
      </c>
      <c r="T3805" s="22" t="str">
        <f>IFERROR(__xludf.DUMMYFUNCTION("""COMPUTED_VALUE"""),"格納済み")</f>
        <v>格納済み</v>
      </c>
      <c r="U3805" s="9" t="str">
        <f>IFERROR(__xludf.DUMMYFUNCTION("""COMPUTED_VALUE"""),"Ⓒ館いやし/セ・キララ文庫")</f>
        <v>Ⓒ館いやし/セ・キララ文庫</v>
      </c>
      <c r="V3805" s="8"/>
      <c r="W3805" s="8"/>
      <c r="X3805" s="8" t="str">
        <f>IFERROR(__xludf.DUMMYFUNCTION("""COMPUTED_VALUE"""),"有")</f>
        <v>有</v>
      </c>
      <c r="Y3805" s="8" t="str">
        <f>IFERROR(__xludf.DUMMYFUNCTION("""COMPUTED_VALUE"""),"P10まで")</f>
        <v>P10まで</v>
      </c>
      <c r="Z3805" s="7"/>
      <c r="AA3805" s="7"/>
      <c r="AB3805" s="7"/>
    </row>
    <row r="3806" ht="15.75" customHeight="1">
      <c r="A3806" s="26">
        <f>IFERROR(__xludf.DUMMYFUNCTION("""COMPUTED_VALUE"""),6270.0)</f>
        <v>6270</v>
      </c>
      <c r="B3806" s="22" t="str">
        <f>IFERROR(__xludf.DUMMYFUNCTION("""COMPUTED_VALUE"""),"確定")</f>
        <v>確定</v>
      </c>
      <c r="C3806" s="28">
        <f>IFERROR(__xludf.DUMMYFUNCTION("""COMPUTED_VALUE"""),45887.0)</f>
        <v>45887</v>
      </c>
      <c r="D3806" s="28">
        <f>IFERROR(__xludf.DUMMYFUNCTION("""COMPUTED_VALUE"""),45887.0)</f>
        <v>45887</v>
      </c>
      <c r="E3806" s="26">
        <f>IFERROR(__xludf.DUMMYFUNCTION("""COMPUTED_VALUE"""),334534.0)</f>
        <v>334534</v>
      </c>
      <c r="F3806" s="22" t="str">
        <f>IFERROR(__xludf.DUMMYFUNCTION("""COMPUTED_VALUE"""),"汗だく絶頂トレーニング～火照る熟体（カラダ）、潮吹きデトックス～")</f>
        <v>汗だく絶頂トレーニング～火照る熟体（カラダ）、潮吹きデトックス～</v>
      </c>
      <c r="G3806" s="20" t="str">
        <f>IFERROR(__xludf.DUMMYFUNCTION("""COMPUTED_VALUE"""),"1～3")</f>
        <v>1～3</v>
      </c>
      <c r="H3806" s="22" t="str">
        <f>IFERROR(__xludf.DUMMYFUNCTION("""COMPUTED_VALUE"""),"三木大路")</f>
        <v>三木大路</v>
      </c>
      <c r="I3806" s="22" t="str">
        <f>IFERROR(__xludf.DUMMYFUNCTION("""COMPUTED_VALUE"""),"アダルトマンガ")</f>
        <v>アダルトマンガ</v>
      </c>
      <c r="J3806" s="22"/>
      <c r="K3806" s="22"/>
      <c r="L3806" s="22" t="str">
        <f>IFERROR(__xludf.DUMMYFUNCTION("""COMPUTED_VALUE"""),"セ・キララ文庫")</f>
        <v>セ・キララ文庫</v>
      </c>
      <c r="M3806" s="33">
        <f>IFERROR(__xludf.DUMMYFUNCTION("""COMPUTED_VALUE"""),45912.0)</f>
        <v>45912</v>
      </c>
      <c r="N3806" s="33">
        <f>IFERROR(__xludf.DUMMYFUNCTION("""COMPUTED_VALUE"""),45939.0)</f>
        <v>45939</v>
      </c>
      <c r="O3806" s="20"/>
      <c r="P3806" s="32" t="str">
        <f>IFERROR(__xludf.DUMMYFUNCTION("""COMPUTED_VALUE"""),"可")</f>
        <v>可</v>
      </c>
      <c r="Q3806" s="30"/>
      <c r="R3806" s="22"/>
      <c r="S3806" s="22" t="str">
        <f>IFERROR(__xludf.DUMMYFUNCTION("""COMPUTED_VALUE"""),"20250818_ライドオン_汗だく絶頂トレーニング～火照る熟体（カラダ）、潮吹きデトックス～")</f>
        <v>20250818_ライドオン_汗だく絶頂トレーニング～火照る熟体（カラダ）、潮吹きデトックス～</v>
      </c>
      <c r="T3806" s="22" t="str">
        <f>IFERROR(__xludf.DUMMYFUNCTION("""COMPUTED_VALUE"""),"格納済み")</f>
        <v>格納済み</v>
      </c>
      <c r="U3806" s="9" t="str">
        <f>IFERROR(__xludf.DUMMYFUNCTION("""COMPUTED_VALUE"""),"Ⓒ三木大路/セ・キララ文庫")</f>
        <v>Ⓒ三木大路/セ・キララ文庫</v>
      </c>
      <c r="V3806" s="8"/>
      <c r="W3806" s="8"/>
      <c r="X3806" s="8" t="str">
        <f>IFERROR(__xludf.DUMMYFUNCTION("""COMPUTED_VALUE"""),"有")</f>
        <v>有</v>
      </c>
      <c r="Y3806" s="8" t="str">
        <f>IFERROR(__xludf.DUMMYFUNCTION("""COMPUTED_VALUE"""),"P13まで")</f>
        <v>P13まで</v>
      </c>
      <c r="Z3806" s="7"/>
      <c r="AA3806" s="7"/>
      <c r="AB3806" s="7"/>
    </row>
    <row r="3807" ht="15.75" customHeight="1">
      <c r="A3807" s="26">
        <f>IFERROR(__xludf.DUMMYFUNCTION("""COMPUTED_VALUE"""),6276.0)</f>
        <v>6276</v>
      </c>
      <c r="B3807" s="22" t="str">
        <f>IFERROR(__xludf.DUMMYFUNCTION("""COMPUTED_VALUE"""),"確定")</f>
        <v>確定</v>
      </c>
      <c r="C3807" s="28">
        <f>IFERROR(__xludf.DUMMYFUNCTION("""COMPUTED_VALUE"""),45887.0)</f>
        <v>45887</v>
      </c>
      <c r="D3807" s="28">
        <f>IFERROR(__xludf.DUMMYFUNCTION("""COMPUTED_VALUE"""),45888.0)</f>
        <v>45888</v>
      </c>
      <c r="E3807" s="26">
        <f>IFERROR(__xludf.DUMMYFUNCTION("""COMPUTED_VALUE"""),334388.0)</f>
        <v>334388</v>
      </c>
      <c r="F3807" s="22" t="str">
        <f>IFERROR(__xludf.DUMMYFUNCTION("""COMPUTED_VALUE"""),"プレイボーイな公爵様は、私が本命になったようです！")</f>
        <v>プレイボーイな公爵様は、私が本命になったようです！</v>
      </c>
      <c r="G3807" s="20" t="str">
        <f>IFERROR(__xludf.DUMMYFUNCTION("""COMPUTED_VALUE"""),"1～2")</f>
        <v>1～2</v>
      </c>
      <c r="H3807" s="22" t="str">
        <f>IFERROR(__xludf.DUMMYFUNCTION("""COMPUTED_VALUE"""),"春乃スイ／COMIC ROOM")</f>
        <v>春乃スイ／COMIC ROOM</v>
      </c>
      <c r="I3807" s="22" t="str">
        <f>IFERROR(__xludf.DUMMYFUNCTION("""COMPUTED_VALUE"""),"女性")</f>
        <v>女性</v>
      </c>
      <c r="J3807" s="22"/>
      <c r="K3807" s="22"/>
      <c r="L3807" s="22" t="str">
        <f>IFERROR(__xludf.DUMMYFUNCTION("""COMPUTED_VALUE"""),"コミックルーム")</f>
        <v>コミックルーム</v>
      </c>
      <c r="M3807" s="33">
        <f>IFERROR(__xludf.DUMMYFUNCTION("""COMPUTED_VALUE"""),45915.0)</f>
        <v>45915</v>
      </c>
      <c r="N3807" s="33">
        <f>IFERROR(__xludf.DUMMYFUNCTION("""COMPUTED_VALUE"""),46005.0)</f>
        <v>46005</v>
      </c>
      <c r="O3807" s="20"/>
      <c r="P3807" s="32" t="str">
        <f>IFERROR(__xludf.DUMMYFUNCTION("""COMPUTED_VALUE"""),"可")</f>
        <v>可</v>
      </c>
      <c r="Q3807" s="30"/>
      <c r="R3807" s="22"/>
      <c r="S3807" s="22" t="str">
        <f>IFERROR(__xludf.DUMMYFUNCTION("""COMPUTED_VALUE"""),"20250818_コミックルーム_プレイボーイな公爵様は、私が本命になったようです!")</f>
        <v>20250818_コミックルーム_プレイボーイな公爵様は、私が本命になったようです!</v>
      </c>
      <c r="T3807" s="22" t="str">
        <f>IFERROR(__xludf.DUMMYFUNCTION("""COMPUTED_VALUE"""),"格納済み")</f>
        <v>格納済み</v>
      </c>
      <c r="U3807" s="9" t="str">
        <f>IFERROR(__xludf.DUMMYFUNCTION("""COMPUTED_VALUE"""),"(c)春乃スイ／COMIC ROOM")</f>
        <v>(c)春乃スイ／COMIC ROOM</v>
      </c>
      <c r="V3807" s="8"/>
      <c r="W3807" s="8"/>
      <c r="X3807" s="8" t="str">
        <f>IFERROR(__xludf.DUMMYFUNCTION("""COMPUTED_VALUE"""),"有")</f>
        <v>有</v>
      </c>
      <c r="Y3807" s="8" t="str">
        <f>IFERROR(__xludf.DUMMYFUNCTION("""COMPUTED_VALUE"""),"P17まで")</f>
        <v>P17まで</v>
      </c>
      <c r="Z3807" s="7"/>
      <c r="AA3807" s="7"/>
      <c r="AB3807" s="7"/>
    </row>
    <row r="3808" ht="15.75" customHeight="1">
      <c r="A3808" s="26">
        <f>IFERROR(__xludf.DUMMYFUNCTION("""COMPUTED_VALUE"""),6277.0)</f>
        <v>6277</v>
      </c>
      <c r="B3808" s="22" t="str">
        <f>IFERROR(__xludf.DUMMYFUNCTION("""COMPUTED_VALUE"""),"確定")</f>
        <v>確定</v>
      </c>
      <c r="C3808" s="28">
        <f>IFERROR(__xludf.DUMMYFUNCTION("""COMPUTED_VALUE"""),45887.0)</f>
        <v>45887</v>
      </c>
      <c r="D3808" s="28">
        <f>IFERROR(__xludf.DUMMYFUNCTION("""COMPUTED_VALUE"""),45889.0)</f>
        <v>45889</v>
      </c>
      <c r="E3808" s="26">
        <f>IFERROR(__xludf.DUMMYFUNCTION("""COMPUTED_VALUE"""),334910.0)</f>
        <v>334910</v>
      </c>
      <c r="F3808" s="22" t="str">
        <f>IFERROR(__xludf.DUMMYFUNCTION("""COMPUTED_VALUE"""),"バニラテイスト【タテヨミ】")</f>
        <v>バニラテイスト【タテヨミ】</v>
      </c>
      <c r="G3808" s="20" t="str">
        <f>IFERROR(__xludf.DUMMYFUNCTION("""COMPUTED_VALUE"""),"1～20")</f>
        <v>1～20</v>
      </c>
      <c r="H3808" s="22" t="str">
        <f>IFERROR(__xludf.DUMMYFUNCTION("""COMPUTED_VALUE"""),"Aame")</f>
        <v>Aame</v>
      </c>
      <c r="I3808" s="22" t="str">
        <f>IFERROR(__xludf.DUMMYFUNCTION("""COMPUTED_VALUE"""),"BL")</f>
        <v>BL</v>
      </c>
      <c r="J3808" s="22"/>
      <c r="K3808" s="22"/>
      <c r="L3808" s="22" t="str">
        <f>IFERROR(__xludf.DUMMYFUNCTION("""COMPUTED_VALUE"""),"RIDI")</f>
        <v>RIDI</v>
      </c>
      <c r="M3808" s="33">
        <f>IFERROR(__xludf.DUMMYFUNCTION("""COMPUTED_VALUE"""),45919.0)</f>
        <v>45919</v>
      </c>
      <c r="N3808" s="33">
        <f>IFERROR(__xludf.DUMMYFUNCTION("""COMPUTED_VALUE"""),45980.0)</f>
        <v>45980</v>
      </c>
      <c r="O3808" s="20"/>
      <c r="P3808" s="32" t="str">
        <f>IFERROR(__xludf.DUMMYFUNCTION("""COMPUTED_VALUE"""),"可")</f>
        <v>可</v>
      </c>
      <c r="Q3808" s="30"/>
      <c r="R3808" s="22" t="str">
        <f>IFERROR(__xludf.DUMMYFUNCTION("""COMPUTED_VALUE"""),"コミットOK")</f>
        <v>コミットOK</v>
      </c>
      <c r="S3808" s="22" t="str">
        <f>IFERROR(__xludf.DUMMYFUNCTION("""COMPUTED_VALUE"""),"20250822_RIDI_バニラテイスト【タテヨミ】")</f>
        <v>20250822_RIDI_バニラテイスト【タテヨミ】</v>
      </c>
      <c r="T3808" s="22" t="str">
        <f>IFERROR(__xludf.DUMMYFUNCTION("""COMPUTED_VALUE"""),"格納済み")</f>
        <v>格納済み</v>
      </c>
      <c r="U3808" s="9" t="str">
        <f>IFERROR(__xludf.DUMMYFUNCTION("""COMPUTED_VALUE"""),"ⒸAame / RIDI")</f>
        <v>ⒸAame / RIDI</v>
      </c>
      <c r="V3808" s="8"/>
      <c r="W3808" s="8"/>
      <c r="X3808" s="8" t="str">
        <f>IFERROR(__xludf.DUMMYFUNCTION("""COMPUTED_VALUE"""),"有")</f>
        <v>有</v>
      </c>
      <c r="Y3808" s="8" t="str">
        <f>IFERROR(__xludf.DUMMYFUNCTION("""COMPUTED_VALUE"""),"2025/9/26まで1~5巻無料")</f>
        <v>2025/9/26まで1~5巻無料</v>
      </c>
      <c r="Z3808" s="7"/>
      <c r="AA3808" s="7"/>
      <c r="AB3808" s="7"/>
    </row>
    <row r="3809" ht="15.75" customHeight="1">
      <c r="A3809" s="26">
        <f>IFERROR(__xludf.DUMMYFUNCTION("""COMPUTED_VALUE"""),5015.0)</f>
        <v>5015</v>
      </c>
      <c r="B3809" s="22" t="str">
        <f>IFERROR(__xludf.DUMMYFUNCTION("""COMPUTED_VALUE"""),"確定")</f>
        <v>確定</v>
      </c>
      <c r="C3809" s="28">
        <f>IFERROR(__xludf.DUMMYFUNCTION("""COMPUTED_VALUE"""),45701.0)</f>
        <v>45701</v>
      </c>
      <c r="D3809" s="28">
        <f>IFERROR(__xludf.DUMMYFUNCTION("""COMPUTED_VALUE"""),45894.0)</f>
        <v>45894</v>
      </c>
      <c r="E3809" s="26">
        <f>IFERROR(__xludf.DUMMYFUNCTION("""COMPUTED_VALUE"""),335198.0)</f>
        <v>335198</v>
      </c>
      <c r="F3809" s="22" t="str">
        <f>IFERROR(__xludf.DUMMYFUNCTION("""COMPUTED_VALUE"""),"事故チューだったのに！ 【分冊版】")</f>
        <v>事故チューだったのに！ 【分冊版】</v>
      </c>
      <c r="G3809" s="20" t="str">
        <f>IFERROR(__xludf.DUMMYFUNCTION("""COMPUTED_VALUE"""),"1～2")</f>
        <v>1～2</v>
      </c>
      <c r="H3809" s="22" t="str">
        <f>IFERROR(__xludf.DUMMYFUNCTION("""COMPUTED_VALUE"""),"紺子ゆきめ,こう")</f>
        <v>紺子ゆきめ,こう</v>
      </c>
      <c r="I3809" s="22" t="str">
        <f>IFERROR(__xludf.DUMMYFUNCTION("""COMPUTED_VALUE"""),"女性")</f>
        <v>女性</v>
      </c>
      <c r="J3809" s="22"/>
      <c r="K3809" s="22"/>
      <c r="L3809" s="22" t="str">
        <f>IFERROR(__xludf.DUMMYFUNCTION("""COMPUTED_VALUE"""),"ハーパーコリンズ・ジャパン")</f>
        <v>ハーパーコリンズ・ジャパン</v>
      </c>
      <c r="M3809" s="33">
        <f>IFERROR(__xludf.DUMMYFUNCTION("""COMPUTED_VALUE"""),45922.0)</f>
        <v>45922</v>
      </c>
      <c r="N3809" s="33">
        <f>IFERROR(__xludf.DUMMYFUNCTION("""COMPUTED_VALUE"""),45979.0)</f>
        <v>45979</v>
      </c>
      <c r="O3809" s="20"/>
      <c r="P3809" s="32" t="str">
        <f>IFERROR(__xludf.DUMMYFUNCTION("""COMPUTED_VALUE"""),"可")</f>
        <v>可</v>
      </c>
      <c r="Q3809" s="30"/>
      <c r="R3809" s="22" t="str">
        <f>IFERROR(__xludf.DUMMYFUNCTION("""COMPUTED_VALUE"""),"コミットOK")</f>
        <v>コミットOK</v>
      </c>
      <c r="S3809" s="22" t="str">
        <f>IFERROR(__xludf.DUMMYFUNCTION("""COMPUTED_VALUE"""),"20250822_ハーパーコリンズ・ジャパン_事故チューだったのに！ 【分冊版】")</f>
        <v>20250822_ハーパーコリンズ・ジャパン_事故チューだったのに！ 【分冊版】</v>
      </c>
      <c r="T3809" s="22" t="str">
        <f>IFERROR(__xludf.DUMMYFUNCTION("""COMPUTED_VALUE"""),"格納済み")</f>
        <v>格納済み</v>
      </c>
      <c r="U3809" s="9" t="str">
        <f>IFERROR(__xludf.DUMMYFUNCTION("""COMPUTED_VALUE"""),"Ⓒ紺子ゆきめ・こう／ハーパーコリンズ・ジャパン")</f>
        <v>Ⓒ紺子ゆきめ・こう／ハーパーコリンズ・ジャパン</v>
      </c>
      <c r="V3809" s="8"/>
      <c r="W3809" s="8"/>
      <c r="X3809" s="8" t="str">
        <f>IFERROR(__xludf.DUMMYFUNCTION("""COMPUTED_VALUE"""),"有")</f>
        <v>有</v>
      </c>
      <c r="Y3809" s="8" t="str">
        <f>IFERROR(__xludf.DUMMYFUNCTION("""COMPUTED_VALUE"""),"2025/10/5まで1巻無料")</f>
        <v>2025/10/5まで1巻無料</v>
      </c>
      <c r="Z3809" s="7"/>
      <c r="AA3809" s="7"/>
      <c r="AB3809" s="7"/>
    </row>
    <row r="3810" ht="15.75" customHeight="1">
      <c r="A3810" s="26">
        <f>IFERROR(__xludf.DUMMYFUNCTION("""COMPUTED_VALUE"""),5827.0)</f>
        <v>5827</v>
      </c>
      <c r="B3810" s="22" t="str">
        <f>IFERROR(__xludf.DUMMYFUNCTION("""COMPUTED_VALUE"""),"確定")</f>
        <v>確定</v>
      </c>
      <c r="C3810" s="28">
        <f>IFERROR(__xludf.DUMMYFUNCTION("""COMPUTED_VALUE"""),45818.0)</f>
        <v>45818</v>
      </c>
      <c r="D3810" s="28">
        <f>IFERROR(__xludf.DUMMYFUNCTION("""COMPUTED_VALUE"""),45895.0)</f>
        <v>45895</v>
      </c>
      <c r="E3810" s="26">
        <f>IFERROR(__xludf.DUMMYFUNCTION("""COMPUTED_VALUE"""),334901.0)</f>
        <v>334901</v>
      </c>
      <c r="F3810" s="22" t="str">
        <f>IFERROR(__xludf.DUMMYFUNCTION("""COMPUTED_VALUE"""),"夢でいいから好きだと言ってくれ")</f>
        <v>夢でいいから好きだと言ってくれ</v>
      </c>
      <c r="G3810" s="20" t="str">
        <f>IFERROR(__xludf.DUMMYFUNCTION("""COMPUTED_VALUE"""),"1～2")</f>
        <v>1～2</v>
      </c>
      <c r="H3810" s="22" t="str">
        <f>IFERROR(__xludf.DUMMYFUNCTION("""COMPUTED_VALUE"""),"九尾つなし")</f>
        <v>九尾つなし</v>
      </c>
      <c r="I3810" s="22" t="str">
        <f>IFERROR(__xludf.DUMMYFUNCTION("""COMPUTED_VALUE"""),"BL")</f>
        <v>BL</v>
      </c>
      <c r="J3810" s="22"/>
      <c r="K3810" s="22" t="str">
        <f>IFERROR(__xludf.DUMMYFUNCTION("""COMPUTED_VALUE"""),"NuPu")</f>
        <v>NuPu</v>
      </c>
      <c r="L3810" s="22" t="str">
        <f>IFERROR(__xludf.DUMMYFUNCTION("""COMPUTED_VALUE"""),"CLLENN")</f>
        <v>CLLENN</v>
      </c>
      <c r="M3810" s="33">
        <f>IFERROR(__xludf.DUMMYFUNCTION("""COMPUTED_VALUE"""),45918.0)</f>
        <v>45918</v>
      </c>
      <c r="N3810" s="33">
        <f>IFERROR(__xludf.DUMMYFUNCTION("""COMPUTED_VALUE"""),45980.0)</f>
        <v>45980</v>
      </c>
      <c r="O3810" s="20"/>
      <c r="P3810" s="32" t="str">
        <f>IFERROR(__xludf.DUMMYFUNCTION("""COMPUTED_VALUE"""),"可")</f>
        <v>可</v>
      </c>
      <c r="Q3810" s="30"/>
      <c r="R3810" s="22" t="str">
        <f>IFERROR(__xludf.DUMMYFUNCTION("""COMPUTED_VALUE"""),"コミットOK")</f>
        <v>コミットOK</v>
      </c>
      <c r="S3810" s="22" t="str">
        <f>IFERROR(__xludf.DUMMYFUNCTION("""COMPUTED_VALUE"""),"20250825_CLLENN_夢でいいから好きだと言ってくれ")</f>
        <v>20250825_CLLENN_夢でいいから好きだと言ってくれ</v>
      </c>
      <c r="T3810" s="22" t="str">
        <f>IFERROR(__xludf.DUMMYFUNCTION("""COMPUTED_VALUE"""),"格納済み")</f>
        <v>格納済み</v>
      </c>
      <c r="U3810" s="9" t="str">
        <f>IFERROR(__xludf.DUMMYFUNCTION("""COMPUTED_VALUE"""),"Ⓒ九尾つなし/CLLENN")</f>
        <v>Ⓒ九尾つなし/CLLENN</v>
      </c>
      <c r="V3810" s="8"/>
      <c r="W3810" s="8"/>
      <c r="X3810" s="8" t="str">
        <f>IFERROR(__xludf.DUMMYFUNCTION("""COMPUTED_VALUE"""),"有")</f>
        <v>有</v>
      </c>
      <c r="Y3810" s="8" t="str">
        <f>IFERROR(__xludf.DUMMYFUNCTION("""COMPUTED_VALUE"""),"2025/10/1まで1巻立ち読み増量(P16)")</f>
        <v>2025/10/1まで1巻立ち読み増量(P16)</v>
      </c>
      <c r="Z3810" s="7"/>
      <c r="AA3810" s="7"/>
      <c r="AB3810" s="7"/>
    </row>
    <row r="3811" ht="15.75" customHeight="1">
      <c r="A3811" s="26">
        <f>IFERROR(__xludf.DUMMYFUNCTION("""COMPUTED_VALUE"""),5861.0)</f>
        <v>5861</v>
      </c>
      <c r="B3811" s="22" t="str">
        <f>IFERROR(__xludf.DUMMYFUNCTION("""COMPUTED_VALUE"""),"確定")</f>
        <v>確定</v>
      </c>
      <c r="C3811" s="28">
        <f>IFERROR(__xludf.DUMMYFUNCTION("""COMPUTED_VALUE"""),45824.0)</f>
        <v>45824</v>
      </c>
      <c r="D3811" s="28">
        <f>IFERROR(__xludf.DUMMYFUNCTION("""COMPUTED_VALUE"""),45889.0)</f>
        <v>45889</v>
      </c>
      <c r="E3811" s="26">
        <f>IFERROR(__xludf.DUMMYFUNCTION("""COMPUTED_VALUE"""),335959.0)</f>
        <v>335959</v>
      </c>
      <c r="F3811" s="22" t="str">
        <f>IFERROR(__xludf.DUMMYFUNCTION("""COMPUTED_VALUE"""),"アデンミールの花茨【タテヨミ】")</f>
        <v>アデンミールの花茨【タテヨミ】</v>
      </c>
      <c r="G3811" s="20" t="str">
        <f>IFERROR(__xludf.DUMMYFUNCTION("""COMPUTED_VALUE"""),"1～20")</f>
        <v>1～20</v>
      </c>
      <c r="H3811" s="22" t="str">
        <f>IFERROR(__xludf.DUMMYFUNCTION("""COMPUTED_VALUE"""),"Yoo jigong/HaoTOON/Contents Lab. Blue TOKYO")</f>
        <v>Yoo jigong/HaoTOON/Contents Lab. Blue TOKYO</v>
      </c>
      <c r="I3811" s="22" t="str">
        <f>IFERROR(__xludf.DUMMYFUNCTION("""COMPUTED_VALUE"""),"少女")</f>
        <v>少女</v>
      </c>
      <c r="J3811" s="22"/>
      <c r="K3811" s="22"/>
      <c r="L3811" s="22" t="str">
        <f>IFERROR(__xludf.DUMMYFUNCTION("""COMPUTED_VALUE"""),"weavin")</f>
        <v>weavin</v>
      </c>
      <c r="M3811" s="33">
        <f>IFERROR(__xludf.DUMMYFUNCTION("""COMPUTED_VALUE"""),45912.0)</f>
        <v>45912</v>
      </c>
      <c r="N3811" s="33">
        <f>IFERROR(__xludf.DUMMYFUNCTION("""COMPUTED_VALUE"""),46009.0)</f>
        <v>46009</v>
      </c>
      <c r="O3811" s="20"/>
      <c r="P3811" s="32" t="str">
        <f>IFERROR(__xludf.DUMMYFUNCTION("""COMPUTED_VALUE"""),"否")</f>
        <v>否</v>
      </c>
      <c r="Q3811" s="30"/>
      <c r="R3811" s="22" t="str">
        <f>IFERROR(__xludf.DUMMYFUNCTION("""COMPUTED_VALUE"""),"コミットOK")</f>
        <v>コミットOK</v>
      </c>
      <c r="S3811" s="22" t="str">
        <f>IFERROR(__xludf.DUMMYFUNCTION("""COMPUTED_VALUE"""),"20250808_weavin_アデンミールの花茨【タテヨミ】")</f>
        <v>20250808_weavin_アデンミールの花茨【タテヨミ】</v>
      </c>
      <c r="T3811" s="22" t="str">
        <f>IFERROR(__xludf.DUMMYFUNCTION("""COMPUTED_VALUE"""),"格納済み")</f>
        <v>格納済み</v>
      </c>
      <c r="U3811" s="9" t="str">
        <f>IFERROR(__xludf.DUMMYFUNCTION("""COMPUTED_VALUE"""),"(c)Yoo jigong/Contents Lab. Blue TOKYO/weavin")</f>
        <v>(c)Yoo jigong/Contents Lab. Blue TOKYO/weavin</v>
      </c>
      <c r="V3811" s="8"/>
      <c r="W3811" s="8"/>
      <c r="X3811" s="8" t="str">
        <f>IFERROR(__xludf.DUMMYFUNCTION("""COMPUTED_VALUE"""),"有")</f>
        <v>有</v>
      </c>
      <c r="Y3811" s="8" t="str">
        <f>IFERROR(__xludf.DUMMYFUNCTION("""COMPUTED_VALUE"""),"1~7巻無料")</f>
        <v>1~7巻無料</v>
      </c>
      <c r="Z3811" s="7"/>
      <c r="AA3811" s="7"/>
      <c r="AB3811" s="7"/>
    </row>
    <row r="3812" ht="15.75" customHeight="1">
      <c r="A3812" s="26">
        <f>IFERROR(__xludf.DUMMYFUNCTION("""COMPUTED_VALUE"""),5925.0)</f>
        <v>5925</v>
      </c>
      <c r="B3812" s="22" t="str">
        <f>IFERROR(__xludf.DUMMYFUNCTION("""COMPUTED_VALUE"""),"確定")</f>
        <v>確定</v>
      </c>
      <c r="C3812" s="28">
        <f>IFERROR(__xludf.DUMMYFUNCTION("""COMPUTED_VALUE"""),45832.0)</f>
        <v>45832</v>
      </c>
      <c r="D3812" s="28">
        <f>IFERROR(__xludf.DUMMYFUNCTION("""COMPUTED_VALUE"""),45896.0)</f>
        <v>45896</v>
      </c>
      <c r="E3812" s="26">
        <f>IFERROR(__xludf.DUMMYFUNCTION("""COMPUTED_VALUE"""),339802.0)</f>
        <v>339802</v>
      </c>
      <c r="F3812" s="22" t="str">
        <f>IFERROR(__xludf.DUMMYFUNCTION("""COMPUTED_VALUE"""),"顔だけと言われた悪役令嬢は死に戻って恋に惑う")</f>
        <v>顔だけと言われた悪役令嬢は死に戻って恋に惑う</v>
      </c>
      <c r="G3812" s="20">
        <f>IFERROR(__xludf.DUMMYFUNCTION("""COMPUTED_VALUE"""),1.0)</f>
        <v>1</v>
      </c>
      <c r="H3812" s="22" t="str">
        <f>IFERROR(__xludf.DUMMYFUNCTION("""COMPUTED_VALUE"""),"漫画：式部玲　原作：小山内慧夢")</f>
        <v>漫画：式部玲　原作：小山内慧夢</v>
      </c>
      <c r="I3812" s="22" t="str">
        <f>IFERROR(__xludf.DUMMYFUNCTION("""COMPUTED_VALUE"""),"少女")</f>
        <v>少女</v>
      </c>
      <c r="J3812" s="22"/>
      <c r="K3812" s="22" t="str">
        <f>IFERROR(__xludf.DUMMYFUNCTION("""COMPUTED_VALUE"""),"ZERO-SUMコミックス")</f>
        <v>ZERO-SUMコミックス</v>
      </c>
      <c r="L3812" s="22" t="str">
        <f>IFERROR(__xludf.DUMMYFUNCTION("""COMPUTED_VALUE"""),"一迅社")</f>
        <v>一迅社</v>
      </c>
      <c r="M3812" s="33">
        <f>IFERROR(__xludf.DUMMYFUNCTION("""COMPUTED_VALUE"""),45962.0)</f>
        <v>45962</v>
      </c>
      <c r="N3812" s="33">
        <f>IFERROR(__xludf.DUMMYFUNCTION("""COMPUTED_VALUE"""),45991.0)</f>
        <v>45991</v>
      </c>
      <c r="O3812" s="20"/>
      <c r="P3812" s="32" t="str">
        <f>IFERROR(__xludf.DUMMYFUNCTION("""COMPUTED_VALUE"""),"否")</f>
        <v>否</v>
      </c>
      <c r="Q3812" s="30" t="str">
        <f>IFERROR(__xludf.DUMMYFUNCTION("""COMPUTED_VALUE"""),"「悪役令嬢ですが、幸せになってみせますわ！ アンソロジーコミック: 14」掲載作品です")</f>
        <v>「悪役令嬢ですが、幸せになってみせますわ！ アンソロジーコミック: 14」掲載作品です</v>
      </c>
      <c r="R3812" s="22"/>
      <c r="S3812" s="22" t="str">
        <f>IFERROR(__xludf.DUMMYFUNCTION("""COMPUTED_VALUE"""),"20250827_一迅社_顔だけと言われた悪役令嬢は死に戻って恋に惑う")</f>
        <v>20250827_一迅社_顔だけと言われた悪役令嬢は死に戻って恋に惑う</v>
      </c>
      <c r="T3812" s="22" t="str">
        <f>IFERROR(__xludf.DUMMYFUNCTION("""COMPUTED_VALUE"""),"格納済み")</f>
        <v>格納済み</v>
      </c>
      <c r="U3812" s="9" t="str">
        <f>IFERROR(__xludf.DUMMYFUNCTION("""COMPUTED_VALUE"""),"(C)式部玲・小山内慧夢／一迅社")</f>
        <v>(C)式部玲・小山内慧夢／一迅社</v>
      </c>
      <c r="V3812" s="8"/>
      <c r="W3812" s="8"/>
      <c r="X3812" s="8" t="str">
        <f>IFERROR(__xludf.DUMMYFUNCTION("""COMPUTED_VALUE"""),"有")</f>
        <v>有</v>
      </c>
      <c r="Y3812" s="8" t="str">
        <f>IFERROR(__xludf.DUMMYFUNCTION("""COMPUTED_VALUE"""),"P9まで")</f>
        <v>P9まで</v>
      </c>
      <c r="Z3812" s="7"/>
      <c r="AA3812" s="7"/>
      <c r="AB3812" s="7"/>
    </row>
    <row r="3813" ht="15.75" customHeight="1">
      <c r="A3813" s="26">
        <f>IFERROR(__xludf.DUMMYFUNCTION("""COMPUTED_VALUE"""),5933.0)</f>
        <v>5933</v>
      </c>
      <c r="B3813" s="22" t="str">
        <f>IFERROR(__xludf.DUMMYFUNCTION("""COMPUTED_VALUE"""),"確定")</f>
        <v>確定</v>
      </c>
      <c r="C3813" s="28">
        <f>IFERROR(__xludf.DUMMYFUNCTION("""COMPUTED_VALUE"""),45833.0)</f>
        <v>45833</v>
      </c>
      <c r="D3813" s="28">
        <f>IFERROR(__xludf.DUMMYFUNCTION("""COMPUTED_VALUE"""),45890.0)</f>
        <v>45890</v>
      </c>
      <c r="E3813" s="26">
        <f>IFERROR(__xludf.DUMMYFUNCTION("""COMPUTED_VALUE"""),334902.0)</f>
        <v>334902</v>
      </c>
      <c r="F3813" s="22" t="str">
        <f>IFERROR(__xludf.DUMMYFUNCTION("""COMPUTED_VALUE"""),"揺られて蕩けて癒されて")</f>
        <v>揺られて蕩けて癒されて</v>
      </c>
      <c r="G3813" s="20" t="str">
        <f>IFERROR(__xludf.DUMMYFUNCTION("""COMPUTED_VALUE"""),"1～2")</f>
        <v>1～2</v>
      </c>
      <c r="H3813" s="22" t="str">
        <f>IFERROR(__xludf.DUMMYFUNCTION("""COMPUTED_VALUE"""),"ひなせ・瓜")</f>
        <v>ひなせ・瓜</v>
      </c>
      <c r="I3813" s="22" t="str">
        <f>IFERROR(__xludf.DUMMYFUNCTION("""COMPUTED_VALUE"""),"BL")</f>
        <v>BL</v>
      </c>
      <c r="J3813" s="22"/>
      <c r="K3813" s="22" t="str">
        <f>IFERROR(__xludf.DUMMYFUNCTION("""COMPUTED_VALUE"""),"NuPu")</f>
        <v>NuPu</v>
      </c>
      <c r="L3813" s="22" t="str">
        <f>IFERROR(__xludf.DUMMYFUNCTION("""COMPUTED_VALUE"""),"CLLENN")</f>
        <v>CLLENN</v>
      </c>
      <c r="M3813" s="33">
        <f>IFERROR(__xludf.DUMMYFUNCTION("""COMPUTED_VALUE"""),45918.0)</f>
        <v>45918</v>
      </c>
      <c r="N3813" s="33">
        <f>IFERROR(__xludf.DUMMYFUNCTION("""COMPUTED_VALUE"""),45980.0)</f>
        <v>45980</v>
      </c>
      <c r="O3813" s="20"/>
      <c r="P3813" s="32" t="str">
        <f>IFERROR(__xludf.DUMMYFUNCTION("""COMPUTED_VALUE"""),"可")</f>
        <v>可</v>
      </c>
      <c r="Q3813" s="30"/>
      <c r="R3813" s="22" t="str">
        <f>IFERROR(__xludf.DUMMYFUNCTION("""COMPUTED_VALUE"""),"コミットOK")</f>
        <v>コミットOK</v>
      </c>
      <c r="S3813" s="22" t="str">
        <f>IFERROR(__xludf.DUMMYFUNCTION("""COMPUTED_VALUE"""),"20250821_CLLENN_揺られて蕩けて癒されて")</f>
        <v>20250821_CLLENN_揺られて蕩けて癒されて</v>
      </c>
      <c r="T3813" s="22" t="str">
        <f>IFERROR(__xludf.DUMMYFUNCTION("""COMPUTED_VALUE"""),"格納済み")</f>
        <v>格納済み</v>
      </c>
      <c r="U3813" s="9" t="str">
        <f>IFERROR(__xludf.DUMMYFUNCTION("""COMPUTED_VALUE"""),"Ⓒひなせ・瓜/CLLENN")</f>
        <v>Ⓒひなせ・瓜/CLLENN</v>
      </c>
      <c r="V3813" s="8"/>
      <c r="W3813" s="8"/>
      <c r="X3813" s="8" t="str">
        <f>IFERROR(__xludf.DUMMYFUNCTION("""COMPUTED_VALUE"""),"有")</f>
        <v>有</v>
      </c>
      <c r="Y3813" s="8" t="str">
        <f>IFERROR(__xludf.DUMMYFUNCTION("""COMPUTED_VALUE"""),"2025/10/1まで1巻立ち読み増量(P18)")</f>
        <v>2025/10/1まで1巻立ち読み増量(P18)</v>
      </c>
      <c r="Z3813" s="7"/>
      <c r="AA3813" s="7"/>
      <c r="AB3813" s="7"/>
    </row>
    <row r="3814" ht="15.75" customHeight="1">
      <c r="A3814" s="26">
        <f>IFERROR(__xludf.DUMMYFUNCTION("""COMPUTED_VALUE"""),5937.0)</f>
        <v>5937</v>
      </c>
      <c r="B3814" s="22" t="str">
        <f>IFERROR(__xludf.DUMMYFUNCTION("""COMPUTED_VALUE"""),"確定")</f>
        <v>確定</v>
      </c>
      <c r="C3814" s="28">
        <f>IFERROR(__xludf.DUMMYFUNCTION("""COMPUTED_VALUE"""),45835.0)</f>
        <v>45835</v>
      </c>
      <c r="D3814" s="28">
        <f>IFERROR(__xludf.DUMMYFUNCTION("""COMPUTED_VALUE"""),45895.0)</f>
        <v>45895</v>
      </c>
      <c r="E3814" s="26">
        <f>IFERROR(__xludf.DUMMYFUNCTION("""COMPUTED_VALUE"""),334773.0)</f>
        <v>334773</v>
      </c>
      <c r="F3814" s="22" t="str">
        <f>IFERROR(__xludf.DUMMYFUNCTION("""COMPUTED_VALUE"""),"答えあわせはシーツの中で")</f>
        <v>答えあわせはシーツの中で</v>
      </c>
      <c r="G3814" s="20" t="str">
        <f>IFERROR(__xludf.DUMMYFUNCTION("""COMPUTED_VALUE"""),"1～2")</f>
        <v>1～2</v>
      </c>
      <c r="H3814" s="22" t="str">
        <f>IFERROR(__xludf.DUMMYFUNCTION("""COMPUTED_VALUE"""),"イカダ")</f>
        <v>イカダ</v>
      </c>
      <c r="I3814" s="22" t="str">
        <f>IFERROR(__xludf.DUMMYFUNCTION("""COMPUTED_VALUE"""),"BL")</f>
        <v>BL</v>
      </c>
      <c r="J3814" s="22"/>
      <c r="K3814" s="22" t="str">
        <f>IFERROR(__xludf.DUMMYFUNCTION("""COMPUTED_VALUE"""),"MooiComics")</f>
        <v>MooiComics</v>
      </c>
      <c r="L3814" s="22" t="str">
        <f>IFERROR(__xludf.DUMMYFUNCTION("""COMPUTED_VALUE"""),"CLLENN")</f>
        <v>CLLENN</v>
      </c>
      <c r="M3814" s="33">
        <f>IFERROR(__xludf.DUMMYFUNCTION("""COMPUTED_VALUE"""),45916.0)</f>
        <v>45916</v>
      </c>
      <c r="N3814" s="33">
        <f>IFERROR(__xludf.DUMMYFUNCTION("""COMPUTED_VALUE"""),45978.0)</f>
        <v>45978</v>
      </c>
      <c r="O3814" s="20"/>
      <c r="P3814" s="32" t="str">
        <f>IFERROR(__xludf.DUMMYFUNCTION("""COMPUTED_VALUE"""),"可")</f>
        <v>可</v>
      </c>
      <c r="Q3814" s="30" t="str">
        <f>IFERROR(__xludf.DUMMYFUNCTION("""COMPUTED_VALUE"""),"【アダルト作品扱い】")</f>
        <v>【アダルト作品扱い】</v>
      </c>
      <c r="R3814" s="22" t="str">
        <f>IFERROR(__xludf.DUMMYFUNCTION("""COMPUTED_VALUE"""),"コミットOK")</f>
        <v>コミットOK</v>
      </c>
      <c r="S3814" s="22" t="str">
        <f>IFERROR(__xludf.DUMMYFUNCTION("""COMPUTED_VALUE"""),"20250821_CLLENN_答えあわせはシーツの中で")</f>
        <v>20250821_CLLENN_答えあわせはシーツの中で</v>
      </c>
      <c r="T3814" s="22" t="str">
        <f>IFERROR(__xludf.DUMMYFUNCTION("""COMPUTED_VALUE"""),"格納済み")</f>
        <v>格納済み</v>
      </c>
      <c r="U3814" s="9" t="str">
        <f>IFERROR(__xludf.DUMMYFUNCTION("""COMPUTED_VALUE"""),"Ⓒイカダ/CLLENN")</f>
        <v>Ⓒイカダ/CLLENN</v>
      </c>
      <c r="V3814" s="8"/>
      <c r="W3814" s="8"/>
      <c r="X3814" s="8" t="str">
        <f>IFERROR(__xludf.DUMMYFUNCTION("""COMPUTED_VALUE"""),"有")</f>
        <v>有</v>
      </c>
      <c r="Y3814" s="8" t="str">
        <f>IFERROR(__xludf.DUMMYFUNCTION("""COMPUTED_VALUE"""),"2025/9/29まで1巻立ち読み増量(P17)")</f>
        <v>2025/9/29まで1巻立ち読み増量(P17)</v>
      </c>
      <c r="Z3814" s="7"/>
      <c r="AA3814" s="7"/>
      <c r="AB3814" s="7"/>
    </row>
    <row r="3815" ht="15.75" customHeight="1">
      <c r="A3815" s="26">
        <f>IFERROR(__xludf.DUMMYFUNCTION("""COMPUTED_VALUE"""),5938.0)</f>
        <v>5938</v>
      </c>
      <c r="B3815" s="22" t="str">
        <f>IFERROR(__xludf.DUMMYFUNCTION("""COMPUTED_VALUE"""),"確定")</f>
        <v>確定</v>
      </c>
      <c r="C3815" s="28">
        <f>IFERROR(__xludf.DUMMYFUNCTION("""COMPUTED_VALUE"""),45835.0)</f>
        <v>45835</v>
      </c>
      <c r="D3815" s="28">
        <f>IFERROR(__xludf.DUMMYFUNCTION("""COMPUTED_VALUE"""),45895.0)</f>
        <v>45895</v>
      </c>
      <c r="E3815" s="26">
        <f>IFERROR(__xludf.DUMMYFUNCTION("""COMPUTED_VALUE"""),334774.0)</f>
        <v>334774</v>
      </c>
      <c r="F3815" s="22" t="str">
        <f>IFERROR(__xludf.DUMMYFUNCTION("""COMPUTED_VALUE"""),"上司がかわいいなんて聞いてない")</f>
        <v>上司がかわいいなんて聞いてない</v>
      </c>
      <c r="G3815" s="20" t="str">
        <f>IFERROR(__xludf.DUMMYFUNCTION("""COMPUTED_VALUE"""),"1～2")</f>
        <v>1～2</v>
      </c>
      <c r="H3815" s="22" t="str">
        <f>IFERROR(__xludf.DUMMYFUNCTION("""COMPUTED_VALUE"""),"うな")</f>
        <v>うな</v>
      </c>
      <c r="I3815" s="22" t="str">
        <f>IFERROR(__xludf.DUMMYFUNCTION("""COMPUTED_VALUE"""),"BL")</f>
        <v>BL</v>
      </c>
      <c r="J3815" s="22"/>
      <c r="K3815" s="22" t="str">
        <f>IFERROR(__xludf.DUMMYFUNCTION("""COMPUTED_VALUE"""),"MooiComics")</f>
        <v>MooiComics</v>
      </c>
      <c r="L3815" s="22" t="str">
        <f>IFERROR(__xludf.DUMMYFUNCTION("""COMPUTED_VALUE"""),"CLLENN")</f>
        <v>CLLENN</v>
      </c>
      <c r="M3815" s="33">
        <f>IFERROR(__xludf.DUMMYFUNCTION("""COMPUTED_VALUE"""),45916.0)</f>
        <v>45916</v>
      </c>
      <c r="N3815" s="33">
        <f>IFERROR(__xludf.DUMMYFUNCTION("""COMPUTED_VALUE"""),45978.0)</f>
        <v>45978</v>
      </c>
      <c r="O3815" s="20"/>
      <c r="P3815" s="32" t="str">
        <f>IFERROR(__xludf.DUMMYFUNCTION("""COMPUTED_VALUE"""),"可")</f>
        <v>可</v>
      </c>
      <c r="Q3815" s="30"/>
      <c r="R3815" s="22" t="str">
        <f>IFERROR(__xludf.DUMMYFUNCTION("""COMPUTED_VALUE"""),"コミットOK")</f>
        <v>コミットOK</v>
      </c>
      <c r="S3815" s="22" t="str">
        <f>IFERROR(__xludf.DUMMYFUNCTION("""COMPUTED_VALUE"""),"20250826_CLLENN_上司がかわいいなんて聞いてない")</f>
        <v>20250826_CLLENN_上司がかわいいなんて聞いてない</v>
      </c>
      <c r="T3815" s="22" t="str">
        <f>IFERROR(__xludf.DUMMYFUNCTION("""COMPUTED_VALUE"""),"格納済み")</f>
        <v>格納済み</v>
      </c>
      <c r="U3815" s="9" t="str">
        <f>IFERROR(__xludf.DUMMYFUNCTION("""COMPUTED_VALUE"""),"Ⓒうな/CLLENN")</f>
        <v>Ⓒうな/CLLENN</v>
      </c>
      <c r="V3815" s="8"/>
      <c r="W3815" s="8"/>
      <c r="X3815" s="8" t="str">
        <f>IFERROR(__xludf.DUMMYFUNCTION("""COMPUTED_VALUE"""),"有")</f>
        <v>有</v>
      </c>
      <c r="Y3815" s="8" t="str">
        <f>IFERROR(__xludf.DUMMYFUNCTION("""COMPUTED_VALUE"""),"2025/9/29まで1巻立ち読み増量(P14)")</f>
        <v>2025/9/29まで1巻立ち読み増量(P14)</v>
      </c>
      <c r="Z3815" s="7"/>
      <c r="AA3815" s="7"/>
      <c r="AB3815" s="7"/>
    </row>
    <row r="3816" ht="15.75" customHeight="1">
      <c r="A3816" s="26">
        <f>IFERROR(__xludf.DUMMYFUNCTION("""COMPUTED_VALUE"""),5939.0)</f>
        <v>5939</v>
      </c>
      <c r="B3816" s="22" t="str">
        <f>IFERROR(__xludf.DUMMYFUNCTION("""COMPUTED_VALUE"""),"確定")</f>
        <v>確定</v>
      </c>
      <c r="C3816" s="28">
        <f>IFERROR(__xludf.DUMMYFUNCTION("""COMPUTED_VALUE"""),45835.0)</f>
        <v>45835</v>
      </c>
      <c r="D3816" s="28">
        <f>IFERROR(__xludf.DUMMYFUNCTION("""COMPUTED_VALUE"""),45895.0)</f>
        <v>45895</v>
      </c>
      <c r="E3816" s="26">
        <f>IFERROR(__xludf.DUMMYFUNCTION("""COMPUTED_VALUE"""),334550.0)</f>
        <v>334550</v>
      </c>
      <c r="F3816" s="22" t="str">
        <f>IFERROR(__xludf.DUMMYFUNCTION("""COMPUTED_VALUE"""),"きらいなアイツは沼らせDomで、")</f>
        <v>きらいなアイツは沼らせDomで、</v>
      </c>
      <c r="G3816" s="20" t="str">
        <f>IFERROR(__xludf.DUMMYFUNCTION("""COMPUTED_VALUE"""),"1～2")</f>
        <v>1～2</v>
      </c>
      <c r="H3816" s="22" t="str">
        <f>IFERROR(__xludf.DUMMYFUNCTION("""COMPUTED_VALUE"""),"うにやま")</f>
        <v>うにやま</v>
      </c>
      <c r="I3816" s="22" t="str">
        <f>IFERROR(__xludf.DUMMYFUNCTION("""COMPUTED_VALUE"""),"BL")</f>
        <v>BL</v>
      </c>
      <c r="J3816" s="22"/>
      <c r="K3816" s="22" t="str">
        <f>IFERROR(__xludf.DUMMYFUNCTION("""COMPUTED_VALUE"""),"NuPu")</f>
        <v>NuPu</v>
      </c>
      <c r="L3816" s="22" t="str">
        <f>IFERROR(__xludf.DUMMYFUNCTION("""COMPUTED_VALUE"""),"CLLENN")</f>
        <v>CLLENN</v>
      </c>
      <c r="M3816" s="33">
        <f>IFERROR(__xludf.DUMMYFUNCTION("""COMPUTED_VALUE"""),45904.0)</f>
        <v>45904</v>
      </c>
      <c r="N3816" s="33">
        <f>IFERROR(__xludf.DUMMYFUNCTION("""COMPUTED_VALUE"""),45966.0)</f>
        <v>45966</v>
      </c>
      <c r="O3816" s="20"/>
      <c r="P3816" s="32" t="str">
        <f>IFERROR(__xludf.DUMMYFUNCTION("""COMPUTED_VALUE"""),"可")</f>
        <v>可</v>
      </c>
      <c r="Q3816" s="30" t="str">
        <f>IFERROR(__xludf.DUMMYFUNCTION("""COMPUTED_VALUE"""),"【アダルト作品扱い】")</f>
        <v>【アダルト作品扱い】</v>
      </c>
      <c r="R3816" s="22" t="str">
        <f>IFERROR(__xludf.DUMMYFUNCTION("""COMPUTED_VALUE"""),"コミットOK")</f>
        <v>コミットOK</v>
      </c>
      <c r="S3816" s="22" t="str">
        <f>IFERROR(__xludf.DUMMYFUNCTION("""COMPUTED_VALUE"""),"20250821_CLLENN_きらいなアイツは沼らせDomで、")</f>
        <v>20250821_CLLENN_きらいなアイツは沼らせDomで、</v>
      </c>
      <c r="T3816" s="22" t="str">
        <f>IFERROR(__xludf.DUMMYFUNCTION("""COMPUTED_VALUE"""),"格納済み")</f>
        <v>格納済み</v>
      </c>
      <c r="U3816" s="9" t="str">
        <f>IFERROR(__xludf.DUMMYFUNCTION("""COMPUTED_VALUE"""),"Ⓒうにやま/CLLENN")</f>
        <v>Ⓒうにやま/CLLENN</v>
      </c>
      <c r="V3816" s="8"/>
      <c r="W3816" s="8"/>
      <c r="X3816" s="8" t="str">
        <f>IFERROR(__xludf.DUMMYFUNCTION("""COMPUTED_VALUE"""),"有")</f>
        <v>有</v>
      </c>
      <c r="Y3816" s="8" t="str">
        <f>IFERROR(__xludf.DUMMYFUNCTION("""COMPUTED_VALUE"""),"P10まで")</f>
        <v>P10まで</v>
      </c>
      <c r="Z3816" s="7"/>
      <c r="AA3816" s="7"/>
      <c r="AB3816" s="7"/>
    </row>
    <row r="3817" ht="15.75" customHeight="1">
      <c r="A3817" s="26">
        <f>IFERROR(__xludf.DUMMYFUNCTION("""COMPUTED_VALUE"""),5963.0)</f>
        <v>5963</v>
      </c>
      <c r="B3817" s="22" t="str">
        <f>IFERROR(__xludf.DUMMYFUNCTION("""COMPUTED_VALUE"""),"確定")</f>
        <v>確定</v>
      </c>
      <c r="C3817" s="28">
        <f>IFERROR(__xludf.DUMMYFUNCTION("""COMPUTED_VALUE"""),45839.0)</f>
        <v>45839</v>
      </c>
      <c r="D3817" s="28">
        <f>IFERROR(__xludf.DUMMYFUNCTION("""COMPUTED_VALUE"""),45895.0)</f>
        <v>45895</v>
      </c>
      <c r="E3817" s="26">
        <f>IFERROR(__xludf.DUMMYFUNCTION("""COMPUTED_VALUE"""),334775.0)</f>
        <v>334775</v>
      </c>
      <c r="F3817" s="22" t="str">
        <f>IFERROR(__xludf.DUMMYFUNCTION("""COMPUTED_VALUE"""),"チェイサー")</f>
        <v>チェイサー</v>
      </c>
      <c r="G3817" s="20" t="str">
        <f>IFERROR(__xludf.DUMMYFUNCTION("""COMPUTED_VALUE"""),"1～2")</f>
        <v>1～2</v>
      </c>
      <c r="H3817" s="22" t="str">
        <f>IFERROR(__xludf.DUMMYFUNCTION("""COMPUTED_VALUE"""),"八神舞")</f>
        <v>八神舞</v>
      </c>
      <c r="I3817" s="22" t="str">
        <f>IFERROR(__xludf.DUMMYFUNCTION("""COMPUTED_VALUE"""),"BL")</f>
        <v>BL</v>
      </c>
      <c r="J3817" s="22"/>
      <c r="K3817" s="22" t="str">
        <f>IFERROR(__xludf.DUMMYFUNCTION("""COMPUTED_VALUE"""),"MooiComics")</f>
        <v>MooiComics</v>
      </c>
      <c r="L3817" s="22" t="str">
        <f>IFERROR(__xludf.DUMMYFUNCTION("""COMPUTED_VALUE"""),"CLLENN")</f>
        <v>CLLENN</v>
      </c>
      <c r="M3817" s="33">
        <f>IFERROR(__xludf.DUMMYFUNCTION("""COMPUTED_VALUE"""),45916.0)</f>
        <v>45916</v>
      </c>
      <c r="N3817" s="33">
        <f>IFERROR(__xludf.DUMMYFUNCTION("""COMPUTED_VALUE"""),45978.0)</f>
        <v>45978</v>
      </c>
      <c r="O3817" s="20"/>
      <c r="P3817" s="32" t="str">
        <f>IFERROR(__xludf.DUMMYFUNCTION("""COMPUTED_VALUE"""),"可")</f>
        <v>可</v>
      </c>
      <c r="Q3817" s="30" t="str">
        <f>IFERROR(__xludf.DUMMYFUNCTION("""COMPUTED_VALUE"""),"【アダルト作品扱い】")</f>
        <v>【アダルト作品扱い】</v>
      </c>
      <c r="R3817" s="22" t="str">
        <f>IFERROR(__xludf.DUMMYFUNCTION("""COMPUTED_VALUE"""),"コミットOK")</f>
        <v>コミットOK</v>
      </c>
      <c r="S3817" s="22" t="str">
        <f>IFERROR(__xludf.DUMMYFUNCTION("""COMPUTED_VALUE"""),"20250821_CLLENN_チェイサー")</f>
        <v>20250821_CLLENN_チェイサー</v>
      </c>
      <c r="T3817" s="22" t="str">
        <f>IFERROR(__xludf.DUMMYFUNCTION("""COMPUTED_VALUE"""),"格納済み")</f>
        <v>格納済み</v>
      </c>
      <c r="U3817" s="9" t="str">
        <f>IFERROR(__xludf.DUMMYFUNCTION("""COMPUTED_VALUE"""),"Ⓒ八神舞/CLLENN")</f>
        <v>Ⓒ八神舞/CLLENN</v>
      </c>
      <c r="V3817" s="8"/>
      <c r="W3817" s="8"/>
      <c r="X3817" s="8" t="str">
        <f>IFERROR(__xludf.DUMMYFUNCTION("""COMPUTED_VALUE"""),"有")</f>
        <v>有</v>
      </c>
      <c r="Y3817" s="8" t="str">
        <f>IFERROR(__xludf.DUMMYFUNCTION("""COMPUTED_VALUE"""),"2025/9/29まで1巻立ち読み増量(P18)")</f>
        <v>2025/9/29まで1巻立ち読み増量(P18)</v>
      </c>
      <c r="Z3817" s="7"/>
      <c r="AA3817" s="7"/>
      <c r="AB3817" s="7"/>
    </row>
    <row r="3818" ht="15.75" customHeight="1">
      <c r="A3818" s="26">
        <f>IFERROR(__xludf.DUMMYFUNCTION("""COMPUTED_VALUE"""),5975.0)</f>
        <v>5975</v>
      </c>
      <c r="B3818" s="22" t="str">
        <f>IFERROR(__xludf.DUMMYFUNCTION("""COMPUTED_VALUE"""),"確定")</f>
        <v>確定</v>
      </c>
      <c r="C3818" s="28">
        <f>IFERROR(__xludf.DUMMYFUNCTION("""COMPUTED_VALUE"""),45840.0)</f>
        <v>45840</v>
      </c>
      <c r="D3818" s="28">
        <f>IFERROR(__xludf.DUMMYFUNCTION("""COMPUTED_VALUE"""),45891.0)</f>
        <v>45891</v>
      </c>
      <c r="E3818" s="26">
        <f>IFERROR(__xludf.DUMMYFUNCTION("""COMPUTED_VALUE"""),333678.0)</f>
        <v>333678</v>
      </c>
      <c r="F3818" s="22" t="str">
        <f>IFERROR(__xludf.DUMMYFUNCTION("""COMPUTED_VALUE"""),"好きって言っても逃さない～優しくて大人な先輩が、夜だけ甘く壊してきます～")</f>
        <v>好きって言っても逃さない～優しくて大人な先輩が、夜だけ甘く壊してきます～</v>
      </c>
      <c r="G3818" s="20" t="str">
        <f>IFERROR(__xludf.DUMMYFUNCTION("""COMPUTED_VALUE"""),"1～3")</f>
        <v>1～3</v>
      </c>
      <c r="H3818" s="22" t="str">
        <f>IFERROR(__xludf.DUMMYFUNCTION("""COMPUTED_VALUE"""),"二賭丸すいか")</f>
        <v>二賭丸すいか</v>
      </c>
      <c r="I3818" s="22" t="str">
        <f>IFERROR(__xludf.DUMMYFUNCTION("""COMPUTED_VALUE"""),"TL")</f>
        <v>TL</v>
      </c>
      <c r="J3818" s="22"/>
      <c r="K3818" s="22" t="str">
        <f>IFERROR(__xludf.DUMMYFUNCTION("""COMPUTED_VALUE"""),"恋愛ショコラ")</f>
        <v>恋愛ショコラ</v>
      </c>
      <c r="L3818" s="22" t="str">
        <f>IFERROR(__xludf.DUMMYFUNCTION("""COMPUTED_VALUE"""),"forcs")</f>
        <v>forcs</v>
      </c>
      <c r="M3818" s="33">
        <f>IFERROR(__xludf.DUMMYFUNCTION("""COMPUTED_VALUE"""),45905.0)</f>
        <v>45905</v>
      </c>
      <c r="N3818" s="33">
        <f>IFERROR(__xludf.DUMMYFUNCTION("""COMPUTED_VALUE"""),45967.0)</f>
        <v>45967</v>
      </c>
      <c r="O3818" s="20"/>
      <c r="P3818" s="32" t="str">
        <f>IFERROR(__xludf.DUMMYFUNCTION("""COMPUTED_VALUE"""),"可")</f>
        <v>可</v>
      </c>
      <c r="Q3818" s="30" t="str">
        <f>IFERROR(__xludf.DUMMYFUNCTION("""COMPUTED_VALUE"""),"【アダルト作品扱い】")</f>
        <v>【アダルト作品扱い】</v>
      </c>
      <c r="R3818" s="22" t="str">
        <f>IFERROR(__xludf.DUMMYFUNCTION("""COMPUTED_VALUE"""),"コミットOK")</f>
        <v>コミットOK</v>
      </c>
      <c r="S3818" s="22" t="str">
        <f>IFERROR(__xludf.DUMMYFUNCTION("""COMPUTED_VALUE"""),"20250821_forcs_好きって言っても逃さない～優しくて大人な先輩が、夜だけ甘く壊してきます～_2509")</f>
        <v>20250821_forcs_好きって言っても逃さない～優しくて大人な先輩が、夜だけ甘く壊してきます～_2509</v>
      </c>
      <c r="T3818" s="22" t="str">
        <f>IFERROR(__xludf.DUMMYFUNCTION("""COMPUTED_VALUE"""),"格納済み")</f>
        <v>格納済み</v>
      </c>
      <c r="U3818" s="9" t="str">
        <f>IFERROR(__xludf.DUMMYFUNCTION("""COMPUTED_VALUE"""),"Ⓒ二賭丸すいか/forcs")</f>
        <v>Ⓒ二賭丸すいか/forcs</v>
      </c>
      <c r="V3818" s="8"/>
      <c r="W3818" s="8"/>
      <c r="X3818" s="8" t="str">
        <f>IFERROR(__xludf.DUMMYFUNCTION("""COMPUTED_VALUE"""),"有")</f>
        <v>有</v>
      </c>
      <c r="Y3818" s="8" t="str">
        <f>IFERROR(__xludf.DUMMYFUNCTION("""COMPUTED_VALUE"""),"2025/9/19まで1巻無料")</f>
        <v>2025/9/19まで1巻無料</v>
      </c>
      <c r="Z3818" s="7"/>
      <c r="AA3818" s="7"/>
      <c r="AB3818" s="7"/>
    </row>
    <row r="3819" ht="15.75" customHeight="1">
      <c r="A3819" s="26">
        <f>IFERROR(__xludf.DUMMYFUNCTION("""COMPUTED_VALUE"""),5995.0)</f>
        <v>5995</v>
      </c>
      <c r="B3819" s="22" t="str">
        <f>IFERROR(__xludf.DUMMYFUNCTION("""COMPUTED_VALUE"""),"確定")</f>
        <v>確定</v>
      </c>
      <c r="C3819" s="28">
        <f>IFERROR(__xludf.DUMMYFUNCTION("""COMPUTED_VALUE"""),45845.0)</f>
        <v>45845</v>
      </c>
      <c r="D3819" s="28">
        <f>IFERROR(__xludf.DUMMYFUNCTION("""COMPUTED_VALUE"""),45895.0)</f>
        <v>45895</v>
      </c>
      <c r="E3819" s="26">
        <f>IFERROR(__xludf.DUMMYFUNCTION("""COMPUTED_VALUE"""),336021.0)</f>
        <v>336021</v>
      </c>
      <c r="F3819" s="22" t="str">
        <f>IFERROR(__xludf.DUMMYFUNCTION("""COMPUTED_VALUE"""),"Berry’s Fantasyお前呼ばわりで婚約破棄？隣国で自由を謳歌するのでどうぞお構いなく！～追放令嬢、実は最強精霊師でした～")</f>
        <v>Berry’s Fantasyお前呼ばわりで婚約破棄？隣国で自由を謳歌するのでどうぞお構いなく！～追放令嬢、実は最強精霊師でした～</v>
      </c>
      <c r="G3819" s="20" t="str">
        <f>IFERROR(__xludf.DUMMYFUNCTION("""COMPUTED_VALUE"""),"1～5")</f>
        <v>1～5</v>
      </c>
      <c r="H3819" s="22" t="str">
        <f>IFERROR(__xludf.DUMMYFUNCTION("""COMPUTED_VALUE"""),"作画：タクヘイ　原作：雨宮れん　キャラクター原案：RAHWIA")</f>
        <v>作画：タクヘイ　原作：雨宮れん　キャラクター原案：RAHWIA</v>
      </c>
      <c r="I3819" s="22" t="str">
        <f>IFERROR(__xludf.DUMMYFUNCTION("""COMPUTED_VALUE"""),"女性")</f>
        <v>女性</v>
      </c>
      <c r="J3819" s="22"/>
      <c r="K3819" s="22"/>
      <c r="L3819" s="22" t="str">
        <f>IFERROR(__xludf.DUMMYFUNCTION("""COMPUTED_VALUE"""),"スターツ出版")</f>
        <v>スターツ出版</v>
      </c>
      <c r="M3819" s="33">
        <f>IFERROR(__xludf.DUMMYFUNCTION("""COMPUTED_VALUE"""),45926.0)</f>
        <v>45926</v>
      </c>
      <c r="N3819" s="33">
        <f>IFERROR(__xludf.DUMMYFUNCTION("""COMPUTED_VALUE"""),45988.0)</f>
        <v>45988</v>
      </c>
      <c r="O3819" s="20"/>
      <c r="P3819" s="32" t="str">
        <f>IFERROR(__xludf.DUMMYFUNCTION("""COMPUTED_VALUE"""),"否")</f>
        <v>否</v>
      </c>
      <c r="Q3819" s="30" t="str">
        <f>IFERROR(__xludf.DUMMYFUNCTION("""COMPUTED_VALUE"""),"河上さん事前相談済作品")</f>
        <v>河上さん事前相談済作品</v>
      </c>
      <c r="R3819" s="22"/>
      <c r="S3819" s="22" t="str">
        <f>IFERROR(__xludf.DUMMYFUNCTION("""COMPUTED_VALUE"""),"20250825_スターツ出版_お前呼ばわりで婚約破棄？隣国で自由を謳歌するのでどうぞお構いなく！～追放令嬢、実は最強精霊師でした～")</f>
        <v>20250825_スターツ出版_お前呼ばわりで婚約破棄？隣国で自由を謳歌するのでどうぞお構いなく！～追放令嬢、実は最強精霊師でした～</v>
      </c>
      <c r="T3819" s="22" t="str">
        <f>IFERROR(__xludf.DUMMYFUNCTION("""COMPUTED_VALUE"""),"格納済み")</f>
        <v>格納済み</v>
      </c>
      <c r="U3819" s="9" t="str">
        <f>IFERROR(__xludf.DUMMYFUNCTION("""COMPUTED_VALUE"""),"（C）takuhei・Ren Amamiya/スターツ出版")</f>
        <v>（C）takuhei・Ren Amamiya/スターツ出版</v>
      </c>
      <c r="V3819" s="8"/>
      <c r="W3819" s="8"/>
      <c r="X3819" s="8" t="str">
        <f>IFERROR(__xludf.DUMMYFUNCTION("""COMPUTED_VALUE"""),"有")</f>
        <v>有</v>
      </c>
      <c r="Y3819" s="8" t="str">
        <f>IFERROR(__xludf.DUMMYFUNCTION("""COMPUTED_VALUE"""),"2025/11/27まで1巻無料")</f>
        <v>2025/11/27まで1巻無料</v>
      </c>
      <c r="Z3819" s="7"/>
      <c r="AA3819" s="7"/>
      <c r="AB3819" s="7"/>
    </row>
    <row r="3820" ht="15.75" customHeight="1">
      <c r="A3820" s="26">
        <f>IFERROR(__xludf.DUMMYFUNCTION("""COMPUTED_VALUE"""),6000.0)</f>
        <v>6000</v>
      </c>
      <c r="B3820" s="22" t="str">
        <f>IFERROR(__xludf.DUMMYFUNCTION("""COMPUTED_VALUE"""),"確定")</f>
        <v>確定</v>
      </c>
      <c r="C3820" s="28">
        <f>IFERROR(__xludf.DUMMYFUNCTION("""COMPUTED_VALUE"""),45845.0)</f>
        <v>45845</v>
      </c>
      <c r="D3820" s="28">
        <f>IFERROR(__xludf.DUMMYFUNCTION("""COMPUTED_VALUE"""),45891.0)</f>
        <v>45891</v>
      </c>
      <c r="E3820" s="26">
        <f>IFERROR(__xludf.DUMMYFUNCTION("""COMPUTED_VALUE"""),335056.0)</f>
        <v>335056</v>
      </c>
      <c r="F3820" s="22" t="str">
        <f>IFERROR(__xludf.DUMMYFUNCTION("""COMPUTED_VALUE"""),"最推し攻略対象がいるのに、チュートリアルで死にたくありません！　【分冊版】（コミック）")</f>
        <v>最推し攻略対象がいるのに、チュートリアルで死にたくありません！　【分冊版】（コミック）</v>
      </c>
      <c r="G3820" s="20" t="str">
        <f>IFERROR(__xludf.DUMMYFUNCTION("""COMPUTED_VALUE"""),"1～3")</f>
        <v>1～3</v>
      </c>
      <c r="H3820" s="22" t="str">
        <f>IFERROR(__xludf.DUMMYFUNCTION("""COMPUTED_VALUE"""),"桜井ゆっけ,榛名丼,さらちよみ")</f>
        <v>桜井ゆっけ,榛名丼,さらちよみ</v>
      </c>
      <c r="I3820" s="22" t="str">
        <f>IFERROR(__xludf.DUMMYFUNCTION("""COMPUTED_VALUE"""),"少女")</f>
        <v>少女</v>
      </c>
      <c r="J3820" s="22"/>
      <c r="K3820" s="22"/>
      <c r="L3820" s="22" t="str">
        <f>IFERROR(__xludf.DUMMYFUNCTION("""COMPUTED_VALUE"""),"SBクリエイティブ")</f>
        <v>SBクリエイティブ</v>
      </c>
      <c r="M3820" s="33">
        <f>IFERROR(__xludf.DUMMYFUNCTION("""COMPUTED_VALUE"""),45919.0)</f>
        <v>45919</v>
      </c>
      <c r="N3820" s="33">
        <f>IFERROR(__xludf.DUMMYFUNCTION("""COMPUTED_VALUE"""),46008.0)</f>
        <v>46008</v>
      </c>
      <c r="O3820" s="20"/>
      <c r="P3820" s="32" t="str">
        <f>IFERROR(__xludf.DUMMYFUNCTION("""COMPUTED_VALUE"""),"否")</f>
        <v>否</v>
      </c>
      <c r="Q3820" s="30" t="str">
        <f>IFERROR(__xludf.DUMMYFUNCTION("""COMPUTED_VALUE"""),"原作ノベルは下記の作品となります。&lt;BR&gt;https://www.cmoa.jp/title/1101447479/")</f>
        <v>原作ノベルは下記の作品となります。&lt;BR&gt;https://www.cmoa.jp/title/1101447479/</v>
      </c>
      <c r="R3820" s="22" t="str">
        <f>IFERROR(__xludf.DUMMYFUNCTION("""COMPUTED_VALUE"""),"コミットOK")</f>
        <v>コミットOK</v>
      </c>
      <c r="S3820" s="22" t="str">
        <f>IFERROR(__xludf.DUMMYFUNCTION("""COMPUTED_VALUE"""),"20250821_SBクリエイティブ_最推し攻略対象がいるのに、チュートリアルで死にたくありません！【分冊版】（コミック）")</f>
        <v>20250821_SBクリエイティブ_最推し攻略対象がいるのに、チュートリアルで死にたくありません！【分冊版】（コミック）</v>
      </c>
      <c r="T3820" s="22" t="str">
        <f>IFERROR(__xludf.DUMMYFUNCTION("""COMPUTED_VALUE"""),"格納済み")</f>
        <v>格納済み</v>
      </c>
      <c r="U3820" s="9" t="str">
        <f>IFERROR(__xludf.DUMMYFUNCTION("""COMPUTED_VALUE"""),"(C)桜井ゆっけ･榛名丼/SB Creative Corp.")</f>
        <v>(C)桜井ゆっけ･榛名丼/SB Creative Corp.</v>
      </c>
      <c r="V3820" s="8"/>
      <c r="W3820" s="8"/>
      <c r="X3820" s="8" t="str">
        <f>IFERROR(__xludf.DUMMYFUNCTION("""COMPUTED_VALUE"""),"有")</f>
        <v>有</v>
      </c>
      <c r="Y3820" s="8" t="str">
        <f>IFERROR(__xludf.DUMMYFUNCTION("""COMPUTED_VALUE"""),"1巻無料")</f>
        <v>1巻無料</v>
      </c>
      <c r="Z3820" s="7"/>
      <c r="AA3820" s="7"/>
      <c r="AB3820" s="7"/>
    </row>
    <row r="3821" ht="15.75" customHeight="1">
      <c r="A3821" s="26">
        <f>IFERROR(__xludf.DUMMYFUNCTION("""COMPUTED_VALUE"""),6054.0)</f>
        <v>6054</v>
      </c>
      <c r="B3821" s="22" t="str">
        <f>IFERROR(__xludf.DUMMYFUNCTION("""COMPUTED_VALUE"""),"確定")</f>
        <v>確定</v>
      </c>
      <c r="C3821" s="28">
        <f>IFERROR(__xludf.DUMMYFUNCTION("""COMPUTED_VALUE"""),45849.0)</f>
        <v>45849</v>
      </c>
      <c r="D3821" s="28">
        <f>IFERROR(__xludf.DUMMYFUNCTION("""COMPUTED_VALUE"""),45890.0)</f>
        <v>45890</v>
      </c>
      <c r="E3821" s="26">
        <f>IFERROR(__xludf.DUMMYFUNCTION("""COMPUTED_VALUE"""),334903.0)</f>
        <v>334903</v>
      </c>
      <c r="F3821" s="22" t="str">
        <f>IFERROR(__xludf.DUMMYFUNCTION("""COMPUTED_VALUE"""),"ムーン・ロウナー")</f>
        <v>ムーン・ロウナー</v>
      </c>
      <c r="G3821" s="20" t="str">
        <f>IFERROR(__xludf.DUMMYFUNCTION("""COMPUTED_VALUE"""),"1～2")</f>
        <v>1～2</v>
      </c>
      <c r="H3821" s="22" t="str">
        <f>IFERROR(__xludf.DUMMYFUNCTION("""COMPUTED_VALUE"""),"少数でもいい")</f>
        <v>少数でもいい</v>
      </c>
      <c r="I3821" s="22" t="str">
        <f>IFERROR(__xludf.DUMMYFUNCTION("""COMPUTED_VALUE"""),"BL")</f>
        <v>BL</v>
      </c>
      <c r="J3821" s="22"/>
      <c r="K3821" s="22" t="str">
        <f>IFERROR(__xludf.DUMMYFUNCTION("""COMPUTED_VALUE"""),"NuPu")</f>
        <v>NuPu</v>
      </c>
      <c r="L3821" s="22" t="str">
        <f>IFERROR(__xludf.DUMMYFUNCTION("""COMPUTED_VALUE"""),"CLLENN")</f>
        <v>CLLENN</v>
      </c>
      <c r="M3821" s="33">
        <f>IFERROR(__xludf.DUMMYFUNCTION("""COMPUTED_VALUE"""),45918.0)</f>
        <v>45918</v>
      </c>
      <c r="N3821" s="33">
        <f>IFERROR(__xludf.DUMMYFUNCTION("""COMPUTED_VALUE"""),45980.0)</f>
        <v>45980</v>
      </c>
      <c r="O3821" s="20"/>
      <c r="P3821" s="32" t="str">
        <f>IFERROR(__xludf.DUMMYFUNCTION("""COMPUTED_VALUE"""),"可")</f>
        <v>可</v>
      </c>
      <c r="Q3821" s="30"/>
      <c r="R3821" s="22" t="str">
        <f>IFERROR(__xludf.DUMMYFUNCTION("""COMPUTED_VALUE"""),"コミットOK")</f>
        <v>コミットOK</v>
      </c>
      <c r="S3821" s="22" t="str">
        <f>IFERROR(__xludf.DUMMYFUNCTION("""COMPUTED_VALUE"""),"20250821_CLLENN_ムーン・ロウナー")</f>
        <v>20250821_CLLENN_ムーン・ロウナー</v>
      </c>
      <c r="T3821" s="22" t="str">
        <f>IFERROR(__xludf.DUMMYFUNCTION("""COMPUTED_VALUE"""),"格納済み")</f>
        <v>格納済み</v>
      </c>
      <c r="U3821" s="9" t="str">
        <f>IFERROR(__xludf.DUMMYFUNCTION("""COMPUTED_VALUE"""),"Ⓒ少数でもいい/CLLENN")</f>
        <v>Ⓒ少数でもいい/CLLENN</v>
      </c>
      <c r="V3821" s="8"/>
      <c r="W3821" s="8"/>
      <c r="X3821" s="8" t="str">
        <f>IFERROR(__xludf.DUMMYFUNCTION("""COMPUTED_VALUE"""),"有")</f>
        <v>有</v>
      </c>
      <c r="Y3821" s="8" t="str">
        <f>IFERROR(__xludf.DUMMYFUNCTION("""COMPUTED_VALUE"""),"2025/10/1まで1巻立ち読み増量(P18)")</f>
        <v>2025/10/1まで1巻立ち読み増量(P18)</v>
      </c>
      <c r="Z3821" s="7"/>
      <c r="AA3821" s="7"/>
      <c r="AB3821" s="7"/>
    </row>
    <row r="3822" ht="15.75" customHeight="1">
      <c r="A3822" s="26">
        <f>IFERROR(__xludf.DUMMYFUNCTION("""COMPUTED_VALUE"""),6058.0)</f>
        <v>6058</v>
      </c>
      <c r="B3822" s="22" t="str">
        <f>IFERROR(__xludf.DUMMYFUNCTION("""COMPUTED_VALUE"""),"確定")</f>
        <v>確定</v>
      </c>
      <c r="C3822" s="28">
        <f>IFERROR(__xludf.DUMMYFUNCTION("""COMPUTED_VALUE"""),45849.0)</f>
        <v>45849</v>
      </c>
      <c r="D3822" s="28">
        <f>IFERROR(__xludf.DUMMYFUNCTION("""COMPUTED_VALUE"""),45890.0)</f>
        <v>45890</v>
      </c>
      <c r="E3822" s="26">
        <f>IFERROR(__xludf.DUMMYFUNCTION("""COMPUTED_VALUE"""),335173.0)</f>
        <v>335173</v>
      </c>
      <c r="F3822" s="22" t="str">
        <f>IFERROR(__xludf.DUMMYFUNCTION("""COMPUTED_VALUE"""),"追放されたパシリ、買い物スキルSSSで装備無双 ～買ったモノを超強化して最強パーティー目指します～")</f>
        <v>追放されたパシリ、買い物スキルSSSで装備無双 ～買ったモノを超強化して最強パーティー目指します～</v>
      </c>
      <c r="G3822" s="20" t="str">
        <f>IFERROR(__xludf.DUMMYFUNCTION("""COMPUTED_VALUE"""),"1～4")</f>
        <v>1～4</v>
      </c>
      <c r="H3822" s="22" t="str">
        <f>IFERROR(__xludf.DUMMYFUNCTION("""COMPUTED_VALUE"""),"愛坂タカト,peep,taskey STUDIO,井上一,川上兤ノ佑")</f>
        <v>愛坂タカト,peep,taskey STUDIO,井上一,川上兤ノ佑</v>
      </c>
      <c r="I3822" s="22" t="str">
        <f>IFERROR(__xludf.DUMMYFUNCTION("""COMPUTED_VALUE"""),"少年")</f>
        <v>少年</v>
      </c>
      <c r="J3822" s="22"/>
      <c r="K3822" s="22"/>
      <c r="L3822" s="22" t="str">
        <f>IFERROR(__xludf.DUMMYFUNCTION("""COMPUTED_VALUE"""),"taskey")</f>
        <v>taskey</v>
      </c>
      <c r="M3822" s="33">
        <f>IFERROR(__xludf.DUMMYFUNCTION("""COMPUTED_VALUE"""),45906.0)</f>
        <v>45906</v>
      </c>
      <c r="N3822" s="33">
        <f>IFERROR(__xludf.DUMMYFUNCTION("""COMPUTED_VALUE"""),45996.0)</f>
        <v>45996</v>
      </c>
      <c r="O3822" s="20"/>
      <c r="P3822" s="32" t="str">
        <f>IFERROR(__xludf.DUMMYFUNCTION("""COMPUTED_VALUE"""),"可")</f>
        <v>可</v>
      </c>
      <c r="Q3822" s="30" t="str">
        <f>IFERROR(__xludf.DUMMYFUNCTION("""COMPUTED_VALUE"""),"あらすじ&lt;BR&gt;　パシられ続けた見習い冒険者のセルクは、&lt;BR&gt;　仲間パーティに役立たずだと馬鹿にされ、追放されてしまう。&lt;BR&gt;　しかし彼らは知らなかった。&lt;BR&gt;　⻑い雑用生活によって、セルクに新たな才能が芽生えたことを。&lt;BR&gt;　多々買う度に強くなる『買い物スキルSSS』を利用し、&lt;BR&gt;　セルクは世界最強の冒険者を目指して無双する!")</f>
        <v>あらすじ&lt;BR&gt;　パシられ続けた見習い冒険者のセルクは、&lt;BR&gt;　仲間パーティに役立たずだと馬鹿にされ、追放されてしまう。&lt;BR&gt;　しかし彼らは知らなかった。&lt;BR&gt;　⻑い雑用生活によって、セルクに新たな才能が芽生えたことを。&lt;BR&gt;　多々買う度に強くなる『買い物スキルSSS』を利用し、&lt;BR&gt;　セルクは世界最強の冒険者を目指して無双する!</v>
      </c>
      <c r="R3822" s="22" t="str">
        <f>IFERROR(__xludf.DUMMYFUNCTION("""COMPUTED_VALUE"""),"コミットOK")</f>
        <v>コミットOK</v>
      </c>
      <c r="S3822" s="22" t="str">
        <f>IFERROR(__xludf.DUMMYFUNCTION("""COMPUTED_VALUE"""),"20250820_taskey_買い物スキル")</f>
        <v>20250820_taskey_買い物スキル</v>
      </c>
      <c r="T3822" s="22" t="str">
        <f>IFERROR(__xludf.DUMMYFUNCTION("""COMPUTED_VALUE"""),"格納済み")</f>
        <v>格納済み</v>
      </c>
      <c r="U3822" s="9" t="str">
        <f>IFERROR(__xludf.DUMMYFUNCTION("""COMPUTED_VALUE"""),"©︎taskey　原作／愛坂タカト　ネーム／井上一　作画／川上兤ノ佑")</f>
        <v>©︎taskey　原作／愛坂タカト　ネーム／井上一　作画／川上兤ノ佑</v>
      </c>
      <c r="V3822" s="8"/>
      <c r="W3822" s="8"/>
      <c r="X3822" s="8" t="str">
        <f>IFERROR(__xludf.DUMMYFUNCTION("""COMPUTED_VALUE"""),"有")</f>
        <v>有</v>
      </c>
      <c r="Y3822" s="8" t="str">
        <f>IFERROR(__xludf.DUMMYFUNCTION("""COMPUTED_VALUE"""),"2025/10/3まで1巻無料")</f>
        <v>2025/10/3まで1巻無料</v>
      </c>
      <c r="Z3822" s="7"/>
      <c r="AA3822" s="7"/>
      <c r="AB3822" s="7"/>
    </row>
    <row r="3823" ht="15.75" customHeight="1">
      <c r="A3823" s="26">
        <f>IFERROR(__xludf.DUMMYFUNCTION("""COMPUTED_VALUE"""),6066.0)</f>
        <v>6066</v>
      </c>
      <c r="B3823" s="22" t="str">
        <f>IFERROR(__xludf.DUMMYFUNCTION("""COMPUTED_VALUE"""),"確定")</f>
        <v>確定</v>
      </c>
      <c r="C3823" s="28">
        <f>IFERROR(__xludf.DUMMYFUNCTION("""COMPUTED_VALUE"""),45852.0)</f>
        <v>45852</v>
      </c>
      <c r="D3823" s="28">
        <f>IFERROR(__xludf.DUMMYFUNCTION("""COMPUTED_VALUE"""),45890.0)</f>
        <v>45890</v>
      </c>
      <c r="E3823" s="26">
        <f>IFERROR(__xludf.DUMMYFUNCTION("""COMPUTED_VALUE"""),335064.0)</f>
        <v>335064</v>
      </c>
      <c r="F3823" s="22" t="str">
        <f>IFERROR(__xludf.DUMMYFUNCTION("""COMPUTED_VALUE"""),"一日一回、君と恋をする")</f>
        <v>一日一回、君と恋をする</v>
      </c>
      <c r="G3823" s="20">
        <f>IFERROR(__xludf.DUMMYFUNCTION("""COMPUTED_VALUE"""),1.0)</f>
        <v>1</v>
      </c>
      <c r="H3823" s="22" t="str">
        <f>IFERROR(__xludf.DUMMYFUNCTION("""COMPUTED_VALUE"""),"そらと")</f>
        <v>そらと</v>
      </c>
      <c r="I3823" s="22" t="str">
        <f>IFERROR(__xludf.DUMMYFUNCTION("""COMPUTED_VALUE"""),"BL")</f>
        <v>BL</v>
      </c>
      <c r="J3823" s="22"/>
      <c r="K3823" s="22"/>
      <c r="L3823" s="22" t="str">
        <f>IFERROR(__xludf.DUMMYFUNCTION("""COMPUTED_VALUE"""),"リブレ")</f>
        <v>リブレ</v>
      </c>
      <c r="M3823" s="33">
        <f>IFERROR(__xludf.DUMMYFUNCTION("""COMPUTED_VALUE"""),45920.0)</f>
        <v>45920</v>
      </c>
      <c r="N3823" s="33">
        <f>IFERROR(__xludf.DUMMYFUNCTION("""COMPUTED_VALUE"""),45949.0)</f>
        <v>45949</v>
      </c>
      <c r="O3823" s="20"/>
      <c r="P3823" s="32" t="str">
        <f>IFERROR(__xludf.DUMMYFUNCTION("""COMPUTED_VALUE"""),"可")</f>
        <v>可</v>
      </c>
      <c r="Q3823" s="30" t="str">
        <f>IFERROR(__xludf.DUMMYFUNCTION("""COMPUTED_VALUE"""),"素材は06後編までが1巻分です。&lt;BR&gt;格納している06前編までで広告制作お願いいたします。")</f>
        <v>素材は06後編までが1巻分です。&lt;BR&gt;格納している06前編までで広告制作お願いいたします。</v>
      </c>
      <c r="R3823" s="22"/>
      <c r="S3823" s="22" t="str">
        <f>IFERROR(__xludf.DUMMYFUNCTION("""COMPUTED_VALUE"""),"20250820_リブレ_一日一回、君と恋をする")</f>
        <v>20250820_リブレ_一日一回、君と恋をする</v>
      </c>
      <c r="T3823" s="22" t="str">
        <f>IFERROR(__xludf.DUMMYFUNCTION("""COMPUTED_VALUE"""),"格納済み")</f>
        <v>格納済み</v>
      </c>
      <c r="U3823" s="9" t="str">
        <f>IFERROR(__xludf.DUMMYFUNCTION("""COMPUTED_VALUE"""),"(C)そらと/libre")</f>
        <v>(C)そらと/libre</v>
      </c>
      <c r="V3823" s="8"/>
      <c r="W3823" s="8"/>
      <c r="X3823" s="8" t="str">
        <f>IFERROR(__xludf.DUMMYFUNCTION("""COMPUTED_VALUE"""),"有")</f>
        <v>有</v>
      </c>
      <c r="Y3823" s="8" t="str">
        <f>IFERROR(__xludf.DUMMYFUNCTION("""COMPUTED_VALUE"""),"P35まで")</f>
        <v>P35まで</v>
      </c>
      <c r="Z3823" s="7"/>
      <c r="AA3823" s="7"/>
      <c r="AB3823" s="7"/>
    </row>
    <row r="3824" ht="15.75" customHeight="1">
      <c r="A3824" s="26">
        <f>IFERROR(__xludf.DUMMYFUNCTION("""COMPUTED_VALUE"""),6072.0)</f>
        <v>6072</v>
      </c>
      <c r="B3824" s="22" t="str">
        <f>IFERROR(__xludf.DUMMYFUNCTION("""COMPUTED_VALUE"""),"確定")</f>
        <v>確定</v>
      </c>
      <c r="C3824" s="28">
        <f>IFERROR(__xludf.DUMMYFUNCTION("""COMPUTED_VALUE"""),45852.0)</f>
        <v>45852</v>
      </c>
      <c r="D3824" s="28">
        <f>IFERROR(__xludf.DUMMYFUNCTION("""COMPUTED_VALUE"""),45896.0)</f>
        <v>45896</v>
      </c>
      <c r="E3824" s="26">
        <f>IFERROR(__xludf.DUMMYFUNCTION("""COMPUTED_VALUE"""),336073.0)</f>
        <v>336073</v>
      </c>
      <c r="F3824" s="22" t="str">
        <f>IFERROR(__xludf.DUMMYFUNCTION("""COMPUTED_VALUE"""),"『一軍男子』良実くん、眼中に無かった女に狂う")</f>
        <v>『一軍男子』良実くん、眼中に無かった女に狂う</v>
      </c>
      <c r="G3824" s="20" t="str">
        <f>IFERROR(__xludf.DUMMYFUNCTION("""COMPUTED_VALUE"""),"1～4")</f>
        <v>1～4</v>
      </c>
      <c r="H3824" s="22" t="str">
        <f>IFERROR(__xludf.DUMMYFUNCTION("""COMPUTED_VALUE"""),"輪子湖わこ/保田飯飯")</f>
        <v>輪子湖わこ/保田飯飯</v>
      </c>
      <c r="I3824" s="22" t="str">
        <f>IFERROR(__xludf.DUMMYFUNCTION("""COMPUTED_VALUE"""),"TL")</f>
        <v>TL</v>
      </c>
      <c r="J3824" s="22"/>
      <c r="K3824" s="22" t="str">
        <f>IFERROR(__xludf.DUMMYFUNCTION("""COMPUTED_VALUE"""),"THE猥談")</f>
        <v>THE猥談</v>
      </c>
      <c r="L3824" s="22" t="str">
        <f>IFERROR(__xludf.DUMMYFUNCTION("""COMPUTED_VALUE"""),"DLcomics")</f>
        <v>DLcomics</v>
      </c>
      <c r="M3824" s="33">
        <f>IFERROR(__xludf.DUMMYFUNCTION("""COMPUTED_VALUE"""),45926.0)</f>
        <v>45926</v>
      </c>
      <c r="N3824" s="33">
        <f>IFERROR(__xludf.DUMMYFUNCTION("""COMPUTED_VALUE"""),46023.0)</f>
        <v>46023</v>
      </c>
      <c r="O3824" s="20"/>
      <c r="P3824" s="32" t="str">
        <f>IFERROR(__xludf.DUMMYFUNCTION("""COMPUTED_VALUE"""),"可")</f>
        <v>可</v>
      </c>
      <c r="Q3824" s="30" t="str">
        <f>IFERROR(__xludf.DUMMYFUNCTION("""COMPUTED_VALUE"""),"【アダルト作品扱い】&lt;BR&gt;")</f>
        <v>【アダルト作品扱い】&lt;BR&gt;</v>
      </c>
      <c r="R3824" s="22" t="str">
        <f>IFERROR(__xludf.DUMMYFUNCTION("""COMPUTED_VALUE"""),"コミットNG")</f>
        <v>コミットNG</v>
      </c>
      <c r="S3824" s="22" t="str">
        <f>IFERROR(__xludf.DUMMYFUNCTION("""COMPUTED_VALUE"""),"20250820_DLcomics_“一軍男子”良実くん、眼中に無かった女に狂う")</f>
        <v>20250820_DLcomics_“一軍男子”良実くん、眼中に無かった女に狂う</v>
      </c>
      <c r="T3824" s="22" t="str">
        <f>IFERROR(__xludf.DUMMYFUNCTION("""COMPUTED_VALUE"""),"格納済み")</f>
        <v>格納済み</v>
      </c>
      <c r="U3824" s="9" t="str">
        <f>IFERROR(__xludf.DUMMYFUNCTION("""COMPUTED_VALUE"""),"(C)輪子湖わこ/保田飯飯/THE猥談")</f>
        <v>(C)輪子湖わこ/保田飯飯/THE猥談</v>
      </c>
      <c r="V3824" s="8"/>
      <c r="W3824" s="8"/>
      <c r="X3824" s="8" t="str">
        <f>IFERROR(__xludf.DUMMYFUNCTION("""COMPUTED_VALUE"""),"有")</f>
        <v>有</v>
      </c>
      <c r="Y3824" s="8" t="str">
        <f>IFERROR(__xludf.DUMMYFUNCTION("""COMPUTED_VALUE"""),"P8まで")</f>
        <v>P8まで</v>
      </c>
      <c r="Z3824" s="7"/>
      <c r="AA3824" s="7"/>
      <c r="AB3824" s="7"/>
    </row>
    <row r="3825" ht="15.75" customHeight="1">
      <c r="A3825" s="26">
        <f>IFERROR(__xludf.DUMMYFUNCTION("""COMPUTED_VALUE"""),6074.0)</f>
        <v>6074</v>
      </c>
      <c r="B3825" s="22" t="str">
        <f>IFERROR(__xludf.DUMMYFUNCTION("""COMPUTED_VALUE"""),"確定")</f>
        <v>確定</v>
      </c>
      <c r="C3825" s="28">
        <f>IFERROR(__xludf.DUMMYFUNCTION("""COMPUTED_VALUE"""),45852.0)</f>
        <v>45852</v>
      </c>
      <c r="D3825" s="28">
        <f>IFERROR(__xludf.DUMMYFUNCTION("""COMPUTED_VALUE"""),45889.0)</f>
        <v>45889</v>
      </c>
      <c r="E3825" s="26">
        <f>IFERROR(__xludf.DUMMYFUNCTION("""COMPUTED_VALUE"""),336072.0)</f>
        <v>336072</v>
      </c>
      <c r="F3825" s="22" t="str">
        <f>IFERROR(__xludf.DUMMYFUNCTION("""COMPUTED_VALUE"""),"あの宗像先生が、新人教師の私なんかに欲情してる")</f>
        <v>あの宗像先生が、新人教師の私なんかに欲情してる</v>
      </c>
      <c r="G3825" s="20" t="str">
        <f>IFERROR(__xludf.DUMMYFUNCTION("""COMPUTED_VALUE"""),"1～4")</f>
        <v>1～4</v>
      </c>
      <c r="H3825" s="22" t="str">
        <f>IFERROR(__xludf.DUMMYFUNCTION("""COMPUTED_VALUE"""),"道外コノメ/保田飯飯")</f>
        <v>道外コノメ/保田飯飯</v>
      </c>
      <c r="I3825" s="22" t="str">
        <f>IFERROR(__xludf.DUMMYFUNCTION("""COMPUTED_VALUE"""),"TL")</f>
        <v>TL</v>
      </c>
      <c r="J3825" s="22"/>
      <c r="K3825" s="22" t="str">
        <f>IFERROR(__xludf.DUMMYFUNCTION("""COMPUTED_VALUE"""),"THE猥談")</f>
        <v>THE猥談</v>
      </c>
      <c r="L3825" s="22" t="str">
        <f>IFERROR(__xludf.DUMMYFUNCTION("""COMPUTED_VALUE"""),"DLcomics")</f>
        <v>DLcomics</v>
      </c>
      <c r="M3825" s="33">
        <f>IFERROR(__xludf.DUMMYFUNCTION("""COMPUTED_VALUE"""),45926.0)</f>
        <v>45926</v>
      </c>
      <c r="N3825" s="33">
        <f>IFERROR(__xludf.DUMMYFUNCTION("""COMPUTED_VALUE"""),46023.0)</f>
        <v>46023</v>
      </c>
      <c r="O3825" s="20"/>
      <c r="P3825" s="32" t="str">
        <f>IFERROR(__xludf.DUMMYFUNCTION("""COMPUTED_VALUE"""),"可")</f>
        <v>可</v>
      </c>
      <c r="Q3825" s="30" t="str">
        <f>IFERROR(__xludf.DUMMYFUNCTION("""COMPUTED_VALUE"""),"【アダルト作品扱い】&lt;BR&gt;")</f>
        <v>【アダルト作品扱い】&lt;BR&gt;</v>
      </c>
      <c r="R3825" s="22" t="str">
        <f>IFERROR(__xludf.DUMMYFUNCTION("""COMPUTED_VALUE"""),"コミットNG")</f>
        <v>コミットNG</v>
      </c>
      <c r="S3825" s="22" t="str">
        <f>IFERROR(__xludf.DUMMYFUNCTION("""COMPUTED_VALUE"""),"20250820_DLcomics_あの宗像先生が、新人教師の私なんかに欲情してる")</f>
        <v>20250820_DLcomics_あの宗像先生が、新人教師の私なんかに欲情してる</v>
      </c>
      <c r="T3825" s="22" t="str">
        <f>IFERROR(__xludf.DUMMYFUNCTION("""COMPUTED_VALUE"""),"格納済み")</f>
        <v>格納済み</v>
      </c>
      <c r="U3825" s="9" t="str">
        <f>IFERROR(__xludf.DUMMYFUNCTION("""COMPUTED_VALUE"""),"(C)道外コノメ/保田飯飯/THE猥談")</f>
        <v>(C)道外コノメ/保田飯飯/THE猥談</v>
      </c>
      <c r="V3825" s="8"/>
      <c r="W3825" s="8"/>
      <c r="X3825" s="8" t="str">
        <f>IFERROR(__xludf.DUMMYFUNCTION("""COMPUTED_VALUE"""),"有")</f>
        <v>有</v>
      </c>
      <c r="Y3825" s="8" t="str">
        <f>IFERROR(__xludf.DUMMYFUNCTION("""COMPUTED_VALUE"""),"P10まで")</f>
        <v>P10まで</v>
      </c>
      <c r="Z3825" s="7"/>
      <c r="AA3825" s="7"/>
      <c r="AB3825" s="7"/>
    </row>
    <row r="3826" ht="15.75" customHeight="1">
      <c r="A3826" s="26">
        <f>IFERROR(__xludf.DUMMYFUNCTION("""COMPUTED_VALUE"""),6086.0)</f>
        <v>6086</v>
      </c>
      <c r="B3826" s="22" t="str">
        <f>IFERROR(__xludf.DUMMYFUNCTION("""COMPUTED_VALUE"""),"確定")</f>
        <v>確定</v>
      </c>
      <c r="C3826" s="28">
        <f>IFERROR(__xludf.DUMMYFUNCTION("""COMPUTED_VALUE"""),45852.0)</f>
        <v>45852</v>
      </c>
      <c r="D3826" s="28">
        <f>IFERROR(__xludf.DUMMYFUNCTION("""COMPUTED_VALUE"""),45894.0)</f>
        <v>45894</v>
      </c>
      <c r="E3826" s="26">
        <f>IFERROR(__xludf.DUMMYFUNCTION("""COMPUTED_VALUE"""),338982.0)</f>
        <v>338982</v>
      </c>
      <c r="F3826" s="22" t="str">
        <f>IFERROR(__xludf.DUMMYFUNCTION("""COMPUTED_VALUE"""),"【分冊版】銀狼殿下の専属薬師～冷酷な狼王子は私にしか懐かない～")</f>
        <v>【分冊版】銀狼殿下の専属薬師～冷酷な狼王子は私にしか懐かない～</v>
      </c>
      <c r="G3826" s="20" t="str">
        <f>IFERROR(__xludf.DUMMYFUNCTION("""COMPUTED_VALUE"""),"1～5")</f>
        <v>1～5</v>
      </c>
      <c r="H3826" s="22" t="str">
        <f>IFERROR(__xludf.DUMMYFUNCTION("""COMPUTED_VALUE"""),"ぽんぽこ。,百々凪柑奈")</f>
        <v>ぽんぽこ。,百々凪柑奈</v>
      </c>
      <c r="I3826" s="22" t="str">
        <f>IFERROR(__xludf.DUMMYFUNCTION("""COMPUTED_VALUE"""),"少女")</f>
        <v>少女</v>
      </c>
      <c r="J3826" s="22"/>
      <c r="K3826" s="22"/>
      <c r="L3826" s="22" t="str">
        <f>IFERROR(__xludf.DUMMYFUNCTION("""COMPUTED_VALUE"""),"Seasons")</f>
        <v>Seasons</v>
      </c>
      <c r="M3826" s="33">
        <f>IFERROR(__xludf.DUMMYFUNCTION("""COMPUTED_VALUE"""),45947.0)</f>
        <v>45947</v>
      </c>
      <c r="N3826" s="33">
        <f>IFERROR(__xludf.DUMMYFUNCTION("""COMPUTED_VALUE"""),45673.0)</f>
        <v>45673</v>
      </c>
      <c r="O3826" s="20"/>
      <c r="P3826" s="32" t="str">
        <f>IFERROR(__xludf.DUMMYFUNCTION("""COMPUTED_VALUE"""),"可")</f>
        <v>可</v>
      </c>
      <c r="Q3826" s="30" t="str">
        <f>IFERROR(__xludf.DUMMYFUNCTION("""COMPUTED_VALUE"""),"価格施策：1巻無料")</f>
        <v>価格施策：1巻無料</v>
      </c>
      <c r="R3826" s="22"/>
      <c r="S3826" s="22" t="str">
        <f>IFERROR(__xludf.DUMMYFUNCTION("""COMPUTED_VALUE"""),"20250822_Seasons_銀狼殿下の専属薬師～冷酷な狼王子は私にしか懐かない～")</f>
        <v>20250822_Seasons_銀狼殿下の専属薬師～冷酷な狼王子は私にしか懐かない～</v>
      </c>
      <c r="T3826" s="22" t="str">
        <f>IFERROR(__xludf.DUMMYFUNCTION("""COMPUTED_VALUE"""),"格納済み")</f>
        <v>格納済み</v>
      </c>
      <c r="U3826" s="9" t="str">
        <f>IFERROR(__xludf.DUMMYFUNCTION("""COMPUTED_VALUE"""),"Ⓒぽんぽこ。・百々凪柑奈／文藝春秋")</f>
        <v>Ⓒぽんぽこ。・百々凪柑奈／文藝春秋</v>
      </c>
      <c r="V3826" s="8"/>
      <c r="W3826" s="8"/>
      <c r="X3826" s="8" t="str">
        <f>IFERROR(__xludf.DUMMYFUNCTION("""COMPUTED_VALUE"""),"有")</f>
        <v>有</v>
      </c>
      <c r="Y3826" s="8" t="str">
        <f>IFERROR(__xludf.DUMMYFUNCTION("""COMPUTED_VALUE"""),"2025/10/30まで1巻無料")</f>
        <v>2025/10/30まで1巻無料</v>
      </c>
      <c r="Z3826" s="7"/>
      <c r="AA3826" s="7"/>
      <c r="AB3826" s="7"/>
    </row>
    <row r="3827" ht="15.75" customHeight="1">
      <c r="A3827" s="26">
        <f>IFERROR(__xludf.DUMMYFUNCTION("""COMPUTED_VALUE"""),6094.0)</f>
        <v>6094</v>
      </c>
      <c r="B3827" s="22" t="str">
        <f>IFERROR(__xludf.DUMMYFUNCTION("""COMPUTED_VALUE"""),"確定")</f>
        <v>確定</v>
      </c>
      <c r="C3827" s="28">
        <f>IFERROR(__xludf.DUMMYFUNCTION("""COMPUTED_VALUE"""),45853.0)</f>
        <v>45853</v>
      </c>
      <c r="D3827" s="28">
        <f>IFERROR(__xludf.DUMMYFUNCTION("""COMPUTED_VALUE"""),45895.0)</f>
        <v>45895</v>
      </c>
      <c r="E3827" s="26">
        <f>IFERROR(__xludf.DUMMYFUNCTION("""COMPUTED_VALUE"""),335000.0)</f>
        <v>335000</v>
      </c>
      <c r="F3827" s="22" t="str">
        <f>IFERROR(__xludf.DUMMYFUNCTION("""COMPUTED_VALUE"""),"【ガチ恋NG】なのに誘惑ドッキリで理性100のアイツを本気にさせちゃいました!?【TL版】")</f>
        <v>【ガチ恋NG】なのに誘惑ドッキリで理性100のアイツを本気にさせちゃいました!?【TL版】</v>
      </c>
      <c r="G3827" s="20" t="str">
        <f>IFERROR(__xludf.DUMMYFUNCTION("""COMPUTED_VALUE"""),"1～2")</f>
        <v>1～2</v>
      </c>
      <c r="H3827" s="22" t="str">
        <f>IFERROR(__xludf.DUMMYFUNCTION("""COMPUTED_VALUE"""),"ぢぇいそん椎名")</f>
        <v>ぢぇいそん椎名</v>
      </c>
      <c r="I3827" s="22" t="str">
        <f>IFERROR(__xludf.DUMMYFUNCTION("""COMPUTED_VALUE"""),"TL")</f>
        <v>TL</v>
      </c>
      <c r="J3827" s="22"/>
      <c r="K3827" s="22" t="str">
        <f>IFERROR(__xludf.DUMMYFUNCTION("""COMPUTED_VALUE"""),"＠夜噺")</f>
        <v>＠夜噺</v>
      </c>
      <c r="L3827" s="22" t="str">
        <f>IFERROR(__xludf.DUMMYFUNCTION("""COMPUTED_VALUE"""),"DEEPER-ZERO")</f>
        <v>DEEPER-ZERO</v>
      </c>
      <c r="M3827" s="33">
        <f>IFERROR(__xludf.DUMMYFUNCTION("""COMPUTED_VALUE"""),45918.0)</f>
        <v>45918</v>
      </c>
      <c r="N3827" s="33">
        <f>IFERROR(__xludf.DUMMYFUNCTION("""COMPUTED_VALUE"""),45980.0)</f>
        <v>45980</v>
      </c>
      <c r="O3827" s="20"/>
      <c r="P3827" s="32" t="str">
        <f>IFERROR(__xludf.DUMMYFUNCTION("""COMPUTED_VALUE"""),"可")</f>
        <v>可</v>
      </c>
      <c r="Q3827" s="30"/>
      <c r="R3827" s="22" t="str">
        <f>IFERROR(__xludf.DUMMYFUNCTION("""COMPUTED_VALUE"""),"コミットNG")</f>
        <v>コミットNG</v>
      </c>
      <c r="S3827" s="22" t="str">
        <f>IFERROR(__xludf.DUMMYFUNCTION("""COMPUTED_VALUE"""),"20250821_DEEPER-ZERO_【ガチ恋NG】なのに誘惑ドッキリで理性100のアイツを本気にさせちゃいました!【TL版】")</f>
        <v>20250821_DEEPER-ZERO_【ガチ恋NG】なのに誘惑ドッキリで理性100のアイツを本気にさせちゃいました!【TL版】</v>
      </c>
      <c r="T3827" s="22" t="str">
        <f>IFERROR(__xludf.DUMMYFUNCTION("""COMPUTED_VALUE"""),"格納済み")</f>
        <v>格納済み</v>
      </c>
      <c r="U3827" s="9" t="str">
        <f>IFERROR(__xludf.DUMMYFUNCTION("""COMPUTED_VALUE"""),"Ⓒぢぇいそん椎名/DEEPER-ZERO")</f>
        <v>Ⓒぢぇいそん椎名/DEEPER-ZERO</v>
      </c>
      <c r="V3827" s="8"/>
      <c r="W3827" s="8"/>
      <c r="X3827" s="8" t="str">
        <f>IFERROR(__xludf.DUMMYFUNCTION("""COMPUTED_VALUE"""),"有")</f>
        <v>有</v>
      </c>
      <c r="Y3827" s="8" t="str">
        <f>IFERROR(__xludf.DUMMYFUNCTION("""COMPUTED_VALUE"""),"P10まで")</f>
        <v>P10まで</v>
      </c>
      <c r="Z3827" s="7"/>
      <c r="AA3827" s="7"/>
      <c r="AB3827" s="7"/>
    </row>
    <row r="3828" ht="15.75" customHeight="1">
      <c r="A3828" s="26">
        <f>IFERROR(__xludf.DUMMYFUNCTION("""COMPUTED_VALUE"""),6095.0)</f>
        <v>6095</v>
      </c>
      <c r="B3828" s="22" t="str">
        <f>IFERROR(__xludf.DUMMYFUNCTION("""COMPUTED_VALUE"""),"確定")</f>
        <v>確定</v>
      </c>
      <c r="C3828" s="28">
        <f>IFERROR(__xludf.DUMMYFUNCTION("""COMPUTED_VALUE"""),45853.0)</f>
        <v>45853</v>
      </c>
      <c r="D3828" s="28">
        <f>IFERROR(__xludf.DUMMYFUNCTION("""COMPUTED_VALUE"""),45891.0)</f>
        <v>45891</v>
      </c>
      <c r="E3828" s="26">
        <f>IFERROR(__xludf.DUMMYFUNCTION("""COMPUTED_VALUE"""),334998.0)</f>
        <v>334998</v>
      </c>
      <c r="F3828" s="22" t="str">
        <f>IFERROR(__xludf.DUMMYFUNCTION("""COMPUTED_VALUE"""),"【ガチ恋NG】なのに誘惑ドッキリで理性100のアイツを本気にさせちゃいました!?【R版】")</f>
        <v>【ガチ恋NG】なのに誘惑ドッキリで理性100のアイツを本気にさせちゃいました!?【R版】</v>
      </c>
      <c r="G3828" s="20" t="str">
        <f>IFERROR(__xludf.DUMMYFUNCTION("""COMPUTED_VALUE"""),"1～2")</f>
        <v>1～2</v>
      </c>
      <c r="H3828" s="22" t="str">
        <f>IFERROR(__xludf.DUMMYFUNCTION("""COMPUTED_VALUE"""),"ぢぇいそん椎名")</f>
        <v>ぢぇいそん椎名</v>
      </c>
      <c r="I3828" s="22" t="str">
        <f>IFERROR(__xludf.DUMMYFUNCTION("""COMPUTED_VALUE"""),"アダルト")</f>
        <v>アダルト</v>
      </c>
      <c r="J3828" s="22"/>
      <c r="K3828" s="22" t="str">
        <f>IFERROR(__xludf.DUMMYFUNCTION("""COMPUTED_VALUE"""),"＠夜噺+")</f>
        <v>＠夜噺+</v>
      </c>
      <c r="L3828" s="22" t="str">
        <f>IFERROR(__xludf.DUMMYFUNCTION("""COMPUTED_VALUE"""),"DEEPER-ZERO")</f>
        <v>DEEPER-ZERO</v>
      </c>
      <c r="M3828" s="33">
        <f>IFERROR(__xludf.DUMMYFUNCTION("""COMPUTED_VALUE"""),45918.0)</f>
        <v>45918</v>
      </c>
      <c r="N3828" s="33">
        <f>IFERROR(__xludf.DUMMYFUNCTION("""COMPUTED_VALUE"""),45980.0)</f>
        <v>45980</v>
      </c>
      <c r="O3828" s="20"/>
      <c r="P3828" s="32" t="str">
        <f>IFERROR(__xludf.DUMMYFUNCTION("""COMPUTED_VALUE"""),"可")</f>
        <v>可</v>
      </c>
      <c r="Q3828" s="30"/>
      <c r="R3828" s="22" t="str">
        <f>IFERROR(__xludf.DUMMYFUNCTION("""COMPUTED_VALUE"""),"コミットOK")</f>
        <v>コミットOK</v>
      </c>
      <c r="S3828" s="22" t="str">
        <f>IFERROR(__xludf.DUMMYFUNCTION("""COMPUTED_VALUE"""),"20250821_DEEPER-ZERO_【ガチ恋NG】なのに誘惑ドッキリで理性100のアイツを本気にさせちゃいました!【R版】")</f>
        <v>20250821_DEEPER-ZERO_【ガチ恋NG】なのに誘惑ドッキリで理性100のアイツを本気にさせちゃいました!【R版】</v>
      </c>
      <c r="T3828" s="22" t="str">
        <f>IFERROR(__xludf.DUMMYFUNCTION("""COMPUTED_VALUE"""),"格納済み")</f>
        <v>格納済み</v>
      </c>
      <c r="U3828" s="9" t="str">
        <f>IFERROR(__xludf.DUMMYFUNCTION("""COMPUTED_VALUE"""),"Ⓒぢぇいそん椎名/DEEPER-ZERO")</f>
        <v>Ⓒぢぇいそん椎名/DEEPER-ZERO</v>
      </c>
      <c r="V3828" s="8"/>
      <c r="W3828" s="8"/>
      <c r="X3828" s="8" t="str">
        <f>IFERROR(__xludf.DUMMYFUNCTION("""COMPUTED_VALUE"""),"有")</f>
        <v>有</v>
      </c>
      <c r="Y3828" s="8" t="str">
        <f>IFERROR(__xludf.DUMMYFUNCTION("""COMPUTED_VALUE"""),"P10まで")</f>
        <v>P10まで</v>
      </c>
      <c r="Z3828" s="7"/>
      <c r="AA3828" s="7"/>
      <c r="AB3828" s="7"/>
    </row>
    <row r="3829" ht="15.75" customHeight="1">
      <c r="A3829" s="26">
        <f>IFERROR(__xludf.DUMMYFUNCTION("""COMPUTED_VALUE"""),6152.0)</f>
        <v>6152</v>
      </c>
      <c r="B3829" s="22" t="str">
        <f>IFERROR(__xludf.DUMMYFUNCTION("""COMPUTED_VALUE"""),"確定")</f>
        <v>確定</v>
      </c>
      <c r="C3829" s="28">
        <f>IFERROR(__xludf.DUMMYFUNCTION("""COMPUTED_VALUE"""),45867.0)</f>
        <v>45867</v>
      </c>
      <c r="D3829" s="28">
        <f>IFERROR(__xludf.DUMMYFUNCTION("""COMPUTED_VALUE"""),45895.0)</f>
        <v>45895</v>
      </c>
      <c r="E3829" s="26">
        <f>IFERROR(__xludf.DUMMYFUNCTION("""COMPUTED_VALUE"""),335963.0)</f>
        <v>335963</v>
      </c>
      <c r="F3829" s="22" t="str">
        <f>IFERROR(__xludf.DUMMYFUNCTION("""COMPUTED_VALUE"""),"カラダで覚えな 俺の筆跡～幼なじみの書道家はなぞるように愛を注ぐ～【単話】")</f>
        <v>カラダで覚えな 俺の筆跡～幼なじみの書道家はなぞるように愛を注ぐ～【単話】</v>
      </c>
      <c r="G3829" s="20" t="str">
        <f>IFERROR(__xludf.DUMMYFUNCTION("""COMPUTED_VALUE"""),"1～3")</f>
        <v>1～3</v>
      </c>
      <c r="H3829" s="22" t="str">
        <f>IFERROR(__xludf.DUMMYFUNCTION("""COMPUTED_VALUE"""),"桜琴")</f>
        <v>桜琴</v>
      </c>
      <c r="I3829" s="22" t="str">
        <f>IFERROR(__xludf.DUMMYFUNCTION("""COMPUTED_VALUE"""),"TL")</f>
        <v>TL</v>
      </c>
      <c r="J3829" s="22"/>
      <c r="K3829" s="22" t="str">
        <f>IFERROR(__xludf.DUMMYFUNCTION("""COMPUTED_VALUE"""),"ミンティ")</f>
        <v>ミンティ</v>
      </c>
      <c r="L3829" s="22" t="str">
        <f>IFERROR(__xludf.DUMMYFUNCTION("""COMPUTED_VALUE"""),"オークラ出版")</f>
        <v>オークラ出版</v>
      </c>
      <c r="M3829" s="33">
        <f>IFERROR(__xludf.DUMMYFUNCTION("""COMPUTED_VALUE"""),45926.0)</f>
        <v>45926</v>
      </c>
      <c r="N3829" s="33">
        <f>IFERROR(__xludf.DUMMYFUNCTION("""COMPUTED_VALUE"""),46016.0)</f>
        <v>46016</v>
      </c>
      <c r="O3829" s="20"/>
      <c r="P3829" s="32" t="str">
        <f>IFERROR(__xludf.DUMMYFUNCTION("""COMPUTED_VALUE"""),"可")</f>
        <v>可</v>
      </c>
      <c r="Q3829" s="30"/>
      <c r="R3829" s="22" t="str">
        <f>IFERROR(__xludf.DUMMYFUNCTION("""COMPUTED_VALUE"""),"コミットOK")</f>
        <v>コミットOK</v>
      </c>
      <c r="S3829" s="22" t="str">
        <f>IFERROR(__xludf.DUMMYFUNCTION("""COMPUTED_VALUE"""),"20250825_オークラ出版_カラダで覚えな 俺の筆跡～幼なじみの書道家はなぞるように愛を注ぐ～")</f>
        <v>20250825_オークラ出版_カラダで覚えな 俺の筆跡～幼なじみの書道家はなぞるように愛を注ぐ～</v>
      </c>
      <c r="T3829" s="22" t="str">
        <f>IFERROR(__xludf.DUMMYFUNCTION("""COMPUTED_VALUE"""),"格納済み")</f>
        <v>格納済み</v>
      </c>
      <c r="U3829" s="9" t="str">
        <f>IFERROR(__xludf.DUMMYFUNCTION("""COMPUTED_VALUE"""),"（C）桜琴／オークラ出版 ミンティ")</f>
        <v>（C）桜琴／オークラ出版 ミンティ</v>
      </c>
      <c r="V3829" s="8"/>
      <c r="W3829" s="8"/>
      <c r="X3829" s="8" t="str">
        <f>IFERROR(__xludf.DUMMYFUNCTION("""COMPUTED_VALUE"""),"有")</f>
        <v>有</v>
      </c>
      <c r="Y3829" s="8" t="str">
        <f>IFERROR(__xludf.DUMMYFUNCTION("""COMPUTED_VALUE"""),"2025/10/9まで1巻無料")</f>
        <v>2025/10/9まで1巻無料</v>
      </c>
      <c r="Z3829" s="7"/>
      <c r="AA3829" s="7"/>
      <c r="AB3829" s="7"/>
    </row>
    <row r="3830" ht="15.75" customHeight="1">
      <c r="A3830" s="26">
        <f>IFERROR(__xludf.DUMMYFUNCTION("""COMPUTED_VALUE"""),6162.0)</f>
        <v>6162</v>
      </c>
      <c r="B3830" s="22" t="str">
        <f>IFERROR(__xludf.DUMMYFUNCTION("""COMPUTED_VALUE"""),"確定")</f>
        <v>確定</v>
      </c>
      <c r="C3830" s="28">
        <f>IFERROR(__xludf.DUMMYFUNCTION("""COMPUTED_VALUE"""),45869.0)</f>
        <v>45869</v>
      </c>
      <c r="D3830" s="28">
        <f>IFERROR(__xludf.DUMMYFUNCTION("""COMPUTED_VALUE"""),45891.0)</f>
        <v>45891</v>
      </c>
      <c r="E3830" s="26">
        <f>IFERROR(__xludf.DUMMYFUNCTION("""COMPUTED_VALUE"""),336581.0)</f>
        <v>336581</v>
      </c>
      <c r="F3830" s="22" t="str">
        <f>IFERROR(__xludf.DUMMYFUNCTION("""COMPUTED_VALUE"""),"秘密の手ほどき")</f>
        <v>秘密の手ほどき</v>
      </c>
      <c r="G3830" s="20" t="str">
        <f>IFERROR(__xludf.DUMMYFUNCTION("""COMPUTED_VALUE"""),"1～3")</f>
        <v>1～3</v>
      </c>
      <c r="H3830" s="22" t="str">
        <f>IFERROR(__xludf.DUMMYFUNCTION("""COMPUTED_VALUE"""),"花房雪,老眼,宇城なるせ")</f>
        <v>花房雪,老眼,宇城なるせ</v>
      </c>
      <c r="I3830" s="22" t="str">
        <f>IFERROR(__xludf.DUMMYFUNCTION("""COMPUTED_VALUE"""),"青年")</f>
        <v>青年</v>
      </c>
      <c r="J3830" s="22"/>
      <c r="K3830" s="22"/>
      <c r="L3830" s="22" t="str">
        <f>IFERROR(__xludf.DUMMYFUNCTION("""COMPUTED_VALUE"""),"DPNブックス")</f>
        <v>DPNブックス</v>
      </c>
      <c r="M3830" s="33">
        <f>IFERROR(__xludf.DUMMYFUNCTION("""COMPUTED_VALUE"""),45922.0)</f>
        <v>45922</v>
      </c>
      <c r="N3830" s="33">
        <f>IFERROR(__xludf.DUMMYFUNCTION("""COMPUTED_VALUE"""),45951.0)</f>
        <v>45951</v>
      </c>
      <c r="O3830" s="20"/>
      <c r="P3830" s="32" t="str">
        <f>IFERROR(__xludf.DUMMYFUNCTION("""COMPUTED_VALUE"""),"可")</f>
        <v>可</v>
      </c>
      <c r="Q3830" s="30" t="str">
        <f>IFERROR(__xludf.DUMMYFUNCTION("""COMPUTED_VALUE"""),"【アダルト作品扱い】")</f>
        <v>【アダルト作品扱い】</v>
      </c>
      <c r="R3830" s="22" t="str">
        <f>IFERROR(__xludf.DUMMYFUNCTION("""COMPUTED_VALUE"""),"コミットOK")</f>
        <v>コミットOK</v>
      </c>
      <c r="S3830" s="22" t="str">
        <f>IFERROR(__xludf.DUMMYFUNCTION("""COMPUTED_VALUE"""),"20250818_DPNブックス_秘密の手ほどき")</f>
        <v>20250818_DPNブックス_秘密の手ほどき</v>
      </c>
      <c r="T3830" s="22" t="str">
        <f>IFERROR(__xludf.DUMMYFUNCTION("""COMPUTED_VALUE"""),"格納済み")</f>
        <v>格納済み</v>
      </c>
      <c r="U3830" s="9" t="str">
        <f>IFERROR(__xludf.DUMMYFUNCTION("""COMPUTED_VALUE"""),"(C)花房雪・老眼・宇城なるせ／DPNブックス")</f>
        <v>(C)花房雪・老眼・宇城なるせ／DPNブックス</v>
      </c>
      <c r="V3830" s="8"/>
      <c r="W3830" s="8"/>
      <c r="X3830" s="8" t="str">
        <f>IFERROR(__xludf.DUMMYFUNCTION("""COMPUTED_VALUE"""),"有")</f>
        <v>有</v>
      </c>
      <c r="Y3830" s="8" t="str">
        <f>IFERROR(__xludf.DUMMYFUNCTION("""COMPUTED_VALUE"""),"2025/10/21まで1巻無料")</f>
        <v>2025/10/21まで1巻無料</v>
      </c>
      <c r="Z3830" s="7"/>
      <c r="AA3830" s="7"/>
      <c r="AB3830" s="7"/>
    </row>
    <row r="3831" ht="15.75" customHeight="1">
      <c r="A3831" s="26">
        <f>IFERROR(__xludf.DUMMYFUNCTION("""COMPUTED_VALUE"""),6172.0)</f>
        <v>6172</v>
      </c>
      <c r="B3831" s="22" t="str">
        <f>IFERROR(__xludf.DUMMYFUNCTION("""COMPUTED_VALUE"""),"確定")</f>
        <v>確定</v>
      </c>
      <c r="C3831" s="28">
        <f>IFERROR(__xludf.DUMMYFUNCTION("""COMPUTED_VALUE"""),45870.0)</f>
        <v>45870</v>
      </c>
      <c r="D3831" s="28">
        <f>IFERROR(__xludf.DUMMYFUNCTION("""COMPUTED_VALUE"""),45894.0)</f>
        <v>45894</v>
      </c>
      <c r="E3831" s="26">
        <f>IFERROR(__xludf.DUMMYFUNCTION("""COMPUTED_VALUE"""),336274.0)</f>
        <v>336274</v>
      </c>
      <c r="F3831" s="22" t="str">
        <f>IFERROR(__xludf.DUMMYFUNCTION("""COMPUTED_VALUE"""),"覇王様の異世界花嫁～虐げられた心癒し令嬢は皇帝の最愛となる～【マイクロ】")</f>
        <v>覇王様の異世界花嫁～虐げられた心癒し令嬢は皇帝の最愛となる～【マイクロ】</v>
      </c>
      <c r="G3831" s="20" t="str">
        <f>IFERROR(__xludf.DUMMYFUNCTION("""COMPUTED_VALUE"""),"1～3")</f>
        <v>1～3</v>
      </c>
      <c r="H3831" s="22" t="str">
        <f>IFERROR(__xludf.DUMMYFUNCTION("""COMPUTED_VALUE"""),"原作・柚原テイル／作画・森猫まりり")</f>
        <v>原作・柚原テイル／作画・森猫まりり</v>
      </c>
      <c r="I3831" s="22" t="str">
        <f>IFERROR(__xludf.DUMMYFUNCTION("""COMPUTED_VALUE"""),"女性")</f>
        <v>女性</v>
      </c>
      <c r="J3831" s="22"/>
      <c r="K3831" s="22" t="str">
        <f>IFERROR(__xludf.DUMMYFUNCTION("""COMPUTED_VALUE"""),"異世界フラワーコミックス")</f>
        <v>異世界フラワーコミックス</v>
      </c>
      <c r="L3831" s="22" t="str">
        <f>IFERROR(__xludf.DUMMYFUNCTION("""COMPUTED_VALUE"""),"小学館")</f>
        <v>小学館</v>
      </c>
      <c r="M3831" s="33">
        <f>IFERROR(__xludf.DUMMYFUNCTION("""COMPUTED_VALUE"""),45920.0)</f>
        <v>45920</v>
      </c>
      <c r="N3831" s="33">
        <f>IFERROR(__xludf.DUMMYFUNCTION("""COMPUTED_VALUE"""),45980.0)</f>
        <v>45980</v>
      </c>
      <c r="O3831" s="20"/>
      <c r="P3831" s="32" t="str">
        <f>IFERROR(__xludf.DUMMYFUNCTION("""COMPUTED_VALUE"""),"否")</f>
        <v>否</v>
      </c>
      <c r="Q3831" s="30" t="str">
        <f>IFERROR(__xludf.DUMMYFUNCTION("""COMPUTED_VALUE"""),"「心癒し」の異能を持ち、それが故に義家族から利用されて不遇な立場にあったヒロインが、&lt;BR&gt;容赦ない為政から「覇王」と恐れられていた皇帝に見初められ…という溺愛ストーリーです。")</f>
        <v>「心癒し」の異能を持ち、それが故に義家族から利用されて不遇な立場にあったヒロインが、&lt;BR&gt;容赦ない為政から「覇王」と恐れられていた皇帝に見初められ…という溺愛ストーリーです。</v>
      </c>
      <c r="R3831" s="22" t="str">
        <f>IFERROR(__xludf.DUMMYFUNCTION("""COMPUTED_VALUE"""),"コミットNG")</f>
        <v>コミットNG</v>
      </c>
      <c r="S3831" s="22" t="str">
        <f>IFERROR(__xludf.DUMMYFUNCTION("""COMPUTED_VALUE"""),"20250821_小学館_覇王様の異世界花嫁【マイクロ】")</f>
        <v>20250821_小学館_覇王様の異世界花嫁【マイクロ】</v>
      </c>
      <c r="T3831" s="22" t="str">
        <f>IFERROR(__xludf.DUMMYFUNCTION("""COMPUTED_VALUE"""),"格納済み")</f>
        <v>格納済み</v>
      </c>
      <c r="U3831" s="9" t="str">
        <f>IFERROR(__xludf.DUMMYFUNCTION("""COMPUTED_VALUE"""),"(C)森猫まりり・柚原テイル / 小学館")</f>
        <v>(C)森猫まりり・柚原テイル / 小学館</v>
      </c>
      <c r="V3831" s="8"/>
      <c r="W3831" s="8"/>
      <c r="X3831" s="8" t="str">
        <f>IFERROR(__xludf.DUMMYFUNCTION("""COMPUTED_VALUE"""),"有")</f>
        <v>有</v>
      </c>
      <c r="Y3831" s="8" t="str">
        <f>IFERROR(__xludf.DUMMYFUNCTION("""COMPUTED_VALUE"""),"2025/11/19まで1巻無料")</f>
        <v>2025/11/19まで1巻無料</v>
      </c>
      <c r="Z3831" s="7"/>
      <c r="AA3831" s="7"/>
      <c r="AB3831" s="7"/>
    </row>
    <row r="3832" ht="15.75" customHeight="1">
      <c r="A3832" s="26">
        <f>IFERROR(__xludf.DUMMYFUNCTION("""COMPUTED_VALUE"""),6173.0)</f>
        <v>6173</v>
      </c>
      <c r="B3832" s="22" t="str">
        <f>IFERROR(__xludf.DUMMYFUNCTION("""COMPUTED_VALUE"""),"確定")</f>
        <v>確定</v>
      </c>
      <c r="C3832" s="28">
        <f>IFERROR(__xludf.DUMMYFUNCTION("""COMPUTED_VALUE"""),45870.0)</f>
        <v>45870</v>
      </c>
      <c r="D3832" s="28">
        <f>IFERROR(__xludf.DUMMYFUNCTION("""COMPUTED_VALUE"""),45896.0)</f>
        <v>45896</v>
      </c>
      <c r="E3832" s="26">
        <f>IFERROR(__xludf.DUMMYFUNCTION("""COMPUTED_VALUE"""),336273.0)</f>
        <v>336273</v>
      </c>
      <c r="F3832" s="22" t="str">
        <f>IFERROR(__xludf.DUMMYFUNCTION("""COMPUTED_VALUE"""),"初恋芸人【単話】")</f>
        <v>初恋芸人【単話】</v>
      </c>
      <c r="G3832" s="20" t="str">
        <f>IFERROR(__xludf.DUMMYFUNCTION("""COMPUTED_VALUE"""),"1～3")</f>
        <v>1～3</v>
      </c>
      <c r="H3832" s="22" t="str">
        <f>IFERROR(__xludf.DUMMYFUNCTION("""COMPUTED_VALUE"""),"中沢健┴もこやま仁")</f>
        <v>中沢健┴もこやま仁</v>
      </c>
      <c r="I3832" s="22" t="str">
        <f>IFERROR(__xludf.DUMMYFUNCTION("""COMPUTED_VALUE"""),"少女")</f>
        <v>少女</v>
      </c>
      <c r="J3832" s="22"/>
      <c r="K3832" s="22" t="str">
        <f>IFERROR(__xludf.DUMMYFUNCTION("""COMPUTED_VALUE"""),"マンガワン女子部")</f>
        <v>マンガワン女子部</v>
      </c>
      <c r="L3832" s="22" t="str">
        <f>IFERROR(__xludf.DUMMYFUNCTION("""COMPUTED_VALUE"""),"小学館")</f>
        <v>小学館</v>
      </c>
      <c r="M3832" s="33">
        <f>IFERROR(__xludf.DUMMYFUNCTION("""COMPUTED_VALUE"""),45919.0)</f>
        <v>45919</v>
      </c>
      <c r="N3832" s="33">
        <f>IFERROR(__xludf.DUMMYFUNCTION("""COMPUTED_VALUE"""),45979.0)</f>
        <v>45979</v>
      </c>
      <c r="O3832" s="20"/>
      <c r="P3832" s="32" t="str">
        <f>IFERROR(__xludf.DUMMYFUNCTION("""COMPUTED_VALUE"""),"否")</f>
        <v>否</v>
      </c>
      <c r="Q3832" s="30" t="str">
        <f>IFERROR(__xludf.DUMMYFUNCTION("""COMPUTED_VALUE"""),"ガガガ文庫から10年ほど前に発売された同名の単巻小説が原作です。過去ＮＨＫＢＳプレミアムでもドラマ化された本作ですが、わけあって今年コミカライズ版がスタートすることになりました。元々男性向けの原作を、少女マンガ風に再解釈しておりますので、女性でも読みやすい作品に仕上がっているかと思います。")</f>
        <v>ガガガ文庫から10年ほど前に発売された同名の単巻小説が原作です。過去ＮＨＫＢＳプレミアムでもドラマ化された本作ですが、わけあって今年コミカライズ版がスタートすることになりました。元々男性向けの原作を、少女マンガ風に再解釈しておりますので、女性でも読みやすい作品に仕上がっているかと思います。</v>
      </c>
      <c r="R3832" s="22" t="str">
        <f>IFERROR(__xludf.DUMMYFUNCTION("""COMPUTED_VALUE"""),"コミットOK")</f>
        <v>コミットOK</v>
      </c>
      <c r="S3832" s="22" t="str">
        <f>IFERROR(__xludf.DUMMYFUNCTION("""COMPUTED_VALUE"""),"20250826_小学館_初恋芸人【単話】")</f>
        <v>20250826_小学館_初恋芸人【単話】</v>
      </c>
      <c r="T3832" s="22" t="str">
        <f>IFERROR(__xludf.DUMMYFUNCTION("""COMPUTED_VALUE"""),"格納済み")</f>
        <v>格納済み</v>
      </c>
      <c r="U3832" s="9" t="str">
        <f>IFERROR(__xludf.DUMMYFUNCTION("""COMPUTED_VALUE"""),"(C)中沢健・もこやま仁 / 小学館")</f>
        <v>(C)中沢健・もこやま仁 / 小学館</v>
      </c>
      <c r="V3832" s="8"/>
      <c r="W3832" s="8"/>
      <c r="X3832" s="8" t="str">
        <f>IFERROR(__xludf.DUMMYFUNCTION("""COMPUTED_VALUE"""),"有")</f>
        <v>有</v>
      </c>
      <c r="Y3832" s="8" t="str">
        <f>IFERROR(__xludf.DUMMYFUNCTION("""COMPUTED_VALUE"""),"20205/11/18まで1巻無料")</f>
        <v>20205/11/18まで1巻無料</v>
      </c>
      <c r="Z3832" s="7"/>
      <c r="AA3832" s="7"/>
      <c r="AB3832" s="7"/>
    </row>
    <row r="3833" ht="15.75" customHeight="1">
      <c r="A3833" s="26">
        <f>IFERROR(__xludf.DUMMYFUNCTION("""COMPUTED_VALUE"""),6198.0)</f>
        <v>6198</v>
      </c>
      <c r="B3833" s="22" t="str">
        <f>IFERROR(__xludf.DUMMYFUNCTION("""COMPUTED_VALUE"""),"確定")</f>
        <v>確定</v>
      </c>
      <c r="C3833" s="28">
        <f>IFERROR(__xludf.DUMMYFUNCTION("""COMPUTED_VALUE"""),45874.0)</f>
        <v>45874</v>
      </c>
      <c r="D3833" s="28">
        <f>IFERROR(__xludf.DUMMYFUNCTION("""COMPUTED_VALUE"""),45896.0)</f>
        <v>45896</v>
      </c>
      <c r="E3833" s="26">
        <f>IFERROR(__xludf.DUMMYFUNCTION("""COMPUTED_VALUE"""),335965.0)</f>
        <v>335965</v>
      </c>
      <c r="F3833" s="22" t="str">
        <f>IFERROR(__xludf.DUMMYFUNCTION("""COMPUTED_VALUE"""),"この恋はオフレコで！")</f>
        <v>この恋はオフレコで！</v>
      </c>
      <c r="G3833" s="20">
        <f>IFERROR(__xludf.DUMMYFUNCTION("""COMPUTED_VALUE"""),1.0)</f>
        <v>1</v>
      </c>
      <c r="H3833" s="22" t="str">
        <f>IFERROR(__xludf.DUMMYFUNCTION("""COMPUTED_VALUE"""),"立河あいも")</f>
        <v>立河あいも</v>
      </c>
      <c r="I3833" s="22" t="str">
        <f>IFERROR(__xludf.DUMMYFUNCTION("""COMPUTED_VALUE"""),"BL")</f>
        <v>BL</v>
      </c>
      <c r="J3833" s="22"/>
      <c r="K3833" s="22"/>
      <c r="L3833" s="22" t="str">
        <f>IFERROR(__xludf.DUMMYFUNCTION("""COMPUTED_VALUE"""),"東京漫画社")</f>
        <v>東京漫画社</v>
      </c>
      <c r="M3833" s="33">
        <f>IFERROR(__xludf.DUMMYFUNCTION("""COMPUTED_VALUE"""),45912.0)</f>
        <v>45912</v>
      </c>
      <c r="N3833" s="33">
        <f>IFERROR(__xludf.DUMMYFUNCTION("""COMPUTED_VALUE"""),45974.0)</f>
        <v>45974</v>
      </c>
      <c r="O3833" s="20"/>
      <c r="P3833" s="32" t="str">
        <f>IFERROR(__xludf.DUMMYFUNCTION("""COMPUTED_VALUE"""),"可")</f>
        <v>可</v>
      </c>
      <c r="Q3833" s="30" t="str">
        <f>IFERROR(__xludf.DUMMYFUNCTION("""COMPUTED_VALUE"""),"11/14に2話配信予定です")</f>
        <v>11/14に2話配信予定です</v>
      </c>
      <c r="R3833" s="22" t="str">
        <f>IFERROR(__xludf.DUMMYFUNCTION("""COMPUTED_VALUE"""),"コミットNG")</f>
        <v>コミットNG</v>
      </c>
      <c r="S3833" s="22" t="str">
        <f>IFERROR(__xludf.DUMMYFUNCTION("""COMPUTED_VALUE"""),"20250805_東京漫画社_この恋はオフレコで！")</f>
        <v>20250805_東京漫画社_この恋はオフレコで！</v>
      </c>
      <c r="T3833" s="22" t="str">
        <f>IFERROR(__xludf.DUMMYFUNCTION("""COMPUTED_VALUE"""),"格納済み")</f>
        <v>格納済み</v>
      </c>
      <c r="U3833" s="9" t="str">
        <f>IFERROR(__xludf.DUMMYFUNCTION("""COMPUTED_VALUE"""),"Ⓒ立河あいも/東京漫画社")</f>
        <v>Ⓒ立河あいも/東京漫画社</v>
      </c>
      <c r="V3833" s="8"/>
      <c r="W3833" s="8"/>
      <c r="X3833" s="8" t="str">
        <f>IFERROR(__xludf.DUMMYFUNCTION("""COMPUTED_VALUE"""),"有")</f>
        <v>有</v>
      </c>
      <c r="Y3833" s="8" t="str">
        <f>IFERROR(__xludf.DUMMYFUNCTION("""COMPUTED_VALUE"""),"2025/11/13まで1巻立ち読み増量(P10)")</f>
        <v>2025/11/13まで1巻立ち読み増量(P10)</v>
      </c>
      <c r="Z3833" s="7"/>
      <c r="AA3833" s="7"/>
      <c r="AB3833" s="7"/>
    </row>
    <row r="3834" ht="15.75" customHeight="1">
      <c r="A3834" s="26">
        <f>IFERROR(__xludf.DUMMYFUNCTION("""COMPUTED_VALUE"""),6213.0)</f>
        <v>6213</v>
      </c>
      <c r="B3834" s="22" t="str">
        <f>IFERROR(__xludf.DUMMYFUNCTION("""COMPUTED_VALUE"""),"確定")</f>
        <v>確定</v>
      </c>
      <c r="C3834" s="28">
        <f>IFERROR(__xludf.DUMMYFUNCTION("""COMPUTED_VALUE"""),45876.0)</f>
        <v>45876</v>
      </c>
      <c r="D3834" s="28">
        <f>IFERROR(__xludf.DUMMYFUNCTION("""COMPUTED_VALUE"""),45889.0)</f>
        <v>45889</v>
      </c>
      <c r="E3834" s="26">
        <f>IFERROR(__xludf.DUMMYFUNCTION("""COMPUTED_VALUE"""),332028.0)</f>
        <v>332028</v>
      </c>
      <c r="F3834" s="22" t="str">
        <f>IFERROR(__xludf.DUMMYFUNCTION("""COMPUTED_VALUE"""),"箱入り男装令嬢とイジワル騎士団長の蜜甘レッスン")</f>
        <v>箱入り男装令嬢とイジワル騎士団長の蜜甘レッスン</v>
      </c>
      <c r="G3834" s="20">
        <f>IFERROR(__xludf.DUMMYFUNCTION("""COMPUTED_VALUE"""),1.0)</f>
        <v>1</v>
      </c>
      <c r="H3834" s="22" t="str">
        <f>IFERROR(__xludf.DUMMYFUNCTION("""COMPUTED_VALUE"""),"神奈アズミ,一滴しぃ")</f>
        <v>神奈アズミ,一滴しぃ</v>
      </c>
      <c r="I3834" s="22" t="str">
        <f>IFERROR(__xludf.DUMMYFUNCTION("""COMPUTED_VALUE"""),"TLマンガ")</f>
        <v>TLマンガ</v>
      </c>
      <c r="J3834" s="22"/>
      <c r="K3834" s="22" t="str">
        <f>IFERROR(__xludf.DUMMYFUNCTION("""COMPUTED_VALUE"""),"乙女ドルチェ・コミックス")</f>
        <v>乙女ドルチェ・コミックス</v>
      </c>
      <c r="L3834" s="22" t="str">
        <f>IFERROR(__xludf.DUMMYFUNCTION("""COMPUTED_VALUE"""),"乙女ドルチェ・コミックス")</f>
        <v>乙女ドルチェ・コミックス</v>
      </c>
      <c r="M3834" s="33">
        <f>IFERROR(__xludf.DUMMYFUNCTION("""COMPUTED_VALUE"""),45888.0)</f>
        <v>45888</v>
      </c>
      <c r="N3834" s="33">
        <f>IFERROR(__xludf.DUMMYFUNCTION("""COMPUTED_VALUE"""),45946.0)</f>
        <v>45946</v>
      </c>
      <c r="O3834" s="20"/>
      <c r="P3834" s="32" t="str">
        <f>IFERROR(__xludf.DUMMYFUNCTION("""COMPUTED_VALUE"""),"可")</f>
        <v>可</v>
      </c>
      <c r="Q3834" s="30" t="str">
        <f>IFERROR(__xludf.DUMMYFUNCTION("""COMPUTED_VALUE"""),"【アダルト作品扱い】")</f>
        <v>【アダルト作品扱い】</v>
      </c>
      <c r="R3834" s="22"/>
      <c r="S3834" s="22" t="str">
        <f>IFERROR(__xludf.DUMMYFUNCTION("""COMPUTED_VALUE"""),"20250807_乙女ドルチェ_箱入り男装令嬢とイジワル騎士団長の蜜甘レッスン")</f>
        <v>20250807_乙女ドルチェ_箱入り男装令嬢とイジワル騎士団長の蜜甘レッスン</v>
      </c>
      <c r="T3834" s="22" t="str">
        <f>IFERROR(__xludf.DUMMYFUNCTION("""COMPUTED_VALUE"""),"格納済み")</f>
        <v>格納済み</v>
      </c>
      <c r="U3834" s="9" t="str">
        <f>IFERROR(__xludf.DUMMYFUNCTION("""COMPUTED_VALUE"""),"（C)神奈アズミ・一滴しぃ／ハーパーコリンズ・ジャパン")</f>
        <v>（C)神奈アズミ・一滴しぃ／ハーパーコリンズ・ジャパン</v>
      </c>
      <c r="V3834" s="8"/>
      <c r="W3834" s="8"/>
      <c r="X3834" s="8"/>
      <c r="Y3834" s="8"/>
      <c r="Z3834" s="7"/>
      <c r="AA3834" s="7"/>
      <c r="AB3834" s="7"/>
    </row>
    <row r="3835" ht="15.75" customHeight="1">
      <c r="A3835" s="26">
        <f>IFERROR(__xludf.DUMMYFUNCTION("""COMPUTED_VALUE"""),6218.0)</f>
        <v>6218</v>
      </c>
      <c r="B3835" s="22" t="str">
        <f>IFERROR(__xludf.DUMMYFUNCTION("""COMPUTED_VALUE"""),"確定")</f>
        <v>確定</v>
      </c>
      <c r="C3835" s="28">
        <f>IFERROR(__xludf.DUMMYFUNCTION("""COMPUTED_VALUE"""),45876.0)</f>
        <v>45876</v>
      </c>
      <c r="D3835" s="28">
        <f>IFERROR(__xludf.DUMMYFUNCTION("""COMPUTED_VALUE"""),45896.0)</f>
        <v>45896</v>
      </c>
      <c r="E3835" s="26">
        <f>IFERROR(__xludf.DUMMYFUNCTION("""COMPUTED_VALUE"""),336664.0)</f>
        <v>336664</v>
      </c>
      <c r="F3835" s="22" t="str">
        <f>IFERROR(__xludf.DUMMYFUNCTION("""COMPUTED_VALUE"""),"神父の羊【R-18版】")</f>
        <v>神父の羊【R-18版】</v>
      </c>
      <c r="G3835" s="20" t="str">
        <f>IFERROR(__xludf.DUMMYFUNCTION("""COMPUTED_VALUE"""),"1～3")</f>
        <v>1～3</v>
      </c>
      <c r="H3835" s="22" t="str">
        <f>IFERROR(__xludf.DUMMYFUNCTION("""COMPUTED_VALUE"""),"吉田そぼろ")</f>
        <v>吉田そぼろ</v>
      </c>
      <c r="I3835" s="22" t="str">
        <f>IFERROR(__xludf.DUMMYFUNCTION("""COMPUTED_VALUE"""),"アダルト")</f>
        <v>アダルト</v>
      </c>
      <c r="J3835" s="22"/>
      <c r="K3835" s="22" t="str">
        <f>IFERROR(__xludf.DUMMYFUNCTION("""COMPUTED_VALUE"""),"BLIC-ERO")</f>
        <v>BLIC-ERO</v>
      </c>
      <c r="L3835" s="22" t="str">
        <f>IFERROR(__xludf.DUMMYFUNCTION("""COMPUTED_VALUE"""),"クロスフォリオ出版")</f>
        <v>クロスフォリオ出版</v>
      </c>
      <c r="M3835" s="33">
        <f>IFERROR(__xludf.DUMMYFUNCTION("""COMPUTED_VALUE"""),45933.0)</f>
        <v>45933</v>
      </c>
      <c r="N3835" s="33">
        <f>IFERROR(__xludf.DUMMYFUNCTION("""COMPUTED_VALUE"""),45995.0)</f>
        <v>45995</v>
      </c>
      <c r="O3835" s="20"/>
      <c r="P3835" s="32" t="str">
        <f>IFERROR(__xludf.DUMMYFUNCTION("""COMPUTED_VALUE"""),"可")</f>
        <v>可</v>
      </c>
      <c r="Q3835" s="30" t="str">
        <f>IFERROR(__xludf.DUMMYFUNCTION("""COMPUTED_VALUE"""),"BookLiveとの2社先行配信")</f>
        <v>BookLiveとの2社先行配信</v>
      </c>
      <c r="R3835" s="22" t="str">
        <f>IFERROR(__xludf.DUMMYFUNCTION("""COMPUTED_VALUE"""),"コミットOK")</f>
        <v>コミットOK</v>
      </c>
      <c r="S3835" s="22" t="str">
        <f>IFERROR(__xludf.DUMMYFUNCTION("""COMPUTED_VALUE"""),"20250826_BookLive_神父の羊")</f>
        <v>20250826_BookLive_神父の羊</v>
      </c>
      <c r="T3835" s="22" t="str">
        <f>IFERROR(__xludf.DUMMYFUNCTION("""COMPUTED_VALUE"""),"格納済み")</f>
        <v>格納済み</v>
      </c>
      <c r="U3835" s="9" t="str">
        <f>IFERROR(__xludf.DUMMYFUNCTION("""COMPUTED_VALUE"""),"(c)吉田そぼろ/そぼろ研究所/クロスフォリオ出版")</f>
        <v>(c)吉田そぼろ/そぼろ研究所/クロスフォリオ出版</v>
      </c>
      <c r="V3835" s="8"/>
      <c r="W3835" s="8"/>
      <c r="X3835" s="8" t="str">
        <f>IFERROR(__xludf.DUMMYFUNCTION("""COMPUTED_VALUE"""),"有")</f>
        <v>有</v>
      </c>
      <c r="Y3835" s="8" t="str">
        <f>IFERROR(__xludf.DUMMYFUNCTION("""COMPUTED_VALUE"""),"P11まで")</f>
        <v>P11まで</v>
      </c>
      <c r="Z3835" s="7"/>
      <c r="AA3835" s="7"/>
      <c r="AB3835" s="7"/>
    </row>
    <row r="3836" ht="15.75" customHeight="1">
      <c r="A3836" s="26">
        <f>IFERROR(__xludf.DUMMYFUNCTION("""COMPUTED_VALUE"""),6220.0)</f>
        <v>6220</v>
      </c>
      <c r="B3836" s="22" t="str">
        <f>IFERROR(__xludf.DUMMYFUNCTION("""COMPUTED_VALUE"""),"確定")</f>
        <v>確定</v>
      </c>
      <c r="C3836" s="28">
        <f>IFERROR(__xludf.DUMMYFUNCTION("""COMPUTED_VALUE"""),45876.0)</f>
        <v>45876</v>
      </c>
      <c r="D3836" s="28">
        <f>IFERROR(__xludf.DUMMYFUNCTION("""COMPUTED_VALUE"""),45896.0)</f>
        <v>45896</v>
      </c>
      <c r="E3836" s="26">
        <f>IFERROR(__xludf.DUMMYFUNCTION("""COMPUTED_VALUE"""),336665.0)</f>
        <v>336665</v>
      </c>
      <c r="F3836" s="22" t="str">
        <f>IFERROR(__xludf.DUMMYFUNCTION("""COMPUTED_VALUE"""),"断罪悪役令嬢と元使用人の婚約【R-18版】")</f>
        <v>断罪悪役令嬢と元使用人の婚約【R-18版】</v>
      </c>
      <c r="G3836" s="20" t="str">
        <f>IFERROR(__xludf.DUMMYFUNCTION("""COMPUTED_VALUE"""),"1～3")</f>
        <v>1～3</v>
      </c>
      <c r="H3836" s="22" t="str">
        <f>IFERROR(__xludf.DUMMYFUNCTION("""COMPUTED_VALUE"""),"吉田そぼろ")</f>
        <v>吉田そぼろ</v>
      </c>
      <c r="I3836" s="22" t="str">
        <f>IFERROR(__xludf.DUMMYFUNCTION("""COMPUTED_VALUE"""),"アダルト")</f>
        <v>アダルト</v>
      </c>
      <c r="J3836" s="22"/>
      <c r="K3836" s="22" t="str">
        <f>IFERROR(__xludf.DUMMYFUNCTION("""COMPUTED_VALUE"""),"BLIC-ERO")</f>
        <v>BLIC-ERO</v>
      </c>
      <c r="L3836" s="22" t="str">
        <f>IFERROR(__xludf.DUMMYFUNCTION("""COMPUTED_VALUE"""),"クロスフォリオ出版")</f>
        <v>クロスフォリオ出版</v>
      </c>
      <c r="M3836" s="33">
        <f>IFERROR(__xludf.DUMMYFUNCTION("""COMPUTED_VALUE"""),45933.0)</f>
        <v>45933</v>
      </c>
      <c r="N3836" s="33">
        <f>IFERROR(__xludf.DUMMYFUNCTION("""COMPUTED_VALUE"""),45995.0)</f>
        <v>45995</v>
      </c>
      <c r="O3836" s="20"/>
      <c r="P3836" s="32" t="str">
        <f>IFERROR(__xludf.DUMMYFUNCTION("""COMPUTED_VALUE"""),"可")</f>
        <v>可</v>
      </c>
      <c r="Q3836" s="30" t="str">
        <f>IFERROR(__xludf.DUMMYFUNCTION("""COMPUTED_VALUE"""),"BookLiveとの2社先行配信")</f>
        <v>BookLiveとの2社先行配信</v>
      </c>
      <c r="R3836" s="22" t="str">
        <f>IFERROR(__xludf.DUMMYFUNCTION("""COMPUTED_VALUE"""),"コミットOK")</f>
        <v>コミットOK</v>
      </c>
      <c r="S3836" s="22" t="str">
        <f>IFERROR(__xludf.DUMMYFUNCTION("""COMPUTED_VALUE"""),"20250826_BookLive_断罪悪役令嬢と元使用人の婚約")</f>
        <v>20250826_BookLive_断罪悪役令嬢と元使用人の婚約</v>
      </c>
      <c r="T3836" s="22" t="str">
        <f>IFERROR(__xludf.DUMMYFUNCTION("""COMPUTED_VALUE"""),"格納済み")</f>
        <v>格納済み</v>
      </c>
      <c r="U3836" s="9" t="str">
        <f>IFERROR(__xludf.DUMMYFUNCTION("""COMPUTED_VALUE"""),"(c)吉田そぼろ/そぼろ研究所/クロスフォリオ出版")</f>
        <v>(c)吉田そぼろ/そぼろ研究所/クロスフォリオ出版</v>
      </c>
      <c r="V3836" s="8"/>
      <c r="W3836" s="8"/>
      <c r="X3836" s="8" t="str">
        <f>IFERROR(__xludf.DUMMYFUNCTION("""COMPUTED_VALUE"""),"有")</f>
        <v>有</v>
      </c>
      <c r="Y3836" s="8" t="str">
        <f>IFERROR(__xludf.DUMMYFUNCTION("""COMPUTED_VALUE"""),"P9まで")</f>
        <v>P9まで</v>
      </c>
      <c r="Z3836" s="7"/>
      <c r="AA3836" s="7"/>
      <c r="AB3836" s="7"/>
    </row>
    <row r="3837" ht="15.75" customHeight="1">
      <c r="A3837" s="26">
        <f>IFERROR(__xludf.DUMMYFUNCTION("""COMPUTED_VALUE"""),6221.0)</f>
        <v>6221</v>
      </c>
      <c r="B3837" s="22" t="str">
        <f>IFERROR(__xludf.DUMMYFUNCTION("""COMPUTED_VALUE"""),"確定")</f>
        <v>確定</v>
      </c>
      <c r="C3837" s="28">
        <f>IFERROR(__xludf.DUMMYFUNCTION("""COMPUTED_VALUE"""),45876.0)</f>
        <v>45876</v>
      </c>
      <c r="D3837" s="28">
        <f>IFERROR(__xludf.DUMMYFUNCTION("""COMPUTED_VALUE"""),45890.0)</f>
        <v>45890</v>
      </c>
      <c r="E3837" s="26">
        <f>IFERROR(__xludf.DUMMYFUNCTION("""COMPUTED_VALUE"""),335419.0)</f>
        <v>335419</v>
      </c>
      <c r="F3837" s="22" t="str">
        <f>IFERROR(__xludf.DUMMYFUNCTION("""COMPUTED_VALUE"""),"執着～この女から逃げられない～")</f>
        <v>執着～この女から逃げられない～</v>
      </c>
      <c r="G3837" s="20" t="str">
        <f>IFERROR(__xludf.DUMMYFUNCTION("""COMPUTED_VALUE"""),"1～10")</f>
        <v>1～10</v>
      </c>
      <c r="H3837" s="22" t="str">
        <f>IFERROR(__xludf.DUMMYFUNCTION("""COMPUTED_VALUE"""),"ハナ┴宮口ジュン┴COMIC ROOM┴ルシオル編集部")</f>
        <v>ハナ┴宮口ジュン┴COMIC ROOM┴ルシオル編集部</v>
      </c>
      <c r="I3837" s="22" t="str">
        <f>IFERROR(__xludf.DUMMYFUNCTION("""COMPUTED_VALUE"""),"女性")</f>
        <v>女性</v>
      </c>
      <c r="J3837" s="22"/>
      <c r="K3837" s="22"/>
      <c r="L3837" s="22" t="str">
        <f>IFERROR(__xludf.DUMMYFUNCTION("""COMPUTED_VALUE"""),"ライブコミックス")</f>
        <v>ライブコミックス</v>
      </c>
      <c r="M3837" s="33">
        <f>IFERROR(__xludf.DUMMYFUNCTION("""COMPUTED_VALUE"""),45926.0)</f>
        <v>45926</v>
      </c>
      <c r="N3837" s="33">
        <f>IFERROR(__xludf.DUMMYFUNCTION("""COMPUTED_VALUE"""),46016.0)</f>
        <v>46016</v>
      </c>
      <c r="O3837" s="20"/>
      <c r="P3837" s="32" t="str">
        <f>IFERROR(__xludf.DUMMYFUNCTION("""COMPUTED_VALUE"""),"可")</f>
        <v>可</v>
      </c>
      <c r="Q3837" s="30" t="str">
        <f>IFERROR(__xludf.DUMMYFUNCTION("""COMPUTED_VALUE"""),"Bookliveからの2次先行です。&lt;BR&gt;1~8巻の内容にてバナーご制作をお願いします。")</f>
        <v>Bookliveからの2次先行です。&lt;BR&gt;1~8巻の内容にてバナーご制作をお願いします。</v>
      </c>
      <c r="R3837" s="22" t="str">
        <f>IFERROR(__xludf.DUMMYFUNCTION("""COMPUTED_VALUE"""),"コミットOK")</f>
        <v>コミットOK</v>
      </c>
      <c r="S3837" s="22" t="str">
        <f>IFERROR(__xludf.DUMMYFUNCTION("""COMPUTED_VALUE"""),"20250807_Bookliveと_執着～この女から逃げられない～")</f>
        <v>20250807_Bookliveと_執着～この女から逃げられない～</v>
      </c>
      <c r="T3837" s="22" t="str">
        <f>IFERROR(__xludf.DUMMYFUNCTION("""COMPUTED_VALUE"""),"格納済み")</f>
        <v>格納済み</v>
      </c>
      <c r="U3837" s="9" t="str">
        <f>IFERROR(__xludf.DUMMYFUNCTION("""COMPUTED_VALUE"""),"(C)ハナ・宮口ジュン・COMIC ROOM/ライブコミックス")</f>
        <v>(C)ハナ・宮口ジュン・COMIC ROOM/ライブコミックス</v>
      </c>
      <c r="V3837" s="8"/>
      <c r="W3837" s="8"/>
      <c r="X3837" s="8" t="str">
        <f>IFERROR(__xludf.DUMMYFUNCTION("""COMPUTED_VALUE"""),"有")</f>
        <v>有</v>
      </c>
      <c r="Y3837" s="8" t="str">
        <f>IFERROR(__xludf.DUMMYFUNCTION("""COMPUTED_VALUE"""),"20205/12/25まで1～2巻無料")</f>
        <v>20205/12/25まで1～2巻無料</v>
      </c>
      <c r="Z3837" s="7"/>
      <c r="AA3837" s="7"/>
      <c r="AB3837" s="7"/>
    </row>
    <row r="3838" ht="15.75" customHeight="1">
      <c r="A3838" s="26">
        <f>IFERROR(__xludf.DUMMYFUNCTION("""COMPUTED_VALUE"""),6222.0)</f>
        <v>6222</v>
      </c>
      <c r="B3838" s="22" t="str">
        <f>IFERROR(__xludf.DUMMYFUNCTION("""COMPUTED_VALUE"""),"確定")</f>
        <v>確定</v>
      </c>
      <c r="C3838" s="28">
        <f>IFERROR(__xludf.DUMMYFUNCTION("""COMPUTED_VALUE"""),45876.0)</f>
        <v>45876</v>
      </c>
      <c r="D3838" s="28">
        <f>IFERROR(__xludf.DUMMYFUNCTION("""COMPUTED_VALUE"""),45896.0)</f>
        <v>45896</v>
      </c>
      <c r="E3838" s="26">
        <f>IFERROR(__xludf.DUMMYFUNCTION("""COMPUTED_VALUE"""),336666.0)</f>
        <v>336666</v>
      </c>
      <c r="F3838" s="22" t="str">
        <f>IFERROR(__xludf.DUMMYFUNCTION("""COMPUTED_VALUE"""),"昔の推しにガチ恋激重執着されてた【R-18版】")</f>
        <v>昔の推しにガチ恋激重執着されてた【R-18版】</v>
      </c>
      <c r="G3838" s="20" t="str">
        <f>IFERROR(__xludf.DUMMYFUNCTION("""COMPUTED_VALUE"""),"1～4")</f>
        <v>1～4</v>
      </c>
      <c r="H3838" s="22" t="str">
        <f>IFERROR(__xludf.DUMMYFUNCTION("""COMPUTED_VALUE"""),"吉田そぼろ")</f>
        <v>吉田そぼろ</v>
      </c>
      <c r="I3838" s="22" t="str">
        <f>IFERROR(__xludf.DUMMYFUNCTION("""COMPUTED_VALUE"""),"アダルト")</f>
        <v>アダルト</v>
      </c>
      <c r="J3838" s="22"/>
      <c r="K3838" s="22" t="str">
        <f>IFERROR(__xludf.DUMMYFUNCTION("""COMPUTED_VALUE"""),"BLIC-ERO")</f>
        <v>BLIC-ERO</v>
      </c>
      <c r="L3838" s="22" t="str">
        <f>IFERROR(__xludf.DUMMYFUNCTION("""COMPUTED_VALUE"""),"クロスフォリオ出版")</f>
        <v>クロスフォリオ出版</v>
      </c>
      <c r="M3838" s="33">
        <f>IFERROR(__xludf.DUMMYFUNCTION("""COMPUTED_VALUE"""),45933.0)</f>
        <v>45933</v>
      </c>
      <c r="N3838" s="33">
        <f>IFERROR(__xludf.DUMMYFUNCTION("""COMPUTED_VALUE"""),45995.0)</f>
        <v>45995</v>
      </c>
      <c r="O3838" s="20"/>
      <c r="P3838" s="32" t="str">
        <f>IFERROR(__xludf.DUMMYFUNCTION("""COMPUTED_VALUE"""),"可")</f>
        <v>可</v>
      </c>
      <c r="Q3838" s="30" t="str">
        <f>IFERROR(__xludf.DUMMYFUNCTION("""COMPUTED_VALUE"""),"BookLiveとの2社先行配信")</f>
        <v>BookLiveとの2社先行配信</v>
      </c>
      <c r="R3838" s="22" t="str">
        <f>IFERROR(__xludf.DUMMYFUNCTION("""COMPUTED_VALUE"""),"コミットOK")</f>
        <v>コミットOK</v>
      </c>
      <c r="S3838" s="22" t="str">
        <f>IFERROR(__xludf.DUMMYFUNCTION("""COMPUTED_VALUE"""),"20250826_BookLive_昔の推しにガチ恋激重執着されてた")</f>
        <v>20250826_BookLive_昔の推しにガチ恋激重執着されてた</v>
      </c>
      <c r="T3838" s="22" t="str">
        <f>IFERROR(__xludf.DUMMYFUNCTION("""COMPUTED_VALUE"""),"格納済み")</f>
        <v>格納済み</v>
      </c>
      <c r="U3838" s="9" t="str">
        <f>IFERROR(__xludf.DUMMYFUNCTION("""COMPUTED_VALUE"""),"(c)吉田そぼろ/そぼろ研究所/クロスフォリオ出版")</f>
        <v>(c)吉田そぼろ/そぼろ研究所/クロスフォリオ出版</v>
      </c>
      <c r="V3838" s="8"/>
      <c r="W3838" s="8"/>
      <c r="X3838" s="8" t="str">
        <f>IFERROR(__xludf.DUMMYFUNCTION("""COMPUTED_VALUE"""),"有")</f>
        <v>有</v>
      </c>
      <c r="Y3838" s="8" t="str">
        <f>IFERROR(__xludf.DUMMYFUNCTION("""COMPUTED_VALUE"""),"P11まで")</f>
        <v>P11まで</v>
      </c>
      <c r="Z3838" s="7"/>
      <c r="AA3838" s="7"/>
      <c r="AB3838" s="7"/>
    </row>
    <row r="3839" ht="15.75" customHeight="1">
      <c r="A3839" s="26">
        <f>IFERROR(__xludf.DUMMYFUNCTION("""COMPUTED_VALUE"""),6224.0)</f>
        <v>6224</v>
      </c>
      <c r="B3839" s="22" t="str">
        <f>IFERROR(__xludf.DUMMYFUNCTION("""COMPUTED_VALUE"""),"確定")</f>
        <v>確定</v>
      </c>
      <c r="C3839" s="28">
        <f>IFERROR(__xludf.DUMMYFUNCTION("""COMPUTED_VALUE"""),45876.0)</f>
        <v>45876</v>
      </c>
      <c r="D3839" s="28">
        <f>IFERROR(__xludf.DUMMYFUNCTION("""COMPUTED_VALUE"""),45890.0)</f>
        <v>45890</v>
      </c>
      <c r="E3839" s="26">
        <f>IFERROR(__xludf.DUMMYFUNCTION("""COMPUTED_VALUE"""),335420.0)</f>
        <v>335420</v>
      </c>
      <c r="F3839" s="22" t="str">
        <f>IFERROR(__xludf.DUMMYFUNCTION("""COMPUTED_VALUE"""),"でも殿下、この恋をはじめたのはあなたでしょう？")</f>
        <v>でも殿下、この恋をはじめたのはあなたでしょう？</v>
      </c>
      <c r="G3839" s="20" t="str">
        <f>IFERROR(__xludf.DUMMYFUNCTION("""COMPUTED_VALUE"""),"1～11")</f>
        <v>1～11</v>
      </c>
      <c r="H3839" s="22" t="str">
        <f>IFERROR(__xludf.DUMMYFUNCTION("""COMPUTED_VALUE"""),"水都ミナ┴グルナ編集部")</f>
        <v>水都ミナ┴グルナ編集部</v>
      </c>
      <c r="I3839" s="22" t="str">
        <f>IFERROR(__xludf.DUMMYFUNCTION("""COMPUTED_VALUE"""),"女性")</f>
        <v>女性</v>
      </c>
      <c r="J3839" s="22"/>
      <c r="K3839" s="22"/>
      <c r="L3839" s="22" t="str">
        <f>IFERROR(__xludf.DUMMYFUNCTION("""COMPUTED_VALUE"""),"ライブコミックス")</f>
        <v>ライブコミックス</v>
      </c>
      <c r="M3839" s="33">
        <f>IFERROR(__xludf.DUMMYFUNCTION("""COMPUTED_VALUE"""),45926.0)</f>
        <v>45926</v>
      </c>
      <c r="N3839" s="33">
        <f>IFERROR(__xludf.DUMMYFUNCTION("""COMPUTED_VALUE"""),45988.0)</f>
        <v>45988</v>
      </c>
      <c r="O3839" s="20"/>
      <c r="P3839" s="32" t="str">
        <f>IFERROR(__xludf.DUMMYFUNCTION("""COMPUTED_VALUE"""),"可")</f>
        <v>可</v>
      </c>
      <c r="Q3839" s="30" t="str">
        <f>IFERROR(__xludf.DUMMYFUNCTION("""COMPUTED_VALUE"""),"Bookliveからの2次先行です。&lt;BR&gt;1～10巻までの内容にてバナーご制作をお願いします。")</f>
        <v>Bookliveからの2次先行です。&lt;BR&gt;1～10巻までの内容にてバナーご制作をお願いします。</v>
      </c>
      <c r="R3839" s="22" t="str">
        <f>IFERROR(__xludf.DUMMYFUNCTION("""COMPUTED_VALUE"""),"コミットOK")</f>
        <v>コミットOK</v>
      </c>
      <c r="S3839" s="22" t="str">
        <f>IFERROR(__xludf.DUMMYFUNCTION("""COMPUTED_VALUE"""),"20250807_Booklive_でも殿下、この恋をはじめたのはあなたでしょう？")</f>
        <v>20250807_Booklive_でも殿下、この恋をはじめたのはあなたでしょう？</v>
      </c>
      <c r="T3839" s="22" t="str">
        <f>IFERROR(__xludf.DUMMYFUNCTION("""COMPUTED_VALUE"""),"格納済み")</f>
        <v>格納済み</v>
      </c>
      <c r="U3839" s="9" t="str">
        <f>IFERROR(__xludf.DUMMYFUNCTION("""COMPUTED_VALUE"""),"(C)水都ミナ/ライブコミックス")</f>
        <v>(C)水都ミナ/ライブコミックス</v>
      </c>
      <c r="V3839" s="8"/>
      <c r="W3839" s="8"/>
      <c r="X3839" s="8" t="str">
        <f>IFERROR(__xludf.DUMMYFUNCTION("""COMPUTED_VALUE"""),"有")</f>
        <v>有</v>
      </c>
      <c r="Y3839" s="8" t="str">
        <f>IFERROR(__xludf.DUMMYFUNCTION("""COMPUTED_VALUE"""),"20205/11/28まで1～3巻無料")</f>
        <v>20205/11/28まで1～3巻無料</v>
      </c>
      <c r="Z3839" s="7"/>
      <c r="AA3839" s="7"/>
      <c r="AB3839" s="7"/>
    </row>
    <row r="3840" ht="15.75" customHeight="1">
      <c r="A3840" s="26">
        <f>IFERROR(__xludf.DUMMYFUNCTION("""COMPUTED_VALUE"""),6225.0)</f>
        <v>6225</v>
      </c>
      <c r="B3840" s="22" t="str">
        <f>IFERROR(__xludf.DUMMYFUNCTION("""COMPUTED_VALUE"""),"確定")</f>
        <v>確定</v>
      </c>
      <c r="C3840" s="28">
        <f>IFERROR(__xludf.DUMMYFUNCTION("""COMPUTED_VALUE"""),45876.0)</f>
        <v>45876</v>
      </c>
      <c r="D3840" s="28">
        <f>IFERROR(__xludf.DUMMYFUNCTION("""COMPUTED_VALUE"""),45890.0)</f>
        <v>45890</v>
      </c>
      <c r="E3840" s="26">
        <f>IFERROR(__xludf.DUMMYFUNCTION("""COMPUTED_VALUE"""),335421.0)</f>
        <v>335421</v>
      </c>
      <c r="F3840" s="22" t="str">
        <f>IFERROR(__xludf.DUMMYFUNCTION("""COMPUTED_VALUE"""),"私を裏切ったはずの公爵様が離婚してくれません")</f>
        <v>私を裏切ったはずの公爵様が離婚してくれません</v>
      </c>
      <c r="G3840" s="20" t="str">
        <f>IFERROR(__xludf.DUMMYFUNCTION("""COMPUTED_VALUE"""),"1～13")</f>
        <v>1～13</v>
      </c>
      <c r="H3840" s="22" t="str">
        <f>IFERROR(__xludf.DUMMYFUNCTION("""COMPUTED_VALUE"""),"藤原ちづる┴柏みなみ┴エトワール編集部")</f>
        <v>藤原ちづる┴柏みなみ┴エトワール編集部</v>
      </c>
      <c r="I3840" s="22" t="str">
        <f>IFERROR(__xludf.DUMMYFUNCTION("""COMPUTED_VALUE"""),"女性")</f>
        <v>女性</v>
      </c>
      <c r="J3840" s="22"/>
      <c r="K3840" s="22"/>
      <c r="L3840" s="22" t="str">
        <f>IFERROR(__xludf.DUMMYFUNCTION("""COMPUTED_VALUE"""),"ライブコミックス")</f>
        <v>ライブコミックス</v>
      </c>
      <c r="M3840" s="33">
        <f>IFERROR(__xludf.DUMMYFUNCTION("""COMPUTED_VALUE"""),45926.0)</f>
        <v>45926</v>
      </c>
      <c r="N3840" s="33">
        <f>IFERROR(__xludf.DUMMYFUNCTION("""COMPUTED_VALUE"""),46016.0)</f>
        <v>46016</v>
      </c>
      <c r="O3840" s="20"/>
      <c r="P3840" s="32" t="str">
        <f>IFERROR(__xludf.DUMMYFUNCTION("""COMPUTED_VALUE"""),"可")</f>
        <v>可</v>
      </c>
      <c r="Q3840" s="30" t="str">
        <f>IFERROR(__xludf.DUMMYFUNCTION("""COMPUTED_VALUE"""),"Bookliveからの2次先行です。&lt;BR&gt;1～12巻までの内容にてバナーご制作をお願いします。")</f>
        <v>Bookliveからの2次先行です。&lt;BR&gt;1～12巻までの内容にてバナーご制作をお願いします。</v>
      </c>
      <c r="R3840" s="22" t="str">
        <f>IFERROR(__xludf.DUMMYFUNCTION("""COMPUTED_VALUE"""),"コミットOK")</f>
        <v>コミットOK</v>
      </c>
      <c r="S3840" s="22" t="str">
        <f>IFERROR(__xludf.DUMMYFUNCTION("""COMPUTED_VALUE"""),"20250807_Booklive_私を裏切ったはずの公爵様が離婚してくれません")</f>
        <v>20250807_Booklive_私を裏切ったはずの公爵様が離婚してくれません</v>
      </c>
      <c r="T3840" s="22" t="str">
        <f>IFERROR(__xludf.DUMMYFUNCTION("""COMPUTED_VALUE"""),"格納済み")</f>
        <v>格納済み</v>
      </c>
      <c r="U3840" s="9" t="str">
        <f>IFERROR(__xludf.DUMMYFUNCTION("""COMPUTED_VALUE"""),"(C)藤原ちづる・柏みなみ/ライブコミックス")</f>
        <v>(C)藤原ちづる・柏みなみ/ライブコミックス</v>
      </c>
      <c r="V3840" s="8"/>
      <c r="W3840" s="8"/>
      <c r="X3840" s="8" t="str">
        <f>IFERROR(__xludf.DUMMYFUNCTION("""COMPUTED_VALUE"""),"有")</f>
        <v>有</v>
      </c>
      <c r="Y3840" s="8" t="str">
        <f>IFERROR(__xludf.DUMMYFUNCTION("""COMPUTED_VALUE"""),"20205/12/25まで1～2巻無料")</f>
        <v>20205/12/25まで1～2巻無料</v>
      </c>
      <c r="Z3840" s="7"/>
      <c r="AA3840" s="7"/>
      <c r="AB3840" s="7"/>
    </row>
    <row r="3841" ht="15.75" customHeight="1">
      <c r="A3841" s="26">
        <f>IFERROR(__xludf.DUMMYFUNCTION("""COMPUTED_VALUE"""),6227.0)</f>
        <v>6227</v>
      </c>
      <c r="B3841" s="22" t="str">
        <f>IFERROR(__xludf.DUMMYFUNCTION("""COMPUTED_VALUE"""),"確定")</f>
        <v>確定</v>
      </c>
      <c r="C3841" s="28">
        <f>IFERROR(__xludf.DUMMYFUNCTION("""COMPUTED_VALUE"""),45876.0)</f>
        <v>45876</v>
      </c>
      <c r="D3841" s="28">
        <f>IFERROR(__xludf.DUMMYFUNCTION("""COMPUTED_VALUE"""),45895.0)</f>
        <v>45895</v>
      </c>
      <c r="E3841" s="26">
        <f>IFERROR(__xludf.DUMMYFUNCTION("""COMPUTED_VALUE"""),336460.0)</f>
        <v>336460</v>
      </c>
      <c r="F3841" s="22" t="str">
        <f>IFERROR(__xludf.DUMMYFUNCTION("""COMPUTED_VALUE"""),"クズの正しい躾け方")</f>
        <v>クズの正しい躾け方</v>
      </c>
      <c r="G3841" s="20" t="str">
        <f>IFERROR(__xludf.DUMMYFUNCTION("""COMPUTED_VALUE"""),"1～3")</f>
        <v>1～3</v>
      </c>
      <c r="H3841" s="22" t="str">
        <f>IFERROR(__xludf.DUMMYFUNCTION("""COMPUTED_VALUE"""),"御茶漬わさび┴アスティル編集部")</f>
        <v>御茶漬わさび┴アスティル編集部</v>
      </c>
      <c r="I3841" s="22" t="str">
        <f>IFERROR(__xludf.DUMMYFUNCTION("""COMPUTED_VALUE"""),"BL")</f>
        <v>BL</v>
      </c>
      <c r="J3841" s="22"/>
      <c r="K3841" s="22" t="str">
        <f>IFERROR(__xludf.DUMMYFUNCTION("""COMPUTED_VALUE"""),"COMICアスティル")</f>
        <v>COMICアスティル</v>
      </c>
      <c r="L3841" s="22" t="str">
        <f>IFERROR(__xludf.DUMMYFUNCTION("""COMPUTED_VALUE"""),"ライブコミックス")</f>
        <v>ライブコミックス</v>
      </c>
      <c r="M3841" s="33">
        <f>IFERROR(__xludf.DUMMYFUNCTION("""COMPUTED_VALUE"""),45931.0)</f>
        <v>45931</v>
      </c>
      <c r="N3841" s="33">
        <f>IFERROR(__xludf.DUMMYFUNCTION("""COMPUTED_VALUE"""),46007.0)</f>
        <v>46007</v>
      </c>
      <c r="O3841" s="20"/>
      <c r="P3841" s="32" t="str">
        <f>IFERROR(__xludf.DUMMYFUNCTION("""COMPUTED_VALUE"""),"可")</f>
        <v>可</v>
      </c>
      <c r="Q3841" s="30" t="str">
        <f>IFERROR(__xludf.DUMMYFUNCTION("""COMPUTED_VALUE"""),"【アダルト作品扱い】&lt;BR&gt;BookLiveとの2社同時先行配信")</f>
        <v>【アダルト作品扱い】&lt;BR&gt;BookLiveとの2社同時先行配信</v>
      </c>
      <c r="R3841" s="22" t="str">
        <f>IFERROR(__xludf.DUMMYFUNCTION("""COMPUTED_VALUE"""),"コミットOK")</f>
        <v>コミットOK</v>
      </c>
      <c r="S3841" s="22" t="str">
        <f>IFERROR(__xludf.DUMMYFUNCTION("""COMPUTED_VALUE"""),"20250807_Booklive_クズの正しい躾け方")</f>
        <v>20250807_Booklive_クズの正しい躾け方</v>
      </c>
      <c r="T3841" s="22" t="str">
        <f>IFERROR(__xludf.DUMMYFUNCTION("""COMPUTED_VALUE"""),"格納済み")</f>
        <v>格納済み</v>
      </c>
      <c r="U3841" s="9" t="str">
        <f>IFERROR(__xludf.DUMMYFUNCTION("""COMPUTED_VALUE"""),"(C)御茶漬わさび/ライブコミックス")</f>
        <v>(C)御茶漬わさび/ライブコミックス</v>
      </c>
      <c r="V3841" s="8"/>
      <c r="W3841" s="8"/>
      <c r="X3841" s="8" t="str">
        <f>IFERROR(__xludf.DUMMYFUNCTION("""COMPUTED_VALUE"""),"有")</f>
        <v>有</v>
      </c>
      <c r="Y3841" s="8" t="str">
        <f>IFERROR(__xludf.DUMMYFUNCTION("""COMPUTED_VALUE"""),"2025/11/4まで1巻無料")</f>
        <v>2025/11/4まで1巻無料</v>
      </c>
      <c r="Z3841" s="7"/>
      <c r="AA3841" s="7"/>
      <c r="AB3841" s="7"/>
    </row>
    <row r="3842" ht="15.75" customHeight="1">
      <c r="A3842" s="26">
        <f>IFERROR(__xludf.DUMMYFUNCTION("""COMPUTED_VALUE"""),6251.0)</f>
        <v>6251</v>
      </c>
      <c r="B3842" s="22" t="str">
        <f>IFERROR(__xludf.DUMMYFUNCTION("""COMPUTED_VALUE"""),"確定")</f>
        <v>確定</v>
      </c>
      <c r="C3842" s="28">
        <f>IFERROR(__xludf.DUMMYFUNCTION("""COMPUTED_VALUE"""),45881.0)</f>
        <v>45881</v>
      </c>
      <c r="D3842" s="28">
        <f>IFERROR(__xludf.DUMMYFUNCTION("""COMPUTED_VALUE"""),45889.0)</f>
        <v>45889</v>
      </c>
      <c r="E3842" s="26">
        <f>IFERROR(__xludf.DUMMYFUNCTION("""COMPUTED_VALUE"""),325162.0)</f>
        <v>325162</v>
      </c>
      <c r="F3842" s="22" t="str">
        <f>IFERROR(__xludf.DUMMYFUNCTION("""COMPUTED_VALUE"""),"僕の愛しい女スパイ")</f>
        <v>僕の愛しい女スパイ</v>
      </c>
      <c r="G3842" s="20">
        <f>IFERROR(__xludf.DUMMYFUNCTION("""COMPUTED_VALUE"""),1.0)</f>
        <v>1</v>
      </c>
      <c r="H3842" s="22" t="str">
        <f>IFERROR(__xludf.DUMMYFUNCTION("""COMPUTED_VALUE"""),"灰慈")</f>
        <v>灰慈</v>
      </c>
      <c r="I3842" s="22" t="str">
        <f>IFERROR(__xludf.DUMMYFUNCTION("""COMPUTED_VALUE"""),"TLマンガ")</f>
        <v>TLマンガ</v>
      </c>
      <c r="J3842" s="22"/>
      <c r="K3842" s="22" t="str">
        <f>IFERROR(__xludf.DUMMYFUNCTION("""COMPUTED_VALUE"""),"スキして?桃色日記")</f>
        <v>スキして?桃色日記</v>
      </c>
      <c r="L3842" s="22" t="str">
        <f>IFERROR(__xludf.DUMMYFUNCTION("""COMPUTED_VALUE"""),"シーモアコミックス")</f>
        <v>シーモアコミックス</v>
      </c>
      <c r="M3842" s="33">
        <f>IFERROR(__xludf.DUMMYFUNCTION("""COMPUTED_VALUE"""),45913.0)</f>
        <v>45913</v>
      </c>
      <c r="N3842" s="33">
        <f>IFERROR(__xludf.DUMMYFUNCTION("""COMPUTED_VALUE"""),2958465.0)</f>
        <v>2958465</v>
      </c>
      <c r="O3842" s="20"/>
      <c r="P3842" s="32" t="str">
        <f>IFERROR(__xludf.DUMMYFUNCTION("""COMPUTED_VALUE"""),"可")</f>
        <v>可</v>
      </c>
      <c r="Q3842" s="30" t="str">
        <f>IFERROR(__xludf.DUMMYFUNCTION("""COMPUTED_VALUE"""),"【アダルト作品扱い】&lt;BR&gt;※読み切り作品のため1巻のみですが出稿お願いします。&lt;BR&gt;")</f>
        <v>【アダルト作品扱い】&lt;BR&gt;※読み切り作品のため1巻のみですが出稿お願いします。&lt;BR&gt;</v>
      </c>
      <c r="R3842" s="22"/>
      <c r="S3842" s="22" t="str">
        <f>IFERROR(__xludf.DUMMYFUNCTION("""COMPUTED_VALUE"""),"20250812_シーモアコミックス_僕の愛しい女スパイ")</f>
        <v>20250812_シーモアコミックス_僕の愛しい女スパイ</v>
      </c>
      <c r="T3842" s="22" t="str">
        <f>IFERROR(__xludf.DUMMYFUNCTION("""COMPUTED_VALUE"""),"格納済み")</f>
        <v>格納済み</v>
      </c>
      <c r="U3842" s="9" t="str">
        <f>IFERROR(__xludf.DUMMYFUNCTION("""COMPUTED_VALUE"""),"(C) 灰慈/シーモアコミックス")</f>
        <v>(C) 灰慈/シーモアコミックス</v>
      </c>
      <c r="V3842" s="8"/>
      <c r="W3842" s="8"/>
      <c r="X3842" s="8" t="str">
        <f>IFERROR(__xludf.DUMMYFUNCTION("""COMPUTED_VALUE"""),"有")</f>
        <v>有</v>
      </c>
      <c r="Y3842" s="8" t="str">
        <f>IFERROR(__xludf.DUMMYFUNCTION("""COMPUTED_VALUE"""),"P9まで")</f>
        <v>P9まで</v>
      </c>
      <c r="Z3842" s="7"/>
      <c r="AA3842" s="7"/>
      <c r="AB3842" s="7"/>
    </row>
    <row r="3843" ht="15.75" customHeight="1">
      <c r="A3843" s="26">
        <f>IFERROR(__xludf.DUMMYFUNCTION("""COMPUTED_VALUE"""),6252.0)</f>
        <v>6252</v>
      </c>
      <c r="B3843" s="22" t="str">
        <f>IFERROR(__xludf.DUMMYFUNCTION("""COMPUTED_VALUE"""),"確定")</f>
        <v>確定</v>
      </c>
      <c r="C3843" s="28">
        <f>IFERROR(__xludf.DUMMYFUNCTION("""COMPUTED_VALUE"""),45881.0)</f>
        <v>45881</v>
      </c>
      <c r="D3843" s="28">
        <f>IFERROR(__xludf.DUMMYFUNCTION("""COMPUTED_VALUE"""),45889.0)</f>
        <v>45889</v>
      </c>
      <c r="E3843" s="26">
        <f>IFERROR(__xludf.DUMMYFUNCTION("""COMPUTED_VALUE"""),323514.0)</f>
        <v>323514</v>
      </c>
      <c r="F3843" s="22" t="str">
        <f>IFERROR(__xludf.DUMMYFUNCTION("""COMPUTED_VALUE"""),"中谷くんは発情期？")</f>
        <v>中谷くんは発情期？</v>
      </c>
      <c r="G3843" s="20">
        <f>IFERROR(__xludf.DUMMYFUNCTION("""COMPUTED_VALUE"""),1.0)</f>
        <v>1</v>
      </c>
      <c r="H3843" s="22" t="str">
        <f>IFERROR(__xludf.DUMMYFUNCTION("""COMPUTED_VALUE"""),"ちづ")</f>
        <v>ちづ</v>
      </c>
      <c r="I3843" s="22" t="str">
        <f>IFERROR(__xludf.DUMMYFUNCTION("""COMPUTED_VALUE"""),"BLマンガ")</f>
        <v>BLマンガ</v>
      </c>
      <c r="J3843" s="22"/>
      <c r="K3843" s="22" t="str">
        <f>IFERROR(__xludf.DUMMYFUNCTION("""COMPUTED_VALUE"""),"Ficus")</f>
        <v>Ficus</v>
      </c>
      <c r="L3843" s="22" t="str">
        <f>IFERROR(__xludf.DUMMYFUNCTION("""COMPUTED_VALUE"""),"シーモアコミックス")</f>
        <v>シーモアコミックス</v>
      </c>
      <c r="M3843" s="33">
        <f>IFERROR(__xludf.DUMMYFUNCTION("""COMPUTED_VALUE"""),45913.0)</f>
        <v>45913</v>
      </c>
      <c r="N3843" s="33">
        <f>IFERROR(__xludf.DUMMYFUNCTION("""COMPUTED_VALUE"""),2958465.0)</f>
        <v>2958465</v>
      </c>
      <c r="O3843" s="20"/>
      <c r="P3843" s="32" t="str">
        <f>IFERROR(__xludf.DUMMYFUNCTION("""COMPUTED_VALUE"""),"可")</f>
        <v>可</v>
      </c>
      <c r="Q3843" s="30" t="str">
        <f>IFERROR(__xludf.DUMMYFUNCTION("""COMPUTED_VALUE"""),"【アダルト作品扱い】&lt;BR&gt;※読み切り作品のため1巻のみですが出稿お願いします。&lt;BR&gt;")</f>
        <v>【アダルト作品扱い】&lt;BR&gt;※読み切り作品のため1巻のみですが出稿お願いします。&lt;BR&gt;</v>
      </c>
      <c r="R3843" s="22"/>
      <c r="S3843" s="22" t="str">
        <f>IFERROR(__xludf.DUMMYFUNCTION("""COMPUTED_VALUE"""),"20250812_シーモアコミックス_中谷くんは発情期？")</f>
        <v>20250812_シーモアコミックス_中谷くんは発情期？</v>
      </c>
      <c r="T3843" s="22" t="str">
        <f>IFERROR(__xludf.DUMMYFUNCTION("""COMPUTED_VALUE"""),"格納済み")</f>
        <v>格納済み</v>
      </c>
      <c r="U3843" s="9" t="str">
        <f>IFERROR(__xludf.DUMMYFUNCTION("""COMPUTED_VALUE"""),"(C) ちづ/シーモアコミックス")</f>
        <v>(C) ちづ/シーモアコミックス</v>
      </c>
      <c r="V3843" s="8"/>
      <c r="W3843" s="8"/>
      <c r="X3843" s="8" t="str">
        <f>IFERROR(__xludf.DUMMYFUNCTION("""COMPUTED_VALUE"""),"有")</f>
        <v>有</v>
      </c>
      <c r="Y3843" s="8" t="str">
        <f>IFERROR(__xludf.DUMMYFUNCTION("""COMPUTED_VALUE"""),"P9まで")</f>
        <v>P9まで</v>
      </c>
      <c r="Z3843" s="7"/>
      <c r="AA3843" s="7"/>
      <c r="AB3843" s="7"/>
    </row>
    <row r="3844" ht="15.75" customHeight="1">
      <c r="A3844" s="26">
        <f>IFERROR(__xludf.DUMMYFUNCTION("""COMPUTED_VALUE"""),6261.0)</f>
        <v>6261</v>
      </c>
      <c r="B3844" s="22" t="str">
        <f>IFERROR(__xludf.DUMMYFUNCTION("""COMPUTED_VALUE"""),"確定")</f>
        <v>確定</v>
      </c>
      <c r="C3844" s="28">
        <f>IFERROR(__xludf.DUMMYFUNCTION("""COMPUTED_VALUE"""),45884.0)</f>
        <v>45884</v>
      </c>
      <c r="D3844" s="28">
        <f>IFERROR(__xludf.DUMMYFUNCTION("""COMPUTED_VALUE"""),45889.0)</f>
        <v>45889</v>
      </c>
      <c r="E3844" s="26">
        <f>IFERROR(__xludf.DUMMYFUNCTION("""COMPUTED_VALUE"""),335009.0)</f>
        <v>335009</v>
      </c>
      <c r="F3844" s="22" t="str">
        <f>IFERROR(__xludf.DUMMYFUNCTION("""COMPUTED_VALUE"""),"ツンデレには慣れているので初恋の国王陛下と甘く蜜月を過ごします")</f>
        <v>ツンデレには慣れているので初恋の国王陛下と甘く蜜月を過ごします</v>
      </c>
      <c r="G3844" s="20" t="str">
        <f>IFERROR(__xludf.DUMMYFUNCTION("""COMPUTED_VALUE"""),"１巻完結")</f>
        <v>１巻完結</v>
      </c>
      <c r="H3844" s="22" t="str">
        <f>IFERROR(__xludf.DUMMYFUNCTION("""COMPUTED_VALUE"""),"高橋依摘,蒼磨奏")</f>
        <v>高橋依摘,蒼磨奏</v>
      </c>
      <c r="I3844" s="22" t="str">
        <f>IFERROR(__xludf.DUMMYFUNCTION("""COMPUTED_VALUE"""),"TL")</f>
        <v>TL</v>
      </c>
      <c r="J3844" s="22"/>
      <c r="K3844" s="22" t="str">
        <f>IFERROR(__xludf.DUMMYFUNCTION("""COMPUTED_VALUE"""),"乙女ドルチェ・コミックス")</f>
        <v>乙女ドルチェ・コミックス</v>
      </c>
      <c r="L3844" s="22" t="str">
        <f>IFERROR(__xludf.DUMMYFUNCTION("""COMPUTED_VALUE"""),"乙女ドルチェ・コミックス")</f>
        <v>乙女ドルチェ・コミックス</v>
      </c>
      <c r="M3844" s="33">
        <f>IFERROR(__xludf.DUMMYFUNCTION("""COMPUTED_VALUE"""),45918.0)</f>
        <v>45918</v>
      </c>
      <c r="N3844" s="33">
        <f>IFERROR(__xludf.DUMMYFUNCTION("""COMPUTED_VALUE"""),45978.0)</f>
        <v>45978</v>
      </c>
      <c r="O3844" s="20"/>
      <c r="P3844" s="32" t="str">
        <f>IFERROR(__xludf.DUMMYFUNCTION("""COMPUTED_VALUE"""),"可")</f>
        <v>可</v>
      </c>
      <c r="Q3844" s="30" t="str">
        <f>IFERROR(__xludf.DUMMYFUNCTION("""COMPUTED_VALUE"""),"【アダルト作品扱い】")</f>
        <v>【アダルト作品扱い】</v>
      </c>
      <c r="R3844" s="22"/>
      <c r="S3844" s="22" t="str">
        <f>IFERROR(__xludf.DUMMYFUNCTION("""COMPUTED_VALUE"""),"20250815_ハーパーコリンズ・ジャパン_ツンデレには慣れているので初恋の国王陛下と甘く蜜月を過ごします")</f>
        <v>20250815_ハーパーコリンズ・ジャパン_ツンデレには慣れているので初恋の国王陛下と甘く蜜月を過ごします</v>
      </c>
      <c r="T3844" s="22" t="str">
        <f>IFERROR(__xludf.DUMMYFUNCTION("""COMPUTED_VALUE"""),"格納済み")</f>
        <v>格納済み</v>
      </c>
      <c r="U3844" s="9" t="str">
        <f>IFERROR(__xludf.DUMMYFUNCTION("""COMPUTED_VALUE"""),"（C)高橋依摘・蒼磨 奏／ハーパーコリンズ・ジャパン")</f>
        <v>（C)高橋依摘・蒼磨 奏／ハーパーコリンズ・ジャパン</v>
      </c>
      <c r="V3844" s="8"/>
      <c r="W3844" s="8"/>
      <c r="X3844" s="8" t="str">
        <f>IFERROR(__xludf.DUMMYFUNCTION("""COMPUTED_VALUE"""),"有")</f>
        <v>有</v>
      </c>
      <c r="Y3844" s="8" t="str">
        <f>IFERROR(__xludf.DUMMYFUNCTION("""COMPUTED_VALUE"""),"P28まで")</f>
        <v>P28まで</v>
      </c>
      <c r="Z3844" s="7"/>
      <c r="AA3844" s="7"/>
      <c r="AB3844" s="7"/>
    </row>
    <row r="3845" ht="15.75" customHeight="1">
      <c r="A3845" s="26">
        <f>IFERROR(__xludf.DUMMYFUNCTION("""COMPUTED_VALUE"""),6273.0)</f>
        <v>6273</v>
      </c>
      <c r="B3845" s="22" t="str">
        <f>IFERROR(__xludf.DUMMYFUNCTION("""COMPUTED_VALUE"""),"確定")</f>
        <v>確定</v>
      </c>
      <c r="C3845" s="28">
        <f>IFERROR(__xludf.DUMMYFUNCTION("""COMPUTED_VALUE"""),45887.0)</f>
        <v>45887</v>
      </c>
      <c r="D3845" s="28">
        <f>IFERROR(__xludf.DUMMYFUNCTION("""COMPUTED_VALUE"""),45894.0)</f>
        <v>45894</v>
      </c>
      <c r="E3845" s="26">
        <f>IFERROR(__xludf.DUMMYFUNCTION("""COMPUTED_VALUE"""),312461.0)</f>
        <v>312461</v>
      </c>
      <c r="F3845" s="22" t="str">
        <f>IFERROR(__xludf.DUMMYFUNCTION("""COMPUTED_VALUE"""),"あなたがこの子の父親ですか？")</f>
        <v>あなたがこの子の父親ですか？</v>
      </c>
      <c r="G3845" s="20" t="str">
        <f>IFERROR(__xludf.DUMMYFUNCTION("""COMPUTED_VALUE"""),"1～6")</f>
        <v>1～6</v>
      </c>
      <c r="H3845" s="22" t="str">
        <f>IFERROR(__xludf.DUMMYFUNCTION("""COMPUTED_VALUE"""),"土居あおか,瀬尾優梨")</f>
        <v>土居あおか,瀬尾優梨</v>
      </c>
      <c r="I3845" s="22" t="str">
        <f>IFERROR(__xludf.DUMMYFUNCTION("""COMPUTED_VALUE"""),"少女マンガ")</f>
        <v>少女マンガ</v>
      </c>
      <c r="J3845" s="22"/>
      <c r="K3845" s="22" t="str">
        <f>IFERROR(__xludf.DUMMYFUNCTION("""COMPUTED_VALUE"""),"恋するソワレ")</f>
        <v>恋するソワレ</v>
      </c>
      <c r="L3845" s="22" t="str">
        <f>IFERROR(__xludf.DUMMYFUNCTION("""COMPUTED_VALUE"""),"シーモアコミックス")</f>
        <v>シーモアコミックス</v>
      </c>
      <c r="M3845" s="33">
        <f>IFERROR(__xludf.DUMMYFUNCTION("""COMPUTED_VALUE"""),45920.0)</f>
        <v>45920</v>
      </c>
      <c r="N3845" s="33">
        <f>IFERROR(__xludf.DUMMYFUNCTION("""COMPUTED_VALUE"""),46072.70833333333)</f>
        <v>46072.70833</v>
      </c>
      <c r="O3845" s="20"/>
      <c r="P3845" s="32" t="str">
        <f>IFERROR(__xludf.DUMMYFUNCTION("""COMPUTED_VALUE"""),"可")</f>
        <v>可</v>
      </c>
      <c r="Q3845" s="30"/>
      <c r="R3845" s="22"/>
      <c r="S3845" s="22" t="str">
        <f>IFERROR(__xludf.DUMMYFUNCTION("""COMPUTED_VALUE"""),"20250812_シーモアコミックス_あなたがこの子の父親ですか？")</f>
        <v>20250812_シーモアコミックス_あなたがこの子の父親ですか？</v>
      </c>
      <c r="T3845" s="22" t="str">
        <f>IFERROR(__xludf.DUMMYFUNCTION("""COMPUTED_VALUE"""),"格納済み")</f>
        <v>格納済み</v>
      </c>
      <c r="U3845" s="9" t="str">
        <f>IFERROR(__xludf.DUMMYFUNCTION("""COMPUTED_VALUE"""),"(C) 土居あおか/瀬尾優梨/シーモアコミックス")</f>
        <v>(C) 土居あおか/瀬尾優梨/シーモアコミックス</v>
      </c>
      <c r="V3845" s="8"/>
      <c r="W3845" s="8"/>
      <c r="X3845" s="8" t="str">
        <f>IFERROR(__xludf.DUMMYFUNCTION("""COMPUTED_VALUE"""),"有")</f>
        <v>有</v>
      </c>
      <c r="Y3845" s="8" t="str">
        <f>IFERROR(__xludf.DUMMYFUNCTION("""COMPUTED_VALUE"""),"2025/10/17まで1~2巻無料")</f>
        <v>2025/10/17まで1~2巻無料</v>
      </c>
      <c r="Z3845" s="7"/>
      <c r="AA3845" s="7"/>
      <c r="AB3845" s="7"/>
    </row>
    <row r="3846" ht="15.75" customHeight="1">
      <c r="A3846" s="26">
        <f>IFERROR(__xludf.DUMMYFUNCTION("""COMPUTED_VALUE"""),6274.0)</f>
        <v>6274</v>
      </c>
      <c r="B3846" s="22" t="str">
        <f>IFERROR(__xludf.DUMMYFUNCTION("""COMPUTED_VALUE"""),"確定")</f>
        <v>確定</v>
      </c>
      <c r="C3846" s="28">
        <f>IFERROR(__xludf.DUMMYFUNCTION("""COMPUTED_VALUE"""),45887.0)</f>
        <v>45887</v>
      </c>
      <c r="D3846" s="28">
        <f>IFERROR(__xludf.DUMMYFUNCTION("""COMPUTED_VALUE"""),45894.0)</f>
        <v>45894</v>
      </c>
      <c r="E3846" s="26">
        <f>IFERROR(__xludf.DUMMYFUNCTION("""COMPUTED_VALUE"""),308174.0)</f>
        <v>308174</v>
      </c>
      <c r="F3846" s="22" t="str">
        <f>IFERROR(__xludf.DUMMYFUNCTION("""COMPUTED_VALUE"""),"オネエ上司のぐちゃあま結婚契約")</f>
        <v>オネエ上司のぐちゃあま結婚契約</v>
      </c>
      <c r="G3846" s="20" t="str">
        <f>IFERROR(__xludf.DUMMYFUNCTION("""COMPUTED_VALUE"""),"1～3")</f>
        <v>1～3</v>
      </c>
      <c r="H3846" s="22" t="str">
        <f>IFERROR(__xludf.DUMMYFUNCTION("""COMPUTED_VALUE"""),"乙子")</f>
        <v>乙子</v>
      </c>
      <c r="I3846" s="22" t="str">
        <f>IFERROR(__xludf.DUMMYFUNCTION("""COMPUTED_VALUE"""),"TLマンガ")</f>
        <v>TLマンガ</v>
      </c>
      <c r="J3846" s="22"/>
      <c r="K3846" s="22" t="str">
        <f>IFERROR(__xludf.DUMMYFUNCTION("""COMPUTED_VALUE"""),"スキして?桃色日記")</f>
        <v>スキして?桃色日記</v>
      </c>
      <c r="L3846" s="22" t="str">
        <f>IFERROR(__xludf.DUMMYFUNCTION("""COMPUTED_VALUE"""),"シーモアコミックス")</f>
        <v>シーモアコミックス</v>
      </c>
      <c r="M3846" s="33">
        <f>IFERROR(__xludf.DUMMYFUNCTION("""COMPUTED_VALUE"""),45920.0)</f>
        <v>45920</v>
      </c>
      <c r="N3846" s="33">
        <f>IFERROR(__xludf.DUMMYFUNCTION("""COMPUTED_VALUE"""),46072.0)</f>
        <v>46072</v>
      </c>
      <c r="O3846" s="20"/>
      <c r="P3846" s="32" t="str">
        <f>IFERROR(__xludf.DUMMYFUNCTION("""COMPUTED_VALUE"""),"可")</f>
        <v>可</v>
      </c>
      <c r="Q3846" s="30" t="str">
        <f>IFERROR(__xludf.DUMMYFUNCTION("""COMPUTED_VALUE"""),"※コピーライト確認中です。8/22頃までに確認予定です。（8/18）&lt;BR&gt;※素材フォルダパス、コピーライトを更新しました。（8/22）")</f>
        <v>※コピーライト確認中です。8/22頃までに確認予定です。（8/18）&lt;BR&gt;※素材フォルダパス、コピーライトを更新しました。（8/22）</v>
      </c>
      <c r="R3846" s="22"/>
      <c r="S3846" s="22" t="str">
        <f>IFERROR(__xludf.DUMMYFUNCTION("""COMPUTED_VALUE"""),"20250812_シーモアコミックス_オネエ上司のぐちゃあま結婚契約")</f>
        <v>20250812_シーモアコミックス_オネエ上司のぐちゃあま結婚契約</v>
      </c>
      <c r="T3846" s="22" t="str">
        <f>IFERROR(__xludf.DUMMYFUNCTION("""COMPUTED_VALUE"""),"格納済み")</f>
        <v>格納済み</v>
      </c>
      <c r="U3846" s="9" t="str">
        <f>IFERROR(__xludf.DUMMYFUNCTION("""COMPUTED_VALUE"""),"(C) 乙子/シーモアコミックス")</f>
        <v>(C) 乙子/シーモアコミックス</v>
      </c>
      <c r="V3846" s="8"/>
      <c r="W3846" s="8"/>
      <c r="X3846" s="8" t="str">
        <f>IFERROR(__xludf.DUMMYFUNCTION("""COMPUTED_VALUE"""),"有")</f>
        <v>有</v>
      </c>
      <c r="Y3846" s="8" t="str">
        <f>IFERROR(__xludf.DUMMYFUNCTION("""COMPUTED_VALUE"""),"P9まで")</f>
        <v>P9まで</v>
      </c>
      <c r="Z3846" s="7"/>
      <c r="AA3846" s="7"/>
      <c r="AB3846" s="7"/>
    </row>
    <row r="3847" ht="15.75" customHeight="1">
      <c r="A3847" s="26">
        <f>IFERROR(__xludf.DUMMYFUNCTION("""COMPUTED_VALUE"""),6278.0)</f>
        <v>6278</v>
      </c>
      <c r="B3847" s="22" t="str">
        <f>IFERROR(__xludf.DUMMYFUNCTION("""COMPUTED_VALUE"""),"確定")</f>
        <v>確定</v>
      </c>
      <c r="C3847" s="28">
        <f>IFERROR(__xludf.DUMMYFUNCTION("""COMPUTED_VALUE"""),45887.0)</f>
        <v>45887</v>
      </c>
      <c r="D3847" s="28">
        <f>IFERROR(__xludf.DUMMYFUNCTION("""COMPUTED_VALUE"""),45891.0)</f>
        <v>45891</v>
      </c>
      <c r="E3847" s="26">
        <f>IFERROR(__xludf.DUMMYFUNCTION("""COMPUTED_VALUE"""),334911.0)</f>
        <v>334911</v>
      </c>
      <c r="F3847" s="22" t="str">
        <f>IFERROR(__xludf.DUMMYFUNCTION("""COMPUTED_VALUE"""),"土曜日の秘め事～上司と僕のキケンな服従契約～【タテヨミ】")</f>
        <v>土曜日の秘め事～上司と僕のキケンな服従契約～【タテヨミ】</v>
      </c>
      <c r="G3847" s="20" t="str">
        <f>IFERROR(__xludf.DUMMYFUNCTION("""COMPUTED_VALUE"""),"1～20")</f>
        <v>1～20</v>
      </c>
      <c r="H3847" s="22" t="str">
        <f>IFERROR(__xludf.DUMMYFUNCTION("""COMPUTED_VALUE"""),"DO.D, Seomonhwa")</f>
        <v>DO.D, Seomonhwa</v>
      </c>
      <c r="I3847" s="22" t="str">
        <f>IFERROR(__xludf.DUMMYFUNCTION("""COMPUTED_VALUE"""),"BL")</f>
        <v>BL</v>
      </c>
      <c r="J3847" s="22"/>
      <c r="K3847" s="22"/>
      <c r="L3847" s="22" t="str">
        <f>IFERROR(__xludf.DUMMYFUNCTION("""COMPUTED_VALUE"""),"RIDI")</f>
        <v>RIDI</v>
      </c>
      <c r="M3847" s="33">
        <f>IFERROR(__xludf.DUMMYFUNCTION("""COMPUTED_VALUE"""),45913.0)</f>
        <v>45913</v>
      </c>
      <c r="N3847" s="33">
        <f>IFERROR(__xludf.DUMMYFUNCTION("""COMPUTED_VALUE"""),45974.0)</f>
        <v>45974</v>
      </c>
      <c r="O3847" s="20"/>
      <c r="P3847" s="32" t="str">
        <f>IFERROR(__xludf.DUMMYFUNCTION("""COMPUTED_VALUE"""),"可")</f>
        <v>可</v>
      </c>
      <c r="Q3847" s="30"/>
      <c r="R3847" s="22" t="str">
        <f>IFERROR(__xludf.DUMMYFUNCTION("""COMPUTED_VALUE"""),"コミットOK")</f>
        <v>コミットOK</v>
      </c>
      <c r="S3847" s="22" t="str">
        <f>IFERROR(__xludf.DUMMYFUNCTION("""COMPUTED_VALUE"""),"20250822_RIDI_土曜日の秘め事～上司と僕のキケンな服従契約～【タテヨミ】")</f>
        <v>20250822_RIDI_土曜日の秘め事～上司と僕のキケンな服従契約～【タテヨミ】</v>
      </c>
      <c r="T3847" s="22" t="str">
        <f>IFERROR(__xludf.DUMMYFUNCTION("""COMPUTED_VALUE"""),"格納済み")</f>
        <v>格納済み</v>
      </c>
      <c r="U3847" s="9" t="str">
        <f>IFERROR(__xludf.DUMMYFUNCTION("""COMPUTED_VALUE"""),"ⒸDO.D&amp;Seomonhwa / RIDI")</f>
        <v>ⒸDO.D&amp;Seomonhwa / RIDI</v>
      </c>
      <c r="V3847" s="8"/>
      <c r="W3847" s="8"/>
      <c r="X3847" s="8" t="str">
        <f>IFERROR(__xludf.DUMMYFUNCTION("""COMPUTED_VALUE"""),"有")</f>
        <v>有</v>
      </c>
      <c r="Y3847" s="8" t="str">
        <f>IFERROR(__xludf.DUMMYFUNCTION("""COMPUTED_VALUE"""),"1~3巻無料")</f>
        <v>1~3巻無料</v>
      </c>
      <c r="Z3847" s="7"/>
      <c r="AA3847" s="7"/>
      <c r="AB3847" s="7"/>
    </row>
    <row r="3848" ht="15.75" customHeight="1">
      <c r="A3848" s="26">
        <f>IFERROR(__xludf.DUMMYFUNCTION("""COMPUTED_VALUE"""),6279.0)</f>
        <v>6279</v>
      </c>
      <c r="B3848" s="22" t="str">
        <f>IFERROR(__xludf.DUMMYFUNCTION("""COMPUTED_VALUE"""),"確定")</f>
        <v>確定</v>
      </c>
      <c r="C3848" s="28">
        <f>IFERROR(__xludf.DUMMYFUNCTION("""COMPUTED_VALUE"""),45887.0)</f>
        <v>45887</v>
      </c>
      <c r="D3848" s="28">
        <f>IFERROR(__xludf.DUMMYFUNCTION("""COMPUTED_VALUE"""),45891.0)</f>
        <v>45891</v>
      </c>
      <c r="E3848" s="26">
        <f>IFERROR(__xludf.DUMMYFUNCTION("""COMPUTED_VALUE"""),333029.0)</f>
        <v>333029</v>
      </c>
      <c r="F3848" s="22" t="str">
        <f>IFERROR(__xludf.DUMMYFUNCTION("""COMPUTED_VALUE"""),"公私混同はお断り！【タテヨミ】")</f>
        <v>公私混同はお断り！【タテヨミ】</v>
      </c>
      <c r="G3848" s="20" t="str">
        <f>IFERROR(__xludf.DUMMYFUNCTION("""COMPUTED_VALUE"""),"1～20")</f>
        <v>1～20</v>
      </c>
      <c r="H3848" s="22" t="str">
        <f>IFERROR(__xludf.DUMMYFUNCTION("""COMPUTED_VALUE"""),"HODOT")</f>
        <v>HODOT</v>
      </c>
      <c r="I3848" s="22" t="str">
        <f>IFERROR(__xludf.DUMMYFUNCTION("""COMPUTED_VALUE"""),"BL")</f>
        <v>BL</v>
      </c>
      <c r="J3848" s="22"/>
      <c r="K3848" s="22"/>
      <c r="L3848" s="22" t="str">
        <f>IFERROR(__xludf.DUMMYFUNCTION("""COMPUTED_VALUE"""),"RIDI")</f>
        <v>RIDI</v>
      </c>
      <c r="M3848" s="33">
        <f>IFERROR(__xludf.DUMMYFUNCTION("""COMPUTED_VALUE"""),45911.0)</f>
        <v>45911</v>
      </c>
      <c r="N3848" s="33">
        <f>IFERROR(__xludf.DUMMYFUNCTION("""COMPUTED_VALUE"""),45972.0)</f>
        <v>45972</v>
      </c>
      <c r="O3848" s="20"/>
      <c r="P3848" s="32" t="str">
        <f>IFERROR(__xludf.DUMMYFUNCTION("""COMPUTED_VALUE"""),"可")</f>
        <v>可</v>
      </c>
      <c r="Q3848" s="30"/>
      <c r="R3848" s="22" t="str">
        <f>IFERROR(__xludf.DUMMYFUNCTION("""COMPUTED_VALUE"""),"コミットOK")</f>
        <v>コミットOK</v>
      </c>
      <c r="S3848" s="22" t="str">
        <f>IFERROR(__xludf.DUMMYFUNCTION("""COMPUTED_VALUE"""),"20250822_RIDI_公私混同はお断り!【タテヨミ】")</f>
        <v>20250822_RIDI_公私混同はお断り!【タテヨミ】</v>
      </c>
      <c r="T3848" s="22" t="str">
        <f>IFERROR(__xludf.DUMMYFUNCTION("""COMPUTED_VALUE"""),"格納済み")</f>
        <v>格納済み</v>
      </c>
      <c r="U3848" s="9" t="str">
        <f>IFERROR(__xludf.DUMMYFUNCTION("""COMPUTED_VALUE"""),"ⒸHODOT / RIDI")</f>
        <v>ⒸHODOT / RIDI</v>
      </c>
      <c r="V3848" s="8"/>
      <c r="W3848" s="8"/>
      <c r="X3848" s="8" t="str">
        <f>IFERROR(__xludf.DUMMYFUNCTION("""COMPUTED_VALUE"""),"有")</f>
        <v>有</v>
      </c>
      <c r="Y3848" s="8" t="str">
        <f>IFERROR(__xludf.DUMMYFUNCTION("""COMPUTED_VALUE"""),"2025/9/26まで1～7巻無料")</f>
        <v>2025/9/26まで1～7巻無料</v>
      </c>
      <c r="Z3848" s="7"/>
      <c r="AA3848" s="7"/>
      <c r="AB3848" s="7"/>
    </row>
    <row r="3849" ht="15.75" customHeight="1">
      <c r="A3849" s="26">
        <f>IFERROR(__xludf.DUMMYFUNCTION("""COMPUTED_VALUE"""),6283.0)</f>
        <v>6283</v>
      </c>
      <c r="B3849" s="22" t="str">
        <f>IFERROR(__xludf.DUMMYFUNCTION("""COMPUTED_VALUE"""),"確定")</f>
        <v>確定</v>
      </c>
      <c r="C3849" s="28">
        <f>IFERROR(__xludf.DUMMYFUNCTION("""COMPUTED_VALUE"""),45888.0)</f>
        <v>45888</v>
      </c>
      <c r="D3849" s="28">
        <f>IFERROR(__xludf.DUMMYFUNCTION("""COMPUTED_VALUE"""),45889.0)</f>
        <v>45889</v>
      </c>
      <c r="E3849" s="26">
        <f>IFERROR(__xludf.DUMMYFUNCTION("""COMPUTED_VALUE"""),334289.0)</f>
        <v>334289</v>
      </c>
      <c r="F3849" s="22" t="str">
        <f>IFERROR(__xludf.DUMMYFUNCTION("""COMPUTED_VALUE"""),"推し活はベッドの中で")</f>
        <v>推し活はベッドの中で</v>
      </c>
      <c r="G3849" s="20" t="str">
        <f>IFERROR(__xludf.DUMMYFUNCTION("""COMPUTED_VALUE"""),"1～3")</f>
        <v>1～3</v>
      </c>
      <c r="H3849" s="22" t="str">
        <f>IFERROR(__xludf.DUMMYFUNCTION("""COMPUTED_VALUE"""),"橘えいこ")</f>
        <v>橘えいこ</v>
      </c>
      <c r="I3849" s="22" t="str">
        <f>IFERROR(__xludf.DUMMYFUNCTION("""COMPUTED_VALUE"""),"少女")</f>
        <v>少女</v>
      </c>
      <c r="J3849" s="22"/>
      <c r="K3849" s="22"/>
      <c r="L3849" s="22" t="str">
        <f>IFERROR(__xludf.DUMMYFUNCTION("""COMPUTED_VALUE"""),"集英社")</f>
        <v>集英社</v>
      </c>
      <c r="M3849" s="33">
        <f>IFERROR(__xludf.DUMMYFUNCTION("""COMPUTED_VALUE"""),45908.0)</f>
        <v>45908</v>
      </c>
      <c r="N3849" s="33">
        <f>IFERROR(__xludf.DUMMYFUNCTION("""COMPUTED_VALUE"""),45937.0)</f>
        <v>45937</v>
      </c>
      <c r="O3849" s="20"/>
      <c r="P3849" s="32" t="str">
        <f>IFERROR(__xludf.DUMMYFUNCTION("""COMPUTED_VALUE"""),"可")</f>
        <v>可</v>
      </c>
      <c r="Q3849" s="30"/>
      <c r="R3849" s="22"/>
      <c r="S3849" s="22" t="str">
        <f>IFERROR(__xludf.DUMMYFUNCTION("""COMPUTED_VALUE"""),"20250819_集英社_推し活はベッドの中で")</f>
        <v>20250819_集英社_推し活はベッドの中で</v>
      </c>
      <c r="T3849" s="22" t="str">
        <f>IFERROR(__xludf.DUMMYFUNCTION("""COMPUTED_VALUE"""),"格納済み")</f>
        <v>格納済み</v>
      </c>
      <c r="U3849" s="9" t="str">
        <f>IFERROR(__xludf.DUMMYFUNCTION("""COMPUTED_VALUE"""),"(C)橘えいこ／集英社")</f>
        <v>(C)橘えいこ／集英社</v>
      </c>
      <c r="V3849" s="8"/>
      <c r="W3849" s="8"/>
      <c r="X3849" s="8" t="str">
        <f>IFERROR(__xludf.DUMMYFUNCTION("""COMPUTED_VALUE"""),"有")</f>
        <v>有</v>
      </c>
      <c r="Y3849" s="8" t="str">
        <f>IFERROR(__xludf.DUMMYFUNCTION("""COMPUTED_VALUE"""),"2025/10/7まで1巻無料")</f>
        <v>2025/10/7まで1巻無料</v>
      </c>
      <c r="Z3849" s="7"/>
      <c r="AA3849" s="7"/>
      <c r="AB3849" s="7"/>
    </row>
    <row r="3850" ht="15.75" customHeight="1">
      <c r="A3850" s="26">
        <f>IFERROR(__xludf.DUMMYFUNCTION("""COMPUTED_VALUE"""),6284.0)</f>
        <v>6284</v>
      </c>
      <c r="B3850" s="22" t="str">
        <f>IFERROR(__xludf.DUMMYFUNCTION("""COMPUTED_VALUE"""),"確定")</f>
        <v>確定</v>
      </c>
      <c r="C3850" s="28">
        <f>IFERROR(__xludf.DUMMYFUNCTION("""COMPUTED_VALUE"""),45888.0)</f>
        <v>45888</v>
      </c>
      <c r="D3850" s="28">
        <f>IFERROR(__xludf.DUMMYFUNCTION("""COMPUTED_VALUE"""),45895.0)</f>
        <v>45895</v>
      </c>
      <c r="E3850" s="26">
        <f>IFERROR(__xludf.DUMMYFUNCTION("""COMPUTED_VALUE"""),337519.0)</f>
        <v>337519</v>
      </c>
      <c r="F3850" s="22" t="str">
        <f>IFERROR(__xludf.DUMMYFUNCTION("""COMPUTED_VALUE"""),"ゆきちゃんNTR R版")</f>
        <v>ゆきちゃんNTR R版</v>
      </c>
      <c r="G3850" s="20" t="str">
        <f>IFERROR(__xludf.DUMMYFUNCTION("""COMPUTED_VALUE"""),"1～3")</f>
        <v>1～3</v>
      </c>
      <c r="H3850" s="22" t="str">
        <f>IFERROR(__xludf.DUMMYFUNCTION("""COMPUTED_VALUE"""),"山本ともみつ")</f>
        <v>山本ともみつ</v>
      </c>
      <c r="I3850" s="22" t="str">
        <f>IFERROR(__xludf.DUMMYFUNCTION("""COMPUTED_VALUE"""),"アダルト")</f>
        <v>アダルト</v>
      </c>
      <c r="J3850" s="22"/>
      <c r="K3850" s="22"/>
      <c r="L3850" s="22" t="str">
        <f>IFERROR(__xludf.DUMMYFUNCTION("""COMPUTED_VALUE"""),"ライトリーズン")</f>
        <v>ライトリーズン</v>
      </c>
      <c r="M3850" s="33">
        <f>IFERROR(__xludf.DUMMYFUNCTION("""COMPUTED_VALUE"""),45919.0)</f>
        <v>45919</v>
      </c>
      <c r="N3850" s="33">
        <f>IFERROR(__xludf.DUMMYFUNCTION("""COMPUTED_VALUE"""),46066.0)</f>
        <v>46066</v>
      </c>
      <c r="O3850" s="20"/>
      <c r="P3850" s="32" t="str">
        <f>IFERROR(__xludf.DUMMYFUNCTION("""COMPUTED_VALUE"""),"可")</f>
        <v>可</v>
      </c>
      <c r="Q3850" s="30"/>
      <c r="R3850" s="22" t="str">
        <f>IFERROR(__xludf.DUMMYFUNCTION("""COMPUTED_VALUE"""),"コミットOK")</f>
        <v>コミットOK</v>
      </c>
      <c r="S3850" s="22" t="str">
        <f>IFERROR(__xludf.DUMMYFUNCTION("""COMPUTED_VALUE"""),"20250819_ライトリーズン_ゆきちゃんNTR R版")</f>
        <v>20250819_ライトリーズン_ゆきちゃんNTR R版</v>
      </c>
      <c r="T3850" s="22" t="str">
        <f>IFERROR(__xludf.DUMMYFUNCTION("""COMPUTED_VALUE"""),"格納済み")</f>
        <v>格納済み</v>
      </c>
      <c r="U3850" s="9" t="str">
        <f>IFERROR(__xludf.DUMMYFUNCTION("""COMPUTED_VALUE"""),"（C)山本ともみつ/ライトリーズン")</f>
        <v>（C)山本ともみつ/ライトリーズン</v>
      </c>
      <c r="V3850" s="8"/>
      <c r="W3850" s="8"/>
      <c r="X3850" s="8" t="str">
        <f>IFERROR(__xludf.DUMMYFUNCTION("""COMPUTED_VALUE"""),"有")</f>
        <v>有</v>
      </c>
      <c r="Y3850" s="8" t="str">
        <f>IFERROR(__xludf.DUMMYFUNCTION("""COMPUTED_VALUE"""),"P5まで")</f>
        <v>P5まで</v>
      </c>
      <c r="Z3850" s="7"/>
      <c r="AA3850" s="7"/>
      <c r="AB3850" s="7"/>
    </row>
    <row r="3851" ht="15.75" customHeight="1">
      <c r="A3851" s="26">
        <f>IFERROR(__xludf.DUMMYFUNCTION("""COMPUTED_VALUE"""),6285.0)</f>
        <v>6285</v>
      </c>
      <c r="B3851" s="22" t="str">
        <f>IFERROR(__xludf.DUMMYFUNCTION("""COMPUTED_VALUE"""),"確定")</f>
        <v>確定</v>
      </c>
      <c r="C3851" s="28">
        <f>IFERROR(__xludf.DUMMYFUNCTION("""COMPUTED_VALUE"""),45888.0)</f>
        <v>45888</v>
      </c>
      <c r="D3851" s="28">
        <f>IFERROR(__xludf.DUMMYFUNCTION("""COMPUTED_VALUE"""),45895.0)</f>
        <v>45895</v>
      </c>
      <c r="E3851" s="26">
        <f>IFERROR(__xludf.DUMMYFUNCTION("""COMPUTED_VALUE"""),338253.0)</f>
        <v>338253</v>
      </c>
      <c r="F3851" s="22" t="str">
        <f>IFERROR(__xludf.DUMMYFUNCTION("""COMPUTED_VALUE"""),"かなさんNTR～裏垢男子による裏垢人妻メス堕ち調教～R版")</f>
        <v>かなさんNTR～裏垢男子による裏垢人妻メス堕ち調教～R版</v>
      </c>
      <c r="G3851" s="20" t="str">
        <f>IFERROR(__xludf.DUMMYFUNCTION("""COMPUTED_VALUE"""),"1～3")</f>
        <v>1～3</v>
      </c>
      <c r="H3851" s="22" t="str">
        <f>IFERROR(__xludf.DUMMYFUNCTION("""COMPUTED_VALUE"""),"山本ともみつ")</f>
        <v>山本ともみつ</v>
      </c>
      <c r="I3851" s="22" t="str">
        <f>IFERROR(__xludf.DUMMYFUNCTION("""COMPUTED_VALUE"""),"アダルト")</f>
        <v>アダルト</v>
      </c>
      <c r="J3851" s="22"/>
      <c r="K3851" s="22"/>
      <c r="L3851" s="22" t="str">
        <f>IFERROR(__xludf.DUMMYFUNCTION("""COMPUTED_VALUE"""),"ライトリーズン")</f>
        <v>ライトリーズン</v>
      </c>
      <c r="M3851" s="33">
        <f>IFERROR(__xludf.DUMMYFUNCTION("""COMPUTED_VALUE"""),45933.0)</f>
        <v>45933</v>
      </c>
      <c r="N3851" s="33">
        <f>IFERROR(__xludf.DUMMYFUNCTION("""COMPUTED_VALUE"""),46066.0)</f>
        <v>46066</v>
      </c>
      <c r="O3851" s="20"/>
      <c r="P3851" s="32" t="str">
        <f>IFERROR(__xludf.DUMMYFUNCTION("""COMPUTED_VALUE"""),"可")</f>
        <v>可</v>
      </c>
      <c r="Q3851" s="30"/>
      <c r="R3851" s="22" t="str">
        <f>IFERROR(__xludf.DUMMYFUNCTION("""COMPUTED_VALUE"""),"コミットOK")</f>
        <v>コミットOK</v>
      </c>
      <c r="S3851" s="22" t="str">
        <f>IFERROR(__xludf.DUMMYFUNCTION("""COMPUTED_VALUE"""),"20250819_ライトリーズン_かなさんNTR～裏垢男子による裏垢人妻メス堕ち調教～R版")</f>
        <v>20250819_ライトリーズン_かなさんNTR～裏垢男子による裏垢人妻メス堕ち調教～R版</v>
      </c>
      <c r="T3851" s="22" t="str">
        <f>IFERROR(__xludf.DUMMYFUNCTION("""COMPUTED_VALUE"""),"格納済み")</f>
        <v>格納済み</v>
      </c>
      <c r="U3851" s="9" t="str">
        <f>IFERROR(__xludf.DUMMYFUNCTION("""COMPUTED_VALUE"""),"（C)山本ともみつ/ライトリーズン")</f>
        <v>（C)山本ともみつ/ライトリーズン</v>
      </c>
      <c r="V3851" s="8"/>
      <c r="W3851" s="8"/>
      <c r="X3851" s="8" t="str">
        <f>IFERROR(__xludf.DUMMYFUNCTION("""COMPUTED_VALUE"""),"有")</f>
        <v>有</v>
      </c>
      <c r="Y3851" s="8" t="str">
        <f>IFERROR(__xludf.DUMMYFUNCTION("""COMPUTED_VALUE"""),"2025/2/13まで1巻無料")</f>
        <v>2025/2/13まで1巻無料</v>
      </c>
      <c r="Z3851" s="7"/>
      <c r="AA3851" s="7"/>
      <c r="AB3851" s="7"/>
    </row>
    <row r="3852" ht="15.75" customHeight="1">
      <c r="A3852" s="26">
        <f>IFERROR(__xludf.DUMMYFUNCTION("""COMPUTED_VALUE"""),6286.0)</f>
        <v>6286</v>
      </c>
      <c r="B3852" s="22" t="str">
        <f>IFERROR(__xludf.DUMMYFUNCTION("""COMPUTED_VALUE"""),"確定")</f>
        <v>確定</v>
      </c>
      <c r="C3852" s="28">
        <f>IFERROR(__xludf.DUMMYFUNCTION("""COMPUTED_VALUE"""),45888.0)</f>
        <v>45888</v>
      </c>
      <c r="D3852" s="28">
        <f>IFERROR(__xludf.DUMMYFUNCTION("""COMPUTED_VALUE"""),45895.0)</f>
        <v>45895</v>
      </c>
      <c r="E3852" s="26">
        <f>IFERROR(__xludf.DUMMYFUNCTION("""COMPUTED_VALUE"""),338255.0)</f>
        <v>338255</v>
      </c>
      <c r="F3852" s="22" t="str">
        <f>IFERROR(__xludf.DUMMYFUNCTION("""COMPUTED_VALUE"""),"なおちゃんNTR～好きになった人は、幼なじみのお父さんでした。～R版")</f>
        <v>なおちゃんNTR～好きになった人は、幼なじみのお父さんでした。～R版</v>
      </c>
      <c r="G3852" s="20" t="str">
        <f>IFERROR(__xludf.DUMMYFUNCTION("""COMPUTED_VALUE"""),"1～3")</f>
        <v>1～3</v>
      </c>
      <c r="H3852" s="22" t="str">
        <f>IFERROR(__xludf.DUMMYFUNCTION("""COMPUTED_VALUE"""),"山本ともみつ")</f>
        <v>山本ともみつ</v>
      </c>
      <c r="I3852" s="22" t="str">
        <f>IFERROR(__xludf.DUMMYFUNCTION("""COMPUTED_VALUE"""),"アダルト")</f>
        <v>アダルト</v>
      </c>
      <c r="J3852" s="22"/>
      <c r="K3852" s="22"/>
      <c r="L3852" s="22" t="str">
        <f>IFERROR(__xludf.DUMMYFUNCTION("""COMPUTED_VALUE"""),"ライトリーズン")</f>
        <v>ライトリーズン</v>
      </c>
      <c r="M3852" s="33">
        <f>IFERROR(__xludf.DUMMYFUNCTION("""COMPUTED_VALUE"""),45947.0)</f>
        <v>45947</v>
      </c>
      <c r="N3852" s="33">
        <f>IFERROR(__xludf.DUMMYFUNCTION("""COMPUTED_VALUE"""),46066.0)</f>
        <v>46066</v>
      </c>
      <c r="O3852" s="20"/>
      <c r="P3852" s="32" t="str">
        <f>IFERROR(__xludf.DUMMYFUNCTION("""COMPUTED_VALUE"""),"可")</f>
        <v>可</v>
      </c>
      <c r="Q3852" s="30"/>
      <c r="R3852" s="22" t="str">
        <f>IFERROR(__xludf.DUMMYFUNCTION("""COMPUTED_VALUE"""),"コミットOK")</f>
        <v>コミットOK</v>
      </c>
      <c r="S3852" s="22" t="str">
        <f>IFERROR(__xludf.DUMMYFUNCTION("""COMPUTED_VALUE"""),"20250819_ライトリーズン_なおちゃんNTR～好きになった人は、幼なじみのお父さんでした。～R版")</f>
        <v>20250819_ライトリーズン_なおちゃんNTR～好きになった人は、幼なじみのお父さんでした。～R版</v>
      </c>
      <c r="T3852" s="22" t="str">
        <f>IFERROR(__xludf.DUMMYFUNCTION("""COMPUTED_VALUE"""),"格納済み")</f>
        <v>格納済み</v>
      </c>
      <c r="U3852" s="9" t="str">
        <f>IFERROR(__xludf.DUMMYFUNCTION("""COMPUTED_VALUE"""),"（C)山本ともみつ/ライトリーズン")</f>
        <v>（C)山本ともみつ/ライトリーズン</v>
      </c>
      <c r="V3852" s="8"/>
      <c r="W3852" s="8"/>
      <c r="X3852" s="8" t="str">
        <f>IFERROR(__xludf.DUMMYFUNCTION("""COMPUTED_VALUE"""),"有")</f>
        <v>有</v>
      </c>
      <c r="Y3852" s="8" t="str">
        <f>IFERROR(__xludf.DUMMYFUNCTION("""COMPUTED_VALUE"""),"P5まで")</f>
        <v>P5まで</v>
      </c>
      <c r="Z3852" s="7"/>
      <c r="AA3852" s="7"/>
      <c r="AB3852" s="7"/>
    </row>
    <row r="3853" ht="15.75" customHeight="1">
      <c r="A3853" s="26">
        <f>IFERROR(__xludf.DUMMYFUNCTION("""COMPUTED_VALUE"""),6299.0)</f>
        <v>6299</v>
      </c>
      <c r="B3853" s="22" t="str">
        <f>IFERROR(__xludf.DUMMYFUNCTION("""COMPUTED_VALUE"""),"確定")</f>
        <v>確定</v>
      </c>
      <c r="C3853" s="28">
        <f>IFERROR(__xludf.DUMMYFUNCTION("""COMPUTED_VALUE"""),45889.0)</f>
        <v>45889</v>
      </c>
      <c r="D3853" s="28">
        <f>IFERROR(__xludf.DUMMYFUNCTION("""COMPUTED_VALUE"""),45891.0)</f>
        <v>45891</v>
      </c>
      <c r="E3853" s="26">
        <f>IFERROR(__xludf.DUMMYFUNCTION("""COMPUTED_VALUE"""),335093.0)</f>
        <v>335093</v>
      </c>
      <c r="F3853" s="22" t="str">
        <f>IFERROR(__xludf.DUMMYFUNCTION("""COMPUTED_VALUE"""),"映画は予告編の後に始まる【単話】")</f>
        <v>映画は予告編の後に始まる【単話】</v>
      </c>
      <c r="G3853" s="20" t="str">
        <f>IFERROR(__xludf.DUMMYFUNCTION("""COMPUTED_VALUE"""),"1～8")</f>
        <v>1～8</v>
      </c>
      <c r="H3853" s="22" t="str">
        <f>IFERROR(__xludf.DUMMYFUNCTION("""COMPUTED_VALUE"""),"藤原嗚呼子")</f>
        <v>藤原嗚呼子</v>
      </c>
      <c r="I3853" s="22" t="str">
        <f>IFERROR(__xludf.DUMMYFUNCTION("""COMPUTED_VALUE"""),"青年")</f>
        <v>青年</v>
      </c>
      <c r="J3853" s="22"/>
      <c r="K3853" s="22"/>
      <c r="L3853" s="22" t="str">
        <f>IFERROR(__xludf.DUMMYFUNCTION("""COMPUTED_VALUE"""),"小学館")</f>
        <v>小学館</v>
      </c>
      <c r="M3853" s="33">
        <f>IFERROR(__xludf.DUMMYFUNCTION("""COMPUTED_VALUE"""),45919.0)</f>
        <v>45919</v>
      </c>
      <c r="N3853" s="33">
        <f>IFERROR(__xludf.DUMMYFUNCTION("""COMPUTED_VALUE"""),46009.0)</f>
        <v>46009</v>
      </c>
      <c r="O3853" s="20"/>
      <c r="P3853" s="32" t="str">
        <f>IFERROR(__xludf.DUMMYFUNCTION("""COMPUTED_VALUE"""),"否")</f>
        <v>否</v>
      </c>
      <c r="Q3853" s="30" t="str">
        <f>IFERROR(__xludf.DUMMYFUNCTION("""COMPUTED_VALUE"""),"初回配信巻数変更に伴い、9巻目配信日「9/26」」より出稿いただくよう依頼")</f>
        <v>初回配信巻数変更に伴い、9巻目配信日「9/26」」より出稿いただくよう依頼</v>
      </c>
      <c r="R3853" s="22"/>
      <c r="S3853" s="22" t="str">
        <f>IFERROR(__xludf.DUMMYFUNCTION("""COMPUTED_VALUE"""),"20250820_小学館_映画は予告編の後に始まる【単話】")</f>
        <v>20250820_小学館_映画は予告編の後に始まる【単話】</v>
      </c>
      <c r="T3853" s="22" t="str">
        <f>IFERROR(__xludf.DUMMYFUNCTION("""COMPUTED_VALUE"""),"格納済み")</f>
        <v>格納済み</v>
      </c>
      <c r="U3853" s="9" t="str">
        <f>IFERROR(__xludf.DUMMYFUNCTION("""COMPUTED_VALUE"""),"(C)藤原嗚呼子 / 小学館")</f>
        <v>(C)藤原嗚呼子 / 小学館</v>
      </c>
      <c r="V3853" s="8"/>
      <c r="W3853" s="8"/>
      <c r="X3853" s="8" t="str">
        <f>IFERROR(__xludf.DUMMYFUNCTION("""COMPUTED_VALUE"""),"有")</f>
        <v>有</v>
      </c>
      <c r="Y3853" s="8" t="str">
        <f>IFERROR(__xludf.DUMMYFUNCTION("""COMPUTED_VALUE"""),"2025/12/18まで1巻無料")</f>
        <v>2025/12/18まで1巻無料</v>
      </c>
      <c r="Z3853" s="7"/>
      <c r="AA3853" s="7"/>
      <c r="AB3853" s="7"/>
    </row>
    <row r="3854" ht="15.75" customHeight="1">
      <c r="A3854" s="26">
        <f>IFERROR(__xludf.DUMMYFUNCTION("""COMPUTED_VALUE"""),6300.0)</f>
        <v>6300</v>
      </c>
      <c r="B3854" s="22" t="str">
        <f>IFERROR(__xludf.DUMMYFUNCTION("""COMPUTED_VALUE"""),"確定")</f>
        <v>確定</v>
      </c>
      <c r="C3854" s="28">
        <f>IFERROR(__xludf.DUMMYFUNCTION("""COMPUTED_VALUE"""),45889.0)</f>
        <v>45889</v>
      </c>
      <c r="D3854" s="28">
        <f>IFERROR(__xludf.DUMMYFUNCTION("""COMPUTED_VALUE"""),45890.0)</f>
        <v>45890</v>
      </c>
      <c r="E3854" s="26">
        <f>IFERROR(__xludf.DUMMYFUNCTION("""COMPUTED_VALUE"""),319378.0)</f>
        <v>319378</v>
      </c>
      <c r="F3854" s="22" t="str">
        <f>IFERROR(__xludf.DUMMYFUNCTION("""COMPUTED_VALUE"""),"生贄花嫁は冷酷な狐の神様に溺愛される")</f>
        <v>生贄花嫁は冷酷な狐の神様に溺愛される</v>
      </c>
      <c r="G3854" s="20" t="str">
        <f>IFERROR(__xludf.DUMMYFUNCTION("""COMPUTED_VALUE"""),"1～3")</f>
        <v>1～3</v>
      </c>
      <c r="H3854" s="22" t="str">
        <f>IFERROR(__xludf.DUMMYFUNCTION("""COMPUTED_VALUE"""),"ミヤギ,せあら里奈")</f>
        <v>ミヤギ,せあら里奈</v>
      </c>
      <c r="I3854" s="22" t="str">
        <f>IFERROR(__xludf.DUMMYFUNCTION("""COMPUTED_VALUE"""),"少女マンガ")</f>
        <v>少女マンガ</v>
      </c>
      <c r="J3854" s="22"/>
      <c r="K3854" s="22" t="str">
        <f>IFERROR(__xludf.DUMMYFUNCTION("""COMPUTED_VALUE"""),"トレモア・ロマンス,トレモアcollection")</f>
        <v>トレモア・ロマンス,トレモアcollection</v>
      </c>
      <c r="L3854" s="22" t="str">
        <f>IFERROR(__xludf.DUMMYFUNCTION("""COMPUTED_VALUE"""),"シーモアコミックス（トレモア）")</f>
        <v>シーモアコミックス（トレモア）</v>
      </c>
      <c r="M3854" s="33">
        <f>IFERROR(__xludf.DUMMYFUNCTION("""COMPUTED_VALUE"""),45933.0)</f>
        <v>45933</v>
      </c>
      <c r="N3854" s="33">
        <f>IFERROR(__xludf.DUMMYFUNCTION("""COMPUTED_VALUE"""),2958465.0)</f>
        <v>2958465</v>
      </c>
      <c r="O3854" s="20"/>
      <c r="P3854" s="32" t="str">
        <f>IFERROR(__xludf.DUMMYFUNCTION("""COMPUTED_VALUE"""),"可")</f>
        <v>可</v>
      </c>
      <c r="Q3854" s="30"/>
      <c r="R3854" s="22"/>
      <c r="S3854" s="22" t="str">
        <f>IFERROR(__xludf.DUMMYFUNCTION("""COMPUTED_VALUE"""),"20250820_シーモアコミックス_生贄花嫁は冷酷な狐の神様に溺愛される")</f>
        <v>20250820_シーモアコミックス_生贄花嫁は冷酷な狐の神様に溺愛される</v>
      </c>
      <c r="T3854" s="22" t="str">
        <f>IFERROR(__xludf.DUMMYFUNCTION("""COMPUTED_VALUE"""),"格納済み")</f>
        <v>格納済み</v>
      </c>
      <c r="U3854" s="9" t="str">
        <f>IFERROR(__xludf.DUMMYFUNCTION("""COMPUTED_VALUE"""),"(C) ミヤギ/せあら里奈/シーモアコミックス")</f>
        <v>(C) ミヤギ/せあら里奈/シーモアコミックス</v>
      </c>
      <c r="V3854" s="8"/>
      <c r="W3854" s="8"/>
      <c r="X3854" s="8" t="str">
        <f>IFERROR(__xludf.DUMMYFUNCTION("""COMPUTED_VALUE"""),"有")</f>
        <v>有</v>
      </c>
      <c r="Y3854" s="8" t="str">
        <f>IFERROR(__xludf.DUMMYFUNCTION("""COMPUTED_VALUE"""),"2025/12/31まで1巻無料")</f>
        <v>2025/12/31まで1巻無料</v>
      </c>
      <c r="Z3854" s="7"/>
      <c r="AA3854" s="7"/>
      <c r="AB3854" s="7"/>
    </row>
    <row r="3855" ht="15.75" customHeight="1">
      <c r="A3855" s="26">
        <f>IFERROR(__xludf.DUMMYFUNCTION("""COMPUTED_VALUE"""),6305.0)</f>
        <v>6305</v>
      </c>
      <c r="B3855" s="22" t="str">
        <f>IFERROR(__xludf.DUMMYFUNCTION("""COMPUTED_VALUE"""),"確定")</f>
        <v>確定</v>
      </c>
      <c r="C3855" s="28">
        <f>IFERROR(__xludf.DUMMYFUNCTION("""COMPUTED_VALUE"""),45889.0)</f>
        <v>45889</v>
      </c>
      <c r="D3855" s="28">
        <f>IFERROR(__xludf.DUMMYFUNCTION("""COMPUTED_VALUE"""),45895.0)</f>
        <v>45895</v>
      </c>
      <c r="E3855" s="26">
        <f>IFERROR(__xludf.DUMMYFUNCTION("""COMPUTED_VALUE"""),338176.0)</f>
        <v>338176</v>
      </c>
      <c r="F3855" s="22" t="str">
        <f>IFERROR(__xludf.DUMMYFUNCTION("""COMPUTED_VALUE"""),"狼な執事に今宵食べられる［ばら売り］")</f>
        <v>狼な執事に今宵食べられる［ばら売り］</v>
      </c>
      <c r="G3855" s="20" t="str">
        <f>IFERROR(__xludf.DUMMYFUNCTION("""COMPUTED_VALUE"""),"1～5")</f>
        <v>1～5</v>
      </c>
      <c r="H3855" s="22" t="str">
        <f>IFERROR(__xludf.DUMMYFUNCTION("""COMPUTED_VALUE"""),"七雛あずき")</f>
        <v>七雛あずき</v>
      </c>
      <c r="I3855" s="22" t="str">
        <f>IFERROR(__xludf.DUMMYFUNCTION("""COMPUTED_VALUE"""),"女性")</f>
        <v>女性</v>
      </c>
      <c r="J3855" s="22"/>
      <c r="K3855" s="22" t="str">
        <f>IFERROR(__xludf.DUMMYFUNCTION("""COMPUTED_VALUE"""),"マンガPark")</f>
        <v>マンガPark</v>
      </c>
      <c r="L3855" s="22" t="str">
        <f>IFERROR(__xludf.DUMMYFUNCTION("""COMPUTED_VALUE"""),"白泉社")</f>
        <v>白泉社</v>
      </c>
      <c r="M3855" s="33">
        <f>IFERROR(__xludf.DUMMYFUNCTION("""COMPUTED_VALUE"""),45941.0)</f>
        <v>45941</v>
      </c>
      <c r="N3855" s="33">
        <f>IFERROR(__xludf.DUMMYFUNCTION("""COMPUTED_VALUE"""),46003.0)</f>
        <v>46003</v>
      </c>
      <c r="O3855" s="20"/>
      <c r="P3855" s="32" t="str">
        <f>IFERROR(__xludf.DUMMYFUNCTION("""COMPUTED_VALUE"""),"可")</f>
        <v>可</v>
      </c>
      <c r="Q3855" s="30"/>
      <c r="R3855" s="22"/>
      <c r="S3855" s="22" t="str">
        <f>IFERROR(__xludf.DUMMYFUNCTION("""COMPUTED_VALUE"""),"20250826_白泉社_狼な執事に今宵食べられる")</f>
        <v>20250826_白泉社_狼な執事に今宵食べられる</v>
      </c>
      <c r="T3855" s="22" t="str">
        <f>IFERROR(__xludf.DUMMYFUNCTION("""COMPUTED_VALUE"""),"格納済み")</f>
        <v>格納済み</v>
      </c>
      <c r="U3855" s="9" t="str">
        <f>IFERROR(__xludf.DUMMYFUNCTION("""COMPUTED_VALUE"""),"Ⓒ七雛あずき/白泉社")</f>
        <v>Ⓒ七雛あずき/白泉社</v>
      </c>
      <c r="V3855" s="8"/>
      <c r="W3855" s="8"/>
      <c r="X3855" s="8" t="str">
        <f>IFERROR(__xludf.DUMMYFUNCTION("""COMPUTED_VALUE"""),"有")</f>
        <v>有</v>
      </c>
      <c r="Y3855" s="8" t="str">
        <f>IFERROR(__xludf.DUMMYFUNCTION("""COMPUTED_VALUE"""),"P10まで")</f>
        <v>P10まで</v>
      </c>
      <c r="Z3855" s="7"/>
      <c r="AA3855" s="7"/>
      <c r="AB3855" s="7"/>
    </row>
    <row r="3856" ht="15.75" customHeight="1">
      <c r="A3856" s="26">
        <f>IFERROR(__xludf.DUMMYFUNCTION("""COMPUTED_VALUE"""),6306.0)</f>
        <v>6306</v>
      </c>
      <c r="B3856" s="22" t="str">
        <f>IFERROR(__xludf.DUMMYFUNCTION("""COMPUTED_VALUE"""),"確定")</f>
        <v>確定</v>
      </c>
      <c r="C3856" s="28">
        <f>IFERROR(__xludf.DUMMYFUNCTION("""COMPUTED_VALUE"""),45889.0)</f>
        <v>45889</v>
      </c>
      <c r="D3856" s="28">
        <f>IFERROR(__xludf.DUMMYFUNCTION("""COMPUTED_VALUE"""),45894.0)</f>
        <v>45894</v>
      </c>
      <c r="E3856" s="26">
        <f>IFERROR(__xludf.DUMMYFUNCTION("""COMPUTED_VALUE"""),338177.0)</f>
        <v>338177</v>
      </c>
      <c r="F3856" s="22" t="str">
        <f>IFERROR(__xludf.DUMMYFUNCTION("""COMPUTED_VALUE"""),"寝取られアンジェニカと鬼畜伯爵［ばら売り］")</f>
        <v>寝取られアンジェニカと鬼畜伯爵［ばら売り］</v>
      </c>
      <c r="G3856" s="20" t="str">
        <f>IFERROR(__xludf.DUMMYFUNCTION("""COMPUTED_VALUE"""),"1～4")</f>
        <v>1～4</v>
      </c>
      <c r="H3856" s="22" t="str">
        <f>IFERROR(__xludf.DUMMYFUNCTION("""COMPUTED_VALUE"""),"漫画／木ノ枝純　原作／三毛猫 寅次")</f>
        <v>漫画／木ノ枝純　原作／三毛猫 寅次</v>
      </c>
      <c r="I3856" s="22" t="str">
        <f>IFERROR(__xludf.DUMMYFUNCTION("""COMPUTED_VALUE"""),"女性")</f>
        <v>女性</v>
      </c>
      <c r="J3856" s="22"/>
      <c r="K3856" s="22" t="str">
        <f>IFERROR(__xludf.DUMMYFUNCTION("""COMPUTED_VALUE"""),"マンガPark")</f>
        <v>マンガPark</v>
      </c>
      <c r="L3856" s="22" t="str">
        <f>IFERROR(__xludf.DUMMYFUNCTION("""COMPUTED_VALUE"""),"白泉社")</f>
        <v>白泉社</v>
      </c>
      <c r="M3856" s="33">
        <f>IFERROR(__xludf.DUMMYFUNCTION("""COMPUTED_VALUE"""),45941.0)</f>
        <v>45941</v>
      </c>
      <c r="N3856" s="33">
        <f>IFERROR(__xludf.DUMMYFUNCTION("""COMPUTED_VALUE"""),46155.66666666667)</f>
        <v>46155.66667</v>
      </c>
      <c r="O3856" s="20"/>
      <c r="P3856" s="32" t="str">
        <f>IFERROR(__xludf.DUMMYFUNCTION("""COMPUTED_VALUE"""),"可")</f>
        <v>可</v>
      </c>
      <c r="Q3856" s="30"/>
      <c r="R3856" s="22"/>
      <c r="S3856" s="22" t="str">
        <f>IFERROR(__xludf.DUMMYFUNCTION("""COMPUTED_VALUE"""),"20250822_白泉社_寝取られアンジェニカと鬼畜伯爵")</f>
        <v>20250822_白泉社_寝取られアンジェニカと鬼畜伯爵</v>
      </c>
      <c r="T3856" s="22" t="str">
        <f>IFERROR(__xludf.DUMMYFUNCTION("""COMPUTED_VALUE"""),"格納済み")</f>
        <v>格納済み</v>
      </c>
      <c r="U3856" s="9" t="str">
        <f>IFERROR(__xludf.DUMMYFUNCTION("""COMPUTED_VALUE"""),"(C)木ノ枝純・三毛猫寅次／白泉社")</f>
        <v>(C)木ノ枝純・三毛猫寅次／白泉社</v>
      </c>
      <c r="V3856" s="8"/>
      <c r="W3856" s="8"/>
      <c r="X3856" s="8" t="str">
        <f>IFERROR(__xludf.DUMMYFUNCTION("""COMPUTED_VALUE"""),"有")</f>
        <v>有</v>
      </c>
      <c r="Y3856" s="8" t="str">
        <f>IFERROR(__xludf.DUMMYFUNCTION("""COMPUTED_VALUE"""),"2025/10/24まで1巻無料")</f>
        <v>2025/10/24まで1巻無料</v>
      </c>
      <c r="Z3856" s="7"/>
      <c r="AA3856" s="7"/>
      <c r="AB3856" s="7"/>
    </row>
    <row r="3857" ht="15.75" customHeight="1">
      <c r="A3857" s="26">
        <f>IFERROR(__xludf.DUMMYFUNCTION("""COMPUTED_VALUE"""),6307.0)</f>
        <v>6307</v>
      </c>
      <c r="B3857" s="22" t="str">
        <f>IFERROR(__xludf.DUMMYFUNCTION("""COMPUTED_VALUE"""),"確定")</f>
        <v>確定</v>
      </c>
      <c r="C3857" s="28">
        <f>IFERROR(__xludf.DUMMYFUNCTION("""COMPUTED_VALUE"""),45889.0)</f>
        <v>45889</v>
      </c>
      <c r="D3857" s="28">
        <f>IFERROR(__xludf.DUMMYFUNCTION("""COMPUTED_VALUE"""),45895.0)</f>
        <v>45895</v>
      </c>
      <c r="E3857" s="26">
        <f>IFERROR(__xludf.DUMMYFUNCTION("""COMPUTED_VALUE"""),335105.0)</f>
        <v>335105</v>
      </c>
      <c r="F3857" s="22" t="str">
        <f>IFERROR(__xludf.DUMMYFUNCTION("""COMPUTED_VALUE"""),"「こんなサイズ、入るわけない」外国人の執着しすぎる変態SEX【TL版】")</f>
        <v>「こんなサイズ、入るわけない」外国人の執着しすぎる変態SEX【TL版】</v>
      </c>
      <c r="G3857" s="20" t="str">
        <f>IFERROR(__xludf.DUMMYFUNCTION("""COMPUTED_VALUE"""),"1～3")</f>
        <v>1～3</v>
      </c>
      <c r="H3857" s="22" t="str">
        <f>IFERROR(__xludf.DUMMYFUNCTION("""COMPUTED_VALUE"""),"鮎畑とば")</f>
        <v>鮎畑とば</v>
      </c>
      <c r="I3857" s="22" t="str">
        <f>IFERROR(__xludf.DUMMYFUNCTION("""COMPUTED_VALUE"""),"TL")</f>
        <v>TL</v>
      </c>
      <c r="J3857" s="22"/>
      <c r="K3857" s="22" t="str">
        <f>IFERROR(__xludf.DUMMYFUNCTION("""COMPUTED_VALUE"""),"comicトピア")</f>
        <v>comicトピア</v>
      </c>
      <c r="L3857" s="22" t="str">
        <f>IFERROR(__xludf.DUMMYFUNCTION("""COMPUTED_VALUE"""),"モバイルメディアリサーチ")</f>
        <v>モバイルメディアリサーチ</v>
      </c>
      <c r="M3857" s="33">
        <f>IFERROR(__xludf.DUMMYFUNCTION("""COMPUTED_VALUE"""),45920.0)</f>
        <v>45920</v>
      </c>
      <c r="N3857" s="33">
        <f>IFERROR(__xludf.DUMMYFUNCTION("""COMPUTED_VALUE"""),45950.0)</f>
        <v>45950</v>
      </c>
      <c r="O3857" s="20"/>
      <c r="P3857" s="32" t="str">
        <f>IFERROR(__xludf.DUMMYFUNCTION("""COMPUTED_VALUE"""),"可")</f>
        <v>可</v>
      </c>
      <c r="Q3857" s="30" t="str">
        <f>IFERROR(__xludf.DUMMYFUNCTION("""COMPUTED_VALUE"""),"【アダルト作品扱い】&lt;BR&gt;既に配信中のタイトルをTL版に再編集した【TL版】（TLジャンル）です。")</f>
        <v>【アダルト作品扱い】&lt;BR&gt;既に配信中のタイトルをTL版に再編集した【TL版】（TLジャンル）です。</v>
      </c>
      <c r="R3857" s="22"/>
      <c r="S3857" s="22" t="str">
        <f>IFERROR(__xludf.DUMMYFUNCTION("""COMPUTED_VALUE"""),"20250820_ファンギルド_「こんなサイズ、入るわけない」外国人の執着しすぎる変態SEX【TL版】")</f>
        <v>20250820_ファンギルド_「こんなサイズ、入るわけない」外国人の執着しすぎる変態SEX【TL版】</v>
      </c>
      <c r="T3857" s="22" t="str">
        <f>IFERROR(__xludf.DUMMYFUNCTION("""COMPUTED_VALUE"""),"格納済み")</f>
        <v>格納済み</v>
      </c>
      <c r="U3857" s="9" t="str">
        <f>IFERROR(__xludf.DUMMYFUNCTION("""COMPUTED_VALUE"""),"Ⓒ鮎畑とば/モバイルメディアリサーチ")</f>
        <v>Ⓒ鮎畑とば/モバイルメディアリサーチ</v>
      </c>
      <c r="V3857" s="8"/>
      <c r="W3857" s="8"/>
      <c r="X3857" s="8" t="str">
        <f>IFERROR(__xludf.DUMMYFUNCTION("""COMPUTED_VALUE"""),"有")</f>
        <v>有</v>
      </c>
      <c r="Y3857" s="8" t="str">
        <f>IFERROR(__xludf.DUMMYFUNCTION("""COMPUTED_VALUE"""),"P7まで")</f>
        <v>P7まで</v>
      </c>
      <c r="Z3857" s="7"/>
      <c r="AA3857" s="7"/>
      <c r="AB3857" s="7"/>
    </row>
    <row r="3858" ht="15.75" customHeight="1">
      <c r="A3858" s="26">
        <f>IFERROR(__xludf.DUMMYFUNCTION("""COMPUTED_VALUE"""),6308.0)</f>
        <v>6308</v>
      </c>
      <c r="B3858" s="22" t="str">
        <f>IFERROR(__xludf.DUMMYFUNCTION("""COMPUTED_VALUE"""),"確定")</f>
        <v>確定</v>
      </c>
      <c r="C3858" s="28">
        <f>IFERROR(__xludf.DUMMYFUNCTION("""COMPUTED_VALUE"""),45889.0)</f>
        <v>45889</v>
      </c>
      <c r="D3858" s="28">
        <f>IFERROR(__xludf.DUMMYFUNCTION("""COMPUTED_VALUE"""),45895.0)</f>
        <v>45895</v>
      </c>
      <c r="E3858" s="26">
        <f>IFERROR(__xludf.DUMMYFUNCTION("""COMPUTED_VALUE"""),335099.0)</f>
        <v>335099</v>
      </c>
      <c r="F3858" s="22" t="str">
        <f>IFERROR(__xludf.DUMMYFUNCTION("""COMPUTED_VALUE"""),"「やらしい姿、見てください…」トビラを開けたら、背徳沼。")</f>
        <v>「やらしい姿、見てください…」トビラを開けたら、背徳沼。</v>
      </c>
      <c r="G3858" s="20" t="str">
        <f>IFERROR(__xludf.DUMMYFUNCTION("""COMPUTED_VALUE"""),"1～2")</f>
        <v>1～2</v>
      </c>
      <c r="H3858" s="22" t="str">
        <f>IFERROR(__xludf.DUMMYFUNCTION("""COMPUTED_VALUE"""),"三ツ目るな")</f>
        <v>三ツ目るな</v>
      </c>
      <c r="I3858" s="22" t="str">
        <f>IFERROR(__xludf.DUMMYFUNCTION("""COMPUTED_VALUE"""),"TL")</f>
        <v>TL</v>
      </c>
      <c r="J3858" s="22"/>
      <c r="K3858" s="22" t="str">
        <f>IFERROR(__xludf.DUMMYFUNCTION("""COMPUTED_VALUE"""),"ラブきゅんコミック")</f>
        <v>ラブきゅんコミック</v>
      </c>
      <c r="L3858" s="22" t="str">
        <f>IFERROR(__xludf.DUMMYFUNCTION("""COMPUTED_VALUE"""),"モバイルメディアリサーチ")</f>
        <v>モバイルメディアリサーチ</v>
      </c>
      <c r="M3858" s="33">
        <f>IFERROR(__xludf.DUMMYFUNCTION("""COMPUTED_VALUE"""),45927.0)</f>
        <v>45927</v>
      </c>
      <c r="N3858" s="33">
        <f>IFERROR(__xludf.DUMMYFUNCTION("""COMPUTED_VALUE"""),45954.0)</f>
        <v>45954</v>
      </c>
      <c r="O3858" s="20"/>
      <c r="P3858" s="32" t="str">
        <f>IFERROR(__xludf.DUMMYFUNCTION("""COMPUTED_VALUE"""),"可")</f>
        <v>可</v>
      </c>
      <c r="Q3858" s="30" t="str">
        <f>IFERROR(__xludf.DUMMYFUNCTION("""COMPUTED_VALUE"""),"【アダルト作品扱い】")</f>
        <v>【アダルト作品扱い】</v>
      </c>
      <c r="R3858" s="22"/>
      <c r="S3858" s="22" t="str">
        <f>IFERROR(__xludf.DUMMYFUNCTION("""COMPUTED_VALUE"""),"20250820_ファンギルド_「やらしい姿、見てください…」トビラを開けたら、背徳沼。")</f>
        <v>20250820_ファンギルド_「やらしい姿、見てください…」トビラを開けたら、背徳沼。</v>
      </c>
      <c r="T3858" s="22" t="str">
        <f>IFERROR(__xludf.DUMMYFUNCTION("""COMPUTED_VALUE"""),"格納済み")</f>
        <v>格納済み</v>
      </c>
      <c r="U3858" s="9" t="str">
        <f>IFERROR(__xludf.DUMMYFUNCTION("""COMPUTED_VALUE"""),"Ⓒ三ツ目るな/モバイルメディアリサーチ")</f>
        <v>Ⓒ三ツ目るな/モバイルメディアリサーチ</v>
      </c>
      <c r="V3858" s="8"/>
      <c r="W3858" s="8"/>
      <c r="X3858" s="8" t="str">
        <f>IFERROR(__xludf.DUMMYFUNCTION("""COMPUTED_VALUE"""),"有")</f>
        <v>有</v>
      </c>
      <c r="Y3858" s="8" t="str">
        <f>IFERROR(__xludf.DUMMYFUNCTION("""COMPUTED_VALUE"""),"P7まで")</f>
        <v>P7まで</v>
      </c>
      <c r="Z3858" s="7"/>
      <c r="AA3858" s="7"/>
      <c r="AB3858" s="7"/>
    </row>
    <row r="3859" ht="15.75" customHeight="1">
      <c r="A3859" s="26">
        <f>IFERROR(__xludf.DUMMYFUNCTION("""COMPUTED_VALUE"""),6309.0)</f>
        <v>6309</v>
      </c>
      <c r="B3859" s="22" t="str">
        <f>IFERROR(__xludf.DUMMYFUNCTION("""COMPUTED_VALUE"""),"確定")</f>
        <v>確定</v>
      </c>
      <c r="C3859" s="28">
        <f>IFERROR(__xludf.DUMMYFUNCTION("""COMPUTED_VALUE"""),45889.0)</f>
        <v>45889</v>
      </c>
      <c r="D3859" s="28">
        <f>IFERROR(__xludf.DUMMYFUNCTION("""COMPUTED_VALUE"""),45890.0)</f>
        <v>45890</v>
      </c>
      <c r="E3859" s="26">
        <f>IFERROR(__xludf.DUMMYFUNCTION("""COMPUTED_VALUE"""),335107.0)</f>
        <v>335107</v>
      </c>
      <c r="F3859" s="22" t="str">
        <f>IFERROR(__xludf.DUMMYFUNCTION("""COMPUTED_VALUE"""),"「奥さんのコト、僕が寝取りますね」レス妻を雌にさせる外国人の執着ピストン")</f>
        <v>「奥さんのコト、僕が寝取りますね」レス妻を雌にさせる外国人の執着ピストン</v>
      </c>
      <c r="G3859" s="20" t="str">
        <f>IFERROR(__xludf.DUMMYFUNCTION("""COMPUTED_VALUE"""),"1～3")</f>
        <v>1～3</v>
      </c>
      <c r="H3859" s="22" t="str">
        <f>IFERROR(__xludf.DUMMYFUNCTION("""COMPUTED_VALUE"""),"さくらい とき")</f>
        <v>さくらい とき</v>
      </c>
      <c r="I3859" s="22" t="str">
        <f>IFERROR(__xludf.DUMMYFUNCTION("""COMPUTED_VALUE"""),"アダルトマンガ")</f>
        <v>アダルトマンガ</v>
      </c>
      <c r="J3859" s="22"/>
      <c r="K3859" s="22" t="str">
        <f>IFERROR(__xludf.DUMMYFUNCTION("""COMPUTED_VALUE"""),"comicトピア")</f>
        <v>comicトピア</v>
      </c>
      <c r="L3859" s="22" t="str">
        <f>IFERROR(__xludf.DUMMYFUNCTION("""COMPUTED_VALUE"""),"モバイルメディアリサーチ")</f>
        <v>モバイルメディアリサーチ</v>
      </c>
      <c r="M3859" s="33">
        <f>IFERROR(__xludf.DUMMYFUNCTION("""COMPUTED_VALUE"""),45920.0)</f>
        <v>45920</v>
      </c>
      <c r="N3859" s="33">
        <f>IFERROR(__xludf.DUMMYFUNCTION("""COMPUTED_VALUE"""),45953.0)</f>
        <v>45953</v>
      </c>
      <c r="O3859" s="20"/>
      <c r="P3859" s="32" t="str">
        <f>IFERROR(__xludf.DUMMYFUNCTION("""COMPUTED_VALUE"""),"可")</f>
        <v>可</v>
      </c>
      <c r="Q3859" s="30"/>
      <c r="R3859" s="22"/>
      <c r="S3859" s="22" t="str">
        <f>IFERROR(__xludf.DUMMYFUNCTION("""COMPUTED_VALUE"""),"20250820_ファンギルド_「奥さんのコト、僕が寝取りますね」レス妻を雌にさせる外国人の執着ピストン")</f>
        <v>20250820_ファンギルド_「奥さんのコト、僕が寝取りますね」レス妻を雌にさせる外国人の執着ピストン</v>
      </c>
      <c r="T3859" s="22" t="str">
        <f>IFERROR(__xludf.DUMMYFUNCTION("""COMPUTED_VALUE"""),"格納済み")</f>
        <v>格納済み</v>
      </c>
      <c r="U3859" s="9" t="str">
        <f>IFERROR(__xludf.DUMMYFUNCTION("""COMPUTED_VALUE"""),"Ⓒさくらい とき/モバイルメディアリサーチ")</f>
        <v>Ⓒさくらい とき/モバイルメディアリサーチ</v>
      </c>
      <c r="V3859" s="8"/>
      <c r="W3859" s="8"/>
      <c r="X3859" s="8" t="str">
        <f>IFERROR(__xludf.DUMMYFUNCTION("""COMPUTED_VALUE"""),"有")</f>
        <v>有</v>
      </c>
      <c r="Y3859" s="8" t="str">
        <f>IFERROR(__xludf.DUMMYFUNCTION("""COMPUTED_VALUE"""),"P6まで")</f>
        <v>P6まで</v>
      </c>
      <c r="Z3859" s="7"/>
      <c r="AA3859" s="7"/>
      <c r="AB3859" s="7"/>
    </row>
    <row r="3860" ht="15.75" customHeight="1">
      <c r="A3860" s="26">
        <f>IFERROR(__xludf.DUMMYFUNCTION("""COMPUTED_VALUE"""),6310.0)</f>
        <v>6310</v>
      </c>
      <c r="B3860" s="22" t="str">
        <f>IFERROR(__xludf.DUMMYFUNCTION("""COMPUTED_VALUE"""),"確定")</f>
        <v>確定</v>
      </c>
      <c r="C3860" s="28">
        <f>IFERROR(__xludf.DUMMYFUNCTION("""COMPUTED_VALUE"""),45889.0)</f>
        <v>45889</v>
      </c>
      <c r="D3860" s="28">
        <f>IFERROR(__xludf.DUMMYFUNCTION("""COMPUTED_VALUE"""),45895.0)</f>
        <v>45895</v>
      </c>
      <c r="E3860" s="26">
        <f>IFERROR(__xludf.DUMMYFUNCTION("""COMPUTED_VALUE"""),335101.0)</f>
        <v>335101</v>
      </c>
      <c r="F3860" s="22" t="str">
        <f>IFERROR(__xludf.DUMMYFUNCTION("""COMPUTED_VALUE"""),"「俺のがずっと欲しかったんだろ？」変態上司の止まらない淫語に絶頂し続ける一ヵ月【TL版】")</f>
        <v>「俺のがずっと欲しかったんだろ？」変態上司の止まらない淫語に絶頂し続ける一ヵ月【TL版】</v>
      </c>
      <c r="G3860" s="20" t="str">
        <f>IFERROR(__xludf.DUMMYFUNCTION("""COMPUTED_VALUE"""),"1～4")</f>
        <v>1～4</v>
      </c>
      <c r="H3860" s="22" t="str">
        <f>IFERROR(__xludf.DUMMYFUNCTION("""COMPUTED_VALUE"""),"つかさ")</f>
        <v>つかさ</v>
      </c>
      <c r="I3860" s="22" t="str">
        <f>IFERROR(__xludf.DUMMYFUNCTION("""COMPUTED_VALUE"""),"TL")</f>
        <v>TL</v>
      </c>
      <c r="J3860" s="22"/>
      <c r="K3860" s="22" t="str">
        <f>IFERROR(__xludf.DUMMYFUNCTION("""COMPUTED_VALUE"""),"comicトピア")</f>
        <v>comicトピア</v>
      </c>
      <c r="L3860" s="22" t="str">
        <f>IFERROR(__xludf.DUMMYFUNCTION("""COMPUTED_VALUE"""),"モバイルメディアリサーチ")</f>
        <v>モバイルメディアリサーチ</v>
      </c>
      <c r="M3860" s="33">
        <f>IFERROR(__xludf.DUMMYFUNCTION("""COMPUTED_VALUE"""),45920.0)</f>
        <v>45920</v>
      </c>
      <c r="N3860" s="33">
        <f>IFERROR(__xludf.DUMMYFUNCTION("""COMPUTED_VALUE"""),45936.0)</f>
        <v>45936</v>
      </c>
      <c r="O3860" s="20"/>
      <c r="P3860" s="32" t="str">
        <f>IFERROR(__xludf.DUMMYFUNCTION("""COMPUTED_VALUE"""),"可")</f>
        <v>可</v>
      </c>
      <c r="Q3860" s="30" t="str">
        <f>IFERROR(__xludf.DUMMYFUNCTION("""COMPUTED_VALUE"""),"【アダルト作品扱い】&lt;BR&gt;既に配信中のタイトルをTL版に再編集した【TL版】（TLジャンル）です。")</f>
        <v>【アダルト作品扱い】&lt;BR&gt;既に配信中のタイトルをTL版に再編集した【TL版】（TLジャンル）です。</v>
      </c>
      <c r="R3860" s="22"/>
      <c r="S3860" s="22" t="str">
        <f>IFERROR(__xludf.DUMMYFUNCTION("""COMPUTED_VALUE"""),"20250820_ファンギルド_「俺のがずっと欲しかったんだろ？」変態上司の止まらない淫語に絶頂し続ける一ヵ月【TL版】")</f>
        <v>20250820_ファンギルド_「俺のがずっと欲しかったんだろ？」変態上司の止まらない淫語に絶頂し続ける一ヵ月【TL版】</v>
      </c>
      <c r="T3860" s="22" t="str">
        <f>IFERROR(__xludf.DUMMYFUNCTION("""COMPUTED_VALUE"""),"格納済み")</f>
        <v>格納済み</v>
      </c>
      <c r="U3860" s="9" t="str">
        <f>IFERROR(__xludf.DUMMYFUNCTION("""COMPUTED_VALUE"""),"Ⓒつかさ/モバイルメディアリサーチ")</f>
        <v>Ⓒつかさ/モバイルメディアリサーチ</v>
      </c>
      <c r="V3860" s="8"/>
      <c r="W3860" s="8"/>
      <c r="X3860" s="8" t="str">
        <f>IFERROR(__xludf.DUMMYFUNCTION("""COMPUTED_VALUE"""),"有")</f>
        <v>有</v>
      </c>
      <c r="Y3860" s="8" t="str">
        <f>IFERROR(__xludf.DUMMYFUNCTION("""COMPUTED_VALUE"""),"P7まで")</f>
        <v>P7まで</v>
      </c>
      <c r="Z3860" s="7"/>
      <c r="AA3860" s="7"/>
      <c r="AB3860" s="7"/>
    </row>
    <row r="3861" ht="15.75" customHeight="1">
      <c r="A3861" s="26">
        <f>IFERROR(__xludf.DUMMYFUNCTION("""COMPUTED_VALUE"""),6311.0)</f>
        <v>6311</v>
      </c>
      <c r="B3861" s="22" t="str">
        <f>IFERROR(__xludf.DUMMYFUNCTION("""COMPUTED_VALUE"""),"確定")</f>
        <v>確定</v>
      </c>
      <c r="C3861" s="28">
        <f>IFERROR(__xludf.DUMMYFUNCTION("""COMPUTED_VALUE"""),45889.0)</f>
        <v>45889</v>
      </c>
      <c r="D3861" s="28">
        <f>IFERROR(__xludf.DUMMYFUNCTION("""COMPUTED_VALUE"""),45895.0)</f>
        <v>45895</v>
      </c>
      <c r="E3861" s="26">
        <f>IFERROR(__xludf.DUMMYFUNCTION("""COMPUTED_VALUE"""),335106.0)</f>
        <v>335106</v>
      </c>
      <c r="F3861" s="22" t="str">
        <f>IFERROR(__xludf.DUMMYFUNCTION("""COMPUTED_VALUE"""),"イリーガル　外道には制裁を")</f>
        <v>イリーガル　外道には制裁を</v>
      </c>
      <c r="G3861" s="20" t="str">
        <f>IFERROR(__xludf.DUMMYFUNCTION("""COMPUTED_VALUE"""),"1～3")</f>
        <v>1～3</v>
      </c>
      <c r="H3861" s="22" t="str">
        <f>IFERROR(__xludf.DUMMYFUNCTION("""COMPUTED_VALUE"""),"アララギ魂")</f>
        <v>アララギ魂</v>
      </c>
      <c r="I3861" s="22" t="str">
        <f>IFERROR(__xludf.DUMMYFUNCTION("""COMPUTED_VALUE"""),"青年")</f>
        <v>青年</v>
      </c>
      <c r="J3861" s="22"/>
      <c r="K3861" s="22"/>
      <c r="L3861" s="22" t="str">
        <f>IFERROR(__xludf.DUMMYFUNCTION("""COMPUTED_VALUE"""),"ファンギルド")</f>
        <v>ファンギルド</v>
      </c>
      <c r="M3861" s="33">
        <f>IFERROR(__xludf.DUMMYFUNCTION("""COMPUTED_VALUE"""),45927.0)</f>
        <v>45927</v>
      </c>
      <c r="N3861" s="33">
        <f>IFERROR(__xludf.DUMMYFUNCTION("""COMPUTED_VALUE"""),45954.0)</f>
        <v>45954</v>
      </c>
      <c r="O3861" s="20"/>
      <c r="P3861" s="32" t="str">
        <f>IFERROR(__xludf.DUMMYFUNCTION("""COMPUTED_VALUE"""),"可")</f>
        <v>可</v>
      </c>
      <c r="Q3861" s="30"/>
      <c r="R3861" s="22"/>
      <c r="S3861" s="22" t="str">
        <f>IFERROR(__xludf.DUMMYFUNCTION("""COMPUTED_VALUE"""),"20250820_ファンギルド_イリーガル　外道には制裁を")</f>
        <v>20250820_ファンギルド_イリーガル　外道には制裁を</v>
      </c>
      <c r="T3861" s="22" t="str">
        <f>IFERROR(__xludf.DUMMYFUNCTION("""COMPUTED_VALUE"""),"格納済み")</f>
        <v>格納済み</v>
      </c>
      <c r="U3861" s="9" t="str">
        <f>IFERROR(__xludf.DUMMYFUNCTION("""COMPUTED_VALUE"""),"Ⓒアララギ魂/ファンギルド")</f>
        <v>Ⓒアララギ魂/ファンギルド</v>
      </c>
      <c r="V3861" s="8"/>
      <c r="W3861" s="8"/>
      <c r="X3861" s="8" t="str">
        <f>IFERROR(__xludf.DUMMYFUNCTION("""COMPUTED_VALUE"""),"有")</f>
        <v>有</v>
      </c>
      <c r="Y3861" s="8" t="str">
        <f>IFERROR(__xludf.DUMMYFUNCTION("""COMPUTED_VALUE"""),"2025/10/10まで1巻無料")</f>
        <v>2025/10/10まで1巻無料</v>
      </c>
      <c r="Z3861" s="7"/>
      <c r="AA3861" s="7"/>
      <c r="AB3861" s="7"/>
    </row>
    <row r="3862" ht="15.75" customHeight="1">
      <c r="A3862" s="26">
        <f>IFERROR(__xludf.DUMMYFUNCTION("""COMPUTED_VALUE"""),6312.0)</f>
        <v>6312</v>
      </c>
      <c r="B3862" s="22" t="str">
        <f>IFERROR(__xludf.DUMMYFUNCTION("""COMPUTED_VALUE"""),"確定")</f>
        <v>確定</v>
      </c>
      <c r="C3862" s="28">
        <f>IFERROR(__xludf.DUMMYFUNCTION("""COMPUTED_VALUE"""),45889.0)</f>
        <v>45889</v>
      </c>
      <c r="D3862" s="28">
        <f>IFERROR(__xludf.DUMMYFUNCTION("""COMPUTED_VALUE"""),45895.0)</f>
        <v>45895</v>
      </c>
      <c r="E3862" s="26">
        <f>IFERROR(__xludf.DUMMYFUNCTION("""COMPUTED_VALUE"""),335098.0)</f>
        <v>335098</v>
      </c>
      <c r="F3862" s="22" t="str">
        <f>IFERROR(__xludf.DUMMYFUNCTION("""COMPUTED_VALUE"""),"スパダリ旦那様は可愛すぎる妻を抱き潰したい")</f>
        <v>スパダリ旦那様は可愛すぎる妻を抱き潰したい</v>
      </c>
      <c r="G3862" s="20" t="str">
        <f>IFERROR(__xludf.DUMMYFUNCTION("""COMPUTED_VALUE"""),"1～2")</f>
        <v>1～2</v>
      </c>
      <c r="H3862" s="22" t="str">
        <f>IFERROR(__xludf.DUMMYFUNCTION("""COMPUTED_VALUE"""),"甘音すいれん")</f>
        <v>甘音すいれん</v>
      </c>
      <c r="I3862" s="22" t="str">
        <f>IFERROR(__xludf.DUMMYFUNCTION("""COMPUTED_VALUE"""),"TL")</f>
        <v>TL</v>
      </c>
      <c r="J3862" s="22"/>
      <c r="K3862" s="22" t="str">
        <f>IFERROR(__xludf.DUMMYFUNCTION("""COMPUTED_VALUE"""),"ラブきゅんコミック")</f>
        <v>ラブきゅんコミック</v>
      </c>
      <c r="L3862" s="22" t="str">
        <f>IFERROR(__xludf.DUMMYFUNCTION("""COMPUTED_VALUE"""),"モバイルメディアリサーチ")</f>
        <v>モバイルメディアリサーチ</v>
      </c>
      <c r="M3862" s="33">
        <f>IFERROR(__xludf.DUMMYFUNCTION("""COMPUTED_VALUE"""),45934.0)</f>
        <v>45934</v>
      </c>
      <c r="N3862" s="33">
        <f>IFERROR(__xludf.DUMMYFUNCTION("""COMPUTED_VALUE"""),45996.0)</f>
        <v>45996</v>
      </c>
      <c r="O3862" s="20"/>
      <c r="P3862" s="32" t="str">
        <f>IFERROR(__xludf.DUMMYFUNCTION("""COMPUTED_VALUE"""),"可")</f>
        <v>可</v>
      </c>
      <c r="Q3862" s="30" t="str">
        <f>IFERROR(__xludf.DUMMYFUNCTION("""COMPUTED_VALUE"""),"【アダルト作品扱い】")</f>
        <v>【アダルト作品扱い】</v>
      </c>
      <c r="R3862" s="22"/>
      <c r="S3862" s="22" t="str">
        <f>IFERROR(__xludf.DUMMYFUNCTION("""COMPUTED_VALUE"""),"20250820_ファンギルド_スパダリ旦那様は可愛すぎる妻を抱き潰したい")</f>
        <v>20250820_ファンギルド_スパダリ旦那様は可愛すぎる妻を抱き潰したい</v>
      </c>
      <c r="T3862" s="22" t="str">
        <f>IFERROR(__xludf.DUMMYFUNCTION("""COMPUTED_VALUE"""),"格納済み")</f>
        <v>格納済み</v>
      </c>
      <c r="U3862" s="9" t="str">
        <f>IFERROR(__xludf.DUMMYFUNCTION("""COMPUTED_VALUE"""),"Ⓒ甘音すいれん/モバイルメディアリサーチ")</f>
        <v>Ⓒ甘音すいれん/モバイルメディアリサーチ</v>
      </c>
      <c r="V3862" s="8"/>
      <c r="W3862" s="8"/>
      <c r="X3862" s="8" t="str">
        <f>IFERROR(__xludf.DUMMYFUNCTION("""COMPUTED_VALUE"""),"有")</f>
        <v>有</v>
      </c>
      <c r="Y3862" s="8" t="str">
        <f>IFERROR(__xludf.DUMMYFUNCTION("""COMPUTED_VALUE"""),"P7まで")</f>
        <v>P7まで</v>
      </c>
      <c r="Z3862" s="7"/>
      <c r="AA3862" s="7"/>
      <c r="AB3862" s="7"/>
    </row>
    <row r="3863" ht="15.75" customHeight="1">
      <c r="A3863" s="26">
        <f>IFERROR(__xludf.DUMMYFUNCTION("""COMPUTED_VALUE"""),6313.0)</f>
        <v>6313</v>
      </c>
      <c r="B3863" s="22" t="str">
        <f>IFERROR(__xludf.DUMMYFUNCTION("""COMPUTED_VALUE"""),"確定")</f>
        <v>確定</v>
      </c>
      <c r="C3863" s="28">
        <f>IFERROR(__xludf.DUMMYFUNCTION("""COMPUTED_VALUE"""),45889.0)</f>
        <v>45889</v>
      </c>
      <c r="D3863" s="28">
        <f>IFERROR(__xludf.DUMMYFUNCTION("""COMPUTED_VALUE"""),45890.0)</f>
        <v>45890</v>
      </c>
      <c r="E3863" s="26">
        <f>IFERROR(__xludf.DUMMYFUNCTION("""COMPUTED_VALUE"""),335117.0)</f>
        <v>335117</v>
      </c>
      <c r="F3863" s="22" t="str">
        <f>IFERROR(__xludf.DUMMYFUNCTION("""COMPUTED_VALUE"""),"愛し子の結婚～偽装契約なのにエリート騎士様が甘すぎる～")</f>
        <v>愛し子の結婚～偽装契約なのにエリート騎士様が甘すぎる～</v>
      </c>
      <c r="G3863" s="20" t="str">
        <f>IFERROR(__xludf.DUMMYFUNCTION("""COMPUTED_VALUE"""),"1～4")</f>
        <v>1～4</v>
      </c>
      <c r="H3863" s="22" t="str">
        <f>IFERROR(__xludf.DUMMYFUNCTION("""COMPUTED_VALUE"""),"大空あいか/露原そら")</f>
        <v>大空あいか/露原そら</v>
      </c>
      <c r="I3863" s="22" t="str">
        <f>IFERROR(__xludf.DUMMYFUNCTION("""COMPUTED_VALUE"""),"少女")</f>
        <v>少女</v>
      </c>
      <c r="J3863" s="22"/>
      <c r="K3863" s="22"/>
      <c r="L3863" s="22" t="str">
        <f>IFERROR(__xludf.DUMMYFUNCTION("""COMPUTED_VALUE"""),"ファンギルド")</f>
        <v>ファンギルド</v>
      </c>
      <c r="M3863" s="33">
        <f>IFERROR(__xludf.DUMMYFUNCTION("""COMPUTED_VALUE"""),45932.0)</f>
        <v>45932</v>
      </c>
      <c r="N3863" s="33">
        <f>IFERROR(__xludf.DUMMYFUNCTION("""COMPUTED_VALUE"""),45994.0)</f>
        <v>45994</v>
      </c>
      <c r="O3863" s="20"/>
      <c r="P3863" s="32" t="str">
        <f>IFERROR(__xludf.DUMMYFUNCTION("""COMPUTED_VALUE"""),"可")</f>
        <v>可</v>
      </c>
      <c r="Q3863" s="30"/>
      <c r="R3863" s="22"/>
      <c r="S3863" s="22" t="str">
        <f>IFERROR(__xludf.DUMMYFUNCTION("""COMPUTED_VALUE"""),"20250820_ファンギルド_愛し子の結婚～偽装契約なのにエリート騎士様が甘すぎる～")</f>
        <v>20250820_ファンギルド_愛し子の結婚～偽装契約なのにエリート騎士様が甘すぎる～</v>
      </c>
      <c r="T3863" s="22" t="str">
        <f>IFERROR(__xludf.DUMMYFUNCTION("""COMPUTED_VALUE"""),"格納済み")</f>
        <v>格納済み</v>
      </c>
      <c r="U3863" s="9" t="str">
        <f>IFERROR(__xludf.DUMMYFUNCTION("""COMPUTED_VALUE"""),"Ⓒ大空あいか/露原そら/ファンギルド")</f>
        <v>Ⓒ大空あいか/露原そら/ファンギルド</v>
      </c>
      <c r="V3863" s="8"/>
      <c r="W3863" s="8"/>
      <c r="X3863" s="8" t="str">
        <f>IFERROR(__xludf.DUMMYFUNCTION("""COMPUTED_VALUE"""),"有")</f>
        <v>有</v>
      </c>
      <c r="Y3863" s="8" t="str">
        <f>IFERROR(__xludf.DUMMYFUNCTION("""COMPUTED_VALUE"""),"P12まで")</f>
        <v>P12まで</v>
      </c>
      <c r="Z3863" s="7"/>
      <c r="AA3863" s="7"/>
      <c r="AB3863" s="7"/>
    </row>
    <row r="3864" ht="15.75" customHeight="1">
      <c r="A3864" s="26">
        <f>IFERROR(__xludf.DUMMYFUNCTION("""COMPUTED_VALUE"""),6314.0)</f>
        <v>6314</v>
      </c>
      <c r="B3864" s="22" t="str">
        <f>IFERROR(__xludf.DUMMYFUNCTION("""COMPUTED_VALUE"""),"確定")</f>
        <v>確定</v>
      </c>
      <c r="C3864" s="28">
        <f>IFERROR(__xludf.DUMMYFUNCTION("""COMPUTED_VALUE"""),45889.0)</f>
        <v>45889</v>
      </c>
      <c r="D3864" s="28">
        <f>IFERROR(__xludf.DUMMYFUNCTION("""COMPUTED_VALUE"""),45895.0)</f>
        <v>45895</v>
      </c>
      <c r="E3864" s="26">
        <f>IFERROR(__xludf.DUMMYFUNCTION("""COMPUTED_VALUE"""),335104.0)</f>
        <v>335104</v>
      </c>
      <c r="F3864" s="22" t="str">
        <f>IFERROR(__xludf.DUMMYFUNCTION("""COMPUTED_VALUE"""),"隠れ巨乳の地味子と職場セックス～挿入したらエロ過ぎてヤリすぎた 【TL版】")</f>
        <v>隠れ巨乳の地味子と職場セックス～挿入したらエロ過ぎてヤリすぎた 【TL版】</v>
      </c>
      <c r="G3864" s="20" t="str">
        <f>IFERROR(__xludf.DUMMYFUNCTION("""COMPUTED_VALUE"""),"1～4")</f>
        <v>1～4</v>
      </c>
      <c r="H3864" s="22" t="str">
        <f>IFERROR(__xludf.DUMMYFUNCTION("""COMPUTED_VALUE"""),"ぶっちぃ")</f>
        <v>ぶっちぃ</v>
      </c>
      <c r="I3864" s="22" t="str">
        <f>IFERROR(__xludf.DUMMYFUNCTION("""COMPUTED_VALUE"""),"TL")</f>
        <v>TL</v>
      </c>
      <c r="J3864" s="22"/>
      <c r="K3864" s="22" t="str">
        <f>IFERROR(__xludf.DUMMYFUNCTION("""COMPUTED_VALUE"""),"comicトピア")</f>
        <v>comicトピア</v>
      </c>
      <c r="L3864" s="22" t="str">
        <f>IFERROR(__xludf.DUMMYFUNCTION("""COMPUTED_VALUE"""),"モバイルメディアリサーチ")</f>
        <v>モバイルメディアリサーチ</v>
      </c>
      <c r="M3864" s="33">
        <f>IFERROR(__xludf.DUMMYFUNCTION("""COMPUTED_VALUE"""),45920.0)</f>
        <v>45920</v>
      </c>
      <c r="N3864" s="33">
        <f>IFERROR(__xludf.DUMMYFUNCTION("""COMPUTED_VALUE"""),45936.0)</f>
        <v>45936</v>
      </c>
      <c r="O3864" s="20"/>
      <c r="P3864" s="32" t="str">
        <f>IFERROR(__xludf.DUMMYFUNCTION("""COMPUTED_VALUE"""),"可")</f>
        <v>可</v>
      </c>
      <c r="Q3864" s="30" t="str">
        <f>IFERROR(__xludf.DUMMYFUNCTION("""COMPUTED_VALUE"""),"【アダルト作品扱い】&lt;BR&gt;既に配信中のタイトルをTL版に再編集した【TL版】（TLジャンル）です。")</f>
        <v>【アダルト作品扱い】&lt;BR&gt;既に配信中のタイトルをTL版に再編集した【TL版】（TLジャンル）です。</v>
      </c>
      <c r="R3864" s="22"/>
      <c r="S3864" s="22" t="str">
        <f>IFERROR(__xludf.DUMMYFUNCTION("""COMPUTED_VALUE"""),"20250820_ファンギルド_隠れ巨乳の地味子と職場セックス～挿入したらエロ過ぎてヤリすぎた 【TL版】")</f>
        <v>20250820_ファンギルド_隠れ巨乳の地味子と職場セックス～挿入したらエロ過ぎてヤリすぎた 【TL版】</v>
      </c>
      <c r="T3864" s="22" t="str">
        <f>IFERROR(__xludf.DUMMYFUNCTION("""COMPUTED_VALUE"""),"格納済み")</f>
        <v>格納済み</v>
      </c>
      <c r="U3864" s="9" t="str">
        <f>IFERROR(__xludf.DUMMYFUNCTION("""COMPUTED_VALUE"""),"Ⓒぶっちぃ/モバイルメディアリサーチ")</f>
        <v>Ⓒぶっちぃ/モバイルメディアリサーチ</v>
      </c>
      <c r="V3864" s="8"/>
      <c r="W3864" s="8"/>
      <c r="X3864" s="8" t="str">
        <f>IFERROR(__xludf.DUMMYFUNCTION("""COMPUTED_VALUE"""),"有")</f>
        <v>有</v>
      </c>
      <c r="Y3864" s="8" t="str">
        <f>IFERROR(__xludf.DUMMYFUNCTION("""COMPUTED_VALUE"""),"P6まで")</f>
        <v>P6まで</v>
      </c>
      <c r="Z3864" s="7"/>
      <c r="AA3864" s="7"/>
      <c r="AB3864" s="7"/>
    </row>
    <row r="3865" ht="15.75" customHeight="1">
      <c r="A3865" s="26">
        <f>IFERROR(__xludf.DUMMYFUNCTION("""COMPUTED_VALUE"""),6315.0)</f>
        <v>6315</v>
      </c>
      <c r="B3865" s="22" t="str">
        <f>IFERROR(__xludf.DUMMYFUNCTION("""COMPUTED_VALUE"""),"確定")</f>
        <v>確定</v>
      </c>
      <c r="C3865" s="28">
        <f>IFERROR(__xludf.DUMMYFUNCTION("""COMPUTED_VALUE"""),45889.0)</f>
        <v>45889</v>
      </c>
      <c r="D3865" s="28">
        <f>IFERROR(__xludf.DUMMYFUNCTION("""COMPUTED_VALUE"""),45891.0)</f>
        <v>45891</v>
      </c>
      <c r="E3865" s="26">
        <f>IFERROR(__xludf.DUMMYFUNCTION("""COMPUTED_VALUE"""),335097.0)</f>
        <v>335097</v>
      </c>
      <c r="F3865" s="22" t="str">
        <f>IFERROR(__xludf.DUMMYFUNCTION("""COMPUTED_VALUE"""),"灰色の庭園で")</f>
        <v>灰色の庭園で</v>
      </c>
      <c r="G3865" s="20">
        <f>IFERROR(__xludf.DUMMYFUNCTION("""COMPUTED_VALUE"""),1.0)</f>
        <v>1</v>
      </c>
      <c r="H3865" s="22" t="str">
        <f>IFERROR(__xludf.DUMMYFUNCTION("""COMPUTED_VALUE"""),"ss")</f>
        <v>ss</v>
      </c>
      <c r="I3865" s="22" t="str">
        <f>IFERROR(__xludf.DUMMYFUNCTION("""COMPUTED_VALUE"""),"BL")</f>
        <v>BL</v>
      </c>
      <c r="J3865" s="22"/>
      <c r="K3865" s="22"/>
      <c r="L3865" s="22" t="str">
        <f>IFERROR(__xludf.DUMMYFUNCTION("""COMPUTED_VALUE"""),"Rush!")</f>
        <v>Rush!</v>
      </c>
      <c r="M3865" s="33">
        <f>IFERROR(__xludf.DUMMYFUNCTION("""COMPUTED_VALUE"""),45940.0)</f>
        <v>45940</v>
      </c>
      <c r="N3865" s="33">
        <f>IFERROR(__xludf.DUMMYFUNCTION("""COMPUTED_VALUE"""),45967.0)</f>
        <v>45967</v>
      </c>
      <c r="O3865" s="20"/>
      <c r="P3865" s="32" t="str">
        <f>IFERROR(__xludf.DUMMYFUNCTION("""COMPUTED_VALUE"""),"可")</f>
        <v>可</v>
      </c>
      <c r="Q3865" s="30"/>
      <c r="R3865" s="22"/>
      <c r="S3865" s="22" t="str">
        <f>IFERROR(__xludf.DUMMYFUNCTION("""COMPUTED_VALUE"""),"20250820_ファンギルド_灰色の庭園で")</f>
        <v>20250820_ファンギルド_灰色の庭園で</v>
      </c>
      <c r="T3865" s="22" t="str">
        <f>IFERROR(__xludf.DUMMYFUNCTION("""COMPUTED_VALUE"""),"格納済み")</f>
        <v>格納済み</v>
      </c>
      <c r="U3865" s="9" t="str">
        <f>IFERROR(__xludf.DUMMYFUNCTION("""COMPUTED_VALUE"""),"Ⓒss/Polarfox")</f>
        <v>Ⓒss/Polarfox</v>
      </c>
      <c r="V3865" s="8"/>
      <c r="W3865" s="8"/>
      <c r="X3865" s="8" t="str">
        <f>IFERROR(__xludf.DUMMYFUNCTION("""COMPUTED_VALUE"""),"有")</f>
        <v>有</v>
      </c>
      <c r="Y3865" s="8" t="str">
        <f>IFERROR(__xludf.DUMMYFUNCTION("""COMPUTED_VALUE"""),"P25まで")</f>
        <v>P25まで</v>
      </c>
      <c r="Z3865" s="7"/>
      <c r="AA3865" s="7"/>
      <c r="AB3865" s="7"/>
    </row>
    <row r="3866" ht="15.75" customHeight="1">
      <c r="A3866" s="26">
        <f>IFERROR(__xludf.DUMMYFUNCTION("""COMPUTED_VALUE"""),6316.0)</f>
        <v>6316</v>
      </c>
      <c r="B3866" s="22" t="str">
        <f>IFERROR(__xludf.DUMMYFUNCTION("""COMPUTED_VALUE"""),"確定")</f>
        <v>確定</v>
      </c>
      <c r="C3866" s="28">
        <f>IFERROR(__xludf.DUMMYFUNCTION("""COMPUTED_VALUE"""),45889.0)</f>
        <v>45889</v>
      </c>
      <c r="D3866" s="28">
        <f>IFERROR(__xludf.DUMMYFUNCTION("""COMPUTED_VALUE"""),45895.0)</f>
        <v>45895</v>
      </c>
      <c r="E3866" s="26">
        <f>IFERROR(__xludf.DUMMYFUNCTION("""COMPUTED_VALUE"""),335116.0)</f>
        <v>335116</v>
      </c>
      <c r="F3866" s="22" t="str">
        <f>IFERROR(__xludf.DUMMYFUNCTION("""COMPUTED_VALUE"""),"妻、交換します")</f>
        <v>妻、交換します</v>
      </c>
      <c r="G3866" s="20" t="str">
        <f>IFERROR(__xludf.DUMMYFUNCTION("""COMPUTED_VALUE"""),"1～3")</f>
        <v>1～3</v>
      </c>
      <c r="H3866" s="22" t="str">
        <f>IFERROR(__xludf.DUMMYFUNCTION("""COMPUTED_VALUE"""),"duck")</f>
        <v>duck</v>
      </c>
      <c r="I3866" s="22" t="str">
        <f>IFERROR(__xludf.DUMMYFUNCTION("""COMPUTED_VALUE"""),"青年")</f>
        <v>青年</v>
      </c>
      <c r="J3866" s="22"/>
      <c r="K3866" s="22"/>
      <c r="L3866" s="22" t="str">
        <f>IFERROR(__xludf.DUMMYFUNCTION("""COMPUTED_VALUE"""),"Rush!")</f>
        <v>Rush!</v>
      </c>
      <c r="M3866" s="33">
        <f>IFERROR(__xludf.DUMMYFUNCTION("""COMPUTED_VALUE"""),45947.0)</f>
        <v>45947</v>
      </c>
      <c r="N3866" s="33">
        <f>IFERROR(__xludf.DUMMYFUNCTION("""COMPUTED_VALUE"""),45974.0)</f>
        <v>45974</v>
      </c>
      <c r="O3866" s="20"/>
      <c r="P3866" s="32" t="str">
        <f>IFERROR(__xludf.DUMMYFUNCTION("""COMPUTED_VALUE"""),"可")</f>
        <v>可</v>
      </c>
      <c r="Q3866" s="30" t="str">
        <f>IFERROR(__xludf.DUMMYFUNCTION("""COMPUTED_VALUE"""),"【アダルト作品扱い】	")</f>
        <v>【アダルト作品扱い】	</v>
      </c>
      <c r="R3866" s="22"/>
      <c r="S3866" s="22" t="str">
        <f>IFERROR(__xludf.DUMMYFUNCTION("""COMPUTED_VALUE"""),"20250820_ファンギルド_妻、交換します")</f>
        <v>20250820_ファンギルド_妻、交換します</v>
      </c>
      <c r="T3866" s="22" t="str">
        <f>IFERROR(__xludf.DUMMYFUNCTION("""COMPUTED_VALUE"""),"格納済み")</f>
        <v>格納済み</v>
      </c>
      <c r="U3866" s="9" t="str">
        <f>IFERROR(__xludf.DUMMYFUNCTION("""COMPUTED_VALUE"""),"Ⓒduck")</f>
        <v>Ⓒduck</v>
      </c>
      <c r="V3866" s="8"/>
      <c r="W3866" s="8"/>
      <c r="X3866" s="8" t="str">
        <f>IFERROR(__xludf.DUMMYFUNCTION("""COMPUTED_VALUE"""),"有")</f>
        <v>有</v>
      </c>
      <c r="Y3866" s="8" t="str">
        <f>IFERROR(__xludf.DUMMYFUNCTION("""COMPUTED_VALUE"""),"2025/11/13まで1巻無料")</f>
        <v>2025/11/13まで1巻無料</v>
      </c>
      <c r="Z3866" s="7"/>
      <c r="AA3866" s="7"/>
      <c r="AB3866" s="7"/>
    </row>
    <row r="3867" ht="15.75" customHeight="1">
      <c r="A3867" s="26">
        <f>IFERROR(__xludf.DUMMYFUNCTION("""COMPUTED_VALUE"""),6317.0)</f>
        <v>6317</v>
      </c>
      <c r="B3867" s="22" t="str">
        <f>IFERROR(__xludf.DUMMYFUNCTION("""COMPUTED_VALUE"""),"確定")</f>
        <v>確定</v>
      </c>
      <c r="C3867" s="28">
        <f>IFERROR(__xludf.DUMMYFUNCTION("""COMPUTED_VALUE"""),45889.0)</f>
        <v>45889</v>
      </c>
      <c r="D3867" s="28">
        <f>IFERROR(__xludf.DUMMYFUNCTION("""COMPUTED_VALUE"""),45895.0)</f>
        <v>45895</v>
      </c>
      <c r="E3867" s="26">
        <f>IFERROR(__xludf.DUMMYFUNCTION("""COMPUTED_VALUE"""),335118.0)</f>
        <v>335118</v>
      </c>
      <c r="F3867" s="22" t="str">
        <f>IFERROR(__xludf.DUMMYFUNCTION("""COMPUTED_VALUE"""),"私をダメにする絶頂マッサージ～欲求不満なOLが〇〇〇施術を受けたら…【TL版】")</f>
        <v>私をダメにする絶頂マッサージ～欲求不満なOLが〇〇〇施術を受けたら…【TL版】</v>
      </c>
      <c r="G3867" s="20" t="str">
        <f>IFERROR(__xludf.DUMMYFUNCTION("""COMPUTED_VALUE"""),"1～3")</f>
        <v>1～3</v>
      </c>
      <c r="H3867" s="22" t="str">
        <f>IFERROR(__xludf.DUMMYFUNCTION("""COMPUTED_VALUE"""),"しぐしろ")</f>
        <v>しぐしろ</v>
      </c>
      <c r="I3867" s="22" t="str">
        <f>IFERROR(__xludf.DUMMYFUNCTION("""COMPUTED_VALUE"""),"TL")</f>
        <v>TL</v>
      </c>
      <c r="J3867" s="22"/>
      <c r="K3867" s="22" t="str">
        <f>IFERROR(__xludf.DUMMYFUNCTION("""COMPUTED_VALUE"""),"comicトピア")</f>
        <v>comicトピア</v>
      </c>
      <c r="L3867" s="22" t="str">
        <f>IFERROR(__xludf.DUMMYFUNCTION("""COMPUTED_VALUE"""),"モバイルメディアリサーチ")</f>
        <v>モバイルメディアリサーチ</v>
      </c>
      <c r="M3867" s="33">
        <f>IFERROR(__xludf.DUMMYFUNCTION("""COMPUTED_VALUE"""),45951.0)</f>
        <v>45951</v>
      </c>
      <c r="N3867" s="33">
        <f>IFERROR(__xludf.DUMMYFUNCTION("""COMPUTED_VALUE"""),2958465.0)</f>
        <v>2958465</v>
      </c>
      <c r="O3867" s="20"/>
      <c r="P3867" s="32" t="str">
        <f>IFERROR(__xludf.DUMMYFUNCTION("""COMPUTED_VALUE"""),"可")</f>
        <v>可</v>
      </c>
      <c r="Q3867" s="30" t="str">
        <f>IFERROR(__xludf.DUMMYFUNCTION("""COMPUTED_VALUE"""),"【アダルト作品扱い】&lt;BR&gt;既に配信中のタイトルをTL版に再編集した【TL版】（TLジャンル）です。")</f>
        <v>【アダルト作品扱い】&lt;BR&gt;既に配信中のタイトルをTL版に再編集した【TL版】（TLジャンル）です。</v>
      </c>
      <c r="R3867" s="22"/>
      <c r="S3867" s="22" t="str">
        <f>IFERROR(__xludf.DUMMYFUNCTION("""COMPUTED_VALUE"""),"20250820_ファンギルド_私をダメにする絶頂マッサージ～欲求不満なOLが〇〇〇施術を受けたら…【TL版】")</f>
        <v>20250820_ファンギルド_私をダメにする絶頂マッサージ～欲求不満なOLが〇〇〇施術を受けたら…【TL版】</v>
      </c>
      <c r="T3867" s="22" t="str">
        <f>IFERROR(__xludf.DUMMYFUNCTION("""COMPUTED_VALUE"""),"格納済み")</f>
        <v>格納済み</v>
      </c>
      <c r="U3867" s="9" t="str">
        <f>IFERROR(__xludf.DUMMYFUNCTION("""COMPUTED_VALUE"""),"Ⓒしぐしろ/モバイルメディアリサーチ")</f>
        <v>Ⓒしぐしろ/モバイルメディアリサーチ</v>
      </c>
      <c r="V3867" s="8"/>
      <c r="W3867" s="8"/>
      <c r="X3867" s="8" t="str">
        <f>IFERROR(__xludf.DUMMYFUNCTION("""COMPUTED_VALUE"""),"有")</f>
        <v>有</v>
      </c>
      <c r="Y3867" s="8" t="str">
        <f>IFERROR(__xludf.DUMMYFUNCTION("""COMPUTED_VALUE"""),"P9まで")</f>
        <v>P9まで</v>
      </c>
      <c r="Z3867" s="7"/>
      <c r="AA3867" s="7"/>
      <c r="AB3867" s="7"/>
    </row>
    <row r="3868" ht="15.75" customHeight="1">
      <c r="A3868" s="26">
        <f>IFERROR(__xludf.DUMMYFUNCTION("""COMPUTED_VALUE"""),6318.0)</f>
        <v>6318</v>
      </c>
      <c r="B3868" s="22" t="str">
        <f>IFERROR(__xludf.DUMMYFUNCTION("""COMPUTED_VALUE"""),"確定")</f>
        <v>確定</v>
      </c>
      <c r="C3868" s="28">
        <f>IFERROR(__xludf.DUMMYFUNCTION("""COMPUTED_VALUE"""),45889.0)</f>
        <v>45889</v>
      </c>
      <c r="D3868" s="28">
        <f>IFERROR(__xludf.DUMMYFUNCTION("""COMPUTED_VALUE"""),45895.0)</f>
        <v>45895</v>
      </c>
      <c r="E3868" s="26">
        <f>IFERROR(__xludf.DUMMYFUNCTION("""COMPUTED_VALUE"""),335111.0)</f>
        <v>335111</v>
      </c>
      <c r="F3868" s="22" t="str">
        <f>IFERROR(__xludf.DUMMYFUNCTION("""COMPUTED_VALUE"""),"執着双子に溺愛されてます")</f>
        <v>執着双子に溺愛されてます</v>
      </c>
      <c r="G3868" s="20" t="str">
        <f>IFERROR(__xludf.DUMMYFUNCTION("""COMPUTED_VALUE"""),"1～3")</f>
        <v>1～3</v>
      </c>
      <c r="H3868" s="22" t="str">
        <f>IFERROR(__xludf.DUMMYFUNCTION("""COMPUTED_VALUE"""),"JiJi/JYUN")</f>
        <v>JiJi/JYUN</v>
      </c>
      <c r="I3868" s="22" t="str">
        <f>IFERROR(__xludf.DUMMYFUNCTION("""COMPUTED_VALUE"""),"女性")</f>
        <v>女性</v>
      </c>
      <c r="J3868" s="22"/>
      <c r="K3868" s="22" t="str">
        <f>IFERROR(__xludf.DUMMYFUNCTION("""COMPUTED_VALUE"""),"comic Lime")</f>
        <v>comic Lime</v>
      </c>
      <c r="L3868" s="22" t="str">
        <f>IFERROR(__xludf.DUMMYFUNCTION("""COMPUTED_VALUE"""),"Rush!")</f>
        <v>Rush!</v>
      </c>
      <c r="M3868" s="33">
        <f>IFERROR(__xludf.DUMMYFUNCTION("""COMPUTED_VALUE"""),45945.0)</f>
        <v>45945</v>
      </c>
      <c r="N3868" s="33">
        <f>IFERROR(__xludf.DUMMYFUNCTION("""COMPUTED_VALUE"""),45972.0)</f>
        <v>45972</v>
      </c>
      <c r="O3868" s="20"/>
      <c r="P3868" s="32" t="str">
        <f>IFERROR(__xludf.DUMMYFUNCTION("""COMPUTED_VALUE"""),"可")</f>
        <v>可</v>
      </c>
      <c r="Q3868" s="30" t="str">
        <f>IFERROR(__xludf.DUMMYFUNCTION("""COMPUTED_VALUE"""),"【アダルト作品扱い】")</f>
        <v>【アダルト作品扱い】</v>
      </c>
      <c r="R3868" s="22"/>
      <c r="S3868" s="22" t="str">
        <f>IFERROR(__xludf.DUMMYFUNCTION("""COMPUTED_VALUE"""),"20250820_ファンギルド_執着双子に溺愛されてます")</f>
        <v>20250820_ファンギルド_執着双子に溺愛されてます</v>
      </c>
      <c r="T3868" s="22" t="str">
        <f>IFERROR(__xludf.DUMMYFUNCTION("""COMPUTED_VALUE"""),"格納済み")</f>
        <v>格納済み</v>
      </c>
      <c r="U3868" s="9" t="str">
        <f>IFERROR(__xludf.DUMMYFUNCTION("""COMPUTED_VALUE"""),"ⒸJiJi/JYUN")</f>
        <v>ⒸJiJi/JYUN</v>
      </c>
      <c r="V3868" s="8"/>
      <c r="W3868" s="8"/>
      <c r="X3868" s="8" t="str">
        <f>IFERROR(__xludf.DUMMYFUNCTION("""COMPUTED_VALUE"""),"有")</f>
        <v>有</v>
      </c>
      <c r="Y3868" s="8" t="str">
        <f>IFERROR(__xludf.DUMMYFUNCTION("""COMPUTED_VALUE"""),"2025/11/11まで1巻無料")</f>
        <v>2025/11/11まで1巻無料</v>
      </c>
      <c r="Z3868" s="7"/>
      <c r="AA3868" s="7"/>
      <c r="AB3868" s="7"/>
    </row>
    <row r="3869" ht="15.75" customHeight="1">
      <c r="A3869" s="26">
        <f>IFERROR(__xludf.DUMMYFUNCTION("""COMPUTED_VALUE"""),6319.0)</f>
        <v>6319</v>
      </c>
      <c r="B3869" s="22" t="str">
        <f>IFERROR(__xludf.DUMMYFUNCTION("""COMPUTED_VALUE"""),"確定")</f>
        <v>確定</v>
      </c>
      <c r="C3869" s="28">
        <f>IFERROR(__xludf.DUMMYFUNCTION("""COMPUTED_VALUE"""),45889.0)</f>
        <v>45889</v>
      </c>
      <c r="D3869" s="28">
        <f>IFERROR(__xludf.DUMMYFUNCTION("""COMPUTED_VALUE"""),45895.0)</f>
        <v>45895</v>
      </c>
      <c r="E3869" s="26">
        <f>IFERROR(__xludf.DUMMYFUNCTION("""COMPUTED_VALUE"""),335113.0)</f>
        <v>335113</v>
      </c>
      <c r="F3869" s="22" t="str">
        <f>IFERROR(__xludf.DUMMYFUNCTION("""COMPUTED_VALUE"""),"執着双子に溺愛されてます【ノーカット版】")</f>
        <v>執着双子に溺愛されてます【ノーカット版】</v>
      </c>
      <c r="G3869" s="20" t="str">
        <f>IFERROR(__xludf.DUMMYFUNCTION("""COMPUTED_VALUE"""),"1～3")</f>
        <v>1～3</v>
      </c>
      <c r="H3869" s="22" t="str">
        <f>IFERROR(__xludf.DUMMYFUNCTION("""COMPUTED_VALUE"""),"JiJi/JYUN")</f>
        <v>JiJi/JYUN</v>
      </c>
      <c r="I3869" s="22" t="str">
        <f>IFERROR(__xludf.DUMMYFUNCTION("""COMPUTED_VALUE"""),"TL")</f>
        <v>TL</v>
      </c>
      <c r="J3869" s="22"/>
      <c r="K3869" s="22" t="str">
        <f>IFERROR(__xludf.DUMMYFUNCTION("""COMPUTED_VALUE"""),"恋愛シロップ")</f>
        <v>恋愛シロップ</v>
      </c>
      <c r="L3869" s="22" t="str">
        <f>IFERROR(__xludf.DUMMYFUNCTION("""COMPUTED_VALUE"""),"Rush!")</f>
        <v>Rush!</v>
      </c>
      <c r="M3869" s="33">
        <f>IFERROR(__xludf.DUMMYFUNCTION("""COMPUTED_VALUE"""),45945.0)</f>
        <v>45945</v>
      </c>
      <c r="N3869" s="33">
        <f>IFERROR(__xludf.DUMMYFUNCTION("""COMPUTED_VALUE"""),45972.0)</f>
        <v>45972</v>
      </c>
      <c r="O3869" s="20"/>
      <c r="P3869" s="32" t="str">
        <f>IFERROR(__xludf.DUMMYFUNCTION("""COMPUTED_VALUE"""),"可")</f>
        <v>可</v>
      </c>
      <c r="Q3869" s="30" t="str">
        <f>IFERROR(__xludf.DUMMYFUNCTION("""COMPUTED_VALUE"""),"【アダルト作品扱い】")</f>
        <v>【アダルト作品扱い】</v>
      </c>
      <c r="R3869" s="22"/>
      <c r="S3869" s="22" t="str">
        <f>IFERROR(__xludf.DUMMYFUNCTION("""COMPUTED_VALUE"""),"20250820_ファンギルド_執着双子に溺愛されてます【ノーカット版】")</f>
        <v>20250820_ファンギルド_執着双子に溺愛されてます【ノーカット版】</v>
      </c>
      <c r="T3869" s="22" t="str">
        <f>IFERROR(__xludf.DUMMYFUNCTION("""COMPUTED_VALUE"""),"格納済み")</f>
        <v>格納済み</v>
      </c>
      <c r="U3869" s="9" t="str">
        <f>IFERROR(__xludf.DUMMYFUNCTION("""COMPUTED_VALUE"""),"ⒸJiJi/JYUN")</f>
        <v>ⒸJiJi/JYUN</v>
      </c>
      <c r="V3869" s="8"/>
      <c r="W3869" s="8"/>
      <c r="X3869" s="8" t="str">
        <f>IFERROR(__xludf.DUMMYFUNCTION("""COMPUTED_VALUE"""),"有")</f>
        <v>有</v>
      </c>
      <c r="Y3869" s="8" t="str">
        <f>IFERROR(__xludf.DUMMYFUNCTION("""COMPUTED_VALUE"""),"2025/11/11まで1巻無料")</f>
        <v>2025/11/11まで1巻無料</v>
      </c>
      <c r="Z3869" s="7"/>
      <c r="AA3869" s="7"/>
      <c r="AB3869" s="7"/>
    </row>
    <row r="3870" ht="15.75" customHeight="1">
      <c r="A3870" s="26">
        <f>IFERROR(__xludf.DUMMYFUNCTION("""COMPUTED_VALUE"""),6320.0)</f>
        <v>6320</v>
      </c>
      <c r="B3870" s="22" t="str">
        <f>IFERROR(__xludf.DUMMYFUNCTION("""COMPUTED_VALUE"""),"確定")</f>
        <v>確定</v>
      </c>
      <c r="C3870" s="28">
        <f>IFERROR(__xludf.DUMMYFUNCTION("""COMPUTED_VALUE"""),45889.0)</f>
        <v>45889</v>
      </c>
      <c r="D3870" s="28">
        <f>IFERROR(__xludf.DUMMYFUNCTION("""COMPUTED_VALUE"""),45891.0)</f>
        <v>45891</v>
      </c>
      <c r="E3870" s="26">
        <f>IFERROR(__xludf.DUMMYFUNCTION("""COMPUTED_VALUE"""),335109.0)</f>
        <v>335109</v>
      </c>
      <c r="F3870" s="22" t="str">
        <f>IFERROR(__xludf.DUMMYFUNCTION("""COMPUTED_VALUE"""),"盗人猛々しいハッスルプレー")</f>
        <v>盗人猛々しいハッスルプレー</v>
      </c>
      <c r="G3870" s="20" t="str">
        <f>IFERROR(__xludf.DUMMYFUNCTION("""COMPUTED_VALUE"""),"1～3")</f>
        <v>1～3</v>
      </c>
      <c r="H3870" s="22" t="str">
        <f>IFERROR(__xludf.DUMMYFUNCTION("""COMPUTED_VALUE"""),"Yakkuk")</f>
        <v>Yakkuk</v>
      </c>
      <c r="I3870" s="22" t="str">
        <f>IFERROR(__xludf.DUMMYFUNCTION("""COMPUTED_VALUE"""),"BL")</f>
        <v>BL</v>
      </c>
      <c r="J3870" s="22"/>
      <c r="K3870" s="22" t="str">
        <f>IFERROR(__xludf.DUMMYFUNCTION("""COMPUTED_VALUE"""),"Blue&amp;")</f>
        <v>Blue&amp;</v>
      </c>
      <c r="L3870" s="22" t="str">
        <f>IFERROR(__xludf.DUMMYFUNCTION("""COMPUTED_VALUE"""),"Rush!")</f>
        <v>Rush!</v>
      </c>
      <c r="M3870" s="33">
        <f>IFERROR(__xludf.DUMMYFUNCTION("""COMPUTED_VALUE"""),45940.0)</f>
        <v>45940</v>
      </c>
      <c r="N3870" s="33">
        <f>IFERROR(__xludf.DUMMYFUNCTION("""COMPUTED_VALUE"""),45967.0)</f>
        <v>45967</v>
      </c>
      <c r="O3870" s="20"/>
      <c r="P3870" s="32" t="str">
        <f>IFERROR(__xludf.DUMMYFUNCTION("""COMPUTED_VALUE"""),"可")</f>
        <v>可</v>
      </c>
      <c r="Q3870" s="30"/>
      <c r="R3870" s="22"/>
      <c r="S3870" s="22" t="str">
        <f>IFERROR(__xludf.DUMMYFUNCTION("""COMPUTED_VALUE"""),"20250820_ファンギルド_盗人猛々しいハッスルプレー")</f>
        <v>20250820_ファンギルド_盗人猛々しいハッスルプレー</v>
      </c>
      <c r="T3870" s="22" t="str">
        <f>IFERROR(__xludf.DUMMYFUNCTION("""COMPUTED_VALUE"""),"格納済み")</f>
        <v>格納済み</v>
      </c>
      <c r="U3870" s="9" t="str">
        <f>IFERROR(__xludf.DUMMYFUNCTION("""COMPUTED_VALUE"""),"ⒸYakkuk/Polarfox")</f>
        <v>ⒸYakkuk/Polarfox</v>
      </c>
      <c r="V3870" s="8"/>
      <c r="W3870" s="8"/>
      <c r="X3870" s="8" t="str">
        <f>IFERROR(__xludf.DUMMYFUNCTION("""COMPUTED_VALUE"""),"有")</f>
        <v>有</v>
      </c>
      <c r="Y3870" s="8" t="str">
        <f>IFERROR(__xludf.DUMMYFUNCTION("""COMPUTED_VALUE"""),"2025/11/6まで1巻無料")</f>
        <v>2025/11/6まで1巻無料</v>
      </c>
      <c r="Z3870" s="7"/>
      <c r="AA3870" s="7"/>
      <c r="AB3870" s="7"/>
    </row>
    <row r="3871" ht="15.75" customHeight="1">
      <c r="A3871" s="26">
        <f>IFERROR(__xludf.DUMMYFUNCTION("""COMPUTED_VALUE"""),6321.0)</f>
        <v>6321</v>
      </c>
      <c r="B3871" s="22" t="str">
        <f>IFERROR(__xludf.DUMMYFUNCTION("""COMPUTED_VALUE"""),"確定")</f>
        <v>確定</v>
      </c>
      <c r="C3871" s="28">
        <f>IFERROR(__xludf.DUMMYFUNCTION("""COMPUTED_VALUE"""),45889.0)</f>
        <v>45889</v>
      </c>
      <c r="D3871" s="28">
        <f>IFERROR(__xludf.DUMMYFUNCTION("""COMPUTED_VALUE"""),45895.0)</f>
        <v>45895</v>
      </c>
      <c r="E3871" s="26">
        <f>IFERROR(__xludf.DUMMYFUNCTION("""COMPUTED_VALUE"""),335100.0)</f>
        <v>335100</v>
      </c>
      <c r="F3871" s="22" t="str">
        <f>IFERROR(__xludf.DUMMYFUNCTION("""COMPUTED_VALUE"""),"復讐のトラップ～今度は俺が仕掛ける番だ")</f>
        <v>復讐のトラップ～今度は俺が仕掛ける番だ</v>
      </c>
      <c r="G3871" s="20">
        <f>IFERROR(__xludf.DUMMYFUNCTION("""COMPUTED_VALUE"""),1.0)</f>
        <v>1</v>
      </c>
      <c r="H3871" s="22" t="str">
        <f>IFERROR(__xludf.DUMMYFUNCTION("""COMPUTED_VALUE"""),"松枝尚嗣")</f>
        <v>松枝尚嗣</v>
      </c>
      <c r="I3871" s="22" t="str">
        <f>IFERROR(__xludf.DUMMYFUNCTION("""COMPUTED_VALUE"""),"青年")</f>
        <v>青年</v>
      </c>
      <c r="J3871" s="22"/>
      <c r="K3871" s="22" t="str">
        <f>IFERROR(__xludf.DUMMYFUNCTION("""COMPUTED_VALUE"""),"コミックアウル")</f>
        <v>コミックアウル</v>
      </c>
      <c r="L3871" s="22" t="str">
        <f>IFERROR(__xludf.DUMMYFUNCTION("""COMPUTED_VALUE"""),"ファンギルド")</f>
        <v>ファンギルド</v>
      </c>
      <c r="M3871" s="33">
        <f>IFERROR(__xludf.DUMMYFUNCTION("""COMPUTED_VALUE"""),45941.0)</f>
        <v>45941</v>
      </c>
      <c r="N3871" s="33">
        <f>IFERROR(__xludf.DUMMYFUNCTION("""COMPUTED_VALUE"""),45968.0)</f>
        <v>45968</v>
      </c>
      <c r="O3871" s="20"/>
      <c r="P3871" s="32" t="str">
        <f>IFERROR(__xludf.DUMMYFUNCTION("""COMPUTED_VALUE"""),"可")</f>
        <v>可</v>
      </c>
      <c r="Q3871" s="30"/>
      <c r="R3871" s="22"/>
      <c r="S3871" s="22" t="str">
        <f>IFERROR(__xludf.DUMMYFUNCTION("""COMPUTED_VALUE"""),"20250820_ファンギルド_復讐のトラップ～今度は俺が仕掛ける番だ")</f>
        <v>20250820_ファンギルド_復讐のトラップ～今度は俺が仕掛ける番だ</v>
      </c>
      <c r="T3871" s="22" t="str">
        <f>IFERROR(__xludf.DUMMYFUNCTION("""COMPUTED_VALUE"""),"格納済み")</f>
        <v>格納済み</v>
      </c>
      <c r="U3871" s="9" t="str">
        <f>IFERROR(__xludf.DUMMYFUNCTION("""COMPUTED_VALUE"""),"Ⓒ松枝尚嗣/ファンギルド")</f>
        <v>Ⓒ松枝尚嗣/ファンギルド</v>
      </c>
      <c r="V3871" s="8"/>
      <c r="W3871" s="8"/>
      <c r="X3871" s="8" t="str">
        <f>IFERROR(__xludf.DUMMYFUNCTION("""COMPUTED_VALUE"""),"有")</f>
        <v>有</v>
      </c>
      <c r="Y3871" s="8" t="str">
        <f>IFERROR(__xludf.DUMMYFUNCTION("""COMPUTED_VALUE"""),"P7まで")</f>
        <v>P7まで</v>
      </c>
      <c r="Z3871" s="7"/>
      <c r="AA3871" s="7"/>
      <c r="AB3871" s="7"/>
    </row>
    <row r="3872" ht="15.75" customHeight="1">
      <c r="A3872" s="26">
        <f>IFERROR(__xludf.DUMMYFUNCTION("""COMPUTED_VALUE"""),6322.0)</f>
        <v>6322</v>
      </c>
      <c r="B3872" s="22" t="str">
        <f>IFERROR(__xludf.DUMMYFUNCTION("""COMPUTED_VALUE"""),"確定")</f>
        <v>確定</v>
      </c>
      <c r="C3872" s="28">
        <f>IFERROR(__xludf.DUMMYFUNCTION("""COMPUTED_VALUE"""),45889.0)</f>
        <v>45889</v>
      </c>
      <c r="D3872" s="28">
        <f>IFERROR(__xludf.DUMMYFUNCTION("""COMPUTED_VALUE"""),45895.0)</f>
        <v>45895</v>
      </c>
      <c r="E3872" s="26">
        <f>IFERROR(__xludf.DUMMYFUNCTION("""COMPUTED_VALUE"""),335095.0)</f>
        <v>335095</v>
      </c>
      <c r="F3872" s="22" t="str">
        <f>IFERROR(__xludf.DUMMYFUNCTION("""COMPUTED_VALUE"""),"目が覚めたら、ライバルの激重愛を浴びてました")</f>
        <v>目が覚めたら、ライバルの激重愛を浴びてました</v>
      </c>
      <c r="G3872" s="20" t="str">
        <f>IFERROR(__xludf.DUMMYFUNCTION("""COMPUTED_VALUE"""),"1～2")</f>
        <v>1～2</v>
      </c>
      <c r="H3872" s="22" t="str">
        <f>IFERROR(__xludf.DUMMYFUNCTION("""COMPUTED_VALUE"""),"千花キハ")</f>
        <v>千花キハ</v>
      </c>
      <c r="I3872" s="22" t="str">
        <f>IFERROR(__xludf.DUMMYFUNCTION("""COMPUTED_VALUE"""),"TL")</f>
        <v>TL</v>
      </c>
      <c r="J3872" s="22"/>
      <c r="K3872" s="22" t="str">
        <f>IFERROR(__xludf.DUMMYFUNCTION("""COMPUTED_VALUE"""),"ラブきゅんコミック")</f>
        <v>ラブきゅんコミック</v>
      </c>
      <c r="L3872" s="22" t="str">
        <f>IFERROR(__xludf.DUMMYFUNCTION("""COMPUTED_VALUE"""),"モバイルメディアリサーチ")</f>
        <v>モバイルメディアリサーチ</v>
      </c>
      <c r="M3872" s="33">
        <f>IFERROR(__xludf.DUMMYFUNCTION("""COMPUTED_VALUE"""),45920.0)</f>
        <v>45920</v>
      </c>
      <c r="N3872" s="33">
        <f>IFERROR(__xludf.DUMMYFUNCTION("""COMPUTED_VALUE"""),45982.0)</f>
        <v>45982</v>
      </c>
      <c r="O3872" s="20"/>
      <c r="P3872" s="32" t="str">
        <f>IFERROR(__xludf.DUMMYFUNCTION("""COMPUTED_VALUE"""),"可")</f>
        <v>可</v>
      </c>
      <c r="Q3872" s="30"/>
      <c r="R3872" s="22"/>
      <c r="S3872" s="22" t="str">
        <f>IFERROR(__xludf.DUMMYFUNCTION("""COMPUTED_VALUE"""),"20250825_ファンギルド_目が覚めたら、ライバルの激重愛を浴びてました")</f>
        <v>20250825_ファンギルド_目が覚めたら、ライバルの激重愛を浴びてました</v>
      </c>
      <c r="T3872" s="22" t="str">
        <f>IFERROR(__xludf.DUMMYFUNCTION("""COMPUTED_VALUE"""),"格納済み")</f>
        <v>格納済み</v>
      </c>
      <c r="U3872" s="9" t="str">
        <f>IFERROR(__xludf.DUMMYFUNCTION("""COMPUTED_VALUE"""),"Ⓒ千花キハ/モバイルメディアリサーチ")</f>
        <v>Ⓒ千花キハ/モバイルメディアリサーチ</v>
      </c>
      <c r="V3872" s="8"/>
      <c r="W3872" s="8"/>
      <c r="X3872" s="8" t="str">
        <f>IFERROR(__xludf.DUMMYFUNCTION("""COMPUTED_VALUE"""),"有")</f>
        <v>有</v>
      </c>
      <c r="Y3872" s="8" t="str">
        <f>IFERROR(__xludf.DUMMYFUNCTION("""COMPUTED_VALUE"""),"P7まで")</f>
        <v>P7まで</v>
      </c>
      <c r="Z3872" s="7"/>
      <c r="AA3872" s="7"/>
      <c r="AB3872" s="7"/>
    </row>
    <row r="3873" ht="15.75" customHeight="1">
      <c r="A3873" s="26">
        <f>IFERROR(__xludf.DUMMYFUNCTION("""COMPUTED_VALUE"""),6339.0)</f>
        <v>6339</v>
      </c>
      <c r="B3873" s="22" t="str">
        <f>IFERROR(__xludf.DUMMYFUNCTION("""COMPUTED_VALUE"""),"確定")</f>
        <v>確定</v>
      </c>
      <c r="C3873" s="28">
        <f>IFERROR(__xludf.DUMMYFUNCTION("""COMPUTED_VALUE"""),45895.0)</f>
        <v>45895</v>
      </c>
      <c r="D3873" s="28">
        <f>IFERROR(__xludf.DUMMYFUNCTION("""COMPUTED_VALUE"""),45895.0)</f>
        <v>45895</v>
      </c>
      <c r="E3873" s="26">
        <f>IFERROR(__xludf.DUMMYFUNCTION("""COMPUTED_VALUE"""),332944.0)</f>
        <v>332944</v>
      </c>
      <c r="F3873" s="22" t="str">
        <f>IFERROR(__xludf.DUMMYFUNCTION("""COMPUTED_VALUE"""),"後宮真贋判定人 【分冊版】")</f>
        <v>後宮真贋判定人 【分冊版】</v>
      </c>
      <c r="G3873" s="20" t="str">
        <f>IFERROR(__xludf.DUMMYFUNCTION("""COMPUTED_VALUE"""),"1～5")</f>
        <v>1～5</v>
      </c>
      <c r="H3873" s="22" t="str">
        <f>IFERROR(__xludf.DUMMYFUNCTION("""COMPUTED_VALUE"""),"原作：おにぎり1000米　作画：ヤタカ")</f>
        <v>原作：おにぎり1000米　作画：ヤタカ</v>
      </c>
      <c r="I3873" s="22" t="str">
        <f>IFERROR(__xludf.DUMMYFUNCTION("""COMPUTED_VALUE"""),"女性")</f>
        <v>女性</v>
      </c>
      <c r="J3873" s="22"/>
      <c r="K3873" s="22"/>
      <c r="L3873" s="22" t="str">
        <f>IFERROR(__xludf.DUMMYFUNCTION("""COMPUTED_VALUE"""),"幻冬舎コミックス")</f>
        <v>幻冬舎コミックス</v>
      </c>
      <c r="M3873" s="33">
        <f>IFERROR(__xludf.DUMMYFUNCTION("""COMPUTED_VALUE"""),45901.0)</f>
        <v>45901</v>
      </c>
      <c r="N3873" s="33">
        <f>IFERROR(__xludf.DUMMYFUNCTION("""COMPUTED_VALUE"""),45991.0)</f>
        <v>45991</v>
      </c>
      <c r="O3873" s="20"/>
      <c r="P3873" s="32" t="str">
        <f>IFERROR(__xludf.DUMMYFUNCTION("""COMPUTED_VALUE"""),"可")</f>
        <v>可</v>
      </c>
      <c r="Q3873" s="30"/>
      <c r="R3873" s="22" t="str">
        <f>IFERROR(__xludf.DUMMYFUNCTION("""COMPUTED_VALUE"""),"コミットOK")</f>
        <v>コミットOK</v>
      </c>
      <c r="S3873" s="22" t="str">
        <f>IFERROR(__xludf.DUMMYFUNCTION("""COMPUTED_VALUE"""),"20250826_幻冬舎コミックス_後宮真贋判定人 【分冊版】")</f>
        <v>20250826_幻冬舎コミックス_後宮真贋判定人 【分冊版】</v>
      </c>
      <c r="T3873" s="22" t="str">
        <f>IFERROR(__xludf.DUMMYFUNCTION("""COMPUTED_VALUE"""),"格納済み")</f>
        <v>格納済み</v>
      </c>
      <c r="U3873" s="9" t="str">
        <f>IFERROR(__xludf.DUMMYFUNCTION("""COMPUTED_VALUE"""),"(C)おにぎり1000米・ヤタカ／幻冬舎コミックス")</f>
        <v>(C)おにぎり1000米・ヤタカ／幻冬舎コミックス</v>
      </c>
      <c r="V3873" s="8"/>
      <c r="W3873" s="8"/>
      <c r="X3873" s="8" t="str">
        <f>IFERROR(__xludf.DUMMYFUNCTION("""COMPUTED_VALUE"""),"有")</f>
        <v>有</v>
      </c>
      <c r="Y3873" s="8" t="str">
        <f>IFERROR(__xludf.DUMMYFUNCTION("""COMPUTED_VALUE"""),"1~2巻無料")</f>
        <v>1~2巻無料</v>
      </c>
      <c r="Z3873" s="7"/>
      <c r="AA3873" s="7"/>
      <c r="AB3873" s="7"/>
    </row>
    <row r="3874" ht="15.75" customHeight="1">
      <c r="A3874" s="26">
        <f>IFERROR(__xludf.DUMMYFUNCTION("""COMPUTED_VALUE"""),6341.0)</f>
        <v>6341</v>
      </c>
      <c r="B3874" s="22" t="str">
        <f>IFERROR(__xludf.DUMMYFUNCTION("""COMPUTED_VALUE"""),"確定")</f>
        <v>確定</v>
      </c>
      <c r="C3874" s="28">
        <f>IFERROR(__xludf.DUMMYFUNCTION("""COMPUTED_VALUE"""),45895.0)</f>
        <v>45895</v>
      </c>
      <c r="D3874" s="28">
        <f>IFERROR(__xludf.DUMMYFUNCTION("""COMPUTED_VALUE"""),45895.0)</f>
        <v>45895</v>
      </c>
      <c r="E3874" s="26">
        <f>IFERROR(__xludf.DUMMYFUNCTION("""COMPUTED_VALUE"""),332945.0)</f>
        <v>332945</v>
      </c>
      <c r="F3874" s="22" t="str">
        <f>IFERROR(__xludf.DUMMYFUNCTION("""COMPUTED_VALUE"""),"蜜月じかけの夜伽番 ～異界の皇子と千一夜～ 【分冊版】")</f>
        <v>蜜月じかけの夜伽番 ～異界の皇子と千一夜～ 【分冊版】</v>
      </c>
      <c r="G3874" s="20" t="str">
        <f>IFERROR(__xludf.DUMMYFUNCTION("""COMPUTED_VALUE"""),"1～5")</f>
        <v>1～5</v>
      </c>
      <c r="H3874" s="22" t="str">
        <f>IFERROR(__xludf.DUMMYFUNCTION("""COMPUTED_VALUE"""),"千々千斗梨")</f>
        <v>千々千斗梨</v>
      </c>
      <c r="I3874" s="22" t="str">
        <f>IFERROR(__xludf.DUMMYFUNCTION("""COMPUTED_VALUE"""),"女性")</f>
        <v>女性</v>
      </c>
      <c r="J3874" s="22"/>
      <c r="K3874" s="22"/>
      <c r="L3874" s="22" t="str">
        <f>IFERROR(__xludf.DUMMYFUNCTION("""COMPUTED_VALUE"""),"幻冬舎コミックス")</f>
        <v>幻冬舎コミックス</v>
      </c>
      <c r="M3874" s="33">
        <f>IFERROR(__xludf.DUMMYFUNCTION("""COMPUTED_VALUE"""),45901.0)</f>
        <v>45901</v>
      </c>
      <c r="N3874" s="33">
        <f>IFERROR(__xludf.DUMMYFUNCTION("""COMPUTED_VALUE"""),45991.0)</f>
        <v>45991</v>
      </c>
      <c r="O3874" s="20"/>
      <c r="P3874" s="32" t="str">
        <f>IFERROR(__xludf.DUMMYFUNCTION("""COMPUTED_VALUE"""),"可")</f>
        <v>可</v>
      </c>
      <c r="Q3874" s="30"/>
      <c r="R3874" s="22" t="str">
        <f>IFERROR(__xludf.DUMMYFUNCTION("""COMPUTED_VALUE"""),"コミットOK")</f>
        <v>コミットOK</v>
      </c>
      <c r="S3874" s="22" t="str">
        <f>IFERROR(__xludf.DUMMYFUNCTION("""COMPUTED_VALUE"""),"20250826_幻冬舎コミックス_蜜月じかけの夜伽番 ～異界の皇子と千一夜～ 【分冊版】")</f>
        <v>20250826_幻冬舎コミックス_蜜月じかけの夜伽番 ～異界の皇子と千一夜～ 【分冊版】</v>
      </c>
      <c r="T3874" s="22" t="str">
        <f>IFERROR(__xludf.DUMMYFUNCTION("""COMPUTED_VALUE"""),"格納済み")</f>
        <v>格納済み</v>
      </c>
      <c r="U3874" s="9" t="str">
        <f>IFERROR(__xludf.DUMMYFUNCTION("""COMPUTED_VALUE"""),"(C)千々千斗梨／幻冬舎コミックス")</f>
        <v>(C)千々千斗梨／幻冬舎コミックス</v>
      </c>
      <c r="V3874" s="8"/>
      <c r="W3874" s="8"/>
      <c r="X3874" s="8" t="str">
        <f>IFERROR(__xludf.DUMMYFUNCTION("""COMPUTED_VALUE"""),"有")</f>
        <v>有</v>
      </c>
      <c r="Y3874" s="8" t="str">
        <f>IFERROR(__xludf.DUMMYFUNCTION("""COMPUTED_VALUE"""),"1~2巻無料")</f>
        <v>1~2巻無料</v>
      </c>
      <c r="Z3874" s="7"/>
      <c r="AA3874" s="7"/>
      <c r="AB3874" s="7"/>
    </row>
    <row r="3875" ht="15.75" customHeight="1">
      <c r="A3875" s="26">
        <f>IFERROR(__xludf.DUMMYFUNCTION("""COMPUTED_VALUE"""),5675.0)</f>
        <v>5675</v>
      </c>
      <c r="B3875" s="22" t="str">
        <f>IFERROR(__xludf.DUMMYFUNCTION("""COMPUTED_VALUE"""),"確定")</f>
        <v>確定</v>
      </c>
      <c r="C3875" s="28">
        <f>IFERROR(__xludf.DUMMYFUNCTION("""COMPUTED_VALUE"""),45805.0)</f>
        <v>45805</v>
      </c>
      <c r="D3875" s="28">
        <f>IFERROR(__xludf.DUMMYFUNCTION("""COMPUTED_VALUE"""),45902.0)</f>
        <v>45902</v>
      </c>
      <c r="E3875" s="26">
        <f>IFERROR(__xludf.DUMMYFUNCTION("""COMPUTED_VALUE"""),336426.0)</f>
        <v>336426</v>
      </c>
      <c r="F3875" s="22" t="str">
        <f>IFERROR(__xludf.DUMMYFUNCTION("""COMPUTED_VALUE"""),"箱入り王子と執事姫　別マ連載版")</f>
        <v>箱入り王子と執事姫　別マ連載版</v>
      </c>
      <c r="G3875" s="20" t="str">
        <f>IFERROR(__xludf.DUMMYFUNCTION("""COMPUTED_VALUE"""),"1～8")</f>
        <v>1～8</v>
      </c>
      <c r="H3875" s="22" t="str">
        <f>IFERROR(__xludf.DUMMYFUNCTION("""COMPUTED_VALUE"""),"桜山結")</f>
        <v>桜山結</v>
      </c>
      <c r="I3875" s="22" t="str">
        <f>IFERROR(__xludf.DUMMYFUNCTION("""COMPUTED_VALUE"""),"少女")</f>
        <v>少女</v>
      </c>
      <c r="J3875" s="22"/>
      <c r="K3875" s="22" t="str">
        <f>IFERROR(__xludf.DUMMYFUNCTION("""COMPUTED_VALUE"""),"別冊マーガレット")</f>
        <v>別冊マーガレット</v>
      </c>
      <c r="L3875" s="22" t="str">
        <f>IFERROR(__xludf.DUMMYFUNCTION("""COMPUTED_VALUE"""),"集英社")</f>
        <v>集英社</v>
      </c>
      <c r="M3875" s="33">
        <f>IFERROR(__xludf.DUMMYFUNCTION("""COMPUTED_VALUE"""),45928.0)</f>
        <v>45928</v>
      </c>
      <c r="N3875" s="33">
        <f>IFERROR(__xludf.DUMMYFUNCTION("""COMPUTED_VALUE"""),45985.0)</f>
        <v>45985</v>
      </c>
      <c r="O3875" s="20"/>
      <c r="P3875" s="32" t="str">
        <f>IFERROR(__xludf.DUMMYFUNCTION("""COMPUTED_VALUE"""),"否")</f>
        <v>否</v>
      </c>
      <c r="Q3875" s="30"/>
      <c r="R3875" s="22" t="str">
        <f>IFERROR(__xludf.DUMMYFUNCTION("""COMPUTED_VALUE"""),"コミットOK")</f>
        <v>コミットOK</v>
      </c>
      <c r="S3875" s="22" t="str">
        <f>IFERROR(__xludf.DUMMYFUNCTION("""COMPUTED_VALUE"""),"20250901_集英社_箱入り王子と執事姫　別マ連載版")</f>
        <v>20250901_集英社_箱入り王子と執事姫　別マ連載版</v>
      </c>
      <c r="T3875" s="22" t="str">
        <f>IFERROR(__xludf.DUMMYFUNCTION("""COMPUTED_VALUE"""),"格納済み")</f>
        <v>格納済み</v>
      </c>
      <c r="U3875" s="9" t="str">
        <f>IFERROR(__xludf.DUMMYFUNCTION("""COMPUTED_VALUE"""),"(c)桜山結／集英社")</f>
        <v>(c)桜山結／集英社</v>
      </c>
      <c r="V3875" s="8"/>
      <c r="W3875" s="8"/>
      <c r="X3875" s="8" t="str">
        <f>IFERROR(__xludf.DUMMYFUNCTION("""COMPUTED_VALUE"""),"有")</f>
        <v>有</v>
      </c>
      <c r="Y3875" s="8" t="str">
        <f>IFERROR(__xludf.DUMMYFUNCTION("""COMPUTED_VALUE"""),"2025/10/27まで1巻無料")</f>
        <v>2025/10/27まで1巻無料</v>
      </c>
      <c r="Z3875" s="7"/>
      <c r="AA3875" s="7"/>
      <c r="AB3875" s="7"/>
    </row>
    <row r="3876" ht="15.75" customHeight="1">
      <c r="A3876" s="26">
        <f>IFERROR(__xludf.DUMMYFUNCTION("""COMPUTED_VALUE"""),5676.0)</f>
        <v>5676</v>
      </c>
      <c r="B3876" s="22" t="str">
        <f>IFERROR(__xludf.DUMMYFUNCTION("""COMPUTED_VALUE"""),"確定")</f>
        <v>確定</v>
      </c>
      <c r="C3876" s="28">
        <f>IFERROR(__xludf.DUMMYFUNCTION("""COMPUTED_VALUE"""),45805.0)</f>
        <v>45805</v>
      </c>
      <c r="D3876" s="28">
        <f>IFERROR(__xludf.DUMMYFUNCTION("""COMPUTED_VALUE"""),45902.0)</f>
        <v>45902</v>
      </c>
      <c r="E3876" s="26">
        <f>IFERROR(__xludf.DUMMYFUNCTION("""COMPUTED_VALUE"""),336424.0)</f>
        <v>336424</v>
      </c>
      <c r="F3876" s="22" t="str">
        <f>IFERROR(__xludf.DUMMYFUNCTION("""COMPUTED_VALUE"""),"ネタバレ禁止の甘宮くん")</f>
        <v>ネタバレ禁止の甘宮くん</v>
      </c>
      <c r="G3876" s="20">
        <f>IFERROR(__xludf.DUMMYFUNCTION("""COMPUTED_VALUE"""),1.0)</f>
        <v>1</v>
      </c>
      <c r="H3876" s="22" t="str">
        <f>IFERROR(__xludf.DUMMYFUNCTION("""COMPUTED_VALUE"""),"三井さや")</f>
        <v>三井さや</v>
      </c>
      <c r="I3876" s="22" t="str">
        <f>IFERROR(__xludf.DUMMYFUNCTION("""COMPUTED_VALUE"""),"少女")</f>
        <v>少女</v>
      </c>
      <c r="J3876" s="22"/>
      <c r="K3876" s="22" t="str">
        <f>IFERROR(__xludf.DUMMYFUNCTION("""COMPUTED_VALUE"""),"別冊マーガレット")</f>
        <v>別冊マーガレット</v>
      </c>
      <c r="L3876" s="22" t="str">
        <f>IFERROR(__xludf.DUMMYFUNCTION("""COMPUTED_VALUE"""),"集英社")</f>
        <v>集英社</v>
      </c>
      <c r="M3876" s="33">
        <f>IFERROR(__xludf.DUMMYFUNCTION("""COMPUTED_VALUE"""),45928.0)</f>
        <v>45928</v>
      </c>
      <c r="N3876" s="33">
        <f>IFERROR(__xludf.DUMMYFUNCTION("""COMPUTED_VALUE"""),45953.0)</f>
        <v>45953</v>
      </c>
      <c r="O3876" s="20"/>
      <c r="P3876" s="32" t="str">
        <f>IFERROR(__xludf.DUMMYFUNCTION("""COMPUTED_VALUE"""),"否")</f>
        <v>否</v>
      </c>
      <c r="Q3876" s="30"/>
      <c r="R3876" s="22" t="str">
        <f>IFERROR(__xludf.DUMMYFUNCTION("""COMPUTED_VALUE"""),"コミットNG")</f>
        <v>コミットNG</v>
      </c>
      <c r="S3876" s="22" t="str">
        <f>IFERROR(__xludf.DUMMYFUNCTION("""COMPUTED_VALUE"""),"20250901_集英社_ネタバレ禁止の甘宮くん")</f>
        <v>20250901_集英社_ネタバレ禁止の甘宮くん</v>
      </c>
      <c r="T3876" s="22" t="str">
        <f>IFERROR(__xludf.DUMMYFUNCTION("""COMPUTED_VALUE"""),"格納済み")</f>
        <v>格納済み</v>
      </c>
      <c r="U3876" s="9" t="str">
        <f>IFERROR(__xludf.DUMMYFUNCTION("""COMPUTED_VALUE"""),"(C)三井さや／集英社")</f>
        <v>(C)三井さや／集英社</v>
      </c>
      <c r="V3876" s="8"/>
      <c r="W3876" s="8"/>
      <c r="X3876" s="8" t="str">
        <f>IFERROR(__xludf.DUMMYFUNCTION("""COMPUTED_VALUE"""),"有")</f>
        <v>有</v>
      </c>
      <c r="Y3876" s="8" t="str">
        <f>IFERROR(__xludf.DUMMYFUNCTION("""COMPUTED_VALUE"""),"P60まで")</f>
        <v>P60まで</v>
      </c>
      <c r="Z3876" s="7"/>
      <c r="AA3876" s="7"/>
      <c r="AB3876" s="7"/>
    </row>
    <row r="3877" ht="15.75" customHeight="1">
      <c r="A3877" s="26">
        <f>IFERROR(__xludf.DUMMYFUNCTION("""COMPUTED_VALUE"""),5994.0)</f>
        <v>5994</v>
      </c>
      <c r="B3877" s="22" t="str">
        <f>IFERROR(__xludf.DUMMYFUNCTION("""COMPUTED_VALUE"""),"確定")</f>
        <v>確定</v>
      </c>
      <c r="C3877" s="28">
        <f>IFERROR(__xludf.DUMMYFUNCTION("""COMPUTED_VALUE"""),45842.0)</f>
        <v>45842</v>
      </c>
      <c r="D3877" s="28">
        <f>IFERROR(__xludf.DUMMYFUNCTION("""COMPUTED_VALUE"""),45903.0)</f>
        <v>45903</v>
      </c>
      <c r="E3877" s="26">
        <f>IFERROR(__xludf.DUMMYFUNCTION("""COMPUTED_VALUE"""),337408.0)</f>
        <v>337408</v>
      </c>
      <c r="F3877" s="22" t="str">
        <f>IFERROR(__xludf.DUMMYFUNCTION("""COMPUTED_VALUE"""),"最速進化のスライム無双～チートスキル＜スライム＞により100倍速でレベルアップして世界最強に～ コミック版（分冊版）")</f>
        <v>最速進化のスライム無双～チートスキル＜スライム＞により100倍速でレベルアップして世界最強に～ コミック版（分冊版）</v>
      </c>
      <c r="G3877" s="20" t="str">
        <f>IFERROR(__xludf.DUMMYFUNCTION("""COMPUTED_VALUE"""),"1～3")</f>
        <v>1～3</v>
      </c>
      <c r="H3877" s="22" t="str">
        <f>IFERROR(__xludf.DUMMYFUNCTION("""COMPUTED_VALUE"""),"野口祥汰,艇駆いいじ,倉澤もこ")</f>
        <v>野口祥汰,艇駆いいじ,倉澤もこ</v>
      </c>
      <c r="I3877" s="22" t="str">
        <f>IFERROR(__xludf.DUMMYFUNCTION("""COMPUTED_VALUE"""),"青年")</f>
        <v>青年</v>
      </c>
      <c r="J3877" s="22"/>
      <c r="K3877" s="22" t="str">
        <f>IFERROR(__xludf.DUMMYFUNCTION("""COMPUTED_VALUE"""),"BKコミックス")</f>
        <v>BKコミックス</v>
      </c>
      <c r="L3877" s="22" t="str">
        <f>IFERROR(__xludf.DUMMYFUNCTION("""COMPUTED_VALUE"""),"ぶんか社")</f>
        <v>ぶんか社</v>
      </c>
      <c r="M3877" s="33">
        <f>IFERROR(__xludf.DUMMYFUNCTION("""COMPUTED_VALUE"""),45933.0)</f>
        <v>45933</v>
      </c>
      <c r="N3877" s="33">
        <f>IFERROR(__xludf.DUMMYFUNCTION("""COMPUTED_VALUE"""),46037.0)</f>
        <v>46037</v>
      </c>
      <c r="O3877" s="20"/>
      <c r="P3877" s="32" t="str">
        <f>IFERROR(__xludf.DUMMYFUNCTION("""COMPUTED_VALUE"""),"可")</f>
        <v>可</v>
      </c>
      <c r="Q3877" s="30"/>
      <c r="R3877" s="22" t="str">
        <f>IFERROR(__xludf.DUMMYFUNCTION("""COMPUTED_VALUE"""),"コミットOK")</f>
        <v>コミットOK</v>
      </c>
      <c r="S3877" s="22" t="str">
        <f>IFERROR(__xludf.DUMMYFUNCTION("""COMPUTED_VALUE"""),"20250903_ぶんか社_最速進化のスライム無双～チートスキル＜スライム＞により100倍速でレベルアップして世界最強に～")</f>
        <v>20250903_ぶんか社_最速進化のスライム無双～チートスキル＜スライム＞により100倍速でレベルアップして世界最強に～</v>
      </c>
      <c r="T3877" s="22" t="str">
        <f>IFERROR(__xludf.DUMMYFUNCTION("""COMPUTED_VALUE"""),"格納済み")</f>
        <v>格納済み</v>
      </c>
      <c r="U3877" s="9" t="str">
        <f>IFERROR(__xludf.DUMMYFUNCTION("""COMPUTED_VALUE"""),"（C）野口祥汰・艇駆いいじ・倉澤もこ/ぶんか社")</f>
        <v>（C）野口祥汰・艇駆いいじ・倉澤もこ/ぶんか社</v>
      </c>
      <c r="V3877" s="8"/>
      <c r="W3877" s="8"/>
      <c r="X3877" s="8" t="str">
        <f>IFERROR(__xludf.DUMMYFUNCTION("""COMPUTED_VALUE"""),"有")</f>
        <v>有</v>
      </c>
      <c r="Y3877" s="8" t="str">
        <f>IFERROR(__xludf.DUMMYFUNCTION("""COMPUTED_VALUE"""),"P21まで")</f>
        <v>P21まで</v>
      </c>
      <c r="Z3877" s="7"/>
      <c r="AA3877" s="7"/>
      <c r="AB3877" s="7"/>
    </row>
    <row r="3878" ht="15.75" customHeight="1">
      <c r="A3878" s="26">
        <f>IFERROR(__xludf.DUMMYFUNCTION("""COMPUTED_VALUE"""),6123.0)</f>
        <v>6123</v>
      </c>
      <c r="B3878" s="22" t="str">
        <f>IFERROR(__xludf.DUMMYFUNCTION("""COMPUTED_VALUE"""),"確定")</f>
        <v>確定</v>
      </c>
      <c r="C3878" s="28">
        <f>IFERROR(__xludf.DUMMYFUNCTION("""COMPUTED_VALUE"""),45861.0)</f>
        <v>45861</v>
      </c>
      <c r="D3878" s="28">
        <f>IFERROR(__xludf.DUMMYFUNCTION("""COMPUTED_VALUE"""),45903.0)</f>
        <v>45903</v>
      </c>
      <c r="E3878" s="26">
        <f>IFERROR(__xludf.DUMMYFUNCTION("""COMPUTED_VALUE"""),338341.0)</f>
        <v>338341</v>
      </c>
      <c r="F3878" s="22" t="str">
        <f>IFERROR(__xludf.DUMMYFUNCTION("""COMPUTED_VALUE"""),"恋する龍神と贄の花嫁")</f>
        <v>恋する龍神と贄の花嫁</v>
      </c>
      <c r="G3878" s="20" t="str">
        <f>IFERROR(__xludf.DUMMYFUNCTION("""COMPUTED_VALUE"""),"1～3")</f>
        <v>1～3</v>
      </c>
      <c r="H3878" s="22" t="str">
        <f>IFERROR(__xludf.DUMMYFUNCTION("""COMPUTED_VALUE"""),"月庭みどり")</f>
        <v>月庭みどり</v>
      </c>
      <c r="I3878" s="22" t="str">
        <f>IFERROR(__xludf.DUMMYFUNCTION("""COMPUTED_VALUE"""),"女性")</f>
        <v>女性</v>
      </c>
      <c r="J3878" s="22"/>
      <c r="K3878" s="22" t="str">
        <f>IFERROR(__xludf.DUMMYFUNCTION("""COMPUTED_VALUE"""),"コイパレ")</f>
        <v>コイパレ</v>
      </c>
      <c r="L3878" s="22" t="str">
        <f>IFERROR(__xludf.DUMMYFUNCTION("""COMPUTED_VALUE"""),"CLLENN")</f>
        <v>CLLENN</v>
      </c>
      <c r="M3878" s="33">
        <f>IFERROR(__xludf.DUMMYFUNCTION("""COMPUTED_VALUE"""),45945.0)</f>
        <v>45945</v>
      </c>
      <c r="N3878" s="33">
        <f>IFERROR(__xludf.DUMMYFUNCTION("""COMPUTED_VALUE"""),46007.0)</f>
        <v>46007</v>
      </c>
      <c r="O3878" s="20"/>
      <c r="P3878" s="32" t="str">
        <f>IFERROR(__xludf.DUMMYFUNCTION("""COMPUTED_VALUE"""),"可")</f>
        <v>可</v>
      </c>
      <c r="Q3878" s="30"/>
      <c r="R3878" s="22" t="str">
        <f>IFERROR(__xludf.DUMMYFUNCTION("""COMPUTED_VALUE"""),"コミットOK")</f>
        <v>コミットOK</v>
      </c>
      <c r="S3878" s="22" t="str">
        <f>IFERROR(__xludf.DUMMYFUNCTION("""COMPUTED_VALUE"""),"20250903_CLLENN_恋する龍神と贄の花嫁")</f>
        <v>20250903_CLLENN_恋する龍神と贄の花嫁</v>
      </c>
      <c r="T3878" s="22" t="str">
        <f>IFERROR(__xludf.DUMMYFUNCTION("""COMPUTED_VALUE"""),"格納済み")</f>
        <v>格納済み</v>
      </c>
      <c r="U3878" s="9" t="str">
        <f>IFERROR(__xludf.DUMMYFUNCTION("""COMPUTED_VALUE"""),"Ⓒ月庭みどり/CLLENN")</f>
        <v>Ⓒ月庭みどり/CLLENN</v>
      </c>
      <c r="V3878" s="8"/>
      <c r="W3878" s="8"/>
      <c r="X3878" s="8" t="str">
        <f>IFERROR(__xludf.DUMMYFUNCTION("""COMPUTED_VALUE"""),"有")</f>
        <v>有</v>
      </c>
      <c r="Y3878" s="8" t="str">
        <f>IFERROR(__xludf.DUMMYFUNCTION("""COMPUTED_VALUE"""),"2025/10/28まで1巻無料")</f>
        <v>2025/10/28まで1巻無料</v>
      </c>
      <c r="Z3878" s="7"/>
      <c r="AA3878" s="7"/>
      <c r="AB3878" s="7"/>
    </row>
    <row r="3879" ht="15.75" customHeight="1">
      <c r="A3879" s="26">
        <f>IFERROR(__xludf.DUMMYFUNCTION("""COMPUTED_VALUE"""),6157.0)</f>
        <v>6157</v>
      </c>
      <c r="B3879" s="22" t="str">
        <f>IFERROR(__xludf.DUMMYFUNCTION("""COMPUTED_VALUE"""),"確定")</f>
        <v>確定</v>
      </c>
      <c r="C3879" s="28">
        <f>IFERROR(__xludf.DUMMYFUNCTION("""COMPUTED_VALUE"""),45867.0)</f>
        <v>45867</v>
      </c>
      <c r="D3879" s="28">
        <f>IFERROR(__xludf.DUMMYFUNCTION("""COMPUTED_VALUE"""),45902.0)</f>
        <v>45902</v>
      </c>
      <c r="E3879" s="26">
        <f>IFERROR(__xludf.DUMMYFUNCTION("""COMPUTED_VALUE"""),336284.0)</f>
        <v>336284</v>
      </c>
      <c r="F3879" s="22" t="str">
        <f>IFERROR(__xludf.DUMMYFUNCTION("""COMPUTED_VALUE"""),"濃蜜同棲　クールな社長の過剰な溺愛【分冊版】")</f>
        <v>濃蜜同棲　クールな社長の過剰な溺愛【分冊版】</v>
      </c>
      <c r="G3879" s="20" t="str">
        <f>IFERROR(__xludf.DUMMYFUNCTION("""COMPUTED_VALUE"""),"1～3")</f>
        <v>1～3</v>
      </c>
      <c r="H3879" s="22" t="str">
        <f>IFERROR(__xludf.DUMMYFUNCTION("""COMPUTED_VALUE"""),"小川つぐみ,有允ひろみ")</f>
        <v>小川つぐみ,有允ひろみ</v>
      </c>
      <c r="I3879" s="22" t="str">
        <f>IFERROR(__xludf.DUMMYFUNCTION("""COMPUTED_VALUE"""),"女性")</f>
        <v>女性</v>
      </c>
      <c r="J3879" s="22"/>
      <c r="K3879" s="22" t="str">
        <f>IFERROR(__xludf.DUMMYFUNCTION("""COMPUTED_VALUE"""),"ルネッタコミックス")</f>
        <v>ルネッタコミックス</v>
      </c>
      <c r="L3879" s="22" t="str">
        <f>IFERROR(__xludf.DUMMYFUNCTION("""COMPUTED_VALUE"""),"ハーパーコリンズ・ジャパン")</f>
        <v>ハーパーコリンズ・ジャパン</v>
      </c>
      <c r="M3879" s="33">
        <f>IFERROR(__xludf.DUMMYFUNCTION("""COMPUTED_VALUE"""),45926.0)</f>
        <v>45926</v>
      </c>
      <c r="N3879" s="33">
        <f>IFERROR(__xludf.DUMMYFUNCTION("""COMPUTED_VALUE"""),45988.0)</f>
        <v>45988</v>
      </c>
      <c r="O3879" s="20"/>
      <c r="P3879" s="32" t="str">
        <f>IFERROR(__xludf.DUMMYFUNCTION("""COMPUTED_VALUE"""),"可")</f>
        <v>可</v>
      </c>
      <c r="Q3879" s="30"/>
      <c r="R3879" s="22" t="str">
        <f>IFERROR(__xludf.DUMMYFUNCTION("""COMPUTED_VALUE"""),"コミットNG")</f>
        <v>コミットNG</v>
      </c>
      <c r="S3879" s="22" t="str">
        <f>IFERROR(__xludf.DUMMYFUNCTION("""COMPUTED_VALUE"""),"20250902_ハーパーコリンズ・ジャパン_濃蜜同棲　クールな社長の過剰な溺愛【分冊版】")</f>
        <v>20250902_ハーパーコリンズ・ジャパン_濃蜜同棲　クールな社長の過剰な溺愛【分冊版】</v>
      </c>
      <c r="T3879" s="22" t="str">
        <f>IFERROR(__xludf.DUMMYFUNCTION("""COMPUTED_VALUE"""),"格納済み")</f>
        <v>格納済み</v>
      </c>
      <c r="U3879" s="9" t="str">
        <f>IFERROR(__xludf.DUMMYFUNCTION("""COMPUTED_VALUE"""),"（C)小川つぐみ・有允ひろみ／ハーパーコリンズ・ジャパン")</f>
        <v>（C)小川つぐみ・有允ひろみ／ハーパーコリンズ・ジャパン</v>
      </c>
      <c r="V3879" s="8"/>
      <c r="W3879" s="8"/>
      <c r="X3879" s="8" t="str">
        <f>IFERROR(__xludf.DUMMYFUNCTION("""COMPUTED_VALUE"""),"有")</f>
        <v>有</v>
      </c>
      <c r="Y3879" s="8" t="str">
        <f>IFERROR(__xludf.DUMMYFUNCTION("""COMPUTED_VALUE"""),"2025/10/9まで1巻無料")</f>
        <v>2025/10/9まで1巻無料</v>
      </c>
      <c r="Z3879" s="7"/>
      <c r="AA3879" s="7"/>
      <c r="AB3879" s="7"/>
    </row>
    <row r="3880" ht="15.75" customHeight="1">
      <c r="A3880" s="26">
        <f>IFERROR(__xludf.DUMMYFUNCTION("""COMPUTED_VALUE"""),6185.0)</f>
        <v>6185</v>
      </c>
      <c r="B3880" s="22" t="str">
        <f>IFERROR(__xludf.DUMMYFUNCTION("""COMPUTED_VALUE"""),"確定")</f>
        <v>確定</v>
      </c>
      <c r="C3880" s="28">
        <f>IFERROR(__xludf.DUMMYFUNCTION("""COMPUTED_VALUE"""),45874.0)</f>
        <v>45874</v>
      </c>
      <c r="D3880" s="28">
        <f>IFERROR(__xludf.DUMMYFUNCTION("""COMPUTED_VALUE"""),45902.0)</f>
        <v>45902</v>
      </c>
      <c r="E3880" s="26">
        <f>IFERROR(__xludf.DUMMYFUNCTION("""COMPUTED_VALUE"""),338203.0)</f>
        <v>338203</v>
      </c>
      <c r="F3880" s="22" t="str">
        <f>IFERROR(__xludf.DUMMYFUNCTION("""COMPUTED_VALUE"""),"お金ない！けど欲しいんだもん！～ハイブランド憧れ女の限界記～")</f>
        <v>お金ない！けど欲しいんだもん！～ハイブランド憧れ女の限界記～</v>
      </c>
      <c r="G3880" s="20" t="str">
        <f>IFERROR(__xludf.DUMMYFUNCTION("""COMPUTED_VALUE"""),"1～2")</f>
        <v>1～2</v>
      </c>
      <c r="H3880" s="22" t="str">
        <f>IFERROR(__xludf.DUMMYFUNCTION("""COMPUTED_VALUE"""),"ふくよかまるみ／松本さなえ／サトミモエ")</f>
        <v>ふくよかまるみ／松本さなえ／サトミモエ</v>
      </c>
      <c r="I3880" s="22" t="str">
        <f>IFERROR(__xludf.DUMMYFUNCTION("""COMPUTED_VALUE"""),"女性")</f>
        <v>女性</v>
      </c>
      <c r="J3880" s="22"/>
      <c r="K3880" s="22" t="str">
        <f>IFERROR(__xludf.DUMMYFUNCTION("""COMPUTED_VALUE"""),"GSComic")</f>
        <v>GSComic</v>
      </c>
      <c r="L3880" s="22" t="str">
        <f>IFERROR(__xludf.DUMMYFUNCTION("""COMPUTED_VALUE"""),"ガールスカウトコミックス")</f>
        <v>ガールスカウトコミックス</v>
      </c>
      <c r="M3880" s="33">
        <f>IFERROR(__xludf.DUMMYFUNCTION("""COMPUTED_VALUE"""),45943.0)</f>
        <v>45943</v>
      </c>
      <c r="N3880" s="33">
        <f>IFERROR(__xludf.DUMMYFUNCTION("""COMPUTED_VALUE"""),46034.0)</f>
        <v>46034</v>
      </c>
      <c r="O3880" s="20"/>
      <c r="P3880" s="32" t="str">
        <f>IFERROR(__xludf.DUMMYFUNCTION("""COMPUTED_VALUE"""),"可")</f>
        <v>可</v>
      </c>
      <c r="Q3880" s="30"/>
      <c r="R3880" s="22" t="str">
        <f>IFERROR(__xludf.DUMMYFUNCTION("""COMPUTED_VALUE"""),"コミットOK")</f>
        <v>コミットOK</v>
      </c>
      <c r="S3880" s="22" t="str">
        <f>IFERROR(__xludf.DUMMYFUNCTION("""COMPUTED_VALUE"""),"20250902_ガールスカウトコミックス_お金ない！けど欲しいんだもん！～ハイブランド憧れ女の限界記～")</f>
        <v>20250902_ガールスカウトコミックス_お金ない！けど欲しいんだもん！～ハイブランド憧れ女の限界記～</v>
      </c>
      <c r="T3880" s="22" t="str">
        <f>IFERROR(__xludf.DUMMYFUNCTION("""COMPUTED_VALUE"""),"格納済み")</f>
        <v>格納済み</v>
      </c>
      <c r="U3880" s="9" t="str">
        <f>IFERROR(__xludf.DUMMYFUNCTION("""COMPUTED_VALUE"""),"(C)サトミモエ／ガールスカウトコミックス")</f>
        <v>(C)サトミモエ／ガールスカウトコミックス</v>
      </c>
      <c r="V3880" s="8"/>
      <c r="W3880" s="8"/>
      <c r="X3880" s="8" t="str">
        <f>IFERROR(__xludf.DUMMYFUNCTION("""COMPUTED_VALUE"""),"有")</f>
        <v>有</v>
      </c>
      <c r="Y3880" s="8" t="str">
        <f>IFERROR(__xludf.DUMMYFUNCTION("""COMPUTED_VALUE"""),"P7まで")</f>
        <v>P7まで</v>
      </c>
      <c r="Z3880" s="7"/>
      <c r="AA3880" s="7"/>
      <c r="AB3880" s="7"/>
    </row>
    <row r="3881" ht="15.75" customHeight="1">
      <c r="A3881" s="26">
        <f>IFERROR(__xludf.DUMMYFUNCTION("""COMPUTED_VALUE"""),6192.0)</f>
        <v>6192</v>
      </c>
      <c r="B3881" s="22" t="str">
        <f>IFERROR(__xludf.DUMMYFUNCTION("""COMPUTED_VALUE"""),"確定")</f>
        <v>確定</v>
      </c>
      <c r="C3881" s="28">
        <f>IFERROR(__xludf.DUMMYFUNCTION("""COMPUTED_VALUE"""),45874.0)</f>
        <v>45874</v>
      </c>
      <c r="D3881" s="28">
        <f>IFERROR(__xludf.DUMMYFUNCTION("""COMPUTED_VALUE"""),45901.0)</f>
        <v>45901</v>
      </c>
      <c r="E3881" s="26">
        <f>IFERROR(__xludf.DUMMYFUNCTION("""COMPUTED_VALUE"""),336408.0)</f>
        <v>336408</v>
      </c>
      <c r="F3881" s="22" t="str">
        <f>IFERROR(__xludf.DUMMYFUNCTION("""COMPUTED_VALUE"""),"私のために離婚して？")</f>
        <v>私のために離婚して？</v>
      </c>
      <c r="G3881" s="20" t="str">
        <f>IFERROR(__xludf.DUMMYFUNCTION("""COMPUTED_VALUE"""),"1～3")</f>
        <v>1～3</v>
      </c>
      <c r="H3881" s="22" t="str">
        <f>IFERROR(__xludf.DUMMYFUNCTION("""COMPUTED_VALUE"""),"嶋戸奈都美,peep,まさきかつみ,ナガタハルミ,サイドランチ,taskey STUDIO")</f>
        <v>嶋戸奈都美,peep,まさきかつみ,ナガタハルミ,サイドランチ,taskey STUDIO</v>
      </c>
      <c r="I3881" s="22" t="str">
        <f>IFERROR(__xludf.DUMMYFUNCTION("""COMPUTED_VALUE"""),"女性")</f>
        <v>女性</v>
      </c>
      <c r="J3881" s="22"/>
      <c r="K3881" s="22"/>
      <c r="L3881" s="22" t="str">
        <f>IFERROR(__xludf.DUMMYFUNCTION("""COMPUTED_VALUE"""),"taskey")</f>
        <v>taskey</v>
      </c>
      <c r="M3881" s="33">
        <f>IFERROR(__xludf.DUMMYFUNCTION("""COMPUTED_VALUE"""),45928.0)</f>
        <v>45928</v>
      </c>
      <c r="N3881" s="33">
        <f>IFERROR(__xludf.DUMMYFUNCTION("""COMPUTED_VALUE"""),46081.70833333333)</f>
        <v>46081.70833</v>
      </c>
      <c r="O3881" s="20"/>
      <c r="P3881" s="32" t="str">
        <f>IFERROR(__xludf.DUMMYFUNCTION("""COMPUTED_VALUE"""),"可")</f>
        <v>可</v>
      </c>
      <c r="Q3881" s="30"/>
      <c r="R3881" s="22" t="str">
        <f>IFERROR(__xludf.DUMMYFUNCTION("""COMPUTED_VALUE"""),"コミットOK")</f>
        <v>コミットOK</v>
      </c>
      <c r="S3881" s="22" t="str">
        <f>IFERROR(__xludf.DUMMYFUNCTION("""COMPUTED_VALUE"""),"20250829_taskey_私のために離婚して")</f>
        <v>20250829_taskey_私のために離婚して</v>
      </c>
      <c r="T3881" s="22" t="str">
        <f>IFERROR(__xludf.DUMMYFUNCTION("""COMPUTED_VALUE"""),"格納済み")</f>
        <v>格納済み</v>
      </c>
      <c r="U3881" s="9" t="str">
        <f>IFERROR(__xludf.DUMMYFUNCTION("""COMPUTED_VALUE"""),"Ⓒ︎taskey　原作／嶋戸奈都美　ネーム／まさきかつみ　作画／ナガタハルミ　編集協力／サイドランチ")</f>
        <v>Ⓒ︎taskey　原作／嶋戸奈都美　ネーム／まさきかつみ　作画／ナガタハルミ　編集協力／サイドランチ</v>
      </c>
      <c r="V3881" s="8"/>
      <c r="W3881" s="8"/>
      <c r="X3881" s="8" t="str">
        <f>IFERROR(__xludf.DUMMYFUNCTION("""COMPUTED_VALUE"""),"有")</f>
        <v>有</v>
      </c>
      <c r="Y3881" s="8" t="str">
        <f>IFERROR(__xludf.DUMMYFUNCTION("""COMPUTED_VALUE"""),"1巻無料")</f>
        <v>1巻無料</v>
      </c>
      <c r="Z3881" s="7"/>
      <c r="AA3881" s="7"/>
      <c r="AB3881" s="7"/>
    </row>
    <row r="3882" ht="15.75" customHeight="1">
      <c r="A3882" s="26">
        <f>IFERROR(__xludf.DUMMYFUNCTION("""COMPUTED_VALUE"""),6301.0)</f>
        <v>6301</v>
      </c>
      <c r="B3882" s="22" t="str">
        <f>IFERROR(__xludf.DUMMYFUNCTION("""COMPUTED_VALUE"""),"確定")</f>
        <v>確定</v>
      </c>
      <c r="C3882" s="28">
        <f>IFERROR(__xludf.DUMMYFUNCTION("""COMPUTED_VALUE"""),45889.0)</f>
        <v>45889</v>
      </c>
      <c r="D3882" s="28">
        <f>IFERROR(__xludf.DUMMYFUNCTION("""COMPUTED_VALUE"""),45901.0)</f>
        <v>45901</v>
      </c>
      <c r="E3882" s="26">
        <f>IFERROR(__xludf.DUMMYFUNCTION("""COMPUTED_VALUE"""),331708.0)</f>
        <v>331708</v>
      </c>
      <c r="F3882" s="22" t="str">
        <f>IFERROR(__xludf.DUMMYFUNCTION("""COMPUTED_VALUE"""),"アドバイスかと思ったら呪いだった。")</f>
        <v>アドバイスかと思ったら呪いだった。</v>
      </c>
      <c r="G3882" s="20" t="str">
        <f>IFERROR(__xludf.DUMMYFUNCTION("""COMPUTED_VALUE"""),"1～3")</f>
        <v>1～3</v>
      </c>
      <c r="H3882" s="22" t="str">
        <f>IFERROR(__xludf.DUMMYFUNCTION("""COMPUTED_VALUE"""),"犬山紙子,たなかふじもと")</f>
        <v>犬山紙子,たなかふじもと</v>
      </c>
      <c r="I3882" s="22" t="str">
        <f>IFERROR(__xludf.DUMMYFUNCTION("""COMPUTED_VALUE"""),"女性マンガ")</f>
        <v>女性マンガ</v>
      </c>
      <c r="J3882" s="22"/>
      <c r="K3882" s="22" t="str">
        <f>IFERROR(__xludf.DUMMYFUNCTION("""COMPUTED_VALUE"""),"トレモア・リアルラブ,トレモアcollection")</f>
        <v>トレモア・リアルラブ,トレモアcollection</v>
      </c>
      <c r="L3882" s="22" t="str">
        <f>IFERROR(__xludf.DUMMYFUNCTION("""COMPUTED_VALUE"""),"シーモアコミックス（トレモア）")</f>
        <v>シーモアコミックス（トレモア）</v>
      </c>
      <c r="M3882" s="33">
        <f>IFERROR(__xludf.DUMMYFUNCTION("""COMPUTED_VALUE"""),45940.0)</f>
        <v>45940</v>
      </c>
      <c r="N3882" s="33">
        <f>IFERROR(__xludf.DUMMYFUNCTION("""COMPUTED_VALUE"""),2958465.0)</f>
        <v>2958465</v>
      </c>
      <c r="O3882" s="20"/>
      <c r="P3882" s="32" t="str">
        <f>IFERROR(__xludf.DUMMYFUNCTION("""COMPUTED_VALUE"""),"可")</f>
        <v>可</v>
      </c>
      <c r="Q3882" s="30"/>
      <c r="R3882" s="22"/>
      <c r="S3882" s="22" t="str">
        <f>IFERROR(__xludf.DUMMYFUNCTION("""COMPUTED_VALUE"""),"20250829_シーモアコミックス_アドバイスかと思ったら呪いだった。")</f>
        <v>20250829_シーモアコミックス_アドバイスかと思ったら呪いだった。</v>
      </c>
      <c r="T3882" s="22" t="str">
        <f>IFERROR(__xludf.DUMMYFUNCTION("""COMPUTED_VALUE"""),"格納済み")</f>
        <v>格納済み</v>
      </c>
      <c r="U3882" s="9" t="str">
        <f>IFERROR(__xludf.DUMMYFUNCTION("""COMPUTED_VALUE"""),"(C) たなかふじもと/犬山紙子/シーモアコミックス")</f>
        <v>(C) たなかふじもと/犬山紙子/シーモアコミックス</v>
      </c>
      <c r="V3882" s="8"/>
      <c r="W3882" s="8"/>
      <c r="X3882" s="8" t="str">
        <f>IFERROR(__xludf.DUMMYFUNCTION("""COMPUTED_VALUE"""),"有")</f>
        <v>有</v>
      </c>
      <c r="Y3882" s="8" t="str">
        <f>IFERROR(__xludf.DUMMYFUNCTION("""COMPUTED_VALUE"""),"P13まで")</f>
        <v>P13まで</v>
      </c>
      <c r="Z3882" s="7"/>
      <c r="AA3882" s="7"/>
      <c r="AB3882" s="7"/>
    </row>
    <row r="3883" ht="15.75" customHeight="1">
      <c r="A3883" s="26">
        <f>IFERROR(__xludf.DUMMYFUNCTION("""COMPUTED_VALUE"""),6329.0)</f>
        <v>6329</v>
      </c>
      <c r="B3883" s="22" t="str">
        <f>IFERROR(__xludf.DUMMYFUNCTION("""COMPUTED_VALUE"""),"確定")</f>
        <v>確定</v>
      </c>
      <c r="C3883" s="28">
        <f>IFERROR(__xludf.DUMMYFUNCTION("""COMPUTED_VALUE"""),45894.0)</f>
        <v>45894</v>
      </c>
      <c r="D3883" s="28">
        <f>IFERROR(__xludf.DUMMYFUNCTION("""COMPUTED_VALUE"""),45898.0)</f>
        <v>45898</v>
      </c>
      <c r="E3883" s="26">
        <f>IFERROR(__xludf.DUMMYFUNCTION("""COMPUTED_VALUE"""),294811.0)</f>
        <v>294811</v>
      </c>
      <c r="F3883" s="22" t="str">
        <f>IFERROR(__xludf.DUMMYFUNCTION("""COMPUTED_VALUE"""),"花とろくでなし")</f>
        <v>花とろくでなし</v>
      </c>
      <c r="G3883" s="20" t="str">
        <f>IFERROR(__xludf.DUMMYFUNCTION("""COMPUTED_VALUE"""),"1～3")</f>
        <v>1～3</v>
      </c>
      <c r="H3883" s="22" t="str">
        <f>IFERROR(__xludf.DUMMYFUNCTION("""COMPUTED_VALUE"""),"桜庭千嘉")</f>
        <v>桜庭千嘉</v>
      </c>
      <c r="I3883" s="22" t="str">
        <f>IFERROR(__xludf.DUMMYFUNCTION("""COMPUTED_VALUE"""),"BLマンガ")</f>
        <v>BLマンガ</v>
      </c>
      <c r="J3883" s="22"/>
      <c r="K3883" s="22" t="str">
        <f>IFERROR(__xludf.DUMMYFUNCTION("""COMPUTED_VALUE"""),"Ficus")</f>
        <v>Ficus</v>
      </c>
      <c r="L3883" s="22" t="str">
        <f>IFERROR(__xludf.DUMMYFUNCTION("""COMPUTED_VALUE"""),"シーモアコミックス")</f>
        <v>シーモアコミックス</v>
      </c>
      <c r="M3883" s="33">
        <f>IFERROR(__xludf.DUMMYFUNCTION("""COMPUTED_VALUE"""),45927.0)</f>
        <v>45927</v>
      </c>
      <c r="N3883" s="33">
        <f>IFERROR(__xludf.DUMMYFUNCTION("""COMPUTED_VALUE"""),45988.0)</f>
        <v>45988</v>
      </c>
      <c r="O3883" s="20"/>
      <c r="P3883" s="32" t="str">
        <f>IFERROR(__xludf.DUMMYFUNCTION("""COMPUTED_VALUE"""),"可")</f>
        <v>可</v>
      </c>
      <c r="Q3883" s="30"/>
      <c r="R3883" s="22"/>
      <c r="S3883" s="22" t="str">
        <f>IFERROR(__xludf.DUMMYFUNCTION("""COMPUTED_VALUE"""),"20250825_シーモアコミックス_花とろくでなし")</f>
        <v>20250825_シーモアコミックス_花とろくでなし</v>
      </c>
      <c r="T3883" s="22" t="str">
        <f>IFERROR(__xludf.DUMMYFUNCTION("""COMPUTED_VALUE"""),"格納済み")</f>
        <v>格納済み</v>
      </c>
      <c r="U3883" s="9" t="str">
        <f>IFERROR(__xludf.DUMMYFUNCTION("""COMPUTED_VALUE"""),"(C) 桜庭千嘉/シーモアコミックス")</f>
        <v>(C) 桜庭千嘉/シーモアコミックス</v>
      </c>
      <c r="V3883" s="8"/>
      <c r="W3883" s="8"/>
      <c r="X3883" s="8" t="str">
        <f>IFERROR(__xludf.DUMMYFUNCTION("""COMPUTED_VALUE"""),"有")</f>
        <v>有</v>
      </c>
      <c r="Y3883" s="8" t="str">
        <f>IFERROR(__xludf.DUMMYFUNCTION("""COMPUTED_VALUE"""),"2025/10/24まで1巻無料")</f>
        <v>2025/10/24まで1巻無料</v>
      </c>
      <c r="Z3883" s="7"/>
      <c r="AA3883" s="7"/>
      <c r="AB3883" s="7"/>
    </row>
    <row r="3884" ht="15.75" customHeight="1">
      <c r="A3884" s="26">
        <f>IFERROR(__xludf.DUMMYFUNCTION("""COMPUTED_VALUE"""),6330.0)</f>
        <v>6330</v>
      </c>
      <c r="B3884" s="22" t="str">
        <f>IFERROR(__xludf.DUMMYFUNCTION("""COMPUTED_VALUE"""),"確定")</f>
        <v>確定</v>
      </c>
      <c r="C3884" s="28">
        <f>IFERROR(__xludf.DUMMYFUNCTION("""COMPUTED_VALUE"""),45894.0)</f>
        <v>45894</v>
      </c>
      <c r="D3884" s="28">
        <f>IFERROR(__xludf.DUMMYFUNCTION("""COMPUTED_VALUE"""),45902.0)</f>
        <v>45902</v>
      </c>
      <c r="E3884" s="26">
        <f>IFERROR(__xludf.DUMMYFUNCTION("""COMPUTED_VALUE"""),316040.0)</f>
        <v>316040</v>
      </c>
      <c r="F3884" s="22" t="str">
        <f>IFERROR(__xludf.DUMMYFUNCTION("""COMPUTED_VALUE"""),"薄荷の香りの男(フルカラー)")</f>
        <v>薄荷の香りの男(フルカラー)</v>
      </c>
      <c r="G3884" s="20" t="str">
        <f>IFERROR(__xludf.DUMMYFUNCTION("""COMPUTED_VALUE"""),"1～3")</f>
        <v>1～3</v>
      </c>
      <c r="H3884" s="22" t="str">
        <f>IFERROR(__xludf.DUMMYFUNCTION("""COMPUTED_VALUE"""),"LEBBIT,Gakim,Maewon")</f>
        <v>LEBBIT,Gakim,Maewon</v>
      </c>
      <c r="I3884" s="22" t="str">
        <f>IFERROR(__xludf.DUMMYFUNCTION("""COMPUTED_VALUE"""),"女性マンガ")</f>
        <v>女性マンガ</v>
      </c>
      <c r="J3884" s="22"/>
      <c r="K3884" s="22" t="str">
        <f>IFERROR(__xludf.DUMMYFUNCTION("""COMPUTED_VALUE"""),"リア×ロマ,スキして?桃色日記")</f>
        <v>リア×ロマ,スキして?桃色日記</v>
      </c>
      <c r="L3884" s="22" t="str">
        <f>IFERROR(__xludf.DUMMYFUNCTION("""COMPUTED_VALUE"""),"シーモアコミックス")</f>
        <v>シーモアコミックス</v>
      </c>
      <c r="M3884" s="33">
        <f>IFERROR(__xludf.DUMMYFUNCTION("""COMPUTED_VALUE"""),45927.0)</f>
        <v>45927</v>
      </c>
      <c r="N3884" s="33">
        <f>IFERROR(__xludf.DUMMYFUNCTION("""COMPUTED_VALUE"""),2958465.0)</f>
        <v>2958465</v>
      </c>
      <c r="O3884" s="20"/>
      <c r="P3884" s="32" t="str">
        <f>IFERROR(__xludf.DUMMYFUNCTION("""COMPUTED_VALUE"""),"可")</f>
        <v>可</v>
      </c>
      <c r="Q3884" s="30" t="str">
        <f>IFERROR(__xludf.DUMMYFUNCTION("""COMPUTED_VALUE"""),"【アダルト作品扱い】")</f>
        <v>【アダルト作品扱い】</v>
      </c>
      <c r="R3884" s="22"/>
      <c r="S3884" s="22" t="str">
        <f>IFERROR(__xludf.DUMMYFUNCTION("""COMPUTED_VALUE"""),"20250825_シーモアコミックス_薄荷の香りの男（フルカラー）")</f>
        <v>20250825_シーモアコミックス_薄荷の香りの男（フルカラー）</v>
      </c>
      <c r="T3884" s="22" t="str">
        <f>IFERROR(__xludf.DUMMYFUNCTION("""COMPUTED_VALUE"""),"格納済み")</f>
        <v>格納済み</v>
      </c>
      <c r="U3884" s="9" t="str">
        <f>IFERROR(__xludf.DUMMYFUNCTION("""COMPUTED_VALUE"""),"(C) LEBBIT/Gakim/Maewon/デイズエンター/ミスターブルー/シーモアコミックス")</f>
        <v>(C) LEBBIT/Gakim/Maewon/デイズエンター/ミスターブルー/シーモアコミックス</v>
      </c>
      <c r="V3884" s="8"/>
      <c r="W3884" s="8"/>
      <c r="X3884" s="8" t="str">
        <f>IFERROR(__xludf.DUMMYFUNCTION("""COMPUTED_VALUE"""),"有")</f>
        <v>有</v>
      </c>
      <c r="Y3884" s="8" t="str">
        <f>IFERROR(__xludf.DUMMYFUNCTION("""COMPUTED_VALUE"""),"2025/10/24まで1巻無料")</f>
        <v>2025/10/24まで1巻無料</v>
      </c>
      <c r="Z3884" s="7"/>
      <c r="AA3884" s="7"/>
      <c r="AB3884" s="7"/>
    </row>
    <row r="3885" ht="15.75" customHeight="1">
      <c r="A3885" s="26">
        <f>IFERROR(__xludf.DUMMYFUNCTION("""COMPUTED_VALUE"""),6331.0)</f>
        <v>6331</v>
      </c>
      <c r="B3885" s="22" t="str">
        <f>IFERROR(__xludf.DUMMYFUNCTION("""COMPUTED_VALUE"""),"確定")</f>
        <v>確定</v>
      </c>
      <c r="C3885" s="28">
        <f>IFERROR(__xludf.DUMMYFUNCTION("""COMPUTED_VALUE"""),45894.0)</f>
        <v>45894</v>
      </c>
      <c r="D3885" s="28">
        <f>IFERROR(__xludf.DUMMYFUNCTION("""COMPUTED_VALUE"""),45902.0)</f>
        <v>45902</v>
      </c>
      <c r="E3885" s="26">
        <f>IFERROR(__xludf.DUMMYFUNCTION("""COMPUTED_VALUE"""),316041.0)</f>
        <v>316041</v>
      </c>
      <c r="F3885" s="22" t="str">
        <f>IFERROR(__xludf.DUMMYFUNCTION("""COMPUTED_VALUE"""),"薄荷の香りの男【タテヨミ】")</f>
        <v>薄荷の香りの男【タテヨミ】</v>
      </c>
      <c r="G3885" s="20" t="str">
        <f>IFERROR(__xludf.DUMMYFUNCTION("""COMPUTED_VALUE"""),"1～12")</f>
        <v>1～12</v>
      </c>
      <c r="H3885" s="22" t="str">
        <f>IFERROR(__xludf.DUMMYFUNCTION("""COMPUTED_VALUE"""),"LEBBIT,Gakim,Maewon")</f>
        <v>LEBBIT,Gakim,Maewon</v>
      </c>
      <c r="I3885" s="22" t="str">
        <f>IFERROR(__xludf.DUMMYFUNCTION("""COMPUTED_VALUE"""),"女性マンガ")</f>
        <v>女性マンガ</v>
      </c>
      <c r="J3885" s="22"/>
      <c r="K3885" s="22" t="str">
        <f>IFERROR(__xludf.DUMMYFUNCTION("""COMPUTED_VALUE"""),"リア×ロマ,スキして?桃色日記")</f>
        <v>リア×ロマ,スキして?桃色日記</v>
      </c>
      <c r="L3885" s="22" t="str">
        <f>IFERROR(__xludf.DUMMYFUNCTION("""COMPUTED_VALUE"""),"シーモアコミックス")</f>
        <v>シーモアコミックス</v>
      </c>
      <c r="M3885" s="33">
        <f>IFERROR(__xludf.DUMMYFUNCTION("""COMPUTED_VALUE"""),45927.0)</f>
        <v>45927</v>
      </c>
      <c r="N3885" s="33">
        <f>IFERROR(__xludf.DUMMYFUNCTION("""COMPUTED_VALUE"""),2958465.0)</f>
        <v>2958465</v>
      </c>
      <c r="O3885" s="20"/>
      <c r="P3885" s="32" t="str">
        <f>IFERROR(__xludf.DUMMYFUNCTION("""COMPUTED_VALUE"""),"可")</f>
        <v>可</v>
      </c>
      <c r="Q3885" s="30" t="str">
        <f>IFERROR(__xludf.DUMMYFUNCTION("""COMPUTED_VALUE"""),"【アダルト作品扱い】&lt;BR&gt;※コマサム等素材は「316040　薄荷の香りの男(フルカラー)」の方をお使いください。バナー制作はフルカラー版の素材を利用して問題ございません。&lt;BR&gt;")</f>
        <v>【アダルト作品扱い】&lt;BR&gt;※コマサム等素材は「316040　薄荷の香りの男(フルカラー)」の方をお使いください。バナー制作はフルカラー版の素材を利用して問題ございません。&lt;BR&gt;</v>
      </c>
      <c r="R3885" s="22"/>
      <c r="S3885" s="22" t="str">
        <f>IFERROR(__xludf.DUMMYFUNCTION("""COMPUTED_VALUE"""),"20250825_シーモアコミックス_薄荷の香りの男【タテヨミ】")</f>
        <v>20250825_シーモアコミックス_薄荷の香りの男【タテヨミ】</v>
      </c>
      <c r="T3885" s="22" t="str">
        <f>IFERROR(__xludf.DUMMYFUNCTION("""COMPUTED_VALUE"""),"格納済み")</f>
        <v>格納済み</v>
      </c>
      <c r="U3885" s="9" t="str">
        <f>IFERROR(__xludf.DUMMYFUNCTION("""COMPUTED_VALUE"""),"(C) LEBBIT/Gakim/Maewon/デイズエンター/ミスターブルー/シーモアコミックス")</f>
        <v>(C) LEBBIT/Gakim/Maewon/デイズエンター/ミスターブルー/シーモアコミックス</v>
      </c>
      <c r="V3885" s="8"/>
      <c r="W3885" s="8"/>
      <c r="X3885" s="8" t="str">
        <f>IFERROR(__xludf.DUMMYFUNCTION("""COMPUTED_VALUE"""),"有")</f>
        <v>有</v>
      </c>
      <c r="Y3885" s="8" t="str">
        <f>IFERROR(__xludf.DUMMYFUNCTION("""COMPUTED_VALUE"""),"2025/10/24まで1~4巻無料")</f>
        <v>2025/10/24まで1~4巻無料</v>
      </c>
      <c r="Z3885" s="7"/>
      <c r="AA3885" s="7"/>
      <c r="AB3885" s="7"/>
    </row>
    <row r="3886" ht="15.75" customHeight="1">
      <c r="A3886" s="26">
        <f>IFERROR(__xludf.DUMMYFUNCTION("""COMPUTED_VALUE"""),6332.0)</f>
        <v>6332</v>
      </c>
      <c r="B3886" s="22" t="str">
        <f>IFERROR(__xludf.DUMMYFUNCTION("""COMPUTED_VALUE"""),"確定")</f>
        <v>確定</v>
      </c>
      <c r="C3886" s="28">
        <f>IFERROR(__xludf.DUMMYFUNCTION("""COMPUTED_VALUE"""),45894.0)</f>
        <v>45894</v>
      </c>
      <c r="D3886" s="28">
        <f>IFERROR(__xludf.DUMMYFUNCTION("""COMPUTED_VALUE"""),45901.0)</f>
        <v>45901</v>
      </c>
      <c r="E3886" s="26">
        <f>IFERROR(__xludf.DUMMYFUNCTION("""COMPUTED_VALUE"""),301067.0)</f>
        <v>301067</v>
      </c>
      <c r="F3886" s="22" t="str">
        <f>IFERROR(__xludf.DUMMYFUNCTION("""COMPUTED_VALUE"""),"ごちそうさまが言いたくて")</f>
        <v>ごちそうさまが言いたくて</v>
      </c>
      <c r="G3886" s="20">
        <f>IFERROR(__xludf.DUMMYFUNCTION("""COMPUTED_VALUE"""),1.0)</f>
        <v>1</v>
      </c>
      <c r="H3886" s="22" t="str">
        <f>IFERROR(__xludf.DUMMYFUNCTION("""COMPUTED_VALUE"""),"田倉トヲル")</f>
        <v>田倉トヲル</v>
      </c>
      <c r="I3886" s="22" t="str">
        <f>IFERROR(__xludf.DUMMYFUNCTION("""COMPUTED_VALUE"""),"BLマンガ")</f>
        <v>BLマンガ</v>
      </c>
      <c r="J3886" s="22"/>
      <c r="K3886" s="22" t="str">
        <f>IFERROR(__xludf.DUMMYFUNCTION("""COMPUTED_VALUE"""),"Ficus")</f>
        <v>Ficus</v>
      </c>
      <c r="L3886" s="22" t="str">
        <f>IFERROR(__xludf.DUMMYFUNCTION("""COMPUTED_VALUE"""),"シーモアコミックス")</f>
        <v>シーモアコミックス</v>
      </c>
      <c r="M3886" s="33">
        <f>IFERROR(__xludf.DUMMYFUNCTION("""COMPUTED_VALUE"""),45928.0)</f>
        <v>45928</v>
      </c>
      <c r="N3886" s="33">
        <f>IFERROR(__xludf.DUMMYFUNCTION("""COMPUTED_VALUE"""),46107.0)</f>
        <v>46107</v>
      </c>
      <c r="O3886" s="20"/>
      <c r="P3886" s="32" t="str">
        <f>IFERROR(__xludf.DUMMYFUNCTION("""COMPUTED_VALUE"""),"可")</f>
        <v>可</v>
      </c>
      <c r="Q3886" s="30" t="str">
        <f>IFERROR(__xludf.DUMMYFUNCTION("""COMPUTED_VALUE"""),"※本作品はFicus Party 6th朗読イベント作品です。")</f>
        <v>※本作品はFicus Party 6th朗読イベント作品です。</v>
      </c>
      <c r="R3886" s="22"/>
      <c r="S3886" s="22" t="str">
        <f>IFERROR(__xludf.DUMMYFUNCTION("""COMPUTED_VALUE"""),"20250825_シーモアコミックス_ごちそうさまが言いたくて")</f>
        <v>20250825_シーモアコミックス_ごちそうさまが言いたくて</v>
      </c>
      <c r="T3886" s="22" t="str">
        <f>IFERROR(__xludf.DUMMYFUNCTION("""COMPUTED_VALUE"""),"格納済み")</f>
        <v>格納済み</v>
      </c>
      <c r="U3886" s="9" t="str">
        <f>IFERROR(__xludf.DUMMYFUNCTION("""COMPUTED_VALUE"""),"(C) 田倉トヲル/シーモアコミックス")</f>
        <v>(C) 田倉トヲル/シーモアコミックス</v>
      </c>
      <c r="V3886" s="8"/>
      <c r="W3886" s="8"/>
      <c r="X3886" s="8" t="str">
        <f>IFERROR(__xludf.DUMMYFUNCTION("""COMPUTED_VALUE"""),"有")</f>
        <v>有</v>
      </c>
      <c r="Y3886" s="8" t="str">
        <f>IFERROR(__xludf.DUMMYFUNCTION("""COMPUTED_VALUE"""),"2026/1/11まで1巻立ち読み増量（P21）")</f>
        <v>2026/1/11まで1巻立ち読み増量（P21）</v>
      </c>
      <c r="Z3886" s="7"/>
      <c r="AA3886" s="7"/>
      <c r="AB3886" s="7"/>
    </row>
    <row r="3887" ht="15.75" customHeight="1">
      <c r="A3887" s="26">
        <f>IFERROR(__xludf.DUMMYFUNCTION("""COMPUTED_VALUE"""),6333.0)</f>
        <v>6333</v>
      </c>
      <c r="B3887" s="22" t="str">
        <f>IFERROR(__xludf.DUMMYFUNCTION("""COMPUTED_VALUE"""),"確定")</f>
        <v>確定</v>
      </c>
      <c r="C3887" s="28">
        <f>IFERROR(__xludf.DUMMYFUNCTION("""COMPUTED_VALUE"""),45894.0)</f>
        <v>45894</v>
      </c>
      <c r="D3887" s="28">
        <f>IFERROR(__xludf.DUMMYFUNCTION("""COMPUTED_VALUE"""),45902.0)</f>
        <v>45902</v>
      </c>
      <c r="E3887" s="26">
        <f>IFERROR(__xludf.DUMMYFUNCTION("""COMPUTED_VALUE"""),326369.0)</f>
        <v>326369</v>
      </c>
      <c r="F3887" s="22" t="str">
        <f>IFERROR(__xludf.DUMMYFUNCTION("""COMPUTED_VALUE"""),"間宮くんのナカは純情")</f>
        <v>間宮くんのナカは純情</v>
      </c>
      <c r="G3887" s="20">
        <f>IFERROR(__xludf.DUMMYFUNCTION("""COMPUTED_VALUE"""),1.0)</f>
        <v>1</v>
      </c>
      <c r="H3887" s="22" t="str">
        <f>IFERROR(__xludf.DUMMYFUNCTION("""COMPUTED_VALUE"""),"夏原サイケ")</f>
        <v>夏原サイケ</v>
      </c>
      <c r="I3887" s="22" t="str">
        <f>IFERROR(__xludf.DUMMYFUNCTION("""COMPUTED_VALUE"""),"BLマンガ")</f>
        <v>BLマンガ</v>
      </c>
      <c r="J3887" s="22"/>
      <c r="K3887" s="22" t="str">
        <f>IFERROR(__xludf.DUMMYFUNCTION("""COMPUTED_VALUE"""),"Ficus")</f>
        <v>Ficus</v>
      </c>
      <c r="L3887" s="22" t="str">
        <f>IFERROR(__xludf.DUMMYFUNCTION("""COMPUTED_VALUE"""),"シーモアコミックス")</f>
        <v>シーモアコミックス</v>
      </c>
      <c r="M3887" s="33">
        <f>IFERROR(__xludf.DUMMYFUNCTION("""COMPUTED_VALUE"""),45928.0)</f>
        <v>45928</v>
      </c>
      <c r="N3887" s="33">
        <f>IFERROR(__xludf.DUMMYFUNCTION("""COMPUTED_VALUE"""),46107.0)</f>
        <v>46107</v>
      </c>
      <c r="O3887" s="20"/>
      <c r="P3887" s="32" t="str">
        <f>IFERROR(__xludf.DUMMYFUNCTION("""COMPUTED_VALUE"""),"可")</f>
        <v>可</v>
      </c>
      <c r="Q3887" s="30" t="str">
        <f>IFERROR(__xludf.DUMMYFUNCTION("""COMPUTED_VALUE"""),"【アダルト作品扱い】&lt;BR&gt;※本作品はFicus Party 6th朗読イベント作品です。&lt;BR&gt;")</f>
        <v>【アダルト作品扱い】&lt;BR&gt;※本作品はFicus Party 6th朗読イベント作品です。&lt;BR&gt;</v>
      </c>
      <c r="R3887" s="22"/>
      <c r="S3887" s="22" t="str">
        <f>IFERROR(__xludf.DUMMYFUNCTION("""COMPUTED_VALUE"""),"20250825_シーモアコミックス_間宮くんのナカは純情")</f>
        <v>20250825_シーモアコミックス_間宮くんのナカは純情</v>
      </c>
      <c r="T3887" s="22" t="str">
        <f>IFERROR(__xludf.DUMMYFUNCTION("""COMPUTED_VALUE"""),"格納済み")</f>
        <v>格納済み</v>
      </c>
      <c r="U3887" s="9" t="str">
        <f>IFERROR(__xludf.DUMMYFUNCTION("""COMPUTED_VALUE"""),"(C) 夏原サイケ/シーモアコミックス")</f>
        <v>(C) 夏原サイケ/シーモアコミックス</v>
      </c>
      <c r="V3887" s="8"/>
      <c r="W3887" s="8"/>
      <c r="X3887" s="8" t="str">
        <f>IFERROR(__xludf.DUMMYFUNCTION("""COMPUTED_VALUE"""),"有")</f>
        <v>有</v>
      </c>
      <c r="Y3887" s="8" t="str">
        <f>IFERROR(__xludf.DUMMYFUNCTION("""COMPUTED_VALUE"""),"2026/1/11まで1巻立ち読み増量（P17）")</f>
        <v>2026/1/11まで1巻立ち読み増量（P17）</v>
      </c>
      <c r="Z3887" s="7"/>
      <c r="AA3887" s="7"/>
      <c r="AB3887" s="7"/>
    </row>
    <row r="3888" ht="15.75" customHeight="1">
      <c r="A3888" s="26">
        <f>IFERROR(__xludf.DUMMYFUNCTION("""COMPUTED_VALUE"""),6334.0)</f>
        <v>6334</v>
      </c>
      <c r="B3888" s="22" t="str">
        <f>IFERROR(__xludf.DUMMYFUNCTION("""COMPUTED_VALUE"""),"確定")</f>
        <v>確定</v>
      </c>
      <c r="C3888" s="28">
        <f>IFERROR(__xludf.DUMMYFUNCTION("""COMPUTED_VALUE"""),45894.0)</f>
        <v>45894</v>
      </c>
      <c r="D3888" s="28">
        <f>IFERROR(__xludf.DUMMYFUNCTION("""COMPUTED_VALUE"""),45901.0)</f>
        <v>45901</v>
      </c>
      <c r="E3888" s="26">
        <f>IFERROR(__xludf.DUMMYFUNCTION("""COMPUTED_VALUE"""),330225.0)</f>
        <v>330225</v>
      </c>
      <c r="F3888" s="22" t="str">
        <f>IFERROR(__xludf.DUMMYFUNCTION("""COMPUTED_VALUE"""),"恋のリテイクは午前0時に")</f>
        <v>恋のリテイクは午前0時に</v>
      </c>
      <c r="G3888" s="20">
        <f>IFERROR(__xludf.DUMMYFUNCTION("""COMPUTED_VALUE"""),1.0)</f>
        <v>1</v>
      </c>
      <c r="H3888" s="22" t="str">
        <f>IFERROR(__xludf.DUMMYFUNCTION("""COMPUTED_VALUE"""),"園瀬もち")</f>
        <v>園瀬もち</v>
      </c>
      <c r="I3888" s="22" t="str">
        <f>IFERROR(__xludf.DUMMYFUNCTION("""COMPUTED_VALUE"""),"BLマンガ")</f>
        <v>BLマンガ</v>
      </c>
      <c r="J3888" s="22"/>
      <c r="K3888" s="22" t="str">
        <f>IFERROR(__xludf.DUMMYFUNCTION("""COMPUTED_VALUE"""),"Ficus")</f>
        <v>Ficus</v>
      </c>
      <c r="L3888" s="22" t="str">
        <f>IFERROR(__xludf.DUMMYFUNCTION("""COMPUTED_VALUE"""),"シーモアコミックス")</f>
        <v>シーモアコミックス</v>
      </c>
      <c r="M3888" s="33">
        <f>IFERROR(__xludf.DUMMYFUNCTION("""COMPUTED_VALUE"""),45928.0)</f>
        <v>45928</v>
      </c>
      <c r="N3888" s="33">
        <f>IFERROR(__xludf.DUMMYFUNCTION("""COMPUTED_VALUE"""),46107.0)</f>
        <v>46107</v>
      </c>
      <c r="O3888" s="20"/>
      <c r="P3888" s="32" t="str">
        <f>IFERROR(__xludf.DUMMYFUNCTION("""COMPUTED_VALUE"""),"可")</f>
        <v>可</v>
      </c>
      <c r="Q3888" s="30" t="str">
        <f>IFERROR(__xludf.DUMMYFUNCTION("""COMPUTED_VALUE"""),"※本作品はFicus Party 6th朗読イベント作品です。")</f>
        <v>※本作品はFicus Party 6th朗読イベント作品です。</v>
      </c>
      <c r="R3888" s="22"/>
      <c r="S3888" s="22" t="str">
        <f>IFERROR(__xludf.DUMMYFUNCTION("""COMPUTED_VALUE"""),"20250825_シーモアコミックス_恋のリテイクは午前0時に")</f>
        <v>20250825_シーモアコミックス_恋のリテイクは午前0時に</v>
      </c>
      <c r="T3888" s="22" t="str">
        <f>IFERROR(__xludf.DUMMYFUNCTION("""COMPUTED_VALUE"""),"格納済み")</f>
        <v>格納済み</v>
      </c>
      <c r="U3888" s="9" t="str">
        <f>IFERROR(__xludf.DUMMYFUNCTION("""COMPUTED_VALUE"""),"(C) 園瀬もち/シーモアコミックス")</f>
        <v>(C) 園瀬もち/シーモアコミックス</v>
      </c>
      <c r="V3888" s="8"/>
      <c r="W3888" s="8"/>
      <c r="X3888" s="8" t="str">
        <f>IFERROR(__xludf.DUMMYFUNCTION("""COMPUTED_VALUE"""),"有")</f>
        <v>有</v>
      </c>
      <c r="Y3888" s="8" t="str">
        <f>IFERROR(__xludf.DUMMYFUNCTION("""COMPUTED_VALUE"""),"2026/1/11まで1巻立ち読み増量（P18）")</f>
        <v>2026/1/11まで1巻立ち読み増量（P18）</v>
      </c>
      <c r="Z3888" s="7"/>
      <c r="AA3888" s="7"/>
      <c r="AB3888" s="7"/>
    </row>
    <row r="3889" ht="15.75" customHeight="1">
      <c r="A3889" s="26">
        <f>IFERROR(__xludf.DUMMYFUNCTION("""COMPUTED_VALUE"""),6352.0)</f>
        <v>6352</v>
      </c>
      <c r="B3889" s="22" t="str">
        <f>IFERROR(__xludf.DUMMYFUNCTION("""COMPUTED_VALUE"""),"確定")</f>
        <v>確定</v>
      </c>
      <c r="C3889" s="28">
        <f>IFERROR(__xludf.DUMMYFUNCTION("""COMPUTED_VALUE"""),45896.0)</f>
        <v>45896</v>
      </c>
      <c r="D3889" s="28">
        <f>IFERROR(__xludf.DUMMYFUNCTION("""COMPUTED_VALUE"""),45902.0)</f>
        <v>45902</v>
      </c>
      <c r="E3889" s="26">
        <f>IFERROR(__xludf.DUMMYFUNCTION("""COMPUTED_VALUE"""),337715.0)</f>
        <v>337715</v>
      </c>
      <c r="F3889" s="22" t="str">
        <f>IFERROR(__xludf.DUMMYFUNCTION("""COMPUTED_VALUE"""),"1000円カットのおネエさんにスいてもらう本")</f>
        <v>1000円カットのおネエさんにスいてもらう本</v>
      </c>
      <c r="G3889" s="20" t="str">
        <f>IFERROR(__xludf.DUMMYFUNCTION("""COMPUTED_VALUE"""),"1～2")</f>
        <v>1～2</v>
      </c>
      <c r="H3889" s="22" t="str">
        <f>IFERROR(__xludf.DUMMYFUNCTION("""COMPUTED_VALUE"""),"越山弱衰／はよしねま")</f>
        <v>越山弱衰／はよしねま</v>
      </c>
      <c r="I3889" s="22" t="str">
        <f>IFERROR(__xludf.DUMMYFUNCTION("""COMPUTED_VALUE"""),"アダルト")</f>
        <v>アダルト</v>
      </c>
      <c r="J3889" s="22"/>
      <c r="K3889" s="22"/>
      <c r="L3889" s="22" t="str">
        <f>IFERROR(__xludf.DUMMYFUNCTION("""COMPUTED_VALUE"""),"ナイトコミック")</f>
        <v>ナイトコミック</v>
      </c>
      <c r="M3889" s="33">
        <f>IFERROR(__xludf.DUMMYFUNCTION("""COMPUTED_VALUE"""),45940.0)</f>
        <v>45940</v>
      </c>
      <c r="N3889" s="33">
        <f>IFERROR(__xludf.DUMMYFUNCTION("""COMPUTED_VALUE"""),46002.0)</f>
        <v>46002</v>
      </c>
      <c r="O3889" s="20"/>
      <c r="P3889" s="32" t="str">
        <f>IFERROR(__xludf.DUMMYFUNCTION("""COMPUTED_VALUE"""),"可")</f>
        <v>可</v>
      </c>
      <c r="Q3889" s="30" t="str">
        <f>IFERROR(__xludf.DUMMYFUNCTION("""COMPUTED_VALUE"""),"セリフにフキダシが無いのは作者様の意図です。")</f>
        <v>セリフにフキダシが無いのは作者様の意図です。</v>
      </c>
      <c r="R3889" s="22"/>
      <c r="S3889" s="22" t="str">
        <f>IFERROR(__xludf.DUMMYFUNCTION("""COMPUTED_VALUE"""),"20250827_ナイトコミック_1000円カットのおネエさんにスいてもらう本。01-03")</f>
        <v>20250827_ナイトコミック_1000円カットのおネエさんにスいてもらう本。01-03</v>
      </c>
      <c r="T3889" s="22" t="str">
        <f>IFERROR(__xludf.DUMMYFUNCTION("""COMPUTED_VALUE"""),"格納済み")</f>
        <v>格納済み</v>
      </c>
      <c r="U3889" s="9" t="str">
        <f>IFERROR(__xludf.DUMMYFUNCTION("""COMPUTED_VALUE"""),"Ⓒ越山弱衰／はよしねま")</f>
        <v>Ⓒ越山弱衰／はよしねま</v>
      </c>
      <c r="V3889" s="8"/>
      <c r="W3889" s="8"/>
      <c r="X3889" s="8" t="str">
        <f>IFERROR(__xludf.DUMMYFUNCTION("""COMPUTED_VALUE"""),"有")</f>
        <v>有</v>
      </c>
      <c r="Y3889" s="8" t="str">
        <f>IFERROR(__xludf.DUMMYFUNCTION("""COMPUTED_VALUE"""),"2025/10/23まで1~2巻立ち読み増量
1巻：P19
2巻：P7")</f>
        <v>2025/10/23まで1~2巻立ち読み増量
1巻：P19
2巻：P7</v>
      </c>
      <c r="Z3889" s="7"/>
      <c r="AA3889" s="7"/>
      <c r="AB3889" s="7"/>
    </row>
    <row r="3890" ht="15.75" customHeight="1">
      <c r="A3890" s="26">
        <f>IFERROR(__xludf.DUMMYFUNCTION("""COMPUTED_VALUE"""),6354.0)</f>
        <v>6354</v>
      </c>
      <c r="B3890" s="22" t="str">
        <f>IFERROR(__xludf.DUMMYFUNCTION("""COMPUTED_VALUE"""),"確定")</f>
        <v>確定</v>
      </c>
      <c r="C3890" s="28">
        <f>IFERROR(__xludf.DUMMYFUNCTION("""COMPUTED_VALUE"""),45896.0)</f>
        <v>45896</v>
      </c>
      <c r="D3890" s="28">
        <f>IFERROR(__xludf.DUMMYFUNCTION("""COMPUTED_VALUE"""),45898.0)</f>
        <v>45898</v>
      </c>
      <c r="E3890" s="26">
        <f>IFERROR(__xludf.DUMMYFUNCTION("""COMPUTED_VALUE"""),339640.0)</f>
        <v>339640</v>
      </c>
      <c r="F3890" s="22" t="str">
        <f>IFERROR(__xludf.DUMMYFUNCTION("""COMPUTED_VALUE"""),"彼氏持ちの女を酔わせてエロドッキリを仕掛けてみた")</f>
        <v>彼氏持ちの女を酔わせてエロドッキリを仕掛けてみた</v>
      </c>
      <c r="G3890" s="20" t="str">
        <f>IFERROR(__xludf.DUMMYFUNCTION("""COMPUTED_VALUE"""),"1～2")</f>
        <v>1～2</v>
      </c>
      <c r="H3890" s="22" t="str">
        <f>IFERROR(__xludf.DUMMYFUNCTION("""COMPUTED_VALUE"""),"バッドエンドドリーマー")</f>
        <v>バッドエンドドリーマー</v>
      </c>
      <c r="I3890" s="22" t="str">
        <f>IFERROR(__xludf.DUMMYFUNCTION("""COMPUTED_VALUE"""),"アダルト")</f>
        <v>アダルト</v>
      </c>
      <c r="J3890" s="22"/>
      <c r="K3890" s="22"/>
      <c r="L3890" s="22" t="str">
        <f>IFERROR(__xludf.DUMMYFUNCTION("""COMPUTED_VALUE"""),"ナイトコミック")</f>
        <v>ナイトコミック</v>
      </c>
      <c r="M3890" s="33">
        <f>IFERROR(__xludf.DUMMYFUNCTION("""COMPUTED_VALUE"""),45961.0)</f>
        <v>45961</v>
      </c>
      <c r="N3890" s="33">
        <f>IFERROR(__xludf.DUMMYFUNCTION("""COMPUTED_VALUE"""),46016.0)</f>
        <v>46016</v>
      </c>
      <c r="O3890" s="20"/>
      <c r="P3890" s="32" t="str">
        <f>IFERROR(__xludf.DUMMYFUNCTION("""COMPUTED_VALUE"""),"可")</f>
        <v>可</v>
      </c>
      <c r="Q3890" s="30"/>
      <c r="R3890" s="22"/>
      <c r="S3890" s="22" t="str">
        <f>IFERROR(__xludf.DUMMYFUNCTION("""COMPUTED_VALUE"""),"20250822_ナイトコミック_彼氏持ちの女を酔わせてエロドッキリを仕掛けてみた01-03")</f>
        <v>20250822_ナイトコミック_彼氏持ちの女を酔わせてエロドッキリを仕掛けてみた01-03</v>
      </c>
      <c r="T3890" s="22" t="str">
        <f>IFERROR(__xludf.DUMMYFUNCTION("""COMPUTED_VALUE"""),"格納済み")</f>
        <v>格納済み</v>
      </c>
      <c r="U3890" s="9" t="str">
        <f>IFERROR(__xludf.DUMMYFUNCTION("""COMPUTED_VALUE"""),"Ⓒバッドエンドドリーマー")</f>
        <v>Ⓒバッドエンドドリーマー</v>
      </c>
      <c r="V3890" s="8"/>
      <c r="W3890" s="8"/>
      <c r="X3890" s="8" t="str">
        <f>IFERROR(__xludf.DUMMYFUNCTION("""COMPUTED_VALUE"""),"有")</f>
        <v>有</v>
      </c>
      <c r="Y3890" s="8" t="str">
        <f>IFERROR(__xludf.DUMMYFUNCTION("""COMPUTED_VALUE"""),"P15まで")</f>
        <v>P15まで</v>
      </c>
      <c r="Z3890" s="7"/>
      <c r="AA3890" s="7"/>
      <c r="AB3890" s="7"/>
    </row>
    <row r="3891" ht="15.75" customHeight="1">
      <c r="A3891" s="26">
        <f>IFERROR(__xludf.DUMMYFUNCTION("""COMPUTED_VALUE"""),6355.0)</f>
        <v>6355</v>
      </c>
      <c r="B3891" s="22" t="str">
        <f>IFERROR(__xludf.DUMMYFUNCTION("""COMPUTED_VALUE"""),"確定")</f>
        <v>確定</v>
      </c>
      <c r="C3891" s="28">
        <f>IFERROR(__xludf.DUMMYFUNCTION("""COMPUTED_VALUE"""),45896.0)</f>
        <v>45896</v>
      </c>
      <c r="D3891" s="28">
        <f>IFERROR(__xludf.DUMMYFUNCTION("""COMPUTED_VALUE"""),45898.0)</f>
        <v>45898</v>
      </c>
      <c r="E3891" s="26">
        <f>IFERROR(__xludf.DUMMYFUNCTION("""COMPUTED_VALUE"""),336690.0)</f>
        <v>336690</v>
      </c>
      <c r="F3891" s="22" t="str">
        <f>IFERROR(__xludf.DUMMYFUNCTION("""COMPUTED_VALUE"""),"ボーイッシュ幼なじみと付き合った日にセックスするだけ")</f>
        <v>ボーイッシュ幼なじみと付き合った日にセックスするだけ</v>
      </c>
      <c r="G3891" s="20" t="str">
        <f>IFERROR(__xludf.DUMMYFUNCTION("""COMPUTED_VALUE"""),"1～2")</f>
        <v>1～2</v>
      </c>
      <c r="H3891" s="22" t="str">
        <f>IFERROR(__xludf.DUMMYFUNCTION("""COMPUTED_VALUE"""),"フグタ家")</f>
        <v>フグタ家</v>
      </c>
      <c r="I3891" s="22" t="str">
        <f>IFERROR(__xludf.DUMMYFUNCTION("""COMPUTED_VALUE"""),"アダルト")</f>
        <v>アダルト</v>
      </c>
      <c r="J3891" s="22"/>
      <c r="K3891" s="22"/>
      <c r="L3891" s="22" t="str">
        <f>IFERROR(__xludf.DUMMYFUNCTION("""COMPUTED_VALUE"""),"ナイトコミック")</f>
        <v>ナイトコミック</v>
      </c>
      <c r="M3891" s="33">
        <f>IFERROR(__xludf.DUMMYFUNCTION("""COMPUTED_VALUE"""),45933.0)</f>
        <v>45933</v>
      </c>
      <c r="N3891" s="33">
        <f>IFERROR(__xludf.DUMMYFUNCTION("""COMPUTED_VALUE"""),45995.0)</f>
        <v>45995</v>
      </c>
      <c r="O3891" s="20"/>
      <c r="P3891" s="32" t="str">
        <f>IFERROR(__xludf.DUMMYFUNCTION("""COMPUTED_VALUE"""),"可")</f>
        <v>可</v>
      </c>
      <c r="Q3891" s="30"/>
      <c r="R3891" s="22"/>
      <c r="S3891" s="22" t="str">
        <f>IFERROR(__xludf.DUMMYFUNCTION("""COMPUTED_VALUE"""),"20250827_ナイトコミック_ボーイッシュ幼なじみと付き合った日にセックスするだけ")</f>
        <v>20250827_ナイトコミック_ボーイッシュ幼なじみと付き合った日にセックスするだけ</v>
      </c>
      <c r="T3891" s="22" t="str">
        <f>IFERROR(__xludf.DUMMYFUNCTION("""COMPUTED_VALUE"""),"格納済み")</f>
        <v>格納済み</v>
      </c>
      <c r="U3891" s="9" t="str">
        <f>IFERROR(__xludf.DUMMYFUNCTION("""COMPUTED_VALUE"""),"Ⓒフグタ家")</f>
        <v>Ⓒフグタ家</v>
      </c>
      <c r="V3891" s="8"/>
      <c r="W3891" s="8"/>
      <c r="X3891" s="8" t="str">
        <f>IFERROR(__xludf.DUMMYFUNCTION("""COMPUTED_VALUE"""),"有")</f>
        <v>有</v>
      </c>
      <c r="Y3891" s="8" t="str">
        <f>IFERROR(__xludf.DUMMYFUNCTION("""COMPUTED_VALUE"""),"2025/10/16まで1~2巻立ち読み増量
1巻：P22
2巻：P9")</f>
        <v>2025/10/16まで1~2巻立ち読み増量
1巻：P22
2巻：P9</v>
      </c>
      <c r="Z3891" s="7"/>
      <c r="AA3891" s="7"/>
      <c r="AB3891" s="7"/>
    </row>
    <row r="3892" ht="15.75" customHeight="1">
      <c r="A3892" s="26">
        <f>IFERROR(__xludf.DUMMYFUNCTION("""COMPUTED_VALUE"""),6356.0)</f>
        <v>6356</v>
      </c>
      <c r="B3892" s="22" t="str">
        <f>IFERROR(__xludf.DUMMYFUNCTION("""COMPUTED_VALUE"""),"確定")</f>
        <v>確定</v>
      </c>
      <c r="C3892" s="28">
        <f>IFERROR(__xludf.DUMMYFUNCTION("""COMPUTED_VALUE"""),45896.0)</f>
        <v>45896</v>
      </c>
      <c r="D3892" s="28">
        <f>IFERROR(__xludf.DUMMYFUNCTION("""COMPUTED_VALUE"""),45898.0)</f>
        <v>45898</v>
      </c>
      <c r="E3892" s="26">
        <f>IFERROR(__xludf.DUMMYFUNCTION("""COMPUTED_VALUE"""),336689.0)</f>
        <v>336689</v>
      </c>
      <c r="F3892" s="22" t="str">
        <f>IFERROR(__xludf.DUMMYFUNCTION("""COMPUTED_VALUE"""),"最強魔術師の溺愛才女 ～元パートナーと復縁したら、二度と離してもらえなくなりました～")</f>
        <v>最強魔術師の溺愛才女 ～元パートナーと復縁したら、二度と離してもらえなくなりました～</v>
      </c>
      <c r="G3892" s="20" t="str">
        <f>IFERROR(__xludf.DUMMYFUNCTION("""COMPUTED_VALUE"""),"1～4")</f>
        <v>1～4</v>
      </c>
      <c r="H3892" s="22" t="str">
        <f>IFERROR(__xludf.DUMMYFUNCTION("""COMPUTED_VALUE"""),"原作　まえばる蒔乃、漫画　やまくだり。")</f>
        <v>原作　まえばる蒔乃、漫画　やまくだり。</v>
      </c>
      <c r="I3892" s="22" t="str">
        <f>IFERROR(__xludf.DUMMYFUNCTION("""COMPUTED_VALUE"""),"女性")</f>
        <v>女性</v>
      </c>
      <c r="J3892" s="22"/>
      <c r="K3892" s="22" t="str">
        <f>IFERROR(__xludf.DUMMYFUNCTION("""COMPUTED_VALUE"""),"echo")</f>
        <v>echo</v>
      </c>
      <c r="L3892" s="22" t="str">
        <f>IFERROR(__xludf.DUMMYFUNCTION("""COMPUTED_VALUE"""),"一迅社")</f>
        <v>一迅社</v>
      </c>
      <c r="M3892" s="33">
        <f>IFERROR(__xludf.DUMMYFUNCTION("""COMPUTED_VALUE"""),45933.0)</f>
        <v>45933</v>
      </c>
      <c r="N3892" s="33">
        <f>IFERROR(__xludf.DUMMYFUNCTION("""COMPUTED_VALUE"""),46177.66666666667)</f>
        <v>46177.66667</v>
      </c>
      <c r="O3892" s="20"/>
      <c r="P3892" s="32" t="str">
        <f>IFERROR(__xludf.DUMMYFUNCTION("""COMPUTED_VALUE"""),"否")</f>
        <v>否</v>
      </c>
      <c r="Q3892" s="30"/>
      <c r="R3892" s="22"/>
      <c r="S3892" s="22" t="str">
        <f>IFERROR(__xludf.DUMMYFUNCTION("""COMPUTED_VALUE"""),"20250827_集英社_最強魔術師の溺愛才女 ～元パートナーと復縁したら、二度と離してもらえなくなりました～")</f>
        <v>20250827_集英社_最強魔術師の溺愛才女 ～元パートナーと復縁したら、二度と離してもらえなくなりました～</v>
      </c>
      <c r="T3892" s="22" t="str">
        <f>IFERROR(__xludf.DUMMYFUNCTION("""COMPUTED_VALUE"""),"格納済み")</f>
        <v>格納済み</v>
      </c>
      <c r="U3892" s="9" t="str">
        <f>IFERROR(__xludf.DUMMYFUNCTION("""COMPUTED_VALUE"""),"(C)まえばる蒔乃・やまくだり。／一迅社")</f>
        <v>(C)まえばる蒔乃・やまくだり。／一迅社</v>
      </c>
      <c r="V3892" s="8"/>
      <c r="W3892" s="8"/>
      <c r="X3892" s="8" t="str">
        <f>IFERROR(__xludf.DUMMYFUNCTION("""COMPUTED_VALUE"""),"有")</f>
        <v>有</v>
      </c>
      <c r="Y3892" s="8" t="str">
        <f>IFERROR(__xludf.DUMMYFUNCTION("""COMPUTED_VALUE"""),"2026/1/1まで1巻無料")</f>
        <v>2026/1/1まで1巻無料</v>
      </c>
      <c r="Z3892" s="7"/>
      <c r="AA3892" s="7"/>
      <c r="AB3892" s="7"/>
    </row>
    <row r="3893" ht="15.75" customHeight="1">
      <c r="A3893" s="26">
        <f>IFERROR(__xludf.DUMMYFUNCTION("""COMPUTED_VALUE"""),6361.0)</f>
        <v>6361</v>
      </c>
      <c r="B3893" s="22" t="str">
        <f>IFERROR(__xludf.DUMMYFUNCTION("""COMPUTED_VALUE"""),"確定")</f>
        <v>確定</v>
      </c>
      <c r="C3893" s="28">
        <f>IFERROR(__xludf.DUMMYFUNCTION("""COMPUTED_VALUE"""),45897.0)</f>
        <v>45897</v>
      </c>
      <c r="D3893" s="28">
        <f>IFERROR(__xludf.DUMMYFUNCTION("""COMPUTED_VALUE"""),45903.0)</f>
        <v>45903</v>
      </c>
      <c r="E3893" s="26">
        <f>IFERROR(__xludf.DUMMYFUNCTION("""COMPUTED_VALUE"""),336040.0)</f>
        <v>336040</v>
      </c>
      <c r="F3893" s="22" t="str">
        <f>IFERROR(__xludf.DUMMYFUNCTION("""COMPUTED_VALUE"""),"利息はカラダで払ってね？【分冊版】")</f>
        <v>利息はカラダで払ってね？【分冊版】</v>
      </c>
      <c r="G3893" s="20" t="str">
        <f>IFERROR(__xludf.DUMMYFUNCTION("""COMPUTED_VALUE"""),"1～10")</f>
        <v>1～10</v>
      </c>
      <c r="H3893" s="22" t="str">
        <f>IFERROR(__xludf.DUMMYFUNCTION("""COMPUTED_VALUE"""),"kook, LObeam")</f>
        <v>kook, LObeam</v>
      </c>
      <c r="I3893" s="22" t="str">
        <f>IFERROR(__xludf.DUMMYFUNCTION("""COMPUTED_VALUE"""),"青年")</f>
        <v>青年</v>
      </c>
      <c r="J3893" s="22"/>
      <c r="K3893" s="22"/>
      <c r="L3893" s="22" t="str">
        <f>IFERROR(__xludf.DUMMYFUNCTION("""COMPUTED_VALUE"""),"RIVERSE（リバース）")</f>
        <v>RIVERSE（リバース）</v>
      </c>
      <c r="M3893" s="33">
        <f>IFERROR(__xludf.DUMMYFUNCTION("""COMPUTED_VALUE"""),45928.0)</f>
        <v>45928</v>
      </c>
      <c r="N3893" s="33">
        <f>IFERROR(__xludf.DUMMYFUNCTION("""COMPUTED_VALUE"""),46019.0)</f>
        <v>46019</v>
      </c>
      <c r="O3893" s="20"/>
      <c r="P3893" s="32" t="str">
        <f>IFERROR(__xludf.DUMMYFUNCTION("""COMPUTED_VALUE"""),"可")</f>
        <v>可</v>
      </c>
      <c r="Q3893" s="30"/>
      <c r="R3893" s="22"/>
      <c r="S3893" s="22" t="str">
        <f>IFERROR(__xludf.DUMMYFUNCTION("""COMPUTED_VALUE"""),"20250902_リバース_利息はカラダで払ってね？【分冊版】")</f>
        <v>20250902_リバース_利息はカラダで払ってね？【分冊版】</v>
      </c>
      <c r="T3893" s="22" t="str">
        <f>IFERROR(__xludf.DUMMYFUNCTION("""COMPUTED_VALUE"""),"格納済み")</f>
        <v>格納済み</v>
      </c>
      <c r="U3893" s="9" t="str">
        <f>IFERROR(__xludf.DUMMYFUNCTION("""COMPUTED_VALUE"""),"Ⓒkook, LObeam, Toomics / GO5")</f>
        <v>Ⓒkook, LObeam, Toomics / GO5</v>
      </c>
      <c r="V3893" s="8"/>
      <c r="W3893" s="8"/>
      <c r="X3893" s="8" t="str">
        <f>IFERROR(__xludf.DUMMYFUNCTION("""COMPUTED_VALUE"""),"有")</f>
        <v>有</v>
      </c>
      <c r="Y3893" s="8" t="str">
        <f>IFERROR(__xludf.DUMMYFUNCTION("""COMPUTED_VALUE"""),"1巻無料")</f>
        <v>1巻無料</v>
      </c>
      <c r="Z3893" s="7"/>
      <c r="AA3893" s="7"/>
      <c r="AB3893" s="7"/>
    </row>
    <row r="3894" ht="15.75" customHeight="1">
      <c r="A3894" s="26">
        <f>IFERROR(__xludf.DUMMYFUNCTION("""COMPUTED_VALUE"""),6362.0)</f>
        <v>6362</v>
      </c>
      <c r="B3894" s="22" t="str">
        <f>IFERROR(__xludf.DUMMYFUNCTION("""COMPUTED_VALUE"""),"確定")</f>
        <v>確定</v>
      </c>
      <c r="C3894" s="28">
        <f>IFERROR(__xludf.DUMMYFUNCTION("""COMPUTED_VALUE"""),45897.0)</f>
        <v>45897</v>
      </c>
      <c r="D3894" s="28">
        <f>IFERROR(__xludf.DUMMYFUNCTION("""COMPUTED_VALUE"""),45903.0)</f>
        <v>45903</v>
      </c>
      <c r="E3894" s="26">
        <f>IFERROR(__xludf.DUMMYFUNCTION("""COMPUTED_VALUE"""),336041.0)</f>
        <v>336041</v>
      </c>
      <c r="F3894" s="22" t="str">
        <f>IFERROR(__xludf.DUMMYFUNCTION("""COMPUTED_VALUE"""),"堅物上司に今日もイン！【分冊版】")</f>
        <v>堅物上司に今日もイン！【分冊版】</v>
      </c>
      <c r="G3894" s="20" t="str">
        <f>IFERROR(__xludf.DUMMYFUNCTION("""COMPUTED_VALUE"""),"1～10")</f>
        <v>1～10</v>
      </c>
      <c r="H3894" s="22" t="str">
        <f>IFERROR(__xludf.DUMMYFUNCTION("""COMPUTED_VALUE"""),"スーヨ, SB")</f>
        <v>スーヨ, SB</v>
      </c>
      <c r="I3894" s="22" t="str">
        <f>IFERROR(__xludf.DUMMYFUNCTION("""COMPUTED_VALUE"""),"青年")</f>
        <v>青年</v>
      </c>
      <c r="J3894" s="22"/>
      <c r="K3894" s="22"/>
      <c r="L3894" s="22" t="str">
        <f>IFERROR(__xludf.DUMMYFUNCTION("""COMPUTED_VALUE"""),"RIVERSE（リバース）")</f>
        <v>RIVERSE（リバース）</v>
      </c>
      <c r="M3894" s="33">
        <f>IFERROR(__xludf.DUMMYFUNCTION("""COMPUTED_VALUE"""),45928.0)</f>
        <v>45928</v>
      </c>
      <c r="N3894" s="33">
        <f>IFERROR(__xludf.DUMMYFUNCTION("""COMPUTED_VALUE"""),46019.0)</f>
        <v>46019</v>
      </c>
      <c r="O3894" s="20"/>
      <c r="P3894" s="32" t="str">
        <f>IFERROR(__xludf.DUMMYFUNCTION("""COMPUTED_VALUE"""),"可")</f>
        <v>可</v>
      </c>
      <c r="Q3894" s="30"/>
      <c r="R3894" s="22"/>
      <c r="S3894" s="22" t="str">
        <f>IFERROR(__xludf.DUMMYFUNCTION("""COMPUTED_VALUE"""),"20250902_リバース_堅物上司に今日もイン！【分冊版】")</f>
        <v>20250902_リバース_堅物上司に今日もイン！【分冊版】</v>
      </c>
      <c r="T3894" s="22" t="str">
        <f>IFERROR(__xludf.DUMMYFUNCTION("""COMPUTED_VALUE"""),"格納済み")</f>
        <v>格納済み</v>
      </c>
      <c r="U3894" s="9" t="str">
        <f>IFERROR(__xludf.DUMMYFUNCTION("""COMPUTED_VALUE"""),"Ⓒスーヨ, SB, Toomics / GO5")</f>
        <v>Ⓒスーヨ, SB, Toomics / GO5</v>
      </c>
      <c r="V3894" s="8"/>
      <c r="W3894" s="8"/>
      <c r="X3894" s="8" t="str">
        <f>IFERROR(__xludf.DUMMYFUNCTION("""COMPUTED_VALUE"""),"有")</f>
        <v>有</v>
      </c>
      <c r="Y3894" s="8" t="str">
        <f>IFERROR(__xludf.DUMMYFUNCTION("""COMPUTED_VALUE"""),"1巻無料")</f>
        <v>1巻無料</v>
      </c>
      <c r="Z3894" s="7"/>
      <c r="AA3894" s="7"/>
      <c r="AB3894" s="7"/>
    </row>
    <row r="3895" ht="15.75" customHeight="1">
      <c r="A3895" s="26">
        <f>IFERROR(__xludf.DUMMYFUNCTION("""COMPUTED_VALUE"""),6363.0)</f>
        <v>6363</v>
      </c>
      <c r="B3895" s="22" t="str">
        <f>IFERROR(__xludf.DUMMYFUNCTION("""COMPUTED_VALUE"""),"確定")</f>
        <v>確定</v>
      </c>
      <c r="C3895" s="28">
        <f>IFERROR(__xludf.DUMMYFUNCTION("""COMPUTED_VALUE"""),45897.0)</f>
        <v>45897</v>
      </c>
      <c r="D3895" s="28">
        <f>IFERROR(__xludf.DUMMYFUNCTION("""COMPUTED_VALUE"""),45898.0)</f>
        <v>45898</v>
      </c>
      <c r="E3895" s="26">
        <f>IFERROR(__xludf.DUMMYFUNCTION("""COMPUTED_VALUE"""),335964.0)</f>
        <v>335964</v>
      </c>
      <c r="F3895" s="22" t="str">
        <f>IFERROR(__xludf.DUMMYFUNCTION("""COMPUTED_VALUE"""),"トゲ抜き侍女は転生竜に奪い去られる")</f>
        <v>トゲ抜き侍女は転生竜に奪い去られる</v>
      </c>
      <c r="G3895" s="20" t="str">
        <f>IFERROR(__xludf.DUMMYFUNCTION("""COMPUTED_VALUE"""),"1～5")</f>
        <v>1～5</v>
      </c>
      <c r="H3895" s="22" t="str">
        <f>IFERROR(__xludf.DUMMYFUNCTION("""COMPUTED_VALUE"""),"志藤ミネ")</f>
        <v>志藤ミネ</v>
      </c>
      <c r="I3895" s="22" t="str">
        <f>IFERROR(__xludf.DUMMYFUNCTION("""COMPUTED_VALUE"""),"少女マンガ")</f>
        <v>少女マンガ</v>
      </c>
      <c r="J3895" s="22"/>
      <c r="K3895" s="22"/>
      <c r="L3895" s="22" t="str">
        <f>IFERROR(__xludf.DUMMYFUNCTION("""COMPUTED_VALUE"""),"マッグガーデン")</f>
        <v>マッグガーデン</v>
      </c>
      <c r="M3895" s="33">
        <f>IFERROR(__xludf.DUMMYFUNCTION("""COMPUTED_VALUE"""),45926.0)</f>
        <v>45926</v>
      </c>
      <c r="N3895" s="33">
        <f>IFERROR(__xludf.DUMMYFUNCTION("""COMPUTED_VALUE"""),46066.70833333333)</f>
        <v>46066.70833</v>
      </c>
      <c r="O3895" s="20"/>
      <c r="P3895" s="32" t="str">
        <f>IFERROR(__xludf.DUMMYFUNCTION("""COMPUTED_VALUE"""),"否")</f>
        <v>否</v>
      </c>
      <c r="Q3895" s="30"/>
      <c r="R3895" s="22" t="str">
        <f>IFERROR(__xludf.DUMMYFUNCTION("""COMPUTED_VALUE"""),"コミットOK")</f>
        <v>コミットOK</v>
      </c>
      <c r="S3895" s="22" t="str">
        <f>IFERROR(__xludf.DUMMYFUNCTION("""COMPUTED_VALUE"""),"202050828_マッグガーデン_トゲ抜き侍女は転生竜に奪い去られる")</f>
        <v>202050828_マッグガーデン_トゲ抜き侍女は転生竜に奪い去られる</v>
      </c>
      <c r="T3895" s="22" t="str">
        <f>IFERROR(__xludf.DUMMYFUNCTION("""COMPUTED_VALUE"""),"格納済み")</f>
        <v>格納済み</v>
      </c>
      <c r="U3895" s="9" t="str">
        <f>IFERROR(__xludf.DUMMYFUNCTION("""COMPUTED_VALUE"""),"(c)志藤ミネ/MAG Garden")</f>
        <v>(c)志藤ミネ/MAG Garden</v>
      </c>
      <c r="V3895" s="8"/>
      <c r="W3895" s="8"/>
      <c r="X3895" s="8" t="str">
        <f>IFERROR(__xludf.DUMMYFUNCTION("""COMPUTED_VALUE"""),"有")</f>
        <v>有</v>
      </c>
      <c r="Y3895" s="8" t="str">
        <f>IFERROR(__xludf.DUMMYFUNCTION("""COMPUTED_VALUE"""),"P5まで")</f>
        <v>P5まで</v>
      </c>
      <c r="Z3895" s="7"/>
      <c r="AA3895" s="7"/>
      <c r="AB3895" s="7"/>
    </row>
    <row r="3896" ht="15.75" customHeight="1">
      <c r="A3896" s="26">
        <f>IFERROR(__xludf.DUMMYFUNCTION("""COMPUTED_VALUE"""),5221.0)</f>
        <v>5221</v>
      </c>
      <c r="B3896" s="22" t="str">
        <f>IFERROR(__xludf.DUMMYFUNCTION("""COMPUTED_VALUE"""),"確定")</f>
        <v>確定</v>
      </c>
      <c r="C3896" s="28">
        <f>IFERROR(__xludf.DUMMYFUNCTION("""COMPUTED_VALUE"""),45727.0)</f>
        <v>45727</v>
      </c>
      <c r="D3896" s="28">
        <f>IFERROR(__xludf.DUMMYFUNCTION("""COMPUTED_VALUE"""),45741.0)</f>
        <v>45741</v>
      </c>
      <c r="E3896" s="26">
        <f>IFERROR(__xludf.DUMMYFUNCTION("""COMPUTED_VALUE"""),336498.0)</f>
        <v>336498</v>
      </c>
      <c r="F3896" s="22" t="str">
        <f>IFERROR(__xludf.DUMMYFUNCTION("""COMPUTED_VALUE"""),"敏感乳首を治したいっ～エッチな刺激でリハビリ治療～【フルカラー】")</f>
        <v>敏感乳首を治したいっ～エッチな刺激でリハビリ治療～【フルカラー】</v>
      </c>
      <c r="G3896" s="20" t="str">
        <f>IFERROR(__xludf.DUMMYFUNCTION("""COMPUTED_VALUE"""),"1～3")</f>
        <v>1～3</v>
      </c>
      <c r="H3896" s="22" t="str">
        <f>IFERROR(__xludf.DUMMYFUNCTION("""COMPUTED_VALUE"""),"梅ぱいたん")</f>
        <v>梅ぱいたん</v>
      </c>
      <c r="I3896" s="22" t="str">
        <f>IFERROR(__xludf.DUMMYFUNCTION("""COMPUTED_VALUE"""),"アダルトマンガ")</f>
        <v>アダルトマンガ</v>
      </c>
      <c r="J3896" s="22"/>
      <c r="K3896" s="22" t="str">
        <f>IFERROR(__xludf.DUMMYFUNCTION("""COMPUTED_VALUE"""),"カゲキヤコミック")</f>
        <v>カゲキヤコミック</v>
      </c>
      <c r="L3896" s="22" t="str">
        <f>IFERROR(__xludf.DUMMYFUNCTION("""COMPUTED_VALUE"""),"DEEPER-ZERO")</f>
        <v>DEEPER-ZERO</v>
      </c>
      <c r="M3896" s="33">
        <f>IFERROR(__xludf.DUMMYFUNCTION("""COMPUTED_VALUE"""),45926.0)</f>
        <v>45926</v>
      </c>
      <c r="N3896" s="33">
        <f>IFERROR(__xludf.DUMMYFUNCTION("""COMPUTED_VALUE"""),45981.0)</f>
        <v>45981</v>
      </c>
      <c r="O3896" s="20"/>
      <c r="P3896" s="32" t="str">
        <f>IFERROR(__xludf.DUMMYFUNCTION("""COMPUTED_VALUE"""),"可")</f>
        <v>可</v>
      </c>
      <c r="Q3896" s="30"/>
      <c r="R3896" s="22" t="str">
        <f>IFERROR(__xludf.DUMMYFUNCTION("""COMPUTED_VALUE"""),"コミットOK")</f>
        <v>コミットOK</v>
      </c>
      <c r="S3896" s="22" t="str">
        <f>IFERROR(__xludf.DUMMYFUNCTION("""COMPUTED_VALUE"""),"20250903_DEEPER-ZERO_敏感乳首を治したいっ～エッチな刺激でリハビリ治療～【フルカラー】")</f>
        <v>20250903_DEEPER-ZERO_敏感乳首を治したいっ～エッチな刺激でリハビリ治療～【フルカラー】</v>
      </c>
      <c r="T3896" s="22" t="str">
        <f>IFERROR(__xludf.DUMMYFUNCTION("""COMPUTED_VALUE"""),"格納済み")</f>
        <v>格納済み</v>
      </c>
      <c r="U3896" s="9" t="str">
        <f>IFERROR(__xludf.DUMMYFUNCTION("""COMPUTED_VALUE"""),"Ⓒ梅ぱいたん/DEEPER-ZERO")</f>
        <v>Ⓒ梅ぱいたん/DEEPER-ZERO</v>
      </c>
      <c r="V3896" s="8"/>
      <c r="W3896" s="8"/>
      <c r="X3896" s="8" t="str">
        <f>IFERROR(__xludf.DUMMYFUNCTION("""COMPUTED_VALUE"""),"有")</f>
        <v>有</v>
      </c>
      <c r="Y3896" s="8" t="str">
        <f>IFERROR(__xludf.DUMMYFUNCTION("""COMPUTED_VALUE"""),"P12まで")</f>
        <v>P12まで</v>
      </c>
      <c r="Z3896" s="7"/>
      <c r="AA3896" s="7"/>
      <c r="AB3896" s="7"/>
    </row>
    <row r="3897" ht="15.75" customHeight="1">
      <c r="A3897" s="26">
        <f>IFERROR(__xludf.DUMMYFUNCTION("""COMPUTED_VALUE"""),5987.0)</f>
        <v>5987</v>
      </c>
      <c r="B3897" s="22" t="str">
        <f>IFERROR(__xludf.DUMMYFUNCTION("""COMPUTED_VALUE"""),"確定")</f>
        <v>確定</v>
      </c>
      <c r="C3897" s="28">
        <f>IFERROR(__xludf.DUMMYFUNCTION("""COMPUTED_VALUE"""),45841.0)</f>
        <v>45841</v>
      </c>
      <c r="D3897" s="28">
        <f>IFERROR(__xludf.DUMMYFUNCTION("""COMPUTED_VALUE"""),45903.0)</f>
        <v>45903</v>
      </c>
      <c r="E3897" s="26">
        <f>IFERROR(__xludf.DUMMYFUNCTION("""COMPUTED_VALUE"""),336986.0)</f>
        <v>336986</v>
      </c>
      <c r="F3897" s="22" t="str">
        <f>IFERROR(__xludf.DUMMYFUNCTION("""COMPUTED_VALUE"""),"転生した脇役平凡な僕は、美形第二王子をヤンデレにしてしまった（分冊版）")</f>
        <v>転生した脇役平凡な僕は、美形第二王子をヤンデレにしてしまった（分冊版）</v>
      </c>
      <c r="G3897" s="20" t="str">
        <f>IFERROR(__xludf.DUMMYFUNCTION("""COMPUTED_VALUE"""),"1～5")</f>
        <v>1～5</v>
      </c>
      <c r="H3897" s="22" t="str">
        <f>IFERROR(__xludf.DUMMYFUNCTION("""COMPUTED_VALUE"""),"七瀬おむ・岩奇しゃけ")</f>
        <v>七瀬おむ・岩奇しゃけ</v>
      </c>
      <c r="I3897" s="22" t="str">
        <f>IFERROR(__xludf.DUMMYFUNCTION("""COMPUTED_VALUE"""),"BL")</f>
        <v>BL</v>
      </c>
      <c r="J3897" s="22"/>
      <c r="K3897" s="22" t="str">
        <f>IFERROR(__xludf.DUMMYFUNCTION("""COMPUTED_VALUE"""),"アンダルシュCOMICS")</f>
        <v>アンダルシュCOMICS</v>
      </c>
      <c r="L3897" s="22" t="str">
        <f>IFERROR(__xludf.DUMMYFUNCTION("""COMPUTED_VALUE"""),"アルファポリス")</f>
        <v>アルファポリス</v>
      </c>
      <c r="M3897" s="33">
        <f>IFERROR(__xludf.DUMMYFUNCTION("""COMPUTED_VALUE"""),45931.0)</f>
        <v>45931</v>
      </c>
      <c r="N3897" s="33">
        <f>IFERROR(__xludf.DUMMYFUNCTION("""COMPUTED_VALUE"""),46027.0)</f>
        <v>46027</v>
      </c>
      <c r="O3897" s="20"/>
      <c r="P3897" s="32" t="str">
        <f>IFERROR(__xludf.DUMMYFUNCTION("""COMPUTED_VALUE"""),"可")</f>
        <v>可</v>
      </c>
      <c r="Q3897" s="30"/>
      <c r="R3897" s="22"/>
      <c r="S3897" s="22" t="str">
        <f>IFERROR(__xludf.DUMMYFUNCTION("""COMPUTED_VALUE"""),"20250903_アルファポリス_転生した脇役平凡な僕は、美形第二王子をヤンデレにしてしまった")</f>
        <v>20250903_アルファポリス_転生した脇役平凡な僕は、美形第二王子をヤンデレにしてしまった</v>
      </c>
      <c r="T3897" s="22" t="str">
        <f>IFERROR(__xludf.DUMMYFUNCTION("""COMPUTED_VALUE"""),"格納済み")</f>
        <v>格納済み</v>
      </c>
      <c r="U3897" s="9" t="str">
        <f>IFERROR(__xludf.DUMMYFUNCTION("""COMPUTED_VALUE"""),"（C）七瀬おむ・岩奇しゃけ／アルファポリス
")</f>
        <v>（C）七瀬おむ・岩奇しゃけ／アルファポリス
</v>
      </c>
      <c r="V3897" s="8"/>
      <c r="W3897" s="8"/>
      <c r="X3897" s="8" t="str">
        <f>IFERROR(__xludf.DUMMYFUNCTION("""COMPUTED_VALUE"""),"有")</f>
        <v>有</v>
      </c>
      <c r="Y3897" s="8" t="str">
        <f>IFERROR(__xludf.DUMMYFUNCTION("""COMPUTED_VALUE"""),"2025/10/14まで1~2巻無料")</f>
        <v>2025/10/14まで1~2巻無料</v>
      </c>
      <c r="Z3897" s="7"/>
      <c r="AA3897" s="7"/>
      <c r="AB3897" s="7"/>
    </row>
    <row r="3898" ht="15.75" customHeight="1">
      <c r="A3898" s="26">
        <f>IFERROR(__xludf.DUMMYFUNCTION("""COMPUTED_VALUE"""),5302.0)</f>
        <v>5302</v>
      </c>
      <c r="B3898" s="22" t="str">
        <f>IFERROR(__xludf.DUMMYFUNCTION("""COMPUTED_VALUE"""),"確定")</f>
        <v>確定</v>
      </c>
      <c r="C3898" s="28">
        <f>IFERROR(__xludf.DUMMYFUNCTION("""COMPUTED_VALUE"""),45735.0)</f>
        <v>45735</v>
      </c>
      <c r="D3898" s="28">
        <f>IFERROR(__xludf.DUMMYFUNCTION("""COMPUTED_VALUE"""),45909.0)</f>
        <v>45909</v>
      </c>
      <c r="E3898" s="26">
        <f>IFERROR(__xludf.DUMMYFUNCTION("""COMPUTED_VALUE"""),339370.0)</f>
        <v>339370</v>
      </c>
      <c r="F3898" s="22" t="str">
        <f>IFERROR(__xludf.DUMMYFUNCTION("""COMPUTED_VALUE"""),"今まで馬鹿にされていた気弱令嬢に転生したら、とんでもない事になった話、聞く？（分冊版）")</f>
        <v>今まで馬鹿にされていた気弱令嬢に転生したら、とんでもない事になった話、聞く？（分冊版）</v>
      </c>
      <c r="G3898" s="20" t="str">
        <f>IFERROR(__xludf.DUMMYFUNCTION("""COMPUTED_VALUE"""),"1～5")</f>
        <v>1～5</v>
      </c>
      <c r="H3898" s="22" t="str">
        <f>IFERROR(__xludf.DUMMYFUNCTION("""COMPUTED_VALUE"""),"上原誠/漫画 やきいもほくほく/原作")</f>
        <v>上原誠/漫画 やきいもほくほく/原作</v>
      </c>
      <c r="I3898" s="22" t="str">
        <f>IFERROR(__xludf.DUMMYFUNCTION("""COMPUTED_VALUE"""),"女性")</f>
        <v>女性</v>
      </c>
      <c r="J3898" s="22"/>
      <c r="K3898" s="22"/>
      <c r="L3898" s="22" t="str">
        <f>IFERROR(__xludf.DUMMYFUNCTION("""COMPUTED_VALUE"""),"アルファポリス")</f>
        <v>アルファポリス</v>
      </c>
      <c r="M3898" s="33">
        <f>IFERROR(__xludf.DUMMYFUNCTION("""COMPUTED_VALUE"""),45954.0)</f>
        <v>45954</v>
      </c>
      <c r="N3898" s="33">
        <f>IFERROR(__xludf.DUMMYFUNCTION("""COMPUTED_VALUE"""),46108.66666666667)</f>
        <v>46108.66667</v>
      </c>
      <c r="O3898" s="20"/>
      <c r="P3898" s="32" t="str">
        <f>IFERROR(__xludf.DUMMYFUNCTION("""COMPUTED_VALUE"""),"否")</f>
        <v>否</v>
      </c>
      <c r="Q3898" s="30"/>
      <c r="R3898" s="22"/>
      <c r="S3898" s="22" t="str">
        <f>IFERROR(__xludf.DUMMYFUNCTION("""COMPUTED_VALUE"""),"20250905_アルファポリス_今まで馬鹿にされていた気弱令嬢に転生したら、とんでもないことになった話、聞く？")</f>
        <v>20250905_アルファポリス_今まで馬鹿にされていた気弱令嬢に転生したら、とんでもないことになった話、聞く？</v>
      </c>
      <c r="T3898" s="22" t="str">
        <f>IFERROR(__xludf.DUMMYFUNCTION("""COMPUTED_VALUE"""),"格納済み")</f>
        <v>格納済み</v>
      </c>
      <c r="U3898" s="9" t="str">
        <f>IFERROR(__xludf.DUMMYFUNCTION("""COMPUTED_VALUE"""),"(C)やきいもほくほく・上原誠／アルファポリス")</f>
        <v>(C)やきいもほくほく・上原誠／アルファポリス</v>
      </c>
      <c r="V3898" s="8"/>
      <c r="W3898" s="8"/>
      <c r="X3898" s="8" t="str">
        <f>IFERROR(__xludf.DUMMYFUNCTION("""COMPUTED_VALUE"""),"有")</f>
        <v>有</v>
      </c>
      <c r="Y3898" s="8" t="str">
        <f>IFERROR(__xludf.DUMMYFUNCTION("""COMPUTED_VALUE"""),"1巻無料")</f>
        <v>1巻無料</v>
      </c>
      <c r="Z3898" s="7"/>
      <c r="AA3898" s="7"/>
      <c r="AB3898" s="7"/>
    </row>
    <row r="3899" ht="15.75" customHeight="1">
      <c r="A3899" s="26">
        <f>IFERROR(__xludf.DUMMYFUNCTION("""COMPUTED_VALUE"""),5725.0)</f>
        <v>5725</v>
      </c>
      <c r="B3899" s="22" t="str">
        <f>IFERROR(__xludf.DUMMYFUNCTION("""COMPUTED_VALUE"""),"確定")</f>
        <v>確定</v>
      </c>
      <c r="C3899" s="28">
        <f>IFERROR(__xludf.DUMMYFUNCTION("""COMPUTED_VALUE"""),45812.0)</f>
        <v>45812</v>
      </c>
      <c r="D3899" s="28">
        <f>IFERROR(__xludf.DUMMYFUNCTION("""COMPUTED_VALUE"""),45908.0)</f>
        <v>45908</v>
      </c>
      <c r="E3899" s="26">
        <f>IFERROR(__xludf.DUMMYFUNCTION("""COMPUTED_VALUE"""),339800.0)</f>
        <v>339800</v>
      </c>
      <c r="F3899" s="22" t="str">
        <f>IFERROR(__xludf.DUMMYFUNCTION("""COMPUTED_VALUE"""),"逆行悪女はやることが多すぎる 【連載版】")</f>
        <v>逆行悪女はやることが多すぎる 【連載版】</v>
      </c>
      <c r="G3899" s="20" t="str">
        <f>IFERROR(__xludf.DUMMYFUNCTION("""COMPUTED_VALUE"""),"1～4")</f>
        <v>1～4</v>
      </c>
      <c r="H3899" s="22" t="str">
        <f>IFERROR(__xludf.DUMMYFUNCTION("""COMPUTED_VALUE"""),"漫画：高松 翼／原作：道草家守")</f>
        <v>漫画：高松 翼／原作：道草家守</v>
      </c>
      <c r="I3899" s="22" t="str">
        <f>IFERROR(__xludf.DUMMYFUNCTION("""COMPUTED_VALUE"""),"少女")</f>
        <v>少女</v>
      </c>
      <c r="J3899" s="22"/>
      <c r="K3899" s="22" t="str">
        <f>IFERROR(__xludf.DUMMYFUNCTION("""COMPUTED_VALUE"""),"ZERO-SUMコミックス")</f>
        <v>ZERO-SUMコミックス</v>
      </c>
      <c r="L3899" s="22" t="str">
        <f>IFERROR(__xludf.DUMMYFUNCTION("""COMPUTED_VALUE"""),"一迅社")</f>
        <v>一迅社</v>
      </c>
      <c r="M3899" s="33">
        <f>IFERROR(__xludf.DUMMYFUNCTION("""COMPUTED_VALUE"""),45962.0)</f>
        <v>45962</v>
      </c>
      <c r="N3899" s="33">
        <f>IFERROR(__xludf.DUMMYFUNCTION("""COMPUTED_VALUE"""),46112.66666666667)</f>
        <v>46112.66667</v>
      </c>
      <c r="O3899" s="20"/>
      <c r="P3899" s="32" t="str">
        <f>IFERROR(__xludf.DUMMYFUNCTION("""COMPUTED_VALUE"""),"否")</f>
        <v>否</v>
      </c>
      <c r="Q3899" s="30" t="str">
        <f>IFERROR(__xludf.DUMMYFUNCTION("""COMPUTED_VALUE"""),"1~3話までの素材で制作お願いいたします。&lt;BR&gt;また、素材は広告用素材フォルダの「ロゴ、カラーデータ」内の【納品】と記載されたフォルダ内の素材をご使用ください。&lt;BR&gt;&lt;BR&gt;&lt;BR&gt;他社で連載実績のあるタッグによる新作です。冒頭のスピード間のある展開や、キャラの表情「強い・戦う女性主人公像作品」が引きになるように感じています。&lt;BR&gt;")</f>
        <v>1~3話までの素材で制作お願いいたします。&lt;BR&gt;また、素材は広告用素材フォルダの「ロゴ、カラーデータ」内の【納品】と記載されたフォルダ内の素材をご使用ください。&lt;BR&gt;&lt;BR&gt;&lt;BR&gt;他社で連載実績のあるタッグによる新作です。冒頭のスピード間のある展開や、キャラの表情「強い・戦う女性主人公像作品」が引きになるように感じています。&lt;BR&gt;</v>
      </c>
      <c r="R3899" s="22" t="str">
        <f>IFERROR(__xludf.DUMMYFUNCTION("""COMPUTED_VALUE"""),"コミットOK")</f>
        <v>コミットOK</v>
      </c>
      <c r="S3899" s="22" t="str">
        <f>IFERROR(__xludf.DUMMYFUNCTION("""COMPUTED_VALUE"""),"20250904_一迅社_逆行悪女はやることが多すぎる")</f>
        <v>20250904_一迅社_逆行悪女はやることが多すぎる</v>
      </c>
      <c r="T3899" s="22" t="str">
        <f>IFERROR(__xludf.DUMMYFUNCTION("""COMPUTED_VALUE"""),"格納済み")</f>
        <v>格納済み</v>
      </c>
      <c r="U3899" s="9" t="str">
        <f>IFERROR(__xludf.DUMMYFUNCTION("""COMPUTED_VALUE"""),"(C)高松翼・道草家守／一迅社")</f>
        <v>(C)高松翼・道草家守／一迅社</v>
      </c>
      <c r="V3899" s="8"/>
      <c r="W3899" s="8"/>
      <c r="X3899" s="8" t="str">
        <f>IFERROR(__xludf.DUMMYFUNCTION("""COMPUTED_VALUE"""),"有")</f>
        <v>有</v>
      </c>
      <c r="Y3899" s="8" t="str">
        <f>IFERROR(__xludf.DUMMYFUNCTION("""COMPUTED_VALUE"""),"2025/12/31まで1巻無料")</f>
        <v>2025/12/31まで1巻無料</v>
      </c>
      <c r="Z3899" s="7"/>
      <c r="AA3899" s="7"/>
      <c r="AB3899" s="7"/>
    </row>
    <row r="3900" ht="15.75" customHeight="1">
      <c r="A3900" s="26">
        <f>IFERROR(__xludf.DUMMYFUNCTION("""COMPUTED_VALUE"""),5851.0)</f>
        <v>5851</v>
      </c>
      <c r="B3900" s="22" t="str">
        <f>IFERROR(__xludf.DUMMYFUNCTION("""COMPUTED_VALUE"""),"確定")</f>
        <v>確定</v>
      </c>
      <c r="C3900" s="28">
        <f>IFERROR(__xludf.DUMMYFUNCTION("""COMPUTED_VALUE"""),45824.0)</f>
        <v>45824</v>
      </c>
      <c r="D3900" s="28">
        <f>IFERROR(__xludf.DUMMYFUNCTION("""COMPUTED_VALUE"""),45908.0)</f>
        <v>45908</v>
      </c>
      <c r="E3900" s="26">
        <f>IFERROR(__xludf.DUMMYFUNCTION("""COMPUTED_VALUE"""),339001.0)</f>
        <v>339001</v>
      </c>
      <c r="F3900" s="22" t="str">
        <f>IFERROR(__xludf.DUMMYFUNCTION("""COMPUTED_VALUE"""),"居場所を奪われ続けた私はどこに行けばいいのでしょうか？（分冊版）")</f>
        <v>居場所を奪われ続けた私はどこに行けばいいのでしょうか？（分冊版）</v>
      </c>
      <c r="G3900" s="20" t="str">
        <f>IFERROR(__xludf.DUMMYFUNCTION("""COMPUTED_VALUE"""),"1～5")</f>
        <v>1～5</v>
      </c>
      <c r="H3900" s="22" t="str">
        <f>IFERROR(__xludf.DUMMYFUNCTION("""COMPUTED_VALUE"""),"暮間チカ/漫画gacchi/原作")</f>
        <v>暮間チカ/漫画gacchi/原作</v>
      </c>
      <c r="I3900" s="22" t="str">
        <f>IFERROR(__xludf.DUMMYFUNCTION("""COMPUTED_VALUE"""),"女性")</f>
        <v>女性</v>
      </c>
      <c r="J3900" s="22"/>
      <c r="K3900" s="22" t="str">
        <f>IFERROR(__xludf.DUMMYFUNCTION("""COMPUTED_VALUE"""),"レジーナCOMICS")</f>
        <v>レジーナCOMICS</v>
      </c>
      <c r="L3900" s="22" t="str">
        <f>IFERROR(__xludf.DUMMYFUNCTION("""COMPUTED_VALUE"""),"アルファポリス")</f>
        <v>アルファポリス</v>
      </c>
      <c r="M3900" s="33">
        <f>IFERROR(__xludf.DUMMYFUNCTION("""COMPUTED_VALUE"""),45954.0)</f>
        <v>45954</v>
      </c>
      <c r="N3900" s="33">
        <f>IFERROR(__xludf.DUMMYFUNCTION("""COMPUTED_VALUE"""),46052.0)</f>
        <v>46052</v>
      </c>
      <c r="O3900" s="20"/>
      <c r="P3900" s="32" t="str">
        <f>IFERROR(__xludf.DUMMYFUNCTION("""COMPUTED_VALUE"""),"否")</f>
        <v>否</v>
      </c>
      <c r="Q3900" s="30"/>
      <c r="R3900" s="22"/>
      <c r="S3900" s="22" t="str">
        <f>IFERROR(__xludf.DUMMYFUNCTION("""COMPUTED_VALUE"""),"20250905_アルファポリス_居場所を奪われ続けた私はどこに行けばいいのでしょうか？")</f>
        <v>20250905_アルファポリス_居場所を奪われ続けた私はどこに行けばいいのでしょうか？</v>
      </c>
      <c r="T3900" s="22" t="str">
        <f>IFERROR(__xludf.DUMMYFUNCTION("""COMPUTED_VALUE"""),"格納済み")</f>
        <v>格納済み</v>
      </c>
      <c r="U3900" s="9" t="str">
        <f>IFERROR(__xludf.DUMMYFUNCTION("""COMPUTED_VALUE"""),"(C)gacchi・暮間チカ／アルファポリス")</f>
        <v>(C)gacchi・暮間チカ／アルファポリス</v>
      </c>
      <c r="V3900" s="8"/>
      <c r="W3900" s="8"/>
      <c r="X3900" s="8" t="str">
        <f>IFERROR(__xludf.DUMMYFUNCTION("""COMPUTED_VALUE"""),"有")</f>
        <v>有</v>
      </c>
      <c r="Y3900" s="8" t="str">
        <f>IFERROR(__xludf.DUMMYFUNCTION("""COMPUTED_VALUE"""),"2025/11/6まで1巻無料")</f>
        <v>2025/11/6まで1巻無料</v>
      </c>
      <c r="Z3900" s="7"/>
      <c r="AA3900" s="7"/>
      <c r="AB3900" s="7"/>
    </row>
    <row r="3901" ht="15.75" customHeight="1">
      <c r="A3901" s="26">
        <f>IFERROR(__xludf.DUMMYFUNCTION("""COMPUTED_VALUE"""),5882.0)</f>
        <v>5882</v>
      </c>
      <c r="B3901" s="22" t="str">
        <f>IFERROR(__xludf.DUMMYFUNCTION("""COMPUTED_VALUE"""),"確定")</f>
        <v>確定</v>
      </c>
      <c r="C3901" s="28">
        <f>IFERROR(__xludf.DUMMYFUNCTION("""COMPUTED_VALUE"""),45828.0)</f>
        <v>45828</v>
      </c>
      <c r="D3901" s="28">
        <f>IFERROR(__xludf.DUMMYFUNCTION("""COMPUTED_VALUE"""),45908.0)</f>
        <v>45908</v>
      </c>
      <c r="E3901" s="26">
        <f>IFERROR(__xludf.DUMMYFUNCTION("""COMPUTED_VALUE"""),337182.0)</f>
        <v>337182</v>
      </c>
      <c r="F3901" s="22" t="str">
        <f>IFERROR(__xludf.DUMMYFUNCTION("""COMPUTED_VALUE"""),"飼育員セシルの日誌　～ひとりぼっちの女の子が新天地で愛を知るまで～【単話版】")</f>
        <v>飼育員セシルの日誌　～ひとりぼっちの女の子が新天地で愛を知るまで～【単話版】</v>
      </c>
      <c r="G3901" s="20" t="str">
        <f>IFERROR(__xludf.DUMMYFUNCTION("""COMPUTED_VALUE"""),"1～3")</f>
        <v>1～3</v>
      </c>
      <c r="H3901" s="22" t="str">
        <f>IFERROR(__xludf.DUMMYFUNCTION("""COMPUTED_VALUE"""),"高倉びび/紺染 幸/凩はとば")</f>
        <v>高倉びび/紺染 幸/凩はとば</v>
      </c>
      <c r="I3901" s="22" t="str">
        <f>IFERROR(__xludf.DUMMYFUNCTION("""COMPUTED_VALUE"""),"少女")</f>
        <v>少女</v>
      </c>
      <c r="J3901" s="22"/>
      <c r="K3901" s="22"/>
      <c r="L3901" s="22" t="str">
        <f>IFERROR(__xludf.DUMMYFUNCTION("""COMPUTED_VALUE"""),"オーバーラップ")</f>
        <v>オーバーラップ</v>
      </c>
      <c r="M3901" s="33">
        <f>IFERROR(__xludf.DUMMYFUNCTION("""COMPUTED_VALUE"""),45938.0)</f>
        <v>45938</v>
      </c>
      <c r="N3901" s="33">
        <f>IFERROR(__xludf.DUMMYFUNCTION("""COMPUTED_VALUE"""),73050.0)</f>
        <v>73050</v>
      </c>
      <c r="O3901" s="20"/>
      <c r="P3901" s="32" t="str">
        <f>IFERROR(__xludf.DUMMYFUNCTION("""COMPUTED_VALUE"""),"否")</f>
        <v>否</v>
      </c>
      <c r="Q3901" s="30"/>
      <c r="R3901" s="22" t="str">
        <f>IFERROR(__xludf.DUMMYFUNCTION("""COMPUTED_VALUE"""),"コミットNG")</f>
        <v>コミットNG</v>
      </c>
      <c r="S3901" s="22" t="str">
        <f>IFERROR(__xludf.DUMMYFUNCTION("""COMPUTED_VALUE"""),"20250905_オーバーラップ_飼育員セシルの日誌　～ひとりぼっちの女の子が新天地で愛を知るまで～")</f>
        <v>20250905_オーバーラップ_飼育員セシルの日誌　～ひとりぼっちの女の子が新天地で愛を知るまで～</v>
      </c>
      <c r="T3901" s="22" t="str">
        <f>IFERROR(__xludf.DUMMYFUNCTION("""COMPUTED_VALUE"""),"格納済み")</f>
        <v>格納済み</v>
      </c>
      <c r="U3901" s="9" t="str">
        <f>IFERROR(__xludf.DUMMYFUNCTION("""COMPUTED_VALUE"""),"(c)高倉びび　(c)紺染幸／オーバーラップ        ")</f>
        <v>(c)高倉びび　(c)紺染幸／オーバーラップ        </v>
      </c>
      <c r="V3901" s="8"/>
      <c r="W3901" s="8"/>
      <c r="X3901" s="8" t="str">
        <f>IFERROR(__xludf.DUMMYFUNCTION("""COMPUTED_VALUE"""),"有")</f>
        <v>有</v>
      </c>
      <c r="Y3901" s="8" t="str">
        <f>IFERROR(__xludf.DUMMYFUNCTION("""COMPUTED_VALUE"""),"2026/1/8まで1巻無料")</f>
        <v>2026/1/8まで1巻無料</v>
      </c>
      <c r="Z3901" s="7"/>
      <c r="AA3901" s="7"/>
      <c r="AB3901" s="7"/>
    </row>
    <row r="3902" ht="15.75" customHeight="1">
      <c r="A3902" s="26">
        <f>IFERROR(__xludf.DUMMYFUNCTION("""COMPUTED_VALUE"""),5890.0)</f>
        <v>5890</v>
      </c>
      <c r="B3902" s="22" t="str">
        <f>IFERROR(__xludf.DUMMYFUNCTION("""COMPUTED_VALUE"""),"確定")</f>
        <v>確定</v>
      </c>
      <c r="C3902" s="28">
        <f>IFERROR(__xludf.DUMMYFUNCTION("""COMPUTED_VALUE"""),45828.0)</f>
        <v>45828</v>
      </c>
      <c r="D3902" s="28">
        <f>IFERROR(__xludf.DUMMYFUNCTION("""COMPUTED_VALUE"""),45909.0)</f>
        <v>45909</v>
      </c>
      <c r="E3902" s="26">
        <f>IFERROR(__xludf.DUMMYFUNCTION("""COMPUTED_VALUE"""),336660.0)</f>
        <v>336660</v>
      </c>
      <c r="F3902" s="22" t="str">
        <f>IFERROR(__xludf.DUMMYFUNCTION("""COMPUTED_VALUE"""),"【ラブパルフェ】藤咲さんはびしょぬれ名器～凄テク上司のむさぼり愛撫でしたたる愛蜜")</f>
        <v>【ラブパルフェ】藤咲さんはびしょぬれ名器～凄テク上司のむさぼり愛撫でしたたる愛蜜</v>
      </c>
      <c r="G3902" s="20" t="str">
        <f>IFERROR(__xludf.DUMMYFUNCTION("""COMPUTED_VALUE"""),"1～3")</f>
        <v>1～3</v>
      </c>
      <c r="H3902" s="22" t="str">
        <f>IFERROR(__xludf.DUMMYFUNCTION("""COMPUTED_VALUE"""),"なんごく")</f>
        <v>なんごく</v>
      </c>
      <c r="I3902" s="22" t="str">
        <f>IFERROR(__xludf.DUMMYFUNCTION("""COMPUTED_VALUE"""),"TL")</f>
        <v>TL</v>
      </c>
      <c r="J3902" s="22"/>
      <c r="K3902" s="22" t="str">
        <f>IFERROR(__xludf.DUMMYFUNCTION("""COMPUTED_VALUE"""),"ラブパルフェ")</f>
        <v>ラブパルフェ</v>
      </c>
      <c r="L3902" s="22" t="str">
        <f>IFERROR(__xludf.DUMMYFUNCTION("""COMPUTED_VALUE"""),"オーバーラップ")</f>
        <v>オーバーラップ</v>
      </c>
      <c r="M3902" s="33">
        <f>IFERROR(__xludf.DUMMYFUNCTION("""COMPUTED_VALUE"""),45931.0)</f>
        <v>45931</v>
      </c>
      <c r="N3902" s="33">
        <f>IFERROR(__xludf.DUMMYFUNCTION("""COMPUTED_VALUE"""),45991.0)</f>
        <v>45991</v>
      </c>
      <c r="O3902" s="20"/>
      <c r="P3902" s="32" t="str">
        <f>IFERROR(__xludf.DUMMYFUNCTION("""COMPUTED_VALUE"""),"可")</f>
        <v>可</v>
      </c>
      <c r="Q3902" s="30" t="str">
        <f>IFERROR(__xludf.DUMMYFUNCTION("""COMPUTED_VALUE"""),"【アダルト作品扱い】")</f>
        <v>【アダルト作品扱い】</v>
      </c>
      <c r="R3902" s="22" t="str">
        <f>IFERROR(__xludf.DUMMYFUNCTION("""COMPUTED_VALUE"""),"コミットOK")</f>
        <v>コミットOK</v>
      </c>
      <c r="S3902" s="22" t="str">
        <f>IFERROR(__xludf.DUMMYFUNCTION("""COMPUTED_VALUE"""),"20250905_オーバーラップ_藤咲さんはびしょぬれ名器～凄テク上司のむさぼり愛撫でしたたる愛蜜")</f>
        <v>20250905_オーバーラップ_藤咲さんはびしょぬれ名器～凄テク上司のむさぼり愛撫でしたたる愛蜜</v>
      </c>
      <c r="T3902" s="22" t="str">
        <f>IFERROR(__xludf.DUMMYFUNCTION("""COMPUTED_VALUE"""),"格納済み")</f>
        <v>格納済み</v>
      </c>
      <c r="U3902" s="9" t="str">
        <f>IFERROR(__xludf.DUMMYFUNCTION("""COMPUTED_VALUE"""),"(C)なんごく／オーバーラップ")</f>
        <v>(C)なんごく／オーバーラップ</v>
      </c>
      <c r="V3902" s="8"/>
      <c r="W3902" s="8"/>
      <c r="X3902" s="8" t="str">
        <f>IFERROR(__xludf.DUMMYFUNCTION("""COMPUTED_VALUE"""),"有")</f>
        <v>有</v>
      </c>
      <c r="Y3902" s="8" t="str">
        <f>IFERROR(__xludf.DUMMYFUNCTION("""COMPUTED_VALUE"""),"2025/11/30まで1巻無料")</f>
        <v>2025/11/30まで1巻無料</v>
      </c>
      <c r="Z3902" s="7"/>
      <c r="AA3902" s="7"/>
      <c r="AB3902" s="7"/>
    </row>
    <row r="3903" ht="15.75" customHeight="1">
      <c r="A3903" s="26">
        <f>IFERROR(__xludf.DUMMYFUNCTION("""COMPUTED_VALUE"""),5931.0)</f>
        <v>5931</v>
      </c>
      <c r="B3903" s="22" t="str">
        <f>IFERROR(__xludf.DUMMYFUNCTION("""COMPUTED_VALUE"""),"確定")</f>
        <v>確定</v>
      </c>
      <c r="C3903" s="28">
        <f>IFERROR(__xludf.DUMMYFUNCTION("""COMPUTED_VALUE"""),45833.0)</f>
        <v>45833</v>
      </c>
      <c r="D3903" s="28">
        <f>IFERROR(__xludf.DUMMYFUNCTION("""COMPUTED_VALUE"""),45910.0)</f>
        <v>45910</v>
      </c>
      <c r="E3903" s="26">
        <f>IFERROR(__xludf.DUMMYFUNCTION("""COMPUTED_VALUE"""),337894.0)</f>
        <v>337894</v>
      </c>
      <c r="F3903" s="22" t="str">
        <f>IFERROR(__xludf.DUMMYFUNCTION("""COMPUTED_VALUE"""),"過激に抱かれて困りま…せん！ ～寡黙な狼さんにぐっしょり愛されて～")</f>
        <v>過激に抱かれて困りま…せん！ ～寡黙な狼さんにぐっしょり愛されて～</v>
      </c>
      <c r="G3903" s="20" t="str">
        <f>IFERROR(__xludf.DUMMYFUNCTION("""COMPUTED_VALUE"""),"1～2")</f>
        <v>1～2</v>
      </c>
      <c r="H3903" s="22" t="str">
        <f>IFERROR(__xludf.DUMMYFUNCTION("""COMPUTED_VALUE"""),"しみり")</f>
        <v>しみり</v>
      </c>
      <c r="I3903" s="22" t="str">
        <f>IFERROR(__xludf.DUMMYFUNCTION("""COMPUTED_VALUE"""),"TL")</f>
        <v>TL</v>
      </c>
      <c r="J3903" s="22"/>
      <c r="K3903" s="22" t="str">
        <f>IFERROR(__xludf.DUMMYFUNCTION("""COMPUTED_VALUE"""),"メルト")</f>
        <v>メルト</v>
      </c>
      <c r="L3903" s="22" t="str">
        <f>IFERROR(__xludf.DUMMYFUNCTION("""COMPUTED_VALUE"""),"小学館")</f>
        <v>小学館</v>
      </c>
      <c r="M3903" s="33">
        <f>IFERROR(__xludf.DUMMYFUNCTION("""COMPUTED_VALUE"""),45933.0)</f>
        <v>45933</v>
      </c>
      <c r="N3903" s="33">
        <f>IFERROR(__xludf.DUMMYFUNCTION("""COMPUTED_VALUE"""),45988.0)</f>
        <v>45988</v>
      </c>
      <c r="O3903" s="20"/>
      <c r="P3903" s="32" t="str">
        <f>IFERROR(__xludf.DUMMYFUNCTION("""COMPUTED_VALUE"""),"可")</f>
        <v>可</v>
      </c>
      <c r="Q3903" s="30"/>
      <c r="R3903" s="22" t="str">
        <f>IFERROR(__xludf.DUMMYFUNCTION("""COMPUTED_VALUE"""),"コミットOK")</f>
        <v>コミットOK</v>
      </c>
      <c r="S3903" s="22" t="str">
        <f>IFERROR(__xludf.DUMMYFUNCTION("""COMPUTED_VALUE"""),"20250909_小学館_過激に抱かれて困りま…せん！ ～寡黙な狼さんにぐっしょり愛されて～")</f>
        <v>20250909_小学館_過激に抱かれて困りま…せん！ ～寡黙な狼さんにぐっしょり愛されて～</v>
      </c>
      <c r="T3903" s="22" t="str">
        <f>IFERROR(__xludf.DUMMYFUNCTION("""COMPUTED_VALUE"""),"格納済み")</f>
        <v>格納済み</v>
      </c>
      <c r="U3903" s="9" t="str">
        <f>IFERROR(__xludf.DUMMYFUNCTION("""COMPUTED_VALUE"""),"(C)しみり / 小学館")</f>
        <v>(C)しみり / 小学館</v>
      </c>
      <c r="V3903" s="8"/>
      <c r="W3903" s="8"/>
      <c r="X3903" s="8" t="str">
        <f>IFERROR(__xludf.DUMMYFUNCTION("""COMPUTED_VALUE"""),"有")</f>
        <v>有</v>
      </c>
      <c r="Y3903" s="8" t="str">
        <f>IFERROR(__xludf.DUMMYFUNCTION("""COMPUTED_VALUE"""),"P15まで")</f>
        <v>P15まで</v>
      </c>
      <c r="Z3903" s="7"/>
      <c r="AA3903" s="7"/>
      <c r="AB3903" s="7"/>
    </row>
    <row r="3904" ht="15.75" customHeight="1">
      <c r="A3904" s="26">
        <f>IFERROR(__xludf.DUMMYFUNCTION("""COMPUTED_VALUE"""),5990.0)</f>
        <v>5990</v>
      </c>
      <c r="B3904" s="22" t="str">
        <f>IFERROR(__xludf.DUMMYFUNCTION("""COMPUTED_VALUE"""),"確定")</f>
        <v>確定</v>
      </c>
      <c r="C3904" s="28">
        <f>IFERROR(__xludf.DUMMYFUNCTION("""COMPUTED_VALUE"""),45841.0)</f>
        <v>45841</v>
      </c>
      <c r="D3904" s="28">
        <f>IFERROR(__xludf.DUMMYFUNCTION("""COMPUTED_VALUE"""),45909.0)</f>
        <v>45909</v>
      </c>
      <c r="E3904" s="26">
        <f>IFERROR(__xludf.DUMMYFUNCTION("""COMPUTED_VALUE"""),337896.0)</f>
        <v>337896</v>
      </c>
      <c r="F3904" s="22" t="str">
        <f>IFERROR(__xludf.DUMMYFUNCTION("""COMPUTED_VALUE"""),"あの子は騎士【単話】")</f>
        <v>あの子は騎士【単話】</v>
      </c>
      <c r="G3904" s="20" t="str">
        <f>IFERROR(__xludf.DUMMYFUNCTION("""COMPUTED_VALUE"""),"1～4")</f>
        <v>1～4</v>
      </c>
      <c r="H3904" s="22" t="str">
        <f>IFERROR(__xludf.DUMMYFUNCTION("""COMPUTED_VALUE"""),"窪中章乃")</f>
        <v>窪中章乃</v>
      </c>
      <c r="I3904" s="22" t="str">
        <f>IFERROR(__xludf.DUMMYFUNCTION("""COMPUTED_VALUE"""),"少年")</f>
        <v>少年</v>
      </c>
      <c r="J3904" s="22"/>
      <c r="K3904" s="22" t="str">
        <f>IFERROR(__xludf.DUMMYFUNCTION("""COMPUTED_VALUE"""),"サンデーうぇぶり")</f>
        <v>サンデーうぇぶり</v>
      </c>
      <c r="L3904" s="22" t="str">
        <f>IFERROR(__xludf.DUMMYFUNCTION("""COMPUTED_VALUE"""),"小学館")</f>
        <v>小学館</v>
      </c>
      <c r="M3904" s="33">
        <f>IFERROR(__xludf.DUMMYFUNCTION("""COMPUTED_VALUE"""),45939.0)</f>
        <v>45939</v>
      </c>
      <c r="N3904" s="33">
        <f>IFERROR(__xludf.DUMMYFUNCTION("""COMPUTED_VALUE"""),45998.0)</f>
        <v>45998</v>
      </c>
      <c r="O3904" s="20"/>
      <c r="P3904" s="32" t="str">
        <f>IFERROR(__xludf.DUMMYFUNCTION("""COMPUTED_VALUE"""),"否")</f>
        <v>否</v>
      </c>
      <c r="Q3904" s="30"/>
      <c r="R3904" s="22" t="str">
        <f>IFERROR(__xludf.DUMMYFUNCTION("""COMPUTED_VALUE"""),"コミットOK")</f>
        <v>コミットOK</v>
      </c>
      <c r="S3904" s="22" t="str">
        <f>IFERROR(__xludf.DUMMYFUNCTION("""COMPUTED_VALUE"""),"20250909_小学館_あの子は騎士【単話】")</f>
        <v>20250909_小学館_あの子は騎士【単話】</v>
      </c>
      <c r="T3904" s="22" t="str">
        <f>IFERROR(__xludf.DUMMYFUNCTION("""COMPUTED_VALUE"""),"格納済み")</f>
        <v>格納済み</v>
      </c>
      <c r="U3904" s="9" t="str">
        <f>IFERROR(__xludf.DUMMYFUNCTION("""COMPUTED_VALUE"""),"(C)窪中章乃 / 小学館")</f>
        <v>(C)窪中章乃 / 小学館</v>
      </c>
      <c r="V3904" s="8"/>
      <c r="W3904" s="8"/>
      <c r="X3904" s="8" t="str">
        <f>IFERROR(__xludf.DUMMYFUNCTION("""COMPUTED_VALUE"""),"有")</f>
        <v>有</v>
      </c>
      <c r="Y3904" s="8" t="str">
        <f>IFERROR(__xludf.DUMMYFUNCTION("""COMPUTED_VALUE"""),"2025/12/7まで1巻無料")</f>
        <v>2025/12/7まで1巻無料</v>
      </c>
      <c r="Z3904" s="7"/>
      <c r="AA3904" s="7"/>
      <c r="AB3904" s="7"/>
    </row>
    <row r="3905" ht="15.75" customHeight="1">
      <c r="A3905" s="26">
        <f>IFERROR(__xludf.DUMMYFUNCTION("""COMPUTED_VALUE"""),6097.0)</f>
        <v>6097</v>
      </c>
      <c r="B3905" s="22" t="str">
        <f>IFERROR(__xludf.DUMMYFUNCTION("""COMPUTED_VALUE"""),"確定")</f>
        <v>確定</v>
      </c>
      <c r="C3905" s="28">
        <f>IFERROR(__xludf.DUMMYFUNCTION("""COMPUTED_VALUE"""),45853.0)</f>
        <v>45853</v>
      </c>
      <c r="D3905" s="28">
        <f>IFERROR(__xludf.DUMMYFUNCTION("""COMPUTED_VALUE"""),45910.0)</f>
        <v>45910</v>
      </c>
      <c r="E3905" s="26">
        <f>IFERROR(__xludf.DUMMYFUNCTION("""COMPUTED_VALUE"""),339281.0)</f>
        <v>339281</v>
      </c>
      <c r="F3905" s="22" t="str">
        <f>IFERROR(__xludf.DUMMYFUNCTION("""COMPUTED_VALUE"""),"曖昧ブルー・ビースト 分冊版")</f>
        <v>曖昧ブルー・ビースト 分冊版</v>
      </c>
      <c r="G3905" s="20" t="str">
        <f>IFERROR(__xludf.DUMMYFUNCTION("""COMPUTED_VALUE"""),"1～4")</f>
        <v>1～4</v>
      </c>
      <c r="H3905" s="22" t="str">
        <f>IFERROR(__xludf.DUMMYFUNCTION("""COMPUTED_VALUE"""),"酒井まゆ")</f>
        <v>酒井まゆ</v>
      </c>
      <c r="I3905" s="22" t="str">
        <f>IFERROR(__xludf.DUMMYFUNCTION("""COMPUTED_VALUE"""),"少女")</f>
        <v>少女</v>
      </c>
      <c r="J3905" s="22"/>
      <c r="K3905" s="22"/>
      <c r="L3905" s="22" t="str">
        <f>IFERROR(__xludf.DUMMYFUNCTION("""COMPUTED_VALUE"""),"集英社")</f>
        <v>集英社</v>
      </c>
      <c r="M3905" s="33">
        <f>IFERROR(__xludf.DUMMYFUNCTION("""COMPUTED_VALUE"""),45953.0)</f>
        <v>45953</v>
      </c>
      <c r="N3905" s="33">
        <f>IFERROR(__xludf.DUMMYFUNCTION("""COMPUTED_VALUE"""),2958465.0)</f>
        <v>2958465</v>
      </c>
      <c r="O3905" s="20"/>
      <c r="P3905" s="32" t="str">
        <f>IFERROR(__xludf.DUMMYFUNCTION("""COMPUTED_VALUE"""),"否")</f>
        <v>否</v>
      </c>
      <c r="Q3905" s="30"/>
      <c r="R3905" s="22" t="str">
        <f>IFERROR(__xludf.DUMMYFUNCTION("""COMPUTED_VALUE"""),"コミットOK")</f>
        <v>コミットOK</v>
      </c>
      <c r="S3905" s="22" t="str">
        <f>IFERROR(__xludf.DUMMYFUNCTION("""COMPUTED_VALUE"""),"20250909_集英社_曖昧ブルービースト")</f>
        <v>20250909_集英社_曖昧ブルービースト</v>
      </c>
      <c r="T3905" s="22" t="str">
        <f>IFERROR(__xludf.DUMMYFUNCTION("""COMPUTED_VALUE"""),"格納済み")</f>
        <v>格納済み</v>
      </c>
      <c r="U3905" s="9" t="str">
        <f>IFERROR(__xludf.DUMMYFUNCTION("""COMPUTED_VALUE"""),"(c)酒井まゆ／集英社")</f>
        <v>(c)酒井まゆ／集英社</v>
      </c>
      <c r="V3905" s="8"/>
      <c r="W3905" s="8"/>
      <c r="X3905" s="8" t="str">
        <f>IFERROR(__xludf.DUMMYFUNCTION("""COMPUTED_VALUE"""),"有")</f>
        <v>有</v>
      </c>
      <c r="Y3905" s="8" t="str">
        <f>IFERROR(__xludf.DUMMYFUNCTION("""COMPUTED_VALUE"""),"2025/11/22まで1巻無料")</f>
        <v>2025/11/22まで1巻無料</v>
      </c>
      <c r="Z3905" s="7"/>
      <c r="AA3905" s="7"/>
      <c r="AB3905" s="7"/>
    </row>
    <row r="3906" ht="15.75" customHeight="1">
      <c r="A3906" s="26">
        <f>IFERROR(__xludf.DUMMYFUNCTION("""COMPUTED_VALUE"""),6117.0)</f>
        <v>6117</v>
      </c>
      <c r="B3906" s="22" t="str">
        <f>IFERROR(__xludf.DUMMYFUNCTION("""COMPUTED_VALUE"""),"確定")</f>
        <v>確定</v>
      </c>
      <c r="C3906" s="28">
        <f>IFERROR(__xludf.DUMMYFUNCTION("""COMPUTED_VALUE"""),45861.0)</f>
        <v>45861</v>
      </c>
      <c r="D3906" s="28">
        <f>IFERROR(__xludf.DUMMYFUNCTION("""COMPUTED_VALUE"""),45909.0)</f>
        <v>45909</v>
      </c>
      <c r="E3906" s="26">
        <f>IFERROR(__xludf.DUMMYFUNCTION("""COMPUTED_VALUE"""),337963.0)</f>
        <v>337963</v>
      </c>
      <c r="F3906" s="22" t="str">
        <f>IFERROR(__xludf.DUMMYFUNCTION("""COMPUTED_VALUE"""),"番になりたいゆきまるくん")</f>
        <v>番になりたいゆきまるくん</v>
      </c>
      <c r="G3906" s="20" t="str">
        <f>IFERROR(__xludf.DUMMYFUNCTION("""COMPUTED_VALUE"""),"1～2")</f>
        <v>1～2</v>
      </c>
      <c r="H3906" s="22" t="str">
        <f>IFERROR(__xludf.DUMMYFUNCTION("""COMPUTED_VALUE"""),"kurage")</f>
        <v>kurage</v>
      </c>
      <c r="I3906" s="22" t="str">
        <f>IFERROR(__xludf.DUMMYFUNCTION("""COMPUTED_VALUE"""),"BL")</f>
        <v>BL</v>
      </c>
      <c r="J3906" s="22"/>
      <c r="K3906" s="22" t="str">
        <f>IFERROR(__xludf.DUMMYFUNCTION("""COMPUTED_VALUE"""),"NuPu")</f>
        <v>NuPu</v>
      </c>
      <c r="L3906" s="22" t="str">
        <f>IFERROR(__xludf.DUMMYFUNCTION("""COMPUTED_VALUE"""),"CLLENN")</f>
        <v>CLLENN</v>
      </c>
      <c r="M3906" s="33">
        <f>IFERROR(__xludf.DUMMYFUNCTION("""COMPUTED_VALUE"""),45939.0)</f>
        <v>45939</v>
      </c>
      <c r="N3906" s="33">
        <f>IFERROR(__xludf.DUMMYFUNCTION("""COMPUTED_VALUE"""),46001.0)</f>
        <v>46001</v>
      </c>
      <c r="O3906" s="20"/>
      <c r="P3906" s="32" t="str">
        <f>IFERROR(__xludf.DUMMYFUNCTION("""COMPUTED_VALUE"""),"可")</f>
        <v>可</v>
      </c>
      <c r="Q3906" s="30"/>
      <c r="R3906" s="22" t="str">
        <f>IFERROR(__xludf.DUMMYFUNCTION("""COMPUTED_VALUE"""),"コミットNG")</f>
        <v>コミットNG</v>
      </c>
      <c r="S3906" s="22" t="str">
        <f>IFERROR(__xludf.DUMMYFUNCTION("""COMPUTED_VALUE"""),"20250909_CLLENN_番になりたいゆきまるくん")</f>
        <v>20250909_CLLENN_番になりたいゆきまるくん</v>
      </c>
      <c r="T3906" s="22" t="str">
        <f>IFERROR(__xludf.DUMMYFUNCTION("""COMPUTED_VALUE"""),"格納済み")</f>
        <v>格納済み</v>
      </c>
      <c r="U3906" s="9" t="str">
        <f>IFERROR(__xludf.DUMMYFUNCTION("""COMPUTED_VALUE"""),"Ⓒkurage/CLLENN")</f>
        <v>Ⓒkurage/CLLENN</v>
      </c>
      <c r="V3906" s="8"/>
      <c r="W3906" s="8"/>
      <c r="X3906" s="8" t="str">
        <f>IFERROR(__xludf.DUMMYFUNCTION("""COMPUTED_VALUE"""),"有")</f>
        <v>有</v>
      </c>
      <c r="Y3906" s="8" t="str">
        <f>IFERROR(__xludf.DUMMYFUNCTION("""COMPUTED_VALUE"""),"P10まで")</f>
        <v>P10まで</v>
      </c>
      <c r="Z3906" s="7"/>
      <c r="AA3906" s="7"/>
      <c r="AB3906" s="7"/>
    </row>
    <row r="3907" ht="15.75" customHeight="1">
      <c r="A3907" s="26">
        <f>IFERROR(__xludf.DUMMYFUNCTION("""COMPUTED_VALUE"""),6118.0)</f>
        <v>6118</v>
      </c>
      <c r="B3907" s="22" t="str">
        <f>IFERROR(__xludf.DUMMYFUNCTION("""COMPUTED_VALUE"""),"確定")</f>
        <v>確定</v>
      </c>
      <c r="C3907" s="28">
        <f>IFERROR(__xludf.DUMMYFUNCTION("""COMPUTED_VALUE"""),45861.0)</f>
        <v>45861</v>
      </c>
      <c r="D3907" s="28">
        <f>IFERROR(__xludf.DUMMYFUNCTION("""COMPUTED_VALUE"""),45909.0)</f>
        <v>45909</v>
      </c>
      <c r="E3907" s="26">
        <f>IFERROR(__xludf.DUMMYFUNCTION("""COMPUTED_VALUE"""),336650.0)</f>
        <v>336650</v>
      </c>
      <c r="F3907" s="22" t="str">
        <f>IFERROR(__xludf.DUMMYFUNCTION("""COMPUTED_VALUE"""),"【ラブパルフェ】拗らせ初恋の終わらせ方～強オス御曹司・神崎流依の歪んだ求愛")</f>
        <v>【ラブパルフェ】拗らせ初恋の終わらせ方～強オス御曹司・神崎流依の歪んだ求愛</v>
      </c>
      <c r="G3907" s="20" t="str">
        <f>IFERROR(__xludf.DUMMYFUNCTION("""COMPUTED_VALUE"""),"1～3")</f>
        <v>1～3</v>
      </c>
      <c r="H3907" s="22" t="str">
        <f>IFERROR(__xludf.DUMMYFUNCTION("""COMPUTED_VALUE"""),"時雨ゆに")</f>
        <v>時雨ゆに</v>
      </c>
      <c r="I3907" s="22" t="str">
        <f>IFERROR(__xludf.DUMMYFUNCTION("""COMPUTED_VALUE"""),"TL")</f>
        <v>TL</v>
      </c>
      <c r="J3907" s="22"/>
      <c r="K3907" s="22" t="str">
        <f>IFERROR(__xludf.DUMMYFUNCTION("""COMPUTED_VALUE"""),"ラブパルフェ")</f>
        <v>ラブパルフェ</v>
      </c>
      <c r="L3907" s="22" t="str">
        <f>IFERROR(__xludf.DUMMYFUNCTION("""COMPUTED_VALUE"""),"オーバーラップ")</f>
        <v>オーバーラップ</v>
      </c>
      <c r="M3907" s="33">
        <f>IFERROR(__xludf.DUMMYFUNCTION("""COMPUTED_VALUE"""),45931.0)</f>
        <v>45931</v>
      </c>
      <c r="N3907" s="33">
        <f>IFERROR(__xludf.DUMMYFUNCTION("""COMPUTED_VALUE"""),45991.0)</f>
        <v>45991</v>
      </c>
      <c r="O3907" s="20"/>
      <c r="P3907" s="32" t="str">
        <f>IFERROR(__xludf.DUMMYFUNCTION("""COMPUTED_VALUE"""),"可")</f>
        <v>可</v>
      </c>
      <c r="Q3907" s="30" t="str">
        <f>IFERROR(__xludf.DUMMYFUNCTION("""COMPUTED_VALUE"""),"【アダルト作品扱い】")</f>
        <v>【アダルト作品扱い】</v>
      </c>
      <c r="R3907" s="22" t="str">
        <f>IFERROR(__xludf.DUMMYFUNCTION("""COMPUTED_VALUE"""),"コミットOK")</f>
        <v>コミットOK</v>
      </c>
      <c r="S3907" s="22" t="str">
        <f>IFERROR(__xludf.DUMMYFUNCTION("""COMPUTED_VALUE"""),"20250905_オーバーラップ_拗らせ初恋の終わらせ方～強オス御曹司・神崎流依の歪んだ求愛")</f>
        <v>20250905_オーバーラップ_拗らせ初恋の終わらせ方～強オス御曹司・神崎流依の歪んだ求愛</v>
      </c>
      <c r="T3907" s="22" t="str">
        <f>IFERROR(__xludf.DUMMYFUNCTION("""COMPUTED_VALUE"""),"格納済み")</f>
        <v>格納済み</v>
      </c>
      <c r="U3907" s="9" t="str">
        <f>IFERROR(__xludf.DUMMYFUNCTION("""COMPUTED_VALUE"""),"(C)時雨ゆに／オーバーラップ")</f>
        <v>(C)時雨ゆに／オーバーラップ</v>
      </c>
      <c r="V3907" s="8"/>
      <c r="W3907" s="8"/>
      <c r="X3907" s="8" t="str">
        <f>IFERROR(__xludf.DUMMYFUNCTION("""COMPUTED_VALUE"""),"有")</f>
        <v>有</v>
      </c>
      <c r="Y3907" s="8" t="str">
        <f>IFERROR(__xludf.DUMMYFUNCTION("""COMPUTED_VALUE"""),"2025/11/30まで1巻無料")</f>
        <v>2025/11/30まで1巻無料</v>
      </c>
      <c r="Z3907" s="7"/>
      <c r="AA3907" s="7"/>
      <c r="AB3907" s="7"/>
    </row>
    <row r="3908" ht="15.75" customHeight="1">
      <c r="A3908" s="26">
        <f>IFERROR(__xludf.DUMMYFUNCTION("""COMPUTED_VALUE"""),6146.0)</f>
        <v>6146</v>
      </c>
      <c r="B3908" s="22" t="str">
        <f>IFERROR(__xludf.DUMMYFUNCTION("""COMPUTED_VALUE"""),"確定")</f>
        <v>確定</v>
      </c>
      <c r="C3908" s="28">
        <f>IFERROR(__xludf.DUMMYFUNCTION("""COMPUTED_VALUE"""),45866.0)</f>
        <v>45866</v>
      </c>
      <c r="D3908" s="28">
        <f>IFERROR(__xludf.DUMMYFUNCTION("""COMPUTED_VALUE"""),45905.0)</f>
        <v>45905</v>
      </c>
      <c r="E3908" s="26">
        <f>IFERROR(__xludf.DUMMYFUNCTION("""COMPUTED_VALUE"""),335066.0)</f>
        <v>335066</v>
      </c>
      <c r="F3908" s="22" t="str">
        <f>IFERROR(__xludf.DUMMYFUNCTION("""COMPUTED_VALUE"""),"「ただの友達」じゃもうイけない。昔馴染み社長の十年仕込み愛は、独占欲に濡れて《カノンミア》")</f>
        <v>「ただの友達」じゃもうイけない。昔馴染み社長の十年仕込み愛は、独占欲に濡れて《カノンミア》</v>
      </c>
      <c r="G3908" s="20" t="str">
        <f>IFERROR(__xludf.DUMMYFUNCTION("""COMPUTED_VALUE"""),"1～3")</f>
        <v>1～3</v>
      </c>
      <c r="H3908" s="22" t="str">
        <f>IFERROR(__xludf.DUMMYFUNCTION("""COMPUTED_VALUE"""),"くろのねむ")</f>
        <v>くろのねむ</v>
      </c>
      <c r="I3908" s="22" t="str">
        <f>IFERROR(__xludf.DUMMYFUNCTION("""COMPUTED_VALUE"""),"TL")</f>
        <v>TL</v>
      </c>
      <c r="J3908" s="22"/>
      <c r="K3908" s="22" t="str">
        <f>IFERROR(__xludf.DUMMYFUNCTION("""COMPUTED_VALUE"""),"カノンミアコミックス")</f>
        <v>カノンミアコミックス</v>
      </c>
      <c r="L3908" s="22" t="str">
        <f>IFERROR(__xludf.DUMMYFUNCTION("""COMPUTED_VALUE"""),"英和出版社")</f>
        <v>英和出版社</v>
      </c>
      <c r="M3908" s="33">
        <f>IFERROR(__xludf.DUMMYFUNCTION("""COMPUTED_VALUE"""),45920.0)</f>
        <v>45920</v>
      </c>
      <c r="N3908" s="33">
        <f>IFERROR(__xludf.DUMMYFUNCTION("""COMPUTED_VALUE"""),45949.0)</f>
        <v>45949</v>
      </c>
      <c r="O3908" s="20"/>
      <c r="P3908" s="32" t="str">
        <f>IFERROR(__xludf.DUMMYFUNCTION("""COMPUTED_VALUE"""),"可")</f>
        <v>可</v>
      </c>
      <c r="Q3908" s="30" t="str">
        <f>IFERROR(__xludf.DUMMYFUNCTION("""COMPUTED_VALUE"""),"【アダルト作品扱い】")</f>
        <v>【アダルト作品扱い】</v>
      </c>
      <c r="R3908" s="22" t="str">
        <f>IFERROR(__xludf.DUMMYFUNCTION("""COMPUTED_VALUE"""),"コミットNG")</f>
        <v>コミットNG</v>
      </c>
      <c r="S3908" s="22" t="str">
        <f>IFERROR(__xludf.DUMMYFUNCTION("""COMPUTED_VALUE"""),"20250903_メディアソフト_「ただの友達」じゃもうイけない。昔馴染み社長の十年仕込み愛は、独占欲に濡れて")</f>
        <v>20250903_メディアソフト_「ただの友達」じゃもうイけない。昔馴染み社長の十年仕込み愛は、独占欲に濡れて</v>
      </c>
      <c r="T3908" s="22" t="str">
        <f>IFERROR(__xludf.DUMMYFUNCTION("""COMPUTED_VALUE"""),"格納済み")</f>
        <v>格納済み</v>
      </c>
      <c r="U3908" s="9" t="str">
        <f>IFERROR(__xludf.DUMMYFUNCTION("""COMPUTED_VALUE"""),"(C)くろのねむ/英和出版社")</f>
        <v>(C)くろのねむ/英和出版社</v>
      </c>
      <c r="V3908" s="8"/>
      <c r="W3908" s="8"/>
      <c r="X3908" s="8" t="str">
        <f>IFERROR(__xludf.DUMMYFUNCTION("""COMPUTED_VALUE"""),"有")</f>
        <v>有</v>
      </c>
      <c r="Y3908" s="8" t="str">
        <f>IFERROR(__xludf.DUMMYFUNCTION("""COMPUTED_VALUE"""),"P10まで")</f>
        <v>P10まで</v>
      </c>
      <c r="Z3908" s="7"/>
      <c r="AA3908" s="7"/>
      <c r="AB3908" s="7"/>
    </row>
    <row r="3909" ht="15.75" customHeight="1">
      <c r="A3909" s="26">
        <f>IFERROR(__xludf.DUMMYFUNCTION("""COMPUTED_VALUE"""),6161.0)</f>
        <v>6161</v>
      </c>
      <c r="B3909" s="22" t="str">
        <f>IFERROR(__xludf.DUMMYFUNCTION("""COMPUTED_VALUE"""),"確定")</f>
        <v>確定</v>
      </c>
      <c r="C3909" s="28">
        <f>IFERROR(__xludf.DUMMYFUNCTION("""COMPUTED_VALUE"""),45869.0)</f>
        <v>45869</v>
      </c>
      <c r="D3909" s="28">
        <f>IFERROR(__xludf.DUMMYFUNCTION("""COMPUTED_VALUE"""),45909.0)</f>
        <v>45909</v>
      </c>
      <c r="E3909" s="26">
        <f>IFERROR(__xludf.DUMMYFUNCTION("""COMPUTED_VALUE"""),339739.0)</f>
        <v>339739</v>
      </c>
      <c r="F3909" s="22" t="str">
        <f>IFERROR(__xludf.DUMMYFUNCTION("""COMPUTED_VALUE"""),"夜が明けるまでココを満たして～目が覚めたら、幼なじみの雄っぱいに抱かれてました～")</f>
        <v>夜が明けるまでココを満たして～目が覚めたら、幼なじみの雄っぱいに抱かれてました～</v>
      </c>
      <c r="G3909" s="20" t="str">
        <f>IFERROR(__xludf.DUMMYFUNCTION("""COMPUTED_VALUE"""),"1～2")</f>
        <v>1～2</v>
      </c>
      <c r="H3909" s="22" t="str">
        <f>IFERROR(__xludf.DUMMYFUNCTION("""COMPUTED_VALUE"""),"南志都")</f>
        <v>南志都</v>
      </c>
      <c r="I3909" s="22" t="str">
        <f>IFERROR(__xludf.DUMMYFUNCTION("""COMPUTED_VALUE"""),"TL")</f>
        <v>TL</v>
      </c>
      <c r="J3909" s="22"/>
      <c r="K3909" s="22" t="str">
        <f>IFERROR(__xludf.DUMMYFUNCTION("""COMPUTED_VALUE"""),"乙女チック")</f>
        <v>乙女チック</v>
      </c>
      <c r="L3909" s="22" t="str">
        <f>IFERROR(__xludf.DUMMYFUNCTION("""COMPUTED_VALUE"""),"CLLENN")</f>
        <v>CLLENN</v>
      </c>
      <c r="M3909" s="33">
        <f>IFERROR(__xludf.DUMMYFUNCTION("""COMPUTED_VALUE"""),45962.0)</f>
        <v>45962</v>
      </c>
      <c r="N3909" s="33">
        <f>IFERROR(__xludf.DUMMYFUNCTION("""COMPUTED_VALUE"""),46024.0)</f>
        <v>46024</v>
      </c>
      <c r="O3909" s="20"/>
      <c r="P3909" s="32" t="str">
        <f>IFERROR(__xludf.DUMMYFUNCTION("""COMPUTED_VALUE"""),"可")</f>
        <v>可</v>
      </c>
      <c r="Q3909" s="30" t="str">
        <f>IFERROR(__xludf.DUMMYFUNCTION("""COMPUTED_VALUE"""),"【アダルト作品扱い】")</f>
        <v>【アダルト作品扱い】</v>
      </c>
      <c r="R3909" s="22" t="str">
        <f>IFERROR(__xludf.DUMMYFUNCTION("""COMPUTED_VALUE"""),"コミットOK")</f>
        <v>コミットOK</v>
      </c>
      <c r="S3909" s="22" t="str">
        <f>IFERROR(__xludf.DUMMYFUNCTION("""COMPUTED_VALUE"""),"20250909_CLLENN_夜が明けるまでココを満たして～目が覚めたら、幼なじみの雄っぱいに抱かれてました～_2")</f>
        <v>20250909_CLLENN_夜が明けるまでココを満たして～目が覚めたら、幼なじみの雄っぱいに抱かれてました～_2</v>
      </c>
      <c r="T3909" s="22" t="str">
        <f>IFERROR(__xludf.DUMMYFUNCTION("""COMPUTED_VALUE"""),"格納済み")</f>
        <v>格納済み</v>
      </c>
      <c r="U3909" s="9" t="str">
        <f>IFERROR(__xludf.DUMMYFUNCTION("""COMPUTED_VALUE"""),"Ⓒ南志都/CLLENN")</f>
        <v>Ⓒ南志都/CLLENN</v>
      </c>
      <c r="V3909" s="8"/>
      <c r="W3909" s="8"/>
      <c r="X3909" s="8" t="str">
        <f>IFERROR(__xludf.DUMMYFUNCTION("""COMPUTED_VALUE"""),"有")</f>
        <v>有</v>
      </c>
      <c r="Y3909" s="8" t="str">
        <f>IFERROR(__xludf.DUMMYFUNCTION("""COMPUTED_VALUE"""),"2025/12/5まで1巻立ち読み増量(P19)")</f>
        <v>2025/12/5まで1巻立ち読み増量(P19)</v>
      </c>
      <c r="Z3909" s="7"/>
      <c r="AA3909" s="7"/>
      <c r="AB3909" s="7"/>
    </row>
    <row r="3910" ht="15.75" customHeight="1">
      <c r="A3910" s="26">
        <f>IFERROR(__xludf.DUMMYFUNCTION("""COMPUTED_VALUE"""),6190.0)</f>
        <v>6190</v>
      </c>
      <c r="B3910" s="22" t="str">
        <f>IFERROR(__xludf.DUMMYFUNCTION("""COMPUTED_VALUE"""),"確定")</f>
        <v>確定</v>
      </c>
      <c r="C3910" s="28">
        <f>IFERROR(__xludf.DUMMYFUNCTION("""COMPUTED_VALUE"""),45874.0)</f>
        <v>45874</v>
      </c>
      <c r="D3910" s="28">
        <f>IFERROR(__xludf.DUMMYFUNCTION("""COMPUTED_VALUE"""),45909.0)</f>
        <v>45909</v>
      </c>
      <c r="E3910" s="26">
        <f>IFERROR(__xludf.DUMMYFUNCTION("""COMPUTED_VALUE"""),337964.0)</f>
        <v>337964</v>
      </c>
      <c r="F3910" s="22" t="str">
        <f>IFERROR(__xludf.DUMMYFUNCTION("""COMPUTED_VALUE"""),"ひとさじの春と、恋のはじまり～年下ワンコの本気愛～")</f>
        <v>ひとさじの春と、恋のはじまり～年下ワンコの本気愛～</v>
      </c>
      <c r="G3910" s="20" t="str">
        <f>IFERROR(__xludf.DUMMYFUNCTION("""COMPUTED_VALUE"""),"1～2")</f>
        <v>1～2</v>
      </c>
      <c r="H3910" s="22" t="str">
        <f>IFERROR(__xludf.DUMMYFUNCTION("""COMPUTED_VALUE"""),"楓夜ノラ")</f>
        <v>楓夜ノラ</v>
      </c>
      <c r="I3910" s="22" t="str">
        <f>IFERROR(__xludf.DUMMYFUNCTION("""COMPUTED_VALUE"""),"BL")</f>
        <v>BL</v>
      </c>
      <c r="J3910" s="22"/>
      <c r="K3910" s="22" t="str">
        <f>IFERROR(__xludf.DUMMYFUNCTION("""COMPUTED_VALUE"""),"NuPu")</f>
        <v>NuPu</v>
      </c>
      <c r="L3910" s="22" t="str">
        <f>IFERROR(__xludf.DUMMYFUNCTION("""COMPUTED_VALUE"""),"CLLENN")</f>
        <v>CLLENN</v>
      </c>
      <c r="M3910" s="33">
        <f>IFERROR(__xludf.DUMMYFUNCTION("""COMPUTED_VALUE"""),45939.0)</f>
        <v>45939</v>
      </c>
      <c r="N3910" s="33">
        <f>IFERROR(__xludf.DUMMYFUNCTION("""COMPUTED_VALUE"""),46001.0)</f>
        <v>46001</v>
      </c>
      <c r="O3910" s="20"/>
      <c r="P3910" s="32" t="str">
        <f>IFERROR(__xludf.DUMMYFUNCTION("""COMPUTED_VALUE"""),"可")</f>
        <v>可</v>
      </c>
      <c r="Q3910" s="30"/>
      <c r="R3910" s="22" t="str">
        <f>IFERROR(__xludf.DUMMYFUNCTION("""COMPUTED_VALUE"""),"コミットNG")</f>
        <v>コミットNG</v>
      </c>
      <c r="S3910" s="22" t="str">
        <f>IFERROR(__xludf.DUMMYFUNCTION("""COMPUTED_VALUE"""),"20250909_CLLENN_ひとさじの春と、恋のはじまり～年下ワンコの本気愛～")</f>
        <v>20250909_CLLENN_ひとさじの春と、恋のはじまり～年下ワンコの本気愛～</v>
      </c>
      <c r="T3910" s="22" t="str">
        <f>IFERROR(__xludf.DUMMYFUNCTION("""COMPUTED_VALUE"""),"格納済み")</f>
        <v>格納済み</v>
      </c>
      <c r="U3910" s="9" t="str">
        <f>IFERROR(__xludf.DUMMYFUNCTION("""COMPUTED_VALUE"""),"Ⓒ楓夜ノラ/CLLENN")</f>
        <v>Ⓒ楓夜ノラ/CLLENN</v>
      </c>
      <c r="V3910" s="8"/>
      <c r="W3910" s="8"/>
      <c r="X3910" s="8" t="str">
        <f>IFERROR(__xludf.DUMMYFUNCTION("""COMPUTED_VALUE"""),"有")</f>
        <v>有</v>
      </c>
      <c r="Y3910" s="8" t="str">
        <f>IFERROR(__xludf.DUMMYFUNCTION("""COMPUTED_VALUE"""),"P10まで")</f>
        <v>P10まで</v>
      </c>
      <c r="Z3910" s="7"/>
      <c r="AA3910" s="7"/>
      <c r="AB3910" s="7"/>
    </row>
    <row r="3911" ht="15.75" customHeight="1">
      <c r="A3911" s="26">
        <f>IFERROR(__xludf.DUMMYFUNCTION("""COMPUTED_VALUE"""),6245.0)</f>
        <v>6245</v>
      </c>
      <c r="B3911" s="22" t="str">
        <f>IFERROR(__xludf.DUMMYFUNCTION("""COMPUTED_VALUE"""),"確定")</f>
        <v>確定</v>
      </c>
      <c r="C3911" s="28">
        <f>IFERROR(__xludf.DUMMYFUNCTION("""COMPUTED_VALUE"""),45877.0)</f>
        <v>45877</v>
      </c>
      <c r="D3911" s="28">
        <f>IFERROR(__xludf.DUMMYFUNCTION("""COMPUTED_VALUE"""),45910.0)</f>
        <v>45910</v>
      </c>
      <c r="E3911" s="26">
        <f>IFERROR(__xludf.DUMMYFUNCTION("""COMPUTED_VALUE"""),338837.0)</f>
        <v>338837</v>
      </c>
      <c r="F3911" s="22" t="str">
        <f>IFERROR(__xludf.DUMMYFUNCTION("""COMPUTED_VALUE"""),"神鬼の花嫁さま～呪われた帝都の守護神を幸せにいたします～【連載版】")</f>
        <v>神鬼の花嫁さま～呪われた帝都の守護神を幸せにいたします～【連載版】</v>
      </c>
      <c r="G3911" s="20" t="str">
        <f>IFERROR(__xludf.DUMMYFUNCTION("""COMPUTED_VALUE"""),"1～3")</f>
        <v>1～3</v>
      </c>
      <c r="H3911" s="22" t="str">
        <f>IFERROR(__xludf.DUMMYFUNCTION("""COMPUTED_VALUE"""),"灯路ほっけ／烏丸紫明")</f>
        <v>灯路ほっけ／烏丸紫明</v>
      </c>
      <c r="I3911" s="22" t="str">
        <f>IFERROR(__xludf.DUMMYFUNCTION("""COMPUTED_VALUE"""),"少女")</f>
        <v>少女</v>
      </c>
      <c r="J3911" s="22"/>
      <c r="K3911" s="22"/>
      <c r="L3911" s="22" t="str">
        <f>IFERROR(__xludf.DUMMYFUNCTION("""COMPUTED_VALUE"""),"ナンバーナイン")</f>
        <v>ナンバーナイン</v>
      </c>
      <c r="M3911" s="33">
        <f>IFERROR(__xludf.DUMMYFUNCTION("""COMPUTED_VALUE"""),45947.0)</f>
        <v>45947</v>
      </c>
      <c r="N3911" s="33">
        <f>IFERROR(__xludf.DUMMYFUNCTION("""COMPUTED_VALUE"""),45673.70833333333)</f>
        <v>45673.70833</v>
      </c>
      <c r="O3911" s="20"/>
      <c r="P3911" s="32" t="str">
        <f>IFERROR(__xludf.DUMMYFUNCTION("""COMPUTED_VALUE"""),"否")</f>
        <v>否</v>
      </c>
      <c r="Q3911" s="30" t="str">
        <f>IFERROR(__xludf.DUMMYFUNCTION("""COMPUTED_VALUE"""),"定例にてご提案済み、外部出稿・ストア内最大露出でお願いします。&lt;BR&gt;ソル編作品でヒットした「華嫁」の先生・編集のタッグの作品で、期待値の高い作品ではあります。")</f>
        <v>定例にてご提案済み、外部出稿・ストア内最大露出でお願いします。&lt;BR&gt;ソル編作品でヒットした「華嫁」の先生・編集のタッグの作品で、期待値の高い作品ではあります。</v>
      </c>
      <c r="R3911" s="22" t="str">
        <f>IFERROR(__xludf.DUMMYFUNCTION("""COMPUTED_VALUE"""),"コミットOK")</f>
        <v>コミットOK</v>
      </c>
      <c r="S3911" s="22" t="str">
        <f>IFERROR(__xludf.DUMMYFUNCTION("""COMPUTED_VALUE"""),"20250910_ナンバーナイン_神鬼の花嫁さま〜呪われた帝都の守護神を幸せにいたします〜【連載版】")</f>
        <v>20250910_ナンバーナイン_神鬼の花嫁さま〜呪われた帝都の守護神を幸せにいたします〜【連載版】</v>
      </c>
      <c r="T3911" s="22" t="str">
        <f>IFERROR(__xludf.DUMMYFUNCTION("""COMPUTED_VALUE"""),"格納済み")</f>
        <v>格納済み</v>
      </c>
      <c r="U3911" s="9" t="str">
        <f>IFERROR(__xludf.DUMMYFUNCTION("""COMPUTED_VALUE"""),"Ⓒ灯路ほっけ／烏丸紫明／ナンバーナイン")</f>
        <v>Ⓒ灯路ほっけ／烏丸紫明／ナンバーナイン</v>
      </c>
      <c r="V3911" s="8"/>
      <c r="W3911" s="8"/>
      <c r="X3911" s="8" t="str">
        <f>IFERROR(__xludf.DUMMYFUNCTION("""COMPUTED_VALUE"""),"有")</f>
        <v>有</v>
      </c>
      <c r="Y3911" s="8" t="str">
        <f>IFERROR(__xludf.DUMMYFUNCTION("""COMPUTED_VALUE"""),"1巻無料")</f>
        <v>1巻無料</v>
      </c>
      <c r="Z3911" s="7"/>
      <c r="AA3911" s="7"/>
      <c r="AB3911" s="7"/>
    </row>
    <row r="3912" ht="15.75" customHeight="1">
      <c r="A3912" s="26">
        <f>IFERROR(__xludf.DUMMYFUNCTION("""COMPUTED_VALUE"""),6256.0)</f>
        <v>6256</v>
      </c>
      <c r="B3912" s="22" t="str">
        <f>IFERROR(__xludf.DUMMYFUNCTION("""COMPUTED_VALUE"""),"確定")</f>
        <v>確定</v>
      </c>
      <c r="C3912" s="28">
        <f>IFERROR(__xludf.DUMMYFUNCTION("""COMPUTED_VALUE"""),45883.0)</f>
        <v>45883</v>
      </c>
      <c r="D3912" s="28">
        <f>IFERROR(__xludf.DUMMYFUNCTION("""COMPUTED_VALUE"""),45909.0)</f>
        <v>45909</v>
      </c>
      <c r="E3912" s="26">
        <f>IFERROR(__xludf.DUMMYFUNCTION("""COMPUTED_VALUE"""),339057.0)</f>
        <v>339057</v>
      </c>
      <c r="F3912" s="22" t="str">
        <f>IFERROR(__xludf.DUMMYFUNCTION("""COMPUTED_VALUE"""),"ライトハーテッドラブ")</f>
        <v>ライトハーテッドラブ</v>
      </c>
      <c r="G3912" s="20" t="str">
        <f>IFERROR(__xludf.DUMMYFUNCTION("""COMPUTED_VALUE"""),"1～2")</f>
        <v>1～2</v>
      </c>
      <c r="H3912" s="22" t="str">
        <f>IFERROR(__xludf.DUMMYFUNCTION("""COMPUTED_VALUE"""),"辛井七味")</f>
        <v>辛井七味</v>
      </c>
      <c r="I3912" s="22" t="str">
        <f>IFERROR(__xludf.DUMMYFUNCTION("""COMPUTED_VALUE"""),"BL")</f>
        <v>BL</v>
      </c>
      <c r="J3912" s="22"/>
      <c r="K3912" s="22" t="str">
        <f>IFERROR(__xludf.DUMMYFUNCTION("""COMPUTED_VALUE"""),"MooiComics")</f>
        <v>MooiComics</v>
      </c>
      <c r="L3912" s="22" t="str">
        <f>IFERROR(__xludf.DUMMYFUNCTION("""COMPUTED_VALUE"""),"CLLENN")</f>
        <v>CLLENN</v>
      </c>
      <c r="M3912" s="33">
        <f>IFERROR(__xludf.DUMMYFUNCTION("""COMPUTED_VALUE"""),45951.0)</f>
        <v>45951</v>
      </c>
      <c r="N3912" s="33">
        <f>IFERROR(__xludf.DUMMYFUNCTION("""COMPUTED_VALUE"""),46006.0)</f>
        <v>46006</v>
      </c>
      <c r="O3912" s="20"/>
      <c r="P3912" s="32" t="str">
        <f>IFERROR(__xludf.DUMMYFUNCTION("""COMPUTED_VALUE"""),"可")</f>
        <v>可</v>
      </c>
      <c r="Q3912" s="30" t="str">
        <f>IFERROR(__xludf.DUMMYFUNCTION("""COMPUTED_VALUE"""),"【アダルト作品扱い】")</f>
        <v>【アダルト作品扱い】</v>
      </c>
      <c r="R3912" s="22" t="str">
        <f>IFERROR(__xludf.DUMMYFUNCTION("""COMPUTED_VALUE"""),"コミットNG")</f>
        <v>コミットNG</v>
      </c>
      <c r="S3912" s="22" t="str">
        <f>IFERROR(__xludf.DUMMYFUNCTION("""COMPUTED_VALUE"""),"20250909_CLLENN_ライトハーテッドラブ")</f>
        <v>20250909_CLLENN_ライトハーテッドラブ</v>
      </c>
      <c r="T3912" s="22" t="str">
        <f>IFERROR(__xludf.DUMMYFUNCTION("""COMPUTED_VALUE"""),"格納済み")</f>
        <v>格納済み</v>
      </c>
      <c r="U3912" s="9" t="str">
        <f>IFERROR(__xludf.DUMMYFUNCTION("""COMPUTED_VALUE"""),"Ⓒ辛井七味/CLLENN")</f>
        <v>Ⓒ辛井七味/CLLENN</v>
      </c>
      <c r="V3912" s="8"/>
      <c r="W3912" s="8"/>
      <c r="X3912" s="8" t="str">
        <f>IFERROR(__xludf.DUMMYFUNCTION("""COMPUTED_VALUE"""),"有")</f>
        <v>有</v>
      </c>
      <c r="Y3912" s="8" t="str">
        <f>IFERROR(__xludf.DUMMYFUNCTION("""COMPUTED_VALUE"""),"2025/11/3まで1巻立ち読み増量(P20)")</f>
        <v>2025/11/3まで1巻立ち読み増量(P20)</v>
      </c>
      <c r="Z3912" s="7"/>
      <c r="AA3912" s="7"/>
      <c r="AB3912" s="7"/>
    </row>
    <row r="3913" ht="15.75" customHeight="1">
      <c r="A3913" s="26">
        <f>IFERROR(__xludf.DUMMYFUNCTION("""COMPUTED_VALUE"""),6265.0)</f>
        <v>6265</v>
      </c>
      <c r="B3913" s="22" t="str">
        <f>IFERROR(__xludf.DUMMYFUNCTION("""COMPUTED_VALUE"""),"確定")</f>
        <v>確定</v>
      </c>
      <c r="C3913" s="28">
        <f>IFERROR(__xludf.DUMMYFUNCTION("""COMPUTED_VALUE"""),45884.0)</f>
        <v>45884</v>
      </c>
      <c r="D3913" s="28">
        <f>IFERROR(__xludf.DUMMYFUNCTION("""COMPUTED_VALUE"""),45910.0)</f>
        <v>45910</v>
      </c>
      <c r="E3913" s="26">
        <f>IFERROR(__xludf.DUMMYFUNCTION("""COMPUTED_VALUE"""),337897.0)</f>
        <v>337897</v>
      </c>
      <c r="F3913" s="22" t="str">
        <f>IFERROR(__xludf.DUMMYFUNCTION("""COMPUTED_VALUE"""),"捨て猫はクズの手も借りたい【マイクロ】")</f>
        <v>捨て猫はクズの手も借りたい【マイクロ】</v>
      </c>
      <c r="G3913" s="20" t="str">
        <f>IFERROR(__xludf.DUMMYFUNCTION("""COMPUTED_VALUE"""),"1～3")</f>
        <v>1～3</v>
      </c>
      <c r="H3913" s="22" t="str">
        <f>IFERROR(__xludf.DUMMYFUNCTION("""COMPUTED_VALUE"""),"月森ココ")</f>
        <v>月森ココ</v>
      </c>
      <c r="I3913" s="22" t="str">
        <f>IFERROR(__xludf.DUMMYFUNCTION("""COMPUTED_VALUE"""),"女性")</f>
        <v>女性</v>
      </c>
      <c r="J3913" s="22"/>
      <c r="K3913" s="22" t="str">
        <f>IFERROR(__xludf.DUMMYFUNCTION("""COMPUTED_VALUE"""),"＆フラワー")</f>
        <v>＆フラワー</v>
      </c>
      <c r="L3913" s="22" t="str">
        <f>IFERROR(__xludf.DUMMYFUNCTION("""COMPUTED_VALUE"""),"小学館")</f>
        <v>小学館</v>
      </c>
      <c r="M3913" s="33">
        <f>IFERROR(__xludf.DUMMYFUNCTION("""COMPUTED_VALUE"""),45935.0)</f>
        <v>45935</v>
      </c>
      <c r="N3913" s="33">
        <f>IFERROR(__xludf.DUMMYFUNCTION("""COMPUTED_VALUE"""),45995.0)</f>
        <v>45995</v>
      </c>
      <c r="O3913" s="20"/>
      <c r="P3913" s="32" t="str">
        <f>IFERROR(__xludf.DUMMYFUNCTION("""COMPUTED_VALUE"""),"否")</f>
        <v>否</v>
      </c>
      <c r="Q3913" s="30" t="str">
        <f>IFERROR(__xludf.DUMMYFUNCTION("""COMPUTED_VALUE"""),"※シーモアロゴ無し対応&lt;BR&gt;自己肯定感低め女子×クズ男のトキシック・ラブ作品です。自己肯定感が低いために他人に求められる自分を演じている主人公に対して、それを見透かすように近づいてきたクズ男。最初は距離を取ろうとする主人公だが、&lt;BR&gt;体の相性が良く、どんどんと沼にはまっていって…&lt;BR&gt;という少し刺激的な展開が気になる作品となっております。&lt;BR&gt;・月森ココ（前作『となりの男子を食べたすぎる』）
初回配信分は2か月、続話は1か月")</f>
        <v>※シーモアロゴ無し対応&lt;BR&gt;自己肯定感低め女子×クズ男のトキシック・ラブ作品です。自己肯定感が低いために他人に求められる自分を演じている主人公に対して、それを見透かすように近づいてきたクズ男。最初は距離を取ろうとする主人公だが、&lt;BR&gt;体の相性が良く、どんどんと沼にはまっていって…&lt;BR&gt;という少し刺激的な展開が気になる作品となっております。&lt;BR&gt;・月森ココ（前作『となりの男子を食べたすぎる』）
初回配信分は2か月、続話は1か月</v>
      </c>
      <c r="R3913" s="22" t="str">
        <f>IFERROR(__xludf.DUMMYFUNCTION("""COMPUTED_VALUE"""),"コミットNG")</f>
        <v>コミットNG</v>
      </c>
      <c r="S3913" s="22" t="str">
        <f>IFERROR(__xludf.DUMMYFUNCTION("""COMPUTED_VALUE"""),"20250904_小学館_捨て猫はクズの手も借りたい")</f>
        <v>20250904_小学館_捨て猫はクズの手も借りたい</v>
      </c>
      <c r="T3913" s="22" t="str">
        <f>IFERROR(__xludf.DUMMYFUNCTION("""COMPUTED_VALUE"""),"格納済み")</f>
        <v>格納済み</v>
      </c>
      <c r="U3913" s="9" t="str">
        <f>IFERROR(__xludf.DUMMYFUNCTION("""COMPUTED_VALUE"""),"(C)月森ココ / 小学館")</f>
        <v>(C)月森ココ / 小学館</v>
      </c>
      <c r="V3913" s="8"/>
      <c r="W3913" s="8"/>
      <c r="X3913" s="8" t="str">
        <f>IFERROR(__xludf.DUMMYFUNCTION("""COMPUTED_VALUE"""),"有")</f>
        <v>有</v>
      </c>
      <c r="Y3913" s="8" t="str">
        <f>IFERROR(__xludf.DUMMYFUNCTION("""COMPUTED_VALUE"""),"2025/12/4まで1巻無料")</f>
        <v>2025/12/4まで1巻無料</v>
      </c>
      <c r="Z3913" s="7"/>
      <c r="AA3913" s="7"/>
      <c r="AB3913" s="7"/>
    </row>
    <row r="3914" ht="15.75" customHeight="1">
      <c r="A3914" s="26">
        <f>IFERROR(__xludf.DUMMYFUNCTION("""COMPUTED_VALUE"""),6343.0)</f>
        <v>6343</v>
      </c>
      <c r="B3914" s="22" t="str">
        <f>IFERROR(__xludf.DUMMYFUNCTION("""COMPUTED_VALUE"""),"確定")</f>
        <v>確定</v>
      </c>
      <c r="C3914" s="28">
        <f>IFERROR(__xludf.DUMMYFUNCTION("""COMPUTED_VALUE"""),45895.0)</f>
        <v>45895</v>
      </c>
      <c r="D3914" s="28">
        <f>IFERROR(__xludf.DUMMYFUNCTION("""COMPUTED_VALUE"""),45908.0)</f>
        <v>45908</v>
      </c>
      <c r="E3914" s="26">
        <f>IFERROR(__xludf.DUMMYFUNCTION("""COMPUTED_VALUE"""),339793.0)</f>
        <v>339793</v>
      </c>
      <c r="F3914" s="22" t="str">
        <f>IFERROR(__xludf.DUMMYFUNCTION("""COMPUTED_VALUE"""),"【分冊版】Re:")</f>
        <v>【分冊版】Re:</v>
      </c>
      <c r="G3914" s="20" t="str">
        <f>IFERROR(__xludf.DUMMYFUNCTION("""COMPUTED_VALUE"""),"1～3")</f>
        <v>1～3</v>
      </c>
      <c r="H3914" s="22" t="str">
        <f>IFERROR(__xludf.DUMMYFUNCTION("""COMPUTED_VALUE"""),"軟式こんにゃく")</f>
        <v>軟式こんにゃく</v>
      </c>
      <c r="I3914" s="22" t="str">
        <f>IFERROR(__xludf.DUMMYFUNCTION("""COMPUTED_VALUE"""),"BL")</f>
        <v>BL</v>
      </c>
      <c r="J3914" s="22"/>
      <c r="K3914" s="22"/>
      <c r="L3914" s="22" t="str">
        <f>IFERROR(__xludf.DUMMYFUNCTION("""COMPUTED_VALUE"""),"ジーオーティー")</f>
        <v>ジーオーティー</v>
      </c>
      <c r="M3914" s="33">
        <f>IFERROR(__xludf.DUMMYFUNCTION("""COMPUTED_VALUE"""),45957.0)</f>
        <v>45957</v>
      </c>
      <c r="N3914" s="33">
        <f>IFERROR(__xludf.DUMMYFUNCTION("""COMPUTED_VALUE"""),46017.0)</f>
        <v>46017</v>
      </c>
      <c r="O3914" s="20"/>
      <c r="P3914" s="32" t="str">
        <f>IFERROR(__xludf.DUMMYFUNCTION("""COMPUTED_VALUE"""),"可")</f>
        <v>可</v>
      </c>
      <c r="Q3914" s="30"/>
      <c r="R3914" s="22" t="str">
        <f>IFERROR(__xludf.DUMMYFUNCTION("""COMPUTED_VALUE"""),"コミットOK")</f>
        <v>コミットOK</v>
      </c>
      <c r="S3914" s="22" t="str">
        <f>IFERROR(__xludf.DUMMYFUNCTION("""COMPUTED_VALUE"""),"20250908_ジーオーティー_【分冊版】Re1-3")</f>
        <v>20250908_ジーオーティー_【分冊版】Re1-3</v>
      </c>
      <c r="T3914" s="22" t="str">
        <f>IFERROR(__xludf.DUMMYFUNCTION("""COMPUTED_VALUE"""),"格納済み")</f>
        <v>格納済み</v>
      </c>
      <c r="U3914" s="9" t="str">
        <f>IFERROR(__xludf.DUMMYFUNCTION("""COMPUTED_VALUE"""),"(C)軟式こんにゃく／ジーオーティー")</f>
        <v>(C)軟式こんにゃく／ジーオーティー</v>
      </c>
      <c r="V3914" s="8"/>
      <c r="W3914" s="8"/>
      <c r="X3914" s="8" t="str">
        <f>IFERROR(__xludf.DUMMYFUNCTION("""COMPUTED_VALUE"""),"有")</f>
        <v>有</v>
      </c>
      <c r="Y3914" s="8" t="str">
        <f>IFERROR(__xludf.DUMMYFUNCTION("""COMPUTED_VALUE"""),"2025/11/26まで1巻無料")</f>
        <v>2025/11/26まで1巻無料</v>
      </c>
      <c r="Z3914" s="7"/>
      <c r="AA3914" s="7"/>
      <c r="AB3914" s="7"/>
    </row>
    <row r="3915" ht="15.75" customHeight="1">
      <c r="A3915" s="26">
        <f>IFERROR(__xludf.DUMMYFUNCTION("""COMPUTED_VALUE"""),6344.0)</f>
        <v>6344</v>
      </c>
      <c r="B3915" s="22" t="str">
        <f>IFERROR(__xludf.DUMMYFUNCTION("""COMPUTED_VALUE"""),"確定")</f>
        <v>確定</v>
      </c>
      <c r="C3915" s="28">
        <f>IFERROR(__xludf.DUMMYFUNCTION("""COMPUTED_VALUE"""),45895.0)</f>
        <v>45895</v>
      </c>
      <c r="D3915" s="28">
        <f>IFERROR(__xludf.DUMMYFUNCTION("""COMPUTED_VALUE"""),45909.0)</f>
        <v>45909</v>
      </c>
      <c r="E3915" s="26">
        <f>IFERROR(__xludf.DUMMYFUNCTION("""COMPUTED_VALUE"""),336862.0)</f>
        <v>336862</v>
      </c>
      <c r="F3915" s="22" t="str">
        <f>IFERROR(__xludf.DUMMYFUNCTION("""COMPUTED_VALUE"""),"【分冊版】XXX the only one.")</f>
        <v>【分冊版】XXX the only one.</v>
      </c>
      <c r="G3915" s="20" t="str">
        <f>IFERROR(__xludf.DUMMYFUNCTION("""COMPUTED_VALUE"""),"1～3")</f>
        <v>1～3</v>
      </c>
      <c r="H3915" s="22" t="str">
        <f>IFERROR(__xludf.DUMMYFUNCTION("""COMPUTED_VALUE"""),"樋木ゆいち")</f>
        <v>樋木ゆいち</v>
      </c>
      <c r="I3915" s="22" t="str">
        <f>IFERROR(__xludf.DUMMYFUNCTION("""COMPUTED_VALUE"""),"BL")</f>
        <v>BL</v>
      </c>
      <c r="J3915" s="22"/>
      <c r="K3915" s="22"/>
      <c r="L3915" s="22" t="str">
        <f>IFERROR(__xludf.DUMMYFUNCTION("""COMPUTED_VALUE"""),"ジーオーティー")</f>
        <v>ジーオーティー</v>
      </c>
      <c r="M3915" s="33">
        <f>IFERROR(__xludf.DUMMYFUNCTION("""COMPUTED_VALUE"""),45927.0)</f>
        <v>45927</v>
      </c>
      <c r="N3915" s="33">
        <f>IFERROR(__xludf.DUMMYFUNCTION("""COMPUTED_VALUE"""),45987.0)</f>
        <v>45987</v>
      </c>
      <c r="O3915" s="20"/>
      <c r="P3915" s="32" t="str">
        <f>IFERROR(__xludf.DUMMYFUNCTION("""COMPUTED_VALUE"""),"可")</f>
        <v>可</v>
      </c>
      <c r="Q3915" s="30" t="str">
        <f>IFERROR(__xludf.DUMMYFUNCTION("""COMPUTED_VALUE"""),"【アダルト作品扱い】")</f>
        <v>【アダルト作品扱い】</v>
      </c>
      <c r="R3915" s="22" t="str">
        <f>IFERROR(__xludf.DUMMYFUNCTION("""COMPUTED_VALUE"""),"コミットNG")</f>
        <v>コミットNG</v>
      </c>
      <c r="S3915" s="22" t="str">
        <f>IFERROR(__xludf.DUMMYFUNCTION("""COMPUTED_VALUE"""),"20250826_ジーオーティー_【分冊版】XXX the only one")</f>
        <v>20250826_ジーオーティー_【分冊版】XXX the only one</v>
      </c>
      <c r="T3915" s="22" t="str">
        <f>IFERROR(__xludf.DUMMYFUNCTION("""COMPUTED_VALUE"""),"格納済み")</f>
        <v>格納済み</v>
      </c>
      <c r="U3915" s="9" t="str">
        <f>IFERROR(__xludf.DUMMYFUNCTION("""COMPUTED_VALUE"""),"(C)樋木ゆいち／ジーオーティー")</f>
        <v>(C)樋木ゆいち／ジーオーティー</v>
      </c>
      <c r="V3915" s="8"/>
      <c r="W3915" s="8"/>
      <c r="X3915" s="8" t="str">
        <f>IFERROR(__xludf.DUMMYFUNCTION("""COMPUTED_VALUE"""),"有")</f>
        <v>有</v>
      </c>
      <c r="Y3915" s="8" t="str">
        <f>IFERROR(__xludf.DUMMYFUNCTION("""COMPUTED_VALUE"""),"2025/10/26まで1巻無料")</f>
        <v>2025/10/26まで1巻無料</v>
      </c>
      <c r="Z3915" s="7"/>
      <c r="AA3915" s="7"/>
      <c r="AB3915" s="7"/>
    </row>
    <row r="3916" ht="15.75" customHeight="1">
      <c r="A3916" s="26">
        <f>IFERROR(__xludf.DUMMYFUNCTION("""COMPUTED_VALUE"""),6349.0)</f>
        <v>6349</v>
      </c>
      <c r="B3916" s="22" t="str">
        <f>IFERROR(__xludf.DUMMYFUNCTION("""COMPUTED_VALUE"""),"確定")</f>
        <v>確定</v>
      </c>
      <c r="C3916" s="28">
        <f>IFERROR(__xludf.DUMMYFUNCTION("""COMPUTED_VALUE"""),45895.0)</f>
        <v>45895</v>
      </c>
      <c r="D3916" s="28">
        <f>IFERROR(__xludf.DUMMYFUNCTION("""COMPUTED_VALUE"""),45910.0)</f>
        <v>45910</v>
      </c>
      <c r="E3916" s="26">
        <f>IFERROR(__xludf.DUMMYFUNCTION("""COMPUTED_VALUE"""),339277.0)</f>
        <v>339277</v>
      </c>
      <c r="F3916" s="22" t="str">
        <f>IFERROR(__xludf.DUMMYFUNCTION("""COMPUTED_VALUE"""),"推しVハーレム～陰キャの俺が美少女VtuberのPになった件～")</f>
        <v>推しVハーレム～陰キャの俺が美少女VtuberのPになった件～</v>
      </c>
      <c r="G3916" s="20" t="str">
        <f>IFERROR(__xludf.DUMMYFUNCTION("""COMPUTED_VALUE"""),"1～6")</f>
        <v>1～6</v>
      </c>
      <c r="H3916" s="22" t="str">
        <f>IFERROR(__xludf.DUMMYFUNCTION("""COMPUTED_VALUE"""),"青宮┴ヤングアンブル編集部")</f>
        <v>青宮┴ヤングアンブル編集部</v>
      </c>
      <c r="I3916" s="22" t="str">
        <f>IFERROR(__xludf.DUMMYFUNCTION("""COMPUTED_VALUE"""),"青年マンガ")</f>
        <v>青年マンガ</v>
      </c>
      <c r="J3916" s="22"/>
      <c r="K3916" s="22"/>
      <c r="L3916" s="22" t="str">
        <f>IFERROR(__xludf.DUMMYFUNCTION("""COMPUTED_VALUE"""),"ライブコミックス")</f>
        <v>ライブコミックス</v>
      </c>
      <c r="M3916" s="33">
        <f>IFERROR(__xludf.DUMMYFUNCTION("""COMPUTED_VALUE"""),45954.0)</f>
        <v>45954</v>
      </c>
      <c r="N3916" s="33">
        <f>IFERROR(__xludf.DUMMYFUNCTION("""COMPUTED_VALUE"""),46016.0)</f>
        <v>46016</v>
      </c>
      <c r="O3916" s="20"/>
      <c r="P3916" s="32" t="str">
        <f>IFERROR(__xludf.DUMMYFUNCTION("""COMPUTED_VALUE"""),"可")</f>
        <v>可</v>
      </c>
      <c r="Q3916" s="30" t="str">
        <f>IFERROR(__xludf.DUMMYFUNCTION("""COMPUTED_VALUE"""),"BookLiveからの2次先行です。&lt;BR&gt;1~5巻目の内容にてご検討＆バナーご制作をお願いします。")</f>
        <v>BookLiveからの2次先行です。&lt;BR&gt;1~5巻目の内容にてご検討＆バナーご制作をお願いします。</v>
      </c>
      <c r="R3916" s="22" t="str">
        <f>IFERROR(__xludf.DUMMYFUNCTION("""COMPUTED_VALUE"""),"コミットOK")</f>
        <v>コミットOK</v>
      </c>
      <c r="S3916" s="22" t="str">
        <f>IFERROR(__xludf.DUMMYFUNCTION("""COMPUTED_VALUE"""),"20250828_BookLive_推しVハーレム～陰キャの俺が美少女VtuberのPになった件～")</f>
        <v>20250828_BookLive_推しVハーレム～陰キャの俺が美少女VtuberのPになった件～</v>
      </c>
      <c r="T3916" s="22" t="str">
        <f>IFERROR(__xludf.DUMMYFUNCTION("""COMPUTED_VALUE"""),"格納済み")</f>
        <v>格納済み</v>
      </c>
      <c r="U3916" s="9" t="str">
        <f>IFERROR(__xludf.DUMMYFUNCTION("""COMPUTED_VALUE"""),"(c)青宮/ライブコミックス")</f>
        <v>(c)青宮/ライブコミックス</v>
      </c>
      <c r="V3916" s="8"/>
      <c r="W3916" s="8"/>
      <c r="X3916" s="8" t="str">
        <f>IFERROR(__xludf.DUMMYFUNCTION("""COMPUTED_VALUE"""),"有")</f>
        <v>有</v>
      </c>
      <c r="Y3916" s="8" t="str">
        <f>IFERROR(__xludf.DUMMYFUNCTION("""COMPUTED_VALUE"""),"2025/12/25まで1巻無料")</f>
        <v>2025/12/25まで1巻無料</v>
      </c>
      <c r="Z3916" s="7"/>
      <c r="AA3916" s="7"/>
      <c r="AB3916" s="7"/>
    </row>
    <row r="3917" ht="15.75" customHeight="1">
      <c r="A3917" s="26">
        <f>IFERROR(__xludf.DUMMYFUNCTION("""COMPUTED_VALUE"""),6366.0)</f>
        <v>6366</v>
      </c>
      <c r="B3917" s="22" t="str">
        <f>IFERROR(__xludf.DUMMYFUNCTION("""COMPUTED_VALUE"""),"確定")</f>
        <v>確定</v>
      </c>
      <c r="C3917" s="28">
        <f>IFERROR(__xludf.DUMMYFUNCTION("""COMPUTED_VALUE"""),45898.0)</f>
        <v>45898</v>
      </c>
      <c r="D3917" s="28">
        <f>IFERROR(__xludf.DUMMYFUNCTION("""COMPUTED_VALUE"""),45910.0)</f>
        <v>45910</v>
      </c>
      <c r="E3917" s="26">
        <f>IFERROR(__xludf.DUMMYFUNCTION("""COMPUTED_VALUE"""),336979.0)</f>
        <v>336979</v>
      </c>
      <c r="F3917" s="22" t="str">
        <f>IFERROR(__xludf.DUMMYFUNCTION("""COMPUTED_VALUE"""),"サードバージン～43歳、今から恋していいですか？～【単話売】")</f>
        <v>サードバージン～43歳、今から恋していいですか？～【単話売】</v>
      </c>
      <c r="G3917" s="20" t="str">
        <f>IFERROR(__xludf.DUMMYFUNCTION("""COMPUTED_VALUE"""),"1～3")</f>
        <v>1～3</v>
      </c>
      <c r="H3917" s="22" t="str">
        <f>IFERROR(__xludf.DUMMYFUNCTION("""COMPUTED_VALUE"""),"及川由美")</f>
        <v>及川由美</v>
      </c>
      <c r="I3917" s="22" t="str">
        <f>IFERROR(__xludf.DUMMYFUNCTION("""COMPUTED_VALUE"""),"女性")</f>
        <v>女性</v>
      </c>
      <c r="J3917" s="22"/>
      <c r="K3917" s="22"/>
      <c r="L3917" s="22" t="str">
        <f>IFERROR(__xludf.DUMMYFUNCTION("""COMPUTED_VALUE"""),"ジュリアンパブリッシング")</f>
        <v>ジュリアンパブリッシング</v>
      </c>
      <c r="M3917" s="33">
        <f>IFERROR(__xludf.DUMMYFUNCTION("""COMPUTED_VALUE"""),45930.0)</f>
        <v>45930</v>
      </c>
      <c r="N3917" s="33">
        <f>IFERROR(__xludf.DUMMYFUNCTION("""COMPUTED_VALUE"""),45988.0)</f>
        <v>45988</v>
      </c>
      <c r="O3917" s="20"/>
      <c r="P3917" s="32" t="str">
        <f>IFERROR(__xludf.DUMMYFUNCTION("""COMPUTED_VALUE"""),"否")</f>
        <v>否</v>
      </c>
      <c r="Q3917" s="30"/>
      <c r="R3917" s="22" t="str">
        <f>IFERROR(__xludf.DUMMYFUNCTION("""COMPUTED_VALUE"""),"コミットOK")</f>
        <v>コミットOK</v>
      </c>
      <c r="S3917" s="22" t="str">
        <f>IFERROR(__xludf.DUMMYFUNCTION("""COMPUTED_VALUE"""),"20250903_SBクリエイティブ_サードバージン～43歳、今から恋していいですか？～")</f>
        <v>20250903_SBクリエイティブ_サードバージン～43歳、今から恋していいですか？～</v>
      </c>
      <c r="T3917" s="22" t="str">
        <f>IFERROR(__xludf.DUMMYFUNCTION("""COMPUTED_VALUE"""),"格納済み")</f>
        <v>格納済み</v>
      </c>
      <c r="U3917" s="9" t="str">
        <f>IFERROR(__xludf.DUMMYFUNCTION("""COMPUTED_VALUE"""),"c及川由美／ジュリアンパブリッシング")</f>
        <v>c及川由美／ジュリアンパブリッシング</v>
      </c>
      <c r="V3917" s="8"/>
      <c r="W3917" s="8"/>
      <c r="X3917" s="8" t="str">
        <f>IFERROR(__xludf.DUMMYFUNCTION("""COMPUTED_VALUE"""),"有")</f>
        <v>有</v>
      </c>
      <c r="Y3917" s="8" t="str">
        <f>IFERROR(__xludf.DUMMYFUNCTION("""COMPUTED_VALUE"""),"P8まで")</f>
        <v>P8まで</v>
      </c>
      <c r="Z3917" s="7"/>
      <c r="AA3917" s="7"/>
      <c r="AB3917" s="7"/>
    </row>
    <row r="3918" ht="15.75" customHeight="1">
      <c r="A3918" s="26">
        <f>IFERROR(__xludf.DUMMYFUNCTION("""COMPUTED_VALUE"""),6367.0)</f>
        <v>6367</v>
      </c>
      <c r="B3918" s="22" t="str">
        <f>IFERROR(__xludf.DUMMYFUNCTION("""COMPUTED_VALUE"""),"確定")</f>
        <v>確定</v>
      </c>
      <c r="C3918" s="28">
        <f>IFERROR(__xludf.DUMMYFUNCTION("""COMPUTED_VALUE"""),45898.0)</f>
        <v>45898</v>
      </c>
      <c r="D3918" s="28">
        <f>IFERROR(__xludf.DUMMYFUNCTION("""COMPUTED_VALUE"""),45910.0)</f>
        <v>45910</v>
      </c>
      <c r="E3918" s="26">
        <f>IFERROR(__xludf.DUMMYFUNCTION("""COMPUTED_VALUE"""),336980.0)</f>
        <v>336980</v>
      </c>
      <c r="F3918" s="22" t="str">
        <f>IFERROR(__xludf.DUMMYFUNCTION("""COMPUTED_VALUE"""),"夏目くんは本音を言わない【単話売】")</f>
        <v>夏目くんは本音を言わない【単話売】</v>
      </c>
      <c r="G3918" s="20" t="str">
        <f>IFERROR(__xludf.DUMMYFUNCTION("""COMPUTED_VALUE"""),"1～3")</f>
        <v>1～3</v>
      </c>
      <c r="H3918" s="22" t="str">
        <f>IFERROR(__xludf.DUMMYFUNCTION("""COMPUTED_VALUE"""),"著者　美輪奈樹／原作　七篠りこ")</f>
        <v>著者　美輪奈樹／原作　七篠りこ</v>
      </c>
      <c r="I3918" s="22" t="str">
        <f>IFERROR(__xludf.DUMMYFUNCTION("""COMPUTED_VALUE"""),"女性")</f>
        <v>女性</v>
      </c>
      <c r="J3918" s="22"/>
      <c r="K3918" s="22"/>
      <c r="L3918" s="22" t="str">
        <f>IFERROR(__xludf.DUMMYFUNCTION("""COMPUTED_VALUE"""),"ジュリアンパブリッシング")</f>
        <v>ジュリアンパブリッシング</v>
      </c>
      <c r="M3918" s="33">
        <f>IFERROR(__xludf.DUMMYFUNCTION("""COMPUTED_VALUE"""),45930.0)</f>
        <v>45930</v>
      </c>
      <c r="N3918" s="33">
        <f>IFERROR(__xludf.DUMMYFUNCTION("""COMPUTED_VALUE"""),45988.0)</f>
        <v>45988</v>
      </c>
      <c r="O3918" s="20"/>
      <c r="P3918" s="32" t="str">
        <f>IFERROR(__xludf.DUMMYFUNCTION("""COMPUTED_VALUE"""),"否")</f>
        <v>否</v>
      </c>
      <c r="Q3918" s="30" t="str">
        <f>IFERROR(__xludf.DUMMYFUNCTION("""COMPUTED_VALUE"""),"シーモアロゴ無し")</f>
        <v>シーモアロゴ無し</v>
      </c>
      <c r="R3918" s="22" t="str">
        <f>IFERROR(__xludf.DUMMYFUNCTION("""COMPUTED_VALUE"""),"コミットOK")</f>
        <v>コミットOK</v>
      </c>
      <c r="S3918" s="22" t="str">
        <f>IFERROR(__xludf.DUMMYFUNCTION("""COMPUTED_VALUE"""),"20250903_SBクリエイティブ_夏目くんは本音を言わない")</f>
        <v>20250903_SBクリエイティブ_夏目くんは本音を言わない</v>
      </c>
      <c r="T3918" s="22" t="str">
        <f>IFERROR(__xludf.DUMMYFUNCTION("""COMPUTED_VALUE"""),"格納済み")</f>
        <v>格納済み</v>
      </c>
      <c r="U3918" s="9" t="str">
        <f>IFERROR(__xludf.DUMMYFUNCTION("""COMPUTED_VALUE"""),"c美輪奈樹／七篠りこ／ジュリアンパブリッシング")</f>
        <v>c美輪奈樹／七篠りこ／ジュリアンパブリッシング</v>
      </c>
      <c r="V3918" s="8"/>
      <c r="W3918" s="8"/>
      <c r="X3918" s="8" t="str">
        <f>IFERROR(__xludf.DUMMYFUNCTION("""COMPUTED_VALUE"""),"有")</f>
        <v>有</v>
      </c>
      <c r="Y3918" s="8" t="str">
        <f>IFERROR(__xludf.DUMMYFUNCTION("""COMPUTED_VALUE"""),"P8まで")</f>
        <v>P8まで</v>
      </c>
      <c r="Z3918" s="7"/>
      <c r="AA3918" s="7"/>
      <c r="AB3918" s="7"/>
    </row>
    <row r="3919" ht="15.75" customHeight="1">
      <c r="A3919" s="26">
        <f>IFERROR(__xludf.DUMMYFUNCTION("""COMPUTED_VALUE"""),6368.0)</f>
        <v>6368</v>
      </c>
      <c r="B3919" s="22" t="str">
        <f>IFERROR(__xludf.DUMMYFUNCTION("""COMPUTED_VALUE"""),"確定")</f>
        <v>確定</v>
      </c>
      <c r="C3919" s="28">
        <f>IFERROR(__xludf.DUMMYFUNCTION("""COMPUTED_VALUE"""),45901.0)</f>
        <v>45901</v>
      </c>
      <c r="D3919" s="28">
        <f>IFERROR(__xludf.DUMMYFUNCTION("""COMPUTED_VALUE"""),45909.0)</f>
        <v>45909</v>
      </c>
      <c r="E3919" s="26">
        <f>IFERROR(__xludf.DUMMYFUNCTION("""COMPUTED_VALUE"""),313402.0)</f>
        <v>313402</v>
      </c>
      <c r="F3919" s="22" t="str">
        <f>IFERROR(__xludf.DUMMYFUNCTION("""COMPUTED_VALUE"""),"龍公爵の妻(フルカラー)")</f>
        <v>龍公爵の妻(フルカラー)</v>
      </c>
      <c r="G3919" s="20" t="str">
        <f>IFERROR(__xludf.DUMMYFUNCTION("""COMPUTED_VALUE"""),"1～5")</f>
        <v>1～5</v>
      </c>
      <c r="H3919" s="22" t="str">
        <f>IFERROR(__xludf.DUMMYFUNCTION("""COMPUTED_VALUE"""),"CHUN,Team JENA,Duchess Rabbit,villus")</f>
        <v>CHUN,Team JENA,Duchess Rabbit,villus</v>
      </c>
      <c r="I3919" s="22" t="str">
        <f>IFERROR(__xludf.DUMMYFUNCTION("""COMPUTED_VALUE"""),"女性マンガ")</f>
        <v>女性マンガ</v>
      </c>
      <c r="J3919" s="22"/>
      <c r="K3919" s="22" t="str">
        <f>IFERROR(__xludf.DUMMYFUNCTION("""COMPUTED_VALUE"""),"リア×ロマ,スキして?桃色日記")</f>
        <v>リア×ロマ,スキして?桃色日記</v>
      </c>
      <c r="L3919" s="22" t="str">
        <f>IFERROR(__xludf.DUMMYFUNCTION("""COMPUTED_VALUE"""),"シーモアコミックス")</f>
        <v>シーモアコミックス</v>
      </c>
      <c r="M3919" s="33">
        <f>IFERROR(__xludf.DUMMYFUNCTION("""COMPUTED_VALUE"""),45934.0)</f>
        <v>45934</v>
      </c>
      <c r="N3919" s="33">
        <f>IFERROR(__xludf.DUMMYFUNCTION("""COMPUTED_VALUE"""),2958465.0)</f>
        <v>2958465</v>
      </c>
      <c r="O3919" s="20"/>
      <c r="P3919" s="32" t="str">
        <f>IFERROR(__xludf.DUMMYFUNCTION("""COMPUTED_VALUE"""),"可")</f>
        <v>可</v>
      </c>
      <c r="Q3919" s="30"/>
      <c r="R3919" s="22"/>
      <c r="S3919" s="22" t="str">
        <f>IFERROR(__xludf.DUMMYFUNCTION("""COMPUTED_VALUE"""),"20250901_シーモアコミックス_龍公爵の妻（フルカラー）")</f>
        <v>20250901_シーモアコミックス_龍公爵の妻（フルカラー）</v>
      </c>
      <c r="T3919" s="22" t="str">
        <f>IFERROR(__xludf.DUMMYFUNCTION("""COMPUTED_VALUE"""),"格納済み")</f>
        <v>格納済み</v>
      </c>
      <c r="U3919" s="9" t="str">
        <f>IFERROR(__xludf.DUMMYFUNCTION("""COMPUTED_VALUE"""),"(C) CHUN/Team JENA/Duchess Rabbit/villus/鶴山文化社/シーモアコミックス")</f>
        <v>(C) CHUN/Team JENA/Duchess Rabbit/villus/鶴山文化社/シーモアコミックス</v>
      </c>
      <c r="V3919" s="8"/>
      <c r="W3919" s="8"/>
      <c r="X3919" s="8" t="str">
        <f>IFERROR(__xludf.DUMMYFUNCTION("""COMPUTED_VALUE"""),"有")</f>
        <v>有</v>
      </c>
      <c r="Y3919" s="8" t="str">
        <f>IFERROR(__xludf.DUMMYFUNCTION("""COMPUTED_VALUE"""),"2025/10/31まで1巻無料")</f>
        <v>2025/10/31まで1巻無料</v>
      </c>
      <c r="Z3919" s="7"/>
      <c r="AA3919" s="7"/>
      <c r="AB3919" s="7"/>
    </row>
    <row r="3920" ht="15.75" customHeight="1">
      <c r="A3920" s="26">
        <f>IFERROR(__xludf.DUMMYFUNCTION("""COMPUTED_VALUE"""),6369.0)</f>
        <v>6369</v>
      </c>
      <c r="B3920" s="22" t="str">
        <f>IFERROR(__xludf.DUMMYFUNCTION("""COMPUTED_VALUE"""),"確定")</f>
        <v>確定</v>
      </c>
      <c r="C3920" s="28">
        <f>IFERROR(__xludf.DUMMYFUNCTION("""COMPUTED_VALUE"""),45901.0)</f>
        <v>45901</v>
      </c>
      <c r="D3920" s="28">
        <f>IFERROR(__xludf.DUMMYFUNCTION("""COMPUTED_VALUE"""),45909.0)</f>
        <v>45909</v>
      </c>
      <c r="E3920" s="26">
        <f>IFERROR(__xludf.DUMMYFUNCTION("""COMPUTED_VALUE"""),313403.0)</f>
        <v>313403</v>
      </c>
      <c r="F3920" s="22" t="str">
        <f>IFERROR(__xludf.DUMMYFUNCTION("""COMPUTED_VALUE"""),"龍公爵の妻【タテヨミ】")</f>
        <v>龍公爵の妻【タテヨミ】</v>
      </c>
      <c r="G3920" s="20" t="str">
        <f>IFERROR(__xludf.DUMMYFUNCTION("""COMPUTED_VALUE"""),"1～10")</f>
        <v>1～10</v>
      </c>
      <c r="H3920" s="22" t="str">
        <f>IFERROR(__xludf.DUMMYFUNCTION("""COMPUTED_VALUE"""),"CHUN,Team JENA,Duchess Rabbit,villus")</f>
        <v>CHUN,Team JENA,Duchess Rabbit,villus</v>
      </c>
      <c r="I3920" s="22" t="str">
        <f>IFERROR(__xludf.DUMMYFUNCTION("""COMPUTED_VALUE"""),"女性マンガ")</f>
        <v>女性マンガ</v>
      </c>
      <c r="J3920" s="22"/>
      <c r="K3920" s="22" t="str">
        <f>IFERROR(__xludf.DUMMYFUNCTION("""COMPUTED_VALUE"""),"リア×ロマ,スキして?桃色日記")</f>
        <v>リア×ロマ,スキして?桃色日記</v>
      </c>
      <c r="L3920" s="22" t="str">
        <f>IFERROR(__xludf.DUMMYFUNCTION("""COMPUTED_VALUE"""),"シーモアコミックス")</f>
        <v>シーモアコミックス</v>
      </c>
      <c r="M3920" s="33">
        <f>IFERROR(__xludf.DUMMYFUNCTION("""COMPUTED_VALUE"""),45934.0)</f>
        <v>45934</v>
      </c>
      <c r="N3920" s="33">
        <f>IFERROR(__xludf.DUMMYFUNCTION("""COMPUTED_VALUE"""),2958465.0)</f>
        <v>2958465</v>
      </c>
      <c r="O3920" s="20"/>
      <c r="P3920" s="32" t="str">
        <f>IFERROR(__xludf.DUMMYFUNCTION("""COMPUTED_VALUE"""),"可")</f>
        <v>可</v>
      </c>
      <c r="Q3920" s="30" t="str">
        <f>IFERROR(__xludf.DUMMYFUNCTION("""COMPUTED_VALUE"""),"※コマサム等素材は「313402　龍公爵の妻(フルカラー)」の方をお使いください。バナー制作はフルカラー版の素材を利用して問題ございません。&lt;BR&gt;")</f>
        <v>※コマサム等素材は「313402　龍公爵の妻(フルカラー)」の方をお使いください。バナー制作はフルカラー版の素材を利用して問題ございません。&lt;BR&gt;</v>
      </c>
      <c r="R3920" s="22"/>
      <c r="S3920" s="22" t="str">
        <f>IFERROR(__xludf.DUMMYFUNCTION("""COMPUTED_VALUE"""),"20250901_シーモアコミックス_龍公爵の妻【タテヨミ】")</f>
        <v>20250901_シーモアコミックス_龍公爵の妻【タテヨミ】</v>
      </c>
      <c r="T3920" s="22" t="str">
        <f>IFERROR(__xludf.DUMMYFUNCTION("""COMPUTED_VALUE"""),"格納済み")</f>
        <v>格納済み</v>
      </c>
      <c r="U3920" s="9" t="str">
        <f>IFERROR(__xludf.DUMMYFUNCTION("""COMPUTED_VALUE"""),"(C) CHUN/Team JENA/Duchess Rabbit/villus/鶴山文化社/シーモアコミックス")</f>
        <v>(C) CHUN/Team JENA/Duchess Rabbit/villus/鶴山文化社/シーモアコミックス</v>
      </c>
      <c r="V3920" s="8"/>
      <c r="W3920" s="8"/>
      <c r="X3920" s="8" t="str">
        <f>IFERROR(__xludf.DUMMYFUNCTION("""COMPUTED_VALUE"""),"有")</f>
        <v>有</v>
      </c>
      <c r="Y3920" s="8" t="str">
        <f>IFERROR(__xludf.DUMMYFUNCTION("""COMPUTED_VALUE"""),"2025/10/31まで1～2巻無料")</f>
        <v>2025/10/31まで1～2巻無料</v>
      </c>
      <c r="Z3920" s="7"/>
      <c r="AA3920" s="7"/>
      <c r="AB3920" s="7"/>
    </row>
    <row r="3921" ht="15.75" customHeight="1">
      <c r="A3921" s="26">
        <f>IFERROR(__xludf.DUMMYFUNCTION("""COMPUTED_VALUE"""),6370.0)</f>
        <v>6370</v>
      </c>
      <c r="B3921" s="22" t="str">
        <f>IFERROR(__xludf.DUMMYFUNCTION("""COMPUTED_VALUE"""),"確定")</f>
        <v>確定</v>
      </c>
      <c r="C3921" s="28">
        <f>IFERROR(__xludf.DUMMYFUNCTION("""COMPUTED_VALUE"""),45901.0)</f>
        <v>45901</v>
      </c>
      <c r="D3921" s="28">
        <f>IFERROR(__xludf.DUMMYFUNCTION("""COMPUTED_VALUE"""),45909.0)</f>
        <v>45909</v>
      </c>
      <c r="E3921" s="26">
        <f>IFERROR(__xludf.DUMMYFUNCTION("""COMPUTED_VALUE"""),319562.0)</f>
        <v>319562</v>
      </c>
      <c r="F3921" s="22" t="str">
        <f>IFERROR(__xludf.DUMMYFUNCTION("""COMPUTED_VALUE"""),"毒の円環(フルカラー)")</f>
        <v>毒の円環(フルカラー)</v>
      </c>
      <c r="G3921" s="20" t="str">
        <f>IFERROR(__xludf.DUMMYFUNCTION("""COMPUTED_VALUE"""),"1～4")</f>
        <v>1～4</v>
      </c>
      <c r="H3921" s="22" t="str">
        <f>IFERROR(__xludf.DUMMYFUNCTION("""COMPUTED_VALUE"""),"yusa")</f>
        <v>yusa</v>
      </c>
      <c r="I3921" s="22" t="str">
        <f>IFERROR(__xludf.DUMMYFUNCTION("""COMPUTED_VALUE"""),"BLマンガ")</f>
        <v>BLマンガ</v>
      </c>
      <c r="J3921" s="22"/>
      <c r="K3921" s="22" t="str">
        <f>IFERROR(__xludf.DUMMYFUNCTION("""COMPUTED_VALUE"""),"Ficus")</f>
        <v>Ficus</v>
      </c>
      <c r="L3921" s="22" t="str">
        <f>IFERROR(__xludf.DUMMYFUNCTION("""COMPUTED_VALUE"""),"シーモアコミックス")</f>
        <v>シーモアコミックス</v>
      </c>
      <c r="M3921" s="33">
        <f>IFERROR(__xludf.DUMMYFUNCTION("""COMPUTED_VALUE"""),45934.0)</f>
        <v>45934</v>
      </c>
      <c r="N3921" s="33">
        <f>IFERROR(__xludf.DUMMYFUNCTION("""COMPUTED_VALUE"""),2958465.0)</f>
        <v>2958465</v>
      </c>
      <c r="O3921" s="20"/>
      <c r="P3921" s="32" t="str">
        <f>IFERROR(__xludf.DUMMYFUNCTION("""COMPUTED_VALUE"""),"可")</f>
        <v>可</v>
      </c>
      <c r="Q3921" s="30" t="str">
        <f>IFERROR(__xludf.DUMMYFUNCTION("""COMPUTED_VALUE"""),"【アダルト作品扱い】")</f>
        <v>【アダルト作品扱い】</v>
      </c>
      <c r="R3921" s="22"/>
      <c r="S3921" s="22" t="str">
        <f>IFERROR(__xludf.DUMMYFUNCTION("""COMPUTED_VALUE"""),"20250901_シーモアコミックス_毒の円環（フルカラー）")</f>
        <v>20250901_シーモアコミックス_毒の円環（フルカラー）</v>
      </c>
      <c r="T3921" s="22" t="str">
        <f>IFERROR(__xludf.DUMMYFUNCTION("""COMPUTED_VALUE"""),"格納済み")</f>
        <v>格納済み</v>
      </c>
      <c r="U3921" s="9" t="str">
        <f>IFERROR(__xludf.DUMMYFUNCTION("""COMPUTED_VALUE"""),"(C) yusa/Daewon C.I. Inc./シーモアコミックス")</f>
        <v>(C) yusa/Daewon C.I. Inc./シーモアコミックス</v>
      </c>
      <c r="V3921" s="8"/>
      <c r="W3921" s="8"/>
      <c r="X3921" s="8" t="str">
        <f>IFERROR(__xludf.DUMMYFUNCTION("""COMPUTED_VALUE"""),"有")</f>
        <v>有</v>
      </c>
      <c r="Y3921" s="8" t="str">
        <f>IFERROR(__xludf.DUMMYFUNCTION("""COMPUTED_VALUE"""),"2025/10/31まで1巻無料")</f>
        <v>2025/10/31まで1巻無料</v>
      </c>
      <c r="Z3921" s="7"/>
      <c r="AA3921" s="7"/>
      <c r="AB3921" s="7"/>
    </row>
    <row r="3922" ht="15.75" customHeight="1">
      <c r="A3922" s="26">
        <f>IFERROR(__xludf.DUMMYFUNCTION("""COMPUTED_VALUE"""),6371.0)</f>
        <v>6371</v>
      </c>
      <c r="B3922" s="22" t="str">
        <f>IFERROR(__xludf.DUMMYFUNCTION("""COMPUTED_VALUE"""),"確定")</f>
        <v>確定</v>
      </c>
      <c r="C3922" s="28">
        <f>IFERROR(__xludf.DUMMYFUNCTION("""COMPUTED_VALUE"""),45901.0)</f>
        <v>45901</v>
      </c>
      <c r="D3922" s="28">
        <f>IFERROR(__xludf.DUMMYFUNCTION("""COMPUTED_VALUE"""),45909.0)</f>
        <v>45909</v>
      </c>
      <c r="E3922" s="26">
        <f>IFERROR(__xludf.DUMMYFUNCTION("""COMPUTED_VALUE"""),319563.0)</f>
        <v>319563</v>
      </c>
      <c r="F3922" s="22" t="str">
        <f>IFERROR(__xludf.DUMMYFUNCTION("""COMPUTED_VALUE"""),"毒の円環【タテヨミ】")</f>
        <v>毒の円環【タテヨミ】</v>
      </c>
      <c r="G3922" s="20" t="str">
        <f>IFERROR(__xludf.DUMMYFUNCTION("""COMPUTED_VALUE"""),"1～12")</f>
        <v>1～12</v>
      </c>
      <c r="H3922" s="22" t="str">
        <f>IFERROR(__xludf.DUMMYFUNCTION("""COMPUTED_VALUE"""),"yusa")</f>
        <v>yusa</v>
      </c>
      <c r="I3922" s="22" t="str">
        <f>IFERROR(__xludf.DUMMYFUNCTION("""COMPUTED_VALUE"""),"BLマンガ")</f>
        <v>BLマンガ</v>
      </c>
      <c r="J3922" s="22"/>
      <c r="K3922" s="22" t="str">
        <f>IFERROR(__xludf.DUMMYFUNCTION("""COMPUTED_VALUE"""),"Ficus")</f>
        <v>Ficus</v>
      </c>
      <c r="L3922" s="22" t="str">
        <f>IFERROR(__xludf.DUMMYFUNCTION("""COMPUTED_VALUE"""),"シーモアコミックス")</f>
        <v>シーモアコミックス</v>
      </c>
      <c r="M3922" s="33">
        <f>IFERROR(__xludf.DUMMYFUNCTION("""COMPUTED_VALUE"""),45934.0)</f>
        <v>45934</v>
      </c>
      <c r="N3922" s="33">
        <f>IFERROR(__xludf.DUMMYFUNCTION("""COMPUTED_VALUE"""),2958465.0)</f>
        <v>2958465</v>
      </c>
      <c r="O3922" s="20"/>
      <c r="P3922" s="32" t="str">
        <f>IFERROR(__xludf.DUMMYFUNCTION("""COMPUTED_VALUE"""),"可")</f>
        <v>可</v>
      </c>
      <c r="Q3922" s="30" t="str">
        <f>IFERROR(__xludf.DUMMYFUNCTION("""COMPUTED_VALUE"""),"【アダルト作品扱い】※コマサム等素材は「319562　毒の円環(フルカラー)」の方をお使いください。バナー制作はフルカラー版の素材を利用して問題ございません。&lt;BR&gt;")</f>
        <v>【アダルト作品扱い】※コマサム等素材は「319562　毒の円環(フルカラー)」の方をお使いください。バナー制作はフルカラー版の素材を利用して問題ございません。&lt;BR&gt;</v>
      </c>
      <c r="R3922" s="22"/>
      <c r="S3922" s="22" t="str">
        <f>IFERROR(__xludf.DUMMYFUNCTION("""COMPUTED_VALUE"""),"20250901_シーモアコミックス_毒の円環【タテヨミ】")</f>
        <v>20250901_シーモアコミックス_毒の円環【タテヨミ】</v>
      </c>
      <c r="T3922" s="22" t="str">
        <f>IFERROR(__xludf.DUMMYFUNCTION("""COMPUTED_VALUE"""),"格納済み")</f>
        <v>格納済み</v>
      </c>
      <c r="U3922" s="9" t="str">
        <f>IFERROR(__xludf.DUMMYFUNCTION("""COMPUTED_VALUE"""),"(C) yusa/Daewon C.I. Inc./シーモアコミックス")</f>
        <v>(C) yusa/Daewon C.I. Inc./シーモアコミックス</v>
      </c>
      <c r="V3922" s="8"/>
      <c r="W3922" s="8"/>
      <c r="X3922" s="8" t="str">
        <f>IFERROR(__xludf.DUMMYFUNCTION("""COMPUTED_VALUE"""),"有")</f>
        <v>有</v>
      </c>
      <c r="Y3922" s="8" t="str">
        <f>IFERROR(__xludf.DUMMYFUNCTION("""COMPUTED_VALUE"""),"2025/10/31まで1~3巻無料")</f>
        <v>2025/10/31まで1~3巻無料</v>
      </c>
      <c r="Z3922" s="7"/>
      <c r="AA3922" s="7"/>
      <c r="AB3922" s="7"/>
    </row>
    <row r="3923" ht="15.75" customHeight="1">
      <c r="A3923" s="26">
        <f>IFERROR(__xludf.DUMMYFUNCTION("""COMPUTED_VALUE"""),6372.0)</f>
        <v>6372</v>
      </c>
      <c r="B3923" s="22" t="str">
        <f>IFERROR(__xludf.DUMMYFUNCTION("""COMPUTED_VALUE"""),"確定")</f>
        <v>確定</v>
      </c>
      <c r="C3923" s="28">
        <f>IFERROR(__xludf.DUMMYFUNCTION("""COMPUTED_VALUE"""),45901.0)</f>
        <v>45901</v>
      </c>
      <c r="D3923" s="28">
        <f>IFERROR(__xludf.DUMMYFUNCTION("""COMPUTED_VALUE"""),45905.0)</f>
        <v>45905</v>
      </c>
      <c r="E3923" s="26">
        <f>IFERROR(__xludf.DUMMYFUNCTION("""COMPUTED_VALUE"""),302737.0)</f>
        <v>302737</v>
      </c>
      <c r="F3923" s="22" t="str">
        <f>IFERROR(__xludf.DUMMYFUNCTION("""COMPUTED_VALUE"""),"くずヒーローは要りません！～男運ゼロ令嬢の華麗な復讐～(フルカラー)")</f>
        <v>くずヒーローは要りません！～男運ゼロ令嬢の華麗な復讐～(フルカラー)</v>
      </c>
      <c r="G3923" s="20" t="str">
        <f>IFERROR(__xludf.DUMMYFUNCTION("""COMPUTED_VALUE"""),"1～10")</f>
        <v>1～10</v>
      </c>
      <c r="H3923" s="22" t="str">
        <f>IFERROR(__xludf.DUMMYFUNCTION("""COMPUTED_VALUE"""),"Sungwel,Mooncrystal,DuYeon")</f>
        <v>Sungwel,Mooncrystal,DuYeon</v>
      </c>
      <c r="I3923" s="22" t="str">
        <f>IFERROR(__xludf.DUMMYFUNCTION("""COMPUTED_VALUE"""),"少女マンガ")</f>
        <v>少女マンガ</v>
      </c>
      <c r="J3923" s="22"/>
      <c r="K3923" s="22" t="str">
        <f>IFERROR(__xludf.DUMMYFUNCTION("""COMPUTED_VALUE"""),"恋するソワレ")</f>
        <v>恋するソワレ</v>
      </c>
      <c r="L3923" s="22" t="str">
        <f>IFERROR(__xludf.DUMMYFUNCTION("""COMPUTED_VALUE"""),"シーモアコミックス")</f>
        <v>シーモアコミックス</v>
      </c>
      <c r="M3923" s="33">
        <f>IFERROR(__xludf.DUMMYFUNCTION("""COMPUTED_VALUE"""),45935.0)</f>
        <v>45935</v>
      </c>
      <c r="N3923" s="33">
        <f>IFERROR(__xludf.DUMMYFUNCTION("""COMPUTED_VALUE"""),2958465.0)</f>
        <v>2958465</v>
      </c>
      <c r="O3923" s="20"/>
      <c r="P3923" s="32" t="str">
        <f>IFERROR(__xludf.DUMMYFUNCTION("""COMPUTED_VALUE"""),"可")</f>
        <v>可</v>
      </c>
      <c r="Q3923" s="30"/>
      <c r="R3923" s="22"/>
      <c r="S3923" s="22" t="str">
        <f>IFERROR(__xludf.DUMMYFUNCTION("""COMPUTED_VALUE"""),"20250901_シーモアコミックス_くずヒーローは要りません！～男運ゼロ令嬢の華麗な復讐～（フルカラー）")</f>
        <v>20250901_シーモアコミックス_くずヒーローは要りません！～男運ゼロ令嬢の華麗な復讐～（フルカラー）</v>
      </c>
      <c r="T3923" s="22" t="str">
        <f>IFERROR(__xludf.DUMMYFUNCTION("""COMPUTED_VALUE"""),"格納済み")</f>
        <v>格納済み</v>
      </c>
      <c r="U3923" s="9" t="str">
        <f>IFERROR(__xludf.DUMMYFUNCTION("""COMPUTED_VALUE"""),"(C) Sungwel/Mooncrystal/DuYeon/KWBOOKS/シーモアコミックス")</f>
        <v>(C) Sungwel/Mooncrystal/DuYeon/KWBOOKS/シーモアコミックス</v>
      </c>
      <c r="V3923" s="8"/>
      <c r="W3923" s="8"/>
      <c r="X3923" s="8" t="str">
        <f>IFERROR(__xludf.DUMMYFUNCTION("""COMPUTED_VALUE"""),"有")</f>
        <v>有</v>
      </c>
      <c r="Y3923" s="8" t="str">
        <f>IFERROR(__xludf.DUMMYFUNCTION("""COMPUTED_VALUE"""),"2025/11/1まで1~3巻無料")</f>
        <v>2025/11/1まで1~3巻無料</v>
      </c>
      <c r="Z3923" s="7"/>
      <c r="AA3923" s="7"/>
      <c r="AB3923" s="7"/>
    </row>
    <row r="3924" ht="15.75" customHeight="1">
      <c r="A3924" s="26">
        <f>IFERROR(__xludf.DUMMYFUNCTION("""COMPUTED_VALUE"""),6373.0)</f>
        <v>6373</v>
      </c>
      <c r="B3924" s="22" t="str">
        <f>IFERROR(__xludf.DUMMYFUNCTION("""COMPUTED_VALUE"""),"確定")</f>
        <v>確定</v>
      </c>
      <c r="C3924" s="28">
        <f>IFERROR(__xludf.DUMMYFUNCTION("""COMPUTED_VALUE"""),45901.0)</f>
        <v>45901</v>
      </c>
      <c r="D3924" s="28">
        <f>IFERROR(__xludf.DUMMYFUNCTION("""COMPUTED_VALUE"""),45905.0)</f>
        <v>45905</v>
      </c>
      <c r="E3924" s="26">
        <f>IFERROR(__xludf.DUMMYFUNCTION("""COMPUTED_VALUE"""),302738.0)</f>
        <v>302738</v>
      </c>
      <c r="F3924" s="22" t="str">
        <f>IFERROR(__xludf.DUMMYFUNCTION("""COMPUTED_VALUE"""),"くずヒーローは要りません！～男運ゼロ令嬢の華麗な復讐～【タテヨミ】")</f>
        <v>くずヒーローは要りません！～男運ゼロ令嬢の華麗な復讐～【タテヨミ】</v>
      </c>
      <c r="G3924" s="20" t="str">
        <f>IFERROR(__xludf.DUMMYFUNCTION("""COMPUTED_VALUE"""),"1～20")</f>
        <v>1～20</v>
      </c>
      <c r="H3924" s="22" t="str">
        <f>IFERROR(__xludf.DUMMYFUNCTION("""COMPUTED_VALUE"""),"Sungwel,Mooncrystal,DuYeon")</f>
        <v>Sungwel,Mooncrystal,DuYeon</v>
      </c>
      <c r="I3924" s="22" t="str">
        <f>IFERROR(__xludf.DUMMYFUNCTION("""COMPUTED_VALUE"""),"少女マンガ")</f>
        <v>少女マンガ</v>
      </c>
      <c r="J3924" s="22"/>
      <c r="K3924" s="22" t="str">
        <f>IFERROR(__xludf.DUMMYFUNCTION("""COMPUTED_VALUE"""),"恋するソワレ")</f>
        <v>恋するソワレ</v>
      </c>
      <c r="L3924" s="22" t="str">
        <f>IFERROR(__xludf.DUMMYFUNCTION("""COMPUTED_VALUE"""),"シーモアコミックス")</f>
        <v>シーモアコミックス</v>
      </c>
      <c r="M3924" s="33">
        <f>IFERROR(__xludf.DUMMYFUNCTION("""COMPUTED_VALUE"""),45935.0)</f>
        <v>45935</v>
      </c>
      <c r="N3924" s="33">
        <f>IFERROR(__xludf.DUMMYFUNCTION("""COMPUTED_VALUE"""),2958465.0)</f>
        <v>2958465</v>
      </c>
      <c r="O3924" s="20"/>
      <c r="P3924" s="32" t="str">
        <f>IFERROR(__xludf.DUMMYFUNCTION("""COMPUTED_VALUE"""),"可")</f>
        <v>可</v>
      </c>
      <c r="Q3924" s="30" t="str">
        <f>IFERROR(__xludf.DUMMYFUNCTION("""COMPUTED_VALUE"""),"※コマサム等素材は「302737　くずヒーローは要りません！～男運ゼロ令嬢の華麗な復讐～(フルカラー)」の方をお使いください。バナー制作はフルカラー版の素材を利用して問題ございません。&lt;BR&gt;")</f>
        <v>※コマサム等素材は「302737　くずヒーローは要りません！～男運ゼロ令嬢の華麗な復讐～(フルカラー)」の方をお使いください。バナー制作はフルカラー版の素材を利用して問題ございません。&lt;BR&gt;</v>
      </c>
      <c r="R3924" s="22"/>
      <c r="S3924" s="22" t="str">
        <f>IFERROR(__xludf.DUMMYFUNCTION("""COMPUTED_VALUE"""),"20250901_シーモアコミックス_くずヒーローは要りません！～男運ゼロ令嬢の華麗な復讐～【タテヨミ】")</f>
        <v>20250901_シーモアコミックス_くずヒーローは要りません！～男運ゼロ令嬢の華麗な復讐～【タテヨミ】</v>
      </c>
      <c r="T3924" s="22" t="str">
        <f>IFERROR(__xludf.DUMMYFUNCTION("""COMPUTED_VALUE"""),"格納済み")</f>
        <v>格納済み</v>
      </c>
      <c r="U3924" s="9" t="str">
        <f>IFERROR(__xludf.DUMMYFUNCTION("""COMPUTED_VALUE"""),"(C) Sungwel/Mooncrystal/DuYeon/KWBOOKS/シーモアコミックス")</f>
        <v>(C) Sungwel/Mooncrystal/DuYeon/KWBOOKS/シーモアコミックス</v>
      </c>
      <c r="V3924" s="8"/>
      <c r="W3924" s="8"/>
      <c r="X3924" s="8" t="str">
        <f>IFERROR(__xludf.DUMMYFUNCTION("""COMPUTED_VALUE"""),"有")</f>
        <v>有</v>
      </c>
      <c r="Y3924" s="8" t="str">
        <f>IFERROR(__xludf.DUMMYFUNCTION("""COMPUTED_VALUE"""),"2025/11/1まで1~6巻無料")</f>
        <v>2025/11/1まで1~6巻無料</v>
      </c>
      <c r="Z3924" s="7"/>
      <c r="AA3924" s="7"/>
      <c r="AB3924" s="7"/>
    </row>
    <row r="3925" ht="15.75" customHeight="1">
      <c r="A3925" s="26">
        <f>IFERROR(__xludf.DUMMYFUNCTION("""COMPUTED_VALUE"""),6381.0)</f>
        <v>6381</v>
      </c>
      <c r="B3925" s="22" t="str">
        <f>IFERROR(__xludf.DUMMYFUNCTION("""COMPUTED_VALUE"""),"確定")</f>
        <v>確定</v>
      </c>
      <c r="C3925" s="28">
        <f>IFERROR(__xludf.DUMMYFUNCTION("""COMPUTED_VALUE"""),45902.0)</f>
        <v>45902</v>
      </c>
      <c r="D3925" s="28">
        <f>IFERROR(__xludf.DUMMYFUNCTION("""COMPUTED_VALUE"""),45910.0)</f>
        <v>45910</v>
      </c>
      <c r="E3925" s="26">
        <f>IFERROR(__xludf.DUMMYFUNCTION("""COMPUTED_VALUE"""),337576.0)</f>
        <v>337576</v>
      </c>
      <c r="F3925" s="22" t="str">
        <f>IFERROR(__xludf.DUMMYFUNCTION("""COMPUTED_VALUE"""),"放課後のルミナス 連載版")</f>
        <v>放課後のルミナス 連載版</v>
      </c>
      <c r="G3925" s="20" t="str">
        <f>IFERROR(__xludf.DUMMYFUNCTION("""COMPUTED_VALUE"""),"1～4")</f>
        <v>1～4</v>
      </c>
      <c r="H3925" s="22" t="str">
        <f>IFERROR(__xludf.DUMMYFUNCTION("""COMPUTED_VALUE"""),"秋永港")</f>
        <v>秋永港</v>
      </c>
      <c r="I3925" s="22" t="str">
        <f>IFERROR(__xludf.DUMMYFUNCTION("""COMPUTED_VALUE"""),"青年")</f>
        <v>青年</v>
      </c>
      <c r="J3925" s="22"/>
      <c r="K3925" s="22"/>
      <c r="L3925" s="22" t="str">
        <f>IFERROR(__xludf.DUMMYFUNCTION("""COMPUTED_VALUE"""),"ブシロードワークス")</f>
        <v>ブシロードワークス</v>
      </c>
      <c r="M3925" s="33">
        <f>IFERROR(__xludf.DUMMYFUNCTION("""COMPUTED_VALUE"""),45932.0)</f>
        <v>45932</v>
      </c>
      <c r="N3925" s="33">
        <f>IFERROR(__xludf.DUMMYFUNCTION("""COMPUTED_VALUE"""),45966.0)</f>
        <v>45966</v>
      </c>
      <c r="O3925" s="20"/>
      <c r="P3925" s="32" t="str">
        <f>IFERROR(__xludf.DUMMYFUNCTION("""COMPUTED_VALUE"""),"可")</f>
        <v>可</v>
      </c>
      <c r="Q3925" s="30" t="str">
        <f>IFERROR(__xludf.DUMMYFUNCTION("""COMPUTED_VALUE"""),"1~3話の素材で広告制作お願いいたします。")</f>
        <v>1~3話の素材で広告制作お願いいたします。</v>
      </c>
      <c r="R3925" s="22" t="str">
        <f>IFERROR(__xludf.DUMMYFUNCTION("""COMPUTED_VALUE"""),"コミットOK")</f>
        <v>コミットOK</v>
      </c>
      <c r="S3925" s="22" t="str">
        <f>IFERROR(__xludf.DUMMYFUNCTION("""COMPUTED_VALUE"""),"20250902_ブシロードワークス_放課後のルミナス 連載版")</f>
        <v>20250902_ブシロードワークス_放課後のルミナス 連載版</v>
      </c>
      <c r="T3925" s="22" t="str">
        <f>IFERROR(__xludf.DUMMYFUNCTION("""COMPUTED_VALUE"""),"格納済み")</f>
        <v>格納済み</v>
      </c>
      <c r="U3925" s="9" t="str">
        <f>IFERROR(__xludf.DUMMYFUNCTION("""COMPUTED_VALUE"""),"ⒸMinato Akinaga / BUSHIROAD WORKS")</f>
        <v>ⒸMinato Akinaga / BUSHIROAD WORKS</v>
      </c>
      <c r="V3925" s="8"/>
      <c r="W3925" s="8"/>
      <c r="X3925" s="8" t="str">
        <f>IFERROR(__xludf.DUMMYFUNCTION("""COMPUTED_VALUE"""),"有")</f>
        <v>有</v>
      </c>
      <c r="Y3925" s="8" t="str">
        <f>IFERROR(__xludf.DUMMYFUNCTION("""COMPUTED_VALUE"""),"2025/11/5まで1~2巻無料")</f>
        <v>2025/11/5まで1~2巻無料</v>
      </c>
      <c r="Z3925" s="7"/>
      <c r="AA3925" s="7"/>
      <c r="AB3925" s="7"/>
    </row>
    <row r="3926" ht="15.75" customHeight="1">
      <c r="A3926" s="26">
        <f>IFERROR(__xludf.DUMMYFUNCTION("""COMPUTED_VALUE"""),6384.0)</f>
        <v>6384</v>
      </c>
      <c r="B3926" s="22" t="str">
        <f>IFERROR(__xludf.DUMMYFUNCTION("""COMPUTED_VALUE"""),"確定")</f>
        <v>確定</v>
      </c>
      <c r="C3926" s="28">
        <f>IFERROR(__xludf.DUMMYFUNCTION("""COMPUTED_VALUE"""),45902.0)</f>
        <v>45902</v>
      </c>
      <c r="D3926" s="28">
        <f>IFERROR(__xludf.DUMMYFUNCTION("""COMPUTED_VALUE"""),45905.0)</f>
        <v>45905</v>
      </c>
      <c r="E3926" s="26">
        <f>IFERROR(__xludf.DUMMYFUNCTION("""COMPUTED_VALUE"""),337575.0)</f>
        <v>337575</v>
      </c>
      <c r="F3926" s="22" t="str">
        <f>IFERROR(__xludf.DUMMYFUNCTION("""COMPUTED_VALUE"""),"さよならプロローグ【分冊版】")</f>
        <v>さよならプロローグ【分冊版】</v>
      </c>
      <c r="G3926" s="20" t="str">
        <f>IFERROR(__xludf.DUMMYFUNCTION("""COMPUTED_VALUE"""),"1～4")</f>
        <v>1～4</v>
      </c>
      <c r="H3926" s="22" t="str">
        <f>IFERROR(__xludf.DUMMYFUNCTION("""COMPUTED_VALUE"""),"永塚未知流")</f>
        <v>永塚未知流</v>
      </c>
      <c r="I3926" s="22" t="str">
        <f>IFERROR(__xludf.DUMMYFUNCTION("""COMPUTED_VALUE"""),"女性")</f>
        <v>女性</v>
      </c>
      <c r="J3926" s="22"/>
      <c r="K3926" s="22" t="str">
        <f>IFERROR(__xludf.DUMMYFUNCTION("""COMPUTED_VALUE"""),"エレガンスイブ")</f>
        <v>エレガンスイブ</v>
      </c>
      <c r="L3926" s="22" t="str">
        <f>IFERROR(__xludf.DUMMYFUNCTION("""COMPUTED_VALUE"""),"秋田書店")</f>
        <v>秋田書店</v>
      </c>
      <c r="M3926" s="33">
        <f>IFERROR(__xludf.DUMMYFUNCTION("""COMPUTED_VALUE"""),45930.0)</f>
        <v>45930</v>
      </c>
      <c r="N3926" s="33">
        <f>IFERROR(__xludf.DUMMYFUNCTION("""COMPUTED_VALUE"""),45990.0)</f>
        <v>45990</v>
      </c>
      <c r="O3926" s="20"/>
      <c r="P3926" s="32" t="str">
        <f>IFERROR(__xludf.DUMMYFUNCTION("""COMPUTED_VALUE"""),"否")</f>
        <v>否</v>
      </c>
      <c r="Q3926" s="30" t="str">
        <f>IFERROR(__xludf.DUMMYFUNCTION("""COMPUTED_VALUE"""),"広告制作は1~3話素材でお願いいたします。")</f>
        <v>広告制作は1~3話素材でお願いいたします。</v>
      </c>
      <c r="R3926" s="22"/>
      <c r="S3926" s="22" t="str">
        <f>IFERROR(__xludf.DUMMYFUNCTION("""COMPUTED_VALUE"""),"20250904_秋田書店_さよならプロローグ【分冊版】")</f>
        <v>20250904_秋田書店_さよならプロローグ【分冊版】</v>
      </c>
      <c r="T3926" s="22" t="str">
        <f>IFERROR(__xludf.DUMMYFUNCTION("""COMPUTED_VALUE"""),"格納済み")</f>
        <v>格納済み</v>
      </c>
      <c r="U3926" s="9" t="str">
        <f>IFERROR(__xludf.DUMMYFUNCTION("""COMPUTED_VALUE"""),"(C)永塚未知流（秋田書店）")</f>
        <v>(C)永塚未知流（秋田書店）</v>
      </c>
      <c r="V3926" s="8"/>
      <c r="W3926" s="8"/>
      <c r="X3926" s="8" t="str">
        <f>IFERROR(__xludf.DUMMYFUNCTION("""COMPUTED_VALUE"""),"有")</f>
        <v>有</v>
      </c>
      <c r="Y3926" s="8" t="str">
        <f>IFERROR(__xludf.DUMMYFUNCTION("""COMPUTED_VALUE"""),"2025/11/29まで1巻無料")</f>
        <v>2025/11/29まで1巻無料</v>
      </c>
      <c r="Z3926" s="7"/>
      <c r="AA3926" s="7"/>
      <c r="AB3926" s="7"/>
    </row>
    <row r="3927" ht="15.75" customHeight="1">
      <c r="A3927" s="26">
        <f>IFERROR(__xludf.DUMMYFUNCTION("""COMPUTED_VALUE"""),6433.0)</f>
        <v>6433</v>
      </c>
      <c r="B3927" s="22" t="str">
        <f>IFERROR(__xludf.DUMMYFUNCTION("""COMPUTED_VALUE"""),"確定")</f>
        <v>確定</v>
      </c>
      <c r="C3927" s="28">
        <f>IFERROR(__xludf.DUMMYFUNCTION("""COMPUTED_VALUE"""),45904.0)</f>
        <v>45904</v>
      </c>
      <c r="D3927" s="28">
        <f>IFERROR(__xludf.DUMMYFUNCTION("""COMPUTED_VALUE"""),45905.0)</f>
        <v>45905</v>
      </c>
      <c r="E3927" s="26">
        <f>IFERROR(__xludf.DUMMYFUNCTION("""COMPUTED_VALUE"""),336797.0)</f>
        <v>336797</v>
      </c>
      <c r="F3927" s="22" t="str">
        <f>IFERROR(__xludf.DUMMYFUNCTION("""COMPUTED_VALUE"""),"禍&lt;わざわい&gt;の魔女と呼ばれた転生幼女、今世こそ幸せになるためにがんばります！")</f>
        <v>禍&lt;わざわい&gt;の魔女と呼ばれた転生幼女、今世こそ幸せになるためにがんばります！</v>
      </c>
      <c r="G3927" s="20" t="str">
        <f>IFERROR(__xludf.DUMMYFUNCTION("""COMPUTED_VALUE"""),"1～5")</f>
        <v>1～5</v>
      </c>
      <c r="H3927" s="22" t="str">
        <f>IFERROR(__xludf.DUMMYFUNCTION("""COMPUTED_VALUE"""),"音呼たまき/かなりつ")</f>
        <v>音呼たまき/かなりつ</v>
      </c>
      <c r="I3927" s="22" t="str">
        <f>IFERROR(__xludf.DUMMYFUNCTION("""COMPUTED_VALUE"""),"青年")</f>
        <v>青年</v>
      </c>
      <c r="J3927" s="22"/>
      <c r="K3927" s="22"/>
      <c r="L3927" s="22" t="str">
        <f>IFERROR(__xludf.DUMMYFUNCTION("""COMPUTED_VALUE"""),"ファンギルド")</f>
        <v>ファンギルド</v>
      </c>
      <c r="M3927" s="33">
        <f>IFERROR(__xludf.DUMMYFUNCTION("""COMPUTED_VALUE"""),45922.0)</f>
        <v>45922</v>
      </c>
      <c r="N3927" s="33">
        <f>IFERROR(__xludf.DUMMYFUNCTION("""COMPUTED_VALUE"""),45951.0)</f>
        <v>45951</v>
      </c>
      <c r="O3927" s="20"/>
      <c r="P3927" s="32" t="str">
        <f>IFERROR(__xludf.DUMMYFUNCTION("""COMPUTED_VALUE"""),"可")</f>
        <v>可</v>
      </c>
      <c r="Q3927" s="30"/>
      <c r="R3927" s="22"/>
      <c r="S3927" s="22" t="str">
        <f>IFERROR(__xludf.DUMMYFUNCTION("""COMPUTED_VALUE"""),"20250904_ファンギルド_禍わざわいの魔女と呼ばれた転生幼女、今世こそ幸せになるためにがんばります！")</f>
        <v>20250904_ファンギルド_禍わざわいの魔女と呼ばれた転生幼女、今世こそ幸せになるためにがんばります！</v>
      </c>
      <c r="T3927" s="22" t="str">
        <f>IFERROR(__xludf.DUMMYFUNCTION("""COMPUTED_VALUE"""),"格納済み")</f>
        <v>格納済み</v>
      </c>
      <c r="U3927" s="9" t="str">
        <f>IFERROR(__xludf.DUMMYFUNCTION("""COMPUTED_VALUE"""),"Ⓒ音呼たまき/かなりつ/ファンギルド")</f>
        <v>Ⓒ音呼たまき/かなりつ/ファンギルド</v>
      </c>
      <c r="V3927" s="8"/>
      <c r="W3927" s="8"/>
      <c r="X3927" s="8" t="str">
        <f>IFERROR(__xludf.DUMMYFUNCTION("""COMPUTED_VALUE"""),"有")</f>
        <v>有</v>
      </c>
      <c r="Y3927" s="8" t="str">
        <f>IFERROR(__xludf.DUMMYFUNCTION("""COMPUTED_VALUE"""),"2025/10/21まで1巻無料")</f>
        <v>2025/10/21まで1巻無料</v>
      </c>
      <c r="Z3927" s="7"/>
      <c r="AA3927" s="7"/>
      <c r="AB3927" s="7"/>
    </row>
    <row r="3928" ht="15.75" customHeight="1">
      <c r="A3928" s="26">
        <f>IFERROR(__xludf.DUMMYFUNCTION("""COMPUTED_VALUE"""),6437.0)</f>
        <v>6437</v>
      </c>
      <c r="B3928" s="22" t="str">
        <f>IFERROR(__xludf.DUMMYFUNCTION("""COMPUTED_VALUE"""),"確定")</f>
        <v>確定</v>
      </c>
      <c r="C3928" s="28">
        <f>IFERROR(__xludf.DUMMYFUNCTION("""COMPUTED_VALUE"""),45904.0)</f>
        <v>45904</v>
      </c>
      <c r="D3928" s="28">
        <f>IFERROR(__xludf.DUMMYFUNCTION("""COMPUTED_VALUE"""),45910.0)</f>
        <v>45910</v>
      </c>
      <c r="E3928" s="26">
        <f>IFERROR(__xludf.DUMMYFUNCTION("""COMPUTED_VALUE"""),339501.0)</f>
        <v>339501</v>
      </c>
      <c r="F3928" s="22" t="str">
        <f>IFERROR(__xludf.DUMMYFUNCTION("""COMPUTED_VALUE"""),"真田芽依はアイドルの嘘を信じてる 分冊版")</f>
        <v>真田芽依はアイドルの嘘を信じてる 分冊版</v>
      </c>
      <c r="G3928" s="20" t="str">
        <f>IFERROR(__xludf.DUMMYFUNCTION("""COMPUTED_VALUE"""),"1～3")</f>
        <v>1～3</v>
      </c>
      <c r="H3928" s="22" t="str">
        <f>IFERROR(__xludf.DUMMYFUNCTION("""COMPUTED_VALUE"""),"蘭子")</f>
        <v>蘭子</v>
      </c>
      <c r="I3928" s="22" t="str">
        <f>IFERROR(__xludf.DUMMYFUNCTION("""COMPUTED_VALUE"""),"女性")</f>
        <v>女性</v>
      </c>
      <c r="J3928" s="22"/>
      <c r="K3928" s="22" t="str">
        <f>IFERROR(__xludf.DUMMYFUNCTION("""COMPUTED_VALUE"""),"ジュールコミックス")</f>
        <v>ジュールコミックス</v>
      </c>
      <c r="L3928" s="22" t="str">
        <f>IFERROR(__xludf.DUMMYFUNCTION("""COMPUTED_VALUE"""),"双葉社")</f>
        <v>双葉社</v>
      </c>
      <c r="M3928" s="33">
        <f>IFERROR(__xludf.DUMMYFUNCTION("""COMPUTED_VALUE"""),45961.0)</f>
        <v>45961</v>
      </c>
      <c r="N3928" s="33">
        <f>IFERROR(__xludf.DUMMYFUNCTION("""COMPUTED_VALUE"""),46021.0)</f>
        <v>46021</v>
      </c>
      <c r="O3928" s="20"/>
      <c r="P3928" s="32" t="str">
        <f>IFERROR(__xludf.DUMMYFUNCTION("""COMPUTED_VALUE"""),"可")</f>
        <v>可</v>
      </c>
      <c r="Q3928" s="30" t="str">
        <f>IFERROR(__xludf.DUMMYFUNCTION("""COMPUTED_VALUE"""),"pixiv掲載作品です。&lt;BR&gt;")</f>
        <v>pixiv掲載作品です。&lt;BR&gt;</v>
      </c>
      <c r="R3928" s="22"/>
      <c r="S3928" s="22" t="str">
        <f>IFERROR(__xludf.DUMMYFUNCTION("""COMPUTED_VALUE"""),"20250905_修正_双葉社_真田芽依はアイドルの嘘を信じてる 分冊版")</f>
        <v>20250905_修正_双葉社_真田芽依はアイドルの嘘を信じてる 分冊版</v>
      </c>
      <c r="T3928" s="22" t="str">
        <f>IFERROR(__xludf.DUMMYFUNCTION("""COMPUTED_VALUE"""),"格納済み")</f>
        <v>格納済み</v>
      </c>
      <c r="U3928" s="9" t="str">
        <f>IFERROR(__xludf.DUMMYFUNCTION("""COMPUTED_VALUE"""),"Ⓒ蘭子/双葉社")</f>
        <v>Ⓒ蘭子/双葉社</v>
      </c>
      <c r="V3928" s="8"/>
      <c r="W3928" s="8"/>
      <c r="X3928" s="8" t="str">
        <f>IFERROR(__xludf.DUMMYFUNCTION("""COMPUTED_VALUE"""),"有")</f>
        <v>有</v>
      </c>
      <c r="Y3928" s="8" t="str">
        <f>IFERROR(__xludf.DUMMYFUNCTION("""COMPUTED_VALUE"""),"2025/11/13まで1巻無料")</f>
        <v>2025/11/13まで1巻無料</v>
      </c>
      <c r="Z3928" s="7"/>
      <c r="AA3928" s="7"/>
      <c r="AB3928" s="7"/>
    </row>
    <row r="3929" ht="15.75" customHeight="1">
      <c r="A3929" s="26">
        <f>IFERROR(__xludf.DUMMYFUNCTION("""COMPUTED_VALUE"""),6438.0)</f>
        <v>6438</v>
      </c>
      <c r="B3929" s="22" t="str">
        <f>IFERROR(__xludf.DUMMYFUNCTION("""COMPUTED_VALUE"""),"確定")</f>
        <v>確定</v>
      </c>
      <c r="C3929" s="28">
        <f>IFERROR(__xludf.DUMMYFUNCTION("""COMPUTED_VALUE"""),45904.0)</f>
        <v>45904</v>
      </c>
      <c r="D3929" s="28">
        <f>IFERROR(__xludf.DUMMYFUNCTION("""COMPUTED_VALUE"""),45905.0)</f>
        <v>45905</v>
      </c>
      <c r="E3929" s="26">
        <f>IFERROR(__xludf.DUMMYFUNCTION("""COMPUTED_VALUE"""),337723.0)</f>
        <v>337723</v>
      </c>
      <c r="F3929" s="22" t="str">
        <f>IFERROR(__xludf.DUMMYFUNCTION("""COMPUTED_VALUE"""),"異世界駆除おじさん")</f>
        <v>異世界駆除おじさん</v>
      </c>
      <c r="G3929" s="20" t="str">
        <f>IFERROR(__xludf.DUMMYFUNCTION("""COMPUTED_VALUE"""),"1～4")</f>
        <v>1～4</v>
      </c>
      <c r="H3929" s="22" t="str">
        <f>IFERROR(__xludf.DUMMYFUNCTION("""COMPUTED_VALUE"""),"原作：四葉夕卜　漫画：北田ゆきと")</f>
        <v>原作：四葉夕卜　漫画：北田ゆきと</v>
      </c>
      <c r="I3929" s="22" t="str">
        <f>IFERROR(__xludf.DUMMYFUNCTION("""COMPUTED_VALUE"""),"青年")</f>
        <v>青年</v>
      </c>
      <c r="J3929" s="22"/>
      <c r="K3929" s="22"/>
      <c r="L3929" s="22" t="str">
        <f>IFERROR(__xludf.DUMMYFUNCTION("""COMPUTED_VALUE"""),"株式会社RapidBrain")</f>
        <v>株式会社RapidBrain</v>
      </c>
      <c r="M3929" s="33">
        <f>IFERROR(__xludf.DUMMYFUNCTION("""COMPUTED_VALUE"""),45925.0)</f>
        <v>45925</v>
      </c>
      <c r="N3929" s="33">
        <f>IFERROR(__xludf.DUMMYFUNCTION("""COMPUTED_VALUE"""),46015.0)</f>
        <v>46015</v>
      </c>
      <c r="O3929" s="20"/>
      <c r="P3929" s="32" t="str">
        <f>IFERROR(__xludf.DUMMYFUNCTION("""COMPUTED_VALUE"""),"可")</f>
        <v>可</v>
      </c>
      <c r="Q3929" s="30" t="str">
        <f>IFERROR(__xludf.DUMMYFUNCTION("""COMPUTED_VALUE"""),"原作：四葉夕卜※「卜」は「うらなう＝卜う」の漢字となります。")</f>
        <v>原作：四葉夕卜※「卜」は「うらなう＝卜う」の漢字となります。</v>
      </c>
      <c r="R3929" s="22" t="str">
        <f>IFERROR(__xludf.DUMMYFUNCTION("""COMPUTED_VALUE"""),"コミットOK")</f>
        <v>コミットOK</v>
      </c>
      <c r="S3929" s="22" t="str">
        <f>IFERROR(__xludf.DUMMYFUNCTION("""COMPUTED_VALUE"""),"20250904_ラピッドブレイン_異世界駆除おじさん")</f>
        <v>20250904_ラピッドブレイン_異世界駆除おじさん</v>
      </c>
      <c r="T3929" s="22" t="str">
        <f>IFERROR(__xludf.DUMMYFUNCTION("""COMPUTED_VALUE"""),"格納済み")</f>
        <v>格納済み</v>
      </c>
      <c r="U3929" s="9" t="str">
        <f>IFERROR(__xludf.DUMMYFUNCTION("""COMPUTED_VALUE"""),"©原作：四葉夕卜　漫画：北田ゆきと")</f>
        <v>©原作：四葉夕卜　漫画：北田ゆきと</v>
      </c>
      <c r="V3929" s="8"/>
      <c r="W3929" s="8"/>
      <c r="X3929" s="8" t="str">
        <f>IFERROR(__xludf.DUMMYFUNCTION("""COMPUTED_VALUE"""),"有")</f>
        <v>有</v>
      </c>
      <c r="Y3929" s="8" t="str">
        <f>IFERROR(__xludf.DUMMYFUNCTION("""COMPUTED_VALUE"""),"1巻無料")</f>
        <v>1巻無料</v>
      </c>
      <c r="Z3929" s="7"/>
      <c r="AA3929" s="7"/>
      <c r="AB3929" s="7"/>
    </row>
    <row r="3930" ht="15.75" customHeight="1">
      <c r="A3930" s="26">
        <f>IFERROR(__xludf.DUMMYFUNCTION("""COMPUTED_VALUE"""),6444.0)</f>
        <v>6444</v>
      </c>
      <c r="B3930" s="22" t="str">
        <f>IFERROR(__xludf.DUMMYFUNCTION("""COMPUTED_VALUE"""),"確定")</f>
        <v>確定</v>
      </c>
      <c r="C3930" s="28">
        <f>IFERROR(__xludf.DUMMYFUNCTION("""COMPUTED_VALUE"""),45905.0)</f>
        <v>45905</v>
      </c>
      <c r="D3930" s="28">
        <f>IFERROR(__xludf.DUMMYFUNCTION("""COMPUTED_VALUE"""),45909.0)</f>
        <v>45909</v>
      </c>
      <c r="E3930" s="26">
        <f>IFERROR(__xludf.DUMMYFUNCTION("""COMPUTED_VALUE"""),337411.0)</f>
        <v>337411</v>
      </c>
      <c r="F3930" s="22" t="str">
        <f>IFERROR(__xludf.DUMMYFUNCTION("""COMPUTED_VALUE"""),"性欲全振りのストライカー【タテヨミ】")</f>
        <v>性欲全振りのストライカー【タテヨミ】</v>
      </c>
      <c r="G3930" s="20" t="str">
        <f>IFERROR(__xludf.DUMMYFUNCTION("""COMPUTED_VALUE"""),"1～35")</f>
        <v>1～35</v>
      </c>
      <c r="H3930" s="22" t="str">
        <f>IFERROR(__xludf.DUMMYFUNCTION("""COMPUTED_VALUE"""),"XENT/Seol-ah/cozy")</f>
        <v>XENT/Seol-ah/cozy</v>
      </c>
      <c r="I3930" s="22" t="str">
        <f>IFERROR(__xludf.DUMMYFUNCTION("""COMPUTED_VALUE"""),"青年")</f>
        <v>青年</v>
      </c>
      <c r="J3930" s="22"/>
      <c r="K3930" s="22"/>
      <c r="L3930" s="22" t="str">
        <f>IFERROR(__xludf.DUMMYFUNCTION("""COMPUTED_VALUE"""),"TOPCO JAPAN")</f>
        <v>TOPCO JAPAN</v>
      </c>
      <c r="M3930" s="33">
        <f>IFERROR(__xludf.DUMMYFUNCTION("""COMPUTED_VALUE"""),45940.0)</f>
        <v>45940</v>
      </c>
      <c r="N3930" s="33">
        <f>IFERROR(__xludf.DUMMYFUNCTION("""COMPUTED_VALUE"""),46032.0)</f>
        <v>46032</v>
      </c>
      <c r="O3930" s="20"/>
      <c r="P3930" s="32" t="str">
        <f>IFERROR(__xludf.DUMMYFUNCTION("""COMPUTED_VALUE"""),"可")</f>
        <v>可</v>
      </c>
      <c r="Q3930" s="30" t="str">
        <f>IFERROR(__xludf.DUMMYFUNCTION("""COMPUTED_VALUE"""),"シーモアロゴ無し対応")</f>
        <v>シーモアロゴ無し対応</v>
      </c>
      <c r="R3930" s="22"/>
      <c r="S3930" s="22" t="str">
        <f>IFERROR(__xludf.DUMMYFUNCTION("""COMPUTED_VALUE"""),"20250905_TOPCOJAPAN_性欲全振りのストライカー【タテヨミ】")</f>
        <v>20250905_TOPCOJAPAN_性欲全振りのストライカー【タテヨミ】</v>
      </c>
      <c r="T3930" s="22" t="str">
        <f>IFERROR(__xludf.DUMMYFUNCTION("""COMPUTED_VALUE"""),"格納済み")</f>
        <v>格納済み</v>
      </c>
      <c r="U3930" s="9" t="str">
        <f>IFERROR(__xludf.DUMMYFUNCTION("""COMPUTED_VALUE"""),"ⒸXENT/Seol-ah/cozy/TOPTOON")</f>
        <v>ⒸXENT/Seol-ah/cozy/TOPTOON</v>
      </c>
      <c r="V3930" s="8"/>
      <c r="W3930" s="8"/>
      <c r="X3930" s="8" t="str">
        <f>IFERROR(__xludf.DUMMYFUNCTION("""COMPUTED_VALUE"""),"有")</f>
        <v>有</v>
      </c>
      <c r="Y3930" s="8" t="str">
        <f>IFERROR(__xludf.DUMMYFUNCTION("""COMPUTED_VALUE"""),"1~3巻無料
2025/10/23まで4~6巻無料")</f>
        <v>1~3巻無料
2025/10/23まで4~6巻無料</v>
      </c>
      <c r="Z3930" s="7"/>
      <c r="AA3930" s="7"/>
      <c r="AB3930" s="7"/>
    </row>
    <row r="3931" ht="15.75" customHeight="1">
      <c r="A3931" s="26">
        <f>IFERROR(__xludf.DUMMYFUNCTION("""COMPUTED_VALUE"""),6445.0)</f>
        <v>6445</v>
      </c>
      <c r="B3931" s="22" t="str">
        <f>IFERROR(__xludf.DUMMYFUNCTION("""COMPUTED_VALUE"""),"確定")</f>
        <v>確定</v>
      </c>
      <c r="C3931" s="28">
        <f>IFERROR(__xludf.DUMMYFUNCTION("""COMPUTED_VALUE"""),45905.0)</f>
        <v>45905</v>
      </c>
      <c r="D3931" s="28">
        <f>IFERROR(__xludf.DUMMYFUNCTION("""COMPUTED_VALUE"""),45908.0)</f>
        <v>45908</v>
      </c>
      <c r="E3931" s="26">
        <f>IFERROR(__xludf.DUMMYFUNCTION("""COMPUTED_VALUE"""),337640.0)</f>
        <v>337640</v>
      </c>
      <c r="F3931" s="22" t="str">
        <f>IFERROR(__xludf.DUMMYFUNCTION("""COMPUTED_VALUE"""),"冷酷な碧眼皇太子は未亡人王女に求婚する")</f>
        <v>冷酷な碧眼皇太子は未亡人王女に求婚する</v>
      </c>
      <c r="G3931" s="20" t="str">
        <f>IFERROR(__xludf.DUMMYFUNCTION("""COMPUTED_VALUE"""),"1～4")</f>
        <v>1～4</v>
      </c>
      <c r="H3931" s="22" t="str">
        <f>IFERROR(__xludf.DUMMYFUNCTION("""COMPUTED_VALUE"""),"秋山ヨウ,peep,たいやきあんこ,萬 福朝,taskey STUDIO")</f>
        <v>秋山ヨウ,peep,たいやきあんこ,萬 福朝,taskey STUDIO</v>
      </c>
      <c r="I3931" s="22" t="str">
        <f>IFERROR(__xludf.DUMMYFUNCTION("""COMPUTED_VALUE"""),"少女")</f>
        <v>少女</v>
      </c>
      <c r="J3931" s="22"/>
      <c r="K3931" s="22"/>
      <c r="L3931" s="22" t="str">
        <f>IFERROR(__xludf.DUMMYFUNCTION("""COMPUTED_VALUE"""),"taskey")</f>
        <v>taskey</v>
      </c>
      <c r="M3931" s="33">
        <f>IFERROR(__xludf.DUMMYFUNCTION("""COMPUTED_VALUE"""),45930.0)</f>
        <v>45930</v>
      </c>
      <c r="N3931" s="33">
        <f>IFERROR(__xludf.DUMMYFUNCTION("""COMPUTED_VALUE"""),45990.0)</f>
        <v>45990</v>
      </c>
      <c r="O3931" s="20"/>
      <c r="P3931" s="32" t="str">
        <f>IFERROR(__xludf.DUMMYFUNCTION("""COMPUTED_VALUE"""),"可")</f>
        <v>可</v>
      </c>
      <c r="Q3931" s="30"/>
      <c r="R3931" s="22" t="str">
        <f>IFERROR(__xludf.DUMMYFUNCTION("""COMPUTED_VALUE"""),"コミットOK")</f>
        <v>コミットOK</v>
      </c>
      <c r="S3931" s="22" t="str">
        <f>IFERROR(__xludf.DUMMYFUNCTION("""COMPUTED_VALUE"""),"20250905_協業_taskey_冷酷な碧眼皇太子は未亡人王女に求婚する")</f>
        <v>20250905_協業_taskey_冷酷な碧眼皇太子は未亡人王女に求婚する</v>
      </c>
      <c r="T3931" s="22" t="str">
        <f>IFERROR(__xludf.DUMMYFUNCTION("""COMPUTED_VALUE"""),"格納済み")</f>
        <v>格納済み</v>
      </c>
      <c r="U3931" s="9" t="str">
        <f>IFERROR(__xludf.DUMMYFUNCTION("""COMPUTED_VALUE"""),"©︎taskey　原作／秋山ヨウ　ネーム／たいやきあんこ　作画／萬 福朝")</f>
        <v>©︎taskey　原作／秋山ヨウ　ネーム／たいやきあんこ　作画／萬 福朝</v>
      </c>
      <c r="V3931" s="8"/>
      <c r="W3931" s="8"/>
      <c r="X3931" s="8" t="str">
        <f>IFERROR(__xludf.DUMMYFUNCTION("""COMPUTED_VALUE"""),"有")</f>
        <v>有</v>
      </c>
      <c r="Y3931" s="8" t="str">
        <f>IFERROR(__xludf.DUMMYFUNCTION("""COMPUTED_VALUE"""),"1巻無料")</f>
        <v>1巻無料</v>
      </c>
      <c r="Z3931" s="7"/>
      <c r="AA3931" s="7"/>
      <c r="AB3931" s="7"/>
    </row>
    <row r="3932" ht="15.75" customHeight="1">
      <c r="A3932" s="26">
        <f>IFERROR(__xludf.DUMMYFUNCTION("""COMPUTED_VALUE"""),6458.0)</f>
        <v>6458</v>
      </c>
      <c r="B3932" s="22" t="str">
        <f>IFERROR(__xludf.DUMMYFUNCTION("""COMPUTED_VALUE"""),"確定")</f>
        <v>確定</v>
      </c>
      <c r="C3932" s="28">
        <f>IFERROR(__xludf.DUMMYFUNCTION("""COMPUTED_VALUE"""),45908.0)</f>
        <v>45908</v>
      </c>
      <c r="D3932" s="28">
        <f>IFERROR(__xludf.DUMMYFUNCTION("""COMPUTED_VALUE"""),45909.0)</f>
        <v>45909</v>
      </c>
      <c r="E3932" s="26">
        <f>IFERROR(__xludf.DUMMYFUNCTION("""COMPUTED_VALUE"""),338407.0)</f>
        <v>338407</v>
      </c>
      <c r="F3932" s="22" t="str">
        <f>IFERROR(__xludf.DUMMYFUNCTION("""COMPUTED_VALUE"""),"婚約者を奪われたら、毒舌男子との偽装婚約がはじまった")</f>
        <v>婚約者を奪われたら、毒舌男子との偽装婚約がはじまった</v>
      </c>
      <c r="G3932" s="20" t="str">
        <f>IFERROR(__xludf.DUMMYFUNCTION("""COMPUTED_VALUE"""),"1～5")</f>
        <v>1～5</v>
      </c>
      <c r="H3932" s="22" t="str">
        <f>IFERROR(__xludf.DUMMYFUNCTION("""COMPUTED_VALUE"""),"こげたおこげ/蜂なな子")</f>
        <v>こげたおこげ/蜂なな子</v>
      </c>
      <c r="I3932" s="22" t="str">
        <f>IFERROR(__xludf.DUMMYFUNCTION("""COMPUTED_VALUE"""),"女性マンガ")</f>
        <v>女性マンガ</v>
      </c>
      <c r="J3932" s="22"/>
      <c r="K3932" s="22" t="str">
        <f>IFERROR(__xludf.DUMMYFUNCTION("""COMPUTED_VALUE"""),"シーモア×hachico")</f>
        <v>シーモア×hachico</v>
      </c>
      <c r="L3932" s="22" t="str">
        <f>IFERROR(__xludf.DUMMYFUNCTION("""COMPUTED_VALUE"""),"Bevy")</f>
        <v>Bevy</v>
      </c>
      <c r="M3932" s="33">
        <f>IFERROR(__xludf.DUMMYFUNCTION("""COMPUTED_VALUE"""),45948.0)</f>
        <v>45948</v>
      </c>
      <c r="N3932" s="33">
        <f>IFERROR(__xludf.DUMMYFUNCTION("""COMPUTED_VALUE"""),46129.0)</f>
        <v>46129</v>
      </c>
      <c r="O3932" s="20"/>
      <c r="P3932" s="32" t="str">
        <f>IFERROR(__xludf.DUMMYFUNCTION("""COMPUTED_VALUE"""),"可")</f>
        <v>可</v>
      </c>
      <c r="Q3932" s="30"/>
      <c r="R3932" s="22" t="str">
        <f>IFERROR(__xludf.DUMMYFUNCTION("""COMPUTED_VALUE"""),"コミットOK")</f>
        <v>コミットOK</v>
      </c>
      <c r="S3932" s="22" t="str">
        <f>IFERROR(__xludf.DUMMYFUNCTION("""COMPUTED_VALUE"""),"20250908_Bevy_婚約者を奪われたら、毒舌男子との偽装婚約がはじまった")</f>
        <v>20250908_Bevy_婚約者を奪われたら、毒舌男子との偽装婚約がはじまった</v>
      </c>
      <c r="T3932" s="22" t="str">
        <f>IFERROR(__xludf.DUMMYFUNCTION("""COMPUTED_VALUE"""),"格納済み")</f>
        <v>格納済み</v>
      </c>
      <c r="U3932" s="9" t="str">
        <f>IFERROR(__xludf.DUMMYFUNCTION("""COMPUTED_VALUE"""),"（C）kogetaokoge/Nanako Hachi")</f>
        <v>（C）kogetaokoge/Nanako Hachi</v>
      </c>
      <c r="V3932" s="8"/>
      <c r="W3932" s="8"/>
      <c r="X3932" s="8" t="str">
        <f>IFERROR(__xludf.DUMMYFUNCTION("""COMPUTED_VALUE"""),"有")</f>
        <v>有</v>
      </c>
      <c r="Y3932" s="8" t="str">
        <f>IFERROR(__xludf.DUMMYFUNCTION("""COMPUTED_VALUE"""),"2026/4/17まで1巻無料")</f>
        <v>2026/4/17まで1巻無料</v>
      </c>
      <c r="Z3932" s="7"/>
      <c r="AA3932" s="7"/>
      <c r="AB3932" s="7"/>
    </row>
    <row r="3933" ht="15.75" customHeight="1">
      <c r="A3933" s="26">
        <f>IFERROR(__xludf.DUMMYFUNCTION("""COMPUTED_VALUE"""),6461.0)</f>
        <v>6461</v>
      </c>
      <c r="B3933" s="22" t="str">
        <f>IFERROR(__xludf.DUMMYFUNCTION("""COMPUTED_VALUE"""),"確定")</f>
        <v>確定</v>
      </c>
      <c r="C3933" s="28">
        <f>IFERROR(__xludf.DUMMYFUNCTION("""COMPUTED_VALUE"""),45909.0)</f>
        <v>45909</v>
      </c>
      <c r="D3933" s="28">
        <f>IFERROR(__xludf.DUMMYFUNCTION("""COMPUTED_VALUE"""),45909.0)</f>
        <v>45909</v>
      </c>
      <c r="E3933" s="26">
        <f>IFERROR(__xludf.DUMMYFUNCTION("""COMPUTED_VALUE"""),335086.0)</f>
        <v>335086</v>
      </c>
      <c r="F3933" s="22" t="str">
        <f>IFERROR(__xludf.DUMMYFUNCTION("""COMPUTED_VALUE"""),"海運王の身代わり花嫁～こんなに愛されるなんて聞いてません！～【分冊版】")</f>
        <v>海運王の身代わり花嫁～こんなに愛されるなんて聞いてません！～【分冊版】</v>
      </c>
      <c r="G3933" s="20" t="str">
        <f>IFERROR(__xludf.DUMMYFUNCTION("""COMPUTED_VALUE"""),"1～3")</f>
        <v>1～3</v>
      </c>
      <c r="H3933" s="22" t="str">
        <f>IFERROR(__xludf.DUMMYFUNCTION("""COMPUTED_VALUE"""),"海月志穂子,高田ちさき")</f>
        <v>海月志穂子,高田ちさき</v>
      </c>
      <c r="I3933" s="22" t="str">
        <f>IFERROR(__xludf.DUMMYFUNCTION("""COMPUTED_VALUE"""),"女性")</f>
        <v>女性</v>
      </c>
      <c r="J3933" s="22"/>
      <c r="K3933" s="22" t="str">
        <f>IFERROR(__xludf.DUMMYFUNCTION("""COMPUTED_VALUE"""),"マーマレードコミックス")</f>
        <v>マーマレードコミックス</v>
      </c>
      <c r="L3933" s="22" t="str">
        <f>IFERROR(__xludf.DUMMYFUNCTION("""COMPUTED_VALUE"""),"ハーパーコリンズ・ジャパン")</f>
        <v>ハーパーコリンズ・ジャパン</v>
      </c>
      <c r="M3933" s="33">
        <f>IFERROR(__xludf.DUMMYFUNCTION("""COMPUTED_VALUE"""),45919.0)</f>
        <v>45919</v>
      </c>
      <c r="N3933" s="33">
        <f>IFERROR(__xludf.DUMMYFUNCTION("""COMPUTED_VALUE"""),45979.0)</f>
        <v>45979</v>
      </c>
      <c r="O3933" s="20"/>
      <c r="P3933" s="32" t="str">
        <f>IFERROR(__xludf.DUMMYFUNCTION("""COMPUTED_VALUE"""),"可")</f>
        <v>可</v>
      </c>
      <c r="Q3933" s="30"/>
      <c r="R3933" s="22" t="str">
        <f>IFERROR(__xludf.DUMMYFUNCTION("""COMPUTED_VALUE"""),"コミットOK")</f>
        <v>コミットOK</v>
      </c>
      <c r="S3933" s="22" t="str">
        <f>IFERROR(__xludf.DUMMYFUNCTION("""COMPUTED_VALUE"""),"20250820_ハーパーコリンズ・ジャパン_海運王の身代わり花嫁～こんなに愛されるなんて聞いてません！～【分冊版】")</f>
        <v>20250820_ハーパーコリンズ・ジャパン_海運王の身代わり花嫁～こんなに愛されるなんて聞いてません！～【分冊版】</v>
      </c>
      <c r="T3933" s="22" t="str">
        <f>IFERROR(__xludf.DUMMYFUNCTION("""COMPUTED_VALUE"""),"格納済み")</f>
        <v>格納済み</v>
      </c>
      <c r="U3933" s="9" t="str">
        <f>IFERROR(__xludf.DUMMYFUNCTION("""COMPUTED_VALUE"""),"(C)海月志穂子・高田ちさき／ハーパーコリンズ・ジャパン")</f>
        <v>(C)海月志穂子・高田ちさき／ハーパーコリンズ・ジャパン</v>
      </c>
      <c r="V3933" s="8"/>
      <c r="W3933" s="8"/>
      <c r="X3933" s="8" t="str">
        <f>IFERROR(__xludf.DUMMYFUNCTION("""COMPUTED_VALUE"""),"有")</f>
        <v>有</v>
      </c>
      <c r="Y3933" s="8" t="str">
        <f>IFERROR(__xludf.DUMMYFUNCTION("""COMPUTED_VALUE"""),"2025/10/2まで1巻無料")</f>
        <v>2025/10/2まで1巻無料</v>
      </c>
      <c r="Z3933" s="7"/>
      <c r="AA3933" s="7"/>
      <c r="AB3933" s="7"/>
    </row>
    <row r="3934" ht="15.75" customHeight="1">
      <c r="A3934" s="26">
        <f>IFERROR(__xludf.DUMMYFUNCTION("""COMPUTED_VALUE"""),5605.0)</f>
        <v>5605</v>
      </c>
      <c r="B3934" s="22" t="str">
        <f>IFERROR(__xludf.DUMMYFUNCTION("""COMPUTED_VALUE"""),"確定")</f>
        <v>確定</v>
      </c>
      <c r="C3934" s="28">
        <f>IFERROR(__xludf.DUMMYFUNCTION("""COMPUTED_VALUE"""),45789.0)</f>
        <v>45789</v>
      </c>
      <c r="D3934" s="28">
        <f>IFERROR(__xludf.DUMMYFUNCTION("""COMPUTED_VALUE"""),45916.0)</f>
        <v>45916</v>
      </c>
      <c r="E3934" s="26">
        <f>IFERROR(__xludf.DUMMYFUNCTION("""COMPUTED_VALUE"""),338345.0)</f>
        <v>338345</v>
      </c>
      <c r="F3934" s="22" t="str">
        <f>IFERROR(__xludf.DUMMYFUNCTION("""COMPUTED_VALUE"""),"HOUSE")</f>
        <v>HOUSE</v>
      </c>
      <c r="G3934" s="20" t="str">
        <f>IFERROR(__xludf.DUMMYFUNCTION("""COMPUTED_VALUE"""),"1～2")</f>
        <v>1～2</v>
      </c>
      <c r="H3934" s="22" t="str">
        <f>IFERROR(__xludf.DUMMYFUNCTION("""COMPUTED_VALUE"""),"奥田枠")</f>
        <v>奥田枠</v>
      </c>
      <c r="I3934" s="22" t="str">
        <f>IFERROR(__xludf.DUMMYFUNCTION("""COMPUTED_VALUE"""),"BL")</f>
        <v>BL</v>
      </c>
      <c r="J3934" s="22"/>
      <c r="K3934" s="22"/>
      <c r="L3934" s="22" t="str">
        <f>IFERROR(__xludf.DUMMYFUNCTION("""COMPUTED_VALUE"""),"新潮社")</f>
        <v>新潮社</v>
      </c>
      <c r="M3934" s="33">
        <f>IFERROR(__xludf.DUMMYFUNCTION("""COMPUTED_VALUE"""),45945.0)</f>
        <v>45945</v>
      </c>
      <c r="N3934" s="33">
        <f>IFERROR(__xludf.DUMMYFUNCTION("""COMPUTED_VALUE"""),46386.0)</f>
        <v>46386</v>
      </c>
      <c r="O3934" s="20"/>
      <c r="P3934" s="32" t="str">
        <f>IFERROR(__xludf.DUMMYFUNCTION("""COMPUTED_VALUE"""),"可")</f>
        <v>可</v>
      </c>
      <c r="Q3934" s="30" t="str">
        <f>IFERROR(__xludf.DUMMYFUNCTION("""COMPUTED_VALUE"""),"【アダルト作品扱い】")</f>
        <v>【アダルト作品扱い】</v>
      </c>
      <c r="R3934" s="22"/>
      <c r="S3934" s="22" t="str">
        <f>IFERROR(__xludf.DUMMYFUNCTION("""COMPUTED_VALUE"""),"20250916_新潮社_HOUSE")</f>
        <v>20250916_新潮社_HOUSE</v>
      </c>
      <c r="T3934" s="22" t="str">
        <f>IFERROR(__xludf.DUMMYFUNCTION("""COMPUTED_VALUE"""),"格納済み")</f>
        <v>格納済み</v>
      </c>
      <c r="U3934" s="9" t="str">
        <f>IFERROR(__xludf.DUMMYFUNCTION("""COMPUTED_VALUE"""),"Ⓒ奥田枠／新潮社")</f>
        <v>Ⓒ奥田枠／新潮社</v>
      </c>
      <c r="V3934" s="8"/>
      <c r="W3934" s="8"/>
      <c r="X3934" s="8" t="str">
        <f>IFERROR(__xludf.DUMMYFUNCTION("""COMPUTED_VALUE"""),"有")</f>
        <v>有</v>
      </c>
      <c r="Y3934" s="8" t="str">
        <f>IFERROR(__xludf.DUMMYFUNCTION("""COMPUTED_VALUE"""),"P5まで")</f>
        <v>P5まで</v>
      </c>
      <c r="Z3934" s="7"/>
      <c r="AA3934" s="7"/>
      <c r="AB3934" s="7"/>
    </row>
    <row r="3935" ht="15.75" customHeight="1">
      <c r="A3935" s="26">
        <f>IFERROR(__xludf.DUMMYFUNCTION("""COMPUTED_VALUE"""),5821.0)</f>
        <v>5821</v>
      </c>
      <c r="B3935" s="22" t="str">
        <f>IFERROR(__xludf.DUMMYFUNCTION("""COMPUTED_VALUE"""),"確定")</f>
        <v>確定</v>
      </c>
      <c r="C3935" s="28">
        <f>IFERROR(__xludf.DUMMYFUNCTION("""COMPUTED_VALUE"""),45818.0)</f>
        <v>45818</v>
      </c>
      <c r="D3935" s="28">
        <f>IFERROR(__xludf.DUMMYFUNCTION("""COMPUTED_VALUE"""),45911.0)</f>
        <v>45911</v>
      </c>
      <c r="E3935" s="26">
        <f>IFERROR(__xludf.DUMMYFUNCTION("""COMPUTED_VALUE"""),336464.0)</f>
        <v>336464</v>
      </c>
      <c r="F3935" s="22" t="str">
        <f>IFERROR(__xludf.DUMMYFUNCTION("""COMPUTED_VALUE"""),"公爵家の野生児だけはやめておけ")</f>
        <v>公爵家の野生児だけはやめておけ</v>
      </c>
      <c r="G3935" s="20" t="str">
        <f>IFERROR(__xludf.DUMMYFUNCTION("""COMPUTED_VALUE"""),"1～5")</f>
        <v>1～5</v>
      </c>
      <c r="H3935" s="22" t="str">
        <f>IFERROR(__xludf.DUMMYFUNCTION("""COMPUTED_VALUE"""),"原作:大木戸いずみ 漫画:七貴なぎ")</f>
        <v>原作:大木戸いずみ 漫画:七貴なぎ</v>
      </c>
      <c r="I3935" s="22" t="str">
        <f>IFERROR(__xludf.DUMMYFUNCTION("""COMPUTED_VALUE"""),"少女")</f>
        <v>少女</v>
      </c>
      <c r="J3935" s="22"/>
      <c r="K3935" s="22"/>
      <c r="L3935" s="22" t="str">
        <f>IFERROR(__xludf.DUMMYFUNCTION("""COMPUTED_VALUE"""),"アイエムエー株式会社")</f>
        <v>アイエムエー株式会社</v>
      </c>
      <c r="M3935" s="33">
        <f>IFERROR(__xludf.DUMMYFUNCTION("""COMPUTED_VALUE"""),45931.0)</f>
        <v>45931</v>
      </c>
      <c r="N3935" s="33">
        <f>IFERROR(__xludf.DUMMYFUNCTION("""COMPUTED_VALUE"""),46022.0)</f>
        <v>46022</v>
      </c>
      <c r="O3935" s="20"/>
      <c r="P3935" s="32" t="str">
        <f>IFERROR(__xludf.DUMMYFUNCTION("""COMPUTED_VALUE"""),"可")</f>
        <v>可</v>
      </c>
      <c r="Q3935" s="30" t="str">
        <f>IFERROR(__xludf.DUMMYFUNCTION("""COMPUTED_VALUE"""),"・原作者「大木戸いずみ先生」の作品のコミカライズ化です。&lt;BR&gt;・上記、原作者の大木戸いずみ先生の「歴史に残る悪女になるぞ」が現在、テレビアニメで好評放映中で、原作者人気で相乗効果が期待できます！")</f>
        <v>・原作者「大木戸いずみ先生」の作品のコミカライズ化です。&lt;BR&gt;・上記、原作者の大木戸いずみ先生の「歴史に残る悪女になるぞ」が現在、テレビアニメで好評放映中で、原作者人気で相乗効果が期待できます！</v>
      </c>
      <c r="R3935" s="22"/>
      <c r="S3935" s="22" t="str">
        <f>IFERROR(__xludf.DUMMYFUNCTION("""COMPUTED_VALUE"""),"20250911_アイエムエー_公爵家の野生児だけはやめておけ")</f>
        <v>20250911_アイエムエー_公爵家の野生児だけはやめておけ</v>
      </c>
      <c r="T3935" s="22" t="str">
        <f>IFERROR(__xludf.DUMMYFUNCTION("""COMPUTED_VALUE"""),"格納済み")</f>
        <v>格納済み</v>
      </c>
      <c r="U3935" s="9" t="str">
        <f>IFERROR(__xludf.DUMMYFUNCTION("""COMPUTED_VALUE"""),"Ⓒ七貴なぎ／ 大木戸いずみ／IMA")</f>
        <v>Ⓒ七貴なぎ／ 大木戸いずみ／IMA</v>
      </c>
      <c r="V3935" s="8"/>
      <c r="W3935" s="8"/>
      <c r="X3935" s="8" t="str">
        <f>IFERROR(__xludf.DUMMYFUNCTION("""COMPUTED_VALUE"""),"有")</f>
        <v>有</v>
      </c>
      <c r="Y3935" s="8" t="str">
        <f>IFERROR(__xludf.DUMMYFUNCTION("""COMPUTED_VALUE"""),"2025/12/31まで1巻無料")</f>
        <v>2025/12/31まで1巻無料</v>
      </c>
      <c r="Z3935" s="7"/>
      <c r="AA3935" s="7"/>
      <c r="AB3935" s="7"/>
    </row>
    <row r="3936" ht="15.75" customHeight="1">
      <c r="A3936" s="26">
        <f>IFERROR(__xludf.DUMMYFUNCTION("""COMPUTED_VALUE"""),6045.0)</f>
        <v>6045</v>
      </c>
      <c r="B3936" s="22" t="str">
        <f>IFERROR(__xludf.DUMMYFUNCTION("""COMPUTED_VALUE"""),"確定")</f>
        <v>確定</v>
      </c>
      <c r="C3936" s="28">
        <f>IFERROR(__xludf.DUMMYFUNCTION("""COMPUTED_VALUE"""),45848.0)</f>
        <v>45848</v>
      </c>
      <c r="D3936" s="28">
        <f>IFERROR(__xludf.DUMMYFUNCTION("""COMPUTED_VALUE"""),45912.0)</f>
        <v>45912</v>
      </c>
      <c r="E3936" s="26">
        <f>IFERROR(__xludf.DUMMYFUNCTION("""COMPUTED_VALUE"""),336748.0)</f>
        <v>336748</v>
      </c>
      <c r="F3936" s="22" t="str">
        <f>IFERROR(__xludf.DUMMYFUNCTION("""COMPUTED_VALUE"""),"思い上がりも程々に。地味令嬢アメリアの幸せな婚約【連載版】")</f>
        <v>思い上がりも程々に。地味令嬢アメリアの幸せな婚約【連載版】</v>
      </c>
      <c r="G3936" s="20" t="str">
        <f>IFERROR(__xludf.DUMMYFUNCTION("""COMPUTED_VALUE"""),"1～3")</f>
        <v>1～3</v>
      </c>
      <c r="H3936" s="22" t="str">
        <f>IFERROR(__xludf.DUMMYFUNCTION("""COMPUTED_VALUE"""),"原作：ごろごろみかん。　作画：ヒビキ")</f>
        <v>原作：ごろごろみかん。　作画：ヒビキ</v>
      </c>
      <c r="I3936" s="22" t="str">
        <f>IFERROR(__xludf.DUMMYFUNCTION("""COMPUTED_VALUE"""),"女性")</f>
        <v>女性</v>
      </c>
      <c r="J3936" s="22"/>
      <c r="K3936" s="22" t="str">
        <f>IFERROR(__xludf.DUMMYFUNCTION("""COMPUTED_VALUE"""),"comic LAKE")</f>
        <v>comic LAKE</v>
      </c>
      <c r="L3936" s="22" t="str">
        <f>IFERROR(__xludf.DUMMYFUNCTION("""COMPUTED_VALUE"""),"一迅社")</f>
        <v>一迅社</v>
      </c>
      <c r="M3936" s="33">
        <f>IFERROR(__xludf.DUMMYFUNCTION("""COMPUTED_VALUE"""),45947.0)</f>
        <v>45947</v>
      </c>
      <c r="N3936" s="33">
        <f>IFERROR(__xludf.DUMMYFUNCTION("""COMPUTED_VALUE"""),45981.0)</f>
        <v>45981</v>
      </c>
      <c r="O3936" s="20"/>
      <c r="P3936" s="32" t="str">
        <f>IFERROR(__xludf.DUMMYFUNCTION("""COMPUTED_VALUE"""),"否")</f>
        <v>否</v>
      </c>
      <c r="Q3936" s="30" t="str">
        <f>IFERROR(__xludf.DUMMYFUNCTION("""COMPUTED_VALUE"""),"comic LAKEの新連載です。&lt;BR&gt;前半では不遇な地味ヒロインの虐げられシーン&lt;BR&gt;→ヒロインの名家の肩書きがほしいだけのゲス婚約者と異母姉妹の姉の浮気が発覚&lt;BR&gt;→ヒロインから婚約破棄・悪役たちへのぎゃふん展開などがあります。&lt;BR&gt;それ以降は幼い頃からヒロインを想っていた正ヒーローとの恋愛模様が描かれます。&lt;BR&gt;王道ファンタジーの見どころのあるシーンが描かれ、広告展開とマッチするかと考えております！")</f>
        <v>comic LAKEの新連載です。&lt;BR&gt;前半では不遇な地味ヒロインの虐げられシーン&lt;BR&gt;→ヒロインの名家の肩書きがほしいだけのゲス婚約者と異母姉妹の姉の浮気が発覚&lt;BR&gt;→ヒロインから婚約破棄・悪役たちへのぎゃふん展開などがあります。&lt;BR&gt;それ以降は幼い頃からヒロインを想っていた正ヒーローとの恋愛模様が描かれます。&lt;BR&gt;王道ファンタジーの見どころのあるシーンが描かれ、広告展開とマッチするかと考えております！</v>
      </c>
      <c r="R3936" s="22" t="str">
        <f>IFERROR(__xludf.DUMMYFUNCTION("""COMPUTED_VALUE"""),"コミットOK")</f>
        <v>コミットOK</v>
      </c>
      <c r="S3936" s="22" t="str">
        <f>IFERROR(__xludf.DUMMYFUNCTION("""COMPUTED_VALUE"""),"20250912_一迅社 _思い上がりも程々に。地味令嬢アメリアの幸せな婚約")</f>
        <v>20250912_一迅社 _思い上がりも程々に。地味令嬢アメリアの幸せな婚約</v>
      </c>
      <c r="T3936" s="22" t="str">
        <f>IFERROR(__xludf.DUMMYFUNCTION("""COMPUTED_VALUE"""),"格納済み")</f>
        <v>格納済み</v>
      </c>
      <c r="U3936" s="9" t="str">
        <f>IFERROR(__xludf.DUMMYFUNCTION("""COMPUTED_VALUE"""),"(C)ヒビキ・ごろごろみかん。／一迅社")</f>
        <v>(C)ヒビキ・ごろごろみかん。／一迅社</v>
      </c>
      <c r="V3936" s="8"/>
      <c r="W3936" s="8"/>
      <c r="X3936" s="8" t="str">
        <f>IFERROR(__xludf.DUMMYFUNCTION("""COMPUTED_VALUE"""),"有")</f>
        <v>有</v>
      </c>
      <c r="Y3936" s="8" t="str">
        <f>IFERROR(__xludf.DUMMYFUNCTION("""COMPUTED_VALUE"""),"2025/11/20まで1巻無料")</f>
        <v>2025/11/20まで1巻無料</v>
      </c>
      <c r="Z3936" s="7"/>
      <c r="AA3936" s="7"/>
      <c r="AB3936" s="7"/>
    </row>
    <row r="3937" ht="15.75" customHeight="1">
      <c r="A3937" s="26">
        <f>IFERROR(__xludf.DUMMYFUNCTION("""COMPUTED_VALUE"""),6113.0)</f>
        <v>6113</v>
      </c>
      <c r="B3937" s="22" t="str">
        <f>IFERROR(__xludf.DUMMYFUNCTION("""COMPUTED_VALUE"""),"確定")</f>
        <v>確定</v>
      </c>
      <c r="C3937" s="28">
        <f>IFERROR(__xludf.DUMMYFUNCTION("""COMPUTED_VALUE"""),45860.0)</f>
        <v>45860</v>
      </c>
      <c r="D3937" s="28">
        <f>IFERROR(__xludf.DUMMYFUNCTION("""COMPUTED_VALUE"""),45916.0)</f>
        <v>45916</v>
      </c>
      <c r="E3937" s="26">
        <f>IFERROR(__xludf.DUMMYFUNCTION("""COMPUTED_VALUE"""),339204.0)</f>
        <v>339204</v>
      </c>
      <c r="F3937" s="22" t="str">
        <f>IFERROR(__xludf.DUMMYFUNCTION("""COMPUTED_VALUE"""),"【ラビオス】俺が嫌いじゃないのかよ！？-不器用後輩の”心”が見えるようになった件-")</f>
        <v>【ラビオス】俺が嫌いじゃないのかよ！？-不器用後輩の”心”が見えるようになった件-</v>
      </c>
      <c r="G3937" s="20" t="str">
        <f>IFERROR(__xludf.DUMMYFUNCTION("""COMPUTED_VALUE"""),"1～2")</f>
        <v>1～2</v>
      </c>
      <c r="H3937" s="22" t="str">
        <f>IFERROR(__xludf.DUMMYFUNCTION("""COMPUTED_VALUE"""),"九尾つなし")</f>
        <v>九尾つなし</v>
      </c>
      <c r="I3937" s="22" t="str">
        <f>IFERROR(__xludf.DUMMYFUNCTION("""COMPUTED_VALUE"""),"BL")</f>
        <v>BL</v>
      </c>
      <c r="J3937" s="22"/>
      <c r="K3937" s="22"/>
      <c r="L3937" s="22" t="str">
        <f>IFERROR(__xludf.DUMMYFUNCTION("""COMPUTED_VALUE"""),"アーク・プレス")</f>
        <v>アーク・プレス</v>
      </c>
      <c r="M3937" s="33">
        <f>IFERROR(__xludf.DUMMYFUNCTION("""COMPUTED_VALUE"""),45939.0)</f>
        <v>45939</v>
      </c>
      <c r="N3937" s="33">
        <f>IFERROR(__xludf.DUMMYFUNCTION("""COMPUTED_VALUE"""),46043.0)</f>
        <v>46043</v>
      </c>
      <c r="O3937" s="20"/>
      <c r="P3937" s="32" t="str">
        <f>IFERROR(__xludf.DUMMYFUNCTION("""COMPUTED_VALUE"""),"可")</f>
        <v>可</v>
      </c>
      <c r="Q3937" s="30" t="str">
        <f>IFERROR(__xludf.DUMMYFUNCTION("""COMPUTED_VALUE"""),"【アダルト作品扱い】")</f>
        <v>【アダルト作品扱い】</v>
      </c>
      <c r="R3937" s="22" t="str">
        <f>IFERROR(__xludf.DUMMYFUNCTION("""COMPUTED_VALUE"""),"コミットOK")</f>
        <v>コミットOK</v>
      </c>
      <c r="S3937" s="22" t="str">
        <f>IFERROR(__xludf.DUMMYFUNCTION("""COMPUTED_VALUE"""),"20250912_アーク・プレス_俺が嫌いじゃないのかよ⁉")</f>
        <v>20250912_アーク・プレス_俺が嫌いじゃないのかよ⁉</v>
      </c>
      <c r="T3937" s="22" t="str">
        <f>IFERROR(__xludf.DUMMYFUNCTION("""COMPUTED_VALUE"""),"格納済み")</f>
        <v>格納済み</v>
      </c>
      <c r="U3937" s="9" t="str">
        <f>IFERROR(__xludf.DUMMYFUNCTION("""COMPUTED_VALUE"""),"(c)九尾つなし／アーク・プレス")</f>
        <v>(c)九尾つなし／アーク・プレス</v>
      </c>
      <c r="V3937" s="8"/>
      <c r="W3937" s="8"/>
      <c r="X3937" s="8" t="str">
        <f>IFERROR(__xludf.DUMMYFUNCTION("""COMPUTED_VALUE"""),"有")</f>
        <v>有</v>
      </c>
      <c r="Y3937" s="8" t="str">
        <f>IFERROR(__xludf.DUMMYFUNCTION("""COMPUTED_VALUE"""),"2025/10/22まで1巻無料")</f>
        <v>2025/10/22まで1巻無料</v>
      </c>
      <c r="Z3937" s="7"/>
      <c r="AA3937" s="7"/>
      <c r="AB3937" s="7"/>
    </row>
    <row r="3938" ht="15.75" customHeight="1">
      <c r="A3938" s="26">
        <f>IFERROR(__xludf.DUMMYFUNCTION("""COMPUTED_VALUE"""),6142.0)</f>
        <v>6142</v>
      </c>
      <c r="B3938" s="22" t="str">
        <f>IFERROR(__xludf.DUMMYFUNCTION("""COMPUTED_VALUE"""),"確定")</f>
        <v>確定</v>
      </c>
      <c r="C3938" s="28">
        <f>IFERROR(__xludf.DUMMYFUNCTION("""COMPUTED_VALUE"""),45866.0)</f>
        <v>45866</v>
      </c>
      <c r="D3938" s="28">
        <f>IFERROR(__xludf.DUMMYFUNCTION("""COMPUTED_VALUE"""),45912.0)</f>
        <v>45912</v>
      </c>
      <c r="E3938" s="26">
        <f>IFERROR(__xludf.DUMMYFUNCTION("""COMPUTED_VALUE"""),336512.0)</f>
        <v>336512</v>
      </c>
      <c r="F3938" s="22" t="str">
        <f>IFERROR(__xludf.DUMMYFUNCTION("""COMPUTED_VALUE"""),"バグ婚 ～初期化できない夫婦生活～")</f>
        <v>バグ婚 ～初期化できない夫婦生活～</v>
      </c>
      <c r="G3938" s="20" t="str">
        <f>IFERROR(__xludf.DUMMYFUNCTION("""COMPUTED_VALUE"""),"1～2")</f>
        <v>1～2</v>
      </c>
      <c r="H3938" s="22" t="str">
        <f>IFERROR(__xludf.DUMMYFUNCTION("""COMPUTED_VALUE"""),"ゆやゆりな")</f>
        <v>ゆやゆりな</v>
      </c>
      <c r="I3938" s="22" t="str">
        <f>IFERROR(__xludf.DUMMYFUNCTION("""COMPUTED_VALUE"""),"女性")</f>
        <v>女性</v>
      </c>
      <c r="J3938" s="22"/>
      <c r="K3938" s="22"/>
      <c r="L3938" s="22" t="str">
        <f>IFERROR(__xludf.DUMMYFUNCTION("""COMPUTED_VALUE"""),"ステインラボ")</f>
        <v>ステインラボ</v>
      </c>
      <c r="M3938" s="33">
        <f>IFERROR(__xludf.DUMMYFUNCTION("""COMPUTED_VALUE"""),45930.0)</f>
        <v>45930</v>
      </c>
      <c r="N3938" s="33">
        <f>IFERROR(__xludf.DUMMYFUNCTION("""COMPUTED_VALUE"""),45957.0)</f>
        <v>45957</v>
      </c>
      <c r="O3938" s="20"/>
      <c r="P3938" s="32" t="str">
        <f>IFERROR(__xludf.DUMMYFUNCTION("""COMPUTED_VALUE"""),"可")</f>
        <v>可</v>
      </c>
      <c r="Q3938" s="30"/>
      <c r="R3938" s="22" t="str">
        <f>IFERROR(__xludf.DUMMYFUNCTION("""COMPUTED_VALUE"""),"コミットNG")</f>
        <v>コミットNG</v>
      </c>
      <c r="S3938" s="22" t="str">
        <f>IFERROR(__xludf.DUMMYFUNCTION("""COMPUTED_VALUE"""),"20250911_ステインラボ_バグ婚 ～初期化できない夫婦生活～")</f>
        <v>20250911_ステインラボ_バグ婚 ～初期化できない夫婦生活～</v>
      </c>
      <c r="T3938" s="22" t="str">
        <f>IFERROR(__xludf.DUMMYFUNCTION("""COMPUTED_VALUE"""),"格納済み")</f>
        <v>格納済み</v>
      </c>
      <c r="U3938" s="9" t="str">
        <f>IFERROR(__xludf.DUMMYFUNCTION("""COMPUTED_VALUE"""),"Ⓒゆやゆりな/stainlab")</f>
        <v>Ⓒゆやゆりな/stainlab</v>
      </c>
      <c r="V3938" s="8"/>
      <c r="W3938" s="8"/>
      <c r="X3938" s="8" t="str">
        <f>IFERROR(__xludf.DUMMYFUNCTION("""COMPUTED_VALUE"""),"有")</f>
        <v>有</v>
      </c>
      <c r="Y3938" s="8" t="str">
        <f>IFERROR(__xludf.DUMMYFUNCTION("""COMPUTED_VALUE"""),"P7まで")</f>
        <v>P7まで</v>
      </c>
      <c r="Z3938" s="7"/>
      <c r="AA3938" s="7"/>
      <c r="AB3938" s="7"/>
    </row>
    <row r="3939" ht="15.75" customHeight="1">
      <c r="A3939" s="26">
        <f>IFERROR(__xludf.DUMMYFUNCTION("""COMPUTED_VALUE"""),6340.0)</f>
        <v>6340</v>
      </c>
      <c r="B3939" s="22" t="str">
        <f>IFERROR(__xludf.DUMMYFUNCTION("""COMPUTED_VALUE"""),"確定")</f>
        <v>確定</v>
      </c>
      <c r="C3939" s="28">
        <f>IFERROR(__xludf.DUMMYFUNCTION("""COMPUTED_VALUE"""),45895.0)</f>
        <v>45895</v>
      </c>
      <c r="D3939" s="28">
        <f>IFERROR(__xludf.DUMMYFUNCTION("""COMPUTED_VALUE"""),45917.0)</f>
        <v>45917</v>
      </c>
      <c r="E3939" s="26">
        <f>IFERROR(__xludf.DUMMYFUNCTION("""COMPUTED_VALUE"""),339376.0)</f>
        <v>339376</v>
      </c>
      <c r="F3939" s="22" t="str">
        <f>IFERROR(__xludf.DUMMYFUNCTION("""COMPUTED_VALUE"""),"【分冊版】ミカエルの鼓動")</f>
        <v>【分冊版】ミカエルの鼓動</v>
      </c>
      <c r="G3939" s="20" t="str">
        <f>IFERROR(__xludf.DUMMYFUNCTION("""COMPUTED_VALUE"""),"1～5")</f>
        <v>1～5</v>
      </c>
      <c r="H3939" s="22" t="str">
        <f>IFERROR(__xludf.DUMMYFUNCTION("""COMPUTED_VALUE"""),"原作：柚月 裕子　作画：蒼郁龍茅")</f>
        <v>原作：柚月 裕子　作画：蒼郁龍茅</v>
      </c>
      <c r="I3939" s="22" t="str">
        <f>IFERROR(__xludf.DUMMYFUNCTION("""COMPUTED_VALUE"""),"青年")</f>
        <v>青年</v>
      </c>
      <c r="J3939" s="22"/>
      <c r="K3939" s="22"/>
      <c r="L3939" s="22" t="str">
        <f>IFERROR(__xludf.DUMMYFUNCTION("""COMPUTED_VALUE"""),"Seasons")</f>
        <v>Seasons</v>
      </c>
      <c r="M3939" s="33">
        <f>IFERROR(__xludf.DUMMYFUNCTION("""COMPUTED_VALUE"""),45954.0)</f>
        <v>45954</v>
      </c>
      <c r="N3939" s="33">
        <f>IFERROR(__xludf.DUMMYFUNCTION("""COMPUTED_VALUE"""),46045.0)</f>
        <v>46045</v>
      </c>
      <c r="O3939" s="20"/>
      <c r="P3939" s="32" t="str">
        <f>IFERROR(__xludf.DUMMYFUNCTION("""COMPUTED_VALUE"""),"可")</f>
        <v>可</v>
      </c>
      <c r="Q3939" s="30"/>
      <c r="R3939" s="22"/>
      <c r="S3939" s="22" t="str">
        <f>IFERROR(__xludf.DUMMYFUNCTION("""COMPUTED_VALUE"""),"20250917_Seasons_ミカエルの鼓動")</f>
        <v>20250917_Seasons_ミカエルの鼓動</v>
      </c>
      <c r="T3939" s="22" t="str">
        <f>IFERROR(__xludf.DUMMYFUNCTION("""COMPUTED_VALUE"""),"格納済み")</f>
        <v>格納済み</v>
      </c>
      <c r="U3939" s="9" t="str">
        <f>IFERROR(__xludf.DUMMYFUNCTION("""COMPUTED_VALUE"""),"柚月裕子・蒼郁龍茅／文藝春秋")</f>
        <v>柚月裕子・蒼郁龍茅／文藝春秋</v>
      </c>
      <c r="V3939" s="8"/>
      <c r="W3939" s="8"/>
      <c r="X3939" s="8" t="str">
        <f>IFERROR(__xludf.DUMMYFUNCTION("""COMPUTED_VALUE"""),"有")</f>
        <v>有</v>
      </c>
      <c r="Y3939" s="8" t="str">
        <f>IFERROR(__xludf.DUMMYFUNCTION("""COMPUTED_VALUE"""),"2025/10/30まで1巻無料")</f>
        <v>2025/10/30まで1巻無料</v>
      </c>
      <c r="Z3939" s="7"/>
      <c r="AA3939" s="7"/>
      <c r="AB3939" s="7"/>
    </row>
    <row r="3940" ht="15.75" customHeight="1">
      <c r="A3940" s="26">
        <f>IFERROR(__xludf.DUMMYFUNCTION("""COMPUTED_VALUE"""),6358.0)</f>
        <v>6358</v>
      </c>
      <c r="B3940" s="22" t="str">
        <f>IFERROR(__xludf.DUMMYFUNCTION("""COMPUTED_VALUE"""),"確定")</f>
        <v>確定</v>
      </c>
      <c r="C3940" s="28">
        <f>IFERROR(__xludf.DUMMYFUNCTION("""COMPUTED_VALUE"""),45897.0)</f>
        <v>45897</v>
      </c>
      <c r="D3940" s="28">
        <f>IFERROR(__xludf.DUMMYFUNCTION("""COMPUTED_VALUE"""),45917.0)</f>
        <v>45917</v>
      </c>
      <c r="E3940" s="26">
        <f>IFERROR(__xludf.DUMMYFUNCTION("""COMPUTED_VALUE"""),339876.0)</f>
        <v>339876</v>
      </c>
      <c r="F3940" s="22" t="str">
        <f>IFERROR(__xludf.DUMMYFUNCTION("""COMPUTED_VALUE"""),"【ラブパルフェ】墨入り慶くんはずぶずぶ溺愛沼オトコ。～ナカで絶頂初イキSEX")</f>
        <v>【ラブパルフェ】墨入り慶くんはずぶずぶ溺愛沼オトコ。～ナカで絶頂初イキSEX</v>
      </c>
      <c r="G3940" s="20" t="str">
        <f>IFERROR(__xludf.DUMMYFUNCTION("""COMPUTED_VALUE"""),"1～3")</f>
        <v>1～3</v>
      </c>
      <c r="H3940" s="22" t="str">
        <f>IFERROR(__xludf.DUMMYFUNCTION("""COMPUTED_VALUE"""),"弘瀬とろ")</f>
        <v>弘瀬とろ</v>
      </c>
      <c r="I3940" s="22" t="str">
        <f>IFERROR(__xludf.DUMMYFUNCTION("""COMPUTED_VALUE"""),"TL")</f>
        <v>TL</v>
      </c>
      <c r="J3940" s="22"/>
      <c r="K3940" s="22" t="str">
        <f>IFERROR(__xludf.DUMMYFUNCTION("""COMPUTED_VALUE"""),"ラブパルフェ")</f>
        <v>ラブパルフェ</v>
      </c>
      <c r="L3940" s="22" t="str">
        <f>IFERROR(__xludf.DUMMYFUNCTION("""COMPUTED_VALUE"""),"オーバーラップ")</f>
        <v>オーバーラップ</v>
      </c>
      <c r="M3940" s="33">
        <f>IFERROR(__xludf.DUMMYFUNCTION("""COMPUTED_VALUE"""),45962.0)</f>
        <v>45962</v>
      </c>
      <c r="N3940" s="33">
        <f>IFERROR(__xludf.DUMMYFUNCTION("""COMPUTED_VALUE"""),46022.0)</f>
        <v>46022</v>
      </c>
      <c r="O3940" s="20"/>
      <c r="P3940" s="32" t="str">
        <f>IFERROR(__xludf.DUMMYFUNCTION("""COMPUTED_VALUE"""),"可")</f>
        <v>可</v>
      </c>
      <c r="Q3940" s="30" t="str">
        <f>IFERROR(__xludf.DUMMYFUNCTION("""COMPUTED_VALUE"""),"【アダルト作品扱い】")</f>
        <v>【アダルト作品扱い】</v>
      </c>
      <c r="R3940" s="22" t="str">
        <f>IFERROR(__xludf.DUMMYFUNCTION("""COMPUTED_VALUE"""),"コミットOK")</f>
        <v>コミットOK</v>
      </c>
      <c r="S3940" s="22" t="str">
        <f>IFERROR(__xludf.DUMMYFUNCTION("""COMPUTED_VALUE"""),"20250916_オーバーラップ_墨入り慶くんはずぶずぶ溺愛沼オトコ。～ナカで絶頂初イキSEX")</f>
        <v>20250916_オーバーラップ_墨入り慶くんはずぶずぶ溺愛沼オトコ。～ナカで絶頂初イキSEX</v>
      </c>
      <c r="T3940" s="22" t="str">
        <f>IFERROR(__xludf.DUMMYFUNCTION("""COMPUTED_VALUE"""),"格納済み")</f>
        <v>格納済み</v>
      </c>
      <c r="U3940" s="9" t="str">
        <f>IFERROR(__xludf.DUMMYFUNCTION("""COMPUTED_VALUE"""),"(C)弘瀬とろ／オーバーラップ")</f>
        <v>(C)弘瀬とろ／オーバーラップ</v>
      </c>
      <c r="V3940" s="8"/>
      <c r="W3940" s="8"/>
      <c r="X3940" s="8" t="str">
        <f>IFERROR(__xludf.DUMMYFUNCTION("""COMPUTED_VALUE"""),"有")</f>
        <v>有</v>
      </c>
      <c r="Y3940" s="8" t="str">
        <f>IFERROR(__xludf.DUMMYFUNCTION("""COMPUTED_VALUE"""),"P11まで")</f>
        <v>P11まで</v>
      </c>
      <c r="Z3940" s="7"/>
      <c r="AA3940" s="7"/>
      <c r="AB3940" s="7"/>
    </row>
    <row r="3941" ht="15.75" customHeight="1">
      <c r="A3941" s="26">
        <f>IFERROR(__xludf.DUMMYFUNCTION("""COMPUTED_VALUE"""),6359.0)</f>
        <v>6359</v>
      </c>
      <c r="B3941" s="22" t="str">
        <f>IFERROR(__xludf.DUMMYFUNCTION("""COMPUTED_VALUE"""),"確定")</f>
        <v>確定</v>
      </c>
      <c r="C3941" s="28">
        <f>IFERROR(__xludf.DUMMYFUNCTION("""COMPUTED_VALUE"""),45897.0)</f>
        <v>45897</v>
      </c>
      <c r="D3941" s="28">
        <f>IFERROR(__xludf.DUMMYFUNCTION("""COMPUTED_VALUE"""),45917.0)</f>
        <v>45917</v>
      </c>
      <c r="E3941" s="26">
        <f>IFERROR(__xludf.DUMMYFUNCTION("""COMPUTED_VALUE"""),339875.0)</f>
        <v>339875</v>
      </c>
      <c r="F3941" s="22" t="str">
        <f>IFERROR(__xludf.DUMMYFUNCTION("""COMPUTED_VALUE"""),"【ラブパルフェ】ライバル同期のひたむき過剰愛～深々と咥える重たい欲情")</f>
        <v>【ラブパルフェ】ライバル同期のひたむき過剰愛～深々と咥える重たい欲情</v>
      </c>
      <c r="G3941" s="20" t="str">
        <f>IFERROR(__xludf.DUMMYFUNCTION("""COMPUTED_VALUE"""),"1～3")</f>
        <v>1～3</v>
      </c>
      <c r="H3941" s="22" t="str">
        <f>IFERROR(__xludf.DUMMYFUNCTION("""COMPUTED_VALUE"""),"赤井七味・七原みさ")</f>
        <v>赤井七味・七原みさ</v>
      </c>
      <c r="I3941" s="22" t="str">
        <f>IFERROR(__xludf.DUMMYFUNCTION("""COMPUTED_VALUE"""),"TL")</f>
        <v>TL</v>
      </c>
      <c r="J3941" s="22"/>
      <c r="K3941" s="22" t="str">
        <f>IFERROR(__xludf.DUMMYFUNCTION("""COMPUTED_VALUE"""),"ラブパルフェ")</f>
        <v>ラブパルフェ</v>
      </c>
      <c r="L3941" s="22" t="str">
        <f>IFERROR(__xludf.DUMMYFUNCTION("""COMPUTED_VALUE"""),"オーバーラップ")</f>
        <v>オーバーラップ</v>
      </c>
      <c r="M3941" s="33">
        <f>IFERROR(__xludf.DUMMYFUNCTION("""COMPUTED_VALUE"""),45962.0)</f>
        <v>45962</v>
      </c>
      <c r="N3941" s="33">
        <f>IFERROR(__xludf.DUMMYFUNCTION("""COMPUTED_VALUE"""),46142.66666666667)</f>
        <v>46142.66667</v>
      </c>
      <c r="O3941" s="20"/>
      <c r="P3941" s="32" t="str">
        <f>IFERROR(__xludf.DUMMYFUNCTION("""COMPUTED_VALUE"""),"可")</f>
        <v>可</v>
      </c>
      <c r="Q3941" s="30" t="str">
        <f>IFERROR(__xludf.DUMMYFUNCTION("""COMPUTED_VALUE"""),"【アダルト作品扱い】")</f>
        <v>【アダルト作品扱い】</v>
      </c>
      <c r="R3941" s="22" t="str">
        <f>IFERROR(__xludf.DUMMYFUNCTION("""COMPUTED_VALUE"""),"コミットOK")</f>
        <v>コミットOK</v>
      </c>
      <c r="S3941" s="22" t="str">
        <f>IFERROR(__xludf.DUMMYFUNCTION("""COMPUTED_VALUE"""),"20250916_オーバーラップ_ライバル同期のひたむき過剰愛～深々と咥える重たい欲情")</f>
        <v>20250916_オーバーラップ_ライバル同期のひたむき過剰愛～深々と咥える重たい欲情</v>
      </c>
      <c r="T3941" s="22" t="str">
        <f>IFERROR(__xludf.DUMMYFUNCTION("""COMPUTED_VALUE"""),"格納済み")</f>
        <v>格納済み</v>
      </c>
      <c r="U3941" s="9" t="str">
        <f>IFERROR(__xludf.DUMMYFUNCTION("""COMPUTED_VALUE"""),"(C)赤井七味・七原みさ／オーバーラップ")</f>
        <v>(C)赤井七味・七原みさ／オーバーラップ</v>
      </c>
      <c r="V3941" s="8"/>
      <c r="W3941" s="8"/>
      <c r="X3941" s="8" t="str">
        <f>IFERROR(__xludf.DUMMYFUNCTION("""COMPUTED_VALUE"""),"有")</f>
        <v>有</v>
      </c>
      <c r="Y3941" s="8" t="str">
        <f>IFERROR(__xludf.DUMMYFUNCTION("""COMPUTED_VALUE"""),"P10まで")</f>
        <v>P10まで</v>
      </c>
      <c r="Z3941" s="7"/>
      <c r="AA3941" s="7"/>
      <c r="AB3941" s="7"/>
    </row>
    <row r="3942" ht="15.75" customHeight="1">
      <c r="A3942" s="26">
        <f>IFERROR(__xludf.DUMMYFUNCTION("""COMPUTED_VALUE"""),6360.0)</f>
        <v>6360</v>
      </c>
      <c r="B3942" s="22" t="str">
        <f>IFERROR(__xludf.DUMMYFUNCTION("""COMPUTED_VALUE"""),"確定")</f>
        <v>確定</v>
      </c>
      <c r="C3942" s="28">
        <f>IFERROR(__xludf.DUMMYFUNCTION("""COMPUTED_VALUE"""),45897.0)</f>
        <v>45897</v>
      </c>
      <c r="D3942" s="28">
        <f>IFERROR(__xludf.DUMMYFUNCTION("""COMPUTED_VALUE"""),45917.0)</f>
        <v>45917</v>
      </c>
      <c r="E3942" s="26">
        <f>IFERROR(__xludf.DUMMYFUNCTION("""COMPUTED_VALUE"""),339874.0)</f>
        <v>339874</v>
      </c>
      <c r="F3942" s="22" t="str">
        <f>IFERROR(__xludf.DUMMYFUNCTION("""COMPUTED_VALUE"""),"【ラブパルフェ】XL以上のカラダと溺愛で甘イキまみれ～本気エッチで特濃愛を注がれてます")</f>
        <v>【ラブパルフェ】XL以上のカラダと溺愛で甘イキまみれ～本気エッチで特濃愛を注がれてます</v>
      </c>
      <c r="G3942" s="20" t="str">
        <f>IFERROR(__xludf.DUMMYFUNCTION("""COMPUTED_VALUE"""),"1～3")</f>
        <v>1～3</v>
      </c>
      <c r="H3942" s="22" t="str">
        <f>IFERROR(__xludf.DUMMYFUNCTION("""COMPUTED_VALUE"""),"かずい流水")</f>
        <v>かずい流水</v>
      </c>
      <c r="I3942" s="22" t="str">
        <f>IFERROR(__xludf.DUMMYFUNCTION("""COMPUTED_VALUE"""),"TL")</f>
        <v>TL</v>
      </c>
      <c r="J3942" s="22"/>
      <c r="K3942" s="22" t="str">
        <f>IFERROR(__xludf.DUMMYFUNCTION("""COMPUTED_VALUE"""),"ラブパルフェ")</f>
        <v>ラブパルフェ</v>
      </c>
      <c r="L3942" s="22" t="str">
        <f>IFERROR(__xludf.DUMMYFUNCTION("""COMPUTED_VALUE"""),"オーバーラップ")</f>
        <v>オーバーラップ</v>
      </c>
      <c r="M3942" s="33">
        <f>IFERROR(__xludf.DUMMYFUNCTION("""COMPUTED_VALUE"""),45962.0)</f>
        <v>45962</v>
      </c>
      <c r="N3942" s="33">
        <f>IFERROR(__xludf.DUMMYFUNCTION("""COMPUTED_VALUE"""),46022.0)</f>
        <v>46022</v>
      </c>
      <c r="O3942" s="20"/>
      <c r="P3942" s="32" t="str">
        <f>IFERROR(__xludf.DUMMYFUNCTION("""COMPUTED_VALUE"""),"可")</f>
        <v>可</v>
      </c>
      <c r="Q3942" s="30" t="str">
        <f>IFERROR(__xludf.DUMMYFUNCTION("""COMPUTED_VALUE"""),"【アダルト作品扱い】")</f>
        <v>【アダルト作品扱い】</v>
      </c>
      <c r="R3942" s="22" t="str">
        <f>IFERROR(__xludf.DUMMYFUNCTION("""COMPUTED_VALUE"""),"コミットNG")</f>
        <v>コミットNG</v>
      </c>
      <c r="S3942" s="22" t="str">
        <f>IFERROR(__xludf.DUMMYFUNCTION("""COMPUTED_VALUE"""),"20250916_オーバーラップ_XL以上のカラダと溺愛で甘イキまみれ～本気エッチで特濃愛を注がれてます")</f>
        <v>20250916_オーバーラップ_XL以上のカラダと溺愛で甘イキまみれ～本気エッチで特濃愛を注がれてます</v>
      </c>
      <c r="T3942" s="22" t="str">
        <f>IFERROR(__xludf.DUMMYFUNCTION("""COMPUTED_VALUE"""),"格納済み")</f>
        <v>格納済み</v>
      </c>
      <c r="U3942" s="9" t="str">
        <f>IFERROR(__xludf.DUMMYFUNCTION("""COMPUTED_VALUE"""),"(C)かずい流水／オーバーラップ")</f>
        <v>(C)かずい流水／オーバーラップ</v>
      </c>
      <c r="V3942" s="8"/>
      <c r="W3942" s="8"/>
      <c r="X3942" s="8" t="str">
        <f>IFERROR(__xludf.DUMMYFUNCTION("""COMPUTED_VALUE"""),"有")</f>
        <v>有</v>
      </c>
      <c r="Y3942" s="8" t="str">
        <f>IFERROR(__xludf.DUMMYFUNCTION("""COMPUTED_VALUE"""),"P8まで")</f>
        <v>P8まで</v>
      </c>
      <c r="Z3942" s="7"/>
      <c r="AA3942" s="7"/>
      <c r="AB3942" s="7"/>
    </row>
    <row r="3943" ht="15.75" customHeight="1">
      <c r="A3943" s="26">
        <f>IFERROR(__xludf.DUMMYFUNCTION("""COMPUTED_VALUE"""),6441.0)</f>
        <v>6441</v>
      </c>
      <c r="B3943" s="22" t="str">
        <f>IFERROR(__xludf.DUMMYFUNCTION("""COMPUTED_VALUE"""),"確定")</f>
        <v>確定</v>
      </c>
      <c r="C3943" s="28">
        <f>IFERROR(__xludf.DUMMYFUNCTION("""COMPUTED_VALUE"""),45905.0)</f>
        <v>45905</v>
      </c>
      <c r="D3943" s="28">
        <f>IFERROR(__xludf.DUMMYFUNCTION("""COMPUTED_VALUE"""),45911.0)</f>
        <v>45911</v>
      </c>
      <c r="E3943" s="26">
        <f>IFERROR(__xludf.DUMMYFUNCTION("""COMPUTED_VALUE"""),337736.0)</f>
        <v>337736</v>
      </c>
      <c r="F3943" s="22" t="str">
        <f>IFERROR(__xludf.DUMMYFUNCTION("""COMPUTED_VALUE"""),"結婚できない女たち")</f>
        <v>結婚できない女たち</v>
      </c>
      <c r="G3943" s="20" t="str">
        <f>IFERROR(__xludf.DUMMYFUNCTION("""COMPUTED_VALUE"""),"1～5")</f>
        <v>1～5</v>
      </c>
      <c r="H3943" s="22" t="str">
        <f>IFERROR(__xludf.DUMMYFUNCTION("""COMPUTED_VALUE"""),"梅田かいじ・Reina.・テラーノベル")</f>
        <v>梅田かいじ・Reina.・テラーノベル</v>
      </c>
      <c r="I3943" s="22" t="str">
        <f>IFERROR(__xludf.DUMMYFUNCTION("""COMPUTED_VALUE"""),"女性")</f>
        <v>女性</v>
      </c>
      <c r="J3943" s="22"/>
      <c r="K3943" s="22" t="str">
        <f>IFERROR(__xludf.DUMMYFUNCTION("""COMPUTED_VALUE"""),"テラーコミックス")</f>
        <v>テラーコミックス</v>
      </c>
      <c r="L3943" s="22" t="str">
        <f>IFERROR(__xludf.DUMMYFUNCTION("""COMPUTED_VALUE"""),"Freedia")</f>
        <v>Freedia</v>
      </c>
      <c r="M3943" s="33">
        <f>IFERROR(__xludf.DUMMYFUNCTION("""COMPUTED_VALUE"""),45968.0)</f>
        <v>45968</v>
      </c>
      <c r="N3943" s="33">
        <f>IFERROR(__xludf.DUMMYFUNCTION("""COMPUTED_VALUE"""),46059.0)</f>
        <v>46059</v>
      </c>
      <c r="O3943" s="20"/>
      <c r="P3943" s="32" t="str">
        <f>IFERROR(__xludf.DUMMYFUNCTION("""COMPUTED_VALUE"""),"可")</f>
        <v>可</v>
      </c>
      <c r="Q3943" s="30"/>
      <c r="R3943" s="22"/>
      <c r="S3943" s="22" t="str">
        <f>IFERROR(__xludf.DUMMYFUNCTION("""COMPUTED_VALUE"""),"20250905_Freedia_結婚できない女たち")</f>
        <v>20250905_Freedia_結婚できない女たち</v>
      </c>
      <c r="T3943" s="22" t="str">
        <f>IFERROR(__xludf.DUMMYFUNCTION("""COMPUTED_VALUE"""),"格納済み")</f>
        <v>格納済み</v>
      </c>
      <c r="U3943" s="9" t="str">
        <f>IFERROR(__xludf.DUMMYFUNCTION("""COMPUTED_VALUE"""),"Ⓒ梅田かいじ・Reina./Freedia・テラーノベル")</f>
        <v>Ⓒ梅田かいじ・Reina./Freedia・テラーノベル</v>
      </c>
      <c r="V3943" s="8"/>
      <c r="W3943" s="8"/>
      <c r="X3943" s="8" t="str">
        <f>IFERROR(__xludf.DUMMYFUNCTION("""COMPUTED_VALUE"""),"有")</f>
        <v>有</v>
      </c>
      <c r="Y3943" s="8" t="str">
        <f>IFERROR(__xludf.DUMMYFUNCTION("""COMPUTED_VALUE"""),"2026/2/6まで1巻無料")</f>
        <v>2026/2/6まで1巻無料</v>
      </c>
      <c r="Z3943" s="7"/>
      <c r="AA3943" s="7"/>
      <c r="AB3943" s="7"/>
    </row>
    <row r="3944" ht="15.75" customHeight="1">
      <c r="A3944" s="26">
        <f>IFERROR(__xludf.DUMMYFUNCTION("""COMPUTED_VALUE"""),6449.0)</f>
        <v>6449</v>
      </c>
      <c r="B3944" s="22" t="str">
        <f>IFERROR(__xludf.DUMMYFUNCTION("""COMPUTED_VALUE"""),"確定")</f>
        <v>確定</v>
      </c>
      <c r="C3944" s="28">
        <f>IFERROR(__xludf.DUMMYFUNCTION("""COMPUTED_VALUE"""),45908.0)</f>
        <v>45908</v>
      </c>
      <c r="D3944" s="28">
        <f>IFERROR(__xludf.DUMMYFUNCTION("""COMPUTED_VALUE"""),45916.0)</f>
        <v>45916</v>
      </c>
      <c r="E3944" s="26">
        <f>IFERROR(__xludf.DUMMYFUNCTION("""COMPUTED_VALUE"""),295067.0)</f>
        <v>295067</v>
      </c>
      <c r="F3944" s="22" t="str">
        <f>IFERROR(__xludf.DUMMYFUNCTION("""COMPUTED_VALUE"""),"ポチアカただいま配信中!?")</f>
        <v>ポチアカただいま配信中!?</v>
      </c>
      <c r="G3944" s="20" t="str">
        <f>IFERROR(__xludf.DUMMYFUNCTION("""COMPUTED_VALUE"""),"1～3")</f>
        <v>1～3</v>
      </c>
      <c r="H3944" s="22" t="str">
        <f>IFERROR(__xludf.DUMMYFUNCTION("""COMPUTED_VALUE"""),"沿道")</f>
        <v>沿道</v>
      </c>
      <c r="I3944" s="22" t="str">
        <f>IFERROR(__xludf.DUMMYFUNCTION("""COMPUTED_VALUE"""),"BLマンガ")</f>
        <v>BLマンガ</v>
      </c>
      <c r="J3944" s="22"/>
      <c r="K3944" s="22" t="str">
        <f>IFERROR(__xludf.DUMMYFUNCTION("""COMPUTED_VALUE"""),"Ficus")</f>
        <v>Ficus</v>
      </c>
      <c r="L3944" s="22" t="str">
        <f>IFERROR(__xludf.DUMMYFUNCTION("""COMPUTED_VALUE"""),"シーモアコミックス")</f>
        <v>シーモアコミックス</v>
      </c>
      <c r="M3944" s="33">
        <f>IFERROR(__xludf.DUMMYFUNCTION("""COMPUTED_VALUE"""),45941.0)</f>
        <v>45941</v>
      </c>
      <c r="N3944" s="33">
        <f>IFERROR(__xludf.DUMMYFUNCTION("""COMPUTED_VALUE"""),2958465.0)</f>
        <v>2958465</v>
      </c>
      <c r="O3944" s="20"/>
      <c r="P3944" s="32" t="str">
        <f>IFERROR(__xludf.DUMMYFUNCTION("""COMPUTED_VALUE"""),"可")</f>
        <v>可</v>
      </c>
      <c r="Q3944" s="30"/>
      <c r="R3944" s="22"/>
      <c r="S3944" s="22" t="str">
        <f>IFERROR(__xludf.DUMMYFUNCTION("""COMPUTED_VALUE"""),"20250908_シーモアコミックス_ポチアカただいま配信中！？")</f>
        <v>20250908_シーモアコミックス_ポチアカただいま配信中！？</v>
      </c>
      <c r="T3944" s="22" t="str">
        <f>IFERROR(__xludf.DUMMYFUNCTION("""COMPUTED_VALUE"""),"格納済み")</f>
        <v>格納済み</v>
      </c>
      <c r="U3944" s="9" t="str">
        <f>IFERROR(__xludf.DUMMYFUNCTION("""COMPUTED_VALUE"""),"(C) 沿道/シーモアコミックス")</f>
        <v>(C) 沿道/シーモアコミックス</v>
      </c>
      <c r="V3944" s="8"/>
      <c r="W3944" s="8"/>
      <c r="X3944" s="8" t="str">
        <f>IFERROR(__xludf.DUMMYFUNCTION("""COMPUTED_VALUE"""),"有")</f>
        <v>有</v>
      </c>
      <c r="Y3944" s="8" t="str">
        <f>IFERROR(__xludf.DUMMYFUNCTION("""COMPUTED_VALUE"""),"2025/11/7まで1巻無料")</f>
        <v>2025/11/7まで1巻無料</v>
      </c>
      <c r="Z3944" s="7"/>
      <c r="AA3944" s="7"/>
      <c r="AB3944" s="7"/>
    </row>
    <row r="3945" ht="15.75" customHeight="1">
      <c r="A3945" s="26">
        <f>IFERROR(__xludf.DUMMYFUNCTION("""COMPUTED_VALUE"""),6450.0)</f>
        <v>6450</v>
      </c>
      <c r="B3945" s="22" t="str">
        <f>IFERROR(__xludf.DUMMYFUNCTION("""COMPUTED_VALUE"""),"確定")</f>
        <v>確定</v>
      </c>
      <c r="C3945" s="28">
        <f>IFERROR(__xludf.DUMMYFUNCTION("""COMPUTED_VALUE"""),45908.0)</f>
        <v>45908</v>
      </c>
      <c r="D3945" s="28">
        <f>IFERROR(__xludf.DUMMYFUNCTION("""COMPUTED_VALUE"""),45912.0)</f>
        <v>45912</v>
      </c>
      <c r="E3945" s="26">
        <f>IFERROR(__xludf.DUMMYFUNCTION("""COMPUTED_VALUE"""),322270.0)</f>
        <v>322270</v>
      </c>
      <c r="F3945" s="22" t="str">
        <f>IFERROR(__xludf.DUMMYFUNCTION("""COMPUTED_VALUE"""),"キューランプが点く前に")</f>
        <v>キューランプが点く前に</v>
      </c>
      <c r="G3945" s="20" t="str">
        <f>IFERROR(__xludf.DUMMYFUNCTION("""COMPUTED_VALUE"""),"1～3")</f>
        <v>1～3</v>
      </c>
      <c r="H3945" s="22" t="str">
        <f>IFERROR(__xludf.DUMMYFUNCTION("""COMPUTED_VALUE"""),"めめぞ")</f>
        <v>めめぞ</v>
      </c>
      <c r="I3945" s="22" t="str">
        <f>IFERROR(__xludf.DUMMYFUNCTION("""COMPUTED_VALUE"""),"BLマンガ")</f>
        <v>BLマンガ</v>
      </c>
      <c r="J3945" s="22"/>
      <c r="K3945" s="22" t="str">
        <f>IFERROR(__xludf.DUMMYFUNCTION("""COMPUTED_VALUE"""),"Ficus")</f>
        <v>Ficus</v>
      </c>
      <c r="L3945" s="22" t="str">
        <f>IFERROR(__xludf.DUMMYFUNCTION("""COMPUTED_VALUE"""),"シーモアコミックス")</f>
        <v>シーモアコミックス</v>
      </c>
      <c r="M3945" s="33">
        <f>IFERROR(__xludf.DUMMYFUNCTION("""COMPUTED_VALUE"""),45941.0)</f>
        <v>45941</v>
      </c>
      <c r="N3945" s="33">
        <f>IFERROR(__xludf.DUMMYFUNCTION("""COMPUTED_VALUE"""),2958465.0)</f>
        <v>2958465</v>
      </c>
      <c r="O3945" s="20"/>
      <c r="P3945" s="32" t="str">
        <f>IFERROR(__xludf.DUMMYFUNCTION("""COMPUTED_VALUE"""),"可")</f>
        <v>可</v>
      </c>
      <c r="Q3945" s="30"/>
      <c r="R3945" s="22"/>
      <c r="S3945" s="22" t="str">
        <f>IFERROR(__xludf.DUMMYFUNCTION("""COMPUTED_VALUE"""),"20250908_シーモアコミックス_キューランプが点く前に")</f>
        <v>20250908_シーモアコミックス_キューランプが点く前に</v>
      </c>
      <c r="T3945" s="22" t="str">
        <f>IFERROR(__xludf.DUMMYFUNCTION("""COMPUTED_VALUE"""),"格納済み")</f>
        <v>格納済み</v>
      </c>
      <c r="U3945" s="9" t="str">
        <f>IFERROR(__xludf.DUMMYFUNCTION("""COMPUTED_VALUE"""),"(C) めめぞ/シーモアコミックス")</f>
        <v>(C) めめぞ/シーモアコミックス</v>
      </c>
      <c r="V3945" s="8"/>
      <c r="W3945" s="8"/>
      <c r="X3945" s="8" t="str">
        <f>IFERROR(__xludf.DUMMYFUNCTION("""COMPUTED_VALUE"""),"有")</f>
        <v>有</v>
      </c>
      <c r="Y3945" s="8" t="str">
        <f>IFERROR(__xludf.DUMMYFUNCTION("""COMPUTED_VALUE"""),"2025/11/7まで1巻無料")</f>
        <v>2025/11/7まで1巻無料</v>
      </c>
      <c r="Z3945" s="7"/>
      <c r="AA3945" s="7"/>
      <c r="AB3945" s="7"/>
    </row>
    <row r="3946" ht="15.75" customHeight="1">
      <c r="A3946" s="26">
        <f>IFERROR(__xludf.DUMMYFUNCTION("""COMPUTED_VALUE"""),6451.0)</f>
        <v>6451</v>
      </c>
      <c r="B3946" s="22" t="str">
        <f>IFERROR(__xludf.DUMMYFUNCTION("""COMPUTED_VALUE"""),"確定")</f>
        <v>確定</v>
      </c>
      <c r="C3946" s="28">
        <f>IFERROR(__xludf.DUMMYFUNCTION("""COMPUTED_VALUE"""),45908.0)</f>
        <v>45908</v>
      </c>
      <c r="D3946" s="28">
        <f>IFERROR(__xludf.DUMMYFUNCTION("""COMPUTED_VALUE"""),45912.0)</f>
        <v>45912</v>
      </c>
      <c r="E3946" s="26">
        <f>IFERROR(__xludf.DUMMYFUNCTION("""COMPUTED_VALUE"""),323386.0)</f>
        <v>323386</v>
      </c>
      <c r="F3946" s="22" t="str">
        <f>IFERROR(__xludf.DUMMYFUNCTION("""COMPUTED_VALUE"""),"幼なじみは不埒な飼い犬")</f>
        <v>幼なじみは不埒な飼い犬</v>
      </c>
      <c r="G3946" s="20" t="str">
        <f>IFERROR(__xludf.DUMMYFUNCTION("""COMPUTED_VALUE"""),"1～3")</f>
        <v>1～3</v>
      </c>
      <c r="H3946" s="22" t="str">
        <f>IFERROR(__xludf.DUMMYFUNCTION("""COMPUTED_VALUE"""),"鈴木有布子")</f>
        <v>鈴木有布子</v>
      </c>
      <c r="I3946" s="22" t="str">
        <f>IFERROR(__xludf.DUMMYFUNCTION("""COMPUTED_VALUE"""),"少女マンガ")</f>
        <v>少女マンガ</v>
      </c>
      <c r="J3946" s="22"/>
      <c r="K3946" s="22" t="str">
        <f>IFERROR(__xludf.DUMMYFUNCTION("""COMPUTED_VALUE"""),"恋するソワレ")</f>
        <v>恋するソワレ</v>
      </c>
      <c r="L3946" s="22" t="str">
        <f>IFERROR(__xludf.DUMMYFUNCTION("""COMPUTED_VALUE"""),"シーモアコミックス")</f>
        <v>シーモアコミックス</v>
      </c>
      <c r="M3946" s="33">
        <f>IFERROR(__xludf.DUMMYFUNCTION("""COMPUTED_VALUE"""),45941.0)</f>
        <v>45941</v>
      </c>
      <c r="N3946" s="33">
        <f>IFERROR(__xludf.DUMMYFUNCTION("""COMPUTED_VALUE"""),2958465.0)</f>
        <v>2958465</v>
      </c>
      <c r="O3946" s="20"/>
      <c r="P3946" s="32" t="str">
        <f>IFERROR(__xludf.DUMMYFUNCTION("""COMPUTED_VALUE"""),"可")</f>
        <v>可</v>
      </c>
      <c r="Q3946" s="30"/>
      <c r="R3946" s="22"/>
      <c r="S3946" s="22" t="str">
        <f>IFERROR(__xludf.DUMMYFUNCTION("""COMPUTED_VALUE"""),"20250908_シーモアコミックス_幼なじみは不埒な飼い犬")</f>
        <v>20250908_シーモアコミックス_幼なじみは不埒な飼い犬</v>
      </c>
      <c r="T3946" s="22" t="str">
        <f>IFERROR(__xludf.DUMMYFUNCTION("""COMPUTED_VALUE"""),"格納済み")</f>
        <v>格納済み</v>
      </c>
      <c r="U3946" s="9" t="str">
        <f>IFERROR(__xludf.DUMMYFUNCTION("""COMPUTED_VALUE"""),"(C) 鈴木有布子/シーモアコミックス")</f>
        <v>(C) 鈴木有布子/シーモアコミックス</v>
      </c>
      <c r="V3946" s="8"/>
      <c r="W3946" s="8"/>
      <c r="X3946" s="8" t="str">
        <f>IFERROR(__xludf.DUMMYFUNCTION("""COMPUTED_VALUE"""),"有")</f>
        <v>有</v>
      </c>
      <c r="Y3946" s="8" t="str">
        <f>IFERROR(__xludf.DUMMYFUNCTION("""COMPUTED_VALUE"""),"2025/11/7まで1巻無料")</f>
        <v>2025/11/7まで1巻無料</v>
      </c>
      <c r="Z3946" s="7"/>
      <c r="AA3946" s="7"/>
      <c r="AB3946" s="7"/>
    </row>
    <row r="3947" ht="15.75" customHeight="1">
      <c r="A3947" s="211">
        <f>IFERROR(__xludf.DUMMYFUNCTION("""COMPUTED_VALUE"""),6455.0)</f>
        <v>6455</v>
      </c>
      <c r="B3947" s="212" t="str">
        <f>IFERROR(__xludf.DUMMYFUNCTION("""COMPUTED_VALUE"""),"確定")</f>
        <v>確定</v>
      </c>
      <c r="C3947" s="213">
        <f>IFERROR(__xludf.DUMMYFUNCTION("""COMPUTED_VALUE"""),45908.0)</f>
        <v>45908</v>
      </c>
      <c r="D3947" s="213">
        <f>IFERROR(__xludf.DUMMYFUNCTION("""COMPUTED_VALUE"""),45912.0)</f>
        <v>45912</v>
      </c>
      <c r="E3947" s="211" t="str">
        <f>IFERROR(__xludf.DUMMYFUNCTION("""COMPUTED_VALUE"""),"ー")</f>
        <v>ー</v>
      </c>
      <c r="F3947" s="212" t="str">
        <f>IFERROR(__xludf.DUMMYFUNCTION("""COMPUTED_VALUE"""),"ヲタクヤクザの推し部屋事情【分冊版】")</f>
        <v>ヲタクヤクザの推し部屋事情【分冊版】</v>
      </c>
      <c r="G3947" s="214" t="str">
        <f>IFERROR(__xludf.DUMMYFUNCTION("""COMPUTED_VALUE"""),"12話目")</f>
        <v>12話目</v>
      </c>
      <c r="H3947" s="212" t="str">
        <f>IFERROR(__xludf.DUMMYFUNCTION("""COMPUTED_VALUE"""),"美山ウヅキ⊥ache")</f>
        <v>美山ウヅキ⊥ache</v>
      </c>
      <c r="I3947" s="212" t="str">
        <f>IFERROR(__xludf.DUMMYFUNCTION("""COMPUTED_VALUE"""),"TL")</f>
        <v>TL</v>
      </c>
      <c r="J3947" s="212"/>
      <c r="K3947" s="212" t="str">
        <f>IFERROR(__xludf.DUMMYFUNCTION("""COMPUTED_VALUE"""),"ラブチュコラ")</f>
        <v>ラブチュコラ</v>
      </c>
      <c r="L3947" s="212" t="str">
        <f>IFERROR(__xludf.DUMMYFUNCTION("""COMPUTED_VALUE"""),"笠倉出版社")</f>
        <v>笠倉出版社</v>
      </c>
      <c r="M3947" s="215">
        <f>IFERROR(__xludf.DUMMYFUNCTION("""COMPUTED_VALUE"""),45932.0)</f>
        <v>45932</v>
      </c>
      <c r="N3947" s="215">
        <f>IFERROR(__xludf.DUMMYFUNCTION("""COMPUTED_VALUE"""),45966.0)</f>
        <v>45966</v>
      </c>
      <c r="O3947" s="214"/>
      <c r="P3947" s="216" t="str">
        <f>IFERROR(__xludf.DUMMYFUNCTION("""COMPUTED_VALUE"""),"可")</f>
        <v>可</v>
      </c>
      <c r="Q3947" s="217" t="str">
        <f>IFERROR(__xludf.DUMMYFUNCTION("""COMPUTED_VALUE"""),"1-11話 9/1全社配信　12話目から1ヶ月先行")</f>
        <v>1-11話 9/1全社配信　12話目から1ヶ月先行</v>
      </c>
      <c r="R3947" s="212"/>
      <c r="S3947" s="212" t="str">
        <f>IFERROR(__xludf.DUMMYFUNCTION("""COMPUTED_VALUE"""),"20250911_笠倉出版社_ヲタクヤクザの推し部屋事情【分冊版】_12話")</f>
        <v>20250911_笠倉出版社_ヲタクヤクザの推し部屋事情【分冊版】_12話</v>
      </c>
      <c r="T3947" s="212" t="str">
        <f>IFERROR(__xludf.DUMMYFUNCTION("""COMPUTED_VALUE"""),"格納済み")</f>
        <v>格納済み</v>
      </c>
      <c r="U3947" s="9" t="str">
        <f>IFERROR(__xludf.DUMMYFUNCTION("""COMPUTED_VALUE"""),"Ⓒ美山ウヅキ/笠倉出版社")</f>
        <v>Ⓒ美山ウヅキ/笠倉出版社</v>
      </c>
      <c r="V3947" s="8"/>
      <c r="W3947" s="8"/>
      <c r="X3947" s="8"/>
      <c r="Y3947" s="8"/>
      <c r="Z3947" s="7"/>
      <c r="AA3947" s="7"/>
      <c r="AB3947" s="7"/>
    </row>
    <row r="3948" ht="15.75" customHeight="1">
      <c r="A3948" s="211">
        <f>IFERROR(__xludf.DUMMYFUNCTION("""COMPUTED_VALUE"""),6457.0)</f>
        <v>6457</v>
      </c>
      <c r="B3948" s="212" t="str">
        <f>IFERROR(__xludf.DUMMYFUNCTION("""COMPUTED_VALUE"""),"確定")</f>
        <v>確定</v>
      </c>
      <c r="C3948" s="213">
        <f>IFERROR(__xludf.DUMMYFUNCTION("""COMPUTED_VALUE"""),45908.0)</f>
        <v>45908</v>
      </c>
      <c r="D3948" s="213">
        <f>IFERROR(__xludf.DUMMYFUNCTION("""COMPUTED_VALUE"""),45912.0)</f>
        <v>45912</v>
      </c>
      <c r="E3948" s="211" t="str">
        <f>IFERROR(__xludf.DUMMYFUNCTION("""COMPUTED_VALUE"""),"ー")</f>
        <v>ー</v>
      </c>
      <c r="F3948" s="212" t="str">
        <f>IFERROR(__xludf.DUMMYFUNCTION("""COMPUTED_VALUE"""),"こはるちゃんの知明くん～強面彼氏のHなヒミツ～【分冊版】")</f>
        <v>こはるちゃんの知明くん～強面彼氏のHなヒミツ～【分冊版】</v>
      </c>
      <c r="G3948" s="214" t="str">
        <f>IFERROR(__xludf.DUMMYFUNCTION("""COMPUTED_VALUE"""),"5話目")</f>
        <v>5話目</v>
      </c>
      <c r="H3948" s="212" t="str">
        <f>IFERROR(__xludf.DUMMYFUNCTION("""COMPUTED_VALUE"""),"重富結⊥ache")</f>
        <v>重富結⊥ache</v>
      </c>
      <c r="I3948" s="212" t="str">
        <f>IFERROR(__xludf.DUMMYFUNCTION("""COMPUTED_VALUE"""),"TL")</f>
        <v>TL</v>
      </c>
      <c r="J3948" s="212"/>
      <c r="K3948" s="212" t="str">
        <f>IFERROR(__xludf.DUMMYFUNCTION("""COMPUTED_VALUE"""),"ラブチュコラ")</f>
        <v>ラブチュコラ</v>
      </c>
      <c r="L3948" s="212" t="str">
        <f>IFERROR(__xludf.DUMMYFUNCTION("""COMPUTED_VALUE"""),"笠倉出版社")</f>
        <v>笠倉出版社</v>
      </c>
      <c r="M3948" s="215">
        <f>IFERROR(__xludf.DUMMYFUNCTION("""COMPUTED_VALUE"""),45932.0)</f>
        <v>45932</v>
      </c>
      <c r="N3948" s="215">
        <f>IFERROR(__xludf.DUMMYFUNCTION("""COMPUTED_VALUE"""),45966.0)</f>
        <v>45966</v>
      </c>
      <c r="O3948" s="214"/>
      <c r="P3948" s="216" t="str">
        <f>IFERROR(__xludf.DUMMYFUNCTION("""COMPUTED_VALUE"""),"可")</f>
        <v>可</v>
      </c>
      <c r="Q3948" s="217" t="str">
        <f>IFERROR(__xludf.DUMMYFUNCTION("""COMPUTED_VALUE"""),"1-4話 9/1全社配信　5話目から1ヶ月先行")</f>
        <v>1-4話 9/1全社配信　5話目から1ヶ月先行</v>
      </c>
      <c r="R3948" s="212"/>
      <c r="S3948" s="212" t="str">
        <f>IFERROR(__xludf.DUMMYFUNCTION("""COMPUTED_VALUE"""),"20250911_笠倉出版社_こはるちゃんの知明くん～強面彼氏のHなヒミツ～【分冊版】_5話")</f>
        <v>20250911_笠倉出版社_こはるちゃんの知明くん～強面彼氏のHなヒミツ～【分冊版】_5話</v>
      </c>
      <c r="T3948" s="212" t="str">
        <f>IFERROR(__xludf.DUMMYFUNCTION("""COMPUTED_VALUE"""),"格納済み")</f>
        <v>格納済み</v>
      </c>
      <c r="U3948" s="9" t="str">
        <f>IFERROR(__xludf.DUMMYFUNCTION("""COMPUTED_VALUE"""),"Ⓒ重富結/笠倉出版社")</f>
        <v>Ⓒ重富結/笠倉出版社</v>
      </c>
      <c r="V3948" s="8"/>
      <c r="W3948" s="8"/>
      <c r="X3948" s="8"/>
      <c r="Y3948" s="8"/>
      <c r="Z3948" s="7"/>
      <c r="AA3948" s="7"/>
      <c r="AB3948" s="7"/>
    </row>
    <row r="3949" ht="15.75" customHeight="1">
      <c r="A3949" s="26">
        <f>IFERROR(__xludf.DUMMYFUNCTION("""COMPUTED_VALUE"""),6465.0)</f>
        <v>6465</v>
      </c>
      <c r="B3949" s="22" t="str">
        <f>IFERROR(__xludf.DUMMYFUNCTION("""COMPUTED_VALUE"""),"確定")</f>
        <v>確定</v>
      </c>
      <c r="C3949" s="28">
        <f>IFERROR(__xludf.DUMMYFUNCTION("""COMPUTED_VALUE"""),45910.0)</f>
        <v>45910</v>
      </c>
      <c r="D3949" s="28">
        <f>IFERROR(__xludf.DUMMYFUNCTION("""COMPUTED_VALUE"""),45916.0)</f>
        <v>45916</v>
      </c>
      <c r="E3949" s="26">
        <f>IFERROR(__xludf.DUMMYFUNCTION("""COMPUTED_VALUE"""),335087.0)</f>
        <v>335087</v>
      </c>
      <c r="F3949" s="22" t="str">
        <f>IFERROR(__xludf.DUMMYFUNCTION("""COMPUTED_VALUE"""),"何卒ご自愛ください。")</f>
        <v>何卒ご自愛ください。</v>
      </c>
      <c r="G3949" s="20" t="str">
        <f>IFERROR(__xludf.DUMMYFUNCTION("""COMPUTED_VALUE"""),"1～2")</f>
        <v>1～2</v>
      </c>
      <c r="H3949" s="22" t="str">
        <f>IFERROR(__xludf.DUMMYFUNCTION("""COMPUTED_VALUE"""),"大井ハスマ")</f>
        <v>大井ハスマ</v>
      </c>
      <c r="I3949" s="22" t="str">
        <f>IFERROR(__xludf.DUMMYFUNCTION("""COMPUTED_VALUE"""),"BL")</f>
        <v>BL</v>
      </c>
      <c r="J3949" s="22"/>
      <c r="K3949" s="22"/>
      <c r="L3949" s="22" t="str">
        <f>IFERROR(__xludf.DUMMYFUNCTION("""COMPUTED_VALUE"""),"ふゅーじょんぷろだくと")</f>
        <v>ふゅーじょんぷろだくと</v>
      </c>
      <c r="M3949" s="33">
        <f>IFERROR(__xludf.DUMMYFUNCTION("""COMPUTED_VALUE"""),45930.0)</f>
        <v>45930</v>
      </c>
      <c r="N3949" s="33">
        <f>IFERROR(__xludf.DUMMYFUNCTION("""COMPUTED_VALUE"""),45988.0)</f>
        <v>45988</v>
      </c>
      <c r="O3949" s="20"/>
      <c r="P3949" s="32" t="str">
        <f>IFERROR(__xludf.DUMMYFUNCTION("""COMPUTED_VALUE"""),"可")</f>
        <v>可</v>
      </c>
      <c r="Q3949" s="30" t="str">
        <f>IFERROR(__xludf.DUMMYFUNCTION("""COMPUTED_VALUE"""),"【アダルト作品扱い】")</f>
        <v>【アダルト作品扱い】</v>
      </c>
      <c r="R3949" s="22"/>
      <c r="S3949" s="22" t="str">
        <f>IFERROR(__xludf.DUMMYFUNCTION("""COMPUTED_VALUE"""),"20250910_ふゅーじょんぷろだくと_何卒ご自愛ください。")</f>
        <v>20250910_ふゅーじょんぷろだくと_何卒ご自愛ください。</v>
      </c>
      <c r="T3949" s="22" t="str">
        <f>IFERROR(__xludf.DUMMYFUNCTION("""COMPUTED_VALUE"""),"格納済み")</f>
        <v>格納済み</v>
      </c>
      <c r="U3949" s="9" t="str">
        <f>IFERROR(__xludf.DUMMYFUNCTION("""COMPUTED_VALUE"""),"(c)大井ハスマ／FUSION PRODUCT")</f>
        <v>(c)大井ハスマ／FUSION PRODUCT</v>
      </c>
      <c r="V3949" s="8"/>
      <c r="W3949" s="8"/>
      <c r="X3949" s="8" t="str">
        <f>IFERROR(__xludf.DUMMYFUNCTION("""COMPUTED_VALUE"""),"有")</f>
        <v>有</v>
      </c>
      <c r="Y3949" s="8" t="str">
        <f>IFERROR(__xludf.DUMMYFUNCTION("""COMPUTED_VALUE"""),"2025/10/13まで1巻無料")</f>
        <v>2025/10/13まで1巻無料</v>
      </c>
      <c r="Z3949" s="7"/>
      <c r="AA3949" s="7"/>
      <c r="AB3949" s="7"/>
    </row>
    <row r="3950" ht="15.75" customHeight="1">
      <c r="A3950" s="26">
        <f>IFERROR(__xludf.DUMMYFUNCTION("""COMPUTED_VALUE"""),6467.0)</f>
        <v>6467</v>
      </c>
      <c r="B3950" s="22" t="str">
        <f>IFERROR(__xludf.DUMMYFUNCTION("""COMPUTED_VALUE"""),"確定")</f>
        <v>確定</v>
      </c>
      <c r="C3950" s="28">
        <f>IFERROR(__xludf.DUMMYFUNCTION("""COMPUTED_VALUE"""),45910.0)</f>
        <v>45910</v>
      </c>
      <c r="D3950" s="28">
        <f>IFERROR(__xludf.DUMMYFUNCTION("""COMPUTED_VALUE"""),45917.0)</f>
        <v>45917</v>
      </c>
      <c r="E3950" s="26">
        <f>IFERROR(__xludf.DUMMYFUNCTION("""COMPUTED_VALUE"""),337730.0)</f>
        <v>337730</v>
      </c>
      <c r="F3950" s="22" t="str">
        <f>IFERROR(__xludf.DUMMYFUNCTION("""COMPUTED_VALUE"""),"片想いティンクルスター")</f>
        <v>片想いティンクルスター</v>
      </c>
      <c r="G3950" s="20" t="str">
        <f>IFERROR(__xludf.DUMMYFUNCTION("""COMPUTED_VALUE"""),"1～3")</f>
        <v>1～3</v>
      </c>
      <c r="H3950" s="22" t="str">
        <f>IFERROR(__xludf.DUMMYFUNCTION("""COMPUTED_VALUE"""),"花月はな")</f>
        <v>花月はな</v>
      </c>
      <c r="I3950" s="22" t="str">
        <f>IFERROR(__xludf.DUMMYFUNCTION("""COMPUTED_VALUE"""),"BL")</f>
        <v>BL</v>
      </c>
      <c r="J3950" s="22"/>
      <c r="K3950" s="22" t="str">
        <f>IFERROR(__xludf.DUMMYFUNCTION("""COMPUTED_VALUE"""),"Tulle")</f>
        <v>Tulle</v>
      </c>
      <c r="L3950" s="22" t="str">
        <f>IFERROR(__xludf.DUMMYFUNCTION("""COMPUTED_VALUE"""),"ブライト出版")</f>
        <v>ブライト出版</v>
      </c>
      <c r="M3950" s="33">
        <f>IFERROR(__xludf.DUMMYFUNCTION("""COMPUTED_VALUE"""),45941.0)</f>
        <v>45941</v>
      </c>
      <c r="N3950" s="33">
        <f>IFERROR(__xludf.DUMMYFUNCTION("""COMPUTED_VALUE"""),46052.0)</f>
        <v>46052</v>
      </c>
      <c r="O3950" s="20"/>
      <c r="P3950" s="32" t="str">
        <f>IFERROR(__xludf.DUMMYFUNCTION("""COMPUTED_VALUE"""),"可")</f>
        <v>可</v>
      </c>
      <c r="Q3950" s="30" t="str">
        <f>IFERROR(__xludf.DUMMYFUNCTION("""COMPUTED_VALUE"""),"【アダルト作品扱い】")</f>
        <v>【アダルト作品扱い】</v>
      </c>
      <c r="R3950" s="22" t="str">
        <f>IFERROR(__xludf.DUMMYFUNCTION("""COMPUTED_VALUE"""),"コミットOK")</f>
        <v>コミットOK</v>
      </c>
      <c r="S3950" s="22" t="str">
        <f>IFERROR(__xludf.DUMMYFUNCTION("""COMPUTED_VALUE"""),"20250917_ブライト出版_片想いティンクルスター")</f>
        <v>20250917_ブライト出版_片想いティンクルスター</v>
      </c>
      <c r="T3950" s="22" t="str">
        <f>IFERROR(__xludf.DUMMYFUNCTION("""COMPUTED_VALUE"""),"格納済み")</f>
        <v>格納済み</v>
      </c>
      <c r="U3950" s="9" t="str">
        <f>IFERROR(__xludf.DUMMYFUNCTION("""COMPUTED_VALUE"""),"(C)花月はな／ブライト出版")</f>
        <v>(C)花月はな／ブライト出版</v>
      </c>
      <c r="V3950" s="8"/>
      <c r="W3950" s="8"/>
      <c r="X3950" s="8" t="str">
        <f>IFERROR(__xludf.DUMMYFUNCTION("""COMPUTED_VALUE"""),"有")</f>
        <v>有</v>
      </c>
      <c r="Y3950" s="8" t="str">
        <f>IFERROR(__xludf.DUMMYFUNCTION("""COMPUTED_VALUE"""),"2025/10/24まで1巻無料")</f>
        <v>2025/10/24まで1巻無料</v>
      </c>
      <c r="Z3950" s="7"/>
      <c r="AA3950" s="7"/>
      <c r="AB3950" s="7"/>
    </row>
    <row r="3951" ht="15.75" customHeight="1">
      <c r="A3951" s="26">
        <f>IFERROR(__xludf.DUMMYFUNCTION("""COMPUTED_VALUE"""),6481.0)</f>
        <v>6481</v>
      </c>
      <c r="B3951" s="22" t="str">
        <f>IFERROR(__xludf.DUMMYFUNCTION("""COMPUTED_VALUE"""),"確定")</f>
        <v>確定</v>
      </c>
      <c r="C3951" s="28">
        <f>IFERROR(__xludf.DUMMYFUNCTION("""COMPUTED_VALUE"""),45912.0)</f>
        <v>45912</v>
      </c>
      <c r="D3951" s="28">
        <f>IFERROR(__xludf.DUMMYFUNCTION("""COMPUTED_VALUE"""),45912.0)</f>
        <v>45912</v>
      </c>
      <c r="E3951" s="26">
        <f>IFERROR(__xludf.DUMMYFUNCTION("""COMPUTED_VALUE"""),338803.0)</f>
        <v>338803</v>
      </c>
      <c r="F3951" s="22" t="str">
        <f>IFERROR(__xludf.DUMMYFUNCTION("""COMPUTED_VALUE"""),"ワンモア・テーブル！～人生やり直しレストラン～")</f>
        <v>ワンモア・テーブル！～人生やり直しレストラン～</v>
      </c>
      <c r="G3951" s="20" t="str">
        <f>IFERROR(__xludf.DUMMYFUNCTION("""COMPUTED_VALUE"""),"1～4")</f>
        <v>1～4</v>
      </c>
      <c r="H3951" s="22" t="str">
        <f>IFERROR(__xludf.DUMMYFUNCTION("""COMPUTED_VALUE"""),"大島幸也,共同テレビジョン")</f>
        <v>大島幸也,共同テレビジョン</v>
      </c>
      <c r="I3951" s="22" t="str">
        <f>IFERROR(__xludf.DUMMYFUNCTION("""COMPUTED_VALUE"""),"青年")</f>
        <v>青年</v>
      </c>
      <c r="J3951" s="22"/>
      <c r="K3951" s="22"/>
      <c r="L3951" s="22" t="str">
        <f>IFERROR(__xludf.DUMMYFUNCTION("""COMPUTED_VALUE"""),"ファンギルド")</f>
        <v>ファンギルド</v>
      </c>
      <c r="M3951" s="33">
        <f>IFERROR(__xludf.DUMMYFUNCTION("""COMPUTED_VALUE"""),45955.0)</f>
        <v>45955</v>
      </c>
      <c r="N3951" s="33">
        <f>IFERROR(__xludf.DUMMYFUNCTION("""COMPUTED_VALUE"""),45982.0)</f>
        <v>45982</v>
      </c>
      <c r="O3951" s="20"/>
      <c r="P3951" s="32" t="str">
        <f>IFERROR(__xludf.DUMMYFUNCTION("""COMPUTED_VALUE"""),"可")</f>
        <v>可</v>
      </c>
      <c r="Q3951" s="30"/>
      <c r="R3951" s="22"/>
      <c r="S3951" s="22" t="str">
        <f>IFERROR(__xludf.DUMMYFUNCTION("""COMPUTED_VALUE"""),"20250912_ファンギルド_ワンモア・テーブル！～人生やり直しレストラン～")</f>
        <v>20250912_ファンギルド_ワンモア・テーブル！～人生やり直しレストラン～</v>
      </c>
      <c r="T3951" s="22" t="str">
        <f>IFERROR(__xludf.DUMMYFUNCTION("""COMPUTED_VALUE"""),"格納済み")</f>
        <v>格納済み</v>
      </c>
      <c r="U3951" s="9" t="str">
        <f>IFERROR(__xludf.DUMMYFUNCTION("""COMPUTED_VALUE"""),"©大島幸也/共同テレビジョン/ファンギルド")</f>
        <v>©大島幸也/共同テレビジョン/ファンギルド</v>
      </c>
      <c r="V3951" s="8"/>
      <c r="W3951" s="8"/>
      <c r="X3951" s="8" t="str">
        <f>IFERROR(__xludf.DUMMYFUNCTION("""COMPUTED_VALUE"""),"有")</f>
        <v>有</v>
      </c>
      <c r="Y3951" s="8" t="str">
        <f>IFERROR(__xludf.DUMMYFUNCTION("""COMPUTED_VALUE"""),"2025/11/21まで1巻無料")</f>
        <v>2025/11/21まで1巻無料</v>
      </c>
      <c r="Z3951" s="7"/>
      <c r="AA3951" s="7"/>
      <c r="AB3951" s="7"/>
    </row>
    <row r="3952" ht="15.75" customHeight="1">
      <c r="A3952" s="26">
        <f>IFERROR(__xludf.DUMMYFUNCTION("""COMPUTED_VALUE"""),6482.0)</f>
        <v>6482</v>
      </c>
      <c r="B3952" s="22" t="str">
        <f>IFERROR(__xludf.DUMMYFUNCTION("""COMPUTED_VALUE"""),"確定")</f>
        <v>確定</v>
      </c>
      <c r="C3952" s="28">
        <f>IFERROR(__xludf.DUMMYFUNCTION("""COMPUTED_VALUE"""),45912.0)</f>
        <v>45912</v>
      </c>
      <c r="D3952" s="28">
        <f>IFERROR(__xludf.DUMMYFUNCTION("""COMPUTED_VALUE"""),45912.0)</f>
        <v>45912</v>
      </c>
      <c r="E3952" s="26">
        <f>IFERROR(__xludf.DUMMYFUNCTION("""COMPUTED_VALUE"""),338802.0)</f>
        <v>338802</v>
      </c>
      <c r="F3952" s="22" t="str">
        <f>IFERROR(__xludf.DUMMYFUNCTION("""COMPUTED_VALUE"""),"叶わぬ初恋が君に届いたら")</f>
        <v>叶わぬ初恋が君に届いたら</v>
      </c>
      <c r="G3952" s="20" t="str">
        <f>IFERROR(__xludf.DUMMYFUNCTION("""COMPUTED_VALUE"""),"1～2")</f>
        <v>1～2</v>
      </c>
      <c r="H3952" s="22" t="str">
        <f>IFERROR(__xludf.DUMMYFUNCTION("""COMPUTED_VALUE"""),"月埜にャろ")</f>
        <v>月埜にャろ</v>
      </c>
      <c r="I3952" s="22" t="str">
        <f>IFERROR(__xludf.DUMMYFUNCTION("""COMPUTED_VALUE"""),"BL")</f>
        <v>BL</v>
      </c>
      <c r="J3952" s="22"/>
      <c r="K3952" s="22"/>
      <c r="L3952" s="22" t="str">
        <f>IFERROR(__xludf.DUMMYFUNCTION("""COMPUTED_VALUE"""),"ファンギルド")</f>
        <v>ファンギルド</v>
      </c>
      <c r="M3952" s="33">
        <f>IFERROR(__xludf.DUMMYFUNCTION("""COMPUTED_VALUE"""),45947.0)</f>
        <v>45947</v>
      </c>
      <c r="N3952" s="33">
        <f>IFERROR(__xludf.DUMMYFUNCTION("""COMPUTED_VALUE"""),45977.0)</f>
        <v>45977</v>
      </c>
      <c r="O3952" s="20"/>
      <c r="P3952" s="32" t="str">
        <f>IFERROR(__xludf.DUMMYFUNCTION("""COMPUTED_VALUE"""),"可")</f>
        <v>可</v>
      </c>
      <c r="Q3952" s="30"/>
      <c r="R3952" s="22"/>
      <c r="S3952" s="22" t="str">
        <f>IFERROR(__xludf.DUMMYFUNCTION("""COMPUTED_VALUE"""),"20250912_ファンギルド_叶わぬ初恋が君に届いたら")</f>
        <v>20250912_ファンギルド_叶わぬ初恋が君に届いたら</v>
      </c>
      <c r="T3952" s="22" t="str">
        <f>IFERROR(__xludf.DUMMYFUNCTION("""COMPUTED_VALUE"""),"格納済み")</f>
        <v>格納済み</v>
      </c>
      <c r="U3952" s="9" t="str">
        <f>IFERROR(__xludf.DUMMYFUNCTION("""COMPUTED_VALUE"""),"Ⓒ月埜にャろ/ファンギルド")</f>
        <v>Ⓒ月埜にャろ/ファンギルド</v>
      </c>
      <c r="V3952" s="8"/>
      <c r="W3952" s="8"/>
      <c r="X3952" s="8" t="str">
        <f>IFERROR(__xludf.DUMMYFUNCTION("""COMPUTED_VALUE"""),"有")</f>
        <v>有</v>
      </c>
      <c r="Y3952" s="8" t="str">
        <f>IFERROR(__xludf.DUMMYFUNCTION("""COMPUTED_VALUE"""),"2025/10/30まで1巻立ち読み増量(P17)")</f>
        <v>2025/10/30まで1巻立ち読み増量(P17)</v>
      </c>
      <c r="Z3952" s="7"/>
      <c r="AA3952" s="7"/>
      <c r="AB3952" s="7"/>
    </row>
    <row r="3953" ht="15.75" customHeight="1">
      <c r="A3953" s="26">
        <f>IFERROR(__xludf.DUMMYFUNCTION("""COMPUTED_VALUE"""),6483.0)</f>
        <v>6483</v>
      </c>
      <c r="B3953" s="22" t="str">
        <f>IFERROR(__xludf.DUMMYFUNCTION("""COMPUTED_VALUE"""),"確定")</f>
        <v>確定</v>
      </c>
      <c r="C3953" s="28">
        <f>IFERROR(__xludf.DUMMYFUNCTION("""COMPUTED_VALUE"""),45912.0)</f>
        <v>45912</v>
      </c>
      <c r="D3953" s="28">
        <f>IFERROR(__xludf.DUMMYFUNCTION("""COMPUTED_VALUE"""),45912.0)</f>
        <v>45912</v>
      </c>
      <c r="E3953" s="26">
        <f>IFERROR(__xludf.DUMMYFUNCTION("""COMPUTED_VALUE"""),338804.0)</f>
        <v>338804</v>
      </c>
      <c r="F3953" s="22" t="str">
        <f>IFERROR(__xludf.DUMMYFUNCTION("""COMPUTED_VALUE"""),"ギルド最弱のFランク冒険者、ユニークスキル「隠しクエスト」で最強に成り上がる")</f>
        <v>ギルド最弱のFランク冒険者、ユニークスキル「隠しクエスト」で最強に成り上がる</v>
      </c>
      <c r="G3953" s="20" t="str">
        <f>IFERROR(__xludf.DUMMYFUNCTION("""COMPUTED_VALUE"""),"1～4")</f>
        <v>1～4</v>
      </c>
      <c r="H3953" s="22" t="str">
        <f>IFERROR(__xludf.DUMMYFUNCTION("""COMPUTED_VALUE"""),"大海みず/艇駆いいじ")</f>
        <v>大海みず/艇駆いいじ</v>
      </c>
      <c r="I3953" s="22" t="str">
        <f>IFERROR(__xludf.DUMMYFUNCTION("""COMPUTED_VALUE"""),"少年")</f>
        <v>少年</v>
      </c>
      <c r="J3953" s="22"/>
      <c r="K3953" s="22"/>
      <c r="L3953" s="22" t="str">
        <f>IFERROR(__xludf.DUMMYFUNCTION("""COMPUTED_VALUE"""),"ファンギルド")</f>
        <v>ファンギルド</v>
      </c>
      <c r="M3953" s="33">
        <f>IFERROR(__xludf.DUMMYFUNCTION("""COMPUTED_VALUE"""),45952.0)</f>
        <v>45952</v>
      </c>
      <c r="N3953" s="33">
        <f>IFERROR(__xludf.DUMMYFUNCTION("""COMPUTED_VALUE"""),45982.0)</f>
        <v>45982</v>
      </c>
      <c r="O3953" s="20"/>
      <c r="P3953" s="32" t="str">
        <f>IFERROR(__xludf.DUMMYFUNCTION("""COMPUTED_VALUE"""),"可")</f>
        <v>可</v>
      </c>
      <c r="Q3953" s="30"/>
      <c r="R3953" s="22"/>
      <c r="S3953" s="22" t="str">
        <f>IFERROR(__xludf.DUMMYFUNCTION("""COMPUTED_VALUE"""),"20250912_ファンギルド_ギルド最弱のFランク冒険者、ユニークスキル「隠しクエスト」で最強に成り上がる")</f>
        <v>20250912_ファンギルド_ギルド最弱のFランク冒険者、ユニークスキル「隠しクエスト」で最強に成り上がる</v>
      </c>
      <c r="T3953" s="22" t="str">
        <f>IFERROR(__xludf.DUMMYFUNCTION("""COMPUTED_VALUE"""),"格納済み")</f>
        <v>格納済み</v>
      </c>
      <c r="U3953" s="9" t="str">
        <f>IFERROR(__xludf.DUMMYFUNCTION("""COMPUTED_VALUE"""),"Ⓒ大海みず/艇駆いいじ/ファンギルド")</f>
        <v>Ⓒ大海みず/艇駆いいじ/ファンギルド</v>
      </c>
      <c r="V3953" s="8"/>
      <c r="W3953" s="8"/>
      <c r="X3953" s="8" t="str">
        <f>IFERROR(__xludf.DUMMYFUNCTION("""COMPUTED_VALUE"""),"有")</f>
        <v>有</v>
      </c>
      <c r="Y3953" s="8" t="str">
        <f>IFERROR(__xludf.DUMMYFUNCTION("""COMPUTED_VALUE"""),"P16まで")</f>
        <v>P16まで</v>
      </c>
      <c r="Z3953" s="7"/>
      <c r="AA3953" s="7"/>
      <c r="AB3953" s="7"/>
    </row>
    <row r="3954" ht="15.75" customHeight="1">
      <c r="A3954" s="26">
        <f>IFERROR(__xludf.DUMMYFUNCTION("""COMPUTED_VALUE"""),6485.0)</f>
        <v>6485</v>
      </c>
      <c r="B3954" s="22" t="str">
        <f>IFERROR(__xludf.DUMMYFUNCTION("""COMPUTED_VALUE"""),"確定")</f>
        <v>確定</v>
      </c>
      <c r="C3954" s="28">
        <f>IFERROR(__xludf.DUMMYFUNCTION("""COMPUTED_VALUE"""),45912.0)</f>
        <v>45912</v>
      </c>
      <c r="D3954" s="28">
        <f>IFERROR(__xludf.DUMMYFUNCTION("""COMPUTED_VALUE"""),45912.0)</f>
        <v>45912</v>
      </c>
      <c r="E3954" s="26">
        <f>IFERROR(__xludf.DUMMYFUNCTION("""COMPUTED_VALUE"""),338327.0)</f>
        <v>338327</v>
      </c>
      <c r="F3954" s="22" t="str">
        <f>IFERROR(__xludf.DUMMYFUNCTION("""COMPUTED_VALUE"""),"目立たず、忍ぶ、影の一族の侯爵令嬢ですが、王太子殿下からの強制求婚に悩まされています！")</f>
        <v>目立たず、忍ぶ、影の一族の侯爵令嬢ですが、王太子殿下からの強制求婚に悩まされています！</v>
      </c>
      <c r="G3954" s="20" t="str">
        <f>IFERROR(__xludf.DUMMYFUNCTION("""COMPUTED_VALUE"""),"1～2")</f>
        <v>1～2</v>
      </c>
      <c r="H3954" s="22" t="str">
        <f>IFERROR(__xludf.DUMMYFUNCTION("""COMPUTED_VALUE"""),"米田マリコ／かしきな／COMIC ROOM")</f>
        <v>米田マリコ／かしきな／COMIC ROOM</v>
      </c>
      <c r="I3954" s="22" t="str">
        <f>IFERROR(__xludf.DUMMYFUNCTION("""COMPUTED_VALUE"""),"女性")</f>
        <v>女性</v>
      </c>
      <c r="J3954" s="22"/>
      <c r="K3954" s="22"/>
      <c r="L3954" s="22" t="str">
        <f>IFERROR(__xludf.DUMMYFUNCTION("""COMPUTED_VALUE"""),"コミックルーム")</f>
        <v>コミックルーム</v>
      </c>
      <c r="M3954" s="33">
        <f>IFERROR(__xludf.DUMMYFUNCTION("""COMPUTED_VALUE"""),45945.0)</f>
        <v>45945</v>
      </c>
      <c r="N3954" s="33">
        <f>IFERROR(__xludf.DUMMYFUNCTION("""COMPUTED_VALUE"""),46036.0)</f>
        <v>46036</v>
      </c>
      <c r="O3954" s="20"/>
      <c r="P3954" s="32" t="str">
        <f>IFERROR(__xludf.DUMMYFUNCTION("""COMPUTED_VALUE"""),"可")</f>
        <v>可</v>
      </c>
      <c r="Q3954" s="30"/>
      <c r="R3954" s="22"/>
      <c r="S3954" s="22" t="str">
        <f>IFERROR(__xludf.DUMMYFUNCTION("""COMPUTED_VALUE"""),"20250912_コミックルーム_目立たず、忍ぶ、影の一族の侯爵令嬢ですが、王太子殿下からの強制求婚に悩まされています！（略称：影の一族令嬢）")</f>
        <v>20250912_コミックルーム_目立たず、忍ぶ、影の一族の侯爵令嬢ですが、王太子殿下からの強制求婚に悩まされています！（略称：影の一族令嬢）</v>
      </c>
      <c r="T3954" s="22" t="str">
        <f>IFERROR(__xludf.DUMMYFUNCTION("""COMPUTED_VALUE"""),"格納済み")</f>
        <v>格納済み</v>
      </c>
      <c r="U3954" s="9" t="str">
        <f>IFERROR(__xludf.DUMMYFUNCTION("""COMPUTED_VALUE"""),"(c)米田マリコ／かしきな／COMIC ROOM")</f>
        <v>(c)米田マリコ／かしきな／COMIC ROOM</v>
      </c>
      <c r="V3954" s="8"/>
      <c r="W3954" s="8"/>
      <c r="X3954" s="8" t="str">
        <f>IFERROR(__xludf.DUMMYFUNCTION("""COMPUTED_VALUE"""),"有")</f>
        <v>有</v>
      </c>
      <c r="Y3954" s="8" t="str">
        <f>IFERROR(__xludf.DUMMYFUNCTION("""COMPUTED_VALUE"""),"P10まで")</f>
        <v>P10まで</v>
      </c>
      <c r="Z3954" s="7"/>
      <c r="AA3954" s="7"/>
      <c r="AB3954" s="7"/>
    </row>
    <row r="3955" ht="15.75" customHeight="1">
      <c r="A3955" s="26">
        <f>IFERROR(__xludf.DUMMYFUNCTION("""COMPUTED_VALUE"""),6486.0)</f>
        <v>6486</v>
      </c>
      <c r="B3955" s="22" t="str">
        <f>IFERROR(__xludf.DUMMYFUNCTION("""COMPUTED_VALUE"""),"確定")</f>
        <v>確定</v>
      </c>
      <c r="C3955" s="28">
        <f>IFERROR(__xludf.DUMMYFUNCTION("""COMPUTED_VALUE"""),45912.0)</f>
        <v>45912</v>
      </c>
      <c r="D3955" s="28">
        <f>IFERROR(__xludf.DUMMYFUNCTION("""COMPUTED_VALUE"""),45912.0)</f>
        <v>45912</v>
      </c>
      <c r="E3955" s="26">
        <f>IFERROR(__xludf.DUMMYFUNCTION("""COMPUTED_VALUE"""),338336.0)</f>
        <v>338336</v>
      </c>
      <c r="F3955" s="22" t="str">
        <f>IFERROR(__xludf.DUMMYFUNCTION("""COMPUTED_VALUE"""),"王子様令嬢は、貴方の愛を身に纏う")</f>
        <v>王子様令嬢は、貴方の愛を身に纏う</v>
      </c>
      <c r="G3955" s="20" t="str">
        <f>IFERROR(__xludf.DUMMYFUNCTION("""COMPUTED_VALUE"""),"1～2")</f>
        <v>1～2</v>
      </c>
      <c r="H3955" s="22" t="str">
        <f>IFERROR(__xludf.DUMMYFUNCTION("""COMPUTED_VALUE"""),"鴨鍋ねこ／COMIC ROOM")</f>
        <v>鴨鍋ねこ／COMIC ROOM</v>
      </c>
      <c r="I3955" s="22" t="str">
        <f>IFERROR(__xludf.DUMMYFUNCTION("""COMPUTED_VALUE"""),"女性")</f>
        <v>女性</v>
      </c>
      <c r="J3955" s="22"/>
      <c r="K3955" s="22"/>
      <c r="L3955" s="22" t="str">
        <f>IFERROR(__xludf.DUMMYFUNCTION("""COMPUTED_VALUE"""),"コミックルーム")</f>
        <v>コミックルーム</v>
      </c>
      <c r="M3955" s="33">
        <f>IFERROR(__xludf.DUMMYFUNCTION("""COMPUTED_VALUE"""),45945.0)</f>
        <v>45945</v>
      </c>
      <c r="N3955" s="33">
        <f>IFERROR(__xludf.DUMMYFUNCTION("""COMPUTED_VALUE"""),46036.0)</f>
        <v>46036</v>
      </c>
      <c r="O3955" s="20"/>
      <c r="P3955" s="32" t="str">
        <f>IFERROR(__xludf.DUMMYFUNCTION("""COMPUTED_VALUE"""),"可")</f>
        <v>可</v>
      </c>
      <c r="Q3955" s="30"/>
      <c r="R3955" s="22"/>
      <c r="S3955" s="22" t="str">
        <f>IFERROR(__xludf.DUMMYFUNCTION("""COMPUTED_VALUE"""),"20250912_コミックルーム_王子様令嬢は、貴方の愛を身に纏う（略称：長身令嬢）")</f>
        <v>20250912_コミックルーム_王子様令嬢は、貴方の愛を身に纏う（略称：長身令嬢）</v>
      </c>
      <c r="T3955" s="22" t="str">
        <f>IFERROR(__xludf.DUMMYFUNCTION("""COMPUTED_VALUE"""),"格納済み")</f>
        <v>格納済み</v>
      </c>
      <c r="U3955" s="9" t="str">
        <f>IFERROR(__xludf.DUMMYFUNCTION("""COMPUTED_VALUE"""),"(c)鴨鍋ねこ／COMIC ROOM")</f>
        <v>(c)鴨鍋ねこ／COMIC ROOM</v>
      </c>
      <c r="V3955" s="8"/>
      <c r="W3955" s="8"/>
      <c r="X3955" s="8" t="str">
        <f>IFERROR(__xludf.DUMMYFUNCTION("""COMPUTED_VALUE"""),"有")</f>
        <v>有</v>
      </c>
      <c r="Y3955" s="8" t="str">
        <f>IFERROR(__xludf.DUMMYFUNCTION("""COMPUTED_VALUE"""),"P14まで")</f>
        <v>P14まで</v>
      </c>
      <c r="Z3955" s="7"/>
      <c r="AA3955" s="7"/>
      <c r="AB3955" s="7"/>
    </row>
    <row r="3956" ht="15.75" customHeight="1">
      <c r="A3956" s="26">
        <f>IFERROR(__xludf.DUMMYFUNCTION("""COMPUTED_VALUE"""),6487.0)</f>
        <v>6487</v>
      </c>
      <c r="B3956" s="22" t="str">
        <f>IFERROR(__xludf.DUMMYFUNCTION("""COMPUTED_VALUE"""),"確定")</f>
        <v>確定</v>
      </c>
      <c r="C3956" s="28">
        <f>IFERROR(__xludf.DUMMYFUNCTION("""COMPUTED_VALUE"""),45912.0)</f>
        <v>45912</v>
      </c>
      <c r="D3956" s="28">
        <f>IFERROR(__xludf.DUMMYFUNCTION("""COMPUTED_VALUE"""),45912.0)</f>
        <v>45912</v>
      </c>
      <c r="E3956" s="26">
        <f>IFERROR(__xludf.DUMMYFUNCTION("""COMPUTED_VALUE"""),338328.0)</f>
        <v>338328</v>
      </c>
      <c r="F3956" s="22" t="str">
        <f>IFERROR(__xludf.DUMMYFUNCTION("""COMPUTED_VALUE"""),"最強皇女は愛玩男子を手放さない")</f>
        <v>最強皇女は愛玩男子を手放さない</v>
      </c>
      <c r="G3956" s="20" t="str">
        <f>IFERROR(__xludf.DUMMYFUNCTION("""COMPUTED_VALUE"""),"1～2")</f>
        <v>1～2</v>
      </c>
      <c r="H3956" s="22" t="str">
        <f>IFERROR(__xludf.DUMMYFUNCTION("""COMPUTED_VALUE"""),"伊南十八／COMIC ROOM")</f>
        <v>伊南十八／COMIC ROOM</v>
      </c>
      <c r="I3956" s="22" t="str">
        <f>IFERROR(__xludf.DUMMYFUNCTION("""COMPUTED_VALUE"""),"女性")</f>
        <v>女性</v>
      </c>
      <c r="J3956" s="22"/>
      <c r="K3956" s="22"/>
      <c r="L3956" s="22" t="str">
        <f>IFERROR(__xludf.DUMMYFUNCTION("""COMPUTED_VALUE"""),"コミックルーム")</f>
        <v>コミックルーム</v>
      </c>
      <c r="M3956" s="33">
        <f>IFERROR(__xludf.DUMMYFUNCTION("""COMPUTED_VALUE"""),45945.0)</f>
        <v>45945</v>
      </c>
      <c r="N3956" s="33">
        <f>IFERROR(__xludf.DUMMYFUNCTION("""COMPUTED_VALUE"""),46036.0)</f>
        <v>46036</v>
      </c>
      <c r="O3956" s="20"/>
      <c r="P3956" s="32" t="str">
        <f>IFERROR(__xludf.DUMMYFUNCTION("""COMPUTED_VALUE"""),"可")</f>
        <v>可</v>
      </c>
      <c r="Q3956" s="30"/>
      <c r="R3956" s="22"/>
      <c r="S3956" s="22" t="str">
        <f>IFERROR(__xludf.DUMMYFUNCTION("""COMPUTED_VALUE"""),"20250912_コミックルーム_最強皇女は愛玩男子を手放さない（略称：強い皇女）")</f>
        <v>20250912_コミックルーム_最強皇女は愛玩男子を手放さない（略称：強い皇女）</v>
      </c>
      <c r="T3956" s="22" t="str">
        <f>IFERROR(__xludf.DUMMYFUNCTION("""COMPUTED_VALUE"""),"格納済み")</f>
        <v>格納済み</v>
      </c>
      <c r="U3956" s="9" t="str">
        <f>IFERROR(__xludf.DUMMYFUNCTION("""COMPUTED_VALUE"""),"(c)伊南十八／COMIC ROOM")</f>
        <v>(c)伊南十八／COMIC ROOM</v>
      </c>
      <c r="V3956" s="8"/>
      <c r="W3956" s="8"/>
      <c r="X3956" s="8" t="str">
        <f>IFERROR(__xludf.DUMMYFUNCTION("""COMPUTED_VALUE"""),"有")</f>
        <v>有</v>
      </c>
      <c r="Y3956" s="8" t="str">
        <f>IFERROR(__xludf.DUMMYFUNCTION("""COMPUTED_VALUE"""),"P17まで")</f>
        <v>P17まで</v>
      </c>
      <c r="Z3956" s="7"/>
      <c r="AA3956" s="7"/>
      <c r="AB3956" s="7"/>
    </row>
    <row r="3957" ht="15.75" customHeight="1">
      <c r="A3957" s="26">
        <f>IFERROR(__xludf.DUMMYFUNCTION("""COMPUTED_VALUE"""),6488.0)</f>
        <v>6488</v>
      </c>
      <c r="B3957" s="22" t="str">
        <f>IFERROR(__xludf.DUMMYFUNCTION("""COMPUTED_VALUE"""),"確定")</f>
        <v>確定</v>
      </c>
      <c r="C3957" s="28">
        <f>IFERROR(__xludf.DUMMYFUNCTION("""COMPUTED_VALUE"""),45912.0)</f>
        <v>45912</v>
      </c>
      <c r="D3957" s="28">
        <f>IFERROR(__xludf.DUMMYFUNCTION("""COMPUTED_VALUE"""),45916.0)</f>
        <v>45916</v>
      </c>
      <c r="E3957" s="26">
        <f>IFERROR(__xludf.DUMMYFUNCTION("""COMPUTED_VALUE"""),339550.0)</f>
        <v>339550</v>
      </c>
      <c r="F3957" s="22" t="str">
        <f>IFERROR(__xludf.DUMMYFUNCTION("""COMPUTED_VALUE"""),"私の秘密を知る王子様が、私だけは絶対に離してくれません！")</f>
        <v>私の秘密を知る王子様が、私だけは絶対に離してくれません！</v>
      </c>
      <c r="G3957" s="20" t="str">
        <f>IFERROR(__xludf.DUMMYFUNCTION("""COMPUTED_VALUE"""),"1～2")</f>
        <v>1～2</v>
      </c>
      <c r="H3957" s="22" t="str">
        <f>IFERROR(__xludf.DUMMYFUNCTION("""COMPUTED_VALUE"""),"星空コスモ／COMIC ROOM")</f>
        <v>星空コスモ／COMIC ROOM</v>
      </c>
      <c r="I3957" s="22" t="str">
        <f>IFERROR(__xludf.DUMMYFUNCTION("""COMPUTED_VALUE"""),"女性")</f>
        <v>女性</v>
      </c>
      <c r="J3957" s="22"/>
      <c r="K3957" s="22"/>
      <c r="L3957" s="22" t="str">
        <f>IFERROR(__xludf.DUMMYFUNCTION("""COMPUTED_VALUE"""),"コミックルーム")</f>
        <v>コミックルーム</v>
      </c>
      <c r="M3957" s="33">
        <f>IFERROR(__xludf.DUMMYFUNCTION("""COMPUTED_VALUE"""),45945.0)</f>
        <v>45945</v>
      </c>
      <c r="N3957" s="33">
        <f>IFERROR(__xludf.DUMMYFUNCTION("""COMPUTED_VALUE"""),46036.0)</f>
        <v>46036</v>
      </c>
      <c r="O3957" s="20"/>
      <c r="P3957" s="32" t="str">
        <f>IFERROR(__xludf.DUMMYFUNCTION("""COMPUTED_VALUE"""),"可")</f>
        <v>可</v>
      </c>
      <c r="Q3957" s="30"/>
      <c r="R3957" s="22"/>
      <c r="S3957" s="22" t="str">
        <f>IFERROR(__xludf.DUMMYFUNCTION("""COMPUTED_VALUE"""),"20250912_コミックルーム_私の秘密を知る王子様が、私だけは絶対に離してくれません！（略称：未来予知）")</f>
        <v>20250912_コミックルーム_私の秘密を知る王子様が、私だけは絶対に離してくれません！（略称：未来予知）</v>
      </c>
      <c r="T3957" s="22" t="str">
        <f>IFERROR(__xludf.DUMMYFUNCTION("""COMPUTED_VALUE"""),"格納済み")</f>
        <v>格納済み</v>
      </c>
      <c r="U3957" s="9" t="str">
        <f>IFERROR(__xludf.DUMMYFUNCTION("""COMPUTED_VALUE"""),"(c)星空コスモ／COMIC ROOM")</f>
        <v>(c)星空コスモ／COMIC ROOM</v>
      </c>
      <c r="V3957" s="8"/>
      <c r="W3957" s="8"/>
      <c r="X3957" s="8" t="str">
        <f>IFERROR(__xludf.DUMMYFUNCTION("""COMPUTED_VALUE"""),"有")</f>
        <v>有</v>
      </c>
      <c r="Y3957" s="8" t="str">
        <f>IFERROR(__xludf.DUMMYFUNCTION("""COMPUTED_VALUE"""),"P11まで")</f>
        <v>P11まで</v>
      </c>
      <c r="Z3957" s="7"/>
      <c r="AA3957" s="7"/>
      <c r="AB3957" s="7"/>
    </row>
    <row r="3958" ht="15.75" customHeight="1">
      <c r="A3958" s="26">
        <f>IFERROR(__xludf.DUMMYFUNCTION("""COMPUTED_VALUE"""),6489.0)</f>
        <v>6489</v>
      </c>
      <c r="B3958" s="22" t="str">
        <f>IFERROR(__xludf.DUMMYFUNCTION("""COMPUTED_VALUE"""),"確定")</f>
        <v>確定</v>
      </c>
      <c r="C3958" s="28">
        <f>IFERROR(__xludf.DUMMYFUNCTION("""COMPUTED_VALUE"""),45912.0)</f>
        <v>45912</v>
      </c>
      <c r="D3958" s="28">
        <f>IFERROR(__xludf.DUMMYFUNCTION("""COMPUTED_VALUE"""),45916.0)</f>
        <v>45916</v>
      </c>
      <c r="E3958" s="26">
        <f>IFERROR(__xludf.DUMMYFUNCTION("""COMPUTED_VALUE"""),339549.0)</f>
        <v>339549</v>
      </c>
      <c r="F3958" s="22" t="str">
        <f>IFERROR(__xludf.DUMMYFUNCTION("""COMPUTED_VALUE"""),"優しすぎる領主様、ご安心なさって。婚約者の私が、この商才であなたを必ずお守りします！")</f>
        <v>優しすぎる領主様、ご安心なさって。婚約者の私が、この商才であなたを必ずお守りします！</v>
      </c>
      <c r="G3958" s="20" t="str">
        <f>IFERROR(__xludf.DUMMYFUNCTION("""COMPUTED_VALUE"""),"1～2")</f>
        <v>1～2</v>
      </c>
      <c r="H3958" s="22" t="str">
        <f>IFERROR(__xludf.DUMMYFUNCTION("""COMPUTED_VALUE"""),"モコローヌ／COMIC ROOM")</f>
        <v>モコローヌ／COMIC ROOM</v>
      </c>
      <c r="I3958" s="22" t="str">
        <f>IFERROR(__xludf.DUMMYFUNCTION("""COMPUTED_VALUE"""),"女性")</f>
        <v>女性</v>
      </c>
      <c r="J3958" s="22"/>
      <c r="K3958" s="22"/>
      <c r="L3958" s="22" t="str">
        <f>IFERROR(__xludf.DUMMYFUNCTION("""COMPUTED_VALUE"""),"コミックルーム")</f>
        <v>コミックルーム</v>
      </c>
      <c r="M3958" s="33">
        <f>IFERROR(__xludf.DUMMYFUNCTION("""COMPUTED_VALUE"""),45945.0)</f>
        <v>45945</v>
      </c>
      <c r="N3958" s="33">
        <f>IFERROR(__xludf.DUMMYFUNCTION("""COMPUTED_VALUE"""),46036.0)</f>
        <v>46036</v>
      </c>
      <c r="O3958" s="20"/>
      <c r="P3958" s="32" t="str">
        <f>IFERROR(__xludf.DUMMYFUNCTION("""COMPUTED_VALUE"""),"可")</f>
        <v>可</v>
      </c>
      <c r="Q3958" s="30"/>
      <c r="R3958" s="22"/>
      <c r="S3958" s="22" t="str">
        <f>IFERROR(__xludf.DUMMYFUNCTION("""COMPUTED_VALUE"""),"20250912_コミックルーム_優しすぎる領主様、ご安心なさって。婚約者の私が、この商才であなたを必ずお守りします！（略称：見捨てられた令嬢）")</f>
        <v>20250912_コミックルーム_優しすぎる領主様、ご安心なさって。婚約者の私が、この商才であなたを必ずお守りします！（略称：見捨てられた令嬢）</v>
      </c>
      <c r="T3958" s="22" t="str">
        <f>IFERROR(__xludf.DUMMYFUNCTION("""COMPUTED_VALUE"""),"格納済み")</f>
        <v>格納済み</v>
      </c>
      <c r="U3958" s="9" t="str">
        <f>IFERROR(__xludf.DUMMYFUNCTION("""COMPUTED_VALUE"""),"(c)モコローヌ／COMIC ROOM")</f>
        <v>(c)モコローヌ／COMIC ROOM</v>
      </c>
      <c r="V3958" s="8"/>
      <c r="W3958" s="8"/>
      <c r="X3958" s="8" t="str">
        <f>IFERROR(__xludf.DUMMYFUNCTION("""COMPUTED_VALUE"""),"有")</f>
        <v>有</v>
      </c>
      <c r="Y3958" s="8" t="str">
        <f>IFERROR(__xludf.DUMMYFUNCTION("""COMPUTED_VALUE"""),"P13まで")</f>
        <v>P13まで</v>
      </c>
      <c r="Z3958" s="7"/>
      <c r="AA3958" s="7"/>
      <c r="AB3958" s="7"/>
    </row>
    <row r="3959" ht="15.75" customHeight="1">
      <c r="A3959" s="26">
        <f>IFERROR(__xludf.DUMMYFUNCTION("""COMPUTED_VALUE"""),6498.0)</f>
        <v>6498</v>
      </c>
      <c r="B3959" s="22" t="str">
        <f>IFERROR(__xludf.DUMMYFUNCTION("""COMPUTED_VALUE"""),"確定")</f>
        <v>確定</v>
      </c>
      <c r="C3959" s="28">
        <f>IFERROR(__xludf.DUMMYFUNCTION("""COMPUTED_VALUE"""),45916.0)</f>
        <v>45916</v>
      </c>
      <c r="D3959" s="28">
        <f>IFERROR(__xludf.DUMMYFUNCTION("""COMPUTED_VALUE"""),45917.0)</f>
        <v>45917</v>
      </c>
      <c r="E3959" s="26">
        <f>IFERROR(__xludf.DUMMYFUNCTION("""COMPUTED_VALUE"""),338532.0)</f>
        <v>338532</v>
      </c>
      <c r="F3959" s="22" t="str">
        <f>IFERROR(__xludf.DUMMYFUNCTION("""COMPUTED_VALUE"""),"奇跡の花は艶夢と共に消えてゆく～元グラドルの恋人が大物芸術家に寝取られたワケ～")</f>
        <v>奇跡の花は艶夢と共に消えてゆく～元グラドルの恋人が大物芸術家に寝取られたワケ～</v>
      </c>
      <c r="G3959" s="20" t="str">
        <f>IFERROR(__xludf.DUMMYFUNCTION("""COMPUTED_VALUE"""),"1～3")</f>
        <v>1～3</v>
      </c>
      <c r="H3959" s="22" t="str">
        <f>IFERROR(__xludf.DUMMYFUNCTION("""COMPUTED_VALUE"""),"ババンギダ柳田")</f>
        <v>ババンギダ柳田</v>
      </c>
      <c r="I3959" s="22" t="str">
        <f>IFERROR(__xludf.DUMMYFUNCTION("""COMPUTED_VALUE"""),"アダルトマンガ")</f>
        <v>アダルトマンガ</v>
      </c>
      <c r="J3959" s="22"/>
      <c r="K3959" s="22"/>
      <c r="L3959" s="22" t="str">
        <f>IFERROR(__xludf.DUMMYFUNCTION("""COMPUTED_VALUE"""),"セ・キララ文庫")</f>
        <v>セ・キララ文庫</v>
      </c>
      <c r="M3959" s="33">
        <f>IFERROR(__xludf.DUMMYFUNCTION("""COMPUTED_VALUE"""),45947.0)</f>
        <v>45947</v>
      </c>
      <c r="N3959" s="33">
        <f>IFERROR(__xludf.DUMMYFUNCTION("""COMPUTED_VALUE"""),45985.0)</f>
        <v>45985</v>
      </c>
      <c r="O3959" s="20"/>
      <c r="P3959" s="32" t="str">
        <f>IFERROR(__xludf.DUMMYFUNCTION("""COMPUTED_VALUE"""),"可")</f>
        <v>可</v>
      </c>
      <c r="Q3959" s="30"/>
      <c r="R3959" s="22"/>
      <c r="S3959" s="22" t="str">
        <f>IFERROR(__xludf.DUMMYFUNCTION("""COMPUTED_VALUE"""),"20250916_ライドオン_奇跡の花は艶夢と共に消えてゆく～元グラドルの恋人が大物芸術家に寝取られたワケ～")</f>
        <v>20250916_ライドオン_奇跡の花は艶夢と共に消えてゆく～元グラドルの恋人が大物芸術家に寝取られたワケ～</v>
      </c>
      <c r="T3959" s="22" t="str">
        <f>IFERROR(__xludf.DUMMYFUNCTION("""COMPUTED_VALUE"""),"格納済み")</f>
        <v>格納済み</v>
      </c>
      <c r="U3959" s="9" t="str">
        <f>IFERROR(__xludf.DUMMYFUNCTION("""COMPUTED_VALUE"""),"Ⓒババンギダ柳田/セ・キララ文庫")</f>
        <v>Ⓒババンギダ柳田/セ・キララ文庫</v>
      </c>
      <c r="V3959" s="8"/>
      <c r="W3959" s="8"/>
      <c r="X3959" s="8" t="str">
        <f>IFERROR(__xludf.DUMMYFUNCTION("""COMPUTED_VALUE"""),"有")</f>
        <v>有</v>
      </c>
      <c r="Y3959" s="8" t="str">
        <f>IFERROR(__xludf.DUMMYFUNCTION("""COMPUTED_VALUE"""),"P16まで")</f>
        <v>P16まで</v>
      </c>
      <c r="Z3959" s="7"/>
      <c r="AA3959" s="7"/>
      <c r="AB3959" s="7"/>
    </row>
    <row r="3960" ht="15.75" customHeight="1">
      <c r="A3960" s="26">
        <f>IFERROR(__xludf.DUMMYFUNCTION("""COMPUTED_VALUE"""),6499.0)</f>
        <v>6499</v>
      </c>
      <c r="B3960" s="22" t="str">
        <f>IFERROR(__xludf.DUMMYFUNCTION("""COMPUTED_VALUE"""),"確定")</f>
        <v>確定</v>
      </c>
      <c r="C3960" s="28">
        <f>IFERROR(__xludf.DUMMYFUNCTION("""COMPUTED_VALUE"""),45916.0)</f>
        <v>45916</v>
      </c>
      <c r="D3960" s="28">
        <f>IFERROR(__xludf.DUMMYFUNCTION("""COMPUTED_VALUE"""),45917.0)</f>
        <v>45917</v>
      </c>
      <c r="E3960" s="26">
        <f>IFERROR(__xludf.DUMMYFUNCTION("""COMPUTED_VALUE"""),338531.0)</f>
        <v>338531</v>
      </c>
      <c r="F3960" s="22" t="str">
        <f>IFERROR(__xludf.DUMMYFUNCTION("""COMPUTED_VALUE"""),"地元のお姉さん達に、ドスケベバカの友達が種付交尾しまくってた。")</f>
        <v>地元のお姉さん達に、ドスケベバカの友達が種付交尾しまくってた。</v>
      </c>
      <c r="G3960" s="20" t="str">
        <f>IFERROR(__xludf.DUMMYFUNCTION("""COMPUTED_VALUE"""),"1～3")</f>
        <v>1～3</v>
      </c>
      <c r="H3960" s="22" t="str">
        <f>IFERROR(__xludf.DUMMYFUNCTION("""COMPUTED_VALUE"""),"ちゃえ")</f>
        <v>ちゃえ</v>
      </c>
      <c r="I3960" s="22" t="str">
        <f>IFERROR(__xludf.DUMMYFUNCTION("""COMPUTED_VALUE"""),"アダルトマンガ")</f>
        <v>アダルトマンガ</v>
      </c>
      <c r="J3960" s="22"/>
      <c r="K3960" s="22"/>
      <c r="L3960" s="22" t="str">
        <f>IFERROR(__xludf.DUMMYFUNCTION("""COMPUTED_VALUE"""),"セ・キララ文庫")</f>
        <v>セ・キララ文庫</v>
      </c>
      <c r="M3960" s="33">
        <f>IFERROR(__xludf.DUMMYFUNCTION("""COMPUTED_VALUE"""),45947.0)</f>
        <v>45947</v>
      </c>
      <c r="N3960" s="33">
        <f>IFERROR(__xludf.DUMMYFUNCTION("""COMPUTED_VALUE"""),45985.0)</f>
        <v>45985</v>
      </c>
      <c r="O3960" s="20"/>
      <c r="P3960" s="32" t="str">
        <f>IFERROR(__xludf.DUMMYFUNCTION("""COMPUTED_VALUE"""),"可")</f>
        <v>可</v>
      </c>
      <c r="Q3960" s="30"/>
      <c r="R3960" s="22"/>
      <c r="S3960" s="22" t="str">
        <f>IFERROR(__xludf.DUMMYFUNCTION("""COMPUTED_VALUE"""),"20250916_ライドオン_地元のお姉さん達に、ドスケベバカの友達が種付交尾しまくってた。")</f>
        <v>20250916_ライドオン_地元のお姉さん達に、ドスケベバカの友達が種付交尾しまくってた。</v>
      </c>
      <c r="T3960" s="22" t="str">
        <f>IFERROR(__xludf.DUMMYFUNCTION("""COMPUTED_VALUE"""),"格納済み")</f>
        <v>格納済み</v>
      </c>
      <c r="U3960" s="9" t="str">
        <f>IFERROR(__xludf.DUMMYFUNCTION("""COMPUTED_VALUE"""),"Ⓒちゃえ/セ・キララ文庫")</f>
        <v>Ⓒちゃえ/セ・キララ文庫</v>
      </c>
      <c r="V3960" s="8"/>
      <c r="W3960" s="8"/>
      <c r="X3960" s="8" t="str">
        <f>IFERROR(__xludf.DUMMYFUNCTION("""COMPUTED_VALUE"""),"有")</f>
        <v>有</v>
      </c>
      <c r="Y3960" s="8" t="str">
        <f>IFERROR(__xludf.DUMMYFUNCTION("""COMPUTED_VALUE"""),"P13まで")</f>
        <v>P13まで</v>
      </c>
      <c r="Z3960" s="7"/>
      <c r="AA3960" s="7"/>
      <c r="AB3960" s="7"/>
    </row>
    <row r="3961" ht="15.75" customHeight="1">
      <c r="A3961" s="26">
        <f>IFERROR(__xludf.DUMMYFUNCTION("""COMPUTED_VALUE"""),6463.0)</f>
        <v>6463</v>
      </c>
      <c r="B3961" s="22" t="str">
        <f>IFERROR(__xludf.DUMMYFUNCTION("""COMPUTED_VALUE"""),"確定")</f>
        <v>確定</v>
      </c>
      <c r="C3961" s="28">
        <f>IFERROR(__xludf.DUMMYFUNCTION("""COMPUTED_VALUE"""),45909.0)</f>
        <v>45909</v>
      </c>
      <c r="D3961" s="28">
        <f>IFERROR(__xludf.DUMMYFUNCTION("""COMPUTED_VALUE"""),45917.0)</f>
        <v>45917</v>
      </c>
      <c r="E3961" s="26">
        <f>IFERROR(__xludf.DUMMYFUNCTION("""COMPUTED_VALUE"""),338756.0)</f>
        <v>338756</v>
      </c>
      <c r="F3961" s="22" t="str">
        <f>IFERROR(__xludf.DUMMYFUNCTION("""COMPUTED_VALUE"""),"よばいセラピー")</f>
        <v>よばいセラピー</v>
      </c>
      <c r="G3961" s="20" t="str">
        <f>IFERROR(__xludf.DUMMYFUNCTION("""COMPUTED_VALUE"""),"1〜3")</f>
        <v>1〜3</v>
      </c>
      <c r="H3961" s="22" t="str">
        <f>IFERROR(__xludf.DUMMYFUNCTION("""COMPUTED_VALUE"""),"白八木ノコシ")</f>
        <v>白八木ノコシ</v>
      </c>
      <c r="I3961" s="22" t="str">
        <f>IFERROR(__xludf.DUMMYFUNCTION("""COMPUTED_VALUE"""),"BL")</f>
        <v>BL</v>
      </c>
      <c r="J3961" s="22"/>
      <c r="K3961" s="22"/>
      <c r="L3961" s="22" t="str">
        <f>IFERROR(__xludf.DUMMYFUNCTION("""COMPUTED_VALUE"""),"ガラン")</f>
        <v>ガラン</v>
      </c>
      <c r="M3961" s="33">
        <f>IFERROR(__xludf.DUMMYFUNCTION("""COMPUTED_VALUE"""),45938.0)</f>
        <v>45938</v>
      </c>
      <c r="N3961" s="33">
        <f>IFERROR(__xludf.DUMMYFUNCTION("""COMPUTED_VALUE"""),46070.0)</f>
        <v>46070</v>
      </c>
      <c r="O3961" s="20"/>
      <c r="P3961" s="32" t="str">
        <f>IFERROR(__xludf.DUMMYFUNCTION("""COMPUTED_VALUE"""),"可")</f>
        <v>可</v>
      </c>
      <c r="Q3961" s="30"/>
      <c r="R3961" s="22" t="str">
        <f>IFERROR(__xludf.DUMMYFUNCTION("""COMPUTED_VALUE"""),"コミットOK")</f>
        <v>コミットOK</v>
      </c>
      <c r="S3961" s="22" t="str">
        <f>IFERROR(__xludf.DUMMYFUNCTION("""COMPUTED_VALUE"""),"20250909_ガラン_よばいセラピー")</f>
        <v>20250909_ガラン_よばいセラピー</v>
      </c>
      <c r="T3961" s="22" t="str">
        <f>IFERROR(__xludf.DUMMYFUNCTION("""COMPUTED_VALUE"""),"格納済み")</f>
        <v>格納済み</v>
      </c>
      <c r="U3961" s="9" t="str">
        <f>IFERROR(__xludf.DUMMYFUNCTION("""COMPUTED_VALUE"""),"白八木ノコシ／Boys Shangri-La")</f>
        <v>白八木ノコシ／Boys Shangri-La</v>
      </c>
      <c r="V3961" s="8"/>
      <c r="W3961" s="8"/>
      <c r="X3961" s="8" t="str">
        <f>IFERROR(__xludf.DUMMYFUNCTION("""COMPUTED_VALUE"""),"有")</f>
        <v>有</v>
      </c>
      <c r="Y3961" s="8" t="str">
        <f>IFERROR(__xludf.DUMMYFUNCTION("""COMPUTED_VALUE"""),"1巻無料")</f>
        <v>1巻無料</v>
      </c>
      <c r="Z3961" s="7"/>
      <c r="AA3961" s="7"/>
      <c r="AB3961" s="7"/>
    </row>
    <row r="3962" ht="15.75" customHeight="1">
      <c r="A3962" s="26">
        <f>IFERROR(__xludf.DUMMYFUNCTION("""COMPUTED_VALUE"""),5918.0)</f>
        <v>5918</v>
      </c>
      <c r="B3962" s="22" t="str">
        <f>IFERROR(__xludf.DUMMYFUNCTION("""COMPUTED_VALUE"""),"確定")</f>
        <v>確定</v>
      </c>
      <c r="C3962" s="28">
        <f>IFERROR(__xludf.DUMMYFUNCTION("""COMPUTED_VALUE"""),45832.0)</f>
        <v>45832</v>
      </c>
      <c r="D3962" s="28">
        <f>IFERROR(__xludf.DUMMYFUNCTION("""COMPUTED_VALUE"""),45924.0)</f>
        <v>45924</v>
      </c>
      <c r="E3962" s="26">
        <f>IFERROR(__xludf.DUMMYFUNCTION("""COMPUTED_VALUE"""),342470.0)</f>
        <v>342470</v>
      </c>
      <c r="F3962" s="22" t="str">
        <f>IFERROR(__xludf.DUMMYFUNCTION("""COMPUTED_VALUE"""),"今世も、死亡フラグしかない王太子の婚約者に転生しました【単話売】")</f>
        <v>今世も、死亡フラグしかない王太子の婚約者に転生しました【単話売】</v>
      </c>
      <c r="G3962" s="20" t="str">
        <f>IFERROR(__xludf.DUMMYFUNCTION("""COMPUTED_VALUE"""),"1～3")</f>
        <v>1～3</v>
      </c>
      <c r="H3962" s="22" t="str">
        <f>IFERROR(__xludf.DUMMYFUNCTION("""COMPUTED_VALUE"""),"著者　 深山キリ／原作　鬼頭香月／キャラクター原案　深山キリ")</f>
        <v>著者　 深山キリ／原作　鬼頭香月／キャラクター原案　深山キリ</v>
      </c>
      <c r="I3962" s="22" t="str">
        <f>IFERROR(__xludf.DUMMYFUNCTION("""COMPUTED_VALUE"""),"少女コミック")</f>
        <v>少女コミック</v>
      </c>
      <c r="J3962" s="22"/>
      <c r="K3962" s="22"/>
      <c r="L3962" s="22" t="str">
        <f>IFERROR(__xludf.DUMMYFUNCTION("""COMPUTED_VALUE"""),"ジュリアンパブリッシング")</f>
        <v>ジュリアンパブリッシング</v>
      </c>
      <c r="M3962" s="33">
        <f>IFERROR(__xludf.DUMMYFUNCTION("""COMPUTED_VALUE"""),45982.0)</f>
        <v>45982</v>
      </c>
      <c r="N3962" s="33">
        <f>IFERROR(__xludf.DUMMYFUNCTION("""COMPUTED_VALUE"""),46072.0)</f>
        <v>46072</v>
      </c>
      <c r="O3962" s="20"/>
      <c r="P3962" s="32" t="str">
        <f>IFERROR(__xludf.DUMMYFUNCTION("""COMPUTED_VALUE"""),"可")</f>
        <v>可</v>
      </c>
      <c r="Q3962" s="30"/>
      <c r="R3962" s="22" t="str">
        <f>IFERROR(__xludf.DUMMYFUNCTION("""COMPUTED_VALUE"""),"コミットOK")</f>
        <v>コミットOK</v>
      </c>
      <c r="S3962" s="22" t="str">
        <f>IFERROR(__xludf.DUMMYFUNCTION("""COMPUTED_VALUE"""),"20250924_ジュリアンパブリッシング_今世も、死亡フラグしかない王太子の婚約者に転生しました")</f>
        <v>20250924_ジュリアンパブリッシング_今世も、死亡フラグしかない王太子の婚約者に転生しました</v>
      </c>
      <c r="T3962" s="22" t="str">
        <f>IFERROR(__xludf.DUMMYFUNCTION("""COMPUTED_VALUE"""),"格納済み")</f>
        <v>格納済み</v>
      </c>
      <c r="U3962" s="9" t="str">
        <f>IFERROR(__xludf.DUMMYFUNCTION("""COMPUTED_VALUE"""),"Ⓒ深山キリ／鬼頭香月／ジュリアンパブリッシング")</f>
        <v>Ⓒ深山キリ／鬼頭香月／ジュリアンパブリッシング</v>
      </c>
      <c r="V3962" s="8"/>
      <c r="W3962" s="8"/>
      <c r="X3962" s="8" t="str">
        <f>IFERROR(__xludf.DUMMYFUNCTION("""COMPUTED_VALUE"""),"有")</f>
        <v>有</v>
      </c>
      <c r="Y3962" s="8" t="str">
        <f>IFERROR(__xludf.DUMMYFUNCTION("""COMPUTED_VALUE"""),"P15まで")</f>
        <v>P15まで</v>
      </c>
      <c r="Z3962" s="7"/>
      <c r="AA3962" s="7"/>
      <c r="AB3962" s="7"/>
    </row>
    <row r="3963" ht="15.75" customHeight="1">
      <c r="A3963" s="26">
        <f>IFERROR(__xludf.DUMMYFUNCTION("""COMPUTED_VALUE"""),6237.0)</f>
        <v>6237</v>
      </c>
      <c r="B3963" s="22" t="str">
        <f>IFERROR(__xludf.DUMMYFUNCTION("""COMPUTED_VALUE"""),"確定")</f>
        <v>確定</v>
      </c>
      <c r="C3963" s="28">
        <f>IFERROR(__xludf.DUMMYFUNCTION("""COMPUTED_VALUE"""),45877.0)</f>
        <v>45877</v>
      </c>
      <c r="D3963" s="28">
        <f>IFERROR(__xludf.DUMMYFUNCTION("""COMPUTED_VALUE"""),45918.0)</f>
        <v>45918</v>
      </c>
      <c r="E3963" s="26">
        <f>IFERROR(__xludf.DUMMYFUNCTION("""COMPUTED_VALUE"""),338703.0)</f>
        <v>338703</v>
      </c>
      <c r="F3963" s="22" t="str">
        <f>IFERROR(__xludf.DUMMYFUNCTION("""COMPUTED_VALUE"""),"イラつく後輩との残業Hは制御不能!?～肉体はむちムキMAXでした！～【TL版】")</f>
        <v>イラつく後輩との残業Hは制御不能!?～肉体はむちムキMAXでした！～【TL版】</v>
      </c>
      <c r="G3963" s="20" t="str">
        <f>IFERROR(__xludf.DUMMYFUNCTION("""COMPUTED_VALUE"""),"1～2")</f>
        <v>1～2</v>
      </c>
      <c r="H3963" s="22" t="str">
        <f>IFERROR(__xludf.DUMMYFUNCTION("""COMPUTED_VALUE"""),"シュガーミルク")</f>
        <v>シュガーミルク</v>
      </c>
      <c r="I3963" s="22" t="str">
        <f>IFERROR(__xludf.DUMMYFUNCTION("""COMPUTED_VALUE"""),"TL")</f>
        <v>TL</v>
      </c>
      <c r="J3963" s="22"/>
      <c r="K3963" s="22" t="str">
        <f>IFERROR(__xludf.DUMMYFUNCTION("""COMPUTED_VALUE"""),"＠夜噺")</f>
        <v>＠夜噺</v>
      </c>
      <c r="L3963" s="22" t="str">
        <f>IFERROR(__xludf.DUMMYFUNCTION("""COMPUTED_VALUE"""),"DEEPER-ZERO")</f>
        <v>DEEPER-ZERO</v>
      </c>
      <c r="M3963" s="33">
        <f>IFERROR(__xludf.DUMMYFUNCTION("""COMPUTED_VALUE"""),45946.0)</f>
        <v>45946</v>
      </c>
      <c r="N3963" s="33">
        <f>IFERROR(__xludf.DUMMYFUNCTION("""COMPUTED_VALUE"""),46008.0)</f>
        <v>46008</v>
      </c>
      <c r="O3963" s="20"/>
      <c r="P3963" s="32" t="str">
        <f>IFERROR(__xludf.DUMMYFUNCTION("""COMPUTED_VALUE"""),"可")</f>
        <v>可</v>
      </c>
      <c r="Q3963" s="30" t="str">
        <f>IFERROR(__xludf.DUMMYFUNCTION("""COMPUTED_VALUE"""),"【アダルト作品扱い】")</f>
        <v>【アダルト作品扱い】</v>
      </c>
      <c r="R3963" s="22" t="str">
        <f>IFERROR(__xludf.DUMMYFUNCTION("""COMPUTED_VALUE"""),"コミットNG")</f>
        <v>コミットNG</v>
      </c>
      <c r="S3963" s="22" t="str">
        <f>IFERROR(__xludf.DUMMYFUNCTION("""COMPUTED_VALUE"""),"20250918_CLLENN_イラつく後輩との残業Hは制御不能～肉体はむちムキMAXでした！～【TL版】")</f>
        <v>20250918_CLLENN_イラつく後輩との残業Hは制御不能～肉体はむちムキMAXでした！～【TL版】</v>
      </c>
      <c r="T3963" s="22" t="str">
        <f>IFERROR(__xludf.DUMMYFUNCTION("""COMPUTED_VALUE"""),"格納済み")</f>
        <v>格納済み</v>
      </c>
      <c r="U3963" s="9" t="str">
        <f>IFERROR(__xludf.DUMMYFUNCTION("""COMPUTED_VALUE"""),"©シュガーミルク/DEEPER-ZERO")</f>
        <v>©シュガーミルク/DEEPER-ZERO</v>
      </c>
      <c r="V3963" s="8"/>
      <c r="W3963" s="8"/>
      <c r="X3963" s="8" t="str">
        <f>IFERROR(__xludf.DUMMYFUNCTION("""COMPUTED_VALUE"""),"有")</f>
        <v>有</v>
      </c>
      <c r="Y3963" s="8" t="str">
        <f>IFERROR(__xludf.DUMMYFUNCTION("""COMPUTED_VALUE"""),"2025/10/29まで1巻立ち読み増量(P20)")</f>
        <v>2025/10/29まで1巻立ち読み増量(P20)</v>
      </c>
      <c r="Z3963" s="7"/>
      <c r="AA3963" s="7"/>
      <c r="AB3963" s="7"/>
    </row>
    <row r="3964" ht="15.75" customHeight="1">
      <c r="A3964" s="26">
        <f>IFERROR(__xludf.DUMMYFUNCTION("""COMPUTED_VALUE"""),6238.0)</f>
        <v>6238</v>
      </c>
      <c r="B3964" s="22" t="str">
        <f>IFERROR(__xludf.DUMMYFUNCTION("""COMPUTED_VALUE"""),"確定")</f>
        <v>確定</v>
      </c>
      <c r="C3964" s="28">
        <f>IFERROR(__xludf.DUMMYFUNCTION("""COMPUTED_VALUE"""),45877.0)</f>
        <v>45877</v>
      </c>
      <c r="D3964" s="28">
        <f>IFERROR(__xludf.DUMMYFUNCTION("""COMPUTED_VALUE"""),45918.0)</f>
        <v>45918</v>
      </c>
      <c r="E3964" s="26">
        <f>IFERROR(__xludf.DUMMYFUNCTION("""COMPUTED_VALUE"""),338702.0)</f>
        <v>338702</v>
      </c>
      <c r="F3964" s="22" t="str">
        <f>IFERROR(__xludf.DUMMYFUNCTION("""COMPUTED_VALUE"""),"イラつく後輩との残業Hは制御不能!?～肉体はむちムキMAXでした！～【R版】")</f>
        <v>イラつく後輩との残業Hは制御不能!?～肉体はむちムキMAXでした！～【R版】</v>
      </c>
      <c r="G3964" s="20" t="str">
        <f>IFERROR(__xludf.DUMMYFUNCTION("""COMPUTED_VALUE"""),"1～2")</f>
        <v>1～2</v>
      </c>
      <c r="H3964" s="22" t="str">
        <f>IFERROR(__xludf.DUMMYFUNCTION("""COMPUTED_VALUE"""),"シュガーミルク")</f>
        <v>シュガーミルク</v>
      </c>
      <c r="I3964" s="22" t="str">
        <f>IFERROR(__xludf.DUMMYFUNCTION("""COMPUTED_VALUE"""),"アダルト")</f>
        <v>アダルト</v>
      </c>
      <c r="J3964" s="22"/>
      <c r="K3964" s="22" t="str">
        <f>IFERROR(__xludf.DUMMYFUNCTION("""COMPUTED_VALUE"""),"＠夜噺+")</f>
        <v>＠夜噺+</v>
      </c>
      <c r="L3964" s="22" t="str">
        <f>IFERROR(__xludf.DUMMYFUNCTION("""COMPUTED_VALUE"""),"DEEPER-ZERO")</f>
        <v>DEEPER-ZERO</v>
      </c>
      <c r="M3964" s="33">
        <f>IFERROR(__xludf.DUMMYFUNCTION("""COMPUTED_VALUE"""),45946.0)</f>
        <v>45946</v>
      </c>
      <c r="N3964" s="33">
        <f>IFERROR(__xludf.DUMMYFUNCTION("""COMPUTED_VALUE"""),46008.0)</f>
        <v>46008</v>
      </c>
      <c r="O3964" s="20"/>
      <c r="P3964" s="32" t="str">
        <f>IFERROR(__xludf.DUMMYFUNCTION("""COMPUTED_VALUE"""),"可")</f>
        <v>可</v>
      </c>
      <c r="Q3964" s="30"/>
      <c r="R3964" s="22" t="str">
        <f>IFERROR(__xludf.DUMMYFUNCTION("""COMPUTED_VALUE"""),"コミットOK")</f>
        <v>コミットOK</v>
      </c>
      <c r="S3964" s="22" t="str">
        <f>IFERROR(__xludf.DUMMYFUNCTION("""COMPUTED_VALUE"""),"20250918_CLLENN_イラつく後輩との残業Hは制御不能～肉体はむちムキMAXでした！～【R版】")</f>
        <v>20250918_CLLENN_イラつく後輩との残業Hは制御不能～肉体はむちムキMAXでした！～【R版】</v>
      </c>
      <c r="T3964" s="22" t="str">
        <f>IFERROR(__xludf.DUMMYFUNCTION("""COMPUTED_VALUE"""),"格納済み")</f>
        <v>格納済み</v>
      </c>
      <c r="U3964" s="9" t="str">
        <f>IFERROR(__xludf.DUMMYFUNCTION("""COMPUTED_VALUE"""),"Ⓒシュガーミルク/DEEPER-ZERO")</f>
        <v>Ⓒシュガーミルク/DEEPER-ZERO</v>
      </c>
      <c r="V3964" s="8"/>
      <c r="W3964" s="8"/>
      <c r="X3964" s="8" t="str">
        <f>IFERROR(__xludf.DUMMYFUNCTION("""COMPUTED_VALUE"""),"有")</f>
        <v>有</v>
      </c>
      <c r="Y3964" s="8" t="str">
        <f>IFERROR(__xludf.DUMMYFUNCTION("""COMPUTED_VALUE"""),"P10まで")</f>
        <v>P10まで</v>
      </c>
      <c r="Z3964" s="7"/>
      <c r="AA3964" s="7"/>
      <c r="AB3964" s="7"/>
    </row>
    <row r="3965" ht="15.75" customHeight="1">
      <c r="A3965" s="26">
        <f>IFERROR(__xludf.DUMMYFUNCTION("""COMPUTED_VALUE"""),6388.0)</f>
        <v>6388</v>
      </c>
      <c r="B3965" s="22" t="str">
        <f>IFERROR(__xludf.DUMMYFUNCTION("""COMPUTED_VALUE"""),"確定")</f>
        <v>確定</v>
      </c>
      <c r="C3965" s="28">
        <f>IFERROR(__xludf.DUMMYFUNCTION("""COMPUTED_VALUE"""),45902.0)</f>
        <v>45902</v>
      </c>
      <c r="D3965" s="28">
        <f>IFERROR(__xludf.DUMMYFUNCTION("""COMPUTED_VALUE"""),45919.0)</f>
        <v>45919</v>
      </c>
      <c r="E3965" s="26">
        <f>IFERROR(__xludf.DUMMYFUNCTION("""COMPUTED_VALUE"""),339359.0)</f>
        <v>339359</v>
      </c>
      <c r="F3965" s="22" t="str">
        <f>IFERROR(__xludf.DUMMYFUNCTION("""COMPUTED_VALUE"""),"公爵様は役立たず令嬢のキスが欲しい～無能力と蔑まれてきた私が溺愛されるなんて～")</f>
        <v>公爵様は役立たず令嬢のキスが欲しい～無能力と蔑まれてきた私が溺愛されるなんて～</v>
      </c>
      <c r="G3965" s="20" t="str">
        <f>IFERROR(__xludf.DUMMYFUNCTION("""COMPUTED_VALUE"""),"1～3")</f>
        <v>1～3</v>
      </c>
      <c r="H3965" s="22" t="str">
        <f>IFERROR(__xludf.DUMMYFUNCTION("""COMPUTED_VALUE"""),"紫音ふみ・AYU&amp;清河余人")</f>
        <v>紫音ふみ・AYU&amp;清河余人</v>
      </c>
      <c r="I3965" s="22" t="str">
        <f>IFERROR(__xludf.DUMMYFUNCTION("""COMPUTED_VALUE"""),"女性")</f>
        <v>女性</v>
      </c>
      <c r="J3965" s="22"/>
      <c r="K3965" s="22" t="str">
        <f>IFERROR(__xludf.DUMMYFUNCTION("""COMPUTED_VALUE"""),"COMIC stella")</f>
        <v>COMIC stella</v>
      </c>
      <c r="L3965" s="22" t="str">
        <f>IFERROR(__xludf.DUMMYFUNCTION("""COMPUTED_VALUE"""),"COMIC stella")</f>
        <v>COMIC stella</v>
      </c>
      <c r="M3965" s="33">
        <f>IFERROR(__xludf.DUMMYFUNCTION("""COMPUTED_VALUE"""),45955.0)</f>
        <v>45955</v>
      </c>
      <c r="N3965" s="33">
        <f>IFERROR(__xludf.DUMMYFUNCTION("""COMPUTED_VALUE"""),46046.0)</f>
        <v>46046</v>
      </c>
      <c r="O3965" s="20"/>
      <c r="P3965" s="32" t="str">
        <f>IFERROR(__xludf.DUMMYFUNCTION("""COMPUTED_VALUE"""),"可")</f>
        <v>可</v>
      </c>
      <c r="Q3965" s="30"/>
      <c r="R3965" s="22" t="str">
        <f>IFERROR(__xludf.DUMMYFUNCTION("""COMPUTED_VALUE"""),"コミットOK")</f>
        <v>コミットOK</v>
      </c>
      <c r="S3965" s="22" t="str">
        <f>IFERROR(__xludf.DUMMYFUNCTION("""COMPUTED_VALUE"""),"20250918_COMIC stella‗公爵様は役立たず令嬢のキスが欲しい")</f>
        <v>20250918_COMIC stella‗公爵様は役立たず令嬢のキスが欲しい</v>
      </c>
      <c r="T3965" s="22" t="str">
        <f>IFERROR(__xludf.DUMMYFUNCTION("""COMPUTED_VALUE"""),"格納済み")</f>
        <v>格納済み</v>
      </c>
      <c r="U3965" s="9" t="str">
        <f>IFERROR(__xludf.DUMMYFUNCTION("""COMPUTED_VALUE"""),"（C）紫音ふみ・AYU&amp;清河余人／COMIC stella")</f>
        <v>（C）紫音ふみ・AYU&amp;清河余人／COMIC stella</v>
      </c>
      <c r="V3965" s="8"/>
      <c r="W3965" s="8"/>
      <c r="X3965" s="8" t="str">
        <f>IFERROR(__xludf.DUMMYFUNCTION("""COMPUTED_VALUE"""),"有")</f>
        <v>有</v>
      </c>
      <c r="Y3965" s="8" t="str">
        <f>IFERROR(__xludf.DUMMYFUNCTION("""COMPUTED_VALUE"""),"P5まで")</f>
        <v>P5まで</v>
      </c>
      <c r="Z3965" s="7"/>
      <c r="AA3965" s="7"/>
      <c r="AB3965" s="7"/>
    </row>
    <row r="3966" ht="15.75" customHeight="1">
      <c r="A3966" s="26">
        <f>IFERROR(__xludf.DUMMYFUNCTION("""COMPUTED_VALUE"""),6428.0)</f>
        <v>6428</v>
      </c>
      <c r="B3966" s="22" t="str">
        <f>IFERROR(__xludf.DUMMYFUNCTION("""COMPUTED_VALUE"""),"確定")</f>
        <v>確定</v>
      </c>
      <c r="C3966" s="28">
        <f>IFERROR(__xludf.DUMMYFUNCTION("""COMPUTED_VALUE"""),45904.0)</f>
        <v>45904</v>
      </c>
      <c r="D3966" s="28">
        <f>IFERROR(__xludf.DUMMYFUNCTION("""COMPUTED_VALUE"""),45919.0)</f>
        <v>45919</v>
      </c>
      <c r="E3966" s="26">
        <f>IFERROR(__xludf.DUMMYFUNCTION("""COMPUTED_VALUE"""),339279.0)</f>
        <v>339279</v>
      </c>
      <c r="F3966" s="22" t="str">
        <f>IFERROR(__xludf.DUMMYFUNCTION("""COMPUTED_VALUE"""),"今日も、キョウくんは甘すぎる")</f>
        <v>今日も、キョウくんは甘すぎる</v>
      </c>
      <c r="G3966" s="20" t="str">
        <f>IFERROR(__xludf.DUMMYFUNCTION("""COMPUTED_VALUE"""),"1～17")</f>
        <v>1～17</v>
      </c>
      <c r="H3966" s="22" t="str">
        <f>IFERROR(__xludf.DUMMYFUNCTION("""COMPUTED_VALUE"""),"ビブラハット┴グルナ編集部")</f>
        <v>ビブラハット┴グルナ編集部</v>
      </c>
      <c r="I3966" s="22" t="str">
        <f>IFERROR(__xludf.DUMMYFUNCTION("""COMPUTED_VALUE"""),"女性")</f>
        <v>女性</v>
      </c>
      <c r="J3966" s="22"/>
      <c r="K3966" s="22"/>
      <c r="L3966" s="22" t="str">
        <f>IFERROR(__xludf.DUMMYFUNCTION("""COMPUTED_VALUE"""),"ライブコミックス")</f>
        <v>ライブコミックス</v>
      </c>
      <c r="M3966" s="33">
        <f>IFERROR(__xludf.DUMMYFUNCTION("""COMPUTED_VALUE"""),45954.0)</f>
        <v>45954</v>
      </c>
      <c r="N3966" s="33">
        <f>IFERROR(__xludf.DUMMYFUNCTION("""COMPUTED_VALUE"""),46016.0)</f>
        <v>46016</v>
      </c>
      <c r="O3966" s="20"/>
      <c r="P3966" s="32" t="str">
        <f>IFERROR(__xludf.DUMMYFUNCTION("""COMPUTED_VALUE"""),"可")</f>
        <v>可</v>
      </c>
      <c r="Q3966" s="30" t="str">
        <f>IFERROR(__xludf.DUMMYFUNCTION("""COMPUTED_VALUE"""),"BookLiveからの2次先行です。")</f>
        <v>BookLiveからの2次先行です。</v>
      </c>
      <c r="R3966" s="22" t="str">
        <f>IFERROR(__xludf.DUMMYFUNCTION("""COMPUTED_VALUE"""),"コミットOK")</f>
        <v>コミットOK</v>
      </c>
      <c r="S3966" s="22" t="str">
        <f>IFERROR(__xludf.DUMMYFUNCTION("""COMPUTED_VALUE"""),"20250904_BookLive_今日も、キョウくんは甘すぎる")</f>
        <v>20250904_BookLive_今日も、キョウくんは甘すぎる</v>
      </c>
      <c r="T3966" s="22" t="str">
        <f>IFERROR(__xludf.DUMMYFUNCTION("""COMPUTED_VALUE"""),"格納済み")</f>
        <v>格納済み</v>
      </c>
      <c r="U3966" s="9" t="str">
        <f>IFERROR(__xludf.DUMMYFUNCTION("""COMPUTED_VALUE"""),"(C)ビブラハット/ライブコミックス")</f>
        <v>(C)ビブラハット/ライブコミックス</v>
      </c>
      <c r="V3966" s="8"/>
      <c r="W3966" s="8"/>
      <c r="X3966" s="8" t="str">
        <f>IFERROR(__xludf.DUMMYFUNCTION("""COMPUTED_VALUE"""),"有")</f>
        <v>有</v>
      </c>
      <c r="Y3966" s="8" t="str">
        <f>IFERROR(__xludf.DUMMYFUNCTION("""COMPUTED_VALUE"""),"2025/12/25まで1～2巻無料")</f>
        <v>2025/12/25まで1～2巻無料</v>
      </c>
      <c r="Z3966" s="7"/>
      <c r="AA3966" s="7"/>
      <c r="AB3966" s="7"/>
    </row>
    <row r="3967" ht="15.75" customHeight="1">
      <c r="A3967" s="26">
        <f>IFERROR(__xludf.DUMMYFUNCTION("""COMPUTED_VALUE"""),6430.0)</f>
        <v>6430</v>
      </c>
      <c r="B3967" s="22" t="str">
        <f>IFERROR(__xludf.DUMMYFUNCTION("""COMPUTED_VALUE"""),"確定")</f>
        <v>確定</v>
      </c>
      <c r="C3967" s="28">
        <f>IFERROR(__xludf.DUMMYFUNCTION("""COMPUTED_VALUE"""),45904.0)</f>
        <v>45904</v>
      </c>
      <c r="D3967" s="28">
        <f>IFERROR(__xludf.DUMMYFUNCTION("""COMPUTED_VALUE"""),45919.0)</f>
        <v>45919</v>
      </c>
      <c r="E3967" s="26">
        <f>IFERROR(__xludf.DUMMYFUNCTION("""COMPUTED_VALUE"""),339337.0)</f>
        <v>339337</v>
      </c>
      <c r="F3967" s="22" t="str">
        <f>IFERROR(__xludf.DUMMYFUNCTION("""COMPUTED_VALUE"""),"あたらよに恋う～夜伽の少女はお忍び貴公子の寵愛に溺れる～")</f>
        <v>あたらよに恋う～夜伽の少女はお忍び貴公子の寵愛に溺れる～</v>
      </c>
      <c r="G3967" s="20" t="str">
        <f>IFERROR(__xludf.DUMMYFUNCTION("""COMPUTED_VALUE"""),"1～10")</f>
        <v>1～10</v>
      </c>
      <c r="H3967" s="22" t="str">
        <f>IFERROR(__xludf.DUMMYFUNCTION("""COMPUTED_VALUE"""),"洪┴グルナ編集部")</f>
        <v>洪┴グルナ編集部</v>
      </c>
      <c r="I3967" s="22" t="str">
        <f>IFERROR(__xludf.DUMMYFUNCTION("""COMPUTED_VALUE"""),"女性")</f>
        <v>女性</v>
      </c>
      <c r="J3967" s="22"/>
      <c r="K3967" s="22"/>
      <c r="L3967" s="22" t="str">
        <f>IFERROR(__xludf.DUMMYFUNCTION("""COMPUTED_VALUE"""),"ライブコミックス")</f>
        <v>ライブコミックス</v>
      </c>
      <c r="M3967" s="33">
        <f>IFERROR(__xludf.DUMMYFUNCTION("""COMPUTED_VALUE"""),45989.0)</f>
        <v>45989</v>
      </c>
      <c r="N3967" s="33">
        <f>IFERROR(__xludf.DUMMYFUNCTION("""COMPUTED_VALUE"""),46044.0)</f>
        <v>46044</v>
      </c>
      <c r="O3967" s="20"/>
      <c r="P3967" s="32" t="str">
        <f>IFERROR(__xludf.DUMMYFUNCTION("""COMPUTED_VALUE"""),"可")</f>
        <v>可</v>
      </c>
      <c r="Q3967" s="30" t="str">
        <f>IFERROR(__xludf.DUMMYFUNCTION("""COMPUTED_VALUE"""),"BookLiveからの2次先行です。&lt;BR&gt;1~8巻までの内容にてご検討＆バナー制作をお願いします。")</f>
        <v>BookLiveからの2次先行です。&lt;BR&gt;1~8巻までの内容にてご検討＆バナー制作をお願いします。</v>
      </c>
      <c r="R3967" s="22" t="str">
        <f>IFERROR(__xludf.DUMMYFUNCTION("""COMPUTED_VALUE"""),"コミットOK")</f>
        <v>コミットOK</v>
      </c>
      <c r="S3967" s="22" t="str">
        <f>IFERROR(__xludf.DUMMYFUNCTION("""COMPUTED_VALUE"""),"20250904_BookLive_あたらよに恋う～夜伽の少女はお忍び貴公子の寵愛に溺れる～")</f>
        <v>20250904_BookLive_あたらよに恋う～夜伽の少女はお忍び貴公子の寵愛に溺れる～</v>
      </c>
      <c r="T3967" s="22" t="str">
        <f>IFERROR(__xludf.DUMMYFUNCTION("""COMPUTED_VALUE"""),"格納済み")</f>
        <v>格納済み</v>
      </c>
      <c r="U3967" s="9" t="str">
        <f>IFERROR(__xludf.DUMMYFUNCTION("""COMPUTED_VALUE"""),"(C)洪/ライブコミックス")</f>
        <v>(C)洪/ライブコミックス</v>
      </c>
      <c r="V3967" s="8"/>
      <c r="W3967" s="8"/>
      <c r="X3967" s="8" t="str">
        <f>IFERROR(__xludf.DUMMYFUNCTION("""COMPUTED_VALUE"""),"有")</f>
        <v>有</v>
      </c>
      <c r="Y3967" s="8" t="str">
        <f>IFERROR(__xludf.DUMMYFUNCTION("""COMPUTED_VALUE"""),"2025/12/25まで1~2巻無料")</f>
        <v>2025/12/25まで1~2巻無料</v>
      </c>
      <c r="Z3967" s="7"/>
      <c r="AA3967" s="7"/>
      <c r="AB3967" s="7"/>
    </row>
    <row r="3968" ht="15.75" customHeight="1">
      <c r="A3968" s="26">
        <f>IFERROR(__xludf.DUMMYFUNCTION("""COMPUTED_VALUE"""),6431.0)</f>
        <v>6431</v>
      </c>
      <c r="B3968" s="22" t="str">
        <f>IFERROR(__xludf.DUMMYFUNCTION("""COMPUTED_VALUE"""),"確定")</f>
        <v>確定</v>
      </c>
      <c r="C3968" s="28">
        <f>IFERROR(__xludf.DUMMYFUNCTION("""COMPUTED_VALUE"""),45904.0)</f>
        <v>45904</v>
      </c>
      <c r="D3968" s="28">
        <f>IFERROR(__xludf.DUMMYFUNCTION("""COMPUTED_VALUE"""),45919.0)</f>
        <v>45919</v>
      </c>
      <c r="E3968" s="26">
        <f>IFERROR(__xludf.DUMMYFUNCTION("""COMPUTED_VALUE"""),339338.0)</f>
        <v>339338</v>
      </c>
      <c r="F3968" s="22" t="str">
        <f>IFERROR(__xludf.DUMMYFUNCTION("""COMPUTED_VALUE"""),"ドカ食い姉貴は俺の穴")</f>
        <v>ドカ食い姉貴は俺の穴</v>
      </c>
      <c r="G3968" s="20" t="str">
        <f>IFERROR(__xludf.DUMMYFUNCTION("""COMPUTED_VALUE"""),"1～4")</f>
        <v>1～4</v>
      </c>
      <c r="H3968" s="22" t="str">
        <f>IFERROR(__xludf.DUMMYFUNCTION("""COMPUTED_VALUE"""),"小桜クマネコ┴チンジャオ娘")</f>
        <v>小桜クマネコ┴チンジャオ娘</v>
      </c>
      <c r="I3968" s="22" t="str">
        <f>IFERROR(__xludf.DUMMYFUNCTION("""COMPUTED_VALUE"""),"アダルトマンガ")</f>
        <v>アダルトマンガ</v>
      </c>
      <c r="J3968" s="22"/>
      <c r="K3968" s="22"/>
      <c r="L3968" s="22" t="str">
        <f>IFERROR(__xludf.DUMMYFUNCTION("""COMPUTED_VALUE"""),"KATTS")</f>
        <v>KATTS</v>
      </c>
      <c r="M3968" s="33">
        <f>IFERROR(__xludf.DUMMYFUNCTION("""COMPUTED_VALUE"""),45961.0)</f>
        <v>45961</v>
      </c>
      <c r="N3968" s="33">
        <f>IFERROR(__xludf.DUMMYFUNCTION("""COMPUTED_VALUE"""),46051.0)</f>
        <v>46051</v>
      </c>
      <c r="O3968" s="20"/>
      <c r="P3968" s="32" t="str">
        <f>IFERROR(__xludf.DUMMYFUNCTION("""COMPUTED_VALUE"""),"可")</f>
        <v>可</v>
      </c>
      <c r="Q3968" s="30" t="str">
        <f>IFERROR(__xludf.DUMMYFUNCTION("""COMPUTED_VALUE"""),"BookLiveからの2次先行です。")</f>
        <v>BookLiveからの2次先行です。</v>
      </c>
      <c r="R3968" s="22" t="str">
        <f>IFERROR(__xludf.DUMMYFUNCTION("""COMPUTED_VALUE"""),"コミットOK")</f>
        <v>コミットOK</v>
      </c>
      <c r="S3968" s="22" t="str">
        <f>IFERROR(__xludf.DUMMYFUNCTION("""COMPUTED_VALUE"""),"20250904_BookLive_ドカ食い姉貴は俺の穴")</f>
        <v>20250904_BookLive_ドカ食い姉貴は俺の穴</v>
      </c>
      <c r="T3968" s="22" t="str">
        <f>IFERROR(__xludf.DUMMYFUNCTION("""COMPUTED_VALUE"""),"格納済み")</f>
        <v>格納済み</v>
      </c>
      <c r="U3968" s="9" t="str">
        <f>IFERROR(__xludf.DUMMYFUNCTION("""COMPUTED_VALUE"""),"ⒸKATTS")</f>
        <v>ⒸKATTS</v>
      </c>
      <c r="V3968" s="8"/>
      <c r="W3968" s="8"/>
      <c r="X3968" s="8" t="str">
        <f>IFERROR(__xludf.DUMMYFUNCTION("""COMPUTED_VALUE"""),"有")</f>
        <v>有</v>
      </c>
      <c r="Y3968" s="8" t="str">
        <f>IFERROR(__xludf.DUMMYFUNCTION("""COMPUTED_VALUE"""),"P8まで")</f>
        <v>P8まで</v>
      </c>
      <c r="Z3968" s="7"/>
      <c r="AA3968" s="7"/>
      <c r="AB3968" s="7"/>
    </row>
    <row r="3969" ht="15.75" customHeight="1">
      <c r="A3969" s="26">
        <f>IFERROR(__xludf.DUMMYFUNCTION("""COMPUTED_VALUE"""),6454.0)</f>
        <v>6454</v>
      </c>
      <c r="B3969" s="22" t="str">
        <f>IFERROR(__xludf.DUMMYFUNCTION("""COMPUTED_VALUE"""),"確定")</f>
        <v>確定</v>
      </c>
      <c r="C3969" s="28">
        <f>IFERROR(__xludf.DUMMYFUNCTION("""COMPUTED_VALUE"""),45908.0)</f>
        <v>45908</v>
      </c>
      <c r="D3969" s="28">
        <f>IFERROR(__xludf.DUMMYFUNCTION("""COMPUTED_VALUE"""),45919.0)</f>
        <v>45919</v>
      </c>
      <c r="E3969" s="26">
        <f>IFERROR(__xludf.DUMMYFUNCTION("""COMPUTED_VALUE"""),337371.0)</f>
        <v>337371</v>
      </c>
      <c r="F3969" s="22" t="str">
        <f>IFERROR(__xludf.DUMMYFUNCTION("""COMPUTED_VALUE"""),"おくりワンちゃんっ×2【分冊版】")</f>
        <v>おくりワンちゃんっ×2【分冊版】</v>
      </c>
      <c r="G3969" s="20">
        <f>IFERROR(__xludf.DUMMYFUNCTION("""COMPUTED_VALUE"""),1.0)</f>
        <v>1</v>
      </c>
      <c r="H3969" s="22" t="str">
        <f>IFERROR(__xludf.DUMMYFUNCTION("""COMPUTED_VALUE"""),"貝柱")</f>
        <v>貝柱</v>
      </c>
      <c r="I3969" s="22" t="str">
        <f>IFERROR(__xludf.DUMMYFUNCTION("""COMPUTED_VALUE"""),"BL")</f>
        <v>BL</v>
      </c>
      <c r="J3969" s="22"/>
      <c r="K3969" s="22" t="str">
        <f>IFERROR(__xludf.DUMMYFUNCTION("""COMPUTED_VALUE"""),"equal")</f>
        <v>equal</v>
      </c>
      <c r="L3969" s="22" t="str">
        <f>IFERROR(__xludf.DUMMYFUNCTION("""COMPUTED_VALUE"""),"笠倉出版社")</f>
        <v>笠倉出版社</v>
      </c>
      <c r="M3969" s="33">
        <f>IFERROR(__xludf.DUMMYFUNCTION("""COMPUTED_VALUE"""),45940.0)</f>
        <v>45940</v>
      </c>
      <c r="N3969" s="33">
        <f>IFERROR(__xludf.DUMMYFUNCTION("""COMPUTED_VALUE"""),45974.0)</f>
        <v>45974</v>
      </c>
      <c r="O3969" s="20"/>
      <c r="P3969" s="32" t="str">
        <f>IFERROR(__xludf.DUMMYFUNCTION("""COMPUTED_VALUE"""),"可")</f>
        <v>可</v>
      </c>
      <c r="Q3969" s="30" t="str">
        <f>IFERROR(__xludf.DUMMYFUNCTION("""COMPUTED_VALUE"""),"隔月配信 7話完結予定　※前作「おくりワンちゃん」はインテルフィンより配信・完結済み")</f>
        <v>隔月配信 7話完結予定　※前作「おくりワンちゃん」はインテルフィンより配信・完結済み</v>
      </c>
      <c r="R3969" s="22"/>
      <c r="S3969" s="22" t="str">
        <f>IFERROR(__xludf.DUMMYFUNCTION("""COMPUTED_VALUE"""),"20250918_笠倉出版社_おくりワンちゃん×2【分冊版】")</f>
        <v>20250918_笠倉出版社_おくりワンちゃん×2【分冊版】</v>
      </c>
      <c r="T3969" s="22" t="str">
        <f>IFERROR(__xludf.DUMMYFUNCTION("""COMPUTED_VALUE"""),"格納済み")</f>
        <v>格納済み</v>
      </c>
      <c r="U3969" s="9" t="str">
        <f>IFERROR(__xludf.DUMMYFUNCTION("""COMPUTED_VALUE"""),"Ⓒ貝柱/笠倉出版社")</f>
        <v>Ⓒ貝柱/笠倉出版社</v>
      </c>
      <c r="V3969" s="8"/>
      <c r="W3969" s="8"/>
      <c r="X3969" s="8" t="str">
        <f>IFERROR(__xludf.DUMMYFUNCTION("""COMPUTED_VALUE"""),"有")</f>
        <v>有</v>
      </c>
      <c r="Y3969" s="8" t="str">
        <f>IFERROR(__xludf.DUMMYFUNCTION("""COMPUTED_VALUE"""),"P6まで")</f>
        <v>P6まで</v>
      </c>
      <c r="Z3969" s="7"/>
      <c r="AA3969" s="7"/>
      <c r="AB3969" s="7"/>
    </row>
    <row r="3970" ht="15.75" customHeight="1">
      <c r="A3970" s="26">
        <f>IFERROR(__xludf.DUMMYFUNCTION("""COMPUTED_VALUE"""),6464.0)</f>
        <v>6464</v>
      </c>
      <c r="B3970" s="22" t="str">
        <f>IFERROR(__xludf.DUMMYFUNCTION("""COMPUTED_VALUE"""),"確定")</f>
        <v>確定</v>
      </c>
      <c r="C3970" s="28">
        <f>IFERROR(__xludf.DUMMYFUNCTION("""COMPUTED_VALUE"""),45910.0)</f>
        <v>45910</v>
      </c>
      <c r="D3970" s="28">
        <f>IFERROR(__xludf.DUMMYFUNCTION("""COMPUTED_VALUE"""),45918.0)</f>
        <v>45918</v>
      </c>
      <c r="E3970" s="26">
        <f>IFERROR(__xludf.DUMMYFUNCTION("""COMPUTED_VALUE"""),338339.0)</f>
        <v>338339</v>
      </c>
      <c r="F3970" s="22" t="str">
        <f>IFERROR(__xludf.DUMMYFUNCTION("""COMPUTED_VALUE"""),"睦月先生は恋が書けない")</f>
        <v>睦月先生は恋が書けない</v>
      </c>
      <c r="G3970" s="20" t="str">
        <f>IFERROR(__xludf.DUMMYFUNCTION("""COMPUTED_VALUE"""),"1～8")</f>
        <v>1～8</v>
      </c>
      <c r="H3970" s="22" t="str">
        <f>IFERROR(__xludf.DUMMYFUNCTION("""COMPUTED_VALUE"""),"晴日青┴佐藤瓜")</f>
        <v>晴日青┴佐藤瓜</v>
      </c>
      <c r="I3970" s="22" t="str">
        <f>IFERROR(__xludf.DUMMYFUNCTION("""COMPUTED_VALUE"""),"女性")</f>
        <v>女性</v>
      </c>
      <c r="J3970" s="22"/>
      <c r="K3970" s="22"/>
      <c r="L3970" s="22" t="str">
        <f>IFERROR(__xludf.DUMMYFUNCTION("""COMPUTED_VALUE"""),"BookLive Link")</f>
        <v>BookLive Link</v>
      </c>
      <c r="M3970" s="33">
        <f>IFERROR(__xludf.DUMMYFUNCTION("""COMPUTED_VALUE"""),45945.0)</f>
        <v>45945</v>
      </c>
      <c r="N3970" s="33">
        <f>IFERROR(__xludf.DUMMYFUNCTION("""COMPUTED_VALUE"""),46042.0)</f>
        <v>46042</v>
      </c>
      <c r="O3970" s="20"/>
      <c r="P3970" s="32" t="str">
        <f>IFERROR(__xludf.DUMMYFUNCTION("""COMPUTED_VALUE"""),"可")</f>
        <v>可</v>
      </c>
      <c r="Q3970" s="30" t="str">
        <f>IFERROR(__xludf.DUMMYFUNCTION("""COMPUTED_VALUE"""),"BookLiveからの2次先行です。&lt;BR&gt;1～7巻までの内容にてバナー制作をお願いします。")</f>
        <v>BookLiveからの2次先行です。&lt;BR&gt;1～7巻までの内容にてバナー制作をお願いします。</v>
      </c>
      <c r="R3970" s="22" t="str">
        <f>IFERROR(__xludf.DUMMYFUNCTION("""COMPUTED_VALUE"""),"コミットOK")</f>
        <v>コミットOK</v>
      </c>
      <c r="S3970" s="22" t="str">
        <f>IFERROR(__xludf.DUMMYFUNCTION("""COMPUTED_VALUE"""),"20250910_BookLive_睦月先生は恋が書けない")</f>
        <v>20250910_BookLive_睦月先生は恋が書けない</v>
      </c>
      <c r="T3970" s="22" t="str">
        <f>IFERROR(__xludf.DUMMYFUNCTION("""COMPUTED_VALUE"""),"格納済み")</f>
        <v>格納済み</v>
      </c>
      <c r="U3970" s="9" t="str">
        <f>IFERROR(__xludf.DUMMYFUNCTION("""COMPUTED_VALUE"""),"(C)晴日青/佐藤瓜/デジタル職人")</f>
        <v>(C)晴日青/佐藤瓜/デジタル職人</v>
      </c>
      <c r="V3970" s="8"/>
      <c r="W3970" s="8"/>
      <c r="X3970" s="8" t="str">
        <f>IFERROR(__xludf.DUMMYFUNCTION("""COMPUTED_VALUE"""),"有")</f>
        <v>有</v>
      </c>
      <c r="Y3970" s="8" t="str">
        <f>IFERROR(__xludf.DUMMYFUNCTION("""COMPUTED_VALUE"""),"P13まで")</f>
        <v>P13まで</v>
      </c>
      <c r="Z3970" s="7"/>
      <c r="AA3970" s="7"/>
      <c r="AB3970" s="7"/>
    </row>
    <row r="3971" ht="15.75" customHeight="1">
      <c r="A3971" s="26">
        <f>IFERROR(__xludf.DUMMYFUNCTION("""COMPUTED_VALUE"""),6466.0)</f>
        <v>6466</v>
      </c>
      <c r="B3971" s="22" t="str">
        <f>IFERROR(__xludf.DUMMYFUNCTION("""COMPUTED_VALUE"""),"確定")</f>
        <v>確定</v>
      </c>
      <c r="C3971" s="28">
        <f>IFERROR(__xludf.DUMMYFUNCTION("""COMPUTED_VALUE"""),45910.0)</f>
        <v>45910</v>
      </c>
      <c r="D3971" s="28">
        <f>IFERROR(__xludf.DUMMYFUNCTION("""COMPUTED_VALUE"""),45918.0)</f>
        <v>45918</v>
      </c>
      <c r="E3971" s="26">
        <f>IFERROR(__xludf.DUMMYFUNCTION("""COMPUTED_VALUE"""),338340.0)</f>
        <v>338340</v>
      </c>
      <c r="F3971" s="22" t="str">
        <f>IFERROR(__xludf.DUMMYFUNCTION("""COMPUTED_VALUE"""),"領地のために妃候補になったのに最悪令嬢と入れ替わるなんて聞いてません！")</f>
        <v>領地のために妃候補になったのに最悪令嬢と入れ替わるなんて聞いてません！</v>
      </c>
      <c r="G3971" s="20" t="str">
        <f>IFERROR(__xludf.DUMMYFUNCTION("""COMPUTED_VALUE"""),"1～5")</f>
        <v>1～5</v>
      </c>
      <c r="H3971" s="22" t="str">
        <f>IFERROR(__xludf.DUMMYFUNCTION("""COMPUTED_VALUE"""),"踊る毒林檎┴壱色彩")</f>
        <v>踊る毒林檎┴壱色彩</v>
      </c>
      <c r="I3971" s="22" t="str">
        <f>IFERROR(__xludf.DUMMYFUNCTION("""COMPUTED_VALUE"""),"女性")</f>
        <v>女性</v>
      </c>
      <c r="J3971" s="22"/>
      <c r="K3971" s="22"/>
      <c r="L3971" s="22" t="str">
        <f>IFERROR(__xludf.DUMMYFUNCTION("""COMPUTED_VALUE"""),"BookLive Link")</f>
        <v>BookLive Link</v>
      </c>
      <c r="M3971" s="33">
        <f>IFERROR(__xludf.DUMMYFUNCTION("""COMPUTED_VALUE"""),45945.0)</f>
        <v>45945</v>
      </c>
      <c r="N3971" s="33">
        <f>IFERROR(__xludf.DUMMYFUNCTION("""COMPUTED_VALUE"""),46042.0)</f>
        <v>46042</v>
      </c>
      <c r="O3971" s="20"/>
      <c r="P3971" s="32" t="str">
        <f>IFERROR(__xludf.DUMMYFUNCTION("""COMPUTED_VALUE"""),"可")</f>
        <v>可</v>
      </c>
      <c r="Q3971" s="30" t="str">
        <f>IFERROR(__xludf.DUMMYFUNCTION("""COMPUTED_VALUE"""),"BookLiveからの2次先行です。")</f>
        <v>BookLiveからの2次先行です。</v>
      </c>
      <c r="R3971" s="22" t="str">
        <f>IFERROR(__xludf.DUMMYFUNCTION("""COMPUTED_VALUE"""),"コミットOK")</f>
        <v>コミットOK</v>
      </c>
      <c r="S3971" s="22" t="str">
        <f>IFERROR(__xludf.DUMMYFUNCTION("""COMPUTED_VALUE"""),"20250910_BookLive_領地のために妃候補になったのに最悪令嬢と入れ替わるなんて聞いてません！")</f>
        <v>20250910_BookLive_領地のために妃候補になったのに最悪令嬢と入れ替わるなんて聞いてません！</v>
      </c>
      <c r="T3971" s="22" t="str">
        <f>IFERROR(__xludf.DUMMYFUNCTION("""COMPUTED_VALUE"""),"格納済み")</f>
        <v>格納済み</v>
      </c>
      <c r="U3971" s="9" t="str">
        <f>IFERROR(__xludf.DUMMYFUNCTION("""COMPUTED_VALUE"""),"(C)踊る毒林檎/壱色彩/デジタル職人")</f>
        <v>(C)踊る毒林檎/壱色彩/デジタル職人</v>
      </c>
      <c r="V3971" s="8"/>
      <c r="W3971" s="8"/>
      <c r="X3971" s="8" t="str">
        <f>IFERROR(__xludf.DUMMYFUNCTION("""COMPUTED_VALUE"""),"有")</f>
        <v>有</v>
      </c>
      <c r="Y3971" s="8" t="str">
        <f>IFERROR(__xludf.DUMMYFUNCTION("""COMPUTED_VALUE"""),"P12まで")</f>
        <v>P12まで</v>
      </c>
      <c r="Z3971" s="7"/>
      <c r="AA3971" s="7"/>
      <c r="AB3971" s="7"/>
    </row>
    <row r="3972" ht="15.75" customHeight="1">
      <c r="A3972" s="26">
        <f>IFERROR(__xludf.DUMMYFUNCTION("""COMPUTED_VALUE"""),6502.0)</f>
        <v>6502</v>
      </c>
      <c r="B3972" s="22" t="str">
        <f>IFERROR(__xludf.DUMMYFUNCTION("""COMPUTED_VALUE"""),"確定")</f>
        <v>確定</v>
      </c>
      <c r="C3972" s="28">
        <f>IFERROR(__xludf.DUMMYFUNCTION("""COMPUTED_VALUE"""),45917.0)</f>
        <v>45917</v>
      </c>
      <c r="D3972" s="28">
        <f>IFERROR(__xludf.DUMMYFUNCTION("""COMPUTED_VALUE"""),45918.0)</f>
        <v>45918</v>
      </c>
      <c r="E3972" s="26">
        <f>IFERROR(__xludf.DUMMYFUNCTION("""COMPUTED_VALUE"""),325166.0)</f>
        <v>325166</v>
      </c>
      <c r="F3972" s="22" t="str">
        <f>IFERROR(__xludf.DUMMYFUNCTION("""COMPUTED_VALUE"""),"ゾンビの王様～世界の終わりに始める復讐計画～")</f>
        <v>ゾンビの王様～世界の終わりに始める復讐計画～</v>
      </c>
      <c r="G3972" s="20" t="str">
        <f>IFERROR(__xludf.DUMMYFUNCTION("""COMPUTED_VALUE"""),"1～3")</f>
        <v>1～3</v>
      </c>
      <c r="H3972" s="22" t="str">
        <f>IFERROR(__xludf.DUMMYFUNCTION("""COMPUTED_VALUE"""),"けんいちさん太郎,夏川鳴海")</f>
        <v>けんいちさん太郎,夏川鳴海</v>
      </c>
      <c r="I3972" s="22" t="str">
        <f>IFERROR(__xludf.DUMMYFUNCTION("""COMPUTED_VALUE"""),"青年マンガ")</f>
        <v>青年マンガ</v>
      </c>
      <c r="J3972" s="22"/>
      <c r="K3972" s="22" t="str">
        <f>IFERROR(__xludf.DUMMYFUNCTION("""COMPUTED_VALUE"""),"トレモア・スプラッシュ,トレモアcollection")</f>
        <v>トレモア・スプラッシュ,トレモアcollection</v>
      </c>
      <c r="L3972" s="22" t="str">
        <f>IFERROR(__xludf.DUMMYFUNCTION("""COMPUTED_VALUE"""),"シーモアコミックス（トレモア）")</f>
        <v>シーモアコミックス（トレモア）</v>
      </c>
      <c r="M3972" s="33">
        <f>IFERROR(__xludf.DUMMYFUNCTION("""COMPUTED_VALUE"""),45961.0)</f>
        <v>45961</v>
      </c>
      <c r="N3972" s="33">
        <f>IFERROR(__xludf.DUMMYFUNCTION("""COMPUTED_VALUE"""),46114.0)</f>
        <v>46114</v>
      </c>
      <c r="O3972" s="20"/>
      <c r="P3972" s="32" t="str">
        <f>IFERROR(__xludf.DUMMYFUNCTION("""COMPUTED_VALUE"""),"可")</f>
        <v>可</v>
      </c>
      <c r="Q3972" s="30"/>
      <c r="R3972" s="22"/>
      <c r="S3972" s="22" t="str">
        <f>IFERROR(__xludf.DUMMYFUNCTION("""COMPUTED_VALUE"""),"20250917_シーモアコミックス_ゾンビの王様～世界の終わりに始める復讐計画～")</f>
        <v>20250917_シーモアコミックス_ゾンビの王様～世界の終わりに始める復讐計画～</v>
      </c>
      <c r="T3972" s="22" t="str">
        <f>IFERROR(__xludf.DUMMYFUNCTION("""COMPUTED_VALUE"""),"格納済み")</f>
        <v>格納済み</v>
      </c>
      <c r="U3972" s="9" t="str">
        <f>IFERROR(__xludf.DUMMYFUNCTION("""COMPUTED_VALUE"""),"(C) けんいちさん太郎/夏川鳴海/シーモアコミックス")</f>
        <v>(C) けんいちさん太郎/夏川鳴海/シーモアコミックス</v>
      </c>
      <c r="V3972" s="8"/>
      <c r="W3972" s="8"/>
      <c r="X3972" s="8" t="str">
        <f>IFERROR(__xludf.DUMMYFUNCTION("""COMPUTED_VALUE"""),"有")</f>
        <v>有</v>
      </c>
      <c r="Y3972" s="8" t="str">
        <f>IFERROR(__xludf.DUMMYFUNCTION("""COMPUTED_VALUE"""),"P15まで")</f>
        <v>P15まで</v>
      </c>
      <c r="Z3972" s="7"/>
      <c r="AA3972" s="7"/>
      <c r="AB3972" s="7"/>
    </row>
    <row r="3973" ht="15.75" customHeight="1">
      <c r="A3973" s="26">
        <f>IFERROR(__xludf.DUMMYFUNCTION("""COMPUTED_VALUE"""),6507.0)</f>
        <v>6507</v>
      </c>
      <c r="B3973" s="22" t="str">
        <f>IFERROR(__xludf.DUMMYFUNCTION("""COMPUTED_VALUE"""),"確定")</f>
        <v>確定</v>
      </c>
      <c r="C3973" s="28">
        <f>IFERROR(__xludf.DUMMYFUNCTION("""COMPUTED_VALUE"""),45917.0)</f>
        <v>45917</v>
      </c>
      <c r="D3973" s="28">
        <f>IFERROR(__xludf.DUMMYFUNCTION("""COMPUTED_VALUE"""),45918.0)</f>
        <v>45918</v>
      </c>
      <c r="E3973" s="26">
        <f>IFERROR(__xludf.DUMMYFUNCTION("""COMPUTED_VALUE"""),348316.0)</f>
        <v>348316</v>
      </c>
      <c r="F3973" s="22" t="str">
        <f>IFERROR(__xludf.DUMMYFUNCTION("""COMPUTED_VALUE"""),"転生格ゲーマー ～オジでも勝てる異世界攻略～ 分冊版")</f>
        <v>転生格ゲーマー ～オジでも勝てる異世界攻略～ 分冊版</v>
      </c>
      <c r="G3973" s="20" t="str">
        <f>IFERROR(__xludf.DUMMYFUNCTION("""COMPUTED_VALUE"""),"1～11")</f>
        <v>1～11</v>
      </c>
      <c r="H3973" s="22" t="str">
        <f>IFERROR(__xludf.DUMMYFUNCTION("""COMPUTED_VALUE"""),"山口ミコト/オギノユーヘイ")</f>
        <v>山口ミコト/オギノユーヘイ</v>
      </c>
      <c r="I3973" s="22" t="str">
        <f>IFERROR(__xludf.DUMMYFUNCTION("""COMPUTED_VALUE"""),"青年")</f>
        <v>青年</v>
      </c>
      <c r="J3973" s="22"/>
      <c r="K3973" s="22"/>
      <c r="L3973" s="22" t="str">
        <f>IFERROR(__xludf.DUMMYFUNCTION("""COMPUTED_VALUE"""),"集英社")</f>
        <v>集英社</v>
      </c>
      <c r="M3973" s="33">
        <f>IFERROR(__xludf.DUMMYFUNCTION("""COMPUTED_VALUE"""),46041.0)</f>
        <v>46041</v>
      </c>
      <c r="N3973" s="33">
        <f>IFERROR(__xludf.DUMMYFUNCTION("""COMPUTED_VALUE"""),46160.66666666667)</f>
        <v>46160.66667</v>
      </c>
      <c r="O3973" s="20"/>
      <c r="P3973" s="32" t="str">
        <f>IFERROR(__xludf.DUMMYFUNCTION("""COMPUTED_VALUE"""),"否")</f>
        <v>否</v>
      </c>
      <c r="Q3973" s="30" t="str">
        <f>IFERROR(__xludf.DUMMYFUNCTION("""COMPUTED_VALUE"""),"レーベルロゴ不要")</f>
        <v>レーベルロゴ不要</v>
      </c>
      <c r="R3973" s="22"/>
      <c r="S3973" s="22" t="str">
        <f>IFERROR(__xludf.DUMMYFUNCTION("""COMPUTED_VALUE"""),"20250918_集英社_転生格ゲーマーオジでも勝てる異世界攻略")</f>
        <v>20250918_集英社_転生格ゲーマーオジでも勝てる異世界攻略</v>
      </c>
      <c r="T3973" s="22" t="str">
        <f>IFERROR(__xludf.DUMMYFUNCTION("""COMPUTED_VALUE"""),"格納済み")</f>
        <v>格納済み</v>
      </c>
      <c r="U3973" s="9" t="str">
        <f>IFERROR(__xludf.DUMMYFUNCTION("""COMPUTED_VALUE"""),"©山口ミコト・オギノユーヘイ／集英社　©CAPCOM U.S.A. INC. ALL RIGHTS RESERVED.")</f>
        <v>©山口ミコト・オギノユーヘイ／集英社　©CAPCOM U.S.A. INC. ALL RIGHTS RESERVED.</v>
      </c>
      <c r="V3973" s="8"/>
      <c r="W3973" s="8"/>
      <c r="X3973" s="8" t="str">
        <f>IFERROR(__xludf.DUMMYFUNCTION("""COMPUTED_VALUE"""),"有")</f>
        <v>有</v>
      </c>
      <c r="Y3973" s="8" t="str">
        <f>IFERROR(__xludf.DUMMYFUNCTION("""COMPUTED_VALUE"""),"20256/3/19まで1～2巻無料")</f>
        <v>20256/3/19まで1～2巻無料</v>
      </c>
      <c r="Z3973" s="7"/>
      <c r="AA3973" s="7"/>
      <c r="AB3973" s="7"/>
    </row>
    <row r="3974" ht="15.75" customHeight="1">
      <c r="A3974" s="26">
        <f>IFERROR(__xludf.DUMMYFUNCTION("""COMPUTED_VALUE"""),6508.0)</f>
        <v>6508</v>
      </c>
      <c r="B3974" s="22" t="str">
        <f>IFERROR(__xludf.DUMMYFUNCTION("""COMPUTED_VALUE"""),"確定")</f>
        <v>確定</v>
      </c>
      <c r="C3974" s="28">
        <f>IFERROR(__xludf.DUMMYFUNCTION("""COMPUTED_VALUE"""),45917.0)</f>
        <v>45917</v>
      </c>
      <c r="D3974" s="28">
        <f>IFERROR(__xludf.DUMMYFUNCTION("""COMPUTED_VALUE"""),45919.0)</f>
        <v>45919</v>
      </c>
      <c r="E3974" s="26">
        <f>IFERROR(__xludf.DUMMYFUNCTION("""COMPUTED_VALUE"""),340771.0)</f>
        <v>340771</v>
      </c>
      <c r="F3974" s="22" t="str">
        <f>IFERROR(__xludf.DUMMYFUNCTION("""COMPUTED_VALUE"""),"ごめんなさい。今から先輩をめちゃくちゃにします…")</f>
        <v>ごめんなさい。今から先輩をめちゃくちゃにします…</v>
      </c>
      <c r="G3974" s="20">
        <f>IFERROR(__xludf.DUMMYFUNCTION("""COMPUTED_VALUE"""),1.0)</f>
        <v>1</v>
      </c>
      <c r="H3974" s="22" t="str">
        <f>IFERROR(__xludf.DUMMYFUNCTION("""COMPUTED_VALUE"""),"五時半")</f>
        <v>五時半</v>
      </c>
      <c r="I3974" s="22" t="str">
        <f>IFERROR(__xludf.DUMMYFUNCTION("""COMPUTED_VALUE"""),"アダルト")</f>
        <v>アダルト</v>
      </c>
      <c r="J3974" s="22"/>
      <c r="K3974" s="22"/>
      <c r="L3974" s="22" t="str">
        <f>IFERROR(__xludf.DUMMYFUNCTION("""COMPUTED_VALUE"""),"ナイトコミック")</f>
        <v>ナイトコミック</v>
      </c>
      <c r="M3974" s="33">
        <f>IFERROR(__xludf.DUMMYFUNCTION("""COMPUTED_VALUE"""),45975.0)</f>
        <v>45975</v>
      </c>
      <c r="N3974" s="33">
        <f>IFERROR(__xludf.DUMMYFUNCTION("""COMPUTED_VALUE"""),46030.0)</f>
        <v>46030</v>
      </c>
      <c r="O3974" s="20"/>
      <c r="P3974" s="32" t="str">
        <f>IFERROR(__xludf.DUMMYFUNCTION("""COMPUTED_VALUE"""),"可")</f>
        <v>可</v>
      </c>
      <c r="Q3974" s="30"/>
      <c r="R3974" s="22"/>
      <c r="S3974" s="22" t="str">
        <f>IFERROR(__xludf.DUMMYFUNCTION("""COMPUTED_VALUE"""),"20250917_ナイトコミック_ごめんなさい。今から先輩をめちゃくちゃにします…")</f>
        <v>20250917_ナイトコミック_ごめんなさい。今から先輩をめちゃくちゃにします…</v>
      </c>
      <c r="T3974" s="22" t="str">
        <f>IFERROR(__xludf.DUMMYFUNCTION("""COMPUTED_VALUE"""),"格納済み")</f>
        <v>格納済み</v>
      </c>
      <c r="U3974" s="9" t="str">
        <f>IFERROR(__xludf.DUMMYFUNCTION("""COMPUTED_VALUE"""),"Ⓒ五時半")</f>
        <v>Ⓒ五時半</v>
      </c>
      <c r="V3974" s="8"/>
      <c r="W3974" s="8"/>
      <c r="X3974" s="8" t="str">
        <f>IFERROR(__xludf.DUMMYFUNCTION("""COMPUTED_VALUE"""),"有")</f>
        <v>有</v>
      </c>
      <c r="Y3974" s="8" t="str">
        <f>IFERROR(__xludf.DUMMYFUNCTION("""COMPUTED_VALUE"""),"P8まで")</f>
        <v>P8まで</v>
      </c>
      <c r="Z3974" s="7"/>
      <c r="AA3974" s="7"/>
      <c r="AB3974" s="7"/>
    </row>
    <row r="3975" ht="15.75" customHeight="1">
      <c r="A3975" s="26">
        <f>IFERROR(__xludf.DUMMYFUNCTION("""COMPUTED_VALUE"""),6531.0)</f>
        <v>6531</v>
      </c>
      <c r="B3975" s="22" t="str">
        <f>IFERROR(__xludf.DUMMYFUNCTION("""COMPUTED_VALUE"""),"確定")</f>
        <v>確定</v>
      </c>
      <c r="C3975" s="28">
        <f>IFERROR(__xludf.DUMMYFUNCTION("""COMPUTED_VALUE"""),45919.0)</f>
        <v>45919</v>
      </c>
      <c r="D3975" s="28">
        <f>IFERROR(__xludf.DUMMYFUNCTION("""COMPUTED_VALUE"""),45922.0)</f>
        <v>45922</v>
      </c>
      <c r="E3975" s="26">
        <f>IFERROR(__xludf.DUMMYFUNCTION("""COMPUTED_VALUE"""),339366.0)</f>
        <v>339366</v>
      </c>
      <c r="F3975" s="22" t="str">
        <f>IFERROR(__xludf.DUMMYFUNCTION("""COMPUTED_VALUE"""),"トロ蜜えっち。-頑張り屋OL、絶倫キャストのトロ甘えっちで心も体も癒されちゃいました- R版")</f>
        <v>トロ蜜えっち。-頑張り屋OL、絶倫キャストのトロ甘えっちで心も体も癒されちゃいました- R版</v>
      </c>
      <c r="G3975" s="20" t="str">
        <f>IFERROR(__xludf.DUMMYFUNCTION("""COMPUTED_VALUE"""),"1～3")</f>
        <v>1～3</v>
      </c>
      <c r="H3975" s="22" t="str">
        <f>IFERROR(__xludf.DUMMYFUNCTION("""COMPUTED_VALUE"""),"柚りゆう・千賀つづら")</f>
        <v>柚りゆう・千賀つづら</v>
      </c>
      <c r="I3975" s="22" t="str">
        <f>IFERROR(__xludf.DUMMYFUNCTION("""COMPUTED_VALUE"""),"アダルト")</f>
        <v>アダルト</v>
      </c>
      <c r="J3975" s="22"/>
      <c r="K3975" s="22"/>
      <c r="L3975" s="22" t="str">
        <f>IFERROR(__xludf.DUMMYFUNCTION("""COMPUTED_VALUE"""),"ライトリーズン")</f>
        <v>ライトリーズン</v>
      </c>
      <c r="M3975" s="33">
        <f>IFERROR(__xludf.DUMMYFUNCTION("""COMPUTED_VALUE"""),45954.0)</f>
        <v>45954</v>
      </c>
      <c r="N3975" s="33">
        <f>IFERROR(__xludf.DUMMYFUNCTION("""COMPUTED_VALUE"""),45682.0)</f>
        <v>45682</v>
      </c>
      <c r="O3975" s="20"/>
      <c r="P3975" s="32" t="str">
        <f>IFERROR(__xludf.DUMMYFUNCTION("""COMPUTED_VALUE"""),"可")</f>
        <v>可</v>
      </c>
      <c r="Q3975" s="30"/>
      <c r="R3975" s="22"/>
      <c r="S3975" s="22" t="str">
        <f>IFERROR(__xludf.DUMMYFUNCTION("""COMPUTED_VALUE"""),"20250919_ライトリーズン_トロ蜜えっち。-頑張り屋OL、絶倫キャストのトロ甘えっちで心も体も癒されちゃいました- R版")</f>
        <v>20250919_ライトリーズン_トロ蜜えっち。-頑張り屋OL、絶倫キャストのトロ甘えっちで心も体も癒されちゃいました- R版</v>
      </c>
      <c r="T3975" s="22" t="str">
        <f>IFERROR(__xludf.DUMMYFUNCTION("""COMPUTED_VALUE"""),"格納済み")</f>
        <v>格納済み</v>
      </c>
      <c r="U3975" s="9" t="str">
        <f>IFERROR(__xludf.DUMMYFUNCTION("""COMPUTED_VALUE"""),"(C)柚りゆう・千賀つづら/ライトリーズン")</f>
        <v>(C)柚りゆう・千賀つづら/ライトリーズン</v>
      </c>
      <c r="V3975" s="8"/>
      <c r="W3975" s="8"/>
      <c r="X3975" s="8" t="str">
        <f>IFERROR(__xludf.DUMMYFUNCTION("""COMPUTED_VALUE"""),"有")</f>
        <v>有</v>
      </c>
      <c r="Y3975" s="8" t="str">
        <f>IFERROR(__xludf.DUMMYFUNCTION("""COMPUTED_VALUE"""),"20256/1/25まで1巻無料")</f>
        <v>20256/1/25まで1巻無料</v>
      </c>
      <c r="Z3975" s="7"/>
      <c r="AA3975" s="7"/>
      <c r="AB3975" s="7"/>
    </row>
    <row r="3976" ht="15.75" customHeight="1">
      <c r="A3976" s="26">
        <f>IFERROR(__xludf.DUMMYFUNCTION("""COMPUTED_VALUE"""),6535.0)</f>
        <v>6535</v>
      </c>
      <c r="B3976" s="22" t="str">
        <f>IFERROR(__xludf.DUMMYFUNCTION("""COMPUTED_VALUE"""),"確定")</f>
        <v>確定</v>
      </c>
      <c r="C3976" s="28">
        <f>IFERROR(__xludf.DUMMYFUNCTION("""COMPUTED_VALUE"""),45922.0)</f>
        <v>45922</v>
      </c>
      <c r="D3976" s="28">
        <f>IFERROR(__xludf.DUMMYFUNCTION("""COMPUTED_VALUE"""),45924.0)</f>
        <v>45924</v>
      </c>
      <c r="E3976" s="26">
        <f>IFERROR(__xludf.DUMMYFUNCTION("""COMPUTED_VALUE"""),236491.0)</f>
        <v>236491</v>
      </c>
      <c r="F3976" s="22" t="str">
        <f>IFERROR(__xludf.DUMMYFUNCTION("""COMPUTED_VALUE"""),"忘れられない恋をして【シーモア限定特典付き】【コミックス版】")</f>
        <v>忘れられない恋をして【シーモア限定特典付き】【コミックス版】</v>
      </c>
      <c r="G3976" s="20" t="str">
        <f>IFERROR(__xludf.DUMMYFUNCTION("""COMPUTED_VALUE"""),"2巻目")</f>
        <v>2巻目</v>
      </c>
      <c r="H3976" s="22" t="str">
        <f>IFERROR(__xludf.DUMMYFUNCTION("""COMPUTED_VALUE"""),"もちぱむ")</f>
        <v>もちぱむ</v>
      </c>
      <c r="I3976" s="22" t="str">
        <f>IFERROR(__xludf.DUMMYFUNCTION("""COMPUTED_VALUE"""),"BLマンガ")</f>
        <v>BLマンガ</v>
      </c>
      <c r="J3976" s="22"/>
      <c r="K3976" s="22" t="str">
        <f>IFERROR(__xludf.DUMMYFUNCTION("""COMPUTED_VALUE"""),"プラセボ")</f>
        <v>プラセボ</v>
      </c>
      <c r="L3976" s="22" t="str">
        <f>IFERROR(__xludf.DUMMYFUNCTION("""COMPUTED_VALUE"""),"笠倉出版社")</f>
        <v>笠倉出版社</v>
      </c>
      <c r="M3976" s="33">
        <f>IFERROR(__xludf.DUMMYFUNCTION("""COMPUTED_VALUE"""),45948.0)</f>
        <v>45948</v>
      </c>
      <c r="N3976" s="33">
        <f>IFERROR(__xludf.DUMMYFUNCTION("""COMPUTED_VALUE"""),2958465.0)</f>
        <v>2958465</v>
      </c>
      <c r="O3976" s="20"/>
      <c r="P3976" s="32" t="str">
        <f>IFERROR(__xludf.DUMMYFUNCTION("""COMPUTED_VALUE"""),"可")</f>
        <v>可</v>
      </c>
      <c r="Q3976" s="30" t="str">
        <f>IFERROR(__xludf.DUMMYFUNCTION("""COMPUTED_VALUE"""),"【アダルト作品扱い】&lt;BR&gt;シーモア限定BOOKです")</f>
        <v>【アダルト作品扱い】&lt;BR&gt;シーモア限定BOOKです</v>
      </c>
      <c r="R3976" s="22" t="str">
        <f>IFERROR(__xludf.DUMMYFUNCTION("""COMPUTED_VALUE"""),"コミットOK")</f>
        <v>コミットOK</v>
      </c>
      <c r="S3976" s="22" t="str">
        <f>IFERROR(__xludf.DUMMYFUNCTION("""COMPUTED_VALUE"""),"20250922_笠倉出版社_忘れられない恋をして LIKE MORE【シーモア限定BOOK】_もちぱむ")</f>
        <v>20250922_笠倉出版社_忘れられない恋をして LIKE MORE【シーモア限定BOOK】_もちぱむ</v>
      </c>
      <c r="T3976" s="22" t="str">
        <f>IFERROR(__xludf.DUMMYFUNCTION("""COMPUTED_VALUE"""),"格納済み")</f>
        <v>格納済み</v>
      </c>
      <c r="U3976" s="9" t="str">
        <f>IFERROR(__xludf.DUMMYFUNCTION("""COMPUTED_VALUE"""),"Ⓒもちぱむ/笠倉出版社")</f>
        <v>Ⓒもちぱむ/笠倉出版社</v>
      </c>
      <c r="V3976" s="8"/>
      <c r="W3976" s="8"/>
      <c r="X3976" s="8" t="str">
        <f>IFERROR(__xludf.DUMMYFUNCTION("""COMPUTED_VALUE"""),"有")</f>
        <v>有</v>
      </c>
      <c r="Y3976" s="8" t="str">
        <f>IFERROR(__xludf.DUMMYFUNCTION("""COMPUTED_VALUE"""),"2025/11/17まで1巻立ち読み増量(P38)")</f>
        <v>2025/11/17まで1巻立ち読み増量(P38)</v>
      </c>
      <c r="Z3976" s="7"/>
      <c r="AA3976" s="7"/>
      <c r="AB3976" s="7"/>
    </row>
    <row r="3977" ht="15.75" customHeight="1">
      <c r="A3977" s="26">
        <f>IFERROR(__xludf.DUMMYFUNCTION("""COMPUTED_VALUE"""),5658.0)</f>
        <v>5658</v>
      </c>
      <c r="B3977" s="22" t="str">
        <f>IFERROR(__xludf.DUMMYFUNCTION("""COMPUTED_VALUE"""),"確定")</f>
        <v>確定</v>
      </c>
      <c r="C3977" s="28">
        <f>IFERROR(__xludf.DUMMYFUNCTION("""COMPUTED_VALUE"""),45800.0)</f>
        <v>45800</v>
      </c>
      <c r="D3977" s="28">
        <f>IFERROR(__xludf.DUMMYFUNCTION("""COMPUTED_VALUE"""),45926.0)</f>
        <v>45926</v>
      </c>
      <c r="E3977" s="26">
        <f>IFERROR(__xludf.DUMMYFUNCTION("""COMPUTED_VALUE"""),338343.0)</f>
        <v>338343</v>
      </c>
      <c r="F3977" s="22" t="str">
        <f>IFERROR(__xludf.DUMMYFUNCTION("""COMPUTED_VALUE"""),"人の稚魚")</f>
        <v>人の稚魚</v>
      </c>
      <c r="G3977" s="20" t="str">
        <f>IFERROR(__xludf.DUMMYFUNCTION("""COMPUTED_VALUE"""),"1～2")</f>
        <v>1～2</v>
      </c>
      <c r="H3977" s="22" t="str">
        <f>IFERROR(__xludf.DUMMYFUNCTION("""COMPUTED_VALUE"""),"余津一")</f>
        <v>余津一</v>
      </c>
      <c r="I3977" s="22" t="str">
        <f>IFERROR(__xludf.DUMMYFUNCTION("""COMPUTED_VALUE"""),"BL")</f>
        <v>BL</v>
      </c>
      <c r="J3977" s="22"/>
      <c r="K3977" s="22"/>
      <c r="L3977" s="22" t="str">
        <f>IFERROR(__xludf.DUMMYFUNCTION("""COMPUTED_VALUE"""),"新潮社")</f>
        <v>新潮社</v>
      </c>
      <c r="M3977" s="33">
        <f>IFERROR(__xludf.DUMMYFUNCTION("""COMPUTED_VALUE"""),45945.0)</f>
        <v>45945</v>
      </c>
      <c r="N3977" s="33">
        <f>IFERROR(__xludf.DUMMYFUNCTION("""COMPUTED_VALUE"""),46386.0)</f>
        <v>46386</v>
      </c>
      <c r="O3977" s="20"/>
      <c r="P3977" s="32" t="str">
        <f>IFERROR(__xludf.DUMMYFUNCTION("""COMPUTED_VALUE"""),"可")</f>
        <v>可</v>
      </c>
      <c r="Q3977" s="30" t="str">
        <f>IFERROR(__xludf.DUMMYFUNCTION("""COMPUTED_VALUE"""),"・著者は同人で実績があり、本作が商業デビュー作となります&lt;BR&gt;")</f>
        <v>・著者は同人で実績があり、本作が商業デビュー作となります&lt;BR&gt;</v>
      </c>
      <c r="R3977" s="22" t="str">
        <f>IFERROR(__xludf.DUMMYFUNCTION("""COMPUTED_VALUE"""),"コミットOK")</f>
        <v>コミットOK</v>
      </c>
      <c r="S3977" s="22" t="str">
        <f>IFERROR(__xludf.DUMMYFUNCTION("""COMPUTED_VALUE"""),"20250916_新潮社_人の稚魚")</f>
        <v>20250916_新潮社_人の稚魚</v>
      </c>
      <c r="T3977" s="22" t="str">
        <f>IFERROR(__xludf.DUMMYFUNCTION("""COMPUTED_VALUE"""),"格納済み")</f>
        <v>格納済み</v>
      </c>
      <c r="U3977" s="9" t="str">
        <f>IFERROR(__xludf.DUMMYFUNCTION("""COMPUTED_VALUE"""),"Ⓒ余津一／新潮社")</f>
        <v>Ⓒ余津一／新潮社</v>
      </c>
      <c r="V3977" s="8"/>
      <c r="W3977" s="8"/>
      <c r="X3977" s="8" t="str">
        <f>IFERROR(__xludf.DUMMYFUNCTION("""COMPUTED_VALUE"""),"有")</f>
        <v>有</v>
      </c>
      <c r="Y3977" s="8" t="str">
        <f>IFERROR(__xludf.DUMMYFUNCTION("""COMPUTED_VALUE"""),"P5まで")</f>
        <v>P5まで</v>
      </c>
      <c r="Z3977" s="7"/>
      <c r="AA3977" s="7"/>
      <c r="AB3977" s="7"/>
    </row>
    <row r="3978" ht="15.75" customHeight="1">
      <c r="A3978" s="26">
        <f>IFERROR(__xludf.DUMMYFUNCTION("""COMPUTED_VALUE"""),5932.0)</f>
        <v>5932</v>
      </c>
      <c r="B3978" s="22" t="str">
        <f>IFERROR(__xludf.DUMMYFUNCTION("""COMPUTED_VALUE"""),"確定")</f>
        <v>確定</v>
      </c>
      <c r="C3978" s="28">
        <f>IFERROR(__xludf.DUMMYFUNCTION("""COMPUTED_VALUE"""),45833.0)</f>
        <v>45833</v>
      </c>
      <c r="D3978" s="28">
        <f>IFERROR(__xludf.DUMMYFUNCTION("""COMPUTED_VALUE"""),45931.0)</f>
        <v>45931</v>
      </c>
      <c r="E3978" s="26">
        <f>IFERROR(__xludf.DUMMYFUNCTION("""COMPUTED_VALUE"""),339065.0)</f>
        <v>339065</v>
      </c>
      <c r="F3978" s="22" t="str">
        <f>IFERROR(__xludf.DUMMYFUNCTION("""COMPUTED_VALUE"""),"トイレの花緒さん～都市伝説に遭遇したら家族が増えました～")</f>
        <v>トイレの花緒さん～都市伝説に遭遇したら家族が増えました～</v>
      </c>
      <c r="G3978" s="20">
        <f>IFERROR(__xludf.DUMMYFUNCTION("""COMPUTED_VALUE"""),1.0)</f>
        <v>1</v>
      </c>
      <c r="H3978" s="22" t="str">
        <f>IFERROR(__xludf.DUMMYFUNCTION("""COMPUTED_VALUE"""),"藤咲もえ")</f>
        <v>藤咲もえ</v>
      </c>
      <c r="I3978" s="22" t="str">
        <f>IFERROR(__xludf.DUMMYFUNCTION("""COMPUTED_VALUE"""),"BL")</f>
        <v>BL</v>
      </c>
      <c r="J3978" s="22"/>
      <c r="K3978" s="22" t="str">
        <f>IFERROR(__xludf.DUMMYFUNCTION("""COMPUTED_VALUE"""),"NuPu")</f>
        <v>NuPu</v>
      </c>
      <c r="L3978" s="22" t="str">
        <f>IFERROR(__xludf.DUMMYFUNCTION("""COMPUTED_VALUE"""),"CLLENN")</f>
        <v>CLLENN</v>
      </c>
      <c r="M3978" s="33">
        <f>IFERROR(__xludf.DUMMYFUNCTION("""COMPUTED_VALUE"""),45953.0)</f>
        <v>45953</v>
      </c>
      <c r="N3978" s="33">
        <f>IFERROR(__xludf.DUMMYFUNCTION("""COMPUTED_VALUE"""),46015.0)</f>
        <v>46015</v>
      </c>
      <c r="O3978" s="20"/>
      <c r="P3978" s="32" t="str">
        <f>IFERROR(__xludf.DUMMYFUNCTION("""COMPUTED_VALUE"""),"可")</f>
        <v>可</v>
      </c>
      <c r="Q3978" s="30" t="str">
        <f>IFERROR(__xludf.DUMMYFUNCTION("""COMPUTED_VALUE"""),"【アダルト作品扱い】")</f>
        <v>【アダルト作品扱い】</v>
      </c>
      <c r="R3978" s="22" t="str">
        <f>IFERROR(__xludf.DUMMYFUNCTION("""COMPUTED_VALUE"""),"コミットNG")</f>
        <v>コミットNG</v>
      </c>
      <c r="S3978" s="22" t="str">
        <f>IFERROR(__xludf.DUMMYFUNCTION("""COMPUTED_VALUE"""),"20250930_CLLENN_トイレの花緒さん～都市伝説に遭遇したら家族が増えました～")</f>
        <v>20250930_CLLENN_トイレの花緒さん～都市伝説に遭遇したら家族が増えました～</v>
      </c>
      <c r="T3978" s="22" t="str">
        <f>IFERROR(__xludf.DUMMYFUNCTION("""COMPUTED_VALUE"""),"格納済み")</f>
        <v>格納済み</v>
      </c>
      <c r="U3978" s="9" t="str">
        <f>IFERROR(__xludf.DUMMYFUNCTION("""COMPUTED_VALUE"""),"Ⓒ藤咲もえ/CLLENN")</f>
        <v>Ⓒ藤咲もえ/CLLENN</v>
      </c>
      <c r="V3978" s="8"/>
      <c r="W3978" s="8"/>
      <c r="X3978" s="8" t="str">
        <f>IFERROR(__xludf.DUMMYFUNCTION("""COMPUTED_VALUE"""),"有")</f>
        <v>有</v>
      </c>
      <c r="Y3978" s="8" t="str">
        <f>IFERROR(__xludf.DUMMYFUNCTION("""COMPUTED_VALUE"""),"P10まで")</f>
        <v>P10まで</v>
      </c>
      <c r="Z3978" s="7"/>
      <c r="AA3978" s="7"/>
      <c r="AB3978" s="7"/>
    </row>
    <row r="3979" ht="15.75" customHeight="1">
      <c r="A3979" s="26">
        <f>IFERROR(__xludf.DUMMYFUNCTION("""COMPUTED_VALUE"""),6019.0)</f>
        <v>6019</v>
      </c>
      <c r="B3979" s="22" t="str">
        <f>IFERROR(__xludf.DUMMYFUNCTION("""COMPUTED_VALUE"""),"確定")</f>
        <v>確定</v>
      </c>
      <c r="C3979" s="28">
        <f>IFERROR(__xludf.DUMMYFUNCTION("""COMPUTED_VALUE"""),45846.0)</f>
        <v>45846</v>
      </c>
      <c r="D3979" s="28">
        <f>IFERROR(__xludf.DUMMYFUNCTION("""COMPUTED_VALUE"""),45925.0)</f>
        <v>45925</v>
      </c>
      <c r="E3979" s="26">
        <f>IFERROR(__xludf.DUMMYFUNCTION("""COMPUTED_VALUE"""),339803.0)</f>
        <v>339803</v>
      </c>
      <c r="F3979" s="22" t="str">
        <f>IFERROR(__xludf.DUMMYFUNCTION("""COMPUTED_VALUE"""),"派手顔だから男好きだなんてひどい誤解です。愛人のお誘いも勘弁してください。面倒くさいので、お飾りの妻になってさっさと引きこもろうと思います。")</f>
        <v>派手顔だから男好きだなんてひどい誤解です。愛人のお誘いも勘弁してください。面倒くさいので、お飾りの妻になってさっさと引きこもろうと思います。</v>
      </c>
      <c r="G3979" s="20">
        <f>IFERROR(__xludf.DUMMYFUNCTION("""COMPUTED_VALUE"""),1.0)</f>
        <v>1</v>
      </c>
      <c r="H3979" s="22" t="str">
        <f>IFERROR(__xludf.DUMMYFUNCTION("""COMPUTED_VALUE"""),"漫画：杏ばた　原作：石河翠")</f>
        <v>漫画：杏ばた　原作：石河翠</v>
      </c>
      <c r="I3979" s="22" t="str">
        <f>IFERROR(__xludf.DUMMYFUNCTION("""COMPUTED_VALUE"""),"少女")</f>
        <v>少女</v>
      </c>
      <c r="J3979" s="22"/>
      <c r="K3979" s="22" t="str">
        <f>IFERROR(__xludf.DUMMYFUNCTION("""COMPUTED_VALUE"""),"ZERO-SUMコミックス")</f>
        <v>ZERO-SUMコミックス</v>
      </c>
      <c r="L3979" s="22" t="str">
        <f>IFERROR(__xludf.DUMMYFUNCTION("""COMPUTED_VALUE"""),"一迅社")</f>
        <v>一迅社</v>
      </c>
      <c r="M3979" s="33">
        <f>IFERROR(__xludf.DUMMYFUNCTION("""COMPUTED_VALUE"""),45962.0)</f>
        <v>45962</v>
      </c>
      <c r="N3979" s="33">
        <f>IFERROR(__xludf.DUMMYFUNCTION("""COMPUTED_VALUE"""),45991.0)</f>
        <v>45991</v>
      </c>
      <c r="O3979" s="20"/>
      <c r="P3979" s="32" t="str">
        <f>IFERROR(__xludf.DUMMYFUNCTION("""COMPUTED_VALUE"""),"否")</f>
        <v>否</v>
      </c>
      <c r="Q3979" s="30" t="str">
        <f>IFERROR(__xludf.DUMMYFUNCTION("""COMPUTED_VALUE"""),"「お飾り妻は冷酷旦那様と離縁したい！ ～実は溺愛されていたなんて知りません～アンソロジーコミック: 2」掲載作品です。")</f>
        <v>「お飾り妻は冷酷旦那様と離縁したい！ ～実は溺愛されていたなんて知りません～アンソロジーコミック: 2」掲載作品です。</v>
      </c>
      <c r="R3979" s="22"/>
      <c r="S3979" s="22" t="str">
        <f>IFERROR(__xludf.DUMMYFUNCTION("""COMPUTED_VALUE"""),"20250925_一迅社_派手顔だから男好きだなんてひどい誤解です。愛人のお誘いも勘弁してください。面倒くさいので、お飾りの妻になってさっさと引きこもろうと思います。_修正")</f>
        <v>20250925_一迅社_派手顔だから男好きだなんてひどい誤解です。愛人のお誘いも勘弁してください。面倒くさいので、お飾りの妻になってさっさと引きこもろうと思います。_修正</v>
      </c>
      <c r="T3979" s="22" t="str">
        <f>IFERROR(__xludf.DUMMYFUNCTION("""COMPUTED_VALUE"""),"格納済み")</f>
        <v>格納済み</v>
      </c>
      <c r="U3979" s="9" t="str">
        <f>IFERROR(__xludf.DUMMYFUNCTION("""COMPUTED_VALUE"""),"(C)杏ばた・石河翠／一迅社")</f>
        <v>(C)杏ばた・石河翠／一迅社</v>
      </c>
      <c r="V3979" s="8"/>
      <c r="W3979" s="8"/>
      <c r="X3979" s="8" t="str">
        <f>IFERROR(__xludf.DUMMYFUNCTION("""COMPUTED_VALUE"""),"有")</f>
        <v>有</v>
      </c>
      <c r="Y3979" s="8" t="str">
        <f>IFERROR(__xludf.DUMMYFUNCTION("""COMPUTED_VALUE"""),"P9まで")</f>
        <v>P9まで</v>
      </c>
      <c r="Z3979" s="7"/>
      <c r="AA3979" s="7"/>
      <c r="AB3979" s="7"/>
    </row>
    <row r="3980" ht="15.75" customHeight="1">
      <c r="A3980" s="26">
        <f>IFERROR(__xludf.DUMMYFUNCTION("""COMPUTED_VALUE"""),6020.0)</f>
        <v>6020</v>
      </c>
      <c r="B3980" s="22" t="str">
        <f>IFERROR(__xludf.DUMMYFUNCTION("""COMPUTED_VALUE"""),"確定")</f>
        <v>確定</v>
      </c>
      <c r="C3980" s="28">
        <f>IFERROR(__xludf.DUMMYFUNCTION("""COMPUTED_VALUE"""),45846.0)</f>
        <v>45846</v>
      </c>
      <c r="D3980" s="28">
        <f>IFERROR(__xludf.DUMMYFUNCTION("""COMPUTED_VALUE"""),45925.0)</f>
        <v>45925</v>
      </c>
      <c r="E3980" s="26">
        <f>IFERROR(__xludf.DUMMYFUNCTION("""COMPUTED_VALUE"""),339804.0)</f>
        <v>339804</v>
      </c>
      <c r="F3980" s="22" t="str">
        <f>IFERROR(__xludf.DUMMYFUNCTION("""COMPUTED_VALUE"""),"年下旦那様は才女な奥様に敵わない")</f>
        <v>年下旦那様は才女な奥様に敵わない</v>
      </c>
      <c r="G3980" s="20">
        <f>IFERROR(__xludf.DUMMYFUNCTION("""COMPUTED_VALUE"""),1.0)</f>
        <v>1</v>
      </c>
      <c r="H3980" s="22" t="str">
        <f>IFERROR(__xludf.DUMMYFUNCTION("""COMPUTED_VALUE"""),"漫画：あずやちとせ")</f>
        <v>漫画：あずやちとせ</v>
      </c>
      <c r="I3980" s="22" t="str">
        <f>IFERROR(__xludf.DUMMYFUNCTION("""COMPUTED_VALUE"""),"少女")</f>
        <v>少女</v>
      </c>
      <c r="J3980" s="22"/>
      <c r="K3980" s="22" t="str">
        <f>IFERROR(__xludf.DUMMYFUNCTION("""COMPUTED_VALUE"""),"ZERO-SUMコミックス")</f>
        <v>ZERO-SUMコミックス</v>
      </c>
      <c r="L3980" s="22" t="str">
        <f>IFERROR(__xludf.DUMMYFUNCTION("""COMPUTED_VALUE"""),"一迅社")</f>
        <v>一迅社</v>
      </c>
      <c r="M3980" s="33">
        <f>IFERROR(__xludf.DUMMYFUNCTION("""COMPUTED_VALUE"""),45962.0)</f>
        <v>45962</v>
      </c>
      <c r="N3980" s="33">
        <f>IFERROR(__xludf.DUMMYFUNCTION("""COMPUTED_VALUE"""),45991.0)</f>
        <v>45991</v>
      </c>
      <c r="O3980" s="20"/>
      <c r="P3980" s="32" t="str">
        <f>IFERROR(__xludf.DUMMYFUNCTION("""COMPUTED_VALUE"""),"否")</f>
        <v>否</v>
      </c>
      <c r="Q3980" s="30" t="str">
        <f>IFERROR(__xludf.DUMMYFUNCTION("""COMPUTED_VALUE"""),"「お飾り妻は冷酷旦那様と離縁したい！ ～実は溺愛されていたなんて知りません～アンソロジーコミック: 2」掲載作品です")</f>
        <v>「お飾り妻は冷酷旦那様と離縁したい！ ～実は溺愛されていたなんて知りません～アンソロジーコミック: 2」掲載作品です</v>
      </c>
      <c r="R3980" s="22"/>
      <c r="S3980" s="22" t="str">
        <f>IFERROR(__xludf.DUMMYFUNCTION("""COMPUTED_VALUE"""),"20250925_一迅社_年下旦那様は才女な奥様に敵わない_修正")</f>
        <v>20250925_一迅社_年下旦那様は才女な奥様に敵わない_修正</v>
      </c>
      <c r="T3980" s="22" t="str">
        <f>IFERROR(__xludf.DUMMYFUNCTION("""COMPUTED_VALUE"""),"格納済み")</f>
        <v>格納済み</v>
      </c>
      <c r="U3980" s="9" t="str">
        <f>IFERROR(__xludf.DUMMYFUNCTION("""COMPUTED_VALUE"""),"(C)あずやちとせ／一迅社")</f>
        <v>(C)あずやちとせ／一迅社</v>
      </c>
      <c r="V3980" s="8"/>
      <c r="W3980" s="8"/>
      <c r="X3980" s="8" t="str">
        <f>IFERROR(__xludf.DUMMYFUNCTION("""COMPUTED_VALUE"""),"有")</f>
        <v>有</v>
      </c>
      <c r="Y3980" s="8" t="str">
        <f>IFERROR(__xludf.DUMMYFUNCTION("""COMPUTED_VALUE"""),"P8まで")</f>
        <v>P8まで</v>
      </c>
      <c r="Z3980" s="7"/>
      <c r="AA3980" s="7"/>
      <c r="AB3980" s="7"/>
    </row>
    <row r="3981" ht="15.75" customHeight="1">
      <c r="A3981" s="26">
        <f>IFERROR(__xludf.DUMMYFUNCTION("""COMPUTED_VALUE"""),6021.0)</f>
        <v>6021</v>
      </c>
      <c r="B3981" s="22" t="str">
        <f>IFERROR(__xludf.DUMMYFUNCTION("""COMPUTED_VALUE"""),"確定")</f>
        <v>確定</v>
      </c>
      <c r="C3981" s="28">
        <f>IFERROR(__xludf.DUMMYFUNCTION("""COMPUTED_VALUE"""),45846.0)</f>
        <v>45846</v>
      </c>
      <c r="D3981" s="28">
        <f>IFERROR(__xludf.DUMMYFUNCTION("""COMPUTED_VALUE"""),45925.0)</f>
        <v>45925</v>
      </c>
      <c r="E3981" s="26">
        <f>IFERROR(__xludf.DUMMYFUNCTION("""COMPUTED_VALUE"""),339805.0)</f>
        <v>339805</v>
      </c>
      <c r="F3981" s="22" t="str">
        <f>IFERROR(__xludf.DUMMYFUNCTION("""COMPUTED_VALUE"""),"旦那様、離縁してください〜避けられ続けてもう限界です〜")</f>
        <v>旦那様、離縁してください〜避けられ続けてもう限界です〜</v>
      </c>
      <c r="G3981" s="20">
        <f>IFERROR(__xludf.DUMMYFUNCTION("""COMPUTED_VALUE"""),1.0)</f>
        <v>1</v>
      </c>
      <c r="H3981" s="22" t="str">
        <f>IFERROR(__xludf.DUMMYFUNCTION("""COMPUTED_VALUE"""),"漫画：稲　原作：鬼多見青")</f>
        <v>漫画：稲　原作：鬼多見青</v>
      </c>
      <c r="I3981" s="22" t="str">
        <f>IFERROR(__xludf.DUMMYFUNCTION("""COMPUTED_VALUE"""),"少女")</f>
        <v>少女</v>
      </c>
      <c r="J3981" s="22"/>
      <c r="K3981" s="22" t="str">
        <f>IFERROR(__xludf.DUMMYFUNCTION("""COMPUTED_VALUE"""),"ZERO-SUMコミックス")</f>
        <v>ZERO-SUMコミックス</v>
      </c>
      <c r="L3981" s="22" t="str">
        <f>IFERROR(__xludf.DUMMYFUNCTION("""COMPUTED_VALUE"""),"一迅社")</f>
        <v>一迅社</v>
      </c>
      <c r="M3981" s="33">
        <f>IFERROR(__xludf.DUMMYFUNCTION("""COMPUTED_VALUE"""),45962.0)</f>
        <v>45962</v>
      </c>
      <c r="N3981" s="33">
        <f>IFERROR(__xludf.DUMMYFUNCTION("""COMPUTED_VALUE"""),45991.0)</f>
        <v>45991</v>
      </c>
      <c r="O3981" s="20"/>
      <c r="P3981" s="32" t="str">
        <f>IFERROR(__xludf.DUMMYFUNCTION("""COMPUTED_VALUE"""),"否")</f>
        <v>否</v>
      </c>
      <c r="Q3981" s="30" t="str">
        <f>IFERROR(__xludf.DUMMYFUNCTION("""COMPUTED_VALUE"""),"「お飾り妻は冷酷旦那様と離縁したい！ ～実は溺愛されていたなんて知りません～アンソロジーコミック: 2」掲載作品です")</f>
        <v>「お飾り妻は冷酷旦那様と離縁したい！ ～実は溺愛されていたなんて知りません～アンソロジーコミック: 2」掲載作品です</v>
      </c>
      <c r="R3981" s="22"/>
      <c r="S3981" s="22" t="str">
        <f>IFERROR(__xludf.DUMMYFUNCTION("""COMPUTED_VALUE"""),"20250925_一迅社_旦那様、離縁してください〜避けられ続けてもう限界です〜_修正")</f>
        <v>20250925_一迅社_旦那様、離縁してください〜避けられ続けてもう限界です〜_修正</v>
      </c>
      <c r="T3981" s="22" t="str">
        <f>IFERROR(__xludf.DUMMYFUNCTION("""COMPUTED_VALUE"""),"格納済み")</f>
        <v>格納済み</v>
      </c>
      <c r="U3981" s="9" t="str">
        <f>IFERROR(__xludf.DUMMYFUNCTION("""COMPUTED_VALUE"""),"(C)稲・鬼多見青／一迅社")</f>
        <v>(C)稲・鬼多見青／一迅社</v>
      </c>
      <c r="V3981" s="8"/>
      <c r="W3981" s="8"/>
      <c r="X3981" s="8" t="str">
        <f>IFERROR(__xludf.DUMMYFUNCTION("""COMPUTED_VALUE"""),"有")</f>
        <v>有</v>
      </c>
      <c r="Y3981" s="8" t="str">
        <f>IFERROR(__xludf.DUMMYFUNCTION("""COMPUTED_VALUE"""),"P7まで")</f>
        <v>P7まで</v>
      </c>
      <c r="Z3981" s="7"/>
      <c r="AA3981" s="7"/>
      <c r="AB3981" s="7"/>
    </row>
    <row r="3982" ht="15.75" customHeight="1">
      <c r="A3982" s="26">
        <f>IFERROR(__xludf.DUMMYFUNCTION("""COMPUTED_VALUE"""),6022.0)</f>
        <v>6022</v>
      </c>
      <c r="B3982" s="22" t="str">
        <f>IFERROR(__xludf.DUMMYFUNCTION("""COMPUTED_VALUE"""),"確定")</f>
        <v>確定</v>
      </c>
      <c r="C3982" s="28">
        <f>IFERROR(__xludf.DUMMYFUNCTION("""COMPUTED_VALUE"""),45846.0)</f>
        <v>45846</v>
      </c>
      <c r="D3982" s="28">
        <f>IFERROR(__xludf.DUMMYFUNCTION("""COMPUTED_VALUE"""),45925.0)</f>
        <v>45925</v>
      </c>
      <c r="E3982" s="26">
        <f>IFERROR(__xludf.DUMMYFUNCTION("""COMPUTED_VALUE"""),339806.0)</f>
        <v>339806</v>
      </c>
      <c r="F3982" s="22" t="str">
        <f>IFERROR(__xludf.DUMMYFUNCTION("""COMPUTED_VALUE"""),"初夜に抱いてくれなかった旦那様へ。私は今日から悪女になります")</f>
        <v>初夜に抱いてくれなかった旦那様へ。私は今日から悪女になります</v>
      </c>
      <c r="G3982" s="20">
        <f>IFERROR(__xludf.DUMMYFUNCTION("""COMPUTED_VALUE"""),1.0)</f>
        <v>1</v>
      </c>
      <c r="H3982" s="22" t="str">
        <f>IFERROR(__xludf.DUMMYFUNCTION("""COMPUTED_VALUE"""),"漫画：保志あかり　原作：櫻田りん")</f>
        <v>漫画：保志あかり　原作：櫻田りん</v>
      </c>
      <c r="I3982" s="22" t="str">
        <f>IFERROR(__xludf.DUMMYFUNCTION("""COMPUTED_VALUE"""),"少女")</f>
        <v>少女</v>
      </c>
      <c r="J3982" s="22"/>
      <c r="K3982" s="22" t="str">
        <f>IFERROR(__xludf.DUMMYFUNCTION("""COMPUTED_VALUE"""),"ZERO-SUMコミックス")</f>
        <v>ZERO-SUMコミックス</v>
      </c>
      <c r="L3982" s="22" t="str">
        <f>IFERROR(__xludf.DUMMYFUNCTION("""COMPUTED_VALUE"""),"一迅社")</f>
        <v>一迅社</v>
      </c>
      <c r="M3982" s="33">
        <f>IFERROR(__xludf.DUMMYFUNCTION("""COMPUTED_VALUE"""),45962.0)</f>
        <v>45962</v>
      </c>
      <c r="N3982" s="33">
        <f>IFERROR(__xludf.DUMMYFUNCTION("""COMPUTED_VALUE"""),46203.66666666667)</f>
        <v>46203.66667</v>
      </c>
      <c r="O3982" s="20"/>
      <c r="P3982" s="32" t="str">
        <f>IFERROR(__xludf.DUMMYFUNCTION("""COMPUTED_VALUE"""),"否")</f>
        <v>否</v>
      </c>
      <c r="Q3982" s="30" t="str">
        <f>IFERROR(__xludf.DUMMYFUNCTION("""COMPUTED_VALUE"""),"「お飾り妻は冷酷旦那様と離縁したい！ ～実は溺愛されていたなんて知りません～アンソロジーコミック: 2」掲載作品です")</f>
        <v>「お飾り妻は冷酷旦那様と離縁したい！ ～実は溺愛されていたなんて知りません～アンソロジーコミック: 2」掲載作品です</v>
      </c>
      <c r="R3982" s="22"/>
      <c r="S3982" s="22" t="str">
        <f>IFERROR(__xludf.DUMMYFUNCTION("""COMPUTED_VALUE"""),"20250925_一迅社_初夜に抱いてくれなかった旦那様へ。私は今日から悪女になります_修正")</f>
        <v>20250925_一迅社_初夜に抱いてくれなかった旦那様へ。私は今日から悪女になります_修正</v>
      </c>
      <c r="T3982" s="22" t="str">
        <f>IFERROR(__xludf.DUMMYFUNCTION("""COMPUTED_VALUE"""),"格納済み")</f>
        <v>格納済み</v>
      </c>
      <c r="U3982" s="9" t="str">
        <f>IFERROR(__xludf.DUMMYFUNCTION("""COMPUTED_VALUE"""),"(C)保志あかり・櫻田りん／一迅社")</f>
        <v>(C)保志あかり・櫻田りん／一迅社</v>
      </c>
      <c r="V3982" s="8"/>
      <c r="W3982" s="8"/>
      <c r="X3982" s="8" t="str">
        <f>IFERROR(__xludf.DUMMYFUNCTION("""COMPUTED_VALUE"""),"有")</f>
        <v>有</v>
      </c>
      <c r="Y3982" s="8" t="str">
        <f>IFERROR(__xludf.DUMMYFUNCTION("""COMPUTED_VALUE"""),"P9まで")</f>
        <v>P9まで</v>
      </c>
      <c r="Z3982" s="7"/>
      <c r="AA3982" s="7"/>
      <c r="AB3982" s="7"/>
    </row>
    <row r="3983" ht="15.75" customHeight="1">
      <c r="A3983" s="26">
        <f>IFERROR(__xludf.DUMMYFUNCTION("""COMPUTED_VALUE"""),6023.0)</f>
        <v>6023</v>
      </c>
      <c r="B3983" s="22" t="str">
        <f>IFERROR(__xludf.DUMMYFUNCTION("""COMPUTED_VALUE"""),"確定")</f>
        <v>確定</v>
      </c>
      <c r="C3983" s="28">
        <f>IFERROR(__xludf.DUMMYFUNCTION("""COMPUTED_VALUE"""),45846.0)</f>
        <v>45846</v>
      </c>
      <c r="D3983" s="28">
        <f>IFERROR(__xludf.DUMMYFUNCTION("""COMPUTED_VALUE"""),45929.0)</f>
        <v>45929</v>
      </c>
      <c r="E3983" s="26">
        <f>IFERROR(__xludf.DUMMYFUNCTION("""COMPUTED_VALUE"""),342762.0)</f>
        <v>342762</v>
      </c>
      <c r="F3983" s="22" t="str">
        <f>IFERROR(__xludf.DUMMYFUNCTION("""COMPUTED_VALUE"""),"想い人の想う人")</f>
        <v>想い人の想う人</v>
      </c>
      <c r="G3983" s="20">
        <f>IFERROR(__xludf.DUMMYFUNCTION("""COMPUTED_VALUE"""),1.0)</f>
        <v>1</v>
      </c>
      <c r="H3983" s="22" t="str">
        <f>IFERROR(__xludf.DUMMYFUNCTION("""COMPUTED_VALUE"""),"漫画：九十九万里　原作：雪野茅春")</f>
        <v>漫画：九十九万里　原作：雪野茅春</v>
      </c>
      <c r="I3983" s="22" t="str">
        <f>IFERROR(__xludf.DUMMYFUNCTION("""COMPUTED_VALUE"""),"少女")</f>
        <v>少女</v>
      </c>
      <c r="J3983" s="22"/>
      <c r="K3983" s="22" t="str">
        <f>IFERROR(__xludf.DUMMYFUNCTION("""COMPUTED_VALUE"""),"ZERO-SUMコミックス")</f>
        <v>ZERO-SUMコミックス</v>
      </c>
      <c r="L3983" s="22" t="str">
        <f>IFERROR(__xludf.DUMMYFUNCTION("""COMPUTED_VALUE"""),"一迅社")</f>
        <v>一迅社</v>
      </c>
      <c r="M3983" s="33">
        <f>IFERROR(__xludf.DUMMYFUNCTION("""COMPUTED_VALUE"""),45992.0)</f>
        <v>45992</v>
      </c>
      <c r="N3983" s="33">
        <f>IFERROR(__xludf.DUMMYFUNCTION("""COMPUTED_VALUE"""),46022.0)</f>
        <v>46022</v>
      </c>
      <c r="O3983" s="20"/>
      <c r="P3983" s="32" t="str">
        <f>IFERROR(__xludf.DUMMYFUNCTION("""COMPUTED_VALUE"""),"否")</f>
        <v>否</v>
      </c>
      <c r="Q3983" s="30" t="str">
        <f>IFERROR(__xludf.DUMMYFUNCTION("""COMPUTED_VALUE"""),"「お飾り妻は冷酷旦那様と離縁したい！ ～実は溺愛されていたなんて知りません～アンソロジーコミック: 3」掲載作品です")</f>
        <v>「お飾り妻は冷酷旦那様と離縁したい！ ～実は溺愛されていたなんて知りません～アンソロジーコミック: 3」掲載作品です</v>
      </c>
      <c r="R3983" s="22"/>
      <c r="S3983" s="22" t="str">
        <f>IFERROR(__xludf.DUMMYFUNCTION("""COMPUTED_VALUE"""),"20250929_一迅社_想い人の想う人")</f>
        <v>20250929_一迅社_想い人の想う人</v>
      </c>
      <c r="T3983" s="22" t="str">
        <f>IFERROR(__xludf.DUMMYFUNCTION("""COMPUTED_VALUE"""),"格納済み")</f>
        <v>格納済み</v>
      </c>
      <c r="U3983" s="9" t="str">
        <f>IFERROR(__xludf.DUMMYFUNCTION("""COMPUTED_VALUE"""),"(C)九十九万里・雪野茅春／一迅社")</f>
        <v>(C)九十九万里・雪野茅春／一迅社</v>
      </c>
      <c r="V3983" s="8"/>
      <c r="W3983" s="8"/>
      <c r="X3983" s="8" t="str">
        <f>IFERROR(__xludf.DUMMYFUNCTION("""COMPUTED_VALUE"""),"有")</f>
        <v>有</v>
      </c>
      <c r="Y3983" s="8" t="str">
        <f>IFERROR(__xludf.DUMMYFUNCTION("""COMPUTED_VALUE"""),"P8まで")</f>
        <v>P8まで</v>
      </c>
      <c r="Z3983" s="7"/>
      <c r="AA3983" s="7"/>
      <c r="AB3983" s="7"/>
    </row>
    <row r="3984" ht="15.75" customHeight="1">
      <c r="A3984" s="26">
        <f>IFERROR(__xludf.DUMMYFUNCTION("""COMPUTED_VALUE"""),6024.0)</f>
        <v>6024</v>
      </c>
      <c r="B3984" s="22" t="str">
        <f>IFERROR(__xludf.DUMMYFUNCTION("""COMPUTED_VALUE"""),"確定")</f>
        <v>確定</v>
      </c>
      <c r="C3984" s="28">
        <f>IFERROR(__xludf.DUMMYFUNCTION("""COMPUTED_VALUE"""),45846.0)</f>
        <v>45846</v>
      </c>
      <c r="D3984" s="28">
        <f>IFERROR(__xludf.DUMMYFUNCTION("""COMPUTED_VALUE"""),45925.0)</f>
        <v>45925</v>
      </c>
      <c r="E3984" s="26">
        <f>IFERROR(__xludf.DUMMYFUNCTION("""COMPUTED_VALUE"""),342758.0)</f>
        <v>342758</v>
      </c>
      <c r="F3984" s="22" t="str">
        <f>IFERROR(__xludf.DUMMYFUNCTION("""COMPUTED_VALUE"""),"私の愛しい娘が、自分は悪役令嬢だと言っております。私の呪詛を恋敵に使って断罪されるらしいのですが、同じ失敗を繰り返すつもりはございませんよ？")</f>
        <v>私の愛しい娘が、自分は悪役令嬢だと言っております。私の呪詛を恋敵に使って断罪されるらしいのですが、同じ失敗を繰り返すつもりはございませんよ？</v>
      </c>
      <c r="G3984" s="20">
        <f>IFERROR(__xludf.DUMMYFUNCTION("""COMPUTED_VALUE"""),1.0)</f>
        <v>1</v>
      </c>
      <c r="H3984" s="22" t="str">
        <f>IFERROR(__xludf.DUMMYFUNCTION("""COMPUTED_VALUE"""),"漫画：葉々ねろ　原作：関谷れい")</f>
        <v>漫画：葉々ねろ　原作：関谷れい</v>
      </c>
      <c r="I3984" s="22" t="str">
        <f>IFERROR(__xludf.DUMMYFUNCTION("""COMPUTED_VALUE"""),"少女")</f>
        <v>少女</v>
      </c>
      <c r="J3984" s="22"/>
      <c r="K3984" s="22" t="str">
        <f>IFERROR(__xludf.DUMMYFUNCTION("""COMPUTED_VALUE"""),"ZERO-SUMコミックス")</f>
        <v>ZERO-SUMコミックス</v>
      </c>
      <c r="L3984" s="22" t="str">
        <f>IFERROR(__xludf.DUMMYFUNCTION("""COMPUTED_VALUE"""),"一迅社")</f>
        <v>一迅社</v>
      </c>
      <c r="M3984" s="33">
        <f>IFERROR(__xludf.DUMMYFUNCTION("""COMPUTED_VALUE"""),45992.0)</f>
        <v>45992</v>
      </c>
      <c r="N3984" s="33">
        <f>IFERROR(__xludf.DUMMYFUNCTION("""COMPUTED_VALUE"""),46022.0)</f>
        <v>46022</v>
      </c>
      <c r="O3984" s="20"/>
      <c r="P3984" s="32" t="str">
        <f>IFERROR(__xludf.DUMMYFUNCTION("""COMPUTED_VALUE"""),"否")</f>
        <v>否</v>
      </c>
      <c r="Q3984" s="30" t="str">
        <f>IFERROR(__xludf.DUMMYFUNCTION("""COMPUTED_VALUE"""),"「お飾り妻は冷酷旦那様と離縁したい！ ～実は溺愛されていたなんて知りません～アンソロジーコミック: 3」掲載作品です")</f>
        <v>「お飾り妻は冷酷旦那様と離縁したい！ ～実は溺愛されていたなんて知りません～アンソロジーコミック: 3」掲載作品です</v>
      </c>
      <c r="R3984" s="22"/>
      <c r="S3984" s="22" t="str">
        <f>IFERROR(__xludf.DUMMYFUNCTION("""COMPUTED_VALUE"""),"20250925_一迅社_私の愛しい娘が、自分は悪役令嬢だと言っております。私の呪詛を恋敵に使って断罪されるらしいのですが、同じ失敗を繰り返すつもりはございませんよ？_修正")</f>
        <v>20250925_一迅社_私の愛しい娘が、自分は悪役令嬢だと言っております。私の呪詛を恋敵に使って断罪されるらしいのですが、同じ失敗を繰り返すつもりはございませんよ？_修正</v>
      </c>
      <c r="T3984" s="22" t="str">
        <f>IFERROR(__xludf.DUMMYFUNCTION("""COMPUTED_VALUE"""),"格納済み")</f>
        <v>格納済み</v>
      </c>
      <c r="U3984" s="9" t="str">
        <f>IFERROR(__xludf.DUMMYFUNCTION("""COMPUTED_VALUE"""),"(C)葉々ねろ・関谷れい／一迅社")</f>
        <v>(C)葉々ねろ・関谷れい／一迅社</v>
      </c>
      <c r="V3984" s="8"/>
      <c r="W3984" s="8"/>
      <c r="X3984" s="8" t="str">
        <f>IFERROR(__xludf.DUMMYFUNCTION("""COMPUTED_VALUE"""),"有")</f>
        <v>有</v>
      </c>
      <c r="Y3984" s="8" t="str">
        <f>IFERROR(__xludf.DUMMYFUNCTION("""COMPUTED_VALUE"""),"P8まで")</f>
        <v>P8まで</v>
      </c>
      <c r="Z3984" s="7"/>
      <c r="AA3984" s="7"/>
      <c r="AB3984" s="7"/>
    </row>
    <row r="3985" ht="15.75" customHeight="1">
      <c r="A3985" s="26">
        <f>IFERROR(__xludf.DUMMYFUNCTION("""COMPUTED_VALUE"""),6025.0)</f>
        <v>6025</v>
      </c>
      <c r="B3985" s="22" t="str">
        <f>IFERROR(__xludf.DUMMYFUNCTION("""COMPUTED_VALUE"""),"確定")</f>
        <v>確定</v>
      </c>
      <c r="C3985" s="28">
        <f>IFERROR(__xludf.DUMMYFUNCTION("""COMPUTED_VALUE"""),45846.0)</f>
        <v>45846</v>
      </c>
      <c r="D3985" s="28">
        <f>IFERROR(__xludf.DUMMYFUNCTION("""COMPUTED_VALUE"""),45925.0)</f>
        <v>45925</v>
      </c>
      <c r="E3985" s="26">
        <f>IFERROR(__xludf.DUMMYFUNCTION("""COMPUTED_VALUE"""),342759.0)</f>
        <v>342759</v>
      </c>
      <c r="F3985" s="22" t="str">
        <f>IFERROR(__xludf.DUMMYFUNCTION("""COMPUTED_VALUE"""),"呪いを受けた旦那様は真実の愛を伝えたい")</f>
        <v>呪いを受けた旦那様は真実の愛を伝えたい</v>
      </c>
      <c r="G3985" s="20">
        <f>IFERROR(__xludf.DUMMYFUNCTION("""COMPUTED_VALUE"""),1.0)</f>
        <v>1</v>
      </c>
      <c r="H3985" s="22" t="str">
        <f>IFERROR(__xludf.DUMMYFUNCTION("""COMPUTED_VALUE"""),"椎名明")</f>
        <v>椎名明</v>
      </c>
      <c r="I3985" s="22" t="str">
        <f>IFERROR(__xludf.DUMMYFUNCTION("""COMPUTED_VALUE"""),"少女")</f>
        <v>少女</v>
      </c>
      <c r="J3985" s="22"/>
      <c r="K3985" s="22" t="str">
        <f>IFERROR(__xludf.DUMMYFUNCTION("""COMPUTED_VALUE"""),"ZERO-SUMコミックス")</f>
        <v>ZERO-SUMコミックス</v>
      </c>
      <c r="L3985" s="22" t="str">
        <f>IFERROR(__xludf.DUMMYFUNCTION("""COMPUTED_VALUE"""),"一迅社")</f>
        <v>一迅社</v>
      </c>
      <c r="M3985" s="33">
        <f>IFERROR(__xludf.DUMMYFUNCTION("""COMPUTED_VALUE"""),45992.0)</f>
        <v>45992</v>
      </c>
      <c r="N3985" s="33">
        <f>IFERROR(__xludf.DUMMYFUNCTION("""COMPUTED_VALUE"""),46022.0)</f>
        <v>46022</v>
      </c>
      <c r="O3985" s="20"/>
      <c r="P3985" s="32" t="str">
        <f>IFERROR(__xludf.DUMMYFUNCTION("""COMPUTED_VALUE"""),"否")</f>
        <v>否</v>
      </c>
      <c r="Q3985" s="30" t="str">
        <f>IFERROR(__xludf.DUMMYFUNCTION("""COMPUTED_VALUE"""),"「お飾り妻は冷酷旦那様と離縁したい！ ～実は溺愛されていたなんて知りません～アンソロジーコミック: 3」掲載作品です")</f>
        <v>「お飾り妻は冷酷旦那様と離縁したい！ ～実は溺愛されていたなんて知りません～アンソロジーコミック: 3」掲載作品です</v>
      </c>
      <c r="R3985" s="22"/>
      <c r="S3985" s="22" t="str">
        <f>IFERROR(__xludf.DUMMYFUNCTION("""COMPUTED_VALUE"""),"20250925_一迅社_呪いを受けた旦那様は真実の愛を伝えたい_修正")</f>
        <v>20250925_一迅社_呪いを受けた旦那様は真実の愛を伝えたい_修正</v>
      </c>
      <c r="T3985" s="22" t="str">
        <f>IFERROR(__xludf.DUMMYFUNCTION("""COMPUTED_VALUE"""),"格納済み")</f>
        <v>格納済み</v>
      </c>
      <c r="U3985" s="9" t="str">
        <f>IFERROR(__xludf.DUMMYFUNCTION("""COMPUTED_VALUE"""),"(C)椎名明／一迅社")</f>
        <v>(C)椎名明／一迅社</v>
      </c>
      <c r="V3985" s="8"/>
      <c r="W3985" s="8"/>
      <c r="X3985" s="8" t="str">
        <f>IFERROR(__xludf.DUMMYFUNCTION("""COMPUTED_VALUE"""),"有")</f>
        <v>有</v>
      </c>
      <c r="Y3985" s="8" t="str">
        <f>IFERROR(__xludf.DUMMYFUNCTION("""COMPUTED_VALUE"""),"P7まで")</f>
        <v>P7まで</v>
      </c>
      <c r="Z3985" s="7"/>
      <c r="AA3985" s="7"/>
      <c r="AB3985" s="7"/>
    </row>
    <row r="3986" ht="15.75" customHeight="1">
      <c r="A3986" s="26">
        <f>IFERROR(__xludf.DUMMYFUNCTION("""COMPUTED_VALUE"""),6026.0)</f>
        <v>6026</v>
      </c>
      <c r="B3986" s="22" t="str">
        <f>IFERROR(__xludf.DUMMYFUNCTION("""COMPUTED_VALUE"""),"確定")</f>
        <v>確定</v>
      </c>
      <c r="C3986" s="28">
        <f>IFERROR(__xludf.DUMMYFUNCTION("""COMPUTED_VALUE"""),45846.0)</f>
        <v>45846</v>
      </c>
      <c r="D3986" s="28">
        <f>IFERROR(__xludf.DUMMYFUNCTION("""COMPUTED_VALUE"""),45925.0)</f>
        <v>45925</v>
      </c>
      <c r="E3986" s="26">
        <f>IFERROR(__xludf.DUMMYFUNCTION("""COMPUTED_VALUE"""),342760.0)</f>
        <v>342760</v>
      </c>
      <c r="F3986" s="22" t="str">
        <f>IFERROR(__xludf.DUMMYFUNCTION("""COMPUTED_VALUE"""),"約束を違えるつもりはありません")</f>
        <v>約束を違えるつもりはありません</v>
      </c>
      <c r="G3986" s="20">
        <f>IFERROR(__xludf.DUMMYFUNCTION("""COMPUTED_VALUE"""),1.0)</f>
        <v>1</v>
      </c>
      <c r="H3986" s="22" t="str">
        <f>IFERROR(__xludf.DUMMYFUNCTION("""COMPUTED_VALUE"""),"漫画：穂鷹モロ　原作：鈴宮")</f>
        <v>漫画：穂鷹モロ　原作：鈴宮</v>
      </c>
      <c r="I3986" s="22" t="str">
        <f>IFERROR(__xludf.DUMMYFUNCTION("""COMPUTED_VALUE"""),"少女")</f>
        <v>少女</v>
      </c>
      <c r="J3986" s="22"/>
      <c r="K3986" s="22" t="str">
        <f>IFERROR(__xludf.DUMMYFUNCTION("""COMPUTED_VALUE"""),"ZERO-SUMコミックス")</f>
        <v>ZERO-SUMコミックス</v>
      </c>
      <c r="L3986" s="22" t="str">
        <f>IFERROR(__xludf.DUMMYFUNCTION("""COMPUTED_VALUE"""),"一迅社")</f>
        <v>一迅社</v>
      </c>
      <c r="M3986" s="33">
        <f>IFERROR(__xludf.DUMMYFUNCTION("""COMPUTED_VALUE"""),45992.0)</f>
        <v>45992</v>
      </c>
      <c r="N3986" s="33">
        <f>IFERROR(__xludf.DUMMYFUNCTION("""COMPUTED_VALUE"""),46022.0)</f>
        <v>46022</v>
      </c>
      <c r="O3986" s="20"/>
      <c r="P3986" s="32" t="str">
        <f>IFERROR(__xludf.DUMMYFUNCTION("""COMPUTED_VALUE"""),"否")</f>
        <v>否</v>
      </c>
      <c r="Q3986" s="30" t="str">
        <f>IFERROR(__xludf.DUMMYFUNCTION("""COMPUTED_VALUE"""),"「お飾り妻は冷酷旦那様と離縁したい！ ～実は溺愛されていたなんて知りません～アンソロジーコミック: 3」掲載作品です")</f>
        <v>「お飾り妻は冷酷旦那様と離縁したい！ ～実は溺愛されていたなんて知りません～アンソロジーコミック: 3」掲載作品です</v>
      </c>
      <c r="R3986" s="22"/>
      <c r="S3986" s="22" t="str">
        <f>IFERROR(__xludf.DUMMYFUNCTION("""COMPUTED_VALUE"""),"20250925_一迅社_約束を違えるつもりはありません_修正")</f>
        <v>20250925_一迅社_約束を違えるつもりはありません_修正</v>
      </c>
      <c r="T3986" s="22" t="str">
        <f>IFERROR(__xludf.DUMMYFUNCTION("""COMPUTED_VALUE"""),"格納済み")</f>
        <v>格納済み</v>
      </c>
      <c r="U3986" s="9" t="str">
        <f>IFERROR(__xludf.DUMMYFUNCTION("""COMPUTED_VALUE"""),"(C)穂鷹モロ・鈴宮／一迅社")</f>
        <v>(C)穂鷹モロ・鈴宮／一迅社</v>
      </c>
      <c r="V3986" s="8"/>
      <c r="W3986" s="8"/>
      <c r="X3986" s="8" t="str">
        <f>IFERROR(__xludf.DUMMYFUNCTION("""COMPUTED_VALUE"""),"有")</f>
        <v>有</v>
      </c>
      <c r="Y3986" s="8" t="str">
        <f>IFERROR(__xludf.DUMMYFUNCTION("""COMPUTED_VALUE"""),"P8まで")</f>
        <v>P8まで</v>
      </c>
      <c r="Z3986" s="7"/>
      <c r="AA3986" s="7"/>
      <c r="AB3986" s="7"/>
    </row>
    <row r="3987" ht="15.75" customHeight="1">
      <c r="A3987" s="26">
        <f>IFERROR(__xludf.DUMMYFUNCTION("""COMPUTED_VALUE"""),6028.0)</f>
        <v>6028</v>
      </c>
      <c r="B3987" s="22" t="str">
        <f>IFERROR(__xludf.DUMMYFUNCTION("""COMPUTED_VALUE"""),"確定")</f>
        <v>確定</v>
      </c>
      <c r="C3987" s="28">
        <f>IFERROR(__xludf.DUMMYFUNCTION("""COMPUTED_VALUE"""),45846.0)</f>
        <v>45846</v>
      </c>
      <c r="D3987" s="28">
        <f>IFERROR(__xludf.DUMMYFUNCTION("""COMPUTED_VALUE"""),45925.0)</f>
        <v>45925</v>
      </c>
      <c r="E3987" s="26">
        <f>IFERROR(__xludf.DUMMYFUNCTION("""COMPUTED_VALUE"""),342761.0)</f>
        <v>342761</v>
      </c>
      <c r="F3987" s="22" t="str">
        <f>IFERROR(__xludf.DUMMYFUNCTION("""COMPUTED_VALUE"""),"旦那様に好きな方ができたと聞いたので、別れ話を切り出してみました")</f>
        <v>旦那様に好きな方ができたと聞いたので、別れ話を切り出してみました</v>
      </c>
      <c r="G3987" s="20">
        <f>IFERROR(__xludf.DUMMYFUNCTION("""COMPUTED_VALUE"""),1.0)</f>
        <v>1</v>
      </c>
      <c r="H3987" s="22" t="str">
        <f>IFERROR(__xludf.DUMMYFUNCTION("""COMPUTED_VALUE"""),"漫画：ARATA　原作：しきみ彰")</f>
        <v>漫画：ARATA　原作：しきみ彰</v>
      </c>
      <c r="I3987" s="22" t="str">
        <f>IFERROR(__xludf.DUMMYFUNCTION("""COMPUTED_VALUE"""),"少女")</f>
        <v>少女</v>
      </c>
      <c r="J3987" s="22"/>
      <c r="K3987" s="22" t="str">
        <f>IFERROR(__xludf.DUMMYFUNCTION("""COMPUTED_VALUE"""),"ZERO-SUMコミックス")</f>
        <v>ZERO-SUMコミックス</v>
      </c>
      <c r="L3987" s="22" t="str">
        <f>IFERROR(__xludf.DUMMYFUNCTION("""COMPUTED_VALUE"""),"一迅社")</f>
        <v>一迅社</v>
      </c>
      <c r="M3987" s="33">
        <f>IFERROR(__xludf.DUMMYFUNCTION("""COMPUTED_VALUE"""),45992.0)</f>
        <v>45992</v>
      </c>
      <c r="N3987" s="33">
        <f>IFERROR(__xludf.DUMMYFUNCTION("""COMPUTED_VALUE"""),46022.0)</f>
        <v>46022</v>
      </c>
      <c r="O3987" s="20"/>
      <c r="P3987" s="32" t="str">
        <f>IFERROR(__xludf.DUMMYFUNCTION("""COMPUTED_VALUE"""),"否")</f>
        <v>否</v>
      </c>
      <c r="Q3987" s="30" t="str">
        <f>IFERROR(__xludf.DUMMYFUNCTION("""COMPUTED_VALUE"""),"「お飾り妻は冷酷旦那様と離縁したい！ ～実は溺愛されていたなんて知りません～アンソロジーコミック: 3」掲載作品です")</f>
        <v>「お飾り妻は冷酷旦那様と離縁したい！ ～実は溺愛されていたなんて知りません～アンソロジーコミック: 3」掲載作品です</v>
      </c>
      <c r="R3987" s="22"/>
      <c r="S3987" s="22" t="str">
        <f>IFERROR(__xludf.DUMMYFUNCTION("""COMPUTED_VALUE"""),"20250925_一迅社_旦那様に好きな方ができたと聞いたので、別れ話を切り出してみました_修正")</f>
        <v>20250925_一迅社_旦那様に好きな方ができたと聞いたので、別れ話を切り出してみました_修正</v>
      </c>
      <c r="T3987" s="22" t="str">
        <f>IFERROR(__xludf.DUMMYFUNCTION("""COMPUTED_VALUE"""),"格納済み")</f>
        <v>格納済み</v>
      </c>
      <c r="U3987" s="9" t="str">
        <f>IFERROR(__xludf.DUMMYFUNCTION("""COMPUTED_VALUE"""),"(C)ARATA・しきみ彰／一迅社")</f>
        <v>(C)ARATA・しきみ彰／一迅社</v>
      </c>
      <c r="V3987" s="8"/>
      <c r="W3987" s="8"/>
      <c r="X3987" s="8" t="str">
        <f>IFERROR(__xludf.DUMMYFUNCTION("""COMPUTED_VALUE"""),"有")</f>
        <v>有</v>
      </c>
      <c r="Y3987" s="8" t="str">
        <f>IFERROR(__xludf.DUMMYFUNCTION("""COMPUTED_VALUE"""),"P6まで")</f>
        <v>P6まで</v>
      </c>
      <c r="Z3987" s="7"/>
      <c r="AA3987" s="7"/>
      <c r="AB3987" s="7"/>
    </row>
    <row r="3988" ht="15.75" customHeight="1">
      <c r="A3988" s="26">
        <f>IFERROR(__xludf.DUMMYFUNCTION("""COMPUTED_VALUE"""),6034.0)</f>
        <v>6034</v>
      </c>
      <c r="B3988" s="22" t="str">
        <f>IFERROR(__xludf.DUMMYFUNCTION("""COMPUTED_VALUE"""),"確定")</f>
        <v>確定</v>
      </c>
      <c r="C3988" s="28">
        <f>IFERROR(__xludf.DUMMYFUNCTION("""COMPUTED_VALUE"""),45846.0)</f>
        <v>45846</v>
      </c>
      <c r="D3988" s="28">
        <f>IFERROR(__xludf.DUMMYFUNCTION("""COMPUTED_VALUE"""),45929.0)</f>
        <v>45929</v>
      </c>
      <c r="E3988" s="26">
        <f>IFERROR(__xludf.DUMMYFUNCTION("""COMPUTED_VALUE"""),339438.0)</f>
        <v>339438</v>
      </c>
      <c r="F3988" s="22" t="str">
        <f>IFERROR(__xludf.DUMMYFUNCTION("""COMPUTED_VALUE"""),"うらはらエメラルドにご用心")</f>
        <v>うらはらエメラルドにご用心</v>
      </c>
      <c r="G3988" s="20" t="str">
        <f>IFERROR(__xludf.DUMMYFUNCTION("""COMPUTED_VALUE"""),"1～8")</f>
        <v>1～8</v>
      </c>
      <c r="H3988" s="22" t="str">
        <f>IFERROR(__xludf.DUMMYFUNCTION("""COMPUTED_VALUE"""),"三星たま")</f>
        <v>三星たま</v>
      </c>
      <c r="I3988" s="22" t="str">
        <f>IFERROR(__xludf.DUMMYFUNCTION("""COMPUTED_VALUE"""),"女性")</f>
        <v>女性</v>
      </c>
      <c r="J3988" s="22"/>
      <c r="K3988" s="22" t="str">
        <f>IFERROR(__xludf.DUMMYFUNCTION("""COMPUTED_VALUE"""),"マンガMee")</f>
        <v>マンガMee</v>
      </c>
      <c r="L3988" s="22" t="str">
        <f>IFERROR(__xludf.DUMMYFUNCTION("""COMPUTED_VALUE"""),"集英社")</f>
        <v>集英社</v>
      </c>
      <c r="M3988" s="33">
        <f>IFERROR(__xludf.DUMMYFUNCTION("""COMPUTED_VALUE"""),45955.0)</f>
        <v>45955</v>
      </c>
      <c r="N3988" s="33">
        <f>IFERROR(__xludf.DUMMYFUNCTION("""COMPUTED_VALUE"""),46015.0)</f>
        <v>46015</v>
      </c>
      <c r="O3988" s="20"/>
      <c r="P3988" s="32" t="str">
        <f>IFERROR(__xludf.DUMMYFUNCTION("""COMPUTED_VALUE"""),"否")</f>
        <v>否</v>
      </c>
      <c r="Q3988" s="30" t="str">
        <f>IFERROR(__xludf.DUMMYFUNCTION("""COMPUTED_VALUE"""),"マンガMeeで配信中の&lt;BR&gt;1話→1巻&lt;BR&gt;2話→2巻&lt;BR&gt;3-1＋3-2→3巻&lt;BR&gt;4-1＋4-2→4巻&lt;BR&gt;となります。")</f>
        <v>マンガMeeで配信中の&lt;BR&gt;1話→1巻&lt;BR&gt;2話→2巻&lt;BR&gt;3-1＋3-2→3巻&lt;BR&gt;4-1＋4-2→4巻&lt;BR&gt;となります。</v>
      </c>
      <c r="R3988" s="22"/>
      <c r="S3988" s="22" t="str">
        <f>IFERROR(__xludf.DUMMYFUNCTION("""COMPUTED_VALUE"""),"20250926_集英社_うらはらエメラルドにご用心")</f>
        <v>20250926_集英社_うらはらエメラルドにご用心</v>
      </c>
      <c r="T3988" s="22" t="str">
        <f>IFERROR(__xludf.DUMMYFUNCTION("""COMPUTED_VALUE"""),"格納済み")</f>
        <v>格納済み</v>
      </c>
      <c r="U3988" s="9" t="str">
        <f>IFERROR(__xludf.DUMMYFUNCTION("""COMPUTED_VALUE"""),"(c)三星たま／集英社")</f>
        <v>(c)三星たま／集英社</v>
      </c>
      <c r="V3988" s="8"/>
      <c r="W3988" s="8"/>
      <c r="X3988" s="8" t="str">
        <f>IFERROR(__xludf.DUMMYFUNCTION("""COMPUTED_VALUE"""),"有")</f>
        <v>有</v>
      </c>
      <c r="Y3988" s="8" t="str">
        <f>IFERROR(__xludf.DUMMYFUNCTION("""COMPUTED_VALUE"""),"2025/11/24まで1～3巻無料")</f>
        <v>2025/11/24まで1～3巻無料</v>
      </c>
      <c r="Z3988" s="7"/>
      <c r="AA3988" s="7"/>
      <c r="AB3988" s="7"/>
    </row>
    <row r="3989" ht="15.75" customHeight="1">
      <c r="A3989" s="26">
        <f>IFERROR(__xludf.DUMMYFUNCTION("""COMPUTED_VALUE"""),6087.0)</f>
        <v>6087</v>
      </c>
      <c r="B3989" s="22" t="str">
        <f>IFERROR(__xludf.DUMMYFUNCTION("""COMPUTED_VALUE"""),"確定")</f>
        <v>確定</v>
      </c>
      <c r="C3989" s="28">
        <f>IFERROR(__xludf.DUMMYFUNCTION("""COMPUTED_VALUE"""),45852.0)</f>
        <v>45852</v>
      </c>
      <c r="D3989" s="28">
        <f>IFERROR(__xludf.DUMMYFUNCTION("""COMPUTED_VALUE"""),45925.0)</f>
        <v>45925</v>
      </c>
      <c r="E3989" s="26">
        <f>IFERROR(__xludf.DUMMYFUNCTION("""COMPUTED_VALUE"""),339273.0)</f>
        <v>339273</v>
      </c>
      <c r="F3989" s="22" t="str">
        <f>IFERROR(__xludf.DUMMYFUNCTION("""COMPUTED_VALUE"""),"母の日にサレ妻〜3年前から長女は黙認？〜")</f>
        <v>母の日にサレ妻〜3年前から長女は黙認？〜</v>
      </c>
      <c r="G3989" s="20" t="str">
        <f>IFERROR(__xludf.DUMMYFUNCTION("""COMPUTED_VALUE"""),"1～3")</f>
        <v>1～3</v>
      </c>
      <c r="H3989" s="22" t="str">
        <f>IFERROR(__xludf.DUMMYFUNCTION("""COMPUTED_VALUE"""),"原作：桃、作画：桜井ゆき")</f>
        <v>原作：桃、作画：桜井ゆき</v>
      </c>
      <c r="I3989" s="22" t="str">
        <f>IFERROR(__xludf.DUMMYFUNCTION("""COMPUTED_VALUE"""),"女性")</f>
        <v>女性</v>
      </c>
      <c r="J3989" s="22"/>
      <c r="K3989" s="22"/>
      <c r="L3989" s="22" t="str">
        <f>IFERROR(__xludf.DUMMYFUNCTION("""COMPUTED_VALUE"""),"飛鳥新社")</f>
        <v>飛鳥新社</v>
      </c>
      <c r="M3989" s="33">
        <f>IFERROR(__xludf.DUMMYFUNCTION("""COMPUTED_VALUE"""),45953.0)</f>
        <v>45953</v>
      </c>
      <c r="N3989" s="33">
        <f>IFERROR(__xludf.DUMMYFUNCTION("""COMPUTED_VALUE"""),46044.0)</f>
        <v>46044</v>
      </c>
      <c r="O3989" s="20"/>
      <c r="P3989" s="32" t="str">
        <f>IFERROR(__xludf.DUMMYFUNCTION("""COMPUTED_VALUE"""),"可")</f>
        <v>可</v>
      </c>
      <c r="Q3989" s="30" t="str">
        <f>IFERROR(__xludf.DUMMYFUNCTION("""COMPUTED_VALUE"""),"※作家情報&lt;BR&gt;原作　桃&lt; https://ameblo.jp/momo-momo1983/entry-12803408958.html&gt;&lt;BR&gt;作画　桜井ゆき&lt;https://www.cmoa.jp/search/author/88403/&gt;")</f>
        <v>※作家情報&lt;BR&gt;原作　桃&lt; https://ameblo.jp/momo-momo1983/entry-12803408958.html&gt;&lt;BR&gt;作画　桜井ゆき&lt;https://www.cmoa.jp/search/author/88403/&gt;</v>
      </c>
      <c r="R3989" s="22" t="str">
        <f>IFERROR(__xludf.DUMMYFUNCTION("""COMPUTED_VALUE"""),"コミットOK")</f>
        <v>コミットOK</v>
      </c>
      <c r="S3989" s="22" t="str">
        <f>IFERROR(__xludf.DUMMYFUNCTION("""COMPUTED_VALUE"""),"20250917_飛鳥新社_母の日にサレ妻〜3年前から長女は黙認？〜")</f>
        <v>20250917_飛鳥新社_母の日にサレ妻〜3年前から長女は黙認？〜</v>
      </c>
      <c r="T3989" s="22" t="str">
        <f>IFERROR(__xludf.DUMMYFUNCTION("""COMPUTED_VALUE"""),"格納済み")</f>
        <v>格納済み</v>
      </c>
      <c r="U3989" s="9" t="str">
        <f>IFERROR(__xludf.DUMMYFUNCTION("""COMPUTED_VALUE"""),"Ⓒ桃・桜井ゆき/飛鳥新社")</f>
        <v>Ⓒ桃・桜井ゆき/飛鳥新社</v>
      </c>
      <c r="V3989" s="8"/>
      <c r="W3989" s="8"/>
      <c r="X3989" s="8" t="str">
        <f>IFERROR(__xludf.DUMMYFUNCTION("""COMPUTED_VALUE"""),"有")</f>
        <v>有</v>
      </c>
      <c r="Y3989" s="8" t="str">
        <f>IFERROR(__xludf.DUMMYFUNCTION("""COMPUTED_VALUE"""),"2025/11/24まで1巻無料")</f>
        <v>2025/11/24まで1巻無料</v>
      </c>
      <c r="Z3989" s="7"/>
      <c r="AA3989" s="7"/>
      <c r="AB3989" s="7"/>
    </row>
    <row r="3990" ht="15.75" customHeight="1">
      <c r="A3990" s="26">
        <f>IFERROR(__xludf.DUMMYFUNCTION("""COMPUTED_VALUE"""),6135.0)</f>
        <v>6135</v>
      </c>
      <c r="B3990" s="22" t="str">
        <f>IFERROR(__xludf.DUMMYFUNCTION("""COMPUTED_VALUE"""),"確定")</f>
        <v>確定</v>
      </c>
      <c r="C3990" s="28">
        <f>IFERROR(__xludf.DUMMYFUNCTION("""COMPUTED_VALUE"""),45866.0)</f>
        <v>45866</v>
      </c>
      <c r="D3990" s="28">
        <f>IFERROR(__xludf.DUMMYFUNCTION("""COMPUTED_VALUE"""),45929.0)</f>
        <v>45929</v>
      </c>
      <c r="E3990" s="26">
        <f>IFERROR(__xludf.DUMMYFUNCTION("""COMPUTED_VALUE"""),340078.0)</f>
        <v>340078</v>
      </c>
      <c r="F3990" s="22" t="str">
        <f>IFERROR(__xludf.DUMMYFUNCTION("""COMPUTED_VALUE"""),"蝕夢 〜夢に出てくる怪異と毎晩壊れるまで●●●する話")</f>
        <v>蝕夢 〜夢に出てくる怪異と毎晩壊れるまで●●●する話</v>
      </c>
      <c r="G3990" s="20" t="str">
        <f>IFERROR(__xludf.DUMMYFUNCTION("""COMPUTED_VALUE"""),"1～3")</f>
        <v>1～3</v>
      </c>
      <c r="H3990" s="22" t="str">
        <f>IFERROR(__xludf.DUMMYFUNCTION("""COMPUTED_VALUE"""),"春待うろ")</f>
        <v>春待うろ</v>
      </c>
      <c r="I3990" s="22" t="str">
        <f>IFERROR(__xludf.DUMMYFUNCTION("""COMPUTED_VALUE"""),"TL")</f>
        <v>TL</v>
      </c>
      <c r="J3990" s="22"/>
      <c r="K3990" s="22" t="str">
        <f>IFERROR(__xludf.DUMMYFUNCTION("""COMPUTED_VALUE"""),"lou lou")</f>
        <v>lou lou</v>
      </c>
      <c r="L3990" s="22" t="str">
        <f>IFERROR(__xludf.DUMMYFUNCTION("""COMPUTED_VALUE"""),"渋谷六花舎")</f>
        <v>渋谷六花舎</v>
      </c>
      <c r="M3990" s="33">
        <f>IFERROR(__xludf.DUMMYFUNCTION("""COMPUTED_VALUE"""),45964.0)</f>
        <v>45964</v>
      </c>
      <c r="N3990" s="33">
        <f>IFERROR(__xludf.DUMMYFUNCTION("""COMPUTED_VALUE"""),46055.0)</f>
        <v>46055</v>
      </c>
      <c r="O3990" s="20"/>
      <c r="P3990" s="32" t="str">
        <f>IFERROR(__xludf.DUMMYFUNCTION("""COMPUTED_VALUE"""),"可")</f>
        <v>可</v>
      </c>
      <c r="Q3990" s="30" t="str">
        <f>IFERROR(__xludf.DUMMYFUNCTION("""COMPUTED_VALUE"""),"【アダルト作品扱い】&lt;BR&gt;素材は3分割して、初回1～3巻として配信します。&lt;BR&gt;同人ストア配信中、商業は初になります。")</f>
        <v>【アダルト作品扱い】&lt;BR&gt;素材は3分割して、初回1～3巻として配信します。&lt;BR&gt;同人ストア配信中、商業は初になります。</v>
      </c>
      <c r="R3990" s="22" t="str">
        <f>IFERROR(__xludf.DUMMYFUNCTION("""COMPUTED_VALUE"""),"コミットOK")</f>
        <v>コミットOK</v>
      </c>
      <c r="S3990" s="22" t="str">
        <f>IFERROR(__xludf.DUMMYFUNCTION("""COMPUTED_VALUE"""),"20250925_渋谷六花舎_蝕夢 夢に出てくる怪異と毎晩壊れるまで●●●する話")</f>
        <v>20250925_渋谷六花舎_蝕夢 夢に出てくる怪異と毎晩壊れるまで●●●する話</v>
      </c>
      <c r="T3990" s="22" t="str">
        <f>IFERROR(__xludf.DUMMYFUNCTION("""COMPUTED_VALUE"""),"格納済み")</f>
        <v>格納済み</v>
      </c>
      <c r="U3990" s="9" t="str">
        <f>IFERROR(__xludf.DUMMYFUNCTION("""COMPUTED_VALUE"""),"(c)春待うろ/lou lou")</f>
        <v>(c)春待うろ/lou lou</v>
      </c>
      <c r="V3990" s="8"/>
      <c r="W3990" s="8"/>
      <c r="X3990" s="8" t="str">
        <f>IFERROR(__xludf.DUMMYFUNCTION("""COMPUTED_VALUE"""),"有")</f>
        <v>有</v>
      </c>
      <c r="Y3990" s="8" t="str">
        <f>IFERROR(__xludf.DUMMYFUNCTION("""COMPUTED_VALUE"""),"2025/11/17まで1巻無料")</f>
        <v>2025/11/17まで1巻無料</v>
      </c>
      <c r="Z3990" s="7"/>
      <c r="AA3990" s="7"/>
      <c r="AB3990" s="7"/>
    </row>
    <row r="3991" ht="15.75" customHeight="1">
      <c r="A3991" s="26">
        <f>IFERROR(__xludf.DUMMYFUNCTION("""COMPUTED_VALUE"""),6147.0)</f>
        <v>6147</v>
      </c>
      <c r="B3991" s="22" t="str">
        <f>IFERROR(__xludf.DUMMYFUNCTION("""COMPUTED_VALUE"""),"確定")</f>
        <v>確定</v>
      </c>
      <c r="C3991" s="28">
        <f>IFERROR(__xludf.DUMMYFUNCTION("""COMPUTED_VALUE"""),45866.0)</f>
        <v>45866</v>
      </c>
      <c r="D3991" s="28">
        <f>IFERROR(__xludf.DUMMYFUNCTION("""COMPUTED_VALUE"""),45929.0)</f>
        <v>45929</v>
      </c>
      <c r="E3991" s="26">
        <f>IFERROR(__xludf.DUMMYFUNCTION("""COMPUTED_VALUE"""),339509.0)</f>
        <v>339509</v>
      </c>
      <c r="F3991" s="22" t="str">
        <f>IFERROR(__xludf.DUMMYFUNCTION("""COMPUTED_VALUE"""),"クズの正しい使い方 分冊版")</f>
        <v>クズの正しい使い方 分冊版</v>
      </c>
      <c r="G3991" s="20" t="str">
        <f>IFERROR(__xludf.DUMMYFUNCTION("""COMPUTED_VALUE"""),"1～5")</f>
        <v>1～5</v>
      </c>
      <c r="H3991" s="22" t="str">
        <f>IFERROR(__xludf.DUMMYFUNCTION("""COMPUTED_VALUE"""),"雨野もち")</f>
        <v>雨野もち</v>
      </c>
      <c r="I3991" s="22" t="str">
        <f>IFERROR(__xludf.DUMMYFUNCTION("""COMPUTED_VALUE"""),"少女")</f>
        <v>少女</v>
      </c>
      <c r="J3991" s="22"/>
      <c r="K3991" s="22"/>
      <c r="L3991" s="22" t="str">
        <f>IFERROR(__xludf.DUMMYFUNCTION("""COMPUTED_VALUE"""),"集英社")</f>
        <v>集英社</v>
      </c>
      <c r="M3991" s="33">
        <f>IFERROR(__xludf.DUMMYFUNCTION("""COMPUTED_VALUE"""),45956.0)</f>
        <v>45956</v>
      </c>
      <c r="N3991" s="33">
        <f>IFERROR(__xludf.DUMMYFUNCTION("""COMPUTED_VALUE"""),45985.0)</f>
        <v>45985</v>
      </c>
      <c r="O3991" s="20"/>
      <c r="P3991" s="32" t="str">
        <f>IFERROR(__xludf.DUMMYFUNCTION("""COMPUTED_VALUE"""),"否")</f>
        <v>否</v>
      </c>
      <c r="Q3991" s="30" t="str">
        <f>IFERROR(__xludf.DUMMYFUNCTION("""COMPUTED_VALUE"""),"・素材は単行本版1巻ですが、こちらの素材を使用して制作をお願いします。１話＝分冊版１巻となっています。&lt;BR&gt;・レーベルロゴ不要")</f>
        <v>・素材は単行本版1巻ですが、こちらの素材を使用して制作をお願いします。１話＝分冊版１巻となっています。&lt;BR&gt;・レーベルロゴ不要</v>
      </c>
      <c r="R3991" s="22" t="str">
        <f>IFERROR(__xludf.DUMMYFUNCTION("""COMPUTED_VALUE"""),"コミットOK")</f>
        <v>コミットOK</v>
      </c>
      <c r="S3991" s="22" t="str">
        <f>IFERROR(__xludf.DUMMYFUNCTION("""COMPUTED_VALUE"""),"20250926_集英社_クズの正しい使い方")</f>
        <v>20250926_集英社_クズの正しい使い方</v>
      </c>
      <c r="T3991" s="22" t="str">
        <f>IFERROR(__xludf.DUMMYFUNCTION("""COMPUTED_VALUE"""),"格納済み")</f>
        <v>格納済み</v>
      </c>
      <c r="U3991" s="9" t="str">
        <f>IFERROR(__xludf.DUMMYFUNCTION("""COMPUTED_VALUE"""),"(C)雨野もち／集英社")</f>
        <v>(C)雨野もち／集英社</v>
      </c>
      <c r="V3991" s="8"/>
      <c r="W3991" s="8"/>
      <c r="X3991" s="8" t="str">
        <f>IFERROR(__xludf.DUMMYFUNCTION("""COMPUTED_VALUE"""),"有")</f>
        <v>有</v>
      </c>
      <c r="Y3991" s="8" t="str">
        <f>IFERROR(__xludf.DUMMYFUNCTION("""COMPUTED_VALUE"""),"2025/10/25まで1巻無料")</f>
        <v>2025/10/25まで1巻無料</v>
      </c>
      <c r="Z3991" s="7"/>
      <c r="AA3991" s="7"/>
      <c r="AB3991" s="7"/>
    </row>
    <row r="3992" ht="15.75" customHeight="1">
      <c r="A3992" s="26">
        <f>IFERROR(__xludf.DUMMYFUNCTION("""COMPUTED_VALUE"""),6228.0)</f>
        <v>6228</v>
      </c>
      <c r="B3992" s="22" t="str">
        <f>IFERROR(__xludf.DUMMYFUNCTION("""COMPUTED_VALUE"""),"確定")</f>
        <v>確定</v>
      </c>
      <c r="C3992" s="28">
        <f>IFERROR(__xludf.DUMMYFUNCTION("""COMPUTED_VALUE"""),45876.0)</f>
        <v>45876</v>
      </c>
      <c r="D3992" s="28">
        <f>IFERROR(__xludf.DUMMYFUNCTION("""COMPUTED_VALUE"""),45926.0)</f>
        <v>45926</v>
      </c>
      <c r="E3992" s="26">
        <f>IFERROR(__xludf.DUMMYFUNCTION("""COMPUTED_VALUE"""),338393.0)</f>
        <v>338393</v>
      </c>
      <c r="F3992" s="22" t="str">
        <f>IFERROR(__xludf.DUMMYFUNCTION("""COMPUTED_VALUE"""),"いやして、やみつきマイピロウ。～堅物上司のお胸がひかえめにいって神でした～【分冊版】")</f>
        <v>いやして、やみつきマイピロウ。～堅物上司のお胸がひかえめにいって神でした～【分冊版】</v>
      </c>
      <c r="G3992" s="20" t="str">
        <f>IFERROR(__xludf.DUMMYFUNCTION("""COMPUTED_VALUE"""),"1～3")</f>
        <v>1～3</v>
      </c>
      <c r="H3992" s="22" t="str">
        <f>IFERROR(__xludf.DUMMYFUNCTION("""COMPUTED_VALUE"""),"育場モク⊥青井千寿⊥ache")</f>
        <v>育場モク⊥青井千寿⊥ache</v>
      </c>
      <c r="I3992" s="22" t="str">
        <f>IFERROR(__xludf.DUMMYFUNCTION("""COMPUTED_VALUE"""),"TL")</f>
        <v>TL</v>
      </c>
      <c r="J3992" s="22"/>
      <c r="K3992" s="22" t="str">
        <f>IFERROR(__xludf.DUMMYFUNCTION("""COMPUTED_VALUE"""),"ラブチュコラ")</f>
        <v>ラブチュコラ</v>
      </c>
      <c r="L3992" s="22" t="str">
        <f>IFERROR(__xludf.DUMMYFUNCTION("""COMPUTED_VALUE"""),"笠倉出版社")</f>
        <v>笠倉出版社</v>
      </c>
      <c r="M3992" s="33">
        <f>IFERROR(__xludf.DUMMYFUNCTION("""COMPUTED_VALUE"""),45946.0)</f>
        <v>45946</v>
      </c>
      <c r="N3992" s="33">
        <f>IFERROR(__xludf.DUMMYFUNCTION("""COMPUTED_VALUE"""),46036.0)</f>
        <v>46036</v>
      </c>
      <c r="O3992" s="20"/>
      <c r="P3992" s="32" t="str">
        <f>IFERROR(__xludf.DUMMYFUNCTION("""COMPUTED_VALUE"""),"可")</f>
        <v>可</v>
      </c>
      <c r="Q3992" s="30" t="str">
        <f>IFERROR(__xludf.DUMMYFUNCTION("""COMPUTED_VALUE"""),"【アダルト作品扱い】&lt;BR&gt;")</f>
        <v>【アダルト作品扱い】&lt;BR&gt;</v>
      </c>
      <c r="R3992" s="22" t="str">
        <f>IFERROR(__xludf.DUMMYFUNCTION("""COMPUTED_VALUE"""),"コミットOK")</f>
        <v>コミットOK</v>
      </c>
      <c r="S3992" s="22" t="str">
        <f>IFERROR(__xludf.DUMMYFUNCTION("""COMPUTED_VALUE"""),"20250925_笠倉出版社_いやして、やみつきマイピロウ。堅物上司のお胸がひかえめにいって神でした【分冊版】")</f>
        <v>20250925_笠倉出版社_いやして、やみつきマイピロウ。堅物上司のお胸がひかえめにいって神でした【分冊版】</v>
      </c>
      <c r="T3992" s="22" t="str">
        <f>IFERROR(__xludf.DUMMYFUNCTION("""COMPUTED_VALUE"""),"格納済み")</f>
        <v>格納済み</v>
      </c>
      <c r="U3992" s="9" t="str">
        <f>IFERROR(__xludf.DUMMYFUNCTION("""COMPUTED_VALUE"""),"Ⓒ育場モク/青井千寿/笠倉出版社")</f>
        <v>Ⓒ育場モク/青井千寿/笠倉出版社</v>
      </c>
      <c r="V3992" s="8"/>
      <c r="W3992" s="8"/>
      <c r="X3992" s="8" t="str">
        <f>IFERROR(__xludf.DUMMYFUNCTION("""COMPUTED_VALUE"""),"有")</f>
        <v>有</v>
      </c>
      <c r="Y3992" s="8" t="str">
        <f>IFERROR(__xludf.DUMMYFUNCTION("""COMPUTED_VALUE"""),"2025/10/29まで1巻無料")</f>
        <v>2025/10/29まで1巻無料</v>
      </c>
      <c r="Z3992" s="7"/>
      <c r="AA3992" s="7"/>
      <c r="AB3992" s="7"/>
    </row>
    <row r="3993" ht="15.75" customHeight="1">
      <c r="A3993" s="26">
        <f>IFERROR(__xludf.DUMMYFUNCTION("""COMPUTED_VALUE"""),6230.0)</f>
        <v>6230</v>
      </c>
      <c r="B3993" s="22" t="str">
        <f>IFERROR(__xludf.DUMMYFUNCTION("""COMPUTED_VALUE"""),"確定")</f>
        <v>確定</v>
      </c>
      <c r="C3993" s="28">
        <f>IFERROR(__xludf.DUMMYFUNCTION("""COMPUTED_VALUE"""),45876.0)</f>
        <v>45876</v>
      </c>
      <c r="D3993" s="28">
        <f>IFERROR(__xludf.DUMMYFUNCTION("""COMPUTED_VALUE"""),45929.0)</f>
        <v>45929</v>
      </c>
      <c r="E3993" s="26">
        <f>IFERROR(__xludf.DUMMYFUNCTION("""COMPUTED_VALUE"""),341576.0)</f>
        <v>341576</v>
      </c>
      <c r="F3993" s="22" t="str">
        <f>IFERROR(__xludf.DUMMYFUNCTION("""COMPUTED_VALUE"""),"過保護じゃなくて、もはや溺愛。")</f>
        <v>過保護じゃなくて、もはや溺愛。</v>
      </c>
      <c r="G3993" s="20" t="str">
        <f>IFERROR(__xludf.DUMMYFUNCTION("""COMPUTED_VALUE"""),"1～2")</f>
        <v>1～2</v>
      </c>
      <c r="H3993" s="22" t="str">
        <f>IFERROR(__xludf.DUMMYFUNCTION("""COMPUTED_VALUE"""),"高山こば")</f>
        <v>高山こば</v>
      </c>
      <c r="I3993" s="22" t="str">
        <f>IFERROR(__xludf.DUMMYFUNCTION("""COMPUTED_VALUE"""),"TL")</f>
        <v>TL</v>
      </c>
      <c r="J3993" s="22"/>
      <c r="K3993" s="22" t="str">
        <f>IFERROR(__xludf.DUMMYFUNCTION("""COMPUTED_VALUE"""),"TL★オトメチカ")</f>
        <v>TL★オトメチカ</v>
      </c>
      <c r="L3993" s="22" t="str">
        <f>IFERROR(__xludf.DUMMYFUNCTION("""COMPUTED_VALUE"""),"CLLENN")</f>
        <v>CLLENN</v>
      </c>
      <c r="M3993" s="33">
        <f>IFERROR(__xludf.DUMMYFUNCTION("""COMPUTED_VALUE"""),45979.0)</f>
        <v>45979</v>
      </c>
      <c r="N3993" s="33">
        <f>IFERROR(__xludf.DUMMYFUNCTION("""COMPUTED_VALUE"""),46041.0)</f>
        <v>46041</v>
      </c>
      <c r="O3993" s="20"/>
      <c r="P3993" s="32" t="str">
        <f>IFERROR(__xludf.DUMMYFUNCTION("""COMPUTED_VALUE"""),"可")</f>
        <v>可</v>
      </c>
      <c r="Q3993" s="30" t="str">
        <f>IFERROR(__xludf.DUMMYFUNCTION("""COMPUTED_VALUE"""),"【アダルト作品扱い】")</f>
        <v>【アダルト作品扱い】</v>
      </c>
      <c r="R3993" s="22" t="str">
        <f>IFERROR(__xludf.DUMMYFUNCTION("""COMPUTED_VALUE"""),"コミットOK")</f>
        <v>コミットOK</v>
      </c>
      <c r="S3993" s="22" t="str">
        <f>IFERROR(__xludf.DUMMYFUNCTION("""COMPUTED_VALUE"""),"20250926_CLLENN_過保護じゃなくて、もはや溺愛。")</f>
        <v>20250926_CLLENN_過保護じゃなくて、もはや溺愛。</v>
      </c>
      <c r="T3993" s="22" t="str">
        <f>IFERROR(__xludf.DUMMYFUNCTION("""COMPUTED_VALUE"""),"格納済み")</f>
        <v>格納済み</v>
      </c>
      <c r="U3993" s="9" t="str">
        <f>IFERROR(__xludf.DUMMYFUNCTION("""COMPUTED_VALUE"""),"Ⓒ高山こば/CLLENN")</f>
        <v>Ⓒ高山こば/CLLENN</v>
      </c>
      <c r="V3993" s="8"/>
      <c r="W3993" s="8"/>
      <c r="X3993" s="8" t="str">
        <f>IFERROR(__xludf.DUMMYFUNCTION("""COMPUTED_VALUE"""),"有")</f>
        <v>有</v>
      </c>
      <c r="Y3993" s="8" t="str">
        <f>IFERROR(__xludf.DUMMYFUNCTION("""COMPUTED_VALUE"""),"P9まで")</f>
        <v>P9まで</v>
      </c>
      <c r="Z3993" s="7"/>
      <c r="AA3993" s="7"/>
      <c r="AB3993" s="7"/>
    </row>
    <row r="3994" ht="15.75" customHeight="1">
      <c r="A3994" s="26">
        <f>IFERROR(__xludf.DUMMYFUNCTION("""COMPUTED_VALUE"""),6239.0)</f>
        <v>6239</v>
      </c>
      <c r="B3994" s="22" t="str">
        <f>IFERROR(__xludf.DUMMYFUNCTION("""COMPUTED_VALUE"""),"確定")</f>
        <v>確定</v>
      </c>
      <c r="C3994" s="28">
        <f>IFERROR(__xludf.DUMMYFUNCTION("""COMPUTED_VALUE"""),45877.0)</f>
        <v>45877</v>
      </c>
      <c r="D3994" s="28">
        <f>IFERROR(__xludf.DUMMYFUNCTION("""COMPUTED_VALUE"""),45930.0)</f>
        <v>45930</v>
      </c>
      <c r="E3994" s="26">
        <f>IFERROR(__xludf.DUMMYFUNCTION("""COMPUTED_VALUE"""),336036.0)</f>
        <v>336036</v>
      </c>
      <c r="F3994" s="22" t="str">
        <f>IFERROR(__xludf.DUMMYFUNCTION("""COMPUTED_VALUE"""),"詐欺られた俺、チートスマホで無双する【タテヨミ】")</f>
        <v>詐欺られた俺、チートスマホで無双する【タテヨミ】</v>
      </c>
      <c r="G3994" s="20" t="str">
        <f>IFERROR(__xludf.DUMMYFUNCTION("""COMPUTED_VALUE"""),"1～25")</f>
        <v>1～25</v>
      </c>
      <c r="H3994" s="22" t="str">
        <f>IFERROR(__xludf.DUMMYFUNCTION("""COMPUTED_VALUE"""),"OROGU,onedollar")</f>
        <v>OROGU,onedollar</v>
      </c>
      <c r="I3994" s="22" t="str">
        <f>IFERROR(__xludf.DUMMYFUNCTION("""COMPUTED_VALUE"""),"青年マンガ")</f>
        <v>青年マンガ</v>
      </c>
      <c r="J3994" s="22"/>
      <c r="K3994" s="22"/>
      <c r="L3994" s="22" t="str">
        <f>IFERROR(__xludf.DUMMYFUNCTION("""COMPUTED_VALUE"""),"リバース")</f>
        <v>リバース</v>
      </c>
      <c r="M3994" s="33">
        <f>IFERROR(__xludf.DUMMYFUNCTION("""COMPUTED_VALUE"""),45928.0)</f>
        <v>45928</v>
      </c>
      <c r="N3994" s="33">
        <f>IFERROR(__xludf.DUMMYFUNCTION("""COMPUTED_VALUE"""),45991.0)</f>
        <v>45991</v>
      </c>
      <c r="O3994" s="20"/>
      <c r="P3994" s="32" t="str">
        <f>IFERROR(__xludf.DUMMYFUNCTION("""COMPUTED_VALUE"""),"可")</f>
        <v>可</v>
      </c>
      <c r="Q3994" s="30" t="str">
        <f>IFERROR(__xludf.DUMMYFUNCTION("""COMPUTED_VALUE"""),"【アダルト作品扱い】")</f>
        <v>【アダルト作品扱い】</v>
      </c>
      <c r="R3994" s="22" t="str">
        <f>IFERROR(__xludf.DUMMYFUNCTION("""COMPUTED_VALUE"""),"コミットOK")</f>
        <v>コミットOK</v>
      </c>
      <c r="S3994" s="22" t="str">
        <f>IFERROR(__xludf.DUMMYFUNCTION("""COMPUTED_VALUE"""),"20250926_リバース_詐欺られた俺、チートスマホで無双する【タテヨミ】")</f>
        <v>20250926_リバース_詐欺られた俺、チートスマホで無双する【タテヨミ】</v>
      </c>
      <c r="T3994" s="22" t="str">
        <f>IFERROR(__xludf.DUMMYFUNCTION("""COMPUTED_VALUE"""),"格納済み")</f>
        <v>格納済み</v>
      </c>
      <c r="U3994" s="9" t="str">
        <f>IFERROR(__xludf.DUMMYFUNCTION("""COMPUTED_VALUE"""),"ⒸOROGU, onedollar, Toomics")</f>
        <v>ⒸOROGU, onedollar, Toomics</v>
      </c>
      <c r="V3994" s="8"/>
      <c r="W3994" s="8"/>
      <c r="X3994" s="8" t="str">
        <f>IFERROR(__xludf.DUMMYFUNCTION("""COMPUTED_VALUE"""),"有")</f>
        <v>有</v>
      </c>
      <c r="Y3994" s="8" t="str">
        <f>IFERROR(__xludf.DUMMYFUNCTION("""COMPUTED_VALUE"""),"1~3巻無料
2025/10/11まで4~5巻無料")</f>
        <v>1~3巻無料
2025/10/11まで4~5巻無料</v>
      </c>
      <c r="Z3994" s="7"/>
      <c r="AA3994" s="7"/>
      <c r="AB3994" s="7"/>
    </row>
    <row r="3995" ht="15.75" customHeight="1">
      <c r="A3995" s="26">
        <f>IFERROR(__xludf.DUMMYFUNCTION("""COMPUTED_VALUE"""),6240.0)</f>
        <v>6240</v>
      </c>
      <c r="B3995" s="22" t="str">
        <f>IFERROR(__xludf.DUMMYFUNCTION("""COMPUTED_VALUE"""),"確定")</f>
        <v>確定</v>
      </c>
      <c r="C3995" s="28">
        <f>IFERROR(__xludf.DUMMYFUNCTION("""COMPUTED_VALUE"""),45877.0)</f>
        <v>45877</v>
      </c>
      <c r="D3995" s="28">
        <f>IFERROR(__xludf.DUMMYFUNCTION("""COMPUTED_VALUE"""),45930.0)</f>
        <v>45930</v>
      </c>
      <c r="E3995" s="26">
        <f>IFERROR(__xludf.DUMMYFUNCTION("""COMPUTED_VALUE"""),336039.0)</f>
        <v>336039</v>
      </c>
      <c r="F3995" s="22" t="str">
        <f>IFERROR(__xludf.DUMMYFUNCTION("""COMPUTED_VALUE"""),"管理人さんと秘密の家チン交渉【タテヨミ】")</f>
        <v>管理人さんと秘密の家チン交渉【タテヨミ】</v>
      </c>
      <c r="G3995" s="20" t="str">
        <f>IFERROR(__xludf.DUMMYFUNCTION("""COMPUTED_VALUE"""),"1～25")</f>
        <v>1～25</v>
      </c>
      <c r="H3995" s="22" t="str">
        <f>IFERROR(__xludf.DUMMYFUNCTION("""COMPUTED_VALUE"""),"Grilled Mero,喜納")</f>
        <v>Grilled Mero,喜納</v>
      </c>
      <c r="I3995" s="22" t="str">
        <f>IFERROR(__xludf.DUMMYFUNCTION("""COMPUTED_VALUE"""),"青年マンガ")</f>
        <v>青年マンガ</v>
      </c>
      <c r="J3995" s="22"/>
      <c r="K3995" s="22"/>
      <c r="L3995" s="22" t="str">
        <f>IFERROR(__xludf.DUMMYFUNCTION("""COMPUTED_VALUE"""),"リバース")</f>
        <v>リバース</v>
      </c>
      <c r="M3995" s="33">
        <f>IFERROR(__xludf.DUMMYFUNCTION("""COMPUTED_VALUE"""),45928.0)</f>
        <v>45928</v>
      </c>
      <c r="N3995" s="33">
        <f>IFERROR(__xludf.DUMMYFUNCTION("""COMPUTED_VALUE"""),45991.0)</f>
        <v>45991</v>
      </c>
      <c r="O3995" s="20"/>
      <c r="P3995" s="32" t="str">
        <f>IFERROR(__xludf.DUMMYFUNCTION("""COMPUTED_VALUE"""),"可")</f>
        <v>可</v>
      </c>
      <c r="Q3995" s="30" t="str">
        <f>IFERROR(__xludf.DUMMYFUNCTION("""COMPUTED_VALUE"""),"【アダルト作品扱い】")</f>
        <v>【アダルト作品扱い】</v>
      </c>
      <c r="R3995" s="22" t="str">
        <f>IFERROR(__xludf.DUMMYFUNCTION("""COMPUTED_VALUE"""),"コミットOK")</f>
        <v>コミットOK</v>
      </c>
      <c r="S3995" s="22" t="str">
        <f>IFERROR(__xludf.DUMMYFUNCTION("""COMPUTED_VALUE"""),"20250926_リバース_管理人さんと秘密の家チン交渉【タテヨミ】")</f>
        <v>20250926_リバース_管理人さんと秘密の家チン交渉【タテヨミ】</v>
      </c>
      <c r="T3995" s="22" t="str">
        <f>IFERROR(__xludf.DUMMYFUNCTION("""COMPUTED_VALUE"""),"格納済み")</f>
        <v>格納済み</v>
      </c>
      <c r="U3995" s="9" t="str">
        <f>IFERROR(__xludf.DUMMYFUNCTION("""COMPUTED_VALUE"""),"ⒸGrilled Mero, 喜納, Toomics")</f>
        <v>ⒸGrilled Mero, 喜納, Toomics</v>
      </c>
      <c r="V3995" s="8"/>
      <c r="W3995" s="8"/>
      <c r="X3995" s="8" t="str">
        <f>IFERROR(__xludf.DUMMYFUNCTION("""COMPUTED_VALUE"""),"有")</f>
        <v>有</v>
      </c>
      <c r="Y3995" s="8" t="str">
        <f>IFERROR(__xludf.DUMMYFUNCTION("""COMPUTED_VALUE"""),"1~3巻無料
2025/10/11まで4~5巻無料")</f>
        <v>1~3巻無料
2025/10/11まで4~5巻無料</v>
      </c>
      <c r="Z3995" s="7"/>
      <c r="AA3995" s="7"/>
      <c r="AB3995" s="7"/>
    </row>
    <row r="3996" ht="15.75" customHeight="1">
      <c r="A3996" s="26">
        <f>IFERROR(__xludf.DUMMYFUNCTION("""COMPUTED_VALUE"""),6242.0)</f>
        <v>6242</v>
      </c>
      <c r="B3996" s="22" t="str">
        <f>IFERROR(__xludf.DUMMYFUNCTION("""COMPUTED_VALUE"""),"確定")</f>
        <v>確定</v>
      </c>
      <c r="C3996" s="28">
        <f>IFERROR(__xludf.DUMMYFUNCTION("""COMPUTED_VALUE"""),45877.0)</f>
        <v>45877</v>
      </c>
      <c r="D3996" s="28">
        <f>IFERROR(__xludf.DUMMYFUNCTION("""COMPUTED_VALUE"""),45926.0)</f>
        <v>45926</v>
      </c>
      <c r="E3996" s="26">
        <f>IFERROR(__xludf.DUMMYFUNCTION("""COMPUTED_VALUE"""),339511.0)</f>
        <v>339511</v>
      </c>
      <c r="F3996" s="22" t="str">
        <f>IFERROR(__xludf.DUMMYFUNCTION("""COMPUTED_VALUE"""),"吉志くんとおいしいごはん")</f>
        <v>吉志くんとおいしいごはん</v>
      </c>
      <c r="G3996" s="20">
        <f>IFERROR(__xludf.DUMMYFUNCTION("""COMPUTED_VALUE"""),1.0)</f>
        <v>1</v>
      </c>
      <c r="H3996" s="22" t="str">
        <f>IFERROR(__xludf.DUMMYFUNCTION("""COMPUTED_VALUE"""),"いつき")</f>
        <v>いつき</v>
      </c>
      <c r="I3996" s="22" t="str">
        <f>IFERROR(__xludf.DUMMYFUNCTION("""COMPUTED_VALUE"""),"少女")</f>
        <v>少女</v>
      </c>
      <c r="J3996" s="22"/>
      <c r="K3996" s="22"/>
      <c r="L3996" s="22" t="str">
        <f>IFERROR(__xludf.DUMMYFUNCTION("""COMPUTED_VALUE"""),"集英社")</f>
        <v>集英社</v>
      </c>
      <c r="M3996" s="33">
        <f>IFERROR(__xludf.DUMMYFUNCTION("""COMPUTED_VALUE"""),45956.0)</f>
        <v>45956</v>
      </c>
      <c r="N3996" s="33">
        <f>IFERROR(__xludf.DUMMYFUNCTION("""COMPUTED_VALUE"""),45985.0)</f>
        <v>45985</v>
      </c>
      <c r="O3996" s="20"/>
      <c r="P3996" s="32" t="str">
        <f>IFERROR(__xludf.DUMMYFUNCTION("""COMPUTED_VALUE"""),"否")</f>
        <v>否</v>
      </c>
      <c r="Q3996" s="30"/>
      <c r="R3996" s="22" t="str">
        <f>IFERROR(__xludf.DUMMYFUNCTION("""COMPUTED_VALUE"""),"コミットNG")</f>
        <v>コミットNG</v>
      </c>
      <c r="S3996" s="22" t="str">
        <f>IFERROR(__xludf.DUMMYFUNCTION("""COMPUTED_VALUE"""),"20250926_集英社_吉志くんとおいしいごはん")</f>
        <v>20250926_集英社_吉志くんとおいしいごはん</v>
      </c>
      <c r="T3996" s="22" t="str">
        <f>IFERROR(__xludf.DUMMYFUNCTION("""COMPUTED_VALUE"""),"格納済み")</f>
        <v>格納済み</v>
      </c>
      <c r="U3996" s="9" t="str">
        <f>IFERROR(__xludf.DUMMYFUNCTION("""COMPUTED_VALUE"""),"(C)いつき／集英社")</f>
        <v>(C)いつき／集英社</v>
      </c>
      <c r="V3996" s="8"/>
      <c r="W3996" s="8"/>
      <c r="X3996" s="8" t="str">
        <f>IFERROR(__xludf.DUMMYFUNCTION("""COMPUTED_VALUE"""),"有")</f>
        <v>有</v>
      </c>
      <c r="Y3996" s="8" t="str">
        <f>IFERROR(__xludf.DUMMYFUNCTION("""COMPUTED_VALUE"""),"2025/11/25まで1巻立ち読み増量(P80)")</f>
        <v>2025/11/25まで1巻立ち読み増量(P80)</v>
      </c>
      <c r="Z3996" s="7"/>
      <c r="AA3996" s="7"/>
      <c r="AB3996" s="7"/>
    </row>
    <row r="3997" ht="15.75" customHeight="1">
      <c r="A3997" s="26">
        <f>IFERROR(__xludf.DUMMYFUNCTION("""COMPUTED_VALUE"""),6247.0)</f>
        <v>6247</v>
      </c>
      <c r="B3997" s="22" t="str">
        <f>IFERROR(__xludf.DUMMYFUNCTION("""COMPUTED_VALUE"""),"確定")</f>
        <v>確定</v>
      </c>
      <c r="C3997" s="28">
        <f>IFERROR(__xludf.DUMMYFUNCTION("""COMPUTED_VALUE"""),45881.0)</f>
        <v>45881</v>
      </c>
      <c r="D3997" s="28">
        <f>IFERROR(__xludf.DUMMYFUNCTION("""COMPUTED_VALUE"""),45930.0)</f>
        <v>45930</v>
      </c>
      <c r="E3997" s="26">
        <f>IFERROR(__xludf.DUMMYFUNCTION("""COMPUTED_VALUE"""),339356.0)</f>
        <v>339356</v>
      </c>
      <c r="F3997" s="22" t="str">
        <f>IFERROR(__xludf.DUMMYFUNCTION("""COMPUTED_VALUE"""),"ラッキースケベは不可避です！")</f>
        <v>ラッキースケベは不可避です！</v>
      </c>
      <c r="G3997" s="20" t="str">
        <f>IFERROR(__xludf.DUMMYFUNCTION("""COMPUTED_VALUE"""),"1～2")</f>
        <v>1～2</v>
      </c>
      <c r="H3997" s="22" t="str">
        <f>IFERROR(__xludf.DUMMYFUNCTION("""COMPUTED_VALUE"""),"朝木")</f>
        <v>朝木</v>
      </c>
      <c r="I3997" s="22" t="str">
        <f>IFERROR(__xludf.DUMMYFUNCTION("""COMPUTED_VALUE"""),"BL")</f>
        <v>BL</v>
      </c>
      <c r="J3997" s="22"/>
      <c r="K3997" s="22" t="str">
        <f>IFERROR(__xludf.DUMMYFUNCTION("""COMPUTED_VALUE"""),"spicomi")</f>
        <v>spicomi</v>
      </c>
      <c r="L3997" s="22" t="str">
        <f>IFERROR(__xludf.DUMMYFUNCTION("""COMPUTED_VALUE"""),"CLLENN")</f>
        <v>CLLENN</v>
      </c>
      <c r="M3997" s="33">
        <f>IFERROR(__xludf.DUMMYFUNCTION("""COMPUTED_VALUE"""),45955.0)</f>
        <v>45955</v>
      </c>
      <c r="N3997" s="33">
        <f>IFERROR(__xludf.DUMMYFUNCTION("""COMPUTED_VALUE"""),46017.0)</f>
        <v>46017</v>
      </c>
      <c r="O3997" s="20"/>
      <c r="P3997" s="32" t="str">
        <f>IFERROR(__xludf.DUMMYFUNCTION("""COMPUTED_VALUE"""),"可")</f>
        <v>可</v>
      </c>
      <c r="Q3997" s="30" t="str">
        <f>IFERROR(__xludf.DUMMYFUNCTION("""COMPUTED_VALUE"""),"【アダルト作品扱い】&lt;BR&gt;イケメン幼馴染攻め×ラッキースケベ体質受け")</f>
        <v>【アダルト作品扱い】&lt;BR&gt;イケメン幼馴染攻め×ラッキースケベ体質受け</v>
      </c>
      <c r="R3997" s="22" t="str">
        <f>IFERROR(__xludf.DUMMYFUNCTION("""COMPUTED_VALUE"""),"コミットOK")</f>
        <v>コミットOK</v>
      </c>
      <c r="S3997" s="22" t="str">
        <f>IFERROR(__xludf.DUMMYFUNCTION("""COMPUTED_VALUE"""),"20250930_CLLENN_ラッキースケベは不可避です！")</f>
        <v>20250930_CLLENN_ラッキースケベは不可避です！</v>
      </c>
      <c r="T3997" s="22" t="str">
        <f>IFERROR(__xludf.DUMMYFUNCTION("""COMPUTED_VALUE"""),"格納済み")</f>
        <v>格納済み</v>
      </c>
      <c r="U3997" s="9" t="str">
        <f>IFERROR(__xludf.DUMMYFUNCTION("""COMPUTED_VALUE"""),"Ⓒ朝木/CLLENN")</f>
        <v>Ⓒ朝木/CLLENN</v>
      </c>
      <c r="V3997" s="8"/>
      <c r="W3997" s="8"/>
      <c r="X3997" s="8" t="str">
        <f>IFERROR(__xludf.DUMMYFUNCTION("""COMPUTED_VALUE"""),"有")</f>
        <v>有</v>
      </c>
      <c r="Y3997" s="8" t="str">
        <f>IFERROR(__xludf.DUMMYFUNCTION("""COMPUTED_VALUE"""),"P10まで")</f>
        <v>P10まで</v>
      </c>
      <c r="Z3997" s="7"/>
      <c r="AA3997" s="7"/>
      <c r="AB3997" s="7"/>
    </row>
    <row r="3998" ht="15.75" customHeight="1">
      <c r="A3998" s="26">
        <f>IFERROR(__xludf.DUMMYFUNCTION("""COMPUTED_VALUE"""),6282.0)</f>
        <v>6282</v>
      </c>
      <c r="B3998" s="22" t="str">
        <f>IFERROR(__xludf.DUMMYFUNCTION("""COMPUTED_VALUE"""),"確定")</f>
        <v>確定</v>
      </c>
      <c r="C3998" s="28">
        <f>IFERROR(__xludf.DUMMYFUNCTION("""COMPUTED_VALUE"""),45888.0)</f>
        <v>45888</v>
      </c>
      <c r="D3998" s="28">
        <f>IFERROR(__xludf.DUMMYFUNCTION("""COMPUTED_VALUE"""),45926.0)</f>
        <v>45926</v>
      </c>
      <c r="E3998" s="26">
        <f>IFERROR(__xludf.DUMMYFUNCTION("""COMPUTED_VALUE"""),339383.0)</f>
        <v>339383</v>
      </c>
      <c r="F3998" s="22" t="str">
        <f>IFERROR(__xludf.DUMMYFUNCTION("""COMPUTED_VALUE"""),"【単話売】待てば甘露の日和あり～大正零落華族のとりかえ婚～")</f>
        <v>【単話売】待てば甘露の日和あり～大正零落華族のとりかえ婚～</v>
      </c>
      <c r="G3998" s="20" t="str">
        <f>IFERROR(__xludf.DUMMYFUNCTION("""COMPUTED_VALUE"""),"1～3")</f>
        <v>1～3</v>
      </c>
      <c r="H3998" s="22" t="str">
        <f>IFERROR(__xludf.DUMMYFUNCTION("""COMPUTED_VALUE"""),"小倉アズキ")</f>
        <v>小倉アズキ</v>
      </c>
      <c r="I3998" s="22" t="str">
        <f>IFERROR(__xludf.DUMMYFUNCTION("""COMPUTED_VALUE"""),"女性")</f>
        <v>女性</v>
      </c>
      <c r="J3998" s="22"/>
      <c r="K3998" s="22" t="str">
        <f>IFERROR(__xludf.DUMMYFUNCTION("""COMPUTED_VALUE"""),"オンリーリップス")</f>
        <v>オンリーリップス</v>
      </c>
      <c r="L3998" s="22" t="str">
        <f>IFERROR(__xludf.DUMMYFUNCTION("""COMPUTED_VALUE"""),"集英社")</f>
        <v>集英社</v>
      </c>
      <c r="M3998" s="33">
        <f>IFERROR(__xludf.DUMMYFUNCTION("""COMPUTED_VALUE"""),45954.0)</f>
        <v>45954</v>
      </c>
      <c r="N3998" s="33">
        <f>IFERROR(__xludf.DUMMYFUNCTION("""COMPUTED_VALUE"""),46044.0)</f>
        <v>46044</v>
      </c>
      <c r="O3998" s="20"/>
      <c r="P3998" s="32" t="str">
        <f>IFERROR(__xludf.DUMMYFUNCTION("""COMPUTED_VALUE"""),"否")</f>
        <v>否</v>
      </c>
      <c r="Q3998" s="30"/>
      <c r="R3998" s="22" t="str">
        <f>IFERROR(__xludf.DUMMYFUNCTION("""COMPUTED_VALUE"""),"コミットOK")</f>
        <v>コミットOK</v>
      </c>
      <c r="S3998" s="22" t="str">
        <f>IFERROR(__xludf.DUMMYFUNCTION("""COMPUTED_VALUE"""),"20250926_集英社_【単話売】待てば甘露の日和あり～大正零落華族のとりかえ婚～")</f>
        <v>20250926_集英社_【単話売】待てば甘露の日和あり～大正零落華族のとりかえ婚～</v>
      </c>
      <c r="T3998" s="22" t="str">
        <f>IFERROR(__xludf.DUMMYFUNCTION("""COMPUTED_VALUE"""),"格納済み")</f>
        <v>格納済み</v>
      </c>
      <c r="U3998" s="9" t="str">
        <f>IFERROR(__xludf.DUMMYFUNCTION("""COMPUTED_VALUE"""),"(C)小倉アズキ／集英社クリエイティブ")</f>
        <v>(C)小倉アズキ／集英社クリエイティブ</v>
      </c>
      <c r="V3998" s="8"/>
      <c r="W3998" s="8"/>
      <c r="X3998" s="8" t="str">
        <f>IFERROR(__xludf.DUMMYFUNCTION("""COMPUTED_VALUE"""),"有")</f>
        <v>有</v>
      </c>
      <c r="Y3998" s="8" t="str">
        <f>IFERROR(__xludf.DUMMYFUNCTION("""COMPUTED_VALUE"""),"P12まで")</f>
        <v>P12まで</v>
      </c>
      <c r="Z3998" s="7"/>
      <c r="AA3998" s="7"/>
      <c r="AB3998" s="7"/>
    </row>
    <row r="3999" ht="15.75" customHeight="1">
      <c r="A3999" s="26">
        <f>IFERROR(__xludf.DUMMYFUNCTION("""COMPUTED_VALUE"""),6290.0)</f>
        <v>6290</v>
      </c>
      <c r="B3999" s="22" t="str">
        <f>IFERROR(__xludf.DUMMYFUNCTION("""COMPUTED_VALUE"""),"確定")</f>
        <v>確定</v>
      </c>
      <c r="C3999" s="28">
        <f>IFERROR(__xludf.DUMMYFUNCTION("""COMPUTED_VALUE"""),45888.0)</f>
        <v>45888</v>
      </c>
      <c r="D3999" s="28">
        <f>IFERROR(__xludf.DUMMYFUNCTION("""COMPUTED_VALUE"""),45925.0)</f>
        <v>45925</v>
      </c>
      <c r="E3999" s="26">
        <f>IFERROR(__xludf.DUMMYFUNCTION("""COMPUTED_VALUE"""),338791.0)</f>
        <v>338791</v>
      </c>
      <c r="F3999" s="22" t="str">
        <f>IFERROR(__xludf.DUMMYFUNCTION("""COMPUTED_VALUE"""),"虐げられた秀才令嬢と隣国の腹黒研究者様の甘やかな薬草実験室【単話版】")</f>
        <v>虐げられた秀才令嬢と隣国の腹黒研究者様の甘やかな薬草実験室【単話版】</v>
      </c>
      <c r="G3999" s="20" t="str">
        <f>IFERROR(__xludf.DUMMYFUNCTION("""COMPUTED_VALUE"""),"1～5")</f>
        <v>1～5</v>
      </c>
      <c r="H3999" s="22" t="str">
        <f>IFERROR(__xludf.DUMMYFUNCTION("""COMPUTED_VALUE"""),"椎葉きのこ（漫画）、琴乃葉（原作）、さんど（キャラクター原案）")</f>
        <v>椎葉きのこ（漫画）、琴乃葉（原作）、さんど（キャラクター原案）</v>
      </c>
      <c r="I3999" s="22" t="str">
        <f>IFERROR(__xludf.DUMMYFUNCTION("""COMPUTED_VALUE"""),"少女")</f>
        <v>少女</v>
      </c>
      <c r="J3999" s="22"/>
      <c r="K3999" s="22"/>
      <c r="L3999" s="22" t="str">
        <f>IFERROR(__xludf.DUMMYFUNCTION("""COMPUTED_VALUE"""),"主婦と生活社")</f>
        <v>主婦と生活社</v>
      </c>
      <c r="M3999" s="33">
        <f>IFERROR(__xludf.DUMMYFUNCTION("""COMPUTED_VALUE"""),45962.0)</f>
        <v>45962</v>
      </c>
      <c r="N3999" s="33">
        <f>IFERROR(__xludf.DUMMYFUNCTION("""COMPUTED_VALUE"""),46053.0)</f>
        <v>46053</v>
      </c>
      <c r="O3999" s="20"/>
      <c r="P3999" s="32" t="str">
        <f>IFERROR(__xludf.DUMMYFUNCTION("""COMPUTED_VALUE"""),"可")</f>
        <v>可</v>
      </c>
      <c r="Q3999" s="30"/>
      <c r="R3999" s="22" t="str">
        <f>IFERROR(__xludf.DUMMYFUNCTION("""COMPUTED_VALUE"""),"コミットNG")</f>
        <v>コミットNG</v>
      </c>
      <c r="S3999" s="22" t="str">
        <f>IFERROR(__xludf.DUMMYFUNCTION("""COMPUTED_VALUE"""),"20250924_主婦と生活社_虐げられた秀才令嬢と隣国の腹黒研究者様の甘やかな薬草実験室")</f>
        <v>20250924_主婦と生活社_虐げられた秀才令嬢と隣国の腹黒研究者様の甘やかな薬草実験室</v>
      </c>
      <c r="T3999" s="22" t="str">
        <f>IFERROR(__xludf.DUMMYFUNCTION("""COMPUTED_VALUE"""),"格納済み")</f>
        <v>格納済み</v>
      </c>
      <c r="U3999" s="9" t="str">
        <f>IFERROR(__xludf.DUMMYFUNCTION("""COMPUTED_VALUE"""),"（C）椎葉きのこ・琴乃葉・さんど／主婦と生活社")</f>
        <v>（C）椎葉きのこ・琴乃葉・さんど／主婦と生活社</v>
      </c>
      <c r="V3999" s="8"/>
      <c r="W3999" s="8"/>
      <c r="X3999" s="8" t="str">
        <f>IFERROR(__xludf.DUMMYFUNCTION("""COMPUTED_VALUE"""),"有")</f>
        <v>有</v>
      </c>
      <c r="Y3999" s="8" t="str">
        <f>IFERROR(__xludf.DUMMYFUNCTION("""COMPUTED_VALUE"""),"1~2巻無料")</f>
        <v>1~2巻無料</v>
      </c>
      <c r="Z3999" s="7"/>
      <c r="AA3999" s="7"/>
      <c r="AB3999" s="7"/>
    </row>
    <row r="4000" ht="15.75" customHeight="1">
      <c r="A4000" s="26">
        <f>IFERROR(__xludf.DUMMYFUNCTION("""COMPUTED_VALUE"""),6293.0)</f>
        <v>6293</v>
      </c>
      <c r="B4000" s="22" t="str">
        <f>IFERROR(__xludf.DUMMYFUNCTION("""COMPUTED_VALUE"""),"確定")</f>
        <v>確定</v>
      </c>
      <c r="C4000" s="28">
        <f>IFERROR(__xludf.DUMMYFUNCTION("""COMPUTED_VALUE"""),45889.0)</f>
        <v>45889</v>
      </c>
      <c r="D4000" s="28">
        <f>IFERROR(__xludf.DUMMYFUNCTION("""COMPUTED_VALUE"""),45929.0)</f>
        <v>45929</v>
      </c>
      <c r="E4000" s="26">
        <f>IFERROR(__xludf.DUMMYFUNCTION("""COMPUTED_VALUE"""),339772.0)</f>
        <v>339772</v>
      </c>
      <c r="F4000" s="22" t="str">
        <f>IFERROR(__xludf.DUMMYFUNCTION("""COMPUTED_VALUE"""),"ヤバい後輩 志賀くんの微温い誘いが心地好い【R版】")</f>
        <v>ヤバい後輩 志賀くんの微温い誘いが心地好い【R版】</v>
      </c>
      <c r="G4000" s="20" t="str">
        <f>IFERROR(__xludf.DUMMYFUNCTION("""COMPUTED_VALUE"""),"1～5")</f>
        <v>1～5</v>
      </c>
      <c r="H4000" s="22" t="str">
        <f>IFERROR(__xludf.DUMMYFUNCTION("""COMPUTED_VALUE"""),"出海うに/保田飯飯")</f>
        <v>出海うに/保田飯飯</v>
      </c>
      <c r="I4000" s="22" t="str">
        <f>IFERROR(__xludf.DUMMYFUNCTION("""COMPUTED_VALUE"""),"アダルト")</f>
        <v>アダルト</v>
      </c>
      <c r="J4000" s="22"/>
      <c r="K4000" s="22" t="str">
        <f>IFERROR(__xludf.DUMMYFUNCTION("""COMPUTED_VALUE"""),"THE猥談")</f>
        <v>THE猥談</v>
      </c>
      <c r="L4000" s="22" t="str">
        <f>IFERROR(__xludf.DUMMYFUNCTION("""COMPUTED_VALUE"""),"DLcomics")</f>
        <v>DLcomics</v>
      </c>
      <c r="M4000" s="33">
        <f>IFERROR(__xludf.DUMMYFUNCTION("""COMPUTED_VALUE"""),45961.0)</f>
        <v>45961</v>
      </c>
      <c r="N4000" s="33">
        <f>IFERROR(__xludf.DUMMYFUNCTION("""COMPUTED_VALUE"""),46058.0)</f>
        <v>46058</v>
      </c>
      <c r="O4000" s="20"/>
      <c r="P4000" s="32" t="str">
        <f>IFERROR(__xludf.DUMMYFUNCTION("""COMPUTED_VALUE"""),"可")</f>
        <v>可</v>
      </c>
      <c r="Q4000" s="30"/>
      <c r="R4000" s="22" t="str">
        <f>IFERROR(__xludf.DUMMYFUNCTION("""COMPUTED_VALUE"""),"コミットOK")</f>
        <v>コミットOK</v>
      </c>
      <c r="S4000" s="22" t="str">
        <f>IFERROR(__xludf.DUMMYFUNCTION("""COMPUTED_VALUE"""),"20250926_DLcomics_ヤバい後輩 志賀くんの微温い誘いが心地好い【R版】")</f>
        <v>20250926_DLcomics_ヤバい後輩 志賀くんの微温い誘いが心地好い【R版】</v>
      </c>
      <c r="T4000" s="22" t="str">
        <f>IFERROR(__xludf.DUMMYFUNCTION("""COMPUTED_VALUE"""),"格納済み")</f>
        <v>格納済み</v>
      </c>
      <c r="U4000" s="9" t="str">
        <f>IFERROR(__xludf.DUMMYFUNCTION("""COMPUTED_VALUE"""),"(C)出海うに/保田飯飯/THE猥談")</f>
        <v>(C)出海うに/保田飯飯/THE猥談</v>
      </c>
      <c r="V4000" s="8"/>
      <c r="W4000" s="8"/>
      <c r="X4000" s="8" t="str">
        <f>IFERROR(__xludf.DUMMYFUNCTION("""COMPUTED_VALUE"""),"有")</f>
        <v>有</v>
      </c>
      <c r="Y4000" s="8" t="str">
        <f>IFERROR(__xludf.DUMMYFUNCTION("""COMPUTED_VALUE"""),"2026/2/5まで1巻無料")</f>
        <v>2026/2/5まで1巻無料</v>
      </c>
      <c r="Z4000" s="7"/>
      <c r="AA4000" s="7"/>
      <c r="AB4000" s="7"/>
    </row>
    <row r="4001" ht="15.75" customHeight="1">
      <c r="A4001" s="26">
        <f>IFERROR(__xludf.DUMMYFUNCTION("""COMPUTED_VALUE"""),6295.0)</f>
        <v>6295</v>
      </c>
      <c r="B4001" s="22" t="str">
        <f>IFERROR(__xludf.DUMMYFUNCTION("""COMPUTED_VALUE"""),"確定")</f>
        <v>確定</v>
      </c>
      <c r="C4001" s="28">
        <f>IFERROR(__xludf.DUMMYFUNCTION("""COMPUTED_VALUE"""),45889.0)</f>
        <v>45889</v>
      </c>
      <c r="D4001" s="28">
        <f>IFERROR(__xludf.DUMMYFUNCTION("""COMPUTED_VALUE"""),45929.0)</f>
        <v>45929</v>
      </c>
      <c r="E4001" s="26">
        <f>IFERROR(__xludf.DUMMYFUNCTION("""COMPUTED_VALUE"""),339774.0)</f>
        <v>339774</v>
      </c>
      <c r="F4001" s="22" t="str">
        <f>IFERROR(__xludf.DUMMYFUNCTION("""COMPUTED_VALUE"""),"ネクストブレイク俳優世良田光からDM来た【R版】")</f>
        <v>ネクストブレイク俳優世良田光からDM来た【R版】</v>
      </c>
      <c r="G4001" s="20" t="str">
        <f>IFERROR(__xludf.DUMMYFUNCTION("""COMPUTED_VALUE"""),"1～4")</f>
        <v>1～4</v>
      </c>
      <c r="H4001" s="22" t="str">
        <f>IFERROR(__xludf.DUMMYFUNCTION("""COMPUTED_VALUE"""),"犬渕 満/保田飯飯")</f>
        <v>犬渕 満/保田飯飯</v>
      </c>
      <c r="I4001" s="22" t="str">
        <f>IFERROR(__xludf.DUMMYFUNCTION("""COMPUTED_VALUE"""),"アダルト")</f>
        <v>アダルト</v>
      </c>
      <c r="J4001" s="22"/>
      <c r="K4001" s="22" t="str">
        <f>IFERROR(__xludf.DUMMYFUNCTION("""COMPUTED_VALUE"""),"THE猥談")</f>
        <v>THE猥談</v>
      </c>
      <c r="L4001" s="22" t="str">
        <f>IFERROR(__xludf.DUMMYFUNCTION("""COMPUTED_VALUE"""),"DLcomics")</f>
        <v>DLcomics</v>
      </c>
      <c r="M4001" s="33">
        <f>IFERROR(__xludf.DUMMYFUNCTION("""COMPUTED_VALUE"""),45961.0)</f>
        <v>45961</v>
      </c>
      <c r="N4001" s="33">
        <f>IFERROR(__xludf.DUMMYFUNCTION("""COMPUTED_VALUE"""),46058.0)</f>
        <v>46058</v>
      </c>
      <c r="O4001" s="20"/>
      <c r="P4001" s="32" t="str">
        <f>IFERROR(__xludf.DUMMYFUNCTION("""COMPUTED_VALUE"""),"可")</f>
        <v>可</v>
      </c>
      <c r="Q4001" s="30"/>
      <c r="R4001" s="22" t="str">
        <f>IFERROR(__xludf.DUMMYFUNCTION("""COMPUTED_VALUE"""),"コミットOK")</f>
        <v>コミットOK</v>
      </c>
      <c r="S4001" s="22" t="str">
        <f>IFERROR(__xludf.DUMMYFUNCTION("""COMPUTED_VALUE"""),"20250926_DLcomics_ネクストブレイク俳優世良田光からDM来た【R版】")</f>
        <v>20250926_DLcomics_ネクストブレイク俳優世良田光からDM来た【R版】</v>
      </c>
      <c r="T4001" s="22" t="str">
        <f>IFERROR(__xludf.DUMMYFUNCTION("""COMPUTED_VALUE"""),"格納済み")</f>
        <v>格納済み</v>
      </c>
      <c r="U4001" s="9" t="str">
        <f>IFERROR(__xludf.DUMMYFUNCTION("""COMPUTED_VALUE"""),"(C)犬渕 満/保田飯飯/THE猥談")</f>
        <v>(C)犬渕 満/保田飯飯/THE猥談</v>
      </c>
      <c r="V4001" s="8"/>
      <c r="W4001" s="8"/>
      <c r="X4001" s="8" t="str">
        <f>IFERROR(__xludf.DUMMYFUNCTION("""COMPUTED_VALUE"""),"有")</f>
        <v>有</v>
      </c>
      <c r="Y4001" s="8" t="str">
        <f>IFERROR(__xludf.DUMMYFUNCTION("""COMPUTED_VALUE"""),"2026/2/5まで1巻無料")</f>
        <v>2026/2/5まで1巻無料</v>
      </c>
      <c r="Z4001" s="7"/>
      <c r="AA4001" s="7"/>
      <c r="AB4001" s="7"/>
    </row>
    <row r="4002" ht="15.75" customHeight="1">
      <c r="A4002" s="26">
        <f>IFERROR(__xludf.DUMMYFUNCTION("""COMPUTED_VALUE"""),6325.0)</f>
        <v>6325</v>
      </c>
      <c r="B4002" s="22" t="str">
        <f>IFERROR(__xludf.DUMMYFUNCTION("""COMPUTED_VALUE"""),"確定")</f>
        <v>確定</v>
      </c>
      <c r="C4002" s="28">
        <f>IFERROR(__xludf.DUMMYFUNCTION("""COMPUTED_VALUE"""),45891.0)</f>
        <v>45891</v>
      </c>
      <c r="D4002" s="28">
        <f>IFERROR(__xludf.DUMMYFUNCTION("""COMPUTED_VALUE"""),45924.0)</f>
        <v>45924</v>
      </c>
      <c r="E4002" s="26">
        <f>IFERROR(__xludf.DUMMYFUNCTION("""COMPUTED_VALUE"""),338337.0)</f>
        <v>338337</v>
      </c>
      <c r="F4002" s="22" t="str">
        <f>IFERROR(__xludf.DUMMYFUNCTION("""COMPUTED_VALUE"""),"【ラブフリック】再発恋情 退勤後の元カレに甘く暴かれて…")</f>
        <v>【ラブフリック】再発恋情 退勤後の元カレに甘く暴かれて…</v>
      </c>
      <c r="G4002" s="20" t="str">
        <f>IFERROR(__xludf.DUMMYFUNCTION("""COMPUTED_VALUE"""),"1～2")</f>
        <v>1～2</v>
      </c>
      <c r="H4002" s="22" t="str">
        <f>IFERROR(__xludf.DUMMYFUNCTION("""COMPUTED_VALUE"""),"本森灯")</f>
        <v>本森灯</v>
      </c>
      <c r="I4002" s="22" t="str">
        <f>IFERROR(__xludf.DUMMYFUNCTION("""COMPUTED_VALUE"""),"TL")</f>
        <v>TL</v>
      </c>
      <c r="J4002" s="22"/>
      <c r="K4002" s="22" t="str">
        <f>IFERROR(__xludf.DUMMYFUNCTION("""COMPUTED_VALUE"""),"LOVE FLICK")</f>
        <v>LOVE FLICK</v>
      </c>
      <c r="L4002" s="22" t="str">
        <f>IFERROR(__xludf.DUMMYFUNCTION("""COMPUTED_VALUE"""),"CLLENN")</f>
        <v>CLLENN</v>
      </c>
      <c r="M4002" s="33">
        <f>IFERROR(__xludf.DUMMYFUNCTION("""COMPUTED_VALUE"""),45945.0)</f>
        <v>45945</v>
      </c>
      <c r="N4002" s="33">
        <f>IFERROR(__xludf.DUMMYFUNCTION("""COMPUTED_VALUE"""),45979.0)</f>
        <v>45979</v>
      </c>
      <c r="O4002" s="20"/>
      <c r="P4002" s="32" t="str">
        <f>IFERROR(__xludf.DUMMYFUNCTION("""COMPUTED_VALUE"""),"可")</f>
        <v>可</v>
      </c>
      <c r="Q4002" s="30" t="str">
        <f>IFERROR(__xludf.DUMMYFUNCTION("""COMPUTED_VALUE"""),"【アダルト作品扱い】&lt;BR&gt;")</f>
        <v>【アダルト作品扱い】&lt;BR&gt;</v>
      </c>
      <c r="R4002" s="22" t="str">
        <f>IFERROR(__xludf.DUMMYFUNCTION("""COMPUTED_VALUE"""),"コミットNG")</f>
        <v>コミットNG</v>
      </c>
      <c r="S4002" s="22" t="str">
        <f>IFERROR(__xludf.DUMMYFUNCTION("""COMPUTED_VALUE"""),"20250924_CLLENN_【ラブフリック】再発恋情 退勤後の元カレに甘く暴かれて…-20250924T043725Z-1-001")</f>
        <v>20250924_CLLENN_【ラブフリック】再発恋情 退勤後の元カレに甘く暴かれて…-20250924T043725Z-1-001</v>
      </c>
      <c r="T4002" s="22" t="str">
        <f>IFERROR(__xludf.DUMMYFUNCTION("""COMPUTED_VALUE"""),"格納済み")</f>
        <v>格納済み</v>
      </c>
      <c r="U4002" s="9" t="str">
        <f>IFERROR(__xludf.DUMMYFUNCTION("""COMPUTED_VALUE"""),"Ⓒ本森灯/CLLENN")</f>
        <v>Ⓒ本森灯/CLLENN</v>
      </c>
      <c r="V4002" s="8"/>
      <c r="W4002" s="8"/>
      <c r="X4002" s="8" t="str">
        <f>IFERROR(__xludf.DUMMYFUNCTION("""COMPUTED_VALUE"""),"有")</f>
        <v>有</v>
      </c>
      <c r="Y4002" s="8" t="str">
        <f>IFERROR(__xludf.DUMMYFUNCTION("""COMPUTED_VALUE"""),"P10まで")</f>
        <v>P10まで</v>
      </c>
      <c r="Z4002" s="7"/>
      <c r="AA4002" s="7"/>
      <c r="AB4002" s="7"/>
    </row>
    <row r="4003" ht="15.75" customHeight="1">
      <c r="A4003" s="26">
        <f>IFERROR(__xludf.DUMMYFUNCTION("""COMPUTED_VALUE"""),6335.0)</f>
        <v>6335</v>
      </c>
      <c r="B4003" s="22" t="str">
        <f>IFERROR(__xludf.DUMMYFUNCTION("""COMPUTED_VALUE"""),"確定")</f>
        <v>確定</v>
      </c>
      <c r="C4003" s="28">
        <f>IFERROR(__xludf.DUMMYFUNCTION("""COMPUTED_VALUE"""),45894.0)</f>
        <v>45894</v>
      </c>
      <c r="D4003" s="28">
        <f>IFERROR(__xludf.DUMMYFUNCTION("""COMPUTED_VALUE"""),45930.0)</f>
        <v>45930</v>
      </c>
      <c r="E4003" s="26">
        <f>IFERROR(__xludf.DUMMYFUNCTION("""COMPUTED_VALUE"""),339360.0)</f>
        <v>339360</v>
      </c>
      <c r="F4003" s="22" t="str">
        <f>IFERROR(__xludf.DUMMYFUNCTION("""COMPUTED_VALUE"""),"ラブギャルとりにてぃ！～罰ゲームから始まる好き好きセックス～【R版】")</f>
        <v>ラブギャルとりにてぃ！～罰ゲームから始まる好き好きセックス～【R版】</v>
      </c>
      <c r="G4003" s="20" t="str">
        <f>IFERROR(__xludf.DUMMYFUNCTION("""COMPUTED_VALUE"""),"1～3")</f>
        <v>1～3</v>
      </c>
      <c r="H4003" s="22" t="str">
        <f>IFERROR(__xludf.DUMMYFUNCTION("""COMPUTED_VALUE"""),"晴雲サイキ")</f>
        <v>晴雲サイキ</v>
      </c>
      <c r="I4003" s="22" t="str">
        <f>IFERROR(__xludf.DUMMYFUNCTION("""COMPUTED_VALUE"""),"アダルト")</f>
        <v>アダルト</v>
      </c>
      <c r="J4003" s="22"/>
      <c r="K4003" s="22" t="str">
        <f>IFERROR(__xludf.DUMMYFUNCTION("""COMPUTED_VALUE"""),"もえスタビースト")</f>
        <v>もえスタビースト</v>
      </c>
      <c r="L4003" s="22" t="str">
        <f>IFERROR(__xludf.DUMMYFUNCTION("""COMPUTED_VALUE"""),"DEEPER-ZERO")</f>
        <v>DEEPER-ZERO</v>
      </c>
      <c r="M4003" s="33">
        <f>IFERROR(__xludf.DUMMYFUNCTION("""COMPUTED_VALUE"""),45955.0)</f>
        <v>45955</v>
      </c>
      <c r="N4003" s="33">
        <f>IFERROR(__xludf.DUMMYFUNCTION("""COMPUTED_VALUE"""),46017.0)</f>
        <v>46017</v>
      </c>
      <c r="O4003" s="20"/>
      <c r="P4003" s="32" t="str">
        <f>IFERROR(__xludf.DUMMYFUNCTION("""COMPUTED_VALUE"""),"可")</f>
        <v>可</v>
      </c>
      <c r="Q4003" s="30" t="str">
        <f>IFERROR(__xludf.DUMMYFUNCTION("""COMPUTED_VALUE"""),"数社先行")</f>
        <v>数社先行</v>
      </c>
      <c r="R4003" s="22" t="str">
        <f>IFERROR(__xludf.DUMMYFUNCTION("""COMPUTED_VALUE"""),"コミットOK")</f>
        <v>コミットOK</v>
      </c>
      <c r="S4003" s="22" t="str">
        <f>IFERROR(__xludf.DUMMYFUNCTION("""COMPUTED_VALUE"""),"20250930_DEEPER-ZERO_ラブギャルとりにてぃ！～罰ゲームから始まる好き好きセックス～")</f>
        <v>20250930_DEEPER-ZERO_ラブギャルとりにてぃ！～罰ゲームから始まる好き好きセックス～</v>
      </c>
      <c r="T4003" s="22" t="str">
        <f>IFERROR(__xludf.DUMMYFUNCTION("""COMPUTED_VALUE"""),"格納済み")</f>
        <v>格納済み</v>
      </c>
      <c r="U4003" s="9" t="str">
        <f>IFERROR(__xludf.DUMMYFUNCTION("""COMPUTED_VALUE"""),"Ⓒ晴雲サイキ/DEEPER-ZERO")</f>
        <v>Ⓒ晴雲サイキ/DEEPER-ZERO</v>
      </c>
      <c r="V4003" s="8"/>
      <c r="W4003" s="8"/>
      <c r="X4003" s="8" t="str">
        <f>IFERROR(__xludf.DUMMYFUNCTION("""COMPUTED_VALUE"""),"有")</f>
        <v>有</v>
      </c>
      <c r="Y4003" s="8" t="str">
        <f>IFERROR(__xludf.DUMMYFUNCTION("""COMPUTED_VALUE"""),"P10まで")</f>
        <v>P10まで</v>
      </c>
      <c r="Z4003" s="7"/>
      <c r="AA4003" s="7"/>
      <c r="AB4003" s="7"/>
    </row>
    <row r="4004" ht="15.75" customHeight="1">
      <c r="A4004" s="26">
        <f>IFERROR(__xludf.DUMMYFUNCTION("""COMPUTED_VALUE"""),6346.0)</f>
        <v>6346</v>
      </c>
      <c r="B4004" s="22" t="str">
        <f>IFERROR(__xludf.DUMMYFUNCTION("""COMPUTED_VALUE"""),"確定")</f>
        <v>確定</v>
      </c>
      <c r="C4004" s="28">
        <f>IFERROR(__xludf.DUMMYFUNCTION("""COMPUTED_VALUE"""),45895.0)</f>
        <v>45895</v>
      </c>
      <c r="D4004" s="28">
        <f>IFERROR(__xludf.DUMMYFUNCTION("""COMPUTED_VALUE"""),45929.0)</f>
        <v>45929</v>
      </c>
      <c r="E4004" s="26">
        <f>IFERROR(__xludf.DUMMYFUNCTION("""COMPUTED_VALUE"""),339498.0)</f>
        <v>339498</v>
      </c>
      <c r="F4004" s="22" t="str">
        <f>IFERROR(__xludf.DUMMYFUNCTION("""COMPUTED_VALUE"""),"嫁取りひとりかくれんぼ【R版】")</f>
        <v>嫁取りひとりかくれんぼ【R版】</v>
      </c>
      <c r="G4004" s="20" t="str">
        <f>IFERROR(__xludf.DUMMYFUNCTION("""COMPUTED_VALUE"""),"1～2")</f>
        <v>1～2</v>
      </c>
      <c r="H4004" s="22" t="str">
        <f>IFERROR(__xludf.DUMMYFUNCTION("""COMPUTED_VALUE"""),"隔離カイリ/九めい")</f>
        <v>隔離カイリ/九めい</v>
      </c>
      <c r="I4004" s="22" t="str">
        <f>IFERROR(__xludf.DUMMYFUNCTION("""COMPUTED_VALUE"""),"アダルトマンガ")</f>
        <v>アダルトマンガ</v>
      </c>
      <c r="J4004" s="22"/>
      <c r="K4004" s="22" t="str">
        <f>IFERROR(__xludf.DUMMYFUNCTION("""COMPUTED_VALUE"""),"BLIC-ERO")</f>
        <v>BLIC-ERO</v>
      </c>
      <c r="L4004" s="22" t="str">
        <f>IFERROR(__xludf.DUMMYFUNCTION("""COMPUTED_VALUE"""),"クロスフォリオ出版")</f>
        <v>クロスフォリオ出版</v>
      </c>
      <c r="M4004" s="33">
        <f>IFERROR(__xludf.DUMMYFUNCTION("""COMPUTED_VALUE"""),45961.0)</f>
        <v>45961</v>
      </c>
      <c r="N4004" s="33">
        <f>IFERROR(__xludf.DUMMYFUNCTION("""COMPUTED_VALUE"""),46016.0)</f>
        <v>46016</v>
      </c>
      <c r="O4004" s="20"/>
      <c r="P4004" s="32" t="str">
        <f>IFERROR(__xludf.DUMMYFUNCTION("""COMPUTED_VALUE"""),"可")</f>
        <v>可</v>
      </c>
      <c r="Q4004" s="30" t="str">
        <f>IFERROR(__xludf.DUMMYFUNCTION("""COMPUTED_VALUE"""),"BookLiveとの2社先行です。&lt;BR&gt;素材は2分割して、初回1～2巻として配信します。")</f>
        <v>BookLiveとの2社先行です。&lt;BR&gt;素材は2分割して、初回1～2巻として配信します。</v>
      </c>
      <c r="R4004" s="22" t="str">
        <f>IFERROR(__xludf.DUMMYFUNCTION("""COMPUTED_VALUE"""),"コミットOK")</f>
        <v>コミットOK</v>
      </c>
      <c r="S4004" s="22" t="str">
        <f>IFERROR(__xludf.DUMMYFUNCTION("""COMPUTED_VALUE"""),"20250926_BookLive_嫁取りひとりかくれんぼ")</f>
        <v>20250926_BookLive_嫁取りひとりかくれんぼ</v>
      </c>
      <c r="T4004" s="22" t="str">
        <f>IFERROR(__xludf.DUMMYFUNCTION("""COMPUTED_VALUE"""),"格納済み")</f>
        <v>格納済み</v>
      </c>
      <c r="U4004" s="9" t="str">
        <f>IFERROR(__xludf.DUMMYFUNCTION("""COMPUTED_VALUE"""),"Ⓒ隔離カイリ/九めい/めいめいキメラ/クロスフォリオ出版")</f>
        <v>Ⓒ隔離カイリ/九めい/めいめいキメラ/クロスフォリオ出版</v>
      </c>
      <c r="V4004" s="8"/>
      <c r="W4004" s="8"/>
      <c r="X4004" s="8" t="str">
        <f>IFERROR(__xludf.DUMMYFUNCTION("""COMPUTED_VALUE"""),"有")</f>
        <v>有</v>
      </c>
      <c r="Y4004" s="8" t="str">
        <f>IFERROR(__xludf.DUMMYFUNCTION("""COMPUTED_VALUE"""),"P13まで")</f>
        <v>P13まで</v>
      </c>
      <c r="Z4004" s="7"/>
      <c r="AA4004" s="7"/>
      <c r="AB4004" s="7"/>
    </row>
    <row r="4005" ht="15.75" customHeight="1">
      <c r="A4005" s="26">
        <f>IFERROR(__xludf.DUMMYFUNCTION("""COMPUTED_VALUE"""),6351.0)</f>
        <v>6351</v>
      </c>
      <c r="B4005" s="22" t="str">
        <f>IFERROR(__xludf.DUMMYFUNCTION("""COMPUTED_VALUE"""),"確定")</f>
        <v>確定</v>
      </c>
      <c r="C4005" s="28">
        <f>IFERROR(__xludf.DUMMYFUNCTION("""COMPUTED_VALUE"""),45896.0)</f>
        <v>45896</v>
      </c>
      <c r="D4005" s="28">
        <f>IFERROR(__xludf.DUMMYFUNCTION("""COMPUTED_VALUE"""),45924.0)</f>
        <v>45924</v>
      </c>
      <c r="E4005" s="26">
        <f>IFERROR(__xludf.DUMMYFUNCTION("""COMPUTED_VALUE"""),339350.0)</f>
        <v>339350</v>
      </c>
      <c r="F4005" s="22" t="str">
        <f>IFERROR(__xludf.DUMMYFUNCTION("""COMPUTED_VALUE"""),"「泣いても後悔しないでね？」奥手絶倫を煽ったらぐちゃぐちゃにイカされた話")</f>
        <v>「泣いても後悔しないでね？」奥手絶倫を煽ったらぐちゃぐちゃにイカされた話</v>
      </c>
      <c r="G4005" s="20" t="str">
        <f>IFERROR(__xludf.DUMMYFUNCTION("""COMPUTED_VALUE"""),"1～3")</f>
        <v>1～3</v>
      </c>
      <c r="H4005" s="22" t="str">
        <f>IFERROR(__xludf.DUMMYFUNCTION("""COMPUTED_VALUE"""),"筒島サカナ")</f>
        <v>筒島サカナ</v>
      </c>
      <c r="I4005" s="22" t="str">
        <f>IFERROR(__xludf.DUMMYFUNCTION("""COMPUTED_VALUE"""),"アダルト")</f>
        <v>アダルト</v>
      </c>
      <c r="J4005" s="22"/>
      <c r="K4005" s="22" t="str">
        <f>IFERROR(__xludf.DUMMYFUNCTION("""COMPUTED_VALUE"""),"カゲキヤコミック")</f>
        <v>カゲキヤコミック</v>
      </c>
      <c r="L4005" s="22" t="str">
        <f>IFERROR(__xludf.DUMMYFUNCTION("""COMPUTED_VALUE"""),"DEEPER-ZERO")</f>
        <v>DEEPER-ZERO</v>
      </c>
      <c r="M4005" s="33">
        <f>IFERROR(__xludf.DUMMYFUNCTION("""COMPUTED_VALUE"""),45954.0)</f>
        <v>45954</v>
      </c>
      <c r="N4005" s="33">
        <f>IFERROR(__xludf.DUMMYFUNCTION("""COMPUTED_VALUE"""),46016.0)</f>
        <v>46016</v>
      </c>
      <c r="O4005" s="20"/>
      <c r="P4005" s="32" t="str">
        <f>IFERROR(__xludf.DUMMYFUNCTION("""COMPUTED_VALUE"""),"可")</f>
        <v>可</v>
      </c>
      <c r="Q4005" s="30"/>
      <c r="R4005" s="22" t="str">
        <f>IFERROR(__xludf.DUMMYFUNCTION("""COMPUTED_VALUE"""),"コミットOK")</f>
        <v>コミットOK</v>
      </c>
      <c r="S4005" s="22" t="str">
        <f>IFERROR(__xludf.DUMMYFUNCTION("""COMPUTED_VALUE"""),"20250924‗DEEPER-ZERO_「泣いても後悔しないでね？」奥手絶倫を煽ったらぐちゃぐちゃにイカされた話")</f>
        <v>20250924‗DEEPER-ZERO_「泣いても後悔しないでね？」奥手絶倫を煽ったらぐちゃぐちゃにイカされた話</v>
      </c>
      <c r="T4005" s="22" t="str">
        <f>IFERROR(__xludf.DUMMYFUNCTION("""COMPUTED_VALUE"""),"格納済み")</f>
        <v>格納済み</v>
      </c>
      <c r="U4005" s="9" t="str">
        <f>IFERROR(__xludf.DUMMYFUNCTION("""COMPUTED_VALUE"""),"Ⓒ筒島サカナ/DEEPER-ZERO")</f>
        <v>Ⓒ筒島サカナ/DEEPER-ZERO</v>
      </c>
      <c r="V4005" s="8"/>
      <c r="W4005" s="8"/>
      <c r="X4005" s="8" t="str">
        <f>IFERROR(__xludf.DUMMYFUNCTION("""COMPUTED_VALUE"""),"有")</f>
        <v>有</v>
      </c>
      <c r="Y4005" s="8" t="str">
        <f>IFERROR(__xludf.DUMMYFUNCTION("""COMPUTED_VALUE"""),"P12まで")</f>
        <v>P12まで</v>
      </c>
      <c r="Z4005" s="7"/>
      <c r="AA4005" s="7"/>
      <c r="AB4005" s="7"/>
    </row>
    <row r="4006" ht="15.75" customHeight="1">
      <c r="A4006" s="26">
        <f>IFERROR(__xludf.DUMMYFUNCTION("""COMPUTED_VALUE"""),6353.0)</f>
        <v>6353</v>
      </c>
      <c r="B4006" s="22" t="str">
        <f>IFERROR(__xludf.DUMMYFUNCTION("""COMPUTED_VALUE"""),"確定")</f>
        <v>確定</v>
      </c>
      <c r="C4006" s="28">
        <f>IFERROR(__xludf.DUMMYFUNCTION("""COMPUTED_VALUE"""),45896.0)</f>
        <v>45896</v>
      </c>
      <c r="D4006" s="28">
        <f>IFERROR(__xludf.DUMMYFUNCTION("""COMPUTED_VALUE"""),45924.0)</f>
        <v>45924</v>
      </c>
      <c r="E4006" s="26">
        <f>IFERROR(__xludf.DUMMYFUNCTION("""COMPUTED_VALUE"""),339066.0)</f>
        <v>339066</v>
      </c>
      <c r="F4006" s="22" t="str">
        <f>IFERROR(__xludf.DUMMYFUNCTION("""COMPUTED_VALUE"""),"ルナプレナの涙")</f>
        <v>ルナプレナの涙</v>
      </c>
      <c r="G4006" s="20" t="str">
        <f>IFERROR(__xludf.DUMMYFUNCTION("""COMPUTED_VALUE"""),"1～3")</f>
        <v>1～3</v>
      </c>
      <c r="H4006" s="22" t="str">
        <f>IFERROR(__xludf.DUMMYFUNCTION("""COMPUTED_VALUE"""),"Kiri")</f>
        <v>Kiri</v>
      </c>
      <c r="I4006" s="22" t="str">
        <f>IFERROR(__xludf.DUMMYFUNCTION("""COMPUTED_VALUE"""),"BL")</f>
        <v>BL</v>
      </c>
      <c r="J4006" s="22"/>
      <c r="K4006" s="22" t="str">
        <f>IFERROR(__xludf.DUMMYFUNCTION("""COMPUTED_VALUE"""),"STUNNER")</f>
        <v>STUNNER</v>
      </c>
      <c r="L4006" s="22" t="str">
        <f>IFERROR(__xludf.DUMMYFUNCTION("""COMPUTED_VALUE"""),"リイド社")</f>
        <v>リイド社</v>
      </c>
      <c r="M4006" s="33">
        <f>IFERROR(__xludf.DUMMYFUNCTION("""COMPUTED_VALUE"""),45953.0)</f>
        <v>45953</v>
      </c>
      <c r="N4006" s="33">
        <f>IFERROR(__xludf.DUMMYFUNCTION("""COMPUTED_VALUE"""),46044.0)</f>
        <v>46044</v>
      </c>
      <c r="O4006" s="20"/>
      <c r="P4006" s="32" t="str">
        <f>IFERROR(__xludf.DUMMYFUNCTION("""COMPUTED_VALUE"""),"可")</f>
        <v>可</v>
      </c>
      <c r="Q4006" s="30" t="str">
        <f>IFERROR(__xludf.DUMMYFUNCTION("""COMPUTED_VALUE"""),"【アダルト作品扱い】")</f>
        <v>【アダルト作品扱い】</v>
      </c>
      <c r="R4006" s="22" t="str">
        <f>IFERROR(__xludf.DUMMYFUNCTION("""COMPUTED_VALUE"""),"コミットOK")</f>
        <v>コミットOK</v>
      </c>
      <c r="S4006" s="22" t="str">
        <f>IFERROR(__xludf.DUMMYFUNCTION("""COMPUTED_VALUE"""),"20250924_リイド_ルナプレナの涙")</f>
        <v>20250924_リイド_ルナプレナの涙</v>
      </c>
      <c r="T4006" s="22" t="str">
        <f>IFERROR(__xludf.DUMMYFUNCTION("""COMPUTED_VALUE"""),"格納済み")</f>
        <v>格納済み</v>
      </c>
      <c r="U4006" s="9" t="str">
        <f>IFERROR(__xludf.DUMMYFUNCTION("""COMPUTED_VALUE"""),"(C) Kiri / STUNNER")</f>
        <v>(C) Kiri / STUNNER</v>
      </c>
      <c r="V4006" s="8"/>
      <c r="W4006" s="8"/>
      <c r="X4006" s="8" t="str">
        <f>IFERROR(__xludf.DUMMYFUNCTION("""COMPUTED_VALUE"""),"有")</f>
        <v>有</v>
      </c>
      <c r="Y4006" s="8" t="str">
        <f>IFERROR(__xludf.DUMMYFUNCTION("""COMPUTED_VALUE"""),"1巻無料")</f>
        <v>1巻無料</v>
      </c>
      <c r="Z4006" s="7"/>
      <c r="AA4006" s="7"/>
      <c r="AB4006" s="7"/>
    </row>
    <row r="4007" ht="15.75" customHeight="1">
      <c r="A4007" s="26">
        <f>IFERROR(__xludf.DUMMYFUNCTION("""COMPUTED_VALUE"""),6389.0)</f>
        <v>6389</v>
      </c>
      <c r="B4007" s="22" t="str">
        <f>IFERROR(__xludf.DUMMYFUNCTION("""COMPUTED_VALUE"""),"確定")</f>
        <v>確定</v>
      </c>
      <c r="C4007" s="28">
        <f>IFERROR(__xludf.DUMMYFUNCTION("""COMPUTED_VALUE"""),45902.0)</f>
        <v>45902</v>
      </c>
      <c r="D4007" s="28">
        <f>IFERROR(__xludf.DUMMYFUNCTION("""COMPUTED_VALUE"""),45929.0)</f>
        <v>45929</v>
      </c>
      <c r="E4007" s="26">
        <f>IFERROR(__xludf.DUMMYFUNCTION("""COMPUTED_VALUE"""),339738.0)</f>
        <v>339738</v>
      </c>
      <c r="F4007" s="22" t="str">
        <f>IFERROR(__xludf.DUMMYFUNCTION("""COMPUTED_VALUE"""),"悪役令嬢の離婚宣言～バッドエンドから逃げ出したいのですが、なぜか執着されています！～")</f>
        <v>悪役令嬢の離婚宣言～バッドエンドから逃げ出したいのですが、なぜか執着されています！～</v>
      </c>
      <c r="G4007" s="20" t="str">
        <f>IFERROR(__xludf.DUMMYFUNCTION("""COMPUTED_VALUE"""),"1～3")</f>
        <v>1～3</v>
      </c>
      <c r="H4007" s="22" t="str">
        <f>IFERROR(__xludf.DUMMYFUNCTION("""COMPUTED_VALUE"""),"岬三月・はるな")</f>
        <v>岬三月・はるな</v>
      </c>
      <c r="I4007" s="22" t="str">
        <f>IFERROR(__xludf.DUMMYFUNCTION("""COMPUTED_VALUE"""),"女性")</f>
        <v>女性</v>
      </c>
      <c r="J4007" s="22"/>
      <c r="K4007" s="22" t="str">
        <f>IFERROR(__xludf.DUMMYFUNCTION("""COMPUTED_VALUE"""),"COMIC stella")</f>
        <v>COMIC stella</v>
      </c>
      <c r="L4007" s="22" t="str">
        <f>IFERROR(__xludf.DUMMYFUNCTION("""COMPUTED_VALUE"""),"COMIC stella")</f>
        <v>COMIC stella</v>
      </c>
      <c r="M4007" s="33">
        <f>IFERROR(__xludf.DUMMYFUNCTION("""COMPUTED_VALUE"""),45962.0)</f>
        <v>45962</v>
      </c>
      <c r="N4007" s="33">
        <f>IFERROR(__xludf.DUMMYFUNCTION("""COMPUTED_VALUE"""),46053.0)</f>
        <v>46053</v>
      </c>
      <c r="O4007" s="20"/>
      <c r="P4007" s="32" t="str">
        <f>IFERROR(__xludf.DUMMYFUNCTION("""COMPUTED_VALUE"""),"可")</f>
        <v>可</v>
      </c>
      <c r="Q4007" s="30"/>
      <c r="R4007" s="22" t="str">
        <f>IFERROR(__xludf.DUMMYFUNCTION("""COMPUTED_VALUE"""),"コミットOK")</f>
        <v>コミットOK</v>
      </c>
      <c r="S4007" s="22" t="str">
        <f>IFERROR(__xludf.DUMMYFUNCTION("""COMPUTED_VALUE"""),"20250929_COMIC stella_悪役令嬢の離婚宣言～バッドエンドから逃げ出したいのですが、なぜか執着されています！～")</f>
        <v>20250929_COMIC stella_悪役令嬢の離婚宣言～バッドエンドから逃げ出したいのですが、なぜか執着されています！～</v>
      </c>
      <c r="T4007" s="22" t="str">
        <f>IFERROR(__xludf.DUMMYFUNCTION("""COMPUTED_VALUE"""),"格納済み")</f>
        <v>格納済み</v>
      </c>
      <c r="U4007" s="9" t="str">
        <f>IFERROR(__xludf.DUMMYFUNCTION("""COMPUTED_VALUE"""),"（C）岬三月・はるな／COMIC stella")</f>
        <v>（C）岬三月・はるな／COMIC stella</v>
      </c>
      <c r="V4007" s="8"/>
      <c r="W4007" s="8"/>
      <c r="X4007" s="8" t="str">
        <f>IFERROR(__xludf.DUMMYFUNCTION("""COMPUTED_VALUE"""),"有")</f>
        <v>有</v>
      </c>
      <c r="Y4007" s="8" t="str">
        <f>IFERROR(__xludf.DUMMYFUNCTION("""COMPUTED_VALUE"""),"2025/11/16まで1巻無料")</f>
        <v>2025/11/16まで1巻無料</v>
      </c>
      <c r="Z4007" s="7"/>
      <c r="AA4007" s="7"/>
      <c r="AB4007" s="7"/>
    </row>
    <row r="4008" ht="15.75" customHeight="1">
      <c r="A4008" s="26">
        <f>IFERROR(__xludf.DUMMYFUNCTION("""COMPUTED_VALUE"""),6390.0)</f>
        <v>6390</v>
      </c>
      <c r="B4008" s="22" t="str">
        <f>IFERROR(__xludf.DUMMYFUNCTION("""COMPUTED_VALUE"""),"確定")</f>
        <v>確定</v>
      </c>
      <c r="C4008" s="28">
        <f>IFERROR(__xludf.DUMMYFUNCTION("""COMPUTED_VALUE"""),45902.0)</f>
        <v>45902</v>
      </c>
      <c r="D4008" s="28">
        <f>IFERROR(__xludf.DUMMYFUNCTION("""COMPUTED_VALUE"""),45926.0)</f>
        <v>45926</v>
      </c>
      <c r="E4008" s="26">
        <f>IFERROR(__xludf.DUMMYFUNCTION("""COMPUTED_VALUE"""),341888.0)</f>
        <v>341888</v>
      </c>
      <c r="F4008" s="22" t="str">
        <f>IFERROR(__xludf.DUMMYFUNCTION("""COMPUTED_VALUE"""),"枕アイドル〜芸能界禁断のリアル〜")</f>
        <v>枕アイドル〜芸能界禁断のリアル〜</v>
      </c>
      <c r="G4008" s="20" t="str">
        <f>IFERROR(__xludf.DUMMYFUNCTION("""COMPUTED_VALUE"""),"1～3")</f>
        <v>1～3</v>
      </c>
      <c r="H4008" s="22" t="str">
        <f>IFERROR(__xludf.DUMMYFUNCTION("""COMPUTED_VALUE"""),"有希うさぎ┴新堂冬樹")</f>
        <v>有希うさぎ┴新堂冬樹</v>
      </c>
      <c r="I4008" s="22" t="str">
        <f>IFERROR(__xludf.DUMMYFUNCTION("""COMPUTED_VALUE"""),"青年")</f>
        <v>青年</v>
      </c>
      <c r="J4008" s="22"/>
      <c r="K4008" s="22" t="str">
        <f>IFERROR(__xludf.DUMMYFUNCTION("""COMPUTED_VALUE"""),"ピカレスク")</f>
        <v>ピカレスク</v>
      </c>
      <c r="L4008" s="22" t="str">
        <f>IFERROR(__xludf.DUMMYFUNCTION("""COMPUTED_VALUE"""),"サイゾー")</f>
        <v>サイゾー</v>
      </c>
      <c r="M4008" s="33">
        <f>IFERROR(__xludf.DUMMYFUNCTION("""COMPUTED_VALUE"""),45961.0)</f>
        <v>45961</v>
      </c>
      <c r="N4008" s="33">
        <f>IFERROR(__xludf.DUMMYFUNCTION("""COMPUTED_VALUE"""),46052.0)</f>
        <v>46052</v>
      </c>
      <c r="O4008" s="20"/>
      <c r="P4008" s="32" t="str">
        <f>IFERROR(__xludf.DUMMYFUNCTION("""COMPUTED_VALUE"""),"可")</f>
        <v>可</v>
      </c>
      <c r="Q4008" s="30" t="str">
        <f>IFERROR(__xludf.DUMMYFUNCTION("""COMPUTED_VALUE"""),"【アダルト作品扱い】")</f>
        <v>【アダルト作品扱い】</v>
      </c>
      <c r="R4008" s="22" t="str">
        <f>IFERROR(__xludf.DUMMYFUNCTION("""COMPUTED_VALUE"""),"コミットOK")</f>
        <v>コミットOK</v>
      </c>
      <c r="S4008" s="22" t="str">
        <f>IFERROR(__xludf.DUMMYFUNCTION("""COMPUTED_VALUE"""),"20250925_サイゾー_枕アイドル 芸能界禁断のリアル")</f>
        <v>20250925_サイゾー_枕アイドル 芸能界禁断のリアル</v>
      </c>
      <c r="T4008" s="22" t="str">
        <f>IFERROR(__xludf.DUMMYFUNCTION("""COMPUTED_VALUE"""),"格納済み")</f>
        <v>格納済み</v>
      </c>
      <c r="U4008" s="9" t="str">
        <f>IFERROR(__xludf.DUMMYFUNCTION("""COMPUTED_VALUE"""),"（C）有希うさぎ・新堂冬樹／ピカレスク")</f>
        <v>（C）有希うさぎ・新堂冬樹／ピカレスク</v>
      </c>
      <c r="V4008" s="8"/>
      <c r="W4008" s="8"/>
      <c r="X4008" s="8" t="str">
        <f>IFERROR(__xludf.DUMMYFUNCTION("""COMPUTED_VALUE"""),"有")</f>
        <v>有</v>
      </c>
      <c r="Y4008" s="8" t="str">
        <f>IFERROR(__xludf.DUMMYFUNCTION("""COMPUTED_VALUE"""),"2025/11/30まで1巻無料")</f>
        <v>2025/11/30まで1巻無料</v>
      </c>
      <c r="Z4008" s="7"/>
      <c r="AA4008" s="7"/>
      <c r="AB4008" s="7"/>
    </row>
    <row r="4009" ht="15.75" customHeight="1">
      <c r="A4009" s="26">
        <f>IFERROR(__xludf.DUMMYFUNCTION("""COMPUTED_VALUE"""),6425.0)</f>
        <v>6425</v>
      </c>
      <c r="B4009" s="22" t="str">
        <f>IFERROR(__xludf.DUMMYFUNCTION("""COMPUTED_VALUE"""),"確定")</f>
        <v>確定</v>
      </c>
      <c r="C4009" s="28">
        <f>IFERROR(__xludf.DUMMYFUNCTION("""COMPUTED_VALUE"""),45904.0)</f>
        <v>45904</v>
      </c>
      <c r="D4009" s="28">
        <f>IFERROR(__xludf.DUMMYFUNCTION("""COMPUTED_VALUE"""),45929.0)</f>
        <v>45929</v>
      </c>
      <c r="E4009" s="26">
        <f>IFERROR(__xludf.DUMMYFUNCTION("""COMPUTED_VALUE"""),338992.0)</f>
        <v>338992</v>
      </c>
      <c r="F4009" s="22" t="str">
        <f>IFERROR(__xludf.DUMMYFUNCTION("""COMPUTED_VALUE"""),"アマーリエと悪食公爵～孤独な令嬢は心のすべてを食べられたい～")</f>
        <v>アマーリエと悪食公爵～孤独な令嬢は心のすべてを食べられたい～</v>
      </c>
      <c r="G4009" s="20" t="str">
        <f>IFERROR(__xludf.DUMMYFUNCTION("""COMPUTED_VALUE"""),"1～3")</f>
        <v>1～3</v>
      </c>
      <c r="H4009" s="22" t="str">
        <f>IFERROR(__xludf.DUMMYFUNCTION("""COMPUTED_VALUE"""),"折尾りお/散茶/みつなり都")</f>
        <v>折尾りお/散茶/みつなり都</v>
      </c>
      <c r="I4009" s="22" t="str">
        <f>IFERROR(__xludf.DUMMYFUNCTION("""COMPUTED_VALUE"""),"少女")</f>
        <v>少女</v>
      </c>
      <c r="J4009" s="22"/>
      <c r="K4009" s="22"/>
      <c r="L4009" s="22" t="str">
        <f>IFERROR(__xludf.DUMMYFUNCTION("""COMPUTED_VALUE"""),"風濤社（futohsha）")</f>
        <v>風濤社（futohsha）</v>
      </c>
      <c r="M4009" s="33">
        <f>IFERROR(__xludf.DUMMYFUNCTION("""COMPUTED_VALUE"""),45945.0)</f>
        <v>45945</v>
      </c>
      <c r="N4009" s="33">
        <f>IFERROR(__xludf.DUMMYFUNCTION("""COMPUTED_VALUE"""),46036.0)</f>
        <v>46036</v>
      </c>
      <c r="O4009" s="20"/>
      <c r="P4009" s="32" t="str">
        <f>IFERROR(__xludf.DUMMYFUNCTION("""COMPUTED_VALUE"""),"可")</f>
        <v>可</v>
      </c>
      <c r="Q4009" s="30"/>
      <c r="R4009" s="22" t="str">
        <f>IFERROR(__xludf.DUMMYFUNCTION("""COMPUTED_VALUE"""),"コミットOK")</f>
        <v>コミットOK</v>
      </c>
      <c r="S4009" s="22" t="str">
        <f>IFERROR(__xludf.DUMMYFUNCTION("""COMPUTED_VALUE"""),"20250902_風濤社（futohsha）_アマーリエと悪食公爵～孤独な令嬢は心のすべてを食べられたい～")</f>
        <v>20250902_風濤社（futohsha）_アマーリエと悪食公爵～孤独な令嬢は心のすべてを食べられたい～</v>
      </c>
      <c r="T4009" s="22" t="str">
        <f>IFERROR(__xludf.DUMMYFUNCTION("""COMPUTED_VALUE"""),"格納済み")</f>
        <v>格納済み</v>
      </c>
      <c r="U4009" s="9" t="str">
        <f>IFERROR(__xludf.DUMMYFUNCTION("""COMPUTED_VALUE"""),"Ⓒ折尾りお・散茶/Eylie")</f>
        <v>Ⓒ折尾りお・散茶/Eylie</v>
      </c>
      <c r="V4009" s="8"/>
      <c r="W4009" s="8"/>
      <c r="X4009" s="8" t="str">
        <f>IFERROR(__xludf.DUMMYFUNCTION("""COMPUTED_VALUE"""),"有")</f>
        <v>有</v>
      </c>
      <c r="Y4009" s="8" t="str">
        <f>IFERROR(__xludf.DUMMYFUNCTION("""COMPUTED_VALUE"""),"2025/10/28まで1巻無料")</f>
        <v>2025/10/28まで1巻無料</v>
      </c>
      <c r="Z4009" s="7"/>
      <c r="AA4009" s="7"/>
      <c r="AB4009" s="7"/>
    </row>
    <row r="4010" ht="15.75" customHeight="1">
      <c r="A4010" s="26">
        <f>IFERROR(__xludf.DUMMYFUNCTION("""COMPUTED_VALUE"""),6426.0)</f>
        <v>6426</v>
      </c>
      <c r="B4010" s="22" t="str">
        <f>IFERROR(__xludf.DUMMYFUNCTION("""COMPUTED_VALUE"""),"確定")</f>
        <v>確定</v>
      </c>
      <c r="C4010" s="28">
        <f>IFERROR(__xludf.DUMMYFUNCTION("""COMPUTED_VALUE"""),45904.0)</f>
        <v>45904</v>
      </c>
      <c r="D4010" s="28">
        <f>IFERROR(__xludf.DUMMYFUNCTION("""COMPUTED_VALUE"""),45929.0)</f>
        <v>45929</v>
      </c>
      <c r="E4010" s="26">
        <f>IFERROR(__xludf.DUMMYFUNCTION("""COMPUTED_VALUE"""),338991.0)</f>
        <v>338991</v>
      </c>
      <c r="F4010" s="22" t="str">
        <f>IFERROR(__xludf.DUMMYFUNCTION("""COMPUTED_VALUE"""),"売られた聖女は異郷の王の愛を得る")</f>
        <v>売られた聖女は異郷の王の愛を得る</v>
      </c>
      <c r="G4010" s="20" t="str">
        <f>IFERROR(__xludf.DUMMYFUNCTION("""COMPUTED_VALUE"""),"1～3")</f>
        <v>1～3</v>
      </c>
      <c r="H4010" s="22" t="str">
        <f>IFERROR(__xludf.DUMMYFUNCTION("""COMPUTED_VALUE"""),"春咲なつね/乙原ゆん/ここあ")</f>
        <v>春咲なつね/乙原ゆん/ここあ</v>
      </c>
      <c r="I4010" s="22" t="str">
        <f>IFERROR(__xludf.DUMMYFUNCTION("""COMPUTED_VALUE"""),"少女")</f>
        <v>少女</v>
      </c>
      <c r="J4010" s="22"/>
      <c r="K4010" s="22"/>
      <c r="L4010" s="22" t="str">
        <f>IFERROR(__xludf.DUMMYFUNCTION("""COMPUTED_VALUE"""),"風濤社（futohsha）")</f>
        <v>風濤社（futohsha）</v>
      </c>
      <c r="M4010" s="33">
        <f>IFERROR(__xludf.DUMMYFUNCTION("""COMPUTED_VALUE"""),45945.0)</f>
        <v>45945</v>
      </c>
      <c r="N4010" s="33">
        <f>IFERROR(__xludf.DUMMYFUNCTION("""COMPUTED_VALUE"""),46036.0)</f>
        <v>46036</v>
      </c>
      <c r="O4010" s="20"/>
      <c r="P4010" s="32" t="str">
        <f>IFERROR(__xludf.DUMMYFUNCTION("""COMPUTED_VALUE"""),"可")</f>
        <v>可</v>
      </c>
      <c r="Q4010" s="30"/>
      <c r="R4010" s="22" t="str">
        <f>IFERROR(__xludf.DUMMYFUNCTION("""COMPUTED_VALUE"""),"コミットNG")</f>
        <v>コミットNG</v>
      </c>
      <c r="S4010" s="22" t="str">
        <f>IFERROR(__xludf.DUMMYFUNCTION("""COMPUTED_VALUE"""),"20250902_風濤社（futohsha）_売られた聖女は異郷の王の愛を得る")</f>
        <v>20250902_風濤社（futohsha）_売られた聖女は異郷の王の愛を得る</v>
      </c>
      <c r="T4010" s="22" t="str">
        <f>IFERROR(__xludf.DUMMYFUNCTION("""COMPUTED_VALUE"""),"格納済み")</f>
        <v>格納済み</v>
      </c>
      <c r="U4010" s="9" t="str">
        <f>IFERROR(__xludf.DUMMYFUNCTION("""COMPUTED_VALUE"""),"©春咲なつね・乙原ゆん/Eylie")</f>
        <v>©春咲なつね・乙原ゆん/Eylie</v>
      </c>
      <c r="V4010" s="8"/>
      <c r="W4010" s="8"/>
      <c r="X4010" s="8" t="str">
        <f>IFERROR(__xludf.DUMMYFUNCTION("""COMPUTED_VALUE"""),"有")</f>
        <v>有</v>
      </c>
      <c r="Y4010" s="8" t="str">
        <f>IFERROR(__xludf.DUMMYFUNCTION("""COMPUTED_VALUE"""),"2025/10/28まで1巻無料")</f>
        <v>2025/10/28まで1巻無料</v>
      </c>
      <c r="Z4010" s="7"/>
      <c r="AA4010" s="7"/>
      <c r="AB4010" s="7"/>
    </row>
    <row r="4011" ht="15.75" customHeight="1">
      <c r="A4011" s="26">
        <f>IFERROR(__xludf.DUMMYFUNCTION("""COMPUTED_VALUE"""),6427.0)</f>
        <v>6427</v>
      </c>
      <c r="B4011" s="22" t="str">
        <f>IFERROR(__xludf.DUMMYFUNCTION("""COMPUTED_VALUE"""),"確定")</f>
        <v>確定</v>
      </c>
      <c r="C4011" s="28">
        <f>IFERROR(__xludf.DUMMYFUNCTION("""COMPUTED_VALUE"""),45904.0)</f>
        <v>45904</v>
      </c>
      <c r="D4011" s="28">
        <f>IFERROR(__xludf.DUMMYFUNCTION("""COMPUTED_VALUE"""),45929.0)</f>
        <v>45929</v>
      </c>
      <c r="E4011" s="26">
        <f>IFERROR(__xludf.DUMMYFUNCTION("""COMPUTED_VALUE"""),338990.0)</f>
        <v>338990</v>
      </c>
      <c r="F4011" s="22" t="str">
        <f>IFERROR(__xludf.DUMMYFUNCTION("""COMPUTED_VALUE"""),"死の運命を回避するために、未来の大公様、私と結婚してください！")</f>
        <v>死の運命を回避するために、未来の大公様、私と結婚してください！</v>
      </c>
      <c r="G4011" s="20" t="str">
        <f>IFERROR(__xludf.DUMMYFUNCTION("""COMPUTED_VALUE"""),"1～3")</f>
        <v>1～3</v>
      </c>
      <c r="H4011" s="22" t="str">
        <f>IFERROR(__xludf.DUMMYFUNCTION("""COMPUTED_VALUE"""),"楠木薫/江本マシメサ/冨月一乃")</f>
        <v>楠木薫/江本マシメサ/冨月一乃</v>
      </c>
      <c r="I4011" s="22" t="str">
        <f>IFERROR(__xludf.DUMMYFUNCTION("""COMPUTED_VALUE"""),"少女")</f>
        <v>少女</v>
      </c>
      <c r="J4011" s="22"/>
      <c r="K4011" s="22"/>
      <c r="L4011" s="22" t="str">
        <f>IFERROR(__xludf.DUMMYFUNCTION("""COMPUTED_VALUE"""),"風濤社（futohsha）")</f>
        <v>風濤社（futohsha）</v>
      </c>
      <c r="M4011" s="33">
        <f>IFERROR(__xludf.DUMMYFUNCTION("""COMPUTED_VALUE"""),45945.0)</f>
        <v>45945</v>
      </c>
      <c r="N4011" s="33">
        <f>IFERROR(__xludf.DUMMYFUNCTION("""COMPUTED_VALUE"""),46036.0)</f>
        <v>46036</v>
      </c>
      <c r="O4011" s="20"/>
      <c r="P4011" s="32" t="str">
        <f>IFERROR(__xludf.DUMMYFUNCTION("""COMPUTED_VALUE"""),"否")</f>
        <v>否</v>
      </c>
      <c r="Q4011" s="30"/>
      <c r="R4011" s="22" t="str">
        <f>IFERROR(__xludf.DUMMYFUNCTION("""COMPUTED_VALUE"""),"コミットNG")</f>
        <v>コミットNG</v>
      </c>
      <c r="S4011" s="22" t="str">
        <f>IFERROR(__xludf.DUMMYFUNCTION("""COMPUTED_VALUE"""),"20250902_風濤社（futohsha）_死の運命を回避するために、未来の大公様、私と結婚してください！")</f>
        <v>20250902_風濤社（futohsha）_死の運命を回避するために、未来の大公様、私と結婚してください！</v>
      </c>
      <c r="T4011" s="22" t="str">
        <f>IFERROR(__xludf.DUMMYFUNCTION("""COMPUTED_VALUE"""),"格納済み")</f>
        <v>格納済み</v>
      </c>
      <c r="U4011" s="9" t="str">
        <f>IFERROR(__xludf.DUMMYFUNCTION("""COMPUTED_VALUE"""),"Ⓒ楠木薫・江本マシメサ/Eylie")</f>
        <v>Ⓒ楠木薫・江本マシメサ/Eylie</v>
      </c>
      <c r="V4011" s="8"/>
      <c r="W4011" s="8"/>
      <c r="X4011" s="8" t="str">
        <f>IFERROR(__xludf.DUMMYFUNCTION("""COMPUTED_VALUE"""),"有")</f>
        <v>有</v>
      </c>
      <c r="Y4011" s="8" t="str">
        <f>IFERROR(__xludf.DUMMYFUNCTION("""COMPUTED_VALUE"""),"2025/10/28まで1巻無料")</f>
        <v>2025/10/28まで1巻無料</v>
      </c>
      <c r="Z4011" s="7"/>
      <c r="AA4011" s="7"/>
      <c r="AB4011" s="7"/>
    </row>
    <row r="4012" ht="15.75" customHeight="1">
      <c r="A4012" s="26">
        <f>IFERROR(__xludf.DUMMYFUNCTION("""COMPUTED_VALUE"""),6471.0)</f>
        <v>6471</v>
      </c>
      <c r="B4012" s="22" t="str">
        <f>IFERROR(__xludf.DUMMYFUNCTION("""COMPUTED_VALUE"""),"確定")</f>
        <v>確定</v>
      </c>
      <c r="C4012" s="28">
        <f>IFERROR(__xludf.DUMMYFUNCTION("""COMPUTED_VALUE"""),45911.0)</f>
        <v>45911</v>
      </c>
      <c r="D4012" s="28">
        <f>IFERROR(__xludf.DUMMYFUNCTION("""COMPUTED_VALUE"""),45930.0)</f>
        <v>45930</v>
      </c>
      <c r="E4012" s="26">
        <f>IFERROR(__xludf.DUMMYFUNCTION("""COMPUTED_VALUE"""),343548.0)</f>
        <v>343548</v>
      </c>
      <c r="F4012" s="22" t="str">
        <f>IFERROR(__xludf.DUMMYFUNCTION("""COMPUTED_VALUE"""),"断罪された当て馬王子と愛したがり黒龍陛下の幸せな結婚（分冊版）")</f>
        <v>断罪された当て馬王子と愛したがり黒龍陛下の幸せな結婚（分冊版）</v>
      </c>
      <c r="G4012" s="20" t="str">
        <f>IFERROR(__xludf.DUMMYFUNCTION("""COMPUTED_VALUE"""),"1～5")</f>
        <v>1～5</v>
      </c>
      <c r="H4012" s="22" t="str">
        <f>IFERROR(__xludf.DUMMYFUNCTION("""COMPUTED_VALUE"""),"杏月かのこ/漫画てんつぶ/原作")</f>
        <v>杏月かのこ/漫画てんつぶ/原作</v>
      </c>
      <c r="I4012" s="22" t="str">
        <f>IFERROR(__xludf.DUMMYFUNCTION("""COMPUTED_VALUE"""),"BL")</f>
        <v>BL</v>
      </c>
      <c r="J4012" s="22"/>
      <c r="K4012" s="22" t="str">
        <f>IFERROR(__xludf.DUMMYFUNCTION("""COMPUTED_VALUE"""),"アンダルシュCOMICS")</f>
        <v>アンダルシュCOMICS</v>
      </c>
      <c r="L4012" s="22" t="str">
        <f>IFERROR(__xludf.DUMMYFUNCTION("""COMPUTED_VALUE"""),"アルファポリス")</f>
        <v>アルファポリス</v>
      </c>
      <c r="M4012" s="33">
        <f>IFERROR(__xludf.DUMMYFUNCTION("""COMPUTED_VALUE"""),45992.0)</f>
        <v>45992</v>
      </c>
      <c r="N4012" s="33">
        <f>IFERROR(__xludf.DUMMYFUNCTION("""COMPUTED_VALUE"""),46083.0)</f>
        <v>46083</v>
      </c>
      <c r="O4012" s="20"/>
      <c r="P4012" s="32" t="str">
        <f>IFERROR(__xludf.DUMMYFUNCTION("""COMPUTED_VALUE"""),"可")</f>
        <v>可</v>
      </c>
      <c r="Q4012" s="30"/>
      <c r="R4012" s="22"/>
      <c r="S4012" s="22" t="str">
        <f>IFERROR(__xludf.DUMMYFUNCTION("""COMPUTED_VALUE"""),"20250928_アルファポリス_断罪された当て馬王子")</f>
        <v>20250928_アルファポリス_断罪された当て馬王子</v>
      </c>
      <c r="T4012" s="22" t="str">
        <f>IFERROR(__xludf.DUMMYFUNCTION("""COMPUTED_VALUE"""),"格納済み")</f>
        <v>格納済み</v>
      </c>
      <c r="U4012" s="9" t="str">
        <f>IFERROR(__xludf.DUMMYFUNCTION("""COMPUTED_VALUE"""),"(C)てんつぶ・杏月かのこ／アルファポリス")</f>
        <v>(C)てんつぶ・杏月かのこ／アルファポリス</v>
      </c>
      <c r="V4012" s="8"/>
      <c r="W4012" s="8"/>
      <c r="X4012" s="8" t="str">
        <f>IFERROR(__xludf.DUMMYFUNCTION("""COMPUTED_VALUE"""),"有")</f>
        <v>有</v>
      </c>
      <c r="Y4012" s="8" t="str">
        <f>IFERROR(__xludf.DUMMYFUNCTION("""COMPUTED_VALUE"""),"2025/12/14まで1~2巻無料")</f>
        <v>2025/12/14まで1~2巻無料</v>
      </c>
      <c r="Z4012" s="7"/>
      <c r="AA4012" s="7"/>
      <c r="AB4012" s="7"/>
    </row>
    <row r="4013" ht="15.75" customHeight="1">
      <c r="A4013" s="26">
        <f>IFERROR(__xludf.DUMMYFUNCTION("""COMPUTED_VALUE"""),6492.0)</f>
        <v>6492</v>
      </c>
      <c r="B4013" s="22" t="str">
        <f>IFERROR(__xludf.DUMMYFUNCTION("""COMPUTED_VALUE"""),"確定")</f>
        <v>確定</v>
      </c>
      <c r="C4013" s="28">
        <f>IFERROR(__xludf.DUMMYFUNCTION("""COMPUTED_VALUE"""),45916.0)</f>
        <v>45916</v>
      </c>
      <c r="D4013" s="28">
        <f>IFERROR(__xludf.DUMMYFUNCTION("""COMPUTED_VALUE"""),45929.0)</f>
        <v>45929</v>
      </c>
      <c r="E4013" s="26">
        <f>IFERROR(__xludf.DUMMYFUNCTION("""COMPUTED_VALUE"""),342195.0)</f>
        <v>342195</v>
      </c>
      <c r="F4013" s="22" t="str">
        <f>IFERROR(__xludf.DUMMYFUNCTION("""COMPUTED_VALUE"""),"この恋は終わらせない")</f>
        <v>この恋は終わらせない</v>
      </c>
      <c r="G4013" s="20" t="str">
        <f>IFERROR(__xludf.DUMMYFUNCTION("""COMPUTED_VALUE"""),"1～3")</f>
        <v>1～3</v>
      </c>
      <c r="H4013" s="22" t="str">
        <f>IFERROR(__xludf.DUMMYFUNCTION("""COMPUTED_VALUE"""),"佐々木ありこ")</f>
        <v>佐々木ありこ</v>
      </c>
      <c r="I4013" s="22" t="str">
        <f>IFERROR(__xludf.DUMMYFUNCTION("""COMPUTED_VALUE"""),"BL")</f>
        <v>BL</v>
      </c>
      <c r="J4013" s="22"/>
      <c r="K4013" s="22" t="str">
        <f>IFERROR(__xludf.DUMMYFUNCTION("""COMPUTED_VALUE"""),"B.Pilz")</f>
        <v>B.Pilz</v>
      </c>
      <c r="L4013" s="22" t="str">
        <f>IFERROR(__xludf.DUMMYFUNCTION("""COMPUTED_VALUE"""),"ブライト出版")</f>
        <v>ブライト出版</v>
      </c>
      <c r="M4013" s="33">
        <f>IFERROR(__xludf.DUMMYFUNCTION("""COMPUTED_VALUE"""),45988.0)</f>
        <v>45988</v>
      </c>
      <c r="N4013" s="33">
        <f>IFERROR(__xludf.DUMMYFUNCTION("""COMPUTED_VALUE"""),46092.0)</f>
        <v>46092</v>
      </c>
      <c r="O4013" s="20"/>
      <c r="P4013" s="32" t="str">
        <f>IFERROR(__xludf.DUMMYFUNCTION("""COMPUTED_VALUE"""),"可")</f>
        <v>可</v>
      </c>
      <c r="Q4013" s="30"/>
      <c r="R4013" s="22" t="str">
        <f>IFERROR(__xludf.DUMMYFUNCTION("""COMPUTED_VALUE"""),"コミットOK")</f>
        <v>コミットOK</v>
      </c>
      <c r="S4013" s="22" t="str">
        <f>IFERROR(__xludf.DUMMYFUNCTION("""COMPUTED_VALUE"""),"20250926_ブライト出版_この恋は終わらせない")</f>
        <v>20250926_ブライト出版_この恋は終わらせない</v>
      </c>
      <c r="T4013" s="22" t="str">
        <f>IFERROR(__xludf.DUMMYFUNCTION("""COMPUTED_VALUE"""),"格納済み")</f>
        <v>格納済み</v>
      </c>
      <c r="U4013" s="9" t="str">
        <f>IFERROR(__xludf.DUMMYFUNCTION("""COMPUTED_VALUE"""),"(C)佐々木ありこ／ブライト出版")</f>
        <v>(C)佐々木ありこ／ブライト出版</v>
      </c>
      <c r="V4013" s="8"/>
      <c r="W4013" s="8"/>
      <c r="X4013" s="8" t="str">
        <f>IFERROR(__xludf.DUMMYFUNCTION("""COMPUTED_VALUE"""),"有")</f>
        <v>有</v>
      </c>
      <c r="Y4013" s="8" t="str">
        <f>IFERROR(__xludf.DUMMYFUNCTION("""COMPUTED_VALUE"""),"P11まで")</f>
        <v>P11まで</v>
      </c>
      <c r="Z4013" s="7"/>
      <c r="AA4013" s="7"/>
      <c r="AB4013" s="7"/>
    </row>
    <row r="4014" ht="15.75" customHeight="1">
      <c r="A4014" s="26">
        <f>IFERROR(__xludf.DUMMYFUNCTION("""COMPUTED_VALUE"""),6500.0)</f>
        <v>6500</v>
      </c>
      <c r="B4014" s="22" t="str">
        <f>IFERROR(__xludf.DUMMYFUNCTION("""COMPUTED_VALUE"""),"確定")</f>
        <v>確定</v>
      </c>
      <c r="C4014" s="28">
        <f>IFERROR(__xludf.DUMMYFUNCTION("""COMPUTED_VALUE"""),45916.0)</f>
        <v>45916</v>
      </c>
      <c r="D4014" s="28">
        <f>IFERROR(__xludf.DUMMYFUNCTION("""COMPUTED_VALUE"""),45929.0)</f>
        <v>45929</v>
      </c>
      <c r="E4014" s="26">
        <f>IFERROR(__xludf.DUMMYFUNCTION("""COMPUTED_VALUE"""),339502.0)</f>
        <v>339502</v>
      </c>
      <c r="F4014" s="22" t="str">
        <f>IFERROR(__xludf.DUMMYFUNCTION("""COMPUTED_VALUE"""),"ネトラレ配信妻")</f>
        <v>ネトラレ配信妻</v>
      </c>
      <c r="G4014" s="20" t="str">
        <f>IFERROR(__xludf.DUMMYFUNCTION("""COMPUTED_VALUE"""),"1～4")</f>
        <v>1～4</v>
      </c>
      <c r="H4014" s="22" t="str">
        <f>IFERROR(__xludf.DUMMYFUNCTION("""COMPUTED_VALUE"""),"クラムボン")</f>
        <v>クラムボン</v>
      </c>
      <c r="I4014" s="22" t="str">
        <f>IFERROR(__xludf.DUMMYFUNCTION("""COMPUTED_VALUE"""),"アダルトマンガ")</f>
        <v>アダルトマンガ</v>
      </c>
      <c r="J4014" s="22"/>
      <c r="K4014" s="22"/>
      <c r="L4014" s="22" t="str">
        <f>IFERROR(__xludf.DUMMYFUNCTION("""COMPUTED_VALUE"""),"クロスフォリオ出版")</f>
        <v>クロスフォリオ出版</v>
      </c>
      <c r="M4014" s="33">
        <f>IFERROR(__xludf.DUMMYFUNCTION("""COMPUTED_VALUE"""),45961.0)</f>
        <v>45961</v>
      </c>
      <c r="N4014" s="33">
        <f>IFERROR(__xludf.DUMMYFUNCTION("""COMPUTED_VALUE"""),46016.0)</f>
        <v>46016</v>
      </c>
      <c r="O4014" s="20"/>
      <c r="P4014" s="32" t="str">
        <f>IFERROR(__xludf.DUMMYFUNCTION("""COMPUTED_VALUE"""),"可")</f>
        <v>可</v>
      </c>
      <c r="Q4014" s="30" t="str">
        <f>IFERROR(__xludf.DUMMYFUNCTION("""COMPUTED_VALUE"""),"BookLiveとの2社先行です")</f>
        <v>BookLiveとの2社先行です</v>
      </c>
      <c r="R4014" s="22" t="str">
        <f>IFERROR(__xludf.DUMMYFUNCTION("""COMPUTED_VALUE"""),"コミットOK")</f>
        <v>コミットOK</v>
      </c>
      <c r="S4014" s="22" t="str">
        <f>IFERROR(__xludf.DUMMYFUNCTION("""COMPUTED_VALUE"""),"20250916_BookLive_ネトラレ配信妻")</f>
        <v>20250916_BookLive_ネトラレ配信妻</v>
      </c>
      <c r="T4014" s="22" t="str">
        <f>IFERROR(__xludf.DUMMYFUNCTION("""COMPUTED_VALUE"""),"格納済み")</f>
        <v>格納済み</v>
      </c>
      <c r="U4014" s="9" t="str">
        <f>IFERROR(__xludf.DUMMYFUNCTION("""COMPUTED_VALUE"""),"(C)クラムボン/クロスフォリオ出版")</f>
        <v>(C)クラムボン/クロスフォリオ出版</v>
      </c>
      <c r="V4014" s="8"/>
      <c r="W4014" s="8"/>
      <c r="X4014" s="8" t="str">
        <f>IFERROR(__xludf.DUMMYFUNCTION("""COMPUTED_VALUE"""),"有")</f>
        <v>有</v>
      </c>
      <c r="Y4014" s="8" t="str">
        <f>IFERROR(__xludf.DUMMYFUNCTION("""COMPUTED_VALUE"""),"P12まで")</f>
        <v>P12まで</v>
      </c>
      <c r="Z4014" s="7"/>
      <c r="AA4014" s="7"/>
      <c r="AB4014" s="7"/>
    </row>
    <row r="4015" ht="15.75" customHeight="1">
      <c r="A4015" s="26">
        <f>IFERROR(__xludf.DUMMYFUNCTION("""COMPUTED_VALUE"""),6532.0)</f>
        <v>6532</v>
      </c>
      <c r="B4015" s="22" t="str">
        <f>IFERROR(__xludf.DUMMYFUNCTION("""COMPUTED_VALUE"""),"確定")</f>
        <v>確定</v>
      </c>
      <c r="C4015" s="28">
        <f>IFERROR(__xludf.DUMMYFUNCTION("""COMPUTED_VALUE"""),45919.0)</f>
        <v>45919</v>
      </c>
      <c r="D4015" s="28">
        <f>IFERROR(__xludf.DUMMYFUNCTION("""COMPUTED_VALUE"""),45924.0)</f>
        <v>45924</v>
      </c>
      <c r="E4015" s="26">
        <f>IFERROR(__xludf.DUMMYFUNCTION("""COMPUTED_VALUE"""),339283.0)</f>
        <v>339283</v>
      </c>
      <c r="F4015" s="22" t="str">
        <f>IFERROR(__xludf.DUMMYFUNCTION("""COMPUTED_VALUE"""),"【単話版】ゾンビのあふれた世界で俺だけが襲われない 時子 IF STORY（フルカラー）")</f>
        <v>【単話版】ゾンビのあふれた世界で俺だけが襲われない 時子 IF STORY（フルカラー）</v>
      </c>
      <c r="G4015" s="20" t="str">
        <f>IFERROR(__xludf.DUMMYFUNCTION("""COMPUTED_VALUE"""),"1～5")</f>
        <v>1～5</v>
      </c>
      <c r="H4015" s="22" t="str">
        <f>IFERROR(__xludf.DUMMYFUNCTION("""COMPUTED_VALUE"""),"近藤ろぼ　裏地ろくろ")</f>
        <v>近藤ろぼ　裏地ろくろ</v>
      </c>
      <c r="I4015" s="22" t="str">
        <f>IFERROR(__xludf.DUMMYFUNCTION("""COMPUTED_VALUE"""),"青年マンガ")</f>
        <v>青年マンガ</v>
      </c>
      <c r="J4015" s="22"/>
      <c r="K4015" s="22" t="str">
        <f>IFERROR(__xludf.DUMMYFUNCTION("""COMPUTED_VALUE"""),"COMICらぐちゅう")</f>
        <v>COMICらぐちゅう</v>
      </c>
      <c r="L4015" s="22" t="str">
        <f>IFERROR(__xludf.DUMMYFUNCTION("""COMPUTED_VALUE"""),"フロンティアワークス")</f>
        <v>フロンティアワークス</v>
      </c>
      <c r="M4015" s="33">
        <f>IFERROR(__xludf.DUMMYFUNCTION("""COMPUTED_VALUE"""),45954.0)</f>
        <v>45954</v>
      </c>
      <c r="N4015" s="33">
        <f>IFERROR(__xludf.DUMMYFUNCTION("""COMPUTED_VALUE"""),46044.0)</f>
        <v>46044</v>
      </c>
      <c r="O4015" s="20"/>
      <c r="P4015" s="32" t="str">
        <f>IFERROR(__xludf.DUMMYFUNCTION("""COMPUTED_VALUE"""),"可")</f>
        <v>可</v>
      </c>
      <c r="Q4015" s="30" t="str">
        <f>IFERROR(__xludf.DUMMYFUNCTION("""COMPUTED_VALUE"""),"1~4話までの素材で広告制作お願いいたします。")</f>
        <v>1~4話までの素材で広告制作お願いいたします。</v>
      </c>
      <c r="R4015" s="22"/>
      <c r="S4015" s="22" t="str">
        <f>IFERROR(__xludf.DUMMYFUNCTION("""COMPUTED_VALUE"""),"20250919_フロンティアワークス_ゾンビのあふれた世界で俺だけが襲われない 時子 IF STORY")</f>
        <v>20250919_フロンティアワークス_ゾンビのあふれた世界で俺だけが襲われない 時子 IF STORY</v>
      </c>
      <c r="T4015" s="22" t="str">
        <f>IFERROR(__xludf.DUMMYFUNCTION("""COMPUTED_VALUE"""),"格納済み")</f>
        <v>格納済み</v>
      </c>
      <c r="U4015" s="9" t="str">
        <f>IFERROR(__xludf.DUMMYFUNCTION("""COMPUTED_VALUE"""),"(C) Kondo Robo・Uraji Rokuro/Frontier Works Inc.")</f>
        <v>(C) Kondo Robo・Uraji Rokuro/Frontier Works Inc.</v>
      </c>
      <c r="V4015" s="8"/>
      <c r="W4015" s="8"/>
      <c r="X4015" s="8" t="str">
        <f>IFERROR(__xludf.DUMMYFUNCTION("""COMPUTED_VALUE"""),"有")</f>
        <v>有</v>
      </c>
      <c r="Y4015" s="8" t="str">
        <f>IFERROR(__xludf.DUMMYFUNCTION("""COMPUTED_VALUE"""),"1巻無料")</f>
        <v>1巻無料</v>
      </c>
      <c r="Z4015" s="7"/>
      <c r="AA4015" s="7"/>
      <c r="AB4015" s="7"/>
    </row>
    <row r="4016" ht="15.75" customHeight="1">
      <c r="A4016" s="26">
        <f>IFERROR(__xludf.DUMMYFUNCTION("""COMPUTED_VALUE"""),6533.0)</f>
        <v>6533</v>
      </c>
      <c r="B4016" s="22" t="str">
        <f>IFERROR(__xludf.DUMMYFUNCTION("""COMPUTED_VALUE"""),"確定")</f>
        <v>確定</v>
      </c>
      <c r="C4016" s="28">
        <f>IFERROR(__xludf.DUMMYFUNCTION("""COMPUTED_VALUE"""),45922.0)</f>
        <v>45922</v>
      </c>
      <c r="D4016" s="28">
        <f>IFERROR(__xludf.DUMMYFUNCTION("""COMPUTED_VALUE"""),45929.0)</f>
        <v>45929</v>
      </c>
      <c r="E4016" s="26">
        <f>IFERROR(__xludf.DUMMYFUNCTION("""COMPUTED_VALUE"""),311025.0)</f>
        <v>311025</v>
      </c>
      <c r="F4016" s="22" t="str">
        <f>IFERROR(__xludf.DUMMYFUNCTION("""COMPUTED_VALUE"""),"壁越しで愛して")</f>
        <v>壁越しで愛して</v>
      </c>
      <c r="G4016" s="20" t="str">
        <f>IFERROR(__xludf.DUMMYFUNCTION("""COMPUTED_VALUE"""),"1～3")</f>
        <v>1～3</v>
      </c>
      <c r="H4016" s="22" t="str">
        <f>IFERROR(__xludf.DUMMYFUNCTION("""COMPUTED_VALUE"""),"宮野川ゆきたろ")</f>
        <v>宮野川ゆきたろ</v>
      </c>
      <c r="I4016" s="22" t="str">
        <f>IFERROR(__xludf.DUMMYFUNCTION("""COMPUTED_VALUE"""),"BLマンガ")</f>
        <v>BLマンガ</v>
      </c>
      <c r="J4016" s="22"/>
      <c r="K4016" s="22" t="str">
        <f>IFERROR(__xludf.DUMMYFUNCTION("""COMPUTED_VALUE"""),"Ficus")</f>
        <v>Ficus</v>
      </c>
      <c r="L4016" s="22" t="str">
        <f>IFERROR(__xludf.DUMMYFUNCTION("""COMPUTED_VALUE"""),"シーモアコミックス")</f>
        <v>シーモアコミックス</v>
      </c>
      <c r="M4016" s="33">
        <f>IFERROR(__xludf.DUMMYFUNCTION("""COMPUTED_VALUE"""),45955.0)</f>
        <v>45955</v>
      </c>
      <c r="N4016" s="33">
        <f>IFERROR(__xludf.DUMMYFUNCTION("""COMPUTED_VALUE"""),46044.0)</f>
        <v>46044</v>
      </c>
      <c r="O4016" s="20"/>
      <c r="P4016" s="32" t="str">
        <f>IFERROR(__xludf.DUMMYFUNCTION("""COMPUTED_VALUE"""),"可")</f>
        <v>可</v>
      </c>
      <c r="Q4016" s="30" t="str">
        <f>IFERROR(__xludf.DUMMYFUNCTION("""COMPUTED_VALUE"""),"【アダルト作品扱い】")</f>
        <v>【アダルト作品扱い】</v>
      </c>
      <c r="R4016" s="22"/>
      <c r="S4016" s="22" t="str">
        <f>IFERROR(__xludf.DUMMYFUNCTION("""COMPUTED_VALUE"""),"20251025_シーモアコミックス_壁越しで愛して")</f>
        <v>20251025_シーモアコミックス_壁越しで愛して</v>
      </c>
      <c r="T4016" s="22" t="str">
        <f>IFERROR(__xludf.DUMMYFUNCTION("""COMPUTED_VALUE"""),"格納済み")</f>
        <v>格納済み</v>
      </c>
      <c r="U4016" s="9" t="str">
        <f>IFERROR(__xludf.DUMMYFUNCTION("""COMPUTED_VALUE"""),"(C) 宮野川ゆきたろ/シーモアコミックス")</f>
        <v>(C) 宮野川ゆきたろ/シーモアコミックス</v>
      </c>
      <c r="V4016" s="8"/>
      <c r="W4016" s="8"/>
      <c r="X4016" s="8" t="str">
        <f>IFERROR(__xludf.DUMMYFUNCTION("""COMPUTED_VALUE"""),"有")</f>
        <v>有</v>
      </c>
      <c r="Y4016" s="8" t="str">
        <f>IFERROR(__xludf.DUMMYFUNCTION("""COMPUTED_VALUE"""),"P10まで")</f>
        <v>P10まで</v>
      </c>
      <c r="Z4016" s="7"/>
      <c r="AA4016" s="7"/>
      <c r="AB4016" s="7"/>
    </row>
    <row r="4017" ht="15.75" customHeight="1">
      <c r="A4017" s="26">
        <f>IFERROR(__xludf.DUMMYFUNCTION("""COMPUTED_VALUE"""),6534.0)</f>
        <v>6534</v>
      </c>
      <c r="B4017" s="22" t="str">
        <f>IFERROR(__xludf.DUMMYFUNCTION("""COMPUTED_VALUE"""),"確定")</f>
        <v>確定</v>
      </c>
      <c r="C4017" s="28">
        <f>IFERROR(__xludf.DUMMYFUNCTION("""COMPUTED_VALUE"""),45922.0)</f>
        <v>45922</v>
      </c>
      <c r="D4017" s="28">
        <f>IFERROR(__xludf.DUMMYFUNCTION("""COMPUTED_VALUE"""),45929.0)</f>
        <v>45929</v>
      </c>
      <c r="E4017" s="26">
        <f>IFERROR(__xludf.DUMMYFUNCTION("""COMPUTED_VALUE"""),314464.0)</f>
        <v>314464</v>
      </c>
      <c r="F4017" s="22" t="str">
        <f>IFERROR(__xludf.DUMMYFUNCTION("""COMPUTED_VALUE"""),"アリジゴク男子はめちゃくちゃハメたい")</f>
        <v>アリジゴク男子はめちゃくちゃハメたい</v>
      </c>
      <c r="G4017" s="20" t="str">
        <f>IFERROR(__xludf.DUMMYFUNCTION("""COMPUTED_VALUE"""),"1～3")</f>
        <v>1～3</v>
      </c>
      <c r="H4017" s="22" t="str">
        <f>IFERROR(__xludf.DUMMYFUNCTION("""COMPUTED_VALUE"""),"よな")</f>
        <v>よな</v>
      </c>
      <c r="I4017" s="22" t="str">
        <f>IFERROR(__xludf.DUMMYFUNCTION("""COMPUTED_VALUE"""),"女性マンガ")</f>
        <v>女性マンガ</v>
      </c>
      <c r="J4017" s="22"/>
      <c r="K4017" s="22" t="str">
        <f>IFERROR(__xludf.DUMMYFUNCTION("""COMPUTED_VALUE"""),"スキして?桃色日記")</f>
        <v>スキして?桃色日記</v>
      </c>
      <c r="L4017" s="22" t="str">
        <f>IFERROR(__xludf.DUMMYFUNCTION("""COMPUTED_VALUE"""),"シーモアコミックス")</f>
        <v>シーモアコミックス</v>
      </c>
      <c r="M4017" s="33">
        <f>IFERROR(__xludf.DUMMYFUNCTION("""COMPUTED_VALUE"""),45955.0)</f>
        <v>45955</v>
      </c>
      <c r="N4017" s="33">
        <f>IFERROR(__xludf.DUMMYFUNCTION("""COMPUTED_VALUE"""),46044.0)</f>
        <v>46044</v>
      </c>
      <c r="O4017" s="20"/>
      <c r="P4017" s="32" t="str">
        <f>IFERROR(__xludf.DUMMYFUNCTION("""COMPUTED_VALUE"""),"可")</f>
        <v>可</v>
      </c>
      <c r="Q4017" s="30" t="str">
        <f>IFERROR(__xludf.DUMMYFUNCTION("""COMPUTED_VALUE"""),"※シーモアロゴ無し対応")</f>
        <v>※シーモアロゴ無し対応</v>
      </c>
      <c r="R4017" s="22"/>
      <c r="S4017" s="22" t="str">
        <f>IFERROR(__xludf.DUMMYFUNCTION("""COMPUTED_VALUE"""),"20251025_シーモアコミックス_アリジゴク男子はめちゃくちゃハメたい")</f>
        <v>20251025_シーモアコミックス_アリジゴク男子はめちゃくちゃハメたい</v>
      </c>
      <c r="T4017" s="22" t="str">
        <f>IFERROR(__xludf.DUMMYFUNCTION("""COMPUTED_VALUE"""),"格納済み")</f>
        <v>格納済み</v>
      </c>
      <c r="U4017" s="9" t="str">
        <f>IFERROR(__xludf.DUMMYFUNCTION("""COMPUTED_VALUE"""),"(C) よな/シーモアコミックス")</f>
        <v>(C) よな/シーモアコミックス</v>
      </c>
      <c r="V4017" s="8"/>
      <c r="W4017" s="8"/>
      <c r="X4017" s="8" t="str">
        <f>IFERROR(__xludf.DUMMYFUNCTION("""COMPUTED_VALUE"""),"有")</f>
        <v>有</v>
      </c>
      <c r="Y4017" s="8" t="str">
        <f>IFERROR(__xludf.DUMMYFUNCTION("""COMPUTED_VALUE"""),"P14まで")</f>
        <v>P14まで</v>
      </c>
      <c r="Z4017" s="7"/>
      <c r="AA4017" s="7"/>
      <c r="AB4017" s="7"/>
    </row>
    <row r="4018" ht="15.75" customHeight="1">
      <c r="A4018" s="26">
        <f>IFERROR(__xludf.DUMMYFUNCTION("""COMPUTED_VALUE"""),6537.0)</f>
        <v>6537</v>
      </c>
      <c r="B4018" s="22" t="str">
        <f>IFERROR(__xludf.DUMMYFUNCTION("""COMPUTED_VALUE"""),"確定")</f>
        <v>確定</v>
      </c>
      <c r="C4018" s="28">
        <f>IFERROR(__xludf.DUMMYFUNCTION("""COMPUTED_VALUE"""),45924.0)</f>
        <v>45924</v>
      </c>
      <c r="D4018" s="28">
        <f>IFERROR(__xludf.DUMMYFUNCTION("""COMPUTED_VALUE"""),45926.0)</f>
        <v>45926</v>
      </c>
      <c r="E4018" s="26">
        <f>IFERROR(__xludf.DUMMYFUNCTION("""COMPUTED_VALUE"""),275745.0)</f>
        <v>275745</v>
      </c>
      <c r="F4018" s="22" t="str">
        <f>IFERROR(__xludf.DUMMYFUNCTION("""COMPUTED_VALUE"""),"同棲彼氏ひどくシたがり【単行本版】【電子限定特典付き】")</f>
        <v>同棲彼氏ひどくシたがり【単行本版】【電子限定特典付き】</v>
      </c>
      <c r="G4018" s="20" t="str">
        <f>IFERROR(__xludf.DUMMYFUNCTION("""COMPUTED_VALUE"""),"2巻目として配信")</f>
        <v>2巻目として配信</v>
      </c>
      <c r="H4018" s="22" t="str">
        <f>IFERROR(__xludf.DUMMYFUNCTION("""COMPUTED_VALUE"""),"かむ")</f>
        <v>かむ</v>
      </c>
      <c r="I4018" s="22" t="str">
        <f>IFERROR(__xludf.DUMMYFUNCTION("""COMPUTED_VALUE"""),"BLマンガ")</f>
        <v>BLマンガ</v>
      </c>
      <c r="J4018" s="22"/>
      <c r="K4018" s="22" t="str">
        <f>IFERROR(__xludf.DUMMYFUNCTION("""COMPUTED_VALUE"""),"デイジーコミックス")</f>
        <v>デイジーコミックス</v>
      </c>
      <c r="L4018" s="22" t="str">
        <f>IFERROR(__xludf.DUMMYFUNCTION("""COMPUTED_VALUE"""),"デイジーコミックス（英和出版社）")</f>
        <v>デイジーコミックス（英和出版社）</v>
      </c>
      <c r="M4018" s="33">
        <f>IFERROR(__xludf.DUMMYFUNCTION("""COMPUTED_VALUE"""),45948.0)</f>
        <v>45948</v>
      </c>
      <c r="N4018" s="33">
        <f>IFERROR(__xludf.DUMMYFUNCTION("""COMPUTED_VALUE"""),2958465.0)</f>
        <v>2958465</v>
      </c>
      <c r="O4018" s="20"/>
      <c r="P4018" s="32" t="str">
        <f>IFERROR(__xludf.DUMMYFUNCTION("""COMPUTED_VALUE"""),"可")</f>
        <v>可</v>
      </c>
      <c r="Q4018" s="30" t="str">
        <f>IFERROR(__xludf.DUMMYFUNCTION("""COMPUTED_VALUE"""),"【アダルト作品扱い】&lt;BR&gt;シーモア限定BOOKです。")</f>
        <v>【アダルト作品扱い】&lt;BR&gt;シーモア限定BOOKです。</v>
      </c>
      <c r="R4018" s="22" t="str">
        <f>IFERROR(__xludf.DUMMYFUNCTION("""COMPUTED_VALUE"""),"コミットOK")</f>
        <v>コミットOK</v>
      </c>
      <c r="S4018" s="22" t="str">
        <f>IFERROR(__xludf.DUMMYFUNCTION("""COMPUTED_VALUE"""),"20250924_デイジーコミックス(英和出版社)_同棲彼氏ひどくシたがり_シーモア限定BOOK")</f>
        <v>20250924_デイジーコミックス(英和出版社)_同棲彼氏ひどくシたがり_シーモア限定BOOK</v>
      </c>
      <c r="T4018" s="22" t="str">
        <f>IFERROR(__xludf.DUMMYFUNCTION("""COMPUTED_VALUE"""),"格納済み")</f>
        <v>格納済み</v>
      </c>
      <c r="U4018" s="9" t="str">
        <f>IFERROR(__xludf.DUMMYFUNCTION("""COMPUTED_VALUE"""),"(C)かむ/英和出版社")</f>
        <v>(C)かむ/英和出版社</v>
      </c>
      <c r="V4018" s="8"/>
      <c r="W4018" s="8"/>
      <c r="X4018" s="8" t="str">
        <f>IFERROR(__xludf.DUMMYFUNCTION("""COMPUTED_VALUE"""),"有")</f>
        <v>有</v>
      </c>
      <c r="Y4018" s="8" t="str">
        <f>IFERROR(__xludf.DUMMYFUNCTION("""COMPUTED_VALUE"""),"2025/11/17まで1巻立ち読み増量(P30)")</f>
        <v>2025/11/17まで1巻立ち読み増量(P30)</v>
      </c>
      <c r="Z4018" s="7"/>
      <c r="AA4018" s="7"/>
      <c r="AB4018" s="7"/>
    </row>
    <row r="4019" ht="15.75" customHeight="1">
      <c r="A4019" s="26">
        <f>IFERROR(__xludf.DUMMYFUNCTION("""COMPUTED_VALUE"""),6538.0)</f>
        <v>6538</v>
      </c>
      <c r="B4019" s="22" t="str">
        <f>IFERROR(__xludf.DUMMYFUNCTION("""COMPUTED_VALUE"""),"確定")</f>
        <v>確定</v>
      </c>
      <c r="C4019" s="28">
        <f>IFERROR(__xludf.DUMMYFUNCTION("""COMPUTED_VALUE"""),45925.0)</f>
        <v>45925</v>
      </c>
      <c r="D4019" s="28">
        <f>IFERROR(__xludf.DUMMYFUNCTION("""COMPUTED_VALUE"""),45925.0)</f>
        <v>45925</v>
      </c>
      <c r="E4019" s="26">
        <f>IFERROR(__xludf.DUMMYFUNCTION("""COMPUTED_VALUE"""),314120.0)</f>
        <v>314120</v>
      </c>
      <c r="F4019" s="22" t="str">
        <f>IFERROR(__xludf.DUMMYFUNCTION("""COMPUTED_VALUE"""),"孤高の英雄侯爵は虐げられた公爵令嬢を溺愛する")</f>
        <v>孤高の英雄侯爵は虐げられた公爵令嬢を溺愛する</v>
      </c>
      <c r="G4019" s="20" t="str">
        <f>IFERROR(__xludf.DUMMYFUNCTION("""COMPUTED_VALUE"""),"1～3")</f>
        <v>1～3</v>
      </c>
      <c r="H4019" s="22" t="str">
        <f>IFERROR(__xludf.DUMMYFUNCTION("""COMPUTED_VALUE"""),"作歩咲知,梨莉子")</f>
        <v>作歩咲知,梨莉子</v>
      </c>
      <c r="I4019" s="22" t="str">
        <f>IFERROR(__xludf.DUMMYFUNCTION("""COMPUTED_VALUE"""),"少女マンガ")</f>
        <v>少女マンガ</v>
      </c>
      <c r="J4019" s="22"/>
      <c r="K4019" s="22" t="str">
        <f>IFERROR(__xludf.DUMMYFUNCTION("""COMPUTED_VALUE"""),"トレモア・ロマンス,トレモアcollection")</f>
        <v>トレモア・ロマンス,トレモアcollection</v>
      </c>
      <c r="L4019" s="22" t="str">
        <f>IFERROR(__xludf.DUMMYFUNCTION("""COMPUTED_VALUE"""),"シーモアコミックス（トレモア）")</f>
        <v>シーモアコミックス（トレモア）</v>
      </c>
      <c r="M4019" s="33">
        <f>IFERROR(__xludf.DUMMYFUNCTION("""COMPUTED_VALUE"""),45968.0)</f>
        <v>45968</v>
      </c>
      <c r="N4019" s="33">
        <f>IFERROR(__xludf.DUMMYFUNCTION("""COMPUTED_VALUE"""),2958465.0)</f>
        <v>2958465</v>
      </c>
      <c r="O4019" s="20"/>
      <c r="P4019" s="32" t="str">
        <f>IFERROR(__xludf.DUMMYFUNCTION("""COMPUTED_VALUE"""),"可")</f>
        <v>可</v>
      </c>
      <c r="Q4019" s="30"/>
      <c r="R4019" s="22"/>
      <c r="S4019" s="22" t="str">
        <f>IFERROR(__xludf.DUMMYFUNCTION("""COMPUTED_VALUE"""),"2025925_シーモアコミックス_孤高の英雄侯爵は虐げられた公爵令嬢を溺愛する")</f>
        <v>2025925_シーモアコミックス_孤高の英雄侯爵は虐げられた公爵令嬢を溺愛する</v>
      </c>
      <c r="T4019" s="22" t="str">
        <f>IFERROR(__xludf.DUMMYFUNCTION("""COMPUTED_VALUE"""),"格納済み")</f>
        <v>格納済み</v>
      </c>
      <c r="U4019" s="9" t="str">
        <f>IFERROR(__xludf.DUMMYFUNCTION("""COMPUTED_VALUE"""),"(C) 作歩咲知/梨莉子/シーモアコミックス")</f>
        <v>(C) 作歩咲知/梨莉子/シーモアコミックス</v>
      </c>
      <c r="V4019" s="8"/>
      <c r="W4019" s="8"/>
      <c r="X4019" s="8" t="str">
        <f>IFERROR(__xludf.DUMMYFUNCTION("""COMPUTED_VALUE"""),"有")</f>
        <v>有</v>
      </c>
      <c r="Y4019" s="8" t="str">
        <f>IFERROR(__xludf.DUMMYFUNCTION("""COMPUTED_VALUE"""),"2025/12/31まで1巻無料")</f>
        <v>2025/12/31まで1巻無料</v>
      </c>
      <c r="Z4019" s="7"/>
      <c r="AA4019" s="7"/>
      <c r="AB4019" s="7"/>
    </row>
    <row r="4020" ht="15.75" customHeight="1">
      <c r="A4020" s="26">
        <f>IFERROR(__xludf.DUMMYFUNCTION("""COMPUTED_VALUE"""),6539.0)</f>
        <v>6539</v>
      </c>
      <c r="B4020" s="22" t="str">
        <f>IFERROR(__xludf.DUMMYFUNCTION("""COMPUTED_VALUE"""),"確定")</f>
        <v>確定</v>
      </c>
      <c r="C4020" s="28">
        <f>IFERROR(__xludf.DUMMYFUNCTION("""COMPUTED_VALUE"""),45925.0)</f>
        <v>45925</v>
      </c>
      <c r="D4020" s="28">
        <f>IFERROR(__xludf.DUMMYFUNCTION("""COMPUTED_VALUE"""),45925.0)</f>
        <v>45925</v>
      </c>
      <c r="E4020" s="26">
        <f>IFERROR(__xludf.DUMMYFUNCTION("""COMPUTED_VALUE"""),325164.0)</f>
        <v>325164</v>
      </c>
      <c r="F4020" s="22" t="str">
        <f>IFERROR(__xludf.DUMMYFUNCTION("""COMPUTED_VALUE"""),"天狐様の溺愛婚姻譚")</f>
        <v>天狐様の溺愛婚姻譚</v>
      </c>
      <c r="G4020" s="20" t="str">
        <f>IFERROR(__xludf.DUMMYFUNCTION("""COMPUTED_VALUE"""),"1～3")</f>
        <v>1～3</v>
      </c>
      <c r="H4020" s="22" t="str">
        <f>IFERROR(__xludf.DUMMYFUNCTION("""COMPUTED_VALUE"""),"城目シロ,清水苺")</f>
        <v>城目シロ,清水苺</v>
      </c>
      <c r="I4020" s="22" t="str">
        <f>IFERROR(__xludf.DUMMYFUNCTION("""COMPUTED_VALUE"""),"少女マンガ")</f>
        <v>少女マンガ</v>
      </c>
      <c r="J4020" s="22"/>
      <c r="K4020" s="22" t="str">
        <f>IFERROR(__xludf.DUMMYFUNCTION("""COMPUTED_VALUE"""),"トレモア・ロマンス,トレモアcollection")</f>
        <v>トレモア・ロマンス,トレモアcollection</v>
      </c>
      <c r="L4020" s="22" t="str">
        <f>IFERROR(__xludf.DUMMYFUNCTION("""COMPUTED_VALUE"""),"シーモアコミックス（トレモア）")</f>
        <v>シーモアコミックス（トレモア）</v>
      </c>
      <c r="M4020" s="33">
        <f>IFERROR(__xludf.DUMMYFUNCTION("""COMPUTED_VALUE"""),45968.0)</f>
        <v>45968</v>
      </c>
      <c r="N4020" s="33">
        <f>IFERROR(__xludf.DUMMYFUNCTION("""COMPUTED_VALUE"""),2958465.0)</f>
        <v>2958465</v>
      </c>
      <c r="O4020" s="20"/>
      <c r="P4020" s="32" t="str">
        <f>IFERROR(__xludf.DUMMYFUNCTION("""COMPUTED_VALUE"""),"可")</f>
        <v>可</v>
      </c>
      <c r="Q4020" s="30"/>
      <c r="R4020" s="22"/>
      <c r="S4020" s="22" t="str">
        <f>IFERROR(__xludf.DUMMYFUNCTION("""COMPUTED_VALUE"""),"2025925_シーモアコミックス_天狐様の溺愛婚姻譚")</f>
        <v>2025925_シーモアコミックス_天狐様の溺愛婚姻譚</v>
      </c>
      <c r="T4020" s="22" t="str">
        <f>IFERROR(__xludf.DUMMYFUNCTION("""COMPUTED_VALUE"""),"格納済み")</f>
        <v>格納済み</v>
      </c>
      <c r="U4020" s="9" t="str">
        <f>IFERROR(__xludf.DUMMYFUNCTION("""COMPUTED_VALUE"""),"(C) 城目シロ/清水苺/シーモアコミックス")</f>
        <v>(C) 城目シロ/清水苺/シーモアコミックス</v>
      </c>
      <c r="V4020" s="8"/>
      <c r="W4020" s="8"/>
      <c r="X4020" s="8" t="str">
        <f>IFERROR(__xludf.DUMMYFUNCTION("""COMPUTED_VALUE"""),"有")</f>
        <v>有</v>
      </c>
      <c r="Y4020" s="8" t="str">
        <f>IFERROR(__xludf.DUMMYFUNCTION("""COMPUTED_VALUE"""),"2025/12/31まで1巻無料")</f>
        <v>2025/12/31まで1巻無料</v>
      </c>
      <c r="Z4020" s="7"/>
      <c r="AA4020" s="7"/>
      <c r="AB4020" s="7"/>
    </row>
    <row r="4021" ht="15.75" customHeight="1">
      <c r="A4021" s="26">
        <f>IFERROR(__xludf.DUMMYFUNCTION("""COMPUTED_VALUE"""),6540.0)</f>
        <v>6540</v>
      </c>
      <c r="B4021" s="22" t="str">
        <f>IFERROR(__xludf.DUMMYFUNCTION("""COMPUTED_VALUE"""),"確定")</f>
        <v>確定</v>
      </c>
      <c r="C4021" s="28">
        <f>IFERROR(__xludf.DUMMYFUNCTION("""COMPUTED_VALUE"""),45925.0)</f>
        <v>45925</v>
      </c>
      <c r="D4021" s="28">
        <f>IFERROR(__xludf.DUMMYFUNCTION("""COMPUTED_VALUE"""),45931.0)</f>
        <v>45931</v>
      </c>
      <c r="E4021" s="26">
        <f>IFERROR(__xludf.DUMMYFUNCTION("""COMPUTED_VALUE"""),339898.0)</f>
        <v>339898</v>
      </c>
      <c r="F4021" s="22" t="str">
        <f>IFERROR(__xludf.DUMMYFUNCTION("""COMPUTED_VALUE"""),"婚約したら「君は何もしなくていい」と言われました　殿下の溺愛はわかりにくい！【分冊版】")</f>
        <v>婚約したら「君は何もしなくていい」と言われました　殿下の溺愛はわかりにくい！【分冊版】</v>
      </c>
      <c r="G4021" s="20" t="str">
        <f>IFERROR(__xludf.DUMMYFUNCTION("""COMPUTED_VALUE"""),"1～3")</f>
        <v>1～3</v>
      </c>
      <c r="H4021" s="22" t="str">
        <f>IFERROR(__xludf.DUMMYFUNCTION("""COMPUTED_VALUE"""),"柊一葉(フェアリーキス/Jパブリッシング刊),ちらしま,m/g")</f>
        <v>柊一葉(フェアリーキス/Jパブリッシング刊),ちらしま,m/g</v>
      </c>
      <c r="I4021" s="22" t="str">
        <f>IFERROR(__xludf.DUMMYFUNCTION("""COMPUTED_VALUE"""),"少女")</f>
        <v>少女</v>
      </c>
      <c r="J4021" s="22"/>
      <c r="K4021" s="22"/>
      <c r="L4021" s="22" t="str">
        <f>IFERROR(__xludf.DUMMYFUNCTION("""COMPUTED_VALUE"""),"スクウェア・エニックス")</f>
        <v>スクウェア・エニックス</v>
      </c>
      <c r="M4021" s="33">
        <f>IFERROR(__xludf.DUMMYFUNCTION("""COMPUTED_VALUE"""),45962.0)</f>
        <v>45962</v>
      </c>
      <c r="N4021" s="33">
        <f>IFERROR(__xludf.DUMMYFUNCTION("""COMPUTED_VALUE"""),46022.0)</f>
        <v>46022</v>
      </c>
      <c r="O4021" s="20"/>
      <c r="P4021" s="32" t="str">
        <f>IFERROR(__xludf.DUMMYFUNCTION("""COMPUTED_VALUE"""),"可")</f>
        <v>可</v>
      </c>
      <c r="Q4021" s="30" t="str">
        <f>IFERROR(__xludf.DUMMYFUNCTION("""COMPUTED_VALUE"""),"▼配信スケジュール&lt;BR&gt;2025/11/1 1-3話先行配信&lt;BR&gt;2025/12/1 4話先行配信&lt;BR&gt;2026/1/1 1-4話ほかストア配信")</f>
        <v>▼配信スケジュール&lt;BR&gt;2025/11/1 1-3話先行配信&lt;BR&gt;2025/12/1 4話先行配信&lt;BR&gt;2026/1/1 1-4話ほかストア配信</v>
      </c>
      <c r="R4021" s="22"/>
      <c r="S4021" s="22" t="str">
        <f>IFERROR(__xludf.DUMMYFUNCTION("""COMPUTED_VALUE"""),"250925_スクウェアエニックス_婚約したら「君は何もしなくていい」と言われました")</f>
        <v>250925_スクウェアエニックス_婚約したら「君は何もしなくていい」と言われました</v>
      </c>
      <c r="T4021" s="22" t="str">
        <f>IFERROR(__xludf.DUMMYFUNCTION("""COMPUTED_VALUE"""),"格納済み")</f>
        <v>格納済み</v>
      </c>
      <c r="U4021" s="9" t="str">
        <f>IFERROR(__xludf.DUMMYFUNCTION("""COMPUTED_VALUE"""),"(C)Ichiha Hiiragi, m/g 2025 by Jpublishing (C)Chirashima/SQUARE ENIX")</f>
        <v>(C)Ichiha Hiiragi, m/g 2025 by Jpublishing (C)Chirashima/SQUARE ENIX</v>
      </c>
      <c r="V4021" s="8"/>
      <c r="W4021" s="8"/>
      <c r="X4021" s="8" t="str">
        <f>IFERROR(__xludf.DUMMYFUNCTION("""COMPUTED_VALUE"""),"有")</f>
        <v>有</v>
      </c>
      <c r="Y4021" s="8" t="str">
        <f>IFERROR(__xludf.DUMMYFUNCTION("""COMPUTED_VALUE"""),"2025/12/31まで1巻無料")</f>
        <v>2025/12/31まで1巻無料</v>
      </c>
      <c r="Z4021" s="7"/>
      <c r="AA4021" s="7"/>
      <c r="AB4021" s="7"/>
    </row>
    <row r="4022" ht="15.75" customHeight="1">
      <c r="A4022" s="26">
        <f>IFERROR(__xludf.DUMMYFUNCTION("""COMPUTED_VALUE"""),6542.0)</f>
        <v>6542</v>
      </c>
      <c r="B4022" s="22" t="str">
        <f>IFERROR(__xludf.DUMMYFUNCTION("""COMPUTED_VALUE"""),"確定")</f>
        <v>確定</v>
      </c>
      <c r="C4022" s="28">
        <f>IFERROR(__xludf.DUMMYFUNCTION("""COMPUTED_VALUE"""),45926.0)</f>
        <v>45926</v>
      </c>
      <c r="D4022" s="28">
        <f>IFERROR(__xludf.DUMMYFUNCTION("""COMPUTED_VALUE"""),45929.0)</f>
        <v>45929</v>
      </c>
      <c r="E4022" s="26">
        <f>IFERROR(__xludf.DUMMYFUNCTION("""COMPUTED_VALUE"""),339387.0)</f>
        <v>339387</v>
      </c>
      <c r="F4022" s="22" t="str">
        <f>IFERROR(__xludf.DUMMYFUNCTION("""COMPUTED_VALUE"""),"天使のハネ")</f>
        <v>天使のハネ</v>
      </c>
      <c r="G4022" s="20">
        <f>IFERROR(__xludf.DUMMYFUNCTION("""COMPUTED_VALUE"""),1.0)</f>
        <v>1</v>
      </c>
      <c r="H4022" s="22" t="str">
        <f>IFERROR(__xludf.DUMMYFUNCTION("""COMPUTED_VALUE"""),"如月園 （原作）、 えばんふみ （作画）")</f>
        <v>如月園 （原作）、 えばんふみ （作画）</v>
      </c>
      <c r="I4022" s="22" t="str">
        <f>IFERROR(__xludf.DUMMYFUNCTION("""COMPUTED_VALUE"""),"女性")</f>
        <v>女性</v>
      </c>
      <c r="J4022" s="22"/>
      <c r="K4022" s="22"/>
      <c r="L4022" s="22" t="str">
        <f>IFERROR(__xludf.DUMMYFUNCTION("""COMPUTED_VALUE"""),"集英社")</f>
        <v>集英社</v>
      </c>
      <c r="M4022" s="33">
        <f>IFERROR(__xludf.DUMMYFUNCTION("""COMPUTED_VALUE"""),45954.0)</f>
        <v>45954</v>
      </c>
      <c r="N4022" s="33">
        <f>IFERROR(__xludf.DUMMYFUNCTION("""COMPUTED_VALUE"""),45985.0)</f>
        <v>45985</v>
      </c>
      <c r="O4022" s="20"/>
      <c r="P4022" s="32" t="str">
        <f>IFERROR(__xludf.DUMMYFUNCTION("""COMPUTED_VALUE"""),"否")</f>
        <v>否</v>
      </c>
      <c r="Q4022" s="30" t="str">
        <f>IFERROR(__xludf.DUMMYFUNCTION("""COMPUTED_VALUE"""),"単行本での配信です。1~3話が単行本1巻に該当します。")</f>
        <v>単行本での配信です。1~3話が単行本1巻に該当します。</v>
      </c>
      <c r="R4022" s="22"/>
      <c r="S4022" s="22" t="str">
        <f>IFERROR(__xludf.DUMMYFUNCTION("""COMPUTED_VALUE"""),"20250926_集英社_天使のハネ")</f>
        <v>20250926_集英社_天使のハネ</v>
      </c>
      <c r="T4022" s="22" t="str">
        <f>IFERROR(__xludf.DUMMYFUNCTION("""COMPUTED_VALUE"""),"格納済み")</f>
        <v>格納済み</v>
      </c>
      <c r="U4022" s="9" t="str">
        <f>IFERROR(__xludf.DUMMYFUNCTION("""COMPUTED_VALUE"""),"(C)如月園・えばんふみ／集英社")</f>
        <v>(C)如月園・えばんふみ／集英社</v>
      </c>
      <c r="V4022" s="8"/>
      <c r="W4022" s="8"/>
      <c r="X4022" s="8" t="str">
        <f>IFERROR(__xludf.DUMMYFUNCTION("""COMPUTED_VALUE"""),"有")</f>
        <v>有</v>
      </c>
      <c r="Y4022" s="8" t="str">
        <f>IFERROR(__xludf.DUMMYFUNCTION("""COMPUTED_VALUE"""),"2025/11/23まで1巻立ち読み増量(P80)")</f>
        <v>2025/11/23まで1巻立ち読み増量(P80)</v>
      </c>
      <c r="Z4022" s="7"/>
      <c r="AA4022" s="7"/>
      <c r="AB4022" s="7"/>
    </row>
    <row r="4023" ht="15.75" customHeight="1">
      <c r="A4023" s="26">
        <f>IFERROR(__xludf.DUMMYFUNCTION("""COMPUTED_VALUE"""),6549.0)</f>
        <v>6549</v>
      </c>
      <c r="B4023" s="22" t="str">
        <f>IFERROR(__xludf.DUMMYFUNCTION("""COMPUTED_VALUE"""),"確定")</f>
        <v>確定</v>
      </c>
      <c r="C4023" s="28">
        <f>IFERROR(__xludf.DUMMYFUNCTION("""COMPUTED_VALUE"""),45926.0)</f>
        <v>45926</v>
      </c>
      <c r="D4023" s="28">
        <f>IFERROR(__xludf.DUMMYFUNCTION("""COMPUTED_VALUE"""),45931.0)</f>
        <v>45931</v>
      </c>
      <c r="E4023" s="26">
        <f>IFERROR(__xludf.DUMMYFUNCTION("""COMPUTED_VALUE"""),277976.0)</f>
        <v>277976</v>
      </c>
      <c r="F4023" s="22" t="str">
        <f>IFERROR(__xludf.DUMMYFUNCTION("""COMPUTED_VALUE"""),"獣恋のエデン～半獣わんこは御曹司様に溺愛される～")</f>
        <v>獣恋のエデン～半獣わんこは御曹司様に溺愛される～</v>
      </c>
      <c r="G4023" s="20" t="str">
        <f>IFERROR(__xludf.DUMMYFUNCTION("""COMPUTED_VALUE"""),"1～3")</f>
        <v>1～3</v>
      </c>
      <c r="H4023" s="22" t="str">
        <f>IFERROR(__xludf.DUMMYFUNCTION("""COMPUTED_VALUE"""),"ONDA")</f>
        <v>ONDA</v>
      </c>
      <c r="I4023" s="22" t="str">
        <f>IFERROR(__xludf.DUMMYFUNCTION("""COMPUTED_VALUE"""),"少女マンガ")</f>
        <v>少女マンガ</v>
      </c>
      <c r="J4023" s="22"/>
      <c r="K4023" s="22" t="str">
        <f>IFERROR(__xludf.DUMMYFUNCTION("""COMPUTED_VALUE"""),"トレモア・ロマンス,トレモアcollection")</f>
        <v>トレモア・ロマンス,トレモアcollection</v>
      </c>
      <c r="L4023" s="22" t="str">
        <f>IFERROR(__xludf.DUMMYFUNCTION("""COMPUTED_VALUE"""),"シーモアコミックス（トレモア）")</f>
        <v>シーモアコミックス（トレモア）</v>
      </c>
      <c r="M4023" s="33">
        <f>IFERROR(__xludf.DUMMYFUNCTION("""COMPUTED_VALUE"""),45968.0)</f>
        <v>45968</v>
      </c>
      <c r="N4023" s="33">
        <f>IFERROR(__xludf.DUMMYFUNCTION("""COMPUTED_VALUE"""),2958465.0)</f>
        <v>2958465</v>
      </c>
      <c r="O4023" s="20"/>
      <c r="P4023" s="32" t="str">
        <f>IFERROR(__xludf.DUMMYFUNCTION("""COMPUTED_VALUE"""),"可")</f>
        <v>可</v>
      </c>
      <c r="Q4023" s="30"/>
      <c r="R4023" s="22"/>
      <c r="S4023" s="22" t="str">
        <f>IFERROR(__xludf.DUMMYFUNCTION("""COMPUTED_VALUE"""),"20250926_シーモアコミックス_獣恋のエデン～半獣わんこは御曹司様に溺愛される～")</f>
        <v>20250926_シーモアコミックス_獣恋のエデン～半獣わんこは御曹司様に溺愛される～</v>
      </c>
      <c r="T4023" s="22" t="str">
        <f>IFERROR(__xludf.DUMMYFUNCTION("""COMPUTED_VALUE"""),"格納済み")</f>
        <v>格納済み</v>
      </c>
      <c r="U4023" s="9" t="str">
        <f>IFERROR(__xludf.DUMMYFUNCTION("""COMPUTED_VALUE"""),"(C) ONDA/シーモアコミックス")</f>
        <v>(C) ONDA/シーモアコミックス</v>
      </c>
      <c r="V4023" s="8"/>
      <c r="W4023" s="8"/>
      <c r="X4023" s="8" t="str">
        <f>IFERROR(__xludf.DUMMYFUNCTION("""COMPUTED_VALUE"""),"有")</f>
        <v>有</v>
      </c>
      <c r="Y4023" s="8" t="str">
        <f>IFERROR(__xludf.DUMMYFUNCTION("""COMPUTED_VALUE"""),"2025/12/31まで1巻無料")</f>
        <v>2025/12/31まで1巻無料</v>
      </c>
      <c r="Z4023" s="7"/>
      <c r="AA4023" s="7"/>
      <c r="AB4023" s="7"/>
    </row>
    <row r="4024" ht="15.75" customHeight="1">
      <c r="A4024" s="26">
        <f>IFERROR(__xludf.DUMMYFUNCTION("""COMPUTED_VALUE"""),6551.0)</f>
        <v>6551</v>
      </c>
      <c r="B4024" s="22" t="str">
        <f>IFERROR(__xludf.DUMMYFUNCTION("""COMPUTED_VALUE"""),"確定")</f>
        <v>確定</v>
      </c>
      <c r="C4024" s="28">
        <f>IFERROR(__xludf.DUMMYFUNCTION("""COMPUTED_VALUE"""),45926.0)</f>
        <v>45926</v>
      </c>
      <c r="D4024" s="28">
        <f>IFERROR(__xludf.DUMMYFUNCTION("""COMPUTED_VALUE"""),45929.0)</f>
        <v>45929</v>
      </c>
      <c r="E4024" s="26">
        <f>IFERROR(__xludf.DUMMYFUNCTION("""COMPUTED_VALUE"""),308275.0)</f>
        <v>308275</v>
      </c>
      <c r="F4024" s="22" t="str">
        <f>IFERROR(__xludf.DUMMYFUNCTION("""COMPUTED_VALUE"""),"イッて終わりなわけがない！ 新装版【コミックス版／シーモア限定おまけ付き】")</f>
        <v>イッて終わりなわけがない！ 新装版【コミックス版／シーモア限定おまけ付き】</v>
      </c>
      <c r="G4024" s="20" t="str">
        <f>IFERROR(__xludf.DUMMYFUNCTION("""COMPUTED_VALUE"""),"2巻目として配信")</f>
        <v>2巻目として配信</v>
      </c>
      <c r="H4024" s="22" t="str">
        <f>IFERROR(__xludf.DUMMYFUNCTION("""COMPUTED_VALUE"""),"こめおかしぐ")</f>
        <v>こめおかしぐ</v>
      </c>
      <c r="I4024" s="22" t="str">
        <f>IFERROR(__xludf.DUMMYFUNCTION("""COMPUTED_VALUE"""),"BL")</f>
        <v>BL</v>
      </c>
      <c r="J4024" s="22"/>
      <c r="K4024" s="22" t="str">
        <f>IFERROR(__xludf.DUMMYFUNCTION("""COMPUTED_VALUE"""),"NuPu")</f>
        <v>NuPu</v>
      </c>
      <c r="L4024" s="22" t="str">
        <f>IFERROR(__xludf.DUMMYFUNCTION("""COMPUTED_VALUE"""),"CLLENN")</f>
        <v>CLLENN</v>
      </c>
      <c r="M4024" s="33">
        <f>IFERROR(__xludf.DUMMYFUNCTION("""COMPUTED_VALUE"""),45948.0)</f>
        <v>45948</v>
      </c>
      <c r="N4024" s="33">
        <f>IFERROR(__xludf.DUMMYFUNCTION("""COMPUTED_VALUE"""),2958465.0)</f>
        <v>2958465</v>
      </c>
      <c r="O4024" s="20"/>
      <c r="P4024" s="32" t="str">
        <f>IFERROR(__xludf.DUMMYFUNCTION("""COMPUTED_VALUE"""),"可")</f>
        <v>可</v>
      </c>
      <c r="Q4024" s="30" t="str">
        <f>IFERROR(__xludf.DUMMYFUNCTION("""COMPUTED_VALUE"""),"【アダルト作品扱い】&lt;BR&gt;シーモア限定BOOＫです。")</f>
        <v>【アダルト作品扱い】&lt;BR&gt;シーモア限定BOOＫです。</v>
      </c>
      <c r="R4024" s="22" t="str">
        <f>IFERROR(__xludf.DUMMYFUNCTION("""COMPUTED_VALUE"""),"コミットOK")</f>
        <v>コミットOK</v>
      </c>
      <c r="S4024" s="22" t="str">
        <f>IFERROR(__xludf.DUMMYFUNCTION("""COMPUTED_VALUE"""),"20250926_CLLENN_イッて終わりなわけがない！_シーモア限定BOOK")</f>
        <v>20250926_CLLENN_イッて終わりなわけがない！_シーモア限定BOOK</v>
      </c>
      <c r="T4024" s="22" t="str">
        <f>IFERROR(__xludf.DUMMYFUNCTION("""COMPUTED_VALUE"""),"格納済み")</f>
        <v>格納済み</v>
      </c>
      <c r="U4024" s="9" t="str">
        <f>IFERROR(__xludf.DUMMYFUNCTION("""COMPUTED_VALUE"""),"(C)こめおかしぐ/CLLENN")</f>
        <v>(C)こめおかしぐ/CLLENN</v>
      </c>
      <c r="V4024" s="8"/>
      <c r="W4024" s="8"/>
      <c r="X4024" s="8" t="str">
        <f>IFERROR(__xludf.DUMMYFUNCTION("""COMPUTED_VALUE"""),"有")</f>
        <v>有</v>
      </c>
      <c r="Y4024" s="8" t="str">
        <f>IFERROR(__xludf.DUMMYFUNCTION("""COMPUTED_VALUE"""),"2025/11/17まで1巻立ち読み増量(P24)")</f>
        <v>2025/11/17まで1巻立ち読み増量(P24)</v>
      </c>
      <c r="Z4024" s="7"/>
      <c r="AA4024" s="7"/>
      <c r="AB4024" s="7"/>
    </row>
    <row r="4025" ht="15.75" customHeight="1">
      <c r="A4025" s="26">
        <f>IFERROR(__xludf.DUMMYFUNCTION("""COMPUTED_VALUE"""),6554.0)</f>
        <v>6554</v>
      </c>
      <c r="B4025" s="22" t="str">
        <f>IFERROR(__xludf.DUMMYFUNCTION("""COMPUTED_VALUE"""),"確定")</f>
        <v>確定</v>
      </c>
      <c r="C4025" s="28">
        <f>IFERROR(__xludf.DUMMYFUNCTION("""COMPUTED_VALUE"""),45929.0)</f>
        <v>45929</v>
      </c>
      <c r="D4025" s="28">
        <f>IFERROR(__xludf.DUMMYFUNCTION("""COMPUTED_VALUE"""),45929.0)</f>
        <v>45929</v>
      </c>
      <c r="E4025" s="26">
        <f>IFERROR(__xludf.DUMMYFUNCTION("""COMPUTED_VALUE"""),341596.0)</f>
        <v>341596</v>
      </c>
      <c r="F4025" s="22" t="str">
        <f>IFERROR(__xludf.DUMMYFUNCTION("""COMPUTED_VALUE"""),"虐げられた従者、敵地の天使なお嬢様に拾われる 〜命令に従っていただけにもかかわらず、知らないうちに最強の魔術師になっていたようです〜（分冊版）")</f>
        <v>虐げられた従者、敵地の天使なお嬢様に拾われる 〜命令に従っていただけにもかかわらず、知らないうちに最強の魔術師になっていたようです〜（分冊版）</v>
      </c>
      <c r="G4025" s="20" t="str">
        <f>IFERROR(__xludf.DUMMYFUNCTION("""COMPUTED_VALUE"""),"1～3")</f>
        <v>1～3</v>
      </c>
      <c r="H4025" s="22" t="str">
        <f>IFERROR(__xludf.DUMMYFUNCTION("""COMPUTED_VALUE"""),"サイトウミチ┴北川ニキタ┴茨乃")</f>
        <v>サイトウミチ┴北川ニキタ┴茨乃</v>
      </c>
      <c r="I4025" s="22" t="str">
        <f>IFERROR(__xludf.DUMMYFUNCTION("""COMPUTED_VALUE"""),"青年")</f>
        <v>青年</v>
      </c>
      <c r="J4025" s="22"/>
      <c r="K4025" s="22" t="str">
        <f>IFERROR(__xludf.DUMMYFUNCTION("""COMPUTED_VALUE"""),"ムゲンコミックス")</f>
        <v>ムゲンコミックス</v>
      </c>
      <c r="L4025" s="22" t="str">
        <f>IFERROR(__xludf.DUMMYFUNCTION("""COMPUTED_VALUE"""),"MUGENUP")</f>
        <v>MUGENUP</v>
      </c>
      <c r="M4025" s="33">
        <f>IFERROR(__xludf.DUMMYFUNCTION("""COMPUTED_VALUE"""),45962.0)</f>
        <v>45962</v>
      </c>
      <c r="N4025" s="33">
        <f>IFERROR(__xludf.DUMMYFUNCTION("""COMPUTED_VALUE"""),45991.0)</f>
        <v>45991</v>
      </c>
      <c r="O4025" s="20"/>
      <c r="P4025" s="32" t="str">
        <f>IFERROR(__xludf.DUMMYFUNCTION("""COMPUTED_VALUE"""),"可")</f>
        <v>可</v>
      </c>
      <c r="Q4025" s="30"/>
      <c r="R4025" s="22"/>
      <c r="S4025" s="22" t="str">
        <f>IFERROR(__xludf.DUMMYFUNCTION("""COMPUTED_VALUE"""),"20250929_MUGENUP_虐げられた従者、敵地の天使なお嬢様に拾われる 〜命令に従っていただけにもかかわらず、知らないうちに最強の魔術師になっていたようです〜")</f>
        <v>20250929_MUGENUP_虐げられた従者、敵地の天使なお嬢様に拾われる 〜命令に従っていただけにもかかわらず、知らないうちに最強の魔術師になっていたようです〜</v>
      </c>
      <c r="T4025" s="22" t="str">
        <f>IFERROR(__xludf.DUMMYFUNCTION("""COMPUTED_VALUE"""),"格納済み")</f>
        <v>格納済み</v>
      </c>
      <c r="U4025" s="9" t="str">
        <f>IFERROR(__xludf.DUMMYFUNCTION("""COMPUTED_VALUE"""),"(C)サイトウミチ・北川ニキタ・茨乃／MUGENUP")</f>
        <v>(C)サイトウミチ・北川ニキタ・茨乃／MUGENUP</v>
      </c>
      <c r="V4025" s="8"/>
      <c r="W4025" s="8"/>
      <c r="X4025" s="8" t="str">
        <f>IFERROR(__xludf.DUMMYFUNCTION("""COMPUTED_VALUE"""),"有")</f>
        <v>有</v>
      </c>
      <c r="Y4025" s="8" t="str">
        <f>IFERROR(__xludf.DUMMYFUNCTION("""COMPUTED_VALUE"""),"2025/11/14まで1巻無料")</f>
        <v>2025/11/14まで1巻無料</v>
      </c>
      <c r="Z4025" s="7"/>
      <c r="AA4025" s="7"/>
      <c r="AB4025" s="7"/>
    </row>
    <row r="4026" ht="15.75" customHeight="1">
      <c r="A4026" s="26">
        <f>IFERROR(__xludf.DUMMYFUNCTION("""COMPUTED_VALUE"""),6557.0)</f>
        <v>6557</v>
      </c>
      <c r="B4026" s="22" t="str">
        <f>IFERROR(__xludf.DUMMYFUNCTION("""COMPUTED_VALUE"""),"確定")</f>
        <v>確定</v>
      </c>
      <c r="C4026" s="28">
        <f>IFERROR(__xludf.DUMMYFUNCTION("""COMPUTED_VALUE"""),45929.0)</f>
        <v>45929</v>
      </c>
      <c r="D4026" s="28">
        <f>IFERROR(__xludf.DUMMYFUNCTION("""COMPUTED_VALUE"""),45930.0)</f>
        <v>45930</v>
      </c>
      <c r="E4026" s="26">
        <f>IFERROR(__xludf.DUMMYFUNCTION("""COMPUTED_VALUE"""),339808.0)</f>
        <v>339808</v>
      </c>
      <c r="F4026" s="22" t="str">
        <f>IFERROR(__xludf.DUMMYFUNCTION("""COMPUTED_VALUE"""),"「イクのは全部僕とだけ」イかせ上手な後輩の執愛ク○責め")</f>
        <v>「イクのは全部僕とだけ」イかせ上手な後輩の執愛ク○責め</v>
      </c>
      <c r="G4026" s="20" t="str">
        <f>IFERROR(__xludf.DUMMYFUNCTION("""COMPUTED_VALUE"""),"1～3")</f>
        <v>1～3</v>
      </c>
      <c r="H4026" s="22" t="str">
        <f>IFERROR(__xludf.DUMMYFUNCTION("""COMPUTED_VALUE"""),"海槻よき")</f>
        <v>海槻よき</v>
      </c>
      <c r="I4026" s="22" t="str">
        <f>IFERROR(__xludf.DUMMYFUNCTION("""COMPUTED_VALUE"""),"TL")</f>
        <v>TL</v>
      </c>
      <c r="J4026" s="22"/>
      <c r="K4026" s="22" t="str">
        <f>IFERROR(__xludf.DUMMYFUNCTION("""COMPUTED_VALUE"""),"ラブきゅんコミック")</f>
        <v>ラブきゅんコミック</v>
      </c>
      <c r="L4026" s="22" t="str">
        <f>IFERROR(__xludf.DUMMYFUNCTION("""COMPUTED_VALUE"""),"モバイルメディアリサーチ")</f>
        <v>モバイルメディアリサーチ</v>
      </c>
      <c r="M4026" s="33">
        <f>IFERROR(__xludf.DUMMYFUNCTION("""COMPUTED_VALUE"""),45962.0)</f>
        <v>45962</v>
      </c>
      <c r="N4026" s="33">
        <f>IFERROR(__xludf.DUMMYFUNCTION("""COMPUTED_VALUE"""),46003.0)</f>
        <v>46003</v>
      </c>
      <c r="O4026" s="20"/>
      <c r="P4026" s="32" t="str">
        <f>IFERROR(__xludf.DUMMYFUNCTION("""COMPUTED_VALUE"""),"可")</f>
        <v>可</v>
      </c>
      <c r="Q4026" s="30" t="str">
        <f>IFERROR(__xludf.DUMMYFUNCTION("""COMPUTED_VALUE"""),"【アダルト作品扱い】")</f>
        <v>【アダルト作品扱い】</v>
      </c>
      <c r="R4026" s="22"/>
      <c r="S4026" s="22" t="str">
        <f>IFERROR(__xludf.DUMMYFUNCTION("""COMPUTED_VALUE"""),"20250929_ファンギルド_「イクのは全部僕とだけ」イかせ上手な後輩の執愛ク○責め")</f>
        <v>20250929_ファンギルド_「イクのは全部僕とだけ」イかせ上手な後輩の執愛ク○責め</v>
      </c>
      <c r="T4026" s="22" t="str">
        <f>IFERROR(__xludf.DUMMYFUNCTION("""COMPUTED_VALUE"""),"格納済み")</f>
        <v>格納済み</v>
      </c>
      <c r="U4026" s="9" t="str">
        <f>IFERROR(__xludf.DUMMYFUNCTION("""COMPUTED_VALUE"""),"Ⓒ海槻よき/モバイルメディアリサーチ")</f>
        <v>Ⓒ海槻よき/モバイルメディアリサーチ</v>
      </c>
      <c r="V4026" s="8"/>
      <c r="W4026" s="8"/>
      <c r="X4026" s="8" t="str">
        <f>IFERROR(__xludf.DUMMYFUNCTION("""COMPUTED_VALUE"""),"有")</f>
        <v>有</v>
      </c>
      <c r="Y4026" s="8" t="str">
        <f>IFERROR(__xludf.DUMMYFUNCTION("""COMPUTED_VALUE"""),"P7まで")</f>
        <v>P7まで</v>
      </c>
      <c r="Z4026" s="7"/>
      <c r="AA4026" s="7"/>
      <c r="AB4026" s="7"/>
    </row>
    <row r="4027" ht="15.75" customHeight="1">
      <c r="A4027" s="26">
        <f>IFERROR(__xludf.DUMMYFUNCTION("""COMPUTED_VALUE"""),6558.0)</f>
        <v>6558</v>
      </c>
      <c r="B4027" s="22" t="str">
        <f>IFERROR(__xludf.DUMMYFUNCTION("""COMPUTED_VALUE"""),"確定")</f>
        <v>確定</v>
      </c>
      <c r="C4027" s="28">
        <f>IFERROR(__xludf.DUMMYFUNCTION("""COMPUTED_VALUE"""),45929.0)</f>
        <v>45929</v>
      </c>
      <c r="D4027" s="28">
        <f>IFERROR(__xludf.DUMMYFUNCTION("""COMPUTED_VALUE"""),45931.0)</f>
        <v>45931</v>
      </c>
      <c r="E4027" s="26">
        <f>IFERROR(__xludf.DUMMYFUNCTION("""COMPUTED_VALUE"""),339885.0)</f>
        <v>339885</v>
      </c>
      <c r="F4027" s="22" t="str">
        <f>IFERROR(__xludf.DUMMYFUNCTION("""COMPUTED_VALUE"""),"品行方正な殿下は、私の前でだけ過剰な愛を隠しきれない")</f>
        <v>品行方正な殿下は、私の前でだけ過剰な愛を隠しきれない</v>
      </c>
      <c r="G4027" s="20">
        <f>IFERROR(__xludf.DUMMYFUNCTION("""COMPUTED_VALUE"""),1.0)</f>
        <v>1</v>
      </c>
      <c r="H4027" s="22" t="str">
        <f>IFERROR(__xludf.DUMMYFUNCTION("""COMPUTED_VALUE"""),"小島きいち/四季夏果")</f>
        <v>小島きいち/四季夏果</v>
      </c>
      <c r="I4027" s="22" t="str">
        <f>IFERROR(__xludf.DUMMYFUNCTION("""COMPUTED_VALUE"""),"TL")</f>
        <v>TL</v>
      </c>
      <c r="J4027" s="22"/>
      <c r="K4027" s="22" t="str">
        <f>IFERROR(__xludf.DUMMYFUNCTION("""COMPUTED_VALUE"""),"ラブきゅんコミック")</f>
        <v>ラブきゅんコミック</v>
      </c>
      <c r="L4027" s="22" t="str">
        <f>IFERROR(__xludf.DUMMYFUNCTION("""COMPUTED_VALUE"""),"モバイルメディアリサーチ")</f>
        <v>モバイルメディアリサーチ</v>
      </c>
      <c r="M4027" s="33">
        <f>IFERROR(__xludf.DUMMYFUNCTION("""COMPUTED_VALUE"""),45976.0)</f>
        <v>45976</v>
      </c>
      <c r="N4027" s="33">
        <f>IFERROR(__xludf.DUMMYFUNCTION("""COMPUTED_VALUE"""),46073.70833333333)</f>
        <v>46073.70833</v>
      </c>
      <c r="O4027" s="20"/>
      <c r="P4027" s="32" t="str">
        <f>IFERROR(__xludf.DUMMYFUNCTION("""COMPUTED_VALUE"""),"可")</f>
        <v>可</v>
      </c>
      <c r="Q4027" s="30"/>
      <c r="R4027" s="22"/>
      <c r="S4027" s="22" t="str">
        <f>IFERROR(__xludf.DUMMYFUNCTION("""COMPUTED_VALUE"""),"20250929_ファンギルド_品行方正な殿下は、私の前でだけ過剰な愛を隠しきれない")</f>
        <v>20250929_ファンギルド_品行方正な殿下は、私の前でだけ過剰な愛を隠しきれない</v>
      </c>
      <c r="T4027" s="22" t="str">
        <f>IFERROR(__xludf.DUMMYFUNCTION("""COMPUTED_VALUE"""),"格納済み")</f>
        <v>格納済み</v>
      </c>
      <c r="U4027" s="9" t="str">
        <f>IFERROR(__xludf.DUMMYFUNCTION("""COMPUTED_VALUE"""),"Ⓒ小島きいち/四季夏果/モバイルメディアリサーチ")</f>
        <v>Ⓒ小島きいち/四季夏果/モバイルメディアリサーチ</v>
      </c>
      <c r="V4027" s="8"/>
      <c r="W4027" s="8"/>
      <c r="X4027" s="8" t="str">
        <f>IFERROR(__xludf.DUMMYFUNCTION("""COMPUTED_VALUE"""),"有")</f>
        <v>有</v>
      </c>
      <c r="Y4027" s="8" t="str">
        <f>IFERROR(__xludf.DUMMYFUNCTION("""COMPUTED_VALUE"""),"P7まで")</f>
        <v>P7まで</v>
      </c>
      <c r="Z4027" s="7"/>
      <c r="AA4027" s="7"/>
      <c r="AB4027" s="7"/>
    </row>
    <row r="4028" ht="15.75" customHeight="1">
      <c r="A4028" s="26">
        <f>IFERROR(__xludf.DUMMYFUNCTION("""COMPUTED_VALUE"""),6559.0)</f>
        <v>6559</v>
      </c>
      <c r="B4028" s="22" t="str">
        <f>IFERROR(__xludf.DUMMYFUNCTION("""COMPUTED_VALUE"""),"確定")</f>
        <v>確定</v>
      </c>
      <c r="C4028" s="28">
        <f>IFERROR(__xludf.DUMMYFUNCTION("""COMPUTED_VALUE"""),45929.0)</f>
        <v>45929</v>
      </c>
      <c r="D4028" s="28">
        <f>IFERROR(__xludf.DUMMYFUNCTION("""COMPUTED_VALUE"""),45930.0)</f>
        <v>45930</v>
      </c>
      <c r="E4028" s="26">
        <f>IFERROR(__xludf.DUMMYFUNCTION("""COMPUTED_VALUE"""),339884.0)</f>
        <v>339884</v>
      </c>
      <c r="F4028" s="22" t="str">
        <f>IFERROR(__xludf.DUMMYFUNCTION("""COMPUTED_VALUE"""),"「ゆっくり俺を好きになりなさい」～執着騎士は私を抱いて、イかせて、甘やかす")</f>
        <v>「ゆっくり俺を好きになりなさい」～執着騎士は私を抱いて、イかせて、甘やかす</v>
      </c>
      <c r="G4028" s="20">
        <f>IFERROR(__xludf.DUMMYFUNCTION("""COMPUTED_VALUE"""),1.0)</f>
        <v>1</v>
      </c>
      <c r="H4028" s="22" t="str">
        <f>IFERROR(__xludf.DUMMYFUNCTION("""COMPUTED_VALUE"""),"芳乃カオル/直江あき")</f>
        <v>芳乃カオル/直江あき</v>
      </c>
      <c r="I4028" s="22" t="str">
        <f>IFERROR(__xludf.DUMMYFUNCTION("""COMPUTED_VALUE"""),"TL")</f>
        <v>TL</v>
      </c>
      <c r="J4028" s="22"/>
      <c r="K4028" s="22" t="str">
        <f>IFERROR(__xludf.DUMMYFUNCTION("""COMPUTED_VALUE"""),"ラブきゅんコミック")</f>
        <v>ラブきゅんコミック</v>
      </c>
      <c r="L4028" s="22" t="str">
        <f>IFERROR(__xludf.DUMMYFUNCTION("""COMPUTED_VALUE"""),"モバイルメディアリサーチ")</f>
        <v>モバイルメディアリサーチ</v>
      </c>
      <c r="M4028" s="33">
        <f>IFERROR(__xludf.DUMMYFUNCTION("""COMPUTED_VALUE"""),45976.0)</f>
        <v>45976</v>
      </c>
      <c r="N4028" s="33">
        <f>IFERROR(__xludf.DUMMYFUNCTION("""COMPUTED_VALUE"""),46010.0)</f>
        <v>46010</v>
      </c>
      <c r="O4028" s="20"/>
      <c r="P4028" s="32" t="str">
        <f>IFERROR(__xludf.DUMMYFUNCTION("""COMPUTED_VALUE"""),"可")</f>
        <v>可</v>
      </c>
      <c r="Q4028" s="30" t="str">
        <f>IFERROR(__xludf.DUMMYFUNCTION("""COMPUTED_VALUE"""),"【アダルト作品扱い】")</f>
        <v>【アダルト作品扱い】</v>
      </c>
      <c r="R4028" s="22"/>
      <c r="S4028" s="22" t="str">
        <f>IFERROR(__xludf.DUMMYFUNCTION("""COMPUTED_VALUE"""),"20250929_ファンギルド_「ゆっくり俺を好きになりなさい」～執着騎士は私を抱いて、イかせて、甘やかす")</f>
        <v>20250929_ファンギルド_「ゆっくり俺を好きになりなさい」～執着騎士は私を抱いて、イかせて、甘やかす</v>
      </c>
      <c r="T4028" s="22" t="str">
        <f>IFERROR(__xludf.DUMMYFUNCTION("""COMPUTED_VALUE"""),"格納済み")</f>
        <v>格納済み</v>
      </c>
      <c r="U4028" s="9" t="str">
        <f>IFERROR(__xludf.DUMMYFUNCTION("""COMPUTED_VALUE"""),"Ⓒ芳乃カオル/直江あき/モバイルメディアリサーチ")</f>
        <v>Ⓒ芳乃カオル/直江あき/モバイルメディアリサーチ</v>
      </c>
      <c r="V4028" s="8"/>
      <c r="W4028" s="8"/>
      <c r="X4028" s="8" t="str">
        <f>IFERROR(__xludf.DUMMYFUNCTION("""COMPUTED_VALUE"""),"有")</f>
        <v>有</v>
      </c>
      <c r="Y4028" s="8" t="str">
        <f>IFERROR(__xludf.DUMMYFUNCTION("""COMPUTED_VALUE"""),"P7まで")</f>
        <v>P7まで</v>
      </c>
      <c r="Z4028" s="7"/>
      <c r="AA4028" s="7"/>
      <c r="AB4028" s="7"/>
    </row>
    <row r="4029" ht="15.75" customHeight="1">
      <c r="A4029" s="26">
        <f>IFERROR(__xludf.DUMMYFUNCTION("""COMPUTED_VALUE"""),6561.0)</f>
        <v>6561</v>
      </c>
      <c r="B4029" s="22" t="str">
        <f>IFERROR(__xludf.DUMMYFUNCTION("""COMPUTED_VALUE"""),"確定")</f>
        <v>確定</v>
      </c>
      <c r="C4029" s="28">
        <f>IFERROR(__xludf.DUMMYFUNCTION("""COMPUTED_VALUE"""),45929.0)</f>
        <v>45929</v>
      </c>
      <c r="D4029" s="28">
        <f>IFERROR(__xludf.DUMMYFUNCTION("""COMPUTED_VALUE"""),45929.0)</f>
        <v>45929</v>
      </c>
      <c r="E4029" s="26">
        <f>IFERROR(__xludf.DUMMYFUNCTION("""COMPUTED_VALUE"""),339810.0)</f>
        <v>339810</v>
      </c>
      <c r="F4029" s="22" t="str">
        <f>IFERROR(__xludf.DUMMYFUNCTION("""COMPUTED_VALUE"""),"恋人じゃないのに求め合う～相性抜群なSEXに沼るまで")</f>
        <v>恋人じゃないのに求め合う～相性抜群なSEXに沼るまで</v>
      </c>
      <c r="G4029" s="20" t="str">
        <f>IFERROR(__xludf.DUMMYFUNCTION("""COMPUTED_VALUE"""),"1～3")</f>
        <v>1～3</v>
      </c>
      <c r="H4029" s="22" t="str">
        <f>IFERROR(__xludf.DUMMYFUNCTION("""COMPUTED_VALUE"""),"もものユーカ")</f>
        <v>もものユーカ</v>
      </c>
      <c r="I4029" s="22" t="str">
        <f>IFERROR(__xludf.DUMMYFUNCTION("""COMPUTED_VALUE"""),"アダルトマンガ")</f>
        <v>アダルトマンガ</v>
      </c>
      <c r="J4029" s="22"/>
      <c r="K4029" s="22"/>
      <c r="L4029" s="22" t="str">
        <f>IFERROR(__xludf.DUMMYFUNCTION("""COMPUTED_VALUE"""),"モバイルメディアリサーチ")</f>
        <v>モバイルメディアリサーチ</v>
      </c>
      <c r="M4029" s="33">
        <f>IFERROR(__xludf.DUMMYFUNCTION("""COMPUTED_VALUE"""),45972.0)</f>
        <v>45972</v>
      </c>
      <c r="N4029" s="33">
        <f>IFERROR(__xludf.DUMMYFUNCTION("""COMPUTED_VALUE"""),45999.0)</f>
        <v>45999</v>
      </c>
      <c r="O4029" s="20"/>
      <c r="P4029" s="32" t="str">
        <f>IFERROR(__xludf.DUMMYFUNCTION("""COMPUTED_VALUE"""),"可")</f>
        <v>可</v>
      </c>
      <c r="Q4029" s="30"/>
      <c r="R4029" s="22"/>
      <c r="S4029" s="22" t="str">
        <f>IFERROR(__xludf.DUMMYFUNCTION("""COMPUTED_VALUE"""),"20250929_ファンギルド_恋人じゃないのに求め合う～相性抜群なSEXに沼るまで")</f>
        <v>20250929_ファンギルド_恋人じゃないのに求め合う～相性抜群なSEXに沼るまで</v>
      </c>
      <c r="T4029" s="22" t="str">
        <f>IFERROR(__xludf.DUMMYFUNCTION("""COMPUTED_VALUE"""),"格納済み")</f>
        <v>格納済み</v>
      </c>
      <c r="U4029" s="9" t="str">
        <f>IFERROR(__xludf.DUMMYFUNCTION("""COMPUTED_VALUE"""),"Ⓒもものユーカ/モバイルメディアリサーチ")</f>
        <v>Ⓒもものユーカ/モバイルメディアリサーチ</v>
      </c>
      <c r="V4029" s="8"/>
      <c r="W4029" s="8"/>
      <c r="X4029" s="8" t="str">
        <f>IFERROR(__xludf.DUMMYFUNCTION("""COMPUTED_VALUE"""),"有")</f>
        <v>有</v>
      </c>
      <c r="Y4029" s="8" t="str">
        <f>IFERROR(__xludf.DUMMYFUNCTION("""COMPUTED_VALUE"""),"2025/12/8まで1巻無料")</f>
        <v>2025/12/8まで1巻無料</v>
      </c>
      <c r="Z4029" s="7"/>
      <c r="AA4029" s="7"/>
      <c r="AB4029" s="7"/>
    </row>
    <row r="4030" ht="15.75" customHeight="1">
      <c r="A4030" s="26">
        <f>IFERROR(__xludf.DUMMYFUNCTION("""COMPUTED_VALUE"""),6562.0)</f>
        <v>6562</v>
      </c>
      <c r="B4030" s="22" t="str">
        <f>IFERROR(__xludf.DUMMYFUNCTION("""COMPUTED_VALUE"""),"確定")</f>
        <v>確定</v>
      </c>
      <c r="C4030" s="28">
        <f>IFERROR(__xludf.DUMMYFUNCTION("""COMPUTED_VALUE"""),45929.0)</f>
        <v>45929</v>
      </c>
      <c r="D4030" s="28">
        <f>IFERROR(__xludf.DUMMYFUNCTION("""COMPUTED_VALUE"""),45930.0)</f>
        <v>45930</v>
      </c>
      <c r="E4030" s="26">
        <f>IFERROR(__xludf.DUMMYFUNCTION("""COMPUTED_VALUE"""),339811.0)</f>
        <v>339811</v>
      </c>
      <c r="F4030" s="22" t="str">
        <f>IFERROR(__xludf.DUMMYFUNCTION("""COMPUTED_VALUE"""),"恋人じゃないのに求め合う～相性抜群なSEXに沼るまで【TL版】")</f>
        <v>恋人じゃないのに求め合う～相性抜群なSEXに沼るまで【TL版】</v>
      </c>
      <c r="G4030" s="20" t="str">
        <f>IFERROR(__xludf.DUMMYFUNCTION("""COMPUTED_VALUE"""),"1～3")</f>
        <v>1～3</v>
      </c>
      <c r="H4030" s="22" t="str">
        <f>IFERROR(__xludf.DUMMYFUNCTION("""COMPUTED_VALUE"""),"もものユーカ")</f>
        <v>もものユーカ</v>
      </c>
      <c r="I4030" s="22" t="str">
        <f>IFERROR(__xludf.DUMMYFUNCTION("""COMPUTED_VALUE"""),"TL")</f>
        <v>TL</v>
      </c>
      <c r="J4030" s="22"/>
      <c r="K4030" s="22"/>
      <c r="L4030" s="22" t="str">
        <f>IFERROR(__xludf.DUMMYFUNCTION("""COMPUTED_VALUE"""),"モバイルメディアリサーチ")</f>
        <v>モバイルメディアリサーチ</v>
      </c>
      <c r="M4030" s="33">
        <f>IFERROR(__xludf.DUMMYFUNCTION("""COMPUTED_VALUE"""),45972.0)</f>
        <v>45972</v>
      </c>
      <c r="N4030" s="33">
        <f>IFERROR(__xludf.DUMMYFUNCTION("""COMPUTED_VALUE"""),45999.0)</f>
        <v>45999</v>
      </c>
      <c r="O4030" s="20"/>
      <c r="P4030" s="32" t="str">
        <f>IFERROR(__xludf.DUMMYFUNCTION("""COMPUTED_VALUE"""),"可")</f>
        <v>可</v>
      </c>
      <c r="Q4030" s="30" t="str">
        <f>IFERROR(__xludf.DUMMYFUNCTION("""COMPUTED_VALUE"""),"【アダルト作品扱い】")</f>
        <v>【アダルト作品扱い】</v>
      </c>
      <c r="R4030" s="22"/>
      <c r="S4030" s="22" t="str">
        <f>IFERROR(__xludf.DUMMYFUNCTION("""COMPUTED_VALUE"""),"20250929_ファンギルド_恋人じゃないのに求め合う～相性抜群なSEXに沼るまで【TL版】")</f>
        <v>20250929_ファンギルド_恋人じゃないのに求め合う～相性抜群なSEXに沼るまで【TL版】</v>
      </c>
      <c r="T4030" s="22" t="str">
        <f>IFERROR(__xludf.DUMMYFUNCTION("""COMPUTED_VALUE"""),"格納済み")</f>
        <v>格納済み</v>
      </c>
      <c r="U4030" s="9" t="str">
        <f>IFERROR(__xludf.DUMMYFUNCTION("""COMPUTED_VALUE"""),"Ⓒもものユーカ/モバイルメディアリサーチ")</f>
        <v>Ⓒもものユーカ/モバイルメディアリサーチ</v>
      </c>
      <c r="V4030" s="8"/>
      <c r="W4030" s="8"/>
      <c r="X4030" s="8" t="str">
        <f>IFERROR(__xludf.DUMMYFUNCTION("""COMPUTED_VALUE"""),"有")</f>
        <v>有</v>
      </c>
      <c r="Y4030" s="8" t="str">
        <f>IFERROR(__xludf.DUMMYFUNCTION("""COMPUTED_VALUE"""),"2025/12/8まで1巻無料")</f>
        <v>2025/12/8まで1巻無料</v>
      </c>
      <c r="Z4030" s="7"/>
      <c r="AA4030" s="7"/>
      <c r="AB4030" s="7"/>
    </row>
    <row r="4031" ht="15.75" customHeight="1">
      <c r="A4031" s="26">
        <f>IFERROR(__xludf.DUMMYFUNCTION("""COMPUTED_VALUE"""),5748.0)</f>
        <v>5748</v>
      </c>
      <c r="B4031" s="22" t="str">
        <f>IFERROR(__xludf.DUMMYFUNCTION("""COMPUTED_VALUE"""),"確定")</f>
        <v>確定</v>
      </c>
      <c r="C4031" s="28">
        <f>IFERROR(__xludf.DUMMYFUNCTION("""COMPUTED_VALUE"""),45817.0)</f>
        <v>45817</v>
      </c>
      <c r="D4031" s="28">
        <f>IFERROR(__xludf.DUMMYFUNCTION("""COMPUTED_VALUE"""),45932.0)</f>
        <v>45932</v>
      </c>
      <c r="E4031" s="26">
        <f>IFERROR(__xludf.DUMMYFUNCTION("""COMPUTED_VALUE"""),339798.0)</f>
        <v>339798</v>
      </c>
      <c r="F4031" s="22" t="str">
        <f>IFERROR(__xludf.DUMMYFUNCTION("""COMPUTED_VALUE"""),"侯爵家の悪妻は契約です【連載版】")</f>
        <v>侯爵家の悪妻は契約です【連載版】</v>
      </c>
      <c r="G4031" s="20" t="str">
        <f>IFERROR(__xludf.DUMMYFUNCTION("""COMPUTED_VALUE"""),"1～5")</f>
        <v>1～5</v>
      </c>
      <c r="H4031" s="22" t="str">
        <f>IFERROR(__xludf.DUMMYFUNCTION("""COMPUTED_VALUE"""),"コミック：椎名明、ネーム構成：村井ナギサ、原作：もり、キャラクター原案：すがはら竜")</f>
        <v>コミック：椎名明、ネーム構成：村井ナギサ、原作：もり、キャラクター原案：すがはら竜</v>
      </c>
      <c r="I4031" s="22" t="str">
        <f>IFERROR(__xludf.DUMMYFUNCTION("""COMPUTED_VALUE"""),"少女")</f>
        <v>少女</v>
      </c>
      <c r="J4031" s="22"/>
      <c r="K4031" s="22" t="str">
        <f>IFERROR(__xludf.DUMMYFUNCTION("""COMPUTED_VALUE"""),"ZERO-SUMコミックス")</f>
        <v>ZERO-SUMコミックス</v>
      </c>
      <c r="L4031" s="22" t="str">
        <f>IFERROR(__xludf.DUMMYFUNCTION("""COMPUTED_VALUE"""),"一迅社")</f>
        <v>一迅社</v>
      </c>
      <c r="M4031" s="33">
        <f>IFERROR(__xludf.DUMMYFUNCTION("""COMPUTED_VALUE"""),45962.0)</f>
        <v>45962</v>
      </c>
      <c r="N4031" s="33">
        <f>IFERROR(__xludf.DUMMYFUNCTION("""COMPUTED_VALUE"""),45991.0)</f>
        <v>45991</v>
      </c>
      <c r="O4031" s="20"/>
      <c r="P4031" s="32" t="str">
        <f>IFERROR(__xludf.DUMMYFUNCTION("""COMPUTED_VALUE"""),"否")</f>
        <v>否</v>
      </c>
      <c r="Q4031" s="30" t="str">
        <f>IFERROR(__xludf.DUMMYFUNCTION("""COMPUTED_VALUE"""),"1~4話の素材で広告制作お願いいたします。")</f>
        <v>1~4話の素材で広告制作お願いいたします。</v>
      </c>
      <c r="R4031" s="22"/>
      <c r="S4031" s="22" t="str">
        <f>IFERROR(__xludf.DUMMYFUNCTION("""COMPUTED_VALUE"""),"202501002_一迅社_侯爵家の悪妻は契約です")</f>
        <v>202501002_一迅社_侯爵家の悪妻は契約です</v>
      </c>
      <c r="T4031" s="22" t="str">
        <f>IFERROR(__xludf.DUMMYFUNCTION("""COMPUTED_VALUE"""),"格納済み")</f>
        <v>格納済み</v>
      </c>
      <c r="U4031" s="9" t="str">
        <f>IFERROR(__xludf.DUMMYFUNCTION("""COMPUTED_VALUE"""),"(C)椎名明・村井ナギサ・もり・すがはら竜／一迅社")</f>
        <v>(C)椎名明・村井ナギサ・もり・すがはら竜／一迅社</v>
      </c>
      <c r="V4031" s="8"/>
      <c r="W4031" s="8"/>
      <c r="X4031" s="8" t="str">
        <f>IFERROR(__xludf.DUMMYFUNCTION("""COMPUTED_VALUE"""),"有")</f>
        <v>有</v>
      </c>
      <c r="Y4031" s="8" t="str">
        <f>IFERROR(__xludf.DUMMYFUNCTION("""COMPUTED_VALUE"""),"2025/11/30まで1巻無料")</f>
        <v>2025/11/30まで1巻無料</v>
      </c>
      <c r="Z4031" s="7"/>
      <c r="AA4031" s="7"/>
      <c r="AB4031" s="7"/>
    </row>
    <row r="4032" ht="15.75" customHeight="1">
      <c r="A4032" s="26">
        <f>IFERROR(__xludf.DUMMYFUNCTION("""COMPUTED_VALUE"""),6035.0)</f>
        <v>6035</v>
      </c>
      <c r="B4032" s="22" t="str">
        <f>IFERROR(__xludf.DUMMYFUNCTION("""COMPUTED_VALUE"""),"確定")</f>
        <v>確定</v>
      </c>
      <c r="C4032" s="28">
        <f>IFERROR(__xludf.DUMMYFUNCTION("""COMPUTED_VALUE"""),45846.0)</f>
        <v>45846</v>
      </c>
      <c r="D4032" s="28">
        <f>IFERROR(__xludf.DUMMYFUNCTION("""COMPUTED_VALUE"""),45937.0)</f>
        <v>45937</v>
      </c>
      <c r="E4032" s="26">
        <f>IFERROR(__xludf.DUMMYFUNCTION("""COMPUTED_VALUE"""),338832.0)</f>
        <v>338832</v>
      </c>
      <c r="F4032" s="22" t="str">
        <f>IFERROR(__xludf.DUMMYFUNCTION("""COMPUTED_VALUE"""),"レンタルックス 分冊版")</f>
        <v>レンタルックス 分冊版</v>
      </c>
      <c r="G4032" s="20" t="str">
        <f>IFERROR(__xludf.DUMMYFUNCTION("""COMPUTED_VALUE"""),"1～4")</f>
        <v>1～4</v>
      </c>
      <c r="H4032" s="22" t="str">
        <f>IFERROR(__xludf.DUMMYFUNCTION("""COMPUTED_VALUE"""),"仙道ますみ")</f>
        <v>仙道ますみ</v>
      </c>
      <c r="I4032" s="22" t="str">
        <f>IFERROR(__xludf.DUMMYFUNCTION("""COMPUTED_VALUE"""),"青年")</f>
        <v>青年</v>
      </c>
      <c r="J4032" s="22"/>
      <c r="K4032" s="22" t="str">
        <f>IFERROR(__xludf.DUMMYFUNCTION("""COMPUTED_VALUE"""),"アクションコミックス")</f>
        <v>アクションコミックス</v>
      </c>
      <c r="L4032" s="22" t="str">
        <f>IFERROR(__xludf.DUMMYFUNCTION("""COMPUTED_VALUE"""),"双葉社")</f>
        <v>双葉社</v>
      </c>
      <c r="M4032" s="33">
        <f>IFERROR(__xludf.DUMMYFUNCTION("""COMPUTED_VALUE"""),45953.0)</f>
        <v>45953</v>
      </c>
      <c r="N4032" s="33">
        <f>IFERROR(__xludf.DUMMYFUNCTION("""COMPUTED_VALUE"""),46036.0)</f>
        <v>46036</v>
      </c>
      <c r="O4032" s="20"/>
      <c r="P4032" s="32" t="str">
        <f>IFERROR(__xludf.DUMMYFUNCTION("""COMPUTED_VALUE"""),"可")</f>
        <v>可</v>
      </c>
      <c r="Q4032" s="30"/>
      <c r="R4032" s="22" t="str">
        <f>IFERROR(__xludf.DUMMYFUNCTION("""COMPUTED_VALUE"""),"コミットOK")</f>
        <v>コミットOK</v>
      </c>
      <c r="S4032" s="22" t="str">
        <f>IFERROR(__xludf.DUMMYFUNCTION("""COMPUTED_VALUE"""),"20251007_双葉社_レンタルックス_修正")</f>
        <v>20251007_双葉社_レンタルックス_修正</v>
      </c>
      <c r="T4032" s="22" t="str">
        <f>IFERROR(__xludf.DUMMYFUNCTION("""COMPUTED_VALUE"""),"格納済み")</f>
        <v>格納済み</v>
      </c>
      <c r="U4032" s="9" t="str">
        <f>IFERROR(__xludf.DUMMYFUNCTION("""COMPUTED_VALUE"""),"(C)仙道ますみ/双葉社")</f>
        <v>(C)仙道ますみ/双葉社</v>
      </c>
      <c r="V4032" s="8"/>
      <c r="W4032" s="8"/>
      <c r="X4032" s="8" t="str">
        <f>IFERROR(__xludf.DUMMYFUNCTION("""COMPUTED_VALUE"""),"有")</f>
        <v>有</v>
      </c>
      <c r="Y4032" s="8" t="str">
        <f>IFERROR(__xludf.DUMMYFUNCTION("""COMPUTED_VALUE"""),"P9まで")</f>
        <v>P9まで</v>
      </c>
      <c r="Z4032" s="7"/>
      <c r="AA4032" s="7"/>
      <c r="AB4032" s="7"/>
    </row>
    <row r="4033" ht="15.75" customHeight="1">
      <c r="A4033" s="26">
        <f>IFERROR(__xludf.DUMMYFUNCTION("""COMPUTED_VALUE"""),6046.0)</f>
        <v>6046</v>
      </c>
      <c r="B4033" s="22" t="str">
        <f>IFERROR(__xludf.DUMMYFUNCTION("""COMPUTED_VALUE"""),"確定")</f>
        <v>確定</v>
      </c>
      <c r="C4033" s="28">
        <f>IFERROR(__xludf.DUMMYFUNCTION("""COMPUTED_VALUE"""),45848.0)</f>
        <v>45848</v>
      </c>
      <c r="D4033" s="28">
        <f>IFERROR(__xludf.DUMMYFUNCTION("""COMPUTED_VALUE"""),45933.0)</f>
        <v>45933</v>
      </c>
      <c r="E4033" s="26">
        <f>IFERROR(__xludf.DUMMYFUNCTION("""COMPUTED_VALUE"""),339901.0)</f>
        <v>339901</v>
      </c>
      <c r="F4033" s="22" t="str">
        <f>IFERROR(__xludf.DUMMYFUNCTION("""COMPUTED_VALUE"""),"異世界ヤニカス【連載版】")</f>
        <v>異世界ヤニカス【連載版】</v>
      </c>
      <c r="G4033" s="20" t="str">
        <f>IFERROR(__xludf.DUMMYFUNCTION("""COMPUTED_VALUE"""),"1～5")</f>
        <v>1～5</v>
      </c>
      <c r="H4033" s="22" t="str">
        <f>IFERROR(__xludf.DUMMYFUNCTION("""COMPUTED_VALUE"""),"原作：カズキ　漫画：野原もさえ")</f>
        <v>原作：カズキ　漫画：野原もさえ</v>
      </c>
      <c r="I4033" s="22" t="str">
        <f>IFERROR(__xludf.DUMMYFUNCTION("""COMPUTED_VALUE"""),"青年")</f>
        <v>青年</v>
      </c>
      <c r="J4033" s="22"/>
      <c r="K4033" s="22" t="str">
        <f>IFERROR(__xludf.DUMMYFUNCTION("""COMPUTED_VALUE"""),"HOWLコミックス")</f>
        <v>HOWLコミックス</v>
      </c>
      <c r="L4033" s="22" t="str">
        <f>IFERROR(__xludf.DUMMYFUNCTION("""COMPUTED_VALUE"""),"一迅社")</f>
        <v>一迅社</v>
      </c>
      <c r="M4033" s="33">
        <f>IFERROR(__xludf.DUMMYFUNCTION("""COMPUTED_VALUE"""),45977.0)</f>
        <v>45977</v>
      </c>
      <c r="N4033" s="33">
        <f>IFERROR(__xludf.DUMMYFUNCTION("""COMPUTED_VALUE"""),46006.0)</f>
        <v>46006</v>
      </c>
      <c r="O4033" s="20"/>
      <c r="P4033" s="32" t="str">
        <f>IFERROR(__xludf.DUMMYFUNCTION("""COMPUTED_VALUE"""),"否")</f>
        <v>否</v>
      </c>
      <c r="Q4033" s="30" t="str">
        <f>IFERROR(__xludf.DUMMYFUNCTION("""COMPUTED_VALUE"""),"ちょっと直近のご提案タイトルの中では毛色が違うタイトルです！！！&lt;BR&gt;異世界転生スタートではありますが、ギャグ要素ありの脱力系コメディとなっております。&lt;BR&gt;タイトルの名の通り、異世界に転移してしまったニコチン中毒者＝ヤニカスによる、&lt;BR&gt;""最高の一本""を求める新感覚脱力系異世界ライフです。&lt;BR&gt;原作をとなりのヤングジャンプ「聖母の断罪」カズキさんに書き下ろしていただき、&lt;BR&gt;漫画をGファンタジーで「 紅い霧の中から」を描かれていた野原もさえさんに担当していただいています。&lt;BR&gt;青年誌的な"&amp;"読み口の作品となっておりますが、&lt;BR&gt;「たばこの煙が異世界では猛毒（致死量の穢れ）」など設定の面白さとワードセンスがあり&lt;BR&gt;Gファンなどで実績がある作画先生でクセがないながらインパクトもある絵柄なので、&lt;BR&gt;男女隔てずライトに読みやすいので幅広く取り込みたいと考えております。")</f>
        <v>ちょっと直近のご提案タイトルの中では毛色が違うタイトルです！！！&lt;BR&gt;異世界転生スタートではありますが、ギャグ要素ありの脱力系コメディとなっております。&lt;BR&gt;タイトルの名の通り、異世界に転移してしまったニコチン中毒者＝ヤニカスによる、&lt;BR&gt;"最高の一本"を求める新感覚脱力系異世界ライフです。&lt;BR&gt;原作をとなりのヤングジャンプ「聖母の断罪」カズキさんに書き下ろしていただき、&lt;BR&gt;漫画をGファンタジーで「 紅い霧の中から」を描かれていた野原もさえさんに担当していただいています。&lt;BR&gt;青年誌的な読み口の作品となっておりますが、&lt;BR&gt;「たばこの煙が異世界では猛毒（致死量の穢れ）」など設定の面白さとワードセンスがあり&lt;BR&gt;Gファンなどで実績がある作画先生でクセがないながらインパクトもある絵柄なので、&lt;BR&gt;男女隔てずライトに読みやすいので幅広く取り込みたいと考えております。</v>
      </c>
      <c r="R4033" s="22" t="str">
        <f>IFERROR(__xludf.DUMMYFUNCTION("""COMPUTED_VALUE"""),"コミットNG")</f>
        <v>コミットNG</v>
      </c>
      <c r="S4033" s="22" t="str">
        <f>IFERROR(__xludf.DUMMYFUNCTION("""COMPUTED_VALUE"""),"20251003_一迅社_異世界ヤニカス")</f>
        <v>20251003_一迅社_異世界ヤニカス</v>
      </c>
      <c r="T4033" s="22" t="str">
        <f>IFERROR(__xludf.DUMMYFUNCTION("""COMPUTED_VALUE"""),"格納済み")</f>
        <v>格納済み</v>
      </c>
      <c r="U4033" s="9" t="str">
        <f>IFERROR(__xludf.DUMMYFUNCTION("""COMPUTED_VALUE"""),"(C)カズキ・野原もさえ／一迅社")</f>
        <v>(C)カズキ・野原もさえ／一迅社</v>
      </c>
      <c r="V4033" s="8"/>
      <c r="W4033" s="8"/>
      <c r="X4033" s="8" t="str">
        <f>IFERROR(__xludf.DUMMYFUNCTION("""COMPUTED_VALUE"""),"有")</f>
        <v>有</v>
      </c>
      <c r="Y4033" s="8" t="str">
        <f>IFERROR(__xludf.DUMMYFUNCTION("""COMPUTED_VALUE"""),"2025/12/15まで1巻無料")</f>
        <v>2025/12/15まで1巻無料</v>
      </c>
      <c r="Z4033" s="7"/>
      <c r="AA4033" s="7"/>
      <c r="AB4033" s="7"/>
    </row>
    <row r="4034" ht="15.75" customHeight="1">
      <c r="A4034" s="26">
        <f>IFERROR(__xludf.DUMMYFUNCTION("""COMPUTED_VALUE"""),6104.0)</f>
        <v>6104</v>
      </c>
      <c r="B4034" s="22" t="str">
        <f>IFERROR(__xludf.DUMMYFUNCTION("""COMPUTED_VALUE"""),"確定")</f>
        <v>確定</v>
      </c>
      <c r="C4034" s="28">
        <f>IFERROR(__xludf.DUMMYFUNCTION("""COMPUTED_VALUE"""),45855.0)</f>
        <v>45855</v>
      </c>
      <c r="D4034" s="28">
        <f>IFERROR(__xludf.DUMMYFUNCTION("""COMPUTED_VALUE"""),45938.0)</f>
        <v>45938</v>
      </c>
      <c r="E4034" s="26">
        <f>IFERROR(__xludf.DUMMYFUNCTION("""COMPUTED_VALUE"""),340706.0)</f>
        <v>340706</v>
      </c>
      <c r="F4034" s="22" t="str">
        <f>IFERROR(__xludf.DUMMYFUNCTION("""COMPUTED_VALUE"""),"金曜午後９時恋ちゅーばー【マイクロ】")</f>
        <v>金曜午後９時恋ちゅーばー【マイクロ】</v>
      </c>
      <c r="G4034" s="20" t="str">
        <f>IFERROR(__xludf.DUMMYFUNCTION("""COMPUTED_VALUE"""),"1～3")</f>
        <v>1～3</v>
      </c>
      <c r="H4034" s="22" t="str">
        <f>IFERROR(__xludf.DUMMYFUNCTION("""COMPUTED_VALUE"""),"椎葉ナナ")</f>
        <v>椎葉ナナ</v>
      </c>
      <c r="I4034" s="22" t="str">
        <f>IFERROR(__xludf.DUMMYFUNCTION("""COMPUTED_VALUE"""),"女性")</f>
        <v>女性</v>
      </c>
      <c r="J4034" s="22"/>
      <c r="K4034" s="22" t="str">
        <f>IFERROR(__xludf.DUMMYFUNCTION("""COMPUTED_VALUE"""),"プチプチコミック")</f>
        <v>プチプチコミック</v>
      </c>
      <c r="L4034" s="22" t="str">
        <f>IFERROR(__xludf.DUMMYFUNCTION("""COMPUTED_VALUE"""),"小学館")</f>
        <v>小学館</v>
      </c>
      <c r="M4034" s="33">
        <f>IFERROR(__xludf.DUMMYFUNCTION("""COMPUTED_VALUE"""),45966.0)</f>
        <v>45966</v>
      </c>
      <c r="N4034" s="33">
        <f>IFERROR(__xludf.DUMMYFUNCTION("""COMPUTED_VALUE"""),46026.0)</f>
        <v>46026</v>
      </c>
      <c r="O4034" s="20"/>
      <c r="P4034" s="32" t="str">
        <f>IFERROR(__xludf.DUMMYFUNCTION("""COMPUTED_VALUE"""),"否")</f>
        <v>否</v>
      </c>
      <c r="Q4034" s="30"/>
      <c r="R4034" s="22" t="str">
        <f>IFERROR(__xludf.DUMMYFUNCTION("""COMPUTED_VALUE"""),"コミットOK")</f>
        <v>コミットOK</v>
      </c>
      <c r="S4034" s="22" t="str">
        <f>IFERROR(__xludf.DUMMYFUNCTION("""COMPUTED_VALUE"""),"20251008_小学館_金曜午後９時恋ちゅーばー【マイクロ】")</f>
        <v>20251008_小学館_金曜午後９時恋ちゅーばー【マイクロ】</v>
      </c>
      <c r="T4034" s="22" t="str">
        <f>IFERROR(__xludf.DUMMYFUNCTION("""COMPUTED_VALUE"""),"格納済み")</f>
        <v>格納済み</v>
      </c>
      <c r="U4034" s="9" t="str">
        <f>IFERROR(__xludf.DUMMYFUNCTION("""COMPUTED_VALUE"""),"(C)椎葉ナナ / 小学館")</f>
        <v>(C)椎葉ナナ / 小学館</v>
      </c>
      <c r="V4034" s="8"/>
      <c r="W4034" s="8"/>
      <c r="X4034" s="8" t="str">
        <f>IFERROR(__xludf.DUMMYFUNCTION("""COMPUTED_VALUE"""),"有")</f>
        <v>有</v>
      </c>
      <c r="Y4034" s="8" t="str">
        <f>IFERROR(__xludf.DUMMYFUNCTION("""COMPUTED_VALUE"""),"P13まで")</f>
        <v>P13まで</v>
      </c>
      <c r="Z4034" s="7"/>
      <c r="AA4034" s="7"/>
      <c r="AB4034" s="7"/>
    </row>
    <row r="4035" ht="15.75" customHeight="1">
      <c r="A4035" s="26">
        <f>IFERROR(__xludf.DUMMYFUNCTION("""COMPUTED_VALUE"""),6107.0)</f>
        <v>6107</v>
      </c>
      <c r="B4035" s="22" t="str">
        <f>IFERROR(__xludf.DUMMYFUNCTION("""COMPUTED_VALUE"""),"確定")</f>
        <v>確定</v>
      </c>
      <c r="C4035" s="28">
        <f>IFERROR(__xludf.DUMMYFUNCTION("""COMPUTED_VALUE"""),45860.0)</f>
        <v>45860</v>
      </c>
      <c r="D4035" s="28">
        <f>IFERROR(__xludf.DUMMYFUNCTION("""COMPUTED_VALUE"""),45932.0)</f>
        <v>45932</v>
      </c>
      <c r="E4035" s="26">
        <f>IFERROR(__xludf.DUMMYFUNCTION("""COMPUTED_VALUE"""),338831.0)</f>
        <v>338831</v>
      </c>
      <c r="F4035" s="22" t="str">
        <f>IFERROR(__xludf.DUMMYFUNCTION("""COMPUTED_VALUE"""),"無能の花嫁は冷酷軍人に愛し尽くされる～帝都あやかし恋夜伽～【分冊版】")</f>
        <v>無能の花嫁は冷酷軍人に愛し尽くされる～帝都あやかし恋夜伽～【分冊版】</v>
      </c>
      <c r="G4035" s="20" t="str">
        <f>IFERROR(__xludf.DUMMYFUNCTION("""COMPUTED_VALUE"""),"1～3")</f>
        <v>1～3</v>
      </c>
      <c r="H4035" s="22" t="str">
        <f>IFERROR(__xludf.DUMMYFUNCTION("""COMPUTED_VALUE"""),"松尾しより,月乃ひかり")</f>
        <v>松尾しより,月乃ひかり</v>
      </c>
      <c r="I4035" s="22" t="str">
        <f>IFERROR(__xludf.DUMMYFUNCTION("""COMPUTED_VALUE"""),"女性")</f>
        <v>女性</v>
      </c>
      <c r="J4035" s="22"/>
      <c r="K4035" s="22" t="str">
        <f>IFERROR(__xludf.DUMMYFUNCTION("""COMPUTED_VALUE"""),"プティルファンタジーコミックス")</f>
        <v>プティルファンタジーコミックス</v>
      </c>
      <c r="L4035" s="22" t="str">
        <f>IFERROR(__xludf.DUMMYFUNCTION("""COMPUTED_VALUE"""),"ハーパーコリンズ・ジャパン")</f>
        <v>ハーパーコリンズ・ジャパン</v>
      </c>
      <c r="M4035" s="33">
        <f>IFERROR(__xludf.DUMMYFUNCTION("""COMPUTED_VALUE"""),45953.0)</f>
        <v>45953</v>
      </c>
      <c r="N4035" s="33">
        <f>IFERROR(__xludf.DUMMYFUNCTION("""COMPUTED_VALUE"""),46044.0)</f>
        <v>46044</v>
      </c>
      <c r="O4035" s="20"/>
      <c r="P4035" s="32" t="str">
        <f>IFERROR(__xludf.DUMMYFUNCTION("""COMPUTED_VALUE"""),"可")</f>
        <v>可</v>
      </c>
      <c r="Q4035" s="30"/>
      <c r="R4035" s="22" t="str">
        <f>IFERROR(__xludf.DUMMYFUNCTION("""COMPUTED_VALUE"""),"コミットNG")</f>
        <v>コミットNG</v>
      </c>
      <c r="S4035" s="22" t="str">
        <f>IFERROR(__xludf.DUMMYFUNCTION("""COMPUTED_VALUE"""),"2051002_ハーパーコリンズ・ジャパン_無能の花嫁は冷酷軍人に愛し尽くされる～帝都あやかし恋夜伽～【分冊版】")</f>
        <v>2051002_ハーパーコリンズ・ジャパン_無能の花嫁は冷酷軍人に愛し尽くされる～帝都あやかし恋夜伽～【分冊版】</v>
      </c>
      <c r="T4035" s="22" t="str">
        <f>IFERROR(__xludf.DUMMYFUNCTION("""COMPUTED_VALUE"""),"格納済み")</f>
        <v>格納済み</v>
      </c>
      <c r="U4035" s="9" t="str">
        <f>IFERROR(__xludf.DUMMYFUNCTION("""COMPUTED_VALUE"""),"Ⓒ松尾しより・月乃ひかり／ハーパーコリンズ・ジャパン")</f>
        <v>Ⓒ松尾しより・月乃ひかり／ハーパーコリンズ・ジャパン</v>
      </c>
      <c r="V4035" s="8"/>
      <c r="W4035" s="8"/>
      <c r="X4035" s="8" t="str">
        <f>IFERROR(__xludf.DUMMYFUNCTION("""COMPUTED_VALUE"""),"有")</f>
        <v>有</v>
      </c>
      <c r="Y4035" s="8" t="str">
        <f>IFERROR(__xludf.DUMMYFUNCTION("""COMPUTED_VALUE"""),"P8まで")</f>
        <v>P8まで</v>
      </c>
      <c r="Z4035" s="7"/>
      <c r="AA4035" s="7"/>
      <c r="AB4035" s="7"/>
    </row>
    <row r="4036" ht="15.75" customHeight="1">
      <c r="A4036" s="26">
        <f>IFERROR(__xludf.DUMMYFUNCTION("""COMPUTED_VALUE"""),6143.0)</f>
        <v>6143</v>
      </c>
      <c r="B4036" s="22" t="str">
        <f>IFERROR(__xludf.DUMMYFUNCTION("""COMPUTED_VALUE"""),"確定")</f>
        <v>確定</v>
      </c>
      <c r="C4036" s="28">
        <f>IFERROR(__xludf.DUMMYFUNCTION("""COMPUTED_VALUE"""),45866.0)</f>
        <v>45866</v>
      </c>
      <c r="D4036" s="28">
        <f>IFERROR(__xludf.DUMMYFUNCTION("""COMPUTED_VALUE"""),45938.0)</f>
        <v>45938</v>
      </c>
      <c r="E4036" s="26">
        <f>IFERROR(__xludf.DUMMYFUNCTION("""COMPUTED_VALUE"""),339304.0)</f>
        <v>339304</v>
      </c>
      <c r="F4036" s="22" t="str">
        <f>IFERROR(__xludf.DUMMYFUNCTION("""COMPUTED_VALUE"""),"落ちこぼれ令嬢は、英雄公爵様の口づけ係に選ばれました")</f>
        <v>落ちこぼれ令嬢は、英雄公爵様の口づけ係に選ばれました</v>
      </c>
      <c r="G4036" s="20" t="str">
        <f>IFERROR(__xludf.DUMMYFUNCTION("""COMPUTED_VALUE"""),"1～3")</f>
        <v>1～3</v>
      </c>
      <c r="H4036" s="22" t="str">
        <f>IFERROR(__xludf.DUMMYFUNCTION("""COMPUTED_VALUE"""),"座城玖磨／原作：三崎ちさ")</f>
        <v>座城玖磨／原作：三崎ちさ</v>
      </c>
      <c r="I4036" s="22" t="str">
        <f>IFERROR(__xludf.DUMMYFUNCTION("""COMPUTED_VALUE"""),"少女")</f>
        <v>少女</v>
      </c>
      <c r="J4036" s="22"/>
      <c r="K4036" s="22"/>
      <c r="L4036" s="22" t="str">
        <f>IFERROR(__xludf.DUMMYFUNCTION("""COMPUTED_VALUE"""),"ステインラボ")</f>
        <v>ステインラボ</v>
      </c>
      <c r="M4036" s="33">
        <f>IFERROR(__xludf.DUMMYFUNCTION("""COMPUTED_VALUE"""),45951.0)</f>
        <v>45951</v>
      </c>
      <c r="N4036" s="33">
        <f>IFERROR(__xludf.DUMMYFUNCTION("""COMPUTED_VALUE"""),46042.0)</f>
        <v>46042</v>
      </c>
      <c r="O4036" s="20"/>
      <c r="P4036" s="32" t="str">
        <f>IFERROR(__xludf.DUMMYFUNCTION("""COMPUTED_VALUE"""),"可")</f>
        <v>可</v>
      </c>
      <c r="Q4036" s="30"/>
      <c r="R4036" s="22" t="str">
        <f>IFERROR(__xludf.DUMMYFUNCTION("""COMPUTED_VALUE"""),"コミットNG")</f>
        <v>コミットNG</v>
      </c>
      <c r="S4036" s="22" t="str">
        <f>IFERROR(__xludf.DUMMYFUNCTION("""COMPUTED_VALUE"""),"20251007_ステインラボ_落ちこぼれ令嬢は、英雄公爵様の口づけ係に選ばれました")</f>
        <v>20251007_ステインラボ_落ちこぼれ令嬢は、英雄公爵様の口づけ係に選ばれました</v>
      </c>
      <c r="T4036" s="22" t="str">
        <f>IFERROR(__xludf.DUMMYFUNCTION("""COMPUTED_VALUE"""),"格納済み")</f>
        <v>格納済み</v>
      </c>
      <c r="U4036" s="9" t="str">
        <f>IFERROR(__xludf.DUMMYFUNCTION("""COMPUTED_VALUE"""),"(C)座城玖磨・三崎ちさ/stainlab")</f>
        <v>(C)座城玖磨・三崎ちさ/stainlab</v>
      </c>
      <c r="V4036" s="8"/>
      <c r="W4036" s="8"/>
      <c r="X4036" s="8" t="str">
        <f>IFERROR(__xludf.DUMMYFUNCTION("""COMPUTED_VALUE"""),"有")</f>
        <v>有</v>
      </c>
      <c r="Y4036" s="8" t="str">
        <f>IFERROR(__xludf.DUMMYFUNCTION("""COMPUTED_VALUE"""),"2025/11/17まで1巻無料")</f>
        <v>2025/11/17まで1巻無料</v>
      </c>
      <c r="Z4036" s="7"/>
      <c r="AA4036" s="7"/>
      <c r="AB4036" s="7"/>
    </row>
    <row r="4037" ht="15.75" customHeight="1">
      <c r="A4037" s="26">
        <f>IFERROR(__xludf.DUMMYFUNCTION("""COMPUTED_VALUE"""),6182.0)</f>
        <v>6182</v>
      </c>
      <c r="B4037" s="22" t="str">
        <f>IFERROR(__xludf.DUMMYFUNCTION("""COMPUTED_VALUE"""),"確定")</f>
        <v>確定</v>
      </c>
      <c r="C4037" s="28">
        <f>IFERROR(__xludf.DUMMYFUNCTION("""COMPUTED_VALUE"""),45873.0)</f>
        <v>45873</v>
      </c>
      <c r="D4037" s="28">
        <f>IFERROR(__xludf.DUMMYFUNCTION("""COMPUTED_VALUE"""),45937.0)</f>
        <v>45937</v>
      </c>
      <c r="E4037" s="26">
        <f>IFERROR(__xludf.DUMMYFUNCTION("""COMPUTED_VALUE"""),340272.0)</f>
        <v>340272</v>
      </c>
      <c r="F4037" s="22" t="str">
        <f>IFERROR(__xludf.DUMMYFUNCTION("""COMPUTED_VALUE"""),"暴君の愛した悪女は後宮の謎を追う 【分冊版】")</f>
        <v>暴君の愛した悪女は後宮の謎を追う 【分冊版】</v>
      </c>
      <c r="G4037" s="20" t="str">
        <f>IFERROR(__xludf.DUMMYFUNCTION("""COMPUTED_VALUE"""),"1～3")</f>
        <v>1～3</v>
      </c>
      <c r="H4037" s="22" t="str">
        <f>IFERROR(__xludf.DUMMYFUNCTION("""COMPUTED_VALUE"""),"ヨワ（一二三書房）、 charme 、よこすかなみ、 七橋ゆた")</f>
        <v>ヨワ（一二三書房）、 charme 、よこすかなみ、 七橋ゆた</v>
      </c>
      <c r="I4037" s="22" t="str">
        <f>IFERROR(__xludf.DUMMYFUNCTION("""COMPUTED_VALUE"""),"女性")</f>
        <v>女性</v>
      </c>
      <c r="J4037" s="22"/>
      <c r="K4037" s="22"/>
      <c r="L4037" s="22" t="str">
        <f>IFERROR(__xludf.DUMMYFUNCTION("""COMPUTED_VALUE"""),"一二三書房")</f>
        <v>一二三書房</v>
      </c>
      <c r="M4037" s="33">
        <f>IFERROR(__xludf.DUMMYFUNCTION("""COMPUTED_VALUE"""),45966.0)</f>
        <v>45966</v>
      </c>
      <c r="N4037" s="33">
        <f>IFERROR(__xludf.DUMMYFUNCTION("""COMPUTED_VALUE"""),46057.0)</f>
        <v>46057</v>
      </c>
      <c r="O4037" s="20"/>
      <c r="P4037" s="32" t="str">
        <f>IFERROR(__xludf.DUMMYFUNCTION("""COMPUTED_VALUE"""),"可")</f>
        <v>可</v>
      </c>
      <c r="Q4037" s="30"/>
      <c r="R4037" s="22" t="str">
        <f>IFERROR(__xludf.DUMMYFUNCTION("""COMPUTED_VALUE"""),"コミットOK")</f>
        <v>コミットOK</v>
      </c>
      <c r="S4037" s="22" t="str">
        <f>IFERROR(__xludf.DUMMYFUNCTION("""COMPUTED_VALUE"""),"20251007_一二三書房_暴君の契約妃～悪女は後宮の闇を裁く～")</f>
        <v>20251007_一二三書房_暴君の契約妃～悪女は後宮の闇を裁く～</v>
      </c>
      <c r="T4037" s="22" t="str">
        <f>IFERROR(__xludf.DUMMYFUNCTION("""COMPUTED_VALUE"""),"格納済み")</f>
        <v>格納済み</v>
      </c>
      <c r="U4037" s="9" t="str">
        <f>IFERROR(__xludf.DUMMYFUNCTION("""COMPUTED_VALUE"""),"Ⓒcharme / Yokosuka Nami / Yuta Nanahashi / TOKIFUDE ⒸHIFUMI SHOBO")</f>
        <v>Ⓒcharme / Yokosuka Nami / Yuta Nanahashi / TOKIFUDE ⒸHIFUMI SHOBO</v>
      </c>
      <c r="V4037" s="8"/>
      <c r="W4037" s="8"/>
      <c r="X4037" s="8" t="str">
        <f>IFERROR(__xludf.DUMMYFUNCTION("""COMPUTED_VALUE"""),"有")</f>
        <v>有</v>
      </c>
      <c r="Y4037" s="8" t="str">
        <f>IFERROR(__xludf.DUMMYFUNCTION("""COMPUTED_VALUE"""),"2025/11/18まで1巻無料")</f>
        <v>2025/11/18まで1巻無料</v>
      </c>
      <c r="Z4037" s="7"/>
      <c r="AA4037" s="7"/>
      <c r="AB4037" s="7"/>
    </row>
    <row r="4038" ht="15.75" customHeight="1">
      <c r="A4038" s="26">
        <f>IFERROR(__xludf.DUMMYFUNCTION("""COMPUTED_VALUE"""),6211.0)</f>
        <v>6211</v>
      </c>
      <c r="B4038" s="22" t="str">
        <f>IFERROR(__xludf.DUMMYFUNCTION("""COMPUTED_VALUE"""),"確定")</f>
        <v>確定</v>
      </c>
      <c r="C4038" s="28">
        <f>IFERROR(__xludf.DUMMYFUNCTION("""COMPUTED_VALUE"""),45875.0)</f>
        <v>45875</v>
      </c>
      <c r="D4038" s="28">
        <f>IFERROR(__xludf.DUMMYFUNCTION("""COMPUTED_VALUE"""),45933.0)</f>
        <v>45933</v>
      </c>
      <c r="E4038" s="26">
        <f>IFERROR(__xludf.DUMMYFUNCTION("""COMPUTED_VALUE"""),342524.0)</f>
        <v>342524</v>
      </c>
      <c r="F4038" s="22" t="str">
        <f>IFERROR(__xludf.DUMMYFUNCTION("""COMPUTED_VALUE"""),"恋の果てまで、夜闇の王に攫われて【単話版】")</f>
        <v>恋の果てまで、夜闇の王に攫われて【単話版】</v>
      </c>
      <c r="G4038" s="20" t="str">
        <f>IFERROR(__xludf.DUMMYFUNCTION("""COMPUTED_VALUE"""),"1～3")</f>
        <v>1～3</v>
      </c>
      <c r="H4038" s="22" t="str">
        <f>IFERROR(__xludf.DUMMYFUNCTION("""COMPUTED_VALUE"""),"藤谷一帆")</f>
        <v>藤谷一帆</v>
      </c>
      <c r="I4038" s="22" t="str">
        <f>IFERROR(__xludf.DUMMYFUNCTION("""COMPUTED_VALUE"""),"女性")</f>
        <v>女性</v>
      </c>
      <c r="J4038" s="22"/>
      <c r="K4038" s="22"/>
      <c r="L4038" s="22" t="str">
        <f>IFERROR(__xludf.DUMMYFUNCTION("""COMPUTED_VALUE"""),"オーバーラップ")</f>
        <v>オーバーラップ</v>
      </c>
      <c r="M4038" s="33">
        <f>IFERROR(__xludf.DUMMYFUNCTION("""COMPUTED_VALUE"""),45987.0)</f>
        <v>45987</v>
      </c>
      <c r="N4038" s="33">
        <f>IFERROR(__xludf.DUMMYFUNCTION("""COMPUTED_VALUE"""),73050.0)</f>
        <v>73050</v>
      </c>
      <c r="O4038" s="20"/>
      <c r="P4038" s="32" t="str">
        <f>IFERROR(__xludf.DUMMYFUNCTION("""COMPUTED_VALUE"""),"可")</f>
        <v>可</v>
      </c>
      <c r="Q4038" s="30"/>
      <c r="R4038" s="22" t="str">
        <f>IFERROR(__xludf.DUMMYFUNCTION("""COMPUTED_VALUE"""),"コミットNG")</f>
        <v>コミットNG</v>
      </c>
      <c r="S4038" s="22" t="str">
        <f>IFERROR(__xludf.DUMMYFUNCTION("""COMPUTED_VALUE"""),"20251003_オーバーラップ_恋の果てまで、夜闇の王に攫われて.pdf")</f>
        <v>20251003_オーバーラップ_恋の果てまで、夜闇の王に攫われて.pdf</v>
      </c>
      <c r="T4038" s="22" t="str">
        <f>IFERROR(__xludf.DUMMYFUNCTION("""COMPUTED_VALUE"""),"格納済み")</f>
        <v>格納済み</v>
      </c>
      <c r="U4038" s="9" t="str">
        <f>IFERROR(__xludf.DUMMYFUNCTION("""COMPUTED_VALUE"""),"(c)藤谷一帆／オーバーラップ")</f>
        <v>(c)藤谷一帆／オーバーラップ</v>
      </c>
      <c r="V4038" s="8"/>
      <c r="W4038" s="8"/>
      <c r="X4038" s="8" t="str">
        <f>IFERROR(__xludf.DUMMYFUNCTION("""COMPUTED_VALUE"""),"有")</f>
        <v>有</v>
      </c>
      <c r="Y4038" s="8" t="str">
        <f>IFERROR(__xludf.DUMMYFUNCTION("""COMPUTED_VALUE"""),"P35まで")</f>
        <v>P35まで</v>
      </c>
      <c r="Z4038" s="7"/>
      <c r="AA4038" s="7"/>
      <c r="AB4038" s="7"/>
    </row>
    <row r="4039" ht="15.75" customHeight="1">
      <c r="A4039" s="26">
        <f>IFERROR(__xludf.DUMMYFUNCTION("""COMPUTED_VALUE"""),6243.0)</f>
        <v>6243</v>
      </c>
      <c r="B4039" s="22" t="str">
        <f>IFERROR(__xludf.DUMMYFUNCTION("""COMPUTED_VALUE"""),"確定")</f>
        <v>確定</v>
      </c>
      <c r="C4039" s="28">
        <f>IFERROR(__xludf.DUMMYFUNCTION("""COMPUTED_VALUE"""),45877.0)</f>
        <v>45877</v>
      </c>
      <c r="D4039" s="28">
        <f>IFERROR(__xludf.DUMMYFUNCTION("""COMPUTED_VALUE"""),45937.0)</f>
        <v>45937</v>
      </c>
      <c r="E4039" s="26">
        <f>IFERROR(__xludf.DUMMYFUNCTION("""COMPUTED_VALUE"""),339796.0)</f>
        <v>339796</v>
      </c>
      <c r="F4039" s="22" t="str">
        <f>IFERROR(__xludf.DUMMYFUNCTION("""COMPUTED_VALUE"""),"二度目の人生、敵たちを後悔させてみせます【タテヨミ】")</f>
        <v>二度目の人生、敵たちを後悔させてみせます【タテヨミ】</v>
      </c>
      <c r="G4039" s="20" t="str">
        <f>IFERROR(__xludf.DUMMYFUNCTION("""COMPUTED_VALUE"""),"1～20")</f>
        <v>1～20</v>
      </c>
      <c r="H4039" s="22" t="str">
        <f>IFERROR(__xludf.DUMMYFUNCTION("""COMPUTED_VALUE"""),"Daedaewon|MAMAKOTO|陽気なおじさん|Contents Lab. |Blue TOKYO")</f>
        <v>Daedaewon|MAMAKOTO|陽気なおじさん|Contents Lab. |Blue TOKYO</v>
      </c>
      <c r="I4039" s="22" t="str">
        <f>IFERROR(__xludf.DUMMYFUNCTION("""COMPUTED_VALUE"""),"少女")</f>
        <v>少女</v>
      </c>
      <c r="J4039" s="22"/>
      <c r="K4039" s="22"/>
      <c r="L4039" s="22" t="str">
        <f>IFERROR(__xludf.DUMMYFUNCTION("""COMPUTED_VALUE"""),"weavin")</f>
        <v>weavin</v>
      </c>
      <c r="M4039" s="33">
        <f>IFERROR(__xludf.DUMMYFUNCTION("""COMPUTED_VALUE"""),45954.0)</f>
        <v>45954</v>
      </c>
      <c r="N4039" s="33">
        <f>IFERROR(__xludf.DUMMYFUNCTION("""COMPUTED_VALUE"""),46044.0)</f>
        <v>46044</v>
      </c>
      <c r="O4039" s="20"/>
      <c r="P4039" s="32" t="str">
        <f>IFERROR(__xludf.DUMMYFUNCTION("""COMPUTED_VALUE"""),"否")</f>
        <v>否</v>
      </c>
      <c r="Q4039" s="30"/>
      <c r="R4039" s="22" t="str">
        <f>IFERROR(__xludf.DUMMYFUNCTION("""COMPUTED_VALUE"""),"コミットOK")</f>
        <v>コミットOK</v>
      </c>
      <c r="S4039" s="22" t="str">
        <f>IFERROR(__xludf.DUMMYFUNCTION("""COMPUTED_VALUE"""),"20251002_weavin_二度目の人生、敵たちを後悔させてみせます【タテヨミ】")</f>
        <v>20251002_weavin_二度目の人生、敵たちを後悔させてみせます【タテヨミ】</v>
      </c>
      <c r="T4039" s="22" t="str">
        <f>IFERROR(__xludf.DUMMYFUNCTION("""COMPUTED_VALUE"""),"格納済み")</f>
        <v>格納済み</v>
      </c>
      <c r="U4039" s="9" t="str">
        <f>IFERROR(__xludf.DUMMYFUNCTION("""COMPUTED_VALUE"""),"(c)Daedaewon／MAMAKOTO／Contents Lab. Blue TOKYO／weavin")</f>
        <v>(c)Daedaewon／MAMAKOTO／Contents Lab. Blue TOKYO／weavin</v>
      </c>
      <c r="V4039" s="8"/>
      <c r="W4039" s="8"/>
      <c r="X4039" s="8" t="str">
        <f>IFERROR(__xludf.DUMMYFUNCTION("""COMPUTED_VALUE"""),"有")</f>
        <v>有</v>
      </c>
      <c r="Y4039" s="8" t="str">
        <f>IFERROR(__xludf.DUMMYFUNCTION("""COMPUTED_VALUE"""),"1~4巻無料
2025/11/24まで5~7巻目無料")</f>
        <v>1~4巻無料
2025/11/24まで5~7巻目無料</v>
      </c>
      <c r="Z4039" s="7"/>
      <c r="AA4039" s="7"/>
      <c r="AB4039" s="7"/>
    </row>
    <row r="4040" ht="15.75" customHeight="1">
      <c r="A4040" s="26">
        <f>IFERROR(__xludf.DUMMYFUNCTION("""COMPUTED_VALUE"""),6323.0)</f>
        <v>6323</v>
      </c>
      <c r="B4040" s="22" t="str">
        <f>IFERROR(__xludf.DUMMYFUNCTION("""COMPUTED_VALUE"""),"確定")</f>
        <v>確定</v>
      </c>
      <c r="C4040" s="28">
        <f>IFERROR(__xludf.DUMMYFUNCTION("""COMPUTED_VALUE"""),45890.0)</f>
        <v>45890</v>
      </c>
      <c r="D4040" s="28">
        <f>IFERROR(__xludf.DUMMYFUNCTION("""COMPUTED_VALUE"""),45932.0)</f>
        <v>45932</v>
      </c>
      <c r="E4040" s="26">
        <f>IFERROR(__xludf.DUMMYFUNCTION("""COMPUTED_VALUE"""),339548.0)</f>
        <v>339548</v>
      </c>
      <c r="F4040" s="22" t="str">
        <f>IFERROR(__xludf.DUMMYFUNCTION("""COMPUTED_VALUE"""),"運良く人生をやり直せることになったので、一度目の人生でわたしを殺した夫の命、握ります（単話版）")</f>
        <v>運良く人生をやり直せることになったので、一度目の人生でわたしを殺した夫の命、握ります（単話版）</v>
      </c>
      <c r="G4040" s="20" t="str">
        <f>IFERROR(__xludf.DUMMYFUNCTION("""COMPUTED_VALUE"""),"1～3")</f>
        <v>1～3</v>
      </c>
      <c r="H4040" s="22" t="str">
        <f>IFERROR(__xludf.DUMMYFUNCTION("""COMPUTED_VALUE"""),"作画：みささぎ楓李　原作：狭山ひびき　キャラクター原案：じろあるば")</f>
        <v>作画：みささぎ楓李　原作：狭山ひびき　キャラクター原案：じろあるば</v>
      </c>
      <c r="I4040" s="22" t="str">
        <f>IFERROR(__xludf.DUMMYFUNCTION("""COMPUTED_VALUE"""),"少女")</f>
        <v>少女</v>
      </c>
      <c r="J4040" s="22"/>
      <c r="K4040" s="22"/>
      <c r="L4040" s="22" t="str">
        <f>IFERROR(__xludf.DUMMYFUNCTION("""COMPUTED_VALUE"""),"コンパス")</f>
        <v>コンパス</v>
      </c>
      <c r="M4040" s="33">
        <f>IFERROR(__xludf.DUMMYFUNCTION("""COMPUTED_VALUE"""),45955.0)</f>
        <v>45955</v>
      </c>
      <c r="N4040" s="33">
        <f>IFERROR(__xludf.DUMMYFUNCTION("""COMPUTED_VALUE"""),46045.0)</f>
        <v>46045</v>
      </c>
      <c r="O4040" s="20"/>
      <c r="P4040" s="32" t="str">
        <f>IFERROR(__xludf.DUMMYFUNCTION("""COMPUTED_VALUE"""),"否")</f>
        <v>否</v>
      </c>
      <c r="Q4040" s="30" t="str">
        <f>IFERROR(__xludf.DUMMYFUNCTION("""COMPUTED_VALUE"""),"（版元さんより）&lt;BR&gt;作画はベテランのBL作家さんです。&lt;BR&gt;ヒロインが身心共に強い系でかっこいいです！！&lt;BR&gt;3話以降、2人の関係もお互いへの思いやりが見えるようになりなんだかかわいいですし、&lt;BR&gt;今世の2人がどういう関係になっていくのか楽しみな作品です。")</f>
        <v>（版元さんより）&lt;BR&gt;作画はベテランのBL作家さんです。&lt;BR&gt;ヒロインが身心共に強い系でかっこいいです！！&lt;BR&gt;3話以降、2人の関係もお互いへの思いやりが見えるようになりなんだかかわいいですし、&lt;BR&gt;今世の2人がどういう関係になっていくのか楽しみな作品です。</v>
      </c>
      <c r="R4040" s="22" t="str">
        <f>IFERROR(__xludf.DUMMYFUNCTION("""COMPUTED_VALUE"""),"コミットOK")</f>
        <v>コミットOK</v>
      </c>
      <c r="S4040" s="22" t="str">
        <f>IFERROR(__xludf.DUMMYFUNCTION("""COMPUTED_VALUE"""),"20251002_コンパス_運良く人生をやり直せることになったので、一度目の人生でわたしを殺した夫の命、握ります")</f>
        <v>20251002_コンパス_運良く人生をやり直せることになったので、一度目の人生でわたしを殺した夫の命、握ります</v>
      </c>
      <c r="T4040" s="22" t="str">
        <f>IFERROR(__xludf.DUMMYFUNCTION("""COMPUTED_VALUE"""),"格納済み")</f>
        <v>格納済み</v>
      </c>
      <c r="U4040" s="9" t="str">
        <f>IFERROR(__xludf.DUMMYFUNCTION("""COMPUTED_VALUE"""),"Ⓒみささぎ楓李・狭山ひびき／コンパス")</f>
        <v>Ⓒみささぎ楓李・狭山ひびき／コンパス</v>
      </c>
      <c r="V4040" s="8"/>
      <c r="W4040" s="8"/>
      <c r="X4040" s="8" t="str">
        <f>IFERROR(__xludf.DUMMYFUNCTION("""COMPUTED_VALUE"""),"有")</f>
        <v>有</v>
      </c>
      <c r="Y4040" s="8" t="str">
        <f>IFERROR(__xludf.DUMMYFUNCTION("""COMPUTED_VALUE"""),"2025/11/7まで1巻無料")</f>
        <v>2025/11/7まで1巻無料</v>
      </c>
      <c r="Z4040" s="7"/>
      <c r="AA4040" s="7"/>
      <c r="AB4040" s="7"/>
    </row>
    <row r="4041" ht="15.75" customHeight="1">
      <c r="A4041" s="26">
        <f>IFERROR(__xludf.DUMMYFUNCTION("""COMPUTED_VALUE"""),6337.0)</f>
        <v>6337</v>
      </c>
      <c r="B4041" s="22" t="str">
        <f>IFERROR(__xludf.DUMMYFUNCTION("""COMPUTED_VALUE"""),"確定")</f>
        <v>確定</v>
      </c>
      <c r="C4041" s="28">
        <f>IFERROR(__xludf.DUMMYFUNCTION("""COMPUTED_VALUE"""),45894.0)</f>
        <v>45894</v>
      </c>
      <c r="D4041" s="28">
        <f>IFERROR(__xludf.DUMMYFUNCTION("""COMPUTED_VALUE"""),45937.0)</f>
        <v>45937</v>
      </c>
      <c r="E4041" s="26">
        <f>IFERROR(__xludf.DUMMYFUNCTION("""COMPUTED_VALUE"""),339497.0)</f>
        <v>339497</v>
      </c>
      <c r="F4041" s="22" t="str">
        <f>IFERROR(__xludf.DUMMYFUNCTION("""COMPUTED_VALUE"""),"初恋とサイダー【マイクロ】")</f>
        <v>初恋とサイダー【マイクロ】</v>
      </c>
      <c r="G4041" s="20" t="str">
        <f>IFERROR(__xludf.DUMMYFUNCTION("""COMPUTED_VALUE"""),"1～3")</f>
        <v>1～3</v>
      </c>
      <c r="H4041" s="22" t="str">
        <f>IFERROR(__xludf.DUMMYFUNCTION("""COMPUTED_VALUE"""),"後藤みさき")</f>
        <v>後藤みさき</v>
      </c>
      <c r="I4041" s="22" t="str">
        <f>IFERROR(__xludf.DUMMYFUNCTION("""COMPUTED_VALUE"""),"少女")</f>
        <v>少女</v>
      </c>
      <c r="J4041" s="22"/>
      <c r="K4041" s="22" t="str">
        <f>IFERROR(__xludf.DUMMYFUNCTION("""COMPUTED_VALUE"""),"ベツコミ")</f>
        <v>ベツコミ</v>
      </c>
      <c r="L4041" s="22" t="str">
        <f>IFERROR(__xludf.DUMMYFUNCTION("""COMPUTED_VALUE"""),"小学館")</f>
        <v>小学館</v>
      </c>
      <c r="M4041" s="33">
        <f>IFERROR(__xludf.DUMMYFUNCTION("""COMPUTED_VALUE"""),45960.0)</f>
        <v>45960</v>
      </c>
      <c r="N4041" s="33">
        <f>IFERROR(__xludf.DUMMYFUNCTION("""COMPUTED_VALUE"""),46020.0)</f>
        <v>46020</v>
      </c>
      <c r="O4041" s="20"/>
      <c r="P4041" s="32" t="str">
        <f>IFERROR(__xludf.DUMMYFUNCTION("""COMPUTED_VALUE"""),"否")</f>
        <v>否</v>
      </c>
      <c r="Q4041" s="30" t="str">
        <f>IFERROR(__xludf.DUMMYFUNCTION("""COMPUTED_VALUE"""),"『その先はプライベートです』『東京アパレルガール』等の後藤みさき氏の最新作です。&lt;BR&gt;今作の舞台は高校。青春ど真ん中の甘酸っぱさと純真な初恋の物語となっております。&lt;BR&gt;恋と部活に頑張る主人公のひたむきさへの共感と王道アオハルラブに毎話胸キュン必須です。&lt;BR&gt;担当編集より熱意溢れる推薦文も届きましたので、添付させていただきます！&lt;BR&gt;個人的にもベツコミならではの純度100％王道青春もので直近の作品ですと、『主人恋日記』などを好きな読者の方とも相性が良いかと思っております。")</f>
        <v>『その先はプライベートです』『東京アパレルガール』等の後藤みさき氏の最新作です。&lt;BR&gt;今作の舞台は高校。青春ど真ん中の甘酸っぱさと純真な初恋の物語となっております。&lt;BR&gt;恋と部活に頑張る主人公のひたむきさへの共感と王道アオハルラブに毎話胸キュン必須です。&lt;BR&gt;担当編集より熱意溢れる推薦文も届きましたので、添付させていただきます！&lt;BR&gt;個人的にもベツコミならではの純度100％王道青春もので直近の作品ですと、『主人恋日記』などを好きな読者の方とも相性が良いかと思っております。</v>
      </c>
      <c r="R4041" s="22" t="str">
        <f>IFERROR(__xludf.DUMMYFUNCTION("""COMPUTED_VALUE"""),"コミットOK")</f>
        <v>コミットOK</v>
      </c>
      <c r="S4041" s="22" t="str">
        <f>IFERROR(__xludf.DUMMYFUNCTION("""COMPUTED_VALUE"""),"20251007_小学館_初恋とサイダー【マイクロ】")</f>
        <v>20251007_小学館_初恋とサイダー【マイクロ】</v>
      </c>
      <c r="T4041" s="22" t="str">
        <f>IFERROR(__xludf.DUMMYFUNCTION("""COMPUTED_VALUE"""),"格納済み")</f>
        <v>格納済み</v>
      </c>
      <c r="U4041" s="9" t="str">
        <f>IFERROR(__xludf.DUMMYFUNCTION("""COMPUTED_VALUE"""),"(C)後藤みさき / 小学館")</f>
        <v>(C)後藤みさき / 小学館</v>
      </c>
      <c r="V4041" s="8"/>
      <c r="W4041" s="8"/>
      <c r="X4041" s="8" t="str">
        <f>IFERROR(__xludf.DUMMYFUNCTION("""COMPUTED_VALUE"""),"有")</f>
        <v>有</v>
      </c>
      <c r="Y4041" s="8" t="str">
        <f>IFERROR(__xludf.DUMMYFUNCTION("""COMPUTED_VALUE"""),"2025/12/29まで1巻無料")</f>
        <v>2025/12/29まで1巻無料</v>
      </c>
      <c r="Z4041" s="7"/>
      <c r="AA4041" s="7"/>
      <c r="AB4041" s="7"/>
    </row>
    <row r="4042" ht="15.75" customHeight="1">
      <c r="A4042" s="26">
        <f>IFERROR(__xludf.DUMMYFUNCTION("""COMPUTED_VALUE"""),6338.0)</f>
        <v>6338</v>
      </c>
      <c r="B4042" s="22" t="str">
        <f>IFERROR(__xludf.DUMMYFUNCTION("""COMPUTED_VALUE"""),"確定")</f>
        <v>確定</v>
      </c>
      <c r="C4042" s="28">
        <f>IFERROR(__xludf.DUMMYFUNCTION("""COMPUTED_VALUE"""),45894.0)</f>
        <v>45894</v>
      </c>
      <c r="D4042" s="28">
        <f>IFERROR(__xludf.DUMMYFUNCTION("""COMPUTED_VALUE"""),45932.0)</f>
        <v>45932</v>
      </c>
      <c r="E4042" s="26">
        <f>IFERROR(__xludf.DUMMYFUNCTION("""COMPUTED_VALUE"""),339247.0)</f>
        <v>339247</v>
      </c>
      <c r="F4042" s="22" t="str">
        <f>IFERROR(__xludf.DUMMYFUNCTION("""COMPUTED_VALUE"""),"名もなき魔物と二人の騎士～そして婚約者は困惑する～【マイクロ】")</f>
        <v>名もなき魔物と二人の騎士～そして婚約者は困惑する～【マイクロ】</v>
      </c>
      <c r="G4042" s="20" t="str">
        <f>IFERROR(__xludf.DUMMYFUNCTION("""COMPUTED_VALUE"""),"1～3")</f>
        <v>1～3</v>
      </c>
      <c r="H4042" s="22" t="str">
        <f>IFERROR(__xludf.DUMMYFUNCTION("""COMPUTED_VALUE"""),"河丸慎")</f>
        <v>河丸慎</v>
      </c>
      <c r="I4042" s="22" t="str">
        <f>IFERROR(__xludf.DUMMYFUNCTION("""COMPUTED_VALUE"""),"女性")</f>
        <v>女性</v>
      </c>
      <c r="J4042" s="22"/>
      <c r="K4042" s="22" t="str">
        <f>IFERROR(__xludf.DUMMYFUNCTION("""COMPUTED_VALUE"""),"異世界フラワーコミックス")</f>
        <v>異世界フラワーコミックス</v>
      </c>
      <c r="L4042" s="22" t="str">
        <f>IFERROR(__xludf.DUMMYFUNCTION("""COMPUTED_VALUE"""),"小学館")</f>
        <v>小学館</v>
      </c>
      <c r="M4042" s="33">
        <f>IFERROR(__xludf.DUMMYFUNCTION("""COMPUTED_VALUE"""),45950.0)</f>
        <v>45950</v>
      </c>
      <c r="N4042" s="33">
        <f>IFERROR(__xludf.DUMMYFUNCTION("""COMPUTED_VALUE"""),46072.70833333333)</f>
        <v>46072.70833</v>
      </c>
      <c r="O4042" s="20"/>
      <c r="P4042" s="32" t="str">
        <f>IFERROR(__xludf.DUMMYFUNCTION("""COMPUTED_VALUE"""),"否")</f>
        <v>否</v>
      </c>
      <c r="Q4042" s="30" t="str">
        <f>IFERROR(__xludf.DUMMYFUNCTION("""COMPUTED_VALUE"""),"素材について&lt;BR&gt;1話＝BF2508_1話&lt;BR&gt;2話＝BF2510_2話前半、BF2512_2話後半&lt;BR&gt;3話＝BF2514_3話前半、BF2516_3話後半&lt;BR&gt;&lt;BR&gt;『スーツに性癖』を連載中・河丸慎氏の初めての異世界ファンタジー作品です。&lt;BR&gt;&lt;BR&gt;ざっくりとしたあらすじは以下の通りです。&lt;BR&gt;小説「フリジア王国物語」を楽しんでいた主人公が最推しの騎士「ゼロ」がなくなりショックを受ける。&lt;BR&gt;泣き続きた主人公が目を覚ますと、物語のわき役少女・リシェルになっていた…！&lt;BR&gt;何故かチー"&amp;"ト級の能力を持って転生した彼女は推しの「ゼロ」を守るべく”名もなき魔物”となった。&lt;BR&gt;&lt;BR&gt;河丸慎先生が描くキャラクターは美しく、龍など異世界特有の描写も非常に迫力のあるものになっております。&lt;BR&gt;お話も非常に読みやすく河丸先生の既存読者だけでなく、異世界ファンタジーファンにも入ってきていただきやすい作品となっているかと思っております。&lt;BR&gt;個人的にも展開を楽しみにしている作品の一つでして、&lt;BR&gt;是非積極的なお取組みをご検討いただければと存じます。")</f>
        <v>素材について&lt;BR&gt;1話＝BF2508_1話&lt;BR&gt;2話＝BF2510_2話前半、BF2512_2話後半&lt;BR&gt;3話＝BF2514_3話前半、BF2516_3話後半&lt;BR&gt;&lt;BR&gt;『スーツに性癖』を連載中・河丸慎氏の初めての異世界ファンタジー作品です。&lt;BR&gt;&lt;BR&gt;ざっくりとしたあらすじは以下の通りです。&lt;BR&gt;小説「フリジア王国物語」を楽しんでいた主人公が最推しの騎士「ゼロ」がなくなりショックを受ける。&lt;BR&gt;泣き続きた主人公が目を覚ますと、物語のわき役少女・リシェルになっていた…！&lt;BR&gt;何故かチート級の能力を持って転生した彼女は推しの「ゼロ」を守るべく”名もなき魔物”となった。&lt;BR&gt;&lt;BR&gt;河丸慎先生が描くキャラクターは美しく、龍など異世界特有の描写も非常に迫力のあるものになっております。&lt;BR&gt;お話も非常に読みやすく河丸先生の既存読者だけでなく、異世界ファンタジーファンにも入ってきていただきやすい作品となっているかと思っております。&lt;BR&gt;個人的にも展開を楽しみにしている作品の一つでして、&lt;BR&gt;是非積極的なお取組みをご検討いただければと存じます。</v>
      </c>
      <c r="R4042" s="22" t="str">
        <f>IFERROR(__xludf.DUMMYFUNCTION("""COMPUTED_VALUE"""),"コミットOK")</f>
        <v>コミットOK</v>
      </c>
      <c r="S4042" s="22" t="str">
        <f>IFERROR(__xludf.DUMMYFUNCTION("""COMPUTED_VALUE"""),"20251002_小学館_名もなき魔物と二人の騎士～そして婚約者は困惑する～【マイクロ】")</f>
        <v>20251002_小学館_名もなき魔物と二人の騎士～そして婚約者は困惑する～【マイクロ】</v>
      </c>
      <c r="T4042" s="22" t="str">
        <f>IFERROR(__xludf.DUMMYFUNCTION("""COMPUTED_VALUE"""),"格納済み")</f>
        <v>格納済み</v>
      </c>
      <c r="U4042" s="9" t="str">
        <f>IFERROR(__xludf.DUMMYFUNCTION("""COMPUTED_VALUE"""),"(C)河丸慎 / 小学館")</f>
        <v>(C)河丸慎 / 小学館</v>
      </c>
      <c r="V4042" s="8"/>
      <c r="W4042" s="8"/>
      <c r="X4042" s="8" t="str">
        <f>IFERROR(__xludf.DUMMYFUNCTION("""COMPUTED_VALUE"""),"有")</f>
        <v>有</v>
      </c>
      <c r="Y4042" s="8" t="str">
        <f>IFERROR(__xludf.DUMMYFUNCTION("""COMPUTED_VALUE"""),"2025/12/19まで1巻無料")</f>
        <v>2025/12/19まで1巻無料</v>
      </c>
      <c r="Z4042" s="7"/>
      <c r="AA4042" s="7"/>
      <c r="AB4042" s="7"/>
    </row>
    <row r="4043" ht="15.75" customHeight="1">
      <c r="A4043" s="26">
        <f>IFERROR(__xludf.DUMMYFUNCTION("""COMPUTED_VALUE"""),6364.0)</f>
        <v>6364</v>
      </c>
      <c r="B4043" s="22" t="str">
        <f>IFERROR(__xludf.DUMMYFUNCTION("""COMPUTED_VALUE"""),"確定")</f>
        <v>確定</v>
      </c>
      <c r="C4043" s="28">
        <f>IFERROR(__xludf.DUMMYFUNCTION("""COMPUTED_VALUE"""),45898.0)</f>
        <v>45898</v>
      </c>
      <c r="D4043" s="28">
        <f>IFERROR(__xludf.DUMMYFUNCTION("""COMPUTED_VALUE"""),45936.0)</f>
        <v>45936</v>
      </c>
      <c r="E4043" s="26">
        <f>IFERROR(__xludf.DUMMYFUNCTION("""COMPUTED_VALUE"""),339791.0)</f>
        <v>339791</v>
      </c>
      <c r="F4043" s="22" t="str">
        <f>IFERROR(__xludf.DUMMYFUNCTION("""COMPUTED_VALUE"""),"オメガの花嫁～3王子の番わせ囚愛～")</f>
        <v>オメガの花嫁～3王子の番わせ囚愛～</v>
      </c>
      <c r="G4043" s="20" t="str">
        <f>IFERROR(__xludf.DUMMYFUNCTION("""COMPUTED_VALUE"""),"1～3")</f>
        <v>1～3</v>
      </c>
      <c r="H4043" s="22" t="str">
        <f>IFERROR(__xludf.DUMMYFUNCTION("""COMPUTED_VALUE"""),"松崎あべの")</f>
        <v>松崎あべの</v>
      </c>
      <c r="I4043" s="22" t="str">
        <f>IFERROR(__xludf.DUMMYFUNCTION("""COMPUTED_VALUE"""),"TL")</f>
        <v>TL</v>
      </c>
      <c r="J4043" s="22"/>
      <c r="K4043" s="22" t="str">
        <f>IFERROR(__xludf.DUMMYFUNCTION("""COMPUTED_VALUE"""),"メルト")</f>
        <v>メルト</v>
      </c>
      <c r="L4043" s="22" t="str">
        <f>IFERROR(__xludf.DUMMYFUNCTION("""COMPUTED_VALUE"""),"小学館")</f>
        <v>小学館</v>
      </c>
      <c r="M4043" s="33">
        <f>IFERROR(__xludf.DUMMYFUNCTION("""COMPUTED_VALUE"""),45961.0)</f>
        <v>45961</v>
      </c>
      <c r="N4043" s="33">
        <f>IFERROR(__xludf.DUMMYFUNCTION("""COMPUTED_VALUE"""),45988.0)</f>
        <v>45988</v>
      </c>
      <c r="O4043" s="20"/>
      <c r="P4043" s="32" t="str">
        <f>IFERROR(__xludf.DUMMYFUNCTION("""COMPUTED_VALUE"""),"可")</f>
        <v>可</v>
      </c>
      <c r="Q4043" s="30" t="str">
        <f>IFERROR(__xludf.DUMMYFUNCTION("""COMPUTED_VALUE"""),"【アダルト作品扱い】超本格的で王道なファンタジー・オメガバースTLとなっております！お話の内容も分かりやすく、絵もTL読者に楽しんでいただける内容になっていると思います。")</f>
        <v>【アダルト作品扱い】超本格的で王道なファンタジー・オメガバースTLとなっております！お話の内容も分かりやすく、絵もTL読者に楽しんでいただける内容になっていると思います。</v>
      </c>
      <c r="R4043" s="22" t="str">
        <f>IFERROR(__xludf.DUMMYFUNCTION("""COMPUTED_VALUE"""),"コミットNG")</f>
        <v>コミットNG</v>
      </c>
      <c r="S4043" s="22" t="str">
        <f>IFERROR(__xludf.DUMMYFUNCTION("""COMPUTED_VALUE"""),"20251031_小学館_オメガの花嫁～3王子の番わせ囚愛～")</f>
        <v>20251031_小学館_オメガの花嫁～3王子の番わせ囚愛～</v>
      </c>
      <c r="T4043" s="22" t="str">
        <f>IFERROR(__xludf.DUMMYFUNCTION("""COMPUTED_VALUE"""),"格納済み")</f>
        <v>格納済み</v>
      </c>
      <c r="U4043" s="9" t="str">
        <f>IFERROR(__xludf.DUMMYFUNCTION("""COMPUTED_VALUE"""),"(C)松崎あべの / 小学館")</f>
        <v>(C)松崎あべの / 小学館</v>
      </c>
      <c r="V4043" s="8"/>
      <c r="W4043" s="8"/>
      <c r="X4043" s="8" t="str">
        <f>IFERROR(__xludf.DUMMYFUNCTION("""COMPUTED_VALUE"""),"有")</f>
        <v>有</v>
      </c>
      <c r="Y4043" s="8" t="str">
        <f>IFERROR(__xludf.DUMMYFUNCTION("""COMPUTED_VALUE"""),"2025/11/27まで1巻無料")</f>
        <v>2025/11/27まで1巻無料</v>
      </c>
      <c r="Z4043" s="7"/>
      <c r="AA4043" s="7"/>
      <c r="AB4043" s="7"/>
    </row>
    <row r="4044" ht="15.75" customHeight="1">
      <c r="A4044" s="26">
        <f>IFERROR(__xludf.DUMMYFUNCTION("""COMPUTED_VALUE"""),6365.0)</f>
        <v>6365</v>
      </c>
      <c r="B4044" s="22" t="str">
        <f>IFERROR(__xludf.DUMMYFUNCTION("""COMPUTED_VALUE"""),"確定")</f>
        <v>確定</v>
      </c>
      <c r="C4044" s="28">
        <f>IFERROR(__xludf.DUMMYFUNCTION("""COMPUTED_VALUE"""),45898.0)</f>
        <v>45898</v>
      </c>
      <c r="D4044" s="28">
        <f>IFERROR(__xludf.DUMMYFUNCTION("""COMPUTED_VALUE"""),45936.0)</f>
        <v>45936</v>
      </c>
      <c r="E4044" s="26">
        <f>IFERROR(__xludf.DUMMYFUNCTION("""COMPUTED_VALUE"""),339384.0)</f>
        <v>339384</v>
      </c>
      <c r="F4044" s="22" t="str">
        <f>IFERROR(__xludf.DUMMYFUNCTION("""COMPUTED_VALUE"""),"硬派だと思ったら執着重めな彼に心も身体も暴かれて２４時間とろとろに甘やかされてます【分冊版】")</f>
        <v>硬派だと思ったら執着重めな彼に心も身体も暴かれて２４時間とろとろに甘やかされてます【分冊版】</v>
      </c>
      <c r="G4044" s="20" t="str">
        <f>IFERROR(__xludf.DUMMYFUNCTION("""COMPUTED_VALUE"""),"1～2")</f>
        <v>1～2</v>
      </c>
      <c r="H4044" s="22" t="str">
        <f>IFERROR(__xludf.DUMMYFUNCTION("""COMPUTED_VALUE"""),"一ノ関りん子,加地アヤメ")</f>
        <v>一ノ関りん子,加地アヤメ</v>
      </c>
      <c r="I4044" s="22" t="str">
        <f>IFERROR(__xludf.DUMMYFUNCTION("""COMPUTED_VALUE"""),"TL")</f>
        <v>TL</v>
      </c>
      <c r="J4044" s="22"/>
      <c r="K4044" s="22" t="str">
        <f>IFERROR(__xludf.DUMMYFUNCTION("""COMPUTED_VALUE"""),"ルネッタコミックス")</f>
        <v>ルネッタコミックス</v>
      </c>
      <c r="L4044" s="22" t="str">
        <f>IFERROR(__xludf.DUMMYFUNCTION("""COMPUTED_VALUE"""),"ハーパーコリンズ・ジャパン")</f>
        <v>ハーパーコリンズ・ジャパン</v>
      </c>
      <c r="M4044" s="33">
        <f>IFERROR(__xludf.DUMMYFUNCTION("""COMPUTED_VALUE"""),45954.0)</f>
        <v>45954</v>
      </c>
      <c r="N4044" s="33">
        <f>IFERROR(__xludf.DUMMYFUNCTION("""COMPUTED_VALUE"""),46016.0)</f>
        <v>46016</v>
      </c>
      <c r="O4044" s="20"/>
      <c r="P4044" s="32" t="str">
        <f>IFERROR(__xludf.DUMMYFUNCTION("""COMPUTED_VALUE"""),"否")</f>
        <v>否</v>
      </c>
      <c r="Q4044" s="30"/>
      <c r="R4044" s="22" t="str">
        <f>IFERROR(__xludf.DUMMYFUNCTION("""COMPUTED_VALUE"""),"コミットNG")</f>
        <v>コミットNG</v>
      </c>
      <c r="S4044" s="22" t="str">
        <f>IFERROR(__xludf.DUMMYFUNCTION("""COMPUTED_VALUE"""),"20251002_ハーパーコリンズ・ジャパン_硬派だと思ったら執着重めな彼に心も身体も暴かれて２４時間とろとろに甘やかされてます")</f>
        <v>20251002_ハーパーコリンズ・ジャパン_硬派だと思ったら執着重めな彼に心も身体も暴かれて２４時間とろとろに甘やかされてます</v>
      </c>
      <c r="T4044" s="22" t="str">
        <f>IFERROR(__xludf.DUMMYFUNCTION("""COMPUTED_VALUE"""),"格納済み")</f>
        <v>格納済み</v>
      </c>
      <c r="U4044" s="9" t="str">
        <f>IFERROR(__xludf.DUMMYFUNCTION("""COMPUTED_VALUE"""),"（C) 一ノ関りん子・加地アヤメ／ハーパーコリンズ・ジャパン")</f>
        <v>（C) 一ノ関りん子・加地アヤメ／ハーパーコリンズ・ジャパン</v>
      </c>
      <c r="V4044" s="8"/>
      <c r="W4044" s="8"/>
      <c r="X4044" s="8" t="str">
        <f>IFERROR(__xludf.DUMMYFUNCTION("""COMPUTED_VALUE"""),"有")</f>
        <v>有</v>
      </c>
      <c r="Y4044" s="8" t="str">
        <f>IFERROR(__xludf.DUMMYFUNCTION("""COMPUTED_VALUE"""),"2025/11/6まで1巻無料")</f>
        <v>2025/11/6まで1巻無料</v>
      </c>
      <c r="Z4044" s="7"/>
      <c r="AA4044" s="7"/>
      <c r="AB4044" s="7"/>
    </row>
    <row r="4045" ht="15.75" customHeight="1">
      <c r="A4045" s="26">
        <f>IFERROR(__xludf.DUMMYFUNCTION("""COMPUTED_VALUE"""),6376.0)</f>
        <v>6376</v>
      </c>
      <c r="B4045" s="22" t="str">
        <f>IFERROR(__xludf.DUMMYFUNCTION("""COMPUTED_VALUE"""),"確定")</f>
        <v>確定</v>
      </c>
      <c r="C4045" s="28">
        <f>IFERROR(__xludf.DUMMYFUNCTION("""COMPUTED_VALUE"""),45901.0)</f>
        <v>45901</v>
      </c>
      <c r="D4045" s="28">
        <f>IFERROR(__xludf.DUMMYFUNCTION("""COMPUTED_VALUE"""),45937.0)</f>
        <v>45937</v>
      </c>
      <c r="E4045" s="26">
        <f>IFERROR(__xludf.DUMMYFUNCTION("""COMPUTED_VALUE"""),341679.0)</f>
        <v>341679</v>
      </c>
      <c r="F4045" s="22" t="str">
        <f>IFERROR(__xludf.DUMMYFUNCTION("""COMPUTED_VALUE"""),"サポート枠のモブ令嬢に転生したら【扇情】スキル持ちの王子の好感度がMAXなのですが？【R版】")</f>
        <v>サポート枠のモブ令嬢に転生したら【扇情】スキル持ちの王子の好感度がMAXなのですが？【R版】</v>
      </c>
      <c r="G4045" s="20" t="str">
        <f>IFERROR(__xludf.DUMMYFUNCTION("""COMPUTED_VALUE"""),"1～2")</f>
        <v>1～2</v>
      </c>
      <c r="H4045" s="22" t="str">
        <f>IFERROR(__xludf.DUMMYFUNCTION("""COMPUTED_VALUE"""),"闇のいんこ")</f>
        <v>闇のいんこ</v>
      </c>
      <c r="I4045" s="22" t="str">
        <f>IFERROR(__xludf.DUMMYFUNCTION("""COMPUTED_VALUE"""),"アダルト")</f>
        <v>アダルト</v>
      </c>
      <c r="J4045" s="22"/>
      <c r="K4045" s="22" t="str">
        <f>IFERROR(__xludf.DUMMYFUNCTION("""COMPUTED_VALUE"""),"＠夜噺+")</f>
        <v>＠夜噺+</v>
      </c>
      <c r="L4045" s="22" t="str">
        <f>IFERROR(__xludf.DUMMYFUNCTION("""COMPUTED_VALUE"""),"DEEPER-ZERO")</f>
        <v>DEEPER-ZERO</v>
      </c>
      <c r="M4045" s="33">
        <f>IFERROR(__xludf.DUMMYFUNCTION("""COMPUTED_VALUE"""),45981.0)</f>
        <v>45981</v>
      </c>
      <c r="N4045" s="33">
        <f>IFERROR(__xludf.DUMMYFUNCTION("""COMPUTED_VALUE"""),46036.0)</f>
        <v>46036</v>
      </c>
      <c r="O4045" s="20"/>
      <c r="P4045" s="32" t="str">
        <f>IFERROR(__xludf.DUMMYFUNCTION("""COMPUTED_VALUE"""),"可")</f>
        <v>可</v>
      </c>
      <c r="Q4045" s="30"/>
      <c r="R4045" s="22" t="str">
        <f>IFERROR(__xludf.DUMMYFUNCTION("""COMPUTED_VALUE"""),"コミットOK")</f>
        <v>コミットOK</v>
      </c>
      <c r="S4045" s="22" t="str">
        <f>IFERROR(__xludf.DUMMYFUNCTION("""COMPUTED_VALUE"""),"20251006_DEEPER-ZERO_サポート枠令嬢に転生したのにヒロインが(男)なのですが_")</f>
        <v>20251006_DEEPER-ZERO_サポート枠令嬢に転生したのにヒロインが(男)なのですが_</v>
      </c>
      <c r="T4045" s="22" t="str">
        <f>IFERROR(__xludf.DUMMYFUNCTION("""COMPUTED_VALUE"""),"格納済み")</f>
        <v>格納済み</v>
      </c>
      <c r="U4045" s="9" t="str">
        <f>IFERROR(__xludf.DUMMYFUNCTION("""COMPUTED_VALUE"""),"Ⓒ闇のいんこ/DEEPER-ZERO")</f>
        <v>Ⓒ闇のいんこ/DEEPER-ZERO</v>
      </c>
      <c r="V4045" s="8"/>
      <c r="W4045" s="8"/>
      <c r="X4045" s="8" t="str">
        <f>IFERROR(__xludf.DUMMYFUNCTION("""COMPUTED_VALUE"""),"有")</f>
        <v>有</v>
      </c>
      <c r="Y4045" s="8" t="str">
        <f>IFERROR(__xludf.DUMMYFUNCTION("""COMPUTED_VALUE"""),"2025/12/3まで1巻立ち読み増量（P18）")</f>
        <v>2025/12/3まで1巻立ち読み増量（P18）</v>
      </c>
      <c r="Z4045" s="7"/>
      <c r="AA4045" s="7"/>
      <c r="AB4045" s="7"/>
    </row>
    <row r="4046" ht="15.75" customHeight="1">
      <c r="A4046" s="26">
        <f>IFERROR(__xludf.DUMMYFUNCTION("""COMPUTED_VALUE"""),6377.0)</f>
        <v>6377</v>
      </c>
      <c r="B4046" s="22" t="str">
        <f>IFERROR(__xludf.DUMMYFUNCTION("""COMPUTED_VALUE"""),"確定")</f>
        <v>確定</v>
      </c>
      <c r="C4046" s="28">
        <f>IFERROR(__xludf.DUMMYFUNCTION("""COMPUTED_VALUE"""),45902.0)</f>
        <v>45902</v>
      </c>
      <c r="D4046" s="28">
        <f>IFERROR(__xludf.DUMMYFUNCTION("""COMPUTED_VALUE"""),45936.0)</f>
        <v>45936</v>
      </c>
      <c r="E4046" s="26">
        <f>IFERROR(__xludf.DUMMYFUNCTION("""COMPUTED_VALUE"""),343436.0)</f>
        <v>343436</v>
      </c>
      <c r="F4046" s="22" t="str">
        <f>IFERROR(__xludf.DUMMYFUNCTION("""COMPUTED_VALUE"""),"5時からヒロイン(話売り)")</f>
        <v>5時からヒロイン(話売り)</v>
      </c>
      <c r="G4046" s="20" t="str">
        <f>IFERROR(__xludf.DUMMYFUNCTION("""COMPUTED_VALUE"""),"1～3")</f>
        <v>1～3</v>
      </c>
      <c r="H4046" s="22" t="str">
        <f>IFERROR(__xludf.DUMMYFUNCTION("""COMPUTED_VALUE"""),"広兼 怜 （原作） 雲丹イクラ畑 （漫画）")</f>
        <v>広兼 怜 （原作） 雲丹イクラ畑 （漫画）</v>
      </c>
      <c r="I4046" s="22" t="str">
        <f>IFERROR(__xludf.DUMMYFUNCTION("""COMPUTED_VALUE"""),"TL")</f>
        <v>TL</v>
      </c>
      <c r="J4046" s="22"/>
      <c r="K4046" s="22" t="str">
        <f>IFERROR(__xludf.DUMMYFUNCTION("""COMPUTED_VALUE"""),"どこでもヤングチャンピオン")</f>
        <v>どこでもヤングチャンピオン</v>
      </c>
      <c r="L4046" s="22" t="str">
        <f>IFERROR(__xludf.DUMMYFUNCTION("""COMPUTED_VALUE"""),"秋田書店")</f>
        <v>秋田書店</v>
      </c>
      <c r="M4046" s="33">
        <f>IFERROR(__xludf.DUMMYFUNCTION("""COMPUTED_VALUE"""),45986.0)</f>
        <v>45986</v>
      </c>
      <c r="N4046" s="33">
        <f>IFERROR(__xludf.DUMMYFUNCTION("""COMPUTED_VALUE"""),46048.0)</f>
        <v>46048</v>
      </c>
      <c r="O4046" s="20"/>
      <c r="P4046" s="32" t="str">
        <f>IFERROR(__xludf.DUMMYFUNCTION("""COMPUTED_VALUE"""),"可")</f>
        <v>可</v>
      </c>
      <c r="Q4046" s="30" t="str">
        <f>IFERROR(__xludf.DUMMYFUNCTION("""COMPUTED_VALUE"""),"どこでもヤンチャンの中では珍しくTL作品となっており、&lt;BR&gt;若社長と社長秘書（しかもしごでき）のオフィスラブは女性ユーザーとの相性が良いかと思います！&lt;BR&gt;&lt;BR&gt;&lt;BR&gt;")</f>
        <v>どこでもヤンチャンの中では珍しくTL作品となっており、&lt;BR&gt;若社長と社長秘書（しかもしごでき）のオフィスラブは女性ユーザーとの相性が良いかと思います！&lt;BR&gt;&lt;BR&gt;&lt;BR&gt;</v>
      </c>
      <c r="R4046" s="22" t="str">
        <f>IFERROR(__xludf.DUMMYFUNCTION("""COMPUTED_VALUE"""),"コミットOK")</f>
        <v>コミットOK</v>
      </c>
      <c r="S4046" s="22" t="str">
        <f>IFERROR(__xludf.DUMMYFUNCTION("""COMPUTED_VALUE"""),"20251006_秋田書店_5時からヒロイン")</f>
        <v>20251006_秋田書店_5時からヒロイン</v>
      </c>
      <c r="T4046" s="22" t="str">
        <f>IFERROR(__xludf.DUMMYFUNCTION("""COMPUTED_VALUE"""),"格納済み")</f>
        <v>格納済み</v>
      </c>
      <c r="U4046" s="9" t="str">
        <f>IFERROR(__xludf.DUMMYFUNCTION("""COMPUTED_VALUE"""),"Ⓒ広兼 怜・雲丹イクラ畑（秋田書店）")</f>
        <v>Ⓒ広兼 怜・雲丹イクラ畑（秋田書店）</v>
      </c>
      <c r="V4046" s="8"/>
      <c r="W4046" s="8"/>
      <c r="X4046" s="8" t="str">
        <f>IFERROR(__xludf.DUMMYFUNCTION("""COMPUTED_VALUE"""),"有")</f>
        <v>有</v>
      </c>
      <c r="Y4046" s="8" t="str">
        <f>IFERROR(__xludf.DUMMYFUNCTION("""COMPUTED_VALUE"""),"2025/12/22まで1巻無料")</f>
        <v>2025/12/22まで1巻無料</v>
      </c>
      <c r="Z4046" s="7"/>
      <c r="AA4046" s="7"/>
      <c r="AB4046" s="7"/>
    </row>
    <row r="4047" ht="15.75" customHeight="1">
      <c r="A4047" s="26">
        <f>IFERROR(__xludf.DUMMYFUNCTION("""COMPUTED_VALUE"""),6380.0)</f>
        <v>6380</v>
      </c>
      <c r="B4047" s="22" t="str">
        <f>IFERROR(__xludf.DUMMYFUNCTION("""COMPUTED_VALUE"""),"確定")</f>
        <v>確定</v>
      </c>
      <c r="C4047" s="28">
        <f>IFERROR(__xludf.DUMMYFUNCTION("""COMPUTED_VALUE"""),45902.0)</f>
        <v>45902</v>
      </c>
      <c r="D4047" s="28">
        <f>IFERROR(__xludf.DUMMYFUNCTION("""COMPUTED_VALUE"""),45933.0)</f>
        <v>45933</v>
      </c>
      <c r="E4047" s="26">
        <f>IFERROR(__xludf.DUMMYFUNCTION("""COMPUTED_VALUE"""),338996.0)</f>
        <v>338996</v>
      </c>
      <c r="F4047" s="22" t="str">
        <f>IFERROR(__xludf.DUMMYFUNCTION("""COMPUTED_VALUE"""),"狼大公は偽物花嫁を逃がさない【分冊版】")</f>
        <v>狼大公は偽物花嫁を逃がさない【分冊版】</v>
      </c>
      <c r="G4047" s="20" t="str">
        <f>IFERROR(__xludf.DUMMYFUNCTION("""COMPUTED_VALUE"""),"1～2")</f>
        <v>1～2</v>
      </c>
      <c r="H4047" s="22" t="str">
        <f>IFERROR(__xludf.DUMMYFUNCTION("""COMPUTED_VALUE"""),"御上ユノ,桃城猫緒")</f>
        <v>御上ユノ,桃城猫緒</v>
      </c>
      <c r="I4047" s="22" t="str">
        <f>IFERROR(__xludf.DUMMYFUNCTION("""COMPUTED_VALUE"""),"女性")</f>
        <v>女性</v>
      </c>
      <c r="J4047" s="22"/>
      <c r="K4047" s="22" t="str">
        <f>IFERROR(__xludf.DUMMYFUNCTION("""COMPUTED_VALUE"""),"乙女ドルチェ・コミックス")</f>
        <v>乙女ドルチェ・コミックス</v>
      </c>
      <c r="L4047" s="22" t="str">
        <f>IFERROR(__xludf.DUMMYFUNCTION("""COMPUTED_VALUE"""),"乙女ドルチェ・コミックス")</f>
        <v>乙女ドルチェ・コミックス</v>
      </c>
      <c r="M4047" s="33">
        <f>IFERROR(__xludf.DUMMYFUNCTION("""COMPUTED_VALUE"""),45947.0)</f>
        <v>45947</v>
      </c>
      <c r="N4047" s="33">
        <f>IFERROR(__xludf.DUMMYFUNCTION("""COMPUTED_VALUE"""),46009.0)</f>
        <v>46009</v>
      </c>
      <c r="O4047" s="20"/>
      <c r="P4047" s="32" t="str">
        <f>IFERROR(__xludf.DUMMYFUNCTION("""COMPUTED_VALUE"""),"可")</f>
        <v>可</v>
      </c>
      <c r="Q4047" s="30" t="str">
        <f>IFERROR(__xludf.DUMMYFUNCTION("""COMPUTED_VALUE"""),"シーモアロゴ無し対応")</f>
        <v>シーモアロゴ無し対応</v>
      </c>
      <c r="R4047" s="22" t="str">
        <f>IFERROR(__xludf.DUMMYFUNCTION("""COMPUTED_VALUE"""),"コミットNG")</f>
        <v>コミットNG</v>
      </c>
      <c r="S4047" s="22" t="str">
        <f>IFERROR(__xludf.DUMMYFUNCTION("""COMPUTED_VALUE"""),"20251002_乙女ドルチェ_狼大公は偽物花嫁を逃がさない")</f>
        <v>20251002_乙女ドルチェ_狼大公は偽物花嫁を逃がさない</v>
      </c>
      <c r="T4047" s="22" t="str">
        <f>IFERROR(__xludf.DUMMYFUNCTION("""COMPUTED_VALUE"""),"格納済み")</f>
        <v>格納済み</v>
      </c>
      <c r="U4047" s="9" t="str">
        <f>IFERROR(__xludf.DUMMYFUNCTION("""COMPUTED_VALUE"""),"（C) 御上ユノ・桃城猫緒／ハーパーコリンズ・ジャパン")</f>
        <v>（C) 御上ユノ・桃城猫緒／ハーパーコリンズ・ジャパン</v>
      </c>
      <c r="V4047" s="8"/>
      <c r="W4047" s="8"/>
      <c r="X4047" s="8" t="str">
        <f>IFERROR(__xludf.DUMMYFUNCTION("""COMPUTED_VALUE"""),"有")</f>
        <v>有</v>
      </c>
      <c r="Y4047" s="8" t="str">
        <f>IFERROR(__xludf.DUMMYFUNCTION("""COMPUTED_VALUE"""),"P7まで")</f>
        <v>P7まで</v>
      </c>
      <c r="Z4047" s="7"/>
      <c r="AA4047" s="7"/>
      <c r="AB4047" s="7"/>
    </row>
    <row r="4048" ht="15.75" customHeight="1">
      <c r="A4048" s="26">
        <f>IFERROR(__xludf.DUMMYFUNCTION("""COMPUTED_VALUE"""),6411.0)</f>
        <v>6411</v>
      </c>
      <c r="B4048" s="22" t="str">
        <f>IFERROR(__xludf.DUMMYFUNCTION("""COMPUTED_VALUE"""),"確定")</f>
        <v>確定</v>
      </c>
      <c r="C4048" s="28">
        <f>IFERROR(__xludf.DUMMYFUNCTION("""COMPUTED_VALUE"""),45903.0)</f>
        <v>45903</v>
      </c>
      <c r="D4048" s="28">
        <f>IFERROR(__xludf.DUMMYFUNCTION("""COMPUTED_VALUE"""),45937.0)</f>
        <v>45937</v>
      </c>
      <c r="E4048" s="26">
        <f>IFERROR(__xludf.DUMMYFUNCTION("""COMPUTED_VALUE"""),341449.0)</f>
        <v>341449</v>
      </c>
      <c r="F4048" s="22" t="str">
        <f>IFERROR(__xludf.DUMMYFUNCTION("""COMPUTED_VALUE"""),"アナウンサーのお姉さん【タテヨミ】")</f>
        <v>アナウンサーのお姉さん【タテヨミ】</v>
      </c>
      <c r="G4048" s="20" t="str">
        <f>IFERROR(__xludf.DUMMYFUNCTION("""COMPUTED_VALUE"""),"1～50")</f>
        <v>1～50</v>
      </c>
      <c r="H4048" s="22" t="str">
        <f>IFERROR(__xludf.DUMMYFUNCTION("""COMPUTED_VALUE"""),"レッドＰ&amp;そっくん")</f>
        <v>レッドＰ&amp;そっくん</v>
      </c>
      <c r="I4048" s="22" t="str">
        <f>IFERROR(__xludf.DUMMYFUNCTION("""COMPUTED_VALUE"""),"青年")</f>
        <v>青年</v>
      </c>
      <c r="J4048" s="22"/>
      <c r="K4048" s="22"/>
      <c r="L4048" s="22" t="str">
        <f>IFERROR(__xludf.DUMMYFUNCTION("""COMPUTED_VALUE"""),"Studio reBorn")</f>
        <v>Studio reBorn</v>
      </c>
      <c r="M4048" s="33">
        <f>IFERROR(__xludf.DUMMYFUNCTION("""COMPUTED_VALUE"""),45961.0)</f>
        <v>45961</v>
      </c>
      <c r="N4048" s="33">
        <f>IFERROR(__xludf.DUMMYFUNCTION("""COMPUTED_VALUE"""),46052.0)</f>
        <v>46052</v>
      </c>
      <c r="O4048" s="20"/>
      <c r="P4048" s="32" t="str">
        <f>IFERROR(__xludf.DUMMYFUNCTION("""COMPUTED_VALUE"""),"可")</f>
        <v>可</v>
      </c>
      <c r="Q4048" s="30" t="str">
        <f>IFERROR(__xludf.DUMMYFUNCTION("""COMPUTED_VALUE"""),"【アダルト作品扱い】&lt;BR&gt;Toomicsのみ配信中")</f>
        <v>【アダルト作品扱い】&lt;BR&gt;Toomicsのみ配信中</v>
      </c>
      <c r="R4048" s="22" t="str">
        <f>IFERROR(__xludf.DUMMYFUNCTION("""COMPUTED_VALUE"""),"コミットOK")</f>
        <v>コミットOK</v>
      </c>
      <c r="S4048" s="22" t="str">
        <f>IFERROR(__xludf.DUMMYFUNCTION("""COMPUTED_VALUE"""),"20250916_Studio reBorn_アナウンサーのお姉さん【タテヨミ】")</f>
        <v>20250916_Studio reBorn_アナウンサーのお姉さん【タテヨミ】</v>
      </c>
      <c r="T4048" s="22" t="str">
        <f>IFERROR(__xludf.DUMMYFUNCTION("""COMPUTED_VALUE"""),"格納済み")</f>
        <v>格納済み</v>
      </c>
      <c r="U4048" s="9" t="str">
        <f>IFERROR(__xludf.DUMMYFUNCTION("""COMPUTED_VALUE"""),"(c)レッドＰ&amp;そっくん / Toomics(c)ソーダブックス")</f>
        <v>(c)レッドＰ&amp;そっくん / Toomics(c)ソーダブックス</v>
      </c>
      <c r="V4048" s="8"/>
      <c r="W4048" s="8"/>
      <c r="X4048" s="8" t="str">
        <f>IFERROR(__xludf.DUMMYFUNCTION("""COMPUTED_VALUE"""),"有")</f>
        <v>有</v>
      </c>
      <c r="Y4048" s="8" t="str">
        <f>IFERROR(__xludf.DUMMYFUNCTION("""COMPUTED_VALUE"""),"1~3巻無料")</f>
        <v>1~3巻無料</v>
      </c>
      <c r="Z4048" s="7"/>
      <c r="AA4048" s="7"/>
      <c r="AB4048" s="7"/>
    </row>
    <row r="4049" ht="15.75" customHeight="1">
      <c r="A4049" s="26">
        <f>IFERROR(__xludf.DUMMYFUNCTION("""COMPUTED_VALUE"""),6440.0)</f>
        <v>6440</v>
      </c>
      <c r="B4049" s="22" t="str">
        <f>IFERROR(__xludf.DUMMYFUNCTION("""COMPUTED_VALUE"""),"確定")</f>
        <v>確定</v>
      </c>
      <c r="C4049" s="28">
        <f>IFERROR(__xludf.DUMMYFUNCTION("""COMPUTED_VALUE"""),45904.0)</f>
        <v>45904</v>
      </c>
      <c r="D4049" s="28">
        <f>IFERROR(__xludf.DUMMYFUNCTION("""COMPUTED_VALUE"""),45933.0)</f>
        <v>45933</v>
      </c>
      <c r="E4049" s="26">
        <f>IFERROR(__xludf.DUMMYFUNCTION("""COMPUTED_VALUE"""),339660.0)</f>
        <v>339660</v>
      </c>
      <c r="F4049" s="22" t="str">
        <f>IFERROR(__xludf.DUMMYFUNCTION("""COMPUTED_VALUE"""),"マスティマ・ガール・コンプレックス【単話】")</f>
        <v>マスティマ・ガール・コンプレックス【単話】</v>
      </c>
      <c r="G4049" s="20" t="str">
        <f>IFERROR(__xludf.DUMMYFUNCTION("""COMPUTED_VALUE"""),"1～5")</f>
        <v>1～5</v>
      </c>
      <c r="H4049" s="22" t="str">
        <f>IFERROR(__xludf.DUMMYFUNCTION("""COMPUTED_VALUE"""),"イララモモイ")</f>
        <v>イララモモイ</v>
      </c>
      <c r="I4049" s="22" t="str">
        <f>IFERROR(__xludf.DUMMYFUNCTION("""COMPUTED_VALUE"""),"女性")</f>
        <v>女性</v>
      </c>
      <c r="J4049" s="22"/>
      <c r="K4049" s="22"/>
      <c r="L4049" s="22" t="str">
        <f>IFERROR(__xludf.DUMMYFUNCTION("""COMPUTED_VALUE"""),"マガジンハウス")</f>
        <v>マガジンハウス</v>
      </c>
      <c r="M4049" s="33">
        <f>IFERROR(__xludf.DUMMYFUNCTION("""COMPUTED_VALUE"""),45961.0)</f>
        <v>45961</v>
      </c>
      <c r="N4049" s="33">
        <f>IFERROR(__xludf.DUMMYFUNCTION("""COMPUTED_VALUE"""),46052.0)</f>
        <v>46052</v>
      </c>
      <c r="O4049" s="20"/>
      <c r="P4049" s="32" t="str">
        <f>IFERROR(__xludf.DUMMYFUNCTION("""COMPUTED_VALUE"""),"可")</f>
        <v>可</v>
      </c>
      <c r="Q4049" s="30"/>
      <c r="R4049" s="22"/>
      <c r="S4049" s="22" t="str">
        <f>IFERROR(__xludf.DUMMYFUNCTION("""COMPUTED_VALUE"""),"20251003_マガジンハウス_マスティマ・ガール・コンプレックス")</f>
        <v>20251003_マガジンハウス_マスティマ・ガール・コンプレックス</v>
      </c>
      <c r="T4049" s="22" t="str">
        <f>IFERROR(__xludf.DUMMYFUNCTION("""COMPUTED_VALUE"""),"格納済み")</f>
        <v>格納済み</v>
      </c>
      <c r="U4049" s="9" t="str">
        <f>IFERROR(__xludf.DUMMYFUNCTION("""COMPUTED_VALUE"""),"(C)イララモモイ/マガジンハウス")</f>
        <v>(C)イララモモイ/マガジンハウス</v>
      </c>
      <c r="V4049" s="8"/>
      <c r="W4049" s="8"/>
      <c r="X4049" s="8" t="str">
        <f>IFERROR(__xludf.DUMMYFUNCTION("""COMPUTED_VALUE"""),"有")</f>
        <v>有</v>
      </c>
      <c r="Y4049" s="8" t="str">
        <f>IFERROR(__xludf.DUMMYFUNCTION("""COMPUTED_VALUE"""),"1~2巻無料")</f>
        <v>1~2巻無料</v>
      </c>
      <c r="Z4049" s="7"/>
      <c r="AA4049" s="7"/>
      <c r="AB4049" s="7"/>
    </row>
    <row r="4050" ht="15.75" customHeight="1">
      <c r="A4050" s="26">
        <f>IFERROR(__xludf.DUMMYFUNCTION("""COMPUTED_VALUE"""),6443.0)</f>
        <v>6443</v>
      </c>
      <c r="B4050" s="22" t="str">
        <f>IFERROR(__xludf.DUMMYFUNCTION("""COMPUTED_VALUE"""),"確定")</f>
        <v>確定</v>
      </c>
      <c r="C4050" s="28">
        <f>IFERROR(__xludf.DUMMYFUNCTION("""COMPUTED_VALUE"""),45905.0)</f>
        <v>45905</v>
      </c>
      <c r="D4050" s="28">
        <f>IFERROR(__xludf.DUMMYFUNCTION("""COMPUTED_VALUE"""),45938.0)</f>
        <v>45938</v>
      </c>
      <c r="E4050" s="26">
        <f>IFERROR(__xludf.DUMMYFUNCTION("""COMPUTED_VALUE"""),342412.0)</f>
        <v>342412</v>
      </c>
      <c r="F4050" s="22" t="str">
        <f>IFERROR(__xludf.DUMMYFUNCTION("""COMPUTED_VALUE"""),"舌先に甘噛み")</f>
        <v>舌先に甘噛み</v>
      </c>
      <c r="G4050" s="20">
        <f>IFERROR(__xludf.DUMMYFUNCTION("""COMPUTED_VALUE"""),1.0)</f>
        <v>1</v>
      </c>
      <c r="H4050" s="22" t="str">
        <f>IFERROR(__xludf.DUMMYFUNCTION("""COMPUTED_VALUE"""),"doji")</f>
        <v>doji</v>
      </c>
      <c r="I4050" s="22" t="str">
        <f>IFERROR(__xludf.DUMMYFUNCTION("""COMPUTED_VALUE"""),"BL")</f>
        <v>BL</v>
      </c>
      <c r="J4050" s="22"/>
      <c r="K4050" s="22" t="str">
        <f>IFERROR(__xludf.DUMMYFUNCTION("""COMPUTED_VALUE"""),"NuPu")</f>
        <v>NuPu</v>
      </c>
      <c r="L4050" s="22" t="str">
        <f>IFERROR(__xludf.DUMMYFUNCTION("""COMPUTED_VALUE"""),"CLLENN")</f>
        <v>CLLENN</v>
      </c>
      <c r="M4050" s="33">
        <f>IFERROR(__xludf.DUMMYFUNCTION("""COMPUTED_VALUE"""),45974.0)</f>
        <v>45974</v>
      </c>
      <c r="N4050" s="33">
        <f>IFERROR(__xludf.DUMMYFUNCTION("""COMPUTED_VALUE"""),46036.0)</f>
        <v>46036</v>
      </c>
      <c r="O4050" s="20"/>
      <c r="P4050" s="32" t="str">
        <f>IFERROR(__xludf.DUMMYFUNCTION("""COMPUTED_VALUE"""),"可")</f>
        <v>可</v>
      </c>
      <c r="Q4050" s="30" t="str">
        <f>IFERROR(__xludf.DUMMYFUNCTION("""COMPUTED_VALUE"""),"ハイスペ執着攻め×ハイスペ強気美人受け&lt;BR&gt;実績がある作家さんなのでプッシュお願いいたします。")</f>
        <v>ハイスペ執着攻め×ハイスペ強気美人受け&lt;BR&gt;実績がある作家さんなのでプッシュお願いいたします。</v>
      </c>
      <c r="R4050" s="22" t="str">
        <f>IFERROR(__xludf.DUMMYFUNCTION("""COMPUTED_VALUE"""),"コミットOK")</f>
        <v>コミットOK</v>
      </c>
      <c r="S4050" s="22" t="str">
        <f>IFERROR(__xludf.DUMMYFUNCTION("""COMPUTED_VALUE"""),"20251008_CLLENN_舌先に甘嚙み")</f>
        <v>20251008_CLLENN_舌先に甘嚙み</v>
      </c>
      <c r="T4050" s="22" t="str">
        <f>IFERROR(__xludf.DUMMYFUNCTION("""COMPUTED_VALUE"""),"格納済み")</f>
        <v>格納済み</v>
      </c>
      <c r="U4050" s="9" t="str">
        <f>IFERROR(__xludf.DUMMYFUNCTION("""COMPUTED_VALUE"""),"Ⓒdoji/CLLENN")</f>
        <v>Ⓒdoji/CLLENN</v>
      </c>
      <c r="V4050" s="8"/>
      <c r="W4050" s="8"/>
      <c r="X4050" s="8" t="str">
        <f>IFERROR(__xludf.DUMMYFUNCTION("""COMPUTED_VALUE"""),"有")</f>
        <v>有</v>
      </c>
      <c r="Y4050" s="8" t="str">
        <f>IFERROR(__xludf.DUMMYFUNCTION("""COMPUTED_VALUE"""),"P10まで")</f>
        <v>P10まで</v>
      </c>
      <c r="Z4050" s="7"/>
      <c r="AA4050" s="7"/>
      <c r="AB4050" s="7"/>
    </row>
    <row r="4051" ht="15.75" customHeight="1">
      <c r="A4051" s="26">
        <f>IFERROR(__xludf.DUMMYFUNCTION("""COMPUTED_VALUE"""),6472.0)</f>
        <v>6472</v>
      </c>
      <c r="B4051" s="22" t="str">
        <f>IFERROR(__xludf.DUMMYFUNCTION("""COMPUTED_VALUE"""),"確定")</f>
        <v>確定</v>
      </c>
      <c r="C4051" s="28">
        <f>IFERROR(__xludf.DUMMYFUNCTION("""COMPUTED_VALUE"""),45911.0)</f>
        <v>45911</v>
      </c>
      <c r="D4051" s="28">
        <f>IFERROR(__xludf.DUMMYFUNCTION("""COMPUTED_VALUE"""),45957.0)</f>
        <v>45957</v>
      </c>
      <c r="E4051" s="26">
        <f>IFERROR(__xludf.DUMMYFUNCTION("""COMPUTED_VALUE"""),341543.0)</f>
        <v>341543</v>
      </c>
      <c r="F4051" s="22" t="str">
        <f>IFERROR(__xludf.DUMMYFUNCTION("""COMPUTED_VALUE"""),"最強公爵令嬢の辺境おしかけ婚 フラウリーナ・ローゼンハイムは運命の追放魔導師に嫁ぎたい 分冊版")</f>
        <v>最強公爵令嬢の辺境おしかけ婚 フラウリーナ・ローゼンハイムは運命の追放魔導師に嫁ぎたい 分冊版</v>
      </c>
      <c r="G4051" s="20" t="str">
        <f>IFERROR(__xludf.DUMMYFUNCTION("""COMPUTED_VALUE"""),"1～3")</f>
        <v>1～3</v>
      </c>
      <c r="H4051" s="22" t="str">
        <f>IFERROR(__xludf.DUMMYFUNCTION("""COMPUTED_VALUE"""),"めいじ/束原ミヤコ")</f>
        <v>めいじ/束原ミヤコ</v>
      </c>
      <c r="I4051" s="22" t="str">
        <f>IFERROR(__xludf.DUMMYFUNCTION("""COMPUTED_VALUE"""),"女性")</f>
        <v>女性</v>
      </c>
      <c r="J4051" s="22"/>
      <c r="K4051" s="22"/>
      <c r="L4051" s="22" t="str">
        <f>IFERROR(__xludf.DUMMYFUNCTION("""COMPUTED_VALUE"""),"コアミックス")</f>
        <v>コアミックス</v>
      </c>
      <c r="M4051" s="33">
        <f>IFERROR(__xludf.DUMMYFUNCTION("""COMPUTED_VALUE"""),45968.0)</f>
        <v>45968</v>
      </c>
      <c r="N4051" s="33">
        <f>IFERROR(__xludf.DUMMYFUNCTION("""COMPUTED_VALUE"""),46028.0)</f>
        <v>46028</v>
      </c>
      <c r="O4051" s="20"/>
      <c r="P4051" s="32" t="str">
        <f>IFERROR(__xludf.DUMMYFUNCTION("""COMPUTED_VALUE"""),"可")</f>
        <v>可</v>
      </c>
      <c r="Q4051" s="30"/>
      <c r="R4051" s="22" t="str">
        <f>IFERROR(__xludf.DUMMYFUNCTION("""COMPUTED_VALUE"""),"コミットOK")</f>
        <v>コミットOK</v>
      </c>
      <c r="S4051" s="22" t="str">
        <f>IFERROR(__xludf.DUMMYFUNCTION("""COMPUTED_VALUE"""),"20251007_コアミックス_最強公爵令嬢の辺境おしかけ婚～フラウリーナ・ローゼンハイムは運命の追放魔導師に嫁ぎたい～")</f>
        <v>20251007_コアミックス_最強公爵令嬢の辺境おしかけ婚～フラウリーナ・ローゼンハイムは運命の追放魔導師に嫁ぎたい～</v>
      </c>
      <c r="T4051" s="22" t="str">
        <f>IFERROR(__xludf.DUMMYFUNCTION("""COMPUTED_VALUE"""),"格納済み")</f>
        <v>格納済み</v>
      </c>
      <c r="U4051" s="9" t="str">
        <f>IFERROR(__xludf.DUMMYFUNCTION("""COMPUTED_VALUE"""),"Ⓒめいじ・束原ミヤコ／コアミックス")</f>
        <v>Ⓒめいじ・束原ミヤコ／コアミックス</v>
      </c>
      <c r="V4051" s="8"/>
      <c r="W4051" s="8"/>
      <c r="X4051" s="8" t="str">
        <f>IFERROR(__xludf.DUMMYFUNCTION("""COMPUTED_VALUE"""),"有")</f>
        <v>有</v>
      </c>
      <c r="Y4051" s="8" t="str">
        <f>IFERROR(__xludf.DUMMYFUNCTION("""COMPUTED_VALUE"""),"P5まで")</f>
        <v>P5まで</v>
      </c>
      <c r="Z4051" s="7"/>
      <c r="AA4051" s="7"/>
      <c r="AB4051" s="7"/>
    </row>
    <row r="4052" ht="15.75" customHeight="1">
      <c r="A4052" s="26">
        <f>IFERROR(__xludf.DUMMYFUNCTION("""COMPUTED_VALUE"""),6490.0)</f>
        <v>6490</v>
      </c>
      <c r="B4052" s="22" t="str">
        <f>IFERROR(__xludf.DUMMYFUNCTION("""COMPUTED_VALUE"""),"確定")</f>
        <v>確定</v>
      </c>
      <c r="C4052" s="28">
        <f>IFERROR(__xludf.DUMMYFUNCTION("""COMPUTED_VALUE"""),45912.0)</f>
        <v>45912</v>
      </c>
      <c r="D4052" s="28">
        <f>IFERROR(__xludf.DUMMYFUNCTION("""COMPUTED_VALUE"""),45937.0)</f>
        <v>45937</v>
      </c>
      <c r="E4052" s="26">
        <f>IFERROR(__xludf.DUMMYFUNCTION("""COMPUTED_VALUE"""),341732.0)</f>
        <v>341732</v>
      </c>
      <c r="F4052" s="22" t="str">
        <f>IFERROR(__xludf.DUMMYFUNCTION("""COMPUTED_VALUE"""),"昔々、呪われた赤ずきんが双子の狼王子に寵愛されまして")</f>
        <v>昔々、呪われた赤ずきんが双子の狼王子に寵愛されまして</v>
      </c>
      <c r="G4052" s="20" t="str">
        <f>IFERROR(__xludf.DUMMYFUNCTION("""COMPUTED_VALUE"""),"1～3")</f>
        <v>1～3</v>
      </c>
      <c r="H4052" s="22" t="str">
        <f>IFERROR(__xludf.DUMMYFUNCTION("""COMPUTED_VALUE"""),"野崎アユ")</f>
        <v>野崎アユ</v>
      </c>
      <c r="I4052" s="22" t="str">
        <f>IFERROR(__xludf.DUMMYFUNCTION("""COMPUTED_VALUE"""),"女性")</f>
        <v>女性</v>
      </c>
      <c r="J4052" s="22"/>
      <c r="K4052" s="22"/>
      <c r="L4052" s="22" t="str">
        <f>IFERROR(__xludf.DUMMYFUNCTION("""COMPUTED_VALUE"""),"DPNブックス")</f>
        <v>DPNブックス</v>
      </c>
      <c r="M4052" s="33">
        <f>IFERROR(__xludf.DUMMYFUNCTION("""COMPUTED_VALUE"""),45983.0)</f>
        <v>45983</v>
      </c>
      <c r="N4052" s="33">
        <f>IFERROR(__xludf.DUMMYFUNCTION("""COMPUTED_VALUE"""),46012.0)</f>
        <v>46012</v>
      </c>
      <c r="O4052" s="20"/>
      <c r="P4052" s="32" t="str">
        <f>IFERROR(__xludf.DUMMYFUNCTION("""COMPUTED_VALUE"""),"可")</f>
        <v>可</v>
      </c>
      <c r="Q4052" s="30" t="str">
        <f>IFERROR(__xludf.DUMMYFUNCTION("""COMPUTED_VALUE"""),"・music.jpとの2社先行です&lt;BR&gt;&lt;BR&gt;")</f>
        <v>・music.jpとの2社先行です&lt;BR&gt;&lt;BR&gt;</v>
      </c>
      <c r="R4052" s="22" t="str">
        <f>IFERROR(__xludf.DUMMYFUNCTION("""COMPUTED_VALUE"""),"コミットOK")</f>
        <v>コミットOK</v>
      </c>
      <c r="S4052" s="22" t="str">
        <f>IFERROR(__xludf.DUMMYFUNCTION("""COMPUTED_VALUE"""),"20251007_DPNブックス_昔々、呪われた赤ずきんが双子の狼王子に寵愛されまして")</f>
        <v>20251007_DPNブックス_昔々、呪われた赤ずきんが双子の狼王子に寵愛されまして</v>
      </c>
      <c r="T4052" s="22" t="str">
        <f>IFERROR(__xludf.DUMMYFUNCTION("""COMPUTED_VALUE"""),"格納済み")</f>
        <v>格納済み</v>
      </c>
      <c r="U4052" s="9" t="str">
        <f>IFERROR(__xludf.DUMMYFUNCTION("""COMPUTED_VALUE"""),"(C)野崎アユ／DPNブックス")</f>
        <v>(C)野崎アユ／DPNブックス</v>
      </c>
      <c r="V4052" s="8"/>
      <c r="W4052" s="8"/>
      <c r="X4052" s="8" t="str">
        <f>IFERROR(__xludf.DUMMYFUNCTION("""COMPUTED_VALUE"""),"有")</f>
        <v>有</v>
      </c>
      <c r="Y4052" s="8" t="str">
        <f>IFERROR(__xludf.DUMMYFUNCTION("""COMPUTED_VALUE"""),"2025/12/21まで1巻無料")</f>
        <v>2025/12/21まで1巻無料</v>
      </c>
      <c r="Z4052" s="7"/>
      <c r="AA4052" s="7"/>
      <c r="AB4052" s="7"/>
    </row>
    <row r="4053" ht="15.75" customHeight="1">
      <c r="A4053" s="26">
        <f>IFERROR(__xludf.DUMMYFUNCTION("""COMPUTED_VALUE"""),6493.0)</f>
        <v>6493</v>
      </c>
      <c r="B4053" s="22" t="str">
        <f>IFERROR(__xludf.DUMMYFUNCTION("""COMPUTED_VALUE"""),"確定")</f>
        <v>確定</v>
      </c>
      <c r="C4053" s="28">
        <f>IFERROR(__xludf.DUMMYFUNCTION("""COMPUTED_VALUE"""),45916.0)</f>
        <v>45916</v>
      </c>
      <c r="D4053" s="28">
        <f>IFERROR(__xludf.DUMMYFUNCTION("""COMPUTED_VALUE"""),45937.0)</f>
        <v>45937</v>
      </c>
      <c r="E4053" s="26">
        <f>IFERROR(__xludf.DUMMYFUNCTION("""COMPUTED_VALUE"""),339994.0)</f>
        <v>339994</v>
      </c>
      <c r="F4053" s="22" t="str">
        <f>IFERROR(__xludf.DUMMYFUNCTION("""COMPUTED_VALUE"""),"同居している大魔法使い様の子づくり事情 こっそり家を出るつもりが、絶倫えっちで蕩けるほど溺愛されてます")</f>
        <v>同居している大魔法使い様の子づくり事情 こっそり家を出るつもりが、絶倫えっちで蕩けるほど溺愛されてます</v>
      </c>
      <c r="G4053" s="20" t="str">
        <f>IFERROR(__xludf.DUMMYFUNCTION("""COMPUTED_VALUE"""),"1～3")</f>
        <v>1～3</v>
      </c>
      <c r="H4053" s="22" t="str">
        <f>IFERROR(__xludf.DUMMYFUNCTION("""COMPUTED_VALUE"""),"雨世雨子┴七咲でら┴佐倉響┴よなが月見")</f>
        <v>雨世雨子┴七咲でら┴佐倉響┴よなが月見</v>
      </c>
      <c r="I4053" s="22" t="str">
        <f>IFERROR(__xludf.DUMMYFUNCTION("""COMPUTED_VALUE"""),"TL")</f>
        <v>TL</v>
      </c>
      <c r="J4053" s="22"/>
      <c r="K4053" s="22" t="str">
        <f>IFERROR(__xludf.DUMMYFUNCTION("""COMPUTED_VALUE"""),"lou lou")</f>
        <v>lou lou</v>
      </c>
      <c r="L4053" s="22" t="str">
        <f>IFERROR(__xludf.DUMMYFUNCTION("""COMPUTED_VALUE"""),"渋谷六花舎")</f>
        <v>渋谷六花舎</v>
      </c>
      <c r="M4053" s="33">
        <f>IFERROR(__xludf.DUMMYFUNCTION("""COMPUTED_VALUE"""),45964.0)</f>
        <v>45964</v>
      </c>
      <c r="N4053" s="33">
        <f>IFERROR(__xludf.DUMMYFUNCTION("""COMPUTED_VALUE"""),46055.0)</f>
        <v>46055</v>
      </c>
      <c r="O4053" s="20"/>
      <c r="P4053" s="32" t="str">
        <f>IFERROR(__xludf.DUMMYFUNCTION("""COMPUTED_VALUE"""),"可")</f>
        <v>可</v>
      </c>
      <c r="Q4053" s="30" t="str">
        <f>IFERROR(__xludf.DUMMYFUNCTION("""COMPUTED_VALUE"""),"同人小説のコミカライズ（https://www.dlsite.com/girls/work/=/product_id/RJ01084675.html）")</f>
        <v>同人小説のコミカライズ（https://www.dlsite.com/girls/work/=/product_id/RJ01084675.html）</v>
      </c>
      <c r="R4053" s="22" t="str">
        <f>IFERROR(__xludf.DUMMYFUNCTION("""COMPUTED_VALUE"""),"コミットOK")</f>
        <v>コミットOK</v>
      </c>
      <c r="S4053" s="22" t="str">
        <f>IFERROR(__xludf.DUMMYFUNCTION("""COMPUTED_VALUE"""),"20251007_渋谷六花舎_同居している大魔法使い様の子づくり事情 こっそり家を出るつもりが、絶倫えっちで蕩けるほど溺愛されてます")</f>
        <v>20251007_渋谷六花舎_同居している大魔法使い様の子づくり事情 こっそり家を出るつもりが、絶倫えっちで蕩けるほど溺愛されてます</v>
      </c>
      <c r="T4053" s="22" t="str">
        <f>IFERROR(__xludf.DUMMYFUNCTION("""COMPUTED_VALUE"""),"格納済み")</f>
        <v>格納済み</v>
      </c>
      <c r="U4053" s="9" t="str">
        <f>IFERROR(__xludf.DUMMYFUNCTION("""COMPUTED_VALUE"""),"（C）雨世雨子/七咲でら/佐倉響/よなが月見/lou lou")</f>
        <v>（C）雨世雨子/七咲でら/佐倉響/よなが月見/lou lou</v>
      </c>
      <c r="V4053" s="8"/>
      <c r="W4053" s="8"/>
      <c r="X4053" s="8" t="str">
        <f>IFERROR(__xludf.DUMMYFUNCTION("""COMPUTED_VALUE"""),"有")</f>
        <v>有</v>
      </c>
      <c r="Y4053" s="8" t="str">
        <f>IFERROR(__xludf.DUMMYFUNCTION("""COMPUTED_VALUE"""),"2025/11/17まで1巻無料")</f>
        <v>2025/11/17まで1巻無料</v>
      </c>
      <c r="Z4053" s="7"/>
      <c r="AA4053" s="7"/>
      <c r="AB4053" s="7"/>
    </row>
    <row r="4054" ht="15.75" customHeight="1">
      <c r="A4054" s="133">
        <f>IFERROR(__xludf.DUMMYFUNCTION("""COMPUTED_VALUE"""),6500.0)</f>
        <v>6500</v>
      </c>
      <c r="B4054" s="134" t="str">
        <f>IFERROR(__xludf.DUMMYFUNCTION("""COMPUTED_VALUE"""),"確定")</f>
        <v>確定</v>
      </c>
      <c r="C4054" s="135">
        <f>IFERROR(__xludf.DUMMYFUNCTION("""COMPUTED_VALUE"""),45916.0)</f>
        <v>45916</v>
      </c>
      <c r="D4054" s="135">
        <f>IFERROR(__xludf.DUMMYFUNCTION("""COMPUTED_VALUE"""),45931.0)</f>
        <v>45931</v>
      </c>
      <c r="E4054" s="133" t="str">
        <f>IFERROR(__xludf.DUMMYFUNCTION("""COMPUTED_VALUE"""),"4014行目と同一")</f>
        <v>4014行目と同一</v>
      </c>
      <c r="F4054" s="134" t="str">
        <f>IFERROR(__xludf.DUMMYFUNCTION("""COMPUTED_VALUE"""),"ネトラレ配信妻")</f>
        <v>ネトラレ配信妻</v>
      </c>
      <c r="G4054" s="208" t="str">
        <f>IFERROR(__xludf.DUMMYFUNCTION("""COMPUTED_VALUE"""),"1～4")</f>
        <v>1～4</v>
      </c>
      <c r="H4054" s="134" t="str">
        <f>IFERROR(__xludf.DUMMYFUNCTION("""COMPUTED_VALUE"""),"クラムボン")</f>
        <v>クラムボン</v>
      </c>
      <c r="I4054" s="134" t="str">
        <f>IFERROR(__xludf.DUMMYFUNCTION("""COMPUTED_VALUE"""),"アダルトマンガ")</f>
        <v>アダルトマンガ</v>
      </c>
      <c r="J4054" s="134"/>
      <c r="K4054" s="134"/>
      <c r="L4054" s="134" t="str">
        <f>IFERROR(__xludf.DUMMYFUNCTION("""COMPUTED_VALUE"""),"クロスフォリオ出版")</f>
        <v>クロスフォリオ出版</v>
      </c>
      <c r="M4054" s="209">
        <f>IFERROR(__xludf.DUMMYFUNCTION("""COMPUTED_VALUE"""),45961.0)</f>
        <v>45961</v>
      </c>
      <c r="N4054" s="209">
        <f>IFERROR(__xludf.DUMMYFUNCTION("""COMPUTED_VALUE"""),46016.0)</f>
        <v>46016</v>
      </c>
      <c r="O4054" s="208"/>
      <c r="P4054" s="210" t="str">
        <f>IFERROR(__xludf.DUMMYFUNCTION("""COMPUTED_VALUE"""),"可")</f>
        <v>可</v>
      </c>
      <c r="Q4054" s="139" t="str">
        <f>IFERROR(__xludf.DUMMYFUNCTION("""COMPUTED_VALUE"""),"BookLiveとの2社先行です")</f>
        <v>BookLiveとの2社先行です</v>
      </c>
      <c r="R4054" s="134" t="str">
        <f>IFERROR(__xludf.DUMMYFUNCTION("""COMPUTED_VALUE"""),"コミットOK")</f>
        <v>コミットOK</v>
      </c>
      <c r="S4054" s="134" t="str">
        <f>IFERROR(__xludf.DUMMYFUNCTION("""COMPUTED_VALUE"""),"20250916_BookLive_ネトラレ配信妻")</f>
        <v>20250916_BookLive_ネトラレ配信妻</v>
      </c>
      <c r="T4054" s="134" t="str">
        <f>IFERROR(__xludf.DUMMYFUNCTION("""COMPUTED_VALUE"""),"格納済み")</f>
        <v>格納済み</v>
      </c>
      <c r="U4054" s="140" t="str">
        <f>IFERROR(__xludf.DUMMYFUNCTION("""COMPUTED_VALUE"""),"(C)クラムボン/クロスフォリオ出版")</f>
        <v>(C)クラムボン/クロスフォリオ出版</v>
      </c>
      <c r="V4054" s="143"/>
      <c r="W4054" s="143"/>
      <c r="X4054" s="143"/>
      <c r="Y4054" s="8"/>
      <c r="Z4054" s="7"/>
      <c r="AA4054" s="7"/>
      <c r="AB4054" s="7"/>
    </row>
    <row r="4055" ht="15.75" customHeight="1">
      <c r="A4055" s="26">
        <f>IFERROR(__xludf.DUMMYFUNCTION("""COMPUTED_VALUE"""),6523.0)</f>
        <v>6523</v>
      </c>
      <c r="B4055" s="22" t="str">
        <f>IFERROR(__xludf.DUMMYFUNCTION("""COMPUTED_VALUE"""),"確定")</f>
        <v>確定</v>
      </c>
      <c r="C4055" s="28">
        <f>IFERROR(__xludf.DUMMYFUNCTION("""COMPUTED_VALUE"""),45919.0)</f>
        <v>45919</v>
      </c>
      <c r="D4055" s="28">
        <f>IFERROR(__xludf.DUMMYFUNCTION("""COMPUTED_VALUE"""),45937.0)</f>
        <v>45937</v>
      </c>
      <c r="E4055" s="26">
        <f>IFERROR(__xludf.DUMMYFUNCTION("""COMPUTED_VALUE"""),340518.0)</f>
        <v>340518</v>
      </c>
      <c r="F4055" s="22" t="str">
        <f>IFERROR(__xludf.DUMMYFUNCTION("""COMPUTED_VALUE"""),"矢名さんのお楽しみ［ばら売り］")</f>
        <v>矢名さんのお楽しみ［ばら売り］</v>
      </c>
      <c r="G4055" s="20" t="str">
        <f>IFERROR(__xludf.DUMMYFUNCTION("""COMPUTED_VALUE"""),"1～3")</f>
        <v>1～3</v>
      </c>
      <c r="H4055" s="22" t="str">
        <f>IFERROR(__xludf.DUMMYFUNCTION("""COMPUTED_VALUE"""),"三池みけ")</f>
        <v>三池みけ</v>
      </c>
      <c r="I4055" s="22" t="str">
        <f>IFERROR(__xludf.DUMMYFUNCTION("""COMPUTED_VALUE"""),"女性")</f>
        <v>女性</v>
      </c>
      <c r="J4055" s="22"/>
      <c r="K4055" s="22" t="str">
        <f>IFERROR(__xludf.DUMMYFUNCTION("""COMPUTED_VALUE"""),"マンガPark")</f>
        <v>マンガPark</v>
      </c>
      <c r="L4055" s="22" t="str">
        <f>IFERROR(__xludf.DUMMYFUNCTION("""COMPUTED_VALUE"""),"白泉社")</f>
        <v>白泉社</v>
      </c>
      <c r="M4055" s="33">
        <f>IFERROR(__xludf.DUMMYFUNCTION("""COMPUTED_VALUE"""),45969.0)</f>
        <v>45969</v>
      </c>
      <c r="N4055" s="33">
        <f>IFERROR(__xludf.DUMMYFUNCTION("""COMPUTED_VALUE"""),46031.0)</f>
        <v>46031</v>
      </c>
      <c r="O4055" s="20"/>
      <c r="P4055" s="32" t="str">
        <f>IFERROR(__xludf.DUMMYFUNCTION("""COMPUTED_VALUE"""),"可")</f>
        <v>可</v>
      </c>
      <c r="Q4055" s="30"/>
      <c r="R4055" s="22"/>
      <c r="S4055" s="22" t="str">
        <f>IFERROR(__xludf.DUMMYFUNCTION("""COMPUTED_VALUE"""),"20251007_白泉社_矢名さんのお楽しみ")</f>
        <v>20251007_白泉社_矢名さんのお楽しみ</v>
      </c>
      <c r="T4055" s="22" t="str">
        <f>IFERROR(__xludf.DUMMYFUNCTION("""COMPUTED_VALUE"""),"格納済み")</f>
        <v>格納済み</v>
      </c>
      <c r="U4055" s="9" t="str">
        <f>IFERROR(__xludf.DUMMYFUNCTION("""COMPUTED_VALUE"""),"Ⓒ三池みけ／白泉社")</f>
        <v>Ⓒ三池みけ／白泉社</v>
      </c>
      <c r="V4055" s="8"/>
      <c r="W4055" s="8"/>
      <c r="X4055" s="8" t="str">
        <f>IFERROR(__xludf.DUMMYFUNCTION("""COMPUTED_VALUE"""),"有")</f>
        <v>有</v>
      </c>
      <c r="Y4055" s="8" t="str">
        <f>IFERROR(__xludf.DUMMYFUNCTION("""COMPUTED_VALUE"""),"P6まで")</f>
        <v>P6まで</v>
      </c>
      <c r="Z4055" s="7"/>
      <c r="AA4055" s="7"/>
      <c r="AB4055" s="7"/>
    </row>
    <row r="4056" ht="15.75" customHeight="1">
      <c r="A4056" s="26">
        <f>IFERROR(__xludf.DUMMYFUNCTION("""COMPUTED_VALUE"""),6524.0)</f>
        <v>6524</v>
      </c>
      <c r="B4056" s="22" t="str">
        <f>IFERROR(__xludf.DUMMYFUNCTION("""COMPUTED_VALUE"""),"確定")</f>
        <v>確定</v>
      </c>
      <c r="C4056" s="28">
        <f>IFERROR(__xludf.DUMMYFUNCTION("""COMPUTED_VALUE"""),45919.0)</f>
        <v>45919</v>
      </c>
      <c r="D4056" s="28">
        <f>IFERROR(__xludf.DUMMYFUNCTION("""COMPUTED_VALUE"""),45933.0)</f>
        <v>45933</v>
      </c>
      <c r="E4056" s="26">
        <f>IFERROR(__xludf.DUMMYFUNCTION("""COMPUTED_VALUE"""),340520.0)</f>
        <v>340520</v>
      </c>
      <c r="F4056" s="22" t="str">
        <f>IFERROR(__xludf.DUMMYFUNCTION("""COMPUTED_VALUE"""),"100年の恋もさめなくて［ばら売り］")</f>
        <v>100年の恋もさめなくて［ばら売り］</v>
      </c>
      <c r="G4056" s="20" t="str">
        <f>IFERROR(__xludf.DUMMYFUNCTION("""COMPUTED_VALUE"""),"1～5")</f>
        <v>1～5</v>
      </c>
      <c r="H4056" s="22" t="str">
        <f>IFERROR(__xludf.DUMMYFUNCTION("""COMPUTED_VALUE"""),"チキン")</f>
        <v>チキン</v>
      </c>
      <c r="I4056" s="22" t="str">
        <f>IFERROR(__xludf.DUMMYFUNCTION("""COMPUTED_VALUE"""),"少女")</f>
        <v>少女</v>
      </c>
      <c r="J4056" s="22"/>
      <c r="K4056" s="22" t="str">
        <f>IFERROR(__xludf.DUMMYFUNCTION("""COMPUTED_VALUE"""),"マンガPark")</f>
        <v>マンガPark</v>
      </c>
      <c r="L4056" s="22" t="str">
        <f>IFERROR(__xludf.DUMMYFUNCTION("""COMPUTED_VALUE"""),"白泉社")</f>
        <v>白泉社</v>
      </c>
      <c r="M4056" s="33">
        <f>IFERROR(__xludf.DUMMYFUNCTION("""COMPUTED_VALUE"""),45969.0)</f>
        <v>45969</v>
      </c>
      <c r="N4056" s="33">
        <f>IFERROR(__xludf.DUMMYFUNCTION("""COMPUTED_VALUE"""),46122.66666666667)</f>
        <v>46122.66667</v>
      </c>
      <c r="O4056" s="20"/>
      <c r="P4056" s="32" t="str">
        <f>IFERROR(__xludf.DUMMYFUNCTION("""COMPUTED_VALUE"""),"可")</f>
        <v>可</v>
      </c>
      <c r="Q4056" s="30"/>
      <c r="R4056" s="22"/>
      <c r="S4056" s="22" t="str">
        <f>IFERROR(__xludf.DUMMYFUNCTION("""COMPUTED_VALUE"""),"20251002_白泉社_100年の恋もさめなくて")</f>
        <v>20251002_白泉社_100年の恋もさめなくて</v>
      </c>
      <c r="T4056" s="22" t="str">
        <f>IFERROR(__xludf.DUMMYFUNCTION("""COMPUTED_VALUE"""),"格納済み")</f>
        <v>格納済み</v>
      </c>
      <c r="U4056" s="9" t="str">
        <f>IFERROR(__xludf.DUMMYFUNCTION("""COMPUTED_VALUE"""),"Ⓒチキン/白泉社")</f>
        <v>Ⓒチキン/白泉社</v>
      </c>
      <c r="V4056" s="8"/>
      <c r="W4056" s="8"/>
      <c r="X4056" s="8" t="str">
        <f>IFERROR(__xludf.DUMMYFUNCTION("""COMPUTED_VALUE"""),"有")</f>
        <v>有</v>
      </c>
      <c r="Y4056" s="8" t="str">
        <f>IFERROR(__xludf.DUMMYFUNCTION("""COMPUTED_VALUE"""),"P10まで")</f>
        <v>P10まで</v>
      </c>
      <c r="Z4056" s="7"/>
      <c r="AA4056" s="7"/>
      <c r="AB4056" s="7"/>
    </row>
    <row r="4057" ht="15.75" customHeight="1">
      <c r="A4057" s="26">
        <f>IFERROR(__xludf.DUMMYFUNCTION("""COMPUTED_VALUE"""),6525.0)</f>
        <v>6525</v>
      </c>
      <c r="B4057" s="22" t="str">
        <f>IFERROR(__xludf.DUMMYFUNCTION("""COMPUTED_VALUE"""),"確定")</f>
        <v>確定</v>
      </c>
      <c r="C4057" s="28">
        <f>IFERROR(__xludf.DUMMYFUNCTION("""COMPUTED_VALUE"""),45919.0)</f>
        <v>45919</v>
      </c>
      <c r="D4057" s="28">
        <f>IFERROR(__xludf.DUMMYFUNCTION("""COMPUTED_VALUE"""),45933.0)</f>
        <v>45933</v>
      </c>
      <c r="E4057" s="26">
        <f>IFERROR(__xludf.DUMMYFUNCTION("""COMPUTED_VALUE"""),340517.0)</f>
        <v>340517</v>
      </c>
      <c r="F4057" s="22" t="str">
        <f>IFERROR(__xludf.DUMMYFUNCTION("""COMPUTED_VALUE"""),"アディクションオーダー［ばら売り］")</f>
        <v>アディクションオーダー［ばら売り］</v>
      </c>
      <c r="G4057" s="20" t="str">
        <f>IFERROR(__xludf.DUMMYFUNCTION("""COMPUTED_VALUE"""),"1～4")</f>
        <v>1～4</v>
      </c>
      <c r="H4057" s="22" t="str">
        <f>IFERROR(__xludf.DUMMYFUNCTION("""COMPUTED_VALUE"""),"和na")</f>
        <v>和na</v>
      </c>
      <c r="I4057" s="22" t="str">
        <f>IFERROR(__xludf.DUMMYFUNCTION("""COMPUTED_VALUE"""),"BL")</f>
        <v>BL</v>
      </c>
      <c r="J4057" s="22"/>
      <c r="K4057" s="22" t="str">
        <f>IFERROR(__xludf.DUMMYFUNCTION("""COMPUTED_VALUE"""),"マンガPark")</f>
        <v>マンガPark</v>
      </c>
      <c r="L4057" s="22" t="str">
        <f>IFERROR(__xludf.DUMMYFUNCTION("""COMPUTED_VALUE"""),"白泉社")</f>
        <v>白泉社</v>
      </c>
      <c r="M4057" s="33">
        <f>IFERROR(__xludf.DUMMYFUNCTION("""COMPUTED_VALUE"""),45969.0)</f>
        <v>45969</v>
      </c>
      <c r="N4057" s="33">
        <f>IFERROR(__xludf.DUMMYFUNCTION("""COMPUTED_VALUE"""),46031.0)</f>
        <v>46031</v>
      </c>
      <c r="O4057" s="20"/>
      <c r="P4057" s="32" t="str">
        <f>IFERROR(__xludf.DUMMYFUNCTION("""COMPUTED_VALUE"""),"可")</f>
        <v>可</v>
      </c>
      <c r="Q4057" s="30"/>
      <c r="R4057" s="22"/>
      <c r="S4057" s="22" t="str">
        <f>IFERROR(__xludf.DUMMYFUNCTION("""COMPUTED_VALUE"""),"20251002_白泉社_アディクションオーダー")</f>
        <v>20251002_白泉社_アディクションオーダー</v>
      </c>
      <c r="T4057" s="22" t="str">
        <f>IFERROR(__xludf.DUMMYFUNCTION("""COMPUTED_VALUE"""),"格納済み")</f>
        <v>格納済み</v>
      </c>
      <c r="U4057" s="9" t="str">
        <f>IFERROR(__xludf.DUMMYFUNCTION("""COMPUTED_VALUE"""),"(C)和na／白泉社")</f>
        <v>(C)和na／白泉社</v>
      </c>
      <c r="V4057" s="8"/>
      <c r="W4057" s="8"/>
      <c r="X4057" s="8" t="str">
        <f>IFERROR(__xludf.DUMMYFUNCTION("""COMPUTED_VALUE"""),"有")</f>
        <v>有</v>
      </c>
      <c r="Y4057" s="8" t="str">
        <f>IFERROR(__xludf.DUMMYFUNCTION("""COMPUTED_VALUE"""),"P10まで")</f>
        <v>P10まで</v>
      </c>
      <c r="Z4057" s="7"/>
      <c r="AA4057" s="7"/>
      <c r="AB4057" s="7"/>
    </row>
    <row r="4058" ht="15.75" customHeight="1">
      <c r="A4058" s="26">
        <f>IFERROR(__xludf.DUMMYFUNCTION("""COMPUTED_VALUE"""),6526.0)</f>
        <v>6526</v>
      </c>
      <c r="B4058" s="22" t="str">
        <f>IFERROR(__xludf.DUMMYFUNCTION("""COMPUTED_VALUE"""),"確定")</f>
        <v>確定</v>
      </c>
      <c r="C4058" s="28">
        <f>IFERROR(__xludf.DUMMYFUNCTION("""COMPUTED_VALUE"""),45919.0)</f>
        <v>45919</v>
      </c>
      <c r="D4058" s="28">
        <f>IFERROR(__xludf.DUMMYFUNCTION("""COMPUTED_VALUE"""),45932.0)</f>
        <v>45932</v>
      </c>
      <c r="E4058" s="26">
        <f>IFERROR(__xludf.DUMMYFUNCTION("""COMPUTED_VALUE"""),340519.0)</f>
        <v>340519</v>
      </c>
      <c r="F4058" s="22" t="str">
        <f>IFERROR(__xludf.DUMMYFUNCTION("""COMPUTED_VALUE"""),"魔導書令嬢～伝説の魔導書を修復したら最強の精霊が味方になりました（クールな王弟殿下がなぜかいつもそばにいます）～［ばら売り］")</f>
        <v>魔導書令嬢～伝説の魔導書を修復したら最強の精霊が味方になりました（クールな王弟殿下がなぜかいつもそばにいます）～［ばら売り］</v>
      </c>
      <c r="G4058" s="20" t="str">
        <f>IFERROR(__xludf.DUMMYFUNCTION("""COMPUTED_VALUE"""),"1～4")</f>
        <v>1～4</v>
      </c>
      <c r="H4058" s="22" t="str">
        <f>IFERROR(__xludf.DUMMYFUNCTION("""COMPUTED_VALUE"""),"原作：糸加　作画：白藤圭")</f>
        <v>原作：糸加　作画：白藤圭</v>
      </c>
      <c r="I4058" s="22" t="str">
        <f>IFERROR(__xludf.DUMMYFUNCTION("""COMPUTED_VALUE"""),"少女")</f>
        <v>少女</v>
      </c>
      <c r="J4058" s="22"/>
      <c r="K4058" s="22" t="str">
        <f>IFERROR(__xludf.DUMMYFUNCTION("""COMPUTED_VALUE"""),"マンガPark")</f>
        <v>マンガPark</v>
      </c>
      <c r="L4058" s="22" t="str">
        <f>IFERROR(__xludf.DUMMYFUNCTION("""COMPUTED_VALUE"""),"白泉社")</f>
        <v>白泉社</v>
      </c>
      <c r="M4058" s="33">
        <f>IFERROR(__xludf.DUMMYFUNCTION("""COMPUTED_VALUE"""),45969.0)</f>
        <v>45969</v>
      </c>
      <c r="N4058" s="33">
        <f>IFERROR(__xludf.DUMMYFUNCTION("""COMPUTED_VALUE"""),46094.66666666667)</f>
        <v>46094.66667</v>
      </c>
      <c r="O4058" s="20"/>
      <c r="P4058" s="32" t="str">
        <f>IFERROR(__xludf.DUMMYFUNCTION("""COMPUTED_VALUE"""),"可")</f>
        <v>可</v>
      </c>
      <c r="Q4058" s="30"/>
      <c r="R4058" s="22"/>
      <c r="S4058" s="22" t="str">
        <f>IFERROR(__xludf.DUMMYFUNCTION("""COMPUTED_VALUE"""),"20251002_白泉社_魔導書令嬢")</f>
        <v>20251002_白泉社_魔導書令嬢</v>
      </c>
      <c r="T4058" s="22" t="str">
        <f>IFERROR(__xludf.DUMMYFUNCTION("""COMPUTED_VALUE"""),"格納済み")</f>
        <v>格納済み</v>
      </c>
      <c r="U4058" s="9" t="str">
        <f>IFERROR(__xludf.DUMMYFUNCTION("""COMPUTED_VALUE"""),"(C)白藤圭・糸加／白泉社")</f>
        <v>(C)白藤圭・糸加／白泉社</v>
      </c>
      <c r="V4058" s="8"/>
      <c r="W4058" s="8"/>
      <c r="X4058" s="8" t="str">
        <f>IFERROR(__xludf.DUMMYFUNCTION("""COMPUTED_VALUE"""),"有")</f>
        <v>有</v>
      </c>
      <c r="Y4058" s="8" t="str">
        <f>IFERROR(__xludf.DUMMYFUNCTION("""COMPUTED_VALUE"""),"P10まで")</f>
        <v>P10まで</v>
      </c>
      <c r="Z4058" s="7"/>
      <c r="AA4058" s="7"/>
      <c r="AB4058" s="7"/>
    </row>
    <row r="4059" ht="15.75" customHeight="1">
      <c r="A4059" s="26">
        <f>IFERROR(__xludf.DUMMYFUNCTION("""COMPUTED_VALUE"""),6527.0)</f>
        <v>6527</v>
      </c>
      <c r="B4059" s="22" t="str">
        <f>IFERROR(__xludf.DUMMYFUNCTION("""COMPUTED_VALUE"""),"確定")</f>
        <v>確定</v>
      </c>
      <c r="C4059" s="28">
        <f>IFERROR(__xludf.DUMMYFUNCTION("""COMPUTED_VALUE"""),45919.0)</f>
        <v>45919</v>
      </c>
      <c r="D4059" s="28">
        <f>IFERROR(__xludf.DUMMYFUNCTION("""COMPUTED_VALUE"""),45932.0)</f>
        <v>45932</v>
      </c>
      <c r="E4059" s="26">
        <f>IFERROR(__xludf.DUMMYFUNCTION("""COMPUTED_VALUE"""),340521.0)</f>
        <v>340521</v>
      </c>
      <c r="F4059" s="22" t="str">
        <f>IFERROR(__xludf.DUMMYFUNCTION("""COMPUTED_VALUE"""),"年下彼氏に美味しく誘惑されて［ばら売り］")</f>
        <v>年下彼氏に美味しく誘惑されて［ばら売り］</v>
      </c>
      <c r="G4059" s="20" t="str">
        <f>IFERROR(__xludf.DUMMYFUNCTION("""COMPUTED_VALUE"""),"1～4")</f>
        <v>1～4</v>
      </c>
      <c r="H4059" s="22" t="str">
        <f>IFERROR(__xludf.DUMMYFUNCTION("""COMPUTED_VALUE"""),"子葉")</f>
        <v>子葉</v>
      </c>
      <c r="I4059" s="22" t="str">
        <f>IFERROR(__xludf.DUMMYFUNCTION("""COMPUTED_VALUE"""),"少女")</f>
        <v>少女</v>
      </c>
      <c r="J4059" s="22"/>
      <c r="K4059" s="22" t="str">
        <f>IFERROR(__xludf.DUMMYFUNCTION("""COMPUTED_VALUE"""),"マンガPark")</f>
        <v>マンガPark</v>
      </c>
      <c r="L4059" s="22" t="str">
        <f>IFERROR(__xludf.DUMMYFUNCTION("""COMPUTED_VALUE"""),"白泉社")</f>
        <v>白泉社</v>
      </c>
      <c r="M4059" s="33">
        <f>IFERROR(__xludf.DUMMYFUNCTION("""COMPUTED_VALUE"""),45969.0)</f>
        <v>45969</v>
      </c>
      <c r="N4059" s="33">
        <f>IFERROR(__xludf.DUMMYFUNCTION("""COMPUTED_VALUE"""),46031.0)</f>
        <v>46031</v>
      </c>
      <c r="O4059" s="20"/>
      <c r="P4059" s="32" t="str">
        <f>IFERROR(__xludf.DUMMYFUNCTION("""COMPUTED_VALUE"""),"可")</f>
        <v>可</v>
      </c>
      <c r="Q4059" s="30"/>
      <c r="R4059" s="22"/>
      <c r="S4059" s="22" t="str">
        <f>IFERROR(__xludf.DUMMYFUNCTION("""COMPUTED_VALUE"""),"20251002_白泉社_年下彼氏に美味しく誘惑されて")</f>
        <v>20251002_白泉社_年下彼氏に美味しく誘惑されて</v>
      </c>
      <c r="T4059" s="22" t="str">
        <f>IFERROR(__xludf.DUMMYFUNCTION("""COMPUTED_VALUE"""),"格納済み")</f>
        <v>格納済み</v>
      </c>
      <c r="U4059" s="9" t="str">
        <f>IFERROR(__xludf.DUMMYFUNCTION("""COMPUTED_VALUE"""),"Ⓒ子葉／白泉社")</f>
        <v>Ⓒ子葉／白泉社</v>
      </c>
      <c r="V4059" s="8"/>
      <c r="W4059" s="8"/>
      <c r="X4059" s="8" t="str">
        <f>IFERROR(__xludf.DUMMYFUNCTION("""COMPUTED_VALUE"""),"有")</f>
        <v>有</v>
      </c>
      <c r="Y4059" s="8" t="str">
        <f>IFERROR(__xludf.DUMMYFUNCTION("""COMPUTED_VALUE"""),"P10まで")</f>
        <v>P10まで</v>
      </c>
      <c r="Z4059" s="7"/>
      <c r="AA4059" s="7"/>
      <c r="AB4059" s="7"/>
    </row>
    <row r="4060" ht="15.75" customHeight="1">
      <c r="A4060" s="26">
        <f>IFERROR(__xludf.DUMMYFUNCTION("""COMPUTED_VALUE"""),6563.0)</f>
        <v>6563</v>
      </c>
      <c r="B4060" s="22" t="str">
        <f>IFERROR(__xludf.DUMMYFUNCTION("""COMPUTED_VALUE"""),"確定")</f>
        <v>確定</v>
      </c>
      <c r="C4060" s="28">
        <f>IFERROR(__xludf.DUMMYFUNCTION("""COMPUTED_VALUE"""),45929.0)</f>
        <v>45929</v>
      </c>
      <c r="D4060" s="28">
        <f>IFERROR(__xludf.DUMMYFUNCTION("""COMPUTED_VALUE"""),45933.0)</f>
        <v>45933</v>
      </c>
      <c r="E4060" s="26">
        <f>IFERROR(__xludf.DUMMYFUNCTION("""COMPUTED_VALUE"""),339799.0)</f>
        <v>339799</v>
      </c>
      <c r="F4060" s="22" t="str">
        <f>IFERROR(__xludf.DUMMYFUNCTION("""COMPUTED_VALUE"""),"わたしの創った千年王国　天才魔導師の自由気ままな転生無双譚【連載版】")</f>
        <v>わたしの創った千年王国　天才魔導師の自由気ままな転生無双譚【連載版】</v>
      </c>
      <c r="G4060" s="20" t="str">
        <f>IFERROR(__xludf.DUMMYFUNCTION("""COMPUTED_VALUE"""),"1～4")</f>
        <v>1～4</v>
      </c>
      <c r="H4060" s="22" t="str">
        <f>IFERROR(__xludf.DUMMYFUNCTION("""COMPUTED_VALUE"""),"コミック：森野リエタ　原作：クレハ　キャラクター原案：緋原ヨウ")</f>
        <v>コミック：森野リエタ　原作：クレハ　キャラクター原案：緋原ヨウ</v>
      </c>
      <c r="I4060" s="22" t="str">
        <f>IFERROR(__xludf.DUMMYFUNCTION("""COMPUTED_VALUE"""),"少女")</f>
        <v>少女</v>
      </c>
      <c r="J4060" s="22"/>
      <c r="K4060" s="22" t="str">
        <f>IFERROR(__xludf.DUMMYFUNCTION("""COMPUTED_VALUE"""),"ZERO-SUMコミックス")</f>
        <v>ZERO-SUMコミックス</v>
      </c>
      <c r="L4060" s="22" t="str">
        <f>IFERROR(__xludf.DUMMYFUNCTION("""COMPUTED_VALUE"""),"一迅社")</f>
        <v>一迅社</v>
      </c>
      <c r="M4060" s="33">
        <f>IFERROR(__xludf.DUMMYFUNCTION("""COMPUTED_VALUE"""),45962.0)</f>
        <v>45962</v>
      </c>
      <c r="N4060" s="33">
        <f>IFERROR(__xludf.DUMMYFUNCTION("""COMPUTED_VALUE"""),45991.0)</f>
        <v>45991</v>
      </c>
      <c r="O4060" s="20"/>
      <c r="P4060" s="32" t="str">
        <f>IFERROR(__xludf.DUMMYFUNCTION("""COMPUTED_VALUE"""),"否")</f>
        <v>否</v>
      </c>
      <c r="Q4060" s="30" t="str">
        <f>IFERROR(__xludf.DUMMYFUNCTION("""COMPUTED_VALUE"""),"1~3話の素材で広告制作お願いいたします。")</f>
        <v>1~3話の素材で広告制作お願いいたします。</v>
      </c>
      <c r="R4060" s="22"/>
      <c r="S4060" s="22" t="str">
        <f>IFERROR(__xludf.DUMMYFUNCTION("""COMPUTED_VALUE"""),"20251003_一迅社_わたしの創った千年王国　天才魔導師の自由気ままな転生無双譚")</f>
        <v>20251003_一迅社_わたしの創った千年王国　天才魔導師の自由気ままな転生無双譚</v>
      </c>
      <c r="T4060" s="22" t="str">
        <f>IFERROR(__xludf.DUMMYFUNCTION("""COMPUTED_VALUE"""),"格納済み")</f>
        <v>格納済み</v>
      </c>
      <c r="U4060" s="9" t="str">
        <f>IFERROR(__xludf.DUMMYFUNCTION("""COMPUTED_VALUE"""),"(C)森野リエタ・クレハ・緋原ヨウ／一迅社")</f>
        <v>(C)森野リエタ・クレハ・緋原ヨウ／一迅社</v>
      </c>
      <c r="V4060" s="8"/>
      <c r="W4060" s="8"/>
      <c r="X4060" s="8" t="str">
        <f>IFERROR(__xludf.DUMMYFUNCTION("""COMPUTED_VALUE"""),"有")</f>
        <v>有</v>
      </c>
      <c r="Y4060" s="8" t="str">
        <f>IFERROR(__xludf.DUMMYFUNCTION("""COMPUTED_VALUE"""),"2025/11/30まで1巻無料")</f>
        <v>2025/11/30まで1巻無料</v>
      </c>
      <c r="Z4060" s="7"/>
      <c r="AA4060" s="7"/>
      <c r="AB4060" s="7"/>
    </row>
    <row r="4061" ht="15.75" customHeight="1">
      <c r="A4061" s="26">
        <f>IFERROR(__xludf.DUMMYFUNCTION("""COMPUTED_VALUE"""),6564.0)</f>
        <v>6564</v>
      </c>
      <c r="B4061" s="22" t="str">
        <f>IFERROR(__xludf.DUMMYFUNCTION("""COMPUTED_VALUE"""),"確定")</f>
        <v>確定</v>
      </c>
      <c r="C4061" s="28">
        <f>IFERROR(__xludf.DUMMYFUNCTION("""COMPUTED_VALUE"""),45929.0)</f>
        <v>45929</v>
      </c>
      <c r="D4061" s="28">
        <f>IFERROR(__xludf.DUMMYFUNCTION("""COMPUTED_VALUE"""),45933.0)</f>
        <v>45933</v>
      </c>
      <c r="E4061" s="26">
        <f>IFERROR(__xludf.DUMMYFUNCTION("""COMPUTED_VALUE"""),318851.0)</f>
        <v>318851</v>
      </c>
      <c r="F4061" s="22" t="str">
        <f>IFERROR(__xludf.DUMMYFUNCTION("""COMPUTED_VALUE"""),"青山くんはあの顔がカワイイ")</f>
        <v>青山くんはあの顔がカワイイ</v>
      </c>
      <c r="G4061" s="20" t="str">
        <f>IFERROR(__xludf.DUMMYFUNCTION("""COMPUTED_VALUE"""),"1～3")</f>
        <v>1～3</v>
      </c>
      <c r="H4061" s="22" t="str">
        <f>IFERROR(__xludf.DUMMYFUNCTION("""COMPUTED_VALUE"""),"マオst")</f>
        <v>マオst</v>
      </c>
      <c r="I4061" s="22" t="str">
        <f>IFERROR(__xludf.DUMMYFUNCTION("""COMPUTED_VALUE"""),"女性マンガ")</f>
        <v>女性マンガ</v>
      </c>
      <c r="J4061" s="22"/>
      <c r="K4061" s="22" t="str">
        <f>IFERROR(__xludf.DUMMYFUNCTION("""COMPUTED_VALUE"""),"スキして?桃色日記")</f>
        <v>スキして?桃色日記</v>
      </c>
      <c r="L4061" s="22" t="str">
        <f>IFERROR(__xludf.DUMMYFUNCTION("""COMPUTED_VALUE"""),"シーモアコミックス")</f>
        <v>シーモアコミックス</v>
      </c>
      <c r="M4061" s="33">
        <f>IFERROR(__xludf.DUMMYFUNCTION("""COMPUTED_VALUE"""),45962.0)</f>
        <v>45962</v>
      </c>
      <c r="N4061" s="33">
        <f>IFERROR(__xludf.DUMMYFUNCTION("""COMPUTED_VALUE"""),46114.66666666667)</f>
        <v>46114.66667</v>
      </c>
      <c r="O4061" s="20"/>
      <c r="P4061" s="32" t="str">
        <f>IFERROR(__xludf.DUMMYFUNCTION("""COMPUTED_VALUE"""),"可")</f>
        <v>可</v>
      </c>
      <c r="Q4061" s="30"/>
      <c r="R4061" s="22"/>
      <c r="S4061" s="22" t="str">
        <f>IFERROR(__xludf.DUMMYFUNCTION("""COMPUTED_VALUE"""),"20251101_シーモアコミックス_青山くんはあの顔がカワイイ")</f>
        <v>20251101_シーモアコミックス_青山くんはあの顔がカワイイ</v>
      </c>
      <c r="T4061" s="22" t="str">
        <f>IFERROR(__xludf.DUMMYFUNCTION("""COMPUTED_VALUE"""),"格納済み")</f>
        <v>格納済み</v>
      </c>
      <c r="U4061" s="9" t="str">
        <f>IFERROR(__xludf.DUMMYFUNCTION("""COMPUTED_VALUE"""),"(C) マオst/シーモアコミックス")</f>
        <v>(C) マオst/シーモアコミックス</v>
      </c>
      <c r="V4061" s="8"/>
      <c r="W4061" s="8"/>
      <c r="X4061" s="8" t="str">
        <f>IFERROR(__xludf.DUMMYFUNCTION("""COMPUTED_VALUE"""),"有")</f>
        <v>有</v>
      </c>
      <c r="Y4061" s="8" t="str">
        <f>IFERROR(__xludf.DUMMYFUNCTION("""COMPUTED_VALUE"""),"2025/12/5まで1巻無料")</f>
        <v>2025/12/5まで1巻無料</v>
      </c>
      <c r="Z4061" s="7"/>
      <c r="AA4061" s="7"/>
      <c r="AB4061" s="7"/>
    </row>
    <row r="4062" ht="15.75" customHeight="1">
      <c r="A4062" s="26">
        <f>IFERROR(__xludf.DUMMYFUNCTION("""COMPUTED_VALUE"""),6580.0)</f>
        <v>6580</v>
      </c>
      <c r="B4062" s="22" t="str">
        <f>IFERROR(__xludf.DUMMYFUNCTION("""COMPUTED_VALUE"""),"確定")</f>
        <v>確定</v>
      </c>
      <c r="C4062" s="28">
        <f>IFERROR(__xludf.DUMMYFUNCTION("""COMPUTED_VALUE"""),45932.0)</f>
        <v>45932</v>
      </c>
      <c r="D4062" s="28">
        <f>IFERROR(__xludf.DUMMYFUNCTION("""COMPUTED_VALUE"""),45936.0)</f>
        <v>45936</v>
      </c>
      <c r="E4062" s="26">
        <f>IFERROR(__xludf.DUMMYFUNCTION("""COMPUTED_VALUE"""),337096.0)</f>
        <v>337096</v>
      </c>
      <c r="F4062" s="22" t="str">
        <f>IFERROR(__xludf.DUMMYFUNCTION("""COMPUTED_VALUE"""),"元騎士の辺境伯令嬢は悪魔の花嫁となる")</f>
        <v>元騎士の辺境伯令嬢は悪魔の花嫁となる</v>
      </c>
      <c r="G4062" s="20" t="str">
        <f>IFERROR(__xludf.DUMMYFUNCTION("""COMPUTED_VALUE"""),"1～3")</f>
        <v>1～3</v>
      </c>
      <c r="H4062" s="22" t="str">
        <f>IFERROR(__xludf.DUMMYFUNCTION("""COMPUTED_VALUE"""),"琴乃葉,雪めい")</f>
        <v>琴乃葉,雪めい</v>
      </c>
      <c r="I4062" s="22" t="str">
        <f>IFERROR(__xludf.DUMMYFUNCTION("""COMPUTED_VALUE"""),"少女マンガ")</f>
        <v>少女マンガ</v>
      </c>
      <c r="J4062" s="22"/>
      <c r="K4062" s="22"/>
      <c r="L4062" s="22" t="str">
        <f>IFERROR(__xludf.DUMMYFUNCTION("""COMPUTED_VALUE"""),"ファンギルド")</f>
        <v>ファンギルド</v>
      </c>
      <c r="M4062" s="33">
        <f>IFERROR(__xludf.DUMMYFUNCTION("""COMPUTED_VALUE"""),45936.0)</f>
        <v>45936</v>
      </c>
      <c r="N4062" s="33">
        <f>IFERROR(__xludf.DUMMYFUNCTION("""COMPUTED_VALUE"""),45994.0)</f>
        <v>45994</v>
      </c>
      <c r="O4062" s="20"/>
      <c r="P4062" s="32" t="str">
        <f>IFERROR(__xludf.DUMMYFUNCTION("""COMPUTED_VALUE"""),"可")</f>
        <v>可</v>
      </c>
      <c r="Q4062" s="30"/>
      <c r="R4062" s="22"/>
      <c r="S4062" s="22" t="str">
        <f>IFERROR(__xludf.DUMMYFUNCTION("""COMPUTED_VALUE"""),"20251002_ファンギルド_元騎士の辺境伯令嬢は悪魔の花嫁となる")</f>
        <v>20251002_ファンギルド_元騎士の辺境伯令嬢は悪魔の花嫁となる</v>
      </c>
      <c r="T4062" s="22" t="str">
        <f>IFERROR(__xludf.DUMMYFUNCTION("""COMPUTED_VALUE"""),"格納済み")</f>
        <v>格納済み</v>
      </c>
      <c r="U4062" s="9" t="str">
        <f>IFERROR(__xludf.DUMMYFUNCTION("""COMPUTED_VALUE"""),"ⒸMei Yuki/Kotonoha/FUNGUILD")</f>
        <v>ⒸMei Yuki/Kotonoha/FUNGUILD</v>
      </c>
      <c r="V4062" s="8"/>
      <c r="W4062" s="8"/>
      <c r="X4062" s="8" t="str">
        <f>IFERROR(__xludf.DUMMYFUNCTION("""COMPUTED_VALUE"""),"有")</f>
        <v>有</v>
      </c>
      <c r="Y4062" s="8" t="str">
        <f>IFERROR(__xludf.DUMMYFUNCTION("""COMPUTED_VALUE"""),"2025/10/19まで1巻無料")</f>
        <v>2025/10/19まで1巻無料</v>
      </c>
      <c r="Z4062" s="7"/>
      <c r="AA4062" s="7"/>
      <c r="AB4062" s="7"/>
    </row>
    <row r="4063" ht="15.75" customHeight="1">
      <c r="A4063" s="26">
        <f>IFERROR(__xludf.DUMMYFUNCTION("""COMPUTED_VALUE"""),6582.0)</f>
        <v>6582</v>
      </c>
      <c r="B4063" s="22" t="str">
        <f>IFERROR(__xludf.DUMMYFUNCTION("""COMPUTED_VALUE"""),"確定")</f>
        <v>確定</v>
      </c>
      <c r="C4063" s="28">
        <f>IFERROR(__xludf.DUMMYFUNCTION("""COMPUTED_VALUE"""),45932.0)</f>
        <v>45932</v>
      </c>
      <c r="D4063" s="28">
        <f>IFERROR(__xludf.DUMMYFUNCTION("""COMPUTED_VALUE"""),45932.0)</f>
        <v>45932</v>
      </c>
      <c r="E4063" s="26">
        <f>IFERROR(__xludf.DUMMYFUNCTION("""COMPUTED_VALUE"""),339266.0)</f>
        <v>339266</v>
      </c>
      <c r="F4063" s="22" t="str">
        <f>IFERROR(__xludf.DUMMYFUNCTION("""COMPUTED_VALUE"""),"恋育契約～極上御曹司は溺愛を隠さない～【分冊版】")</f>
        <v>恋育契約～極上御曹司は溺愛を隠さない～【分冊版】</v>
      </c>
      <c r="G4063" s="20" t="str">
        <f>IFERROR(__xludf.DUMMYFUNCTION("""COMPUTED_VALUE"""),"1～3")</f>
        <v>1～3</v>
      </c>
      <c r="H4063" s="22" t="str">
        <f>IFERROR(__xludf.DUMMYFUNCTION("""COMPUTED_VALUE"""),"オウカ・レオ,七瀬みお")</f>
        <v>オウカ・レオ,七瀬みお</v>
      </c>
      <c r="I4063" s="22" t="str">
        <f>IFERROR(__xludf.DUMMYFUNCTION("""COMPUTED_VALUE"""),"女性")</f>
        <v>女性</v>
      </c>
      <c r="J4063" s="22"/>
      <c r="K4063" s="22"/>
      <c r="L4063" s="22" t="str">
        <f>IFERROR(__xludf.DUMMYFUNCTION("""COMPUTED_VALUE"""),"ハーパーコリンズ・ジャパン")</f>
        <v>ハーパーコリンズ・ジャパン</v>
      </c>
      <c r="M4063" s="33">
        <f>IFERROR(__xludf.DUMMYFUNCTION("""COMPUTED_VALUE"""),45950.0)</f>
        <v>45950</v>
      </c>
      <c r="N4063" s="33">
        <f>IFERROR(__xludf.DUMMYFUNCTION("""COMPUTED_VALUE"""),46009.0)</f>
        <v>46009</v>
      </c>
      <c r="O4063" s="20"/>
      <c r="P4063" s="32" t="str">
        <f>IFERROR(__xludf.DUMMYFUNCTION("""COMPUTED_VALUE"""),"可")</f>
        <v>可</v>
      </c>
      <c r="Q4063" s="30"/>
      <c r="R4063" s="22" t="str">
        <f>IFERROR(__xludf.DUMMYFUNCTION("""COMPUTED_VALUE"""),"コミットOK")</f>
        <v>コミットOK</v>
      </c>
      <c r="S4063" s="22" t="str">
        <f>IFERROR(__xludf.DUMMYFUNCTION("""COMPUTED_VALUE"""),"20251002_ハーパーコリンズ・ジャパン_恋育契約～極上御曹司は溺愛を隠さない～【分冊版】")</f>
        <v>20251002_ハーパーコリンズ・ジャパン_恋育契約～極上御曹司は溺愛を隠さない～【分冊版】</v>
      </c>
      <c r="T4063" s="22" t="str">
        <f>IFERROR(__xludf.DUMMYFUNCTION("""COMPUTED_VALUE"""),"格納済み")</f>
        <v>格納済み</v>
      </c>
      <c r="U4063" s="9" t="str">
        <f>IFERROR(__xludf.DUMMYFUNCTION("""COMPUTED_VALUE"""),"Ⓒオウカ・レオ・七瀬みお／ハーパーコリンズ・ジャパン")</f>
        <v>Ⓒオウカ・レオ・七瀬みお／ハーパーコリンズ・ジャパン</v>
      </c>
      <c r="V4063" s="8"/>
      <c r="W4063" s="8"/>
      <c r="X4063" s="8" t="str">
        <f>IFERROR(__xludf.DUMMYFUNCTION("""COMPUTED_VALUE"""),"有")</f>
        <v>有</v>
      </c>
      <c r="Y4063" s="8" t="str">
        <f>IFERROR(__xludf.DUMMYFUNCTION("""COMPUTED_VALUE"""),"2025/11/2まで1巻無料")</f>
        <v>2025/11/2まで1巻無料</v>
      </c>
      <c r="Z4063" s="7"/>
      <c r="AA4063" s="7"/>
      <c r="AB4063" s="7"/>
    </row>
    <row r="4064" ht="15.75" customHeight="1">
      <c r="A4064" s="26">
        <f>IFERROR(__xludf.DUMMYFUNCTION("""COMPUTED_VALUE"""),6583.0)</f>
        <v>6583</v>
      </c>
      <c r="B4064" s="22" t="str">
        <f>IFERROR(__xludf.DUMMYFUNCTION("""COMPUTED_VALUE"""),"確定")</f>
        <v>確定</v>
      </c>
      <c r="C4064" s="28">
        <f>IFERROR(__xludf.DUMMYFUNCTION("""COMPUTED_VALUE"""),45932.0)</f>
        <v>45932</v>
      </c>
      <c r="D4064" s="28">
        <f>IFERROR(__xludf.DUMMYFUNCTION("""COMPUTED_VALUE"""),45933.0)</f>
        <v>45933</v>
      </c>
      <c r="E4064" s="26">
        <f>IFERROR(__xludf.DUMMYFUNCTION("""COMPUTED_VALUE"""),339601.0)</f>
        <v>339601</v>
      </c>
      <c r="F4064" s="22" t="str">
        <f>IFERROR(__xludf.DUMMYFUNCTION("""COMPUTED_VALUE"""),"水泳部女子と不健全な3日間～従順教え子と沼るセックス～")</f>
        <v>水泳部女子と不健全な3日間～従順教え子と沼るセックス～</v>
      </c>
      <c r="G4064" s="20" t="str">
        <f>IFERROR(__xludf.DUMMYFUNCTION("""COMPUTED_VALUE"""),"1～2")</f>
        <v>1～2</v>
      </c>
      <c r="H4064" s="22" t="str">
        <f>IFERROR(__xludf.DUMMYFUNCTION("""COMPUTED_VALUE"""),"煤雲なぎ")</f>
        <v>煤雲なぎ</v>
      </c>
      <c r="I4064" s="22" t="str">
        <f>IFERROR(__xludf.DUMMYFUNCTION("""COMPUTED_VALUE"""),"アダルトマンガ")</f>
        <v>アダルトマンガ</v>
      </c>
      <c r="J4064" s="22"/>
      <c r="K4064" s="22"/>
      <c r="L4064" s="22" t="str">
        <f>IFERROR(__xludf.DUMMYFUNCTION("""COMPUTED_VALUE"""),"セ・キララ文庫")</f>
        <v>セ・キララ文庫</v>
      </c>
      <c r="M4064" s="33">
        <f>IFERROR(__xludf.DUMMYFUNCTION("""COMPUTED_VALUE"""),45961.0)</f>
        <v>45961</v>
      </c>
      <c r="N4064" s="33">
        <f>IFERROR(__xludf.DUMMYFUNCTION("""COMPUTED_VALUE"""),46000.0)</f>
        <v>46000</v>
      </c>
      <c r="O4064" s="20"/>
      <c r="P4064" s="32" t="str">
        <f>IFERROR(__xludf.DUMMYFUNCTION("""COMPUTED_VALUE"""),"可")</f>
        <v>可</v>
      </c>
      <c r="Q4064" s="30"/>
      <c r="R4064" s="22"/>
      <c r="S4064" s="22" t="str">
        <f>IFERROR(__xludf.DUMMYFUNCTION("""COMPUTED_VALUE"""),"20251002_ライドオン_水泳部女子と不健全な3日間～従順教え子と沼るセックス～")</f>
        <v>20251002_ライドオン_水泳部女子と不健全な3日間～従順教え子と沼るセックス～</v>
      </c>
      <c r="T4064" s="22" t="str">
        <f>IFERROR(__xludf.DUMMYFUNCTION("""COMPUTED_VALUE"""),"格納済み")</f>
        <v>格納済み</v>
      </c>
      <c r="U4064" s="9" t="str">
        <f>IFERROR(__xludf.DUMMYFUNCTION("""COMPUTED_VALUE"""),"Ⓒ煤雲なぎ/セ・キララ文庫")</f>
        <v>Ⓒ煤雲なぎ/セ・キララ文庫</v>
      </c>
      <c r="V4064" s="8"/>
      <c r="W4064" s="8"/>
      <c r="X4064" s="8" t="str">
        <f>IFERROR(__xludf.DUMMYFUNCTION("""COMPUTED_VALUE"""),"有")</f>
        <v>有</v>
      </c>
      <c r="Y4064" s="8" t="str">
        <f>IFERROR(__xludf.DUMMYFUNCTION("""COMPUTED_VALUE"""),"2025/12/9まで1巻立ち読み増量(P21)")</f>
        <v>2025/12/9まで1巻立ち読み増量(P21)</v>
      </c>
      <c r="Z4064" s="7"/>
      <c r="AA4064" s="7"/>
      <c r="AB4064" s="7"/>
    </row>
    <row r="4065" ht="15.75" customHeight="1">
      <c r="A4065" s="26">
        <f>IFERROR(__xludf.DUMMYFUNCTION("""COMPUTED_VALUE"""),6584.0)</f>
        <v>6584</v>
      </c>
      <c r="B4065" s="22" t="str">
        <f>IFERROR(__xludf.DUMMYFUNCTION("""COMPUTED_VALUE"""),"確定")</f>
        <v>確定</v>
      </c>
      <c r="C4065" s="28">
        <f>IFERROR(__xludf.DUMMYFUNCTION("""COMPUTED_VALUE"""),45932.0)</f>
        <v>45932</v>
      </c>
      <c r="D4065" s="28">
        <f>IFERROR(__xludf.DUMMYFUNCTION("""COMPUTED_VALUE"""),45933.0)</f>
        <v>45933</v>
      </c>
      <c r="E4065" s="26">
        <f>IFERROR(__xludf.DUMMYFUNCTION("""COMPUTED_VALUE"""),339504.0)</f>
        <v>339504</v>
      </c>
      <c r="F4065" s="22" t="str">
        <f>IFERROR(__xludf.DUMMYFUNCTION("""COMPUTED_VALUE"""),"恋人が寝取られた事実に、俺は気付かないフリをした。")</f>
        <v>恋人が寝取られた事実に、俺は気付かないフリをした。</v>
      </c>
      <c r="G4065" s="20" t="str">
        <f>IFERROR(__xludf.DUMMYFUNCTION("""COMPUTED_VALUE"""),"1～3")</f>
        <v>1～3</v>
      </c>
      <c r="H4065" s="22" t="str">
        <f>IFERROR(__xludf.DUMMYFUNCTION("""COMPUTED_VALUE"""),"凸があれば凹がある。")</f>
        <v>凸があれば凹がある。</v>
      </c>
      <c r="I4065" s="22" t="str">
        <f>IFERROR(__xludf.DUMMYFUNCTION("""COMPUTED_VALUE"""),"アダルトマンガ")</f>
        <v>アダルトマンガ</v>
      </c>
      <c r="J4065" s="22"/>
      <c r="K4065" s="22"/>
      <c r="L4065" s="22" t="str">
        <f>IFERROR(__xludf.DUMMYFUNCTION("""COMPUTED_VALUE"""),"セ・キララ文庫")</f>
        <v>セ・キララ文庫</v>
      </c>
      <c r="M4065" s="33">
        <f>IFERROR(__xludf.DUMMYFUNCTION("""COMPUTED_VALUE"""),45961.0)</f>
        <v>45961</v>
      </c>
      <c r="N4065" s="33">
        <f>IFERROR(__xludf.DUMMYFUNCTION("""COMPUTED_VALUE"""),46000.0)</f>
        <v>46000</v>
      </c>
      <c r="O4065" s="20"/>
      <c r="P4065" s="32" t="str">
        <f>IFERROR(__xludf.DUMMYFUNCTION("""COMPUTED_VALUE"""),"可")</f>
        <v>可</v>
      </c>
      <c r="Q4065" s="30"/>
      <c r="R4065" s="22"/>
      <c r="S4065" s="22" t="str">
        <f>IFERROR(__xludf.DUMMYFUNCTION("""COMPUTED_VALUE"""),"20251002_ライドオン_恋人が寝取られた事実に、俺は気付かないフリをした。")</f>
        <v>20251002_ライドオン_恋人が寝取られた事実に、俺は気付かないフリをした。</v>
      </c>
      <c r="T4065" s="22" t="str">
        <f>IFERROR(__xludf.DUMMYFUNCTION("""COMPUTED_VALUE"""),"格納済み")</f>
        <v>格納済み</v>
      </c>
      <c r="U4065" s="9" t="str">
        <f>IFERROR(__xludf.DUMMYFUNCTION("""COMPUTED_VALUE"""),"Ⓒ凸があれば凹がある。/セ・キララ文庫")</f>
        <v>Ⓒ凸があれば凹がある。/セ・キララ文庫</v>
      </c>
      <c r="V4065" s="8"/>
      <c r="W4065" s="8"/>
      <c r="X4065" s="8" t="str">
        <f>IFERROR(__xludf.DUMMYFUNCTION("""COMPUTED_VALUE"""),"有")</f>
        <v>有</v>
      </c>
      <c r="Y4065" s="8" t="str">
        <f>IFERROR(__xludf.DUMMYFUNCTION("""COMPUTED_VALUE"""),"2025/12/9まで1巻目無料
2025/12/9まで2巻目立ち読み増量(P11)")</f>
        <v>2025/12/9まで1巻目無料
2025/12/9まで2巻目立ち読み増量(P11)</v>
      </c>
      <c r="Z4065" s="7"/>
      <c r="AA4065" s="7"/>
      <c r="AB4065" s="7"/>
    </row>
    <row r="4066" ht="15.75" customHeight="1">
      <c r="A4066" s="26">
        <f>IFERROR(__xludf.DUMMYFUNCTION("""COMPUTED_VALUE"""),6587.0)</f>
        <v>6587</v>
      </c>
      <c r="B4066" s="22" t="str">
        <f>IFERROR(__xludf.DUMMYFUNCTION("""COMPUTED_VALUE"""),"確定")</f>
        <v>確定</v>
      </c>
      <c r="C4066" s="28">
        <f>IFERROR(__xludf.DUMMYFUNCTION("""COMPUTED_VALUE"""),45932.0)</f>
        <v>45932</v>
      </c>
      <c r="D4066" s="28">
        <f>IFERROR(__xludf.DUMMYFUNCTION("""COMPUTED_VALUE"""),45933.0)</f>
        <v>45933</v>
      </c>
      <c r="E4066" s="26">
        <f>IFERROR(__xludf.DUMMYFUNCTION("""COMPUTED_VALUE"""),339437.0)</f>
        <v>339437</v>
      </c>
      <c r="F4066" s="22" t="str">
        <f>IFERROR(__xludf.DUMMYFUNCTION("""COMPUTED_VALUE"""),"片想いシェアハウス")</f>
        <v>片想いシェアハウス</v>
      </c>
      <c r="G4066" s="20" t="str">
        <f>IFERROR(__xludf.DUMMYFUNCTION("""COMPUTED_VALUE"""),"1～4")</f>
        <v>1～4</v>
      </c>
      <c r="H4066" s="22" t="str">
        <f>IFERROR(__xludf.DUMMYFUNCTION("""COMPUTED_VALUE"""),"あおた")</f>
        <v>あおた</v>
      </c>
      <c r="I4066" s="22" t="str">
        <f>IFERROR(__xludf.DUMMYFUNCTION("""COMPUTED_VALUE"""),"女性")</f>
        <v>女性</v>
      </c>
      <c r="J4066" s="22"/>
      <c r="K4066" s="22"/>
      <c r="L4066" s="22" t="str">
        <f>IFERROR(__xludf.DUMMYFUNCTION("""COMPUTED_VALUE"""),"集英社")</f>
        <v>集英社</v>
      </c>
      <c r="M4066" s="33">
        <f>IFERROR(__xludf.DUMMYFUNCTION("""COMPUTED_VALUE"""),45955.0)</f>
        <v>45955</v>
      </c>
      <c r="N4066" s="33">
        <f>IFERROR(__xludf.DUMMYFUNCTION("""COMPUTED_VALUE"""),45985.0)</f>
        <v>45985</v>
      </c>
      <c r="O4066" s="20"/>
      <c r="P4066" s="32" t="str">
        <f>IFERROR(__xludf.DUMMYFUNCTION("""COMPUTED_VALUE"""),"否")</f>
        <v>否</v>
      </c>
      <c r="Q4066" s="30"/>
      <c r="R4066" s="22"/>
      <c r="S4066" s="22" t="str">
        <f>IFERROR(__xludf.DUMMYFUNCTION("""COMPUTED_VALUE"""),"20251002_集英社_片思いシェアハウス")</f>
        <v>20251002_集英社_片思いシェアハウス</v>
      </c>
      <c r="T4066" s="22" t="str">
        <f>IFERROR(__xludf.DUMMYFUNCTION("""COMPUTED_VALUE"""),"格納済み")</f>
        <v>格納済み</v>
      </c>
      <c r="U4066" s="9" t="str">
        <f>IFERROR(__xludf.DUMMYFUNCTION("""COMPUTED_VALUE"""),"(c)あおた／集英社")</f>
        <v>(c)あおた／集英社</v>
      </c>
      <c r="V4066" s="8"/>
      <c r="W4066" s="8"/>
      <c r="X4066" s="8" t="str">
        <f>IFERROR(__xludf.DUMMYFUNCTION("""COMPUTED_VALUE"""),"有")</f>
        <v>有</v>
      </c>
      <c r="Y4066" s="8" t="str">
        <f>IFERROR(__xludf.DUMMYFUNCTION("""COMPUTED_VALUE"""),"2025/11/24まで1巻無料")</f>
        <v>2025/11/24まで1巻無料</v>
      </c>
      <c r="Z4066" s="7"/>
      <c r="AA4066" s="7"/>
      <c r="AB4066" s="7"/>
    </row>
    <row r="4067" ht="15.75" customHeight="1">
      <c r="A4067" s="26">
        <f>IFERROR(__xludf.DUMMYFUNCTION("""COMPUTED_VALUE"""),6588.0)</f>
        <v>6588</v>
      </c>
      <c r="B4067" s="22" t="str">
        <f>IFERROR(__xludf.DUMMYFUNCTION("""COMPUTED_VALUE"""),"確定")</f>
        <v>確定</v>
      </c>
      <c r="C4067" s="28">
        <f>IFERROR(__xludf.DUMMYFUNCTION("""COMPUTED_VALUE"""),45932.0)</f>
        <v>45932</v>
      </c>
      <c r="D4067" s="28">
        <f>IFERROR(__xludf.DUMMYFUNCTION("""COMPUTED_VALUE"""),45933.0)</f>
        <v>45933</v>
      </c>
      <c r="E4067" s="26">
        <f>IFERROR(__xludf.DUMMYFUNCTION("""COMPUTED_VALUE"""),339493.0)</f>
        <v>339493</v>
      </c>
      <c r="F4067" s="22" t="str">
        <f>IFERROR(__xludf.DUMMYFUNCTION("""COMPUTED_VALUE"""),"めいどみーはっぴー")</f>
        <v>めいどみーはっぴー</v>
      </c>
      <c r="G4067" s="20">
        <f>IFERROR(__xludf.DUMMYFUNCTION("""COMPUTED_VALUE"""),1.0)</f>
        <v>1</v>
      </c>
      <c r="H4067" s="22" t="str">
        <f>IFERROR(__xludf.DUMMYFUNCTION("""COMPUTED_VALUE"""),"chocoanpan")</f>
        <v>chocoanpan</v>
      </c>
      <c r="I4067" s="22" t="str">
        <f>IFERROR(__xludf.DUMMYFUNCTION("""COMPUTED_VALUE"""),"BL")</f>
        <v>BL</v>
      </c>
      <c r="J4067" s="22"/>
      <c r="K4067" s="22"/>
      <c r="L4067" s="22" t="str">
        <f>IFERROR(__xludf.DUMMYFUNCTION("""COMPUTED_VALUE"""),"集英社")</f>
        <v>集英社</v>
      </c>
      <c r="M4067" s="33">
        <f>IFERROR(__xludf.DUMMYFUNCTION("""COMPUTED_VALUE"""),45956.0)</f>
        <v>45956</v>
      </c>
      <c r="N4067" s="33">
        <f>IFERROR(__xludf.DUMMYFUNCTION("""COMPUTED_VALUE"""),45985.0)</f>
        <v>45985</v>
      </c>
      <c r="O4067" s="20"/>
      <c r="P4067" s="32" t="str">
        <f>IFERROR(__xludf.DUMMYFUNCTION("""COMPUTED_VALUE"""),"可")</f>
        <v>可</v>
      </c>
      <c r="Q4067" s="30" t="str">
        <f>IFERROR(__xludf.DUMMYFUNCTION("""COMPUTED_VALUE"""),"【アダルト作品扱い】")</f>
        <v>【アダルト作品扱い】</v>
      </c>
      <c r="R4067" s="22"/>
      <c r="S4067" s="22" t="str">
        <f>IFERROR(__xludf.DUMMYFUNCTION("""COMPUTED_VALUE"""),"20251002_集英社_めいどみーはっぴー")</f>
        <v>20251002_集英社_めいどみーはっぴー</v>
      </c>
      <c r="T4067" s="22" t="str">
        <f>IFERROR(__xludf.DUMMYFUNCTION("""COMPUTED_VALUE"""),"格納済み")</f>
        <v>格納済み</v>
      </c>
      <c r="U4067" s="9" t="str">
        <f>IFERROR(__xludf.DUMMYFUNCTION("""COMPUTED_VALUE"""),"(C)chocoanpan／集英社")</f>
        <v>(C)chocoanpan／集英社</v>
      </c>
      <c r="V4067" s="8"/>
      <c r="W4067" s="8"/>
      <c r="X4067" s="8" t="str">
        <f>IFERROR(__xludf.DUMMYFUNCTION("""COMPUTED_VALUE"""),"有")</f>
        <v>有</v>
      </c>
      <c r="Y4067" s="8" t="str">
        <f>IFERROR(__xludf.DUMMYFUNCTION("""COMPUTED_VALUE"""),"P26まで")</f>
        <v>P26まで</v>
      </c>
      <c r="Z4067" s="7"/>
      <c r="AA4067" s="7"/>
      <c r="AB4067" s="7"/>
    </row>
    <row r="4068" ht="15.75" customHeight="1">
      <c r="A4068" s="26">
        <f>IFERROR(__xludf.DUMMYFUNCTION("""COMPUTED_VALUE"""),6589.0)</f>
        <v>6589</v>
      </c>
      <c r="B4068" s="22" t="str">
        <f>IFERROR(__xludf.DUMMYFUNCTION("""COMPUTED_VALUE"""),"確定")</f>
        <v>確定</v>
      </c>
      <c r="C4068" s="28">
        <f>IFERROR(__xludf.DUMMYFUNCTION("""COMPUTED_VALUE"""),45932.0)</f>
        <v>45932</v>
      </c>
      <c r="D4068" s="28">
        <f>IFERROR(__xludf.DUMMYFUNCTION("""COMPUTED_VALUE"""),45933.0)</f>
        <v>45933</v>
      </c>
      <c r="E4068" s="26">
        <f>IFERROR(__xludf.DUMMYFUNCTION("""COMPUTED_VALUE"""),339494.0)</f>
        <v>339494</v>
      </c>
      <c r="F4068" s="22" t="str">
        <f>IFERROR(__xludf.DUMMYFUNCTION("""COMPUTED_VALUE"""),"待てならできるよあなたのそばで")</f>
        <v>待てならできるよあなたのそばで</v>
      </c>
      <c r="G4068" s="20">
        <f>IFERROR(__xludf.DUMMYFUNCTION("""COMPUTED_VALUE"""),1.0)</f>
        <v>1</v>
      </c>
      <c r="H4068" s="22" t="str">
        <f>IFERROR(__xludf.DUMMYFUNCTION("""COMPUTED_VALUE"""),"柴")</f>
        <v>柴</v>
      </c>
      <c r="I4068" s="22" t="str">
        <f>IFERROR(__xludf.DUMMYFUNCTION("""COMPUTED_VALUE"""),"BL")</f>
        <v>BL</v>
      </c>
      <c r="J4068" s="22"/>
      <c r="K4068" s="22"/>
      <c r="L4068" s="22" t="str">
        <f>IFERROR(__xludf.DUMMYFUNCTION("""COMPUTED_VALUE"""),"集英社")</f>
        <v>集英社</v>
      </c>
      <c r="M4068" s="33">
        <f>IFERROR(__xludf.DUMMYFUNCTION("""COMPUTED_VALUE"""),45956.0)</f>
        <v>45956</v>
      </c>
      <c r="N4068" s="33">
        <f>IFERROR(__xludf.DUMMYFUNCTION("""COMPUTED_VALUE"""),45985.0)</f>
        <v>45985</v>
      </c>
      <c r="O4068" s="20"/>
      <c r="P4068" s="32" t="str">
        <f>IFERROR(__xludf.DUMMYFUNCTION("""COMPUTED_VALUE"""),"可")</f>
        <v>可</v>
      </c>
      <c r="Q4068" s="30"/>
      <c r="R4068" s="22"/>
      <c r="S4068" s="22" t="str">
        <f>IFERROR(__xludf.DUMMYFUNCTION("""COMPUTED_VALUE"""),"20251002_集英社_待てならできるよあなたのそばで_上巻")</f>
        <v>20251002_集英社_待てならできるよあなたのそばで_上巻</v>
      </c>
      <c r="T4068" s="22" t="str">
        <f>IFERROR(__xludf.DUMMYFUNCTION("""COMPUTED_VALUE"""),"格納済み")</f>
        <v>格納済み</v>
      </c>
      <c r="U4068" s="9" t="str">
        <f>IFERROR(__xludf.DUMMYFUNCTION("""COMPUTED_VALUE"""),"(C)柴／集英社")</f>
        <v>(C)柴／集英社</v>
      </c>
      <c r="V4068" s="8"/>
      <c r="W4068" s="8"/>
      <c r="X4068" s="8" t="str">
        <f>IFERROR(__xludf.DUMMYFUNCTION("""COMPUTED_VALUE"""),"有")</f>
        <v>有</v>
      </c>
      <c r="Y4068" s="8" t="str">
        <f>IFERROR(__xludf.DUMMYFUNCTION("""COMPUTED_VALUE"""),"2025/11/25まで1巻立ち読み増量(P80)")</f>
        <v>2025/11/25まで1巻立ち読み増量(P80)</v>
      </c>
      <c r="Z4068" s="7"/>
      <c r="AA4068" s="7"/>
      <c r="AB4068" s="7"/>
    </row>
    <row r="4069" ht="15.75" customHeight="1">
      <c r="A4069" s="26">
        <f>IFERROR(__xludf.DUMMYFUNCTION("""COMPUTED_VALUE"""),6607.0)</f>
        <v>6607</v>
      </c>
      <c r="B4069" s="22" t="str">
        <f>IFERROR(__xludf.DUMMYFUNCTION("""COMPUTED_VALUE"""),"確定")</f>
        <v>確定</v>
      </c>
      <c r="C4069" s="28">
        <f>IFERROR(__xludf.DUMMYFUNCTION("""COMPUTED_VALUE"""),45936.0)</f>
        <v>45936</v>
      </c>
      <c r="D4069" s="28">
        <f>IFERROR(__xludf.DUMMYFUNCTION("""COMPUTED_VALUE"""),45938.0)</f>
        <v>45938</v>
      </c>
      <c r="E4069" s="26">
        <f>IFERROR(__xludf.DUMMYFUNCTION("""COMPUTED_VALUE"""),339894.0)</f>
        <v>339894</v>
      </c>
      <c r="F4069" s="22" t="str">
        <f>IFERROR(__xludf.DUMMYFUNCTION("""COMPUTED_VALUE"""),"酔った勢いが止まらないんですが...ッ!? 真面目な隣人くんと恋人みたいなセフレ関係")</f>
        <v>酔った勢いが止まらないんですが...ッ!? 真面目な隣人くんと恋人みたいなセフレ関係</v>
      </c>
      <c r="G4069" s="20" t="str">
        <f>IFERROR(__xludf.DUMMYFUNCTION("""COMPUTED_VALUE"""),"1～3")</f>
        <v>1～3</v>
      </c>
      <c r="H4069" s="22" t="str">
        <f>IFERROR(__xludf.DUMMYFUNCTION("""COMPUTED_VALUE"""),"澄之介")</f>
        <v>澄之介</v>
      </c>
      <c r="I4069" s="22" t="str">
        <f>IFERROR(__xludf.DUMMYFUNCTION("""COMPUTED_VALUE"""),"TL")</f>
        <v>TL</v>
      </c>
      <c r="J4069" s="22"/>
      <c r="K4069" s="22"/>
      <c r="L4069" s="22" t="str">
        <f>IFERROR(__xludf.DUMMYFUNCTION("""COMPUTED_VALUE"""),"一迅社")</f>
        <v>一迅社</v>
      </c>
      <c r="M4069" s="33">
        <f>IFERROR(__xludf.DUMMYFUNCTION("""COMPUTED_VALUE"""),45968.0)</f>
        <v>45968</v>
      </c>
      <c r="N4069" s="33">
        <f>IFERROR(__xludf.DUMMYFUNCTION("""COMPUTED_VALUE"""),45995.0)</f>
        <v>45995</v>
      </c>
      <c r="O4069" s="20"/>
      <c r="P4069" s="32" t="str">
        <f>IFERROR(__xludf.DUMMYFUNCTION("""COMPUTED_VALUE"""),"可")</f>
        <v>可</v>
      </c>
      <c r="Q4069" s="30"/>
      <c r="R4069" s="22"/>
      <c r="S4069" s="22" t="str">
        <f>IFERROR(__xludf.DUMMYFUNCTION("""COMPUTED_VALUE"""),"20251006_一迅社_酔った勢いが止まらないんですが…ッ！？　真面目な隣人くんと恋人みたいなセフレ関係")</f>
        <v>20251006_一迅社_酔った勢いが止まらないんですが…ッ！？　真面目な隣人くんと恋人みたいなセフレ関係</v>
      </c>
      <c r="T4069" s="22" t="str">
        <f>IFERROR(__xludf.DUMMYFUNCTION("""COMPUTED_VALUE"""),"格納済み")</f>
        <v>格納済み</v>
      </c>
      <c r="U4069" s="9" t="str">
        <f>IFERROR(__xludf.DUMMYFUNCTION("""COMPUTED_VALUE"""),"(C)澄之介／一迅社")</f>
        <v>(C)澄之介／一迅社</v>
      </c>
      <c r="V4069" s="8"/>
      <c r="W4069" s="8"/>
      <c r="X4069" s="8" t="str">
        <f>IFERROR(__xludf.DUMMYFUNCTION("""COMPUTED_VALUE"""),"有")</f>
        <v>有</v>
      </c>
      <c r="Y4069" s="8" t="str">
        <f>IFERROR(__xludf.DUMMYFUNCTION("""COMPUTED_VALUE"""),"P7まで")</f>
        <v>P7まで</v>
      </c>
      <c r="Z4069" s="7"/>
      <c r="AA4069" s="7"/>
      <c r="AB4069" s="7"/>
    </row>
    <row r="4070" ht="15.75" customHeight="1">
      <c r="A4070" s="26">
        <f>IFERROR(__xludf.DUMMYFUNCTION("""COMPUTED_VALUE"""),6614.0)</f>
        <v>6614</v>
      </c>
      <c r="B4070" s="22" t="str">
        <f>IFERROR(__xludf.DUMMYFUNCTION("""COMPUTED_VALUE"""),"確定")</f>
        <v>確定</v>
      </c>
      <c r="C4070" s="28">
        <f>IFERROR(__xludf.DUMMYFUNCTION("""COMPUTED_VALUE"""),45937.0)</f>
        <v>45937</v>
      </c>
      <c r="D4070" s="28">
        <f>IFERROR(__xludf.DUMMYFUNCTION("""COMPUTED_VALUE"""),45937.0)</f>
        <v>45937</v>
      </c>
      <c r="E4070" s="26">
        <f>IFERROR(__xludf.DUMMYFUNCTION("""COMPUTED_VALUE"""),339364.0)</f>
        <v>339364</v>
      </c>
      <c r="F4070" s="22" t="str">
        <f>IFERROR(__xludf.DUMMYFUNCTION("""COMPUTED_VALUE"""),"後宮の影公主 ～呪術師は謎を読む～【単話】")</f>
        <v>後宮の影公主 ～呪術師は謎を読む～【単話】</v>
      </c>
      <c r="G4070" s="20" t="str">
        <f>IFERROR(__xludf.DUMMYFUNCTION("""COMPUTED_VALUE"""),"1～4")</f>
        <v>1～4</v>
      </c>
      <c r="H4070" s="22" t="str">
        <f>IFERROR(__xludf.DUMMYFUNCTION("""COMPUTED_VALUE"""),"三沢ケイ┴栗美あい┴武田ほたる")</f>
        <v>三沢ケイ┴栗美あい┴武田ほたる</v>
      </c>
      <c r="I4070" s="22" t="str">
        <f>IFERROR(__xludf.DUMMYFUNCTION("""COMPUTED_VALUE"""),"女性")</f>
        <v>女性</v>
      </c>
      <c r="J4070" s="22"/>
      <c r="K4070" s="22" t="str">
        <f>IFERROR(__xludf.DUMMYFUNCTION("""COMPUTED_VALUE"""),"やわらかスピリッツ女子部")</f>
        <v>やわらかスピリッツ女子部</v>
      </c>
      <c r="L4070" s="22" t="str">
        <f>IFERROR(__xludf.DUMMYFUNCTION("""COMPUTED_VALUE"""),"小学館")</f>
        <v>小学館</v>
      </c>
      <c r="M4070" s="33">
        <f>IFERROR(__xludf.DUMMYFUNCTION("""COMPUTED_VALUE"""),45954.0)</f>
        <v>45954</v>
      </c>
      <c r="N4070" s="33">
        <f>IFERROR(__xludf.DUMMYFUNCTION("""COMPUTED_VALUE"""),45983.0)</f>
        <v>45983</v>
      </c>
      <c r="O4070" s="20"/>
      <c r="P4070" s="32" t="str">
        <f>IFERROR(__xludf.DUMMYFUNCTION("""COMPUTED_VALUE"""),"否")</f>
        <v>否</v>
      </c>
      <c r="Q4070" s="30"/>
      <c r="R4070" s="22"/>
      <c r="S4070" s="22" t="str">
        <f>IFERROR(__xludf.DUMMYFUNCTION("""COMPUTED_VALUE"""),"20251007_小学館_後宮の影公主 ～呪術師は謎を読む～【単話】")</f>
        <v>20251007_小学館_後宮の影公主 ～呪術師は謎を読む～【単話】</v>
      </c>
      <c r="T4070" s="22" t="str">
        <f>IFERROR(__xludf.DUMMYFUNCTION("""COMPUTED_VALUE"""),"格納済み")</f>
        <v>格納済み</v>
      </c>
      <c r="U4070" s="9" t="str">
        <f>IFERROR(__xludf.DUMMYFUNCTION("""COMPUTED_VALUE"""),"(C)三沢ケイ・栗美あい・武田ほたる / 小学館")</f>
        <v>(C)三沢ケイ・栗美あい・武田ほたる / 小学館</v>
      </c>
      <c r="V4070" s="8"/>
      <c r="W4070" s="8"/>
      <c r="X4070" s="8" t="str">
        <f>IFERROR(__xludf.DUMMYFUNCTION("""COMPUTED_VALUE"""),"有")</f>
        <v>有</v>
      </c>
      <c r="Y4070" s="8" t="str">
        <f>IFERROR(__xludf.DUMMYFUNCTION("""COMPUTED_VALUE"""),"2025/11/22まで1巻無料")</f>
        <v>2025/11/22まで1巻無料</v>
      </c>
      <c r="Z4070" s="7"/>
      <c r="AA4070" s="7"/>
      <c r="AB4070" s="7"/>
    </row>
    <row r="4071" ht="15.75" customHeight="1">
      <c r="A4071" s="26">
        <f>IFERROR(__xludf.DUMMYFUNCTION("""COMPUTED_VALUE"""),6616.0)</f>
        <v>6616</v>
      </c>
      <c r="B4071" s="22" t="str">
        <f>IFERROR(__xludf.DUMMYFUNCTION("""COMPUTED_VALUE"""),"確定")</f>
        <v>確定</v>
      </c>
      <c r="C4071" s="28">
        <f>IFERROR(__xludf.DUMMYFUNCTION("""COMPUTED_VALUE"""),45937.0)</f>
        <v>45937</v>
      </c>
      <c r="D4071" s="28">
        <f>IFERROR(__xludf.DUMMYFUNCTION("""COMPUTED_VALUE"""),45952.0)</f>
        <v>45952</v>
      </c>
      <c r="E4071" s="26">
        <f>IFERROR(__xludf.DUMMYFUNCTION("""COMPUTED_VALUE"""),339623.0)</f>
        <v>339623</v>
      </c>
      <c r="F4071" s="22" t="str">
        <f>IFERROR(__xludf.DUMMYFUNCTION("""COMPUTED_VALUE"""),"シェア婚～理想の契約結婚を男友達と～")</f>
        <v>シェア婚～理想の契約結婚を男友達と～</v>
      </c>
      <c r="G4071" s="20" t="str">
        <f>IFERROR(__xludf.DUMMYFUNCTION("""COMPUTED_VALUE"""),"1～5")</f>
        <v>1～5</v>
      </c>
      <c r="H4071" s="22" t="str">
        <f>IFERROR(__xludf.DUMMYFUNCTION("""COMPUTED_VALUE"""),"Ai/日向柚希（テラーノベル）")</f>
        <v>Ai/日向柚希（テラーノベル）</v>
      </c>
      <c r="I4071" s="22" t="str">
        <f>IFERROR(__xludf.DUMMYFUNCTION("""COMPUTED_VALUE"""),"女性")</f>
        <v>女性</v>
      </c>
      <c r="J4071" s="22"/>
      <c r="K4071" s="22" t="str">
        <f>IFERROR(__xludf.DUMMYFUNCTION("""COMPUTED_VALUE"""),"シーモア×アラモード")</f>
        <v>シーモア×アラモード</v>
      </c>
      <c r="L4071" s="22" t="str">
        <f>IFERROR(__xludf.DUMMYFUNCTION("""COMPUTED_VALUE"""),"ライドオン")</f>
        <v>ライドオン</v>
      </c>
      <c r="M4071" s="33">
        <f>IFERROR(__xludf.DUMMYFUNCTION("""COMPUTED_VALUE"""),45968.0)</f>
        <v>45968</v>
      </c>
      <c r="N4071" s="33">
        <f>IFERROR(__xludf.DUMMYFUNCTION("""COMPUTED_VALUE"""),46142.0)</f>
        <v>46142</v>
      </c>
      <c r="O4071" s="20"/>
      <c r="P4071" s="32" t="str">
        <f>IFERROR(__xludf.DUMMYFUNCTION("""COMPUTED_VALUE"""),"可")</f>
        <v>可</v>
      </c>
      <c r="Q4071" s="30" t="str">
        <f>IFERROR(__xludf.DUMMYFUNCTION("""COMPUTED_VALUE"""),"協業レーベル『シーモア×アラモード』作品です。")</f>
        <v>協業レーベル『シーモア×アラモード』作品です。</v>
      </c>
      <c r="R4071" s="22"/>
      <c r="S4071" s="22" t="str">
        <f>IFERROR(__xludf.DUMMYFUNCTION("""COMPUTED_VALUE"""),"20251007_ライドオン_シェア婚～理想の契約結婚を男友達と～")</f>
        <v>20251007_ライドオン_シェア婚～理想の契約結婚を男友達と～</v>
      </c>
      <c r="T4071" s="22" t="str">
        <f>IFERROR(__xludf.DUMMYFUNCTION("""COMPUTED_VALUE"""),"格納済み")</f>
        <v>格納済み</v>
      </c>
      <c r="U4071" s="9" t="str">
        <f>IFERROR(__xludf.DUMMYFUNCTION("""COMPUTED_VALUE"""),"(C)Ai/日向柚希（テラーノベル）/ライドオン")</f>
        <v>(C)Ai/日向柚希（テラーノベル）/ライドオン</v>
      </c>
      <c r="V4071" s="8"/>
      <c r="W4071" s="8"/>
      <c r="X4071" s="8" t="str">
        <f>IFERROR(__xludf.DUMMYFUNCTION("""COMPUTED_VALUE"""),"有")</f>
        <v>有</v>
      </c>
      <c r="Y4071" s="8" t="str">
        <f>IFERROR(__xludf.DUMMYFUNCTION("""COMPUTED_VALUE"""),"2025/11/20まで1～2巻無料")</f>
        <v>2025/11/20まで1～2巻無料</v>
      </c>
      <c r="Z4071" s="7"/>
      <c r="AA4071" s="7"/>
      <c r="AB4071" s="7"/>
    </row>
    <row r="4072" ht="15.75" customHeight="1">
      <c r="A4072" s="26">
        <f>IFERROR(__xludf.DUMMYFUNCTION("""COMPUTED_VALUE"""),5699.0)</f>
        <v>5699</v>
      </c>
      <c r="B4072" s="22" t="str">
        <f>IFERROR(__xludf.DUMMYFUNCTION("""COMPUTED_VALUE"""),"確定")</f>
        <v>確定</v>
      </c>
      <c r="C4072" s="28">
        <f>IFERROR(__xludf.DUMMYFUNCTION("""COMPUTED_VALUE"""),45810.0)</f>
        <v>45810</v>
      </c>
      <c r="D4072" s="28">
        <f>IFERROR(__xludf.DUMMYFUNCTION("""COMPUTED_VALUE"""),45938.0)</f>
        <v>45938</v>
      </c>
      <c r="E4072" s="26">
        <f>IFERROR(__xludf.DUMMYFUNCTION("""COMPUTED_VALUE"""),340409.0)</f>
        <v>340409</v>
      </c>
      <c r="F4072" s="22" t="str">
        <f>IFERROR(__xludf.DUMMYFUNCTION("""COMPUTED_VALUE"""),"あの子が壊した私の推し活")</f>
        <v>あの子が壊した私の推し活</v>
      </c>
      <c r="G4072" s="20" t="str">
        <f>IFERROR(__xludf.DUMMYFUNCTION("""COMPUTED_VALUE"""),"1～4")</f>
        <v>1～4</v>
      </c>
      <c r="H4072" s="22" t="str">
        <f>IFERROR(__xludf.DUMMYFUNCTION("""COMPUTED_VALUE"""),"おまΩこ（Ω子）")</f>
        <v>おまΩこ（Ω子）</v>
      </c>
      <c r="I4072" s="22" t="str">
        <f>IFERROR(__xludf.DUMMYFUNCTION("""COMPUTED_VALUE"""),"女性")</f>
        <v>女性</v>
      </c>
      <c r="J4072" s="22"/>
      <c r="K4072" s="22"/>
      <c r="L4072" s="22" t="str">
        <f>IFERROR(__xludf.DUMMYFUNCTION("""COMPUTED_VALUE"""),"1LDK")</f>
        <v>1LDK</v>
      </c>
      <c r="M4072" s="33">
        <f>IFERROR(__xludf.DUMMYFUNCTION("""COMPUTED_VALUE"""),45989.0)</f>
        <v>45989</v>
      </c>
      <c r="N4072" s="33">
        <f>IFERROR(__xludf.DUMMYFUNCTION("""COMPUTED_VALUE"""),46170.0)</f>
        <v>46170</v>
      </c>
      <c r="O4072" s="20"/>
      <c r="P4072" s="32" t="str">
        <f>IFERROR(__xludf.DUMMYFUNCTION("""COMPUTED_VALUE"""),"可")</f>
        <v>可</v>
      </c>
      <c r="Q4072" s="30"/>
      <c r="R4072" s="22" t="str">
        <f>IFERROR(__xludf.DUMMYFUNCTION("""COMPUTED_VALUE"""),"コミットOK")</f>
        <v>コミットOK</v>
      </c>
      <c r="S4072" s="22" t="str">
        <f>IFERROR(__xludf.DUMMYFUNCTION("""COMPUTED_VALUE"""),"20251008_1LDK_あの子が壊した私の推し活")</f>
        <v>20251008_1LDK_あの子が壊した私の推し活</v>
      </c>
      <c r="T4072" s="22" t="str">
        <f>IFERROR(__xludf.DUMMYFUNCTION("""COMPUTED_VALUE"""),"格納済み")</f>
        <v>格納済み</v>
      </c>
      <c r="U4072" s="9" t="str">
        <f>IFERROR(__xludf.DUMMYFUNCTION("""COMPUTED_VALUE"""),"（C）Ω子/Be yourself（FANY Studio/1LDK）")</f>
        <v>（C）Ω子/Be yourself（FANY Studio/1LDK）</v>
      </c>
      <c r="V4072" s="8"/>
      <c r="W4072" s="8"/>
      <c r="X4072" s="8" t="str">
        <f>IFERROR(__xludf.DUMMYFUNCTION("""COMPUTED_VALUE"""),"有")</f>
        <v>有</v>
      </c>
      <c r="Y4072" s="8" t="str">
        <f>IFERROR(__xludf.DUMMYFUNCTION("""COMPUTED_VALUE"""),"2026/1/16まで1~2巻無料")</f>
        <v>2026/1/16まで1~2巻無料</v>
      </c>
      <c r="Z4072" s="7"/>
      <c r="AA4072" s="7"/>
      <c r="AB4072" s="7"/>
    </row>
    <row r="4073" ht="15.75" customHeight="1">
      <c r="A4073" s="26">
        <f>IFERROR(__xludf.DUMMYFUNCTION("""COMPUTED_VALUE"""),5865.0)</f>
        <v>5865</v>
      </c>
      <c r="B4073" s="22" t="str">
        <f>IFERROR(__xludf.DUMMYFUNCTION("""COMPUTED_VALUE"""),"確定")</f>
        <v>確定</v>
      </c>
      <c r="C4073" s="28">
        <f>IFERROR(__xludf.DUMMYFUNCTION("""COMPUTED_VALUE"""),45825.0)</f>
        <v>45825</v>
      </c>
      <c r="D4073" s="28">
        <f>IFERROR(__xludf.DUMMYFUNCTION("""COMPUTED_VALUE"""),45938.0)</f>
        <v>45938</v>
      </c>
      <c r="E4073" s="26">
        <f>IFERROR(__xludf.DUMMYFUNCTION("""COMPUTED_VALUE"""),340705.0)</f>
        <v>340705</v>
      </c>
      <c r="F4073" s="22" t="str">
        <f>IFERROR(__xludf.DUMMYFUNCTION("""COMPUTED_VALUE"""),"堕ちた月と太陽【マイクロ】")</f>
        <v>堕ちた月と太陽【マイクロ】</v>
      </c>
      <c r="G4073" s="20" t="str">
        <f>IFERROR(__xludf.DUMMYFUNCTION("""COMPUTED_VALUE"""),"1～3")</f>
        <v>1～3</v>
      </c>
      <c r="H4073" s="22" t="str">
        <f>IFERROR(__xludf.DUMMYFUNCTION("""COMPUTED_VALUE"""),"雨宿りぃ")</f>
        <v>雨宿りぃ</v>
      </c>
      <c r="I4073" s="22" t="str">
        <f>IFERROR(__xludf.DUMMYFUNCTION("""COMPUTED_VALUE"""),"少女")</f>
        <v>少女</v>
      </c>
      <c r="J4073" s="22"/>
      <c r="K4073" s="22" t="str">
        <f>IFERROR(__xludf.DUMMYFUNCTION("""COMPUTED_VALUE"""),"Cheese!")</f>
        <v>Cheese!</v>
      </c>
      <c r="L4073" s="22" t="str">
        <f>IFERROR(__xludf.DUMMYFUNCTION("""COMPUTED_VALUE"""),"小学館")</f>
        <v>小学館</v>
      </c>
      <c r="M4073" s="33">
        <f>IFERROR(__xludf.DUMMYFUNCTION("""COMPUTED_VALUE"""),45966.0)</f>
        <v>45966</v>
      </c>
      <c r="N4073" s="33">
        <f>IFERROR(__xludf.DUMMYFUNCTION("""COMPUTED_VALUE"""),46026.0)</f>
        <v>46026</v>
      </c>
      <c r="O4073" s="20"/>
      <c r="P4073" s="32" t="str">
        <f>IFERROR(__xludf.DUMMYFUNCTION("""COMPUTED_VALUE"""),"否")</f>
        <v>否</v>
      </c>
      <c r="Q4073" s="30" t="str">
        <f>IFERROR(__xludf.DUMMYFUNCTION("""COMPUTED_VALUE"""),"親の離婚に伴い転向した高校で恋に落ちた男との子が、父親の不倫相手の子供だった…&lt;BR&gt;という幕開けで、好きになってはいけない相手とのダメな沼恋というお話です。&lt;BR&gt;弊社作品ですと『本命じゃなきゃよかったのに』が近い作風かと思います。&lt;BR&gt;ただし、全5話で完結が決定している作品となりますので、その点を事前にご留意いただけますと幸いです。")</f>
        <v>親の離婚に伴い転向した高校で恋に落ちた男との子が、父親の不倫相手の子供だった…&lt;BR&gt;という幕開けで、好きになってはいけない相手とのダメな沼恋というお話です。&lt;BR&gt;弊社作品ですと『本命じゃなきゃよかったのに』が近い作風かと思います。&lt;BR&gt;ただし、全5話で完結が決定している作品となりますので、その点を事前にご留意いただけますと幸いです。</v>
      </c>
      <c r="R4073" s="22" t="str">
        <f>IFERROR(__xludf.DUMMYFUNCTION("""COMPUTED_VALUE"""),"コミットOK")</f>
        <v>コミットOK</v>
      </c>
      <c r="S4073" s="22" t="str">
        <f>IFERROR(__xludf.DUMMYFUNCTION("""COMPUTED_VALUE"""),"20251008_小学館_堕ちた月と太陽")</f>
        <v>20251008_小学館_堕ちた月と太陽</v>
      </c>
      <c r="T4073" s="22" t="str">
        <f>IFERROR(__xludf.DUMMYFUNCTION("""COMPUTED_VALUE"""),"格納済み")</f>
        <v>格納済み</v>
      </c>
      <c r="U4073" s="9" t="str">
        <f>IFERROR(__xludf.DUMMYFUNCTION("""COMPUTED_VALUE"""),"(C)雨宿りぃ / 小学館")</f>
        <v>(C)雨宿りぃ / 小学館</v>
      </c>
      <c r="V4073" s="8"/>
      <c r="W4073" s="8"/>
      <c r="X4073" s="8" t="str">
        <f>IFERROR(__xludf.DUMMYFUNCTION("""COMPUTED_VALUE"""),"有")</f>
        <v>有</v>
      </c>
      <c r="Y4073" s="8" t="str">
        <f>IFERROR(__xludf.DUMMYFUNCTION("""COMPUTED_VALUE"""),"P17まで")</f>
        <v>P17まで</v>
      </c>
      <c r="Z4073" s="7"/>
      <c r="AA4073" s="7"/>
      <c r="AB4073" s="7"/>
    </row>
    <row r="4074" ht="15.75" customHeight="1">
      <c r="A4074" s="26">
        <f>IFERROR(__xludf.DUMMYFUNCTION("""COMPUTED_VALUE"""),5926.0)</f>
        <v>5926</v>
      </c>
      <c r="B4074" s="22" t="str">
        <f>IFERROR(__xludf.DUMMYFUNCTION("""COMPUTED_VALUE"""),"確定")</f>
        <v>確定</v>
      </c>
      <c r="C4074" s="28">
        <f>IFERROR(__xludf.DUMMYFUNCTION("""COMPUTED_VALUE"""),45832.0)</f>
        <v>45832</v>
      </c>
      <c r="D4074" s="28">
        <f>IFERROR(__xludf.DUMMYFUNCTION("""COMPUTED_VALUE"""),45944.0)</f>
        <v>45944</v>
      </c>
      <c r="E4074" s="26">
        <f>IFERROR(__xludf.DUMMYFUNCTION("""COMPUTED_VALUE"""),340355.0)</f>
        <v>340355</v>
      </c>
      <c r="F4074" s="22" t="str">
        <f>IFERROR(__xludf.DUMMYFUNCTION("""COMPUTED_VALUE"""),"女嫌い公爵はただ一人の令嬢にのみ恋をする（分冊版）")</f>
        <v>女嫌い公爵はただ一人の令嬢にのみ恋をする（分冊版）</v>
      </c>
      <c r="G4074" s="20" t="str">
        <f>IFERROR(__xludf.DUMMYFUNCTION("""COMPUTED_VALUE"""),"1～5")</f>
        <v>1～5</v>
      </c>
      <c r="H4074" s="22" t="str">
        <f>IFERROR(__xludf.DUMMYFUNCTION("""COMPUTED_VALUE"""),"南玲子・うるしめ")</f>
        <v>南玲子・うるしめ</v>
      </c>
      <c r="I4074" s="22" t="str">
        <f>IFERROR(__xludf.DUMMYFUNCTION("""COMPUTED_VALUE"""),"女性")</f>
        <v>女性</v>
      </c>
      <c r="J4074" s="22"/>
      <c r="K4074" s="22"/>
      <c r="L4074" s="22" t="str">
        <f>IFERROR(__xludf.DUMMYFUNCTION("""COMPUTED_VALUE"""),"アルファポリス")</f>
        <v>アルファポリス</v>
      </c>
      <c r="M4074" s="33">
        <f>IFERROR(__xludf.DUMMYFUNCTION("""COMPUTED_VALUE"""),45968.0)</f>
        <v>45968</v>
      </c>
      <c r="N4074" s="33">
        <f>IFERROR(__xludf.DUMMYFUNCTION("""COMPUTED_VALUE"""),46087.70833333333)</f>
        <v>46087.70833</v>
      </c>
      <c r="O4074" s="20"/>
      <c r="P4074" s="32" t="str">
        <f>IFERROR(__xludf.DUMMYFUNCTION("""COMPUTED_VALUE"""),"可")</f>
        <v>可</v>
      </c>
      <c r="Q4074" s="30"/>
      <c r="R4074" s="22"/>
      <c r="S4074" s="22" t="str">
        <f>IFERROR(__xludf.DUMMYFUNCTION("""COMPUTED_VALUE"""),"20251014_アルファポリス_女嫌い公爵")</f>
        <v>20251014_アルファポリス_女嫌い公爵</v>
      </c>
      <c r="T4074" s="22" t="str">
        <f>IFERROR(__xludf.DUMMYFUNCTION("""COMPUTED_VALUE"""),"格納済み")</f>
        <v>格納済み</v>
      </c>
      <c r="U4074" s="9" t="str">
        <f>IFERROR(__xludf.DUMMYFUNCTION("""COMPUTED_VALUE"""),"（C）南玲子・うるしめ／アルファポリス")</f>
        <v>（C）南玲子・うるしめ／アルファポリス</v>
      </c>
      <c r="V4074" s="8"/>
      <c r="W4074" s="8"/>
      <c r="X4074" s="8" t="str">
        <f>IFERROR(__xludf.DUMMYFUNCTION("""COMPUTED_VALUE"""),"有")</f>
        <v>有</v>
      </c>
      <c r="Y4074" s="8" t="str">
        <f>IFERROR(__xludf.DUMMYFUNCTION("""COMPUTED_VALUE"""),"2025/11/20まで1～2巻無料")</f>
        <v>2025/11/20まで1～2巻無料</v>
      </c>
      <c r="Z4074" s="7"/>
      <c r="AA4074" s="7"/>
      <c r="AB4074" s="7"/>
    </row>
    <row r="4075" ht="15.75" customHeight="1">
      <c r="A4075" s="26">
        <f>IFERROR(__xludf.DUMMYFUNCTION("""COMPUTED_VALUE"""),6148.0)</f>
        <v>6148</v>
      </c>
      <c r="B4075" s="22" t="str">
        <f>IFERROR(__xludf.DUMMYFUNCTION("""COMPUTED_VALUE"""),"確定")</f>
        <v>確定</v>
      </c>
      <c r="C4075" s="28">
        <f>IFERROR(__xludf.DUMMYFUNCTION("""COMPUTED_VALUE"""),45866.0)</f>
        <v>45866</v>
      </c>
      <c r="D4075" s="28">
        <f>IFERROR(__xludf.DUMMYFUNCTION("""COMPUTED_VALUE"""),45944.0)</f>
        <v>45944</v>
      </c>
      <c r="E4075" s="26">
        <f>IFERROR(__xludf.DUMMYFUNCTION("""COMPUTED_VALUE"""),339512.0)</f>
        <v>339512</v>
      </c>
      <c r="F4075" s="22" t="str">
        <f>IFERROR(__xludf.DUMMYFUNCTION("""COMPUTED_VALUE"""),"離婚予定の結婚なのに、思わせぶりに愛されて、大好きだから本当の結婚にしてみせます！")</f>
        <v>離婚予定の結婚なのに、思わせぶりに愛されて、大好きだから本当の結婚にしてみせます！</v>
      </c>
      <c r="G4075" s="20" t="str">
        <f>IFERROR(__xludf.DUMMYFUNCTION("""COMPUTED_VALUE"""),"1～4")</f>
        <v>1～4</v>
      </c>
      <c r="H4075" s="22" t="str">
        <f>IFERROR(__xludf.DUMMYFUNCTION("""COMPUTED_VALUE"""),"向嶋怜子（漫画） みなつき菫（エブリスタ）（原作）")</f>
        <v>向嶋怜子（漫画） みなつき菫（エブリスタ）（原作）</v>
      </c>
      <c r="I4075" s="22" t="str">
        <f>IFERROR(__xludf.DUMMYFUNCTION("""COMPUTED_VALUE"""),"女性")</f>
        <v>女性</v>
      </c>
      <c r="J4075" s="22"/>
      <c r="K4075" s="22"/>
      <c r="L4075" s="22" t="str">
        <f>IFERROR(__xludf.DUMMYFUNCTION("""COMPUTED_VALUE"""),"集英社")</f>
        <v>集英社</v>
      </c>
      <c r="M4075" s="33">
        <f>IFERROR(__xludf.DUMMYFUNCTION("""COMPUTED_VALUE"""),45956.0)</f>
        <v>45956</v>
      </c>
      <c r="N4075" s="33">
        <f>IFERROR(__xludf.DUMMYFUNCTION("""COMPUTED_VALUE"""),46014.0)</f>
        <v>46014</v>
      </c>
      <c r="O4075" s="20"/>
      <c r="P4075" s="32" t="str">
        <f>IFERROR(__xludf.DUMMYFUNCTION("""COMPUTED_VALUE"""),"否")</f>
        <v>否</v>
      </c>
      <c r="Q4075" s="30"/>
      <c r="R4075" s="22" t="str">
        <f>IFERROR(__xludf.DUMMYFUNCTION("""COMPUTED_VALUE"""),"コミットNG")</f>
        <v>コミットNG</v>
      </c>
      <c r="S4075" s="22" t="str">
        <f>IFERROR(__xludf.DUMMYFUNCTION("""COMPUTED_VALUE"""),"20251014_集英社_離婚予定の結婚なのに、思わせぶりに愛されて、大好きだから本当の結婚にしてみせます！")</f>
        <v>20251014_集英社_離婚予定の結婚なのに、思わせぶりに愛されて、大好きだから本当の結婚にしてみせます！</v>
      </c>
      <c r="T4075" s="22" t="str">
        <f>IFERROR(__xludf.DUMMYFUNCTION("""COMPUTED_VALUE"""),"格納済み")</f>
        <v>格納済み</v>
      </c>
      <c r="U4075" s="9" t="str">
        <f>IFERROR(__xludf.DUMMYFUNCTION("""COMPUTED_VALUE"""),"(C)向嶋怜子・みなつき菫（エブリスタ）／集英社")</f>
        <v>(C)向嶋怜子・みなつき菫（エブリスタ）／集英社</v>
      </c>
      <c r="V4075" s="8"/>
      <c r="W4075" s="8"/>
      <c r="X4075" s="8" t="str">
        <f>IFERROR(__xludf.DUMMYFUNCTION("""COMPUTED_VALUE"""),"有")</f>
        <v>有</v>
      </c>
      <c r="Y4075" s="8" t="str">
        <f>IFERROR(__xludf.DUMMYFUNCTION("""COMPUTED_VALUE"""),"2025/11/25まで1巻無料")</f>
        <v>2025/11/25まで1巻無料</v>
      </c>
      <c r="Z4075" s="7"/>
      <c r="AA4075" s="7"/>
      <c r="AB4075" s="7"/>
    </row>
    <row r="4076" ht="15.75" customHeight="1">
      <c r="A4076" s="26">
        <f>IFERROR(__xludf.DUMMYFUNCTION("""COMPUTED_VALUE"""),6174.0)</f>
        <v>6174</v>
      </c>
      <c r="B4076" s="22" t="str">
        <f>IFERROR(__xludf.DUMMYFUNCTION("""COMPUTED_VALUE"""),"確定")</f>
        <v>確定</v>
      </c>
      <c r="C4076" s="28">
        <f>IFERROR(__xludf.DUMMYFUNCTION("""COMPUTED_VALUE"""),45870.0)</f>
        <v>45870</v>
      </c>
      <c r="D4076" s="28">
        <f>IFERROR(__xludf.DUMMYFUNCTION("""COMPUTED_VALUE"""),45944.0)</f>
        <v>45944</v>
      </c>
      <c r="E4076" s="26">
        <f>IFERROR(__xludf.DUMMYFUNCTION("""COMPUTED_VALUE"""),340359.0)</f>
        <v>340359</v>
      </c>
      <c r="F4076" s="22" t="str">
        <f>IFERROR(__xludf.DUMMYFUNCTION("""COMPUTED_VALUE"""),"秘中の婚礼")</f>
        <v>秘中の婚礼</v>
      </c>
      <c r="G4076" s="20" t="str">
        <f>IFERROR(__xludf.DUMMYFUNCTION("""COMPUTED_VALUE"""),"1～3")</f>
        <v>1～3</v>
      </c>
      <c r="H4076" s="22" t="str">
        <f>IFERROR(__xludf.DUMMYFUNCTION("""COMPUTED_VALUE"""),"いがよ賄")</f>
        <v>いがよ賄</v>
      </c>
      <c r="I4076" s="22" t="str">
        <f>IFERROR(__xludf.DUMMYFUNCTION("""COMPUTED_VALUE"""),"BL")</f>
        <v>BL</v>
      </c>
      <c r="J4076" s="22"/>
      <c r="K4076" s="22"/>
      <c r="L4076" s="22" t="str">
        <f>IFERROR(__xludf.DUMMYFUNCTION("""COMPUTED_VALUE"""),"パチカ")</f>
        <v>パチカ</v>
      </c>
      <c r="M4076" s="33">
        <f>IFERROR(__xludf.DUMMYFUNCTION("""COMPUTED_VALUE"""),45968.0)</f>
        <v>45968</v>
      </c>
      <c r="N4076" s="33">
        <f>IFERROR(__xludf.DUMMYFUNCTION("""COMPUTED_VALUE"""),46059.0)</f>
        <v>46059</v>
      </c>
      <c r="O4076" s="20"/>
      <c r="P4076" s="32" t="str">
        <f>IFERROR(__xludf.DUMMYFUNCTION("""COMPUTED_VALUE"""),"可")</f>
        <v>可</v>
      </c>
      <c r="Q4076" s="30" t="str">
        <f>IFERROR(__xludf.DUMMYFUNCTION("""COMPUTED_VALUE"""),"【アダルト作品扱い】")</f>
        <v>【アダルト作品扱い】</v>
      </c>
      <c r="R4076" s="22" t="str">
        <f>IFERROR(__xludf.DUMMYFUNCTION("""COMPUTED_VALUE"""),"コミットOK")</f>
        <v>コミットOK</v>
      </c>
      <c r="S4076" s="22" t="str">
        <f>IFERROR(__xludf.DUMMYFUNCTION("""COMPUTED_VALUE"""),"20251009_ウェイブ_秘中の婚礼")</f>
        <v>20251009_ウェイブ_秘中の婚礼</v>
      </c>
      <c r="T4076" s="22" t="str">
        <f>IFERROR(__xludf.DUMMYFUNCTION("""COMPUTED_VALUE"""),"格納済み")</f>
        <v>格納済み</v>
      </c>
      <c r="U4076" s="9" t="str">
        <f>IFERROR(__xludf.DUMMYFUNCTION("""COMPUTED_VALUE"""),"Ⓒいがよ賄／パチカ")</f>
        <v>Ⓒいがよ賄／パチカ</v>
      </c>
      <c r="V4076" s="8"/>
      <c r="W4076" s="8"/>
      <c r="X4076" s="8" t="str">
        <f>IFERROR(__xludf.DUMMYFUNCTION("""COMPUTED_VALUE"""),"有")</f>
        <v>有</v>
      </c>
      <c r="Y4076" s="8" t="str">
        <f>IFERROR(__xludf.DUMMYFUNCTION("""COMPUTED_VALUE"""),"P19まで")</f>
        <v>P19まで</v>
      </c>
      <c r="Z4076" s="7"/>
      <c r="AA4076" s="7"/>
      <c r="AB4076" s="7"/>
    </row>
    <row r="4077" ht="15.75" customHeight="1">
      <c r="A4077" s="26">
        <f>IFERROR(__xludf.DUMMYFUNCTION("""COMPUTED_VALUE"""),6183.0)</f>
        <v>6183</v>
      </c>
      <c r="B4077" s="22" t="str">
        <f>IFERROR(__xludf.DUMMYFUNCTION("""COMPUTED_VALUE"""),"確定")</f>
        <v>確定</v>
      </c>
      <c r="C4077" s="28">
        <f>IFERROR(__xludf.DUMMYFUNCTION("""COMPUTED_VALUE"""),45874.0)</f>
        <v>45874</v>
      </c>
      <c r="D4077" s="28">
        <f>IFERROR(__xludf.DUMMYFUNCTION("""COMPUTED_VALUE"""),45940.0)</f>
        <v>45940</v>
      </c>
      <c r="E4077" s="26">
        <f>IFERROR(__xludf.DUMMYFUNCTION("""COMPUTED_VALUE"""),339906.0)</f>
        <v>339906</v>
      </c>
      <c r="F4077" s="22" t="str">
        <f>IFERROR(__xludf.DUMMYFUNCTION("""COMPUTED_VALUE"""),"愛サレてるけど、サレてます。～矛盾だらけの結婚生活～　分冊版")</f>
        <v>愛サレてるけど、サレてます。～矛盾だらけの結婚生活～　分冊版</v>
      </c>
      <c r="G4077" s="20" t="str">
        <f>IFERROR(__xludf.DUMMYFUNCTION("""COMPUTED_VALUE"""),"1～4")</f>
        <v>1～4</v>
      </c>
      <c r="H4077" s="22" t="str">
        <f>IFERROR(__xludf.DUMMYFUNCTION("""COMPUTED_VALUE"""),"なつみ理奈")</f>
        <v>なつみ理奈</v>
      </c>
      <c r="I4077" s="22" t="str">
        <f>IFERROR(__xludf.DUMMYFUNCTION("""COMPUTED_VALUE"""),"少女")</f>
        <v>少女</v>
      </c>
      <c r="J4077" s="22"/>
      <c r="K4077" s="22" t="str">
        <f>IFERROR(__xludf.DUMMYFUNCTION("""COMPUTED_VALUE"""),"パルシィ")</f>
        <v>パルシィ</v>
      </c>
      <c r="L4077" s="22" t="str">
        <f>IFERROR(__xludf.DUMMYFUNCTION("""COMPUTED_VALUE"""),"講談社")</f>
        <v>講談社</v>
      </c>
      <c r="M4077" s="33">
        <f>IFERROR(__xludf.DUMMYFUNCTION("""COMPUTED_VALUE"""),45955.0)</f>
        <v>45955</v>
      </c>
      <c r="N4077" s="33">
        <f>IFERROR(__xludf.DUMMYFUNCTION("""COMPUTED_VALUE"""),46010.0)</f>
        <v>46010</v>
      </c>
      <c r="O4077" s="20"/>
      <c r="P4077" s="32" t="str">
        <f>IFERROR(__xludf.DUMMYFUNCTION("""COMPUTED_VALUE"""),"可")</f>
        <v>可</v>
      </c>
      <c r="Q4077" s="30"/>
      <c r="R4077" s="22"/>
      <c r="S4077" s="22" t="str">
        <f>IFERROR(__xludf.DUMMYFUNCTION("""COMPUTED_VALUE"""),"20251010_講談社_愛サレてるけど、サレてます。")</f>
        <v>20251010_講談社_愛サレてるけど、サレてます。</v>
      </c>
      <c r="T4077" s="22" t="str">
        <f>IFERROR(__xludf.DUMMYFUNCTION("""COMPUTED_VALUE"""),"格納済み")</f>
        <v>格納済み</v>
      </c>
      <c r="U4077" s="9" t="str">
        <f>IFERROR(__xludf.DUMMYFUNCTION("""COMPUTED_VALUE"""),"(C)なつみ理奈/講談社")</f>
        <v>(C)なつみ理奈/講談社</v>
      </c>
      <c r="V4077" s="8"/>
      <c r="W4077" s="8"/>
      <c r="X4077" s="8" t="str">
        <f>IFERROR(__xludf.DUMMYFUNCTION("""COMPUTED_VALUE"""),"有")</f>
        <v>有</v>
      </c>
      <c r="Y4077" s="8" t="str">
        <f>IFERROR(__xludf.DUMMYFUNCTION("""COMPUTED_VALUE"""),"2025/11/7まで1巻無料")</f>
        <v>2025/11/7まで1巻無料</v>
      </c>
      <c r="Z4077" s="7"/>
      <c r="AA4077" s="7"/>
      <c r="AB4077" s="7"/>
    </row>
    <row r="4078" ht="15.75" customHeight="1">
      <c r="A4078" s="26">
        <f>IFERROR(__xludf.DUMMYFUNCTION("""COMPUTED_VALUE"""),6394.0)</f>
        <v>6394</v>
      </c>
      <c r="B4078" s="22" t="str">
        <f>IFERROR(__xludf.DUMMYFUNCTION("""COMPUTED_VALUE"""),"確定")</f>
        <v>確定</v>
      </c>
      <c r="C4078" s="28">
        <f>IFERROR(__xludf.DUMMYFUNCTION("""COMPUTED_VALUE"""),45902.0)</f>
        <v>45902</v>
      </c>
      <c r="D4078" s="28">
        <f>IFERROR(__xludf.DUMMYFUNCTION("""COMPUTED_VALUE"""),45945.0)</f>
        <v>45945</v>
      </c>
      <c r="E4078" s="26">
        <f>IFERROR(__xludf.DUMMYFUNCTION("""COMPUTED_VALUE"""),338361.0)</f>
        <v>338361</v>
      </c>
      <c r="F4078" s="22" t="str">
        <f>IFERROR(__xludf.DUMMYFUNCTION("""COMPUTED_VALUE"""),"どっちのサクラさん【分冊版】")</f>
        <v>どっちのサクラさん【分冊版】</v>
      </c>
      <c r="G4078" s="20" t="str">
        <f>IFERROR(__xludf.DUMMYFUNCTION("""COMPUTED_VALUE"""),"1～5")</f>
        <v>1～5</v>
      </c>
      <c r="H4078" s="22" t="str">
        <f>IFERROR(__xludf.DUMMYFUNCTION("""COMPUTED_VALUE"""),"深矢マサキ")</f>
        <v>深矢マサキ</v>
      </c>
      <c r="I4078" s="22" t="str">
        <f>IFERROR(__xludf.DUMMYFUNCTION("""COMPUTED_VALUE"""),"少年マンガ")</f>
        <v>少年マンガ</v>
      </c>
      <c r="J4078" s="22"/>
      <c r="K4078" s="22"/>
      <c r="L4078" s="22" t="str">
        <f>IFERROR(__xludf.DUMMYFUNCTION("""COMPUTED_VALUE"""),"macaronRINX")</f>
        <v>macaronRINX</v>
      </c>
      <c r="M4078" s="33">
        <f>IFERROR(__xludf.DUMMYFUNCTION("""COMPUTED_VALUE"""),45945.0)</f>
        <v>45945</v>
      </c>
      <c r="N4078" s="33">
        <f>IFERROR(__xludf.DUMMYFUNCTION("""COMPUTED_VALUE"""),46037.0)</f>
        <v>46037</v>
      </c>
      <c r="O4078" s="20"/>
      <c r="P4078" s="32" t="str">
        <f>IFERROR(__xludf.DUMMYFUNCTION("""COMPUTED_VALUE"""),"可")</f>
        <v>可</v>
      </c>
      <c r="Q4078" s="30"/>
      <c r="R4078" s="22"/>
      <c r="S4078" s="22" t="str">
        <f>IFERROR(__xludf.DUMMYFUNCTION("""COMPUTED_VALUE"""),"20250902_macaronRINX_どっちの⁉サクラさん")</f>
        <v>20250902_macaronRINX_どっちの⁉サクラさん</v>
      </c>
      <c r="T4078" s="22" t="str">
        <f>IFERROR(__xludf.DUMMYFUNCTION("""COMPUTED_VALUE"""),"格納済み")</f>
        <v>格納済み</v>
      </c>
      <c r="U4078" s="9" t="str">
        <f>IFERROR(__xludf.DUMMYFUNCTION("""COMPUTED_VALUE"""),"©深矢マサキ/macaronRINX")</f>
        <v>©深矢マサキ/macaronRINX</v>
      </c>
      <c r="V4078" s="8"/>
      <c r="W4078" s="8"/>
      <c r="X4078" s="8" t="str">
        <f>IFERROR(__xludf.DUMMYFUNCTION("""COMPUTED_VALUE"""),"有")</f>
        <v>有</v>
      </c>
      <c r="Y4078" s="8" t="str">
        <f>IFERROR(__xludf.DUMMYFUNCTION("""COMPUTED_VALUE"""),"2025/1/15まで1巻無料
2巻目、4巻目常時無料")</f>
        <v>2025/1/15まで1巻無料
2巻目、4巻目常時無料</v>
      </c>
      <c r="Z4078" s="7"/>
      <c r="AA4078" s="7"/>
      <c r="AB4078" s="7"/>
    </row>
    <row r="4079" ht="15.75" customHeight="1">
      <c r="A4079" s="26">
        <f>IFERROR(__xludf.DUMMYFUNCTION("""COMPUTED_VALUE"""),6395.0)</f>
        <v>6395</v>
      </c>
      <c r="B4079" s="22" t="str">
        <f>IFERROR(__xludf.DUMMYFUNCTION("""COMPUTED_VALUE"""),"確定")</f>
        <v>確定</v>
      </c>
      <c r="C4079" s="28">
        <f>IFERROR(__xludf.DUMMYFUNCTION("""COMPUTED_VALUE"""),45902.0)</f>
        <v>45902</v>
      </c>
      <c r="D4079" s="28">
        <f>IFERROR(__xludf.DUMMYFUNCTION("""COMPUTED_VALUE"""),45944.0)</f>
        <v>45944</v>
      </c>
      <c r="E4079" s="26">
        <f>IFERROR(__xludf.DUMMYFUNCTION("""COMPUTED_VALUE"""),340740.0)</f>
        <v>340740</v>
      </c>
      <c r="F4079" s="22" t="str">
        <f>IFERROR(__xludf.DUMMYFUNCTION("""COMPUTED_VALUE"""),"葬霊のラメント　～乙女は彷徨える魂に餞を～【単話版】")</f>
        <v>葬霊のラメント　～乙女は彷徨える魂に餞を～【単話版】</v>
      </c>
      <c r="G4079" s="20" t="str">
        <f>IFERROR(__xludf.DUMMYFUNCTION("""COMPUTED_VALUE"""),"1～3")</f>
        <v>1～3</v>
      </c>
      <c r="H4079" s="22" t="str">
        <f>IFERROR(__xludf.DUMMYFUNCTION("""COMPUTED_VALUE"""),"みずのもと")</f>
        <v>みずのもと</v>
      </c>
      <c r="I4079" s="22" t="str">
        <f>IFERROR(__xludf.DUMMYFUNCTION("""COMPUTED_VALUE"""),"少女")</f>
        <v>少女</v>
      </c>
      <c r="J4079" s="22"/>
      <c r="K4079" s="22"/>
      <c r="L4079" s="22" t="str">
        <f>IFERROR(__xludf.DUMMYFUNCTION("""COMPUTED_VALUE"""),"オーバーラップ")</f>
        <v>オーバーラップ</v>
      </c>
      <c r="M4079" s="33">
        <f>IFERROR(__xludf.DUMMYFUNCTION("""COMPUTED_VALUE"""),45973.0)</f>
        <v>45973</v>
      </c>
      <c r="N4079" s="33">
        <f>IFERROR(__xludf.DUMMYFUNCTION("""COMPUTED_VALUE"""),73050.0)</f>
        <v>73050</v>
      </c>
      <c r="O4079" s="20"/>
      <c r="P4079" s="32" t="str">
        <f>IFERROR(__xludf.DUMMYFUNCTION("""COMPUTED_VALUE"""),"可")</f>
        <v>可</v>
      </c>
      <c r="Q4079" s="30"/>
      <c r="R4079" s="22" t="str">
        <f>IFERROR(__xludf.DUMMYFUNCTION("""COMPUTED_VALUE"""),"コミットOK")</f>
        <v>コミットOK</v>
      </c>
      <c r="S4079" s="22" t="str">
        <f>IFERROR(__xludf.DUMMYFUNCTION("""COMPUTED_VALUE"""),"20251014_オーバーラップ_葬霊のラメント")</f>
        <v>20251014_オーバーラップ_葬霊のラメント</v>
      </c>
      <c r="T4079" s="22" t="str">
        <f>IFERROR(__xludf.DUMMYFUNCTION("""COMPUTED_VALUE"""),"格納済み")</f>
        <v>格納済み</v>
      </c>
      <c r="U4079" s="9" t="str">
        <f>IFERROR(__xludf.DUMMYFUNCTION("""COMPUTED_VALUE"""),"(c)みずのもと／オーバーラップ")</f>
        <v>(c)みずのもと／オーバーラップ</v>
      </c>
      <c r="V4079" s="8"/>
      <c r="W4079" s="8"/>
      <c r="X4079" s="8" t="str">
        <f>IFERROR(__xludf.DUMMYFUNCTION("""COMPUTED_VALUE"""),"有")</f>
        <v>有</v>
      </c>
      <c r="Y4079" s="8" t="str">
        <f>IFERROR(__xludf.DUMMYFUNCTION("""COMPUTED_VALUE"""),"P30まで")</f>
        <v>P30まで</v>
      </c>
      <c r="Z4079" s="7"/>
      <c r="AA4079" s="7"/>
      <c r="AB4079" s="7"/>
    </row>
    <row r="4080" ht="15.75" customHeight="1">
      <c r="A4080" s="26">
        <f>IFERROR(__xludf.DUMMYFUNCTION("""COMPUTED_VALUE"""),6448.0)</f>
        <v>6448</v>
      </c>
      <c r="B4080" s="22" t="str">
        <f>IFERROR(__xludf.DUMMYFUNCTION("""COMPUTED_VALUE"""),"確定")</f>
        <v>確定</v>
      </c>
      <c r="C4080" s="28">
        <f>IFERROR(__xludf.DUMMYFUNCTION("""COMPUTED_VALUE"""),45908.0)</f>
        <v>45908</v>
      </c>
      <c r="D4080" s="28">
        <f>IFERROR(__xludf.DUMMYFUNCTION("""COMPUTED_VALUE"""),45945.0)</f>
        <v>45945</v>
      </c>
      <c r="E4080" s="26">
        <f>IFERROR(__xludf.DUMMYFUNCTION("""COMPUTED_VALUE"""),340729.0)</f>
        <v>340729</v>
      </c>
      <c r="F4080" s="22" t="str">
        <f>IFERROR(__xludf.DUMMYFUNCTION("""COMPUTED_VALUE"""),"ただいま、椿くん【マイクロ】")</f>
        <v>ただいま、椿くん【マイクロ】</v>
      </c>
      <c r="G4080" s="20" t="str">
        <f>IFERROR(__xludf.DUMMYFUNCTION("""COMPUTED_VALUE"""),"1～3")</f>
        <v>1～3</v>
      </c>
      <c r="H4080" s="22" t="str">
        <f>IFERROR(__xludf.DUMMYFUNCTION("""COMPUTED_VALUE"""),"Ｋｕｒｏｇｏｍａ．")</f>
        <v>Ｋｕｒｏｇｏｍａ．</v>
      </c>
      <c r="I4080" s="22" t="str">
        <f>IFERROR(__xludf.DUMMYFUNCTION("""COMPUTED_VALUE"""),"女性")</f>
        <v>女性</v>
      </c>
      <c r="J4080" s="22"/>
      <c r="K4080" s="22" t="str">
        <f>IFERROR(__xludf.DUMMYFUNCTION("""COMPUTED_VALUE"""),"フラコミ like!")</f>
        <v>フラコミ like!</v>
      </c>
      <c r="L4080" s="22" t="str">
        <f>IFERROR(__xludf.DUMMYFUNCTION("""COMPUTED_VALUE"""),"小学館")</f>
        <v>小学館</v>
      </c>
      <c r="M4080" s="33">
        <f>IFERROR(__xludf.DUMMYFUNCTION("""COMPUTED_VALUE"""),45971.0)</f>
        <v>45971</v>
      </c>
      <c r="N4080" s="33">
        <f>IFERROR(__xludf.DUMMYFUNCTION("""COMPUTED_VALUE"""),46031.0)</f>
        <v>46031</v>
      </c>
      <c r="O4080" s="20"/>
      <c r="P4080" s="32" t="str">
        <f>IFERROR(__xludf.DUMMYFUNCTION("""COMPUTED_VALUE"""),"否")</f>
        <v>否</v>
      </c>
      <c r="Q4080" s="30" t="str">
        <f>IFERROR(__xludf.DUMMYFUNCTION("""COMPUTED_VALUE"""),"ヒロインの失恋をきっかけに始まる、&lt;BR&gt;不器用女子×ていねい男子のど田舎ルームシェアライフ物語です。まだ漫画家としては実績のない作家さんですが、&lt;BR&gt;可愛らしい絵柄が女性読者に刺さると嬉しいなと考えております…！")</f>
        <v>ヒロインの失恋をきっかけに始まる、&lt;BR&gt;不器用女子×ていねい男子のど田舎ルームシェアライフ物語です。まだ漫画家としては実績のない作家さんですが、&lt;BR&gt;可愛らしい絵柄が女性読者に刺さると嬉しいなと考えております…！</v>
      </c>
      <c r="R4080" s="22" t="str">
        <f>IFERROR(__xludf.DUMMYFUNCTION("""COMPUTED_VALUE"""),"コミットOK")</f>
        <v>コミットOK</v>
      </c>
      <c r="S4080" s="22" t="str">
        <f>IFERROR(__xludf.DUMMYFUNCTION("""COMPUTED_VALUE"""),"20251014_小学館_ただいま、椿くん【マイクロ】")</f>
        <v>20251014_小学館_ただいま、椿くん【マイクロ】</v>
      </c>
      <c r="T4080" s="22" t="str">
        <f>IFERROR(__xludf.DUMMYFUNCTION("""COMPUTED_VALUE"""),"格納済み")</f>
        <v>格納済み</v>
      </c>
      <c r="U4080" s="9" t="str">
        <f>IFERROR(__xludf.DUMMYFUNCTION("""COMPUTED_VALUE"""),"(C)Ｋｕｒｏｇｏｍａ． / 小学館")</f>
        <v>(C)Ｋｕｒｏｇｏｍａ． / 小学館</v>
      </c>
      <c r="V4080" s="8"/>
      <c r="W4080" s="8"/>
      <c r="X4080" s="8" t="str">
        <f>IFERROR(__xludf.DUMMYFUNCTION("""COMPUTED_VALUE"""),"有")</f>
        <v>有</v>
      </c>
      <c r="Y4080" s="8" t="str">
        <f>IFERROR(__xludf.DUMMYFUNCTION("""COMPUTED_VALUE"""),"2026/1/9まで1巻無料")</f>
        <v>2026/1/9まで1巻無料</v>
      </c>
      <c r="Z4080" s="7"/>
      <c r="AA4080" s="7"/>
      <c r="AB4080" s="7"/>
    </row>
    <row r="4081" ht="15.75" customHeight="1">
      <c r="A4081" s="26">
        <f>IFERROR(__xludf.DUMMYFUNCTION("""COMPUTED_VALUE"""),6459.0)</f>
        <v>6459</v>
      </c>
      <c r="B4081" s="22" t="str">
        <f>IFERROR(__xludf.DUMMYFUNCTION("""COMPUTED_VALUE"""),"確定")</f>
        <v>確定</v>
      </c>
      <c r="C4081" s="28">
        <f>IFERROR(__xludf.DUMMYFUNCTION("""COMPUTED_VALUE"""),45908.0)</f>
        <v>45908</v>
      </c>
      <c r="D4081" s="28">
        <f>IFERROR(__xludf.DUMMYFUNCTION("""COMPUTED_VALUE"""),45940.0)</f>
        <v>45940</v>
      </c>
      <c r="E4081" s="26">
        <f>IFERROR(__xludf.DUMMYFUNCTION("""COMPUTED_VALUE"""),343936.0)</f>
        <v>343936</v>
      </c>
      <c r="F4081" s="22" t="str">
        <f>IFERROR(__xludf.DUMMYFUNCTION("""COMPUTED_VALUE"""),"俺たちずっと両想いだもんね? ～初恋幼馴染に10年分の執愛注がれてます!?～")</f>
        <v>俺たちずっと両想いだもんね? ～初恋幼馴染に10年分の執愛注がれてます!?～</v>
      </c>
      <c r="G4081" s="20" t="str">
        <f>IFERROR(__xludf.DUMMYFUNCTION("""COMPUTED_VALUE"""),"1～3")</f>
        <v>1～3</v>
      </c>
      <c r="H4081" s="22" t="str">
        <f>IFERROR(__xludf.DUMMYFUNCTION("""COMPUTED_VALUE"""),"OU")</f>
        <v>OU</v>
      </c>
      <c r="I4081" s="22" t="str">
        <f>IFERROR(__xludf.DUMMYFUNCTION("""COMPUTED_VALUE"""),"TL")</f>
        <v>TL</v>
      </c>
      <c r="J4081" s="22"/>
      <c r="K4081" s="22" t="str">
        <f>IFERROR(__xludf.DUMMYFUNCTION("""COMPUTED_VALUE"""),"e乙蜜コミックス")</f>
        <v>e乙蜜コミックス</v>
      </c>
      <c r="L4081" s="22" t="str">
        <f>IFERROR(__xludf.DUMMYFUNCTION("""COMPUTED_VALUE"""),"リブレ")</f>
        <v>リブレ</v>
      </c>
      <c r="M4081" s="33">
        <f>IFERROR(__xludf.DUMMYFUNCTION("""COMPUTED_VALUE"""),46009.0)</f>
        <v>46009</v>
      </c>
      <c r="N4081" s="33">
        <f>IFERROR(__xludf.DUMMYFUNCTION("""COMPUTED_VALUE"""),46071.0)</f>
        <v>46071</v>
      </c>
      <c r="O4081" s="20"/>
      <c r="P4081" s="32" t="str">
        <f>IFERROR(__xludf.DUMMYFUNCTION("""COMPUTED_VALUE"""),"可")</f>
        <v>可</v>
      </c>
      <c r="Q4081" s="30"/>
      <c r="R4081" s="22" t="str">
        <f>IFERROR(__xludf.DUMMYFUNCTION("""COMPUTED_VALUE"""),"コミットOK")</f>
        <v>コミットOK</v>
      </c>
      <c r="S4081" s="22" t="str">
        <f>IFERROR(__xludf.DUMMYFUNCTION("""COMPUTED_VALUE"""),"20251010_リブレ_俺たちずっと両想いだもんね")</f>
        <v>20251010_リブレ_俺たちずっと両想いだもんね</v>
      </c>
      <c r="T4081" s="22" t="str">
        <f>IFERROR(__xludf.DUMMYFUNCTION("""COMPUTED_VALUE"""),"格納済み")</f>
        <v>格納済み</v>
      </c>
      <c r="U4081" s="9" t="str">
        <f>IFERROR(__xludf.DUMMYFUNCTION("""COMPUTED_VALUE"""),"(C)OU/libre")</f>
        <v>(C)OU/libre</v>
      </c>
      <c r="V4081" s="8"/>
      <c r="W4081" s="8"/>
      <c r="X4081" s="8" t="str">
        <f>IFERROR(__xludf.DUMMYFUNCTION("""COMPUTED_VALUE"""),"有")</f>
        <v>有</v>
      </c>
      <c r="Y4081" s="8" t="str">
        <f>IFERROR(__xludf.DUMMYFUNCTION("""COMPUTED_VALUE"""),"2025/12/31まで1巻無料")</f>
        <v>2025/12/31まで1巻無料</v>
      </c>
      <c r="Z4081" s="7"/>
      <c r="AA4081" s="7"/>
      <c r="AB4081" s="7"/>
    </row>
    <row r="4082" ht="15.75" customHeight="1">
      <c r="A4082" s="26">
        <f>IFERROR(__xludf.DUMMYFUNCTION("""COMPUTED_VALUE"""),6479.0)</f>
        <v>6479</v>
      </c>
      <c r="B4082" s="22" t="str">
        <f>IFERROR(__xludf.DUMMYFUNCTION("""COMPUTED_VALUE"""),"確定")</f>
        <v>確定</v>
      </c>
      <c r="C4082" s="28">
        <f>IFERROR(__xludf.DUMMYFUNCTION("""COMPUTED_VALUE"""),45911.0)</f>
        <v>45911</v>
      </c>
      <c r="D4082" s="28">
        <f>IFERROR(__xludf.DUMMYFUNCTION("""COMPUTED_VALUE"""),45938.0)</f>
        <v>45938</v>
      </c>
      <c r="E4082" s="26">
        <f>IFERROR(__xludf.DUMMYFUNCTION("""COMPUTED_VALUE"""),339327.0)</f>
        <v>339327</v>
      </c>
      <c r="F4082" s="22" t="str">
        <f>IFERROR(__xludf.DUMMYFUNCTION("""COMPUTED_VALUE"""),"Berry’sFantasy魅了持ちの姉に奪われる人生はもう終わりにします～毒家族に虐げられた心読み令嬢が幸せになるまで～")</f>
        <v>Berry’sFantasy魅了持ちの姉に奪われる人生はもう終わりにします～毒家族に虐げられた心読み令嬢が幸せになるまで～</v>
      </c>
      <c r="G4082" s="20" t="str">
        <f>IFERROR(__xludf.DUMMYFUNCTION("""COMPUTED_VALUE"""),"1～5")</f>
        <v>1～5</v>
      </c>
      <c r="H4082" s="22" t="str">
        <f>IFERROR(__xludf.DUMMYFUNCTION("""COMPUTED_VALUE"""),"小森てん,鈴宮,桜花舞")</f>
        <v>小森てん,鈴宮,桜花舞</v>
      </c>
      <c r="I4082" s="22" t="str">
        <f>IFERROR(__xludf.DUMMYFUNCTION("""COMPUTED_VALUE"""),"女性")</f>
        <v>女性</v>
      </c>
      <c r="J4082" s="22"/>
      <c r="K4082" s="22"/>
      <c r="L4082" s="22" t="str">
        <f>IFERROR(__xludf.DUMMYFUNCTION("""COMPUTED_VALUE"""),"スターツ出版")</f>
        <v>スターツ出版</v>
      </c>
      <c r="M4082" s="33">
        <f>IFERROR(__xludf.DUMMYFUNCTION("""COMPUTED_VALUE"""),45954.0)</f>
        <v>45954</v>
      </c>
      <c r="N4082" s="33">
        <f>IFERROR(__xludf.DUMMYFUNCTION("""COMPUTED_VALUE"""),46016.0)</f>
        <v>46016</v>
      </c>
      <c r="O4082" s="20"/>
      <c r="P4082" s="32" t="str">
        <f>IFERROR(__xludf.DUMMYFUNCTION("""COMPUTED_VALUE"""),"否")</f>
        <v>否</v>
      </c>
      <c r="Q4082" s="30"/>
      <c r="R4082" s="22" t="str">
        <f>IFERROR(__xludf.DUMMYFUNCTION("""COMPUTED_VALUE"""),"コミットOK")</f>
        <v>コミットOK</v>
      </c>
      <c r="S4082" s="22" t="str">
        <f>IFERROR(__xludf.DUMMYFUNCTION("""COMPUTED_VALUE"""),"20251008_スターツ出版_魅了持ちの姉に奪われる人生はもう終わりにします～毒家族に虐げられた心読み令嬢が幸せになるまで～")</f>
        <v>20251008_スターツ出版_魅了持ちの姉に奪われる人生はもう終わりにします～毒家族に虐げられた心読み令嬢が幸せになるまで～</v>
      </c>
      <c r="T4082" s="22" t="str">
        <f>IFERROR(__xludf.DUMMYFUNCTION("""COMPUTED_VALUE"""),"格納済み")</f>
        <v>格納済み</v>
      </c>
      <c r="U4082" s="9" t="str">
        <f>IFERROR(__xludf.DUMMYFUNCTION("""COMPUTED_VALUE"""),"（C）Ten Komori・Suzumiya/スターツ出版")</f>
        <v>（C）Ten Komori・Suzumiya/スターツ出版</v>
      </c>
      <c r="V4082" s="8"/>
      <c r="W4082" s="8"/>
      <c r="X4082" s="8" t="str">
        <f>IFERROR(__xludf.DUMMYFUNCTION("""COMPUTED_VALUE"""),"有")</f>
        <v>有</v>
      </c>
      <c r="Y4082" s="8" t="str">
        <f>IFERROR(__xludf.DUMMYFUNCTION("""COMPUTED_VALUE"""),"2025/11/6まで1巻無料")</f>
        <v>2025/11/6まで1巻無料</v>
      </c>
      <c r="Z4082" s="7"/>
      <c r="AA4082" s="7"/>
      <c r="AB4082" s="7"/>
    </row>
    <row r="4083" ht="15.75" customHeight="1">
      <c r="A4083" s="26">
        <f>IFERROR(__xludf.DUMMYFUNCTION("""COMPUTED_VALUE"""),6494.0)</f>
        <v>6494</v>
      </c>
      <c r="B4083" s="22" t="str">
        <f>IFERROR(__xludf.DUMMYFUNCTION("""COMPUTED_VALUE"""),"確定")</f>
        <v>確定</v>
      </c>
      <c r="C4083" s="28">
        <f>IFERROR(__xludf.DUMMYFUNCTION("""COMPUTED_VALUE"""),45916.0)</f>
        <v>45916</v>
      </c>
      <c r="D4083" s="28">
        <f>IFERROR(__xludf.DUMMYFUNCTION("""COMPUTED_VALUE"""),45929.0)</f>
        <v>45929</v>
      </c>
      <c r="E4083" s="26">
        <f>IFERROR(__xludf.DUMMYFUNCTION("""COMPUTED_VALUE"""),341593.0)</f>
        <v>341593</v>
      </c>
      <c r="F4083" s="22" t="str">
        <f>IFERROR(__xludf.DUMMYFUNCTION("""COMPUTED_VALUE"""),"ヤンデレ幼馴染と過保護な義弟はどっちも私を溺愛してる")</f>
        <v>ヤンデレ幼馴染と過保護な義弟はどっちも私を溺愛してる</v>
      </c>
      <c r="G4083" s="20" t="str">
        <f>IFERROR(__xludf.DUMMYFUNCTION("""COMPUTED_VALUE"""),"1～3")</f>
        <v>1～3</v>
      </c>
      <c r="H4083" s="22" t="str">
        <f>IFERROR(__xludf.DUMMYFUNCTION("""COMPUTED_VALUE"""),"君ねこ┴近")</f>
        <v>君ねこ┴近</v>
      </c>
      <c r="I4083" s="22" t="str">
        <f>IFERROR(__xludf.DUMMYFUNCTION("""COMPUTED_VALUE"""),"TL")</f>
        <v>TL</v>
      </c>
      <c r="J4083" s="22"/>
      <c r="K4083" s="22" t="str">
        <f>IFERROR(__xludf.DUMMYFUNCTION("""COMPUTED_VALUE"""),"lou lou")</f>
        <v>lou lou</v>
      </c>
      <c r="L4083" s="22" t="str">
        <f>IFERROR(__xludf.DUMMYFUNCTION("""COMPUTED_VALUE"""),"渋谷六花舎")</f>
        <v>渋谷六花舎</v>
      </c>
      <c r="M4083" s="33">
        <f>IFERROR(__xludf.DUMMYFUNCTION("""COMPUTED_VALUE"""),45979.0)</f>
        <v>45979</v>
      </c>
      <c r="N4083" s="33">
        <f>IFERROR(__xludf.DUMMYFUNCTION("""COMPUTED_VALUE"""),46070.0)</f>
        <v>46070</v>
      </c>
      <c r="O4083" s="20"/>
      <c r="P4083" s="32" t="str">
        <f>IFERROR(__xludf.DUMMYFUNCTION("""COMPUTED_VALUE"""),"可")</f>
        <v>可</v>
      </c>
      <c r="Q4083" s="30" t="str">
        <f>IFERROR(__xludf.DUMMYFUNCTION("""COMPUTED_VALUE"""),"【アダルト作品扱い】&lt;BR&gt;オトナコミックへのジャンル変更も可能です")</f>
        <v>【アダルト作品扱い】&lt;BR&gt;オトナコミックへのジャンル変更も可能です</v>
      </c>
      <c r="R4083" s="22" t="str">
        <f>IFERROR(__xludf.DUMMYFUNCTION("""COMPUTED_VALUE"""),"コミットOK")</f>
        <v>コミットOK</v>
      </c>
      <c r="S4083" s="22" t="str">
        <f>IFERROR(__xludf.DUMMYFUNCTION("""COMPUTED_VALUE"""),"20251015_渋谷六花舎_ヤンデレ幼馴染と過保護な義弟はどっちも私を溺愛してる")</f>
        <v>20251015_渋谷六花舎_ヤンデレ幼馴染と過保護な義弟はどっちも私を溺愛してる</v>
      </c>
      <c r="T4083" s="22" t="str">
        <f>IFERROR(__xludf.DUMMYFUNCTION("""COMPUTED_VALUE"""),"格納済み")</f>
        <v>格納済み</v>
      </c>
      <c r="U4083" s="9" t="str">
        <f>IFERROR(__xludf.DUMMYFUNCTION("""COMPUTED_VALUE"""),"（C）君ねこ/近/渋谷六花舎")</f>
        <v>（C）君ねこ/近/渋谷六花舎</v>
      </c>
      <c r="V4083" s="8"/>
      <c r="W4083" s="8"/>
      <c r="X4083" s="8" t="str">
        <f>IFERROR(__xludf.DUMMYFUNCTION("""COMPUTED_VALUE"""),"有")</f>
        <v>有</v>
      </c>
      <c r="Y4083" s="8" t="str">
        <f>IFERROR(__xludf.DUMMYFUNCTION("""COMPUTED_VALUE"""),"P8まで")</f>
        <v>P8まで</v>
      </c>
      <c r="Z4083" s="7"/>
      <c r="AA4083" s="7"/>
      <c r="AB4083" s="7"/>
    </row>
    <row r="4084" ht="15.75" customHeight="1">
      <c r="A4084" s="26">
        <f>IFERROR(__xludf.DUMMYFUNCTION("""COMPUTED_VALUE"""),6495.0)</f>
        <v>6495</v>
      </c>
      <c r="B4084" s="22" t="str">
        <f>IFERROR(__xludf.DUMMYFUNCTION("""COMPUTED_VALUE"""),"確定")</f>
        <v>確定</v>
      </c>
      <c r="C4084" s="28">
        <f>IFERROR(__xludf.DUMMYFUNCTION("""COMPUTED_VALUE"""),45916.0)</f>
        <v>45916</v>
      </c>
      <c r="D4084" s="28">
        <f>IFERROR(__xludf.DUMMYFUNCTION("""COMPUTED_VALUE"""),45940.0)</f>
        <v>45940</v>
      </c>
      <c r="E4084" s="26">
        <f>IFERROR(__xludf.DUMMYFUNCTION("""COMPUTED_VALUE"""),342612.0)</f>
        <v>342612</v>
      </c>
      <c r="F4084" s="22" t="str">
        <f>IFERROR(__xludf.DUMMYFUNCTION("""COMPUTED_VALUE"""),"リグレット ～アッコちゃんの秘密～")</f>
        <v>リグレット ～アッコちゃんの秘密～</v>
      </c>
      <c r="G4084" s="20" t="str">
        <f>IFERROR(__xludf.DUMMYFUNCTION("""COMPUTED_VALUE"""),"1～3")</f>
        <v>1～3</v>
      </c>
      <c r="H4084" s="22" t="str">
        <f>IFERROR(__xludf.DUMMYFUNCTION("""COMPUTED_VALUE"""),"刀根壱睡┴あさみさとる")</f>
        <v>刀根壱睡┴あさみさとる</v>
      </c>
      <c r="I4084" s="22" t="str">
        <f>IFERROR(__xludf.DUMMYFUNCTION("""COMPUTED_VALUE"""),"女性")</f>
        <v>女性</v>
      </c>
      <c r="J4084" s="22"/>
      <c r="K4084" s="22" t="str">
        <f>IFERROR(__xludf.DUMMYFUNCTION("""COMPUTED_VALUE"""),"NEOKANO")</f>
        <v>NEOKANO</v>
      </c>
      <c r="L4084" s="22" t="str">
        <f>IFERROR(__xludf.DUMMYFUNCTION("""COMPUTED_VALUE"""),"NEOKANO")</f>
        <v>NEOKANO</v>
      </c>
      <c r="M4084" s="33">
        <f>IFERROR(__xludf.DUMMYFUNCTION("""COMPUTED_VALUE"""),45990.0)</f>
        <v>45990</v>
      </c>
      <c r="N4084" s="33">
        <f>IFERROR(__xludf.DUMMYFUNCTION("""COMPUTED_VALUE"""),46081.0)</f>
        <v>46081</v>
      </c>
      <c r="O4084" s="20"/>
      <c r="P4084" s="32" t="str">
        <f>IFERROR(__xludf.DUMMYFUNCTION("""COMPUTED_VALUE"""),"可")</f>
        <v>可</v>
      </c>
      <c r="Q4084" s="30"/>
      <c r="R4084" s="22" t="str">
        <f>IFERROR(__xludf.DUMMYFUNCTION("""COMPUTED_VALUE"""),"コミットOK")</f>
        <v>コミットOK</v>
      </c>
      <c r="S4084" s="22" t="str">
        <f>IFERROR(__xludf.DUMMYFUNCTION("""COMPUTED_VALUE"""),"20251010_NEOKANO_リグレット ～アッコちゃんの秘密～")</f>
        <v>20251010_NEOKANO_リグレット ～アッコちゃんの秘密～</v>
      </c>
      <c r="T4084" s="22" t="str">
        <f>IFERROR(__xludf.DUMMYFUNCTION("""COMPUTED_VALUE"""),"格納済み")</f>
        <v>格納済み</v>
      </c>
      <c r="U4084" s="9" t="str">
        <f>IFERROR(__xludf.DUMMYFUNCTION("""COMPUTED_VALUE"""),"（C）刀根壱睡／あさみさとる／カノン")</f>
        <v>（C）刀根壱睡／あさみさとる／カノン</v>
      </c>
      <c r="V4084" s="8"/>
      <c r="W4084" s="8"/>
      <c r="X4084" s="8" t="str">
        <f>IFERROR(__xludf.DUMMYFUNCTION("""COMPUTED_VALUE"""),"有")</f>
        <v>有</v>
      </c>
      <c r="Y4084" s="8" t="str">
        <f>IFERROR(__xludf.DUMMYFUNCTION("""COMPUTED_VALUE"""),"P8まで")</f>
        <v>P8まで</v>
      </c>
      <c r="Z4084" s="7"/>
      <c r="AA4084" s="7"/>
      <c r="AB4084" s="7"/>
    </row>
    <row r="4085" ht="15.75" customHeight="1">
      <c r="A4085" s="26">
        <f>IFERROR(__xludf.DUMMYFUNCTION("""COMPUTED_VALUE"""),6566.0)</f>
        <v>6566</v>
      </c>
      <c r="B4085" s="22" t="str">
        <f>IFERROR(__xludf.DUMMYFUNCTION("""COMPUTED_VALUE"""),"確定")</f>
        <v>確定</v>
      </c>
      <c r="C4085" s="28">
        <f>IFERROR(__xludf.DUMMYFUNCTION("""COMPUTED_VALUE"""),45929.0)</f>
        <v>45929</v>
      </c>
      <c r="D4085" s="28">
        <f>IFERROR(__xludf.DUMMYFUNCTION("""COMPUTED_VALUE"""),45945.0)</f>
        <v>45945</v>
      </c>
      <c r="E4085" s="26">
        <f>IFERROR(__xludf.DUMMYFUNCTION("""COMPUTED_VALUE"""),342221.0)</f>
        <v>342221</v>
      </c>
      <c r="F4085" s="22" t="str">
        <f>IFERROR(__xludf.DUMMYFUNCTION("""COMPUTED_VALUE"""),"時計台の大聖女は婚約破棄に歓喜する 分冊版")</f>
        <v>時計台の大聖女は婚約破棄に歓喜する 分冊版</v>
      </c>
      <c r="G4085" s="20" t="str">
        <f>IFERROR(__xludf.DUMMYFUNCTION("""COMPUTED_VALUE"""),"1～5")</f>
        <v>1～5</v>
      </c>
      <c r="H4085" s="22" t="str">
        <f>IFERROR(__xludf.DUMMYFUNCTION("""COMPUTED_VALUE"""),"原作/糸加 漫画/一 メルカ キャラクター原案/御子柴リョウ")</f>
        <v>原作/糸加 漫画/一 メルカ キャラクター原案/御子柴リョウ</v>
      </c>
      <c r="I4085" s="22" t="str">
        <f>IFERROR(__xludf.DUMMYFUNCTION("""COMPUTED_VALUE"""),"女性")</f>
        <v>女性</v>
      </c>
      <c r="J4085" s="22"/>
      <c r="K4085" s="22"/>
      <c r="L4085" s="22" t="str">
        <f>IFERROR(__xludf.DUMMYFUNCTION("""COMPUTED_VALUE"""),"集英社")</f>
        <v>集英社</v>
      </c>
      <c r="M4085" s="33">
        <f>IFERROR(__xludf.DUMMYFUNCTION("""COMPUTED_VALUE"""),45971.0)</f>
        <v>45971</v>
      </c>
      <c r="N4085" s="33">
        <f>IFERROR(__xludf.DUMMYFUNCTION("""COMPUTED_VALUE"""),46000.0)</f>
        <v>46000</v>
      </c>
      <c r="O4085" s="20"/>
      <c r="P4085" s="32" t="str">
        <f>IFERROR(__xludf.DUMMYFUNCTION("""COMPUTED_VALUE"""),"否")</f>
        <v>否</v>
      </c>
      <c r="Q4085" s="30"/>
      <c r="R4085" s="22" t="str">
        <f>IFERROR(__xludf.DUMMYFUNCTION("""COMPUTED_VALUE"""),"コミットNG")</f>
        <v>コミットNG</v>
      </c>
      <c r="S4085" s="22" t="str">
        <f>IFERROR(__xludf.DUMMYFUNCTION("""COMPUTED_VALUE"""),"20251014_集英社_時計台の大聖女は婚約破棄に歓喜する")</f>
        <v>20251014_集英社_時計台の大聖女は婚約破棄に歓喜する</v>
      </c>
      <c r="T4085" s="22" t="str">
        <f>IFERROR(__xludf.DUMMYFUNCTION("""COMPUTED_VALUE"""),"格納済み")</f>
        <v>格納済み</v>
      </c>
      <c r="U4085" s="9" t="str">
        <f>IFERROR(__xludf.DUMMYFUNCTION("""COMPUTED_VALUE"""),"(c)糸加・一 メルカ・御子柴リョウ/集英社")</f>
        <v>(c)糸加・一 メルカ・御子柴リョウ/集英社</v>
      </c>
      <c r="V4085" s="8"/>
      <c r="W4085" s="8"/>
      <c r="X4085" s="8" t="str">
        <f>IFERROR(__xludf.DUMMYFUNCTION("""COMPUTED_VALUE"""),"有")</f>
        <v>有</v>
      </c>
      <c r="Y4085" s="8" t="str">
        <f>IFERROR(__xludf.DUMMYFUNCTION("""COMPUTED_VALUE"""),"2025/12/9まで1巻無料")</f>
        <v>2025/12/9まで1巻無料</v>
      </c>
      <c r="Z4085" s="7"/>
      <c r="AA4085" s="7"/>
      <c r="AB4085" s="7"/>
    </row>
    <row r="4086" ht="15.75" customHeight="1">
      <c r="A4086" s="26">
        <f>IFERROR(__xludf.DUMMYFUNCTION("""COMPUTED_VALUE"""),6585.0)</f>
        <v>6585</v>
      </c>
      <c r="B4086" s="22" t="str">
        <f>IFERROR(__xludf.DUMMYFUNCTION("""COMPUTED_VALUE"""),"確定")</f>
        <v>確定</v>
      </c>
      <c r="C4086" s="28">
        <f>IFERROR(__xludf.DUMMYFUNCTION("""COMPUTED_VALUE"""),45932.0)</f>
        <v>45932</v>
      </c>
      <c r="D4086" s="28">
        <f>IFERROR(__xludf.DUMMYFUNCTION("""COMPUTED_VALUE"""),45940.0)</f>
        <v>45940</v>
      </c>
      <c r="E4086" s="26">
        <f>IFERROR(__xludf.DUMMYFUNCTION("""COMPUTED_VALUE"""),340974.0)</f>
        <v>340974</v>
      </c>
      <c r="F4086" s="22" t="str">
        <f>IFERROR(__xludf.DUMMYFUNCTION("""COMPUTED_VALUE"""),"それでも好きだと言わせてよ")</f>
        <v>それでも好きだと言わせてよ</v>
      </c>
      <c r="G4086" s="20" t="str">
        <f>IFERROR(__xludf.DUMMYFUNCTION("""COMPUTED_VALUE"""),"1～3")</f>
        <v>1～3</v>
      </c>
      <c r="H4086" s="22" t="str">
        <f>IFERROR(__xludf.DUMMYFUNCTION("""COMPUTED_VALUE"""),"室岡")</f>
        <v>室岡</v>
      </c>
      <c r="I4086" s="22" t="str">
        <f>IFERROR(__xludf.DUMMYFUNCTION("""COMPUTED_VALUE"""),"BLマンガ")</f>
        <v>BLマンガ</v>
      </c>
      <c r="J4086" s="22"/>
      <c r="K4086" s="22" t="str">
        <f>IFERROR(__xludf.DUMMYFUNCTION("""COMPUTED_VALUE"""),"Tulle")</f>
        <v>Tulle</v>
      </c>
      <c r="L4086" s="22" t="str">
        <f>IFERROR(__xludf.DUMMYFUNCTION("""COMPUTED_VALUE"""),"ブライト出版")</f>
        <v>ブライト出版</v>
      </c>
      <c r="M4086" s="33">
        <f>IFERROR(__xludf.DUMMYFUNCTION("""COMPUTED_VALUE"""),45976.0)</f>
        <v>45976</v>
      </c>
      <c r="N4086" s="33">
        <f>IFERROR(__xludf.DUMMYFUNCTION("""COMPUTED_VALUE"""),46080.0)</f>
        <v>46080</v>
      </c>
      <c r="O4086" s="20"/>
      <c r="P4086" s="32" t="str">
        <f>IFERROR(__xludf.DUMMYFUNCTION("""COMPUTED_VALUE"""),"可")</f>
        <v>可</v>
      </c>
      <c r="Q4086" s="30" t="str">
        <f>IFERROR(__xludf.DUMMYFUNCTION("""COMPUTED_VALUE"""),"【アダルト作品扱い】")</f>
        <v>【アダルト作品扱い】</v>
      </c>
      <c r="R4086" s="22" t="str">
        <f>IFERROR(__xludf.DUMMYFUNCTION("""COMPUTED_VALUE"""),"コミットOK")</f>
        <v>コミットOK</v>
      </c>
      <c r="S4086" s="22" t="str">
        <f>IFERROR(__xludf.DUMMYFUNCTION("""COMPUTED_VALUE"""),"20251015_ブライト出版_それでも好きだと言わせてよ")</f>
        <v>20251015_ブライト出版_それでも好きだと言わせてよ</v>
      </c>
      <c r="T4086" s="22" t="str">
        <f>IFERROR(__xludf.DUMMYFUNCTION("""COMPUTED_VALUE"""),"格納済み")</f>
        <v>格納済み</v>
      </c>
      <c r="U4086" s="9" t="str">
        <f>IFERROR(__xludf.DUMMYFUNCTION("""COMPUTED_VALUE"""),"(C)室岡／ブライト出版")</f>
        <v>(C)室岡／ブライト出版</v>
      </c>
      <c r="V4086" s="8"/>
      <c r="W4086" s="8"/>
      <c r="X4086" s="8" t="str">
        <f>IFERROR(__xludf.DUMMYFUNCTION("""COMPUTED_VALUE"""),"有")</f>
        <v>有</v>
      </c>
      <c r="Y4086" s="8" t="str">
        <f>IFERROR(__xludf.DUMMYFUNCTION("""COMPUTED_VALUE"""),"2025/11/28まで1巻無料")</f>
        <v>2025/11/28まで1巻無料</v>
      </c>
      <c r="Z4086" s="7"/>
      <c r="AA4086" s="7"/>
      <c r="AB4086" s="7"/>
    </row>
    <row r="4087" ht="15.75" customHeight="1">
      <c r="A4087" s="26">
        <f>IFERROR(__xludf.DUMMYFUNCTION("""COMPUTED_VALUE"""),6586.0)</f>
        <v>6586</v>
      </c>
      <c r="B4087" s="22" t="str">
        <f>IFERROR(__xludf.DUMMYFUNCTION("""COMPUTED_VALUE"""),"確定")</f>
        <v>確定</v>
      </c>
      <c r="C4087" s="28">
        <f>IFERROR(__xludf.DUMMYFUNCTION("""COMPUTED_VALUE"""),45932.0)</f>
        <v>45932</v>
      </c>
      <c r="D4087" s="28">
        <f>IFERROR(__xludf.DUMMYFUNCTION("""COMPUTED_VALUE"""),45944.0)</f>
        <v>45944</v>
      </c>
      <c r="E4087" s="26">
        <f>IFERROR(__xludf.DUMMYFUNCTION("""COMPUTED_VALUE"""),340973.0)</f>
        <v>340973</v>
      </c>
      <c r="F4087" s="22" t="str">
        <f>IFERROR(__xludf.DUMMYFUNCTION("""COMPUTED_VALUE"""),"岬くんから逃げられない")</f>
        <v>岬くんから逃げられない</v>
      </c>
      <c r="G4087" s="20" t="str">
        <f>IFERROR(__xludf.DUMMYFUNCTION("""COMPUTED_VALUE"""),"1～3")</f>
        <v>1～3</v>
      </c>
      <c r="H4087" s="22" t="str">
        <f>IFERROR(__xludf.DUMMYFUNCTION("""COMPUTED_VALUE"""),"つくだに")</f>
        <v>つくだに</v>
      </c>
      <c r="I4087" s="22" t="str">
        <f>IFERROR(__xludf.DUMMYFUNCTION("""COMPUTED_VALUE"""),"BL")</f>
        <v>BL</v>
      </c>
      <c r="J4087" s="22"/>
      <c r="K4087" s="22" t="str">
        <f>IFERROR(__xludf.DUMMYFUNCTION("""COMPUTED_VALUE"""),"Tulle")</f>
        <v>Tulle</v>
      </c>
      <c r="L4087" s="22" t="str">
        <f>IFERROR(__xludf.DUMMYFUNCTION("""COMPUTED_VALUE"""),"ブライト出版")</f>
        <v>ブライト出版</v>
      </c>
      <c r="M4087" s="33">
        <f>IFERROR(__xludf.DUMMYFUNCTION("""COMPUTED_VALUE"""),45976.0)</f>
        <v>45976</v>
      </c>
      <c r="N4087" s="33">
        <f>IFERROR(__xludf.DUMMYFUNCTION("""COMPUTED_VALUE"""),46080.0)</f>
        <v>46080</v>
      </c>
      <c r="O4087" s="20"/>
      <c r="P4087" s="32" t="str">
        <f>IFERROR(__xludf.DUMMYFUNCTION("""COMPUTED_VALUE"""),"可")</f>
        <v>可</v>
      </c>
      <c r="Q4087" s="30"/>
      <c r="R4087" s="22" t="str">
        <f>IFERROR(__xludf.DUMMYFUNCTION("""COMPUTED_VALUE"""),"コミットOK")</f>
        <v>コミットOK</v>
      </c>
      <c r="S4087" s="22" t="str">
        <f>IFERROR(__xludf.DUMMYFUNCTION("""COMPUTED_VALUE"""),"20251014_ブライト出版_岬くんから逃げられない")</f>
        <v>20251014_ブライト出版_岬くんから逃げられない</v>
      </c>
      <c r="T4087" s="22" t="str">
        <f>IFERROR(__xludf.DUMMYFUNCTION("""COMPUTED_VALUE"""),"格納済み")</f>
        <v>格納済み</v>
      </c>
      <c r="U4087" s="9" t="str">
        <f>IFERROR(__xludf.DUMMYFUNCTION("""COMPUTED_VALUE"""),"(C)つくだに／ブライト出版")</f>
        <v>(C)つくだに／ブライト出版</v>
      </c>
      <c r="V4087" s="8"/>
      <c r="W4087" s="8"/>
      <c r="X4087" s="8" t="str">
        <f>IFERROR(__xludf.DUMMYFUNCTION("""COMPUTED_VALUE"""),"有")</f>
        <v>有</v>
      </c>
      <c r="Y4087" s="8" t="str">
        <f>IFERROR(__xludf.DUMMYFUNCTION("""COMPUTED_VALUE"""),"2025/11/28まで1巻無料")</f>
        <v>2025/11/28まで1巻無料</v>
      </c>
      <c r="Z4087" s="7"/>
      <c r="AA4087" s="7"/>
      <c r="AB4087" s="7"/>
    </row>
    <row r="4088" ht="15.75" customHeight="1">
      <c r="A4088" s="26">
        <f>IFERROR(__xludf.DUMMYFUNCTION("""COMPUTED_VALUE"""),6591.0)</f>
        <v>6591</v>
      </c>
      <c r="B4088" s="22" t="str">
        <f>IFERROR(__xludf.DUMMYFUNCTION("""COMPUTED_VALUE"""),"確定")</f>
        <v>確定</v>
      </c>
      <c r="C4088" s="28">
        <f>IFERROR(__xludf.DUMMYFUNCTION("""COMPUTED_VALUE"""),45933.0)</f>
        <v>45933</v>
      </c>
      <c r="D4088" s="28">
        <f>IFERROR(__xludf.DUMMYFUNCTION("""COMPUTED_VALUE"""),45944.0)</f>
        <v>45944</v>
      </c>
      <c r="E4088" s="26">
        <f>IFERROR(__xludf.DUMMYFUNCTION("""COMPUTED_VALUE"""),343204.0)</f>
        <v>343204</v>
      </c>
      <c r="F4088" s="22" t="str">
        <f>IFERROR(__xludf.DUMMYFUNCTION("""COMPUTED_VALUE"""),"【ラブコフレ】他の男に抱かれるくらいなら －幼馴染のこじらせ愛－")</f>
        <v>【ラブコフレ】他の男に抱かれるくらいなら －幼馴染のこじらせ愛－</v>
      </c>
      <c r="G4088" s="20" t="str">
        <f>IFERROR(__xludf.DUMMYFUNCTION("""COMPUTED_VALUE"""),"1～3")</f>
        <v>1～3</v>
      </c>
      <c r="H4088" s="22" t="str">
        <f>IFERROR(__xludf.DUMMYFUNCTION("""COMPUTED_VALUE"""),"路地うら")</f>
        <v>路地うら</v>
      </c>
      <c r="I4088" s="22" t="str">
        <f>IFERROR(__xludf.DUMMYFUNCTION("""COMPUTED_VALUE"""),"TL")</f>
        <v>TL</v>
      </c>
      <c r="J4088" s="22"/>
      <c r="K4088" s="22" t="str">
        <f>IFERROR(__xludf.DUMMYFUNCTION("""COMPUTED_VALUE"""),"ラブコフレ")</f>
        <v>ラブコフレ</v>
      </c>
      <c r="L4088" s="22" t="str">
        <f>IFERROR(__xludf.DUMMYFUNCTION("""COMPUTED_VALUE"""),"大誠社")</f>
        <v>大誠社</v>
      </c>
      <c r="M4088" s="33">
        <f>IFERROR(__xludf.DUMMYFUNCTION("""COMPUTED_VALUE"""),46002.0)</f>
        <v>46002</v>
      </c>
      <c r="N4088" s="33">
        <f>IFERROR(__xludf.DUMMYFUNCTION("""COMPUTED_VALUE"""),46112.0)</f>
        <v>46112</v>
      </c>
      <c r="O4088" s="20"/>
      <c r="P4088" s="32" t="str">
        <f>IFERROR(__xludf.DUMMYFUNCTION("""COMPUTED_VALUE"""),"可")</f>
        <v>可</v>
      </c>
      <c r="Q4088" s="30" t="str">
        <f>IFERROR(__xludf.DUMMYFUNCTION("""COMPUTED_VALUE"""),"【アダルト作品扱い】")</f>
        <v>【アダルト作品扱い】</v>
      </c>
      <c r="R4088" s="22" t="str">
        <f>IFERROR(__xludf.DUMMYFUNCTION("""COMPUTED_VALUE"""),"コミットOK")</f>
        <v>コミットOK</v>
      </c>
      <c r="S4088" s="22" t="str">
        <f>IFERROR(__xludf.DUMMYFUNCTION("""COMPUTED_VALUE"""),"20251014_大誠社_【ラブコフレ】他の男に抱かれるくらいなら －幼馴染のこじらせ愛－")</f>
        <v>20251014_大誠社_【ラブコフレ】他の男に抱かれるくらいなら －幼馴染のこじらせ愛－</v>
      </c>
      <c r="T4088" s="22" t="str">
        <f>IFERROR(__xludf.DUMMYFUNCTION("""COMPUTED_VALUE"""),"格納済み")</f>
        <v>格納済み</v>
      </c>
      <c r="U4088" s="9" t="str">
        <f>IFERROR(__xludf.DUMMYFUNCTION("""COMPUTED_VALUE"""),"(C) 路地うら/大誠社")</f>
        <v>(C) 路地うら/大誠社</v>
      </c>
      <c r="V4088" s="8"/>
      <c r="W4088" s="8"/>
      <c r="X4088" s="8" t="str">
        <f>IFERROR(__xludf.DUMMYFUNCTION("""COMPUTED_VALUE"""),"有")</f>
        <v>有</v>
      </c>
      <c r="Y4088" s="8" t="str">
        <f>IFERROR(__xludf.DUMMYFUNCTION("""COMPUTED_VALUE"""),"2025/12/24まで1巻無料")</f>
        <v>2025/12/24まで1巻無料</v>
      </c>
      <c r="Z4088" s="7"/>
      <c r="AA4088" s="7"/>
      <c r="AB4088" s="7"/>
    </row>
    <row r="4089" ht="15.75" customHeight="1">
      <c r="A4089" s="26">
        <f>IFERROR(__xludf.DUMMYFUNCTION("""COMPUTED_VALUE"""),6606.0)</f>
        <v>6606</v>
      </c>
      <c r="B4089" s="22" t="str">
        <f>IFERROR(__xludf.DUMMYFUNCTION("""COMPUTED_VALUE"""),"確定")</f>
        <v>確定</v>
      </c>
      <c r="C4089" s="28">
        <f>IFERROR(__xludf.DUMMYFUNCTION("""COMPUTED_VALUE"""),45936.0)</f>
        <v>45936</v>
      </c>
      <c r="D4089" s="28">
        <f>IFERROR(__xludf.DUMMYFUNCTION("""COMPUTED_VALUE"""),45944.0)</f>
        <v>45944</v>
      </c>
      <c r="E4089" s="26">
        <f>IFERROR(__xludf.DUMMYFUNCTION("""COMPUTED_VALUE"""),341534.0)</f>
        <v>341534</v>
      </c>
      <c r="F4089" s="22" t="str">
        <f>IFERROR(__xludf.DUMMYFUNCTION("""COMPUTED_VALUE"""),"【ラブチーク】春宮さんは夜もデキる～鬼上司は私の専属セラピスト～")</f>
        <v>【ラブチーク】春宮さんは夜もデキる～鬼上司は私の専属セラピスト～</v>
      </c>
      <c r="G4089" s="20" t="str">
        <f>IFERROR(__xludf.DUMMYFUNCTION("""COMPUTED_VALUE"""),"1～3")</f>
        <v>1～3</v>
      </c>
      <c r="H4089" s="22" t="str">
        <f>IFERROR(__xludf.DUMMYFUNCTION("""COMPUTED_VALUE"""),"とりのささみ")</f>
        <v>とりのささみ</v>
      </c>
      <c r="I4089" s="22" t="str">
        <f>IFERROR(__xludf.DUMMYFUNCTION("""COMPUTED_VALUE"""),"TL")</f>
        <v>TL</v>
      </c>
      <c r="J4089" s="22"/>
      <c r="K4089" s="22" t="str">
        <f>IFERROR(__xludf.DUMMYFUNCTION("""COMPUTED_VALUE"""),"ラブチーク")</f>
        <v>ラブチーク</v>
      </c>
      <c r="L4089" s="22" t="str">
        <f>IFERROR(__xludf.DUMMYFUNCTION("""COMPUTED_VALUE"""),"ブライト出版")</f>
        <v>ブライト出版</v>
      </c>
      <c r="M4089" s="33">
        <f>IFERROR(__xludf.DUMMYFUNCTION("""COMPUTED_VALUE"""),45978.0)</f>
        <v>45978</v>
      </c>
      <c r="N4089" s="33">
        <f>IFERROR(__xludf.DUMMYFUNCTION("""COMPUTED_VALUE"""),46081.0)</f>
        <v>46081</v>
      </c>
      <c r="O4089" s="20"/>
      <c r="P4089" s="32" t="str">
        <f>IFERROR(__xludf.DUMMYFUNCTION("""COMPUTED_VALUE"""),"可")</f>
        <v>可</v>
      </c>
      <c r="Q4089" s="30" t="str">
        <f>IFERROR(__xludf.DUMMYFUNCTION("""COMPUTED_VALUE"""),"【アダルト作品扱い】")</f>
        <v>【アダルト作品扱い】</v>
      </c>
      <c r="R4089" s="22" t="str">
        <f>IFERROR(__xludf.DUMMYFUNCTION("""COMPUTED_VALUE"""),"コミットOK")</f>
        <v>コミットOK</v>
      </c>
      <c r="S4089" s="22" t="str">
        <f>IFERROR(__xludf.DUMMYFUNCTION("""COMPUTED_VALUE"""),"20251014_ブライト出版_【ラブチーク】春宮さんは夜もデキる～鬼上司は私の専属セラピスト～")</f>
        <v>20251014_ブライト出版_【ラブチーク】春宮さんは夜もデキる～鬼上司は私の専属セラピスト～</v>
      </c>
      <c r="T4089" s="22" t="str">
        <f>IFERROR(__xludf.DUMMYFUNCTION("""COMPUTED_VALUE"""),"格納済み")</f>
        <v>格納済み</v>
      </c>
      <c r="U4089" s="9" t="str">
        <f>IFERROR(__xludf.DUMMYFUNCTION("""COMPUTED_VALUE"""),"(C) とりのささみ/ブライト出版")</f>
        <v>(C) とりのささみ/ブライト出版</v>
      </c>
      <c r="V4089" s="8"/>
      <c r="W4089" s="8"/>
      <c r="X4089" s="8" t="str">
        <f>IFERROR(__xludf.DUMMYFUNCTION("""COMPUTED_VALUE"""),"有")</f>
        <v>有</v>
      </c>
      <c r="Y4089" s="8" t="str">
        <f>IFERROR(__xludf.DUMMYFUNCTION("""COMPUTED_VALUE"""),"2025/11/30まで1巻無料")</f>
        <v>2025/11/30まで1巻無料</v>
      </c>
      <c r="Z4089" s="7"/>
      <c r="AA4089" s="7"/>
      <c r="AB4089" s="7"/>
    </row>
    <row r="4090" ht="15.75" customHeight="1">
      <c r="A4090" s="26">
        <f>IFERROR(__xludf.DUMMYFUNCTION("""COMPUTED_VALUE"""),6611.0)</f>
        <v>6611</v>
      </c>
      <c r="B4090" s="22" t="str">
        <f>IFERROR(__xludf.DUMMYFUNCTION("""COMPUTED_VALUE"""),"確定")</f>
        <v>確定</v>
      </c>
      <c r="C4090" s="28">
        <f>IFERROR(__xludf.DUMMYFUNCTION("""COMPUTED_VALUE"""),45937.0)</f>
        <v>45937</v>
      </c>
      <c r="D4090" s="28">
        <f>IFERROR(__xludf.DUMMYFUNCTION("""COMPUTED_VALUE"""),45944.0)</f>
        <v>45944</v>
      </c>
      <c r="E4090" s="26">
        <f>IFERROR(__xludf.DUMMYFUNCTION("""COMPUTED_VALUE"""),330229.0)</f>
        <v>330229</v>
      </c>
      <c r="F4090" s="22" t="str">
        <f>IFERROR(__xludf.DUMMYFUNCTION("""COMPUTED_VALUE"""),"センチメンタル・コマンド")</f>
        <v>センチメンタル・コマンド</v>
      </c>
      <c r="G4090" s="20" t="str">
        <f>IFERROR(__xludf.DUMMYFUNCTION("""COMPUTED_VALUE"""),"1～3")</f>
        <v>1～3</v>
      </c>
      <c r="H4090" s="22" t="str">
        <f>IFERROR(__xludf.DUMMYFUNCTION("""COMPUTED_VALUE"""),"三並")</f>
        <v>三並</v>
      </c>
      <c r="I4090" s="22" t="str">
        <f>IFERROR(__xludf.DUMMYFUNCTION("""COMPUTED_VALUE"""),"BLマンガ")</f>
        <v>BLマンガ</v>
      </c>
      <c r="J4090" s="22"/>
      <c r="K4090" s="22" t="str">
        <f>IFERROR(__xludf.DUMMYFUNCTION("""COMPUTED_VALUE"""),"Ficus")</f>
        <v>Ficus</v>
      </c>
      <c r="L4090" s="22" t="str">
        <f>IFERROR(__xludf.DUMMYFUNCTION("""COMPUTED_VALUE"""),"シーモアコミックス")</f>
        <v>シーモアコミックス</v>
      </c>
      <c r="M4090" s="33">
        <f>IFERROR(__xludf.DUMMYFUNCTION("""COMPUTED_VALUE"""),45969.0)</f>
        <v>45969</v>
      </c>
      <c r="N4090" s="33">
        <f>IFERROR(__xludf.DUMMYFUNCTION("""COMPUTED_VALUE"""),2958465.0)</f>
        <v>2958465</v>
      </c>
      <c r="O4090" s="20"/>
      <c r="P4090" s="32" t="str">
        <f>IFERROR(__xludf.DUMMYFUNCTION("""COMPUTED_VALUE"""),"可")</f>
        <v>可</v>
      </c>
      <c r="Q4090" s="30"/>
      <c r="R4090" s="22"/>
      <c r="S4090" s="22" t="str">
        <f>IFERROR(__xludf.DUMMYFUNCTION("""COMPUTED_VALUE"""),"20251108_シーモアコミックス_センチメンタル・コマンド")</f>
        <v>20251108_シーモアコミックス_センチメンタル・コマンド</v>
      </c>
      <c r="T4090" s="22" t="str">
        <f>IFERROR(__xludf.DUMMYFUNCTION("""COMPUTED_VALUE"""),"格納済み")</f>
        <v>格納済み</v>
      </c>
      <c r="U4090" s="9" t="str">
        <f>IFERROR(__xludf.DUMMYFUNCTION("""COMPUTED_VALUE"""),"(C) 三並/シーモアコミックス")</f>
        <v>(C) 三並/シーモアコミックス</v>
      </c>
      <c r="V4090" s="8"/>
      <c r="W4090" s="8"/>
      <c r="X4090" s="8" t="str">
        <f>IFERROR(__xludf.DUMMYFUNCTION("""COMPUTED_VALUE"""),"有")</f>
        <v>有</v>
      </c>
      <c r="Y4090" s="8" t="str">
        <f>IFERROR(__xludf.DUMMYFUNCTION("""COMPUTED_VALUE"""),"2025/12/12まで1巻無料")</f>
        <v>2025/12/12まで1巻無料</v>
      </c>
      <c r="Z4090" s="7"/>
      <c r="AA4090" s="7"/>
      <c r="AB4090" s="7"/>
    </row>
    <row r="4091" ht="15.75" customHeight="1">
      <c r="A4091" s="26">
        <f>IFERROR(__xludf.DUMMYFUNCTION("""COMPUTED_VALUE"""),6153.0)</f>
        <v>6153</v>
      </c>
      <c r="B4091" s="22" t="str">
        <f>IFERROR(__xludf.DUMMYFUNCTION("""COMPUTED_VALUE"""),"確定")</f>
        <v>確定</v>
      </c>
      <c r="C4091" s="28">
        <f>IFERROR(__xludf.DUMMYFUNCTION("""COMPUTED_VALUE"""),45867.0)</f>
        <v>45867</v>
      </c>
      <c r="D4091" s="28">
        <f>IFERROR(__xludf.DUMMYFUNCTION("""COMPUTED_VALUE"""),45950.0)</f>
        <v>45950</v>
      </c>
      <c r="E4091" s="26">
        <f>IFERROR(__xludf.DUMMYFUNCTION("""COMPUTED_VALUE"""),341595.0)</f>
        <v>341595</v>
      </c>
      <c r="F4091" s="22" t="str">
        <f>IFERROR(__xludf.DUMMYFUNCTION("""COMPUTED_VALUE"""),"成瀬社長は面倒見が良すぎる。【単話版】")</f>
        <v>成瀬社長は面倒見が良すぎる。【単話版】</v>
      </c>
      <c r="G4091" s="20" t="str">
        <f>IFERROR(__xludf.DUMMYFUNCTION("""COMPUTED_VALUE"""),"1～15")</f>
        <v>1～15</v>
      </c>
      <c r="H4091" s="22" t="str">
        <f>IFERROR(__xludf.DUMMYFUNCTION("""COMPUTED_VALUE"""),"橋岡リツキ／宮口ジュン／COMIC ROOM")</f>
        <v>橋岡リツキ／宮口ジュン／COMIC ROOM</v>
      </c>
      <c r="I4091" s="22" t="str">
        <f>IFERROR(__xludf.DUMMYFUNCTION("""COMPUTED_VALUE"""),"女性")</f>
        <v>女性</v>
      </c>
      <c r="J4091" s="22"/>
      <c r="K4091" s="22"/>
      <c r="L4091" s="22" t="str">
        <f>IFERROR(__xludf.DUMMYFUNCTION("""COMPUTED_VALUE"""),"コミックルーム")</f>
        <v>コミックルーム</v>
      </c>
      <c r="M4091" s="33">
        <f>IFERROR(__xludf.DUMMYFUNCTION("""COMPUTED_VALUE"""),45981.0)</f>
        <v>45981</v>
      </c>
      <c r="N4091" s="33">
        <f>IFERROR(__xludf.DUMMYFUNCTION("""COMPUTED_VALUE"""),46100.66666666667)</f>
        <v>46100.66667</v>
      </c>
      <c r="O4091" s="20"/>
      <c r="P4091" s="32" t="str">
        <f>IFERROR(__xludf.DUMMYFUNCTION("""COMPUTED_VALUE"""),"可")</f>
        <v>可</v>
      </c>
      <c r="Q4091" s="30" t="str">
        <f>IFERROR(__xludf.DUMMYFUNCTION("""COMPUTED_VALUE"""),"14話までの素材で広告制作お願いいたします。")</f>
        <v>14話までの素材で広告制作お願いいたします。</v>
      </c>
      <c r="R4091" s="22"/>
      <c r="S4091" s="22" t="str">
        <f>IFERROR(__xludf.DUMMYFUNCTION("""COMPUTED_VALUE"""),"20251017_コミックルーム_成瀬社長は面倒見が良すぎる。")</f>
        <v>20251017_コミックルーム_成瀬社長は面倒見が良すぎる。</v>
      </c>
      <c r="T4091" s="22" t="str">
        <f>IFERROR(__xludf.DUMMYFUNCTION("""COMPUTED_VALUE"""),"格納済み")</f>
        <v>格納済み</v>
      </c>
      <c r="U4091" s="9" t="str">
        <f>IFERROR(__xludf.DUMMYFUNCTION("""COMPUTED_VALUE"""),"©橋岡リツキ/宮口ジュン・COMIC ROOM")</f>
        <v>©橋岡リツキ/宮口ジュン・COMIC ROOM</v>
      </c>
      <c r="V4091" s="8"/>
      <c r="W4091" s="8"/>
      <c r="X4091" s="8" t="str">
        <f>IFERROR(__xludf.DUMMYFUNCTION("""COMPUTED_VALUE"""),"有")</f>
        <v>有</v>
      </c>
      <c r="Y4091" s="8" t="str">
        <f>IFERROR(__xludf.DUMMYFUNCTION("""COMPUTED_VALUE"""),"2025/11/26まで1巻目無料
2025/11/26まで2巻目立ち読み増量（P7）")</f>
        <v>2025/11/26まで1巻目無料
2025/11/26まで2巻目立ち読み増量（P7）</v>
      </c>
      <c r="Z4091" s="7"/>
      <c r="AA4091" s="7"/>
      <c r="AB4091" s="7"/>
    </row>
    <row r="4092" ht="15.75" customHeight="1">
      <c r="A4092" s="26">
        <f>IFERROR(__xludf.DUMMYFUNCTION("""COMPUTED_VALUE"""),6262.0)</f>
        <v>6262</v>
      </c>
      <c r="B4092" s="22" t="str">
        <f>IFERROR(__xludf.DUMMYFUNCTION("""COMPUTED_VALUE"""),"確定")</f>
        <v>確定</v>
      </c>
      <c r="C4092" s="28">
        <f>IFERROR(__xludf.DUMMYFUNCTION("""COMPUTED_VALUE"""),45884.0)</f>
        <v>45884</v>
      </c>
      <c r="D4092" s="28">
        <f>IFERROR(__xludf.DUMMYFUNCTION("""COMPUTED_VALUE"""),45950.0)</f>
        <v>45950</v>
      </c>
      <c r="E4092" s="26">
        <f>IFERROR(__xludf.DUMMYFUNCTION("""COMPUTED_VALUE"""),341663.0)</f>
        <v>341663</v>
      </c>
      <c r="F4092" s="22" t="str">
        <f>IFERROR(__xludf.DUMMYFUNCTION("""COMPUTED_VALUE"""),"肉食御曹司に溺れるほど愛されています【分冊版】")</f>
        <v>肉食御曹司に溺れるほど愛されています【分冊版】</v>
      </c>
      <c r="G4092" s="20" t="str">
        <f>IFERROR(__xludf.DUMMYFUNCTION("""COMPUTED_VALUE"""),"1～3")</f>
        <v>1～3</v>
      </c>
      <c r="H4092" s="22" t="str">
        <f>IFERROR(__xludf.DUMMYFUNCTION("""COMPUTED_VALUE"""),"小宮山ちい,伊月ジュイ")</f>
        <v>小宮山ちい,伊月ジュイ</v>
      </c>
      <c r="I4092" s="22" t="str">
        <f>IFERROR(__xludf.DUMMYFUNCTION("""COMPUTED_VALUE"""),"女性")</f>
        <v>女性</v>
      </c>
      <c r="J4092" s="22"/>
      <c r="K4092" s="22" t="str">
        <f>IFERROR(__xludf.DUMMYFUNCTION("""COMPUTED_VALUE"""),"マーマレードコミックス")</f>
        <v>マーマレードコミックス</v>
      </c>
      <c r="L4092" s="22" t="str">
        <f>IFERROR(__xludf.DUMMYFUNCTION("""COMPUTED_VALUE"""),"ハーパーコリンズ・ジャパン")</f>
        <v>ハーパーコリンズ・ジャパン</v>
      </c>
      <c r="M4092" s="33">
        <f>IFERROR(__xludf.DUMMYFUNCTION("""COMPUTED_VALUE"""),45980.0)</f>
        <v>45980</v>
      </c>
      <c r="N4092" s="33">
        <f>IFERROR(__xludf.DUMMYFUNCTION("""COMPUTED_VALUE"""),46071.0)</f>
        <v>46071</v>
      </c>
      <c r="O4092" s="20"/>
      <c r="P4092" s="32" t="str">
        <f>IFERROR(__xludf.DUMMYFUNCTION("""COMPUTED_VALUE"""),"可")</f>
        <v>可</v>
      </c>
      <c r="Q4092" s="30"/>
      <c r="R4092" s="22" t="str">
        <f>IFERROR(__xludf.DUMMYFUNCTION("""COMPUTED_VALUE"""),"コミットNG")</f>
        <v>コミットNG</v>
      </c>
      <c r="S4092" s="22" t="str">
        <f>IFERROR(__xludf.DUMMYFUNCTION("""COMPUTED_VALUE"""),"20251017_ハーパーコリンズ・ジャパン_肉食御曹司に溺れるほど愛されています【分冊版】")</f>
        <v>20251017_ハーパーコリンズ・ジャパン_肉食御曹司に溺れるほど愛されています【分冊版】</v>
      </c>
      <c r="T4092" s="22" t="str">
        <f>IFERROR(__xludf.DUMMYFUNCTION("""COMPUTED_VALUE"""),"格納済み")</f>
        <v>格納済み</v>
      </c>
      <c r="U4092" s="9" t="str">
        <f>IFERROR(__xludf.DUMMYFUNCTION("""COMPUTED_VALUE"""),"Ⓒ小宮山ちい・伊月ジュイ／ハーパーコリンズ・ジャパン")</f>
        <v>Ⓒ小宮山ちい・伊月ジュイ／ハーパーコリンズ・ジャパン</v>
      </c>
      <c r="V4092" s="8"/>
      <c r="W4092" s="8"/>
      <c r="X4092" s="8" t="str">
        <f>IFERROR(__xludf.DUMMYFUNCTION("""COMPUTED_VALUE"""),"有")</f>
        <v>有</v>
      </c>
      <c r="Y4092" s="8" t="str">
        <f>IFERROR(__xludf.DUMMYFUNCTION("""COMPUTED_VALUE"""),"2025/12/2まで1巻無料")</f>
        <v>2025/12/2まで1巻無料</v>
      </c>
      <c r="Z4092" s="7"/>
      <c r="AA4092" s="7"/>
      <c r="AB4092" s="7"/>
    </row>
    <row r="4093" ht="15.75" customHeight="1">
      <c r="A4093" s="26">
        <f>IFERROR(__xludf.DUMMYFUNCTION("""COMPUTED_VALUE"""),6272.0)</f>
        <v>6272</v>
      </c>
      <c r="B4093" s="22" t="str">
        <f>IFERROR(__xludf.DUMMYFUNCTION("""COMPUTED_VALUE"""),"確定")</f>
        <v>確定</v>
      </c>
      <c r="C4093" s="28">
        <f>IFERROR(__xludf.DUMMYFUNCTION("""COMPUTED_VALUE"""),45887.0)</f>
        <v>45887</v>
      </c>
      <c r="D4093" s="28">
        <f>IFERROR(__xludf.DUMMYFUNCTION("""COMPUTED_VALUE"""),45945.0)</f>
        <v>45945</v>
      </c>
      <c r="E4093" s="26">
        <f>IFERROR(__xludf.DUMMYFUNCTION("""COMPUTED_VALUE"""),342049.0)</f>
        <v>342049</v>
      </c>
      <c r="F4093" s="22" t="str">
        <f>IFERROR(__xludf.DUMMYFUNCTION("""COMPUTED_VALUE"""),"眠り王子は目覚めのキスをご所望です")</f>
        <v>眠り王子は目覚めのキスをご所望です</v>
      </c>
      <c r="G4093" s="20" t="str">
        <f>IFERROR(__xludf.DUMMYFUNCTION("""COMPUTED_VALUE"""),"1～4")</f>
        <v>1～4</v>
      </c>
      <c r="H4093" s="22" t="str">
        <f>IFERROR(__xludf.DUMMYFUNCTION("""COMPUTED_VALUE"""),"yueguanri,タチウオ,黒田美優")</f>
        <v>yueguanri,タチウオ,黒田美優</v>
      </c>
      <c r="I4093" s="22" t="str">
        <f>IFERROR(__xludf.DUMMYFUNCTION("""COMPUTED_VALUE"""),"女性")</f>
        <v>女性</v>
      </c>
      <c r="J4093" s="22"/>
      <c r="K4093" s="22"/>
      <c r="L4093" s="22" t="str">
        <f>IFERROR(__xludf.DUMMYFUNCTION("""COMPUTED_VALUE"""),"DPNブックス")</f>
        <v>DPNブックス</v>
      </c>
      <c r="M4093" s="33">
        <f>IFERROR(__xludf.DUMMYFUNCTION("""COMPUTED_VALUE"""),45987.0)</f>
        <v>45987</v>
      </c>
      <c r="N4093" s="33">
        <f>IFERROR(__xludf.DUMMYFUNCTION("""COMPUTED_VALUE"""),46016.0)</f>
        <v>46016</v>
      </c>
      <c r="O4093" s="20"/>
      <c r="P4093" s="32" t="str">
        <f>IFERROR(__xludf.DUMMYFUNCTION("""COMPUTED_VALUE"""),"可")</f>
        <v>可</v>
      </c>
      <c r="Q4093" s="30" t="str">
        <f>IFERROR(__xludf.DUMMYFUNCTION("""COMPUTED_VALUE"""),"・自社書店music.jpとの二社先行です。&lt;BR&gt;")</f>
        <v>・自社書店music.jpとの二社先行です。&lt;BR&gt;</v>
      </c>
      <c r="R4093" s="22" t="str">
        <f>IFERROR(__xludf.DUMMYFUNCTION("""COMPUTED_VALUE"""),"コミットOK")</f>
        <v>コミットOK</v>
      </c>
      <c r="S4093" s="22" t="str">
        <f>IFERROR(__xludf.DUMMYFUNCTION("""COMPUTED_VALUE"""),"20251015_DPNブックス_眠り王子は目覚めのキスをご所望です")</f>
        <v>20251015_DPNブックス_眠り王子は目覚めのキスをご所望です</v>
      </c>
      <c r="T4093" s="22" t="str">
        <f>IFERROR(__xludf.DUMMYFUNCTION("""COMPUTED_VALUE"""),"格納済み")</f>
        <v>格納済み</v>
      </c>
      <c r="U4093" s="9" t="str">
        <f>IFERROR(__xludf.DUMMYFUNCTION("""COMPUTED_VALUE"""),"(C)yueguanri・タチウオ・黒田美優／DPNブックス")</f>
        <v>(C)yueguanri・タチウオ・黒田美優／DPNブックス</v>
      </c>
      <c r="V4093" s="8"/>
      <c r="W4093" s="8"/>
      <c r="X4093" s="8" t="str">
        <f>IFERROR(__xludf.DUMMYFUNCTION("""COMPUTED_VALUE"""),"有")</f>
        <v>有</v>
      </c>
      <c r="Y4093" s="8" t="str">
        <f>IFERROR(__xludf.DUMMYFUNCTION("""COMPUTED_VALUE"""),"2025/12/25まで1巻無料")</f>
        <v>2025/12/25まで1巻無料</v>
      </c>
      <c r="Z4093" s="7"/>
      <c r="AA4093" s="7"/>
      <c r="AB4093" s="7"/>
    </row>
    <row r="4094" ht="15.75" customHeight="1">
      <c r="A4094" s="26">
        <f>IFERROR(__xludf.DUMMYFUNCTION("""COMPUTED_VALUE"""),6350.0)</f>
        <v>6350</v>
      </c>
      <c r="B4094" s="22" t="str">
        <f>IFERROR(__xludf.DUMMYFUNCTION("""COMPUTED_VALUE"""),"確定")</f>
        <v>確定</v>
      </c>
      <c r="C4094" s="28">
        <f>IFERROR(__xludf.DUMMYFUNCTION("""COMPUTED_VALUE"""),45895.0)</f>
        <v>45895</v>
      </c>
      <c r="D4094" s="28">
        <f>IFERROR(__xludf.DUMMYFUNCTION("""COMPUTED_VALUE"""),45952.0)</f>
        <v>45952</v>
      </c>
      <c r="E4094" s="26">
        <f>IFERROR(__xludf.DUMMYFUNCTION("""COMPUTED_VALUE"""),341790.0)</f>
        <v>341790</v>
      </c>
      <c r="F4094" s="22" t="str">
        <f>IFERROR(__xludf.DUMMYFUNCTION("""COMPUTED_VALUE"""),"サレ恋～再会した元カレ～【マイクロ】")</f>
        <v>サレ恋～再会した元カレ～【マイクロ】</v>
      </c>
      <c r="G4094" s="20" t="str">
        <f>IFERROR(__xludf.DUMMYFUNCTION("""COMPUTED_VALUE"""),"1～3")</f>
        <v>1～3</v>
      </c>
      <c r="H4094" s="22" t="str">
        <f>IFERROR(__xludf.DUMMYFUNCTION("""COMPUTED_VALUE"""),"遠山えま")</f>
        <v>遠山えま</v>
      </c>
      <c r="I4094" s="22" t="str">
        <f>IFERROR(__xludf.DUMMYFUNCTION("""COMPUTED_VALUE"""),"女性")</f>
        <v>女性</v>
      </c>
      <c r="J4094" s="22"/>
      <c r="K4094" s="22" t="str">
        <f>IFERROR(__xludf.DUMMYFUNCTION("""COMPUTED_VALUE"""),"ベツコミ")</f>
        <v>ベツコミ</v>
      </c>
      <c r="L4094" s="22" t="str">
        <f>IFERROR(__xludf.DUMMYFUNCTION("""COMPUTED_VALUE"""),"小学館")</f>
        <v>小学館</v>
      </c>
      <c r="M4094" s="33">
        <f>IFERROR(__xludf.DUMMYFUNCTION("""COMPUTED_VALUE"""),45981.0)</f>
        <v>45981</v>
      </c>
      <c r="N4094" s="33">
        <f>IFERROR(__xludf.DUMMYFUNCTION("""COMPUTED_VALUE"""),46041.0)</f>
        <v>46041</v>
      </c>
      <c r="O4094" s="20"/>
      <c r="P4094" s="32" t="str">
        <f>IFERROR(__xludf.DUMMYFUNCTION("""COMPUTED_VALUE"""),"否")</f>
        <v>否</v>
      </c>
      <c r="Q4094" s="30" t="str">
        <f>IFERROR(__xludf.DUMMYFUNCTION("""COMPUTED_VALUE"""),"著者の遠山えま氏は弊社作品ですと『容疑者Aの花嫁』、&lt;BR&gt;他社ですとアニメ化もした『ヴァンパイア男子寮』等、&lt;BR&gt;幼年向けの作品から大人向けの作品まで幅広い作風で実績がございます。＋めちゃコミックでもあたってる作家様です！https://mechacomic.jp/books/198574&lt;BR&gt;・配信日確定：10月以降⇒11/20&lt;BR&gt;&lt;BR&gt;今作のあらすじは以下の通りです。&lt;BR&gt;主人公の初恋は自身の受験の失敗から散ってしまった。&lt;BR&gt;あれから10年、新たな相手と結婚したが、夫が自分の親友と不"&amp;"倫していることがわかる。&lt;BR&gt;証拠をつきつけてきたのは高校時代はじめて付き合った初恋の彼で･･･。&lt;BR&gt;という泥沼不倫をテーマにした作品です。")</f>
        <v>著者の遠山えま氏は弊社作品ですと『容疑者Aの花嫁』、&lt;BR&gt;他社ですとアニメ化もした『ヴァンパイア男子寮』等、&lt;BR&gt;幼年向けの作品から大人向けの作品まで幅広い作風で実績がございます。＋めちゃコミックでもあたってる作家様です！https://mechacomic.jp/books/198574&lt;BR&gt;・配信日確定：10月以降⇒11/20&lt;BR&gt;&lt;BR&gt;今作のあらすじは以下の通りです。&lt;BR&gt;主人公の初恋は自身の受験の失敗から散ってしまった。&lt;BR&gt;あれから10年、新たな相手と結婚したが、夫が自分の親友と不倫していることがわかる。&lt;BR&gt;証拠をつきつけてきたのは高校時代はじめて付き合った初恋の彼で･･･。&lt;BR&gt;という泥沼不倫をテーマにした作品です。</v>
      </c>
      <c r="R4094" s="22" t="str">
        <f>IFERROR(__xludf.DUMMYFUNCTION("""COMPUTED_VALUE"""),"コミットOK")</f>
        <v>コミットOK</v>
      </c>
      <c r="S4094" s="22" t="str">
        <f>IFERROR(__xludf.DUMMYFUNCTION("""COMPUTED_VALUE"""),"20251021_小学館_サレ恋～再会した元カレ～【マイクロ】")</f>
        <v>20251021_小学館_サレ恋～再会した元カレ～【マイクロ】</v>
      </c>
      <c r="T4094" s="22" t="str">
        <f>IFERROR(__xludf.DUMMYFUNCTION("""COMPUTED_VALUE"""),"格納済み")</f>
        <v>格納済み</v>
      </c>
      <c r="U4094" s="9" t="str">
        <f>IFERROR(__xludf.DUMMYFUNCTION("""COMPUTED_VALUE"""),"(C)遠山えま / 小学館")</f>
        <v>(C)遠山えま / 小学館</v>
      </c>
      <c r="V4094" s="8"/>
      <c r="W4094" s="8"/>
      <c r="X4094" s="8" t="str">
        <f>IFERROR(__xludf.DUMMYFUNCTION("""COMPUTED_VALUE"""),"有")</f>
        <v>有</v>
      </c>
      <c r="Y4094" s="8" t="str">
        <f>IFERROR(__xludf.DUMMYFUNCTION("""COMPUTED_VALUE"""),"2026/1/19まで1巻無料")</f>
        <v>2026/1/19まで1巻無料</v>
      </c>
      <c r="Z4094" s="7"/>
      <c r="AA4094" s="7"/>
      <c r="AB4094" s="7"/>
    </row>
    <row r="4095" ht="15.75" customHeight="1">
      <c r="A4095" s="26">
        <f>IFERROR(__xludf.DUMMYFUNCTION("""COMPUTED_VALUE"""),6382.0)</f>
        <v>6382</v>
      </c>
      <c r="B4095" s="22" t="str">
        <f>IFERROR(__xludf.DUMMYFUNCTION("""COMPUTED_VALUE"""),"確定")</f>
        <v>確定</v>
      </c>
      <c r="C4095" s="28">
        <f>IFERROR(__xludf.DUMMYFUNCTION("""COMPUTED_VALUE"""),45902.0)</f>
        <v>45902</v>
      </c>
      <c r="D4095" s="28">
        <f>IFERROR(__xludf.DUMMYFUNCTION("""COMPUTED_VALUE"""),45951.0)</f>
        <v>45951</v>
      </c>
      <c r="E4095" s="26">
        <f>IFERROR(__xludf.DUMMYFUNCTION("""COMPUTED_VALUE"""),341643.0)</f>
        <v>341643</v>
      </c>
      <c r="F4095" s="22" t="str">
        <f>IFERROR(__xludf.DUMMYFUNCTION("""COMPUTED_VALUE"""),"【ラビオス】好きすぎて××が溜まったので、夢の中で発散させてください")</f>
        <v>【ラビオス】好きすぎて××が溜まったので、夢の中で発散させてください</v>
      </c>
      <c r="G4095" s="20" t="str">
        <f>IFERROR(__xludf.DUMMYFUNCTION("""COMPUTED_VALUE"""),"1～3")</f>
        <v>1～3</v>
      </c>
      <c r="H4095" s="22" t="str">
        <f>IFERROR(__xludf.DUMMYFUNCTION("""COMPUTED_VALUE"""),"桜庭ゆりん")</f>
        <v>桜庭ゆりん</v>
      </c>
      <c r="I4095" s="22" t="str">
        <f>IFERROR(__xludf.DUMMYFUNCTION("""COMPUTED_VALUE"""),"BL")</f>
        <v>BL</v>
      </c>
      <c r="J4095" s="22"/>
      <c r="K4095" s="22" t="str">
        <f>IFERROR(__xludf.DUMMYFUNCTION("""COMPUTED_VALUE"""),"Labios")</f>
        <v>Labios</v>
      </c>
      <c r="L4095" s="22" t="str">
        <f>IFERROR(__xludf.DUMMYFUNCTION("""COMPUTED_VALUE"""),"アーク・プレス")</f>
        <v>アーク・プレス</v>
      </c>
      <c r="M4095" s="33">
        <f>IFERROR(__xludf.DUMMYFUNCTION("""COMPUTED_VALUE"""),45974.0)</f>
        <v>45974</v>
      </c>
      <c r="N4095" s="33">
        <f>IFERROR(__xludf.DUMMYFUNCTION("""COMPUTED_VALUE"""),46078.0)</f>
        <v>46078</v>
      </c>
      <c r="O4095" s="20"/>
      <c r="P4095" s="32" t="str">
        <f>IFERROR(__xludf.DUMMYFUNCTION("""COMPUTED_VALUE"""),"可")</f>
        <v>可</v>
      </c>
      <c r="Q4095" s="30"/>
      <c r="R4095" s="22" t="str">
        <f>IFERROR(__xludf.DUMMYFUNCTION("""COMPUTED_VALUE"""),"コミットOK")</f>
        <v>コミットOK</v>
      </c>
      <c r="S4095" s="22" t="str">
        <f>IFERROR(__xludf.DUMMYFUNCTION("""COMPUTED_VALUE"""),"20251017_アーク・プレス_好きすぎて××が溜まったので、夢の中で発散させてください")</f>
        <v>20251017_アーク・プレス_好きすぎて××が溜まったので、夢の中で発散させてください</v>
      </c>
      <c r="T4095" s="22" t="str">
        <f>IFERROR(__xludf.DUMMYFUNCTION("""COMPUTED_VALUE"""),"格納済み")</f>
        <v>格納済み</v>
      </c>
      <c r="U4095" s="9" t="str">
        <f>IFERROR(__xludf.DUMMYFUNCTION("""COMPUTED_VALUE"""),"(C)桜庭ゆりん／アーク・プレス")</f>
        <v>(C)桜庭ゆりん／アーク・プレス</v>
      </c>
      <c r="V4095" s="8"/>
      <c r="W4095" s="8"/>
      <c r="X4095" s="8" t="str">
        <f>IFERROR(__xludf.DUMMYFUNCTION("""COMPUTED_VALUE"""),"有")</f>
        <v>有</v>
      </c>
      <c r="Y4095" s="8" t="str">
        <f>IFERROR(__xludf.DUMMYFUNCTION("""COMPUTED_VALUE"""),"2025/11/26まで1巻無料")</f>
        <v>2025/11/26まで1巻無料</v>
      </c>
      <c r="Z4095" s="7"/>
      <c r="AA4095" s="7"/>
      <c r="AB4095" s="7"/>
    </row>
    <row r="4096" ht="15.75" customHeight="1">
      <c r="A4096" s="26">
        <f>IFERROR(__xludf.DUMMYFUNCTION("""COMPUTED_VALUE"""),6393.0)</f>
        <v>6393</v>
      </c>
      <c r="B4096" s="22" t="str">
        <f>IFERROR(__xludf.DUMMYFUNCTION("""COMPUTED_VALUE"""),"確定")</f>
        <v>確定</v>
      </c>
      <c r="C4096" s="28">
        <f>IFERROR(__xludf.DUMMYFUNCTION("""COMPUTED_VALUE"""),45902.0)</f>
        <v>45902</v>
      </c>
      <c r="D4096" s="28">
        <f>IFERROR(__xludf.DUMMYFUNCTION("""COMPUTED_VALUE"""),45950.0)</f>
        <v>45950</v>
      </c>
      <c r="E4096" s="26">
        <f>IFERROR(__xludf.DUMMYFUNCTION("""COMPUTED_VALUE"""),341785.0)</f>
        <v>341785</v>
      </c>
      <c r="F4096" s="22" t="str">
        <f>IFERROR(__xludf.DUMMYFUNCTION("""COMPUTED_VALUE"""),"兎は獣の肚の底でしあわせな夢をみる［1話売り］")</f>
        <v>兎は獣の肚の底でしあわせな夢をみる［1話売り］</v>
      </c>
      <c r="G4096" s="20" t="str">
        <f>IFERROR(__xludf.DUMMYFUNCTION("""COMPUTED_VALUE"""),"1～3")</f>
        <v>1～3</v>
      </c>
      <c r="H4096" s="22" t="str">
        <f>IFERROR(__xludf.DUMMYFUNCTION("""COMPUTED_VALUE"""),"月永遠子")</f>
        <v>月永遠子</v>
      </c>
      <c r="I4096" s="22" t="str">
        <f>IFERROR(__xludf.DUMMYFUNCTION("""COMPUTED_VALUE"""),"少女")</f>
        <v>少女</v>
      </c>
      <c r="J4096" s="22"/>
      <c r="K4096" s="22" t="str">
        <f>IFERROR(__xludf.DUMMYFUNCTION("""COMPUTED_VALUE"""),"花とゆめ")</f>
        <v>花とゆめ</v>
      </c>
      <c r="L4096" s="22" t="str">
        <f>IFERROR(__xludf.DUMMYFUNCTION("""COMPUTED_VALUE"""),"白泉社")</f>
        <v>白泉社</v>
      </c>
      <c r="M4096" s="33">
        <f>IFERROR(__xludf.DUMMYFUNCTION("""COMPUTED_VALUE"""),45981.0)</f>
        <v>45981</v>
      </c>
      <c r="N4096" s="33">
        <f>IFERROR(__xludf.DUMMYFUNCTION("""COMPUTED_VALUE"""),46045.0)</f>
        <v>46045</v>
      </c>
      <c r="O4096" s="20"/>
      <c r="P4096" s="32" t="str">
        <f>IFERROR(__xludf.DUMMYFUNCTION("""COMPUTED_VALUE"""),"可")</f>
        <v>可</v>
      </c>
      <c r="Q4096" s="30"/>
      <c r="R4096" s="22" t="str">
        <f>IFERROR(__xludf.DUMMYFUNCTION("""COMPUTED_VALUE"""),"コミットOK")</f>
        <v>コミットOK</v>
      </c>
      <c r="S4096" s="22" t="str">
        <f>IFERROR(__xludf.DUMMYFUNCTION("""COMPUTED_VALUE"""),"20251020_白泉社_兎は獣の肚の底でしあわせな夢をみる")</f>
        <v>20251020_白泉社_兎は獣の肚の底でしあわせな夢をみる</v>
      </c>
      <c r="T4096" s="22" t="str">
        <f>IFERROR(__xludf.DUMMYFUNCTION("""COMPUTED_VALUE"""),"格納済み")</f>
        <v>格納済み</v>
      </c>
      <c r="U4096" s="9" t="str">
        <f>IFERROR(__xludf.DUMMYFUNCTION("""COMPUTED_VALUE"""),"(C)月永遠子/白泉社")</f>
        <v>(C)月永遠子/白泉社</v>
      </c>
      <c r="V4096" s="8"/>
      <c r="W4096" s="8"/>
      <c r="X4096" s="8" t="str">
        <f>IFERROR(__xludf.DUMMYFUNCTION("""COMPUTED_VALUE"""),"有")</f>
        <v>有</v>
      </c>
      <c r="Y4096" s="8" t="str">
        <f>IFERROR(__xludf.DUMMYFUNCTION("""COMPUTED_VALUE"""),"2026/1/23まで1巻無料")</f>
        <v>2026/1/23まで1巻無料</v>
      </c>
      <c r="Z4096" s="7"/>
      <c r="AA4096" s="7"/>
      <c r="AB4096" s="7"/>
    </row>
    <row r="4097" ht="15.75" customHeight="1">
      <c r="A4097" s="26">
        <f>IFERROR(__xludf.DUMMYFUNCTION("""COMPUTED_VALUE"""),6491.0)</f>
        <v>6491</v>
      </c>
      <c r="B4097" s="22" t="str">
        <f>IFERROR(__xludf.DUMMYFUNCTION("""COMPUTED_VALUE"""),"確定")</f>
        <v>確定</v>
      </c>
      <c r="C4097" s="28">
        <f>IFERROR(__xludf.DUMMYFUNCTION("""COMPUTED_VALUE"""),45912.0)</f>
        <v>45912</v>
      </c>
      <c r="D4097" s="28">
        <f>IFERROR(__xludf.DUMMYFUNCTION("""COMPUTED_VALUE"""),45945.0)</f>
        <v>45945</v>
      </c>
      <c r="E4097" s="26">
        <f>IFERROR(__xludf.DUMMYFUNCTION("""COMPUTED_VALUE"""),340707.0)</f>
        <v>340707</v>
      </c>
      <c r="F4097" s="22" t="str">
        <f>IFERROR(__xludf.DUMMYFUNCTION("""COMPUTED_VALUE"""),"藤堂秘書は今日も塩対応【マイクロ】")</f>
        <v>藤堂秘書は今日も塩対応【マイクロ】</v>
      </c>
      <c r="G4097" s="20" t="str">
        <f>IFERROR(__xludf.DUMMYFUNCTION("""COMPUTED_VALUE"""),"1～3")</f>
        <v>1～3</v>
      </c>
      <c r="H4097" s="22" t="str">
        <f>IFERROR(__xludf.DUMMYFUNCTION("""COMPUTED_VALUE"""),"ましろ雪")</f>
        <v>ましろ雪</v>
      </c>
      <c r="I4097" s="22" t="str">
        <f>IFERROR(__xludf.DUMMYFUNCTION("""COMPUTED_VALUE"""),"女性")</f>
        <v>女性</v>
      </c>
      <c r="J4097" s="22"/>
      <c r="K4097" s="22" t="str">
        <f>IFERROR(__xludf.DUMMYFUNCTION("""COMPUTED_VALUE"""),"プチコミック")</f>
        <v>プチコミック</v>
      </c>
      <c r="L4097" s="22" t="str">
        <f>IFERROR(__xludf.DUMMYFUNCTION("""COMPUTED_VALUE"""),"小学館")</f>
        <v>小学館</v>
      </c>
      <c r="M4097" s="33">
        <f>IFERROR(__xludf.DUMMYFUNCTION("""COMPUTED_VALUE"""),45966.0)</f>
        <v>45966</v>
      </c>
      <c r="N4097" s="33">
        <f>IFERROR(__xludf.DUMMYFUNCTION("""COMPUTED_VALUE"""),46026.0)</f>
        <v>46026</v>
      </c>
      <c r="O4097" s="20"/>
      <c r="P4097" s="32" t="str">
        <f>IFERROR(__xludf.DUMMYFUNCTION("""COMPUTED_VALUE"""),"否")</f>
        <v>否</v>
      </c>
      <c r="Q4097" s="30" t="str">
        <f>IFERROR(__xludf.DUMMYFUNCTION("""COMPUTED_VALUE"""),"「女神社長」と称賛されているヒロインが、実はズボラな素顔を持っており、それを支えるイケメン敏腕秘書が、実はヒロインの幼なじみで超毒舌…という2人による、こじらせ両想いストーリとなっております！ヒーローのビジュアルの良さと性格のギャップは広告にも映えるかと思いますし、&lt;BR&gt;貴社ストアでは先行配信をした実績がない著者の作品ですが、ユーザーとの相性はバッチリかと思いますので、&lt;BR&gt;ぜひ広告出稿を含めた展開をご検討いただけますと幸いです！")</f>
        <v>「女神社長」と称賛されているヒロインが、実はズボラな素顔を持っており、それを支えるイケメン敏腕秘書が、実はヒロインの幼なじみで超毒舌…という2人による、こじらせ両想いストーリとなっております！ヒーローのビジュアルの良さと性格のギャップは広告にも映えるかと思いますし、&lt;BR&gt;貴社ストアでは先行配信をした実績がない著者の作品ですが、ユーザーとの相性はバッチリかと思いますので、&lt;BR&gt;ぜひ広告出稿を含めた展開をご検討いただけますと幸いです！</v>
      </c>
      <c r="R4097" s="22" t="str">
        <f>IFERROR(__xludf.DUMMYFUNCTION("""COMPUTED_VALUE"""),"コミットOK")</f>
        <v>コミットOK</v>
      </c>
      <c r="S4097" s="22" t="str">
        <f>IFERROR(__xludf.DUMMYFUNCTION("""COMPUTED_VALUE"""),"20251015_小学館_藤堂秘書は今日も塩対応")</f>
        <v>20251015_小学館_藤堂秘書は今日も塩対応</v>
      </c>
      <c r="T4097" s="22" t="str">
        <f>IFERROR(__xludf.DUMMYFUNCTION("""COMPUTED_VALUE"""),"格納済み")</f>
        <v>格納済み</v>
      </c>
      <c r="U4097" s="9" t="str">
        <f>IFERROR(__xludf.DUMMYFUNCTION("""COMPUTED_VALUE"""),"(C)ましろ雪 / 小学館")</f>
        <v>(C)ましろ雪 / 小学館</v>
      </c>
      <c r="V4097" s="8"/>
      <c r="W4097" s="8"/>
      <c r="X4097" s="8" t="str">
        <f>IFERROR(__xludf.DUMMYFUNCTION("""COMPUTED_VALUE"""),"有")</f>
        <v>有</v>
      </c>
      <c r="Y4097" s="8" t="str">
        <f>IFERROR(__xludf.DUMMYFUNCTION("""COMPUTED_VALUE"""),"P16まで")</f>
        <v>P16まで</v>
      </c>
      <c r="Z4097" s="7"/>
      <c r="AA4097" s="7"/>
      <c r="AB4097" s="7"/>
    </row>
    <row r="4098" ht="15.75" customHeight="1">
      <c r="A4098" s="26">
        <f>IFERROR(__xludf.DUMMYFUNCTION("""COMPUTED_VALUE"""),6518.0)</f>
        <v>6518</v>
      </c>
      <c r="B4098" s="22" t="str">
        <f>IFERROR(__xludf.DUMMYFUNCTION("""COMPUTED_VALUE"""),"確定")</f>
        <v>確定</v>
      </c>
      <c r="C4098" s="28">
        <f>IFERROR(__xludf.DUMMYFUNCTION("""COMPUTED_VALUE"""),45918.0)</f>
        <v>45918</v>
      </c>
      <c r="D4098" s="28">
        <f>IFERROR(__xludf.DUMMYFUNCTION("""COMPUTED_VALUE"""),45952.0)</f>
        <v>45952</v>
      </c>
      <c r="E4098" s="26">
        <f>IFERROR(__xludf.DUMMYFUNCTION("""COMPUTED_VALUE"""),341912.0)</f>
        <v>341912</v>
      </c>
      <c r="F4098" s="22" t="str">
        <f>IFERROR(__xludf.DUMMYFUNCTION("""COMPUTED_VALUE"""),"「今日ね、大丈夫な日だよ？」地雷女の誘惑に負けてめちゃくちゃシた話【R版】")</f>
        <v>「今日ね、大丈夫な日だよ？」地雷女の誘惑に負けてめちゃくちゃシた話【R版】</v>
      </c>
      <c r="G4098" s="20" t="str">
        <f>IFERROR(__xludf.DUMMYFUNCTION("""COMPUTED_VALUE"""),"1～3")</f>
        <v>1～3</v>
      </c>
      <c r="H4098" s="22" t="str">
        <f>IFERROR(__xludf.DUMMYFUNCTION("""COMPUTED_VALUE"""),"内海ι")</f>
        <v>内海ι</v>
      </c>
      <c r="I4098" s="22" t="str">
        <f>IFERROR(__xludf.DUMMYFUNCTION("""COMPUTED_VALUE"""),"アダルト")</f>
        <v>アダルト</v>
      </c>
      <c r="J4098" s="22"/>
      <c r="K4098" s="22" t="str">
        <f>IFERROR(__xludf.DUMMYFUNCTION("""COMPUTED_VALUE"""),"もえスタビースト")</f>
        <v>もえスタビースト</v>
      </c>
      <c r="L4098" s="22" t="str">
        <f>IFERROR(__xludf.DUMMYFUNCTION("""COMPUTED_VALUE"""),"DEEPER-ZERO")</f>
        <v>DEEPER-ZERO</v>
      </c>
      <c r="M4098" s="33">
        <f>IFERROR(__xludf.DUMMYFUNCTION("""COMPUTED_VALUE"""),45983.0)</f>
        <v>45983</v>
      </c>
      <c r="N4098" s="33">
        <f>IFERROR(__xludf.DUMMYFUNCTION("""COMPUTED_VALUE"""),46045.0)</f>
        <v>46045</v>
      </c>
      <c r="O4098" s="20"/>
      <c r="P4098" s="32" t="str">
        <f>IFERROR(__xludf.DUMMYFUNCTION("""COMPUTED_VALUE"""),"可")</f>
        <v>可</v>
      </c>
      <c r="Q4098" s="30"/>
      <c r="R4098" s="22" t="str">
        <f>IFERROR(__xludf.DUMMYFUNCTION("""COMPUTED_VALUE"""),"コミットOK")</f>
        <v>コミットOK</v>
      </c>
      <c r="S4098" s="22" t="str">
        <f>IFERROR(__xludf.DUMMYFUNCTION("""COMPUTED_VALUE"""),"20251022_DEEPER-ZERO_「今日ね、大丈夫な日だよ？」地雷女の誘惑に負けてめちゃくちゃシた話")</f>
        <v>20251022_DEEPER-ZERO_「今日ね、大丈夫な日だよ？」地雷女の誘惑に負けてめちゃくちゃシた話</v>
      </c>
      <c r="T4098" s="22" t="str">
        <f>IFERROR(__xludf.DUMMYFUNCTION("""COMPUTED_VALUE"""),"格納済み")</f>
        <v>格納済み</v>
      </c>
      <c r="U4098" s="9" t="str">
        <f>IFERROR(__xludf.DUMMYFUNCTION("""COMPUTED_VALUE"""),"Ⓒ内海ι/DEEPER-ZERO")</f>
        <v>Ⓒ内海ι/DEEPER-ZERO</v>
      </c>
      <c r="V4098" s="8"/>
      <c r="W4098" s="8"/>
      <c r="X4098" s="8" t="str">
        <f>IFERROR(__xludf.DUMMYFUNCTION("""COMPUTED_VALUE"""),"有")</f>
        <v>有</v>
      </c>
      <c r="Y4098" s="8" t="str">
        <f>IFERROR(__xludf.DUMMYFUNCTION("""COMPUTED_VALUE"""),"2025/12/5まで1巻無料")</f>
        <v>2025/12/5まで1巻無料</v>
      </c>
      <c r="Z4098" s="7"/>
      <c r="AA4098" s="7"/>
      <c r="AB4098" s="7"/>
    </row>
    <row r="4099" ht="15.75" customHeight="1">
      <c r="A4099" s="26">
        <f>IFERROR(__xludf.DUMMYFUNCTION("""COMPUTED_VALUE"""),6519.0)</f>
        <v>6519</v>
      </c>
      <c r="B4099" s="22" t="str">
        <f>IFERROR(__xludf.DUMMYFUNCTION("""COMPUTED_VALUE"""),"確定")</f>
        <v>確定</v>
      </c>
      <c r="C4099" s="28">
        <f>IFERROR(__xludf.DUMMYFUNCTION("""COMPUTED_VALUE"""),45918.0)</f>
        <v>45918</v>
      </c>
      <c r="D4099" s="28">
        <f>IFERROR(__xludf.DUMMYFUNCTION("""COMPUTED_VALUE"""),45945.0)</f>
        <v>45945</v>
      </c>
      <c r="E4099" s="26">
        <f>IFERROR(__xludf.DUMMYFUNCTION("""COMPUTED_VALUE"""),341680.0)</f>
        <v>341680</v>
      </c>
      <c r="F4099" s="22" t="str">
        <f>IFERROR(__xludf.DUMMYFUNCTION("""COMPUTED_VALUE"""),"殿様、寝屋の躾～暗殺失敗、奥方にされたくノ一～【R版】")</f>
        <v>殿様、寝屋の躾～暗殺失敗、奥方にされたくノ一～【R版】</v>
      </c>
      <c r="G4099" s="20" t="str">
        <f>IFERROR(__xludf.DUMMYFUNCTION("""COMPUTED_VALUE"""),"1～3")</f>
        <v>1～3</v>
      </c>
      <c r="H4099" s="22" t="str">
        <f>IFERROR(__xludf.DUMMYFUNCTION("""COMPUTED_VALUE"""),"玉姫なお")</f>
        <v>玉姫なお</v>
      </c>
      <c r="I4099" s="22" t="str">
        <f>IFERROR(__xludf.DUMMYFUNCTION("""COMPUTED_VALUE"""),"アダルト")</f>
        <v>アダルト</v>
      </c>
      <c r="J4099" s="22"/>
      <c r="K4099" s="22" t="str">
        <f>IFERROR(__xludf.DUMMYFUNCTION("""COMPUTED_VALUE"""),"＠夜噺+")</f>
        <v>＠夜噺+</v>
      </c>
      <c r="L4099" s="22" t="str">
        <f>IFERROR(__xludf.DUMMYFUNCTION("""COMPUTED_VALUE"""),"DEEPER-ZERO")</f>
        <v>DEEPER-ZERO</v>
      </c>
      <c r="M4099" s="33">
        <f>IFERROR(__xludf.DUMMYFUNCTION("""COMPUTED_VALUE"""),45981.0)</f>
        <v>45981</v>
      </c>
      <c r="N4099" s="33">
        <f>IFERROR(__xludf.DUMMYFUNCTION("""COMPUTED_VALUE"""),46036.0)</f>
        <v>46036</v>
      </c>
      <c r="O4099" s="20"/>
      <c r="P4099" s="32" t="str">
        <f>IFERROR(__xludf.DUMMYFUNCTION("""COMPUTED_VALUE"""),"可")</f>
        <v>可</v>
      </c>
      <c r="Q4099" s="30"/>
      <c r="R4099" s="22" t="str">
        <f>IFERROR(__xludf.DUMMYFUNCTION("""COMPUTED_VALUE"""),"コミットOK")</f>
        <v>コミットOK</v>
      </c>
      <c r="S4099" s="22" t="str">
        <f>IFERROR(__xludf.DUMMYFUNCTION("""COMPUTED_VALUE"""),"20251015_DEEPER-ZERO_殿様、寝屋の躾～暗殺失敗、奥方にされたくノ一～【R版】")</f>
        <v>20251015_DEEPER-ZERO_殿様、寝屋の躾～暗殺失敗、奥方にされたくノ一～【R版】</v>
      </c>
      <c r="T4099" s="22" t="str">
        <f>IFERROR(__xludf.DUMMYFUNCTION("""COMPUTED_VALUE"""),"格納済み")</f>
        <v>格納済み</v>
      </c>
      <c r="U4099" s="9" t="str">
        <f>IFERROR(__xludf.DUMMYFUNCTION("""COMPUTED_VALUE"""),"Ⓒ玉姫なお/DEEPER-ZERO")</f>
        <v>Ⓒ玉姫なお/DEEPER-ZERO</v>
      </c>
      <c r="V4099" s="8"/>
      <c r="W4099" s="8"/>
      <c r="X4099" s="8" t="str">
        <f>IFERROR(__xludf.DUMMYFUNCTION("""COMPUTED_VALUE"""),"有")</f>
        <v>有</v>
      </c>
      <c r="Y4099" s="8" t="str">
        <f>IFERROR(__xludf.DUMMYFUNCTION("""COMPUTED_VALUE"""),"2025/12/3まで1巻立ち読み増量（P18）")</f>
        <v>2025/12/3まで1巻立ち読み増量（P18）</v>
      </c>
      <c r="Z4099" s="7"/>
      <c r="AA4099" s="7"/>
      <c r="AB4099" s="7"/>
    </row>
    <row r="4100" ht="15.75" customHeight="1">
      <c r="A4100" s="26">
        <f>IFERROR(__xludf.DUMMYFUNCTION("""COMPUTED_VALUE"""),6520.0)</f>
        <v>6520</v>
      </c>
      <c r="B4100" s="22" t="str">
        <f>IFERROR(__xludf.DUMMYFUNCTION("""COMPUTED_VALUE"""),"確定")</f>
        <v>確定</v>
      </c>
      <c r="C4100" s="28">
        <f>IFERROR(__xludf.DUMMYFUNCTION("""COMPUTED_VALUE"""),45918.0)</f>
        <v>45918</v>
      </c>
      <c r="D4100" s="28">
        <f>IFERROR(__xludf.DUMMYFUNCTION("""COMPUTED_VALUE"""),45945.0)</f>
        <v>45945</v>
      </c>
      <c r="E4100" s="26">
        <f>IFERROR(__xludf.DUMMYFUNCTION("""COMPUTED_VALUE"""),341683.0)</f>
        <v>341683</v>
      </c>
      <c r="F4100" s="22" t="str">
        <f>IFERROR(__xludf.DUMMYFUNCTION("""COMPUTED_VALUE"""),"殿様、寝屋の躾～暗殺失敗、奥方にされたくノ一～【TL版】")</f>
        <v>殿様、寝屋の躾～暗殺失敗、奥方にされたくノ一～【TL版】</v>
      </c>
      <c r="G4100" s="20" t="str">
        <f>IFERROR(__xludf.DUMMYFUNCTION("""COMPUTED_VALUE"""),"1～3")</f>
        <v>1～3</v>
      </c>
      <c r="H4100" s="22" t="str">
        <f>IFERROR(__xludf.DUMMYFUNCTION("""COMPUTED_VALUE"""),"玉姫なお")</f>
        <v>玉姫なお</v>
      </c>
      <c r="I4100" s="22" t="str">
        <f>IFERROR(__xludf.DUMMYFUNCTION("""COMPUTED_VALUE"""),"TL")</f>
        <v>TL</v>
      </c>
      <c r="J4100" s="22"/>
      <c r="K4100" s="22" t="str">
        <f>IFERROR(__xludf.DUMMYFUNCTION("""COMPUTED_VALUE"""),"＠夜噺")</f>
        <v>＠夜噺</v>
      </c>
      <c r="L4100" s="22" t="str">
        <f>IFERROR(__xludf.DUMMYFUNCTION("""COMPUTED_VALUE"""),"DEEPER-ZERO")</f>
        <v>DEEPER-ZERO</v>
      </c>
      <c r="M4100" s="33">
        <f>IFERROR(__xludf.DUMMYFUNCTION("""COMPUTED_VALUE"""),45981.0)</f>
        <v>45981</v>
      </c>
      <c r="N4100" s="33">
        <f>IFERROR(__xludf.DUMMYFUNCTION("""COMPUTED_VALUE"""),46036.0)</f>
        <v>46036</v>
      </c>
      <c r="O4100" s="20"/>
      <c r="P4100" s="32" t="str">
        <f>IFERROR(__xludf.DUMMYFUNCTION("""COMPUTED_VALUE"""),"可")</f>
        <v>可</v>
      </c>
      <c r="Q4100" s="30" t="str">
        <f>IFERROR(__xludf.DUMMYFUNCTION("""COMPUTED_VALUE"""),"【アダルト作品扱い】&lt;BR&gt;")</f>
        <v>【アダルト作品扱い】&lt;BR&gt;</v>
      </c>
      <c r="R4100" s="22" t="str">
        <f>IFERROR(__xludf.DUMMYFUNCTION("""COMPUTED_VALUE"""),"コミットNG")</f>
        <v>コミットNG</v>
      </c>
      <c r="S4100" s="22" t="str">
        <f>IFERROR(__xludf.DUMMYFUNCTION("""COMPUTED_VALUE"""),"20251015_DEEPER-ZERO_殿様、寝屋の躾～暗殺失敗、奥方にされたくノ一～【TL版】")</f>
        <v>20251015_DEEPER-ZERO_殿様、寝屋の躾～暗殺失敗、奥方にされたくノ一～【TL版】</v>
      </c>
      <c r="T4100" s="22" t="str">
        <f>IFERROR(__xludf.DUMMYFUNCTION("""COMPUTED_VALUE"""),"格納済み")</f>
        <v>格納済み</v>
      </c>
      <c r="U4100" s="9" t="str">
        <f>IFERROR(__xludf.DUMMYFUNCTION("""COMPUTED_VALUE"""),"Ⓒ玉姫なお/DEEPER-ZERO")</f>
        <v>Ⓒ玉姫なお/DEEPER-ZERO</v>
      </c>
      <c r="V4100" s="8"/>
      <c r="W4100" s="8"/>
      <c r="X4100" s="8" t="str">
        <f>IFERROR(__xludf.DUMMYFUNCTION("""COMPUTED_VALUE"""),"有")</f>
        <v>有</v>
      </c>
      <c r="Y4100" s="8" t="str">
        <f>IFERROR(__xludf.DUMMYFUNCTION("""COMPUTED_VALUE"""),"2025/12/3まで1巻立ち読み増量（P18）")</f>
        <v>2025/12/3まで1巻立ち読み増量（P18）</v>
      </c>
      <c r="Z4100" s="7"/>
      <c r="AA4100" s="7"/>
      <c r="AB4100" s="7"/>
    </row>
    <row r="4101" ht="15.75" customHeight="1">
      <c r="A4101" s="26">
        <f>IFERROR(__xludf.DUMMYFUNCTION("""COMPUTED_VALUE"""),6541.0)</f>
        <v>6541</v>
      </c>
      <c r="B4101" s="22" t="str">
        <f>IFERROR(__xludf.DUMMYFUNCTION("""COMPUTED_VALUE"""),"確定")</f>
        <v>確定</v>
      </c>
      <c r="C4101" s="28">
        <f>IFERROR(__xludf.DUMMYFUNCTION("""COMPUTED_VALUE"""),45925.0)</f>
        <v>45925</v>
      </c>
      <c r="D4101" s="28">
        <f>IFERROR(__xludf.DUMMYFUNCTION("""COMPUTED_VALUE"""),45947.0)</f>
        <v>45947</v>
      </c>
      <c r="E4101" s="26">
        <f>IFERROR(__xludf.DUMMYFUNCTION("""COMPUTED_VALUE"""),342439.0)</f>
        <v>342439</v>
      </c>
      <c r="F4101" s="22" t="str">
        <f>IFERROR(__xludf.DUMMYFUNCTION("""COMPUTED_VALUE"""),"【フルカラー】観察日記〜他人の性生活のぞいてみませんか？〜")</f>
        <v>【フルカラー】観察日記〜他人の性生活のぞいてみませんか？〜</v>
      </c>
      <c r="G4101" s="20" t="str">
        <f>IFERROR(__xludf.DUMMYFUNCTION("""COMPUTED_VALUE"""),"1～3")</f>
        <v>1～3</v>
      </c>
      <c r="H4101" s="22" t="str">
        <f>IFERROR(__xludf.DUMMYFUNCTION("""COMPUTED_VALUE"""),"原作:PYO / 作画:TAIRA")</f>
        <v>原作:PYO / 作画:TAIRA</v>
      </c>
      <c r="I4101" s="22" t="str">
        <f>IFERROR(__xludf.DUMMYFUNCTION("""COMPUTED_VALUE"""),"青年")</f>
        <v>青年</v>
      </c>
      <c r="J4101" s="22"/>
      <c r="K4101" s="22"/>
      <c r="L4101" s="22" t="str">
        <f>IFERROR(__xludf.DUMMYFUNCTION("""COMPUTED_VALUE"""),"レジンコミックス")</f>
        <v>レジンコミックス</v>
      </c>
      <c r="M4101" s="33">
        <f>IFERROR(__xludf.DUMMYFUNCTION("""COMPUTED_VALUE"""),45979.0)</f>
        <v>45979</v>
      </c>
      <c r="N4101" s="33">
        <f>IFERROR(__xludf.DUMMYFUNCTION("""COMPUTED_VALUE"""),46071.0)</f>
        <v>46071</v>
      </c>
      <c r="O4101" s="20"/>
      <c r="P4101" s="32" t="str">
        <f>IFERROR(__xludf.DUMMYFUNCTION("""COMPUTED_VALUE"""),"可")</f>
        <v>可</v>
      </c>
      <c r="Q4101" s="30" t="str">
        <f>IFERROR(__xludf.DUMMYFUNCTION("""COMPUTED_VALUE"""),"【アダルト作品扱い】&lt;BR&gt;")</f>
        <v>【アダルト作品扱い】&lt;BR&gt;</v>
      </c>
      <c r="R4101" s="22"/>
      <c r="S4101" s="22" t="str">
        <f>IFERROR(__xludf.DUMMYFUNCTION("""COMPUTED_VALUE"""),"20251016_レジンエンターテインメント_観察日記")</f>
        <v>20251016_レジンエンターテインメント_観察日記</v>
      </c>
      <c r="T4101" s="22" t="str">
        <f>IFERROR(__xludf.DUMMYFUNCTION("""COMPUTED_VALUE"""),"格納済み")</f>
        <v>格納済み</v>
      </c>
      <c r="U4101" s="9" t="str">
        <f>IFERROR(__xludf.DUMMYFUNCTION("""COMPUTED_VALUE"""),"Ⓒ 原作:PYO / 作画:TAIRA / レジンコミックス")</f>
        <v>Ⓒ 原作:PYO / 作画:TAIRA / レジンコミックス</v>
      </c>
      <c r="V4101" s="8"/>
      <c r="W4101" s="8"/>
      <c r="X4101" s="8"/>
      <c r="Y4101" s="8" t="str">
        <f>IFERROR(__xludf.DUMMYFUNCTION("""COMPUTED_VALUE"""),"P9まで")</f>
        <v>P9まで</v>
      </c>
      <c r="Z4101" s="7"/>
      <c r="AA4101" s="7"/>
      <c r="AB4101" s="7"/>
    </row>
    <row r="4102" ht="15.75" customHeight="1">
      <c r="A4102" s="26">
        <f>IFERROR(__xludf.DUMMYFUNCTION("""COMPUTED_VALUE"""),6546.0)</f>
        <v>6546</v>
      </c>
      <c r="B4102" s="22" t="str">
        <f>IFERROR(__xludf.DUMMYFUNCTION("""COMPUTED_VALUE"""),"確定")</f>
        <v>確定</v>
      </c>
      <c r="C4102" s="28">
        <f>IFERROR(__xludf.DUMMYFUNCTION("""COMPUTED_VALUE"""),45926.0)</f>
        <v>45926</v>
      </c>
      <c r="D4102" s="28">
        <f>IFERROR(__xludf.DUMMYFUNCTION("""COMPUTED_VALUE"""),45950.0)</f>
        <v>45950</v>
      </c>
      <c r="E4102" s="26">
        <f>IFERROR(__xludf.DUMMYFUNCTION("""COMPUTED_VALUE"""),341660.0)</f>
        <v>341660</v>
      </c>
      <c r="F4102" s="22" t="str">
        <f>IFERROR(__xludf.DUMMYFUNCTION("""COMPUTED_VALUE"""),"見捨てられた王女は冷酷王子に拾われました!?～幸せ婚前恋♥～【分冊版】")</f>
        <v>見捨てられた王女は冷酷王子に拾われました!?～幸せ婚前恋♥～【分冊版】</v>
      </c>
      <c r="G4102" s="20" t="str">
        <f>IFERROR(__xludf.DUMMYFUNCTION("""COMPUTED_VALUE"""),"1～2")</f>
        <v>1～2</v>
      </c>
      <c r="H4102" s="22" t="str">
        <f>IFERROR(__xludf.DUMMYFUNCTION("""COMPUTED_VALUE"""),"雪乃つきみ,宮小路やえ")</f>
        <v>雪乃つきみ,宮小路やえ</v>
      </c>
      <c r="I4102" s="22" t="str">
        <f>IFERROR(__xludf.DUMMYFUNCTION("""COMPUTED_VALUE"""),"TL")</f>
        <v>TL</v>
      </c>
      <c r="J4102" s="22"/>
      <c r="K4102" s="22" t="str">
        <f>IFERROR(__xludf.DUMMYFUNCTION("""COMPUTED_VALUE"""),"乙女ドルチェ・コミックス")</f>
        <v>乙女ドルチェ・コミックス</v>
      </c>
      <c r="L4102" s="22" t="str">
        <f>IFERROR(__xludf.DUMMYFUNCTION("""COMPUTED_VALUE"""),"乙女ドルチェ・コミックス")</f>
        <v>乙女ドルチェ・コミックス</v>
      </c>
      <c r="M4102" s="33">
        <f>IFERROR(__xludf.DUMMYFUNCTION("""COMPUTED_VALUE"""),45979.0)</f>
        <v>45979</v>
      </c>
      <c r="N4102" s="33">
        <f>IFERROR(__xludf.DUMMYFUNCTION("""COMPUTED_VALUE"""),46037.0)</f>
        <v>46037</v>
      </c>
      <c r="O4102" s="20"/>
      <c r="P4102" s="32" t="str">
        <f>IFERROR(__xludf.DUMMYFUNCTION("""COMPUTED_VALUE"""),"可")</f>
        <v>可</v>
      </c>
      <c r="Q4102" s="30"/>
      <c r="R4102" s="22" t="str">
        <f>IFERROR(__xludf.DUMMYFUNCTION("""COMPUTED_VALUE"""),"コミットNG")</f>
        <v>コミットNG</v>
      </c>
      <c r="S4102" s="22" t="str">
        <f>IFERROR(__xludf.DUMMYFUNCTION("""COMPUTED_VALUE"""),"20251017_乙女ドルチェ_見捨てられた王女は冷酷王子に拾われました!～幸せ婚前恋♥～")</f>
        <v>20251017_乙女ドルチェ_見捨てられた王女は冷酷王子に拾われました!～幸せ婚前恋♥～</v>
      </c>
      <c r="T4102" s="22" t="str">
        <f>IFERROR(__xludf.DUMMYFUNCTION("""COMPUTED_VALUE"""),"格納済み")</f>
        <v>格納済み</v>
      </c>
      <c r="U4102" s="9" t="str">
        <f>IFERROR(__xludf.DUMMYFUNCTION("""COMPUTED_VALUE"""),"（C) 雪乃つきみ・宮小路やえ／ハーパーコリンズ・ジャパン")</f>
        <v>（C) 雪乃つきみ・宮小路やえ／ハーパーコリンズ・ジャパン</v>
      </c>
      <c r="V4102" s="8"/>
      <c r="W4102" s="8"/>
      <c r="X4102" s="8" t="str">
        <f>IFERROR(__xludf.DUMMYFUNCTION("""COMPUTED_VALUE"""),"有")</f>
        <v>有</v>
      </c>
      <c r="Y4102" s="8" t="str">
        <f>IFERROR(__xludf.DUMMYFUNCTION("""COMPUTED_VALUE"""),"2025/12/17まで1巻立ち読み増量（P16）")</f>
        <v>2025/12/17まで1巻立ち読み増量（P16）</v>
      </c>
      <c r="Z4102" s="7"/>
      <c r="AA4102" s="7"/>
      <c r="AB4102" s="7"/>
    </row>
    <row r="4103" ht="15.75" customHeight="1">
      <c r="A4103" s="26">
        <f>IFERROR(__xludf.DUMMYFUNCTION("""COMPUTED_VALUE"""),6595.0)</f>
        <v>6595</v>
      </c>
      <c r="B4103" s="22" t="str">
        <f>IFERROR(__xludf.DUMMYFUNCTION("""COMPUTED_VALUE"""),"確定")</f>
        <v>確定</v>
      </c>
      <c r="C4103" s="28">
        <f>IFERROR(__xludf.DUMMYFUNCTION("""COMPUTED_VALUE"""),45933.0)</f>
        <v>45933</v>
      </c>
      <c r="D4103" s="28">
        <f>IFERROR(__xludf.DUMMYFUNCTION("""COMPUTED_VALUE"""),45952.0)</f>
        <v>45952</v>
      </c>
      <c r="E4103" s="26">
        <f>IFERROR(__xludf.DUMMYFUNCTION("""COMPUTED_VALUE"""),342286.0)</f>
        <v>342286</v>
      </c>
      <c r="F4103" s="22" t="str">
        <f>IFERROR(__xludf.DUMMYFUNCTION("""COMPUTED_VALUE"""),"夢恋う花の内緒ごと～ただの村娘ですが、次期皇帝様と入れ替わったのでかりそめの婚姻を結びます～")</f>
        <v>夢恋う花の内緒ごと～ただの村娘ですが、次期皇帝様と入れ替わったのでかりそめの婚姻を結びます～</v>
      </c>
      <c r="G4103" s="20" t="str">
        <f>IFERROR(__xludf.DUMMYFUNCTION("""COMPUTED_VALUE"""),"1～7")</f>
        <v>1～7</v>
      </c>
      <c r="H4103" s="22" t="str">
        <f>IFERROR(__xludf.DUMMYFUNCTION("""COMPUTED_VALUE"""),"下端りゅうい┴グルナ編集部")</f>
        <v>下端りゅうい┴グルナ編集部</v>
      </c>
      <c r="I4103" s="22" t="str">
        <f>IFERROR(__xludf.DUMMYFUNCTION("""COMPUTED_VALUE"""),"女性")</f>
        <v>女性</v>
      </c>
      <c r="J4103" s="22"/>
      <c r="K4103" s="22"/>
      <c r="L4103" s="22" t="str">
        <f>IFERROR(__xludf.DUMMYFUNCTION("""COMPUTED_VALUE"""),"ライブコミックス")</f>
        <v>ライブコミックス</v>
      </c>
      <c r="M4103" s="33">
        <f>IFERROR(__xludf.DUMMYFUNCTION("""COMPUTED_VALUE"""),45989.0)</f>
        <v>45989</v>
      </c>
      <c r="N4103" s="33">
        <f>IFERROR(__xludf.DUMMYFUNCTION("""COMPUTED_VALUE"""),46044.0)</f>
        <v>46044</v>
      </c>
      <c r="O4103" s="20"/>
      <c r="P4103" s="32" t="str">
        <f>IFERROR(__xludf.DUMMYFUNCTION("""COMPUTED_VALUE"""),"可")</f>
        <v>可</v>
      </c>
      <c r="Q4103" s="30" t="str">
        <f>IFERROR(__xludf.DUMMYFUNCTION("""COMPUTED_VALUE"""),"BookLiveからの二次先行です。&lt;BR&gt;1~5巻までの内容にてバナー制作をお願いします。")</f>
        <v>BookLiveからの二次先行です。&lt;BR&gt;1~5巻までの内容にてバナー制作をお願いします。</v>
      </c>
      <c r="R4103" s="22" t="str">
        <f>IFERROR(__xludf.DUMMYFUNCTION("""COMPUTED_VALUE"""),"コミットOK")</f>
        <v>コミットOK</v>
      </c>
      <c r="S4103" s="22" t="str">
        <f>IFERROR(__xludf.DUMMYFUNCTION("""COMPUTED_VALUE"""),"20251003_BookLive_夢恋う花の内緒ごと～ただの村娘ですが、次期皇帝様と入れ替わったのでかりそめの婚姻を結びます～")</f>
        <v>20251003_BookLive_夢恋う花の内緒ごと～ただの村娘ですが、次期皇帝様と入れ替わったのでかりそめの婚姻を結びます～</v>
      </c>
      <c r="T4103" s="22" t="str">
        <f>IFERROR(__xludf.DUMMYFUNCTION("""COMPUTED_VALUE"""),"格納済み")</f>
        <v>格納済み</v>
      </c>
      <c r="U4103" s="9" t="str">
        <f>IFERROR(__xludf.DUMMYFUNCTION("""COMPUTED_VALUE"""),"(C)下端りゅうい/ライブコミックス")</f>
        <v>(C)下端りゅうい/ライブコミックス</v>
      </c>
      <c r="V4103" s="8"/>
      <c r="W4103" s="8"/>
      <c r="X4103" s="8" t="str">
        <f>IFERROR(__xludf.DUMMYFUNCTION("""COMPUTED_VALUE"""),"有")</f>
        <v>有</v>
      </c>
      <c r="Y4103" s="8" t="str">
        <f>IFERROR(__xludf.DUMMYFUNCTION("""COMPUTED_VALUE"""),"P15まで")</f>
        <v>P15まで</v>
      </c>
      <c r="Z4103" s="7"/>
      <c r="AA4103" s="7"/>
      <c r="AB4103" s="7"/>
    </row>
    <row r="4104" ht="15.75" customHeight="1">
      <c r="A4104" s="26">
        <f>IFERROR(__xludf.DUMMYFUNCTION("""COMPUTED_VALUE"""),6596.0)</f>
        <v>6596</v>
      </c>
      <c r="B4104" s="22" t="str">
        <f>IFERROR(__xludf.DUMMYFUNCTION("""COMPUTED_VALUE"""),"確定")</f>
        <v>確定</v>
      </c>
      <c r="C4104" s="28">
        <f>IFERROR(__xludf.DUMMYFUNCTION("""COMPUTED_VALUE"""),45933.0)</f>
        <v>45933</v>
      </c>
      <c r="D4104" s="28">
        <f>IFERROR(__xludf.DUMMYFUNCTION("""COMPUTED_VALUE"""),45952.0)</f>
        <v>45952</v>
      </c>
      <c r="E4104" s="26">
        <f>IFERROR(__xludf.DUMMYFUNCTION("""COMPUTED_VALUE"""),342287.0)</f>
        <v>342287</v>
      </c>
      <c r="F4104" s="22" t="str">
        <f>IFERROR(__xludf.DUMMYFUNCTION("""COMPUTED_VALUE"""),"悪女顔の令嬢は優しくほほえみたい～見た目で誤解されてきた悪役令嬢は白馬の王子様に溺愛される～")</f>
        <v>悪女顔の令嬢は優しくほほえみたい～見た目で誤解されてきた悪役令嬢は白馬の王子様に溺愛される～</v>
      </c>
      <c r="G4104" s="20" t="str">
        <f>IFERROR(__xludf.DUMMYFUNCTION("""COMPUTED_VALUE"""),"1～6")</f>
        <v>1～6</v>
      </c>
      <c r="H4104" s="22" t="str">
        <f>IFERROR(__xludf.DUMMYFUNCTION("""COMPUTED_VALUE"""),"中山酢飯┴ponzoo┴笹良ゆる┴グルナ編集部")</f>
        <v>中山酢飯┴ponzoo┴笹良ゆる┴グルナ編集部</v>
      </c>
      <c r="I4104" s="22" t="str">
        <f>IFERROR(__xludf.DUMMYFUNCTION("""COMPUTED_VALUE"""),"女性")</f>
        <v>女性</v>
      </c>
      <c r="J4104" s="22"/>
      <c r="K4104" s="22"/>
      <c r="L4104" s="22" t="str">
        <f>IFERROR(__xludf.DUMMYFUNCTION("""COMPUTED_VALUE"""),"ライブコミックス")</f>
        <v>ライブコミックス</v>
      </c>
      <c r="M4104" s="33">
        <f>IFERROR(__xludf.DUMMYFUNCTION("""COMPUTED_VALUE"""),45989.0)</f>
        <v>45989</v>
      </c>
      <c r="N4104" s="33">
        <f>IFERROR(__xludf.DUMMYFUNCTION("""COMPUTED_VALUE"""),46044.0)</f>
        <v>46044</v>
      </c>
      <c r="O4104" s="20"/>
      <c r="P4104" s="32" t="str">
        <f>IFERROR(__xludf.DUMMYFUNCTION("""COMPUTED_VALUE"""),"可")</f>
        <v>可</v>
      </c>
      <c r="Q4104" s="30" t="str">
        <f>IFERROR(__xludf.DUMMYFUNCTION("""COMPUTED_VALUE"""),"BookLiveからの二次先行です。&lt;BR&gt;1~3巻までの内容にてバナー制作をお願いします。")</f>
        <v>BookLiveからの二次先行です。&lt;BR&gt;1~3巻までの内容にてバナー制作をお願いします。</v>
      </c>
      <c r="R4104" s="22" t="str">
        <f>IFERROR(__xludf.DUMMYFUNCTION("""COMPUTED_VALUE"""),"コミットOK")</f>
        <v>コミットOK</v>
      </c>
      <c r="S4104" s="22" t="str">
        <f>IFERROR(__xludf.DUMMYFUNCTION("""COMPUTED_VALUE"""),"20251003_BookLive_悪女顔の令嬢は優しくほほえみたい～見た目で誤解されてきた悪役令嬢は白馬の王子様に溺愛される～")</f>
        <v>20251003_BookLive_悪女顔の令嬢は優しくほほえみたい～見た目で誤解されてきた悪役令嬢は白馬の王子様に溺愛される～</v>
      </c>
      <c r="T4104" s="22" t="str">
        <f>IFERROR(__xludf.DUMMYFUNCTION("""COMPUTED_VALUE"""),"格納済み")</f>
        <v>格納済み</v>
      </c>
      <c r="U4104" s="9" t="str">
        <f>IFERROR(__xludf.DUMMYFUNCTION("""COMPUTED_VALUE"""),"(C)中山酢飯・ponzoo・笹良ゆる/ライブコミックス")</f>
        <v>(C)中山酢飯・ponzoo・笹良ゆる/ライブコミックス</v>
      </c>
      <c r="V4104" s="8"/>
      <c r="W4104" s="8"/>
      <c r="X4104" s="8" t="str">
        <f>IFERROR(__xludf.DUMMYFUNCTION("""COMPUTED_VALUE"""),"有")</f>
        <v>有</v>
      </c>
      <c r="Y4104" s="8" t="str">
        <f>IFERROR(__xludf.DUMMYFUNCTION("""COMPUTED_VALUE"""),"P15まで")</f>
        <v>P15まで</v>
      </c>
      <c r="Z4104" s="7"/>
      <c r="AA4104" s="7"/>
      <c r="AB4104" s="7"/>
    </row>
    <row r="4105" ht="15.75" customHeight="1">
      <c r="A4105" s="26">
        <f>IFERROR(__xludf.DUMMYFUNCTION("""COMPUTED_VALUE"""),6597.0)</f>
        <v>6597</v>
      </c>
      <c r="B4105" s="22" t="str">
        <f>IFERROR(__xludf.DUMMYFUNCTION("""COMPUTED_VALUE"""),"確定")</f>
        <v>確定</v>
      </c>
      <c r="C4105" s="28">
        <f>IFERROR(__xludf.DUMMYFUNCTION("""COMPUTED_VALUE"""),45933.0)</f>
        <v>45933</v>
      </c>
      <c r="D4105" s="28">
        <f>IFERROR(__xludf.DUMMYFUNCTION("""COMPUTED_VALUE"""),45950.0)</f>
        <v>45950</v>
      </c>
      <c r="E4105" s="26">
        <f>IFERROR(__xludf.DUMMYFUNCTION("""COMPUTED_VALUE"""),342299.0)</f>
        <v>342299</v>
      </c>
      <c r="F4105" s="22" t="str">
        <f>IFERROR(__xludf.DUMMYFUNCTION("""COMPUTED_VALUE"""),"聖騎士さま、そろそろ私を離してください！～用済み聖女は育てた英雄に執着される～")</f>
        <v>聖騎士さま、そろそろ私を離してください！～用済み聖女は育てた英雄に執着される～</v>
      </c>
      <c r="G4105" s="20" t="str">
        <f>IFERROR(__xludf.DUMMYFUNCTION("""COMPUTED_VALUE"""),"1～6")</f>
        <v>1～6</v>
      </c>
      <c r="H4105" s="22" t="str">
        <f>IFERROR(__xludf.DUMMYFUNCTION("""COMPUTED_VALUE"""),"綿野はる┴編乃肌┴エトワール編集部")</f>
        <v>綿野はる┴編乃肌┴エトワール編集部</v>
      </c>
      <c r="I4105" s="22" t="str">
        <f>IFERROR(__xludf.DUMMYFUNCTION("""COMPUTED_VALUE"""),"女性")</f>
        <v>女性</v>
      </c>
      <c r="J4105" s="22"/>
      <c r="K4105" s="22"/>
      <c r="L4105" s="22" t="str">
        <f>IFERROR(__xludf.DUMMYFUNCTION("""COMPUTED_VALUE"""),"ライブコミックス")</f>
        <v>ライブコミックス</v>
      </c>
      <c r="M4105" s="33">
        <f>IFERROR(__xludf.DUMMYFUNCTION("""COMPUTED_VALUE"""),45989.0)</f>
        <v>45989</v>
      </c>
      <c r="N4105" s="33">
        <f>IFERROR(__xludf.DUMMYFUNCTION("""COMPUTED_VALUE"""),46079.0)</f>
        <v>46079</v>
      </c>
      <c r="O4105" s="20"/>
      <c r="P4105" s="32" t="str">
        <f>IFERROR(__xludf.DUMMYFUNCTION("""COMPUTED_VALUE"""),"可")</f>
        <v>可</v>
      </c>
      <c r="Q4105" s="30" t="str">
        <f>IFERROR(__xludf.DUMMYFUNCTION("""COMPUTED_VALUE"""),"BookLiveからの二次先行です。&lt;BR&gt;1~5巻の内容でバナー制作をお願いします。")</f>
        <v>BookLiveからの二次先行です。&lt;BR&gt;1~5巻の内容でバナー制作をお願いします。</v>
      </c>
      <c r="R4105" s="22" t="str">
        <f>IFERROR(__xludf.DUMMYFUNCTION("""COMPUTED_VALUE"""),"コミットOK")</f>
        <v>コミットOK</v>
      </c>
      <c r="S4105" s="22" t="str">
        <f>IFERROR(__xludf.DUMMYFUNCTION("""COMPUTED_VALUE"""),"20251020_BookLive_聖騎士さま、そろそろ私を離してください！～用済み聖女は育てた英雄に執着される～")</f>
        <v>20251020_BookLive_聖騎士さま、そろそろ私を離してください！～用済み聖女は育てた英雄に執着される～</v>
      </c>
      <c r="T4105" s="22" t="str">
        <f>IFERROR(__xludf.DUMMYFUNCTION("""COMPUTED_VALUE"""),"格納済み")</f>
        <v>格納済み</v>
      </c>
      <c r="U4105" s="9" t="str">
        <f>IFERROR(__xludf.DUMMYFUNCTION("""COMPUTED_VALUE"""),"(C)綿野はる・編乃肌/ライブコミックス")</f>
        <v>(C)綿野はる・編乃肌/ライブコミックス</v>
      </c>
      <c r="V4105" s="8"/>
      <c r="W4105" s="8"/>
      <c r="X4105" s="8" t="str">
        <f>IFERROR(__xludf.DUMMYFUNCTION("""COMPUTED_VALUE"""),"有")</f>
        <v>有</v>
      </c>
      <c r="Y4105" s="8" t="str">
        <f>IFERROR(__xludf.DUMMYFUNCTION("""COMPUTED_VALUE"""),"P9まで")</f>
        <v>P9まで</v>
      </c>
      <c r="Z4105" s="7"/>
      <c r="AA4105" s="7"/>
      <c r="AB4105" s="7"/>
    </row>
    <row r="4106" ht="15.75" customHeight="1">
      <c r="A4106" s="26">
        <f>IFERROR(__xludf.DUMMYFUNCTION("""COMPUTED_VALUE"""),6599.0)</f>
        <v>6599</v>
      </c>
      <c r="B4106" s="22" t="str">
        <f>IFERROR(__xludf.DUMMYFUNCTION("""COMPUTED_VALUE"""),"確定")</f>
        <v>確定</v>
      </c>
      <c r="C4106" s="28">
        <f>IFERROR(__xludf.DUMMYFUNCTION("""COMPUTED_VALUE"""),45933.0)</f>
        <v>45933</v>
      </c>
      <c r="D4106" s="28">
        <f>IFERROR(__xludf.DUMMYFUNCTION("""COMPUTED_VALUE"""),45952.0)</f>
        <v>45952</v>
      </c>
      <c r="E4106" s="26">
        <f>IFERROR(__xludf.DUMMYFUNCTION("""COMPUTED_VALUE"""),342587.0)</f>
        <v>342587</v>
      </c>
      <c r="F4106" s="22" t="str">
        <f>IFERROR(__xludf.DUMMYFUNCTION("""COMPUTED_VALUE"""),"封焔のリッカ～水底の魔物は炎に溺る～")</f>
        <v>封焔のリッカ～水底の魔物は炎に溺る～</v>
      </c>
      <c r="G4106" s="20" t="str">
        <f>IFERROR(__xludf.DUMMYFUNCTION("""COMPUTED_VALUE"""),"1～6")</f>
        <v>1～6</v>
      </c>
      <c r="H4106" s="22" t="str">
        <f>IFERROR(__xludf.DUMMYFUNCTION("""COMPUTED_VALUE"""),"透宮コトリ┴グルナ編集部")</f>
        <v>透宮コトリ┴グルナ編集部</v>
      </c>
      <c r="I4106" s="22" t="str">
        <f>IFERROR(__xludf.DUMMYFUNCTION("""COMPUTED_VALUE"""),"女性")</f>
        <v>女性</v>
      </c>
      <c r="J4106" s="22"/>
      <c r="K4106" s="22"/>
      <c r="L4106" s="22" t="str">
        <f>IFERROR(__xludf.DUMMYFUNCTION("""COMPUTED_VALUE"""),"ライブコミックス")</f>
        <v>ライブコミックス</v>
      </c>
      <c r="M4106" s="33">
        <f>IFERROR(__xludf.DUMMYFUNCTION("""COMPUTED_VALUE"""),46017.0)</f>
        <v>46017</v>
      </c>
      <c r="N4106" s="33">
        <f>IFERROR(__xludf.DUMMYFUNCTION("""COMPUTED_VALUE"""),46079.0)</f>
        <v>46079</v>
      </c>
      <c r="O4106" s="20"/>
      <c r="P4106" s="32" t="str">
        <f>IFERROR(__xludf.DUMMYFUNCTION("""COMPUTED_VALUE"""),"可")</f>
        <v>可</v>
      </c>
      <c r="Q4106" s="30" t="str">
        <f>IFERROR(__xludf.DUMMYFUNCTION("""COMPUTED_VALUE"""),"BookLiveからの二次先行です。&lt;BR&gt;1~3巻までの内容にてバナー制作をお願いします。")</f>
        <v>BookLiveからの二次先行です。&lt;BR&gt;1~3巻までの内容にてバナー制作をお願いします。</v>
      </c>
      <c r="R4106" s="22" t="str">
        <f>IFERROR(__xludf.DUMMYFUNCTION("""COMPUTED_VALUE"""),"コミットOK")</f>
        <v>コミットOK</v>
      </c>
      <c r="S4106" s="22" t="str">
        <f>IFERROR(__xludf.DUMMYFUNCTION("""COMPUTED_VALUE"""),"20251016_BookLive_封焔のリッカ～水底の魔物は炎に溺る～")</f>
        <v>20251016_BookLive_封焔のリッカ～水底の魔物は炎に溺る～</v>
      </c>
      <c r="T4106" s="22" t="str">
        <f>IFERROR(__xludf.DUMMYFUNCTION("""COMPUTED_VALUE"""),"格納済み")</f>
        <v>格納済み</v>
      </c>
      <c r="U4106" s="9" t="str">
        <f>IFERROR(__xludf.DUMMYFUNCTION("""COMPUTED_VALUE"""),"(C)透宮コトリ/ライブコミックス")</f>
        <v>(C)透宮コトリ/ライブコミックス</v>
      </c>
      <c r="V4106" s="8"/>
      <c r="W4106" s="8"/>
      <c r="X4106" s="8" t="str">
        <f>IFERROR(__xludf.DUMMYFUNCTION("""COMPUTED_VALUE"""),"有")</f>
        <v>有</v>
      </c>
      <c r="Y4106" s="8" t="str">
        <f>IFERROR(__xludf.DUMMYFUNCTION("""COMPUTED_VALUE"""),"P11まで")</f>
        <v>P11まで</v>
      </c>
      <c r="Z4106" s="7"/>
      <c r="AA4106" s="7"/>
      <c r="AB4106" s="7"/>
    </row>
    <row r="4107" ht="15.75" customHeight="1">
      <c r="A4107" s="26">
        <f>IFERROR(__xludf.DUMMYFUNCTION("""COMPUTED_VALUE"""),6600.0)</f>
        <v>6600</v>
      </c>
      <c r="B4107" s="22" t="str">
        <f>IFERROR(__xludf.DUMMYFUNCTION("""COMPUTED_VALUE"""),"確定")</f>
        <v>確定</v>
      </c>
      <c r="C4107" s="28">
        <f>IFERROR(__xludf.DUMMYFUNCTION("""COMPUTED_VALUE"""),45933.0)</f>
        <v>45933</v>
      </c>
      <c r="D4107" s="28">
        <f>IFERROR(__xludf.DUMMYFUNCTION("""COMPUTED_VALUE"""),45952.0)</f>
        <v>45952</v>
      </c>
      <c r="E4107" s="26">
        <f>IFERROR(__xludf.DUMMYFUNCTION("""COMPUTED_VALUE"""),342589.0)</f>
        <v>342589</v>
      </c>
      <c r="F4107" s="22" t="str">
        <f>IFERROR(__xludf.DUMMYFUNCTION("""COMPUTED_VALUE"""),"誰もあなたのことなんて")</f>
        <v>誰もあなたのことなんて</v>
      </c>
      <c r="G4107" s="20" t="str">
        <f>IFERROR(__xludf.DUMMYFUNCTION("""COMPUTED_VALUE"""),"1～6")</f>
        <v>1～6</v>
      </c>
      <c r="H4107" s="22" t="str">
        <f>IFERROR(__xludf.DUMMYFUNCTION("""COMPUTED_VALUE"""),"縛┴グルナ編集部")</f>
        <v>縛┴グルナ編集部</v>
      </c>
      <c r="I4107" s="22" t="str">
        <f>IFERROR(__xludf.DUMMYFUNCTION("""COMPUTED_VALUE"""),"女性")</f>
        <v>女性</v>
      </c>
      <c r="J4107" s="22"/>
      <c r="K4107" s="22"/>
      <c r="L4107" s="22" t="str">
        <f>IFERROR(__xludf.DUMMYFUNCTION("""COMPUTED_VALUE"""),"ライブコミックス")</f>
        <v>ライブコミックス</v>
      </c>
      <c r="M4107" s="33">
        <f>IFERROR(__xludf.DUMMYFUNCTION("""COMPUTED_VALUE"""),46017.0)</f>
        <v>46017</v>
      </c>
      <c r="N4107" s="33">
        <f>IFERROR(__xludf.DUMMYFUNCTION("""COMPUTED_VALUE"""),46079.0)</f>
        <v>46079</v>
      </c>
      <c r="O4107" s="20"/>
      <c r="P4107" s="32" t="str">
        <f>IFERROR(__xludf.DUMMYFUNCTION("""COMPUTED_VALUE"""),"可")</f>
        <v>可</v>
      </c>
      <c r="Q4107" s="30" t="str">
        <f>IFERROR(__xludf.DUMMYFUNCTION("""COMPUTED_VALUE"""),"BookLiveからの二次先行です。&lt;BR&gt;1~3巻までの内容にてバナー制作をお願いします。")</f>
        <v>BookLiveからの二次先行です。&lt;BR&gt;1~3巻までの内容にてバナー制作をお願いします。</v>
      </c>
      <c r="R4107" s="22" t="str">
        <f>IFERROR(__xludf.DUMMYFUNCTION("""COMPUTED_VALUE"""),"コミットOK")</f>
        <v>コミットOK</v>
      </c>
      <c r="S4107" s="22" t="str">
        <f>IFERROR(__xludf.DUMMYFUNCTION("""COMPUTED_VALUE"""),"20251003_BookLive_誰もあなたのことなんて")</f>
        <v>20251003_BookLive_誰もあなたのことなんて</v>
      </c>
      <c r="T4107" s="22" t="str">
        <f>IFERROR(__xludf.DUMMYFUNCTION("""COMPUTED_VALUE"""),"格納済み")</f>
        <v>格納済み</v>
      </c>
      <c r="U4107" s="9" t="str">
        <f>IFERROR(__xludf.DUMMYFUNCTION("""COMPUTED_VALUE"""),"(C)縛/ライブコミックス")</f>
        <v>(C)縛/ライブコミックス</v>
      </c>
      <c r="V4107" s="8"/>
      <c r="W4107" s="8"/>
      <c r="X4107" s="8" t="str">
        <f>IFERROR(__xludf.DUMMYFUNCTION("""COMPUTED_VALUE"""),"有")</f>
        <v>有</v>
      </c>
      <c r="Y4107" s="8" t="str">
        <f>IFERROR(__xludf.DUMMYFUNCTION("""COMPUTED_VALUE"""),"P14まで")</f>
        <v>P14まで</v>
      </c>
      <c r="Z4107" s="7"/>
      <c r="AA4107" s="7"/>
      <c r="AB4107" s="7"/>
    </row>
    <row r="4108" ht="15.75" customHeight="1">
      <c r="A4108" s="26">
        <f>IFERROR(__xludf.DUMMYFUNCTION("""COMPUTED_VALUE"""),6603.0)</f>
        <v>6603</v>
      </c>
      <c r="B4108" s="22" t="str">
        <f>IFERROR(__xludf.DUMMYFUNCTION("""COMPUTED_VALUE"""),"確定")</f>
        <v>確定</v>
      </c>
      <c r="C4108" s="28">
        <f>IFERROR(__xludf.DUMMYFUNCTION("""COMPUTED_VALUE"""),45933.0)</f>
        <v>45933</v>
      </c>
      <c r="D4108" s="28">
        <f>IFERROR(__xludf.DUMMYFUNCTION("""COMPUTED_VALUE"""),45950.0)</f>
        <v>45950</v>
      </c>
      <c r="E4108" s="26">
        <f>IFERROR(__xludf.DUMMYFUNCTION("""COMPUTED_VALUE"""),342453.0)</f>
        <v>342453</v>
      </c>
      <c r="F4108" s="22" t="str">
        <f>IFERROR(__xludf.DUMMYFUNCTION("""COMPUTED_VALUE"""),"私たち将来を誓い合いましたよね？～元令嬢の女中は、幼馴染の女たらし騎士に翻弄されてます～")</f>
        <v>私たち将来を誓い合いましたよね？～元令嬢の女中は、幼馴染の女たらし騎士に翻弄されてます～</v>
      </c>
      <c r="G4108" s="20" t="str">
        <f>IFERROR(__xludf.DUMMYFUNCTION("""COMPUTED_VALUE"""),"1~14")</f>
        <v>1~14</v>
      </c>
      <c r="H4108" s="22" t="str">
        <f>IFERROR(__xludf.DUMMYFUNCTION("""COMPUTED_VALUE"""),"八色鈴┴こげたおこげ┴グルナ編集部")</f>
        <v>八色鈴┴こげたおこげ┴グルナ編集部</v>
      </c>
      <c r="I4108" s="22" t="str">
        <f>IFERROR(__xludf.DUMMYFUNCTION("""COMPUTED_VALUE"""),"女性")</f>
        <v>女性</v>
      </c>
      <c r="J4108" s="22"/>
      <c r="K4108" s="22"/>
      <c r="L4108" s="22" t="str">
        <f>IFERROR(__xludf.DUMMYFUNCTION("""COMPUTED_VALUE"""),"ライブコミックス")</f>
        <v>ライブコミックス</v>
      </c>
      <c r="M4108" s="33">
        <f>IFERROR(__xludf.DUMMYFUNCTION("""COMPUTED_VALUE"""),45989.0)</f>
        <v>45989</v>
      </c>
      <c r="N4108" s="33">
        <f>IFERROR(__xludf.DUMMYFUNCTION("""COMPUTED_VALUE"""),46044.0)</f>
        <v>46044</v>
      </c>
      <c r="O4108" s="20"/>
      <c r="P4108" s="32" t="str">
        <f>IFERROR(__xludf.DUMMYFUNCTION("""COMPUTED_VALUE"""),"可")</f>
        <v>可</v>
      </c>
      <c r="Q4108" s="30" t="str">
        <f>IFERROR(__xludf.DUMMYFUNCTION("""COMPUTED_VALUE"""),"BookLiveからの二次先行です。&lt;BR&gt;1~12巻までの内容にてバナー制作をお願いします。")</f>
        <v>BookLiveからの二次先行です。&lt;BR&gt;1~12巻までの内容にてバナー制作をお願いします。</v>
      </c>
      <c r="R4108" s="22" t="str">
        <f>IFERROR(__xludf.DUMMYFUNCTION("""COMPUTED_VALUE"""),"コミットOK")</f>
        <v>コミットOK</v>
      </c>
      <c r="S4108" s="22" t="str">
        <f>IFERROR(__xludf.DUMMYFUNCTION("""COMPUTED_VALUE"""),"20251003_BookLive_私たち将来を誓い合いましたよね？～元令嬢の女中は、幼馴染の女たらし騎士に翻弄されてます～")</f>
        <v>20251003_BookLive_私たち将来を誓い合いましたよね？～元令嬢の女中は、幼馴染の女たらし騎士に翻弄されてます～</v>
      </c>
      <c r="T4108" s="22" t="str">
        <f>IFERROR(__xludf.DUMMYFUNCTION("""COMPUTED_VALUE"""),"格納済み")</f>
        <v>格納済み</v>
      </c>
      <c r="U4108" s="9" t="str">
        <f>IFERROR(__xludf.DUMMYFUNCTION("""COMPUTED_VALUE"""),"(C)八色鈴・こげたおこげ/ライブコミックス")</f>
        <v>(C)八色鈴・こげたおこげ/ライブコミックス</v>
      </c>
      <c r="V4108" s="8"/>
      <c r="W4108" s="8"/>
      <c r="X4108" s="8" t="str">
        <f>IFERROR(__xludf.DUMMYFUNCTION("""COMPUTED_VALUE"""),"有")</f>
        <v>有</v>
      </c>
      <c r="Y4108" s="8" t="str">
        <f>IFERROR(__xludf.DUMMYFUNCTION("""COMPUTED_VALUE"""),"2026/1/22まで1~3巻無料")</f>
        <v>2026/1/22まで1~3巻無料</v>
      </c>
      <c r="Z4108" s="7"/>
      <c r="AA4108" s="7"/>
      <c r="AB4108" s="7"/>
    </row>
    <row r="4109" ht="15.75" customHeight="1">
      <c r="A4109" s="26">
        <f>IFERROR(__xludf.DUMMYFUNCTION("""COMPUTED_VALUE"""),6612.0)</f>
        <v>6612</v>
      </c>
      <c r="B4109" s="22" t="str">
        <f>IFERROR(__xludf.DUMMYFUNCTION("""COMPUTED_VALUE"""),"確定")</f>
        <v>確定</v>
      </c>
      <c r="C4109" s="28">
        <f>IFERROR(__xludf.DUMMYFUNCTION("""COMPUTED_VALUE"""),45937.0)</f>
        <v>45937</v>
      </c>
      <c r="D4109" s="28">
        <f>IFERROR(__xludf.DUMMYFUNCTION("""COMPUTED_VALUE"""),45950.0)</f>
        <v>45950</v>
      </c>
      <c r="E4109" s="26">
        <f>IFERROR(__xludf.DUMMYFUNCTION("""COMPUTED_VALUE"""),294816.0)</f>
        <v>294816</v>
      </c>
      <c r="F4109" s="22" t="str">
        <f>IFERROR(__xludf.DUMMYFUNCTION("""COMPUTED_VALUE"""),"出来損ない魔女と騎士の誓い")</f>
        <v>出来損ない魔女と騎士の誓い</v>
      </c>
      <c r="G4109" s="20" t="str">
        <f>IFERROR(__xludf.DUMMYFUNCTION("""COMPUTED_VALUE"""),"1～5")</f>
        <v>1～5</v>
      </c>
      <c r="H4109" s="22" t="str">
        <f>IFERROR(__xludf.DUMMYFUNCTION("""COMPUTED_VALUE"""),"浅田ぬっぺ")</f>
        <v>浅田ぬっぺ</v>
      </c>
      <c r="I4109" s="22" t="str">
        <f>IFERROR(__xludf.DUMMYFUNCTION("""COMPUTED_VALUE"""),"少女マンガ")</f>
        <v>少女マンガ</v>
      </c>
      <c r="J4109" s="22"/>
      <c r="K4109" s="22" t="str">
        <f>IFERROR(__xludf.DUMMYFUNCTION("""COMPUTED_VALUE"""),"恋するソワレ")</f>
        <v>恋するソワレ</v>
      </c>
      <c r="L4109" s="22" t="str">
        <f>IFERROR(__xludf.DUMMYFUNCTION("""COMPUTED_VALUE"""),"シーモアコミックス")</f>
        <v>シーモアコミックス</v>
      </c>
      <c r="M4109" s="33">
        <f>IFERROR(__xludf.DUMMYFUNCTION("""COMPUTED_VALUE"""),45976.0)</f>
        <v>45976</v>
      </c>
      <c r="N4109" s="33">
        <f>IFERROR(__xludf.DUMMYFUNCTION("""COMPUTED_VALUE"""),46128.66666666667)</f>
        <v>46128.66667</v>
      </c>
      <c r="O4109" s="20"/>
      <c r="P4109" s="32" t="str">
        <f>IFERROR(__xludf.DUMMYFUNCTION("""COMPUTED_VALUE"""),"可")</f>
        <v>可</v>
      </c>
      <c r="Q4109" s="30"/>
      <c r="R4109" s="22"/>
      <c r="S4109" s="22" t="str">
        <f>IFERROR(__xludf.DUMMYFUNCTION("""COMPUTED_VALUE"""),"20251007_シーモアコミックス_出来損ない魔女と騎士の誓い")</f>
        <v>20251007_シーモアコミックス_出来損ない魔女と騎士の誓い</v>
      </c>
      <c r="T4109" s="22" t="str">
        <f>IFERROR(__xludf.DUMMYFUNCTION("""COMPUTED_VALUE"""),"格納済み")</f>
        <v>格納済み</v>
      </c>
      <c r="U4109" s="9" t="str">
        <f>IFERROR(__xludf.DUMMYFUNCTION("""COMPUTED_VALUE"""),"(C) 浅田ぬっぺ/シーモアコミックス")</f>
        <v>(C) 浅田ぬっぺ/シーモアコミックス</v>
      </c>
      <c r="V4109" s="8"/>
      <c r="W4109" s="8"/>
      <c r="X4109" s="8" t="str">
        <f>IFERROR(__xludf.DUMMYFUNCTION("""COMPUTED_VALUE"""),"有")</f>
        <v>有</v>
      </c>
      <c r="Y4109" s="8" t="str">
        <f>IFERROR(__xludf.DUMMYFUNCTION("""COMPUTED_VALUE"""),"2025/12/19まで1巻無料")</f>
        <v>2025/12/19まで1巻無料</v>
      </c>
      <c r="Z4109" s="7"/>
      <c r="AA4109" s="7"/>
      <c r="AB4109" s="7"/>
    </row>
    <row r="4110" ht="15.75" customHeight="1">
      <c r="A4110" s="26">
        <f>IFERROR(__xludf.DUMMYFUNCTION("""COMPUTED_VALUE"""),6657.0)</f>
        <v>6657</v>
      </c>
      <c r="B4110" s="22" t="str">
        <f>IFERROR(__xludf.DUMMYFUNCTION("""COMPUTED_VALUE"""),"確定")</f>
        <v>確定</v>
      </c>
      <c r="C4110" s="28">
        <f>IFERROR(__xludf.DUMMYFUNCTION("""COMPUTED_VALUE"""),45945.0)</f>
        <v>45945</v>
      </c>
      <c r="D4110" s="28">
        <f>IFERROR(__xludf.DUMMYFUNCTION("""COMPUTED_VALUE"""),45946.0)</f>
        <v>45946</v>
      </c>
      <c r="E4110" s="26">
        <f>IFERROR(__xludf.DUMMYFUNCTION("""COMPUTED_VALUE"""),340971.0)</f>
        <v>340971</v>
      </c>
      <c r="F4110" s="22" t="str">
        <f>IFERROR(__xludf.DUMMYFUNCTION("""COMPUTED_VALUE"""),"冷酷王子のデレ旦那化が止まりません！？")</f>
        <v>冷酷王子のデレ旦那化が止まりません！？</v>
      </c>
      <c r="G4110" s="20" t="str">
        <f>IFERROR(__xludf.DUMMYFUNCTION("""COMPUTED_VALUE"""),"1～2")</f>
        <v>1～2</v>
      </c>
      <c r="H4110" s="22" t="str">
        <f>IFERROR(__xludf.DUMMYFUNCTION("""COMPUTED_VALUE"""),"いさ／COMIC ROOM")</f>
        <v>いさ／COMIC ROOM</v>
      </c>
      <c r="I4110" s="22" t="str">
        <f>IFERROR(__xludf.DUMMYFUNCTION("""COMPUTED_VALUE"""),"女性")</f>
        <v>女性</v>
      </c>
      <c r="J4110" s="22"/>
      <c r="K4110" s="22"/>
      <c r="L4110" s="22" t="str">
        <f>IFERROR(__xludf.DUMMYFUNCTION("""COMPUTED_VALUE"""),"コミックルーム")</f>
        <v>コミックルーム</v>
      </c>
      <c r="M4110" s="33">
        <f>IFERROR(__xludf.DUMMYFUNCTION("""COMPUTED_VALUE"""),45976.0)</f>
        <v>45976</v>
      </c>
      <c r="N4110" s="33">
        <f>IFERROR(__xludf.DUMMYFUNCTION("""COMPUTED_VALUE"""),46067.0)</f>
        <v>46067</v>
      </c>
      <c r="O4110" s="20"/>
      <c r="P4110" s="32" t="str">
        <f>IFERROR(__xludf.DUMMYFUNCTION("""COMPUTED_VALUE"""),"可")</f>
        <v>可</v>
      </c>
      <c r="Q4110" s="30"/>
      <c r="R4110" s="22"/>
      <c r="S4110" s="22" t="str">
        <f>IFERROR(__xludf.DUMMYFUNCTION("""COMPUTED_VALUE"""),"20251015_コミックルーム_冷酷王子のデレ旦那化が止まりません！？")</f>
        <v>20251015_コミックルーム_冷酷王子のデレ旦那化が止まりません！？</v>
      </c>
      <c r="T4110" s="22" t="str">
        <f>IFERROR(__xludf.DUMMYFUNCTION("""COMPUTED_VALUE"""),"格納済み")</f>
        <v>格納済み</v>
      </c>
      <c r="U4110" s="9" t="str">
        <f>IFERROR(__xludf.DUMMYFUNCTION("""COMPUTED_VALUE"""),"(c)いさ／COMIC ROOM")</f>
        <v>(c)いさ／COMIC ROOM</v>
      </c>
      <c r="V4110" s="8"/>
      <c r="W4110" s="8"/>
      <c r="X4110" s="8" t="str">
        <f>IFERROR(__xludf.DUMMYFUNCTION("""COMPUTED_VALUE"""),"有")</f>
        <v>有</v>
      </c>
      <c r="Y4110" s="8" t="str">
        <f>IFERROR(__xludf.DUMMYFUNCTION("""COMPUTED_VALUE"""),"P12まで")</f>
        <v>P12まで</v>
      </c>
      <c r="Z4110" s="7"/>
      <c r="AA4110" s="7"/>
      <c r="AB4110" s="7"/>
    </row>
    <row r="4111" ht="15.75" customHeight="1">
      <c r="A4111" s="26">
        <f>IFERROR(__xludf.DUMMYFUNCTION("""COMPUTED_VALUE"""),6658.0)</f>
        <v>6658</v>
      </c>
      <c r="B4111" s="22" t="str">
        <f>IFERROR(__xludf.DUMMYFUNCTION("""COMPUTED_VALUE"""),"確定")</f>
        <v>確定</v>
      </c>
      <c r="C4111" s="28">
        <f>IFERROR(__xludf.DUMMYFUNCTION("""COMPUTED_VALUE"""),45945.0)</f>
        <v>45945</v>
      </c>
      <c r="D4111" s="28">
        <f>IFERROR(__xludf.DUMMYFUNCTION("""COMPUTED_VALUE"""),45951.0)</f>
        <v>45951</v>
      </c>
      <c r="E4111" s="26">
        <f>IFERROR(__xludf.DUMMYFUNCTION("""COMPUTED_VALUE"""),340972.0)</f>
        <v>340972</v>
      </c>
      <c r="F4111" s="22" t="str">
        <f>IFERROR(__xludf.DUMMYFUNCTION("""COMPUTED_VALUE"""),"冷たい侯爵様が私を愛する熱い理由")</f>
        <v>冷たい侯爵様が私を愛する熱い理由</v>
      </c>
      <c r="G4111" s="20" t="str">
        <f>IFERROR(__xludf.DUMMYFUNCTION("""COMPUTED_VALUE"""),"1～2")</f>
        <v>1～2</v>
      </c>
      <c r="H4111" s="22" t="str">
        <f>IFERROR(__xludf.DUMMYFUNCTION("""COMPUTED_VALUE"""),"天王聖／COMIC ROOM")</f>
        <v>天王聖／COMIC ROOM</v>
      </c>
      <c r="I4111" s="22" t="str">
        <f>IFERROR(__xludf.DUMMYFUNCTION("""COMPUTED_VALUE"""),"女性")</f>
        <v>女性</v>
      </c>
      <c r="J4111" s="22"/>
      <c r="K4111" s="22"/>
      <c r="L4111" s="22" t="str">
        <f>IFERROR(__xludf.DUMMYFUNCTION("""COMPUTED_VALUE"""),"コミックルーム")</f>
        <v>コミックルーム</v>
      </c>
      <c r="M4111" s="33">
        <f>IFERROR(__xludf.DUMMYFUNCTION("""COMPUTED_VALUE"""),45976.0)</f>
        <v>45976</v>
      </c>
      <c r="N4111" s="33">
        <f>IFERROR(__xludf.DUMMYFUNCTION("""COMPUTED_VALUE"""),46067.0)</f>
        <v>46067</v>
      </c>
      <c r="O4111" s="20"/>
      <c r="P4111" s="32" t="str">
        <f>IFERROR(__xludf.DUMMYFUNCTION("""COMPUTED_VALUE"""),"可")</f>
        <v>可</v>
      </c>
      <c r="Q4111" s="30"/>
      <c r="R4111" s="22"/>
      <c r="S4111" s="22" t="str">
        <f>IFERROR(__xludf.DUMMYFUNCTION("""COMPUTED_VALUE"""),"20251015_コミックルーム_冷たい侯爵様が私を愛する熱い理由")</f>
        <v>20251015_コミックルーム_冷たい侯爵様が私を愛する熱い理由</v>
      </c>
      <c r="T4111" s="22" t="str">
        <f>IFERROR(__xludf.DUMMYFUNCTION("""COMPUTED_VALUE"""),"格納済み")</f>
        <v>格納済み</v>
      </c>
      <c r="U4111" s="9" t="str">
        <f>IFERROR(__xludf.DUMMYFUNCTION("""COMPUTED_VALUE"""),"(c)天王聖／COMIC ROOM")</f>
        <v>(c)天王聖／COMIC ROOM</v>
      </c>
      <c r="V4111" s="8"/>
      <c r="W4111" s="8"/>
      <c r="X4111" s="8" t="str">
        <f>IFERROR(__xludf.DUMMYFUNCTION("""COMPUTED_VALUE"""),"有")</f>
        <v>有</v>
      </c>
      <c r="Y4111" s="8" t="str">
        <f>IFERROR(__xludf.DUMMYFUNCTION("""COMPUTED_VALUE"""),"P14まで")</f>
        <v>P14まで</v>
      </c>
      <c r="Z4111" s="7"/>
      <c r="AA4111" s="7"/>
      <c r="AB4111" s="7"/>
    </row>
    <row r="4112" ht="15.75" customHeight="1">
      <c r="A4112" s="26">
        <f>IFERROR(__xludf.DUMMYFUNCTION("""COMPUTED_VALUE"""),6659.0)</f>
        <v>6659</v>
      </c>
      <c r="B4112" s="22" t="str">
        <f>IFERROR(__xludf.DUMMYFUNCTION("""COMPUTED_VALUE"""),"確定")</f>
        <v>確定</v>
      </c>
      <c r="C4112" s="28">
        <f>IFERROR(__xludf.DUMMYFUNCTION("""COMPUTED_VALUE"""),45945.0)</f>
        <v>45945</v>
      </c>
      <c r="D4112" s="28">
        <f>IFERROR(__xludf.DUMMYFUNCTION("""COMPUTED_VALUE"""),45951.0)</f>
        <v>45951</v>
      </c>
      <c r="E4112" s="26">
        <f>IFERROR(__xludf.DUMMYFUNCTION("""COMPUTED_VALUE"""),340968.0)</f>
        <v>340968</v>
      </c>
      <c r="F4112" s="22" t="str">
        <f>IFERROR(__xludf.DUMMYFUNCTION("""COMPUTED_VALUE"""),"いいのですか？ 私と婚約破棄してしまって…？")</f>
        <v>いいのですか？ 私と婚約破棄してしまって…？</v>
      </c>
      <c r="G4112" s="20" t="str">
        <f>IFERROR(__xludf.DUMMYFUNCTION("""COMPUTED_VALUE"""),"1～2")</f>
        <v>1～2</v>
      </c>
      <c r="H4112" s="22" t="str">
        <f>IFERROR(__xludf.DUMMYFUNCTION("""COMPUTED_VALUE"""),"くさなか／COMIC ROOM")</f>
        <v>くさなか／COMIC ROOM</v>
      </c>
      <c r="I4112" s="22" t="str">
        <f>IFERROR(__xludf.DUMMYFUNCTION("""COMPUTED_VALUE"""),"女性")</f>
        <v>女性</v>
      </c>
      <c r="J4112" s="22"/>
      <c r="K4112" s="22"/>
      <c r="L4112" s="22" t="str">
        <f>IFERROR(__xludf.DUMMYFUNCTION("""COMPUTED_VALUE"""),"コミックルーム")</f>
        <v>コミックルーム</v>
      </c>
      <c r="M4112" s="33">
        <f>IFERROR(__xludf.DUMMYFUNCTION("""COMPUTED_VALUE"""),45976.0)</f>
        <v>45976</v>
      </c>
      <c r="N4112" s="33">
        <f>IFERROR(__xludf.DUMMYFUNCTION("""COMPUTED_VALUE"""),46067.0)</f>
        <v>46067</v>
      </c>
      <c r="O4112" s="20"/>
      <c r="P4112" s="32" t="str">
        <f>IFERROR(__xludf.DUMMYFUNCTION("""COMPUTED_VALUE"""),"可")</f>
        <v>可</v>
      </c>
      <c r="Q4112" s="30"/>
      <c r="R4112" s="22"/>
      <c r="S4112" s="22" t="str">
        <f>IFERROR(__xludf.DUMMYFUNCTION("""COMPUTED_VALUE"""),"20251015_コミックルーム_いいのですか？私と婚約破棄してしまって⋯？")</f>
        <v>20251015_コミックルーム_いいのですか？私と婚約破棄してしまって⋯？</v>
      </c>
      <c r="T4112" s="22" t="str">
        <f>IFERROR(__xludf.DUMMYFUNCTION("""COMPUTED_VALUE"""),"格納済み")</f>
        <v>格納済み</v>
      </c>
      <c r="U4112" s="9" t="str">
        <f>IFERROR(__xludf.DUMMYFUNCTION("""COMPUTED_VALUE"""),"(c)くさなか／COMIC ROOM")</f>
        <v>(c)くさなか／COMIC ROOM</v>
      </c>
      <c r="V4112" s="8"/>
      <c r="W4112" s="8"/>
      <c r="X4112" s="8" t="str">
        <f>IFERROR(__xludf.DUMMYFUNCTION("""COMPUTED_VALUE"""),"有")</f>
        <v>有</v>
      </c>
      <c r="Y4112" s="8" t="str">
        <f>IFERROR(__xludf.DUMMYFUNCTION("""COMPUTED_VALUE"""),"P11まで")</f>
        <v>P11まで</v>
      </c>
      <c r="Z4112" s="7"/>
      <c r="AA4112" s="7"/>
      <c r="AB4112" s="7"/>
    </row>
    <row r="4113" ht="15.75" customHeight="1">
      <c r="A4113" s="26">
        <f>IFERROR(__xludf.DUMMYFUNCTION("""COMPUTED_VALUE"""),6660.0)</f>
        <v>6660</v>
      </c>
      <c r="B4113" s="22" t="str">
        <f>IFERROR(__xludf.DUMMYFUNCTION("""COMPUTED_VALUE"""),"確定")</f>
        <v>確定</v>
      </c>
      <c r="C4113" s="28">
        <f>IFERROR(__xludf.DUMMYFUNCTION("""COMPUTED_VALUE"""),45945.0)</f>
        <v>45945</v>
      </c>
      <c r="D4113" s="28">
        <f>IFERROR(__xludf.DUMMYFUNCTION("""COMPUTED_VALUE"""),45952.0)</f>
        <v>45952</v>
      </c>
      <c r="E4113" s="26">
        <f>IFERROR(__xludf.DUMMYFUNCTION("""COMPUTED_VALUE"""),340970.0)</f>
        <v>340970</v>
      </c>
      <c r="F4113" s="22" t="str">
        <f>IFERROR(__xludf.DUMMYFUNCTION("""COMPUTED_VALUE"""),"“淑女の頂点(プリマドンナ)”による華麗なる断罪")</f>
        <v>“淑女の頂点(プリマドンナ)”による華麗なる断罪</v>
      </c>
      <c r="G4113" s="20" t="str">
        <f>IFERROR(__xludf.DUMMYFUNCTION("""COMPUTED_VALUE"""),"1～2")</f>
        <v>1～2</v>
      </c>
      <c r="H4113" s="22" t="str">
        <f>IFERROR(__xludf.DUMMYFUNCTION("""COMPUTED_VALUE"""),"米粒味／COMIC ROOM")</f>
        <v>米粒味／COMIC ROOM</v>
      </c>
      <c r="I4113" s="22" t="str">
        <f>IFERROR(__xludf.DUMMYFUNCTION("""COMPUTED_VALUE"""),"女性")</f>
        <v>女性</v>
      </c>
      <c r="J4113" s="22"/>
      <c r="K4113" s="22"/>
      <c r="L4113" s="22" t="str">
        <f>IFERROR(__xludf.DUMMYFUNCTION("""COMPUTED_VALUE"""),"コミックルーム")</f>
        <v>コミックルーム</v>
      </c>
      <c r="M4113" s="33">
        <f>IFERROR(__xludf.DUMMYFUNCTION("""COMPUTED_VALUE"""),45976.0)</f>
        <v>45976</v>
      </c>
      <c r="N4113" s="33">
        <f>IFERROR(__xludf.DUMMYFUNCTION("""COMPUTED_VALUE"""),46067.0)</f>
        <v>46067</v>
      </c>
      <c r="O4113" s="20"/>
      <c r="P4113" s="32" t="str">
        <f>IFERROR(__xludf.DUMMYFUNCTION("""COMPUTED_VALUE"""),"可")</f>
        <v>可</v>
      </c>
      <c r="Q4113" s="30"/>
      <c r="R4113" s="22"/>
      <c r="S4113" s="22" t="str">
        <f>IFERROR(__xludf.DUMMYFUNCTION("""COMPUTED_VALUE"""),"20251015_コミックルーム_淑女の頂点(プリマドンナ)による華麗なる断罪")</f>
        <v>20251015_コミックルーム_淑女の頂点(プリマドンナ)による華麗なる断罪</v>
      </c>
      <c r="T4113" s="22" t="str">
        <f>IFERROR(__xludf.DUMMYFUNCTION("""COMPUTED_VALUE"""),"格納済み")</f>
        <v>格納済み</v>
      </c>
      <c r="U4113" s="9" t="str">
        <f>IFERROR(__xludf.DUMMYFUNCTION("""COMPUTED_VALUE"""),"(c)米粒味／COMIC ROOM")</f>
        <v>(c)米粒味／COMIC ROOM</v>
      </c>
      <c r="V4113" s="8"/>
      <c r="W4113" s="8"/>
      <c r="X4113" s="8" t="str">
        <f>IFERROR(__xludf.DUMMYFUNCTION("""COMPUTED_VALUE"""),"有")</f>
        <v>有</v>
      </c>
      <c r="Y4113" s="8" t="str">
        <f>IFERROR(__xludf.DUMMYFUNCTION("""COMPUTED_VALUE"""),"P14まで")</f>
        <v>P14まで</v>
      </c>
      <c r="Z4113" s="7"/>
      <c r="AA4113" s="7"/>
      <c r="AB4113" s="7"/>
    </row>
    <row r="4114" ht="15.75" customHeight="1">
      <c r="A4114" s="26">
        <f>IFERROR(__xludf.DUMMYFUNCTION("""COMPUTED_VALUE"""),6661.0)</f>
        <v>6661</v>
      </c>
      <c r="B4114" s="22" t="str">
        <f>IFERROR(__xludf.DUMMYFUNCTION("""COMPUTED_VALUE"""),"確定")</f>
        <v>確定</v>
      </c>
      <c r="C4114" s="28">
        <f>IFERROR(__xludf.DUMMYFUNCTION("""COMPUTED_VALUE"""),45945.0)</f>
        <v>45945</v>
      </c>
      <c r="D4114" s="28">
        <f>IFERROR(__xludf.DUMMYFUNCTION("""COMPUTED_VALUE"""),45950.0)</f>
        <v>45950</v>
      </c>
      <c r="E4114" s="26">
        <f>IFERROR(__xludf.DUMMYFUNCTION("""COMPUTED_VALUE"""),340969.0)</f>
        <v>340969</v>
      </c>
      <c r="F4114" s="22" t="str">
        <f>IFERROR(__xludf.DUMMYFUNCTION("""COMPUTED_VALUE"""),"不器用伯爵騎士様は、熱い想いを隠せない")</f>
        <v>不器用伯爵騎士様は、熱い想いを隠せない</v>
      </c>
      <c r="G4114" s="20" t="str">
        <f>IFERROR(__xludf.DUMMYFUNCTION("""COMPUTED_VALUE"""),"1～2")</f>
        <v>1～2</v>
      </c>
      <c r="H4114" s="22" t="str">
        <f>IFERROR(__xludf.DUMMYFUNCTION("""COMPUTED_VALUE"""),"野火／COMIC ROOM")</f>
        <v>野火／COMIC ROOM</v>
      </c>
      <c r="I4114" s="22" t="str">
        <f>IFERROR(__xludf.DUMMYFUNCTION("""COMPUTED_VALUE"""),"女性")</f>
        <v>女性</v>
      </c>
      <c r="J4114" s="22"/>
      <c r="K4114" s="22"/>
      <c r="L4114" s="22" t="str">
        <f>IFERROR(__xludf.DUMMYFUNCTION("""COMPUTED_VALUE"""),"コミックルーム")</f>
        <v>コミックルーム</v>
      </c>
      <c r="M4114" s="33">
        <f>IFERROR(__xludf.DUMMYFUNCTION("""COMPUTED_VALUE"""),45976.0)</f>
        <v>45976</v>
      </c>
      <c r="N4114" s="33">
        <f>IFERROR(__xludf.DUMMYFUNCTION("""COMPUTED_VALUE"""),46067.0)</f>
        <v>46067</v>
      </c>
      <c r="O4114" s="20"/>
      <c r="P4114" s="32" t="str">
        <f>IFERROR(__xludf.DUMMYFUNCTION("""COMPUTED_VALUE"""),"可")</f>
        <v>可</v>
      </c>
      <c r="Q4114" s="30"/>
      <c r="R4114" s="22"/>
      <c r="S4114" s="22" t="str">
        <f>IFERROR(__xludf.DUMMYFUNCTION("""COMPUTED_VALUE"""),"20251015_コミックルーム_不器用伯爵騎士様は、熱い想いを隠せない")</f>
        <v>20251015_コミックルーム_不器用伯爵騎士様は、熱い想いを隠せない</v>
      </c>
      <c r="T4114" s="22" t="str">
        <f>IFERROR(__xludf.DUMMYFUNCTION("""COMPUTED_VALUE"""),"格納済み")</f>
        <v>格納済み</v>
      </c>
      <c r="U4114" s="9" t="str">
        <f>IFERROR(__xludf.DUMMYFUNCTION("""COMPUTED_VALUE"""),"(c)野火／COMIC ROOM")</f>
        <v>(c)野火／COMIC ROOM</v>
      </c>
      <c r="V4114" s="8"/>
      <c r="W4114" s="8"/>
      <c r="X4114" s="8" t="str">
        <f>IFERROR(__xludf.DUMMYFUNCTION("""COMPUTED_VALUE"""),"有")</f>
        <v>有</v>
      </c>
      <c r="Y4114" s="8" t="str">
        <f>IFERROR(__xludf.DUMMYFUNCTION("""COMPUTED_VALUE"""),"P13まで")</f>
        <v>P13まで</v>
      </c>
      <c r="Z4114" s="7"/>
      <c r="AA4114" s="7"/>
      <c r="AB4114" s="7"/>
    </row>
    <row r="4115" ht="15.75" customHeight="1">
      <c r="A4115" s="26">
        <f>IFERROR(__xludf.DUMMYFUNCTION("""COMPUTED_VALUE"""),6669.0)</f>
        <v>6669</v>
      </c>
      <c r="B4115" s="22" t="str">
        <f>IFERROR(__xludf.DUMMYFUNCTION("""COMPUTED_VALUE"""),"確定")</f>
        <v>確定</v>
      </c>
      <c r="C4115" s="28">
        <f>IFERROR(__xludf.DUMMYFUNCTION("""COMPUTED_VALUE"""),45946.0)</f>
        <v>45946</v>
      </c>
      <c r="D4115" s="28">
        <f>IFERROR(__xludf.DUMMYFUNCTION("""COMPUTED_VALUE"""),45951.0)</f>
        <v>45951</v>
      </c>
      <c r="E4115" s="26">
        <f>IFERROR(__xludf.DUMMYFUNCTION("""COMPUTED_VALUE"""),341777.0)</f>
        <v>341777</v>
      </c>
      <c r="F4115" s="22" t="str">
        <f>IFERROR(__xludf.DUMMYFUNCTION("""COMPUTED_VALUE"""),"たとえ愛されない聖女だとしても")</f>
        <v>たとえ愛されない聖女だとしても</v>
      </c>
      <c r="G4115" s="20" t="str">
        <f>IFERROR(__xludf.DUMMYFUNCTION("""COMPUTED_VALUE"""),"1～4")</f>
        <v>1～4</v>
      </c>
      <c r="H4115" s="22" t="str">
        <f>IFERROR(__xludf.DUMMYFUNCTION("""COMPUTED_VALUE"""),"茲助/マツガサキヒロ/comicスピラ")</f>
        <v>茲助/マツガサキヒロ/comicスピラ</v>
      </c>
      <c r="I4115" s="22" t="str">
        <f>IFERROR(__xludf.DUMMYFUNCTION("""COMPUTED_VALUE"""),"少女")</f>
        <v>少女</v>
      </c>
      <c r="J4115" s="22"/>
      <c r="K4115" s="22"/>
      <c r="L4115" s="22" t="str">
        <f>IFERROR(__xludf.DUMMYFUNCTION("""COMPUTED_VALUE"""),"ファンギルド")</f>
        <v>ファンギルド</v>
      </c>
      <c r="M4115" s="33">
        <f>IFERROR(__xludf.DUMMYFUNCTION("""COMPUTED_VALUE"""),45995.0)</f>
        <v>45995</v>
      </c>
      <c r="N4115" s="33">
        <f>IFERROR(__xludf.DUMMYFUNCTION("""COMPUTED_VALUE"""),46069.0)</f>
        <v>46069</v>
      </c>
      <c r="O4115" s="20"/>
      <c r="P4115" s="32" t="str">
        <f>IFERROR(__xludf.DUMMYFUNCTION("""COMPUTED_VALUE"""),"可")</f>
        <v>可</v>
      </c>
      <c r="Q4115" s="30"/>
      <c r="R4115" s="22"/>
      <c r="S4115" s="22" t="str">
        <f>IFERROR(__xludf.DUMMYFUNCTION("""COMPUTED_VALUE"""),"20251016_ファンギルド_たとえ愛されない聖女だとしても")</f>
        <v>20251016_ファンギルド_たとえ愛されない聖女だとしても</v>
      </c>
      <c r="T4115" s="22" t="str">
        <f>IFERROR(__xludf.DUMMYFUNCTION("""COMPUTED_VALUE"""),"格納済み")</f>
        <v>格納済み</v>
      </c>
      <c r="U4115" s="9" t="str">
        <f>IFERROR(__xludf.DUMMYFUNCTION("""COMPUTED_VALUE"""),"Ⓒ茲助/マツガサキヒロ/comicスピラ/ファンギルド")</f>
        <v>Ⓒ茲助/マツガサキヒロ/comicスピラ/ファンギルド</v>
      </c>
      <c r="V4115" s="8"/>
      <c r="W4115" s="8"/>
      <c r="X4115" s="8" t="str">
        <f>IFERROR(__xludf.DUMMYFUNCTION("""COMPUTED_VALUE"""),"有")</f>
        <v>有</v>
      </c>
      <c r="Y4115" s="8" t="str">
        <f>IFERROR(__xludf.DUMMYFUNCTION("""COMPUTED_VALUE"""),"2025/12/17まで1巻無料")</f>
        <v>2025/12/17まで1巻無料</v>
      </c>
      <c r="Z4115" s="7"/>
      <c r="AA4115" s="7"/>
      <c r="AB4115" s="7"/>
    </row>
    <row r="4116" ht="15.75" customHeight="1">
      <c r="A4116" s="26">
        <f>IFERROR(__xludf.DUMMYFUNCTION("""COMPUTED_VALUE"""),6670.0)</f>
        <v>6670</v>
      </c>
      <c r="B4116" s="22" t="str">
        <f>IFERROR(__xludf.DUMMYFUNCTION("""COMPUTED_VALUE"""),"確定")</f>
        <v>確定</v>
      </c>
      <c r="C4116" s="28">
        <f>IFERROR(__xludf.DUMMYFUNCTION("""COMPUTED_VALUE"""),45946.0)</f>
        <v>45946</v>
      </c>
      <c r="D4116" s="28">
        <f>IFERROR(__xludf.DUMMYFUNCTION("""COMPUTED_VALUE"""),45951.0)</f>
        <v>45951</v>
      </c>
      <c r="E4116" s="26">
        <f>IFERROR(__xludf.DUMMYFUNCTION("""COMPUTED_VALUE"""),341770.0)</f>
        <v>341770</v>
      </c>
      <c r="F4116" s="22" t="str">
        <f>IFERROR(__xludf.DUMMYFUNCTION("""COMPUTED_VALUE"""),"好きになっちゃいけない人")</f>
        <v>好きになっちゃいけない人</v>
      </c>
      <c r="G4116" s="20" t="str">
        <f>IFERROR(__xludf.DUMMYFUNCTION("""COMPUTED_VALUE"""),"1～3")</f>
        <v>1～3</v>
      </c>
      <c r="H4116" s="22" t="str">
        <f>IFERROR(__xludf.DUMMYFUNCTION("""COMPUTED_VALUE"""),"PAPER/Gom Creative")</f>
        <v>PAPER/Gom Creative</v>
      </c>
      <c r="I4116" s="22" t="str">
        <f>IFERROR(__xludf.DUMMYFUNCTION("""COMPUTED_VALUE"""),"青年")</f>
        <v>青年</v>
      </c>
      <c r="J4116" s="22"/>
      <c r="K4116" s="22"/>
      <c r="L4116" s="22" t="str">
        <f>IFERROR(__xludf.DUMMYFUNCTION("""COMPUTED_VALUE"""),"Rush!")</f>
        <v>Rush!</v>
      </c>
      <c r="M4116" s="33">
        <f>IFERROR(__xludf.DUMMYFUNCTION("""COMPUTED_VALUE"""),45996.0)</f>
        <v>45996</v>
      </c>
      <c r="N4116" s="33">
        <f>IFERROR(__xludf.DUMMYFUNCTION("""COMPUTED_VALUE"""),46086.70833333333)</f>
        <v>46086.70833</v>
      </c>
      <c r="O4116" s="20"/>
      <c r="P4116" s="32" t="str">
        <f>IFERROR(__xludf.DUMMYFUNCTION("""COMPUTED_VALUE"""),"可")</f>
        <v>可</v>
      </c>
      <c r="Q4116" s="30"/>
      <c r="R4116" s="22"/>
      <c r="S4116" s="22" t="str">
        <f>IFERROR(__xludf.DUMMYFUNCTION("""COMPUTED_VALUE"""),"20251016_ファンギルド_好きになっちゃいけない人")</f>
        <v>20251016_ファンギルド_好きになっちゃいけない人</v>
      </c>
      <c r="T4116" s="22" t="str">
        <f>IFERROR(__xludf.DUMMYFUNCTION("""COMPUTED_VALUE"""),"格納済み")</f>
        <v>格納済み</v>
      </c>
      <c r="U4116" s="9" t="str">
        <f>IFERROR(__xludf.DUMMYFUNCTION("""COMPUTED_VALUE"""),"ⒸPAPER/Gom Creative/TOPTOON")</f>
        <v>ⒸPAPER/Gom Creative/TOPTOON</v>
      </c>
      <c r="V4116" s="8"/>
      <c r="W4116" s="8"/>
      <c r="X4116" s="8" t="str">
        <f>IFERROR(__xludf.DUMMYFUNCTION("""COMPUTED_VALUE"""),"有")</f>
        <v>有</v>
      </c>
      <c r="Y4116" s="8" t="str">
        <f>IFERROR(__xludf.DUMMYFUNCTION("""COMPUTED_VALUE"""),"P18まで")</f>
        <v>P18まで</v>
      </c>
      <c r="Z4116" s="7"/>
      <c r="AA4116" s="7"/>
      <c r="AB4116" s="7"/>
    </row>
    <row r="4117" ht="15.75" customHeight="1">
      <c r="A4117" s="26">
        <f>IFERROR(__xludf.DUMMYFUNCTION("""COMPUTED_VALUE"""),6671.0)</f>
        <v>6671</v>
      </c>
      <c r="B4117" s="22" t="str">
        <f>IFERROR(__xludf.DUMMYFUNCTION("""COMPUTED_VALUE"""),"確定")</f>
        <v>確定</v>
      </c>
      <c r="C4117" s="28">
        <f>IFERROR(__xludf.DUMMYFUNCTION("""COMPUTED_VALUE"""),45946.0)</f>
        <v>45946</v>
      </c>
      <c r="D4117" s="28">
        <f>IFERROR(__xludf.DUMMYFUNCTION("""COMPUTED_VALUE"""),45951.0)</f>
        <v>45951</v>
      </c>
      <c r="E4117" s="26">
        <f>IFERROR(__xludf.DUMMYFUNCTION("""COMPUTED_VALUE"""),341769.0)</f>
        <v>341769</v>
      </c>
      <c r="F4117" s="22" t="str">
        <f>IFERROR(__xludf.DUMMYFUNCTION("""COMPUTED_VALUE"""),"恋愛管理～社内のあの子を思うがままに～")</f>
        <v>恋愛管理～社内のあの子を思うがままに～</v>
      </c>
      <c r="G4117" s="20" t="str">
        <f>IFERROR(__xludf.DUMMYFUNCTION("""COMPUTED_VALUE"""),"1～3")</f>
        <v>1～3</v>
      </c>
      <c r="H4117" s="22" t="str">
        <f>IFERROR(__xludf.DUMMYFUNCTION("""COMPUTED_VALUE"""),"Erosfeel_bug/Gatorgrip2mm")</f>
        <v>Erosfeel_bug/Gatorgrip2mm</v>
      </c>
      <c r="I4117" s="22" t="str">
        <f>IFERROR(__xludf.DUMMYFUNCTION("""COMPUTED_VALUE"""),"青年")</f>
        <v>青年</v>
      </c>
      <c r="J4117" s="22"/>
      <c r="K4117" s="22"/>
      <c r="L4117" s="22" t="str">
        <f>IFERROR(__xludf.DUMMYFUNCTION("""COMPUTED_VALUE"""),"Rush!")</f>
        <v>Rush!</v>
      </c>
      <c r="M4117" s="33">
        <f>IFERROR(__xludf.DUMMYFUNCTION("""COMPUTED_VALUE"""),45989.0)</f>
        <v>45989</v>
      </c>
      <c r="N4117" s="33">
        <f>IFERROR(__xludf.DUMMYFUNCTION("""COMPUTED_VALUE"""),46016.0)</f>
        <v>46016</v>
      </c>
      <c r="O4117" s="20"/>
      <c r="P4117" s="32" t="str">
        <f>IFERROR(__xludf.DUMMYFUNCTION("""COMPUTED_VALUE"""),"可")</f>
        <v>可</v>
      </c>
      <c r="Q4117" s="30" t="str">
        <f>IFERROR(__xludf.DUMMYFUNCTION("""COMPUTED_VALUE"""),"【アダルト作品扱い】")</f>
        <v>【アダルト作品扱い】</v>
      </c>
      <c r="R4117" s="22"/>
      <c r="S4117" s="22" t="str">
        <f>IFERROR(__xludf.DUMMYFUNCTION("""COMPUTED_VALUE"""),"20251016_ファンギルド_恋愛管理～社内のあの子を思うがままに～")</f>
        <v>20251016_ファンギルド_恋愛管理～社内のあの子を思うがままに～</v>
      </c>
      <c r="T4117" s="22" t="str">
        <f>IFERROR(__xludf.DUMMYFUNCTION("""COMPUTED_VALUE"""),"格納済み")</f>
        <v>格納済み</v>
      </c>
      <c r="U4117" s="9" t="str">
        <f>IFERROR(__xludf.DUMMYFUNCTION("""COMPUTED_VALUE"""),"©Erosfeel_bug/Gatorgrip2mm/TOPTOON")</f>
        <v>©Erosfeel_bug/Gatorgrip2mm/TOPTOON</v>
      </c>
      <c r="V4117" s="8"/>
      <c r="W4117" s="8"/>
      <c r="X4117" s="8" t="str">
        <f>IFERROR(__xludf.DUMMYFUNCTION("""COMPUTED_VALUE"""),"有")</f>
        <v>有</v>
      </c>
      <c r="Y4117" s="8" t="str">
        <f>IFERROR(__xludf.DUMMYFUNCTION("""COMPUTED_VALUE"""),"2025/12/11まで1巻無料")</f>
        <v>2025/12/11まで1巻無料</v>
      </c>
      <c r="Z4117" s="7"/>
      <c r="AA4117" s="7"/>
      <c r="AB4117" s="7"/>
    </row>
    <row r="4118" ht="15.75" customHeight="1">
      <c r="A4118" s="26">
        <f>IFERROR(__xludf.DUMMYFUNCTION("""COMPUTED_VALUE"""),6672.0)</f>
        <v>6672</v>
      </c>
      <c r="B4118" s="22" t="str">
        <f>IFERROR(__xludf.DUMMYFUNCTION("""COMPUTED_VALUE"""),"確定")</f>
        <v>確定</v>
      </c>
      <c r="C4118" s="28">
        <f>IFERROR(__xludf.DUMMYFUNCTION("""COMPUTED_VALUE"""),45946.0)</f>
        <v>45946</v>
      </c>
      <c r="D4118" s="28">
        <f>IFERROR(__xludf.DUMMYFUNCTION("""COMPUTED_VALUE"""),45951.0)</f>
        <v>45951</v>
      </c>
      <c r="E4118" s="26">
        <f>IFERROR(__xludf.DUMMYFUNCTION("""COMPUTED_VALUE"""),341771.0)</f>
        <v>341771</v>
      </c>
      <c r="F4118" s="22" t="str">
        <f>IFERROR(__xludf.DUMMYFUNCTION("""COMPUTED_VALUE"""),"合コン行ったら姉がいた")</f>
        <v>合コン行ったら姉がいた</v>
      </c>
      <c r="G4118" s="20" t="str">
        <f>IFERROR(__xludf.DUMMYFUNCTION("""COMPUTED_VALUE"""),"1～3")</f>
        <v>1～3</v>
      </c>
      <c r="H4118" s="22" t="str">
        <f>IFERROR(__xludf.DUMMYFUNCTION("""COMPUTED_VALUE"""),"温泉みかん/サエキヨウスケオルタ")</f>
        <v>温泉みかん/サエキヨウスケオルタ</v>
      </c>
      <c r="I4118" s="22" t="str">
        <f>IFERROR(__xludf.DUMMYFUNCTION("""COMPUTED_VALUE"""),"青年")</f>
        <v>青年</v>
      </c>
      <c r="J4118" s="22"/>
      <c r="K4118" s="22"/>
      <c r="L4118" s="22" t="str">
        <f>IFERROR(__xludf.DUMMYFUNCTION("""COMPUTED_VALUE"""),"Rush!")</f>
        <v>Rush!</v>
      </c>
      <c r="M4118" s="33">
        <f>IFERROR(__xludf.DUMMYFUNCTION("""COMPUTED_VALUE"""),45982.0)</f>
        <v>45982</v>
      </c>
      <c r="N4118" s="33">
        <f>IFERROR(__xludf.DUMMYFUNCTION("""COMPUTED_VALUE"""),46016.0)</f>
        <v>46016</v>
      </c>
      <c r="O4118" s="20"/>
      <c r="P4118" s="32" t="str">
        <f>IFERROR(__xludf.DUMMYFUNCTION("""COMPUTED_VALUE"""),"可")</f>
        <v>可</v>
      </c>
      <c r="Q4118" s="30"/>
      <c r="R4118" s="22"/>
      <c r="S4118" s="22" t="str">
        <f>IFERROR(__xludf.DUMMYFUNCTION("""COMPUTED_VALUE"""),"20251016_ファンギルド_合コン行ったら姉がいた")</f>
        <v>20251016_ファンギルド_合コン行ったら姉がいた</v>
      </c>
      <c r="T4118" s="22" t="str">
        <f>IFERROR(__xludf.DUMMYFUNCTION("""COMPUTED_VALUE"""),"格納済み")</f>
        <v>格納済み</v>
      </c>
      <c r="U4118" s="9" t="str">
        <f>IFERROR(__xludf.DUMMYFUNCTION("""COMPUTED_VALUE"""),"ⒸMikan Onsen/Saeki Yohsuke Alter")</f>
        <v>ⒸMikan Onsen/Saeki Yohsuke Alter</v>
      </c>
      <c r="V4118" s="8"/>
      <c r="W4118" s="8"/>
      <c r="X4118" s="8" t="str">
        <f>IFERROR(__xludf.DUMMYFUNCTION("""COMPUTED_VALUE"""),"有")</f>
        <v>有</v>
      </c>
      <c r="Y4118" s="8" t="str">
        <f>IFERROR(__xludf.DUMMYFUNCTION("""COMPUTED_VALUE"""),"2025/12/4まで1巻無料")</f>
        <v>2025/12/4まで1巻無料</v>
      </c>
      <c r="Z4118" s="7"/>
      <c r="AA4118" s="7"/>
      <c r="AB4118" s="7"/>
    </row>
    <row r="4119" ht="15.75" customHeight="1">
      <c r="A4119" s="26">
        <f>IFERROR(__xludf.DUMMYFUNCTION("""COMPUTED_VALUE"""),6673.0)</f>
        <v>6673</v>
      </c>
      <c r="B4119" s="22" t="str">
        <f>IFERROR(__xludf.DUMMYFUNCTION("""COMPUTED_VALUE"""),"確定")</f>
        <v>確定</v>
      </c>
      <c r="C4119" s="28">
        <f>IFERROR(__xludf.DUMMYFUNCTION("""COMPUTED_VALUE"""),45946.0)</f>
        <v>45946</v>
      </c>
      <c r="D4119" s="28">
        <f>IFERROR(__xludf.DUMMYFUNCTION("""COMPUTED_VALUE"""),45951.0)</f>
        <v>45951</v>
      </c>
      <c r="E4119" s="26">
        <f>IFERROR(__xludf.DUMMYFUNCTION("""COMPUTED_VALUE"""),341767.0)</f>
        <v>341767</v>
      </c>
      <c r="F4119" s="22" t="str">
        <f>IFERROR(__xludf.DUMMYFUNCTION("""COMPUTED_VALUE"""),"絶対にオトす、ヤンデレ幼馴染のドロドロ執着SEX～気持ちいいトコ知ってるの俺だけだから")</f>
        <v>絶対にオトす、ヤンデレ幼馴染のドロドロ執着SEX～気持ちいいトコ知ってるの俺だけだから</v>
      </c>
      <c r="G4119" s="20" t="str">
        <f>IFERROR(__xludf.DUMMYFUNCTION("""COMPUTED_VALUE"""),"1～3")</f>
        <v>1～3</v>
      </c>
      <c r="H4119" s="22" t="str">
        <f>IFERROR(__xludf.DUMMYFUNCTION("""COMPUTED_VALUE"""),"たかみやはいり")</f>
        <v>たかみやはいり</v>
      </c>
      <c r="I4119" s="22" t="str">
        <f>IFERROR(__xludf.DUMMYFUNCTION("""COMPUTED_VALUE"""),"アダルトマンガ")</f>
        <v>アダルトマンガ</v>
      </c>
      <c r="J4119" s="22"/>
      <c r="K4119" s="22"/>
      <c r="L4119" s="22" t="str">
        <f>IFERROR(__xludf.DUMMYFUNCTION("""COMPUTED_VALUE"""),"モバイルメディアリサーチ")</f>
        <v>モバイルメディアリサーチ</v>
      </c>
      <c r="M4119" s="33">
        <f>IFERROR(__xludf.DUMMYFUNCTION("""COMPUTED_VALUE"""),45986.0)</f>
        <v>45986</v>
      </c>
      <c r="N4119" s="33">
        <f>IFERROR(__xludf.DUMMYFUNCTION("""COMPUTED_VALUE"""),46013.0)</f>
        <v>46013</v>
      </c>
      <c r="O4119" s="20"/>
      <c r="P4119" s="32" t="str">
        <f>IFERROR(__xludf.DUMMYFUNCTION("""COMPUTED_VALUE"""),"可")</f>
        <v>可</v>
      </c>
      <c r="Q4119" s="30"/>
      <c r="R4119" s="22"/>
      <c r="S4119" s="22" t="str">
        <f>IFERROR(__xludf.DUMMYFUNCTION("""COMPUTED_VALUE"""),"20251016_ファンギルド_絶対にオトす、ヤンデレ幼馴染のドロドロ執着SEX～気持ちいいトコ知ってるの俺だけだから")</f>
        <v>20251016_ファンギルド_絶対にオトす、ヤンデレ幼馴染のドロドロ執着SEX～気持ちいいトコ知ってるの俺だけだから</v>
      </c>
      <c r="T4119" s="22" t="str">
        <f>IFERROR(__xludf.DUMMYFUNCTION("""COMPUTED_VALUE"""),"格納済み")</f>
        <v>格納済み</v>
      </c>
      <c r="U4119" s="9" t="str">
        <f>IFERROR(__xludf.DUMMYFUNCTION("""COMPUTED_VALUE"""),"Ⓒたかみやはいり/モバイルメディアリサーチ")</f>
        <v>Ⓒたかみやはいり/モバイルメディアリサーチ</v>
      </c>
      <c r="V4119" s="8"/>
      <c r="W4119" s="8"/>
      <c r="X4119" s="8" t="str">
        <f>IFERROR(__xludf.DUMMYFUNCTION("""COMPUTED_VALUE"""),"有")</f>
        <v>有</v>
      </c>
      <c r="Y4119" s="8" t="str">
        <f>IFERROR(__xludf.DUMMYFUNCTION("""COMPUTED_VALUE"""),"2025/12/22まで1巻無料")</f>
        <v>2025/12/22まで1巻無料</v>
      </c>
      <c r="Z4119" s="7"/>
      <c r="AA4119" s="7"/>
      <c r="AB4119" s="7"/>
    </row>
    <row r="4120" ht="15.75" customHeight="1">
      <c r="A4120" s="26">
        <f>IFERROR(__xludf.DUMMYFUNCTION("""COMPUTED_VALUE"""),6674.0)</f>
        <v>6674</v>
      </c>
      <c r="B4120" s="22" t="str">
        <f>IFERROR(__xludf.DUMMYFUNCTION("""COMPUTED_VALUE"""),"確定")</f>
        <v>確定</v>
      </c>
      <c r="C4120" s="28">
        <f>IFERROR(__xludf.DUMMYFUNCTION("""COMPUTED_VALUE"""),45946.0)</f>
        <v>45946</v>
      </c>
      <c r="D4120" s="28">
        <f>IFERROR(__xludf.DUMMYFUNCTION("""COMPUTED_VALUE"""),45951.0)</f>
        <v>45951</v>
      </c>
      <c r="E4120" s="26">
        <f>IFERROR(__xludf.DUMMYFUNCTION("""COMPUTED_VALUE"""),341768.0)</f>
        <v>341768</v>
      </c>
      <c r="F4120" s="22" t="str">
        <f>IFERROR(__xludf.DUMMYFUNCTION("""COMPUTED_VALUE"""),"絶対にオトす、ヤンデレ幼馴染のドロドロ執着SEX～気持ちいいトコ知ってるの俺だけだから【TL版】")</f>
        <v>絶対にオトす、ヤンデレ幼馴染のドロドロ執着SEX～気持ちいいトコ知ってるの俺だけだから【TL版】</v>
      </c>
      <c r="G4120" s="20" t="str">
        <f>IFERROR(__xludf.DUMMYFUNCTION("""COMPUTED_VALUE"""),"1～3")</f>
        <v>1～3</v>
      </c>
      <c r="H4120" s="22" t="str">
        <f>IFERROR(__xludf.DUMMYFUNCTION("""COMPUTED_VALUE"""),"たかみやはいり")</f>
        <v>たかみやはいり</v>
      </c>
      <c r="I4120" s="22" t="str">
        <f>IFERROR(__xludf.DUMMYFUNCTION("""COMPUTED_VALUE"""),"TL")</f>
        <v>TL</v>
      </c>
      <c r="J4120" s="22"/>
      <c r="K4120" s="22"/>
      <c r="L4120" s="22" t="str">
        <f>IFERROR(__xludf.DUMMYFUNCTION("""COMPUTED_VALUE"""),"モバイルメディアリサーチ")</f>
        <v>モバイルメディアリサーチ</v>
      </c>
      <c r="M4120" s="33">
        <f>IFERROR(__xludf.DUMMYFUNCTION("""COMPUTED_VALUE"""),45986.0)</f>
        <v>45986</v>
      </c>
      <c r="N4120" s="33">
        <f>IFERROR(__xludf.DUMMYFUNCTION("""COMPUTED_VALUE"""),46013.0)</f>
        <v>46013</v>
      </c>
      <c r="O4120" s="20"/>
      <c r="P4120" s="32" t="str">
        <f>IFERROR(__xludf.DUMMYFUNCTION("""COMPUTED_VALUE"""),"可")</f>
        <v>可</v>
      </c>
      <c r="Q4120" s="30" t="str">
        <f>IFERROR(__xludf.DUMMYFUNCTION("""COMPUTED_VALUE"""),"【アダルト作品扱い】")</f>
        <v>【アダルト作品扱い】</v>
      </c>
      <c r="R4120" s="22"/>
      <c r="S4120" s="22" t="str">
        <f>IFERROR(__xludf.DUMMYFUNCTION("""COMPUTED_VALUE"""),"20251016_ファンギルド_絶対にオトす、ヤンデレ幼馴染のドロドロ執着SEX～気持ちいいトコ知ってるの俺だけだから【TL版】")</f>
        <v>20251016_ファンギルド_絶対にオトす、ヤンデレ幼馴染のドロドロ執着SEX～気持ちいいトコ知ってるの俺だけだから【TL版】</v>
      </c>
      <c r="T4120" s="22" t="str">
        <f>IFERROR(__xludf.DUMMYFUNCTION("""COMPUTED_VALUE"""),"格納済み")</f>
        <v>格納済み</v>
      </c>
      <c r="U4120" s="9" t="str">
        <f>IFERROR(__xludf.DUMMYFUNCTION("""COMPUTED_VALUE"""),"Ⓒたかみやはいり/モバイルメディアリサーチ")</f>
        <v>Ⓒたかみやはいり/モバイルメディアリサーチ</v>
      </c>
      <c r="V4120" s="8"/>
      <c r="W4120" s="8"/>
      <c r="X4120" s="8" t="str">
        <f>IFERROR(__xludf.DUMMYFUNCTION("""COMPUTED_VALUE"""),"有")</f>
        <v>有</v>
      </c>
      <c r="Y4120" s="8" t="str">
        <f>IFERROR(__xludf.DUMMYFUNCTION("""COMPUTED_VALUE"""),"2025/12/22まで1巻無料")</f>
        <v>2025/12/22まで1巻無料</v>
      </c>
      <c r="Z4120" s="7"/>
      <c r="AA4120" s="7"/>
      <c r="AB4120" s="7"/>
    </row>
    <row r="4121" ht="15.75" customHeight="1">
      <c r="A4121" s="26">
        <f>IFERROR(__xludf.DUMMYFUNCTION("""COMPUTED_VALUE"""),6675.0)</f>
        <v>6675</v>
      </c>
      <c r="B4121" s="22" t="str">
        <f>IFERROR(__xludf.DUMMYFUNCTION("""COMPUTED_VALUE"""),"確定")</f>
        <v>確定</v>
      </c>
      <c r="C4121" s="28">
        <f>IFERROR(__xludf.DUMMYFUNCTION("""COMPUTED_VALUE"""),45946.0)</f>
        <v>45946</v>
      </c>
      <c r="D4121" s="28">
        <f>IFERROR(__xludf.DUMMYFUNCTION("""COMPUTED_VALUE"""),45951.0)</f>
        <v>45951</v>
      </c>
      <c r="E4121" s="26">
        <f>IFERROR(__xludf.DUMMYFUNCTION("""COMPUTED_VALUE"""),341772.0)</f>
        <v>341772</v>
      </c>
      <c r="F4121" s="22" t="str">
        <f>IFERROR(__xludf.DUMMYFUNCTION("""COMPUTED_VALUE"""),"公認不倫～6年越しの本気セックスは奥まで響いて…")</f>
        <v>公認不倫～6年越しの本気セックスは奥まで響いて…</v>
      </c>
      <c r="G4121" s="20" t="str">
        <f>IFERROR(__xludf.DUMMYFUNCTION("""COMPUTED_VALUE"""),"1～3")</f>
        <v>1～3</v>
      </c>
      <c r="H4121" s="22" t="str">
        <f>IFERROR(__xludf.DUMMYFUNCTION("""COMPUTED_VALUE"""),"あおき七瀬")</f>
        <v>あおき七瀬</v>
      </c>
      <c r="I4121" s="22" t="str">
        <f>IFERROR(__xludf.DUMMYFUNCTION("""COMPUTED_VALUE"""),"アダルトマンガ")</f>
        <v>アダルトマンガ</v>
      </c>
      <c r="J4121" s="22"/>
      <c r="K4121" s="22"/>
      <c r="L4121" s="22" t="str">
        <f>IFERROR(__xludf.DUMMYFUNCTION("""COMPUTED_VALUE"""),"モバイルメディアリサーチ")</f>
        <v>モバイルメディアリサーチ</v>
      </c>
      <c r="M4121" s="33">
        <f>IFERROR(__xludf.DUMMYFUNCTION("""COMPUTED_VALUE"""),46000.0)</f>
        <v>46000</v>
      </c>
      <c r="N4121" s="33">
        <f>IFERROR(__xludf.DUMMYFUNCTION("""COMPUTED_VALUE"""),46034.0)</f>
        <v>46034</v>
      </c>
      <c r="O4121" s="20"/>
      <c r="P4121" s="32" t="str">
        <f>IFERROR(__xludf.DUMMYFUNCTION("""COMPUTED_VALUE"""),"可")</f>
        <v>可</v>
      </c>
      <c r="Q4121" s="30"/>
      <c r="R4121" s="22"/>
      <c r="S4121" s="22" t="str">
        <f>IFERROR(__xludf.DUMMYFUNCTION("""COMPUTED_VALUE"""),"20251016_ファンギルド_公認不倫～6年越しの本気セックスは奥まで響いて…")</f>
        <v>20251016_ファンギルド_公認不倫～6年越しの本気セックスは奥まで響いて…</v>
      </c>
      <c r="T4121" s="22" t="str">
        <f>IFERROR(__xludf.DUMMYFUNCTION("""COMPUTED_VALUE"""),"格納済み")</f>
        <v>格納済み</v>
      </c>
      <c r="U4121" s="9" t="str">
        <f>IFERROR(__xludf.DUMMYFUNCTION("""COMPUTED_VALUE"""),"Ⓒあおき七瀬/モバイルメディアリサーチ")</f>
        <v>Ⓒあおき七瀬/モバイルメディアリサーチ</v>
      </c>
      <c r="V4121" s="8"/>
      <c r="W4121" s="8"/>
      <c r="X4121" s="8" t="str">
        <f>IFERROR(__xludf.DUMMYFUNCTION("""COMPUTED_VALUE"""),"有")</f>
        <v>有</v>
      </c>
      <c r="Y4121" s="8" t="str">
        <f>IFERROR(__xludf.DUMMYFUNCTION("""COMPUTED_VALUE"""),"2026/12/22まで1巻無料")</f>
        <v>2026/12/22まで1巻無料</v>
      </c>
      <c r="Z4121" s="7"/>
      <c r="AA4121" s="7"/>
      <c r="AB4121" s="7"/>
    </row>
    <row r="4122" ht="15.75" customHeight="1">
      <c r="A4122" s="26">
        <f>IFERROR(__xludf.DUMMYFUNCTION("""COMPUTED_VALUE"""),6676.0)</f>
        <v>6676</v>
      </c>
      <c r="B4122" s="22" t="str">
        <f>IFERROR(__xludf.DUMMYFUNCTION("""COMPUTED_VALUE"""),"確定")</f>
        <v>確定</v>
      </c>
      <c r="C4122" s="28">
        <f>IFERROR(__xludf.DUMMYFUNCTION("""COMPUTED_VALUE"""),45946.0)</f>
        <v>45946</v>
      </c>
      <c r="D4122" s="28">
        <f>IFERROR(__xludf.DUMMYFUNCTION("""COMPUTED_VALUE"""),45951.0)</f>
        <v>45951</v>
      </c>
      <c r="E4122" s="26">
        <f>IFERROR(__xludf.DUMMYFUNCTION("""COMPUTED_VALUE"""),341773.0)</f>
        <v>341773</v>
      </c>
      <c r="F4122" s="22" t="str">
        <f>IFERROR(__xludf.DUMMYFUNCTION("""COMPUTED_VALUE"""),"公認不倫～6年越しの本気セックスは奥まで響いて…【TL版】")</f>
        <v>公認不倫～6年越しの本気セックスは奥まで響いて…【TL版】</v>
      </c>
      <c r="G4122" s="20" t="str">
        <f>IFERROR(__xludf.DUMMYFUNCTION("""COMPUTED_VALUE"""),"1～3")</f>
        <v>1～3</v>
      </c>
      <c r="H4122" s="22" t="str">
        <f>IFERROR(__xludf.DUMMYFUNCTION("""COMPUTED_VALUE"""),"あおき七瀬")</f>
        <v>あおき七瀬</v>
      </c>
      <c r="I4122" s="22" t="str">
        <f>IFERROR(__xludf.DUMMYFUNCTION("""COMPUTED_VALUE"""),"TL")</f>
        <v>TL</v>
      </c>
      <c r="J4122" s="22"/>
      <c r="K4122" s="22"/>
      <c r="L4122" s="22" t="str">
        <f>IFERROR(__xludf.DUMMYFUNCTION("""COMPUTED_VALUE"""),"モバイルメディアリサーチ")</f>
        <v>モバイルメディアリサーチ</v>
      </c>
      <c r="M4122" s="33">
        <f>IFERROR(__xludf.DUMMYFUNCTION("""COMPUTED_VALUE"""),46000.0)</f>
        <v>46000</v>
      </c>
      <c r="N4122" s="33">
        <f>IFERROR(__xludf.DUMMYFUNCTION("""COMPUTED_VALUE"""),46034.0)</f>
        <v>46034</v>
      </c>
      <c r="O4122" s="20"/>
      <c r="P4122" s="32" t="str">
        <f>IFERROR(__xludf.DUMMYFUNCTION("""COMPUTED_VALUE"""),"可")</f>
        <v>可</v>
      </c>
      <c r="Q4122" s="30" t="str">
        <f>IFERROR(__xludf.DUMMYFUNCTION("""COMPUTED_VALUE"""),"【アダルト作品扱い】")</f>
        <v>【アダルト作品扱い】</v>
      </c>
      <c r="R4122" s="22"/>
      <c r="S4122" s="22" t="str">
        <f>IFERROR(__xludf.DUMMYFUNCTION("""COMPUTED_VALUE"""),"20251016_ファンギルド_公認不倫～6年越しの本気セックスは奥まで響いて…【TL版】")</f>
        <v>20251016_ファンギルド_公認不倫～6年越しの本気セックスは奥まで響いて…【TL版】</v>
      </c>
      <c r="T4122" s="22" t="str">
        <f>IFERROR(__xludf.DUMMYFUNCTION("""COMPUTED_VALUE"""),"格納済み")</f>
        <v>格納済み</v>
      </c>
      <c r="U4122" s="9" t="str">
        <f>IFERROR(__xludf.DUMMYFUNCTION("""COMPUTED_VALUE"""),"Ⓒあおき七瀬/モバイルメディアリサーチ")</f>
        <v>Ⓒあおき七瀬/モバイルメディアリサーチ</v>
      </c>
      <c r="V4122" s="8"/>
      <c r="W4122" s="8"/>
      <c r="X4122" s="8" t="str">
        <f>IFERROR(__xludf.DUMMYFUNCTION("""COMPUTED_VALUE"""),"有")</f>
        <v>有</v>
      </c>
      <c r="Y4122" s="8" t="str">
        <f>IFERROR(__xludf.DUMMYFUNCTION("""COMPUTED_VALUE"""),"2026/1/12まで1巻無料")</f>
        <v>2026/1/12まで1巻無料</v>
      </c>
      <c r="Z4122" s="7"/>
      <c r="AA4122" s="7"/>
      <c r="AB4122" s="7"/>
    </row>
    <row r="4123" ht="15.75" customHeight="1">
      <c r="A4123" s="26">
        <f>IFERROR(__xludf.DUMMYFUNCTION("""COMPUTED_VALUE"""),6677.0)</f>
        <v>6677</v>
      </c>
      <c r="B4123" s="22" t="str">
        <f>IFERROR(__xludf.DUMMYFUNCTION("""COMPUTED_VALUE"""),"確定")</f>
        <v>確定</v>
      </c>
      <c r="C4123" s="28">
        <f>IFERROR(__xludf.DUMMYFUNCTION("""COMPUTED_VALUE"""),45946.0)</f>
        <v>45946</v>
      </c>
      <c r="D4123" s="28">
        <f>IFERROR(__xludf.DUMMYFUNCTION("""COMPUTED_VALUE"""),45951.0)</f>
        <v>45951</v>
      </c>
      <c r="E4123" s="26">
        <f>IFERROR(__xludf.DUMMYFUNCTION("""COMPUTED_VALUE"""),341774.0)</f>
        <v>341774</v>
      </c>
      <c r="F4123" s="22" t="str">
        <f>IFERROR(__xludf.DUMMYFUNCTION("""COMPUTED_VALUE"""),"最後の思い出に、魅了魔法をかけました")</f>
        <v>最後の思い出に、魅了魔法をかけました</v>
      </c>
      <c r="G4123" s="20">
        <f>IFERROR(__xludf.DUMMYFUNCTION("""COMPUTED_VALUE"""),1.0)</f>
        <v>1</v>
      </c>
      <c r="H4123" s="22" t="str">
        <f>IFERROR(__xludf.DUMMYFUNCTION("""COMPUTED_VALUE"""),"杏乃/水流花")</f>
        <v>杏乃/水流花</v>
      </c>
      <c r="I4123" s="22" t="str">
        <f>IFERROR(__xludf.DUMMYFUNCTION("""COMPUTED_VALUE"""),"少女")</f>
        <v>少女</v>
      </c>
      <c r="J4123" s="22"/>
      <c r="K4123" s="22"/>
      <c r="L4123" s="22" t="str">
        <f>IFERROR(__xludf.DUMMYFUNCTION("""COMPUTED_VALUE"""),"ファンギルド")</f>
        <v>ファンギルド</v>
      </c>
      <c r="M4123" s="33">
        <f>IFERROR(__xludf.DUMMYFUNCTION("""COMPUTED_VALUE"""),45981.0)</f>
        <v>45981</v>
      </c>
      <c r="N4123" s="33">
        <f>IFERROR(__xludf.DUMMYFUNCTION("""COMPUTED_VALUE"""),46008.0)</f>
        <v>46008</v>
      </c>
      <c r="O4123" s="20"/>
      <c r="P4123" s="32" t="str">
        <f>IFERROR(__xludf.DUMMYFUNCTION("""COMPUTED_VALUE"""),"可")</f>
        <v>可</v>
      </c>
      <c r="Q4123" s="30"/>
      <c r="R4123" s="22"/>
      <c r="S4123" s="22" t="str">
        <f>IFERROR(__xludf.DUMMYFUNCTION("""COMPUTED_VALUE"""),"20251016_ファンギルド_最後の思い出に、魅了魔法をかけました")</f>
        <v>20251016_ファンギルド_最後の思い出に、魅了魔法をかけました</v>
      </c>
      <c r="T4123" s="22" t="str">
        <f>IFERROR(__xludf.DUMMYFUNCTION("""COMPUTED_VALUE"""),"格納済み")</f>
        <v>格納済み</v>
      </c>
      <c r="U4123" s="9" t="str">
        <f>IFERROR(__xludf.DUMMYFUNCTION("""COMPUTED_VALUE"""),"Ⓒ杏乃/水流花/ファンギルド")</f>
        <v>Ⓒ杏乃/水流花/ファンギルド</v>
      </c>
      <c r="V4123" s="8"/>
      <c r="W4123" s="8"/>
      <c r="X4123" s="8" t="str">
        <f>IFERROR(__xludf.DUMMYFUNCTION("""COMPUTED_VALUE"""),"有")</f>
        <v>有</v>
      </c>
      <c r="Y4123" s="8" t="str">
        <f>IFERROR(__xludf.DUMMYFUNCTION("""COMPUTED_VALUE"""),"P12まで")</f>
        <v>P12まで</v>
      </c>
      <c r="Z4123" s="7"/>
      <c r="AA4123" s="7"/>
      <c r="AB4123" s="7"/>
    </row>
    <row r="4124" ht="15.75" customHeight="1">
      <c r="A4124" s="26">
        <f>IFERROR(__xludf.DUMMYFUNCTION("""COMPUTED_VALUE"""),6678.0)</f>
        <v>6678</v>
      </c>
      <c r="B4124" s="22" t="str">
        <f>IFERROR(__xludf.DUMMYFUNCTION("""COMPUTED_VALUE"""),"確定")</f>
        <v>確定</v>
      </c>
      <c r="C4124" s="28">
        <f>IFERROR(__xludf.DUMMYFUNCTION("""COMPUTED_VALUE"""),45946.0)</f>
        <v>45946</v>
      </c>
      <c r="D4124" s="28">
        <f>IFERROR(__xludf.DUMMYFUNCTION("""COMPUTED_VALUE"""),45951.0)</f>
        <v>45951</v>
      </c>
      <c r="E4124" s="26">
        <f>IFERROR(__xludf.DUMMYFUNCTION("""COMPUTED_VALUE"""),341775.0)</f>
        <v>341775</v>
      </c>
      <c r="F4124" s="22" t="str">
        <f>IFERROR(__xludf.DUMMYFUNCTION("""COMPUTED_VALUE"""),"12歳の侯爵令息が「結婚したい」と諦めてくれないので、無茶な条件を出した結果")</f>
        <v>12歳の侯爵令息が「結婚したい」と諦めてくれないので、無茶な条件を出した結果</v>
      </c>
      <c r="G4124" s="20">
        <f>IFERROR(__xludf.DUMMYFUNCTION("""COMPUTED_VALUE"""),1.0)</f>
        <v>1</v>
      </c>
      <c r="H4124" s="22" t="str">
        <f>IFERROR(__xludf.DUMMYFUNCTION("""COMPUTED_VALUE"""),"琴葉ともえ/間咲正樹")</f>
        <v>琴葉ともえ/間咲正樹</v>
      </c>
      <c r="I4124" s="22" t="str">
        <f>IFERROR(__xludf.DUMMYFUNCTION("""COMPUTED_VALUE"""),"少女")</f>
        <v>少女</v>
      </c>
      <c r="J4124" s="22"/>
      <c r="K4124" s="22"/>
      <c r="L4124" s="22" t="str">
        <f>IFERROR(__xludf.DUMMYFUNCTION("""COMPUTED_VALUE"""),"ファンギルド")</f>
        <v>ファンギルド</v>
      </c>
      <c r="M4124" s="33">
        <f>IFERROR(__xludf.DUMMYFUNCTION("""COMPUTED_VALUE"""),45981.0)</f>
        <v>45981</v>
      </c>
      <c r="N4124" s="33">
        <f>IFERROR(__xludf.DUMMYFUNCTION("""COMPUTED_VALUE"""),46008.0)</f>
        <v>46008</v>
      </c>
      <c r="O4124" s="20"/>
      <c r="P4124" s="32" t="str">
        <f>IFERROR(__xludf.DUMMYFUNCTION("""COMPUTED_VALUE"""),"可")</f>
        <v>可</v>
      </c>
      <c r="Q4124" s="30"/>
      <c r="R4124" s="22"/>
      <c r="S4124" s="22" t="str">
        <f>IFERROR(__xludf.DUMMYFUNCTION("""COMPUTED_VALUE"""),"20251016_ファンギルド_12歳の侯爵令息が「結婚したい」と諦めてくれないので、無茶な条件を出した結果")</f>
        <v>20251016_ファンギルド_12歳の侯爵令息が「結婚したい」と諦めてくれないので、無茶な条件を出した結果</v>
      </c>
      <c r="T4124" s="22" t="str">
        <f>IFERROR(__xludf.DUMMYFUNCTION("""COMPUTED_VALUE"""),"格納済み")</f>
        <v>格納済み</v>
      </c>
      <c r="U4124" s="9" t="str">
        <f>IFERROR(__xludf.DUMMYFUNCTION("""COMPUTED_VALUE"""),"Ⓒ琴葉ともえ/間咲正樹/ファンギルド")</f>
        <v>Ⓒ琴葉ともえ/間咲正樹/ファンギルド</v>
      </c>
      <c r="V4124" s="8"/>
      <c r="W4124" s="8"/>
      <c r="X4124" s="8" t="str">
        <f>IFERROR(__xludf.DUMMYFUNCTION("""COMPUTED_VALUE"""),"有")</f>
        <v>有</v>
      </c>
      <c r="Y4124" s="8" t="str">
        <f>IFERROR(__xludf.DUMMYFUNCTION("""COMPUTED_VALUE"""),"P6まで")</f>
        <v>P6まで</v>
      </c>
      <c r="Z4124" s="7"/>
      <c r="AA4124" s="7"/>
      <c r="AB4124" s="7"/>
    </row>
    <row r="4125" ht="15.75" customHeight="1">
      <c r="A4125" s="26">
        <f>IFERROR(__xludf.DUMMYFUNCTION("""COMPUTED_VALUE"""),6679.0)</f>
        <v>6679</v>
      </c>
      <c r="B4125" s="22" t="str">
        <f>IFERROR(__xludf.DUMMYFUNCTION("""COMPUTED_VALUE"""),"確定")</f>
        <v>確定</v>
      </c>
      <c r="C4125" s="28">
        <f>IFERROR(__xludf.DUMMYFUNCTION("""COMPUTED_VALUE"""),45946.0)</f>
        <v>45946</v>
      </c>
      <c r="D4125" s="28">
        <f>IFERROR(__xludf.DUMMYFUNCTION("""COMPUTED_VALUE"""),45951.0)</f>
        <v>45951</v>
      </c>
      <c r="E4125" s="26">
        <f>IFERROR(__xludf.DUMMYFUNCTION("""COMPUTED_VALUE"""),341776.0)</f>
        <v>341776</v>
      </c>
      <c r="F4125" s="22" t="str">
        <f>IFERROR(__xludf.DUMMYFUNCTION("""COMPUTED_VALUE"""),"記憶喪失の婚約者様が嫌っているはずの私と出逢ったら")</f>
        <v>記憶喪失の婚約者様が嫌っているはずの私と出逢ったら</v>
      </c>
      <c r="G4125" s="20">
        <f>IFERROR(__xludf.DUMMYFUNCTION("""COMPUTED_VALUE"""),1.0)</f>
        <v>1</v>
      </c>
      <c r="H4125" s="22" t="str">
        <f>IFERROR(__xludf.DUMMYFUNCTION("""COMPUTED_VALUE"""),"橘よぽ/夕香里")</f>
        <v>橘よぽ/夕香里</v>
      </c>
      <c r="I4125" s="22" t="str">
        <f>IFERROR(__xludf.DUMMYFUNCTION("""COMPUTED_VALUE"""),"少女")</f>
        <v>少女</v>
      </c>
      <c r="J4125" s="22"/>
      <c r="K4125" s="22"/>
      <c r="L4125" s="22" t="str">
        <f>IFERROR(__xludf.DUMMYFUNCTION("""COMPUTED_VALUE"""),"ファンギルド")</f>
        <v>ファンギルド</v>
      </c>
      <c r="M4125" s="33">
        <f>IFERROR(__xludf.DUMMYFUNCTION("""COMPUTED_VALUE"""),45981.0)</f>
        <v>45981</v>
      </c>
      <c r="N4125" s="33">
        <f>IFERROR(__xludf.DUMMYFUNCTION("""COMPUTED_VALUE"""),46008.0)</f>
        <v>46008</v>
      </c>
      <c r="O4125" s="20"/>
      <c r="P4125" s="32" t="str">
        <f>IFERROR(__xludf.DUMMYFUNCTION("""COMPUTED_VALUE"""),"可")</f>
        <v>可</v>
      </c>
      <c r="Q4125" s="30"/>
      <c r="R4125" s="22"/>
      <c r="S4125" s="22" t="str">
        <f>IFERROR(__xludf.DUMMYFUNCTION("""COMPUTED_VALUE"""),"20251016_ファンギルド_記憶喪失の婚約者様が嫌っているはずの私と出逢ったら")</f>
        <v>20251016_ファンギルド_記憶喪失の婚約者様が嫌っているはずの私と出逢ったら</v>
      </c>
      <c r="T4125" s="22" t="str">
        <f>IFERROR(__xludf.DUMMYFUNCTION("""COMPUTED_VALUE"""),"格納済み")</f>
        <v>格納済み</v>
      </c>
      <c r="U4125" s="9" t="str">
        <f>IFERROR(__xludf.DUMMYFUNCTION("""COMPUTED_VALUE"""),"Ⓒ橘よぽ/夕香里/ファンギルド")</f>
        <v>Ⓒ橘よぽ/夕香里/ファンギルド</v>
      </c>
      <c r="V4125" s="8"/>
      <c r="W4125" s="8"/>
      <c r="X4125" s="8" t="str">
        <f>IFERROR(__xludf.DUMMYFUNCTION("""COMPUTED_VALUE"""),"有")</f>
        <v>有</v>
      </c>
      <c r="Y4125" s="8" t="str">
        <f>IFERROR(__xludf.DUMMYFUNCTION("""COMPUTED_VALUE"""),"P7まで")</f>
        <v>P7まで</v>
      </c>
      <c r="Z4125" s="7"/>
      <c r="AA4125" s="7"/>
      <c r="AB4125" s="7"/>
    </row>
    <row r="4126" ht="15.75" customHeight="1">
      <c r="A4126" s="26">
        <f>IFERROR(__xludf.DUMMYFUNCTION("""COMPUTED_VALUE"""),6688.0)</f>
        <v>6688</v>
      </c>
      <c r="B4126" s="22" t="str">
        <f>IFERROR(__xludf.DUMMYFUNCTION("""COMPUTED_VALUE"""),"確定")</f>
        <v>確定</v>
      </c>
      <c r="C4126" s="28">
        <f>IFERROR(__xludf.DUMMYFUNCTION("""COMPUTED_VALUE"""),45947.0)</f>
        <v>45947</v>
      </c>
      <c r="D4126" s="28">
        <f>IFERROR(__xludf.DUMMYFUNCTION("""COMPUTED_VALUE"""),45947.0)</f>
        <v>45947</v>
      </c>
      <c r="E4126" s="26">
        <f>IFERROR(__xludf.DUMMYFUNCTION("""COMPUTED_VALUE"""),326681.0)</f>
        <v>326681</v>
      </c>
      <c r="F4126" s="22" t="str">
        <f>IFERROR(__xludf.DUMMYFUNCTION("""COMPUTED_VALUE"""),"ふくしゅうさん")</f>
        <v>ふくしゅうさん</v>
      </c>
      <c r="G4126" s="20" t="str">
        <f>IFERROR(__xludf.DUMMYFUNCTION("""COMPUTED_VALUE"""),"1～3")</f>
        <v>1～3</v>
      </c>
      <c r="H4126" s="22" t="str">
        <f>IFERROR(__xludf.DUMMYFUNCTION("""COMPUTED_VALUE"""),"ナタでココ,三蒼核,チームふくしゅうさん")</f>
        <v>ナタでココ,三蒼核,チームふくしゅうさん</v>
      </c>
      <c r="I4126" s="22" t="str">
        <f>IFERROR(__xludf.DUMMYFUNCTION("""COMPUTED_VALUE"""),"青年マンガ")</f>
        <v>青年マンガ</v>
      </c>
      <c r="J4126" s="22"/>
      <c r="K4126" s="22" t="str">
        <f>IFERROR(__xludf.DUMMYFUNCTION("""COMPUTED_VALUE"""),"トレモア・スプラッシュ,トレモアcollection")</f>
        <v>トレモア・スプラッシュ,トレモアcollection</v>
      </c>
      <c r="L4126" s="22" t="str">
        <f>IFERROR(__xludf.DUMMYFUNCTION("""COMPUTED_VALUE"""),"シーモアコミックス（トレモア）")</f>
        <v>シーモアコミックス（トレモア）</v>
      </c>
      <c r="M4126" s="33">
        <f>IFERROR(__xludf.DUMMYFUNCTION("""COMPUTED_VALUE"""),45989.0)</f>
        <v>45989</v>
      </c>
      <c r="N4126" s="33">
        <f>IFERROR(__xludf.DUMMYFUNCTION("""COMPUTED_VALUE"""),2958465.7083333335)</f>
        <v>2958465.708</v>
      </c>
      <c r="O4126" s="20"/>
      <c r="P4126" s="32" t="str">
        <f>IFERROR(__xludf.DUMMYFUNCTION("""COMPUTED_VALUE"""),"可")</f>
        <v>可</v>
      </c>
      <c r="Q4126" s="30"/>
      <c r="R4126" s="22"/>
      <c r="S4126" s="22" t="str">
        <f>IFERROR(__xludf.DUMMYFUNCTION("""COMPUTED_VALUE"""),"20251017_シーモアコミックス_ふくしゅうさん")</f>
        <v>20251017_シーモアコミックス_ふくしゅうさん</v>
      </c>
      <c r="T4126" s="22" t="str">
        <f>IFERROR(__xludf.DUMMYFUNCTION("""COMPUTED_VALUE"""),"格納済み")</f>
        <v>格納済み</v>
      </c>
      <c r="U4126" s="9" t="str">
        <f>IFERROR(__xludf.DUMMYFUNCTION("""COMPUTED_VALUE"""),"(C) ナタでココ/三蒼核/チームふくしゅうさん/シーモアコミックス")</f>
        <v>(C) ナタでココ/三蒼核/チームふくしゅうさん/シーモアコミックス</v>
      </c>
      <c r="V4126" s="8"/>
      <c r="W4126" s="8"/>
      <c r="X4126" s="8" t="str">
        <f>IFERROR(__xludf.DUMMYFUNCTION("""COMPUTED_VALUE"""),"有")</f>
        <v>有</v>
      </c>
      <c r="Y4126" s="8" t="str">
        <f>IFERROR(__xludf.DUMMYFUNCTION("""COMPUTED_VALUE"""),"2025/12/31まで1巻無料")</f>
        <v>2025/12/31まで1巻無料</v>
      </c>
      <c r="Z4126" s="7"/>
      <c r="AA4126" s="7"/>
      <c r="AB4126" s="7"/>
    </row>
    <row r="4127" ht="15.75" customHeight="1">
      <c r="A4127" s="26">
        <f>IFERROR(__xludf.DUMMYFUNCTION("""COMPUTED_VALUE"""),6689.0)</f>
        <v>6689</v>
      </c>
      <c r="B4127" s="22" t="str">
        <f>IFERROR(__xludf.DUMMYFUNCTION("""COMPUTED_VALUE"""),"確定")</f>
        <v>確定</v>
      </c>
      <c r="C4127" s="28">
        <f>IFERROR(__xludf.DUMMYFUNCTION("""COMPUTED_VALUE"""),45947.0)</f>
        <v>45947</v>
      </c>
      <c r="D4127" s="28">
        <f>IFERROR(__xludf.DUMMYFUNCTION("""COMPUTED_VALUE"""),45947.0)</f>
        <v>45947</v>
      </c>
      <c r="E4127" s="26">
        <f>IFERROR(__xludf.DUMMYFUNCTION("""COMPUTED_VALUE"""),322266.0)</f>
        <v>322266</v>
      </c>
      <c r="F4127" s="22" t="str">
        <f>IFERROR(__xludf.DUMMYFUNCTION("""COMPUTED_VALUE"""),"復讐の派遣 ～この会社、地獄送り～")</f>
        <v>復讐の派遣 ～この会社、地獄送り～</v>
      </c>
      <c r="G4127" s="20" t="str">
        <f>IFERROR(__xludf.DUMMYFUNCTION("""COMPUTED_VALUE"""),"1～3")</f>
        <v>1～3</v>
      </c>
      <c r="H4127" s="22" t="str">
        <f>IFERROR(__xludf.DUMMYFUNCTION("""COMPUTED_VALUE"""),"上野ハチ,川村勇気")</f>
        <v>上野ハチ,川村勇気</v>
      </c>
      <c r="I4127" s="22" t="str">
        <f>IFERROR(__xludf.DUMMYFUNCTION("""COMPUTED_VALUE"""),"青年マンガ")</f>
        <v>青年マンガ</v>
      </c>
      <c r="J4127" s="22"/>
      <c r="K4127" s="22" t="str">
        <f>IFERROR(__xludf.DUMMYFUNCTION("""COMPUTED_VALUE"""),"トレモア・スプラッシュ,トレモアcollection")</f>
        <v>トレモア・スプラッシュ,トレモアcollection</v>
      </c>
      <c r="L4127" s="22" t="str">
        <f>IFERROR(__xludf.DUMMYFUNCTION("""COMPUTED_VALUE"""),"シーモアコミックス（トレモア）")</f>
        <v>シーモアコミックス（トレモア）</v>
      </c>
      <c r="M4127" s="33">
        <f>IFERROR(__xludf.DUMMYFUNCTION("""COMPUTED_VALUE"""),45989.0)</f>
        <v>45989</v>
      </c>
      <c r="N4127" s="33">
        <f>IFERROR(__xludf.DUMMYFUNCTION("""COMPUTED_VALUE"""),46227.66666666667)</f>
        <v>46227.66667</v>
      </c>
      <c r="O4127" s="20"/>
      <c r="P4127" s="32" t="str">
        <f>IFERROR(__xludf.DUMMYFUNCTION("""COMPUTED_VALUE"""),"可")</f>
        <v>可</v>
      </c>
      <c r="Q4127" s="30"/>
      <c r="R4127" s="22"/>
      <c r="S4127" s="22" t="str">
        <f>IFERROR(__xludf.DUMMYFUNCTION("""COMPUTED_VALUE"""),"20251017_シーモアコミックス_復讐の派遣 ～この会社、地獄送り～")</f>
        <v>20251017_シーモアコミックス_復讐の派遣 ～この会社、地獄送り～</v>
      </c>
      <c r="T4127" s="22" t="str">
        <f>IFERROR(__xludf.DUMMYFUNCTION("""COMPUTED_VALUE"""),"格納済み")</f>
        <v>格納済み</v>
      </c>
      <c r="U4127" s="9" t="str">
        <f>IFERROR(__xludf.DUMMYFUNCTION("""COMPUTED_VALUE"""),"(C) 上野ハチ/川村勇気/シーモアコミックス")</f>
        <v>(C) 上野ハチ/川村勇気/シーモアコミックス</v>
      </c>
      <c r="V4127" s="8"/>
      <c r="W4127" s="8"/>
      <c r="X4127" s="8" t="str">
        <f>IFERROR(__xludf.DUMMYFUNCTION("""COMPUTED_VALUE"""),"有")</f>
        <v>有</v>
      </c>
      <c r="Y4127" s="8" t="str">
        <f>IFERROR(__xludf.DUMMYFUNCTION("""COMPUTED_VALUE"""),"2025/12/31まで1巻無料")</f>
        <v>2025/12/31まで1巻無料</v>
      </c>
      <c r="Z4127" s="7"/>
      <c r="AA4127" s="7"/>
      <c r="AB4127" s="7"/>
    </row>
    <row r="4128" ht="15.75" customHeight="1">
      <c r="A4128" s="26">
        <f>IFERROR(__xludf.DUMMYFUNCTION("""COMPUTED_VALUE"""),6691.0)</f>
        <v>6691</v>
      </c>
      <c r="B4128" s="22" t="str">
        <f>IFERROR(__xludf.DUMMYFUNCTION("""COMPUTED_VALUE"""),"確定")</f>
        <v>確定</v>
      </c>
      <c r="C4128" s="28">
        <f>IFERROR(__xludf.DUMMYFUNCTION("""COMPUTED_VALUE"""),45947.0)</f>
        <v>45947</v>
      </c>
      <c r="D4128" s="28">
        <f>IFERROR(__xludf.DUMMYFUNCTION("""COMPUTED_VALUE"""),45951.0)</f>
        <v>45951</v>
      </c>
      <c r="E4128" s="26">
        <f>IFERROR(__xludf.DUMMYFUNCTION("""COMPUTED_VALUE"""),340975.0)</f>
        <v>340975</v>
      </c>
      <c r="F4128" s="22" t="str">
        <f>IFERROR(__xludf.DUMMYFUNCTION("""COMPUTED_VALUE"""),"ガーリーデビュー（話売り）")</f>
        <v>ガーリーデビュー（話売り）</v>
      </c>
      <c r="G4128" s="20" t="str">
        <f>IFERROR(__xludf.DUMMYFUNCTION("""COMPUTED_VALUE"""),"1～9")</f>
        <v>1～9</v>
      </c>
      <c r="H4128" s="22" t="str">
        <f>IFERROR(__xludf.DUMMYFUNCTION("""COMPUTED_VALUE"""),"浦野ウララ")</f>
        <v>浦野ウララ</v>
      </c>
      <c r="I4128" s="22" t="str">
        <f>IFERROR(__xludf.DUMMYFUNCTION("""COMPUTED_VALUE"""),"少年")</f>
        <v>少年</v>
      </c>
      <c r="J4128" s="22"/>
      <c r="K4128" s="22"/>
      <c r="L4128" s="22" t="str">
        <f>IFERROR(__xludf.DUMMYFUNCTION("""COMPUTED_VALUE"""),"秋田書店")</f>
        <v>秋田書店</v>
      </c>
      <c r="M4128" s="33">
        <f>IFERROR(__xludf.DUMMYFUNCTION("""COMPUTED_VALUE"""),45959.0)</f>
        <v>45959</v>
      </c>
      <c r="N4128" s="33">
        <f>IFERROR(__xludf.DUMMYFUNCTION("""COMPUTED_VALUE"""),45998.0)</f>
        <v>45998</v>
      </c>
      <c r="O4128" s="20"/>
      <c r="P4128" s="32" t="str">
        <f>IFERROR(__xludf.DUMMYFUNCTION("""COMPUTED_VALUE"""),"否")</f>
        <v>否</v>
      </c>
      <c r="Q4128" s="30"/>
      <c r="R4128" s="22"/>
      <c r="S4128" s="22" t="str">
        <f>IFERROR(__xludf.DUMMYFUNCTION("""COMPUTED_VALUE"""),"20251017_秋田書店_ガーリーデビュー（話売り）")</f>
        <v>20251017_秋田書店_ガーリーデビュー（話売り）</v>
      </c>
      <c r="T4128" s="22" t="str">
        <f>IFERROR(__xludf.DUMMYFUNCTION("""COMPUTED_VALUE"""),"格納済み")</f>
        <v>格納済み</v>
      </c>
      <c r="U4128" s="9" t="str">
        <f>IFERROR(__xludf.DUMMYFUNCTION("""COMPUTED_VALUE"""),"(C)浦野ウララ（秋田書店）")</f>
        <v>(C)浦野ウララ（秋田書店）</v>
      </c>
      <c r="V4128" s="8"/>
      <c r="W4128" s="8"/>
      <c r="X4128" s="8" t="str">
        <f>IFERROR(__xludf.DUMMYFUNCTION("""COMPUTED_VALUE"""),"有")</f>
        <v>有</v>
      </c>
      <c r="Y4128" s="8" t="str">
        <f>IFERROR(__xludf.DUMMYFUNCTION("""COMPUTED_VALUE"""),"2025/12/7まで1巻無料")</f>
        <v>2025/12/7まで1巻無料</v>
      </c>
      <c r="Z4128" s="7"/>
      <c r="AA4128" s="7"/>
      <c r="AB4128" s="7"/>
    </row>
    <row r="4129" ht="15.75" customHeight="1">
      <c r="A4129" s="133">
        <f>IFERROR(__xludf.DUMMYFUNCTION("""COMPUTED_VALUE"""),6701.0)</f>
        <v>6701</v>
      </c>
      <c r="B4129" s="134" t="str">
        <f>IFERROR(__xludf.DUMMYFUNCTION("""COMPUTED_VALUE"""),"確定")</f>
        <v>確定</v>
      </c>
      <c r="C4129" s="135">
        <f>IFERROR(__xludf.DUMMYFUNCTION("""COMPUTED_VALUE"""),45951.0)</f>
        <v>45951</v>
      </c>
      <c r="D4129" s="135">
        <f>IFERROR(__xludf.DUMMYFUNCTION("""COMPUTED_VALUE"""),45952.0)</f>
        <v>45952</v>
      </c>
      <c r="E4129" s="133" t="str">
        <f>IFERROR(__xludf.DUMMYFUNCTION("""COMPUTED_VALUE"""),"ー")</f>
        <v>ー</v>
      </c>
      <c r="F4129" s="134" t="str">
        <f>IFERROR(__xludf.DUMMYFUNCTION("""COMPUTED_VALUE"""),"ペット擬人化サークル")</f>
        <v>ペット擬人化サークル</v>
      </c>
      <c r="G4129" s="208" t="str">
        <f>IFERROR(__xludf.DUMMYFUNCTION("""COMPUTED_VALUE"""),"1～2")</f>
        <v>1～2</v>
      </c>
      <c r="H4129" s="134" t="str">
        <f>IFERROR(__xludf.DUMMYFUNCTION("""COMPUTED_VALUE"""),"ろむ")</f>
        <v>ろむ</v>
      </c>
      <c r="I4129" s="134" t="str">
        <f>IFERROR(__xludf.DUMMYFUNCTION("""COMPUTED_VALUE"""),"BL")</f>
        <v>BL</v>
      </c>
      <c r="J4129" s="134"/>
      <c r="K4129" s="134" t="str">
        <f>IFERROR(__xludf.DUMMYFUNCTION("""COMPUTED_VALUE"""),"ふゅーじょんぷろだくと")</f>
        <v>ふゅーじょんぷろだくと</v>
      </c>
      <c r="L4129" s="134" t="str">
        <f>IFERROR(__xludf.DUMMYFUNCTION("""COMPUTED_VALUE"""),"ふゅーじょんぷろだくと")</f>
        <v>ふゅーじょんぷろだくと</v>
      </c>
      <c r="M4129" s="209">
        <f>IFERROR(__xludf.DUMMYFUNCTION("""COMPUTED_VALUE"""),45988.0)</f>
        <v>45988</v>
      </c>
      <c r="N4129" s="209">
        <f>IFERROR(__xludf.DUMMYFUNCTION("""COMPUTED_VALUE"""),46018.0)</f>
        <v>46018</v>
      </c>
      <c r="O4129" s="208"/>
      <c r="P4129" s="210" t="str">
        <f>IFERROR(__xludf.DUMMYFUNCTION("""COMPUTED_VALUE"""),"可")</f>
        <v>可</v>
      </c>
      <c r="Q4129" s="139"/>
      <c r="R4129" s="134"/>
      <c r="S4129" s="134" t="str">
        <f>IFERROR(__xludf.DUMMYFUNCTION("""COMPUTED_VALUE"""),"20251021_ふゅーじょんぷろだくと_修正_ペット擬人化サークル")</f>
        <v>20251021_ふゅーじょんぷろだくと_修正_ペット擬人化サークル</v>
      </c>
      <c r="T4129" s="134" t="str">
        <f>IFERROR(__xludf.DUMMYFUNCTION("""COMPUTED_VALUE"""),"格納済み")</f>
        <v>格納済み</v>
      </c>
      <c r="U4129" s="140" t="str">
        <f>IFERROR(__xludf.DUMMYFUNCTION("""COMPUTED_VALUE"""),"Ⓒろむ／FUSION PRODUCT")</f>
        <v>Ⓒろむ／FUSION PRODUCT</v>
      </c>
      <c r="V4129" s="143"/>
      <c r="W4129" s="143"/>
      <c r="X4129" s="143" t="str">
        <f>IFERROR(__xludf.DUMMYFUNCTION("""COMPUTED_VALUE"""),"有")</f>
        <v>有</v>
      </c>
      <c r="Y4129" s="8" t="str">
        <f>IFERROR(__xludf.DUMMYFUNCTION("""COMPUTED_VALUE"""),"2025/12/11まで1巻無料")</f>
        <v>2025/12/11まで1巻無料</v>
      </c>
      <c r="Z4129" s="7"/>
      <c r="AA4129" s="7"/>
      <c r="AB4129" s="7"/>
    </row>
    <row r="4130" ht="15.75" customHeight="1">
      <c r="A4130" s="26">
        <f>IFERROR(__xludf.DUMMYFUNCTION("""COMPUTED_VALUE"""),6709.0)</f>
        <v>6709</v>
      </c>
      <c r="B4130" s="22" t="str">
        <f>IFERROR(__xludf.DUMMYFUNCTION("""COMPUTED_VALUE"""),"確定")</f>
        <v>確定</v>
      </c>
      <c r="C4130" s="28">
        <f>IFERROR(__xludf.DUMMYFUNCTION("""COMPUTED_VALUE"""),45951.0)</f>
        <v>45951</v>
      </c>
      <c r="D4130" s="28">
        <f>IFERROR(__xludf.DUMMYFUNCTION("""COMPUTED_VALUE"""),45952.0)</f>
        <v>45952</v>
      </c>
      <c r="E4130" s="26">
        <f>IFERROR(__xludf.DUMMYFUNCTION("""COMPUTED_VALUE"""),341806.0)</f>
        <v>341806</v>
      </c>
      <c r="F4130" s="22" t="str">
        <f>IFERROR(__xludf.DUMMYFUNCTION("""COMPUTED_VALUE"""),"ギフテッドギャルの攻略法")</f>
        <v>ギフテッドギャルの攻略法</v>
      </c>
      <c r="G4130" s="20" t="str">
        <f>IFERROR(__xludf.DUMMYFUNCTION("""COMPUTED_VALUE"""),"1～2")</f>
        <v>1～2</v>
      </c>
      <c r="H4130" s="22" t="str">
        <f>IFERROR(__xludf.DUMMYFUNCTION("""COMPUTED_VALUE"""),"みさんが")</f>
        <v>みさんが</v>
      </c>
      <c r="I4130" s="22" t="str">
        <f>IFERROR(__xludf.DUMMYFUNCTION("""COMPUTED_VALUE"""),"アダルトマンガ")</f>
        <v>アダルトマンガ</v>
      </c>
      <c r="J4130" s="22"/>
      <c r="K4130" s="22"/>
      <c r="L4130" s="22" t="str">
        <f>IFERROR(__xludf.DUMMYFUNCTION("""COMPUTED_VALUE"""),"セ・キララ文庫")</f>
        <v>セ・キララ文庫</v>
      </c>
      <c r="M4130" s="33">
        <f>IFERROR(__xludf.DUMMYFUNCTION("""COMPUTED_VALUE"""),45982.0)</f>
        <v>45982</v>
      </c>
      <c r="N4130" s="33">
        <f>IFERROR(__xludf.DUMMYFUNCTION("""COMPUTED_VALUE"""),46015.0)</f>
        <v>46015</v>
      </c>
      <c r="O4130" s="20"/>
      <c r="P4130" s="32" t="str">
        <f>IFERROR(__xludf.DUMMYFUNCTION("""COMPUTED_VALUE"""),"可")</f>
        <v>可</v>
      </c>
      <c r="Q4130" s="30"/>
      <c r="R4130" s="22"/>
      <c r="S4130" s="22" t="str">
        <f>IFERROR(__xludf.DUMMYFUNCTION("""COMPUTED_VALUE"""),"20251021_ライドオン_ギフテッドギャルの攻略法")</f>
        <v>20251021_ライドオン_ギフテッドギャルの攻略法</v>
      </c>
      <c r="T4130" s="22" t="str">
        <f>IFERROR(__xludf.DUMMYFUNCTION("""COMPUTED_VALUE"""),"格納済み")</f>
        <v>格納済み</v>
      </c>
      <c r="U4130" s="9" t="str">
        <f>IFERROR(__xludf.DUMMYFUNCTION("""COMPUTED_VALUE"""),"Ⓒみさんが/セ・キララ文庫")</f>
        <v>Ⓒみさんが/セ・キララ文庫</v>
      </c>
      <c r="V4130" s="8"/>
      <c r="W4130" s="8"/>
      <c r="X4130" s="8" t="str">
        <f>IFERROR(__xludf.DUMMYFUNCTION("""COMPUTED_VALUE"""),"有")</f>
        <v>有</v>
      </c>
      <c r="Y4130" s="8" t="str">
        <f>IFERROR(__xludf.DUMMYFUNCTION("""COMPUTED_VALUE"""),"2025/12/4まで1巻立ち読み増量(P15)")</f>
        <v>2025/12/4まで1巻立ち読み増量(P15)</v>
      </c>
      <c r="Z4130" s="7"/>
      <c r="AA4130" s="7"/>
      <c r="AB4130" s="7"/>
    </row>
    <row r="4131" ht="15.75" customHeight="1">
      <c r="A4131" s="26">
        <f>IFERROR(__xludf.DUMMYFUNCTION("""COMPUTED_VALUE"""),6710.0)</f>
        <v>6710</v>
      </c>
      <c r="B4131" s="22" t="str">
        <f>IFERROR(__xludf.DUMMYFUNCTION("""COMPUTED_VALUE"""),"確定")</f>
        <v>確定</v>
      </c>
      <c r="C4131" s="28">
        <f>IFERROR(__xludf.DUMMYFUNCTION("""COMPUTED_VALUE"""),45951.0)</f>
        <v>45951</v>
      </c>
      <c r="D4131" s="28">
        <f>IFERROR(__xludf.DUMMYFUNCTION("""COMPUTED_VALUE"""),45952.0)</f>
        <v>45952</v>
      </c>
      <c r="E4131" s="26">
        <f>IFERROR(__xludf.DUMMYFUNCTION("""COMPUTED_VALUE"""),341825.0)</f>
        <v>341825</v>
      </c>
      <c r="F4131" s="22" t="str">
        <f>IFERROR(__xludf.DUMMYFUNCTION("""COMPUTED_VALUE"""),"崩壊家族")</f>
        <v>崩壊家族</v>
      </c>
      <c r="G4131" s="20" t="str">
        <f>IFERROR(__xludf.DUMMYFUNCTION("""COMPUTED_VALUE"""),"1～2")</f>
        <v>1～2</v>
      </c>
      <c r="H4131" s="22" t="str">
        <f>IFERROR(__xludf.DUMMYFUNCTION("""COMPUTED_VALUE"""),"ごまゴリラ")</f>
        <v>ごまゴリラ</v>
      </c>
      <c r="I4131" s="22" t="str">
        <f>IFERROR(__xludf.DUMMYFUNCTION("""COMPUTED_VALUE"""),"アダルトマンガ")</f>
        <v>アダルトマンガ</v>
      </c>
      <c r="J4131" s="22"/>
      <c r="K4131" s="22"/>
      <c r="L4131" s="22" t="str">
        <f>IFERROR(__xludf.DUMMYFUNCTION("""COMPUTED_VALUE"""),"セ・キララ文庫")</f>
        <v>セ・キララ文庫</v>
      </c>
      <c r="M4131" s="33">
        <f>IFERROR(__xludf.DUMMYFUNCTION("""COMPUTED_VALUE"""),45982.0)</f>
        <v>45982</v>
      </c>
      <c r="N4131" s="33">
        <f>IFERROR(__xludf.DUMMYFUNCTION("""COMPUTED_VALUE"""),46015.0)</f>
        <v>46015</v>
      </c>
      <c r="O4131" s="20"/>
      <c r="P4131" s="32" t="str">
        <f>IFERROR(__xludf.DUMMYFUNCTION("""COMPUTED_VALUE"""),"可")</f>
        <v>可</v>
      </c>
      <c r="Q4131" s="30"/>
      <c r="R4131" s="22"/>
      <c r="S4131" s="22" t="str">
        <f>IFERROR(__xludf.DUMMYFUNCTION("""COMPUTED_VALUE"""),"20251021_ライドオン_崩壊家族")</f>
        <v>20251021_ライドオン_崩壊家族</v>
      </c>
      <c r="T4131" s="22" t="str">
        <f>IFERROR(__xludf.DUMMYFUNCTION("""COMPUTED_VALUE"""),"格納済み")</f>
        <v>格納済み</v>
      </c>
      <c r="U4131" s="9" t="str">
        <f>IFERROR(__xludf.DUMMYFUNCTION("""COMPUTED_VALUE"""),"Ⓒごまゴリラ/セ・キララ文庫")</f>
        <v>Ⓒごまゴリラ/セ・キララ文庫</v>
      </c>
      <c r="V4131" s="8"/>
      <c r="W4131" s="8"/>
      <c r="X4131" s="8" t="str">
        <f>IFERROR(__xludf.DUMMYFUNCTION("""COMPUTED_VALUE"""),"有")</f>
        <v>有</v>
      </c>
      <c r="Y4131" s="8" t="str">
        <f>IFERROR(__xludf.DUMMYFUNCTION("""COMPUTED_VALUE"""),"2025/12/4まで1巻立ち読み増量(P15)")</f>
        <v>2025/12/4まで1巻立ち読み増量(P15)</v>
      </c>
      <c r="Z4131" s="7"/>
      <c r="AA4131" s="7"/>
      <c r="AB4131" s="7"/>
    </row>
    <row r="4132" ht="15.75" customHeight="1">
      <c r="A4132" s="26">
        <f>IFERROR(__xludf.DUMMYFUNCTION("""COMPUTED_VALUE"""),6715.0)</f>
        <v>6715</v>
      </c>
      <c r="B4132" s="22" t="str">
        <f>IFERROR(__xludf.DUMMYFUNCTION("""COMPUTED_VALUE"""),"確定")</f>
        <v>確定</v>
      </c>
      <c r="C4132" s="28">
        <f>IFERROR(__xludf.DUMMYFUNCTION("""COMPUTED_VALUE"""),45952.0)</f>
        <v>45952</v>
      </c>
      <c r="D4132" s="28">
        <f>IFERROR(__xludf.DUMMYFUNCTION("""COMPUTED_VALUE"""),45952.0)</f>
        <v>45952</v>
      </c>
      <c r="E4132" s="26">
        <f>IFERROR(__xludf.DUMMYFUNCTION("""COMPUTED_VALUE"""),342437.0)</f>
        <v>342437</v>
      </c>
      <c r="F4132" s="22" t="str">
        <f>IFERROR(__xludf.DUMMYFUNCTION("""COMPUTED_VALUE"""),"【分冊版】最恐魔法使いの愛が一途すぎる 封印された元聖女は禁忌の愛でお目覚めです")</f>
        <v>【分冊版】最恐魔法使いの愛が一途すぎる 封印された元聖女は禁忌の愛でお目覚めです</v>
      </c>
      <c r="G4132" s="20" t="str">
        <f>IFERROR(__xludf.DUMMYFUNCTION("""COMPUTED_VALUE"""),"1～5")</f>
        <v>1～5</v>
      </c>
      <c r="H4132" s="22" t="str">
        <f>IFERROR(__xludf.DUMMYFUNCTION("""COMPUTED_VALUE"""),"来須みかん,白良木羅々")</f>
        <v>来須みかん,白良木羅々</v>
      </c>
      <c r="I4132" s="22" t="str">
        <f>IFERROR(__xludf.DUMMYFUNCTION("""COMPUTED_VALUE"""),"少女")</f>
        <v>少女</v>
      </c>
      <c r="J4132" s="22"/>
      <c r="K4132" s="22"/>
      <c r="L4132" s="22" t="str">
        <f>IFERROR(__xludf.DUMMYFUNCTION("""COMPUTED_VALUE"""),"Seasons")</f>
        <v>Seasons</v>
      </c>
      <c r="M4132" s="33">
        <f>IFERROR(__xludf.DUMMYFUNCTION("""COMPUTED_VALUE"""),45982.0)</f>
        <v>45982</v>
      </c>
      <c r="N4132" s="33">
        <f>IFERROR(__xludf.DUMMYFUNCTION("""COMPUTED_VALUE"""),46073.0)</f>
        <v>46073</v>
      </c>
      <c r="O4132" s="20"/>
      <c r="P4132" s="32" t="str">
        <f>IFERROR(__xludf.DUMMYFUNCTION("""COMPUTED_VALUE"""),"可")</f>
        <v>可</v>
      </c>
      <c r="Q4132" s="30"/>
      <c r="R4132" s="22"/>
      <c r="S4132" s="22" t="str">
        <f>IFERROR(__xludf.DUMMYFUNCTION("""COMPUTED_VALUE"""),"20251014_文藝春秋_最恐魔法使いの愛が一途すぎる 封印された元聖女は禁忌の愛でお目覚めです")</f>
        <v>20251014_文藝春秋_最恐魔法使いの愛が一途すぎる 封印された元聖女は禁忌の愛でお目覚めです</v>
      </c>
      <c r="T4132" s="22" t="str">
        <f>IFERROR(__xludf.DUMMYFUNCTION("""COMPUTED_VALUE"""),"格納済み")</f>
        <v>格納済み</v>
      </c>
      <c r="U4132" s="9" t="str">
        <f>IFERROR(__xludf.DUMMYFUNCTION("""COMPUTED_VALUE"""),"Ⓒ来須みかん・白良木羅々／文藝春秋")</f>
        <v>Ⓒ来須みかん・白良木羅々／文藝春秋</v>
      </c>
      <c r="V4132" s="8"/>
      <c r="W4132" s="8"/>
      <c r="X4132" s="8" t="str">
        <f>IFERROR(__xludf.DUMMYFUNCTION("""COMPUTED_VALUE"""),"有")</f>
        <v>有</v>
      </c>
      <c r="Y4132" s="8" t="str">
        <f>IFERROR(__xludf.DUMMYFUNCTION("""COMPUTED_VALUE"""),"2025/11/27まで1巻無料")</f>
        <v>2025/11/27まで1巻無料</v>
      </c>
      <c r="Z4132" s="7"/>
      <c r="AA4132" s="7"/>
      <c r="AB4132" s="7"/>
    </row>
    <row r="4133" ht="15.75" customHeight="1">
      <c r="A4133" s="26">
        <f>IFERROR(__xludf.DUMMYFUNCTION("""COMPUTED_VALUE"""),6195.0)</f>
        <v>6195</v>
      </c>
      <c r="B4133" s="22" t="str">
        <f>IFERROR(__xludf.DUMMYFUNCTION("""COMPUTED_VALUE"""),"確定")</f>
        <v>確定</v>
      </c>
      <c r="C4133" s="28">
        <f>IFERROR(__xludf.DUMMYFUNCTION("""COMPUTED_VALUE"""),45874.0)</f>
        <v>45874</v>
      </c>
      <c r="D4133" s="28">
        <f>IFERROR(__xludf.DUMMYFUNCTION("""COMPUTED_VALUE"""),45957.0)</f>
        <v>45957</v>
      </c>
      <c r="E4133" s="26">
        <f>IFERROR(__xludf.DUMMYFUNCTION("""COMPUTED_VALUE"""),342518.0)</f>
        <v>342518</v>
      </c>
      <c r="F4133" s="22" t="str">
        <f>IFERROR(__xludf.DUMMYFUNCTION("""COMPUTED_VALUE"""),"あの時助けてもらったゴリラです【タテヨミ】")</f>
        <v>あの時助けてもらったゴリラです【タテヨミ】</v>
      </c>
      <c r="G4133" s="20" t="str">
        <f>IFERROR(__xludf.DUMMYFUNCTION("""COMPUTED_VALUE"""),"1～18")</f>
        <v>1～18</v>
      </c>
      <c r="H4133" s="22" t="str">
        <f>IFERROR(__xludf.DUMMYFUNCTION("""COMPUTED_VALUE"""),"原作：ポリン 作画：たまき")</f>
        <v>原作：ポリン 作画：たまき</v>
      </c>
      <c r="I4133" s="22" t="str">
        <f>IFERROR(__xludf.DUMMYFUNCTION("""COMPUTED_VALUE"""),"女性")</f>
        <v>女性</v>
      </c>
      <c r="J4133" s="22"/>
      <c r="K4133" s="22" t="str">
        <f>IFERROR(__xludf.DUMMYFUNCTION("""COMPUTED_VALUE"""),"マンガMee")</f>
        <v>マンガMee</v>
      </c>
      <c r="L4133" s="22" t="str">
        <f>IFERROR(__xludf.DUMMYFUNCTION("""COMPUTED_VALUE"""),"集英社")</f>
        <v>集英社</v>
      </c>
      <c r="M4133" s="33">
        <f>IFERROR(__xludf.DUMMYFUNCTION("""COMPUTED_VALUE"""),45986.0)</f>
        <v>45986</v>
      </c>
      <c r="N4133" s="33">
        <f>IFERROR(__xludf.DUMMYFUNCTION("""COMPUTED_VALUE"""),46077.0)</f>
        <v>46077</v>
      </c>
      <c r="O4133" s="20"/>
      <c r="P4133" s="32" t="str">
        <f>IFERROR(__xludf.DUMMYFUNCTION("""COMPUTED_VALUE"""),"否")</f>
        <v>否</v>
      </c>
      <c r="Q4133" s="30" t="str">
        <f>IFERROR(__xludf.DUMMYFUNCTION("""COMPUTED_VALUE"""),"・シーモアでも広告ヒットした「親友の彼氏」（https://www.cmoa.jp/title/284883/）の作家が原作者です&lt;BR&gt;")</f>
        <v>・シーモアでも広告ヒットした「親友の彼氏」（https://www.cmoa.jp/title/284883/）の作家が原作者です&lt;BR&gt;</v>
      </c>
      <c r="R4133" s="22" t="str">
        <f>IFERROR(__xludf.DUMMYFUNCTION("""COMPUTED_VALUE"""),"コミットOK")</f>
        <v>コミットOK</v>
      </c>
      <c r="S4133" s="22" t="str">
        <f>IFERROR(__xludf.DUMMYFUNCTION("""COMPUTED_VALUE"""),"20251027_集英社_あの時助けてもらったゴリラです 【タテヨミ】")</f>
        <v>20251027_集英社_あの時助けてもらったゴリラです 【タテヨミ】</v>
      </c>
      <c r="T4133" s="22" t="str">
        <f>IFERROR(__xludf.DUMMYFUNCTION("""COMPUTED_VALUE"""),"格納済み")</f>
        <v>格納済み</v>
      </c>
      <c r="U4133" s="9" t="str">
        <f>IFERROR(__xludf.DUMMYFUNCTION("""COMPUTED_VALUE"""),"（ｃ）ポリン・たまき／集英社")</f>
        <v>（ｃ）ポリン・たまき／集英社</v>
      </c>
      <c r="V4133" s="8"/>
      <c r="W4133" s="8"/>
      <c r="X4133" s="8" t="str">
        <f>IFERROR(__xludf.DUMMYFUNCTION("""COMPUTED_VALUE"""),"有")</f>
        <v>有</v>
      </c>
      <c r="Y4133" s="8" t="str">
        <f>IFERROR(__xludf.DUMMYFUNCTION("""COMPUTED_VALUE"""),"2025/12/24まで1~7巻無料")</f>
        <v>2025/12/24まで1~7巻無料</v>
      </c>
      <c r="Z4133" s="7"/>
      <c r="AA4133" s="7"/>
      <c r="AB4133" s="7"/>
    </row>
    <row r="4134" ht="15.75" customHeight="1">
      <c r="A4134" s="26">
        <f>IFERROR(__xludf.DUMMYFUNCTION("""COMPUTED_VALUE"""),6260.0)</f>
        <v>6260</v>
      </c>
      <c r="B4134" s="22" t="str">
        <f>IFERROR(__xludf.DUMMYFUNCTION("""COMPUTED_VALUE"""),"確定")</f>
        <v>確定</v>
      </c>
      <c r="C4134" s="28">
        <f>IFERROR(__xludf.DUMMYFUNCTION("""COMPUTED_VALUE"""),45884.0)</f>
        <v>45884</v>
      </c>
      <c r="D4134" s="28">
        <f>IFERROR(__xludf.DUMMYFUNCTION("""COMPUTED_VALUE"""),45959.0)</f>
        <v>45959</v>
      </c>
      <c r="E4134" s="26">
        <f>IFERROR(__xludf.DUMMYFUNCTION("""COMPUTED_VALUE"""),342461.0)</f>
        <v>342461</v>
      </c>
      <c r="F4134" s="22" t="str">
        <f>IFERROR(__xludf.DUMMYFUNCTION("""COMPUTED_VALUE"""),"僕たちはただの幼なじみ【分冊版】")</f>
        <v>僕たちはただの幼なじみ【分冊版】</v>
      </c>
      <c r="G4134" s="20" t="str">
        <f>IFERROR(__xludf.DUMMYFUNCTION("""COMPUTED_VALUE"""),"1～2")</f>
        <v>1～2</v>
      </c>
      <c r="H4134" s="22" t="str">
        <f>IFERROR(__xludf.DUMMYFUNCTION("""COMPUTED_VALUE"""),"星名ねこ")</f>
        <v>星名ねこ</v>
      </c>
      <c r="I4134" s="22" t="str">
        <f>IFERROR(__xludf.DUMMYFUNCTION("""COMPUTED_VALUE"""),"BL")</f>
        <v>BL</v>
      </c>
      <c r="J4134" s="22"/>
      <c r="K4134" s="22" t="str">
        <f>IFERROR(__xludf.DUMMYFUNCTION("""COMPUTED_VALUE"""),"ジェラートコミックス")</f>
        <v>ジェラートコミックス</v>
      </c>
      <c r="L4134" s="22" t="str">
        <f>IFERROR(__xludf.DUMMYFUNCTION("""COMPUTED_VALUE"""),"ハーパーコリンズ・ジャパン")</f>
        <v>ハーパーコリンズ・ジャパン</v>
      </c>
      <c r="M4134" s="33">
        <f>IFERROR(__xludf.DUMMYFUNCTION("""COMPUTED_VALUE"""),45982.0)</f>
        <v>45982</v>
      </c>
      <c r="N4134" s="33">
        <f>IFERROR(__xludf.DUMMYFUNCTION("""COMPUTED_VALUE"""),46072.0)</f>
        <v>46072</v>
      </c>
      <c r="O4134" s="20"/>
      <c r="P4134" s="32" t="str">
        <f>IFERROR(__xludf.DUMMYFUNCTION("""COMPUTED_VALUE"""),"可")</f>
        <v>可</v>
      </c>
      <c r="Q4134" s="30" t="str">
        <f>IFERROR(__xludf.DUMMYFUNCTION("""COMPUTED_VALUE"""),"【アダルト作品扱い】&lt;BR&gt;2025年11月より、ハーパーコリンズ・ジャパン様にBLジャンルの新レーベル名【ジェラートコミックス】が創刊することになり、先行のご提案をいただきました！&lt;BR&gt;絵が綺麗で、新創刊の第一号となるので、是非ご検討お願いします！&lt;BR&gt;&lt;BR&gt;")</f>
        <v>【アダルト作品扱い】&lt;BR&gt;2025年11月より、ハーパーコリンズ・ジャパン様にBLジャンルの新レーベル名【ジェラートコミックス】が創刊することになり、先行のご提案をいただきました！&lt;BR&gt;絵が綺麗で、新創刊の第一号となるので、是非ご検討お願いします！&lt;BR&gt;&lt;BR&gt;</v>
      </c>
      <c r="R4134" s="22" t="str">
        <f>IFERROR(__xludf.DUMMYFUNCTION("""COMPUTED_VALUE"""),"コミットOK")</f>
        <v>コミットOK</v>
      </c>
      <c r="S4134" s="22" t="str">
        <f>IFERROR(__xludf.DUMMYFUNCTION("""COMPUTED_VALUE"""),"20251029_ハーパーコリンズ・ジャパン_僕たちはただの幼なじみ【分冊版】")</f>
        <v>20251029_ハーパーコリンズ・ジャパン_僕たちはただの幼なじみ【分冊版】</v>
      </c>
      <c r="T4134" s="22" t="str">
        <f>IFERROR(__xludf.DUMMYFUNCTION("""COMPUTED_VALUE"""),"格納済み")</f>
        <v>格納済み</v>
      </c>
      <c r="U4134" s="9" t="str">
        <f>IFERROR(__xludf.DUMMYFUNCTION("""COMPUTED_VALUE"""),"（C) 星名ねこ／ハーパーコリンズ・ジャパン")</f>
        <v>（C) 星名ねこ／ハーパーコリンズ・ジャパン</v>
      </c>
      <c r="V4134" s="8"/>
      <c r="W4134" s="8"/>
      <c r="X4134" s="8" t="str">
        <f>IFERROR(__xludf.DUMMYFUNCTION("""COMPUTED_VALUE"""),"有")</f>
        <v>有</v>
      </c>
      <c r="Y4134" s="8" t="str">
        <f>IFERROR(__xludf.DUMMYFUNCTION("""COMPUTED_VALUE"""),"2025/12/4まで1巻無料")</f>
        <v>2025/12/4まで1巻無料</v>
      </c>
      <c r="Z4134" s="7"/>
      <c r="AA4134" s="7"/>
      <c r="AB4134" s="7"/>
    </row>
    <row r="4135" ht="15.75" customHeight="1">
      <c r="A4135" s="26">
        <f>IFERROR(__xludf.DUMMYFUNCTION("""COMPUTED_VALUE"""),6275.0)</f>
        <v>6275</v>
      </c>
      <c r="B4135" s="22" t="str">
        <f>IFERROR(__xludf.DUMMYFUNCTION("""COMPUTED_VALUE"""),"確定")</f>
        <v>確定</v>
      </c>
      <c r="C4135" s="28">
        <f>IFERROR(__xludf.DUMMYFUNCTION("""COMPUTED_VALUE"""),45887.0)</f>
        <v>45887</v>
      </c>
      <c r="D4135" s="28">
        <f>IFERROR(__xludf.DUMMYFUNCTION("""COMPUTED_VALUE"""),45957.0)</f>
        <v>45957</v>
      </c>
      <c r="E4135" s="26">
        <f>IFERROR(__xludf.DUMMYFUNCTION("""COMPUTED_VALUE"""),342741.0)</f>
        <v>342741</v>
      </c>
      <c r="F4135" s="22" t="str">
        <f>IFERROR(__xludf.DUMMYFUNCTION("""COMPUTED_VALUE"""),"香国の下剋上〜虐げられた調香師は不遇の皇子と天下を狙う〜　分冊版")</f>
        <v>香国の下剋上〜虐げられた調香師は不遇の皇子と天下を狙う〜　分冊版</v>
      </c>
      <c r="G4135" s="20" t="str">
        <f>IFERROR(__xludf.DUMMYFUNCTION("""COMPUTED_VALUE"""),"1～4")</f>
        <v>1～4</v>
      </c>
      <c r="H4135" s="22" t="str">
        <f>IFERROR(__xludf.DUMMYFUNCTION("""COMPUTED_VALUE"""),"江坂純/鈴宮ユニコ")</f>
        <v>江坂純/鈴宮ユニコ</v>
      </c>
      <c r="I4135" s="22" t="str">
        <f>IFERROR(__xludf.DUMMYFUNCTION("""COMPUTED_VALUE"""),"女性")</f>
        <v>女性</v>
      </c>
      <c r="J4135" s="22"/>
      <c r="K4135" s="22"/>
      <c r="L4135" s="22" t="str">
        <f>IFERROR(__xludf.DUMMYFUNCTION("""COMPUTED_VALUE"""),"講談社")</f>
        <v>講談社</v>
      </c>
      <c r="M4135" s="33">
        <f>IFERROR(__xludf.DUMMYFUNCTION("""COMPUTED_VALUE"""),45986.0)</f>
        <v>45986</v>
      </c>
      <c r="N4135" s="33">
        <f>IFERROR(__xludf.DUMMYFUNCTION("""COMPUTED_VALUE"""),46034.0)</f>
        <v>46034</v>
      </c>
      <c r="O4135" s="20"/>
      <c r="P4135" s="32" t="str">
        <f>IFERROR(__xludf.DUMMYFUNCTION("""COMPUTED_VALUE"""),"可")</f>
        <v>可</v>
      </c>
      <c r="Q4135" s="30"/>
      <c r="R4135" s="22"/>
      <c r="S4135" s="22" t="str">
        <f>IFERROR(__xludf.DUMMYFUNCTION("""COMPUTED_VALUE"""),"20251024_講談社_香国の下剋上")</f>
        <v>20251024_講談社_香国の下剋上</v>
      </c>
      <c r="T4135" s="22" t="str">
        <f>IFERROR(__xludf.DUMMYFUNCTION("""COMPUTED_VALUE"""),"格納済み")</f>
        <v>格納済み</v>
      </c>
      <c r="U4135" s="9" t="str">
        <f>IFERROR(__xludf.DUMMYFUNCTION("""COMPUTED_VALUE"""),"ⓒ江坂純・鈴宮ユニコ／講談社")</f>
        <v>ⓒ江坂純・鈴宮ユニコ／講談社</v>
      </c>
      <c r="V4135" s="8"/>
      <c r="W4135" s="8"/>
      <c r="X4135" s="8" t="str">
        <f>IFERROR(__xludf.DUMMYFUNCTION("""COMPUTED_VALUE"""),"有")</f>
        <v>有</v>
      </c>
      <c r="Y4135" s="8" t="str">
        <f>IFERROR(__xludf.DUMMYFUNCTION("""COMPUTED_VALUE"""),"2026/1/12まで1巻無料")</f>
        <v>2026/1/12まで1巻無料</v>
      </c>
      <c r="Z4135" s="7"/>
      <c r="AA4135" s="7"/>
      <c r="AB4135" s="7"/>
    </row>
    <row r="4136" ht="15.75" customHeight="1">
      <c r="A4136" s="26">
        <f>IFERROR(__xludf.DUMMYFUNCTION("""COMPUTED_VALUE"""),6291.0)</f>
        <v>6291</v>
      </c>
      <c r="B4136" s="22" t="str">
        <f>IFERROR(__xludf.DUMMYFUNCTION("""COMPUTED_VALUE"""),"確定")</f>
        <v>確定</v>
      </c>
      <c r="C4136" s="28">
        <f>IFERROR(__xludf.DUMMYFUNCTION("""COMPUTED_VALUE"""),45889.0)</f>
        <v>45889</v>
      </c>
      <c r="D4136" s="28">
        <f>IFERROR(__xludf.DUMMYFUNCTION("""COMPUTED_VALUE"""),45958.0)</f>
        <v>45958</v>
      </c>
      <c r="E4136" s="26">
        <f>IFERROR(__xludf.DUMMYFUNCTION("""COMPUTED_VALUE"""),342785.0)</f>
        <v>342785</v>
      </c>
      <c r="F4136" s="22" t="str">
        <f>IFERROR(__xludf.DUMMYFUNCTION("""COMPUTED_VALUE"""),"祥太朗は私のこと、もうなんとも思ってない?【R版】")</f>
        <v>祥太朗は私のこと、もうなんとも思ってない?【R版】</v>
      </c>
      <c r="G4136" s="20" t="str">
        <f>IFERROR(__xludf.DUMMYFUNCTION("""COMPUTED_VALUE"""),"1～4")</f>
        <v>1～4</v>
      </c>
      <c r="H4136" s="22" t="str">
        <f>IFERROR(__xludf.DUMMYFUNCTION("""COMPUTED_VALUE"""),"晴海にいな/保田飯飯")</f>
        <v>晴海にいな/保田飯飯</v>
      </c>
      <c r="I4136" s="22" t="str">
        <f>IFERROR(__xludf.DUMMYFUNCTION("""COMPUTED_VALUE"""),"アダルト")</f>
        <v>アダルト</v>
      </c>
      <c r="J4136" s="22"/>
      <c r="K4136" s="22" t="str">
        <f>IFERROR(__xludf.DUMMYFUNCTION("""COMPUTED_VALUE"""),"THE猥談")</f>
        <v>THE猥談</v>
      </c>
      <c r="L4136" s="22" t="str">
        <f>IFERROR(__xludf.DUMMYFUNCTION("""COMPUTED_VALUE"""),"DLcomics")</f>
        <v>DLcomics</v>
      </c>
      <c r="M4136" s="33">
        <f>IFERROR(__xludf.DUMMYFUNCTION("""COMPUTED_VALUE"""),45989.0)</f>
        <v>45989</v>
      </c>
      <c r="N4136" s="33">
        <f>IFERROR(__xludf.DUMMYFUNCTION("""COMPUTED_VALUE"""),46086.0)</f>
        <v>46086</v>
      </c>
      <c r="O4136" s="20"/>
      <c r="P4136" s="32" t="str">
        <f>IFERROR(__xludf.DUMMYFUNCTION("""COMPUTED_VALUE"""),"可")</f>
        <v>可</v>
      </c>
      <c r="Q4136" s="30"/>
      <c r="R4136" s="22" t="str">
        <f>IFERROR(__xludf.DUMMYFUNCTION("""COMPUTED_VALUE"""),"コミットOK")</f>
        <v>コミットOK</v>
      </c>
      <c r="S4136" s="22" t="str">
        <f>IFERROR(__xludf.DUMMYFUNCTION("""COMPUTED_VALUE"""),"20251028_DLcomics_祥太朗は私のこと、もうなんとも思ってない？【R版】")</f>
        <v>20251028_DLcomics_祥太朗は私のこと、もうなんとも思ってない？【R版】</v>
      </c>
      <c r="T4136" s="22" t="str">
        <f>IFERROR(__xludf.DUMMYFUNCTION("""COMPUTED_VALUE"""),"格納済み")</f>
        <v>格納済み</v>
      </c>
      <c r="U4136" s="9" t="str">
        <f>IFERROR(__xludf.DUMMYFUNCTION("""COMPUTED_VALUE"""),"(C)晴海にいな/保田飯飯/THE猥談")</f>
        <v>(C)晴海にいな/保田飯飯/THE猥談</v>
      </c>
      <c r="V4136" s="8"/>
      <c r="W4136" s="8"/>
      <c r="X4136" s="8" t="str">
        <f>IFERROR(__xludf.DUMMYFUNCTION("""COMPUTED_VALUE"""),"有")</f>
        <v>有</v>
      </c>
      <c r="Y4136" s="8" t="str">
        <f>IFERROR(__xludf.DUMMYFUNCTION("""COMPUTED_VALUE"""),"2026/3/5まで1巻無料")</f>
        <v>2026/3/5まで1巻無料</v>
      </c>
      <c r="Z4136" s="7"/>
      <c r="AA4136" s="7"/>
      <c r="AB4136" s="7"/>
    </row>
    <row r="4137" ht="15.75" customHeight="1">
      <c r="A4137" s="26">
        <f>IFERROR(__xludf.DUMMYFUNCTION("""COMPUTED_VALUE"""),6328.0)</f>
        <v>6328</v>
      </c>
      <c r="B4137" s="22" t="str">
        <f>IFERROR(__xludf.DUMMYFUNCTION("""COMPUTED_VALUE"""),"確定")</f>
        <v>確定</v>
      </c>
      <c r="C4137" s="28">
        <f>IFERROR(__xludf.DUMMYFUNCTION("""COMPUTED_VALUE"""),45891.0)</f>
        <v>45891</v>
      </c>
      <c r="D4137" s="28">
        <f>IFERROR(__xludf.DUMMYFUNCTION("""COMPUTED_VALUE"""),45959.0)</f>
        <v>45959</v>
      </c>
      <c r="E4137" s="26">
        <f>IFERROR(__xludf.DUMMYFUNCTION("""COMPUTED_VALUE"""),342751.0)</f>
        <v>342751</v>
      </c>
      <c r="F4137" s="22" t="str">
        <f>IFERROR(__xludf.DUMMYFUNCTION("""COMPUTED_VALUE"""),"神に恋など早すぎる別マ連載版")</f>
        <v>神に恋など早すぎる別マ連載版</v>
      </c>
      <c r="G4137" s="20" t="str">
        <f>IFERROR(__xludf.DUMMYFUNCTION("""COMPUTED_VALUE"""),"1～4")</f>
        <v>1～4</v>
      </c>
      <c r="H4137" s="22" t="str">
        <f>IFERROR(__xludf.DUMMYFUNCTION("""COMPUTED_VALUE"""),"双海芽生")</f>
        <v>双海芽生</v>
      </c>
      <c r="I4137" s="22" t="str">
        <f>IFERROR(__xludf.DUMMYFUNCTION("""COMPUTED_VALUE"""),"少女")</f>
        <v>少女</v>
      </c>
      <c r="J4137" s="22"/>
      <c r="K4137" s="22"/>
      <c r="L4137" s="22" t="str">
        <f>IFERROR(__xludf.DUMMYFUNCTION("""COMPUTED_VALUE"""),"集英社")</f>
        <v>集英社</v>
      </c>
      <c r="M4137" s="33">
        <f>IFERROR(__xludf.DUMMYFUNCTION("""COMPUTED_VALUE"""),45991.0)</f>
        <v>45991</v>
      </c>
      <c r="N4137" s="33">
        <f>IFERROR(__xludf.DUMMYFUNCTION("""COMPUTED_VALUE"""),46044.0)</f>
        <v>46044</v>
      </c>
      <c r="O4137" s="20"/>
      <c r="P4137" s="32" t="str">
        <f>IFERROR(__xludf.DUMMYFUNCTION("""COMPUTED_VALUE"""),"否")</f>
        <v>否</v>
      </c>
      <c r="Q4137" s="30" t="str">
        <f>IFERROR(__xludf.DUMMYFUNCTION("""COMPUTED_VALUE"""),"単行本1巻（分冊版と同範囲）も同時に先行配信となります。")</f>
        <v>単行本1巻（分冊版と同範囲）も同時に先行配信となります。</v>
      </c>
      <c r="R4137" s="22" t="str">
        <f>IFERROR(__xludf.DUMMYFUNCTION("""COMPUTED_VALUE"""),"コミットOK")</f>
        <v>コミットOK</v>
      </c>
      <c r="S4137" s="22" t="str">
        <f>IFERROR(__xludf.DUMMYFUNCTION("""COMPUTED_VALUE"""),"20251023_集英社_神に恋など早すぎる")</f>
        <v>20251023_集英社_神に恋など早すぎる</v>
      </c>
      <c r="T4137" s="22" t="str">
        <f>IFERROR(__xludf.DUMMYFUNCTION("""COMPUTED_VALUE"""),"格納済み")</f>
        <v>格納済み</v>
      </c>
      <c r="U4137" s="9" t="str">
        <f>IFERROR(__xludf.DUMMYFUNCTION("""COMPUTED_VALUE"""),"（C）双海芽生／集英社")</f>
        <v>（C）双海芽生／集英社</v>
      </c>
      <c r="V4137" s="8"/>
      <c r="W4137" s="8"/>
      <c r="X4137" s="8" t="str">
        <f>IFERROR(__xludf.DUMMYFUNCTION("""COMPUTED_VALUE"""),"有")</f>
        <v>有</v>
      </c>
      <c r="Y4137" s="8" t="str">
        <f>IFERROR(__xludf.DUMMYFUNCTION("""COMPUTED_VALUE"""),"2025/12/29まで1巻無料")</f>
        <v>2025/12/29まで1巻無料</v>
      </c>
      <c r="Z4137" s="7"/>
      <c r="AA4137" s="7"/>
      <c r="AB4137" s="7"/>
    </row>
    <row r="4138" ht="15.75" customHeight="1">
      <c r="A4138" s="26">
        <f>IFERROR(__xludf.DUMMYFUNCTION("""COMPUTED_VALUE"""),6348.0)</f>
        <v>6348</v>
      </c>
      <c r="B4138" s="22" t="str">
        <f>IFERROR(__xludf.DUMMYFUNCTION("""COMPUTED_VALUE"""),"確定")</f>
        <v>確定</v>
      </c>
      <c r="C4138" s="28">
        <f>IFERROR(__xludf.DUMMYFUNCTION("""COMPUTED_VALUE"""),45895.0)</f>
        <v>45895</v>
      </c>
      <c r="D4138" s="28">
        <f>IFERROR(__xludf.DUMMYFUNCTION("""COMPUTED_VALUE"""),45958.0)</f>
        <v>45958</v>
      </c>
      <c r="E4138" s="26">
        <f>IFERROR(__xludf.DUMMYFUNCTION("""COMPUTED_VALUE"""),342205.0)</f>
        <v>342205</v>
      </c>
      <c r="F4138" s="22" t="str">
        <f>IFERROR(__xludf.DUMMYFUNCTION("""COMPUTED_VALUE"""),"おはちさんのなつやすみ【R版】")</f>
        <v>おはちさんのなつやすみ【R版】</v>
      </c>
      <c r="G4138" s="20" t="str">
        <f>IFERROR(__xludf.DUMMYFUNCTION("""COMPUTED_VALUE"""),"1～2")</f>
        <v>1～2</v>
      </c>
      <c r="H4138" s="22" t="str">
        <f>IFERROR(__xludf.DUMMYFUNCTION("""COMPUTED_VALUE"""),"鬼遍かっつぇ/Mauve")</f>
        <v>鬼遍かっつぇ/Mauve</v>
      </c>
      <c r="I4138" s="22" t="str">
        <f>IFERROR(__xludf.DUMMYFUNCTION("""COMPUTED_VALUE"""),"アダルトマンガ")</f>
        <v>アダルトマンガ</v>
      </c>
      <c r="J4138" s="22"/>
      <c r="K4138" s="22" t="str">
        <f>IFERROR(__xludf.DUMMYFUNCTION("""COMPUTED_VALUE"""),"BLIC-ERO")</f>
        <v>BLIC-ERO</v>
      </c>
      <c r="L4138" s="22" t="str">
        <f>IFERROR(__xludf.DUMMYFUNCTION("""COMPUTED_VALUE"""),"クロスフォリオ出版")</f>
        <v>クロスフォリオ出版</v>
      </c>
      <c r="M4138" s="33">
        <f>IFERROR(__xludf.DUMMYFUNCTION("""COMPUTED_VALUE"""),45989.0)</f>
        <v>45989</v>
      </c>
      <c r="N4138" s="33">
        <f>IFERROR(__xludf.DUMMYFUNCTION("""COMPUTED_VALUE"""),46051.0)</f>
        <v>46051</v>
      </c>
      <c r="O4138" s="20"/>
      <c r="P4138" s="32" t="str">
        <f>IFERROR(__xludf.DUMMYFUNCTION("""COMPUTED_VALUE"""),"可")</f>
        <v>可</v>
      </c>
      <c r="Q4138" s="30" t="str">
        <f>IFERROR(__xludf.DUMMYFUNCTION("""COMPUTED_VALUE"""),"BookLiveとの2社先行です。&lt;BR&gt;素材は2分割して1~2話として配信します。")</f>
        <v>BookLiveとの2社先行です。&lt;BR&gt;素材は2分割して1~2話として配信します。</v>
      </c>
      <c r="R4138" s="22" t="str">
        <f>IFERROR(__xludf.DUMMYFUNCTION("""COMPUTED_VALUE"""),"コミットOK")</f>
        <v>コミットOK</v>
      </c>
      <c r="S4138" s="22" t="str">
        <f>IFERROR(__xludf.DUMMYFUNCTION("""COMPUTED_VALUE"""),"20251024_BookLive_おはちさんのなつやすみ")</f>
        <v>20251024_BookLive_おはちさんのなつやすみ</v>
      </c>
      <c r="T4138" s="22" t="str">
        <f>IFERROR(__xludf.DUMMYFUNCTION("""COMPUTED_VALUE"""),"格納済み")</f>
        <v>格納済み</v>
      </c>
      <c r="U4138" s="9" t="str">
        <f>IFERROR(__xludf.DUMMYFUNCTION("""COMPUTED_VALUE"""),"Ⓒ鬼遍かっつぇ/Mauve/クロスフォリオ出版")</f>
        <v>Ⓒ鬼遍かっつぇ/Mauve/クロスフォリオ出版</v>
      </c>
      <c r="V4138" s="8"/>
      <c r="W4138" s="8"/>
      <c r="X4138" s="8" t="str">
        <f>IFERROR(__xludf.DUMMYFUNCTION("""COMPUTED_VALUE"""),"有")</f>
        <v>有</v>
      </c>
      <c r="Y4138" s="8" t="str">
        <f>IFERROR(__xludf.DUMMYFUNCTION("""COMPUTED_VALUE"""),"P8まで")</f>
        <v>P8まで</v>
      </c>
      <c r="Z4138" s="7"/>
      <c r="AA4138" s="7"/>
      <c r="AB4138" s="7"/>
    </row>
    <row r="4139" ht="15.75" customHeight="1">
      <c r="A4139" s="26">
        <f>IFERROR(__xludf.DUMMYFUNCTION("""COMPUTED_VALUE"""),6387.0)</f>
        <v>6387</v>
      </c>
      <c r="B4139" s="22" t="str">
        <f>IFERROR(__xludf.DUMMYFUNCTION("""COMPUTED_VALUE"""),"確定")</f>
        <v>確定</v>
      </c>
      <c r="C4139" s="28">
        <f>IFERROR(__xludf.DUMMYFUNCTION("""COMPUTED_VALUE"""),45902.0)</f>
        <v>45902</v>
      </c>
      <c r="D4139" s="28">
        <f>IFERROR(__xludf.DUMMYFUNCTION("""COMPUTED_VALUE"""),45957.0)</f>
        <v>45957</v>
      </c>
      <c r="E4139" s="26">
        <f>IFERROR(__xludf.DUMMYFUNCTION("""COMPUTED_VALUE"""),342800.0)</f>
        <v>342800</v>
      </c>
      <c r="F4139" s="22" t="str">
        <f>IFERROR(__xludf.DUMMYFUNCTION("""COMPUTED_VALUE"""),"裏垢配信者の魁くんはセフレの私をぐちゃとろにして絶対に離さない")</f>
        <v>裏垢配信者の魁くんはセフレの私をぐちゃとろにして絶対に離さない</v>
      </c>
      <c r="G4139" s="20" t="str">
        <f>IFERROR(__xludf.DUMMYFUNCTION("""COMPUTED_VALUE"""),"1～3")</f>
        <v>1～3</v>
      </c>
      <c r="H4139" s="22" t="str">
        <f>IFERROR(__xludf.DUMMYFUNCTION("""COMPUTED_VALUE"""),"てば┴ねこまたみさ")</f>
        <v>てば┴ねこまたみさ</v>
      </c>
      <c r="I4139" s="22" t="str">
        <f>IFERROR(__xludf.DUMMYFUNCTION("""COMPUTED_VALUE"""),"TL")</f>
        <v>TL</v>
      </c>
      <c r="J4139" s="22"/>
      <c r="K4139" s="22" t="str">
        <f>IFERROR(__xludf.DUMMYFUNCTION("""COMPUTED_VALUE"""),"lou lou")</f>
        <v>lou lou</v>
      </c>
      <c r="L4139" s="22" t="str">
        <f>IFERROR(__xludf.DUMMYFUNCTION("""COMPUTED_VALUE"""),"渋谷六花舎")</f>
        <v>渋谷六花舎</v>
      </c>
      <c r="M4139" s="33">
        <f>IFERROR(__xludf.DUMMYFUNCTION("""COMPUTED_VALUE"""),45994.0)</f>
        <v>45994</v>
      </c>
      <c r="N4139" s="33">
        <f>IFERROR(__xludf.DUMMYFUNCTION("""COMPUTED_VALUE"""),46083.0)</f>
        <v>46083</v>
      </c>
      <c r="O4139" s="20"/>
      <c r="P4139" s="32" t="str">
        <f>IFERROR(__xludf.DUMMYFUNCTION("""COMPUTED_VALUE"""),"可")</f>
        <v>可</v>
      </c>
      <c r="Q4139" s="30" t="str">
        <f>IFERROR(__xludf.DUMMYFUNCTION("""COMPUTED_VALUE"""),"【アダルト作品扱い】&lt;BR&gt;素材は3分割して、初回1～3巻として配信")</f>
        <v>【アダルト作品扱い】&lt;BR&gt;素材は3分割して、初回1～3巻として配信</v>
      </c>
      <c r="R4139" s="22" t="str">
        <f>IFERROR(__xludf.DUMMYFUNCTION("""COMPUTED_VALUE"""),"コミットOK")</f>
        <v>コミットOK</v>
      </c>
      <c r="S4139" s="22" t="str">
        <f>IFERROR(__xludf.DUMMYFUNCTION("""COMPUTED_VALUE"""),"20251024_渋谷六花舎_裏垢配信者の魁くん")</f>
        <v>20251024_渋谷六花舎_裏垢配信者の魁くん</v>
      </c>
      <c r="T4139" s="22" t="str">
        <f>IFERROR(__xludf.DUMMYFUNCTION("""COMPUTED_VALUE"""),"格納済み")</f>
        <v>格納済み</v>
      </c>
      <c r="U4139" s="9" t="str">
        <f>IFERROR(__xludf.DUMMYFUNCTION("""COMPUTED_VALUE"""),"（C）てば / ねこまたみさ/lou lou")</f>
        <v>（C）てば / ねこまたみさ/lou lou</v>
      </c>
      <c r="V4139" s="8"/>
      <c r="W4139" s="8"/>
      <c r="X4139" s="8" t="str">
        <f>IFERROR(__xludf.DUMMYFUNCTION("""COMPUTED_VALUE"""),"有")</f>
        <v>有</v>
      </c>
      <c r="Y4139" s="8" t="str">
        <f>IFERROR(__xludf.DUMMYFUNCTION("""COMPUTED_VALUE"""),"2025/12/21まで1巻無料")</f>
        <v>2025/12/21まで1巻無料</v>
      </c>
      <c r="Z4139" s="7"/>
      <c r="AA4139" s="7"/>
      <c r="AB4139" s="7"/>
    </row>
    <row r="4140" ht="15.75" customHeight="1">
      <c r="A4140" s="26">
        <f>IFERROR(__xludf.DUMMYFUNCTION("""COMPUTED_VALUE"""),6400.0)</f>
        <v>6400</v>
      </c>
      <c r="B4140" s="22" t="str">
        <f>IFERROR(__xludf.DUMMYFUNCTION("""COMPUTED_VALUE"""),"確定")</f>
        <v>確定</v>
      </c>
      <c r="C4140" s="28">
        <f>IFERROR(__xludf.DUMMYFUNCTION("""COMPUTED_VALUE"""),45903.0)</f>
        <v>45903</v>
      </c>
      <c r="D4140" s="28">
        <f>IFERROR(__xludf.DUMMYFUNCTION("""COMPUTED_VALUE"""),45958.0)</f>
        <v>45958</v>
      </c>
      <c r="E4140" s="26">
        <f>IFERROR(__xludf.DUMMYFUNCTION("""COMPUTED_VALUE"""),342539.0)</f>
        <v>342539</v>
      </c>
      <c r="F4140" s="22" t="str">
        <f>IFERROR(__xludf.DUMMYFUNCTION("""COMPUTED_VALUE"""),"将軍様は知っている【タテヨミ】")</f>
        <v>将軍様は知っている【タテヨミ】</v>
      </c>
      <c r="G4140" s="20" t="str">
        <f>IFERROR(__xludf.DUMMYFUNCTION("""COMPUTED_VALUE"""),"1～25")</f>
        <v>1～25</v>
      </c>
      <c r="H4140" s="22" t="str">
        <f>IFERROR(__xludf.DUMMYFUNCTION("""COMPUTED_VALUE"""),"原作：十万作画：matdol")</f>
        <v>原作：十万作画：matdol</v>
      </c>
      <c r="I4140" s="22" t="str">
        <f>IFERROR(__xludf.DUMMYFUNCTION("""COMPUTED_VALUE"""),"青年")</f>
        <v>青年</v>
      </c>
      <c r="J4140" s="22"/>
      <c r="K4140" s="22"/>
      <c r="L4140" s="22" t="str">
        <f>IFERROR(__xludf.DUMMYFUNCTION("""COMPUTED_VALUE"""),"Studio reBorn")</f>
        <v>Studio reBorn</v>
      </c>
      <c r="M4140" s="33">
        <f>IFERROR(__xludf.DUMMYFUNCTION("""COMPUTED_VALUE"""),45982.0)</f>
        <v>45982</v>
      </c>
      <c r="N4140" s="33">
        <f>IFERROR(__xludf.DUMMYFUNCTION("""COMPUTED_VALUE"""),46073.0)</f>
        <v>46073</v>
      </c>
      <c r="O4140" s="20"/>
      <c r="P4140" s="32" t="str">
        <f>IFERROR(__xludf.DUMMYFUNCTION("""COMPUTED_VALUE"""),"可")</f>
        <v>可</v>
      </c>
      <c r="Q4140" s="30" t="str">
        <f>IFERROR(__xludf.DUMMYFUNCTION("""COMPUTED_VALUE"""),"Toomicsのみ配信中です。")</f>
        <v>Toomicsのみ配信中です。</v>
      </c>
      <c r="R4140" s="22" t="str">
        <f>IFERROR(__xludf.DUMMYFUNCTION("""COMPUTED_VALUE"""),"コミットOK")</f>
        <v>コミットOK</v>
      </c>
      <c r="S4140" s="22" t="str">
        <f>IFERROR(__xludf.DUMMYFUNCTION("""COMPUTED_VALUE"""),"20251027_Studio reBorn_将軍様は知っている")</f>
        <v>20251027_Studio reBorn_将軍様は知っている</v>
      </c>
      <c r="T4140" s="22" t="str">
        <f>IFERROR(__xludf.DUMMYFUNCTION("""COMPUTED_VALUE"""),"格納済み")</f>
        <v>格納済み</v>
      </c>
      <c r="U4140" s="9" t="str">
        <f>IFERROR(__xludf.DUMMYFUNCTION("""COMPUTED_VALUE"""),"(c)10_million&amp;matdol / Toomics")</f>
        <v>(c)10_million&amp;matdol / Toomics</v>
      </c>
      <c r="V4140" s="8"/>
      <c r="W4140" s="8"/>
      <c r="X4140" s="8" t="str">
        <f>IFERROR(__xludf.DUMMYFUNCTION("""COMPUTED_VALUE"""),"有")</f>
        <v>有</v>
      </c>
      <c r="Y4140" s="8" t="str">
        <f>IFERROR(__xludf.DUMMYFUNCTION("""COMPUTED_VALUE"""),"1~3巻無料")</f>
        <v>1~3巻無料</v>
      </c>
      <c r="Z4140" s="7"/>
      <c r="AA4140" s="7"/>
      <c r="AB4140" s="7"/>
    </row>
    <row r="4141" ht="15.75" customHeight="1">
      <c r="A4141" s="26">
        <f>IFERROR(__xludf.DUMMYFUNCTION("""COMPUTED_VALUE"""),6401.0)</f>
        <v>6401</v>
      </c>
      <c r="B4141" s="22" t="str">
        <f>IFERROR(__xludf.DUMMYFUNCTION("""COMPUTED_VALUE"""),"確定")</f>
        <v>確定</v>
      </c>
      <c r="C4141" s="28">
        <f>IFERROR(__xludf.DUMMYFUNCTION("""COMPUTED_VALUE"""),45903.0)</f>
        <v>45903</v>
      </c>
      <c r="D4141" s="28">
        <f>IFERROR(__xludf.DUMMYFUNCTION("""COMPUTED_VALUE"""),45959.0)</f>
        <v>45959</v>
      </c>
      <c r="E4141" s="26">
        <f>IFERROR(__xludf.DUMMYFUNCTION("""COMPUTED_VALUE"""),342915.0)</f>
        <v>342915</v>
      </c>
      <c r="F4141" s="22" t="str">
        <f>IFERROR(__xludf.DUMMYFUNCTION("""COMPUTED_VALUE"""),"このブラック会社は今から俺のものです【タテヨミ】")</f>
        <v>このブラック会社は今から俺のものです【タテヨミ】</v>
      </c>
      <c r="G4141" s="20" t="str">
        <f>IFERROR(__xludf.DUMMYFUNCTION("""COMPUTED_VALUE"""),"1～30")</f>
        <v>1～30</v>
      </c>
      <c r="H4141" s="22" t="str">
        <f>IFERROR(__xludf.DUMMYFUNCTION("""COMPUTED_VALUE"""),"原作：Tass作画：うぱ西。")</f>
        <v>原作：Tass作画：うぱ西。</v>
      </c>
      <c r="I4141" s="22" t="str">
        <f>IFERROR(__xludf.DUMMYFUNCTION("""COMPUTED_VALUE"""),"青年")</f>
        <v>青年</v>
      </c>
      <c r="J4141" s="22"/>
      <c r="K4141" s="22"/>
      <c r="L4141" s="22" t="str">
        <f>IFERROR(__xludf.DUMMYFUNCTION("""COMPUTED_VALUE"""),"Studio reBorn")</f>
        <v>Studio reBorn</v>
      </c>
      <c r="M4141" s="33">
        <f>IFERROR(__xludf.DUMMYFUNCTION("""COMPUTED_VALUE"""),45982.0)</f>
        <v>45982</v>
      </c>
      <c r="N4141" s="33">
        <f>IFERROR(__xludf.DUMMYFUNCTION("""COMPUTED_VALUE"""),46101.66666666667)</f>
        <v>46101.66667</v>
      </c>
      <c r="O4141" s="20"/>
      <c r="P4141" s="32" t="str">
        <f>IFERROR(__xludf.DUMMYFUNCTION("""COMPUTED_VALUE"""),"可")</f>
        <v>可</v>
      </c>
      <c r="Q4141" s="30" t="str">
        <f>IFERROR(__xludf.DUMMYFUNCTION("""COMPUTED_VALUE"""),"Toomicsのみ配信中です")</f>
        <v>Toomicsのみ配信中です</v>
      </c>
      <c r="R4141" s="22" t="str">
        <f>IFERROR(__xludf.DUMMYFUNCTION("""COMPUTED_VALUE"""),"コミットOK")</f>
        <v>コミットOK</v>
      </c>
      <c r="S4141" s="22" t="str">
        <f>IFERROR(__xludf.DUMMYFUNCTION("""COMPUTED_VALUE"""),"20251022_Studio reBorn_このブラック会社は今から俺のものです")</f>
        <v>20251022_Studio reBorn_このブラック会社は今から俺のものです</v>
      </c>
      <c r="T4141" s="22" t="str">
        <f>IFERROR(__xludf.DUMMYFUNCTION("""COMPUTED_VALUE"""),"格納済み")</f>
        <v>格納済み</v>
      </c>
      <c r="U4141" s="9" t="str">
        <f>IFERROR(__xludf.DUMMYFUNCTION("""COMPUTED_VALUE"""),"(c)Tass&amp;うぱ西。 / Toomics")</f>
        <v>(c)Tass&amp;うぱ西。 / Toomics</v>
      </c>
      <c r="V4141" s="8"/>
      <c r="W4141" s="8"/>
      <c r="X4141" s="8" t="str">
        <f>IFERROR(__xludf.DUMMYFUNCTION("""COMPUTED_VALUE"""),"有")</f>
        <v>有</v>
      </c>
      <c r="Y4141" s="8" t="str">
        <f>IFERROR(__xludf.DUMMYFUNCTION("""COMPUTED_VALUE"""),"1~3巻無料")</f>
        <v>1~3巻無料</v>
      </c>
      <c r="Z4141" s="7"/>
      <c r="AA4141" s="7"/>
      <c r="AB4141" s="7"/>
    </row>
    <row r="4142" ht="15.75" customHeight="1">
      <c r="A4142" s="26">
        <f>IFERROR(__xludf.DUMMYFUNCTION("""COMPUTED_VALUE"""),6403.0)</f>
        <v>6403</v>
      </c>
      <c r="B4142" s="22" t="str">
        <f>IFERROR(__xludf.DUMMYFUNCTION("""COMPUTED_VALUE"""),"確定")</f>
        <v>確定</v>
      </c>
      <c r="C4142" s="28">
        <f>IFERROR(__xludf.DUMMYFUNCTION("""COMPUTED_VALUE"""),45903.0)</f>
        <v>45903</v>
      </c>
      <c r="D4142" s="28">
        <f>IFERROR(__xludf.DUMMYFUNCTION("""COMPUTED_VALUE"""),45958.0)</f>
        <v>45958</v>
      </c>
      <c r="E4142" s="26">
        <f>IFERROR(__xludf.DUMMYFUNCTION("""COMPUTED_VALUE"""),342916.0)</f>
        <v>342916</v>
      </c>
      <c r="F4142" s="22" t="str">
        <f>IFERROR(__xludf.DUMMYFUNCTION("""COMPUTED_VALUE"""),"フォロー・アス！【タテヨミ】")</f>
        <v>フォロー・アス！【タテヨミ】</v>
      </c>
      <c r="G4142" s="20" t="str">
        <f>IFERROR(__xludf.DUMMYFUNCTION("""COMPUTED_VALUE"""),"1～30")</f>
        <v>1～30</v>
      </c>
      <c r="H4142" s="22" t="str">
        <f>IFERROR(__xludf.DUMMYFUNCTION("""COMPUTED_VALUE"""),"原作：喜納　作画：1~23話⇒印家  　24話~⇒TEAM.じゃがいも")</f>
        <v>原作：喜納　作画：1~23話⇒印家  　24話~⇒TEAM.じゃがいも</v>
      </c>
      <c r="I4142" s="22" t="str">
        <f>IFERROR(__xludf.DUMMYFUNCTION("""COMPUTED_VALUE"""),"青年")</f>
        <v>青年</v>
      </c>
      <c r="J4142" s="22"/>
      <c r="K4142" s="22"/>
      <c r="L4142" s="22" t="str">
        <f>IFERROR(__xludf.DUMMYFUNCTION("""COMPUTED_VALUE"""),"Studio reBorn")</f>
        <v>Studio reBorn</v>
      </c>
      <c r="M4142" s="33">
        <f>IFERROR(__xludf.DUMMYFUNCTION("""COMPUTED_VALUE"""),45982.0)</f>
        <v>45982</v>
      </c>
      <c r="N4142" s="33">
        <f>IFERROR(__xludf.DUMMYFUNCTION("""COMPUTED_VALUE"""),46073.0)</f>
        <v>46073</v>
      </c>
      <c r="O4142" s="20"/>
      <c r="P4142" s="32" t="str">
        <f>IFERROR(__xludf.DUMMYFUNCTION("""COMPUTED_VALUE"""),"可")</f>
        <v>可</v>
      </c>
      <c r="Q4142" s="30" t="str">
        <f>IFERROR(__xludf.DUMMYFUNCTION("""COMPUTED_VALUE"""),"Toomicsのみ配信中です。")</f>
        <v>Toomicsのみ配信中です。</v>
      </c>
      <c r="R4142" s="22" t="str">
        <f>IFERROR(__xludf.DUMMYFUNCTION("""COMPUTED_VALUE"""),"コミットOK")</f>
        <v>コミットOK</v>
      </c>
      <c r="S4142" s="22" t="str">
        <f>IFERROR(__xludf.DUMMYFUNCTION("""COMPUTED_VALUE"""),"20251028_Studio reBorn_フォロー・アス！")</f>
        <v>20251028_Studio reBorn_フォロー・アス！</v>
      </c>
      <c r="T4142" s="22" t="str">
        <f>IFERROR(__xludf.DUMMYFUNCTION("""COMPUTED_VALUE"""),"格納済み")</f>
        <v>格納済み</v>
      </c>
      <c r="U4142" s="9" t="str">
        <f>IFERROR(__xludf.DUMMYFUNCTION("""COMPUTED_VALUE"""),"(1~23話) (c) 喜納&amp;印家 / Toomics 　　(24話以降) (c)喜納&amp;TEAM.じゃがいも / Toomics")</f>
        <v>(1~23話) (c) 喜納&amp;印家 / Toomics 　　(24話以降) (c)喜納&amp;TEAM.じゃがいも / Toomics</v>
      </c>
      <c r="V4142" s="8"/>
      <c r="W4142" s="8"/>
      <c r="X4142" s="8" t="str">
        <f>IFERROR(__xludf.DUMMYFUNCTION("""COMPUTED_VALUE"""),"有")</f>
        <v>有</v>
      </c>
      <c r="Y4142" s="8" t="str">
        <f>IFERROR(__xludf.DUMMYFUNCTION("""COMPUTED_VALUE"""),"1~3巻無料")</f>
        <v>1~3巻無料</v>
      </c>
      <c r="Z4142" s="7"/>
      <c r="AA4142" s="7"/>
      <c r="AB4142" s="7"/>
    </row>
    <row r="4143" ht="15.75" customHeight="1">
      <c r="A4143" s="26">
        <f>IFERROR(__xludf.DUMMYFUNCTION("""COMPUTED_VALUE"""),6409.0)</f>
        <v>6409</v>
      </c>
      <c r="B4143" s="22" t="str">
        <f>IFERROR(__xludf.DUMMYFUNCTION("""COMPUTED_VALUE"""),"確定")</f>
        <v>確定</v>
      </c>
      <c r="C4143" s="28">
        <f>IFERROR(__xludf.DUMMYFUNCTION("""COMPUTED_VALUE"""),45903.0)</f>
        <v>45903</v>
      </c>
      <c r="D4143" s="28">
        <f>IFERROR(__xludf.DUMMYFUNCTION("""COMPUTED_VALUE"""),45959.0)</f>
        <v>45959</v>
      </c>
      <c r="E4143" s="26">
        <f>IFERROR(__xludf.DUMMYFUNCTION("""COMPUTED_VALUE"""),340103.0)</f>
        <v>340103</v>
      </c>
      <c r="F4143" s="22" t="str">
        <f>IFERROR(__xludf.DUMMYFUNCTION("""COMPUTED_VALUE"""),"彼女の事情【タテヨミ】")</f>
        <v>彼女の事情【タテヨミ】</v>
      </c>
      <c r="G4143" s="20" t="str">
        <f>IFERROR(__xludf.DUMMYFUNCTION("""COMPUTED_VALUE"""),"1～20")</f>
        <v>1～20</v>
      </c>
      <c r="H4143" s="22" t="str">
        <f>IFERROR(__xludf.DUMMYFUNCTION("""COMPUTED_VALUE"""),"原作：うへん　作画：Kさん家")</f>
        <v>原作：うへん　作画：Kさん家</v>
      </c>
      <c r="I4143" s="22" t="str">
        <f>IFERROR(__xludf.DUMMYFUNCTION("""COMPUTED_VALUE"""),"青年")</f>
        <v>青年</v>
      </c>
      <c r="J4143" s="22"/>
      <c r="K4143" s="22"/>
      <c r="L4143" s="22" t="str">
        <f>IFERROR(__xludf.DUMMYFUNCTION("""COMPUTED_VALUE"""),"Studio reBorn")</f>
        <v>Studio reBorn</v>
      </c>
      <c r="M4143" s="33">
        <f>IFERROR(__xludf.DUMMYFUNCTION("""COMPUTED_VALUE"""),45982.0)</f>
        <v>45982</v>
      </c>
      <c r="N4143" s="33">
        <f>IFERROR(__xludf.DUMMYFUNCTION("""COMPUTED_VALUE"""),46073.0)</f>
        <v>46073</v>
      </c>
      <c r="O4143" s="20"/>
      <c r="P4143" s="32" t="str">
        <f>IFERROR(__xludf.DUMMYFUNCTION("""COMPUTED_VALUE"""),"可")</f>
        <v>可</v>
      </c>
      <c r="Q4143" s="30" t="str">
        <f>IFERROR(__xludf.DUMMYFUNCTION("""COMPUTED_VALUE"""),"【アダルト作品扱い】Toomicsのみ配信中")</f>
        <v>【アダルト作品扱い】Toomicsのみ配信中</v>
      </c>
      <c r="R4143" s="22" t="str">
        <f>IFERROR(__xludf.DUMMYFUNCTION("""COMPUTED_VALUE"""),"コミットOK")</f>
        <v>コミットOK</v>
      </c>
      <c r="S4143" s="22" t="str">
        <f>IFERROR(__xludf.DUMMYFUNCTION("""COMPUTED_VALUE"""),"20251029_Studio reBorn_彼女の事情")</f>
        <v>20251029_Studio reBorn_彼女の事情</v>
      </c>
      <c r="T4143" s="22" t="str">
        <f>IFERROR(__xludf.DUMMYFUNCTION("""COMPUTED_VALUE"""),"格納済み")</f>
        <v>格納済み</v>
      </c>
      <c r="U4143" s="9" t="str">
        <f>IFERROR(__xludf.DUMMYFUNCTION("""COMPUTED_VALUE"""),"(c) うへん&amp;Kさん家 / Toomics")</f>
        <v>(c) うへん&amp;Kさん家 / Toomics</v>
      </c>
      <c r="V4143" s="8"/>
      <c r="W4143" s="8"/>
      <c r="X4143" s="8" t="str">
        <f>IFERROR(__xludf.DUMMYFUNCTION("""COMPUTED_VALUE"""),"有")</f>
        <v>有</v>
      </c>
      <c r="Y4143" s="8" t="str">
        <f>IFERROR(__xludf.DUMMYFUNCTION("""COMPUTED_VALUE"""),"1~3巻無料")</f>
        <v>1~3巻無料</v>
      </c>
      <c r="Z4143" s="7"/>
      <c r="AA4143" s="7"/>
      <c r="AB4143" s="7"/>
    </row>
    <row r="4144" ht="15.75" customHeight="1">
      <c r="A4144" s="26">
        <f>IFERROR(__xludf.DUMMYFUNCTION("""COMPUTED_VALUE"""),6413.0)</f>
        <v>6413</v>
      </c>
      <c r="B4144" s="22" t="str">
        <f>IFERROR(__xludf.DUMMYFUNCTION("""COMPUTED_VALUE"""),"確定")</f>
        <v>確定</v>
      </c>
      <c r="C4144" s="28">
        <f>IFERROR(__xludf.DUMMYFUNCTION("""COMPUTED_VALUE"""),45903.0)</f>
        <v>45903</v>
      </c>
      <c r="D4144" s="28">
        <f>IFERROR(__xludf.DUMMYFUNCTION("""COMPUTED_VALUE"""),45958.0)</f>
        <v>45958</v>
      </c>
      <c r="E4144" s="26">
        <f>IFERROR(__xludf.DUMMYFUNCTION("""COMPUTED_VALUE"""),342929.0)</f>
        <v>342929</v>
      </c>
      <c r="F4144" s="22" t="str">
        <f>IFERROR(__xludf.DUMMYFUNCTION("""COMPUTED_VALUE"""),"雄尾島【タテヨミ】")</f>
        <v>雄尾島【タテヨミ】</v>
      </c>
      <c r="G4144" s="20" t="str">
        <f>IFERROR(__xludf.DUMMYFUNCTION("""COMPUTED_VALUE"""),"1～32")</f>
        <v>1～32</v>
      </c>
      <c r="H4144" s="22" t="str">
        <f>IFERROR(__xludf.DUMMYFUNCTION("""COMPUTED_VALUE"""),"H班長")</f>
        <v>H班長</v>
      </c>
      <c r="I4144" s="22" t="str">
        <f>IFERROR(__xludf.DUMMYFUNCTION("""COMPUTED_VALUE"""),"青年")</f>
        <v>青年</v>
      </c>
      <c r="J4144" s="22"/>
      <c r="K4144" s="22"/>
      <c r="L4144" s="22" t="str">
        <f>IFERROR(__xludf.DUMMYFUNCTION("""COMPUTED_VALUE"""),"Studio reBorn")</f>
        <v>Studio reBorn</v>
      </c>
      <c r="M4144" s="33">
        <f>IFERROR(__xludf.DUMMYFUNCTION("""COMPUTED_VALUE"""),45989.0)</f>
        <v>45989</v>
      </c>
      <c r="N4144" s="33">
        <f>IFERROR(__xludf.DUMMYFUNCTION("""COMPUTED_VALUE"""),46080.0)</f>
        <v>46080</v>
      </c>
      <c r="O4144" s="20"/>
      <c r="P4144" s="32" t="str">
        <f>IFERROR(__xludf.DUMMYFUNCTION("""COMPUTED_VALUE"""),"可")</f>
        <v>可</v>
      </c>
      <c r="Q4144" s="30" t="str">
        <f>IFERROR(__xludf.DUMMYFUNCTION("""COMPUTED_VALUE"""),"【アダルト作品扱い】&lt;BR&gt;Toomicsのみ配信中")</f>
        <v>【アダルト作品扱い】&lt;BR&gt;Toomicsのみ配信中</v>
      </c>
      <c r="R4144" s="22" t="str">
        <f>IFERROR(__xludf.DUMMYFUNCTION("""COMPUTED_VALUE"""),"コミットOK")</f>
        <v>コミットOK</v>
      </c>
      <c r="S4144" s="22" t="str">
        <f>IFERROR(__xludf.DUMMYFUNCTION("""COMPUTED_VALUE"""),"20251027_Studio reBorn_雄尾島")</f>
        <v>20251027_Studio reBorn_雄尾島</v>
      </c>
      <c r="T4144" s="22" t="str">
        <f>IFERROR(__xludf.DUMMYFUNCTION("""COMPUTED_VALUE"""),"格納済み")</f>
        <v>格納済み</v>
      </c>
      <c r="U4144" s="9" t="str">
        <f>IFERROR(__xludf.DUMMYFUNCTION("""COMPUTED_VALUE"""),"(c) H班長 / Toomics")</f>
        <v>(c) H班長 / Toomics</v>
      </c>
      <c r="V4144" s="8"/>
      <c r="W4144" s="8"/>
      <c r="X4144" s="8" t="str">
        <f>IFERROR(__xludf.DUMMYFUNCTION("""COMPUTED_VALUE"""),"有")</f>
        <v>有</v>
      </c>
      <c r="Y4144" s="8" t="str">
        <f>IFERROR(__xludf.DUMMYFUNCTION("""COMPUTED_VALUE"""),"1~3巻無料")</f>
        <v>1~3巻無料</v>
      </c>
      <c r="Z4144" s="7"/>
      <c r="AA4144" s="7"/>
      <c r="AB4144" s="7"/>
    </row>
    <row r="4145" ht="15.75" customHeight="1">
      <c r="A4145" s="26">
        <f>IFERROR(__xludf.DUMMYFUNCTION("""COMPUTED_VALUE"""),6417.0)</f>
        <v>6417</v>
      </c>
      <c r="B4145" s="22" t="str">
        <f>IFERROR(__xludf.DUMMYFUNCTION("""COMPUTED_VALUE"""),"確定")</f>
        <v>確定</v>
      </c>
      <c r="C4145" s="28">
        <f>IFERROR(__xludf.DUMMYFUNCTION("""COMPUTED_VALUE"""),45903.0)</f>
        <v>45903</v>
      </c>
      <c r="D4145" s="28">
        <f>IFERROR(__xludf.DUMMYFUNCTION("""COMPUTED_VALUE"""),45958.0)</f>
        <v>45958</v>
      </c>
      <c r="E4145" s="26">
        <f>IFERROR(__xludf.DUMMYFUNCTION("""COMPUTED_VALUE"""),342928.0)</f>
        <v>342928</v>
      </c>
      <c r="F4145" s="22" t="str">
        <f>IFERROR(__xludf.DUMMYFUNCTION("""COMPUTED_VALUE"""),"君をXXしたい！【タテヨミ】")</f>
        <v>君をXXしたい！【タテヨミ】</v>
      </c>
      <c r="G4145" s="20" t="str">
        <f>IFERROR(__xludf.DUMMYFUNCTION("""COMPUTED_VALUE"""),"1～20")</f>
        <v>1～20</v>
      </c>
      <c r="H4145" s="22" t="str">
        <f>IFERROR(__xludf.DUMMYFUNCTION("""COMPUTED_VALUE"""),"原作：An19作画：GolAm")</f>
        <v>原作：An19作画：GolAm</v>
      </c>
      <c r="I4145" s="22" t="str">
        <f>IFERROR(__xludf.DUMMYFUNCTION("""COMPUTED_VALUE"""),"TL")</f>
        <v>TL</v>
      </c>
      <c r="J4145" s="22"/>
      <c r="K4145" s="22"/>
      <c r="L4145" s="22" t="str">
        <f>IFERROR(__xludf.DUMMYFUNCTION("""COMPUTED_VALUE"""),"Studio reBorn")</f>
        <v>Studio reBorn</v>
      </c>
      <c r="M4145" s="33">
        <f>IFERROR(__xludf.DUMMYFUNCTION("""COMPUTED_VALUE"""),45989.0)</f>
        <v>45989</v>
      </c>
      <c r="N4145" s="33">
        <f>IFERROR(__xludf.DUMMYFUNCTION("""COMPUTED_VALUE"""),46080.0)</f>
        <v>46080</v>
      </c>
      <c r="O4145" s="20"/>
      <c r="P4145" s="32" t="str">
        <f>IFERROR(__xludf.DUMMYFUNCTION("""COMPUTED_VALUE"""),"可")</f>
        <v>可</v>
      </c>
      <c r="Q4145" s="30" t="str">
        <f>IFERROR(__xludf.DUMMYFUNCTION("""COMPUTED_VALUE"""),"【アダルト作品扱い】Toomicsのみ配信中")</f>
        <v>【アダルト作品扱い】Toomicsのみ配信中</v>
      </c>
      <c r="R4145" s="22" t="str">
        <f>IFERROR(__xludf.DUMMYFUNCTION("""COMPUTED_VALUE"""),"コミットOK")</f>
        <v>コミットOK</v>
      </c>
      <c r="S4145" s="22" t="str">
        <f>IFERROR(__xludf.DUMMYFUNCTION("""COMPUTED_VALUE"""),"20251027_Studio reBorn_君をXXしたい！")</f>
        <v>20251027_Studio reBorn_君をXXしたい！</v>
      </c>
      <c r="T4145" s="22" t="str">
        <f>IFERROR(__xludf.DUMMYFUNCTION("""COMPUTED_VALUE"""),"格納済み")</f>
        <v>格納済み</v>
      </c>
      <c r="U4145" s="9" t="str">
        <f>IFERROR(__xludf.DUMMYFUNCTION("""COMPUTED_VALUE"""),"(c) An19&amp;GolAm / Toomics")</f>
        <v>(c) An19&amp;GolAm / Toomics</v>
      </c>
      <c r="V4145" s="8"/>
      <c r="W4145" s="8"/>
      <c r="X4145" s="8" t="str">
        <f>IFERROR(__xludf.DUMMYFUNCTION("""COMPUTED_VALUE"""),"有")</f>
        <v>有</v>
      </c>
      <c r="Y4145" s="8" t="str">
        <f>IFERROR(__xludf.DUMMYFUNCTION("""COMPUTED_VALUE"""),"1~3巻無料")</f>
        <v>1~3巻無料</v>
      </c>
      <c r="Z4145" s="7"/>
      <c r="AA4145" s="7"/>
      <c r="AB4145" s="7"/>
    </row>
    <row r="4146" ht="15.75" customHeight="1">
      <c r="A4146" s="26">
        <f>IFERROR(__xludf.DUMMYFUNCTION("""COMPUTED_VALUE"""),6442.0)</f>
        <v>6442</v>
      </c>
      <c r="B4146" s="22" t="str">
        <f>IFERROR(__xludf.DUMMYFUNCTION("""COMPUTED_VALUE"""),"確定")</f>
        <v>確定</v>
      </c>
      <c r="C4146" s="28">
        <f>IFERROR(__xludf.DUMMYFUNCTION("""COMPUTED_VALUE"""),45905.0)</f>
        <v>45905</v>
      </c>
      <c r="D4146" s="28">
        <f>IFERROR(__xludf.DUMMYFUNCTION("""COMPUTED_VALUE"""),45952.0)</f>
        <v>45952</v>
      </c>
      <c r="E4146" s="26">
        <f>IFERROR(__xludf.DUMMYFUNCTION("""COMPUTED_VALUE"""),339986.0)</f>
        <v>339986</v>
      </c>
      <c r="F4146" s="22" t="str">
        <f>IFERROR(__xludf.DUMMYFUNCTION("""COMPUTED_VALUE"""),"悲劇と絶望の人生を歩んだ公爵夫人に転生しましたが、ここは天国でしょうか？")</f>
        <v>悲劇と絶望の人生を歩んだ公爵夫人に転生しましたが、ここは天国でしょうか？</v>
      </c>
      <c r="G4146" s="20" t="str">
        <f>IFERROR(__xludf.DUMMYFUNCTION("""COMPUTED_VALUE"""),"1～3")</f>
        <v>1～3</v>
      </c>
      <c r="H4146" s="22" t="str">
        <f>IFERROR(__xludf.DUMMYFUNCTION("""COMPUTED_VALUE"""),"原作：やきいもほくほく／漫画：西尾シズ")</f>
        <v>原作：やきいもほくほく／漫画：西尾シズ</v>
      </c>
      <c r="I4146" s="22" t="str">
        <f>IFERROR(__xludf.DUMMYFUNCTION("""COMPUTED_VALUE"""),"女性")</f>
        <v>女性</v>
      </c>
      <c r="J4146" s="22"/>
      <c r="K4146" s="22"/>
      <c r="L4146" s="22" t="str">
        <f>IFERROR(__xludf.DUMMYFUNCTION("""COMPUTED_VALUE"""),"Freedia")</f>
        <v>Freedia</v>
      </c>
      <c r="M4146" s="33">
        <f>IFERROR(__xludf.DUMMYFUNCTION("""COMPUTED_VALUE"""),45962.0)</f>
        <v>45962</v>
      </c>
      <c r="N4146" s="33">
        <f>IFERROR(__xludf.DUMMYFUNCTION("""COMPUTED_VALUE"""),46112.0)</f>
        <v>46112</v>
      </c>
      <c r="O4146" s="20"/>
      <c r="P4146" s="32" t="str">
        <f>IFERROR(__xludf.DUMMYFUNCTION("""COMPUTED_VALUE"""),"可")</f>
        <v>可</v>
      </c>
      <c r="Q4146" s="30" t="str">
        <f>IFERROR(__xludf.DUMMYFUNCTION("""COMPUTED_VALUE"""),"※5巻目配信日から出稿開始お願いします。&lt;BR&gt;配信スケジュールは以下です。&lt;BR&gt;11/1：1-3話、12/1：4話、2026/1/1：5話")</f>
        <v>※5巻目配信日から出稿開始お願いします。&lt;BR&gt;配信スケジュールは以下です。&lt;BR&gt;11/1：1-3話、12/1：4話、2026/1/1：5話</v>
      </c>
      <c r="R4146" s="22" t="str">
        <f>IFERROR(__xludf.DUMMYFUNCTION("""COMPUTED_VALUE"""),"コミットOK")</f>
        <v>コミットOK</v>
      </c>
      <c r="S4146" s="22" t="str">
        <f>IFERROR(__xludf.DUMMYFUNCTION("""COMPUTED_VALUE"""),"20250905_Freedia_悲劇と絶望の人生を歩んだ公爵夫人に転生しましたが、ここは天国でしょうか？")</f>
        <v>20250905_Freedia_悲劇と絶望の人生を歩んだ公爵夫人に転生しましたが、ここは天国でしょうか？</v>
      </c>
      <c r="T4146" s="22" t="str">
        <f>IFERROR(__xludf.DUMMYFUNCTION("""COMPUTED_VALUE"""),"格納済み")</f>
        <v>格納済み</v>
      </c>
      <c r="U4146" s="9" t="str">
        <f>IFERROR(__xludf.DUMMYFUNCTION("""COMPUTED_VALUE"""),"Ⓒ西尾シズ・やきいもほくほく/Freedia")</f>
        <v>Ⓒ西尾シズ・やきいもほくほく/Freedia</v>
      </c>
      <c r="V4146" s="8"/>
      <c r="W4146" s="8"/>
      <c r="X4146" s="8" t="str">
        <f>IFERROR(__xludf.DUMMYFUNCTION("""COMPUTED_VALUE"""),"有")</f>
        <v>有</v>
      </c>
      <c r="Y4146" s="8" t="str">
        <f>IFERROR(__xludf.DUMMYFUNCTION("""COMPUTED_VALUE"""),"P5まで")</f>
        <v>P5まで</v>
      </c>
      <c r="Z4146" s="7"/>
      <c r="AA4146" s="7"/>
      <c r="AB4146" s="7"/>
    </row>
    <row r="4147" ht="15.75" customHeight="1">
      <c r="A4147" s="26">
        <f>IFERROR(__xludf.DUMMYFUNCTION("""COMPUTED_VALUE"""),6452.0)</f>
        <v>6452</v>
      </c>
      <c r="B4147" s="22" t="str">
        <f>IFERROR(__xludf.DUMMYFUNCTION("""COMPUTED_VALUE"""),"確定")</f>
        <v>確定</v>
      </c>
      <c r="C4147" s="28">
        <f>IFERROR(__xludf.DUMMYFUNCTION("""COMPUTED_VALUE"""),45908.0)</f>
        <v>45908</v>
      </c>
      <c r="D4147" s="28">
        <f>IFERROR(__xludf.DUMMYFUNCTION("""COMPUTED_VALUE"""),45959.0)</f>
        <v>45959</v>
      </c>
      <c r="E4147" s="26">
        <f>IFERROR(__xludf.DUMMYFUNCTION("""COMPUTED_VALUE"""),340349.0)</f>
        <v>340349</v>
      </c>
      <c r="F4147" s="22" t="str">
        <f>IFERROR(__xludf.DUMMYFUNCTION("""COMPUTED_VALUE"""),"御曹司兄弟に拾われて夜のお世話係にされちゃいました～女子バレ厳禁の男子校生活!?～")</f>
        <v>御曹司兄弟に拾われて夜のお世話係にされちゃいました～女子バレ厳禁の男子校生活!?～</v>
      </c>
      <c r="G4147" s="20" t="str">
        <f>IFERROR(__xludf.DUMMYFUNCTION("""COMPUTED_VALUE"""),"1～3")</f>
        <v>1～3</v>
      </c>
      <c r="H4147" s="22" t="str">
        <f>IFERROR(__xludf.DUMMYFUNCTION("""COMPUTED_VALUE"""),"ひよわか")</f>
        <v>ひよわか</v>
      </c>
      <c r="I4147" s="22" t="str">
        <f>IFERROR(__xludf.DUMMYFUNCTION("""COMPUTED_VALUE"""),"アダルト")</f>
        <v>アダルト</v>
      </c>
      <c r="J4147" s="22"/>
      <c r="K4147" s="22" t="str">
        <f>IFERROR(__xludf.DUMMYFUNCTION("""COMPUTED_VALUE"""),"カゲキヤコミック")</f>
        <v>カゲキヤコミック</v>
      </c>
      <c r="L4147" s="22" t="str">
        <f>IFERROR(__xludf.DUMMYFUNCTION("""COMPUTED_VALUE"""),"DEEPER-ZERO")</f>
        <v>DEEPER-ZERO</v>
      </c>
      <c r="M4147" s="33">
        <f>IFERROR(__xludf.DUMMYFUNCTION("""COMPUTED_VALUE"""),45968.0)</f>
        <v>45968</v>
      </c>
      <c r="N4147" s="33">
        <f>IFERROR(__xludf.DUMMYFUNCTION("""COMPUTED_VALUE"""),45995.0)</f>
        <v>45995</v>
      </c>
      <c r="O4147" s="20"/>
      <c r="P4147" s="32" t="str">
        <f>IFERROR(__xludf.DUMMYFUNCTION("""COMPUTED_VALUE"""),"可")</f>
        <v>可</v>
      </c>
      <c r="Q4147" s="30" t="str">
        <f>IFERROR(__xludf.DUMMYFUNCTION("""COMPUTED_VALUE"""),"FANZAと同時先行です")</f>
        <v>FANZAと同時先行です</v>
      </c>
      <c r="R4147" s="22" t="str">
        <f>IFERROR(__xludf.DUMMYFUNCTION("""COMPUTED_VALUE"""),"コミットNG")</f>
        <v>コミットNG</v>
      </c>
      <c r="S4147" s="22" t="str">
        <f>IFERROR(__xludf.DUMMYFUNCTION("""COMPUTED_VALUE"""),"20251028_DEEPER-ZERO_御曹司兄弟に拾われて夜のお世話係にされちゃいました～女子バレ厳禁の男子校生活!")</f>
        <v>20251028_DEEPER-ZERO_御曹司兄弟に拾われて夜のお世話係にされちゃいました～女子バレ厳禁の男子校生活!</v>
      </c>
      <c r="T4147" s="22" t="str">
        <f>IFERROR(__xludf.DUMMYFUNCTION("""COMPUTED_VALUE"""),"格納済み")</f>
        <v>格納済み</v>
      </c>
      <c r="U4147" s="9" t="str">
        <f>IFERROR(__xludf.DUMMYFUNCTION("""COMPUTED_VALUE"""),"Ⓒひよわか/DEEPER-ZERO")</f>
        <v>Ⓒひよわか/DEEPER-ZERO</v>
      </c>
      <c r="V4147" s="8"/>
      <c r="W4147" s="8"/>
      <c r="X4147" s="8" t="str">
        <f>IFERROR(__xludf.DUMMYFUNCTION("""COMPUTED_VALUE"""),"有")</f>
        <v>有</v>
      </c>
      <c r="Y4147" s="8" t="str">
        <f>IFERROR(__xludf.DUMMYFUNCTION("""COMPUTED_VALUE"""),"P12まで")</f>
        <v>P12まで</v>
      </c>
      <c r="Z4147" s="7"/>
      <c r="AA4147" s="7"/>
      <c r="AB4147" s="7"/>
    </row>
    <row r="4148" ht="15.75" customHeight="1">
      <c r="A4148" s="26">
        <f>IFERROR(__xludf.DUMMYFUNCTION("""COMPUTED_VALUE"""),6468.0)</f>
        <v>6468</v>
      </c>
      <c r="B4148" s="22" t="str">
        <f>IFERROR(__xludf.DUMMYFUNCTION("""COMPUTED_VALUE"""),"確定")</f>
        <v>確定</v>
      </c>
      <c r="C4148" s="28">
        <f>IFERROR(__xludf.DUMMYFUNCTION("""COMPUTED_VALUE"""),45910.0)</f>
        <v>45910</v>
      </c>
      <c r="D4148" s="28">
        <f>IFERROR(__xludf.DUMMYFUNCTION("""COMPUTED_VALUE"""),45958.0)</f>
        <v>45958</v>
      </c>
      <c r="E4148" s="26">
        <f>IFERROR(__xludf.DUMMYFUNCTION("""COMPUTED_VALUE"""),341970.0)</f>
        <v>341970</v>
      </c>
      <c r="F4148" s="22" t="str">
        <f>IFERROR(__xludf.DUMMYFUNCTION("""COMPUTED_VALUE"""),"転移魔法しか使えない貴族ですが、気ままに冒険していたら最強冒険者に成り上がっていた件")</f>
        <v>転移魔法しか使えない貴族ですが、気ままに冒険していたら最強冒険者に成り上がっていた件</v>
      </c>
      <c r="G4148" s="20" t="str">
        <f>IFERROR(__xludf.DUMMYFUNCTION("""COMPUTED_VALUE"""),"1～4")</f>
        <v>1～4</v>
      </c>
      <c r="H4148" s="22" t="str">
        <f>IFERROR(__xludf.DUMMYFUNCTION("""COMPUTED_VALUE"""),"貫徹,peep,杉島谷野,taskey STUDIO")</f>
        <v>貫徹,peep,杉島谷野,taskey STUDIO</v>
      </c>
      <c r="I4148" s="22" t="str">
        <f>IFERROR(__xludf.DUMMYFUNCTION("""COMPUTED_VALUE"""),"少年")</f>
        <v>少年</v>
      </c>
      <c r="J4148" s="22"/>
      <c r="K4148" s="22"/>
      <c r="L4148" s="22" t="str">
        <f>IFERROR(__xludf.DUMMYFUNCTION("""COMPUTED_VALUE"""),"taskey")</f>
        <v>taskey</v>
      </c>
      <c r="M4148" s="33">
        <f>IFERROR(__xludf.DUMMYFUNCTION("""COMPUTED_VALUE"""),45986.0)</f>
        <v>45986</v>
      </c>
      <c r="N4148" s="33">
        <f>IFERROR(__xludf.DUMMYFUNCTION("""COMPUTED_VALUE"""),46077.0)</f>
        <v>46077</v>
      </c>
      <c r="O4148" s="20"/>
      <c r="P4148" s="32" t="str">
        <f>IFERROR(__xludf.DUMMYFUNCTION("""COMPUTED_VALUE"""),"可")</f>
        <v>可</v>
      </c>
      <c r="Q4148" s="30" t="str">
        <f>IFERROR(__xludf.DUMMYFUNCTION("""COMPUTED_VALUE"""),"※初回4話配信ですが、1~3話の素材で広告制作お願いします")</f>
        <v>※初回4話配信ですが、1~3話の素材で広告制作お願いします</v>
      </c>
      <c r="R4148" s="22" t="str">
        <f>IFERROR(__xludf.DUMMYFUNCTION("""COMPUTED_VALUE"""),"コミットOK")</f>
        <v>コミットOK</v>
      </c>
      <c r="S4148" s="22" t="str">
        <f>IFERROR(__xludf.DUMMYFUNCTION("""COMPUTED_VALUE"""),"20251028_taskey_転移魔法しか使えない貴族ですが、気ままに冒険していたら最強冒険者に成り上がっていた件")</f>
        <v>20251028_taskey_転移魔法しか使えない貴族ですが、気ままに冒険していたら最強冒険者に成り上がっていた件</v>
      </c>
      <c r="T4148" s="22" t="str">
        <f>IFERROR(__xludf.DUMMYFUNCTION("""COMPUTED_VALUE"""),"格納済み")</f>
        <v>格納済み</v>
      </c>
      <c r="U4148" s="9" t="str">
        <f>IFERROR(__xludf.DUMMYFUNCTION("""COMPUTED_VALUE"""),"Ⓒtaskey 原作/貫徹 漫画/杉島⾕野")</f>
        <v>Ⓒtaskey 原作/貫徹 漫画/杉島⾕野</v>
      </c>
      <c r="V4148" s="8"/>
      <c r="W4148" s="8"/>
      <c r="X4148" s="8" t="str">
        <f>IFERROR(__xludf.DUMMYFUNCTION("""COMPUTED_VALUE"""),"有")</f>
        <v>有</v>
      </c>
      <c r="Y4148" s="8" t="str">
        <f>IFERROR(__xludf.DUMMYFUNCTION("""COMPUTED_VALUE"""),"2025/12/9まで1巻無料")</f>
        <v>2025/12/9まで1巻無料</v>
      </c>
      <c r="Z4148" s="7"/>
      <c r="AA4148" s="7"/>
      <c r="AB4148" s="7"/>
    </row>
    <row r="4149" ht="15.75" customHeight="1">
      <c r="A4149" s="26">
        <f>IFERROR(__xludf.DUMMYFUNCTION("""COMPUTED_VALUE"""),6505.0)</f>
        <v>6505</v>
      </c>
      <c r="B4149" s="22" t="str">
        <f>IFERROR(__xludf.DUMMYFUNCTION("""COMPUTED_VALUE"""),"確定")</f>
        <v>確定</v>
      </c>
      <c r="C4149" s="28">
        <f>IFERROR(__xludf.DUMMYFUNCTION("""COMPUTED_VALUE"""),45917.0)</f>
        <v>45917</v>
      </c>
      <c r="D4149" s="28">
        <f>IFERROR(__xludf.DUMMYFUNCTION("""COMPUTED_VALUE"""),45959.0)</f>
        <v>45959</v>
      </c>
      <c r="E4149" s="26">
        <f>IFERROR(__xludf.DUMMYFUNCTION("""COMPUTED_VALUE"""),341665.0)</f>
        <v>341665</v>
      </c>
      <c r="F4149" s="22" t="str">
        <f>IFERROR(__xludf.DUMMYFUNCTION("""COMPUTED_VALUE"""),"【ラブフリック】吉沢くんの食いしん坊な愛し方〜私フェチな彼の凄テクとろくちゅエッチ〜")</f>
        <v>【ラブフリック】吉沢くんの食いしん坊な愛し方〜私フェチな彼の凄テクとろくちゅエッチ〜</v>
      </c>
      <c r="G4149" s="20" t="str">
        <f>IFERROR(__xludf.DUMMYFUNCTION("""COMPUTED_VALUE"""),"1～2")</f>
        <v>1～2</v>
      </c>
      <c r="H4149" s="22" t="str">
        <f>IFERROR(__xludf.DUMMYFUNCTION("""COMPUTED_VALUE"""),"央ぐれこ")</f>
        <v>央ぐれこ</v>
      </c>
      <c r="I4149" s="22" t="str">
        <f>IFERROR(__xludf.DUMMYFUNCTION("""COMPUTED_VALUE"""),"TL")</f>
        <v>TL</v>
      </c>
      <c r="J4149" s="22"/>
      <c r="K4149" s="22" t="str">
        <f>IFERROR(__xludf.DUMMYFUNCTION("""COMPUTED_VALUE"""),"LOVE FLICK")</f>
        <v>LOVE FLICK</v>
      </c>
      <c r="L4149" s="22" t="str">
        <f>IFERROR(__xludf.DUMMYFUNCTION("""COMPUTED_VALUE"""),"CLLENN")</f>
        <v>CLLENN</v>
      </c>
      <c r="M4149" s="33">
        <f>IFERROR(__xludf.DUMMYFUNCTION("""COMPUTED_VALUE"""),45980.0)</f>
        <v>45980</v>
      </c>
      <c r="N4149" s="33">
        <f>IFERROR(__xludf.DUMMYFUNCTION("""COMPUTED_VALUE"""),46007.0)</f>
        <v>46007</v>
      </c>
      <c r="O4149" s="20"/>
      <c r="P4149" s="32" t="str">
        <f>IFERROR(__xludf.DUMMYFUNCTION("""COMPUTED_VALUE"""),"可")</f>
        <v>可</v>
      </c>
      <c r="Q4149" s="30"/>
      <c r="R4149" s="22" t="str">
        <f>IFERROR(__xludf.DUMMYFUNCTION("""COMPUTED_VALUE"""),"コミットNG")</f>
        <v>コミットNG</v>
      </c>
      <c r="S4149" s="22" t="str">
        <f>IFERROR(__xludf.DUMMYFUNCTION("""COMPUTED_VALUE"""),"20251028_CLLENN_【ラブフリック】吉沢くんの食いしん坊な愛し方〜私フェチな彼の凄テクとろくちゅエッチ")</f>
        <v>20251028_CLLENN_【ラブフリック】吉沢くんの食いしん坊な愛し方〜私フェチな彼の凄テクとろくちゅエッチ</v>
      </c>
      <c r="T4149" s="22" t="str">
        <f>IFERROR(__xludf.DUMMYFUNCTION("""COMPUTED_VALUE"""),"格納済み")</f>
        <v>格納済み</v>
      </c>
      <c r="U4149" s="9" t="str">
        <f>IFERROR(__xludf.DUMMYFUNCTION("""COMPUTED_VALUE"""),"Ⓒ央ぐれこ/CLLENN")</f>
        <v>Ⓒ央ぐれこ/CLLENN</v>
      </c>
      <c r="V4149" s="8"/>
      <c r="W4149" s="8"/>
      <c r="X4149" s="8" t="str">
        <f>IFERROR(__xludf.DUMMYFUNCTION("""COMPUTED_VALUE"""),"有")</f>
        <v>有</v>
      </c>
      <c r="Y4149" s="8" t="str">
        <f>IFERROR(__xludf.DUMMYFUNCTION("""COMPUTED_VALUE"""),"P10まで")</f>
        <v>P10まで</v>
      </c>
      <c r="Z4149" s="7"/>
      <c r="AA4149" s="7"/>
      <c r="AB4149" s="7"/>
    </row>
    <row r="4150" ht="15.75" customHeight="1">
      <c r="A4150" s="26">
        <f>IFERROR(__xludf.DUMMYFUNCTION("""COMPUTED_VALUE"""),6509.0)</f>
        <v>6509</v>
      </c>
      <c r="B4150" s="22" t="str">
        <f>IFERROR(__xludf.DUMMYFUNCTION("""COMPUTED_VALUE"""),"確定")</f>
        <v>確定</v>
      </c>
      <c r="C4150" s="28">
        <f>IFERROR(__xludf.DUMMYFUNCTION("""COMPUTED_VALUE"""),45917.0)</f>
        <v>45917</v>
      </c>
      <c r="D4150" s="28">
        <f>IFERROR(__xludf.DUMMYFUNCTION("""COMPUTED_VALUE"""),45958.0)</f>
        <v>45958</v>
      </c>
      <c r="E4150" s="26">
        <f>IFERROR(__xludf.DUMMYFUNCTION("""COMPUTED_VALUE"""),340791.0)</f>
        <v>340791</v>
      </c>
      <c r="F4150" s="22" t="str">
        <f>IFERROR(__xludf.DUMMYFUNCTION("""COMPUTED_VALUE"""),"【分冊版】ラブ ユア アンコール!")</f>
        <v>【分冊版】ラブ ユア アンコール!</v>
      </c>
      <c r="G4150" s="20" t="str">
        <f>IFERROR(__xludf.DUMMYFUNCTION("""COMPUTED_VALUE"""),"1～3")</f>
        <v>1～3</v>
      </c>
      <c r="H4150" s="22" t="str">
        <f>IFERROR(__xludf.DUMMYFUNCTION("""COMPUTED_VALUE"""),"しっぽの北")</f>
        <v>しっぽの北</v>
      </c>
      <c r="I4150" s="22" t="str">
        <f>IFERROR(__xludf.DUMMYFUNCTION("""COMPUTED_VALUE"""),"BL")</f>
        <v>BL</v>
      </c>
      <c r="J4150" s="22"/>
      <c r="K4150" s="22"/>
      <c r="L4150" s="22" t="str">
        <f>IFERROR(__xludf.DUMMYFUNCTION("""COMPUTED_VALUE"""),"ジーオーティー")</f>
        <v>ジーオーティー</v>
      </c>
      <c r="M4150" s="33">
        <f>IFERROR(__xludf.DUMMYFUNCTION("""COMPUTED_VALUE"""),45973.0)</f>
        <v>45973</v>
      </c>
      <c r="N4150" s="33">
        <f>IFERROR(__xludf.DUMMYFUNCTION("""COMPUTED_VALUE"""),46034.0)</f>
        <v>46034</v>
      </c>
      <c r="O4150" s="20"/>
      <c r="P4150" s="32" t="str">
        <f>IFERROR(__xludf.DUMMYFUNCTION("""COMPUTED_VALUE"""),"可")</f>
        <v>可</v>
      </c>
      <c r="Q4150" s="30"/>
      <c r="R4150" s="22" t="str">
        <f>IFERROR(__xludf.DUMMYFUNCTION("""COMPUTED_VALUE"""),"コミットNG")</f>
        <v>コミットNG</v>
      </c>
      <c r="S4150" s="22" t="str">
        <f>IFERROR(__xludf.DUMMYFUNCTION("""COMPUTED_VALUE"""),"20251024_ジーオーティー_【分冊版】ラブユアアンコール")</f>
        <v>20251024_ジーオーティー_【分冊版】ラブユアアンコール</v>
      </c>
      <c r="T4150" s="22" t="str">
        <f>IFERROR(__xludf.DUMMYFUNCTION("""COMPUTED_VALUE"""),"格納済み")</f>
        <v>格納済み</v>
      </c>
      <c r="U4150" s="9" t="str">
        <f>IFERROR(__xludf.DUMMYFUNCTION("""COMPUTED_VALUE"""),"(C)しっぽの北／ジーオーティー")</f>
        <v>(C)しっぽの北／ジーオーティー</v>
      </c>
      <c r="V4150" s="8"/>
      <c r="W4150" s="8"/>
      <c r="X4150" s="8" t="str">
        <f>IFERROR(__xludf.DUMMYFUNCTION("""COMPUTED_VALUE"""),"有")</f>
        <v>有</v>
      </c>
      <c r="Y4150" s="8" t="str">
        <f>IFERROR(__xludf.DUMMYFUNCTION("""COMPUTED_VALUE"""),"2025/12/11まで1巻無料")</f>
        <v>2025/12/11まで1巻無料</v>
      </c>
      <c r="Z4150" s="7"/>
      <c r="AA4150" s="7"/>
      <c r="AB4150" s="7"/>
    </row>
    <row r="4151" ht="15.75" customHeight="1">
      <c r="A4151" s="26">
        <f>IFERROR(__xludf.DUMMYFUNCTION("""COMPUTED_VALUE"""),6529.0)</f>
        <v>6529</v>
      </c>
      <c r="B4151" s="22" t="str">
        <f>IFERROR(__xludf.DUMMYFUNCTION("""COMPUTED_VALUE"""),"確定")</f>
        <v>確定</v>
      </c>
      <c r="C4151" s="28">
        <f>IFERROR(__xludf.DUMMYFUNCTION("""COMPUTED_VALUE"""),45919.0)</f>
        <v>45919</v>
      </c>
      <c r="D4151" s="28">
        <f>IFERROR(__xludf.DUMMYFUNCTION("""COMPUTED_VALUE"""),45957.0)</f>
        <v>45957</v>
      </c>
      <c r="E4151" s="26">
        <f>IFERROR(__xludf.DUMMYFUNCTION("""COMPUTED_VALUE"""),342491.0)</f>
        <v>342491</v>
      </c>
      <c r="F4151" s="22" t="str">
        <f>IFERROR(__xludf.DUMMYFUNCTION("""COMPUTED_VALUE"""),"コンクリートジャングルオブハザード")</f>
        <v>コンクリートジャングルオブハザード</v>
      </c>
      <c r="G4151" s="20" t="str">
        <f>IFERROR(__xludf.DUMMYFUNCTION("""COMPUTED_VALUE"""),"1～5")</f>
        <v>1～5</v>
      </c>
      <c r="H4151" s="22" t="str">
        <f>IFERROR(__xludf.DUMMYFUNCTION("""COMPUTED_VALUE"""),"バッド・秋花火")</f>
        <v>バッド・秋花火</v>
      </c>
      <c r="I4151" s="22" t="str">
        <f>IFERROR(__xludf.DUMMYFUNCTION("""COMPUTED_VALUE"""),"青年")</f>
        <v>青年</v>
      </c>
      <c r="J4151" s="22"/>
      <c r="K4151" s="22" t="str">
        <f>IFERROR(__xludf.DUMMYFUNCTION("""COMPUTED_VALUE"""),"DEDEDE")</f>
        <v>DEDEDE</v>
      </c>
      <c r="L4151" s="22" t="str">
        <f>IFERROR(__xludf.DUMMYFUNCTION("""COMPUTED_VALUE"""),"CLLENN")</f>
        <v>CLLENN</v>
      </c>
      <c r="M4151" s="33">
        <f>IFERROR(__xludf.DUMMYFUNCTION("""COMPUTED_VALUE"""),45984.0)</f>
        <v>45984</v>
      </c>
      <c r="N4151" s="33">
        <f>IFERROR(__xludf.DUMMYFUNCTION("""COMPUTED_VALUE"""),46046.0)</f>
        <v>46046</v>
      </c>
      <c r="O4151" s="20"/>
      <c r="P4151" s="32" t="str">
        <f>IFERROR(__xludf.DUMMYFUNCTION("""COMPUTED_VALUE"""),"可")</f>
        <v>可</v>
      </c>
      <c r="Q4151" s="30"/>
      <c r="R4151" s="22" t="str">
        <f>IFERROR(__xludf.DUMMYFUNCTION("""COMPUTED_VALUE"""),"コミットOK")</f>
        <v>コミットOK</v>
      </c>
      <c r="S4151" s="22" t="str">
        <f>IFERROR(__xludf.DUMMYFUNCTION("""COMPUTED_VALUE"""),"20251027_CLLENN_コンクリートジャングルオブハザード")</f>
        <v>20251027_CLLENN_コンクリートジャングルオブハザード</v>
      </c>
      <c r="T4151" s="22" t="str">
        <f>IFERROR(__xludf.DUMMYFUNCTION("""COMPUTED_VALUE"""),"格納済み")</f>
        <v>格納済み</v>
      </c>
      <c r="U4151" s="9" t="str">
        <f>IFERROR(__xludf.DUMMYFUNCTION("""COMPUTED_VALUE"""),"Ⓒバッド・秋花火/CLLENN")</f>
        <v>Ⓒバッド・秋花火/CLLENN</v>
      </c>
      <c r="V4151" s="8"/>
      <c r="W4151" s="8"/>
      <c r="X4151" s="8" t="str">
        <f>IFERROR(__xludf.DUMMYFUNCTION("""COMPUTED_VALUE"""),"有")</f>
        <v>有</v>
      </c>
      <c r="Y4151" s="8" t="str">
        <f>IFERROR(__xludf.DUMMYFUNCTION("""COMPUTED_VALUE"""),"2025/12/6まで1~2巻無料")</f>
        <v>2025/12/6まで1~2巻無料</v>
      </c>
      <c r="Z4151" s="7"/>
      <c r="AA4151" s="7"/>
      <c r="AB4151" s="7"/>
    </row>
    <row r="4152" ht="15.75" customHeight="1">
      <c r="A4152" s="26">
        <f>IFERROR(__xludf.DUMMYFUNCTION("""COMPUTED_VALUE"""),6604.0)</f>
        <v>6604</v>
      </c>
      <c r="B4152" s="22" t="str">
        <f>IFERROR(__xludf.DUMMYFUNCTION("""COMPUTED_VALUE"""),"確定")</f>
        <v>確定</v>
      </c>
      <c r="C4152" s="28">
        <f>IFERROR(__xludf.DUMMYFUNCTION("""COMPUTED_VALUE"""),45936.0)</f>
        <v>45936</v>
      </c>
      <c r="D4152" s="28">
        <f>IFERROR(__xludf.DUMMYFUNCTION("""COMPUTED_VALUE"""),45959.0)</f>
        <v>45959</v>
      </c>
      <c r="E4152" s="26">
        <f>IFERROR(__xludf.DUMMYFUNCTION("""COMPUTED_VALUE"""),342731.0)</f>
        <v>342731</v>
      </c>
      <c r="F4152" s="22" t="str">
        <f>IFERROR(__xludf.DUMMYFUNCTION("""COMPUTED_VALUE"""),"明日のない私たち【単話】")</f>
        <v>明日のない私たち【単話】</v>
      </c>
      <c r="G4152" s="20" t="str">
        <f>IFERROR(__xludf.DUMMYFUNCTION("""COMPUTED_VALUE"""),"1～3")</f>
        <v>1～3</v>
      </c>
      <c r="H4152" s="22" t="str">
        <f>IFERROR(__xludf.DUMMYFUNCTION("""COMPUTED_VALUE"""),"韋蘺若明")</f>
        <v>韋蘺若明</v>
      </c>
      <c r="I4152" s="22" t="str">
        <f>IFERROR(__xludf.DUMMYFUNCTION("""COMPUTED_VALUE"""),"女性")</f>
        <v>女性</v>
      </c>
      <c r="J4152" s="22"/>
      <c r="K4152" s="22" t="str">
        <f>IFERROR(__xludf.DUMMYFUNCTION("""COMPUTED_VALUE"""),"Melty Night")</f>
        <v>Melty Night</v>
      </c>
      <c r="L4152" s="22" t="str">
        <f>IFERROR(__xludf.DUMMYFUNCTION("""COMPUTED_VALUE"""),"朝日新聞出版")</f>
        <v>朝日新聞出版</v>
      </c>
      <c r="M4152" s="33">
        <f>IFERROR(__xludf.DUMMYFUNCTION("""COMPUTED_VALUE"""),45991.0)</f>
        <v>45991</v>
      </c>
      <c r="N4152" s="33">
        <f>IFERROR(__xludf.DUMMYFUNCTION("""COMPUTED_VALUE"""),46080.0)</f>
        <v>46080</v>
      </c>
      <c r="O4152" s="20"/>
      <c r="P4152" s="32" t="str">
        <f>IFERROR(__xludf.DUMMYFUNCTION("""COMPUTED_VALUE"""),"可")</f>
        <v>可</v>
      </c>
      <c r="Q4152" s="30" t="str">
        <f>IFERROR(__xludf.DUMMYFUNCTION("""COMPUTED_VALUE"""),"【初回配信時施策】1話無料")</f>
        <v>【初回配信時施策】1話無料</v>
      </c>
      <c r="R4152" s="22" t="str">
        <f>IFERROR(__xludf.DUMMYFUNCTION("""COMPUTED_VALUE"""),"コミットNG")</f>
        <v>コミットNG</v>
      </c>
      <c r="S4152" s="22" t="str">
        <f>IFERROR(__xludf.DUMMYFUNCTION("""COMPUTED_VALUE"""),"20251029_朝日新聞出版_明日のない私たち")</f>
        <v>20251029_朝日新聞出版_明日のない私たち</v>
      </c>
      <c r="T4152" s="22" t="str">
        <f>IFERROR(__xludf.DUMMYFUNCTION("""COMPUTED_VALUE"""),"格納済み")</f>
        <v>格納済み</v>
      </c>
      <c r="U4152" s="9" t="str">
        <f>IFERROR(__xludf.DUMMYFUNCTION("""COMPUTED_VALUE"""),"Ⓒ 韋蘺若明／朝日新聞出版")</f>
        <v>Ⓒ 韋蘺若明／朝日新聞出版</v>
      </c>
      <c r="V4152" s="8"/>
      <c r="W4152" s="8"/>
      <c r="X4152" s="8" t="str">
        <f>IFERROR(__xludf.DUMMYFUNCTION("""COMPUTED_VALUE"""),"有")</f>
        <v>有</v>
      </c>
      <c r="Y4152" s="8" t="str">
        <f>IFERROR(__xludf.DUMMYFUNCTION("""COMPUTED_VALUE"""),"P10まで")</f>
        <v>P10まで</v>
      </c>
      <c r="Z4152" s="7"/>
      <c r="AA4152" s="7"/>
      <c r="AB4152" s="7"/>
    </row>
    <row r="4153" ht="15.75" customHeight="1">
      <c r="A4153" s="26">
        <f>IFERROR(__xludf.DUMMYFUNCTION("""COMPUTED_VALUE"""),6608.0)</f>
        <v>6608</v>
      </c>
      <c r="B4153" s="22" t="str">
        <f>IFERROR(__xludf.DUMMYFUNCTION("""COMPUTED_VALUE"""),"確定")</f>
        <v>確定</v>
      </c>
      <c r="C4153" s="28">
        <f>IFERROR(__xludf.DUMMYFUNCTION("""COMPUTED_VALUE"""),45936.0)</f>
        <v>45936</v>
      </c>
      <c r="D4153" s="28">
        <f>IFERROR(__xludf.DUMMYFUNCTION("""COMPUTED_VALUE"""),45957.0)</f>
        <v>45957</v>
      </c>
      <c r="E4153" s="26">
        <f>IFERROR(__xludf.DUMMYFUNCTION("""COMPUTED_VALUE"""),342451.0)</f>
        <v>342451</v>
      </c>
      <c r="F4153" s="22" t="str">
        <f>IFERROR(__xludf.DUMMYFUNCTION("""COMPUTED_VALUE"""),"全裸から始まる異世界恋愛！ 愛されるほど、服が増えていく…【単話】")</f>
        <v>全裸から始まる異世界恋愛！ 愛されるほど、服が増えていく…【単話】</v>
      </c>
      <c r="G4153" s="20" t="str">
        <f>IFERROR(__xludf.DUMMYFUNCTION("""COMPUTED_VALUE"""),"1～3")</f>
        <v>1～3</v>
      </c>
      <c r="H4153" s="22" t="str">
        <f>IFERROR(__xludf.DUMMYFUNCTION("""COMPUTED_VALUE"""),"城之内寧々")</f>
        <v>城之内寧々</v>
      </c>
      <c r="I4153" s="22" t="str">
        <f>IFERROR(__xludf.DUMMYFUNCTION("""COMPUTED_VALUE"""),"TL")</f>
        <v>TL</v>
      </c>
      <c r="J4153" s="22"/>
      <c r="K4153" s="22" t="str">
        <f>IFERROR(__xludf.DUMMYFUNCTION("""COMPUTED_VALUE"""),"ミンティ")</f>
        <v>ミンティ</v>
      </c>
      <c r="L4153" s="22" t="str">
        <f>IFERROR(__xludf.DUMMYFUNCTION("""COMPUTED_VALUE"""),"オークラ出版")</f>
        <v>オークラ出版</v>
      </c>
      <c r="M4153" s="33">
        <f>IFERROR(__xludf.DUMMYFUNCTION("""COMPUTED_VALUE"""),45989.0)</f>
        <v>45989</v>
      </c>
      <c r="N4153" s="33">
        <f>IFERROR(__xludf.DUMMYFUNCTION("""COMPUTED_VALUE"""),46079.0)</f>
        <v>46079</v>
      </c>
      <c r="O4153" s="20"/>
      <c r="P4153" s="32" t="str">
        <f>IFERROR(__xludf.DUMMYFUNCTION("""COMPUTED_VALUE"""),"可")</f>
        <v>可</v>
      </c>
      <c r="Q4153" s="30" t="str">
        <f>IFERROR(__xludf.DUMMYFUNCTION("""COMPUTED_VALUE"""),"【アダルト作品扱い】")</f>
        <v>【アダルト作品扱い】</v>
      </c>
      <c r="R4153" s="22" t="str">
        <f>IFERROR(__xludf.DUMMYFUNCTION("""COMPUTED_VALUE"""),"コミットOK")</f>
        <v>コミットOK</v>
      </c>
      <c r="S4153" s="22" t="str">
        <f>IFERROR(__xludf.DUMMYFUNCTION("""COMPUTED_VALUE"""),"20251025_オークラ出版_全裸から始まる異世界恋愛！ 愛されるほど、服が増えていく…【単話】")</f>
        <v>20251025_オークラ出版_全裸から始まる異世界恋愛！ 愛されるほど、服が増えていく…【単話】</v>
      </c>
      <c r="T4153" s="22" t="str">
        <f>IFERROR(__xludf.DUMMYFUNCTION("""COMPUTED_VALUE"""),"格納済み")</f>
        <v>格納済み</v>
      </c>
      <c r="U4153" s="9" t="str">
        <f>IFERROR(__xludf.DUMMYFUNCTION("""COMPUTED_VALUE"""),"（C）城之内寧々／オークラ出版 ミンティ")</f>
        <v>（C）城之内寧々／オークラ出版 ミンティ</v>
      </c>
      <c r="V4153" s="8"/>
      <c r="W4153" s="8"/>
      <c r="X4153" s="8" t="str">
        <f>IFERROR(__xludf.DUMMYFUNCTION("""COMPUTED_VALUE"""),"有")</f>
        <v>有</v>
      </c>
      <c r="Y4153" s="8" t="str">
        <f>IFERROR(__xludf.DUMMYFUNCTION("""COMPUTED_VALUE"""),"2025/12/11まで1巻無料")</f>
        <v>2025/12/11まで1巻無料</v>
      </c>
      <c r="Z4153" s="7"/>
      <c r="AA4153" s="7"/>
      <c r="AB4153" s="7"/>
    </row>
    <row r="4154" ht="15.75" customHeight="1">
      <c r="A4154" s="26">
        <f>IFERROR(__xludf.DUMMYFUNCTION("""COMPUTED_VALUE"""),6635.0)</f>
        <v>6635</v>
      </c>
      <c r="B4154" s="22" t="str">
        <f>IFERROR(__xludf.DUMMYFUNCTION("""COMPUTED_VALUE"""),"確定")</f>
        <v>確定</v>
      </c>
      <c r="C4154" s="28">
        <f>IFERROR(__xludf.DUMMYFUNCTION("""COMPUTED_VALUE"""),45940.0)</f>
        <v>45940</v>
      </c>
      <c r="D4154" s="28">
        <f>IFERROR(__xludf.DUMMYFUNCTION("""COMPUTED_VALUE"""),45959.0)</f>
        <v>45959</v>
      </c>
      <c r="E4154" s="26">
        <f>IFERROR(__xludf.DUMMYFUNCTION("""COMPUTED_VALUE"""),342722.0)</f>
        <v>342722</v>
      </c>
      <c r="F4154" s="22" t="str">
        <f>IFERROR(__xludf.DUMMYFUNCTION("""COMPUTED_VALUE"""),"狼とランドセル～S級採集家と転生娘のダンジョンご飯～【分冊版】")</f>
        <v>狼とランドセル～S級採集家と転生娘のダンジョンご飯～【分冊版】</v>
      </c>
      <c r="G4154" s="20" t="str">
        <f>IFERROR(__xludf.DUMMYFUNCTION("""COMPUTED_VALUE"""),"1～3")</f>
        <v>1～3</v>
      </c>
      <c r="H4154" s="22" t="str">
        <f>IFERROR(__xludf.DUMMYFUNCTION("""COMPUTED_VALUE"""),"原作：天那光汰 作画：海田ゆた")</f>
        <v>原作：天那光汰 作画：海田ゆた</v>
      </c>
      <c r="I4154" s="22" t="str">
        <f>IFERROR(__xludf.DUMMYFUNCTION("""COMPUTED_VALUE"""),"青年マンガ")</f>
        <v>青年マンガ</v>
      </c>
      <c r="J4154" s="22"/>
      <c r="K4154" s="22"/>
      <c r="L4154" s="22" t="str">
        <f>IFERROR(__xludf.DUMMYFUNCTION("""COMPUTED_VALUE"""),"マッグガーデン")</f>
        <v>マッグガーデン</v>
      </c>
      <c r="M4154" s="33">
        <f>IFERROR(__xludf.DUMMYFUNCTION("""COMPUTED_VALUE"""),45992.0)</f>
        <v>45992</v>
      </c>
      <c r="N4154" s="33">
        <f>IFERROR(__xludf.DUMMYFUNCTION("""COMPUTED_VALUE"""),46061.0)</f>
        <v>46061</v>
      </c>
      <c r="O4154" s="20"/>
      <c r="P4154" s="32" t="str">
        <f>IFERROR(__xludf.DUMMYFUNCTION("""COMPUTED_VALUE"""),"否")</f>
        <v>否</v>
      </c>
      <c r="Q4154" s="30" t="str">
        <f>IFERROR(__xludf.DUMMYFUNCTION("""COMPUTED_VALUE"""),"異世界転生ものの男性向け自社オリジナル作品です。&lt;BR&gt;『剣聖の称号を持つ料理人』の原作・漫画コンビの新作です。&lt;BR&gt;前作は御社でも男性ものとしてはそれなりに好調作でした。&lt;BR&gt;")</f>
        <v>異世界転生ものの男性向け自社オリジナル作品です。&lt;BR&gt;『剣聖の称号を持つ料理人』の原作・漫画コンビの新作です。&lt;BR&gt;前作は御社でも男性ものとしてはそれなりに好調作でした。&lt;BR&gt;</v>
      </c>
      <c r="R4154" s="22" t="str">
        <f>IFERROR(__xludf.DUMMYFUNCTION("""COMPUTED_VALUE"""),"コミットOK")</f>
        <v>コミットOK</v>
      </c>
      <c r="S4154" s="22" t="str">
        <f>IFERROR(__xludf.DUMMYFUNCTION("""COMPUTED_VALUE"""),"20251029_マッグガーデン_狼とランドセル～S級採集家と転生娘のダンジョンご飯～①")</f>
        <v>20251029_マッグガーデン_狼とランドセル～S級採集家と転生娘のダンジョンご飯～①</v>
      </c>
      <c r="T4154" s="22" t="str">
        <f>IFERROR(__xludf.DUMMYFUNCTION("""COMPUTED_VALUE"""),"格納済み")</f>
        <v>格納済み</v>
      </c>
      <c r="U4154" s="9" t="str">
        <f>IFERROR(__xludf.DUMMYFUNCTION("""COMPUTED_VALUE"""),"(C)Kouta Amana (C)Umita Yuta/MAG Garden")</f>
        <v>(C)Kouta Amana (C)Umita Yuta/MAG Garden</v>
      </c>
      <c r="V4154" s="8"/>
      <c r="W4154" s="8"/>
      <c r="X4154" s="8" t="str">
        <f>IFERROR(__xludf.DUMMYFUNCTION("""COMPUTED_VALUE"""),"有")</f>
        <v>有</v>
      </c>
      <c r="Y4154" s="8" t="str">
        <f>IFERROR(__xludf.DUMMYFUNCTION("""COMPUTED_VALUE"""),"2026/2/8まで1巻無料")</f>
        <v>2026/2/8まで1巻無料</v>
      </c>
      <c r="Z4154" s="7"/>
      <c r="AA4154" s="7"/>
      <c r="AB4154" s="7"/>
    </row>
    <row r="4155" ht="15.75" customHeight="1">
      <c r="A4155" s="26">
        <f>IFERROR(__xludf.DUMMYFUNCTION("""COMPUTED_VALUE"""),6646.0)</f>
        <v>6646</v>
      </c>
      <c r="B4155" s="22" t="str">
        <f>IFERROR(__xludf.DUMMYFUNCTION("""COMPUTED_VALUE"""),"確定")</f>
        <v>確定</v>
      </c>
      <c r="C4155" s="28">
        <f>IFERROR(__xludf.DUMMYFUNCTION("""COMPUTED_VALUE"""),45944.0)</f>
        <v>45944</v>
      </c>
      <c r="D4155" s="28">
        <f>IFERROR(__xludf.DUMMYFUNCTION("""COMPUTED_VALUE"""),45959.0)</f>
        <v>45959</v>
      </c>
      <c r="E4155" s="26">
        <f>IFERROR(__xludf.DUMMYFUNCTION("""COMPUTED_VALUE"""),316038.0)</f>
        <v>316038</v>
      </c>
      <c r="F4155" s="22" t="str">
        <f>IFERROR(__xludf.DUMMYFUNCTION("""COMPUTED_VALUE"""),"夢見がちな人魚は粗暴な海賊の腕の中(フルカラー)")</f>
        <v>夢見がちな人魚は粗暴な海賊の腕の中(フルカラー)</v>
      </c>
      <c r="G4155" s="20" t="str">
        <f>IFERROR(__xludf.DUMMYFUNCTION("""COMPUTED_VALUE"""),"1～4")</f>
        <v>1～4</v>
      </c>
      <c r="H4155" s="22" t="str">
        <f>IFERROR(__xludf.DUMMYFUNCTION("""COMPUTED_VALUE"""),"KILLER")</f>
        <v>KILLER</v>
      </c>
      <c r="I4155" s="22" t="str">
        <f>IFERROR(__xludf.DUMMYFUNCTION("""COMPUTED_VALUE"""),"女性マンガ")</f>
        <v>女性マンガ</v>
      </c>
      <c r="J4155" s="22"/>
      <c r="K4155" s="22" t="str">
        <f>IFERROR(__xludf.DUMMYFUNCTION("""COMPUTED_VALUE"""),"リア×ロマ,スキして?桃色日記")</f>
        <v>リア×ロマ,スキして?桃色日記</v>
      </c>
      <c r="L4155" s="22" t="str">
        <f>IFERROR(__xludf.DUMMYFUNCTION("""COMPUTED_VALUE"""),"シーモアコミックス")</f>
        <v>シーモアコミックス</v>
      </c>
      <c r="M4155" s="33">
        <f>IFERROR(__xludf.DUMMYFUNCTION("""COMPUTED_VALUE"""),45983.0)</f>
        <v>45983</v>
      </c>
      <c r="N4155" s="33">
        <f>IFERROR(__xludf.DUMMYFUNCTION("""COMPUTED_VALUE"""),46072.0)</f>
        <v>46072</v>
      </c>
      <c r="O4155" s="20"/>
      <c r="P4155" s="32" t="str">
        <f>IFERROR(__xludf.DUMMYFUNCTION("""COMPUTED_VALUE"""),"可")</f>
        <v>可</v>
      </c>
      <c r="Q4155" s="30" t="str">
        <f>IFERROR(__xludf.DUMMYFUNCTION("""COMPUTED_VALUE"""),"シーモアロゴ無し対応")</f>
        <v>シーモアロゴ無し対応</v>
      </c>
      <c r="R4155" s="22"/>
      <c r="S4155" s="22" t="str">
        <f>IFERROR(__xludf.DUMMYFUNCTION("""COMPUTED_VALUE"""),"20251014_シーモアコミックス_夢見がちな人魚は粗暴な海賊の腕の中（フルカラー）")</f>
        <v>20251014_シーモアコミックス_夢見がちな人魚は粗暴な海賊の腕の中（フルカラー）</v>
      </c>
      <c r="T4155" s="22" t="str">
        <f>IFERROR(__xludf.DUMMYFUNCTION("""COMPUTED_VALUE"""),"格納済み")</f>
        <v>格納済み</v>
      </c>
      <c r="U4155" s="9" t="str">
        <f>IFERROR(__xludf.DUMMYFUNCTION("""COMPUTED_VALUE"""),"(C) KILLER/ミスターブルー/シーモアコミックス")</f>
        <v>(C) KILLER/ミスターブルー/シーモアコミックス</v>
      </c>
      <c r="V4155" s="8"/>
      <c r="W4155" s="8"/>
      <c r="X4155" s="8" t="str">
        <f>IFERROR(__xludf.DUMMYFUNCTION("""COMPUTED_VALUE"""),"有")</f>
        <v>有</v>
      </c>
      <c r="Y4155" s="8" t="str">
        <f>IFERROR(__xludf.DUMMYFUNCTION("""COMPUTED_VALUE"""),"2025/12/26まで1巻無料")</f>
        <v>2025/12/26まで1巻無料</v>
      </c>
      <c r="Z4155" s="7"/>
      <c r="AA4155" s="7"/>
      <c r="AB4155" s="7"/>
    </row>
    <row r="4156" ht="15.75" customHeight="1">
      <c r="A4156" s="26">
        <f>IFERROR(__xludf.DUMMYFUNCTION("""COMPUTED_VALUE"""),6647.0)</f>
        <v>6647</v>
      </c>
      <c r="B4156" s="22" t="str">
        <f>IFERROR(__xludf.DUMMYFUNCTION("""COMPUTED_VALUE"""),"確定")</f>
        <v>確定</v>
      </c>
      <c r="C4156" s="28">
        <f>IFERROR(__xludf.DUMMYFUNCTION("""COMPUTED_VALUE"""),45944.0)</f>
        <v>45944</v>
      </c>
      <c r="D4156" s="28">
        <f>IFERROR(__xludf.DUMMYFUNCTION("""COMPUTED_VALUE"""),45959.0)</f>
        <v>45959</v>
      </c>
      <c r="E4156" s="26">
        <f>IFERROR(__xludf.DUMMYFUNCTION("""COMPUTED_VALUE"""),316039.0)</f>
        <v>316039</v>
      </c>
      <c r="F4156" s="22" t="str">
        <f>IFERROR(__xludf.DUMMYFUNCTION("""COMPUTED_VALUE"""),"夢見がちな人魚は粗暴な海賊の腕の中【タテヨミ】")</f>
        <v>夢見がちな人魚は粗暴な海賊の腕の中【タテヨミ】</v>
      </c>
      <c r="G4156" s="20" t="str">
        <f>IFERROR(__xludf.DUMMYFUNCTION("""COMPUTED_VALUE"""),"1～12")</f>
        <v>1～12</v>
      </c>
      <c r="H4156" s="22" t="str">
        <f>IFERROR(__xludf.DUMMYFUNCTION("""COMPUTED_VALUE"""),"KILLER")</f>
        <v>KILLER</v>
      </c>
      <c r="I4156" s="22" t="str">
        <f>IFERROR(__xludf.DUMMYFUNCTION("""COMPUTED_VALUE"""),"女性マンガ")</f>
        <v>女性マンガ</v>
      </c>
      <c r="J4156" s="22"/>
      <c r="K4156" s="22" t="str">
        <f>IFERROR(__xludf.DUMMYFUNCTION("""COMPUTED_VALUE"""),"リア×ロマ,スキして?桃色日記")</f>
        <v>リア×ロマ,スキして?桃色日記</v>
      </c>
      <c r="L4156" s="22" t="str">
        <f>IFERROR(__xludf.DUMMYFUNCTION("""COMPUTED_VALUE"""),"シーモアコミックス")</f>
        <v>シーモアコミックス</v>
      </c>
      <c r="M4156" s="33">
        <f>IFERROR(__xludf.DUMMYFUNCTION("""COMPUTED_VALUE"""),45983.0)</f>
        <v>45983</v>
      </c>
      <c r="N4156" s="33">
        <f>IFERROR(__xludf.DUMMYFUNCTION("""COMPUTED_VALUE"""),46072.0)</f>
        <v>46072</v>
      </c>
      <c r="O4156" s="20"/>
      <c r="P4156" s="32" t="str">
        <f>IFERROR(__xludf.DUMMYFUNCTION("""COMPUTED_VALUE"""),"可")</f>
        <v>可</v>
      </c>
      <c r="Q4156" s="30" t="str">
        <f>IFERROR(__xludf.DUMMYFUNCTION("""COMPUTED_VALUE"""),"※シーモアロゴ無し対応&lt;BR&gt;※コマサム等素材は「316038　夢見がちな人魚は粗暴な海賊の腕の中(フルカラー)」の方をお使いください。バナー制作はフルカラー版の素材を利用して問題ございません。&lt;BR&gt;")</f>
        <v>※シーモアロゴ無し対応&lt;BR&gt;※コマサム等素材は「316038　夢見がちな人魚は粗暴な海賊の腕の中(フルカラー)」の方をお使いください。バナー制作はフルカラー版の素材を利用して問題ございません。&lt;BR&gt;</v>
      </c>
      <c r="R4156" s="22"/>
      <c r="S4156" s="22" t="str">
        <f>IFERROR(__xludf.DUMMYFUNCTION("""COMPUTED_VALUE"""),"20251014_シーモアコミックス_夢見がちな人魚は粗暴な海賊の腕の中【タテヨミ】")</f>
        <v>20251014_シーモアコミックス_夢見がちな人魚は粗暴な海賊の腕の中【タテヨミ】</v>
      </c>
      <c r="T4156" s="22" t="str">
        <f>IFERROR(__xludf.DUMMYFUNCTION("""COMPUTED_VALUE"""),"格納済み")</f>
        <v>格納済み</v>
      </c>
      <c r="U4156" s="9" t="str">
        <f>IFERROR(__xludf.DUMMYFUNCTION("""COMPUTED_VALUE"""),"(C) KILLER/ミスターブルー/シーモアコミックス")</f>
        <v>(C) KILLER/ミスターブルー/シーモアコミックス</v>
      </c>
      <c r="V4156" s="8"/>
      <c r="W4156" s="8"/>
      <c r="X4156" s="8" t="str">
        <f>IFERROR(__xludf.DUMMYFUNCTION("""COMPUTED_VALUE"""),"有")</f>
        <v>有</v>
      </c>
      <c r="Y4156" s="8" t="str">
        <f>IFERROR(__xludf.DUMMYFUNCTION("""COMPUTED_VALUE"""),"2025/12/26まで1~3巻無料")</f>
        <v>2025/12/26まで1~3巻無料</v>
      </c>
      <c r="Z4156" s="7"/>
      <c r="AA4156" s="7"/>
      <c r="AB4156" s="7"/>
    </row>
    <row r="4157" ht="15.75" customHeight="1">
      <c r="A4157" s="26">
        <f>IFERROR(__xludf.DUMMYFUNCTION("""COMPUTED_VALUE"""),6648.0)</f>
        <v>6648</v>
      </c>
      <c r="B4157" s="22" t="str">
        <f>IFERROR(__xludf.DUMMYFUNCTION("""COMPUTED_VALUE"""),"確定")</f>
        <v>確定</v>
      </c>
      <c r="C4157" s="28">
        <f>IFERROR(__xludf.DUMMYFUNCTION("""COMPUTED_VALUE"""),45944.0)</f>
        <v>45944</v>
      </c>
      <c r="D4157" s="28">
        <f>IFERROR(__xludf.DUMMYFUNCTION("""COMPUTED_VALUE"""),45957.0)</f>
        <v>45957</v>
      </c>
      <c r="E4157" s="26">
        <f>IFERROR(__xludf.DUMMYFUNCTION("""COMPUTED_VALUE"""),320554.0)</f>
        <v>320554</v>
      </c>
      <c r="F4157" s="22" t="str">
        <f>IFERROR(__xludf.DUMMYFUNCTION("""COMPUTED_VALUE"""),"あなたとは絶対に")</f>
        <v>あなたとは絶対に</v>
      </c>
      <c r="G4157" s="20" t="str">
        <f>IFERROR(__xludf.DUMMYFUNCTION("""COMPUTED_VALUE"""),"1～4")</f>
        <v>1～4</v>
      </c>
      <c r="H4157" s="22" t="str">
        <f>IFERROR(__xludf.DUMMYFUNCTION("""COMPUTED_VALUE"""),"カナエサト")</f>
        <v>カナエサト</v>
      </c>
      <c r="I4157" s="22" t="str">
        <f>IFERROR(__xludf.DUMMYFUNCTION("""COMPUTED_VALUE"""),"女性マンガ")</f>
        <v>女性マンガ</v>
      </c>
      <c r="J4157" s="22"/>
      <c r="K4157" s="22" t="str">
        <f>IFERROR(__xludf.DUMMYFUNCTION("""COMPUTED_VALUE"""),"恋するソワレ")</f>
        <v>恋するソワレ</v>
      </c>
      <c r="L4157" s="22" t="str">
        <f>IFERROR(__xludf.DUMMYFUNCTION("""COMPUTED_VALUE"""),"シーモアコミックス")</f>
        <v>シーモアコミックス</v>
      </c>
      <c r="M4157" s="33">
        <f>IFERROR(__xludf.DUMMYFUNCTION("""COMPUTED_VALUE"""),45983.0)</f>
        <v>45983</v>
      </c>
      <c r="N4157" s="33">
        <f>IFERROR(__xludf.DUMMYFUNCTION("""COMPUTED_VALUE"""),46135.66666666667)</f>
        <v>46135.66667</v>
      </c>
      <c r="O4157" s="20"/>
      <c r="P4157" s="32" t="str">
        <f>IFERROR(__xludf.DUMMYFUNCTION("""COMPUTED_VALUE"""),"可")</f>
        <v>可</v>
      </c>
      <c r="Q4157" s="30" t="str">
        <f>IFERROR(__xludf.DUMMYFUNCTION("""COMPUTED_VALUE"""),"素材フォルダ内に推しシーンの資料も格納しておりますが&lt;BR&gt;あくまでもご参考としてご覧いただきますようお願い申し上げます。")</f>
        <v>素材フォルダ内に推しシーンの資料も格納しておりますが&lt;BR&gt;あくまでもご参考としてご覧いただきますようお願い申し上げます。</v>
      </c>
      <c r="R4157" s="22"/>
      <c r="S4157" s="22" t="str">
        <f>IFERROR(__xludf.DUMMYFUNCTION("""COMPUTED_VALUE"""),"20251014_シーモアコミックス_あなたとは絶対に")</f>
        <v>20251014_シーモアコミックス_あなたとは絶対に</v>
      </c>
      <c r="T4157" s="22" t="str">
        <f>IFERROR(__xludf.DUMMYFUNCTION("""COMPUTED_VALUE"""),"格納済み")</f>
        <v>格納済み</v>
      </c>
      <c r="U4157" s="9" t="str">
        <f>IFERROR(__xludf.DUMMYFUNCTION("""COMPUTED_VALUE"""),"(C) カナエサト/シーモアコミックス")</f>
        <v>(C) カナエサト/シーモアコミックス</v>
      </c>
      <c r="V4157" s="8"/>
      <c r="W4157" s="8"/>
      <c r="X4157" s="8" t="str">
        <f>IFERROR(__xludf.DUMMYFUNCTION("""COMPUTED_VALUE"""),"有")</f>
        <v>有</v>
      </c>
      <c r="Y4157" s="8" t="str">
        <f>IFERROR(__xludf.DUMMYFUNCTION("""COMPUTED_VALUE"""),"2025/12/26まで1巻無料")</f>
        <v>2025/12/26まで1巻無料</v>
      </c>
      <c r="Z4157" s="7"/>
      <c r="AA4157" s="7"/>
      <c r="AB4157" s="7"/>
    </row>
    <row r="4158" ht="15.75" customHeight="1">
      <c r="A4158" s="26">
        <f>IFERROR(__xludf.DUMMYFUNCTION("""COMPUTED_VALUE"""),6649.0)</f>
        <v>6649</v>
      </c>
      <c r="B4158" s="22" t="str">
        <f>IFERROR(__xludf.DUMMYFUNCTION("""COMPUTED_VALUE"""),"確定")</f>
        <v>確定</v>
      </c>
      <c r="C4158" s="28">
        <f>IFERROR(__xludf.DUMMYFUNCTION("""COMPUTED_VALUE"""),45944.0)</f>
        <v>45944</v>
      </c>
      <c r="D4158" s="28">
        <f>IFERROR(__xludf.DUMMYFUNCTION("""COMPUTED_VALUE"""),45959.0)</f>
        <v>45959</v>
      </c>
      <c r="E4158" s="26">
        <f>IFERROR(__xludf.DUMMYFUNCTION("""COMPUTED_VALUE"""),337786.0)</f>
        <v>337786</v>
      </c>
      <c r="F4158" s="22" t="str">
        <f>IFERROR(__xludf.DUMMYFUNCTION("""COMPUTED_VALUE"""),"日替わり彼女(フルカラー)")</f>
        <v>日替わり彼女(フルカラー)</v>
      </c>
      <c r="G4158" s="20" t="str">
        <f>IFERROR(__xludf.DUMMYFUNCTION("""COMPUTED_VALUE"""),"1～3")</f>
        <v>1～3</v>
      </c>
      <c r="H4158" s="22" t="str">
        <f>IFERROR(__xludf.DUMMYFUNCTION("""COMPUTED_VALUE"""),"ルゥ,赤い空")</f>
        <v>ルゥ,赤い空</v>
      </c>
      <c r="I4158" s="22" t="str">
        <f>IFERROR(__xludf.DUMMYFUNCTION("""COMPUTED_VALUE"""),"青年マンガ")</f>
        <v>青年マンガ</v>
      </c>
      <c r="J4158" s="22"/>
      <c r="K4158" s="22" t="str">
        <f>IFERROR(__xludf.DUMMYFUNCTION("""COMPUTED_VALUE"""),"桃色エンジェル")</f>
        <v>桃色エンジェル</v>
      </c>
      <c r="L4158" s="22" t="str">
        <f>IFERROR(__xludf.DUMMYFUNCTION("""COMPUTED_VALUE"""),"シーモアコミックス")</f>
        <v>シーモアコミックス</v>
      </c>
      <c r="M4158" s="33">
        <f>IFERROR(__xludf.DUMMYFUNCTION("""COMPUTED_VALUE"""),45983.0)</f>
        <v>45983</v>
      </c>
      <c r="N4158" s="33">
        <f>IFERROR(__xludf.DUMMYFUNCTION("""COMPUTED_VALUE"""),46135.66666666667)</f>
        <v>46135.66667</v>
      </c>
      <c r="O4158" s="20"/>
      <c r="P4158" s="32" t="str">
        <f>IFERROR(__xludf.DUMMYFUNCTION("""COMPUTED_VALUE"""),"可")</f>
        <v>可</v>
      </c>
      <c r="Q4158" s="30" t="str">
        <f>IFERROR(__xludf.DUMMYFUNCTION("""COMPUTED_VALUE"""),"【アダルト作品扱い】")</f>
        <v>【アダルト作品扱い】</v>
      </c>
      <c r="R4158" s="22"/>
      <c r="S4158" s="22" t="str">
        <f>IFERROR(__xludf.DUMMYFUNCTION("""COMPUTED_VALUE"""),"20251014_シーモアコミックス_日替わり彼女（フルカラー）")</f>
        <v>20251014_シーモアコミックス_日替わり彼女（フルカラー）</v>
      </c>
      <c r="T4158" s="22" t="str">
        <f>IFERROR(__xludf.DUMMYFUNCTION("""COMPUTED_VALUE"""),"格納済み")</f>
        <v>格納済み</v>
      </c>
      <c r="U4158" s="9" t="str">
        <f>IFERROR(__xludf.DUMMYFUNCTION("""COMPUTED_VALUE"""),"(C) ルゥ/赤い空/ARCHIWOOL/MIZURE/シーモアコミックス")</f>
        <v>(C) ルゥ/赤い空/ARCHIWOOL/MIZURE/シーモアコミックス</v>
      </c>
      <c r="V4158" s="8"/>
      <c r="W4158" s="8"/>
      <c r="X4158" s="8" t="str">
        <f>IFERROR(__xludf.DUMMYFUNCTION("""COMPUTED_VALUE"""),"有")</f>
        <v>有</v>
      </c>
      <c r="Y4158" s="8" t="str">
        <f>IFERROR(__xludf.DUMMYFUNCTION("""COMPUTED_VALUE"""),"2025/12/26まで1巻無料")</f>
        <v>2025/12/26まで1巻無料</v>
      </c>
      <c r="Z4158" s="7"/>
      <c r="AA4158" s="7"/>
      <c r="AB4158" s="7"/>
    </row>
    <row r="4159" ht="15.75" customHeight="1">
      <c r="A4159" s="26">
        <f>IFERROR(__xludf.DUMMYFUNCTION("""COMPUTED_VALUE"""),6650.0)</f>
        <v>6650</v>
      </c>
      <c r="B4159" s="22" t="str">
        <f>IFERROR(__xludf.DUMMYFUNCTION("""COMPUTED_VALUE"""),"確定")</f>
        <v>確定</v>
      </c>
      <c r="C4159" s="28">
        <f>IFERROR(__xludf.DUMMYFUNCTION("""COMPUTED_VALUE"""),45944.0)</f>
        <v>45944</v>
      </c>
      <c r="D4159" s="28">
        <f>IFERROR(__xludf.DUMMYFUNCTION("""COMPUTED_VALUE"""),45959.0)</f>
        <v>45959</v>
      </c>
      <c r="E4159" s="26">
        <f>IFERROR(__xludf.DUMMYFUNCTION("""COMPUTED_VALUE"""),337787.0)</f>
        <v>337787</v>
      </c>
      <c r="F4159" s="22" t="str">
        <f>IFERROR(__xludf.DUMMYFUNCTION("""COMPUTED_VALUE"""),"日替わり彼女【タテヨミ】")</f>
        <v>日替わり彼女【タテヨミ】</v>
      </c>
      <c r="G4159" s="20" t="str">
        <f>IFERROR(__xludf.DUMMYFUNCTION("""COMPUTED_VALUE"""),"1～6")</f>
        <v>1～6</v>
      </c>
      <c r="H4159" s="22" t="str">
        <f>IFERROR(__xludf.DUMMYFUNCTION("""COMPUTED_VALUE"""),"ルゥ,赤い空")</f>
        <v>ルゥ,赤い空</v>
      </c>
      <c r="I4159" s="22" t="str">
        <f>IFERROR(__xludf.DUMMYFUNCTION("""COMPUTED_VALUE"""),"青年マンガ")</f>
        <v>青年マンガ</v>
      </c>
      <c r="J4159" s="22"/>
      <c r="K4159" s="22" t="str">
        <f>IFERROR(__xludf.DUMMYFUNCTION("""COMPUTED_VALUE"""),"桃色エンジェル")</f>
        <v>桃色エンジェル</v>
      </c>
      <c r="L4159" s="22" t="str">
        <f>IFERROR(__xludf.DUMMYFUNCTION("""COMPUTED_VALUE"""),"シーモアコミックス")</f>
        <v>シーモアコミックス</v>
      </c>
      <c r="M4159" s="33">
        <f>IFERROR(__xludf.DUMMYFUNCTION("""COMPUTED_VALUE"""),45983.0)</f>
        <v>45983</v>
      </c>
      <c r="N4159" s="33">
        <f>IFERROR(__xludf.DUMMYFUNCTION("""COMPUTED_VALUE"""),46135.66666666667)</f>
        <v>46135.66667</v>
      </c>
      <c r="O4159" s="20"/>
      <c r="P4159" s="32" t="str">
        <f>IFERROR(__xludf.DUMMYFUNCTION("""COMPUTED_VALUE"""),"可")</f>
        <v>可</v>
      </c>
      <c r="Q4159" s="30" t="str">
        <f>IFERROR(__xludf.DUMMYFUNCTION("""COMPUTED_VALUE"""),"【アダルト作品扱い】&lt;BR&gt;※コマサム等素材は「337786　日替わり彼女(フルカラー)」の方をお使いください。バナー制作はフルカラー版の素材を利用して問題ございません。&lt;BR&gt;")</f>
        <v>【アダルト作品扱い】&lt;BR&gt;※コマサム等素材は「337786　日替わり彼女(フルカラー)」の方をお使いください。バナー制作はフルカラー版の素材を利用して問題ございません。&lt;BR&gt;</v>
      </c>
      <c r="R4159" s="22"/>
      <c r="S4159" s="22" t="str">
        <f>IFERROR(__xludf.DUMMYFUNCTION("""COMPUTED_VALUE"""),"20251014_シーモアコミックス_日替わり彼女【タテヨミ】")</f>
        <v>20251014_シーモアコミックス_日替わり彼女【タテヨミ】</v>
      </c>
      <c r="T4159" s="22" t="str">
        <f>IFERROR(__xludf.DUMMYFUNCTION("""COMPUTED_VALUE"""),"格納済み")</f>
        <v>格納済み</v>
      </c>
      <c r="U4159" s="9" t="str">
        <f>IFERROR(__xludf.DUMMYFUNCTION("""COMPUTED_VALUE"""),"(C) ルゥ/赤い空/ARCHIWOOL/MIZURE/シーモアコミックス")</f>
        <v>(C) ルゥ/赤い空/ARCHIWOOL/MIZURE/シーモアコミックス</v>
      </c>
      <c r="V4159" s="8"/>
      <c r="W4159" s="8"/>
      <c r="X4159" s="8" t="str">
        <f>IFERROR(__xludf.DUMMYFUNCTION("""COMPUTED_VALUE"""),"有")</f>
        <v>有</v>
      </c>
      <c r="Y4159" s="8" t="str">
        <f>IFERROR(__xludf.DUMMYFUNCTION("""COMPUTED_VALUE"""),"2025/12/26まで1~2巻無料")</f>
        <v>2025/12/26まで1~2巻無料</v>
      </c>
      <c r="Z4159" s="7"/>
      <c r="AA4159" s="7"/>
      <c r="AB4159" s="7"/>
    </row>
    <row r="4160" ht="15.75" customHeight="1">
      <c r="A4160" s="26">
        <f>IFERROR(__xludf.DUMMYFUNCTION("""COMPUTED_VALUE"""),6651.0)</f>
        <v>6651</v>
      </c>
      <c r="B4160" s="22" t="str">
        <f>IFERROR(__xludf.DUMMYFUNCTION("""COMPUTED_VALUE"""),"確定")</f>
        <v>確定</v>
      </c>
      <c r="C4160" s="28">
        <f>IFERROR(__xludf.DUMMYFUNCTION("""COMPUTED_VALUE"""),45944.0)</f>
        <v>45944</v>
      </c>
      <c r="D4160" s="28">
        <f>IFERROR(__xludf.DUMMYFUNCTION("""COMPUTED_VALUE"""),45959.0)</f>
        <v>45959</v>
      </c>
      <c r="E4160" s="26">
        <f>IFERROR(__xludf.DUMMYFUNCTION("""COMPUTED_VALUE"""),332986.0)</f>
        <v>332986</v>
      </c>
      <c r="F4160" s="22" t="str">
        <f>IFERROR(__xludf.DUMMYFUNCTION("""COMPUTED_VALUE"""),"ハルのヒーロー")</f>
        <v>ハルのヒーロー</v>
      </c>
      <c r="G4160" s="20">
        <f>IFERROR(__xludf.DUMMYFUNCTION("""COMPUTED_VALUE"""),1.0)</f>
        <v>1</v>
      </c>
      <c r="H4160" s="22" t="str">
        <f>IFERROR(__xludf.DUMMYFUNCTION("""COMPUTED_VALUE"""),"卯汐かなた")</f>
        <v>卯汐かなた</v>
      </c>
      <c r="I4160" s="22" t="str">
        <f>IFERROR(__xludf.DUMMYFUNCTION("""COMPUTED_VALUE"""),"BLマンガ")</f>
        <v>BLマンガ</v>
      </c>
      <c r="J4160" s="22"/>
      <c r="K4160" s="22" t="str">
        <f>IFERROR(__xludf.DUMMYFUNCTION("""COMPUTED_VALUE"""),"Ficus")</f>
        <v>Ficus</v>
      </c>
      <c r="L4160" s="22" t="str">
        <f>IFERROR(__xludf.DUMMYFUNCTION("""COMPUTED_VALUE"""),"シーモアコミックス")</f>
        <v>シーモアコミックス</v>
      </c>
      <c r="M4160" s="33">
        <f>IFERROR(__xludf.DUMMYFUNCTION("""COMPUTED_VALUE"""),45983.0)</f>
        <v>45983</v>
      </c>
      <c r="N4160" s="33">
        <f>IFERROR(__xludf.DUMMYFUNCTION("""COMPUTED_VALUE"""),46072.0)</f>
        <v>46072</v>
      </c>
      <c r="O4160" s="20"/>
      <c r="P4160" s="32" t="str">
        <f>IFERROR(__xludf.DUMMYFUNCTION("""COMPUTED_VALUE"""),"可")</f>
        <v>可</v>
      </c>
      <c r="Q4160" s="30"/>
      <c r="R4160" s="22"/>
      <c r="S4160" s="22" t="str">
        <f>IFERROR(__xludf.DUMMYFUNCTION("""COMPUTED_VALUE"""),"20251014_シーモアコミックス_ハルのヒーロー")</f>
        <v>20251014_シーモアコミックス_ハルのヒーロー</v>
      </c>
      <c r="T4160" s="22" t="str">
        <f>IFERROR(__xludf.DUMMYFUNCTION("""COMPUTED_VALUE"""),"格納済み")</f>
        <v>格納済み</v>
      </c>
      <c r="U4160" s="9" t="str">
        <f>IFERROR(__xludf.DUMMYFUNCTION("""COMPUTED_VALUE"""),"(C) 卯汐かなた/シーモアコミックス")</f>
        <v>(C) 卯汐かなた/シーモアコミックス</v>
      </c>
      <c r="V4160" s="8"/>
      <c r="W4160" s="8"/>
      <c r="X4160" s="8" t="str">
        <f>IFERROR(__xludf.DUMMYFUNCTION("""COMPUTED_VALUE"""),"有")</f>
        <v>有</v>
      </c>
      <c r="Y4160" s="8" t="str">
        <f>IFERROR(__xludf.DUMMYFUNCTION("""COMPUTED_VALUE"""),"P15まで")</f>
        <v>P15まで</v>
      </c>
      <c r="Z4160" s="7"/>
      <c r="AA4160" s="7"/>
      <c r="AB4160" s="7"/>
    </row>
    <row r="4161" ht="15.75" customHeight="1">
      <c r="A4161" s="26">
        <f>IFERROR(__xludf.DUMMYFUNCTION("""COMPUTED_VALUE"""),6722.0)</f>
        <v>6722</v>
      </c>
      <c r="B4161" s="22" t="str">
        <f>IFERROR(__xludf.DUMMYFUNCTION("""COMPUTED_VALUE"""),"確定")</f>
        <v>確定</v>
      </c>
      <c r="C4161" s="28">
        <f>IFERROR(__xludf.DUMMYFUNCTION("""COMPUTED_VALUE"""),45953.0)</f>
        <v>45953</v>
      </c>
      <c r="D4161" s="28">
        <f>IFERROR(__xludf.DUMMYFUNCTION("""COMPUTED_VALUE"""),45958.0)</f>
        <v>45958</v>
      </c>
      <c r="E4161" s="26">
        <f>IFERROR(__xludf.DUMMYFUNCTION("""COMPUTED_VALUE"""),333862.0)</f>
        <v>333862</v>
      </c>
      <c r="F4161" s="22" t="str">
        <f>IFERROR(__xludf.DUMMYFUNCTION("""COMPUTED_VALUE"""),"【単話】旦那様、ビジネスライクに行きましょう！ ～下町令嬢の華麗なる身代わりウェディング～")</f>
        <v>【単話】旦那様、ビジネスライクに行きましょう！ ～下町令嬢の華麗なる身代わりウェディング～</v>
      </c>
      <c r="G4161" s="20" t="str">
        <f>IFERROR(__xludf.DUMMYFUNCTION("""COMPUTED_VALUE"""),"1～6")</f>
        <v>1～6</v>
      </c>
      <c r="H4161" s="22" t="str">
        <f>IFERROR(__xludf.DUMMYFUNCTION("""COMPUTED_VALUE"""),"漫画：ぴらにあ。／原作：時枝　小鳩／キャラクター原案：月戸")</f>
        <v>漫画：ぴらにあ。／原作：時枝　小鳩／キャラクター原案：月戸</v>
      </c>
      <c r="I4161" s="22" t="str">
        <f>IFERROR(__xludf.DUMMYFUNCTION("""COMPUTED_VALUE"""),"少女")</f>
        <v>少女</v>
      </c>
      <c r="J4161" s="22"/>
      <c r="K4161" s="22"/>
      <c r="L4161" s="22" t="str">
        <f>IFERROR(__xludf.DUMMYFUNCTION("""COMPUTED_VALUE"""),"KADOKAWA")</f>
        <v>KADOKAWA</v>
      </c>
      <c r="M4161" s="33">
        <f>IFERROR(__xludf.DUMMYFUNCTION("""COMPUTED_VALUE"""),45978.0)</f>
        <v>45978</v>
      </c>
      <c r="N4161" s="33">
        <f>IFERROR(__xludf.DUMMYFUNCTION("""COMPUTED_VALUE"""),46157.0)</f>
        <v>46157</v>
      </c>
      <c r="O4161" s="20"/>
      <c r="P4161" s="32" t="str">
        <f>IFERROR(__xludf.DUMMYFUNCTION("""COMPUTED_VALUE"""),"否")</f>
        <v>否</v>
      </c>
      <c r="Q4161" s="30" t="str">
        <f>IFERROR(__xludf.DUMMYFUNCTION("""COMPUTED_VALUE"""),"▼配信スケジュール予定&lt;BR&gt;11/17　1-6話配信&lt;BR&gt;12/5　7話配信&lt;BR&gt;12/17　8話配信")</f>
        <v>▼配信スケジュール予定&lt;BR&gt;11/17　1-6話配信&lt;BR&gt;12/5　7話配信&lt;BR&gt;12/17　8話配信</v>
      </c>
      <c r="R4161" s="22"/>
      <c r="S4161" s="22" t="str">
        <f>IFERROR(__xludf.DUMMYFUNCTION("""COMPUTED_VALUE"""),"20251022_旦那様、ビジネスライクにいきましょう_KAODKAWA(協業作品)")</f>
        <v>20251022_旦那様、ビジネスライクにいきましょう_KAODKAWA(協業作品)</v>
      </c>
      <c r="T4161" s="22" t="str">
        <f>IFERROR(__xludf.DUMMYFUNCTION("""COMPUTED_VALUE"""),"格納済み")</f>
        <v>格納済み</v>
      </c>
      <c r="U4161" s="9" t="str">
        <f>IFERROR(__xludf.DUMMYFUNCTION("""COMPUTED_VALUE"""),"(C)Piranha. (C)Kobato Tokieda (C)Tsukito")</f>
        <v>(C)Piranha. (C)Kobato Tokieda (C)Tsukito</v>
      </c>
      <c r="V4161" s="8"/>
      <c r="W4161" s="8"/>
      <c r="X4161" s="8" t="str">
        <f>IFERROR(__xludf.DUMMYFUNCTION("""COMPUTED_VALUE"""),"有")</f>
        <v>有</v>
      </c>
      <c r="Y4161" s="8" t="str">
        <f>IFERROR(__xludf.DUMMYFUNCTION("""COMPUTED_VALUE"""),"2025/12/16まで1~3巻無料")</f>
        <v>2025/12/16まで1~3巻無料</v>
      </c>
      <c r="Z4161" s="7"/>
      <c r="AA4161" s="7"/>
      <c r="AB4161" s="7"/>
    </row>
    <row r="4162" ht="15.75" customHeight="1">
      <c r="A4162" s="26">
        <f>IFERROR(__xludf.DUMMYFUNCTION("""COMPUTED_VALUE"""),6724.0)</f>
        <v>6724</v>
      </c>
      <c r="B4162" s="22" t="str">
        <f>IFERROR(__xludf.DUMMYFUNCTION("""COMPUTED_VALUE"""),"確定")</f>
        <v>確定</v>
      </c>
      <c r="C4162" s="28">
        <f>IFERROR(__xludf.DUMMYFUNCTION("""COMPUTED_VALUE"""),45953.0)</f>
        <v>45953</v>
      </c>
      <c r="D4162" s="28">
        <f>IFERROR(__xludf.DUMMYFUNCTION("""COMPUTED_VALUE"""),45959.0)</f>
        <v>45959</v>
      </c>
      <c r="E4162" s="26">
        <f>IFERROR(__xludf.DUMMYFUNCTION("""COMPUTED_VALUE"""),343359.0)</f>
        <v>343359</v>
      </c>
      <c r="F4162" s="22" t="str">
        <f>IFERROR(__xludf.DUMMYFUNCTION("""COMPUTED_VALUE"""),"寝取らせ、ご検討ください")</f>
        <v>寝取らせ、ご検討ください</v>
      </c>
      <c r="G4162" s="20" t="str">
        <f>IFERROR(__xludf.DUMMYFUNCTION("""COMPUTED_VALUE"""),"1～2")</f>
        <v>1～2</v>
      </c>
      <c r="H4162" s="22" t="str">
        <f>IFERROR(__xludf.DUMMYFUNCTION("""COMPUTED_VALUE"""),"バッドエンドドリーマー")</f>
        <v>バッドエンドドリーマー</v>
      </c>
      <c r="I4162" s="22" t="str">
        <f>IFERROR(__xludf.DUMMYFUNCTION("""COMPUTED_VALUE"""),"アダルト")</f>
        <v>アダルト</v>
      </c>
      <c r="J4162" s="22"/>
      <c r="K4162" s="22"/>
      <c r="L4162" s="22" t="str">
        <f>IFERROR(__xludf.DUMMYFUNCTION("""COMPUTED_VALUE"""),"ナイトコミック")</f>
        <v>ナイトコミック</v>
      </c>
      <c r="M4162" s="33">
        <f>IFERROR(__xludf.DUMMYFUNCTION("""COMPUTED_VALUE"""),46003.0)</f>
        <v>46003</v>
      </c>
      <c r="N4162" s="33">
        <f>IFERROR(__xludf.DUMMYFUNCTION("""COMPUTED_VALUE"""),46065.0)</f>
        <v>46065</v>
      </c>
      <c r="O4162" s="20"/>
      <c r="P4162" s="32" t="str">
        <f>IFERROR(__xludf.DUMMYFUNCTION("""COMPUTED_VALUE"""),"可")</f>
        <v>可</v>
      </c>
      <c r="Q4162" s="30"/>
      <c r="R4162" s="22"/>
      <c r="S4162" s="22" t="str">
        <f>IFERROR(__xludf.DUMMYFUNCTION("""COMPUTED_VALUE"""),"20251023_ナイトコミック_寝取らせ、ご検討ください")</f>
        <v>20251023_ナイトコミック_寝取らせ、ご検討ください</v>
      </c>
      <c r="T4162" s="22" t="str">
        <f>IFERROR(__xludf.DUMMYFUNCTION("""COMPUTED_VALUE"""),"格納済み")</f>
        <v>格納済み</v>
      </c>
      <c r="U4162" s="9" t="str">
        <f>IFERROR(__xludf.DUMMYFUNCTION("""COMPUTED_VALUE"""),"Ⓒバッドエンドドリーマー")</f>
        <v>Ⓒバッドエンドドリーマー</v>
      </c>
      <c r="V4162" s="8"/>
      <c r="W4162" s="8"/>
      <c r="X4162" s="8" t="str">
        <f>IFERROR(__xludf.DUMMYFUNCTION("""COMPUTED_VALUE"""),"有")</f>
        <v>有</v>
      </c>
      <c r="Y4162" s="8" t="str">
        <f>IFERROR(__xludf.DUMMYFUNCTION("""COMPUTED_VALUE"""),"P8まで")</f>
        <v>P8まで</v>
      </c>
      <c r="Z4162" s="7"/>
      <c r="AA4162" s="7"/>
      <c r="AB4162" s="7"/>
    </row>
    <row r="4163" ht="15.75" customHeight="1">
      <c r="A4163" s="26">
        <f>IFERROR(__xludf.DUMMYFUNCTION("""COMPUTED_VALUE"""),6725.0)</f>
        <v>6725</v>
      </c>
      <c r="B4163" s="22" t="str">
        <f>IFERROR(__xludf.DUMMYFUNCTION("""COMPUTED_VALUE"""),"確定")</f>
        <v>確定</v>
      </c>
      <c r="C4163" s="28">
        <f>IFERROR(__xludf.DUMMYFUNCTION("""COMPUTED_VALUE"""),45953.0)</f>
        <v>45953</v>
      </c>
      <c r="D4163" s="28">
        <f>IFERROR(__xludf.DUMMYFUNCTION("""COMPUTED_VALUE"""),45957.0)</f>
        <v>45957</v>
      </c>
      <c r="E4163" s="26">
        <f>IFERROR(__xludf.DUMMYFUNCTION("""COMPUTED_VALUE"""),342519.0)</f>
        <v>342519</v>
      </c>
      <c r="F4163" s="22" t="str">
        <f>IFERROR(__xludf.DUMMYFUNCTION("""COMPUTED_VALUE"""),"吸血少女はハニーブラッドをご所望です")</f>
        <v>吸血少女はハニーブラッドをご所望です</v>
      </c>
      <c r="G4163" s="20" t="str">
        <f>IFERROR(__xludf.DUMMYFUNCTION("""COMPUTED_VALUE"""),"1～9")</f>
        <v>1～9</v>
      </c>
      <c r="H4163" s="22" t="str">
        <f>IFERROR(__xludf.DUMMYFUNCTION("""COMPUTED_VALUE"""),"漫画：雨宿りぃ 構成：砂糖ぱんみみ 原作：真辻春妃（エブリスタ）")</f>
        <v>漫画：雨宿りぃ 構成：砂糖ぱんみみ 原作：真辻春妃（エブリスタ）</v>
      </c>
      <c r="I4163" s="22" t="str">
        <f>IFERROR(__xludf.DUMMYFUNCTION("""COMPUTED_VALUE"""),"女性")</f>
        <v>女性</v>
      </c>
      <c r="J4163" s="22"/>
      <c r="K4163" s="22"/>
      <c r="L4163" s="22" t="str">
        <f>IFERROR(__xludf.DUMMYFUNCTION("""COMPUTED_VALUE"""),"集英社")</f>
        <v>集英社</v>
      </c>
      <c r="M4163" s="33">
        <f>IFERROR(__xludf.DUMMYFUNCTION("""COMPUTED_VALUE"""),45986.0)</f>
        <v>45986</v>
      </c>
      <c r="N4163" s="33">
        <f>IFERROR(__xludf.DUMMYFUNCTION("""COMPUTED_VALUE"""),46046.0)</f>
        <v>46046</v>
      </c>
      <c r="O4163" s="20"/>
      <c r="P4163" s="32" t="str">
        <f>IFERROR(__xludf.DUMMYFUNCTION("""COMPUTED_VALUE"""),"否")</f>
        <v>否</v>
      </c>
      <c r="Q4163" s="30" t="str">
        <f>IFERROR(__xludf.DUMMYFUNCTION("""COMPUTED_VALUE"""),"【アウトバウンド提案】")</f>
        <v>【アウトバウンド提案】</v>
      </c>
      <c r="R4163" s="22"/>
      <c r="S4163" s="22" t="str">
        <f>IFERROR(__xludf.DUMMYFUNCTION("""COMPUTED_VALUE"""),"20251027_集英社_吸血少女はハニーブラッドをご所望です")</f>
        <v>20251027_集英社_吸血少女はハニーブラッドをご所望です</v>
      </c>
      <c r="T4163" s="22" t="str">
        <f>IFERROR(__xludf.DUMMYFUNCTION("""COMPUTED_VALUE"""),"格納済み")</f>
        <v>格納済み</v>
      </c>
      <c r="U4163" s="9" t="str">
        <f>IFERROR(__xludf.DUMMYFUNCTION("""COMPUTED_VALUE"""),"(c)雨宿りぃ・砂糖ぱんみみ・真辻春妃（エブリスタ）／集英社")</f>
        <v>(c)雨宿りぃ・砂糖ぱんみみ・真辻春妃（エブリスタ）／集英社</v>
      </c>
      <c r="V4163" s="8"/>
      <c r="W4163" s="8"/>
      <c r="X4163" s="8" t="str">
        <f>IFERROR(__xludf.DUMMYFUNCTION("""COMPUTED_VALUE"""),"有")</f>
        <v>有</v>
      </c>
      <c r="Y4163" s="8" t="str">
        <f>IFERROR(__xludf.DUMMYFUNCTION("""COMPUTED_VALUE"""),"2025/12/24まで1~3巻無料")</f>
        <v>2025/12/24まで1~3巻無料</v>
      </c>
      <c r="Z4163" s="7"/>
      <c r="AA4163" s="7"/>
      <c r="AB4163" s="7"/>
    </row>
    <row r="4164" ht="15.75" customHeight="1">
      <c r="A4164" s="26">
        <f>IFERROR(__xludf.DUMMYFUNCTION("""COMPUTED_VALUE"""),6729.0)</f>
        <v>6729</v>
      </c>
      <c r="B4164" s="22" t="str">
        <f>IFERROR(__xludf.DUMMYFUNCTION("""COMPUTED_VALUE"""),"確定")</f>
        <v>確定</v>
      </c>
      <c r="C4164" s="28">
        <f>IFERROR(__xludf.DUMMYFUNCTION("""COMPUTED_VALUE"""),45954.0)</f>
        <v>45954</v>
      </c>
      <c r="D4164" s="28">
        <f>IFERROR(__xludf.DUMMYFUNCTION("""COMPUTED_VALUE"""),45958.0)</f>
        <v>45958</v>
      </c>
      <c r="E4164" s="26">
        <f>IFERROR(__xludf.DUMMYFUNCTION("""COMPUTED_VALUE"""),300340.0)</f>
        <v>300340</v>
      </c>
      <c r="F4164" s="22" t="str">
        <f>IFERROR(__xludf.DUMMYFUNCTION("""COMPUTED_VALUE"""),"婚約者は魔族の国の冷徹王子")</f>
        <v>婚約者は魔族の国の冷徹王子</v>
      </c>
      <c r="G4164" s="20" t="str">
        <f>IFERROR(__xludf.DUMMYFUNCTION("""COMPUTED_VALUE"""),"1～3")</f>
        <v>1～3</v>
      </c>
      <c r="H4164" s="22" t="str">
        <f>IFERROR(__xludf.DUMMYFUNCTION("""COMPUTED_VALUE"""),"西崎りいち")</f>
        <v>西崎りいち</v>
      </c>
      <c r="I4164" s="22" t="str">
        <f>IFERROR(__xludf.DUMMYFUNCTION("""COMPUTED_VALUE"""),"少女マンガ")</f>
        <v>少女マンガ</v>
      </c>
      <c r="J4164" s="22"/>
      <c r="K4164" s="22" t="str">
        <f>IFERROR(__xludf.DUMMYFUNCTION("""COMPUTED_VALUE"""),"トレモア・ロマンス,トレモアcollection")</f>
        <v>トレモア・ロマンス,トレモアcollection</v>
      </c>
      <c r="L4164" s="22" t="str">
        <f>IFERROR(__xludf.DUMMYFUNCTION("""COMPUTED_VALUE"""),"シーモアコミックス（トレモア）")</f>
        <v>シーモアコミックス（トレモア）</v>
      </c>
      <c r="M4164" s="33">
        <f>IFERROR(__xludf.DUMMYFUNCTION("""COMPUTED_VALUE"""),45996.0)</f>
        <v>45996</v>
      </c>
      <c r="N4164" s="33">
        <f>IFERROR(__xludf.DUMMYFUNCTION("""COMPUTED_VALUE"""),2958465.0)</f>
        <v>2958465</v>
      </c>
      <c r="O4164" s="20"/>
      <c r="P4164" s="32" t="str">
        <f>IFERROR(__xludf.DUMMYFUNCTION("""COMPUTED_VALUE"""),"可")</f>
        <v>可</v>
      </c>
      <c r="Q4164" s="30"/>
      <c r="R4164" s="22"/>
      <c r="S4164" s="22" t="str">
        <f>IFERROR(__xludf.DUMMYFUNCTION("""COMPUTED_VALUE"""),"20251024_シーモアコミックス_婚約者は魔族の国の冷徹王子")</f>
        <v>20251024_シーモアコミックス_婚約者は魔族の国の冷徹王子</v>
      </c>
      <c r="T4164" s="22" t="str">
        <f>IFERROR(__xludf.DUMMYFUNCTION("""COMPUTED_VALUE"""),"格納済み")</f>
        <v>格納済み</v>
      </c>
      <c r="U4164" s="9" t="str">
        <f>IFERROR(__xludf.DUMMYFUNCTION("""COMPUTED_VALUE"""),"(C) 西崎りいち/シーモアコミックス")</f>
        <v>(C) 西崎りいち/シーモアコミックス</v>
      </c>
      <c r="V4164" s="8"/>
      <c r="W4164" s="8"/>
      <c r="X4164" s="8" t="str">
        <f>IFERROR(__xludf.DUMMYFUNCTION("""COMPUTED_VALUE"""),"有")</f>
        <v>有</v>
      </c>
      <c r="Y4164" s="8" t="str">
        <f>IFERROR(__xludf.DUMMYFUNCTION("""COMPUTED_VALUE"""),"2025/12/31まで1巻無料")</f>
        <v>2025/12/31まで1巻無料</v>
      </c>
      <c r="Z4164" s="7"/>
      <c r="AA4164" s="7"/>
      <c r="AB4164" s="7"/>
    </row>
    <row r="4165" ht="15.75" customHeight="1">
      <c r="A4165" s="26">
        <f>IFERROR(__xludf.DUMMYFUNCTION("""COMPUTED_VALUE"""),6730.0)</f>
        <v>6730</v>
      </c>
      <c r="B4165" s="22" t="str">
        <f>IFERROR(__xludf.DUMMYFUNCTION("""COMPUTED_VALUE"""),"確定")</f>
        <v>確定</v>
      </c>
      <c r="C4165" s="28">
        <f>IFERROR(__xludf.DUMMYFUNCTION("""COMPUTED_VALUE"""),45954.0)</f>
        <v>45954</v>
      </c>
      <c r="D4165" s="28">
        <f>IFERROR(__xludf.DUMMYFUNCTION("""COMPUTED_VALUE"""),45957.0)</f>
        <v>45957</v>
      </c>
      <c r="E4165" s="26">
        <f>IFERROR(__xludf.DUMMYFUNCTION("""COMPUTED_VALUE"""),318645.0)</f>
        <v>318645</v>
      </c>
      <c r="F4165" s="22" t="str">
        <f>IFERROR(__xludf.DUMMYFUNCTION("""COMPUTED_VALUE"""),"公爵に愛されたい伯爵令嬢は偽りの婚姻でその身体を捧げる")</f>
        <v>公爵に愛されたい伯爵令嬢は偽りの婚姻でその身体を捧げる</v>
      </c>
      <c r="G4165" s="20" t="str">
        <f>IFERROR(__xludf.DUMMYFUNCTION("""COMPUTED_VALUE"""),"1～3")</f>
        <v>1～3</v>
      </c>
      <c r="H4165" s="22" t="str">
        <f>IFERROR(__xludf.DUMMYFUNCTION("""COMPUTED_VALUE"""),"志波ひより,愛栖来鈴")</f>
        <v>志波ひより,愛栖来鈴</v>
      </c>
      <c r="I4165" s="22" t="str">
        <f>IFERROR(__xludf.DUMMYFUNCTION("""COMPUTED_VALUE"""),"少女マンガ")</f>
        <v>少女マンガ</v>
      </c>
      <c r="J4165" s="22"/>
      <c r="K4165" s="22" t="str">
        <f>IFERROR(__xludf.DUMMYFUNCTION("""COMPUTED_VALUE"""),"トレモア・ロマンス,トレモアcollection")</f>
        <v>トレモア・ロマンス,トレモアcollection</v>
      </c>
      <c r="L4165" s="22" t="str">
        <f>IFERROR(__xludf.DUMMYFUNCTION("""COMPUTED_VALUE"""),"シーモアコミックス（トレモア）")</f>
        <v>シーモアコミックス（トレモア）</v>
      </c>
      <c r="M4165" s="33">
        <f>IFERROR(__xludf.DUMMYFUNCTION("""COMPUTED_VALUE"""),45996.0)</f>
        <v>45996</v>
      </c>
      <c r="N4165" s="33">
        <f>IFERROR(__xludf.DUMMYFUNCTION("""COMPUTED_VALUE"""),2958465.0)</f>
        <v>2958465</v>
      </c>
      <c r="O4165" s="20"/>
      <c r="P4165" s="32" t="str">
        <f>IFERROR(__xludf.DUMMYFUNCTION("""COMPUTED_VALUE"""),"可")</f>
        <v>可</v>
      </c>
      <c r="Q4165" s="30"/>
      <c r="R4165" s="22"/>
      <c r="S4165" s="22" t="str">
        <f>IFERROR(__xludf.DUMMYFUNCTION("""COMPUTED_VALUE"""),"20251024_シーモアコミックス_公爵に愛されたい伯爵令嬢は偽りの婚姻でその身体を捧げる")</f>
        <v>20251024_シーモアコミックス_公爵に愛されたい伯爵令嬢は偽りの婚姻でその身体を捧げる</v>
      </c>
      <c r="T4165" s="22" t="str">
        <f>IFERROR(__xludf.DUMMYFUNCTION("""COMPUTED_VALUE"""),"格納済み")</f>
        <v>格納済み</v>
      </c>
      <c r="U4165" s="9" t="str">
        <f>IFERROR(__xludf.DUMMYFUNCTION("""COMPUTED_VALUE"""),"(C) 志波ひより/愛栖来鈴/シーモアコミックス")</f>
        <v>(C) 志波ひより/愛栖来鈴/シーモアコミックス</v>
      </c>
      <c r="V4165" s="8"/>
      <c r="W4165" s="8"/>
      <c r="X4165" s="8" t="str">
        <f>IFERROR(__xludf.DUMMYFUNCTION("""COMPUTED_VALUE"""),"有")</f>
        <v>有</v>
      </c>
      <c r="Y4165" s="8" t="str">
        <f>IFERROR(__xludf.DUMMYFUNCTION("""COMPUTED_VALUE"""),"2025/12/31まで1巻無料")</f>
        <v>2025/12/31まで1巻無料</v>
      </c>
      <c r="Z4165" s="7"/>
      <c r="AA4165" s="7"/>
      <c r="AB4165" s="7"/>
    </row>
    <row r="4166" ht="15.75" customHeight="1">
      <c r="A4166" s="26">
        <f>IFERROR(__xludf.DUMMYFUNCTION("""COMPUTED_VALUE"""),6731.0)</f>
        <v>6731</v>
      </c>
      <c r="B4166" s="22" t="str">
        <f>IFERROR(__xludf.DUMMYFUNCTION("""COMPUTED_VALUE"""),"確定")</f>
        <v>確定</v>
      </c>
      <c r="C4166" s="28">
        <f>IFERROR(__xludf.DUMMYFUNCTION("""COMPUTED_VALUE"""),45954.0)</f>
        <v>45954</v>
      </c>
      <c r="D4166" s="28">
        <f>IFERROR(__xludf.DUMMYFUNCTION("""COMPUTED_VALUE"""),45957.0)</f>
        <v>45957</v>
      </c>
      <c r="E4166" s="26">
        <f>IFERROR(__xludf.DUMMYFUNCTION("""COMPUTED_VALUE"""),319756.0)</f>
        <v>319756</v>
      </c>
      <c r="F4166" s="22" t="str">
        <f>IFERROR(__xludf.DUMMYFUNCTION("""COMPUTED_VALUE"""),"イケメン公爵の甥を拾ったら、甘い新婚生活が始まりました")</f>
        <v>イケメン公爵の甥を拾ったら、甘い新婚生活が始まりました</v>
      </c>
      <c r="G4166" s="20" t="str">
        <f>IFERROR(__xludf.DUMMYFUNCTION("""COMPUTED_VALUE"""),"1～3")</f>
        <v>1～3</v>
      </c>
      <c r="H4166" s="22" t="str">
        <f>IFERROR(__xludf.DUMMYFUNCTION("""COMPUTED_VALUE"""),"亜森ちえ,文川あや,神埼たわ")</f>
        <v>亜森ちえ,文川あや,神埼たわ</v>
      </c>
      <c r="I4166" s="22" t="str">
        <f>IFERROR(__xludf.DUMMYFUNCTION("""COMPUTED_VALUE"""),"少女マンガ")</f>
        <v>少女マンガ</v>
      </c>
      <c r="J4166" s="22"/>
      <c r="K4166" s="22" t="str">
        <f>IFERROR(__xludf.DUMMYFUNCTION("""COMPUTED_VALUE"""),"トレモア・ロマンス,トレモアcollection")</f>
        <v>トレモア・ロマンス,トレモアcollection</v>
      </c>
      <c r="L4166" s="22" t="str">
        <f>IFERROR(__xludf.DUMMYFUNCTION("""COMPUTED_VALUE"""),"シーモアコミックス（トレモア）")</f>
        <v>シーモアコミックス（トレモア）</v>
      </c>
      <c r="M4166" s="33">
        <f>IFERROR(__xludf.DUMMYFUNCTION("""COMPUTED_VALUE"""),45996.0)</f>
        <v>45996</v>
      </c>
      <c r="N4166" s="33">
        <f>IFERROR(__xludf.DUMMYFUNCTION("""COMPUTED_VALUE"""),2958465.0)</f>
        <v>2958465</v>
      </c>
      <c r="O4166" s="20"/>
      <c r="P4166" s="32" t="str">
        <f>IFERROR(__xludf.DUMMYFUNCTION("""COMPUTED_VALUE"""),"可")</f>
        <v>可</v>
      </c>
      <c r="Q4166" s="30"/>
      <c r="R4166" s="22"/>
      <c r="S4166" s="22" t="str">
        <f>IFERROR(__xludf.DUMMYFUNCTION("""COMPUTED_VALUE"""),"20251024_シーモアコミックス_イケメン公爵の甥を拾ったら、甘い新婚生活が始まりました")</f>
        <v>20251024_シーモアコミックス_イケメン公爵の甥を拾ったら、甘い新婚生活が始まりました</v>
      </c>
      <c r="T4166" s="22" t="str">
        <f>IFERROR(__xludf.DUMMYFUNCTION("""COMPUTED_VALUE"""),"格納済み")</f>
        <v>格納済み</v>
      </c>
      <c r="U4166" s="9" t="str">
        <f>IFERROR(__xludf.DUMMYFUNCTION("""COMPUTED_VALUE"""),"(C) 亜森ちえ/文川あや/神埼たわ/シーモアコミックス")</f>
        <v>(C) 亜森ちえ/文川あや/神埼たわ/シーモアコミックス</v>
      </c>
      <c r="V4166" s="8"/>
      <c r="W4166" s="8"/>
      <c r="X4166" s="8" t="str">
        <f>IFERROR(__xludf.DUMMYFUNCTION("""COMPUTED_VALUE"""),"有")</f>
        <v>有</v>
      </c>
      <c r="Y4166" s="8" t="str">
        <f>IFERROR(__xludf.DUMMYFUNCTION("""COMPUTED_VALUE"""),"2025/12/31まで1巻無料")</f>
        <v>2025/12/31まで1巻無料</v>
      </c>
      <c r="Z4166" s="7"/>
      <c r="AA4166" s="7"/>
      <c r="AB4166" s="7"/>
    </row>
    <row r="4167" ht="15.75" customHeight="1">
      <c r="A4167" s="26">
        <f>IFERROR(__xludf.DUMMYFUNCTION("""COMPUTED_VALUE"""),6732.0)</f>
        <v>6732</v>
      </c>
      <c r="B4167" s="22" t="str">
        <f>IFERROR(__xludf.DUMMYFUNCTION("""COMPUTED_VALUE"""),"確定")</f>
        <v>確定</v>
      </c>
      <c r="C4167" s="28">
        <f>IFERROR(__xludf.DUMMYFUNCTION("""COMPUTED_VALUE"""),45954.0)</f>
        <v>45954</v>
      </c>
      <c r="D4167" s="28">
        <f>IFERROR(__xludf.DUMMYFUNCTION("""COMPUTED_VALUE"""),45957.0)</f>
        <v>45957</v>
      </c>
      <c r="E4167" s="26">
        <f>IFERROR(__xludf.DUMMYFUNCTION("""COMPUTED_VALUE"""),325165.0)</f>
        <v>325165</v>
      </c>
      <c r="F4167" s="22" t="str">
        <f>IFERROR(__xludf.DUMMYFUNCTION("""COMPUTED_VALUE"""),"私のかみさま～虐げられても清廉潔白でいたら神獣様に求婚されました～")</f>
        <v>私のかみさま～虐げられても清廉潔白でいたら神獣様に求婚されました～</v>
      </c>
      <c r="G4167" s="20" t="str">
        <f>IFERROR(__xludf.DUMMYFUNCTION("""COMPUTED_VALUE"""),"1～3")</f>
        <v>1～3</v>
      </c>
      <c r="H4167" s="22" t="str">
        <f>IFERROR(__xludf.DUMMYFUNCTION("""COMPUTED_VALUE"""),"樋木ゆいち,松本カズト")</f>
        <v>樋木ゆいち,松本カズト</v>
      </c>
      <c r="I4167" s="22" t="str">
        <f>IFERROR(__xludf.DUMMYFUNCTION("""COMPUTED_VALUE"""),"少女マンガ")</f>
        <v>少女マンガ</v>
      </c>
      <c r="J4167" s="22"/>
      <c r="K4167" s="22" t="str">
        <f>IFERROR(__xludf.DUMMYFUNCTION("""COMPUTED_VALUE"""),"トレモア・ロマンス,トレモアcollection")</f>
        <v>トレモア・ロマンス,トレモアcollection</v>
      </c>
      <c r="L4167" s="22" t="str">
        <f>IFERROR(__xludf.DUMMYFUNCTION("""COMPUTED_VALUE"""),"シーモアコミックス（トレモア）")</f>
        <v>シーモアコミックス（トレモア）</v>
      </c>
      <c r="M4167" s="33">
        <f>IFERROR(__xludf.DUMMYFUNCTION("""COMPUTED_VALUE"""),45996.0)</f>
        <v>45996</v>
      </c>
      <c r="N4167" s="33">
        <f>IFERROR(__xludf.DUMMYFUNCTION("""COMPUTED_VALUE"""),2958465.0)</f>
        <v>2958465</v>
      </c>
      <c r="O4167" s="20"/>
      <c r="P4167" s="32" t="str">
        <f>IFERROR(__xludf.DUMMYFUNCTION("""COMPUTED_VALUE"""),"可")</f>
        <v>可</v>
      </c>
      <c r="Q4167" s="30"/>
      <c r="R4167" s="22"/>
      <c r="S4167" s="22" t="str">
        <f>IFERROR(__xludf.DUMMYFUNCTION("""COMPUTED_VALUE"""),"20251024_シーモアコミックス_私のかみさま～虐げられても清廉潔白でいたら神獣様に求婚されました～")</f>
        <v>20251024_シーモアコミックス_私のかみさま～虐げられても清廉潔白でいたら神獣様に求婚されました～</v>
      </c>
      <c r="T4167" s="22" t="str">
        <f>IFERROR(__xludf.DUMMYFUNCTION("""COMPUTED_VALUE"""),"格納済み")</f>
        <v>格納済み</v>
      </c>
      <c r="U4167" s="9" t="str">
        <f>IFERROR(__xludf.DUMMYFUNCTION("""COMPUTED_VALUE"""),"(C) 樋木ゆいち/松本カズト/シーモアコミックス")</f>
        <v>(C) 樋木ゆいち/松本カズト/シーモアコミックス</v>
      </c>
      <c r="V4167" s="8"/>
      <c r="W4167" s="8"/>
      <c r="X4167" s="8" t="str">
        <f>IFERROR(__xludf.DUMMYFUNCTION("""COMPUTED_VALUE"""),"有")</f>
        <v>有</v>
      </c>
      <c r="Y4167" s="8" t="str">
        <f>IFERROR(__xludf.DUMMYFUNCTION("""COMPUTED_VALUE"""),"2025/12/31まで1巻無料")</f>
        <v>2025/12/31まで1巻無料</v>
      </c>
      <c r="Z4167" s="7"/>
      <c r="AA4167" s="7"/>
      <c r="AB4167" s="7"/>
    </row>
    <row r="4168" ht="15.75" customHeight="1">
      <c r="A4168" s="26">
        <f>IFERROR(__xludf.DUMMYFUNCTION("""COMPUTED_VALUE"""),6733.0)</f>
        <v>6733</v>
      </c>
      <c r="B4168" s="22" t="str">
        <f>IFERROR(__xludf.DUMMYFUNCTION("""COMPUTED_VALUE"""),"確定")</f>
        <v>確定</v>
      </c>
      <c r="C4168" s="28">
        <f>IFERROR(__xludf.DUMMYFUNCTION("""COMPUTED_VALUE"""),45954.0)</f>
        <v>45954</v>
      </c>
      <c r="D4168" s="28">
        <f>IFERROR(__xludf.DUMMYFUNCTION("""COMPUTED_VALUE"""),45957.0)</f>
        <v>45957</v>
      </c>
      <c r="E4168" s="26">
        <f>IFERROR(__xludf.DUMMYFUNCTION("""COMPUTED_VALUE"""),331710.0)</f>
        <v>331710</v>
      </c>
      <c r="F4168" s="22" t="str">
        <f>IFERROR(__xludf.DUMMYFUNCTION("""COMPUTED_VALUE"""),"愛知らず花嫁の嫁ぎ先")</f>
        <v>愛知らず花嫁の嫁ぎ先</v>
      </c>
      <c r="G4168" s="20" t="str">
        <f>IFERROR(__xludf.DUMMYFUNCTION("""COMPUTED_VALUE"""),"1～3")</f>
        <v>1～3</v>
      </c>
      <c r="H4168" s="22" t="str">
        <f>IFERROR(__xludf.DUMMYFUNCTION("""COMPUTED_VALUE"""),"稲荷場かずお,多知川さくら")</f>
        <v>稲荷場かずお,多知川さくら</v>
      </c>
      <c r="I4168" s="22" t="str">
        <f>IFERROR(__xludf.DUMMYFUNCTION("""COMPUTED_VALUE"""),"少女マンガ")</f>
        <v>少女マンガ</v>
      </c>
      <c r="J4168" s="22"/>
      <c r="K4168" s="22" t="str">
        <f>IFERROR(__xludf.DUMMYFUNCTION("""COMPUTED_VALUE"""),"トレモア・ロマンス,トレモアcollection")</f>
        <v>トレモア・ロマンス,トレモアcollection</v>
      </c>
      <c r="L4168" s="22" t="str">
        <f>IFERROR(__xludf.DUMMYFUNCTION("""COMPUTED_VALUE"""),"シーモアコミックス（トレモア）")</f>
        <v>シーモアコミックス（トレモア）</v>
      </c>
      <c r="M4168" s="33">
        <f>IFERROR(__xludf.DUMMYFUNCTION("""COMPUTED_VALUE"""),45996.0)</f>
        <v>45996</v>
      </c>
      <c r="N4168" s="33">
        <f>IFERROR(__xludf.DUMMYFUNCTION("""COMPUTED_VALUE"""),2958465.0)</f>
        <v>2958465</v>
      </c>
      <c r="O4168" s="20"/>
      <c r="P4168" s="32" t="str">
        <f>IFERROR(__xludf.DUMMYFUNCTION("""COMPUTED_VALUE"""),"可")</f>
        <v>可</v>
      </c>
      <c r="Q4168" s="30"/>
      <c r="R4168" s="22"/>
      <c r="S4168" s="22" t="str">
        <f>IFERROR(__xludf.DUMMYFUNCTION("""COMPUTED_VALUE"""),"20251024_シーモアコミックス_愛知らず花嫁の嫁ぎ先")</f>
        <v>20251024_シーモアコミックス_愛知らず花嫁の嫁ぎ先</v>
      </c>
      <c r="T4168" s="22" t="str">
        <f>IFERROR(__xludf.DUMMYFUNCTION("""COMPUTED_VALUE"""),"格納済み")</f>
        <v>格納済み</v>
      </c>
      <c r="U4168" s="9" t="str">
        <f>IFERROR(__xludf.DUMMYFUNCTION("""COMPUTED_VALUE"""),"(C) 稲荷場かずお/多知川さくら/シーモアコミックス")</f>
        <v>(C) 稲荷場かずお/多知川さくら/シーモアコミックス</v>
      </c>
      <c r="V4168" s="8"/>
      <c r="W4168" s="8"/>
      <c r="X4168" s="8" t="str">
        <f>IFERROR(__xludf.DUMMYFUNCTION("""COMPUTED_VALUE"""),"有")</f>
        <v>有</v>
      </c>
      <c r="Y4168" s="8" t="str">
        <f>IFERROR(__xludf.DUMMYFUNCTION("""COMPUTED_VALUE"""),"2025/12/31まで1巻無料")</f>
        <v>2025/12/31まで1巻無料</v>
      </c>
      <c r="Z4168" s="7"/>
      <c r="AA4168" s="7"/>
      <c r="AB4168" s="7"/>
    </row>
    <row r="4169" ht="15.75" customHeight="1">
      <c r="A4169" s="26">
        <f>IFERROR(__xludf.DUMMYFUNCTION("""COMPUTED_VALUE"""),6734.0)</f>
        <v>6734</v>
      </c>
      <c r="B4169" s="22" t="str">
        <f>IFERROR(__xludf.DUMMYFUNCTION("""COMPUTED_VALUE"""),"確定")</f>
        <v>確定</v>
      </c>
      <c r="C4169" s="28">
        <f>IFERROR(__xludf.DUMMYFUNCTION("""COMPUTED_VALUE"""),45954.0)</f>
        <v>45954</v>
      </c>
      <c r="D4169" s="28">
        <f>IFERROR(__xludf.DUMMYFUNCTION("""COMPUTED_VALUE"""),45959.0)</f>
        <v>45959</v>
      </c>
      <c r="E4169" s="26">
        <f>IFERROR(__xludf.DUMMYFUNCTION("""COMPUTED_VALUE"""),343041.0)</f>
        <v>343041</v>
      </c>
      <c r="F4169" s="22" t="str">
        <f>IFERROR(__xludf.DUMMYFUNCTION("""COMPUTED_VALUE"""),"【フルカラー】私の恋人ロボットは言うことを聞かない！")</f>
        <v>【フルカラー】私の恋人ロボットは言うことを聞かない！</v>
      </c>
      <c r="G4169" s="20" t="str">
        <f>IFERROR(__xludf.DUMMYFUNCTION("""COMPUTED_VALUE"""),"1～3")</f>
        <v>1～3</v>
      </c>
      <c r="H4169" s="22" t="str">
        <f>IFERROR(__xludf.DUMMYFUNCTION("""COMPUTED_VALUE"""),"agapale")</f>
        <v>agapale</v>
      </c>
      <c r="I4169" s="22" t="str">
        <f>IFERROR(__xludf.DUMMYFUNCTION("""COMPUTED_VALUE"""),"TL")</f>
        <v>TL</v>
      </c>
      <c r="J4169" s="22"/>
      <c r="K4169" s="22"/>
      <c r="L4169" s="22" t="str">
        <f>IFERROR(__xludf.DUMMYFUNCTION("""COMPUTED_VALUE"""),"レジンコミックス")</f>
        <v>レジンコミックス</v>
      </c>
      <c r="M4169" s="33">
        <f>IFERROR(__xludf.DUMMYFUNCTION("""COMPUTED_VALUE"""),45996.0)</f>
        <v>45996</v>
      </c>
      <c r="N4169" s="33">
        <f>IFERROR(__xludf.DUMMYFUNCTION("""COMPUTED_VALUE"""),46086.0)</f>
        <v>46086</v>
      </c>
      <c r="O4169" s="20"/>
      <c r="P4169" s="32" t="str">
        <f>IFERROR(__xludf.DUMMYFUNCTION("""COMPUTED_VALUE"""),"可")</f>
        <v>可</v>
      </c>
      <c r="Q4169" s="30" t="str">
        <f>IFERROR(__xludf.DUMMYFUNCTION("""COMPUTED_VALUE"""),"各巻の素材は下記フォルダとなっています。&lt;BR&gt;1巻＝001~003、2巻＝004~006、3巻＝007~009")</f>
        <v>各巻の素材は下記フォルダとなっています。&lt;BR&gt;1巻＝001~003、2巻＝004~006、3巻＝007~009</v>
      </c>
      <c r="R4169" s="22"/>
      <c r="S4169" s="22" t="str">
        <f>IFERROR(__xludf.DUMMYFUNCTION("""COMPUTED_VALUE"""),"20251028_レジンコミックス_私の恋人ロボットは言うことを聞かない")</f>
        <v>20251028_レジンコミックス_私の恋人ロボットは言うことを聞かない</v>
      </c>
      <c r="T4169" s="22" t="str">
        <f>IFERROR(__xludf.DUMMYFUNCTION("""COMPUTED_VALUE"""),"格納済み")</f>
        <v>格納済み</v>
      </c>
      <c r="U4169" s="9" t="str">
        <f>IFERROR(__xludf.DUMMYFUNCTION("""COMPUTED_VALUE"""),"Ⓒ agapale / レジンコミックス")</f>
        <v>Ⓒ agapale / レジンコミックス</v>
      </c>
      <c r="V4169" s="8"/>
      <c r="W4169" s="8"/>
      <c r="X4169" s="8" t="str">
        <f>IFERROR(__xludf.DUMMYFUNCTION("""COMPUTED_VALUE"""),"有")</f>
        <v>有</v>
      </c>
      <c r="Y4169" s="8" t="str">
        <f>IFERROR(__xludf.DUMMYFUNCTION("""COMPUTED_VALUE"""),"2025/12/14まで1巻無料")</f>
        <v>2025/12/14まで1巻無料</v>
      </c>
      <c r="Z4169" s="7"/>
      <c r="AA4169" s="7"/>
      <c r="AB4169" s="7"/>
    </row>
    <row r="4170" ht="15.75" customHeight="1">
      <c r="A4170" s="26">
        <f>IFERROR(__xludf.DUMMYFUNCTION("""COMPUTED_VALUE"""),6738.0)</f>
        <v>6738</v>
      </c>
      <c r="B4170" s="22" t="str">
        <f>IFERROR(__xludf.DUMMYFUNCTION("""COMPUTED_VALUE"""),"確定")</f>
        <v>確定</v>
      </c>
      <c r="C4170" s="28">
        <f>IFERROR(__xludf.DUMMYFUNCTION("""COMPUTED_VALUE"""),45957.0)</f>
        <v>45957</v>
      </c>
      <c r="D4170" s="28">
        <f>IFERROR(__xludf.DUMMYFUNCTION("""COMPUTED_VALUE"""),45958.0)</f>
        <v>45958</v>
      </c>
      <c r="E4170" s="26">
        <f>IFERROR(__xludf.DUMMYFUNCTION("""COMPUTED_VALUE"""),295324.0)</f>
        <v>295324</v>
      </c>
      <c r="F4170" s="22" t="str">
        <f>IFERROR(__xludf.DUMMYFUNCTION("""COMPUTED_VALUE"""),"先生、俺もう生徒じゃないよ～元教え子の愛が激しくて")</f>
        <v>先生、俺もう生徒じゃないよ～元教え子の愛が激しくて</v>
      </c>
      <c r="G4170" s="20" t="str">
        <f>IFERROR(__xludf.DUMMYFUNCTION("""COMPUTED_VALUE"""),"1～3")</f>
        <v>1～3</v>
      </c>
      <c r="H4170" s="22" t="str">
        <f>IFERROR(__xludf.DUMMYFUNCTION("""COMPUTED_VALUE"""),"西園寺みちる")</f>
        <v>西園寺みちる</v>
      </c>
      <c r="I4170" s="22" t="str">
        <f>IFERROR(__xludf.DUMMYFUNCTION("""COMPUTED_VALUE"""),"女性マンガ")</f>
        <v>女性マンガ</v>
      </c>
      <c r="J4170" s="22"/>
      <c r="K4170" s="22" t="str">
        <f>IFERROR(__xludf.DUMMYFUNCTION("""COMPUTED_VALUE"""),"スキして?桃色日記")</f>
        <v>スキして?桃色日記</v>
      </c>
      <c r="L4170" s="22" t="str">
        <f>IFERROR(__xludf.DUMMYFUNCTION("""COMPUTED_VALUE"""),"シーモアコミックス")</f>
        <v>シーモアコミックス</v>
      </c>
      <c r="M4170" s="33">
        <f>IFERROR(__xludf.DUMMYFUNCTION("""COMPUTED_VALUE"""),45997.0)</f>
        <v>45997</v>
      </c>
      <c r="N4170" s="33">
        <f>IFERROR(__xludf.DUMMYFUNCTION("""COMPUTED_VALUE"""),46149.66666666667)</f>
        <v>46149.66667</v>
      </c>
      <c r="O4170" s="20"/>
      <c r="P4170" s="32" t="str">
        <f>IFERROR(__xludf.DUMMYFUNCTION("""COMPUTED_VALUE"""),"可")</f>
        <v>可</v>
      </c>
      <c r="Q4170" s="30"/>
      <c r="R4170" s="22"/>
      <c r="S4170" s="22" t="str">
        <f>IFERROR(__xludf.DUMMYFUNCTION("""COMPUTED_VALUE"""),"20251027_シーモアコミックス_先生、俺もう生徒じゃないよ～元教え子の愛が激しくて")</f>
        <v>20251027_シーモアコミックス_先生、俺もう生徒じゃないよ～元教え子の愛が激しくて</v>
      </c>
      <c r="T4170" s="22" t="str">
        <f>IFERROR(__xludf.DUMMYFUNCTION("""COMPUTED_VALUE"""),"格納済み")</f>
        <v>格納済み</v>
      </c>
      <c r="U4170" s="9" t="str">
        <f>IFERROR(__xludf.DUMMYFUNCTION("""COMPUTED_VALUE"""),"(C) 西園寺みちる/シーモアコミックス")</f>
        <v>(C) 西園寺みちる/シーモアコミックス</v>
      </c>
      <c r="V4170" s="8"/>
      <c r="W4170" s="8"/>
      <c r="X4170" s="8" t="str">
        <f>IFERROR(__xludf.DUMMYFUNCTION("""COMPUTED_VALUE"""),"有")</f>
        <v>有</v>
      </c>
      <c r="Y4170" s="8" t="str">
        <f>IFERROR(__xludf.DUMMYFUNCTION("""COMPUTED_VALUE"""),"2026/1/2まで1巻無料")</f>
        <v>2026/1/2まで1巻無料</v>
      </c>
      <c r="Z4170" s="7"/>
      <c r="AA4170" s="7"/>
      <c r="AB4170" s="7"/>
    </row>
    <row r="4171" ht="15.75" customHeight="1">
      <c r="A4171" s="26">
        <f>IFERROR(__xludf.DUMMYFUNCTION("""COMPUTED_VALUE"""),6739.0)</f>
        <v>6739</v>
      </c>
      <c r="B4171" s="22" t="str">
        <f>IFERROR(__xludf.DUMMYFUNCTION("""COMPUTED_VALUE"""),"確定")</f>
        <v>確定</v>
      </c>
      <c r="C4171" s="28">
        <f>IFERROR(__xludf.DUMMYFUNCTION("""COMPUTED_VALUE"""),45957.0)</f>
        <v>45957</v>
      </c>
      <c r="D4171" s="28">
        <f>IFERROR(__xludf.DUMMYFUNCTION("""COMPUTED_VALUE"""),45958.0)</f>
        <v>45958</v>
      </c>
      <c r="E4171" s="26">
        <f>IFERROR(__xludf.DUMMYFUNCTION("""COMPUTED_VALUE"""),312462.0)</f>
        <v>312462</v>
      </c>
      <c r="F4171" s="22" t="str">
        <f>IFERROR(__xludf.DUMMYFUNCTION("""COMPUTED_VALUE"""),"当て馬さんは高嶺の花に愛される")</f>
        <v>当て馬さんは高嶺の花に愛される</v>
      </c>
      <c r="G4171" s="20" t="str">
        <f>IFERROR(__xludf.DUMMYFUNCTION("""COMPUTED_VALUE"""),"1～3")</f>
        <v>1～3</v>
      </c>
      <c r="H4171" s="22" t="str">
        <f>IFERROR(__xludf.DUMMYFUNCTION("""COMPUTED_VALUE"""),"葉月いつか")</f>
        <v>葉月いつか</v>
      </c>
      <c r="I4171" s="22" t="str">
        <f>IFERROR(__xludf.DUMMYFUNCTION("""COMPUTED_VALUE"""),"少女マンガ")</f>
        <v>少女マンガ</v>
      </c>
      <c r="J4171" s="22"/>
      <c r="K4171" s="22" t="str">
        <f>IFERROR(__xludf.DUMMYFUNCTION("""COMPUTED_VALUE"""),"恋するソワレ")</f>
        <v>恋するソワレ</v>
      </c>
      <c r="L4171" s="22" t="str">
        <f>IFERROR(__xludf.DUMMYFUNCTION("""COMPUTED_VALUE"""),"シーモアコミックス")</f>
        <v>シーモアコミックス</v>
      </c>
      <c r="M4171" s="33">
        <f>IFERROR(__xludf.DUMMYFUNCTION("""COMPUTED_VALUE"""),45997.0)</f>
        <v>45997</v>
      </c>
      <c r="N4171" s="33">
        <f>IFERROR(__xludf.DUMMYFUNCTION("""COMPUTED_VALUE"""),2958465.0)</f>
        <v>2958465</v>
      </c>
      <c r="O4171" s="20"/>
      <c r="P4171" s="32" t="str">
        <f>IFERROR(__xludf.DUMMYFUNCTION("""COMPUTED_VALUE"""),"可")</f>
        <v>可</v>
      </c>
      <c r="Q4171" s="30"/>
      <c r="R4171" s="22"/>
      <c r="S4171" s="22" t="str">
        <f>IFERROR(__xludf.DUMMYFUNCTION("""COMPUTED_VALUE"""),"20251027_シーモアコミックス_当て馬さんは高嶺の花に愛される")</f>
        <v>20251027_シーモアコミックス_当て馬さんは高嶺の花に愛される</v>
      </c>
      <c r="T4171" s="22" t="str">
        <f>IFERROR(__xludf.DUMMYFUNCTION("""COMPUTED_VALUE"""),"格納済み")</f>
        <v>格納済み</v>
      </c>
      <c r="U4171" s="9" t="str">
        <f>IFERROR(__xludf.DUMMYFUNCTION("""COMPUTED_VALUE"""),"(C) 葉月いつか/シーモアコミックス")</f>
        <v>(C) 葉月いつか/シーモアコミックス</v>
      </c>
      <c r="V4171" s="8"/>
      <c r="W4171" s="8"/>
      <c r="X4171" s="8" t="str">
        <f>IFERROR(__xludf.DUMMYFUNCTION("""COMPUTED_VALUE"""),"有")</f>
        <v>有</v>
      </c>
      <c r="Y4171" s="8" t="str">
        <f>IFERROR(__xludf.DUMMYFUNCTION("""COMPUTED_VALUE"""),"2026/1/2まで1巻無料")</f>
        <v>2026/1/2まで1巻無料</v>
      </c>
      <c r="Z4171" s="7"/>
      <c r="AA4171" s="7"/>
      <c r="AB4171" s="7"/>
    </row>
    <row r="4172" ht="15.75" customHeight="1">
      <c r="A4172" s="26">
        <f>IFERROR(__xludf.DUMMYFUNCTION("""COMPUTED_VALUE"""),5985.0)</f>
        <v>5985</v>
      </c>
      <c r="B4172" s="22" t="str">
        <f>IFERROR(__xludf.DUMMYFUNCTION("""COMPUTED_VALUE"""),"確定")</f>
        <v>確定</v>
      </c>
      <c r="C4172" s="28">
        <f>IFERROR(__xludf.DUMMYFUNCTION("""COMPUTED_VALUE"""),45841.0)</f>
        <v>45841</v>
      </c>
      <c r="D4172" s="28">
        <f>IFERROR(__xludf.DUMMYFUNCTION("""COMPUTED_VALUE"""),45965.0)</f>
        <v>45965</v>
      </c>
      <c r="E4172" s="26">
        <f>IFERROR(__xludf.DUMMYFUNCTION("""COMPUTED_VALUE"""),342353.0)</f>
        <v>342353</v>
      </c>
      <c r="F4172" s="22" t="str">
        <f>IFERROR(__xludf.DUMMYFUNCTION("""COMPUTED_VALUE"""),"余命宣告を受けたので私を顧みない家族と婚約者に執着するのをやめることにしました（分冊版）")</f>
        <v>余命宣告を受けたので私を顧みない家族と婚約者に執着するのをやめることにしました（分冊版）</v>
      </c>
      <c r="G4172" s="20" t="str">
        <f>IFERROR(__xludf.DUMMYFUNCTION("""COMPUTED_VALUE"""),"1～5")</f>
        <v>1～5</v>
      </c>
      <c r="H4172" s="22" t="str">
        <f>IFERROR(__xludf.DUMMYFUNCTION("""COMPUTED_VALUE"""),"結城芙由奈・猫倉ありす")</f>
        <v>結城芙由奈・猫倉ありす</v>
      </c>
      <c r="I4172" s="22" t="str">
        <f>IFERROR(__xludf.DUMMYFUNCTION("""COMPUTED_VALUE"""),"女性マンガ")</f>
        <v>女性マンガ</v>
      </c>
      <c r="J4172" s="22"/>
      <c r="K4172" s="22" t="str">
        <f>IFERROR(__xludf.DUMMYFUNCTION("""COMPUTED_VALUE"""),"レジーナCOMICS")</f>
        <v>レジーナCOMICS</v>
      </c>
      <c r="L4172" s="22" t="str">
        <f>IFERROR(__xludf.DUMMYFUNCTION("""COMPUTED_VALUE"""),"アルファポリス")</f>
        <v>アルファポリス</v>
      </c>
      <c r="M4172" s="33">
        <f>IFERROR(__xludf.DUMMYFUNCTION("""COMPUTED_VALUE"""),45989.0)</f>
        <v>45989</v>
      </c>
      <c r="N4172" s="33">
        <f>IFERROR(__xludf.DUMMYFUNCTION("""COMPUTED_VALUE"""),46107.66666666667)</f>
        <v>46107.66667</v>
      </c>
      <c r="O4172" s="20"/>
      <c r="P4172" s="32" t="str">
        <f>IFERROR(__xludf.DUMMYFUNCTION("""COMPUTED_VALUE"""),"否")</f>
        <v>否</v>
      </c>
      <c r="Q4172" s="30"/>
      <c r="R4172" s="22"/>
      <c r="S4172" s="22" t="str">
        <f>IFERROR(__xludf.DUMMYFUNCTION("""COMPUTED_VALUE"""),"20251104_余命宣告を受けたので私を顧みない家族と婚約者に執着するのをやめることにしました")</f>
        <v>20251104_余命宣告を受けたので私を顧みない家族と婚約者に執着するのをやめることにしました</v>
      </c>
      <c r="T4172" s="22" t="str">
        <f>IFERROR(__xludf.DUMMYFUNCTION("""COMPUTED_VALUE"""),"格納済み")</f>
        <v>格納済み</v>
      </c>
      <c r="U4172" s="9" t="str">
        <f>IFERROR(__xludf.DUMMYFUNCTION("""COMPUTED_VALUE"""),"(C)結城芙由奈・猫倉ありす／アルファポリス")</f>
        <v>(C)結城芙由奈・猫倉ありす／アルファポリス</v>
      </c>
      <c r="V4172" s="8"/>
      <c r="W4172" s="8"/>
      <c r="X4172" s="8" t="str">
        <f>IFERROR(__xludf.DUMMYFUNCTION("""COMPUTED_VALUE"""),"有")</f>
        <v>有</v>
      </c>
      <c r="Y4172" s="8" t="str">
        <f>IFERROR(__xludf.DUMMYFUNCTION("""COMPUTED_VALUE"""),"2025/12/11まで1巻無料")</f>
        <v>2025/12/11まで1巻無料</v>
      </c>
      <c r="Z4172" s="7"/>
      <c r="AA4172" s="7"/>
      <c r="AB4172" s="7"/>
    </row>
    <row r="4173" ht="15.75" customHeight="1">
      <c r="A4173" s="26">
        <f>IFERROR(__xludf.DUMMYFUNCTION("""COMPUTED_VALUE"""),5986.0)</f>
        <v>5986</v>
      </c>
      <c r="B4173" s="22" t="str">
        <f>IFERROR(__xludf.DUMMYFUNCTION("""COMPUTED_VALUE"""),"確定")</f>
        <v>確定</v>
      </c>
      <c r="C4173" s="28">
        <f>IFERROR(__xludf.DUMMYFUNCTION("""COMPUTED_VALUE"""),45841.0)</f>
        <v>45841</v>
      </c>
      <c r="D4173" s="28">
        <f>IFERROR(__xludf.DUMMYFUNCTION("""COMPUTED_VALUE"""),45965.0)</f>
        <v>45965</v>
      </c>
      <c r="E4173" s="26">
        <f>IFERROR(__xludf.DUMMYFUNCTION("""COMPUTED_VALUE"""),343545.0)</f>
        <v>343545</v>
      </c>
      <c r="F4173" s="22" t="str">
        <f>IFERROR(__xludf.DUMMYFUNCTION("""COMPUTED_VALUE"""),"嫌われ者の俺はやり直しの世界で義弟達にごまをする（分冊版）")</f>
        <v>嫌われ者の俺はやり直しの世界で義弟達にごまをする（分冊版）</v>
      </c>
      <c r="G4173" s="20" t="str">
        <f>IFERROR(__xludf.DUMMYFUNCTION("""COMPUTED_VALUE"""),"1～6")</f>
        <v>1～6</v>
      </c>
      <c r="H4173" s="22" t="str">
        <f>IFERROR(__xludf.DUMMYFUNCTION("""COMPUTED_VALUE"""),"赤牙・犬崎ヨナ")</f>
        <v>赤牙・犬崎ヨナ</v>
      </c>
      <c r="I4173" s="22" t="str">
        <f>IFERROR(__xludf.DUMMYFUNCTION("""COMPUTED_VALUE"""),"BL")</f>
        <v>BL</v>
      </c>
      <c r="J4173" s="22"/>
      <c r="K4173" s="22" t="str">
        <f>IFERROR(__xludf.DUMMYFUNCTION("""COMPUTED_VALUE"""),"アンダルシュCOMICS")</f>
        <v>アンダルシュCOMICS</v>
      </c>
      <c r="L4173" s="22" t="str">
        <f>IFERROR(__xludf.DUMMYFUNCTION("""COMPUTED_VALUE"""),"アルファポリス")</f>
        <v>アルファポリス</v>
      </c>
      <c r="M4173" s="33">
        <f>IFERROR(__xludf.DUMMYFUNCTION("""COMPUTED_VALUE"""),45992.0)</f>
        <v>45992</v>
      </c>
      <c r="N4173" s="33">
        <f>IFERROR(__xludf.DUMMYFUNCTION("""COMPUTED_VALUE"""),46148.66666666667)</f>
        <v>46148.66667</v>
      </c>
      <c r="O4173" s="20"/>
      <c r="P4173" s="32" t="str">
        <f>IFERROR(__xludf.DUMMYFUNCTION("""COMPUTED_VALUE"""),"可")</f>
        <v>可</v>
      </c>
      <c r="Q4173" s="30"/>
      <c r="R4173" s="22"/>
      <c r="S4173" s="22" t="str">
        <f>IFERROR(__xludf.DUMMYFUNCTION("""COMPUTED_VALUE"""),"2025_1104_嫌われ者の俺はやり直しの世界で義弟達にごまをする")</f>
        <v>2025_1104_嫌われ者の俺はやり直しの世界で義弟達にごまをする</v>
      </c>
      <c r="T4173" s="22" t="str">
        <f>IFERROR(__xludf.DUMMYFUNCTION("""COMPUTED_VALUE"""),"格納済み")</f>
        <v>格納済み</v>
      </c>
      <c r="U4173" s="9" t="str">
        <f>IFERROR(__xludf.DUMMYFUNCTION("""COMPUTED_VALUE"""),"(C)赤牙・犬崎ヨナ／アルファポリス")</f>
        <v>(C)赤牙・犬崎ヨナ／アルファポリス</v>
      </c>
      <c r="V4173" s="8"/>
      <c r="W4173" s="8"/>
      <c r="X4173" s="8" t="str">
        <f>IFERROR(__xludf.DUMMYFUNCTION("""COMPUTED_VALUE"""),"有")</f>
        <v>有</v>
      </c>
      <c r="Y4173" s="8" t="str">
        <f>IFERROR(__xludf.DUMMYFUNCTION("""COMPUTED_VALUE"""),"2025/12/14まで1~2巻無料")</f>
        <v>2025/12/14まで1~2巻無料</v>
      </c>
      <c r="Z4173" s="7"/>
      <c r="AA4173" s="7"/>
      <c r="AB4173" s="7"/>
    </row>
    <row r="4174" ht="15.75" customHeight="1">
      <c r="A4174" s="26">
        <f>IFERROR(__xludf.DUMMYFUNCTION("""COMPUTED_VALUE"""),6044.0)</f>
        <v>6044</v>
      </c>
      <c r="B4174" s="22" t="str">
        <f>IFERROR(__xludf.DUMMYFUNCTION("""COMPUTED_VALUE"""),"確定")</f>
        <v>確定</v>
      </c>
      <c r="C4174" s="28">
        <f>IFERROR(__xludf.DUMMYFUNCTION("""COMPUTED_VALUE"""),45848.0)</f>
        <v>45848</v>
      </c>
      <c r="D4174" s="28">
        <f>IFERROR(__xludf.DUMMYFUNCTION("""COMPUTED_VALUE"""),45959.0)</f>
        <v>45959</v>
      </c>
      <c r="E4174" s="26">
        <f>IFERROR(__xludf.DUMMYFUNCTION("""COMPUTED_VALUE"""),342757.0)</f>
        <v>342757</v>
      </c>
      <c r="F4174" s="22" t="str">
        <f>IFERROR(__xludf.DUMMYFUNCTION("""COMPUTED_VALUE"""),"さいごの魔女のお祝い【連載版】")</f>
        <v>さいごの魔女のお祝い【連載版】</v>
      </c>
      <c r="G4174" s="20" t="str">
        <f>IFERROR(__xludf.DUMMYFUNCTION("""COMPUTED_VALUE"""),"1～5")</f>
        <v>1～5</v>
      </c>
      <c r="H4174" s="22" t="str">
        <f>IFERROR(__xludf.DUMMYFUNCTION("""COMPUTED_VALUE"""),"安達園丸")</f>
        <v>安達園丸</v>
      </c>
      <c r="I4174" s="22" t="str">
        <f>IFERROR(__xludf.DUMMYFUNCTION("""COMPUTED_VALUE"""),"女性")</f>
        <v>女性</v>
      </c>
      <c r="J4174" s="22"/>
      <c r="K4174" s="22" t="str">
        <f>IFERROR(__xludf.DUMMYFUNCTION("""COMPUTED_VALUE"""),"ZERO-SUMコミックス")</f>
        <v>ZERO-SUMコミックス</v>
      </c>
      <c r="L4174" s="22" t="str">
        <f>IFERROR(__xludf.DUMMYFUNCTION("""COMPUTED_VALUE"""),"一迅社")</f>
        <v>一迅社</v>
      </c>
      <c r="M4174" s="33">
        <f>IFERROR(__xludf.DUMMYFUNCTION("""COMPUTED_VALUE"""),45992.0)</f>
        <v>45992</v>
      </c>
      <c r="N4174" s="33">
        <f>IFERROR(__xludf.DUMMYFUNCTION("""COMPUTED_VALUE"""),46022.0)</f>
        <v>46022</v>
      </c>
      <c r="O4174" s="20"/>
      <c r="P4174" s="32" t="str">
        <f>IFERROR(__xludf.DUMMYFUNCTION("""COMPUTED_VALUE"""),"否")</f>
        <v>否</v>
      </c>
      <c r="Q4174" s="30" t="str">
        <f>IFERROR(__xludf.DUMMYFUNCTION("""COMPUTED_VALUE"""),"電子読者をターゲットにしたヤンデレ系ブロマンス作品です。&lt;BR&gt;怪しい雰囲気からユーザーの引き込みを狙いたいと考えています。&lt;BR&gt;")</f>
        <v>電子読者をターゲットにしたヤンデレ系ブロマンス作品です。&lt;BR&gt;怪しい雰囲気からユーザーの引き込みを狙いたいと考えています。&lt;BR&gt;</v>
      </c>
      <c r="R4174" s="22" t="str">
        <f>IFERROR(__xludf.DUMMYFUNCTION("""COMPUTED_VALUE"""),"コミットOK")</f>
        <v>コミットOK</v>
      </c>
      <c r="S4174" s="22" t="str">
        <f>IFERROR(__xludf.DUMMYFUNCTION("""COMPUTED_VALUE"""),"20251029_一迅社_さいごの魔女のお祝い")</f>
        <v>20251029_一迅社_さいごの魔女のお祝い</v>
      </c>
      <c r="T4174" s="22" t="str">
        <f>IFERROR(__xludf.DUMMYFUNCTION("""COMPUTED_VALUE"""),"格納済み")</f>
        <v>格納済み</v>
      </c>
      <c r="U4174" s="9" t="str">
        <f>IFERROR(__xludf.DUMMYFUNCTION("""COMPUTED_VALUE"""),"(C)安達園丸／一迅社")</f>
        <v>(C)安達園丸／一迅社</v>
      </c>
      <c r="V4174" s="8"/>
      <c r="W4174" s="8"/>
      <c r="X4174" s="8" t="str">
        <f>IFERROR(__xludf.DUMMYFUNCTION("""COMPUTED_VALUE"""),"有")</f>
        <v>有</v>
      </c>
      <c r="Y4174" s="8" t="str">
        <f>IFERROR(__xludf.DUMMYFUNCTION("""COMPUTED_VALUE"""),"2025/12/31まで1~2巻無料")</f>
        <v>2025/12/31まで1~2巻無料</v>
      </c>
      <c r="Z4174" s="7"/>
      <c r="AA4174" s="7"/>
      <c r="AB4174" s="7"/>
    </row>
    <row r="4175" ht="15.75" customHeight="1">
      <c r="A4175" s="26">
        <f>IFERROR(__xludf.DUMMYFUNCTION("""COMPUTED_VALUE"""),6102.0)</f>
        <v>6102</v>
      </c>
      <c r="B4175" s="22" t="str">
        <f>IFERROR(__xludf.DUMMYFUNCTION("""COMPUTED_VALUE"""),"確定")</f>
        <v>確定</v>
      </c>
      <c r="C4175" s="28">
        <f>IFERROR(__xludf.DUMMYFUNCTION("""COMPUTED_VALUE"""),45855.0)</f>
        <v>45855</v>
      </c>
      <c r="D4175" s="28">
        <f>IFERROR(__xludf.DUMMYFUNCTION("""COMPUTED_VALUE"""),45965.0)</f>
        <v>45965</v>
      </c>
      <c r="E4175" s="26">
        <f>IFERROR(__xludf.DUMMYFUNCTION("""COMPUTED_VALUE"""),346938.0)</f>
        <v>346938</v>
      </c>
      <c r="F4175" s="22" t="str">
        <f>IFERROR(__xludf.DUMMYFUNCTION("""COMPUTED_VALUE"""),"本日、貴方を愛するのをやめます　王妃と不倫した貴方が悪いのですよ？（分冊版）")</f>
        <v>本日、貴方を愛するのをやめます　王妃と不倫した貴方が悪いのですよ？（分冊版）</v>
      </c>
      <c r="G4175" s="20" t="str">
        <f>IFERROR(__xludf.DUMMYFUNCTION("""COMPUTED_VALUE"""),"1～5")</f>
        <v>1～5</v>
      </c>
      <c r="H4175" s="22" t="str">
        <f>IFERROR(__xludf.DUMMYFUNCTION("""COMPUTED_VALUE"""),"なか・八咫緑")</f>
        <v>なか・八咫緑</v>
      </c>
      <c r="I4175" s="22" t="str">
        <f>IFERROR(__xludf.DUMMYFUNCTION("""COMPUTED_VALUE"""),"女性")</f>
        <v>女性</v>
      </c>
      <c r="J4175" s="22"/>
      <c r="K4175" s="22"/>
      <c r="L4175" s="22" t="str">
        <f>IFERROR(__xludf.DUMMYFUNCTION("""COMPUTED_VALUE"""),"アルファポリス")</f>
        <v>アルファポリス</v>
      </c>
      <c r="M4175" s="33">
        <f>IFERROR(__xludf.DUMMYFUNCTION("""COMPUTED_VALUE"""),46013.0)</f>
        <v>46013</v>
      </c>
      <c r="N4175" s="33">
        <f>IFERROR(__xludf.DUMMYFUNCTION("""COMPUTED_VALUE"""),46108.0)</f>
        <v>46108</v>
      </c>
      <c r="O4175" s="20"/>
      <c r="P4175" s="32" t="str">
        <f>IFERROR(__xludf.DUMMYFUNCTION("""COMPUTED_VALUE"""),"可")</f>
        <v>可</v>
      </c>
      <c r="Q4175" s="30" t="str">
        <f>IFERROR(__xludf.DUMMYFUNCTION("""COMPUTED_VALUE"""),"【アウトバウンド提案】")</f>
        <v>【アウトバウンド提案】</v>
      </c>
      <c r="R4175" s="22"/>
      <c r="S4175" s="22" t="str">
        <f>IFERROR(__xludf.DUMMYFUNCTION("""COMPUTED_VALUE"""),"20251104_アルファポリス_本日、貴方を愛するのをやめます～王妃と不倫した貴方が悪いのですよ？～")</f>
        <v>20251104_アルファポリス_本日、貴方を愛するのをやめます～王妃と不倫した貴方が悪いのですよ？～</v>
      </c>
      <c r="T4175" s="22" t="str">
        <f>IFERROR(__xludf.DUMMYFUNCTION("""COMPUTED_VALUE"""),"格納済み")</f>
        <v>格納済み</v>
      </c>
      <c r="U4175" s="9" t="str">
        <f>IFERROR(__xludf.DUMMYFUNCTION("""COMPUTED_VALUE"""),"(C)なか・八咫緑／アルファポリス")</f>
        <v>(C)なか・八咫緑／アルファポリス</v>
      </c>
      <c r="V4175" s="8"/>
      <c r="W4175" s="8"/>
      <c r="X4175" s="8" t="str">
        <f>IFERROR(__xludf.DUMMYFUNCTION("""COMPUTED_VALUE"""),"有")</f>
        <v>有</v>
      </c>
      <c r="Y4175" s="8" t="str">
        <f>IFERROR(__xludf.DUMMYFUNCTION("""COMPUTED_VALUE"""),"1巻無料")</f>
        <v>1巻無料</v>
      </c>
      <c r="Z4175" s="7"/>
      <c r="AA4175" s="7"/>
      <c r="AB4175" s="7"/>
    </row>
    <row r="4176" ht="15.75" customHeight="1">
      <c r="A4176" s="26">
        <f>IFERROR(__xludf.DUMMYFUNCTION("""COMPUTED_VALUE"""),6156.0)</f>
        <v>6156</v>
      </c>
      <c r="B4176" s="22" t="str">
        <f>IFERROR(__xludf.DUMMYFUNCTION("""COMPUTED_VALUE"""),"確定")</f>
        <v>確定</v>
      </c>
      <c r="C4176" s="28">
        <f>IFERROR(__xludf.DUMMYFUNCTION("""COMPUTED_VALUE"""),45867.0)</f>
        <v>45867</v>
      </c>
      <c r="D4176" s="28">
        <f>IFERROR(__xludf.DUMMYFUNCTION("""COMPUTED_VALUE"""),45965.0)</f>
        <v>45965</v>
      </c>
      <c r="E4176" s="26">
        <f>IFERROR(__xludf.DUMMYFUNCTION("""COMPUTED_VALUE"""),345327.0)</f>
        <v>345327</v>
      </c>
      <c r="F4176" s="22" t="str">
        <f>IFERROR(__xludf.DUMMYFUNCTION("""COMPUTED_VALUE"""),"格付けされる世界で生きていく【タテヨミ】")</f>
        <v>格付けされる世界で生きていく【タテヨミ】</v>
      </c>
      <c r="G4176" s="20" t="str">
        <f>IFERROR(__xludf.DUMMYFUNCTION("""COMPUTED_VALUE"""),"1～8")</f>
        <v>1～8</v>
      </c>
      <c r="H4176" s="22" t="str">
        <f>IFERROR(__xludf.DUMMYFUNCTION("""COMPUTED_VALUE"""),"漫画：村人豆腐店　原作：樹の棒　キャラクター原案：蒼咲ゆきな・村人豆腐店")</f>
        <v>漫画：村人豆腐店　原作：樹の棒　キャラクター原案：蒼咲ゆきな・村人豆腐店</v>
      </c>
      <c r="I4176" s="22" t="str">
        <f>IFERROR(__xludf.DUMMYFUNCTION("""COMPUTED_VALUE"""),"青年")</f>
        <v>青年</v>
      </c>
      <c r="J4176" s="22"/>
      <c r="K4176" s="22" t="str">
        <f>IFERROR(__xludf.DUMMYFUNCTION("""COMPUTED_VALUE"""),"ヤングアニマル")</f>
        <v>ヤングアニマル</v>
      </c>
      <c r="L4176" s="22" t="str">
        <f>IFERROR(__xludf.DUMMYFUNCTION("""COMPUTED_VALUE"""),"白泉社")</f>
        <v>白泉社</v>
      </c>
      <c r="M4176" s="33">
        <f>IFERROR(__xludf.DUMMYFUNCTION("""COMPUTED_VALUE"""),46010.0)</f>
        <v>46010</v>
      </c>
      <c r="N4176" s="33">
        <f>IFERROR(__xludf.DUMMYFUNCTION("""COMPUTED_VALUE"""),46191.0)</f>
        <v>46191</v>
      </c>
      <c r="O4176" s="20"/>
      <c r="P4176" s="32" t="str">
        <f>IFERROR(__xludf.DUMMYFUNCTION("""COMPUTED_VALUE"""),"可")</f>
        <v>可</v>
      </c>
      <c r="Q4176" s="30" t="str">
        <f>IFERROR(__xludf.DUMMYFUNCTION("""COMPUTED_VALUE"""),"協業作品になります「ヤングアニマル」")</f>
        <v>協業作品になります「ヤングアニマル」</v>
      </c>
      <c r="R4176" s="22"/>
      <c r="S4176" s="22" t="str">
        <f>IFERROR(__xludf.DUMMYFUNCTION("""COMPUTED_VALUE"""),"20251030_白泉社_格付けされる世界")</f>
        <v>20251030_白泉社_格付けされる世界</v>
      </c>
      <c r="T4176" s="22" t="str">
        <f>IFERROR(__xludf.DUMMYFUNCTION("""COMPUTED_VALUE"""),"格納済み")</f>
        <v>格納済み</v>
      </c>
      <c r="U4176" s="9" t="str">
        <f>IFERROR(__xludf.DUMMYFUNCTION("""COMPUTED_VALUE"""),"Ⓒ村人豆腐店／白泉社　Ⓒ 樹の棒／フランス書院")</f>
        <v>Ⓒ村人豆腐店／白泉社　Ⓒ 樹の棒／フランス書院</v>
      </c>
      <c r="V4176" s="8"/>
      <c r="W4176" s="8"/>
      <c r="X4176" s="8" t="str">
        <f>IFERROR(__xludf.DUMMYFUNCTION("""COMPUTED_VALUE"""),"有")</f>
        <v>有</v>
      </c>
      <c r="Y4176" s="8" t="str">
        <f>IFERROR(__xludf.DUMMYFUNCTION("""COMPUTED_VALUE"""),"1~2巻無料")</f>
        <v>1~2巻無料</v>
      </c>
      <c r="Z4176" s="7"/>
      <c r="AA4176" s="7"/>
      <c r="AB4176" s="7"/>
    </row>
    <row r="4177" ht="15.75" customHeight="1">
      <c r="A4177" s="26">
        <f>IFERROR(__xludf.DUMMYFUNCTION("""COMPUTED_VALUE"""),6297.0)</f>
        <v>6297</v>
      </c>
      <c r="B4177" s="22" t="str">
        <f>IFERROR(__xludf.DUMMYFUNCTION("""COMPUTED_VALUE"""),"確定")</f>
        <v>確定</v>
      </c>
      <c r="C4177" s="28">
        <f>IFERROR(__xludf.DUMMYFUNCTION("""COMPUTED_VALUE"""),45889.0)</f>
        <v>45889</v>
      </c>
      <c r="D4177" s="28">
        <f>IFERROR(__xludf.DUMMYFUNCTION("""COMPUTED_VALUE"""),45965.0)</f>
        <v>45965</v>
      </c>
      <c r="E4177" s="26">
        <f>IFERROR(__xludf.DUMMYFUNCTION("""COMPUTED_VALUE"""),345323.0)</f>
        <v>345323</v>
      </c>
      <c r="F4177" s="22" t="str">
        <f>IFERROR(__xludf.DUMMYFUNCTION("""COMPUTED_VALUE"""),"俺は長田の『男友達』じゃないから【R版】")</f>
        <v>俺は長田の『男友達』じゃないから【R版】</v>
      </c>
      <c r="G4177" s="20" t="str">
        <f>IFERROR(__xludf.DUMMYFUNCTION("""COMPUTED_VALUE"""),"1～4")</f>
        <v>1～4</v>
      </c>
      <c r="H4177" s="22" t="str">
        <f>IFERROR(__xludf.DUMMYFUNCTION("""COMPUTED_VALUE"""),"ろに/保田飯飯")</f>
        <v>ろに/保田飯飯</v>
      </c>
      <c r="I4177" s="22" t="str">
        <f>IFERROR(__xludf.DUMMYFUNCTION("""COMPUTED_VALUE"""),"アダルト")</f>
        <v>アダルト</v>
      </c>
      <c r="J4177" s="22"/>
      <c r="K4177" s="22" t="str">
        <f>IFERROR(__xludf.DUMMYFUNCTION("""COMPUTED_VALUE"""),"THE猥談")</f>
        <v>THE猥談</v>
      </c>
      <c r="L4177" s="22" t="str">
        <f>IFERROR(__xludf.DUMMYFUNCTION("""COMPUTED_VALUE"""),"DLcomics")</f>
        <v>DLcomics</v>
      </c>
      <c r="M4177" s="33">
        <f>IFERROR(__xludf.DUMMYFUNCTION("""COMPUTED_VALUE"""),45989.0)</f>
        <v>45989</v>
      </c>
      <c r="N4177" s="33">
        <f>IFERROR(__xludf.DUMMYFUNCTION("""COMPUTED_VALUE"""),46086.0)</f>
        <v>46086</v>
      </c>
      <c r="O4177" s="20"/>
      <c r="P4177" s="32" t="str">
        <f>IFERROR(__xludf.DUMMYFUNCTION("""COMPUTED_VALUE"""),"可")</f>
        <v>可</v>
      </c>
      <c r="Q4177" s="30"/>
      <c r="R4177" s="22" t="str">
        <f>IFERROR(__xludf.DUMMYFUNCTION("""COMPUTED_VALUE"""),"コミットOK")</f>
        <v>コミットOK</v>
      </c>
      <c r="S4177" s="22" t="str">
        <f>IFERROR(__xludf.DUMMYFUNCTION("""COMPUTED_VALUE"""),"20251104_DLcomics_俺は長田の『男友達』じゃないから【R版】")</f>
        <v>20251104_DLcomics_俺は長田の『男友達』じゃないから【R版】</v>
      </c>
      <c r="T4177" s="22" t="str">
        <f>IFERROR(__xludf.DUMMYFUNCTION("""COMPUTED_VALUE"""),"格納済み")</f>
        <v>格納済み</v>
      </c>
      <c r="U4177" s="9" t="str">
        <f>IFERROR(__xludf.DUMMYFUNCTION("""COMPUTED_VALUE"""),"(C)ろに/保田飯飯/THE猥談")</f>
        <v>(C)ろに/保田飯飯/THE猥談</v>
      </c>
      <c r="V4177" s="8"/>
      <c r="W4177" s="8"/>
      <c r="X4177" s="8" t="str">
        <f>IFERROR(__xludf.DUMMYFUNCTION("""COMPUTED_VALUE"""),"有")</f>
        <v>有</v>
      </c>
      <c r="Y4177" s="8" t="str">
        <f>IFERROR(__xludf.DUMMYFUNCTION("""COMPUTED_VALUE"""),"2026/3/5まで1巻無料")</f>
        <v>2026/3/5まで1巻無料</v>
      </c>
      <c r="Z4177" s="7"/>
      <c r="AA4177" s="7"/>
      <c r="AB4177" s="7"/>
    </row>
    <row r="4178" ht="15.75" customHeight="1">
      <c r="A4178" s="26">
        <f>IFERROR(__xludf.DUMMYFUNCTION("""COMPUTED_VALUE"""),6303.0)</f>
        <v>6303</v>
      </c>
      <c r="B4178" s="22" t="str">
        <f>IFERROR(__xludf.DUMMYFUNCTION("""COMPUTED_VALUE"""),"確定")</f>
        <v>確定</v>
      </c>
      <c r="C4178" s="28">
        <f>IFERROR(__xludf.DUMMYFUNCTION("""COMPUTED_VALUE"""),45889.0)</f>
        <v>45889</v>
      </c>
      <c r="D4178" s="28">
        <f>IFERROR(__xludf.DUMMYFUNCTION("""COMPUTED_VALUE"""),45965.0)</f>
        <v>45965</v>
      </c>
      <c r="E4178" s="26">
        <f>IFERROR(__xludf.DUMMYFUNCTION("""COMPUTED_VALUE"""),339551.0)</f>
        <v>339551</v>
      </c>
      <c r="F4178" s="22" t="str">
        <f>IFERROR(__xludf.DUMMYFUNCTION("""COMPUTED_VALUE"""),"魔王様の長すぎる初恋～冷徹御曹司との甘い契約生活～")</f>
        <v>魔王様の長すぎる初恋～冷徹御曹司との甘い契約生活～</v>
      </c>
      <c r="G4178" s="20" t="str">
        <f>IFERROR(__xludf.DUMMYFUNCTION("""COMPUTED_VALUE"""),"1～3")</f>
        <v>1～3</v>
      </c>
      <c r="H4178" s="22" t="str">
        <f>IFERROR(__xludf.DUMMYFUNCTION("""COMPUTED_VALUE"""),"円香りも")</f>
        <v>円香りも</v>
      </c>
      <c r="I4178" s="22" t="str">
        <f>IFERROR(__xludf.DUMMYFUNCTION("""COMPUTED_VALUE"""),"女性マンガ")</f>
        <v>女性マンガ</v>
      </c>
      <c r="J4178" s="22"/>
      <c r="K4178" s="22" t="str">
        <f>IFERROR(__xludf.DUMMYFUNCTION("""COMPUTED_VALUE"""),"コイパレ")</f>
        <v>コイパレ</v>
      </c>
      <c r="L4178" s="22" t="str">
        <f>IFERROR(__xludf.DUMMYFUNCTION("""COMPUTED_VALUE"""),"CLLENN")</f>
        <v>CLLENN</v>
      </c>
      <c r="M4178" s="33">
        <f>IFERROR(__xludf.DUMMYFUNCTION("""COMPUTED_VALUE"""),45959.0)</f>
        <v>45959</v>
      </c>
      <c r="N4178" s="33">
        <f>IFERROR(__xludf.DUMMYFUNCTION("""COMPUTED_VALUE"""),46021.0)</f>
        <v>46021</v>
      </c>
      <c r="O4178" s="20"/>
      <c r="P4178" s="32" t="str">
        <f>IFERROR(__xludf.DUMMYFUNCTION("""COMPUTED_VALUE"""),"可")</f>
        <v>可</v>
      </c>
      <c r="Q4178" s="30"/>
      <c r="R4178" s="22" t="str">
        <f>IFERROR(__xludf.DUMMYFUNCTION("""COMPUTED_VALUE"""),"コミットNG")</f>
        <v>コミットNG</v>
      </c>
      <c r="S4178" s="22" t="str">
        <f>IFERROR(__xludf.DUMMYFUNCTION("""COMPUTED_VALUE"""),"20251104_CLLENN_魔王様の長すぎる初恋～冷徹御曹司との甘い契約生活～")</f>
        <v>20251104_CLLENN_魔王様の長すぎる初恋～冷徹御曹司との甘い契約生活～</v>
      </c>
      <c r="T4178" s="22" t="str">
        <f>IFERROR(__xludf.DUMMYFUNCTION("""COMPUTED_VALUE"""),"格納済み")</f>
        <v>格納済み</v>
      </c>
      <c r="U4178" s="9" t="str">
        <f>IFERROR(__xludf.DUMMYFUNCTION("""COMPUTED_VALUE"""),"Ⓒ円香りも/CLLENN")</f>
        <v>Ⓒ円香りも/CLLENN</v>
      </c>
      <c r="V4178" s="8"/>
      <c r="W4178" s="8"/>
      <c r="X4178" s="8" t="str">
        <f>IFERROR(__xludf.DUMMYFUNCTION("""COMPUTED_VALUE"""),"有")</f>
        <v>有</v>
      </c>
      <c r="Y4178" s="8" t="str">
        <f>IFERROR(__xludf.DUMMYFUNCTION("""COMPUTED_VALUE"""),"P10まで")</f>
        <v>P10まで</v>
      </c>
      <c r="Z4178" s="7"/>
      <c r="AA4178" s="7"/>
      <c r="AB4178" s="7"/>
    </row>
    <row r="4179" ht="15.75" customHeight="1">
      <c r="A4179" s="26">
        <f>IFERROR(__xludf.DUMMYFUNCTION("""COMPUTED_VALUE"""),6374.0)</f>
        <v>6374</v>
      </c>
      <c r="B4179" s="22" t="str">
        <f>IFERROR(__xludf.DUMMYFUNCTION("""COMPUTED_VALUE"""),"確定")</f>
        <v>確定</v>
      </c>
      <c r="C4179" s="28">
        <f>IFERROR(__xludf.DUMMYFUNCTION("""COMPUTED_VALUE"""),45901.0)</f>
        <v>45901</v>
      </c>
      <c r="D4179" s="28">
        <f>IFERROR(__xludf.DUMMYFUNCTION("""COMPUTED_VALUE"""),45966.0)</f>
        <v>45966</v>
      </c>
      <c r="E4179" s="26">
        <f>IFERROR(__xludf.DUMMYFUNCTION("""COMPUTED_VALUE"""),342749.0)</f>
        <v>342749</v>
      </c>
      <c r="F4179" s="22" t="str">
        <f>IFERROR(__xludf.DUMMYFUNCTION("""COMPUTED_VALUE"""),"君が愛を知りますように 分冊版")</f>
        <v>君が愛を知りますように 分冊版</v>
      </c>
      <c r="G4179" s="20" t="str">
        <f>IFERROR(__xludf.DUMMYFUNCTION("""COMPUTED_VALUE"""),"1～4")</f>
        <v>1～4</v>
      </c>
      <c r="H4179" s="22" t="str">
        <f>IFERROR(__xludf.DUMMYFUNCTION("""COMPUTED_VALUE"""),"佐々木奈緒")</f>
        <v>佐々木奈緒</v>
      </c>
      <c r="I4179" s="22" t="str">
        <f>IFERROR(__xludf.DUMMYFUNCTION("""COMPUTED_VALUE"""),"少女")</f>
        <v>少女</v>
      </c>
      <c r="J4179" s="22"/>
      <c r="K4179" s="22"/>
      <c r="L4179" s="22" t="str">
        <f>IFERROR(__xludf.DUMMYFUNCTION("""COMPUTED_VALUE"""),"集英社")</f>
        <v>集英社</v>
      </c>
      <c r="M4179" s="33">
        <f>IFERROR(__xludf.DUMMYFUNCTION("""COMPUTED_VALUE"""),45991.0)</f>
        <v>45991</v>
      </c>
      <c r="N4179" s="33">
        <f>IFERROR(__xludf.DUMMYFUNCTION("""COMPUTED_VALUE"""),46044.0)</f>
        <v>46044</v>
      </c>
      <c r="O4179" s="20"/>
      <c r="P4179" s="32" t="str">
        <f>IFERROR(__xludf.DUMMYFUNCTION("""COMPUTED_VALUE"""),"否")</f>
        <v>否</v>
      </c>
      <c r="Q4179" s="30" t="str">
        <f>IFERROR(__xludf.DUMMYFUNCTION("""COMPUTED_VALUE"""),"・単行本1巻も同時配信です（単行本も同期間シーモア先行です。）")</f>
        <v>・単行本1巻も同時配信です（単行本も同期間シーモア先行です。）</v>
      </c>
      <c r="R4179" s="22" t="str">
        <f>IFERROR(__xludf.DUMMYFUNCTION("""COMPUTED_VALUE"""),"コミットOK")</f>
        <v>コミットOK</v>
      </c>
      <c r="S4179" s="22" t="str">
        <f>IFERROR(__xludf.DUMMYFUNCTION("""COMPUTED_VALUE"""),"20251104_集英社_君が愛を知りますように")</f>
        <v>20251104_集英社_君が愛を知りますように</v>
      </c>
      <c r="T4179" s="22" t="str">
        <f>IFERROR(__xludf.DUMMYFUNCTION("""COMPUTED_VALUE"""),"格納済み")</f>
        <v>格納済み</v>
      </c>
      <c r="U4179" s="9" t="str">
        <f>IFERROR(__xludf.DUMMYFUNCTION("""COMPUTED_VALUE"""),"（C）佐々木奈緒／集英社")</f>
        <v>（C）佐々木奈緒／集英社</v>
      </c>
      <c r="V4179" s="8"/>
      <c r="W4179" s="8"/>
      <c r="X4179" s="8" t="str">
        <f>IFERROR(__xludf.DUMMYFUNCTION("""COMPUTED_VALUE"""),"有")</f>
        <v>有</v>
      </c>
      <c r="Y4179" s="8" t="str">
        <f>IFERROR(__xludf.DUMMYFUNCTION("""COMPUTED_VALUE"""),"2025/12/29まで1巻無料")</f>
        <v>2025/12/29まで1巻無料</v>
      </c>
      <c r="Z4179" s="7"/>
      <c r="AA4179" s="7"/>
      <c r="AB4179" s="7"/>
    </row>
    <row r="4180" ht="15.75" customHeight="1">
      <c r="A4180" s="26">
        <f>IFERROR(__xludf.DUMMYFUNCTION("""COMPUTED_VALUE"""),6396.0)</f>
        <v>6396</v>
      </c>
      <c r="B4180" s="22" t="str">
        <f>IFERROR(__xludf.DUMMYFUNCTION("""COMPUTED_VALUE"""),"確定")</f>
        <v>確定</v>
      </c>
      <c r="C4180" s="28">
        <f>IFERROR(__xludf.DUMMYFUNCTION("""COMPUTED_VALUE"""),45902.0)</f>
        <v>45902</v>
      </c>
      <c r="D4180" s="28">
        <f>IFERROR(__xludf.DUMMYFUNCTION("""COMPUTED_VALUE"""),45960.0)</f>
        <v>45960</v>
      </c>
      <c r="E4180" s="26">
        <f>IFERROR(__xludf.DUMMYFUNCTION("""COMPUTED_VALUE"""),341762.0)</f>
        <v>341762</v>
      </c>
      <c r="F4180" s="22" t="str">
        <f>IFERROR(__xludf.DUMMYFUNCTION("""COMPUTED_VALUE"""),"初恋夫婦 ロマンスは軍人侯爵様と《カノンミア》")</f>
        <v>初恋夫婦 ロマンスは軍人侯爵様と《カノンミア》</v>
      </c>
      <c r="G4180" s="20" t="str">
        <f>IFERROR(__xludf.DUMMYFUNCTION("""COMPUTED_VALUE"""),"1～2")</f>
        <v>1～2</v>
      </c>
      <c r="H4180" s="22" t="str">
        <f>IFERROR(__xludf.DUMMYFUNCTION("""COMPUTED_VALUE"""),"著者:ルボ　原作:麻生ミカリ　キャラクター原案:ウエハラ蜂")</f>
        <v>著者:ルボ　原作:麻生ミカリ　キャラクター原案:ウエハラ蜂</v>
      </c>
      <c r="I4180" s="22" t="str">
        <f>IFERROR(__xludf.DUMMYFUNCTION("""COMPUTED_VALUE"""),"TL")</f>
        <v>TL</v>
      </c>
      <c r="J4180" s="22"/>
      <c r="K4180" s="22" t="str">
        <f>IFERROR(__xludf.DUMMYFUNCTION("""COMPUTED_VALUE"""),"カノンミアコミックス")</f>
        <v>カノンミアコミックス</v>
      </c>
      <c r="L4180" s="22" t="str">
        <f>IFERROR(__xludf.DUMMYFUNCTION("""COMPUTED_VALUE"""),"英和出版社")</f>
        <v>英和出版社</v>
      </c>
      <c r="M4180" s="33">
        <f>IFERROR(__xludf.DUMMYFUNCTION("""COMPUTED_VALUE"""),45981.0)</f>
        <v>45981</v>
      </c>
      <c r="N4180" s="33">
        <f>IFERROR(__xludf.DUMMYFUNCTION("""COMPUTED_VALUE"""),46072.0)</f>
        <v>46072</v>
      </c>
      <c r="O4180" s="20"/>
      <c r="P4180" s="32" t="str">
        <f>IFERROR(__xludf.DUMMYFUNCTION("""COMPUTED_VALUE"""),"可")</f>
        <v>可</v>
      </c>
      <c r="Q4180" s="30"/>
      <c r="R4180" s="22" t="str">
        <f>IFERROR(__xludf.DUMMYFUNCTION("""COMPUTED_VALUE"""),"コミットOK")</f>
        <v>コミットOK</v>
      </c>
      <c r="S4180" s="22" t="str">
        <f>IFERROR(__xludf.DUMMYFUNCTION("""COMPUTED_VALUE"""),"20251028_英和出版社_修正済み_初恋夫婦 ロマンスは軍人侯爵様と")</f>
        <v>20251028_英和出版社_修正済み_初恋夫婦 ロマンスは軍人侯爵様と</v>
      </c>
      <c r="T4180" s="22" t="str">
        <f>IFERROR(__xludf.DUMMYFUNCTION("""COMPUTED_VALUE"""),"格納済み")</f>
        <v>格納済み</v>
      </c>
      <c r="U4180" s="9" t="str">
        <f>IFERROR(__xludf.DUMMYFUNCTION("""COMPUTED_VALUE"""),"Ⓒルボ・麻生ミカリ・ウエハラ蜂/英和出版社")</f>
        <v>Ⓒルボ・麻生ミカリ・ウエハラ蜂/英和出版社</v>
      </c>
      <c r="V4180" s="8"/>
      <c r="W4180" s="8"/>
      <c r="X4180" s="8" t="str">
        <f>IFERROR(__xludf.DUMMYFUNCTION("""COMPUTED_VALUE"""),"有")</f>
        <v>有</v>
      </c>
      <c r="Y4180" s="8" t="str">
        <f>IFERROR(__xludf.DUMMYFUNCTION("""COMPUTED_VALUE"""),"P10まで")</f>
        <v>P10まで</v>
      </c>
      <c r="Z4180" s="7"/>
      <c r="AA4180" s="7"/>
      <c r="AB4180" s="7"/>
    </row>
    <row r="4181" ht="15.75" customHeight="1">
      <c r="A4181" s="26">
        <f>IFERROR(__xludf.DUMMYFUNCTION("""COMPUTED_VALUE"""),6415.0)</f>
        <v>6415</v>
      </c>
      <c r="B4181" s="22" t="str">
        <f>IFERROR(__xludf.DUMMYFUNCTION("""COMPUTED_VALUE"""),"確定")</f>
        <v>確定</v>
      </c>
      <c r="C4181" s="28">
        <f>IFERROR(__xludf.DUMMYFUNCTION("""COMPUTED_VALUE"""),45903.0)</f>
        <v>45903</v>
      </c>
      <c r="D4181" s="28">
        <f>IFERROR(__xludf.DUMMYFUNCTION("""COMPUTED_VALUE"""),45959.0)</f>
        <v>45959</v>
      </c>
      <c r="E4181" s="26">
        <f>IFERROR(__xludf.DUMMYFUNCTION("""COMPUTED_VALUE"""),342926.0)</f>
        <v>342926</v>
      </c>
      <c r="F4181" s="22" t="str">
        <f>IFERROR(__xludf.DUMMYFUNCTION("""COMPUTED_VALUE"""),"今夜はいい夢を【タテヨミ】")</f>
        <v>今夜はいい夢を【タテヨミ】</v>
      </c>
      <c r="G4181" s="20" t="str">
        <f>IFERROR(__xludf.DUMMYFUNCTION("""COMPUTED_VALUE"""),"1～20")</f>
        <v>1～20</v>
      </c>
      <c r="H4181" s="22" t="str">
        <f>IFERROR(__xludf.DUMMYFUNCTION("""COMPUTED_VALUE"""),"原作：カン作画：ACO")</f>
        <v>原作：カン作画：ACO</v>
      </c>
      <c r="I4181" s="22" t="str">
        <f>IFERROR(__xludf.DUMMYFUNCTION("""COMPUTED_VALUE"""),"青年")</f>
        <v>青年</v>
      </c>
      <c r="J4181" s="22"/>
      <c r="K4181" s="22"/>
      <c r="L4181" s="22" t="str">
        <f>IFERROR(__xludf.DUMMYFUNCTION("""COMPUTED_VALUE"""),"Studio reBorn")</f>
        <v>Studio reBorn</v>
      </c>
      <c r="M4181" s="33">
        <f>IFERROR(__xludf.DUMMYFUNCTION("""COMPUTED_VALUE"""),45989.0)</f>
        <v>45989</v>
      </c>
      <c r="N4181" s="33">
        <f>IFERROR(__xludf.DUMMYFUNCTION("""COMPUTED_VALUE"""),46080.0)</f>
        <v>46080</v>
      </c>
      <c r="O4181" s="20"/>
      <c r="P4181" s="32" t="str">
        <f>IFERROR(__xludf.DUMMYFUNCTION("""COMPUTED_VALUE"""),"可")</f>
        <v>可</v>
      </c>
      <c r="Q4181" s="30" t="str">
        <f>IFERROR(__xludf.DUMMYFUNCTION("""COMPUTED_VALUE"""),"【アダルト作品扱い】&lt;BR&gt;Toomicsのみ配信中")</f>
        <v>【アダルト作品扱い】&lt;BR&gt;Toomicsのみ配信中</v>
      </c>
      <c r="R4181" s="22" t="str">
        <f>IFERROR(__xludf.DUMMYFUNCTION("""COMPUTED_VALUE"""),"コミットOK")</f>
        <v>コミットOK</v>
      </c>
      <c r="S4181" s="22" t="str">
        <f>IFERROR(__xludf.DUMMYFUNCTION("""COMPUTED_VALUE"""),"20251029_Studio reBorn_今夜はいい夢を")</f>
        <v>20251029_Studio reBorn_今夜はいい夢を</v>
      </c>
      <c r="T4181" s="22" t="str">
        <f>IFERROR(__xludf.DUMMYFUNCTION("""COMPUTED_VALUE"""),"格納済み")</f>
        <v>格納済み</v>
      </c>
      <c r="U4181" s="9" t="str">
        <f>IFERROR(__xludf.DUMMYFUNCTION("""COMPUTED_VALUE"""),"(c) カン&amp;ACO / Toomics")</f>
        <v>(c) カン&amp;ACO / Toomics</v>
      </c>
      <c r="V4181" s="8"/>
      <c r="W4181" s="8"/>
      <c r="X4181" s="8" t="str">
        <f>IFERROR(__xludf.DUMMYFUNCTION("""COMPUTED_VALUE"""),"有")</f>
        <v>有</v>
      </c>
      <c r="Y4181" s="8" t="str">
        <f>IFERROR(__xludf.DUMMYFUNCTION("""COMPUTED_VALUE"""),"1~3巻無料")</f>
        <v>1~3巻無料</v>
      </c>
      <c r="Z4181" s="7"/>
      <c r="AA4181" s="7"/>
      <c r="AB4181" s="7"/>
    </row>
    <row r="4182" ht="15.75" customHeight="1">
      <c r="A4182" s="26">
        <f>IFERROR(__xludf.DUMMYFUNCTION("""COMPUTED_VALUE"""),6421.0)</f>
        <v>6421</v>
      </c>
      <c r="B4182" s="22" t="str">
        <f>IFERROR(__xludf.DUMMYFUNCTION("""COMPUTED_VALUE"""),"確定")</f>
        <v>確定</v>
      </c>
      <c r="C4182" s="28">
        <f>IFERROR(__xludf.DUMMYFUNCTION("""COMPUTED_VALUE"""),45903.0)</f>
        <v>45903</v>
      </c>
      <c r="D4182" s="28">
        <f>IFERROR(__xludf.DUMMYFUNCTION("""COMPUTED_VALUE"""),45960.0)</f>
        <v>45960</v>
      </c>
      <c r="E4182" s="26">
        <f>IFERROR(__xludf.DUMMYFUNCTION("""COMPUTED_VALUE"""),342927.0)</f>
        <v>342927</v>
      </c>
      <c r="F4182" s="22" t="str">
        <f>IFERROR(__xludf.DUMMYFUNCTION("""COMPUTED_VALUE"""),"付き合うなんて言ってない！【タテヨミ】")</f>
        <v>付き合うなんて言ってない！【タテヨミ】</v>
      </c>
      <c r="G4182" s="20" t="str">
        <f>IFERROR(__xludf.DUMMYFUNCTION("""COMPUTED_VALUE"""),"1～30")</f>
        <v>1～30</v>
      </c>
      <c r="H4182" s="22" t="str">
        <f>IFERROR(__xludf.DUMMYFUNCTION("""COMPUTED_VALUE"""),"原作：チームBY作画：ごむごみ")</f>
        <v>原作：チームBY作画：ごむごみ</v>
      </c>
      <c r="I4182" s="22" t="str">
        <f>IFERROR(__xludf.DUMMYFUNCTION("""COMPUTED_VALUE"""),"青年")</f>
        <v>青年</v>
      </c>
      <c r="J4182" s="22"/>
      <c r="K4182" s="22"/>
      <c r="L4182" s="22" t="str">
        <f>IFERROR(__xludf.DUMMYFUNCTION("""COMPUTED_VALUE"""),"Studio reBorn")</f>
        <v>Studio reBorn</v>
      </c>
      <c r="M4182" s="33">
        <f>IFERROR(__xludf.DUMMYFUNCTION("""COMPUTED_VALUE"""),45989.0)</f>
        <v>45989</v>
      </c>
      <c r="N4182" s="33">
        <f>IFERROR(__xludf.DUMMYFUNCTION("""COMPUTED_VALUE"""),46080.0)</f>
        <v>46080</v>
      </c>
      <c r="O4182" s="20"/>
      <c r="P4182" s="32" t="str">
        <f>IFERROR(__xludf.DUMMYFUNCTION("""COMPUTED_VALUE"""),"可")</f>
        <v>可</v>
      </c>
      <c r="Q4182" s="30" t="str">
        <f>IFERROR(__xludf.DUMMYFUNCTION("""COMPUTED_VALUE"""),"Toomicsのみ配信中")</f>
        <v>Toomicsのみ配信中</v>
      </c>
      <c r="R4182" s="22" t="str">
        <f>IFERROR(__xludf.DUMMYFUNCTION("""COMPUTED_VALUE"""),"コミットOK")</f>
        <v>コミットOK</v>
      </c>
      <c r="S4182" s="22" t="str">
        <f>IFERROR(__xludf.DUMMYFUNCTION("""COMPUTED_VALUE"""),"20251029_Studio reBorn_付き合うなんて言ってない！")</f>
        <v>20251029_Studio reBorn_付き合うなんて言ってない！</v>
      </c>
      <c r="T4182" s="22" t="str">
        <f>IFERROR(__xludf.DUMMYFUNCTION("""COMPUTED_VALUE"""),"格納済み")</f>
        <v>格納済み</v>
      </c>
      <c r="U4182" s="9" t="str">
        <f>IFERROR(__xludf.DUMMYFUNCTION("""COMPUTED_VALUE"""),"(c) チームBY&amp;ごむごみ / Toomics")</f>
        <v>(c) チームBY&amp;ごむごみ / Toomics</v>
      </c>
      <c r="V4182" s="8"/>
      <c r="W4182" s="8"/>
      <c r="X4182" s="8" t="str">
        <f>IFERROR(__xludf.DUMMYFUNCTION("""COMPUTED_VALUE"""),"有")</f>
        <v>有</v>
      </c>
      <c r="Y4182" s="8" t="str">
        <f>IFERROR(__xludf.DUMMYFUNCTION("""COMPUTED_VALUE"""),"1~3巻無料")</f>
        <v>1~3巻無料</v>
      </c>
      <c r="Z4182" s="7"/>
      <c r="AA4182" s="7"/>
      <c r="AB4182" s="7"/>
    </row>
    <row r="4183" ht="15.75" customHeight="1">
      <c r="A4183" s="26">
        <f>IFERROR(__xludf.DUMMYFUNCTION("""COMPUTED_VALUE"""),6434.0)</f>
        <v>6434</v>
      </c>
      <c r="B4183" s="22" t="str">
        <f>IFERROR(__xludf.DUMMYFUNCTION("""COMPUTED_VALUE"""),"確定")</f>
        <v>確定</v>
      </c>
      <c r="C4183" s="28">
        <f>IFERROR(__xludf.DUMMYFUNCTION("""COMPUTED_VALUE"""),45904.0)</f>
        <v>45904</v>
      </c>
      <c r="D4183" s="28">
        <f>IFERROR(__xludf.DUMMYFUNCTION("""COMPUTED_VALUE"""),45965.0)</f>
        <v>45965</v>
      </c>
      <c r="E4183" s="26">
        <f>IFERROR(__xludf.DUMMYFUNCTION("""COMPUTED_VALUE"""),343034.0)</f>
        <v>343034</v>
      </c>
      <c r="F4183" s="22" t="str">
        <f>IFERROR(__xludf.DUMMYFUNCTION("""COMPUTED_VALUE"""),"【ラブパルフェ】飲み友達の極メロ愛戯～本命不器用モテ男同僚に喘がされてます")</f>
        <v>【ラブパルフェ】飲み友達の極メロ愛戯～本命不器用モテ男同僚に喘がされてます</v>
      </c>
      <c r="G4183" s="20" t="str">
        <f>IFERROR(__xludf.DUMMYFUNCTION("""COMPUTED_VALUE"""),"1～3")</f>
        <v>1～3</v>
      </c>
      <c r="H4183" s="22" t="str">
        <f>IFERROR(__xludf.DUMMYFUNCTION("""COMPUTED_VALUE"""),"猪戸 翠")</f>
        <v>猪戸 翠</v>
      </c>
      <c r="I4183" s="22" t="str">
        <f>IFERROR(__xludf.DUMMYFUNCTION("""COMPUTED_VALUE"""),"TL")</f>
        <v>TL</v>
      </c>
      <c r="J4183" s="22"/>
      <c r="K4183" s="22" t="str">
        <f>IFERROR(__xludf.DUMMYFUNCTION("""COMPUTED_VALUE"""),"ラブパルフェ")</f>
        <v>ラブパルフェ</v>
      </c>
      <c r="L4183" s="22" t="str">
        <f>IFERROR(__xludf.DUMMYFUNCTION("""COMPUTED_VALUE"""),"オーバーラップ")</f>
        <v>オーバーラップ</v>
      </c>
      <c r="M4183" s="33">
        <f>IFERROR(__xludf.DUMMYFUNCTION("""COMPUTED_VALUE"""),45992.0)</f>
        <v>45992</v>
      </c>
      <c r="N4183" s="33">
        <f>IFERROR(__xludf.DUMMYFUNCTION("""COMPUTED_VALUE"""),46053.0)</f>
        <v>46053</v>
      </c>
      <c r="O4183" s="20"/>
      <c r="P4183" s="32" t="str">
        <f>IFERROR(__xludf.DUMMYFUNCTION("""COMPUTED_VALUE"""),"可")</f>
        <v>可</v>
      </c>
      <c r="Q4183" s="30" t="str">
        <f>IFERROR(__xludf.DUMMYFUNCTION("""COMPUTED_VALUE"""),"【アダルト作品扱い】")</f>
        <v>【アダルト作品扱い】</v>
      </c>
      <c r="R4183" s="22" t="str">
        <f>IFERROR(__xludf.DUMMYFUNCTION("""COMPUTED_VALUE"""),"コミットNG")</f>
        <v>コミットNG</v>
      </c>
      <c r="S4183" s="22" t="str">
        <f>IFERROR(__xludf.DUMMYFUNCTION("""COMPUTED_VALUE"""),"20251104_オーバーラップ_飲み友達の極メロ愛戯～本命不器用モテ男同僚に喘がされてます")</f>
        <v>20251104_オーバーラップ_飲み友達の極メロ愛戯～本命不器用モテ男同僚に喘がされてます</v>
      </c>
      <c r="T4183" s="22" t="str">
        <f>IFERROR(__xludf.DUMMYFUNCTION("""COMPUTED_VALUE"""),"格納済み")</f>
        <v>格納済み</v>
      </c>
      <c r="U4183" s="9" t="str">
        <f>IFERROR(__xludf.DUMMYFUNCTION("""COMPUTED_VALUE"""),"(C)猪戸 翠／オーバーラップ")</f>
        <v>(C)猪戸 翠／オーバーラップ</v>
      </c>
      <c r="V4183" s="8"/>
      <c r="W4183" s="8"/>
      <c r="X4183" s="8" t="str">
        <f>IFERROR(__xludf.DUMMYFUNCTION("""COMPUTED_VALUE"""),"有")</f>
        <v>有</v>
      </c>
      <c r="Y4183" s="8" t="str">
        <f>IFERROR(__xludf.DUMMYFUNCTION("""COMPUTED_VALUE"""),"2026/1/31まで1巻無料")</f>
        <v>2026/1/31まで1巻無料</v>
      </c>
      <c r="Z4183" s="7"/>
      <c r="AA4183" s="7"/>
      <c r="AB4183" s="7"/>
    </row>
    <row r="4184" ht="15.75" customHeight="1">
      <c r="A4184" s="26">
        <f>IFERROR(__xludf.DUMMYFUNCTION("""COMPUTED_VALUE"""),6435.0)</f>
        <v>6435</v>
      </c>
      <c r="B4184" s="22" t="str">
        <f>IFERROR(__xludf.DUMMYFUNCTION("""COMPUTED_VALUE"""),"確定")</f>
        <v>確定</v>
      </c>
      <c r="C4184" s="28">
        <f>IFERROR(__xludf.DUMMYFUNCTION("""COMPUTED_VALUE"""),45904.0)</f>
        <v>45904</v>
      </c>
      <c r="D4184" s="28">
        <f>IFERROR(__xludf.DUMMYFUNCTION("""COMPUTED_VALUE"""),45965.0)</f>
        <v>45965</v>
      </c>
      <c r="E4184" s="26">
        <f>IFERROR(__xludf.DUMMYFUNCTION("""COMPUTED_VALUE"""),343032.0)</f>
        <v>343032</v>
      </c>
      <c r="F4184" s="22" t="str">
        <f>IFERROR(__xludf.DUMMYFUNCTION("""COMPUTED_VALUE"""),"【ラブパルフェ】激重カレシ椿木さんが逃がしてくれない～ずぶずぶ執着愛にイキ堕とされるまで")</f>
        <v>【ラブパルフェ】激重カレシ椿木さんが逃がしてくれない～ずぶずぶ執着愛にイキ堕とされるまで</v>
      </c>
      <c r="G4184" s="20" t="str">
        <f>IFERROR(__xludf.DUMMYFUNCTION("""COMPUTED_VALUE"""),"1～3")</f>
        <v>1～3</v>
      </c>
      <c r="H4184" s="22" t="str">
        <f>IFERROR(__xludf.DUMMYFUNCTION("""COMPUTED_VALUE"""),"あおののわ")</f>
        <v>あおののわ</v>
      </c>
      <c r="I4184" s="22" t="str">
        <f>IFERROR(__xludf.DUMMYFUNCTION("""COMPUTED_VALUE"""),"TL")</f>
        <v>TL</v>
      </c>
      <c r="J4184" s="22"/>
      <c r="K4184" s="22" t="str">
        <f>IFERROR(__xludf.DUMMYFUNCTION("""COMPUTED_VALUE"""),"ラブパルフェ")</f>
        <v>ラブパルフェ</v>
      </c>
      <c r="L4184" s="22" t="str">
        <f>IFERROR(__xludf.DUMMYFUNCTION("""COMPUTED_VALUE"""),"オーバーラップ")</f>
        <v>オーバーラップ</v>
      </c>
      <c r="M4184" s="33">
        <f>IFERROR(__xludf.DUMMYFUNCTION("""COMPUTED_VALUE"""),45992.0)</f>
        <v>45992</v>
      </c>
      <c r="N4184" s="33">
        <f>IFERROR(__xludf.DUMMYFUNCTION("""COMPUTED_VALUE"""),46053.0)</f>
        <v>46053</v>
      </c>
      <c r="O4184" s="20"/>
      <c r="P4184" s="32" t="str">
        <f>IFERROR(__xludf.DUMMYFUNCTION("""COMPUTED_VALUE"""),"可")</f>
        <v>可</v>
      </c>
      <c r="Q4184" s="30" t="str">
        <f>IFERROR(__xludf.DUMMYFUNCTION("""COMPUTED_VALUE"""),"【アダルト作品扱い】")</f>
        <v>【アダルト作品扱い】</v>
      </c>
      <c r="R4184" s="22" t="str">
        <f>IFERROR(__xludf.DUMMYFUNCTION("""COMPUTED_VALUE"""),"コミットNG")</f>
        <v>コミットNG</v>
      </c>
      <c r="S4184" s="22" t="str">
        <f>IFERROR(__xludf.DUMMYFUNCTION("""COMPUTED_VALUE"""),"20251104_オーバーラップ_激重カレシ椿木さんが逃がしてくれない～ずぶずぶ執着愛にイキ堕とされるまで")</f>
        <v>20251104_オーバーラップ_激重カレシ椿木さんが逃がしてくれない～ずぶずぶ執着愛にイキ堕とされるまで</v>
      </c>
      <c r="T4184" s="22" t="str">
        <f>IFERROR(__xludf.DUMMYFUNCTION("""COMPUTED_VALUE"""),"格納済み")</f>
        <v>格納済み</v>
      </c>
      <c r="U4184" s="9" t="str">
        <f>IFERROR(__xludf.DUMMYFUNCTION("""COMPUTED_VALUE"""),"(C)あおののわ／オーバーラップ")</f>
        <v>(C)あおののわ／オーバーラップ</v>
      </c>
      <c r="V4184" s="8"/>
      <c r="W4184" s="8"/>
      <c r="X4184" s="8" t="str">
        <f>IFERROR(__xludf.DUMMYFUNCTION("""COMPUTED_VALUE"""),"有")</f>
        <v>有</v>
      </c>
      <c r="Y4184" s="8" t="str">
        <f>IFERROR(__xludf.DUMMYFUNCTION("""COMPUTED_VALUE"""),"2026/1/31まで1巻無料")</f>
        <v>2026/1/31まで1巻無料</v>
      </c>
      <c r="Z4184" s="7"/>
      <c r="AA4184" s="7"/>
      <c r="AB4184" s="7"/>
    </row>
    <row r="4185" ht="15.75" customHeight="1">
      <c r="A4185" s="26">
        <f>IFERROR(__xludf.DUMMYFUNCTION("""COMPUTED_VALUE"""),6446.0)</f>
        <v>6446</v>
      </c>
      <c r="B4185" s="22" t="str">
        <f>IFERROR(__xludf.DUMMYFUNCTION("""COMPUTED_VALUE"""),"確定")</f>
        <v>確定</v>
      </c>
      <c r="C4185" s="28">
        <f>IFERROR(__xludf.DUMMYFUNCTION("""COMPUTED_VALUE"""),45908.0)</f>
        <v>45908</v>
      </c>
      <c r="D4185" s="28">
        <f>IFERROR(__xludf.DUMMYFUNCTION("""COMPUTED_VALUE"""),45966.0)</f>
        <v>45966</v>
      </c>
      <c r="E4185" s="26">
        <f>IFERROR(__xludf.DUMMYFUNCTION("""COMPUTED_VALUE"""),342350.0)</f>
        <v>342350</v>
      </c>
      <c r="F4185" s="22" t="str">
        <f>IFERROR(__xludf.DUMMYFUNCTION("""COMPUTED_VALUE"""),"Berry’sFantasyならば、悪女になりましょう～亡き者にした令嬢からやり返される気分はいかがですか？～")</f>
        <v>Berry’sFantasyならば、悪女になりましょう～亡き者にした令嬢からやり返される気分はいかがですか？～</v>
      </c>
      <c r="G4185" s="20" t="str">
        <f>IFERROR(__xludf.DUMMYFUNCTION("""COMPUTED_VALUE"""),"1～3")</f>
        <v>1～3</v>
      </c>
      <c r="H4185" s="22" t="str">
        <f>IFERROR(__xludf.DUMMYFUNCTION("""COMPUTED_VALUE"""),"一二野蚕糸,雨宮れん,鈴之助")</f>
        <v>一二野蚕糸,雨宮れん,鈴之助</v>
      </c>
      <c r="I4185" s="22" t="str">
        <f>IFERROR(__xludf.DUMMYFUNCTION("""COMPUTED_VALUE"""),"女性")</f>
        <v>女性</v>
      </c>
      <c r="J4185" s="22"/>
      <c r="K4185" s="22"/>
      <c r="L4185" s="22" t="str">
        <f>IFERROR(__xludf.DUMMYFUNCTION("""COMPUTED_VALUE"""),"スターツ出版")</f>
        <v>スターツ出版</v>
      </c>
      <c r="M4185" s="33">
        <f>IFERROR(__xludf.DUMMYFUNCTION("""COMPUTED_VALUE"""),45989.0)</f>
        <v>45989</v>
      </c>
      <c r="N4185" s="33">
        <f>IFERROR(__xludf.DUMMYFUNCTION("""COMPUTED_VALUE"""),46079.0)</f>
        <v>46079</v>
      </c>
      <c r="O4185" s="20"/>
      <c r="P4185" s="32" t="str">
        <f>IFERROR(__xludf.DUMMYFUNCTION("""COMPUTED_VALUE"""),"否")</f>
        <v>否</v>
      </c>
      <c r="Q4185" s="30"/>
      <c r="R4185" s="22" t="str">
        <f>IFERROR(__xludf.DUMMYFUNCTION("""COMPUTED_VALUE"""),"コミットOK")</f>
        <v>コミットOK</v>
      </c>
      <c r="S4185" s="22" t="str">
        <f>IFERROR(__xludf.DUMMYFUNCTION("""COMPUTED_VALUE"""),"20251105_スターツ出版_ならば、悪女になりましょう～亡き者にした令嬢からやり返される気分はいかがですか？～")</f>
        <v>20251105_スターツ出版_ならば、悪女になりましょう～亡き者にした令嬢からやり返される気分はいかがですか？～</v>
      </c>
      <c r="T4185" s="22" t="str">
        <f>IFERROR(__xludf.DUMMYFUNCTION("""COMPUTED_VALUE"""),"格納済み")</f>
        <v>格納済み</v>
      </c>
      <c r="U4185" s="9" t="str">
        <f>IFERROR(__xludf.DUMMYFUNCTION("""COMPUTED_VALUE"""),"（C）Sanshi Ichinino・Ren Amamiya/スターツ出版")</f>
        <v>（C）Sanshi Ichinino・Ren Amamiya/スターツ出版</v>
      </c>
      <c r="V4185" s="8"/>
      <c r="W4185" s="8"/>
      <c r="X4185" s="8" t="str">
        <f>IFERROR(__xludf.DUMMYFUNCTION("""COMPUTED_VALUE"""),"有")</f>
        <v>有</v>
      </c>
      <c r="Y4185" s="8" t="str">
        <f>IFERROR(__xludf.DUMMYFUNCTION("""COMPUTED_VALUE"""),"2026/2/26まで1巻無料")</f>
        <v>2026/2/26まで1巻無料</v>
      </c>
      <c r="Z4185" s="7"/>
      <c r="AA4185" s="7"/>
      <c r="AB4185" s="7"/>
    </row>
    <row r="4186" ht="15.75" customHeight="1">
      <c r="A4186" s="26">
        <f>IFERROR(__xludf.DUMMYFUNCTION("""COMPUTED_VALUE"""),6447.0)</f>
        <v>6447</v>
      </c>
      <c r="B4186" s="22" t="str">
        <f>IFERROR(__xludf.DUMMYFUNCTION("""COMPUTED_VALUE"""),"確定")</f>
        <v>確定</v>
      </c>
      <c r="C4186" s="28">
        <f>IFERROR(__xludf.DUMMYFUNCTION("""COMPUTED_VALUE"""),45908.0)</f>
        <v>45908</v>
      </c>
      <c r="D4186" s="28">
        <f>IFERROR(__xludf.DUMMYFUNCTION("""COMPUTED_VALUE"""),45961.0)</f>
        <v>45961</v>
      </c>
      <c r="E4186" s="26">
        <f>IFERROR(__xludf.DUMMYFUNCTION("""COMPUTED_VALUE"""),342764.0)</f>
        <v>342764</v>
      </c>
      <c r="F4186" s="22" t="str">
        <f>IFERROR(__xludf.DUMMYFUNCTION("""COMPUTED_VALUE"""),"【単話版】転生先は殺されるはずのモブ令嬢でした～見知らぬ公爵様との婚約は想定外です～@COMIC")</f>
        <v>【単話版】転生先は殺されるはずのモブ令嬢でした～見知らぬ公爵様との婚約は想定外です～@COMIC</v>
      </c>
      <c r="G4186" s="20" t="str">
        <f>IFERROR(__xludf.DUMMYFUNCTION("""COMPUTED_VALUE"""),"1～4")</f>
        <v>1～4</v>
      </c>
      <c r="H4186" s="22" t="str">
        <f>IFERROR(__xludf.DUMMYFUNCTION("""COMPUTED_VALUE"""),"シンキロウ/千石かのん/秋鹿ユギリ")</f>
        <v>シンキロウ/千石かのん/秋鹿ユギリ</v>
      </c>
      <c r="I4186" s="22" t="str">
        <f>IFERROR(__xludf.DUMMYFUNCTION("""COMPUTED_VALUE"""),"少女")</f>
        <v>少女</v>
      </c>
      <c r="J4186" s="22"/>
      <c r="K4186" s="22"/>
      <c r="L4186" s="22" t="str">
        <f>IFERROR(__xludf.DUMMYFUNCTION("""COMPUTED_VALUE"""),"TOブックス")</f>
        <v>TOブックス</v>
      </c>
      <c r="M4186" s="33">
        <f>IFERROR(__xludf.DUMMYFUNCTION("""COMPUTED_VALUE"""),45992.0)</f>
        <v>45992</v>
      </c>
      <c r="N4186" s="33">
        <f>IFERROR(__xludf.DUMMYFUNCTION("""COMPUTED_VALUE"""),401738.0)</f>
        <v>401738</v>
      </c>
      <c r="O4186" s="20"/>
      <c r="P4186" s="32" t="str">
        <f>IFERROR(__xludf.DUMMYFUNCTION("""COMPUTED_VALUE"""),"否")</f>
        <v>否</v>
      </c>
      <c r="Q4186" s="30" t="str">
        <f>IFERROR(__xludf.DUMMYFUNCTION("""COMPUTED_VALUE"""),"※原作はファンギルドさんの作品です。&lt;BR&gt;　https://www.cmoa.jp/title/1101443558/&lt;BR&gt;作画クオリティがかなり高く、ヒーローがとてもイケメン！で表情豊かなので広告映えもするのではと思います！")</f>
        <v>※原作はファンギルドさんの作品です。&lt;BR&gt;　https://www.cmoa.jp/title/1101443558/&lt;BR&gt;作画クオリティがかなり高く、ヒーローがとてもイケメン！で表情豊かなので広告映えもするのではと思います！</v>
      </c>
      <c r="R4186" s="22" t="str">
        <f>IFERROR(__xludf.DUMMYFUNCTION("""COMPUTED_VALUE"""),"コミットOK")</f>
        <v>コミットOK</v>
      </c>
      <c r="S4186" s="22" t="str">
        <f>IFERROR(__xludf.DUMMYFUNCTION("""COMPUTED_VALUE"""),"20251029_TOブックス_【単話版】転生先は殺されるはずのモブ令嬢でした～見知らぬ公爵様との婚約は想定外です～@COMIC")</f>
        <v>20251029_TOブックス_【単話版】転生先は殺されるはずのモブ令嬢でした～見知らぬ公爵様との婚約は想定外です～@COMIC</v>
      </c>
      <c r="T4186" s="22" t="str">
        <f>IFERROR(__xludf.DUMMYFUNCTION("""COMPUTED_VALUE"""),"格納済み")</f>
        <v>格納済み</v>
      </c>
      <c r="U4186" s="9" t="str">
        <f>IFERROR(__xludf.DUMMYFUNCTION("""COMPUTED_VALUE"""),"(C) Shinkirou / Sengoku Canon")</f>
        <v>(C) Shinkirou / Sengoku Canon</v>
      </c>
      <c r="V4186" s="8"/>
      <c r="W4186" s="8"/>
      <c r="X4186" s="8" t="str">
        <f>IFERROR(__xludf.DUMMYFUNCTION("""COMPUTED_VALUE"""),"有")</f>
        <v>有</v>
      </c>
      <c r="Y4186" s="8" t="str">
        <f>IFERROR(__xludf.DUMMYFUNCTION("""COMPUTED_VALUE"""),"1巻無料")</f>
        <v>1巻無料</v>
      </c>
      <c r="Z4186" s="7"/>
      <c r="AA4186" s="7"/>
      <c r="AB4186" s="7"/>
    </row>
    <row r="4187" ht="15.75" customHeight="1">
      <c r="A4187" s="26">
        <f>IFERROR(__xludf.DUMMYFUNCTION("""COMPUTED_VALUE"""),6453.0)</f>
        <v>6453</v>
      </c>
      <c r="B4187" s="22" t="str">
        <f>IFERROR(__xludf.DUMMYFUNCTION("""COMPUTED_VALUE"""),"確定")</f>
        <v>確定</v>
      </c>
      <c r="C4187" s="28">
        <f>IFERROR(__xludf.DUMMYFUNCTION("""COMPUTED_VALUE"""),45908.0)</f>
        <v>45908</v>
      </c>
      <c r="D4187" s="28">
        <f>IFERROR(__xludf.DUMMYFUNCTION("""COMPUTED_VALUE"""),45961.0)</f>
        <v>45961</v>
      </c>
      <c r="E4187" s="26">
        <f>IFERROR(__xludf.DUMMYFUNCTION("""COMPUTED_VALUE"""),341594.0)</f>
        <v>341594</v>
      </c>
      <c r="F4187" s="22" t="str">
        <f>IFERROR(__xludf.DUMMYFUNCTION("""COMPUTED_VALUE"""),"スパダリ社長なのに私以外は勃起NG!?～10年ぶりの再会で始まる淫靡で一途な恋～【分冊版】")</f>
        <v>スパダリ社長なのに私以外は勃起NG!?～10年ぶりの再会で始まる淫靡で一途な恋～【分冊版】</v>
      </c>
      <c r="G4187" s="20" t="str">
        <f>IFERROR(__xludf.DUMMYFUNCTION("""COMPUTED_VALUE"""),"1～2")</f>
        <v>1～2</v>
      </c>
      <c r="H4187" s="22" t="str">
        <f>IFERROR(__xludf.DUMMYFUNCTION("""COMPUTED_VALUE"""),"山田だいふく⊥森本イチカ⊥ache")</f>
        <v>山田だいふく⊥森本イチカ⊥ache</v>
      </c>
      <c r="I4187" s="22" t="str">
        <f>IFERROR(__xludf.DUMMYFUNCTION("""COMPUTED_VALUE"""),"TL")</f>
        <v>TL</v>
      </c>
      <c r="J4187" s="22"/>
      <c r="K4187" s="22" t="str">
        <f>IFERROR(__xludf.DUMMYFUNCTION("""COMPUTED_VALUE"""),"ラブチュコラ")</f>
        <v>ラブチュコラ</v>
      </c>
      <c r="L4187" s="22" t="str">
        <f>IFERROR(__xludf.DUMMYFUNCTION("""COMPUTED_VALUE"""),"笠倉出版社")</f>
        <v>笠倉出版社</v>
      </c>
      <c r="M4187" s="33">
        <f>IFERROR(__xludf.DUMMYFUNCTION("""COMPUTED_VALUE"""),45981.0)</f>
        <v>45981</v>
      </c>
      <c r="N4187" s="33">
        <f>IFERROR(__xludf.DUMMYFUNCTION("""COMPUTED_VALUE"""),46008.0)</f>
        <v>46008</v>
      </c>
      <c r="O4187" s="20"/>
      <c r="P4187" s="32" t="str">
        <f>IFERROR(__xludf.DUMMYFUNCTION("""COMPUTED_VALUE"""),"可")</f>
        <v>可</v>
      </c>
      <c r="Q4187" s="30"/>
      <c r="R4187" s="22" t="str">
        <f>IFERROR(__xludf.DUMMYFUNCTION("""COMPUTED_VALUE"""),"コミットNG")</f>
        <v>コミットNG</v>
      </c>
      <c r="S4187" s="22" t="str">
        <f>IFERROR(__xludf.DUMMYFUNCTION("""COMPUTED_VALUE"""),"20251030_笠倉出版社_スパダリ社長なのに私以外は勃起NG！？～10年ぶりの再会で始まる淫靡で一途な恋～【分冊版】")</f>
        <v>20251030_笠倉出版社_スパダリ社長なのに私以外は勃起NG！？～10年ぶりの再会で始まる淫靡で一途な恋～【分冊版】</v>
      </c>
      <c r="T4187" s="22" t="str">
        <f>IFERROR(__xludf.DUMMYFUNCTION("""COMPUTED_VALUE"""),"格納済み")</f>
        <v>格納済み</v>
      </c>
      <c r="U4187" s="9" t="str">
        <f>IFERROR(__xludf.DUMMYFUNCTION("""COMPUTED_VALUE"""),"Ⓒ山田だいふく/森本イチカ/笠倉出版社")</f>
        <v>Ⓒ山田だいふく/森本イチカ/笠倉出版社</v>
      </c>
      <c r="V4187" s="8"/>
      <c r="W4187" s="8"/>
      <c r="X4187" s="8" t="str">
        <f>IFERROR(__xludf.DUMMYFUNCTION("""COMPUTED_VALUE"""),"有")</f>
        <v>有</v>
      </c>
      <c r="Y4187" s="8" t="str">
        <f>IFERROR(__xludf.DUMMYFUNCTION("""COMPUTED_VALUE"""),"P6まで")</f>
        <v>P6まで</v>
      </c>
      <c r="Z4187" s="7"/>
      <c r="AA4187" s="7"/>
      <c r="AB4187" s="7"/>
    </row>
    <row r="4188" ht="15.75" customHeight="1">
      <c r="A4188" s="26">
        <f>IFERROR(__xludf.DUMMYFUNCTION("""COMPUTED_VALUE"""),6565.0)</f>
        <v>6565</v>
      </c>
      <c r="B4188" s="22" t="str">
        <f>IFERROR(__xludf.DUMMYFUNCTION("""COMPUTED_VALUE"""),"確定")</f>
        <v>確定</v>
      </c>
      <c r="C4188" s="28">
        <f>IFERROR(__xludf.DUMMYFUNCTION("""COMPUTED_VALUE"""),45929.0)</f>
        <v>45929</v>
      </c>
      <c r="D4188" s="28">
        <f>IFERROR(__xludf.DUMMYFUNCTION("""COMPUTED_VALUE"""),45965.0)</f>
        <v>45965</v>
      </c>
      <c r="E4188" s="26">
        <f>IFERROR(__xludf.DUMMYFUNCTION("""COMPUTED_VALUE"""),343033.0)</f>
        <v>343033</v>
      </c>
      <c r="F4188" s="22" t="str">
        <f>IFERROR(__xludf.DUMMYFUNCTION("""COMPUTED_VALUE"""),"【ラブパルフェ】肉食紳士なイケオジ職人は夜テクめろ甘セックスで愛し尽くす")</f>
        <v>【ラブパルフェ】肉食紳士なイケオジ職人は夜テクめろ甘セックスで愛し尽くす</v>
      </c>
      <c r="G4188" s="20" t="str">
        <f>IFERROR(__xludf.DUMMYFUNCTION("""COMPUTED_VALUE"""),"1～3")</f>
        <v>1～3</v>
      </c>
      <c r="H4188" s="22" t="str">
        <f>IFERROR(__xludf.DUMMYFUNCTION("""COMPUTED_VALUE"""),"伊藤さよ")</f>
        <v>伊藤さよ</v>
      </c>
      <c r="I4188" s="22" t="str">
        <f>IFERROR(__xludf.DUMMYFUNCTION("""COMPUTED_VALUE"""),"TL")</f>
        <v>TL</v>
      </c>
      <c r="J4188" s="22"/>
      <c r="K4188" s="22" t="str">
        <f>IFERROR(__xludf.DUMMYFUNCTION("""COMPUTED_VALUE"""),"ラブパルフェ")</f>
        <v>ラブパルフェ</v>
      </c>
      <c r="L4188" s="22" t="str">
        <f>IFERROR(__xludf.DUMMYFUNCTION("""COMPUTED_VALUE"""),"オーバーラップ")</f>
        <v>オーバーラップ</v>
      </c>
      <c r="M4188" s="33">
        <f>IFERROR(__xludf.DUMMYFUNCTION("""COMPUTED_VALUE"""),45992.0)</f>
        <v>45992</v>
      </c>
      <c r="N4188" s="33">
        <f>IFERROR(__xludf.DUMMYFUNCTION("""COMPUTED_VALUE"""),46053.0)</f>
        <v>46053</v>
      </c>
      <c r="O4188" s="20"/>
      <c r="P4188" s="32" t="str">
        <f>IFERROR(__xludf.DUMMYFUNCTION("""COMPUTED_VALUE"""),"可")</f>
        <v>可</v>
      </c>
      <c r="Q4188" s="30" t="str">
        <f>IFERROR(__xludf.DUMMYFUNCTION("""COMPUTED_VALUE"""),"【アダルト作品扱い】")</f>
        <v>【アダルト作品扱い】</v>
      </c>
      <c r="R4188" s="22" t="str">
        <f>IFERROR(__xludf.DUMMYFUNCTION("""COMPUTED_VALUE"""),"コミットNG")</f>
        <v>コミットNG</v>
      </c>
      <c r="S4188" s="22" t="str">
        <f>IFERROR(__xludf.DUMMYFUNCTION("""COMPUTED_VALUE"""),"20251104_オーバーラップ_肉食紳士なイケオジ職人は夜テクめろ甘セックスで愛し尽くす")</f>
        <v>20251104_オーバーラップ_肉食紳士なイケオジ職人は夜テクめろ甘セックスで愛し尽くす</v>
      </c>
      <c r="T4188" s="22" t="str">
        <f>IFERROR(__xludf.DUMMYFUNCTION("""COMPUTED_VALUE"""),"格納済み")</f>
        <v>格納済み</v>
      </c>
      <c r="U4188" s="9" t="str">
        <f>IFERROR(__xludf.DUMMYFUNCTION("""COMPUTED_VALUE"""),"(C)伊藤さよ／オーバーラップ")</f>
        <v>(C)伊藤さよ／オーバーラップ</v>
      </c>
      <c r="V4188" s="8"/>
      <c r="W4188" s="8"/>
      <c r="X4188" s="8" t="str">
        <f>IFERROR(__xludf.DUMMYFUNCTION("""COMPUTED_VALUE"""),"有")</f>
        <v>有</v>
      </c>
      <c r="Y4188" s="8" t="str">
        <f>IFERROR(__xludf.DUMMYFUNCTION("""COMPUTED_VALUE"""),"2026/1/31まで1巻無料")</f>
        <v>2026/1/31まで1巻無料</v>
      </c>
      <c r="Z4188" s="7"/>
      <c r="AA4188" s="7"/>
      <c r="AB4188" s="7"/>
    </row>
    <row r="4189" ht="15.75" customHeight="1">
      <c r="A4189" s="26">
        <f>IFERROR(__xludf.DUMMYFUNCTION("""COMPUTED_VALUE"""),6575.0)</f>
        <v>6575</v>
      </c>
      <c r="B4189" s="22" t="str">
        <f>IFERROR(__xludf.DUMMYFUNCTION("""COMPUTED_VALUE"""),"確定")</f>
        <v>確定</v>
      </c>
      <c r="C4189" s="28">
        <f>IFERROR(__xludf.DUMMYFUNCTION("""COMPUTED_VALUE"""),45931.0)</f>
        <v>45931</v>
      </c>
      <c r="D4189" s="28">
        <f>IFERROR(__xludf.DUMMYFUNCTION("""COMPUTED_VALUE"""),45961.0)</f>
        <v>45961</v>
      </c>
      <c r="E4189" s="26">
        <f>IFERROR(__xludf.DUMMYFUNCTION("""COMPUTED_VALUE"""),342989.0)</f>
        <v>342989</v>
      </c>
      <c r="F4189" s="22" t="str">
        <f>IFERROR(__xludf.DUMMYFUNCTION("""COMPUTED_VALUE"""),"聖女になれない私【単話売】")</f>
        <v>聖女になれない私【単話売】</v>
      </c>
      <c r="G4189" s="20" t="str">
        <f>IFERROR(__xludf.DUMMYFUNCTION("""COMPUTED_VALUE"""),"1～3")</f>
        <v>1～3</v>
      </c>
      <c r="H4189" s="22" t="str">
        <f>IFERROR(__xludf.DUMMYFUNCTION("""COMPUTED_VALUE"""),"蜂谷ナナオ／ごろごろみかん。")</f>
        <v>蜂谷ナナオ／ごろごろみかん。</v>
      </c>
      <c r="I4189" s="22" t="str">
        <f>IFERROR(__xludf.DUMMYFUNCTION("""COMPUTED_VALUE"""),"女性マンガ")</f>
        <v>女性マンガ</v>
      </c>
      <c r="J4189" s="22"/>
      <c r="K4189" s="22" t="str">
        <f>IFERROR(__xludf.DUMMYFUNCTION("""COMPUTED_VALUE"""),"Comic Petale")</f>
        <v>Comic Petale</v>
      </c>
      <c r="L4189" s="22" t="str">
        <f>IFERROR(__xludf.DUMMYFUNCTION("""COMPUTED_VALUE"""),"ジュリアンパブリッシング(SBクリエイティブ)")</f>
        <v>ジュリアンパブリッシング(SBクリエイティブ)</v>
      </c>
      <c r="M4189" s="33">
        <f>IFERROR(__xludf.DUMMYFUNCTION("""COMPUTED_VALUE"""),45989.0)</f>
        <v>45989</v>
      </c>
      <c r="N4189" s="33">
        <f>IFERROR(__xludf.DUMMYFUNCTION("""COMPUTED_VALUE"""),46051.0)</f>
        <v>46051</v>
      </c>
      <c r="O4189" s="20"/>
      <c r="P4189" s="32" t="str">
        <f>IFERROR(__xludf.DUMMYFUNCTION("""COMPUTED_VALUE"""),"可")</f>
        <v>可</v>
      </c>
      <c r="Q4189" s="30" t="str">
        <f>IFERROR(__xludf.DUMMYFUNCTION("""COMPUTED_VALUE"""),"シーモア独占先行のオリジナル作品です！")</f>
        <v>シーモア独占先行のオリジナル作品です！</v>
      </c>
      <c r="R4189" s="22" t="str">
        <f>IFERROR(__xludf.DUMMYFUNCTION("""COMPUTED_VALUE"""),"コミットOK")</f>
        <v>コミットOK</v>
      </c>
      <c r="S4189" s="22" t="str">
        <f>IFERROR(__xludf.DUMMYFUNCTION("""COMPUTED_VALUE"""),"20251029_SBクリエイティブ_聖女になれない私")</f>
        <v>20251029_SBクリエイティブ_聖女になれない私</v>
      </c>
      <c r="T4189" s="22" t="str">
        <f>IFERROR(__xludf.DUMMYFUNCTION("""COMPUTED_VALUE"""),"格納済み")</f>
        <v>格納済み</v>
      </c>
      <c r="U4189" s="9" t="str">
        <f>IFERROR(__xludf.DUMMYFUNCTION("""COMPUTED_VALUE"""),"Ⓒ蜂谷ナナオ／ごろごろみかん。／ジュリアンパブリッシング")</f>
        <v>Ⓒ蜂谷ナナオ／ごろごろみかん。／ジュリアンパブリッシング</v>
      </c>
      <c r="V4189" s="8"/>
      <c r="W4189" s="8"/>
      <c r="X4189" s="8" t="str">
        <f>IFERROR(__xludf.DUMMYFUNCTION("""COMPUTED_VALUE"""),"有")</f>
        <v>有</v>
      </c>
      <c r="Y4189" s="8" t="str">
        <f>IFERROR(__xludf.DUMMYFUNCTION("""COMPUTED_VALUE"""),"2025/12/25まで1巻無料")</f>
        <v>2025/12/25まで1巻無料</v>
      </c>
      <c r="Z4189" s="7"/>
      <c r="AA4189" s="7"/>
      <c r="AB4189" s="7"/>
    </row>
    <row r="4190" ht="15.75" customHeight="1">
      <c r="A4190" s="26">
        <f>IFERROR(__xludf.DUMMYFUNCTION("""COMPUTED_VALUE"""),6576.0)</f>
        <v>6576</v>
      </c>
      <c r="B4190" s="22" t="str">
        <f>IFERROR(__xludf.DUMMYFUNCTION("""COMPUTED_VALUE"""),"確定")</f>
        <v>確定</v>
      </c>
      <c r="C4190" s="28">
        <f>IFERROR(__xludf.DUMMYFUNCTION("""COMPUTED_VALUE"""),45931.0)</f>
        <v>45931</v>
      </c>
      <c r="D4190" s="28">
        <f>IFERROR(__xludf.DUMMYFUNCTION("""COMPUTED_VALUE"""),45960.0)</f>
        <v>45960</v>
      </c>
      <c r="E4190" s="26">
        <f>IFERROR(__xludf.DUMMYFUNCTION("""COMPUTED_VALUE"""),342990.0)</f>
        <v>342990</v>
      </c>
      <c r="F4190" s="22" t="str">
        <f>IFERROR(__xludf.DUMMYFUNCTION("""COMPUTED_VALUE"""),"上司と秘密の子作り契約始めます【単話売】")</f>
        <v>上司と秘密の子作り契約始めます【単話売】</v>
      </c>
      <c r="G4190" s="20" t="str">
        <f>IFERROR(__xludf.DUMMYFUNCTION("""COMPUTED_VALUE"""),"1～3")</f>
        <v>1～3</v>
      </c>
      <c r="H4190" s="22" t="str">
        <f>IFERROR(__xludf.DUMMYFUNCTION("""COMPUTED_VALUE"""),"尾花ユウカ／sae")</f>
        <v>尾花ユウカ／sae</v>
      </c>
      <c r="I4190" s="22" t="str">
        <f>IFERROR(__xludf.DUMMYFUNCTION("""COMPUTED_VALUE"""),"女性")</f>
        <v>女性</v>
      </c>
      <c r="J4190" s="22"/>
      <c r="K4190" s="22" t="str">
        <f>IFERROR(__xludf.DUMMYFUNCTION("""COMPUTED_VALUE"""),"Comic Petale")</f>
        <v>Comic Petale</v>
      </c>
      <c r="L4190" s="22" t="str">
        <f>IFERROR(__xludf.DUMMYFUNCTION("""COMPUTED_VALUE"""),"ジュリアンパブリッシング(SBクリエイティブ)")</f>
        <v>ジュリアンパブリッシング(SBクリエイティブ)</v>
      </c>
      <c r="M4190" s="33">
        <f>IFERROR(__xludf.DUMMYFUNCTION("""COMPUTED_VALUE"""),45989.0)</f>
        <v>45989</v>
      </c>
      <c r="N4190" s="33">
        <f>IFERROR(__xludf.DUMMYFUNCTION("""COMPUTED_VALUE"""),46051.0)</f>
        <v>46051</v>
      </c>
      <c r="O4190" s="20"/>
      <c r="P4190" s="32" t="str">
        <f>IFERROR(__xludf.DUMMYFUNCTION("""COMPUTED_VALUE"""),"可")</f>
        <v>可</v>
      </c>
      <c r="Q4190" s="30" t="str">
        <f>IFERROR(__xludf.DUMMYFUNCTION("""COMPUTED_VALUE"""),"シーモア独占先行のオリジナル作品です！")</f>
        <v>シーモア独占先行のオリジナル作品です！</v>
      </c>
      <c r="R4190" s="22" t="str">
        <f>IFERROR(__xludf.DUMMYFUNCTION("""COMPUTED_VALUE"""),"コミットOK")</f>
        <v>コミットOK</v>
      </c>
      <c r="S4190" s="22" t="str">
        <f>IFERROR(__xludf.DUMMYFUNCTION("""COMPUTED_VALUE"""),"20251029_SBクリエイティブ_上司と秘密の子作り契約始めます")</f>
        <v>20251029_SBクリエイティブ_上司と秘密の子作り契約始めます</v>
      </c>
      <c r="T4190" s="22" t="str">
        <f>IFERROR(__xludf.DUMMYFUNCTION("""COMPUTED_VALUE"""),"格納済み")</f>
        <v>格納済み</v>
      </c>
      <c r="U4190" s="9" t="str">
        <f>IFERROR(__xludf.DUMMYFUNCTION("""COMPUTED_VALUE"""),"Ⓒ尾花ユウカ／sae／ジュリアンパブリッシング")</f>
        <v>Ⓒ尾花ユウカ／sae／ジュリアンパブリッシング</v>
      </c>
      <c r="V4190" s="8"/>
      <c r="W4190" s="8"/>
      <c r="X4190" s="8" t="str">
        <f>IFERROR(__xludf.DUMMYFUNCTION("""COMPUTED_VALUE"""),"有")</f>
        <v>有</v>
      </c>
      <c r="Y4190" s="8" t="str">
        <f>IFERROR(__xludf.DUMMYFUNCTION("""COMPUTED_VALUE"""),"2025/12/25まで1巻無料")</f>
        <v>2025/12/25まで1巻無料</v>
      </c>
      <c r="Z4190" s="7"/>
      <c r="AA4190" s="7"/>
      <c r="AB4190" s="7"/>
    </row>
    <row r="4191" ht="15.75" customHeight="1">
      <c r="A4191" s="26">
        <f>IFERROR(__xludf.DUMMYFUNCTION("""COMPUTED_VALUE"""),6577.0)</f>
        <v>6577</v>
      </c>
      <c r="B4191" s="22" t="str">
        <f>IFERROR(__xludf.DUMMYFUNCTION("""COMPUTED_VALUE"""),"確定")</f>
        <v>確定</v>
      </c>
      <c r="C4191" s="28">
        <f>IFERROR(__xludf.DUMMYFUNCTION("""COMPUTED_VALUE"""),45931.0)</f>
        <v>45931</v>
      </c>
      <c r="D4191" s="28">
        <f>IFERROR(__xludf.DUMMYFUNCTION("""COMPUTED_VALUE"""),45961.0)</f>
        <v>45961</v>
      </c>
      <c r="E4191" s="26">
        <f>IFERROR(__xludf.DUMMYFUNCTION("""COMPUTED_VALUE"""),342991.0)</f>
        <v>342991</v>
      </c>
      <c r="F4191" s="22" t="str">
        <f>IFERROR(__xludf.DUMMYFUNCTION("""COMPUTED_VALUE"""),"恋かどうかは別として【単話売】")</f>
        <v>恋かどうかは別として【単話売】</v>
      </c>
      <c r="G4191" s="20" t="str">
        <f>IFERROR(__xludf.DUMMYFUNCTION("""COMPUTED_VALUE"""),"1～3")</f>
        <v>1～3</v>
      </c>
      <c r="H4191" s="22" t="str">
        <f>IFERROR(__xludf.DUMMYFUNCTION("""COMPUTED_VALUE"""),"矢森てん／りりす")</f>
        <v>矢森てん／りりす</v>
      </c>
      <c r="I4191" s="22" t="str">
        <f>IFERROR(__xludf.DUMMYFUNCTION("""COMPUTED_VALUE"""),"女性")</f>
        <v>女性</v>
      </c>
      <c r="J4191" s="22"/>
      <c r="K4191" s="22" t="str">
        <f>IFERROR(__xludf.DUMMYFUNCTION("""COMPUTED_VALUE"""),"Comic Petale")</f>
        <v>Comic Petale</v>
      </c>
      <c r="L4191" s="22" t="str">
        <f>IFERROR(__xludf.DUMMYFUNCTION("""COMPUTED_VALUE"""),"ジュリアンパブリッシング(SBクリエイティブ)")</f>
        <v>ジュリアンパブリッシング(SBクリエイティブ)</v>
      </c>
      <c r="M4191" s="33">
        <f>IFERROR(__xludf.DUMMYFUNCTION("""COMPUTED_VALUE"""),45989.0)</f>
        <v>45989</v>
      </c>
      <c r="N4191" s="33">
        <f>IFERROR(__xludf.DUMMYFUNCTION("""COMPUTED_VALUE"""),46051.0)</f>
        <v>46051</v>
      </c>
      <c r="O4191" s="20"/>
      <c r="P4191" s="32" t="str">
        <f>IFERROR(__xludf.DUMMYFUNCTION("""COMPUTED_VALUE"""),"可")</f>
        <v>可</v>
      </c>
      <c r="Q4191" s="30" t="str">
        <f>IFERROR(__xludf.DUMMYFUNCTION("""COMPUTED_VALUE"""),"シーモア独占先行のオリジナル作品です！")</f>
        <v>シーモア独占先行のオリジナル作品です！</v>
      </c>
      <c r="R4191" s="22" t="str">
        <f>IFERROR(__xludf.DUMMYFUNCTION("""COMPUTED_VALUE"""),"コミットOK")</f>
        <v>コミットOK</v>
      </c>
      <c r="S4191" s="22" t="str">
        <f>IFERROR(__xludf.DUMMYFUNCTION("""COMPUTED_VALUE"""),"20251001_SBクリエイティブ_恋かどうかは別として")</f>
        <v>20251001_SBクリエイティブ_恋かどうかは別として</v>
      </c>
      <c r="T4191" s="22" t="str">
        <f>IFERROR(__xludf.DUMMYFUNCTION("""COMPUTED_VALUE"""),"格納済み")</f>
        <v>格納済み</v>
      </c>
      <c r="U4191" s="9" t="str">
        <f>IFERROR(__xludf.DUMMYFUNCTION("""COMPUTED_VALUE"""),"Ⓒ矢森てん／りりす／ジュリアンパブリッシング")</f>
        <v>Ⓒ矢森てん／りりす／ジュリアンパブリッシング</v>
      </c>
      <c r="V4191" s="8"/>
      <c r="W4191" s="8"/>
      <c r="X4191" s="8" t="str">
        <f>IFERROR(__xludf.DUMMYFUNCTION("""COMPUTED_VALUE"""),"有")</f>
        <v>有</v>
      </c>
      <c r="Y4191" s="8" t="str">
        <f>IFERROR(__xludf.DUMMYFUNCTION("""COMPUTED_VALUE"""),"2025/12/25まで1巻無料")</f>
        <v>2025/12/25まで1巻無料</v>
      </c>
      <c r="Z4191" s="7"/>
      <c r="AA4191" s="7"/>
      <c r="AB4191" s="7"/>
    </row>
    <row r="4192" ht="15.75" customHeight="1">
      <c r="A4192" s="26">
        <f>IFERROR(__xludf.DUMMYFUNCTION("""COMPUTED_VALUE"""),6605.0)</f>
        <v>6605</v>
      </c>
      <c r="B4192" s="22" t="str">
        <f>IFERROR(__xludf.DUMMYFUNCTION("""COMPUTED_VALUE"""),"確定")</f>
        <v>確定</v>
      </c>
      <c r="C4192" s="28">
        <f>IFERROR(__xludf.DUMMYFUNCTION("""COMPUTED_VALUE"""),45936.0)</f>
        <v>45936</v>
      </c>
      <c r="D4192" s="28">
        <f>IFERROR(__xludf.DUMMYFUNCTION("""COMPUTED_VALUE"""),45966.0)</f>
        <v>45966</v>
      </c>
      <c r="E4192" s="26">
        <f>IFERROR(__xludf.DUMMYFUNCTION("""COMPUTED_VALUE"""),342732.0)</f>
        <v>342732</v>
      </c>
      <c r="F4192" s="22" t="str">
        <f>IFERROR(__xludf.DUMMYFUNCTION("""COMPUTED_VALUE"""),"ビブリオマーダー 図書室の処刑執行人【単話】")</f>
        <v>ビブリオマーダー 図書室の処刑執行人【単話】</v>
      </c>
      <c r="G4192" s="20" t="str">
        <f>IFERROR(__xludf.DUMMYFUNCTION("""COMPUTED_VALUE"""),"1～3")</f>
        <v>1～3</v>
      </c>
      <c r="H4192" s="22" t="str">
        <f>IFERROR(__xludf.DUMMYFUNCTION("""COMPUTED_VALUE"""),"まさきかつみ")</f>
        <v>まさきかつみ</v>
      </c>
      <c r="I4192" s="22" t="str">
        <f>IFERROR(__xludf.DUMMYFUNCTION("""COMPUTED_VALUE"""),"青年")</f>
        <v>青年</v>
      </c>
      <c r="J4192" s="22"/>
      <c r="K4192" s="22"/>
      <c r="L4192" s="22" t="str">
        <f>IFERROR(__xludf.DUMMYFUNCTION("""COMPUTED_VALUE"""),"朝日新聞出版")</f>
        <v>朝日新聞出版</v>
      </c>
      <c r="M4192" s="33">
        <f>IFERROR(__xludf.DUMMYFUNCTION("""COMPUTED_VALUE"""),45991.0)</f>
        <v>45991</v>
      </c>
      <c r="N4192" s="33">
        <f>IFERROR(__xludf.DUMMYFUNCTION("""COMPUTED_VALUE"""),46080.0)</f>
        <v>46080</v>
      </c>
      <c r="O4192" s="20"/>
      <c r="P4192" s="32" t="str">
        <f>IFERROR(__xludf.DUMMYFUNCTION("""COMPUTED_VALUE"""),"可")</f>
        <v>可</v>
      </c>
      <c r="Q4192" s="30"/>
      <c r="R4192" s="22" t="str">
        <f>IFERROR(__xludf.DUMMYFUNCTION("""COMPUTED_VALUE"""),"コミットNG")</f>
        <v>コミットNG</v>
      </c>
      <c r="S4192" s="22" t="str">
        <f>IFERROR(__xludf.DUMMYFUNCTION("""COMPUTED_VALUE"""),"20251006_朝日新聞出版_ビブリオマーダー図書室の処刑執行人")</f>
        <v>20251006_朝日新聞出版_ビブリオマーダー図書室の処刑執行人</v>
      </c>
      <c r="T4192" s="22" t="str">
        <f>IFERROR(__xludf.DUMMYFUNCTION("""COMPUTED_VALUE"""),"格納済み")</f>
        <v>格納済み</v>
      </c>
      <c r="U4192" s="9" t="str">
        <f>IFERROR(__xludf.DUMMYFUNCTION("""COMPUTED_VALUE"""),"(C) まさきかつみ／朝日新聞出版")</f>
        <v>(C) まさきかつみ／朝日新聞出版</v>
      </c>
      <c r="V4192" s="8"/>
      <c r="W4192" s="8"/>
      <c r="X4192" s="8" t="str">
        <f>IFERROR(__xludf.DUMMYFUNCTION("""COMPUTED_VALUE"""),"有")</f>
        <v>有</v>
      </c>
      <c r="Y4192" s="8" t="str">
        <f>IFERROR(__xludf.DUMMYFUNCTION("""COMPUTED_VALUE"""),"2026/10/29まで1巻無料")</f>
        <v>2026/10/29まで1巻無料</v>
      </c>
      <c r="Z4192" s="7"/>
      <c r="AA4192" s="7"/>
      <c r="AB4192" s="7"/>
    </row>
    <row r="4193" ht="15.75" customHeight="1">
      <c r="A4193" s="26">
        <f>IFERROR(__xludf.DUMMYFUNCTION("""COMPUTED_VALUE"""),6620.0)</f>
        <v>6620</v>
      </c>
      <c r="B4193" s="22" t="str">
        <f>IFERROR(__xludf.DUMMYFUNCTION("""COMPUTED_VALUE"""),"確定")</f>
        <v>確定</v>
      </c>
      <c r="C4193" s="28">
        <f>IFERROR(__xludf.DUMMYFUNCTION("""COMPUTED_VALUE"""),45938.0)</f>
        <v>45938</v>
      </c>
      <c r="D4193" s="28">
        <f>IFERROR(__xludf.DUMMYFUNCTION("""COMPUTED_VALUE"""),45974.0)</f>
        <v>45974</v>
      </c>
      <c r="E4193" s="26">
        <f>IFERROR(__xludf.DUMMYFUNCTION("""COMPUTED_VALUE"""),342852.0)</f>
        <v>342852</v>
      </c>
      <c r="F4193" s="22" t="str">
        <f>IFERROR(__xludf.DUMMYFUNCTION("""COMPUTED_VALUE"""),"ライバル騎士団長に弱みを握られてXXXな勝負をすることになりました")</f>
        <v>ライバル騎士団長に弱みを握られてXXXな勝負をすることになりました</v>
      </c>
      <c r="G4193" s="20" t="str">
        <f>IFERROR(__xludf.DUMMYFUNCTION("""COMPUTED_VALUE"""),"1～4")</f>
        <v>1～4</v>
      </c>
      <c r="H4193" s="22" t="str">
        <f>IFERROR(__xludf.DUMMYFUNCTION("""COMPUTED_VALUE"""),"原作／寧子さくら　ネーム／あさ　作画／甘夏／PRISMstudio　, taskey STUDIO")</f>
        <v>原作／寧子さくら　ネーム／あさ　作画／甘夏／PRISMstudio　, taskey STUDIO</v>
      </c>
      <c r="I4193" s="22" t="str">
        <f>IFERROR(__xludf.DUMMYFUNCTION("""COMPUTED_VALUE"""),"少女")</f>
        <v>少女</v>
      </c>
      <c r="J4193" s="22"/>
      <c r="K4193" s="22"/>
      <c r="L4193" s="22" t="str">
        <f>IFERROR(__xludf.DUMMYFUNCTION("""COMPUTED_VALUE"""),"taskey")</f>
        <v>taskey</v>
      </c>
      <c r="M4193" s="33">
        <f>IFERROR(__xludf.DUMMYFUNCTION("""COMPUTED_VALUE"""),45989.0)</f>
        <v>45989</v>
      </c>
      <c r="N4193" s="33">
        <f>IFERROR(__xludf.DUMMYFUNCTION("""COMPUTED_VALUE"""),46049.0)</f>
        <v>46049</v>
      </c>
      <c r="O4193" s="20"/>
      <c r="P4193" s="32" t="str">
        <f>IFERROR(__xludf.DUMMYFUNCTION("""COMPUTED_VALUE"""),"可")</f>
        <v>可</v>
      </c>
      <c r="Q4193" s="30"/>
      <c r="R4193" s="22" t="str">
        <f>IFERROR(__xludf.DUMMYFUNCTION("""COMPUTED_VALUE"""),"コミットOK")</f>
        <v>コミットOK</v>
      </c>
      <c r="S4193" s="22" t="str">
        <f>IFERROR(__xludf.DUMMYFUNCTION("""COMPUTED_VALUE"""),"20251104_taskey__ライバル騎士団長に弱みを握られてXXXな勝負をすることになりました")</f>
        <v>20251104_taskey__ライバル騎士団長に弱みを握られてXXXな勝負をすることになりました</v>
      </c>
      <c r="T4193" s="22" t="str">
        <f>IFERROR(__xludf.DUMMYFUNCTION("""COMPUTED_VALUE"""),"格納済み")</f>
        <v>格納済み</v>
      </c>
      <c r="U4193" s="9" t="str">
        <f>IFERROR(__xludf.DUMMYFUNCTION("""COMPUTED_VALUE"""),"©︎taskey　原作／寧子さくら　ネーム／あさ　作画／甘夏／PRISMstudio")</f>
        <v>©︎taskey　原作／寧子さくら　ネーム／あさ　作画／甘夏／PRISMstudio</v>
      </c>
      <c r="V4193" s="8"/>
      <c r="W4193" s="8"/>
      <c r="X4193" s="8" t="str">
        <f>IFERROR(__xludf.DUMMYFUNCTION("""COMPUTED_VALUE"""),"有")</f>
        <v>有</v>
      </c>
      <c r="Y4193" s="8" t="str">
        <f>IFERROR(__xludf.DUMMYFUNCTION("""COMPUTED_VALUE"""),"1巻無料")</f>
        <v>1巻無料</v>
      </c>
      <c r="Z4193" s="7"/>
      <c r="AA4193" s="7"/>
      <c r="AB4193" s="7"/>
    </row>
    <row r="4194" ht="15.75" customHeight="1">
      <c r="A4194" s="26">
        <f>IFERROR(__xludf.DUMMYFUNCTION("""COMPUTED_VALUE"""),6633.0)</f>
        <v>6633</v>
      </c>
      <c r="B4194" s="22" t="str">
        <f>IFERROR(__xludf.DUMMYFUNCTION("""COMPUTED_VALUE"""),"確定")</f>
        <v>確定</v>
      </c>
      <c r="C4194" s="28">
        <f>IFERROR(__xludf.DUMMYFUNCTION("""COMPUTED_VALUE"""),45940.0)</f>
        <v>45940</v>
      </c>
      <c r="D4194" s="28">
        <f>IFERROR(__xludf.DUMMYFUNCTION("""COMPUTED_VALUE"""),45965.0)</f>
        <v>45965</v>
      </c>
      <c r="E4194" s="26">
        <f>IFERROR(__xludf.DUMMYFUNCTION("""COMPUTED_VALUE"""),345846.0)</f>
        <v>345846</v>
      </c>
      <c r="F4194" s="22" t="str">
        <f>IFERROR(__xludf.DUMMYFUNCTION("""COMPUTED_VALUE"""),"海里さんは甘くない～この男、美の悪魔につき～")</f>
        <v>海里さんは甘くない～この男、美の悪魔につき～</v>
      </c>
      <c r="G4194" s="20" t="str">
        <f>IFERROR(__xludf.DUMMYFUNCTION("""COMPUTED_VALUE"""),"1～3")</f>
        <v>1～3</v>
      </c>
      <c r="H4194" s="22" t="str">
        <f>IFERROR(__xludf.DUMMYFUNCTION("""COMPUTED_VALUE"""),"neco")</f>
        <v>neco</v>
      </c>
      <c r="I4194" s="22" t="str">
        <f>IFERROR(__xludf.DUMMYFUNCTION("""COMPUTED_VALUE"""),"女性マンガ")</f>
        <v>女性マンガ</v>
      </c>
      <c r="J4194" s="22"/>
      <c r="K4194" s="22"/>
      <c r="L4194" s="22" t="str">
        <f>IFERROR(__xludf.DUMMYFUNCTION("""COMPUTED_VALUE"""),"アイプロダクション")</f>
        <v>アイプロダクション</v>
      </c>
      <c r="M4194" s="33">
        <f>IFERROR(__xludf.DUMMYFUNCTION("""COMPUTED_VALUE"""),46023.0)</f>
        <v>46023</v>
      </c>
      <c r="N4194" s="33">
        <f>IFERROR(__xludf.DUMMYFUNCTION("""COMPUTED_VALUE"""),46081.0)</f>
        <v>46081</v>
      </c>
      <c r="O4194" s="20"/>
      <c r="P4194" s="32" t="str">
        <f>IFERROR(__xludf.DUMMYFUNCTION("""COMPUTED_VALUE"""),"可")</f>
        <v>可</v>
      </c>
      <c r="Q4194" s="30" t="str">
        <f>IFERROR(__xludf.DUMMYFUNCTION("""COMPUTED_VALUE"""),"※著者他作品：https://www.cmoa.jp/search/author/37481/")</f>
        <v>※著者他作品：https://www.cmoa.jp/search/author/37481/</v>
      </c>
      <c r="R4194" s="22" t="str">
        <f>IFERROR(__xludf.DUMMYFUNCTION("""COMPUTED_VALUE"""),"コミットOK")</f>
        <v>コミットOK</v>
      </c>
      <c r="S4194" s="22" t="str">
        <f>IFERROR(__xludf.DUMMYFUNCTION("""COMPUTED_VALUE"""),"20251104_アイプロダクション_海里さんは甘くない～この男、美の悪魔につき～")</f>
        <v>20251104_アイプロダクション_海里さんは甘くない～この男、美の悪魔につき～</v>
      </c>
      <c r="T4194" s="22" t="str">
        <f>IFERROR(__xludf.DUMMYFUNCTION("""COMPUTED_VALUE"""),"格納済み")</f>
        <v>格納済み</v>
      </c>
      <c r="U4194" s="9" t="str">
        <f>IFERROR(__xludf.DUMMYFUNCTION("""COMPUTED_VALUE"""),"neco/アイプロダクション")</f>
        <v>neco/アイプロダクション</v>
      </c>
      <c r="V4194" s="8"/>
      <c r="W4194" s="8"/>
      <c r="X4194" s="8" t="str">
        <f>IFERROR(__xludf.DUMMYFUNCTION("""COMPUTED_VALUE"""),"有")</f>
        <v>有</v>
      </c>
      <c r="Y4194" s="8" t="str">
        <f>IFERROR(__xludf.DUMMYFUNCTION("""COMPUTED_VALUE"""),"P8まで")</f>
        <v>P8まで</v>
      </c>
      <c r="Z4194" s="7"/>
      <c r="AA4194" s="7"/>
      <c r="AB4194" s="7"/>
    </row>
    <row r="4195" ht="15.75" customHeight="1">
      <c r="A4195" s="26">
        <f>IFERROR(__xludf.DUMMYFUNCTION("""COMPUTED_VALUE"""),6663.0)</f>
        <v>6663</v>
      </c>
      <c r="B4195" s="22" t="str">
        <f>IFERROR(__xludf.DUMMYFUNCTION("""COMPUTED_VALUE"""),"確定")</f>
        <v>確定</v>
      </c>
      <c r="C4195" s="28">
        <f>IFERROR(__xludf.DUMMYFUNCTION("""COMPUTED_VALUE"""),45946.0)</f>
        <v>45946</v>
      </c>
      <c r="D4195" s="28">
        <f>IFERROR(__xludf.DUMMYFUNCTION("""COMPUTED_VALUE"""),45961.0)</f>
        <v>45961</v>
      </c>
      <c r="E4195" s="26">
        <f>IFERROR(__xludf.DUMMYFUNCTION("""COMPUTED_VALUE"""),342300.0)</f>
        <v>342300</v>
      </c>
      <c r="F4195" s="22" t="str">
        <f>IFERROR(__xludf.DUMMYFUNCTION("""COMPUTED_VALUE"""),"聖女の姉が棄てた元婚約者に嫁いだら、蕩けるほどの溺愛が待っていました")</f>
        <v>聖女の姉が棄てた元婚約者に嫁いだら、蕩けるほどの溺愛が待っていました</v>
      </c>
      <c r="G4195" s="20" t="str">
        <f>IFERROR(__xludf.DUMMYFUNCTION("""COMPUTED_VALUE"""),"1～3")</f>
        <v>1～3</v>
      </c>
      <c r="H4195" s="22" t="str">
        <f>IFERROR(__xludf.DUMMYFUNCTION("""COMPUTED_VALUE"""),"ねむたいが／瑪々子／天領寺セナ")</f>
        <v>ねむたいが／瑪々子／天領寺セナ</v>
      </c>
      <c r="I4195" s="22" t="str">
        <f>IFERROR(__xludf.DUMMYFUNCTION("""COMPUTED_VALUE"""),"少女")</f>
        <v>少女</v>
      </c>
      <c r="J4195" s="22"/>
      <c r="K4195" s="22"/>
      <c r="L4195" s="22" t="str">
        <f>IFERROR(__xludf.DUMMYFUNCTION("""COMPUTED_VALUE"""),"風濤社（futohsha）")</f>
        <v>風濤社（futohsha）</v>
      </c>
      <c r="M4195" s="33">
        <f>IFERROR(__xludf.DUMMYFUNCTION("""COMPUTED_VALUE"""),45975.0)</f>
        <v>45975</v>
      </c>
      <c r="N4195" s="33">
        <f>IFERROR(__xludf.DUMMYFUNCTION("""COMPUTED_VALUE"""),46154.66666666667)</f>
        <v>46154.66667</v>
      </c>
      <c r="O4195" s="20"/>
      <c r="P4195" s="32" t="str">
        <f>IFERROR(__xludf.DUMMYFUNCTION("""COMPUTED_VALUE"""),"可")</f>
        <v>可</v>
      </c>
      <c r="Q4195" s="30" t="str">
        <f>IFERROR(__xludf.DUMMYFUNCTION("""COMPUTED_VALUE"""),"対象作品1話無料（閲覧期限付き無料）")</f>
        <v>対象作品1話無料（閲覧期限付き無料）</v>
      </c>
      <c r="R4195" s="22" t="str">
        <f>IFERROR(__xludf.DUMMYFUNCTION("""COMPUTED_VALUE"""),"コミットOK")</f>
        <v>コミットOK</v>
      </c>
      <c r="S4195" s="22" t="str">
        <f>IFERROR(__xludf.DUMMYFUNCTION("""COMPUTED_VALUE"""),"20251016_風濤社（futohsha）_聖女の姉が棄てた元婚約者に嫁いだら、蕩けるほどの溺愛が待っていました")</f>
        <v>20251016_風濤社（futohsha）_聖女の姉が棄てた元婚約者に嫁いだら、蕩けるほどの溺愛が待っていました</v>
      </c>
      <c r="T4195" s="22" t="str">
        <f>IFERROR(__xludf.DUMMYFUNCTION("""COMPUTED_VALUE"""),"格納済み")</f>
        <v>格納済み</v>
      </c>
      <c r="U4195" s="9" t="str">
        <f>IFERROR(__xludf.DUMMYFUNCTION("""COMPUTED_VALUE"""),"（C）ねむたいが・瑪々子/Eylie")</f>
        <v>（C）ねむたいが・瑪々子/Eylie</v>
      </c>
      <c r="V4195" s="8"/>
      <c r="W4195" s="8"/>
      <c r="X4195" s="8" t="str">
        <f>IFERROR(__xludf.DUMMYFUNCTION("""COMPUTED_VALUE"""),"有")</f>
        <v>有</v>
      </c>
      <c r="Y4195" s="8" t="str">
        <f>IFERROR(__xludf.DUMMYFUNCTION("""COMPUTED_VALUE"""),"2025/11/28まで1巻無料")</f>
        <v>2025/11/28まで1巻無料</v>
      </c>
      <c r="Z4195" s="7"/>
      <c r="AA4195" s="7"/>
      <c r="AB4195" s="7"/>
    </row>
    <row r="4196" ht="15.75" customHeight="1">
      <c r="A4196" s="26">
        <f>IFERROR(__xludf.DUMMYFUNCTION("""COMPUTED_VALUE"""),6685.0)</f>
        <v>6685</v>
      </c>
      <c r="B4196" s="22" t="str">
        <f>IFERROR(__xludf.DUMMYFUNCTION("""COMPUTED_VALUE"""),"確定")</f>
        <v>確定</v>
      </c>
      <c r="C4196" s="28">
        <f>IFERROR(__xludf.DUMMYFUNCTION("""COMPUTED_VALUE"""),45947.0)</f>
        <v>45947</v>
      </c>
      <c r="D4196" s="28">
        <f>IFERROR(__xludf.DUMMYFUNCTION("""COMPUTED_VALUE"""),45959.0)</f>
        <v>45959</v>
      </c>
      <c r="E4196" s="26">
        <f>IFERROR(__xludf.DUMMYFUNCTION("""COMPUTED_VALUE"""),343046.0)</f>
        <v>343046</v>
      </c>
      <c r="F4196" s="22" t="str">
        <f>IFERROR(__xludf.DUMMYFUNCTION("""COMPUTED_VALUE"""),"妹が地獄に堕ちますように")</f>
        <v>妹が地獄に堕ちますように</v>
      </c>
      <c r="G4196" s="20" t="str">
        <f>IFERROR(__xludf.DUMMYFUNCTION("""COMPUTED_VALUE"""),"1～3")</f>
        <v>1～3</v>
      </c>
      <c r="H4196" s="22" t="str">
        <f>IFERROR(__xludf.DUMMYFUNCTION("""COMPUTED_VALUE"""),"はいどろ漫画")</f>
        <v>はいどろ漫画</v>
      </c>
      <c r="I4196" s="22" t="str">
        <f>IFERROR(__xludf.DUMMYFUNCTION("""COMPUTED_VALUE"""),"女性")</f>
        <v>女性</v>
      </c>
      <c r="J4196" s="22"/>
      <c r="K4196" s="22" t="str">
        <f>IFERROR(__xludf.DUMMYFUNCTION("""COMPUTED_VALUE"""),"Ropopo!")</f>
        <v>Ropopo!</v>
      </c>
      <c r="L4196" s="22" t="str">
        <f>IFERROR(__xludf.DUMMYFUNCTION("""COMPUTED_VALUE"""),"CLLENN")</f>
        <v>CLLENN</v>
      </c>
      <c r="M4196" s="33">
        <f>IFERROR(__xludf.DUMMYFUNCTION("""COMPUTED_VALUE"""),45998.0)</f>
        <v>45998</v>
      </c>
      <c r="N4196" s="33">
        <f>IFERROR(__xludf.DUMMYFUNCTION("""COMPUTED_VALUE"""),46053.0)</f>
        <v>46053</v>
      </c>
      <c r="O4196" s="20"/>
      <c r="P4196" s="32" t="str">
        <f>IFERROR(__xludf.DUMMYFUNCTION("""COMPUTED_VALUE"""),"可")</f>
        <v>可</v>
      </c>
      <c r="Q4196" s="30"/>
      <c r="R4196" s="22" t="str">
        <f>IFERROR(__xludf.DUMMYFUNCTION("""COMPUTED_VALUE"""),"コミットOK")</f>
        <v>コミットOK</v>
      </c>
      <c r="S4196" s="22" t="str">
        <f>IFERROR(__xludf.DUMMYFUNCTION("""COMPUTED_VALUE"""),"20251029_CLLENN_妹が地獄に堕ちますように")</f>
        <v>20251029_CLLENN_妹が地獄に堕ちますように</v>
      </c>
      <c r="T4196" s="22" t="str">
        <f>IFERROR(__xludf.DUMMYFUNCTION("""COMPUTED_VALUE"""),"格納済み")</f>
        <v>格納済み</v>
      </c>
      <c r="U4196" s="9" t="str">
        <f>IFERROR(__xludf.DUMMYFUNCTION("""COMPUTED_VALUE"""),"Ⓒはいどろ漫画/CLLENN")</f>
        <v>Ⓒはいどろ漫画/CLLENN</v>
      </c>
      <c r="V4196" s="8"/>
      <c r="W4196" s="8"/>
      <c r="X4196" s="8" t="str">
        <f>IFERROR(__xludf.DUMMYFUNCTION("""COMPUTED_VALUE"""),"有")</f>
        <v>有</v>
      </c>
      <c r="Y4196" s="8" t="str">
        <f>IFERROR(__xludf.DUMMYFUNCTION("""COMPUTED_VALUE"""),"P10まで")</f>
        <v>P10まで</v>
      </c>
      <c r="Z4196" s="7"/>
      <c r="AA4196" s="7"/>
      <c r="AB4196" s="7"/>
    </row>
    <row r="4197" ht="15.75" customHeight="1">
      <c r="A4197" s="26">
        <f>IFERROR(__xludf.DUMMYFUNCTION("""COMPUTED_VALUE"""),6686.0)</f>
        <v>6686</v>
      </c>
      <c r="B4197" s="22" t="str">
        <f>IFERROR(__xludf.DUMMYFUNCTION("""COMPUTED_VALUE"""),"確定")</f>
        <v>確定</v>
      </c>
      <c r="C4197" s="28">
        <f>IFERROR(__xludf.DUMMYFUNCTION("""COMPUTED_VALUE"""),45947.0)</f>
        <v>45947</v>
      </c>
      <c r="D4197" s="28">
        <f>IFERROR(__xludf.DUMMYFUNCTION("""COMPUTED_VALUE"""),45961.0)</f>
        <v>45961</v>
      </c>
      <c r="E4197" s="26">
        <f>IFERROR(__xludf.DUMMYFUNCTION("""COMPUTED_VALUE"""),343045.0)</f>
        <v>343045</v>
      </c>
      <c r="F4197" s="22" t="str">
        <f>IFERROR(__xludf.DUMMYFUNCTION("""COMPUTED_VALUE"""),"獣帝の花嫁　あなたの記憶を取り戻すまで")</f>
        <v>獣帝の花嫁　あなたの記憶を取り戻すまで</v>
      </c>
      <c r="G4197" s="20" t="str">
        <f>IFERROR(__xludf.DUMMYFUNCTION("""COMPUTED_VALUE"""),"1～3")</f>
        <v>1～3</v>
      </c>
      <c r="H4197" s="22" t="str">
        <f>IFERROR(__xludf.DUMMYFUNCTION("""COMPUTED_VALUE"""),"環レン")</f>
        <v>環レン</v>
      </c>
      <c r="I4197" s="22" t="str">
        <f>IFERROR(__xludf.DUMMYFUNCTION("""COMPUTED_VALUE"""),"女性")</f>
        <v>女性</v>
      </c>
      <c r="J4197" s="22"/>
      <c r="K4197" s="22" t="str">
        <f>IFERROR(__xludf.DUMMYFUNCTION("""COMPUTED_VALUE"""),"Ropopo!")</f>
        <v>Ropopo!</v>
      </c>
      <c r="L4197" s="22" t="str">
        <f>IFERROR(__xludf.DUMMYFUNCTION("""COMPUTED_VALUE"""),"CLLENN")</f>
        <v>CLLENN</v>
      </c>
      <c r="M4197" s="33">
        <f>IFERROR(__xludf.DUMMYFUNCTION("""COMPUTED_VALUE"""),45998.0)</f>
        <v>45998</v>
      </c>
      <c r="N4197" s="33">
        <f>IFERROR(__xludf.DUMMYFUNCTION("""COMPUTED_VALUE"""),46053.0)</f>
        <v>46053</v>
      </c>
      <c r="O4197" s="20"/>
      <c r="P4197" s="32" t="str">
        <f>IFERROR(__xludf.DUMMYFUNCTION("""COMPUTED_VALUE"""),"可")</f>
        <v>可</v>
      </c>
      <c r="Q4197" s="30" t="str">
        <f>IFERROR(__xludf.DUMMYFUNCTION("""COMPUTED_VALUE"""),"※シーモアロゴなし対応")</f>
        <v>※シーモアロゴなし対応</v>
      </c>
      <c r="R4197" s="22" t="str">
        <f>IFERROR(__xludf.DUMMYFUNCTION("""COMPUTED_VALUE"""),"コミットOK")</f>
        <v>コミットOK</v>
      </c>
      <c r="S4197" s="22" t="str">
        <f>IFERROR(__xludf.DUMMYFUNCTION("""COMPUTED_VALUE"""),"20251029_CLLENN_獣帝の花嫁")</f>
        <v>20251029_CLLENN_獣帝の花嫁</v>
      </c>
      <c r="T4197" s="22" t="str">
        <f>IFERROR(__xludf.DUMMYFUNCTION("""COMPUTED_VALUE"""),"格納済み")</f>
        <v>格納済み</v>
      </c>
      <c r="U4197" s="9" t="str">
        <f>IFERROR(__xludf.DUMMYFUNCTION("""COMPUTED_VALUE"""),"Ⓒ環レン/CLLENN")</f>
        <v>Ⓒ環レン/CLLENN</v>
      </c>
      <c r="V4197" s="8"/>
      <c r="W4197" s="8"/>
      <c r="X4197" s="8" t="str">
        <f>IFERROR(__xludf.DUMMYFUNCTION("""COMPUTED_VALUE"""),"有")</f>
        <v>有</v>
      </c>
      <c r="Y4197" s="8" t="str">
        <f>IFERROR(__xludf.DUMMYFUNCTION("""COMPUTED_VALUE"""),"P10まで")</f>
        <v>P10まで</v>
      </c>
      <c r="Z4197" s="7"/>
      <c r="AA4197" s="7"/>
      <c r="AB4197" s="7"/>
    </row>
    <row r="4198" ht="15.75" customHeight="1">
      <c r="A4198" s="26">
        <f>IFERROR(__xludf.DUMMYFUNCTION("""COMPUTED_VALUE"""),6692.0)</f>
        <v>6692</v>
      </c>
      <c r="B4198" s="22" t="str">
        <f>IFERROR(__xludf.DUMMYFUNCTION("""COMPUTED_VALUE"""),"確定")</f>
        <v>確定</v>
      </c>
      <c r="C4198" s="28">
        <f>IFERROR(__xludf.DUMMYFUNCTION("""COMPUTED_VALUE"""),45947.0)</f>
        <v>45947</v>
      </c>
      <c r="D4198" s="28">
        <f>IFERROR(__xludf.DUMMYFUNCTION("""COMPUTED_VALUE"""),45965.0)</f>
        <v>45965</v>
      </c>
      <c r="E4198" s="26">
        <f>IFERROR(__xludf.DUMMYFUNCTION("""COMPUTED_VALUE"""),344513.0)</f>
        <v>344513</v>
      </c>
      <c r="F4198" s="22" t="str">
        <f>IFERROR(__xludf.DUMMYFUNCTION("""COMPUTED_VALUE"""),"悪女にされた伯爵令嬢、忠犬騎士と断罪します")</f>
        <v>悪女にされた伯爵令嬢、忠犬騎士と断罪します</v>
      </c>
      <c r="G4198" s="20" t="str">
        <f>IFERROR(__xludf.DUMMYFUNCTION("""COMPUTED_VALUE"""),"1～4")</f>
        <v>1～4</v>
      </c>
      <c r="H4198" s="22" t="str">
        <f>IFERROR(__xludf.DUMMYFUNCTION("""COMPUTED_VALUE"""),"原作／久瀬まりか　漫画／つづき萌重　peep,taskey STUDIO")</f>
        <v>原作／久瀬まりか　漫画／つづき萌重　peep,taskey STUDIO</v>
      </c>
      <c r="I4198" s="22" t="str">
        <f>IFERROR(__xludf.DUMMYFUNCTION("""COMPUTED_VALUE"""),"少女")</f>
        <v>少女</v>
      </c>
      <c r="J4198" s="22"/>
      <c r="K4198" s="22"/>
      <c r="L4198" s="22" t="str">
        <f>IFERROR(__xludf.DUMMYFUNCTION("""COMPUTED_VALUE"""),"taskey")</f>
        <v>taskey</v>
      </c>
      <c r="M4198" s="33">
        <f>IFERROR(__xludf.DUMMYFUNCTION("""COMPUTED_VALUE"""),45989.0)</f>
        <v>45989</v>
      </c>
      <c r="N4198" s="33">
        <f>IFERROR(__xludf.DUMMYFUNCTION("""COMPUTED_VALUE"""),46049.0)</f>
        <v>46049</v>
      </c>
      <c r="O4198" s="20"/>
      <c r="P4198" s="32" t="str">
        <f>IFERROR(__xludf.DUMMYFUNCTION("""COMPUTED_VALUE"""),"可")</f>
        <v>可</v>
      </c>
      <c r="Q4198" s="30" t="str">
        <f>IFERROR(__xludf.DUMMYFUNCTION("""COMPUTED_VALUE"""),"一緒に格納されているクリエイティブ提案については&lt;BR&gt;参考程度に留めていただけますと幸いです。")</f>
        <v>一緒に格納されているクリエイティブ提案については&lt;BR&gt;参考程度に留めていただけますと幸いです。</v>
      </c>
      <c r="R4198" s="22" t="str">
        <f>IFERROR(__xludf.DUMMYFUNCTION("""COMPUTED_VALUE"""),"コミットOK")</f>
        <v>コミットOK</v>
      </c>
      <c r="S4198" s="22" t="str">
        <f>IFERROR(__xludf.DUMMYFUNCTION("""COMPUTED_VALUE"""),"20251104_taskey_悪女にされた伯爵令嬢、忠犬騎士と断罪します")</f>
        <v>20251104_taskey_悪女にされた伯爵令嬢、忠犬騎士と断罪します</v>
      </c>
      <c r="T4198" s="22" t="str">
        <f>IFERROR(__xludf.DUMMYFUNCTION("""COMPUTED_VALUE"""),"格納済み")</f>
        <v>格納済み</v>
      </c>
      <c r="U4198" s="9" t="str">
        <f>IFERROR(__xludf.DUMMYFUNCTION("""COMPUTED_VALUE"""),"Ⓒtaskey　原作／久瀬まりか　漫画／つづき萌重")</f>
        <v>Ⓒtaskey　原作／久瀬まりか　漫画／つづき萌重</v>
      </c>
      <c r="V4198" s="8"/>
      <c r="W4198" s="8"/>
      <c r="X4198" s="8" t="str">
        <f>IFERROR(__xludf.DUMMYFUNCTION("""COMPUTED_VALUE"""),"有")</f>
        <v>有</v>
      </c>
      <c r="Y4198" s="8" t="str">
        <f>IFERROR(__xludf.DUMMYFUNCTION("""COMPUTED_VALUE"""),"1巻無料")</f>
        <v>1巻無料</v>
      </c>
      <c r="Z4198" s="7"/>
      <c r="AA4198" s="7"/>
      <c r="AB4198" s="7"/>
    </row>
    <row r="4199" ht="15.75" customHeight="1">
      <c r="A4199" s="26">
        <f>IFERROR(__xludf.DUMMYFUNCTION("""COMPUTED_VALUE"""),6702.0)</f>
        <v>6702</v>
      </c>
      <c r="B4199" s="22" t="str">
        <f>IFERROR(__xludf.DUMMYFUNCTION("""COMPUTED_VALUE"""),"確定")</f>
        <v>確定</v>
      </c>
      <c r="C4199" s="28">
        <f>IFERROR(__xludf.DUMMYFUNCTION("""COMPUTED_VALUE"""),45951.0)</f>
        <v>45951</v>
      </c>
      <c r="D4199" s="28">
        <f>IFERROR(__xludf.DUMMYFUNCTION("""COMPUTED_VALUE"""),45965.0)</f>
        <v>45965</v>
      </c>
      <c r="E4199" s="26">
        <f>IFERROR(__xludf.DUMMYFUNCTION("""COMPUTED_VALUE"""),343373.0)</f>
        <v>343373</v>
      </c>
      <c r="F4199" s="22" t="str">
        <f>IFERROR(__xludf.DUMMYFUNCTION("""COMPUTED_VALUE"""),"夢見る聖女は王子様の添い寝係に選ばれました（コミック） 分冊版")</f>
        <v>夢見る聖女は王子様の添い寝係に選ばれました（コミック） 分冊版</v>
      </c>
      <c r="G4199" s="20" t="str">
        <f>IFERROR(__xludf.DUMMYFUNCTION("""COMPUTED_VALUE"""),"1～5")</f>
        <v>1～5</v>
      </c>
      <c r="H4199" s="22" t="str">
        <f>IFERROR(__xludf.DUMMYFUNCTION("""COMPUTED_VALUE"""),"白瀬やや・石丸める")</f>
        <v>白瀬やや・石丸める</v>
      </c>
      <c r="I4199" s="22" t="str">
        <f>IFERROR(__xludf.DUMMYFUNCTION("""COMPUTED_VALUE"""),"女性")</f>
        <v>女性</v>
      </c>
      <c r="J4199" s="22"/>
      <c r="K4199" s="22" t="str">
        <f>IFERROR(__xludf.DUMMYFUNCTION("""COMPUTED_VALUE"""),"モンスターコミックスｆ")</f>
        <v>モンスターコミックスｆ</v>
      </c>
      <c r="L4199" s="22" t="str">
        <f>IFERROR(__xludf.DUMMYFUNCTION("""COMPUTED_VALUE"""),"双葉社")</f>
        <v>双葉社</v>
      </c>
      <c r="M4199" s="33">
        <f>IFERROR(__xludf.DUMMYFUNCTION("""COMPUTED_VALUE"""),46007.0)</f>
        <v>46007</v>
      </c>
      <c r="N4199" s="33">
        <f>IFERROR(__xludf.DUMMYFUNCTION("""COMPUTED_VALUE"""),46068.0)</f>
        <v>46068</v>
      </c>
      <c r="O4199" s="20"/>
      <c r="P4199" s="32" t="str">
        <f>IFERROR(__xludf.DUMMYFUNCTION("""COMPUTED_VALUE"""),"可")</f>
        <v>可</v>
      </c>
      <c r="Q4199" s="30" t="str">
        <f>IFERROR(__xludf.DUMMYFUNCTION("""COMPUTED_VALUE"""),"初回5話配信ですが、1~４話での素材で広告制作お願いいたします。&lt;BR&gt;")</f>
        <v>初回5話配信ですが、1~４話での素材で広告制作お願いいたします。&lt;BR&gt;</v>
      </c>
      <c r="R4199" s="22" t="str">
        <f>IFERROR(__xludf.DUMMYFUNCTION("""COMPUTED_VALUE"""),"コミットOK")</f>
        <v>コミットOK</v>
      </c>
      <c r="S4199" s="22" t="str">
        <f>IFERROR(__xludf.DUMMYFUNCTION("""COMPUTED_VALUE"""),"20251031_双葉社_夢見る聖女は王子様の添い寝係に選ばれました（コミック） 分冊版-20251031T050956Z-1-001")</f>
        <v>20251031_双葉社_夢見る聖女は王子様の添い寝係に選ばれました（コミック） 分冊版-20251031T050956Z-1-001</v>
      </c>
      <c r="T4199" s="22" t="str">
        <f>IFERROR(__xludf.DUMMYFUNCTION("""COMPUTED_VALUE"""),"格納済み")</f>
        <v>格納済み</v>
      </c>
      <c r="U4199" s="9" t="str">
        <f>IFERROR(__xludf.DUMMYFUNCTION("""COMPUTED_VALUE"""),"Ⓒ白瀬やや・石丸める/双葉社")</f>
        <v>Ⓒ白瀬やや・石丸める/双葉社</v>
      </c>
      <c r="V4199" s="8"/>
      <c r="W4199" s="8"/>
      <c r="X4199" s="8" t="str">
        <f>IFERROR(__xludf.DUMMYFUNCTION("""COMPUTED_VALUE"""),"有")</f>
        <v>有</v>
      </c>
      <c r="Y4199" s="8" t="str">
        <f>IFERROR(__xludf.DUMMYFUNCTION("""COMPUTED_VALUE"""),"P9まで")</f>
        <v>P9まで</v>
      </c>
      <c r="Z4199" s="7"/>
      <c r="AA4199" s="7"/>
      <c r="AB4199" s="7"/>
    </row>
    <row r="4200" ht="15.75" customHeight="1">
      <c r="A4200" s="26">
        <f>IFERROR(__xludf.DUMMYFUNCTION("""COMPUTED_VALUE"""),6712.0)</f>
        <v>6712</v>
      </c>
      <c r="B4200" s="22" t="str">
        <f>IFERROR(__xludf.DUMMYFUNCTION("""COMPUTED_VALUE"""),"確定")</f>
        <v>確定</v>
      </c>
      <c r="C4200" s="28">
        <f>IFERROR(__xludf.DUMMYFUNCTION("""COMPUTED_VALUE"""),45952.0)</f>
        <v>45952</v>
      </c>
      <c r="D4200" s="28">
        <f>IFERROR(__xludf.DUMMYFUNCTION("""COMPUTED_VALUE"""),45966.0)</f>
        <v>45966</v>
      </c>
      <c r="E4200" s="26">
        <f>IFERROR(__xludf.DUMMYFUNCTION("""COMPUTED_VALUE"""),343286.0)</f>
        <v>343286</v>
      </c>
      <c r="F4200" s="22" t="str">
        <f>IFERROR(__xludf.DUMMYFUNCTION("""COMPUTED_VALUE"""),"泣き虫をチャラ婚約者にした覚えはない！【マイクロ】")</f>
        <v>泣き虫をチャラ婚約者にした覚えはない！【マイクロ】</v>
      </c>
      <c r="G4200" s="20">
        <f>IFERROR(__xludf.DUMMYFUNCTION("""COMPUTED_VALUE"""),1.0)</f>
        <v>1</v>
      </c>
      <c r="H4200" s="22" t="str">
        <f>IFERROR(__xludf.DUMMYFUNCTION("""COMPUTED_VALUE"""),"花丸ぺこ")</f>
        <v>花丸ぺこ</v>
      </c>
      <c r="I4200" s="22" t="str">
        <f>IFERROR(__xludf.DUMMYFUNCTION("""COMPUTED_VALUE"""),"女性")</f>
        <v>女性</v>
      </c>
      <c r="J4200" s="22"/>
      <c r="K4200" s="22"/>
      <c r="L4200" s="22" t="str">
        <f>IFERROR(__xludf.DUMMYFUNCTION("""COMPUTED_VALUE"""),"小学館")</f>
        <v>小学館</v>
      </c>
      <c r="M4200" s="33">
        <f>IFERROR(__xludf.DUMMYFUNCTION("""COMPUTED_VALUE"""),45986.0)</f>
        <v>45986</v>
      </c>
      <c r="N4200" s="33">
        <f>IFERROR(__xludf.DUMMYFUNCTION("""COMPUTED_VALUE"""),46047.0)</f>
        <v>46047</v>
      </c>
      <c r="O4200" s="20"/>
      <c r="P4200" s="32" t="str">
        <f>IFERROR(__xludf.DUMMYFUNCTION("""COMPUTED_VALUE"""),"可")</f>
        <v>可</v>
      </c>
      <c r="Q4200" s="30" t="str">
        <f>IFERROR(__xludf.DUMMYFUNCTION("""COMPUTED_VALUE"""),"「この初夜、予想外につき。～転生したらいきなり初夜なんて聞いてません～」アンソロとセット先行。")</f>
        <v>「この初夜、予想外につき。～転生したらいきなり初夜なんて聞いてません～」アンソロとセット先行。</v>
      </c>
      <c r="R4200" s="22"/>
      <c r="S4200" s="22" t="str">
        <f>IFERROR(__xludf.DUMMYFUNCTION("""COMPUTED_VALUE"""),"20251104_小学館_泣き虫をチャラ婚約者にした覚えはない！【マイクロ】")</f>
        <v>20251104_小学館_泣き虫をチャラ婚約者にした覚えはない！【マイクロ】</v>
      </c>
      <c r="T4200" s="22" t="str">
        <f>IFERROR(__xludf.DUMMYFUNCTION("""COMPUTED_VALUE"""),"格納済み")</f>
        <v>格納済み</v>
      </c>
      <c r="U4200" s="9" t="str">
        <f>IFERROR(__xludf.DUMMYFUNCTION("""COMPUTED_VALUE"""),"(C)花丸ぺこ / 小学館")</f>
        <v>(C)花丸ぺこ / 小学館</v>
      </c>
      <c r="V4200" s="8"/>
      <c r="W4200" s="8"/>
      <c r="X4200" s="8" t="str">
        <f>IFERROR(__xludf.DUMMYFUNCTION("""COMPUTED_VALUE"""),"有")</f>
        <v>有</v>
      </c>
      <c r="Y4200" s="8" t="str">
        <f>IFERROR(__xludf.DUMMYFUNCTION("""COMPUTED_VALUE"""),"P8まで")</f>
        <v>P8まで</v>
      </c>
      <c r="Z4200" s="7"/>
      <c r="AA4200" s="7"/>
      <c r="AB4200" s="7"/>
    </row>
    <row r="4201" ht="15.75" customHeight="1">
      <c r="A4201" s="26">
        <f>IFERROR(__xludf.DUMMYFUNCTION("""COMPUTED_VALUE"""),6713.0)</f>
        <v>6713</v>
      </c>
      <c r="B4201" s="22" t="str">
        <f>IFERROR(__xludf.DUMMYFUNCTION("""COMPUTED_VALUE"""),"確定")</f>
        <v>確定</v>
      </c>
      <c r="C4201" s="28">
        <f>IFERROR(__xludf.DUMMYFUNCTION("""COMPUTED_VALUE"""),45952.0)</f>
        <v>45952</v>
      </c>
      <c r="D4201" s="28">
        <f>IFERROR(__xludf.DUMMYFUNCTION("""COMPUTED_VALUE"""),45974.0)</f>
        <v>45974</v>
      </c>
      <c r="E4201" s="26">
        <f>IFERROR(__xludf.DUMMYFUNCTION("""COMPUTED_VALUE"""),342126.0)</f>
        <v>342126</v>
      </c>
      <c r="F4201" s="22" t="str">
        <f>IFERROR(__xludf.DUMMYFUNCTION("""COMPUTED_VALUE"""),"彼女がハーレムを薦めてくる。 分冊版")</f>
        <v>彼女がハーレムを薦めてくる。 分冊版</v>
      </c>
      <c r="G4201" s="20" t="str">
        <f>IFERROR(__xludf.DUMMYFUNCTION("""COMPUTED_VALUE"""),"1～4")</f>
        <v>1～4</v>
      </c>
      <c r="H4201" s="22" t="str">
        <f>IFERROR(__xludf.DUMMYFUNCTION("""COMPUTED_VALUE"""),"原作/愛上クレ 漫画/木場智士 製作協力/南風麗魔 キャラクター原案/Octonut・SHINANO LAB")</f>
        <v>原作/愛上クレ 漫画/木場智士 製作協力/南風麗魔 キャラクター原案/Octonut・SHINANO LAB</v>
      </c>
      <c r="I4201" s="22" t="str">
        <f>IFERROR(__xludf.DUMMYFUNCTION("""COMPUTED_VALUE"""),"青年")</f>
        <v>青年</v>
      </c>
      <c r="J4201" s="22"/>
      <c r="K4201" s="22"/>
      <c r="L4201" s="22" t="str">
        <f>IFERROR(__xludf.DUMMYFUNCTION("""COMPUTED_VALUE"""),"集英社")</f>
        <v>集英社</v>
      </c>
      <c r="M4201" s="33">
        <f>IFERROR(__xludf.DUMMYFUNCTION("""COMPUTED_VALUE"""),45986.0)</f>
        <v>45986</v>
      </c>
      <c r="N4201" s="33">
        <f>IFERROR(__xludf.DUMMYFUNCTION("""COMPUTED_VALUE"""),46015.0)</f>
        <v>46015</v>
      </c>
      <c r="O4201" s="20"/>
      <c r="P4201" s="32" t="str">
        <f>IFERROR(__xludf.DUMMYFUNCTION("""COMPUTED_VALUE"""),"可")</f>
        <v>可</v>
      </c>
      <c r="Q4201" s="30" t="str">
        <f>IFERROR(__xludf.DUMMYFUNCTION("""COMPUTED_VALUE"""),"【アダルト作品扱い】&lt;BR&gt;・1話を2分割して分冊版1巻分となります。&lt;BR&gt;・5巻目にあたる3話目16Pまでの進行が遅れているため、&lt;BR&gt;格納している2話（1～4巻）の素材で制作お願いいたします。")</f>
        <v>【アダルト作品扱い】&lt;BR&gt;・1話を2分割して分冊版1巻分となります。&lt;BR&gt;・5巻目にあたる3話目16Pまでの進行が遅れているため、&lt;BR&gt;格納している2話（1～4巻）の素材で制作お願いいたします。</v>
      </c>
      <c r="R4201" s="22" t="str">
        <f>IFERROR(__xludf.DUMMYFUNCTION("""COMPUTED_VALUE"""),"コミットOK")</f>
        <v>コミットOK</v>
      </c>
      <c r="S4201" s="22" t="str">
        <f>IFERROR(__xludf.DUMMYFUNCTION("""COMPUTED_VALUE"""),"20251031_集英社_彼女がハーレムを薦めてくる。")</f>
        <v>20251031_集英社_彼女がハーレムを薦めてくる。</v>
      </c>
      <c r="T4201" s="22" t="str">
        <f>IFERROR(__xludf.DUMMYFUNCTION("""COMPUTED_VALUE"""),"格納済み")</f>
        <v>格納済み</v>
      </c>
      <c r="U4201" s="9" t="str">
        <f>IFERROR(__xludf.DUMMYFUNCTION("""COMPUTED_VALUE"""),"(c)愛上クレ・木場智士・南風麗魔・Octonut・SHINANO LAB／集英社")</f>
        <v>(c)愛上クレ・木場智士・南風麗魔・Octonut・SHINANO LAB／集英社</v>
      </c>
      <c r="V4201" s="8"/>
      <c r="W4201" s="8"/>
      <c r="X4201" s="8" t="str">
        <f>IFERROR(__xludf.DUMMYFUNCTION("""COMPUTED_VALUE"""),"有")</f>
        <v>有</v>
      </c>
      <c r="Y4201" s="8" t="str">
        <f>IFERROR(__xludf.DUMMYFUNCTION("""COMPUTED_VALUE"""),"2025/12/24まで1巻無料")</f>
        <v>2025/12/24まで1巻無料</v>
      </c>
      <c r="Z4201" s="7"/>
      <c r="AA4201" s="7"/>
      <c r="AB4201" s="7"/>
    </row>
    <row r="4202" ht="15.75" customHeight="1">
      <c r="A4202" s="26">
        <f>IFERROR(__xludf.DUMMYFUNCTION("""COMPUTED_VALUE"""),6726.0)</f>
        <v>6726</v>
      </c>
      <c r="B4202" s="22" t="str">
        <f>IFERROR(__xludf.DUMMYFUNCTION("""COMPUTED_VALUE"""),"確定")</f>
        <v>確定</v>
      </c>
      <c r="C4202" s="28">
        <f>IFERROR(__xludf.DUMMYFUNCTION("""COMPUTED_VALUE"""),45953.0)</f>
        <v>45953</v>
      </c>
      <c r="D4202" s="28">
        <f>IFERROR(__xludf.DUMMYFUNCTION("""COMPUTED_VALUE"""),45961.0)</f>
        <v>45961</v>
      </c>
      <c r="E4202" s="26">
        <f>IFERROR(__xludf.DUMMYFUNCTION("""COMPUTED_VALUE"""),342438.0)</f>
        <v>342438</v>
      </c>
      <c r="F4202" s="22" t="str">
        <f>IFERROR(__xludf.DUMMYFUNCTION("""COMPUTED_VALUE"""),"【分冊版】EMDM症候群")</f>
        <v>【分冊版】EMDM症候群</v>
      </c>
      <c r="G4202" s="20" t="str">
        <f>IFERROR(__xludf.DUMMYFUNCTION("""COMPUTED_VALUE"""),"1～5")</f>
        <v>1～5</v>
      </c>
      <c r="H4202" s="22" t="str">
        <f>IFERROR(__xludf.DUMMYFUNCTION("""COMPUTED_VALUE"""),"原作：雨衣馨┴漫画：綾峰けう")</f>
        <v>原作：雨衣馨┴漫画：綾峰けう</v>
      </c>
      <c r="I4202" s="22" t="str">
        <f>IFERROR(__xludf.DUMMYFUNCTION("""COMPUTED_VALUE"""),"青年")</f>
        <v>青年</v>
      </c>
      <c r="J4202" s="22"/>
      <c r="K4202" s="22"/>
      <c r="L4202" s="22" t="str">
        <f>IFERROR(__xludf.DUMMYFUNCTION("""COMPUTED_VALUE"""),"Seasons")</f>
        <v>Seasons</v>
      </c>
      <c r="M4202" s="33">
        <f>IFERROR(__xludf.DUMMYFUNCTION("""COMPUTED_VALUE"""),45989.0)</f>
        <v>45989</v>
      </c>
      <c r="N4202" s="33">
        <f>IFERROR(__xludf.DUMMYFUNCTION("""COMPUTED_VALUE"""),46080.0)</f>
        <v>46080</v>
      </c>
      <c r="O4202" s="20"/>
      <c r="P4202" s="32" t="str">
        <f>IFERROR(__xludf.DUMMYFUNCTION("""COMPUTED_VALUE"""),"可")</f>
        <v>可</v>
      </c>
      <c r="Q4202" s="30" t="str">
        <f>IFERROR(__xludf.DUMMYFUNCTION("""COMPUTED_VALUE"""),"【アダルト作品扱い】")</f>
        <v>【アダルト作品扱い】</v>
      </c>
      <c r="R4202" s="22"/>
      <c r="S4202" s="22" t="str">
        <f>IFERROR(__xludf.DUMMYFUNCTION("""COMPUTED_VALUE"""),"20251023_Seasons_「EMDM症候群」")</f>
        <v>20251023_Seasons_「EMDM症候群」</v>
      </c>
      <c r="T4202" s="22" t="str">
        <f>IFERROR(__xludf.DUMMYFUNCTION("""COMPUTED_VALUE"""),"格納済み")</f>
        <v>格納済み</v>
      </c>
      <c r="U4202" s="9" t="str">
        <f>IFERROR(__xludf.DUMMYFUNCTION("""COMPUTED_VALUE"""),"Ⓒ雨衣馨・綾峰けう／文藝春秋")</f>
        <v>Ⓒ雨衣馨・綾峰けう／文藝春秋</v>
      </c>
      <c r="V4202" s="8"/>
      <c r="W4202" s="8"/>
      <c r="X4202" s="8" t="str">
        <f>IFERROR(__xludf.DUMMYFUNCTION("""COMPUTED_VALUE"""),"有")</f>
        <v>有</v>
      </c>
      <c r="Y4202" s="8" t="str">
        <f>IFERROR(__xludf.DUMMYFUNCTION("""COMPUTED_VALUE"""),"P7まで")</f>
        <v>P7まで</v>
      </c>
      <c r="Z4202" s="7"/>
      <c r="AA4202" s="7"/>
      <c r="AB4202" s="7"/>
    </row>
    <row r="4203" ht="15.75" customHeight="1">
      <c r="A4203" s="26">
        <f>IFERROR(__xludf.DUMMYFUNCTION("""COMPUTED_VALUE"""),6741.0)</f>
        <v>6741</v>
      </c>
      <c r="B4203" s="22" t="str">
        <f>IFERROR(__xludf.DUMMYFUNCTION("""COMPUTED_VALUE"""),"確定")</f>
        <v>確定</v>
      </c>
      <c r="C4203" s="28">
        <f>IFERROR(__xludf.DUMMYFUNCTION("""COMPUTED_VALUE"""),45957.0)</f>
        <v>45957</v>
      </c>
      <c r="D4203" s="28">
        <f>IFERROR(__xludf.DUMMYFUNCTION("""COMPUTED_VALUE"""),45966.0)</f>
        <v>45966</v>
      </c>
      <c r="E4203" s="26">
        <f>IFERROR(__xludf.DUMMYFUNCTION("""COMPUTED_VALUE"""),330299.0)</f>
        <v>330299</v>
      </c>
      <c r="F4203" s="22" t="str">
        <f>IFERROR(__xludf.DUMMYFUNCTION("""COMPUTED_VALUE"""),"悪女は求愛の檻から逃げ出したい(フルカラー)")</f>
        <v>悪女は求愛の檻から逃げ出したい(フルカラー)</v>
      </c>
      <c r="G4203" s="20" t="str">
        <f>IFERROR(__xludf.DUMMYFUNCTION("""COMPUTED_VALUE"""),"1～3")</f>
        <v>1～3</v>
      </c>
      <c r="H4203" s="22" t="str">
        <f>IFERROR(__xludf.DUMMYFUNCTION("""COMPUTED_VALUE"""),"STUDIO INUS,PURRINE")</f>
        <v>STUDIO INUS,PURRINE</v>
      </c>
      <c r="I4203" s="22" t="str">
        <f>IFERROR(__xludf.DUMMYFUNCTION("""COMPUTED_VALUE"""),"女性マンガ")</f>
        <v>女性マンガ</v>
      </c>
      <c r="J4203" s="22"/>
      <c r="K4203" s="22" t="str">
        <f>IFERROR(__xludf.DUMMYFUNCTION("""COMPUTED_VALUE"""),"リア×ロマ,スキして?桃色日記")</f>
        <v>リア×ロマ,スキして?桃色日記</v>
      </c>
      <c r="L4203" s="22" t="str">
        <f>IFERROR(__xludf.DUMMYFUNCTION("""COMPUTED_VALUE"""),"シーモアコミックス")</f>
        <v>シーモアコミックス</v>
      </c>
      <c r="M4203" s="33">
        <f>IFERROR(__xludf.DUMMYFUNCTION("""COMPUTED_VALUE"""),45997.0)</f>
        <v>45997</v>
      </c>
      <c r="N4203" s="33">
        <f>IFERROR(__xludf.DUMMYFUNCTION("""COMPUTED_VALUE"""),2958465.0)</f>
        <v>2958465</v>
      </c>
      <c r="O4203" s="20"/>
      <c r="P4203" s="32" t="str">
        <f>IFERROR(__xludf.DUMMYFUNCTION("""COMPUTED_VALUE"""),"可")</f>
        <v>可</v>
      </c>
      <c r="Q4203" s="30"/>
      <c r="R4203" s="22"/>
      <c r="S4203" s="22" t="str">
        <f>IFERROR(__xludf.DUMMYFUNCTION("""COMPUTED_VALUE"""),"20251027_シーモアコミックス_悪女は求愛の檻から逃げ出したい（フルカラー）")</f>
        <v>20251027_シーモアコミックス_悪女は求愛の檻から逃げ出したい（フルカラー）</v>
      </c>
      <c r="T4203" s="22" t="str">
        <f>IFERROR(__xludf.DUMMYFUNCTION("""COMPUTED_VALUE"""),"格納済み")</f>
        <v>格納済み</v>
      </c>
      <c r="U4203" s="9" t="str">
        <f>IFERROR(__xludf.DUMMYFUNCTION("""COMPUTED_VALUE"""),"(C) STUDIO INUS/PURRINE/Toyou's Dream/シーモアコミックス")</f>
        <v>(C) STUDIO INUS/PURRINE/Toyou's Dream/シーモアコミックス</v>
      </c>
      <c r="V4203" s="8"/>
      <c r="W4203" s="8"/>
      <c r="X4203" s="8" t="str">
        <f>IFERROR(__xludf.DUMMYFUNCTION("""COMPUTED_VALUE"""),"有")</f>
        <v>有</v>
      </c>
      <c r="Y4203" s="8" t="str">
        <f>IFERROR(__xludf.DUMMYFUNCTION("""COMPUTED_VALUE"""),"2026/1/2まで1巻無料")</f>
        <v>2026/1/2まで1巻無料</v>
      </c>
      <c r="Z4203" s="7"/>
      <c r="AA4203" s="7"/>
      <c r="AB4203" s="7"/>
    </row>
    <row r="4204" ht="15.75" customHeight="1">
      <c r="A4204" s="26">
        <f>IFERROR(__xludf.DUMMYFUNCTION("""COMPUTED_VALUE"""),6742.0)</f>
        <v>6742</v>
      </c>
      <c r="B4204" s="22" t="str">
        <f>IFERROR(__xludf.DUMMYFUNCTION("""COMPUTED_VALUE"""),"確定")</f>
        <v>確定</v>
      </c>
      <c r="C4204" s="28">
        <f>IFERROR(__xludf.DUMMYFUNCTION("""COMPUTED_VALUE"""),45957.0)</f>
        <v>45957</v>
      </c>
      <c r="D4204" s="28">
        <f>IFERROR(__xludf.DUMMYFUNCTION("""COMPUTED_VALUE"""),45966.0)</f>
        <v>45966</v>
      </c>
      <c r="E4204" s="26">
        <f>IFERROR(__xludf.DUMMYFUNCTION("""COMPUTED_VALUE"""),330300.0)</f>
        <v>330300</v>
      </c>
      <c r="F4204" s="22" t="str">
        <f>IFERROR(__xludf.DUMMYFUNCTION("""COMPUTED_VALUE"""),"悪女は求愛の檻から逃げ出したい【タテヨミ】")</f>
        <v>悪女は求愛の檻から逃げ出したい【タテヨミ】</v>
      </c>
      <c r="G4204" s="20" t="str">
        <f>IFERROR(__xludf.DUMMYFUNCTION("""COMPUTED_VALUE"""),"1～6")</f>
        <v>1～6</v>
      </c>
      <c r="H4204" s="22" t="str">
        <f>IFERROR(__xludf.DUMMYFUNCTION("""COMPUTED_VALUE"""),"STUDIO INUS,PURRINE")</f>
        <v>STUDIO INUS,PURRINE</v>
      </c>
      <c r="I4204" s="22" t="str">
        <f>IFERROR(__xludf.DUMMYFUNCTION("""COMPUTED_VALUE"""),"女性マンガ")</f>
        <v>女性マンガ</v>
      </c>
      <c r="J4204" s="22"/>
      <c r="K4204" s="22" t="str">
        <f>IFERROR(__xludf.DUMMYFUNCTION("""COMPUTED_VALUE"""),"リア×ロマ,スキして?桃色日記")</f>
        <v>リア×ロマ,スキして?桃色日記</v>
      </c>
      <c r="L4204" s="22" t="str">
        <f>IFERROR(__xludf.DUMMYFUNCTION("""COMPUTED_VALUE"""),"シーモアコミックス")</f>
        <v>シーモアコミックス</v>
      </c>
      <c r="M4204" s="33">
        <f>IFERROR(__xludf.DUMMYFUNCTION("""COMPUTED_VALUE"""),45997.0)</f>
        <v>45997</v>
      </c>
      <c r="N4204" s="33">
        <f>IFERROR(__xludf.DUMMYFUNCTION("""COMPUTED_VALUE"""),2958465.0)</f>
        <v>2958465</v>
      </c>
      <c r="O4204" s="20"/>
      <c r="P4204" s="32" t="str">
        <f>IFERROR(__xludf.DUMMYFUNCTION("""COMPUTED_VALUE"""),"可")</f>
        <v>可</v>
      </c>
      <c r="Q4204" s="30" t="str">
        <f>IFERROR(__xludf.DUMMYFUNCTION("""COMPUTED_VALUE"""),"※コマサム等素材は「330299　悪女は求愛の檻から逃げ出したい(フルカラー)」の方をお使いください。バナー制作はフルカラー版の素材を利用して問題ございません。&lt;BR&gt;")</f>
        <v>※コマサム等素材は「330299　悪女は求愛の檻から逃げ出したい(フルカラー)」の方をお使いください。バナー制作はフルカラー版の素材を利用して問題ございません。&lt;BR&gt;</v>
      </c>
      <c r="R4204" s="22"/>
      <c r="S4204" s="22" t="str">
        <f>IFERROR(__xludf.DUMMYFUNCTION("""COMPUTED_VALUE"""),"20251027_シーモアコミックス_悪女は求愛の檻から逃げ出したい【タテヨミ】")</f>
        <v>20251027_シーモアコミックス_悪女は求愛の檻から逃げ出したい【タテヨミ】</v>
      </c>
      <c r="T4204" s="22" t="str">
        <f>IFERROR(__xludf.DUMMYFUNCTION("""COMPUTED_VALUE"""),"格納済み")</f>
        <v>格納済み</v>
      </c>
      <c r="U4204" s="9" t="str">
        <f>IFERROR(__xludf.DUMMYFUNCTION("""COMPUTED_VALUE"""),"(C) STUDIO INUS/PURRINE/Toyou's Dream/シーモアコミックス")</f>
        <v>(C) STUDIO INUS/PURRINE/Toyou's Dream/シーモアコミックス</v>
      </c>
      <c r="V4204" s="8"/>
      <c r="W4204" s="8"/>
      <c r="X4204" s="8" t="str">
        <f>IFERROR(__xludf.DUMMYFUNCTION("""COMPUTED_VALUE"""),"有")</f>
        <v>有</v>
      </c>
      <c r="Y4204" s="8" t="str">
        <f>IFERROR(__xludf.DUMMYFUNCTION("""COMPUTED_VALUE"""),"2026/1/2まで1~2巻無料")</f>
        <v>2026/1/2まで1~2巻無料</v>
      </c>
      <c r="Z4204" s="7"/>
      <c r="AA4204" s="7"/>
      <c r="AB4204" s="7"/>
    </row>
    <row r="4205" ht="15.75" customHeight="1">
      <c r="A4205" s="26">
        <f>IFERROR(__xludf.DUMMYFUNCTION("""COMPUTED_VALUE"""),6743.0)</f>
        <v>6743</v>
      </c>
      <c r="B4205" s="22" t="str">
        <f>IFERROR(__xludf.DUMMYFUNCTION("""COMPUTED_VALUE"""),"確定")</f>
        <v>確定</v>
      </c>
      <c r="C4205" s="28">
        <f>IFERROR(__xludf.DUMMYFUNCTION("""COMPUTED_VALUE"""),45957.0)</f>
        <v>45957</v>
      </c>
      <c r="D4205" s="28">
        <f>IFERROR(__xludf.DUMMYFUNCTION("""COMPUTED_VALUE"""),45966.0)</f>
        <v>45966</v>
      </c>
      <c r="E4205" s="26">
        <f>IFERROR(__xludf.DUMMYFUNCTION("""COMPUTED_VALUE"""),279875.0)</f>
        <v>279875</v>
      </c>
      <c r="F4205" s="22" t="str">
        <f>IFERROR(__xludf.DUMMYFUNCTION("""COMPUTED_VALUE"""),"裏切り幼なじみの10年恋")</f>
        <v>裏切り幼なじみの10年恋</v>
      </c>
      <c r="G4205" s="20" t="str">
        <f>IFERROR(__xludf.DUMMYFUNCTION("""COMPUTED_VALUE"""),"1～6")</f>
        <v>1～6</v>
      </c>
      <c r="H4205" s="22" t="str">
        <f>IFERROR(__xludf.DUMMYFUNCTION("""COMPUTED_VALUE"""),"富塚ミヤコ")</f>
        <v>富塚ミヤコ</v>
      </c>
      <c r="I4205" s="22" t="str">
        <f>IFERROR(__xludf.DUMMYFUNCTION("""COMPUTED_VALUE"""),"BLマンガ")</f>
        <v>BLマンガ</v>
      </c>
      <c r="J4205" s="22"/>
      <c r="K4205" s="22" t="str">
        <f>IFERROR(__xludf.DUMMYFUNCTION("""COMPUTED_VALUE"""),"Ficus")</f>
        <v>Ficus</v>
      </c>
      <c r="L4205" s="22" t="str">
        <f>IFERROR(__xludf.DUMMYFUNCTION("""COMPUTED_VALUE"""),"シーモアコミックス")</f>
        <v>シーモアコミックス</v>
      </c>
      <c r="M4205" s="33">
        <f>IFERROR(__xludf.DUMMYFUNCTION("""COMPUTED_VALUE"""),45998.0)</f>
        <v>45998</v>
      </c>
      <c r="N4205" s="33">
        <f>IFERROR(__xludf.DUMMYFUNCTION("""COMPUTED_VALUE"""),2958465.0)</f>
        <v>2958465</v>
      </c>
      <c r="O4205" s="20"/>
      <c r="P4205" s="32" t="str">
        <f>IFERROR(__xludf.DUMMYFUNCTION("""COMPUTED_VALUE"""),"可")</f>
        <v>可</v>
      </c>
      <c r="Q4205" s="30"/>
      <c r="R4205" s="22"/>
      <c r="S4205" s="22" t="str">
        <f>IFERROR(__xludf.DUMMYFUNCTION("""COMPUTED_VALUE"""),"20251027_シーモアコミックス_裏切り幼なじみの10年恋")</f>
        <v>20251027_シーモアコミックス_裏切り幼なじみの10年恋</v>
      </c>
      <c r="T4205" s="22" t="str">
        <f>IFERROR(__xludf.DUMMYFUNCTION("""COMPUTED_VALUE"""),"格納済み")</f>
        <v>格納済み</v>
      </c>
      <c r="U4205" s="9" t="str">
        <f>IFERROR(__xludf.DUMMYFUNCTION("""COMPUTED_VALUE"""),"(C) 富塚ミヤコ/シーモアコミックス")</f>
        <v>(C) 富塚ミヤコ/シーモアコミックス</v>
      </c>
      <c r="V4205" s="8"/>
      <c r="W4205" s="8"/>
      <c r="X4205" s="8" t="str">
        <f>IFERROR(__xludf.DUMMYFUNCTION("""COMPUTED_VALUE"""),"有")</f>
        <v>有</v>
      </c>
      <c r="Y4205" s="8" t="str">
        <f>IFERROR(__xludf.DUMMYFUNCTION("""COMPUTED_VALUE"""),"2026/1/3まで1巻無料")</f>
        <v>2026/1/3まで1巻無料</v>
      </c>
      <c r="Z4205" s="7"/>
      <c r="AA4205" s="7"/>
      <c r="AB4205" s="7"/>
    </row>
    <row r="4206" ht="15.75" customHeight="1">
      <c r="A4206" s="26">
        <f>IFERROR(__xludf.DUMMYFUNCTION("""COMPUTED_VALUE"""),6765.0)</f>
        <v>6765</v>
      </c>
      <c r="B4206" s="22" t="str">
        <f>IFERROR(__xludf.DUMMYFUNCTION("""COMPUTED_VALUE"""),"確定")</f>
        <v>確定</v>
      </c>
      <c r="C4206" s="28">
        <f>IFERROR(__xludf.DUMMYFUNCTION("""COMPUTED_VALUE"""),45960.0)</f>
        <v>45960</v>
      </c>
      <c r="D4206" s="28">
        <f>IFERROR(__xludf.DUMMYFUNCTION("""COMPUTED_VALUE"""),45966.0)</f>
        <v>45966</v>
      </c>
      <c r="E4206" s="26">
        <f>IFERROR(__xludf.DUMMYFUNCTION("""COMPUTED_VALUE"""),342333.0)</f>
        <v>342333</v>
      </c>
      <c r="F4206" s="22" t="str">
        <f>IFERROR(__xludf.DUMMYFUNCTION("""COMPUTED_VALUE"""),"絶倫エリート後輩との恋はワンナイトから!?～極上愛撫に翻弄されています～【原作者書き下ろしSS付き】")</f>
        <v>絶倫エリート後輩との恋はワンナイトから!?～極上愛撫に翻弄されています～【原作者書き下ろしSS付き】</v>
      </c>
      <c r="G4206" s="20" t="str">
        <f>IFERROR(__xludf.DUMMYFUNCTION("""COMPUTED_VALUE"""),"1～3")</f>
        <v>1～3</v>
      </c>
      <c r="H4206" s="22" t="str">
        <f>IFERROR(__xludf.DUMMYFUNCTION("""COMPUTED_VALUE"""),"おこめ/猫屋ちゃき")</f>
        <v>おこめ/猫屋ちゃき</v>
      </c>
      <c r="I4206" s="22" t="str">
        <f>IFERROR(__xludf.DUMMYFUNCTION("""COMPUTED_VALUE"""),"TL")</f>
        <v>TL</v>
      </c>
      <c r="J4206" s="22"/>
      <c r="K4206" s="22" t="str">
        <f>IFERROR(__xludf.DUMMYFUNCTION("""COMPUTED_VALUE"""),"濃蜜ラブルージュCOMICS")</f>
        <v>濃蜜ラブルージュCOMICS</v>
      </c>
      <c r="L4206" s="22" t="str">
        <f>IFERROR(__xludf.DUMMYFUNCTION("""COMPUTED_VALUE"""),"セ・キララ文庫")</f>
        <v>セ・キララ文庫</v>
      </c>
      <c r="M4206" s="33">
        <f>IFERROR(__xludf.DUMMYFUNCTION("""COMPUTED_VALUE"""),45989.0)</f>
        <v>45989</v>
      </c>
      <c r="N4206" s="33">
        <f>IFERROR(__xludf.DUMMYFUNCTION("""COMPUTED_VALUE"""),46016.0)</f>
        <v>46016</v>
      </c>
      <c r="O4206" s="20"/>
      <c r="P4206" s="32" t="str">
        <f>IFERROR(__xludf.DUMMYFUNCTION("""COMPUTED_VALUE"""),"可")</f>
        <v>可</v>
      </c>
      <c r="Q4206" s="30" t="str">
        <f>IFERROR(__xludf.DUMMYFUNCTION("""COMPUTED_VALUE"""),"【アダルト作品扱い】")</f>
        <v>【アダルト作品扱い】</v>
      </c>
      <c r="R4206" s="22"/>
      <c r="S4206" s="22" t="str">
        <f>IFERROR(__xludf.DUMMYFUNCTION("""COMPUTED_VALUE"""),"20251030_ライドオン_絶倫エリート後輩との恋はワンナイトから")</f>
        <v>20251030_ライドオン_絶倫エリート後輩との恋はワンナイトから</v>
      </c>
      <c r="T4206" s="22" t="str">
        <f>IFERROR(__xludf.DUMMYFUNCTION("""COMPUTED_VALUE"""),"格納済み")</f>
        <v>格納済み</v>
      </c>
      <c r="U4206" s="9" t="str">
        <f>IFERROR(__xludf.DUMMYFUNCTION("""COMPUTED_VALUE"""),"Ⓒおこめ/猫屋ちゃき/セ・キララ文庫")</f>
        <v>Ⓒおこめ/猫屋ちゃき/セ・キララ文庫</v>
      </c>
      <c r="V4206" s="8"/>
      <c r="W4206" s="8"/>
      <c r="X4206" s="8" t="str">
        <f>IFERROR(__xludf.DUMMYFUNCTION("""COMPUTED_VALUE"""),"有")</f>
        <v>有</v>
      </c>
      <c r="Y4206" s="8" t="str">
        <f>IFERROR(__xludf.DUMMYFUNCTION("""COMPUTED_VALUE"""),"P9まで")</f>
        <v>P9まで</v>
      </c>
      <c r="Z4206" s="7"/>
      <c r="AA4206" s="7"/>
      <c r="AB4206" s="7"/>
    </row>
    <row r="4207" ht="15.75" customHeight="1">
      <c r="A4207" s="26">
        <f>IFERROR(__xludf.DUMMYFUNCTION("""COMPUTED_VALUE"""),6768.0)</f>
        <v>6768</v>
      </c>
      <c r="B4207" s="22" t="str">
        <f>IFERROR(__xludf.DUMMYFUNCTION("""COMPUTED_VALUE"""),"確定")</f>
        <v>確定</v>
      </c>
      <c r="C4207" s="28">
        <f>IFERROR(__xludf.DUMMYFUNCTION("""COMPUTED_VALUE"""),45961.0)</f>
        <v>45961</v>
      </c>
      <c r="D4207" s="28">
        <f>IFERROR(__xludf.DUMMYFUNCTION("""COMPUTED_VALUE"""),45961.0)</f>
        <v>45961</v>
      </c>
      <c r="E4207" s="26">
        <f>IFERROR(__xludf.DUMMYFUNCTION("""COMPUTED_VALUE"""),343678.0)</f>
        <v>343678</v>
      </c>
      <c r="F4207" s="22" t="str">
        <f>IFERROR(__xludf.DUMMYFUNCTION("""COMPUTED_VALUE"""),"身に覚えのない溺愛ですがそこまで愛されたら仕方ない 忘却の乙女は神様に永遠に愛されるようです")</f>
        <v>身に覚えのない溺愛ですがそこまで愛されたら仕方ない 忘却の乙女は神様に永遠に愛されるようです</v>
      </c>
      <c r="G4207" s="20" t="str">
        <f>IFERROR(__xludf.DUMMYFUNCTION("""COMPUTED_VALUE"""),"1～5")</f>
        <v>1～5</v>
      </c>
      <c r="H4207" s="22" t="str">
        <f>IFERROR(__xludf.DUMMYFUNCTION("""COMPUTED_VALUE"""),"月森のえる （漫画） まえばる蒔乃 （原作） とよた瑣織 （キャラクター原案）")</f>
        <v>月森のえる （漫画） まえばる蒔乃 （原作） とよた瑣織 （キャラクター原案）</v>
      </c>
      <c r="I4207" s="22" t="str">
        <f>IFERROR(__xludf.DUMMYFUNCTION("""COMPUTED_VALUE"""),"少女マンガ")</f>
        <v>少女マンガ</v>
      </c>
      <c r="J4207" s="22"/>
      <c r="K4207" s="22"/>
      <c r="L4207" s="22" t="str">
        <f>IFERROR(__xludf.DUMMYFUNCTION("""COMPUTED_VALUE"""),"主婦と生活社")</f>
        <v>主婦と生活社</v>
      </c>
      <c r="M4207" s="33">
        <f>IFERROR(__xludf.DUMMYFUNCTION("""COMPUTED_VALUE"""),45992.0)</f>
        <v>45992</v>
      </c>
      <c r="N4207" s="33">
        <f>IFERROR(__xludf.DUMMYFUNCTION("""COMPUTED_VALUE"""),46173.0)</f>
        <v>46173</v>
      </c>
      <c r="O4207" s="20"/>
      <c r="P4207" s="32" t="str">
        <f>IFERROR(__xludf.DUMMYFUNCTION("""COMPUTED_VALUE"""),"可")</f>
        <v>可</v>
      </c>
      <c r="Q4207" s="30"/>
      <c r="R4207" s="22"/>
      <c r="S4207" s="22" t="str">
        <f>IFERROR(__xludf.DUMMYFUNCTION("""COMPUTED_VALUE"""),"20251031_主婦と生活社_身に覚えのない溺愛ですがそこまで愛されたら仕方ない")</f>
        <v>20251031_主婦と生活社_身に覚えのない溺愛ですがそこまで愛されたら仕方ない</v>
      </c>
      <c r="T4207" s="22" t="str">
        <f>IFERROR(__xludf.DUMMYFUNCTION("""COMPUTED_VALUE"""),"格納済み")</f>
        <v>格納済み</v>
      </c>
      <c r="U4207" s="9" t="str">
        <f>IFERROR(__xludf.DUMMYFUNCTION("""COMPUTED_VALUE"""),"（C）月森のえる ・まえばる蒔乃 ・とよた瑣織／主婦と生活社")</f>
        <v>（C）月森のえる ・まえばる蒔乃 ・とよた瑣織／主婦と生活社</v>
      </c>
      <c r="V4207" s="8"/>
      <c r="W4207" s="8"/>
      <c r="X4207" s="8" t="str">
        <f>IFERROR(__xludf.DUMMYFUNCTION("""COMPUTED_VALUE"""),"有")</f>
        <v>有</v>
      </c>
      <c r="Y4207" s="8" t="str">
        <f>IFERROR(__xludf.DUMMYFUNCTION("""COMPUTED_VALUE"""),"1~3巻無料")</f>
        <v>1~3巻無料</v>
      </c>
      <c r="Z4207" s="7"/>
      <c r="AA4207" s="7"/>
      <c r="AB4207" s="7"/>
    </row>
    <row r="4208" ht="15.75" customHeight="1">
      <c r="A4208" s="26">
        <f>IFERROR(__xludf.DUMMYFUNCTION("""COMPUTED_VALUE"""),6769.0)</f>
        <v>6769</v>
      </c>
      <c r="B4208" s="22" t="str">
        <f>IFERROR(__xludf.DUMMYFUNCTION("""COMPUTED_VALUE"""),"確定")</f>
        <v>確定</v>
      </c>
      <c r="C4208" s="28">
        <f>IFERROR(__xludf.DUMMYFUNCTION("""COMPUTED_VALUE"""),45961.0)</f>
        <v>45961</v>
      </c>
      <c r="D4208" s="28">
        <f>IFERROR(__xludf.DUMMYFUNCTION("""COMPUTED_VALUE"""),45961.0)</f>
        <v>45961</v>
      </c>
      <c r="E4208" s="26">
        <f>IFERROR(__xludf.DUMMYFUNCTION("""COMPUTED_VALUE"""),343679.0)</f>
        <v>343679</v>
      </c>
      <c r="F4208" s="22" t="str">
        <f>IFERROR(__xludf.DUMMYFUNCTION("""COMPUTED_VALUE"""),"領地を立て直したい嫌われ者のお色気令嬢は成り上がり貴族に溺愛される")</f>
        <v>領地を立て直したい嫌われ者のお色気令嬢は成り上がり貴族に溺愛される</v>
      </c>
      <c r="G4208" s="20" t="str">
        <f>IFERROR(__xludf.DUMMYFUNCTION("""COMPUTED_VALUE"""),"1～4")</f>
        <v>1～4</v>
      </c>
      <c r="H4208" s="22" t="str">
        <f>IFERROR(__xludf.DUMMYFUNCTION("""COMPUTED_VALUE"""),"七都サマコ （漫画） 玉川玉子 （原作） 駒田ハチ （キャラクター原案）")</f>
        <v>七都サマコ （漫画） 玉川玉子 （原作） 駒田ハチ （キャラクター原案）</v>
      </c>
      <c r="I4208" s="22" t="str">
        <f>IFERROR(__xludf.DUMMYFUNCTION("""COMPUTED_VALUE"""),"少女マンガ")</f>
        <v>少女マンガ</v>
      </c>
      <c r="J4208" s="22"/>
      <c r="K4208" s="22"/>
      <c r="L4208" s="22" t="str">
        <f>IFERROR(__xludf.DUMMYFUNCTION("""COMPUTED_VALUE"""),"主婦と生活社")</f>
        <v>主婦と生活社</v>
      </c>
      <c r="M4208" s="33">
        <f>IFERROR(__xludf.DUMMYFUNCTION("""COMPUTED_VALUE"""),46006.0)</f>
        <v>46006</v>
      </c>
      <c r="N4208" s="33">
        <f>IFERROR(__xludf.DUMMYFUNCTION("""COMPUTED_VALUE"""),46173.0)</f>
        <v>46173</v>
      </c>
      <c r="O4208" s="20"/>
      <c r="P4208" s="32" t="str">
        <f>IFERROR(__xludf.DUMMYFUNCTION("""COMPUTED_VALUE"""),"可")</f>
        <v>可</v>
      </c>
      <c r="Q4208" s="30"/>
      <c r="R4208" s="22"/>
      <c r="S4208" s="22" t="str">
        <f>IFERROR(__xludf.DUMMYFUNCTION("""COMPUTED_VALUE"""),"20251031_主婦と生活社_領地を立て直したい嫌われ者のお色気令嬢は成り上がり貴族に溺愛される")</f>
        <v>20251031_主婦と生活社_領地を立て直したい嫌われ者のお色気令嬢は成り上がり貴族に溺愛される</v>
      </c>
      <c r="T4208" s="22" t="str">
        <f>IFERROR(__xludf.DUMMYFUNCTION("""COMPUTED_VALUE"""),"格納済み")</f>
        <v>格納済み</v>
      </c>
      <c r="U4208" s="9" t="str">
        <f>IFERROR(__xludf.DUMMYFUNCTION("""COMPUTED_VALUE"""),"（C）七都サマコ・玉川玉子・駒田ハチ／主婦と生活社")</f>
        <v>（C）七都サマコ・玉川玉子・駒田ハチ／主婦と生活社</v>
      </c>
      <c r="V4208" s="8"/>
      <c r="W4208" s="8"/>
      <c r="X4208" s="8" t="str">
        <f>IFERROR(__xludf.DUMMYFUNCTION("""COMPUTED_VALUE"""),"有")</f>
        <v>有</v>
      </c>
      <c r="Y4208" s="8" t="str">
        <f>IFERROR(__xludf.DUMMYFUNCTION("""COMPUTED_VALUE"""),"1~2巻無料")</f>
        <v>1~2巻無料</v>
      </c>
      <c r="Z4208" s="7"/>
      <c r="AA4208" s="7"/>
      <c r="AB4208" s="7"/>
    </row>
    <row r="4209" ht="15.75" customHeight="1">
      <c r="A4209" s="26">
        <f>IFERROR(__xludf.DUMMYFUNCTION("""COMPUTED_VALUE"""),6770.0)</f>
        <v>6770</v>
      </c>
      <c r="B4209" s="22" t="str">
        <f>IFERROR(__xludf.DUMMYFUNCTION("""COMPUTED_VALUE"""),"確定")</f>
        <v>確定</v>
      </c>
      <c r="C4209" s="28">
        <f>IFERROR(__xludf.DUMMYFUNCTION("""COMPUTED_VALUE"""),45961.0)</f>
        <v>45961</v>
      </c>
      <c r="D4209" s="28">
        <f>IFERROR(__xludf.DUMMYFUNCTION("""COMPUTED_VALUE"""),45961.0)</f>
        <v>45961</v>
      </c>
      <c r="E4209" s="26">
        <f>IFERROR(__xludf.DUMMYFUNCTION("""COMPUTED_VALUE"""),343526.0)</f>
        <v>343526</v>
      </c>
      <c r="F4209" s="22" t="str">
        <f>IFERROR(__xludf.DUMMYFUNCTION("""COMPUTED_VALUE"""),"真面目なキミにハマるカラダ")</f>
        <v>真面目なキミにハマるカラダ</v>
      </c>
      <c r="G4209" s="20" t="str">
        <f>IFERROR(__xludf.DUMMYFUNCTION("""COMPUTED_VALUE"""),"1～2")</f>
        <v>1～2</v>
      </c>
      <c r="H4209" s="22" t="str">
        <f>IFERROR(__xludf.DUMMYFUNCTION("""COMPUTED_VALUE"""),"あるぷ")</f>
        <v>あるぷ</v>
      </c>
      <c r="I4209" s="22" t="str">
        <f>IFERROR(__xludf.DUMMYFUNCTION("""COMPUTED_VALUE"""),"アダルト")</f>
        <v>アダルト</v>
      </c>
      <c r="J4209" s="22"/>
      <c r="K4209" s="22"/>
      <c r="L4209" s="22" t="str">
        <f>IFERROR(__xludf.DUMMYFUNCTION("""COMPUTED_VALUE"""),"ナイトコミック")</f>
        <v>ナイトコミック</v>
      </c>
      <c r="M4209" s="33">
        <f>IFERROR(__xludf.DUMMYFUNCTION("""COMPUTED_VALUE"""),45996.0)</f>
        <v>45996</v>
      </c>
      <c r="N4209" s="33">
        <f>IFERROR(__xludf.DUMMYFUNCTION("""COMPUTED_VALUE"""),46058.0)</f>
        <v>46058</v>
      </c>
      <c r="O4209" s="20"/>
      <c r="P4209" s="32" t="str">
        <f>IFERROR(__xludf.DUMMYFUNCTION("""COMPUTED_VALUE"""),"可")</f>
        <v>可</v>
      </c>
      <c r="Q4209" s="30"/>
      <c r="R4209" s="22"/>
      <c r="S4209" s="22" t="str">
        <f>IFERROR(__xludf.DUMMYFUNCTION("""COMPUTED_VALUE"""),"20251031_ナイトコミック_真面目なキミにハマるカラダ")</f>
        <v>20251031_ナイトコミック_真面目なキミにハマるカラダ</v>
      </c>
      <c r="T4209" s="22" t="str">
        <f>IFERROR(__xludf.DUMMYFUNCTION("""COMPUTED_VALUE"""),"格納済み")</f>
        <v>格納済み</v>
      </c>
      <c r="U4209" s="9" t="str">
        <f>IFERROR(__xludf.DUMMYFUNCTION("""COMPUTED_VALUE"""),"Ⓒあるぷ")</f>
        <v>Ⓒあるぷ</v>
      </c>
      <c r="V4209" s="8"/>
      <c r="W4209" s="8"/>
      <c r="X4209" s="8" t="str">
        <f>IFERROR(__xludf.DUMMYFUNCTION("""COMPUTED_VALUE"""),"有")</f>
        <v>有</v>
      </c>
      <c r="Y4209" s="8" t="str">
        <f>IFERROR(__xludf.DUMMYFUNCTION("""COMPUTED_VALUE"""),"2025/12/18まで1~2巻立ち読み増量
1巻：P17
2巻：P12")</f>
        <v>2025/12/18まで1~2巻立ち読み増量
1巻：P17
2巻：P12</v>
      </c>
      <c r="Z4209" s="7"/>
      <c r="AA4209" s="7"/>
      <c r="AB4209" s="7"/>
    </row>
    <row r="4210" ht="15.75" customHeight="1">
      <c r="A4210" s="26">
        <f>IFERROR(__xludf.DUMMYFUNCTION("""COMPUTED_VALUE"""),6793.0)</f>
        <v>6793</v>
      </c>
      <c r="B4210" s="22" t="str">
        <f>IFERROR(__xludf.DUMMYFUNCTION("""COMPUTED_VALUE"""),"確定")</f>
        <v>確定</v>
      </c>
      <c r="C4210" s="28">
        <f>IFERROR(__xludf.DUMMYFUNCTION("""COMPUTED_VALUE"""),45965.0)</f>
        <v>45965</v>
      </c>
      <c r="D4210" s="28">
        <f>IFERROR(__xludf.DUMMYFUNCTION("""COMPUTED_VALUE"""),45966.0)</f>
        <v>45966</v>
      </c>
      <c r="E4210" s="26">
        <f>IFERROR(__xludf.DUMMYFUNCTION("""COMPUTED_VALUE"""),342735.0)</f>
        <v>342735</v>
      </c>
      <c r="F4210" s="22" t="str">
        <f>IFERROR(__xludf.DUMMYFUNCTION("""COMPUTED_VALUE"""),"復讐にもえる冷徹社長に、なぜか溺愛されてます【マイクロ】")</f>
        <v>復讐にもえる冷徹社長に、なぜか溺愛されてます【マイクロ】</v>
      </c>
      <c r="G4210" s="20" t="str">
        <f>IFERROR(__xludf.DUMMYFUNCTION("""COMPUTED_VALUE"""),"1～3")</f>
        <v>1～3</v>
      </c>
      <c r="H4210" s="22" t="str">
        <f>IFERROR(__xludf.DUMMYFUNCTION("""COMPUTED_VALUE"""),"五条うるの")</f>
        <v>五条うるの</v>
      </c>
      <c r="I4210" s="22" t="str">
        <f>IFERROR(__xludf.DUMMYFUNCTION("""COMPUTED_VALUE"""),"女性")</f>
        <v>女性</v>
      </c>
      <c r="J4210" s="22"/>
      <c r="K4210" s="22" t="str">
        <f>IFERROR(__xludf.DUMMYFUNCTION("""COMPUTED_VALUE"""),"モバフラ")</f>
        <v>モバフラ</v>
      </c>
      <c r="L4210" s="22" t="str">
        <f>IFERROR(__xludf.DUMMYFUNCTION("""COMPUTED_VALUE"""),"小学館")</f>
        <v>小学館</v>
      </c>
      <c r="M4210" s="33">
        <f>IFERROR(__xludf.DUMMYFUNCTION("""COMPUTED_VALUE"""),45991.0)</f>
        <v>45991</v>
      </c>
      <c r="N4210" s="33">
        <f>IFERROR(__xludf.DUMMYFUNCTION("""COMPUTED_VALUE"""),46020.0)</f>
        <v>46020</v>
      </c>
      <c r="O4210" s="20"/>
      <c r="P4210" s="32" t="str">
        <f>IFERROR(__xludf.DUMMYFUNCTION("""COMPUTED_VALUE"""),"否")</f>
        <v>否</v>
      </c>
      <c r="Q4210" s="30"/>
      <c r="R4210" s="22"/>
      <c r="S4210" s="22" t="str">
        <f>IFERROR(__xludf.DUMMYFUNCTION("""COMPUTED_VALUE"""),"20251015_小学館_復讐にもえる冷徹社長になぜか溺愛されてます")</f>
        <v>20251015_小学館_復讐にもえる冷徹社長になぜか溺愛されてます</v>
      </c>
      <c r="T4210" s="22" t="str">
        <f>IFERROR(__xludf.DUMMYFUNCTION("""COMPUTED_VALUE"""),"格納済み")</f>
        <v>格納済み</v>
      </c>
      <c r="U4210" s="9" t="str">
        <f>IFERROR(__xludf.DUMMYFUNCTION("""COMPUTED_VALUE"""),"(C)五条うるの / 小学館")</f>
        <v>(C)五条うるの / 小学館</v>
      </c>
      <c r="V4210" s="8"/>
      <c r="W4210" s="8"/>
      <c r="X4210" s="8" t="str">
        <f>IFERROR(__xludf.DUMMYFUNCTION("""COMPUTED_VALUE"""),"有")</f>
        <v>有</v>
      </c>
      <c r="Y4210" s="8" t="str">
        <f>IFERROR(__xludf.DUMMYFUNCTION("""COMPUTED_VALUE"""),"P12まで")</f>
        <v>P12まで</v>
      </c>
      <c r="Z4210" s="7"/>
      <c r="AA4210" s="7"/>
      <c r="AB4210" s="7"/>
    </row>
    <row r="4211" ht="15.75" customHeight="1">
      <c r="A4211" s="26">
        <f>IFERROR(__xludf.DUMMYFUNCTION("""COMPUTED_VALUE"""),5665.0)</f>
        <v>5665</v>
      </c>
      <c r="B4211" s="22" t="str">
        <f>IFERROR(__xludf.DUMMYFUNCTION("""COMPUTED_VALUE"""),"確定")</f>
        <v>確定</v>
      </c>
      <c r="C4211" s="28">
        <f>IFERROR(__xludf.DUMMYFUNCTION("""COMPUTED_VALUE"""),45803.0)</f>
        <v>45803</v>
      </c>
      <c r="D4211" s="28">
        <f>IFERROR(__xludf.DUMMYFUNCTION("""COMPUTED_VALUE"""),45972.0)</f>
        <v>45972</v>
      </c>
      <c r="E4211" s="26">
        <f>IFERROR(__xludf.DUMMYFUNCTION("""COMPUTED_VALUE"""),344855.0)</f>
        <v>344855</v>
      </c>
      <c r="F4211" s="22" t="str">
        <f>IFERROR(__xludf.DUMMYFUNCTION("""COMPUTED_VALUE"""),"死にかけ悪役令息を助けたら溺愛された件について（分冊版）")</f>
        <v>死にかけ悪役令息を助けたら溺愛された件について（分冊版）</v>
      </c>
      <c r="G4211" s="20" t="str">
        <f>IFERROR(__xludf.DUMMYFUNCTION("""COMPUTED_VALUE"""),"1～3")</f>
        <v>1～3</v>
      </c>
      <c r="H4211" s="22" t="str">
        <f>IFERROR(__xludf.DUMMYFUNCTION("""COMPUTED_VALUE"""),"羽是（作画）・マチバリ（原作）")</f>
        <v>羽是（作画）・マチバリ（原作）</v>
      </c>
      <c r="I4211" s="22" t="str">
        <f>IFERROR(__xludf.DUMMYFUNCTION("""COMPUTED_VALUE"""),"少女")</f>
        <v>少女</v>
      </c>
      <c r="J4211" s="22"/>
      <c r="K4211" s="22" t="str">
        <f>IFERROR(__xludf.DUMMYFUNCTION("""COMPUTED_VALUE"""),"PRIMO")</f>
        <v>PRIMO</v>
      </c>
      <c r="L4211" s="22" t="str">
        <f>IFERROR(__xludf.DUMMYFUNCTION("""COMPUTED_VALUE"""),"ぶんか社")</f>
        <v>ぶんか社</v>
      </c>
      <c r="M4211" s="33">
        <f>IFERROR(__xludf.DUMMYFUNCTION("""COMPUTED_VALUE"""),46009.0)</f>
        <v>46009</v>
      </c>
      <c r="N4211" s="33">
        <f>IFERROR(__xludf.DUMMYFUNCTION("""COMPUTED_VALUE"""),46099.0)</f>
        <v>46099</v>
      </c>
      <c r="O4211" s="20"/>
      <c r="P4211" s="32" t="str">
        <f>IFERROR(__xludf.DUMMYFUNCTION("""COMPUTED_VALUE"""),"可")</f>
        <v>可</v>
      </c>
      <c r="Q4211" s="30"/>
      <c r="R4211" s="22" t="str">
        <f>IFERROR(__xludf.DUMMYFUNCTION("""COMPUTED_VALUE"""),"コミットOK")</f>
        <v>コミットOK</v>
      </c>
      <c r="S4211" s="22" t="str">
        <f>IFERROR(__xludf.DUMMYFUNCTION("""COMPUTED_VALUE"""),"20251111_ぶんか社_死にかけ悪役令息を助けたら溺愛された件について（分冊版）")</f>
        <v>20251111_ぶんか社_死にかけ悪役令息を助けたら溺愛された件について（分冊版）</v>
      </c>
      <c r="T4211" s="22" t="str">
        <f>IFERROR(__xludf.DUMMYFUNCTION("""COMPUTED_VALUE"""),"格納済み")</f>
        <v>格納済み</v>
      </c>
      <c r="U4211" s="9" t="str">
        <f>IFERROR(__xludf.DUMMYFUNCTION("""COMPUTED_VALUE"""),"Ⓒ羽是・マチバリ/ぶんか社")</f>
        <v>Ⓒ羽是・マチバリ/ぶんか社</v>
      </c>
      <c r="V4211" s="8"/>
      <c r="W4211" s="8"/>
      <c r="X4211" s="8" t="str">
        <f>IFERROR(__xludf.DUMMYFUNCTION("""COMPUTED_VALUE"""),"有")</f>
        <v>有</v>
      </c>
      <c r="Y4211" s="8" t="str">
        <f>IFERROR(__xludf.DUMMYFUNCTION("""COMPUTED_VALUE"""),"P19まで")</f>
        <v>P19まで</v>
      </c>
      <c r="Z4211" s="7"/>
      <c r="AA4211" s="7"/>
      <c r="AB4211" s="7"/>
    </row>
    <row r="4212" ht="15.75" customHeight="1">
      <c r="A4212" s="26">
        <f>IFERROR(__xludf.DUMMYFUNCTION("""COMPUTED_VALUE"""),5666.0)</f>
        <v>5666</v>
      </c>
      <c r="B4212" s="22" t="str">
        <f>IFERROR(__xludf.DUMMYFUNCTION("""COMPUTED_VALUE"""),"確定")</f>
        <v>確定</v>
      </c>
      <c r="C4212" s="28">
        <f>IFERROR(__xludf.DUMMYFUNCTION("""COMPUTED_VALUE"""),45803.0)</f>
        <v>45803</v>
      </c>
      <c r="D4212" s="28">
        <f>IFERROR(__xludf.DUMMYFUNCTION("""COMPUTED_VALUE"""),45973.0)</f>
        <v>45973</v>
      </c>
      <c r="E4212" s="26">
        <f>IFERROR(__xludf.DUMMYFUNCTION("""COMPUTED_VALUE"""),345851.0)</f>
        <v>345851</v>
      </c>
      <c r="F4212" s="22" t="str">
        <f>IFERROR(__xludf.DUMMYFUNCTION("""COMPUTED_VALUE"""),"100回イッたら付き合って？ 無愛想なライバル同期の溺愛絶倫セックス（分冊版）")</f>
        <v>100回イッたら付き合って？ 無愛想なライバル同期の溺愛絶倫セックス（分冊版）</v>
      </c>
      <c r="G4212" s="20" t="str">
        <f>IFERROR(__xludf.DUMMYFUNCTION("""COMPUTED_VALUE"""),"1～3")</f>
        <v>1～3</v>
      </c>
      <c r="H4212" s="22" t="str">
        <f>IFERROR(__xludf.DUMMYFUNCTION("""COMPUTED_VALUE"""),"杞憂千")</f>
        <v>杞憂千</v>
      </c>
      <c r="I4212" s="22" t="str">
        <f>IFERROR(__xludf.DUMMYFUNCTION("""COMPUTED_VALUE"""),"TL")</f>
        <v>TL</v>
      </c>
      <c r="J4212" s="22"/>
      <c r="K4212" s="22" t="str">
        <f>IFERROR(__xludf.DUMMYFUNCTION("""COMPUTED_VALUE"""),"禁断Lovers")</f>
        <v>禁断Lovers</v>
      </c>
      <c r="L4212" s="22" t="str">
        <f>IFERROR(__xludf.DUMMYFUNCTION("""COMPUTED_VALUE"""),"ぶんか社")</f>
        <v>ぶんか社</v>
      </c>
      <c r="M4212" s="33">
        <f>IFERROR(__xludf.DUMMYFUNCTION("""COMPUTED_VALUE"""),46023.0)</f>
        <v>46023</v>
      </c>
      <c r="N4212" s="33">
        <f>IFERROR(__xludf.DUMMYFUNCTION("""COMPUTED_VALUE"""),46113.0)</f>
        <v>46113</v>
      </c>
      <c r="O4212" s="20"/>
      <c r="P4212" s="32" t="str">
        <f>IFERROR(__xludf.DUMMYFUNCTION("""COMPUTED_VALUE"""),"可")</f>
        <v>可</v>
      </c>
      <c r="Q4212" s="30" t="str">
        <f>IFERROR(__xludf.DUMMYFUNCTION("""COMPUTED_VALUE"""),"【アダルト作品扱い】")</f>
        <v>【アダルト作品扱い】</v>
      </c>
      <c r="R4212" s="22" t="str">
        <f>IFERROR(__xludf.DUMMYFUNCTION("""COMPUTED_VALUE"""),"コミットOK")</f>
        <v>コミットOK</v>
      </c>
      <c r="S4212" s="22" t="str">
        <f>IFERROR(__xludf.DUMMYFUNCTION("""COMPUTED_VALUE"""),"20251111_ぶんか社_100回イッたら付き合って？ 無愛想なライバル同期の溺愛絶倫セックス（分冊版）")</f>
        <v>20251111_ぶんか社_100回イッたら付き合って？ 無愛想なライバル同期の溺愛絶倫セックス（分冊版）</v>
      </c>
      <c r="T4212" s="22" t="str">
        <f>IFERROR(__xludf.DUMMYFUNCTION("""COMPUTED_VALUE"""),"格納済み")</f>
        <v>格納済み</v>
      </c>
      <c r="U4212" s="9" t="str">
        <f>IFERROR(__xludf.DUMMYFUNCTION("""COMPUTED_VALUE"""),"Ⓒ杞憂千/ぶんか社")</f>
        <v>Ⓒ杞憂千/ぶんか社</v>
      </c>
      <c r="V4212" s="8"/>
      <c r="W4212" s="8"/>
      <c r="X4212" s="8" t="str">
        <f>IFERROR(__xludf.DUMMYFUNCTION("""COMPUTED_VALUE"""),"有")</f>
        <v>有</v>
      </c>
      <c r="Y4212" s="8" t="str">
        <f>IFERROR(__xludf.DUMMYFUNCTION("""COMPUTED_VALUE"""),"P15まで")</f>
        <v>P15まで</v>
      </c>
      <c r="Z4212" s="7"/>
      <c r="AA4212" s="7"/>
      <c r="AB4212" s="7"/>
    </row>
    <row r="4213" ht="15.75" customHeight="1">
      <c r="A4213" s="26">
        <f>IFERROR(__xludf.DUMMYFUNCTION("""COMPUTED_VALUE"""),5984.0)</f>
        <v>5984</v>
      </c>
      <c r="B4213" s="22" t="str">
        <f>IFERROR(__xludf.DUMMYFUNCTION("""COMPUTED_VALUE"""),"確定")</f>
        <v>確定</v>
      </c>
      <c r="C4213" s="28">
        <f>IFERROR(__xludf.DUMMYFUNCTION("""COMPUTED_VALUE"""),45841.0)</f>
        <v>45841</v>
      </c>
      <c r="D4213" s="28">
        <f>IFERROR(__xludf.DUMMYFUNCTION("""COMPUTED_VALUE"""),45968.0)</f>
        <v>45968</v>
      </c>
      <c r="E4213" s="26">
        <f>IFERROR(__xludf.DUMMYFUNCTION("""COMPUTED_VALUE"""),344526.0)</f>
        <v>344526</v>
      </c>
      <c r="F4213" s="22" t="str">
        <f>IFERROR(__xludf.DUMMYFUNCTION("""COMPUTED_VALUE"""),"悪役令嬢にオネエが転生したけど何も問題がない件（分冊版）")</f>
        <v>悪役令嬢にオネエが転生したけど何も問題がない件（分冊版）</v>
      </c>
      <c r="G4213" s="20" t="str">
        <f>IFERROR(__xludf.DUMMYFUNCTION("""COMPUTED_VALUE"""),"1~5")</f>
        <v>1~5</v>
      </c>
      <c r="H4213" s="22" t="str">
        <f>IFERROR(__xludf.DUMMYFUNCTION("""COMPUTED_VALUE"""),"カトリーヌ・ドゥ・ウェルウッド・北野りりお")</f>
        <v>カトリーヌ・ドゥ・ウェルウッド・北野りりお</v>
      </c>
      <c r="I4213" s="22" t="str">
        <f>IFERROR(__xludf.DUMMYFUNCTION("""COMPUTED_VALUE"""),"女性")</f>
        <v>女性</v>
      </c>
      <c r="J4213" s="22"/>
      <c r="K4213" s="22" t="str">
        <f>IFERROR(__xludf.DUMMYFUNCTION("""COMPUTED_VALUE"""),"レジーナCOMICS")</f>
        <v>レジーナCOMICS</v>
      </c>
      <c r="L4213" s="22" t="str">
        <f>IFERROR(__xludf.DUMMYFUNCTION("""COMPUTED_VALUE"""),"アルファポリス")</f>
        <v>アルファポリス</v>
      </c>
      <c r="M4213" s="33">
        <f>IFERROR(__xludf.DUMMYFUNCTION("""COMPUTED_VALUE"""),46013.0)</f>
        <v>46013</v>
      </c>
      <c r="N4213" s="33">
        <f>IFERROR(__xludf.DUMMYFUNCTION("""COMPUTED_VALUE"""),46108.0)</f>
        <v>46108</v>
      </c>
      <c r="O4213" s="20"/>
      <c r="P4213" s="32" t="str">
        <f>IFERROR(__xludf.DUMMYFUNCTION("""COMPUTED_VALUE"""),"否")</f>
        <v>否</v>
      </c>
      <c r="Q4213" s="30"/>
      <c r="R4213" s="22"/>
      <c r="S4213" s="22" t="str">
        <f>IFERROR(__xludf.DUMMYFUNCTION("""COMPUTED_VALUE"""),"20251105_アルファポリス_悪役令嬢にオネエが転生したけど何も問題がない件")</f>
        <v>20251105_アルファポリス_悪役令嬢にオネエが転生したけど何も問題がない件</v>
      </c>
      <c r="T4213" s="22" t="str">
        <f>IFERROR(__xludf.DUMMYFUNCTION("""COMPUTED_VALUE"""),"格納済み")</f>
        <v>格納済み</v>
      </c>
      <c r="U4213" s="9" t="str">
        <f>IFERROR(__xludf.DUMMYFUNCTION("""COMPUTED_VALUE"""),"(C)カトリーヌ・ドゥ・ウェルウッド・北野りりお／アルファポリス")</f>
        <v>(C)カトリーヌ・ドゥ・ウェルウッド・北野りりお／アルファポリス</v>
      </c>
      <c r="V4213" s="8"/>
      <c r="W4213" s="8"/>
      <c r="X4213" s="8" t="str">
        <f>IFERROR(__xludf.DUMMYFUNCTION("""COMPUTED_VALUE"""),"有")</f>
        <v>有</v>
      </c>
      <c r="Y4213" s="8" t="str">
        <f>IFERROR(__xludf.DUMMYFUNCTION("""COMPUTED_VALUE"""),"1巻無料")</f>
        <v>1巻無料</v>
      </c>
      <c r="Z4213" s="7"/>
      <c r="AA4213" s="7"/>
      <c r="AB4213" s="7"/>
    </row>
    <row r="4214" ht="15.75" customHeight="1">
      <c r="A4214" s="26">
        <f>IFERROR(__xludf.DUMMYFUNCTION("""COMPUTED_VALUE"""),6005.0)</f>
        <v>6005</v>
      </c>
      <c r="B4214" s="22" t="str">
        <f>IFERROR(__xludf.DUMMYFUNCTION("""COMPUTED_VALUE"""),"確定")</f>
        <v>確定</v>
      </c>
      <c r="C4214" s="28">
        <f>IFERROR(__xludf.DUMMYFUNCTION("""COMPUTED_VALUE"""),45845.0)</f>
        <v>45845</v>
      </c>
      <c r="D4214" s="28">
        <f>IFERROR(__xludf.DUMMYFUNCTION("""COMPUTED_VALUE"""),45972.0)</f>
        <v>45972</v>
      </c>
      <c r="E4214" s="26">
        <f>IFERROR(__xludf.DUMMYFUNCTION("""COMPUTED_VALUE"""),342584.0)</f>
        <v>342584</v>
      </c>
      <c r="F4214" s="22" t="str">
        <f>IFERROR(__xludf.DUMMYFUNCTION("""COMPUTED_VALUE"""),"堅物後見人のせいで今日も悪女は純情を捨てられない【単話】")</f>
        <v>堅物後見人のせいで今日も悪女は純情を捨てられない【単話】</v>
      </c>
      <c r="G4214" s="20" t="str">
        <f>IFERROR(__xludf.DUMMYFUNCTION("""COMPUTED_VALUE"""),"1～2")</f>
        <v>1～2</v>
      </c>
      <c r="H4214" s="22" t="str">
        <f>IFERROR(__xludf.DUMMYFUNCTION("""COMPUTED_VALUE"""),"著者　胡瓜ナツカ／原作　戸瀬つぐみ／キャラクター原案　森原八鹿")</f>
        <v>著者　胡瓜ナツカ／原作　戸瀬つぐみ／キャラクター原案　森原八鹿</v>
      </c>
      <c r="I4214" s="22" t="str">
        <f>IFERROR(__xludf.DUMMYFUNCTION("""COMPUTED_VALUE"""),"TL")</f>
        <v>TL</v>
      </c>
      <c r="J4214" s="22"/>
      <c r="K4214" s="22"/>
      <c r="L4214" s="22" t="str">
        <f>IFERROR(__xludf.DUMMYFUNCTION("""COMPUTED_VALUE"""),"ジュリアンパブリッシング")</f>
        <v>ジュリアンパブリッシング</v>
      </c>
      <c r="M4214" s="33">
        <f>IFERROR(__xludf.DUMMYFUNCTION("""COMPUTED_VALUE"""),45988.0)</f>
        <v>45988</v>
      </c>
      <c r="N4214" s="33">
        <f>IFERROR(__xludf.DUMMYFUNCTION("""COMPUTED_VALUE"""),46078.0)</f>
        <v>46078</v>
      </c>
      <c r="O4214" s="20"/>
      <c r="P4214" s="32" t="str">
        <f>IFERROR(__xludf.DUMMYFUNCTION("""COMPUTED_VALUE"""),"可")</f>
        <v>可</v>
      </c>
      <c r="Q4214" s="30" t="str">
        <f>IFERROR(__xludf.DUMMYFUNCTION("""COMPUTED_VALUE"""),"ロイヤルキス『堅物後見人のせいで今日も悪女は純情を捨てられない』のコミカライズ作品です。&lt;BR&gt;")</f>
        <v>ロイヤルキス『堅物後見人のせいで今日も悪女は純情を捨てられない』のコミカライズ作品です。&lt;BR&gt;</v>
      </c>
      <c r="R4214" s="22" t="str">
        <f>IFERROR(__xludf.DUMMYFUNCTION("""COMPUTED_VALUE"""),"コミットNG")</f>
        <v>コミットNG</v>
      </c>
      <c r="S4214" s="22" t="str">
        <f>IFERROR(__xludf.DUMMYFUNCTION("""COMPUTED_VALUE"""),"20251106_ジュリアンパブリッシング_堅物後見人のせいで今日も悪女は純情を捨てられない")</f>
        <v>20251106_ジュリアンパブリッシング_堅物後見人のせいで今日も悪女は純情を捨てられない</v>
      </c>
      <c r="T4214" s="22" t="str">
        <f>IFERROR(__xludf.DUMMYFUNCTION("""COMPUTED_VALUE"""),"格納済み")</f>
        <v>格納済み</v>
      </c>
      <c r="U4214" s="9" t="str">
        <f>IFERROR(__xludf.DUMMYFUNCTION("""COMPUTED_VALUE"""),"Ⓒ胡瓜ナツカ／戸瀬つぐみ／森原八鹿／ジュリアンパブリッシング")</f>
        <v>Ⓒ胡瓜ナツカ／戸瀬つぐみ／森原八鹿／ジュリアンパブリッシング</v>
      </c>
      <c r="V4214" s="8"/>
      <c r="W4214" s="8"/>
      <c r="X4214" s="8" t="str">
        <f>IFERROR(__xludf.DUMMYFUNCTION("""COMPUTED_VALUE"""),"有")</f>
        <v>有</v>
      </c>
      <c r="Y4214" s="8" t="str">
        <f>IFERROR(__xludf.DUMMYFUNCTION("""COMPUTED_VALUE"""),"2025/12/24まで1巻無料")</f>
        <v>2025/12/24まで1巻無料</v>
      </c>
      <c r="Z4214" s="7"/>
      <c r="AA4214" s="7"/>
      <c r="AB4214" s="7"/>
    </row>
    <row r="4215" ht="15.75" customHeight="1">
      <c r="A4215" s="26">
        <f>IFERROR(__xludf.DUMMYFUNCTION("""COMPUTED_VALUE"""),6006.0)</f>
        <v>6006</v>
      </c>
      <c r="B4215" s="22" t="str">
        <f>IFERROR(__xludf.DUMMYFUNCTION("""COMPUTED_VALUE"""),"確定")</f>
        <v>確定</v>
      </c>
      <c r="C4215" s="28">
        <f>IFERROR(__xludf.DUMMYFUNCTION("""COMPUTED_VALUE"""),45845.0)</f>
        <v>45845</v>
      </c>
      <c r="D4215" s="28">
        <f>IFERROR(__xludf.DUMMYFUNCTION("""COMPUTED_VALUE"""),45972.0)</f>
        <v>45972</v>
      </c>
      <c r="E4215" s="26">
        <f>IFERROR(__xludf.DUMMYFUNCTION("""COMPUTED_VALUE"""),342585.0)</f>
        <v>342585</v>
      </c>
      <c r="F4215" s="22" t="str">
        <f>IFERROR(__xludf.DUMMYFUNCTION("""COMPUTED_VALUE"""),"聖なる皇帝がとんだ隠れ絶倫だった件【単話】")</f>
        <v>聖なる皇帝がとんだ隠れ絶倫だった件【単話】</v>
      </c>
      <c r="G4215" s="20" t="str">
        <f>IFERROR(__xludf.DUMMYFUNCTION("""COMPUTED_VALUE"""),"1～2")</f>
        <v>1～2</v>
      </c>
      <c r="H4215" s="22" t="str">
        <f>IFERROR(__xludf.DUMMYFUNCTION("""COMPUTED_VALUE"""),"著者　pipipi／原作　葛城阿高／キャラクター原案　長谷川ゆう")</f>
        <v>著者　pipipi／原作　葛城阿高／キャラクター原案　長谷川ゆう</v>
      </c>
      <c r="I4215" s="22" t="str">
        <f>IFERROR(__xludf.DUMMYFUNCTION("""COMPUTED_VALUE"""),"TL")</f>
        <v>TL</v>
      </c>
      <c r="J4215" s="22"/>
      <c r="K4215" s="22"/>
      <c r="L4215" s="22" t="str">
        <f>IFERROR(__xludf.DUMMYFUNCTION("""COMPUTED_VALUE"""),"ジュリアンパブリッシング")</f>
        <v>ジュリアンパブリッシング</v>
      </c>
      <c r="M4215" s="33">
        <f>IFERROR(__xludf.DUMMYFUNCTION("""COMPUTED_VALUE"""),45988.0)</f>
        <v>45988</v>
      </c>
      <c r="N4215" s="33">
        <f>IFERROR(__xludf.DUMMYFUNCTION("""COMPUTED_VALUE"""),46078.0)</f>
        <v>46078</v>
      </c>
      <c r="O4215" s="20"/>
      <c r="P4215" s="32" t="str">
        <f>IFERROR(__xludf.DUMMYFUNCTION("""COMPUTED_VALUE"""),"可")</f>
        <v>可</v>
      </c>
      <c r="Q4215" s="30" t="str">
        <f>IFERROR(__xludf.DUMMYFUNCTION("""COMPUTED_VALUE"""),"【アダルト作品扱い】&lt;BR&gt;ロイヤルキス『聖なる皇帝がとんだ隠れ絶倫だった件』のコミカライズ作品です。&lt;BR&gt;")</f>
        <v>【アダルト作品扱い】&lt;BR&gt;ロイヤルキス『聖なる皇帝がとんだ隠れ絶倫だった件』のコミカライズ作品です。&lt;BR&gt;</v>
      </c>
      <c r="R4215" s="22" t="str">
        <f>IFERROR(__xludf.DUMMYFUNCTION("""COMPUTED_VALUE"""),"コミットOK")</f>
        <v>コミットOK</v>
      </c>
      <c r="S4215" s="22" t="str">
        <f>IFERROR(__xludf.DUMMYFUNCTION("""COMPUTED_VALUE"""),"20251106_ジュリアンパブリッシング_聖なる皇帝がとんだ隠れ絶倫だった件")</f>
        <v>20251106_ジュリアンパブリッシング_聖なる皇帝がとんだ隠れ絶倫だった件</v>
      </c>
      <c r="T4215" s="22" t="str">
        <f>IFERROR(__xludf.DUMMYFUNCTION("""COMPUTED_VALUE"""),"格納済み")</f>
        <v>格納済み</v>
      </c>
      <c r="U4215" s="9" t="str">
        <f>IFERROR(__xludf.DUMMYFUNCTION("""COMPUTED_VALUE"""),"Ⓒpipipi／葛城阿高／長谷川ゆう／ジュリアンパブリッシング")</f>
        <v>Ⓒpipipi／葛城阿高／長谷川ゆう／ジュリアンパブリッシング</v>
      </c>
      <c r="V4215" s="8"/>
      <c r="W4215" s="8"/>
      <c r="X4215" s="8" t="str">
        <f>IFERROR(__xludf.DUMMYFUNCTION("""COMPUTED_VALUE"""),"有")</f>
        <v>有</v>
      </c>
      <c r="Y4215" s="8" t="str">
        <f>IFERROR(__xludf.DUMMYFUNCTION("""COMPUTED_VALUE"""),"2025/12/24まで1巻無料")</f>
        <v>2025/12/24まで1巻無料</v>
      </c>
      <c r="Z4215" s="7"/>
      <c r="AA4215" s="7"/>
      <c r="AB4215" s="7"/>
    </row>
    <row r="4216" ht="15.75" customHeight="1">
      <c r="A4216" s="26">
        <f>IFERROR(__xludf.DUMMYFUNCTION("""COMPUTED_VALUE"""),6039.0)</f>
        <v>6039</v>
      </c>
      <c r="B4216" s="22" t="str">
        <f>IFERROR(__xludf.DUMMYFUNCTION("""COMPUTED_VALUE"""),"確定")</f>
        <v>確定</v>
      </c>
      <c r="C4216" s="28">
        <f>IFERROR(__xludf.DUMMYFUNCTION("""COMPUTED_VALUE"""),45848.0)</f>
        <v>45848</v>
      </c>
      <c r="D4216" s="28">
        <f>IFERROR(__xludf.DUMMYFUNCTION("""COMPUTED_VALUE"""),45973.0)</f>
        <v>45973</v>
      </c>
      <c r="E4216" s="26">
        <f>IFERROR(__xludf.DUMMYFUNCTION("""COMPUTED_VALUE"""),345067.0)</f>
        <v>345067</v>
      </c>
      <c r="F4216" s="22" t="str">
        <f>IFERROR(__xludf.DUMMYFUNCTION("""COMPUTED_VALUE"""),"竜王の婚姻【タテヨミ】")</f>
        <v>竜王の婚姻【タテヨミ】</v>
      </c>
      <c r="G4216" s="20" t="str">
        <f>IFERROR(__xludf.DUMMYFUNCTION("""COMPUTED_VALUE"""),"1~15")</f>
        <v>1~15</v>
      </c>
      <c r="H4216" s="22" t="str">
        <f>IFERROR(__xludf.DUMMYFUNCTION("""COMPUTED_VALUE"""),"佐伊┴MUGEN FACTORY")</f>
        <v>佐伊┴MUGEN FACTORY</v>
      </c>
      <c r="I4216" s="22" t="str">
        <f>IFERROR(__xludf.DUMMYFUNCTION("""COMPUTED_VALUE"""),"BL")</f>
        <v>BL</v>
      </c>
      <c r="J4216" s="22"/>
      <c r="K4216" s="22" t="str">
        <f>IFERROR(__xludf.DUMMYFUNCTION("""COMPUTED_VALUE"""),"エクレアコミック")</f>
        <v>エクレアコミック</v>
      </c>
      <c r="L4216" s="22" t="str">
        <f>IFERROR(__xludf.DUMMYFUNCTION("""COMPUTED_VALUE"""),"MUGENUP")</f>
        <v>MUGENUP</v>
      </c>
      <c r="M4216" s="33">
        <f>IFERROR(__xludf.DUMMYFUNCTION("""COMPUTED_VALUE"""),46014.0)</f>
        <v>46014</v>
      </c>
      <c r="N4216" s="33">
        <f>IFERROR(__xludf.DUMMYFUNCTION("""COMPUTED_VALUE"""),46103.0)</f>
        <v>46103</v>
      </c>
      <c r="O4216" s="20"/>
      <c r="P4216" s="32" t="str">
        <f>IFERROR(__xludf.DUMMYFUNCTION("""COMPUTED_VALUE"""),"可")</f>
        <v>可</v>
      </c>
      <c r="Q4216" s="30"/>
      <c r="R4216" s="22" t="str">
        <f>IFERROR(__xludf.DUMMYFUNCTION("""COMPUTED_VALUE"""),"コミットOK")</f>
        <v>コミットOK</v>
      </c>
      <c r="S4216" s="22" t="str">
        <f>IFERROR(__xludf.DUMMYFUNCTION("""COMPUTED_VALUE"""),"20251111_MUGENUP_竜王の婚姻【タテヨミ】")</f>
        <v>20251111_MUGENUP_竜王の婚姻【タテヨミ】</v>
      </c>
      <c r="T4216" s="22" t="str">
        <f>IFERROR(__xludf.DUMMYFUNCTION("""COMPUTED_VALUE"""),"格納済み")</f>
        <v>格納済み</v>
      </c>
      <c r="U4216" s="9" t="str">
        <f>IFERROR(__xludf.DUMMYFUNCTION("""COMPUTED_VALUE"""),"（C）SAI/MUGEN FACTORY/MUGENUP")</f>
        <v>（C）SAI/MUGEN FACTORY/MUGENUP</v>
      </c>
      <c r="V4216" s="8"/>
      <c r="W4216" s="8"/>
      <c r="X4216" s="8" t="str">
        <f>IFERROR(__xludf.DUMMYFUNCTION("""COMPUTED_VALUE"""),"有")</f>
        <v>有</v>
      </c>
      <c r="Y4216" s="8" t="str">
        <f>IFERROR(__xludf.DUMMYFUNCTION("""COMPUTED_VALUE"""),"1~3巻無料")</f>
        <v>1~3巻無料</v>
      </c>
      <c r="Z4216" s="7"/>
      <c r="AA4216" s="7"/>
      <c r="AB4216" s="7"/>
    </row>
    <row r="4217" ht="15.75" customHeight="1">
      <c r="A4217" s="26">
        <f>IFERROR(__xludf.DUMMYFUNCTION("""COMPUTED_VALUE"""),6149.0)</f>
        <v>6149</v>
      </c>
      <c r="B4217" s="22" t="str">
        <f>IFERROR(__xludf.DUMMYFUNCTION("""COMPUTED_VALUE"""),"確定")</f>
        <v>確定</v>
      </c>
      <c r="C4217" s="28">
        <f>IFERROR(__xludf.DUMMYFUNCTION("""COMPUTED_VALUE"""),45866.0)</f>
        <v>45866</v>
      </c>
      <c r="D4217" s="28">
        <f>IFERROR(__xludf.DUMMYFUNCTION("""COMPUTED_VALUE"""),45968.0)</f>
        <v>45968</v>
      </c>
      <c r="E4217" s="26">
        <f>IFERROR(__xludf.DUMMYFUNCTION("""COMPUTED_VALUE"""),342738.0)</f>
        <v>342738</v>
      </c>
      <c r="F4217" s="22" t="str">
        <f>IFERROR(__xludf.DUMMYFUNCTION("""COMPUTED_VALUE"""),"JKを拾った…と、思ったでしょ？")</f>
        <v>JKを拾った…と、思ったでしょ？</v>
      </c>
      <c r="G4217" s="20" t="str">
        <f>IFERROR(__xludf.DUMMYFUNCTION("""COMPUTED_VALUE"""),"1～3")</f>
        <v>1～3</v>
      </c>
      <c r="H4217" s="22" t="str">
        <f>IFERROR(__xludf.DUMMYFUNCTION("""COMPUTED_VALUE"""),"野々深まい")</f>
        <v>野々深まい</v>
      </c>
      <c r="I4217" s="22" t="str">
        <f>IFERROR(__xludf.DUMMYFUNCTION("""COMPUTED_VALUE"""),"女性")</f>
        <v>女性</v>
      </c>
      <c r="J4217" s="22"/>
      <c r="K4217" s="22"/>
      <c r="L4217" s="22" t="str">
        <f>IFERROR(__xludf.DUMMYFUNCTION("""COMPUTED_VALUE"""),"集英社")</f>
        <v>集英社</v>
      </c>
      <c r="M4217" s="33">
        <f>IFERROR(__xludf.DUMMYFUNCTION("""COMPUTED_VALUE"""),45991.0)</f>
        <v>45991</v>
      </c>
      <c r="N4217" s="33">
        <f>IFERROR(__xludf.DUMMYFUNCTION("""COMPUTED_VALUE"""),46014.0)</f>
        <v>46014</v>
      </c>
      <c r="O4217" s="20"/>
      <c r="P4217" s="32" t="str">
        <f>IFERROR(__xludf.DUMMYFUNCTION("""COMPUTED_VALUE"""),"否")</f>
        <v>否</v>
      </c>
      <c r="Q4217" s="30"/>
      <c r="R4217" s="22" t="str">
        <f>IFERROR(__xludf.DUMMYFUNCTION("""COMPUTED_VALUE"""),"コミットNG")</f>
        <v>コミットNG</v>
      </c>
      <c r="S4217" s="22" t="str">
        <f>IFERROR(__xludf.DUMMYFUNCTION("""COMPUTED_VALUE"""),"20251104_集英社_JKを拾った…と、思ったでしょ？")</f>
        <v>20251104_集英社_JKを拾った…と、思ったでしょ？</v>
      </c>
      <c r="T4217" s="22" t="str">
        <f>IFERROR(__xludf.DUMMYFUNCTION("""COMPUTED_VALUE"""),"格納済み")</f>
        <v>格納済み</v>
      </c>
      <c r="U4217" s="9" t="str">
        <f>IFERROR(__xludf.DUMMYFUNCTION("""COMPUTED_VALUE"""),"(c)野々深まい／集英社")</f>
        <v>(c)野々深まい／集英社</v>
      </c>
      <c r="V4217" s="8"/>
      <c r="W4217" s="8"/>
      <c r="X4217" s="8" t="str">
        <f>IFERROR(__xludf.DUMMYFUNCTION("""COMPUTED_VALUE"""),"有")</f>
        <v>有</v>
      </c>
      <c r="Y4217" s="8" t="str">
        <f>IFERROR(__xludf.DUMMYFUNCTION("""COMPUTED_VALUE"""),"2025/12/29まで1巻無料")</f>
        <v>2025/12/29まで1巻無料</v>
      </c>
      <c r="Z4217" s="7"/>
      <c r="AA4217" s="7"/>
      <c r="AB4217" s="7"/>
    </row>
    <row r="4218" ht="15.75" customHeight="1">
      <c r="A4218" s="26">
        <f>IFERROR(__xludf.DUMMYFUNCTION("""COMPUTED_VALUE"""),6268.0)</f>
        <v>6268</v>
      </c>
      <c r="B4218" s="22" t="str">
        <f>IFERROR(__xludf.DUMMYFUNCTION("""COMPUTED_VALUE"""),"確定")</f>
        <v>確定</v>
      </c>
      <c r="C4218" s="28">
        <f>IFERROR(__xludf.DUMMYFUNCTION("""COMPUTED_VALUE"""),45887.0)</f>
        <v>45887</v>
      </c>
      <c r="D4218" s="28">
        <f>IFERROR(__xludf.DUMMYFUNCTION("""COMPUTED_VALUE"""),45971.0)</f>
        <v>45971</v>
      </c>
      <c r="E4218" s="26">
        <f>IFERROR(__xludf.DUMMYFUNCTION("""COMPUTED_VALUE"""),340361.0)</f>
        <v>340361</v>
      </c>
      <c r="F4218" s="22" t="str">
        <f>IFERROR(__xludf.DUMMYFUNCTION("""COMPUTED_VALUE"""),"スパイは騎士様を骨抜きにしたい！")</f>
        <v>スパイは騎士様を骨抜きにしたい！</v>
      </c>
      <c r="G4218" s="20" t="str">
        <f>IFERROR(__xludf.DUMMYFUNCTION("""COMPUTED_VALUE"""),"1～3")</f>
        <v>1～3</v>
      </c>
      <c r="H4218" s="22" t="str">
        <f>IFERROR(__xludf.DUMMYFUNCTION("""COMPUTED_VALUE"""),"大西ジロ")</f>
        <v>大西ジロ</v>
      </c>
      <c r="I4218" s="22" t="str">
        <f>IFERROR(__xludf.DUMMYFUNCTION("""COMPUTED_VALUE"""),"BL")</f>
        <v>BL</v>
      </c>
      <c r="J4218" s="22"/>
      <c r="K4218" s="22"/>
      <c r="L4218" s="22" t="str">
        <f>IFERROR(__xludf.DUMMYFUNCTION("""COMPUTED_VALUE"""),"パチカ")</f>
        <v>パチカ</v>
      </c>
      <c r="M4218" s="33">
        <f>IFERROR(__xludf.DUMMYFUNCTION("""COMPUTED_VALUE"""),45982.0)</f>
        <v>45982</v>
      </c>
      <c r="N4218" s="33">
        <f>IFERROR(__xludf.DUMMYFUNCTION("""COMPUTED_VALUE"""),46073.0)</f>
        <v>46073</v>
      </c>
      <c r="O4218" s="20"/>
      <c r="P4218" s="32" t="str">
        <f>IFERROR(__xludf.DUMMYFUNCTION("""COMPUTED_VALUE"""),"可")</f>
        <v>可</v>
      </c>
      <c r="Q4218" s="30" t="str">
        <f>IFERROR(__xludf.DUMMYFUNCTION("""COMPUTED_VALUE"""),"【アダルト作品扱い】&lt;BR&gt;素材の共有が遅れたため可能なタイミングからの出稿お願いいたします。")</f>
        <v>【アダルト作品扱い】&lt;BR&gt;素材の共有が遅れたため可能なタイミングからの出稿お願いいたします。</v>
      </c>
      <c r="R4218" s="22" t="str">
        <f>IFERROR(__xludf.DUMMYFUNCTION("""COMPUTED_VALUE"""),"コミットOK")</f>
        <v>コミットOK</v>
      </c>
      <c r="S4218" s="22" t="str">
        <f>IFERROR(__xludf.DUMMYFUNCTION("""COMPUTED_VALUE"""),"20251106_ウェイブ_スパイは騎士様を骨抜きにしたい！")</f>
        <v>20251106_ウェイブ_スパイは騎士様を骨抜きにしたい！</v>
      </c>
      <c r="T4218" s="22" t="str">
        <f>IFERROR(__xludf.DUMMYFUNCTION("""COMPUTED_VALUE"""),"格納済み")</f>
        <v>格納済み</v>
      </c>
      <c r="U4218" s="9" t="str">
        <f>IFERROR(__xludf.DUMMYFUNCTION("""COMPUTED_VALUE"""),"Ⓒ大西ジロ／パチカ")</f>
        <v>Ⓒ大西ジロ／パチカ</v>
      </c>
      <c r="V4218" s="8"/>
      <c r="W4218" s="8"/>
      <c r="X4218" s="8" t="str">
        <f>IFERROR(__xludf.DUMMYFUNCTION("""COMPUTED_VALUE"""),"有")</f>
        <v>有</v>
      </c>
      <c r="Y4218" s="8" t="str">
        <f>IFERROR(__xludf.DUMMYFUNCTION("""COMPUTED_VALUE"""),"2025/12/4まで1巻無料")</f>
        <v>2025/12/4まで1巻無料</v>
      </c>
      <c r="Z4218" s="7"/>
      <c r="AA4218" s="7"/>
      <c r="AB4218" s="7"/>
    </row>
    <row r="4219" ht="15.75" customHeight="1">
      <c r="A4219" s="26">
        <f>IFERROR(__xludf.DUMMYFUNCTION("""COMPUTED_VALUE"""),6385.0)</f>
        <v>6385</v>
      </c>
      <c r="B4219" s="22" t="str">
        <f>IFERROR(__xludf.DUMMYFUNCTION("""COMPUTED_VALUE"""),"確定")</f>
        <v>確定</v>
      </c>
      <c r="C4219" s="28">
        <f>IFERROR(__xludf.DUMMYFUNCTION("""COMPUTED_VALUE"""),45902.0)</f>
        <v>45902</v>
      </c>
      <c r="D4219" s="28">
        <f>IFERROR(__xludf.DUMMYFUNCTION("""COMPUTED_VALUE"""),45973.0)</f>
        <v>45973</v>
      </c>
      <c r="E4219" s="26">
        <f>IFERROR(__xludf.DUMMYFUNCTION("""COMPUTED_VALUE"""),345754.0)</f>
        <v>345754</v>
      </c>
      <c r="F4219" s="22" t="str">
        <f>IFERROR(__xludf.DUMMYFUNCTION("""COMPUTED_VALUE"""),"純情バニーガールは冷徹ヤクザに囲われる")</f>
        <v>純情バニーガールは冷徹ヤクザに囲われる</v>
      </c>
      <c r="G4219" s="20" t="str">
        <f>IFERROR(__xludf.DUMMYFUNCTION("""COMPUTED_VALUE"""),"1～3")</f>
        <v>1～3</v>
      </c>
      <c r="H4219" s="22" t="str">
        <f>IFERROR(__xludf.DUMMYFUNCTION("""COMPUTED_VALUE"""),"飯豊")</f>
        <v>飯豊</v>
      </c>
      <c r="I4219" s="22" t="str">
        <f>IFERROR(__xludf.DUMMYFUNCTION("""COMPUTED_VALUE"""),"TL")</f>
        <v>TL</v>
      </c>
      <c r="J4219" s="22"/>
      <c r="K4219" s="22" t="str">
        <f>IFERROR(__xludf.DUMMYFUNCTION("""COMPUTED_VALUE"""),"フリーハンドコミック")</f>
        <v>フリーハンドコミック</v>
      </c>
      <c r="L4219" s="22" t="str">
        <f>IFERROR(__xludf.DUMMYFUNCTION("""COMPUTED_VALUE"""),"フリーハンド")</f>
        <v>フリーハンド</v>
      </c>
      <c r="M4219" s="33">
        <f>IFERROR(__xludf.DUMMYFUNCTION("""COMPUTED_VALUE"""),45998.0)</f>
        <v>45998</v>
      </c>
      <c r="N4219" s="33">
        <f>IFERROR(__xludf.DUMMYFUNCTION("""COMPUTED_VALUE"""),46087.0)</f>
        <v>46087</v>
      </c>
      <c r="O4219" s="20"/>
      <c r="P4219" s="32" t="str">
        <f>IFERROR(__xludf.DUMMYFUNCTION("""COMPUTED_VALUE"""),"可")</f>
        <v>可</v>
      </c>
      <c r="Q4219" s="30" t="str">
        <f>IFERROR(__xludf.DUMMYFUNCTION("""COMPUTED_VALUE"""),"【アダルト作品扱い】&lt;BR&gt;同人ストア配信中、商業は初になります。&lt;BR&gt;送付済データを2～3分割して配信します。")</f>
        <v>【アダルト作品扱い】&lt;BR&gt;同人ストア配信中、商業は初になります。&lt;BR&gt;送付済データを2～3分割して配信します。</v>
      </c>
      <c r="R4219" s="22" t="str">
        <f>IFERROR(__xludf.DUMMYFUNCTION("""COMPUTED_VALUE"""),"コミットOK")</f>
        <v>コミットOK</v>
      </c>
      <c r="S4219" s="22" t="str">
        <f>IFERROR(__xludf.DUMMYFUNCTION("""COMPUTED_VALUE"""),"20251112_フリーハンド_純情バニーガールは冷徹ヤクザに囲われる")</f>
        <v>20251112_フリーハンド_純情バニーガールは冷徹ヤクザに囲われる</v>
      </c>
      <c r="T4219" s="22" t="str">
        <f>IFERROR(__xludf.DUMMYFUNCTION("""COMPUTED_VALUE"""),"格納済み")</f>
        <v>格納済み</v>
      </c>
      <c r="U4219" s="9" t="str">
        <f>IFERROR(__xludf.DUMMYFUNCTION("""COMPUTED_VALUE"""),"（C）飯豊／Freehand")</f>
        <v>（C）飯豊／Freehand</v>
      </c>
      <c r="V4219" s="8"/>
      <c r="W4219" s="8"/>
      <c r="X4219" s="8" t="str">
        <f>IFERROR(__xludf.DUMMYFUNCTION("""COMPUTED_VALUE"""),"有")</f>
        <v>有</v>
      </c>
      <c r="Y4219" s="8" t="str">
        <f>IFERROR(__xludf.DUMMYFUNCTION("""COMPUTED_VALUE"""),"2026/1/6まで1巻無料")</f>
        <v>2026/1/6まで1巻無料</v>
      </c>
      <c r="Z4219" s="7"/>
      <c r="AA4219" s="7"/>
      <c r="AB4219" s="7"/>
    </row>
    <row r="4220" ht="15.75" customHeight="1">
      <c r="A4220" s="26">
        <f>IFERROR(__xludf.DUMMYFUNCTION("""COMPUTED_VALUE"""),6386.0)</f>
        <v>6386</v>
      </c>
      <c r="B4220" s="22" t="str">
        <f>IFERROR(__xludf.DUMMYFUNCTION("""COMPUTED_VALUE"""),"確定")</f>
        <v>確定</v>
      </c>
      <c r="C4220" s="28">
        <f>IFERROR(__xludf.DUMMYFUNCTION("""COMPUTED_VALUE"""),45902.0)</f>
        <v>45902</v>
      </c>
      <c r="D4220" s="28">
        <f>IFERROR(__xludf.DUMMYFUNCTION("""COMPUTED_VALUE"""),45967.0)</f>
        <v>45967</v>
      </c>
      <c r="E4220" s="26">
        <f>IFERROR(__xludf.DUMMYFUNCTION("""COMPUTED_VALUE"""),345755.0)</f>
        <v>345755</v>
      </c>
      <c r="F4220" s="22" t="str">
        <f>IFERROR(__xludf.DUMMYFUNCTION("""COMPUTED_VALUE"""),"乙女ゲームのモブ令嬢は今日もセックスを断れない")</f>
        <v>乙女ゲームのモブ令嬢は今日もセックスを断れない</v>
      </c>
      <c r="G4220" s="20" t="str">
        <f>IFERROR(__xludf.DUMMYFUNCTION("""COMPUTED_VALUE"""),"1～6")</f>
        <v>1～6</v>
      </c>
      <c r="H4220" s="22" t="str">
        <f>IFERROR(__xludf.DUMMYFUNCTION("""COMPUTED_VALUE"""),"小仲ぽん,飯豊,ラセル,かもね")</f>
        <v>小仲ぽん,飯豊,ラセル,かもね</v>
      </c>
      <c r="I4220" s="22" t="str">
        <f>IFERROR(__xludf.DUMMYFUNCTION("""COMPUTED_VALUE"""),"TL")</f>
        <v>TL</v>
      </c>
      <c r="J4220" s="22"/>
      <c r="K4220" s="22" t="str">
        <f>IFERROR(__xludf.DUMMYFUNCTION("""COMPUTED_VALUE"""),"フリーハンドコミック")</f>
        <v>フリーハンドコミック</v>
      </c>
      <c r="L4220" s="22" t="str">
        <f>IFERROR(__xludf.DUMMYFUNCTION("""COMPUTED_VALUE"""),"フリーハンド")</f>
        <v>フリーハンド</v>
      </c>
      <c r="M4220" s="33">
        <f>IFERROR(__xludf.DUMMYFUNCTION("""COMPUTED_VALUE"""),45998.0)</f>
        <v>45998</v>
      </c>
      <c r="N4220" s="33">
        <f>IFERROR(__xludf.DUMMYFUNCTION("""COMPUTED_VALUE"""),46087.0)</f>
        <v>46087</v>
      </c>
      <c r="O4220" s="20"/>
      <c r="P4220" s="32" t="str">
        <f>IFERROR(__xludf.DUMMYFUNCTION("""COMPUTED_VALUE"""),"可")</f>
        <v>可</v>
      </c>
      <c r="Q4220" s="30" t="str">
        <f>IFERROR(__xludf.DUMMYFUNCTION("""COMPUTED_VALUE"""),"【アダルト作品扱い】&lt;BR&gt;素材はフォルダごとに2分割して、初回1～6巻として配信します。同人ストア配信中、商業は初になります。&lt;BR&gt;")</f>
        <v>【アダルト作品扱い】&lt;BR&gt;素材はフォルダごとに2分割して、初回1～6巻として配信します。同人ストア配信中、商業は初になります。&lt;BR&gt;</v>
      </c>
      <c r="R4220" s="22" t="str">
        <f>IFERROR(__xludf.DUMMYFUNCTION("""COMPUTED_VALUE"""),"コミットOK")</f>
        <v>コミットOK</v>
      </c>
      <c r="S4220" s="22" t="str">
        <f>IFERROR(__xludf.DUMMYFUNCTION("""COMPUTED_VALUE"""),"20251106_フリーハンド_乙女ゲームのモブ令嬢は今日もセックスを断れない")</f>
        <v>20251106_フリーハンド_乙女ゲームのモブ令嬢は今日もセックスを断れない</v>
      </c>
      <c r="T4220" s="22" t="str">
        <f>IFERROR(__xludf.DUMMYFUNCTION("""COMPUTED_VALUE"""),"格納済み")</f>
        <v>格納済み</v>
      </c>
      <c r="U4220" s="9" t="str">
        <f>IFERROR(__xludf.DUMMYFUNCTION("""COMPUTED_VALUE"""),"（C）小仲ぽん／Freehand")</f>
        <v>（C）小仲ぽん／Freehand</v>
      </c>
      <c r="V4220" s="8"/>
      <c r="W4220" s="8"/>
      <c r="X4220" s="8" t="str">
        <f>IFERROR(__xludf.DUMMYFUNCTION("""COMPUTED_VALUE"""),"有")</f>
        <v>有</v>
      </c>
      <c r="Y4220" s="8" t="str">
        <f>IFERROR(__xludf.DUMMYFUNCTION("""COMPUTED_VALUE"""),"2026/1/6まで1巻無料")</f>
        <v>2026/1/6まで1巻無料</v>
      </c>
      <c r="Z4220" s="7"/>
      <c r="AA4220" s="7"/>
      <c r="AB4220" s="7"/>
    </row>
    <row r="4221" ht="15.75" customHeight="1">
      <c r="A4221" s="26">
        <f>IFERROR(__xludf.DUMMYFUNCTION("""COMPUTED_VALUE"""),6536.0)</f>
        <v>6536</v>
      </c>
      <c r="B4221" s="22" t="str">
        <f>IFERROR(__xludf.DUMMYFUNCTION("""COMPUTED_VALUE"""),"確定")</f>
        <v>確定</v>
      </c>
      <c r="C4221" s="28">
        <f>IFERROR(__xludf.DUMMYFUNCTION("""COMPUTED_VALUE"""),45924.0)</f>
        <v>45924</v>
      </c>
      <c r="D4221" s="28">
        <f>IFERROR(__xludf.DUMMYFUNCTION("""COMPUTED_VALUE"""),45973.0)</f>
        <v>45973</v>
      </c>
      <c r="E4221" s="26">
        <f>IFERROR(__xludf.DUMMYFUNCTION("""COMPUTED_VALUE"""),345974.0)</f>
        <v>345974</v>
      </c>
      <c r="F4221" s="22" t="str">
        <f>IFERROR(__xludf.DUMMYFUNCTION("""COMPUTED_VALUE"""),"夜を教えて千夜来くん 別マ連載版")</f>
        <v>夜を教えて千夜来くん 別マ連載版</v>
      </c>
      <c r="G4221" s="20" t="str">
        <f>IFERROR(__xludf.DUMMYFUNCTION("""COMPUTED_VALUE"""),"1～4")</f>
        <v>1～4</v>
      </c>
      <c r="H4221" s="22" t="str">
        <f>IFERROR(__xludf.DUMMYFUNCTION("""COMPUTED_VALUE"""),"倉瀬しの")</f>
        <v>倉瀬しの</v>
      </c>
      <c r="I4221" s="22" t="str">
        <f>IFERROR(__xludf.DUMMYFUNCTION("""COMPUTED_VALUE"""),"少女")</f>
        <v>少女</v>
      </c>
      <c r="J4221" s="22"/>
      <c r="K4221" s="22"/>
      <c r="L4221" s="22" t="str">
        <f>IFERROR(__xludf.DUMMYFUNCTION("""COMPUTED_VALUE"""),"集英社")</f>
        <v>集英社</v>
      </c>
      <c r="M4221" s="33">
        <f>IFERROR(__xludf.DUMMYFUNCTION("""COMPUTED_VALUE"""),46019.0)</f>
        <v>46019</v>
      </c>
      <c r="N4221" s="33">
        <f>IFERROR(__xludf.DUMMYFUNCTION("""COMPUTED_VALUE"""),46077.0)</f>
        <v>46077</v>
      </c>
      <c r="O4221" s="20"/>
      <c r="P4221" s="32" t="str">
        <f>IFERROR(__xludf.DUMMYFUNCTION("""COMPUTED_VALUE"""),"否")</f>
        <v>否</v>
      </c>
      <c r="Q4221" s="30"/>
      <c r="R4221" s="22" t="str">
        <f>IFERROR(__xludf.DUMMYFUNCTION("""COMPUTED_VALUE"""),"コミットOK")</f>
        <v>コミットOK</v>
      </c>
      <c r="S4221" s="22" t="str">
        <f>IFERROR(__xludf.DUMMYFUNCTION("""COMPUTED_VALUE"""),"20251111_集英社_夜を教えて千夜来くん（訂正）")</f>
        <v>20251111_集英社_夜を教えて千夜来くん（訂正）</v>
      </c>
      <c r="T4221" s="22" t="str">
        <f>IFERROR(__xludf.DUMMYFUNCTION("""COMPUTED_VALUE"""),"格納済み")</f>
        <v>格納済み</v>
      </c>
      <c r="U4221" s="9" t="str">
        <f>IFERROR(__xludf.DUMMYFUNCTION("""COMPUTED_VALUE"""),"(c)倉瀬しの／集英社")</f>
        <v>(c)倉瀬しの／集英社</v>
      </c>
      <c r="V4221" s="8"/>
      <c r="W4221" s="8"/>
      <c r="X4221" s="8" t="str">
        <f>IFERROR(__xludf.DUMMYFUNCTION("""COMPUTED_VALUE"""),"有")</f>
        <v>有</v>
      </c>
      <c r="Y4221" s="8" t="str">
        <f>IFERROR(__xludf.DUMMYFUNCTION("""COMPUTED_VALUE"""),"P12まで")</f>
        <v>P12まで</v>
      </c>
      <c r="Z4221" s="7"/>
      <c r="AA4221" s="7"/>
      <c r="AB4221" s="7"/>
    </row>
    <row r="4222" ht="15.75" customHeight="1">
      <c r="A4222" s="26">
        <f>IFERROR(__xludf.DUMMYFUNCTION("""COMPUTED_VALUE"""),6543.0)</f>
        <v>6543</v>
      </c>
      <c r="B4222" s="22" t="str">
        <f>IFERROR(__xludf.DUMMYFUNCTION("""COMPUTED_VALUE"""),"確定")</f>
        <v>確定</v>
      </c>
      <c r="C4222" s="28">
        <f>IFERROR(__xludf.DUMMYFUNCTION("""COMPUTED_VALUE"""),45926.0)</f>
        <v>45926</v>
      </c>
      <c r="D4222" s="28">
        <f>IFERROR(__xludf.DUMMYFUNCTION("""COMPUTED_VALUE"""),45973.0)</f>
        <v>45973</v>
      </c>
      <c r="E4222" s="26">
        <f>IFERROR(__xludf.DUMMYFUNCTION("""COMPUTED_VALUE"""),342523.0)</f>
        <v>342523</v>
      </c>
      <c r="F4222" s="22" t="str">
        <f>IFERROR(__xludf.DUMMYFUNCTION("""COMPUTED_VALUE"""),"ネコとわたしのふたり暮らし")</f>
        <v>ネコとわたしのふたり暮らし</v>
      </c>
      <c r="G4222" s="20" t="str">
        <f>IFERROR(__xludf.DUMMYFUNCTION("""COMPUTED_VALUE"""),"1～3")</f>
        <v>1～3</v>
      </c>
      <c r="H4222" s="22" t="str">
        <f>IFERROR(__xludf.DUMMYFUNCTION("""COMPUTED_VALUE"""),"田辺チカ")</f>
        <v>田辺チカ</v>
      </c>
      <c r="I4222" s="22" t="str">
        <f>IFERROR(__xludf.DUMMYFUNCTION("""COMPUTED_VALUE"""),"女性")</f>
        <v>女性</v>
      </c>
      <c r="J4222" s="22"/>
      <c r="K4222" s="22"/>
      <c r="L4222" s="22" t="str">
        <f>IFERROR(__xludf.DUMMYFUNCTION("""COMPUTED_VALUE"""),"集英社")</f>
        <v>集英社</v>
      </c>
      <c r="M4222" s="33">
        <f>IFERROR(__xludf.DUMMYFUNCTION("""COMPUTED_VALUE"""),45986.0)</f>
        <v>45986</v>
      </c>
      <c r="N4222" s="33">
        <f>IFERROR(__xludf.DUMMYFUNCTION("""COMPUTED_VALUE"""),46014.0)</f>
        <v>46014</v>
      </c>
      <c r="O4222" s="20"/>
      <c r="P4222" s="32" t="str">
        <f>IFERROR(__xludf.DUMMYFUNCTION("""COMPUTED_VALUE"""),"否")</f>
        <v>否</v>
      </c>
      <c r="Q4222" s="30"/>
      <c r="R4222" s="22" t="str">
        <f>IFERROR(__xludf.DUMMYFUNCTION("""COMPUTED_VALUE"""),"コミットNG")</f>
        <v>コミットNG</v>
      </c>
      <c r="S4222" s="22" t="str">
        <f>IFERROR(__xludf.DUMMYFUNCTION("""COMPUTED_VALUE"""),"20251111_集英社_ネコとわたしのふたり暮らし")</f>
        <v>20251111_集英社_ネコとわたしのふたり暮らし</v>
      </c>
      <c r="T4222" s="22" t="str">
        <f>IFERROR(__xludf.DUMMYFUNCTION("""COMPUTED_VALUE"""),"格納済み")</f>
        <v>格納済み</v>
      </c>
      <c r="U4222" s="9" t="str">
        <f>IFERROR(__xludf.DUMMYFUNCTION("""COMPUTED_VALUE"""),"(c)田辺チカ／集英社クリエイティブ")</f>
        <v>(c)田辺チカ／集英社クリエイティブ</v>
      </c>
      <c r="V4222" s="8"/>
      <c r="W4222" s="8"/>
      <c r="X4222" s="8" t="str">
        <f>IFERROR(__xludf.DUMMYFUNCTION("""COMPUTED_VALUE"""),"有")</f>
        <v>有</v>
      </c>
      <c r="Y4222" s="8" t="str">
        <f>IFERROR(__xludf.DUMMYFUNCTION("""COMPUTED_VALUE"""),"2025/12/24まで1巻無料")</f>
        <v>2025/12/24まで1巻無料</v>
      </c>
      <c r="Z4222" s="7"/>
      <c r="AA4222" s="7"/>
      <c r="AB4222" s="7"/>
    </row>
    <row r="4223" ht="15.75" customHeight="1">
      <c r="A4223" s="26">
        <f>IFERROR(__xludf.DUMMYFUNCTION("""COMPUTED_VALUE"""),6544.0)</f>
        <v>6544</v>
      </c>
      <c r="B4223" s="22" t="str">
        <f>IFERROR(__xludf.DUMMYFUNCTION("""COMPUTED_VALUE"""),"確定")</f>
        <v>確定</v>
      </c>
      <c r="C4223" s="28">
        <f>IFERROR(__xludf.DUMMYFUNCTION("""COMPUTED_VALUE"""),45926.0)</f>
        <v>45926</v>
      </c>
      <c r="D4223" s="28">
        <f>IFERROR(__xludf.DUMMYFUNCTION("""COMPUTED_VALUE"""),45973.0)</f>
        <v>45973</v>
      </c>
      <c r="E4223" s="26">
        <f>IFERROR(__xludf.DUMMYFUNCTION("""COMPUTED_VALUE"""),342517.0)</f>
        <v>342517</v>
      </c>
      <c r="F4223" s="22" t="str">
        <f>IFERROR(__xludf.DUMMYFUNCTION("""COMPUTED_VALUE"""),"【単話売】あなたの代わりに愛されます")</f>
        <v>【単話売】あなたの代わりに愛されます</v>
      </c>
      <c r="G4223" s="20" t="str">
        <f>IFERROR(__xludf.DUMMYFUNCTION("""COMPUTED_VALUE"""),"1～3")</f>
        <v>1～3</v>
      </c>
      <c r="H4223" s="22" t="str">
        <f>IFERROR(__xludf.DUMMYFUNCTION("""COMPUTED_VALUE"""),"こきあいりん")</f>
        <v>こきあいりん</v>
      </c>
      <c r="I4223" s="22" t="str">
        <f>IFERROR(__xludf.DUMMYFUNCTION("""COMPUTED_VALUE"""),"女性")</f>
        <v>女性</v>
      </c>
      <c r="J4223" s="22"/>
      <c r="K4223" s="22"/>
      <c r="L4223" s="22" t="str">
        <f>IFERROR(__xludf.DUMMYFUNCTION("""COMPUTED_VALUE"""),"集英社")</f>
        <v>集英社</v>
      </c>
      <c r="M4223" s="33">
        <f>IFERROR(__xludf.DUMMYFUNCTION("""COMPUTED_VALUE"""),45986.0)</f>
        <v>45986</v>
      </c>
      <c r="N4223" s="33">
        <f>IFERROR(__xludf.DUMMYFUNCTION("""COMPUTED_VALUE"""),46014.0)</f>
        <v>46014</v>
      </c>
      <c r="O4223" s="20"/>
      <c r="P4223" s="32" t="str">
        <f>IFERROR(__xludf.DUMMYFUNCTION("""COMPUTED_VALUE"""),"否")</f>
        <v>否</v>
      </c>
      <c r="Q4223" s="30"/>
      <c r="R4223" s="22" t="str">
        <f>IFERROR(__xludf.DUMMYFUNCTION("""COMPUTED_VALUE"""),"コミットNG")</f>
        <v>コミットNG</v>
      </c>
      <c r="S4223" s="22" t="str">
        <f>IFERROR(__xludf.DUMMYFUNCTION("""COMPUTED_VALUE"""),"20251111_集英社_あなたの代わりに愛されます")</f>
        <v>20251111_集英社_あなたの代わりに愛されます</v>
      </c>
      <c r="T4223" s="22" t="str">
        <f>IFERROR(__xludf.DUMMYFUNCTION("""COMPUTED_VALUE"""),"格納済み")</f>
        <v>格納済み</v>
      </c>
      <c r="U4223" s="9" t="str">
        <f>IFERROR(__xludf.DUMMYFUNCTION("""COMPUTED_VALUE"""),"(c)こきあいりん／集英社クリエイティブ")</f>
        <v>(c)こきあいりん／集英社クリエイティブ</v>
      </c>
      <c r="V4223" s="8"/>
      <c r="W4223" s="8"/>
      <c r="X4223" s="8" t="str">
        <f>IFERROR(__xludf.DUMMYFUNCTION("""COMPUTED_VALUE"""),"有")</f>
        <v>有</v>
      </c>
      <c r="Y4223" s="8" t="str">
        <f>IFERROR(__xludf.DUMMYFUNCTION("""COMPUTED_VALUE"""),"2025/12/24まで1巻無料")</f>
        <v>2025/12/24まで1巻無料</v>
      </c>
      <c r="Z4223" s="7"/>
      <c r="AA4223" s="7"/>
      <c r="AB4223" s="7"/>
    </row>
    <row r="4224" ht="15.75" customHeight="1">
      <c r="A4224" s="26">
        <f>IFERROR(__xludf.DUMMYFUNCTION("""COMPUTED_VALUE"""),6545.0)</f>
        <v>6545</v>
      </c>
      <c r="B4224" s="22" t="str">
        <f>IFERROR(__xludf.DUMMYFUNCTION("""COMPUTED_VALUE"""),"確定")</f>
        <v>確定</v>
      </c>
      <c r="C4224" s="28">
        <f>IFERROR(__xludf.DUMMYFUNCTION("""COMPUTED_VALUE"""),45926.0)</f>
        <v>45926</v>
      </c>
      <c r="D4224" s="28">
        <f>IFERROR(__xludf.DUMMYFUNCTION("""COMPUTED_VALUE"""),45973.0)</f>
        <v>45973</v>
      </c>
      <c r="E4224" s="26">
        <f>IFERROR(__xludf.DUMMYFUNCTION("""COMPUTED_VALUE"""),342520.0)</f>
        <v>342520</v>
      </c>
      <c r="F4224" s="22" t="str">
        <f>IFERROR(__xludf.DUMMYFUNCTION("""COMPUTED_VALUE"""),"【単話売】幸せはどの先に")</f>
        <v>【単話売】幸せはどの先に</v>
      </c>
      <c r="G4224" s="20" t="str">
        <f>IFERROR(__xludf.DUMMYFUNCTION("""COMPUTED_VALUE"""),"1～3")</f>
        <v>1～3</v>
      </c>
      <c r="H4224" s="22" t="str">
        <f>IFERROR(__xludf.DUMMYFUNCTION("""COMPUTED_VALUE"""),"人間まお")</f>
        <v>人間まお</v>
      </c>
      <c r="I4224" s="22" t="str">
        <f>IFERROR(__xludf.DUMMYFUNCTION("""COMPUTED_VALUE"""),"女性")</f>
        <v>女性</v>
      </c>
      <c r="J4224" s="22"/>
      <c r="K4224" s="22"/>
      <c r="L4224" s="22" t="str">
        <f>IFERROR(__xludf.DUMMYFUNCTION("""COMPUTED_VALUE"""),"集英社")</f>
        <v>集英社</v>
      </c>
      <c r="M4224" s="33">
        <f>IFERROR(__xludf.DUMMYFUNCTION("""COMPUTED_VALUE"""),45986.0)</f>
        <v>45986</v>
      </c>
      <c r="N4224" s="33">
        <f>IFERROR(__xludf.DUMMYFUNCTION("""COMPUTED_VALUE"""),46014.0)</f>
        <v>46014</v>
      </c>
      <c r="O4224" s="20"/>
      <c r="P4224" s="32" t="str">
        <f>IFERROR(__xludf.DUMMYFUNCTION("""COMPUTED_VALUE"""),"否")</f>
        <v>否</v>
      </c>
      <c r="Q4224" s="30"/>
      <c r="R4224" s="22" t="str">
        <f>IFERROR(__xludf.DUMMYFUNCTION("""COMPUTED_VALUE"""),"コミットNG")</f>
        <v>コミットNG</v>
      </c>
      <c r="S4224" s="22" t="str">
        <f>IFERROR(__xludf.DUMMYFUNCTION("""COMPUTED_VALUE"""),"20251111_集英社_幸せはどの先に")</f>
        <v>20251111_集英社_幸せはどの先に</v>
      </c>
      <c r="T4224" s="22" t="str">
        <f>IFERROR(__xludf.DUMMYFUNCTION("""COMPUTED_VALUE"""),"格納済み")</f>
        <v>格納済み</v>
      </c>
      <c r="U4224" s="9" t="str">
        <f>IFERROR(__xludf.DUMMYFUNCTION("""COMPUTED_VALUE"""),"(c)人間まお／集英社クリエイティブ")</f>
        <v>(c)人間まお／集英社クリエイティブ</v>
      </c>
      <c r="V4224" s="8"/>
      <c r="W4224" s="8"/>
      <c r="X4224" s="8" t="str">
        <f>IFERROR(__xludf.DUMMYFUNCTION("""COMPUTED_VALUE"""),"有")</f>
        <v>有</v>
      </c>
      <c r="Y4224" s="8" t="str">
        <f>IFERROR(__xludf.DUMMYFUNCTION("""COMPUTED_VALUE"""),"2025/12/24まで1巻無料")</f>
        <v>2025/12/24まで1巻無料</v>
      </c>
      <c r="Z4224" s="7"/>
      <c r="AA4224" s="7"/>
      <c r="AB4224" s="7"/>
    </row>
    <row r="4225" ht="15.75" customHeight="1">
      <c r="A4225" s="26">
        <f>IFERROR(__xludf.DUMMYFUNCTION("""COMPUTED_VALUE"""),6547.0)</f>
        <v>6547</v>
      </c>
      <c r="B4225" s="22" t="str">
        <f>IFERROR(__xludf.DUMMYFUNCTION("""COMPUTED_VALUE"""),"確定")</f>
        <v>確定</v>
      </c>
      <c r="C4225" s="28">
        <f>IFERROR(__xludf.DUMMYFUNCTION("""COMPUTED_VALUE"""),45926.0)</f>
        <v>45926</v>
      </c>
      <c r="D4225" s="28">
        <f>IFERROR(__xludf.DUMMYFUNCTION("""COMPUTED_VALUE"""),45972.0)</f>
        <v>45972</v>
      </c>
      <c r="E4225" s="26">
        <f>IFERROR(__xludf.DUMMYFUNCTION("""COMPUTED_VALUE"""),345972.0)</f>
        <v>345972</v>
      </c>
      <c r="F4225" s="22" t="str">
        <f>IFERROR(__xludf.DUMMYFUNCTION("""COMPUTED_VALUE"""),"ぼっちカラスのよりどころ")</f>
        <v>ぼっちカラスのよりどころ</v>
      </c>
      <c r="G4225" s="20" t="str">
        <f>IFERROR(__xludf.DUMMYFUNCTION("""COMPUTED_VALUE"""),"1～9")</f>
        <v>1～9</v>
      </c>
      <c r="H4225" s="22" t="str">
        <f>IFERROR(__xludf.DUMMYFUNCTION("""COMPUTED_VALUE"""),"こう森")</f>
        <v>こう森</v>
      </c>
      <c r="I4225" s="22" t="str">
        <f>IFERROR(__xludf.DUMMYFUNCTION("""COMPUTED_VALUE"""),"女性")</f>
        <v>女性</v>
      </c>
      <c r="J4225" s="22"/>
      <c r="K4225" s="22"/>
      <c r="L4225" s="22" t="str">
        <f>IFERROR(__xludf.DUMMYFUNCTION("""COMPUTED_VALUE"""),"集英社")</f>
        <v>集英社</v>
      </c>
      <c r="M4225" s="33">
        <f>IFERROR(__xludf.DUMMYFUNCTION("""COMPUTED_VALUE"""),46019.0)</f>
        <v>46019</v>
      </c>
      <c r="N4225" s="33">
        <f>IFERROR(__xludf.DUMMYFUNCTION("""COMPUTED_VALUE"""),46077.0)</f>
        <v>46077</v>
      </c>
      <c r="O4225" s="20"/>
      <c r="P4225" s="32" t="str">
        <f>IFERROR(__xludf.DUMMYFUNCTION("""COMPUTED_VALUE"""),"否")</f>
        <v>否</v>
      </c>
      <c r="Q4225" s="30"/>
      <c r="R4225" s="22" t="str">
        <f>IFERROR(__xludf.DUMMYFUNCTION("""COMPUTED_VALUE"""),"コミットOK")</f>
        <v>コミットOK</v>
      </c>
      <c r="S4225" s="22" t="str">
        <f>IFERROR(__xludf.DUMMYFUNCTION("""COMPUTED_VALUE"""),"20251111_集英社_ぼっちカラスのよりどころ")</f>
        <v>20251111_集英社_ぼっちカラスのよりどころ</v>
      </c>
      <c r="T4225" s="22" t="str">
        <f>IFERROR(__xludf.DUMMYFUNCTION("""COMPUTED_VALUE"""),"格納済み")</f>
        <v>格納済み</v>
      </c>
      <c r="U4225" s="9" t="str">
        <f>IFERROR(__xludf.DUMMYFUNCTION("""COMPUTED_VALUE"""),"（C）こう森／集英社")</f>
        <v>（C）こう森／集英社</v>
      </c>
      <c r="V4225" s="8"/>
      <c r="W4225" s="8"/>
      <c r="X4225" s="8" t="str">
        <f>IFERROR(__xludf.DUMMYFUNCTION("""COMPUTED_VALUE"""),"有")</f>
        <v>有</v>
      </c>
      <c r="Y4225" s="8" t="str">
        <f>IFERROR(__xludf.DUMMYFUNCTION("""COMPUTED_VALUE"""),"P14まで")</f>
        <v>P14まで</v>
      </c>
      <c r="Z4225" s="7"/>
      <c r="AA4225" s="7"/>
      <c r="AB4225" s="7"/>
    </row>
    <row r="4226" ht="15.75" customHeight="1">
      <c r="A4226" s="26">
        <f>IFERROR(__xludf.DUMMYFUNCTION("""COMPUTED_VALUE"""),6548.0)</f>
        <v>6548</v>
      </c>
      <c r="B4226" s="22" t="str">
        <f>IFERROR(__xludf.DUMMYFUNCTION("""COMPUTED_VALUE"""),"確定")</f>
        <v>確定</v>
      </c>
      <c r="C4226" s="28">
        <f>IFERROR(__xludf.DUMMYFUNCTION("""COMPUTED_VALUE"""),45926.0)</f>
        <v>45926</v>
      </c>
      <c r="D4226" s="28">
        <f>IFERROR(__xludf.DUMMYFUNCTION("""COMPUTED_VALUE"""),45972.0)</f>
        <v>45972</v>
      </c>
      <c r="E4226" s="26">
        <f>IFERROR(__xludf.DUMMYFUNCTION("""COMPUTED_VALUE"""),345975.0)</f>
        <v>345975</v>
      </c>
      <c r="F4226" s="22" t="str">
        <f>IFERROR(__xludf.DUMMYFUNCTION("""COMPUTED_VALUE"""),"推しとお猫様")</f>
        <v>推しとお猫様</v>
      </c>
      <c r="G4226" s="20" t="str">
        <f>IFERROR(__xludf.DUMMYFUNCTION("""COMPUTED_VALUE"""),"1～5")</f>
        <v>1～5</v>
      </c>
      <c r="H4226" s="22" t="str">
        <f>IFERROR(__xludf.DUMMYFUNCTION("""COMPUTED_VALUE"""),"蔀シャロン")</f>
        <v>蔀シャロン</v>
      </c>
      <c r="I4226" s="22" t="str">
        <f>IFERROR(__xludf.DUMMYFUNCTION("""COMPUTED_VALUE"""),"女性")</f>
        <v>女性</v>
      </c>
      <c r="J4226" s="22"/>
      <c r="K4226" s="22"/>
      <c r="L4226" s="22" t="str">
        <f>IFERROR(__xludf.DUMMYFUNCTION("""COMPUTED_VALUE"""),"集英社")</f>
        <v>集英社</v>
      </c>
      <c r="M4226" s="33">
        <f>IFERROR(__xludf.DUMMYFUNCTION("""COMPUTED_VALUE"""),46019.0)</f>
        <v>46019</v>
      </c>
      <c r="N4226" s="33">
        <f>IFERROR(__xludf.DUMMYFUNCTION("""COMPUTED_VALUE"""),46077.0)</f>
        <v>46077</v>
      </c>
      <c r="O4226" s="20"/>
      <c r="P4226" s="32" t="str">
        <f>IFERROR(__xludf.DUMMYFUNCTION("""COMPUTED_VALUE"""),"否")</f>
        <v>否</v>
      </c>
      <c r="Q4226" s="30" t="str">
        <f>IFERROR(__xludf.DUMMYFUNCTION("""COMPUTED_VALUE"""),"1~3巻までの素材で広告制作お願いいたします。&lt;BR&gt;各フォルダの内訳&lt;BR&gt;1巻＝1＆2話、2巻＝3話＆4話、3巻＝5話、")</f>
        <v>1~3巻までの素材で広告制作お願いいたします。&lt;BR&gt;各フォルダの内訳&lt;BR&gt;1巻＝1＆2話、2巻＝3話＆4話、3巻＝5話、</v>
      </c>
      <c r="R4226" s="22" t="str">
        <f>IFERROR(__xludf.DUMMYFUNCTION("""COMPUTED_VALUE"""),"コミットOK")</f>
        <v>コミットOK</v>
      </c>
      <c r="S4226" s="22" t="str">
        <f>IFERROR(__xludf.DUMMYFUNCTION("""COMPUTED_VALUE"""),"20251111_集英社_推しとお猫様(1～3巻)")</f>
        <v>20251111_集英社_推しとお猫様(1～3巻)</v>
      </c>
      <c r="T4226" s="22" t="str">
        <f>IFERROR(__xludf.DUMMYFUNCTION("""COMPUTED_VALUE"""),"格納済み")</f>
        <v>格納済み</v>
      </c>
      <c r="U4226" s="9" t="str">
        <f>IFERROR(__xludf.DUMMYFUNCTION("""COMPUTED_VALUE"""),"（C）蔀シャロン／集英社")</f>
        <v>（C）蔀シャロン／集英社</v>
      </c>
      <c r="V4226" s="8"/>
      <c r="W4226" s="8"/>
      <c r="X4226" s="8" t="str">
        <f>IFERROR(__xludf.DUMMYFUNCTION("""COMPUTED_VALUE"""),"有")</f>
        <v>有</v>
      </c>
      <c r="Y4226" s="8" t="str">
        <f>IFERROR(__xludf.DUMMYFUNCTION("""COMPUTED_VALUE"""),"P9まで")</f>
        <v>P9まで</v>
      </c>
      <c r="Z4226" s="7"/>
      <c r="AA4226" s="7"/>
      <c r="AB4226" s="7"/>
    </row>
    <row r="4227" ht="15.75" customHeight="1">
      <c r="A4227" s="26">
        <f>IFERROR(__xludf.DUMMYFUNCTION("""COMPUTED_VALUE"""),6555.0)</f>
        <v>6555</v>
      </c>
      <c r="B4227" s="22" t="str">
        <f>IFERROR(__xludf.DUMMYFUNCTION("""COMPUTED_VALUE"""),"確定")</f>
        <v>確定</v>
      </c>
      <c r="C4227" s="28">
        <f>IFERROR(__xludf.DUMMYFUNCTION("""COMPUTED_VALUE"""),45929.0)</f>
        <v>45929</v>
      </c>
      <c r="D4227" s="28">
        <f>IFERROR(__xludf.DUMMYFUNCTION("""COMPUTED_VALUE"""),45973.0)</f>
        <v>45973</v>
      </c>
      <c r="E4227" s="26">
        <f>IFERROR(__xludf.DUMMYFUNCTION("""COMPUTED_VALUE"""),344934.0)</f>
        <v>344934</v>
      </c>
      <c r="F4227" s="22" t="str">
        <f>IFERROR(__xludf.DUMMYFUNCTION("""COMPUTED_VALUE"""),"悔しかったら勃たせてみれば？～因縁の元カレの指先で甘く蕩ける～")</f>
        <v>悔しかったら勃たせてみれば？～因縁の元カレの指先で甘く蕩ける～</v>
      </c>
      <c r="G4227" s="20" t="str">
        <f>IFERROR(__xludf.DUMMYFUNCTION("""COMPUTED_VALUE"""),"1～3")</f>
        <v>1～3</v>
      </c>
      <c r="H4227" s="22" t="str">
        <f>IFERROR(__xludf.DUMMYFUNCTION("""COMPUTED_VALUE"""),"お牛┴犬甘すしか┴さくら蒼")</f>
        <v>お牛┴犬甘すしか┴さくら蒼</v>
      </c>
      <c r="I4227" s="22" t="str">
        <f>IFERROR(__xludf.DUMMYFUNCTION("""COMPUTED_VALUE"""),"TL")</f>
        <v>TL</v>
      </c>
      <c r="J4227" s="22"/>
      <c r="K4227" s="22" t="str">
        <f>IFERROR(__xludf.DUMMYFUNCTION("""COMPUTED_VALUE"""),"lou lou")</f>
        <v>lou lou</v>
      </c>
      <c r="L4227" s="22" t="str">
        <f>IFERROR(__xludf.DUMMYFUNCTION("""COMPUTED_VALUE"""),"渋谷六花舎")</f>
        <v>渋谷六花舎</v>
      </c>
      <c r="M4227" s="33">
        <f>IFERROR(__xludf.DUMMYFUNCTION("""COMPUTED_VALUE"""),46013.0)</f>
        <v>46013</v>
      </c>
      <c r="N4227" s="33">
        <f>IFERROR(__xludf.DUMMYFUNCTION("""COMPUTED_VALUE"""),46102.0)</f>
        <v>46102</v>
      </c>
      <c r="O4227" s="20"/>
      <c r="P4227" s="32" t="str">
        <f>IFERROR(__xludf.DUMMYFUNCTION("""COMPUTED_VALUE"""),"可")</f>
        <v>可</v>
      </c>
      <c r="Q4227" s="30"/>
      <c r="R4227" s="22" t="str">
        <f>IFERROR(__xludf.DUMMYFUNCTION("""COMPUTED_VALUE"""),"コミットOK")</f>
        <v>コミットOK</v>
      </c>
      <c r="S4227" s="22" t="str">
        <f>IFERROR(__xludf.DUMMYFUNCTION("""COMPUTED_VALUE"""),"20251112_渋谷六花舎_悔しかったら勃たせてみれば？～因縁の元カレの指先で甘く蕩ける～")</f>
        <v>20251112_渋谷六花舎_悔しかったら勃たせてみれば？～因縁の元カレの指先で甘く蕩ける～</v>
      </c>
      <c r="T4227" s="22" t="str">
        <f>IFERROR(__xludf.DUMMYFUNCTION("""COMPUTED_VALUE"""),"格納済み")</f>
        <v>格納済み</v>
      </c>
      <c r="U4227" s="9" t="str">
        <f>IFERROR(__xludf.DUMMYFUNCTION("""COMPUTED_VALUE"""),"(c)お牛/犬甘すしか/さくら蒼/lou lou")</f>
        <v>(c)お牛/犬甘すしか/さくら蒼/lou lou</v>
      </c>
      <c r="V4227" s="8"/>
      <c r="W4227" s="8"/>
      <c r="X4227" s="8" t="str">
        <f>IFERROR(__xludf.DUMMYFUNCTION("""COMPUTED_VALUE"""),"有")</f>
        <v>有</v>
      </c>
      <c r="Y4227" s="8" t="str">
        <f>IFERROR(__xludf.DUMMYFUNCTION("""COMPUTED_VALUE"""),"P20まで")</f>
        <v>P20まで</v>
      </c>
      <c r="Z4227" s="7"/>
      <c r="AA4227" s="7"/>
      <c r="AB4227" s="7"/>
    </row>
    <row r="4228" ht="15.75" customHeight="1">
      <c r="A4228" s="26">
        <f>IFERROR(__xludf.DUMMYFUNCTION("""COMPUTED_VALUE"""),6556.0)</f>
        <v>6556</v>
      </c>
      <c r="B4228" s="22" t="str">
        <f>IFERROR(__xludf.DUMMYFUNCTION("""COMPUTED_VALUE"""),"確定")</f>
        <v>確定</v>
      </c>
      <c r="C4228" s="28">
        <f>IFERROR(__xludf.DUMMYFUNCTION("""COMPUTED_VALUE"""),45929.0)</f>
        <v>45929</v>
      </c>
      <c r="D4228" s="28">
        <f>IFERROR(__xludf.DUMMYFUNCTION("""COMPUTED_VALUE"""),45968.0)</f>
        <v>45968</v>
      </c>
      <c r="E4228" s="26">
        <f>IFERROR(__xludf.DUMMYFUNCTION("""COMPUTED_VALUE"""),344932.0)</f>
        <v>344932</v>
      </c>
      <c r="F4228" s="22" t="str">
        <f>IFERROR(__xludf.DUMMYFUNCTION("""COMPUTED_VALUE"""),"（フルカラー）獣人世界でわたしはペット～発情管理をされています～《Lovelicot》")</f>
        <v>（フルカラー）獣人世界でわたしはペット～発情管理をされています～《Lovelicot》</v>
      </c>
      <c r="G4228" s="20" t="str">
        <f>IFERROR(__xludf.DUMMYFUNCTION("""COMPUTED_VALUE"""),"1～3")</f>
        <v>1～3</v>
      </c>
      <c r="H4228" s="22" t="str">
        <f>IFERROR(__xludf.DUMMYFUNCTION("""COMPUTED_VALUE"""),"ナナ汰吉")</f>
        <v>ナナ汰吉</v>
      </c>
      <c r="I4228" s="22" t="str">
        <f>IFERROR(__xludf.DUMMYFUNCTION("""COMPUTED_VALUE"""),"TL")</f>
        <v>TL</v>
      </c>
      <c r="J4228" s="22"/>
      <c r="K4228" s="22" t="str">
        <f>IFERROR(__xludf.DUMMYFUNCTION("""COMPUTED_VALUE"""),"Lovelicot")</f>
        <v>Lovelicot</v>
      </c>
      <c r="L4228" s="22" t="str">
        <f>IFERROR(__xludf.DUMMYFUNCTION("""COMPUTED_VALUE"""),"ガールスカウトコミックス")</f>
        <v>ガールスカウトコミックス</v>
      </c>
      <c r="M4228" s="33">
        <f>IFERROR(__xludf.DUMMYFUNCTION("""COMPUTED_VALUE"""),46013.0)</f>
        <v>46013</v>
      </c>
      <c r="N4228" s="33">
        <f>IFERROR(__xludf.DUMMYFUNCTION("""COMPUTED_VALUE"""),46102.0)</f>
        <v>46102</v>
      </c>
      <c r="O4228" s="20"/>
      <c r="P4228" s="32" t="str">
        <f>IFERROR(__xludf.DUMMYFUNCTION("""COMPUTED_VALUE"""),"可")</f>
        <v>可</v>
      </c>
      <c r="Q4228" s="30" t="str">
        <f>IFERROR(__xludf.DUMMYFUNCTION("""COMPUTED_VALUE"""),"【アダルト作品扱い】&lt;BR&gt;同人ストア配信中、商業は初になります。&lt;BR&gt;素材は3分割して初回1~3話として配信します。")</f>
        <v>【アダルト作品扱い】&lt;BR&gt;同人ストア配信中、商業は初になります。&lt;BR&gt;素材は3分割して初回1~3話として配信します。</v>
      </c>
      <c r="R4228" s="22" t="str">
        <f>IFERROR(__xludf.DUMMYFUNCTION("""COMPUTED_VALUE"""),"コミットOK")</f>
        <v>コミットOK</v>
      </c>
      <c r="S4228" s="22" t="str">
        <f>IFERROR(__xludf.DUMMYFUNCTION("""COMPUTED_VALUE"""),"20251106_ガールスカウトコミックス_獣人世界で私はペット～発情管理をされています～")</f>
        <v>20251106_ガールスカウトコミックス_獣人世界で私はペット～発情管理をされています～</v>
      </c>
      <c r="T4228" s="22" t="str">
        <f>IFERROR(__xludf.DUMMYFUNCTION("""COMPUTED_VALUE"""),"格納済み")</f>
        <v>格納済み</v>
      </c>
      <c r="U4228" s="9" t="str">
        <f>IFERROR(__xludf.DUMMYFUNCTION("""COMPUTED_VALUE"""),"(C)ナナ汰吉／ガールスカウトコミックス")</f>
        <v>(C)ナナ汰吉／ガールスカウトコミックス</v>
      </c>
      <c r="V4228" s="8"/>
      <c r="W4228" s="8"/>
      <c r="X4228" s="8" t="str">
        <f>IFERROR(__xludf.DUMMYFUNCTION("""COMPUTED_VALUE"""),"有")</f>
        <v>有</v>
      </c>
      <c r="Y4228" s="8" t="str">
        <f>IFERROR(__xludf.DUMMYFUNCTION("""COMPUTED_VALUE"""),"P9まで")</f>
        <v>P9まで</v>
      </c>
      <c r="Z4228" s="7"/>
      <c r="AA4228" s="7"/>
      <c r="AB4228" s="7"/>
    </row>
    <row r="4229" ht="15.75" customHeight="1">
      <c r="A4229" s="26">
        <f>IFERROR(__xludf.DUMMYFUNCTION("""COMPUTED_VALUE"""),6592.0)</f>
        <v>6592</v>
      </c>
      <c r="B4229" s="22" t="str">
        <f>IFERROR(__xludf.DUMMYFUNCTION("""COMPUTED_VALUE"""),"確定")</f>
        <v>確定</v>
      </c>
      <c r="C4229" s="28">
        <f>IFERROR(__xludf.DUMMYFUNCTION("""COMPUTED_VALUE"""),45933.0)</f>
        <v>45933</v>
      </c>
      <c r="D4229" s="28">
        <f>IFERROR(__xludf.DUMMYFUNCTION("""COMPUTED_VALUE"""),45971.0)</f>
        <v>45971</v>
      </c>
      <c r="E4229" s="26">
        <f>IFERROR(__xludf.DUMMYFUNCTION("""COMPUTED_VALUE"""),345774.0)</f>
        <v>345774</v>
      </c>
      <c r="F4229" s="22" t="str">
        <f>IFERROR(__xludf.DUMMYFUNCTION("""COMPUTED_VALUE"""),"暗殺者は不死の魔女を殺したい【単話版】")</f>
        <v>暗殺者は不死の魔女を殺したい【単話版】</v>
      </c>
      <c r="G4229" s="20" t="str">
        <f>IFERROR(__xludf.DUMMYFUNCTION("""COMPUTED_VALUE"""),"1～3")</f>
        <v>1～3</v>
      </c>
      <c r="H4229" s="22" t="str">
        <f>IFERROR(__xludf.DUMMYFUNCTION("""COMPUTED_VALUE"""),"月結草/Mikura")</f>
        <v>月結草/Mikura</v>
      </c>
      <c r="I4229" s="22" t="str">
        <f>IFERROR(__xludf.DUMMYFUNCTION("""COMPUTED_VALUE"""),"少女")</f>
        <v>少女</v>
      </c>
      <c r="J4229" s="22"/>
      <c r="K4229" s="22"/>
      <c r="L4229" s="22" t="str">
        <f>IFERROR(__xludf.DUMMYFUNCTION("""COMPUTED_VALUE"""),"オーバーラップ")</f>
        <v>オーバーラップ</v>
      </c>
      <c r="M4229" s="33">
        <f>IFERROR(__xludf.DUMMYFUNCTION("""COMPUTED_VALUE"""),46001.0)</f>
        <v>46001</v>
      </c>
      <c r="N4229" s="33">
        <f>IFERROR(__xludf.DUMMYFUNCTION("""COMPUTED_VALUE"""),401768.0)</f>
        <v>401768</v>
      </c>
      <c r="O4229" s="20"/>
      <c r="P4229" s="32" t="str">
        <f>IFERROR(__xludf.DUMMYFUNCTION("""COMPUTED_VALUE"""),"可")</f>
        <v>可</v>
      </c>
      <c r="Q4229" s="30"/>
      <c r="R4229" s="22" t="str">
        <f>IFERROR(__xludf.DUMMYFUNCTION("""COMPUTED_VALUE"""),"コミットNG")</f>
        <v>コミットNG</v>
      </c>
      <c r="S4229" s="22" t="str">
        <f>IFERROR(__xludf.DUMMYFUNCTION("""COMPUTED_VALUE"""),"20251110_オーバーラップ_暗殺者は不死の魔女を殺したい")</f>
        <v>20251110_オーバーラップ_暗殺者は不死の魔女を殺したい</v>
      </c>
      <c r="T4229" s="22" t="str">
        <f>IFERROR(__xludf.DUMMYFUNCTION("""COMPUTED_VALUE"""),"格納済み")</f>
        <v>格納済み</v>
      </c>
      <c r="U4229" s="9" t="str">
        <f>IFERROR(__xludf.DUMMYFUNCTION("""COMPUTED_VALUE"""),"(c)月結草　(c)Mikura／オーバーラップ")</f>
        <v>(c)月結草　(c)Mikura／オーバーラップ</v>
      </c>
      <c r="V4229" s="8"/>
      <c r="W4229" s="8"/>
      <c r="X4229" s="8" t="str">
        <f>IFERROR(__xludf.DUMMYFUNCTION("""COMPUTED_VALUE"""),"有")</f>
        <v>有</v>
      </c>
      <c r="Y4229" s="8" t="str">
        <f>IFERROR(__xludf.DUMMYFUNCTION("""COMPUTED_VALUE"""),"2026/3/10まで1巻無料")</f>
        <v>2026/3/10まで1巻無料</v>
      </c>
      <c r="Z4229" s="7"/>
      <c r="AA4229" s="7"/>
      <c r="AB4229" s="7"/>
    </row>
    <row r="4230" ht="15.75" customHeight="1">
      <c r="A4230" s="26">
        <f>IFERROR(__xludf.DUMMYFUNCTION("""COMPUTED_VALUE"""),6601.0)</f>
        <v>6601</v>
      </c>
      <c r="B4230" s="22" t="str">
        <f>IFERROR(__xludf.DUMMYFUNCTION("""COMPUTED_VALUE"""),"確定")</f>
        <v>確定</v>
      </c>
      <c r="C4230" s="28">
        <f>IFERROR(__xludf.DUMMYFUNCTION("""COMPUTED_VALUE"""),45933.0)</f>
        <v>45933</v>
      </c>
      <c r="D4230" s="28">
        <f>IFERROR(__xludf.DUMMYFUNCTION("""COMPUTED_VALUE"""),45971.0)</f>
        <v>45971</v>
      </c>
      <c r="E4230" s="26">
        <f>IFERROR(__xludf.DUMMYFUNCTION("""COMPUTED_VALUE"""),342588.0)</f>
        <v>342588</v>
      </c>
      <c r="F4230" s="22" t="str">
        <f>IFERROR(__xludf.DUMMYFUNCTION("""COMPUTED_VALUE"""),"年下うさぎの添い寝セラピー※癒しエッチと食事付き？")</f>
        <v>年下うさぎの添い寝セラピー※癒しエッチと食事付き？</v>
      </c>
      <c r="G4230" s="20" t="str">
        <f>IFERROR(__xludf.DUMMYFUNCTION("""COMPUTED_VALUE"""),"1～3")</f>
        <v>1～3</v>
      </c>
      <c r="H4230" s="22" t="str">
        <f>IFERROR(__xludf.DUMMYFUNCTION("""COMPUTED_VALUE"""),"亜未子┴ズレット編集部")</f>
        <v>亜未子┴ズレット編集部</v>
      </c>
      <c r="I4230" s="22" t="str">
        <f>IFERROR(__xludf.DUMMYFUNCTION("""COMPUTED_VALUE"""),"TL")</f>
        <v>TL</v>
      </c>
      <c r="J4230" s="22"/>
      <c r="K4230" s="22" t="str">
        <f>IFERROR(__xludf.DUMMYFUNCTION("""COMPUTED_VALUE"""),"ズレット！")</f>
        <v>ズレット！</v>
      </c>
      <c r="L4230" s="22" t="str">
        <f>IFERROR(__xludf.DUMMYFUNCTION("""COMPUTED_VALUE"""),"ライブコミックス")</f>
        <v>ライブコミックス</v>
      </c>
      <c r="M4230" s="33">
        <f>IFERROR(__xludf.DUMMYFUNCTION("""COMPUTED_VALUE"""),45996.0)</f>
        <v>45996</v>
      </c>
      <c r="N4230" s="33">
        <f>IFERROR(__xludf.DUMMYFUNCTION("""COMPUTED_VALUE"""),46058.0)</f>
        <v>46058</v>
      </c>
      <c r="O4230" s="20"/>
      <c r="P4230" s="32" t="str">
        <f>IFERROR(__xludf.DUMMYFUNCTION("""COMPUTED_VALUE"""),"可")</f>
        <v>可</v>
      </c>
      <c r="Q4230" s="30" t="str">
        <f>IFERROR(__xludf.DUMMYFUNCTION("""COMPUTED_VALUE"""),"BookLiveとの2社先行です。")</f>
        <v>BookLiveとの2社先行です。</v>
      </c>
      <c r="R4230" s="22" t="str">
        <f>IFERROR(__xludf.DUMMYFUNCTION("""COMPUTED_VALUE"""),"コミットOK")</f>
        <v>コミットOK</v>
      </c>
      <c r="S4230" s="22" t="str">
        <f>IFERROR(__xludf.DUMMYFUNCTION("""COMPUTED_VALUE"""),"20251105_BookLive_年下うさぎの添い寝セラピー※癒しエッチと食事付き？")</f>
        <v>20251105_BookLive_年下うさぎの添い寝セラピー※癒しエッチと食事付き？</v>
      </c>
      <c r="T4230" s="22" t="str">
        <f>IFERROR(__xludf.DUMMYFUNCTION("""COMPUTED_VALUE"""),"格納済み")</f>
        <v>格納済み</v>
      </c>
      <c r="U4230" s="9" t="str">
        <f>IFERROR(__xludf.DUMMYFUNCTION("""COMPUTED_VALUE"""),"(c)亜未子/ライブコミックス")</f>
        <v>(c)亜未子/ライブコミックス</v>
      </c>
      <c r="V4230" s="8"/>
      <c r="W4230" s="8"/>
      <c r="X4230" s="8" t="str">
        <f>IFERROR(__xludf.DUMMYFUNCTION("""COMPUTED_VALUE"""),"有")</f>
        <v>有</v>
      </c>
      <c r="Y4230" s="8" t="str">
        <f>IFERROR(__xludf.DUMMYFUNCTION("""COMPUTED_VALUE"""),"2026/1/1まで1巻無料")</f>
        <v>2026/1/1まで1巻無料</v>
      </c>
      <c r="Z4230" s="7"/>
      <c r="AA4230" s="7"/>
      <c r="AB4230" s="7"/>
    </row>
    <row r="4231" ht="15.75" customHeight="1">
      <c r="A4231" s="26">
        <f>IFERROR(__xludf.DUMMYFUNCTION("""COMPUTED_VALUE"""),6609.0)</f>
        <v>6609</v>
      </c>
      <c r="B4231" s="22" t="str">
        <f>IFERROR(__xludf.DUMMYFUNCTION("""COMPUTED_VALUE"""),"確定")</f>
        <v>確定</v>
      </c>
      <c r="C4231" s="28">
        <f>IFERROR(__xludf.DUMMYFUNCTION("""COMPUTED_VALUE"""),45937.0)</f>
        <v>45937</v>
      </c>
      <c r="D4231" s="28">
        <f>IFERROR(__xludf.DUMMYFUNCTION("""COMPUTED_VALUE"""),45973.0)</f>
        <v>45973</v>
      </c>
      <c r="E4231" s="26">
        <f>IFERROR(__xludf.DUMMYFUNCTION("""COMPUTED_VALUE"""),343202.0)</f>
        <v>343202</v>
      </c>
      <c r="F4231" s="22" t="str">
        <f>IFERROR(__xludf.DUMMYFUNCTION("""COMPUTED_VALUE"""),"レイトブルームラブ")</f>
        <v>レイトブルームラブ</v>
      </c>
      <c r="G4231" s="20" t="str">
        <f>IFERROR(__xludf.DUMMYFUNCTION("""COMPUTED_VALUE"""),"1～2")</f>
        <v>1～2</v>
      </c>
      <c r="H4231" s="22" t="str">
        <f>IFERROR(__xludf.DUMMYFUNCTION("""COMPUTED_VALUE"""),"兄町あに")</f>
        <v>兄町あに</v>
      </c>
      <c r="I4231" s="22" t="str">
        <f>IFERROR(__xludf.DUMMYFUNCTION("""COMPUTED_VALUE"""),"BL")</f>
        <v>BL</v>
      </c>
      <c r="J4231" s="22"/>
      <c r="K4231" s="22" t="str">
        <f>IFERROR(__xludf.DUMMYFUNCTION("""COMPUTED_VALUE"""),"NuPu")</f>
        <v>NuPu</v>
      </c>
      <c r="L4231" s="22" t="str">
        <f>IFERROR(__xludf.DUMMYFUNCTION("""COMPUTED_VALUE"""),"CLLENN")</f>
        <v>CLLENN</v>
      </c>
      <c r="M4231" s="33">
        <f>IFERROR(__xludf.DUMMYFUNCTION("""COMPUTED_VALUE"""),46002.0)</f>
        <v>46002</v>
      </c>
      <c r="N4231" s="33">
        <f>IFERROR(__xludf.DUMMYFUNCTION("""COMPUTED_VALUE"""),46071.0)</f>
        <v>46071</v>
      </c>
      <c r="O4231" s="20"/>
      <c r="P4231" s="32" t="str">
        <f>IFERROR(__xludf.DUMMYFUNCTION("""COMPUTED_VALUE"""),"可")</f>
        <v>可</v>
      </c>
      <c r="Q4231" s="30" t="str">
        <f>IFERROR(__xludf.DUMMYFUNCTION("""COMPUTED_VALUE"""),"同人で人気の作家さんの商業デビュー作品です。&lt;BR&gt;好青年リーマン×恋に臆病なゲイの大人の初恋BL")</f>
        <v>同人で人気の作家さんの商業デビュー作品です。&lt;BR&gt;好青年リーマン×恋に臆病なゲイの大人の初恋BL</v>
      </c>
      <c r="R4231" s="22" t="str">
        <f>IFERROR(__xludf.DUMMYFUNCTION("""COMPUTED_VALUE"""),"コミットNG")</f>
        <v>コミットNG</v>
      </c>
      <c r="S4231" s="22" t="str">
        <f>IFERROR(__xludf.DUMMYFUNCTION("""COMPUTED_VALUE"""),"20251111_CLLENN_レイトブルームラブ")</f>
        <v>20251111_CLLENN_レイトブルームラブ</v>
      </c>
      <c r="T4231" s="22" t="str">
        <f>IFERROR(__xludf.DUMMYFUNCTION("""COMPUTED_VALUE"""),"格納済み")</f>
        <v>格納済み</v>
      </c>
      <c r="U4231" s="9" t="str">
        <f>IFERROR(__xludf.DUMMYFUNCTION("""COMPUTED_VALUE"""),"Ⓒ兄町あに/CLLENN")</f>
        <v>Ⓒ兄町あに/CLLENN</v>
      </c>
      <c r="V4231" s="8"/>
      <c r="W4231" s="8"/>
      <c r="X4231" s="8" t="str">
        <f>IFERROR(__xludf.DUMMYFUNCTION("""COMPUTED_VALUE"""),"有")</f>
        <v>有</v>
      </c>
      <c r="Y4231" s="8" t="str">
        <f>IFERROR(__xludf.DUMMYFUNCTION("""COMPUTED_VALUE"""),"2025/12/24まで1巻立ち読み増量(P18)")</f>
        <v>2025/12/24まで1巻立ち読み増量(P18)</v>
      </c>
      <c r="Z4231" s="7"/>
      <c r="AA4231" s="7"/>
      <c r="AB4231" s="7"/>
    </row>
    <row r="4232" ht="15.75" customHeight="1">
      <c r="A4232" s="26">
        <f>IFERROR(__xludf.DUMMYFUNCTION("""COMPUTED_VALUE"""),6630.0)</f>
        <v>6630</v>
      </c>
      <c r="B4232" s="22" t="str">
        <f>IFERROR(__xludf.DUMMYFUNCTION("""COMPUTED_VALUE"""),"確定")</f>
        <v>確定</v>
      </c>
      <c r="C4232" s="28">
        <f>IFERROR(__xludf.DUMMYFUNCTION("""COMPUTED_VALUE"""),45940.0)</f>
        <v>45940</v>
      </c>
      <c r="D4232" s="28">
        <f>IFERROR(__xludf.DUMMYFUNCTION("""COMPUTED_VALUE"""),45967.0)</f>
        <v>45967</v>
      </c>
      <c r="E4232" s="26">
        <f>IFERROR(__xludf.DUMMYFUNCTION("""COMPUTED_VALUE"""),342454.0)</f>
        <v>342454</v>
      </c>
      <c r="F4232" s="22" t="str">
        <f>IFERROR(__xludf.DUMMYFUNCTION("""COMPUTED_VALUE"""),"千日後に離縁します～灰被りの聖女は恋をまだ知らない～")</f>
        <v>千日後に離縁します～灰被りの聖女は恋をまだ知らない～</v>
      </c>
      <c r="G4232" s="20" t="str">
        <f>IFERROR(__xludf.DUMMYFUNCTION("""COMPUTED_VALUE"""),"1～13")</f>
        <v>1～13</v>
      </c>
      <c r="H4232" s="22" t="str">
        <f>IFERROR(__xludf.DUMMYFUNCTION("""COMPUTED_VALUE"""),"賽目和七┴ぴよex┴おじょろ┴C-Route Studio┴グルナ編集部")</f>
        <v>賽目和七┴ぴよex┴おじょろ┴C-Route Studio┴グルナ編集部</v>
      </c>
      <c r="I4232" s="22" t="str">
        <f>IFERROR(__xludf.DUMMYFUNCTION("""COMPUTED_VALUE"""),"女性")</f>
        <v>女性</v>
      </c>
      <c r="J4232" s="22"/>
      <c r="K4232" s="22" t="str">
        <f>IFERROR(__xludf.DUMMYFUNCTION("""COMPUTED_VALUE"""),"COMICエトワール")</f>
        <v>COMICエトワール</v>
      </c>
      <c r="L4232" s="22" t="str">
        <f>IFERROR(__xludf.DUMMYFUNCTION("""COMPUTED_VALUE"""),"ライブコミックス")</f>
        <v>ライブコミックス</v>
      </c>
      <c r="M4232" s="33">
        <f>IFERROR(__xludf.DUMMYFUNCTION("""COMPUTED_VALUE"""),45989.0)</f>
        <v>45989</v>
      </c>
      <c r="N4232" s="33">
        <f>IFERROR(__xludf.DUMMYFUNCTION("""COMPUTED_VALUE"""),46044.0)</f>
        <v>46044</v>
      </c>
      <c r="O4232" s="20"/>
      <c r="P4232" s="32" t="str">
        <f>IFERROR(__xludf.DUMMYFUNCTION("""COMPUTED_VALUE"""),"可")</f>
        <v>可</v>
      </c>
      <c r="Q4232" s="30"/>
      <c r="R4232" s="22" t="str">
        <f>IFERROR(__xludf.DUMMYFUNCTION("""COMPUTED_VALUE"""),"コミットOK")</f>
        <v>コミットOK</v>
      </c>
      <c r="S4232" s="22" t="str">
        <f>IFERROR(__xludf.DUMMYFUNCTION("""COMPUTED_VALUE"""),"20251128_BookLive_千日後に離縁します～灰被りの聖女は恋をまだ知らない～")</f>
        <v>20251128_BookLive_千日後に離縁します～灰被りの聖女は恋をまだ知らない～</v>
      </c>
      <c r="T4232" s="22" t="str">
        <f>IFERROR(__xludf.DUMMYFUNCTION("""COMPUTED_VALUE"""),"格納済み")</f>
        <v>格納済み</v>
      </c>
      <c r="U4232" s="9" t="str">
        <f>IFERROR(__xludf.DUMMYFUNCTION("""COMPUTED_VALUE"""),"(C)賽目和七・ぴよex・おじょろ/ライブコミックス")</f>
        <v>(C)賽目和七・ぴよex・おじょろ/ライブコミックス</v>
      </c>
      <c r="V4232" s="8"/>
      <c r="W4232" s="8"/>
      <c r="X4232" s="8" t="str">
        <f>IFERROR(__xludf.DUMMYFUNCTION("""COMPUTED_VALUE"""),"有")</f>
        <v>有</v>
      </c>
      <c r="Y4232" s="8" t="str">
        <f>IFERROR(__xludf.DUMMYFUNCTION("""COMPUTED_VALUE"""),"2026/1/22まで1~4巻無料")</f>
        <v>2026/1/22まで1~4巻無料</v>
      </c>
      <c r="Z4232" s="7"/>
      <c r="AA4232" s="7"/>
      <c r="AB4232" s="7"/>
    </row>
    <row r="4233" ht="15.75" customHeight="1">
      <c r="A4233" s="26">
        <f>IFERROR(__xludf.DUMMYFUNCTION("""COMPUTED_VALUE"""),6632.0)</f>
        <v>6632</v>
      </c>
      <c r="B4233" s="22" t="str">
        <f>IFERROR(__xludf.DUMMYFUNCTION("""COMPUTED_VALUE"""),"確定")</f>
        <v>確定</v>
      </c>
      <c r="C4233" s="28">
        <f>IFERROR(__xludf.DUMMYFUNCTION("""COMPUTED_VALUE"""),45940.0)</f>
        <v>45940</v>
      </c>
      <c r="D4233" s="28">
        <f>IFERROR(__xludf.DUMMYFUNCTION("""COMPUTED_VALUE"""),45972.0)</f>
        <v>45972</v>
      </c>
      <c r="E4233" s="26">
        <f>IFERROR(__xludf.DUMMYFUNCTION("""COMPUTED_VALUE"""),334806.0)</f>
        <v>334806</v>
      </c>
      <c r="F4233" s="22" t="str">
        <f>IFERROR(__xludf.DUMMYFUNCTION("""COMPUTED_VALUE"""),"引退したおっさん冒険者、再雇用で最強ギルドマスターになってしまう")</f>
        <v>引退したおっさん冒険者、再雇用で最強ギルドマスターになってしまう</v>
      </c>
      <c r="G4233" s="20" t="str">
        <f>IFERROR(__xludf.DUMMYFUNCTION("""COMPUTED_VALUE"""),"1～29")</f>
        <v>1～29</v>
      </c>
      <c r="H4233" s="22" t="str">
        <f>IFERROR(__xludf.DUMMYFUNCTION("""COMPUTED_VALUE"""),"kimimaro┴高島正嗣┴アンブル編集部")</f>
        <v>kimimaro┴高島正嗣┴アンブル編集部</v>
      </c>
      <c r="I4233" s="22" t="str">
        <f>IFERROR(__xludf.DUMMYFUNCTION("""COMPUTED_VALUE"""),"青年")</f>
        <v>青年</v>
      </c>
      <c r="J4233" s="22"/>
      <c r="K4233" s="22" t="str">
        <f>IFERROR(__xludf.DUMMYFUNCTION("""COMPUTED_VALUE"""),"COMICアンブル")</f>
        <v>COMICアンブル</v>
      </c>
      <c r="L4233" s="22" t="str">
        <f>IFERROR(__xludf.DUMMYFUNCTION("""COMPUTED_VALUE"""),"ライブコミックス")</f>
        <v>ライブコミックス</v>
      </c>
      <c r="M4233" s="33">
        <f>IFERROR(__xludf.DUMMYFUNCTION("""COMPUTED_VALUE"""),46003.0)</f>
        <v>46003</v>
      </c>
      <c r="N4233" s="33">
        <f>IFERROR(__xludf.DUMMYFUNCTION("""COMPUTED_VALUE"""),46093.0)</f>
        <v>46093</v>
      </c>
      <c r="O4233" s="20"/>
      <c r="P4233" s="32" t="str">
        <f>IFERROR(__xludf.DUMMYFUNCTION("""COMPUTED_VALUE"""),"可")</f>
        <v>可</v>
      </c>
      <c r="Q4233" s="30" t="str">
        <f>IFERROR(__xludf.DUMMYFUNCTION("""COMPUTED_VALUE"""),"・クリエイティブは1-28巻で作成お願いいたします。&lt;BR&gt;・BookLiveで24年9月に配信済みタイトルの二次先行配信です。&lt;BR&gt;&lt;BR&gt;")</f>
        <v>・クリエイティブは1-28巻で作成お願いいたします。&lt;BR&gt;・BookLiveで24年9月に配信済みタイトルの二次先行配信です。&lt;BR&gt;&lt;BR&gt;</v>
      </c>
      <c r="R4233" s="22" t="str">
        <f>IFERROR(__xludf.DUMMYFUNCTION("""COMPUTED_VALUE"""),"コミットOK")</f>
        <v>コミットOK</v>
      </c>
      <c r="S4233" s="22" t="str">
        <f>IFERROR(__xludf.DUMMYFUNCTION("""COMPUTED_VALUE"""),"20251111_BookLive_引退したおっさん冒険者、再雇用で最強ギルドマスターになってしまう")</f>
        <v>20251111_BookLive_引退したおっさん冒険者、再雇用で最強ギルドマスターになってしまう</v>
      </c>
      <c r="T4233" s="22" t="str">
        <f>IFERROR(__xludf.DUMMYFUNCTION("""COMPUTED_VALUE"""),"格納済み")</f>
        <v>格納済み</v>
      </c>
      <c r="U4233" s="9" t="str">
        <f>IFERROR(__xludf.DUMMYFUNCTION("""COMPUTED_VALUE"""),"(C)kimimaro・高島正嗣/ライブコミックス")</f>
        <v>(C)kimimaro・高島正嗣/ライブコミックス</v>
      </c>
      <c r="V4233" s="8"/>
      <c r="W4233" s="8"/>
      <c r="X4233" s="8" t="str">
        <f>IFERROR(__xludf.DUMMYFUNCTION("""COMPUTED_VALUE"""),"有")</f>
        <v>有</v>
      </c>
      <c r="Y4233" s="8" t="str">
        <f>IFERROR(__xludf.DUMMYFUNCTION("""COMPUTED_VALUE"""),"2025/12/25まで1~8巻無料")</f>
        <v>2025/12/25まで1~8巻無料</v>
      </c>
      <c r="Z4233" s="7"/>
      <c r="AA4233" s="7"/>
      <c r="AB4233" s="7"/>
    </row>
    <row r="4234" ht="15.75" customHeight="1">
      <c r="A4234" s="26">
        <f>IFERROR(__xludf.DUMMYFUNCTION("""COMPUTED_VALUE"""),6634.0)</f>
        <v>6634</v>
      </c>
      <c r="B4234" s="22" t="str">
        <f>IFERROR(__xludf.DUMMYFUNCTION("""COMPUTED_VALUE"""),"確定")</f>
        <v>確定</v>
      </c>
      <c r="C4234" s="28">
        <f>IFERROR(__xludf.DUMMYFUNCTION("""COMPUTED_VALUE"""),45940.0)</f>
        <v>45940</v>
      </c>
      <c r="D4234" s="28">
        <f>IFERROR(__xludf.DUMMYFUNCTION("""COMPUTED_VALUE"""),45972.0)</f>
        <v>45972</v>
      </c>
      <c r="E4234" s="26">
        <f>IFERROR(__xludf.DUMMYFUNCTION("""COMPUTED_VALUE"""),342933.0)</f>
        <v>342933</v>
      </c>
      <c r="F4234" s="22" t="str">
        <f>IFERROR(__xludf.DUMMYFUNCTION("""COMPUTED_VALUE"""),"おかえりハネムーン")</f>
        <v>おかえりハネムーン</v>
      </c>
      <c r="G4234" s="20" t="str">
        <f>IFERROR(__xludf.DUMMYFUNCTION("""COMPUTED_VALUE"""),"1～6")</f>
        <v>1～6</v>
      </c>
      <c r="H4234" s="22" t="str">
        <f>IFERROR(__xludf.DUMMYFUNCTION("""COMPUTED_VALUE"""),"みくろ陶")</f>
        <v>みくろ陶</v>
      </c>
      <c r="I4234" s="22" t="str">
        <f>IFERROR(__xludf.DUMMYFUNCTION("""COMPUTED_VALUE"""),"青年マンガ")</f>
        <v>青年マンガ</v>
      </c>
      <c r="J4234" s="22"/>
      <c r="K4234" s="22"/>
      <c r="L4234" s="22" t="str">
        <f>IFERROR(__xludf.DUMMYFUNCTION("""COMPUTED_VALUE"""),"アイプロダクション")</f>
        <v>アイプロダクション</v>
      </c>
      <c r="M4234" s="33">
        <f>IFERROR(__xludf.DUMMYFUNCTION("""COMPUTED_VALUE"""),45998.0)</f>
        <v>45998</v>
      </c>
      <c r="N4234" s="33">
        <f>IFERROR(__xludf.DUMMYFUNCTION("""COMPUTED_VALUE"""),46059.0)</f>
        <v>46059</v>
      </c>
      <c r="O4234" s="20"/>
      <c r="P4234" s="32" t="str">
        <f>IFERROR(__xludf.DUMMYFUNCTION("""COMPUTED_VALUE"""),"可")</f>
        <v>可</v>
      </c>
      <c r="Q4234" s="30" t="str">
        <f>IFERROR(__xludf.DUMMYFUNCTION("""COMPUTED_VALUE"""),"※著者他作品：https://www.cmoa.jp/search/author/162939/&lt;BR&gt;　（商業は初の作家となります。）")</f>
        <v>※著者他作品：https://www.cmoa.jp/search/author/162939/&lt;BR&gt;　（商業は初の作家となります。）</v>
      </c>
      <c r="R4234" s="22" t="str">
        <f>IFERROR(__xludf.DUMMYFUNCTION("""COMPUTED_VALUE"""),"コミットOK")</f>
        <v>コミットOK</v>
      </c>
      <c r="S4234" s="22" t="str">
        <f>IFERROR(__xludf.DUMMYFUNCTION("""COMPUTED_VALUE"""),"20251106_アイプロダクション_さよならハネムーン")</f>
        <v>20251106_アイプロダクション_さよならハネムーン</v>
      </c>
      <c r="T4234" s="22" t="str">
        <f>IFERROR(__xludf.DUMMYFUNCTION("""COMPUTED_VALUE"""),"格納済み")</f>
        <v>格納済み</v>
      </c>
      <c r="U4234" s="9" t="str">
        <f>IFERROR(__xludf.DUMMYFUNCTION("""COMPUTED_VALUE"""),"Ⓒみくろ陶/アイプロダクション")</f>
        <v>Ⓒみくろ陶/アイプロダクション</v>
      </c>
      <c r="V4234" s="8"/>
      <c r="W4234" s="8"/>
      <c r="X4234" s="8" t="str">
        <f>IFERROR(__xludf.DUMMYFUNCTION("""COMPUTED_VALUE"""),"有")</f>
        <v>有</v>
      </c>
      <c r="Y4234" s="8" t="str">
        <f>IFERROR(__xludf.DUMMYFUNCTION("""COMPUTED_VALUE"""),"2026/2/6まで1~2巻無料")</f>
        <v>2026/2/6まで1~2巻無料</v>
      </c>
      <c r="Z4234" s="7"/>
      <c r="AA4234" s="7"/>
      <c r="AB4234" s="7"/>
    </row>
    <row r="4235" ht="15.75" customHeight="1">
      <c r="A4235" s="26">
        <f>IFERROR(__xludf.DUMMYFUNCTION("""COMPUTED_VALUE"""),6636.0)</f>
        <v>6636</v>
      </c>
      <c r="B4235" s="22" t="str">
        <f>IFERROR(__xludf.DUMMYFUNCTION("""COMPUTED_VALUE"""),"確定")</f>
        <v>確定</v>
      </c>
      <c r="C4235" s="28">
        <f>IFERROR(__xludf.DUMMYFUNCTION("""COMPUTED_VALUE"""),45944.0)</f>
        <v>45944</v>
      </c>
      <c r="D4235" s="28">
        <f>IFERROR(__xludf.DUMMYFUNCTION("""COMPUTED_VALUE"""),45971.0)</f>
        <v>45971</v>
      </c>
      <c r="E4235" s="26">
        <f>IFERROR(__xludf.DUMMYFUNCTION("""COMPUTED_VALUE"""),343669.0)</f>
        <v>343669</v>
      </c>
      <c r="F4235" s="22" t="str">
        <f>IFERROR(__xludf.DUMMYFUNCTION("""COMPUTED_VALUE"""),"正しい恋じゃないって、知ってるよ")</f>
        <v>正しい恋じゃないって、知ってるよ</v>
      </c>
      <c r="G4235" s="20" t="str">
        <f>IFERROR(__xludf.DUMMYFUNCTION("""COMPUTED_VALUE"""),"1～5")</f>
        <v>1～5</v>
      </c>
      <c r="H4235" s="22" t="str">
        <f>IFERROR(__xludf.DUMMYFUNCTION("""COMPUTED_VALUE"""),"あめみくろ")</f>
        <v>あめみくろ</v>
      </c>
      <c r="I4235" s="22" t="str">
        <f>IFERROR(__xludf.DUMMYFUNCTION("""COMPUTED_VALUE"""),"女性")</f>
        <v>女性</v>
      </c>
      <c r="J4235" s="22"/>
      <c r="K4235" s="22"/>
      <c r="L4235" s="22" t="str">
        <f>IFERROR(__xludf.DUMMYFUNCTION("""COMPUTED_VALUE"""),"1LDK")</f>
        <v>1LDK</v>
      </c>
      <c r="M4235" s="33">
        <f>IFERROR(__xludf.DUMMYFUNCTION("""COMPUTED_VALUE"""),46010.0)</f>
        <v>46010</v>
      </c>
      <c r="N4235" s="33">
        <f>IFERROR(__xludf.DUMMYFUNCTION("""COMPUTED_VALUE"""),46131.66666666667)</f>
        <v>46131.66667</v>
      </c>
      <c r="O4235" s="20"/>
      <c r="P4235" s="32" t="str">
        <f>IFERROR(__xludf.DUMMYFUNCTION("""COMPUTED_VALUE"""),"可")</f>
        <v>可</v>
      </c>
      <c r="Q4235" s="30"/>
      <c r="R4235" s="22"/>
      <c r="S4235" s="22" t="str">
        <f>IFERROR(__xludf.DUMMYFUNCTION("""COMPUTED_VALUE"""),"20251106_1LDK_正しい恋じゃないって、知ってるよ")</f>
        <v>20251106_1LDK_正しい恋じゃないって、知ってるよ</v>
      </c>
      <c r="T4235" s="22" t="str">
        <f>IFERROR(__xludf.DUMMYFUNCTION("""COMPUTED_VALUE"""),"格納済み")</f>
        <v>格納済み</v>
      </c>
      <c r="U4235" s="9" t="str">
        <f>IFERROR(__xludf.DUMMYFUNCTION("""COMPUTED_VALUE"""),"Ⓒ️あめみくろ／1LDK")</f>
        <v>Ⓒ️あめみくろ／1LDK</v>
      </c>
      <c r="V4235" s="8"/>
      <c r="W4235" s="8"/>
      <c r="X4235" s="8" t="str">
        <f>IFERROR(__xludf.DUMMYFUNCTION("""COMPUTED_VALUE"""),"有")</f>
        <v>有</v>
      </c>
      <c r="Y4235" s="8" t="str">
        <f>IFERROR(__xludf.DUMMYFUNCTION("""COMPUTED_VALUE"""),"2026/1/18まで1巻無料")</f>
        <v>2026/1/18まで1巻無料</v>
      </c>
      <c r="Z4235" s="7"/>
      <c r="AA4235" s="7"/>
      <c r="AB4235" s="7"/>
    </row>
    <row r="4236" ht="15.75" customHeight="1">
      <c r="A4236" s="26">
        <f>IFERROR(__xludf.DUMMYFUNCTION("""COMPUTED_VALUE"""),6644.0)</f>
        <v>6644</v>
      </c>
      <c r="B4236" s="22" t="str">
        <f>IFERROR(__xludf.DUMMYFUNCTION("""COMPUTED_VALUE"""),"確定")</f>
        <v>確定</v>
      </c>
      <c r="C4236" s="28">
        <f>IFERROR(__xludf.DUMMYFUNCTION("""COMPUTED_VALUE"""),45944.0)</f>
        <v>45944</v>
      </c>
      <c r="D4236" s="28">
        <f>IFERROR(__xludf.DUMMYFUNCTION("""COMPUTED_VALUE"""),45972.0)</f>
        <v>45972</v>
      </c>
      <c r="E4236" s="26">
        <f>IFERROR(__xludf.DUMMYFUNCTION("""COMPUTED_VALUE"""),344844.0)</f>
        <v>344844</v>
      </c>
      <c r="F4236" s="22" t="str">
        <f>IFERROR(__xludf.DUMMYFUNCTION("""COMPUTED_VALUE"""),"愛したがりな犬系年下幼馴染との甘い約束《Lovelicot》")</f>
        <v>愛したがりな犬系年下幼馴染との甘い約束《Lovelicot》</v>
      </c>
      <c r="G4236" s="20" t="str">
        <f>IFERROR(__xludf.DUMMYFUNCTION("""COMPUTED_VALUE"""),"1～3")</f>
        <v>1～3</v>
      </c>
      <c r="H4236" s="22" t="str">
        <f>IFERROR(__xludf.DUMMYFUNCTION("""COMPUTED_VALUE"""),"辻涼")</f>
        <v>辻涼</v>
      </c>
      <c r="I4236" s="22" t="str">
        <f>IFERROR(__xludf.DUMMYFUNCTION("""COMPUTED_VALUE"""),"TL")</f>
        <v>TL</v>
      </c>
      <c r="J4236" s="22"/>
      <c r="K4236" s="22" t="str">
        <f>IFERROR(__xludf.DUMMYFUNCTION("""COMPUTED_VALUE"""),"Lovelicot")</f>
        <v>Lovelicot</v>
      </c>
      <c r="L4236" s="22" t="str">
        <f>IFERROR(__xludf.DUMMYFUNCTION("""COMPUTED_VALUE"""),"ガールスカウトコミックス")</f>
        <v>ガールスカウトコミックス</v>
      </c>
      <c r="M4236" s="33">
        <f>IFERROR(__xludf.DUMMYFUNCTION("""COMPUTED_VALUE"""),46027.0)</f>
        <v>46027</v>
      </c>
      <c r="N4236" s="33">
        <f>IFERROR(__xludf.DUMMYFUNCTION("""COMPUTED_VALUE"""),46116.0)</f>
        <v>46116</v>
      </c>
      <c r="O4236" s="20"/>
      <c r="P4236" s="32" t="str">
        <f>IFERROR(__xludf.DUMMYFUNCTION("""COMPUTED_VALUE"""),"可")</f>
        <v>可</v>
      </c>
      <c r="Q4236" s="30"/>
      <c r="R4236" s="22" t="str">
        <f>IFERROR(__xludf.DUMMYFUNCTION("""COMPUTED_VALUE"""),"コミットOK")</f>
        <v>コミットOK</v>
      </c>
      <c r="S4236" s="22" t="str">
        <f>IFERROR(__xludf.DUMMYFUNCTION("""COMPUTED_VALUE"""),"20251106_ガールスカウトコミックス_愛したがりな犬系年下幼馴染との甘い約束")</f>
        <v>20251106_ガールスカウトコミックス_愛したがりな犬系年下幼馴染との甘い約束</v>
      </c>
      <c r="T4236" s="22" t="str">
        <f>IFERROR(__xludf.DUMMYFUNCTION("""COMPUTED_VALUE"""),"格納済み")</f>
        <v>格納済み</v>
      </c>
      <c r="U4236" s="9" t="str">
        <f>IFERROR(__xludf.DUMMYFUNCTION("""COMPUTED_VALUE"""),"(C)辻涼／ガールスカウトコミックス")</f>
        <v>(C)辻涼／ガールスカウトコミックス</v>
      </c>
      <c r="V4236" s="8"/>
      <c r="W4236" s="8"/>
      <c r="X4236" s="8" t="str">
        <f>IFERROR(__xludf.DUMMYFUNCTION("""COMPUTED_VALUE"""),"有")</f>
        <v>有</v>
      </c>
      <c r="Y4236" s="8" t="str">
        <f>IFERROR(__xludf.DUMMYFUNCTION("""COMPUTED_VALUE"""),"P14まで")</f>
        <v>P14まで</v>
      </c>
      <c r="Z4236" s="7"/>
      <c r="AA4236" s="7"/>
      <c r="AB4236" s="7"/>
    </row>
    <row r="4237" ht="15.75" customHeight="1">
      <c r="A4237" s="26">
        <f>IFERROR(__xludf.DUMMYFUNCTION("""COMPUTED_VALUE"""),6653.0)</f>
        <v>6653</v>
      </c>
      <c r="B4237" s="22" t="str">
        <f>IFERROR(__xludf.DUMMYFUNCTION("""COMPUTED_VALUE"""),"確定")</f>
        <v>確定</v>
      </c>
      <c r="C4237" s="28">
        <f>IFERROR(__xludf.DUMMYFUNCTION("""COMPUTED_VALUE"""),45944.0)</f>
        <v>45944</v>
      </c>
      <c r="D4237" s="28">
        <f>IFERROR(__xludf.DUMMYFUNCTION("""COMPUTED_VALUE"""),45971.0)</f>
        <v>45971</v>
      </c>
      <c r="E4237" s="26">
        <f>IFERROR(__xludf.DUMMYFUNCTION("""COMPUTED_VALUE"""),342359.0)</f>
        <v>342359</v>
      </c>
      <c r="F4237" s="22" t="str">
        <f>IFERROR(__xludf.DUMMYFUNCTION("""COMPUTED_VALUE"""),"結婚が破談になったら、課長と子作りすることになりました！？【短編】")</f>
        <v>結婚が破談になったら、課長と子作りすることになりました！？【短編】</v>
      </c>
      <c r="G4237" s="20" t="str">
        <f>IFERROR(__xludf.DUMMYFUNCTION("""COMPUTED_VALUE"""),"1～3")</f>
        <v>1～3</v>
      </c>
      <c r="H4237" s="22" t="str">
        <f>IFERROR(__xludf.DUMMYFUNCTION("""COMPUTED_VALUE"""),"青砥あか先生原作作品、柚稀ミツ先生漫画")</f>
        <v>青砥あか先生原作作品、柚稀ミツ先生漫画</v>
      </c>
      <c r="I4237" s="22" t="str">
        <f>IFERROR(__xludf.DUMMYFUNCTION("""COMPUTED_VALUE"""),"女性")</f>
        <v>女性</v>
      </c>
      <c r="J4237" s="22"/>
      <c r="K4237" s="22"/>
      <c r="L4237" s="22" t="str">
        <f>IFERROR(__xludf.DUMMYFUNCTION("""COMPUTED_VALUE"""),"竹書房")</f>
        <v>竹書房</v>
      </c>
      <c r="M4237" s="33">
        <f>IFERROR(__xludf.DUMMYFUNCTION("""COMPUTED_VALUE"""),45994.0)</f>
        <v>45994</v>
      </c>
      <c r="N4237" s="33">
        <f>IFERROR(__xludf.DUMMYFUNCTION("""COMPUTED_VALUE"""),46081.0)</f>
        <v>46081</v>
      </c>
      <c r="O4237" s="20"/>
      <c r="P4237" s="32" t="str">
        <f>IFERROR(__xludf.DUMMYFUNCTION("""COMPUTED_VALUE"""),"可")</f>
        <v>可</v>
      </c>
      <c r="Q4237" s="30" t="str">
        <f>IFERROR(__xludf.DUMMYFUNCTION("""COMPUTED_VALUE"""),"・12月に創立する新レーベル(飴猫レーベル）の初回配信タイトルです。&lt;BR&gt;")</f>
        <v>・12月に創立する新レーベル(飴猫レーベル）の初回配信タイトルです。&lt;BR&gt;</v>
      </c>
      <c r="R4237" s="22" t="str">
        <f>IFERROR(__xludf.DUMMYFUNCTION("""COMPUTED_VALUE"""),"コミットNG")</f>
        <v>コミットNG</v>
      </c>
      <c r="S4237" s="22" t="str">
        <f>IFERROR(__xludf.DUMMYFUNCTION("""COMPUTED_VALUE"""),"20251105_竹書房_結婚が破談になったら、課長と子作りすることになりました！？")</f>
        <v>20251105_竹書房_結婚が破談になったら、課長と子作りすることになりました！？</v>
      </c>
      <c r="T4237" s="22" t="str">
        <f>IFERROR(__xludf.DUMMYFUNCTION("""COMPUTED_VALUE"""),"格納済み")</f>
        <v>格納済み</v>
      </c>
      <c r="U4237" s="9" t="str">
        <f>IFERROR(__xludf.DUMMYFUNCTION("""COMPUTED_VALUE"""),"青砥あか・柚稀ミツ／竹書房")</f>
        <v>青砥あか・柚稀ミツ／竹書房</v>
      </c>
      <c r="V4237" s="8"/>
      <c r="W4237" s="8"/>
      <c r="X4237" s="8" t="str">
        <f>IFERROR(__xludf.DUMMYFUNCTION("""COMPUTED_VALUE"""),"有")</f>
        <v>有</v>
      </c>
      <c r="Y4237" s="8" t="str">
        <f>IFERROR(__xludf.DUMMYFUNCTION("""COMPUTED_VALUE"""),"2025/12/31まで1巻無料")</f>
        <v>2025/12/31まで1巻無料</v>
      </c>
      <c r="Z4237" s="7"/>
      <c r="AA4237" s="7"/>
      <c r="AB4237" s="7"/>
    </row>
    <row r="4238" ht="15.75" customHeight="1">
      <c r="A4238" s="26">
        <f>IFERROR(__xludf.DUMMYFUNCTION("""COMPUTED_VALUE"""),6664.0)</f>
        <v>6664</v>
      </c>
      <c r="B4238" s="22" t="str">
        <f>IFERROR(__xludf.DUMMYFUNCTION("""COMPUTED_VALUE"""),"確定")</f>
        <v>確定</v>
      </c>
      <c r="C4238" s="28">
        <f>IFERROR(__xludf.DUMMYFUNCTION("""COMPUTED_VALUE"""),45946.0)</f>
        <v>45946</v>
      </c>
      <c r="D4238" s="28">
        <f>IFERROR(__xludf.DUMMYFUNCTION("""COMPUTED_VALUE"""),45968.0)</f>
        <v>45968</v>
      </c>
      <c r="E4238" s="26">
        <f>IFERROR(__xludf.DUMMYFUNCTION("""COMPUTED_VALUE"""),342721.0)</f>
        <v>342721</v>
      </c>
      <c r="F4238" s="22" t="str">
        <f>IFERROR(__xludf.DUMMYFUNCTION("""COMPUTED_VALUE"""),"凡人山田の嘘と恋の魔法")</f>
        <v>凡人山田の嘘と恋の魔法</v>
      </c>
      <c r="G4238" s="20" t="str">
        <f>IFERROR(__xludf.DUMMYFUNCTION("""COMPUTED_VALUE"""),"1～4")</f>
        <v>1～4</v>
      </c>
      <c r="H4238" s="22" t="str">
        <f>IFERROR(__xludf.DUMMYFUNCTION("""COMPUTED_VALUE"""),"ままかり")</f>
        <v>ままかり</v>
      </c>
      <c r="I4238" s="22" t="str">
        <f>IFERROR(__xludf.DUMMYFUNCTION("""COMPUTED_VALUE"""),"少女")</f>
        <v>少女</v>
      </c>
      <c r="J4238" s="22"/>
      <c r="K4238" s="22"/>
      <c r="L4238" s="22" t="str">
        <f>IFERROR(__xludf.DUMMYFUNCTION("""COMPUTED_VALUE"""),"アイエムエー")</f>
        <v>アイエムエー</v>
      </c>
      <c r="M4238" s="33">
        <f>IFERROR(__xludf.DUMMYFUNCTION("""COMPUTED_VALUE"""),45992.0)</f>
        <v>45992</v>
      </c>
      <c r="N4238" s="33">
        <f>IFERROR(__xludf.DUMMYFUNCTION("""COMPUTED_VALUE"""),46081.0)</f>
        <v>46081</v>
      </c>
      <c r="O4238" s="20"/>
      <c r="P4238" s="32" t="str">
        <f>IFERROR(__xludf.DUMMYFUNCTION("""COMPUTED_VALUE"""),"可")</f>
        <v>可</v>
      </c>
      <c r="Q4238" s="30"/>
      <c r="R4238" s="22" t="str">
        <f>IFERROR(__xludf.DUMMYFUNCTION("""COMPUTED_VALUE"""),"コミットNG")</f>
        <v>コミットNG</v>
      </c>
      <c r="S4238" s="22" t="str">
        <f>IFERROR(__xludf.DUMMYFUNCTION("""COMPUTED_VALUE"""),"20251105_アイエムエー_凡人山田の嘘と恋の魔法")</f>
        <v>20251105_アイエムエー_凡人山田の嘘と恋の魔法</v>
      </c>
      <c r="T4238" s="22" t="str">
        <f>IFERROR(__xludf.DUMMYFUNCTION("""COMPUTED_VALUE"""),"格納済み")</f>
        <v>格納済み</v>
      </c>
      <c r="U4238" s="9" t="str">
        <f>IFERROR(__xludf.DUMMYFUNCTION("""COMPUTED_VALUE"""),"ままかり／IMA")</f>
        <v>ままかり／IMA</v>
      </c>
      <c r="V4238" s="8"/>
      <c r="W4238" s="8"/>
      <c r="X4238" s="8" t="str">
        <f>IFERROR(__xludf.DUMMYFUNCTION("""COMPUTED_VALUE"""),"有")</f>
        <v>有</v>
      </c>
      <c r="Y4238" s="8" t="str">
        <f>IFERROR(__xludf.DUMMYFUNCTION("""COMPUTED_VALUE"""),"2025/12/31まで1巻無料")</f>
        <v>2025/12/31まで1巻無料</v>
      </c>
      <c r="Z4238" s="7"/>
      <c r="AA4238" s="7"/>
      <c r="AB4238" s="7"/>
    </row>
    <row r="4239" ht="15.75" customHeight="1">
      <c r="A4239" s="26">
        <f>IFERROR(__xludf.DUMMYFUNCTION("""COMPUTED_VALUE"""),6696.0)</f>
        <v>6696</v>
      </c>
      <c r="B4239" s="22" t="str">
        <f>IFERROR(__xludf.DUMMYFUNCTION("""COMPUTED_VALUE"""),"確定")</f>
        <v>確定</v>
      </c>
      <c r="C4239" s="28">
        <f>IFERROR(__xludf.DUMMYFUNCTION("""COMPUTED_VALUE"""),45950.0)</f>
        <v>45950</v>
      </c>
      <c r="D4239" s="28">
        <f>IFERROR(__xludf.DUMMYFUNCTION("""COMPUTED_VALUE"""),45973.0)</f>
        <v>45973</v>
      </c>
      <c r="E4239" s="26">
        <f>IFERROR(__xludf.DUMMYFUNCTION("""COMPUTED_VALUE"""),346511.0)</f>
        <v>346511</v>
      </c>
      <c r="F4239" s="22" t="str">
        <f>IFERROR(__xludf.DUMMYFUNCTION("""COMPUTED_VALUE"""),"佐久良くんはあらがえない")</f>
        <v>佐久良くんはあらがえない</v>
      </c>
      <c r="G4239" s="20" t="str">
        <f>IFERROR(__xludf.DUMMYFUNCTION("""COMPUTED_VALUE"""),"1～2")</f>
        <v>1～2</v>
      </c>
      <c r="H4239" s="22" t="str">
        <f>IFERROR(__xludf.DUMMYFUNCTION("""COMPUTED_VALUE"""),"カミツキ")</f>
        <v>カミツキ</v>
      </c>
      <c r="I4239" s="22" t="str">
        <f>IFERROR(__xludf.DUMMYFUNCTION("""COMPUTED_VALUE"""),"BLマンガ")</f>
        <v>BLマンガ</v>
      </c>
      <c r="J4239" s="22"/>
      <c r="K4239" s="22" t="str">
        <f>IFERROR(__xludf.DUMMYFUNCTION("""COMPUTED_VALUE"""),"MooiComics")</f>
        <v>MooiComics</v>
      </c>
      <c r="L4239" s="22" t="str">
        <f>IFERROR(__xludf.DUMMYFUNCTION("""COMPUTED_VALUE"""),"CLLENN")</f>
        <v>CLLENN</v>
      </c>
      <c r="M4239" s="33">
        <f>IFERROR(__xludf.DUMMYFUNCTION("""COMPUTED_VALUE"""),46042.0)</f>
        <v>46042</v>
      </c>
      <c r="N4239" s="33">
        <f>IFERROR(__xludf.DUMMYFUNCTION("""COMPUTED_VALUE"""),46097.0)</f>
        <v>46097</v>
      </c>
      <c r="O4239" s="20"/>
      <c r="P4239" s="32" t="str">
        <f>IFERROR(__xludf.DUMMYFUNCTION("""COMPUTED_VALUE"""),"可")</f>
        <v>可</v>
      </c>
      <c r="Q4239" s="30"/>
      <c r="R4239" s="22" t="str">
        <f>IFERROR(__xludf.DUMMYFUNCTION("""COMPUTED_VALUE"""),"コミットNG")</f>
        <v>コミットNG</v>
      </c>
      <c r="S4239" s="22" t="str">
        <f>IFERROR(__xludf.DUMMYFUNCTION("""COMPUTED_VALUE"""),"20251111_CLLENN_佐久良くんはあらがえない")</f>
        <v>20251111_CLLENN_佐久良くんはあらがえない</v>
      </c>
      <c r="T4239" s="22" t="str">
        <f>IFERROR(__xludf.DUMMYFUNCTION("""COMPUTED_VALUE"""),"格納済み")</f>
        <v>格納済み</v>
      </c>
      <c r="U4239" s="9" t="str">
        <f>IFERROR(__xludf.DUMMYFUNCTION("""COMPUTED_VALUE"""),"Ⓒカミツキ/CLLENN")</f>
        <v>Ⓒカミツキ/CLLENN</v>
      </c>
      <c r="V4239" s="8"/>
      <c r="W4239" s="8"/>
      <c r="X4239" s="8" t="str">
        <f>IFERROR(__xludf.DUMMYFUNCTION("""COMPUTED_VALUE"""),"有")</f>
        <v>有</v>
      </c>
      <c r="Y4239" s="8" t="str">
        <f>IFERROR(__xludf.DUMMYFUNCTION("""COMPUTED_VALUE"""),"2026/2/2まで1巻立ち読み増量(P14)")</f>
        <v>2026/2/2まで1巻立ち読み増量(P14)</v>
      </c>
      <c r="Z4239" s="7"/>
      <c r="AA4239" s="7"/>
      <c r="AB4239" s="7"/>
    </row>
    <row r="4240" ht="15.75" customHeight="1">
      <c r="A4240" s="26">
        <f>IFERROR(__xludf.DUMMYFUNCTION("""COMPUTED_VALUE"""),6703.0)</f>
        <v>6703</v>
      </c>
      <c r="B4240" s="22" t="str">
        <f>IFERROR(__xludf.DUMMYFUNCTION("""COMPUTED_VALUE"""),"確定")</f>
        <v>確定</v>
      </c>
      <c r="C4240" s="28">
        <f>IFERROR(__xludf.DUMMYFUNCTION("""COMPUTED_VALUE"""),45951.0)</f>
        <v>45951</v>
      </c>
      <c r="D4240" s="28">
        <f>IFERROR(__xludf.DUMMYFUNCTION("""COMPUTED_VALUE"""),45973.0)</f>
        <v>45973</v>
      </c>
      <c r="E4240" s="26">
        <f>IFERROR(__xludf.DUMMYFUNCTION("""COMPUTED_VALUE"""),344928.0)</f>
        <v>344928</v>
      </c>
      <c r="F4240" s="22" t="str">
        <f>IFERROR(__xludf.DUMMYFUNCTION("""COMPUTED_VALUE"""),"ワケあり花嫁は愛されすぎて逃げられない[ボル恋comic]")</f>
        <v>ワケあり花嫁は愛されすぎて逃げられない[ボル恋comic]</v>
      </c>
      <c r="G4240" s="20" t="str">
        <f>IFERROR(__xludf.DUMMYFUNCTION("""COMPUTED_VALUE"""),"1～5")</f>
        <v>1～5</v>
      </c>
      <c r="H4240" s="22" t="str">
        <f>IFERROR(__xludf.DUMMYFUNCTION("""COMPUTED_VALUE"""),"藤川せんいち")</f>
        <v>藤川せんいち</v>
      </c>
      <c r="I4240" s="22" t="str">
        <f>IFERROR(__xludf.DUMMYFUNCTION("""COMPUTED_VALUE"""),"女性マンガ")</f>
        <v>女性マンガ</v>
      </c>
      <c r="J4240" s="22"/>
      <c r="K4240" s="22"/>
      <c r="L4240" s="22" t="str">
        <f>IFERROR(__xludf.DUMMYFUNCTION("""COMPUTED_VALUE"""),"ボルテージ")</f>
        <v>ボルテージ</v>
      </c>
      <c r="M4240" s="33">
        <f>IFERROR(__xludf.DUMMYFUNCTION("""COMPUTED_VALUE"""),46011.0)</f>
        <v>46011</v>
      </c>
      <c r="N4240" s="33">
        <f>IFERROR(__xludf.DUMMYFUNCTION("""COMPUTED_VALUE"""),46100.0)</f>
        <v>46100</v>
      </c>
      <c r="O4240" s="20"/>
      <c r="P4240" s="32" t="str">
        <f>IFERROR(__xludf.DUMMYFUNCTION("""COMPUTED_VALUE"""),"可")</f>
        <v>可</v>
      </c>
      <c r="Q4240" s="30" t="str">
        <f>IFERROR(__xludf.DUMMYFUNCTION("""COMPUTED_VALUE"""),"原作は、弊社の恋愛シュミレーションゲームで人気の作品で、&lt;BR&gt;王道の「偽装結婚」「溺愛」「スパダリ」「シンデレラストーリー」要素を含んでおります。&lt;BR&gt;")</f>
        <v>原作は、弊社の恋愛シュミレーションゲームで人気の作品で、&lt;BR&gt;王道の「偽装結婚」「溺愛」「スパダリ」「シンデレラストーリー」要素を含んでおります。&lt;BR&gt;</v>
      </c>
      <c r="R4240" s="22" t="str">
        <f>IFERROR(__xludf.DUMMYFUNCTION("""COMPUTED_VALUE"""),"コミットOK")</f>
        <v>コミットOK</v>
      </c>
      <c r="S4240" s="22" t="str">
        <f>IFERROR(__xludf.DUMMYFUNCTION("""COMPUTED_VALUE"""),"20251111_ボルテージ_ワケあり花嫁は愛されすぎて逃げられない")</f>
        <v>20251111_ボルテージ_ワケあり花嫁は愛されすぎて逃げられない</v>
      </c>
      <c r="T4240" s="22" t="str">
        <f>IFERROR(__xludf.DUMMYFUNCTION("""COMPUTED_VALUE"""),"格納済み")</f>
        <v>格納済み</v>
      </c>
      <c r="U4240" s="9" t="str">
        <f>IFERROR(__xludf.DUMMYFUNCTION("""COMPUTED_VALUE"""),"Ⓒボルテージ・藤川せんいち/ボルテージ")</f>
        <v>Ⓒボルテージ・藤川せんいち/ボルテージ</v>
      </c>
      <c r="V4240" s="8"/>
      <c r="W4240" s="8"/>
      <c r="X4240" s="8" t="str">
        <f>IFERROR(__xludf.DUMMYFUNCTION("""COMPUTED_VALUE"""),"有")</f>
        <v>有</v>
      </c>
      <c r="Y4240" s="8" t="str">
        <f>IFERROR(__xludf.DUMMYFUNCTION("""COMPUTED_VALUE"""),"P17まで")</f>
        <v>P17まで</v>
      </c>
      <c r="Z4240" s="7"/>
      <c r="AA4240" s="7"/>
      <c r="AB4240" s="7"/>
    </row>
    <row r="4241" ht="15.75" customHeight="1">
      <c r="A4241" s="26">
        <f>IFERROR(__xludf.DUMMYFUNCTION("""COMPUTED_VALUE"""),6706.0)</f>
        <v>6706</v>
      </c>
      <c r="B4241" s="22" t="str">
        <f>IFERROR(__xludf.DUMMYFUNCTION("""COMPUTED_VALUE"""),"確定")</f>
        <v>確定</v>
      </c>
      <c r="C4241" s="28">
        <f>IFERROR(__xludf.DUMMYFUNCTION("""COMPUTED_VALUE"""),45951.0)</f>
        <v>45951</v>
      </c>
      <c r="D4241" s="28">
        <f>IFERROR(__xludf.DUMMYFUNCTION("""COMPUTED_VALUE"""),45971.0)</f>
        <v>45971</v>
      </c>
      <c r="E4241" s="26">
        <f>IFERROR(__xludf.DUMMYFUNCTION("""COMPUTED_VALUE"""),343712.0)</f>
        <v>343712</v>
      </c>
      <c r="F4241" s="22" t="str">
        <f>IFERROR(__xludf.DUMMYFUNCTION("""COMPUTED_VALUE"""),"最強ヤクザの落とし方［ばら売り］")</f>
        <v>最強ヤクザの落とし方［ばら売り］</v>
      </c>
      <c r="G4241" s="20" t="str">
        <f>IFERROR(__xludf.DUMMYFUNCTION("""COMPUTED_VALUE"""),"1～4")</f>
        <v>1～4</v>
      </c>
      <c r="H4241" s="22" t="str">
        <f>IFERROR(__xludf.DUMMYFUNCTION("""COMPUTED_VALUE"""),"下瀬川ひなる")</f>
        <v>下瀬川ひなる</v>
      </c>
      <c r="I4241" s="22" t="str">
        <f>IFERROR(__xludf.DUMMYFUNCTION("""COMPUTED_VALUE"""),"BL")</f>
        <v>BL</v>
      </c>
      <c r="J4241" s="22"/>
      <c r="K4241" s="22" t="str">
        <f>IFERROR(__xludf.DUMMYFUNCTION("""COMPUTED_VALUE"""),"マンガPark")</f>
        <v>マンガPark</v>
      </c>
      <c r="L4241" s="22" t="str">
        <f>IFERROR(__xludf.DUMMYFUNCTION("""COMPUTED_VALUE"""),"白泉社")</f>
        <v>白泉社</v>
      </c>
      <c r="M4241" s="33">
        <f>IFERROR(__xludf.DUMMYFUNCTION("""COMPUTED_VALUE"""),46004.0)</f>
        <v>46004</v>
      </c>
      <c r="N4241" s="33">
        <f>IFERROR(__xludf.DUMMYFUNCTION("""COMPUTED_VALUE"""),46066.0)</f>
        <v>46066</v>
      </c>
      <c r="O4241" s="20"/>
      <c r="P4241" s="32" t="str">
        <f>IFERROR(__xludf.DUMMYFUNCTION("""COMPUTED_VALUE"""),"可")</f>
        <v>可</v>
      </c>
      <c r="Q4241" s="30"/>
      <c r="R4241" s="22"/>
      <c r="S4241" s="22" t="str">
        <f>IFERROR(__xludf.DUMMYFUNCTION("""COMPUTED_VALUE"""),"20251110_白泉社_最強ヤクザの落とし方")</f>
        <v>20251110_白泉社_最強ヤクザの落とし方</v>
      </c>
      <c r="T4241" s="22" t="str">
        <f>IFERROR(__xludf.DUMMYFUNCTION("""COMPUTED_VALUE"""),"格納済み")</f>
        <v>格納済み</v>
      </c>
      <c r="U4241" s="9" t="str">
        <f>IFERROR(__xludf.DUMMYFUNCTION("""COMPUTED_VALUE"""),"Ⓒ下瀬川ひなる／白泉社")</f>
        <v>Ⓒ下瀬川ひなる／白泉社</v>
      </c>
      <c r="V4241" s="8"/>
      <c r="W4241" s="8"/>
      <c r="X4241" s="8" t="str">
        <f>IFERROR(__xludf.DUMMYFUNCTION("""COMPUTED_VALUE"""),"有")</f>
        <v>有</v>
      </c>
      <c r="Y4241" s="8" t="str">
        <f>IFERROR(__xludf.DUMMYFUNCTION("""COMPUTED_VALUE"""),"P23まで")</f>
        <v>P23まで</v>
      </c>
      <c r="Z4241" s="7"/>
      <c r="AA4241" s="7"/>
      <c r="AB4241" s="7"/>
    </row>
    <row r="4242" ht="15.75" customHeight="1">
      <c r="A4242" s="26">
        <f>IFERROR(__xludf.DUMMYFUNCTION("""COMPUTED_VALUE"""),6707.0)</f>
        <v>6707</v>
      </c>
      <c r="B4242" s="22" t="str">
        <f>IFERROR(__xludf.DUMMYFUNCTION("""COMPUTED_VALUE"""),"確定")</f>
        <v>確定</v>
      </c>
      <c r="C4242" s="28">
        <f>IFERROR(__xludf.DUMMYFUNCTION("""COMPUTED_VALUE"""),45951.0)</f>
        <v>45951</v>
      </c>
      <c r="D4242" s="28">
        <f>IFERROR(__xludf.DUMMYFUNCTION("""COMPUTED_VALUE"""),45972.0)</f>
        <v>45972</v>
      </c>
      <c r="E4242" s="26">
        <f>IFERROR(__xludf.DUMMYFUNCTION("""COMPUTED_VALUE"""),343711.0)</f>
        <v>343711</v>
      </c>
      <c r="F4242" s="22" t="str">
        <f>IFERROR(__xludf.DUMMYFUNCTION("""COMPUTED_VALUE"""),"君だけの悪い子にして？［ばら売り］")</f>
        <v>君だけの悪い子にして？［ばら売り］</v>
      </c>
      <c r="G4242" s="20" t="str">
        <f>IFERROR(__xludf.DUMMYFUNCTION("""COMPUTED_VALUE"""),"1～3")</f>
        <v>1～3</v>
      </c>
      <c r="H4242" s="22" t="str">
        <f>IFERROR(__xludf.DUMMYFUNCTION("""COMPUTED_VALUE"""),"央﨑壱")</f>
        <v>央﨑壱</v>
      </c>
      <c r="I4242" s="22" t="str">
        <f>IFERROR(__xludf.DUMMYFUNCTION("""COMPUTED_VALUE"""),"BL")</f>
        <v>BL</v>
      </c>
      <c r="J4242" s="22"/>
      <c r="K4242" s="22" t="str">
        <f>IFERROR(__xludf.DUMMYFUNCTION("""COMPUTED_VALUE"""),"マンガPark")</f>
        <v>マンガPark</v>
      </c>
      <c r="L4242" s="22" t="str">
        <f>IFERROR(__xludf.DUMMYFUNCTION("""COMPUTED_VALUE"""),"白泉社")</f>
        <v>白泉社</v>
      </c>
      <c r="M4242" s="33">
        <f>IFERROR(__xludf.DUMMYFUNCTION("""COMPUTED_VALUE"""),46004.0)</f>
        <v>46004</v>
      </c>
      <c r="N4242" s="33">
        <f>IFERROR(__xludf.DUMMYFUNCTION("""COMPUTED_VALUE"""),46066.0)</f>
        <v>46066</v>
      </c>
      <c r="O4242" s="20"/>
      <c r="P4242" s="32" t="str">
        <f>IFERROR(__xludf.DUMMYFUNCTION("""COMPUTED_VALUE"""),"可")</f>
        <v>可</v>
      </c>
      <c r="Q4242" s="30"/>
      <c r="R4242" s="22"/>
      <c r="S4242" s="22" t="str">
        <f>IFERROR(__xludf.DUMMYFUNCTION("""COMPUTED_VALUE"""),"20251110_白泉社_君だけの悪い子にして？")</f>
        <v>20251110_白泉社_君だけの悪い子にして？</v>
      </c>
      <c r="T4242" s="22" t="str">
        <f>IFERROR(__xludf.DUMMYFUNCTION("""COMPUTED_VALUE"""),"格納済み")</f>
        <v>格納済み</v>
      </c>
      <c r="U4242" s="9" t="str">
        <f>IFERROR(__xludf.DUMMYFUNCTION("""COMPUTED_VALUE"""),"Ⓒ央﨑壱／白泉社")</f>
        <v>Ⓒ央﨑壱／白泉社</v>
      </c>
      <c r="V4242" s="8"/>
      <c r="W4242" s="8"/>
      <c r="X4242" s="8" t="str">
        <f>IFERROR(__xludf.DUMMYFUNCTION("""COMPUTED_VALUE"""),"有")</f>
        <v>有</v>
      </c>
      <c r="Y4242" s="8" t="str">
        <f>IFERROR(__xludf.DUMMYFUNCTION("""COMPUTED_VALUE"""),"2025/12/26まで1巻無料")</f>
        <v>2025/12/26まで1巻無料</v>
      </c>
      <c r="Z4242" s="7"/>
      <c r="AA4242" s="7"/>
      <c r="AB4242" s="7"/>
    </row>
    <row r="4243" ht="15.75" customHeight="1">
      <c r="A4243" s="26">
        <f>IFERROR(__xludf.DUMMYFUNCTION("""COMPUTED_VALUE"""),6708.0)</f>
        <v>6708</v>
      </c>
      <c r="B4243" s="22" t="str">
        <f>IFERROR(__xludf.DUMMYFUNCTION("""COMPUTED_VALUE"""),"確定")</f>
        <v>確定</v>
      </c>
      <c r="C4243" s="28">
        <f>IFERROR(__xludf.DUMMYFUNCTION("""COMPUTED_VALUE"""),45951.0)</f>
        <v>45951</v>
      </c>
      <c r="D4243" s="28">
        <f>IFERROR(__xludf.DUMMYFUNCTION("""COMPUTED_VALUE"""),45971.0)</f>
        <v>45971</v>
      </c>
      <c r="E4243" s="26">
        <f>IFERROR(__xludf.DUMMYFUNCTION("""COMPUTED_VALUE"""),343707.0)</f>
        <v>343707</v>
      </c>
      <c r="F4243" s="22" t="str">
        <f>IFERROR(__xludf.DUMMYFUNCTION("""COMPUTED_VALUE"""),"魔法少女の仕立て屋～彼は最強ではないが、彼女を最強にする衣装を仕立てて成り上がる～［ばら売り］")</f>
        <v>魔法少女の仕立て屋～彼は最強ではないが、彼女を最強にする衣装を仕立てて成り上がる～［ばら売り］</v>
      </c>
      <c r="G4243" s="20" t="str">
        <f>IFERROR(__xludf.DUMMYFUNCTION("""COMPUTED_VALUE"""),"1～4")</f>
        <v>1～4</v>
      </c>
      <c r="H4243" s="22" t="str">
        <f>IFERROR(__xludf.DUMMYFUNCTION("""COMPUTED_VALUE"""),"漫画：只野野郎　原作：蒼樹靖子")</f>
        <v>漫画：只野野郎　原作：蒼樹靖子</v>
      </c>
      <c r="I4243" s="22" t="str">
        <f>IFERROR(__xludf.DUMMYFUNCTION("""COMPUTED_VALUE"""),"青年")</f>
        <v>青年</v>
      </c>
      <c r="J4243" s="22"/>
      <c r="K4243" s="22" t="str">
        <f>IFERROR(__xludf.DUMMYFUNCTION("""COMPUTED_VALUE"""),"マンガPark")</f>
        <v>マンガPark</v>
      </c>
      <c r="L4243" s="22" t="str">
        <f>IFERROR(__xludf.DUMMYFUNCTION("""COMPUTED_VALUE"""),"白泉社")</f>
        <v>白泉社</v>
      </c>
      <c r="M4243" s="33">
        <f>IFERROR(__xludf.DUMMYFUNCTION("""COMPUTED_VALUE"""),46004.0)</f>
        <v>46004</v>
      </c>
      <c r="N4243" s="33">
        <f>IFERROR(__xludf.DUMMYFUNCTION("""COMPUTED_VALUE"""),46066.0)</f>
        <v>46066</v>
      </c>
      <c r="O4243" s="20"/>
      <c r="P4243" s="32" t="str">
        <f>IFERROR(__xludf.DUMMYFUNCTION("""COMPUTED_VALUE"""),"可")</f>
        <v>可</v>
      </c>
      <c r="Q4243" s="30"/>
      <c r="R4243" s="22"/>
      <c r="S4243" s="22" t="str">
        <f>IFERROR(__xludf.DUMMYFUNCTION("""COMPUTED_VALUE"""),"20251110_白泉社_魔法少女の仕立て屋～彼は最強ではないが、彼女を最強にする衣装を仕立てて成り上がる～")</f>
        <v>20251110_白泉社_魔法少女の仕立て屋～彼は最強ではないが、彼女を最強にする衣装を仕立てて成り上がる～</v>
      </c>
      <c r="T4243" s="22" t="str">
        <f>IFERROR(__xludf.DUMMYFUNCTION("""COMPUTED_VALUE"""),"格納済み")</f>
        <v>格納済み</v>
      </c>
      <c r="U4243" s="9" t="str">
        <f>IFERROR(__xludf.DUMMYFUNCTION("""COMPUTED_VALUE"""),"Ⓒ蒼樹靖子・只野野郎／白泉社")</f>
        <v>Ⓒ蒼樹靖子・只野野郎／白泉社</v>
      </c>
      <c r="V4243" s="8"/>
      <c r="W4243" s="8"/>
      <c r="X4243" s="8" t="str">
        <f>IFERROR(__xludf.DUMMYFUNCTION("""COMPUTED_VALUE"""),"有")</f>
        <v>有</v>
      </c>
      <c r="Y4243" s="8" t="str">
        <f>IFERROR(__xludf.DUMMYFUNCTION("""COMPUTED_VALUE"""),"P21まで")</f>
        <v>P21まで</v>
      </c>
      <c r="Z4243" s="7"/>
      <c r="AA4243" s="7"/>
      <c r="AB4243" s="7"/>
    </row>
    <row r="4244" ht="15.75" customHeight="1">
      <c r="A4244" s="26">
        <f>IFERROR(__xludf.DUMMYFUNCTION("""COMPUTED_VALUE"""),6735.0)</f>
        <v>6735</v>
      </c>
      <c r="B4244" s="22" t="str">
        <f>IFERROR(__xludf.DUMMYFUNCTION("""COMPUTED_VALUE"""),"確定")</f>
        <v>確定</v>
      </c>
      <c r="C4244" s="28">
        <f>IFERROR(__xludf.DUMMYFUNCTION("""COMPUTED_VALUE"""),45954.0)</f>
        <v>45954</v>
      </c>
      <c r="D4244" s="28">
        <f>IFERROR(__xludf.DUMMYFUNCTION("""COMPUTED_VALUE"""),46001.0)</f>
        <v>46001</v>
      </c>
      <c r="E4244" s="26">
        <f>IFERROR(__xludf.DUMMYFUNCTION("""COMPUTED_VALUE"""),343414.0)</f>
        <v>343414</v>
      </c>
      <c r="F4244" s="22" t="str">
        <f>IFERROR(__xludf.DUMMYFUNCTION("""COMPUTED_VALUE"""),"ちょっと待ってよ光さん！")</f>
        <v>ちょっと待ってよ光さん！</v>
      </c>
      <c r="G4244" s="20" t="str">
        <f>IFERROR(__xludf.DUMMYFUNCTION("""COMPUTED_VALUE"""),"1～3")</f>
        <v>1～3</v>
      </c>
      <c r="H4244" s="22" t="str">
        <f>IFERROR(__xludf.DUMMYFUNCTION("""COMPUTED_VALUE"""),"原作：二久アカミ　漫画：アズナ悠月")</f>
        <v>原作：二久アカミ　漫画：アズナ悠月</v>
      </c>
      <c r="I4244" s="22" t="str">
        <f>IFERROR(__xludf.DUMMYFUNCTION("""COMPUTED_VALUE"""),"BL")</f>
        <v>BL</v>
      </c>
      <c r="J4244" s="22"/>
      <c r="K4244" s="22"/>
      <c r="L4244" s="22" t="str">
        <f>IFERROR(__xludf.DUMMYFUNCTION("""COMPUTED_VALUE"""),"Freedia")</f>
        <v>Freedia</v>
      </c>
      <c r="M4244" s="33">
        <f>IFERROR(__xludf.DUMMYFUNCTION("""COMPUTED_VALUE"""),46003.0)</f>
        <v>46003</v>
      </c>
      <c r="N4244" s="33">
        <f>IFERROR(__xludf.DUMMYFUNCTION("""COMPUTED_VALUE"""),46092.0)</f>
        <v>46092</v>
      </c>
      <c r="O4244" s="20"/>
      <c r="P4244" s="32" t="str">
        <f>IFERROR(__xludf.DUMMYFUNCTION("""COMPUTED_VALUE"""),"可")</f>
        <v>可</v>
      </c>
      <c r="Q4244" s="30"/>
      <c r="R4244" s="22" t="str">
        <f>IFERROR(__xludf.DUMMYFUNCTION("""COMPUTED_VALUE"""),"コミットNG")</f>
        <v>コミットNG</v>
      </c>
      <c r="S4244" s="22" t="str">
        <f>IFERROR(__xludf.DUMMYFUNCTION("""COMPUTED_VALUE"""),"20251105_Freedia_ちょっと待ってよ光さん！")</f>
        <v>20251105_Freedia_ちょっと待ってよ光さん！</v>
      </c>
      <c r="T4244" s="22" t="str">
        <f>IFERROR(__xludf.DUMMYFUNCTION("""COMPUTED_VALUE"""),"格納済み")</f>
        <v>格納済み</v>
      </c>
      <c r="U4244" s="9" t="str">
        <f>IFERROR(__xludf.DUMMYFUNCTION("""COMPUTED_VALUE"""),"©アズナ悠月・二久アカミ/Freedia")</f>
        <v>©アズナ悠月・二久アカミ/Freedia</v>
      </c>
      <c r="V4244" s="8"/>
      <c r="W4244" s="8"/>
      <c r="X4244" s="8" t="str">
        <f>IFERROR(__xludf.DUMMYFUNCTION("""COMPUTED_VALUE"""),"有")</f>
        <v>有</v>
      </c>
      <c r="Y4244" s="8" t="str">
        <f>IFERROR(__xludf.DUMMYFUNCTION("""COMPUTED_VALUE"""),"P5まで")</f>
        <v>P5まで</v>
      </c>
      <c r="Z4244" s="7"/>
      <c r="AA4244" s="7"/>
      <c r="AB4244" s="7"/>
    </row>
    <row r="4245" ht="15.75" customHeight="1">
      <c r="A4245" s="26">
        <f>IFERROR(__xludf.DUMMYFUNCTION("""COMPUTED_VALUE"""),6740.0)</f>
        <v>6740</v>
      </c>
      <c r="B4245" s="22" t="str">
        <f>IFERROR(__xludf.DUMMYFUNCTION("""COMPUTED_VALUE"""),"確定")</f>
        <v>確定</v>
      </c>
      <c r="C4245" s="28">
        <f>IFERROR(__xludf.DUMMYFUNCTION("""COMPUTED_VALUE"""),45957.0)</f>
        <v>45957</v>
      </c>
      <c r="D4245" s="28">
        <f>IFERROR(__xludf.DUMMYFUNCTION("""COMPUTED_VALUE"""),45972.0)</f>
        <v>45972</v>
      </c>
      <c r="E4245" s="26">
        <f>IFERROR(__xludf.DUMMYFUNCTION("""COMPUTED_VALUE"""),330227.0)</f>
        <v>330227</v>
      </c>
      <c r="F4245" s="22" t="str">
        <f>IFERROR(__xludf.DUMMYFUNCTION("""COMPUTED_VALUE"""),"隣の巣穴の黒い牙")</f>
        <v>隣の巣穴の黒い牙</v>
      </c>
      <c r="G4245" s="20">
        <f>IFERROR(__xludf.DUMMYFUNCTION("""COMPUTED_VALUE"""),1.0)</f>
        <v>1</v>
      </c>
      <c r="H4245" s="22" t="str">
        <f>IFERROR(__xludf.DUMMYFUNCTION("""COMPUTED_VALUE"""),"町田響")</f>
        <v>町田響</v>
      </c>
      <c r="I4245" s="22" t="str">
        <f>IFERROR(__xludf.DUMMYFUNCTION("""COMPUTED_VALUE"""),"BLマンガ")</f>
        <v>BLマンガ</v>
      </c>
      <c r="J4245" s="22"/>
      <c r="K4245" s="22" t="str">
        <f>IFERROR(__xludf.DUMMYFUNCTION("""COMPUTED_VALUE"""),"Ficus")</f>
        <v>Ficus</v>
      </c>
      <c r="L4245" s="22" t="str">
        <f>IFERROR(__xludf.DUMMYFUNCTION("""COMPUTED_VALUE"""),"シーモアコミックス")</f>
        <v>シーモアコミックス</v>
      </c>
      <c r="M4245" s="33">
        <f>IFERROR(__xludf.DUMMYFUNCTION("""COMPUTED_VALUE"""),45997.0)</f>
        <v>45997</v>
      </c>
      <c r="N4245" s="33">
        <f>IFERROR(__xludf.DUMMYFUNCTION("""COMPUTED_VALUE"""),2958465.0)</f>
        <v>2958465</v>
      </c>
      <c r="O4245" s="20"/>
      <c r="P4245" s="32" t="str">
        <f>IFERROR(__xludf.DUMMYFUNCTION("""COMPUTED_VALUE"""),"可")</f>
        <v>可</v>
      </c>
      <c r="Q4245" s="30" t="str">
        <f>IFERROR(__xludf.DUMMYFUNCTION("""COMPUTED_VALUE"""),"※読み切り作品です。")</f>
        <v>※読み切り作品です。</v>
      </c>
      <c r="R4245" s="22"/>
      <c r="S4245" s="22" t="str">
        <f>IFERROR(__xludf.DUMMYFUNCTION("""COMPUTED_VALUE"""),"20251027_シーモアコミックス_隣の巣穴の黒い牙")</f>
        <v>20251027_シーモアコミックス_隣の巣穴の黒い牙</v>
      </c>
      <c r="T4245" s="22" t="str">
        <f>IFERROR(__xludf.DUMMYFUNCTION("""COMPUTED_VALUE"""),"格納済み")</f>
        <v>格納済み</v>
      </c>
      <c r="U4245" s="9" t="str">
        <f>IFERROR(__xludf.DUMMYFUNCTION("""COMPUTED_VALUE"""),"(C) 町田響/シーモアコミックス")</f>
        <v>(C) 町田響/シーモアコミックス</v>
      </c>
      <c r="V4245" s="8"/>
      <c r="W4245" s="8"/>
      <c r="X4245" s="8" t="str">
        <f>IFERROR(__xludf.DUMMYFUNCTION("""COMPUTED_VALUE"""),"有")</f>
        <v>有</v>
      </c>
      <c r="Y4245" s="8" t="str">
        <f>IFERROR(__xludf.DUMMYFUNCTION("""COMPUTED_VALUE"""),"P5まで")</f>
        <v>P5まで</v>
      </c>
      <c r="Z4245" s="7"/>
      <c r="AA4245" s="7"/>
      <c r="AB4245" s="7"/>
    </row>
    <row r="4246" ht="15.75" customHeight="1">
      <c r="A4246" s="26">
        <f>IFERROR(__xludf.DUMMYFUNCTION("""COMPUTED_VALUE"""),6744.0)</f>
        <v>6744</v>
      </c>
      <c r="B4246" s="22" t="str">
        <f>IFERROR(__xludf.DUMMYFUNCTION("""COMPUTED_VALUE"""),"確定")</f>
        <v>確定</v>
      </c>
      <c r="C4246" s="28">
        <f>IFERROR(__xludf.DUMMYFUNCTION("""COMPUTED_VALUE"""),45958.0)</f>
        <v>45958</v>
      </c>
      <c r="D4246" s="28">
        <f>IFERROR(__xludf.DUMMYFUNCTION("""COMPUTED_VALUE"""),45973.0)</f>
        <v>45973</v>
      </c>
      <c r="E4246" s="26">
        <f>IFERROR(__xludf.DUMMYFUNCTION("""COMPUTED_VALUE"""),343069.0)</f>
        <v>343069</v>
      </c>
      <c r="F4246" s="22" t="str">
        <f>IFERROR(__xludf.DUMMYFUNCTION("""COMPUTED_VALUE"""),"隙あらば彼氏の性癖を歪めたい!【R-18版】")</f>
        <v>隙あらば彼氏の性癖を歪めたい!【R-18版】</v>
      </c>
      <c r="G4246" s="20" t="str">
        <f>IFERROR(__xludf.DUMMYFUNCTION("""COMPUTED_VALUE"""),"1~11")</f>
        <v>1~11</v>
      </c>
      <c r="H4246" s="22" t="str">
        <f>IFERROR(__xludf.DUMMYFUNCTION("""COMPUTED_VALUE"""),"めえお")</f>
        <v>めえお</v>
      </c>
      <c r="I4246" s="22" t="str">
        <f>IFERROR(__xludf.DUMMYFUNCTION("""COMPUTED_VALUE"""),"アダルト")</f>
        <v>アダルト</v>
      </c>
      <c r="J4246" s="22"/>
      <c r="K4246" s="22" t="str">
        <f>IFERROR(__xludf.DUMMYFUNCTION("""COMPUTED_VALUE"""),"GirlsCREATIVE")</f>
        <v>GirlsCREATIVE</v>
      </c>
      <c r="L4246" s="22" t="str">
        <f>IFERROR(__xludf.DUMMYFUNCTION("""COMPUTED_VALUE"""),"DLcomics")</f>
        <v>DLcomics</v>
      </c>
      <c r="M4246" s="33">
        <f>IFERROR(__xludf.DUMMYFUNCTION("""COMPUTED_VALUE"""),45997.0)</f>
        <v>45997</v>
      </c>
      <c r="N4246" s="33">
        <f>IFERROR(__xludf.DUMMYFUNCTION("""COMPUTED_VALUE"""),45667.0)</f>
        <v>45667</v>
      </c>
      <c r="O4246" s="20"/>
      <c r="P4246" s="32" t="str">
        <f>IFERROR(__xludf.DUMMYFUNCTION("""COMPUTED_VALUE"""),"可")</f>
        <v>可</v>
      </c>
      <c r="Q4246" s="30" t="str">
        <f>IFERROR(__xludf.DUMMYFUNCTION("""COMPUTED_VALUE"""),"各タイトルを分割しての配信")</f>
        <v>各タイトルを分割しての配信</v>
      </c>
      <c r="R4246" s="22" t="str">
        <f>IFERROR(__xludf.DUMMYFUNCTION("""COMPUTED_VALUE"""),"コミットOK")</f>
        <v>コミットOK</v>
      </c>
      <c r="S4246" s="22" t="str">
        <f>IFERROR(__xludf.DUMMYFUNCTION("""COMPUTED_VALUE"""),"20251112_DLcomics_隙あらば彼氏の性癖を歪めたい!【R-18版】")</f>
        <v>20251112_DLcomics_隙あらば彼氏の性癖を歪めたい!【R-18版】</v>
      </c>
      <c r="T4246" s="22" t="str">
        <f>IFERROR(__xludf.DUMMYFUNCTION("""COMPUTED_VALUE"""),"格納済み")</f>
        <v>格納済み</v>
      </c>
      <c r="U4246" s="9" t="str">
        <f>IFERROR(__xludf.DUMMYFUNCTION("""COMPUTED_VALUE"""),"(c)めえお/DLcomics")</f>
        <v>(c)めえお/DLcomics</v>
      </c>
      <c r="V4246" s="8"/>
      <c r="W4246" s="8"/>
      <c r="X4246" s="8" t="str">
        <f>IFERROR(__xludf.DUMMYFUNCTION("""COMPUTED_VALUE"""),"有")</f>
        <v>有</v>
      </c>
      <c r="Y4246" s="8" t="str">
        <f>IFERROR(__xludf.DUMMYFUNCTION("""COMPUTED_VALUE"""),"2025/12/19まで1～2巻無料")</f>
        <v>2025/12/19まで1～2巻無料</v>
      </c>
      <c r="Z4246" s="7"/>
      <c r="AA4246" s="7"/>
      <c r="AB4246" s="7"/>
    </row>
    <row r="4247" ht="15.75" customHeight="1">
      <c r="A4247" s="26">
        <f>IFERROR(__xludf.DUMMYFUNCTION("""COMPUTED_VALUE"""),6745.0)</f>
        <v>6745</v>
      </c>
      <c r="B4247" s="22" t="str">
        <f>IFERROR(__xludf.DUMMYFUNCTION("""COMPUTED_VALUE"""),"確定")</f>
        <v>確定</v>
      </c>
      <c r="C4247" s="28">
        <f>IFERROR(__xludf.DUMMYFUNCTION("""COMPUTED_VALUE"""),45958.0)</f>
        <v>45958</v>
      </c>
      <c r="D4247" s="28">
        <f>IFERROR(__xludf.DUMMYFUNCTION("""COMPUTED_VALUE"""),45973.0)</f>
        <v>45973</v>
      </c>
      <c r="E4247" s="26">
        <f>IFERROR(__xludf.DUMMYFUNCTION("""COMPUTED_VALUE"""),343072.0)</f>
        <v>343072</v>
      </c>
      <c r="F4247" s="22" t="str">
        <f>IFERROR(__xludf.DUMMYFUNCTION("""COMPUTED_VALUE"""),"隙あらば彼氏の性癖を歪めたい!")</f>
        <v>隙あらば彼氏の性癖を歪めたい!</v>
      </c>
      <c r="G4247" s="20" t="str">
        <f>IFERROR(__xludf.DUMMYFUNCTION("""COMPUTED_VALUE"""),"1~11")</f>
        <v>1~11</v>
      </c>
      <c r="H4247" s="22" t="str">
        <f>IFERROR(__xludf.DUMMYFUNCTION("""COMPUTED_VALUE"""),"めえお")</f>
        <v>めえお</v>
      </c>
      <c r="I4247" s="22" t="str">
        <f>IFERROR(__xludf.DUMMYFUNCTION("""COMPUTED_VALUE"""),"TL")</f>
        <v>TL</v>
      </c>
      <c r="J4247" s="22"/>
      <c r="K4247" s="22" t="str">
        <f>IFERROR(__xludf.DUMMYFUNCTION("""COMPUTED_VALUE"""),"GirlsCREATIVE")</f>
        <v>GirlsCREATIVE</v>
      </c>
      <c r="L4247" s="22" t="str">
        <f>IFERROR(__xludf.DUMMYFUNCTION("""COMPUTED_VALUE"""),"DLcomics")</f>
        <v>DLcomics</v>
      </c>
      <c r="M4247" s="33">
        <f>IFERROR(__xludf.DUMMYFUNCTION("""COMPUTED_VALUE"""),45997.0)</f>
        <v>45997</v>
      </c>
      <c r="N4247" s="33">
        <f>IFERROR(__xludf.DUMMYFUNCTION("""COMPUTED_VALUE"""),45667.0)</f>
        <v>45667</v>
      </c>
      <c r="O4247" s="20"/>
      <c r="P4247" s="32" t="str">
        <f>IFERROR(__xludf.DUMMYFUNCTION("""COMPUTED_VALUE"""),"可")</f>
        <v>可</v>
      </c>
      <c r="Q4247" s="30" t="str">
        <f>IFERROR(__xludf.DUMMYFUNCTION("""COMPUTED_VALUE"""),"【アダルト作品扱い】")</f>
        <v>【アダルト作品扱い】</v>
      </c>
      <c r="R4247" s="22" t="str">
        <f>IFERROR(__xludf.DUMMYFUNCTION("""COMPUTED_VALUE"""),"コミットNG")</f>
        <v>コミットNG</v>
      </c>
      <c r="S4247" s="22" t="str">
        <f>IFERROR(__xludf.DUMMYFUNCTION("""COMPUTED_VALUE"""),"20251112_DLcomics_隙あらば彼氏の性癖を歪めたい!")</f>
        <v>20251112_DLcomics_隙あらば彼氏の性癖を歪めたい!</v>
      </c>
      <c r="T4247" s="22" t="str">
        <f>IFERROR(__xludf.DUMMYFUNCTION("""COMPUTED_VALUE"""),"格納済み")</f>
        <v>格納済み</v>
      </c>
      <c r="U4247" s="9" t="str">
        <f>IFERROR(__xludf.DUMMYFUNCTION("""COMPUTED_VALUE"""),"(c)めえお/DLcomics")</f>
        <v>(c)めえお/DLcomics</v>
      </c>
      <c r="V4247" s="8"/>
      <c r="W4247" s="8"/>
      <c r="X4247" s="8" t="str">
        <f>IFERROR(__xludf.DUMMYFUNCTION("""COMPUTED_VALUE"""),"有")</f>
        <v>有</v>
      </c>
      <c r="Y4247" s="8" t="str">
        <f>IFERROR(__xludf.DUMMYFUNCTION("""COMPUTED_VALUE"""),"2025/12/19まで1～2巻無料")</f>
        <v>2025/12/19まで1～2巻無料</v>
      </c>
      <c r="Z4247" s="7"/>
      <c r="AA4247" s="7"/>
      <c r="AB4247" s="7"/>
    </row>
    <row r="4248" ht="15.75" customHeight="1">
      <c r="A4248" s="26">
        <f>IFERROR(__xludf.DUMMYFUNCTION("""COMPUTED_VALUE"""),6749.0)</f>
        <v>6749</v>
      </c>
      <c r="B4248" s="22" t="str">
        <f>IFERROR(__xludf.DUMMYFUNCTION("""COMPUTED_VALUE"""),"確定")</f>
        <v>確定</v>
      </c>
      <c r="C4248" s="28">
        <f>IFERROR(__xludf.DUMMYFUNCTION("""COMPUTED_VALUE"""),45959.0)</f>
        <v>45959</v>
      </c>
      <c r="D4248" s="28">
        <f>IFERROR(__xludf.DUMMYFUNCTION("""COMPUTED_VALUE"""),45973.0)</f>
        <v>45973</v>
      </c>
      <c r="E4248" s="26">
        <f>IFERROR(__xludf.DUMMYFUNCTION("""COMPUTED_VALUE"""),343440.0)</f>
        <v>343440</v>
      </c>
      <c r="F4248" s="22" t="str">
        <f>IFERROR(__xludf.DUMMYFUNCTION("""COMPUTED_VALUE"""),"あなたが死んじゃったあとに～かなしい時の歩き方～【分冊版】")</f>
        <v>あなたが死んじゃったあとに～かなしい時の歩き方～【分冊版】</v>
      </c>
      <c r="G4248" s="20" t="str">
        <f>IFERROR(__xludf.DUMMYFUNCTION("""COMPUTED_VALUE"""),"1～4")</f>
        <v>1～4</v>
      </c>
      <c r="H4248" s="22" t="str">
        <f>IFERROR(__xludf.DUMMYFUNCTION("""COMPUTED_VALUE"""),"いのうえさきこ")</f>
        <v>いのうえさきこ</v>
      </c>
      <c r="I4248" s="22" t="str">
        <f>IFERROR(__xludf.DUMMYFUNCTION("""COMPUTED_VALUE"""),"女性")</f>
        <v>女性</v>
      </c>
      <c r="J4248" s="22"/>
      <c r="K4248" s="22" t="str">
        <f>IFERROR(__xludf.DUMMYFUNCTION("""COMPUTED_VALUE"""),"フォアミセス")</f>
        <v>フォアミセス</v>
      </c>
      <c r="L4248" s="22" t="str">
        <f>IFERROR(__xludf.DUMMYFUNCTION("""COMPUTED_VALUE"""),"秋田書店")</f>
        <v>秋田書店</v>
      </c>
      <c r="M4248" s="33">
        <f>IFERROR(__xludf.DUMMYFUNCTION("""COMPUTED_VALUE"""),46000.0)</f>
        <v>46000</v>
      </c>
      <c r="N4248" s="33">
        <f>IFERROR(__xludf.DUMMYFUNCTION("""COMPUTED_VALUE"""),46030.0)</f>
        <v>46030</v>
      </c>
      <c r="O4248" s="20"/>
      <c r="P4248" s="32" t="str">
        <f>IFERROR(__xludf.DUMMYFUNCTION("""COMPUTED_VALUE"""),"可")</f>
        <v>可</v>
      </c>
      <c r="Q4248" s="30" t="str">
        <f>IFERROR(__xludf.DUMMYFUNCTION("""COMPUTED_VALUE"""),"1~3話の素材で広告制作お願いいたします。&lt;BR&gt;&lt;BR&gt;恋人が末期癌で危篤状態になってしまった中年女性の主人公が、恋人の前妻の娘と過ごすことになってしまったお話です。設定は少し特殊ですが、主人公と娘の関係性を通して自分自身を見つめなおすような描写もありますので、&lt;BR&gt;悩みを抱える女性には刺さる作品だと思います！")</f>
        <v>1~3話の素材で広告制作お願いいたします。&lt;BR&gt;&lt;BR&gt;恋人が末期癌で危篤状態になってしまった中年女性の主人公が、恋人の前妻の娘と過ごすことになってしまったお話です。設定は少し特殊ですが、主人公と娘の関係性を通して自分自身を見つめなおすような描写もありますので、&lt;BR&gt;悩みを抱える女性には刺さる作品だと思います！</v>
      </c>
      <c r="R4248" s="22" t="str">
        <f>IFERROR(__xludf.DUMMYFUNCTION("""COMPUTED_VALUE"""),"コミットNG")</f>
        <v>コミットNG</v>
      </c>
      <c r="S4248" s="22" t="str">
        <f>IFERROR(__xludf.DUMMYFUNCTION("""COMPUTED_VALUE"""),"20251029_秋田書店_あなたが死んじゃったあとに～かなしい時の歩き方～")</f>
        <v>20251029_秋田書店_あなたが死んじゃったあとに～かなしい時の歩き方～</v>
      </c>
      <c r="T4248" s="22" t="str">
        <f>IFERROR(__xludf.DUMMYFUNCTION("""COMPUTED_VALUE"""),"格納済み")</f>
        <v>格納済み</v>
      </c>
      <c r="U4248" s="9" t="str">
        <f>IFERROR(__xludf.DUMMYFUNCTION("""COMPUTED_VALUE"""),"（C）いのうえさきこ（秋田書店）")</f>
        <v>（C）いのうえさきこ（秋田書店）</v>
      </c>
      <c r="V4248" s="8"/>
      <c r="W4248" s="8"/>
      <c r="X4248" s="8" t="str">
        <f>IFERROR(__xludf.DUMMYFUNCTION("""COMPUTED_VALUE"""),"有")</f>
        <v>有</v>
      </c>
      <c r="Y4248" s="8" t="str">
        <f>IFERROR(__xludf.DUMMYFUNCTION("""COMPUTED_VALUE"""),"2026/1/8まで1巻無料")</f>
        <v>2026/1/8まで1巻無料</v>
      </c>
      <c r="Z4248" s="7"/>
      <c r="AA4248" s="7"/>
      <c r="AB4248" s="7"/>
    </row>
    <row r="4249" ht="15.75" customHeight="1">
      <c r="A4249" s="26">
        <f>IFERROR(__xludf.DUMMYFUNCTION("""COMPUTED_VALUE"""),6753.0)</f>
        <v>6753</v>
      </c>
      <c r="B4249" s="22" t="str">
        <f>IFERROR(__xludf.DUMMYFUNCTION("""COMPUTED_VALUE"""),"確定")</f>
        <v>確定</v>
      </c>
      <c r="C4249" s="28">
        <f>IFERROR(__xludf.DUMMYFUNCTION("""COMPUTED_VALUE"""),45959.0)</f>
        <v>45959</v>
      </c>
      <c r="D4249" s="28">
        <f>IFERROR(__xludf.DUMMYFUNCTION("""COMPUTED_VALUE"""),45967.0)</f>
        <v>45967</v>
      </c>
      <c r="E4249" s="26">
        <f>IFERROR(__xludf.DUMMYFUNCTION("""COMPUTED_VALUE"""),346216.0)</f>
        <v>346216</v>
      </c>
      <c r="F4249" s="22" t="str">
        <f>IFERROR(__xludf.DUMMYFUNCTION("""COMPUTED_VALUE"""),"修学旅行で仲良くないグループに入りました【単話版】")</f>
        <v>修学旅行で仲良くないグループに入りました【単話版】</v>
      </c>
      <c r="G4249" s="20" t="str">
        <f>IFERROR(__xludf.DUMMYFUNCTION("""COMPUTED_VALUE"""),"1～3")</f>
        <v>1～3</v>
      </c>
      <c r="H4249" s="22" t="str">
        <f>IFERROR(__xludf.DUMMYFUNCTION("""COMPUTED_VALUE"""),"こむぎ（作画）隠木鶉（原作）")</f>
        <v>こむぎ（作画）隠木鶉（原作）</v>
      </c>
      <c r="I4249" s="22" t="str">
        <f>IFERROR(__xludf.DUMMYFUNCTION("""COMPUTED_VALUE"""),"BL")</f>
        <v>BL</v>
      </c>
      <c r="J4249" s="22"/>
      <c r="K4249" s="22" t="str">
        <f>IFERROR(__xludf.DUMMYFUNCTION("""COMPUTED_VALUE"""),"BeLuck COMICS")</f>
        <v>BeLuck COMICS</v>
      </c>
      <c r="L4249" s="22" t="str">
        <f>IFERROR(__xludf.DUMMYFUNCTION("""COMPUTED_VALUE"""),"スターツ出版")</f>
        <v>スターツ出版</v>
      </c>
      <c r="M4249" s="33">
        <f>IFERROR(__xludf.DUMMYFUNCTION("""COMPUTED_VALUE"""),45996.0)</f>
        <v>45996</v>
      </c>
      <c r="N4249" s="33">
        <f>IFERROR(__xludf.DUMMYFUNCTION("""COMPUTED_VALUE"""),46058.0)</f>
        <v>46058</v>
      </c>
      <c r="O4249" s="20"/>
      <c r="P4249" s="32" t="str">
        <f>IFERROR(__xludf.DUMMYFUNCTION("""COMPUTED_VALUE"""),"否")</f>
        <v>否</v>
      </c>
      <c r="Q4249" s="30"/>
      <c r="R4249" s="22"/>
      <c r="S4249" s="22" t="str">
        <f>IFERROR(__xludf.DUMMYFUNCTION("""COMPUTED_VALUE"""),"20251029_スターツ出版_修学旅行で仲良くないグループに入りました")</f>
        <v>20251029_スターツ出版_修学旅行で仲良くないグループに入りました</v>
      </c>
      <c r="T4249" s="22" t="str">
        <f>IFERROR(__xludf.DUMMYFUNCTION("""COMPUTED_VALUE"""),"格納済み")</f>
        <v>格納済み</v>
      </c>
      <c r="U4249" s="9" t="str">
        <f>IFERROR(__xludf.DUMMYFUNCTION("""COMPUTED_VALUE"""),"（C）Komugi・Uzura Kakuregi/スターツ出版")</f>
        <v>（C）Komugi・Uzura Kakuregi/スターツ出版</v>
      </c>
      <c r="V4249" s="8"/>
      <c r="W4249" s="8"/>
      <c r="X4249" s="8" t="str">
        <f>IFERROR(__xludf.DUMMYFUNCTION("""COMPUTED_VALUE"""),"有")</f>
        <v>有</v>
      </c>
      <c r="Y4249" s="8" t="str">
        <f>IFERROR(__xludf.DUMMYFUNCTION("""COMPUTED_VALUE"""),"2026/2/5まで1巻無料")</f>
        <v>2026/2/5まで1巻無料</v>
      </c>
      <c r="Z4249" s="7"/>
      <c r="AA4249" s="7"/>
      <c r="AB4249" s="7"/>
    </row>
    <row r="4250" ht="15.75" customHeight="1">
      <c r="A4250" s="26">
        <f>IFERROR(__xludf.DUMMYFUNCTION("""COMPUTED_VALUE"""),6754.0)</f>
        <v>6754</v>
      </c>
      <c r="B4250" s="22" t="str">
        <f>IFERROR(__xludf.DUMMYFUNCTION("""COMPUTED_VALUE"""),"確定")</f>
        <v>確定</v>
      </c>
      <c r="C4250" s="28">
        <f>IFERROR(__xludf.DUMMYFUNCTION("""COMPUTED_VALUE"""),45959.0)</f>
        <v>45959</v>
      </c>
      <c r="D4250" s="28">
        <f>IFERROR(__xludf.DUMMYFUNCTION("""COMPUTED_VALUE"""),45967.0)</f>
        <v>45967</v>
      </c>
      <c r="E4250" s="26">
        <f>IFERROR(__xludf.DUMMYFUNCTION("""COMPUTED_VALUE"""),346217.0)</f>
        <v>346217</v>
      </c>
      <c r="F4250" s="22" t="str">
        <f>IFERROR(__xludf.DUMMYFUNCTION("""COMPUTED_VALUE"""),"フミヤ先輩と、好きバレ済みの僕。【単話版】")</f>
        <v>フミヤ先輩と、好きバレ済みの僕。【単話版】</v>
      </c>
      <c r="G4250" s="20" t="str">
        <f>IFERROR(__xludf.DUMMYFUNCTION("""COMPUTED_VALUE"""),"1～3")</f>
        <v>1～3</v>
      </c>
      <c r="H4250" s="22" t="str">
        <f>IFERROR(__xludf.DUMMYFUNCTION("""COMPUTED_VALUE"""),"小井湖イコ（作画）　椿ゆず（原作）")</f>
        <v>小井湖イコ（作画）　椿ゆず（原作）</v>
      </c>
      <c r="I4250" s="22" t="str">
        <f>IFERROR(__xludf.DUMMYFUNCTION("""COMPUTED_VALUE"""),"BL")</f>
        <v>BL</v>
      </c>
      <c r="J4250" s="22"/>
      <c r="K4250" s="22" t="str">
        <f>IFERROR(__xludf.DUMMYFUNCTION("""COMPUTED_VALUE"""),"BeLuck COMICS")</f>
        <v>BeLuck COMICS</v>
      </c>
      <c r="L4250" s="22" t="str">
        <f>IFERROR(__xludf.DUMMYFUNCTION("""COMPUTED_VALUE"""),"スターツ出版")</f>
        <v>スターツ出版</v>
      </c>
      <c r="M4250" s="33">
        <f>IFERROR(__xludf.DUMMYFUNCTION("""COMPUTED_VALUE"""),45996.0)</f>
        <v>45996</v>
      </c>
      <c r="N4250" s="33">
        <f>IFERROR(__xludf.DUMMYFUNCTION("""COMPUTED_VALUE"""),46058.0)</f>
        <v>46058</v>
      </c>
      <c r="O4250" s="20"/>
      <c r="P4250" s="32" t="str">
        <f>IFERROR(__xludf.DUMMYFUNCTION("""COMPUTED_VALUE"""),"否")</f>
        <v>否</v>
      </c>
      <c r="Q4250" s="30"/>
      <c r="R4250" s="22"/>
      <c r="S4250" s="22" t="str">
        <f>IFERROR(__xludf.DUMMYFUNCTION("""COMPUTED_VALUE"""),"20251029_スターツ出版_フミヤ先輩と、好きバレ済みの僕。")</f>
        <v>20251029_スターツ出版_フミヤ先輩と、好きバレ済みの僕。</v>
      </c>
      <c r="T4250" s="22" t="str">
        <f>IFERROR(__xludf.DUMMYFUNCTION("""COMPUTED_VALUE"""),"格納済み")</f>
        <v>格納済み</v>
      </c>
      <c r="U4250" s="9" t="str">
        <f>IFERROR(__xludf.DUMMYFUNCTION("""COMPUTED_VALUE"""),"（C）小井湖イコ・Yuzu Tsubaki/スターツ出版")</f>
        <v>（C）小井湖イコ・Yuzu Tsubaki/スターツ出版</v>
      </c>
      <c r="V4250" s="8"/>
      <c r="W4250" s="8"/>
      <c r="X4250" s="8" t="str">
        <f>IFERROR(__xludf.DUMMYFUNCTION("""COMPUTED_VALUE"""),"有")</f>
        <v>有</v>
      </c>
      <c r="Y4250" s="8" t="str">
        <f>IFERROR(__xludf.DUMMYFUNCTION("""COMPUTED_VALUE"""),"2026/2/5まで1巻無料")</f>
        <v>2026/2/5まで1巻無料</v>
      </c>
      <c r="Z4250" s="7"/>
      <c r="AA4250" s="7"/>
      <c r="AB4250" s="7"/>
    </row>
    <row r="4251" ht="15.75" customHeight="1">
      <c r="A4251" s="26">
        <f>IFERROR(__xludf.DUMMYFUNCTION("""COMPUTED_VALUE"""),6756.0)</f>
        <v>6756</v>
      </c>
      <c r="B4251" s="22" t="str">
        <f>IFERROR(__xludf.DUMMYFUNCTION("""COMPUTED_VALUE"""),"確定")</f>
        <v>確定</v>
      </c>
      <c r="C4251" s="28">
        <f>IFERROR(__xludf.DUMMYFUNCTION("""COMPUTED_VALUE"""),45959.0)</f>
        <v>45959</v>
      </c>
      <c r="D4251" s="28">
        <f>IFERROR(__xludf.DUMMYFUNCTION("""COMPUTED_VALUE"""),45972.0)</f>
        <v>45972</v>
      </c>
      <c r="E4251" s="26">
        <f>IFERROR(__xludf.DUMMYFUNCTION("""COMPUTED_VALUE"""),345925.0)</f>
        <v>345925</v>
      </c>
      <c r="F4251" s="22" t="str">
        <f>IFERROR(__xludf.DUMMYFUNCTION("""COMPUTED_VALUE"""),"【単話売】イケメン女子と彼氏と彼女")</f>
        <v>【単話売】イケメン女子と彼氏と彼女</v>
      </c>
      <c r="G4251" s="20" t="str">
        <f>IFERROR(__xludf.DUMMYFUNCTION("""COMPUTED_VALUE"""),"1～3")</f>
        <v>1～3</v>
      </c>
      <c r="H4251" s="22" t="str">
        <f>IFERROR(__xludf.DUMMYFUNCTION("""COMPUTED_VALUE"""),"紅迫春実")</f>
        <v>紅迫春実</v>
      </c>
      <c r="I4251" s="22" t="str">
        <f>IFERROR(__xludf.DUMMYFUNCTION("""COMPUTED_VALUE"""),"女性")</f>
        <v>女性</v>
      </c>
      <c r="J4251" s="22"/>
      <c r="K4251" s="22"/>
      <c r="L4251" s="22" t="str">
        <f>IFERROR(__xludf.DUMMYFUNCTION("""COMPUTED_VALUE"""),"集英社")</f>
        <v>集英社</v>
      </c>
      <c r="M4251" s="33">
        <f>IFERROR(__xludf.DUMMYFUNCTION("""COMPUTED_VALUE"""),46017.0)</f>
        <v>46017</v>
      </c>
      <c r="N4251" s="33">
        <f>IFERROR(__xludf.DUMMYFUNCTION("""COMPUTED_VALUE"""),46044.0)</f>
        <v>46044</v>
      </c>
      <c r="O4251" s="20"/>
      <c r="P4251" s="32" t="str">
        <f>IFERROR(__xludf.DUMMYFUNCTION("""COMPUTED_VALUE"""),"否")</f>
        <v>否</v>
      </c>
      <c r="Q4251" s="30"/>
      <c r="R4251" s="22" t="str">
        <f>IFERROR(__xludf.DUMMYFUNCTION("""COMPUTED_VALUE"""),"コミットOK")</f>
        <v>コミットOK</v>
      </c>
      <c r="S4251" s="22" t="str">
        <f>IFERROR(__xludf.DUMMYFUNCTION("""COMPUTED_VALUE"""),"20251111_集英社_イケメン女子と彼氏と彼女")</f>
        <v>20251111_集英社_イケメン女子と彼氏と彼女</v>
      </c>
      <c r="T4251" s="22" t="str">
        <f>IFERROR(__xludf.DUMMYFUNCTION("""COMPUTED_VALUE"""),"格納済み")</f>
        <v>格納済み</v>
      </c>
      <c r="U4251" s="9" t="str">
        <f>IFERROR(__xludf.DUMMYFUNCTION("""COMPUTED_VALUE"""),"（C)紅迫春実／集英社クリエイティブ")</f>
        <v>（C)紅迫春実／集英社クリエイティブ</v>
      </c>
      <c r="V4251" s="8"/>
      <c r="W4251" s="8"/>
      <c r="X4251" s="8" t="str">
        <f>IFERROR(__xludf.DUMMYFUNCTION("""COMPUTED_VALUE"""),"有")</f>
        <v>有</v>
      </c>
      <c r="Y4251" s="8" t="str">
        <f>IFERROR(__xludf.DUMMYFUNCTION("""COMPUTED_VALUE"""),"2026/1/25まで1巻無料")</f>
        <v>2026/1/25まで1巻無料</v>
      </c>
      <c r="Z4251" s="7"/>
      <c r="AA4251" s="7"/>
      <c r="AB4251" s="7"/>
    </row>
    <row r="4252" ht="15.75" customHeight="1">
      <c r="A4252" s="26">
        <f>IFERROR(__xludf.DUMMYFUNCTION("""COMPUTED_VALUE"""),6776.0)</f>
        <v>6776</v>
      </c>
      <c r="B4252" s="22" t="str">
        <f>IFERROR(__xludf.DUMMYFUNCTION("""COMPUTED_VALUE"""),"確定")</f>
        <v>確定</v>
      </c>
      <c r="C4252" s="28">
        <f>IFERROR(__xludf.DUMMYFUNCTION("""COMPUTED_VALUE"""),45965.0)</f>
        <v>45965</v>
      </c>
      <c r="D4252" s="28">
        <f>IFERROR(__xludf.DUMMYFUNCTION("""COMPUTED_VALUE"""),45973.0)</f>
        <v>45973</v>
      </c>
      <c r="E4252" s="26">
        <f>IFERROR(__xludf.DUMMYFUNCTION("""COMPUTED_VALUE"""),344611.0)</f>
        <v>344611</v>
      </c>
      <c r="F4252" s="22" t="str">
        <f>IFERROR(__xludf.DUMMYFUNCTION("""COMPUTED_VALUE"""),"【単話】オンニって呼んでもいいですか？")</f>
        <v>【単話】オンニって呼んでもいいですか？</v>
      </c>
      <c r="G4252" s="20" t="str">
        <f>IFERROR(__xludf.DUMMYFUNCTION("""COMPUTED_VALUE"""),"1～3")</f>
        <v>1～3</v>
      </c>
      <c r="H4252" s="22" t="str">
        <f>IFERROR(__xludf.DUMMYFUNCTION("""COMPUTED_VALUE"""),"花影あると")</f>
        <v>花影あると</v>
      </c>
      <c r="I4252" s="22" t="str">
        <f>IFERROR(__xludf.DUMMYFUNCTION("""COMPUTED_VALUE"""),"女性")</f>
        <v>女性</v>
      </c>
      <c r="J4252" s="22"/>
      <c r="K4252" s="22"/>
      <c r="L4252" s="22" t="str">
        <f>IFERROR(__xludf.DUMMYFUNCTION("""COMPUTED_VALUE"""),"KADOKAWA")</f>
        <v>KADOKAWA</v>
      </c>
      <c r="M4252" s="33">
        <f>IFERROR(__xludf.DUMMYFUNCTION("""COMPUTED_VALUE"""),45996.0)</f>
        <v>45996</v>
      </c>
      <c r="N4252" s="33">
        <f>IFERROR(__xludf.DUMMYFUNCTION("""COMPUTED_VALUE"""),46119.0)</f>
        <v>46119</v>
      </c>
      <c r="O4252" s="20"/>
      <c r="P4252" s="32" t="str">
        <f>IFERROR(__xludf.DUMMYFUNCTION("""COMPUTED_VALUE"""),"否")</f>
        <v>否</v>
      </c>
      <c r="Q4252" s="30"/>
      <c r="R4252" s="22"/>
      <c r="S4252" s="22"/>
      <c r="T4252" s="22" t="str">
        <f>IFERROR(__xludf.DUMMYFUNCTION("""COMPUTED_VALUE"""),"格納済み")</f>
        <v>格納済み</v>
      </c>
      <c r="U4252" s="9" t="str">
        <f>IFERROR(__xludf.DUMMYFUNCTION("""COMPUTED_VALUE"""),"(C) Alt Hanakage")</f>
        <v>(C) Alt Hanakage</v>
      </c>
      <c r="V4252" s="8"/>
      <c r="W4252" s="8"/>
      <c r="X4252" s="8" t="str">
        <f>IFERROR(__xludf.DUMMYFUNCTION("""COMPUTED_VALUE"""),"有")</f>
        <v>有</v>
      </c>
      <c r="Y4252" s="8" t="str">
        <f>IFERROR(__xludf.DUMMYFUNCTION("""COMPUTED_VALUE"""),"2025/4/30まで1巻無料")</f>
        <v>2025/4/30まで1巻無料</v>
      </c>
      <c r="Z4252" s="7"/>
      <c r="AA4252" s="7"/>
      <c r="AB4252" s="7"/>
    </row>
    <row r="4253" ht="15.75" customHeight="1">
      <c r="A4253" s="26">
        <f>IFERROR(__xludf.DUMMYFUNCTION("""COMPUTED_VALUE"""),6784.0)</f>
        <v>6784</v>
      </c>
      <c r="B4253" s="22" t="str">
        <f>IFERROR(__xludf.DUMMYFUNCTION("""COMPUTED_VALUE"""),"確定")</f>
        <v>確定</v>
      </c>
      <c r="C4253" s="28">
        <f>IFERROR(__xludf.DUMMYFUNCTION("""COMPUTED_VALUE"""),45965.0)</f>
        <v>45965</v>
      </c>
      <c r="D4253" s="28">
        <f>IFERROR(__xludf.DUMMYFUNCTION("""COMPUTED_VALUE"""),45972.0)</f>
        <v>45972</v>
      </c>
      <c r="E4253" s="26">
        <f>IFERROR(__xludf.DUMMYFUNCTION("""COMPUTED_VALUE"""),345474.0)</f>
        <v>345474</v>
      </c>
      <c r="F4253" s="22" t="str">
        <f>IFERROR(__xludf.DUMMYFUNCTION("""COMPUTED_VALUE"""),"孤島華宮の伝書蜂【単話】")</f>
        <v>孤島華宮の伝書蜂【単話】</v>
      </c>
      <c r="G4253" s="20" t="str">
        <f>IFERROR(__xludf.DUMMYFUNCTION("""COMPUTED_VALUE"""),"1～3")</f>
        <v>1～3</v>
      </c>
      <c r="H4253" s="22" t="str">
        <f>IFERROR(__xludf.DUMMYFUNCTION("""COMPUTED_VALUE"""),"みやのはる")</f>
        <v>みやのはる</v>
      </c>
      <c r="I4253" s="22" t="str">
        <f>IFERROR(__xludf.DUMMYFUNCTION("""COMPUTED_VALUE"""),"女性")</f>
        <v>女性</v>
      </c>
      <c r="J4253" s="22"/>
      <c r="K4253" s="22"/>
      <c r="L4253" s="22" t="str">
        <f>IFERROR(__xludf.DUMMYFUNCTION("""COMPUTED_VALUE"""),"朝日新聞出版")</f>
        <v>朝日新聞出版</v>
      </c>
      <c r="M4253" s="33">
        <f>IFERROR(__xludf.DUMMYFUNCTION("""COMPUTED_VALUE"""),46021.0)</f>
        <v>46021</v>
      </c>
      <c r="N4253" s="33">
        <f>IFERROR(__xludf.DUMMYFUNCTION("""COMPUTED_VALUE"""),46110.0)</f>
        <v>46110</v>
      </c>
      <c r="O4253" s="20"/>
      <c r="P4253" s="32" t="str">
        <f>IFERROR(__xludf.DUMMYFUNCTION("""COMPUTED_VALUE"""),"可")</f>
        <v>可</v>
      </c>
      <c r="Q4253" s="30"/>
      <c r="R4253" s="22" t="str">
        <f>IFERROR(__xludf.DUMMYFUNCTION("""COMPUTED_VALUE"""),"コミットNG")</f>
        <v>コミットNG</v>
      </c>
      <c r="S4253" s="22" t="str">
        <f>IFERROR(__xludf.DUMMYFUNCTION("""COMPUTED_VALUE"""),"20251104_朝日新聞出版_孤島華宮の伝書蜂")</f>
        <v>20251104_朝日新聞出版_孤島華宮の伝書蜂</v>
      </c>
      <c r="T4253" s="22" t="str">
        <f>IFERROR(__xludf.DUMMYFUNCTION("""COMPUTED_VALUE"""),"格納済み")</f>
        <v>格納済み</v>
      </c>
      <c r="U4253" s="9" t="str">
        <f>IFERROR(__xludf.DUMMYFUNCTION("""COMPUTED_VALUE"""),"(C) みやのはる／朝日新聞出版")</f>
        <v>(C) みやのはる／朝日新聞出版</v>
      </c>
      <c r="V4253" s="8"/>
      <c r="W4253" s="8"/>
      <c r="X4253" s="8" t="str">
        <f>IFERROR(__xludf.DUMMYFUNCTION("""COMPUTED_VALUE"""),"有")</f>
        <v>有</v>
      </c>
      <c r="Y4253" s="8" t="str">
        <f>IFERROR(__xludf.DUMMYFUNCTION("""COMPUTED_VALUE"""),"1巻無料")</f>
        <v>1巻無料</v>
      </c>
      <c r="Z4253" s="7"/>
      <c r="AA4253" s="7"/>
      <c r="AB4253" s="7"/>
    </row>
    <row r="4254" ht="15.75" customHeight="1">
      <c r="A4254" s="26">
        <f>IFERROR(__xludf.DUMMYFUNCTION("""COMPUTED_VALUE"""),6788.0)</f>
        <v>6788</v>
      </c>
      <c r="B4254" s="22" t="str">
        <f>IFERROR(__xludf.DUMMYFUNCTION("""COMPUTED_VALUE"""),"確定")</f>
        <v>確定</v>
      </c>
      <c r="C4254" s="28">
        <f>IFERROR(__xludf.DUMMYFUNCTION("""COMPUTED_VALUE"""),45965.0)</f>
        <v>45965</v>
      </c>
      <c r="D4254" s="28">
        <f>IFERROR(__xludf.DUMMYFUNCTION("""COMPUTED_VALUE"""),45972.0)</f>
        <v>45972</v>
      </c>
      <c r="E4254" s="26">
        <f>IFERROR(__xludf.DUMMYFUNCTION("""COMPUTED_VALUE"""),323512.0)</f>
        <v>323512</v>
      </c>
      <c r="F4254" s="22" t="str">
        <f>IFERROR(__xludf.DUMMYFUNCTION("""COMPUTED_VALUE"""),"愛してる、だから君を殺すことにした")</f>
        <v>愛してる、だから君を殺すことにした</v>
      </c>
      <c r="G4254" s="20" t="str">
        <f>IFERROR(__xludf.DUMMYFUNCTION("""COMPUTED_VALUE"""),"1～3")</f>
        <v>1～3</v>
      </c>
      <c r="H4254" s="22" t="str">
        <f>IFERROR(__xludf.DUMMYFUNCTION("""COMPUTED_VALUE"""),"橘えいこ")</f>
        <v>橘えいこ</v>
      </c>
      <c r="I4254" s="22" t="str">
        <f>IFERROR(__xludf.DUMMYFUNCTION("""COMPUTED_VALUE"""),"女性マンガ")</f>
        <v>女性マンガ</v>
      </c>
      <c r="J4254" s="22"/>
      <c r="K4254" s="22" t="str">
        <f>IFERROR(__xludf.DUMMYFUNCTION("""COMPUTED_VALUE"""),"恋するソワレ")</f>
        <v>恋するソワレ</v>
      </c>
      <c r="L4254" s="22" t="str">
        <f>IFERROR(__xludf.DUMMYFUNCTION("""COMPUTED_VALUE"""),"シーモアコミックス")</f>
        <v>シーモアコミックス</v>
      </c>
      <c r="M4254" s="33">
        <f>IFERROR(__xludf.DUMMYFUNCTION("""COMPUTED_VALUE"""),46004.0)</f>
        <v>46004</v>
      </c>
      <c r="N4254" s="33">
        <f>IFERROR(__xludf.DUMMYFUNCTION("""COMPUTED_VALUE"""),46156.66666666667)</f>
        <v>46156.66667</v>
      </c>
      <c r="O4254" s="20"/>
      <c r="P4254" s="32" t="str">
        <f>IFERROR(__xludf.DUMMYFUNCTION("""COMPUTED_VALUE"""),"可")</f>
        <v>可</v>
      </c>
      <c r="Q4254" s="30"/>
      <c r="R4254" s="22"/>
      <c r="S4254" s="22" t="str">
        <f>IFERROR(__xludf.DUMMYFUNCTION("""COMPUTED_VALUE"""),"20251104_シーモアコミックス_愛してる、だから君を殺すことにした")</f>
        <v>20251104_シーモアコミックス_愛してる、だから君を殺すことにした</v>
      </c>
      <c r="T4254" s="22" t="str">
        <f>IFERROR(__xludf.DUMMYFUNCTION("""COMPUTED_VALUE"""),"格納済み")</f>
        <v>格納済み</v>
      </c>
      <c r="U4254" s="9" t="str">
        <f>IFERROR(__xludf.DUMMYFUNCTION("""COMPUTED_VALUE"""),"(C) 橘えいこ/シーモアコミックス")</f>
        <v>(C) 橘えいこ/シーモアコミックス</v>
      </c>
      <c r="V4254" s="8"/>
      <c r="W4254" s="8"/>
      <c r="X4254" s="8" t="str">
        <f>IFERROR(__xludf.DUMMYFUNCTION("""COMPUTED_VALUE"""),"有")</f>
        <v>有</v>
      </c>
      <c r="Y4254" s="8" t="str">
        <f>IFERROR(__xludf.DUMMYFUNCTION("""COMPUTED_VALUE"""),"P17まで")</f>
        <v>P17まで</v>
      </c>
      <c r="Z4254" s="7"/>
      <c r="AA4254" s="7"/>
      <c r="AB4254" s="7"/>
    </row>
    <row r="4255" ht="15.75" customHeight="1">
      <c r="A4255" s="26">
        <f>IFERROR(__xludf.DUMMYFUNCTION("""COMPUTED_VALUE"""),6789.0)</f>
        <v>6789</v>
      </c>
      <c r="B4255" s="22" t="str">
        <f>IFERROR(__xludf.DUMMYFUNCTION("""COMPUTED_VALUE"""),"確定")</f>
        <v>確定</v>
      </c>
      <c r="C4255" s="28">
        <f>IFERROR(__xludf.DUMMYFUNCTION("""COMPUTED_VALUE"""),45965.0)</f>
        <v>45965</v>
      </c>
      <c r="D4255" s="28">
        <f>IFERROR(__xludf.DUMMYFUNCTION("""COMPUTED_VALUE"""),45972.0)</f>
        <v>45972</v>
      </c>
      <c r="E4255" s="26">
        <f>IFERROR(__xludf.DUMMYFUNCTION("""COMPUTED_VALUE"""),337197.0)</f>
        <v>337197</v>
      </c>
      <c r="F4255" s="22" t="str">
        <f>IFERROR(__xludf.DUMMYFUNCTION("""COMPUTED_VALUE"""),"裏オプ物件(フルカラー)")</f>
        <v>裏オプ物件(フルカラー)</v>
      </c>
      <c r="G4255" s="20" t="str">
        <f>IFERROR(__xludf.DUMMYFUNCTION("""COMPUTED_VALUE"""),"1～3")</f>
        <v>1～3</v>
      </c>
      <c r="H4255" s="22" t="str">
        <f>IFERROR(__xludf.DUMMYFUNCTION("""COMPUTED_VALUE"""),"イルナ,ハチミツアナグマ")</f>
        <v>イルナ,ハチミツアナグマ</v>
      </c>
      <c r="I4255" s="22" t="str">
        <f>IFERROR(__xludf.DUMMYFUNCTION("""COMPUTED_VALUE"""),"青年マンガ")</f>
        <v>青年マンガ</v>
      </c>
      <c r="J4255" s="22"/>
      <c r="K4255" s="22" t="str">
        <f>IFERROR(__xludf.DUMMYFUNCTION("""COMPUTED_VALUE"""),"桃色エンジェル")</f>
        <v>桃色エンジェル</v>
      </c>
      <c r="L4255" s="22" t="str">
        <f>IFERROR(__xludf.DUMMYFUNCTION("""COMPUTED_VALUE"""),"シーモアコミックス")</f>
        <v>シーモアコミックス</v>
      </c>
      <c r="M4255" s="33">
        <f>IFERROR(__xludf.DUMMYFUNCTION("""COMPUTED_VALUE"""),46004.0)</f>
        <v>46004</v>
      </c>
      <c r="N4255" s="33">
        <f>IFERROR(__xludf.DUMMYFUNCTION("""COMPUTED_VALUE"""),2958465.0)</f>
        <v>2958465</v>
      </c>
      <c r="O4255" s="20"/>
      <c r="P4255" s="32" t="str">
        <f>IFERROR(__xludf.DUMMYFUNCTION("""COMPUTED_VALUE"""),"可")</f>
        <v>可</v>
      </c>
      <c r="Q4255" s="30" t="str">
        <f>IFERROR(__xludf.DUMMYFUNCTION("""COMPUTED_VALUE"""),"【アダルト作品扱い】")</f>
        <v>【アダルト作品扱い】</v>
      </c>
      <c r="R4255" s="22"/>
      <c r="S4255" s="22" t="str">
        <f>IFERROR(__xludf.DUMMYFUNCTION("""COMPUTED_VALUE"""),"20251104_シーモアコミックス_裏オプ物件（フルカラー）")</f>
        <v>20251104_シーモアコミックス_裏オプ物件（フルカラー）</v>
      </c>
      <c r="T4255" s="22" t="str">
        <f>IFERROR(__xludf.DUMMYFUNCTION("""COMPUTED_VALUE"""),"格納済み")</f>
        <v>格納済み</v>
      </c>
      <c r="U4255" s="9" t="str">
        <f>IFERROR(__xludf.DUMMYFUNCTION("""COMPUTED_VALUE"""),"(C) イルナ/ハチミツアナグマ/ARCHIWOOL/MIZURE/シーモアコミックス")</f>
        <v>(C) イルナ/ハチミツアナグマ/ARCHIWOOL/MIZURE/シーモアコミックス</v>
      </c>
      <c r="V4255" s="8"/>
      <c r="W4255" s="8"/>
      <c r="X4255" s="8" t="str">
        <f>IFERROR(__xludf.DUMMYFUNCTION("""COMPUTED_VALUE"""),"有")</f>
        <v>有</v>
      </c>
      <c r="Y4255" s="8" t="str">
        <f>IFERROR(__xludf.DUMMYFUNCTION("""COMPUTED_VALUE"""),"P11まで")</f>
        <v>P11まで</v>
      </c>
      <c r="Z4255" s="7"/>
      <c r="AA4255" s="7"/>
      <c r="AB4255" s="7"/>
    </row>
    <row r="4256" ht="15.75" customHeight="1">
      <c r="A4256" s="26">
        <f>IFERROR(__xludf.DUMMYFUNCTION("""COMPUTED_VALUE"""),6790.0)</f>
        <v>6790</v>
      </c>
      <c r="B4256" s="22" t="str">
        <f>IFERROR(__xludf.DUMMYFUNCTION("""COMPUTED_VALUE"""),"確定")</f>
        <v>確定</v>
      </c>
      <c r="C4256" s="28">
        <f>IFERROR(__xludf.DUMMYFUNCTION("""COMPUTED_VALUE"""),45965.0)</f>
        <v>45965</v>
      </c>
      <c r="D4256" s="28">
        <f>IFERROR(__xludf.DUMMYFUNCTION("""COMPUTED_VALUE"""),45972.0)</f>
        <v>45972</v>
      </c>
      <c r="E4256" s="26">
        <f>IFERROR(__xludf.DUMMYFUNCTION("""COMPUTED_VALUE"""),337198.0)</f>
        <v>337198</v>
      </c>
      <c r="F4256" s="22" t="str">
        <f>IFERROR(__xludf.DUMMYFUNCTION("""COMPUTED_VALUE"""),"裏オプ物件【タテヨミ】")</f>
        <v>裏オプ物件【タテヨミ】</v>
      </c>
      <c r="G4256" s="20" t="str">
        <f>IFERROR(__xludf.DUMMYFUNCTION("""COMPUTED_VALUE"""),"1～6")</f>
        <v>1～6</v>
      </c>
      <c r="H4256" s="22" t="str">
        <f>IFERROR(__xludf.DUMMYFUNCTION("""COMPUTED_VALUE"""),"イルナ,ハチミツアナグマ")</f>
        <v>イルナ,ハチミツアナグマ</v>
      </c>
      <c r="I4256" s="22" t="str">
        <f>IFERROR(__xludf.DUMMYFUNCTION("""COMPUTED_VALUE"""),"青年マンガ")</f>
        <v>青年マンガ</v>
      </c>
      <c r="J4256" s="22"/>
      <c r="K4256" s="22" t="str">
        <f>IFERROR(__xludf.DUMMYFUNCTION("""COMPUTED_VALUE"""),"桃色エンジェル")</f>
        <v>桃色エンジェル</v>
      </c>
      <c r="L4256" s="22" t="str">
        <f>IFERROR(__xludf.DUMMYFUNCTION("""COMPUTED_VALUE"""),"シーモアコミックス")</f>
        <v>シーモアコミックス</v>
      </c>
      <c r="M4256" s="33">
        <f>IFERROR(__xludf.DUMMYFUNCTION("""COMPUTED_VALUE"""),46004.0)</f>
        <v>46004</v>
      </c>
      <c r="N4256" s="33">
        <f>IFERROR(__xludf.DUMMYFUNCTION("""COMPUTED_VALUE"""),2958465.0)</f>
        <v>2958465</v>
      </c>
      <c r="O4256" s="20"/>
      <c r="P4256" s="32" t="str">
        <f>IFERROR(__xludf.DUMMYFUNCTION("""COMPUTED_VALUE"""),"可")</f>
        <v>可</v>
      </c>
      <c r="Q4256" s="30" t="str">
        <f>IFERROR(__xludf.DUMMYFUNCTION("""COMPUTED_VALUE"""),"【アダルト作品扱い】&lt;BR&gt;※コマサム等素材は「337197　裏オプ物件(フルカラー)」の方をお使いください。バナー制作はフルカラー版の素材を利用して問題ございません。&lt;BR&gt;")</f>
        <v>【アダルト作品扱い】&lt;BR&gt;※コマサム等素材は「337197　裏オプ物件(フルカラー)」の方をお使いください。バナー制作はフルカラー版の素材を利用して問題ございません。&lt;BR&gt;</v>
      </c>
      <c r="R4256" s="22"/>
      <c r="S4256" s="22" t="str">
        <f>IFERROR(__xludf.DUMMYFUNCTION("""COMPUTED_VALUE"""),"20251104_シーモアコミックス_裏オプ物件【タテヨミ】")</f>
        <v>20251104_シーモアコミックス_裏オプ物件【タテヨミ】</v>
      </c>
      <c r="T4256" s="22" t="str">
        <f>IFERROR(__xludf.DUMMYFUNCTION("""COMPUTED_VALUE"""),"格納済み")</f>
        <v>格納済み</v>
      </c>
      <c r="U4256" s="9" t="str">
        <f>IFERROR(__xludf.DUMMYFUNCTION("""COMPUTED_VALUE"""),"(C) イルナ/ハチミツアナグマ/ARCHIWOOL/MIZURE/シーモアコミックス")</f>
        <v>(C) イルナ/ハチミツアナグマ/ARCHIWOOL/MIZURE/シーモアコミックス</v>
      </c>
      <c r="V4256" s="8"/>
      <c r="W4256" s="8"/>
      <c r="X4256" s="8" t="str">
        <f>IFERROR(__xludf.DUMMYFUNCTION("""COMPUTED_VALUE"""),"有")</f>
        <v>有</v>
      </c>
      <c r="Y4256" s="8" t="str">
        <f>IFERROR(__xludf.DUMMYFUNCTION("""COMPUTED_VALUE"""),"1巻無料")</f>
        <v>1巻無料</v>
      </c>
      <c r="Z4256" s="7"/>
      <c r="AA4256" s="7"/>
      <c r="AB4256" s="7"/>
    </row>
    <row r="4257" ht="15.75" customHeight="1">
      <c r="A4257" s="26">
        <f>IFERROR(__xludf.DUMMYFUNCTION("""COMPUTED_VALUE"""),6792.0)</f>
        <v>6792</v>
      </c>
      <c r="B4257" s="22" t="str">
        <f>IFERROR(__xludf.DUMMYFUNCTION("""COMPUTED_VALUE"""),"確定")</f>
        <v>確定</v>
      </c>
      <c r="C4257" s="28">
        <f>IFERROR(__xludf.DUMMYFUNCTION("""COMPUTED_VALUE"""),45965.0)</f>
        <v>45965</v>
      </c>
      <c r="D4257" s="28">
        <f>IFERROR(__xludf.DUMMYFUNCTION("""COMPUTED_VALUE"""),45973.0)</f>
        <v>45973</v>
      </c>
      <c r="E4257" s="26">
        <f>IFERROR(__xludf.DUMMYFUNCTION("""COMPUTED_VALUE"""),342521.0)</f>
        <v>342521</v>
      </c>
      <c r="F4257" s="22" t="str">
        <f>IFERROR(__xludf.DUMMYFUNCTION("""COMPUTED_VALUE"""),"五十嵐君の宇宙と多奈枦さんの世界")</f>
        <v>五十嵐君の宇宙と多奈枦さんの世界</v>
      </c>
      <c r="G4257" s="20" t="str">
        <f>IFERROR(__xludf.DUMMYFUNCTION("""COMPUTED_VALUE"""),"1～4")</f>
        <v>1～4</v>
      </c>
      <c r="H4257" s="22" t="str">
        <f>IFERROR(__xludf.DUMMYFUNCTION("""COMPUTED_VALUE"""),"真木暁")</f>
        <v>真木暁</v>
      </c>
      <c r="I4257" s="22" t="str">
        <f>IFERROR(__xludf.DUMMYFUNCTION("""COMPUTED_VALUE"""),"女性")</f>
        <v>女性</v>
      </c>
      <c r="J4257" s="22"/>
      <c r="K4257" s="22"/>
      <c r="L4257" s="22" t="str">
        <f>IFERROR(__xludf.DUMMYFUNCTION("""COMPUTED_VALUE"""),"集英社")</f>
        <v>集英社</v>
      </c>
      <c r="M4257" s="33">
        <f>IFERROR(__xludf.DUMMYFUNCTION("""COMPUTED_VALUE"""),45986.0)</f>
        <v>45986</v>
      </c>
      <c r="N4257" s="33">
        <f>IFERROR(__xludf.DUMMYFUNCTION("""COMPUTED_VALUE"""),46015.0)</f>
        <v>46015</v>
      </c>
      <c r="O4257" s="20"/>
      <c r="P4257" s="32" t="str">
        <f>IFERROR(__xludf.DUMMYFUNCTION("""COMPUTED_VALUE"""),"否")</f>
        <v>否</v>
      </c>
      <c r="Q4257" s="30"/>
      <c r="R4257" s="22"/>
      <c r="S4257" s="22" t="str">
        <f>IFERROR(__xludf.DUMMYFUNCTION("""COMPUTED_VALUE"""),"20251111_集英社_五十嵐君の宇宙と多奈枦さんの世界")</f>
        <v>20251111_集英社_五十嵐君の宇宙と多奈枦さんの世界</v>
      </c>
      <c r="T4257" s="22" t="str">
        <f>IFERROR(__xludf.DUMMYFUNCTION("""COMPUTED_VALUE"""),"格納済み")</f>
        <v>格納済み</v>
      </c>
      <c r="U4257" s="9" t="str">
        <f>IFERROR(__xludf.DUMMYFUNCTION("""COMPUTED_VALUE"""),"(C)真木暁／集英社")</f>
        <v>(C)真木暁／集英社</v>
      </c>
      <c r="V4257" s="8"/>
      <c r="W4257" s="8"/>
      <c r="X4257" s="8" t="str">
        <f>IFERROR(__xludf.DUMMYFUNCTION("""COMPUTED_VALUE"""),"有")</f>
        <v>有</v>
      </c>
      <c r="Y4257" s="8" t="str">
        <f>IFERROR(__xludf.DUMMYFUNCTION("""COMPUTED_VALUE"""),"2025/12/24まで1巻無料")</f>
        <v>2025/12/24まで1巻無料</v>
      </c>
      <c r="Z4257" s="7"/>
      <c r="AA4257" s="7"/>
      <c r="AB4257" s="7"/>
    </row>
    <row r="4258" ht="15.75" customHeight="1">
      <c r="A4258" s="26">
        <f>IFERROR(__xludf.DUMMYFUNCTION("""COMPUTED_VALUE"""),6796.0)</f>
        <v>6796</v>
      </c>
      <c r="B4258" s="22" t="str">
        <f>IFERROR(__xludf.DUMMYFUNCTION("""COMPUTED_VALUE"""),"確定")</f>
        <v>確定</v>
      </c>
      <c r="C4258" s="28">
        <f>IFERROR(__xludf.DUMMYFUNCTION("""COMPUTED_VALUE"""),45966.0)</f>
        <v>45966</v>
      </c>
      <c r="D4258" s="28">
        <f>IFERROR(__xludf.DUMMYFUNCTION("""COMPUTED_VALUE"""),45972.0)</f>
        <v>45972</v>
      </c>
      <c r="E4258" s="26">
        <f>IFERROR(__xludf.DUMMYFUNCTION("""COMPUTED_VALUE"""),343452.0)</f>
        <v>343452</v>
      </c>
      <c r="F4258" s="22" t="str">
        <f>IFERROR(__xludf.DUMMYFUNCTION("""COMPUTED_VALUE"""),"岩肌の花嫁は愛で溶かされる")</f>
        <v>岩肌の花嫁は愛で溶かされる</v>
      </c>
      <c r="G4258" s="20" t="str">
        <f>IFERROR(__xludf.DUMMYFUNCTION("""COMPUTED_VALUE"""),"1～3")</f>
        <v>1～3</v>
      </c>
      <c r="H4258" s="22" t="str">
        <f>IFERROR(__xludf.DUMMYFUNCTION("""COMPUTED_VALUE"""),"遠山えま")</f>
        <v>遠山えま</v>
      </c>
      <c r="I4258" s="22" t="str">
        <f>IFERROR(__xludf.DUMMYFUNCTION("""COMPUTED_VALUE"""),"女性")</f>
        <v>女性</v>
      </c>
      <c r="J4258" s="22"/>
      <c r="K4258" s="22" t="str">
        <f>IFERROR(__xludf.DUMMYFUNCTION("""COMPUTED_VALUE"""),"comic fizzy")</f>
        <v>comic fizzy</v>
      </c>
      <c r="L4258" s="22" t="str">
        <f>IFERROR(__xludf.DUMMYFUNCTION("""COMPUTED_VALUE"""),"アムコミ")</f>
        <v>アムコミ</v>
      </c>
      <c r="M4258" s="33">
        <f>IFERROR(__xludf.DUMMYFUNCTION("""COMPUTED_VALUE"""),45992.0)</f>
        <v>45992</v>
      </c>
      <c r="N4258" s="33">
        <f>IFERROR(__xludf.DUMMYFUNCTION("""COMPUTED_VALUE"""),46081.0)</f>
        <v>46081</v>
      </c>
      <c r="O4258" s="20"/>
      <c r="P4258" s="32" t="str">
        <f>IFERROR(__xludf.DUMMYFUNCTION("""COMPUTED_VALUE"""),"可")</f>
        <v>可</v>
      </c>
      <c r="Q4258" s="30" t="str">
        <f>IFERROR(__xludf.DUMMYFUNCTION("""COMPUTED_VALUE"""),"・めちゃコミ2次先行配信です。&lt;BR&gt;")</f>
        <v>・めちゃコミ2次先行配信です。&lt;BR&gt;</v>
      </c>
      <c r="R4258" s="22"/>
      <c r="S4258" s="22" t="str">
        <f>IFERROR(__xludf.DUMMYFUNCTION("""COMPUTED_VALUE"""),"20251106_アムタス_岩肌の花嫁は愛で溶かされる")</f>
        <v>20251106_アムタス_岩肌の花嫁は愛で溶かされる</v>
      </c>
      <c r="T4258" s="22" t="str">
        <f>IFERROR(__xludf.DUMMYFUNCTION("""COMPUTED_VALUE"""),"格納済み")</f>
        <v>格納済み</v>
      </c>
      <c r="U4258" s="9" t="str">
        <f>IFERROR(__xludf.DUMMYFUNCTION("""COMPUTED_VALUE"""),"『岩肌の花嫁は愛で溶かされる』Ⓒ遠山えま/アムコミ")</f>
        <v>『岩肌の花嫁は愛で溶かされる』Ⓒ遠山えま/アムコミ</v>
      </c>
      <c r="V4258" s="8"/>
      <c r="W4258" s="8"/>
      <c r="X4258" s="8" t="str">
        <f>IFERROR(__xludf.DUMMYFUNCTION("""COMPUTED_VALUE"""),"有")</f>
        <v>有</v>
      </c>
      <c r="Y4258" s="8" t="str">
        <f>IFERROR(__xludf.DUMMYFUNCTION("""COMPUTED_VALUE"""),"P7まで")</f>
        <v>P7まで</v>
      </c>
      <c r="Z4258" s="7"/>
      <c r="AA4258" s="7"/>
      <c r="AB4258" s="7"/>
    </row>
    <row r="4259" ht="15.75" customHeight="1">
      <c r="A4259" s="26">
        <f>IFERROR(__xludf.DUMMYFUNCTION("""COMPUTED_VALUE"""),6799.0)</f>
        <v>6799</v>
      </c>
      <c r="B4259" s="22" t="str">
        <f>IFERROR(__xludf.DUMMYFUNCTION("""COMPUTED_VALUE"""),"確定")</f>
        <v>確定</v>
      </c>
      <c r="C4259" s="28">
        <f>IFERROR(__xludf.DUMMYFUNCTION("""COMPUTED_VALUE"""),45966.0)</f>
        <v>45966</v>
      </c>
      <c r="D4259" s="28">
        <f>IFERROR(__xludf.DUMMYFUNCTION("""COMPUTED_VALUE"""),45968.0)</f>
        <v>45968</v>
      </c>
      <c r="E4259" s="26">
        <f>IFERROR(__xludf.DUMMYFUNCTION("""COMPUTED_VALUE"""),340792.0)</f>
        <v>340792</v>
      </c>
      <c r="F4259" s="22" t="str">
        <f>IFERROR(__xludf.DUMMYFUNCTION("""COMPUTED_VALUE"""),"欲望解放マッサージ～双子淫魔クリ責め連続絶頂コース～（分冊版）")</f>
        <v>欲望解放マッサージ～双子淫魔クリ責め連続絶頂コース～（分冊版）</v>
      </c>
      <c r="G4259" s="20" t="str">
        <f>IFERROR(__xludf.DUMMYFUNCTION("""COMPUTED_VALUE"""),"1～3")</f>
        <v>1～3</v>
      </c>
      <c r="H4259" s="22" t="str">
        <f>IFERROR(__xludf.DUMMYFUNCTION("""COMPUTED_VALUE"""),"七崎")</f>
        <v>七崎</v>
      </c>
      <c r="I4259" s="22" t="str">
        <f>IFERROR(__xludf.DUMMYFUNCTION("""COMPUTED_VALUE"""),"アダルト")</f>
        <v>アダルト</v>
      </c>
      <c r="J4259" s="22"/>
      <c r="K4259" s="22"/>
      <c r="L4259" s="22" t="str">
        <f>IFERROR(__xludf.DUMMYFUNCTION("""COMPUTED_VALUE"""),"ライトリーズン")</f>
        <v>ライトリーズン</v>
      </c>
      <c r="M4259" s="33">
        <f>IFERROR(__xludf.DUMMYFUNCTION("""COMPUTED_VALUE"""),45975.0)</f>
        <v>45975</v>
      </c>
      <c r="N4259" s="33">
        <f>IFERROR(__xludf.DUMMYFUNCTION("""COMPUTED_VALUE"""),46069.0)</f>
        <v>46069</v>
      </c>
      <c r="O4259" s="20"/>
      <c r="P4259" s="32" t="str">
        <f>IFERROR(__xludf.DUMMYFUNCTION("""COMPUTED_VALUE"""),"可")</f>
        <v>可</v>
      </c>
      <c r="Q4259" s="30"/>
      <c r="R4259" s="22"/>
      <c r="S4259" s="22" t="str">
        <f>IFERROR(__xludf.DUMMYFUNCTION("""COMPUTED_VALUE"""),"20251105_ライトリーズン_欲望解放マッサージ～双子淫魔クリ責め連続絶頂コース～（分冊版）")</f>
        <v>20251105_ライトリーズン_欲望解放マッサージ～双子淫魔クリ責め連続絶頂コース～（分冊版）</v>
      </c>
      <c r="T4259" s="22" t="str">
        <f>IFERROR(__xludf.DUMMYFUNCTION("""COMPUTED_VALUE"""),"格納済み")</f>
        <v>格納済み</v>
      </c>
      <c r="U4259" s="9" t="str">
        <f>IFERROR(__xludf.DUMMYFUNCTION("""COMPUTED_VALUE"""),"（C)七崎/ライトリーズン")</f>
        <v>（C)七崎/ライトリーズン</v>
      </c>
      <c r="V4259" s="8"/>
      <c r="W4259" s="8"/>
      <c r="X4259" s="8" t="str">
        <f>IFERROR(__xludf.DUMMYFUNCTION("""COMPUTED_VALUE"""),"有")</f>
        <v>有</v>
      </c>
      <c r="Y4259" s="8" t="str">
        <f>IFERROR(__xludf.DUMMYFUNCTION("""COMPUTED_VALUE"""),"2026/2/16まで1巻無料")</f>
        <v>2026/2/16まで1巻無料</v>
      </c>
      <c r="Z4259" s="7"/>
      <c r="AA4259" s="7"/>
      <c r="AB4259" s="7"/>
    </row>
    <row r="4260" ht="15.75" customHeight="1">
      <c r="A4260" s="26">
        <f>IFERROR(__xludf.DUMMYFUNCTION("""COMPUTED_VALUE"""),6806.0)</f>
        <v>6806</v>
      </c>
      <c r="B4260" s="22" t="str">
        <f>IFERROR(__xludf.DUMMYFUNCTION("""COMPUTED_VALUE"""),"確定")</f>
        <v>確定</v>
      </c>
      <c r="C4260" s="28">
        <f>IFERROR(__xludf.DUMMYFUNCTION("""COMPUTED_VALUE"""),45967.0)</f>
        <v>45967</v>
      </c>
      <c r="D4260" s="28">
        <f>IFERROR(__xludf.DUMMYFUNCTION("""COMPUTED_VALUE"""),45968.0)</f>
        <v>45968</v>
      </c>
      <c r="E4260" s="26">
        <f>IFERROR(__xludf.DUMMYFUNCTION("""COMPUTED_VALUE"""),342736.0)</f>
        <v>342736</v>
      </c>
      <c r="F4260" s="22" t="str">
        <f>IFERROR(__xludf.DUMMYFUNCTION("""COMPUTED_VALUE"""),"シェアリングミー")</f>
        <v>シェアリングミー</v>
      </c>
      <c r="G4260" s="20">
        <f>IFERROR(__xludf.DUMMYFUNCTION("""COMPUTED_VALUE"""),1.0)</f>
        <v>1</v>
      </c>
      <c r="H4260" s="22" t="str">
        <f>IFERROR(__xludf.DUMMYFUNCTION("""COMPUTED_VALUE"""),"ロジコ")</f>
        <v>ロジコ</v>
      </c>
      <c r="I4260" s="22" t="str">
        <f>IFERROR(__xludf.DUMMYFUNCTION("""COMPUTED_VALUE"""),"BL")</f>
        <v>BL</v>
      </c>
      <c r="J4260" s="22"/>
      <c r="K4260" s="22" t="str">
        <f>IFERROR(__xludf.DUMMYFUNCTION("""COMPUTED_VALUE"""),"君恋")</f>
        <v>君恋</v>
      </c>
      <c r="L4260" s="22" t="str">
        <f>IFERROR(__xludf.DUMMYFUNCTION("""COMPUTED_VALUE"""),"集英社")</f>
        <v>集英社</v>
      </c>
      <c r="M4260" s="33">
        <f>IFERROR(__xludf.DUMMYFUNCTION("""COMPUTED_VALUE"""),45991.0)</f>
        <v>45991</v>
      </c>
      <c r="N4260" s="33">
        <f>IFERROR(__xludf.DUMMYFUNCTION("""COMPUTED_VALUE"""),46014.0)</f>
        <v>46014</v>
      </c>
      <c r="O4260" s="20"/>
      <c r="P4260" s="32" t="str">
        <f>IFERROR(__xludf.DUMMYFUNCTION("""COMPUTED_VALUE"""),"可")</f>
        <v>可</v>
      </c>
      <c r="Q4260" s="30"/>
      <c r="R4260" s="22"/>
      <c r="S4260" s="22" t="str">
        <f>IFERROR(__xludf.DUMMYFUNCTION("""COMPUTED_VALUE"""),"20251106_集英社_シェアリングミー")</f>
        <v>20251106_集英社_シェアリングミー</v>
      </c>
      <c r="T4260" s="22" t="str">
        <f>IFERROR(__xludf.DUMMYFUNCTION("""COMPUTED_VALUE"""),"格納済み")</f>
        <v>格納済み</v>
      </c>
      <c r="U4260" s="9" t="str">
        <f>IFERROR(__xludf.DUMMYFUNCTION("""COMPUTED_VALUE"""),"(c)ロジコ／集英社")</f>
        <v>(c)ロジコ／集英社</v>
      </c>
      <c r="V4260" s="8"/>
      <c r="W4260" s="8"/>
      <c r="X4260" s="8" t="str">
        <f>IFERROR(__xludf.DUMMYFUNCTION("""COMPUTED_VALUE"""),"有")</f>
        <v>有</v>
      </c>
      <c r="Y4260" s="8" t="str">
        <f>IFERROR(__xludf.DUMMYFUNCTION("""COMPUTED_VALUE"""),"2025/12/29まで1巻立ち読み増量(P80)")</f>
        <v>2025/12/29まで1巻立ち読み増量(P80)</v>
      </c>
      <c r="Z4260" s="7"/>
      <c r="AA4260" s="7"/>
      <c r="AB4260" s="7"/>
    </row>
    <row r="4261" ht="15.75" customHeight="1">
      <c r="A4261" s="26">
        <f>IFERROR(__xludf.DUMMYFUNCTION("""COMPUTED_VALUE"""),6807.0)</f>
        <v>6807</v>
      </c>
      <c r="B4261" s="22" t="str">
        <f>IFERROR(__xludf.DUMMYFUNCTION("""COMPUTED_VALUE"""),"確定")</f>
        <v>確定</v>
      </c>
      <c r="C4261" s="28">
        <f>IFERROR(__xludf.DUMMYFUNCTION("""COMPUTED_VALUE"""),45967.0)</f>
        <v>45967</v>
      </c>
      <c r="D4261" s="28">
        <f>IFERROR(__xludf.DUMMYFUNCTION("""COMPUTED_VALUE"""),45967.0)</f>
        <v>45967</v>
      </c>
      <c r="E4261" s="26">
        <f>IFERROR(__xludf.DUMMYFUNCTION("""COMPUTED_VALUE"""),342737.0)</f>
        <v>342737</v>
      </c>
      <c r="F4261" s="22" t="str">
        <f>IFERROR(__xludf.DUMMYFUNCTION("""COMPUTED_VALUE"""),"スカーレット キラーチューン")</f>
        <v>スカーレット キラーチューン</v>
      </c>
      <c r="G4261" s="20">
        <f>IFERROR(__xludf.DUMMYFUNCTION("""COMPUTED_VALUE"""),1.0)</f>
        <v>1</v>
      </c>
      <c r="H4261" s="22" t="str">
        <f>IFERROR(__xludf.DUMMYFUNCTION("""COMPUTED_VALUE"""),"星乃メイ")</f>
        <v>星乃メイ</v>
      </c>
      <c r="I4261" s="22" t="str">
        <f>IFERROR(__xludf.DUMMYFUNCTION("""COMPUTED_VALUE"""),"BL")</f>
        <v>BL</v>
      </c>
      <c r="J4261" s="22"/>
      <c r="K4261" s="22" t="str">
        <f>IFERROR(__xludf.DUMMYFUNCTION("""COMPUTED_VALUE"""),"君恋")</f>
        <v>君恋</v>
      </c>
      <c r="L4261" s="22" t="str">
        <f>IFERROR(__xludf.DUMMYFUNCTION("""COMPUTED_VALUE"""),"集英社")</f>
        <v>集英社</v>
      </c>
      <c r="M4261" s="33">
        <f>IFERROR(__xludf.DUMMYFUNCTION("""COMPUTED_VALUE"""),45991.0)</f>
        <v>45991</v>
      </c>
      <c r="N4261" s="33">
        <f>IFERROR(__xludf.DUMMYFUNCTION("""COMPUTED_VALUE"""),46014.0)</f>
        <v>46014</v>
      </c>
      <c r="O4261" s="20"/>
      <c r="P4261" s="32" t="str">
        <f>IFERROR(__xludf.DUMMYFUNCTION("""COMPUTED_VALUE"""),"可")</f>
        <v>可</v>
      </c>
      <c r="Q4261" s="30"/>
      <c r="R4261" s="22"/>
      <c r="S4261" s="22" t="str">
        <f>IFERROR(__xludf.DUMMYFUNCTION("""COMPUTED_VALUE"""),"20251106_集英社_スカーレット キラーチューン")</f>
        <v>20251106_集英社_スカーレット キラーチューン</v>
      </c>
      <c r="T4261" s="22" t="str">
        <f>IFERROR(__xludf.DUMMYFUNCTION("""COMPUTED_VALUE"""),"格納済み")</f>
        <v>格納済み</v>
      </c>
      <c r="U4261" s="9" t="str">
        <f>IFERROR(__xludf.DUMMYFUNCTION("""COMPUTED_VALUE"""),"(c)星乃メイ／集英社")</f>
        <v>(c)星乃メイ／集英社</v>
      </c>
      <c r="V4261" s="8"/>
      <c r="W4261" s="8"/>
      <c r="X4261" s="8" t="str">
        <f>IFERROR(__xludf.DUMMYFUNCTION("""COMPUTED_VALUE"""),"有")</f>
        <v>有</v>
      </c>
      <c r="Y4261" s="8" t="str">
        <f>IFERROR(__xludf.DUMMYFUNCTION("""COMPUTED_VALUE"""),"2025/12/29まで1巻立ち読み増量(P80)")</f>
        <v>2025/12/29まで1巻立ち読み増量(P80)</v>
      </c>
      <c r="Z4261" s="7"/>
      <c r="AA4261" s="7"/>
      <c r="AB4261" s="7"/>
    </row>
    <row r="4262" ht="15.75" customHeight="1">
      <c r="A4262" s="26">
        <f>IFERROR(__xludf.DUMMYFUNCTION("""COMPUTED_VALUE"""),6822.0)</f>
        <v>6822</v>
      </c>
      <c r="B4262" s="22" t="str">
        <f>IFERROR(__xludf.DUMMYFUNCTION("""COMPUTED_VALUE"""),"確定")</f>
        <v>確定</v>
      </c>
      <c r="C4262" s="28">
        <f>IFERROR(__xludf.DUMMYFUNCTION("""COMPUTED_VALUE"""),45968.0)</f>
        <v>45968</v>
      </c>
      <c r="D4262" s="28">
        <f>IFERROR(__xludf.DUMMYFUNCTION("""COMPUTED_VALUE"""),45972.0)</f>
        <v>45972</v>
      </c>
      <c r="E4262" s="26">
        <f>IFERROR(__xludf.DUMMYFUNCTION("""COMPUTED_VALUE"""),343253.0)</f>
        <v>343253</v>
      </c>
      <c r="F4262" s="22" t="str">
        <f>IFERROR(__xludf.DUMMYFUNCTION("""COMPUTED_VALUE"""),"【報告】とある未解決事件について")</f>
        <v>【報告】とある未解決事件について</v>
      </c>
      <c r="G4262" s="20" t="str">
        <f>IFERROR(__xludf.DUMMYFUNCTION("""COMPUTED_VALUE"""),"1～4")</f>
        <v>1～4</v>
      </c>
      <c r="H4262" s="22" t="str">
        <f>IFERROR(__xludf.DUMMYFUNCTION("""COMPUTED_VALUE"""),"寺井衒/玄田げんた")</f>
        <v>寺井衒/玄田げんた</v>
      </c>
      <c r="I4262" s="22" t="str">
        <f>IFERROR(__xludf.DUMMYFUNCTION("""COMPUTED_VALUE"""),"青年")</f>
        <v>青年</v>
      </c>
      <c r="J4262" s="22"/>
      <c r="K4262" s="22"/>
      <c r="L4262" s="22" t="str">
        <f>IFERROR(__xludf.DUMMYFUNCTION("""COMPUTED_VALUE"""),"ファンギルド")</f>
        <v>ファンギルド</v>
      </c>
      <c r="M4262" s="33">
        <f>IFERROR(__xludf.DUMMYFUNCTION("""COMPUTED_VALUE"""),46011.0)</f>
        <v>46011</v>
      </c>
      <c r="N4262" s="33">
        <f>IFERROR(__xludf.DUMMYFUNCTION("""COMPUTED_VALUE"""),46108.66666666667)</f>
        <v>46108.66667</v>
      </c>
      <c r="O4262" s="20"/>
      <c r="P4262" s="32" t="str">
        <f>IFERROR(__xludf.DUMMYFUNCTION("""COMPUTED_VALUE"""),"可")</f>
        <v>可</v>
      </c>
      <c r="Q4262" s="30"/>
      <c r="R4262" s="22"/>
      <c r="S4262" s="22" t="str">
        <f>IFERROR(__xludf.DUMMYFUNCTION("""COMPUTED_VALUE"""),"20251107_ファンギルド_【報告】とある未解決事件について")</f>
        <v>20251107_ファンギルド_【報告】とある未解決事件について</v>
      </c>
      <c r="T4262" s="22" t="str">
        <f>IFERROR(__xludf.DUMMYFUNCTION("""COMPUTED_VALUE"""),"格納済み")</f>
        <v>格納済み</v>
      </c>
      <c r="U4262" s="9" t="str">
        <f>IFERROR(__xludf.DUMMYFUNCTION("""COMPUTED_VALUE"""),"Ⓒ寺井衒/玄田げんた/ファンギルド")</f>
        <v>Ⓒ寺井衒/玄田げんた/ファンギルド</v>
      </c>
      <c r="V4262" s="8"/>
      <c r="W4262" s="8"/>
      <c r="X4262" s="8" t="str">
        <f>IFERROR(__xludf.DUMMYFUNCTION("""COMPUTED_VALUE"""),"有")</f>
        <v>有</v>
      </c>
      <c r="Y4262" s="8" t="str">
        <f>IFERROR(__xludf.DUMMYFUNCTION("""COMPUTED_VALUE"""),"2026/2/27まで1巻無料")</f>
        <v>2026/2/27まで1巻無料</v>
      </c>
      <c r="Z4262" s="7"/>
      <c r="AA4262" s="7"/>
      <c r="AB4262" s="7"/>
    </row>
    <row r="4263" ht="15.75" customHeight="1">
      <c r="A4263" s="26">
        <f>IFERROR(__xludf.DUMMYFUNCTION("""COMPUTED_VALUE"""),6823.0)</f>
        <v>6823</v>
      </c>
      <c r="B4263" s="22" t="str">
        <f>IFERROR(__xludf.DUMMYFUNCTION("""COMPUTED_VALUE"""),"確定")</f>
        <v>確定</v>
      </c>
      <c r="C4263" s="28">
        <f>IFERROR(__xludf.DUMMYFUNCTION("""COMPUTED_VALUE"""),45968.0)</f>
        <v>45968</v>
      </c>
      <c r="D4263" s="28">
        <f>IFERROR(__xludf.DUMMYFUNCTION("""COMPUTED_VALUE"""),45971.0)</f>
        <v>45971</v>
      </c>
      <c r="E4263" s="26">
        <f>IFERROR(__xludf.DUMMYFUNCTION("""COMPUTED_VALUE"""),343258.0)</f>
        <v>343258</v>
      </c>
      <c r="F4263" s="22" t="str">
        <f>IFERROR(__xludf.DUMMYFUNCTION("""COMPUTED_VALUE"""),"40歳捨てられ花嫁、なぜか年下副社長に溺愛されてます")</f>
        <v>40歳捨てられ花嫁、なぜか年下副社長に溺愛されてます</v>
      </c>
      <c r="G4263" s="20" t="str">
        <f>IFERROR(__xludf.DUMMYFUNCTION("""COMPUTED_VALUE"""),"1～4")</f>
        <v>1～4</v>
      </c>
      <c r="H4263" s="22" t="str">
        <f>IFERROR(__xludf.DUMMYFUNCTION("""COMPUTED_VALUE"""),"中島まお")</f>
        <v>中島まお</v>
      </c>
      <c r="I4263" s="22" t="str">
        <f>IFERROR(__xludf.DUMMYFUNCTION("""COMPUTED_VALUE"""),"女性")</f>
        <v>女性</v>
      </c>
      <c r="J4263" s="22"/>
      <c r="K4263" s="22"/>
      <c r="L4263" s="22" t="str">
        <f>IFERROR(__xludf.DUMMYFUNCTION("""COMPUTED_VALUE"""),"ファンギルド")</f>
        <v>ファンギルド</v>
      </c>
      <c r="M4263" s="33">
        <f>IFERROR(__xludf.DUMMYFUNCTION("""COMPUTED_VALUE"""),46001.0)</f>
        <v>46001</v>
      </c>
      <c r="N4263" s="33">
        <f>IFERROR(__xludf.DUMMYFUNCTION("""COMPUTED_VALUE"""),46035.0)</f>
        <v>46035</v>
      </c>
      <c r="O4263" s="20"/>
      <c r="P4263" s="32" t="str">
        <f>IFERROR(__xludf.DUMMYFUNCTION("""COMPUTED_VALUE"""),"可")</f>
        <v>可</v>
      </c>
      <c r="Q4263" s="30"/>
      <c r="R4263" s="22"/>
      <c r="S4263" s="22" t="str">
        <f>IFERROR(__xludf.DUMMYFUNCTION("""COMPUTED_VALUE"""),"20251107_ファンギルド_40歳捨てられ花嫁、なぜか年下副社長に溺愛されてます")</f>
        <v>20251107_ファンギルド_40歳捨てられ花嫁、なぜか年下副社長に溺愛されてます</v>
      </c>
      <c r="T4263" s="22" t="str">
        <f>IFERROR(__xludf.DUMMYFUNCTION("""COMPUTED_VALUE"""),"格納済み")</f>
        <v>格納済み</v>
      </c>
      <c r="U4263" s="9" t="str">
        <f>IFERROR(__xludf.DUMMYFUNCTION("""COMPUTED_VALUE"""),"Ⓒ中島まお/ファンギルド")</f>
        <v>Ⓒ中島まお/ファンギルド</v>
      </c>
      <c r="V4263" s="8"/>
      <c r="W4263" s="8"/>
      <c r="X4263" s="8" t="str">
        <f>IFERROR(__xludf.DUMMYFUNCTION("""COMPUTED_VALUE"""),"有")</f>
        <v>有</v>
      </c>
      <c r="Y4263" s="8" t="str">
        <f>IFERROR(__xludf.DUMMYFUNCTION("""COMPUTED_VALUE"""),"2026/1/13まで1巻無料")</f>
        <v>2026/1/13まで1巻無料</v>
      </c>
      <c r="Z4263" s="7"/>
      <c r="AA4263" s="7"/>
      <c r="AB4263" s="7"/>
    </row>
    <row r="4264" ht="15.75" customHeight="1">
      <c r="A4264" s="26">
        <f>IFERROR(__xludf.DUMMYFUNCTION("""COMPUTED_VALUE"""),6824.0)</f>
        <v>6824</v>
      </c>
      <c r="B4264" s="22" t="str">
        <f>IFERROR(__xludf.DUMMYFUNCTION("""COMPUTED_VALUE"""),"確定")</f>
        <v>確定</v>
      </c>
      <c r="C4264" s="28">
        <f>IFERROR(__xludf.DUMMYFUNCTION("""COMPUTED_VALUE"""),45968.0)</f>
        <v>45968</v>
      </c>
      <c r="D4264" s="28">
        <f>IFERROR(__xludf.DUMMYFUNCTION("""COMPUTED_VALUE"""),45971.0)</f>
        <v>45971</v>
      </c>
      <c r="E4264" s="26">
        <f>IFERROR(__xludf.DUMMYFUNCTION("""COMPUTED_VALUE"""),343256.0)</f>
        <v>343256</v>
      </c>
      <c r="F4264" s="22" t="str">
        <f>IFERROR(__xludf.DUMMYFUNCTION("""COMPUTED_VALUE"""),"贄巫女と朱雀の執愛婚")</f>
        <v>贄巫女と朱雀の執愛婚</v>
      </c>
      <c r="G4264" s="20" t="str">
        <f>IFERROR(__xludf.DUMMYFUNCTION("""COMPUTED_VALUE"""),"1～4")</f>
        <v>1～4</v>
      </c>
      <c r="H4264" s="22" t="str">
        <f>IFERROR(__xludf.DUMMYFUNCTION("""COMPUTED_VALUE"""),"野崎アユ")</f>
        <v>野崎アユ</v>
      </c>
      <c r="I4264" s="22" t="str">
        <f>IFERROR(__xludf.DUMMYFUNCTION("""COMPUTED_VALUE"""),"少女")</f>
        <v>少女</v>
      </c>
      <c r="J4264" s="22"/>
      <c r="K4264" s="22"/>
      <c r="L4264" s="22" t="str">
        <f>IFERROR(__xludf.DUMMYFUNCTION("""COMPUTED_VALUE"""),"ファンギルド")</f>
        <v>ファンギルド</v>
      </c>
      <c r="M4264" s="33">
        <f>IFERROR(__xludf.DUMMYFUNCTION("""COMPUTED_VALUE"""),46009.0)</f>
        <v>46009</v>
      </c>
      <c r="N4264" s="33">
        <f>IFERROR(__xludf.DUMMYFUNCTION("""COMPUTED_VALUE"""),46148.66666666667)</f>
        <v>46148.66667</v>
      </c>
      <c r="O4264" s="20"/>
      <c r="P4264" s="32" t="str">
        <f>IFERROR(__xludf.DUMMYFUNCTION("""COMPUTED_VALUE"""),"可")</f>
        <v>可</v>
      </c>
      <c r="Q4264" s="30"/>
      <c r="R4264" s="22"/>
      <c r="S4264" s="22" t="str">
        <f>IFERROR(__xludf.DUMMYFUNCTION("""COMPUTED_VALUE"""),"20251107_ファンギルド_贄巫女と朱雀の執愛婚")</f>
        <v>20251107_ファンギルド_贄巫女と朱雀の執愛婚</v>
      </c>
      <c r="T4264" s="22" t="str">
        <f>IFERROR(__xludf.DUMMYFUNCTION("""COMPUTED_VALUE"""),"格納済み")</f>
        <v>格納済み</v>
      </c>
      <c r="U4264" s="9" t="str">
        <f>IFERROR(__xludf.DUMMYFUNCTION("""COMPUTED_VALUE"""),"Ⓒ野崎アユ/ファンギルド")</f>
        <v>Ⓒ野崎アユ/ファンギルド</v>
      </c>
      <c r="V4264" s="8"/>
      <c r="W4264" s="8"/>
      <c r="X4264" s="8" t="str">
        <f>IFERROR(__xludf.DUMMYFUNCTION("""COMPUTED_VALUE"""),"有")</f>
        <v>有</v>
      </c>
      <c r="Y4264" s="8" t="str">
        <f>IFERROR(__xludf.DUMMYFUNCTION("""COMPUTED_VALUE"""),"2026/2/18まで1巻無料")</f>
        <v>2026/2/18まで1巻無料</v>
      </c>
      <c r="Z4264" s="7"/>
      <c r="AA4264" s="7"/>
      <c r="AB4264" s="7"/>
    </row>
    <row r="4265" ht="15.75" customHeight="1">
      <c r="A4265" s="26">
        <f>IFERROR(__xludf.DUMMYFUNCTION("""COMPUTED_VALUE"""),6825.0)</f>
        <v>6825</v>
      </c>
      <c r="B4265" s="22" t="str">
        <f>IFERROR(__xludf.DUMMYFUNCTION("""COMPUTED_VALUE"""),"確定")</f>
        <v>確定</v>
      </c>
      <c r="C4265" s="28">
        <f>IFERROR(__xludf.DUMMYFUNCTION("""COMPUTED_VALUE"""),45968.0)</f>
        <v>45968</v>
      </c>
      <c r="D4265" s="28">
        <f>IFERROR(__xludf.DUMMYFUNCTION("""COMPUTED_VALUE"""),45971.0)</f>
        <v>45971</v>
      </c>
      <c r="E4265" s="26">
        <f>IFERROR(__xludf.DUMMYFUNCTION("""COMPUTED_VALUE"""),343255.0)</f>
        <v>343255</v>
      </c>
      <c r="F4265" s="22" t="str">
        <f>IFERROR(__xludf.DUMMYFUNCTION("""COMPUTED_VALUE"""),"最高ランクの御曹司に一途に愛されすぎてます")</f>
        <v>最高ランクの御曹司に一途に愛されすぎてます</v>
      </c>
      <c r="G4265" s="20" t="str">
        <f>IFERROR(__xludf.DUMMYFUNCTION("""COMPUTED_VALUE"""),"1～4")</f>
        <v>1～4</v>
      </c>
      <c r="H4265" s="22" t="str">
        <f>IFERROR(__xludf.DUMMYFUNCTION("""COMPUTED_VALUE"""),"いわはたたきよ/けいこ")</f>
        <v>いわはたたきよ/けいこ</v>
      </c>
      <c r="I4265" s="22" t="str">
        <f>IFERROR(__xludf.DUMMYFUNCTION("""COMPUTED_VALUE"""),"女性")</f>
        <v>女性</v>
      </c>
      <c r="J4265" s="22"/>
      <c r="K4265" s="22"/>
      <c r="L4265" s="22" t="str">
        <f>IFERROR(__xludf.DUMMYFUNCTION("""COMPUTED_VALUE"""),"ファンギルド")</f>
        <v>ファンギルド</v>
      </c>
      <c r="M4265" s="33">
        <f>IFERROR(__xludf.DUMMYFUNCTION("""COMPUTED_VALUE"""),46015.0)</f>
        <v>46015</v>
      </c>
      <c r="N4265" s="33">
        <f>IFERROR(__xludf.DUMMYFUNCTION("""COMPUTED_VALUE"""),46042.0)</f>
        <v>46042</v>
      </c>
      <c r="O4265" s="20"/>
      <c r="P4265" s="32" t="str">
        <f>IFERROR(__xludf.DUMMYFUNCTION("""COMPUTED_VALUE"""),"可")</f>
        <v>可</v>
      </c>
      <c r="Q4265" s="30"/>
      <c r="R4265" s="22"/>
      <c r="S4265" s="22" t="str">
        <f>IFERROR(__xludf.DUMMYFUNCTION("""COMPUTED_VALUE"""),"20251107_ファンギルド_最高ランクの御曹司に一途に愛されすぎてます")</f>
        <v>20251107_ファンギルド_最高ランクの御曹司に一途に愛されすぎてます</v>
      </c>
      <c r="T4265" s="22" t="str">
        <f>IFERROR(__xludf.DUMMYFUNCTION("""COMPUTED_VALUE"""),"格納済み")</f>
        <v>格納済み</v>
      </c>
      <c r="U4265" s="9" t="str">
        <f>IFERROR(__xludf.DUMMYFUNCTION("""COMPUTED_VALUE"""),"Ⓒいわはたたきよ/けいこ/ファンギルド")</f>
        <v>Ⓒいわはたたきよ/けいこ/ファンギルド</v>
      </c>
      <c r="V4265" s="8"/>
      <c r="W4265" s="8"/>
      <c r="X4265" s="8" t="str">
        <f>IFERROR(__xludf.DUMMYFUNCTION("""COMPUTED_VALUE"""),"有")</f>
        <v>有</v>
      </c>
      <c r="Y4265" s="8" t="str">
        <f>IFERROR(__xludf.DUMMYFUNCTION("""COMPUTED_VALUE"""),"2026/1/13まで1巻無料")</f>
        <v>2026/1/13まで1巻無料</v>
      </c>
      <c r="Z4265" s="7"/>
      <c r="AA4265" s="7"/>
      <c r="AB4265" s="7"/>
    </row>
    <row r="4266" ht="15.75" customHeight="1">
      <c r="A4266" s="26">
        <f>IFERROR(__xludf.DUMMYFUNCTION("""COMPUTED_VALUE"""),6826.0)</f>
        <v>6826</v>
      </c>
      <c r="B4266" s="22" t="str">
        <f>IFERROR(__xludf.DUMMYFUNCTION("""COMPUTED_VALUE"""),"確定")</f>
        <v>確定</v>
      </c>
      <c r="C4266" s="28">
        <f>IFERROR(__xludf.DUMMYFUNCTION("""COMPUTED_VALUE"""),45968.0)</f>
        <v>45968</v>
      </c>
      <c r="D4266" s="28">
        <f>IFERROR(__xludf.DUMMYFUNCTION("""COMPUTED_VALUE"""),45971.0)</f>
        <v>45971</v>
      </c>
      <c r="E4266" s="26">
        <f>IFERROR(__xludf.DUMMYFUNCTION("""COMPUTED_VALUE"""),343261.0)</f>
        <v>343261</v>
      </c>
      <c r="F4266" s="22" t="str">
        <f>IFERROR(__xludf.DUMMYFUNCTION("""COMPUTED_VALUE"""),"奇妙な日記～あなたはこの謎を解明できますか？～")</f>
        <v>奇妙な日記～あなたはこの謎を解明できますか？～</v>
      </c>
      <c r="G4266" s="20" t="str">
        <f>IFERROR(__xludf.DUMMYFUNCTION("""COMPUTED_VALUE"""),"1～3")</f>
        <v>1～3</v>
      </c>
      <c r="H4266" s="22" t="str">
        <f>IFERROR(__xludf.DUMMYFUNCTION("""COMPUTED_VALUE"""),"美輪奈樹/やがみ")</f>
        <v>美輪奈樹/やがみ</v>
      </c>
      <c r="I4266" s="22" t="str">
        <f>IFERROR(__xludf.DUMMYFUNCTION("""COMPUTED_VALUE"""),"青年")</f>
        <v>青年</v>
      </c>
      <c r="J4266" s="22"/>
      <c r="K4266" s="22"/>
      <c r="L4266" s="22" t="str">
        <f>IFERROR(__xludf.DUMMYFUNCTION("""COMPUTED_VALUE"""),"ファンギルド")</f>
        <v>ファンギルド</v>
      </c>
      <c r="M4266" s="33">
        <f>IFERROR(__xludf.DUMMYFUNCTION("""COMPUTED_VALUE"""),46032.0)</f>
        <v>46032</v>
      </c>
      <c r="N4266" s="33">
        <f>IFERROR(__xludf.DUMMYFUNCTION("""COMPUTED_VALUE"""),46122.66666666667)</f>
        <v>46122.66667</v>
      </c>
      <c r="O4266" s="20"/>
      <c r="P4266" s="32" t="str">
        <f>IFERROR(__xludf.DUMMYFUNCTION("""COMPUTED_VALUE"""),"可")</f>
        <v>可</v>
      </c>
      <c r="Q4266" s="30"/>
      <c r="R4266" s="22"/>
      <c r="S4266" s="22" t="str">
        <f>IFERROR(__xludf.DUMMYFUNCTION("""COMPUTED_VALUE"""),"20251107_ファンギルド_奇妙な日記～あなたはこの謎を解明できますか？～")</f>
        <v>20251107_ファンギルド_奇妙な日記～あなたはこの謎を解明できますか？～</v>
      </c>
      <c r="T4266" s="22" t="str">
        <f>IFERROR(__xludf.DUMMYFUNCTION("""COMPUTED_VALUE"""),"格納済み")</f>
        <v>格納済み</v>
      </c>
      <c r="U4266" s="9" t="str">
        <f>IFERROR(__xludf.DUMMYFUNCTION("""COMPUTED_VALUE"""),"Ⓒ美輪奈樹/やがみ/ファンギルド")</f>
        <v>Ⓒ美輪奈樹/やがみ/ファンギルド</v>
      </c>
      <c r="V4266" s="8"/>
      <c r="W4266" s="8"/>
      <c r="X4266" s="8" t="str">
        <f>IFERROR(__xludf.DUMMYFUNCTION("""COMPUTED_VALUE"""),"有")</f>
        <v>有</v>
      </c>
      <c r="Y4266" s="8" t="str">
        <f>IFERROR(__xludf.DUMMYFUNCTION("""COMPUTED_VALUE"""),"2026/3/13まで1巻無料")</f>
        <v>2026/3/13まで1巻無料</v>
      </c>
      <c r="Z4266" s="7"/>
      <c r="AA4266" s="7"/>
      <c r="AB4266" s="7"/>
    </row>
    <row r="4267" ht="15.75" customHeight="1">
      <c r="A4267" s="26">
        <f>IFERROR(__xludf.DUMMYFUNCTION("""COMPUTED_VALUE"""),6827.0)</f>
        <v>6827</v>
      </c>
      <c r="B4267" s="22" t="str">
        <f>IFERROR(__xludf.DUMMYFUNCTION("""COMPUTED_VALUE"""),"確定")</f>
        <v>確定</v>
      </c>
      <c r="C4267" s="28">
        <f>IFERROR(__xludf.DUMMYFUNCTION("""COMPUTED_VALUE"""),45968.0)</f>
        <v>45968</v>
      </c>
      <c r="D4267" s="28">
        <f>IFERROR(__xludf.DUMMYFUNCTION("""COMPUTED_VALUE"""),45972.0)</f>
        <v>45972</v>
      </c>
      <c r="E4267" s="26">
        <f>IFERROR(__xludf.DUMMYFUNCTION("""COMPUTED_VALUE"""),343259.0)</f>
        <v>343259</v>
      </c>
      <c r="F4267" s="22" t="str">
        <f>IFERROR(__xludf.DUMMYFUNCTION("""COMPUTED_VALUE"""),"憧れの騎士団長様に発情体質を知られたら～絶倫上司と秘密の契約セックスを重ねています～")</f>
        <v>憧れの騎士団長様に発情体質を知られたら～絶倫上司と秘密の契約セックスを重ねています～</v>
      </c>
      <c r="G4267" s="20" t="str">
        <f>IFERROR(__xludf.DUMMYFUNCTION("""COMPUTED_VALUE"""),"1～2")</f>
        <v>1～2</v>
      </c>
      <c r="H4267" s="22" t="str">
        <f>IFERROR(__xludf.DUMMYFUNCTION("""COMPUTED_VALUE"""),"榎維/七瀬真古都")</f>
        <v>榎維/七瀬真古都</v>
      </c>
      <c r="I4267" s="22" t="str">
        <f>IFERROR(__xludf.DUMMYFUNCTION("""COMPUTED_VALUE"""),"TL")</f>
        <v>TL</v>
      </c>
      <c r="J4267" s="22"/>
      <c r="K4267" s="22"/>
      <c r="L4267" s="22" t="str">
        <f>IFERROR(__xludf.DUMMYFUNCTION("""COMPUTED_VALUE"""),"モバイルメディアリサーチ")</f>
        <v>モバイルメディアリサーチ</v>
      </c>
      <c r="M4267" s="33">
        <f>IFERROR(__xludf.DUMMYFUNCTION("""COMPUTED_VALUE"""),46018.0)</f>
        <v>46018</v>
      </c>
      <c r="N4267" s="33">
        <f>IFERROR(__xludf.DUMMYFUNCTION("""COMPUTED_VALUE"""),46045.0)</f>
        <v>46045</v>
      </c>
      <c r="O4267" s="20"/>
      <c r="P4267" s="32" t="str">
        <f>IFERROR(__xludf.DUMMYFUNCTION("""COMPUTED_VALUE"""),"可")</f>
        <v>可</v>
      </c>
      <c r="Q4267" s="30" t="str">
        <f>IFERROR(__xludf.DUMMYFUNCTION("""COMPUTED_VALUE"""),"【アダルト作品扱い】")</f>
        <v>【アダルト作品扱い】</v>
      </c>
      <c r="R4267" s="22"/>
      <c r="S4267" s="22" t="str">
        <f>IFERROR(__xludf.DUMMYFUNCTION("""COMPUTED_VALUE"""),"20251107_ファンギルド_憧れの騎士団長様に発情体質を知られたら～絶倫上司と秘密の契約セックスを重ねています～")</f>
        <v>20251107_ファンギルド_憧れの騎士団長様に発情体質を知られたら～絶倫上司と秘密の契約セックスを重ねています～</v>
      </c>
      <c r="T4267" s="22" t="str">
        <f>IFERROR(__xludf.DUMMYFUNCTION("""COMPUTED_VALUE"""),"格納済み")</f>
        <v>格納済み</v>
      </c>
      <c r="U4267" s="9" t="str">
        <f>IFERROR(__xludf.DUMMYFUNCTION("""COMPUTED_VALUE"""),"Ⓒ榎維/七瀬真古都/モバイルメディアリサーチ")</f>
        <v>Ⓒ榎維/七瀬真古都/モバイルメディアリサーチ</v>
      </c>
      <c r="V4267" s="8"/>
      <c r="W4267" s="8"/>
      <c r="X4267" s="8" t="str">
        <f>IFERROR(__xludf.DUMMYFUNCTION("""COMPUTED_VALUE"""),"有")</f>
        <v>有</v>
      </c>
      <c r="Y4267" s="8" t="str">
        <f>IFERROR(__xludf.DUMMYFUNCTION("""COMPUTED_VALUE"""),"P7まで")</f>
        <v>P7まで</v>
      </c>
      <c r="Z4267" s="7"/>
      <c r="AA4267" s="7"/>
      <c r="AB4267" s="7"/>
    </row>
    <row r="4268" ht="15.75" customHeight="1">
      <c r="A4268" s="26">
        <f>IFERROR(__xludf.DUMMYFUNCTION("""COMPUTED_VALUE"""),6828.0)</f>
        <v>6828</v>
      </c>
      <c r="B4268" s="22" t="str">
        <f>IFERROR(__xludf.DUMMYFUNCTION("""COMPUTED_VALUE"""),"確定")</f>
        <v>確定</v>
      </c>
      <c r="C4268" s="28">
        <f>IFERROR(__xludf.DUMMYFUNCTION("""COMPUTED_VALUE"""),45968.0)</f>
        <v>45968</v>
      </c>
      <c r="D4268" s="28">
        <f>IFERROR(__xludf.DUMMYFUNCTION("""COMPUTED_VALUE"""),45972.0)</f>
        <v>45972</v>
      </c>
      <c r="E4268" s="26">
        <f>IFERROR(__xludf.DUMMYFUNCTION("""COMPUTED_VALUE"""),343260.0)</f>
        <v>343260</v>
      </c>
      <c r="F4268" s="22" t="str">
        <f>IFERROR(__xludf.DUMMYFUNCTION("""COMPUTED_VALUE"""),"魔性と呼ばれた伯爵令嬢は妖艶な侯爵の囚愛に堕とされる")</f>
        <v>魔性と呼ばれた伯爵令嬢は妖艶な侯爵の囚愛に堕とされる</v>
      </c>
      <c r="G4268" s="20">
        <f>IFERROR(__xludf.DUMMYFUNCTION("""COMPUTED_VALUE"""),1.0)</f>
        <v>1</v>
      </c>
      <c r="H4268" s="22" t="str">
        <f>IFERROR(__xludf.DUMMYFUNCTION("""COMPUTED_VALUE"""),"美名森タンデュ/蒼琉璃")</f>
        <v>美名森タンデュ/蒼琉璃</v>
      </c>
      <c r="I4268" s="22" t="str">
        <f>IFERROR(__xludf.DUMMYFUNCTION("""COMPUTED_VALUE"""),"TL")</f>
        <v>TL</v>
      </c>
      <c r="J4268" s="22"/>
      <c r="K4268" s="22"/>
      <c r="L4268" s="22" t="str">
        <f>IFERROR(__xludf.DUMMYFUNCTION("""COMPUTED_VALUE"""),"モバイルメディアリサーチ")</f>
        <v>モバイルメディアリサーチ</v>
      </c>
      <c r="M4268" s="33">
        <f>IFERROR(__xludf.DUMMYFUNCTION("""COMPUTED_VALUE"""),46018.0)</f>
        <v>46018</v>
      </c>
      <c r="N4268" s="33">
        <f>IFERROR(__xludf.DUMMYFUNCTION("""COMPUTED_VALUE"""),46045.0)</f>
        <v>46045</v>
      </c>
      <c r="O4268" s="20"/>
      <c r="P4268" s="32" t="str">
        <f>IFERROR(__xludf.DUMMYFUNCTION("""COMPUTED_VALUE"""),"可")</f>
        <v>可</v>
      </c>
      <c r="Q4268" s="30" t="str">
        <f>IFERROR(__xludf.DUMMYFUNCTION("""COMPUTED_VALUE"""),"【アダルト作品扱い】")</f>
        <v>【アダルト作品扱い】</v>
      </c>
      <c r="R4268" s="22"/>
      <c r="S4268" s="22" t="str">
        <f>IFERROR(__xludf.DUMMYFUNCTION("""COMPUTED_VALUE"""),"20251107_ファンギルド_魔性と呼ばれた伯爵令嬢は妖艶な侯爵の囚愛に堕とされる")</f>
        <v>20251107_ファンギルド_魔性と呼ばれた伯爵令嬢は妖艶な侯爵の囚愛に堕とされる</v>
      </c>
      <c r="T4268" s="22" t="str">
        <f>IFERROR(__xludf.DUMMYFUNCTION("""COMPUTED_VALUE"""),"格納済み")</f>
        <v>格納済み</v>
      </c>
      <c r="U4268" s="9" t="str">
        <f>IFERROR(__xludf.DUMMYFUNCTION("""COMPUTED_VALUE"""),"Ⓒ美名森タンデュ/蒼琉璃/モバイルメディアリサーチ")</f>
        <v>Ⓒ美名森タンデュ/蒼琉璃/モバイルメディアリサーチ</v>
      </c>
      <c r="V4268" s="8"/>
      <c r="W4268" s="8"/>
      <c r="X4268" s="8" t="str">
        <f>IFERROR(__xludf.DUMMYFUNCTION("""COMPUTED_VALUE"""),"有")</f>
        <v>有</v>
      </c>
      <c r="Y4268" s="8" t="str">
        <f>IFERROR(__xludf.DUMMYFUNCTION("""COMPUTED_VALUE"""),"P7まで")</f>
        <v>P7まで</v>
      </c>
      <c r="Z4268" s="7"/>
      <c r="AA4268" s="7"/>
      <c r="AB4268" s="7"/>
    </row>
    <row r="4269" ht="15.75" customHeight="1">
      <c r="A4269" s="26">
        <f>IFERROR(__xludf.DUMMYFUNCTION("""COMPUTED_VALUE"""),6830.0)</f>
        <v>6830</v>
      </c>
      <c r="B4269" s="22" t="str">
        <f>IFERROR(__xludf.DUMMYFUNCTION("""COMPUTED_VALUE"""),"確定")</f>
        <v>確定</v>
      </c>
      <c r="C4269" s="28">
        <f>IFERROR(__xludf.DUMMYFUNCTION("""COMPUTED_VALUE"""),45968.0)</f>
        <v>45968</v>
      </c>
      <c r="D4269" s="28">
        <f>IFERROR(__xludf.DUMMYFUNCTION("""COMPUTED_VALUE"""),45972.0)</f>
        <v>45972</v>
      </c>
      <c r="E4269" s="26">
        <f>IFERROR(__xludf.DUMMYFUNCTION("""COMPUTED_VALUE"""),343818.0)</f>
        <v>343818</v>
      </c>
      <c r="F4269" s="22" t="str">
        <f>IFERROR(__xludf.DUMMYFUNCTION("""COMPUTED_VALUE"""),"ふしだらでも好きって言って")</f>
        <v>ふしだらでも好きって言って</v>
      </c>
      <c r="G4269" s="20" t="str">
        <f>IFERROR(__xludf.DUMMYFUNCTION("""COMPUTED_VALUE"""),"1～3")</f>
        <v>1～3</v>
      </c>
      <c r="H4269" s="22" t="str">
        <f>IFERROR(__xludf.DUMMYFUNCTION("""COMPUTED_VALUE"""),"漫画：嶋田なのか／原作：田沢みん")</f>
        <v>漫画：嶋田なのか／原作：田沢みん</v>
      </c>
      <c r="I4269" s="22" t="str">
        <f>IFERROR(__xludf.DUMMYFUNCTION("""COMPUTED_VALUE"""),"女性")</f>
        <v>女性</v>
      </c>
      <c r="J4269" s="22"/>
      <c r="K4269" s="22"/>
      <c r="L4269" s="22" t="str">
        <f>IFERROR(__xludf.DUMMYFUNCTION("""COMPUTED_VALUE"""),"集英社")</f>
        <v>集英社</v>
      </c>
      <c r="M4269" s="33">
        <f>IFERROR(__xludf.DUMMYFUNCTION("""COMPUTED_VALUE"""),45999.0)</f>
        <v>45999</v>
      </c>
      <c r="N4269" s="33">
        <f>IFERROR(__xludf.DUMMYFUNCTION("""COMPUTED_VALUE"""),46029.0)</f>
        <v>46029</v>
      </c>
      <c r="O4269" s="20"/>
      <c r="P4269" s="32" t="str">
        <f>IFERROR(__xludf.DUMMYFUNCTION("""COMPUTED_VALUE"""),"可")</f>
        <v>可</v>
      </c>
      <c r="Q4269" s="30"/>
      <c r="R4269" s="22"/>
      <c r="S4269" s="22" t="str">
        <f>IFERROR(__xludf.DUMMYFUNCTION("""COMPUTED_VALUE"""),"20251107_集英社_ふしだらでも好きって言って")</f>
        <v>20251107_集英社_ふしだらでも好きって言って</v>
      </c>
      <c r="T4269" s="22" t="str">
        <f>IFERROR(__xludf.DUMMYFUNCTION("""COMPUTED_VALUE"""),"格納済み")</f>
        <v>格納済み</v>
      </c>
      <c r="U4269" s="9" t="str">
        <f>IFERROR(__xludf.DUMMYFUNCTION("""COMPUTED_VALUE"""),"(C)嶋田なのか・田沢みん／集英社")</f>
        <v>(C)嶋田なのか・田沢みん／集英社</v>
      </c>
      <c r="V4269" s="8"/>
      <c r="W4269" s="8"/>
      <c r="X4269" s="8" t="str">
        <f>IFERROR(__xludf.DUMMYFUNCTION("""COMPUTED_VALUE"""),"有")</f>
        <v>有</v>
      </c>
      <c r="Y4269" s="8" t="str">
        <f>IFERROR(__xludf.DUMMYFUNCTION("""COMPUTED_VALUE"""),"2026/1/7まで1巻無料")</f>
        <v>2026/1/7まで1巻無料</v>
      </c>
      <c r="Z4269" s="7"/>
      <c r="AA4269" s="7"/>
      <c r="AB4269" s="7"/>
    </row>
    <row r="4270" ht="15.75" customHeight="1">
      <c r="A4270" s="26">
        <f>IFERROR(__xludf.DUMMYFUNCTION("""COMPUTED_VALUE"""),6832.0)</f>
        <v>6832</v>
      </c>
      <c r="B4270" s="22" t="str">
        <f>IFERROR(__xludf.DUMMYFUNCTION("""COMPUTED_VALUE"""),"確定")</f>
        <v>確定</v>
      </c>
      <c r="C4270" s="28">
        <f>IFERROR(__xludf.DUMMYFUNCTION("""COMPUTED_VALUE"""),45968.0)</f>
        <v>45968</v>
      </c>
      <c r="D4270" s="28">
        <f>IFERROR(__xludf.DUMMYFUNCTION("""COMPUTED_VALUE"""),45972.0)</f>
        <v>45972</v>
      </c>
      <c r="E4270" s="26">
        <f>IFERROR(__xludf.DUMMYFUNCTION("""COMPUTED_VALUE"""),345906.0)</f>
        <v>345906</v>
      </c>
      <c r="F4270" s="22" t="str">
        <f>IFERROR(__xludf.DUMMYFUNCTION("""COMPUTED_VALUE"""),"あなたのご主人、私にください")</f>
        <v>あなたのご主人、私にください</v>
      </c>
      <c r="G4270" s="20" t="str">
        <f>IFERROR(__xludf.DUMMYFUNCTION("""COMPUTED_VALUE"""),"1～9")</f>
        <v>1～9</v>
      </c>
      <c r="H4270" s="22" t="str">
        <f>IFERROR(__xludf.DUMMYFUNCTION("""COMPUTED_VALUE"""),"漫画：下北沢ミツオ　原作：さいマサ（エブリスタ）")</f>
        <v>漫画：下北沢ミツオ　原作：さいマサ（エブリスタ）</v>
      </c>
      <c r="I4270" s="22" t="str">
        <f>IFERROR(__xludf.DUMMYFUNCTION("""COMPUTED_VALUE"""),"女性")</f>
        <v>女性</v>
      </c>
      <c r="J4270" s="22"/>
      <c r="K4270" s="22"/>
      <c r="L4270" s="22" t="str">
        <f>IFERROR(__xludf.DUMMYFUNCTION("""COMPUTED_VALUE"""),"集英社")</f>
        <v>集英社</v>
      </c>
      <c r="M4270" s="33">
        <f>IFERROR(__xludf.DUMMYFUNCTION("""COMPUTED_VALUE"""),46016.0)</f>
        <v>46016</v>
      </c>
      <c r="N4270" s="33">
        <f>IFERROR(__xludf.DUMMYFUNCTION("""COMPUTED_VALUE"""),46077.0)</f>
        <v>46077</v>
      </c>
      <c r="O4270" s="20"/>
      <c r="P4270" s="32" t="str">
        <f>IFERROR(__xludf.DUMMYFUNCTION("""COMPUTED_VALUE"""),"否")</f>
        <v>否</v>
      </c>
      <c r="Q4270" s="30" t="str">
        <f>IFERROR(__xludf.DUMMYFUNCTION("""COMPUTED_VALUE"""),"【アウトバウンド提案】・18フォルダありますが、2フォルダで1巻で初回配信9巻分の素材となります。")</f>
        <v>【アウトバウンド提案】・18フォルダありますが、2フォルダで1巻で初回配信9巻分の素材となります。</v>
      </c>
      <c r="R4270" s="22"/>
      <c r="S4270" s="22" t="str">
        <f>IFERROR(__xludf.DUMMYFUNCTION("""COMPUTED_VALUE"""),"20251107_集英社_あなたのご主人、私にください")</f>
        <v>20251107_集英社_あなたのご主人、私にください</v>
      </c>
      <c r="T4270" s="22" t="str">
        <f>IFERROR(__xludf.DUMMYFUNCTION("""COMPUTED_VALUE"""),"格納済み")</f>
        <v>格納済み</v>
      </c>
      <c r="U4270" s="9" t="str">
        <f>IFERROR(__xludf.DUMMYFUNCTION("""COMPUTED_VALUE"""),"（C）下北沢ミツオ・さいマサ（エブリスタ）／集英社")</f>
        <v>（C）下北沢ミツオ・さいマサ（エブリスタ）／集英社</v>
      </c>
      <c r="V4270" s="8"/>
      <c r="W4270" s="8"/>
      <c r="X4270" s="8" t="str">
        <f>IFERROR(__xludf.DUMMYFUNCTION("""COMPUTED_VALUE"""),"有")</f>
        <v>有</v>
      </c>
      <c r="Y4270" s="8" t="str">
        <f>IFERROR(__xludf.DUMMYFUNCTION("""COMPUTED_VALUE"""),"2026/1/24まで1巻無料")</f>
        <v>2026/1/24まで1巻無料</v>
      </c>
      <c r="Z4270" s="7"/>
      <c r="AA4270" s="7"/>
      <c r="AB4270" s="7"/>
    </row>
    <row r="4271" ht="15.75" customHeight="1">
      <c r="A4271" s="26">
        <f>IFERROR(__xludf.DUMMYFUNCTION("""COMPUTED_VALUE"""),6839.0)</f>
        <v>6839</v>
      </c>
      <c r="B4271" s="22" t="str">
        <f>IFERROR(__xludf.DUMMYFUNCTION("""COMPUTED_VALUE"""),"確定")</f>
        <v>確定</v>
      </c>
      <c r="C4271" s="28">
        <f>IFERROR(__xludf.DUMMYFUNCTION("""COMPUTED_VALUE"""),45971.0)</f>
        <v>45971</v>
      </c>
      <c r="D4271" s="28">
        <f>IFERROR(__xludf.DUMMYFUNCTION("""COMPUTED_VALUE"""),45971.0)</f>
        <v>45971</v>
      </c>
      <c r="E4271" s="26">
        <f>IFERROR(__xludf.DUMMYFUNCTION("""COMPUTED_VALUE"""),345097.0)</f>
        <v>345097</v>
      </c>
      <c r="F4271" s="22" t="str">
        <f>IFERROR(__xludf.DUMMYFUNCTION("""COMPUTED_VALUE"""),"愛する妻が絶倫社長の手に堕ちたその日…")</f>
        <v>愛する妻が絶倫社長の手に堕ちたその日…</v>
      </c>
      <c r="G4271" s="20" t="str">
        <f>IFERROR(__xludf.DUMMYFUNCTION("""COMPUTED_VALUE"""),"1～2")</f>
        <v>1～2</v>
      </c>
      <c r="H4271" s="22" t="str">
        <f>IFERROR(__xludf.DUMMYFUNCTION("""COMPUTED_VALUE"""),"ないとう春人")</f>
        <v>ないとう春人</v>
      </c>
      <c r="I4271" s="22" t="str">
        <f>IFERROR(__xludf.DUMMYFUNCTION("""COMPUTED_VALUE"""),"アダルトマンガ")</f>
        <v>アダルトマンガ</v>
      </c>
      <c r="J4271" s="22"/>
      <c r="K4271" s="22"/>
      <c r="L4271" s="22" t="str">
        <f>IFERROR(__xludf.DUMMYFUNCTION("""COMPUTED_VALUE"""),"セ・キララ文庫")</f>
        <v>セ・キララ文庫</v>
      </c>
      <c r="M4271" s="33">
        <f>IFERROR(__xludf.DUMMYFUNCTION("""COMPUTED_VALUE"""),46016.0)</f>
        <v>46016</v>
      </c>
      <c r="N4271" s="33">
        <f>IFERROR(__xludf.DUMMYFUNCTION("""COMPUTED_VALUE"""),46046.0)</f>
        <v>46046</v>
      </c>
      <c r="O4271" s="20"/>
      <c r="P4271" s="32" t="str">
        <f>IFERROR(__xludf.DUMMYFUNCTION("""COMPUTED_VALUE"""),"可")</f>
        <v>可</v>
      </c>
      <c r="Q4271" s="30"/>
      <c r="R4271" s="22"/>
      <c r="S4271" s="22" t="str">
        <f>IFERROR(__xludf.DUMMYFUNCTION("""COMPUTED_VALUE"""),"20251107_ライドオン_愛する妻が絶倫社長の手に堕ちたその日…")</f>
        <v>20251107_ライドオン_愛する妻が絶倫社長の手に堕ちたその日…</v>
      </c>
      <c r="T4271" s="22" t="str">
        <f>IFERROR(__xludf.DUMMYFUNCTION("""COMPUTED_VALUE"""),"格納済み")</f>
        <v>格納済み</v>
      </c>
      <c r="U4271" s="9" t="str">
        <f>IFERROR(__xludf.DUMMYFUNCTION("""COMPUTED_VALUE"""),"Ⓒないとう春人/セ・キララ文庫")</f>
        <v>Ⓒないとう春人/セ・キララ文庫</v>
      </c>
      <c r="V4271" s="8"/>
      <c r="W4271" s="8"/>
      <c r="X4271" s="8" t="str">
        <f>IFERROR(__xludf.DUMMYFUNCTION("""COMPUTED_VALUE"""),"有")</f>
        <v>有</v>
      </c>
      <c r="Y4271" s="8" t="str">
        <f>IFERROR(__xludf.DUMMYFUNCTION("""COMPUTED_VALUE"""),"P11まで")</f>
        <v>P11まで</v>
      </c>
      <c r="Z4271" s="7"/>
      <c r="AA4271" s="7"/>
      <c r="AB4271" s="7"/>
    </row>
    <row r="4272" ht="15.75" customHeight="1">
      <c r="A4272" s="26">
        <f>IFERROR(__xludf.DUMMYFUNCTION("""COMPUTED_VALUE"""),6840.0)</f>
        <v>6840</v>
      </c>
      <c r="B4272" s="22" t="str">
        <f>IFERROR(__xludf.DUMMYFUNCTION("""COMPUTED_VALUE"""),"確定")</f>
        <v>確定</v>
      </c>
      <c r="C4272" s="28">
        <f>IFERROR(__xludf.DUMMYFUNCTION("""COMPUTED_VALUE"""),45971.0)</f>
        <v>45971</v>
      </c>
      <c r="D4272" s="28">
        <f>IFERROR(__xludf.DUMMYFUNCTION("""COMPUTED_VALUE"""),45971.0)</f>
        <v>45971</v>
      </c>
      <c r="E4272" s="26">
        <f>IFERROR(__xludf.DUMMYFUNCTION("""COMPUTED_VALUE"""),345099.0)</f>
        <v>345099</v>
      </c>
      <c r="F4272" s="22" t="str">
        <f>IFERROR(__xludf.DUMMYFUNCTION("""COMPUTED_VALUE"""),"図書委員ネトラレ～ゆすりハメられ、彼氏の横で漏れる喘ぎ声～")</f>
        <v>図書委員ネトラレ～ゆすりハメられ、彼氏の横で漏れる喘ぎ声～</v>
      </c>
      <c r="G4272" s="20" t="str">
        <f>IFERROR(__xludf.DUMMYFUNCTION("""COMPUTED_VALUE"""),"1～2")</f>
        <v>1～2</v>
      </c>
      <c r="H4272" s="22" t="str">
        <f>IFERROR(__xludf.DUMMYFUNCTION("""COMPUTED_VALUE"""),"U-sora")</f>
        <v>U-sora</v>
      </c>
      <c r="I4272" s="22" t="str">
        <f>IFERROR(__xludf.DUMMYFUNCTION("""COMPUTED_VALUE"""),"アダルトマンガ")</f>
        <v>アダルトマンガ</v>
      </c>
      <c r="J4272" s="22"/>
      <c r="K4272" s="22"/>
      <c r="L4272" s="22" t="str">
        <f>IFERROR(__xludf.DUMMYFUNCTION("""COMPUTED_VALUE"""),"セ・キララ文庫")</f>
        <v>セ・キララ文庫</v>
      </c>
      <c r="M4272" s="33">
        <f>IFERROR(__xludf.DUMMYFUNCTION("""COMPUTED_VALUE"""),46016.0)</f>
        <v>46016</v>
      </c>
      <c r="N4272" s="33">
        <f>IFERROR(__xludf.DUMMYFUNCTION("""COMPUTED_VALUE"""),46046.0)</f>
        <v>46046</v>
      </c>
      <c r="O4272" s="20"/>
      <c r="P4272" s="32" t="str">
        <f>IFERROR(__xludf.DUMMYFUNCTION("""COMPUTED_VALUE"""),"可")</f>
        <v>可</v>
      </c>
      <c r="Q4272" s="30"/>
      <c r="R4272" s="22"/>
      <c r="S4272" s="22" t="str">
        <f>IFERROR(__xludf.DUMMYFUNCTION("""COMPUTED_VALUE"""),"20251107_ライドオン_図書委員ネトラレ～脅しハメられ、彼氏の横で漏れる喘ぎ声～")</f>
        <v>20251107_ライドオン_図書委員ネトラレ～脅しハメられ、彼氏の横で漏れる喘ぎ声～</v>
      </c>
      <c r="T4272" s="22" t="str">
        <f>IFERROR(__xludf.DUMMYFUNCTION("""COMPUTED_VALUE"""),"格納済み")</f>
        <v>格納済み</v>
      </c>
      <c r="U4272" s="9" t="str">
        <f>IFERROR(__xludf.DUMMYFUNCTION("""COMPUTED_VALUE"""),"ⒸU-sora/セ・キララ文庫")</f>
        <v>ⒸU-sora/セ・キララ文庫</v>
      </c>
      <c r="V4272" s="8"/>
      <c r="W4272" s="8"/>
      <c r="X4272" s="8" t="str">
        <f>IFERROR(__xludf.DUMMYFUNCTION("""COMPUTED_VALUE"""),"有")</f>
        <v>有</v>
      </c>
      <c r="Y4272" s="8" t="str">
        <f>IFERROR(__xludf.DUMMYFUNCTION("""COMPUTED_VALUE"""),"P11まで")</f>
        <v>P11まで</v>
      </c>
      <c r="Z4272" s="7"/>
      <c r="AA4272" s="7"/>
      <c r="AB4272" s="7"/>
    </row>
    <row r="4273" ht="15.75" customHeight="1">
      <c r="A4273" s="26">
        <f>IFERROR(__xludf.DUMMYFUNCTION("""COMPUTED_VALUE"""),6841.0)</f>
        <v>6841</v>
      </c>
      <c r="B4273" s="22" t="str">
        <f>IFERROR(__xludf.DUMMYFUNCTION("""COMPUTED_VALUE"""),"確定")</f>
        <v>確定</v>
      </c>
      <c r="C4273" s="28">
        <f>IFERROR(__xludf.DUMMYFUNCTION("""COMPUTED_VALUE"""),45971.0)</f>
        <v>45971</v>
      </c>
      <c r="D4273" s="28">
        <f>IFERROR(__xludf.DUMMYFUNCTION("""COMPUTED_VALUE"""),45971.0)</f>
        <v>45971</v>
      </c>
      <c r="E4273" s="26">
        <f>IFERROR(__xludf.DUMMYFUNCTION("""COMPUTED_VALUE"""),345098.0)</f>
        <v>345098</v>
      </c>
      <c r="F4273" s="22" t="str">
        <f>IFERROR(__xludf.DUMMYFUNCTION("""COMPUTED_VALUE"""),"彼女が他の雄に堕ちるまで")</f>
        <v>彼女が他の雄に堕ちるまで</v>
      </c>
      <c r="G4273" s="20" t="str">
        <f>IFERROR(__xludf.DUMMYFUNCTION("""COMPUTED_VALUE"""),"1～3")</f>
        <v>1～3</v>
      </c>
      <c r="H4273" s="22" t="str">
        <f>IFERROR(__xludf.DUMMYFUNCTION("""COMPUTED_VALUE"""),"なしを。")</f>
        <v>なしを。</v>
      </c>
      <c r="I4273" s="22" t="str">
        <f>IFERROR(__xludf.DUMMYFUNCTION("""COMPUTED_VALUE"""),"アダルトマンガ")</f>
        <v>アダルトマンガ</v>
      </c>
      <c r="J4273" s="22"/>
      <c r="K4273" s="22"/>
      <c r="L4273" s="22" t="str">
        <f>IFERROR(__xludf.DUMMYFUNCTION("""COMPUTED_VALUE"""),"セ・キララ文庫")</f>
        <v>セ・キララ文庫</v>
      </c>
      <c r="M4273" s="33">
        <f>IFERROR(__xludf.DUMMYFUNCTION("""COMPUTED_VALUE"""),46016.0)</f>
        <v>46016</v>
      </c>
      <c r="N4273" s="33">
        <f>IFERROR(__xludf.DUMMYFUNCTION("""COMPUTED_VALUE"""),46046.0)</f>
        <v>46046</v>
      </c>
      <c r="O4273" s="20"/>
      <c r="P4273" s="32" t="str">
        <f>IFERROR(__xludf.DUMMYFUNCTION("""COMPUTED_VALUE"""),"可")</f>
        <v>可</v>
      </c>
      <c r="Q4273" s="30"/>
      <c r="R4273" s="22"/>
      <c r="S4273" s="22" t="str">
        <f>IFERROR(__xludf.DUMMYFUNCTION("""COMPUTED_VALUE"""),"20251107_ライドオン_彼女が他の雄に堕ちるまで")</f>
        <v>20251107_ライドオン_彼女が他の雄に堕ちるまで</v>
      </c>
      <c r="T4273" s="22" t="str">
        <f>IFERROR(__xludf.DUMMYFUNCTION("""COMPUTED_VALUE"""),"格納済み")</f>
        <v>格納済み</v>
      </c>
      <c r="U4273" s="9" t="str">
        <f>IFERROR(__xludf.DUMMYFUNCTION("""COMPUTED_VALUE"""),"Ⓒなしを。/セ・キララ文庫")</f>
        <v>Ⓒなしを。/セ・キララ文庫</v>
      </c>
      <c r="V4273" s="8"/>
      <c r="W4273" s="8"/>
      <c r="X4273" s="8" t="str">
        <f>IFERROR(__xludf.DUMMYFUNCTION("""COMPUTED_VALUE"""),"有")</f>
        <v>有</v>
      </c>
      <c r="Y4273" s="8" t="str">
        <f>IFERROR(__xludf.DUMMYFUNCTION("""COMPUTED_VALUE"""),"P12まで")</f>
        <v>P12まで</v>
      </c>
      <c r="Z4273" s="7"/>
      <c r="AA4273" s="7"/>
      <c r="AB4273" s="7"/>
    </row>
    <row r="4274" ht="15.75" customHeight="1">
      <c r="A4274" s="26">
        <f>IFERROR(__xludf.DUMMYFUNCTION("""COMPUTED_VALUE"""),6842.0)</f>
        <v>6842</v>
      </c>
      <c r="B4274" s="22" t="str">
        <f>IFERROR(__xludf.DUMMYFUNCTION("""COMPUTED_VALUE"""),"確定")</f>
        <v>確定</v>
      </c>
      <c r="C4274" s="28">
        <f>IFERROR(__xludf.DUMMYFUNCTION("""COMPUTED_VALUE"""),45971.0)</f>
        <v>45971</v>
      </c>
      <c r="D4274" s="28">
        <f>IFERROR(__xludf.DUMMYFUNCTION("""COMPUTED_VALUE"""),45973.0)</f>
        <v>45973</v>
      </c>
      <c r="E4274" s="26">
        <f>IFERROR(__xludf.DUMMYFUNCTION("""COMPUTED_VALUE"""),297042.0)</f>
        <v>297042</v>
      </c>
      <c r="F4274" s="22" t="str">
        <f>IFERROR(__xludf.DUMMYFUNCTION("""COMPUTED_VALUE"""),"多幸神様と子作りはじめます")</f>
        <v>多幸神様と子作りはじめます</v>
      </c>
      <c r="G4274" s="20" t="str">
        <f>IFERROR(__xludf.DUMMYFUNCTION("""COMPUTED_VALUE"""),"1～5")</f>
        <v>1～5</v>
      </c>
      <c r="H4274" s="22" t="str">
        <f>IFERROR(__xludf.DUMMYFUNCTION("""COMPUTED_VALUE"""),"ふた粒")</f>
        <v>ふた粒</v>
      </c>
      <c r="I4274" s="22" t="str">
        <f>IFERROR(__xludf.DUMMYFUNCTION("""COMPUTED_VALUE"""),"BLマンガ")</f>
        <v>BLマンガ</v>
      </c>
      <c r="J4274" s="22"/>
      <c r="K4274" s="22" t="str">
        <f>IFERROR(__xludf.DUMMYFUNCTION("""COMPUTED_VALUE"""),"Ficus")</f>
        <v>Ficus</v>
      </c>
      <c r="L4274" s="22" t="str">
        <f>IFERROR(__xludf.DUMMYFUNCTION("""COMPUTED_VALUE"""),"シーモアコミックス")</f>
        <v>シーモアコミックス</v>
      </c>
      <c r="M4274" s="33">
        <f>IFERROR(__xludf.DUMMYFUNCTION("""COMPUTED_VALUE"""),46011.0)</f>
        <v>46011</v>
      </c>
      <c r="N4274" s="33">
        <f>IFERROR(__xludf.DUMMYFUNCTION("""COMPUTED_VALUE"""),2958465.0)</f>
        <v>2958465</v>
      </c>
      <c r="O4274" s="20"/>
      <c r="P4274" s="32" t="str">
        <f>IFERROR(__xludf.DUMMYFUNCTION("""COMPUTED_VALUE"""),"可")</f>
        <v>可</v>
      </c>
      <c r="Q4274" s="30"/>
      <c r="R4274" s="22"/>
      <c r="S4274" s="22" t="str">
        <f>IFERROR(__xludf.DUMMYFUNCTION("""COMPUTED_VALUE"""),"20251110_シーモアコミックス_多幸神様と子作りはじめます")</f>
        <v>20251110_シーモアコミックス_多幸神様と子作りはじめます</v>
      </c>
      <c r="T4274" s="22" t="str">
        <f>IFERROR(__xludf.DUMMYFUNCTION("""COMPUTED_VALUE"""),"格納済み")</f>
        <v>格納済み</v>
      </c>
      <c r="U4274" s="9" t="str">
        <f>IFERROR(__xludf.DUMMYFUNCTION("""COMPUTED_VALUE"""),"(C) ふた粒/シーモアコミックス")</f>
        <v>(C) ふた粒/シーモアコミックス</v>
      </c>
      <c r="V4274" s="8"/>
      <c r="W4274" s="8"/>
      <c r="X4274" s="8" t="str">
        <f>IFERROR(__xludf.DUMMYFUNCTION("""COMPUTED_VALUE"""),"有")</f>
        <v>有</v>
      </c>
      <c r="Y4274" s="8" t="str">
        <f>IFERROR(__xludf.DUMMYFUNCTION("""COMPUTED_VALUE"""),"P16まで")</f>
        <v>P16まで</v>
      </c>
      <c r="Z4274" s="7"/>
      <c r="AA4274" s="7"/>
      <c r="AB4274" s="7"/>
    </row>
    <row r="4275" ht="15.75" customHeight="1">
      <c r="A4275" s="26">
        <f>IFERROR(__xludf.DUMMYFUNCTION("""COMPUTED_VALUE"""),6850.0)</f>
        <v>6850</v>
      </c>
      <c r="B4275" s="22" t="str">
        <f>IFERROR(__xludf.DUMMYFUNCTION("""COMPUTED_VALUE"""),"確定")</f>
        <v>確定</v>
      </c>
      <c r="C4275" s="28">
        <f>IFERROR(__xludf.DUMMYFUNCTION("""COMPUTED_VALUE"""),45972.0)</f>
        <v>45972</v>
      </c>
      <c r="D4275" s="28">
        <f>IFERROR(__xludf.DUMMYFUNCTION("""COMPUTED_VALUE"""),45972.0)</f>
        <v>45972</v>
      </c>
      <c r="E4275" s="26">
        <f>IFERROR(__xludf.DUMMYFUNCTION("""COMPUTED_VALUE"""),345909.0)</f>
        <v>345909</v>
      </c>
      <c r="F4275" s="22" t="str">
        <f>IFERROR(__xludf.DUMMYFUNCTION("""COMPUTED_VALUE"""),"いとしの空くん")</f>
        <v>いとしの空くん</v>
      </c>
      <c r="G4275" s="20" t="str">
        <f>IFERROR(__xludf.DUMMYFUNCTION("""COMPUTED_VALUE"""),"1～4")</f>
        <v>1～4</v>
      </c>
      <c r="H4275" s="22" t="str">
        <f>IFERROR(__xludf.DUMMYFUNCTION("""COMPUTED_VALUE"""),"haruko")</f>
        <v>haruko</v>
      </c>
      <c r="I4275" s="22" t="str">
        <f>IFERROR(__xludf.DUMMYFUNCTION("""COMPUTED_VALUE"""),"女性")</f>
        <v>女性</v>
      </c>
      <c r="J4275" s="22"/>
      <c r="K4275" s="22"/>
      <c r="L4275" s="22" t="str">
        <f>IFERROR(__xludf.DUMMYFUNCTION("""COMPUTED_VALUE"""),"集英社")</f>
        <v>集英社</v>
      </c>
      <c r="M4275" s="33">
        <f>IFERROR(__xludf.DUMMYFUNCTION("""COMPUTED_VALUE"""),46016.0)</f>
        <v>46016</v>
      </c>
      <c r="N4275" s="33">
        <f>IFERROR(__xludf.DUMMYFUNCTION("""COMPUTED_VALUE"""),46077.0)</f>
        <v>46077</v>
      </c>
      <c r="O4275" s="20"/>
      <c r="P4275" s="32" t="str">
        <f>IFERROR(__xludf.DUMMYFUNCTION("""COMPUTED_VALUE"""),"否")</f>
        <v>否</v>
      </c>
      <c r="Q4275" s="30" t="str">
        <f>IFERROR(__xludf.DUMMYFUNCTION("""COMPUTED_VALUE"""),"【アウトバウンド提案】")</f>
        <v>【アウトバウンド提案】</v>
      </c>
      <c r="R4275" s="22"/>
      <c r="S4275" s="22" t="str">
        <f>IFERROR(__xludf.DUMMYFUNCTION("""COMPUTED_VALUE"""),"20251111_集英社_いとしの空くん")</f>
        <v>20251111_集英社_いとしの空くん</v>
      </c>
      <c r="T4275" s="22" t="str">
        <f>IFERROR(__xludf.DUMMYFUNCTION("""COMPUTED_VALUE"""),"格納済み")</f>
        <v>格納済み</v>
      </c>
      <c r="U4275" s="9" t="str">
        <f>IFERROR(__xludf.DUMMYFUNCTION("""COMPUTED_VALUE"""),"（ｃ）haruko／集英社")</f>
        <v>（ｃ）haruko／集英社</v>
      </c>
      <c r="V4275" s="8"/>
      <c r="W4275" s="8"/>
      <c r="X4275" s="8" t="str">
        <f>IFERROR(__xludf.DUMMYFUNCTION("""COMPUTED_VALUE"""),"有")</f>
        <v>有</v>
      </c>
      <c r="Y4275" s="8" t="str">
        <f>IFERROR(__xludf.DUMMYFUNCTION("""COMPUTED_VALUE"""),"2026/1/24まで1巻無料")</f>
        <v>2026/1/24まで1巻無料</v>
      </c>
      <c r="Z4275" s="7"/>
      <c r="AA4275" s="7"/>
      <c r="AB4275" s="7"/>
    </row>
    <row r="4276" ht="15.75" customHeight="1">
      <c r="A4276" s="26">
        <f>IFERROR(__xludf.DUMMYFUNCTION("""COMPUTED_VALUE"""),6858.0)</f>
        <v>6858</v>
      </c>
      <c r="B4276" s="22" t="str">
        <f>IFERROR(__xludf.DUMMYFUNCTION("""COMPUTED_VALUE"""),"確定")</f>
        <v>確定</v>
      </c>
      <c r="C4276" s="28">
        <f>IFERROR(__xludf.DUMMYFUNCTION("""COMPUTED_VALUE"""),45972.0)</f>
        <v>45972</v>
      </c>
      <c r="D4276" s="28">
        <f>IFERROR(__xludf.DUMMYFUNCTION("""COMPUTED_VALUE"""),45973.0)</f>
        <v>45973</v>
      </c>
      <c r="E4276" s="26">
        <f>IFERROR(__xludf.DUMMYFUNCTION("""COMPUTED_VALUE"""),186711.0)</f>
        <v>186711</v>
      </c>
      <c r="F4276" s="22" t="str">
        <f>IFERROR(__xludf.DUMMYFUNCTION("""COMPUTED_VALUE"""),"べな")</f>
        <v>べな</v>
      </c>
      <c r="G4276" s="20">
        <f>IFERROR(__xludf.DUMMYFUNCTION("""COMPUTED_VALUE"""),5.0)</f>
        <v>5</v>
      </c>
      <c r="H4276" s="22" t="str">
        <f>IFERROR(__xludf.DUMMYFUNCTION("""COMPUTED_VALUE"""),"こふで")</f>
        <v>こふで</v>
      </c>
      <c r="I4276" s="22" t="str">
        <f>IFERROR(__xludf.DUMMYFUNCTION("""COMPUTED_VALUE"""),"BLマンガ")</f>
        <v>BLマンガ</v>
      </c>
      <c r="J4276" s="22"/>
      <c r="K4276" s="22" t="str">
        <f>IFERROR(__xludf.DUMMYFUNCTION("""COMPUTED_VALUE"""),"comic marginal")</f>
        <v>comic marginal</v>
      </c>
      <c r="L4276" s="22" t="str">
        <f>IFERROR(__xludf.DUMMYFUNCTION("""COMPUTED_VALUE"""),"双葉社")</f>
        <v>双葉社</v>
      </c>
      <c r="M4276" s="33">
        <f>IFERROR(__xludf.DUMMYFUNCTION("""COMPUTED_VALUE"""),46011.0)</f>
        <v>46011</v>
      </c>
      <c r="N4276" s="33">
        <f>IFERROR(__xludf.DUMMYFUNCTION("""COMPUTED_VALUE"""),2958465.0)</f>
        <v>2958465</v>
      </c>
      <c r="O4276" s="20"/>
      <c r="P4276" s="32" t="str">
        <f>IFERROR(__xludf.DUMMYFUNCTION("""COMPUTED_VALUE"""),"可")</f>
        <v>可</v>
      </c>
      <c r="Q4276" s="30" t="str">
        <f>IFERROR(__xludf.DUMMYFUNCTION("""COMPUTED_VALUE"""),"シーモア限定BOOKです")</f>
        <v>シーモア限定BOOKです</v>
      </c>
      <c r="R4276" s="22" t="str">
        <f>IFERROR(__xludf.DUMMYFUNCTION("""COMPUTED_VALUE"""),"コミットOK")</f>
        <v>コミットOK</v>
      </c>
      <c r="S4276" s="22" t="str">
        <f>IFERROR(__xludf.DUMMYFUNCTION("""COMPUTED_VALUE"""),"20251111_双葉社_べな_シーモア限定BOOK")</f>
        <v>20251111_双葉社_べな_シーモア限定BOOK</v>
      </c>
      <c r="T4276" s="22" t="str">
        <f>IFERROR(__xludf.DUMMYFUNCTION("""COMPUTED_VALUE"""),"格納済み")</f>
        <v>格納済み</v>
      </c>
      <c r="U4276" s="9" t="str">
        <f>IFERROR(__xludf.DUMMYFUNCTION("""COMPUTED_VALUE"""),"(C)こふで/双葉社")</f>
        <v>(C)こふで/双葉社</v>
      </c>
      <c r="V4276" s="8"/>
      <c r="W4276" s="8"/>
      <c r="X4276" s="8" t="str">
        <f>IFERROR(__xludf.DUMMYFUNCTION("""COMPUTED_VALUE"""),"有")</f>
        <v>有</v>
      </c>
      <c r="Y4276" s="8" t="str">
        <f>IFERROR(__xludf.DUMMYFUNCTION("""COMPUTED_VALUE"""),"2026/1/19まで1~3巻立ち読み増量
1巻：P80
2巻：P80
3巻：P60")</f>
        <v>2026/1/19まで1~3巻立ち読み増量
1巻：P80
2巻：P80
3巻：P60</v>
      </c>
      <c r="Z4276" s="7"/>
      <c r="AA4276" s="7"/>
      <c r="AB4276" s="7"/>
    </row>
    <row r="4277" ht="15.75" customHeight="1">
      <c r="A4277" s="26">
        <f>IFERROR(__xludf.DUMMYFUNCTION("""COMPUTED_VALUE"""),6864.0)</f>
        <v>6864</v>
      </c>
      <c r="B4277" s="22" t="str">
        <f>IFERROR(__xludf.DUMMYFUNCTION("""COMPUTED_VALUE"""),"確定")</f>
        <v>確定</v>
      </c>
      <c r="C4277" s="28">
        <f>IFERROR(__xludf.DUMMYFUNCTION("""COMPUTED_VALUE"""),45972.0)</f>
        <v>45972</v>
      </c>
      <c r="D4277" s="28">
        <f>IFERROR(__xludf.DUMMYFUNCTION("""COMPUTED_VALUE"""),45973.0)</f>
        <v>45973</v>
      </c>
      <c r="E4277" s="26">
        <f>IFERROR(__xludf.DUMMYFUNCTION("""COMPUTED_VALUE"""),263616.0)</f>
        <v>263616</v>
      </c>
      <c r="F4277" s="22" t="str">
        <f>IFERROR(__xludf.DUMMYFUNCTION("""COMPUTED_VALUE"""),"レンズ越しの恋心")</f>
        <v>レンズ越しの恋心</v>
      </c>
      <c r="G4277" s="20">
        <f>IFERROR(__xludf.DUMMYFUNCTION("""COMPUTED_VALUE"""),2.0)</f>
        <v>2</v>
      </c>
      <c r="H4277" s="22" t="str">
        <f>IFERROR(__xludf.DUMMYFUNCTION("""COMPUTED_VALUE"""),"いちい いち")</f>
        <v>いちい いち</v>
      </c>
      <c r="I4277" s="22" t="str">
        <f>IFERROR(__xludf.DUMMYFUNCTION("""COMPUTED_VALUE"""),"BLコミック")</f>
        <v>BLコミック</v>
      </c>
      <c r="J4277" s="22"/>
      <c r="K4277" s="22" t="str">
        <f>IFERROR(__xludf.DUMMYFUNCTION("""COMPUTED_VALUE"""),"Daria（ダリア）")</f>
        <v>Daria（ダリア）</v>
      </c>
      <c r="L4277" s="22" t="str">
        <f>IFERROR(__xludf.DUMMYFUNCTION("""COMPUTED_VALUE"""),"フロンティアワークス")</f>
        <v>フロンティアワークス</v>
      </c>
      <c r="M4277" s="33">
        <f>IFERROR(__xludf.DUMMYFUNCTION("""COMPUTED_VALUE"""),46011.0)</f>
        <v>46011</v>
      </c>
      <c r="N4277" s="33">
        <f>IFERROR(__xludf.DUMMYFUNCTION("""COMPUTED_VALUE"""),2958465.0)</f>
        <v>2958465</v>
      </c>
      <c r="O4277" s="20"/>
      <c r="P4277" s="32" t="str">
        <f>IFERROR(__xludf.DUMMYFUNCTION("""COMPUTED_VALUE"""),"可")</f>
        <v>可</v>
      </c>
      <c r="Q4277" s="30" t="str">
        <f>IFERROR(__xludf.DUMMYFUNCTION("""COMPUTED_VALUE"""),"『シーモア限定BOOK』作品です")</f>
        <v>『シーモア限定BOOK』作品です</v>
      </c>
      <c r="R4277" s="22"/>
      <c r="S4277" s="22" t="str">
        <f>IFERROR(__xludf.DUMMYFUNCTION("""COMPUTED_VALUE"""),"20251111_フロンティアワークス_レンズ越しの恋心 番外編【シーモア限定BOOK】")</f>
        <v>20251111_フロンティアワークス_レンズ越しの恋心 番外編【シーモア限定BOOK】</v>
      </c>
      <c r="T4277" s="22" t="str">
        <f>IFERROR(__xludf.DUMMYFUNCTION("""COMPUTED_VALUE"""),"格納済み")</f>
        <v>格納済み</v>
      </c>
      <c r="U4277" s="9" t="str">
        <f>IFERROR(__xludf.DUMMYFUNCTION("""COMPUTED_VALUE"""),"ⒸICHI ICHII/Frontier Works Inc.")</f>
        <v>ⒸICHI ICHII/Frontier Works Inc.</v>
      </c>
      <c r="V4277" s="8"/>
      <c r="W4277" s="8"/>
      <c r="X4277" s="8" t="str">
        <f>IFERROR(__xludf.DUMMYFUNCTION("""COMPUTED_VALUE"""),"有")</f>
        <v>有</v>
      </c>
      <c r="Y4277" s="8" t="str">
        <f>IFERROR(__xludf.DUMMYFUNCTION("""COMPUTED_VALUE"""),"2026/1/19まで1巻立ち読み増量（P36）")</f>
        <v>2026/1/19まで1巻立ち読み増量（P36）</v>
      </c>
      <c r="Z4277" s="7"/>
      <c r="AA4277" s="7"/>
      <c r="AB4277" s="7"/>
    </row>
    <row r="4278" ht="15.75" customHeight="1">
      <c r="A4278" s="26">
        <f>IFERROR(__xludf.DUMMYFUNCTION("""COMPUTED_VALUE"""),5844.0)</f>
        <v>5844</v>
      </c>
      <c r="B4278" s="22" t="str">
        <f>IFERROR(__xludf.DUMMYFUNCTION("""COMPUTED_VALUE"""),"確定")</f>
        <v>確定</v>
      </c>
      <c r="C4278" s="28">
        <f>IFERROR(__xludf.DUMMYFUNCTION("""COMPUTED_VALUE"""),45820.0)</f>
        <v>45820</v>
      </c>
      <c r="D4278" s="28">
        <f>IFERROR(__xludf.DUMMYFUNCTION("""COMPUTED_VALUE"""),45975.0)</f>
        <v>45975</v>
      </c>
      <c r="E4278" s="26">
        <f>IFERROR(__xludf.DUMMYFUNCTION("""COMPUTED_VALUE"""),348273.0)</f>
        <v>348273</v>
      </c>
      <c r="F4278" s="22" t="str">
        <f>IFERROR(__xludf.DUMMYFUNCTION("""COMPUTED_VALUE"""),"『万能漁師』スキルをもらってしまった俺、貞操逆転異世界に漂着したんだが【分冊版】")</f>
        <v>『万能漁師』スキルをもらってしまった俺、貞操逆転異世界に漂着したんだが【分冊版】</v>
      </c>
      <c r="G4278" s="20" t="str">
        <f>IFERROR(__xludf.DUMMYFUNCTION("""COMPUTED_VALUE"""),"1～6")</f>
        <v>1～6</v>
      </c>
      <c r="H4278" s="22" t="str">
        <f>IFERROR(__xludf.DUMMYFUNCTION("""COMPUTED_VALUE"""),"原作：りょうと かえ　漫画：宇埜いち")</f>
        <v>原作：りょうと かえ　漫画：宇埜いち</v>
      </c>
      <c r="I4278" s="22" t="str">
        <f>IFERROR(__xludf.DUMMYFUNCTION("""COMPUTED_VALUE"""),"少年")</f>
        <v>少年</v>
      </c>
      <c r="J4278" s="22"/>
      <c r="K4278" s="22"/>
      <c r="L4278" s="22" t="str">
        <f>IFERROR(__xludf.DUMMYFUNCTION("""COMPUTED_VALUE"""),"マンガボックス")</f>
        <v>マンガボックス</v>
      </c>
      <c r="M4278" s="33">
        <f>IFERROR(__xludf.DUMMYFUNCTION("""COMPUTED_VALUE"""),46022.0)</f>
        <v>46022</v>
      </c>
      <c r="N4278" s="33">
        <f>IFERROR(__xludf.DUMMYFUNCTION("""COMPUTED_VALUE"""),46111.0)</f>
        <v>46111</v>
      </c>
      <c r="O4278" s="20"/>
      <c r="P4278" s="32" t="str">
        <f>IFERROR(__xludf.DUMMYFUNCTION("""COMPUTED_VALUE"""),"可")</f>
        <v>可</v>
      </c>
      <c r="Q4278" s="30" t="str">
        <f>IFERROR(__xludf.DUMMYFUNCTION("""COMPUTED_VALUE"""),"男性向けファンタジー作品です。&lt;BR&gt;1~5話の素材でクリエイティブ制作お願いいたします。&lt;BR&gt;")</f>
        <v>男性向けファンタジー作品です。&lt;BR&gt;1~5話の素材でクリエイティブ制作お願いいたします。&lt;BR&gt;</v>
      </c>
      <c r="R4278" s="22"/>
      <c r="S4278" s="22" t="str">
        <f>IFERROR(__xludf.DUMMYFUNCTION("""COMPUTED_VALUE"""),"20251114_マンガボックス_『万能漁師』スキルをもらってしまった俺、貞操逆転異世界に漂着したんだが")</f>
        <v>20251114_マンガボックス_『万能漁師』スキルをもらってしまった俺、貞操逆転異世界に漂着したんだが</v>
      </c>
      <c r="T4278" s="22" t="str">
        <f>IFERROR(__xludf.DUMMYFUNCTION("""COMPUTED_VALUE"""),"格納済み")</f>
        <v>格納済み</v>
      </c>
      <c r="U4278" s="9" t="str">
        <f>IFERROR(__xludf.DUMMYFUNCTION("""COMPUTED_VALUE"""),"(c)りょうと かえ・宇埜いち/マンガボックス")</f>
        <v>(c)りょうと かえ・宇埜いち/マンガボックス</v>
      </c>
      <c r="V4278" s="8"/>
      <c r="W4278" s="8"/>
      <c r="X4278" s="8" t="str">
        <f>IFERROR(__xludf.DUMMYFUNCTION("""COMPUTED_VALUE"""),"有")</f>
        <v>有</v>
      </c>
      <c r="Y4278" s="8" t="str">
        <f>IFERROR(__xludf.DUMMYFUNCTION("""COMPUTED_VALUE"""),"P27まで")</f>
        <v>P27まで</v>
      </c>
      <c r="Z4278" s="7"/>
      <c r="AA4278" s="7"/>
      <c r="AB4278" s="7"/>
    </row>
    <row r="4279" ht="15.75" customHeight="1">
      <c r="A4279" s="26">
        <f>IFERROR(__xludf.DUMMYFUNCTION("""COMPUTED_VALUE"""),6018.0)</f>
        <v>6018</v>
      </c>
      <c r="B4279" s="22" t="str">
        <f>IFERROR(__xludf.DUMMYFUNCTION("""COMPUTED_VALUE"""),"確定")</f>
        <v>確定</v>
      </c>
      <c r="C4279" s="28">
        <f>IFERROR(__xludf.DUMMYFUNCTION("""COMPUTED_VALUE"""),45846.0)</f>
        <v>45846</v>
      </c>
      <c r="D4279" s="28">
        <f>IFERROR(__xludf.DUMMYFUNCTION("""COMPUTED_VALUE"""),45979.0)</f>
        <v>45979</v>
      </c>
      <c r="E4279" s="26">
        <f>IFERROR(__xludf.DUMMYFUNCTION("""COMPUTED_VALUE"""),348722.0)</f>
        <v>348722</v>
      </c>
      <c r="F4279" s="22" t="str">
        <f>IFERROR(__xludf.DUMMYFUNCTION("""COMPUTED_VALUE"""),"お飾り夫人ですが旦那が間違えて毒を飲みました。なんだか様子が変です。")</f>
        <v>お飾り夫人ですが旦那が間違えて毒を飲みました。なんだか様子が変です。</v>
      </c>
      <c r="G4279" s="20">
        <f>IFERROR(__xludf.DUMMYFUNCTION("""COMPUTED_VALUE"""),1.0)</f>
        <v>1</v>
      </c>
      <c r="H4279" s="22" t="str">
        <f>IFERROR(__xludf.DUMMYFUNCTION("""COMPUTED_VALUE"""),"漫画：黒間　原作：天笠すいとん")</f>
        <v>漫画：黒間　原作：天笠すいとん</v>
      </c>
      <c r="I4279" s="22" t="str">
        <f>IFERROR(__xludf.DUMMYFUNCTION("""COMPUTED_VALUE"""),"少女")</f>
        <v>少女</v>
      </c>
      <c r="J4279" s="22"/>
      <c r="K4279" s="22" t="str">
        <f>IFERROR(__xludf.DUMMYFUNCTION("""COMPUTED_VALUE"""),"ZERO-SUMコミックス")</f>
        <v>ZERO-SUMコミックス</v>
      </c>
      <c r="L4279" s="22" t="str">
        <f>IFERROR(__xludf.DUMMYFUNCTION("""COMPUTED_VALUE"""),"一迅社")</f>
        <v>一迅社</v>
      </c>
      <c r="M4279" s="33">
        <f>IFERROR(__xludf.DUMMYFUNCTION("""COMPUTED_VALUE"""),46054.0)</f>
        <v>46054</v>
      </c>
      <c r="N4279" s="33">
        <f>IFERROR(__xludf.DUMMYFUNCTION("""COMPUTED_VALUE"""),46081.0)</f>
        <v>46081</v>
      </c>
      <c r="O4279" s="20"/>
      <c r="P4279" s="32" t="str">
        <f>IFERROR(__xludf.DUMMYFUNCTION("""COMPUTED_VALUE"""),"否")</f>
        <v>否</v>
      </c>
      <c r="Q4279" s="30" t="str">
        <f>IFERROR(__xludf.DUMMYFUNCTION("""COMPUTED_VALUE"""),"「お飾り妻は冷酷旦那様と離縁したい！ ～実は溺愛されていたなんて知りません～アンソロジーコミック: 2」掲載作品です")</f>
        <v>「お飾り妻は冷酷旦那様と離縁したい！ ～実は溺愛されていたなんて知りません～アンソロジーコミック: 2」掲載作品です</v>
      </c>
      <c r="R4279" s="22"/>
      <c r="S4279" s="22" t="str">
        <f>IFERROR(__xludf.DUMMYFUNCTION("""COMPUTED_VALUE"""),"20251118_一迅社_お飾り夫人ですが旦那が間違えて毒を飲みました。なんだか様子が変です。")</f>
        <v>20251118_一迅社_お飾り夫人ですが旦那が間違えて毒を飲みました。なんだか様子が変です。</v>
      </c>
      <c r="T4279" s="22" t="str">
        <f>IFERROR(__xludf.DUMMYFUNCTION("""COMPUTED_VALUE"""),"格納済み")</f>
        <v>格納済み</v>
      </c>
      <c r="U4279" s="9" t="str">
        <f>IFERROR(__xludf.DUMMYFUNCTION("""COMPUTED_VALUE"""),"(C)黒間・天笠すいとん／一迅社")</f>
        <v>(C)黒間・天笠すいとん／一迅社</v>
      </c>
      <c r="V4279" s="8"/>
      <c r="W4279" s="8"/>
      <c r="X4279" s="8" t="str">
        <f>IFERROR(__xludf.DUMMYFUNCTION("""COMPUTED_VALUE"""),"有")</f>
        <v>有</v>
      </c>
      <c r="Y4279" s="8" t="str">
        <f>IFERROR(__xludf.DUMMYFUNCTION("""COMPUTED_VALUE"""),"P9まで")</f>
        <v>P9まで</v>
      </c>
      <c r="Z4279" s="7"/>
      <c r="AA4279" s="7"/>
      <c r="AB4279" s="7"/>
    </row>
    <row r="4280" ht="15.75" customHeight="1">
      <c r="A4280" s="26">
        <f>IFERROR(__xludf.DUMMYFUNCTION("""COMPUTED_VALUE"""),6336.0)</f>
        <v>6336</v>
      </c>
      <c r="B4280" s="22" t="str">
        <f>IFERROR(__xludf.DUMMYFUNCTION("""COMPUTED_VALUE"""),"確定")</f>
        <v>確定</v>
      </c>
      <c r="C4280" s="28">
        <f>IFERROR(__xludf.DUMMYFUNCTION("""COMPUTED_VALUE"""),45894.0)</f>
        <v>45894</v>
      </c>
      <c r="D4280" s="28">
        <f>IFERROR(__xludf.DUMMYFUNCTION("""COMPUTED_VALUE"""),45980.0)</f>
        <v>45980</v>
      </c>
      <c r="E4280" s="26">
        <f>IFERROR(__xludf.DUMMYFUNCTION("""COMPUTED_VALUE"""),344927.0)</f>
        <v>344927</v>
      </c>
      <c r="F4280" s="22" t="str">
        <f>IFERROR(__xludf.DUMMYFUNCTION("""COMPUTED_VALUE"""),"シェアハピ【マイクロ】")</f>
        <v>シェアハピ【マイクロ】</v>
      </c>
      <c r="G4280" s="20" t="str">
        <f>IFERROR(__xludf.DUMMYFUNCTION("""COMPUTED_VALUE"""),"1～3")</f>
        <v>1～3</v>
      </c>
      <c r="H4280" s="22" t="str">
        <f>IFERROR(__xludf.DUMMYFUNCTION("""COMPUTED_VALUE"""),"宇佐美真紀")</f>
        <v>宇佐美真紀</v>
      </c>
      <c r="I4280" s="22" t="str">
        <f>IFERROR(__xludf.DUMMYFUNCTION("""COMPUTED_VALUE"""),"女性")</f>
        <v>女性</v>
      </c>
      <c r="J4280" s="22"/>
      <c r="K4280" s="22" t="str">
        <f>IFERROR(__xludf.DUMMYFUNCTION("""COMPUTED_VALUE"""),"ベツコミ")</f>
        <v>ベツコミ</v>
      </c>
      <c r="L4280" s="22" t="str">
        <f>IFERROR(__xludf.DUMMYFUNCTION("""COMPUTED_VALUE"""),"小学館")</f>
        <v>小学館</v>
      </c>
      <c r="M4280" s="33">
        <f>IFERROR(__xludf.DUMMYFUNCTION("""COMPUTED_VALUE"""),46011.0)</f>
        <v>46011</v>
      </c>
      <c r="N4280" s="33">
        <f>IFERROR(__xludf.DUMMYFUNCTION("""COMPUTED_VALUE"""),46072.0)</f>
        <v>46072</v>
      </c>
      <c r="O4280" s="20"/>
      <c r="P4280" s="32" t="str">
        <f>IFERROR(__xludf.DUMMYFUNCTION("""COMPUTED_VALUE"""),"否")</f>
        <v>否</v>
      </c>
      <c r="Q4280" s="30" t="str">
        <f>IFERROR(__xludf.DUMMYFUNCTION("""COMPUTED_VALUE"""),"『御曹司の並ぶ店』『夕暮れライト』などの宇佐美真紀氏の最新作です。宇佐美先生ならではのハートフルで優しい世界感はそのままに、表題の通りシェアハウスする女性4名を中心としたお話ですので、色々な恋愛模様が垣間見れる作品となっております。&lt;BR&gt;")</f>
        <v>『御曹司の並ぶ店』『夕暮れライト』などの宇佐美真紀氏の最新作です。宇佐美先生ならではのハートフルで優しい世界感はそのままに、表題の通りシェアハウスする女性4名を中心としたお話ですので、色々な恋愛模様が垣間見れる作品となっております。&lt;BR&gt;</v>
      </c>
      <c r="R4280" s="22" t="str">
        <f>IFERROR(__xludf.DUMMYFUNCTION("""COMPUTED_VALUE"""),"コミットNG")</f>
        <v>コミットNG</v>
      </c>
      <c r="S4280" s="22" t="str">
        <f>IFERROR(__xludf.DUMMYFUNCTION("""COMPUTED_VALUE"""),"20251111_小学館_シェアハピ")</f>
        <v>20251111_小学館_シェアハピ</v>
      </c>
      <c r="T4280" s="22" t="str">
        <f>IFERROR(__xludf.DUMMYFUNCTION("""COMPUTED_VALUE"""),"格納済み")</f>
        <v>格納済み</v>
      </c>
      <c r="U4280" s="9" t="str">
        <f>IFERROR(__xludf.DUMMYFUNCTION("""COMPUTED_VALUE"""),"(C)宇佐美真紀 / 小学館")</f>
        <v>(C)宇佐美真紀 / 小学館</v>
      </c>
      <c r="V4280" s="8"/>
      <c r="W4280" s="8"/>
      <c r="X4280" s="8" t="str">
        <f>IFERROR(__xludf.DUMMYFUNCTION("""COMPUTED_VALUE"""),"有")</f>
        <v>有</v>
      </c>
      <c r="Y4280" s="8" t="str">
        <f>IFERROR(__xludf.DUMMYFUNCTION("""COMPUTED_VALUE"""),"P12まで")</f>
        <v>P12まで</v>
      </c>
      <c r="Z4280" s="7"/>
      <c r="AA4280" s="7"/>
      <c r="AB4280" s="7"/>
    </row>
    <row r="4281" ht="15.75" customHeight="1">
      <c r="A4281" s="26">
        <f>IFERROR(__xludf.DUMMYFUNCTION("""COMPUTED_VALUE"""),6375.0)</f>
        <v>6375</v>
      </c>
      <c r="B4281" s="22" t="str">
        <f>IFERROR(__xludf.DUMMYFUNCTION("""COMPUTED_VALUE"""),"確定")</f>
        <v>確定</v>
      </c>
      <c r="C4281" s="28">
        <f>IFERROR(__xludf.DUMMYFUNCTION("""COMPUTED_VALUE"""),45901.0)</f>
        <v>45901</v>
      </c>
      <c r="D4281" s="28">
        <f>IFERROR(__xludf.DUMMYFUNCTION("""COMPUTED_VALUE"""),45979.0)</f>
        <v>45979</v>
      </c>
      <c r="E4281" s="26">
        <f>IFERROR(__xludf.DUMMYFUNCTION("""COMPUTED_VALUE"""),341681.0)</f>
        <v>341681</v>
      </c>
      <c r="F4281" s="22" t="str">
        <f>IFERROR(__xludf.DUMMYFUNCTION("""COMPUTED_VALUE"""),"サポート枠のモブ令嬢に転生したら【扇情】スキル持ちの王子の好感度がMAXなのですが？【TL版】")</f>
        <v>サポート枠のモブ令嬢に転生したら【扇情】スキル持ちの王子の好感度がMAXなのですが？【TL版】</v>
      </c>
      <c r="G4281" s="20" t="str">
        <f>IFERROR(__xludf.DUMMYFUNCTION("""COMPUTED_VALUE"""),"1～2")</f>
        <v>1～2</v>
      </c>
      <c r="H4281" s="22" t="str">
        <f>IFERROR(__xludf.DUMMYFUNCTION("""COMPUTED_VALUE"""),"闇のいんこ")</f>
        <v>闇のいんこ</v>
      </c>
      <c r="I4281" s="22" t="str">
        <f>IFERROR(__xludf.DUMMYFUNCTION("""COMPUTED_VALUE"""),"TL")</f>
        <v>TL</v>
      </c>
      <c r="J4281" s="22"/>
      <c r="K4281" s="22" t="str">
        <f>IFERROR(__xludf.DUMMYFUNCTION("""COMPUTED_VALUE"""),"＠夜噺")</f>
        <v>＠夜噺</v>
      </c>
      <c r="L4281" s="22" t="str">
        <f>IFERROR(__xludf.DUMMYFUNCTION("""COMPUTED_VALUE"""),"DEEPER-ZERO")</f>
        <v>DEEPER-ZERO</v>
      </c>
      <c r="M4281" s="33">
        <f>IFERROR(__xludf.DUMMYFUNCTION("""COMPUTED_VALUE"""),45981.0)</f>
        <v>45981</v>
      </c>
      <c r="N4281" s="33">
        <f>IFERROR(__xludf.DUMMYFUNCTION("""COMPUTED_VALUE"""),46036.0)</f>
        <v>46036</v>
      </c>
      <c r="O4281" s="20"/>
      <c r="P4281" s="32" t="str">
        <f>IFERROR(__xludf.DUMMYFUNCTION("""COMPUTED_VALUE"""),"可")</f>
        <v>可</v>
      </c>
      <c r="Q4281" s="30" t="str">
        <f>IFERROR(__xludf.DUMMYFUNCTION("""COMPUTED_VALUE"""),"【アダルト作品扱い】")</f>
        <v>【アダルト作品扱い】</v>
      </c>
      <c r="R4281" s="22" t="str">
        <f>IFERROR(__xludf.DUMMYFUNCTION("""COMPUTED_VALUE"""),"コミットNG")</f>
        <v>コミットNG</v>
      </c>
      <c r="S4281" s="22" t="str">
        <f>IFERROR(__xludf.DUMMYFUNCTION("""COMPUTED_VALUE"""),"20251118_DEEPER-ZERO_サポート枠のモブ令嬢に転生したら【扇情】スキル持ちの王子の好感度がMAXなのですが？【TL版】")</f>
        <v>20251118_DEEPER-ZERO_サポート枠のモブ令嬢に転生したら【扇情】スキル持ちの王子の好感度がMAXなのですが？【TL版】</v>
      </c>
      <c r="T4281" s="22" t="str">
        <f>IFERROR(__xludf.DUMMYFUNCTION("""COMPUTED_VALUE"""),"格納済み")</f>
        <v>格納済み</v>
      </c>
      <c r="U4281" s="9" t="str">
        <f>IFERROR(__xludf.DUMMYFUNCTION("""COMPUTED_VALUE"""),"Ⓒ闇のいんこ/DEEPER-ZERO")</f>
        <v>Ⓒ闇のいんこ/DEEPER-ZERO</v>
      </c>
      <c r="V4281" s="8"/>
      <c r="W4281" s="8"/>
      <c r="X4281" s="8" t="str">
        <f>IFERROR(__xludf.DUMMYFUNCTION("""COMPUTED_VALUE"""),"有")</f>
        <v>有</v>
      </c>
      <c r="Y4281" s="8" t="str">
        <f>IFERROR(__xludf.DUMMYFUNCTION("""COMPUTED_VALUE"""),"2025/12/3まで1巻立ち読み増量(P18)")</f>
        <v>2025/12/3まで1巻立ち読み増量(P18)</v>
      </c>
      <c r="Z4281" s="7"/>
      <c r="AA4281" s="7"/>
      <c r="AB4281" s="7"/>
    </row>
    <row r="4282" ht="15.75" customHeight="1">
      <c r="A4282" s="26">
        <f>IFERROR(__xludf.DUMMYFUNCTION("""COMPUTED_VALUE"""),6473.0)</f>
        <v>6473</v>
      </c>
      <c r="B4282" s="22" t="str">
        <f>IFERROR(__xludf.DUMMYFUNCTION("""COMPUTED_VALUE"""),"確定")</f>
        <v>確定</v>
      </c>
      <c r="C4282" s="28">
        <f>IFERROR(__xludf.DUMMYFUNCTION("""COMPUTED_VALUE"""),45911.0)</f>
        <v>45911</v>
      </c>
      <c r="D4282" s="28">
        <f>IFERROR(__xludf.DUMMYFUNCTION("""COMPUTED_VALUE"""),45974.0)</f>
        <v>45974</v>
      </c>
      <c r="E4282" s="26">
        <f>IFERROR(__xludf.DUMMYFUNCTION("""COMPUTED_VALUE"""),343196.0)</f>
        <v>343196</v>
      </c>
      <c r="F4282" s="22" t="str">
        <f>IFERROR(__xludf.DUMMYFUNCTION("""COMPUTED_VALUE"""),"【単話版】漫画8050")</f>
        <v>【単話版】漫画8050</v>
      </c>
      <c r="G4282" s="20" t="str">
        <f>IFERROR(__xludf.DUMMYFUNCTION("""COMPUTED_VALUE"""),"1～3")</f>
        <v>1～3</v>
      </c>
      <c r="H4282" s="22" t="str">
        <f>IFERROR(__xludf.DUMMYFUNCTION("""COMPUTED_VALUE"""),"林真理子,佐久間力")</f>
        <v>林真理子,佐久間力</v>
      </c>
      <c r="I4282" s="22" t="str">
        <f>IFERROR(__xludf.DUMMYFUNCTION("""COMPUTED_VALUE"""),"青年")</f>
        <v>青年</v>
      </c>
      <c r="J4282" s="22"/>
      <c r="K4282" s="22"/>
      <c r="L4282" s="22" t="str">
        <f>IFERROR(__xludf.DUMMYFUNCTION("""COMPUTED_VALUE"""),"新潮社")</f>
        <v>新潮社</v>
      </c>
      <c r="M4282" s="33">
        <f>IFERROR(__xludf.DUMMYFUNCTION("""COMPUTED_VALUE"""),46000.0)</f>
        <v>46000</v>
      </c>
      <c r="N4282" s="33">
        <f>IFERROR(__xludf.DUMMYFUNCTION("""COMPUTED_VALUE"""),46386.0)</f>
        <v>46386</v>
      </c>
      <c r="O4282" s="20"/>
      <c r="P4282" s="32" t="str">
        <f>IFERROR(__xludf.DUMMYFUNCTION("""COMPUTED_VALUE"""),"可")</f>
        <v>可</v>
      </c>
      <c r="Q4282" s="30"/>
      <c r="R4282" s="22" t="str">
        <f>IFERROR(__xludf.DUMMYFUNCTION("""COMPUTED_VALUE"""),"コミットOK")</f>
        <v>コミットOK</v>
      </c>
      <c r="S4282" s="22" t="str">
        <f>IFERROR(__xludf.DUMMYFUNCTION("""COMPUTED_VALUE"""),"20251113_新潮社_【単話版】漫画8050")</f>
        <v>20251113_新潮社_【単話版】漫画8050</v>
      </c>
      <c r="T4282" s="22" t="str">
        <f>IFERROR(__xludf.DUMMYFUNCTION("""COMPUTED_VALUE"""),"格納済み")</f>
        <v>格納済み</v>
      </c>
      <c r="U4282" s="9" t="str">
        <f>IFERROR(__xludf.DUMMYFUNCTION("""COMPUTED_VALUE"""),"（C)林真理子 佐久間力／新潮社")</f>
        <v>（C)林真理子 佐久間力／新潮社</v>
      </c>
      <c r="V4282" s="8"/>
      <c r="W4282" s="8"/>
      <c r="X4282" s="8" t="str">
        <f>IFERROR(__xludf.DUMMYFUNCTION("""COMPUTED_VALUE"""),"有")</f>
        <v>有</v>
      </c>
      <c r="Y4282" s="8" t="str">
        <f>IFERROR(__xludf.DUMMYFUNCTION("""COMPUTED_VALUE"""),"2025/2/28まで1巻無料")</f>
        <v>2025/2/28まで1巻無料</v>
      </c>
      <c r="Z4282" s="7"/>
      <c r="AA4282" s="7"/>
      <c r="AB4282" s="7"/>
    </row>
    <row r="4283" ht="15.75" customHeight="1">
      <c r="A4283" s="26">
        <f>IFERROR(__xludf.DUMMYFUNCTION("""COMPUTED_VALUE"""),6497.0)</f>
        <v>6497</v>
      </c>
      <c r="B4283" s="22" t="str">
        <f>IFERROR(__xludf.DUMMYFUNCTION("""COMPUTED_VALUE"""),"確定")</f>
        <v>確定</v>
      </c>
      <c r="C4283" s="28">
        <f>IFERROR(__xludf.DUMMYFUNCTION("""COMPUTED_VALUE"""),45916.0)</f>
        <v>45916</v>
      </c>
      <c r="D4283" s="28">
        <f>IFERROR(__xludf.DUMMYFUNCTION("""COMPUTED_VALUE"""),45978.0)</f>
        <v>45978</v>
      </c>
      <c r="E4283" s="26">
        <f>IFERROR(__xludf.DUMMYFUNCTION("""COMPUTED_VALUE"""),342794.0)</f>
        <v>342794</v>
      </c>
      <c r="F4283" s="22" t="str">
        <f>IFERROR(__xludf.DUMMYFUNCTION("""COMPUTED_VALUE"""),"私の近衛騎士が女装をする理由　【連載版】")</f>
        <v>私の近衛騎士が女装をする理由　【連載版】</v>
      </c>
      <c r="G4283" s="20" t="str">
        <f>IFERROR(__xludf.DUMMYFUNCTION("""COMPUTED_VALUE"""),"1～3")</f>
        <v>1～3</v>
      </c>
      <c r="H4283" s="22" t="str">
        <f>IFERROR(__xludf.DUMMYFUNCTION("""COMPUTED_VALUE"""),"原作：日車メレ 先生　作画：颯一郎 先生")</f>
        <v>原作：日車メレ 先生　作画：颯一郎 先生</v>
      </c>
      <c r="I4283" s="22" t="str">
        <f>IFERROR(__xludf.DUMMYFUNCTION("""COMPUTED_VALUE"""),"少女")</f>
        <v>少女</v>
      </c>
      <c r="J4283" s="22"/>
      <c r="K4283" s="22" t="str">
        <f>IFERROR(__xludf.DUMMYFUNCTION("""COMPUTED_VALUE"""),"comic LAKE")</f>
        <v>comic LAKE</v>
      </c>
      <c r="L4283" s="22" t="str">
        <f>IFERROR(__xludf.DUMMYFUNCTION("""COMPUTED_VALUE"""),"一迅社")</f>
        <v>一迅社</v>
      </c>
      <c r="M4283" s="33">
        <f>IFERROR(__xludf.DUMMYFUNCTION("""COMPUTED_VALUE"""),46010.0)</f>
        <v>46010</v>
      </c>
      <c r="N4283" s="33">
        <f>IFERROR(__xludf.DUMMYFUNCTION("""COMPUTED_VALUE"""),46037.0)</f>
        <v>46037</v>
      </c>
      <c r="O4283" s="20"/>
      <c r="P4283" s="32" t="str">
        <f>IFERROR(__xludf.DUMMYFUNCTION("""COMPUTED_VALUE"""),"否")</f>
        <v>否</v>
      </c>
      <c r="Q4283" s="30" t="str">
        <f>IFERROR(__xludf.DUMMYFUNCTION("""COMPUTED_VALUE"""),"日車メレ先生が短編としてムーンライトノベルズに掲載した作品のコミカライズ企画です（https://novel18.syosetu.com/n0074ka/）&lt;BR&gt;ヒロインが男性恐怖症という設定を軸に、ヒーローは女装好きの「オネェ」としてヒロインと接していたが、ある日「不本意で仕方なくやっている」とヒロインにばれてしまう…というシーンから物語が始まります。&lt;BR&gt;全体的には可愛らしい印象で、ピュアな恋愛故にすれ違いが起こっているラブコメディ作品です。またヒーローは、女性読者が好む「一途なヒーロー」の設定で"&amp;"貴社のユーザーとも相性が良いかと思われます。")</f>
        <v>日車メレ先生が短編としてムーンライトノベルズに掲載した作品のコミカライズ企画です（https://novel18.syosetu.com/n0074ka/）&lt;BR&gt;ヒロインが男性恐怖症という設定を軸に、ヒーローは女装好きの「オネェ」としてヒロインと接していたが、ある日「不本意で仕方なくやっている」とヒロインにばれてしまう…というシーンから物語が始まります。&lt;BR&gt;全体的には可愛らしい印象で、ピュアな恋愛故にすれ違いが起こっているラブコメディ作品です。またヒーローは、女性読者が好む「一途なヒーロー」の設定で貴社のユーザーとも相性が良いかと思われます。</v>
      </c>
      <c r="R4283" s="22" t="str">
        <f>IFERROR(__xludf.DUMMYFUNCTION("""COMPUTED_VALUE"""),"コミットOK")</f>
        <v>コミットOK</v>
      </c>
      <c r="S4283" s="22" t="str">
        <f>IFERROR(__xludf.DUMMYFUNCTION("""COMPUTED_VALUE"""),"20251112_一迅社_私の近衛騎士が女装をする理由")</f>
        <v>20251112_一迅社_私の近衛騎士が女装をする理由</v>
      </c>
      <c r="T4283" s="22" t="str">
        <f>IFERROR(__xludf.DUMMYFUNCTION("""COMPUTED_VALUE"""),"格納済み")</f>
        <v>格納済み</v>
      </c>
      <c r="U4283" s="9" t="str">
        <f>IFERROR(__xludf.DUMMYFUNCTION("""COMPUTED_VALUE"""),"(C)颯一郎・日車メレ／一迅社")</f>
        <v>(C)颯一郎・日車メレ／一迅社</v>
      </c>
      <c r="V4283" s="8"/>
      <c r="W4283" s="8"/>
      <c r="X4283" s="8" t="str">
        <f>IFERROR(__xludf.DUMMYFUNCTION("""COMPUTED_VALUE"""),"有")</f>
        <v>有</v>
      </c>
      <c r="Y4283" s="8" t="str">
        <f>IFERROR(__xludf.DUMMYFUNCTION("""COMPUTED_VALUE"""),"P7まで")</f>
        <v>P7まで</v>
      </c>
      <c r="Z4283" s="7"/>
      <c r="AA4283" s="7"/>
      <c r="AB4283" s="7"/>
    </row>
    <row r="4284" ht="15.75" customHeight="1">
      <c r="A4284" s="26">
        <f>IFERROR(__xludf.DUMMYFUNCTION("""COMPUTED_VALUE"""),6521.0)</f>
        <v>6521</v>
      </c>
      <c r="B4284" s="22" t="str">
        <f>IFERROR(__xludf.DUMMYFUNCTION("""COMPUTED_VALUE"""),"確定")</f>
        <v>確定</v>
      </c>
      <c r="C4284" s="28">
        <f>IFERROR(__xludf.DUMMYFUNCTION("""COMPUTED_VALUE"""),45918.0)</f>
        <v>45918</v>
      </c>
      <c r="D4284" s="28">
        <f>IFERROR(__xludf.DUMMYFUNCTION("""COMPUTED_VALUE"""),45978.0)</f>
        <v>45978</v>
      </c>
      <c r="E4284" s="26">
        <f>IFERROR(__xludf.DUMMYFUNCTION("""COMPUTED_VALUE"""),343407.0)</f>
        <v>343407</v>
      </c>
      <c r="F4284" s="22" t="str">
        <f>IFERROR(__xludf.DUMMYFUNCTION("""COMPUTED_VALUE"""),"喪女とイケメン【R版】")</f>
        <v>喪女とイケメン【R版】</v>
      </c>
      <c r="G4284" s="20" t="str">
        <f>IFERROR(__xludf.DUMMYFUNCTION("""COMPUTED_VALUE"""),"1～2")</f>
        <v>1～2</v>
      </c>
      <c r="H4284" s="22" t="str">
        <f>IFERROR(__xludf.DUMMYFUNCTION("""COMPUTED_VALUE"""),"のん太郎のん次郎")</f>
        <v>のん太郎のん次郎</v>
      </c>
      <c r="I4284" s="22" t="str">
        <f>IFERROR(__xludf.DUMMYFUNCTION("""COMPUTED_VALUE"""),"アダルト")</f>
        <v>アダルト</v>
      </c>
      <c r="J4284" s="22"/>
      <c r="K4284" s="22" t="str">
        <f>IFERROR(__xludf.DUMMYFUNCTION("""COMPUTED_VALUE"""),"＠夜噺+")</f>
        <v>＠夜噺+</v>
      </c>
      <c r="L4284" s="22" t="str">
        <f>IFERROR(__xludf.DUMMYFUNCTION("""COMPUTED_VALUE"""),"DEEPER-ZERO")</f>
        <v>DEEPER-ZERO</v>
      </c>
      <c r="M4284" s="33">
        <f>IFERROR(__xludf.DUMMYFUNCTION("""COMPUTED_VALUE"""),46009.0)</f>
        <v>46009</v>
      </c>
      <c r="N4284" s="33">
        <f>IFERROR(__xludf.DUMMYFUNCTION("""COMPUTED_VALUE"""),46071.0)</f>
        <v>46071</v>
      </c>
      <c r="O4284" s="20"/>
      <c r="P4284" s="32" t="str">
        <f>IFERROR(__xludf.DUMMYFUNCTION("""COMPUTED_VALUE"""),"可")</f>
        <v>可</v>
      </c>
      <c r="Q4284" s="30"/>
      <c r="R4284" s="22" t="str">
        <f>IFERROR(__xludf.DUMMYFUNCTION("""COMPUTED_VALUE"""),"コミットOK")</f>
        <v>コミットOK</v>
      </c>
      <c r="S4284" s="22" t="str">
        <f>IFERROR(__xludf.DUMMYFUNCTION("""COMPUTED_VALUE"""),"20251117_DEEPER-ZERO_喪女とイケメン　初めてなのに…相性良すぎか！【R版】")</f>
        <v>20251117_DEEPER-ZERO_喪女とイケメン　初めてなのに…相性良すぎか！【R版】</v>
      </c>
      <c r="T4284" s="22" t="str">
        <f>IFERROR(__xludf.DUMMYFUNCTION("""COMPUTED_VALUE"""),"格納済み")</f>
        <v>格納済み</v>
      </c>
      <c r="U4284" s="9" t="str">
        <f>IFERROR(__xludf.DUMMYFUNCTION("""COMPUTED_VALUE"""),"Ⓒのん太郎のん次郎/DEEPER-ZERO")</f>
        <v>Ⓒのん太郎のん次郎/DEEPER-ZERO</v>
      </c>
      <c r="V4284" s="8"/>
      <c r="W4284" s="8"/>
      <c r="X4284" s="8" t="str">
        <f>IFERROR(__xludf.DUMMYFUNCTION("""COMPUTED_VALUE"""),"有")</f>
        <v>有</v>
      </c>
      <c r="Y4284" s="8" t="str">
        <f>IFERROR(__xludf.DUMMYFUNCTION("""COMPUTED_VALUE"""),"P9まで")</f>
        <v>P9まで</v>
      </c>
      <c r="Z4284" s="7"/>
      <c r="AA4284" s="7"/>
      <c r="AB4284" s="7"/>
    </row>
    <row r="4285" ht="15.75" customHeight="1">
      <c r="A4285" s="26">
        <f>IFERROR(__xludf.DUMMYFUNCTION("""COMPUTED_VALUE"""),6567.0)</f>
        <v>6567</v>
      </c>
      <c r="B4285" s="22" t="str">
        <f>IFERROR(__xludf.DUMMYFUNCTION("""COMPUTED_VALUE"""),"確定")</f>
        <v>確定</v>
      </c>
      <c r="C4285" s="28">
        <f>IFERROR(__xludf.DUMMYFUNCTION("""COMPUTED_VALUE"""),45929.0)</f>
        <v>45929</v>
      </c>
      <c r="D4285" s="28">
        <f>IFERROR(__xludf.DUMMYFUNCTION("""COMPUTED_VALUE"""),45980.0)</f>
        <v>45980</v>
      </c>
      <c r="E4285" s="26">
        <f>IFERROR(__xludf.DUMMYFUNCTION("""COMPUTED_VALUE"""),342522.0)</f>
        <v>342522</v>
      </c>
      <c r="F4285" s="22" t="str">
        <f>IFERROR(__xludf.DUMMYFUNCTION("""COMPUTED_VALUE"""),"【単話売】終活日和")</f>
        <v>【単話売】終活日和</v>
      </c>
      <c r="G4285" s="20" t="str">
        <f>IFERROR(__xludf.DUMMYFUNCTION("""COMPUTED_VALUE"""),"1～3")</f>
        <v>1～3</v>
      </c>
      <c r="H4285" s="22" t="str">
        <f>IFERROR(__xludf.DUMMYFUNCTION("""COMPUTED_VALUE"""),"人間まお")</f>
        <v>人間まお</v>
      </c>
      <c r="I4285" s="22" t="str">
        <f>IFERROR(__xludf.DUMMYFUNCTION("""COMPUTED_VALUE"""),"女性マンガ")</f>
        <v>女性マンガ</v>
      </c>
      <c r="J4285" s="22"/>
      <c r="K4285" s="22"/>
      <c r="L4285" s="22" t="str">
        <f>IFERROR(__xludf.DUMMYFUNCTION("""COMPUTED_VALUE"""),"集英社")</f>
        <v>集英社</v>
      </c>
      <c r="M4285" s="33">
        <f>IFERROR(__xludf.DUMMYFUNCTION("""COMPUTED_VALUE"""),45986.0)</f>
        <v>45986</v>
      </c>
      <c r="N4285" s="33">
        <f>IFERROR(__xludf.DUMMYFUNCTION("""COMPUTED_VALUE"""),46014.0)</f>
        <v>46014</v>
      </c>
      <c r="O4285" s="20"/>
      <c r="P4285" s="32" t="str">
        <f>IFERROR(__xludf.DUMMYFUNCTION("""COMPUTED_VALUE"""),"否")</f>
        <v>否</v>
      </c>
      <c r="Q4285" s="30"/>
      <c r="R4285" s="22" t="str">
        <f>IFERROR(__xludf.DUMMYFUNCTION("""COMPUTED_VALUE"""),"コミットNG")</f>
        <v>コミットNG</v>
      </c>
      <c r="S4285" s="22" t="str">
        <f>IFERROR(__xludf.DUMMYFUNCTION("""COMPUTED_VALUE"""),"20251111_集英社_終活日和")</f>
        <v>20251111_集英社_終活日和</v>
      </c>
      <c r="T4285" s="22" t="str">
        <f>IFERROR(__xludf.DUMMYFUNCTION("""COMPUTED_VALUE"""),"格納済み")</f>
        <v>格納済み</v>
      </c>
      <c r="U4285" s="9" t="str">
        <f>IFERROR(__xludf.DUMMYFUNCTION("""COMPUTED_VALUE"""),"(c)人間まお／集英社クリエイティブ")</f>
        <v>(c)人間まお／集英社クリエイティブ</v>
      </c>
      <c r="V4285" s="8"/>
      <c r="W4285" s="8"/>
      <c r="X4285" s="8" t="str">
        <f>IFERROR(__xludf.DUMMYFUNCTION("""COMPUTED_VALUE"""),"有")</f>
        <v>有</v>
      </c>
      <c r="Y4285" s="8" t="str">
        <f>IFERROR(__xludf.DUMMYFUNCTION("""COMPUTED_VALUE"""),"2025/12/24まで1巻無料")</f>
        <v>2025/12/24まで1巻無料</v>
      </c>
      <c r="Z4285" s="7"/>
      <c r="AA4285" s="7"/>
      <c r="AB4285" s="7"/>
    </row>
    <row r="4286" ht="15.75" customHeight="1">
      <c r="A4286" s="26">
        <f>IFERROR(__xludf.DUMMYFUNCTION("""COMPUTED_VALUE"""),6613.0)</f>
        <v>6613</v>
      </c>
      <c r="B4286" s="22" t="str">
        <f>IFERROR(__xludf.DUMMYFUNCTION("""COMPUTED_VALUE"""),"確定")</f>
        <v>確定</v>
      </c>
      <c r="C4286" s="28">
        <f>IFERROR(__xludf.DUMMYFUNCTION("""COMPUTED_VALUE"""),45937.0)</f>
        <v>45937</v>
      </c>
      <c r="D4286" s="28">
        <f>IFERROR(__xludf.DUMMYFUNCTION("""COMPUTED_VALUE"""),45978.0)</f>
        <v>45978</v>
      </c>
      <c r="E4286" s="26">
        <f>IFERROR(__xludf.DUMMYFUNCTION("""COMPUTED_VALUE"""),342808.0)</f>
        <v>342808</v>
      </c>
      <c r="F4286" s="22" t="str">
        <f>IFERROR(__xludf.DUMMYFUNCTION("""COMPUTED_VALUE"""),"溺愛ランジェリー～スパダリ上司に勝負下着を見られたら淫靡な恋が始まった～【分冊版】")</f>
        <v>溺愛ランジェリー～スパダリ上司に勝負下着を見られたら淫靡な恋が始まった～【分冊版】</v>
      </c>
      <c r="G4286" s="20" t="str">
        <f>IFERROR(__xludf.DUMMYFUNCTION("""COMPUTED_VALUE"""),"1～2")</f>
        <v>1～2</v>
      </c>
      <c r="H4286" s="22" t="str">
        <f>IFERROR(__xludf.DUMMYFUNCTION("""COMPUTED_VALUE"""),"藍尾はる⊥森本イチカ⊥ache")</f>
        <v>藍尾はる⊥森本イチカ⊥ache</v>
      </c>
      <c r="I4286" s="22" t="str">
        <f>IFERROR(__xludf.DUMMYFUNCTION("""COMPUTED_VALUE"""),"TL")</f>
        <v>TL</v>
      </c>
      <c r="J4286" s="22"/>
      <c r="K4286" s="22" t="str">
        <f>IFERROR(__xludf.DUMMYFUNCTION("""COMPUTED_VALUE"""),"ラブチュコラ")</f>
        <v>ラブチュコラ</v>
      </c>
      <c r="L4286" s="22" t="str">
        <f>IFERROR(__xludf.DUMMYFUNCTION("""COMPUTED_VALUE"""),"笠倉出版社")</f>
        <v>笠倉出版社</v>
      </c>
      <c r="M4286" s="33">
        <f>IFERROR(__xludf.DUMMYFUNCTION("""COMPUTED_VALUE"""),45995.0)</f>
        <v>45995</v>
      </c>
      <c r="N4286" s="33">
        <f>IFERROR(__xludf.DUMMYFUNCTION("""COMPUTED_VALUE"""),46022.0)</f>
        <v>46022</v>
      </c>
      <c r="O4286" s="20"/>
      <c r="P4286" s="32" t="str">
        <f>IFERROR(__xludf.DUMMYFUNCTION("""COMPUTED_VALUE"""),"可")</f>
        <v>可</v>
      </c>
      <c r="Q4286" s="30"/>
      <c r="R4286" s="22" t="str">
        <f>IFERROR(__xludf.DUMMYFUNCTION("""COMPUTED_VALUE"""),"コミットNG")</f>
        <v>コミットNG</v>
      </c>
      <c r="S4286" s="22" t="str">
        <f>IFERROR(__xludf.DUMMYFUNCTION("""COMPUTED_VALUE"""),"20251113_笠倉出版社_溺愛ランジェリー～スパダリ上司に勝負下着を見られたら淫靡な恋が始まった～【分冊版】_画：藍尾はる_原作：森本イチカ")</f>
        <v>20251113_笠倉出版社_溺愛ランジェリー～スパダリ上司に勝負下着を見られたら淫靡な恋が始まった～【分冊版】_画：藍尾はる_原作：森本イチカ</v>
      </c>
      <c r="T4286" s="22" t="str">
        <f>IFERROR(__xludf.DUMMYFUNCTION("""COMPUTED_VALUE"""),"格納済み")</f>
        <v>格納済み</v>
      </c>
      <c r="U4286" s="9" t="str">
        <f>IFERROR(__xludf.DUMMYFUNCTION("""COMPUTED_VALUE"""),"Ⓒ藍尾はる/森本イチカ/笠倉出版社")</f>
        <v>Ⓒ藍尾はる/森本イチカ/笠倉出版社</v>
      </c>
      <c r="V4286" s="8"/>
      <c r="W4286" s="8"/>
      <c r="X4286" s="8" t="str">
        <f>IFERROR(__xludf.DUMMYFUNCTION("""COMPUTED_VALUE"""),"有")</f>
        <v>有</v>
      </c>
      <c r="Y4286" s="8" t="str">
        <f>IFERROR(__xludf.DUMMYFUNCTION("""COMPUTED_VALUE"""),"P6まで")</f>
        <v>P6まで</v>
      </c>
      <c r="Z4286" s="7"/>
      <c r="AA4286" s="7"/>
      <c r="AB4286" s="7"/>
    </row>
    <row r="4287" ht="15.75" customHeight="1">
      <c r="A4287" s="26">
        <f>IFERROR(__xludf.DUMMYFUNCTION("""COMPUTED_VALUE"""),6618.0)</f>
        <v>6618</v>
      </c>
      <c r="B4287" s="22" t="str">
        <f>IFERROR(__xludf.DUMMYFUNCTION("""COMPUTED_VALUE"""),"確定")</f>
        <v>確定</v>
      </c>
      <c r="C4287" s="28">
        <f>IFERROR(__xludf.DUMMYFUNCTION("""COMPUTED_VALUE"""),45938.0)</f>
        <v>45938</v>
      </c>
      <c r="D4287" s="28">
        <f>IFERROR(__xludf.DUMMYFUNCTION("""COMPUTED_VALUE"""),45978.0)</f>
        <v>45978</v>
      </c>
      <c r="E4287" s="26">
        <f>IFERROR(__xludf.DUMMYFUNCTION("""COMPUTED_VALUE"""),343389.0)</f>
        <v>343389</v>
      </c>
      <c r="F4287" s="22" t="str">
        <f>IFERROR(__xludf.DUMMYFUNCTION("""COMPUTED_VALUE"""),"【ラブフリック】強がりなんて意味がない。こじらせ上司はクールな彼女の本音を暴きたい")</f>
        <v>【ラブフリック】強がりなんて意味がない。こじらせ上司はクールな彼女の本音を暴きたい</v>
      </c>
      <c r="G4287" s="20" t="str">
        <f>IFERROR(__xludf.DUMMYFUNCTION("""COMPUTED_VALUE"""),"1～2")</f>
        <v>1～2</v>
      </c>
      <c r="H4287" s="22" t="str">
        <f>IFERROR(__xludf.DUMMYFUNCTION("""COMPUTED_VALUE"""),"neco")</f>
        <v>neco</v>
      </c>
      <c r="I4287" s="22" t="str">
        <f>IFERROR(__xludf.DUMMYFUNCTION("""COMPUTED_VALUE"""),"TL")</f>
        <v>TL</v>
      </c>
      <c r="J4287" s="22"/>
      <c r="K4287" s="22" t="str">
        <f>IFERROR(__xludf.DUMMYFUNCTION("""COMPUTED_VALUE"""),"LOVE FLICK")</f>
        <v>LOVE FLICK</v>
      </c>
      <c r="L4287" s="22" t="str">
        <f>IFERROR(__xludf.DUMMYFUNCTION("""COMPUTED_VALUE"""),"CLLENN")</f>
        <v>CLLENN</v>
      </c>
      <c r="M4287" s="33">
        <f>IFERROR(__xludf.DUMMYFUNCTION("""COMPUTED_VALUE"""),46008.0)</f>
        <v>46008</v>
      </c>
      <c r="N4287" s="33">
        <f>IFERROR(__xludf.DUMMYFUNCTION("""COMPUTED_VALUE"""),46070.0)</f>
        <v>46070</v>
      </c>
      <c r="O4287" s="20"/>
      <c r="P4287" s="32" t="str">
        <f>IFERROR(__xludf.DUMMYFUNCTION("""COMPUTED_VALUE"""),"可")</f>
        <v>可</v>
      </c>
      <c r="Q4287" s="30"/>
      <c r="R4287" s="22" t="str">
        <f>IFERROR(__xludf.DUMMYFUNCTION("""COMPUTED_VALUE"""),"コミットOK")</f>
        <v>コミットOK</v>
      </c>
      <c r="S4287" s="22" t="str">
        <f>IFERROR(__xludf.DUMMYFUNCTION("""COMPUTED_VALUE"""),"20251117_CLLENN_【ラブフリック】強がりなんて意味がない。こじらせ上司はクールな彼女の本音を暴きたい")</f>
        <v>20251117_CLLENN_【ラブフリック】強がりなんて意味がない。こじらせ上司はクールな彼女の本音を暴きたい</v>
      </c>
      <c r="T4287" s="22" t="str">
        <f>IFERROR(__xludf.DUMMYFUNCTION("""COMPUTED_VALUE"""),"格納済み")</f>
        <v>格納済み</v>
      </c>
      <c r="U4287" s="9" t="str">
        <f>IFERROR(__xludf.DUMMYFUNCTION("""COMPUTED_VALUE"""),"Ⓒneco/CLLENN")</f>
        <v>Ⓒneco/CLLENN</v>
      </c>
      <c r="V4287" s="8"/>
      <c r="W4287" s="8"/>
      <c r="X4287" s="8" t="str">
        <f>IFERROR(__xludf.DUMMYFUNCTION("""COMPUTED_VALUE"""),"有")</f>
        <v>有</v>
      </c>
      <c r="Y4287" s="8" t="str">
        <f>IFERROR(__xludf.DUMMYFUNCTION("""COMPUTED_VALUE"""),"P10まで")</f>
        <v>P10まで</v>
      </c>
      <c r="Z4287" s="7"/>
      <c r="AA4287" s="7"/>
      <c r="AB4287" s="7"/>
    </row>
    <row r="4288" ht="15.75" customHeight="1">
      <c r="A4288" s="26">
        <f>IFERROR(__xludf.DUMMYFUNCTION("""COMPUTED_VALUE"""),6628.0)</f>
        <v>6628</v>
      </c>
      <c r="B4288" s="22" t="str">
        <f>IFERROR(__xludf.DUMMYFUNCTION("""COMPUTED_VALUE"""),"確定")</f>
        <v>確定</v>
      </c>
      <c r="C4288" s="28">
        <f>IFERROR(__xludf.DUMMYFUNCTION("""COMPUTED_VALUE"""),45939.0)</f>
        <v>45939</v>
      </c>
      <c r="D4288" s="28">
        <f>IFERROR(__xludf.DUMMYFUNCTION("""COMPUTED_VALUE"""),45979.0)</f>
        <v>45979</v>
      </c>
      <c r="E4288" s="26">
        <f>IFERROR(__xludf.DUMMYFUNCTION("""COMPUTED_VALUE"""),343203.0)</f>
        <v>343203</v>
      </c>
      <c r="F4288" s="22" t="str">
        <f>IFERROR(__xludf.DUMMYFUNCTION("""COMPUTED_VALUE"""),"新人編集くんがエロ可愛くてムリ！")</f>
        <v>新人編集くんがエロ可愛くてムリ！</v>
      </c>
      <c r="G4288" s="20" t="str">
        <f>IFERROR(__xludf.DUMMYFUNCTION("""COMPUTED_VALUE"""),"1～2")</f>
        <v>1～2</v>
      </c>
      <c r="H4288" s="22" t="str">
        <f>IFERROR(__xludf.DUMMYFUNCTION("""COMPUTED_VALUE"""),"三角すみ")</f>
        <v>三角すみ</v>
      </c>
      <c r="I4288" s="22" t="str">
        <f>IFERROR(__xludf.DUMMYFUNCTION("""COMPUTED_VALUE"""),"BL")</f>
        <v>BL</v>
      </c>
      <c r="J4288" s="22"/>
      <c r="K4288" s="22" t="str">
        <f>IFERROR(__xludf.DUMMYFUNCTION("""COMPUTED_VALUE"""),"NuPu")</f>
        <v>NuPu</v>
      </c>
      <c r="L4288" s="22" t="str">
        <f>IFERROR(__xludf.DUMMYFUNCTION("""COMPUTED_VALUE"""),"CLLENN")</f>
        <v>CLLENN</v>
      </c>
      <c r="M4288" s="33">
        <f>IFERROR(__xludf.DUMMYFUNCTION("""COMPUTED_VALUE"""),46002.0)</f>
        <v>46002</v>
      </c>
      <c r="N4288" s="33">
        <f>IFERROR(__xludf.DUMMYFUNCTION("""COMPUTED_VALUE"""),46071.0)</f>
        <v>46071</v>
      </c>
      <c r="O4288" s="20"/>
      <c r="P4288" s="32" t="str">
        <f>IFERROR(__xludf.DUMMYFUNCTION("""COMPUTED_VALUE"""),"可")</f>
        <v>可</v>
      </c>
      <c r="Q4288" s="30"/>
      <c r="R4288" s="22" t="str">
        <f>IFERROR(__xludf.DUMMYFUNCTION("""COMPUTED_VALUE"""),"コミットNG")</f>
        <v>コミットNG</v>
      </c>
      <c r="S4288" s="22" t="str">
        <f>IFERROR(__xludf.DUMMYFUNCTION("""COMPUTED_VALUE"""),"20251117_CLLENN_新人編集くんがエロ可愛くてムリ！")</f>
        <v>20251117_CLLENN_新人編集くんがエロ可愛くてムリ！</v>
      </c>
      <c r="T4288" s="22" t="str">
        <f>IFERROR(__xludf.DUMMYFUNCTION("""COMPUTED_VALUE"""),"格納済み")</f>
        <v>格納済み</v>
      </c>
      <c r="U4288" s="9" t="str">
        <f>IFERROR(__xludf.DUMMYFUNCTION("""COMPUTED_VALUE"""),"Ⓒ三角すみ/CLLENN")</f>
        <v>Ⓒ三角すみ/CLLENN</v>
      </c>
      <c r="V4288" s="8"/>
      <c r="W4288" s="8"/>
      <c r="X4288" s="8" t="str">
        <f>IFERROR(__xludf.DUMMYFUNCTION("""COMPUTED_VALUE"""),"有")</f>
        <v>有</v>
      </c>
      <c r="Y4288" s="8" t="str">
        <f>IFERROR(__xludf.DUMMYFUNCTION("""COMPUTED_VALUE"""),"2025/12/24まで1巻立ち読み増量(P23)")</f>
        <v>2025/12/24まで1巻立ち読み増量(P23)</v>
      </c>
      <c r="Z4288" s="7"/>
      <c r="AA4288" s="7"/>
      <c r="AB4288" s="7"/>
    </row>
    <row r="4289" ht="15.75" customHeight="1">
      <c r="A4289" s="26">
        <f>IFERROR(__xludf.DUMMYFUNCTION("""COMPUTED_VALUE"""),6629.0)</f>
        <v>6629</v>
      </c>
      <c r="B4289" s="22" t="str">
        <f>IFERROR(__xludf.DUMMYFUNCTION("""COMPUTED_VALUE"""),"確定")</f>
        <v>確定</v>
      </c>
      <c r="C4289" s="28">
        <f>IFERROR(__xludf.DUMMYFUNCTION("""COMPUTED_VALUE"""),45939.0)</f>
        <v>45939</v>
      </c>
      <c r="D4289" s="28">
        <f>IFERROR(__xludf.DUMMYFUNCTION("""COMPUTED_VALUE"""),45978.0)</f>
        <v>45978</v>
      </c>
      <c r="E4289" s="26">
        <f>IFERROR(__xludf.DUMMYFUNCTION("""COMPUTED_VALUE"""),343378.0)</f>
        <v>343378</v>
      </c>
      <c r="F4289" s="22" t="str">
        <f>IFERROR(__xludf.DUMMYFUNCTION("""COMPUTED_VALUE"""),"トモオニ")</f>
        <v>トモオニ</v>
      </c>
      <c r="G4289" s="20" t="str">
        <f>IFERROR(__xludf.DUMMYFUNCTION("""COMPUTED_VALUE"""),"1～2")</f>
        <v>1～2</v>
      </c>
      <c r="H4289" s="22" t="str">
        <f>IFERROR(__xludf.DUMMYFUNCTION("""COMPUTED_VALUE"""),"とろろ軍曹")</f>
        <v>とろろ軍曹</v>
      </c>
      <c r="I4289" s="22" t="str">
        <f>IFERROR(__xludf.DUMMYFUNCTION("""COMPUTED_VALUE"""),"BL")</f>
        <v>BL</v>
      </c>
      <c r="J4289" s="22"/>
      <c r="K4289" s="22" t="str">
        <f>IFERROR(__xludf.DUMMYFUNCTION("""COMPUTED_VALUE"""),"MooiComics")</f>
        <v>MooiComics</v>
      </c>
      <c r="L4289" s="22" t="str">
        <f>IFERROR(__xludf.DUMMYFUNCTION("""COMPUTED_VALUE"""),"CLLENN")</f>
        <v>CLLENN</v>
      </c>
      <c r="M4289" s="33">
        <f>IFERROR(__xludf.DUMMYFUNCTION("""COMPUTED_VALUE"""),46007.0)</f>
        <v>46007</v>
      </c>
      <c r="N4289" s="33">
        <f>IFERROR(__xludf.DUMMYFUNCTION("""COMPUTED_VALUE"""),46069.0)</f>
        <v>46069</v>
      </c>
      <c r="O4289" s="20"/>
      <c r="P4289" s="32" t="str">
        <f>IFERROR(__xludf.DUMMYFUNCTION("""COMPUTED_VALUE"""),"可")</f>
        <v>可</v>
      </c>
      <c r="Q4289" s="30" t="str">
        <f>IFERROR(__xludf.DUMMYFUNCTION("""COMPUTED_VALUE"""),"【アダルト作品扱い】")</f>
        <v>【アダルト作品扱い】</v>
      </c>
      <c r="R4289" s="22" t="str">
        <f>IFERROR(__xludf.DUMMYFUNCTION("""COMPUTED_VALUE"""),"コミットOK")</f>
        <v>コミットOK</v>
      </c>
      <c r="S4289" s="22" t="str">
        <f>IFERROR(__xludf.DUMMYFUNCTION("""COMPUTED_VALUE"""),"20251117_CLLENN_トモオニ")</f>
        <v>20251117_CLLENN_トモオニ</v>
      </c>
      <c r="T4289" s="22" t="str">
        <f>IFERROR(__xludf.DUMMYFUNCTION("""COMPUTED_VALUE"""),"格納済み")</f>
        <v>格納済み</v>
      </c>
      <c r="U4289" s="9" t="str">
        <f>IFERROR(__xludf.DUMMYFUNCTION("""COMPUTED_VALUE"""),"Ⓒとろろ軍曹/CLLENN")</f>
        <v>Ⓒとろろ軍曹/CLLENN</v>
      </c>
      <c r="V4289" s="8"/>
      <c r="W4289" s="8"/>
      <c r="X4289" s="8" t="str">
        <f>IFERROR(__xludf.DUMMYFUNCTION("""COMPUTED_VALUE"""),"有")</f>
        <v>有</v>
      </c>
      <c r="Y4289" s="8" t="str">
        <f>IFERROR(__xludf.DUMMYFUNCTION("""COMPUTED_VALUE"""),"P10まで")</f>
        <v>P10まで</v>
      </c>
      <c r="Z4289" s="7"/>
      <c r="AA4289" s="7"/>
      <c r="AB4289" s="7"/>
    </row>
    <row r="4290" ht="15.75" customHeight="1">
      <c r="A4290" s="26">
        <f>IFERROR(__xludf.DUMMYFUNCTION("""COMPUTED_VALUE"""),6652.0)</f>
        <v>6652</v>
      </c>
      <c r="B4290" s="22" t="str">
        <f>IFERROR(__xludf.DUMMYFUNCTION("""COMPUTED_VALUE"""),"確定")</f>
        <v>確定</v>
      </c>
      <c r="C4290" s="28">
        <f>IFERROR(__xludf.DUMMYFUNCTION("""COMPUTED_VALUE"""),45944.0)</f>
        <v>45944</v>
      </c>
      <c r="D4290" s="28">
        <f>IFERROR(__xludf.DUMMYFUNCTION("""COMPUTED_VALUE"""),45974.0)</f>
        <v>45974</v>
      </c>
      <c r="E4290" s="26">
        <f>IFERROR(__xludf.DUMMYFUNCTION("""COMPUTED_VALUE"""),345864.0)</f>
        <v>345864</v>
      </c>
      <c r="F4290" s="22" t="str">
        <f>IFERROR(__xludf.DUMMYFUNCTION("""COMPUTED_VALUE"""),"【単話版】悪役令嬢グロリア・フォン・コードウェルの断罪と復讐@COMIC")</f>
        <v>【単話版】悪役令嬢グロリア・フォン・コードウェルの断罪と復讐@COMIC</v>
      </c>
      <c r="G4290" s="20" t="str">
        <f>IFERROR(__xludf.DUMMYFUNCTION("""COMPUTED_VALUE"""),"1～3")</f>
        <v>1～3</v>
      </c>
      <c r="H4290" s="22" t="str">
        <f>IFERROR(__xludf.DUMMYFUNCTION("""COMPUTED_VALUE"""),"著者区分：漫画/原作 著者名：たなこ/万丸うさこ 著者名カナ：タナコ/バンマルウサコ")</f>
        <v>著者区分：漫画/原作 著者名：たなこ/万丸うさこ 著者名カナ：タナコ/バンマルウサコ</v>
      </c>
      <c r="I4290" s="22" t="str">
        <f>IFERROR(__xludf.DUMMYFUNCTION("""COMPUTED_VALUE"""),"女性")</f>
        <v>女性</v>
      </c>
      <c r="J4290" s="22"/>
      <c r="K4290" s="22"/>
      <c r="L4290" s="22" t="str">
        <f>IFERROR(__xludf.DUMMYFUNCTION("""COMPUTED_VALUE"""),"TOブックス")</f>
        <v>TOブックス</v>
      </c>
      <c r="M4290" s="33">
        <f>IFERROR(__xludf.DUMMYFUNCTION("""COMPUTED_VALUE"""),46023.0)</f>
        <v>46023</v>
      </c>
      <c r="N4290" s="33">
        <f>IFERROR(__xludf.DUMMYFUNCTION("""COMPUTED_VALUE"""),46081.0)</f>
        <v>46081</v>
      </c>
      <c r="O4290" s="20"/>
      <c r="P4290" s="32" t="str">
        <f>IFERROR(__xludf.DUMMYFUNCTION("""COMPUTED_VALUE"""),"否")</f>
        <v>否</v>
      </c>
      <c r="Q4290" s="30"/>
      <c r="R4290" s="22" t="str">
        <f>IFERROR(__xludf.DUMMYFUNCTION("""COMPUTED_VALUE"""),"コミットOK")</f>
        <v>コミットOK</v>
      </c>
      <c r="S4290" s="22" t="str">
        <f>IFERROR(__xludf.DUMMYFUNCTION("""COMPUTED_VALUE"""),"20251113_TOブックス_【単話版】悪役令嬢グロリア・フォン・コードウェルの断罪と復讐@COMIC")</f>
        <v>20251113_TOブックス_【単話版】悪役令嬢グロリア・フォン・コードウェルの断罪と復讐@COMIC</v>
      </c>
      <c r="T4290" s="22" t="str">
        <f>IFERROR(__xludf.DUMMYFUNCTION("""COMPUTED_VALUE"""),"格納済み")</f>
        <v>格納済み</v>
      </c>
      <c r="U4290" s="9" t="str">
        <f>IFERROR(__xludf.DUMMYFUNCTION("""COMPUTED_VALUE"""),"© TANAKO / Banmaru Usako")</f>
        <v>© TANAKO / Banmaru Usako</v>
      </c>
      <c r="V4290" s="8"/>
      <c r="W4290" s="8"/>
      <c r="X4290" s="8" t="str">
        <f>IFERROR(__xludf.DUMMYFUNCTION("""COMPUTED_VALUE"""),"有")</f>
        <v>有</v>
      </c>
      <c r="Y4290" s="8" t="str">
        <f>IFERROR(__xludf.DUMMYFUNCTION("""COMPUTED_VALUE"""),"P6まで")</f>
        <v>P6まで</v>
      </c>
      <c r="Z4290" s="7"/>
      <c r="AA4290" s="7"/>
      <c r="AB4290" s="7"/>
    </row>
    <row r="4291" ht="15.75" customHeight="1">
      <c r="A4291" s="26">
        <f>IFERROR(__xludf.DUMMYFUNCTION("""COMPUTED_VALUE"""),6656.0)</f>
        <v>6656</v>
      </c>
      <c r="B4291" s="22" t="str">
        <f>IFERROR(__xludf.DUMMYFUNCTION("""COMPUTED_VALUE"""),"確定")</f>
        <v>確定</v>
      </c>
      <c r="C4291" s="28">
        <f>IFERROR(__xludf.DUMMYFUNCTION("""COMPUTED_VALUE"""),45945.0)</f>
        <v>45945</v>
      </c>
      <c r="D4291" s="28">
        <f>IFERROR(__xludf.DUMMYFUNCTION("""COMPUTED_VALUE"""),45978.0)</f>
        <v>45978</v>
      </c>
      <c r="E4291" s="26">
        <f>IFERROR(__xludf.DUMMYFUNCTION("""COMPUTED_VALUE"""),345245.0)</f>
        <v>345245</v>
      </c>
      <c r="F4291" s="22" t="str">
        <f>IFERROR(__xludf.DUMMYFUNCTION("""COMPUTED_VALUE"""),"齧ってキス、僕だけのケーキ。")</f>
        <v>齧ってキス、僕だけのケーキ。</v>
      </c>
      <c r="G4291" s="20" t="str">
        <f>IFERROR(__xludf.DUMMYFUNCTION("""COMPUTED_VALUE"""),"1～2")</f>
        <v>1～2</v>
      </c>
      <c r="H4291" s="22" t="str">
        <f>IFERROR(__xludf.DUMMYFUNCTION("""COMPUTED_VALUE"""),"きみあたる")</f>
        <v>きみあたる</v>
      </c>
      <c r="I4291" s="22" t="str">
        <f>IFERROR(__xludf.DUMMYFUNCTION("""COMPUTED_VALUE"""),"BL")</f>
        <v>BL</v>
      </c>
      <c r="J4291" s="22"/>
      <c r="K4291" s="22" t="str">
        <f>IFERROR(__xludf.DUMMYFUNCTION("""COMPUTED_VALUE"""),"NuPu")</f>
        <v>NuPu</v>
      </c>
      <c r="L4291" s="22" t="str">
        <f>IFERROR(__xludf.DUMMYFUNCTION("""COMPUTED_VALUE"""),"CLLENN")</f>
        <v>CLLENN</v>
      </c>
      <c r="M4291" s="33">
        <f>IFERROR(__xludf.DUMMYFUNCTION("""COMPUTED_VALUE"""),46002.0)</f>
        <v>46002</v>
      </c>
      <c r="N4291" s="33">
        <f>IFERROR(__xludf.DUMMYFUNCTION("""COMPUTED_VALUE"""),46071.0)</f>
        <v>46071</v>
      </c>
      <c r="O4291" s="20"/>
      <c r="P4291" s="32" t="str">
        <f>IFERROR(__xludf.DUMMYFUNCTION("""COMPUTED_VALUE"""),"可")</f>
        <v>可</v>
      </c>
      <c r="Q4291" s="30"/>
      <c r="R4291" s="22" t="str">
        <f>IFERROR(__xludf.DUMMYFUNCTION("""COMPUTED_VALUE"""),"コミットNG")</f>
        <v>コミットNG</v>
      </c>
      <c r="S4291" s="22" t="str">
        <f>IFERROR(__xludf.DUMMYFUNCTION("""COMPUTED_VALUE"""),"20251117_CLLENN_齧ってキス、僕だけのケーキ。")</f>
        <v>20251117_CLLENN_齧ってキス、僕だけのケーキ。</v>
      </c>
      <c r="T4291" s="22" t="str">
        <f>IFERROR(__xludf.DUMMYFUNCTION("""COMPUTED_VALUE"""),"格納済み")</f>
        <v>格納済み</v>
      </c>
      <c r="U4291" s="9" t="str">
        <f>IFERROR(__xludf.DUMMYFUNCTION("""COMPUTED_VALUE"""),"Ⓒきみあたる/CLLENN")</f>
        <v>Ⓒきみあたる/CLLENN</v>
      </c>
      <c r="V4291" s="8"/>
      <c r="W4291" s="8"/>
      <c r="X4291" s="8" t="str">
        <f>IFERROR(__xludf.DUMMYFUNCTION("""COMPUTED_VALUE"""),"有")</f>
        <v>有</v>
      </c>
      <c r="Y4291" s="8" t="str">
        <f>IFERROR(__xludf.DUMMYFUNCTION("""COMPUTED_VALUE"""),"2025/12/24まで1巻立ち読み増量(P18)")</f>
        <v>2025/12/24まで1巻立ち読み増量(P18)</v>
      </c>
      <c r="Z4291" s="7"/>
      <c r="AA4291" s="7"/>
      <c r="AB4291" s="7"/>
    </row>
    <row r="4292" ht="15.75" customHeight="1">
      <c r="A4292" s="26">
        <f>IFERROR(__xludf.DUMMYFUNCTION("""COMPUTED_VALUE"""),6666.0)</f>
        <v>6666</v>
      </c>
      <c r="B4292" s="22" t="str">
        <f>IFERROR(__xludf.DUMMYFUNCTION("""COMPUTED_VALUE"""),"確定")</f>
        <v>確定</v>
      </c>
      <c r="C4292" s="28">
        <f>IFERROR(__xludf.DUMMYFUNCTION("""COMPUTED_VALUE"""),45946.0)</f>
        <v>45946</v>
      </c>
      <c r="D4292" s="28">
        <f>IFERROR(__xludf.DUMMYFUNCTION("""COMPUTED_VALUE"""),45979.0)</f>
        <v>45979</v>
      </c>
      <c r="E4292" s="26">
        <f>IFERROR(__xludf.DUMMYFUNCTION("""COMPUTED_VALUE"""),343935.0)</f>
        <v>343935</v>
      </c>
      <c r="F4292" s="22" t="str">
        <f>IFERROR(__xludf.DUMMYFUNCTION("""COMPUTED_VALUE"""),"悪役令息転生～闇落ち騎士の重すぎる執愛から逃げられない～【R版】")</f>
        <v>悪役令息転生～闇落ち騎士の重すぎる執愛から逃げられない～【R版】</v>
      </c>
      <c r="G4292" s="20" t="str">
        <f>IFERROR(__xludf.DUMMYFUNCTION("""COMPUTED_VALUE"""),"1～2")</f>
        <v>1～2</v>
      </c>
      <c r="H4292" s="22" t="str">
        <f>IFERROR(__xludf.DUMMYFUNCTION("""COMPUTED_VALUE"""),"オンユ")</f>
        <v>オンユ</v>
      </c>
      <c r="I4292" s="22" t="str">
        <f>IFERROR(__xludf.DUMMYFUNCTION("""COMPUTED_VALUE"""),"アダルトマンガ")</f>
        <v>アダルトマンガ</v>
      </c>
      <c r="J4292" s="22"/>
      <c r="K4292" s="22" t="str">
        <f>IFERROR(__xludf.DUMMYFUNCTION("""COMPUTED_VALUE"""),"＠夜噺+")</f>
        <v>＠夜噺+</v>
      </c>
      <c r="L4292" s="22" t="str">
        <f>IFERROR(__xludf.DUMMYFUNCTION("""COMPUTED_VALUE"""),"DEEPER-ZERO")</f>
        <v>DEEPER-ZERO</v>
      </c>
      <c r="M4292" s="33">
        <f>IFERROR(__xludf.DUMMYFUNCTION("""COMPUTED_VALUE"""),46009.0)</f>
        <v>46009</v>
      </c>
      <c r="N4292" s="33">
        <f>IFERROR(__xludf.DUMMYFUNCTION("""COMPUTED_VALUE"""),46071.0)</f>
        <v>46071</v>
      </c>
      <c r="O4292" s="20"/>
      <c r="P4292" s="32" t="str">
        <f>IFERROR(__xludf.DUMMYFUNCTION("""COMPUTED_VALUE"""),"可")</f>
        <v>可</v>
      </c>
      <c r="Q4292" s="30"/>
      <c r="R4292" s="22" t="str">
        <f>IFERROR(__xludf.DUMMYFUNCTION("""COMPUTED_VALUE"""),"コミットOK")</f>
        <v>コミットOK</v>
      </c>
      <c r="S4292" s="22" t="str">
        <f>IFERROR(__xludf.DUMMYFUNCTION("""COMPUTED_VALUE"""),"20251118_DEEPER-ZERO_悪役令息転生～闇落ち騎士の重すぎる執愛から逃げられない～【R版】")</f>
        <v>20251118_DEEPER-ZERO_悪役令息転生～闇落ち騎士の重すぎる執愛から逃げられない～【R版】</v>
      </c>
      <c r="T4292" s="22" t="str">
        <f>IFERROR(__xludf.DUMMYFUNCTION("""COMPUTED_VALUE"""),"格納済み")</f>
        <v>格納済み</v>
      </c>
      <c r="U4292" s="9" t="str">
        <f>IFERROR(__xludf.DUMMYFUNCTION("""COMPUTED_VALUE"""),"Ⓒオンユ/DEEPER-ZERO")</f>
        <v>Ⓒオンユ/DEEPER-ZERO</v>
      </c>
      <c r="V4292" s="8"/>
      <c r="W4292" s="8"/>
      <c r="X4292" s="8" t="str">
        <f>IFERROR(__xludf.DUMMYFUNCTION("""COMPUTED_VALUE"""),"有")</f>
        <v>有</v>
      </c>
      <c r="Y4292" s="8" t="str">
        <f>IFERROR(__xludf.DUMMYFUNCTION("""COMPUTED_VALUE"""),"P10まで")</f>
        <v>P10まで</v>
      </c>
      <c r="Z4292" s="7"/>
      <c r="AA4292" s="7"/>
      <c r="AB4292" s="7"/>
    </row>
    <row r="4293" ht="15.75" customHeight="1">
      <c r="A4293" s="26">
        <f>IFERROR(__xludf.DUMMYFUNCTION("""COMPUTED_VALUE"""),6668.0)</f>
        <v>6668</v>
      </c>
      <c r="B4293" s="22" t="str">
        <f>IFERROR(__xludf.DUMMYFUNCTION("""COMPUTED_VALUE"""),"確定")</f>
        <v>確定</v>
      </c>
      <c r="C4293" s="28">
        <f>IFERROR(__xludf.DUMMYFUNCTION("""COMPUTED_VALUE"""),45946.0)</f>
        <v>45946</v>
      </c>
      <c r="D4293" s="28">
        <f>IFERROR(__xludf.DUMMYFUNCTION("""COMPUTED_VALUE"""),45979.0)</f>
        <v>45979</v>
      </c>
      <c r="E4293" s="26">
        <f>IFERROR(__xludf.DUMMYFUNCTION("""COMPUTED_VALUE"""),343934.0)</f>
        <v>343934</v>
      </c>
      <c r="F4293" s="22" t="str">
        <f>IFERROR(__xludf.DUMMYFUNCTION("""COMPUTED_VALUE"""),"強がるアンタを暴きたい〜いじわる後輩の執愛ク◯責め中イキトレーニング〜【R版】")</f>
        <v>強がるアンタを暴きたい〜いじわる後輩の執愛ク◯責め中イキトレーニング〜【R版】</v>
      </c>
      <c r="G4293" s="20" t="str">
        <f>IFERROR(__xludf.DUMMYFUNCTION("""COMPUTED_VALUE"""),"1～3")</f>
        <v>1～3</v>
      </c>
      <c r="H4293" s="22" t="str">
        <f>IFERROR(__xludf.DUMMYFUNCTION("""COMPUTED_VALUE"""),"宇治宮エシカ")</f>
        <v>宇治宮エシカ</v>
      </c>
      <c r="I4293" s="22" t="str">
        <f>IFERROR(__xludf.DUMMYFUNCTION("""COMPUTED_VALUE"""),"アダルトマンガ")</f>
        <v>アダルトマンガ</v>
      </c>
      <c r="J4293" s="22"/>
      <c r="K4293" s="22" t="str">
        <f>IFERROR(__xludf.DUMMYFUNCTION("""COMPUTED_VALUE"""),"＠夜噺+")</f>
        <v>＠夜噺+</v>
      </c>
      <c r="L4293" s="22" t="str">
        <f>IFERROR(__xludf.DUMMYFUNCTION("""COMPUTED_VALUE"""),"DEEPER-ZERO")</f>
        <v>DEEPER-ZERO</v>
      </c>
      <c r="M4293" s="33">
        <f>IFERROR(__xludf.DUMMYFUNCTION("""COMPUTED_VALUE"""),46009.0)</f>
        <v>46009</v>
      </c>
      <c r="N4293" s="33">
        <f>IFERROR(__xludf.DUMMYFUNCTION("""COMPUTED_VALUE"""),46071.0)</f>
        <v>46071</v>
      </c>
      <c r="O4293" s="20"/>
      <c r="P4293" s="32" t="str">
        <f>IFERROR(__xludf.DUMMYFUNCTION("""COMPUTED_VALUE"""),"可")</f>
        <v>可</v>
      </c>
      <c r="Q4293" s="30"/>
      <c r="R4293" s="22" t="str">
        <f>IFERROR(__xludf.DUMMYFUNCTION("""COMPUTED_VALUE"""),"コミットOK")</f>
        <v>コミットOK</v>
      </c>
      <c r="S4293" s="22" t="str">
        <f>IFERROR(__xludf.DUMMYFUNCTION("""COMPUTED_VALUE"""),"20251117_DEEPER-ZERO_強がるアンタを暴きたい〜いじわる後輩の執愛ク◯責め中イキトレーニング〜【R版】")</f>
        <v>20251117_DEEPER-ZERO_強がるアンタを暴きたい〜いじわる後輩の執愛ク◯責め中イキトレーニング〜【R版】</v>
      </c>
      <c r="T4293" s="22" t="str">
        <f>IFERROR(__xludf.DUMMYFUNCTION("""COMPUTED_VALUE"""),"格納済み")</f>
        <v>格納済み</v>
      </c>
      <c r="U4293" s="9" t="str">
        <f>IFERROR(__xludf.DUMMYFUNCTION("""COMPUTED_VALUE"""),"Ⓒ宇治宮エシカ/DEEPER-ZERO")</f>
        <v>Ⓒ宇治宮エシカ/DEEPER-ZERO</v>
      </c>
      <c r="V4293" s="8"/>
      <c r="W4293" s="8"/>
      <c r="X4293" s="8" t="str">
        <f>IFERROR(__xludf.DUMMYFUNCTION("""COMPUTED_VALUE"""),"有")</f>
        <v>有</v>
      </c>
      <c r="Y4293" s="8" t="str">
        <f>IFERROR(__xludf.DUMMYFUNCTION("""COMPUTED_VALUE"""),"P10まで")</f>
        <v>P10まで</v>
      </c>
      <c r="Z4293" s="7"/>
      <c r="AA4293" s="7"/>
      <c r="AB4293" s="7"/>
    </row>
    <row r="4294" ht="15.75" customHeight="1">
      <c r="A4294" s="26">
        <f>IFERROR(__xludf.DUMMYFUNCTION("""COMPUTED_VALUE"""),6751.0)</f>
        <v>6751</v>
      </c>
      <c r="B4294" s="22" t="str">
        <f>IFERROR(__xludf.DUMMYFUNCTION("""COMPUTED_VALUE"""),"確定")</f>
        <v>確定</v>
      </c>
      <c r="C4294" s="28">
        <f>IFERROR(__xludf.DUMMYFUNCTION("""COMPUTED_VALUE"""),45959.0)</f>
        <v>45959</v>
      </c>
      <c r="D4294" s="28">
        <f>IFERROR(__xludf.DUMMYFUNCTION("""COMPUTED_VALUE"""),45971.0)</f>
        <v>45971</v>
      </c>
      <c r="E4294" s="26">
        <f>IFERROR(__xludf.DUMMYFUNCTION("""COMPUTED_VALUE"""),344869.0)</f>
        <v>344869</v>
      </c>
      <c r="F4294" s="22" t="str">
        <f>IFERROR(__xludf.DUMMYFUNCTION("""COMPUTED_VALUE"""),"1秒先は、恋【マイクロ】")</f>
        <v>1秒先は、恋【マイクロ】</v>
      </c>
      <c r="G4294" s="20" t="str">
        <f>IFERROR(__xludf.DUMMYFUNCTION("""COMPUTED_VALUE"""),"1~5")</f>
        <v>1~5</v>
      </c>
      <c r="H4294" s="22" t="str">
        <f>IFERROR(__xludf.DUMMYFUNCTION("""COMPUTED_VALUE"""),"大木真白")</f>
        <v>大木真白</v>
      </c>
      <c r="I4294" s="22" t="str">
        <f>IFERROR(__xludf.DUMMYFUNCTION("""COMPUTED_VALUE"""),"少女")</f>
        <v>少女</v>
      </c>
      <c r="J4294" s="22"/>
      <c r="K4294" s="22" t="str">
        <f>IFERROR(__xludf.DUMMYFUNCTION("""COMPUTED_VALUE"""),"ちゃお")</f>
        <v>ちゃお</v>
      </c>
      <c r="L4294" s="22" t="str">
        <f>IFERROR(__xludf.DUMMYFUNCTION("""COMPUTED_VALUE"""),"小学館")</f>
        <v>小学館</v>
      </c>
      <c r="M4294" s="33">
        <f>IFERROR(__xludf.DUMMYFUNCTION("""COMPUTED_VALUE"""),46001.0)</f>
        <v>46001</v>
      </c>
      <c r="N4294" s="33" t="str">
        <f>IFERROR(__xludf.DUMMYFUNCTION("""COMPUTED_VALUE"""),"2025/12/24　※初月のみ単行本の都合で1か月弱")</f>
        <v>2025/12/24　※初月のみ単行本の都合で1か月弱</v>
      </c>
      <c r="O4294" s="20"/>
      <c r="P4294" s="32" t="str">
        <f>IFERROR(__xludf.DUMMYFUNCTION("""COMPUTED_VALUE"""),"否")</f>
        <v>否</v>
      </c>
      <c r="Q4294" s="30"/>
      <c r="R4294" s="22" t="str">
        <f>IFERROR(__xludf.DUMMYFUNCTION("""COMPUTED_VALUE"""),"コミットNG")</f>
        <v>コミットNG</v>
      </c>
      <c r="S4294" s="22" t="str">
        <f>IFERROR(__xludf.DUMMYFUNCTION("""COMPUTED_VALUE"""),"20251119_小学館_1秒先は、恋【マイクロ】")</f>
        <v>20251119_小学館_1秒先は、恋【マイクロ】</v>
      </c>
      <c r="T4294" s="22" t="str">
        <f>IFERROR(__xludf.DUMMYFUNCTION("""COMPUTED_VALUE"""),"格納済み")</f>
        <v>格納済み</v>
      </c>
      <c r="U4294" s="9" t="str">
        <f>IFERROR(__xludf.DUMMYFUNCTION("""COMPUTED_VALUE"""),"(C)大木真白 / 小学館")</f>
        <v>(C)大木真白 / 小学館</v>
      </c>
      <c r="V4294" s="8"/>
      <c r="W4294" s="8"/>
      <c r="X4294" s="8" t="str">
        <f>IFERROR(__xludf.DUMMYFUNCTION("""COMPUTED_VALUE"""),"有")</f>
        <v>有</v>
      </c>
      <c r="Y4294" s="8" t="str">
        <f>IFERROR(__xludf.DUMMYFUNCTION("""COMPUTED_VALUE"""),"2025/12/24まで1巻無料")</f>
        <v>2025/12/24まで1巻無料</v>
      </c>
      <c r="Z4294" s="7"/>
      <c r="AA4294" s="7"/>
      <c r="AB4294" s="7"/>
    </row>
    <row r="4295" ht="15.75" customHeight="1">
      <c r="A4295" s="26">
        <f>IFERROR(__xludf.DUMMYFUNCTION("""COMPUTED_VALUE"""),6783.0)</f>
        <v>6783</v>
      </c>
      <c r="B4295" s="22" t="str">
        <f>IFERROR(__xludf.DUMMYFUNCTION("""COMPUTED_VALUE"""),"確定")</f>
        <v>確定</v>
      </c>
      <c r="C4295" s="28">
        <f>IFERROR(__xludf.DUMMYFUNCTION("""COMPUTED_VALUE"""),45965.0)</f>
        <v>45965</v>
      </c>
      <c r="D4295" s="28">
        <f>IFERROR(__xludf.DUMMYFUNCTION("""COMPUTED_VALUE"""),45974.0)</f>
        <v>45974</v>
      </c>
      <c r="E4295" s="26">
        <f>IFERROR(__xludf.DUMMYFUNCTION("""COMPUTED_VALUE"""),343348.0)</f>
        <v>343348</v>
      </c>
      <c r="F4295" s="22" t="str">
        <f>IFERROR(__xludf.DUMMYFUNCTION("""COMPUTED_VALUE"""),"偏愛エンドステージ")</f>
        <v>偏愛エンドステージ</v>
      </c>
      <c r="G4295" s="20" t="str">
        <f>IFERROR(__xludf.DUMMYFUNCTION("""COMPUTED_VALUE"""),"1～3")</f>
        <v>1～3</v>
      </c>
      <c r="H4295" s="22" t="str">
        <f>IFERROR(__xludf.DUMMYFUNCTION("""COMPUTED_VALUE"""),"みよしあやと")</f>
        <v>みよしあやと</v>
      </c>
      <c r="I4295" s="22" t="str">
        <f>IFERROR(__xludf.DUMMYFUNCTION("""COMPUTED_VALUE"""),"BL")</f>
        <v>BL</v>
      </c>
      <c r="J4295" s="22"/>
      <c r="K4295" s="22" t="str">
        <f>IFERROR(__xludf.DUMMYFUNCTION("""COMPUTED_VALUE"""),"Tulle")</f>
        <v>Tulle</v>
      </c>
      <c r="L4295" s="22" t="str">
        <f>IFERROR(__xludf.DUMMYFUNCTION("""COMPUTED_VALUE"""),"ブライト出版")</f>
        <v>ブライト出版</v>
      </c>
      <c r="M4295" s="33">
        <f>IFERROR(__xludf.DUMMYFUNCTION("""COMPUTED_VALUE"""),46004.0)</f>
        <v>46004</v>
      </c>
      <c r="N4295" s="33">
        <f>IFERROR(__xludf.DUMMYFUNCTION("""COMPUTED_VALUE"""),46108.0)</f>
        <v>46108</v>
      </c>
      <c r="O4295" s="20"/>
      <c r="P4295" s="32" t="str">
        <f>IFERROR(__xludf.DUMMYFUNCTION("""COMPUTED_VALUE"""),"可")</f>
        <v>可</v>
      </c>
      <c r="Q4295" s="30"/>
      <c r="R4295" s="22" t="str">
        <f>IFERROR(__xludf.DUMMYFUNCTION("""COMPUTED_VALUE"""),"コミットOK")</f>
        <v>コミットOK</v>
      </c>
      <c r="S4295" s="22" t="str">
        <f>IFERROR(__xludf.DUMMYFUNCTION("""COMPUTED_VALUE"""),"2025113_ブライト出版_偏愛エンドステージ")</f>
        <v>2025113_ブライト出版_偏愛エンドステージ</v>
      </c>
      <c r="T4295" s="22" t="str">
        <f>IFERROR(__xludf.DUMMYFUNCTION("""COMPUTED_VALUE"""),"格納済み")</f>
        <v>格納済み</v>
      </c>
      <c r="U4295" s="9" t="str">
        <f>IFERROR(__xludf.DUMMYFUNCTION("""COMPUTED_VALUE"""),"(C) みよしあやと/ブライト出版")</f>
        <v>(C) みよしあやと/ブライト出版</v>
      </c>
      <c r="V4295" s="8"/>
      <c r="W4295" s="8"/>
      <c r="X4295" s="8" t="str">
        <f>IFERROR(__xludf.DUMMYFUNCTION("""COMPUTED_VALUE"""),"有")</f>
        <v>有</v>
      </c>
      <c r="Y4295" s="8" t="str">
        <f>IFERROR(__xludf.DUMMYFUNCTION("""COMPUTED_VALUE"""),"P9まで")</f>
        <v>P9まで</v>
      </c>
      <c r="Z4295" s="7"/>
      <c r="AA4295" s="7"/>
      <c r="AB4295" s="7"/>
    </row>
    <row r="4296" ht="15.75" customHeight="1">
      <c r="A4296" s="26">
        <f>IFERROR(__xludf.DUMMYFUNCTION("""COMPUTED_VALUE"""),6785.0)</f>
        <v>6785</v>
      </c>
      <c r="B4296" s="22" t="str">
        <f>IFERROR(__xludf.DUMMYFUNCTION("""COMPUTED_VALUE"""),"確定")</f>
        <v>確定</v>
      </c>
      <c r="C4296" s="28">
        <f>IFERROR(__xludf.DUMMYFUNCTION("""COMPUTED_VALUE"""),45965.0)</f>
        <v>45965</v>
      </c>
      <c r="D4296" s="28">
        <f>IFERROR(__xludf.DUMMYFUNCTION("""COMPUTED_VALUE"""),45980.0)</f>
        <v>45980</v>
      </c>
      <c r="E4296" s="26">
        <f>IFERROR(__xludf.DUMMYFUNCTION("""COMPUTED_VALUE"""),343353.0)</f>
        <v>343353</v>
      </c>
      <c r="F4296" s="22" t="str">
        <f>IFERROR(__xludf.DUMMYFUNCTION("""COMPUTED_VALUE"""),"恋と嘘には利息がつきもの")</f>
        <v>恋と嘘には利息がつきもの</v>
      </c>
      <c r="G4296" s="20" t="str">
        <f>IFERROR(__xludf.DUMMYFUNCTION("""COMPUTED_VALUE"""),"1～3")</f>
        <v>1～3</v>
      </c>
      <c r="H4296" s="22" t="str">
        <f>IFERROR(__xludf.DUMMYFUNCTION("""COMPUTED_VALUE"""),"どうざき")</f>
        <v>どうざき</v>
      </c>
      <c r="I4296" s="22" t="str">
        <f>IFERROR(__xludf.DUMMYFUNCTION("""COMPUTED_VALUE"""),"BL")</f>
        <v>BL</v>
      </c>
      <c r="J4296" s="22"/>
      <c r="K4296" s="22" t="str">
        <f>IFERROR(__xludf.DUMMYFUNCTION("""COMPUTED_VALUE"""),"Tulle")</f>
        <v>Tulle</v>
      </c>
      <c r="L4296" s="22" t="str">
        <f>IFERROR(__xludf.DUMMYFUNCTION("""COMPUTED_VALUE"""),"ブライト出版")</f>
        <v>ブライト出版</v>
      </c>
      <c r="M4296" s="33">
        <f>IFERROR(__xludf.DUMMYFUNCTION("""COMPUTED_VALUE"""),46004.0)</f>
        <v>46004</v>
      </c>
      <c r="N4296" s="33">
        <f>IFERROR(__xludf.DUMMYFUNCTION("""COMPUTED_VALUE"""),46108.0)</f>
        <v>46108</v>
      </c>
      <c r="O4296" s="20"/>
      <c r="P4296" s="32" t="str">
        <f>IFERROR(__xludf.DUMMYFUNCTION("""COMPUTED_VALUE"""),"可")</f>
        <v>可</v>
      </c>
      <c r="Q4296" s="30" t="str">
        <f>IFERROR(__xludf.DUMMYFUNCTION("""COMPUTED_VALUE"""),"【アダルト作品扱い】&lt;BR&gt;ブライト出版作品により、河上さんから広告OKいただいております&lt;BR&gt;")</f>
        <v>【アダルト作品扱い】&lt;BR&gt;ブライト出版作品により、河上さんから広告OKいただいております&lt;BR&gt;</v>
      </c>
      <c r="R4296" s="22" t="str">
        <f>IFERROR(__xludf.DUMMYFUNCTION("""COMPUTED_VALUE"""),"コミットNG")</f>
        <v>コミットNG</v>
      </c>
      <c r="S4296" s="22" t="str">
        <f>IFERROR(__xludf.DUMMYFUNCTION("""COMPUTED_VALUE"""),"20251113_ブライト出版_恋と嘘には利息がつきもの")</f>
        <v>20251113_ブライト出版_恋と嘘には利息がつきもの</v>
      </c>
      <c r="T4296" s="22" t="str">
        <f>IFERROR(__xludf.DUMMYFUNCTION("""COMPUTED_VALUE"""),"格納済み")</f>
        <v>格納済み</v>
      </c>
      <c r="U4296" s="9" t="str">
        <f>IFERROR(__xludf.DUMMYFUNCTION("""COMPUTED_VALUE"""),"(C) どうざき/ブライト出版")</f>
        <v>(C) どうざき/ブライト出版</v>
      </c>
      <c r="V4296" s="8"/>
      <c r="W4296" s="8"/>
      <c r="X4296" s="8" t="str">
        <f>IFERROR(__xludf.DUMMYFUNCTION("""COMPUTED_VALUE"""),"有")</f>
        <v>有</v>
      </c>
      <c r="Y4296" s="8" t="str">
        <f>IFERROR(__xludf.DUMMYFUNCTION("""COMPUTED_VALUE"""),"P11まで")</f>
        <v>P11まで</v>
      </c>
      <c r="Z4296" s="7"/>
      <c r="AA4296" s="7"/>
      <c r="AB4296" s="7"/>
    </row>
    <row r="4297" ht="15.75" customHeight="1">
      <c r="A4297" s="26">
        <f>IFERROR(__xludf.DUMMYFUNCTION("""COMPUTED_VALUE"""),6786.0)</f>
        <v>6786</v>
      </c>
      <c r="B4297" s="22" t="str">
        <f>IFERROR(__xludf.DUMMYFUNCTION("""COMPUTED_VALUE"""),"確定")</f>
        <v>確定</v>
      </c>
      <c r="C4297" s="28">
        <f>IFERROR(__xludf.DUMMYFUNCTION("""COMPUTED_VALUE"""),45965.0)</f>
        <v>45965</v>
      </c>
      <c r="D4297" s="28">
        <f>IFERROR(__xludf.DUMMYFUNCTION("""COMPUTED_VALUE"""),45980.0)</f>
        <v>45980</v>
      </c>
      <c r="E4297" s="26">
        <f>IFERROR(__xludf.DUMMYFUNCTION("""COMPUTED_VALUE"""),343358.0)</f>
        <v>343358</v>
      </c>
      <c r="F4297" s="22" t="str">
        <f>IFERROR(__xludf.DUMMYFUNCTION("""COMPUTED_VALUE"""),"メルティビターキャラメル")</f>
        <v>メルティビターキャラメル</v>
      </c>
      <c r="G4297" s="20" t="str">
        <f>IFERROR(__xludf.DUMMYFUNCTION("""COMPUTED_VALUE"""),"1～3")</f>
        <v>1～3</v>
      </c>
      <c r="H4297" s="22" t="str">
        <f>IFERROR(__xludf.DUMMYFUNCTION("""COMPUTED_VALUE"""),"白石添")</f>
        <v>白石添</v>
      </c>
      <c r="I4297" s="22" t="str">
        <f>IFERROR(__xludf.DUMMYFUNCTION("""COMPUTED_VALUE"""),"BL")</f>
        <v>BL</v>
      </c>
      <c r="J4297" s="22"/>
      <c r="K4297" s="22" t="str">
        <f>IFERROR(__xludf.DUMMYFUNCTION("""COMPUTED_VALUE"""),"Tulle")</f>
        <v>Tulle</v>
      </c>
      <c r="L4297" s="22" t="str">
        <f>IFERROR(__xludf.DUMMYFUNCTION("""COMPUTED_VALUE"""),"ブライト出版")</f>
        <v>ブライト出版</v>
      </c>
      <c r="M4297" s="33">
        <f>IFERROR(__xludf.DUMMYFUNCTION("""COMPUTED_VALUE"""),46004.0)</f>
        <v>46004</v>
      </c>
      <c r="N4297" s="33">
        <f>IFERROR(__xludf.DUMMYFUNCTION("""COMPUTED_VALUE"""),46108.0)</f>
        <v>46108</v>
      </c>
      <c r="O4297" s="20"/>
      <c r="P4297" s="32" t="str">
        <f>IFERROR(__xludf.DUMMYFUNCTION("""COMPUTED_VALUE"""),"可")</f>
        <v>可</v>
      </c>
      <c r="Q4297" s="30" t="str">
        <f>IFERROR(__xludf.DUMMYFUNCTION("""COMPUTED_VALUE"""),"【アダルト作品扱い】&lt;BR&gt;ブライト出版作品により、河上さんから広告OKいただいております&lt;BR&gt;")</f>
        <v>【アダルト作品扱い】&lt;BR&gt;ブライト出版作品により、河上さんから広告OKいただいております&lt;BR&gt;</v>
      </c>
      <c r="R4297" s="22" t="str">
        <f>IFERROR(__xludf.DUMMYFUNCTION("""COMPUTED_VALUE"""),"コミットNG")</f>
        <v>コミットNG</v>
      </c>
      <c r="S4297" s="22" t="str">
        <f>IFERROR(__xludf.DUMMYFUNCTION("""COMPUTED_VALUE"""),"20251113_ブライト出版_メルティビターキャラメル")</f>
        <v>20251113_ブライト出版_メルティビターキャラメル</v>
      </c>
      <c r="T4297" s="22" t="str">
        <f>IFERROR(__xludf.DUMMYFUNCTION("""COMPUTED_VALUE"""),"格納済み")</f>
        <v>格納済み</v>
      </c>
      <c r="U4297" s="9" t="str">
        <f>IFERROR(__xludf.DUMMYFUNCTION("""COMPUTED_VALUE"""),"(C) 白石添/ブライト出版")</f>
        <v>(C) 白石添/ブライト出版</v>
      </c>
      <c r="V4297" s="8"/>
      <c r="W4297" s="8"/>
      <c r="X4297" s="8" t="str">
        <f>IFERROR(__xludf.DUMMYFUNCTION("""COMPUTED_VALUE"""),"有")</f>
        <v>有</v>
      </c>
      <c r="Y4297" s="8" t="str">
        <f>IFERROR(__xludf.DUMMYFUNCTION("""COMPUTED_VALUE"""),"P9まで")</f>
        <v>P9まで</v>
      </c>
      <c r="Z4297" s="7"/>
      <c r="AA4297" s="7"/>
      <c r="AB4297" s="7"/>
    </row>
    <row r="4298" ht="15.75" customHeight="1">
      <c r="A4298" s="26">
        <f>IFERROR(__xludf.DUMMYFUNCTION("""COMPUTED_VALUE"""),6787.0)</f>
        <v>6787</v>
      </c>
      <c r="B4298" s="22" t="str">
        <f>IFERROR(__xludf.DUMMYFUNCTION("""COMPUTED_VALUE"""),"確定")</f>
        <v>確定</v>
      </c>
      <c r="C4298" s="28">
        <f>IFERROR(__xludf.DUMMYFUNCTION("""COMPUTED_VALUE"""),45965.0)</f>
        <v>45965</v>
      </c>
      <c r="D4298" s="28">
        <f>IFERROR(__xludf.DUMMYFUNCTION("""COMPUTED_VALUE"""),45980.0)</f>
        <v>45980</v>
      </c>
      <c r="E4298" s="26">
        <f>IFERROR(__xludf.DUMMYFUNCTION("""COMPUTED_VALUE"""),343355.0)</f>
        <v>343355</v>
      </c>
      <c r="F4298" s="22" t="str">
        <f>IFERROR(__xludf.DUMMYFUNCTION("""COMPUTED_VALUE"""),"花降る運命")</f>
        <v>花降る運命</v>
      </c>
      <c r="G4298" s="20" t="str">
        <f>IFERROR(__xludf.DUMMYFUNCTION("""COMPUTED_VALUE"""),"1～3")</f>
        <v>1～3</v>
      </c>
      <c r="H4298" s="22" t="str">
        <f>IFERROR(__xludf.DUMMYFUNCTION("""COMPUTED_VALUE"""),"doji")</f>
        <v>doji</v>
      </c>
      <c r="I4298" s="22" t="str">
        <f>IFERROR(__xludf.DUMMYFUNCTION("""COMPUTED_VALUE"""),"BL")</f>
        <v>BL</v>
      </c>
      <c r="J4298" s="22"/>
      <c r="K4298" s="22" t="str">
        <f>IFERROR(__xludf.DUMMYFUNCTION("""COMPUTED_VALUE"""),"Tulle")</f>
        <v>Tulle</v>
      </c>
      <c r="L4298" s="22" t="str">
        <f>IFERROR(__xludf.DUMMYFUNCTION("""COMPUTED_VALUE"""),"ブライト出版")</f>
        <v>ブライト出版</v>
      </c>
      <c r="M4298" s="33">
        <f>IFERROR(__xludf.DUMMYFUNCTION("""COMPUTED_VALUE"""),46004.0)</f>
        <v>46004</v>
      </c>
      <c r="N4298" s="33">
        <f>IFERROR(__xludf.DUMMYFUNCTION("""COMPUTED_VALUE"""),46108.0)</f>
        <v>46108</v>
      </c>
      <c r="O4298" s="20"/>
      <c r="P4298" s="32" t="str">
        <f>IFERROR(__xludf.DUMMYFUNCTION("""COMPUTED_VALUE"""),"可")</f>
        <v>可</v>
      </c>
      <c r="Q4298" s="30" t="str">
        <f>IFERROR(__xludf.DUMMYFUNCTION("""COMPUTED_VALUE"""),"ブライト出版作品により、河上さんから広告OKいただいております。よろしくお願いします。&lt;BR&gt;")</f>
        <v>ブライト出版作品により、河上さんから広告OKいただいております。よろしくお願いします。&lt;BR&gt;</v>
      </c>
      <c r="R4298" s="22" t="str">
        <f>IFERROR(__xludf.DUMMYFUNCTION("""COMPUTED_VALUE"""),"コミットNG")</f>
        <v>コミットNG</v>
      </c>
      <c r="S4298" s="22" t="str">
        <f>IFERROR(__xludf.DUMMYFUNCTION("""COMPUTED_VALUE"""),"20251113_ブライト出版_花降る運命")</f>
        <v>20251113_ブライト出版_花降る運命</v>
      </c>
      <c r="T4298" s="22" t="str">
        <f>IFERROR(__xludf.DUMMYFUNCTION("""COMPUTED_VALUE"""),"格納済み")</f>
        <v>格納済み</v>
      </c>
      <c r="U4298" s="9" t="str">
        <f>IFERROR(__xludf.DUMMYFUNCTION("""COMPUTED_VALUE"""),"(C) doji/ブライト出版")</f>
        <v>(C) doji/ブライト出版</v>
      </c>
      <c r="V4298" s="8"/>
      <c r="W4298" s="8"/>
      <c r="X4298" s="8" t="str">
        <f>IFERROR(__xludf.DUMMYFUNCTION("""COMPUTED_VALUE"""),"有")</f>
        <v>有</v>
      </c>
      <c r="Y4298" s="8" t="str">
        <f>IFERROR(__xludf.DUMMYFUNCTION("""COMPUTED_VALUE"""),"P12まで")</f>
        <v>P12まで</v>
      </c>
      <c r="Z4298" s="7"/>
      <c r="AA4298" s="7"/>
      <c r="AB4298" s="7"/>
    </row>
    <row r="4299" ht="15.75" customHeight="1">
      <c r="A4299" s="26">
        <f>IFERROR(__xludf.DUMMYFUNCTION("""COMPUTED_VALUE"""),6795.0)</f>
        <v>6795</v>
      </c>
      <c r="B4299" s="22" t="str">
        <f>IFERROR(__xludf.DUMMYFUNCTION("""COMPUTED_VALUE"""),"確定")</f>
        <v>確定</v>
      </c>
      <c r="C4299" s="28">
        <f>IFERROR(__xludf.DUMMYFUNCTION("""COMPUTED_VALUE"""),45966.0)</f>
        <v>45966</v>
      </c>
      <c r="D4299" s="28">
        <f>IFERROR(__xludf.DUMMYFUNCTION("""COMPUTED_VALUE"""),45980.0)</f>
        <v>45980</v>
      </c>
      <c r="E4299" s="26">
        <f>IFERROR(__xludf.DUMMYFUNCTION("""COMPUTED_VALUE"""),346152.0)</f>
        <v>346152</v>
      </c>
      <c r="F4299" s="22" t="str">
        <f>IFERROR(__xludf.DUMMYFUNCTION("""COMPUTED_VALUE"""),"宵色に綴じるスーヴニール〜呪われた王子と純潔の魔女〜")</f>
        <v>宵色に綴じるスーヴニール〜呪われた王子と純潔の魔女〜</v>
      </c>
      <c r="G4299" s="20" t="str">
        <f>IFERROR(__xludf.DUMMYFUNCTION("""COMPUTED_VALUE"""),"1～2")</f>
        <v>1～2</v>
      </c>
      <c r="H4299" s="22" t="str">
        <f>IFERROR(__xludf.DUMMYFUNCTION("""COMPUTED_VALUE"""),"卯月しお")</f>
        <v>卯月しお</v>
      </c>
      <c r="I4299" s="22" t="str">
        <f>IFERROR(__xludf.DUMMYFUNCTION("""COMPUTED_VALUE"""),"TL")</f>
        <v>TL</v>
      </c>
      <c r="J4299" s="22"/>
      <c r="K4299" s="22" t="str">
        <f>IFERROR(__xludf.DUMMYFUNCTION("""COMPUTED_VALUE"""),"メルト")</f>
        <v>メルト</v>
      </c>
      <c r="L4299" s="22" t="str">
        <f>IFERROR(__xludf.DUMMYFUNCTION("""COMPUTED_VALUE"""),"小学館")</f>
        <v>小学館</v>
      </c>
      <c r="M4299" s="33">
        <f>IFERROR(__xludf.DUMMYFUNCTION("""COMPUTED_VALUE"""),46017.0)</f>
        <v>46017</v>
      </c>
      <c r="N4299" s="33">
        <f>IFERROR(__xludf.DUMMYFUNCTION("""COMPUTED_VALUE"""),46079.0)</f>
        <v>46079</v>
      </c>
      <c r="O4299" s="20"/>
      <c r="P4299" s="32" t="str">
        <f>IFERROR(__xludf.DUMMYFUNCTION("""COMPUTED_VALUE"""),"可")</f>
        <v>可</v>
      </c>
      <c r="Q4299" s="30"/>
      <c r="R4299" s="22" t="str">
        <f>IFERROR(__xludf.DUMMYFUNCTION("""COMPUTED_VALUE"""),"コミットOK")</f>
        <v>コミットOK</v>
      </c>
      <c r="S4299" s="22" t="str">
        <f>IFERROR(__xludf.DUMMYFUNCTION("""COMPUTED_VALUE"""),"20251119_小学館_宵色に綴じるスーヴニール〜呪われた王子と純潔の魔女〜")</f>
        <v>20251119_小学館_宵色に綴じるスーヴニール〜呪われた王子と純潔の魔女〜</v>
      </c>
      <c r="T4299" s="22" t="str">
        <f>IFERROR(__xludf.DUMMYFUNCTION("""COMPUTED_VALUE"""),"格納済み")</f>
        <v>格納済み</v>
      </c>
      <c r="U4299" s="9" t="str">
        <f>IFERROR(__xludf.DUMMYFUNCTION("""COMPUTED_VALUE"""),"(c)卯月しお / 小学館")</f>
        <v>(c)卯月しお / 小学館</v>
      </c>
      <c r="V4299" s="8"/>
      <c r="W4299" s="8"/>
      <c r="X4299" s="8" t="str">
        <f>IFERROR(__xludf.DUMMYFUNCTION("""COMPUTED_VALUE"""),"有")</f>
        <v>有</v>
      </c>
      <c r="Y4299" s="8" t="str">
        <f>IFERROR(__xludf.DUMMYFUNCTION("""COMPUTED_VALUE"""),"P9まで")</f>
        <v>P9まで</v>
      </c>
      <c r="Z4299" s="7"/>
      <c r="AA4299" s="7"/>
      <c r="AB4299" s="7"/>
    </row>
    <row r="4300" ht="15.75" customHeight="1">
      <c r="A4300" s="26">
        <f>IFERROR(__xludf.DUMMYFUNCTION("""COMPUTED_VALUE"""),6812.0)</f>
        <v>6812</v>
      </c>
      <c r="B4300" s="22" t="str">
        <f>IFERROR(__xludf.DUMMYFUNCTION("""COMPUTED_VALUE"""),"確定")</f>
        <v>確定</v>
      </c>
      <c r="C4300" s="28">
        <f>IFERROR(__xludf.DUMMYFUNCTION("""COMPUTED_VALUE"""),45967.0)</f>
        <v>45967</v>
      </c>
      <c r="D4300" s="28">
        <f>IFERROR(__xludf.DUMMYFUNCTION("""COMPUTED_VALUE"""),45975.0)</f>
        <v>45975</v>
      </c>
      <c r="E4300" s="26">
        <f>IFERROR(__xludf.DUMMYFUNCTION("""COMPUTED_VALUE"""),344813.0)</f>
        <v>344813</v>
      </c>
      <c r="F4300" s="22" t="str">
        <f>IFERROR(__xludf.DUMMYFUNCTION("""COMPUTED_VALUE"""),"[スパイシーレディ]仇討ちのために裏社会に入った私ですが、敵にも味方にもイキ負かされてます。")</f>
        <v>[スパイシーレディ]仇討ちのために裏社会に入った私ですが、敵にも味方にもイキ負かされてます。</v>
      </c>
      <c r="G4300" s="20" t="str">
        <f>IFERROR(__xludf.DUMMYFUNCTION("""COMPUTED_VALUE"""),"1～3")</f>
        <v>1～3</v>
      </c>
      <c r="H4300" s="22" t="str">
        <f>IFERROR(__xludf.DUMMYFUNCTION("""COMPUTED_VALUE"""),"えびふらい秋田┴めたる☆ハニィ")</f>
        <v>えびふらい秋田┴めたる☆ハニィ</v>
      </c>
      <c r="I4300" s="22" t="str">
        <f>IFERROR(__xludf.DUMMYFUNCTION("""COMPUTED_VALUE"""),"TL")</f>
        <v>TL</v>
      </c>
      <c r="J4300" s="22"/>
      <c r="K4300" s="22" t="str">
        <f>IFERROR(__xludf.DUMMYFUNCTION("""COMPUTED_VALUE"""),"スパイシーレディ")</f>
        <v>スパイシーレディ</v>
      </c>
      <c r="L4300" s="22" t="str">
        <f>IFERROR(__xludf.DUMMYFUNCTION("""COMPUTED_VALUE"""),".ink works")</f>
        <v>.ink works</v>
      </c>
      <c r="M4300" s="33">
        <f>IFERROR(__xludf.DUMMYFUNCTION("""COMPUTED_VALUE"""),46004.0)</f>
        <v>46004</v>
      </c>
      <c r="N4300" s="33">
        <f>IFERROR(__xludf.DUMMYFUNCTION("""COMPUTED_VALUE"""),46108.0)</f>
        <v>46108</v>
      </c>
      <c r="O4300" s="20"/>
      <c r="P4300" s="32" t="str">
        <f>IFERROR(__xludf.DUMMYFUNCTION("""COMPUTED_VALUE"""),"可")</f>
        <v>可</v>
      </c>
      <c r="Q4300" s="30" t="str">
        <f>IFERROR(__xludf.DUMMYFUNCTION("""COMPUTED_VALUE"""),"【アダルト作品扱い】")</f>
        <v>【アダルト作品扱い】</v>
      </c>
      <c r="R4300" s="22" t="str">
        <f>IFERROR(__xludf.DUMMYFUNCTION("""COMPUTED_VALUE"""),"コミットOK")</f>
        <v>コミットOK</v>
      </c>
      <c r="S4300" s="22" t="str">
        <f>IFERROR(__xludf.DUMMYFUNCTION("""COMPUTED_VALUE"""),"20251113_.ink_スパイシーレディ_仇討ちのために裏社会に入った私ですが、敵にも味方にもイキ負かされてます。")</f>
        <v>20251113_.ink_スパイシーレディ_仇討ちのために裏社会に入った私ですが、敵にも味方にもイキ負かされてます。</v>
      </c>
      <c r="T4300" s="22" t="str">
        <f>IFERROR(__xludf.DUMMYFUNCTION("""COMPUTED_VALUE"""),"格納済み")</f>
        <v>格納済み</v>
      </c>
      <c r="U4300" s="9" t="str">
        <f>IFERROR(__xludf.DUMMYFUNCTION("""COMPUTED_VALUE"""),"(C)えびふらい秋田/めたる☆ハニィ/スパイシーレディ")</f>
        <v>(C)えびふらい秋田/めたる☆ハニィ/スパイシーレディ</v>
      </c>
      <c r="V4300" s="8"/>
      <c r="W4300" s="8"/>
      <c r="X4300" s="8" t="str">
        <f>IFERROR(__xludf.DUMMYFUNCTION("""COMPUTED_VALUE"""),"有")</f>
        <v>有</v>
      </c>
      <c r="Y4300" s="8" t="str">
        <f>IFERROR(__xludf.DUMMYFUNCTION("""COMPUTED_VALUE"""),"2026/3/27まで1巻無料")</f>
        <v>2026/3/27まで1巻無料</v>
      </c>
      <c r="Z4300" s="7"/>
      <c r="AA4300" s="7"/>
      <c r="AB4300" s="7"/>
    </row>
    <row r="4301" ht="15.75" customHeight="1">
      <c r="A4301" s="26">
        <f>IFERROR(__xludf.DUMMYFUNCTION("""COMPUTED_VALUE"""),6817.0)</f>
        <v>6817</v>
      </c>
      <c r="B4301" s="22" t="str">
        <f>IFERROR(__xludf.DUMMYFUNCTION("""COMPUTED_VALUE"""),"確定")</f>
        <v>確定</v>
      </c>
      <c r="C4301" s="28">
        <f>IFERROR(__xludf.DUMMYFUNCTION("""COMPUTED_VALUE"""),45968.0)</f>
        <v>45968</v>
      </c>
      <c r="D4301" s="28">
        <f>IFERROR(__xludf.DUMMYFUNCTION("""COMPUTED_VALUE"""),45979.0)</f>
        <v>45979</v>
      </c>
      <c r="E4301" s="26">
        <f>IFERROR(__xludf.DUMMYFUNCTION("""COMPUTED_VALUE"""),345296.0)</f>
        <v>345296</v>
      </c>
      <c r="F4301" s="22" t="str">
        <f>IFERROR(__xludf.DUMMYFUNCTION("""COMPUTED_VALUE"""),"みんな憧れの順先輩と、1泊2日 お忍び酩酊ガチ交尾旅【R版】")</f>
        <v>みんな憧れの順先輩と、1泊2日 お忍び酩酊ガチ交尾旅【R版】</v>
      </c>
      <c r="G4301" s="20" t="str">
        <f>IFERROR(__xludf.DUMMYFUNCTION("""COMPUTED_VALUE"""),"1～3")</f>
        <v>1～3</v>
      </c>
      <c r="H4301" s="22" t="str">
        <f>IFERROR(__xludf.DUMMYFUNCTION("""COMPUTED_VALUE"""),"やさい/保田飯飯")</f>
        <v>やさい/保田飯飯</v>
      </c>
      <c r="I4301" s="22" t="str">
        <f>IFERROR(__xludf.DUMMYFUNCTION("""COMPUTED_VALUE"""),"アダルト")</f>
        <v>アダルト</v>
      </c>
      <c r="J4301" s="22"/>
      <c r="K4301" s="22" t="str">
        <f>IFERROR(__xludf.DUMMYFUNCTION("""COMPUTED_VALUE"""),"THE猥談")</f>
        <v>THE猥談</v>
      </c>
      <c r="L4301" s="22" t="str">
        <f>IFERROR(__xludf.DUMMYFUNCTION("""COMPUTED_VALUE"""),"DLcomics")</f>
        <v>DLcomics</v>
      </c>
      <c r="M4301" s="33">
        <f>IFERROR(__xludf.DUMMYFUNCTION("""COMPUTED_VALUE"""),46017.0)</f>
        <v>46017</v>
      </c>
      <c r="N4301" s="33">
        <f>IFERROR(__xludf.DUMMYFUNCTION("""COMPUTED_VALUE"""),46108.0)</f>
        <v>46108</v>
      </c>
      <c r="O4301" s="20"/>
      <c r="P4301" s="32" t="str">
        <f>IFERROR(__xludf.DUMMYFUNCTION("""COMPUTED_VALUE"""),"可")</f>
        <v>可</v>
      </c>
      <c r="Q4301" s="30"/>
      <c r="R4301" s="22" t="str">
        <f>IFERROR(__xludf.DUMMYFUNCTION("""COMPUTED_VALUE"""),"コミットOK")</f>
        <v>コミットOK</v>
      </c>
      <c r="S4301" s="22" t="str">
        <f>IFERROR(__xludf.DUMMYFUNCTION("""COMPUTED_VALUE"""),"20251118_DLcomics_みんな憧れの順先輩と、1泊2日 お忍び酩酊ガチ交尾旅")</f>
        <v>20251118_DLcomics_みんな憧れの順先輩と、1泊2日 お忍び酩酊ガチ交尾旅</v>
      </c>
      <c r="T4301" s="22" t="str">
        <f>IFERROR(__xludf.DUMMYFUNCTION("""COMPUTED_VALUE"""),"格納済み")</f>
        <v>格納済み</v>
      </c>
      <c r="U4301" s="9" t="str">
        <f>IFERROR(__xludf.DUMMYFUNCTION("""COMPUTED_VALUE"""),"(C)やさい/保田飯飯/THE猥談")</f>
        <v>(C)やさい/保田飯飯/THE猥談</v>
      </c>
      <c r="V4301" s="8"/>
      <c r="W4301" s="8"/>
      <c r="X4301" s="8" t="str">
        <f>IFERROR(__xludf.DUMMYFUNCTION("""COMPUTED_VALUE"""),"有")</f>
        <v>有</v>
      </c>
      <c r="Y4301" s="8" t="str">
        <f>IFERROR(__xludf.DUMMYFUNCTION("""COMPUTED_VALUE"""),"P10まで")</f>
        <v>P10まで</v>
      </c>
      <c r="Z4301" s="7"/>
      <c r="AA4301" s="7"/>
      <c r="AB4301" s="7"/>
    </row>
    <row r="4302" ht="15.75" customHeight="1">
      <c r="A4302" s="26">
        <f>IFERROR(__xludf.DUMMYFUNCTION("""COMPUTED_VALUE"""),6819.0)</f>
        <v>6819</v>
      </c>
      <c r="B4302" s="22" t="str">
        <f>IFERROR(__xludf.DUMMYFUNCTION("""COMPUTED_VALUE"""),"確定")</f>
        <v>確定</v>
      </c>
      <c r="C4302" s="28">
        <f>IFERROR(__xludf.DUMMYFUNCTION("""COMPUTED_VALUE"""),45968.0)</f>
        <v>45968</v>
      </c>
      <c r="D4302" s="28">
        <f>IFERROR(__xludf.DUMMYFUNCTION("""COMPUTED_VALUE"""),45979.0)</f>
        <v>45979</v>
      </c>
      <c r="E4302" s="26">
        <f>IFERROR(__xludf.DUMMYFUNCTION("""COMPUTED_VALUE"""),345297.0)</f>
        <v>345297</v>
      </c>
      <c r="F4302" s="22" t="str">
        <f>IFERROR(__xludf.DUMMYFUNCTION("""COMPUTED_VALUE"""),"地味で眼鏡な先輩男子が実はイケボで、ヤバい!エロい!?メロい??【R版】")</f>
        <v>地味で眼鏡な先輩男子が実はイケボで、ヤバい!エロい!?メロい??【R版】</v>
      </c>
      <c r="G4302" s="20" t="str">
        <f>IFERROR(__xludf.DUMMYFUNCTION("""COMPUTED_VALUE"""),"1～3")</f>
        <v>1～3</v>
      </c>
      <c r="H4302" s="22" t="str">
        <f>IFERROR(__xludf.DUMMYFUNCTION("""COMPUTED_VALUE"""),"岸あき/保田飯飯")</f>
        <v>岸あき/保田飯飯</v>
      </c>
      <c r="I4302" s="22" t="str">
        <f>IFERROR(__xludf.DUMMYFUNCTION("""COMPUTED_VALUE"""),"アダルト")</f>
        <v>アダルト</v>
      </c>
      <c r="J4302" s="22"/>
      <c r="K4302" s="22" t="str">
        <f>IFERROR(__xludf.DUMMYFUNCTION("""COMPUTED_VALUE"""),"THE猥談")</f>
        <v>THE猥談</v>
      </c>
      <c r="L4302" s="22" t="str">
        <f>IFERROR(__xludf.DUMMYFUNCTION("""COMPUTED_VALUE"""),"DLcomics")</f>
        <v>DLcomics</v>
      </c>
      <c r="M4302" s="33">
        <f>IFERROR(__xludf.DUMMYFUNCTION("""COMPUTED_VALUE"""),46017.0)</f>
        <v>46017</v>
      </c>
      <c r="N4302" s="33">
        <f>IFERROR(__xludf.DUMMYFUNCTION("""COMPUTED_VALUE"""),46108.0)</f>
        <v>46108</v>
      </c>
      <c r="O4302" s="20"/>
      <c r="P4302" s="32" t="str">
        <f>IFERROR(__xludf.DUMMYFUNCTION("""COMPUTED_VALUE"""),"可")</f>
        <v>可</v>
      </c>
      <c r="Q4302" s="30"/>
      <c r="R4302" s="22" t="str">
        <f>IFERROR(__xludf.DUMMYFUNCTION("""COMPUTED_VALUE"""),"コミットOK")</f>
        <v>コミットOK</v>
      </c>
      <c r="S4302" s="22" t="str">
        <f>IFERROR(__xludf.DUMMYFUNCTION("""COMPUTED_VALUE"""),"20251118_DLcomics_地味で眼鏡な先輩男子が実はイケボで、ヤバい!エロい！？メロい？？")</f>
        <v>20251118_DLcomics_地味で眼鏡な先輩男子が実はイケボで、ヤバい!エロい！？メロい？？</v>
      </c>
      <c r="T4302" s="22" t="str">
        <f>IFERROR(__xludf.DUMMYFUNCTION("""COMPUTED_VALUE"""),"格納済み")</f>
        <v>格納済み</v>
      </c>
      <c r="U4302" s="9" t="str">
        <f>IFERROR(__xludf.DUMMYFUNCTION("""COMPUTED_VALUE"""),"(C)岸あき/保田飯飯/THE猥談")</f>
        <v>(C)岸あき/保田飯飯/THE猥談</v>
      </c>
      <c r="V4302" s="8"/>
      <c r="W4302" s="8"/>
      <c r="X4302" s="8" t="str">
        <f>IFERROR(__xludf.DUMMYFUNCTION("""COMPUTED_VALUE"""),"有")</f>
        <v>有</v>
      </c>
      <c r="Y4302" s="8" t="str">
        <f>IFERROR(__xludf.DUMMYFUNCTION("""COMPUTED_VALUE"""),"P11まで")</f>
        <v>P11まで</v>
      </c>
      <c r="Z4302" s="7"/>
      <c r="AA4302" s="7"/>
      <c r="AB4302" s="7"/>
    </row>
    <row r="4303" ht="15.75" customHeight="1">
      <c r="A4303" s="26">
        <f>IFERROR(__xludf.DUMMYFUNCTION("""COMPUTED_VALUE"""),6831.0)</f>
        <v>6831</v>
      </c>
      <c r="B4303" s="22" t="str">
        <f>IFERROR(__xludf.DUMMYFUNCTION("""COMPUTED_VALUE"""),"確定")</f>
        <v>確定</v>
      </c>
      <c r="C4303" s="28">
        <f>IFERROR(__xludf.DUMMYFUNCTION("""COMPUTED_VALUE"""),45968.0)</f>
        <v>45968</v>
      </c>
      <c r="D4303" s="28">
        <f>IFERROR(__xludf.DUMMYFUNCTION("""COMPUTED_VALUE"""),45978.0)</f>
        <v>45978</v>
      </c>
      <c r="E4303" s="26">
        <f>IFERROR(__xludf.DUMMYFUNCTION("""COMPUTED_VALUE"""),343641.0)</f>
        <v>343641</v>
      </c>
      <c r="F4303" s="22" t="str">
        <f>IFERROR(__xludf.DUMMYFUNCTION("""COMPUTED_VALUE"""),"ワンナイ相手は次期社長！？～アソビかと思ったら溺愛でした～")</f>
        <v>ワンナイ相手は次期社長！？～アソビかと思ったら溺愛でした～</v>
      </c>
      <c r="G4303" s="20" t="str">
        <f>IFERROR(__xludf.DUMMYFUNCTION("""COMPUTED_VALUE"""),"1～3")</f>
        <v>1～3</v>
      </c>
      <c r="H4303" s="22" t="str">
        <f>IFERROR(__xludf.DUMMYFUNCTION("""COMPUTED_VALUE"""),"秀真・テラーノベル")</f>
        <v>秀真・テラーノベル</v>
      </c>
      <c r="I4303" s="22" t="str">
        <f>IFERROR(__xludf.DUMMYFUNCTION("""COMPUTED_VALUE"""),"女性")</f>
        <v>女性</v>
      </c>
      <c r="J4303" s="22"/>
      <c r="K4303" s="22" t="str">
        <f>IFERROR(__xludf.DUMMYFUNCTION("""COMPUTED_VALUE"""),"テラーコミックス")</f>
        <v>テラーコミックス</v>
      </c>
      <c r="L4303" s="22" t="str">
        <f>IFERROR(__xludf.DUMMYFUNCTION("""COMPUTED_VALUE"""),"Freedia")</f>
        <v>Freedia</v>
      </c>
      <c r="M4303" s="33">
        <f>IFERROR(__xludf.DUMMYFUNCTION("""COMPUTED_VALUE"""),46017.0)</f>
        <v>46017</v>
      </c>
      <c r="N4303" s="33">
        <f>IFERROR(__xludf.DUMMYFUNCTION("""COMPUTED_VALUE"""),46106.0)</f>
        <v>46106</v>
      </c>
      <c r="O4303" s="20"/>
      <c r="P4303" s="32" t="str">
        <f>IFERROR(__xludf.DUMMYFUNCTION("""COMPUTED_VALUE"""),"可")</f>
        <v>可</v>
      </c>
      <c r="Q4303" s="30"/>
      <c r="R4303" s="22" t="str">
        <f>IFERROR(__xludf.DUMMYFUNCTION("""COMPUTED_VALUE"""),"コミットNG")</f>
        <v>コミットNG</v>
      </c>
      <c r="S4303" s="22" t="str">
        <f>IFERROR(__xludf.DUMMYFUNCTION("""COMPUTED_VALUE"""),"20251107_Freedia_ワンナイ相手は次期社長！？～アソビかと思ったら溺愛でした～")</f>
        <v>20251107_Freedia_ワンナイ相手は次期社長！？～アソビかと思ったら溺愛でした～</v>
      </c>
      <c r="T4303" s="22" t="str">
        <f>IFERROR(__xludf.DUMMYFUNCTION("""COMPUTED_VALUE"""),"格納済み")</f>
        <v>格納済み</v>
      </c>
      <c r="U4303" s="9" t="str">
        <f>IFERROR(__xludf.DUMMYFUNCTION("""COMPUTED_VALUE"""),"Ⓒ秀真・テラーノベル/Freedia・テラーノベル")</f>
        <v>Ⓒ秀真・テラーノベル/Freedia・テラーノベル</v>
      </c>
      <c r="V4303" s="8"/>
      <c r="W4303" s="8"/>
      <c r="X4303" s="8" t="str">
        <f>IFERROR(__xludf.DUMMYFUNCTION("""COMPUTED_VALUE"""),"有")</f>
        <v>有</v>
      </c>
      <c r="Y4303" s="8" t="str">
        <f>IFERROR(__xludf.DUMMYFUNCTION("""COMPUTED_VALUE"""),"P5まで")</f>
        <v>P5まで</v>
      </c>
      <c r="Z4303" s="7"/>
      <c r="AA4303" s="7"/>
      <c r="AB4303" s="7"/>
    </row>
    <row r="4304" ht="15.75" customHeight="1">
      <c r="A4304" s="26">
        <f>IFERROR(__xludf.DUMMYFUNCTION("""COMPUTED_VALUE"""),6843.0)</f>
        <v>6843</v>
      </c>
      <c r="B4304" s="22" t="str">
        <f>IFERROR(__xludf.DUMMYFUNCTION("""COMPUTED_VALUE"""),"確定")</f>
        <v>確定</v>
      </c>
      <c r="C4304" s="28">
        <f>IFERROR(__xludf.DUMMYFUNCTION("""COMPUTED_VALUE"""),45971.0)</f>
        <v>45971</v>
      </c>
      <c r="D4304" s="28">
        <f>IFERROR(__xludf.DUMMYFUNCTION("""COMPUTED_VALUE"""),45975.0)</f>
        <v>45975</v>
      </c>
      <c r="E4304" s="26">
        <f>IFERROR(__xludf.DUMMYFUNCTION("""COMPUTED_VALUE"""),312164.0)</f>
        <v>312164</v>
      </c>
      <c r="F4304" s="22" t="str">
        <f>IFERROR(__xludf.DUMMYFUNCTION("""COMPUTED_VALUE"""),"いつわり令嬢")</f>
        <v>いつわり令嬢</v>
      </c>
      <c r="G4304" s="20" t="str">
        <f>IFERROR(__xludf.DUMMYFUNCTION("""COMPUTED_VALUE"""),"1～3")</f>
        <v>1～3</v>
      </c>
      <c r="H4304" s="22" t="str">
        <f>IFERROR(__xludf.DUMMYFUNCTION("""COMPUTED_VALUE"""),"しろこ")</f>
        <v>しろこ</v>
      </c>
      <c r="I4304" s="22" t="str">
        <f>IFERROR(__xludf.DUMMYFUNCTION("""COMPUTED_VALUE"""),"少女マンガ")</f>
        <v>少女マンガ</v>
      </c>
      <c r="J4304" s="22"/>
      <c r="K4304" s="22" t="str">
        <f>IFERROR(__xludf.DUMMYFUNCTION("""COMPUTED_VALUE"""),"恋するソワレ")</f>
        <v>恋するソワレ</v>
      </c>
      <c r="L4304" s="22" t="str">
        <f>IFERROR(__xludf.DUMMYFUNCTION("""COMPUTED_VALUE"""),"シーモアコミックス")</f>
        <v>シーモアコミックス</v>
      </c>
      <c r="M4304" s="33">
        <f>IFERROR(__xludf.DUMMYFUNCTION("""COMPUTED_VALUE"""),46011.0)</f>
        <v>46011</v>
      </c>
      <c r="N4304" s="33">
        <f>IFERROR(__xludf.DUMMYFUNCTION("""COMPUTED_VALUE"""),46163.66666666667)</f>
        <v>46163.66667</v>
      </c>
      <c r="O4304" s="20"/>
      <c r="P4304" s="32" t="str">
        <f>IFERROR(__xludf.DUMMYFUNCTION("""COMPUTED_VALUE"""),"可")</f>
        <v>可</v>
      </c>
      <c r="Q4304" s="30"/>
      <c r="R4304" s="22"/>
      <c r="S4304" s="22" t="str">
        <f>IFERROR(__xludf.DUMMYFUNCTION("""COMPUTED_VALUE"""),"20251110_シーモアコミックス_いつわり令嬢")</f>
        <v>20251110_シーモアコミックス_いつわり令嬢</v>
      </c>
      <c r="T4304" s="22" t="str">
        <f>IFERROR(__xludf.DUMMYFUNCTION("""COMPUTED_VALUE"""),"格納済み")</f>
        <v>格納済み</v>
      </c>
      <c r="U4304" s="9" t="str">
        <f>IFERROR(__xludf.DUMMYFUNCTION("""COMPUTED_VALUE"""),"(C) しろこ/シーモアコミックス")</f>
        <v>(C) しろこ/シーモアコミックス</v>
      </c>
      <c r="V4304" s="8"/>
      <c r="W4304" s="8"/>
      <c r="X4304" s="8" t="str">
        <f>IFERROR(__xludf.DUMMYFUNCTION("""COMPUTED_VALUE"""),"有")</f>
        <v>有</v>
      </c>
      <c r="Y4304" s="8" t="str">
        <f>IFERROR(__xludf.DUMMYFUNCTION("""COMPUTED_VALUE"""),"P9まで")</f>
        <v>P9まで</v>
      </c>
      <c r="Z4304" s="7"/>
      <c r="AA4304" s="7"/>
      <c r="AB4304" s="7"/>
    </row>
    <row r="4305" ht="15.75" customHeight="1">
      <c r="A4305" s="26">
        <f>IFERROR(__xludf.DUMMYFUNCTION("""COMPUTED_VALUE"""),6845.0)</f>
        <v>6845</v>
      </c>
      <c r="B4305" s="22" t="str">
        <f>IFERROR(__xludf.DUMMYFUNCTION("""COMPUTED_VALUE"""),"確定")</f>
        <v>確定</v>
      </c>
      <c r="C4305" s="28">
        <f>IFERROR(__xludf.DUMMYFUNCTION("""COMPUTED_VALUE"""),45971.0)</f>
        <v>45971</v>
      </c>
      <c r="D4305" s="28">
        <f>IFERROR(__xludf.DUMMYFUNCTION("""COMPUTED_VALUE"""),45978.0)</f>
        <v>45978</v>
      </c>
      <c r="E4305" s="26">
        <f>IFERROR(__xludf.DUMMYFUNCTION("""COMPUTED_VALUE"""),346982.0)</f>
        <v>346982</v>
      </c>
      <c r="F4305" s="22" t="str">
        <f>IFERROR(__xludf.DUMMYFUNCTION("""COMPUTED_VALUE"""),"貢物の花嫁")</f>
        <v>貢物の花嫁</v>
      </c>
      <c r="G4305" s="20" t="str">
        <f>IFERROR(__xludf.DUMMYFUNCTION("""COMPUTED_VALUE"""),"1～3")</f>
        <v>1～3</v>
      </c>
      <c r="H4305" s="22" t="str">
        <f>IFERROR(__xludf.DUMMYFUNCTION("""COMPUTED_VALUE"""),"原作：藤咲あゆな　漫画：深海魚苗")</f>
        <v>原作：藤咲あゆな　漫画：深海魚苗</v>
      </c>
      <c r="I4305" s="22" t="str">
        <f>IFERROR(__xludf.DUMMYFUNCTION("""COMPUTED_VALUE"""),"女性")</f>
        <v>女性</v>
      </c>
      <c r="J4305" s="22"/>
      <c r="K4305" s="22"/>
      <c r="L4305" s="22" t="str">
        <f>IFERROR(__xludf.DUMMYFUNCTION("""COMPUTED_VALUE"""),"幻冬舎")</f>
        <v>幻冬舎</v>
      </c>
      <c r="M4305" s="33">
        <f>IFERROR(__xludf.DUMMYFUNCTION("""COMPUTED_VALUE"""),46010.0)</f>
        <v>46010</v>
      </c>
      <c r="N4305" s="33">
        <f>IFERROR(__xludf.DUMMYFUNCTION("""COMPUTED_VALUE"""),46100.0)</f>
        <v>46100</v>
      </c>
      <c r="O4305" s="20"/>
      <c r="P4305" s="32" t="str">
        <f>IFERROR(__xludf.DUMMYFUNCTION("""COMPUTED_VALUE"""),"可")</f>
        <v>可</v>
      </c>
      <c r="Q4305" s="30"/>
      <c r="R4305" s="22" t="str">
        <f>IFERROR(__xludf.DUMMYFUNCTION("""COMPUTED_VALUE"""),"コミットNG")</f>
        <v>コミットNG</v>
      </c>
      <c r="S4305" s="22" t="str">
        <f>IFERROR(__xludf.DUMMYFUNCTION("""COMPUTED_VALUE"""),"20251106_幻冬舎_貢物の花嫁")</f>
        <v>20251106_幻冬舎_貢物の花嫁</v>
      </c>
      <c r="T4305" s="22" t="str">
        <f>IFERROR(__xludf.DUMMYFUNCTION("""COMPUTED_VALUE"""),"格納済み")</f>
        <v>格納済み</v>
      </c>
      <c r="U4305" s="9" t="str">
        <f>IFERROR(__xludf.DUMMYFUNCTION("""COMPUTED_VALUE"""),"（C）藤咲あゆな／深海魚苗／幻冬舎")</f>
        <v>（C）藤咲あゆな／深海魚苗／幻冬舎</v>
      </c>
      <c r="V4305" s="8"/>
      <c r="W4305" s="8"/>
      <c r="X4305" s="8" t="str">
        <f>IFERROR(__xludf.DUMMYFUNCTION("""COMPUTED_VALUE"""),"有")</f>
        <v>有</v>
      </c>
      <c r="Y4305" s="8" t="str">
        <f>IFERROR(__xludf.DUMMYFUNCTION("""COMPUTED_VALUE"""),"2026/3/19まで1巻無料")</f>
        <v>2026/3/19まで1巻無料</v>
      </c>
      <c r="Z4305" s="7"/>
      <c r="AA4305" s="7"/>
      <c r="AB4305" s="7"/>
    </row>
    <row r="4306" ht="15.75" customHeight="1">
      <c r="A4306" s="26">
        <f>IFERROR(__xludf.DUMMYFUNCTION("""COMPUTED_VALUE"""),6846.0)</f>
        <v>6846</v>
      </c>
      <c r="B4306" s="22" t="str">
        <f>IFERROR(__xludf.DUMMYFUNCTION("""COMPUTED_VALUE"""),"確定")</f>
        <v>確定</v>
      </c>
      <c r="C4306" s="28">
        <f>IFERROR(__xludf.DUMMYFUNCTION("""COMPUTED_VALUE"""),45971.0)</f>
        <v>45971</v>
      </c>
      <c r="D4306" s="28">
        <f>IFERROR(__xludf.DUMMYFUNCTION("""COMPUTED_VALUE"""),45978.0)</f>
        <v>45978</v>
      </c>
      <c r="E4306" s="26">
        <f>IFERROR(__xludf.DUMMYFUNCTION("""COMPUTED_VALUE"""),346974.0)</f>
        <v>346974</v>
      </c>
      <c r="F4306" s="22" t="str">
        <f>IFERROR(__xludf.DUMMYFUNCTION("""COMPUTED_VALUE"""),"毒は聖女に恋をする―死神公爵は無垢な乙女を寵愛しています―")</f>
        <v>毒は聖女に恋をする―死神公爵は無垢な乙女を寵愛しています―</v>
      </c>
      <c r="G4306" s="20" t="str">
        <f>IFERROR(__xludf.DUMMYFUNCTION("""COMPUTED_VALUE"""),"1～3")</f>
        <v>1～3</v>
      </c>
      <c r="H4306" s="22" t="str">
        <f>IFERROR(__xludf.DUMMYFUNCTION("""COMPUTED_VALUE"""),"原作：河合ゆうみ　漫画：orange")</f>
        <v>原作：河合ゆうみ　漫画：orange</v>
      </c>
      <c r="I4306" s="22" t="str">
        <f>IFERROR(__xludf.DUMMYFUNCTION("""COMPUTED_VALUE"""),"女性")</f>
        <v>女性</v>
      </c>
      <c r="J4306" s="22"/>
      <c r="K4306" s="22"/>
      <c r="L4306" s="22" t="str">
        <f>IFERROR(__xludf.DUMMYFUNCTION("""COMPUTED_VALUE"""),"幻冬舎")</f>
        <v>幻冬舎</v>
      </c>
      <c r="M4306" s="33">
        <f>IFERROR(__xludf.DUMMYFUNCTION("""COMPUTED_VALUE"""),46010.0)</f>
        <v>46010</v>
      </c>
      <c r="N4306" s="33">
        <f>IFERROR(__xludf.DUMMYFUNCTION("""COMPUTED_VALUE"""),46100.0)</f>
        <v>46100</v>
      </c>
      <c r="O4306" s="20"/>
      <c r="P4306" s="32" t="str">
        <f>IFERROR(__xludf.DUMMYFUNCTION("""COMPUTED_VALUE"""),"可")</f>
        <v>可</v>
      </c>
      <c r="Q4306" s="30"/>
      <c r="R4306" s="22" t="str">
        <f>IFERROR(__xludf.DUMMYFUNCTION("""COMPUTED_VALUE"""),"コミットNG")</f>
        <v>コミットNG</v>
      </c>
      <c r="S4306" s="22" t="str">
        <f>IFERROR(__xludf.DUMMYFUNCTION("""COMPUTED_VALUE"""),"20251106_幻冬舎_毒は聖女に恋をする―死神公爵は無垢な乙女を寵愛しています―")</f>
        <v>20251106_幻冬舎_毒は聖女に恋をする―死神公爵は無垢な乙女を寵愛しています―</v>
      </c>
      <c r="T4306" s="22" t="str">
        <f>IFERROR(__xludf.DUMMYFUNCTION("""COMPUTED_VALUE"""),"格納済み")</f>
        <v>格納済み</v>
      </c>
      <c r="U4306" s="9" t="str">
        <f>IFERROR(__xludf.DUMMYFUNCTION("""COMPUTED_VALUE"""),"（C）河合ゆうみ／orange／幻冬舎")</f>
        <v>（C）河合ゆうみ／orange／幻冬舎</v>
      </c>
      <c r="V4306" s="8"/>
      <c r="W4306" s="8"/>
      <c r="X4306" s="8" t="str">
        <f>IFERROR(__xludf.DUMMYFUNCTION("""COMPUTED_VALUE"""),"有")</f>
        <v>有</v>
      </c>
      <c r="Y4306" s="8" t="str">
        <f>IFERROR(__xludf.DUMMYFUNCTION("""COMPUTED_VALUE"""),"2026/3/19まで1巻無料")</f>
        <v>2026/3/19まで1巻無料</v>
      </c>
      <c r="Z4306" s="7"/>
      <c r="AA4306" s="7"/>
      <c r="AB4306" s="7"/>
    </row>
    <row r="4307" ht="15.75" customHeight="1">
      <c r="A4307" s="26">
        <f>IFERROR(__xludf.DUMMYFUNCTION("""COMPUTED_VALUE"""),6847.0)</f>
        <v>6847</v>
      </c>
      <c r="B4307" s="22" t="str">
        <f>IFERROR(__xludf.DUMMYFUNCTION("""COMPUTED_VALUE"""),"確定")</f>
        <v>確定</v>
      </c>
      <c r="C4307" s="28">
        <f>IFERROR(__xludf.DUMMYFUNCTION("""COMPUTED_VALUE"""),45971.0)</f>
        <v>45971</v>
      </c>
      <c r="D4307" s="28">
        <f>IFERROR(__xludf.DUMMYFUNCTION("""COMPUTED_VALUE"""),45978.0)</f>
        <v>45978</v>
      </c>
      <c r="E4307" s="26">
        <f>IFERROR(__xludf.DUMMYFUNCTION("""COMPUTED_VALUE"""),346973.0)</f>
        <v>346973</v>
      </c>
      <c r="F4307" s="22" t="str">
        <f>IFERROR(__xludf.DUMMYFUNCTION("""COMPUTED_VALUE"""),"令嬢オメガの発情までの七日間")</f>
        <v>令嬢オメガの発情までの七日間</v>
      </c>
      <c r="G4307" s="20" t="str">
        <f>IFERROR(__xludf.DUMMYFUNCTION("""COMPUTED_VALUE"""),"1～3")</f>
        <v>1～3</v>
      </c>
      <c r="H4307" s="22" t="str">
        <f>IFERROR(__xludf.DUMMYFUNCTION("""COMPUTED_VALUE"""),"原作：かなりつ　漫画：灯雪")</f>
        <v>原作：かなりつ　漫画：灯雪</v>
      </c>
      <c r="I4307" s="22" t="str">
        <f>IFERROR(__xludf.DUMMYFUNCTION("""COMPUTED_VALUE"""),"女性")</f>
        <v>女性</v>
      </c>
      <c r="J4307" s="22"/>
      <c r="K4307" s="22"/>
      <c r="L4307" s="22" t="str">
        <f>IFERROR(__xludf.DUMMYFUNCTION("""COMPUTED_VALUE"""),"幻冬舎")</f>
        <v>幻冬舎</v>
      </c>
      <c r="M4307" s="33">
        <f>IFERROR(__xludf.DUMMYFUNCTION("""COMPUTED_VALUE"""),46010.0)</f>
        <v>46010</v>
      </c>
      <c r="N4307" s="33">
        <f>IFERROR(__xludf.DUMMYFUNCTION("""COMPUTED_VALUE"""),46100.0)</f>
        <v>46100</v>
      </c>
      <c r="O4307" s="20"/>
      <c r="P4307" s="32" t="str">
        <f>IFERROR(__xludf.DUMMYFUNCTION("""COMPUTED_VALUE"""),"可")</f>
        <v>可</v>
      </c>
      <c r="Q4307" s="30"/>
      <c r="R4307" s="22" t="str">
        <f>IFERROR(__xludf.DUMMYFUNCTION("""COMPUTED_VALUE"""),"コミットNG")</f>
        <v>コミットNG</v>
      </c>
      <c r="S4307" s="22" t="str">
        <f>IFERROR(__xludf.DUMMYFUNCTION("""COMPUTED_VALUE"""),"20251106_幻冬舎_令嬢オメガの発情までの七日間")</f>
        <v>20251106_幻冬舎_令嬢オメガの発情までの七日間</v>
      </c>
      <c r="T4307" s="22" t="str">
        <f>IFERROR(__xludf.DUMMYFUNCTION("""COMPUTED_VALUE"""),"格納済み")</f>
        <v>格納済み</v>
      </c>
      <c r="U4307" s="9" t="str">
        <f>IFERROR(__xludf.DUMMYFUNCTION("""COMPUTED_VALUE"""),"（C）かなりつ／灯雪／幻冬舎")</f>
        <v>（C）かなりつ／灯雪／幻冬舎</v>
      </c>
      <c r="V4307" s="8"/>
      <c r="W4307" s="8"/>
      <c r="X4307" s="8" t="str">
        <f>IFERROR(__xludf.DUMMYFUNCTION("""COMPUTED_VALUE"""),"有")</f>
        <v>有</v>
      </c>
      <c r="Y4307" s="8" t="str">
        <f>IFERROR(__xludf.DUMMYFUNCTION("""COMPUTED_VALUE"""),"2026/3/19まで1巻無料")</f>
        <v>2026/3/19まで1巻無料</v>
      </c>
      <c r="Z4307" s="7"/>
      <c r="AA4307" s="7"/>
      <c r="AB4307" s="7"/>
    </row>
    <row r="4308" ht="15.75" customHeight="1">
      <c r="A4308" s="26">
        <f>IFERROR(__xludf.DUMMYFUNCTION("""COMPUTED_VALUE"""),6848.0)</f>
        <v>6848</v>
      </c>
      <c r="B4308" s="22" t="str">
        <f>IFERROR(__xludf.DUMMYFUNCTION("""COMPUTED_VALUE"""),"確定")</f>
        <v>確定</v>
      </c>
      <c r="C4308" s="28">
        <f>IFERROR(__xludf.DUMMYFUNCTION("""COMPUTED_VALUE"""),45971.0)</f>
        <v>45971</v>
      </c>
      <c r="D4308" s="28">
        <f>IFERROR(__xludf.DUMMYFUNCTION("""COMPUTED_VALUE"""),45979.0)</f>
        <v>45979</v>
      </c>
      <c r="E4308" s="26">
        <f>IFERROR(__xludf.DUMMYFUNCTION("""COMPUTED_VALUE"""),344451.0)</f>
        <v>344451</v>
      </c>
      <c r="F4308" s="22" t="str">
        <f>IFERROR(__xludf.DUMMYFUNCTION("""COMPUTED_VALUE"""),"隣人と××した話")</f>
        <v>隣人と××した話</v>
      </c>
      <c r="G4308" s="20" t="str">
        <f>IFERROR(__xludf.DUMMYFUNCTION("""COMPUTED_VALUE"""),"1～3")</f>
        <v>1～3</v>
      </c>
      <c r="H4308" s="22" t="str">
        <f>IFERROR(__xludf.DUMMYFUNCTION("""COMPUTED_VALUE"""),"りんご/はしこ")</f>
        <v>りんご/はしこ</v>
      </c>
      <c r="I4308" s="22" t="str">
        <f>IFERROR(__xludf.DUMMYFUNCTION("""COMPUTED_VALUE"""),"女性")</f>
        <v>女性</v>
      </c>
      <c r="J4308" s="22"/>
      <c r="K4308" s="22"/>
      <c r="L4308" s="22" t="str">
        <f>IFERROR(__xludf.DUMMYFUNCTION("""COMPUTED_VALUE"""),"Vスクロールコミックス")</f>
        <v>Vスクロールコミックス</v>
      </c>
      <c r="M4308" s="33">
        <f>IFERROR(__xludf.DUMMYFUNCTION("""COMPUTED_VALUE"""),46011.0)</f>
        <v>46011</v>
      </c>
      <c r="N4308" s="33">
        <f>IFERROR(__xludf.DUMMYFUNCTION("""COMPUTED_VALUE"""),46100.0)</f>
        <v>46100</v>
      </c>
      <c r="O4308" s="20"/>
      <c r="P4308" s="32" t="str">
        <f>IFERROR(__xludf.DUMMYFUNCTION("""COMPUTED_VALUE"""),"可")</f>
        <v>可</v>
      </c>
      <c r="Q4308" s="30" t="str">
        <f>IFERROR(__xludf.DUMMYFUNCTION("""COMPUTED_VALUE"""),"【アダルト作品扱い】")</f>
        <v>【アダルト作品扱い】</v>
      </c>
      <c r="R4308" s="22" t="str">
        <f>IFERROR(__xludf.DUMMYFUNCTION("""COMPUTED_VALUE"""),"コミットOK")</f>
        <v>コミットOK</v>
      </c>
      <c r="S4308" s="22" t="str">
        <f>IFERROR(__xludf.DUMMYFUNCTION("""COMPUTED_VALUE"""),"20251118_Vスクロール_隣人と××した話")</f>
        <v>20251118_Vスクロール_隣人と××した話</v>
      </c>
      <c r="T4308" s="22" t="str">
        <f>IFERROR(__xludf.DUMMYFUNCTION("""COMPUTED_VALUE"""),"格納済み")</f>
        <v>格納済み</v>
      </c>
      <c r="U4308" s="9" t="str">
        <f>IFERROR(__xludf.DUMMYFUNCTION("""COMPUTED_VALUE"""),"Ⓒりんご/はしこ/Vコミ")</f>
        <v>Ⓒりんご/はしこ/Vコミ</v>
      </c>
      <c r="V4308" s="8"/>
      <c r="W4308" s="8"/>
      <c r="X4308" s="8" t="str">
        <f>IFERROR(__xludf.DUMMYFUNCTION("""COMPUTED_VALUE"""),"有")</f>
        <v>有</v>
      </c>
      <c r="Y4308" s="8" t="str">
        <f>IFERROR(__xludf.DUMMYFUNCTION("""COMPUTED_VALUE"""),"P6まで")</f>
        <v>P6まで</v>
      </c>
      <c r="Z4308" s="7"/>
      <c r="AA4308" s="7"/>
      <c r="AB4308" s="7"/>
    </row>
    <row r="4309" ht="15.75" customHeight="1">
      <c r="A4309" s="26">
        <f>IFERROR(__xludf.DUMMYFUNCTION("""COMPUTED_VALUE"""),6849.0)</f>
        <v>6849</v>
      </c>
      <c r="B4309" s="22" t="str">
        <f>IFERROR(__xludf.DUMMYFUNCTION("""COMPUTED_VALUE"""),"確定")</f>
        <v>確定</v>
      </c>
      <c r="C4309" s="28">
        <f>IFERROR(__xludf.DUMMYFUNCTION("""COMPUTED_VALUE"""),45971.0)</f>
        <v>45971</v>
      </c>
      <c r="D4309" s="28">
        <f>IFERROR(__xludf.DUMMYFUNCTION("""COMPUTED_VALUE"""),45979.0)</f>
        <v>45979</v>
      </c>
      <c r="E4309" s="26">
        <f>IFERROR(__xludf.DUMMYFUNCTION("""COMPUTED_VALUE"""),344452.0)</f>
        <v>344452</v>
      </c>
      <c r="F4309" s="22" t="str">
        <f>IFERROR(__xludf.DUMMYFUNCTION("""COMPUTED_VALUE"""),"妊娠事案 ある児童施設で起きた事件")</f>
        <v>妊娠事案 ある児童施設で起きた事件</v>
      </c>
      <c r="G4309" s="20" t="str">
        <f>IFERROR(__xludf.DUMMYFUNCTION("""COMPUTED_VALUE"""),"1～3")</f>
        <v>1～3</v>
      </c>
      <c r="H4309" s="22" t="str">
        <f>IFERROR(__xludf.DUMMYFUNCTION("""COMPUTED_VALUE"""),"げーとぅーりー/伊予カンナ")</f>
        <v>げーとぅーりー/伊予カンナ</v>
      </c>
      <c r="I4309" s="22" t="str">
        <f>IFERROR(__xludf.DUMMYFUNCTION("""COMPUTED_VALUE"""),"女性")</f>
        <v>女性</v>
      </c>
      <c r="J4309" s="22"/>
      <c r="K4309" s="22"/>
      <c r="L4309" s="22" t="str">
        <f>IFERROR(__xludf.DUMMYFUNCTION("""COMPUTED_VALUE"""),"Vスクロールコミックス")</f>
        <v>Vスクロールコミックス</v>
      </c>
      <c r="M4309" s="33">
        <f>IFERROR(__xludf.DUMMYFUNCTION("""COMPUTED_VALUE"""),46011.0)</f>
        <v>46011</v>
      </c>
      <c r="N4309" s="33">
        <f>IFERROR(__xludf.DUMMYFUNCTION("""COMPUTED_VALUE"""),46100.0)</f>
        <v>46100</v>
      </c>
      <c r="O4309" s="20"/>
      <c r="P4309" s="32" t="str">
        <f>IFERROR(__xludf.DUMMYFUNCTION("""COMPUTED_VALUE"""),"可")</f>
        <v>可</v>
      </c>
      <c r="Q4309" s="30"/>
      <c r="R4309" s="22" t="str">
        <f>IFERROR(__xludf.DUMMYFUNCTION("""COMPUTED_VALUE"""),"コミットNG")</f>
        <v>コミットNG</v>
      </c>
      <c r="S4309" s="22" t="str">
        <f>IFERROR(__xludf.DUMMYFUNCTION("""COMPUTED_VALUE"""),"20251118_Vスクロール_妊娠事案 ある児童施設で起きた事件")</f>
        <v>20251118_Vスクロール_妊娠事案 ある児童施設で起きた事件</v>
      </c>
      <c r="T4309" s="22" t="str">
        <f>IFERROR(__xludf.DUMMYFUNCTION("""COMPUTED_VALUE"""),"格納済み")</f>
        <v>格納済み</v>
      </c>
      <c r="U4309" s="9" t="str">
        <f>IFERROR(__xludf.DUMMYFUNCTION("""COMPUTED_VALUE"""),"Ⓒげーとぅーりー/伊予カンナ/Vコミ")</f>
        <v>Ⓒげーとぅーりー/伊予カンナ/Vコミ</v>
      </c>
      <c r="V4309" s="8"/>
      <c r="W4309" s="8"/>
      <c r="X4309" s="8" t="str">
        <f>IFERROR(__xludf.DUMMYFUNCTION("""COMPUTED_VALUE"""),"有")</f>
        <v>有</v>
      </c>
      <c r="Y4309" s="8" t="str">
        <f>IFERROR(__xludf.DUMMYFUNCTION("""COMPUTED_VALUE"""),"P21まで")</f>
        <v>P21まで</v>
      </c>
      <c r="Z4309" s="7"/>
      <c r="AA4309" s="7"/>
      <c r="AB4309" s="7"/>
    </row>
    <row r="4310" ht="15.75" customHeight="1">
      <c r="A4310" s="26">
        <f>IFERROR(__xludf.DUMMYFUNCTION("""COMPUTED_VALUE"""),6859.0)</f>
        <v>6859</v>
      </c>
      <c r="B4310" s="22" t="str">
        <f>IFERROR(__xludf.DUMMYFUNCTION("""COMPUTED_VALUE"""),"確定")</f>
        <v>確定</v>
      </c>
      <c r="C4310" s="28">
        <f>IFERROR(__xludf.DUMMYFUNCTION("""COMPUTED_VALUE"""),45972.0)</f>
        <v>45972</v>
      </c>
      <c r="D4310" s="28">
        <f>IFERROR(__xludf.DUMMYFUNCTION("""COMPUTED_VALUE"""),45980.0)</f>
        <v>45980</v>
      </c>
      <c r="E4310" s="26">
        <f>IFERROR(__xludf.DUMMYFUNCTION("""COMPUTED_VALUE"""),344931.0)</f>
        <v>344931</v>
      </c>
      <c r="F4310" s="22" t="str">
        <f>IFERROR(__xludf.DUMMYFUNCTION("""COMPUTED_VALUE"""),"俺の彼女を汚して【タテヨミ】")</f>
        <v>俺の彼女を汚して【タテヨミ】</v>
      </c>
      <c r="G4310" s="20" t="str">
        <f>IFERROR(__xludf.DUMMYFUNCTION("""COMPUTED_VALUE"""),"1～15")</f>
        <v>1～15</v>
      </c>
      <c r="H4310" s="22" t="str">
        <f>IFERROR(__xludf.DUMMYFUNCTION("""COMPUTED_VALUE"""),"Y.N.B, 赤ちゃん")</f>
        <v>Y.N.B, 赤ちゃん</v>
      </c>
      <c r="I4310" s="22" t="str">
        <f>IFERROR(__xludf.DUMMYFUNCTION("""COMPUTED_VALUE"""),"青年")</f>
        <v>青年</v>
      </c>
      <c r="J4310" s="22"/>
      <c r="K4310" s="22" t="str">
        <f>IFERROR(__xludf.DUMMYFUNCTION("""COMPUTED_VALUE"""),"DOOON！")</f>
        <v>DOOON！</v>
      </c>
      <c r="L4310" s="22" t="str">
        <f>IFERROR(__xludf.DUMMYFUNCTION("""COMPUTED_VALUE"""),"RIVERSE（リバース）")</f>
        <v>RIVERSE（リバース）</v>
      </c>
      <c r="M4310" s="33">
        <f>IFERROR(__xludf.DUMMYFUNCTION("""COMPUTED_VALUE"""),46012.0)</f>
        <v>46012</v>
      </c>
      <c r="N4310" s="33">
        <f>IFERROR(__xludf.DUMMYFUNCTION("""COMPUTED_VALUE"""),46075.0)</f>
        <v>46075</v>
      </c>
      <c r="O4310" s="20"/>
      <c r="P4310" s="32" t="str">
        <f>IFERROR(__xludf.DUMMYFUNCTION("""COMPUTED_VALUE"""),"可")</f>
        <v>可</v>
      </c>
      <c r="Q4310" s="30" t="str">
        <f>IFERROR(__xludf.DUMMYFUNCTION("""COMPUTED_VALUE"""),"【アダルト作品扱い】")</f>
        <v>【アダルト作品扱い】</v>
      </c>
      <c r="R4310" s="22"/>
      <c r="S4310" s="22" t="str">
        <f>IFERROR(__xludf.DUMMYFUNCTION("""COMPUTED_VALUE"""),"20251119_RIVERSE_俺の彼女を汚して【タテヨミ】")</f>
        <v>20251119_RIVERSE_俺の彼女を汚して【タテヨミ】</v>
      </c>
      <c r="T4310" s="22" t="str">
        <f>IFERROR(__xludf.DUMMYFUNCTION("""COMPUTED_VALUE"""),"格納済み")</f>
        <v>格納済み</v>
      </c>
      <c r="U4310" s="9" t="str">
        <f>IFERROR(__xludf.DUMMYFUNCTION("""COMPUTED_VALUE"""),"ⒸY.N.B, 赤ちゃん, Toomics")</f>
        <v>ⒸY.N.B, 赤ちゃん, Toomics</v>
      </c>
      <c r="V4310" s="8"/>
      <c r="W4310" s="8"/>
      <c r="X4310" s="8" t="str">
        <f>IFERROR(__xludf.DUMMYFUNCTION("""COMPUTED_VALUE"""),"有")</f>
        <v>有</v>
      </c>
      <c r="Y4310" s="8" t="str">
        <f>IFERROR(__xludf.DUMMYFUNCTION("""COMPUTED_VALUE"""),"1~3巻無料")</f>
        <v>1~3巻無料</v>
      </c>
      <c r="Z4310" s="7"/>
      <c r="AA4310" s="7"/>
      <c r="AB4310" s="7"/>
    </row>
    <row r="4311" ht="15.75" customHeight="1">
      <c r="A4311" s="26">
        <f>IFERROR(__xludf.DUMMYFUNCTION("""COMPUTED_VALUE"""),6860.0)</f>
        <v>6860</v>
      </c>
      <c r="B4311" s="22" t="str">
        <f>IFERROR(__xludf.DUMMYFUNCTION("""COMPUTED_VALUE"""),"確定")</f>
        <v>確定</v>
      </c>
      <c r="C4311" s="28">
        <f>IFERROR(__xludf.DUMMYFUNCTION("""COMPUTED_VALUE"""),45972.0)</f>
        <v>45972</v>
      </c>
      <c r="D4311" s="28">
        <f>IFERROR(__xludf.DUMMYFUNCTION("""COMPUTED_VALUE"""),45980.0)</f>
        <v>45980</v>
      </c>
      <c r="E4311" s="26">
        <f>IFERROR(__xludf.DUMMYFUNCTION("""COMPUTED_VALUE"""),344930.0)</f>
        <v>344930</v>
      </c>
      <c r="F4311" s="22" t="str">
        <f>IFERROR(__xludf.DUMMYFUNCTION("""COMPUTED_VALUE"""),"このギルド、男子禁制につき【タテヨミ】")</f>
        <v>このギルド、男子禁制につき【タテヨミ】</v>
      </c>
      <c r="G4311" s="20" t="str">
        <f>IFERROR(__xludf.DUMMYFUNCTION("""COMPUTED_VALUE"""),"1～15")</f>
        <v>1～15</v>
      </c>
      <c r="H4311" s="22" t="str">
        <f>IFERROR(__xludf.DUMMYFUNCTION("""COMPUTED_VALUE"""),"Van Mao, Memeldu")</f>
        <v>Van Mao, Memeldu</v>
      </c>
      <c r="I4311" s="22" t="str">
        <f>IFERROR(__xludf.DUMMYFUNCTION("""COMPUTED_VALUE"""),"青年")</f>
        <v>青年</v>
      </c>
      <c r="J4311" s="22"/>
      <c r="K4311" s="22" t="str">
        <f>IFERROR(__xludf.DUMMYFUNCTION("""COMPUTED_VALUE"""),"DOOON！")</f>
        <v>DOOON！</v>
      </c>
      <c r="L4311" s="22" t="str">
        <f>IFERROR(__xludf.DUMMYFUNCTION("""COMPUTED_VALUE"""),"RIVERSE（リバース）")</f>
        <v>RIVERSE（リバース）</v>
      </c>
      <c r="M4311" s="33">
        <f>IFERROR(__xludf.DUMMYFUNCTION("""COMPUTED_VALUE"""),46012.0)</f>
        <v>46012</v>
      </c>
      <c r="N4311" s="33">
        <f>IFERROR(__xludf.DUMMYFUNCTION("""COMPUTED_VALUE"""),46075.0)</f>
        <v>46075</v>
      </c>
      <c r="O4311" s="20"/>
      <c r="P4311" s="32" t="str">
        <f>IFERROR(__xludf.DUMMYFUNCTION("""COMPUTED_VALUE"""),"可")</f>
        <v>可</v>
      </c>
      <c r="Q4311" s="30"/>
      <c r="R4311" s="22"/>
      <c r="S4311" s="22" t="str">
        <f>IFERROR(__xludf.DUMMYFUNCTION("""COMPUTED_VALUE"""),"20251113_RIVERSE_このギルド、男子禁制につき")</f>
        <v>20251113_RIVERSE_このギルド、男子禁制につき</v>
      </c>
      <c r="T4311" s="22" t="str">
        <f>IFERROR(__xludf.DUMMYFUNCTION("""COMPUTED_VALUE"""),"格納済み")</f>
        <v>格納済み</v>
      </c>
      <c r="U4311" s="9" t="str">
        <f>IFERROR(__xludf.DUMMYFUNCTION("""COMPUTED_VALUE"""),"ⒸVan Mao, Memeldu, Toomics")</f>
        <v>ⒸVan Mao, Memeldu, Toomics</v>
      </c>
      <c r="V4311" s="8"/>
      <c r="W4311" s="8"/>
      <c r="X4311" s="8" t="str">
        <f>IFERROR(__xludf.DUMMYFUNCTION("""COMPUTED_VALUE"""),"有")</f>
        <v>有</v>
      </c>
      <c r="Y4311" s="8" t="str">
        <f>IFERROR(__xludf.DUMMYFUNCTION("""COMPUTED_VALUE"""),"1~3巻無料")</f>
        <v>1~3巻無料</v>
      </c>
      <c r="Z4311" s="7"/>
      <c r="AA4311" s="7"/>
      <c r="AB4311" s="7"/>
    </row>
    <row r="4312" ht="15.75" customHeight="1">
      <c r="A4312" s="26">
        <f>IFERROR(__xludf.DUMMYFUNCTION("""COMPUTED_VALUE"""),6873.0)</f>
        <v>6873</v>
      </c>
      <c r="B4312" s="22" t="str">
        <f>IFERROR(__xludf.DUMMYFUNCTION("""COMPUTED_VALUE"""),"確定")</f>
        <v>確定</v>
      </c>
      <c r="C4312" s="28">
        <f>IFERROR(__xludf.DUMMYFUNCTION("""COMPUTED_VALUE"""),45974.0)</f>
        <v>45974</v>
      </c>
      <c r="D4312" s="28">
        <f>IFERROR(__xludf.DUMMYFUNCTION("""COMPUTED_VALUE"""),45979.0)</f>
        <v>45979</v>
      </c>
      <c r="E4312" s="26">
        <f>IFERROR(__xludf.DUMMYFUNCTION("""COMPUTED_VALUE"""),321433.0)</f>
        <v>321433</v>
      </c>
      <c r="F4312" s="22" t="str">
        <f>IFERROR(__xludf.DUMMYFUNCTION("""COMPUTED_VALUE"""),"善い子の経典")</f>
        <v>善い子の経典</v>
      </c>
      <c r="G4312" s="20" t="str">
        <f>IFERROR(__xludf.DUMMYFUNCTION("""COMPUTED_VALUE"""),"1～3")</f>
        <v>1～3</v>
      </c>
      <c r="H4312" s="22" t="str">
        <f>IFERROR(__xludf.DUMMYFUNCTION("""COMPUTED_VALUE"""),"堀内俊希,八重樫ひのめ")</f>
        <v>堀内俊希,八重樫ひのめ</v>
      </c>
      <c r="I4312" s="22" t="str">
        <f>IFERROR(__xludf.DUMMYFUNCTION("""COMPUTED_VALUE"""),"青年マンガ")</f>
        <v>青年マンガ</v>
      </c>
      <c r="J4312" s="22"/>
      <c r="K4312" s="22" t="str">
        <f>IFERROR(__xludf.DUMMYFUNCTION("""COMPUTED_VALUE"""),"トレモア・スプラッシュ,トレモアcollection")</f>
        <v>トレモア・スプラッシュ,トレモアcollection</v>
      </c>
      <c r="L4312" s="22" t="str">
        <f>IFERROR(__xludf.DUMMYFUNCTION("""COMPUTED_VALUE"""),"シーモアコミックス（トレモア）")</f>
        <v>シーモアコミックス（トレモア）</v>
      </c>
      <c r="M4312" s="33">
        <f>IFERROR(__xludf.DUMMYFUNCTION("""COMPUTED_VALUE"""),46017.0)</f>
        <v>46017</v>
      </c>
      <c r="N4312" s="33">
        <f>IFERROR(__xludf.DUMMYFUNCTION("""COMPUTED_VALUE"""),2958465.0)</f>
        <v>2958465</v>
      </c>
      <c r="O4312" s="20"/>
      <c r="P4312" s="32" t="str">
        <f>IFERROR(__xludf.DUMMYFUNCTION("""COMPUTED_VALUE"""),"可")</f>
        <v>可</v>
      </c>
      <c r="Q4312" s="30"/>
      <c r="R4312" s="22"/>
      <c r="S4312" s="22" t="str">
        <f>IFERROR(__xludf.DUMMYFUNCTION("""COMPUTED_VALUE"""),"20251113_シーモアコミックス_善い子の経典")</f>
        <v>20251113_シーモアコミックス_善い子の経典</v>
      </c>
      <c r="T4312" s="22" t="str">
        <f>IFERROR(__xludf.DUMMYFUNCTION("""COMPUTED_VALUE"""),"格納済み")</f>
        <v>格納済み</v>
      </c>
      <c r="U4312" s="9" t="str">
        <f>IFERROR(__xludf.DUMMYFUNCTION("""COMPUTED_VALUE"""),"(C) 堀内俊希/八重樫ひのめ/シーモアコミックス")</f>
        <v>(C) 堀内俊希/八重樫ひのめ/シーモアコミックス</v>
      </c>
      <c r="V4312" s="8"/>
      <c r="W4312" s="8"/>
      <c r="X4312" s="8" t="str">
        <f>IFERROR(__xludf.DUMMYFUNCTION("""COMPUTED_VALUE"""),"有")</f>
        <v>有</v>
      </c>
      <c r="Y4312" s="8" t="str">
        <f>IFERROR(__xludf.DUMMYFUNCTION("""COMPUTED_VALUE"""),"P6まで")</f>
        <v>P6まで</v>
      </c>
      <c r="Z4312" s="7"/>
      <c r="AA4312" s="7"/>
      <c r="AB4312" s="7"/>
    </row>
    <row r="4313" ht="15.75" customHeight="1">
      <c r="A4313" s="26">
        <f>IFERROR(__xludf.DUMMYFUNCTION("""COMPUTED_VALUE"""),6876.0)</f>
        <v>6876</v>
      </c>
      <c r="B4313" s="22" t="str">
        <f>IFERROR(__xludf.DUMMYFUNCTION("""COMPUTED_VALUE"""),"確定")</f>
        <v>確定</v>
      </c>
      <c r="C4313" s="28">
        <f>IFERROR(__xludf.DUMMYFUNCTION("""COMPUTED_VALUE"""),45974.0)</f>
        <v>45974</v>
      </c>
      <c r="D4313" s="28">
        <f>IFERROR(__xludf.DUMMYFUNCTION("""COMPUTED_VALUE"""),45980.0)</f>
        <v>45980</v>
      </c>
      <c r="E4313" s="26">
        <f>IFERROR(__xludf.DUMMYFUNCTION("""COMPUTED_VALUE"""),346525.0)</f>
        <v>346525</v>
      </c>
      <c r="F4313" s="22" t="str">
        <f>IFERROR(__xludf.DUMMYFUNCTION("""COMPUTED_VALUE"""),"【フルカラー】ひまわりがささやく季節に～触れたら、もう戻れない～")</f>
        <v>【フルカラー】ひまわりがささやく季節に～触れたら、もう戻れない～</v>
      </c>
      <c r="G4313" s="20" t="str">
        <f>IFERROR(__xludf.DUMMYFUNCTION("""COMPUTED_VALUE"""),"1～4")</f>
        <v>1～4</v>
      </c>
      <c r="H4313" s="22" t="str">
        <f>IFERROR(__xludf.DUMMYFUNCTION("""COMPUTED_VALUE"""),"Alice Crazy")</f>
        <v>Alice Crazy</v>
      </c>
      <c r="I4313" s="22" t="str">
        <f>IFERROR(__xludf.DUMMYFUNCTION("""COMPUTED_VALUE"""),"青年")</f>
        <v>青年</v>
      </c>
      <c r="J4313" s="22"/>
      <c r="K4313" s="22"/>
      <c r="L4313" s="22" t="str">
        <f>IFERROR(__xludf.DUMMYFUNCTION("""COMPUTED_VALUE"""),"レジンコミックス")</f>
        <v>レジンコミックス</v>
      </c>
      <c r="M4313" s="33">
        <f>IFERROR(__xludf.DUMMYFUNCTION("""COMPUTED_VALUE"""),46066.0)</f>
        <v>46066</v>
      </c>
      <c r="N4313" s="33">
        <f>IFERROR(__xludf.DUMMYFUNCTION("""COMPUTED_VALUE"""),46155.0)</f>
        <v>46155</v>
      </c>
      <c r="O4313" s="20"/>
      <c r="P4313" s="32" t="str">
        <f>IFERROR(__xludf.DUMMYFUNCTION("""COMPUTED_VALUE"""),"可")</f>
        <v>可</v>
      </c>
      <c r="Q4313" s="30"/>
      <c r="R4313" s="22"/>
      <c r="S4313" s="22" t="str">
        <f>IFERROR(__xludf.DUMMYFUNCTION("""COMPUTED_VALUE"""),"20251113_レジンエンターテインメント_ひまわりがささやく季節に～触れたら、もう戻れない～")</f>
        <v>20251113_レジンエンターテインメント_ひまわりがささやく季節に～触れたら、もう戻れない～</v>
      </c>
      <c r="T4313" s="22" t="str">
        <f>IFERROR(__xludf.DUMMYFUNCTION("""COMPUTED_VALUE"""),"格納済み")</f>
        <v>格納済み</v>
      </c>
      <c r="U4313" s="9" t="str">
        <f>IFERROR(__xludf.DUMMYFUNCTION("""COMPUTED_VALUE"""),"ⒸAlice Crazy / レジンコミックス")</f>
        <v>ⒸAlice Crazy / レジンコミックス</v>
      </c>
      <c r="V4313" s="8"/>
      <c r="W4313" s="8"/>
      <c r="X4313" s="8" t="str">
        <f>IFERROR(__xludf.DUMMYFUNCTION("""COMPUTED_VALUE"""),"有")</f>
        <v>有</v>
      </c>
      <c r="Y4313" s="8" t="str">
        <f>IFERROR(__xludf.DUMMYFUNCTION("""COMPUTED_VALUE"""),"2026/2/20まで1巻無料")</f>
        <v>2026/2/20まで1巻無料</v>
      </c>
      <c r="Z4313" s="7"/>
      <c r="AA4313" s="7"/>
      <c r="AB4313" s="7"/>
    </row>
    <row r="4314" ht="15.75" customHeight="1">
      <c r="A4314" s="26">
        <f>IFERROR(__xludf.DUMMYFUNCTION("""COMPUTED_VALUE"""),6877.0)</f>
        <v>6877</v>
      </c>
      <c r="B4314" s="22" t="str">
        <f>IFERROR(__xludf.DUMMYFUNCTION("""COMPUTED_VALUE"""),"確定")</f>
        <v>確定</v>
      </c>
      <c r="C4314" s="28">
        <f>IFERROR(__xludf.DUMMYFUNCTION("""COMPUTED_VALUE"""),45974.0)</f>
        <v>45974</v>
      </c>
      <c r="D4314" s="28">
        <f>IFERROR(__xludf.DUMMYFUNCTION("""COMPUTED_VALUE"""),45980.0)</f>
        <v>45980</v>
      </c>
      <c r="E4314" s="26">
        <f>IFERROR(__xludf.DUMMYFUNCTION("""COMPUTED_VALUE"""),344883.0)</f>
        <v>344883</v>
      </c>
      <c r="F4314" s="22" t="str">
        <f>IFERROR(__xludf.DUMMYFUNCTION("""COMPUTED_VALUE"""),"理想郷女子図鑑～私の結婚生活、とっても幸せです～ 分冊版")</f>
        <v>理想郷女子図鑑～私の結婚生活、とっても幸せです～ 分冊版</v>
      </c>
      <c r="G4314" s="20" t="str">
        <f>IFERROR(__xludf.DUMMYFUNCTION("""COMPUTED_VALUE"""),"1～15")</f>
        <v>1～15</v>
      </c>
      <c r="H4314" s="22" t="str">
        <f>IFERROR(__xludf.DUMMYFUNCTION("""COMPUTED_VALUE"""),"江坂純／山田シロ彦")</f>
        <v>江坂純／山田シロ彦</v>
      </c>
      <c r="I4314" s="22" t="str">
        <f>IFERROR(__xludf.DUMMYFUNCTION("""COMPUTED_VALUE"""),"青年マンガ")</f>
        <v>青年マンガ</v>
      </c>
      <c r="J4314" s="22"/>
      <c r="K4314" s="22"/>
      <c r="L4314" s="22" t="str">
        <f>IFERROR(__xludf.DUMMYFUNCTION("""COMPUTED_VALUE"""),"集英社")</f>
        <v>集英社</v>
      </c>
      <c r="M4314" s="33">
        <f>IFERROR(__xludf.DUMMYFUNCTION("""COMPUTED_VALUE"""),46009.0)</f>
        <v>46009</v>
      </c>
      <c r="N4314" s="33">
        <f>IFERROR(__xludf.DUMMYFUNCTION("""COMPUTED_VALUE"""),46099.66666666667)</f>
        <v>46099.66667</v>
      </c>
      <c r="O4314" s="20"/>
      <c r="P4314" s="32" t="str">
        <f>IFERROR(__xludf.DUMMYFUNCTION("""COMPUTED_VALUE"""),"否")</f>
        <v>否</v>
      </c>
      <c r="Q4314" s="30" t="str">
        <f>IFERROR(__xludf.DUMMYFUNCTION("""COMPUTED_VALUE"""),"【アウトバウンド】")</f>
        <v>【アウトバウンド】</v>
      </c>
      <c r="R4314" s="22"/>
      <c r="S4314" s="22" t="str">
        <f>IFERROR(__xludf.DUMMYFUNCTION("""COMPUTED_VALUE"""),"20251113_集英社_理想郷女子図鑑")</f>
        <v>20251113_集英社_理想郷女子図鑑</v>
      </c>
      <c r="T4314" s="22" t="str">
        <f>IFERROR(__xludf.DUMMYFUNCTION("""COMPUTED_VALUE"""),"格納済み")</f>
        <v>格納済み</v>
      </c>
      <c r="U4314" s="9" t="str">
        <f>IFERROR(__xludf.DUMMYFUNCTION("""COMPUTED_VALUE"""),"（C）江坂 純・山田シロ彦／集英社")</f>
        <v>（C）江坂 純・山田シロ彦／集英社</v>
      </c>
      <c r="V4314" s="8"/>
      <c r="W4314" s="8"/>
      <c r="X4314" s="8" t="str">
        <f>IFERROR(__xludf.DUMMYFUNCTION("""COMPUTED_VALUE"""),"有")</f>
        <v>有</v>
      </c>
      <c r="Y4314" s="8" t="str">
        <f>IFERROR(__xludf.DUMMYFUNCTION("""COMPUTED_VALUE"""),"2026/1/17まで1～2巻無料")</f>
        <v>2026/1/17まで1～2巻無料</v>
      </c>
      <c r="Z4314" s="7"/>
      <c r="AA4314" s="7"/>
      <c r="AB4314" s="7"/>
    </row>
    <row r="4315" ht="15.75" customHeight="1">
      <c r="A4315" s="26">
        <f>IFERROR(__xludf.DUMMYFUNCTION("""COMPUTED_VALUE"""),6880.0)</f>
        <v>6880</v>
      </c>
      <c r="B4315" s="22" t="str">
        <f>IFERROR(__xludf.DUMMYFUNCTION("""COMPUTED_VALUE"""),"確定")</f>
        <v>確定</v>
      </c>
      <c r="C4315" s="28">
        <f>IFERROR(__xludf.DUMMYFUNCTION("""COMPUTED_VALUE"""),45975.0)</f>
        <v>45975</v>
      </c>
      <c r="D4315" s="28">
        <f>IFERROR(__xludf.DUMMYFUNCTION("""COMPUTED_VALUE"""),45979.0)</f>
        <v>45979</v>
      </c>
      <c r="E4315" s="26">
        <f>IFERROR(__xludf.DUMMYFUNCTION("""COMPUTED_VALUE"""),343372.0)</f>
        <v>343372</v>
      </c>
      <c r="F4315" s="22" t="str">
        <f>IFERROR(__xludf.DUMMYFUNCTION("""COMPUTED_VALUE"""),"甘噛みマリアージュ【単話版】")</f>
        <v>甘噛みマリアージュ【単話版】</v>
      </c>
      <c r="G4315" s="20" t="str">
        <f>IFERROR(__xludf.DUMMYFUNCTION("""COMPUTED_VALUE"""),"1～6")</f>
        <v>1～6</v>
      </c>
      <c r="H4315" s="22" t="str">
        <f>IFERROR(__xludf.DUMMYFUNCTION("""COMPUTED_VALUE"""),"梅涼／COMIC ROOM")</f>
        <v>梅涼／COMIC ROOM</v>
      </c>
      <c r="I4315" s="22" t="str">
        <f>IFERROR(__xludf.DUMMYFUNCTION("""COMPUTED_VALUE"""),"女性")</f>
        <v>女性</v>
      </c>
      <c r="J4315" s="22"/>
      <c r="K4315" s="22"/>
      <c r="L4315" s="22" t="str">
        <f>IFERROR(__xludf.DUMMYFUNCTION("""COMPUTED_VALUE"""),"コミックルーム")</f>
        <v>コミックルーム</v>
      </c>
      <c r="M4315" s="33">
        <f>IFERROR(__xludf.DUMMYFUNCTION("""COMPUTED_VALUE"""),46006.0)</f>
        <v>46006</v>
      </c>
      <c r="N4315" s="33">
        <f>IFERROR(__xludf.DUMMYFUNCTION("""COMPUTED_VALUE"""),46126.66666666667)</f>
        <v>46126.66667</v>
      </c>
      <c r="O4315" s="20"/>
      <c r="P4315" s="32" t="str">
        <f>IFERROR(__xludf.DUMMYFUNCTION("""COMPUTED_VALUE"""),"可")</f>
        <v>可</v>
      </c>
      <c r="Q4315" s="30" t="str">
        <f>IFERROR(__xludf.DUMMYFUNCTION("""COMPUTED_VALUE"""),"【代理店様へ】Xへの出稿はNGです。X以外の媒体へ出稿をお願いします（河上）")</f>
        <v>【代理店様へ】Xへの出稿はNGです。X以外の媒体へ出稿をお願いします（河上）</v>
      </c>
      <c r="R4315" s="22"/>
      <c r="S4315" s="22" t="str">
        <f>IFERROR(__xludf.DUMMYFUNCTION("""COMPUTED_VALUE"""),"20251114_コミックルーム_甘噛みマリアージュ")</f>
        <v>20251114_コミックルーム_甘噛みマリアージュ</v>
      </c>
      <c r="T4315" s="22" t="str">
        <f>IFERROR(__xludf.DUMMYFUNCTION("""COMPUTED_VALUE"""),"格納済み")</f>
        <v>格納済み</v>
      </c>
      <c r="U4315" s="9" t="str">
        <f>IFERROR(__xludf.DUMMYFUNCTION("""COMPUTED_VALUE"""),"(c)梅涼／COMIC ROOM")</f>
        <v>(c)梅涼／COMIC ROOM</v>
      </c>
      <c r="V4315" s="8"/>
      <c r="W4315" s="8"/>
      <c r="X4315" s="8" t="str">
        <f>IFERROR(__xludf.DUMMYFUNCTION("""COMPUTED_VALUE"""),"有")</f>
        <v>有</v>
      </c>
      <c r="Y4315" s="8" t="str">
        <f>IFERROR(__xludf.DUMMYFUNCTION("""COMPUTED_VALUE"""),"2026/1/14まで1巻無料")</f>
        <v>2026/1/14まで1巻無料</v>
      </c>
      <c r="Z4315" s="7"/>
      <c r="AA4315" s="7"/>
      <c r="AB4315" s="7"/>
    </row>
    <row r="4316" ht="15.75" customHeight="1">
      <c r="A4316" s="26">
        <f>IFERROR(__xludf.DUMMYFUNCTION("""COMPUTED_VALUE"""),6881.0)</f>
        <v>6881</v>
      </c>
      <c r="B4316" s="22" t="str">
        <f>IFERROR(__xludf.DUMMYFUNCTION("""COMPUTED_VALUE"""),"確定")</f>
        <v>確定</v>
      </c>
      <c r="C4316" s="28">
        <f>IFERROR(__xludf.DUMMYFUNCTION("""COMPUTED_VALUE"""),45975.0)</f>
        <v>45975</v>
      </c>
      <c r="D4316" s="28">
        <f>IFERROR(__xludf.DUMMYFUNCTION("""COMPUTED_VALUE"""),45979.0)</f>
        <v>45979</v>
      </c>
      <c r="E4316" s="26">
        <f>IFERROR(__xludf.DUMMYFUNCTION("""COMPUTED_VALUE"""),347004.0)</f>
        <v>347004</v>
      </c>
      <c r="F4316" s="22" t="str">
        <f>IFERROR(__xludf.DUMMYFUNCTION("""COMPUTED_VALUE"""),"叛逆公女〜ご安心なさって。私が全て終わらせますから〜")</f>
        <v>叛逆公女〜ご安心なさって。私が全て終わらせますから〜</v>
      </c>
      <c r="G4316" s="20" t="str">
        <f>IFERROR(__xludf.DUMMYFUNCTION("""COMPUTED_VALUE"""),"1～2")</f>
        <v>1～2</v>
      </c>
      <c r="H4316" s="22" t="str">
        <f>IFERROR(__xludf.DUMMYFUNCTION("""COMPUTED_VALUE"""),"月園アヤネ／COMIC ROOM")</f>
        <v>月園アヤネ／COMIC ROOM</v>
      </c>
      <c r="I4316" s="22" t="str">
        <f>IFERROR(__xludf.DUMMYFUNCTION("""COMPUTED_VALUE"""),"女性")</f>
        <v>女性</v>
      </c>
      <c r="J4316" s="22"/>
      <c r="K4316" s="22"/>
      <c r="L4316" s="22" t="str">
        <f>IFERROR(__xludf.DUMMYFUNCTION("""COMPUTED_VALUE"""),"コミックルーム")</f>
        <v>コミックルーム</v>
      </c>
      <c r="M4316" s="33">
        <f>IFERROR(__xludf.DUMMYFUNCTION("""COMPUTED_VALUE"""),46006.0)</f>
        <v>46006</v>
      </c>
      <c r="N4316" s="33">
        <f>IFERROR(__xludf.DUMMYFUNCTION("""COMPUTED_VALUE"""),46095.0)</f>
        <v>46095</v>
      </c>
      <c r="O4316" s="20"/>
      <c r="P4316" s="32" t="str">
        <f>IFERROR(__xludf.DUMMYFUNCTION("""COMPUTED_VALUE"""),"可")</f>
        <v>可</v>
      </c>
      <c r="Q4316" s="30"/>
      <c r="R4316" s="22"/>
      <c r="S4316" s="22" t="str">
        <f>IFERROR(__xludf.DUMMYFUNCTION("""COMPUTED_VALUE"""),"20251114_コミックルーム_叛逆公女〜ご安心なさって。私が全て終わらせますから〜（略称：叛逆公女）")</f>
        <v>20251114_コミックルーム_叛逆公女〜ご安心なさって。私が全て終わらせますから〜（略称：叛逆公女）</v>
      </c>
      <c r="T4316" s="22" t="str">
        <f>IFERROR(__xludf.DUMMYFUNCTION("""COMPUTED_VALUE"""),"格納済み")</f>
        <v>格納済み</v>
      </c>
      <c r="U4316" s="9" t="str">
        <f>IFERROR(__xludf.DUMMYFUNCTION("""COMPUTED_VALUE"""),"(c)月園アヤネ／COMIC ROOM")</f>
        <v>(c)月園アヤネ／COMIC ROOM</v>
      </c>
      <c r="V4316" s="8"/>
      <c r="W4316" s="8"/>
      <c r="X4316" s="8" t="str">
        <f>IFERROR(__xludf.DUMMYFUNCTION("""COMPUTED_VALUE"""),"有")</f>
        <v>有</v>
      </c>
      <c r="Y4316" s="8" t="str">
        <f>IFERROR(__xludf.DUMMYFUNCTION("""COMPUTED_VALUE"""),"P12まで")</f>
        <v>P12まで</v>
      </c>
      <c r="Z4316" s="7"/>
      <c r="AA4316" s="7"/>
      <c r="AB4316" s="7"/>
    </row>
    <row r="4317" ht="15.75" customHeight="1">
      <c r="A4317" s="26">
        <f>IFERROR(__xludf.DUMMYFUNCTION("""COMPUTED_VALUE"""),6882.0)</f>
        <v>6882</v>
      </c>
      <c r="B4317" s="22" t="str">
        <f>IFERROR(__xludf.DUMMYFUNCTION("""COMPUTED_VALUE"""),"確定")</f>
        <v>確定</v>
      </c>
      <c r="C4317" s="28">
        <f>IFERROR(__xludf.DUMMYFUNCTION("""COMPUTED_VALUE"""),45975.0)</f>
        <v>45975</v>
      </c>
      <c r="D4317" s="28">
        <f>IFERROR(__xludf.DUMMYFUNCTION("""COMPUTED_VALUE"""),45978.0)</f>
        <v>45978</v>
      </c>
      <c r="E4317" s="26">
        <f>IFERROR(__xludf.DUMMYFUNCTION("""COMPUTED_VALUE"""),343369.0)</f>
        <v>343369</v>
      </c>
      <c r="F4317" s="22" t="str">
        <f>IFERROR(__xludf.DUMMYFUNCTION("""COMPUTED_VALUE"""),"まっすぐ令嬢、ひねくれ王子の心を鷲掴みいたしますわ！")</f>
        <v>まっすぐ令嬢、ひねくれ王子の心を鷲掴みいたしますわ！</v>
      </c>
      <c r="G4317" s="20" t="str">
        <f>IFERROR(__xludf.DUMMYFUNCTION("""COMPUTED_VALUE"""),"1～2")</f>
        <v>1～2</v>
      </c>
      <c r="H4317" s="22" t="str">
        <f>IFERROR(__xludf.DUMMYFUNCTION("""COMPUTED_VALUE"""),"鴨鍋ねこ／COMIC ROOM")</f>
        <v>鴨鍋ねこ／COMIC ROOM</v>
      </c>
      <c r="I4317" s="22" t="str">
        <f>IFERROR(__xludf.DUMMYFUNCTION("""COMPUTED_VALUE"""),"女性")</f>
        <v>女性</v>
      </c>
      <c r="J4317" s="22"/>
      <c r="K4317" s="22"/>
      <c r="L4317" s="22" t="str">
        <f>IFERROR(__xludf.DUMMYFUNCTION("""COMPUTED_VALUE"""),"コミックルーム")</f>
        <v>コミックルーム</v>
      </c>
      <c r="M4317" s="33">
        <f>IFERROR(__xludf.DUMMYFUNCTION("""COMPUTED_VALUE"""),46006.0)</f>
        <v>46006</v>
      </c>
      <c r="N4317" s="33">
        <f>IFERROR(__xludf.DUMMYFUNCTION("""COMPUTED_VALUE"""),46095.0)</f>
        <v>46095</v>
      </c>
      <c r="O4317" s="20"/>
      <c r="P4317" s="32" t="str">
        <f>IFERROR(__xludf.DUMMYFUNCTION("""COMPUTED_VALUE"""),"可")</f>
        <v>可</v>
      </c>
      <c r="Q4317" s="30"/>
      <c r="R4317" s="22"/>
      <c r="S4317" s="22" t="str">
        <f>IFERROR(__xludf.DUMMYFUNCTION("""COMPUTED_VALUE"""),"20251114_コミックルーム_まっすぐ令嬢、ひねくれ王子の心を鷲掴みいたしますわ！（略称：お人好し令嬢）")</f>
        <v>20251114_コミックルーム_まっすぐ令嬢、ひねくれ王子の心を鷲掴みいたしますわ！（略称：お人好し令嬢）</v>
      </c>
      <c r="T4317" s="22" t="str">
        <f>IFERROR(__xludf.DUMMYFUNCTION("""COMPUTED_VALUE"""),"格納済み")</f>
        <v>格納済み</v>
      </c>
      <c r="U4317" s="9" t="str">
        <f>IFERROR(__xludf.DUMMYFUNCTION("""COMPUTED_VALUE"""),"(c)鴨鍋ねこ／COMIC ROOM")</f>
        <v>(c)鴨鍋ねこ／COMIC ROOM</v>
      </c>
      <c r="V4317" s="8"/>
      <c r="W4317" s="8"/>
      <c r="X4317" s="8" t="str">
        <f>IFERROR(__xludf.DUMMYFUNCTION("""COMPUTED_VALUE"""),"有")</f>
        <v>有</v>
      </c>
      <c r="Y4317" s="8" t="str">
        <f>IFERROR(__xludf.DUMMYFUNCTION("""COMPUTED_VALUE"""),"P11まで")</f>
        <v>P11まで</v>
      </c>
      <c r="Z4317" s="7"/>
      <c r="AA4317" s="7"/>
      <c r="AB4317" s="7"/>
    </row>
    <row r="4318" ht="15.75" customHeight="1">
      <c r="A4318" s="26">
        <f>IFERROR(__xludf.DUMMYFUNCTION("""COMPUTED_VALUE"""),6883.0)</f>
        <v>6883</v>
      </c>
      <c r="B4318" s="22" t="str">
        <f>IFERROR(__xludf.DUMMYFUNCTION("""COMPUTED_VALUE"""),"確定")</f>
        <v>確定</v>
      </c>
      <c r="C4318" s="28">
        <f>IFERROR(__xludf.DUMMYFUNCTION("""COMPUTED_VALUE"""),45975.0)</f>
        <v>45975</v>
      </c>
      <c r="D4318" s="28">
        <f>IFERROR(__xludf.DUMMYFUNCTION("""COMPUTED_VALUE"""),45978.0)</f>
        <v>45978</v>
      </c>
      <c r="E4318" s="26">
        <f>IFERROR(__xludf.DUMMYFUNCTION("""COMPUTED_VALUE"""),343370.0)</f>
        <v>343370</v>
      </c>
      <c r="F4318" s="22" t="str">
        <f>IFERROR(__xludf.DUMMYFUNCTION("""COMPUTED_VALUE"""),"サトリ令嬢の、予想だにしない人生")</f>
        <v>サトリ令嬢の、予想だにしない人生</v>
      </c>
      <c r="G4318" s="20" t="str">
        <f>IFERROR(__xludf.DUMMYFUNCTION("""COMPUTED_VALUE"""),"1～2")</f>
        <v>1～2</v>
      </c>
      <c r="H4318" s="22" t="str">
        <f>IFERROR(__xludf.DUMMYFUNCTION("""COMPUTED_VALUE"""),"上城たすく／COMIC ROOM")</f>
        <v>上城たすく／COMIC ROOM</v>
      </c>
      <c r="I4318" s="22" t="str">
        <f>IFERROR(__xludf.DUMMYFUNCTION("""COMPUTED_VALUE"""),"女性")</f>
        <v>女性</v>
      </c>
      <c r="J4318" s="22"/>
      <c r="K4318" s="22"/>
      <c r="L4318" s="22" t="str">
        <f>IFERROR(__xludf.DUMMYFUNCTION("""COMPUTED_VALUE"""),"コミックルーム")</f>
        <v>コミックルーム</v>
      </c>
      <c r="M4318" s="33">
        <f>IFERROR(__xludf.DUMMYFUNCTION("""COMPUTED_VALUE"""),46006.0)</f>
        <v>46006</v>
      </c>
      <c r="N4318" s="33">
        <f>IFERROR(__xludf.DUMMYFUNCTION("""COMPUTED_VALUE"""),46095.0)</f>
        <v>46095</v>
      </c>
      <c r="O4318" s="20"/>
      <c r="P4318" s="32" t="str">
        <f>IFERROR(__xludf.DUMMYFUNCTION("""COMPUTED_VALUE"""),"可")</f>
        <v>可</v>
      </c>
      <c r="Q4318" s="30"/>
      <c r="R4318" s="22"/>
      <c r="S4318" s="22" t="str">
        <f>IFERROR(__xludf.DUMMYFUNCTION("""COMPUTED_VALUE"""),"20251114_コミックルーム_サトリ令嬢の、予想だにしない人生（略称：攻略令嬢）")</f>
        <v>20251114_コミックルーム_サトリ令嬢の、予想だにしない人生（略称：攻略令嬢）</v>
      </c>
      <c r="T4318" s="22" t="str">
        <f>IFERROR(__xludf.DUMMYFUNCTION("""COMPUTED_VALUE"""),"格納済み")</f>
        <v>格納済み</v>
      </c>
      <c r="U4318" s="9" t="str">
        <f>IFERROR(__xludf.DUMMYFUNCTION("""COMPUTED_VALUE"""),"(c)上城たすく／COMIC ROOM")</f>
        <v>(c)上城たすく／COMIC ROOM</v>
      </c>
      <c r="V4318" s="8"/>
      <c r="W4318" s="8"/>
      <c r="X4318" s="8" t="str">
        <f>IFERROR(__xludf.DUMMYFUNCTION("""COMPUTED_VALUE"""),"有")</f>
        <v>有</v>
      </c>
      <c r="Y4318" s="8" t="str">
        <f>IFERROR(__xludf.DUMMYFUNCTION("""COMPUTED_VALUE"""),"P14まで")</f>
        <v>P14まで</v>
      </c>
      <c r="Z4318" s="7"/>
      <c r="AA4318" s="7"/>
      <c r="AB4318" s="7"/>
    </row>
    <row r="4319" ht="15.75" customHeight="1">
      <c r="A4319" s="26">
        <f>IFERROR(__xludf.DUMMYFUNCTION("""COMPUTED_VALUE"""),6884.0)</f>
        <v>6884</v>
      </c>
      <c r="B4319" s="22" t="str">
        <f>IFERROR(__xludf.DUMMYFUNCTION("""COMPUTED_VALUE"""),"確定")</f>
        <v>確定</v>
      </c>
      <c r="C4319" s="28">
        <f>IFERROR(__xludf.DUMMYFUNCTION("""COMPUTED_VALUE"""),45975.0)</f>
        <v>45975</v>
      </c>
      <c r="D4319" s="28">
        <f>IFERROR(__xludf.DUMMYFUNCTION("""COMPUTED_VALUE"""),45978.0)</f>
        <v>45978</v>
      </c>
      <c r="E4319" s="26">
        <f>IFERROR(__xludf.DUMMYFUNCTION("""COMPUTED_VALUE"""),343371.0)</f>
        <v>343371</v>
      </c>
      <c r="F4319" s="22" t="str">
        <f>IFERROR(__xludf.DUMMYFUNCTION("""COMPUTED_VALUE"""),"覇妃アレスティア、旦那様を最強王に育成中！")</f>
        <v>覇妃アレスティア、旦那様を最強王に育成中！</v>
      </c>
      <c r="G4319" s="20" t="str">
        <f>IFERROR(__xludf.DUMMYFUNCTION("""COMPUTED_VALUE"""),"1～2")</f>
        <v>1～2</v>
      </c>
      <c r="H4319" s="22" t="str">
        <f>IFERROR(__xludf.DUMMYFUNCTION("""COMPUTED_VALUE"""),"鹿ノ子もよう／COMIC ROOM")</f>
        <v>鹿ノ子もよう／COMIC ROOM</v>
      </c>
      <c r="I4319" s="22" t="str">
        <f>IFERROR(__xludf.DUMMYFUNCTION("""COMPUTED_VALUE"""),"女性")</f>
        <v>女性</v>
      </c>
      <c r="J4319" s="22"/>
      <c r="K4319" s="22"/>
      <c r="L4319" s="22" t="str">
        <f>IFERROR(__xludf.DUMMYFUNCTION("""COMPUTED_VALUE"""),"コミックルーム")</f>
        <v>コミックルーム</v>
      </c>
      <c r="M4319" s="33">
        <f>IFERROR(__xludf.DUMMYFUNCTION("""COMPUTED_VALUE"""),46006.0)</f>
        <v>46006</v>
      </c>
      <c r="N4319" s="33">
        <f>IFERROR(__xludf.DUMMYFUNCTION("""COMPUTED_VALUE"""),46095.0)</f>
        <v>46095</v>
      </c>
      <c r="O4319" s="20"/>
      <c r="P4319" s="32" t="str">
        <f>IFERROR(__xludf.DUMMYFUNCTION("""COMPUTED_VALUE"""),"可")</f>
        <v>可</v>
      </c>
      <c r="Q4319" s="30"/>
      <c r="R4319" s="22"/>
      <c r="S4319" s="22" t="str">
        <f>IFERROR(__xludf.DUMMYFUNCTION("""COMPUTED_VALUE"""),"20251114_コミックルーム_覇妃アレスティア、旦那様を最強王に育成中！（略称：濃姫令嬢）")</f>
        <v>20251114_コミックルーム_覇妃アレスティア、旦那様を最強王に育成中！（略称：濃姫令嬢）</v>
      </c>
      <c r="T4319" s="22" t="str">
        <f>IFERROR(__xludf.DUMMYFUNCTION("""COMPUTED_VALUE"""),"格納済み")</f>
        <v>格納済み</v>
      </c>
      <c r="U4319" s="9" t="str">
        <f>IFERROR(__xludf.DUMMYFUNCTION("""COMPUTED_VALUE"""),"(c)鹿ノ子もよう／COMIC ROOM")</f>
        <v>(c)鹿ノ子もよう／COMIC ROOM</v>
      </c>
      <c r="V4319" s="8"/>
      <c r="W4319" s="8"/>
      <c r="X4319" s="8" t="str">
        <f>IFERROR(__xludf.DUMMYFUNCTION("""COMPUTED_VALUE"""),"有")</f>
        <v>有</v>
      </c>
      <c r="Y4319" s="8" t="str">
        <f>IFERROR(__xludf.DUMMYFUNCTION("""COMPUTED_VALUE"""),"P13まで")</f>
        <v>P13まで</v>
      </c>
      <c r="Z4319" s="7"/>
      <c r="AA4319" s="7"/>
      <c r="AB4319" s="7"/>
    </row>
    <row r="4320" ht="15.75" customHeight="1">
      <c r="A4320" s="26">
        <f>IFERROR(__xludf.DUMMYFUNCTION("""COMPUTED_VALUE"""),6885.0)</f>
        <v>6885</v>
      </c>
      <c r="B4320" s="22" t="str">
        <f>IFERROR(__xludf.DUMMYFUNCTION("""COMPUTED_VALUE"""),"確定")</f>
        <v>確定</v>
      </c>
      <c r="C4320" s="28">
        <f>IFERROR(__xludf.DUMMYFUNCTION("""COMPUTED_VALUE"""),45975.0)</f>
        <v>45975</v>
      </c>
      <c r="D4320" s="28">
        <f>IFERROR(__xludf.DUMMYFUNCTION("""COMPUTED_VALUE"""),45978.0)</f>
        <v>45978</v>
      </c>
      <c r="E4320" s="26">
        <f>IFERROR(__xludf.DUMMYFUNCTION("""COMPUTED_VALUE"""),343864.0)</f>
        <v>343864</v>
      </c>
      <c r="F4320" s="22" t="str">
        <f>IFERROR(__xludf.DUMMYFUNCTION("""COMPUTED_VALUE"""),"全肯定幼馴染が、朝から晩まで私を甘やかしてくるのですが")</f>
        <v>全肯定幼馴染が、朝から晩まで私を甘やかしてくるのですが</v>
      </c>
      <c r="G4320" s="20" t="str">
        <f>IFERROR(__xludf.DUMMYFUNCTION("""COMPUTED_VALUE"""),"1～2")</f>
        <v>1～2</v>
      </c>
      <c r="H4320" s="22" t="str">
        <f>IFERROR(__xludf.DUMMYFUNCTION("""COMPUTED_VALUE"""),"来見田／COMIC ROOM")</f>
        <v>来見田／COMIC ROOM</v>
      </c>
      <c r="I4320" s="22" t="str">
        <f>IFERROR(__xludf.DUMMYFUNCTION("""COMPUTED_VALUE"""),"女性")</f>
        <v>女性</v>
      </c>
      <c r="J4320" s="22"/>
      <c r="K4320" s="22"/>
      <c r="L4320" s="22" t="str">
        <f>IFERROR(__xludf.DUMMYFUNCTION("""COMPUTED_VALUE"""),"コミックルーム")</f>
        <v>コミックルーム</v>
      </c>
      <c r="M4320" s="33">
        <f>IFERROR(__xludf.DUMMYFUNCTION("""COMPUTED_VALUE"""),46006.0)</f>
        <v>46006</v>
      </c>
      <c r="N4320" s="33">
        <f>IFERROR(__xludf.DUMMYFUNCTION("""COMPUTED_VALUE"""),46095.0)</f>
        <v>46095</v>
      </c>
      <c r="O4320" s="20"/>
      <c r="P4320" s="32" t="str">
        <f>IFERROR(__xludf.DUMMYFUNCTION("""COMPUTED_VALUE"""),"可")</f>
        <v>可</v>
      </c>
      <c r="Q4320" s="30"/>
      <c r="R4320" s="22"/>
      <c r="S4320" s="22" t="str">
        <f>IFERROR(__xludf.DUMMYFUNCTION("""COMPUTED_VALUE"""),"20251114_コミックルーム_全肯定幼馴染が、朝から晩まで私を甘やかしてくるのですが（略称：浮気を目撃した令嬢）")</f>
        <v>20251114_コミックルーム_全肯定幼馴染が、朝から晩まで私を甘やかしてくるのですが（略称：浮気を目撃した令嬢）</v>
      </c>
      <c r="T4320" s="22" t="str">
        <f>IFERROR(__xludf.DUMMYFUNCTION("""COMPUTED_VALUE"""),"格納済み")</f>
        <v>格納済み</v>
      </c>
      <c r="U4320" s="9" t="str">
        <f>IFERROR(__xludf.DUMMYFUNCTION("""COMPUTED_VALUE"""),"(c)来見田／COMIC ROOM")</f>
        <v>(c)来見田／COMIC ROOM</v>
      </c>
      <c r="V4320" s="8"/>
      <c r="W4320" s="8"/>
      <c r="X4320" s="8" t="str">
        <f>IFERROR(__xludf.DUMMYFUNCTION("""COMPUTED_VALUE"""),"有")</f>
        <v>有</v>
      </c>
      <c r="Y4320" s="8" t="str">
        <f>IFERROR(__xludf.DUMMYFUNCTION("""COMPUTED_VALUE"""),"P11まで")</f>
        <v>P11まで</v>
      </c>
      <c r="Z4320" s="7"/>
      <c r="AA4320" s="7"/>
      <c r="AB4320" s="7"/>
    </row>
    <row r="4321" ht="15.75" customHeight="1">
      <c r="A4321" s="26">
        <f>IFERROR(__xludf.DUMMYFUNCTION("""COMPUTED_VALUE"""),6892.0)</f>
        <v>6892</v>
      </c>
      <c r="B4321" s="22" t="str">
        <f>IFERROR(__xludf.DUMMYFUNCTION("""COMPUTED_VALUE"""),"確定")</f>
        <v>確定</v>
      </c>
      <c r="C4321" s="28">
        <f>IFERROR(__xludf.DUMMYFUNCTION("""COMPUTED_VALUE"""),45978.0)</f>
        <v>45978</v>
      </c>
      <c r="D4321" s="28">
        <f>IFERROR(__xludf.DUMMYFUNCTION("""COMPUTED_VALUE"""),45979.0)</f>
        <v>45979</v>
      </c>
      <c r="E4321" s="26">
        <f>IFERROR(__xludf.DUMMYFUNCTION("""COMPUTED_VALUE"""),343826.0)</f>
        <v>343826</v>
      </c>
      <c r="F4321" s="22" t="str">
        <f>IFERROR(__xludf.DUMMYFUNCTION("""COMPUTED_VALUE"""),"クリ営業～アイドルちゃんはかわいそう～（分冊版）")</f>
        <v>クリ営業～アイドルちゃんはかわいそう～（分冊版）</v>
      </c>
      <c r="G4321" s="20" t="str">
        <f>IFERROR(__xludf.DUMMYFUNCTION("""COMPUTED_VALUE"""),"1～6")</f>
        <v>1～6</v>
      </c>
      <c r="H4321" s="22" t="str">
        <f>IFERROR(__xludf.DUMMYFUNCTION("""COMPUTED_VALUE"""),"七崎")</f>
        <v>七崎</v>
      </c>
      <c r="I4321" s="22" t="str">
        <f>IFERROR(__xludf.DUMMYFUNCTION("""COMPUTED_VALUE"""),"アダルト")</f>
        <v>アダルト</v>
      </c>
      <c r="J4321" s="22"/>
      <c r="K4321" s="22"/>
      <c r="L4321" s="22" t="str">
        <f>IFERROR(__xludf.DUMMYFUNCTION("""COMPUTED_VALUE"""),"ライトリーズン")</f>
        <v>ライトリーズン</v>
      </c>
      <c r="M4321" s="33">
        <f>IFERROR(__xludf.DUMMYFUNCTION("""COMPUTED_VALUE"""),46011.0)</f>
        <v>46011</v>
      </c>
      <c r="N4321" s="33">
        <f>IFERROR(__xludf.DUMMYFUNCTION("""COMPUTED_VALUE"""),46100.0)</f>
        <v>46100</v>
      </c>
      <c r="O4321" s="20"/>
      <c r="P4321" s="32" t="str">
        <f>IFERROR(__xludf.DUMMYFUNCTION("""COMPUTED_VALUE"""),"可")</f>
        <v>可</v>
      </c>
      <c r="Q4321" s="30"/>
      <c r="R4321" s="22"/>
      <c r="S4321" s="22" t="str">
        <f>IFERROR(__xludf.DUMMYFUNCTION("""COMPUTED_VALUE"""),"20251117_ライトリーズン_クリ営業")</f>
        <v>20251117_ライトリーズン_クリ営業</v>
      </c>
      <c r="T4321" s="22" t="str">
        <f>IFERROR(__xludf.DUMMYFUNCTION("""COMPUTED_VALUE"""),"格納済み")</f>
        <v>格納済み</v>
      </c>
      <c r="U4321" s="9" t="str">
        <f>IFERROR(__xludf.DUMMYFUNCTION("""COMPUTED_VALUE"""),"(C)七崎/ライトリーズン")</f>
        <v>(C)七崎/ライトリーズン</v>
      </c>
      <c r="V4321" s="8"/>
      <c r="W4321" s="8"/>
      <c r="X4321" s="8" t="str">
        <f>IFERROR(__xludf.DUMMYFUNCTION("""COMPUTED_VALUE"""),"有")</f>
        <v>有</v>
      </c>
      <c r="Y4321" s="8" t="str">
        <f>IFERROR(__xludf.DUMMYFUNCTION("""COMPUTED_VALUE"""),"P5まで")</f>
        <v>P5まで</v>
      </c>
      <c r="Z4321" s="7"/>
      <c r="AA4321" s="7"/>
      <c r="AB4321" s="7"/>
    </row>
    <row r="4322" ht="15.75" customHeight="1">
      <c r="A4322" s="26">
        <f>IFERROR(__xludf.DUMMYFUNCTION("""COMPUTED_VALUE"""),6894.0)</f>
        <v>6894</v>
      </c>
      <c r="B4322" s="22" t="str">
        <f>IFERROR(__xludf.DUMMYFUNCTION("""COMPUTED_VALUE"""),"確定")</f>
        <v>確定</v>
      </c>
      <c r="C4322" s="28">
        <f>IFERROR(__xludf.DUMMYFUNCTION("""COMPUTED_VALUE"""),45978.0)</f>
        <v>45978</v>
      </c>
      <c r="D4322" s="28">
        <f>IFERROR(__xludf.DUMMYFUNCTION("""COMPUTED_VALUE"""),45979.0)</f>
        <v>45979</v>
      </c>
      <c r="E4322" s="26">
        <f>IFERROR(__xludf.DUMMYFUNCTION("""COMPUTED_VALUE"""),305251.0)</f>
        <v>305251</v>
      </c>
      <c r="F4322" s="22" t="str">
        <f>IFERROR(__xludf.DUMMYFUNCTION("""COMPUTED_VALUE"""),"ふしだらな花摘み男")</f>
        <v>ふしだらな花摘み男</v>
      </c>
      <c r="G4322" s="20" t="str">
        <f>IFERROR(__xludf.DUMMYFUNCTION("""COMPUTED_VALUE"""),"1～5")</f>
        <v>1～5</v>
      </c>
      <c r="H4322" s="22" t="str">
        <f>IFERROR(__xludf.DUMMYFUNCTION("""COMPUTED_VALUE"""),"鈴代")</f>
        <v>鈴代</v>
      </c>
      <c r="I4322" s="22" t="str">
        <f>IFERROR(__xludf.DUMMYFUNCTION("""COMPUTED_VALUE"""),"BLマンガ")</f>
        <v>BLマンガ</v>
      </c>
      <c r="J4322" s="22"/>
      <c r="K4322" s="22" t="str">
        <f>IFERROR(__xludf.DUMMYFUNCTION("""COMPUTED_VALUE"""),"Ficus")</f>
        <v>Ficus</v>
      </c>
      <c r="L4322" s="22" t="str">
        <f>IFERROR(__xludf.DUMMYFUNCTION("""COMPUTED_VALUE"""),"シーモアコミックス")</f>
        <v>シーモアコミックス</v>
      </c>
      <c r="M4322" s="33">
        <f>IFERROR(__xludf.DUMMYFUNCTION("""COMPUTED_VALUE"""),46018.0)</f>
        <v>46018</v>
      </c>
      <c r="N4322" s="33">
        <f>IFERROR(__xludf.DUMMYFUNCTION("""COMPUTED_VALUE"""),2958465.0)</f>
        <v>2958465</v>
      </c>
      <c r="O4322" s="20"/>
      <c r="P4322" s="32" t="str">
        <f>IFERROR(__xludf.DUMMYFUNCTION("""COMPUTED_VALUE"""),"可")</f>
        <v>可</v>
      </c>
      <c r="Q4322" s="30"/>
      <c r="R4322" s="22"/>
      <c r="S4322" s="22" t="str">
        <f>IFERROR(__xludf.DUMMYFUNCTION("""COMPUTED_VALUE"""),"20251117_シーモアコミックス_ふしだらな花摘み男")</f>
        <v>20251117_シーモアコミックス_ふしだらな花摘み男</v>
      </c>
      <c r="T4322" s="22" t="str">
        <f>IFERROR(__xludf.DUMMYFUNCTION("""COMPUTED_VALUE"""),"格納済み")</f>
        <v>格納済み</v>
      </c>
      <c r="U4322" s="9" t="str">
        <f>IFERROR(__xludf.DUMMYFUNCTION("""COMPUTED_VALUE"""),"(C) 鈴代/シーモアコミックス")</f>
        <v>(C) 鈴代/シーモアコミックス</v>
      </c>
      <c r="V4322" s="8"/>
      <c r="W4322" s="8"/>
      <c r="X4322" s="8" t="str">
        <f>IFERROR(__xludf.DUMMYFUNCTION("""COMPUTED_VALUE"""),"有")</f>
        <v>有</v>
      </c>
      <c r="Y4322" s="8" t="str">
        <f>IFERROR(__xludf.DUMMYFUNCTION("""COMPUTED_VALUE"""),"2026/1/23まで1巻無料")</f>
        <v>2026/1/23まで1巻無料</v>
      </c>
      <c r="Z4322" s="7"/>
      <c r="AA4322" s="7"/>
      <c r="AB4322" s="7"/>
    </row>
    <row r="4323" ht="15.75" customHeight="1">
      <c r="A4323" s="26">
        <f>IFERROR(__xludf.DUMMYFUNCTION("""COMPUTED_VALUE"""),6898.0)</f>
        <v>6898</v>
      </c>
      <c r="B4323" s="22" t="str">
        <f>IFERROR(__xludf.DUMMYFUNCTION("""COMPUTED_VALUE"""),"確定")</f>
        <v>確定</v>
      </c>
      <c r="C4323" s="28">
        <f>IFERROR(__xludf.DUMMYFUNCTION("""COMPUTED_VALUE"""),45978.0)</f>
        <v>45978</v>
      </c>
      <c r="D4323" s="28">
        <f>IFERROR(__xludf.DUMMYFUNCTION("""COMPUTED_VALUE"""),45979.0)</f>
        <v>45979</v>
      </c>
      <c r="E4323" s="26">
        <f>IFERROR(__xludf.DUMMYFUNCTION("""COMPUTED_VALUE"""),332988.0)</f>
        <v>332988</v>
      </c>
      <c r="F4323" s="22" t="str">
        <f>IFERROR(__xludf.DUMMYFUNCTION("""COMPUTED_VALUE"""),"うらはらマリッジ")</f>
        <v>うらはらマリッジ</v>
      </c>
      <c r="G4323" s="20" t="str">
        <f>IFERROR(__xludf.DUMMYFUNCTION("""COMPUTED_VALUE"""),"1～3")</f>
        <v>1～3</v>
      </c>
      <c r="H4323" s="22" t="str">
        <f>IFERROR(__xludf.DUMMYFUNCTION("""COMPUTED_VALUE"""),"夕のぞむ")</f>
        <v>夕のぞむ</v>
      </c>
      <c r="I4323" s="22" t="str">
        <f>IFERROR(__xludf.DUMMYFUNCTION("""COMPUTED_VALUE"""),"少女マンガ")</f>
        <v>少女マンガ</v>
      </c>
      <c r="J4323" s="22"/>
      <c r="K4323" s="22" t="str">
        <f>IFERROR(__xludf.DUMMYFUNCTION("""COMPUTED_VALUE"""),"恋するソワレ")</f>
        <v>恋するソワレ</v>
      </c>
      <c r="L4323" s="22" t="str">
        <f>IFERROR(__xludf.DUMMYFUNCTION("""COMPUTED_VALUE"""),"シーモアコミックス")</f>
        <v>シーモアコミックス</v>
      </c>
      <c r="M4323" s="33">
        <f>IFERROR(__xludf.DUMMYFUNCTION("""COMPUTED_VALUE"""),46025.0)</f>
        <v>46025</v>
      </c>
      <c r="N4323" s="33">
        <f>IFERROR(__xludf.DUMMYFUNCTION("""COMPUTED_VALUE"""),46177.66666666667)</f>
        <v>46177.66667</v>
      </c>
      <c r="O4323" s="20"/>
      <c r="P4323" s="32" t="str">
        <f>IFERROR(__xludf.DUMMYFUNCTION("""COMPUTED_VALUE"""),"可")</f>
        <v>可</v>
      </c>
      <c r="Q4323" s="30"/>
      <c r="R4323" s="22"/>
      <c r="S4323" s="22" t="str">
        <f>IFERROR(__xludf.DUMMYFUNCTION("""COMPUTED_VALUE"""),"20251117_シーモアコミックス_うらはらマリッジ")</f>
        <v>20251117_シーモアコミックス_うらはらマリッジ</v>
      </c>
      <c r="T4323" s="22" t="str">
        <f>IFERROR(__xludf.DUMMYFUNCTION("""COMPUTED_VALUE"""),"格納済み")</f>
        <v>格納済み</v>
      </c>
      <c r="U4323" s="9" t="str">
        <f>IFERROR(__xludf.DUMMYFUNCTION("""COMPUTED_VALUE"""),"(C) 夕のぞむ/シーモアコミックス")</f>
        <v>(C) 夕のぞむ/シーモアコミックス</v>
      </c>
      <c r="V4323" s="8"/>
      <c r="W4323" s="8"/>
      <c r="X4323" s="8" t="str">
        <f>IFERROR(__xludf.DUMMYFUNCTION("""COMPUTED_VALUE"""),"有")</f>
        <v>有</v>
      </c>
      <c r="Y4323" s="8" t="str">
        <f>IFERROR(__xludf.DUMMYFUNCTION("""COMPUTED_VALUE"""),"P15まで")</f>
        <v>P15まで</v>
      </c>
      <c r="Z4323" s="7"/>
      <c r="AA4323" s="7"/>
      <c r="AB4323" s="7"/>
    </row>
    <row r="4324" ht="15.75" customHeight="1">
      <c r="A4324" s="26">
        <f>IFERROR(__xludf.DUMMYFUNCTION("""COMPUTED_VALUE"""),5606.0)</f>
        <v>5606</v>
      </c>
      <c r="B4324" s="22" t="str">
        <f>IFERROR(__xludf.DUMMYFUNCTION("""COMPUTED_VALUE"""),"確定")</f>
        <v>確定</v>
      </c>
      <c r="C4324" s="28">
        <f>IFERROR(__xludf.DUMMYFUNCTION("""COMPUTED_VALUE"""),45790.0)</f>
        <v>45790</v>
      </c>
      <c r="D4324" s="28">
        <f>IFERROR(__xludf.DUMMYFUNCTION("""COMPUTED_VALUE"""),45986.0)</f>
        <v>45986</v>
      </c>
      <c r="E4324" s="26">
        <f>IFERROR(__xludf.DUMMYFUNCTION("""COMPUTED_VALUE"""),340133.0)</f>
        <v>340133</v>
      </c>
      <c r="F4324" s="22" t="str">
        <f>IFERROR(__xludf.DUMMYFUNCTION("""COMPUTED_VALUE"""),"日給10万の結婚 【分冊版】")</f>
        <v>日給10万の結婚 【分冊版】</v>
      </c>
      <c r="G4324" s="20" t="str">
        <f>IFERROR(__xludf.DUMMYFUNCTION("""COMPUTED_VALUE"""),"1～4")</f>
        <v>1～4</v>
      </c>
      <c r="H4324" s="22" t="str">
        <f>IFERROR(__xludf.DUMMYFUNCTION("""COMPUTED_VALUE"""),"原作：橘しづき 作画：久我山ぼん")</f>
        <v>原作：橘しづき 作画：久我山ぼん</v>
      </c>
      <c r="I4324" s="22" t="str">
        <f>IFERROR(__xludf.DUMMYFUNCTION("""COMPUTED_VALUE"""),"女性")</f>
        <v>女性</v>
      </c>
      <c r="J4324" s="22"/>
      <c r="K4324" s="22"/>
      <c r="L4324" s="22" t="str">
        <f>IFERROR(__xludf.DUMMYFUNCTION("""COMPUTED_VALUE"""),"U-NEXT")</f>
        <v>U-NEXT</v>
      </c>
      <c r="M4324" s="33">
        <f>IFERROR(__xludf.DUMMYFUNCTION("""COMPUTED_VALUE"""),45992.0)</f>
        <v>45992</v>
      </c>
      <c r="N4324" s="33">
        <f>IFERROR(__xludf.DUMMYFUNCTION("""COMPUTED_VALUE"""),46112.0)</f>
        <v>46112</v>
      </c>
      <c r="O4324" s="20"/>
      <c r="P4324" s="32" t="str">
        <f>IFERROR(__xludf.DUMMYFUNCTION("""COMPUTED_VALUE"""),"否")</f>
        <v>否</v>
      </c>
      <c r="Q4324" s="30"/>
      <c r="R4324" s="22" t="str">
        <f>IFERROR(__xludf.DUMMYFUNCTION("""COMPUTED_VALUE"""),"コミットOK")</f>
        <v>コミットOK</v>
      </c>
      <c r="S4324" s="22" t="str">
        <f>IFERROR(__xludf.DUMMYFUNCTION("""COMPUTED_VALUE"""),"20251121_U-NEXT_日給10万の結婚 【分冊版】")</f>
        <v>20251121_U-NEXT_日給10万の結婚 【分冊版】</v>
      </c>
      <c r="T4324" s="22" t="str">
        <f>IFERROR(__xludf.DUMMYFUNCTION("""COMPUTED_VALUE"""),"格納済み")</f>
        <v>格納済み</v>
      </c>
      <c r="U4324" s="9" t="str">
        <f>IFERROR(__xludf.DUMMYFUNCTION("""COMPUTED_VALUE"""),"Ⓒ久我山ぼん・橘しづき（エブリスタ）／U-NEXT")</f>
        <v>Ⓒ久我山ぼん・橘しづき（エブリスタ）／U-NEXT</v>
      </c>
      <c r="V4324" s="8"/>
      <c r="W4324" s="8"/>
      <c r="X4324" s="8" t="str">
        <f>IFERROR(__xludf.DUMMYFUNCTION("""COMPUTED_VALUE"""),"有")</f>
        <v>有</v>
      </c>
      <c r="Y4324" s="8" t="str">
        <f>IFERROR(__xludf.DUMMYFUNCTION("""COMPUTED_VALUE"""),"2025/12/14まで1巻無料")</f>
        <v>2025/12/14まで1巻無料</v>
      </c>
      <c r="Z4324" s="7"/>
      <c r="AA4324" s="7"/>
      <c r="AB4324" s="7"/>
    </row>
    <row r="4325" ht="15.75" customHeight="1">
      <c r="A4325" s="26">
        <f>IFERROR(__xludf.DUMMYFUNCTION("""COMPUTED_VALUE"""),5668.0)</f>
        <v>5668</v>
      </c>
      <c r="B4325" s="22" t="str">
        <f>IFERROR(__xludf.DUMMYFUNCTION("""COMPUTED_VALUE"""),"確定")</f>
        <v>確定</v>
      </c>
      <c r="C4325" s="28">
        <f>IFERROR(__xludf.DUMMYFUNCTION("""COMPUTED_VALUE"""),45804.0)</f>
        <v>45804</v>
      </c>
      <c r="D4325" s="28">
        <f>IFERROR(__xludf.DUMMYFUNCTION("""COMPUTED_VALUE"""),45987.0)</f>
        <v>45987</v>
      </c>
      <c r="E4325" s="26">
        <f>IFERROR(__xludf.DUMMYFUNCTION("""COMPUTED_VALUE"""),344879.0)</f>
        <v>344879</v>
      </c>
      <c r="F4325" s="22" t="str">
        <f>IFERROR(__xludf.DUMMYFUNCTION("""COMPUTED_VALUE"""),"【単話版】臆病公爵と人見知り令嬢の婚約")</f>
        <v>【単話版】臆病公爵と人見知り令嬢の婚約</v>
      </c>
      <c r="G4325" s="20" t="str">
        <f>IFERROR(__xludf.DUMMYFUNCTION("""COMPUTED_VALUE"""),"1～3")</f>
        <v>1～3</v>
      </c>
      <c r="H4325" s="22" t="str">
        <f>IFERROR(__xludf.DUMMYFUNCTION("""COMPUTED_VALUE"""),"原作：さとう/作画：もりとおる")</f>
        <v>原作：さとう/作画：もりとおる</v>
      </c>
      <c r="I4325" s="22" t="str">
        <f>IFERROR(__xludf.DUMMYFUNCTION("""COMPUTED_VALUE"""),"女性")</f>
        <v>女性</v>
      </c>
      <c r="J4325" s="22"/>
      <c r="K4325" s="22"/>
      <c r="L4325" s="22" t="str">
        <f>IFERROR(__xludf.DUMMYFUNCTION("""COMPUTED_VALUE"""),"新潮社")</f>
        <v>新潮社</v>
      </c>
      <c r="M4325" s="33">
        <f>IFERROR(__xludf.DUMMYFUNCTION("""COMPUTED_VALUE"""),46016.0)</f>
        <v>46016</v>
      </c>
      <c r="N4325" s="33">
        <f>IFERROR(__xludf.DUMMYFUNCTION("""COMPUTED_VALUE"""),46386.0)</f>
        <v>46386</v>
      </c>
      <c r="O4325" s="20"/>
      <c r="P4325" s="32" t="str">
        <f>IFERROR(__xludf.DUMMYFUNCTION("""COMPUTED_VALUE"""),"可")</f>
        <v>可</v>
      </c>
      <c r="Q4325" s="30"/>
      <c r="R4325" s="22" t="str">
        <f>IFERROR(__xludf.DUMMYFUNCTION("""COMPUTED_VALUE"""),"コミットOK")</f>
        <v>コミットOK</v>
      </c>
      <c r="S4325" s="22" t="str">
        <f>IFERROR(__xludf.DUMMYFUNCTION("""COMPUTED_VALUE"""),"20251119_新潮社_【単話版】臆病公爵と人見知り令嬢の婚約")</f>
        <v>20251119_新潮社_【単話版】臆病公爵と人見知り令嬢の婚約</v>
      </c>
      <c r="T4325" s="22" t="str">
        <f>IFERROR(__xludf.DUMMYFUNCTION("""COMPUTED_VALUE"""),"格納済み")</f>
        <v>格納済み</v>
      </c>
      <c r="U4325" s="9" t="str">
        <f>IFERROR(__xludf.DUMMYFUNCTION("""COMPUTED_VALUE"""),"Ⓒさとう もりとおる／新潮社")</f>
        <v>Ⓒさとう もりとおる／新潮社</v>
      </c>
      <c r="V4325" s="8"/>
      <c r="W4325" s="8"/>
      <c r="X4325" s="8" t="str">
        <f>IFERROR(__xludf.DUMMYFUNCTION("""COMPUTED_VALUE"""),"有")</f>
        <v>有</v>
      </c>
      <c r="Y4325" s="8" t="str">
        <f>IFERROR(__xludf.DUMMYFUNCTION("""COMPUTED_VALUE"""),"2026/3/31まで1巻無料")</f>
        <v>2026/3/31まで1巻無料</v>
      </c>
      <c r="Z4325" s="7"/>
      <c r="AA4325" s="7"/>
      <c r="AB4325" s="7"/>
    </row>
    <row r="4326" ht="15.75" customHeight="1">
      <c r="A4326" s="26">
        <f>IFERROR(__xludf.DUMMYFUNCTION("""COMPUTED_VALUE"""),6528.0)</f>
        <v>6528</v>
      </c>
      <c r="B4326" s="22" t="str">
        <f>IFERROR(__xludf.DUMMYFUNCTION("""COMPUTED_VALUE"""),"確定")</f>
        <v>確定</v>
      </c>
      <c r="C4326" s="28">
        <f>IFERROR(__xludf.DUMMYFUNCTION("""COMPUTED_VALUE"""),45919.0)</f>
        <v>45919</v>
      </c>
      <c r="D4326" s="28">
        <f>IFERROR(__xludf.DUMMYFUNCTION("""COMPUTED_VALUE"""),45986.0)</f>
        <v>45986</v>
      </c>
      <c r="E4326" s="26">
        <f>IFERROR(__xludf.DUMMYFUNCTION("""COMPUTED_VALUE"""),343855.0)</f>
        <v>343855</v>
      </c>
      <c r="F4326" s="22" t="str">
        <f>IFERROR(__xludf.DUMMYFUNCTION("""COMPUTED_VALUE"""),"やさぐれ召喚者は動かない【分冊版】（コミック）")</f>
        <v>やさぐれ召喚者は動かない【分冊版】（コミック）</v>
      </c>
      <c r="G4326" s="20" t="str">
        <f>IFERROR(__xludf.DUMMYFUNCTION("""COMPUTED_VALUE"""),"1～3")</f>
        <v>1～3</v>
      </c>
      <c r="H4326" s="22" t="str">
        <f>IFERROR(__xludf.DUMMYFUNCTION("""COMPUTED_VALUE"""),"そらモチ  吉岡剛  くろぎり")</f>
        <v>そらモチ  吉岡剛  くろぎり</v>
      </c>
      <c r="I4326" s="22" t="str">
        <f>IFERROR(__xludf.DUMMYFUNCTION("""COMPUTED_VALUE"""),"少年")</f>
        <v>少年</v>
      </c>
      <c r="J4326" s="22"/>
      <c r="K4326" s="22"/>
      <c r="L4326" s="22" t="str">
        <f>IFERROR(__xludf.DUMMYFUNCTION("""COMPUTED_VALUE"""),"SBクリエイティブ")</f>
        <v>SBクリエイティブ</v>
      </c>
      <c r="M4326" s="33">
        <f>IFERROR(__xludf.DUMMYFUNCTION("""COMPUTED_VALUE"""),46010.0)</f>
        <v>46010</v>
      </c>
      <c r="N4326" s="33">
        <f>IFERROR(__xludf.DUMMYFUNCTION("""COMPUTED_VALUE"""),46099.0)</f>
        <v>46099</v>
      </c>
      <c r="O4326" s="20"/>
      <c r="P4326" s="32" t="str">
        <f>IFERROR(__xludf.DUMMYFUNCTION("""COMPUTED_VALUE"""),"可")</f>
        <v>可</v>
      </c>
      <c r="Q4326" s="30"/>
      <c r="R4326" s="22" t="str">
        <f>IFERROR(__xludf.DUMMYFUNCTION("""COMPUTED_VALUE"""),"コミットOK")</f>
        <v>コミットOK</v>
      </c>
      <c r="S4326" s="22" t="str">
        <f>IFERROR(__xludf.DUMMYFUNCTION("""COMPUTED_VALUE"""),"20251125_SBクリエイティブ_やさぐれ召喚者は動かない【分冊版】（コミック）")</f>
        <v>20251125_SBクリエイティブ_やさぐれ召喚者は動かない【分冊版】（コミック）</v>
      </c>
      <c r="T4326" s="22" t="str">
        <f>IFERROR(__xludf.DUMMYFUNCTION("""COMPUTED_VALUE"""),"格納済み")</f>
        <v>格納済み</v>
      </c>
      <c r="U4326" s="9" t="str">
        <f>IFERROR(__xludf.DUMMYFUNCTION("""COMPUTED_VALUE"""),"(C)そらモチ・吉岡 剛/SB Creative Corp.")</f>
        <v>(C)そらモチ・吉岡 剛/SB Creative Corp.</v>
      </c>
      <c r="V4326" s="8"/>
      <c r="W4326" s="8"/>
      <c r="X4326" s="8" t="str">
        <f>IFERROR(__xludf.DUMMYFUNCTION("""COMPUTED_VALUE"""),"有")</f>
        <v>有</v>
      </c>
      <c r="Y4326" s="8" t="str">
        <f>IFERROR(__xludf.DUMMYFUNCTION("""COMPUTED_VALUE"""),"1巻無料")</f>
        <v>1巻無料</v>
      </c>
      <c r="Z4326" s="7"/>
      <c r="AA4326" s="7"/>
      <c r="AB4326" s="7"/>
    </row>
    <row r="4327" ht="15.75" customHeight="1">
      <c r="A4327" s="26">
        <f>IFERROR(__xludf.DUMMYFUNCTION("""COMPUTED_VALUE"""),6683.0)</f>
        <v>6683</v>
      </c>
      <c r="B4327" s="22" t="str">
        <f>IFERROR(__xludf.DUMMYFUNCTION("""COMPUTED_VALUE"""),"確定")</f>
        <v>確定</v>
      </c>
      <c r="C4327" s="28">
        <f>IFERROR(__xludf.DUMMYFUNCTION("""COMPUTED_VALUE"""),45947.0)</f>
        <v>45947</v>
      </c>
      <c r="D4327" s="28">
        <f>IFERROR(__xludf.DUMMYFUNCTION("""COMPUTED_VALUE"""),45986.0)</f>
        <v>45986</v>
      </c>
      <c r="E4327" s="26">
        <f>IFERROR(__xludf.DUMMYFUNCTION("""COMPUTED_VALUE"""),344515.0)</f>
        <v>344515</v>
      </c>
      <c r="F4327" s="22" t="str">
        <f>IFERROR(__xludf.DUMMYFUNCTION("""COMPUTED_VALUE"""),"秘密で赤ちゃんを産んだら、強引社長が溺愛パパになりました【分冊版】")</f>
        <v>秘密で赤ちゃんを産んだら、強引社長が溺愛パパになりました【分冊版】</v>
      </c>
      <c r="G4327" s="20" t="str">
        <f>IFERROR(__xludf.DUMMYFUNCTION("""COMPUTED_VALUE"""),"1～3")</f>
        <v>1～3</v>
      </c>
      <c r="H4327" s="22" t="str">
        <f>IFERROR(__xludf.DUMMYFUNCTION("""COMPUTED_VALUE"""),"月城マリ, 椋本梨戸")</f>
        <v>月城マリ, 椋本梨戸</v>
      </c>
      <c r="I4327" s="22" t="str">
        <f>IFERROR(__xludf.DUMMYFUNCTION("""COMPUTED_VALUE"""),"女性")</f>
        <v>女性</v>
      </c>
      <c r="J4327" s="22"/>
      <c r="K4327" s="22" t="str">
        <f>IFERROR(__xludf.DUMMYFUNCTION("""COMPUTED_VALUE"""),"マーマレードコミックス")</f>
        <v>マーマレードコミックス</v>
      </c>
      <c r="L4327" s="22" t="str">
        <f>IFERROR(__xludf.DUMMYFUNCTION("""COMPUTED_VALUE"""),"ハーパーコリンズ・ジャパン")</f>
        <v>ハーパーコリンズ・ジャパン</v>
      </c>
      <c r="M4327" s="33">
        <f>IFERROR(__xludf.DUMMYFUNCTION("""COMPUTED_VALUE"""),46010.0)</f>
        <v>46010</v>
      </c>
      <c r="N4327" s="33">
        <f>IFERROR(__xludf.DUMMYFUNCTION("""COMPUTED_VALUE"""),46128.66666666667)</f>
        <v>46128.66667</v>
      </c>
      <c r="O4327" s="20"/>
      <c r="P4327" s="32" t="str">
        <f>IFERROR(__xludf.DUMMYFUNCTION("""COMPUTED_VALUE"""),"可")</f>
        <v>可</v>
      </c>
      <c r="Q4327" s="30"/>
      <c r="R4327" s="22" t="str">
        <f>IFERROR(__xludf.DUMMYFUNCTION("""COMPUTED_VALUE"""),"コミットOK")</f>
        <v>コミットOK</v>
      </c>
      <c r="S4327" s="22" t="str">
        <f>IFERROR(__xludf.DUMMYFUNCTION("""COMPUTED_VALUE"""),"20251120_ハーパーコリンズ・ジャパン_秘密で赤ちゃんを産んだら、強引社長が溺愛パパになりました【分冊版】")</f>
        <v>20251120_ハーパーコリンズ・ジャパン_秘密で赤ちゃんを産んだら、強引社長が溺愛パパになりました【分冊版】</v>
      </c>
      <c r="T4327" s="22" t="str">
        <f>IFERROR(__xludf.DUMMYFUNCTION("""COMPUTED_VALUE"""),"格納済み")</f>
        <v>格納済み</v>
      </c>
      <c r="U4327" s="9" t="str">
        <f>IFERROR(__xludf.DUMMYFUNCTION("""COMPUTED_VALUE"""),"Ⓒ月城マリ・椋本梨戸／ハーパーコリンズ・ジャパン")</f>
        <v>Ⓒ月城マリ・椋本梨戸／ハーパーコリンズ・ジャパン</v>
      </c>
      <c r="V4327" s="8"/>
      <c r="W4327" s="8"/>
      <c r="X4327" s="8" t="str">
        <f>IFERROR(__xludf.DUMMYFUNCTION("""COMPUTED_VALUE"""),"有")</f>
        <v>有</v>
      </c>
      <c r="Y4327" s="8" t="str">
        <f>IFERROR(__xludf.DUMMYFUNCTION("""COMPUTED_VALUE"""),"2026/1/1まで1巻無料")</f>
        <v>2026/1/1まで1巻無料</v>
      </c>
      <c r="Z4327" s="7"/>
      <c r="AA4327" s="7"/>
      <c r="AB4327" s="7"/>
    </row>
    <row r="4328" ht="15.75" customHeight="1">
      <c r="A4328" s="26">
        <f>IFERROR(__xludf.DUMMYFUNCTION("""COMPUTED_VALUE"""),6693.0)</f>
        <v>6693</v>
      </c>
      <c r="B4328" s="22" t="str">
        <f>IFERROR(__xludf.DUMMYFUNCTION("""COMPUTED_VALUE"""),"確定")</f>
        <v>確定</v>
      </c>
      <c r="C4328" s="28">
        <f>IFERROR(__xludf.DUMMYFUNCTION("""COMPUTED_VALUE"""),45947.0)</f>
        <v>45947</v>
      </c>
      <c r="D4328" s="28">
        <f>IFERROR(__xludf.DUMMYFUNCTION("""COMPUTED_VALUE"""),45987.0)</f>
        <v>45987</v>
      </c>
      <c r="E4328" s="26">
        <f>IFERROR(__xludf.DUMMYFUNCTION("""COMPUTED_VALUE"""),347894.0)</f>
        <v>347894</v>
      </c>
      <c r="F4328" s="22" t="str">
        <f>IFERROR(__xludf.DUMMYFUNCTION("""COMPUTED_VALUE"""),"魔性の令嬢は嫌われたい〜次期公爵様からの溺愛には騙されません〜")</f>
        <v>魔性の令嬢は嫌われたい〜次期公爵様からの溺愛には騙されません〜</v>
      </c>
      <c r="G4328" s="20" t="str">
        <f>IFERROR(__xludf.DUMMYFUNCTION("""COMPUTED_VALUE"""),"1～3")</f>
        <v>1～3</v>
      </c>
      <c r="H4328" s="22" t="str">
        <f>IFERROR(__xludf.DUMMYFUNCTION("""COMPUTED_VALUE"""),"原作／風沢氷花　ネーム／こわたりひろ　作画／飴屋リッカ")</f>
        <v>原作／風沢氷花　ネーム／こわたりひろ　作画／飴屋リッカ</v>
      </c>
      <c r="I4328" s="22" t="str">
        <f>IFERROR(__xludf.DUMMYFUNCTION("""COMPUTED_VALUE"""),"少女")</f>
        <v>少女</v>
      </c>
      <c r="J4328" s="22"/>
      <c r="K4328" s="22"/>
      <c r="L4328" s="22" t="str">
        <f>IFERROR(__xludf.DUMMYFUNCTION("""COMPUTED_VALUE"""),"taskey")</f>
        <v>taskey</v>
      </c>
      <c r="M4328" s="33">
        <f>IFERROR(__xludf.DUMMYFUNCTION("""COMPUTED_VALUE"""),46017.0)</f>
        <v>46017</v>
      </c>
      <c r="N4328" s="33">
        <f>IFERROR(__xludf.DUMMYFUNCTION("""COMPUTED_VALUE"""),46106.66666666667)</f>
        <v>46106.66667</v>
      </c>
      <c r="O4328" s="20"/>
      <c r="P4328" s="32" t="str">
        <f>IFERROR(__xludf.DUMMYFUNCTION("""COMPUTED_VALUE"""),"可")</f>
        <v>可</v>
      </c>
      <c r="Q4328" s="30"/>
      <c r="R4328" s="22" t="str">
        <f>IFERROR(__xludf.DUMMYFUNCTION("""COMPUTED_VALUE"""),"コミットOK")</f>
        <v>コミットOK</v>
      </c>
      <c r="S4328" s="22" t="str">
        <f>IFERROR(__xludf.DUMMYFUNCTION("""COMPUTED_VALUE"""),"20251121_taskey_魔性の令嬢は嫌われたい〜次期公爵様からの溺愛には騙されません〜")</f>
        <v>20251121_taskey_魔性の令嬢は嫌われたい〜次期公爵様からの溺愛には騙されません〜</v>
      </c>
      <c r="T4328" s="22" t="str">
        <f>IFERROR(__xludf.DUMMYFUNCTION("""COMPUTED_VALUE"""),"格納済み")</f>
        <v>格納済み</v>
      </c>
      <c r="U4328" s="9" t="str">
        <f>IFERROR(__xludf.DUMMYFUNCTION("""COMPUTED_VALUE"""),"Ⓒ︎taskey　原作／風沢氷花　ネーム／こわたりひろ　作画／飴屋リッカ")</f>
        <v>Ⓒ︎taskey　原作／風沢氷花　ネーム／こわたりひろ　作画／飴屋リッカ</v>
      </c>
      <c r="V4328" s="8"/>
      <c r="W4328" s="8"/>
      <c r="X4328" s="8" t="str">
        <f>IFERROR(__xludf.DUMMYFUNCTION("""COMPUTED_VALUE"""),"有")</f>
        <v>有</v>
      </c>
      <c r="Y4328" s="8" t="str">
        <f>IFERROR(__xludf.DUMMYFUNCTION("""COMPUTED_VALUE"""),"1巻無料")</f>
        <v>1巻無料</v>
      </c>
      <c r="Z4328" s="7"/>
      <c r="AA4328" s="7"/>
      <c r="AB4328" s="7"/>
    </row>
    <row r="4329" ht="15.75" customHeight="1">
      <c r="A4329" s="26">
        <f>IFERROR(__xludf.DUMMYFUNCTION("""COMPUTED_VALUE"""),6697.0)</f>
        <v>6697</v>
      </c>
      <c r="B4329" s="22" t="str">
        <f>IFERROR(__xludf.DUMMYFUNCTION("""COMPUTED_VALUE"""),"確定")</f>
        <v>確定</v>
      </c>
      <c r="C4329" s="28">
        <f>IFERROR(__xludf.DUMMYFUNCTION("""COMPUTED_VALUE"""),45950.0)</f>
        <v>45950</v>
      </c>
      <c r="D4329" s="28">
        <f>IFERROR(__xludf.DUMMYFUNCTION("""COMPUTED_VALUE"""),45987.0)</f>
        <v>45987</v>
      </c>
      <c r="E4329" s="26">
        <f>IFERROR(__xludf.DUMMYFUNCTION("""COMPUTED_VALUE"""),346704.0)</f>
        <v>346704</v>
      </c>
      <c r="F4329" s="22" t="str">
        <f>IFERROR(__xludf.DUMMYFUNCTION("""COMPUTED_VALUE"""),"魔法学校の狼くんと媚薬えっちで強制番にされました")</f>
        <v>魔法学校の狼くんと媚薬えっちで強制番にされました</v>
      </c>
      <c r="G4329" s="20" t="str">
        <f>IFERROR(__xludf.DUMMYFUNCTION("""COMPUTED_VALUE"""),"1～3")</f>
        <v>1～3</v>
      </c>
      <c r="H4329" s="22" t="str">
        <f>IFERROR(__xludf.DUMMYFUNCTION("""COMPUTED_VALUE"""),"ごぼうマッチ/ロティス編集部")</f>
        <v>ごぼうマッチ/ロティス編集部</v>
      </c>
      <c r="I4329" s="22" t="str">
        <f>IFERROR(__xludf.DUMMYFUNCTION("""COMPUTED_VALUE"""),"TL")</f>
        <v>TL</v>
      </c>
      <c r="J4329" s="22"/>
      <c r="K4329" s="22" t="str">
        <f>IFERROR(__xludf.DUMMYFUNCTION("""COMPUTED_VALUE"""),"ズレット！")</f>
        <v>ズレット！</v>
      </c>
      <c r="L4329" s="22" t="str">
        <f>IFERROR(__xludf.DUMMYFUNCTION("""COMPUTED_VALUE"""),"ライブコミックス")</f>
        <v>ライブコミックス</v>
      </c>
      <c r="M4329" s="33">
        <f>IFERROR(__xludf.DUMMYFUNCTION("""COMPUTED_VALUE"""),46017.0)</f>
        <v>46017</v>
      </c>
      <c r="N4329" s="33">
        <f>IFERROR(__xludf.DUMMYFUNCTION("""COMPUTED_VALUE"""),46086.0)</f>
        <v>46086</v>
      </c>
      <c r="O4329" s="20"/>
      <c r="P4329" s="32" t="str">
        <f>IFERROR(__xludf.DUMMYFUNCTION("""COMPUTED_VALUE"""),"可")</f>
        <v>可</v>
      </c>
      <c r="Q4329" s="30" t="str">
        <f>IFERROR(__xludf.DUMMYFUNCTION("""COMPUTED_VALUE"""),"【アダルト作品扱い】&lt;BR&gt;BookLiveとシーモアでの同時先行配信です。&lt;BR&gt;")</f>
        <v>【アダルト作品扱い】&lt;BR&gt;BookLiveとシーモアでの同時先行配信です。&lt;BR&gt;</v>
      </c>
      <c r="R4329" s="22" t="str">
        <f>IFERROR(__xludf.DUMMYFUNCTION("""COMPUTED_VALUE"""),"コミットOK")</f>
        <v>コミットOK</v>
      </c>
      <c r="S4329" s="22" t="str">
        <f>IFERROR(__xludf.DUMMYFUNCTION("""COMPUTED_VALUE"""),"20251125_BookLive_魔法学校の狼くんと媚薬えっちで強○番にされました")</f>
        <v>20251125_BookLive_魔法学校の狼くんと媚薬えっちで強○番にされました</v>
      </c>
      <c r="T4329" s="22" t="str">
        <f>IFERROR(__xludf.DUMMYFUNCTION("""COMPUTED_VALUE"""),"格納済み")</f>
        <v>格納済み</v>
      </c>
      <c r="U4329" s="9" t="str">
        <f>IFERROR(__xludf.DUMMYFUNCTION("""COMPUTED_VALUE"""),"(C)ごぼうマッチ/ライブコミックス")</f>
        <v>(C)ごぼうマッチ/ライブコミックス</v>
      </c>
      <c r="V4329" s="8"/>
      <c r="W4329" s="8"/>
      <c r="X4329" s="8" t="str">
        <f>IFERROR(__xludf.DUMMYFUNCTION("""COMPUTED_VALUE"""),"有")</f>
        <v>有</v>
      </c>
      <c r="Y4329" s="8" t="str">
        <f>IFERROR(__xludf.DUMMYFUNCTION("""COMPUTED_VALUE"""),"P15まで")</f>
        <v>P15まで</v>
      </c>
      <c r="Z4329" s="7"/>
      <c r="AA4329" s="7"/>
      <c r="AB4329" s="7"/>
    </row>
    <row r="4330" ht="15.75" customHeight="1">
      <c r="A4330" s="26">
        <f>IFERROR(__xludf.DUMMYFUNCTION("""COMPUTED_VALUE"""),6716.0)</f>
        <v>6716</v>
      </c>
      <c r="B4330" s="22" t="str">
        <f>IFERROR(__xludf.DUMMYFUNCTION("""COMPUTED_VALUE"""),"確定")</f>
        <v>確定</v>
      </c>
      <c r="C4330" s="28">
        <f>IFERROR(__xludf.DUMMYFUNCTION("""COMPUTED_VALUE"""),45952.0)</f>
        <v>45952</v>
      </c>
      <c r="D4330" s="28">
        <f>IFERROR(__xludf.DUMMYFUNCTION("""COMPUTED_VALUE"""),45980.0)</f>
        <v>45980</v>
      </c>
      <c r="E4330" s="26">
        <f>IFERROR(__xludf.DUMMYFUNCTION("""COMPUTED_VALUE"""),344924.0)</f>
        <v>344924</v>
      </c>
      <c r="F4330" s="22" t="str">
        <f>IFERROR(__xludf.DUMMYFUNCTION("""COMPUTED_VALUE"""),"コスバレ～高飛車な巨乳上司の『ご主人様』になりました！？～【R版】")</f>
        <v>コスバレ～高飛車な巨乳上司の『ご主人様』になりました！？～【R版】</v>
      </c>
      <c r="G4330" s="20" t="str">
        <f>IFERROR(__xludf.DUMMYFUNCTION("""COMPUTED_VALUE"""),"1～3")</f>
        <v>1～3</v>
      </c>
      <c r="H4330" s="22" t="str">
        <f>IFERROR(__xludf.DUMMYFUNCTION("""COMPUTED_VALUE"""),"漣和寂")</f>
        <v>漣和寂</v>
      </c>
      <c r="I4330" s="22" t="str">
        <f>IFERROR(__xludf.DUMMYFUNCTION("""COMPUTED_VALUE"""),"アダルト")</f>
        <v>アダルト</v>
      </c>
      <c r="J4330" s="22"/>
      <c r="K4330" s="22" t="str">
        <f>IFERROR(__xludf.DUMMYFUNCTION("""COMPUTED_VALUE"""),"もえスタビースト")</f>
        <v>もえスタビースト</v>
      </c>
      <c r="L4330" s="22" t="str">
        <f>IFERROR(__xludf.DUMMYFUNCTION("""COMPUTED_VALUE"""),"DEEPER-ZERO")</f>
        <v>DEEPER-ZERO</v>
      </c>
      <c r="M4330" s="33">
        <f>IFERROR(__xludf.DUMMYFUNCTION("""COMPUTED_VALUE"""),46011.0)</f>
        <v>46011</v>
      </c>
      <c r="N4330" s="33">
        <f>IFERROR(__xludf.DUMMYFUNCTION("""COMPUTED_VALUE"""),46073.0)</f>
        <v>46073</v>
      </c>
      <c r="O4330" s="20"/>
      <c r="P4330" s="32" t="str">
        <f>IFERROR(__xludf.DUMMYFUNCTION("""COMPUTED_VALUE"""),"可")</f>
        <v>可</v>
      </c>
      <c r="Q4330" s="30"/>
      <c r="R4330" s="22" t="str">
        <f>IFERROR(__xludf.DUMMYFUNCTION("""COMPUTED_VALUE"""),"コミットOK")</f>
        <v>コミットOK</v>
      </c>
      <c r="S4330" s="22" t="str">
        <f>IFERROR(__xludf.DUMMYFUNCTION("""COMPUTED_VALUE"""),"20251119_DEEPER-ZERO_コスバレ～高飛車な巨乳上司の『ご主人様』になりました！？～")</f>
        <v>20251119_DEEPER-ZERO_コスバレ～高飛車な巨乳上司の『ご主人様』になりました！？～</v>
      </c>
      <c r="T4330" s="22" t="str">
        <f>IFERROR(__xludf.DUMMYFUNCTION("""COMPUTED_VALUE"""),"格納済み")</f>
        <v>格納済み</v>
      </c>
      <c r="U4330" s="9" t="str">
        <f>IFERROR(__xludf.DUMMYFUNCTION("""COMPUTED_VALUE"""),"Ⓒ漣和寂/DEEPER-ZERO")</f>
        <v>Ⓒ漣和寂/DEEPER-ZERO</v>
      </c>
      <c r="V4330" s="8"/>
      <c r="W4330" s="8"/>
      <c r="X4330" s="8" t="str">
        <f>IFERROR(__xludf.DUMMYFUNCTION("""COMPUTED_VALUE"""),"有")</f>
        <v>有</v>
      </c>
      <c r="Y4330" s="8" t="str">
        <f>IFERROR(__xludf.DUMMYFUNCTION("""COMPUTED_VALUE"""),"2026/1/2まで1巻無料")</f>
        <v>2026/1/2まで1巻無料</v>
      </c>
      <c r="Z4330" s="7"/>
      <c r="AA4330" s="7"/>
      <c r="AB4330" s="7"/>
    </row>
    <row r="4331" ht="15.75" customHeight="1">
      <c r="A4331" s="26">
        <f>IFERROR(__xludf.DUMMYFUNCTION("""COMPUTED_VALUE"""),6767.0)</f>
        <v>6767</v>
      </c>
      <c r="B4331" s="22" t="str">
        <f>IFERROR(__xludf.DUMMYFUNCTION("""COMPUTED_VALUE"""),"確定")</f>
        <v>確定</v>
      </c>
      <c r="C4331" s="28">
        <f>IFERROR(__xludf.DUMMYFUNCTION("""COMPUTED_VALUE"""),45960.0)</f>
        <v>45960</v>
      </c>
      <c r="D4331" s="28">
        <f>IFERROR(__xludf.DUMMYFUNCTION("""COMPUTED_VALUE"""),45982.0)</f>
        <v>45982</v>
      </c>
      <c r="E4331" s="26">
        <f>IFERROR(__xludf.DUMMYFUNCTION("""COMPUTED_VALUE"""),344700.0)</f>
        <v>344700</v>
      </c>
      <c r="F4331" s="22" t="str">
        <f>IFERROR(__xludf.DUMMYFUNCTION("""COMPUTED_VALUE"""),"ヤンデレ彼氏の愛し方 執着的溺愛で知る本当の絶頂")</f>
        <v>ヤンデレ彼氏の愛し方 執着的溺愛で知る本当の絶頂</v>
      </c>
      <c r="G4331" s="20" t="str">
        <f>IFERROR(__xludf.DUMMYFUNCTION("""COMPUTED_VALUE"""),"1～4")</f>
        <v>1～4</v>
      </c>
      <c r="H4331" s="22" t="str">
        <f>IFERROR(__xludf.DUMMYFUNCTION("""COMPUTED_VALUE"""),"水瀬友美")</f>
        <v>水瀬友美</v>
      </c>
      <c r="I4331" s="22" t="str">
        <f>IFERROR(__xludf.DUMMYFUNCTION("""COMPUTED_VALUE"""),"TLマンガ")</f>
        <v>TLマンガ</v>
      </c>
      <c r="J4331" s="22"/>
      <c r="K4331" s="22" t="str">
        <f>IFERROR(__xludf.DUMMYFUNCTION("""COMPUTED_VALUE"""),"恋愛宣言")</f>
        <v>恋愛宣言</v>
      </c>
      <c r="L4331" s="22" t="str">
        <f>IFERROR(__xludf.DUMMYFUNCTION("""COMPUTED_VALUE"""),"大都社/秋水社")</f>
        <v>大都社/秋水社</v>
      </c>
      <c r="M4331" s="33">
        <f>IFERROR(__xludf.DUMMYFUNCTION("""COMPUTED_VALUE"""),46010.0)</f>
        <v>46010</v>
      </c>
      <c r="N4331" s="33">
        <f>IFERROR(__xludf.DUMMYFUNCTION("""COMPUTED_VALUE"""),46071.0)</f>
        <v>46071</v>
      </c>
      <c r="O4331" s="20"/>
      <c r="P4331" s="32" t="str">
        <f>IFERROR(__xludf.DUMMYFUNCTION("""COMPUTED_VALUE"""),"可")</f>
        <v>可</v>
      </c>
      <c r="Q4331" s="30" t="str">
        <f>IFERROR(__xludf.DUMMYFUNCTION("""COMPUTED_VALUE"""),"【アダルト作品扱い】")</f>
        <v>【アダルト作品扱い】</v>
      </c>
      <c r="R4331" s="22" t="str">
        <f>IFERROR(__xludf.DUMMYFUNCTION("""COMPUTED_VALUE"""),"コミットOK")</f>
        <v>コミットOK</v>
      </c>
      <c r="S4331" s="22" t="str">
        <f>IFERROR(__xludf.DUMMYFUNCTION("""COMPUTED_VALUE"""),"20251120_秋水社_ヤンデレ彼氏の愛し方 執着的溺愛で知る本当の絶頂")</f>
        <v>20251120_秋水社_ヤンデレ彼氏の愛し方 執着的溺愛で知る本当の絶頂</v>
      </c>
      <c r="T4331" s="22" t="str">
        <f>IFERROR(__xludf.DUMMYFUNCTION("""COMPUTED_VALUE"""),"格納済み")</f>
        <v>格納済み</v>
      </c>
      <c r="U4331" s="9" t="str">
        <f>IFERROR(__xludf.DUMMYFUNCTION("""COMPUTED_VALUE"""),"(C)水瀬友美/大都社/秋水社")</f>
        <v>(C)水瀬友美/大都社/秋水社</v>
      </c>
      <c r="V4331" s="8"/>
      <c r="W4331" s="8"/>
      <c r="X4331" s="8" t="str">
        <f>IFERROR(__xludf.DUMMYFUNCTION("""COMPUTED_VALUE"""),"有")</f>
        <v>有</v>
      </c>
      <c r="Y4331" s="8" t="str">
        <f>IFERROR(__xludf.DUMMYFUNCTION("""COMPUTED_VALUE"""),"P6まで")</f>
        <v>P6まで</v>
      </c>
      <c r="Z4331" s="7"/>
      <c r="AA4331" s="7"/>
      <c r="AB4331" s="7"/>
    </row>
    <row r="4332" ht="15.75" customHeight="1">
      <c r="A4332" s="26">
        <f>IFERROR(__xludf.DUMMYFUNCTION("""COMPUTED_VALUE"""),6815.0)</f>
        <v>6815</v>
      </c>
      <c r="B4332" s="22" t="str">
        <f>IFERROR(__xludf.DUMMYFUNCTION("""COMPUTED_VALUE"""),"確定")</f>
        <v>確定</v>
      </c>
      <c r="C4332" s="28">
        <f>IFERROR(__xludf.DUMMYFUNCTION("""COMPUTED_VALUE"""),45967.0)</f>
        <v>45967</v>
      </c>
      <c r="D4332" s="28">
        <f>IFERROR(__xludf.DUMMYFUNCTION("""COMPUTED_VALUE"""),45982.0)</f>
        <v>45982</v>
      </c>
      <c r="E4332" s="26">
        <f>IFERROR(__xludf.DUMMYFUNCTION("""COMPUTED_VALUE"""),346870.0)</f>
        <v>346870</v>
      </c>
      <c r="F4332" s="22" t="str">
        <f>IFERROR(__xludf.DUMMYFUNCTION("""COMPUTED_VALUE"""),"【分冊版】クズ男のポエム")</f>
        <v>【分冊版】クズ男のポエム</v>
      </c>
      <c r="G4332" s="20" t="str">
        <f>IFERROR(__xludf.DUMMYFUNCTION("""COMPUTED_VALUE"""),"1～3")</f>
        <v>1～3</v>
      </c>
      <c r="H4332" s="22" t="str">
        <f>IFERROR(__xludf.DUMMYFUNCTION("""COMPUTED_VALUE"""),"もちの米")</f>
        <v>もちの米</v>
      </c>
      <c r="I4332" s="22" t="str">
        <f>IFERROR(__xludf.DUMMYFUNCTION("""COMPUTED_VALUE"""),"BL")</f>
        <v>BL</v>
      </c>
      <c r="J4332" s="22"/>
      <c r="K4332" s="22"/>
      <c r="L4332" s="22" t="str">
        <f>IFERROR(__xludf.DUMMYFUNCTION("""COMPUTED_VALUE"""),"ジーオーティー")</f>
        <v>ジーオーティー</v>
      </c>
      <c r="M4332" s="33">
        <f>IFERROR(__xludf.DUMMYFUNCTION("""COMPUTED_VALUE"""),46034.0)</f>
        <v>46034</v>
      </c>
      <c r="N4332" s="33">
        <f>IFERROR(__xludf.DUMMYFUNCTION("""COMPUTED_VALUE"""),46092.0)</f>
        <v>46092</v>
      </c>
      <c r="O4332" s="20"/>
      <c r="P4332" s="32" t="str">
        <f>IFERROR(__xludf.DUMMYFUNCTION("""COMPUTED_VALUE"""),"可")</f>
        <v>可</v>
      </c>
      <c r="Q4332" s="30"/>
      <c r="R4332" s="22" t="str">
        <f>IFERROR(__xludf.DUMMYFUNCTION("""COMPUTED_VALUE"""),"コミットOK")</f>
        <v>コミットOK</v>
      </c>
      <c r="S4332" s="22" t="str">
        <f>IFERROR(__xludf.DUMMYFUNCTION("""COMPUTED_VALUE"""),"20251119_ジーオーティー_【分冊版】クズ男のポエム")</f>
        <v>20251119_ジーオーティー_【分冊版】クズ男のポエム</v>
      </c>
      <c r="T4332" s="22" t="str">
        <f>IFERROR(__xludf.DUMMYFUNCTION("""COMPUTED_VALUE"""),"格納済み")</f>
        <v>格納済み</v>
      </c>
      <c r="U4332" s="9" t="str">
        <f>IFERROR(__xludf.DUMMYFUNCTION("""COMPUTED_VALUE"""),"Ⓒもちの米／ジーオーティー")</f>
        <v>Ⓒもちの米／ジーオーティー</v>
      </c>
      <c r="V4332" s="8"/>
      <c r="W4332" s="8"/>
      <c r="X4332" s="8" t="str">
        <f>IFERROR(__xludf.DUMMYFUNCTION("""COMPUTED_VALUE"""),"有")</f>
        <v>有</v>
      </c>
      <c r="Y4332" s="8" t="str">
        <f>IFERROR(__xludf.DUMMYFUNCTION("""COMPUTED_VALUE"""),"P6まで")</f>
        <v>P6まで</v>
      </c>
      <c r="Z4332" s="7"/>
      <c r="AA4332" s="7"/>
      <c r="AB4332" s="7"/>
    </row>
    <row r="4333" ht="15.75" customHeight="1">
      <c r="A4333" s="26">
        <f>IFERROR(__xludf.DUMMYFUNCTION("""COMPUTED_VALUE"""),6829.0)</f>
        <v>6829</v>
      </c>
      <c r="B4333" s="22" t="str">
        <f>IFERROR(__xludf.DUMMYFUNCTION("""COMPUTED_VALUE"""),"確定")</f>
        <v>確定</v>
      </c>
      <c r="C4333" s="28">
        <f>IFERROR(__xludf.DUMMYFUNCTION("""COMPUTED_VALUE"""),45968.0)</f>
        <v>45968</v>
      </c>
      <c r="D4333" s="28">
        <f>IFERROR(__xludf.DUMMYFUNCTION("""COMPUTED_VALUE"""),45986.0)</f>
        <v>45986</v>
      </c>
      <c r="E4333" s="26">
        <f>IFERROR(__xludf.DUMMYFUNCTION("""COMPUTED_VALUE"""),344697.0)</f>
        <v>344697</v>
      </c>
      <c r="F4333" s="22" t="str">
        <f>IFERROR(__xludf.DUMMYFUNCTION("""COMPUTED_VALUE"""),"京都くれなゐ荘奇譚 連載版")</f>
        <v>京都くれなゐ荘奇譚 連載版</v>
      </c>
      <c r="G4333" s="20" t="str">
        <f>IFERROR(__xludf.DUMMYFUNCTION("""COMPUTED_VALUE"""),"1～4")</f>
        <v>1～4</v>
      </c>
      <c r="H4333" s="22" t="str">
        <f>IFERROR(__xludf.DUMMYFUNCTION("""COMPUTED_VALUE"""),"日高チトセ┴白川紺子┴げみ")</f>
        <v>日高チトセ┴白川紺子┴げみ</v>
      </c>
      <c r="I4333" s="22" t="str">
        <f>IFERROR(__xludf.DUMMYFUNCTION("""COMPUTED_VALUE"""),"女性")</f>
        <v>女性</v>
      </c>
      <c r="J4333" s="22"/>
      <c r="K4333" s="22"/>
      <c r="L4333" s="22" t="str">
        <f>IFERROR(__xludf.DUMMYFUNCTION("""COMPUTED_VALUE"""),"ブシロードワークス")</f>
        <v>ブシロードワークス</v>
      </c>
      <c r="M4333" s="33">
        <f>IFERROR(__xludf.DUMMYFUNCTION("""COMPUTED_VALUE"""),46019.0)</f>
        <v>46019</v>
      </c>
      <c r="N4333" s="33">
        <f>IFERROR(__xludf.DUMMYFUNCTION("""COMPUTED_VALUE"""),46074.0)</f>
        <v>46074</v>
      </c>
      <c r="O4333" s="20"/>
      <c r="P4333" s="32" t="str">
        <f>IFERROR(__xludf.DUMMYFUNCTION("""COMPUTED_VALUE"""),"可")</f>
        <v>可</v>
      </c>
      <c r="Q4333" s="30"/>
      <c r="R4333" s="22" t="str">
        <f>IFERROR(__xludf.DUMMYFUNCTION("""COMPUTED_VALUE"""),"コミットOK")</f>
        <v>コミットOK</v>
      </c>
      <c r="S4333" s="22" t="str">
        <f>IFERROR(__xludf.DUMMYFUNCTION("""COMPUTED_VALUE"""),"20251121_ブシロード_京都くれなゐ荘奇譚 連載版")</f>
        <v>20251121_ブシロード_京都くれなゐ荘奇譚 連載版</v>
      </c>
      <c r="T4333" s="22" t="str">
        <f>IFERROR(__xludf.DUMMYFUNCTION("""COMPUTED_VALUE"""),"格納済み")</f>
        <v>格納済み</v>
      </c>
      <c r="U4333" s="9" t="str">
        <f>IFERROR(__xludf.DUMMYFUNCTION("""COMPUTED_VALUE"""),"ⒸHidaka Chitose / BUSHIROAD WORKS ⒸKouko Shirakawa")</f>
        <v>ⒸHidaka Chitose / BUSHIROAD WORKS ⒸKouko Shirakawa</v>
      </c>
      <c r="V4333" s="8"/>
      <c r="W4333" s="8"/>
      <c r="X4333" s="8" t="str">
        <f>IFERROR(__xludf.DUMMYFUNCTION("""COMPUTED_VALUE"""),"有")</f>
        <v>有</v>
      </c>
      <c r="Y4333" s="8" t="str">
        <f>IFERROR(__xludf.DUMMYFUNCTION("""COMPUTED_VALUE"""),"2026/2/21まで1~2巻無料")</f>
        <v>2026/2/21まで1~2巻無料</v>
      </c>
      <c r="Z4333" s="7"/>
      <c r="AA4333" s="7"/>
      <c r="AB4333" s="7"/>
    </row>
    <row r="4334" ht="15.75" customHeight="1">
      <c r="A4334" s="26">
        <f>IFERROR(__xludf.DUMMYFUNCTION("""COMPUTED_VALUE"""),6854.0)</f>
        <v>6854</v>
      </c>
      <c r="B4334" s="22" t="str">
        <f>IFERROR(__xludf.DUMMYFUNCTION("""COMPUTED_VALUE"""),"確定")</f>
        <v>確定</v>
      </c>
      <c r="C4334" s="28">
        <f>IFERROR(__xludf.DUMMYFUNCTION("""COMPUTED_VALUE"""),45972.0)</f>
        <v>45972</v>
      </c>
      <c r="D4334" s="28">
        <f>IFERROR(__xludf.DUMMYFUNCTION("""COMPUTED_VALUE"""),45987.0)</f>
        <v>45987</v>
      </c>
      <c r="E4334" s="26">
        <f>IFERROR(__xludf.DUMMYFUNCTION("""COMPUTED_VALUE"""),346320.0)</f>
        <v>346320</v>
      </c>
      <c r="F4334" s="22" t="str">
        <f>IFERROR(__xludf.DUMMYFUNCTION("""COMPUTED_VALUE"""),"むずむずさせないで［ばら売り］")</f>
        <v>むずむずさせないで［ばら売り］</v>
      </c>
      <c r="G4334" s="20" t="str">
        <f>IFERROR(__xludf.DUMMYFUNCTION("""COMPUTED_VALUE"""),"1～4")</f>
        <v>1～4</v>
      </c>
      <c r="H4334" s="22" t="str">
        <f>IFERROR(__xludf.DUMMYFUNCTION("""COMPUTED_VALUE"""),"松下リサ")</f>
        <v>松下リサ</v>
      </c>
      <c r="I4334" s="22" t="str">
        <f>IFERROR(__xludf.DUMMYFUNCTION("""COMPUTED_VALUE"""),"BL")</f>
        <v>BL</v>
      </c>
      <c r="J4334" s="22"/>
      <c r="K4334" s="22" t="str">
        <f>IFERROR(__xludf.DUMMYFUNCTION("""COMPUTED_VALUE"""),"マンガPark")</f>
        <v>マンガPark</v>
      </c>
      <c r="L4334" s="22" t="str">
        <f>IFERROR(__xludf.DUMMYFUNCTION("""COMPUTED_VALUE"""),"白泉社")</f>
        <v>白泉社</v>
      </c>
      <c r="M4334" s="33">
        <f>IFERROR(__xludf.DUMMYFUNCTION("""COMPUTED_VALUE"""),46032.0)</f>
        <v>46032</v>
      </c>
      <c r="N4334" s="33">
        <f>IFERROR(__xludf.DUMMYFUNCTION("""COMPUTED_VALUE"""),46094.0)</f>
        <v>46094</v>
      </c>
      <c r="O4334" s="20"/>
      <c r="P4334" s="32" t="str">
        <f>IFERROR(__xludf.DUMMYFUNCTION("""COMPUTED_VALUE"""),"可")</f>
        <v>可</v>
      </c>
      <c r="Q4334" s="30" t="str">
        <f>IFERROR(__xludf.DUMMYFUNCTION("""COMPUTED_VALUE"""),"・マンガPark作品です&lt;BR&gt;&lt;BR&gt;")</f>
        <v>・マンガPark作品です&lt;BR&gt;&lt;BR&gt;</v>
      </c>
      <c r="R4334" s="22"/>
      <c r="S4334" s="22" t="str">
        <f>IFERROR(__xludf.DUMMYFUNCTION("""COMPUTED_VALUE"""),"20251125_白泉社_むずむずさせないで［ばら売り］")</f>
        <v>20251125_白泉社_むずむずさせないで［ばら売り］</v>
      </c>
      <c r="T4334" s="22" t="str">
        <f>IFERROR(__xludf.DUMMYFUNCTION("""COMPUTED_VALUE"""),"格納済み")</f>
        <v>格納済み</v>
      </c>
      <c r="U4334" s="9" t="str">
        <f>IFERROR(__xludf.DUMMYFUNCTION("""COMPUTED_VALUE"""),"（ｃ）松下リサ／白泉社")</f>
        <v>（ｃ）松下リサ／白泉社</v>
      </c>
      <c r="V4334" s="8"/>
      <c r="W4334" s="8"/>
      <c r="X4334" s="8" t="str">
        <f>IFERROR(__xludf.DUMMYFUNCTION("""COMPUTED_VALUE"""),"有")</f>
        <v>有</v>
      </c>
      <c r="Y4334" s="8" t="str">
        <f>IFERROR(__xludf.DUMMYFUNCTION("""COMPUTED_VALUE"""),"2026/1/23まで1巻無料")</f>
        <v>2026/1/23まで1巻無料</v>
      </c>
      <c r="Z4334" s="7"/>
      <c r="AA4334" s="7"/>
      <c r="AB4334" s="7"/>
    </row>
    <row r="4335" ht="15.75" customHeight="1">
      <c r="A4335" s="26">
        <f>IFERROR(__xludf.DUMMYFUNCTION("""COMPUTED_VALUE"""),6855.0)</f>
        <v>6855</v>
      </c>
      <c r="B4335" s="22" t="str">
        <f>IFERROR(__xludf.DUMMYFUNCTION("""COMPUTED_VALUE"""),"確定")</f>
        <v>確定</v>
      </c>
      <c r="C4335" s="28">
        <f>IFERROR(__xludf.DUMMYFUNCTION("""COMPUTED_VALUE"""),45972.0)</f>
        <v>45972</v>
      </c>
      <c r="D4335" s="28">
        <f>IFERROR(__xludf.DUMMYFUNCTION("""COMPUTED_VALUE"""),45987.0)</f>
        <v>45987</v>
      </c>
      <c r="E4335" s="26">
        <f>IFERROR(__xludf.DUMMYFUNCTION("""COMPUTED_VALUE"""),346321.0)</f>
        <v>346321</v>
      </c>
      <c r="F4335" s="22" t="str">
        <f>IFERROR(__xludf.DUMMYFUNCTION("""COMPUTED_VALUE"""),"良い子だね守屋くん［ばら売り］")</f>
        <v>良い子だね守屋くん［ばら売り］</v>
      </c>
      <c r="G4335" s="20" t="str">
        <f>IFERROR(__xludf.DUMMYFUNCTION("""COMPUTED_VALUE"""),"1～5")</f>
        <v>1～5</v>
      </c>
      <c r="H4335" s="22" t="str">
        <f>IFERROR(__xludf.DUMMYFUNCTION("""COMPUTED_VALUE"""),"堀すいか")</f>
        <v>堀すいか</v>
      </c>
      <c r="I4335" s="22" t="str">
        <f>IFERROR(__xludf.DUMMYFUNCTION("""COMPUTED_VALUE"""),"BL")</f>
        <v>BL</v>
      </c>
      <c r="J4335" s="22"/>
      <c r="K4335" s="22" t="str">
        <f>IFERROR(__xludf.DUMMYFUNCTION("""COMPUTED_VALUE"""),"マンガPark")</f>
        <v>マンガPark</v>
      </c>
      <c r="L4335" s="22" t="str">
        <f>IFERROR(__xludf.DUMMYFUNCTION("""COMPUTED_VALUE"""),"白泉社")</f>
        <v>白泉社</v>
      </c>
      <c r="M4335" s="33">
        <f>IFERROR(__xludf.DUMMYFUNCTION("""COMPUTED_VALUE"""),46032.0)</f>
        <v>46032</v>
      </c>
      <c r="N4335" s="33">
        <f>IFERROR(__xludf.DUMMYFUNCTION("""COMPUTED_VALUE"""),46094.0)</f>
        <v>46094</v>
      </c>
      <c r="O4335" s="20"/>
      <c r="P4335" s="32" t="str">
        <f>IFERROR(__xludf.DUMMYFUNCTION("""COMPUTED_VALUE"""),"可")</f>
        <v>可</v>
      </c>
      <c r="Q4335" s="30" t="str">
        <f>IFERROR(__xludf.DUMMYFUNCTION("""COMPUTED_VALUE"""),"マンガPark作品です。")</f>
        <v>マンガPark作品です。</v>
      </c>
      <c r="R4335" s="22"/>
      <c r="S4335" s="22" t="str">
        <f>IFERROR(__xludf.DUMMYFUNCTION("""COMPUTED_VALUE"""),"20251125_白泉社_良い子だね守屋くん［ばら売り］")</f>
        <v>20251125_白泉社_良い子だね守屋くん［ばら売り］</v>
      </c>
      <c r="T4335" s="22" t="str">
        <f>IFERROR(__xludf.DUMMYFUNCTION("""COMPUTED_VALUE"""),"格納済み")</f>
        <v>格納済み</v>
      </c>
      <c r="U4335" s="9" t="str">
        <f>IFERROR(__xludf.DUMMYFUNCTION("""COMPUTED_VALUE"""),"Ⓒ堀すいか/白泉社")</f>
        <v>Ⓒ堀すいか/白泉社</v>
      </c>
      <c r="V4335" s="8"/>
      <c r="W4335" s="8"/>
      <c r="X4335" s="8" t="str">
        <f>IFERROR(__xludf.DUMMYFUNCTION("""COMPUTED_VALUE"""),"有")</f>
        <v>有</v>
      </c>
      <c r="Y4335" s="8" t="str">
        <f>IFERROR(__xludf.DUMMYFUNCTION("""COMPUTED_VALUE"""),"2026/1/23まで1巻無料")</f>
        <v>2026/1/23まで1巻無料</v>
      </c>
      <c r="Z4335" s="7"/>
      <c r="AA4335" s="7"/>
      <c r="AB4335" s="7"/>
    </row>
    <row r="4336" ht="15.75" customHeight="1">
      <c r="A4336" s="26">
        <f>IFERROR(__xludf.DUMMYFUNCTION("""COMPUTED_VALUE"""),6856.0)</f>
        <v>6856</v>
      </c>
      <c r="B4336" s="22" t="str">
        <f>IFERROR(__xludf.DUMMYFUNCTION("""COMPUTED_VALUE"""),"確定")</f>
        <v>確定</v>
      </c>
      <c r="C4336" s="28">
        <f>IFERROR(__xludf.DUMMYFUNCTION("""COMPUTED_VALUE"""),45972.0)</f>
        <v>45972</v>
      </c>
      <c r="D4336" s="28">
        <f>IFERROR(__xludf.DUMMYFUNCTION("""COMPUTED_VALUE"""),45987.0)</f>
        <v>45987</v>
      </c>
      <c r="E4336" s="26">
        <f>IFERROR(__xludf.DUMMYFUNCTION("""COMPUTED_VALUE"""),346395.0)</f>
        <v>346395</v>
      </c>
      <c r="F4336" s="22" t="str">
        <f>IFERROR(__xludf.DUMMYFUNCTION("""COMPUTED_VALUE"""),"出来損ないの魔女は獅子公爵と蜜婚する［ばら売り］")</f>
        <v>出来損ないの魔女は獅子公爵と蜜婚する［ばら売り］</v>
      </c>
      <c r="G4336" s="20" t="str">
        <f>IFERROR(__xludf.DUMMYFUNCTION("""COMPUTED_VALUE"""),"1～4")</f>
        <v>1～4</v>
      </c>
      <c r="H4336" s="22" t="str">
        <f>IFERROR(__xludf.DUMMYFUNCTION("""COMPUTED_VALUE"""),"水谷京子")</f>
        <v>水谷京子</v>
      </c>
      <c r="I4336" s="22" t="str">
        <f>IFERROR(__xludf.DUMMYFUNCTION("""COMPUTED_VALUE"""),"女性")</f>
        <v>女性</v>
      </c>
      <c r="J4336" s="22"/>
      <c r="K4336" s="22" t="str">
        <f>IFERROR(__xludf.DUMMYFUNCTION("""COMPUTED_VALUE"""),"マンガPark")</f>
        <v>マンガPark</v>
      </c>
      <c r="L4336" s="22" t="str">
        <f>IFERROR(__xludf.DUMMYFUNCTION("""COMPUTED_VALUE"""),"白泉社")</f>
        <v>白泉社</v>
      </c>
      <c r="M4336" s="33">
        <f>IFERROR(__xludf.DUMMYFUNCTION("""COMPUTED_VALUE"""),46032.0)</f>
        <v>46032</v>
      </c>
      <c r="N4336" s="33">
        <f>IFERROR(__xludf.DUMMYFUNCTION("""COMPUTED_VALUE"""),46094.0)</f>
        <v>46094</v>
      </c>
      <c r="O4336" s="20"/>
      <c r="P4336" s="32" t="str">
        <f>IFERROR(__xludf.DUMMYFUNCTION("""COMPUTED_VALUE"""),"否")</f>
        <v>否</v>
      </c>
      <c r="Q4336" s="30" t="str">
        <f>IFERROR(__xludf.DUMMYFUNCTION("""COMPUTED_VALUE"""),"マンガPark作品です。")</f>
        <v>マンガPark作品です。</v>
      </c>
      <c r="R4336" s="22"/>
      <c r="S4336" s="22" t="str">
        <f>IFERROR(__xludf.DUMMYFUNCTION("""COMPUTED_VALUE"""),"20251125_白泉社_出来損ないの魔女は獅子公爵と蜜婚する［ばら売り］")</f>
        <v>20251125_白泉社_出来損ないの魔女は獅子公爵と蜜婚する［ばら売り］</v>
      </c>
      <c r="T4336" s="22" t="str">
        <f>IFERROR(__xludf.DUMMYFUNCTION("""COMPUTED_VALUE"""),"格納済み")</f>
        <v>格納済み</v>
      </c>
      <c r="U4336" s="9" t="str">
        <f>IFERROR(__xludf.DUMMYFUNCTION("""COMPUTED_VALUE"""),"（C）水谷京子/白泉社")</f>
        <v>（C）水谷京子/白泉社</v>
      </c>
      <c r="V4336" s="8"/>
      <c r="W4336" s="8"/>
      <c r="X4336" s="8" t="str">
        <f>IFERROR(__xludf.DUMMYFUNCTION("""COMPUTED_VALUE"""),"有")</f>
        <v>有</v>
      </c>
      <c r="Y4336" s="8" t="str">
        <f>IFERROR(__xludf.DUMMYFUNCTION("""COMPUTED_VALUE"""),"P10まで")</f>
        <v>P10まで</v>
      </c>
      <c r="Z4336" s="7"/>
      <c r="AA4336" s="7"/>
      <c r="AB4336" s="7"/>
    </row>
    <row r="4337" ht="15.75" customHeight="1">
      <c r="A4337" s="26">
        <f>IFERROR(__xludf.DUMMYFUNCTION("""COMPUTED_VALUE"""),6857.0)</f>
        <v>6857</v>
      </c>
      <c r="B4337" s="22" t="str">
        <f>IFERROR(__xludf.DUMMYFUNCTION("""COMPUTED_VALUE"""),"確定")</f>
        <v>確定</v>
      </c>
      <c r="C4337" s="28">
        <f>IFERROR(__xludf.DUMMYFUNCTION("""COMPUTED_VALUE"""),45972.0)</f>
        <v>45972</v>
      </c>
      <c r="D4337" s="28">
        <f>IFERROR(__xludf.DUMMYFUNCTION("""COMPUTED_VALUE"""),45987.0)</f>
        <v>45987</v>
      </c>
      <c r="E4337" s="26">
        <f>IFERROR(__xludf.DUMMYFUNCTION("""COMPUTED_VALUE"""),346396.0)</f>
        <v>346396</v>
      </c>
      <c r="F4337" s="22" t="str">
        <f>IFERROR(__xludf.DUMMYFUNCTION("""COMPUTED_VALUE"""),"猛獣たちのお妃候補～塩対応王子たちが私を溺愛し始めて帰りづらい件～［ばら売り］")</f>
        <v>猛獣たちのお妃候補～塩対応王子たちが私を溺愛し始めて帰りづらい件～［ばら売り］</v>
      </c>
      <c r="G4337" s="20" t="str">
        <f>IFERROR(__xludf.DUMMYFUNCTION("""COMPUTED_VALUE"""),"1～4")</f>
        <v>1～4</v>
      </c>
      <c r="H4337" s="22" t="str">
        <f>IFERROR(__xludf.DUMMYFUNCTION("""COMPUTED_VALUE"""),"田仲もけ")</f>
        <v>田仲もけ</v>
      </c>
      <c r="I4337" s="22" t="str">
        <f>IFERROR(__xludf.DUMMYFUNCTION("""COMPUTED_VALUE"""),"女性")</f>
        <v>女性</v>
      </c>
      <c r="J4337" s="22"/>
      <c r="K4337" s="22" t="str">
        <f>IFERROR(__xludf.DUMMYFUNCTION("""COMPUTED_VALUE"""),"マンガPark")</f>
        <v>マンガPark</v>
      </c>
      <c r="L4337" s="22" t="str">
        <f>IFERROR(__xludf.DUMMYFUNCTION("""COMPUTED_VALUE"""),"白泉社")</f>
        <v>白泉社</v>
      </c>
      <c r="M4337" s="33">
        <f>IFERROR(__xludf.DUMMYFUNCTION("""COMPUTED_VALUE"""),46032.0)</f>
        <v>46032</v>
      </c>
      <c r="N4337" s="33">
        <f>IFERROR(__xludf.DUMMYFUNCTION("""COMPUTED_VALUE"""),46094.0)</f>
        <v>46094</v>
      </c>
      <c r="O4337" s="20"/>
      <c r="P4337" s="32" t="str">
        <f>IFERROR(__xludf.DUMMYFUNCTION("""COMPUTED_VALUE"""),"可")</f>
        <v>可</v>
      </c>
      <c r="Q4337" s="30" t="str">
        <f>IFERROR(__xludf.DUMMYFUNCTION("""COMPUTED_VALUE"""),"マンガPark作品です。")</f>
        <v>マンガPark作品です。</v>
      </c>
      <c r="R4337" s="22"/>
      <c r="S4337" s="22" t="str">
        <f>IFERROR(__xludf.DUMMYFUNCTION("""COMPUTED_VALUE"""),"20251125_白泉社_猛獣たちのお妃候補～塩対応王子たちが私を溺愛し始めて帰りづらい件～［ばら売り］")</f>
        <v>20251125_白泉社_猛獣たちのお妃候補～塩対応王子たちが私を溺愛し始めて帰りづらい件～［ばら売り］</v>
      </c>
      <c r="T4337" s="22" t="str">
        <f>IFERROR(__xludf.DUMMYFUNCTION("""COMPUTED_VALUE"""),"格納済み")</f>
        <v>格納済み</v>
      </c>
      <c r="U4337" s="9" t="str">
        <f>IFERROR(__xludf.DUMMYFUNCTION("""COMPUTED_VALUE"""),"（ｃ）田仲もけ／白泉社")</f>
        <v>（ｃ）田仲もけ／白泉社</v>
      </c>
      <c r="V4337" s="8"/>
      <c r="W4337" s="8"/>
      <c r="X4337" s="8" t="str">
        <f>IFERROR(__xludf.DUMMYFUNCTION("""COMPUTED_VALUE"""),"有")</f>
        <v>有</v>
      </c>
      <c r="Y4337" s="8" t="str">
        <f>IFERROR(__xludf.DUMMYFUNCTION("""COMPUTED_VALUE"""),"P10まで")</f>
        <v>P10まで</v>
      </c>
      <c r="Z4337" s="7"/>
      <c r="AA4337" s="7"/>
      <c r="AB4337" s="7"/>
    </row>
    <row r="4338" ht="15.75" customHeight="1">
      <c r="A4338" s="26">
        <f>IFERROR(__xludf.DUMMYFUNCTION("""COMPUTED_VALUE"""),6895.0)</f>
        <v>6895</v>
      </c>
      <c r="B4338" s="22" t="str">
        <f>IFERROR(__xludf.DUMMYFUNCTION("""COMPUTED_VALUE"""),"確定")</f>
        <v>確定</v>
      </c>
      <c r="C4338" s="28">
        <f>IFERROR(__xludf.DUMMYFUNCTION("""COMPUTED_VALUE"""),45978.0)</f>
        <v>45978</v>
      </c>
      <c r="D4338" s="28">
        <f>IFERROR(__xludf.DUMMYFUNCTION("""COMPUTED_VALUE"""),45987.0)</f>
        <v>45987</v>
      </c>
      <c r="E4338" s="26">
        <f>IFERROR(__xludf.DUMMYFUNCTION("""COMPUTED_VALUE"""),318643.0)</f>
        <v>318643</v>
      </c>
      <c r="F4338" s="22" t="str">
        <f>IFERROR(__xludf.DUMMYFUNCTION("""COMPUTED_VALUE"""),"闇の王子といけにえの花嫁～その愛は呪い、でも甘い～")</f>
        <v>闇の王子といけにえの花嫁～その愛は呪い、でも甘い～</v>
      </c>
      <c r="G4338" s="20" t="str">
        <f>IFERROR(__xludf.DUMMYFUNCTION("""COMPUTED_VALUE"""),"1～3")</f>
        <v>1～3</v>
      </c>
      <c r="H4338" s="22" t="str">
        <f>IFERROR(__xludf.DUMMYFUNCTION("""COMPUTED_VALUE"""),"tsugumi")</f>
        <v>tsugumi</v>
      </c>
      <c r="I4338" s="22" t="str">
        <f>IFERROR(__xludf.DUMMYFUNCTION("""COMPUTED_VALUE"""),"女性マンガ")</f>
        <v>女性マンガ</v>
      </c>
      <c r="J4338" s="22"/>
      <c r="K4338" s="22" t="str">
        <f>IFERROR(__xludf.DUMMYFUNCTION("""COMPUTED_VALUE"""),"スキして?桃色日記")</f>
        <v>スキして?桃色日記</v>
      </c>
      <c r="L4338" s="22" t="str">
        <f>IFERROR(__xludf.DUMMYFUNCTION("""COMPUTED_VALUE"""),"シーモアコミックス")</f>
        <v>シーモアコミックス</v>
      </c>
      <c r="M4338" s="33">
        <f>IFERROR(__xludf.DUMMYFUNCTION("""COMPUTED_VALUE"""),46018.0)</f>
        <v>46018</v>
      </c>
      <c r="N4338" s="33">
        <f>IFERROR(__xludf.DUMMYFUNCTION("""COMPUTED_VALUE"""),46170.66666666667)</f>
        <v>46170.66667</v>
      </c>
      <c r="O4338" s="20"/>
      <c r="P4338" s="32" t="str">
        <f>IFERROR(__xludf.DUMMYFUNCTION("""COMPUTED_VALUE"""),"可")</f>
        <v>可</v>
      </c>
      <c r="Q4338" s="30"/>
      <c r="R4338" s="22"/>
      <c r="S4338" s="22" t="str">
        <f>IFERROR(__xludf.DUMMYFUNCTION("""COMPUTED_VALUE"""),"20251117_シーモアコミックス_闇の王子といけにえの花嫁～その愛は呪い、でも甘い～")</f>
        <v>20251117_シーモアコミックス_闇の王子といけにえの花嫁～その愛は呪い、でも甘い～</v>
      </c>
      <c r="T4338" s="22" t="str">
        <f>IFERROR(__xludf.DUMMYFUNCTION("""COMPUTED_VALUE"""),"格納済み")</f>
        <v>格納済み</v>
      </c>
      <c r="U4338" s="9" t="str">
        <f>IFERROR(__xludf.DUMMYFUNCTION("""COMPUTED_VALUE"""),"(C) tsugumi/シーモアコミックス")</f>
        <v>(C) tsugumi/シーモアコミックス</v>
      </c>
      <c r="V4338" s="8"/>
      <c r="W4338" s="8"/>
      <c r="X4338" s="8" t="str">
        <f>IFERROR(__xludf.DUMMYFUNCTION("""COMPUTED_VALUE"""),"有")</f>
        <v>有</v>
      </c>
      <c r="Y4338" s="8" t="str">
        <f>IFERROR(__xludf.DUMMYFUNCTION("""COMPUTED_VALUE"""),"P12まで")</f>
        <v>P12まで</v>
      </c>
      <c r="Z4338" s="7"/>
      <c r="AA4338" s="7"/>
      <c r="AB4338" s="7"/>
    </row>
    <row r="4339" ht="15.75" customHeight="1">
      <c r="A4339" s="26">
        <f>IFERROR(__xludf.DUMMYFUNCTION("""COMPUTED_VALUE"""),6896.0)</f>
        <v>6896</v>
      </c>
      <c r="B4339" s="22" t="str">
        <f>IFERROR(__xludf.DUMMYFUNCTION("""COMPUTED_VALUE"""),"確定")</f>
        <v>確定</v>
      </c>
      <c r="C4339" s="28">
        <f>IFERROR(__xludf.DUMMYFUNCTION("""COMPUTED_VALUE"""),45978.0)</f>
        <v>45978</v>
      </c>
      <c r="D4339" s="28">
        <f>IFERROR(__xludf.DUMMYFUNCTION("""COMPUTED_VALUE"""),45987.0)</f>
        <v>45987</v>
      </c>
      <c r="E4339" s="26">
        <f>IFERROR(__xludf.DUMMYFUNCTION("""COMPUTED_VALUE"""),332161.0)</f>
        <v>332161</v>
      </c>
      <c r="F4339" s="22" t="str">
        <f>IFERROR(__xludf.DUMMYFUNCTION("""COMPUTED_VALUE"""),"ごめん、恋愛する気はない(フルカラー)")</f>
        <v>ごめん、恋愛する気はない(フルカラー)</v>
      </c>
      <c r="G4339" s="20" t="str">
        <f>IFERROR(__xludf.DUMMYFUNCTION("""COMPUTED_VALUE"""),"1～3")</f>
        <v>1～3</v>
      </c>
      <c r="H4339" s="22" t="str">
        <f>IFERROR(__xludf.DUMMYFUNCTION("""COMPUTED_VALUE"""),"BSさん")</f>
        <v>BSさん</v>
      </c>
      <c r="I4339" s="22" t="str">
        <f>IFERROR(__xludf.DUMMYFUNCTION("""COMPUTED_VALUE"""),"青年マンガ")</f>
        <v>青年マンガ</v>
      </c>
      <c r="J4339" s="22"/>
      <c r="K4339" s="22" t="str">
        <f>IFERROR(__xludf.DUMMYFUNCTION("""COMPUTED_VALUE"""),"桃色エンジェル")</f>
        <v>桃色エンジェル</v>
      </c>
      <c r="L4339" s="22" t="str">
        <f>IFERROR(__xludf.DUMMYFUNCTION("""COMPUTED_VALUE"""),"シーモアコミックス")</f>
        <v>シーモアコミックス</v>
      </c>
      <c r="M4339" s="33">
        <f>IFERROR(__xludf.DUMMYFUNCTION("""COMPUTED_VALUE"""),46018.0)</f>
        <v>46018</v>
      </c>
      <c r="N4339" s="33">
        <f>IFERROR(__xludf.DUMMYFUNCTION("""COMPUTED_VALUE"""),2958465.0)</f>
        <v>2958465</v>
      </c>
      <c r="O4339" s="20"/>
      <c r="P4339" s="32" t="str">
        <f>IFERROR(__xludf.DUMMYFUNCTION("""COMPUTED_VALUE"""),"可")</f>
        <v>可</v>
      </c>
      <c r="Q4339" s="30" t="str">
        <f>IFERROR(__xludf.DUMMYFUNCTION("""COMPUTED_VALUE"""),"【アダルト作品扱い】")</f>
        <v>【アダルト作品扱い】</v>
      </c>
      <c r="R4339" s="22"/>
      <c r="S4339" s="22" t="str">
        <f>IFERROR(__xludf.DUMMYFUNCTION("""COMPUTED_VALUE"""),"20251117_シーモアコミックス_ごめん、恋愛する気はない（フルカラー）")</f>
        <v>20251117_シーモアコミックス_ごめん、恋愛する気はない（フルカラー）</v>
      </c>
      <c r="T4339" s="22" t="str">
        <f>IFERROR(__xludf.DUMMYFUNCTION("""COMPUTED_VALUE"""),"格納済み")</f>
        <v>格納済み</v>
      </c>
      <c r="U4339" s="9" t="str">
        <f>IFERROR(__xludf.DUMMYFUNCTION("""COMPUTED_VALUE"""),"(C) BSさん/TOPCO/シーモアコミックス")</f>
        <v>(C) BSさん/TOPCO/シーモアコミックス</v>
      </c>
      <c r="V4339" s="8"/>
      <c r="W4339" s="8"/>
      <c r="X4339" s="8" t="str">
        <f>IFERROR(__xludf.DUMMYFUNCTION("""COMPUTED_VALUE"""),"有")</f>
        <v>有</v>
      </c>
      <c r="Y4339" s="8" t="str">
        <f>IFERROR(__xludf.DUMMYFUNCTION("""COMPUTED_VALUE"""),"P14まで")</f>
        <v>P14まで</v>
      </c>
      <c r="Z4339" s="7"/>
      <c r="AA4339" s="7"/>
      <c r="AB4339" s="7"/>
    </row>
    <row r="4340" ht="15.75" customHeight="1">
      <c r="A4340" s="26">
        <f>IFERROR(__xludf.DUMMYFUNCTION("""COMPUTED_VALUE"""),6897.0)</f>
        <v>6897</v>
      </c>
      <c r="B4340" s="22" t="str">
        <f>IFERROR(__xludf.DUMMYFUNCTION("""COMPUTED_VALUE"""),"確定")</f>
        <v>確定</v>
      </c>
      <c r="C4340" s="28">
        <f>IFERROR(__xludf.DUMMYFUNCTION("""COMPUTED_VALUE"""),45978.0)</f>
        <v>45978</v>
      </c>
      <c r="D4340" s="28">
        <f>IFERROR(__xludf.DUMMYFUNCTION("""COMPUTED_VALUE"""),45987.0)</f>
        <v>45987</v>
      </c>
      <c r="E4340" s="26">
        <f>IFERROR(__xludf.DUMMYFUNCTION("""COMPUTED_VALUE"""),332162.0)</f>
        <v>332162</v>
      </c>
      <c r="F4340" s="22" t="str">
        <f>IFERROR(__xludf.DUMMYFUNCTION("""COMPUTED_VALUE"""),"ごめん、恋愛する気はない【タテヨミ】")</f>
        <v>ごめん、恋愛する気はない【タテヨミ】</v>
      </c>
      <c r="G4340" s="20" t="str">
        <f>IFERROR(__xludf.DUMMYFUNCTION("""COMPUTED_VALUE"""),"1～6")</f>
        <v>1～6</v>
      </c>
      <c r="H4340" s="22" t="str">
        <f>IFERROR(__xludf.DUMMYFUNCTION("""COMPUTED_VALUE"""),"BSさん")</f>
        <v>BSさん</v>
      </c>
      <c r="I4340" s="22" t="str">
        <f>IFERROR(__xludf.DUMMYFUNCTION("""COMPUTED_VALUE"""),"青年マンガ")</f>
        <v>青年マンガ</v>
      </c>
      <c r="J4340" s="22"/>
      <c r="K4340" s="22" t="str">
        <f>IFERROR(__xludf.DUMMYFUNCTION("""COMPUTED_VALUE"""),"桃色エンジェル")</f>
        <v>桃色エンジェル</v>
      </c>
      <c r="L4340" s="22" t="str">
        <f>IFERROR(__xludf.DUMMYFUNCTION("""COMPUTED_VALUE"""),"シーモアコミックス")</f>
        <v>シーモアコミックス</v>
      </c>
      <c r="M4340" s="33">
        <f>IFERROR(__xludf.DUMMYFUNCTION("""COMPUTED_VALUE"""),46018.0)</f>
        <v>46018</v>
      </c>
      <c r="N4340" s="33">
        <f>IFERROR(__xludf.DUMMYFUNCTION("""COMPUTED_VALUE"""),2958465.0)</f>
        <v>2958465</v>
      </c>
      <c r="O4340" s="20"/>
      <c r="P4340" s="32" t="str">
        <f>IFERROR(__xludf.DUMMYFUNCTION("""COMPUTED_VALUE"""),"可")</f>
        <v>可</v>
      </c>
      <c r="Q4340" s="30" t="str">
        <f>IFERROR(__xludf.DUMMYFUNCTION("""COMPUTED_VALUE"""),"【アダルト作品扱い】&lt;BR&gt;※コマサム等素材は「332161　ごめん、恋愛する気はない(フルカラー)」の方をお使いください。バナー制作はフルカラー版の素材を利用して問題ございません。&lt;BR&gt;")</f>
        <v>【アダルト作品扱い】&lt;BR&gt;※コマサム等素材は「332161　ごめん、恋愛する気はない(フルカラー)」の方をお使いください。バナー制作はフルカラー版の素材を利用して問題ございません。&lt;BR&gt;</v>
      </c>
      <c r="R4340" s="22"/>
      <c r="S4340" s="22" t="str">
        <f>IFERROR(__xludf.DUMMYFUNCTION("""COMPUTED_VALUE"""),"20251117_シーモアコミックス_ごめん、恋愛する気はない(仮)【タテヨミ】")</f>
        <v>20251117_シーモアコミックス_ごめん、恋愛する気はない(仮)【タテヨミ】</v>
      </c>
      <c r="T4340" s="22" t="str">
        <f>IFERROR(__xludf.DUMMYFUNCTION("""COMPUTED_VALUE"""),"格納済み")</f>
        <v>格納済み</v>
      </c>
      <c r="U4340" s="9" t="str">
        <f>IFERROR(__xludf.DUMMYFUNCTION("""COMPUTED_VALUE"""),"(C) BSさん/TOPCO/シーモアコミックス")</f>
        <v>(C) BSさん/TOPCO/シーモアコミックス</v>
      </c>
      <c r="V4340" s="8"/>
      <c r="W4340" s="8"/>
      <c r="X4340" s="8" t="str">
        <f>IFERROR(__xludf.DUMMYFUNCTION("""COMPUTED_VALUE"""),"有")</f>
        <v>有</v>
      </c>
      <c r="Y4340" s="8" t="str">
        <f>IFERROR(__xludf.DUMMYFUNCTION("""COMPUTED_VALUE"""),"1巻無料")</f>
        <v>1巻無料</v>
      </c>
      <c r="Z4340" s="7"/>
      <c r="AA4340" s="7"/>
      <c r="AB4340" s="7"/>
    </row>
    <row r="4341" ht="15.75" customHeight="1">
      <c r="A4341" s="26">
        <f>IFERROR(__xludf.DUMMYFUNCTION("""COMPUTED_VALUE"""),6913.0)</f>
        <v>6913</v>
      </c>
      <c r="B4341" s="22" t="str">
        <f>IFERROR(__xludf.DUMMYFUNCTION("""COMPUTED_VALUE"""),"確定")</f>
        <v>確定</v>
      </c>
      <c r="C4341" s="28">
        <f>IFERROR(__xludf.DUMMYFUNCTION("""COMPUTED_VALUE"""),45980.0)</f>
        <v>45980</v>
      </c>
      <c r="D4341" s="28">
        <f>IFERROR(__xludf.DUMMYFUNCTION("""COMPUTED_VALUE"""),45986.0)</f>
        <v>45986</v>
      </c>
      <c r="E4341" s="26">
        <f>IFERROR(__xludf.DUMMYFUNCTION("""COMPUTED_VALUE"""),345936.0)</f>
        <v>345936</v>
      </c>
      <c r="F4341" s="22" t="str">
        <f>IFERROR(__xludf.DUMMYFUNCTION("""COMPUTED_VALUE"""),"10人のドS皇子に求婚されましたアンソロジー【TL版】")</f>
        <v>10人のドS皇子に求婚されましたアンソロジー【TL版】</v>
      </c>
      <c r="G4341" s="20" t="str">
        <f>IFERROR(__xludf.DUMMYFUNCTION("""COMPUTED_VALUE"""),"1～2")</f>
        <v>1～2</v>
      </c>
      <c r="H4341" s="22" t="str">
        <f>IFERROR(__xludf.DUMMYFUNCTION("""COMPUTED_VALUE"""),"げんじつ┴賀来ともり┴ネリタ┴まみんご。┴甘夏┴りつ┴にくあつポンチョ┴辰 ")</f>
        <v>げんじつ┴賀来ともり┴ネリタ┴まみんご。┴甘夏┴りつ┴にくあつポンチョ┴辰 </v>
      </c>
      <c r="I4341" s="22" t="str">
        <f>IFERROR(__xludf.DUMMYFUNCTION("""COMPUTED_VALUE"""),"TL")</f>
        <v>TL</v>
      </c>
      <c r="J4341" s="22"/>
      <c r="K4341" s="22" t="str">
        <f>IFERROR(__xludf.DUMMYFUNCTION("""COMPUTED_VALUE"""),"DARKMOON")</f>
        <v>DARKMOON</v>
      </c>
      <c r="L4341" s="22" t="str">
        <f>IFERROR(__xludf.DUMMYFUNCTION("""COMPUTED_VALUE"""),"クロスフォリオ出版")</f>
        <v>クロスフォリオ出版</v>
      </c>
      <c r="M4341" s="33">
        <f>IFERROR(__xludf.DUMMYFUNCTION("""COMPUTED_VALUE"""),46059.0)</f>
        <v>46059</v>
      </c>
      <c r="N4341" s="33">
        <f>IFERROR(__xludf.DUMMYFUNCTION("""COMPUTED_VALUE"""),46142.0)</f>
        <v>46142</v>
      </c>
      <c r="O4341" s="20"/>
      <c r="P4341" s="32" t="str">
        <f>IFERROR(__xludf.DUMMYFUNCTION("""COMPUTED_VALUE"""),"可")</f>
        <v>可</v>
      </c>
      <c r="Q4341" s="30" t="str">
        <f>IFERROR(__xludf.DUMMYFUNCTION("""COMPUTED_VALUE"""),"【アダルト作品扱い】&lt;BR&gt;・書店BooｋLiveとシーモアの同時先行配信")</f>
        <v>【アダルト作品扱い】&lt;BR&gt;・書店BooｋLiveとシーモアの同時先行配信</v>
      </c>
      <c r="R4341" s="22"/>
      <c r="S4341" s="22" t="str">
        <f>IFERROR(__xludf.DUMMYFUNCTION("""COMPUTED_VALUE"""),"20251119_BookLive_10人のドS皇子に求婚されましたアンソロジー")</f>
        <v>20251119_BookLive_10人のドS皇子に求婚されましたアンソロジー</v>
      </c>
      <c r="T4341" s="22" t="str">
        <f>IFERROR(__xludf.DUMMYFUNCTION("""COMPUTED_VALUE"""),"格納済み")</f>
        <v>格納済み</v>
      </c>
      <c r="U4341" s="9" t="str">
        <f>IFERROR(__xludf.DUMMYFUNCTION("""COMPUTED_VALUE"""),"(C)DARKMOON/クロスフォリオ出版")</f>
        <v>(C)DARKMOON/クロスフォリオ出版</v>
      </c>
      <c r="V4341" s="8"/>
      <c r="W4341" s="8"/>
      <c r="X4341" s="8" t="str">
        <f>IFERROR(__xludf.DUMMYFUNCTION("""COMPUTED_VALUE"""),"有")</f>
        <v>有</v>
      </c>
      <c r="Y4341" s="8" t="str">
        <f>IFERROR(__xludf.DUMMYFUNCTION("""COMPUTED_VALUE"""),"P6まで")</f>
        <v>P6まで</v>
      </c>
      <c r="Z4341" s="7"/>
      <c r="AA4341" s="7"/>
      <c r="AB4341" s="7"/>
    </row>
    <row r="4342" ht="15.75" customHeight="1">
      <c r="A4342" s="26">
        <f>IFERROR(__xludf.DUMMYFUNCTION("""COMPUTED_VALUE"""),6914.0)</f>
        <v>6914</v>
      </c>
      <c r="B4342" s="22" t="str">
        <f>IFERROR(__xludf.DUMMYFUNCTION("""COMPUTED_VALUE"""),"確定")</f>
        <v>確定</v>
      </c>
      <c r="C4342" s="28">
        <f>IFERROR(__xludf.DUMMYFUNCTION("""COMPUTED_VALUE"""),45980.0)</f>
        <v>45980</v>
      </c>
      <c r="D4342" s="28">
        <f>IFERROR(__xludf.DUMMYFUNCTION("""COMPUTED_VALUE"""),45987.0)</f>
        <v>45987</v>
      </c>
      <c r="E4342" s="26">
        <f>IFERROR(__xludf.DUMMYFUNCTION("""COMPUTED_VALUE"""),345935.0)</f>
        <v>345935</v>
      </c>
      <c r="F4342" s="22" t="str">
        <f>IFERROR(__xludf.DUMMYFUNCTION("""COMPUTED_VALUE"""),"魔女集会のあの日から ～育てた鬼の子に迫られています～【TL版】")</f>
        <v>魔女集会のあの日から ～育てた鬼の子に迫られています～【TL版】</v>
      </c>
      <c r="G4342" s="20" t="str">
        <f>IFERROR(__xludf.DUMMYFUNCTION("""COMPUTED_VALUE"""),"1～2")</f>
        <v>1～2</v>
      </c>
      <c r="H4342" s="22" t="str">
        <f>IFERROR(__xludf.DUMMYFUNCTION("""COMPUTED_VALUE"""),"甘夏┴石川奈々生")</f>
        <v>甘夏┴石川奈々生</v>
      </c>
      <c r="I4342" s="22" t="str">
        <f>IFERROR(__xludf.DUMMYFUNCTION("""COMPUTED_VALUE"""),"TL")</f>
        <v>TL</v>
      </c>
      <c r="J4342" s="22"/>
      <c r="K4342" s="22" t="str">
        <f>IFERROR(__xludf.DUMMYFUNCTION("""COMPUTED_VALUE"""),"DARKMOON")</f>
        <v>DARKMOON</v>
      </c>
      <c r="L4342" s="22" t="str">
        <f>IFERROR(__xludf.DUMMYFUNCTION("""COMPUTED_VALUE"""),"クロスフォリオ出版")</f>
        <v>クロスフォリオ出版</v>
      </c>
      <c r="M4342" s="33">
        <f>IFERROR(__xludf.DUMMYFUNCTION("""COMPUTED_VALUE"""),46059.0)</f>
        <v>46059</v>
      </c>
      <c r="N4342" s="33">
        <f>IFERROR(__xludf.DUMMYFUNCTION("""COMPUTED_VALUE"""),46142.0)</f>
        <v>46142</v>
      </c>
      <c r="O4342" s="20"/>
      <c r="P4342" s="32" t="str">
        <f>IFERROR(__xludf.DUMMYFUNCTION("""COMPUTED_VALUE"""),"可")</f>
        <v>可</v>
      </c>
      <c r="Q4342" s="30" t="str">
        <f>IFERROR(__xludf.DUMMYFUNCTION("""COMPUTED_VALUE"""),"【アダルト作品扱い】※少年の自慰描写のある1話3~5ぺージは「バナー使用不可」・書店BooｋLiveとシーモアの同時先行配信")</f>
        <v>【アダルト作品扱い】※少年の自慰描写のある1話3~5ぺージは「バナー使用不可」・書店BooｋLiveとシーモアの同時先行配信</v>
      </c>
      <c r="R4342" s="22"/>
      <c r="S4342" s="22" t="str">
        <f>IFERROR(__xludf.DUMMYFUNCTION("""COMPUTED_VALUE"""),"20251119_BookLive_魔女集会のあの日から ～育てた鬼の子に迫られています～")</f>
        <v>20251119_BookLive_魔女集会のあの日から ～育てた鬼の子に迫られています～</v>
      </c>
      <c r="T4342" s="22" t="str">
        <f>IFERROR(__xludf.DUMMYFUNCTION("""COMPUTED_VALUE"""),"格納済み")</f>
        <v>格納済み</v>
      </c>
      <c r="U4342" s="9" t="str">
        <f>IFERROR(__xludf.DUMMYFUNCTION("""COMPUTED_VALUE"""),"(C)甘夏/石川奈々生/DARKMOON/クロスフォリオ出版")</f>
        <v>(C)甘夏/石川奈々生/DARKMOON/クロスフォリオ出版</v>
      </c>
      <c r="V4342" s="8"/>
      <c r="W4342" s="8"/>
      <c r="X4342" s="8" t="str">
        <f>IFERROR(__xludf.DUMMYFUNCTION("""COMPUTED_VALUE"""),"有")</f>
        <v>有</v>
      </c>
      <c r="Y4342" s="8" t="str">
        <f>IFERROR(__xludf.DUMMYFUNCTION("""COMPUTED_VALUE"""),"P6まで")</f>
        <v>P6まで</v>
      </c>
      <c r="Z4342" s="7"/>
      <c r="AA4342" s="7"/>
      <c r="AB4342" s="7"/>
    </row>
    <row r="4343" ht="15.75" customHeight="1">
      <c r="A4343" s="26">
        <f>IFERROR(__xludf.DUMMYFUNCTION("""COMPUTED_VALUE"""),6920.0)</f>
        <v>6920</v>
      </c>
      <c r="B4343" s="22" t="str">
        <f>IFERROR(__xludf.DUMMYFUNCTION("""COMPUTED_VALUE"""),"確定")</f>
        <v>確定</v>
      </c>
      <c r="C4343" s="28">
        <f>IFERROR(__xludf.DUMMYFUNCTION("""COMPUTED_VALUE"""),45981.0)</f>
        <v>45981</v>
      </c>
      <c r="D4343" s="28">
        <f>IFERROR(__xludf.DUMMYFUNCTION("""COMPUTED_VALUE"""),45986.0)</f>
        <v>45986</v>
      </c>
      <c r="E4343" s="26">
        <f>IFERROR(__xludf.DUMMYFUNCTION("""COMPUTED_VALUE"""),348457.0)</f>
        <v>348457</v>
      </c>
      <c r="F4343" s="22" t="str">
        <f>IFERROR(__xludf.DUMMYFUNCTION("""COMPUTED_VALUE"""),"勘違いだよね？瀬尾くん。【単話版】")</f>
        <v>勘違いだよね？瀬尾くん。【単話版】</v>
      </c>
      <c r="G4343" s="20" t="str">
        <f>IFERROR(__xludf.DUMMYFUNCTION("""COMPUTED_VALUE"""),"1～3")</f>
        <v>1～3</v>
      </c>
      <c r="H4343" s="22" t="str">
        <f>IFERROR(__xludf.DUMMYFUNCTION("""COMPUTED_VALUE"""),"花倉ヨル（作画）、木原あざみ（原作）")</f>
        <v>花倉ヨル（作画）、木原あざみ（原作）</v>
      </c>
      <c r="I4343" s="22" t="str">
        <f>IFERROR(__xludf.DUMMYFUNCTION("""COMPUTED_VALUE"""),"BL")</f>
        <v>BL</v>
      </c>
      <c r="J4343" s="22"/>
      <c r="K4343" s="22" t="str">
        <f>IFERROR(__xludf.DUMMYFUNCTION("""COMPUTED_VALUE"""),"Beluckコミック")</f>
        <v>Beluckコミック</v>
      </c>
      <c r="L4343" s="22" t="str">
        <f>IFERROR(__xludf.DUMMYFUNCTION("""COMPUTED_VALUE"""),"スターツ出版")</f>
        <v>スターツ出版</v>
      </c>
      <c r="M4343" s="33">
        <f>IFERROR(__xludf.DUMMYFUNCTION("""COMPUTED_VALUE"""),46024.0)</f>
        <v>46024</v>
      </c>
      <c r="N4343" s="33">
        <f>IFERROR(__xludf.DUMMYFUNCTION("""COMPUTED_VALUE"""),46058.0)</f>
        <v>46058</v>
      </c>
      <c r="O4343" s="20"/>
      <c r="P4343" s="32" t="str">
        <f>IFERROR(__xludf.DUMMYFUNCTION("""COMPUTED_VALUE"""),"否")</f>
        <v>否</v>
      </c>
      <c r="Q4343" s="30"/>
      <c r="R4343" s="22"/>
      <c r="S4343" s="22" t="str">
        <f>IFERROR(__xludf.DUMMYFUNCTION("""COMPUTED_VALUE"""),"20251120_スターツ出版_勘違いだよね？瀬尾くん。")</f>
        <v>20251120_スターツ出版_勘違いだよね？瀬尾くん。</v>
      </c>
      <c r="T4343" s="22" t="str">
        <f>IFERROR(__xludf.DUMMYFUNCTION("""COMPUTED_VALUE"""),"格納済み")</f>
        <v>格納済み</v>
      </c>
      <c r="U4343" s="9" t="str">
        <f>IFERROR(__xludf.DUMMYFUNCTION("""COMPUTED_VALUE"""),"（C）Yoru Hanakura・Azami Kinohara/スターツ出版")</f>
        <v>（C）Yoru Hanakura・Azami Kinohara/スターツ出版</v>
      </c>
      <c r="V4343" s="8"/>
      <c r="W4343" s="8"/>
      <c r="X4343" s="8" t="str">
        <f>IFERROR(__xludf.DUMMYFUNCTION("""COMPUTED_VALUE"""),"有")</f>
        <v>有</v>
      </c>
      <c r="Y4343" s="8" t="str">
        <f>IFERROR(__xludf.DUMMYFUNCTION("""COMPUTED_VALUE"""),"2026/1/15まで1巻無料")</f>
        <v>2026/1/15まで1巻無料</v>
      </c>
      <c r="Z4343" s="7"/>
      <c r="AA4343" s="7"/>
      <c r="AB4343" s="7"/>
    </row>
    <row r="4344" ht="15.75" customHeight="1">
      <c r="A4344" s="26">
        <f>IFERROR(__xludf.DUMMYFUNCTION("""COMPUTED_VALUE"""),6925.0)</f>
        <v>6925</v>
      </c>
      <c r="B4344" s="22" t="str">
        <f>IFERROR(__xludf.DUMMYFUNCTION("""COMPUTED_VALUE"""),"確定")</f>
        <v>確定</v>
      </c>
      <c r="C4344" s="28">
        <f>IFERROR(__xludf.DUMMYFUNCTION("""COMPUTED_VALUE"""),45981.0)</f>
        <v>45981</v>
      </c>
      <c r="D4344" s="28">
        <f>IFERROR(__xludf.DUMMYFUNCTION("""COMPUTED_VALUE"""),45986.0)</f>
        <v>45986</v>
      </c>
      <c r="E4344" s="26">
        <f>IFERROR(__xludf.DUMMYFUNCTION("""COMPUTED_VALUE"""),345748.0)</f>
        <v>345748</v>
      </c>
      <c r="F4344" s="22" t="str">
        <f>IFERROR(__xludf.DUMMYFUNCTION("""COMPUTED_VALUE"""),"【分冊版】世にも奇妙な悪辣姫の物語")</f>
        <v>【分冊版】世にも奇妙な悪辣姫の物語</v>
      </c>
      <c r="G4344" s="20" t="str">
        <f>IFERROR(__xludf.DUMMYFUNCTION("""COMPUTED_VALUE"""),"1～4")</f>
        <v>1～4</v>
      </c>
      <c r="H4344" s="22" t="str">
        <f>IFERROR(__xludf.DUMMYFUNCTION("""COMPUTED_VALUE"""),"糸田恵子┴玉響なつめ")</f>
        <v>糸田恵子┴玉響なつめ</v>
      </c>
      <c r="I4344" s="22" t="str">
        <f>IFERROR(__xludf.DUMMYFUNCTION("""COMPUTED_VALUE"""),"少女マンガ")</f>
        <v>少女マンガ</v>
      </c>
      <c r="J4344" s="22"/>
      <c r="K4344" s="22"/>
      <c r="L4344" s="22" t="str">
        <f>IFERROR(__xludf.DUMMYFUNCTION("""COMPUTED_VALUE"""),"フロンティアワークス")</f>
        <v>フロンティアワークス</v>
      </c>
      <c r="M4344" s="33">
        <f>IFERROR(__xludf.DUMMYFUNCTION("""COMPUTED_VALUE"""),46021.0)</f>
        <v>46021</v>
      </c>
      <c r="N4344" s="33">
        <f>IFERROR(__xludf.DUMMYFUNCTION("""COMPUTED_VALUE"""),46110.0)</f>
        <v>46110</v>
      </c>
      <c r="O4344" s="20"/>
      <c r="P4344" s="32" t="str">
        <f>IFERROR(__xludf.DUMMYFUNCTION("""COMPUTED_VALUE"""),"可")</f>
        <v>可</v>
      </c>
      <c r="Q4344" s="30"/>
      <c r="R4344" s="22"/>
      <c r="S4344" s="22" t="str">
        <f>IFERROR(__xludf.DUMMYFUNCTION("""COMPUTED_VALUE"""),"20251120_ フロンティアワークス_世にも奇妙な悪辣姫の物語")</f>
        <v>20251120_ フロンティアワークス_世にも奇妙な悪辣姫の物語</v>
      </c>
      <c r="T4344" s="22" t="str">
        <f>IFERROR(__xludf.DUMMYFUNCTION("""COMPUTED_VALUE"""),"格納済み")</f>
        <v>格納済み</v>
      </c>
      <c r="U4344" s="9" t="str">
        <f>IFERROR(__xludf.DUMMYFUNCTION("""COMPUTED_VALUE"""),"ⒸITODA KEIKO・TAMAYURA NATSUME/Frontier Works Inc.")</f>
        <v>ⒸITODA KEIKO・TAMAYURA NATSUME/Frontier Works Inc.</v>
      </c>
      <c r="V4344" s="8"/>
      <c r="W4344" s="8"/>
      <c r="X4344" s="8" t="str">
        <f>IFERROR(__xludf.DUMMYFUNCTION("""COMPUTED_VALUE"""),"有")</f>
        <v>有</v>
      </c>
      <c r="Y4344" s="8" t="str">
        <f>IFERROR(__xludf.DUMMYFUNCTION("""COMPUTED_VALUE"""),"1巻無料")</f>
        <v>1巻無料</v>
      </c>
      <c r="Z4344" s="7"/>
      <c r="AA4344" s="7"/>
      <c r="AB4344" s="7"/>
    </row>
    <row r="4345" ht="15.75" customHeight="1">
      <c r="A4345" s="26">
        <f>IFERROR(__xludf.DUMMYFUNCTION("""COMPUTED_VALUE"""),6930.0)</f>
        <v>6930</v>
      </c>
      <c r="B4345" s="22" t="str">
        <f>IFERROR(__xludf.DUMMYFUNCTION("""COMPUTED_VALUE"""),"確定")</f>
        <v>確定</v>
      </c>
      <c r="C4345" s="28">
        <f>IFERROR(__xludf.DUMMYFUNCTION("""COMPUTED_VALUE"""),45982.0)</f>
        <v>45982</v>
      </c>
      <c r="D4345" s="28">
        <f>IFERROR(__xludf.DUMMYFUNCTION("""COMPUTED_VALUE"""),45987.0)</f>
        <v>45987</v>
      </c>
      <c r="E4345" s="26">
        <f>IFERROR(__xludf.DUMMYFUNCTION("""COMPUTED_VALUE"""),322272.0)</f>
        <v>322272</v>
      </c>
      <c r="F4345" s="22" t="str">
        <f>IFERROR(__xludf.DUMMYFUNCTION("""COMPUTED_VALUE"""),"龍が娶るは災禍の娘")</f>
        <v>龍が娶るは災禍の娘</v>
      </c>
      <c r="G4345" s="20" t="str">
        <f>IFERROR(__xludf.DUMMYFUNCTION("""COMPUTED_VALUE"""),"1～3")</f>
        <v>1～3</v>
      </c>
      <c r="H4345" s="22" t="str">
        <f>IFERROR(__xludf.DUMMYFUNCTION("""COMPUTED_VALUE"""),"菅原三月香,天埜ありさ")</f>
        <v>菅原三月香,天埜ありさ</v>
      </c>
      <c r="I4345" s="22" t="str">
        <f>IFERROR(__xludf.DUMMYFUNCTION("""COMPUTED_VALUE"""),"少女マンガ")</f>
        <v>少女マンガ</v>
      </c>
      <c r="J4345" s="22"/>
      <c r="K4345" s="22" t="str">
        <f>IFERROR(__xludf.DUMMYFUNCTION("""COMPUTED_VALUE"""),"トレモア・ロマンス,トレモアcollection")</f>
        <v>トレモア・ロマンス,トレモアcollection</v>
      </c>
      <c r="L4345" s="22" t="str">
        <f>IFERROR(__xludf.DUMMYFUNCTION("""COMPUTED_VALUE"""),"シーモアコミックス（トレモア）")</f>
        <v>シーモアコミックス（トレモア）</v>
      </c>
      <c r="M4345" s="33">
        <f>IFERROR(__xludf.DUMMYFUNCTION("""COMPUTED_VALUE"""),46024.0)</f>
        <v>46024</v>
      </c>
      <c r="N4345" s="33">
        <f>IFERROR(__xludf.DUMMYFUNCTION("""COMPUTED_VALUE"""),2958465.0)</f>
        <v>2958465</v>
      </c>
      <c r="O4345" s="20"/>
      <c r="P4345" s="32" t="str">
        <f>IFERROR(__xludf.DUMMYFUNCTION("""COMPUTED_VALUE"""),"可")</f>
        <v>可</v>
      </c>
      <c r="Q4345" s="30"/>
      <c r="R4345" s="22"/>
      <c r="S4345" s="22" t="str">
        <f>IFERROR(__xludf.DUMMYFUNCTION("""COMPUTED_VALUE"""),"20251121_シーモアコミックス_龍が娶るは災禍の娘")</f>
        <v>20251121_シーモアコミックス_龍が娶るは災禍の娘</v>
      </c>
      <c r="T4345" s="22" t="str">
        <f>IFERROR(__xludf.DUMMYFUNCTION("""COMPUTED_VALUE"""),"格納済み")</f>
        <v>格納済み</v>
      </c>
      <c r="U4345" s="9" t="str">
        <f>IFERROR(__xludf.DUMMYFUNCTION("""COMPUTED_VALUE"""),"(C) 菅原三月香/天埜ありさ/シーモアコミックス")</f>
        <v>(C) 菅原三月香/天埜ありさ/シーモアコミックス</v>
      </c>
      <c r="V4345" s="8"/>
      <c r="W4345" s="8"/>
      <c r="X4345" s="8" t="str">
        <f>IFERROR(__xludf.DUMMYFUNCTION("""COMPUTED_VALUE"""),"有")</f>
        <v>有</v>
      </c>
      <c r="Y4345" s="8" t="str">
        <f>IFERROR(__xludf.DUMMYFUNCTION("""COMPUTED_VALUE"""),"P13まで")</f>
        <v>P13まで</v>
      </c>
      <c r="Z4345" s="7"/>
      <c r="AA4345" s="7"/>
      <c r="AB4345" s="7"/>
    </row>
    <row r="4346" ht="15.75" customHeight="1">
      <c r="A4346" s="26">
        <f>IFERROR(__xludf.DUMMYFUNCTION("""COMPUTED_VALUE"""),6931.0)</f>
        <v>6931</v>
      </c>
      <c r="B4346" s="22" t="str">
        <f>IFERROR(__xludf.DUMMYFUNCTION("""COMPUTED_VALUE"""),"確定")</f>
        <v>確定</v>
      </c>
      <c r="C4346" s="28">
        <f>IFERROR(__xludf.DUMMYFUNCTION("""COMPUTED_VALUE"""),45982.0)</f>
        <v>45982</v>
      </c>
      <c r="D4346" s="28">
        <f>IFERROR(__xludf.DUMMYFUNCTION("""COMPUTED_VALUE"""),45987.0)</f>
        <v>45987</v>
      </c>
      <c r="E4346" s="26">
        <f>IFERROR(__xludf.DUMMYFUNCTION("""COMPUTED_VALUE"""),328320.0)</f>
        <v>328320</v>
      </c>
      <c r="F4346" s="22" t="str">
        <f>IFERROR(__xludf.DUMMYFUNCTION("""COMPUTED_VALUE"""),"鬼神、月に契る恋～虐げられた贄の巫女が溺愛されるまで～(フルカラー)")</f>
        <v>鬼神、月に契る恋～虐げられた贄の巫女が溺愛されるまで～(フルカラー)</v>
      </c>
      <c r="G4346" s="20" t="str">
        <f>IFERROR(__xludf.DUMMYFUNCTION("""COMPUTED_VALUE"""),"1～3")</f>
        <v>1～3</v>
      </c>
      <c r="H4346" s="22" t="str">
        <f>IFERROR(__xludf.DUMMYFUNCTION("""COMPUTED_VALUE"""),"中原美穂,加坂くれは,中臣悠月,Natsuki,Pate,LucianFrey,PHY,D.s.w")</f>
        <v>中原美穂,加坂くれは,中臣悠月,Natsuki,Pate,LucianFrey,PHY,D.s.w</v>
      </c>
      <c r="I4346" s="22" t="str">
        <f>IFERROR(__xludf.DUMMYFUNCTION("""COMPUTED_VALUE"""),"少女マンガ")</f>
        <v>少女マンガ</v>
      </c>
      <c r="J4346" s="22"/>
      <c r="K4346" s="22" t="str">
        <f>IFERROR(__xludf.DUMMYFUNCTION("""COMPUTED_VALUE"""),"トレモア・ロマンス,トレモアcollection")</f>
        <v>トレモア・ロマンス,トレモアcollection</v>
      </c>
      <c r="L4346" s="22" t="str">
        <f>IFERROR(__xludf.DUMMYFUNCTION("""COMPUTED_VALUE"""),"シーモアコミックス（トレモア）")</f>
        <v>シーモアコミックス（トレモア）</v>
      </c>
      <c r="M4346" s="33">
        <f>IFERROR(__xludf.DUMMYFUNCTION("""COMPUTED_VALUE"""),46024.0)</f>
        <v>46024</v>
      </c>
      <c r="N4346" s="33">
        <f>IFERROR(__xludf.DUMMYFUNCTION("""COMPUTED_VALUE"""),2958465.0)</f>
        <v>2958465</v>
      </c>
      <c r="O4346" s="20"/>
      <c r="P4346" s="32" t="str">
        <f>IFERROR(__xludf.DUMMYFUNCTION("""COMPUTED_VALUE"""),"可")</f>
        <v>可</v>
      </c>
      <c r="Q4346" s="30"/>
      <c r="R4346" s="22"/>
      <c r="S4346" s="22" t="str">
        <f>IFERROR(__xludf.DUMMYFUNCTION("""COMPUTED_VALUE"""),"20251121_シーモアコミックス_鬼神、月に契る恋～虐げられた贄の巫女が溺愛されるまで～（フルカラー）")</f>
        <v>20251121_シーモアコミックス_鬼神、月に契る恋～虐げられた贄の巫女が溺愛されるまで～（フルカラー）</v>
      </c>
      <c r="T4346" s="22" t="str">
        <f>IFERROR(__xludf.DUMMYFUNCTION("""COMPUTED_VALUE"""),"格納済み")</f>
        <v>格納済み</v>
      </c>
      <c r="U4346" s="9" t="str">
        <f>IFERROR(__xludf.DUMMYFUNCTION("""COMPUTED_VALUE"""),"(C) 中原美穂/加坂くれは/中臣悠月/Natsuki/Pate/LucianFrey/PHY/D.s.w/シーモアコミックス")</f>
        <v>(C) 中原美穂/加坂くれは/中臣悠月/Natsuki/Pate/LucianFrey/PHY/D.s.w/シーモアコミックス</v>
      </c>
      <c r="V4346" s="8"/>
      <c r="W4346" s="8"/>
      <c r="X4346" s="8" t="str">
        <f>IFERROR(__xludf.DUMMYFUNCTION("""COMPUTED_VALUE"""),"有")</f>
        <v>有</v>
      </c>
      <c r="Y4346" s="8" t="str">
        <f>IFERROR(__xludf.DUMMYFUNCTION("""COMPUTED_VALUE"""),"P31まで")</f>
        <v>P31まで</v>
      </c>
      <c r="Z4346" s="7"/>
      <c r="AA4346" s="7"/>
      <c r="AB4346" s="7"/>
    </row>
    <row r="4347" ht="15.75" customHeight="1">
      <c r="A4347" s="26">
        <f>IFERROR(__xludf.DUMMYFUNCTION("""COMPUTED_VALUE"""),6932.0)</f>
        <v>6932</v>
      </c>
      <c r="B4347" s="22" t="str">
        <f>IFERROR(__xludf.DUMMYFUNCTION("""COMPUTED_VALUE"""),"確定")</f>
        <v>確定</v>
      </c>
      <c r="C4347" s="28">
        <f>IFERROR(__xludf.DUMMYFUNCTION("""COMPUTED_VALUE"""),45982.0)</f>
        <v>45982</v>
      </c>
      <c r="D4347" s="28">
        <f>IFERROR(__xludf.DUMMYFUNCTION("""COMPUTED_VALUE"""),45987.0)</f>
        <v>45987</v>
      </c>
      <c r="E4347" s="26">
        <f>IFERROR(__xludf.DUMMYFUNCTION("""COMPUTED_VALUE"""),328321.0)</f>
        <v>328321</v>
      </c>
      <c r="F4347" s="22" t="str">
        <f>IFERROR(__xludf.DUMMYFUNCTION("""COMPUTED_VALUE"""),"鬼神、月に契る恋～虐げられた贄の巫女が溺愛されるまで～【タテヨミ】")</f>
        <v>鬼神、月に契る恋～虐げられた贄の巫女が溺愛されるまで～【タテヨミ】</v>
      </c>
      <c r="G4347" s="20" t="str">
        <f>IFERROR(__xludf.DUMMYFUNCTION("""COMPUTED_VALUE"""),"1～9")</f>
        <v>1～9</v>
      </c>
      <c r="H4347" s="22" t="str">
        <f>IFERROR(__xludf.DUMMYFUNCTION("""COMPUTED_VALUE"""),"中原美穂,加坂くれは,中臣悠月,Natsuki,Pate,LucianFrey,PHY,D.s.w")</f>
        <v>中原美穂,加坂くれは,中臣悠月,Natsuki,Pate,LucianFrey,PHY,D.s.w</v>
      </c>
      <c r="I4347" s="22" t="str">
        <f>IFERROR(__xludf.DUMMYFUNCTION("""COMPUTED_VALUE"""),"少女マンガ")</f>
        <v>少女マンガ</v>
      </c>
      <c r="J4347" s="22"/>
      <c r="K4347" s="22" t="str">
        <f>IFERROR(__xludf.DUMMYFUNCTION("""COMPUTED_VALUE"""),"トレモア・ロマンス,トレモアcollection")</f>
        <v>トレモア・ロマンス,トレモアcollection</v>
      </c>
      <c r="L4347" s="22" t="str">
        <f>IFERROR(__xludf.DUMMYFUNCTION("""COMPUTED_VALUE"""),"シーモアコミックス（トレモア）")</f>
        <v>シーモアコミックス（トレモア）</v>
      </c>
      <c r="M4347" s="33">
        <f>IFERROR(__xludf.DUMMYFUNCTION("""COMPUTED_VALUE"""),46024.0)</f>
        <v>46024</v>
      </c>
      <c r="N4347" s="33">
        <f>IFERROR(__xludf.DUMMYFUNCTION("""COMPUTED_VALUE"""),2958465.0)</f>
        <v>2958465</v>
      </c>
      <c r="O4347" s="20"/>
      <c r="P4347" s="32" t="str">
        <f>IFERROR(__xludf.DUMMYFUNCTION("""COMPUTED_VALUE"""),"可")</f>
        <v>可</v>
      </c>
      <c r="Q4347" s="30" t="str">
        <f>IFERROR(__xludf.DUMMYFUNCTION("""COMPUTED_VALUE"""),"※コマサム・バナー等素材はフルカラーの方をお使いください")</f>
        <v>※コマサム・バナー等素材はフルカラーの方をお使いください</v>
      </c>
      <c r="R4347" s="22"/>
      <c r="S4347" s="22" t="str">
        <f>IFERROR(__xludf.DUMMYFUNCTION("""COMPUTED_VALUE"""),"20251121_シーモアコミックス_鬼神、月に契る恋～虐げられた贄の巫女が溺愛されるまで～【タテヨミ】")</f>
        <v>20251121_シーモアコミックス_鬼神、月に契る恋～虐げられた贄の巫女が溺愛されるまで～【タテヨミ】</v>
      </c>
      <c r="T4347" s="22" t="str">
        <f>IFERROR(__xludf.DUMMYFUNCTION("""COMPUTED_VALUE"""),"格納済み")</f>
        <v>格納済み</v>
      </c>
      <c r="U4347" s="9" t="str">
        <f>IFERROR(__xludf.DUMMYFUNCTION("""COMPUTED_VALUE"""),"(C) 中原美穂/加坂くれは/中臣悠月/Natsuki/Pate/LucianFrey/PHY/D.s.w/シーモアコミックス")</f>
        <v>(C) 中原美穂/加坂くれは/中臣悠月/Natsuki/Pate/LucianFrey/PHY/D.s.w/シーモアコミックス</v>
      </c>
      <c r="V4347" s="8"/>
      <c r="W4347" s="8"/>
      <c r="X4347" s="8" t="str">
        <f>IFERROR(__xludf.DUMMYFUNCTION("""COMPUTED_VALUE"""),"有")</f>
        <v>有</v>
      </c>
      <c r="Y4347" s="8" t="str">
        <f>IFERROR(__xludf.DUMMYFUNCTION("""COMPUTED_VALUE"""),"1巻無料")</f>
        <v>1巻無料</v>
      </c>
      <c r="Z4347" s="7"/>
      <c r="AA4347" s="7"/>
      <c r="AB4347" s="7"/>
    </row>
    <row r="4348" ht="15.75" customHeight="1">
      <c r="A4348" s="26">
        <f>IFERROR(__xludf.DUMMYFUNCTION("""COMPUTED_VALUE"""),6933.0)</f>
        <v>6933</v>
      </c>
      <c r="B4348" s="22" t="str">
        <f>IFERROR(__xludf.DUMMYFUNCTION("""COMPUTED_VALUE"""),"確定")</f>
        <v>確定</v>
      </c>
      <c r="C4348" s="28">
        <f>IFERROR(__xludf.DUMMYFUNCTION("""COMPUTED_VALUE"""),45982.0)</f>
        <v>45982</v>
      </c>
      <c r="D4348" s="28">
        <f>IFERROR(__xludf.DUMMYFUNCTION("""COMPUTED_VALUE"""),45987.0)</f>
        <v>45987</v>
      </c>
      <c r="E4348" s="26">
        <f>IFERROR(__xludf.DUMMYFUNCTION("""COMPUTED_VALUE"""),334325.0)</f>
        <v>334325</v>
      </c>
      <c r="F4348" s="22" t="str">
        <f>IFERROR(__xludf.DUMMYFUNCTION("""COMPUTED_VALUE"""),"吸血公爵の愛が深すぎる(フルカラー)")</f>
        <v>吸血公爵の愛が深すぎる(フルカラー)</v>
      </c>
      <c r="G4348" s="20" t="str">
        <f>IFERROR(__xludf.DUMMYFUNCTION("""COMPUTED_VALUE"""),"1～3")</f>
        <v>1～3</v>
      </c>
      <c r="H4348" s="22" t="str">
        <f>IFERROR(__xludf.DUMMYFUNCTION("""COMPUTED_VALUE"""),"昼夜,伊賀崎,ソラノキ,ぐりはな,夏瀬りく,加坂くれは,しぐきち,まみず,D.s.w")</f>
        <v>昼夜,伊賀崎,ソラノキ,ぐりはな,夏瀬りく,加坂くれは,しぐきち,まみず,D.s.w</v>
      </c>
      <c r="I4348" s="22" t="str">
        <f>IFERROR(__xludf.DUMMYFUNCTION("""COMPUTED_VALUE"""),"少女マンガ")</f>
        <v>少女マンガ</v>
      </c>
      <c r="J4348" s="22"/>
      <c r="K4348" s="22" t="str">
        <f>IFERROR(__xludf.DUMMYFUNCTION("""COMPUTED_VALUE"""),"トレモア・ロマンス,トレモアcollection")</f>
        <v>トレモア・ロマンス,トレモアcollection</v>
      </c>
      <c r="L4348" s="22" t="str">
        <f>IFERROR(__xludf.DUMMYFUNCTION("""COMPUTED_VALUE"""),"シーモアコミックス（トレモア）")</f>
        <v>シーモアコミックス（トレモア）</v>
      </c>
      <c r="M4348" s="33">
        <f>IFERROR(__xludf.DUMMYFUNCTION("""COMPUTED_VALUE"""),46024.0)</f>
        <v>46024</v>
      </c>
      <c r="N4348" s="33">
        <f>IFERROR(__xludf.DUMMYFUNCTION("""COMPUTED_VALUE"""),2958465.0)</f>
        <v>2958465</v>
      </c>
      <c r="O4348" s="20"/>
      <c r="P4348" s="32" t="str">
        <f>IFERROR(__xludf.DUMMYFUNCTION("""COMPUTED_VALUE"""),"可")</f>
        <v>可</v>
      </c>
      <c r="Q4348" s="30"/>
      <c r="R4348" s="22"/>
      <c r="S4348" s="22" t="str">
        <f>IFERROR(__xludf.DUMMYFUNCTION("""COMPUTED_VALUE"""),"20251121_シーモアコミックス_吸血公爵の愛が深すぎる（フルカラー）")</f>
        <v>20251121_シーモアコミックス_吸血公爵の愛が深すぎる（フルカラー）</v>
      </c>
      <c r="T4348" s="22" t="str">
        <f>IFERROR(__xludf.DUMMYFUNCTION("""COMPUTED_VALUE"""),"格納済み")</f>
        <v>格納済み</v>
      </c>
      <c r="U4348" s="9" t="str">
        <f>IFERROR(__xludf.DUMMYFUNCTION("""COMPUTED_VALUE"""),"(C) 昼夜/伊賀崎/ソラノキ/ぐりはな/夏瀬りく/加坂くれは/しぐきち/まみず/D.s.w/シーモアコミックス")</f>
        <v>(C) 昼夜/伊賀崎/ソラノキ/ぐりはな/夏瀬りく/加坂くれは/しぐきち/まみず/D.s.w/シーモアコミックス</v>
      </c>
      <c r="V4348" s="8"/>
      <c r="W4348" s="8"/>
      <c r="X4348" s="8" t="str">
        <f>IFERROR(__xludf.DUMMYFUNCTION("""COMPUTED_VALUE"""),"有")</f>
        <v>有</v>
      </c>
      <c r="Y4348" s="8" t="str">
        <f>IFERROR(__xludf.DUMMYFUNCTION("""COMPUTED_VALUE"""),"P20まで")</f>
        <v>P20まで</v>
      </c>
      <c r="Z4348" s="7"/>
      <c r="AA4348" s="7"/>
      <c r="AB4348" s="7"/>
    </row>
    <row r="4349" ht="15.75" customHeight="1">
      <c r="A4349" s="26">
        <f>IFERROR(__xludf.DUMMYFUNCTION("""COMPUTED_VALUE"""),6934.0)</f>
        <v>6934</v>
      </c>
      <c r="B4349" s="22" t="str">
        <f>IFERROR(__xludf.DUMMYFUNCTION("""COMPUTED_VALUE"""),"確定")</f>
        <v>確定</v>
      </c>
      <c r="C4349" s="28">
        <f>IFERROR(__xludf.DUMMYFUNCTION("""COMPUTED_VALUE"""),45982.0)</f>
        <v>45982</v>
      </c>
      <c r="D4349" s="28">
        <f>IFERROR(__xludf.DUMMYFUNCTION("""COMPUTED_VALUE"""),45987.0)</f>
        <v>45987</v>
      </c>
      <c r="E4349" s="26">
        <f>IFERROR(__xludf.DUMMYFUNCTION("""COMPUTED_VALUE"""),334326.0)</f>
        <v>334326</v>
      </c>
      <c r="F4349" s="22" t="str">
        <f>IFERROR(__xludf.DUMMYFUNCTION("""COMPUTED_VALUE"""),"吸血公爵の愛が深すぎる【タテヨミ】")</f>
        <v>吸血公爵の愛が深すぎる【タテヨミ】</v>
      </c>
      <c r="G4349" s="20" t="str">
        <f>IFERROR(__xludf.DUMMYFUNCTION("""COMPUTED_VALUE"""),"1～9")</f>
        <v>1～9</v>
      </c>
      <c r="H4349" s="22" t="str">
        <f>IFERROR(__xludf.DUMMYFUNCTION("""COMPUTED_VALUE"""),"昼夜,伊賀崎,ソラノキ,ぐりはな,夏瀬りく,加坂くれは,しぐきち,まみず,D.s.w")</f>
        <v>昼夜,伊賀崎,ソラノキ,ぐりはな,夏瀬りく,加坂くれは,しぐきち,まみず,D.s.w</v>
      </c>
      <c r="I4349" s="22" t="str">
        <f>IFERROR(__xludf.DUMMYFUNCTION("""COMPUTED_VALUE"""),"少女マンガ")</f>
        <v>少女マンガ</v>
      </c>
      <c r="J4349" s="22"/>
      <c r="K4349" s="22" t="str">
        <f>IFERROR(__xludf.DUMMYFUNCTION("""COMPUTED_VALUE"""),"トレモア・ロマンス,トレモアcollection")</f>
        <v>トレモア・ロマンス,トレモアcollection</v>
      </c>
      <c r="L4349" s="22" t="str">
        <f>IFERROR(__xludf.DUMMYFUNCTION("""COMPUTED_VALUE"""),"シーモアコミックス（トレモア）")</f>
        <v>シーモアコミックス（トレモア）</v>
      </c>
      <c r="M4349" s="33">
        <f>IFERROR(__xludf.DUMMYFUNCTION("""COMPUTED_VALUE"""),46024.0)</f>
        <v>46024</v>
      </c>
      <c r="N4349" s="33">
        <f>IFERROR(__xludf.DUMMYFUNCTION("""COMPUTED_VALUE"""),2958465.0)</f>
        <v>2958465</v>
      </c>
      <c r="O4349" s="20"/>
      <c r="P4349" s="32" t="str">
        <f>IFERROR(__xludf.DUMMYFUNCTION("""COMPUTED_VALUE"""),"可")</f>
        <v>可</v>
      </c>
      <c r="Q4349" s="30" t="str">
        <f>IFERROR(__xludf.DUMMYFUNCTION("""COMPUTED_VALUE"""),"※コマサム・バナー等素材はフルカラーの方をお使いください")</f>
        <v>※コマサム・バナー等素材はフルカラーの方をお使いください</v>
      </c>
      <c r="R4349" s="22"/>
      <c r="S4349" s="22" t="str">
        <f>IFERROR(__xludf.DUMMYFUNCTION("""COMPUTED_VALUE"""),"20251121_シーモアコミックス_吸血公爵の愛が深すぎる【タテヨミ】")</f>
        <v>20251121_シーモアコミックス_吸血公爵の愛が深すぎる【タテヨミ】</v>
      </c>
      <c r="T4349" s="22" t="str">
        <f>IFERROR(__xludf.DUMMYFUNCTION("""COMPUTED_VALUE"""),"格納済み")</f>
        <v>格納済み</v>
      </c>
      <c r="U4349" s="9" t="str">
        <f>IFERROR(__xludf.DUMMYFUNCTION("""COMPUTED_VALUE"""),"(C) 昼夜/伊賀崎/ソラノキ/ぐりはな/夏瀬りく/加坂くれは/しぐきち/まみず/D.s.w/シーモアコミックス")</f>
        <v>(C) 昼夜/伊賀崎/ソラノキ/ぐりはな/夏瀬りく/加坂くれは/しぐきち/まみず/D.s.w/シーモアコミックス</v>
      </c>
      <c r="V4349" s="8"/>
      <c r="W4349" s="8"/>
      <c r="X4349" s="8" t="str">
        <f>IFERROR(__xludf.DUMMYFUNCTION("""COMPUTED_VALUE"""),"有")</f>
        <v>有</v>
      </c>
      <c r="Y4349" s="8" t="str">
        <f>IFERROR(__xludf.DUMMYFUNCTION("""COMPUTED_VALUE"""),"1巻無料")</f>
        <v>1巻無料</v>
      </c>
      <c r="Z4349" s="7"/>
      <c r="AA4349" s="7"/>
      <c r="AB4349" s="7"/>
    </row>
    <row r="4350" ht="15.75" customHeight="1">
      <c r="A4350" s="26">
        <f>IFERROR(__xludf.DUMMYFUNCTION("""COMPUTED_VALUE"""),6935.0)</f>
        <v>6935</v>
      </c>
      <c r="B4350" s="22" t="str">
        <f>IFERROR(__xludf.DUMMYFUNCTION("""COMPUTED_VALUE"""),"確定")</f>
        <v>確定</v>
      </c>
      <c r="C4350" s="28">
        <f>IFERROR(__xludf.DUMMYFUNCTION("""COMPUTED_VALUE"""),45982.0)</f>
        <v>45982</v>
      </c>
      <c r="D4350" s="28">
        <f>IFERROR(__xludf.DUMMYFUNCTION("""COMPUTED_VALUE"""),45987.0)</f>
        <v>45987</v>
      </c>
      <c r="E4350" s="26">
        <f>IFERROR(__xludf.DUMMYFUNCTION("""COMPUTED_VALUE"""),335114.0)</f>
        <v>335114</v>
      </c>
      <c r="F4350" s="22" t="str">
        <f>IFERROR(__xludf.DUMMYFUNCTION("""COMPUTED_VALUE"""),"束縛令嬢は海賊船長に奪われ自由になる")</f>
        <v>束縛令嬢は海賊船長に奪われ自由になる</v>
      </c>
      <c r="G4350" s="20" t="str">
        <f>IFERROR(__xludf.DUMMYFUNCTION("""COMPUTED_VALUE"""),"1～3")</f>
        <v>1～3</v>
      </c>
      <c r="H4350" s="22" t="str">
        <f>IFERROR(__xludf.DUMMYFUNCTION("""COMPUTED_VALUE"""),"中野一,卯崎ひとみ,FELICO STUDIO,小椋康平")</f>
        <v>中野一,卯崎ひとみ,FELICO STUDIO,小椋康平</v>
      </c>
      <c r="I4350" s="22" t="str">
        <f>IFERROR(__xludf.DUMMYFUNCTION("""COMPUTED_VALUE"""),"少女マンガ")</f>
        <v>少女マンガ</v>
      </c>
      <c r="J4350" s="22"/>
      <c r="K4350" s="22" t="str">
        <f>IFERROR(__xludf.DUMMYFUNCTION("""COMPUTED_VALUE"""),"トレモア・ロマンス,トレモアcollection")</f>
        <v>トレモア・ロマンス,トレモアcollection</v>
      </c>
      <c r="L4350" s="22" t="str">
        <f>IFERROR(__xludf.DUMMYFUNCTION("""COMPUTED_VALUE"""),"シーモアコミックス（トレモア）")</f>
        <v>シーモアコミックス（トレモア）</v>
      </c>
      <c r="M4350" s="33">
        <f>IFERROR(__xludf.DUMMYFUNCTION("""COMPUTED_VALUE"""),46024.0)</f>
        <v>46024</v>
      </c>
      <c r="N4350" s="33">
        <f>IFERROR(__xludf.DUMMYFUNCTION("""COMPUTED_VALUE"""),2958465.0)</f>
        <v>2958465</v>
      </c>
      <c r="O4350" s="20"/>
      <c r="P4350" s="32" t="str">
        <f>IFERROR(__xludf.DUMMYFUNCTION("""COMPUTED_VALUE"""),"可")</f>
        <v>可</v>
      </c>
      <c r="Q4350" s="30"/>
      <c r="R4350" s="22"/>
      <c r="S4350" s="22" t="str">
        <f>IFERROR(__xludf.DUMMYFUNCTION("""COMPUTED_VALUE"""),"20251121_シーモアコミックス_束縛令嬢は海賊船長に奪われ自由になる")</f>
        <v>20251121_シーモアコミックス_束縛令嬢は海賊船長に奪われ自由になる</v>
      </c>
      <c r="T4350" s="22" t="str">
        <f>IFERROR(__xludf.DUMMYFUNCTION("""COMPUTED_VALUE"""),"格納済み")</f>
        <v>格納済み</v>
      </c>
      <c r="U4350" s="9" t="str">
        <f>IFERROR(__xludf.DUMMYFUNCTION("""COMPUTED_VALUE"""),"(C) 中野一/卯崎ひとみ/FELICO STUDIO/小椋康平/シーモアコミックス")</f>
        <v>(C) 中野一/卯崎ひとみ/FELICO STUDIO/小椋康平/シーモアコミックス</v>
      </c>
      <c r="V4350" s="8"/>
      <c r="W4350" s="8"/>
      <c r="X4350" s="8" t="str">
        <f>IFERROR(__xludf.DUMMYFUNCTION("""COMPUTED_VALUE"""),"有")</f>
        <v>有</v>
      </c>
      <c r="Y4350" s="8" t="str">
        <f>IFERROR(__xludf.DUMMYFUNCTION("""COMPUTED_VALUE"""),"P15まで")</f>
        <v>P15まで</v>
      </c>
      <c r="Z4350" s="7"/>
      <c r="AA4350" s="7"/>
      <c r="AB4350" s="7"/>
    </row>
    <row r="4351" ht="15.75" customHeight="1">
      <c r="A4351" s="26">
        <f>IFERROR(__xludf.DUMMYFUNCTION("""COMPUTED_VALUE"""),6357.0)</f>
        <v>6357</v>
      </c>
      <c r="B4351" s="22" t="str">
        <f>IFERROR(__xludf.DUMMYFUNCTION("""COMPUTED_VALUE"""),"確定")</f>
        <v>確定</v>
      </c>
      <c r="C4351" s="28">
        <f>IFERROR(__xludf.DUMMYFUNCTION("""COMPUTED_VALUE"""),45896.0)</f>
        <v>45896</v>
      </c>
      <c r="D4351" s="28">
        <f>IFERROR(__xludf.DUMMYFUNCTION("""COMPUTED_VALUE"""),45993.0)</f>
        <v>45993</v>
      </c>
      <c r="E4351" s="26">
        <f>IFERROR(__xludf.DUMMYFUNCTION("""COMPUTED_VALUE"""),349194.0)</f>
        <v>349194</v>
      </c>
      <c r="F4351" s="22" t="str">
        <f>IFERROR(__xludf.DUMMYFUNCTION("""COMPUTED_VALUE"""),"旦那様は大変忙しいお方なのです（分冊版）")</f>
        <v>旦那様は大変忙しいお方なのです（分冊版）</v>
      </c>
      <c r="G4351" s="20" t="str">
        <f>IFERROR(__xludf.DUMMYFUNCTION("""COMPUTED_VALUE"""),"1～5")</f>
        <v>1～5</v>
      </c>
      <c r="H4351" s="22" t="str">
        <f>IFERROR(__xludf.DUMMYFUNCTION("""COMPUTED_VALUE"""),"かしい葵/漫画 あねもね/原作")</f>
        <v>かしい葵/漫画 あねもね/原作</v>
      </c>
      <c r="I4351" s="22" t="str">
        <f>IFERROR(__xludf.DUMMYFUNCTION("""COMPUTED_VALUE"""),"女性")</f>
        <v>女性</v>
      </c>
      <c r="J4351" s="22"/>
      <c r="K4351" s="22"/>
      <c r="L4351" s="22" t="str">
        <f>IFERROR(__xludf.DUMMYFUNCTION("""COMPUTED_VALUE"""),"アルファポリス")</f>
        <v>アルファポリス</v>
      </c>
      <c r="M4351" s="33">
        <f>IFERROR(__xludf.DUMMYFUNCTION("""COMPUTED_VALUE"""),46052.0)</f>
        <v>46052</v>
      </c>
      <c r="N4351" s="33">
        <f>IFERROR(__xludf.DUMMYFUNCTION("""COMPUTED_VALUE"""),46162.66666666667)</f>
        <v>46162.66667</v>
      </c>
      <c r="O4351" s="20"/>
      <c r="P4351" s="32" t="str">
        <f>IFERROR(__xludf.DUMMYFUNCTION("""COMPUTED_VALUE"""),"可")</f>
        <v>可</v>
      </c>
      <c r="Q4351" s="30" t="str">
        <f>IFERROR(__xludf.DUMMYFUNCTION("""COMPUTED_VALUE"""),"同時配信の単行本もシーモア先行です。&lt;BR&gt;")</f>
        <v>同時配信の単行本もシーモア先行です。&lt;BR&gt;</v>
      </c>
      <c r="R4351" s="22" t="str">
        <f>IFERROR(__xludf.DUMMYFUNCTION("""COMPUTED_VALUE"""),"コミットOK")</f>
        <v>コミットOK</v>
      </c>
      <c r="S4351" s="22" t="str">
        <f>IFERROR(__xludf.DUMMYFUNCTION("""COMPUTED_VALUE"""),"20251127_アルファポリス_旦那様は大変忙しいお方なのです")</f>
        <v>20251127_アルファポリス_旦那様は大変忙しいお方なのです</v>
      </c>
      <c r="T4351" s="22" t="str">
        <f>IFERROR(__xludf.DUMMYFUNCTION("""COMPUTED_VALUE"""),"格納済み")</f>
        <v>格納済み</v>
      </c>
      <c r="U4351" s="9" t="str">
        <f>IFERROR(__xludf.DUMMYFUNCTION("""COMPUTED_VALUE"""),"Ⓒあねもね・かしい葵／アルファポリス")</f>
        <v>Ⓒあねもね・かしい葵／アルファポリス</v>
      </c>
      <c r="V4351" s="8"/>
      <c r="W4351" s="8"/>
      <c r="X4351" s="8" t="str">
        <f>IFERROR(__xludf.DUMMYFUNCTION("""COMPUTED_VALUE"""),"有")</f>
        <v>有</v>
      </c>
      <c r="Y4351" s="8" t="str">
        <f>IFERROR(__xludf.DUMMYFUNCTION("""COMPUTED_VALUE"""),"2026/2/12まで1巻無料")</f>
        <v>2026/2/12まで1巻無料</v>
      </c>
      <c r="Z4351" s="7"/>
      <c r="AA4351" s="7"/>
      <c r="AB4351" s="7"/>
    </row>
    <row r="4352" ht="15.75" customHeight="1">
      <c r="A4352" s="26">
        <f>IFERROR(__xludf.DUMMYFUNCTION("""COMPUTED_VALUE"""),6506.0)</f>
        <v>6506</v>
      </c>
      <c r="B4352" s="22" t="str">
        <f>IFERROR(__xludf.DUMMYFUNCTION("""COMPUTED_VALUE"""),"確定")</f>
        <v>確定</v>
      </c>
      <c r="C4352" s="28">
        <f>IFERROR(__xludf.DUMMYFUNCTION("""COMPUTED_VALUE"""),45917.0)</f>
        <v>45917</v>
      </c>
      <c r="D4352" s="28">
        <f>IFERROR(__xludf.DUMMYFUNCTION("""COMPUTED_VALUE"""),45989.0)</f>
        <v>45989</v>
      </c>
      <c r="E4352" s="26">
        <f>IFERROR(__xludf.DUMMYFUNCTION("""COMPUTED_VALUE"""),345970.0)</f>
        <v>345970</v>
      </c>
      <c r="F4352" s="22" t="str">
        <f>IFERROR(__xludf.DUMMYFUNCTION("""COMPUTED_VALUE"""),"マゾな梢ちゃんはひどくされたい。～性癖マッチした後輩と欲望のままにセックスしたら～")</f>
        <v>マゾな梢ちゃんはひどくされたい。～性癖マッチした後輩と欲望のままにセックスしたら～</v>
      </c>
      <c r="G4352" s="20" t="str">
        <f>IFERROR(__xludf.DUMMYFUNCTION("""COMPUTED_VALUE"""),"1～2")</f>
        <v>1～2</v>
      </c>
      <c r="H4352" s="22" t="str">
        <f>IFERROR(__xludf.DUMMYFUNCTION("""COMPUTED_VALUE"""),"めんたい")</f>
        <v>めんたい</v>
      </c>
      <c r="I4352" s="22" t="str">
        <f>IFERROR(__xludf.DUMMYFUNCTION("""COMPUTED_VALUE"""),"TL")</f>
        <v>TL</v>
      </c>
      <c r="J4352" s="22"/>
      <c r="K4352" s="22" t="str">
        <f>IFERROR(__xludf.DUMMYFUNCTION("""COMPUTED_VALUE"""),"乙女チック")</f>
        <v>乙女チック</v>
      </c>
      <c r="L4352" s="22" t="str">
        <f>IFERROR(__xludf.DUMMYFUNCTION("""COMPUTED_VALUE"""),"CLLENN")</f>
        <v>CLLENN</v>
      </c>
      <c r="M4352" s="33">
        <f>IFERROR(__xludf.DUMMYFUNCTION("""COMPUTED_VALUE"""),46025.0)</f>
        <v>46025</v>
      </c>
      <c r="N4352" s="33">
        <f>IFERROR(__xludf.DUMMYFUNCTION("""COMPUTED_VALUE"""),46087.0)</f>
        <v>46087</v>
      </c>
      <c r="O4352" s="20"/>
      <c r="P4352" s="32" t="str">
        <f>IFERROR(__xludf.DUMMYFUNCTION("""COMPUTED_VALUE"""),"可")</f>
        <v>可</v>
      </c>
      <c r="Q4352" s="30" t="str">
        <f>IFERROR(__xludf.DUMMYFUNCTION("""COMPUTED_VALUE"""),"【アダルト作品扱い】&lt;BR&gt;")</f>
        <v>【アダルト作品扱い】&lt;BR&gt;</v>
      </c>
      <c r="R4352" s="22" t="str">
        <f>IFERROR(__xludf.DUMMYFUNCTION("""COMPUTED_VALUE"""),"コミットOK")</f>
        <v>コミットOK</v>
      </c>
      <c r="S4352" s="22" t="str">
        <f>IFERROR(__xludf.DUMMYFUNCTION("""COMPUTED_VALUE"""),"20251128_CLLENN_マゾな梢ちゃんはひどくされたい。～性癖マッチした後輩と欲望のままにセックスしたら～")</f>
        <v>20251128_CLLENN_マゾな梢ちゃんはひどくされたい。～性癖マッチした後輩と欲望のままにセックスしたら～</v>
      </c>
      <c r="T4352" s="22" t="str">
        <f>IFERROR(__xludf.DUMMYFUNCTION("""COMPUTED_VALUE"""),"格納済み")</f>
        <v>格納済み</v>
      </c>
      <c r="U4352" s="9" t="str">
        <f>IFERROR(__xludf.DUMMYFUNCTION("""COMPUTED_VALUE"""),"Ⓒめんたい/CLLENN")</f>
        <v>Ⓒめんたい/CLLENN</v>
      </c>
      <c r="V4352" s="8"/>
      <c r="W4352" s="8"/>
      <c r="X4352" s="8" t="str">
        <f>IFERROR(__xludf.DUMMYFUNCTION("""COMPUTED_VALUE"""),"有")</f>
        <v>有</v>
      </c>
      <c r="Y4352" s="8" t="str">
        <f>IFERROR(__xludf.DUMMYFUNCTION("""COMPUTED_VALUE"""),"P10まで")</f>
        <v>P10まで</v>
      </c>
      <c r="Z4352" s="7"/>
      <c r="AA4352" s="7"/>
      <c r="AB4352" s="7"/>
    </row>
    <row r="4353" ht="15.75" customHeight="1">
      <c r="A4353" s="26">
        <f>IFERROR(__xludf.DUMMYFUNCTION("""COMPUTED_VALUE"""),6622.0)</f>
        <v>6622</v>
      </c>
      <c r="B4353" s="22" t="str">
        <f>IFERROR(__xludf.DUMMYFUNCTION("""COMPUTED_VALUE"""),"確定")</f>
        <v>確定</v>
      </c>
      <c r="C4353" s="28">
        <f>IFERROR(__xludf.DUMMYFUNCTION("""COMPUTED_VALUE"""),45938.0)</f>
        <v>45938</v>
      </c>
      <c r="D4353" s="28">
        <f>IFERROR(__xludf.DUMMYFUNCTION("""COMPUTED_VALUE"""),45989.0)</f>
        <v>45989</v>
      </c>
      <c r="E4353" s="26">
        <f>IFERROR(__xludf.DUMMYFUNCTION("""COMPUTED_VALUE"""),344535.0)</f>
        <v>344535</v>
      </c>
      <c r="F4353" s="22" t="str">
        <f>IFERROR(__xludf.DUMMYFUNCTION("""COMPUTED_VALUE"""),"奏くんとひみつのレッスン【R-18版】")</f>
        <v>奏くんとひみつのレッスン【R-18版】</v>
      </c>
      <c r="G4353" s="20" t="str">
        <f>IFERROR(__xludf.DUMMYFUNCTION("""COMPUTED_VALUE"""),"1～5")</f>
        <v>1～5</v>
      </c>
      <c r="H4353" s="22" t="str">
        <f>IFERROR(__xludf.DUMMYFUNCTION("""COMPUTED_VALUE"""),"いつか　むいか")</f>
        <v>いつか　むいか</v>
      </c>
      <c r="I4353" s="22" t="str">
        <f>IFERROR(__xludf.DUMMYFUNCTION("""COMPUTED_VALUE"""),"アダルトマンガ")</f>
        <v>アダルトマンガ</v>
      </c>
      <c r="J4353" s="22"/>
      <c r="K4353" s="22" t="str">
        <f>IFERROR(__xludf.DUMMYFUNCTION("""COMPUTED_VALUE"""),"Close Moon")</f>
        <v>Close Moon</v>
      </c>
      <c r="L4353" s="22" t="str">
        <f>IFERROR(__xludf.DUMMYFUNCTION("""COMPUTED_VALUE"""),"ナンバーナイン")</f>
        <v>ナンバーナイン</v>
      </c>
      <c r="M4353" s="33">
        <f>IFERROR(__xludf.DUMMYFUNCTION("""COMPUTED_VALUE"""),45992.0)</f>
        <v>45992</v>
      </c>
      <c r="N4353" s="33">
        <f>IFERROR(__xludf.DUMMYFUNCTION("""COMPUTED_VALUE"""),46081.0)</f>
        <v>46081</v>
      </c>
      <c r="O4353" s="20"/>
      <c r="P4353" s="32" t="str">
        <f>IFERROR(__xludf.DUMMYFUNCTION("""COMPUTED_VALUE"""),"可")</f>
        <v>可</v>
      </c>
      <c r="Q4353" s="30" t="str">
        <f>IFERROR(__xludf.DUMMYFUNCTION("""COMPUTED_VALUE"""),"がるまに")</f>
        <v>がるまに</v>
      </c>
      <c r="R4353" s="22"/>
      <c r="S4353" s="22" t="str">
        <f>IFERROR(__xludf.DUMMYFUNCTION("""COMPUTED_VALUE"""),"20251127_ナンバーナイン_奏くんとひみつのレッスン【R-18版】")</f>
        <v>20251127_ナンバーナイン_奏くんとひみつのレッスン【R-18版】</v>
      </c>
      <c r="T4353" s="22" t="str">
        <f>IFERROR(__xludf.DUMMYFUNCTION("""COMPUTED_VALUE"""),"格納済み")</f>
        <v>格納済み</v>
      </c>
      <c r="U4353" s="9" t="str">
        <f>IFERROR(__xludf.DUMMYFUNCTION("""COMPUTED_VALUE"""),"(C)いつか　むいか／ナンバーナイン")</f>
        <v>(C)いつか　むいか／ナンバーナイン</v>
      </c>
      <c r="V4353" s="8"/>
      <c r="W4353" s="8"/>
      <c r="X4353" s="8" t="str">
        <f>IFERROR(__xludf.DUMMYFUNCTION("""COMPUTED_VALUE"""),"有")</f>
        <v>有</v>
      </c>
      <c r="Y4353" s="8" t="str">
        <f>IFERROR(__xludf.DUMMYFUNCTION("""COMPUTED_VALUE"""),"1巻無料")</f>
        <v>1巻無料</v>
      </c>
      <c r="Z4353" s="7"/>
      <c r="AA4353" s="7"/>
      <c r="AB4353" s="7"/>
    </row>
    <row r="4354" ht="15.75" customHeight="1">
      <c r="A4354" s="26">
        <f>IFERROR(__xludf.DUMMYFUNCTION("""COMPUTED_VALUE"""),6627.0)</f>
        <v>6627</v>
      </c>
      <c r="B4354" s="22" t="str">
        <f>IFERROR(__xludf.DUMMYFUNCTION("""COMPUTED_VALUE"""),"確定")</f>
        <v>確定</v>
      </c>
      <c r="C4354" s="28">
        <f>IFERROR(__xludf.DUMMYFUNCTION("""COMPUTED_VALUE"""),45939.0)</f>
        <v>45939</v>
      </c>
      <c r="D4354" s="28">
        <f>IFERROR(__xludf.DUMMYFUNCTION("""COMPUTED_VALUE"""),45988.0)</f>
        <v>45988</v>
      </c>
      <c r="E4354" s="26">
        <f>IFERROR(__xludf.DUMMYFUNCTION("""COMPUTED_VALUE"""),344779.0)</f>
        <v>344779</v>
      </c>
      <c r="F4354" s="22" t="str">
        <f>IFERROR(__xludf.DUMMYFUNCTION("""COMPUTED_VALUE"""),"没落令嬢が元執事にわからセられる話【分冊版】【R-18版】 ")</f>
        <v>没落令嬢が元執事にわからセられる話【分冊版】【R-18版】 </v>
      </c>
      <c r="G4354" s="20" t="str">
        <f>IFERROR(__xludf.DUMMYFUNCTION("""COMPUTED_VALUE"""),"1～6")</f>
        <v>1～6</v>
      </c>
      <c r="H4354" s="22" t="str">
        <f>IFERROR(__xludf.DUMMYFUNCTION("""COMPUTED_VALUE"""),"もるはむ酸")</f>
        <v>もるはむ酸</v>
      </c>
      <c r="I4354" s="22" t="str">
        <f>IFERROR(__xludf.DUMMYFUNCTION("""COMPUTED_VALUE"""),"アダルト")</f>
        <v>アダルト</v>
      </c>
      <c r="J4354" s="22"/>
      <c r="K4354" s="22" t="str">
        <f>IFERROR(__xludf.DUMMYFUNCTION("""COMPUTED_VALUE"""),"Close Moon")</f>
        <v>Close Moon</v>
      </c>
      <c r="L4354" s="22" t="str">
        <f>IFERROR(__xludf.DUMMYFUNCTION("""COMPUTED_VALUE"""),"ナンバーナイン")</f>
        <v>ナンバーナイン</v>
      </c>
      <c r="M4354" s="33">
        <f>IFERROR(__xludf.DUMMYFUNCTION("""COMPUTED_VALUE"""),45992.0)</f>
        <v>45992</v>
      </c>
      <c r="N4354" s="33">
        <f>IFERROR(__xludf.DUMMYFUNCTION("""COMPUTED_VALUE"""),46081.0)</f>
        <v>46081</v>
      </c>
      <c r="O4354" s="20"/>
      <c r="P4354" s="32" t="str">
        <f>IFERROR(__xludf.DUMMYFUNCTION("""COMPUTED_VALUE"""),"可")</f>
        <v>可</v>
      </c>
      <c r="Q4354" s="30" t="str">
        <f>IFERROR(__xludf.DUMMYFUNCTION("""COMPUTED_VALUE"""),"がるまに")</f>
        <v>がるまに</v>
      </c>
      <c r="R4354" s="22"/>
      <c r="S4354" s="22" t="str">
        <f>IFERROR(__xludf.DUMMYFUNCTION("""COMPUTED_VALUE"""),"20251126_ナンバーナイン_没落令嬢が元執事にわからセられる話【分冊版】【R-18版】 お嬢様は、私だけを見ていればいい")</f>
        <v>20251126_ナンバーナイン_没落令嬢が元執事にわからセられる話【分冊版】【R-18版】 お嬢様は、私だけを見ていればいい</v>
      </c>
      <c r="T4354" s="22" t="str">
        <f>IFERROR(__xludf.DUMMYFUNCTION("""COMPUTED_VALUE"""),"格納済み")</f>
        <v>格納済み</v>
      </c>
      <c r="U4354" s="9" t="str">
        <f>IFERROR(__xludf.DUMMYFUNCTION("""COMPUTED_VALUE"""),"(C)もるはむ酸／ナンバーナイン")</f>
        <v>(C)もるはむ酸／ナンバーナイン</v>
      </c>
      <c r="V4354" s="8"/>
      <c r="W4354" s="8"/>
      <c r="X4354" s="8" t="str">
        <f>IFERROR(__xludf.DUMMYFUNCTION("""COMPUTED_VALUE"""),"有")</f>
        <v>有</v>
      </c>
      <c r="Y4354" s="8" t="str">
        <f>IFERROR(__xludf.DUMMYFUNCTION("""COMPUTED_VALUE"""),"1巻無料")</f>
        <v>1巻無料</v>
      </c>
      <c r="Z4354" s="7"/>
      <c r="AA4354" s="7"/>
      <c r="AB4354" s="7"/>
    </row>
    <row r="4355" ht="15.75" customHeight="1">
      <c r="A4355" s="26">
        <f>IFERROR(__xludf.DUMMYFUNCTION("""COMPUTED_VALUE"""),6698.0)</f>
        <v>6698</v>
      </c>
      <c r="B4355" s="22" t="str">
        <f>IFERROR(__xludf.DUMMYFUNCTION("""COMPUTED_VALUE"""),"確定")</f>
        <v>確定</v>
      </c>
      <c r="C4355" s="28">
        <f>IFERROR(__xludf.DUMMYFUNCTION("""COMPUTED_VALUE"""),45950.0)</f>
        <v>45950</v>
      </c>
      <c r="D4355" s="28">
        <f>IFERROR(__xludf.DUMMYFUNCTION("""COMPUTED_VALUE"""),45989.0)</f>
        <v>45989</v>
      </c>
      <c r="E4355" s="26">
        <f>IFERROR(__xludf.DUMMYFUNCTION("""COMPUTED_VALUE"""),345202.0)</f>
        <v>345202</v>
      </c>
      <c r="F4355" s="22" t="str">
        <f>IFERROR(__xludf.DUMMYFUNCTION("""COMPUTED_VALUE"""),"先生、これと同じことシてくれない? 塾の学生バイトに男性受けドエロ漫画の購入履歴を監視されてた件")</f>
        <v>先生、これと同じことシてくれない? 塾の学生バイトに男性受けドエロ漫画の購入履歴を監視されてた件</v>
      </c>
      <c r="G4355" s="20" t="str">
        <f>IFERROR(__xludf.DUMMYFUNCTION("""COMPUTED_VALUE"""),"1～2")</f>
        <v>1～2</v>
      </c>
      <c r="H4355" s="22" t="str">
        <f>IFERROR(__xludf.DUMMYFUNCTION("""COMPUTED_VALUE"""),"先崎ワズカ/ロティス編集部")</f>
        <v>先崎ワズカ/ロティス編集部</v>
      </c>
      <c r="I4355" s="22" t="str">
        <f>IFERROR(__xludf.DUMMYFUNCTION("""COMPUTED_VALUE"""),"TL")</f>
        <v>TL</v>
      </c>
      <c r="J4355" s="22"/>
      <c r="K4355" s="22" t="str">
        <f>IFERROR(__xludf.DUMMYFUNCTION("""COMPUTED_VALUE"""),"ズレット！")</f>
        <v>ズレット！</v>
      </c>
      <c r="L4355" s="22" t="str">
        <f>IFERROR(__xludf.DUMMYFUNCTION("""COMPUTED_VALUE"""),"ライブコミックス")</f>
        <v>ライブコミックス</v>
      </c>
      <c r="M4355" s="33">
        <f>IFERROR(__xludf.DUMMYFUNCTION("""COMPUTED_VALUE"""),46017.0)</f>
        <v>46017</v>
      </c>
      <c r="N4355" s="33">
        <f>IFERROR(__xludf.DUMMYFUNCTION("""COMPUTED_VALUE"""),46086.0)</f>
        <v>46086</v>
      </c>
      <c r="O4355" s="20"/>
      <c r="P4355" s="32" t="str">
        <f>IFERROR(__xludf.DUMMYFUNCTION("""COMPUTED_VALUE"""),"可")</f>
        <v>可</v>
      </c>
      <c r="Q4355" s="30" t="str">
        <f>IFERROR(__xludf.DUMMYFUNCTION("""COMPUTED_VALUE"""),"【アダルト作品扱い】&lt;BR&gt;格納素材を2分割して初回1~2話として配信します。&lt;BR&gt;BookLiveとシーモアでの同時先行配信です。&lt;BR&gt;")</f>
        <v>【アダルト作品扱い】&lt;BR&gt;格納素材を2分割して初回1~2話として配信します。&lt;BR&gt;BookLiveとシーモアでの同時先行配信です。&lt;BR&gt;</v>
      </c>
      <c r="R4355" s="22" t="str">
        <f>IFERROR(__xludf.DUMMYFUNCTION("""COMPUTED_VALUE"""),"コミットOK")</f>
        <v>コミットOK</v>
      </c>
      <c r="S4355" s="22" t="str">
        <f>IFERROR(__xludf.DUMMYFUNCTION("""COMPUTED_VALUE"""),"20251127_BookLive_先生、これと同じことシてくれない？ 塾の学生バイトに男性受けドエロ漫画の購入履歴を監視されてた件")</f>
        <v>20251127_BookLive_先生、これと同じことシてくれない？ 塾の学生バイトに男性受けドエロ漫画の購入履歴を監視されてた件</v>
      </c>
      <c r="T4355" s="22" t="str">
        <f>IFERROR(__xludf.DUMMYFUNCTION("""COMPUTED_VALUE"""),"格納済み")</f>
        <v>格納済み</v>
      </c>
      <c r="U4355" s="9" t="str">
        <f>IFERROR(__xludf.DUMMYFUNCTION("""COMPUTED_VALUE"""),"(C)先崎ワズカ/ライブコミックス")</f>
        <v>(C)先崎ワズカ/ライブコミックス</v>
      </c>
      <c r="V4355" s="8"/>
      <c r="W4355" s="8"/>
      <c r="X4355" s="8" t="str">
        <f>IFERROR(__xludf.DUMMYFUNCTION("""COMPUTED_VALUE"""),"有")</f>
        <v>有</v>
      </c>
      <c r="Y4355" s="8" t="str">
        <f>IFERROR(__xludf.DUMMYFUNCTION("""COMPUTED_VALUE"""),"P11まで")</f>
        <v>P11まで</v>
      </c>
      <c r="Z4355" s="7"/>
      <c r="AA4355" s="7"/>
      <c r="AB4355" s="7"/>
    </row>
    <row r="4356" ht="15.75" customHeight="1">
      <c r="A4356" s="26">
        <f>IFERROR(__xludf.DUMMYFUNCTION("""COMPUTED_VALUE"""),6700.0)</f>
        <v>6700</v>
      </c>
      <c r="B4356" s="22" t="str">
        <f>IFERROR(__xludf.DUMMYFUNCTION("""COMPUTED_VALUE"""),"確定")</f>
        <v>確定</v>
      </c>
      <c r="C4356" s="28">
        <f>IFERROR(__xludf.DUMMYFUNCTION("""COMPUTED_VALUE"""),45951.0)</f>
        <v>45951</v>
      </c>
      <c r="D4356" s="28">
        <f>IFERROR(__xludf.DUMMYFUNCTION("""COMPUTED_VALUE"""),45989.0)</f>
        <v>45989</v>
      </c>
      <c r="E4356" s="26">
        <f>IFERROR(__xludf.DUMMYFUNCTION("""COMPUTED_VALUE"""),346510.0)</f>
        <v>346510</v>
      </c>
      <c r="F4356" s="22" t="str">
        <f>IFERROR(__xludf.DUMMYFUNCTION("""COMPUTED_VALUE"""),"アンバーリット ラブ")</f>
        <v>アンバーリット ラブ</v>
      </c>
      <c r="G4356" s="20" t="str">
        <f>IFERROR(__xludf.DUMMYFUNCTION("""COMPUTED_VALUE"""),"1～2")</f>
        <v>1～2</v>
      </c>
      <c r="H4356" s="22" t="str">
        <f>IFERROR(__xludf.DUMMYFUNCTION("""COMPUTED_VALUE"""),"神丘")</f>
        <v>神丘</v>
      </c>
      <c r="I4356" s="22" t="str">
        <f>IFERROR(__xludf.DUMMYFUNCTION("""COMPUTED_VALUE"""),"BL")</f>
        <v>BL</v>
      </c>
      <c r="J4356" s="22"/>
      <c r="K4356" s="22" t="str">
        <f>IFERROR(__xludf.DUMMYFUNCTION("""COMPUTED_VALUE"""),"MooiComics")</f>
        <v>MooiComics</v>
      </c>
      <c r="L4356" s="22" t="str">
        <f>IFERROR(__xludf.DUMMYFUNCTION("""COMPUTED_VALUE"""),"CLLENN")</f>
        <v>CLLENN</v>
      </c>
      <c r="M4356" s="33">
        <f>IFERROR(__xludf.DUMMYFUNCTION("""COMPUTED_VALUE"""),46042.0)</f>
        <v>46042</v>
      </c>
      <c r="N4356" s="33">
        <f>IFERROR(__xludf.DUMMYFUNCTION("""COMPUTED_VALUE"""),46097.0)</f>
        <v>46097</v>
      </c>
      <c r="O4356" s="20"/>
      <c r="P4356" s="32" t="str">
        <f>IFERROR(__xludf.DUMMYFUNCTION("""COMPUTED_VALUE"""),"可")</f>
        <v>可</v>
      </c>
      <c r="Q4356" s="30"/>
      <c r="R4356" s="22" t="str">
        <f>IFERROR(__xludf.DUMMYFUNCTION("""COMPUTED_VALUE"""),"コミットNG")</f>
        <v>コミットNG</v>
      </c>
      <c r="S4356" s="22" t="str">
        <f>IFERROR(__xludf.DUMMYFUNCTION("""COMPUTED_VALUE"""),"20251126_CLLENN_アンバーリット ラブ")</f>
        <v>20251126_CLLENN_アンバーリット ラブ</v>
      </c>
      <c r="T4356" s="22" t="str">
        <f>IFERROR(__xludf.DUMMYFUNCTION("""COMPUTED_VALUE"""),"格納済み")</f>
        <v>格納済み</v>
      </c>
      <c r="U4356" s="9" t="str">
        <f>IFERROR(__xludf.DUMMYFUNCTION("""COMPUTED_VALUE"""),"Ⓒ神丘/CLLENN")</f>
        <v>Ⓒ神丘/CLLENN</v>
      </c>
      <c r="V4356" s="8"/>
      <c r="W4356" s="8"/>
      <c r="X4356" s="8" t="str">
        <f>IFERROR(__xludf.DUMMYFUNCTION("""COMPUTED_VALUE"""),"有")</f>
        <v>有</v>
      </c>
      <c r="Y4356" s="8" t="str">
        <f>IFERROR(__xludf.DUMMYFUNCTION("""COMPUTED_VALUE"""),"2026/2/2まで1巻立ち読み増量(P14)")</f>
        <v>2026/2/2まで1巻立ち読み増量(P14)</v>
      </c>
      <c r="Z4356" s="7"/>
      <c r="AA4356" s="7"/>
      <c r="AB4356" s="7"/>
    </row>
    <row r="4357" ht="15.75" customHeight="1">
      <c r="A4357" s="26">
        <f>IFERROR(__xludf.DUMMYFUNCTION("""COMPUTED_VALUE"""),6718.0)</f>
        <v>6718</v>
      </c>
      <c r="B4357" s="22" t="str">
        <f>IFERROR(__xludf.DUMMYFUNCTION("""COMPUTED_VALUE"""),"確定")</f>
        <v>確定</v>
      </c>
      <c r="C4357" s="28">
        <f>IFERROR(__xludf.DUMMYFUNCTION("""COMPUTED_VALUE"""),45953.0)</f>
        <v>45953</v>
      </c>
      <c r="D4357" s="28">
        <f>IFERROR(__xludf.DUMMYFUNCTION("""COMPUTED_VALUE"""),45994.0)</f>
        <v>45994</v>
      </c>
      <c r="E4357" s="26">
        <f>IFERROR(__xludf.DUMMYFUNCTION("""COMPUTED_VALUE"""),342812.0)</f>
        <v>342812</v>
      </c>
      <c r="F4357" s="22" t="str">
        <f>IFERROR(__xludf.DUMMYFUNCTION("""COMPUTED_VALUE"""),"黒マスク×舌ピ男子 エッチの上手な川辺くん【TL版】")</f>
        <v>黒マスク×舌ピ男子 エッチの上手な川辺くん【TL版】</v>
      </c>
      <c r="G4357" s="20" t="str">
        <f>IFERROR(__xludf.DUMMYFUNCTION("""COMPUTED_VALUE"""),"1～2")</f>
        <v>1～2</v>
      </c>
      <c r="H4357" s="22" t="str">
        <f>IFERROR(__xludf.DUMMYFUNCTION("""COMPUTED_VALUE"""),"石川奈々生,賀来ともり")</f>
        <v>石川奈々生,賀来ともり</v>
      </c>
      <c r="I4357" s="22" t="str">
        <f>IFERROR(__xludf.DUMMYFUNCTION("""COMPUTED_VALUE"""),"TLマンガ")</f>
        <v>TLマンガ</v>
      </c>
      <c r="J4357" s="22"/>
      <c r="K4357" s="22" t="str">
        <f>IFERROR(__xludf.DUMMYFUNCTION("""COMPUTED_VALUE"""),"DARKMOON")</f>
        <v>DARKMOON</v>
      </c>
      <c r="L4357" s="22" t="str">
        <f>IFERROR(__xludf.DUMMYFUNCTION("""COMPUTED_VALUE"""),"クロスフォリオ出版")</f>
        <v>クロスフォリオ出版</v>
      </c>
      <c r="M4357" s="33">
        <f>IFERROR(__xludf.DUMMYFUNCTION("""COMPUTED_VALUE"""),46038.0)</f>
        <v>46038</v>
      </c>
      <c r="N4357" s="33">
        <f>IFERROR(__xludf.DUMMYFUNCTION("""COMPUTED_VALUE"""),46114.0)</f>
        <v>46114</v>
      </c>
      <c r="O4357" s="20"/>
      <c r="P4357" s="32" t="str">
        <f>IFERROR(__xludf.DUMMYFUNCTION("""COMPUTED_VALUE"""),"可")</f>
        <v>可</v>
      </c>
      <c r="Q4357" s="30" t="str">
        <f>IFERROR(__xludf.DUMMYFUNCTION("""COMPUTED_VALUE"""),"【アダルト作品扱い】&lt;BR&gt;・Bookiiveとシーモアでの同時先行配信&lt;BR&gt;")</f>
        <v>【アダルト作品扱い】&lt;BR&gt;・Bookiiveとシーモアでの同時先行配信&lt;BR&gt;</v>
      </c>
      <c r="R4357" s="22"/>
      <c r="S4357" s="22" t="str">
        <f>IFERROR(__xludf.DUMMYFUNCTION("""COMPUTED_VALUE"""),"20251023_BookLive_黒マスク×舌ピ男子 エッチの上手な川辺くん")</f>
        <v>20251023_BookLive_黒マスク×舌ピ男子 エッチの上手な川辺くん</v>
      </c>
      <c r="T4357" s="22" t="str">
        <f>IFERROR(__xludf.DUMMYFUNCTION("""COMPUTED_VALUE"""),"格納済み")</f>
        <v>格納済み</v>
      </c>
      <c r="U4357" s="9" t="str">
        <f>IFERROR(__xludf.DUMMYFUNCTION("""COMPUTED_VALUE"""),"(C)賀来ともり/石川奈々生//DARKMOON/クロスフォリオ出版")</f>
        <v>(C)賀来ともり/石川奈々生//DARKMOON/クロスフォリオ出版</v>
      </c>
      <c r="V4357" s="8"/>
      <c r="W4357" s="8"/>
      <c r="X4357" s="8" t="str">
        <f>IFERROR(__xludf.DUMMYFUNCTION("""COMPUTED_VALUE"""),"有")</f>
        <v>有</v>
      </c>
      <c r="Y4357" s="8" t="str">
        <f>IFERROR(__xludf.DUMMYFUNCTION("""COMPUTED_VALUE"""),"P6まで")</f>
        <v>P6まで</v>
      </c>
      <c r="Z4357" s="7"/>
      <c r="AA4357" s="7"/>
      <c r="AB4357" s="7"/>
    </row>
    <row r="4358" ht="15.75" customHeight="1">
      <c r="A4358" s="26">
        <f>IFERROR(__xludf.DUMMYFUNCTION("""COMPUTED_VALUE"""),6719.0)</f>
        <v>6719</v>
      </c>
      <c r="B4358" s="22" t="str">
        <f>IFERROR(__xludf.DUMMYFUNCTION("""COMPUTED_VALUE"""),"確定")</f>
        <v>確定</v>
      </c>
      <c r="C4358" s="28">
        <f>IFERROR(__xludf.DUMMYFUNCTION("""COMPUTED_VALUE"""),45953.0)</f>
        <v>45953</v>
      </c>
      <c r="D4358" s="28">
        <f>IFERROR(__xludf.DUMMYFUNCTION("""COMPUTED_VALUE"""),45994.0)</f>
        <v>45994</v>
      </c>
      <c r="E4358" s="26">
        <f>IFERROR(__xludf.DUMMYFUNCTION("""COMPUTED_VALUE"""),342813.0)</f>
        <v>342813</v>
      </c>
      <c r="F4358" s="22" t="str">
        <f>IFERROR(__xludf.DUMMYFUNCTION("""COMPUTED_VALUE"""),"魔女見習いの淫らなレッスン【TL版】")</f>
        <v>魔女見習いの淫らなレッスン【TL版】</v>
      </c>
      <c r="G4358" s="20" t="str">
        <f>IFERROR(__xludf.DUMMYFUNCTION("""COMPUTED_VALUE"""),"1～2")</f>
        <v>1～2</v>
      </c>
      <c r="H4358" s="22" t="str">
        <f>IFERROR(__xludf.DUMMYFUNCTION("""COMPUTED_VALUE"""),"南天,落合海")</f>
        <v>南天,落合海</v>
      </c>
      <c r="I4358" s="22" t="str">
        <f>IFERROR(__xludf.DUMMYFUNCTION("""COMPUTED_VALUE"""),"TLマンガ")</f>
        <v>TLマンガ</v>
      </c>
      <c r="J4358" s="22"/>
      <c r="K4358" s="22" t="str">
        <f>IFERROR(__xludf.DUMMYFUNCTION("""COMPUTED_VALUE"""),"DARKMOON")</f>
        <v>DARKMOON</v>
      </c>
      <c r="L4358" s="22" t="str">
        <f>IFERROR(__xludf.DUMMYFUNCTION("""COMPUTED_VALUE"""),"クロスフォリオ出版")</f>
        <v>クロスフォリオ出版</v>
      </c>
      <c r="M4358" s="33">
        <f>IFERROR(__xludf.DUMMYFUNCTION("""COMPUTED_VALUE"""),46038.0)</f>
        <v>46038</v>
      </c>
      <c r="N4358" s="33">
        <f>IFERROR(__xludf.DUMMYFUNCTION("""COMPUTED_VALUE"""),46114.0)</f>
        <v>46114</v>
      </c>
      <c r="O4358" s="20"/>
      <c r="P4358" s="32" t="str">
        <f>IFERROR(__xludf.DUMMYFUNCTION("""COMPUTED_VALUE"""),"可")</f>
        <v>可</v>
      </c>
      <c r="Q4358" s="30" t="str">
        <f>IFERROR(__xludf.DUMMYFUNCTION("""COMPUTED_VALUE"""),"【アダルト作品扱い】&lt;BR&gt;・書店BookLiveとシーモアでの同時先行配信")</f>
        <v>【アダルト作品扱い】&lt;BR&gt;・書店BookLiveとシーモアでの同時先行配信</v>
      </c>
      <c r="R4358" s="22"/>
      <c r="S4358" s="22" t="str">
        <f>IFERROR(__xludf.DUMMYFUNCTION("""COMPUTED_VALUE"""),"20251023_BookLive_魔女見習いの淫らなレッスン")</f>
        <v>20251023_BookLive_魔女見習いの淫らなレッスン</v>
      </c>
      <c r="T4358" s="22" t="str">
        <f>IFERROR(__xludf.DUMMYFUNCTION("""COMPUTED_VALUE"""),"格納済み")</f>
        <v>格納済み</v>
      </c>
      <c r="U4358" s="9" t="str">
        <f>IFERROR(__xludf.DUMMYFUNCTION("""COMPUTED_VALUE"""),"(C)南天/落合海/DARKMOON/クロスフォリオ出版")</f>
        <v>(C)南天/落合海/DARKMOON/クロスフォリオ出版</v>
      </c>
      <c r="V4358" s="8"/>
      <c r="W4358" s="8"/>
      <c r="X4358" s="8" t="str">
        <f>IFERROR(__xludf.DUMMYFUNCTION("""COMPUTED_VALUE"""),"有")</f>
        <v>有</v>
      </c>
      <c r="Y4358" s="8" t="str">
        <f>IFERROR(__xludf.DUMMYFUNCTION("""COMPUTED_VALUE"""),"P6まで")</f>
        <v>P6まで</v>
      </c>
      <c r="Z4358" s="7"/>
      <c r="AA4358" s="7"/>
      <c r="AB4358" s="7"/>
    </row>
    <row r="4359" ht="15.75" customHeight="1">
      <c r="A4359" s="26">
        <f>IFERROR(__xludf.DUMMYFUNCTION("""COMPUTED_VALUE"""),6720.0)</f>
        <v>6720</v>
      </c>
      <c r="B4359" s="22" t="str">
        <f>IFERROR(__xludf.DUMMYFUNCTION("""COMPUTED_VALUE"""),"確定")</f>
        <v>確定</v>
      </c>
      <c r="C4359" s="28">
        <f>IFERROR(__xludf.DUMMYFUNCTION("""COMPUTED_VALUE"""),45953.0)</f>
        <v>45953</v>
      </c>
      <c r="D4359" s="28">
        <f>IFERROR(__xludf.DUMMYFUNCTION("""COMPUTED_VALUE"""),45994.0)</f>
        <v>45994</v>
      </c>
      <c r="E4359" s="26">
        <f>IFERROR(__xludf.DUMMYFUNCTION("""COMPUTED_VALUE"""),342814.0)</f>
        <v>342814</v>
      </c>
      <c r="F4359" s="22" t="str">
        <f>IFERROR(__xludf.DUMMYFUNCTION("""COMPUTED_VALUE"""),"ホス狂女子快楽レッスン【TL版】")</f>
        <v>ホス狂女子快楽レッスン【TL版】</v>
      </c>
      <c r="G4359" s="20" t="str">
        <f>IFERROR(__xludf.DUMMYFUNCTION("""COMPUTED_VALUE"""),"1～2")</f>
        <v>1～2</v>
      </c>
      <c r="H4359" s="22" t="str">
        <f>IFERROR(__xludf.DUMMYFUNCTION("""COMPUTED_VALUE"""),"落合海,げんじつ")</f>
        <v>落合海,げんじつ</v>
      </c>
      <c r="I4359" s="22" t="str">
        <f>IFERROR(__xludf.DUMMYFUNCTION("""COMPUTED_VALUE"""),"TLマンガ")</f>
        <v>TLマンガ</v>
      </c>
      <c r="J4359" s="22"/>
      <c r="K4359" s="22" t="str">
        <f>IFERROR(__xludf.DUMMYFUNCTION("""COMPUTED_VALUE"""),"DARKMOON")</f>
        <v>DARKMOON</v>
      </c>
      <c r="L4359" s="22" t="str">
        <f>IFERROR(__xludf.DUMMYFUNCTION("""COMPUTED_VALUE"""),"クロスフォリオ出版")</f>
        <v>クロスフォリオ出版</v>
      </c>
      <c r="M4359" s="33">
        <f>IFERROR(__xludf.DUMMYFUNCTION("""COMPUTED_VALUE"""),46038.0)</f>
        <v>46038</v>
      </c>
      <c r="N4359" s="33">
        <f>IFERROR(__xludf.DUMMYFUNCTION("""COMPUTED_VALUE"""),46114.0)</f>
        <v>46114</v>
      </c>
      <c r="O4359" s="20"/>
      <c r="P4359" s="32" t="str">
        <f>IFERROR(__xludf.DUMMYFUNCTION("""COMPUTED_VALUE"""),"可")</f>
        <v>可</v>
      </c>
      <c r="Q4359" s="30" t="str">
        <f>IFERROR(__xludf.DUMMYFUNCTION("""COMPUTED_VALUE"""),"【アダルト作品扱い】&lt;BR&gt;・書店BookLiveとシーモアの同時配信です。")</f>
        <v>【アダルト作品扱い】&lt;BR&gt;・書店BookLiveとシーモアの同時配信です。</v>
      </c>
      <c r="R4359" s="22"/>
      <c r="S4359" s="22" t="str">
        <f>IFERROR(__xludf.DUMMYFUNCTION("""COMPUTED_VALUE"""),"20251023_BookLive_ホス狂女子快楽レッスン")</f>
        <v>20251023_BookLive_ホス狂女子快楽レッスン</v>
      </c>
      <c r="T4359" s="22" t="str">
        <f>IFERROR(__xludf.DUMMYFUNCTION("""COMPUTED_VALUE"""),"格納済み")</f>
        <v>格納済み</v>
      </c>
      <c r="U4359" s="9" t="str">
        <f>IFERROR(__xludf.DUMMYFUNCTION("""COMPUTED_VALUE"""),"(C)げんじつ/落合海/DARKMOON/クロスフォリオ出版")</f>
        <v>(C)げんじつ/落合海/DARKMOON/クロスフォリオ出版</v>
      </c>
      <c r="V4359" s="8"/>
      <c r="W4359" s="8"/>
      <c r="X4359" s="8" t="str">
        <f>IFERROR(__xludf.DUMMYFUNCTION("""COMPUTED_VALUE"""),"有")</f>
        <v>有</v>
      </c>
      <c r="Y4359" s="8" t="str">
        <f>IFERROR(__xludf.DUMMYFUNCTION("""COMPUTED_VALUE"""),"P6まで")</f>
        <v>P6まで</v>
      </c>
      <c r="Z4359" s="7"/>
      <c r="AA4359" s="7"/>
      <c r="AB4359" s="7"/>
    </row>
    <row r="4360" ht="15.75" customHeight="1">
      <c r="A4360" s="26">
        <f>IFERROR(__xludf.DUMMYFUNCTION("""COMPUTED_VALUE"""),6721.0)</f>
        <v>6721</v>
      </c>
      <c r="B4360" s="22" t="str">
        <f>IFERROR(__xludf.DUMMYFUNCTION("""COMPUTED_VALUE"""),"確定")</f>
        <v>確定</v>
      </c>
      <c r="C4360" s="28">
        <f>IFERROR(__xludf.DUMMYFUNCTION("""COMPUTED_VALUE"""),45953.0)</f>
        <v>45953</v>
      </c>
      <c r="D4360" s="28">
        <f>IFERROR(__xludf.DUMMYFUNCTION("""COMPUTED_VALUE"""),45994.0)</f>
        <v>45994</v>
      </c>
      <c r="E4360" s="26">
        <f>IFERROR(__xludf.DUMMYFUNCTION("""COMPUTED_VALUE"""),342815.0)</f>
        <v>342815</v>
      </c>
      <c r="F4360" s="22" t="str">
        <f>IFERROR(__xludf.DUMMYFUNCTION("""COMPUTED_VALUE"""),"乙女ゲームに転生したら全ルートで快楽堕ちアンソロジー【TL版】")</f>
        <v>乙女ゲームに転生したら全ルートで快楽堕ちアンソロジー【TL版】</v>
      </c>
      <c r="G4360" s="20" t="str">
        <f>IFERROR(__xludf.DUMMYFUNCTION("""COMPUTED_VALUE"""),"1～2")</f>
        <v>1～2</v>
      </c>
      <c r="H4360" s="22" t="str">
        <f>IFERROR(__xludf.DUMMYFUNCTION("""COMPUTED_VALUE"""),"おはぎ,とづべ,落合海,賀来ともり,曇り山田,晶兎ゆり,にくあつポンチョ,槿芙蓉,Mian")</f>
        <v>おはぎ,とづべ,落合海,賀来ともり,曇り山田,晶兎ゆり,にくあつポンチョ,槿芙蓉,Mian</v>
      </c>
      <c r="I4360" s="22" t="str">
        <f>IFERROR(__xludf.DUMMYFUNCTION("""COMPUTED_VALUE"""),"TLマンガ")</f>
        <v>TLマンガ</v>
      </c>
      <c r="J4360" s="22"/>
      <c r="K4360" s="22" t="str">
        <f>IFERROR(__xludf.DUMMYFUNCTION("""COMPUTED_VALUE"""),"DARKMOON")</f>
        <v>DARKMOON</v>
      </c>
      <c r="L4360" s="22" t="str">
        <f>IFERROR(__xludf.DUMMYFUNCTION("""COMPUTED_VALUE"""),"クロスフォリオ出版")</f>
        <v>クロスフォリオ出版</v>
      </c>
      <c r="M4360" s="33">
        <f>IFERROR(__xludf.DUMMYFUNCTION("""COMPUTED_VALUE"""),46038.0)</f>
        <v>46038</v>
      </c>
      <c r="N4360" s="33">
        <f>IFERROR(__xludf.DUMMYFUNCTION("""COMPUTED_VALUE"""),46114.0)</f>
        <v>46114</v>
      </c>
      <c r="O4360" s="20"/>
      <c r="P4360" s="32" t="str">
        <f>IFERROR(__xludf.DUMMYFUNCTION("""COMPUTED_VALUE"""),"可")</f>
        <v>可</v>
      </c>
      <c r="Q4360" s="30" t="str">
        <f>IFERROR(__xludf.DUMMYFUNCTION("""COMPUTED_VALUE"""),"【アダルト作品扱い】&lt;BR&gt;・書店BookLieとシーモアの同時配信です。")</f>
        <v>【アダルト作品扱い】&lt;BR&gt;・書店BookLieとシーモアの同時配信です。</v>
      </c>
      <c r="R4360" s="22"/>
      <c r="S4360" s="22" t="str">
        <f>IFERROR(__xludf.DUMMYFUNCTION("""COMPUTED_VALUE"""),"20251023_BookLive_乙女ゲームに転生したら全ルートで快楽堕ちアンソロジー")</f>
        <v>20251023_BookLive_乙女ゲームに転生したら全ルートで快楽堕ちアンソロジー</v>
      </c>
      <c r="T4360" s="22" t="str">
        <f>IFERROR(__xludf.DUMMYFUNCTION("""COMPUTED_VALUE"""),"格納済み")</f>
        <v>格納済み</v>
      </c>
      <c r="U4360" s="9" t="str">
        <f>IFERROR(__xludf.DUMMYFUNCTION("""COMPUTED_VALUE"""),"(C)DARKMOON/クロスフォリオ出版")</f>
        <v>(C)DARKMOON/クロスフォリオ出版</v>
      </c>
      <c r="V4360" s="8"/>
      <c r="W4360" s="8"/>
      <c r="X4360" s="8" t="str">
        <f>IFERROR(__xludf.DUMMYFUNCTION("""COMPUTED_VALUE"""),"有")</f>
        <v>有</v>
      </c>
      <c r="Y4360" s="8" t="str">
        <f>IFERROR(__xludf.DUMMYFUNCTION("""COMPUTED_VALUE"""),"P5まで")</f>
        <v>P5まで</v>
      </c>
      <c r="Z4360" s="7"/>
      <c r="AA4360" s="7"/>
      <c r="AB4360" s="7"/>
    </row>
    <row r="4361" ht="15.75" customHeight="1">
      <c r="A4361" s="26">
        <f>IFERROR(__xludf.DUMMYFUNCTION("""COMPUTED_VALUE"""),6758.0)</f>
        <v>6758</v>
      </c>
      <c r="B4361" s="22" t="str">
        <f>IFERROR(__xludf.DUMMYFUNCTION("""COMPUTED_VALUE"""),"確定")</f>
        <v>確定</v>
      </c>
      <c r="C4361" s="28">
        <f>IFERROR(__xludf.DUMMYFUNCTION("""COMPUTED_VALUE"""),45959.0)</f>
        <v>45959</v>
      </c>
      <c r="D4361" s="28">
        <f>IFERROR(__xludf.DUMMYFUNCTION("""COMPUTED_VALUE"""),45993.0)</f>
        <v>45993</v>
      </c>
      <c r="E4361" s="26">
        <f>IFERROR(__xludf.DUMMYFUNCTION("""COMPUTED_VALUE"""),346146.0)</f>
        <v>346146</v>
      </c>
      <c r="F4361" s="22" t="str">
        <f>IFERROR(__xludf.DUMMYFUNCTION("""COMPUTED_VALUE"""),"死に戻り王女のやり直し溺愛婚～君を愛せないと言った軍人公爵様がとろ甘に迫ってきます～【分冊版】")</f>
        <v>死に戻り王女のやり直し溺愛婚～君を愛せないと言った軍人公爵様がとろ甘に迫ってきます～【分冊版】</v>
      </c>
      <c r="G4361" s="20" t="str">
        <f>IFERROR(__xludf.DUMMYFUNCTION("""COMPUTED_VALUE"""),"1～2")</f>
        <v>1～2</v>
      </c>
      <c r="H4361" s="22" t="str">
        <f>IFERROR(__xludf.DUMMYFUNCTION("""COMPUTED_VALUE"""),"蝶野飛沫,すずね凜")</f>
        <v>蝶野飛沫,すずね凜</v>
      </c>
      <c r="I4361" s="22" t="str">
        <f>IFERROR(__xludf.DUMMYFUNCTION("""COMPUTED_VALUE"""),"TL")</f>
        <v>TL</v>
      </c>
      <c r="J4361" s="22"/>
      <c r="K4361" s="22" t="str">
        <f>IFERROR(__xludf.DUMMYFUNCTION("""COMPUTED_VALUE"""),"乙女ドルチェ・コミックス")</f>
        <v>乙女ドルチェ・コミックス</v>
      </c>
      <c r="L4361" s="22" t="str">
        <f>IFERROR(__xludf.DUMMYFUNCTION("""COMPUTED_VALUE"""),"乙女ドルチェ・コミックス")</f>
        <v>乙女ドルチェ・コミックス</v>
      </c>
      <c r="M4361" s="33">
        <f>IFERROR(__xludf.DUMMYFUNCTION("""COMPUTED_VALUE"""),46038.0)</f>
        <v>46038</v>
      </c>
      <c r="N4361" s="33">
        <f>IFERROR(__xludf.DUMMYFUNCTION("""COMPUTED_VALUE"""),46098.0)</f>
        <v>46098</v>
      </c>
      <c r="O4361" s="20"/>
      <c r="P4361" s="32" t="str">
        <f>IFERROR(__xludf.DUMMYFUNCTION("""COMPUTED_VALUE"""),"可")</f>
        <v>可</v>
      </c>
      <c r="Q4361" s="30" t="str">
        <f>IFERROR(__xludf.DUMMYFUNCTION("""COMPUTED_VALUE"""),"【アダルト作品扱い】&lt;BR&gt;")</f>
        <v>【アダルト作品扱い】&lt;BR&gt;</v>
      </c>
      <c r="R4361" s="22" t="str">
        <f>IFERROR(__xludf.DUMMYFUNCTION("""COMPUTED_VALUE"""),"コミットNG")</f>
        <v>コミットNG</v>
      </c>
      <c r="S4361" s="22" t="str">
        <f>IFERROR(__xludf.DUMMYFUNCTION("""COMPUTED_VALUE"""),"20251201_乙女ドルチェ_死に戻り王女のやり直し溺愛婚～君を愛せないと言った軍人公爵様がとろ甘に迫ってきます～【分冊版】")</f>
        <v>20251201_乙女ドルチェ_死に戻り王女のやり直し溺愛婚～君を愛せないと言った軍人公爵様がとろ甘に迫ってきます～【分冊版】</v>
      </c>
      <c r="T4361" s="22" t="str">
        <f>IFERROR(__xludf.DUMMYFUNCTION("""COMPUTED_VALUE"""),"格納済み")</f>
        <v>格納済み</v>
      </c>
      <c r="U4361" s="9" t="str">
        <f>IFERROR(__xludf.DUMMYFUNCTION("""COMPUTED_VALUE"""),"（C) 蝶野飛沫・すずね凜／ハーパーコリンズ・ジャパン")</f>
        <v>（C) 蝶野飛沫・すずね凜／ハーパーコリンズ・ジャパン</v>
      </c>
      <c r="V4361" s="8"/>
      <c r="W4361" s="8"/>
      <c r="X4361" s="8" t="str">
        <f>IFERROR(__xludf.DUMMYFUNCTION("""COMPUTED_VALUE"""),"有")</f>
        <v>有</v>
      </c>
      <c r="Y4361" s="8" t="str">
        <f>IFERROR(__xludf.DUMMYFUNCTION("""COMPUTED_VALUE"""),"2026/2/17まで1巻立ち読み増量（P16）")</f>
        <v>2026/2/17まで1巻立ち読み増量（P16）</v>
      </c>
      <c r="Z4361" s="7"/>
      <c r="AA4361" s="7"/>
      <c r="AB4361" s="7"/>
    </row>
    <row r="4362" ht="15.75" customHeight="1">
      <c r="A4362" s="26">
        <f>IFERROR(__xludf.DUMMYFUNCTION("""COMPUTED_VALUE"""),6773.0)</f>
        <v>6773</v>
      </c>
      <c r="B4362" s="22" t="str">
        <f>IFERROR(__xludf.DUMMYFUNCTION("""COMPUTED_VALUE"""),"確定")</f>
        <v>確定</v>
      </c>
      <c r="C4362" s="28">
        <f>IFERROR(__xludf.DUMMYFUNCTION("""COMPUTED_VALUE"""),45965.0)</f>
        <v>45965</v>
      </c>
      <c r="D4362" s="28">
        <f>IFERROR(__xludf.DUMMYFUNCTION("""COMPUTED_VALUE"""),45993.0)</f>
        <v>45993</v>
      </c>
      <c r="E4362" s="26">
        <f>IFERROR(__xludf.DUMMYFUNCTION("""COMPUTED_VALUE"""),346512.0)</f>
        <v>346512</v>
      </c>
      <c r="F4362" s="22" t="str">
        <f>IFERROR(__xludf.DUMMYFUNCTION("""COMPUTED_VALUE"""),"偏愛性リビドー《Lovelicot》")</f>
        <v>偏愛性リビドー《Lovelicot》</v>
      </c>
      <c r="G4362" s="20" t="str">
        <f>IFERROR(__xludf.DUMMYFUNCTION("""COMPUTED_VALUE"""),"1～3")</f>
        <v>1～3</v>
      </c>
      <c r="H4362" s="22" t="str">
        <f>IFERROR(__xludf.DUMMYFUNCTION("""COMPUTED_VALUE"""),"城ケ崎透┴城ケ崎夏暮")</f>
        <v>城ケ崎透┴城ケ崎夏暮</v>
      </c>
      <c r="I4362" s="22" t="str">
        <f>IFERROR(__xludf.DUMMYFUNCTION("""COMPUTED_VALUE"""),"TL")</f>
        <v>TL</v>
      </c>
      <c r="J4362" s="22"/>
      <c r="K4362" s="22" t="str">
        <f>IFERROR(__xludf.DUMMYFUNCTION("""COMPUTED_VALUE"""),"Lovelicot")</f>
        <v>Lovelicot</v>
      </c>
      <c r="L4362" s="22" t="str">
        <f>IFERROR(__xludf.DUMMYFUNCTION("""COMPUTED_VALUE"""),"ガールスカウトコミックス")</f>
        <v>ガールスカウトコミックス</v>
      </c>
      <c r="M4362" s="33">
        <f>IFERROR(__xludf.DUMMYFUNCTION("""COMPUTED_VALUE"""),46041.0)</f>
        <v>46041</v>
      </c>
      <c r="N4362" s="33">
        <f>IFERROR(__xludf.DUMMYFUNCTION("""COMPUTED_VALUE"""),46130.0)</f>
        <v>46130</v>
      </c>
      <c r="O4362" s="20"/>
      <c r="P4362" s="32" t="str">
        <f>IFERROR(__xludf.DUMMYFUNCTION("""COMPUTED_VALUE"""),"可")</f>
        <v>可</v>
      </c>
      <c r="Q4362" s="30" t="str">
        <f>IFERROR(__xludf.DUMMYFUNCTION("""COMPUTED_VALUE"""),"【アダルト作品扱い】&lt;BR&gt;格納素材を3分割して初回1~3話として配信します。")</f>
        <v>【アダルト作品扱い】&lt;BR&gt;格納素材を3分割して初回1~3話として配信します。</v>
      </c>
      <c r="R4362" s="22" t="str">
        <f>IFERROR(__xludf.DUMMYFUNCTION("""COMPUTED_VALUE"""),"コミットOK")</f>
        <v>コミットOK</v>
      </c>
      <c r="S4362" s="22" t="str">
        <f>IFERROR(__xludf.DUMMYFUNCTION("""COMPUTED_VALUE"""),"20251202_ガールスカウトコミックス_偏愛性リビドー")</f>
        <v>20251202_ガールスカウトコミックス_偏愛性リビドー</v>
      </c>
      <c r="T4362" s="22" t="str">
        <f>IFERROR(__xludf.DUMMYFUNCTION("""COMPUTED_VALUE"""),"格納済み")</f>
        <v>格納済み</v>
      </c>
      <c r="U4362" s="9" t="str">
        <f>IFERROR(__xludf.DUMMYFUNCTION("""COMPUTED_VALUE"""),"(C)城ケ崎透・城ケ崎夏暮／ガールスカウトコミックス")</f>
        <v>(C)城ケ崎透・城ケ崎夏暮／ガールスカウトコミックス</v>
      </c>
      <c r="V4362" s="8"/>
      <c r="W4362" s="8"/>
      <c r="X4362" s="8" t="str">
        <f>IFERROR(__xludf.DUMMYFUNCTION("""COMPUTED_VALUE"""),"有")</f>
        <v>有</v>
      </c>
      <c r="Y4362" s="8" t="str">
        <f>IFERROR(__xludf.DUMMYFUNCTION("""COMPUTED_VALUE"""),"2026/2/1まで1巻無料")</f>
        <v>2026/2/1まで1巻無料</v>
      </c>
      <c r="Z4362" s="7"/>
      <c r="AA4362" s="7"/>
      <c r="AB4362" s="7"/>
    </row>
    <row r="4363" ht="15.75" customHeight="1">
      <c r="A4363" s="26">
        <f>IFERROR(__xludf.DUMMYFUNCTION("""COMPUTED_VALUE"""),6794.0)</f>
        <v>6794</v>
      </c>
      <c r="B4363" s="22" t="str">
        <f>IFERROR(__xludf.DUMMYFUNCTION("""COMPUTED_VALUE"""),"確定")</f>
        <v>確定</v>
      </c>
      <c r="C4363" s="28">
        <f>IFERROR(__xludf.DUMMYFUNCTION("""COMPUTED_VALUE"""),45966.0)</f>
        <v>45966</v>
      </c>
      <c r="D4363" s="28">
        <f>IFERROR(__xludf.DUMMYFUNCTION("""COMPUTED_VALUE"""),45992.0)</f>
        <v>45992</v>
      </c>
      <c r="E4363" s="26">
        <f>IFERROR(__xludf.DUMMYFUNCTION("""COMPUTED_VALUE"""),348787.0)</f>
        <v>348787</v>
      </c>
      <c r="F4363" s="22" t="str">
        <f>IFERROR(__xludf.DUMMYFUNCTION("""COMPUTED_VALUE"""),"破滅を控えた悪役令嬢が無理してヒロインを演じた結果～怠惰な余生が憧れなのに、第二王子の溺愛ルートに困惑中～【単話】")</f>
        <v>破滅を控えた悪役令嬢が無理してヒロインを演じた結果～怠惰な余生が憧れなのに、第二王子の溺愛ルートに困惑中～【単話】</v>
      </c>
      <c r="G4363" s="20" t="str">
        <f>IFERROR(__xludf.DUMMYFUNCTION("""COMPUTED_VALUE"""),"1~5")</f>
        <v>1~5</v>
      </c>
      <c r="H4363" s="22" t="str">
        <f>IFERROR(__xludf.DUMMYFUNCTION("""COMPUTED_VALUE"""),"原作：一分咲 キャラクター原案：藤未都也 漫画：蒼井たまご")</f>
        <v>原作：一分咲 キャラクター原案：藤未都也 漫画：蒼井たまご</v>
      </c>
      <c r="I4363" s="22" t="str">
        <f>IFERROR(__xludf.DUMMYFUNCTION("""COMPUTED_VALUE"""),"少女")</f>
        <v>少女</v>
      </c>
      <c r="J4363" s="22"/>
      <c r="K4363" s="22" t="str">
        <f>IFERROR(__xludf.DUMMYFUNCTION("""COMPUTED_VALUE"""),"マンガワン女子部")</f>
        <v>マンガワン女子部</v>
      </c>
      <c r="L4363" s="22" t="str">
        <f>IFERROR(__xludf.DUMMYFUNCTION("""COMPUTED_VALUE"""),"小学館")</f>
        <v>小学館</v>
      </c>
      <c r="M4363" s="33">
        <f>IFERROR(__xludf.DUMMYFUNCTION("""COMPUTED_VALUE"""),46041.0)</f>
        <v>46041</v>
      </c>
      <c r="N4363" s="33">
        <f>IFERROR(__xludf.DUMMYFUNCTION("""COMPUTED_VALUE"""),46098.0)</f>
        <v>46098</v>
      </c>
      <c r="O4363" s="20"/>
      <c r="P4363" s="32" t="str">
        <f>IFERROR(__xludf.DUMMYFUNCTION("""COMPUTED_VALUE"""),"否")</f>
        <v>否</v>
      </c>
      <c r="Q4363" s="30" t="str">
        <f>IFERROR(__xludf.DUMMYFUNCTION("""COMPUTED_VALUE"""),"2～5話は前後編でフォルダが分かれていますが、前後編合わせて1話分となります。")</f>
        <v>2～5話は前後編でフォルダが分かれていますが、前後編合わせて1話分となります。</v>
      </c>
      <c r="R4363" s="22" t="str">
        <f>IFERROR(__xludf.DUMMYFUNCTION("""COMPUTED_VALUE"""),"コミットOK")</f>
        <v>コミットOK</v>
      </c>
      <c r="S4363" s="22" t="str">
        <f>IFERROR(__xludf.DUMMYFUNCTION("""COMPUTED_VALUE"""),"20251201_小学館_破滅を控えた悪役令嬢が無理してヒロインを演じた結果～怠惰な余生が憧れなのに、第二王子の溺愛ルートに困惑中～【単話】")</f>
        <v>20251201_小学館_破滅を控えた悪役令嬢が無理してヒロインを演じた結果～怠惰な余生が憧れなのに、第二王子の溺愛ルートに困惑中～【単話】</v>
      </c>
      <c r="T4363" s="22" t="str">
        <f>IFERROR(__xludf.DUMMYFUNCTION("""COMPUTED_VALUE"""),"格納済み")</f>
        <v>格納済み</v>
      </c>
      <c r="U4363" s="9" t="str">
        <f>IFERROR(__xludf.DUMMYFUNCTION("""COMPUTED_VALUE"""),"(C)一分咲・蒼井たまご・藤未都也 / 小学館")</f>
        <v>(C)一分咲・蒼井たまご・藤未都也 / 小学館</v>
      </c>
      <c r="V4363" s="8"/>
      <c r="W4363" s="8"/>
      <c r="X4363" s="8" t="str">
        <f>IFERROR(__xludf.DUMMYFUNCTION("""COMPUTED_VALUE"""),"有")</f>
        <v>有</v>
      </c>
      <c r="Y4363" s="8" t="str">
        <f>IFERROR(__xludf.DUMMYFUNCTION("""COMPUTED_VALUE"""),"2026/3/17まで1～2巻無料")</f>
        <v>2026/3/17まで1～2巻無料</v>
      </c>
      <c r="Z4363" s="7"/>
      <c r="AA4363" s="7"/>
      <c r="AB4363" s="7"/>
    </row>
    <row r="4364" ht="15.75" customHeight="1">
      <c r="A4364" s="26">
        <f>IFERROR(__xludf.DUMMYFUNCTION("""COMPUTED_VALUE"""),6797.0)</f>
        <v>6797</v>
      </c>
      <c r="B4364" s="22" t="str">
        <f>IFERROR(__xludf.DUMMYFUNCTION("""COMPUTED_VALUE"""),"確定")</f>
        <v>確定</v>
      </c>
      <c r="C4364" s="28">
        <f>IFERROR(__xludf.DUMMYFUNCTION("""COMPUTED_VALUE"""),45966.0)</f>
        <v>45966</v>
      </c>
      <c r="D4364" s="28">
        <f>IFERROR(__xludf.DUMMYFUNCTION("""COMPUTED_VALUE"""),45994.0)</f>
        <v>45994</v>
      </c>
      <c r="E4364" s="26">
        <f>IFERROR(__xludf.DUMMYFUNCTION("""COMPUTED_VALUE"""),345761.0)</f>
        <v>345761</v>
      </c>
      <c r="F4364" s="22" t="str">
        <f>IFERROR(__xludf.DUMMYFUNCTION("""COMPUTED_VALUE"""),"前世から君だけを愛すると誓うよ")</f>
        <v>前世から君だけを愛すると誓うよ</v>
      </c>
      <c r="G4364" s="20" t="str">
        <f>IFERROR(__xludf.DUMMYFUNCTION("""COMPUTED_VALUE"""),"1～3")</f>
        <v>1～3</v>
      </c>
      <c r="H4364" s="22" t="str">
        <f>IFERROR(__xludf.DUMMYFUNCTION("""COMPUTED_VALUE"""),"嶋伏ろう・三田理恵子")</f>
        <v>嶋伏ろう・三田理恵子</v>
      </c>
      <c r="I4364" s="22" t="str">
        <f>IFERROR(__xludf.DUMMYFUNCTION("""COMPUTED_VALUE"""),"女性")</f>
        <v>女性</v>
      </c>
      <c r="J4364" s="22"/>
      <c r="K4364" s="22" t="str">
        <f>IFERROR(__xludf.DUMMYFUNCTION("""COMPUTED_VALUE"""),"comic fizzy")</f>
        <v>comic fizzy</v>
      </c>
      <c r="L4364" s="22" t="str">
        <f>IFERROR(__xludf.DUMMYFUNCTION("""COMPUTED_VALUE"""),"アムコミ")</f>
        <v>アムコミ</v>
      </c>
      <c r="M4364" s="33">
        <f>IFERROR(__xludf.DUMMYFUNCTION("""COMPUTED_VALUE"""),46023.0)</f>
        <v>46023</v>
      </c>
      <c r="N4364" s="33">
        <f>IFERROR(__xludf.DUMMYFUNCTION("""COMPUTED_VALUE"""),46112.0)</f>
        <v>46112</v>
      </c>
      <c r="O4364" s="20"/>
      <c r="P4364" s="32" t="str">
        <f>IFERROR(__xludf.DUMMYFUNCTION("""COMPUTED_VALUE"""),"可")</f>
        <v>可</v>
      </c>
      <c r="Q4364" s="30"/>
      <c r="R4364" s="22"/>
      <c r="S4364" s="22" t="str">
        <f>IFERROR(__xludf.DUMMYFUNCTION("""COMPUTED_VALUE"""),"20251202_アムタス_前世から君だけを愛すると誓うよ")</f>
        <v>20251202_アムタス_前世から君だけを愛すると誓うよ</v>
      </c>
      <c r="T4364" s="22" t="str">
        <f>IFERROR(__xludf.DUMMYFUNCTION("""COMPUTED_VALUE"""),"格納済み")</f>
        <v>格納済み</v>
      </c>
      <c r="U4364" s="9" t="str">
        <f>IFERROR(__xludf.DUMMYFUNCTION("""COMPUTED_VALUE"""),"『前世から君だけを愛すると誓うよ』Ⓒ嶋伏ろう/三田理恵子/アムコミ")</f>
        <v>『前世から君だけを愛すると誓うよ』Ⓒ嶋伏ろう/三田理恵子/アムコミ</v>
      </c>
      <c r="V4364" s="8"/>
      <c r="W4364" s="8"/>
      <c r="X4364" s="8" t="str">
        <f>IFERROR(__xludf.DUMMYFUNCTION("""COMPUTED_VALUE"""),"有")</f>
        <v>有</v>
      </c>
      <c r="Y4364" s="8" t="str">
        <f>IFERROR(__xludf.DUMMYFUNCTION("""COMPUTED_VALUE"""),"2026/3/31まで1巻無料")</f>
        <v>2026/3/31まで1巻無料</v>
      </c>
      <c r="Z4364" s="7"/>
      <c r="AA4364" s="7"/>
      <c r="AB4364" s="7"/>
    </row>
    <row r="4365" ht="15.75" customHeight="1">
      <c r="A4365" s="26">
        <f>IFERROR(__xludf.DUMMYFUNCTION("""COMPUTED_VALUE"""),6798.0)</f>
        <v>6798</v>
      </c>
      <c r="B4365" s="22" t="str">
        <f>IFERROR(__xludf.DUMMYFUNCTION("""COMPUTED_VALUE"""),"確定")</f>
        <v>確定</v>
      </c>
      <c r="C4365" s="28">
        <f>IFERROR(__xludf.DUMMYFUNCTION("""COMPUTED_VALUE"""),45966.0)</f>
        <v>45966</v>
      </c>
      <c r="D4365" s="28">
        <f>IFERROR(__xludf.DUMMYFUNCTION("""COMPUTED_VALUE"""),45994.0)</f>
        <v>45994</v>
      </c>
      <c r="E4365" s="26">
        <f>IFERROR(__xludf.DUMMYFUNCTION("""COMPUTED_VALUE"""),345762.0)</f>
        <v>345762</v>
      </c>
      <c r="F4365" s="22" t="str">
        <f>IFERROR(__xludf.DUMMYFUNCTION("""COMPUTED_VALUE"""),"針子の侍女は愛妃になる")</f>
        <v>針子の侍女は愛妃になる</v>
      </c>
      <c r="G4365" s="20" t="str">
        <f>IFERROR(__xludf.DUMMYFUNCTION("""COMPUTED_VALUE"""),"1～3")</f>
        <v>1～3</v>
      </c>
      <c r="H4365" s="22" t="str">
        <f>IFERROR(__xludf.DUMMYFUNCTION("""COMPUTED_VALUE"""),"福嶋ユッカ")</f>
        <v>福嶋ユッカ</v>
      </c>
      <c r="I4365" s="22" t="str">
        <f>IFERROR(__xludf.DUMMYFUNCTION("""COMPUTED_VALUE"""),"女性")</f>
        <v>女性</v>
      </c>
      <c r="J4365" s="22"/>
      <c r="K4365" s="22" t="str">
        <f>IFERROR(__xludf.DUMMYFUNCTION("""COMPUTED_VALUE"""),"comic fizzy")</f>
        <v>comic fizzy</v>
      </c>
      <c r="L4365" s="22" t="str">
        <f>IFERROR(__xludf.DUMMYFUNCTION("""COMPUTED_VALUE"""),"アムコミ")</f>
        <v>アムコミ</v>
      </c>
      <c r="M4365" s="33">
        <f>IFERROR(__xludf.DUMMYFUNCTION("""COMPUTED_VALUE"""),46023.0)</f>
        <v>46023</v>
      </c>
      <c r="N4365" s="33">
        <f>IFERROR(__xludf.DUMMYFUNCTION("""COMPUTED_VALUE"""),46112.0)</f>
        <v>46112</v>
      </c>
      <c r="O4365" s="20"/>
      <c r="P4365" s="32" t="str">
        <f>IFERROR(__xludf.DUMMYFUNCTION("""COMPUTED_VALUE"""),"可")</f>
        <v>可</v>
      </c>
      <c r="Q4365" s="30"/>
      <c r="R4365" s="22"/>
      <c r="S4365" s="22" t="str">
        <f>IFERROR(__xludf.DUMMYFUNCTION("""COMPUTED_VALUE"""),"20251202_アムタス_針子の侍女は愛妃になる")</f>
        <v>20251202_アムタス_針子の侍女は愛妃になる</v>
      </c>
      <c r="T4365" s="22" t="str">
        <f>IFERROR(__xludf.DUMMYFUNCTION("""COMPUTED_VALUE"""),"格納済み")</f>
        <v>格納済み</v>
      </c>
      <c r="U4365" s="9" t="str">
        <f>IFERROR(__xludf.DUMMYFUNCTION("""COMPUTED_VALUE"""),"『針子の侍女は愛妃になる』Ⓒ福嶋ユッカ/アムコミ")</f>
        <v>『針子の侍女は愛妃になる』Ⓒ福嶋ユッカ/アムコミ</v>
      </c>
      <c r="V4365" s="8"/>
      <c r="W4365" s="8"/>
      <c r="X4365" s="8" t="str">
        <f>IFERROR(__xludf.DUMMYFUNCTION("""COMPUTED_VALUE"""),"有")</f>
        <v>有</v>
      </c>
      <c r="Y4365" s="8" t="str">
        <f>IFERROR(__xludf.DUMMYFUNCTION("""COMPUTED_VALUE"""),"2026/3/31まで1巻無料")</f>
        <v>2026/3/31まで1巻無料</v>
      </c>
      <c r="Z4365" s="7"/>
      <c r="AA4365" s="7"/>
      <c r="AB4365" s="7"/>
    </row>
    <row r="4366" ht="15.75" customHeight="1">
      <c r="A4366" s="26">
        <f>IFERROR(__xludf.DUMMYFUNCTION("""COMPUTED_VALUE"""),6810.0)</f>
        <v>6810</v>
      </c>
      <c r="B4366" s="22" t="str">
        <f>IFERROR(__xludf.DUMMYFUNCTION("""COMPUTED_VALUE"""),"確定")</f>
        <v>確定</v>
      </c>
      <c r="C4366" s="28">
        <f>IFERROR(__xludf.DUMMYFUNCTION("""COMPUTED_VALUE"""),45967.0)</f>
        <v>45967</v>
      </c>
      <c r="D4366" s="28">
        <f>IFERROR(__xludf.DUMMYFUNCTION("""COMPUTED_VALUE"""),45993.0)</f>
        <v>45993</v>
      </c>
      <c r="E4366" s="26">
        <f>IFERROR(__xludf.DUMMYFUNCTION("""COMPUTED_VALUE"""),346988.0)</f>
        <v>346988</v>
      </c>
      <c r="F4366" s="22" t="str">
        <f>IFERROR(__xludf.DUMMYFUNCTION("""COMPUTED_VALUE"""),"尊い5歳児たちが私に結婚相手を斡旋してきます～捨てられ令嬢の私に紹介されたのはなんと宰相補佐～【分冊版】")</f>
        <v>尊い5歳児たちが私に結婚相手を斡旋してきます～捨てられ令嬢の私に紹介されたのはなんと宰相補佐～【分冊版】</v>
      </c>
      <c r="G4366" s="20" t="str">
        <f>IFERROR(__xludf.DUMMYFUNCTION("""COMPUTED_VALUE"""),"1～5")</f>
        <v>1～5</v>
      </c>
      <c r="H4366" s="22" t="str">
        <f>IFERROR(__xludf.DUMMYFUNCTION("""COMPUTED_VALUE"""),"著者：原作／頼爾 漫画／シロイ灯 キャラクター原案／仁藤あかね")</f>
        <v>著者：原作／頼爾 漫画／シロイ灯 キャラクター原案／仁藤あかね</v>
      </c>
      <c r="I4366" s="22" t="str">
        <f>IFERROR(__xludf.DUMMYFUNCTION("""COMPUTED_VALUE"""),"少女")</f>
        <v>少女</v>
      </c>
      <c r="J4366" s="22"/>
      <c r="K4366" s="22"/>
      <c r="L4366" s="22" t="str">
        <f>IFERROR(__xludf.DUMMYFUNCTION("""COMPUTED_VALUE"""),"スクウェア・エニックス")</f>
        <v>スクウェア・エニックス</v>
      </c>
      <c r="M4366" s="33">
        <f>IFERROR(__xludf.DUMMYFUNCTION("""COMPUTED_VALUE"""),46023.0)</f>
        <v>46023</v>
      </c>
      <c r="N4366" s="33">
        <f>IFERROR(__xludf.DUMMYFUNCTION("""COMPUTED_VALUE"""),46053.0)</f>
        <v>46053</v>
      </c>
      <c r="O4366" s="20"/>
      <c r="P4366" s="32" t="str">
        <f>IFERROR(__xludf.DUMMYFUNCTION("""COMPUTED_VALUE"""),"否")</f>
        <v>否</v>
      </c>
      <c r="Q4366" s="30"/>
      <c r="R4366" s="22" t="str">
        <f>IFERROR(__xludf.DUMMYFUNCTION("""COMPUTED_VALUE"""),"コミットOK")</f>
        <v>コミットOK</v>
      </c>
      <c r="S4366" s="22" t="str">
        <f>IFERROR(__xludf.DUMMYFUNCTION("""COMPUTED_VALUE"""),"20251106_スクウェア・エニックス_尊い5歳児たちが私に結婚相手を斡旋してきます")</f>
        <v>20251106_スクウェア・エニックス_尊い5歳児たちが私に結婚相手を斡旋してきます</v>
      </c>
      <c r="T4366" s="22" t="str">
        <f>IFERROR(__xludf.DUMMYFUNCTION("""COMPUTED_VALUE"""),"格納済み")</f>
        <v>格納済み</v>
      </c>
      <c r="U4366" s="9" t="str">
        <f>IFERROR(__xludf.DUMMYFUNCTION("""COMPUTED_VALUE"""),"(C)Raiji, Akane Nitou/LIBRION (C)Tomori Shiroi/SQUARE ENIX")</f>
        <v>(C)Raiji, Akane Nitou/LIBRION (C)Tomori Shiroi/SQUARE ENIX</v>
      </c>
      <c r="V4366" s="8"/>
      <c r="W4366" s="8"/>
      <c r="X4366" s="8" t="str">
        <f>IFERROR(__xludf.DUMMYFUNCTION("""COMPUTED_VALUE"""),"有")</f>
        <v>有</v>
      </c>
      <c r="Y4366" s="8" t="str">
        <f>IFERROR(__xludf.DUMMYFUNCTION("""COMPUTED_VALUE"""),"P6まで")</f>
        <v>P6まで</v>
      </c>
      <c r="Z4366" s="7"/>
      <c r="AA4366" s="7"/>
      <c r="AB4366" s="7"/>
    </row>
    <row r="4367" ht="15.75" customHeight="1">
      <c r="A4367" s="26">
        <f>IFERROR(__xludf.DUMMYFUNCTION("""COMPUTED_VALUE"""),6811.0)</f>
        <v>6811</v>
      </c>
      <c r="B4367" s="22" t="str">
        <f>IFERROR(__xludf.DUMMYFUNCTION("""COMPUTED_VALUE"""),"確定")</f>
        <v>確定</v>
      </c>
      <c r="C4367" s="28">
        <f>IFERROR(__xludf.DUMMYFUNCTION("""COMPUTED_VALUE"""),45967.0)</f>
        <v>45967</v>
      </c>
      <c r="D4367" s="28">
        <f>IFERROR(__xludf.DUMMYFUNCTION("""COMPUTED_VALUE"""),45993.0)</f>
        <v>45993</v>
      </c>
      <c r="E4367" s="26">
        <f>IFERROR(__xludf.DUMMYFUNCTION("""COMPUTED_VALUE"""),346987.0)</f>
        <v>346987</v>
      </c>
      <c r="F4367" s="22" t="str">
        <f>IFERROR(__xludf.DUMMYFUNCTION("""COMPUTED_VALUE"""),"『触れられると死ぬ』と言われた私、王子に触れたら最強の大聖女になりました。ところで殿下の愛が重い【分冊版】")</f>
        <v>『触れられると死ぬ』と言われた私、王子に触れたら最強の大聖女になりました。ところで殿下の愛が重い【分冊版】</v>
      </c>
      <c r="G4367" s="20" t="str">
        <f>IFERROR(__xludf.DUMMYFUNCTION("""COMPUTED_VALUE"""),"1～3")</f>
        <v>1～3</v>
      </c>
      <c r="H4367" s="22" t="str">
        <f>IFERROR(__xludf.DUMMYFUNCTION("""COMPUTED_VALUE"""),"著者：原作/宮之みやこ 漫画/田嶋了")</f>
        <v>著者：原作/宮之みやこ 漫画/田嶋了</v>
      </c>
      <c r="I4367" s="22" t="str">
        <f>IFERROR(__xludf.DUMMYFUNCTION("""COMPUTED_VALUE"""),"少女")</f>
        <v>少女</v>
      </c>
      <c r="J4367" s="22"/>
      <c r="K4367" s="22"/>
      <c r="L4367" s="22" t="str">
        <f>IFERROR(__xludf.DUMMYFUNCTION("""COMPUTED_VALUE"""),"スクウェア・エニックス")</f>
        <v>スクウェア・エニックス</v>
      </c>
      <c r="M4367" s="33">
        <f>IFERROR(__xludf.DUMMYFUNCTION("""COMPUTED_VALUE"""),46023.0)</f>
        <v>46023</v>
      </c>
      <c r="N4367" s="33">
        <f>IFERROR(__xludf.DUMMYFUNCTION("""COMPUTED_VALUE"""),46053.0)</f>
        <v>46053</v>
      </c>
      <c r="O4367" s="20"/>
      <c r="P4367" s="32" t="str">
        <f>IFERROR(__xludf.DUMMYFUNCTION("""COMPUTED_VALUE"""),"否")</f>
        <v>否</v>
      </c>
      <c r="Q4367" s="30"/>
      <c r="R4367" s="22" t="str">
        <f>IFERROR(__xludf.DUMMYFUNCTION("""COMPUTED_VALUE"""),"コミットOK")</f>
        <v>コミットOK</v>
      </c>
      <c r="S4367" s="22" t="str">
        <f>IFERROR(__xludf.DUMMYFUNCTION("""COMPUTED_VALUE"""),"20251106_スクウェア・エニックス_『触れられると死ぬ』と言われた私、王子に触れたら最強の大聖女になりました。ところで殿下の愛が重い")</f>
        <v>20251106_スクウェア・エニックス_『触れられると死ぬ』と言われた私、王子に触れたら最強の大聖女になりました。ところで殿下の愛が重い</v>
      </c>
      <c r="T4367" s="22" t="str">
        <f>IFERROR(__xludf.DUMMYFUNCTION("""COMPUTED_VALUE"""),"格納済み")</f>
        <v>格納済み</v>
      </c>
      <c r="U4367" s="9" t="str">
        <f>IFERROR(__xludf.DUMMYFUNCTION("""COMPUTED_VALUE"""),"(C)Miyako Miyano/SQUARE ENIX (C)Ryo Tajima/SQUARE ENIX")</f>
        <v>(C)Miyako Miyano/SQUARE ENIX (C)Ryo Tajima/SQUARE ENIX</v>
      </c>
      <c r="V4367" s="8"/>
      <c r="W4367" s="8"/>
      <c r="X4367" s="8" t="str">
        <f>IFERROR(__xludf.DUMMYFUNCTION("""COMPUTED_VALUE"""),"有")</f>
        <v>有</v>
      </c>
      <c r="Y4367" s="8" t="str">
        <f>IFERROR(__xludf.DUMMYFUNCTION("""COMPUTED_VALUE"""),"P6まで")</f>
        <v>P6まで</v>
      </c>
      <c r="Z4367" s="7"/>
      <c r="AA4367" s="7"/>
      <c r="AB4367" s="7"/>
    </row>
    <row r="4368" ht="15.75" customHeight="1">
      <c r="A4368" s="26">
        <f>IFERROR(__xludf.DUMMYFUNCTION("""COMPUTED_VALUE"""),6868.0)</f>
        <v>6868</v>
      </c>
      <c r="B4368" s="22" t="str">
        <f>IFERROR(__xludf.DUMMYFUNCTION("""COMPUTED_VALUE"""),"確定")</f>
        <v>確定</v>
      </c>
      <c r="C4368" s="28">
        <f>IFERROR(__xludf.DUMMYFUNCTION("""COMPUTED_VALUE"""),45973.0)</f>
        <v>45973</v>
      </c>
      <c r="D4368" s="28">
        <f>IFERROR(__xludf.DUMMYFUNCTION("""COMPUTED_VALUE"""),45989.0)</f>
        <v>45989</v>
      </c>
      <c r="E4368" s="26">
        <f>IFERROR(__xludf.DUMMYFUNCTION("""COMPUTED_VALUE"""),346497.0)</f>
        <v>346497</v>
      </c>
      <c r="F4368" s="22" t="str">
        <f>IFERROR(__xludf.DUMMYFUNCTION("""COMPUTED_VALUE"""),"面倒でカワイイ女たち　＃女の本音は夜に咲く【短編】")</f>
        <v>面倒でカワイイ女たち　＃女の本音は夜に咲く【短編】</v>
      </c>
      <c r="G4368" s="20" t="str">
        <f>IFERROR(__xludf.DUMMYFUNCTION("""COMPUTED_VALUE"""),"1～3")</f>
        <v>1～3</v>
      </c>
      <c r="H4368" s="22" t="str">
        <f>IFERROR(__xludf.DUMMYFUNCTION("""COMPUTED_VALUE"""),"蒼田あや")</f>
        <v>蒼田あや</v>
      </c>
      <c r="I4368" s="22" t="str">
        <f>IFERROR(__xludf.DUMMYFUNCTION("""COMPUTED_VALUE"""),"女性")</f>
        <v>女性</v>
      </c>
      <c r="J4368" s="22"/>
      <c r="K4368" s="22" t="str">
        <f>IFERROR(__xludf.DUMMYFUNCTION("""COMPUTED_VALUE"""),"飴猫レーベル")</f>
        <v>飴猫レーベル</v>
      </c>
      <c r="L4368" s="22" t="str">
        <f>IFERROR(__xludf.DUMMYFUNCTION("""COMPUTED_VALUE"""),"竹書房")</f>
        <v>竹書房</v>
      </c>
      <c r="M4368" s="33">
        <f>IFERROR(__xludf.DUMMYFUNCTION("""COMPUTED_VALUE"""),46025.0)</f>
        <v>46025</v>
      </c>
      <c r="N4368" s="33">
        <f>IFERROR(__xludf.DUMMYFUNCTION("""COMPUTED_VALUE"""),46114.0)</f>
        <v>46114</v>
      </c>
      <c r="O4368" s="20"/>
      <c r="P4368" s="32" t="str">
        <f>IFERROR(__xludf.DUMMYFUNCTION("""COMPUTED_VALUE"""),"可")</f>
        <v>可</v>
      </c>
      <c r="Q4368" s="30"/>
      <c r="R4368" s="22" t="str">
        <f>IFERROR(__xludf.DUMMYFUNCTION("""COMPUTED_VALUE"""),"コミットNG")</f>
        <v>コミットNG</v>
      </c>
      <c r="S4368" s="22" t="str">
        <f>IFERROR(__xludf.DUMMYFUNCTION("""COMPUTED_VALUE"""),"20251127_竹書房_面倒でカワイイ女たち")</f>
        <v>20251127_竹書房_面倒でカワイイ女たち</v>
      </c>
      <c r="T4368" s="22" t="str">
        <f>IFERROR(__xludf.DUMMYFUNCTION("""COMPUTED_VALUE"""),"格納済み")</f>
        <v>格納済み</v>
      </c>
      <c r="U4368" s="9" t="str">
        <f>IFERROR(__xludf.DUMMYFUNCTION("""COMPUTED_VALUE"""),"Ⓒ蒼田あや／竹書房")</f>
        <v>Ⓒ蒼田あや／竹書房</v>
      </c>
      <c r="V4368" s="8"/>
      <c r="W4368" s="8"/>
      <c r="X4368" s="8" t="str">
        <f>IFERROR(__xludf.DUMMYFUNCTION("""COMPUTED_VALUE"""),"有")</f>
        <v>有</v>
      </c>
      <c r="Y4368" s="8" t="str">
        <f>IFERROR(__xludf.DUMMYFUNCTION("""COMPUTED_VALUE"""),"2025/1/31まで1巻無料")</f>
        <v>2025/1/31まで1巻無料</v>
      </c>
      <c r="Z4368" s="7"/>
      <c r="AA4368" s="7"/>
      <c r="AB4368" s="7"/>
    </row>
    <row r="4369" ht="15.75" customHeight="1">
      <c r="A4369" s="26">
        <f>IFERROR(__xludf.DUMMYFUNCTION("""COMPUTED_VALUE"""),6901.0)</f>
        <v>6901</v>
      </c>
      <c r="B4369" s="22" t="str">
        <f>IFERROR(__xludf.DUMMYFUNCTION("""COMPUTED_VALUE"""),"確定")</f>
        <v>確定</v>
      </c>
      <c r="C4369" s="28">
        <f>IFERROR(__xludf.DUMMYFUNCTION("""COMPUTED_VALUE"""),45978.0)</f>
        <v>45978</v>
      </c>
      <c r="D4369" s="28">
        <f>IFERROR(__xludf.DUMMYFUNCTION("""COMPUTED_VALUE"""),45993.0)</f>
        <v>45993</v>
      </c>
      <c r="E4369" s="26">
        <f>IFERROR(__xludf.DUMMYFUNCTION("""COMPUTED_VALUE"""),330304.0)</f>
        <v>330304</v>
      </c>
      <c r="F4369" s="22" t="str">
        <f>IFERROR(__xludf.DUMMYFUNCTION("""COMPUTED_VALUE"""),"純白の皇后は無慈悲な皇帝の寵愛はいりません！(フルカラー)")</f>
        <v>純白の皇后は無慈悲な皇帝の寵愛はいりません！(フルカラー)</v>
      </c>
      <c r="G4369" s="20" t="str">
        <f>IFERROR(__xludf.DUMMYFUNCTION("""COMPUTED_VALUE"""),"1～5")</f>
        <v>1～5</v>
      </c>
      <c r="H4369" s="22" t="str">
        <f>IFERROR(__xludf.DUMMYFUNCTION("""COMPUTED_VALUE"""),"亜蘭,Chupyu,よりん")</f>
        <v>亜蘭,Chupyu,よりん</v>
      </c>
      <c r="I4369" s="22" t="str">
        <f>IFERROR(__xludf.DUMMYFUNCTION("""COMPUTED_VALUE"""),"少女マンガ")</f>
        <v>少女マンガ</v>
      </c>
      <c r="J4369" s="22"/>
      <c r="K4369" s="22" t="str">
        <f>IFERROR(__xludf.DUMMYFUNCTION("""COMPUTED_VALUE"""),"恋するソワレ")</f>
        <v>恋するソワレ</v>
      </c>
      <c r="L4369" s="22" t="str">
        <f>IFERROR(__xludf.DUMMYFUNCTION("""COMPUTED_VALUE"""),"シーモアコミックス")</f>
        <v>シーモアコミックス</v>
      </c>
      <c r="M4369" s="33">
        <f>IFERROR(__xludf.DUMMYFUNCTION("""COMPUTED_VALUE"""),46026.0)</f>
        <v>46026</v>
      </c>
      <c r="N4369" s="33">
        <f>IFERROR(__xludf.DUMMYFUNCTION("""COMPUTED_VALUE"""),46177.66666666667)</f>
        <v>46177.66667</v>
      </c>
      <c r="O4369" s="20"/>
      <c r="P4369" s="32" t="str">
        <f>IFERROR(__xludf.DUMMYFUNCTION("""COMPUTED_VALUE"""),"可")</f>
        <v>可</v>
      </c>
      <c r="Q4369" s="30"/>
      <c r="R4369" s="22"/>
      <c r="S4369" s="22" t="str">
        <f>IFERROR(__xludf.DUMMYFUNCTION("""COMPUTED_VALUE"""),"20251117_シーモアコミックス_純白の皇后は無慈悲な皇帝の寵愛はいりません！（フルカラー）")</f>
        <v>20251117_シーモアコミックス_純白の皇后は無慈悲な皇帝の寵愛はいりません！（フルカラー）</v>
      </c>
      <c r="T4369" s="22" t="str">
        <f>IFERROR(__xludf.DUMMYFUNCTION("""COMPUTED_VALUE"""),"格納済み")</f>
        <v>格納済み</v>
      </c>
      <c r="U4369" s="9" t="str">
        <f>IFERROR(__xludf.DUMMYFUNCTION("""COMPUTED_VALUE"""),"(C) 亜蘭/Chupyu/よりん/KWBOOKS/シーモアコミックス")</f>
        <v>(C) 亜蘭/Chupyu/よりん/KWBOOKS/シーモアコミックス</v>
      </c>
      <c r="V4369" s="8"/>
      <c r="W4369" s="8"/>
      <c r="X4369" s="8" t="str">
        <f>IFERROR(__xludf.DUMMYFUNCTION("""COMPUTED_VALUE"""),"有")</f>
        <v>有</v>
      </c>
      <c r="Y4369" s="8" t="str">
        <f>IFERROR(__xludf.DUMMYFUNCTION("""COMPUTED_VALUE"""),"P12まで")</f>
        <v>P12まで</v>
      </c>
      <c r="Z4369" s="7"/>
      <c r="AA4369" s="7"/>
      <c r="AB4369" s="7"/>
    </row>
    <row r="4370" ht="15.75" customHeight="1">
      <c r="A4370" s="26">
        <f>IFERROR(__xludf.DUMMYFUNCTION("""COMPUTED_VALUE"""),6902.0)</f>
        <v>6902</v>
      </c>
      <c r="B4370" s="22" t="str">
        <f>IFERROR(__xludf.DUMMYFUNCTION("""COMPUTED_VALUE"""),"確定")</f>
        <v>確定</v>
      </c>
      <c r="C4370" s="28">
        <f>IFERROR(__xludf.DUMMYFUNCTION("""COMPUTED_VALUE"""),45978.0)</f>
        <v>45978</v>
      </c>
      <c r="D4370" s="28">
        <f>IFERROR(__xludf.DUMMYFUNCTION("""COMPUTED_VALUE"""),45992.0)</f>
        <v>45992</v>
      </c>
      <c r="E4370" s="26">
        <f>IFERROR(__xludf.DUMMYFUNCTION("""COMPUTED_VALUE"""),330305.0)</f>
        <v>330305</v>
      </c>
      <c r="F4370" s="22" t="str">
        <f>IFERROR(__xludf.DUMMYFUNCTION("""COMPUTED_VALUE"""),"純白の皇后は無慈悲な皇帝の寵愛はいりません！【タテヨミ】")</f>
        <v>純白の皇后は無慈悲な皇帝の寵愛はいりません！【タテヨミ】</v>
      </c>
      <c r="G4370" s="20" t="str">
        <f>IFERROR(__xludf.DUMMYFUNCTION("""COMPUTED_VALUE"""),"1～15")</f>
        <v>1～15</v>
      </c>
      <c r="H4370" s="22" t="str">
        <f>IFERROR(__xludf.DUMMYFUNCTION("""COMPUTED_VALUE"""),"亜蘭,Chupyu,よりん")</f>
        <v>亜蘭,Chupyu,よりん</v>
      </c>
      <c r="I4370" s="22" t="str">
        <f>IFERROR(__xludf.DUMMYFUNCTION("""COMPUTED_VALUE"""),"少女マンガ")</f>
        <v>少女マンガ</v>
      </c>
      <c r="J4370" s="22"/>
      <c r="K4370" s="22" t="str">
        <f>IFERROR(__xludf.DUMMYFUNCTION("""COMPUTED_VALUE"""),"恋するソワレ")</f>
        <v>恋するソワレ</v>
      </c>
      <c r="L4370" s="22" t="str">
        <f>IFERROR(__xludf.DUMMYFUNCTION("""COMPUTED_VALUE"""),"シーモアコミックス")</f>
        <v>シーモアコミックス</v>
      </c>
      <c r="M4370" s="33">
        <f>IFERROR(__xludf.DUMMYFUNCTION("""COMPUTED_VALUE"""),46026.0)</f>
        <v>46026</v>
      </c>
      <c r="N4370" s="33">
        <f>IFERROR(__xludf.DUMMYFUNCTION("""COMPUTED_VALUE"""),46177.66666666667)</f>
        <v>46177.66667</v>
      </c>
      <c r="O4370" s="20"/>
      <c r="P4370" s="32" t="str">
        <f>IFERROR(__xludf.DUMMYFUNCTION("""COMPUTED_VALUE"""),"可")</f>
        <v>可</v>
      </c>
      <c r="Q4370" s="30" t="str">
        <f>IFERROR(__xludf.DUMMYFUNCTION("""COMPUTED_VALUE"""),"※コマサム等素材は「330304　純白の皇后は無慈悲な皇帝の寵愛はいりません！(フルカラー)」の方をお使いください。バナー制作はフルカラー版の素材を利用して問題ございません。&lt;BR&gt;")</f>
        <v>※コマサム等素材は「330304　純白の皇后は無慈悲な皇帝の寵愛はいりません！(フルカラー)」の方をお使いください。バナー制作はフルカラー版の素材を利用して問題ございません。&lt;BR&gt;</v>
      </c>
      <c r="R4370" s="22"/>
      <c r="S4370" s="22" t="str">
        <f>IFERROR(__xludf.DUMMYFUNCTION("""COMPUTED_VALUE"""),"20251117_シーモアコミックス_純白の皇后は無慈悲な皇帝の寵愛はいりません！【タテヨミ】")</f>
        <v>20251117_シーモアコミックス_純白の皇后は無慈悲な皇帝の寵愛はいりません！【タテヨミ】</v>
      </c>
      <c r="T4370" s="22" t="str">
        <f>IFERROR(__xludf.DUMMYFUNCTION("""COMPUTED_VALUE"""),"格納済み")</f>
        <v>格納済み</v>
      </c>
      <c r="U4370" s="9" t="str">
        <f>IFERROR(__xludf.DUMMYFUNCTION("""COMPUTED_VALUE"""),"(C) 亜蘭/Chupyu/よりん/KWBOOKS/シーモアコミックス")</f>
        <v>(C) 亜蘭/Chupyu/よりん/KWBOOKS/シーモアコミックス</v>
      </c>
      <c r="V4370" s="8"/>
      <c r="W4370" s="8"/>
      <c r="X4370" s="8" t="str">
        <f>IFERROR(__xludf.DUMMYFUNCTION("""COMPUTED_VALUE"""),"有")</f>
        <v>有</v>
      </c>
      <c r="Y4370" s="8" t="str">
        <f>IFERROR(__xludf.DUMMYFUNCTION("""COMPUTED_VALUE"""),"1巻無料")</f>
        <v>1巻無料</v>
      </c>
      <c r="Z4370" s="7"/>
      <c r="AA4370" s="7"/>
      <c r="AB4370" s="7"/>
    </row>
    <row r="4371" ht="15.75" customHeight="1">
      <c r="A4371" s="26">
        <f>IFERROR(__xludf.DUMMYFUNCTION("""COMPUTED_VALUE"""),6936.0)</f>
        <v>6936</v>
      </c>
      <c r="B4371" s="22" t="str">
        <f>IFERROR(__xludf.DUMMYFUNCTION("""COMPUTED_VALUE"""),"確定")</f>
        <v>確定</v>
      </c>
      <c r="C4371" s="28">
        <f>IFERROR(__xludf.DUMMYFUNCTION("""COMPUTED_VALUE"""),45982.0)</f>
        <v>45982</v>
      </c>
      <c r="D4371" s="28">
        <f>IFERROR(__xludf.DUMMYFUNCTION("""COMPUTED_VALUE"""),45993.0)</f>
        <v>45993</v>
      </c>
      <c r="E4371" s="26">
        <f>IFERROR(__xludf.DUMMYFUNCTION("""COMPUTED_VALUE"""),346240.0)</f>
        <v>346240</v>
      </c>
      <c r="F4371" s="22" t="str">
        <f>IFERROR(__xludf.DUMMYFUNCTION("""COMPUTED_VALUE"""),"【ラブコフレ】あなたのかたちになりたいの －7年付き合ってる彼氏の××が入りません－")</f>
        <v>【ラブコフレ】あなたのかたちになりたいの －7年付き合ってる彼氏の××が入りません－</v>
      </c>
      <c r="G4371" s="20" t="str">
        <f>IFERROR(__xludf.DUMMYFUNCTION("""COMPUTED_VALUE"""),"1～3")</f>
        <v>1～3</v>
      </c>
      <c r="H4371" s="22" t="str">
        <f>IFERROR(__xludf.DUMMYFUNCTION("""COMPUTED_VALUE"""),"いぬぞの")</f>
        <v>いぬぞの</v>
      </c>
      <c r="I4371" s="22" t="str">
        <f>IFERROR(__xludf.DUMMYFUNCTION("""COMPUTED_VALUE"""),"TL")</f>
        <v>TL</v>
      </c>
      <c r="J4371" s="22"/>
      <c r="K4371" s="22" t="str">
        <f>IFERROR(__xludf.DUMMYFUNCTION("""COMPUTED_VALUE"""),"ラブコフレ")</f>
        <v>ラブコフレ</v>
      </c>
      <c r="L4371" s="22" t="str">
        <f>IFERROR(__xludf.DUMMYFUNCTION("""COMPUTED_VALUE"""),"大誠社")</f>
        <v>大誠社</v>
      </c>
      <c r="M4371" s="33">
        <f>IFERROR(__xludf.DUMMYFUNCTION("""COMPUTED_VALUE"""),46033.0)</f>
        <v>46033</v>
      </c>
      <c r="N4371" s="33">
        <f>IFERROR(__xludf.DUMMYFUNCTION("""COMPUTED_VALUE"""),46142.0)</f>
        <v>46142</v>
      </c>
      <c r="O4371" s="20"/>
      <c r="P4371" s="32" t="str">
        <f>IFERROR(__xludf.DUMMYFUNCTION("""COMPUTED_VALUE"""),"可")</f>
        <v>可</v>
      </c>
      <c r="Q4371" s="30" t="str">
        <f>IFERROR(__xludf.DUMMYFUNCTION("""COMPUTED_VALUE"""),"【アダルト作品扱い】")</f>
        <v>【アダルト作品扱い】</v>
      </c>
      <c r="R4371" s="22" t="str">
        <f>IFERROR(__xludf.DUMMYFUNCTION("""COMPUTED_VALUE"""),"コミットOK")</f>
        <v>コミットOK</v>
      </c>
      <c r="S4371" s="22" t="str">
        <f>IFERROR(__xludf.DUMMYFUNCTION("""COMPUTED_VALUE"""),"20251202_大誠社_【ラブコフレ】あなたのかたちになりたいの －7年付き合ってる彼氏の××が入りません－")</f>
        <v>20251202_大誠社_【ラブコフレ】あなたのかたちになりたいの －7年付き合ってる彼氏の××が入りません－</v>
      </c>
      <c r="T4371" s="22" t="str">
        <f>IFERROR(__xludf.DUMMYFUNCTION("""COMPUTED_VALUE"""),"格納済み")</f>
        <v>格納済み</v>
      </c>
      <c r="U4371" s="9" t="str">
        <f>IFERROR(__xludf.DUMMYFUNCTION("""COMPUTED_VALUE"""),"(C) いぬぞの/大誠社")</f>
        <v>(C) いぬぞの/大誠社</v>
      </c>
      <c r="V4371" s="8"/>
      <c r="W4371" s="8"/>
      <c r="X4371" s="8" t="str">
        <f>IFERROR(__xludf.DUMMYFUNCTION("""COMPUTED_VALUE"""),"有")</f>
        <v>有</v>
      </c>
      <c r="Y4371" s="8" t="str">
        <f>IFERROR(__xludf.DUMMYFUNCTION("""COMPUTED_VALUE"""),"P19まで")</f>
        <v>P19まで</v>
      </c>
      <c r="Z4371" s="7"/>
      <c r="AA4371" s="7"/>
      <c r="AB4371" s="7"/>
    </row>
    <row r="4372" ht="15.75" customHeight="1">
      <c r="A4372" s="26">
        <f>IFERROR(__xludf.DUMMYFUNCTION("""COMPUTED_VALUE"""),6938.0)</f>
        <v>6938</v>
      </c>
      <c r="B4372" s="22" t="str">
        <f>IFERROR(__xludf.DUMMYFUNCTION("""COMPUTED_VALUE"""),"確定")</f>
        <v>確定</v>
      </c>
      <c r="C4372" s="28">
        <f>IFERROR(__xludf.DUMMYFUNCTION("""COMPUTED_VALUE"""),45982.0)</f>
        <v>45982</v>
      </c>
      <c r="D4372" s="28">
        <f>IFERROR(__xludf.DUMMYFUNCTION("""COMPUTED_VALUE"""),45988.0)</f>
        <v>45988</v>
      </c>
      <c r="E4372" s="26">
        <f>IFERROR(__xludf.DUMMYFUNCTION("""COMPUTED_VALUE"""),271024.0)</f>
        <v>271024</v>
      </c>
      <c r="F4372" s="22" t="str">
        <f>IFERROR(__xludf.DUMMYFUNCTION("""COMPUTED_VALUE"""),"コイツが俺を好きならいいのに【シーモア限定特典付き】【コミックス版】")</f>
        <v>コイツが俺を好きならいいのに【シーモア限定特典付き】【コミックス版】</v>
      </c>
      <c r="G4372" s="20" t="str">
        <f>IFERROR(__xludf.DUMMYFUNCTION("""COMPUTED_VALUE"""),"3巻目")</f>
        <v>3巻目</v>
      </c>
      <c r="H4372" s="22" t="str">
        <f>IFERROR(__xludf.DUMMYFUNCTION("""COMPUTED_VALUE"""),"久留米くる")</f>
        <v>久留米くる</v>
      </c>
      <c r="I4372" s="22" t="str">
        <f>IFERROR(__xludf.DUMMYFUNCTION("""COMPUTED_VALUE"""),"BLマンガ")</f>
        <v>BLマンガ</v>
      </c>
      <c r="J4372" s="22"/>
      <c r="K4372" s="22" t="str">
        <f>IFERROR(__xludf.DUMMYFUNCTION("""COMPUTED_VALUE"""),"プラセボ")</f>
        <v>プラセボ</v>
      </c>
      <c r="L4372" s="22" t="str">
        <f>IFERROR(__xludf.DUMMYFUNCTION("""COMPUTED_VALUE"""),"笠倉出版社")</f>
        <v>笠倉出版社</v>
      </c>
      <c r="M4372" s="33">
        <f>IFERROR(__xludf.DUMMYFUNCTION("""COMPUTED_VALUE"""),46011.0)</f>
        <v>46011</v>
      </c>
      <c r="N4372" s="33">
        <f>IFERROR(__xludf.DUMMYFUNCTION("""COMPUTED_VALUE"""),2958465.0)</f>
        <v>2958465</v>
      </c>
      <c r="O4372" s="20"/>
      <c r="P4372" s="32" t="str">
        <f>IFERROR(__xludf.DUMMYFUNCTION("""COMPUTED_VALUE"""),"可")</f>
        <v>可</v>
      </c>
      <c r="Q4372" s="30" t="str">
        <f>IFERROR(__xludf.DUMMYFUNCTION("""COMPUTED_VALUE"""),"シーモア限定BOOKです。")</f>
        <v>シーモア限定BOOKです。</v>
      </c>
      <c r="R4372" s="22" t="str">
        <f>IFERROR(__xludf.DUMMYFUNCTION("""COMPUTED_VALUE"""),"コミットOK")</f>
        <v>コミットOK</v>
      </c>
      <c r="S4372" s="22" t="str">
        <f>IFERROR(__xludf.DUMMYFUNCTION("""COMPUTED_VALUE"""),"20251121_笠倉出版社_コイツが俺を好きならいいのに Sweet Holiday")</f>
        <v>20251121_笠倉出版社_コイツが俺を好きならいいのに Sweet Holiday</v>
      </c>
      <c r="T4372" s="22" t="str">
        <f>IFERROR(__xludf.DUMMYFUNCTION("""COMPUTED_VALUE"""),"格納済み")</f>
        <v>格納済み</v>
      </c>
      <c r="U4372" s="9" t="str">
        <f>IFERROR(__xludf.DUMMYFUNCTION("""COMPUTED_VALUE"""),"Ⓒ久留米くる/笠倉出版社")</f>
        <v>Ⓒ久留米くる/笠倉出版社</v>
      </c>
      <c r="V4372" s="8"/>
      <c r="W4372" s="8"/>
      <c r="X4372" s="8" t="str">
        <f>IFERROR(__xludf.DUMMYFUNCTION("""COMPUTED_VALUE"""),"有")</f>
        <v>有</v>
      </c>
      <c r="Y4372" s="8" t="str">
        <f>IFERROR(__xludf.DUMMYFUNCTION("""COMPUTED_VALUE"""),"2026/1/19まで1巻立ち読み増量（P38）")</f>
        <v>2026/1/19まで1巻立ち読み増量（P38）</v>
      </c>
      <c r="Z4372" s="7"/>
      <c r="AA4372" s="7"/>
      <c r="AB4372" s="7"/>
    </row>
    <row r="4373" ht="15.75" customHeight="1">
      <c r="A4373" s="26">
        <f>IFERROR(__xludf.DUMMYFUNCTION("""COMPUTED_VALUE"""),6957.0)</f>
        <v>6957</v>
      </c>
      <c r="B4373" s="22" t="str">
        <f>IFERROR(__xludf.DUMMYFUNCTION("""COMPUTED_VALUE"""),"確定")</f>
        <v>確定</v>
      </c>
      <c r="C4373" s="28">
        <f>IFERROR(__xludf.DUMMYFUNCTION("""COMPUTED_VALUE"""),45987.0)</f>
        <v>45987</v>
      </c>
      <c r="D4373" s="28">
        <f>IFERROR(__xludf.DUMMYFUNCTION("""COMPUTED_VALUE"""),45989.0)</f>
        <v>45989</v>
      </c>
      <c r="E4373" s="26">
        <f>IFERROR(__xludf.DUMMYFUNCTION("""COMPUTED_VALUE"""),346571.0)</f>
        <v>346571</v>
      </c>
      <c r="F4373" s="22" t="str">
        <f>IFERROR(__xludf.DUMMYFUNCTION("""COMPUTED_VALUE"""),"えっちな彼女たちのエピソード")</f>
        <v>えっちな彼女たちのエピソード</v>
      </c>
      <c r="G4373" s="20" t="str">
        <f>IFERROR(__xludf.DUMMYFUNCTION("""COMPUTED_VALUE"""),"1～3")</f>
        <v>1～3</v>
      </c>
      <c r="H4373" s="22" t="str">
        <f>IFERROR(__xludf.DUMMYFUNCTION("""COMPUTED_VALUE"""),"桜湯ハル")</f>
        <v>桜湯ハル</v>
      </c>
      <c r="I4373" s="22" t="str">
        <f>IFERROR(__xludf.DUMMYFUNCTION("""COMPUTED_VALUE"""),"アダルトマンガ")</f>
        <v>アダルトマンガ</v>
      </c>
      <c r="J4373" s="22"/>
      <c r="K4373" s="22"/>
      <c r="L4373" s="22" t="str">
        <f>IFERROR(__xludf.DUMMYFUNCTION("""COMPUTED_VALUE"""),"セ・キララ文庫")</f>
        <v>セ・キララ文庫</v>
      </c>
      <c r="M4373" s="33">
        <f>IFERROR(__xludf.DUMMYFUNCTION("""COMPUTED_VALUE"""),46047.0)</f>
        <v>46047</v>
      </c>
      <c r="N4373" s="33">
        <f>IFERROR(__xludf.DUMMYFUNCTION("""COMPUTED_VALUE"""),46077.0)</f>
        <v>46077</v>
      </c>
      <c r="O4373" s="20"/>
      <c r="P4373" s="32" t="str">
        <f>IFERROR(__xludf.DUMMYFUNCTION("""COMPUTED_VALUE"""),"可")</f>
        <v>可</v>
      </c>
      <c r="Q4373" s="30"/>
      <c r="R4373" s="22"/>
      <c r="S4373" s="22" t="str">
        <f>IFERROR(__xludf.DUMMYFUNCTION("""COMPUTED_VALUE"""),"20251126_ライドオン_えっちな彼女たちのエピソード")</f>
        <v>20251126_ライドオン_えっちな彼女たちのエピソード</v>
      </c>
      <c r="T4373" s="22" t="str">
        <f>IFERROR(__xludf.DUMMYFUNCTION("""COMPUTED_VALUE"""),"格納済み")</f>
        <v>格納済み</v>
      </c>
      <c r="U4373" s="9" t="str">
        <f>IFERROR(__xludf.DUMMYFUNCTION("""COMPUTED_VALUE"""),"Ⓒ桜湯ハル/セ・キララ文庫")</f>
        <v>Ⓒ桜湯ハル/セ・キララ文庫</v>
      </c>
      <c r="V4373" s="8"/>
      <c r="W4373" s="8"/>
      <c r="X4373" s="8" t="str">
        <f>IFERROR(__xludf.DUMMYFUNCTION("""COMPUTED_VALUE"""),"有")</f>
        <v>有</v>
      </c>
      <c r="Y4373" s="8" t="str">
        <f>IFERROR(__xludf.DUMMYFUNCTION("""COMPUTED_VALUE"""),"P10まで")</f>
        <v>P10まで</v>
      </c>
      <c r="Z4373" s="7"/>
      <c r="AA4373" s="7"/>
      <c r="AB4373" s="7"/>
    </row>
    <row r="4374" ht="15.75" customHeight="1">
      <c r="A4374" s="26">
        <f>IFERROR(__xludf.DUMMYFUNCTION("""COMPUTED_VALUE"""),6978.0)</f>
        <v>6978</v>
      </c>
      <c r="B4374" s="22" t="str">
        <f>IFERROR(__xludf.DUMMYFUNCTION("""COMPUTED_VALUE"""),"確定")</f>
        <v>確定</v>
      </c>
      <c r="C4374" s="28">
        <f>IFERROR(__xludf.DUMMYFUNCTION("""COMPUTED_VALUE"""),45992.0)</f>
        <v>45992</v>
      </c>
      <c r="D4374" s="28">
        <f>IFERROR(__xludf.DUMMYFUNCTION("""COMPUTED_VALUE"""),45992.0)</f>
        <v>45992</v>
      </c>
      <c r="E4374" s="26">
        <f>IFERROR(__xludf.DUMMYFUNCTION("""COMPUTED_VALUE"""),313042.0)</f>
        <v>313042</v>
      </c>
      <c r="F4374" s="22" t="str">
        <f>IFERROR(__xludf.DUMMYFUNCTION("""COMPUTED_VALUE"""),"ウルの森の魔女")</f>
        <v>ウルの森の魔女</v>
      </c>
      <c r="G4374" s="20" t="str">
        <f>IFERROR(__xludf.DUMMYFUNCTION("""COMPUTED_VALUE"""),"1～5")</f>
        <v>1～5</v>
      </c>
      <c r="H4374" s="22" t="str">
        <f>IFERROR(__xludf.DUMMYFUNCTION("""COMPUTED_VALUE"""),"そうだすい")</f>
        <v>そうだすい</v>
      </c>
      <c r="I4374" s="22" t="str">
        <f>IFERROR(__xludf.DUMMYFUNCTION("""COMPUTED_VALUE"""),"少女マンガ")</f>
        <v>少女マンガ</v>
      </c>
      <c r="J4374" s="22"/>
      <c r="K4374" s="22" t="str">
        <f>IFERROR(__xludf.DUMMYFUNCTION("""COMPUTED_VALUE"""),"恋するソワレ")</f>
        <v>恋するソワレ</v>
      </c>
      <c r="L4374" s="22" t="str">
        <f>IFERROR(__xludf.DUMMYFUNCTION("""COMPUTED_VALUE"""),"シーモアコミックス")</f>
        <v>シーモアコミックス</v>
      </c>
      <c r="M4374" s="33">
        <f>IFERROR(__xludf.DUMMYFUNCTION("""COMPUTED_VALUE"""),46039.0)</f>
        <v>46039</v>
      </c>
      <c r="N4374" s="33">
        <f>IFERROR(__xludf.DUMMYFUNCTION("""COMPUTED_VALUE"""),46191.66666666667)</f>
        <v>46191.66667</v>
      </c>
      <c r="O4374" s="20"/>
      <c r="P4374" s="32" t="str">
        <f>IFERROR(__xludf.DUMMYFUNCTION("""COMPUTED_VALUE"""),"可")</f>
        <v>可</v>
      </c>
      <c r="Q4374" s="30"/>
      <c r="R4374" s="22"/>
      <c r="S4374" s="22" t="str">
        <f>IFERROR(__xludf.DUMMYFUNCTION("""COMPUTED_VALUE"""),"20251201_シーモアコミックス_ウルの森の魔女")</f>
        <v>20251201_シーモアコミックス_ウルの森の魔女</v>
      </c>
      <c r="T4374" s="22" t="str">
        <f>IFERROR(__xludf.DUMMYFUNCTION("""COMPUTED_VALUE"""),"格納済み")</f>
        <v>格納済み</v>
      </c>
      <c r="U4374" s="9" t="str">
        <f>IFERROR(__xludf.DUMMYFUNCTION("""COMPUTED_VALUE"""),"(C) そうだすい/シーモアコミックス")</f>
        <v>(C) そうだすい/シーモアコミックス</v>
      </c>
      <c r="V4374" s="8"/>
      <c r="W4374" s="8"/>
      <c r="X4374" s="8" t="str">
        <f>IFERROR(__xludf.DUMMYFUNCTION("""COMPUTED_VALUE"""),"有")</f>
        <v>有</v>
      </c>
      <c r="Y4374" s="8" t="str">
        <f>IFERROR(__xludf.DUMMYFUNCTION("""COMPUTED_VALUE"""),"2026/2/20まで1巻無料")</f>
        <v>2026/2/20まで1巻無料</v>
      </c>
      <c r="Z4374" s="7"/>
      <c r="AA4374" s="7"/>
      <c r="AB4374" s="7"/>
    </row>
    <row r="4375" ht="15.75" customHeight="1">
      <c r="A4375" s="26">
        <f>IFERROR(__xludf.DUMMYFUNCTION("""COMPUTED_VALUE"""),6979.0)</f>
        <v>6979</v>
      </c>
      <c r="B4375" s="22" t="str">
        <f>IFERROR(__xludf.DUMMYFUNCTION("""COMPUTED_VALUE"""),"確定")</f>
        <v>確定</v>
      </c>
      <c r="C4375" s="28">
        <f>IFERROR(__xludf.DUMMYFUNCTION("""COMPUTED_VALUE"""),45992.0)</f>
        <v>45992</v>
      </c>
      <c r="D4375" s="28">
        <f>IFERROR(__xludf.DUMMYFUNCTION("""COMPUTED_VALUE"""),45993.0)</f>
        <v>45993</v>
      </c>
      <c r="E4375" s="26">
        <f>IFERROR(__xludf.DUMMYFUNCTION("""COMPUTED_VALUE"""),346893.0)</f>
        <v>346893</v>
      </c>
      <c r="F4375" s="22" t="str">
        <f>IFERROR(__xludf.DUMMYFUNCTION("""COMPUTED_VALUE"""),"ダンジョンに閉じ込められて25年。救出されたときには立派な不審者になっていた【分冊版】")</f>
        <v>ダンジョンに閉じ込められて25年。救出されたときには立派な不審者になっていた【分冊版】</v>
      </c>
      <c r="G4375" s="20" t="str">
        <f>IFERROR(__xludf.DUMMYFUNCTION("""COMPUTED_VALUE"""),"1～4")</f>
        <v>1～4</v>
      </c>
      <c r="H4375" s="22" t="str">
        <f>IFERROR(__xludf.DUMMYFUNCTION("""COMPUTED_VALUE"""),"漫画：御手洗太陽、原作：乾茸なめこ（HJ文庫／ホビージャパン刊）、キャラクター原案：芝")</f>
        <v>漫画：御手洗太陽、原作：乾茸なめこ（HJ文庫／ホビージャパン刊）、キャラクター原案：芝</v>
      </c>
      <c r="I4375" s="22" t="str">
        <f>IFERROR(__xludf.DUMMYFUNCTION("""COMPUTED_VALUE"""),"少年")</f>
        <v>少年</v>
      </c>
      <c r="J4375" s="22"/>
      <c r="K4375" s="22"/>
      <c r="L4375" s="22" t="str">
        <f>IFERROR(__xludf.DUMMYFUNCTION("""COMPUTED_VALUE"""),"スクウェア・エニックス")</f>
        <v>スクウェア・エニックス</v>
      </c>
      <c r="M4375" s="33">
        <f>IFERROR(__xludf.DUMMYFUNCTION("""COMPUTED_VALUE"""),46023.0)</f>
        <v>46023</v>
      </c>
      <c r="N4375" s="33">
        <f>IFERROR(__xludf.DUMMYFUNCTION("""COMPUTED_VALUE"""),46081.0)</f>
        <v>46081</v>
      </c>
      <c r="O4375" s="20"/>
      <c r="P4375" s="32" t="str">
        <f>IFERROR(__xludf.DUMMYFUNCTION("""COMPUTED_VALUE"""),"否")</f>
        <v>否</v>
      </c>
      <c r="Q4375" s="30" t="str">
        <f>IFERROR(__xludf.DUMMYFUNCTION("""COMPUTED_VALUE"""),"【アウトバウンド】&lt;BR&gt;1話と4話はデータが複数ありますが、構成は下記の通りです。&lt;BR&gt;1話：MUP_ダンジョン不審者1話_P01-P03_1C_2023.pdf、MUP_ダンジョン不審者1話_P04-P05_RGB_2023.pdf、MUP_ダンジョン不審者1話_P06_4C_2023.pdf、MUP_ダンジョン不審者1話_P07-P71_1C_2023.pdf&lt;BR&gt;&lt;BR&gt;4話：MUP_ダンジョン不審者4話-1_2023.pdf、MUP_ダンジョン不審者4話-2_2023.pdf、MUP_ダンジ"&amp;"ョン不審者4話-3_2023.pdf")</f>
        <v>【アウトバウンド】&lt;BR&gt;1話と4話はデータが複数ありますが、構成は下記の通りです。&lt;BR&gt;1話：MUP_ダンジョン不審者1話_P01-P03_1C_2023.pdf、MUP_ダンジョン不審者1話_P04-P05_RGB_2023.pdf、MUP_ダンジョン不審者1話_P06_4C_2023.pdf、MUP_ダンジョン不審者1話_P07-P71_1C_2023.pdf&lt;BR&gt;&lt;BR&gt;4話：MUP_ダンジョン不審者4話-1_2023.pdf、MUP_ダンジョン不審者4話-2_2023.pdf、MUP_ダンジョン不審者4話-3_2023.pdf</v>
      </c>
      <c r="R4375" s="22"/>
      <c r="S4375" s="22" t="str">
        <f>IFERROR(__xludf.DUMMYFUNCTION("""COMPUTED_VALUE"""),"251201_スクウェア・エニックス_ダンジョンに閉じ込められて25年。救出されたときには立派な不審者になっていた")</f>
        <v>251201_スクウェア・エニックス_ダンジョンに閉じ込められて25年。救出されたときには立派な不審者になっていた</v>
      </c>
      <c r="T4375" s="22" t="str">
        <f>IFERROR(__xludf.DUMMYFUNCTION("""COMPUTED_VALUE"""),"格納済み")</f>
        <v>格納済み</v>
      </c>
      <c r="U4375" s="9" t="str">
        <f>IFERROR(__xludf.DUMMYFUNCTION("""COMPUTED_VALUE"""),"(C)Hoshitake Nameko (C)Mitarai Taiyou/SQUARE ENIX")</f>
        <v>(C)Hoshitake Nameko (C)Mitarai Taiyou/SQUARE ENIX</v>
      </c>
      <c r="V4375" s="8"/>
      <c r="W4375" s="8"/>
      <c r="X4375" s="8" t="str">
        <f>IFERROR(__xludf.DUMMYFUNCTION("""COMPUTED_VALUE"""),"有")</f>
        <v>有</v>
      </c>
      <c r="Y4375" s="8" t="str">
        <f>IFERROR(__xludf.DUMMYFUNCTION("""COMPUTED_VALUE"""),"P8まで")</f>
        <v>P8まで</v>
      </c>
      <c r="Z4375" s="7"/>
      <c r="AA4375" s="7"/>
      <c r="AB4375" s="7"/>
    </row>
    <row r="4376" ht="15.75" customHeight="1">
      <c r="A4376" s="26">
        <f>IFERROR(__xludf.DUMMYFUNCTION("""COMPUTED_VALUE"""),6984.0)</f>
        <v>6984</v>
      </c>
      <c r="B4376" s="22" t="str">
        <f>IFERROR(__xludf.DUMMYFUNCTION("""COMPUTED_VALUE"""),"確定")</f>
        <v>確定</v>
      </c>
      <c r="C4376" s="28">
        <f>IFERROR(__xludf.DUMMYFUNCTION("""COMPUTED_VALUE"""),45993.0)</f>
        <v>45993</v>
      </c>
      <c r="D4376" s="28">
        <f>IFERROR(__xludf.DUMMYFUNCTION("""COMPUTED_VALUE"""),45993.0)</f>
        <v>45993</v>
      </c>
      <c r="E4376" s="26">
        <f>IFERROR(__xludf.DUMMYFUNCTION("""COMPUTED_VALUE"""),346197.0)</f>
        <v>346197</v>
      </c>
      <c r="F4376" s="22" t="str">
        <f>IFERROR(__xludf.DUMMYFUNCTION("""COMPUTED_VALUE"""),"片想いが辛くて失踪したら、ヤンデレ化した夫に捕まりました")</f>
        <v>片想いが辛くて失踪したら、ヤンデレ化した夫に捕まりました</v>
      </c>
      <c r="G4376" s="20">
        <f>IFERROR(__xludf.DUMMYFUNCTION("""COMPUTED_VALUE"""),1.0)</f>
        <v>1</v>
      </c>
      <c r="H4376" s="22" t="str">
        <f>IFERROR(__xludf.DUMMYFUNCTION("""COMPUTED_VALUE"""),"柊木MeI┴琴子")</f>
        <v>柊木MeI┴琴子</v>
      </c>
      <c r="I4376" s="22" t="str">
        <f>IFERROR(__xludf.DUMMYFUNCTION("""COMPUTED_VALUE"""),"女性")</f>
        <v>女性</v>
      </c>
      <c r="J4376" s="22"/>
      <c r="K4376" s="22" t="str">
        <f>IFERROR(__xludf.DUMMYFUNCTION("""COMPUTED_VALUE"""),"リュエルコミックス")</f>
        <v>リュエルコミックス</v>
      </c>
      <c r="L4376" s="22" t="str">
        <f>IFERROR(__xludf.DUMMYFUNCTION("""COMPUTED_VALUE"""),"実業之日本社")</f>
        <v>実業之日本社</v>
      </c>
      <c r="M4376" s="33">
        <f>IFERROR(__xludf.DUMMYFUNCTION("""COMPUTED_VALUE"""),46010.0)</f>
        <v>46010</v>
      </c>
      <c r="N4376" s="33">
        <f>IFERROR(__xludf.DUMMYFUNCTION("""COMPUTED_VALUE"""),46099.0)</f>
        <v>46099</v>
      </c>
      <c r="O4376" s="20"/>
      <c r="P4376" s="32" t="str">
        <f>IFERROR(__xludf.DUMMYFUNCTION("""COMPUTED_VALUE"""),"可")</f>
        <v>可</v>
      </c>
      <c r="Q4376" s="30" t="str">
        <f>IFERROR(__xludf.DUMMYFUNCTION("""COMPUTED_VALUE"""),"後日アンソロジーに収録予定です。")</f>
        <v>後日アンソロジーに収録予定です。</v>
      </c>
      <c r="R4376" s="22"/>
      <c r="S4376" s="22" t="str">
        <f>IFERROR(__xludf.DUMMYFUNCTION("""COMPUTED_VALUE"""),"20251202_実業之日本社_片想いが辛くて失踪したら、ヤンデレ化した夫に捕まりました")</f>
        <v>20251202_実業之日本社_片想いが辛くて失踪したら、ヤンデレ化した夫に捕まりました</v>
      </c>
      <c r="T4376" s="22" t="str">
        <f>IFERROR(__xludf.DUMMYFUNCTION("""COMPUTED_VALUE"""),"格納済み")</f>
        <v>格納済み</v>
      </c>
      <c r="U4376" s="9" t="str">
        <f>IFERROR(__xludf.DUMMYFUNCTION("""COMPUTED_VALUE"""),"（C）琴子・柊木MeI／実業之日本社")</f>
        <v>（C）琴子・柊木MeI／実業之日本社</v>
      </c>
      <c r="V4376" s="8"/>
      <c r="W4376" s="8"/>
      <c r="X4376" s="8" t="str">
        <f>IFERROR(__xludf.DUMMYFUNCTION("""COMPUTED_VALUE"""),"有")</f>
        <v>有</v>
      </c>
      <c r="Y4376" s="8" t="str">
        <f>IFERROR(__xludf.DUMMYFUNCTION("""COMPUTED_VALUE"""),"P7まで")</f>
        <v>P7まで</v>
      </c>
      <c r="Z4376" s="7"/>
      <c r="AA4376" s="7"/>
      <c r="AB4376" s="7"/>
    </row>
    <row r="4377" ht="15.75" customHeight="1">
      <c r="A4377" s="26">
        <f>IFERROR(__xludf.DUMMYFUNCTION("""COMPUTED_VALUE"""),6986.0)</f>
        <v>6986</v>
      </c>
      <c r="B4377" s="22" t="str">
        <f>IFERROR(__xludf.DUMMYFUNCTION("""COMPUTED_VALUE"""),"確定")</f>
        <v>確定</v>
      </c>
      <c r="C4377" s="28">
        <f>IFERROR(__xludf.DUMMYFUNCTION("""COMPUTED_VALUE"""),45993.0)</f>
        <v>45993</v>
      </c>
      <c r="D4377" s="28">
        <f>IFERROR(__xludf.DUMMYFUNCTION("""COMPUTED_VALUE"""),45994.0)</f>
        <v>45994</v>
      </c>
      <c r="E4377" s="26">
        <f>IFERROR(__xludf.DUMMYFUNCTION("""COMPUTED_VALUE"""),346963.0)</f>
        <v>346963</v>
      </c>
      <c r="F4377" s="22" t="str">
        <f>IFERROR(__xludf.DUMMYFUNCTION("""COMPUTED_VALUE"""),"[ハレム]妖怪王きゅん学園")</f>
        <v>[ハレム]妖怪王きゅん学園</v>
      </c>
      <c r="G4377" s="20" t="str">
        <f>IFERROR(__xludf.DUMMYFUNCTION("""COMPUTED_VALUE"""),"1～3")</f>
        <v>1～3</v>
      </c>
      <c r="H4377" s="22" t="str">
        <f>IFERROR(__xludf.DUMMYFUNCTION("""COMPUTED_VALUE"""),"作画：瀬乃麦 原作：あかほりさとる ")</f>
        <v>作画：瀬乃麦 原作：あかほりさとる </v>
      </c>
      <c r="I4377" s="22" t="str">
        <f>IFERROR(__xludf.DUMMYFUNCTION("""COMPUTED_VALUE"""),"青年")</f>
        <v>青年</v>
      </c>
      <c r="J4377" s="22"/>
      <c r="K4377" s="22" t="str">
        <f>IFERROR(__xludf.DUMMYFUNCTION("""COMPUTED_VALUE"""),"ハレム")</f>
        <v>ハレム</v>
      </c>
      <c r="L4377" s="22" t="str">
        <f>IFERROR(__xludf.DUMMYFUNCTION("""COMPUTED_VALUE"""),"白泉社")</f>
        <v>白泉社</v>
      </c>
      <c r="M4377" s="33">
        <f>IFERROR(__xludf.DUMMYFUNCTION("""COMPUTED_VALUE"""),46020.0)</f>
        <v>46020</v>
      </c>
      <c r="N4377" s="33">
        <f>IFERROR(__xludf.DUMMYFUNCTION("""COMPUTED_VALUE"""),46110.0)</f>
        <v>46110</v>
      </c>
      <c r="O4377" s="20"/>
      <c r="P4377" s="32" t="str">
        <f>IFERROR(__xludf.DUMMYFUNCTION("""COMPUTED_VALUE"""),"可")</f>
        <v>可</v>
      </c>
      <c r="Q4377" s="30" t="str">
        <f>IFERROR(__xludf.DUMMYFUNCTION("""COMPUTED_VALUE"""),"【アダルト作品扱い】")</f>
        <v>【アダルト作品扱い】</v>
      </c>
      <c r="R4377" s="22"/>
      <c r="S4377" s="22" t="str">
        <f>IFERROR(__xludf.DUMMYFUNCTION("""COMPUTED_VALUE"""),"20251202_白泉社_妖怪王きゅん学園")</f>
        <v>20251202_白泉社_妖怪王きゅん学園</v>
      </c>
      <c r="T4377" s="22" t="str">
        <f>IFERROR(__xludf.DUMMYFUNCTION("""COMPUTED_VALUE"""),"格納済み")</f>
        <v>格納済み</v>
      </c>
      <c r="U4377" s="9" t="str">
        <f>IFERROR(__xludf.DUMMYFUNCTION("""COMPUTED_VALUE"""),"Ⓒ瀬乃麦・あかほりさとる／白泉社")</f>
        <v>Ⓒ瀬乃麦・あかほりさとる／白泉社</v>
      </c>
      <c r="V4377" s="8"/>
      <c r="W4377" s="8"/>
      <c r="X4377" s="8" t="str">
        <f>IFERROR(__xludf.DUMMYFUNCTION("""COMPUTED_VALUE"""),"有")</f>
        <v>有</v>
      </c>
      <c r="Y4377" s="8" t="str">
        <f>IFERROR(__xludf.DUMMYFUNCTION("""COMPUTED_VALUE"""),"P5まで")</f>
        <v>P5まで</v>
      </c>
      <c r="Z4377" s="7"/>
      <c r="AA4377" s="7"/>
      <c r="AB4377" s="7"/>
    </row>
    <row r="4378" ht="15.75" customHeight="1">
      <c r="A4378" s="26">
        <f>IFERROR(__xludf.DUMMYFUNCTION("""COMPUTED_VALUE"""),6513.0)</f>
        <v>6513</v>
      </c>
      <c r="B4378" s="22" t="str">
        <f>IFERROR(__xludf.DUMMYFUNCTION("""COMPUTED_VALUE"""),"確定")</f>
        <v>確定</v>
      </c>
      <c r="C4378" s="28">
        <f>IFERROR(__xludf.DUMMYFUNCTION("""COMPUTED_VALUE"""),45918.0)</f>
        <v>45918</v>
      </c>
      <c r="D4378" s="28">
        <f>IFERROR(__xludf.DUMMYFUNCTION("""COMPUTED_VALUE"""),45995.0)</f>
        <v>45995</v>
      </c>
      <c r="E4378" s="26">
        <f>IFERROR(__xludf.DUMMYFUNCTION("""COMPUTED_VALUE"""),344803.0)</f>
        <v>344803</v>
      </c>
      <c r="F4378" s="22" t="str">
        <f>IFERROR(__xludf.DUMMYFUNCTION("""COMPUTED_VALUE"""),"魔術師の偏愛【R-18版】")</f>
        <v>魔術師の偏愛【R-18版】</v>
      </c>
      <c r="G4378" s="20" t="str">
        <f>IFERROR(__xludf.DUMMYFUNCTION("""COMPUTED_VALUE"""),"1～7")</f>
        <v>1～7</v>
      </c>
      <c r="H4378" s="22" t="str">
        <f>IFERROR(__xludf.DUMMYFUNCTION("""COMPUTED_VALUE"""),"あじたろ")</f>
        <v>あじたろ</v>
      </c>
      <c r="I4378" s="22" t="str">
        <f>IFERROR(__xludf.DUMMYFUNCTION("""COMPUTED_VALUE"""),"アダルト")</f>
        <v>アダルト</v>
      </c>
      <c r="J4378" s="22"/>
      <c r="K4378" s="22" t="str">
        <f>IFERROR(__xludf.DUMMYFUNCTION("""COMPUTED_VALUE"""),"Close Moon")</f>
        <v>Close Moon</v>
      </c>
      <c r="L4378" s="22" t="str">
        <f>IFERROR(__xludf.DUMMYFUNCTION("""COMPUTED_VALUE"""),"ナンバーナイン")</f>
        <v>ナンバーナイン</v>
      </c>
      <c r="M4378" s="33">
        <f>IFERROR(__xludf.DUMMYFUNCTION("""COMPUTED_VALUE"""),45992.0)</f>
        <v>45992</v>
      </c>
      <c r="N4378" s="33">
        <f>IFERROR(__xludf.DUMMYFUNCTION("""COMPUTED_VALUE"""),46081.0)</f>
        <v>46081</v>
      </c>
      <c r="O4378" s="20"/>
      <c r="P4378" s="32" t="str">
        <f>IFERROR(__xludf.DUMMYFUNCTION("""COMPUTED_VALUE"""),"可")</f>
        <v>可</v>
      </c>
      <c r="Q4378" s="30" t="str">
        <f>IFERROR(__xludf.DUMMYFUNCTION("""COMPUTED_VALUE"""),"がるまに&lt;BR&gt;")</f>
        <v>がるまに&lt;BR&gt;</v>
      </c>
      <c r="R4378" s="22"/>
      <c r="S4378" s="22" t="str">
        <f>IFERROR(__xludf.DUMMYFUNCTION("""COMPUTED_VALUE"""),"20251204_ナンバーナイン_魔術師の偏愛")</f>
        <v>20251204_ナンバーナイン_魔術師の偏愛</v>
      </c>
      <c r="T4378" s="22" t="str">
        <f>IFERROR(__xludf.DUMMYFUNCTION("""COMPUTED_VALUE"""),"格納済み")</f>
        <v>格納済み</v>
      </c>
      <c r="U4378" s="9" t="str">
        <f>IFERROR(__xludf.DUMMYFUNCTION("""COMPUTED_VALUE"""),"(C)あじたろ/ナンバーナイン")</f>
        <v>(C)あじたろ/ナンバーナイン</v>
      </c>
      <c r="V4378" s="8"/>
      <c r="W4378" s="8"/>
      <c r="X4378" s="8" t="str">
        <f>IFERROR(__xludf.DUMMYFUNCTION("""COMPUTED_VALUE"""),"有")</f>
        <v>有</v>
      </c>
      <c r="Y4378" s="8" t="str">
        <f>IFERROR(__xludf.DUMMYFUNCTION("""COMPUTED_VALUE"""),"1巻無料")</f>
        <v>1巻無料</v>
      </c>
      <c r="Z4378" s="7"/>
      <c r="AA4378" s="7"/>
      <c r="AB4378" s="7"/>
    </row>
    <row r="4379" ht="15.75" customHeight="1">
      <c r="A4379" s="26">
        <f>IFERROR(__xludf.DUMMYFUNCTION("""COMPUTED_VALUE"""),6552.0)</f>
        <v>6552</v>
      </c>
      <c r="B4379" s="22" t="str">
        <f>IFERROR(__xludf.DUMMYFUNCTION("""COMPUTED_VALUE"""),"確定")</f>
        <v>確定</v>
      </c>
      <c r="C4379" s="28">
        <f>IFERROR(__xludf.DUMMYFUNCTION("""COMPUTED_VALUE"""),45926.0)</f>
        <v>45926</v>
      </c>
      <c r="D4379" s="28">
        <f>IFERROR(__xludf.DUMMYFUNCTION("""COMPUTED_VALUE"""),46000.0)</f>
        <v>46000</v>
      </c>
      <c r="E4379" s="26">
        <f>IFERROR(__xludf.DUMMYFUNCTION("""COMPUTED_VALUE"""),346498.0)</f>
        <v>346498</v>
      </c>
      <c r="F4379" s="22" t="str">
        <f>IFERROR(__xludf.DUMMYFUNCTION("""COMPUTED_VALUE"""),"リベンジアクト")</f>
        <v>リベンジアクト</v>
      </c>
      <c r="G4379" s="20" t="str">
        <f>IFERROR(__xludf.DUMMYFUNCTION("""COMPUTED_VALUE"""),"1～3")</f>
        <v>1～3</v>
      </c>
      <c r="H4379" s="22" t="str">
        <f>IFERROR(__xludf.DUMMYFUNCTION("""COMPUTED_VALUE"""),"みなもやかづき　※『年下上司は褒められたい』著者,.Poika編集部")</f>
        <v>みなもやかづき　※『年下上司は褒められたい』著者,.Poika編集部</v>
      </c>
      <c r="I4379" s="22" t="str">
        <f>IFERROR(__xludf.DUMMYFUNCTION("""COMPUTED_VALUE"""),"BL")</f>
        <v>BL</v>
      </c>
      <c r="J4379" s="22"/>
      <c r="K4379" s="22"/>
      <c r="L4379" s="22" t="str">
        <f>IFERROR(__xludf.DUMMYFUNCTION("""COMPUTED_VALUE"""),"文苑堂")</f>
        <v>文苑堂</v>
      </c>
      <c r="M4379" s="33">
        <f>IFERROR(__xludf.DUMMYFUNCTION("""COMPUTED_VALUE"""),46037.0)</f>
        <v>46037</v>
      </c>
      <c r="N4379" s="33">
        <f>IFERROR(__xludf.DUMMYFUNCTION("""COMPUTED_VALUE"""),46134.0)</f>
        <v>46134</v>
      </c>
      <c r="O4379" s="20"/>
      <c r="P4379" s="32" t="str">
        <f>IFERROR(__xludf.DUMMYFUNCTION("""COMPUTED_VALUE"""),"可")</f>
        <v>可</v>
      </c>
      <c r="Q4379" s="30"/>
      <c r="R4379" s="22" t="str">
        <f>IFERROR(__xludf.DUMMYFUNCTION("""COMPUTED_VALUE"""),"コミットNG")</f>
        <v>コミットNG</v>
      </c>
      <c r="S4379" s="22" t="str">
        <f>IFERROR(__xludf.DUMMYFUNCTION("""COMPUTED_VALUE"""),"20251204_文苑堂_リベンジアクト")</f>
        <v>20251204_文苑堂_リベンジアクト</v>
      </c>
      <c r="T4379" s="22" t="str">
        <f>IFERROR(__xludf.DUMMYFUNCTION("""COMPUTED_VALUE"""),"格納済み")</f>
        <v>格納済み</v>
      </c>
      <c r="U4379" s="9" t="str">
        <f>IFERROR(__xludf.DUMMYFUNCTION("""COMPUTED_VALUE"""),"（C）みなもやかづき/文苑堂")</f>
        <v>（C）みなもやかづき/文苑堂</v>
      </c>
      <c r="V4379" s="8"/>
      <c r="W4379" s="8"/>
      <c r="X4379" s="8" t="str">
        <f>IFERROR(__xludf.DUMMYFUNCTION("""COMPUTED_VALUE"""),"有")</f>
        <v>有</v>
      </c>
      <c r="Y4379" s="8" t="str">
        <f>IFERROR(__xludf.DUMMYFUNCTION("""COMPUTED_VALUE"""),"2026/4/22まで1巻無料")</f>
        <v>2026/4/22まで1巻無料</v>
      </c>
      <c r="Z4379" s="7"/>
      <c r="AA4379" s="7"/>
      <c r="AB4379" s="7"/>
    </row>
    <row r="4380" ht="15.75" customHeight="1">
      <c r="A4380" s="26">
        <f>IFERROR(__xludf.DUMMYFUNCTION("""COMPUTED_VALUE"""),6654.0)</f>
        <v>6654</v>
      </c>
      <c r="B4380" s="22" t="str">
        <f>IFERROR(__xludf.DUMMYFUNCTION("""COMPUTED_VALUE"""),"確定")</f>
        <v>確定</v>
      </c>
      <c r="C4380" s="28">
        <f>IFERROR(__xludf.DUMMYFUNCTION("""COMPUTED_VALUE"""),45945.0)</f>
        <v>45945</v>
      </c>
      <c r="D4380" s="28">
        <f>IFERROR(__xludf.DUMMYFUNCTION("""COMPUTED_VALUE"""),46000.0)</f>
        <v>46000</v>
      </c>
      <c r="E4380" s="26">
        <f>IFERROR(__xludf.DUMMYFUNCTION("""COMPUTED_VALUE"""),346633.0)</f>
        <v>346633</v>
      </c>
      <c r="F4380" s="22" t="str">
        <f>IFERROR(__xludf.DUMMYFUNCTION("""COMPUTED_VALUE"""),"【ラブフリック】ハジメテが宿命の相手なんて聞いてません!? ～転生勇者は魔王上司（激重）にまんまとオトされる～")</f>
        <v>【ラブフリック】ハジメテが宿命の相手なんて聞いてません!? ～転生勇者は魔王上司（激重）にまんまとオトされる～</v>
      </c>
      <c r="G4380" s="20" t="str">
        <f>IFERROR(__xludf.DUMMYFUNCTION("""COMPUTED_VALUE"""),"1～2")</f>
        <v>1～2</v>
      </c>
      <c r="H4380" s="22" t="str">
        <f>IFERROR(__xludf.DUMMYFUNCTION("""COMPUTED_VALUE"""),"七福さゆり・政れお")</f>
        <v>七福さゆり・政れお</v>
      </c>
      <c r="I4380" s="22" t="str">
        <f>IFERROR(__xludf.DUMMYFUNCTION("""COMPUTED_VALUE"""),"TL")</f>
        <v>TL</v>
      </c>
      <c r="J4380" s="22"/>
      <c r="K4380" s="22" t="str">
        <f>IFERROR(__xludf.DUMMYFUNCTION("""COMPUTED_VALUE"""),"LOVE FLICK")</f>
        <v>LOVE FLICK</v>
      </c>
      <c r="L4380" s="22" t="str">
        <f>IFERROR(__xludf.DUMMYFUNCTION("""COMPUTED_VALUE"""),"CLLENN")</f>
        <v>CLLENN</v>
      </c>
      <c r="M4380" s="33">
        <f>IFERROR(__xludf.DUMMYFUNCTION("""COMPUTED_VALUE"""),46043.0)</f>
        <v>46043</v>
      </c>
      <c r="N4380" s="33">
        <f>IFERROR(__xludf.DUMMYFUNCTION("""COMPUTED_VALUE"""),46098.0)</f>
        <v>46098</v>
      </c>
      <c r="O4380" s="20"/>
      <c r="P4380" s="32" t="str">
        <f>IFERROR(__xludf.DUMMYFUNCTION("""COMPUTED_VALUE"""),"可")</f>
        <v>可</v>
      </c>
      <c r="Q4380" s="30" t="str">
        <f>IFERROR(__xludf.DUMMYFUNCTION("""COMPUTED_VALUE"""),"【アダルト作品扱い】")</f>
        <v>【アダルト作品扱い】</v>
      </c>
      <c r="R4380" s="22" t="str">
        <f>IFERROR(__xludf.DUMMYFUNCTION("""COMPUTED_VALUE"""),"コミットOK")</f>
        <v>コミットOK</v>
      </c>
      <c r="S4380" s="22" t="str">
        <f>IFERROR(__xludf.DUMMYFUNCTION("""COMPUTED_VALUE"""),"20251204_CLLENN_【ラブフリック】ハジメテが宿命の相手なんて聞いてません!_ ～転生勇者は魔王上司（激重）にまんまとオトされる～")</f>
        <v>20251204_CLLENN_【ラブフリック】ハジメテが宿命の相手なんて聞いてません!_ ～転生勇者は魔王上司（激重）にまんまとオトされる～</v>
      </c>
      <c r="T4380" s="22" t="str">
        <f>IFERROR(__xludf.DUMMYFUNCTION("""COMPUTED_VALUE"""),"格納済み")</f>
        <v>格納済み</v>
      </c>
      <c r="U4380" s="9" t="str">
        <f>IFERROR(__xludf.DUMMYFUNCTION("""COMPUTED_VALUE"""),"Ⓒ七福さゆり・政れお/CLLENN")</f>
        <v>Ⓒ七福さゆり・政れお/CLLENN</v>
      </c>
      <c r="V4380" s="8"/>
      <c r="W4380" s="8"/>
      <c r="X4380" s="8" t="str">
        <f>IFERROR(__xludf.DUMMYFUNCTION("""COMPUTED_VALUE"""),"有")</f>
        <v>有</v>
      </c>
      <c r="Y4380" s="8" t="str">
        <f>IFERROR(__xludf.DUMMYFUNCTION("""COMPUTED_VALUE"""),"P10まで")</f>
        <v>P10まで</v>
      </c>
      <c r="Z4380" s="7"/>
      <c r="AA4380" s="7"/>
      <c r="AB4380" s="7"/>
    </row>
    <row r="4381" ht="15.75" customHeight="1">
      <c r="A4381" s="26">
        <f>IFERROR(__xludf.DUMMYFUNCTION("""COMPUTED_VALUE"""),6662.0)</f>
        <v>6662</v>
      </c>
      <c r="B4381" s="22" t="str">
        <f>IFERROR(__xludf.DUMMYFUNCTION("""COMPUTED_VALUE"""),"確定")</f>
        <v>確定</v>
      </c>
      <c r="C4381" s="28">
        <f>IFERROR(__xludf.DUMMYFUNCTION("""COMPUTED_VALUE"""),45945.0)</f>
        <v>45945</v>
      </c>
      <c r="D4381" s="28">
        <f>IFERROR(__xludf.DUMMYFUNCTION("""COMPUTED_VALUE"""),45995.0)</f>
        <v>45995</v>
      </c>
      <c r="E4381" s="26">
        <f>IFERROR(__xludf.DUMMYFUNCTION("""COMPUTED_VALUE"""),344921.0)</f>
        <v>344921</v>
      </c>
      <c r="F4381" s="22" t="str">
        <f>IFERROR(__xludf.DUMMYFUNCTION("""COMPUTED_VALUE"""),"盲目剣聖ラグナ〜転生した剣聖は視えなくても最強です〜")</f>
        <v>盲目剣聖ラグナ〜転生した剣聖は視えなくても最強です〜</v>
      </c>
      <c r="G4381" s="20" t="str">
        <f>IFERROR(__xludf.DUMMYFUNCTION("""COMPUTED_VALUE"""),"1～3")</f>
        <v>1～3</v>
      </c>
      <c r="H4381" s="22" t="str">
        <f>IFERROR(__xludf.DUMMYFUNCTION("""COMPUTED_VALUE"""),"杠優月,あど,peep,taskey STUDIO")</f>
        <v>杠優月,あど,peep,taskey STUDIO</v>
      </c>
      <c r="I4381" s="22" t="str">
        <f>IFERROR(__xludf.DUMMYFUNCTION("""COMPUTED_VALUE"""),"少年")</f>
        <v>少年</v>
      </c>
      <c r="J4381" s="22"/>
      <c r="K4381" s="22"/>
      <c r="L4381" s="22" t="str">
        <f>IFERROR(__xludf.DUMMYFUNCTION("""COMPUTED_VALUE"""),"taskey")</f>
        <v>taskey</v>
      </c>
      <c r="M4381" s="33">
        <f>IFERROR(__xludf.DUMMYFUNCTION("""COMPUTED_VALUE"""),46011.0)</f>
        <v>46011</v>
      </c>
      <c r="N4381" s="33">
        <f>IFERROR(__xludf.DUMMYFUNCTION("""COMPUTED_VALUE"""),46072.0)</f>
        <v>46072</v>
      </c>
      <c r="O4381" s="20"/>
      <c r="P4381" s="32" t="str">
        <f>IFERROR(__xludf.DUMMYFUNCTION("""COMPUTED_VALUE"""),"可")</f>
        <v>可</v>
      </c>
      <c r="Q4381" s="30"/>
      <c r="R4381" s="22" t="str">
        <f>IFERROR(__xludf.DUMMYFUNCTION("""COMPUTED_VALUE"""),"コミットOK")</f>
        <v>コミットOK</v>
      </c>
      <c r="S4381" s="22" t="str">
        <f>IFERROR(__xludf.DUMMYFUNCTION("""COMPUTED_VALUE"""),"20251203_taskey_盲目剣聖")</f>
        <v>20251203_taskey_盲目剣聖</v>
      </c>
      <c r="T4381" s="22" t="str">
        <f>IFERROR(__xludf.DUMMYFUNCTION("""COMPUTED_VALUE"""),"格納済み")</f>
        <v>格納済み</v>
      </c>
      <c r="U4381" s="9" t="str">
        <f>IFERROR(__xludf.DUMMYFUNCTION("""COMPUTED_VALUE"""),"Ⓒ︎taskey　原作／杠　優月　漫画／あど")</f>
        <v>Ⓒ︎taskey　原作／杠　優月　漫画／あど</v>
      </c>
      <c r="V4381" s="8"/>
      <c r="W4381" s="8"/>
      <c r="X4381" s="8" t="str">
        <f>IFERROR(__xludf.DUMMYFUNCTION("""COMPUTED_VALUE"""),"有")</f>
        <v>有</v>
      </c>
      <c r="Y4381" s="8" t="str">
        <f>IFERROR(__xludf.DUMMYFUNCTION("""COMPUTED_VALUE"""),"2026/1/8まで1巻無料")</f>
        <v>2026/1/8まで1巻無料</v>
      </c>
      <c r="Z4381" s="7"/>
      <c r="AA4381" s="7"/>
      <c r="AB4381" s="7"/>
    </row>
    <row r="4382" ht="15.75" customHeight="1">
      <c r="A4382" s="26">
        <f>IFERROR(__xludf.DUMMYFUNCTION("""COMPUTED_VALUE"""),6747.0)</f>
        <v>6747</v>
      </c>
      <c r="B4382" s="22" t="str">
        <f>IFERROR(__xludf.DUMMYFUNCTION("""COMPUTED_VALUE"""),"確定")</f>
        <v>確定</v>
      </c>
      <c r="C4382" s="28">
        <f>IFERROR(__xludf.DUMMYFUNCTION("""COMPUTED_VALUE"""),45958.0)</f>
        <v>45958</v>
      </c>
      <c r="D4382" s="28">
        <f>IFERROR(__xludf.DUMMYFUNCTION("""COMPUTED_VALUE"""),46001.0)</f>
        <v>46001</v>
      </c>
      <c r="E4382" s="26">
        <f>IFERROR(__xludf.DUMMYFUNCTION("""COMPUTED_VALUE"""),346578.0)</f>
        <v>346578</v>
      </c>
      <c r="F4382" s="22" t="str">
        <f>IFERROR(__xludf.DUMMYFUNCTION("""COMPUTED_VALUE"""),"楓の殺人")</f>
        <v>楓の殺人</v>
      </c>
      <c r="G4382" s="20" t="str">
        <f>IFERROR(__xludf.DUMMYFUNCTION("""COMPUTED_VALUE"""),"1～7")</f>
        <v>1～7</v>
      </c>
      <c r="H4382" s="22" t="str">
        <f>IFERROR(__xludf.DUMMYFUNCTION("""COMPUTED_VALUE"""),"熊と翼")</f>
        <v>熊と翼</v>
      </c>
      <c r="I4382" s="22" t="str">
        <f>IFERROR(__xludf.DUMMYFUNCTION("""COMPUTED_VALUE"""),"青年マンガ")</f>
        <v>青年マンガ</v>
      </c>
      <c r="J4382" s="22"/>
      <c r="K4382" s="22"/>
      <c r="L4382" s="22" t="str">
        <f>IFERROR(__xludf.DUMMYFUNCTION("""COMPUTED_VALUE"""),"アイプロダクション")</f>
        <v>アイプロダクション</v>
      </c>
      <c r="M4382" s="33">
        <f>IFERROR(__xludf.DUMMYFUNCTION("""COMPUTED_VALUE"""),46045.0)</f>
        <v>46045</v>
      </c>
      <c r="N4382" s="33">
        <f>IFERROR(__xludf.DUMMYFUNCTION("""COMPUTED_VALUE"""),46134.0)</f>
        <v>46134</v>
      </c>
      <c r="O4382" s="20"/>
      <c r="P4382" s="32" t="str">
        <f>IFERROR(__xludf.DUMMYFUNCTION("""COMPUTED_VALUE"""),"可")</f>
        <v>可</v>
      </c>
      <c r="Q4382" s="30"/>
      <c r="R4382" s="22"/>
      <c r="S4382" s="22" t="str">
        <f>IFERROR(__xludf.DUMMYFUNCTION("""COMPUTED_VALUE"""),"20251204_アイプロダクション_楓の殺人")</f>
        <v>20251204_アイプロダクション_楓の殺人</v>
      </c>
      <c r="T4382" s="22" t="str">
        <f>IFERROR(__xludf.DUMMYFUNCTION("""COMPUTED_VALUE"""),"格納済み")</f>
        <v>格納済み</v>
      </c>
      <c r="U4382" s="9" t="str">
        <f>IFERROR(__xludf.DUMMYFUNCTION("""COMPUTED_VALUE"""),"熊と翼/アイプロダクション")</f>
        <v>熊と翼/アイプロダクション</v>
      </c>
      <c r="V4382" s="8"/>
      <c r="W4382" s="8"/>
      <c r="X4382" s="8" t="str">
        <f>IFERROR(__xludf.DUMMYFUNCTION("""COMPUTED_VALUE"""),"有")</f>
        <v>有</v>
      </c>
      <c r="Y4382" s="8" t="str">
        <f>IFERROR(__xludf.DUMMYFUNCTION("""COMPUTED_VALUE"""),"2026/2/5まで1~2巻無料")</f>
        <v>2026/2/5まで1~2巻無料</v>
      </c>
      <c r="Z4382" s="7"/>
      <c r="AA4382" s="7"/>
      <c r="AB4382" s="7"/>
    </row>
    <row r="4383" ht="15.75" customHeight="1">
      <c r="A4383" s="26">
        <f>IFERROR(__xludf.DUMMYFUNCTION("""COMPUTED_VALUE"""),6755.0)</f>
        <v>6755</v>
      </c>
      <c r="B4383" s="22" t="str">
        <f>IFERROR(__xludf.DUMMYFUNCTION("""COMPUTED_VALUE"""),"確定")</f>
        <v>確定</v>
      </c>
      <c r="C4383" s="28">
        <f>IFERROR(__xludf.DUMMYFUNCTION("""COMPUTED_VALUE"""),45959.0)</f>
        <v>45959</v>
      </c>
      <c r="D4383" s="28">
        <f>IFERROR(__xludf.DUMMYFUNCTION("""COMPUTED_VALUE"""),46001.0)</f>
        <v>46001</v>
      </c>
      <c r="E4383" s="26">
        <f>IFERROR(__xludf.DUMMYFUNCTION("""COMPUTED_VALUE"""),350170.0)</f>
        <v>350170</v>
      </c>
      <c r="F4383" s="22" t="str">
        <f>IFERROR(__xludf.DUMMYFUNCTION("""COMPUTED_VALUE"""),"好きな子がバズった【分冊版】")</f>
        <v>好きな子がバズった【分冊版】</v>
      </c>
      <c r="G4383" s="20" t="str">
        <f>IFERROR(__xludf.DUMMYFUNCTION("""COMPUTED_VALUE"""),"1～3")</f>
        <v>1～3</v>
      </c>
      <c r="H4383" s="22" t="str">
        <f>IFERROR(__xludf.DUMMYFUNCTION("""COMPUTED_VALUE"""),"遠藤巻緒")</f>
        <v>遠藤巻緒</v>
      </c>
      <c r="I4383" s="22" t="str">
        <f>IFERROR(__xludf.DUMMYFUNCTION("""COMPUTED_VALUE"""),"BL")</f>
        <v>BL</v>
      </c>
      <c r="J4383" s="22"/>
      <c r="K4383" s="22"/>
      <c r="L4383" s="22" t="str">
        <f>IFERROR(__xludf.DUMMYFUNCTION("""COMPUTED_VALUE"""),"SDP")</f>
        <v>SDP</v>
      </c>
      <c r="M4383" s="33">
        <f>IFERROR(__xludf.DUMMYFUNCTION("""COMPUTED_VALUE"""),46059.0)</f>
        <v>46059</v>
      </c>
      <c r="N4383" s="33">
        <f>IFERROR(__xludf.DUMMYFUNCTION("""COMPUTED_VALUE"""),46150.0)</f>
        <v>46150</v>
      </c>
      <c r="O4383" s="20"/>
      <c r="P4383" s="32" t="str">
        <f>IFERROR(__xludf.DUMMYFUNCTION("""COMPUTED_VALUE"""),"可")</f>
        <v>可</v>
      </c>
      <c r="Q4383" s="30" t="str">
        <f>IFERROR(__xludf.DUMMYFUNCTION("""COMPUTED_VALUE"""),"格納素材を3分割して初回1~3話として配信します。")</f>
        <v>格納素材を3分割して初回1~3話として配信します。</v>
      </c>
      <c r="R4383" s="22" t="str">
        <f>IFERROR(__xludf.DUMMYFUNCTION("""COMPUTED_VALUE"""),"コミットOK")</f>
        <v>コミットOK</v>
      </c>
      <c r="S4383" s="22" t="str">
        <f>IFERROR(__xludf.DUMMYFUNCTION("""COMPUTED_VALUE"""),"20251205_SDP_好きな子がバズった")</f>
        <v>20251205_SDP_好きな子がバズった</v>
      </c>
      <c r="T4383" s="22" t="str">
        <f>IFERROR(__xludf.DUMMYFUNCTION("""COMPUTED_VALUE"""),"格納済み")</f>
        <v>格納済み</v>
      </c>
      <c r="U4383" s="9" t="str">
        <f>IFERROR(__xludf.DUMMYFUNCTION("""COMPUTED_VALUE"""),"©︎遠藤巻緒／S・D・P")</f>
        <v>©︎遠藤巻緒／S・D・P</v>
      </c>
      <c r="V4383" s="8"/>
      <c r="W4383" s="8"/>
      <c r="X4383" s="8" t="str">
        <f>IFERROR(__xludf.DUMMYFUNCTION("""COMPUTED_VALUE"""),"有")</f>
        <v>有</v>
      </c>
      <c r="Y4383" s="8" t="str">
        <f>IFERROR(__xludf.DUMMYFUNCTION("""COMPUTED_VALUE"""),"P5まで")</f>
        <v>P5まで</v>
      </c>
      <c r="Z4383" s="7"/>
      <c r="AA4383" s="7"/>
      <c r="AB4383" s="7"/>
    </row>
    <row r="4384" ht="15.75" customHeight="1">
      <c r="A4384" s="26">
        <f>IFERROR(__xludf.DUMMYFUNCTION("""COMPUTED_VALUE"""),6762.0)</f>
        <v>6762</v>
      </c>
      <c r="B4384" s="22" t="str">
        <f>IFERROR(__xludf.DUMMYFUNCTION("""COMPUTED_VALUE"""),"確定")</f>
        <v>確定</v>
      </c>
      <c r="C4384" s="28">
        <f>IFERROR(__xludf.DUMMYFUNCTION("""COMPUTED_VALUE"""),45959.0)</f>
        <v>45959</v>
      </c>
      <c r="D4384" s="28">
        <f>IFERROR(__xludf.DUMMYFUNCTION("""COMPUTED_VALUE"""),45995.0)</f>
        <v>45995</v>
      </c>
      <c r="E4384" s="26">
        <f>IFERROR(__xludf.DUMMYFUNCTION("""COMPUTED_VALUE"""),346750.0)</f>
        <v>346750</v>
      </c>
      <c r="F4384" s="22" t="str">
        <f>IFERROR(__xludf.DUMMYFUNCTION("""COMPUTED_VALUE"""),"セクシャルマップ～バレずにパコれ!?　［パコ活］アプリのえちえちミッション～")</f>
        <v>セクシャルマップ～バレずにパコれ!?　［パコ活］アプリのえちえちミッション～</v>
      </c>
      <c r="G4384" s="20" t="str">
        <f>IFERROR(__xludf.DUMMYFUNCTION("""COMPUTED_VALUE"""),"1～3")</f>
        <v>1～3</v>
      </c>
      <c r="H4384" s="22" t="str">
        <f>IFERROR(__xludf.DUMMYFUNCTION("""COMPUTED_VALUE"""),"芋とか露木")</f>
        <v>芋とか露木</v>
      </c>
      <c r="I4384" s="22" t="str">
        <f>IFERROR(__xludf.DUMMYFUNCTION("""COMPUTED_VALUE"""),"青年")</f>
        <v>青年</v>
      </c>
      <c r="J4384" s="22"/>
      <c r="K4384" s="22" t="str">
        <f>IFERROR(__xludf.DUMMYFUNCTION("""COMPUTED_VALUE"""),"DEDEDE")</f>
        <v>DEDEDE</v>
      </c>
      <c r="L4384" s="22" t="str">
        <f>IFERROR(__xludf.DUMMYFUNCTION("""COMPUTED_VALUE"""),"CLLENN")</f>
        <v>CLLENN</v>
      </c>
      <c r="M4384" s="33">
        <f>IFERROR(__xludf.DUMMYFUNCTION("""COMPUTED_VALUE"""),46026.0)</f>
        <v>46026</v>
      </c>
      <c r="N4384" s="33">
        <f>IFERROR(__xludf.DUMMYFUNCTION("""COMPUTED_VALUE"""),46088.0)</f>
        <v>46088</v>
      </c>
      <c r="O4384" s="20"/>
      <c r="P4384" s="32" t="str">
        <f>IFERROR(__xludf.DUMMYFUNCTION("""COMPUTED_VALUE"""),"可")</f>
        <v>可</v>
      </c>
      <c r="Q4384" s="30" t="str">
        <f>IFERROR(__xludf.DUMMYFUNCTION("""COMPUTED_VALUE"""),"【アダルト作品扱い】")</f>
        <v>【アダルト作品扱い】</v>
      </c>
      <c r="R4384" s="22" t="str">
        <f>IFERROR(__xludf.DUMMYFUNCTION("""COMPUTED_VALUE"""),"コミットOK")</f>
        <v>コミットOK</v>
      </c>
      <c r="S4384" s="22" t="str">
        <f>IFERROR(__xludf.DUMMYFUNCTION("""COMPUTED_VALUE"""),"20251204_CLLENN_セクシャルマップ～バレずにパコれ!［パコ活］アプリのえちえちミッション～")</f>
        <v>20251204_CLLENN_セクシャルマップ～バレずにパコれ!［パコ活］アプリのえちえちミッション～</v>
      </c>
      <c r="T4384" s="22" t="str">
        <f>IFERROR(__xludf.DUMMYFUNCTION("""COMPUTED_VALUE"""),"格納済み")</f>
        <v>格納済み</v>
      </c>
      <c r="U4384" s="9" t="str">
        <f>IFERROR(__xludf.DUMMYFUNCTION("""COMPUTED_VALUE"""),"Ⓒ芋とか露木/CLLENN")</f>
        <v>Ⓒ芋とか露木/CLLENN</v>
      </c>
      <c r="V4384" s="8"/>
      <c r="W4384" s="8"/>
      <c r="X4384" s="8" t="str">
        <f>IFERROR(__xludf.DUMMYFUNCTION("""COMPUTED_VALUE"""),"有")</f>
        <v>有</v>
      </c>
      <c r="Y4384" s="8" t="str">
        <f>IFERROR(__xludf.DUMMYFUNCTION("""COMPUTED_VALUE"""),"1巻無料")</f>
        <v>1巻無料</v>
      </c>
      <c r="Z4384" s="7"/>
      <c r="AA4384" s="7"/>
      <c r="AB4384" s="7"/>
    </row>
    <row r="4385" ht="15.75" customHeight="1">
      <c r="A4385" s="26">
        <f>IFERROR(__xludf.DUMMYFUNCTION("""COMPUTED_VALUE"""),6808.0)</f>
        <v>6808</v>
      </c>
      <c r="B4385" s="22" t="str">
        <f>IFERROR(__xludf.DUMMYFUNCTION("""COMPUTED_VALUE"""),"確定")</f>
        <v>確定</v>
      </c>
      <c r="C4385" s="28">
        <f>IFERROR(__xludf.DUMMYFUNCTION("""COMPUTED_VALUE"""),45967.0)</f>
        <v>45967</v>
      </c>
      <c r="D4385" s="28">
        <f>IFERROR(__xludf.DUMMYFUNCTION("""COMPUTED_VALUE"""),46001.0)</f>
        <v>46001</v>
      </c>
      <c r="E4385" s="26">
        <f>IFERROR(__xludf.DUMMYFUNCTION("""COMPUTED_VALUE"""),348721.0)</f>
        <v>348721</v>
      </c>
      <c r="F4385" s="22" t="str">
        <f>IFERROR(__xludf.DUMMYFUNCTION("""COMPUTED_VALUE"""),"生贄姫の幸福　～孤独な贄の少女は、魔物の王の花嫁となる～【単話版】")</f>
        <v>生贄姫の幸福　～孤独な贄の少女は、魔物の王の花嫁となる～【単話版】</v>
      </c>
      <c r="G4385" s="20" t="str">
        <f>IFERROR(__xludf.DUMMYFUNCTION("""COMPUTED_VALUE"""),"1～3")</f>
        <v>1～3</v>
      </c>
      <c r="H4385" s="22" t="str">
        <f>IFERROR(__xludf.DUMMYFUNCTION("""COMPUTED_VALUE"""),"結衣まどか/雨咲はな/榊空也")</f>
        <v>結衣まどか/雨咲はな/榊空也</v>
      </c>
      <c r="I4385" s="22" t="str">
        <f>IFERROR(__xludf.DUMMYFUNCTION("""COMPUTED_VALUE"""),"少女")</f>
        <v>少女</v>
      </c>
      <c r="J4385" s="22"/>
      <c r="K4385" s="22"/>
      <c r="L4385" s="22" t="str">
        <f>IFERROR(__xludf.DUMMYFUNCTION("""COMPUTED_VALUE"""),"オーバーラップ")</f>
        <v>オーバーラップ</v>
      </c>
      <c r="M4385" s="33">
        <f>IFERROR(__xludf.DUMMYFUNCTION("""COMPUTED_VALUE"""),46036.0)</f>
        <v>46036</v>
      </c>
      <c r="N4385" s="33">
        <f>IFERROR(__xludf.DUMMYFUNCTION("""COMPUTED_VALUE"""),401768.0)</f>
        <v>401768</v>
      </c>
      <c r="O4385" s="20"/>
      <c r="P4385" s="32" t="str">
        <f>IFERROR(__xludf.DUMMYFUNCTION("""COMPUTED_VALUE"""),"可")</f>
        <v>可</v>
      </c>
      <c r="Q4385" s="30"/>
      <c r="R4385" s="22" t="str">
        <f>IFERROR(__xludf.DUMMYFUNCTION("""COMPUTED_VALUE"""),"コミットOK")</f>
        <v>コミットOK</v>
      </c>
      <c r="S4385" s="22" t="str">
        <f>IFERROR(__xludf.DUMMYFUNCTION("""COMPUTED_VALUE"""),"20251203_オーバーラップ_生贄姫の幸福")</f>
        <v>20251203_オーバーラップ_生贄姫の幸福</v>
      </c>
      <c r="T4385" s="22" t="str">
        <f>IFERROR(__xludf.DUMMYFUNCTION("""COMPUTED_VALUE"""),"格納済み")</f>
        <v>格納済み</v>
      </c>
      <c r="U4385" s="9" t="str">
        <f>IFERROR(__xludf.DUMMYFUNCTION("""COMPUTED_VALUE"""),"(c)結衣まどか　(c)雨咲はな／オーバーラップ")</f>
        <v>(c)結衣まどか　(c)雨咲はな／オーバーラップ</v>
      </c>
      <c r="V4385" s="8"/>
      <c r="W4385" s="8"/>
      <c r="X4385" s="8" t="str">
        <f>IFERROR(__xludf.DUMMYFUNCTION("""COMPUTED_VALUE"""),"有")</f>
        <v>有</v>
      </c>
      <c r="Y4385" s="8" t="str">
        <f>IFERROR(__xludf.DUMMYFUNCTION("""COMPUTED_VALUE"""),"P13まで")</f>
        <v>P13まで</v>
      </c>
      <c r="Z4385" s="7"/>
      <c r="AA4385" s="7"/>
      <c r="AB4385" s="7"/>
    </row>
    <row r="4386" ht="15.75" customHeight="1">
      <c r="A4386" s="26">
        <f>IFERROR(__xludf.DUMMYFUNCTION("""COMPUTED_VALUE"""),6814.0)</f>
        <v>6814</v>
      </c>
      <c r="B4386" s="22" t="str">
        <f>IFERROR(__xludf.DUMMYFUNCTION("""COMPUTED_VALUE"""),"確定")</f>
        <v>確定</v>
      </c>
      <c r="C4386" s="28">
        <f>IFERROR(__xludf.DUMMYFUNCTION("""COMPUTED_VALUE"""),45967.0)</f>
        <v>45967</v>
      </c>
      <c r="D4386" s="28">
        <f>IFERROR(__xludf.DUMMYFUNCTION("""COMPUTED_VALUE"""),46001.0)</f>
        <v>46001</v>
      </c>
      <c r="E4386" s="26">
        <f>IFERROR(__xludf.DUMMYFUNCTION("""COMPUTED_VALUE"""),346906.0)</f>
        <v>346906</v>
      </c>
      <c r="F4386" s="22" t="str">
        <f>IFERROR(__xludf.DUMMYFUNCTION("""COMPUTED_VALUE"""),"推し活命な夫を捨てたい")</f>
        <v>推し活命な夫を捨てたい</v>
      </c>
      <c r="G4386" s="20" t="str">
        <f>IFERROR(__xludf.DUMMYFUNCTION("""COMPUTED_VALUE"""),"1～3")</f>
        <v>1～3</v>
      </c>
      <c r="H4386" s="22" t="str">
        <f>IFERROR(__xludf.DUMMYFUNCTION("""COMPUTED_VALUE"""),"作画：佐藤いすみ 　原作：ぱんぷきん")</f>
        <v>作画：佐藤いすみ 　原作：ぱんぷきん</v>
      </c>
      <c r="I4386" s="22" t="str">
        <f>IFERROR(__xludf.DUMMYFUNCTION("""COMPUTED_VALUE"""),"女性")</f>
        <v>女性</v>
      </c>
      <c r="J4386" s="22"/>
      <c r="K4386" s="22"/>
      <c r="L4386" s="22" t="str">
        <f>IFERROR(__xludf.DUMMYFUNCTION("""COMPUTED_VALUE"""),"DPNブックス")</f>
        <v>DPNブックス</v>
      </c>
      <c r="M4386" s="33">
        <f>IFERROR(__xludf.DUMMYFUNCTION("""COMPUTED_VALUE"""),46042.0)</f>
        <v>46042</v>
      </c>
      <c r="N4386" s="33">
        <f>IFERROR(__xludf.DUMMYFUNCTION("""COMPUTED_VALUE"""),46072.0)</f>
        <v>46072</v>
      </c>
      <c r="O4386" s="20"/>
      <c r="P4386" s="32" t="str">
        <f>IFERROR(__xludf.DUMMYFUNCTION("""COMPUTED_VALUE"""),"可")</f>
        <v>可</v>
      </c>
      <c r="Q4386" s="30" t="str">
        <f>IFERROR(__xludf.DUMMYFUNCTION("""COMPUTED_VALUE"""),"・music.jpとの2社先行")</f>
        <v>・music.jpとの2社先行</v>
      </c>
      <c r="R4386" s="22" t="str">
        <f>IFERROR(__xludf.DUMMYFUNCTION("""COMPUTED_VALUE"""),"コミットOK")</f>
        <v>コミットOK</v>
      </c>
      <c r="S4386" s="22" t="str">
        <f>IFERROR(__xludf.DUMMYFUNCTION("""COMPUTED_VALUE"""),"20251205_DPNブックス_推し活命な夫を捨てたい")</f>
        <v>20251205_DPNブックス_推し活命な夫を捨てたい</v>
      </c>
      <c r="T4386" s="22" t="str">
        <f>IFERROR(__xludf.DUMMYFUNCTION("""COMPUTED_VALUE"""),"格納済み")</f>
        <v>格納済み</v>
      </c>
      <c r="U4386" s="9" t="str">
        <f>IFERROR(__xludf.DUMMYFUNCTION("""COMPUTED_VALUE"""),"(C)左藤いすみ・ぱんぷきん／DPNブックス")</f>
        <v>(C)左藤いすみ・ぱんぷきん／DPNブックス</v>
      </c>
      <c r="V4386" s="8"/>
      <c r="W4386" s="8"/>
      <c r="X4386" s="8" t="str">
        <f>IFERROR(__xludf.DUMMYFUNCTION("""COMPUTED_VALUE"""),"有")</f>
        <v>有</v>
      </c>
      <c r="Y4386" s="8" t="str">
        <f>IFERROR(__xludf.DUMMYFUNCTION("""COMPUTED_VALUE"""),"P8まで")</f>
        <v>P8まで</v>
      </c>
      <c r="Z4386" s="7"/>
      <c r="AA4386" s="7"/>
      <c r="AB4386" s="7"/>
    </row>
    <row r="4387" ht="15.75" customHeight="1">
      <c r="A4387" s="26">
        <f>IFERROR(__xludf.DUMMYFUNCTION("""COMPUTED_VALUE"""),6835.0)</f>
        <v>6835</v>
      </c>
      <c r="B4387" s="22" t="str">
        <f>IFERROR(__xludf.DUMMYFUNCTION("""COMPUTED_VALUE"""),"確定")</f>
        <v>確定</v>
      </c>
      <c r="C4387" s="28">
        <f>IFERROR(__xludf.DUMMYFUNCTION("""COMPUTED_VALUE"""),45971.0)</f>
        <v>45971</v>
      </c>
      <c r="D4387" s="28">
        <f>IFERROR(__xludf.DUMMYFUNCTION("""COMPUTED_VALUE"""),46001.0)</f>
        <v>46001</v>
      </c>
      <c r="E4387" s="26">
        <f>IFERROR(__xludf.DUMMYFUNCTION("""COMPUTED_VALUE"""),347825.0)</f>
        <v>347825</v>
      </c>
      <c r="F4387" s="22" t="str">
        <f>IFERROR(__xludf.DUMMYFUNCTION("""COMPUTED_VALUE"""),"悪魔的瘦身エステ【R-18版】")</f>
        <v>悪魔的瘦身エステ【R-18版】</v>
      </c>
      <c r="G4387" s="20" t="str">
        <f>IFERROR(__xludf.DUMMYFUNCTION("""COMPUTED_VALUE"""),"1～4")</f>
        <v>1～4</v>
      </c>
      <c r="H4387" s="22">
        <f>IFERROR(__xludf.DUMMYFUNCTION("""COMPUTED_VALUE"""),0.0)</f>
        <v>0</v>
      </c>
      <c r="I4387" s="22" t="str">
        <f>IFERROR(__xludf.DUMMYFUNCTION("""COMPUTED_VALUE"""),"アダルト")</f>
        <v>アダルト</v>
      </c>
      <c r="J4387" s="22"/>
      <c r="K4387" s="22" t="str">
        <f>IFERROR(__xludf.DUMMYFUNCTION("""COMPUTED_VALUE"""),"Close Moon")</f>
        <v>Close Moon</v>
      </c>
      <c r="L4387" s="22" t="str">
        <f>IFERROR(__xludf.DUMMYFUNCTION("""COMPUTED_VALUE"""),"ナンバーナイン")</f>
        <v>ナンバーナイン</v>
      </c>
      <c r="M4387" s="33">
        <f>IFERROR(__xludf.DUMMYFUNCTION("""COMPUTED_VALUE"""),46029.0)</f>
        <v>46029</v>
      </c>
      <c r="N4387" s="33">
        <f>IFERROR(__xludf.DUMMYFUNCTION("""COMPUTED_VALUE"""),46087.0)</f>
        <v>46087</v>
      </c>
      <c r="O4387" s="20"/>
      <c r="P4387" s="32" t="str">
        <f>IFERROR(__xludf.DUMMYFUNCTION("""COMPUTED_VALUE"""),"可")</f>
        <v>可</v>
      </c>
      <c r="Q4387" s="30" t="str">
        <f>IFERROR(__xludf.DUMMYFUNCTION("""COMPUTED_VALUE"""),"がるまに＆4巻目はシーモア限定版となります")</f>
        <v>がるまに＆4巻目はシーモア限定版となります</v>
      </c>
      <c r="R4387" s="22"/>
      <c r="S4387" s="22" t="str">
        <f>IFERROR(__xludf.DUMMYFUNCTION("""COMPUTED_VALUE"""),"20251210_ナンバーナイン_悪魔的瘦身エステ【R-18版】")</f>
        <v>20251210_ナンバーナイン_悪魔的瘦身エステ【R-18版】</v>
      </c>
      <c r="T4387" s="22" t="str">
        <f>IFERROR(__xludf.DUMMYFUNCTION("""COMPUTED_VALUE"""),"格納済み")</f>
        <v>格納済み</v>
      </c>
      <c r="U4387" s="9" t="str">
        <f>IFERROR(__xludf.DUMMYFUNCTION("""COMPUTED_VALUE"""),"(C)0／ナンバーナイン")</f>
        <v>(C)0／ナンバーナイン</v>
      </c>
      <c r="V4387" s="8"/>
      <c r="W4387" s="8"/>
      <c r="X4387" s="8" t="str">
        <f>IFERROR(__xludf.DUMMYFUNCTION("""COMPUTED_VALUE"""),"有")</f>
        <v>有</v>
      </c>
      <c r="Y4387" s="8" t="str">
        <f>IFERROR(__xludf.DUMMYFUNCTION("""COMPUTED_VALUE"""),"1巻無料")</f>
        <v>1巻無料</v>
      </c>
      <c r="Z4387" s="7"/>
      <c r="AA4387" s="7"/>
      <c r="AB4387" s="7"/>
    </row>
    <row r="4388" ht="15.75" customHeight="1">
      <c r="A4388" s="26">
        <f>IFERROR(__xludf.DUMMYFUNCTION("""COMPUTED_VALUE"""),6869.0)</f>
        <v>6869</v>
      </c>
      <c r="B4388" s="22" t="str">
        <f>IFERROR(__xludf.DUMMYFUNCTION("""COMPUTED_VALUE"""),"確定")</f>
        <v>確定</v>
      </c>
      <c r="C4388" s="28">
        <f>IFERROR(__xludf.DUMMYFUNCTION("""COMPUTED_VALUE"""),45973.0)</f>
        <v>45973</v>
      </c>
      <c r="D4388" s="28">
        <f>IFERROR(__xludf.DUMMYFUNCTION("""COMPUTED_VALUE"""),46001.0)</f>
        <v>46001</v>
      </c>
      <c r="E4388" s="26">
        <f>IFERROR(__xludf.DUMMYFUNCTION("""COMPUTED_VALUE"""),346996.0)</f>
        <v>346996</v>
      </c>
      <c r="F4388" s="22" t="str">
        <f>IFERROR(__xludf.DUMMYFUNCTION("""COMPUTED_VALUE"""),"惚れたはれたパンダ　プチデザ")</f>
        <v>惚れたはれたパンダ　プチデザ</v>
      </c>
      <c r="G4388" s="20" t="str">
        <f>IFERROR(__xludf.DUMMYFUNCTION("""COMPUTED_VALUE"""),"1～4")</f>
        <v>1～4</v>
      </c>
      <c r="H4388" s="22" t="str">
        <f>IFERROR(__xludf.DUMMYFUNCTION("""COMPUTED_VALUE"""),"蟹沢ちひろ")</f>
        <v>蟹沢ちひろ</v>
      </c>
      <c r="I4388" s="22" t="str">
        <f>IFERROR(__xludf.DUMMYFUNCTION("""COMPUTED_VALUE"""),"少女")</f>
        <v>少女</v>
      </c>
      <c r="J4388" s="22"/>
      <c r="K4388" s="22" t="str">
        <f>IFERROR(__xludf.DUMMYFUNCTION("""COMPUTED_VALUE"""),"デザート")</f>
        <v>デザート</v>
      </c>
      <c r="L4388" s="22" t="str">
        <f>IFERROR(__xludf.DUMMYFUNCTION("""COMPUTED_VALUE"""),"講談社")</f>
        <v>講談社</v>
      </c>
      <c r="M4388" s="33">
        <f>IFERROR(__xludf.DUMMYFUNCTION("""COMPUTED_VALUE"""),46035.0)</f>
        <v>46035</v>
      </c>
      <c r="N4388" s="33">
        <f>IFERROR(__xludf.DUMMYFUNCTION("""COMPUTED_VALUE"""),46124.0)</f>
        <v>46124</v>
      </c>
      <c r="O4388" s="20"/>
      <c r="P4388" s="32" t="str">
        <f>IFERROR(__xludf.DUMMYFUNCTION("""COMPUTED_VALUE"""),"可")</f>
        <v>可</v>
      </c>
      <c r="Q4388" s="30" t="str">
        <f>IFERROR(__xludf.DUMMYFUNCTION("""COMPUTED_VALUE"""),"1~3巻の素材で広告制作お願いいたします。")</f>
        <v>1~3巻の素材で広告制作お願いいたします。</v>
      </c>
      <c r="R4388" s="22"/>
      <c r="S4388" s="22" t="str">
        <f>IFERROR(__xludf.DUMMYFUNCTION("""COMPUTED_VALUE"""),"20251209_講談社_惚れたはれたパンダ")</f>
        <v>20251209_講談社_惚れたはれたパンダ</v>
      </c>
      <c r="T4388" s="22" t="str">
        <f>IFERROR(__xludf.DUMMYFUNCTION("""COMPUTED_VALUE"""),"格納済み")</f>
        <v>格納済み</v>
      </c>
      <c r="U4388" s="9" t="str">
        <f>IFERROR(__xludf.DUMMYFUNCTION("""COMPUTED_VALUE"""),"ⓒ蟹沢ちひろ／講談社")</f>
        <v>ⓒ蟹沢ちひろ／講談社</v>
      </c>
      <c r="V4388" s="8"/>
      <c r="W4388" s="8"/>
      <c r="X4388" s="8" t="str">
        <f>IFERROR(__xludf.DUMMYFUNCTION("""COMPUTED_VALUE"""),"有")</f>
        <v>有</v>
      </c>
      <c r="Y4388" s="8" t="str">
        <f>IFERROR(__xludf.DUMMYFUNCTION("""COMPUTED_VALUE"""),"2026/4/12まで1巻無料")</f>
        <v>2026/4/12まで1巻無料</v>
      </c>
      <c r="Z4388" s="7"/>
      <c r="AA4388" s="7"/>
      <c r="AB4388" s="7"/>
    </row>
    <row r="4389" ht="15.75" customHeight="1">
      <c r="A4389" s="26">
        <f>IFERROR(__xludf.DUMMYFUNCTION("""COMPUTED_VALUE"""),6872.0)</f>
        <v>6872</v>
      </c>
      <c r="B4389" s="22" t="str">
        <f>IFERROR(__xludf.DUMMYFUNCTION("""COMPUTED_VALUE"""),"確定")</f>
        <v>確定</v>
      </c>
      <c r="C4389" s="28">
        <f>IFERROR(__xludf.DUMMYFUNCTION("""COMPUTED_VALUE"""),45974.0)</f>
        <v>45974</v>
      </c>
      <c r="D4389" s="28">
        <f>IFERROR(__xludf.DUMMYFUNCTION("""COMPUTED_VALUE"""),45996.0)</f>
        <v>45996</v>
      </c>
      <c r="E4389" s="26">
        <f>IFERROR(__xludf.DUMMYFUNCTION("""COMPUTED_VALUE"""),346435.0)</f>
        <v>346435</v>
      </c>
      <c r="F4389" s="22" t="str">
        <f>IFERROR(__xludf.DUMMYFUNCTION("""COMPUTED_VALUE"""),"バタフライ・ララバイ ")</f>
        <v>バタフライ・ララバイ </v>
      </c>
      <c r="G4389" s="20" t="str">
        <f>IFERROR(__xludf.DUMMYFUNCTION("""COMPUTED_VALUE"""),"1～2")</f>
        <v>1～2</v>
      </c>
      <c r="H4389" s="22" t="str">
        <f>IFERROR(__xludf.DUMMYFUNCTION("""COMPUTED_VALUE"""),"モガ子")</f>
        <v>モガ子</v>
      </c>
      <c r="I4389" s="22" t="str">
        <f>IFERROR(__xludf.DUMMYFUNCTION("""COMPUTED_VALUE"""),"BL")</f>
        <v>BL</v>
      </c>
      <c r="J4389" s="22"/>
      <c r="K4389" s="22" t="str">
        <f>IFERROR(__xludf.DUMMYFUNCTION("""COMPUTED_VALUE"""),"NuPu")</f>
        <v>NuPu</v>
      </c>
      <c r="L4389" s="22" t="str">
        <f>IFERROR(__xludf.DUMMYFUNCTION("""COMPUTED_VALUE"""),"CLLENN")</f>
        <v>CLLENN</v>
      </c>
      <c r="M4389" s="33">
        <f>IFERROR(__xludf.DUMMYFUNCTION("""COMPUTED_VALUE"""),46037.0)</f>
        <v>46037</v>
      </c>
      <c r="N4389" s="33">
        <f>IFERROR(__xludf.DUMMYFUNCTION("""COMPUTED_VALUE"""),46099.0)</f>
        <v>46099</v>
      </c>
      <c r="O4389" s="20"/>
      <c r="P4389" s="32" t="str">
        <f>IFERROR(__xludf.DUMMYFUNCTION("""COMPUTED_VALUE"""),"可")</f>
        <v>可</v>
      </c>
      <c r="Q4389" s="30" t="str">
        <f>IFERROR(__xludf.DUMMYFUNCTION("""COMPUTED_VALUE"""),"&lt;BR&gt;")</f>
        <v>&lt;BR&gt;</v>
      </c>
      <c r="R4389" s="22" t="str">
        <f>IFERROR(__xludf.DUMMYFUNCTION("""COMPUTED_VALUE"""),"コミットNG")</f>
        <v>コミットNG</v>
      </c>
      <c r="S4389" s="22" t="str">
        <f>IFERROR(__xludf.DUMMYFUNCTION("""COMPUTED_VALUE"""),"20251205_CLLENN_バタフライララバイ")</f>
        <v>20251205_CLLENN_バタフライララバイ</v>
      </c>
      <c r="T4389" s="22" t="str">
        <f>IFERROR(__xludf.DUMMYFUNCTION("""COMPUTED_VALUE"""),"格納済み")</f>
        <v>格納済み</v>
      </c>
      <c r="U4389" s="9" t="str">
        <f>IFERROR(__xludf.DUMMYFUNCTION("""COMPUTED_VALUE"""),"Ⓒモガ子/CLLENN")</f>
        <v>Ⓒモガ子/CLLENN</v>
      </c>
      <c r="V4389" s="8"/>
      <c r="W4389" s="8"/>
      <c r="X4389" s="8" t="str">
        <f>IFERROR(__xludf.DUMMYFUNCTION("""COMPUTED_VALUE"""),"有")</f>
        <v>有</v>
      </c>
      <c r="Y4389" s="8" t="str">
        <f>IFERROR(__xludf.DUMMYFUNCTION("""COMPUTED_VALUE"""),"P10まで")</f>
        <v>P10まで</v>
      </c>
      <c r="Z4389" s="7"/>
      <c r="AA4389" s="7"/>
      <c r="AB4389" s="7"/>
    </row>
    <row r="4390" ht="15.75" customHeight="1">
      <c r="A4390" s="26">
        <f>IFERROR(__xludf.DUMMYFUNCTION("""COMPUTED_VALUE"""),6874.0)</f>
        <v>6874</v>
      </c>
      <c r="B4390" s="22" t="str">
        <f>IFERROR(__xludf.DUMMYFUNCTION("""COMPUTED_VALUE"""),"確定")</f>
        <v>確定</v>
      </c>
      <c r="C4390" s="28">
        <f>IFERROR(__xludf.DUMMYFUNCTION("""COMPUTED_VALUE"""),45974.0)</f>
        <v>45974</v>
      </c>
      <c r="D4390" s="28">
        <f>IFERROR(__xludf.DUMMYFUNCTION("""COMPUTED_VALUE"""),46001.0)</f>
        <v>46001</v>
      </c>
      <c r="E4390" s="26">
        <f>IFERROR(__xludf.DUMMYFUNCTION("""COMPUTED_VALUE"""),348251.0)</f>
        <v>348251</v>
      </c>
      <c r="F4390" s="22" t="str">
        <f>IFERROR(__xludf.DUMMYFUNCTION("""COMPUTED_VALUE"""),"この男、優良物件につき ～クレクレ義妹が私のすべてを奪ってきます～")</f>
        <v>この男、優良物件につき ～クレクレ義妹が私のすべてを奪ってきます～</v>
      </c>
      <c r="G4390" s="20" t="str">
        <f>IFERROR(__xludf.DUMMYFUNCTION("""COMPUTED_VALUE"""),"1～9")</f>
        <v>1～9</v>
      </c>
      <c r="H4390" s="22" t="str">
        <f>IFERROR(__xludf.DUMMYFUNCTION("""COMPUTED_VALUE"""),"原作：柚月しずく　作画：ハルタミミ")</f>
        <v>原作：柚月しずく　作画：ハルタミミ</v>
      </c>
      <c r="I4390" s="22" t="str">
        <f>IFERROR(__xludf.DUMMYFUNCTION("""COMPUTED_VALUE"""),"女性")</f>
        <v>女性</v>
      </c>
      <c r="J4390" s="22"/>
      <c r="K4390" s="22"/>
      <c r="L4390" s="22" t="str">
        <f>IFERROR(__xludf.DUMMYFUNCTION("""COMPUTED_VALUE"""),"ビーグリー")</f>
        <v>ビーグリー</v>
      </c>
      <c r="M4390" s="33">
        <f>IFERROR(__xludf.DUMMYFUNCTION("""COMPUTED_VALUE"""),46032.0)</f>
        <v>46032</v>
      </c>
      <c r="N4390" s="33">
        <f>IFERROR(__xludf.DUMMYFUNCTION("""COMPUTED_VALUE"""),2958101.7083333335)</f>
        <v>2958101.708</v>
      </c>
      <c r="O4390" s="20"/>
      <c r="P4390" s="32" t="str">
        <f>IFERROR(__xludf.DUMMYFUNCTION("""COMPUTED_VALUE"""),"可")</f>
        <v>可</v>
      </c>
      <c r="Q4390" s="30" t="str">
        <f>IFERROR(__xludf.DUMMYFUNCTION("""COMPUTED_VALUE"""),"8~9話素材がギリギリになるため7話までで広告制作お願いいたします。&lt;BR&gt;&lt;BR&gt;")</f>
        <v>8~9話素材がギリギリになるため7話までで広告制作お願いいたします。&lt;BR&gt;&lt;BR&gt;</v>
      </c>
      <c r="R4390" s="22" t="str">
        <f>IFERROR(__xludf.DUMMYFUNCTION("""COMPUTED_VALUE"""),"コミットOK")</f>
        <v>コミットOK</v>
      </c>
      <c r="S4390" s="22" t="str">
        <f>IFERROR(__xludf.DUMMYFUNCTION("""COMPUTED_VALUE"""),"20251113_ビーグリー_この男、優良物件につき ～クレクレ義妹が私のすべてを奪ってきます～")</f>
        <v>20251113_ビーグリー_この男、優良物件につき ～クレクレ義妹が私のすべてを奪ってきます～</v>
      </c>
      <c r="T4390" s="22" t="str">
        <f>IFERROR(__xludf.DUMMYFUNCTION("""COMPUTED_VALUE"""),"格納済み")</f>
        <v>格納済み</v>
      </c>
      <c r="U4390" s="9" t="str">
        <f>IFERROR(__xludf.DUMMYFUNCTION("""COMPUTED_VALUE"""),"Ⓒ柚月しずく/ハルタミミ/ビーグリー")</f>
        <v>Ⓒ柚月しずく/ハルタミミ/ビーグリー</v>
      </c>
      <c r="V4390" s="8"/>
      <c r="W4390" s="8"/>
      <c r="X4390" s="8" t="str">
        <f>IFERROR(__xludf.DUMMYFUNCTION("""COMPUTED_VALUE"""),"有")</f>
        <v>有</v>
      </c>
      <c r="Y4390" s="8" t="str">
        <f>IFERROR(__xludf.DUMMYFUNCTION("""COMPUTED_VALUE"""),"2026/1/24まで1~3巻無料")</f>
        <v>2026/1/24まで1~3巻無料</v>
      </c>
      <c r="Z4390" s="7"/>
      <c r="AA4390" s="7"/>
      <c r="AB4390" s="7"/>
    </row>
    <row r="4391" ht="15.75" customHeight="1">
      <c r="A4391" s="26">
        <f>IFERROR(__xludf.DUMMYFUNCTION("""COMPUTED_VALUE"""),6907.0)</f>
        <v>6907</v>
      </c>
      <c r="B4391" s="22" t="str">
        <f>IFERROR(__xludf.DUMMYFUNCTION("""COMPUTED_VALUE"""),"確定")</f>
        <v>確定</v>
      </c>
      <c r="C4391" s="28">
        <f>IFERROR(__xludf.DUMMYFUNCTION("""COMPUTED_VALUE"""),45979.0)</f>
        <v>45979</v>
      </c>
      <c r="D4391" s="28">
        <f>IFERROR(__xludf.DUMMYFUNCTION("""COMPUTED_VALUE"""),46000.0)</f>
        <v>46000</v>
      </c>
      <c r="E4391" s="26">
        <f>IFERROR(__xludf.DUMMYFUNCTION("""COMPUTED_VALUE"""),346760.0)</f>
        <v>346760</v>
      </c>
      <c r="F4391" s="22" t="str">
        <f>IFERROR(__xludf.DUMMYFUNCTION("""COMPUTED_VALUE"""),"ばらけいさま")</f>
        <v>ばらけいさま</v>
      </c>
      <c r="G4391" s="20" t="str">
        <f>IFERROR(__xludf.DUMMYFUNCTION("""COMPUTED_VALUE"""),"1～3")</f>
        <v>1～3</v>
      </c>
      <c r="H4391" s="22" t="str">
        <f>IFERROR(__xludf.DUMMYFUNCTION("""COMPUTED_VALUE"""),"銀杏")</f>
        <v>銀杏</v>
      </c>
      <c r="I4391" s="22" t="str">
        <f>IFERROR(__xludf.DUMMYFUNCTION("""COMPUTED_VALUE"""),"女性")</f>
        <v>女性</v>
      </c>
      <c r="J4391" s="22"/>
      <c r="K4391" s="22" t="str">
        <f>IFERROR(__xludf.DUMMYFUNCTION("""COMPUTED_VALUE"""),"ふゅーじょんぷろだくと")</f>
        <v>ふゅーじょんぷろだくと</v>
      </c>
      <c r="L4391" s="22" t="str">
        <f>IFERROR(__xludf.DUMMYFUNCTION("""COMPUTED_VALUE"""),"ふゅーじょんぷろだくと")</f>
        <v>ふゅーじょんぷろだくと</v>
      </c>
      <c r="M4391" s="33">
        <f>IFERROR(__xludf.DUMMYFUNCTION("""COMPUTED_VALUE"""),46051.0)</f>
        <v>46051</v>
      </c>
      <c r="N4391" s="33">
        <f>IFERROR(__xludf.DUMMYFUNCTION("""COMPUTED_VALUE"""),46142.0)</f>
        <v>46142</v>
      </c>
      <c r="O4391" s="20"/>
      <c r="P4391" s="32" t="str">
        <f>IFERROR(__xludf.DUMMYFUNCTION("""COMPUTED_VALUE"""),"否")</f>
        <v>否</v>
      </c>
      <c r="Q4391" s="30"/>
      <c r="R4391" s="22" t="str">
        <f>IFERROR(__xludf.DUMMYFUNCTION("""COMPUTED_VALUE"""),"コミットOK")</f>
        <v>コミットOK</v>
      </c>
      <c r="S4391" s="22" t="str">
        <f>IFERROR(__xludf.DUMMYFUNCTION("""COMPUTED_VALUE"""),"20251209_ふゅーじょんぷろだくと_ばらけいさま")</f>
        <v>20251209_ふゅーじょんぷろだくと_ばらけいさま</v>
      </c>
      <c r="T4391" s="22" t="str">
        <f>IFERROR(__xludf.DUMMYFUNCTION("""COMPUTED_VALUE"""),"格納済み")</f>
        <v>格納済み</v>
      </c>
      <c r="U4391" s="9" t="str">
        <f>IFERROR(__xludf.DUMMYFUNCTION("""COMPUTED_VALUE"""),"Ⓒ銀杏／FUSION PRODUCT")</f>
        <v>Ⓒ銀杏／FUSION PRODUCT</v>
      </c>
      <c r="V4391" s="8"/>
      <c r="W4391" s="8"/>
      <c r="X4391" s="8" t="str">
        <f>IFERROR(__xludf.DUMMYFUNCTION("""COMPUTED_VALUE"""),"有")</f>
        <v>有</v>
      </c>
      <c r="Y4391" s="8" t="str">
        <f>IFERROR(__xludf.DUMMYFUNCTION("""COMPUTED_VALUE"""),"P10まで")</f>
        <v>P10まで</v>
      </c>
      <c r="Z4391" s="7"/>
      <c r="AA4391" s="7"/>
      <c r="AB4391" s="7"/>
    </row>
    <row r="4392" ht="15.75" customHeight="1">
      <c r="A4392" s="26">
        <f>IFERROR(__xludf.DUMMYFUNCTION("""COMPUTED_VALUE"""),6918.0)</f>
        <v>6918</v>
      </c>
      <c r="B4392" s="22" t="str">
        <f>IFERROR(__xludf.DUMMYFUNCTION("""COMPUTED_VALUE"""),"確定")</f>
        <v>確定</v>
      </c>
      <c r="C4392" s="28">
        <f>IFERROR(__xludf.DUMMYFUNCTION("""COMPUTED_VALUE"""),45981.0)</f>
        <v>45981</v>
      </c>
      <c r="D4392" s="28">
        <f>IFERROR(__xludf.DUMMYFUNCTION("""COMPUTED_VALUE"""),46000.0)</f>
        <v>46000</v>
      </c>
      <c r="E4392" s="26">
        <f>IFERROR(__xludf.DUMMYFUNCTION("""COMPUTED_VALUE"""),351019.0)</f>
        <v>351019</v>
      </c>
      <c r="F4392" s="22" t="str">
        <f>IFERROR(__xludf.DUMMYFUNCTION("""COMPUTED_VALUE"""),"偽者皇子と仮初め婚などできません！")</f>
        <v>偽者皇子と仮初め婚などできません！</v>
      </c>
      <c r="G4392" s="20" t="str">
        <f>IFERROR(__xludf.DUMMYFUNCTION("""COMPUTED_VALUE"""),"1～3")</f>
        <v>1～3</v>
      </c>
      <c r="H4392" s="22" t="str">
        <f>IFERROR(__xludf.DUMMYFUNCTION("""COMPUTED_VALUE"""),"櫻井緋子")</f>
        <v>櫻井緋子</v>
      </c>
      <c r="I4392" s="22" t="str">
        <f>IFERROR(__xludf.DUMMYFUNCTION("""COMPUTED_VALUE"""),"女性")</f>
        <v>女性</v>
      </c>
      <c r="J4392" s="22"/>
      <c r="K4392" s="22" t="str">
        <f>IFERROR(__xludf.DUMMYFUNCTION("""COMPUTED_VALUE"""),"バニラブ×シーモア")</f>
        <v>バニラブ×シーモア</v>
      </c>
      <c r="L4392" s="22" t="str">
        <f>IFERROR(__xludf.DUMMYFUNCTION("""COMPUTED_VALUE"""),"リブレ")</f>
        <v>リブレ</v>
      </c>
      <c r="M4392" s="33">
        <f>IFERROR(__xludf.DUMMYFUNCTION("""COMPUTED_VALUE"""),46079.0)</f>
        <v>46079</v>
      </c>
      <c r="N4392" s="33">
        <f>IFERROR(__xludf.DUMMYFUNCTION("""COMPUTED_VALUE"""),46169.0)</f>
        <v>46169</v>
      </c>
      <c r="O4392" s="20"/>
      <c r="P4392" s="32" t="str">
        <f>IFERROR(__xludf.DUMMYFUNCTION("""COMPUTED_VALUE"""),"可")</f>
        <v>可</v>
      </c>
      <c r="Q4392" s="30" t="str">
        <f>IFERROR(__xludf.DUMMYFUNCTION("""COMPUTED_VALUE"""),"協業レーベル『バニラブ×シーモア』作品です。")</f>
        <v>協業レーベル『バニラブ×シーモア』作品です。</v>
      </c>
      <c r="R4392" s="22"/>
      <c r="S4392" s="22" t="str">
        <f>IFERROR(__xludf.DUMMYFUNCTION("""COMPUTED_VALUE"""),"20251120_リブレ_偽者皇子と仮初め婚などできません！")</f>
        <v>20251120_リブレ_偽者皇子と仮初め婚などできません！</v>
      </c>
      <c r="T4392" s="22" t="str">
        <f>IFERROR(__xludf.DUMMYFUNCTION("""COMPUTED_VALUE"""),"格納済み")</f>
        <v>格納済み</v>
      </c>
      <c r="U4392" s="9" t="str">
        <f>IFERROR(__xludf.DUMMYFUNCTION("""COMPUTED_VALUE"""),"(C)櫻井緋子/libre")</f>
        <v>(C)櫻井緋子/libre</v>
      </c>
      <c r="V4392" s="8"/>
      <c r="W4392" s="8"/>
      <c r="X4392" s="8" t="str">
        <f>IFERROR(__xludf.DUMMYFUNCTION("""COMPUTED_VALUE"""),"有")</f>
        <v>有</v>
      </c>
      <c r="Y4392" s="8" t="str">
        <f>IFERROR(__xludf.DUMMYFUNCTION("""COMPUTED_VALUE"""),"P10まで")</f>
        <v>P10まで</v>
      </c>
      <c r="Z4392" s="7"/>
      <c r="AA4392" s="7"/>
      <c r="AB4392" s="7"/>
    </row>
    <row r="4393" ht="15.75" customHeight="1">
      <c r="A4393" s="26">
        <f>IFERROR(__xludf.DUMMYFUNCTION("""COMPUTED_VALUE"""),6943.0)</f>
        <v>6943</v>
      </c>
      <c r="B4393" s="22" t="str">
        <f>IFERROR(__xludf.DUMMYFUNCTION("""COMPUTED_VALUE"""),"確定")</f>
        <v>確定</v>
      </c>
      <c r="C4393" s="28">
        <f>IFERROR(__xludf.DUMMYFUNCTION("""COMPUTED_VALUE"""),45986.0)</f>
        <v>45986</v>
      </c>
      <c r="D4393" s="28">
        <f>IFERROR(__xludf.DUMMYFUNCTION("""COMPUTED_VALUE"""),45999.0)</f>
        <v>45999</v>
      </c>
      <c r="E4393" s="26">
        <f>IFERROR(__xludf.DUMMYFUNCTION("""COMPUTED_VALUE"""),324361.0)</f>
        <v>324361</v>
      </c>
      <c r="F4393" s="22" t="str">
        <f>IFERROR(__xludf.DUMMYFUNCTION("""COMPUTED_VALUE"""),"性掃員(フルカラー)")</f>
        <v>性掃員(フルカラー)</v>
      </c>
      <c r="G4393" s="20" t="str">
        <f>IFERROR(__xludf.DUMMYFUNCTION("""COMPUTED_VALUE"""),"1～5")</f>
        <v>1～5</v>
      </c>
      <c r="H4393" s="22" t="str">
        <f>IFERROR(__xludf.DUMMYFUNCTION("""COMPUTED_VALUE"""),"兄作家,キュルピ")</f>
        <v>兄作家,キュルピ</v>
      </c>
      <c r="I4393" s="22" t="str">
        <f>IFERROR(__xludf.DUMMYFUNCTION("""COMPUTED_VALUE"""),"青年マンガ")</f>
        <v>青年マンガ</v>
      </c>
      <c r="J4393" s="22"/>
      <c r="K4393" s="22" t="str">
        <f>IFERROR(__xludf.DUMMYFUNCTION("""COMPUTED_VALUE"""),"桃色エンジェル")</f>
        <v>桃色エンジェル</v>
      </c>
      <c r="L4393" s="22" t="str">
        <f>IFERROR(__xludf.DUMMYFUNCTION("""COMPUTED_VALUE"""),"シーモアコミックス")</f>
        <v>シーモアコミックス</v>
      </c>
      <c r="M4393" s="33">
        <f>IFERROR(__xludf.DUMMYFUNCTION("""COMPUTED_VALUE"""),46032.0)</f>
        <v>46032</v>
      </c>
      <c r="N4393" s="33">
        <f>IFERROR(__xludf.DUMMYFUNCTION("""COMPUTED_VALUE"""),2958465.0)</f>
        <v>2958465</v>
      </c>
      <c r="O4393" s="20"/>
      <c r="P4393" s="32" t="str">
        <f>IFERROR(__xludf.DUMMYFUNCTION("""COMPUTED_VALUE"""),"可")</f>
        <v>可</v>
      </c>
      <c r="Q4393" s="30" t="str">
        <f>IFERROR(__xludf.DUMMYFUNCTION("""COMPUTED_VALUE"""),"【アダルト作品扱い】")</f>
        <v>【アダルト作品扱い】</v>
      </c>
      <c r="R4393" s="22"/>
      <c r="S4393" s="22" t="str">
        <f>IFERROR(__xludf.DUMMYFUNCTION("""COMPUTED_VALUE"""),"20251125_シーモアコミックス_性掃員（フルカラー）")</f>
        <v>20251125_シーモアコミックス_性掃員（フルカラー）</v>
      </c>
      <c r="T4393" s="22" t="str">
        <f>IFERROR(__xludf.DUMMYFUNCTION("""COMPUTED_VALUE"""),"格納済み")</f>
        <v>格納済み</v>
      </c>
      <c r="U4393" s="9" t="str">
        <f>IFERROR(__xludf.DUMMYFUNCTION("""COMPUTED_VALUE"""),"(C) 兄作家/キュルピ/TOPCO/シーモアコミックス")</f>
        <v>(C) 兄作家/キュルピ/TOPCO/シーモアコミックス</v>
      </c>
      <c r="V4393" s="8"/>
      <c r="W4393" s="8"/>
      <c r="X4393" s="8" t="str">
        <f>IFERROR(__xludf.DUMMYFUNCTION("""COMPUTED_VALUE"""),"有")</f>
        <v>有</v>
      </c>
      <c r="Y4393" s="8" t="str">
        <f>IFERROR(__xludf.DUMMYFUNCTION("""COMPUTED_VALUE"""),"P12まで")</f>
        <v>P12まで</v>
      </c>
      <c r="Z4393" s="7"/>
      <c r="AA4393" s="7"/>
      <c r="AB4393" s="7"/>
    </row>
    <row r="4394" ht="15.75" customHeight="1">
      <c r="A4394" s="26">
        <f>IFERROR(__xludf.DUMMYFUNCTION("""COMPUTED_VALUE"""),6944.0)</f>
        <v>6944</v>
      </c>
      <c r="B4394" s="22" t="str">
        <f>IFERROR(__xludf.DUMMYFUNCTION("""COMPUTED_VALUE"""),"確定")</f>
        <v>確定</v>
      </c>
      <c r="C4394" s="28">
        <f>IFERROR(__xludf.DUMMYFUNCTION("""COMPUTED_VALUE"""),45986.0)</f>
        <v>45986</v>
      </c>
      <c r="D4394" s="28">
        <f>IFERROR(__xludf.DUMMYFUNCTION("""COMPUTED_VALUE"""),45999.0)</f>
        <v>45999</v>
      </c>
      <c r="E4394" s="26">
        <f>IFERROR(__xludf.DUMMYFUNCTION("""COMPUTED_VALUE"""),324362.0)</f>
        <v>324362</v>
      </c>
      <c r="F4394" s="22" t="str">
        <f>IFERROR(__xludf.DUMMYFUNCTION("""COMPUTED_VALUE"""),"性掃員【タテヨミ】")</f>
        <v>性掃員【タテヨミ】</v>
      </c>
      <c r="G4394" s="20" t="str">
        <f>IFERROR(__xludf.DUMMYFUNCTION("""COMPUTED_VALUE"""),"1～15")</f>
        <v>1～15</v>
      </c>
      <c r="H4394" s="22" t="str">
        <f>IFERROR(__xludf.DUMMYFUNCTION("""COMPUTED_VALUE"""),"兄作家,キュルピ")</f>
        <v>兄作家,キュルピ</v>
      </c>
      <c r="I4394" s="22" t="str">
        <f>IFERROR(__xludf.DUMMYFUNCTION("""COMPUTED_VALUE"""),"青年マンガ")</f>
        <v>青年マンガ</v>
      </c>
      <c r="J4394" s="22"/>
      <c r="K4394" s="22" t="str">
        <f>IFERROR(__xludf.DUMMYFUNCTION("""COMPUTED_VALUE"""),"桃色エンジェル")</f>
        <v>桃色エンジェル</v>
      </c>
      <c r="L4394" s="22" t="str">
        <f>IFERROR(__xludf.DUMMYFUNCTION("""COMPUTED_VALUE"""),"シーモアコミックス")</f>
        <v>シーモアコミックス</v>
      </c>
      <c r="M4394" s="33">
        <f>IFERROR(__xludf.DUMMYFUNCTION("""COMPUTED_VALUE"""),46032.0)</f>
        <v>46032</v>
      </c>
      <c r="N4394" s="33">
        <f>IFERROR(__xludf.DUMMYFUNCTION("""COMPUTED_VALUE"""),2958465.0)</f>
        <v>2958465</v>
      </c>
      <c r="O4394" s="20"/>
      <c r="P4394" s="32" t="str">
        <f>IFERROR(__xludf.DUMMYFUNCTION("""COMPUTED_VALUE"""),"可")</f>
        <v>可</v>
      </c>
      <c r="Q4394" s="30" t="str">
        <f>IFERROR(__xludf.DUMMYFUNCTION("""COMPUTED_VALUE"""),"【アダルト作品扱い】&lt;BR&gt;※コマサム等素材は「324361　性掃員(フルカラー)」の方をお使いください。バナー制作はフルカラー版の素材を利用して問題ございません。&lt;BR&gt;")</f>
        <v>【アダルト作品扱い】&lt;BR&gt;※コマサム等素材は「324361　性掃員(フルカラー)」の方をお使いください。バナー制作はフルカラー版の素材を利用して問題ございません。&lt;BR&gt;</v>
      </c>
      <c r="R4394" s="22"/>
      <c r="S4394" s="22" t="str">
        <f>IFERROR(__xludf.DUMMYFUNCTION("""COMPUTED_VALUE"""),"20251125_シーモアコミックス_性掃員【タテヨミ】")</f>
        <v>20251125_シーモアコミックス_性掃員【タテヨミ】</v>
      </c>
      <c r="T4394" s="22" t="str">
        <f>IFERROR(__xludf.DUMMYFUNCTION("""COMPUTED_VALUE"""),"格納済み")</f>
        <v>格納済み</v>
      </c>
      <c r="U4394" s="9" t="str">
        <f>IFERROR(__xludf.DUMMYFUNCTION("""COMPUTED_VALUE"""),"(C) 兄作家/キュルピ/TOPCO/シーモアコミックス")</f>
        <v>(C) 兄作家/キュルピ/TOPCO/シーモアコミックス</v>
      </c>
      <c r="V4394" s="8"/>
      <c r="W4394" s="8"/>
      <c r="X4394" s="8" t="str">
        <f>IFERROR(__xludf.DUMMYFUNCTION("""COMPUTED_VALUE"""),"有")</f>
        <v>有</v>
      </c>
      <c r="Y4394" s="8" t="str">
        <f>IFERROR(__xludf.DUMMYFUNCTION("""COMPUTED_VALUE"""),"1巻無料")</f>
        <v>1巻無料</v>
      </c>
      <c r="Z4394" s="7"/>
      <c r="AA4394" s="7"/>
      <c r="AB4394" s="7"/>
    </row>
    <row r="4395" ht="15.75" customHeight="1">
      <c r="A4395" s="26">
        <f>IFERROR(__xludf.DUMMYFUNCTION("""COMPUTED_VALUE"""),6945.0)</f>
        <v>6945</v>
      </c>
      <c r="B4395" s="22" t="str">
        <f>IFERROR(__xludf.DUMMYFUNCTION("""COMPUTED_VALUE"""),"確定")</f>
        <v>確定</v>
      </c>
      <c r="C4395" s="28">
        <f>IFERROR(__xludf.DUMMYFUNCTION("""COMPUTED_VALUE"""),45986.0)</f>
        <v>45986</v>
      </c>
      <c r="D4395" s="28">
        <f>IFERROR(__xludf.DUMMYFUNCTION("""COMPUTED_VALUE"""),45999.0)</f>
        <v>45999</v>
      </c>
      <c r="E4395" s="26">
        <f>IFERROR(__xludf.DUMMYFUNCTION("""COMPUTED_VALUE"""),323510.0)</f>
        <v>323510</v>
      </c>
      <c r="F4395" s="22" t="str">
        <f>IFERROR(__xludf.DUMMYFUNCTION("""COMPUTED_VALUE"""),"幸せは腹から満たせ")</f>
        <v>幸せは腹から満たせ</v>
      </c>
      <c r="G4395" s="20" t="str">
        <f>IFERROR(__xludf.DUMMYFUNCTION("""COMPUTED_VALUE"""),"1～3")</f>
        <v>1～3</v>
      </c>
      <c r="H4395" s="22" t="str">
        <f>IFERROR(__xludf.DUMMYFUNCTION("""COMPUTED_VALUE"""),"ひつみ")</f>
        <v>ひつみ</v>
      </c>
      <c r="I4395" s="22" t="str">
        <f>IFERROR(__xludf.DUMMYFUNCTION("""COMPUTED_VALUE"""),"女性マンガ")</f>
        <v>女性マンガ</v>
      </c>
      <c r="J4395" s="22"/>
      <c r="K4395" s="22" t="str">
        <f>IFERROR(__xludf.DUMMYFUNCTION("""COMPUTED_VALUE"""),"恋するソワレ＋,恋するソワレ")</f>
        <v>恋するソワレ＋,恋するソワレ</v>
      </c>
      <c r="L4395" s="22" t="str">
        <f>IFERROR(__xludf.DUMMYFUNCTION("""COMPUTED_VALUE"""),"シーモアコミックス")</f>
        <v>シーモアコミックス</v>
      </c>
      <c r="M4395" s="33">
        <f>IFERROR(__xludf.DUMMYFUNCTION("""COMPUTED_VALUE"""),46033.0)</f>
        <v>46033</v>
      </c>
      <c r="N4395" s="33">
        <f>IFERROR(__xludf.DUMMYFUNCTION("""COMPUTED_VALUE"""),2958465.0)</f>
        <v>2958465</v>
      </c>
      <c r="O4395" s="20"/>
      <c r="P4395" s="32" t="str">
        <f>IFERROR(__xludf.DUMMYFUNCTION("""COMPUTED_VALUE"""),"可")</f>
        <v>可</v>
      </c>
      <c r="Q4395" s="30"/>
      <c r="R4395" s="22"/>
      <c r="S4395" s="22" t="str">
        <f>IFERROR(__xludf.DUMMYFUNCTION("""COMPUTED_VALUE"""),"20251125_シーモアコミックス_幸せは腹から満たせ")</f>
        <v>20251125_シーモアコミックス_幸せは腹から満たせ</v>
      </c>
      <c r="T4395" s="22" t="str">
        <f>IFERROR(__xludf.DUMMYFUNCTION("""COMPUTED_VALUE"""),"格納済み")</f>
        <v>格納済み</v>
      </c>
      <c r="U4395" s="9" t="str">
        <f>IFERROR(__xludf.DUMMYFUNCTION("""COMPUTED_VALUE"""),"(C) ひつみ/シーモアコミックス")</f>
        <v>(C) ひつみ/シーモアコミックス</v>
      </c>
      <c r="V4395" s="8"/>
      <c r="W4395" s="8"/>
      <c r="X4395" s="8" t="str">
        <f>IFERROR(__xludf.DUMMYFUNCTION("""COMPUTED_VALUE"""),"有")</f>
        <v>有</v>
      </c>
      <c r="Y4395" s="8" t="str">
        <f>IFERROR(__xludf.DUMMYFUNCTION("""COMPUTED_VALUE"""),"2026/2/7まで1巻無料")</f>
        <v>2026/2/7まで1巻無料</v>
      </c>
      <c r="Z4395" s="7"/>
      <c r="AA4395" s="7"/>
      <c r="AB4395" s="7"/>
    </row>
    <row r="4396" ht="15.75" customHeight="1">
      <c r="A4396" s="26">
        <f>IFERROR(__xludf.DUMMYFUNCTION("""COMPUTED_VALUE"""),6946.0)</f>
        <v>6946</v>
      </c>
      <c r="B4396" s="22" t="str">
        <f>IFERROR(__xludf.DUMMYFUNCTION("""COMPUTED_VALUE"""),"確定")</f>
        <v>確定</v>
      </c>
      <c r="C4396" s="28">
        <f>IFERROR(__xludf.DUMMYFUNCTION("""COMPUTED_VALUE"""),45986.0)</f>
        <v>45986</v>
      </c>
      <c r="D4396" s="28">
        <f>IFERROR(__xludf.DUMMYFUNCTION("""COMPUTED_VALUE"""),46001.0)</f>
        <v>46001</v>
      </c>
      <c r="E4396" s="26">
        <f>IFERROR(__xludf.DUMMYFUNCTION("""COMPUTED_VALUE"""),346436.0)</f>
        <v>346436</v>
      </c>
      <c r="F4396" s="22" t="str">
        <f>IFERROR(__xludf.DUMMYFUNCTION("""COMPUTED_VALUE"""),"異世界でいちゃラブ配信しないと帰れません！〜真面目系エルフと神案件！？〜")</f>
        <v>異世界でいちゃラブ配信しないと帰れません！〜真面目系エルフと神案件！？〜</v>
      </c>
      <c r="G4396" s="20" t="str">
        <f>IFERROR(__xludf.DUMMYFUNCTION("""COMPUTED_VALUE"""),"1～2")</f>
        <v>1～2</v>
      </c>
      <c r="H4396" s="22" t="str">
        <f>IFERROR(__xludf.DUMMYFUNCTION("""COMPUTED_VALUE"""),"ぷげぶ")</f>
        <v>ぷげぶ</v>
      </c>
      <c r="I4396" s="22" t="str">
        <f>IFERROR(__xludf.DUMMYFUNCTION("""COMPUTED_VALUE"""),"BL")</f>
        <v>BL</v>
      </c>
      <c r="J4396" s="22"/>
      <c r="K4396" s="22" t="str">
        <f>IFERROR(__xludf.DUMMYFUNCTION("""COMPUTED_VALUE"""),"NuPu")</f>
        <v>NuPu</v>
      </c>
      <c r="L4396" s="22" t="str">
        <f>IFERROR(__xludf.DUMMYFUNCTION("""COMPUTED_VALUE"""),"CLLENN")</f>
        <v>CLLENN</v>
      </c>
      <c r="M4396" s="33">
        <f>IFERROR(__xludf.DUMMYFUNCTION("""COMPUTED_VALUE"""),46037.0)</f>
        <v>46037</v>
      </c>
      <c r="N4396" s="33">
        <f>IFERROR(__xludf.DUMMYFUNCTION("""COMPUTED_VALUE"""),46099.0)</f>
        <v>46099</v>
      </c>
      <c r="O4396" s="20"/>
      <c r="P4396" s="32" t="str">
        <f>IFERROR(__xludf.DUMMYFUNCTION("""COMPUTED_VALUE"""),"可")</f>
        <v>可</v>
      </c>
      <c r="Q4396" s="30" t="str">
        <f>IFERROR(__xludf.DUMMYFUNCTION("""COMPUTED_VALUE"""),"【アダルト作品扱い】")</f>
        <v>【アダルト作品扱い】</v>
      </c>
      <c r="R4396" s="22" t="str">
        <f>IFERROR(__xludf.DUMMYFUNCTION("""COMPUTED_VALUE"""),"コミットOK")</f>
        <v>コミットOK</v>
      </c>
      <c r="S4396" s="22" t="str">
        <f>IFERROR(__xludf.DUMMYFUNCTION("""COMPUTED_VALUE"""),"20251210_CLLENN_異世界でいちゃラブ配信しないと帰れません！〜真面目系エルフと神案件！？〜")</f>
        <v>20251210_CLLENN_異世界でいちゃラブ配信しないと帰れません！〜真面目系エルフと神案件！？〜</v>
      </c>
      <c r="T4396" s="22" t="str">
        <f>IFERROR(__xludf.DUMMYFUNCTION("""COMPUTED_VALUE"""),"格納済み")</f>
        <v>格納済み</v>
      </c>
      <c r="U4396" s="9" t="str">
        <f>IFERROR(__xludf.DUMMYFUNCTION("""COMPUTED_VALUE"""),"Ⓒぷげぶ/CLLENN")</f>
        <v>Ⓒぷげぶ/CLLENN</v>
      </c>
      <c r="V4396" s="8"/>
      <c r="W4396" s="8"/>
      <c r="X4396" s="8" t="str">
        <f>IFERROR(__xludf.DUMMYFUNCTION("""COMPUTED_VALUE"""),"有")</f>
        <v>有</v>
      </c>
      <c r="Y4396" s="8" t="str">
        <f>IFERROR(__xludf.DUMMYFUNCTION("""COMPUTED_VALUE"""),"P10まで")</f>
        <v>P10まで</v>
      </c>
      <c r="Z4396" s="7"/>
      <c r="AA4396" s="7"/>
      <c r="AB4396" s="7"/>
    </row>
    <row r="4397" ht="15.75" customHeight="1">
      <c r="A4397" s="26">
        <f>IFERROR(__xludf.DUMMYFUNCTION("""COMPUTED_VALUE"""),6949.0)</f>
        <v>6949</v>
      </c>
      <c r="B4397" s="22" t="str">
        <f>IFERROR(__xludf.DUMMYFUNCTION("""COMPUTED_VALUE"""),"確定")</f>
        <v>確定</v>
      </c>
      <c r="C4397" s="28">
        <f>IFERROR(__xludf.DUMMYFUNCTION("""COMPUTED_VALUE"""),45986.0)</f>
        <v>45986</v>
      </c>
      <c r="D4397" s="28">
        <f>IFERROR(__xludf.DUMMYFUNCTION("""COMPUTED_VALUE"""),46000.0)</f>
        <v>46000</v>
      </c>
      <c r="E4397" s="26">
        <f>IFERROR(__xludf.DUMMYFUNCTION("""COMPUTED_VALUE"""),346013.0)</f>
        <v>346013</v>
      </c>
      <c r="F4397" s="22" t="str">
        <f>IFERROR(__xludf.DUMMYFUNCTION("""COMPUTED_VALUE"""),"【18禁版】大好きなムチムチママ先輩はめちゃめちゃドスケベ！")</f>
        <v>【18禁版】大好きなムチムチママ先輩はめちゃめちゃドスケベ！</v>
      </c>
      <c r="G4397" s="20" t="str">
        <f>IFERROR(__xludf.DUMMYFUNCTION("""COMPUTED_VALUE"""),"1～3")</f>
        <v>1～3</v>
      </c>
      <c r="H4397" s="22" t="str">
        <f>IFERROR(__xludf.DUMMYFUNCTION("""COMPUTED_VALUE"""),"牛☆丼子┴ズップス")</f>
        <v>牛☆丼子┴ズップス</v>
      </c>
      <c r="I4397" s="22" t="str">
        <f>IFERROR(__xludf.DUMMYFUNCTION("""COMPUTED_VALUE"""),"BL")</f>
        <v>BL</v>
      </c>
      <c r="J4397" s="22">
        <f>IFERROR(__xludf.DUMMYFUNCTION("""COMPUTED_VALUE"""),1.0)</f>
        <v>1</v>
      </c>
      <c r="K4397" s="22" t="str">
        <f>IFERROR(__xludf.DUMMYFUNCTION("""COMPUTED_VALUE"""),"COMICアスティル")</f>
        <v>COMICアスティル</v>
      </c>
      <c r="L4397" s="22" t="str">
        <f>IFERROR(__xludf.DUMMYFUNCTION("""COMPUTED_VALUE"""),"ライブコミックス")</f>
        <v>ライブコミックス</v>
      </c>
      <c r="M4397" s="33">
        <f>IFERROR(__xludf.DUMMYFUNCTION("""COMPUTED_VALUE"""),46029.0)</f>
        <v>46029</v>
      </c>
      <c r="N4397" s="33">
        <f>IFERROR(__xludf.DUMMYFUNCTION("""COMPUTED_VALUE"""),46098.0)</f>
        <v>46098</v>
      </c>
      <c r="O4397" s="20"/>
      <c r="P4397" s="32" t="str">
        <f>IFERROR(__xludf.DUMMYFUNCTION("""COMPUTED_VALUE"""),"可")</f>
        <v>可</v>
      </c>
      <c r="Q4397" s="30" t="str">
        <f>IFERROR(__xludf.DUMMYFUNCTION("""COMPUTED_VALUE"""),"【アダルト作品扱い】.&lt;BR&gt;・書店BookLiveとの2社先行です")</f>
        <v>【アダルト作品扱い】.&lt;BR&gt;・書店BookLiveとの2社先行です</v>
      </c>
      <c r="R4397" s="22" t="str">
        <f>IFERROR(__xludf.DUMMYFUNCTION("""COMPUTED_VALUE"""),"コミットOK")</f>
        <v>コミットOK</v>
      </c>
      <c r="S4397" s="22" t="str">
        <f>IFERROR(__xludf.DUMMYFUNCTION("""COMPUTED_VALUE"""),"20251205_BookLive_【18禁版】大好きなムチムチママ先輩はめちゃめちゃドスケベ！")</f>
        <v>20251205_BookLive_【18禁版】大好きなムチムチママ先輩はめちゃめちゃドスケベ！</v>
      </c>
      <c r="T4397" s="22" t="str">
        <f>IFERROR(__xludf.DUMMYFUNCTION("""COMPUTED_VALUE"""),"格納済み")</f>
        <v>格納済み</v>
      </c>
      <c r="U4397" s="9" t="str">
        <f>IFERROR(__xludf.DUMMYFUNCTION("""COMPUTED_VALUE"""),"(C)牛☆丼子")</f>
        <v>(C)牛☆丼子</v>
      </c>
      <c r="V4397" s="8"/>
      <c r="W4397" s="8"/>
      <c r="X4397" s="8" t="str">
        <f>IFERROR(__xludf.DUMMYFUNCTION("""COMPUTED_VALUE"""),"有")</f>
        <v>有</v>
      </c>
      <c r="Y4397" s="8" t="str">
        <f>IFERROR(__xludf.DUMMYFUNCTION("""COMPUTED_VALUE"""),"P7まで")</f>
        <v>P7まで</v>
      </c>
      <c r="Z4397" s="7"/>
      <c r="AA4397" s="7"/>
      <c r="AB4397" s="7"/>
    </row>
    <row r="4398" ht="15.75" customHeight="1">
      <c r="A4398" s="26">
        <f>IFERROR(__xludf.DUMMYFUNCTION("""COMPUTED_VALUE"""),6958.0)</f>
        <v>6958</v>
      </c>
      <c r="B4398" s="22" t="str">
        <f>IFERROR(__xludf.DUMMYFUNCTION("""COMPUTED_VALUE"""),"確定")</f>
        <v>確定</v>
      </c>
      <c r="C4398" s="28">
        <f>IFERROR(__xludf.DUMMYFUNCTION("""COMPUTED_VALUE"""),45988.0)</f>
        <v>45988</v>
      </c>
      <c r="D4398" s="28">
        <f>IFERROR(__xludf.DUMMYFUNCTION("""COMPUTED_VALUE"""),45999.0)</f>
        <v>45999</v>
      </c>
      <c r="E4398" s="26">
        <f>IFERROR(__xludf.DUMMYFUNCTION("""COMPUTED_VALUE"""),348335.0)</f>
        <v>348335</v>
      </c>
      <c r="F4398" s="22" t="str">
        <f>IFERROR(__xludf.DUMMYFUNCTION("""COMPUTED_VALUE"""),"【単話版】八尺様とコロポックル-215cmと135cmの女子高生-")</f>
        <v>【単話版】八尺様とコロポックル-215cmと135cmの女子高生-</v>
      </c>
      <c r="G4398" s="20" t="str">
        <f>IFERROR(__xludf.DUMMYFUNCTION("""COMPUTED_VALUE"""),"1～3")</f>
        <v>1～3</v>
      </c>
      <c r="H4398" s="22" t="str">
        <f>IFERROR(__xludf.DUMMYFUNCTION("""COMPUTED_VALUE"""),"いとまん／Hiramedousa")</f>
        <v>いとまん／Hiramedousa</v>
      </c>
      <c r="I4398" s="22" t="str">
        <f>IFERROR(__xludf.DUMMYFUNCTION("""COMPUTED_VALUE"""),"青年")</f>
        <v>青年</v>
      </c>
      <c r="J4398" s="22"/>
      <c r="K4398" s="22"/>
      <c r="L4398" s="22" t="str">
        <f>IFERROR(__xludf.DUMMYFUNCTION("""COMPUTED_VALUE"""),"ジーオーティー")</f>
        <v>ジーオーティー</v>
      </c>
      <c r="M4398" s="33">
        <f>IFERROR(__xludf.DUMMYFUNCTION("""COMPUTED_VALUE"""),46023.0)</f>
        <v>46023</v>
      </c>
      <c r="N4398" s="33">
        <f>IFERROR(__xludf.DUMMYFUNCTION("""COMPUTED_VALUE"""),46081.0)</f>
        <v>46081</v>
      </c>
      <c r="O4398" s="20"/>
      <c r="P4398" s="32" t="str">
        <f>IFERROR(__xludf.DUMMYFUNCTION("""COMPUTED_VALUE"""),"可")</f>
        <v>可</v>
      </c>
      <c r="Q4398" s="30"/>
      <c r="R4398" s="22" t="str">
        <f>IFERROR(__xludf.DUMMYFUNCTION("""COMPUTED_VALUE"""),"コミットNG")</f>
        <v>コミットNG</v>
      </c>
      <c r="S4398" s="22" t="str">
        <f>IFERROR(__xludf.DUMMYFUNCTION("""COMPUTED_VALUE"""),"20251127_ジーオーティー_八尺様とコロポックル-215cmと135cmの女子高生-")</f>
        <v>20251127_ジーオーティー_八尺様とコロポックル-215cmと135cmの女子高生-</v>
      </c>
      <c r="T4398" s="22" t="str">
        <f>IFERROR(__xludf.DUMMYFUNCTION("""COMPUTED_VALUE"""),"格納済み")</f>
        <v>格納済み</v>
      </c>
      <c r="U4398" s="9" t="str">
        <f>IFERROR(__xludf.DUMMYFUNCTION("""COMPUTED_VALUE"""),"(C)いとまん／Hiramedousa／ジーオーティー")</f>
        <v>(C)いとまん／Hiramedousa／ジーオーティー</v>
      </c>
      <c r="V4398" s="8"/>
      <c r="W4398" s="8"/>
      <c r="X4398" s="8" t="str">
        <f>IFERROR(__xludf.DUMMYFUNCTION("""COMPUTED_VALUE"""),"有")</f>
        <v>有</v>
      </c>
      <c r="Y4398" s="8" t="str">
        <f>IFERROR(__xludf.DUMMYFUNCTION("""COMPUTED_VALUE"""),"P4まで")</f>
        <v>P4まで</v>
      </c>
      <c r="Z4398" s="7"/>
      <c r="AA4398" s="7"/>
      <c r="AB4398" s="7"/>
    </row>
    <row r="4399" ht="15.75" customHeight="1">
      <c r="A4399" s="26">
        <f>IFERROR(__xludf.DUMMYFUNCTION("""COMPUTED_VALUE"""),6965.0)</f>
        <v>6965</v>
      </c>
      <c r="B4399" s="22" t="str">
        <f>IFERROR(__xludf.DUMMYFUNCTION("""COMPUTED_VALUE"""),"確定")</f>
        <v>確定</v>
      </c>
      <c r="C4399" s="28">
        <f>IFERROR(__xludf.DUMMYFUNCTION("""COMPUTED_VALUE"""),45989.0)</f>
        <v>45989</v>
      </c>
      <c r="D4399" s="28">
        <f>IFERROR(__xludf.DUMMYFUNCTION("""COMPUTED_VALUE"""),45996.0)</f>
        <v>45996</v>
      </c>
      <c r="E4399" s="26">
        <f>IFERROR(__xludf.DUMMYFUNCTION("""COMPUTED_VALUE"""),334129.0)</f>
        <v>334129</v>
      </c>
      <c r="F4399" s="22" t="str">
        <f>IFERROR(__xludf.DUMMYFUNCTION("""COMPUTED_VALUE"""),"言い訳はそれだけですか？～全て彼女の手のひらの上～")</f>
        <v>言い訳はそれだけですか？～全て彼女の手のひらの上～</v>
      </c>
      <c r="G4399" s="20" t="str">
        <f>IFERROR(__xludf.DUMMYFUNCTION("""COMPUTED_VALUE"""),"1～3")</f>
        <v>1～3</v>
      </c>
      <c r="H4399" s="22" t="str">
        <f>IFERROR(__xludf.DUMMYFUNCTION("""COMPUTED_VALUE"""),"米田錦,岸田芽依")</f>
        <v>米田錦,岸田芽依</v>
      </c>
      <c r="I4399" s="22" t="str">
        <f>IFERROR(__xludf.DUMMYFUNCTION("""COMPUTED_VALUE"""),"女性マンガ")</f>
        <v>女性マンガ</v>
      </c>
      <c r="J4399" s="22"/>
      <c r="K4399" s="22" t="str">
        <f>IFERROR(__xludf.DUMMYFUNCTION("""COMPUTED_VALUE"""),"トレモア・リアルラブ,トレモアcollection")</f>
        <v>トレモア・リアルラブ,トレモアcollection</v>
      </c>
      <c r="L4399" s="22" t="str">
        <f>IFERROR(__xludf.DUMMYFUNCTION("""COMPUTED_VALUE"""),"シーモアコミックス（トレモア）")</f>
        <v>シーモアコミックス（トレモア）</v>
      </c>
      <c r="M4399" s="33">
        <f>IFERROR(__xludf.DUMMYFUNCTION("""COMPUTED_VALUE"""),46031.0)</f>
        <v>46031</v>
      </c>
      <c r="N4399" s="33">
        <f>IFERROR(__xludf.DUMMYFUNCTION("""COMPUTED_VALUE"""),2958465.0)</f>
        <v>2958465</v>
      </c>
      <c r="O4399" s="20"/>
      <c r="P4399" s="32" t="str">
        <f>IFERROR(__xludf.DUMMYFUNCTION("""COMPUTED_VALUE"""),"可")</f>
        <v>可</v>
      </c>
      <c r="Q4399" s="30"/>
      <c r="R4399" s="22"/>
      <c r="S4399" s="22" t="str">
        <f>IFERROR(__xludf.DUMMYFUNCTION("""COMPUTED_VALUE"""),"20251128_シーモアコミックス_言い訳はそれだけですか？～全て彼女の手のひらの上～")</f>
        <v>20251128_シーモアコミックス_言い訳はそれだけですか？～全て彼女の手のひらの上～</v>
      </c>
      <c r="T4399" s="22" t="str">
        <f>IFERROR(__xludf.DUMMYFUNCTION("""COMPUTED_VALUE"""),"格納済み")</f>
        <v>格納済み</v>
      </c>
      <c r="U4399" s="9" t="str">
        <f>IFERROR(__xludf.DUMMYFUNCTION("""COMPUTED_VALUE"""),"(C) 米田錦/岸田芽依/シーモアコミックス")</f>
        <v>(C) 米田錦/岸田芽依/シーモアコミックス</v>
      </c>
      <c r="V4399" s="8"/>
      <c r="W4399" s="8"/>
      <c r="X4399" s="8" t="str">
        <f>IFERROR(__xludf.DUMMYFUNCTION("""COMPUTED_VALUE"""),"有")</f>
        <v>有</v>
      </c>
      <c r="Y4399" s="8" t="str">
        <f>IFERROR(__xludf.DUMMYFUNCTION("""COMPUTED_VALUE"""),"P13まで")</f>
        <v>P13まで</v>
      </c>
      <c r="Z4399" s="7"/>
      <c r="AA4399" s="7"/>
      <c r="AB4399" s="7"/>
    </row>
    <row r="4400" ht="15.75" customHeight="1">
      <c r="A4400" s="26">
        <f>IFERROR(__xludf.DUMMYFUNCTION("""COMPUTED_VALUE"""),6966.0)</f>
        <v>6966</v>
      </c>
      <c r="B4400" s="22" t="str">
        <f>IFERROR(__xludf.DUMMYFUNCTION("""COMPUTED_VALUE"""),"確定")</f>
        <v>確定</v>
      </c>
      <c r="C4400" s="28">
        <f>IFERROR(__xludf.DUMMYFUNCTION("""COMPUTED_VALUE"""),45989.0)</f>
        <v>45989</v>
      </c>
      <c r="D4400" s="28">
        <f>IFERROR(__xludf.DUMMYFUNCTION("""COMPUTED_VALUE"""),45999.0)</f>
        <v>45999</v>
      </c>
      <c r="E4400" s="26">
        <f>IFERROR(__xludf.DUMMYFUNCTION("""COMPUTED_VALUE"""),331712.0)</f>
        <v>331712</v>
      </c>
      <c r="F4400" s="22" t="str">
        <f>IFERROR(__xludf.DUMMYFUNCTION("""COMPUTED_VALUE"""),"夫に殺されたのでやり直します──あなたに復讐するまで(フルカラー)")</f>
        <v>夫に殺されたのでやり直します──あなたに復讐するまで(フルカラー)</v>
      </c>
      <c r="G4400" s="20" t="str">
        <f>IFERROR(__xludf.DUMMYFUNCTION("""COMPUTED_VALUE"""),"1～3")</f>
        <v>1～3</v>
      </c>
      <c r="H4400" s="22" t="str">
        <f>IFERROR(__xludf.DUMMYFUNCTION("""COMPUTED_VALUE"""),"八百木,なしおや,REBEL STUDIO,黒澤景,中臣悠月,D.s.w")</f>
        <v>八百木,なしおや,REBEL STUDIO,黒澤景,中臣悠月,D.s.w</v>
      </c>
      <c r="I4400" s="22" t="str">
        <f>IFERROR(__xludf.DUMMYFUNCTION("""COMPUTED_VALUE"""),"女性マンガ")</f>
        <v>女性マンガ</v>
      </c>
      <c r="J4400" s="22"/>
      <c r="K4400" s="22" t="str">
        <f>IFERROR(__xludf.DUMMYFUNCTION("""COMPUTED_VALUE"""),"トレモア・リアルラブ,トレモアcollection")</f>
        <v>トレモア・リアルラブ,トレモアcollection</v>
      </c>
      <c r="L4400" s="22" t="str">
        <f>IFERROR(__xludf.DUMMYFUNCTION("""COMPUTED_VALUE"""),"シーモアコミックス（トレモア）")</f>
        <v>シーモアコミックス（トレモア）</v>
      </c>
      <c r="M4400" s="33">
        <f>IFERROR(__xludf.DUMMYFUNCTION("""COMPUTED_VALUE"""),46031.0)</f>
        <v>46031</v>
      </c>
      <c r="N4400" s="33">
        <f>IFERROR(__xludf.DUMMYFUNCTION("""COMPUTED_VALUE"""),2958465.0)</f>
        <v>2958465</v>
      </c>
      <c r="O4400" s="20"/>
      <c r="P4400" s="32" t="str">
        <f>IFERROR(__xludf.DUMMYFUNCTION("""COMPUTED_VALUE"""),"可")</f>
        <v>可</v>
      </c>
      <c r="Q4400" s="30"/>
      <c r="R4400" s="22"/>
      <c r="S4400" s="22" t="str">
        <f>IFERROR(__xludf.DUMMYFUNCTION("""COMPUTED_VALUE"""),"20251128_シーモアコミックス_夫に殺されたのでやり直します──あなたに復讐するまで(フルカラー)")</f>
        <v>20251128_シーモアコミックス_夫に殺されたのでやり直します──あなたに復讐するまで(フルカラー)</v>
      </c>
      <c r="T4400" s="22" t="str">
        <f>IFERROR(__xludf.DUMMYFUNCTION("""COMPUTED_VALUE"""),"格納済み")</f>
        <v>格納済み</v>
      </c>
      <c r="U4400" s="9" t="str">
        <f>IFERROR(__xludf.DUMMYFUNCTION("""COMPUTED_VALUE"""),"(C) 八百木/なしおや/REBEL STUDIO/黒澤景/中臣悠月/D.s.w/シーモアコミックス")</f>
        <v>(C) 八百木/なしおや/REBEL STUDIO/黒澤景/中臣悠月/D.s.w/シーモアコミックス</v>
      </c>
      <c r="V4400" s="8"/>
      <c r="W4400" s="8"/>
      <c r="X4400" s="8" t="str">
        <f>IFERROR(__xludf.DUMMYFUNCTION("""COMPUTED_VALUE"""),"有")</f>
        <v>有</v>
      </c>
      <c r="Y4400" s="8" t="str">
        <f>IFERROR(__xludf.DUMMYFUNCTION("""COMPUTED_VALUE"""),"P17まで")</f>
        <v>P17まで</v>
      </c>
      <c r="Z4400" s="7"/>
      <c r="AA4400" s="7"/>
      <c r="AB4400" s="7"/>
    </row>
    <row r="4401" ht="15.75" customHeight="1">
      <c r="A4401" s="26">
        <f>IFERROR(__xludf.DUMMYFUNCTION("""COMPUTED_VALUE"""),6967.0)</f>
        <v>6967</v>
      </c>
      <c r="B4401" s="22" t="str">
        <f>IFERROR(__xludf.DUMMYFUNCTION("""COMPUTED_VALUE"""),"確定")</f>
        <v>確定</v>
      </c>
      <c r="C4401" s="28">
        <f>IFERROR(__xludf.DUMMYFUNCTION("""COMPUTED_VALUE"""),45989.0)</f>
        <v>45989</v>
      </c>
      <c r="D4401" s="28">
        <f>IFERROR(__xludf.DUMMYFUNCTION("""COMPUTED_VALUE"""),45999.0)</f>
        <v>45999</v>
      </c>
      <c r="E4401" s="26">
        <f>IFERROR(__xludf.DUMMYFUNCTION("""COMPUTED_VALUE"""),334128.0)</f>
        <v>334128</v>
      </c>
      <c r="F4401" s="22" t="str">
        <f>IFERROR(__xludf.DUMMYFUNCTION("""COMPUTED_VALUE"""),"夫に殺されたのでやり直します──あなたに復讐するまで【タテヨミ】")</f>
        <v>夫に殺されたのでやり直します──あなたに復讐するまで【タテヨミ】</v>
      </c>
      <c r="G4401" s="20" t="str">
        <f>IFERROR(__xludf.DUMMYFUNCTION("""COMPUTED_VALUE"""),"1～9")</f>
        <v>1～9</v>
      </c>
      <c r="H4401" s="22" t="str">
        <f>IFERROR(__xludf.DUMMYFUNCTION("""COMPUTED_VALUE"""),"八百木,なしおや,REBEL STUDIO,黒澤景,中臣悠月,D.s.w")</f>
        <v>八百木,なしおや,REBEL STUDIO,黒澤景,中臣悠月,D.s.w</v>
      </c>
      <c r="I4401" s="22" t="str">
        <f>IFERROR(__xludf.DUMMYFUNCTION("""COMPUTED_VALUE"""),"女性マンガ")</f>
        <v>女性マンガ</v>
      </c>
      <c r="J4401" s="22"/>
      <c r="K4401" s="22" t="str">
        <f>IFERROR(__xludf.DUMMYFUNCTION("""COMPUTED_VALUE"""),"トレモア・リアルラブ,トレモアcollection")</f>
        <v>トレモア・リアルラブ,トレモアcollection</v>
      </c>
      <c r="L4401" s="22" t="str">
        <f>IFERROR(__xludf.DUMMYFUNCTION("""COMPUTED_VALUE"""),"シーモアコミックス（トレモア）")</f>
        <v>シーモアコミックス（トレモア）</v>
      </c>
      <c r="M4401" s="33">
        <f>IFERROR(__xludf.DUMMYFUNCTION("""COMPUTED_VALUE"""),46031.0)</f>
        <v>46031</v>
      </c>
      <c r="N4401" s="33">
        <f>IFERROR(__xludf.DUMMYFUNCTION("""COMPUTED_VALUE"""),2958465.0)</f>
        <v>2958465</v>
      </c>
      <c r="O4401" s="20"/>
      <c r="P4401" s="32" t="str">
        <f>IFERROR(__xludf.DUMMYFUNCTION("""COMPUTED_VALUE"""),"可")</f>
        <v>可</v>
      </c>
      <c r="Q4401" s="30" t="str">
        <f>IFERROR(__xludf.DUMMYFUNCTION("""COMPUTED_VALUE"""),"広告素材はフルカラーの方をお使いください。")</f>
        <v>広告素材はフルカラーの方をお使いください。</v>
      </c>
      <c r="R4401" s="22"/>
      <c r="S4401" s="22" t="str">
        <f>IFERROR(__xludf.DUMMYFUNCTION("""COMPUTED_VALUE"""),"20251128_シーモアコミックス_夫に殺されたのでやり直します──あなたに復讐するまで【タテヨミ】")</f>
        <v>20251128_シーモアコミックス_夫に殺されたのでやり直します──あなたに復讐するまで【タテヨミ】</v>
      </c>
      <c r="T4401" s="22" t="str">
        <f>IFERROR(__xludf.DUMMYFUNCTION("""COMPUTED_VALUE"""),"格納済み")</f>
        <v>格納済み</v>
      </c>
      <c r="U4401" s="9" t="str">
        <f>IFERROR(__xludf.DUMMYFUNCTION("""COMPUTED_VALUE"""),"(C) 八百木/なしおや/REBEL STUDIO/黒澤景/中臣悠月/D.s.w/シーモアコミックス")</f>
        <v>(C) 八百木/なしおや/REBEL STUDIO/黒澤景/中臣悠月/D.s.w/シーモアコミックス</v>
      </c>
      <c r="V4401" s="8"/>
      <c r="W4401" s="8"/>
      <c r="X4401" s="8" t="str">
        <f>IFERROR(__xludf.DUMMYFUNCTION("""COMPUTED_VALUE"""),"有")</f>
        <v>有</v>
      </c>
      <c r="Y4401" s="8" t="str">
        <f>IFERROR(__xludf.DUMMYFUNCTION("""COMPUTED_VALUE"""),"1巻無料")</f>
        <v>1巻無料</v>
      </c>
      <c r="Z4401" s="7"/>
      <c r="AA4401" s="7"/>
      <c r="AB4401" s="7"/>
    </row>
    <row r="4402" ht="15.75" customHeight="1">
      <c r="A4402" s="26">
        <f>IFERROR(__xludf.DUMMYFUNCTION("""COMPUTED_VALUE"""),6976.0)</f>
        <v>6976</v>
      </c>
      <c r="B4402" s="22" t="str">
        <f>IFERROR(__xludf.DUMMYFUNCTION("""COMPUTED_VALUE"""),"確定")</f>
        <v>確定</v>
      </c>
      <c r="C4402" s="28">
        <f>IFERROR(__xludf.DUMMYFUNCTION("""COMPUTED_VALUE"""),45992.0)</f>
        <v>45992</v>
      </c>
      <c r="D4402" s="28">
        <f>IFERROR(__xludf.DUMMYFUNCTION("""COMPUTED_VALUE"""),45996.0)</f>
        <v>45996</v>
      </c>
      <c r="E4402" s="26">
        <f>IFERROR(__xludf.DUMMYFUNCTION("""COMPUTED_VALUE"""),346887.0)</f>
        <v>346887</v>
      </c>
      <c r="F4402" s="22" t="str">
        <f>IFERROR(__xludf.DUMMYFUNCTION("""COMPUTED_VALUE"""),"妻よ、僕の恋人になってくれませんか？")</f>
        <v>妻よ、僕の恋人になってくれませんか？</v>
      </c>
      <c r="G4402" s="20" t="str">
        <f>IFERROR(__xludf.DUMMYFUNCTION("""COMPUTED_VALUE"""),"1～4")</f>
        <v>1～4</v>
      </c>
      <c r="H4402" s="22" t="str">
        <f>IFERROR(__xludf.DUMMYFUNCTION("""COMPUTED_VALUE"""),"mamaya/STUDIO ZOON")</f>
        <v>mamaya/STUDIO ZOON</v>
      </c>
      <c r="I4402" s="22" t="str">
        <f>IFERROR(__xludf.DUMMYFUNCTION("""COMPUTED_VALUE"""),"青年")</f>
        <v>青年</v>
      </c>
      <c r="J4402" s="22"/>
      <c r="K4402" s="22"/>
      <c r="L4402" s="22" t="str">
        <f>IFERROR(__xludf.DUMMYFUNCTION("""COMPUTED_VALUE"""),"STUDIO ZOON")</f>
        <v>STUDIO ZOON</v>
      </c>
      <c r="M4402" s="33">
        <f>IFERROR(__xludf.DUMMYFUNCTION("""COMPUTED_VALUE"""),46019.0)</f>
        <v>46019</v>
      </c>
      <c r="N4402" s="33">
        <f>IFERROR(__xludf.DUMMYFUNCTION("""COMPUTED_VALUE"""),46207.66666666667)</f>
        <v>46207.66667</v>
      </c>
      <c r="O4402" s="20"/>
      <c r="P4402" s="32" t="str">
        <f>IFERROR(__xludf.DUMMYFUNCTION("""COMPUTED_VALUE"""),"否")</f>
        <v>否</v>
      </c>
      <c r="Q4402" s="30"/>
      <c r="R4402" s="22"/>
      <c r="S4402" s="22" t="str">
        <f>IFERROR(__xludf.DUMMYFUNCTION("""COMPUTED_VALUE"""),"20251205_SBクリエイティブ_妻よ、僕の恋人になってくれませんか")</f>
        <v>20251205_SBクリエイティブ_妻よ、僕の恋人になってくれませんか</v>
      </c>
      <c r="T4402" s="22" t="str">
        <f>IFERROR(__xludf.DUMMYFUNCTION("""COMPUTED_VALUE"""),"格納済み")</f>
        <v>格納済み</v>
      </c>
      <c r="U4402" s="9" t="str">
        <f>IFERROR(__xludf.DUMMYFUNCTION("""COMPUTED_VALUE"""),"Ⓒ︎mamaya/STUDIO ZOON")</f>
        <v>Ⓒ︎mamaya/STUDIO ZOON</v>
      </c>
      <c r="V4402" s="8"/>
      <c r="W4402" s="8"/>
      <c r="X4402" s="8" t="str">
        <f>IFERROR(__xludf.DUMMYFUNCTION("""COMPUTED_VALUE"""),"有")</f>
        <v>有</v>
      </c>
      <c r="Y4402" s="8" t="str">
        <f>IFERROR(__xludf.DUMMYFUNCTION("""COMPUTED_VALUE"""),"1巻無料")</f>
        <v>1巻無料</v>
      </c>
      <c r="Z4402" s="7"/>
      <c r="AA4402" s="7"/>
      <c r="AB4402" s="7"/>
    </row>
    <row r="4403" ht="15.75" customHeight="1">
      <c r="A4403" s="26">
        <f>IFERROR(__xludf.DUMMYFUNCTION("""COMPUTED_VALUE"""),6994.0)</f>
        <v>6994</v>
      </c>
      <c r="B4403" s="22" t="str">
        <f>IFERROR(__xludf.DUMMYFUNCTION("""COMPUTED_VALUE"""),"確定")</f>
        <v>確定</v>
      </c>
      <c r="C4403" s="28">
        <f>IFERROR(__xludf.DUMMYFUNCTION("""COMPUTED_VALUE"""),45995.0)</f>
        <v>45995</v>
      </c>
      <c r="D4403" s="28">
        <f>IFERROR(__xludf.DUMMYFUNCTION("""COMPUTED_VALUE"""),45995.0)</f>
        <v>45995</v>
      </c>
      <c r="E4403" s="26">
        <f>IFERROR(__xludf.DUMMYFUNCTION("""COMPUTED_VALUE"""),346145.0)</f>
        <v>346145</v>
      </c>
      <c r="F4403" s="22" t="str">
        <f>IFERROR(__xludf.DUMMYFUNCTION("""COMPUTED_VALUE"""),"初めての彼女、先輩にNTRれ快楽に沈む")</f>
        <v>初めての彼女、先輩にNTRれ快楽に沈む</v>
      </c>
      <c r="G4403" s="20" t="str">
        <f>IFERROR(__xludf.DUMMYFUNCTION("""COMPUTED_VALUE"""),"1～2")</f>
        <v>1～2</v>
      </c>
      <c r="H4403" s="22" t="str">
        <f>IFERROR(__xludf.DUMMYFUNCTION("""COMPUTED_VALUE"""),"たかまりっか")</f>
        <v>たかまりっか</v>
      </c>
      <c r="I4403" s="22" t="str">
        <f>IFERROR(__xludf.DUMMYFUNCTION("""COMPUTED_VALUE"""),"アダルト")</f>
        <v>アダルト</v>
      </c>
      <c r="J4403" s="22"/>
      <c r="K4403" s="22"/>
      <c r="L4403" s="22" t="str">
        <f>IFERROR(__xludf.DUMMYFUNCTION("""COMPUTED_VALUE"""),"ナイトコミック")</f>
        <v>ナイトコミック</v>
      </c>
      <c r="M4403" s="33">
        <f>IFERROR(__xludf.DUMMYFUNCTION("""COMPUTED_VALUE"""),46038.0)</f>
        <v>46038</v>
      </c>
      <c r="N4403" s="33">
        <f>IFERROR(__xludf.DUMMYFUNCTION("""COMPUTED_VALUE"""),46093.0)</f>
        <v>46093</v>
      </c>
      <c r="O4403" s="20"/>
      <c r="P4403" s="32" t="str">
        <f>IFERROR(__xludf.DUMMYFUNCTION("""COMPUTED_VALUE"""),"可")</f>
        <v>可</v>
      </c>
      <c r="Q4403" s="30" t="str">
        <f>IFERROR(__xludf.DUMMYFUNCTION("""COMPUTED_VALUE"""),"可能な範囲で外部出稿をお願いします。&lt;BR&gt;何かあれば本間までお願いします。")</f>
        <v>可能な範囲で外部出稿をお願いします。&lt;BR&gt;何かあれば本間までお願いします。</v>
      </c>
      <c r="R4403" s="22"/>
      <c r="S4403" s="22" t="str">
        <f>IFERROR(__xludf.DUMMYFUNCTION("""COMPUTED_VALUE"""),"20251204_ナイトコミック_初めての彼女、先輩にNTRれ快楽に沈む01-02")</f>
        <v>20251204_ナイトコミック_初めての彼女、先輩にNTRれ快楽に沈む01-02</v>
      </c>
      <c r="T4403" s="22" t="str">
        <f>IFERROR(__xludf.DUMMYFUNCTION("""COMPUTED_VALUE"""),"格納済み")</f>
        <v>格納済み</v>
      </c>
      <c r="U4403" s="9" t="str">
        <f>IFERROR(__xludf.DUMMYFUNCTION("""COMPUTED_VALUE"""),"Ⓒたかまりっか")</f>
        <v>Ⓒたかまりっか</v>
      </c>
      <c r="V4403" s="8"/>
      <c r="W4403" s="8"/>
      <c r="X4403" s="8" t="str">
        <f>IFERROR(__xludf.DUMMYFUNCTION("""COMPUTED_VALUE"""),"有")</f>
        <v>有</v>
      </c>
      <c r="Y4403" s="8" t="str">
        <f>IFERROR(__xludf.DUMMYFUNCTION("""COMPUTED_VALUE"""),"P10まで")</f>
        <v>P10まで</v>
      </c>
      <c r="Z4403" s="7"/>
      <c r="AA4403" s="7"/>
      <c r="AB4403" s="7"/>
    </row>
    <row r="4404" ht="15.75" customHeight="1">
      <c r="A4404" s="26">
        <f>IFERROR(__xludf.DUMMYFUNCTION("""COMPUTED_VALUE"""),7002.0)</f>
        <v>7002</v>
      </c>
      <c r="B4404" s="22" t="str">
        <f>IFERROR(__xludf.DUMMYFUNCTION("""COMPUTED_VALUE"""),"確定")</f>
        <v>確定</v>
      </c>
      <c r="C4404" s="28">
        <f>IFERROR(__xludf.DUMMYFUNCTION("""COMPUTED_VALUE"""),45995.0)</f>
        <v>45995</v>
      </c>
      <c r="D4404" s="28">
        <f>IFERROR(__xludf.DUMMYFUNCTION("""COMPUTED_VALUE"""),46001.0)</f>
        <v>46001</v>
      </c>
      <c r="E4404" s="26">
        <f>IFERROR(__xludf.DUMMYFUNCTION("""COMPUTED_VALUE"""),346185.0)</f>
        <v>346185</v>
      </c>
      <c r="F4404" s="22" t="str">
        <f>IFERROR(__xludf.DUMMYFUNCTION("""COMPUTED_VALUE"""),"「なんで悪役になってないわけ？」義妹に陥れられた令嬢の逆転婚")</f>
        <v>「なんで悪役になってないわけ？」義妹に陥れられた令嬢の逆転婚</v>
      </c>
      <c r="G4404" s="20" t="str">
        <f>IFERROR(__xludf.DUMMYFUNCTION("""COMPUTED_VALUE"""),"1～5")</f>
        <v>1～5</v>
      </c>
      <c r="H4404" s="22" t="str">
        <f>IFERROR(__xludf.DUMMYFUNCTION("""COMPUTED_VALUE"""),"いのこざ/蜂なな子")</f>
        <v>いのこざ/蜂なな子</v>
      </c>
      <c r="I4404" s="22" t="str">
        <f>IFERROR(__xludf.DUMMYFUNCTION("""COMPUTED_VALUE"""),"女性")</f>
        <v>女性</v>
      </c>
      <c r="J4404" s="22"/>
      <c r="K4404" s="22" t="str">
        <f>IFERROR(__xludf.DUMMYFUNCTION("""COMPUTED_VALUE"""),"シーモア×hachico")</f>
        <v>シーモア×hachico</v>
      </c>
      <c r="L4404" s="22" t="str">
        <f>IFERROR(__xludf.DUMMYFUNCTION("""COMPUTED_VALUE"""),"Bevy")</f>
        <v>Bevy</v>
      </c>
      <c r="M4404" s="33">
        <f>IFERROR(__xludf.DUMMYFUNCTION("""COMPUTED_VALUE"""),46031.0)</f>
        <v>46031</v>
      </c>
      <c r="N4404" s="33">
        <f>IFERROR(__xludf.DUMMYFUNCTION("""COMPUTED_VALUE"""),46211.0)</f>
        <v>46211</v>
      </c>
      <c r="O4404" s="20"/>
      <c r="P4404" s="32" t="str">
        <f>IFERROR(__xludf.DUMMYFUNCTION("""COMPUTED_VALUE"""),"可")</f>
        <v>可</v>
      </c>
      <c r="Q4404" s="30"/>
      <c r="R4404" s="22"/>
      <c r="S4404" s="22" t="str">
        <f>IFERROR(__xludf.DUMMYFUNCTION("""COMPUTED_VALUE"""),"20251204_Bevy_なんで悪役になってないわけ？」義妹に陥れられた令嬢の逆転婚")</f>
        <v>20251204_Bevy_なんで悪役になってないわけ？」義妹に陥れられた令嬢の逆転婚</v>
      </c>
      <c r="T4404" s="22" t="str">
        <f>IFERROR(__xludf.DUMMYFUNCTION("""COMPUTED_VALUE"""),"格納済み")</f>
        <v>格納済み</v>
      </c>
      <c r="U4404" s="9" t="str">
        <f>IFERROR(__xludf.DUMMYFUNCTION("""COMPUTED_VALUE"""),"(C)INOKOZA/Nanako Hachi")</f>
        <v>(C)INOKOZA/Nanako Hachi</v>
      </c>
      <c r="V4404" s="8"/>
      <c r="W4404" s="8"/>
      <c r="X4404" s="8" t="str">
        <f>IFERROR(__xludf.DUMMYFUNCTION("""COMPUTED_VALUE"""),"有")</f>
        <v>有</v>
      </c>
      <c r="Y4404" s="8" t="str">
        <f>IFERROR(__xludf.DUMMYFUNCTION("""COMPUTED_VALUE"""),"P9まで")</f>
        <v>P9まで</v>
      </c>
      <c r="Z4404" s="7"/>
      <c r="AA4404" s="7"/>
      <c r="AB4404" s="7"/>
    </row>
    <row r="4405" ht="15.75" customHeight="1">
      <c r="A4405" s="26">
        <f>IFERROR(__xludf.DUMMYFUNCTION("""COMPUTED_VALUE"""),7004.0)</f>
        <v>7004</v>
      </c>
      <c r="B4405" s="22" t="str">
        <f>IFERROR(__xludf.DUMMYFUNCTION("""COMPUTED_VALUE"""),"確定")</f>
        <v>確定</v>
      </c>
      <c r="C4405" s="28">
        <f>IFERROR(__xludf.DUMMYFUNCTION("""COMPUTED_VALUE"""),45996.0)</f>
        <v>45996</v>
      </c>
      <c r="D4405" s="28">
        <f>IFERROR(__xludf.DUMMYFUNCTION("""COMPUTED_VALUE"""),46000.0)</f>
        <v>46000</v>
      </c>
      <c r="E4405" s="26">
        <f>IFERROR(__xludf.DUMMYFUNCTION("""COMPUTED_VALUE"""),346440.0)</f>
        <v>346440</v>
      </c>
      <c r="F4405" s="22" t="str">
        <f>IFERROR(__xludf.DUMMYFUNCTION("""COMPUTED_VALUE"""),"やってと言われただけなのに")</f>
        <v>やってと言われただけなのに</v>
      </c>
      <c r="G4405" s="20" t="str">
        <f>IFERROR(__xludf.DUMMYFUNCTION("""COMPUTED_VALUE"""),"1～3")</f>
        <v>1～3</v>
      </c>
      <c r="H4405" s="22" t="str">
        <f>IFERROR(__xludf.DUMMYFUNCTION("""COMPUTED_VALUE"""),"Seorrow/人生ご飯/wolfy")</f>
        <v>Seorrow/人生ご飯/wolfy</v>
      </c>
      <c r="I4405" s="22" t="str">
        <f>IFERROR(__xludf.DUMMYFUNCTION("""COMPUTED_VALUE"""),"青年")</f>
        <v>青年</v>
      </c>
      <c r="J4405" s="22"/>
      <c r="K4405" s="22"/>
      <c r="L4405" s="22" t="str">
        <f>IFERROR(__xludf.DUMMYFUNCTION("""COMPUTED_VALUE"""),"Rush!")</f>
        <v>Rush!</v>
      </c>
      <c r="M4405" s="33">
        <f>IFERROR(__xludf.DUMMYFUNCTION("""COMPUTED_VALUE"""),46066.0)</f>
        <v>46066</v>
      </c>
      <c r="N4405" s="33">
        <f>IFERROR(__xludf.DUMMYFUNCTION("""COMPUTED_VALUE"""),46093.0)</f>
        <v>46093</v>
      </c>
      <c r="O4405" s="20"/>
      <c r="P4405" s="32" t="str">
        <f>IFERROR(__xludf.DUMMYFUNCTION("""COMPUTED_VALUE"""),"可")</f>
        <v>可</v>
      </c>
      <c r="Q4405" s="30" t="str">
        <f>IFERROR(__xludf.DUMMYFUNCTION("""COMPUTED_VALUE"""),"【アダルト作品扱い】")</f>
        <v>【アダルト作品扱い】</v>
      </c>
      <c r="R4405" s="22"/>
      <c r="S4405" s="22" t="str">
        <f>IFERROR(__xludf.DUMMYFUNCTION("""COMPUTED_VALUE"""),"20251205_ファンギルド_やってと言われただけなのに")</f>
        <v>20251205_ファンギルド_やってと言われただけなのに</v>
      </c>
      <c r="T4405" s="22" t="str">
        <f>IFERROR(__xludf.DUMMYFUNCTION("""COMPUTED_VALUE"""),"格納済み")</f>
        <v>格納済み</v>
      </c>
      <c r="U4405" s="9" t="str">
        <f>IFERROR(__xludf.DUMMYFUNCTION("""COMPUTED_VALUE"""),"ⒸSeorrow/人生ご飯/wolfy/TOPTOON")</f>
        <v>ⒸSeorrow/人生ご飯/wolfy/TOPTOON</v>
      </c>
      <c r="V4405" s="8"/>
      <c r="W4405" s="8"/>
      <c r="X4405" s="8" t="str">
        <f>IFERROR(__xludf.DUMMYFUNCTION("""COMPUTED_VALUE"""),"有")</f>
        <v>有</v>
      </c>
      <c r="Y4405" s="8" t="str">
        <f>IFERROR(__xludf.DUMMYFUNCTION("""COMPUTED_VALUE"""),"2026/2/26まで1巻無料")</f>
        <v>2026/2/26まで1巻無料</v>
      </c>
      <c r="Z4405" s="7"/>
      <c r="AA4405" s="7"/>
      <c r="AB4405" s="7"/>
    </row>
    <row r="4406" ht="15.75" customHeight="1">
      <c r="A4406" s="26">
        <f>IFERROR(__xludf.DUMMYFUNCTION("""COMPUTED_VALUE"""),7005.0)</f>
        <v>7005</v>
      </c>
      <c r="B4406" s="22" t="str">
        <f>IFERROR(__xludf.DUMMYFUNCTION("""COMPUTED_VALUE"""),"確定")</f>
        <v>確定</v>
      </c>
      <c r="C4406" s="28">
        <f>IFERROR(__xludf.DUMMYFUNCTION("""COMPUTED_VALUE"""),45996.0)</f>
        <v>45996</v>
      </c>
      <c r="D4406" s="28">
        <f>IFERROR(__xludf.DUMMYFUNCTION("""COMPUTED_VALUE"""),46000.0)</f>
        <v>46000</v>
      </c>
      <c r="E4406" s="26">
        <f>IFERROR(__xludf.DUMMYFUNCTION("""COMPUTED_VALUE"""),346439.0)</f>
        <v>346439</v>
      </c>
      <c r="F4406" s="22" t="str">
        <f>IFERROR(__xludf.DUMMYFUNCTION("""COMPUTED_VALUE"""),"エロ×アナ！～村内放送はゼッタイです～")</f>
        <v>エロ×アナ！～村内放送はゼッタイです～</v>
      </c>
      <c r="G4406" s="20" t="str">
        <f>IFERROR(__xludf.DUMMYFUNCTION("""COMPUTED_VALUE"""),"1～3")</f>
        <v>1～3</v>
      </c>
      <c r="H4406" s="22" t="str">
        <f>IFERROR(__xludf.DUMMYFUNCTION("""COMPUTED_VALUE"""),"Bolp/アビョ4(Abyo4)")</f>
        <v>Bolp/アビョ4(Abyo4)</v>
      </c>
      <c r="I4406" s="22" t="str">
        <f>IFERROR(__xludf.DUMMYFUNCTION("""COMPUTED_VALUE"""),"青年")</f>
        <v>青年</v>
      </c>
      <c r="J4406" s="22"/>
      <c r="K4406" s="22"/>
      <c r="L4406" s="22" t="str">
        <f>IFERROR(__xludf.DUMMYFUNCTION("""COMPUTED_VALUE"""),"Rush!")</f>
        <v>Rush!</v>
      </c>
      <c r="M4406" s="33">
        <f>IFERROR(__xludf.DUMMYFUNCTION("""COMPUTED_VALUE"""),46059.0)</f>
        <v>46059</v>
      </c>
      <c r="N4406" s="33">
        <f>IFERROR(__xludf.DUMMYFUNCTION("""COMPUTED_VALUE"""),46086.0)</f>
        <v>46086</v>
      </c>
      <c r="O4406" s="20"/>
      <c r="P4406" s="32" t="str">
        <f>IFERROR(__xludf.DUMMYFUNCTION("""COMPUTED_VALUE"""),"可")</f>
        <v>可</v>
      </c>
      <c r="Q4406" s="30" t="str">
        <f>IFERROR(__xludf.DUMMYFUNCTION("""COMPUTED_VALUE"""),"【アダルト作品扱い】")</f>
        <v>【アダルト作品扱い】</v>
      </c>
      <c r="R4406" s="22"/>
      <c r="S4406" s="22" t="str">
        <f>IFERROR(__xludf.DUMMYFUNCTION("""COMPUTED_VALUE"""),"20251205_ファンギルド_エロ×アナ！～村内放送はゼッタイです～")</f>
        <v>20251205_ファンギルド_エロ×アナ！～村内放送はゼッタイです～</v>
      </c>
      <c r="T4406" s="22" t="str">
        <f>IFERROR(__xludf.DUMMYFUNCTION("""COMPUTED_VALUE"""),"格納済み")</f>
        <v>格納済み</v>
      </c>
      <c r="U4406" s="9" t="str">
        <f>IFERROR(__xludf.DUMMYFUNCTION("""COMPUTED_VALUE"""),"ⒸBolp/Abyo4/TOPTOON")</f>
        <v>ⒸBolp/Abyo4/TOPTOON</v>
      </c>
      <c r="V4406" s="8"/>
      <c r="W4406" s="8"/>
      <c r="X4406" s="8" t="str">
        <f>IFERROR(__xludf.DUMMYFUNCTION("""COMPUTED_VALUE"""),"有")</f>
        <v>有</v>
      </c>
      <c r="Y4406" s="8" t="str">
        <f>IFERROR(__xludf.DUMMYFUNCTION("""COMPUTED_VALUE"""),"2026/3/5まで1巻無料")</f>
        <v>2026/3/5まで1巻無料</v>
      </c>
      <c r="Z4406" s="7"/>
      <c r="AA4406" s="7"/>
      <c r="AB4406" s="7"/>
    </row>
    <row r="4407" ht="15.75" customHeight="1">
      <c r="A4407" s="26">
        <f>IFERROR(__xludf.DUMMYFUNCTION("""COMPUTED_VALUE"""),7006.0)</f>
        <v>7006</v>
      </c>
      <c r="B4407" s="22" t="str">
        <f>IFERROR(__xludf.DUMMYFUNCTION("""COMPUTED_VALUE"""),"確定")</f>
        <v>確定</v>
      </c>
      <c r="C4407" s="28">
        <f>IFERROR(__xludf.DUMMYFUNCTION("""COMPUTED_VALUE"""),45996.0)</f>
        <v>45996</v>
      </c>
      <c r="D4407" s="28">
        <f>IFERROR(__xludf.DUMMYFUNCTION("""COMPUTED_VALUE"""),45999.0)</f>
        <v>45999</v>
      </c>
      <c r="E4407" s="26">
        <f>IFERROR(__xludf.DUMMYFUNCTION("""COMPUTED_VALUE"""),346441.0)</f>
        <v>346441</v>
      </c>
      <c r="F4407" s="22" t="str">
        <f>IFERROR(__xludf.DUMMYFUNCTION("""COMPUTED_VALUE"""),"婦人会の掟～あなたの夫、寝取ります～")</f>
        <v>婦人会の掟～あなたの夫、寝取ります～</v>
      </c>
      <c r="G4407" s="20" t="str">
        <f>IFERROR(__xludf.DUMMYFUNCTION("""COMPUTED_VALUE"""),"1～3")</f>
        <v>1～3</v>
      </c>
      <c r="H4407" s="22" t="str">
        <f>IFERROR(__xludf.DUMMYFUNCTION("""COMPUTED_VALUE"""),"STORM/MANAFAN")</f>
        <v>STORM/MANAFAN</v>
      </c>
      <c r="I4407" s="22" t="str">
        <f>IFERROR(__xludf.DUMMYFUNCTION("""COMPUTED_VALUE"""),"青年")</f>
        <v>青年</v>
      </c>
      <c r="J4407" s="22"/>
      <c r="K4407" s="22"/>
      <c r="L4407" s="22" t="str">
        <f>IFERROR(__xludf.DUMMYFUNCTION("""COMPUTED_VALUE"""),"Rush!")</f>
        <v>Rush!</v>
      </c>
      <c r="M4407" s="33">
        <f>IFERROR(__xludf.DUMMYFUNCTION("""COMPUTED_VALUE"""),46080.0)</f>
        <v>46080</v>
      </c>
      <c r="N4407" s="33">
        <f>IFERROR(__xludf.DUMMYFUNCTION("""COMPUTED_VALUE"""),46107.0)</f>
        <v>46107</v>
      </c>
      <c r="O4407" s="20"/>
      <c r="P4407" s="32" t="str">
        <f>IFERROR(__xludf.DUMMYFUNCTION("""COMPUTED_VALUE"""),"可")</f>
        <v>可</v>
      </c>
      <c r="Q4407" s="30" t="str">
        <f>IFERROR(__xludf.DUMMYFUNCTION("""COMPUTED_VALUE"""),"【アダルト作品扱い】")</f>
        <v>【アダルト作品扱い】</v>
      </c>
      <c r="R4407" s="22"/>
      <c r="S4407" s="22" t="str">
        <f>IFERROR(__xludf.DUMMYFUNCTION("""COMPUTED_VALUE"""),"20251205_ファンギルド_婦人会の掟～あなたの夫、寝取ります～")</f>
        <v>20251205_ファンギルド_婦人会の掟～あなたの夫、寝取ります～</v>
      </c>
      <c r="T4407" s="22" t="str">
        <f>IFERROR(__xludf.DUMMYFUNCTION("""COMPUTED_VALUE"""),"格納済み")</f>
        <v>格納済み</v>
      </c>
      <c r="U4407" s="9" t="str">
        <f>IFERROR(__xludf.DUMMYFUNCTION("""COMPUTED_VALUE"""),"ⒸSTORM/MANAFAN/TOPTOON")</f>
        <v>ⒸSTORM/MANAFAN/TOPTOON</v>
      </c>
      <c r="V4407" s="8"/>
      <c r="W4407" s="8"/>
      <c r="X4407" s="8" t="str">
        <f>IFERROR(__xludf.DUMMYFUNCTION("""COMPUTED_VALUE"""),"有")</f>
        <v>有</v>
      </c>
      <c r="Y4407" s="8" t="str">
        <f>IFERROR(__xludf.DUMMYFUNCTION("""COMPUTED_VALUE"""),"2026/3/12まで1巻無料")</f>
        <v>2026/3/12まで1巻無料</v>
      </c>
      <c r="Z4407" s="7"/>
      <c r="AA4407" s="7"/>
      <c r="AB4407" s="7"/>
    </row>
    <row r="4408" ht="15.75" customHeight="1">
      <c r="A4408" s="26">
        <f>IFERROR(__xludf.DUMMYFUNCTION("""COMPUTED_VALUE"""),7007.0)</f>
        <v>7007</v>
      </c>
      <c r="B4408" s="22" t="str">
        <f>IFERROR(__xludf.DUMMYFUNCTION("""COMPUTED_VALUE"""),"確定")</f>
        <v>確定</v>
      </c>
      <c r="C4408" s="28">
        <f>IFERROR(__xludf.DUMMYFUNCTION("""COMPUTED_VALUE"""),45996.0)</f>
        <v>45996</v>
      </c>
      <c r="D4408" s="28">
        <f>IFERROR(__xludf.DUMMYFUNCTION("""COMPUTED_VALUE"""),46001.0)</f>
        <v>46001</v>
      </c>
      <c r="E4408" s="26">
        <f>IFERROR(__xludf.DUMMYFUNCTION("""COMPUTED_VALUE"""),346438.0)</f>
        <v>346438</v>
      </c>
      <c r="F4408" s="22" t="str">
        <f>IFERROR(__xludf.DUMMYFUNCTION("""COMPUTED_VALUE"""),"無能だと追放された転生魔術師は、気ままに魔術を究める")</f>
        <v>無能だと追放された転生魔術師は、気ままに魔術を究める</v>
      </c>
      <c r="G4408" s="20" t="str">
        <f>IFERROR(__xludf.DUMMYFUNCTION("""COMPUTED_VALUE"""),"1～5")</f>
        <v>1～5</v>
      </c>
      <c r="H4408" s="22" t="str">
        <f>IFERROR(__xludf.DUMMYFUNCTION("""COMPUTED_VALUE"""),"鮭/ケンノジ")</f>
        <v>鮭/ケンノジ</v>
      </c>
      <c r="I4408" s="22" t="str">
        <f>IFERROR(__xludf.DUMMYFUNCTION("""COMPUTED_VALUE"""),"青年")</f>
        <v>青年</v>
      </c>
      <c r="J4408" s="22"/>
      <c r="K4408" s="22"/>
      <c r="L4408" s="22" t="str">
        <f>IFERROR(__xludf.DUMMYFUNCTION("""COMPUTED_VALUE"""),"ファンギルド")</f>
        <v>ファンギルド</v>
      </c>
      <c r="M4408" s="33">
        <f>IFERROR(__xludf.DUMMYFUNCTION("""COMPUTED_VALUE"""),46064.0)</f>
        <v>46064</v>
      </c>
      <c r="N4408" s="33">
        <f>IFERROR(__xludf.DUMMYFUNCTION("""COMPUTED_VALUE"""),46091.0)</f>
        <v>46091</v>
      </c>
      <c r="O4408" s="20"/>
      <c r="P4408" s="32" t="str">
        <f>IFERROR(__xludf.DUMMYFUNCTION("""COMPUTED_VALUE"""),"可")</f>
        <v>可</v>
      </c>
      <c r="Q4408" s="30"/>
      <c r="R4408" s="22"/>
      <c r="S4408" s="22" t="str">
        <f>IFERROR(__xludf.DUMMYFUNCTION("""COMPUTED_VALUE"""),"20251205_ファンギルド_無能だと追放された転生魔術師は、気ままに魔術を究める")</f>
        <v>20251205_ファンギルド_無能だと追放された転生魔術師は、気ままに魔術を究める</v>
      </c>
      <c r="T4408" s="22" t="str">
        <f>IFERROR(__xludf.DUMMYFUNCTION("""COMPUTED_VALUE"""),"格納済み")</f>
        <v>格納済み</v>
      </c>
      <c r="U4408" s="9" t="str">
        <f>IFERROR(__xludf.DUMMYFUNCTION("""COMPUTED_VALUE"""),"Ⓒ鮭/ケンノジ/ファンギルド")</f>
        <v>Ⓒ鮭/ケンノジ/ファンギルド</v>
      </c>
      <c r="V4408" s="8"/>
      <c r="W4408" s="8"/>
      <c r="X4408" s="8" t="str">
        <f>IFERROR(__xludf.DUMMYFUNCTION("""COMPUTED_VALUE"""),"有")</f>
        <v>有</v>
      </c>
      <c r="Y4408" s="8" t="str">
        <f>IFERROR(__xludf.DUMMYFUNCTION("""COMPUTED_VALUE"""),"P9まで")</f>
        <v>P9まで</v>
      </c>
      <c r="Z4408" s="7"/>
      <c r="AA4408" s="7"/>
      <c r="AB4408" s="7"/>
    </row>
    <row r="4409" ht="15.75" customHeight="1">
      <c r="A4409" s="26">
        <f>IFERROR(__xludf.DUMMYFUNCTION("""COMPUTED_VALUE"""),7008.0)</f>
        <v>7008</v>
      </c>
      <c r="B4409" s="22" t="str">
        <f>IFERROR(__xludf.DUMMYFUNCTION("""COMPUTED_VALUE"""),"確定")</f>
        <v>確定</v>
      </c>
      <c r="C4409" s="28">
        <f>IFERROR(__xludf.DUMMYFUNCTION("""COMPUTED_VALUE"""),45996.0)</f>
        <v>45996</v>
      </c>
      <c r="D4409" s="28">
        <f>IFERROR(__xludf.DUMMYFUNCTION("""COMPUTED_VALUE"""),46001.0)</f>
        <v>46001</v>
      </c>
      <c r="E4409" s="26">
        <f>IFERROR(__xludf.DUMMYFUNCTION("""COMPUTED_VALUE"""),346437.0)</f>
        <v>346437</v>
      </c>
      <c r="F4409" s="22" t="str">
        <f>IFERROR(__xludf.DUMMYFUNCTION("""COMPUTED_VALUE"""),"完璧な(元)王太子妃は継母だってお手のもの！")</f>
        <v>完璧な(元)王太子妃は継母だってお手のもの！</v>
      </c>
      <c r="G4409" s="20" t="str">
        <f>IFERROR(__xludf.DUMMYFUNCTION("""COMPUTED_VALUE"""),"1～3")</f>
        <v>1～3</v>
      </c>
      <c r="H4409" s="22" t="str">
        <f>IFERROR(__xludf.DUMMYFUNCTION("""COMPUTED_VALUE"""),"北乃式/晴日青")</f>
        <v>北乃式/晴日青</v>
      </c>
      <c r="I4409" s="22" t="str">
        <f>IFERROR(__xludf.DUMMYFUNCTION("""COMPUTED_VALUE"""),"少女")</f>
        <v>少女</v>
      </c>
      <c r="J4409" s="22"/>
      <c r="K4409" s="22"/>
      <c r="L4409" s="22" t="str">
        <f>IFERROR(__xludf.DUMMYFUNCTION("""COMPUTED_VALUE"""),"ファンギルド")</f>
        <v>ファンギルド</v>
      </c>
      <c r="M4409" s="33">
        <f>IFERROR(__xludf.DUMMYFUNCTION("""COMPUTED_VALUE"""),46037.0)</f>
        <v>46037</v>
      </c>
      <c r="N4409" s="33">
        <f>IFERROR(__xludf.DUMMYFUNCTION("""COMPUTED_VALUE"""),46099.0)</f>
        <v>46099</v>
      </c>
      <c r="O4409" s="20"/>
      <c r="P4409" s="32" t="str">
        <f>IFERROR(__xludf.DUMMYFUNCTION("""COMPUTED_VALUE"""),"可")</f>
        <v>可</v>
      </c>
      <c r="Q4409" s="30"/>
      <c r="R4409" s="22"/>
      <c r="S4409" s="22" t="str">
        <f>IFERROR(__xludf.DUMMYFUNCTION("""COMPUTED_VALUE"""),"20251205_ファンギルド_完璧な(元)王太子妃は継母だってお手のもの！")</f>
        <v>20251205_ファンギルド_完璧な(元)王太子妃は継母だってお手のもの！</v>
      </c>
      <c r="T4409" s="22" t="str">
        <f>IFERROR(__xludf.DUMMYFUNCTION("""COMPUTED_VALUE"""),"格納済み")</f>
        <v>格納済み</v>
      </c>
      <c r="U4409" s="9" t="str">
        <f>IFERROR(__xludf.DUMMYFUNCTION("""COMPUTED_VALUE"""),"Ⓒ北乃式/晴日青/ファンギルド")</f>
        <v>Ⓒ北乃式/晴日青/ファンギルド</v>
      </c>
      <c r="V4409" s="8"/>
      <c r="W4409" s="8"/>
      <c r="X4409" s="8" t="str">
        <f>IFERROR(__xludf.DUMMYFUNCTION("""COMPUTED_VALUE"""),"有")</f>
        <v>有</v>
      </c>
      <c r="Y4409" s="8" t="str">
        <f>IFERROR(__xludf.DUMMYFUNCTION("""COMPUTED_VALUE"""),"P12まで")</f>
        <v>P12まで</v>
      </c>
      <c r="Z4409" s="7"/>
      <c r="AA4409" s="7"/>
      <c r="AB4409" s="7"/>
    </row>
    <row r="4410" ht="15.75" customHeight="1">
      <c r="A4410" s="26">
        <f>IFERROR(__xludf.DUMMYFUNCTION("""COMPUTED_VALUE"""),7009.0)</f>
        <v>7009</v>
      </c>
      <c r="B4410" s="22" t="str">
        <f>IFERROR(__xludf.DUMMYFUNCTION("""COMPUTED_VALUE"""),"確定")</f>
        <v>確定</v>
      </c>
      <c r="C4410" s="28">
        <f>IFERROR(__xludf.DUMMYFUNCTION("""COMPUTED_VALUE"""),45996.0)</f>
        <v>45996</v>
      </c>
      <c r="D4410" s="28">
        <f>IFERROR(__xludf.DUMMYFUNCTION("""COMPUTED_VALUE"""),46001.0)</f>
        <v>46001</v>
      </c>
      <c r="E4410" s="26">
        <f>IFERROR(__xludf.DUMMYFUNCTION("""COMPUTED_VALUE"""),346443.0)</f>
        <v>346443</v>
      </c>
      <c r="F4410" s="22" t="str">
        <f>IFERROR(__xludf.DUMMYFUNCTION("""COMPUTED_VALUE"""),"冷徹王子様の溺愛なんてお断りです！")</f>
        <v>冷徹王子様の溺愛なんてお断りです！</v>
      </c>
      <c r="G4410" s="20" t="str">
        <f>IFERROR(__xludf.DUMMYFUNCTION("""COMPUTED_VALUE"""),"1～4")</f>
        <v>1～4</v>
      </c>
      <c r="H4410" s="22" t="str">
        <f>IFERROR(__xludf.DUMMYFUNCTION("""COMPUTED_VALUE"""),"あぜか流渡/山夜みい")</f>
        <v>あぜか流渡/山夜みい</v>
      </c>
      <c r="I4410" s="22" t="str">
        <f>IFERROR(__xludf.DUMMYFUNCTION("""COMPUTED_VALUE"""),"少女")</f>
        <v>少女</v>
      </c>
      <c r="J4410" s="22"/>
      <c r="K4410" s="22"/>
      <c r="L4410" s="22" t="str">
        <f>IFERROR(__xludf.DUMMYFUNCTION("""COMPUTED_VALUE"""),"ファンギルド")</f>
        <v>ファンギルド</v>
      </c>
      <c r="M4410" s="33">
        <f>IFERROR(__xludf.DUMMYFUNCTION("""COMPUTED_VALUE"""),46058.0)</f>
        <v>46058</v>
      </c>
      <c r="N4410" s="33">
        <f>IFERROR(__xludf.DUMMYFUNCTION("""COMPUTED_VALUE"""),46113.0)</f>
        <v>46113</v>
      </c>
      <c r="O4410" s="20"/>
      <c r="P4410" s="32" t="str">
        <f>IFERROR(__xludf.DUMMYFUNCTION("""COMPUTED_VALUE"""),"可")</f>
        <v>可</v>
      </c>
      <c r="Q4410" s="30"/>
      <c r="R4410" s="22"/>
      <c r="S4410" s="22" t="str">
        <f>IFERROR(__xludf.DUMMYFUNCTION("""COMPUTED_VALUE"""),"20251205_ファンギルド_冷徹王子様の溺愛なんてお断りです！")</f>
        <v>20251205_ファンギルド_冷徹王子様の溺愛なんてお断りです！</v>
      </c>
      <c r="T4410" s="22" t="str">
        <f>IFERROR(__xludf.DUMMYFUNCTION("""COMPUTED_VALUE"""),"格納済み")</f>
        <v>格納済み</v>
      </c>
      <c r="U4410" s="9" t="str">
        <f>IFERROR(__xludf.DUMMYFUNCTION("""COMPUTED_VALUE"""),"Ⓒあぜか流渡/山夜みい/ファンギルド")</f>
        <v>Ⓒあぜか流渡/山夜みい/ファンギルド</v>
      </c>
      <c r="V4410" s="8"/>
      <c r="W4410" s="8"/>
      <c r="X4410" s="8" t="str">
        <f>IFERROR(__xludf.DUMMYFUNCTION("""COMPUTED_VALUE"""),"有")</f>
        <v>有</v>
      </c>
      <c r="Y4410" s="8" t="str">
        <f>IFERROR(__xludf.DUMMYFUNCTION("""COMPUTED_VALUE"""),"2026/2/18まで1巻無料")</f>
        <v>2026/2/18まで1巻無料</v>
      </c>
      <c r="Z4410" s="7"/>
      <c r="AA4410" s="7"/>
      <c r="AB4410" s="7"/>
    </row>
    <row r="4411" ht="15.75" customHeight="1">
      <c r="A4411" s="26">
        <f>IFERROR(__xludf.DUMMYFUNCTION("""COMPUTED_VALUE"""),7011.0)</f>
        <v>7011</v>
      </c>
      <c r="B4411" s="22" t="str">
        <f>IFERROR(__xludf.DUMMYFUNCTION("""COMPUTED_VALUE"""),"確定")</f>
        <v>確定</v>
      </c>
      <c r="C4411" s="28">
        <f>IFERROR(__xludf.DUMMYFUNCTION("""COMPUTED_VALUE"""),45996.0)</f>
        <v>45996</v>
      </c>
      <c r="D4411" s="28">
        <f>IFERROR(__xludf.DUMMYFUNCTION("""COMPUTED_VALUE"""),46001.0)</f>
        <v>46001</v>
      </c>
      <c r="E4411" s="26">
        <f>IFERROR(__xludf.DUMMYFUNCTION("""COMPUTED_VALUE"""),346572.0)</f>
        <v>346572</v>
      </c>
      <c r="F4411" s="22" t="str">
        <f>IFERROR(__xludf.DUMMYFUNCTION("""COMPUTED_VALUE"""),"極上の執着愛で甘く淫らにイかされちゃいます…っ！アンソロジーコミック")</f>
        <v>極上の執着愛で甘く淫らにイかされちゃいます…っ！アンソロジーコミック</v>
      </c>
      <c r="G4411" s="20">
        <f>IFERROR(__xludf.DUMMYFUNCTION("""COMPUTED_VALUE"""),1.0)</f>
        <v>1</v>
      </c>
      <c r="H4411" s="22" t="str">
        <f>IFERROR(__xludf.DUMMYFUNCTION("""COMPUTED_VALUE"""),"アンソロジー")</f>
        <v>アンソロジー</v>
      </c>
      <c r="I4411" s="22" t="str">
        <f>IFERROR(__xludf.DUMMYFUNCTION("""COMPUTED_VALUE"""),"TL")</f>
        <v>TL</v>
      </c>
      <c r="J4411" s="22"/>
      <c r="K4411" s="22" t="str">
        <f>IFERROR(__xludf.DUMMYFUNCTION("""COMPUTED_VALUE"""),"ラブきゅんコミック")</f>
        <v>ラブきゅんコミック</v>
      </c>
      <c r="L4411" s="22" t="str">
        <f>IFERROR(__xludf.DUMMYFUNCTION("""COMPUTED_VALUE"""),"モバイルメディアリサーチ")</f>
        <v>モバイルメディアリサーチ</v>
      </c>
      <c r="M4411" s="33">
        <f>IFERROR(__xludf.DUMMYFUNCTION("""COMPUTED_VALUE"""),46046.0)</f>
        <v>46046</v>
      </c>
      <c r="N4411" s="33">
        <f>IFERROR(__xludf.DUMMYFUNCTION("""COMPUTED_VALUE"""),46073.0)</f>
        <v>46073</v>
      </c>
      <c r="O4411" s="20"/>
      <c r="P4411" s="32" t="str">
        <f>IFERROR(__xludf.DUMMYFUNCTION("""COMPUTED_VALUE"""),"可")</f>
        <v>可</v>
      </c>
      <c r="Q4411" s="30" t="str">
        <f>IFERROR(__xludf.DUMMYFUNCTION("""COMPUTED_VALUE"""),"4作品を集めて1巻となります。&lt;BR&gt;&lt;BR&gt;・品行方正な殿下は、私の前でだけ過剰な愛を隠しきれない&lt;BR&gt;⇒Ⓒ小島きいち/四季夏果/モバイルメディアリサーチ&lt;BR&gt;&lt;BR&gt;・「ゆっくり俺を好きになりなさい」～執着騎士は私を抱いて、イかせて、甘やかす&lt;BR&gt;⇒Ⓒ芳乃カオル/直江あき/モバイルメディアリサーチ &lt;BR&gt;&lt;BR&gt;・魔性と呼ばれた伯爵令嬢は妖艶な侯爵の囚愛に堕とされる&lt;BR&gt;⇒Ⓒ美名森タンデュ/蒼琉璃/モバイルメディアリサーチ &lt;BR&gt;&lt;BR&gt;・憧れの騎士団長様に発情体質を知られたら～絶倫上司と"&amp;"秘密の契約セックスを重ねています～&lt;BR&gt;⇒Ⓒ榎維/七瀬真古都/モバイルメディアリサーチ")</f>
        <v>4作品を集めて1巻となります。&lt;BR&gt;&lt;BR&gt;・品行方正な殿下は、私の前でだけ過剰な愛を隠しきれない&lt;BR&gt;⇒Ⓒ小島きいち/四季夏果/モバイルメディアリサーチ&lt;BR&gt;&lt;BR&gt;・「ゆっくり俺を好きになりなさい」～執着騎士は私を抱いて、イかせて、甘やかす&lt;BR&gt;⇒Ⓒ芳乃カオル/直江あき/モバイルメディアリサーチ &lt;BR&gt;&lt;BR&gt;・魔性と呼ばれた伯爵令嬢は妖艶な侯爵の囚愛に堕とされる&lt;BR&gt;⇒Ⓒ美名森タンデュ/蒼琉璃/モバイルメディアリサーチ &lt;BR&gt;&lt;BR&gt;・憧れの騎士団長様に発情体質を知られたら～絶倫上司と秘密の契約セックスを重ねています～&lt;BR&gt;⇒Ⓒ榎維/七瀬真古都/モバイルメディアリサーチ</v>
      </c>
      <c r="R4411" s="22"/>
      <c r="S4411" s="22" t="str">
        <f>IFERROR(__xludf.DUMMYFUNCTION("""COMPUTED_VALUE"""),"20251205_ファンギルド_極上の執着愛で甘く淫らにイかされちゃいます…っ！アンソロジーコミック")</f>
        <v>20251205_ファンギルド_極上の執着愛で甘く淫らにイかされちゃいます…っ！アンソロジーコミック</v>
      </c>
      <c r="T4411" s="22" t="str">
        <f>IFERROR(__xludf.DUMMYFUNCTION("""COMPUTED_VALUE"""),"格納済み")</f>
        <v>格納済み</v>
      </c>
      <c r="U4411" s="9" t="str">
        <f>IFERROR(__xludf.DUMMYFUNCTION("""COMPUTED_VALUE"""),"どの画像を使用するかで異なります。備考欄に記載してます。")</f>
        <v>どの画像を使用するかで異なります。備考欄に記載してます。</v>
      </c>
      <c r="V4411" s="8"/>
      <c r="W4411" s="8"/>
      <c r="X4411" s="8" t="str">
        <f>IFERROR(__xludf.DUMMYFUNCTION("""COMPUTED_VALUE"""),"有")</f>
        <v>有</v>
      </c>
      <c r="Y4411" s="8" t="str">
        <f>IFERROR(__xludf.DUMMYFUNCTION("""COMPUTED_VALUE"""),"P20まで")</f>
        <v>P20まで</v>
      </c>
      <c r="Z4411" s="7"/>
      <c r="AA4411" s="7"/>
      <c r="AB4411" s="7"/>
    </row>
    <row r="4412" ht="15.75" customHeight="1">
      <c r="A4412" s="26">
        <f>IFERROR(__xludf.DUMMYFUNCTION("""COMPUTED_VALUE"""),7030.0)</f>
        <v>7030</v>
      </c>
      <c r="B4412" s="22" t="str">
        <f>IFERROR(__xludf.DUMMYFUNCTION("""COMPUTED_VALUE"""),"確定")</f>
        <v>確定</v>
      </c>
      <c r="C4412" s="28">
        <f>IFERROR(__xludf.DUMMYFUNCTION("""COMPUTED_VALUE"""),46000.0)</f>
        <v>46000</v>
      </c>
      <c r="D4412" s="28">
        <f>IFERROR(__xludf.DUMMYFUNCTION("""COMPUTED_VALUE"""),46000.0)</f>
        <v>46000</v>
      </c>
      <c r="E4412" s="26">
        <f>IFERROR(__xludf.DUMMYFUNCTION("""COMPUTED_VALUE"""),346791.0)</f>
        <v>346791</v>
      </c>
      <c r="F4412" s="22" t="str">
        <f>IFERROR(__xludf.DUMMYFUNCTION("""COMPUTED_VALUE"""),"かなりや異類婚姻譚")</f>
        <v>かなりや異類婚姻譚</v>
      </c>
      <c r="G4412" s="20" t="str">
        <f>IFERROR(__xludf.DUMMYFUNCTION("""COMPUTED_VALUE"""),"1～3")</f>
        <v>1～3</v>
      </c>
      <c r="H4412" s="22" t="str">
        <f>IFERROR(__xludf.DUMMYFUNCTION("""COMPUTED_VALUE"""),"漫画：真東砂波　原作：夕鷺かのう　キャラクター原案：久賀フーナ")</f>
        <v>漫画：真東砂波　原作：夕鷺かのう　キャラクター原案：久賀フーナ</v>
      </c>
      <c r="I4412" s="22" t="str">
        <f>IFERROR(__xludf.DUMMYFUNCTION("""COMPUTED_VALUE"""),"女性")</f>
        <v>女性</v>
      </c>
      <c r="J4412" s="22"/>
      <c r="K4412" s="22"/>
      <c r="L4412" s="22" t="str">
        <f>IFERROR(__xludf.DUMMYFUNCTION("""COMPUTED_VALUE"""),"集英社")</f>
        <v>集英社</v>
      </c>
      <c r="M4412" s="33">
        <f>IFERROR(__xludf.DUMMYFUNCTION("""COMPUTED_VALUE"""),46023.0)</f>
        <v>46023</v>
      </c>
      <c r="N4412" s="33">
        <f>IFERROR(__xludf.DUMMYFUNCTION("""COMPUTED_VALUE"""),46053.0)</f>
        <v>46053</v>
      </c>
      <c r="O4412" s="20"/>
      <c r="P4412" s="32" t="str">
        <f>IFERROR(__xludf.DUMMYFUNCTION("""COMPUTED_VALUE"""),"否")</f>
        <v>否</v>
      </c>
      <c r="Q4412" s="30"/>
      <c r="R4412" s="22"/>
      <c r="S4412" s="22" t="str">
        <f>IFERROR(__xludf.DUMMYFUNCTION("""COMPUTED_VALUE"""),"20251209_集英社_かなりや異類婚姻譚")</f>
        <v>20251209_集英社_かなりや異類婚姻譚</v>
      </c>
      <c r="T4412" s="22" t="str">
        <f>IFERROR(__xludf.DUMMYFUNCTION("""COMPUTED_VALUE"""),"格納済み")</f>
        <v>格納済み</v>
      </c>
      <c r="U4412" s="9" t="str">
        <f>IFERROR(__xludf.DUMMYFUNCTION("""COMPUTED_VALUE"""),"(c)真東砂波・夕鷺かのう／集英社")</f>
        <v>(c)真東砂波・夕鷺かのう／集英社</v>
      </c>
      <c r="V4412" s="8"/>
      <c r="W4412" s="8"/>
      <c r="X4412" s="8" t="str">
        <f>IFERROR(__xludf.DUMMYFUNCTION("""COMPUTED_VALUE"""),"有")</f>
        <v>有</v>
      </c>
      <c r="Y4412" s="8" t="str">
        <f>IFERROR(__xludf.DUMMYFUNCTION("""COMPUTED_VALUE"""),"P14まで")</f>
        <v>P14まで</v>
      </c>
      <c r="Z4412" s="7"/>
      <c r="AA4412" s="7"/>
      <c r="AB4412" s="7"/>
    </row>
    <row r="4413" ht="15.75" customHeight="1">
      <c r="A4413" s="26">
        <f>IFERROR(__xludf.DUMMYFUNCTION("""COMPUTED_VALUE"""),7031.0)</f>
        <v>7031</v>
      </c>
      <c r="B4413" s="22" t="str">
        <f>IFERROR(__xludf.DUMMYFUNCTION("""COMPUTED_VALUE"""),"確定")</f>
        <v>確定</v>
      </c>
      <c r="C4413" s="28">
        <f>IFERROR(__xludf.DUMMYFUNCTION("""COMPUTED_VALUE"""),46000.0)</f>
        <v>46000</v>
      </c>
      <c r="D4413" s="28">
        <f>IFERROR(__xludf.DUMMYFUNCTION("""COMPUTED_VALUE"""),46000.0)</f>
        <v>46000</v>
      </c>
      <c r="E4413" s="26">
        <f>IFERROR(__xludf.DUMMYFUNCTION("""COMPUTED_VALUE"""),346947.0)</f>
        <v>346947</v>
      </c>
      <c r="F4413" s="22" t="str">
        <f>IFERROR(__xludf.DUMMYFUNCTION("""COMPUTED_VALUE"""),"倫理をなくした女たち")</f>
        <v>倫理をなくした女たち</v>
      </c>
      <c r="G4413" s="20" t="str">
        <f>IFERROR(__xludf.DUMMYFUNCTION("""COMPUTED_VALUE"""),"1～3")</f>
        <v>1～3</v>
      </c>
      <c r="H4413" s="22" t="str">
        <f>IFERROR(__xludf.DUMMYFUNCTION("""COMPUTED_VALUE"""),"漫画：月島珊瑚／原作：さいマサ（エブリスタ）")</f>
        <v>漫画：月島珊瑚／原作：さいマサ（エブリスタ）</v>
      </c>
      <c r="I4413" s="22" t="str">
        <f>IFERROR(__xludf.DUMMYFUNCTION("""COMPUTED_VALUE"""),"少女")</f>
        <v>少女</v>
      </c>
      <c r="J4413" s="22"/>
      <c r="K4413" s="22"/>
      <c r="L4413" s="22" t="str">
        <f>IFERROR(__xludf.DUMMYFUNCTION("""COMPUTED_VALUE"""),"集英社")</f>
        <v>集英社</v>
      </c>
      <c r="M4413" s="33">
        <f>IFERROR(__xludf.DUMMYFUNCTION("""COMPUTED_VALUE"""),46030.0)</f>
        <v>46030</v>
      </c>
      <c r="N4413" s="33">
        <f>IFERROR(__xludf.DUMMYFUNCTION("""COMPUTED_VALUE"""),46088.70833333333)</f>
        <v>46088.70833</v>
      </c>
      <c r="O4413" s="20"/>
      <c r="P4413" s="32" t="str">
        <f>IFERROR(__xludf.DUMMYFUNCTION("""COMPUTED_VALUE"""),"否")</f>
        <v>否</v>
      </c>
      <c r="Q4413" s="30"/>
      <c r="R4413" s="22"/>
      <c r="S4413" s="22" t="str">
        <f>IFERROR(__xludf.DUMMYFUNCTION("""COMPUTED_VALUE"""),"20251209_集英社_倫理をなくした女たち")</f>
        <v>20251209_集英社_倫理をなくした女たち</v>
      </c>
      <c r="T4413" s="22" t="str">
        <f>IFERROR(__xludf.DUMMYFUNCTION("""COMPUTED_VALUE"""),"格納済み")</f>
        <v>格納済み</v>
      </c>
      <c r="U4413" s="9" t="str">
        <f>IFERROR(__xludf.DUMMYFUNCTION("""COMPUTED_VALUE"""),"(c)月島珊瑚・さいマサ（エブリスタ）／集英社")</f>
        <v>(c)月島珊瑚・さいマサ（エブリスタ）／集英社</v>
      </c>
      <c r="V4413" s="8"/>
      <c r="W4413" s="8"/>
      <c r="X4413" s="8" t="str">
        <f>IFERROR(__xludf.DUMMYFUNCTION("""COMPUTED_VALUE"""),"有")</f>
        <v>有</v>
      </c>
      <c r="Y4413" s="8" t="str">
        <f>IFERROR(__xludf.DUMMYFUNCTION("""COMPUTED_VALUE"""),"P10まで")</f>
        <v>P10まで</v>
      </c>
      <c r="Z4413" s="7"/>
      <c r="AA4413" s="7"/>
      <c r="AB4413" s="7"/>
    </row>
    <row r="4414" ht="15.75" customHeight="1">
      <c r="A4414" s="26">
        <f>IFERROR(__xludf.DUMMYFUNCTION("""COMPUTED_VALUE"""),7034.0)</f>
        <v>7034</v>
      </c>
      <c r="B4414" s="22" t="str">
        <f>IFERROR(__xludf.DUMMYFUNCTION("""COMPUTED_VALUE"""),"確定")</f>
        <v>確定</v>
      </c>
      <c r="C4414" s="28">
        <f>IFERROR(__xludf.DUMMYFUNCTION("""COMPUTED_VALUE"""),46000.0)</f>
        <v>46000</v>
      </c>
      <c r="D4414" s="28">
        <f>IFERROR(__xludf.DUMMYFUNCTION("""COMPUTED_VALUE"""),46001.0)</f>
        <v>46001</v>
      </c>
      <c r="E4414" s="26">
        <f>IFERROR(__xludf.DUMMYFUNCTION("""COMPUTED_VALUE"""),346241.0)</f>
        <v>346241</v>
      </c>
      <c r="F4414" s="22" t="str">
        <f>IFERROR(__xludf.DUMMYFUNCTION("""COMPUTED_VALUE"""),"非モテの僕にこんな誘い断れるはずがない")</f>
        <v>非モテの僕にこんな誘い断れるはずがない</v>
      </c>
      <c r="G4414" s="20" t="str">
        <f>IFERROR(__xludf.DUMMYFUNCTION("""COMPUTED_VALUE"""),"1～2")</f>
        <v>1～2</v>
      </c>
      <c r="H4414" s="22" t="str">
        <f>IFERROR(__xludf.DUMMYFUNCTION("""COMPUTED_VALUE"""),"ゆるっとポケット")</f>
        <v>ゆるっとポケット</v>
      </c>
      <c r="I4414" s="22" t="str">
        <f>IFERROR(__xludf.DUMMYFUNCTION("""COMPUTED_VALUE"""),"アダルト")</f>
        <v>アダルト</v>
      </c>
      <c r="J4414" s="22"/>
      <c r="K4414" s="22"/>
      <c r="L4414" s="22" t="str">
        <f>IFERROR(__xludf.DUMMYFUNCTION("""COMPUTED_VALUE"""),"ナイトコミック")</f>
        <v>ナイトコミック</v>
      </c>
      <c r="M4414" s="33">
        <f>IFERROR(__xludf.DUMMYFUNCTION("""COMPUTED_VALUE"""),46045.0)</f>
        <v>46045</v>
      </c>
      <c r="N4414" s="33">
        <f>IFERROR(__xludf.DUMMYFUNCTION("""COMPUTED_VALUE"""),46100.0)</f>
        <v>46100</v>
      </c>
      <c r="O4414" s="20"/>
      <c r="P4414" s="32" t="str">
        <f>IFERROR(__xludf.DUMMYFUNCTION("""COMPUTED_VALUE"""),"可")</f>
        <v>可</v>
      </c>
      <c r="Q4414" s="30"/>
      <c r="R4414" s="22"/>
      <c r="S4414" s="22" t="str">
        <f>IFERROR(__xludf.DUMMYFUNCTION("""COMPUTED_VALUE"""),"20251210_ナイトコミック_非モテの僕にこんな誘い断れるはずがない")</f>
        <v>20251210_ナイトコミック_非モテの僕にこんな誘い断れるはずがない</v>
      </c>
      <c r="T4414" s="22" t="str">
        <f>IFERROR(__xludf.DUMMYFUNCTION("""COMPUTED_VALUE"""),"格納済み")</f>
        <v>格納済み</v>
      </c>
      <c r="U4414" s="9" t="str">
        <f>IFERROR(__xludf.DUMMYFUNCTION("""COMPUTED_VALUE"""),"Ⓒゆるっとポケット")</f>
        <v>Ⓒゆるっとポケット</v>
      </c>
      <c r="V4414" s="8"/>
      <c r="W4414" s="8"/>
      <c r="X4414" s="8" t="str">
        <f>IFERROR(__xludf.DUMMYFUNCTION("""COMPUTED_VALUE"""),"有")</f>
        <v>有</v>
      </c>
      <c r="Y4414" s="8" t="str">
        <f>IFERROR(__xludf.DUMMYFUNCTION("""COMPUTED_VALUE"""),"P10まで")</f>
        <v>P10まで</v>
      </c>
      <c r="Z4414" s="7"/>
      <c r="AA4414" s="7"/>
      <c r="AB4414" s="7"/>
    </row>
    <row r="4415" ht="15.75" customHeight="1">
      <c r="A4415" s="26">
        <f>IFERROR(__xludf.DUMMYFUNCTION("""COMPUTED_VALUE"""),6530.0)</f>
        <v>6530</v>
      </c>
      <c r="B4415" s="22" t="str">
        <f>IFERROR(__xludf.DUMMYFUNCTION("""COMPUTED_VALUE"""),"確定")</f>
        <v>確定</v>
      </c>
      <c r="C4415" s="28">
        <f>IFERROR(__xludf.DUMMYFUNCTION("""COMPUTED_VALUE"""),45919.0)</f>
        <v>45919</v>
      </c>
      <c r="D4415" s="28">
        <f>IFERROR(__xludf.DUMMYFUNCTION("""COMPUTED_VALUE"""),46008.0)</f>
        <v>46008</v>
      </c>
      <c r="E4415" s="26">
        <f>IFERROR(__xludf.DUMMYFUNCTION("""COMPUTED_VALUE"""),347590.0)</f>
        <v>347590</v>
      </c>
      <c r="F4415" s="22" t="str">
        <f>IFERROR(__xludf.DUMMYFUNCTION("""COMPUTED_VALUE"""),"二人一組になってください（コミック） 分冊版")</f>
        <v>二人一組になってください（コミック） 分冊版</v>
      </c>
      <c r="G4415" s="20" t="str">
        <f>IFERROR(__xludf.DUMMYFUNCTION("""COMPUTED_VALUE"""),"1～4")</f>
        <v>1～4</v>
      </c>
      <c r="H4415" s="22" t="str">
        <f>IFERROR(__xludf.DUMMYFUNCTION("""COMPUTED_VALUE"""),"月島綾,木爾チレン")</f>
        <v>月島綾,木爾チレン</v>
      </c>
      <c r="I4415" s="22" t="str">
        <f>IFERROR(__xludf.DUMMYFUNCTION("""COMPUTED_VALUE"""),"女性")</f>
        <v>女性</v>
      </c>
      <c r="J4415" s="22"/>
      <c r="K4415" s="22" t="str">
        <f>IFERROR(__xludf.DUMMYFUNCTION("""COMPUTED_VALUE"""),"KoiYui（恋結）")</f>
        <v>KoiYui（恋結）</v>
      </c>
      <c r="L4415" s="22" t="str">
        <f>IFERROR(__xludf.DUMMYFUNCTION("""COMPUTED_VALUE"""),"双葉社")</f>
        <v>双葉社</v>
      </c>
      <c r="M4415" s="33">
        <f>IFERROR(__xludf.DUMMYFUNCTION("""COMPUTED_VALUE"""),46037.0)</f>
        <v>46037</v>
      </c>
      <c r="N4415" s="33">
        <f>IFERROR(__xludf.DUMMYFUNCTION("""COMPUTED_VALUE"""),46095.0)</f>
        <v>46095</v>
      </c>
      <c r="O4415" s="20"/>
      <c r="P4415" s="32" t="str">
        <f>IFERROR(__xludf.DUMMYFUNCTION("""COMPUTED_VALUE"""),"可")</f>
        <v>可</v>
      </c>
      <c r="Q4415" s="30" t="str">
        <f>IFERROR(__xludf.DUMMYFUNCTION("""COMPUTED_VALUE"""),"格納素材をそれぞれ2分割して初回1~4話として配信します。&lt;BR&gt;「perfect crime」「unlock」などヒット作品を書いている先生の新作です。")</f>
        <v>格納素材をそれぞれ2分割して初回1~4話として配信します。&lt;BR&gt;「perfect crime」「unlock」などヒット作品を書いている先生の新作です。</v>
      </c>
      <c r="R4415" s="22" t="str">
        <f>IFERROR(__xludf.DUMMYFUNCTION("""COMPUTED_VALUE"""),"コミットOK")</f>
        <v>コミットOK</v>
      </c>
      <c r="S4415" s="22" t="str">
        <f>IFERROR(__xludf.DUMMYFUNCTION("""COMPUTED_VALUE"""),"20251217_双葉社_二人一組になってください（コミック） 分冊版")</f>
        <v>20251217_双葉社_二人一組になってください（コミック） 分冊版</v>
      </c>
      <c r="T4415" s="22" t="str">
        <f>IFERROR(__xludf.DUMMYFUNCTION("""COMPUTED_VALUE"""),"格納済み")</f>
        <v>格納済み</v>
      </c>
      <c r="U4415" s="9" t="str">
        <f>IFERROR(__xludf.DUMMYFUNCTION("""COMPUTED_VALUE"""),"Ⓒ月島綾・木爾チレン/双葉社")</f>
        <v>Ⓒ月島綾・木爾チレン/双葉社</v>
      </c>
      <c r="V4415" s="8"/>
      <c r="W4415" s="8"/>
      <c r="X4415" s="8" t="str">
        <f>IFERROR(__xludf.DUMMYFUNCTION("""COMPUTED_VALUE"""),"有")</f>
        <v>有</v>
      </c>
      <c r="Y4415" s="8" t="str">
        <f>IFERROR(__xludf.DUMMYFUNCTION("""COMPUTED_VALUE"""),"P8まで")</f>
        <v>P8まで</v>
      </c>
      <c r="Z4415" s="7"/>
      <c r="AA4415" s="7"/>
      <c r="AB4415" s="7"/>
    </row>
    <row r="4416" ht="15.75" customHeight="1">
      <c r="A4416" s="26">
        <f>IFERROR(__xludf.DUMMYFUNCTION("""COMPUTED_VALUE"""),6624.0)</f>
        <v>6624</v>
      </c>
      <c r="B4416" s="22" t="str">
        <f>IFERROR(__xludf.DUMMYFUNCTION("""COMPUTED_VALUE"""),"確定")</f>
        <v>確定</v>
      </c>
      <c r="C4416" s="28">
        <f>IFERROR(__xludf.DUMMYFUNCTION("""COMPUTED_VALUE"""),45938.0)</f>
        <v>45938</v>
      </c>
      <c r="D4416" s="28">
        <f>IFERROR(__xludf.DUMMYFUNCTION("""COMPUTED_VALUE"""),46008.0)</f>
        <v>46008</v>
      </c>
      <c r="E4416" s="26">
        <f>IFERROR(__xludf.DUMMYFUNCTION("""COMPUTED_VALUE"""),347593.0)</f>
        <v>347593</v>
      </c>
      <c r="F4416" s="22" t="str">
        <f>IFERROR(__xludf.DUMMYFUNCTION("""COMPUTED_VALUE"""),"眼下は昏い京王線です（コミック） 分冊版")</f>
        <v>眼下は昏い京王線です（コミック） 分冊版</v>
      </c>
      <c r="G4416" s="20" t="str">
        <f>IFERROR(__xludf.DUMMYFUNCTION("""COMPUTED_VALUE"""),"1～5")</f>
        <v>1～5</v>
      </c>
      <c r="H4416" s="22" t="str">
        <f>IFERROR(__xludf.DUMMYFUNCTION("""COMPUTED_VALUE"""),"tom等・芦花公園")</f>
        <v>tom等・芦花公園</v>
      </c>
      <c r="I4416" s="22" t="str">
        <f>IFERROR(__xludf.DUMMYFUNCTION("""COMPUTED_VALUE"""),"青年")</f>
        <v>青年</v>
      </c>
      <c r="J4416" s="22"/>
      <c r="K4416" s="22" t="str">
        <f>IFERROR(__xludf.DUMMYFUNCTION("""COMPUTED_VALUE"""),"アクションコミックス")</f>
        <v>アクションコミックス</v>
      </c>
      <c r="L4416" s="22" t="str">
        <f>IFERROR(__xludf.DUMMYFUNCTION("""COMPUTED_VALUE"""),"双葉社")</f>
        <v>双葉社</v>
      </c>
      <c r="M4416" s="33">
        <f>IFERROR(__xludf.DUMMYFUNCTION("""COMPUTED_VALUE"""),46052.0)</f>
        <v>46052</v>
      </c>
      <c r="N4416" s="33">
        <f>IFERROR(__xludf.DUMMYFUNCTION("""COMPUTED_VALUE"""),46110.0)</f>
        <v>46110</v>
      </c>
      <c r="O4416" s="20"/>
      <c r="P4416" s="32" t="str">
        <f>IFERROR(__xludf.DUMMYFUNCTION("""COMPUTED_VALUE"""),"可")</f>
        <v>可</v>
      </c>
      <c r="Q4416" s="30" t="str">
        <f>IFERROR(__xludf.DUMMYFUNCTION("""COMPUTED_VALUE"""),"1~4話までの素材で広告制作お願いいたします。")</f>
        <v>1~4話までの素材で広告制作お願いいたします。</v>
      </c>
      <c r="R4416" s="22" t="str">
        <f>IFERROR(__xludf.DUMMYFUNCTION("""COMPUTED_VALUE"""),"コミットOK")</f>
        <v>コミットOK</v>
      </c>
      <c r="S4416" s="22" t="str">
        <f>IFERROR(__xludf.DUMMYFUNCTION("""COMPUTED_VALUE"""),"20251216_双葉社_眼下は昏い京王線です（コミック） 分冊版")</f>
        <v>20251216_双葉社_眼下は昏い京王線です（コミック） 分冊版</v>
      </c>
      <c r="T4416" s="22" t="str">
        <f>IFERROR(__xludf.DUMMYFUNCTION("""COMPUTED_VALUE"""),"格納済み")</f>
        <v>格納済み</v>
      </c>
      <c r="U4416" s="9" t="str">
        <f>IFERROR(__xludf.DUMMYFUNCTION("""COMPUTED_VALUE"""),"Ⓒtom等・芦花公園/双葉社")</f>
        <v>Ⓒtom等・芦花公園/双葉社</v>
      </c>
      <c r="V4416" s="8"/>
      <c r="W4416" s="8"/>
      <c r="X4416" s="8" t="str">
        <f>IFERROR(__xludf.DUMMYFUNCTION("""COMPUTED_VALUE"""),"有")</f>
        <v>有</v>
      </c>
      <c r="Y4416" s="8" t="str">
        <f>IFERROR(__xludf.DUMMYFUNCTION("""COMPUTED_VALUE"""),"P9まで")</f>
        <v>P9まで</v>
      </c>
      <c r="Z4416" s="7"/>
      <c r="AA4416" s="7"/>
      <c r="AB4416" s="7"/>
    </row>
    <row r="4417" ht="15.75" customHeight="1">
      <c r="A4417" s="26">
        <f>IFERROR(__xludf.DUMMYFUNCTION("""COMPUTED_VALUE"""),6655.0)</f>
        <v>6655</v>
      </c>
      <c r="B4417" s="22" t="str">
        <f>IFERROR(__xludf.DUMMYFUNCTION("""COMPUTED_VALUE"""),"確定")</f>
        <v>確定</v>
      </c>
      <c r="C4417" s="28">
        <f>IFERROR(__xludf.DUMMYFUNCTION("""COMPUTED_VALUE"""),45945.0)</f>
        <v>45945</v>
      </c>
      <c r="D4417" s="28">
        <f>IFERROR(__xludf.DUMMYFUNCTION("""COMPUTED_VALUE"""),46008.0)</f>
        <v>46008</v>
      </c>
      <c r="E4417" s="26">
        <f>IFERROR(__xludf.DUMMYFUNCTION("""COMPUTED_VALUE"""),346430.0)</f>
        <v>346430</v>
      </c>
      <c r="F4417" s="22" t="str">
        <f>IFERROR(__xludf.DUMMYFUNCTION("""COMPUTED_VALUE"""),"嫌って言っても、抱かれる運命。")</f>
        <v>嫌って言っても、抱かれる運命。</v>
      </c>
      <c r="G4417" s="20" t="str">
        <f>IFERROR(__xludf.DUMMYFUNCTION("""COMPUTED_VALUE"""),"1～2")</f>
        <v>1～2</v>
      </c>
      <c r="H4417" s="22" t="str">
        <f>IFERROR(__xludf.DUMMYFUNCTION("""COMPUTED_VALUE"""),"藤間みお")</f>
        <v>藤間みお</v>
      </c>
      <c r="I4417" s="22" t="str">
        <f>IFERROR(__xludf.DUMMYFUNCTION("""COMPUTED_VALUE"""),"BLマンガ")</f>
        <v>BLマンガ</v>
      </c>
      <c r="J4417" s="22"/>
      <c r="K4417" s="22" t="str">
        <f>IFERROR(__xludf.DUMMYFUNCTION("""COMPUTED_VALUE"""),"NuPu")</f>
        <v>NuPu</v>
      </c>
      <c r="L4417" s="22" t="str">
        <f>IFERROR(__xludf.DUMMYFUNCTION("""COMPUTED_VALUE"""),"CLLENN")</f>
        <v>CLLENN</v>
      </c>
      <c r="M4417" s="33">
        <f>IFERROR(__xludf.DUMMYFUNCTION("""COMPUTED_VALUE"""),46037.0)</f>
        <v>46037</v>
      </c>
      <c r="N4417" s="33">
        <f>IFERROR(__xludf.DUMMYFUNCTION("""COMPUTED_VALUE"""),46099.0)</f>
        <v>46099</v>
      </c>
      <c r="O4417" s="20"/>
      <c r="P4417" s="32" t="str">
        <f>IFERROR(__xludf.DUMMYFUNCTION("""COMPUTED_VALUE"""),"可")</f>
        <v>可</v>
      </c>
      <c r="Q4417" s="30" t="str">
        <f>IFERROR(__xludf.DUMMYFUNCTION("""COMPUTED_VALUE"""),"【アダルト作品扱い】&lt;BR&gt;")</f>
        <v>【アダルト作品扱い】&lt;BR&gt;</v>
      </c>
      <c r="R4417" s="22" t="str">
        <f>IFERROR(__xludf.DUMMYFUNCTION("""COMPUTED_VALUE"""),"コミットNG")</f>
        <v>コミットNG</v>
      </c>
      <c r="S4417" s="22" t="str">
        <f>IFERROR(__xludf.DUMMYFUNCTION("""COMPUTED_VALUE"""),"20251215_CLLENN_嫌って言っても、抱かれる運命。")</f>
        <v>20251215_CLLENN_嫌って言っても、抱かれる運命。</v>
      </c>
      <c r="T4417" s="22" t="str">
        <f>IFERROR(__xludf.DUMMYFUNCTION("""COMPUTED_VALUE"""),"格納済み")</f>
        <v>格納済み</v>
      </c>
      <c r="U4417" s="9" t="str">
        <f>IFERROR(__xludf.DUMMYFUNCTION("""COMPUTED_VALUE"""),"Ⓒ藤間みお/CLLENN")</f>
        <v>Ⓒ藤間みお/CLLENN</v>
      </c>
      <c r="V4417" s="8"/>
      <c r="W4417" s="8"/>
      <c r="X4417" s="8" t="str">
        <f>IFERROR(__xludf.DUMMYFUNCTION("""COMPUTED_VALUE"""),"有")</f>
        <v>有</v>
      </c>
      <c r="Y4417" s="8" t="str">
        <f>IFERROR(__xludf.DUMMYFUNCTION("""COMPUTED_VALUE"""),"P10まで")</f>
        <v>P10まで</v>
      </c>
      <c r="Z4417" s="7"/>
      <c r="AA4417" s="7"/>
      <c r="AB4417" s="7"/>
    </row>
    <row r="4418" ht="15.75" customHeight="1">
      <c r="A4418" s="26">
        <f>IFERROR(__xludf.DUMMYFUNCTION("""COMPUTED_VALUE"""),6694.0)</f>
        <v>6694</v>
      </c>
      <c r="B4418" s="22" t="str">
        <f>IFERROR(__xludf.DUMMYFUNCTION("""COMPUTED_VALUE"""),"確定")</f>
        <v>確定</v>
      </c>
      <c r="C4418" s="28">
        <f>IFERROR(__xludf.DUMMYFUNCTION("""COMPUTED_VALUE"""),45947.0)</f>
        <v>45947</v>
      </c>
      <c r="D4418" s="28">
        <f>IFERROR(__xludf.DUMMYFUNCTION("""COMPUTED_VALUE"""),46008.0)</f>
        <v>46008</v>
      </c>
      <c r="E4418" s="26">
        <f>IFERROR(__xludf.DUMMYFUNCTION("""COMPUTED_VALUE"""),346132.0)</f>
        <v>346132</v>
      </c>
      <c r="F4418" s="22" t="str">
        <f>IFERROR(__xludf.DUMMYFUNCTION("""COMPUTED_VALUE"""),"契約は血と恋の香り～女嫌いの吸血大公様は、没落令嬢にご執心～")</f>
        <v>契約は血と恋の香り～女嫌いの吸血大公様は、没落令嬢にご執心～</v>
      </c>
      <c r="G4418" s="20" t="str">
        <f>IFERROR(__xludf.DUMMYFUNCTION("""COMPUTED_VALUE"""),"1～2")</f>
        <v>1～2</v>
      </c>
      <c r="H4418" s="22" t="str">
        <f>IFERROR(__xludf.DUMMYFUNCTION("""COMPUTED_VALUE"""),"原作：編乃肌　作画：犬茶きょー")</f>
        <v>原作：編乃肌　作画：犬茶きょー</v>
      </c>
      <c r="I4418" s="22" t="str">
        <f>IFERROR(__xludf.DUMMYFUNCTION("""COMPUTED_VALUE"""),"女性")</f>
        <v>女性</v>
      </c>
      <c r="J4418" s="22"/>
      <c r="K4418" s="22"/>
      <c r="L4418" s="22" t="str">
        <f>IFERROR(__xludf.DUMMYFUNCTION("""COMPUTED_VALUE"""),"一迅社")</f>
        <v>一迅社</v>
      </c>
      <c r="M4418" s="33">
        <f>IFERROR(__xludf.DUMMYFUNCTION("""COMPUTED_VALUE"""),46038.0)</f>
        <v>46038</v>
      </c>
      <c r="N4418" s="33">
        <f>IFERROR(__xludf.DUMMYFUNCTION("""COMPUTED_VALUE"""),46072.0)</f>
        <v>46072</v>
      </c>
      <c r="O4418" s="20"/>
      <c r="P4418" s="32" t="str">
        <f>IFERROR(__xludf.DUMMYFUNCTION("""COMPUTED_VALUE"""),"否")</f>
        <v>否</v>
      </c>
      <c r="Q4418" s="30"/>
      <c r="R4418" s="22"/>
      <c r="S4418" s="22" t="str">
        <f>IFERROR(__xludf.DUMMYFUNCTION("""COMPUTED_VALUE"""),"20251215_一迅社_天才悪女は嘘を見破る契約は血と恋の香り～女嫌いの吸血大公様は、没落令嬢にご執心～")</f>
        <v>20251215_一迅社_天才悪女は嘘を見破る契約は血と恋の香り～女嫌いの吸血大公様は、没落令嬢にご執心～</v>
      </c>
      <c r="T4418" s="22" t="str">
        <f>IFERROR(__xludf.DUMMYFUNCTION("""COMPUTED_VALUE"""),"格納済み")</f>
        <v>格納済み</v>
      </c>
      <c r="U4418" s="9" t="str">
        <f>IFERROR(__xludf.DUMMYFUNCTION("""COMPUTED_VALUE"""),"(C)編乃肌・犬茶きょー／一迅社")</f>
        <v>(C)編乃肌・犬茶きょー／一迅社</v>
      </c>
      <c r="V4418" s="8"/>
      <c r="W4418" s="8"/>
      <c r="X4418" s="8" t="str">
        <f>IFERROR(__xludf.DUMMYFUNCTION("""COMPUTED_VALUE"""),"有")</f>
        <v>有</v>
      </c>
      <c r="Y4418" s="8" t="str">
        <f>IFERROR(__xludf.DUMMYFUNCTION("""COMPUTED_VALUE"""),"P7まで")</f>
        <v>P7まで</v>
      </c>
      <c r="Z4418" s="7"/>
      <c r="AA4418" s="7"/>
      <c r="AB4418" s="7"/>
    </row>
    <row r="4419" ht="15.75" customHeight="1">
      <c r="A4419" s="26">
        <f>IFERROR(__xludf.DUMMYFUNCTION("""COMPUTED_VALUE"""),6711.0)</f>
        <v>6711</v>
      </c>
      <c r="B4419" s="22" t="str">
        <f>IFERROR(__xludf.DUMMYFUNCTION("""COMPUTED_VALUE"""),"確定")</f>
        <v>確定</v>
      </c>
      <c r="C4419" s="28">
        <f>IFERROR(__xludf.DUMMYFUNCTION("""COMPUTED_VALUE"""),45951.0)</f>
        <v>45951</v>
      </c>
      <c r="D4419" s="28">
        <f>IFERROR(__xludf.DUMMYFUNCTION("""COMPUTED_VALUE"""),46008.0)</f>
        <v>46008</v>
      </c>
      <c r="E4419" s="26">
        <f>IFERROR(__xludf.DUMMYFUNCTION("""COMPUTED_VALUE"""),349062.0)</f>
        <v>349062</v>
      </c>
      <c r="F4419" s="22" t="str">
        <f>IFERROR(__xludf.DUMMYFUNCTION("""COMPUTED_VALUE"""),"一条華緒は恋を知らない 分冊版")</f>
        <v>一条華緒は恋を知らない 分冊版</v>
      </c>
      <c r="G4419" s="20" t="str">
        <f>IFERROR(__xludf.DUMMYFUNCTION("""COMPUTED_VALUE"""),"1～5")</f>
        <v>1～5</v>
      </c>
      <c r="H4419" s="22" t="str">
        <f>IFERROR(__xludf.DUMMYFUNCTION("""COMPUTED_VALUE"""),"辰川皐")</f>
        <v>辰川皐</v>
      </c>
      <c r="I4419" s="22" t="str">
        <f>IFERROR(__xludf.DUMMYFUNCTION("""COMPUTED_VALUE"""),"少女")</f>
        <v>少女</v>
      </c>
      <c r="J4419" s="22"/>
      <c r="K4419" s="22"/>
      <c r="L4419" s="22" t="str">
        <f>IFERROR(__xludf.DUMMYFUNCTION("""COMPUTED_VALUE"""),"集英社")</f>
        <v>集英社</v>
      </c>
      <c r="M4419" s="33">
        <f>IFERROR(__xludf.DUMMYFUNCTION("""COMPUTED_VALUE"""),46047.0)</f>
        <v>46047</v>
      </c>
      <c r="N4419" s="33">
        <f>IFERROR(__xludf.DUMMYFUNCTION("""COMPUTED_VALUE"""),46077.0)</f>
        <v>46077</v>
      </c>
      <c r="O4419" s="20"/>
      <c r="P4419" s="32" t="str">
        <f>IFERROR(__xludf.DUMMYFUNCTION("""COMPUTED_VALUE"""),"否")</f>
        <v>否</v>
      </c>
      <c r="Q4419" s="30"/>
      <c r="R4419" s="22" t="str">
        <f>IFERROR(__xludf.DUMMYFUNCTION("""COMPUTED_VALUE"""),"コミットOK")</f>
        <v>コミットOK</v>
      </c>
      <c r="S4419" s="22" t="str">
        <f>IFERROR(__xludf.DUMMYFUNCTION("""COMPUTED_VALUE"""),"20251215_集英社_一条華緒は恋を知らない 分冊版")</f>
        <v>20251215_集英社_一条華緒は恋を知らない 分冊版</v>
      </c>
      <c r="T4419" s="22" t="str">
        <f>IFERROR(__xludf.DUMMYFUNCTION("""COMPUTED_VALUE"""),"格納済み")</f>
        <v>格納済み</v>
      </c>
      <c r="U4419" s="9" t="str">
        <f>IFERROR(__xludf.DUMMYFUNCTION("""COMPUTED_VALUE"""),"(c)辰川皐／集英社")</f>
        <v>(c)辰川皐／集英社</v>
      </c>
      <c r="V4419" s="8"/>
      <c r="W4419" s="8"/>
      <c r="X4419" s="8" t="str">
        <f>IFERROR(__xludf.DUMMYFUNCTION("""COMPUTED_VALUE"""),"有")</f>
        <v>有</v>
      </c>
      <c r="Y4419" s="8" t="str">
        <f>IFERROR(__xludf.DUMMYFUNCTION("""COMPUTED_VALUE"""),"2026/2/24まで1巻無料")</f>
        <v>2026/2/24まで1巻無料</v>
      </c>
      <c r="Z4419" s="7"/>
      <c r="AA4419" s="7"/>
      <c r="AB4419" s="7"/>
    </row>
    <row r="4420" ht="15.75" customHeight="1">
      <c r="A4420" s="26">
        <f>IFERROR(__xludf.DUMMYFUNCTION("""COMPUTED_VALUE"""),6717.0)</f>
        <v>6717</v>
      </c>
      <c r="B4420" s="22" t="str">
        <f>IFERROR(__xludf.DUMMYFUNCTION("""COMPUTED_VALUE"""),"確定")</f>
        <v>確定</v>
      </c>
      <c r="C4420" s="28">
        <f>IFERROR(__xludf.DUMMYFUNCTION("""COMPUTED_VALUE"""),45952.0)</f>
        <v>45952</v>
      </c>
      <c r="D4420" s="28">
        <f>IFERROR(__xludf.DUMMYFUNCTION("""COMPUTED_VALUE"""),46008.0)</f>
        <v>46008</v>
      </c>
      <c r="E4420" s="26">
        <f>IFERROR(__xludf.DUMMYFUNCTION("""COMPUTED_VALUE"""),349059.0)</f>
        <v>349059</v>
      </c>
      <c r="F4420" s="22" t="str">
        <f>IFERROR(__xludf.DUMMYFUNCTION("""COMPUTED_VALUE"""),"となりの席の深美くんがアイドルになるかもしれない 別マ連載版")</f>
        <v>となりの席の深美くんがアイドルになるかもしれない 別マ連載版</v>
      </c>
      <c r="G4420" s="20" t="str">
        <f>IFERROR(__xludf.DUMMYFUNCTION("""COMPUTED_VALUE"""),"1～4")</f>
        <v>1～4</v>
      </c>
      <c r="H4420" s="22" t="str">
        <f>IFERROR(__xludf.DUMMYFUNCTION("""COMPUTED_VALUE"""),"原作：青山はるの／作画：ちづはるか")</f>
        <v>原作：青山はるの／作画：ちづはるか</v>
      </c>
      <c r="I4420" s="22" t="str">
        <f>IFERROR(__xludf.DUMMYFUNCTION("""COMPUTED_VALUE"""),"少女")</f>
        <v>少女</v>
      </c>
      <c r="J4420" s="22"/>
      <c r="K4420" s="22"/>
      <c r="L4420" s="22" t="str">
        <f>IFERROR(__xludf.DUMMYFUNCTION("""COMPUTED_VALUE"""),"集英社")</f>
        <v>集英社</v>
      </c>
      <c r="M4420" s="33">
        <f>IFERROR(__xludf.DUMMYFUNCTION("""COMPUTED_VALUE"""),46047.0)</f>
        <v>46047</v>
      </c>
      <c r="N4420" s="33">
        <f>IFERROR(__xludf.DUMMYFUNCTION("""COMPUTED_VALUE"""),46077.0)</f>
        <v>46077</v>
      </c>
      <c r="O4420" s="20"/>
      <c r="P4420" s="32" t="str">
        <f>IFERROR(__xludf.DUMMYFUNCTION("""COMPUTED_VALUE"""),"否")</f>
        <v>否</v>
      </c>
      <c r="Q4420" s="30"/>
      <c r="R4420" s="22" t="str">
        <f>IFERROR(__xludf.DUMMYFUNCTION("""COMPUTED_VALUE"""),"コミットOK")</f>
        <v>コミットOK</v>
      </c>
      <c r="S4420" s="22" t="str">
        <f>IFERROR(__xludf.DUMMYFUNCTION("""COMPUTED_VALUE"""),"20251215_集英社_となりの席の深美くんがアイドルになるかもしれない 別マ連載版")</f>
        <v>20251215_集英社_となりの席の深美くんがアイドルになるかもしれない 別マ連載版</v>
      </c>
      <c r="T4420" s="22" t="str">
        <f>IFERROR(__xludf.DUMMYFUNCTION("""COMPUTED_VALUE"""),"格納済み")</f>
        <v>格納済み</v>
      </c>
      <c r="U4420" s="9" t="str">
        <f>IFERROR(__xludf.DUMMYFUNCTION("""COMPUTED_VALUE"""),"(c)青山はるの・ちづはるか／集英社")</f>
        <v>(c)青山はるの・ちづはるか／集英社</v>
      </c>
      <c r="V4420" s="8"/>
      <c r="W4420" s="8"/>
      <c r="X4420" s="8" t="str">
        <f>IFERROR(__xludf.DUMMYFUNCTION("""COMPUTED_VALUE"""),"有")</f>
        <v>有</v>
      </c>
      <c r="Y4420" s="8" t="str">
        <f>IFERROR(__xludf.DUMMYFUNCTION("""COMPUTED_VALUE"""),"2026/2/24まで1～2巻無料")</f>
        <v>2026/2/24まで1～2巻無料</v>
      </c>
      <c r="Z4420" s="7"/>
      <c r="AA4420" s="7"/>
      <c r="AB4420" s="7"/>
    </row>
    <row r="4421" ht="15.75" customHeight="1">
      <c r="A4421" s="26">
        <f>IFERROR(__xludf.DUMMYFUNCTION("""COMPUTED_VALUE"""),6834.0)</f>
        <v>6834</v>
      </c>
      <c r="B4421" s="22" t="str">
        <f>IFERROR(__xludf.DUMMYFUNCTION("""COMPUTED_VALUE"""),"確定")</f>
        <v>確定</v>
      </c>
      <c r="C4421" s="28">
        <f>IFERROR(__xludf.DUMMYFUNCTION("""COMPUTED_VALUE"""),45971.0)</f>
        <v>45971</v>
      </c>
      <c r="D4421" s="28">
        <f>IFERROR(__xludf.DUMMYFUNCTION("""COMPUTED_VALUE"""),46006.0)</f>
        <v>46006</v>
      </c>
      <c r="E4421" s="26">
        <f>IFERROR(__xludf.DUMMYFUNCTION("""COMPUTED_VALUE"""),347826.0)</f>
        <v>347826</v>
      </c>
      <c r="F4421" s="22" t="str">
        <f>IFERROR(__xludf.DUMMYFUNCTION("""COMPUTED_VALUE"""),"転生魔女はその眷属の欲望を知らない【R-18版】")</f>
        <v>転生魔女はその眷属の欲望を知らない【R-18版】</v>
      </c>
      <c r="G4421" s="20" t="str">
        <f>IFERROR(__xludf.DUMMYFUNCTION("""COMPUTED_VALUE"""),"1～3")</f>
        <v>1～3</v>
      </c>
      <c r="H4421" s="22" t="str">
        <f>IFERROR(__xludf.DUMMYFUNCTION("""COMPUTED_VALUE"""),"高山れじゃん")</f>
        <v>高山れじゃん</v>
      </c>
      <c r="I4421" s="22" t="str">
        <f>IFERROR(__xludf.DUMMYFUNCTION("""COMPUTED_VALUE"""),"アダルト")</f>
        <v>アダルト</v>
      </c>
      <c r="J4421" s="22"/>
      <c r="K4421" s="22" t="str">
        <f>IFERROR(__xludf.DUMMYFUNCTION("""COMPUTED_VALUE"""),"Close Moon")</f>
        <v>Close Moon</v>
      </c>
      <c r="L4421" s="22" t="str">
        <f>IFERROR(__xludf.DUMMYFUNCTION("""COMPUTED_VALUE"""),"ナンバーナイン")</f>
        <v>ナンバーナイン</v>
      </c>
      <c r="M4421" s="33">
        <f>IFERROR(__xludf.DUMMYFUNCTION("""COMPUTED_VALUE"""),46031.0)</f>
        <v>46031</v>
      </c>
      <c r="N4421" s="33">
        <f>IFERROR(__xludf.DUMMYFUNCTION("""COMPUTED_VALUE"""),46089.0)</f>
        <v>46089</v>
      </c>
      <c r="O4421" s="20"/>
      <c r="P4421" s="32" t="str">
        <f>IFERROR(__xludf.DUMMYFUNCTION("""COMPUTED_VALUE"""),"可")</f>
        <v>可</v>
      </c>
      <c r="Q4421" s="30" t="str">
        <f>IFERROR(__xludf.DUMMYFUNCTION("""COMPUTED_VALUE"""),"がるまに")</f>
        <v>がるまに</v>
      </c>
      <c r="R4421" s="22"/>
      <c r="S4421" s="22" t="str">
        <f>IFERROR(__xludf.DUMMYFUNCTION("""COMPUTED_VALUE"""),"20251211_CLLENN_転生魔女はその眷属の欲望を知らない【R-18版】")</f>
        <v>20251211_CLLENN_転生魔女はその眷属の欲望を知らない【R-18版】</v>
      </c>
      <c r="T4421" s="22" t="str">
        <f>IFERROR(__xludf.DUMMYFUNCTION("""COMPUTED_VALUE"""),"格納済み")</f>
        <v>格納済み</v>
      </c>
      <c r="U4421" s="9" t="str">
        <f>IFERROR(__xludf.DUMMYFUNCTION("""COMPUTED_VALUE"""),"(C)高山れじゃん／ナンバーナイン")</f>
        <v>(C)高山れじゃん／ナンバーナイン</v>
      </c>
      <c r="V4421" s="8"/>
      <c r="W4421" s="8"/>
      <c r="X4421" s="8" t="str">
        <f>IFERROR(__xludf.DUMMYFUNCTION("""COMPUTED_VALUE"""),"有")</f>
        <v>有</v>
      </c>
      <c r="Y4421" s="8" t="str">
        <f>IFERROR(__xludf.DUMMYFUNCTION("""COMPUTED_VALUE"""),"1巻無料")</f>
        <v>1巻無料</v>
      </c>
      <c r="Z4421" s="7"/>
      <c r="AA4421" s="7"/>
      <c r="AB4421" s="7"/>
    </row>
    <row r="4422" ht="15.75" customHeight="1">
      <c r="A4422" s="26">
        <f>IFERROR(__xludf.DUMMYFUNCTION("""COMPUTED_VALUE"""),6899.0)</f>
        <v>6899</v>
      </c>
      <c r="B4422" s="22" t="str">
        <f>IFERROR(__xludf.DUMMYFUNCTION("""COMPUTED_VALUE"""),"確定")</f>
        <v>確定</v>
      </c>
      <c r="C4422" s="28">
        <f>IFERROR(__xludf.DUMMYFUNCTION("""COMPUTED_VALUE"""),45978.0)</f>
        <v>45978</v>
      </c>
      <c r="D4422" s="28">
        <f>IFERROR(__xludf.DUMMYFUNCTION("""COMPUTED_VALUE"""),46006.0)</f>
        <v>46006</v>
      </c>
      <c r="E4422" s="26">
        <f>IFERROR(__xludf.DUMMYFUNCTION("""COMPUTED_VALUE"""),330307.0)</f>
        <v>330307</v>
      </c>
      <c r="F4422" s="22" t="str">
        <f>IFERROR(__xludf.DUMMYFUNCTION("""COMPUTED_VALUE"""),"結婚ではなく破産したいんです！(フルカラー)")</f>
        <v>結婚ではなく破産したいんです！(フルカラー)</v>
      </c>
      <c r="G4422" s="20" t="str">
        <f>IFERROR(__xludf.DUMMYFUNCTION("""COMPUTED_VALUE"""),"1～3")</f>
        <v>1～3</v>
      </c>
      <c r="H4422" s="22" t="str">
        <f>IFERROR(__xludf.DUMMYFUNCTION("""COMPUTED_VALUE"""),"OCHAYEONG,Bittoru")</f>
        <v>OCHAYEONG,Bittoru</v>
      </c>
      <c r="I4422" s="22" t="str">
        <f>IFERROR(__xludf.DUMMYFUNCTION("""COMPUTED_VALUE"""),"TLマンガ")</f>
        <v>TLマンガ</v>
      </c>
      <c r="J4422" s="22"/>
      <c r="K4422" s="22" t="str">
        <f>IFERROR(__xludf.DUMMYFUNCTION("""COMPUTED_VALUE"""),"リア×ロマ,スキして?桃色日記")</f>
        <v>リア×ロマ,スキして?桃色日記</v>
      </c>
      <c r="L4422" s="22" t="str">
        <f>IFERROR(__xludf.DUMMYFUNCTION("""COMPUTED_VALUE"""),"シーモアコミックス")</f>
        <v>シーモアコミックス</v>
      </c>
      <c r="M4422" s="33">
        <f>IFERROR(__xludf.DUMMYFUNCTION("""COMPUTED_VALUE"""),46039.0)</f>
        <v>46039</v>
      </c>
      <c r="N4422" s="33">
        <f>IFERROR(__xludf.DUMMYFUNCTION("""COMPUTED_VALUE"""),2958465.0)</f>
        <v>2958465</v>
      </c>
      <c r="O4422" s="20"/>
      <c r="P4422" s="32" t="str">
        <f>IFERROR(__xludf.DUMMYFUNCTION("""COMPUTED_VALUE"""),"可")</f>
        <v>可</v>
      </c>
      <c r="Q4422" s="30"/>
      <c r="R4422" s="22"/>
      <c r="S4422" s="22" t="str">
        <f>IFERROR(__xludf.DUMMYFUNCTION("""COMPUTED_VALUE"""),"20251117_シーモアコミックス_結婚ではなく破産したいんです！（フルカラー）")</f>
        <v>20251117_シーモアコミックス_結婚ではなく破産したいんです！（フルカラー）</v>
      </c>
      <c r="T4422" s="22" t="str">
        <f>IFERROR(__xludf.DUMMYFUNCTION("""COMPUTED_VALUE"""),"格納済み")</f>
        <v>格納済み</v>
      </c>
      <c r="U4422" s="9" t="str">
        <f>IFERROR(__xludf.DUMMYFUNCTION("""COMPUTED_VALUE"""),"(C) OCHAYEONG/Bittoru/鶴山文化社/シーモアコミックス")</f>
        <v>(C) OCHAYEONG/Bittoru/鶴山文化社/シーモアコミックス</v>
      </c>
      <c r="V4422" s="8"/>
      <c r="W4422" s="8"/>
      <c r="X4422" s="8" t="str">
        <f>IFERROR(__xludf.DUMMYFUNCTION("""COMPUTED_VALUE"""),"有")</f>
        <v>有</v>
      </c>
      <c r="Y4422" s="8" t="str">
        <f>IFERROR(__xludf.DUMMYFUNCTION("""COMPUTED_VALUE"""),"2026/2/20まで1巻無料")</f>
        <v>2026/2/20まで1巻無料</v>
      </c>
      <c r="Z4422" s="7"/>
      <c r="AA4422" s="7"/>
      <c r="AB4422" s="7"/>
    </row>
    <row r="4423" ht="15.75" customHeight="1">
      <c r="A4423" s="26">
        <f>IFERROR(__xludf.DUMMYFUNCTION("""COMPUTED_VALUE"""),6900.0)</f>
        <v>6900</v>
      </c>
      <c r="B4423" s="22" t="str">
        <f>IFERROR(__xludf.DUMMYFUNCTION("""COMPUTED_VALUE"""),"確定")</f>
        <v>確定</v>
      </c>
      <c r="C4423" s="28">
        <f>IFERROR(__xludf.DUMMYFUNCTION("""COMPUTED_VALUE"""),45978.0)</f>
        <v>45978</v>
      </c>
      <c r="D4423" s="28">
        <f>IFERROR(__xludf.DUMMYFUNCTION("""COMPUTED_VALUE"""),46006.0)</f>
        <v>46006</v>
      </c>
      <c r="E4423" s="26">
        <f>IFERROR(__xludf.DUMMYFUNCTION("""COMPUTED_VALUE"""),330308.0)</f>
        <v>330308</v>
      </c>
      <c r="F4423" s="22" t="str">
        <f>IFERROR(__xludf.DUMMYFUNCTION("""COMPUTED_VALUE"""),"結婚ではなく破産したいんです！【タテヨミ】")</f>
        <v>結婚ではなく破産したいんです！【タテヨミ】</v>
      </c>
      <c r="G4423" s="20" t="str">
        <f>IFERROR(__xludf.DUMMYFUNCTION("""COMPUTED_VALUE"""),"1～6")</f>
        <v>1～6</v>
      </c>
      <c r="H4423" s="22" t="str">
        <f>IFERROR(__xludf.DUMMYFUNCTION("""COMPUTED_VALUE"""),"OCHAYEONG,Bittoru")</f>
        <v>OCHAYEONG,Bittoru</v>
      </c>
      <c r="I4423" s="22" t="str">
        <f>IFERROR(__xludf.DUMMYFUNCTION("""COMPUTED_VALUE"""),"TLマンガ")</f>
        <v>TLマンガ</v>
      </c>
      <c r="J4423" s="22"/>
      <c r="K4423" s="22" t="str">
        <f>IFERROR(__xludf.DUMMYFUNCTION("""COMPUTED_VALUE"""),"リア×ロマ,スキして?桃色日記")</f>
        <v>リア×ロマ,スキして?桃色日記</v>
      </c>
      <c r="L4423" s="22" t="str">
        <f>IFERROR(__xludf.DUMMYFUNCTION("""COMPUTED_VALUE"""),"シーモアコミックス")</f>
        <v>シーモアコミックス</v>
      </c>
      <c r="M4423" s="33">
        <f>IFERROR(__xludf.DUMMYFUNCTION("""COMPUTED_VALUE"""),46039.0)</f>
        <v>46039</v>
      </c>
      <c r="N4423" s="33">
        <f>IFERROR(__xludf.DUMMYFUNCTION("""COMPUTED_VALUE"""),2958465.0)</f>
        <v>2958465</v>
      </c>
      <c r="O4423" s="20"/>
      <c r="P4423" s="32" t="str">
        <f>IFERROR(__xludf.DUMMYFUNCTION("""COMPUTED_VALUE"""),"可")</f>
        <v>可</v>
      </c>
      <c r="Q4423" s="30" t="str">
        <f>IFERROR(__xludf.DUMMYFUNCTION("""COMPUTED_VALUE"""),"※コマサム等素材は「330307　結婚ではなく破産したいんです！(フルカラー)」の方をお使いください。バナー制作はフルカラー版の素材を利用して問題ございません。&lt;BR&gt;")</f>
        <v>※コマサム等素材は「330307　結婚ではなく破産したいんです！(フルカラー)」の方をお使いください。バナー制作はフルカラー版の素材を利用して問題ございません。&lt;BR&gt;</v>
      </c>
      <c r="R4423" s="22"/>
      <c r="S4423" s="22" t="str">
        <f>IFERROR(__xludf.DUMMYFUNCTION("""COMPUTED_VALUE"""),"20251117_シーモアコミックス_結婚ではなく破産したいんです！【タテヨミ】")</f>
        <v>20251117_シーモアコミックス_結婚ではなく破産したいんです！【タテヨミ】</v>
      </c>
      <c r="T4423" s="22" t="str">
        <f>IFERROR(__xludf.DUMMYFUNCTION("""COMPUTED_VALUE"""),"格納済み")</f>
        <v>格納済み</v>
      </c>
      <c r="U4423" s="9" t="str">
        <f>IFERROR(__xludf.DUMMYFUNCTION("""COMPUTED_VALUE"""),"(C) OCHAYEONG/Bittoru/鶴山文化社/シーモアコミックス")</f>
        <v>(C) OCHAYEONG/Bittoru/鶴山文化社/シーモアコミックス</v>
      </c>
      <c r="V4423" s="8"/>
      <c r="W4423" s="8"/>
      <c r="X4423" s="8" t="str">
        <f>IFERROR(__xludf.DUMMYFUNCTION("""COMPUTED_VALUE"""),"有")</f>
        <v>有</v>
      </c>
      <c r="Y4423" s="8" t="str">
        <f>IFERROR(__xludf.DUMMYFUNCTION("""COMPUTED_VALUE"""),"2026/2/20まで1~2巻無料")</f>
        <v>2026/2/20まで1~2巻無料</v>
      </c>
      <c r="Z4423" s="7"/>
      <c r="AA4423" s="7"/>
      <c r="AB4423" s="7"/>
    </row>
    <row r="4424" ht="15.75" customHeight="1">
      <c r="A4424" s="26">
        <f>IFERROR(__xludf.DUMMYFUNCTION("""COMPUTED_VALUE"""),6973.0)</f>
        <v>6973</v>
      </c>
      <c r="B4424" s="22" t="str">
        <f>IFERROR(__xludf.DUMMYFUNCTION("""COMPUTED_VALUE"""),"確定")</f>
        <v>確定</v>
      </c>
      <c r="C4424" s="28">
        <f>IFERROR(__xludf.DUMMYFUNCTION("""COMPUTED_VALUE"""),45992.0)</f>
        <v>45992</v>
      </c>
      <c r="D4424" s="28">
        <f>IFERROR(__xludf.DUMMYFUNCTION("""COMPUTED_VALUE"""),46008.0)</f>
        <v>46008</v>
      </c>
      <c r="E4424" s="26">
        <f>IFERROR(__xludf.DUMMYFUNCTION("""COMPUTED_VALUE"""),346603.0)</f>
        <v>346603</v>
      </c>
      <c r="F4424" s="22" t="str">
        <f>IFERROR(__xludf.DUMMYFUNCTION("""COMPUTED_VALUE"""),"アンダーカバーラブドッグ")</f>
        <v>アンダーカバーラブドッグ</v>
      </c>
      <c r="G4424" s="20" t="str">
        <f>IFERROR(__xludf.DUMMYFUNCTION("""COMPUTED_VALUE"""),"1～2")</f>
        <v>1～2</v>
      </c>
      <c r="H4424" s="22" t="str">
        <f>IFERROR(__xludf.DUMMYFUNCTION("""COMPUTED_VALUE"""),"雲井ナツメ")</f>
        <v>雲井ナツメ</v>
      </c>
      <c r="I4424" s="22" t="str">
        <f>IFERROR(__xludf.DUMMYFUNCTION("""COMPUTED_VALUE"""),"BL")</f>
        <v>BL</v>
      </c>
      <c r="J4424" s="22"/>
      <c r="K4424" s="22"/>
      <c r="L4424" s="22" t="str">
        <f>IFERROR(__xludf.DUMMYFUNCTION("""COMPUTED_VALUE"""),"東京漫画社")</f>
        <v>東京漫画社</v>
      </c>
      <c r="M4424" s="33">
        <f>IFERROR(__xludf.DUMMYFUNCTION("""COMPUTED_VALUE"""),46031.0)</f>
        <v>46031</v>
      </c>
      <c r="N4424" s="33">
        <f>IFERROR(__xludf.DUMMYFUNCTION("""COMPUTED_VALUE"""),46093.0)</f>
        <v>46093</v>
      </c>
      <c r="O4424" s="20"/>
      <c r="P4424" s="32" t="str">
        <f>IFERROR(__xludf.DUMMYFUNCTION("""COMPUTED_VALUE"""),"可")</f>
        <v>可</v>
      </c>
      <c r="Q4424" s="30"/>
      <c r="R4424" s="22" t="str">
        <f>IFERROR(__xludf.DUMMYFUNCTION("""COMPUTED_VALUE"""),"コミットNG")</f>
        <v>コミットNG</v>
      </c>
      <c r="S4424" s="22" t="str">
        <f>IFERROR(__xludf.DUMMYFUNCTION("""COMPUTED_VALUE"""),"20251118_東京漫画社_アンダーカバーラブドッグ")</f>
        <v>20251118_東京漫画社_アンダーカバーラブドッグ</v>
      </c>
      <c r="T4424" s="22" t="str">
        <f>IFERROR(__xludf.DUMMYFUNCTION("""COMPUTED_VALUE"""),"格納済み")</f>
        <v>格納済み</v>
      </c>
      <c r="U4424" s="9" t="str">
        <f>IFERROR(__xludf.DUMMYFUNCTION("""COMPUTED_VALUE"""),"Ⓒ雲井ナツメ/東京漫画社")</f>
        <v>Ⓒ雲井ナツメ/東京漫画社</v>
      </c>
      <c r="V4424" s="8"/>
      <c r="W4424" s="8"/>
      <c r="X4424" s="8" t="str">
        <f>IFERROR(__xludf.DUMMYFUNCTION("""COMPUTED_VALUE"""),"有")</f>
        <v>有</v>
      </c>
      <c r="Y4424" s="8" t="str">
        <f>IFERROR(__xludf.DUMMYFUNCTION("""COMPUTED_VALUE"""),"2026/1/18まで1巻無料")</f>
        <v>2026/1/18まで1巻無料</v>
      </c>
      <c r="Z4424" s="7"/>
      <c r="AA4424" s="7"/>
      <c r="AB4424" s="7"/>
    </row>
    <row r="4425" ht="15.75" customHeight="1">
      <c r="A4425" s="26">
        <f>IFERROR(__xludf.DUMMYFUNCTION("""COMPUTED_VALUE"""),6974.0)</f>
        <v>6974</v>
      </c>
      <c r="B4425" s="22" t="str">
        <f>IFERROR(__xludf.DUMMYFUNCTION("""COMPUTED_VALUE"""),"確定")</f>
        <v>確定</v>
      </c>
      <c r="C4425" s="28">
        <f>IFERROR(__xludf.DUMMYFUNCTION("""COMPUTED_VALUE"""),45992.0)</f>
        <v>45992</v>
      </c>
      <c r="D4425" s="28">
        <f>IFERROR(__xludf.DUMMYFUNCTION("""COMPUTED_VALUE"""),46008.0)</f>
        <v>46008</v>
      </c>
      <c r="E4425" s="26">
        <f>IFERROR(__xludf.DUMMYFUNCTION("""COMPUTED_VALUE"""),346604.0)</f>
        <v>346604</v>
      </c>
      <c r="F4425" s="22" t="str">
        <f>IFERROR(__xludf.DUMMYFUNCTION("""COMPUTED_VALUE"""),"シンクロ　メロウ　ガイド")</f>
        <v>シンクロ　メロウ　ガイド</v>
      </c>
      <c r="G4425" s="20" t="str">
        <f>IFERROR(__xludf.DUMMYFUNCTION("""COMPUTED_VALUE"""),"1～2")</f>
        <v>1～2</v>
      </c>
      <c r="H4425" s="22" t="str">
        <f>IFERROR(__xludf.DUMMYFUNCTION("""COMPUTED_VALUE"""),"海乃いよ")</f>
        <v>海乃いよ</v>
      </c>
      <c r="I4425" s="22" t="str">
        <f>IFERROR(__xludf.DUMMYFUNCTION("""COMPUTED_VALUE"""),"BL")</f>
        <v>BL</v>
      </c>
      <c r="J4425" s="22"/>
      <c r="K4425" s="22"/>
      <c r="L4425" s="22" t="str">
        <f>IFERROR(__xludf.DUMMYFUNCTION("""COMPUTED_VALUE"""),"東京漫画社")</f>
        <v>東京漫画社</v>
      </c>
      <c r="M4425" s="33">
        <f>IFERROR(__xludf.DUMMYFUNCTION("""COMPUTED_VALUE"""),46031.0)</f>
        <v>46031</v>
      </c>
      <c r="N4425" s="33">
        <f>IFERROR(__xludf.DUMMYFUNCTION("""COMPUTED_VALUE"""),46093.0)</f>
        <v>46093</v>
      </c>
      <c r="O4425" s="20"/>
      <c r="P4425" s="32" t="str">
        <f>IFERROR(__xludf.DUMMYFUNCTION("""COMPUTED_VALUE"""),"可")</f>
        <v>可</v>
      </c>
      <c r="Q4425" s="30"/>
      <c r="R4425" s="22" t="str">
        <f>IFERROR(__xludf.DUMMYFUNCTION("""COMPUTED_VALUE"""),"コミットNG")</f>
        <v>コミットNG</v>
      </c>
      <c r="S4425" s="22" t="str">
        <f>IFERROR(__xludf.DUMMYFUNCTION("""COMPUTED_VALUE"""),"20251118_東京漫画社_シンクロメロウガイド")</f>
        <v>20251118_東京漫画社_シンクロメロウガイド</v>
      </c>
      <c r="T4425" s="22" t="str">
        <f>IFERROR(__xludf.DUMMYFUNCTION("""COMPUTED_VALUE"""),"格納済み")</f>
        <v>格納済み</v>
      </c>
      <c r="U4425" s="9" t="str">
        <f>IFERROR(__xludf.DUMMYFUNCTION("""COMPUTED_VALUE"""),"Ⓒ海乃いよ/東京漫画社")</f>
        <v>Ⓒ海乃いよ/東京漫画社</v>
      </c>
      <c r="V4425" s="8"/>
      <c r="W4425" s="8"/>
      <c r="X4425" s="8" t="str">
        <f>IFERROR(__xludf.DUMMYFUNCTION("""COMPUTED_VALUE"""),"有")</f>
        <v>有</v>
      </c>
      <c r="Y4425" s="8" t="str">
        <f>IFERROR(__xludf.DUMMYFUNCTION("""COMPUTED_VALUE"""),"2026/1/18まで1巻無料")</f>
        <v>2026/1/18まで1巻無料</v>
      </c>
      <c r="Z4425" s="7"/>
      <c r="AA4425" s="7"/>
      <c r="AB4425" s="7"/>
    </row>
    <row r="4426" ht="15.75" customHeight="1">
      <c r="A4426" s="26">
        <f>IFERROR(__xludf.DUMMYFUNCTION("""COMPUTED_VALUE"""),6975.0)</f>
        <v>6975</v>
      </c>
      <c r="B4426" s="22" t="str">
        <f>IFERROR(__xludf.DUMMYFUNCTION("""COMPUTED_VALUE"""),"確定")</f>
        <v>確定</v>
      </c>
      <c r="C4426" s="28">
        <f>IFERROR(__xludf.DUMMYFUNCTION("""COMPUTED_VALUE"""),45992.0)</f>
        <v>45992</v>
      </c>
      <c r="D4426" s="28">
        <f>IFERROR(__xludf.DUMMYFUNCTION("""COMPUTED_VALUE"""),46008.0)</f>
        <v>46008</v>
      </c>
      <c r="E4426" s="26">
        <f>IFERROR(__xludf.DUMMYFUNCTION("""COMPUTED_VALUE"""),350241.0)</f>
        <v>350241</v>
      </c>
      <c r="F4426" s="22" t="str">
        <f>IFERROR(__xludf.DUMMYFUNCTION("""COMPUTED_VALUE"""),"龍神様の沐浴係")</f>
        <v>龍神様の沐浴係</v>
      </c>
      <c r="G4426" s="20" t="str">
        <f>IFERROR(__xludf.DUMMYFUNCTION("""COMPUTED_VALUE"""),"1～2")</f>
        <v>1～2</v>
      </c>
      <c r="H4426" s="22" t="str">
        <f>IFERROR(__xludf.DUMMYFUNCTION("""COMPUTED_VALUE"""),"ヨシノ")</f>
        <v>ヨシノ</v>
      </c>
      <c r="I4426" s="22" t="str">
        <f>IFERROR(__xludf.DUMMYFUNCTION("""COMPUTED_VALUE"""),"BL")</f>
        <v>BL</v>
      </c>
      <c r="J4426" s="22"/>
      <c r="K4426" s="22"/>
      <c r="L4426" s="22" t="str">
        <f>IFERROR(__xludf.DUMMYFUNCTION("""COMPUTED_VALUE"""),"東京漫画社")</f>
        <v>東京漫画社</v>
      </c>
      <c r="M4426" s="33">
        <f>IFERROR(__xludf.DUMMYFUNCTION("""COMPUTED_VALUE"""),46053.0)</f>
        <v>46053</v>
      </c>
      <c r="N4426" s="33">
        <f>IFERROR(__xludf.DUMMYFUNCTION("""COMPUTED_VALUE"""),46111.0)</f>
        <v>46111</v>
      </c>
      <c r="O4426" s="20"/>
      <c r="P4426" s="32" t="str">
        <f>IFERROR(__xludf.DUMMYFUNCTION("""COMPUTED_VALUE"""),"可")</f>
        <v>可</v>
      </c>
      <c r="Q4426" s="30" t="str">
        <f>IFERROR(__xludf.DUMMYFUNCTION("""COMPUTED_VALUE"""),"【アダルト作品扱い】")</f>
        <v>【アダルト作品扱い】</v>
      </c>
      <c r="R4426" s="22" t="str">
        <f>IFERROR(__xludf.DUMMYFUNCTION("""COMPUTED_VALUE"""),"コミットOK")</f>
        <v>コミットOK</v>
      </c>
      <c r="S4426" s="22" t="str">
        <f>IFERROR(__xludf.DUMMYFUNCTION("""COMPUTED_VALUE"""),"20251201_東京漫画社_龍神様の沐浴係")</f>
        <v>20251201_東京漫画社_龍神様の沐浴係</v>
      </c>
      <c r="T4426" s="22" t="str">
        <f>IFERROR(__xludf.DUMMYFUNCTION("""COMPUTED_VALUE"""),"格納済み")</f>
        <v>格納済み</v>
      </c>
      <c r="U4426" s="9" t="str">
        <f>IFERROR(__xludf.DUMMYFUNCTION("""COMPUTED_VALUE"""),"Ⓒヨシノ/東京漫画社")</f>
        <v>Ⓒヨシノ/東京漫画社</v>
      </c>
      <c r="V4426" s="8"/>
      <c r="W4426" s="8"/>
      <c r="X4426" s="8" t="str">
        <f>IFERROR(__xludf.DUMMYFUNCTION("""COMPUTED_VALUE"""),"有")</f>
        <v>有</v>
      </c>
      <c r="Y4426" s="8" t="str">
        <f>IFERROR(__xludf.DUMMYFUNCTION("""COMPUTED_VALUE"""),"2026/2/9まで1巻無料")</f>
        <v>2026/2/9まで1巻無料</v>
      </c>
      <c r="Z4426" s="7"/>
      <c r="AA4426" s="7"/>
      <c r="AB4426" s="7"/>
    </row>
    <row r="4427" ht="15.75" customHeight="1">
      <c r="A4427" s="26">
        <f>IFERROR(__xludf.DUMMYFUNCTION("""COMPUTED_VALUE"""),6985.0)</f>
        <v>6985</v>
      </c>
      <c r="B4427" s="22" t="str">
        <f>IFERROR(__xludf.DUMMYFUNCTION("""COMPUTED_VALUE"""),"確定")</f>
        <v>確定</v>
      </c>
      <c r="C4427" s="28">
        <f>IFERROR(__xludf.DUMMYFUNCTION("""COMPUTED_VALUE"""),45993.0)</f>
        <v>45993</v>
      </c>
      <c r="D4427" s="28">
        <f>IFERROR(__xludf.DUMMYFUNCTION("""COMPUTED_VALUE"""),46008.0)</f>
        <v>46008</v>
      </c>
      <c r="E4427" s="26">
        <f>IFERROR(__xludf.DUMMYFUNCTION("""COMPUTED_VALUE"""),346599.0)</f>
        <v>346599</v>
      </c>
      <c r="F4427" s="22" t="str">
        <f>IFERROR(__xludf.DUMMYFUNCTION("""COMPUTED_VALUE"""),"ムカつくお前が甘すぎる")</f>
        <v>ムカつくお前が甘すぎる</v>
      </c>
      <c r="G4427" s="20" t="str">
        <f>IFERROR(__xludf.DUMMYFUNCTION("""COMPUTED_VALUE"""),"1～3")</f>
        <v>1～3</v>
      </c>
      <c r="H4427" s="22" t="str">
        <f>IFERROR(__xludf.DUMMYFUNCTION("""COMPUTED_VALUE"""),"へびたま")</f>
        <v>へびたま</v>
      </c>
      <c r="I4427" s="22" t="str">
        <f>IFERROR(__xludf.DUMMYFUNCTION("""COMPUTED_VALUE"""),"BL")</f>
        <v>BL</v>
      </c>
      <c r="J4427" s="22"/>
      <c r="K4427" s="22" t="str">
        <f>IFERROR(__xludf.DUMMYFUNCTION("""COMPUTED_VALUE"""),"Tulle")</f>
        <v>Tulle</v>
      </c>
      <c r="L4427" s="22" t="str">
        <f>IFERROR(__xludf.DUMMYFUNCTION("""COMPUTED_VALUE"""),"ブライト出版")</f>
        <v>ブライト出版</v>
      </c>
      <c r="M4427" s="33">
        <f>IFERROR(__xludf.DUMMYFUNCTION("""COMPUTED_VALUE"""),46039.0)</f>
        <v>46039</v>
      </c>
      <c r="N4427" s="33">
        <f>IFERROR(__xludf.DUMMYFUNCTION("""COMPUTED_VALUE"""),46136.0)</f>
        <v>46136</v>
      </c>
      <c r="O4427" s="20"/>
      <c r="P4427" s="32" t="str">
        <f>IFERROR(__xludf.DUMMYFUNCTION("""COMPUTED_VALUE"""),"可")</f>
        <v>可</v>
      </c>
      <c r="Q4427" s="30" t="str">
        <f>IFERROR(__xludf.DUMMYFUNCTION("""COMPUTED_VALUE"""),"【アダルト作品扱い】")</f>
        <v>【アダルト作品扱い】</v>
      </c>
      <c r="R4427" s="22" t="str">
        <f>IFERROR(__xludf.DUMMYFUNCTION("""COMPUTED_VALUE"""),"コミットOK")</f>
        <v>コミットOK</v>
      </c>
      <c r="S4427" s="22" t="str">
        <f>IFERROR(__xludf.DUMMYFUNCTION("""COMPUTED_VALUE"""),"20251216_ブライト出版_ムカつくお前が甘すぎる")</f>
        <v>20251216_ブライト出版_ムカつくお前が甘すぎる</v>
      </c>
      <c r="T4427" s="22" t="str">
        <f>IFERROR(__xludf.DUMMYFUNCTION("""COMPUTED_VALUE"""),"格納済み")</f>
        <v>格納済み</v>
      </c>
      <c r="U4427" s="9" t="str">
        <f>IFERROR(__xludf.DUMMYFUNCTION("""COMPUTED_VALUE"""),"(C)へびたま／ブライト出版")</f>
        <v>(C)へびたま／ブライト出版</v>
      </c>
      <c r="V4427" s="8"/>
      <c r="W4427" s="8"/>
      <c r="X4427" s="8" t="str">
        <f>IFERROR(__xludf.DUMMYFUNCTION("""COMPUTED_VALUE"""),"有")</f>
        <v>有</v>
      </c>
      <c r="Y4427" s="8" t="str">
        <f>IFERROR(__xludf.DUMMYFUNCTION("""COMPUTED_VALUE"""),"2026/1/30まで1巻無料")</f>
        <v>2026/1/30まで1巻無料</v>
      </c>
      <c r="Z4427" s="7"/>
      <c r="AA4427" s="7"/>
      <c r="AB4427" s="7"/>
    </row>
    <row r="4428" ht="15.75" customHeight="1">
      <c r="A4428" s="26">
        <f>IFERROR(__xludf.DUMMYFUNCTION("""COMPUTED_VALUE"""),6996.0)</f>
        <v>6996</v>
      </c>
      <c r="B4428" s="22" t="str">
        <f>IFERROR(__xludf.DUMMYFUNCTION("""COMPUTED_VALUE"""),"確定")</f>
        <v>確定</v>
      </c>
      <c r="C4428" s="28">
        <f>IFERROR(__xludf.DUMMYFUNCTION("""COMPUTED_VALUE"""),45995.0)</f>
        <v>45995</v>
      </c>
      <c r="D4428" s="28">
        <f>IFERROR(__xludf.DUMMYFUNCTION("""COMPUTED_VALUE"""),46007.0)</f>
        <v>46007</v>
      </c>
      <c r="E4428" s="26">
        <f>IFERROR(__xludf.DUMMYFUNCTION("""COMPUTED_VALUE"""),349787.0)</f>
        <v>349787</v>
      </c>
      <c r="F4428" s="22" t="str">
        <f>IFERROR(__xludf.DUMMYFUNCTION("""COMPUTED_VALUE"""),"龍の贄嫁〜虐げられた少女は運命の番として愛される〜【分冊版】")</f>
        <v>龍の贄嫁〜虐げられた少女は運命の番として愛される〜【分冊版】</v>
      </c>
      <c r="G4428" s="20" t="str">
        <f>IFERROR(__xludf.DUMMYFUNCTION("""COMPUTED_VALUE"""),"1～3")</f>
        <v>1～3</v>
      </c>
      <c r="H4428" s="22" t="str">
        <f>IFERROR(__xludf.DUMMYFUNCTION("""COMPUTED_VALUE"""),"原作：碧水雪乃 作画：すずりモドキ ネーム構成：桜屋善吉 キャラクター原案：mokoppe")</f>
        <v>原作：碧水雪乃 作画：すずりモドキ ネーム構成：桜屋善吉 キャラクター原案：mokoppe</v>
      </c>
      <c r="I4428" s="22" t="str">
        <f>IFERROR(__xludf.DUMMYFUNCTION("""COMPUTED_VALUE"""),"少女")</f>
        <v>少女</v>
      </c>
      <c r="J4428" s="22"/>
      <c r="K4428" s="22"/>
      <c r="L4428" s="22" t="str">
        <f>IFERROR(__xludf.DUMMYFUNCTION("""COMPUTED_VALUE"""),"スクウェア・エニックス")</f>
        <v>スクウェア・エニックス</v>
      </c>
      <c r="M4428" s="33">
        <f>IFERROR(__xludf.DUMMYFUNCTION("""COMPUTED_VALUE"""),46054.0)</f>
        <v>46054</v>
      </c>
      <c r="N4428" s="33">
        <f>IFERROR(__xludf.DUMMYFUNCTION("""COMPUTED_VALUE"""),46112.0)</f>
        <v>46112</v>
      </c>
      <c r="O4428" s="20"/>
      <c r="P4428" s="32" t="str">
        <f>IFERROR(__xludf.DUMMYFUNCTION("""COMPUTED_VALUE"""),"否")</f>
        <v>否</v>
      </c>
      <c r="Q4428" s="30"/>
      <c r="R4428" s="22" t="str">
        <f>IFERROR(__xludf.DUMMYFUNCTION("""COMPUTED_VALUE"""),"コミットOK")</f>
        <v>コミットOK</v>
      </c>
      <c r="S4428" s="22" t="str">
        <f>IFERROR(__xludf.DUMMYFUNCTION("""COMPUTED_VALUE"""),"251201_スクウェア・エニックス_龍の贄嫁")</f>
        <v>251201_スクウェア・エニックス_龍の贄嫁</v>
      </c>
      <c r="T4428" s="22" t="str">
        <f>IFERROR(__xludf.DUMMYFUNCTION("""COMPUTED_VALUE"""),"格納済み")</f>
        <v>格納済み</v>
      </c>
      <c r="U4428" s="9" t="str">
        <f>IFERROR(__xludf.DUMMYFUNCTION("""COMPUTED_VALUE"""),"(C)Yukino Aomi 20XX Licensed by KADOKAWA CORPORATION (C)Suzurimodoki・Zenkichi Sakuraya/SQUARE ENIX")</f>
        <v>(C)Yukino Aomi 20XX Licensed by KADOKAWA CORPORATION (C)Suzurimodoki・Zenkichi Sakuraya/SQUARE ENIX</v>
      </c>
      <c r="V4428" s="8"/>
      <c r="W4428" s="8"/>
      <c r="X4428" s="8" t="str">
        <f>IFERROR(__xludf.DUMMYFUNCTION("""COMPUTED_VALUE"""),"有")</f>
        <v>有</v>
      </c>
      <c r="Y4428" s="8" t="str">
        <f>IFERROR(__xludf.DUMMYFUNCTION("""COMPUTED_VALUE"""),"P7まで")</f>
        <v>P7まで</v>
      </c>
      <c r="Z4428" s="7"/>
      <c r="AA4428" s="7"/>
      <c r="AB4428" s="7"/>
    </row>
    <row r="4429" ht="15.75" customHeight="1">
      <c r="A4429" s="26">
        <f>IFERROR(__xludf.DUMMYFUNCTION("""COMPUTED_VALUE"""),7033.0)</f>
        <v>7033</v>
      </c>
      <c r="B4429" s="22" t="str">
        <f>IFERROR(__xludf.DUMMYFUNCTION("""COMPUTED_VALUE"""),"確定")</f>
        <v>確定</v>
      </c>
      <c r="C4429" s="28">
        <f>IFERROR(__xludf.DUMMYFUNCTION("""COMPUTED_VALUE"""),46000.0)</f>
        <v>46000</v>
      </c>
      <c r="D4429" s="28">
        <f>IFERROR(__xludf.DUMMYFUNCTION("""COMPUTED_VALUE"""),46008.0)</f>
        <v>46008</v>
      </c>
      <c r="E4429" s="26">
        <f>IFERROR(__xludf.DUMMYFUNCTION("""COMPUTED_VALUE"""),347617.0)</f>
        <v>347617</v>
      </c>
      <c r="F4429" s="22" t="str">
        <f>IFERROR(__xludf.DUMMYFUNCTION("""COMPUTED_VALUE"""),"黒騎士さま、溺愛しすぎです！")</f>
        <v>黒騎士さま、溺愛しすぎです！</v>
      </c>
      <c r="G4429" s="20" t="str">
        <f>IFERROR(__xludf.DUMMYFUNCTION("""COMPUTED_VALUE"""),"1～4")</f>
        <v>1～4</v>
      </c>
      <c r="H4429" s="22" t="str">
        <f>IFERROR(__xludf.DUMMYFUNCTION("""COMPUTED_VALUE"""),"夏空あめ・千早朔")</f>
        <v>夏空あめ・千早朔</v>
      </c>
      <c r="I4429" s="22" t="str">
        <f>IFERROR(__xludf.DUMMYFUNCTION("""COMPUTED_VALUE"""),"女性")</f>
        <v>女性</v>
      </c>
      <c r="J4429" s="22"/>
      <c r="K4429" s="22"/>
      <c r="L4429" s="22" t="str">
        <f>IFERROR(__xludf.DUMMYFUNCTION("""COMPUTED_VALUE"""),"Freedia")</f>
        <v>Freedia</v>
      </c>
      <c r="M4429" s="33">
        <f>IFERROR(__xludf.DUMMYFUNCTION("""COMPUTED_VALUE"""),46031.0)</f>
        <v>46031</v>
      </c>
      <c r="N4429" s="33">
        <f>IFERROR(__xludf.DUMMYFUNCTION("""COMPUTED_VALUE"""),46120.0)</f>
        <v>46120</v>
      </c>
      <c r="O4429" s="20"/>
      <c r="P4429" s="32" t="str">
        <f>IFERROR(__xludf.DUMMYFUNCTION("""COMPUTED_VALUE"""),"可")</f>
        <v>可</v>
      </c>
      <c r="Q4429" s="30"/>
      <c r="R4429" s="22"/>
      <c r="S4429" s="22" t="str">
        <f>IFERROR(__xludf.DUMMYFUNCTION("""COMPUTED_VALUE"""),"20251209_Freedia_黒騎士さま、溺愛しすぎです！")</f>
        <v>20251209_Freedia_黒騎士さま、溺愛しすぎです！</v>
      </c>
      <c r="T4429" s="22" t="str">
        <f>IFERROR(__xludf.DUMMYFUNCTION("""COMPUTED_VALUE"""),"格納済み")</f>
        <v>格納済み</v>
      </c>
      <c r="U4429" s="9" t="str">
        <f>IFERROR(__xludf.DUMMYFUNCTION("""COMPUTED_VALUE"""),"Ⓒ夏空あめ・千早朔/Freedia・テラーノベル")</f>
        <v>Ⓒ夏空あめ・千早朔/Freedia・テラーノベル</v>
      </c>
      <c r="V4429" s="8"/>
      <c r="W4429" s="8"/>
      <c r="X4429" s="8" t="str">
        <f>IFERROR(__xludf.DUMMYFUNCTION("""COMPUTED_VALUE"""),"有")</f>
        <v>有</v>
      </c>
      <c r="Y4429" s="8" t="str">
        <f>IFERROR(__xludf.DUMMYFUNCTION("""COMPUTED_VALUE"""),"2026/4/8まで1巻無料")</f>
        <v>2026/4/8まで1巻無料</v>
      </c>
      <c r="Z4429" s="7"/>
      <c r="AA4429" s="7"/>
      <c r="AB4429" s="7"/>
    </row>
    <row r="4430" ht="15.75" customHeight="1">
      <c r="A4430" s="26">
        <f>IFERROR(__xludf.DUMMYFUNCTION("""COMPUTED_VALUE"""),7049.0)</f>
        <v>7049</v>
      </c>
      <c r="B4430" s="22" t="str">
        <f>IFERROR(__xludf.DUMMYFUNCTION("""COMPUTED_VALUE"""),"確定")</f>
        <v>確定</v>
      </c>
      <c r="C4430" s="28">
        <f>IFERROR(__xludf.DUMMYFUNCTION("""COMPUTED_VALUE"""),46003.0)</f>
        <v>46003</v>
      </c>
      <c r="D4430" s="28">
        <f>IFERROR(__xludf.DUMMYFUNCTION("""COMPUTED_VALUE"""),46008.0)</f>
        <v>46008</v>
      </c>
      <c r="E4430" s="26">
        <f>IFERROR(__xludf.DUMMYFUNCTION("""COMPUTED_VALUE"""),348629.0)</f>
        <v>348629</v>
      </c>
      <c r="F4430" s="22" t="str">
        <f>IFERROR(__xludf.DUMMYFUNCTION("""COMPUTED_VALUE"""),"comic Berry’s紡ぐはひとひらの光")</f>
        <v>comic Berry’s紡ぐはひとひらの光</v>
      </c>
      <c r="G4430" s="20" t="str">
        <f>IFERROR(__xludf.DUMMYFUNCTION("""COMPUTED_VALUE"""),"1～3")</f>
        <v>1～3</v>
      </c>
      <c r="H4430" s="22" t="str">
        <f>IFERROR(__xludf.DUMMYFUNCTION("""COMPUTED_VALUE"""),"作画：もるわん  原作：晴日青")</f>
        <v>作画：もるわん  原作：晴日青</v>
      </c>
      <c r="I4430" s="22" t="str">
        <f>IFERROR(__xludf.DUMMYFUNCTION("""COMPUTED_VALUE"""),"女性")</f>
        <v>女性</v>
      </c>
      <c r="J4430" s="22"/>
      <c r="K4430" s="22"/>
      <c r="L4430" s="22" t="str">
        <f>IFERROR(__xludf.DUMMYFUNCTION("""COMPUTED_VALUE"""),"スターツ出版")</f>
        <v>スターツ出版</v>
      </c>
      <c r="M4430" s="33">
        <f>IFERROR(__xludf.DUMMYFUNCTION("""COMPUTED_VALUE"""),46038.0)</f>
        <v>46038</v>
      </c>
      <c r="N4430" s="33">
        <f>IFERROR(__xludf.DUMMYFUNCTION("""COMPUTED_VALUE"""),46128.0)</f>
        <v>46128</v>
      </c>
      <c r="O4430" s="20"/>
      <c r="P4430" s="32" t="str">
        <f>IFERROR(__xludf.DUMMYFUNCTION("""COMPUTED_VALUE"""),"否")</f>
        <v>否</v>
      </c>
      <c r="Q4430" s="30" t="str">
        <f>IFERROR(__xludf.DUMMYFUNCTION("""COMPUTED_VALUE"""),"【アウトバウンド提案】")</f>
        <v>【アウトバウンド提案】</v>
      </c>
      <c r="R4430" s="22"/>
      <c r="S4430" s="22" t="str">
        <f>IFERROR(__xludf.DUMMYFUNCTION("""COMPUTED_VALUE"""),"20251216_スターツ出版_紡ぐはひとひらの光")</f>
        <v>20251216_スターツ出版_紡ぐはひとひらの光</v>
      </c>
      <c r="T4430" s="22" t="str">
        <f>IFERROR(__xludf.DUMMYFUNCTION("""COMPUTED_VALUE"""),"格納済み")</f>
        <v>格納済み</v>
      </c>
      <c r="U4430" s="9" t="str">
        <f>IFERROR(__xludf.DUMMYFUNCTION("""COMPUTED_VALUE"""),"（C）Moruwan・Ao Haruhi/スターツ出版")</f>
        <v>（C）Moruwan・Ao Haruhi/スターツ出版</v>
      </c>
      <c r="V4430" s="8"/>
      <c r="W4430" s="8"/>
      <c r="X4430" s="8" t="str">
        <f>IFERROR(__xludf.DUMMYFUNCTION("""COMPUTED_VALUE"""),"有")</f>
        <v>有</v>
      </c>
      <c r="Y4430" s="8" t="str">
        <f>IFERROR(__xludf.DUMMYFUNCTION("""COMPUTED_VALUE"""),"2026/4/16まで1巻無料")</f>
        <v>2026/4/16まで1巻無料</v>
      </c>
      <c r="Z4430" s="7"/>
      <c r="AA4430" s="7"/>
      <c r="AB4430" s="7"/>
    </row>
    <row r="4431" ht="15.75" customHeight="1">
      <c r="A4431" s="26">
        <f>IFERROR(__xludf.DUMMYFUNCTION("""COMPUTED_VALUE"""),7050.0)</f>
        <v>7050</v>
      </c>
      <c r="B4431" s="22" t="str">
        <f>IFERROR(__xludf.DUMMYFUNCTION("""COMPUTED_VALUE"""),"確定")</f>
        <v>確定</v>
      </c>
      <c r="C4431" s="28">
        <f>IFERROR(__xludf.DUMMYFUNCTION("""COMPUTED_VALUE"""),46003.0)</f>
        <v>46003</v>
      </c>
      <c r="D4431" s="28">
        <f>IFERROR(__xludf.DUMMYFUNCTION("""COMPUTED_VALUE"""),46008.0)</f>
        <v>46008</v>
      </c>
      <c r="E4431" s="26">
        <f>IFERROR(__xludf.DUMMYFUNCTION("""COMPUTED_VALUE"""),348151.0)</f>
        <v>348151</v>
      </c>
      <c r="F4431" s="22" t="str">
        <f>IFERROR(__xludf.DUMMYFUNCTION("""COMPUTED_VALUE"""),"【単話版】HOMジナイズ")</f>
        <v>【単話版】HOMジナイズ</v>
      </c>
      <c r="G4431" s="20" t="str">
        <f>IFERROR(__xludf.DUMMYFUNCTION("""COMPUTED_VALUE"""),"1～6")</f>
        <v>1～6</v>
      </c>
      <c r="H4431" s="22" t="str">
        <f>IFERROR(__xludf.DUMMYFUNCTION("""COMPUTED_VALUE"""),"原作：CAndT/漫画：五ノ二六")</f>
        <v>原作：CAndT/漫画：五ノ二六</v>
      </c>
      <c r="I4431" s="22" t="str">
        <f>IFERROR(__xludf.DUMMYFUNCTION("""COMPUTED_VALUE"""),"青年")</f>
        <v>青年</v>
      </c>
      <c r="J4431" s="22"/>
      <c r="K4431" s="22"/>
      <c r="L4431" s="22" t="str">
        <f>IFERROR(__xludf.DUMMYFUNCTION("""COMPUTED_VALUE"""),"新潮社")</f>
        <v>新潮社</v>
      </c>
      <c r="M4431" s="33">
        <f>IFERROR(__xludf.DUMMYFUNCTION("""COMPUTED_VALUE"""),46047.0)</f>
        <v>46047</v>
      </c>
      <c r="N4431" s="33">
        <f>IFERROR(__xludf.DUMMYFUNCTION("""COMPUTED_VALUE"""),46386.0)</f>
        <v>46386</v>
      </c>
      <c r="O4431" s="20"/>
      <c r="P4431" s="32" t="str">
        <f>IFERROR(__xludf.DUMMYFUNCTION("""COMPUTED_VALUE"""),"否")</f>
        <v>否</v>
      </c>
      <c r="Q4431" s="30"/>
      <c r="R4431" s="22"/>
      <c r="S4431" s="22" t="str">
        <f>IFERROR(__xludf.DUMMYFUNCTION("""COMPUTED_VALUE"""),"20251210_新潮社_HOMジナイズ")</f>
        <v>20251210_新潮社_HOMジナイズ</v>
      </c>
      <c r="T4431" s="22" t="str">
        <f>IFERROR(__xludf.DUMMYFUNCTION("""COMPUTED_VALUE"""),"格納済み")</f>
        <v>格納済み</v>
      </c>
      <c r="U4431" s="9" t="str">
        <f>IFERROR(__xludf.DUMMYFUNCTION("""COMPUTED_VALUE"""),"(C)CAndT 五ノ二六／新潮社")</f>
        <v>(C)CAndT 五ノ二六／新潮社</v>
      </c>
      <c r="V4431" s="8"/>
      <c r="W4431" s="8"/>
      <c r="X4431" s="8" t="str">
        <f>IFERROR(__xludf.DUMMYFUNCTION("""COMPUTED_VALUE"""),"有")</f>
        <v>有</v>
      </c>
      <c r="Y4431" s="8" t="str">
        <f>IFERROR(__xludf.DUMMYFUNCTION("""COMPUTED_VALUE"""),"2026/7/31まで1巻無料")</f>
        <v>2026/7/31まで1巻無料</v>
      </c>
      <c r="Z4431" s="7"/>
      <c r="AA4431" s="7"/>
      <c r="AB4431" s="7"/>
    </row>
    <row r="4432" ht="15.75" customHeight="1">
      <c r="A4432" s="26">
        <f>IFERROR(__xludf.DUMMYFUNCTION("""COMPUTED_VALUE"""),7052.0)</f>
        <v>7052</v>
      </c>
      <c r="B4432" s="22" t="str">
        <f>IFERROR(__xludf.DUMMYFUNCTION("""COMPUTED_VALUE"""),"確定")</f>
        <v>確定</v>
      </c>
      <c r="C4432" s="28">
        <f>IFERROR(__xludf.DUMMYFUNCTION("""COMPUTED_VALUE"""),46006.0)</f>
        <v>46006</v>
      </c>
      <c r="D4432" s="28">
        <f>IFERROR(__xludf.DUMMYFUNCTION("""COMPUTED_VALUE"""),46008.0)</f>
        <v>46008</v>
      </c>
      <c r="E4432" s="26">
        <f>IFERROR(__xludf.DUMMYFUNCTION("""COMPUTED_VALUE"""),346618.0)</f>
        <v>346618</v>
      </c>
      <c r="F4432" s="22" t="str">
        <f>IFERROR(__xludf.DUMMYFUNCTION("""COMPUTED_VALUE"""),"魔法が使えなくても。〜虐げられ薬師は、王子の手により才能が開花する〜")</f>
        <v>魔法が使えなくても。〜虐げられ薬師は、王子の手により才能が開花する〜</v>
      </c>
      <c r="G4432" s="20" t="str">
        <f>IFERROR(__xludf.DUMMYFUNCTION("""COMPUTED_VALUE"""),"1～2")</f>
        <v>1～2</v>
      </c>
      <c r="H4432" s="22" t="str">
        <f>IFERROR(__xludf.DUMMYFUNCTION("""COMPUTED_VALUE"""),"米粒味／COMIC ROOM")</f>
        <v>米粒味／COMIC ROOM</v>
      </c>
      <c r="I4432" s="22" t="str">
        <f>IFERROR(__xludf.DUMMYFUNCTION("""COMPUTED_VALUE"""),"女性")</f>
        <v>女性</v>
      </c>
      <c r="J4432" s="22"/>
      <c r="K4432" s="22"/>
      <c r="L4432" s="22" t="str">
        <f>IFERROR(__xludf.DUMMYFUNCTION("""COMPUTED_VALUE"""),"コミックルーム")</f>
        <v>コミックルーム</v>
      </c>
      <c r="M4432" s="33">
        <f>IFERROR(__xludf.DUMMYFUNCTION("""COMPUTED_VALUE"""),46037.0)</f>
        <v>46037</v>
      </c>
      <c r="N4432" s="33">
        <f>IFERROR(__xludf.DUMMYFUNCTION("""COMPUTED_VALUE"""),46126.0)</f>
        <v>46126</v>
      </c>
      <c r="O4432" s="20"/>
      <c r="P4432" s="32" t="str">
        <f>IFERROR(__xludf.DUMMYFUNCTION("""COMPUTED_VALUE"""),"可")</f>
        <v>可</v>
      </c>
      <c r="Q4432" s="30"/>
      <c r="R4432" s="22"/>
      <c r="S4432" s="22" t="str">
        <f>IFERROR(__xludf.DUMMYFUNCTION("""COMPUTED_VALUE"""),"20251215_コミックルーム_魔法が使えなくても。〜虐げられ薬師は、王子の手により才能が開花する〜")</f>
        <v>20251215_コミックルーム_魔法が使えなくても。〜虐げられ薬師は、王子の手により才能が開花する〜</v>
      </c>
      <c r="T4432" s="22" t="str">
        <f>IFERROR(__xludf.DUMMYFUNCTION("""COMPUTED_VALUE"""),"格納済み")</f>
        <v>格納済み</v>
      </c>
      <c r="U4432" s="9" t="str">
        <f>IFERROR(__xludf.DUMMYFUNCTION("""COMPUTED_VALUE"""),"(c)米粒味／COMIC ROOM")</f>
        <v>(c)米粒味／COMIC ROOM</v>
      </c>
      <c r="V4432" s="8"/>
      <c r="W4432" s="8"/>
      <c r="X4432" s="8" t="str">
        <f>IFERROR(__xludf.DUMMYFUNCTION("""COMPUTED_VALUE"""),"有")</f>
        <v>有</v>
      </c>
      <c r="Y4432" s="8" t="str">
        <f>IFERROR(__xludf.DUMMYFUNCTION("""COMPUTED_VALUE"""),"P15まで")</f>
        <v>P15まで</v>
      </c>
      <c r="Z4432" s="7"/>
      <c r="AA4432" s="7"/>
      <c r="AB4432" s="7"/>
    </row>
    <row r="4433" ht="15.75" customHeight="1">
      <c r="A4433" s="26">
        <f>IFERROR(__xludf.DUMMYFUNCTION("""COMPUTED_VALUE"""),7053.0)</f>
        <v>7053</v>
      </c>
      <c r="B4433" s="22" t="str">
        <f>IFERROR(__xludf.DUMMYFUNCTION("""COMPUTED_VALUE"""),"確定")</f>
        <v>確定</v>
      </c>
      <c r="C4433" s="28">
        <f>IFERROR(__xludf.DUMMYFUNCTION("""COMPUTED_VALUE"""),46006.0)</f>
        <v>46006</v>
      </c>
      <c r="D4433" s="28">
        <f>IFERROR(__xludf.DUMMYFUNCTION("""COMPUTED_VALUE"""),46008.0)</f>
        <v>46008</v>
      </c>
      <c r="E4433" s="26">
        <f>IFERROR(__xludf.DUMMYFUNCTION("""COMPUTED_VALUE"""),346619.0)</f>
        <v>346619</v>
      </c>
      <c r="F4433" s="22" t="str">
        <f>IFERROR(__xludf.DUMMYFUNCTION("""COMPUTED_VALUE"""),"後悔する準備はよろしくて？妹が捨てた婚約者と復讐します！")</f>
        <v>後悔する準備はよろしくて？妹が捨てた婚約者と復讐します！</v>
      </c>
      <c r="G4433" s="20" t="str">
        <f>IFERROR(__xludf.DUMMYFUNCTION("""COMPUTED_VALUE"""),"1～2")</f>
        <v>1～2</v>
      </c>
      <c r="H4433" s="22" t="str">
        <f>IFERROR(__xludf.DUMMYFUNCTION("""COMPUTED_VALUE"""),"フクヱカヲリ／COMIC ROOM")</f>
        <v>フクヱカヲリ／COMIC ROOM</v>
      </c>
      <c r="I4433" s="22" t="str">
        <f>IFERROR(__xludf.DUMMYFUNCTION("""COMPUTED_VALUE"""),"女性")</f>
        <v>女性</v>
      </c>
      <c r="J4433" s="22"/>
      <c r="K4433" s="22"/>
      <c r="L4433" s="22" t="str">
        <f>IFERROR(__xludf.DUMMYFUNCTION("""COMPUTED_VALUE"""),"コミックルーム")</f>
        <v>コミックルーム</v>
      </c>
      <c r="M4433" s="33">
        <f>IFERROR(__xludf.DUMMYFUNCTION("""COMPUTED_VALUE"""),46037.0)</f>
        <v>46037</v>
      </c>
      <c r="N4433" s="33">
        <f>IFERROR(__xludf.DUMMYFUNCTION("""COMPUTED_VALUE"""),46126.0)</f>
        <v>46126</v>
      </c>
      <c r="O4433" s="20"/>
      <c r="P4433" s="32" t="str">
        <f>IFERROR(__xludf.DUMMYFUNCTION("""COMPUTED_VALUE"""),"可")</f>
        <v>可</v>
      </c>
      <c r="Q4433" s="30"/>
      <c r="R4433" s="22"/>
      <c r="S4433" s="22" t="str">
        <f>IFERROR(__xludf.DUMMYFUNCTION("""COMPUTED_VALUE"""),"20251215_コミックルーム_後悔する準備はよろしくて？妹が捨てた婚約者と復讐します！")</f>
        <v>20251215_コミックルーム_後悔する準備はよろしくて？妹が捨てた婚約者と復讐します！</v>
      </c>
      <c r="T4433" s="22" t="str">
        <f>IFERROR(__xludf.DUMMYFUNCTION("""COMPUTED_VALUE"""),"格納済み")</f>
        <v>格納済み</v>
      </c>
      <c r="U4433" s="9" t="str">
        <f>IFERROR(__xludf.DUMMYFUNCTION("""COMPUTED_VALUE"""),"(c)フクヱカヲリ／COMIC ROOM")</f>
        <v>(c)フクヱカヲリ／COMIC ROOM</v>
      </c>
      <c r="V4433" s="8"/>
      <c r="W4433" s="8"/>
      <c r="X4433" s="8" t="str">
        <f>IFERROR(__xludf.DUMMYFUNCTION("""COMPUTED_VALUE"""),"有")</f>
        <v>有</v>
      </c>
      <c r="Y4433" s="8" t="str">
        <f>IFERROR(__xludf.DUMMYFUNCTION("""COMPUTED_VALUE"""),"P12まで")</f>
        <v>P12まで</v>
      </c>
      <c r="Z4433" s="7"/>
      <c r="AA4433" s="7"/>
      <c r="AB4433" s="7"/>
    </row>
    <row r="4434" ht="15.75" customHeight="1">
      <c r="A4434" s="26">
        <f>IFERROR(__xludf.DUMMYFUNCTION("""COMPUTED_VALUE"""),7054.0)</f>
        <v>7054</v>
      </c>
      <c r="B4434" s="22" t="str">
        <f>IFERROR(__xludf.DUMMYFUNCTION("""COMPUTED_VALUE"""),"確定")</f>
        <v>確定</v>
      </c>
      <c r="C4434" s="28">
        <f>IFERROR(__xludf.DUMMYFUNCTION("""COMPUTED_VALUE"""),46006.0)</f>
        <v>46006</v>
      </c>
      <c r="D4434" s="28">
        <f>IFERROR(__xludf.DUMMYFUNCTION("""COMPUTED_VALUE"""),46006.0)</f>
        <v>46006</v>
      </c>
      <c r="E4434" s="26">
        <f>IFERROR(__xludf.DUMMYFUNCTION("""COMPUTED_VALUE"""),346620.0)</f>
        <v>346620</v>
      </c>
      <c r="F4434" s="22" t="str">
        <f>IFERROR(__xludf.DUMMYFUNCTION("""COMPUTED_VALUE"""),"天才魔術師の私が、凡才王子を選んだ理由")</f>
        <v>天才魔術師の私が、凡才王子を選んだ理由</v>
      </c>
      <c r="G4434" s="20" t="str">
        <f>IFERROR(__xludf.DUMMYFUNCTION("""COMPUTED_VALUE"""),"1～2")</f>
        <v>1～2</v>
      </c>
      <c r="H4434" s="22" t="str">
        <f>IFERROR(__xludf.DUMMYFUNCTION("""COMPUTED_VALUE"""),"yujico／COMIC ROOM")</f>
        <v>yujico／COMIC ROOM</v>
      </c>
      <c r="I4434" s="22" t="str">
        <f>IFERROR(__xludf.DUMMYFUNCTION("""COMPUTED_VALUE"""),"女性")</f>
        <v>女性</v>
      </c>
      <c r="J4434" s="22"/>
      <c r="K4434" s="22"/>
      <c r="L4434" s="22" t="str">
        <f>IFERROR(__xludf.DUMMYFUNCTION("""COMPUTED_VALUE"""),"コミックルーム")</f>
        <v>コミックルーム</v>
      </c>
      <c r="M4434" s="33">
        <f>IFERROR(__xludf.DUMMYFUNCTION("""COMPUTED_VALUE"""),46037.0)</f>
        <v>46037</v>
      </c>
      <c r="N4434" s="33">
        <f>IFERROR(__xludf.DUMMYFUNCTION("""COMPUTED_VALUE"""),46126.0)</f>
        <v>46126</v>
      </c>
      <c r="O4434" s="20"/>
      <c r="P4434" s="32" t="str">
        <f>IFERROR(__xludf.DUMMYFUNCTION("""COMPUTED_VALUE"""),"可")</f>
        <v>可</v>
      </c>
      <c r="Q4434" s="30"/>
      <c r="R4434" s="22"/>
      <c r="S4434" s="22" t="str">
        <f>IFERROR(__xludf.DUMMYFUNCTION("""COMPUTED_VALUE"""),"20251215_コミックルーム_天才魔術師の私が、凡才王子を選んだ理由")</f>
        <v>20251215_コミックルーム_天才魔術師の私が、凡才王子を選んだ理由</v>
      </c>
      <c r="T4434" s="22" t="str">
        <f>IFERROR(__xludf.DUMMYFUNCTION("""COMPUTED_VALUE"""),"格納済み")</f>
        <v>格納済み</v>
      </c>
      <c r="U4434" s="9" t="str">
        <f>IFERROR(__xludf.DUMMYFUNCTION("""COMPUTED_VALUE"""),"(c)yujico／COMIC ROOM")</f>
        <v>(c)yujico／COMIC ROOM</v>
      </c>
      <c r="V4434" s="8"/>
      <c r="W4434" s="8"/>
      <c r="X4434" s="8" t="str">
        <f>IFERROR(__xludf.DUMMYFUNCTION("""COMPUTED_VALUE"""),"有")</f>
        <v>有</v>
      </c>
      <c r="Y4434" s="8" t="str">
        <f>IFERROR(__xludf.DUMMYFUNCTION("""COMPUTED_VALUE"""),"P13まで")</f>
        <v>P13まで</v>
      </c>
      <c r="Z4434" s="7"/>
      <c r="AA4434" s="7"/>
      <c r="AB4434" s="7"/>
    </row>
    <row r="4435" ht="15.75" customHeight="1">
      <c r="A4435" s="26">
        <f>IFERROR(__xludf.DUMMYFUNCTION("""COMPUTED_VALUE"""),7055.0)</f>
        <v>7055</v>
      </c>
      <c r="B4435" s="22" t="str">
        <f>IFERROR(__xludf.DUMMYFUNCTION("""COMPUTED_VALUE"""),"確定")</f>
        <v>確定</v>
      </c>
      <c r="C4435" s="28">
        <f>IFERROR(__xludf.DUMMYFUNCTION("""COMPUTED_VALUE"""),46006.0)</f>
        <v>46006</v>
      </c>
      <c r="D4435" s="28">
        <f>IFERROR(__xludf.DUMMYFUNCTION("""COMPUTED_VALUE"""),46008.0)</f>
        <v>46008</v>
      </c>
      <c r="E4435" s="26">
        <f>IFERROR(__xludf.DUMMYFUNCTION("""COMPUTED_VALUE"""),346621.0)</f>
        <v>346621</v>
      </c>
      <c r="F4435" s="22" t="str">
        <f>IFERROR(__xludf.DUMMYFUNCTION("""COMPUTED_VALUE"""),"落ちこぼれの私にできる、たった一つの得意技")</f>
        <v>落ちこぼれの私にできる、たった一つの得意技</v>
      </c>
      <c r="G4435" s="20" t="str">
        <f>IFERROR(__xludf.DUMMYFUNCTION("""COMPUTED_VALUE"""),"1～2")</f>
        <v>1～2</v>
      </c>
      <c r="H4435" s="22" t="str">
        <f>IFERROR(__xludf.DUMMYFUNCTION("""COMPUTED_VALUE"""),"岸本悠希／COMIC ROOM")</f>
        <v>岸本悠希／COMIC ROOM</v>
      </c>
      <c r="I4435" s="22" t="str">
        <f>IFERROR(__xludf.DUMMYFUNCTION("""COMPUTED_VALUE"""),"女性")</f>
        <v>女性</v>
      </c>
      <c r="J4435" s="22"/>
      <c r="K4435" s="22"/>
      <c r="L4435" s="22" t="str">
        <f>IFERROR(__xludf.DUMMYFUNCTION("""COMPUTED_VALUE"""),"コミックルーム")</f>
        <v>コミックルーム</v>
      </c>
      <c r="M4435" s="33">
        <f>IFERROR(__xludf.DUMMYFUNCTION("""COMPUTED_VALUE"""),46037.0)</f>
        <v>46037</v>
      </c>
      <c r="N4435" s="33">
        <f>IFERROR(__xludf.DUMMYFUNCTION("""COMPUTED_VALUE"""),46126.0)</f>
        <v>46126</v>
      </c>
      <c r="O4435" s="20"/>
      <c r="P4435" s="32" t="str">
        <f>IFERROR(__xludf.DUMMYFUNCTION("""COMPUTED_VALUE"""),"否")</f>
        <v>否</v>
      </c>
      <c r="Q4435" s="30"/>
      <c r="R4435" s="22"/>
      <c r="S4435" s="22" t="str">
        <f>IFERROR(__xludf.DUMMYFUNCTION("""COMPUTED_VALUE"""),"20251215_コミックルーム_落ちこぼれの私にできる、たった一つの得意技")</f>
        <v>20251215_コミックルーム_落ちこぼれの私にできる、たった一つの得意技</v>
      </c>
      <c r="T4435" s="22" t="str">
        <f>IFERROR(__xludf.DUMMYFUNCTION("""COMPUTED_VALUE"""),"格納済み")</f>
        <v>格納済み</v>
      </c>
      <c r="U4435" s="9" t="str">
        <f>IFERROR(__xludf.DUMMYFUNCTION("""COMPUTED_VALUE"""),"(c)岸本悠希／COMIC ROOM")</f>
        <v>(c)岸本悠希／COMIC ROOM</v>
      </c>
      <c r="V4435" s="8"/>
      <c r="W4435" s="8"/>
      <c r="X4435" s="8" t="str">
        <f>IFERROR(__xludf.DUMMYFUNCTION("""COMPUTED_VALUE"""),"有")</f>
        <v>有</v>
      </c>
      <c r="Y4435" s="8" t="str">
        <f>IFERROR(__xludf.DUMMYFUNCTION("""COMPUTED_VALUE"""),"P12まで")</f>
        <v>P12まで</v>
      </c>
      <c r="Z4435" s="7"/>
      <c r="AA4435" s="7"/>
      <c r="AB4435" s="7"/>
    </row>
    <row r="4436" ht="15.75" customHeight="1">
      <c r="A4436" s="26">
        <f>IFERROR(__xludf.DUMMYFUNCTION("""COMPUTED_VALUE"""),7056.0)</f>
        <v>7056</v>
      </c>
      <c r="B4436" s="22" t="str">
        <f>IFERROR(__xludf.DUMMYFUNCTION("""COMPUTED_VALUE"""),"確定")</f>
        <v>確定</v>
      </c>
      <c r="C4436" s="28">
        <f>IFERROR(__xludf.DUMMYFUNCTION("""COMPUTED_VALUE"""),46006.0)</f>
        <v>46006</v>
      </c>
      <c r="D4436" s="28">
        <f>IFERROR(__xludf.DUMMYFUNCTION("""COMPUTED_VALUE"""),46008.0)</f>
        <v>46008</v>
      </c>
      <c r="E4436" s="26">
        <f>IFERROR(__xludf.DUMMYFUNCTION("""COMPUTED_VALUE"""),346622.0)</f>
        <v>346622</v>
      </c>
      <c r="F4436" s="22" t="str">
        <f>IFERROR(__xludf.DUMMYFUNCTION("""COMPUTED_VALUE"""),"今さら許しを乞われても、遅すぎましてよ？〜全てを失った魔術師は、王太子妃に返り咲く〜")</f>
        <v>今さら許しを乞われても、遅すぎましてよ？〜全てを失った魔術師は、王太子妃に返り咲く〜</v>
      </c>
      <c r="G4436" s="20" t="str">
        <f>IFERROR(__xludf.DUMMYFUNCTION("""COMPUTED_VALUE"""),"1～2")</f>
        <v>1～2</v>
      </c>
      <c r="H4436" s="22" t="str">
        <f>IFERROR(__xludf.DUMMYFUNCTION("""COMPUTED_VALUE"""),"たらればうに／COMIC ROOM")</f>
        <v>たらればうに／COMIC ROOM</v>
      </c>
      <c r="I4436" s="22" t="str">
        <f>IFERROR(__xludf.DUMMYFUNCTION("""COMPUTED_VALUE"""),"女性")</f>
        <v>女性</v>
      </c>
      <c r="J4436" s="22"/>
      <c r="K4436" s="22"/>
      <c r="L4436" s="22" t="str">
        <f>IFERROR(__xludf.DUMMYFUNCTION("""COMPUTED_VALUE"""),"コミックルーム")</f>
        <v>コミックルーム</v>
      </c>
      <c r="M4436" s="33">
        <f>IFERROR(__xludf.DUMMYFUNCTION("""COMPUTED_VALUE"""),46037.0)</f>
        <v>46037</v>
      </c>
      <c r="N4436" s="33">
        <f>IFERROR(__xludf.DUMMYFUNCTION("""COMPUTED_VALUE"""),46126.0)</f>
        <v>46126</v>
      </c>
      <c r="O4436" s="20"/>
      <c r="P4436" s="32" t="str">
        <f>IFERROR(__xludf.DUMMYFUNCTION("""COMPUTED_VALUE"""),"可")</f>
        <v>可</v>
      </c>
      <c r="Q4436" s="30"/>
      <c r="R4436" s="22"/>
      <c r="S4436" s="22" t="str">
        <f>IFERROR(__xludf.DUMMYFUNCTION("""COMPUTED_VALUE"""),"20251215_コミックルーム_今さら許しを乞われても、遅すぎましてよ？〜全てを失った魔術師は、王太子妃に返り咲く〜")</f>
        <v>20251215_コミックルーム_今さら許しを乞われても、遅すぎましてよ？〜全てを失った魔術師は、王太子妃に返り咲く〜</v>
      </c>
      <c r="T4436" s="22" t="str">
        <f>IFERROR(__xludf.DUMMYFUNCTION("""COMPUTED_VALUE"""),"格納済み")</f>
        <v>格納済み</v>
      </c>
      <c r="U4436" s="9" t="str">
        <f>IFERROR(__xludf.DUMMYFUNCTION("""COMPUTED_VALUE"""),"(c)たらればうに／COMIC ROOM")</f>
        <v>(c)たらればうに／COMIC ROOM</v>
      </c>
      <c r="V4436" s="8"/>
      <c r="W4436" s="8"/>
      <c r="X4436" s="8" t="str">
        <f>IFERROR(__xludf.DUMMYFUNCTION("""COMPUTED_VALUE"""),"有")</f>
        <v>有</v>
      </c>
      <c r="Y4436" s="8" t="str">
        <f>IFERROR(__xludf.DUMMYFUNCTION("""COMPUTED_VALUE"""),"P13まで")</f>
        <v>P13まで</v>
      </c>
      <c r="Z4436" s="7"/>
      <c r="AA4436" s="7"/>
      <c r="AB4436" s="7"/>
    </row>
    <row r="4437" ht="15.75" customHeight="1">
      <c r="A4437" s="26">
        <f>IFERROR(__xludf.DUMMYFUNCTION("""COMPUTED_VALUE"""),6263.0)</f>
        <v>6263</v>
      </c>
      <c r="B4437" s="22" t="str">
        <f>IFERROR(__xludf.DUMMYFUNCTION("""COMPUTED_VALUE"""),"確定")</f>
        <v>確定</v>
      </c>
      <c r="C4437" s="28">
        <f>IFERROR(__xludf.DUMMYFUNCTION("""COMPUTED_VALUE"""),45884.0)</f>
        <v>45884</v>
      </c>
      <c r="D4437" s="28">
        <f>IFERROR(__xludf.DUMMYFUNCTION("""COMPUTED_VALUE"""),46014.0)</f>
        <v>46014</v>
      </c>
      <c r="E4437" s="26">
        <f>IFERROR(__xludf.DUMMYFUNCTION("""COMPUTED_VALUE"""),346173.0)</f>
        <v>346173</v>
      </c>
      <c r="F4437" s="22" t="str">
        <f>IFERROR(__xludf.DUMMYFUNCTION("""COMPUTED_VALUE"""),"年の差旦那様と極秘授かり婚～イケオジ社長は幼妻と愛娘を過保護に溺愛中～【分冊版】")</f>
        <v>年の差旦那様と極秘授かり婚～イケオジ社長は幼妻と愛娘を過保護に溺愛中～【分冊版】</v>
      </c>
      <c r="G4437" s="20" t="str">
        <f>IFERROR(__xludf.DUMMYFUNCTION("""COMPUTED_VALUE"""),"1～3")</f>
        <v>1～3</v>
      </c>
      <c r="H4437" s="22" t="str">
        <f>IFERROR(__xludf.DUMMYFUNCTION("""COMPUTED_VALUE"""),"浦川まさる,斉河燈")</f>
        <v>浦川まさる,斉河燈</v>
      </c>
      <c r="I4437" s="22" t="str">
        <f>IFERROR(__xludf.DUMMYFUNCTION("""COMPUTED_VALUE"""),"女性")</f>
        <v>女性</v>
      </c>
      <c r="J4437" s="22"/>
      <c r="K4437" s="22"/>
      <c r="L4437" s="22" t="str">
        <f>IFERROR(__xludf.DUMMYFUNCTION("""COMPUTED_VALUE"""),"ハーパーコリンズ・ジャパン")</f>
        <v>ハーパーコリンズ・ジャパン</v>
      </c>
      <c r="M4437" s="33">
        <f>IFERROR(__xludf.DUMMYFUNCTION("""COMPUTED_VALUE"""),46041.0)</f>
        <v>46041</v>
      </c>
      <c r="N4437" s="33">
        <f>IFERROR(__xludf.DUMMYFUNCTION("""COMPUTED_VALUE"""),46128.0)</f>
        <v>46128</v>
      </c>
      <c r="O4437" s="20"/>
      <c r="P4437" s="32" t="str">
        <f>IFERROR(__xludf.DUMMYFUNCTION("""COMPUTED_VALUE"""),"可")</f>
        <v>可</v>
      </c>
      <c r="Q4437" s="30"/>
      <c r="R4437" s="22" t="str">
        <f>IFERROR(__xludf.DUMMYFUNCTION("""COMPUTED_VALUE"""),"コミットNG")</f>
        <v>コミットNG</v>
      </c>
      <c r="S4437" s="22" t="str">
        <f>IFERROR(__xludf.DUMMYFUNCTION("""COMPUTED_VALUE"""),"20251223_ハーパーコリンズ・ジャパン_年の差旦那様と極秘授かり婚～イケオジ社長は幼妻と愛娘を過保護に溺愛中～【分冊版】")</f>
        <v>20251223_ハーパーコリンズ・ジャパン_年の差旦那様と極秘授かり婚～イケオジ社長は幼妻と愛娘を過保護に溺愛中～【分冊版】</v>
      </c>
      <c r="T4437" s="22" t="str">
        <f>IFERROR(__xludf.DUMMYFUNCTION("""COMPUTED_VALUE"""),"格納済み")</f>
        <v>格納済み</v>
      </c>
      <c r="U4437" s="9" t="str">
        <f>IFERROR(__xludf.DUMMYFUNCTION("""COMPUTED_VALUE"""),"Ⓒ浦川まさる・斉河 燈／ハーパーコリンズ・ジャパン")</f>
        <v>Ⓒ浦川まさる・斉河 燈／ハーパーコリンズ・ジャパン</v>
      </c>
      <c r="V4437" s="8"/>
      <c r="W4437" s="8"/>
      <c r="X4437" s="8" t="str">
        <f>IFERROR(__xludf.DUMMYFUNCTION("""COMPUTED_VALUE"""),"有")</f>
        <v>有</v>
      </c>
      <c r="Y4437" s="8" t="str">
        <f>IFERROR(__xludf.DUMMYFUNCTION("""COMPUTED_VALUE"""),"2026/2/1まで1巻無料")</f>
        <v>2026/2/1まで1巻無料</v>
      </c>
      <c r="Z4437" s="7"/>
      <c r="AA4437" s="7"/>
      <c r="AB4437" s="7"/>
    </row>
    <row r="4438" ht="15.75" customHeight="1">
      <c r="A4438" s="26">
        <f>IFERROR(__xludf.DUMMYFUNCTION("""COMPUTED_VALUE"""),6530.0)</f>
        <v>6530</v>
      </c>
      <c r="B4438" s="22" t="str">
        <f>IFERROR(__xludf.DUMMYFUNCTION("""COMPUTED_VALUE"""),"確定")</f>
        <v>確定</v>
      </c>
      <c r="C4438" s="28">
        <f>IFERROR(__xludf.DUMMYFUNCTION("""COMPUTED_VALUE"""),45919.0)</f>
        <v>45919</v>
      </c>
      <c r="D4438" s="28">
        <f>IFERROR(__xludf.DUMMYFUNCTION("""COMPUTED_VALUE"""),46010.0)</f>
        <v>46010</v>
      </c>
      <c r="E4438" s="26" t="str">
        <f>IFERROR(__xludf.DUMMYFUNCTION("""COMPUTED_VALUE"""),"4415行目と同一")</f>
        <v>4415行目と同一</v>
      </c>
      <c r="F4438" s="22" t="str">
        <f>IFERROR(__xludf.DUMMYFUNCTION("""COMPUTED_VALUE"""),"二人一組になってください（コミック） 分冊版")</f>
        <v>二人一組になってください（コミック） 分冊版</v>
      </c>
      <c r="G4438" s="20" t="str">
        <f>IFERROR(__xludf.DUMMYFUNCTION("""COMPUTED_VALUE"""),"1~4")</f>
        <v>1~4</v>
      </c>
      <c r="H4438" s="22" t="str">
        <f>IFERROR(__xludf.DUMMYFUNCTION("""COMPUTED_VALUE"""),"月島綾")</f>
        <v>月島綾</v>
      </c>
      <c r="I4438" s="22" t="str">
        <f>IFERROR(__xludf.DUMMYFUNCTION("""COMPUTED_VALUE"""),"女性")</f>
        <v>女性</v>
      </c>
      <c r="J4438" s="22"/>
      <c r="K4438" s="22" t="str">
        <f>IFERROR(__xludf.DUMMYFUNCTION("""COMPUTED_VALUE"""),"KoiYui（恋結）")</f>
        <v>KoiYui（恋結）</v>
      </c>
      <c r="L4438" s="22" t="str">
        <f>IFERROR(__xludf.DUMMYFUNCTION("""COMPUTED_VALUE"""),"双葉社")</f>
        <v>双葉社</v>
      </c>
      <c r="M4438" s="33">
        <f>IFERROR(__xludf.DUMMYFUNCTION("""COMPUTED_VALUE"""),46037.0)</f>
        <v>46037</v>
      </c>
      <c r="N4438" s="33">
        <f>IFERROR(__xludf.DUMMYFUNCTION("""COMPUTED_VALUE"""),46095.0)</f>
        <v>46095</v>
      </c>
      <c r="O4438" s="20"/>
      <c r="P4438" s="32" t="str">
        <f>IFERROR(__xludf.DUMMYFUNCTION("""COMPUTED_VALUE"""),"可")</f>
        <v>可</v>
      </c>
      <c r="Q4438" s="30" t="str">
        <f>IFERROR(__xludf.DUMMYFUNCTION("""COMPUTED_VALUE"""),"格納素材をそれぞれ2分割して初回1~4話として配信します。&lt;BR&gt;「perfect crime」「unlock」などヒット作品を書いている先生の新作です。")</f>
        <v>格納素材をそれぞれ2分割して初回1~4話として配信します。&lt;BR&gt;「perfect crime」「unlock」などヒット作品を書いている先生の新作です。</v>
      </c>
      <c r="R4438" s="22" t="str">
        <f>IFERROR(__xludf.DUMMYFUNCTION("""COMPUTED_VALUE"""),"コミットOK")</f>
        <v>コミットOK</v>
      </c>
      <c r="S4438" s="22" t="str">
        <f>IFERROR(__xludf.DUMMYFUNCTION("""COMPUTED_VALUE"""),"20251217_双葉社_二人一組になってください（コミック） 分冊版")</f>
        <v>20251217_双葉社_二人一組になってください（コミック） 分冊版</v>
      </c>
      <c r="T4438" s="22" t="str">
        <f>IFERROR(__xludf.DUMMYFUNCTION("""COMPUTED_VALUE"""),"格納済み")</f>
        <v>格納済み</v>
      </c>
      <c r="U4438" s="9" t="str">
        <f>IFERROR(__xludf.DUMMYFUNCTION("""COMPUTED_VALUE"""),"Ⓒ月島綾・木爾チレン/双葉社")</f>
        <v>Ⓒ月島綾・木爾チレン/双葉社</v>
      </c>
      <c r="V4438" s="8"/>
      <c r="W4438" s="8"/>
      <c r="X4438" s="8" t="str">
        <f>IFERROR(__xludf.DUMMYFUNCTION("""COMPUTED_VALUE"""),"ー")</f>
        <v>ー</v>
      </c>
      <c r="Y4438" s="8" t="str">
        <f>IFERROR(__xludf.DUMMYFUNCTION("""COMPUTED_VALUE"""),"ー")</f>
        <v>ー</v>
      </c>
      <c r="Z4438" s="7"/>
      <c r="AA4438" s="7"/>
      <c r="AB4438" s="7"/>
    </row>
    <row r="4439" ht="15.75" customHeight="1">
      <c r="A4439" s="26">
        <f>IFERROR(__xludf.DUMMYFUNCTION("""COMPUTED_VALUE"""),6695.0)</f>
        <v>6695</v>
      </c>
      <c r="B4439" s="22" t="str">
        <f>IFERROR(__xludf.DUMMYFUNCTION("""COMPUTED_VALUE"""),"確定")</f>
        <v>確定</v>
      </c>
      <c r="C4439" s="28">
        <f>IFERROR(__xludf.DUMMYFUNCTION("""COMPUTED_VALUE"""),45947.0)</f>
        <v>45947</v>
      </c>
      <c r="D4439" s="28">
        <f>IFERROR(__xludf.DUMMYFUNCTION("""COMPUTED_VALUE"""),46015.0)</f>
        <v>46015</v>
      </c>
      <c r="E4439" s="26">
        <f>IFERROR(__xludf.DUMMYFUNCTION("""COMPUTED_VALUE"""),342593.0)</f>
        <v>342593</v>
      </c>
      <c r="F4439" s="22" t="str">
        <f>IFERROR(__xludf.DUMMYFUNCTION("""COMPUTED_VALUE"""),"【ラビオス】エッチ大好き聖人（？）三枝センセイの愛難  -逆転生騎士のアレが俺好みすぎて困ります-")</f>
        <v>【ラビオス】エッチ大好き聖人（？）三枝センセイの愛難  -逆転生騎士のアレが俺好みすぎて困ります-</v>
      </c>
      <c r="G4439" s="20" t="str">
        <f>IFERROR(__xludf.DUMMYFUNCTION("""COMPUTED_VALUE"""),"1～3")</f>
        <v>1～3</v>
      </c>
      <c r="H4439" s="22" t="str">
        <f>IFERROR(__xludf.DUMMYFUNCTION("""COMPUTED_VALUE"""),"漫画：佐希 原作：久松エイト")</f>
        <v>漫画：佐希 原作：久松エイト</v>
      </c>
      <c r="I4439" s="22" t="str">
        <f>IFERROR(__xludf.DUMMYFUNCTION("""COMPUTED_VALUE"""),"BL")</f>
        <v>BL</v>
      </c>
      <c r="J4439" s="22"/>
      <c r="K4439" s="22" t="str">
        <f>IFERROR(__xludf.DUMMYFUNCTION("""COMPUTED_VALUE"""),"Labios")</f>
        <v>Labios</v>
      </c>
      <c r="L4439" s="22" t="str">
        <f>IFERROR(__xludf.DUMMYFUNCTION("""COMPUTED_VALUE"""),"アーク・プレス")</f>
        <v>アーク・プレス</v>
      </c>
      <c r="M4439" s="33">
        <f>IFERROR(__xludf.DUMMYFUNCTION("""COMPUTED_VALUE"""),46044.0)</f>
        <v>46044</v>
      </c>
      <c r="N4439" s="33">
        <f>IFERROR(__xludf.DUMMYFUNCTION("""COMPUTED_VALUE"""),46134.0)</f>
        <v>46134</v>
      </c>
      <c r="O4439" s="20"/>
      <c r="P4439" s="32" t="str">
        <f>IFERROR(__xludf.DUMMYFUNCTION("""COMPUTED_VALUE"""),"可")</f>
        <v>可</v>
      </c>
      <c r="Q4439" s="30" t="str">
        <f>IFERROR(__xludf.DUMMYFUNCTION("""COMPUTED_VALUE"""),"【アダルト作品扱い】")</f>
        <v>【アダルト作品扱い】</v>
      </c>
      <c r="R4439" s="22" t="str">
        <f>IFERROR(__xludf.DUMMYFUNCTION("""COMPUTED_VALUE"""),"コミットOK")</f>
        <v>コミットOK</v>
      </c>
      <c r="S4439" s="22" t="str">
        <f>IFERROR(__xludf.DUMMYFUNCTION("""COMPUTED_VALUE"""),"251223_アーク・プレス_【ラビオス】エッチ大好き聖人（？）三枝センセイの愛難  -逆転生騎士のアレが俺好みすぎて困ります-")</f>
        <v>251223_アーク・プレス_【ラビオス】エッチ大好き聖人（？）三枝センセイの愛難  -逆転生騎士のアレが俺好みすぎて困ります-</v>
      </c>
      <c r="T4439" s="22" t="str">
        <f>IFERROR(__xludf.DUMMYFUNCTION("""COMPUTED_VALUE"""),"格納済み")</f>
        <v>格納済み</v>
      </c>
      <c r="U4439" s="9" t="str">
        <f>IFERROR(__xludf.DUMMYFUNCTION("""COMPUTED_VALUE"""),"(c)佐希／久松エイト／アーク・プレス")</f>
        <v>(c)佐希／久松エイト／アーク・プレス</v>
      </c>
      <c r="V4439" s="8"/>
      <c r="W4439" s="8"/>
      <c r="X4439" s="8" t="str">
        <f>IFERROR(__xludf.DUMMYFUNCTION("""COMPUTED_VALUE"""),"有")</f>
        <v>有</v>
      </c>
      <c r="Y4439" s="8" t="str">
        <f>IFERROR(__xludf.DUMMYFUNCTION("""COMPUTED_VALUE"""),"2026/2/4まで1巻無料")</f>
        <v>2026/2/4まで1巻無料</v>
      </c>
      <c r="Z4439" s="7"/>
      <c r="AA4439" s="7"/>
      <c r="AB4439" s="7"/>
    </row>
    <row r="4440" ht="15.75" customHeight="1">
      <c r="A4440" s="26">
        <f>IFERROR(__xludf.DUMMYFUNCTION("""COMPUTED_VALUE"""),6801.0)</f>
        <v>6801</v>
      </c>
      <c r="B4440" s="22" t="str">
        <f>IFERROR(__xludf.DUMMYFUNCTION("""COMPUTED_VALUE"""),"確定")</f>
        <v>確定</v>
      </c>
      <c r="C4440" s="28">
        <f>IFERROR(__xludf.DUMMYFUNCTION("""COMPUTED_VALUE"""),45966.0)</f>
        <v>45966</v>
      </c>
      <c r="D4440" s="28">
        <f>IFERROR(__xludf.DUMMYFUNCTION("""COMPUTED_VALUE"""),46015.0)</f>
        <v>46015</v>
      </c>
      <c r="E4440" s="26">
        <f>IFERROR(__xludf.DUMMYFUNCTION("""COMPUTED_VALUE"""),346522.0)</f>
        <v>346522</v>
      </c>
      <c r="F4440" s="22" t="str">
        <f>IFERROR(__xludf.DUMMYFUNCTION("""COMPUTED_VALUE"""),"冷酷皇子は無垢な花を愛でる～失われた初恋は二度咲く～")</f>
        <v>冷酷皇子は無垢な花を愛でる～失われた初恋は二度咲く～</v>
      </c>
      <c r="G4440" s="20" t="str">
        <f>IFERROR(__xludf.DUMMYFUNCTION("""COMPUTED_VALUE"""),"1～5")</f>
        <v>1～5</v>
      </c>
      <c r="H4440" s="22" t="str">
        <f>IFERROR(__xludf.DUMMYFUNCTION("""COMPUTED_VALUE"""),"紀早はゆ┴あさぎ千夜春┴エトワール編集部")</f>
        <v>紀早はゆ┴あさぎ千夜春┴エトワール編集部</v>
      </c>
      <c r="I4440" s="22" t="str">
        <f>IFERROR(__xludf.DUMMYFUNCTION("""COMPUTED_VALUE"""),"女性")</f>
        <v>女性</v>
      </c>
      <c r="J4440" s="22"/>
      <c r="K4440" s="22" t="str">
        <f>IFERROR(__xludf.DUMMYFUNCTION("""COMPUTED_VALUE"""),"COMICエトワール")</f>
        <v>COMICエトワール</v>
      </c>
      <c r="L4440" s="22" t="str">
        <f>IFERROR(__xludf.DUMMYFUNCTION("""COMPUTED_VALUE"""),"ライブコミックス")</f>
        <v>ライブコミックス</v>
      </c>
      <c r="M4440" s="33">
        <f>IFERROR(__xludf.DUMMYFUNCTION("""COMPUTED_VALUE"""),46045.0)</f>
        <v>46045</v>
      </c>
      <c r="N4440" s="33">
        <f>IFERROR(__xludf.DUMMYFUNCTION("""COMPUTED_VALUE"""),46136.0)</f>
        <v>46136</v>
      </c>
      <c r="O4440" s="20"/>
      <c r="P4440" s="32" t="str">
        <f>IFERROR(__xludf.DUMMYFUNCTION("""COMPUTED_VALUE"""),"可")</f>
        <v>可</v>
      </c>
      <c r="Q4440" s="30" t="str">
        <f>IFERROR(__xludf.DUMMYFUNCTION("""COMPUTED_VALUE"""),"&lt;BR&gt;")</f>
        <v>&lt;BR&gt;</v>
      </c>
      <c r="R4440" s="22" t="str">
        <f>IFERROR(__xludf.DUMMYFUNCTION("""COMPUTED_VALUE"""),"コミットOK")</f>
        <v>コミットOK</v>
      </c>
      <c r="S4440" s="22" t="str">
        <f>IFERROR(__xludf.DUMMYFUNCTION("""COMPUTED_VALUE"""),"20260123_BookLive_冷酷皇子は無垢な花を愛でる～失われた初恋は二度咲く～")</f>
        <v>20260123_BookLive_冷酷皇子は無垢な花を愛でる～失われた初恋は二度咲く～</v>
      </c>
      <c r="T4440" s="22" t="str">
        <f>IFERROR(__xludf.DUMMYFUNCTION("""COMPUTED_VALUE"""),"格納済み")</f>
        <v>格納済み</v>
      </c>
      <c r="U4440" s="9" t="str">
        <f>IFERROR(__xludf.DUMMYFUNCTION("""COMPUTED_VALUE"""),"(C)紀早はゆ・あさぎ千夜春/ライブコミックス")</f>
        <v>(C)紀早はゆ・あさぎ千夜春/ライブコミックス</v>
      </c>
      <c r="V4440" s="8"/>
      <c r="W4440" s="8"/>
      <c r="X4440" s="8" t="str">
        <f>IFERROR(__xludf.DUMMYFUNCTION("""COMPUTED_VALUE"""),"有")</f>
        <v>有</v>
      </c>
      <c r="Y4440" s="8" t="str">
        <f>IFERROR(__xludf.DUMMYFUNCTION("""COMPUTED_VALUE"""),"2026/4/24まで1巻無料")</f>
        <v>2026/4/24まで1巻無料</v>
      </c>
      <c r="Z4440" s="7"/>
      <c r="AA4440" s="7"/>
      <c r="AB4440" s="7"/>
    </row>
    <row r="4441" ht="15.75" customHeight="1">
      <c r="A4441" s="26">
        <f>IFERROR(__xludf.DUMMYFUNCTION("""COMPUTED_VALUE"""),6861.0)</f>
        <v>6861</v>
      </c>
      <c r="B4441" s="22" t="str">
        <f>IFERROR(__xludf.DUMMYFUNCTION("""COMPUTED_VALUE"""),"確定")</f>
        <v>確定</v>
      </c>
      <c r="C4441" s="28">
        <f>IFERROR(__xludf.DUMMYFUNCTION("""COMPUTED_VALUE"""),45972.0)</f>
        <v>45972</v>
      </c>
      <c r="D4441" s="28">
        <f>IFERROR(__xludf.DUMMYFUNCTION("""COMPUTED_VALUE"""),46014.0)</f>
        <v>46014</v>
      </c>
      <c r="E4441" s="26">
        <f>IFERROR(__xludf.DUMMYFUNCTION("""COMPUTED_VALUE"""),349747.0)</f>
        <v>349747</v>
      </c>
      <c r="F4441" s="22" t="str">
        <f>IFERROR(__xludf.DUMMYFUNCTION("""COMPUTED_VALUE"""),"千夜を籠む～ 花嫁は祟り神の贄～【分冊版】")</f>
        <v>千夜を籠む～ 花嫁は祟り神の贄～【分冊版】</v>
      </c>
      <c r="G4441" s="20" t="str">
        <f>IFERROR(__xludf.DUMMYFUNCTION("""COMPUTED_VALUE"""),"1～2")</f>
        <v>1～2</v>
      </c>
      <c r="H4441" s="22" t="str">
        <f>IFERROR(__xludf.DUMMYFUNCTION("""COMPUTED_VALUE"""),"しげまつ貴子")</f>
        <v>しげまつ貴子</v>
      </c>
      <c r="I4441" s="22" t="str">
        <f>IFERROR(__xludf.DUMMYFUNCTION("""COMPUTED_VALUE"""),"女性")</f>
        <v>女性</v>
      </c>
      <c r="J4441" s="22"/>
      <c r="K4441" s="22" t="str">
        <f>IFERROR(__xludf.DUMMYFUNCTION("""COMPUTED_VALUE"""),"プティルファンタジーコミックス")</f>
        <v>プティルファンタジーコミックス</v>
      </c>
      <c r="L4441" s="22" t="str">
        <f>IFERROR(__xludf.DUMMYFUNCTION("""COMPUTED_VALUE"""),"ハーパーコリンズ・ジャパン")</f>
        <v>ハーパーコリンズ・ジャパン</v>
      </c>
      <c r="M4441" s="33">
        <f>IFERROR(__xludf.DUMMYFUNCTION("""COMPUTED_VALUE"""),46045.0)</f>
        <v>46045</v>
      </c>
      <c r="N4441" s="33">
        <f>IFERROR(__xludf.DUMMYFUNCTION("""COMPUTED_VALUE"""),46134.0)</f>
        <v>46134</v>
      </c>
      <c r="O4441" s="20"/>
      <c r="P4441" s="32" t="str">
        <f>IFERROR(__xludf.DUMMYFUNCTION("""COMPUTED_VALUE"""),"可")</f>
        <v>可</v>
      </c>
      <c r="Q4441" s="30"/>
      <c r="R4441" s="22" t="str">
        <f>IFERROR(__xludf.DUMMYFUNCTION("""COMPUTED_VALUE"""),"コミットOK")</f>
        <v>コミットOK</v>
      </c>
      <c r="S4441" s="22" t="str">
        <f>IFERROR(__xludf.DUMMYFUNCTION("""COMPUTED_VALUE"""),"20251223_ハーパーコリンズ・ジャパン_千夜を籠む～ 花嫁は祟り神の贄～")</f>
        <v>20251223_ハーパーコリンズ・ジャパン_千夜を籠む～ 花嫁は祟り神の贄～</v>
      </c>
      <c r="T4441" s="22" t="str">
        <f>IFERROR(__xludf.DUMMYFUNCTION("""COMPUTED_VALUE"""),"格納済み")</f>
        <v>格納済み</v>
      </c>
      <c r="U4441" s="9" t="str">
        <f>IFERROR(__xludf.DUMMYFUNCTION("""COMPUTED_VALUE"""),"Ⓒしげまつ貴子／ハーパーコリンズ・ジャパン")</f>
        <v>Ⓒしげまつ貴子／ハーパーコリンズ・ジャパン</v>
      </c>
      <c r="V4441" s="8"/>
      <c r="W4441" s="8"/>
      <c r="X4441" s="8" t="str">
        <f>IFERROR(__xludf.DUMMYFUNCTION("""COMPUTED_VALUE"""),"有")</f>
        <v>有</v>
      </c>
      <c r="Y4441" s="8" t="str">
        <f>IFERROR(__xludf.DUMMYFUNCTION("""COMPUTED_VALUE"""),"2026/2/5まで1巻無料")</f>
        <v>2026/2/5まで1巻無料</v>
      </c>
      <c r="Z4441" s="7"/>
      <c r="AA4441" s="7"/>
      <c r="AB4441" s="7"/>
    </row>
    <row r="4442" ht="15.75" customHeight="1">
      <c r="A4442" s="26">
        <f>IFERROR(__xludf.DUMMYFUNCTION("""COMPUTED_VALUE"""),6867.0)</f>
        <v>6867</v>
      </c>
      <c r="B4442" s="22" t="str">
        <f>IFERROR(__xludf.DUMMYFUNCTION("""COMPUTED_VALUE"""),"確定")</f>
        <v>確定</v>
      </c>
      <c r="C4442" s="28">
        <f>IFERROR(__xludf.DUMMYFUNCTION("""COMPUTED_VALUE"""),45973.0)</f>
        <v>45973</v>
      </c>
      <c r="D4442" s="28">
        <f>IFERROR(__xludf.DUMMYFUNCTION("""COMPUTED_VALUE"""),46015.0)</f>
        <v>46015</v>
      </c>
      <c r="E4442" s="26">
        <f>IFERROR(__xludf.DUMMYFUNCTION("""COMPUTED_VALUE"""),348808.0)</f>
        <v>348808</v>
      </c>
      <c r="F4442" s="22" t="str">
        <f>IFERROR(__xludf.DUMMYFUNCTION("""COMPUTED_VALUE"""),"甘えたら許されるって思ってる？ 【短編】")</f>
        <v>甘えたら許されるって思ってる？ 【短編】</v>
      </c>
      <c r="G4442" s="20" t="str">
        <f>IFERROR(__xludf.DUMMYFUNCTION("""COMPUTED_VALUE"""),"1～3")</f>
        <v>1～3</v>
      </c>
      <c r="H4442" s="22" t="str">
        <f>IFERROR(__xludf.DUMMYFUNCTION("""COMPUTED_VALUE"""),"江口尋")</f>
        <v>江口尋</v>
      </c>
      <c r="I4442" s="22" t="str">
        <f>IFERROR(__xludf.DUMMYFUNCTION("""COMPUTED_VALUE"""),"TL")</f>
        <v>TL</v>
      </c>
      <c r="J4442" s="22"/>
      <c r="K4442" s="22"/>
      <c r="L4442" s="22" t="str">
        <f>IFERROR(__xludf.DUMMYFUNCTION("""COMPUTED_VALUE"""),"竹書房")</f>
        <v>竹書房</v>
      </c>
      <c r="M4442" s="33">
        <f>IFERROR(__xludf.DUMMYFUNCTION("""COMPUTED_VALUE"""),46043.0)</f>
        <v>46043</v>
      </c>
      <c r="N4442" s="33">
        <f>IFERROR(__xludf.DUMMYFUNCTION("""COMPUTED_VALUE"""),46098.0)</f>
        <v>46098</v>
      </c>
      <c r="O4442" s="20"/>
      <c r="P4442" s="32" t="str">
        <f>IFERROR(__xludf.DUMMYFUNCTION("""COMPUTED_VALUE"""),"可")</f>
        <v>可</v>
      </c>
      <c r="Q4442" s="30"/>
      <c r="R4442" s="22" t="str">
        <f>IFERROR(__xludf.DUMMYFUNCTION("""COMPUTED_VALUE"""),"コミットOK")</f>
        <v>コミットOK</v>
      </c>
      <c r="S4442" s="22" t="str">
        <f>IFERROR(__xludf.DUMMYFUNCTION("""COMPUTED_VALUE"""),"20251223_竹書房_甘えたら許されるって思ってる？")</f>
        <v>20251223_竹書房_甘えたら許されるって思ってる？</v>
      </c>
      <c r="T4442" s="22" t="str">
        <f>IFERROR(__xludf.DUMMYFUNCTION("""COMPUTED_VALUE"""),"格納済み")</f>
        <v>格納済み</v>
      </c>
      <c r="U4442" s="9" t="str">
        <f>IFERROR(__xludf.DUMMYFUNCTION("""COMPUTED_VALUE"""),"Ⓒ江口 尋／竹書房")</f>
        <v>Ⓒ江口 尋／竹書房</v>
      </c>
      <c r="V4442" s="8"/>
      <c r="W4442" s="8"/>
      <c r="X4442" s="8" t="str">
        <f>IFERROR(__xludf.DUMMYFUNCTION("""COMPUTED_VALUE"""),"有")</f>
        <v>有</v>
      </c>
      <c r="Y4442" s="8" t="str">
        <f>IFERROR(__xludf.DUMMYFUNCTION("""COMPUTED_VALUE"""),"2026/2/3まで1巻無料")</f>
        <v>2026/2/3まで1巻無料</v>
      </c>
      <c r="Z4442" s="7"/>
      <c r="AA4442" s="7"/>
      <c r="AB4442" s="7"/>
    </row>
    <row r="4443" ht="15.75" customHeight="1">
      <c r="A4443" s="26">
        <f>IFERROR(__xludf.DUMMYFUNCTION("""COMPUTED_VALUE"""),6912.0)</f>
        <v>6912</v>
      </c>
      <c r="B4443" s="22" t="str">
        <f>IFERROR(__xludf.DUMMYFUNCTION("""COMPUTED_VALUE"""),"確定")</f>
        <v>確定</v>
      </c>
      <c r="C4443" s="28">
        <f>IFERROR(__xludf.DUMMYFUNCTION("""COMPUTED_VALUE"""),45980.0)</f>
        <v>45980</v>
      </c>
      <c r="D4443" s="28">
        <f>IFERROR(__xludf.DUMMYFUNCTION("""COMPUTED_VALUE"""),46014.0)</f>
        <v>46014</v>
      </c>
      <c r="E4443" s="26">
        <f>IFERROR(__xludf.DUMMYFUNCTION("""COMPUTED_VALUE"""),342576.0)</f>
        <v>342576</v>
      </c>
      <c r="F4443" s="22" t="str">
        <f>IFERROR(__xludf.DUMMYFUNCTION("""COMPUTED_VALUE"""),"イケオジ王弟殿下との白い結婚〜君を愛するつもりはないと言った旦那様が過保護に溺愛してきます〜")</f>
        <v>イケオジ王弟殿下との白い結婚〜君を愛するつもりはないと言った旦那様が過保護に溺愛してきます〜</v>
      </c>
      <c r="G4443" s="20" t="str">
        <f>IFERROR(__xludf.DUMMYFUNCTION("""COMPUTED_VALUE"""),"1～3")</f>
        <v>1～3</v>
      </c>
      <c r="H4443" s="22" t="str">
        <f>IFERROR(__xludf.DUMMYFUNCTION("""COMPUTED_VALUE"""),"作画：五田坊主／原作：氷雨そら／キャラクター原案：m/g")</f>
        <v>作画：五田坊主／原作：氷雨そら／キャラクター原案：m/g</v>
      </c>
      <c r="I4443" s="22" t="str">
        <f>IFERROR(__xludf.DUMMYFUNCTION("""COMPUTED_VALUE"""),"女性")</f>
        <v>女性</v>
      </c>
      <c r="J4443" s="22"/>
      <c r="K4443" s="22"/>
      <c r="L4443" s="22" t="str">
        <f>IFERROR(__xludf.DUMMYFUNCTION("""COMPUTED_VALUE"""),"ぴあ")</f>
        <v>ぴあ</v>
      </c>
      <c r="M4443" s="33">
        <f>IFERROR(__xludf.DUMMYFUNCTION("""COMPUTED_VALUE"""),46037.0)</f>
        <v>46037</v>
      </c>
      <c r="N4443" s="33">
        <f>IFERROR(__xludf.DUMMYFUNCTION("""COMPUTED_VALUE"""),46095.0)</f>
        <v>46095</v>
      </c>
      <c r="O4443" s="20"/>
      <c r="P4443" s="32" t="str">
        <f>IFERROR(__xludf.DUMMYFUNCTION("""COMPUTED_VALUE"""),"可")</f>
        <v>可</v>
      </c>
      <c r="Q4443" s="30"/>
      <c r="R4443" s="22" t="str">
        <f>IFERROR(__xludf.DUMMYFUNCTION("""COMPUTED_VALUE"""),"コミットNG")</f>
        <v>コミットNG</v>
      </c>
      <c r="S4443" s="22" t="str">
        <f>IFERROR(__xludf.DUMMYFUNCTION("""COMPUTED_VALUE"""),"20251222_ぴあ_イケオジ王弟殿下との白い結婚〜君を愛するつもりはないと言った旦那様が過保護に溺愛してきます〜")</f>
        <v>20251222_ぴあ_イケオジ王弟殿下との白い結婚〜君を愛するつもりはないと言った旦那様が過保護に溺愛してきます〜</v>
      </c>
      <c r="T4443" s="22" t="str">
        <f>IFERROR(__xludf.DUMMYFUNCTION("""COMPUTED_VALUE"""),"格納済み")</f>
        <v>格納済み</v>
      </c>
      <c r="U4443" s="9" t="str">
        <f>IFERROR(__xludf.DUMMYFUNCTION("""COMPUTED_VALUE"""),"Ⓒ五田坊主／氷雨そら／ぴあ株式会社／パルプライド")</f>
        <v>Ⓒ五田坊主／氷雨そら／ぴあ株式会社／パルプライド</v>
      </c>
      <c r="V4443" s="8"/>
      <c r="W4443" s="8"/>
      <c r="X4443" s="8" t="str">
        <f>IFERROR(__xludf.DUMMYFUNCTION("""COMPUTED_VALUE"""),"有")</f>
        <v>有</v>
      </c>
      <c r="Y4443" s="8" t="str">
        <f>IFERROR(__xludf.DUMMYFUNCTION("""COMPUTED_VALUE"""),"P5まで")</f>
        <v>P5まで</v>
      </c>
      <c r="Z4443" s="7"/>
      <c r="AA4443" s="7"/>
      <c r="AB4443" s="7"/>
    </row>
    <row r="4444" ht="15.75" customHeight="1">
      <c r="A4444" s="26">
        <f>IFERROR(__xludf.DUMMYFUNCTION("""COMPUTED_VALUE"""),6923.0)</f>
        <v>6923</v>
      </c>
      <c r="B4444" s="22" t="str">
        <f>IFERROR(__xludf.DUMMYFUNCTION("""COMPUTED_VALUE"""),"確定")</f>
        <v>確定</v>
      </c>
      <c r="C4444" s="28">
        <f>IFERROR(__xludf.DUMMYFUNCTION("""COMPUTED_VALUE"""),45981.0)</f>
        <v>45981</v>
      </c>
      <c r="D4444" s="28">
        <f>IFERROR(__xludf.DUMMYFUNCTION("""COMPUTED_VALUE"""),46014.0)</f>
        <v>46014</v>
      </c>
      <c r="E4444" s="26">
        <f>IFERROR(__xludf.DUMMYFUNCTION("""COMPUTED_VALUE"""),350487.0)</f>
        <v>350487</v>
      </c>
      <c r="F4444" s="22" t="str">
        <f>IFERROR(__xludf.DUMMYFUNCTION("""COMPUTED_VALUE"""),"策士な王太子の溺愛包囲網～婚活中の公爵令嬢は逃げられません！～【分冊版】")</f>
        <v>策士な王太子の溺愛包囲網～婚活中の公爵令嬢は逃げられません！～【分冊版】</v>
      </c>
      <c r="G4444" s="20" t="str">
        <f>IFERROR(__xludf.DUMMYFUNCTION("""COMPUTED_VALUE"""),"1～2")</f>
        <v>1～2</v>
      </c>
      <c r="H4444" s="22" t="str">
        <f>IFERROR(__xludf.DUMMYFUNCTION("""COMPUTED_VALUE"""),"桜井りょう,水城のあ")</f>
        <v>桜井りょう,水城のあ</v>
      </c>
      <c r="I4444" s="22" t="str">
        <f>IFERROR(__xludf.DUMMYFUNCTION("""COMPUTED_VALUE"""),"女性")</f>
        <v>女性</v>
      </c>
      <c r="J4444" s="22"/>
      <c r="K4444" s="22" t="str">
        <f>IFERROR(__xludf.DUMMYFUNCTION("""COMPUTED_VALUE"""),"乙女ドルチェ・コミックス")</f>
        <v>乙女ドルチェ・コミックス</v>
      </c>
      <c r="L4444" s="22" t="str">
        <f>IFERROR(__xludf.DUMMYFUNCTION("""COMPUTED_VALUE"""),"乙女ドルチェ・コミックス")</f>
        <v>乙女ドルチェ・コミックス</v>
      </c>
      <c r="M4444" s="33">
        <f>IFERROR(__xludf.DUMMYFUNCTION("""COMPUTED_VALUE"""),46071.0)</f>
        <v>46071</v>
      </c>
      <c r="N4444" s="33">
        <f>IFERROR(__xludf.DUMMYFUNCTION("""COMPUTED_VALUE"""),46159.0)</f>
        <v>46159</v>
      </c>
      <c r="O4444" s="20"/>
      <c r="P4444" s="32" t="str">
        <f>IFERROR(__xludf.DUMMYFUNCTION("""COMPUTED_VALUE"""),"可")</f>
        <v>可</v>
      </c>
      <c r="Q4444" s="30"/>
      <c r="R4444" s="22" t="str">
        <f>IFERROR(__xludf.DUMMYFUNCTION("""COMPUTED_VALUE"""),"コミットOK")</f>
        <v>コミットOK</v>
      </c>
      <c r="S4444" s="22" t="str">
        <f>IFERROR(__xludf.DUMMYFUNCTION("""COMPUTED_VALUE"""),"20251223_ハーパーコリンズ・ジャパン_策士な王太子の溺愛包囲網～婚活中の公爵令嬢は逃げられません！～【分冊版】")</f>
        <v>20251223_ハーパーコリンズ・ジャパン_策士な王太子の溺愛包囲網～婚活中の公爵令嬢は逃げられません！～【分冊版】</v>
      </c>
      <c r="T4444" s="22" t="str">
        <f>IFERROR(__xludf.DUMMYFUNCTION("""COMPUTED_VALUE"""),"格納済み")</f>
        <v>格納済み</v>
      </c>
      <c r="U4444" s="9" t="str">
        <f>IFERROR(__xludf.DUMMYFUNCTION("""COMPUTED_VALUE"""),"（C)桜井りょう・水城のあ／ハーパーコリンズ・ジャパン")</f>
        <v>（C)桜井りょう・水城のあ／ハーパーコリンズ・ジャパン</v>
      </c>
      <c r="V4444" s="8"/>
      <c r="W4444" s="8"/>
      <c r="X4444" s="8" t="str">
        <f>IFERROR(__xludf.DUMMYFUNCTION("""COMPUTED_VALUE"""),"有")</f>
        <v>有</v>
      </c>
      <c r="Y4444" s="8" t="str">
        <f>IFERROR(__xludf.DUMMYFUNCTION("""COMPUTED_VALUE"""),"2026/3/17まで1巻立ち読み増量（P16）")</f>
        <v>2026/3/17まで1巻立ち読み増量（P16）</v>
      </c>
      <c r="Z4444" s="7"/>
      <c r="AA4444" s="7"/>
      <c r="AB4444" s="7"/>
    </row>
    <row r="4445" ht="15.75" customHeight="1">
      <c r="A4445" s="26">
        <f>IFERROR(__xludf.DUMMYFUNCTION("""COMPUTED_VALUE"""),6926.0)</f>
        <v>6926</v>
      </c>
      <c r="B4445" s="22" t="str">
        <f>IFERROR(__xludf.DUMMYFUNCTION("""COMPUTED_VALUE"""),"確定")</f>
        <v>確定</v>
      </c>
      <c r="C4445" s="28">
        <f>IFERROR(__xludf.DUMMYFUNCTION("""COMPUTED_VALUE"""),45981.0)</f>
        <v>45981</v>
      </c>
      <c r="D4445" s="28">
        <f>IFERROR(__xludf.DUMMYFUNCTION("""COMPUTED_VALUE"""),46015.0)</f>
        <v>46015</v>
      </c>
      <c r="E4445" s="26">
        <f>IFERROR(__xludf.DUMMYFUNCTION("""COMPUTED_VALUE"""),346598.0)</f>
        <v>346598</v>
      </c>
      <c r="F4445" s="22" t="str">
        <f>IFERROR(__xludf.DUMMYFUNCTION("""COMPUTED_VALUE"""),"【ラブチーク】となりの陰キャさんは実はメロい～不感症な私は推しに愛され暴かれる～")</f>
        <v>【ラブチーク】となりの陰キャさんは実はメロい～不感症な私は推しに愛され暴かれる～</v>
      </c>
      <c r="G4445" s="20" t="str">
        <f>IFERROR(__xludf.DUMMYFUNCTION("""COMPUTED_VALUE"""),"1～3")</f>
        <v>1～3</v>
      </c>
      <c r="H4445" s="22" t="str">
        <f>IFERROR(__xludf.DUMMYFUNCTION("""COMPUTED_VALUE"""),"村上晶")</f>
        <v>村上晶</v>
      </c>
      <c r="I4445" s="22" t="str">
        <f>IFERROR(__xludf.DUMMYFUNCTION("""COMPUTED_VALUE"""),"TL")</f>
        <v>TL</v>
      </c>
      <c r="J4445" s="22"/>
      <c r="K4445" s="22" t="str">
        <f>IFERROR(__xludf.DUMMYFUNCTION("""COMPUTED_VALUE"""),"ラブチーク")</f>
        <v>ラブチーク</v>
      </c>
      <c r="L4445" s="22" t="str">
        <f>IFERROR(__xludf.DUMMYFUNCTION("""COMPUTED_VALUE"""),"ブライト出版")</f>
        <v>ブライト出版</v>
      </c>
      <c r="M4445" s="33">
        <f>IFERROR(__xludf.DUMMYFUNCTION("""COMPUTED_VALUE"""),46038.0)</f>
        <v>46038</v>
      </c>
      <c r="N4445" s="33">
        <f>IFERROR(__xludf.DUMMYFUNCTION("""COMPUTED_VALUE"""),46142.0)</f>
        <v>46142</v>
      </c>
      <c r="O4445" s="20"/>
      <c r="P4445" s="32" t="str">
        <f>IFERROR(__xludf.DUMMYFUNCTION("""COMPUTED_VALUE"""),"可")</f>
        <v>可</v>
      </c>
      <c r="Q4445" s="30" t="str">
        <f>IFERROR(__xludf.DUMMYFUNCTION("""COMPUTED_VALUE"""),"【アダルト作品扱い】")</f>
        <v>【アダルト作品扱い】</v>
      </c>
      <c r="R4445" s="22" t="str">
        <f>IFERROR(__xludf.DUMMYFUNCTION("""COMPUTED_VALUE"""),"コミットOK")</f>
        <v>コミットOK</v>
      </c>
      <c r="S4445" s="22" t="str">
        <f>IFERROR(__xludf.DUMMYFUNCTION("""COMPUTED_VALUE"""),"20251223_ブライト出版_【ラブチーク】となりの陰キャさんは実はメロい～不感症な私は推しに愛され暴かれる～")</f>
        <v>20251223_ブライト出版_【ラブチーク】となりの陰キャさんは実はメロい～不感症な私は推しに愛され暴かれる～</v>
      </c>
      <c r="T4445" s="22" t="str">
        <f>IFERROR(__xludf.DUMMYFUNCTION("""COMPUTED_VALUE"""),"格納済み")</f>
        <v>格納済み</v>
      </c>
      <c r="U4445" s="9" t="str">
        <f>IFERROR(__xludf.DUMMYFUNCTION("""COMPUTED_VALUE"""),"(C)村上晶／ブライト出版")</f>
        <v>(C)村上晶／ブライト出版</v>
      </c>
      <c r="V4445" s="8"/>
      <c r="W4445" s="8"/>
      <c r="X4445" s="8" t="str">
        <f>IFERROR(__xludf.DUMMYFUNCTION("""COMPUTED_VALUE"""),"有")</f>
        <v>有</v>
      </c>
      <c r="Y4445" s="8" t="str">
        <f>IFERROR(__xludf.DUMMYFUNCTION("""COMPUTED_VALUE"""),"2026/1/29まで1巻無料")</f>
        <v>2026/1/29まで1巻無料</v>
      </c>
      <c r="Z4445" s="7"/>
      <c r="AA4445" s="7"/>
      <c r="AB4445" s="7"/>
    </row>
    <row r="4446" ht="15.75" customHeight="1">
      <c r="A4446" s="26">
        <f>IFERROR(__xludf.DUMMYFUNCTION("""COMPUTED_VALUE"""),6939.0)</f>
        <v>6939</v>
      </c>
      <c r="B4446" s="22" t="str">
        <f>IFERROR(__xludf.DUMMYFUNCTION("""COMPUTED_VALUE"""),"確定")</f>
        <v>確定</v>
      </c>
      <c r="C4446" s="28">
        <f>IFERROR(__xludf.DUMMYFUNCTION("""COMPUTED_VALUE"""),45986.0)</f>
        <v>45986</v>
      </c>
      <c r="D4446" s="28">
        <f>IFERROR(__xludf.DUMMYFUNCTION("""COMPUTED_VALUE"""),46014.0)</f>
        <v>46014</v>
      </c>
      <c r="E4446" s="26">
        <f>IFERROR(__xludf.DUMMYFUNCTION("""COMPUTED_VALUE"""),349125.0)</f>
        <v>349125</v>
      </c>
      <c r="F4446" s="22" t="str">
        <f>IFERROR(__xludf.DUMMYFUNCTION("""COMPUTED_VALUE"""),"私が愛した余命探偵【単話】")</f>
        <v>私が愛した余命探偵【単話】</v>
      </c>
      <c r="G4446" s="20" t="str">
        <f>IFERROR(__xludf.DUMMYFUNCTION("""COMPUTED_VALUE"""),"1～5")</f>
        <v>1～5</v>
      </c>
      <c r="H4446" s="22" t="str">
        <f>IFERROR(__xludf.DUMMYFUNCTION("""COMPUTED_VALUE"""),"長月天音┴春日有")</f>
        <v>長月天音┴春日有</v>
      </c>
      <c r="I4446" s="22" t="str">
        <f>IFERROR(__xludf.DUMMYFUNCTION("""COMPUTED_VALUE"""),"女性")</f>
        <v>女性</v>
      </c>
      <c r="J4446" s="22"/>
      <c r="K4446" s="22" t="str">
        <f>IFERROR(__xludf.DUMMYFUNCTION("""COMPUTED_VALUE"""),"マンガワン女子部")</f>
        <v>マンガワン女子部</v>
      </c>
      <c r="L4446" s="22" t="str">
        <f>IFERROR(__xludf.DUMMYFUNCTION("""COMPUTED_VALUE"""),"小学館")</f>
        <v>小学館</v>
      </c>
      <c r="M4446" s="33">
        <f>IFERROR(__xludf.DUMMYFUNCTION("""COMPUTED_VALUE"""),46031.0)</f>
        <v>46031</v>
      </c>
      <c r="N4446" s="33">
        <f>IFERROR(__xludf.DUMMYFUNCTION("""COMPUTED_VALUE"""),46064.0)</f>
        <v>46064</v>
      </c>
      <c r="O4446" s="20"/>
      <c r="P4446" s="32" t="str">
        <f>IFERROR(__xludf.DUMMYFUNCTION("""COMPUTED_VALUE"""),"否")</f>
        <v>否</v>
      </c>
      <c r="Q4446" s="30" t="str">
        <f>IFERROR(__xludf.DUMMYFUNCTION("""COMPUTED_VALUE"""),"『ほどなく、お別れです』と同じく、長月天音先生の同名小説を原作としたコミカライズ作品です。長期入院中の夫が安楽椅子探偵として事件を解いていくミステリーもので、広告のヒキとなる謎の要素もあり、長月先生の暖かな人間ドラマ要素も多分にありと、女性から多く支持を得られそうな作品です。")</f>
        <v>『ほどなく、お別れです』と同じく、長月天音先生の同名小説を原作としたコミカライズ作品です。長期入院中の夫が安楽椅子探偵として事件を解いていくミステリーもので、広告のヒキとなる謎の要素もあり、長月先生の暖かな人間ドラマ要素も多分にありと、女性から多く支持を得られそうな作品です。</v>
      </c>
      <c r="R4446" s="22" t="str">
        <f>IFERROR(__xludf.DUMMYFUNCTION("""COMPUTED_VALUE"""),"コミットNG")</f>
        <v>コミットNG</v>
      </c>
      <c r="S4446" s="22" t="str">
        <f>IFERROR(__xludf.DUMMYFUNCTION("""COMPUTED_VALUE"""),"20251223_小学館_私が愛した余命探偵")</f>
        <v>20251223_小学館_私が愛した余命探偵</v>
      </c>
      <c r="T4446" s="22" t="str">
        <f>IFERROR(__xludf.DUMMYFUNCTION("""COMPUTED_VALUE"""),"格納済み")</f>
        <v>格納済み</v>
      </c>
      <c r="U4446" s="9" t="str">
        <f>IFERROR(__xludf.DUMMYFUNCTION("""COMPUTED_VALUE"""),"(C)長月天音・春日有 / 小学館")</f>
        <v>(C)長月天音・春日有 / 小学館</v>
      </c>
      <c r="V4446" s="8"/>
      <c r="W4446" s="8"/>
      <c r="X4446" s="8" t="str">
        <f>IFERROR(__xludf.DUMMYFUNCTION("""COMPUTED_VALUE"""),"有")</f>
        <v>有</v>
      </c>
      <c r="Y4446" s="8" t="str">
        <f>IFERROR(__xludf.DUMMYFUNCTION("""COMPUTED_VALUE"""),"2026/2/11まで1巻無料")</f>
        <v>2026/2/11まで1巻無料</v>
      </c>
      <c r="Z4446" s="7"/>
      <c r="AA4446" s="7"/>
      <c r="AB4446" s="7"/>
    </row>
    <row r="4447" ht="15.75" customHeight="1">
      <c r="A4447" s="26">
        <f>IFERROR(__xludf.DUMMYFUNCTION("""COMPUTED_VALUE"""),6940.0)</f>
        <v>6940</v>
      </c>
      <c r="B4447" s="22" t="str">
        <f>IFERROR(__xludf.DUMMYFUNCTION("""COMPUTED_VALUE"""),"確定")</f>
        <v>確定</v>
      </c>
      <c r="C4447" s="28">
        <f>IFERROR(__xludf.DUMMYFUNCTION("""COMPUTED_VALUE"""),45986.0)</f>
        <v>45986</v>
      </c>
      <c r="D4447" s="28">
        <f>IFERROR(__xludf.DUMMYFUNCTION("""COMPUTED_VALUE"""),46014.0)</f>
        <v>46014</v>
      </c>
      <c r="E4447" s="26">
        <f>IFERROR(__xludf.DUMMYFUNCTION("""COMPUTED_VALUE"""),352413.0)</f>
        <v>352413</v>
      </c>
      <c r="F4447" s="22" t="str">
        <f>IFERROR(__xludf.DUMMYFUNCTION("""COMPUTED_VALUE"""),"修羅場姫(話売り)")</f>
        <v>修羅場姫(話売り)</v>
      </c>
      <c r="G4447" s="20" t="str">
        <f>IFERROR(__xludf.DUMMYFUNCTION("""COMPUTED_VALUE"""),"1～2")</f>
        <v>1～2</v>
      </c>
      <c r="H4447" s="22" t="str">
        <f>IFERROR(__xludf.DUMMYFUNCTION("""COMPUTED_VALUE"""),"ふうこさくら（原作） 照り焼き（漫画）")</f>
        <v>ふうこさくら（原作） 照り焼き（漫画）</v>
      </c>
      <c r="I4447" s="22" t="str">
        <f>IFERROR(__xludf.DUMMYFUNCTION("""COMPUTED_VALUE"""),"女性")</f>
        <v>女性</v>
      </c>
      <c r="J4447" s="22"/>
      <c r="K4447" s="22"/>
      <c r="L4447" s="22" t="str">
        <f>IFERROR(__xludf.DUMMYFUNCTION("""COMPUTED_VALUE"""),"秋田書店")</f>
        <v>秋田書店</v>
      </c>
      <c r="M4447" s="33">
        <f>IFERROR(__xludf.DUMMYFUNCTION("""COMPUTED_VALUE"""),46077.0)</f>
        <v>46077</v>
      </c>
      <c r="N4447" s="33">
        <f>IFERROR(__xludf.DUMMYFUNCTION("""COMPUTED_VALUE"""),46104.0)</f>
        <v>46104</v>
      </c>
      <c r="O4447" s="20"/>
      <c r="P4447" s="32" t="str">
        <f>IFERROR(__xludf.DUMMYFUNCTION("""COMPUTED_VALUE"""),"否")</f>
        <v>否</v>
      </c>
      <c r="Q4447" s="30" t="str">
        <f>IFERROR(__xludf.DUMMYFUNCTION("""COMPUTED_VALUE"""),"1~2話の素材で広告制作お願いいたします。")</f>
        <v>1~2話の素材で広告制作お願いいたします。</v>
      </c>
      <c r="R4447" s="22" t="str">
        <f>IFERROR(__xludf.DUMMYFUNCTION("""COMPUTED_VALUE"""),"コミットOK")</f>
        <v>コミットOK</v>
      </c>
      <c r="S4447" s="22" t="str">
        <f>IFERROR(__xludf.DUMMYFUNCTION("""COMPUTED_VALUE"""),"20251223_秋田書店_修羅場姫")</f>
        <v>20251223_秋田書店_修羅場姫</v>
      </c>
      <c r="T4447" s="22" t="str">
        <f>IFERROR(__xludf.DUMMYFUNCTION("""COMPUTED_VALUE"""),"格納済み")</f>
        <v>格納済み</v>
      </c>
      <c r="U4447" s="9" t="str">
        <f>IFERROR(__xludf.DUMMYFUNCTION("""COMPUTED_VALUE"""),"Ⓒふうこさくら・照り焼き（秋田書店）")</f>
        <v>Ⓒふうこさくら・照り焼き（秋田書店）</v>
      </c>
      <c r="V4447" s="8"/>
      <c r="W4447" s="8"/>
      <c r="X4447" s="8" t="str">
        <f>IFERROR(__xludf.DUMMYFUNCTION("""COMPUTED_VALUE"""),"有")</f>
        <v>有</v>
      </c>
      <c r="Y4447" s="8" t="str">
        <f>IFERROR(__xludf.DUMMYFUNCTION("""COMPUTED_VALUE"""),"2026/3/23まで1巻無料")</f>
        <v>2026/3/23まで1巻無料</v>
      </c>
      <c r="Z4447" s="7"/>
      <c r="AA4447" s="7"/>
      <c r="AB4447" s="7"/>
    </row>
    <row r="4448" ht="15.75" customHeight="1">
      <c r="A4448" s="26">
        <f>IFERROR(__xludf.DUMMYFUNCTION("""COMPUTED_VALUE"""),6969.0)</f>
        <v>6969</v>
      </c>
      <c r="B4448" s="22" t="str">
        <f>IFERROR(__xludf.DUMMYFUNCTION("""COMPUTED_VALUE"""),"確定")</f>
        <v>確定</v>
      </c>
      <c r="C4448" s="28">
        <f>IFERROR(__xludf.DUMMYFUNCTION("""COMPUTED_VALUE"""),45989.0)</f>
        <v>45989</v>
      </c>
      <c r="D4448" s="28">
        <f>IFERROR(__xludf.DUMMYFUNCTION("""COMPUTED_VALUE"""),46014.0)</f>
        <v>46014</v>
      </c>
      <c r="E4448" s="26">
        <f>IFERROR(__xludf.DUMMYFUNCTION("""COMPUTED_VALUE"""),348786.0)</f>
        <v>348786</v>
      </c>
      <c r="F4448" s="22" t="str">
        <f>IFERROR(__xludf.DUMMYFUNCTION("""COMPUTED_VALUE"""),"後宮の髪結師は月に添う【単話】")</f>
        <v>後宮の髪結師は月に添う【単話】</v>
      </c>
      <c r="G4448" s="20" t="str">
        <f>IFERROR(__xludf.DUMMYFUNCTION("""COMPUTED_VALUE"""),"1～4")</f>
        <v>1～4</v>
      </c>
      <c r="H4448" s="22" t="str">
        <f>IFERROR(__xludf.DUMMYFUNCTION("""COMPUTED_VALUE"""),"柊一葉┴綱田早")</f>
        <v>柊一葉┴綱田早</v>
      </c>
      <c r="I4448" s="22" t="str">
        <f>IFERROR(__xludf.DUMMYFUNCTION("""COMPUTED_VALUE"""),"少女")</f>
        <v>少女</v>
      </c>
      <c r="J4448" s="22"/>
      <c r="K4448" s="22" t="str">
        <f>IFERROR(__xludf.DUMMYFUNCTION("""COMPUTED_VALUE"""),"マンガワン女子部")</f>
        <v>マンガワン女子部</v>
      </c>
      <c r="L4448" s="22" t="str">
        <f>IFERROR(__xludf.DUMMYFUNCTION("""COMPUTED_VALUE"""),"小学館")</f>
        <v>小学館</v>
      </c>
      <c r="M4448" s="33">
        <f>IFERROR(__xludf.DUMMYFUNCTION("""COMPUTED_VALUE"""),46041.0)</f>
        <v>46041</v>
      </c>
      <c r="N4448" s="33">
        <f>IFERROR(__xludf.DUMMYFUNCTION("""COMPUTED_VALUE"""),46098.0)</f>
        <v>46098</v>
      </c>
      <c r="O4448" s="20"/>
      <c r="P4448" s="32" t="str">
        <f>IFERROR(__xludf.DUMMYFUNCTION("""COMPUTED_VALUE"""),"否")</f>
        <v>否</v>
      </c>
      <c r="Q4448" s="30"/>
      <c r="R4448" s="22" t="str">
        <f>IFERROR(__xludf.DUMMYFUNCTION("""COMPUTED_VALUE"""),"コミットOK")</f>
        <v>コミットOK</v>
      </c>
      <c r="S4448" s="22" t="str">
        <f>IFERROR(__xludf.DUMMYFUNCTION("""COMPUTED_VALUE"""),"20251223_小学館_後宮の髪結師は月に添う")</f>
        <v>20251223_小学館_後宮の髪結師は月に添う</v>
      </c>
      <c r="T4448" s="22" t="str">
        <f>IFERROR(__xludf.DUMMYFUNCTION("""COMPUTED_VALUE"""),"格納済み")</f>
        <v>格納済み</v>
      </c>
      <c r="U4448" s="9" t="str">
        <f>IFERROR(__xludf.DUMMYFUNCTION("""COMPUTED_VALUE"""),"(C)柊一葉・綱田早 / 小学館")</f>
        <v>(C)柊一葉・綱田早 / 小学館</v>
      </c>
      <c r="V4448" s="8"/>
      <c r="W4448" s="8"/>
      <c r="X4448" s="8" t="str">
        <f>IFERROR(__xludf.DUMMYFUNCTION("""COMPUTED_VALUE"""),"有")</f>
        <v>有</v>
      </c>
      <c r="Y4448" s="8" t="str">
        <f>IFERROR(__xludf.DUMMYFUNCTION("""COMPUTED_VALUE"""),"2026/3/17まで1巻無料")</f>
        <v>2026/3/17まで1巻無料</v>
      </c>
      <c r="Z4448" s="7"/>
      <c r="AA4448" s="7"/>
      <c r="AB4448" s="7"/>
    </row>
    <row r="4449" ht="15.75" customHeight="1">
      <c r="A4449" s="26">
        <f>IFERROR(__xludf.DUMMYFUNCTION("""COMPUTED_VALUE"""),6987.0)</f>
        <v>6987</v>
      </c>
      <c r="B4449" s="22" t="str">
        <f>IFERROR(__xludf.DUMMYFUNCTION("""COMPUTED_VALUE"""),"確定")</f>
        <v>確定</v>
      </c>
      <c r="C4449" s="28">
        <f>IFERROR(__xludf.DUMMYFUNCTION("""COMPUTED_VALUE"""),45994.0)</f>
        <v>45994</v>
      </c>
      <c r="D4449" s="28">
        <f>IFERROR(__xludf.DUMMYFUNCTION("""COMPUTED_VALUE"""),46010.0)</f>
        <v>46010</v>
      </c>
      <c r="E4449" s="26">
        <f>IFERROR(__xludf.DUMMYFUNCTION("""COMPUTED_VALUE"""),351250.0)</f>
        <v>351250</v>
      </c>
      <c r="F4449" s="22" t="str">
        <f>IFERROR(__xludf.DUMMYFUNCTION("""COMPUTED_VALUE"""),"好き好き大好き愛してるからね")</f>
        <v>好き好き大好き愛してるからね</v>
      </c>
      <c r="G4449" s="20" t="str">
        <f>IFERROR(__xludf.DUMMYFUNCTION("""COMPUTED_VALUE"""),"1～3")</f>
        <v>1～3</v>
      </c>
      <c r="H4449" s="22" t="str">
        <f>IFERROR(__xludf.DUMMYFUNCTION("""COMPUTED_VALUE"""),"犬渕 満")</f>
        <v>犬渕 満</v>
      </c>
      <c r="I4449" s="22" t="str">
        <f>IFERROR(__xludf.DUMMYFUNCTION("""COMPUTED_VALUE"""),"BL")</f>
        <v>BL</v>
      </c>
      <c r="J4449" s="22"/>
      <c r="K4449" s="22" t="str">
        <f>IFERROR(__xludf.DUMMYFUNCTION("""COMPUTED_VALUE"""),"B.Pilz")</f>
        <v>B.Pilz</v>
      </c>
      <c r="L4449" s="22" t="str">
        <f>IFERROR(__xludf.DUMMYFUNCTION("""COMPUTED_VALUE"""),"ブライト出版")</f>
        <v>ブライト出版</v>
      </c>
      <c r="M4449" s="33">
        <f>IFERROR(__xludf.DUMMYFUNCTION("""COMPUTED_VALUE"""),46079.0)</f>
        <v>46079</v>
      </c>
      <c r="N4449" s="33">
        <f>IFERROR(__xludf.DUMMYFUNCTION("""COMPUTED_VALUE"""),46183.0)</f>
        <v>46183</v>
      </c>
      <c r="O4449" s="20"/>
      <c r="P4449" s="32" t="str">
        <f>IFERROR(__xludf.DUMMYFUNCTION("""COMPUTED_VALUE"""),"可")</f>
        <v>可</v>
      </c>
      <c r="Q4449" s="30" t="str">
        <f>IFERROR(__xludf.DUMMYFUNCTION("""COMPUTED_VALUE"""),"【アダルト作品扱い】")</f>
        <v>【アダルト作品扱い】</v>
      </c>
      <c r="R4449" s="22" t="str">
        <f>IFERROR(__xludf.DUMMYFUNCTION("""COMPUTED_VALUE"""),"コミットOK")</f>
        <v>コミットOK</v>
      </c>
      <c r="S4449" s="22" t="str">
        <f>IFERROR(__xludf.DUMMYFUNCTION("""COMPUTED_VALUE"""),"20251218_ブライト出版_好き好き大好き愛してるからね")</f>
        <v>20251218_ブライト出版_好き好き大好き愛してるからね</v>
      </c>
      <c r="T4449" s="22" t="str">
        <f>IFERROR(__xludf.DUMMYFUNCTION("""COMPUTED_VALUE"""),"格納済み")</f>
        <v>格納済み</v>
      </c>
      <c r="U4449" s="9" t="str">
        <f>IFERROR(__xludf.DUMMYFUNCTION("""COMPUTED_VALUE"""),"(C)犬渕 満/ブライト出版")</f>
        <v>(C)犬渕 満/ブライト出版</v>
      </c>
      <c r="V4449" s="8"/>
      <c r="W4449" s="8"/>
      <c r="X4449" s="8" t="str">
        <f>IFERROR(__xludf.DUMMYFUNCTION("""COMPUTED_VALUE"""),"有")</f>
        <v>有</v>
      </c>
      <c r="Y4449" s="8" t="str">
        <f>IFERROR(__xludf.DUMMYFUNCTION("""COMPUTED_VALUE"""),"P17まで")</f>
        <v>P17まで</v>
      </c>
      <c r="Z4449" s="7"/>
      <c r="AA4449" s="7"/>
      <c r="AB4449" s="7"/>
    </row>
    <row r="4450" ht="15.75" customHeight="1">
      <c r="A4450" s="26">
        <f>IFERROR(__xludf.DUMMYFUNCTION("""COMPUTED_VALUE"""),6997.0)</f>
        <v>6997</v>
      </c>
      <c r="B4450" s="22" t="str">
        <f>IFERROR(__xludf.DUMMYFUNCTION("""COMPUTED_VALUE"""),"確定")</f>
        <v>確定</v>
      </c>
      <c r="C4450" s="28">
        <f>IFERROR(__xludf.DUMMYFUNCTION("""COMPUTED_VALUE"""),45995.0)</f>
        <v>45995</v>
      </c>
      <c r="D4450" s="28">
        <f>IFERROR(__xludf.DUMMYFUNCTION("""COMPUTED_VALUE"""),46015.0)</f>
        <v>46015</v>
      </c>
      <c r="E4450" s="26">
        <f>IFERROR(__xludf.DUMMYFUNCTION("""COMPUTED_VALUE"""),348381.0)</f>
        <v>348381</v>
      </c>
      <c r="F4450" s="22" t="str">
        <f>IFERROR(__xludf.DUMMYFUNCTION("""COMPUTED_VALUE"""),"狼侯爵と愛の霊薬【分冊版】")</f>
        <v>狼侯爵と愛の霊薬【分冊版】</v>
      </c>
      <c r="G4450" s="20" t="str">
        <f>IFERROR(__xludf.DUMMYFUNCTION("""COMPUTED_VALUE"""),"1～4")</f>
        <v>1～4</v>
      </c>
      <c r="H4450" s="22" t="str">
        <f>IFERROR(__xludf.DUMMYFUNCTION("""COMPUTED_VALUE"""),"原作：橘 千秋　漫画：壱木ハル　キャラクター原案：紫 真依")</f>
        <v>原作：橘 千秋　漫画：壱木ハル　キャラクター原案：紫 真依</v>
      </c>
      <c r="I4450" s="22" t="str">
        <f>IFERROR(__xludf.DUMMYFUNCTION("""COMPUTED_VALUE"""),"少女マンガ")</f>
        <v>少女マンガ</v>
      </c>
      <c r="J4450" s="22"/>
      <c r="K4450" s="22"/>
      <c r="L4450" s="22" t="str">
        <f>IFERROR(__xludf.DUMMYFUNCTION("""COMPUTED_VALUE"""),"マッグガーデン")</f>
        <v>マッグガーデン</v>
      </c>
      <c r="M4450" s="33">
        <f>IFERROR(__xludf.DUMMYFUNCTION("""COMPUTED_VALUE"""),46053.0)</f>
        <v>46053</v>
      </c>
      <c r="N4450" s="33">
        <f>IFERROR(__xludf.DUMMYFUNCTION("""COMPUTED_VALUE"""),46156.0)</f>
        <v>46156</v>
      </c>
      <c r="O4450" s="20"/>
      <c r="P4450" s="32" t="str">
        <f>IFERROR(__xludf.DUMMYFUNCTION("""COMPUTED_VALUE"""),"否")</f>
        <v>否</v>
      </c>
      <c r="Q4450" s="30"/>
      <c r="R4450" s="22" t="str">
        <f>IFERROR(__xludf.DUMMYFUNCTION("""COMPUTED_VALUE"""),"コミットOK")</f>
        <v>コミットOK</v>
      </c>
      <c r="S4450" s="22" t="str">
        <f>IFERROR(__xludf.DUMMYFUNCTION("""COMPUTED_VALUE"""),"20261223_マッグガーデン_狼侯爵と愛の霊薬")</f>
        <v>20261223_マッグガーデン_狼侯爵と愛の霊薬</v>
      </c>
      <c r="T4450" s="22" t="str">
        <f>IFERROR(__xludf.DUMMYFUNCTION("""COMPUTED_VALUE"""),"格納済み")</f>
        <v>格納済み</v>
      </c>
      <c r="U4450" s="9" t="str">
        <f>IFERROR(__xludf.DUMMYFUNCTION("""COMPUTED_VALUE"""),"(C)Chiaki TACHIBANA/KADOKAWA (C)Haru Itsuki/MAG Garden")</f>
        <v>(C)Chiaki TACHIBANA/KADOKAWA (C)Haru Itsuki/MAG Garden</v>
      </c>
      <c r="V4450" s="8"/>
      <c r="W4450" s="8"/>
      <c r="X4450" s="8" t="str">
        <f>IFERROR(__xludf.DUMMYFUNCTION("""COMPUTED_VALUE"""),"有")</f>
        <v>有</v>
      </c>
      <c r="Y4450" s="8" t="str">
        <f>IFERROR(__xludf.DUMMYFUNCTION("""COMPUTED_VALUE"""),"P5まで")</f>
        <v>P5まで</v>
      </c>
      <c r="Z4450" s="7"/>
      <c r="AA4450" s="7"/>
      <c r="AB4450" s="7"/>
    </row>
    <row r="4451" ht="15.75" customHeight="1">
      <c r="A4451" s="26">
        <f>IFERROR(__xludf.DUMMYFUNCTION("""COMPUTED_VALUE"""),6998.0)</f>
        <v>6998</v>
      </c>
      <c r="B4451" s="22" t="str">
        <f>IFERROR(__xludf.DUMMYFUNCTION("""COMPUTED_VALUE"""),"確定")</f>
        <v>確定</v>
      </c>
      <c r="C4451" s="28">
        <f>IFERROR(__xludf.DUMMYFUNCTION("""COMPUTED_VALUE"""),45995.0)</f>
        <v>45995</v>
      </c>
      <c r="D4451" s="28">
        <f>IFERROR(__xludf.DUMMYFUNCTION("""COMPUTED_VALUE"""),46014.0)</f>
        <v>46014</v>
      </c>
      <c r="E4451" s="26">
        <f>IFERROR(__xludf.DUMMYFUNCTION("""COMPUTED_VALUE"""),348382.0)</f>
        <v>348382</v>
      </c>
      <c r="F4451" s="22" t="str">
        <f>IFERROR(__xludf.DUMMYFUNCTION("""COMPUTED_VALUE"""),"「お前を愛することはない」と言われたので「そうなの？ 私もよ」と言い返しておきました。 氷の貴公子様と紡ぐ溺愛結婚生活【分冊版】")</f>
        <v>「お前を愛することはない」と言われたので「そうなの？ 私もよ」と言い返しておきました。 氷の貴公子様と紡ぐ溺愛結婚生活【分冊版】</v>
      </c>
      <c r="G4451" s="20" t="str">
        <f>IFERROR(__xludf.DUMMYFUNCTION("""COMPUTED_VALUE"""),"1～4")</f>
        <v>1～4</v>
      </c>
      <c r="H4451" s="22" t="str">
        <f>IFERROR(__xludf.DUMMYFUNCTION("""COMPUTED_VALUE"""),"原作：笛路　漫画：ふじなが薊　キャラクター原案：シラノ")</f>
        <v>原作：笛路　漫画：ふじなが薊　キャラクター原案：シラノ</v>
      </c>
      <c r="I4451" s="22" t="str">
        <f>IFERROR(__xludf.DUMMYFUNCTION("""COMPUTED_VALUE"""),"少女マンガ")</f>
        <v>少女マンガ</v>
      </c>
      <c r="J4451" s="22"/>
      <c r="K4451" s="22"/>
      <c r="L4451" s="22" t="str">
        <f>IFERROR(__xludf.DUMMYFUNCTION("""COMPUTED_VALUE"""),"マッグガーデン")</f>
        <v>マッグガーデン</v>
      </c>
      <c r="M4451" s="33">
        <f>IFERROR(__xludf.DUMMYFUNCTION("""COMPUTED_VALUE"""),46053.0)</f>
        <v>46053</v>
      </c>
      <c r="N4451" s="33">
        <f>IFERROR(__xludf.DUMMYFUNCTION("""COMPUTED_VALUE"""),46156.0)</f>
        <v>46156</v>
      </c>
      <c r="O4451" s="20"/>
      <c r="P4451" s="32" t="str">
        <f>IFERROR(__xludf.DUMMYFUNCTION("""COMPUTED_VALUE"""),"否")</f>
        <v>否</v>
      </c>
      <c r="Q4451" s="30"/>
      <c r="R4451" s="22" t="str">
        <f>IFERROR(__xludf.DUMMYFUNCTION("""COMPUTED_VALUE"""),"コミットOK")</f>
        <v>コミットOK</v>
      </c>
      <c r="S4451" s="22" t="str">
        <f>IFERROR(__xludf.DUMMYFUNCTION("""COMPUTED_VALUE"""),"20261223_マッグガーデン_お前を愛することはない")</f>
        <v>20261223_マッグガーデン_お前を愛することはない</v>
      </c>
      <c r="T4451" s="22" t="str">
        <f>IFERROR(__xludf.DUMMYFUNCTION("""COMPUTED_VALUE"""),"格納済み")</f>
        <v>格納済み</v>
      </c>
      <c r="U4451" s="9" t="str">
        <f>IFERROR(__xludf.DUMMYFUNCTION("""COMPUTED_VALUE"""),"(C)Fueji (C)Azami Fujinaga/MAG Garden")</f>
        <v>(C)Fueji (C)Azami Fujinaga/MAG Garden</v>
      </c>
      <c r="V4451" s="8"/>
      <c r="W4451" s="8"/>
      <c r="X4451" s="8" t="str">
        <f>IFERROR(__xludf.DUMMYFUNCTION("""COMPUTED_VALUE"""),"有")</f>
        <v>有</v>
      </c>
      <c r="Y4451" s="8" t="str">
        <f>IFERROR(__xludf.DUMMYFUNCTION("""COMPUTED_VALUE"""),"P5まで")</f>
        <v>P5まで</v>
      </c>
      <c r="Z4451" s="7"/>
      <c r="AA4451" s="7"/>
      <c r="AB4451" s="7"/>
    </row>
    <row r="4452" ht="15.75" customHeight="1">
      <c r="A4452" s="26">
        <f>IFERROR(__xludf.DUMMYFUNCTION("""COMPUTED_VALUE"""),7014.0)</f>
        <v>7014</v>
      </c>
      <c r="B4452" s="22" t="str">
        <f>IFERROR(__xludf.DUMMYFUNCTION("""COMPUTED_VALUE"""),"確定")</f>
        <v>確定</v>
      </c>
      <c r="C4452" s="28">
        <f>IFERROR(__xludf.DUMMYFUNCTION("""COMPUTED_VALUE"""),45999.0)</f>
        <v>45999</v>
      </c>
      <c r="D4452" s="28">
        <f>IFERROR(__xludf.DUMMYFUNCTION("""COMPUTED_VALUE"""),46013.0)</f>
        <v>46013</v>
      </c>
      <c r="E4452" s="26">
        <f>IFERROR(__xludf.DUMMYFUNCTION("""COMPUTED_VALUE"""),350393.0)</f>
        <v>350393</v>
      </c>
      <c r="F4452" s="22" t="str">
        <f>IFERROR(__xludf.DUMMYFUNCTION("""COMPUTED_VALUE"""),"侯爵家のいたって平和ないつもの食卓～堅物侯爵は後妻に事細かに指示をする～（コミック） 【分冊版】")</f>
        <v>侯爵家のいたって平和ないつもの食卓～堅物侯爵は後妻に事細かに指示をする～（コミック） 【分冊版】</v>
      </c>
      <c r="G4452" s="20" t="str">
        <f>IFERROR(__xludf.DUMMYFUNCTION("""COMPUTED_VALUE"""),"1～3")</f>
        <v>1～3</v>
      </c>
      <c r="H4452" s="22" t="str">
        <f>IFERROR(__xludf.DUMMYFUNCTION("""COMPUTED_VALUE"""),"原作／ももよ万葉・すらだまみ（SQEXノベル） 漫画／栗尾ねも")</f>
        <v>原作／ももよ万葉・すらだまみ（SQEXノベル） 漫画／栗尾ねも</v>
      </c>
      <c r="I4452" s="22" t="str">
        <f>IFERROR(__xludf.DUMMYFUNCTION("""COMPUTED_VALUE"""),"少女")</f>
        <v>少女</v>
      </c>
      <c r="J4452" s="22"/>
      <c r="K4452" s="22"/>
      <c r="L4452" s="22" t="str">
        <f>IFERROR(__xludf.DUMMYFUNCTION("""COMPUTED_VALUE"""),"スクウェア・エニックス")</f>
        <v>スクウェア・エニックス</v>
      </c>
      <c r="M4452" s="33">
        <f>IFERROR(__xludf.DUMMYFUNCTION("""COMPUTED_VALUE"""),46054.0)</f>
        <v>46054</v>
      </c>
      <c r="N4452" s="33">
        <f>IFERROR(__xludf.DUMMYFUNCTION("""COMPUTED_VALUE"""),46081.0)</f>
        <v>46081</v>
      </c>
      <c r="O4452" s="20"/>
      <c r="P4452" s="32" t="str">
        <f>IFERROR(__xludf.DUMMYFUNCTION("""COMPUTED_VALUE"""),"否")</f>
        <v>否</v>
      </c>
      <c r="Q4452" s="30"/>
      <c r="R4452" s="22" t="str">
        <f>IFERROR(__xludf.DUMMYFUNCTION("""COMPUTED_VALUE"""),"コミットOK")</f>
        <v>コミットOK</v>
      </c>
      <c r="S4452" s="22" t="str">
        <f>IFERROR(__xludf.DUMMYFUNCTION("""COMPUTED_VALUE"""),"20251208_スクウェア・エニックス_侯爵家のいたって平和ないつもの食卓")</f>
        <v>20251208_スクウェア・エニックス_侯爵家のいたって平和ないつもの食卓</v>
      </c>
      <c r="T4452" s="22" t="str">
        <f>IFERROR(__xludf.DUMMYFUNCTION("""COMPUTED_VALUE"""),"格納済み")</f>
        <v>格納済み</v>
      </c>
      <c r="U4452" s="9" t="str">
        <f>IFERROR(__xludf.DUMMYFUNCTION("""COMPUTED_VALUE"""),"(C)Mayo Momoyo/SQUARE ENIX (C)Mami Surada/SQUARE ENIX (C)Nemo Kurio/SQUARE ENIX")</f>
        <v>(C)Mayo Momoyo/SQUARE ENIX (C)Mami Surada/SQUARE ENIX (C)Nemo Kurio/SQUARE ENIX</v>
      </c>
      <c r="V4452" s="8"/>
      <c r="W4452" s="8"/>
      <c r="X4452" s="8" t="str">
        <f>IFERROR(__xludf.DUMMYFUNCTION("""COMPUTED_VALUE"""),"有")</f>
        <v>有</v>
      </c>
      <c r="Y4452" s="8" t="str">
        <f>IFERROR(__xludf.DUMMYFUNCTION("""COMPUTED_VALUE"""),"2026/2/28まで1巻無料")</f>
        <v>2026/2/28まで1巻無料</v>
      </c>
      <c r="Z4452" s="7"/>
      <c r="AA4452" s="7"/>
      <c r="AB4452" s="7"/>
    </row>
    <row r="4453" ht="15.75" customHeight="1">
      <c r="A4453" s="26">
        <f>IFERROR(__xludf.DUMMYFUNCTION("""COMPUTED_VALUE"""),7017.0)</f>
        <v>7017</v>
      </c>
      <c r="B4453" s="22" t="str">
        <f>IFERROR(__xludf.DUMMYFUNCTION("""COMPUTED_VALUE"""),"確定")</f>
        <v>確定</v>
      </c>
      <c r="C4453" s="28">
        <f>IFERROR(__xludf.DUMMYFUNCTION("""COMPUTED_VALUE"""),45999.0)</f>
        <v>45999</v>
      </c>
      <c r="D4453" s="28">
        <f>IFERROR(__xludf.DUMMYFUNCTION("""COMPUTED_VALUE"""),46010.0)</f>
        <v>46010</v>
      </c>
      <c r="E4453" s="26">
        <f>IFERROR(__xludf.DUMMYFUNCTION("""COMPUTED_VALUE"""),350857.0)</f>
        <v>350857</v>
      </c>
      <c r="F4453" s="22" t="str">
        <f>IFERROR(__xludf.DUMMYFUNCTION("""COMPUTED_VALUE"""),"病んだ愛の鳥籠で【R‐18版】")</f>
        <v>病んだ愛の鳥籠で【R‐18版】</v>
      </c>
      <c r="G4453" s="20" t="str">
        <f>IFERROR(__xludf.DUMMYFUNCTION("""COMPUTED_VALUE"""),"1～5")</f>
        <v>1～5</v>
      </c>
      <c r="H4453" s="22" t="str">
        <f>IFERROR(__xludf.DUMMYFUNCTION("""COMPUTED_VALUE"""),"あるちょむ")</f>
        <v>あるちょむ</v>
      </c>
      <c r="I4453" s="22" t="str">
        <f>IFERROR(__xludf.DUMMYFUNCTION("""COMPUTED_VALUE"""),"アダルト")</f>
        <v>アダルト</v>
      </c>
      <c r="J4453" s="22"/>
      <c r="K4453" s="22" t="str">
        <f>IFERROR(__xludf.DUMMYFUNCTION("""COMPUTED_VALUE"""),"Close Moon")</f>
        <v>Close Moon</v>
      </c>
      <c r="L4453" s="22" t="str">
        <f>IFERROR(__xludf.DUMMYFUNCTION("""COMPUTED_VALUE"""),"ナンバーナイン")</f>
        <v>ナンバーナイン</v>
      </c>
      <c r="M4453" s="33">
        <f>IFERROR(__xludf.DUMMYFUNCTION("""COMPUTED_VALUE"""),46059.0)</f>
        <v>46059</v>
      </c>
      <c r="N4453" s="33">
        <f>IFERROR(__xludf.DUMMYFUNCTION("""COMPUTED_VALUE"""),46117.0)</f>
        <v>46117</v>
      </c>
      <c r="O4453" s="20"/>
      <c r="P4453" s="32" t="str">
        <f>IFERROR(__xludf.DUMMYFUNCTION("""COMPUTED_VALUE"""),"可")</f>
        <v>可</v>
      </c>
      <c r="Q4453" s="30" t="str">
        <f>IFERROR(__xludf.DUMMYFUNCTION("""COMPUTED_VALUE"""),"がるまに")</f>
        <v>がるまに</v>
      </c>
      <c r="R4453" s="22"/>
      <c r="S4453" s="22" t="str">
        <f>IFERROR(__xludf.DUMMYFUNCTION("""COMPUTED_VALUE"""),"20251219_ナンバーナイン_病んだ愛の鳥籠で【R-18版】")</f>
        <v>20251219_ナンバーナイン_病んだ愛の鳥籠で【R-18版】</v>
      </c>
      <c r="T4453" s="22" t="str">
        <f>IFERROR(__xludf.DUMMYFUNCTION("""COMPUTED_VALUE"""),"格納済み")</f>
        <v>格納済み</v>
      </c>
      <c r="U4453" s="9" t="str">
        <f>IFERROR(__xludf.DUMMYFUNCTION("""COMPUTED_VALUE"""),"(C)あるちょむ／ナンバーナイン")</f>
        <v>(C)あるちょむ／ナンバーナイン</v>
      </c>
      <c r="V4453" s="8"/>
      <c r="W4453" s="8"/>
      <c r="X4453" s="8" t="str">
        <f>IFERROR(__xludf.DUMMYFUNCTION("""COMPUTED_VALUE"""),"有")</f>
        <v>有</v>
      </c>
      <c r="Y4453" s="8" t="str">
        <f>IFERROR(__xludf.DUMMYFUNCTION("""COMPUTED_VALUE"""),"1巻無料")</f>
        <v>1巻無料</v>
      </c>
      <c r="Z4453" s="7"/>
      <c r="AA4453" s="7"/>
      <c r="AB4453" s="7"/>
    </row>
    <row r="4454" ht="15.75" customHeight="1">
      <c r="A4454" s="26">
        <f>IFERROR(__xludf.DUMMYFUNCTION("""COMPUTED_VALUE"""),7018.0)</f>
        <v>7018</v>
      </c>
      <c r="B4454" s="22" t="str">
        <f>IFERROR(__xludf.DUMMYFUNCTION("""COMPUTED_VALUE"""),"確定")</f>
        <v>確定</v>
      </c>
      <c r="C4454" s="28">
        <f>IFERROR(__xludf.DUMMYFUNCTION("""COMPUTED_VALUE"""),45999.0)</f>
        <v>45999</v>
      </c>
      <c r="D4454" s="28">
        <f>IFERROR(__xludf.DUMMYFUNCTION("""COMPUTED_VALUE"""),46014.0)</f>
        <v>46014</v>
      </c>
      <c r="E4454" s="26">
        <f>IFERROR(__xludf.DUMMYFUNCTION("""COMPUTED_VALUE"""),325536.0)</f>
        <v>325536</v>
      </c>
      <c r="F4454" s="22" t="str">
        <f>IFERROR(__xludf.DUMMYFUNCTION("""COMPUTED_VALUE"""),"薄明光線")</f>
        <v>薄明光線</v>
      </c>
      <c r="G4454" s="20" t="str">
        <f>IFERROR(__xludf.DUMMYFUNCTION("""COMPUTED_VALUE"""),"1～3")</f>
        <v>1～3</v>
      </c>
      <c r="H4454" s="22" t="str">
        <f>IFERROR(__xludf.DUMMYFUNCTION("""COMPUTED_VALUE"""),"大林あきら")</f>
        <v>大林あきら</v>
      </c>
      <c r="I4454" s="22" t="str">
        <f>IFERROR(__xludf.DUMMYFUNCTION("""COMPUTED_VALUE"""),"BLマンガ")</f>
        <v>BLマンガ</v>
      </c>
      <c r="J4454" s="22"/>
      <c r="K4454" s="22" t="str">
        <f>IFERROR(__xludf.DUMMYFUNCTION("""COMPUTED_VALUE"""),"Ficus")</f>
        <v>Ficus</v>
      </c>
      <c r="L4454" s="22" t="str">
        <f>IFERROR(__xludf.DUMMYFUNCTION("""COMPUTED_VALUE"""),"シーモアコミックス")</f>
        <v>シーモアコミックス</v>
      </c>
      <c r="M4454" s="33">
        <f>IFERROR(__xludf.DUMMYFUNCTION("""COMPUTED_VALUE"""),46046.0)</f>
        <v>46046</v>
      </c>
      <c r="N4454" s="33">
        <f>IFERROR(__xludf.DUMMYFUNCTION("""COMPUTED_VALUE"""),2958465.0)</f>
        <v>2958465</v>
      </c>
      <c r="O4454" s="20"/>
      <c r="P4454" s="32" t="str">
        <f>IFERROR(__xludf.DUMMYFUNCTION("""COMPUTED_VALUE"""),"可")</f>
        <v>可</v>
      </c>
      <c r="Q4454" s="30"/>
      <c r="R4454" s="22"/>
      <c r="S4454" s="22" t="str">
        <f>IFERROR(__xludf.DUMMYFUNCTION("""COMPUTED_VALUE"""),"20251208_シーモアコミックス_薄明光線")</f>
        <v>20251208_シーモアコミックス_薄明光線</v>
      </c>
      <c r="T4454" s="22" t="str">
        <f>IFERROR(__xludf.DUMMYFUNCTION("""COMPUTED_VALUE"""),"格納済み")</f>
        <v>格納済み</v>
      </c>
      <c r="U4454" s="9" t="str">
        <f>IFERROR(__xludf.DUMMYFUNCTION("""COMPUTED_VALUE"""),"(C) 大林あきら/シーモアコミックス")</f>
        <v>(C) 大林あきら/シーモアコミックス</v>
      </c>
      <c r="V4454" s="8"/>
      <c r="W4454" s="8"/>
      <c r="X4454" s="8" t="str">
        <f>IFERROR(__xludf.DUMMYFUNCTION("""COMPUTED_VALUE"""),"有")</f>
        <v>有</v>
      </c>
      <c r="Y4454" s="8" t="str">
        <f>IFERROR(__xludf.DUMMYFUNCTION("""COMPUTED_VALUE"""),"2026/2/27まで1巻無料")</f>
        <v>2026/2/27まで1巻無料</v>
      </c>
      <c r="Z4454" s="7"/>
      <c r="AA4454" s="7"/>
      <c r="AB4454" s="7"/>
    </row>
    <row r="4455" ht="15.75" customHeight="1">
      <c r="A4455" s="26">
        <f>IFERROR(__xludf.DUMMYFUNCTION("""COMPUTED_VALUE"""),7019.0)</f>
        <v>7019</v>
      </c>
      <c r="B4455" s="22" t="str">
        <f>IFERROR(__xludf.DUMMYFUNCTION("""COMPUTED_VALUE"""),"確定")</f>
        <v>確定</v>
      </c>
      <c r="C4455" s="28">
        <f>IFERROR(__xludf.DUMMYFUNCTION("""COMPUTED_VALUE"""),45999.0)</f>
        <v>45999</v>
      </c>
      <c r="D4455" s="28">
        <f>IFERROR(__xludf.DUMMYFUNCTION("""COMPUTED_VALUE"""),46014.0)</f>
        <v>46014</v>
      </c>
      <c r="E4455" s="26">
        <f>IFERROR(__xludf.DUMMYFUNCTION("""COMPUTED_VALUE"""),301065.0)</f>
        <v>301065</v>
      </c>
      <c r="F4455" s="22" t="str">
        <f>IFERROR(__xludf.DUMMYFUNCTION("""COMPUTED_VALUE"""),"オオカミさんの甘噛みはちょっと激しめ")</f>
        <v>オオカミさんの甘噛みはちょっと激しめ</v>
      </c>
      <c r="G4455" s="20" t="str">
        <f>IFERROR(__xludf.DUMMYFUNCTION("""COMPUTED_VALUE"""),"1～6")</f>
        <v>1～6</v>
      </c>
      <c r="H4455" s="22" t="str">
        <f>IFERROR(__xludf.DUMMYFUNCTION("""COMPUTED_VALUE"""),"佐崎いま＋高瀬ろく")</f>
        <v>佐崎いま＋高瀬ろく</v>
      </c>
      <c r="I4455" s="22" t="str">
        <f>IFERROR(__xludf.DUMMYFUNCTION("""COMPUTED_VALUE"""),"BLマンガ")</f>
        <v>BLマンガ</v>
      </c>
      <c r="J4455" s="22"/>
      <c r="K4455" s="22" t="str">
        <f>IFERROR(__xludf.DUMMYFUNCTION("""COMPUTED_VALUE"""),"Ficus")</f>
        <v>Ficus</v>
      </c>
      <c r="L4455" s="22" t="str">
        <f>IFERROR(__xludf.DUMMYFUNCTION("""COMPUTED_VALUE"""),"シーモアコミックス")</f>
        <v>シーモアコミックス</v>
      </c>
      <c r="M4455" s="33">
        <f>IFERROR(__xludf.DUMMYFUNCTION("""COMPUTED_VALUE"""),46047.0)</f>
        <v>46047</v>
      </c>
      <c r="N4455" s="33">
        <f>IFERROR(__xludf.DUMMYFUNCTION("""COMPUTED_VALUE"""),2958465.0)</f>
        <v>2958465</v>
      </c>
      <c r="O4455" s="20"/>
      <c r="P4455" s="32" t="str">
        <f>IFERROR(__xludf.DUMMYFUNCTION("""COMPUTED_VALUE"""),"可")</f>
        <v>可</v>
      </c>
      <c r="Q4455" s="30" t="str">
        <f>IFERROR(__xludf.DUMMYFUNCTION("""COMPUTED_VALUE"""),"※クリエイティブ制作時の注意事項※&lt;BR&gt;一般面では性行為シーン使用NGです。とくに1話P29,30,31のモザイクシーンは使用しないようお願いいたします。")</f>
        <v>※クリエイティブ制作時の注意事項※&lt;BR&gt;一般面では性行為シーン使用NGです。とくに1話P29,30,31のモザイクシーンは使用しないようお願いいたします。</v>
      </c>
      <c r="R4455" s="22"/>
      <c r="S4455" s="22" t="str">
        <f>IFERROR(__xludf.DUMMYFUNCTION("""COMPUTED_VALUE"""),"20251208_シーモアコミックス_オオカミさんの甘噛みはちょっと激しめ")</f>
        <v>20251208_シーモアコミックス_オオカミさんの甘噛みはちょっと激しめ</v>
      </c>
      <c r="T4455" s="22" t="str">
        <f>IFERROR(__xludf.DUMMYFUNCTION("""COMPUTED_VALUE"""),"格納済み")</f>
        <v>格納済み</v>
      </c>
      <c r="U4455" s="9" t="str">
        <f>IFERROR(__xludf.DUMMYFUNCTION("""COMPUTED_VALUE"""),"(C) 佐崎いま＋高瀬ろく/シーモアコミックス")</f>
        <v>(C) 佐崎いま＋高瀬ろく/シーモアコミックス</v>
      </c>
      <c r="V4455" s="8"/>
      <c r="W4455" s="8"/>
      <c r="X4455" s="8" t="str">
        <f>IFERROR(__xludf.DUMMYFUNCTION("""COMPUTED_VALUE"""),"有")</f>
        <v>有</v>
      </c>
      <c r="Y4455" s="8" t="str">
        <f>IFERROR(__xludf.DUMMYFUNCTION("""COMPUTED_VALUE"""),"2026/2/21まで1~2巻無料")</f>
        <v>2026/2/21まで1~2巻無料</v>
      </c>
      <c r="Z4455" s="7"/>
      <c r="AA4455" s="7"/>
      <c r="AB4455" s="7"/>
    </row>
    <row r="4456" ht="15.75" customHeight="1">
      <c r="A4456" s="26">
        <f>IFERROR(__xludf.DUMMYFUNCTION("""COMPUTED_VALUE"""),7020.0)</f>
        <v>7020</v>
      </c>
      <c r="B4456" s="22" t="str">
        <f>IFERROR(__xludf.DUMMYFUNCTION("""COMPUTED_VALUE"""),"確定")</f>
        <v>確定</v>
      </c>
      <c r="C4456" s="28">
        <f>IFERROR(__xludf.DUMMYFUNCTION("""COMPUTED_VALUE"""),45999.0)</f>
        <v>45999</v>
      </c>
      <c r="D4456" s="28">
        <f>IFERROR(__xludf.DUMMYFUNCTION("""COMPUTED_VALUE"""),46013.0)</f>
        <v>46013</v>
      </c>
      <c r="E4456" s="26">
        <f>IFERROR(__xludf.DUMMYFUNCTION("""COMPUTED_VALUE"""),301657.0)</f>
        <v>301657</v>
      </c>
      <c r="F4456" s="22" t="str">
        <f>IFERROR(__xludf.DUMMYFUNCTION("""COMPUTED_VALUE"""),"裏チャンネルで逢いましょう")</f>
        <v>裏チャンネルで逢いましょう</v>
      </c>
      <c r="G4456" s="20" t="str">
        <f>IFERROR(__xludf.DUMMYFUNCTION("""COMPUTED_VALUE"""),"1～5")</f>
        <v>1～5</v>
      </c>
      <c r="H4456" s="22" t="str">
        <f>IFERROR(__xludf.DUMMYFUNCTION("""COMPUTED_VALUE"""),"多々田ヨシオ,芽獅")</f>
        <v>多々田ヨシオ,芽獅</v>
      </c>
      <c r="I4456" s="22" t="str">
        <f>IFERROR(__xludf.DUMMYFUNCTION("""COMPUTED_VALUE"""),"BLマンガ")</f>
        <v>BLマンガ</v>
      </c>
      <c r="J4456" s="22"/>
      <c r="K4456" s="22" t="str">
        <f>IFERROR(__xludf.DUMMYFUNCTION("""COMPUTED_VALUE"""),"Ficus")</f>
        <v>Ficus</v>
      </c>
      <c r="L4456" s="22" t="str">
        <f>IFERROR(__xludf.DUMMYFUNCTION("""COMPUTED_VALUE"""),"シーモアコミックス")</f>
        <v>シーモアコミックス</v>
      </c>
      <c r="M4456" s="33">
        <f>IFERROR(__xludf.DUMMYFUNCTION("""COMPUTED_VALUE"""),46047.0)</f>
        <v>46047</v>
      </c>
      <c r="N4456" s="33">
        <f>IFERROR(__xludf.DUMMYFUNCTION("""COMPUTED_VALUE"""),2958465.0)</f>
        <v>2958465</v>
      </c>
      <c r="O4456" s="20"/>
      <c r="P4456" s="32" t="str">
        <f>IFERROR(__xludf.DUMMYFUNCTION("""COMPUTED_VALUE"""),"可")</f>
        <v>可</v>
      </c>
      <c r="Q4456" s="30"/>
      <c r="R4456" s="22"/>
      <c r="S4456" s="22" t="str">
        <f>IFERROR(__xludf.DUMMYFUNCTION("""COMPUTED_VALUE"""),"20251208_シーモアコミックス_裏チャンネルで逢いましょう")</f>
        <v>20251208_シーモアコミックス_裏チャンネルで逢いましょう</v>
      </c>
      <c r="T4456" s="22" t="str">
        <f>IFERROR(__xludf.DUMMYFUNCTION("""COMPUTED_VALUE"""),"格納済み")</f>
        <v>格納済み</v>
      </c>
      <c r="U4456" s="9" t="str">
        <f>IFERROR(__xludf.DUMMYFUNCTION("""COMPUTED_VALUE"""),"(C) 多々田ヨシオ/芽獅/シーモアコミックス")</f>
        <v>(C) 多々田ヨシオ/芽獅/シーモアコミックス</v>
      </c>
      <c r="V4456" s="8"/>
      <c r="W4456" s="8"/>
      <c r="X4456" s="8" t="str">
        <f>IFERROR(__xludf.DUMMYFUNCTION("""COMPUTED_VALUE"""),"有")</f>
        <v>有</v>
      </c>
      <c r="Y4456" s="8" t="str">
        <f>IFERROR(__xludf.DUMMYFUNCTION("""COMPUTED_VALUE"""),"2026/2/21まで1巻無料")</f>
        <v>2026/2/21まで1巻無料</v>
      </c>
      <c r="Z4456" s="7"/>
      <c r="AA4456" s="7"/>
      <c r="AB4456" s="7"/>
    </row>
    <row r="4457" ht="15.75" customHeight="1">
      <c r="A4457" s="26">
        <f>IFERROR(__xludf.DUMMYFUNCTION("""COMPUTED_VALUE"""),7021.0)</f>
        <v>7021</v>
      </c>
      <c r="B4457" s="22" t="str">
        <f>IFERROR(__xludf.DUMMYFUNCTION("""COMPUTED_VALUE"""),"確定")</f>
        <v>確定</v>
      </c>
      <c r="C4457" s="28">
        <f>IFERROR(__xludf.DUMMYFUNCTION("""COMPUTED_VALUE"""),45999.0)</f>
        <v>45999</v>
      </c>
      <c r="D4457" s="28">
        <f>IFERROR(__xludf.DUMMYFUNCTION("""COMPUTED_VALUE"""),46014.0)</f>
        <v>46014</v>
      </c>
      <c r="E4457" s="26">
        <f>IFERROR(__xludf.DUMMYFUNCTION("""COMPUTED_VALUE"""),335217.0)</f>
        <v>335217</v>
      </c>
      <c r="F4457" s="22" t="str">
        <f>IFERROR(__xludf.DUMMYFUNCTION("""COMPUTED_VALUE"""),"逆転恋色ラブコール")</f>
        <v>逆転恋色ラブコール</v>
      </c>
      <c r="G4457" s="20">
        <f>IFERROR(__xludf.DUMMYFUNCTION("""COMPUTED_VALUE"""),1.0)</f>
        <v>1</v>
      </c>
      <c r="H4457" s="22" t="str">
        <f>IFERROR(__xludf.DUMMYFUNCTION("""COMPUTED_VALUE"""),"よなきオイスター")</f>
        <v>よなきオイスター</v>
      </c>
      <c r="I4457" s="22" t="str">
        <f>IFERROR(__xludf.DUMMYFUNCTION("""COMPUTED_VALUE"""),"BLマンガ")</f>
        <v>BLマンガ</v>
      </c>
      <c r="J4457" s="22"/>
      <c r="K4457" s="22" t="str">
        <f>IFERROR(__xludf.DUMMYFUNCTION("""COMPUTED_VALUE"""),"Ficus")</f>
        <v>Ficus</v>
      </c>
      <c r="L4457" s="22" t="str">
        <f>IFERROR(__xludf.DUMMYFUNCTION("""COMPUTED_VALUE"""),"シーモアコミックス")</f>
        <v>シーモアコミックス</v>
      </c>
      <c r="M4457" s="33">
        <f>IFERROR(__xludf.DUMMYFUNCTION("""COMPUTED_VALUE"""),46046.0)</f>
        <v>46046</v>
      </c>
      <c r="N4457" s="33">
        <f>IFERROR(__xludf.DUMMYFUNCTION("""COMPUTED_VALUE"""),2958465.0)</f>
        <v>2958465</v>
      </c>
      <c r="O4457" s="20"/>
      <c r="P4457" s="32" t="str">
        <f>IFERROR(__xludf.DUMMYFUNCTION("""COMPUTED_VALUE"""),"可")</f>
        <v>可</v>
      </c>
      <c r="Q4457" s="30" t="str">
        <f>IFERROR(__xludf.DUMMYFUNCTION("""COMPUTED_VALUE"""),"【アダルト作品扱い】&lt;BR&gt;読み切り作品")</f>
        <v>【アダルト作品扱い】&lt;BR&gt;読み切り作品</v>
      </c>
      <c r="R4457" s="22"/>
      <c r="S4457" s="22" t="str">
        <f>IFERROR(__xludf.DUMMYFUNCTION("""COMPUTED_VALUE"""),"20251208_シーモアコミックス_逆転恋色ラブコール")</f>
        <v>20251208_シーモアコミックス_逆転恋色ラブコール</v>
      </c>
      <c r="T4457" s="22" t="str">
        <f>IFERROR(__xludf.DUMMYFUNCTION("""COMPUTED_VALUE"""),"格納済み")</f>
        <v>格納済み</v>
      </c>
      <c r="U4457" s="9" t="str">
        <f>IFERROR(__xludf.DUMMYFUNCTION("""COMPUTED_VALUE"""),"(C) よなきオイスター/シーモアコミックス")</f>
        <v>(C) よなきオイスター/シーモアコミックス</v>
      </c>
      <c r="V4457" s="8"/>
      <c r="W4457" s="8"/>
      <c r="X4457" s="8" t="str">
        <f>IFERROR(__xludf.DUMMYFUNCTION("""COMPUTED_VALUE"""),"有")</f>
        <v>有</v>
      </c>
      <c r="Y4457" s="8" t="str">
        <f>IFERROR(__xludf.DUMMYFUNCTION("""COMPUTED_VALUE"""),"P10まで")</f>
        <v>P10まで</v>
      </c>
      <c r="Z4457" s="7"/>
      <c r="AA4457" s="7"/>
      <c r="AB4457" s="7"/>
    </row>
    <row r="4458" ht="15.75" customHeight="1">
      <c r="A4458" s="26">
        <f>IFERROR(__xludf.DUMMYFUNCTION("""COMPUTED_VALUE"""),7027.0)</f>
        <v>7027</v>
      </c>
      <c r="B4458" s="22" t="str">
        <f>IFERROR(__xludf.DUMMYFUNCTION("""COMPUTED_VALUE"""),"確定")</f>
        <v>確定</v>
      </c>
      <c r="C4458" s="28">
        <f>IFERROR(__xludf.DUMMYFUNCTION("""COMPUTED_VALUE"""),46000.0)</f>
        <v>46000</v>
      </c>
      <c r="D4458" s="28">
        <f>IFERROR(__xludf.DUMMYFUNCTION("""COMPUTED_VALUE"""),46010.0)</f>
        <v>46010</v>
      </c>
      <c r="E4458" s="26">
        <f>IFERROR(__xludf.DUMMYFUNCTION("""COMPUTED_VALUE"""),351908.0)</f>
        <v>351908</v>
      </c>
      <c r="F4458" s="22" t="str">
        <f>IFERROR(__xludf.DUMMYFUNCTION("""COMPUTED_VALUE"""),"君の支配者～遠縁の娘♀×偏屈作家♂～【逆転あり】")</f>
        <v>君の支配者～遠縁の娘♀×偏屈作家♂～【逆転あり】</v>
      </c>
      <c r="G4458" s="20" t="str">
        <f>IFERROR(__xludf.DUMMYFUNCTION("""COMPUTED_VALUE"""),"1～3")</f>
        <v>1～3</v>
      </c>
      <c r="H4458" s="22" t="str">
        <f>IFERROR(__xludf.DUMMYFUNCTION("""COMPUTED_VALUE"""),"唾吐くピエタ")</f>
        <v>唾吐くピエタ</v>
      </c>
      <c r="I4458" s="22" t="str">
        <f>IFERROR(__xludf.DUMMYFUNCTION("""COMPUTED_VALUE"""),"アダルト")</f>
        <v>アダルト</v>
      </c>
      <c r="J4458" s="22"/>
      <c r="K4458" s="22" t="str">
        <f>IFERROR(__xludf.DUMMYFUNCTION("""COMPUTED_VALUE"""),"Close Moon")</f>
        <v>Close Moon</v>
      </c>
      <c r="L4458" s="22" t="str">
        <f>IFERROR(__xludf.DUMMYFUNCTION("""COMPUTED_VALUE"""),"ナンバーナイン")</f>
        <v>ナンバーナイン</v>
      </c>
      <c r="M4458" s="33">
        <f>IFERROR(__xludf.DUMMYFUNCTION("""COMPUTED_VALUE"""),46075.0)</f>
        <v>46075</v>
      </c>
      <c r="N4458" s="33">
        <f>IFERROR(__xludf.DUMMYFUNCTION("""COMPUTED_VALUE"""),46133.0)</f>
        <v>46133</v>
      </c>
      <c r="O4458" s="20"/>
      <c r="P4458" s="32" t="str">
        <f>IFERROR(__xludf.DUMMYFUNCTION("""COMPUTED_VALUE"""),"可")</f>
        <v>可</v>
      </c>
      <c r="Q4458" s="30"/>
      <c r="R4458" s="22" t="str">
        <f>IFERROR(__xludf.DUMMYFUNCTION("""COMPUTED_VALUE"""),"コミットOK")</f>
        <v>コミットOK</v>
      </c>
      <c r="S4458" s="22" t="str">
        <f>IFERROR(__xludf.DUMMYFUNCTION("""COMPUTED_VALUE"""),"20251218_ナンバーナイン_君の支配者〜遠縁の娘♀×偏屈作家♂〜【逆転あり】")</f>
        <v>20251218_ナンバーナイン_君の支配者〜遠縁の娘♀×偏屈作家♂〜【逆転あり】</v>
      </c>
      <c r="T4458" s="22" t="str">
        <f>IFERROR(__xludf.DUMMYFUNCTION("""COMPUTED_VALUE"""),"格納済み")</f>
        <v>格納済み</v>
      </c>
      <c r="U4458" s="9" t="str">
        <f>IFERROR(__xludf.DUMMYFUNCTION("""COMPUTED_VALUE"""),"(C)唾吐くピエタ／ナンバーナイン")</f>
        <v>(C)唾吐くピエタ／ナンバーナイン</v>
      </c>
      <c r="V4458" s="8"/>
      <c r="W4458" s="8"/>
      <c r="X4458" s="8" t="str">
        <f>IFERROR(__xludf.DUMMYFUNCTION("""COMPUTED_VALUE"""),"有")</f>
        <v>有</v>
      </c>
      <c r="Y4458" s="8" t="str">
        <f>IFERROR(__xludf.DUMMYFUNCTION("""COMPUTED_VALUE"""),"P4まで")</f>
        <v>P4まで</v>
      </c>
      <c r="Z4458" s="7"/>
      <c r="AA4458" s="7"/>
      <c r="AB4458" s="7"/>
    </row>
    <row r="4459" ht="15.75" customHeight="1">
      <c r="A4459" s="26">
        <f>IFERROR(__xludf.DUMMYFUNCTION("""COMPUTED_VALUE"""),7028.0)</f>
        <v>7028</v>
      </c>
      <c r="B4459" s="22" t="str">
        <f>IFERROR(__xludf.DUMMYFUNCTION("""COMPUTED_VALUE"""),"確定")</f>
        <v>確定</v>
      </c>
      <c r="C4459" s="28">
        <f>IFERROR(__xludf.DUMMYFUNCTION("""COMPUTED_VALUE"""),46000.0)</f>
        <v>46000</v>
      </c>
      <c r="D4459" s="28">
        <f>IFERROR(__xludf.DUMMYFUNCTION("""COMPUTED_VALUE"""),46010.0)</f>
        <v>46010</v>
      </c>
      <c r="E4459" s="26">
        <f>IFERROR(__xludf.DUMMYFUNCTION("""COMPUTED_VALUE"""),351930.0)</f>
        <v>351930</v>
      </c>
      <c r="F4459" s="22" t="str">
        <f>IFERROR(__xludf.DUMMYFUNCTION("""COMPUTED_VALUE"""),"君の支配者～遠縁の娘♀×偏屈作家♂～【逆転あり】【白抜き修正版】")</f>
        <v>君の支配者～遠縁の娘♀×偏屈作家♂～【逆転あり】【白抜き修正版】</v>
      </c>
      <c r="G4459" s="20" t="str">
        <f>IFERROR(__xludf.DUMMYFUNCTION("""COMPUTED_VALUE"""),"1～3")</f>
        <v>1～3</v>
      </c>
      <c r="H4459" s="22" t="str">
        <f>IFERROR(__xludf.DUMMYFUNCTION("""COMPUTED_VALUE"""),"唾吐くピエタ")</f>
        <v>唾吐くピエタ</v>
      </c>
      <c r="I4459" s="22" t="str">
        <f>IFERROR(__xludf.DUMMYFUNCTION("""COMPUTED_VALUE"""),"TL")</f>
        <v>TL</v>
      </c>
      <c r="J4459" s="22"/>
      <c r="K4459" s="22" t="str">
        <f>IFERROR(__xludf.DUMMYFUNCTION("""COMPUTED_VALUE"""),"Close Moon")</f>
        <v>Close Moon</v>
      </c>
      <c r="L4459" s="22" t="str">
        <f>IFERROR(__xludf.DUMMYFUNCTION("""COMPUTED_VALUE"""),"ナンバーナイン")</f>
        <v>ナンバーナイン</v>
      </c>
      <c r="M4459" s="33">
        <f>IFERROR(__xludf.DUMMYFUNCTION("""COMPUTED_VALUE"""),46075.0)</f>
        <v>46075</v>
      </c>
      <c r="N4459" s="33">
        <f>IFERROR(__xludf.DUMMYFUNCTION("""COMPUTED_VALUE"""),46133.0)</f>
        <v>46133</v>
      </c>
      <c r="O4459" s="20"/>
      <c r="P4459" s="32" t="str">
        <f>IFERROR(__xludf.DUMMYFUNCTION("""COMPUTED_VALUE"""),"可")</f>
        <v>可</v>
      </c>
      <c r="Q4459" s="30" t="str">
        <f>IFERROR(__xludf.DUMMYFUNCTION("""COMPUTED_VALUE"""),"【アダルト作品扱い】")</f>
        <v>【アダルト作品扱い】</v>
      </c>
      <c r="R4459" s="22" t="str">
        <f>IFERROR(__xludf.DUMMYFUNCTION("""COMPUTED_VALUE"""),"コミットNG")</f>
        <v>コミットNG</v>
      </c>
      <c r="S4459" s="22" t="str">
        <f>IFERROR(__xludf.DUMMYFUNCTION("""COMPUTED_VALUE"""),"20251218_ナンバーナイン_君の支配者〜遠縁の娘♀×偏屈作家♂〜【逆転あり】【白抜き修正版】")</f>
        <v>20251218_ナンバーナイン_君の支配者〜遠縁の娘♀×偏屈作家♂〜【逆転あり】【白抜き修正版】</v>
      </c>
      <c r="T4459" s="22" t="str">
        <f>IFERROR(__xludf.DUMMYFUNCTION("""COMPUTED_VALUE"""),"格納済み")</f>
        <v>格納済み</v>
      </c>
      <c r="U4459" s="9" t="str">
        <f>IFERROR(__xludf.DUMMYFUNCTION("""COMPUTED_VALUE"""),"(C)唾吐くピエタ／ナンバーナイン")</f>
        <v>(C)唾吐くピエタ／ナンバーナイン</v>
      </c>
      <c r="V4459" s="8"/>
      <c r="W4459" s="8"/>
      <c r="X4459" s="8" t="str">
        <f>IFERROR(__xludf.DUMMYFUNCTION("""COMPUTED_VALUE"""),"有")</f>
        <v>有</v>
      </c>
      <c r="Y4459" s="8" t="str">
        <f>IFERROR(__xludf.DUMMYFUNCTION("""COMPUTED_VALUE"""),"P4まで")</f>
        <v>P4まで</v>
      </c>
      <c r="Z4459" s="7"/>
      <c r="AA4459" s="7"/>
      <c r="AB4459" s="7"/>
    </row>
    <row r="4460" ht="15.75" customHeight="1">
      <c r="A4460" s="26">
        <f>IFERROR(__xludf.DUMMYFUNCTION("""COMPUTED_VALUE"""),7033.0)</f>
        <v>7033</v>
      </c>
      <c r="B4460" s="22" t="str">
        <f>IFERROR(__xludf.DUMMYFUNCTION("""COMPUTED_VALUE"""),"確定")</f>
        <v>確定</v>
      </c>
      <c r="C4460" s="28">
        <f>IFERROR(__xludf.DUMMYFUNCTION("""COMPUTED_VALUE"""),46000.0)</f>
        <v>46000</v>
      </c>
      <c r="D4460" s="28">
        <f>IFERROR(__xludf.DUMMYFUNCTION("""COMPUTED_VALUE"""),46008.0)</f>
        <v>46008</v>
      </c>
      <c r="E4460" s="26" t="str">
        <f>IFERROR(__xludf.DUMMYFUNCTION("""COMPUTED_VALUE"""),"4429行目と同一")</f>
        <v>4429行目と同一</v>
      </c>
      <c r="F4460" s="22" t="str">
        <f>IFERROR(__xludf.DUMMYFUNCTION("""COMPUTED_VALUE"""),"黒騎士さま、溺愛しすぎです！")</f>
        <v>黒騎士さま、溺愛しすぎです！</v>
      </c>
      <c r="G4460" s="20" t="str">
        <f>IFERROR(__xludf.DUMMYFUNCTION("""COMPUTED_VALUE"""),"1～4")</f>
        <v>1～4</v>
      </c>
      <c r="H4460" s="22" t="str">
        <f>IFERROR(__xludf.DUMMYFUNCTION("""COMPUTED_VALUE"""),"夏空あめ・千早朔")</f>
        <v>夏空あめ・千早朔</v>
      </c>
      <c r="I4460" s="22" t="str">
        <f>IFERROR(__xludf.DUMMYFUNCTION("""COMPUTED_VALUE"""),"女性")</f>
        <v>女性</v>
      </c>
      <c r="J4460" s="22"/>
      <c r="K4460" s="22"/>
      <c r="L4460" s="22" t="str">
        <f>IFERROR(__xludf.DUMMYFUNCTION("""COMPUTED_VALUE"""),"Freedia")</f>
        <v>Freedia</v>
      </c>
      <c r="M4460" s="33">
        <f>IFERROR(__xludf.DUMMYFUNCTION("""COMPUTED_VALUE"""),46031.0)</f>
        <v>46031</v>
      </c>
      <c r="N4460" s="33">
        <f>IFERROR(__xludf.DUMMYFUNCTION("""COMPUTED_VALUE"""),46120.0)</f>
        <v>46120</v>
      </c>
      <c r="O4460" s="20"/>
      <c r="P4460" s="32" t="str">
        <f>IFERROR(__xludf.DUMMYFUNCTION("""COMPUTED_VALUE"""),"可")</f>
        <v>可</v>
      </c>
      <c r="Q4460" s="30"/>
      <c r="R4460" s="22"/>
      <c r="S4460" s="22" t="str">
        <f>IFERROR(__xludf.DUMMYFUNCTION("""COMPUTED_VALUE"""),"20251209_Freedia_黒騎士さま、溺愛しすぎです！")</f>
        <v>20251209_Freedia_黒騎士さま、溺愛しすぎです！</v>
      </c>
      <c r="T4460" s="22" t="str">
        <f>IFERROR(__xludf.DUMMYFUNCTION("""COMPUTED_VALUE"""),"格納済み")</f>
        <v>格納済み</v>
      </c>
      <c r="U4460" s="9" t="str">
        <f>IFERROR(__xludf.DUMMYFUNCTION("""COMPUTED_VALUE"""),"Ⓒ夏空あめ・千早朔/Freedia・テラーノベル")</f>
        <v>Ⓒ夏空あめ・千早朔/Freedia・テラーノベル</v>
      </c>
      <c r="V4460" s="8"/>
      <c r="W4460" s="8"/>
      <c r="X4460" s="8" t="str">
        <f>IFERROR(__xludf.DUMMYFUNCTION("""COMPUTED_VALUE"""),"ー")</f>
        <v>ー</v>
      </c>
      <c r="Y4460" s="8" t="str">
        <f>IFERROR(__xludf.DUMMYFUNCTION("""COMPUTED_VALUE"""),"ー")</f>
        <v>ー</v>
      </c>
      <c r="Z4460" s="7"/>
      <c r="AA4460" s="7"/>
      <c r="AB4460" s="7"/>
    </row>
    <row r="4461" ht="15.75" customHeight="1">
      <c r="A4461" s="26">
        <f>IFERROR(__xludf.DUMMYFUNCTION("""COMPUTED_VALUE"""),7073.0)</f>
        <v>7073</v>
      </c>
      <c r="B4461" s="22" t="str">
        <f>IFERROR(__xludf.DUMMYFUNCTION("""COMPUTED_VALUE"""),"確定")</f>
        <v>確定</v>
      </c>
      <c r="C4461" s="28">
        <f>IFERROR(__xludf.DUMMYFUNCTION("""COMPUTED_VALUE"""),46007.0)</f>
        <v>46007</v>
      </c>
      <c r="D4461" s="28">
        <f>IFERROR(__xludf.DUMMYFUNCTION("""COMPUTED_VALUE"""),46008.0)</f>
        <v>46008</v>
      </c>
      <c r="E4461" s="26">
        <f>IFERROR(__xludf.DUMMYFUNCTION("""COMPUTED_VALUE"""),349234.0)</f>
        <v>349234</v>
      </c>
      <c r="F4461" s="22" t="str">
        <f>IFERROR(__xludf.DUMMYFUNCTION("""COMPUTED_VALUE"""),"悪辣令嬢と首なしの使用人【TL版】")</f>
        <v>悪辣令嬢と首なしの使用人【TL版】</v>
      </c>
      <c r="G4461" s="20" t="str">
        <f>IFERROR(__xludf.DUMMYFUNCTION("""COMPUTED_VALUE"""),"1～3")</f>
        <v>1～3</v>
      </c>
      <c r="H4461" s="22" t="str">
        <f>IFERROR(__xludf.DUMMYFUNCTION("""COMPUTED_VALUE"""),"げんじつ┴中山酢飯┴DARK MOON")</f>
        <v>げんじつ┴中山酢飯┴DARK MOON</v>
      </c>
      <c r="I4461" s="22" t="str">
        <f>IFERROR(__xludf.DUMMYFUNCTION("""COMPUTED_VALUE"""),"TL")</f>
        <v>TL</v>
      </c>
      <c r="J4461" s="22"/>
      <c r="K4461" s="22" t="str">
        <f>IFERROR(__xludf.DUMMYFUNCTION("""COMPUTED_VALUE"""),"DARKMOON")</f>
        <v>DARKMOON</v>
      </c>
      <c r="L4461" s="22" t="str">
        <f>IFERROR(__xludf.DUMMYFUNCTION("""COMPUTED_VALUE"""),"クロスフォリオ出版")</f>
        <v>クロスフォリオ出版</v>
      </c>
      <c r="M4461" s="33">
        <f>IFERROR(__xludf.DUMMYFUNCTION("""COMPUTED_VALUE"""),46087.0)</f>
        <v>46087</v>
      </c>
      <c r="N4461" s="33">
        <f>IFERROR(__xludf.DUMMYFUNCTION("""COMPUTED_VALUE"""),46177.0)</f>
        <v>46177</v>
      </c>
      <c r="O4461" s="20"/>
      <c r="P4461" s="32" t="str">
        <f>IFERROR(__xludf.DUMMYFUNCTION("""COMPUTED_VALUE"""),"可")</f>
        <v>可</v>
      </c>
      <c r="Q4461" s="30" t="str">
        <f>IFERROR(__xludf.DUMMYFUNCTION("""COMPUTED_VALUE"""),"【アダルト作品扱い】&lt;BR&gt;・書店BookLiveとシーモアでの同時先行配信&lt;BR&gt;")</f>
        <v>【アダルト作品扱い】&lt;BR&gt;・書店BookLiveとシーモアでの同時先行配信&lt;BR&gt;</v>
      </c>
      <c r="R4461" s="22"/>
      <c r="S4461" s="22" t="str">
        <f>IFERROR(__xludf.DUMMYFUNCTION("""COMPUTED_VALUE"""),"20251216_BookLive_悪辣令嬢と首なしの使用人【TL版】")</f>
        <v>20251216_BookLive_悪辣令嬢と首なしの使用人【TL版】</v>
      </c>
      <c r="T4461" s="22" t="str">
        <f>IFERROR(__xludf.DUMMYFUNCTION("""COMPUTED_VALUE"""),"格納済み")</f>
        <v>格納済み</v>
      </c>
      <c r="U4461" s="9" t="str">
        <f>IFERROR(__xludf.DUMMYFUNCTION("""COMPUTED_VALUE"""),"Ⓒげんじつ/中山酢飯/DARKMOON/クロスフォリオ出版")</f>
        <v>Ⓒげんじつ/中山酢飯/DARKMOON/クロスフォリオ出版</v>
      </c>
      <c r="V4461" s="8"/>
      <c r="W4461" s="8"/>
      <c r="X4461" s="8" t="str">
        <f>IFERROR(__xludf.DUMMYFUNCTION("""COMPUTED_VALUE"""),"有")</f>
        <v>有</v>
      </c>
      <c r="Y4461" s="8" t="str">
        <f>IFERROR(__xludf.DUMMYFUNCTION("""COMPUTED_VALUE"""),"P6まで")</f>
        <v>P6まで</v>
      </c>
      <c r="Z4461" s="7"/>
      <c r="AA4461" s="7"/>
      <c r="AB4461" s="7"/>
    </row>
    <row r="4462" ht="15.75" customHeight="1">
      <c r="A4462" s="26">
        <f>IFERROR(__xludf.DUMMYFUNCTION("""COMPUTED_VALUE"""),7074.0)</f>
        <v>7074</v>
      </c>
      <c r="B4462" s="22" t="str">
        <f>IFERROR(__xludf.DUMMYFUNCTION("""COMPUTED_VALUE"""),"確定")</f>
        <v>確定</v>
      </c>
      <c r="C4462" s="28">
        <f>IFERROR(__xludf.DUMMYFUNCTION("""COMPUTED_VALUE"""),46007.0)</f>
        <v>46007</v>
      </c>
      <c r="D4462" s="28">
        <f>IFERROR(__xludf.DUMMYFUNCTION("""COMPUTED_VALUE"""),46008.0)</f>
        <v>46008</v>
      </c>
      <c r="E4462" s="26">
        <f>IFERROR(__xludf.DUMMYFUNCTION("""COMPUTED_VALUE"""),349235.0)</f>
        <v>349235</v>
      </c>
      <c r="F4462" s="22" t="str">
        <f>IFERROR(__xludf.DUMMYFUNCTION("""COMPUTED_VALUE"""),"過敏体質な囚人はえっちな看守にコントロールされちゃいます!【TL版】")</f>
        <v>過敏体質な囚人はえっちな看守にコントロールされちゃいます!【TL版】</v>
      </c>
      <c r="G4462" s="20" t="str">
        <f>IFERROR(__xludf.DUMMYFUNCTION("""COMPUTED_VALUE"""),"1～2")</f>
        <v>1～2</v>
      </c>
      <c r="H4462" s="22" t="str">
        <f>IFERROR(__xludf.DUMMYFUNCTION("""COMPUTED_VALUE"""),"まみんご。┴落合海┴Hitomi┴DARK MOON")</f>
        <v>まみんご。┴落合海┴Hitomi┴DARK MOON</v>
      </c>
      <c r="I4462" s="22" t="str">
        <f>IFERROR(__xludf.DUMMYFUNCTION("""COMPUTED_VALUE"""),"TL")</f>
        <v>TL</v>
      </c>
      <c r="J4462" s="22"/>
      <c r="K4462" s="22" t="str">
        <f>IFERROR(__xludf.DUMMYFUNCTION("""COMPUTED_VALUE"""),"DARKMOON")</f>
        <v>DARKMOON</v>
      </c>
      <c r="L4462" s="22" t="str">
        <f>IFERROR(__xludf.DUMMYFUNCTION("""COMPUTED_VALUE"""),"クロスフォリオ出版")</f>
        <v>クロスフォリオ出版</v>
      </c>
      <c r="M4462" s="33">
        <f>IFERROR(__xludf.DUMMYFUNCTION("""COMPUTED_VALUE"""),46087.0)</f>
        <v>46087</v>
      </c>
      <c r="N4462" s="33">
        <f>IFERROR(__xludf.DUMMYFUNCTION("""COMPUTED_VALUE"""),46177.0)</f>
        <v>46177</v>
      </c>
      <c r="O4462" s="20"/>
      <c r="P4462" s="32" t="str">
        <f>IFERROR(__xludf.DUMMYFUNCTION("""COMPUTED_VALUE"""),"可")</f>
        <v>可</v>
      </c>
      <c r="Q4462" s="30" t="str">
        <f>IFERROR(__xludf.DUMMYFUNCTION("""COMPUTED_VALUE"""),"【アダルト作品扱い】&lt;BR&gt;・書店BookLiveとシーモアでの同時先行配信&lt;BR&gt;")</f>
        <v>【アダルト作品扱い】&lt;BR&gt;・書店BookLiveとシーモアでの同時先行配信&lt;BR&gt;</v>
      </c>
      <c r="R4462" s="22"/>
      <c r="S4462" s="22" t="str">
        <f>IFERROR(__xludf.DUMMYFUNCTION("""COMPUTED_VALUE"""),"20251216_BookLive_過敏体質な囚人はえっちな看守にコントロールされちゃいます!【TL版】")</f>
        <v>20251216_BookLive_過敏体質な囚人はえっちな看守にコントロールされちゃいます!【TL版】</v>
      </c>
      <c r="T4462" s="22" t="str">
        <f>IFERROR(__xludf.DUMMYFUNCTION("""COMPUTED_VALUE"""),"格納済み")</f>
        <v>格納済み</v>
      </c>
      <c r="U4462" s="9" t="str">
        <f>IFERROR(__xludf.DUMMYFUNCTION("""COMPUTED_VALUE"""),"Ⓒまみんご。/落合海/Hitomi/DARKMOON/クロスフォリオ出版")</f>
        <v>Ⓒまみんご。/落合海/Hitomi/DARKMOON/クロスフォリオ出版</v>
      </c>
      <c r="V4462" s="8"/>
      <c r="W4462" s="8"/>
      <c r="X4462" s="8" t="str">
        <f>IFERROR(__xludf.DUMMYFUNCTION("""COMPUTED_VALUE"""),"有")</f>
        <v>有</v>
      </c>
      <c r="Y4462" s="8" t="str">
        <f>IFERROR(__xludf.DUMMYFUNCTION("""COMPUTED_VALUE"""),"P7まで")</f>
        <v>P7まで</v>
      </c>
      <c r="Z4462" s="7"/>
      <c r="AA4462" s="7"/>
      <c r="AB4462" s="7"/>
    </row>
    <row r="4463" ht="15.75" customHeight="1">
      <c r="A4463" s="26">
        <f>IFERROR(__xludf.DUMMYFUNCTION("""COMPUTED_VALUE"""),7079.0)</f>
        <v>7079</v>
      </c>
      <c r="B4463" s="22" t="str">
        <f>IFERROR(__xludf.DUMMYFUNCTION("""COMPUTED_VALUE"""),"確定")</f>
        <v>確定</v>
      </c>
      <c r="C4463" s="28">
        <f>IFERROR(__xludf.DUMMYFUNCTION("""COMPUTED_VALUE"""),46008.0)</f>
        <v>46008</v>
      </c>
      <c r="D4463" s="28">
        <f>IFERROR(__xludf.DUMMYFUNCTION("""COMPUTED_VALUE"""),46013.0)</f>
        <v>46013</v>
      </c>
      <c r="E4463" s="26">
        <f>IFERROR(__xludf.DUMMYFUNCTION("""COMPUTED_VALUE"""),349159.0)</f>
        <v>349159</v>
      </c>
      <c r="F4463" s="22" t="str">
        <f>IFERROR(__xludf.DUMMYFUNCTION("""COMPUTED_VALUE"""),"となりの席の友達と一緒にオナニーする話")</f>
        <v>となりの席の友達と一緒にオナニーする話</v>
      </c>
      <c r="G4463" s="20" t="str">
        <f>IFERROR(__xludf.DUMMYFUNCTION("""COMPUTED_VALUE"""),"1～2")</f>
        <v>1～2</v>
      </c>
      <c r="H4463" s="22" t="str">
        <f>IFERROR(__xludf.DUMMYFUNCTION("""COMPUTED_VALUE"""),"フグタ家")</f>
        <v>フグタ家</v>
      </c>
      <c r="I4463" s="22" t="str">
        <f>IFERROR(__xludf.DUMMYFUNCTION("""COMPUTED_VALUE"""),"アダルト")</f>
        <v>アダルト</v>
      </c>
      <c r="J4463" s="22"/>
      <c r="K4463" s="22"/>
      <c r="L4463" s="22" t="str">
        <f>IFERROR(__xludf.DUMMYFUNCTION("""COMPUTED_VALUE"""),"ナイトコミック")</f>
        <v>ナイトコミック</v>
      </c>
      <c r="M4463" s="33">
        <f>IFERROR(__xludf.DUMMYFUNCTION("""COMPUTED_VALUE"""),46059.0)</f>
        <v>46059</v>
      </c>
      <c r="N4463" s="33">
        <f>IFERROR(__xludf.DUMMYFUNCTION("""COMPUTED_VALUE"""),46114.0)</f>
        <v>46114</v>
      </c>
      <c r="O4463" s="20"/>
      <c r="P4463" s="32" t="str">
        <f>IFERROR(__xludf.DUMMYFUNCTION("""COMPUTED_VALUE"""),"可")</f>
        <v>可</v>
      </c>
      <c r="Q4463" s="30" t="str">
        <f>IFERROR(__xludf.DUMMYFUNCTION("""COMPUTED_VALUE"""),"【初回配信時施策】&lt;BR&gt;1巻：14ページまで試読増量　2026/02/06～2026/04/02&lt;BR&gt;2巻：8ページまで試読増量　2026/02/06～2026/04/02")</f>
        <v>【初回配信時施策】&lt;BR&gt;1巻：14ページまで試読増量　2026/02/06～2026/04/02&lt;BR&gt;2巻：8ページまで試読増量　2026/02/06～2026/04/02</v>
      </c>
      <c r="R4463" s="22"/>
      <c r="S4463" s="22" t="str">
        <f>IFERROR(__xludf.DUMMYFUNCTION("""COMPUTED_VALUE"""),"20251217_ナイトコミック_カナワークス_となりの席の友達と一緒にオナニーする話")</f>
        <v>20251217_ナイトコミック_カナワークス_となりの席の友達と一緒にオナニーする話</v>
      </c>
      <c r="T4463" s="22" t="str">
        <f>IFERROR(__xludf.DUMMYFUNCTION("""COMPUTED_VALUE"""),"格納済み")</f>
        <v>格納済み</v>
      </c>
      <c r="U4463" s="9" t="str">
        <f>IFERROR(__xludf.DUMMYFUNCTION("""COMPUTED_VALUE"""),"Ⓒフグタ家")</f>
        <v>Ⓒフグタ家</v>
      </c>
      <c r="V4463" s="8"/>
      <c r="W4463" s="8"/>
      <c r="X4463" s="8" t="str">
        <f>IFERROR(__xludf.DUMMYFUNCTION("""COMPUTED_VALUE"""),"有")</f>
        <v>有</v>
      </c>
      <c r="Y4463" s="8" t="str">
        <f>IFERROR(__xludf.DUMMYFUNCTION("""COMPUTED_VALUE"""),"P11まで")</f>
        <v>P11まで</v>
      </c>
      <c r="Z4463" s="7"/>
      <c r="AA4463" s="7"/>
      <c r="AB4463" s="7"/>
    </row>
    <row r="4464" ht="15.75" customHeight="1">
      <c r="A4464" s="26">
        <f>IFERROR(__xludf.DUMMYFUNCTION("""COMPUTED_VALUE"""),7092.0)</f>
        <v>7092</v>
      </c>
      <c r="B4464" s="22" t="str">
        <f>IFERROR(__xludf.DUMMYFUNCTION("""COMPUTED_VALUE"""),"確定")</f>
        <v>確定</v>
      </c>
      <c r="C4464" s="28">
        <f>IFERROR(__xludf.DUMMYFUNCTION("""COMPUTED_VALUE"""),46010.0)</f>
        <v>46010</v>
      </c>
      <c r="D4464" s="28">
        <f>IFERROR(__xludf.DUMMYFUNCTION("""COMPUTED_VALUE"""),46014.0)</f>
        <v>46014</v>
      </c>
      <c r="E4464" s="26">
        <f>IFERROR(__xludf.DUMMYFUNCTION("""COMPUTED_VALUE"""),319382.0)</f>
        <v>319382</v>
      </c>
      <c r="F4464" s="22" t="str">
        <f>IFERROR(__xludf.DUMMYFUNCTION("""COMPUTED_VALUE"""),"Karen ～白衣の悪魔～")</f>
        <v>Karen ～白衣の悪魔～</v>
      </c>
      <c r="G4464" s="20" t="str">
        <f>IFERROR(__xludf.DUMMYFUNCTION("""COMPUTED_VALUE"""),"1～3")</f>
        <v>1～3</v>
      </c>
      <c r="H4464" s="22" t="str">
        <f>IFERROR(__xludf.DUMMYFUNCTION("""COMPUTED_VALUE"""),"ジョウフネ,八重樫ひのめ")</f>
        <v>ジョウフネ,八重樫ひのめ</v>
      </c>
      <c r="I4464" s="22" t="str">
        <f>IFERROR(__xludf.DUMMYFUNCTION("""COMPUTED_VALUE"""),"青年マンガ")</f>
        <v>青年マンガ</v>
      </c>
      <c r="J4464" s="22"/>
      <c r="K4464" s="22" t="str">
        <f>IFERROR(__xludf.DUMMYFUNCTION("""COMPUTED_VALUE"""),"トレモア・スプラッシュ,トレモアcollection")</f>
        <v>トレモア・スプラッシュ,トレモアcollection</v>
      </c>
      <c r="L4464" s="22" t="str">
        <f>IFERROR(__xludf.DUMMYFUNCTION("""COMPUTED_VALUE"""),"シーモアコミックス（トレモア）")</f>
        <v>シーモアコミックス（トレモア）</v>
      </c>
      <c r="M4464" s="33">
        <f>IFERROR(__xludf.DUMMYFUNCTION("""COMPUTED_VALUE"""),46052.0)</f>
        <v>46052</v>
      </c>
      <c r="N4464" s="33">
        <f>IFERROR(__xludf.DUMMYFUNCTION("""COMPUTED_VALUE"""),46205.0)</f>
        <v>46205</v>
      </c>
      <c r="O4464" s="20"/>
      <c r="P4464" s="32" t="str">
        <f>IFERROR(__xludf.DUMMYFUNCTION("""COMPUTED_VALUE"""),"可")</f>
        <v>可</v>
      </c>
      <c r="Q4464" s="30"/>
      <c r="R4464" s="22"/>
      <c r="S4464" s="22" t="str">
        <f>IFERROR(__xludf.DUMMYFUNCTION("""COMPUTED_VALUE"""),"20251219_シーモアコミックス_KAREN ～白衣の悪魔～")</f>
        <v>20251219_シーモアコミックス_KAREN ～白衣の悪魔～</v>
      </c>
      <c r="T4464" s="22" t="str">
        <f>IFERROR(__xludf.DUMMYFUNCTION("""COMPUTED_VALUE"""),"格納済み")</f>
        <v>格納済み</v>
      </c>
      <c r="U4464" s="9" t="str">
        <f>IFERROR(__xludf.DUMMYFUNCTION("""COMPUTED_VALUE"""),"(C) ジョウフネ/八重樫ひのめ/シーモアコミックス")</f>
        <v>(C) ジョウフネ/八重樫ひのめ/シーモアコミックス</v>
      </c>
      <c r="V4464" s="8"/>
      <c r="W4464" s="8"/>
      <c r="X4464" s="8" t="str">
        <f>IFERROR(__xludf.DUMMYFUNCTION("""COMPUTED_VALUE"""),"有")</f>
        <v>有</v>
      </c>
      <c r="Y4464" s="8" t="str">
        <f>IFERROR(__xludf.DUMMYFUNCTION("""COMPUTED_VALUE"""),"P5まで")</f>
        <v>P5まで</v>
      </c>
      <c r="Z4464" s="7"/>
      <c r="AA4464" s="7"/>
      <c r="AB4464" s="7"/>
    </row>
    <row r="4465" ht="15.75" customHeight="1">
      <c r="A4465" s="26">
        <f>IFERROR(__xludf.DUMMYFUNCTION("""COMPUTED_VALUE"""),7094.0)</f>
        <v>7094</v>
      </c>
      <c r="B4465" s="22" t="str">
        <f>IFERROR(__xludf.DUMMYFUNCTION("""COMPUTED_VALUE"""),"確定")</f>
        <v>確定</v>
      </c>
      <c r="C4465" s="28">
        <f>IFERROR(__xludf.DUMMYFUNCTION("""COMPUTED_VALUE"""),46013.0)</f>
        <v>46013</v>
      </c>
      <c r="D4465" s="28">
        <f>IFERROR(__xludf.DUMMYFUNCTION("""COMPUTED_VALUE"""),46013.0)</f>
        <v>46013</v>
      </c>
      <c r="E4465" s="26">
        <f>IFERROR(__xludf.DUMMYFUNCTION("""COMPUTED_VALUE"""),348551.0)</f>
        <v>348551</v>
      </c>
      <c r="F4465" s="22" t="str">
        <f>IFERROR(__xludf.DUMMYFUNCTION("""COMPUTED_VALUE"""),"婚約者に「誰だっけ？」と言われたので、このまま知らないフリでいかせて頂きます【分冊版】")</f>
        <v>婚約者に「誰だっけ？」と言われたので、このまま知らないフリでいかせて頂きます【分冊版】</v>
      </c>
      <c r="G4465" s="20" t="str">
        <f>IFERROR(__xludf.DUMMYFUNCTION("""COMPUTED_VALUE"""),"1～3")</f>
        <v>1～3</v>
      </c>
      <c r="H4465" s="22" t="str">
        <f>IFERROR(__xludf.DUMMYFUNCTION("""COMPUTED_VALUE"""),"編乃肌┴SORAJIMA")</f>
        <v>編乃肌┴SORAJIMA</v>
      </c>
      <c r="I4465" s="22" t="str">
        <f>IFERROR(__xludf.DUMMYFUNCTION("""COMPUTED_VALUE"""),"少女")</f>
        <v>少女</v>
      </c>
      <c r="J4465" s="22"/>
      <c r="K4465" s="22"/>
      <c r="L4465" s="22" t="str">
        <f>IFERROR(__xludf.DUMMYFUNCTION("""COMPUTED_VALUE"""),"SORAJIMA")</f>
        <v>SORAJIMA</v>
      </c>
      <c r="M4465" s="33">
        <f>IFERROR(__xludf.DUMMYFUNCTION("""COMPUTED_VALUE"""),46060.0)</f>
        <v>46060</v>
      </c>
      <c r="N4465" s="33">
        <f>IFERROR(__xludf.DUMMYFUNCTION("""COMPUTED_VALUE"""),46207.66666666667)</f>
        <v>46207.66667</v>
      </c>
      <c r="O4465" s="20"/>
      <c r="P4465" s="32" t="str">
        <f>IFERROR(__xludf.DUMMYFUNCTION("""COMPUTED_VALUE"""),"可")</f>
        <v>可</v>
      </c>
      <c r="Q4465" s="30"/>
      <c r="R4465" s="22"/>
      <c r="S4465" s="22" t="str">
        <f>IFERROR(__xludf.DUMMYFUNCTION("""COMPUTED_VALUE"""),"20251222_SORAJIMA_婚約者に「誰だっけ？」と言われたので、このまま知らないフリでいかせて頂きます【分冊版】")</f>
        <v>20251222_SORAJIMA_婚約者に「誰だっけ？」と言われたので、このまま知らないフリでいかせて頂きます【分冊版】</v>
      </c>
      <c r="T4465" s="22" t="str">
        <f>IFERROR(__xludf.DUMMYFUNCTION("""COMPUTED_VALUE"""),"格納済み")</f>
        <v>格納済み</v>
      </c>
      <c r="U4465" s="9" t="str">
        <f>IFERROR(__xludf.DUMMYFUNCTION("""COMPUTED_VALUE"""),"Ⓒ編乃肌/SORAJIMA")</f>
        <v>Ⓒ編乃肌/SORAJIMA</v>
      </c>
      <c r="V4465" s="8"/>
      <c r="W4465" s="8"/>
      <c r="X4465" s="8" t="str">
        <f>IFERROR(__xludf.DUMMYFUNCTION("""COMPUTED_VALUE"""),"有")</f>
        <v>有</v>
      </c>
      <c r="Y4465" s="8" t="str">
        <f>IFERROR(__xludf.DUMMYFUNCTION("""COMPUTED_VALUE"""),"2026/3/6まで1巻無料")</f>
        <v>2026/3/6まで1巻無料</v>
      </c>
      <c r="Z4465" s="7"/>
      <c r="AA4465" s="7"/>
      <c r="AB4465" s="7"/>
    </row>
    <row r="4466" ht="15.75" customHeight="1">
      <c r="A4466" s="26">
        <f>IFERROR(__xludf.DUMMYFUNCTION("""COMPUTED_VALUE"""),6271.0)</f>
        <v>6271</v>
      </c>
      <c r="B4466" s="22" t="str">
        <f>IFERROR(__xludf.DUMMYFUNCTION("""COMPUTED_VALUE"""),"確定")</f>
        <v>確定</v>
      </c>
      <c r="C4466" s="28">
        <f>IFERROR(__xludf.DUMMYFUNCTION("""COMPUTED_VALUE"""),45887.0)</f>
        <v>45887</v>
      </c>
      <c r="D4466" s="28">
        <f>IFERROR(__xludf.DUMMYFUNCTION("""COMPUTED_VALUE"""),46016.0)</f>
        <v>46016</v>
      </c>
      <c r="E4466" s="26">
        <f>IFERROR(__xludf.DUMMYFUNCTION("""COMPUTED_VALUE"""),348712.0)</f>
        <v>348712</v>
      </c>
      <c r="F4466" s="22" t="str">
        <f>IFERROR(__xludf.DUMMYFUNCTION("""COMPUTED_VALUE"""),"魔王さまに教えてあげる　【連載版】")</f>
        <v>魔王さまに教えてあげる　【連載版】</v>
      </c>
      <c r="G4466" s="20" t="str">
        <f>IFERROR(__xludf.DUMMYFUNCTION("""COMPUTED_VALUE"""),"1～6")</f>
        <v>1～6</v>
      </c>
      <c r="H4466" s="22" t="str">
        <f>IFERROR(__xludf.DUMMYFUNCTION("""COMPUTED_VALUE"""),"Jicco・夏野なえ")</f>
        <v>Jicco・夏野なえ</v>
      </c>
      <c r="I4466" s="22" t="str">
        <f>IFERROR(__xludf.DUMMYFUNCTION("""COMPUTED_VALUE"""),"少女")</f>
        <v>少女</v>
      </c>
      <c r="J4466" s="22"/>
      <c r="K4466" s="22" t="str">
        <f>IFERROR(__xludf.DUMMYFUNCTION("""COMPUTED_VALUE"""),"ZERO-SUMコミックス")</f>
        <v>ZERO-SUMコミックス</v>
      </c>
      <c r="L4466" s="22" t="str">
        <f>IFERROR(__xludf.DUMMYFUNCTION("""COMPUTED_VALUE"""),"一迅社")</f>
        <v>一迅社</v>
      </c>
      <c r="M4466" s="33">
        <f>IFERROR(__xludf.DUMMYFUNCTION("""COMPUTED_VALUE"""),46054.0)</f>
        <v>46054</v>
      </c>
      <c r="N4466" s="33">
        <f>IFERROR(__xludf.DUMMYFUNCTION("""COMPUTED_VALUE"""),46081.0)</f>
        <v>46081</v>
      </c>
      <c r="O4466" s="20"/>
      <c r="P4466" s="32" t="str">
        <f>IFERROR(__xludf.DUMMYFUNCTION("""COMPUTED_VALUE"""),"否")</f>
        <v>否</v>
      </c>
      <c r="Q4466" s="30" t="str">
        <f>IFERROR(__xludf.DUMMYFUNCTION("""COMPUTED_VALUE"""),"1~5話の素材で広告制作お願いいたします。（2話と3話が前後編に分かれています）")</f>
        <v>1~5話の素材で広告制作お願いいたします。（2話と3話が前後編に分かれています）</v>
      </c>
      <c r="R4466" s="22"/>
      <c r="S4466" s="22" t="str">
        <f>IFERROR(__xludf.DUMMYFUNCTION("""COMPUTED_VALUE"""),"20251225_一迅社_魔王さまに教えてあげる")</f>
        <v>20251225_一迅社_魔王さまに教えてあげる</v>
      </c>
      <c r="T4466" s="22" t="str">
        <f>IFERROR(__xludf.DUMMYFUNCTION("""COMPUTED_VALUE"""),"格納済み")</f>
        <v>格納済み</v>
      </c>
      <c r="U4466" s="9" t="str">
        <f>IFERROR(__xludf.DUMMYFUNCTION("""COMPUTED_VALUE"""),"(C)Jicco・夏野なえ／一迅社")</f>
        <v>(C)Jicco・夏野なえ／一迅社</v>
      </c>
      <c r="V4466" s="8"/>
      <c r="W4466" s="8"/>
      <c r="X4466" s="8" t="str">
        <f>IFERROR(__xludf.DUMMYFUNCTION("""COMPUTED_VALUE"""),"有")</f>
        <v>有</v>
      </c>
      <c r="Y4466" s="8" t="str">
        <f>IFERROR(__xludf.DUMMYFUNCTION("""COMPUTED_VALUE"""),"P11まで")</f>
        <v>P11まで</v>
      </c>
      <c r="Z4466" s="7"/>
      <c r="AA4466" s="7"/>
      <c r="AB4466" s="7"/>
    </row>
    <row r="4467" ht="15.75" customHeight="1">
      <c r="A4467" s="26">
        <f>IFERROR(__xludf.DUMMYFUNCTION("""COMPUTED_VALUE"""),6569.0)</f>
        <v>6569</v>
      </c>
      <c r="B4467" s="22" t="str">
        <f>IFERROR(__xludf.DUMMYFUNCTION("""COMPUTED_VALUE"""),"確定")</f>
        <v>確定</v>
      </c>
      <c r="C4467" s="28">
        <f>IFERROR(__xludf.DUMMYFUNCTION("""COMPUTED_VALUE"""),45930.0)</f>
        <v>45930</v>
      </c>
      <c r="D4467" s="28">
        <f>IFERROR(__xludf.DUMMYFUNCTION("""COMPUTED_VALUE"""),46016.0)</f>
        <v>46016</v>
      </c>
      <c r="E4467" s="26">
        <f>IFERROR(__xludf.DUMMYFUNCTION("""COMPUTED_VALUE"""),348718.0)</f>
        <v>348718</v>
      </c>
      <c r="F4467" s="22" t="str">
        <f>IFERROR(__xludf.DUMMYFUNCTION("""COMPUTED_VALUE"""),"令嬢ランキング～ランク圏外の落ちこぼれ令嬢、伝説の聖女と入れ替わる～　【連載版】")</f>
        <v>令嬢ランキング～ランク圏外の落ちこぼれ令嬢、伝説の聖女と入れ替わる～　【連載版】</v>
      </c>
      <c r="G4467" s="20" t="str">
        <f>IFERROR(__xludf.DUMMYFUNCTION("""COMPUTED_VALUE"""),"1～5")</f>
        <v>1～5</v>
      </c>
      <c r="H4467" s="22" t="str">
        <f>IFERROR(__xludf.DUMMYFUNCTION("""COMPUTED_VALUE"""),"漫画：黒コマリ　原作：別府マコト")</f>
        <v>漫画：黒コマリ　原作：別府マコト</v>
      </c>
      <c r="I4467" s="22" t="str">
        <f>IFERROR(__xludf.DUMMYFUNCTION("""COMPUTED_VALUE"""),"少女")</f>
        <v>少女</v>
      </c>
      <c r="J4467" s="22"/>
      <c r="K4467" s="22" t="str">
        <f>IFERROR(__xludf.DUMMYFUNCTION("""COMPUTED_VALUE"""),"ZERO-SUMコミックス")</f>
        <v>ZERO-SUMコミックス</v>
      </c>
      <c r="L4467" s="22" t="str">
        <f>IFERROR(__xludf.DUMMYFUNCTION("""COMPUTED_VALUE"""),"一迅社")</f>
        <v>一迅社</v>
      </c>
      <c r="M4467" s="33">
        <f>IFERROR(__xludf.DUMMYFUNCTION("""COMPUTED_VALUE"""),46054.0)</f>
        <v>46054</v>
      </c>
      <c r="N4467" s="33">
        <f>IFERROR(__xludf.DUMMYFUNCTION("""COMPUTED_VALUE"""),46170.66666666667)</f>
        <v>46170.66667</v>
      </c>
      <c r="O4467" s="20"/>
      <c r="P4467" s="32" t="str">
        <f>IFERROR(__xludf.DUMMYFUNCTION("""COMPUTED_VALUE"""),"否")</f>
        <v>否</v>
      </c>
      <c r="Q4467" s="30" t="str">
        <f>IFERROR(__xludf.DUMMYFUNCTION("""COMPUTED_VALUE"""),"1~4話の素材で広告制作お願いいたします。")</f>
        <v>1~4話の素材で広告制作お願いいたします。</v>
      </c>
      <c r="R4467" s="22" t="str">
        <f>IFERROR(__xludf.DUMMYFUNCTION("""COMPUTED_VALUE"""),"コミットOK")</f>
        <v>コミットOK</v>
      </c>
      <c r="S4467" s="22" t="str">
        <f>IFERROR(__xludf.DUMMYFUNCTION("""COMPUTED_VALUE"""),"20251224_一迅社_令嬢ランキング～ランク圏外の落ちこぼれ令嬢、伝説の聖女と入れ替わる～")</f>
        <v>20251224_一迅社_令嬢ランキング～ランク圏外の落ちこぼれ令嬢、伝説の聖女と入れ替わる～</v>
      </c>
      <c r="T4467" s="22" t="str">
        <f>IFERROR(__xludf.DUMMYFUNCTION("""COMPUTED_VALUE"""),"格納済み")</f>
        <v>格納済み</v>
      </c>
      <c r="U4467" s="9" t="str">
        <f>IFERROR(__xludf.DUMMYFUNCTION("""COMPUTED_VALUE"""),"(C)黒コマリ・別府マコト／一迅社")</f>
        <v>(C)黒コマリ・別府マコト／一迅社</v>
      </c>
      <c r="V4467" s="8"/>
      <c r="W4467" s="8"/>
      <c r="X4467" s="8" t="str">
        <f>IFERROR(__xludf.DUMMYFUNCTION("""COMPUTED_VALUE"""),"有")</f>
        <v>有</v>
      </c>
      <c r="Y4467" s="8" t="str">
        <f>IFERROR(__xludf.DUMMYFUNCTION("""COMPUTED_VALUE"""),"P12まで")</f>
        <v>P12まで</v>
      </c>
      <c r="Z4467" s="7"/>
      <c r="AA4467" s="7"/>
      <c r="AB4467" s="7"/>
    </row>
    <row r="4468" ht="15.75" customHeight="1">
      <c r="A4468" s="26">
        <f>IFERROR(__xludf.DUMMYFUNCTION("""COMPUTED_VALUE"""),6570.0)</f>
        <v>6570</v>
      </c>
      <c r="B4468" s="22" t="str">
        <f>IFERROR(__xludf.DUMMYFUNCTION("""COMPUTED_VALUE"""),"確定")</f>
        <v>確定</v>
      </c>
      <c r="C4468" s="28">
        <f>IFERROR(__xludf.DUMMYFUNCTION("""COMPUTED_VALUE"""),45930.0)</f>
        <v>45930</v>
      </c>
      <c r="D4468" s="28">
        <f>IFERROR(__xludf.DUMMYFUNCTION("""COMPUTED_VALUE"""),46028.0)</f>
        <v>46028</v>
      </c>
      <c r="E4468" s="26">
        <f>IFERROR(__xludf.DUMMYFUNCTION("""COMPUTED_VALUE"""),348715.0)</f>
        <v>348715</v>
      </c>
      <c r="F4468" s="22" t="str">
        <f>IFERROR(__xludf.DUMMYFUNCTION("""COMPUTED_VALUE"""),"天才悪女は嘘を見破る　【連載版】")</f>
        <v>天才悪女は嘘を見破る　【連載版】</v>
      </c>
      <c r="G4468" s="20" t="str">
        <f>IFERROR(__xludf.DUMMYFUNCTION("""COMPUTED_VALUE"""),"1～5")</f>
        <v>1～5</v>
      </c>
      <c r="H4468" s="22" t="str">
        <f>IFERROR(__xludf.DUMMYFUNCTION("""COMPUTED_VALUE"""),"コミック：環/原作：里海慧/キャラクター原案：條")</f>
        <v>コミック：環/原作：里海慧/キャラクター原案：條</v>
      </c>
      <c r="I4468" s="22" t="str">
        <f>IFERROR(__xludf.DUMMYFUNCTION("""COMPUTED_VALUE"""),"少女")</f>
        <v>少女</v>
      </c>
      <c r="J4468" s="22"/>
      <c r="K4468" s="22" t="str">
        <f>IFERROR(__xludf.DUMMYFUNCTION("""COMPUTED_VALUE"""),"ZERO-SUMコミックス")</f>
        <v>ZERO-SUMコミックス</v>
      </c>
      <c r="L4468" s="22" t="str">
        <f>IFERROR(__xludf.DUMMYFUNCTION("""COMPUTED_VALUE"""),"一迅社")</f>
        <v>一迅社</v>
      </c>
      <c r="M4468" s="33">
        <f>IFERROR(__xludf.DUMMYFUNCTION("""COMPUTED_VALUE"""),46082.0)</f>
        <v>46082</v>
      </c>
      <c r="N4468" s="33">
        <f>IFERROR(__xludf.DUMMYFUNCTION("""COMPUTED_VALUE"""),46112.0)</f>
        <v>46112</v>
      </c>
      <c r="O4468" s="20"/>
      <c r="P4468" s="32" t="str">
        <f>IFERROR(__xludf.DUMMYFUNCTION("""COMPUTED_VALUE"""),"否")</f>
        <v>否</v>
      </c>
      <c r="Q4468" s="30"/>
      <c r="R4468" s="22" t="str">
        <f>IFERROR(__xludf.DUMMYFUNCTION("""COMPUTED_VALUE"""),"コミットOK")</f>
        <v>コミットOK</v>
      </c>
      <c r="S4468" s="22" t="str">
        <f>IFERROR(__xludf.DUMMYFUNCTION("""COMPUTED_VALUE"""),"20251224_一迅社_天才悪女は嘘を見破る")</f>
        <v>20251224_一迅社_天才悪女は嘘を見破る</v>
      </c>
      <c r="T4468" s="22" t="str">
        <f>IFERROR(__xludf.DUMMYFUNCTION("""COMPUTED_VALUE"""),"格納済み")</f>
        <v>格納済み</v>
      </c>
      <c r="U4468" s="9" t="str">
        <f>IFERROR(__xludf.DUMMYFUNCTION("""COMPUTED_VALUE"""),"(C)環・里海慧・條／一迅社")</f>
        <v>(C)環・里海慧・條／一迅社</v>
      </c>
      <c r="V4468" s="8"/>
      <c r="W4468" s="8"/>
      <c r="X4468" s="8" t="str">
        <f>IFERROR(__xludf.DUMMYFUNCTION("""COMPUTED_VALUE"""),"有")</f>
        <v>有</v>
      </c>
      <c r="Y4468" s="8" t="str">
        <f>IFERROR(__xludf.DUMMYFUNCTION("""COMPUTED_VALUE"""),"P8まで")</f>
        <v>P8まで</v>
      </c>
      <c r="Z4468" s="7"/>
      <c r="AA4468" s="7"/>
      <c r="AB4468" s="7"/>
    </row>
    <row r="4469" ht="15.75" customHeight="1">
      <c r="A4469" s="26">
        <f>IFERROR(__xludf.DUMMYFUNCTION("""COMPUTED_VALUE"""),6571.0)</f>
        <v>6571</v>
      </c>
      <c r="B4469" s="22" t="str">
        <f>IFERROR(__xludf.DUMMYFUNCTION("""COMPUTED_VALUE"""),"確定")</f>
        <v>確定</v>
      </c>
      <c r="C4469" s="28">
        <f>IFERROR(__xludf.DUMMYFUNCTION("""COMPUTED_VALUE"""),45930.0)</f>
        <v>45930</v>
      </c>
      <c r="D4469" s="28">
        <f>IFERROR(__xludf.DUMMYFUNCTION("""COMPUTED_VALUE"""),46016.0)</f>
        <v>46016</v>
      </c>
      <c r="E4469" s="26">
        <f>IFERROR(__xludf.DUMMYFUNCTION("""COMPUTED_VALUE"""),348716.0)</f>
        <v>348716</v>
      </c>
      <c r="F4469" s="22" t="str">
        <f>IFERROR(__xludf.DUMMYFUNCTION("""COMPUTED_VALUE"""),"聖女の身代わりとしてやってきた婚約者殿の様子がおかしい　【連載版】")</f>
        <v>聖女の身代わりとしてやってきた婚約者殿の様子がおかしい　【連載版】</v>
      </c>
      <c r="G4469" s="20" t="str">
        <f>IFERROR(__xludf.DUMMYFUNCTION("""COMPUTED_VALUE"""),"1～4")</f>
        <v>1～4</v>
      </c>
      <c r="H4469" s="22" t="str">
        <f>IFERROR(__xludf.DUMMYFUNCTION("""COMPUTED_VALUE"""),"うき太郎・西井けい・雲屋ゆきお")</f>
        <v>うき太郎・西井けい・雲屋ゆきお</v>
      </c>
      <c r="I4469" s="22" t="str">
        <f>IFERROR(__xludf.DUMMYFUNCTION("""COMPUTED_VALUE"""),"少女")</f>
        <v>少女</v>
      </c>
      <c r="J4469" s="22"/>
      <c r="K4469" s="22" t="str">
        <f>IFERROR(__xludf.DUMMYFUNCTION("""COMPUTED_VALUE"""),"ZERO-SUMコミックス")</f>
        <v>ZERO-SUMコミックス</v>
      </c>
      <c r="L4469" s="22" t="str">
        <f>IFERROR(__xludf.DUMMYFUNCTION("""COMPUTED_VALUE"""),"一迅社")</f>
        <v>一迅社</v>
      </c>
      <c r="M4469" s="33">
        <f>IFERROR(__xludf.DUMMYFUNCTION("""COMPUTED_VALUE"""),46054.0)</f>
        <v>46054</v>
      </c>
      <c r="N4469" s="33">
        <f>IFERROR(__xludf.DUMMYFUNCTION("""COMPUTED_VALUE"""),46081.0)</f>
        <v>46081</v>
      </c>
      <c r="O4469" s="20"/>
      <c r="P4469" s="32" t="str">
        <f>IFERROR(__xludf.DUMMYFUNCTION("""COMPUTED_VALUE"""),"否")</f>
        <v>否</v>
      </c>
      <c r="Q4469" s="30"/>
      <c r="R4469" s="22" t="str">
        <f>IFERROR(__xludf.DUMMYFUNCTION("""COMPUTED_VALUE"""),"コミットOK")</f>
        <v>コミットOK</v>
      </c>
      <c r="S4469" s="22" t="str">
        <f>IFERROR(__xludf.DUMMYFUNCTION("""COMPUTED_VALUE"""),"20251224_一迅社_聖女の身代わりとしてやってきた婚約者殿の様子がおかしい")</f>
        <v>20251224_一迅社_聖女の身代わりとしてやってきた婚約者殿の様子がおかしい</v>
      </c>
      <c r="T4469" s="22" t="str">
        <f>IFERROR(__xludf.DUMMYFUNCTION("""COMPUTED_VALUE"""),"格納済み")</f>
        <v>格納済み</v>
      </c>
      <c r="U4469" s="9" t="str">
        <f>IFERROR(__xludf.DUMMYFUNCTION("""COMPUTED_VALUE"""),"(C)うき太郎・西井けい・雲屋ゆきお／一迅社")</f>
        <v>(C)うき太郎・西井けい・雲屋ゆきお／一迅社</v>
      </c>
      <c r="V4469" s="8"/>
      <c r="W4469" s="8"/>
      <c r="X4469" s="8" t="str">
        <f>IFERROR(__xludf.DUMMYFUNCTION("""COMPUTED_VALUE"""),"有")</f>
        <v>有</v>
      </c>
      <c r="Y4469" s="8" t="str">
        <f>IFERROR(__xludf.DUMMYFUNCTION("""COMPUTED_VALUE"""),"P7まで")</f>
        <v>P7まで</v>
      </c>
      <c r="Z4469" s="7"/>
      <c r="AA4469" s="7"/>
      <c r="AB4469" s="7"/>
    </row>
    <row r="4470" ht="15.75" customHeight="1">
      <c r="A4470" s="26">
        <f>IFERROR(__xludf.DUMMYFUNCTION("""COMPUTED_VALUE"""),6572.0)</f>
        <v>6572</v>
      </c>
      <c r="B4470" s="22" t="str">
        <f>IFERROR(__xludf.DUMMYFUNCTION("""COMPUTED_VALUE"""),"確定")</f>
        <v>確定</v>
      </c>
      <c r="C4470" s="28">
        <f>IFERROR(__xludf.DUMMYFUNCTION("""COMPUTED_VALUE"""),45930.0)</f>
        <v>45930</v>
      </c>
      <c r="D4470" s="28">
        <f>IFERROR(__xludf.DUMMYFUNCTION("""COMPUTED_VALUE"""),46016.0)</f>
        <v>46016</v>
      </c>
      <c r="E4470" s="26">
        <f>IFERROR(__xludf.DUMMYFUNCTION("""COMPUTED_VALUE"""),348717.0)</f>
        <v>348717</v>
      </c>
      <c r="F4470" s="22" t="str">
        <f>IFERROR(__xludf.DUMMYFUNCTION("""COMPUTED_VALUE"""),"君を愛することはできないと言われたので猫を愛でることにしました　黒猫さんをもふもふしていたら、あら？　旦那様のご様子が…？　【連載版】")</f>
        <v>君を愛することはできないと言われたので猫を愛でることにしました　黒猫さんをもふもふしていたら、あら？　旦那様のご様子が…？　【連載版】</v>
      </c>
      <c r="G4470" s="20" t="str">
        <f>IFERROR(__xludf.DUMMYFUNCTION("""COMPUTED_VALUE"""),"1～4")</f>
        <v>1～4</v>
      </c>
      <c r="H4470" s="22" t="str">
        <f>IFERROR(__xludf.DUMMYFUNCTION("""COMPUTED_VALUE"""),"まつ春・中村くらら・まち")</f>
        <v>まつ春・中村くらら・まち</v>
      </c>
      <c r="I4470" s="22" t="str">
        <f>IFERROR(__xludf.DUMMYFUNCTION("""COMPUTED_VALUE"""),"少女")</f>
        <v>少女</v>
      </c>
      <c r="J4470" s="22"/>
      <c r="K4470" s="22" t="str">
        <f>IFERROR(__xludf.DUMMYFUNCTION("""COMPUTED_VALUE"""),"ZERO-SUMコミックス")</f>
        <v>ZERO-SUMコミックス</v>
      </c>
      <c r="L4470" s="22" t="str">
        <f>IFERROR(__xludf.DUMMYFUNCTION("""COMPUTED_VALUE"""),"一迅社")</f>
        <v>一迅社</v>
      </c>
      <c r="M4470" s="33">
        <f>IFERROR(__xludf.DUMMYFUNCTION("""COMPUTED_VALUE"""),46054.0)</f>
        <v>46054</v>
      </c>
      <c r="N4470" s="33">
        <f>IFERROR(__xludf.DUMMYFUNCTION("""COMPUTED_VALUE"""),46081.0)</f>
        <v>46081</v>
      </c>
      <c r="O4470" s="20"/>
      <c r="P4470" s="32" t="str">
        <f>IFERROR(__xludf.DUMMYFUNCTION("""COMPUTED_VALUE"""),"否")</f>
        <v>否</v>
      </c>
      <c r="Q4470" s="30"/>
      <c r="R4470" s="22" t="str">
        <f>IFERROR(__xludf.DUMMYFUNCTION("""COMPUTED_VALUE"""),"コミットOK")</f>
        <v>コミットOK</v>
      </c>
      <c r="S4470" s="22" t="str">
        <f>IFERROR(__xludf.DUMMYFUNCTION("""COMPUTED_VALUE"""),"20251224_一迅社_君を愛することはできないと言われたので猫を愛でることにしました　黒猫さんをもふもふしていたら、あら？　旦那様のご様子が…？")</f>
        <v>20251224_一迅社_君を愛することはできないと言われたので猫を愛でることにしました　黒猫さんをもふもふしていたら、あら？　旦那様のご様子が…？</v>
      </c>
      <c r="T4470" s="22" t="str">
        <f>IFERROR(__xludf.DUMMYFUNCTION("""COMPUTED_VALUE"""),"格納済み")</f>
        <v>格納済み</v>
      </c>
      <c r="U4470" s="9" t="str">
        <f>IFERROR(__xludf.DUMMYFUNCTION("""COMPUTED_VALUE"""),"(C)まつ春・中村くらら・まち／一迅社")</f>
        <v>(C)まつ春・中村くらら・まち／一迅社</v>
      </c>
      <c r="V4470" s="8"/>
      <c r="W4470" s="8"/>
      <c r="X4470" s="8" t="str">
        <f>IFERROR(__xludf.DUMMYFUNCTION("""COMPUTED_VALUE"""),"有")</f>
        <v>有</v>
      </c>
      <c r="Y4470" s="8" t="str">
        <f>IFERROR(__xludf.DUMMYFUNCTION("""COMPUTED_VALUE"""),"P6まで")</f>
        <v>P6まで</v>
      </c>
      <c r="Z4470" s="7"/>
      <c r="AA4470" s="7"/>
      <c r="AB4470" s="7"/>
    </row>
    <row r="4471" ht="15.75" customHeight="1">
      <c r="A4471" s="26">
        <f>IFERROR(__xludf.DUMMYFUNCTION("""COMPUTED_VALUE"""),6771.0)</f>
        <v>6771</v>
      </c>
      <c r="B4471" s="22" t="str">
        <f>IFERROR(__xludf.DUMMYFUNCTION("""COMPUTED_VALUE"""),"確定")</f>
        <v>確定</v>
      </c>
      <c r="C4471" s="28">
        <f>IFERROR(__xludf.DUMMYFUNCTION("""COMPUTED_VALUE"""),45961.0)</f>
        <v>45961</v>
      </c>
      <c r="D4471" s="28">
        <f>IFERROR(__xludf.DUMMYFUNCTION("""COMPUTED_VALUE"""),46029.0)</f>
        <v>46029</v>
      </c>
      <c r="E4471" s="26">
        <f>IFERROR(__xludf.DUMMYFUNCTION("""COMPUTED_VALUE"""),346050.0)</f>
        <v>346050</v>
      </c>
      <c r="F4471" s="22" t="str">
        <f>IFERROR(__xludf.DUMMYFUNCTION("""COMPUTED_VALUE"""),"檻の中で注がれる狂おしいほどの執着愛～優しい幼馴染は、私を救うため闇に堕ちました～【TL版】")</f>
        <v>檻の中で注がれる狂おしいほどの執着愛～優しい幼馴染は、私を救うため闇に堕ちました～【TL版】</v>
      </c>
      <c r="G4471" s="20" t="str">
        <f>IFERROR(__xludf.DUMMYFUNCTION("""COMPUTED_VALUE"""),"1～4")</f>
        <v>1～4</v>
      </c>
      <c r="H4471" s="22" t="str">
        <f>IFERROR(__xludf.DUMMYFUNCTION("""COMPUTED_VALUE"""),"林田花・チンプル堀田")</f>
        <v>林田花・チンプル堀田</v>
      </c>
      <c r="I4471" s="22" t="str">
        <f>IFERROR(__xludf.DUMMYFUNCTION("""COMPUTED_VALUE"""),"TL")</f>
        <v>TL</v>
      </c>
      <c r="J4471" s="22"/>
      <c r="K4471" s="22" t="str">
        <f>IFERROR(__xludf.DUMMYFUNCTION("""COMPUTED_VALUE"""),"＠夜噺")</f>
        <v>＠夜噺</v>
      </c>
      <c r="L4471" s="22" t="str">
        <f>IFERROR(__xludf.DUMMYFUNCTION("""COMPUTED_VALUE"""),"DEEPER-ZERO")</f>
        <v>DEEPER-ZERO</v>
      </c>
      <c r="M4471" s="33">
        <f>IFERROR(__xludf.DUMMYFUNCTION("""COMPUTED_VALUE"""),46037.0)</f>
        <v>46037</v>
      </c>
      <c r="N4471" s="33">
        <f>IFERROR(__xludf.DUMMYFUNCTION("""COMPUTED_VALUE"""),46099.0)</f>
        <v>46099</v>
      </c>
      <c r="O4471" s="20"/>
      <c r="P4471" s="32" t="str">
        <f>IFERROR(__xludf.DUMMYFUNCTION("""COMPUTED_VALUE"""),"可")</f>
        <v>可</v>
      </c>
      <c r="Q4471" s="30" t="str">
        <f>IFERROR(__xludf.DUMMYFUNCTION("""COMPUTED_VALUE"""),"【アダルト作品扱い】")</f>
        <v>【アダルト作品扱い】</v>
      </c>
      <c r="R4471" s="22" t="str">
        <f>IFERROR(__xludf.DUMMYFUNCTION("""COMPUTED_VALUE"""),"コミットNG")</f>
        <v>コミットNG</v>
      </c>
      <c r="S4471" s="22" t="str">
        <f>IFERROR(__xludf.DUMMYFUNCTION("""COMPUTED_VALUE"""),"20251226_CLLENN_檻の中で注がれる狂おしいほどの執着愛～優しい幼馴染は、私を救うため闇に堕ちました～【TL版】")</f>
        <v>20251226_CLLENN_檻の中で注がれる狂おしいほどの執着愛～優しい幼馴染は、私を救うため闇に堕ちました～【TL版】</v>
      </c>
      <c r="T4471" s="22" t="str">
        <f>IFERROR(__xludf.DUMMYFUNCTION("""COMPUTED_VALUE"""),"格納済み")</f>
        <v>格納済み</v>
      </c>
      <c r="U4471" s="9" t="str">
        <f>IFERROR(__xludf.DUMMYFUNCTION("""COMPUTED_VALUE"""),"Ⓒ林田花・チンプル堀田/DEEPER-ZERO")</f>
        <v>Ⓒ林田花・チンプル堀田/DEEPER-ZERO</v>
      </c>
      <c r="V4471" s="8"/>
      <c r="W4471" s="8"/>
      <c r="X4471" s="8" t="str">
        <f>IFERROR(__xludf.DUMMYFUNCTION("""COMPUTED_VALUE"""),"有")</f>
        <v>有</v>
      </c>
      <c r="Y4471" s="8" t="str">
        <f>IFERROR(__xludf.DUMMYFUNCTION("""COMPUTED_VALUE"""),"P12まで")</f>
        <v>P12まで</v>
      </c>
      <c r="Z4471" s="7"/>
      <c r="AA4471" s="7"/>
      <c r="AB4471" s="7"/>
    </row>
    <row r="4472" ht="15.75" customHeight="1">
      <c r="A4472" s="26">
        <f>IFERROR(__xludf.DUMMYFUNCTION("""COMPUTED_VALUE"""),6772.0)</f>
        <v>6772</v>
      </c>
      <c r="B4472" s="22" t="str">
        <f>IFERROR(__xludf.DUMMYFUNCTION("""COMPUTED_VALUE"""),"確定")</f>
        <v>確定</v>
      </c>
      <c r="C4472" s="28">
        <f>IFERROR(__xludf.DUMMYFUNCTION("""COMPUTED_VALUE"""),45961.0)</f>
        <v>45961</v>
      </c>
      <c r="D4472" s="28">
        <f>IFERROR(__xludf.DUMMYFUNCTION("""COMPUTED_VALUE"""),46017.0)</f>
        <v>46017</v>
      </c>
      <c r="E4472" s="26">
        <f>IFERROR(__xludf.DUMMYFUNCTION("""COMPUTED_VALUE"""),346428.0)</f>
        <v>346428</v>
      </c>
      <c r="F4472" s="22" t="str">
        <f>IFERROR(__xludf.DUMMYFUNCTION("""COMPUTED_VALUE"""),"檻の中で注がれる狂おしいほどの執着愛～優しい幼馴染は、私を救うため闇に堕ちました～【R版】")</f>
        <v>檻の中で注がれる狂おしいほどの執着愛～優しい幼馴染は、私を救うため闇に堕ちました～【R版】</v>
      </c>
      <c r="G4472" s="20" t="str">
        <f>IFERROR(__xludf.DUMMYFUNCTION("""COMPUTED_VALUE"""),"1～4")</f>
        <v>1～4</v>
      </c>
      <c r="H4472" s="22" t="str">
        <f>IFERROR(__xludf.DUMMYFUNCTION("""COMPUTED_VALUE"""),"林田花・チンプル堀田")</f>
        <v>林田花・チンプル堀田</v>
      </c>
      <c r="I4472" s="22" t="str">
        <f>IFERROR(__xludf.DUMMYFUNCTION("""COMPUTED_VALUE"""),"アダルト")</f>
        <v>アダルト</v>
      </c>
      <c r="J4472" s="22"/>
      <c r="K4472" s="22" t="str">
        <f>IFERROR(__xludf.DUMMYFUNCTION("""COMPUTED_VALUE"""),"＠夜噺+")</f>
        <v>＠夜噺+</v>
      </c>
      <c r="L4472" s="22" t="str">
        <f>IFERROR(__xludf.DUMMYFUNCTION("""COMPUTED_VALUE"""),"DEEPER-ZERO")</f>
        <v>DEEPER-ZERO</v>
      </c>
      <c r="M4472" s="33">
        <f>IFERROR(__xludf.DUMMYFUNCTION("""COMPUTED_VALUE"""),46037.0)</f>
        <v>46037</v>
      </c>
      <c r="N4472" s="33">
        <f>IFERROR(__xludf.DUMMYFUNCTION("""COMPUTED_VALUE"""),46099.0)</f>
        <v>46099</v>
      </c>
      <c r="O4472" s="20"/>
      <c r="P4472" s="32" t="str">
        <f>IFERROR(__xludf.DUMMYFUNCTION("""COMPUTED_VALUE"""),"可")</f>
        <v>可</v>
      </c>
      <c r="Q4472" s="30"/>
      <c r="R4472" s="22" t="str">
        <f>IFERROR(__xludf.DUMMYFUNCTION("""COMPUTED_VALUE"""),"コミットOK")</f>
        <v>コミットOK</v>
      </c>
      <c r="S4472" s="22" t="str">
        <f>IFERROR(__xludf.DUMMYFUNCTION("""COMPUTED_VALUE"""),"20251226_CLLENN_檻の中で注がれる狂おしいほどの執着愛～優しい幼馴染は、私を救うため闇に堕ちました～【R版】")</f>
        <v>20251226_CLLENN_檻の中で注がれる狂おしいほどの執着愛～優しい幼馴染は、私を救うため闇に堕ちました～【R版】</v>
      </c>
      <c r="T4472" s="22" t="str">
        <f>IFERROR(__xludf.DUMMYFUNCTION("""COMPUTED_VALUE"""),"格納済み")</f>
        <v>格納済み</v>
      </c>
      <c r="U4472" s="9" t="str">
        <f>IFERROR(__xludf.DUMMYFUNCTION("""COMPUTED_VALUE"""),"Ⓒ林田花・チンプル堀田/DEEPER-ZERO")</f>
        <v>Ⓒ林田花・チンプル堀田/DEEPER-ZERO</v>
      </c>
      <c r="V4472" s="8"/>
      <c r="W4472" s="8"/>
      <c r="X4472" s="8" t="str">
        <f>IFERROR(__xludf.DUMMYFUNCTION("""COMPUTED_VALUE"""),"有")</f>
        <v>有</v>
      </c>
      <c r="Y4472" s="8" t="str">
        <f>IFERROR(__xludf.DUMMYFUNCTION("""COMPUTED_VALUE"""),"P12まで")</f>
        <v>P12まで</v>
      </c>
      <c r="Z4472" s="7"/>
      <c r="AA4472" s="7"/>
      <c r="AB4472" s="7"/>
    </row>
    <row r="4473" ht="15.75" customHeight="1">
      <c r="A4473" s="26">
        <f>IFERROR(__xludf.DUMMYFUNCTION("""COMPUTED_VALUE"""),6802.0)</f>
        <v>6802</v>
      </c>
      <c r="B4473" s="22" t="str">
        <f>IFERROR(__xludf.DUMMYFUNCTION("""COMPUTED_VALUE"""),"確定")</f>
        <v>確定</v>
      </c>
      <c r="C4473" s="28">
        <f>IFERROR(__xludf.DUMMYFUNCTION("""COMPUTED_VALUE"""),45966.0)</f>
        <v>45966</v>
      </c>
      <c r="D4473" s="28">
        <f>IFERROR(__xludf.DUMMYFUNCTION("""COMPUTED_VALUE"""),46016.0)</f>
        <v>46016</v>
      </c>
      <c r="E4473" s="26">
        <f>IFERROR(__xludf.DUMMYFUNCTION("""COMPUTED_VALUE"""),346523.0)</f>
        <v>346523</v>
      </c>
      <c r="F4473" s="22" t="str">
        <f>IFERROR(__xludf.DUMMYFUNCTION("""COMPUTED_VALUE"""),"異端の魔女の出来心～魔が差した魔女と追放された聖職者は、今日も赤子に翻弄される～")</f>
        <v>異端の魔女の出来心～魔が差した魔女と追放された聖職者は、今日も赤子に翻弄される～</v>
      </c>
      <c r="G4473" s="20" t="str">
        <f>IFERROR(__xludf.DUMMYFUNCTION("""COMPUTED_VALUE"""),"1～10")</f>
        <v>1～10</v>
      </c>
      <c r="H4473" s="22" t="str">
        <f>IFERROR(__xludf.DUMMYFUNCTION("""COMPUTED_VALUE"""),"廻┴グルナ編集部")</f>
        <v>廻┴グルナ編集部</v>
      </c>
      <c r="I4473" s="22" t="str">
        <f>IFERROR(__xludf.DUMMYFUNCTION("""COMPUTED_VALUE"""),"女性")</f>
        <v>女性</v>
      </c>
      <c r="J4473" s="22"/>
      <c r="K4473" s="22" t="str">
        <f>IFERROR(__xludf.DUMMYFUNCTION("""COMPUTED_VALUE"""),"COMICエトワール")</f>
        <v>COMICエトワール</v>
      </c>
      <c r="L4473" s="22" t="str">
        <f>IFERROR(__xludf.DUMMYFUNCTION("""COMPUTED_VALUE"""),"ライブコミックス")</f>
        <v>ライブコミックス</v>
      </c>
      <c r="M4473" s="33">
        <f>IFERROR(__xludf.DUMMYFUNCTION("""COMPUTED_VALUE"""),46045.0)</f>
        <v>46045</v>
      </c>
      <c r="N4473" s="33">
        <f>IFERROR(__xludf.DUMMYFUNCTION("""COMPUTED_VALUE"""),46107.0)</f>
        <v>46107</v>
      </c>
      <c r="O4473" s="20"/>
      <c r="P4473" s="32" t="str">
        <f>IFERROR(__xludf.DUMMYFUNCTION("""COMPUTED_VALUE"""),"可")</f>
        <v>可</v>
      </c>
      <c r="Q4473" s="30"/>
      <c r="R4473" s="22" t="str">
        <f>IFERROR(__xludf.DUMMYFUNCTION("""COMPUTED_VALUE"""),"コミットOK")</f>
        <v>コミットOK</v>
      </c>
      <c r="S4473" s="22" t="str">
        <f>IFERROR(__xludf.DUMMYFUNCTION("""COMPUTED_VALUE"""),"20251225_BookLive_異端の魔女の出来心～魔が差した魔女と追放された聖職者は、今日も赤子に翻弄される～")</f>
        <v>20251225_BookLive_異端の魔女の出来心～魔が差した魔女と追放された聖職者は、今日も赤子に翻弄される～</v>
      </c>
      <c r="T4473" s="22" t="str">
        <f>IFERROR(__xludf.DUMMYFUNCTION("""COMPUTED_VALUE"""),"格納済み")</f>
        <v>格納済み</v>
      </c>
      <c r="U4473" s="9" t="str">
        <f>IFERROR(__xludf.DUMMYFUNCTION("""COMPUTED_VALUE"""),"(C)廻/ライブコミックス")</f>
        <v>(C)廻/ライブコミックス</v>
      </c>
      <c r="V4473" s="8"/>
      <c r="W4473" s="8"/>
      <c r="X4473" s="8" t="str">
        <f>IFERROR(__xludf.DUMMYFUNCTION("""COMPUTED_VALUE"""),"有")</f>
        <v>有</v>
      </c>
      <c r="Y4473" s="8" t="str">
        <f>IFERROR(__xludf.DUMMYFUNCTION("""COMPUTED_VALUE"""),"2026/2/26まで1~3巻無料")</f>
        <v>2026/2/26まで1~3巻無料</v>
      </c>
      <c r="Z4473" s="7"/>
      <c r="AA4473" s="7"/>
      <c r="AB4473" s="7"/>
    </row>
    <row r="4474" ht="15.75" customHeight="1">
      <c r="A4474" s="26">
        <f>IFERROR(__xludf.DUMMYFUNCTION("""COMPUTED_VALUE"""),6909.0)</f>
        <v>6909</v>
      </c>
      <c r="B4474" s="22" t="str">
        <f>IFERROR(__xludf.DUMMYFUNCTION("""COMPUTED_VALUE"""),"確定")</f>
        <v>確定</v>
      </c>
      <c r="C4474" s="28">
        <f>IFERROR(__xludf.DUMMYFUNCTION("""COMPUTED_VALUE"""),45980.0)</f>
        <v>45980</v>
      </c>
      <c r="D4474" s="28">
        <f>IFERROR(__xludf.DUMMYFUNCTION("""COMPUTED_VALUE"""),46029.0)</f>
        <v>46029</v>
      </c>
      <c r="E4474" s="26">
        <f>IFERROR(__xludf.DUMMYFUNCTION("""COMPUTED_VALUE"""),346049.0)</f>
        <v>346049</v>
      </c>
      <c r="F4474" s="22" t="str">
        <f>IFERROR(__xludf.DUMMYFUNCTION("""COMPUTED_VALUE"""),"「本格的にキモチよくなろうか？」アラサー女が拾った年下彼は、快感を与えるプロでした。【TL版】")</f>
        <v>「本格的にキモチよくなろうか？」アラサー女が拾った年下彼は、快感を与えるプロでした。【TL版】</v>
      </c>
      <c r="G4474" s="20" t="str">
        <f>IFERROR(__xludf.DUMMYFUNCTION("""COMPUTED_VALUE"""),"1～2")</f>
        <v>1～2</v>
      </c>
      <c r="H4474" s="22" t="str">
        <f>IFERROR(__xludf.DUMMYFUNCTION("""COMPUTED_VALUE"""),"眠い夜")</f>
        <v>眠い夜</v>
      </c>
      <c r="I4474" s="22" t="str">
        <f>IFERROR(__xludf.DUMMYFUNCTION("""COMPUTED_VALUE"""),"TL")</f>
        <v>TL</v>
      </c>
      <c r="J4474" s="22"/>
      <c r="K4474" s="22" t="str">
        <f>IFERROR(__xludf.DUMMYFUNCTION("""COMPUTED_VALUE"""),"＠夜噺")</f>
        <v>＠夜噺</v>
      </c>
      <c r="L4474" s="22" t="str">
        <f>IFERROR(__xludf.DUMMYFUNCTION("""COMPUTED_VALUE"""),"DEEPER-ZERO")</f>
        <v>DEEPER-ZERO</v>
      </c>
      <c r="M4474" s="33">
        <f>IFERROR(__xludf.DUMMYFUNCTION("""COMPUTED_VALUE"""),46037.0)</f>
        <v>46037</v>
      </c>
      <c r="N4474" s="33">
        <f>IFERROR(__xludf.DUMMYFUNCTION("""COMPUTED_VALUE"""),46099.0)</f>
        <v>46099</v>
      </c>
      <c r="O4474" s="20"/>
      <c r="P4474" s="32" t="str">
        <f>IFERROR(__xludf.DUMMYFUNCTION("""COMPUTED_VALUE"""),"可")</f>
        <v>可</v>
      </c>
      <c r="Q4474" s="30" t="str">
        <f>IFERROR(__xludf.DUMMYFUNCTION("""COMPUTED_VALUE"""),"【アダルト作品扱い】")</f>
        <v>【アダルト作品扱い】</v>
      </c>
      <c r="R4474" s="22" t="str">
        <f>IFERROR(__xludf.DUMMYFUNCTION("""COMPUTED_VALUE"""),"コミットNG")</f>
        <v>コミットNG</v>
      </c>
      <c r="S4474" s="22" t="str">
        <f>IFERROR(__xludf.DUMMYFUNCTION("""COMPUTED_VALUE"""),"20251226_CLLENN_「本格的にキモチよくなろうか？」アラサー女が拾った年下彼は、快感を与えるプロでした。【TL版】")</f>
        <v>20251226_CLLENN_「本格的にキモチよくなろうか？」アラサー女が拾った年下彼は、快感を与えるプロでした。【TL版】</v>
      </c>
      <c r="T4474" s="22" t="str">
        <f>IFERROR(__xludf.DUMMYFUNCTION("""COMPUTED_VALUE"""),"格納済み")</f>
        <v>格納済み</v>
      </c>
      <c r="U4474" s="9" t="str">
        <f>IFERROR(__xludf.DUMMYFUNCTION("""COMPUTED_VALUE"""),"Ⓒ眠い夜/DEEPER-ZERO")</f>
        <v>Ⓒ眠い夜/DEEPER-ZERO</v>
      </c>
      <c r="V4474" s="8"/>
      <c r="W4474" s="8"/>
      <c r="X4474" s="8" t="str">
        <f>IFERROR(__xludf.DUMMYFUNCTION("""COMPUTED_VALUE"""),"有")</f>
        <v>有</v>
      </c>
      <c r="Y4474" s="8" t="str">
        <f>IFERROR(__xludf.DUMMYFUNCTION("""COMPUTED_VALUE"""),"P10まで")</f>
        <v>P10まで</v>
      </c>
      <c r="Z4474" s="7"/>
      <c r="AA4474" s="7"/>
      <c r="AB4474" s="7"/>
    </row>
    <row r="4475" ht="15.75" customHeight="1">
      <c r="A4475" s="26">
        <f>IFERROR(__xludf.DUMMYFUNCTION("""COMPUTED_VALUE"""),6910.0)</f>
        <v>6910</v>
      </c>
      <c r="B4475" s="22" t="str">
        <f>IFERROR(__xludf.DUMMYFUNCTION("""COMPUTED_VALUE"""),"確定")</f>
        <v>確定</v>
      </c>
      <c r="C4475" s="28">
        <f>IFERROR(__xludf.DUMMYFUNCTION("""COMPUTED_VALUE"""),45980.0)</f>
        <v>45980</v>
      </c>
      <c r="D4475" s="28">
        <f>IFERROR(__xludf.DUMMYFUNCTION("""COMPUTED_VALUE"""),46017.0)</f>
        <v>46017</v>
      </c>
      <c r="E4475" s="26">
        <f>IFERROR(__xludf.DUMMYFUNCTION("""COMPUTED_VALUE"""),346426.0)</f>
        <v>346426</v>
      </c>
      <c r="F4475" s="22" t="str">
        <f>IFERROR(__xludf.DUMMYFUNCTION("""COMPUTED_VALUE"""),"「本格的にキモチよくなろうか？」アラサー女が拾った年下彼は、快感を与えるプロでした。【R版】")</f>
        <v>「本格的にキモチよくなろうか？」アラサー女が拾った年下彼は、快感を与えるプロでした。【R版】</v>
      </c>
      <c r="G4475" s="20" t="str">
        <f>IFERROR(__xludf.DUMMYFUNCTION("""COMPUTED_VALUE"""),"1～2")</f>
        <v>1～2</v>
      </c>
      <c r="H4475" s="22" t="str">
        <f>IFERROR(__xludf.DUMMYFUNCTION("""COMPUTED_VALUE"""),"眠い夜")</f>
        <v>眠い夜</v>
      </c>
      <c r="I4475" s="22" t="str">
        <f>IFERROR(__xludf.DUMMYFUNCTION("""COMPUTED_VALUE"""),"アダルト")</f>
        <v>アダルト</v>
      </c>
      <c r="J4475" s="22"/>
      <c r="K4475" s="22" t="str">
        <f>IFERROR(__xludf.DUMMYFUNCTION("""COMPUTED_VALUE"""),"＠夜噺+")</f>
        <v>＠夜噺+</v>
      </c>
      <c r="L4475" s="22" t="str">
        <f>IFERROR(__xludf.DUMMYFUNCTION("""COMPUTED_VALUE"""),"DEEPER-ZERO")</f>
        <v>DEEPER-ZERO</v>
      </c>
      <c r="M4475" s="33">
        <f>IFERROR(__xludf.DUMMYFUNCTION("""COMPUTED_VALUE"""),46037.0)</f>
        <v>46037</v>
      </c>
      <c r="N4475" s="33">
        <f>IFERROR(__xludf.DUMMYFUNCTION("""COMPUTED_VALUE"""),46099.0)</f>
        <v>46099</v>
      </c>
      <c r="O4475" s="20"/>
      <c r="P4475" s="32" t="str">
        <f>IFERROR(__xludf.DUMMYFUNCTION("""COMPUTED_VALUE"""),"可")</f>
        <v>可</v>
      </c>
      <c r="Q4475" s="30"/>
      <c r="R4475" s="22" t="str">
        <f>IFERROR(__xludf.DUMMYFUNCTION("""COMPUTED_VALUE"""),"コミットOK")</f>
        <v>コミットOK</v>
      </c>
      <c r="S4475" s="22" t="str">
        <f>IFERROR(__xludf.DUMMYFUNCTION("""COMPUTED_VALUE"""),"20251226_CLLENN_「本格的にキモチよくなろうか？」アラサー女が拾った年下彼は、快感を与えるプロでした。【R版】")</f>
        <v>20251226_CLLENN_「本格的にキモチよくなろうか？」アラサー女が拾った年下彼は、快感を与えるプロでした。【R版】</v>
      </c>
      <c r="T4475" s="22" t="str">
        <f>IFERROR(__xludf.DUMMYFUNCTION("""COMPUTED_VALUE"""),"格納済み")</f>
        <v>格納済み</v>
      </c>
      <c r="U4475" s="9" t="str">
        <f>IFERROR(__xludf.DUMMYFUNCTION("""COMPUTED_VALUE"""),"Ⓒ眠い夜/DEEPER-ZERO")</f>
        <v>Ⓒ眠い夜/DEEPER-ZERO</v>
      </c>
      <c r="V4475" s="8"/>
      <c r="W4475" s="8"/>
      <c r="X4475" s="8" t="str">
        <f>IFERROR(__xludf.DUMMYFUNCTION("""COMPUTED_VALUE"""),"有")</f>
        <v>有</v>
      </c>
      <c r="Y4475" s="8" t="str">
        <f>IFERROR(__xludf.DUMMYFUNCTION("""COMPUTED_VALUE"""),"P10まで")</f>
        <v>P10まで</v>
      </c>
      <c r="Z4475" s="7"/>
      <c r="AA4475" s="7"/>
      <c r="AB4475" s="7"/>
    </row>
    <row r="4476" ht="15.75" customHeight="1">
      <c r="A4476" s="26">
        <f>IFERROR(__xludf.DUMMYFUNCTION("""COMPUTED_VALUE"""),6971.0)</f>
        <v>6971</v>
      </c>
      <c r="B4476" s="22" t="str">
        <f>IFERROR(__xludf.DUMMYFUNCTION("""COMPUTED_VALUE"""),"確定")</f>
        <v>確定</v>
      </c>
      <c r="C4476" s="28">
        <f>IFERROR(__xludf.DUMMYFUNCTION("""COMPUTED_VALUE"""),45989.0)</f>
        <v>45989</v>
      </c>
      <c r="D4476" s="28">
        <f>IFERROR(__xludf.DUMMYFUNCTION("""COMPUTED_VALUE"""),46017.0)</f>
        <v>46017</v>
      </c>
      <c r="E4476" s="26">
        <f>IFERROR(__xludf.DUMMYFUNCTION("""COMPUTED_VALUE"""),346703.0)</f>
        <v>346703</v>
      </c>
      <c r="F4476" s="22" t="str">
        <f>IFERROR(__xludf.DUMMYFUNCTION("""COMPUTED_VALUE"""),"優里亜、聞いてる？　恋人(仮)は妄想より奇なり【単話】")</f>
        <v>優里亜、聞いてる？　恋人(仮)は妄想より奇なり【単話】</v>
      </c>
      <c r="G4476" s="20" t="str">
        <f>IFERROR(__xludf.DUMMYFUNCTION("""COMPUTED_VALUE"""),"1～3")</f>
        <v>1～3</v>
      </c>
      <c r="H4476" s="22" t="str">
        <f>IFERROR(__xludf.DUMMYFUNCTION("""COMPUTED_VALUE"""),"黒崎なおき")</f>
        <v>黒崎なおき</v>
      </c>
      <c r="I4476" s="22" t="str">
        <f>IFERROR(__xludf.DUMMYFUNCTION("""COMPUTED_VALUE"""),"TL")</f>
        <v>TL</v>
      </c>
      <c r="J4476" s="22"/>
      <c r="K4476" s="22" t="str">
        <f>IFERROR(__xludf.DUMMYFUNCTION("""COMPUTED_VALUE"""),"ミンティ")</f>
        <v>ミンティ</v>
      </c>
      <c r="L4476" s="22" t="str">
        <f>IFERROR(__xludf.DUMMYFUNCTION("""COMPUTED_VALUE"""),"オークラ出版")</f>
        <v>オークラ出版</v>
      </c>
      <c r="M4476" s="33">
        <f>IFERROR(__xludf.DUMMYFUNCTION("""COMPUTED_VALUE"""),46045.0)</f>
        <v>46045</v>
      </c>
      <c r="N4476" s="33">
        <f>IFERROR(__xludf.DUMMYFUNCTION("""COMPUTED_VALUE"""),46135.0)</f>
        <v>46135</v>
      </c>
      <c r="O4476" s="20"/>
      <c r="P4476" s="32" t="str">
        <f>IFERROR(__xludf.DUMMYFUNCTION("""COMPUTED_VALUE"""),"可")</f>
        <v>可</v>
      </c>
      <c r="Q4476" s="30" t="str">
        <f>IFERROR(__xludf.DUMMYFUNCTION("""COMPUTED_VALUE"""),"【アダルト作品扱い】")</f>
        <v>【アダルト作品扱い】</v>
      </c>
      <c r="R4476" s="22" t="str">
        <f>IFERROR(__xludf.DUMMYFUNCTION("""COMPUTED_VALUE"""),"コミットOK")</f>
        <v>コミットOK</v>
      </c>
      <c r="S4476" s="22" t="str">
        <f>IFERROR(__xludf.DUMMYFUNCTION("""COMPUTED_VALUE"""),"20251226_オークラ出版_優里亜、聞いてる？ 恋人(仮)は妄想より奇なり【単話】")</f>
        <v>20251226_オークラ出版_優里亜、聞いてる？ 恋人(仮)は妄想より奇なり【単話】</v>
      </c>
      <c r="T4476" s="22" t="str">
        <f>IFERROR(__xludf.DUMMYFUNCTION("""COMPUTED_VALUE"""),"格納済み")</f>
        <v>格納済み</v>
      </c>
      <c r="U4476" s="9" t="str">
        <f>IFERROR(__xludf.DUMMYFUNCTION("""COMPUTED_VALUE"""),"（C）黒崎なおき／オークラ出版 ミンティ")</f>
        <v>（C）黒崎なおき／オークラ出版 ミンティ</v>
      </c>
      <c r="V4476" s="8"/>
      <c r="W4476" s="8"/>
      <c r="X4476" s="8" t="str">
        <f>IFERROR(__xludf.DUMMYFUNCTION("""COMPUTED_VALUE"""),"有")</f>
        <v>有</v>
      </c>
      <c r="Y4476" s="8" t="str">
        <f>IFERROR(__xludf.DUMMYFUNCTION("""COMPUTED_VALUE"""),"P8まで")</f>
        <v>P8まで</v>
      </c>
      <c r="Z4476" s="7"/>
      <c r="AA4476" s="7"/>
      <c r="AB4476" s="7"/>
    </row>
    <row r="4477" ht="15.75" customHeight="1">
      <c r="A4477" s="26">
        <f>IFERROR(__xludf.DUMMYFUNCTION("""COMPUTED_VALUE"""),6972.0)</f>
        <v>6972</v>
      </c>
      <c r="B4477" s="22" t="str">
        <f>IFERROR(__xludf.DUMMYFUNCTION("""COMPUTED_VALUE"""),"確定")</f>
        <v>確定</v>
      </c>
      <c r="C4477" s="28">
        <f>IFERROR(__xludf.DUMMYFUNCTION("""COMPUTED_VALUE"""),45992.0)</f>
        <v>45992</v>
      </c>
      <c r="D4477" s="28">
        <f>IFERROR(__xludf.DUMMYFUNCTION("""COMPUTED_VALUE"""),46016.0)</f>
        <v>46016</v>
      </c>
      <c r="E4477" s="26">
        <f>IFERROR(__xludf.DUMMYFUNCTION("""COMPUTED_VALUE"""),348197.0)</f>
        <v>348197</v>
      </c>
      <c r="F4477" s="22" t="str">
        <f>IFERROR(__xludf.DUMMYFUNCTION("""COMPUTED_VALUE"""),"コード・オブ・カリオストロ【単話】")</f>
        <v>コード・オブ・カリオストロ【単話】</v>
      </c>
      <c r="G4477" s="20" t="str">
        <f>IFERROR(__xludf.DUMMYFUNCTION("""COMPUTED_VALUE"""),"1～3")</f>
        <v>1～3</v>
      </c>
      <c r="H4477" s="22" t="str">
        <f>IFERROR(__xludf.DUMMYFUNCTION("""COMPUTED_VALUE"""),"漫画／針井佑　原作／氷川まりね")</f>
        <v>漫画／針井佑　原作／氷川まりね</v>
      </c>
      <c r="I4477" s="22" t="str">
        <f>IFERROR(__xludf.DUMMYFUNCTION("""COMPUTED_VALUE"""),"青年")</f>
        <v>青年</v>
      </c>
      <c r="J4477" s="22"/>
      <c r="K4477" s="22"/>
      <c r="L4477" s="22" t="str">
        <f>IFERROR(__xludf.DUMMYFUNCTION("""COMPUTED_VALUE"""),"朝日新聞出版")</f>
        <v>朝日新聞出版</v>
      </c>
      <c r="M4477" s="33">
        <f>IFERROR(__xludf.DUMMYFUNCTION("""COMPUTED_VALUE"""),46052.0)</f>
        <v>46052</v>
      </c>
      <c r="N4477" s="33">
        <f>IFERROR(__xludf.DUMMYFUNCTION("""COMPUTED_VALUE"""),46141.0)</f>
        <v>46141</v>
      </c>
      <c r="O4477" s="20"/>
      <c r="P4477" s="32" t="str">
        <f>IFERROR(__xludf.DUMMYFUNCTION("""COMPUTED_VALUE"""),"可")</f>
        <v>可</v>
      </c>
      <c r="Q4477" s="30"/>
      <c r="R4477" s="22" t="str">
        <f>IFERROR(__xludf.DUMMYFUNCTION("""COMPUTED_VALUE"""),"コミットNG")</f>
        <v>コミットNG</v>
      </c>
      <c r="S4477" s="22" t="str">
        <f>IFERROR(__xludf.DUMMYFUNCTION("""COMPUTED_VALUE"""),"20251128_朝日新聞出版_コード・オブ・カリオストロ【単話】")</f>
        <v>20251128_朝日新聞出版_コード・オブ・カリオストロ【単話】</v>
      </c>
      <c r="T4477" s="22" t="str">
        <f>IFERROR(__xludf.DUMMYFUNCTION("""COMPUTED_VALUE"""),"格納済み")</f>
        <v>格納済み</v>
      </c>
      <c r="U4477" s="9" t="str">
        <f>IFERROR(__xludf.DUMMYFUNCTION("""COMPUTED_VALUE"""),"(C) 針井佑・氷川まりね／朝日新聞出版")</f>
        <v>(C) 針井佑・氷川まりね／朝日新聞出版</v>
      </c>
      <c r="V4477" s="8"/>
      <c r="W4477" s="8"/>
      <c r="X4477" s="8" t="str">
        <f>IFERROR(__xludf.DUMMYFUNCTION("""COMPUTED_VALUE"""),"有")</f>
        <v>有</v>
      </c>
      <c r="Y4477" s="8" t="str">
        <f>IFERROR(__xludf.DUMMYFUNCTION("""COMPUTED_VALUE"""),"1巻無料")</f>
        <v>1巻無料</v>
      </c>
      <c r="Z4477" s="7"/>
      <c r="AA4477" s="7"/>
      <c r="AB4477" s="7"/>
    </row>
    <row r="4478" ht="15.75" customHeight="1">
      <c r="A4478" s="26">
        <f>IFERROR(__xludf.DUMMYFUNCTION("""COMPUTED_VALUE"""),6988.0)</f>
        <v>6988</v>
      </c>
      <c r="B4478" s="22" t="str">
        <f>IFERROR(__xludf.DUMMYFUNCTION("""COMPUTED_VALUE"""),"確定")</f>
        <v>確定</v>
      </c>
      <c r="C4478" s="28">
        <f>IFERROR(__xludf.DUMMYFUNCTION("""COMPUTED_VALUE"""),45994.0)</f>
        <v>45994</v>
      </c>
      <c r="D4478" s="28">
        <f>IFERROR(__xludf.DUMMYFUNCTION("""COMPUTED_VALUE"""),46028.0)</f>
        <v>46028</v>
      </c>
      <c r="E4478" s="26">
        <f>IFERROR(__xludf.DUMMYFUNCTION("""COMPUTED_VALUE"""),349149.0)</f>
        <v>349149</v>
      </c>
      <c r="F4478" s="22" t="str">
        <f>IFERROR(__xludf.DUMMYFUNCTION("""COMPUTED_VALUE"""),"夕闇通り商店街 コハク妖菓子店 連載版")</f>
        <v>夕闇通り商店街 コハク妖菓子店 連載版</v>
      </c>
      <c r="G4478" s="20" t="str">
        <f>IFERROR(__xludf.DUMMYFUNCTION("""COMPUTED_VALUE"""),"1～4")</f>
        <v>1～4</v>
      </c>
      <c r="H4478" s="22" t="str">
        <f>IFERROR(__xludf.DUMMYFUNCTION("""COMPUTED_VALUE"""),"榮恵愛┴栗栖ひよ子")</f>
        <v>榮恵愛┴栗栖ひよ子</v>
      </c>
      <c r="I4478" s="22" t="str">
        <f>IFERROR(__xludf.DUMMYFUNCTION("""COMPUTED_VALUE"""),"女性")</f>
        <v>女性</v>
      </c>
      <c r="J4478" s="22"/>
      <c r="K4478" s="22"/>
      <c r="L4478" s="22" t="str">
        <f>IFERROR(__xludf.DUMMYFUNCTION("""COMPUTED_VALUE"""),"ブシロードワークス")</f>
        <v>ブシロードワークス</v>
      </c>
      <c r="M4478" s="33">
        <f>IFERROR(__xludf.DUMMYFUNCTION("""COMPUTED_VALUE"""),46049.0)</f>
        <v>46049</v>
      </c>
      <c r="N4478" s="33">
        <f>IFERROR(__xludf.DUMMYFUNCTION("""COMPUTED_VALUE"""),46086.0)</f>
        <v>46086</v>
      </c>
      <c r="O4478" s="20"/>
      <c r="P4478" s="32" t="str">
        <f>IFERROR(__xludf.DUMMYFUNCTION("""COMPUTED_VALUE"""),"可")</f>
        <v>可</v>
      </c>
      <c r="Q4478" s="30"/>
      <c r="R4478" s="22" t="str">
        <f>IFERROR(__xludf.DUMMYFUNCTION("""COMPUTED_VALUE"""),"コミットNG")</f>
        <v>コミットNG</v>
      </c>
      <c r="S4478" s="22" t="str">
        <f>IFERROR(__xludf.DUMMYFUNCTION("""COMPUTED_VALUE"""),"202512024_ブシロードワークス_夕闇通り商店街 コハク妖菓子店 連載版")</f>
        <v>202512024_ブシロードワークス_夕闇通り商店街 コハク妖菓子店 連載版</v>
      </c>
      <c r="T4478" s="22" t="str">
        <f>IFERROR(__xludf.DUMMYFUNCTION("""COMPUTED_VALUE"""),"格納済み")</f>
        <v>格納済み</v>
      </c>
      <c r="U4478" s="9" t="str">
        <f>IFERROR(__xludf.DUMMYFUNCTION("""COMPUTED_VALUE"""),"ⒸAKI / BUSHIROAD WORKS ⒸHiyoko Kurusu/Poplar Publishing")</f>
        <v>ⒸAKI / BUSHIROAD WORKS ⒸHiyoko Kurusu/Poplar Publishing</v>
      </c>
      <c r="V4478" s="8"/>
      <c r="W4478" s="8"/>
      <c r="X4478" s="8" t="str">
        <f>IFERROR(__xludf.DUMMYFUNCTION("""COMPUTED_VALUE"""),"有")</f>
        <v>有</v>
      </c>
      <c r="Y4478" s="8" t="str">
        <f>IFERROR(__xludf.DUMMYFUNCTION("""COMPUTED_VALUE"""),"2026/3/5まで1~2巻無料")</f>
        <v>2026/3/5まで1~2巻無料</v>
      </c>
      <c r="Z4478" s="7"/>
      <c r="AA4478" s="7"/>
      <c r="AB4478" s="7"/>
    </row>
    <row r="4479" ht="15.75" customHeight="1">
      <c r="A4479" s="26">
        <f>IFERROR(__xludf.DUMMYFUNCTION("""COMPUTED_VALUE"""),6989.0)</f>
        <v>6989</v>
      </c>
      <c r="B4479" s="22" t="str">
        <f>IFERROR(__xludf.DUMMYFUNCTION("""COMPUTED_VALUE"""),"確定")</f>
        <v>確定</v>
      </c>
      <c r="C4479" s="28">
        <f>IFERROR(__xludf.DUMMYFUNCTION("""COMPUTED_VALUE"""),45994.0)</f>
        <v>45994</v>
      </c>
      <c r="D4479" s="28">
        <f>IFERROR(__xludf.DUMMYFUNCTION("""COMPUTED_VALUE"""),46028.0)</f>
        <v>46028</v>
      </c>
      <c r="E4479" s="26">
        <f>IFERROR(__xludf.DUMMYFUNCTION("""COMPUTED_VALUE"""),349150.0)</f>
        <v>349150</v>
      </c>
      <c r="F4479" s="22" t="str">
        <f>IFERROR(__xludf.DUMMYFUNCTION("""COMPUTED_VALUE"""),"環と康平 連載版")</f>
        <v>環と康平 連載版</v>
      </c>
      <c r="G4479" s="20" t="str">
        <f>IFERROR(__xludf.DUMMYFUNCTION("""COMPUTED_VALUE"""),"1～4")</f>
        <v>1～4</v>
      </c>
      <c r="H4479" s="22" t="str">
        <f>IFERROR(__xludf.DUMMYFUNCTION("""COMPUTED_VALUE"""),"トレタ")</f>
        <v>トレタ</v>
      </c>
      <c r="I4479" s="22" t="str">
        <f>IFERROR(__xludf.DUMMYFUNCTION("""COMPUTED_VALUE"""),"女性")</f>
        <v>女性</v>
      </c>
      <c r="J4479" s="22"/>
      <c r="K4479" s="22"/>
      <c r="L4479" s="22" t="str">
        <f>IFERROR(__xludf.DUMMYFUNCTION("""COMPUTED_VALUE"""),"ブシロードワークス")</f>
        <v>ブシロードワークス</v>
      </c>
      <c r="M4479" s="33">
        <f>IFERROR(__xludf.DUMMYFUNCTION("""COMPUTED_VALUE"""),46055.0)</f>
        <v>46055</v>
      </c>
      <c r="N4479" s="33">
        <f>IFERROR(__xludf.DUMMYFUNCTION("""COMPUTED_VALUE"""),46117.0)</f>
        <v>46117</v>
      </c>
      <c r="O4479" s="20"/>
      <c r="P4479" s="32" t="str">
        <f>IFERROR(__xludf.DUMMYFUNCTION("""COMPUTED_VALUE"""),"可")</f>
        <v>可</v>
      </c>
      <c r="Q4479" s="30"/>
      <c r="R4479" s="22" t="str">
        <f>IFERROR(__xludf.DUMMYFUNCTION("""COMPUTED_VALUE"""),"コミットNG")</f>
        <v>コミットNG</v>
      </c>
      <c r="S4479" s="22" t="str">
        <f>IFERROR(__xludf.DUMMYFUNCTION("""COMPUTED_VALUE"""),"20251223_ブシロードワークス_環と康平 ～生活態度矯正ルームシェア～ 連載版")</f>
        <v>20251223_ブシロードワークス_環と康平 ～生活態度矯正ルームシェア～ 連載版</v>
      </c>
      <c r="T4479" s="22" t="str">
        <f>IFERROR(__xludf.DUMMYFUNCTION("""COMPUTED_VALUE"""),"格納済み")</f>
        <v>格納済み</v>
      </c>
      <c r="U4479" s="9" t="str">
        <f>IFERROR(__xludf.DUMMYFUNCTION("""COMPUTED_VALUE"""),"ⒸToreta / BUSHIROAD WORKS")</f>
        <v>ⒸToreta / BUSHIROAD WORKS</v>
      </c>
      <c r="V4479" s="8"/>
      <c r="W4479" s="8"/>
      <c r="X4479" s="8" t="str">
        <f>IFERROR(__xludf.DUMMYFUNCTION("""COMPUTED_VALUE"""),"有")</f>
        <v>有</v>
      </c>
      <c r="Y4479" s="8" t="str">
        <f>IFERROR(__xludf.DUMMYFUNCTION("""COMPUTED_VALUE"""),"2026/4/5まで1巻無料")</f>
        <v>2026/4/5まで1巻無料</v>
      </c>
      <c r="Z4479" s="7"/>
      <c r="AA4479" s="7"/>
      <c r="AB4479" s="7"/>
    </row>
    <row r="4480" ht="15.75" customHeight="1">
      <c r="A4480" s="26">
        <f>IFERROR(__xludf.DUMMYFUNCTION("""COMPUTED_VALUE"""),7087.0)</f>
        <v>7087</v>
      </c>
      <c r="B4480" s="22" t="str">
        <f>IFERROR(__xludf.DUMMYFUNCTION("""COMPUTED_VALUE"""),"確定")</f>
        <v>確定</v>
      </c>
      <c r="C4480" s="28">
        <f>IFERROR(__xludf.DUMMYFUNCTION("""COMPUTED_VALUE"""),46009.0)</f>
        <v>46009</v>
      </c>
      <c r="D4480" s="28">
        <f>IFERROR(__xludf.DUMMYFUNCTION("""COMPUTED_VALUE"""),46028.0)</f>
        <v>46028</v>
      </c>
      <c r="E4480" s="26">
        <f>IFERROR(__xludf.DUMMYFUNCTION("""COMPUTED_VALUE"""),349663.0)</f>
        <v>349663</v>
      </c>
      <c r="F4480" s="22" t="str">
        <f>IFERROR(__xludf.DUMMYFUNCTION("""COMPUTED_VALUE"""),"あくまでビジネスですが［ばら売り］")</f>
        <v>あくまでビジネスですが［ばら売り］</v>
      </c>
      <c r="G4480" s="20" t="str">
        <f>IFERROR(__xludf.DUMMYFUNCTION("""COMPUTED_VALUE"""),"1～3")</f>
        <v>1～3</v>
      </c>
      <c r="H4480" s="22" t="str">
        <f>IFERROR(__xludf.DUMMYFUNCTION("""COMPUTED_VALUE"""),"いそべもっち")</f>
        <v>いそべもっち</v>
      </c>
      <c r="I4480" s="22" t="str">
        <f>IFERROR(__xludf.DUMMYFUNCTION("""COMPUTED_VALUE"""),"少女")</f>
        <v>少女</v>
      </c>
      <c r="J4480" s="22"/>
      <c r="K4480" s="22" t="str">
        <f>IFERROR(__xludf.DUMMYFUNCTION("""COMPUTED_VALUE"""),"マンガPark")</f>
        <v>マンガPark</v>
      </c>
      <c r="L4480" s="22" t="str">
        <f>IFERROR(__xludf.DUMMYFUNCTION("""COMPUTED_VALUE"""),"白泉社")</f>
        <v>白泉社</v>
      </c>
      <c r="M4480" s="33">
        <f>IFERROR(__xludf.DUMMYFUNCTION("""COMPUTED_VALUE"""),46067.0)</f>
        <v>46067</v>
      </c>
      <c r="N4480" s="33">
        <f>IFERROR(__xludf.DUMMYFUNCTION("""COMPUTED_VALUE"""),46122.0)</f>
        <v>46122</v>
      </c>
      <c r="O4480" s="20"/>
      <c r="P4480" s="32" t="str">
        <f>IFERROR(__xludf.DUMMYFUNCTION("""COMPUTED_VALUE"""),"可")</f>
        <v>可</v>
      </c>
      <c r="Q4480" s="30" t="str">
        <f>IFERROR(__xludf.DUMMYFUNCTION("""COMPUTED_VALUE"""),"・マンガPark作品です。")</f>
        <v>・マンガPark作品です。</v>
      </c>
      <c r="R4480" s="22"/>
      <c r="S4480" s="22" t="str">
        <f>IFERROR(__xludf.DUMMYFUNCTION("""COMPUTED_VALUE"""),"20260106_白泉社_あくまでビジネスですが［ばら売り］")</f>
        <v>20260106_白泉社_あくまでビジネスですが［ばら売り］</v>
      </c>
      <c r="T4480" s="22" t="str">
        <f>IFERROR(__xludf.DUMMYFUNCTION("""COMPUTED_VALUE"""),"格納済み")</f>
        <v>格納済み</v>
      </c>
      <c r="U4480" s="9" t="str">
        <f>IFERROR(__xludf.DUMMYFUNCTION("""COMPUTED_VALUE"""),"（ｃ）いそべもっち／白泉社")</f>
        <v>（ｃ）いそべもっち／白泉社</v>
      </c>
      <c r="V4480" s="8"/>
      <c r="W4480" s="8"/>
      <c r="X4480" s="8" t="str">
        <f>IFERROR(__xludf.DUMMYFUNCTION("""COMPUTED_VALUE"""),"有")</f>
        <v>有</v>
      </c>
      <c r="Y4480" s="8" t="str">
        <f>IFERROR(__xludf.DUMMYFUNCTION("""COMPUTED_VALUE"""),"2026/2/27まで1巻無料")</f>
        <v>2026/2/27まで1巻無料</v>
      </c>
      <c r="Z4480" s="7"/>
      <c r="AA4480" s="7"/>
      <c r="AB4480" s="7"/>
    </row>
    <row r="4481" ht="15.75" customHeight="1">
      <c r="A4481" s="26">
        <f>IFERROR(__xludf.DUMMYFUNCTION("""COMPUTED_VALUE"""),7048.0)</f>
        <v>7048</v>
      </c>
      <c r="B4481" s="22" t="str">
        <f>IFERROR(__xludf.DUMMYFUNCTION("""COMPUTED_VALUE"""),"確定")</f>
        <v>確定</v>
      </c>
      <c r="C4481" s="28">
        <f>IFERROR(__xludf.DUMMYFUNCTION("""COMPUTED_VALUE"""),46003.0)</f>
        <v>46003</v>
      </c>
      <c r="D4481" s="28">
        <f>IFERROR(__xludf.DUMMYFUNCTION("""COMPUTED_VALUE"""),46027.0)</f>
        <v>46027</v>
      </c>
      <c r="E4481" s="26">
        <f>IFERROR(__xludf.DUMMYFUNCTION("""COMPUTED_VALUE"""),349147.0)</f>
        <v>349147</v>
      </c>
      <c r="F4481" s="22" t="str">
        <f>IFERROR(__xludf.DUMMYFUNCTION("""COMPUTED_VALUE"""),"家・職・愛嬌無しですが、幼馴染伯爵に拾われ甘やかされてます。")</f>
        <v>家・職・愛嬌無しですが、幼馴染伯爵に拾われ甘やかされてます。</v>
      </c>
      <c r="G4481" s="20" t="str">
        <f>IFERROR(__xludf.DUMMYFUNCTION("""COMPUTED_VALUE"""),"1～3")</f>
        <v>1～3</v>
      </c>
      <c r="H4481" s="22" t="str">
        <f>IFERROR(__xludf.DUMMYFUNCTION("""COMPUTED_VALUE"""),"七蜂")</f>
        <v>七蜂</v>
      </c>
      <c r="I4481" s="22" t="str">
        <f>IFERROR(__xludf.DUMMYFUNCTION("""COMPUTED_VALUE"""),"女性")</f>
        <v>女性</v>
      </c>
      <c r="J4481" s="22"/>
      <c r="K4481" s="22" t="str">
        <f>IFERROR(__xludf.DUMMYFUNCTION("""COMPUTED_VALUE"""),"Puffs")</f>
        <v>Puffs</v>
      </c>
      <c r="L4481" s="22" t="str">
        <f>IFERROR(__xludf.DUMMYFUNCTION("""COMPUTED_VALUE"""),"MUGENUP")</f>
        <v>MUGENUP</v>
      </c>
      <c r="M4481" s="33">
        <f>IFERROR(__xludf.DUMMYFUNCTION("""COMPUTED_VALUE"""),46057.0)</f>
        <v>46057</v>
      </c>
      <c r="N4481" s="33">
        <f>IFERROR(__xludf.DUMMYFUNCTION("""COMPUTED_VALUE"""),46145.0)</f>
        <v>46145</v>
      </c>
      <c r="O4481" s="20"/>
      <c r="P4481" s="32" t="str">
        <f>IFERROR(__xludf.DUMMYFUNCTION("""COMPUTED_VALUE"""),"可")</f>
        <v>可</v>
      </c>
      <c r="Q4481" s="30"/>
      <c r="R4481" s="22" t="str">
        <f>IFERROR(__xludf.DUMMYFUNCTION("""COMPUTED_VALUE"""),"コミットOK")</f>
        <v>コミットOK</v>
      </c>
      <c r="S4481" s="22" t="str">
        <f>IFERROR(__xludf.DUMMYFUNCTION("""COMPUTED_VALUE"""),"20260105_MUGENUP_家・職・愛嬌無しですが、幼馴染伯爵に拾われ甘やかされてます。")</f>
        <v>20260105_MUGENUP_家・職・愛嬌無しですが、幼馴染伯爵に拾われ甘やかされてます。</v>
      </c>
      <c r="T4481" s="22" t="str">
        <f>IFERROR(__xludf.DUMMYFUNCTION("""COMPUTED_VALUE"""),"格納済み")</f>
        <v>格納済み</v>
      </c>
      <c r="U4481" s="9" t="str">
        <f>IFERROR(__xludf.DUMMYFUNCTION("""COMPUTED_VALUE"""),"（C）七蜂／MUGENUP")</f>
        <v>（C）七蜂／MUGENUP</v>
      </c>
      <c r="V4481" s="8"/>
      <c r="W4481" s="8"/>
      <c r="X4481" s="8" t="str">
        <f>IFERROR(__xludf.DUMMYFUNCTION("""COMPUTED_VALUE"""),"有")</f>
        <v>有</v>
      </c>
      <c r="Y4481" s="8" t="str">
        <f>IFERROR(__xludf.DUMMYFUNCTION("""COMPUTED_VALUE"""),"2026/2/19まで1巻無料")</f>
        <v>2026/2/19まで1巻無料</v>
      </c>
      <c r="Z4481" s="7"/>
      <c r="AA4481" s="7"/>
      <c r="AB4481" s="7"/>
    </row>
    <row r="4482" ht="15.75" customHeight="1">
      <c r="A4482" s="26">
        <f>IFERROR(__xludf.DUMMYFUNCTION("""COMPUTED_VALUE"""),7061.0)</f>
        <v>7061</v>
      </c>
      <c r="B4482" s="22" t="str">
        <f>IFERROR(__xludf.DUMMYFUNCTION("""COMPUTED_VALUE"""),"確定")</f>
        <v>確定</v>
      </c>
      <c r="C4482" s="28">
        <f>IFERROR(__xludf.DUMMYFUNCTION("""COMPUTED_VALUE"""),46006.0)</f>
        <v>46006</v>
      </c>
      <c r="D4482" s="28">
        <f>IFERROR(__xludf.DUMMYFUNCTION("""COMPUTED_VALUE"""),46027.0)</f>
        <v>46027</v>
      </c>
      <c r="E4482" s="26">
        <f>IFERROR(__xludf.DUMMYFUNCTION("""COMPUTED_VALUE"""),348678.0)</f>
        <v>348678</v>
      </c>
      <c r="F4482" s="22" t="str">
        <f>IFERROR(__xludf.DUMMYFUNCTION("""COMPUTED_VALUE"""),"その天才様は偽装彼女に執着する")</f>
        <v>その天才様は偽装彼女に執着する</v>
      </c>
      <c r="G4482" s="20" t="str">
        <f>IFERROR(__xludf.DUMMYFUNCTION("""COMPUTED_VALUE"""),"1～29")</f>
        <v>1～29</v>
      </c>
      <c r="H4482" s="22" t="str">
        <f>IFERROR(__xludf.DUMMYFUNCTION("""COMPUTED_VALUE"""),"村山犬┴ちかふじ┴エトワール編集部")</f>
        <v>村山犬┴ちかふじ┴エトワール編集部</v>
      </c>
      <c r="I4482" s="22" t="str">
        <f>IFERROR(__xludf.DUMMYFUNCTION("""COMPUTED_VALUE"""),"女性")</f>
        <v>女性</v>
      </c>
      <c r="J4482" s="22"/>
      <c r="K4482" s="22" t="str">
        <f>IFERROR(__xludf.DUMMYFUNCTION("""COMPUTED_VALUE"""),"COMICエトワール")</f>
        <v>COMICエトワール</v>
      </c>
      <c r="L4482" s="22" t="str">
        <f>IFERROR(__xludf.DUMMYFUNCTION("""COMPUTED_VALUE"""),"ライブコミックス")</f>
        <v>ライブコミックス</v>
      </c>
      <c r="M4482" s="33">
        <f>IFERROR(__xludf.DUMMYFUNCTION("""COMPUTED_VALUE"""),46059.0)</f>
        <v>46059</v>
      </c>
      <c r="N4482" s="33">
        <f>IFERROR(__xludf.DUMMYFUNCTION("""COMPUTED_VALUE"""),46114.0)</f>
        <v>46114</v>
      </c>
      <c r="O4482" s="20"/>
      <c r="P4482" s="32" t="str">
        <f>IFERROR(__xludf.DUMMYFUNCTION("""COMPUTED_VALUE"""),"可")</f>
        <v>可</v>
      </c>
      <c r="Q4482" s="30" t="str">
        <f>IFERROR(__xludf.DUMMYFUNCTION("""COMPUTED_VALUE"""),"【広告使用不可】5巻32ページ以降は広告に使用しないでください。")</f>
        <v>【広告使用不可】5巻32ページ以降は広告に使用しないでください。</v>
      </c>
      <c r="R4482" s="22" t="str">
        <f>IFERROR(__xludf.DUMMYFUNCTION("""COMPUTED_VALUE"""),"コミットOK")</f>
        <v>コミットOK</v>
      </c>
      <c r="S4482" s="22" t="str">
        <f>IFERROR(__xludf.DUMMYFUNCTION("""COMPUTED_VALUE"""),"20251225_BookLive_その天才様は偽装彼女に執着する")</f>
        <v>20251225_BookLive_その天才様は偽装彼女に執着する</v>
      </c>
      <c r="T4482" s="22" t="str">
        <f>IFERROR(__xludf.DUMMYFUNCTION("""COMPUTED_VALUE"""),"格納済み")</f>
        <v>格納済み</v>
      </c>
      <c r="U4482" s="9" t="str">
        <f>IFERROR(__xludf.DUMMYFUNCTION("""COMPUTED_VALUE"""),"(C)村山犬・ちかふじ/ライブコミックス")</f>
        <v>(C)村山犬・ちかふじ/ライブコミックス</v>
      </c>
      <c r="V4482" s="8"/>
      <c r="W4482" s="8"/>
      <c r="X4482" s="8" t="str">
        <f>IFERROR(__xludf.DUMMYFUNCTION("""COMPUTED_VALUE"""),"有")</f>
        <v>有</v>
      </c>
      <c r="Y4482" s="8" t="str">
        <f>IFERROR(__xludf.DUMMYFUNCTION("""COMPUTED_VALUE"""),"2026/2/19まで1~4巻無料")</f>
        <v>2026/2/19まで1~4巻無料</v>
      </c>
      <c r="Z4482" s="7"/>
      <c r="AA4482" s="7"/>
      <c r="AB4482" s="7"/>
    </row>
    <row r="4483" ht="15.75" customHeight="1">
      <c r="A4483" s="26">
        <f>IFERROR(__xludf.DUMMYFUNCTION("""COMPUTED_VALUE"""),7064.0)</f>
        <v>7064</v>
      </c>
      <c r="B4483" s="22" t="str">
        <f>IFERROR(__xludf.DUMMYFUNCTION("""COMPUTED_VALUE"""),"確定")</f>
        <v>確定</v>
      </c>
      <c r="C4483" s="28">
        <f>IFERROR(__xludf.DUMMYFUNCTION("""COMPUTED_VALUE"""),46007.0)</f>
        <v>46007</v>
      </c>
      <c r="D4483" s="28">
        <f>IFERROR(__xludf.DUMMYFUNCTION("""COMPUTED_VALUE"""),46016.0)</f>
        <v>46016</v>
      </c>
      <c r="E4483" s="26">
        <f>IFERROR(__xludf.DUMMYFUNCTION("""COMPUTED_VALUE"""),348495.0)</f>
        <v>348495</v>
      </c>
      <c r="F4483" s="22" t="str">
        <f>IFERROR(__xludf.DUMMYFUNCTION("""COMPUTED_VALUE"""),"あの役者の男は私の普通を剥いで、堕として、還さない【R版】")</f>
        <v>あの役者の男は私の普通を剥いで、堕として、還さない【R版】</v>
      </c>
      <c r="G4483" s="20" t="str">
        <f>IFERROR(__xludf.DUMMYFUNCTION("""COMPUTED_VALUE"""),"1～4")</f>
        <v>1～4</v>
      </c>
      <c r="H4483" s="22" t="str">
        <f>IFERROR(__xludf.DUMMYFUNCTION("""COMPUTED_VALUE"""),"ハコ/保田飯飯")</f>
        <v>ハコ/保田飯飯</v>
      </c>
      <c r="I4483" s="22" t="str">
        <f>IFERROR(__xludf.DUMMYFUNCTION("""COMPUTED_VALUE"""),"アダルト")</f>
        <v>アダルト</v>
      </c>
      <c r="J4483" s="22"/>
      <c r="K4483" s="22" t="str">
        <f>IFERROR(__xludf.DUMMYFUNCTION("""COMPUTED_VALUE"""),"THE猥談")</f>
        <v>THE猥談</v>
      </c>
      <c r="L4483" s="22" t="str">
        <f>IFERROR(__xludf.DUMMYFUNCTION("""COMPUTED_VALUE"""),"DLcomics")</f>
        <v>DLcomics</v>
      </c>
      <c r="M4483" s="33">
        <f>IFERROR(__xludf.DUMMYFUNCTION("""COMPUTED_VALUE"""),46052.0)</f>
        <v>46052</v>
      </c>
      <c r="N4483" s="33">
        <f>IFERROR(__xludf.DUMMYFUNCTION("""COMPUTED_VALUE"""),46142.0)</f>
        <v>46142</v>
      </c>
      <c r="O4483" s="20"/>
      <c r="P4483" s="32" t="str">
        <f>IFERROR(__xludf.DUMMYFUNCTION("""COMPUTED_VALUE"""),"可")</f>
        <v>可</v>
      </c>
      <c r="Q4483" s="30"/>
      <c r="R4483" s="22" t="str">
        <f>IFERROR(__xludf.DUMMYFUNCTION("""COMPUTED_VALUE"""),"コミットOK")</f>
        <v>コミットOK</v>
      </c>
      <c r="S4483" s="22" t="str">
        <f>IFERROR(__xludf.DUMMYFUNCTION("""COMPUTED_VALUE"""),"20251225_DLcomics_あの役者の男は私の普通を剥いで、堕として、還さない")</f>
        <v>20251225_DLcomics_あの役者の男は私の普通を剥いで、堕として、還さない</v>
      </c>
      <c r="T4483" s="22" t="str">
        <f>IFERROR(__xludf.DUMMYFUNCTION("""COMPUTED_VALUE"""),"格納済み")</f>
        <v>格納済み</v>
      </c>
      <c r="U4483" s="9" t="str">
        <f>IFERROR(__xludf.DUMMYFUNCTION("""COMPUTED_VALUE"""),"(C)ハコ/保田飯飯/THE猥談")</f>
        <v>(C)ハコ/保田飯飯/THE猥談</v>
      </c>
      <c r="V4483" s="8"/>
      <c r="W4483" s="8"/>
      <c r="X4483" s="8" t="str">
        <f>IFERROR(__xludf.DUMMYFUNCTION("""COMPUTED_VALUE"""),"有")</f>
        <v>有</v>
      </c>
      <c r="Y4483" s="8" t="str">
        <f>IFERROR(__xludf.DUMMYFUNCTION("""COMPUTED_VALUE"""),"P9まで")</f>
        <v>P9まで</v>
      </c>
      <c r="Z4483" s="7"/>
      <c r="AA4483" s="7"/>
      <c r="AB4483" s="7"/>
    </row>
    <row r="4484" ht="15.75" customHeight="1">
      <c r="A4484" s="26">
        <f>IFERROR(__xludf.DUMMYFUNCTION("""COMPUTED_VALUE"""),7066.0)</f>
        <v>7066</v>
      </c>
      <c r="B4484" s="22" t="str">
        <f>IFERROR(__xludf.DUMMYFUNCTION("""COMPUTED_VALUE"""),"確定")</f>
        <v>確定</v>
      </c>
      <c r="C4484" s="28">
        <f>IFERROR(__xludf.DUMMYFUNCTION("""COMPUTED_VALUE"""),46007.0)</f>
        <v>46007</v>
      </c>
      <c r="D4484" s="28">
        <f>IFERROR(__xludf.DUMMYFUNCTION("""COMPUTED_VALUE"""),46016.0)</f>
        <v>46016</v>
      </c>
      <c r="E4484" s="26">
        <f>IFERROR(__xludf.DUMMYFUNCTION("""COMPUTED_VALUE"""),348497.0)</f>
        <v>348497</v>
      </c>
      <c r="F4484" s="22" t="str">
        <f>IFERROR(__xludf.DUMMYFUNCTION("""COMPUTED_VALUE"""),"(元)セフレの晶による、私のための逆襲報復わからせえっち【R版】")</f>
        <v>(元)セフレの晶による、私のための逆襲報復わからせえっち【R版】</v>
      </c>
      <c r="G4484" s="20" t="str">
        <f>IFERROR(__xludf.DUMMYFUNCTION("""COMPUTED_VALUE"""),"1～3")</f>
        <v>1～3</v>
      </c>
      <c r="H4484" s="22" t="str">
        <f>IFERROR(__xludf.DUMMYFUNCTION("""COMPUTED_VALUE"""),"こぽりヌち/保田飯飯")</f>
        <v>こぽりヌち/保田飯飯</v>
      </c>
      <c r="I4484" s="22" t="str">
        <f>IFERROR(__xludf.DUMMYFUNCTION("""COMPUTED_VALUE"""),"アダルト")</f>
        <v>アダルト</v>
      </c>
      <c r="J4484" s="22"/>
      <c r="K4484" s="22" t="str">
        <f>IFERROR(__xludf.DUMMYFUNCTION("""COMPUTED_VALUE"""),"THE猥談")</f>
        <v>THE猥談</v>
      </c>
      <c r="L4484" s="22" t="str">
        <f>IFERROR(__xludf.DUMMYFUNCTION("""COMPUTED_VALUE"""),"DLcomics")</f>
        <v>DLcomics</v>
      </c>
      <c r="M4484" s="33">
        <f>IFERROR(__xludf.DUMMYFUNCTION("""COMPUTED_VALUE"""),46052.0)</f>
        <v>46052</v>
      </c>
      <c r="N4484" s="33">
        <f>IFERROR(__xludf.DUMMYFUNCTION("""COMPUTED_VALUE"""),46142.0)</f>
        <v>46142</v>
      </c>
      <c r="O4484" s="20"/>
      <c r="P4484" s="32" t="str">
        <f>IFERROR(__xludf.DUMMYFUNCTION("""COMPUTED_VALUE"""),"可")</f>
        <v>可</v>
      </c>
      <c r="Q4484" s="30"/>
      <c r="R4484" s="22" t="str">
        <f>IFERROR(__xludf.DUMMYFUNCTION("""COMPUTED_VALUE"""),"コミットOK")</f>
        <v>コミットOK</v>
      </c>
      <c r="S4484" s="22" t="str">
        <f>IFERROR(__xludf.DUMMYFUNCTION("""COMPUTED_VALUE"""),"20251225_DLcomics_(元)セフレの晶による、私のための逆襲報復わからせえっち")</f>
        <v>20251225_DLcomics_(元)セフレの晶による、私のための逆襲報復わからせえっち</v>
      </c>
      <c r="T4484" s="22" t="str">
        <f>IFERROR(__xludf.DUMMYFUNCTION("""COMPUTED_VALUE"""),"格納済み")</f>
        <v>格納済み</v>
      </c>
      <c r="U4484" s="9" t="str">
        <f>IFERROR(__xludf.DUMMYFUNCTION("""COMPUTED_VALUE"""),"(C)こぽりヌち/保田飯飯/THE猥談")</f>
        <v>(C)こぽりヌち/保田飯飯/THE猥談</v>
      </c>
      <c r="V4484" s="8"/>
      <c r="W4484" s="8"/>
      <c r="X4484" s="8" t="str">
        <f>IFERROR(__xludf.DUMMYFUNCTION("""COMPUTED_VALUE"""),"有")</f>
        <v>有</v>
      </c>
      <c r="Y4484" s="8" t="str">
        <f>IFERROR(__xludf.DUMMYFUNCTION("""COMPUTED_VALUE"""),"P11まで")</f>
        <v>P11まで</v>
      </c>
      <c r="Z4484" s="7"/>
      <c r="AA4484" s="7"/>
      <c r="AB4484" s="7"/>
    </row>
    <row r="4485" ht="15.75" customHeight="1">
      <c r="A4485" s="26">
        <f>IFERROR(__xludf.DUMMYFUNCTION("""COMPUTED_VALUE"""),7072.0)</f>
        <v>7072</v>
      </c>
      <c r="B4485" s="22" t="str">
        <f>IFERROR(__xludf.DUMMYFUNCTION("""COMPUTED_VALUE"""),"確定")</f>
        <v>確定</v>
      </c>
      <c r="C4485" s="28">
        <f>IFERROR(__xludf.DUMMYFUNCTION("""COMPUTED_VALUE"""),46007.0)</f>
        <v>46007</v>
      </c>
      <c r="D4485" s="28">
        <f>IFERROR(__xludf.DUMMYFUNCTION("""COMPUTED_VALUE"""),46028.0)</f>
        <v>46028</v>
      </c>
      <c r="E4485" s="26">
        <f>IFERROR(__xludf.DUMMYFUNCTION("""COMPUTED_VALUE"""),349132.0)</f>
        <v>349132</v>
      </c>
      <c r="F4485" s="22" t="str">
        <f>IFERROR(__xludf.DUMMYFUNCTION("""COMPUTED_VALUE"""),"余命僅かだと思ってました！【分冊版】")</f>
        <v>余命僅かだと思ってました！【分冊版】</v>
      </c>
      <c r="G4485" s="20" t="str">
        <f>IFERROR(__xludf.DUMMYFUNCTION("""COMPUTED_VALUE"""),"1～8")</f>
        <v>1～8</v>
      </c>
      <c r="H4485" s="22" t="str">
        <f>IFERROR(__xludf.DUMMYFUNCTION("""COMPUTED_VALUE"""),"エシー, hyeyong, Ari Choi")</f>
        <v>エシー, hyeyong, Ari Choi</v>
      </c>
      <c r="I4485" s="22" t="str">
        <f>IFERROR(__xludf.DUMMYFUNCTION("""COMPUTED_VALUE"""),"女性")</f>
        <v>女性</v>
      </c>
      <c r="J4485" s="22"/>
      <c r="K4485" s="22" t="str">
        <f>IFERROR(__xludf.DUMMYFUNCTION("""COMPUTED_VALUE"""),"恋々バニラ")</f>
        <v>恋々バニラ</v>
      </c>
      <c r="L4485" s="22" t="str">
        <f>IFERROR(__xludf.DUMMYFUNCTION("""COMPUTED_VALUE"""),"RIVERSE（リバース）")</f>
        <v>RIVERSE（リバース）</v>
      </c>
      <c r="M4485" s="33">
        <f>IFERROR(__xludf.DUMMYFUNCTION("""COMPUTED_VALUE"""),46063.0)</f>
        <v>46063</v>
      </c>
      <c r="N4485" s="33">
        <f>IFERROR(__xludf.DUMMYFUNCTION("""COMPUTED_VALUE"""),46125.0)</f>
        <v>46125</v>
      </c>
      <c r="O4485" s="20"/>
      <c r="P4485" s="32" t="str">
        <f>IFERROR(__xludf.DUMMYFUNCTION("""COMPUTED_VALUE"""),"可")</f>
        <v>可</v>
      </c>
      <c r="Q4485" s="30"/>
      <c r="R4485" s="22" t="str">
        <f>IFERROR(__xludf.DUMMYFUNCTION("""COMPUTED_VALUE"""),"コミットOK")</f>
        <v>コミットOK</v>
      </c>
      <c r="S4485" s="22" t="str">
        <f>IFERROR(__xludf.DUMMYFUNCTION("""COMPUTED_VALUE"""),"20251225_リバース_余命僅かだと思ってました！【分冊版】")</f>
        <v>20251225_リバース_余命僅かだと思ってました！【分冊版】</v>
      </c>
      <c r="T4485" s="22" t="str">
        <f>IFERROR(__xludf.DUMMYFUNCTION("""COMPUTED_VALUE"""),"格納済み")</f>
        <v>格納済み</v>
      </c>
      <c r="U4485" s="9" t="str">
        <f>IFERROR(__xludf.DUMMYFUNCTION("""COMPUTED_VALUE"""),"ⓒエシー · hyeyong · Ari Choi | LINEマンガ")</f>
        <v>ⓒエシー · hyeyong · Ari Choi | LINEマンガ</v>
      </c>
      <c r="V4485" s="8"/>
      <c r="W4485" s="8"/>
      <c r="X4485" s="8" t="str">
        <f>IFERROR(__xludf.DUMMYFUNCTION("""COMPUTED_VALUE"""),"有")</f>
        <v>有</v>
      </c>
      <c r="Y4485" s="8" t="str">
        <f>IFERROR(__xludf.DUMMYFUNCTION("""COMPUTED_VALUE"""),"1巻無料")</f>
        <v>1巻無料</v>
      </c>
      <c r="Z4485" s="7"/>
      <c r="AA4485" s="7"/>
      <c r="AB4485" s="7"/>
    </row>
    <row r="4486" ht="15.75" customHeight="1">
      <c r="A4486" s="26">
        <f>IFERROR(__xludf.DUMMYFUNCTION("""COMPUTED_VALUE"""),7091.0)</f>
        <v>7091</v>
      </c>
      <c r="B4486" s="22" t="str">
        <f>IFERROR(__xludf.DUMMYFUNCTION("""COMPUTED_VALUE"""),"確定")</f>
        <v>確定</v>
      </c>
      <c r="C4486" s="28">
        <f>IFERROR(__xludf.DUMMYFUNCTION("""COMPUTED_VALUE"""),46010.0)</f>
        <v>46010</v>
      </c>
      <c r="D4486" s="28">
        <f>IFERROR(__xludf.DUMMYFUNCTION("""COMPUTED_VALUE"""),46017.0)</f>
        <v>46017</v>
      </c>
      <c r="E4486" s="26">
        <f>IFERROR(__xludf.DUMMYFUNCTION("""COMPUTED_VALUE"""),318147.0)</f>
        <v>318147</v>
      </c>
      <c r="F4486" s="22" t="str">
        <f>IFERROR(__xludf.DUMMYFUNCTION("""COMPUTED_VALUE"""),"姉の復讐 ～別人格の復讐者～")</f>
        <v>姉の復讐 ～別人格の復讐者～</v>
      </c>
      <c r="G4486" s="20" t="str">
        <f>IFERROR(__xludf.DUMMYFUNCTION("""COMPUTED_VALUE"""),"1～3")</f>
        <v>1～3</v>
      </c>
      <c r="H4486" s="22" t="str">
        <f>IFERROR(__xludf.DUMMYFUNCTION("""COMPUTED_VALUE"""),"居月蒼")</f>
        <v>居月蒼</v>
      </c>
      <c r="I4486" s="22" t="str">
        <f>IFERROR(__xludf.DUMMYFUNCTION("""COMPUTED_VALUE"""),"青年マンガ")</f>
        <v>青年マンガ</v>
      </c>
      <c r="J4486" s="22"/>
      <c r="K4486" s="22" t="str">
        <f>IFERROR(__xludf.DUMMYFUNCTION("""COMPUTED_VALUE"""),"トレモア・スプラッシュ,トレモアcollection")</f>
        <v>トレモア・スプラッシュ,トレモアcollection</v>
      </c>
      <c r="L4486" s="22" t="str">
        <f>IFERROR(__xludf.DUMMYFUNCTION("""COMPUTED_VALUE"""),"シーモアコミックス（トレモア）")</f>
        <v>シーモアコミックス（トレモア）</v>
      </c>
      <c r="M4486" s="33">
        <f>IFERROR(__xludf.DUMMYFUNCTION("""COMPUTED_VALUE"""),46052.0)</f>
        <v>46052</v>
      </c>
      <c r="N4486" s="33">
        <f>IFERROR(__xludf.DUMMYFUNCTION("""COMPUTED_VALUE"""),46205.0)</f>
        <v>46205</v>
      </c>
      <c r="O4486" s="20"/>
      <c r="P4486" s="32" t="str">
        <f>IFERROR(__xludf.DUMMYFUNCTION("""COMPUTED_VALUE"""),"可")</f>
        <v>可</v>
      </c>
      <c r="Q4486" s="30"/>
      <c r="R4486" s="22"/>
      <c r="S4486" s="22" t="str">
        <f>IFERROR(__xludf.DUMMYFUNCTION("""COMPUTED_VALUE"""),"20251219_シーモアコミックス_姉の復讐 ～別人格の復讐者～")</f>
        <v>20251219_シーモアコミックス_姉の復讐 ～別人格の復讐者～</v>
      </c>
      <c r="T4486" s="22" t="str">
        <f>IFERROR(__xludf.DUMMYFUNCTION("""COMPUTED_VALUE"""),"格納済み")</f>
        <v>格納済み</v>
      </c>
      <c r="U4486" s="9" t="str">
        <f>IFERROR(__xludf.DUMMYFUNCTION("""COMPUTED_VALUE"""),"(C) 居月蒼/シーモアコミックス")</f>
        <v>(C) 居月蒼/シーモアコミックス</v>
      </c>
      <c r="V4486" s="8"/>
      <c r="W4486" s="8"/>
      <c r="X4486" s="8" t="str">
        <f>IFERROR(__xludf.DUMMYFUNCTION("""COMPUTED_VALUE"""),"有")</f>
        <v>有</v>
      </c>
      <c r="Y4486" s="8" t="str">
        <f>IFERROR(__xludf.DUMMYFUNCTION("""COMPUTED_VALUE"""),"P7まで")</f>
        <v>P7まで</v>
      </c>
      <c r="Z4486" s="7"/>
      <c r="AA4486" s="7"/>
      <c r="AB4486" s="7"/>
    </row>
    <row r="4487" ht="15.75" customHeight="1">
      <c r="A4487" s="26">
        <f>IFERROR(__xludf.DUMMYFUNCTION("""COMPUTED_VALUE"""),7113.0)</f>
        <v>7113</v>
      </c>
      <c r="B4487" s="22" t="str">
        <f>IFERROR(__xludf.DUMMYFUNCTION("""COMPUTED_VALUE"""),"確定")</f>
        <v>確定</v>
      </c>
      <c r="C4487" s="28">
        <f>IFERROR(__xludf.DUMMYFUNCTION("""COMPUTED_VALUE"""),46015.0)</f>
        <v>46015</v>
      </c>
      <c r="D4487" s="28">
        <f>IFERROR(__xludf.DUMMYFUNCTION("""COMPUTED_VALUE"""),46016.0)</f>
        <v>46016</v>
      </c>
      <c r="E4487" s="26">
        <f>IFERROR(__xludf.DUMMYFUNCTION("""COMPUTED_VALUE"""),348799.0)</f>
        <v>348799</v>
      </c>
      <c r="F4487" s="22" t="str">
        <f>IFERROR(__xludf.DUMMYFUNCTION("""COMPUTED_VALUE"""),"イッて、溺れて、エッチな絶対命令(コマンド)。～隠れイケメンなDom後輩は重すぎる愛だけ隠せない～")</f>
        <v>イッて、溺れて、エッチな絶対命令(コマンド)。～隠れイケメンなDom後輩は重すぎる愛だけ隠せない～</v>
      </c>
      <c r="G4487" s="20" t="str">
        <f>IFERROR(__xludf.DUMMYFUNCTION("""COMPUTED_VALUE"""),"1～3")</f>
        <v>1～3</v>
      </c>
      <c r="H4487" s="22" t="str">
        <f>IFERROR(__xludf.DUMMYFUNCTION("""COMPUTED_VALUE"""),"しがつうまれ")</f>
        <v>しがつうまれ</v>
      </c>
      <c r="I4487" s="22" t="str">
        <f>IFERROR(__xludf.DUMMYFUNCTION("""COMPUTED_VALUE"""),"TL")</f>
        <v>TL</v>
      </c>
      <c r="J4487" s="22"/>
      <c r="K4487" s="22"/>
      <c r="L4487" s="22" t="str">
        <f>IFERROR(__xludf.DUMMYFUNCTION("""COMPUTED_VALUE"""),"セ・キララ文庫")</f>
        <v>セ・キララ文庫</v>
      </c>
      <c r="M4487" s="33">
        <f>IFERROR(__xludf.DUMMYFUNCTION("""COMPUTED_VALUE"""),46052.0)</f>
        <v>46052</v>
      </c>
      <c r="N4487" s="33">
        <f>IFERROR(__xludf.DUMMYFUNCTION("""COMPUTED_VALUE"""),46079.0)</f>
        <v>46079</v>
      </c>
      <c r="O4487" s="20"/>
      <c r="P4487" s="32" t="str">
        <f>IFERROR(__xludf.DUMMYFUNCTION("""COMPUTED_VALUE"""),"可")</f>
        <v>可</v>
      </c>
      <c r="Q4487" s="30" t="str">
        <f>IFERROR(__xludf.DUMMYFUNCTION("""COMPUTED_VALUE"""),"【アダルト作品扱い】")</f>
        <v>【アダルト作品扱い】</v>
      </c>
      <c r="R4487" s="22"/>
      <c r="S4487" s="22" t="str">
        <f>IFERROR(__xludf.DUMMYFUNCTION("""COMPUTED_VALUE"""),"20251224_ライドオン_イッて、溺れて、エッチな絶対命令(コマンド)。～隠れイケメンなDom後輩は重すぎる愛だけ隠せない～")</f>
        <v>20251224_ライドオン_イッて、溺れて、エッチな絶対命令(コマンド)。～隠れイケメンなDom後輩は重すぎる愛だけ隠せない～</v>
      </c>
      <c r="T4487" s="22" t="str">
        <f>IFERROR(__xludf.DUMMYFUNCTION("""COMPUTED_VALUE"""),"格納済み")</f>
        <v>格納済み</v>
      </c>
      <c r="U4487" s="9" t="str">
        <f>IFERROR(__xludf.DUMMYFUNCTION("""COMPUTED_VALUE"""),"Ⓒしがつうまれ/セ・キララ文庫")</f>
        <v>Ⓒしがつうまれ/セ・キララ文庫</v>
      </c>
      <c r="V4487" s="8"/>
      <c r="W4487" s="8"/>
      <c r="X4487" s="8" t="str">
        <f>IFERROR(__xludf.DUMMYFUNCTION("""COMPUTED_VALUE"""),"有")</f>
        <v>有</v>
      </c>
      <c r="Y4487" s="8" t="str">
        <f>IFERROR(__xludf.DUMMYFUNCTION("""COMPUTED_VALUE"""),"P9まで")</f>
        <v>P9まで</v>
      </c>
      <c r="Z4487" s="7"/>
      <c r="AA4487" s="7"/>
      <c r="AB4487" s="7"/>
    </row>
    <row r="4488" ht="15.75" customHeight="1">
      <c r="A4488" s="26">
        <f>IFERROR(__xludf.DUMMYFUNCTION("""COMPUTED_VALUE"""),7115.0)</f>
        <v>7115</v>
      </c>
      <c r="B4488" s="22" t="str">
        <f>IFERROR(__xludf.DUMMYFUNCTION("""COMPUTED_VALUE"""),"確定")</f>
        <v>確定</v>
      </c>
      <c r="C4488" s="28">
        <f>IFERROR(__xludf.DUMMYFUNCTION("""COMPUTED_VALUE"""),46015.0)</f>
        <v>46015</v>
      </c>
      <c r="D4488" s="28">
        <f>IFERROR(__xludf.DUMMYFUNCTION("""COMPUTED_VALUE"""),46016.0)</f>
        <v>46016</v>
      </c>
      <c r="E4488" s="26">
        <f>IFERROR(__xludf.DUMMYFUNCTION("""COMPUTED_VALUE"""),348322.0)</f>
        <v>348322</v>
      </c>
      <c r="F4488" s="22" t="str">
        <f>IFERROR(__xludf.DUMMYFUNCTION("""COMPUTED_VALUE"""),"高嶺の花束くん")</f>
        <v>高嶺の花束くん</v>
      </c>
      <c r="G4488" s="20">
        <f>IFERROR(__xludf.DUMMYFUNCTION("""COMPUTED_VALUE"""),1.0)</f>
        <v>1</v>
      </c>
      <c r="H4488" s="22" t="str">
        <f>IFERROR(__xludf.DUMMYFUNCTION("""COMPUTED_VALUE"""),"晴野ヤコ")</f>
        <v>晴野ヤコ</v>
      </c>
      <c r="I4488" s="22" t="str">
        <f>IFERROR(__xludf.DUMMYFUNCTION("""COMPUTED_VALUE"""),"BL")</f>
        <v>BL</v>
      </c>
      <c r="J4488" s="22"/>
      <c r="K4488" s="22" t="str">
        <f>IFERROR(__xludf.DUMMYFUNCTION("""COMPUTED_VALUE"""),"君恋")</f>
        <v>君恋</v>
      </c>
      <c r="L4488" s="22" t="str">
        <f>IFERROR(__xludf.DUMMYFUNCTION("""COMPUTED_VALUE"""),"集英社")</f>
        <v>集英社</v>
      </c>
      <c r="M4488" s="33">
        <f>IFERROR(__xludf.DUMMYFUNCTION("""COMPUTED_VALUE"""),46047.0)</f>
        <v>46047</v>
      </c>
      <c r="N4488" s="33">
        <f>IFERROR(__xludf.DUMMYFUNCTION("""COMPUTED_VALUE"""),46077.0)</f>
        <v>46077</v>
      </c>
      <c r="O4488" s="20"/>
      <c r="P4488" s="32" t="str">
        <f>IFERROR(__xludf.DUMMYFUNCTION("""COMPUTED_VALUE"""),"否")</f>
        <v>否</v>
      </c>
      <c r="Q4488" s="30"/>
      <c r="R4488" s="22"/>
      <c r="S4488" s="22" t="str">
        <f>IFERROR(__xludf.DUMMYFUNCTION("""COMPUTED_VALUE"""),"20251224_集英社_高嶺の花束くん")</f>
        <v>20251224_集英社_高嶺の花束くん</v>
      </c>
      <c r="T4488" s="22" t="str">
        <f>IFERROR(__xludf.DUMMYFUNCTION("""COMPUTED_VALUE"""),"格納済み")</f>
        <v>格納済み</v>
      </c>
      <c r="U4488" s="9" t="str">
        <f>IFERROR(__xludf.DUMMYFUNCTION("""COMPUTED_VALUE"""),"（C）晴野ヤコ／集英社")</f>
        <v>（C）晴野ヤコ／集英社</v>
      </c>
      <c r="V4488" s="8"/>
      <c r="W4488" s="8"/>
      <c r="X4488" s="8" t="str">
        <f>IFERROR(__xludf.DUMMYFUNCTION("""COMPUTED_VALUE"""),"有")</f>
        <v>有</v>
      </c>
      <c r="Y4488" s="8" t="str">
        <f>IFERROR(__xludf.DUMMYFUNCTION("""COMPUTED_VALUE"""),"P41まで")</f>
        <v>P41まで</v>
      </c>
      <c r="Z4488" s="7"/>
      <c r="AA4488" s="7"/>
      <c r="AB4488" s="7"/>
    </row>
    <row r="4489" ht="15.75" customHeight="1">
      <c r="A4489" s="26">
        <f>IFERROR(__xludf.DUMMYFUNCTION("""COMPUTED_VALUE"""),7116.0)</f>
        <v>7116</v>
      </c>
      <c r="B4489" s="22" t="str">
        <f>IFERROR(__xludf.DUMMYFUNCTION("""COMPUTED_VALUE"""),"確定")</f>
        <v>確定</v>
      </c>
      <c r="C4489" s="28">
        <f>IFERROR(__xludf.DUMMYFUNCTION("""COMPUTED_VALUE"""),46015.0)</f>
        <v>46015</v>
      </c>
      <c r="D4489" s="28">
        <f>IFERROR(__xludf.DUMMYFUNCTION("""COMPUTED_VALUE"""),46016.0)</f>
        <v>46016</v>
      </c>
      <c r="E4489" s="26">
        <f>IFERROR(__xludf.DUMMYFUNCTION("""COMPUTED_VALUE"""),349063.0)</f>
        <v>349063</v>
      </c>
      <c r="F4489" s="22" t="str">
        <f>IFERROR(__xludf.DUMMYFUNCTION("""COMPUTED_VALUE"""),"心臓に悪い、藤原くんっ！")</f>
        <v>心臓に悪い、藤原くんっ！</v>
      </c>
      <c r="G4489" s="20">
        <f>IFERROR(__xludf.DUMMYFUNCTION("""COMPUTED_VALUE"""),1.0)</f>
        <v>1</v>
      </c>
      <c r="H4489" s="22" t="str">
        <f>IFERROR(__xludf.DUMMYFUNCTION("""COMPUTED_VALUE"""),"みよし花")</f>
        <v>みよし花</v>
      </c>
      <c r="I4489" s="22" t="str">
        <f>IFERROR(__xludf.DUMMYFUNCTION("""COMPUTED_VALUE"""),"女性")</f>
        <v>女性</v>
      </c>
      <c r="J4489" s="22"/>
      <c r="K4489" s="22"/>
      <c r="L4489" s="22" t="str">
        <f>IFERROR(__xludf.DUMMYFUNCTION("""COMPUTED_VALUE"""),"集英社")</f>
        <v>集英社</v>
      </c>
      <c r="M4489" s="33">
        <f>IFERROR(__xludf.DUMMYFUNCTION("""COMPUTED_VALUE"""),46047.0)</f>
        <v>46047</v>
      </c>
      <c r="N4489" s="33">
        <f>IFERROR(__xludf.DUMMYFUNCTION("""COMPUTED_VALUE"""),46077.0)</f>
        <v>46077</v>
      </c>
      <c r="O4489" s="20"/>
      <c r="P4489" s="32" t="str">
        <f>IFERROR(__xludf.DUMMYFUNCTION("""COMPUTED_VALUE"""),"否")</f>
        <v>否</v>
      </c>
      <c r="Q4489" s="30"/>
      <c r="R4489" s="22"/>
      <c r="S4489" s="22" t="str">
        <f>IFERROR(__xludf.DUMMYFUNCTION("""COMPUTED_VALUE"""),"20251224_集英社_心臓に悪い、藤原くんっ！")</f>
        <v>20251224_集英社_心臓に悪い、藤原くんっ！</v>
      </c>
      <c r="T4489" s="22" t="str">
        <f>IFERROR(__xludf.DUMMYFUNCTION("""COMPUTED_VALUE"""),"格納済み")</f>
        <v>格納済み</v>
      </c>
      <c r="U4489" s="9" t="str">
        <f>IFERROR(__xludf.DUMMYFUNCTION("""COMPUTED_VALUE"""),"(C)みよし花／集英社")</f>
        <v>(C)みよし花／集英社</v>
      </c>
      <c r="V4489" s="8"/>
      <c r="W4489" s="8"/>
      <c r="X4489" s="8" t="str">
        <f>IFERROR(__xludf.DUMMYFUNCTION("""COMPUTED_VALUE"""),"有")</f>
        <v>有</v>
      </c>
      <c r="Y4489" s="8" t="str">
        <f>IFERROR(__xludf.DUMMYFUNCTION("""COMPUTED_VALUE"""),"P4まで")</f>
        <v>P4まで</v>
      </c>
      <c r="Z4489" s="7"/>
      <c r="AA4489" s="7"/>
      <c r="AB4489" s="7"/>
    </row>
    <row r="4490" ht="15.75" customHeight="1">
      <c r="A4490" s="26">
        <f>IFERROR(__xludf.DUMMYFUNCTION("""COMPUTED_VALUE"""),7117.0)</f>
        <v>7117</v>
      </c>
      <c r="B4490" s="22" t="str">
        <f>IFERROR(__xludf.DUMMYFUNCTION("""COMPUTED_VALUE"""),"確定")</f>
        <v>確定</v>
      </c>
      <c r="C4490" s="28">
        <f>IFERROR(__xludf.DUMMYFUNCTION("""COMPUTED_VALUE"""),46015.0)</f>
        <v>46015</v>
      </c>
      <c r="D4490" s="28">
        <f>IFERROR(__xludf.DUMMYFUNCTION("""COMPUTED_VALUE"""),46016.0)</f>
        <v>46016</v>
      </c>
      <c r="E4490" s="26">
        <f>IFERROR(__xludf.DUMMYFUNCTION("""COMPUTED_VALUE"""),349060.0)</f>
        <v>349060</v>
      </c>
      <c r="F4490" s="22" t="str">
        <f>IFERROR(__xludf.DUMMYFUNCTION("""COMPUTED_VALUE"""),"オッパがチョアよ！")</f>
        <v>オッパがチョアよ！</v>
      </c>
      <c r="G4490" s="20">
        <f>IFERROR(__xludf.DUMMYFUNCTION("""COMPUTED_VALUE"""),1.0)</f>
        <v>1</v>
      </c>
      <c r="H4490" s="22" t="str">
        <f>IFERROR(__xludf.DUMMYFUNCTION("""COMPUTED_VALUE"""),"小鳩ぐみ")</f>
        <v>小鳩ぐみ</v>
      </c>
      <c r="I4490" s="22" t="str">
        <f>IFERROR(__xludf.DUMMYFUNCTION("""COMPUTED_VALUE"""),"少女")</f>
        <v>少女</v>
      </c>
      <c r="J4490" s="22"/>
      <c r="K4490" s="22"/>
      <c r="L4490" s="22" t="str">
        <f>IFERROR(__xludf.DUMMYFUNCTION("""COMPUTED_VALUE"""),"集英社")</f>
        <v>集英社</v>
      </c>
      <c r="M4490" s="33">
        <f>IFERROR(__xludf.DUMMYFUNCTION("""COMPUTED_VALUE"""),46047.0)</f>
        <v>46047</v>
      </c>
      <c r="N4490" s="33">
        <f>IFERROR(__xludf.DUMMYFUNCTION("""COMPUTED_VALUE"""),46077.0)</f>
        <v>46077</v>
      </c>
      <c r="O4490" s="20"/>
      <c r="P4490" s="32" t="str">
        <f>IFERROR(__xludf.DUMMYFUNCTION("""COMPUTED_VALUE"""),"否")</f>
        <v>否</v>
      </c>
      <c r="Q4490" s="30"/>
      <c r="R4490" s="22"/>
      <c r="S4490" s="22" t="str">
        <f>IFERROR(__xludf.DUMMYFUNCTION("""COMPUTED_VALUE"""),"20251224_集英社_オッパがチョアよ！")</f>
        <v>20251224_集英社_オッパがチョアよ！</v>
      </c>
      <c r="T4490" s="22" t="str">
        <f>IFERROR(__xludf.DUMMYFUNCTION("""COMPUTED_VALUE"""),"格納済み")</f>
        <v>格納済み</v>
      </c>
      <c r="U4490" s="9" t="str">
        <f>IFERROR(__xludf.DUMMYFUNCTION("""COMPUTED_VALUE"""),"(C)小鳩ぐみ／集英社")</f>
        <v>(C)小鳩ぐみ／集英社</v>
      </c>
      <c r="V4490" s="8"/>
      <c r="W4490" s="8"/>
      <c r="X4490" s="8" t="str">
        <f>IFERROR(__xludf.DUMMYFUNCTION("""COMPUTED_VALUE"""),"有")</f>
        <v>有</v>
      </c>
      <c r="Y4490" s="8" t="str">
        <f>IFERROR(__xludf.DUMMYFUNCTION("""COMPUTED_VALUE"""),"P76まで")</f>
        <v>P76まで</v>
      </c>
      <c r="Z4490" s="7"/>
      <c r="AA4490" s="7"/>
      <c r="AB4490" s="7"/>
    </row>
    <row r="4491" ht="15.75" customHeight="1">
      <c r="A4491" s="26">
        <f>IFERROR(__xludf.DUMMYFUNCTION("""COMPUTED_VALUE"""),7118.0)</f>
        <v>7118</v>
      </c>
      <c r="B4491" s="22" t="str">
        <f>IFERROR(__xludf.DUMMYFUNCTION("""COMPUTED_VALUE"""),"確定")</f>
        <v>確定</v>
      </c>
      <c r="C4491" s="28">
        <f>IFERROR(__xludf.DUMMYFUNCTION("""COMPUTED_VALUE"""),46016.0)</f>
        <v>46016</v>
      </c>
      <c r="D4491" s="28">
        <f>IFERROR(__xludf.DUMMYFUNCTION("""COMPUTED_VALUE"""),46016.0)</f>
        <v>46016</v>
      </c>
      <c r="E4491" s="26">
        <f>IFERROR(__xludf.DUMMYFUNCTION("""COMPUTED_VALUE"""),348779.0)</f>
        <v>348779</v>
      </c>
      <c r="F4491" s="22" t="str">
        <f>IFERROR(__xludf.DUMMYFUNCTION("""COMPUTED_VALUE"""),"偽物だと敵国に追放されましたが、どうやら本物の聖女は私のようです。")</f>
        <v>偽物だと敵国に追放されましたが、どうやら本物の聖女は私のようです。</v>
      </c>
      <c r="G4491" s="20" t="str">
        <f>IFERROR(__xludf.DUMMYFUNCTION("""COMPUTED_VALUE"""),"1～4")</f>
        <v>1～4</v>
      </c>
      <c r="H4491" s="22" t="str">
        <f>IFERROR(__xludf.DUMMYFUNCTION("""COMPUTED_VALUE"""),"オト有記/瑪々子")</f>
        <v>オト有記/瑪々子</v>
      </c>
      <c r="I4491" s="22" t="str">
        <f>IFERROR(__xludf.DUMMYFUNCTION("""COMPUTED_VALUE"""),"少女")</f>
        <v>少女</v>
      </c>
      <c r="J4491" s="22"/>
      <c r="K4491" s="22" t="str">
        <f>IFERROR(__xludf.DUMMYFUNCTION("""COMPUTED_VALUE"""),"comicスピラ")</f>
        <v>comicスピラ</v>
      </c>
      <c r="L4491" s="22" t="str">
        <f>IFERROR(__xludf.DUMMYFUNCTION("""COMPUTED_VALUE"""),"ファンギルド")</f>
        <v>ファンギルド</v>
      </c>
      <c r="M4491" s="33">
        <f>IFERROR(__xludf.DUMMYFUNCTION("""COMPUTED_VALUE"""),46072.0)</f>
        <v>46072</v>
      </c>
      <c r="N4491" s="33">
        <f>IFERROR(__xludf.DUMMYFUNCTION("""COMPUTED_VALUE"""),46127.0)</f>
        <v>46127</v>
      </c>
      <c r="O4491" s="20"/>
      <c r="P4491" s="32" t="str">
        <f>IFERROR(__xludf.DUMMYFUNCTION("""COMPUTED_VALUE"""),"可")</f>
        <v>可</v>
      </c>
      <c r="Q4491" s="30"/>
      <c r="R4491" s="22"/>
      <c r="S4491" s="22" t="str">
        <f>IFERROR(__xludf.DUMMYFUNCTION("""COMPUTED_VALUE"""),"20251225_ファンギルド_偽物だと敵国に追放されましたが、どうやら本物の聖女は私のようです。")</f>
        <v>20251225_ファンギルド_偽物だと敵国に追放されましたが、どうやら本物の聖女は私のようです。</v>
      </c>
      <c r="T4491" s="22" t="str">
        <f>IFERROR(__xludf.DUMMYFUNCTION("""COMPUTED_VALUE"""),"格納済み")</f>
        <v>格納済み</v>
      </c>
      <c r="U4491" s="9" t="str">
        <f>IFERROR(__xludf.DUMMYFUNCTION("""COMPUTED_VALUE"""),"Ⓒオト有記/瑪々子/ファンギルド")</f>
        <v>Ⓒオト有記/瑪々子/ファンギルド</v>
      </c>
      <c r="V4491" s="8"/>
      <c r="W4491" s="8"/>
      <c r="X4491" s="8" t="str">
        <f>IFERROR(__xludf.DUMMYFUNCTION("""COMPUTED_VALUE"""),"有")</f>
        <v>有</v>
      </c>
      <c r="Y4491" s="8" t="str">
        <f>IFERROR(__xludf.DUMMYFUNCTION("""COMPUTED_VALUE"""),"2026/3/4まで1巻無料")</f>
        <v>2026/3/4まで1巻無料</v>
      </c>
      <c r="Z4491" s="7"/>
      <c r="AA4491" s="7"/>
      <c r="AB4491" s="7"/>
    </row>
    <row r="4492" ht="15.75" customHeight="1">
      <c r="A4492" s="26">
        <f>IFERROR(__xludf.DUMMYFUNCTION("""COMPUTED_VALUE"""),7119.0)</f>
        <v>7119</v>
      </c>
      <c r="B4492" s="22" t="str">
        <f>IFERROR(__xludf.DUMMYFUNCTION("""COMPUTED_VALUE"""),"確定")</f>
        <v>確定</v>
      </c>
      <c r="C4492" s="28">
        <f>IFERROR(__xludf.DUMMYFUNCTION("""COMPUTED_VALUE"""),46016.0)</f>
        <v>46016</v>
      </c>
      <c r="D4492" s="28">
        <f>IFERROR(__xludf.DUMMYFUNCTION("""COMPUTED_VALUE"""),46016.0)</f>
        <v>46016</v>
      </c>
      <c r="E4492" s="26">
        <f>IFERROR(__xludf.DUMMYFUNCTION("""COMPUTED_VALUE"""),349067.0)</f>
        <v>349067</v>
      </c>
      <c r="F4492" s="22" t="str">
        <f>IFERROR(__xludf.DUMMYFUNCTION("""COMPUTED_VALUE"""),"「お前は既に四回死んでいる」と氷の皇帝が私を脅してくる")</f>
        <v>「お前は既に四回死んでいる」と氷の皇帝が私を脅してくる</v>
      </c>
      <c r="G4492" s="20" t="str">
        <f>IFERROR(__xludf.DUMMYFUNCTION("""COMPUTED_VALUE"""),"1～2")</f>
        <v>1～2</v>
      </c>
      <c r="H4492" s="22" t="str">
        <f>IFERROR(__xludf.DUMMYFUNCTION("""COMPUTED_VALUE"""),"桧森ユハラ/岡達英茉")</f>
        <v>桧森ユハラ/岡達英茉</v>
      </c>
      <c r="I4492" s="22" t="str">
        <f>IFERROR(__xludf.DUMMYFUNCTION("""COMPUTED_VALUE"""),"少女")</f>
        <v>少女</v>
      </c>
      <c r="J4492" s="22"/>
      <c r="K4492" s="22" t="str">
        <f>IFERROR(__xludf.DUMMYFUNCTION("""COMPUTED_VALUE"""),"comicスピラ")</f>
        <v>comicスピラ</v>
      </c>
      <c r="L4492" s="22" t="str">
        <f>IFERROR(__xludf.DUMMYFUNCTION("""COMPUTED_VALUE"""),"ファンギルド")</f>
        <v>ファンギルド</v>
      </c>
      <c r="M4492" s="33">
        <f>IFERROR(__xludf.DUMMYFUNCTION("""COMPUTED_VALUE"""),46072.0)</f>
        <v>46072</v>
      </c>
      <c r="N4492" s="33">
        <f>IFERROR(__xludf.DUMMYFUNCTION("""COMPUTED_VALUE"""),46106.0)</f>
        <v>46106</v>
      </c>
      <c r="O4492" s="20"/>
      <c r="P4492" s="32" t="str">
        <f>IFERROR(__xludf.DUMMYFUNCTION("""COMPUTED_VALUE"""),"可")</f>
        <v>可</v>
      </c>
      <c r="Q4492" s="30"/>
      <c r="R4492" s="22"/>
      <c r="S4492" s="22" t="str">
        <f>IFERROR(__xludf.DUMMYFUNCTION("""COMPUTED_VALUE"""),"20251225_ファンギルド_「お前は既に四回死んでいる」と氷の皇帝が私を脅してくる")</f>
        <v>20251225_ファンギルド_「お前は既に四回死んでいる」と氷の皇帝が私を脅してくる</v>
      </c>
      <c r="T4492" s="22" t="str">
        <f>IFERROR(__xludf.DUMMYFUNCTION("""COMPUTED_VALUE"""),"格納済み")</f>
        <v>格納済み</v>
      </c>
      <c r="U4492" s="9" t="str">
        <f>IFERROR(__xludf.DUMMYFUNCTION("""COMPUTED_VALUE"""),"Ⓒ桧森ユハラ/岡達英茉/ファンギルド")</f>
        <v>Ⓒ桧森ユハラ/岡達英茉/ファンギルド</v>
      </c>
      <c r="V4492" s="8"/>
      <c r="W4492" s="8"/>
      <c r="X4492" s="8" t="str">
        <f>IFERROR(__xludf.DUMMYFUNCTION("""COMPUTED_VALUE"""),"有")</f>
        <v>有</v>
      </c>
      <c r="Y4492" s="8" t="str">
        <f>IFERROR(__xludf.DUMMYFUNCTION("""COMPUTED_VALUE"""),"P7まで")</f>
        <v>P7まで</v>
      </c>
      <c r="Z4492" s="7"/>
      <c r="AA4492" s="7"/>
      <c r="AB4492" s="7"/>
    </row>
    <row r="4493" ht="15.75" customHeight="1">
      <c r="A4493" s="26">
        <f>IFERROR(__xludf.DUMMYFUNCTION("""COMPUTED_VALUE"""),7120.0)</f>
        <v>7120</v>
      </c>
      <c r="B4493" s="22" t="str">
        <f>IFERROR(__xludf.DUMMYFUNCTION("""COMPUTED_VALUE"""),"確定")</f>
        <v>確定</v>
      </c>
      <c r="C4493" s="28">
        <f>IFERROR(__xludf.DUMMYFUNCTION("""COMPUTED_VALUE"""),46016.0)</f>
        <v>46016</v>
      </c>
      <c r="D4493" s="28">
        <f>IFERROR(__xludf.DUMMYFUNCTION("""COMPUTED_VALUE"""),46016.0)</f>
        <v>46016</v>
      </c>
      <c r="E4493" s="26">
        <f>IFERROR(__xludf.DUMMYFUNCTION("""COMPUTED_VALUE"""),349066.0)</f>
        <v>349066</v>
      </c>
      <c r="F4493" s="22" t="str">
        <f>IFERROR(__xludf.DUMMYFUNCTION("""COMPUTED_VALUE"""),"愛のない結婚も二年目に入りました。いまだ旦那さまのお顔を見ておりません。")</f>
        <v>愛のない結婚も二年目に入りました。いまだ旦那さまのお顔を見ておりません。</v>
      </c>
      <c r="G4493" s="20">
        <f>IFERROR(__xludf.DUMMYFUNCTION("""COMPUTED_VALUE"""),1.0)</f>
        <v>1</v>
      </c>
      <c r="H4493" s="22" t="str">
        <f>IFERROR(__xludf.DUMMYFUNCTION("""COMPUTED_VALUE"""),"諒しゅん/新 星緒")</f>
        <v>諒しゅん/新 星緒</v>
      </c>
      <c r="I4493" s="22" t="str">
        <f>IFERROR(__xludf.DUMMYFUNCTION("""COMPUTED_VALUE"""),"少女")</f>
        <v>少女</v>
      </c>
      <c r="J4493" s="22"/>
      <c r="K4493" s="22" t="str">
        <f>IFERROR(__xludf.DUMMYFUNCTION("""COMPUTED_VALUE"""),"comicスピラ")</f>
        <v>comicスピラ</v>
      </c>
      <c r="L4493" s="22" t="str">
        <f>IFERROR(__xludf.DUMMYFUNCTION("""COMPUTED_VALUE"""),"ファンギルド")</f>
        <v>ファンギルド</v>
      </c>
      <c r="M4493" s="33">
        <f>IFERROR(__xludf.DUMMYFUNCTION("""COMPUTED_VALUE"""),46072.0)</f>
        <v>46072</v>
      </c>
      <c r="N4493" s="33">
        <f>IFERROR(__xludf.DUMMYFUNCTION("""COMPUTED_VALUE"""),46106.0)</f>
        <v>46106</v>
      </c>
      <c r="O4493" s="20"/>
      <c r="P4493" s="32" t="str">
        <f>IFERROR(__xludf.DUMMYFUNCTION("""COMPUTED_VALUE"""),"可")</f>
        <v>可</v>
      </c>
      <c r="Q4493" s="30"/>
      <c r="R4493" s="22"/>
      <c r="S4493" s="22" t="str">
        <f>IFERROR(__xludf.DUMMYFUNCTION("""COMPUTED_VALUE"""),"20251225_ファンギルド_愛のない結婚も二年目に入りました。いまだ旦那さまのお顔を見ておりません。")</f>
        <v>20251225_ファンギルド_愛のない結婚も二年目に入りました。いまだ旦那さまのお顔を見ておりません。</v>
      </c>
      <c r="T4493" s="22" t="str">
        <f>IFERROR(__xludf.DUMMYFUNCTION("""COMPUTED_VALUE"""),"格納済み")</f>
        <v>格納済み</v>
      </c>
      <c r="U4493" s="9" t="str">
        <f>IFERROR(__xludf.DUMMYFUNCTION("""COMPUTED_VALUE"""),"Ⓒ諒しゅん/新 星緒/ファンギルド")</f>
        <v>Ⓒ諒しゅん/新 星緒/ファンギルド</v>
      </c>
      <c r="V4493" s="8"/>
      <c r="W4493" s="8"/>
      <c r="X4493" s="8" t="str">
        <f>IFERROR(__xludf.DUMMYFUNCTION("""COMPUTED_VALUE"""),"有")</f>
        <v>有</v>
      </c>
      <c r="Y4493" s="8" t="str">
        <f>IFERROR(__xludf.DUMMYFUNCTION("""COMPUTED_VALUE"""),"P7まで")</f>
        <v>P7まで</v>
      </c>
      <c r="Z4493" s="7"/>
      <c r="AA4493" s="7"/>
      <c r="AB4493" s="7"/>
    </row>
    <row r="4494" ht="15.75" customHeight="1">
      <c r="A4494" s="26">
        <f>IFERROR(__xludf.DUMMYFUNCTION("""COMPUTED_VALUE"""),7121.0)</f>
        <v>7121</v>
      </c>
      <c r="B4494" s="22" t="str">
        <f>IFERROR(__xludf.DUMMYFUNCTION("""COMPUTED_VALUE"""),"確定")</f>
        <v>確定</v>
      </c>
      <c r="C4494" s="28">
        <f>IFERROR(__xludf.DUMMYFUNCTION("""COMPUTED_VALUE"""),46016.0)</f>
        <v>46016</v>
      </c>
      <c r="D4494" s="28">
        <f>IFERROR(__xludf.DUMMYFUNCTION("""COMPUTED_VALUE"""),46016.0)</f>
        <v>46016</v>
      </c>
      <c r="E4494" s="26">
        <f>IFERROR(__xludf.DUMMYFUNCTION("""COMPUTED_VALUE"""),349065.0)</f>
        <v>349065</v>
      </c>
      <c r="F4494" s="22" t="str">
        <f>IFERROR(__xludf.DUMMYFUNCTION("""COMPUTED_VALUE"""),"初恋に告げたさよならは、包み込まれて溶けて消えた")</f>
        <v>初恋に告げたさよならは、包み込まれて溶けて消えた</v>
      </c>
      <c r="G4494" s="20">
        <f>IFERROR(__xludf.DUMMYFUNCTION("""COMPUTED_VALUE"""),1.0)</f>
        <v>1</v>
      </c>
      <c r="H4494" s="22" t="str">
        <f>IFERROR(__xludf.DUMMYFUNCTION("""COMPUTED_VALUE"""),"紫藤むらさき/花散ここ")</f>
        <v>紫藤むらさき/花散ここ</v>
      </c>
      <c r="I4494" s="22" t="str">
        <f>IFERROR(__xludf.DUMMYFUNCTION("""COMPUTED_VALUE"""),"少女")</f>
        <v>少女</v>
      </c>
      <c r="J4494" s="22"/>
      <c r="K4494" s="22" t="str">
        <f>IFERROR(__xludf.DUMMYFUNCTION("""COMPUTED_VALUE"""),"comicスピラ")</f>
        <v>comicスピラ</v>
      </c>
      <c r="L4494" s="22" t="str">
        <f>IFERROR(__xludf.DUMMYFUNCTION("""COMPUTED_VALUE"""),"ファンギルド")</f>
        <v>ファンギルド</v>
      </c>
      <c r="M4494" s="33">
        <f>IFERROR(__xludf.DUMMYFUNCTION("""COMPUTED_VALUE"""),46072.0)</f>
        <v>46072</v>
      </c>
      <c r="N4494" s="33">
        <f>IFERROR(__xludf.DUMMYFUNCTION("""COMPUTED_VALUE"""),46106.0)</f>
        <v>46106</v>
      </c>
      <c r="O4494" s="20"/>
      <c r="P4494" s="32" t="str">
        <f>IFERROR(__xludf.DUMMYFUNCTION("""COMPUTED_VALUE"""),"可")</f>
        <v>可</v>
      </c>
      <c r="Q4494" s="30"/>
      <c r="R4494" s="22"/>
      <c r="S4494" s="22" t="str">
        <f>IFERROR(__xludf.DUMMYFUNCTION("""COMPUTED_VALUE"""),"20251225_ファンギルド_初恋に告げたさよならは、包み込まれて溶けて消えた")</f>
        <v>20251225_ファンギルド_初恋に告げたさよならは、包み込まれて溶けて消えた</v>
      </c>
      <c r="T4494" s="22" t="str">
        <f>IFERROR(__xludf.DUMMYFUNCTION("""COMPUTED_VALUE"""),"格納済み")</f>
        <v>格納済み</v>
      </c>
      <c r="U4494" s="9" t="str">
        <f>IFERROR(__xludf.DUMMYFUNCTION("""COMPUTED_VALUE"""),"Ⓒ紫藤むらさき/花散ここ/ファンギルド")</f>
        <v>Ⓒ紫藤むらさき/花散ここ/ファンギルド</v>
      </c>
      <c r="V4494" s="8"/>
      <c r="W4494" s="8"/>
      <c r="X4494" s="8" t="str">
        <f>IFERROR(__xludf.DUMMYFUNCTION("""COMPUTED_VALUE"""),"有")</f>
        <v>有</v>
      </c>
      <c r="Y4494" s="8" t="str">
        <f>IFERROR(__xludf.DUMMYFUNCTION("""COMPUTED_VALUE"""),"P7まで")</f>
        <v>P7まで</v>
      </c>
      <c r="Z4494" s="7"/>
      <c r="AA4494" s="7"/>
      <c r="AB4494" s="7"/>
    </row>
    <row r="4495" ht="15.75" customHeight="1">
      <c r="A4495" s="26">
        <f>IFERROR(__xludf.DUMMYFUNCTION("""COMPUTED_VALUE"""),7122.0)</f>
        <v>7122</v>
      </c>
      <c r="B4495" s="22" t="str">
        <f>IFERROR(__xludf.DUMMYFUNCTION("""COMPUTED_VALUE"""),"確定")</f>
        <v>確定</v>
      </c>
      <c r="C4495" s="28">
        <f>IFERROR(__xludf.DUMMYFUNCTION("""COMPUTED_VALUE"""),46016.0)</f>
        <v>46016</v>
      </c>
      <c r="D4495" s="28">
        <f>IFERROR(__xludf.DUMMYFUNCTION("""COMPUTED_VALUE"""),46016.0)</f>
        <v>46016</v>
      </c>
      <c r="E4495" s="26">
        <f>IFERROR(__xludf.DUMMYFUNCTION("""COMPUTED_VALUE"""),349068.0)</f>
        <v>349068</v>
      </c>
      <c r="F4495" s="22" t="str">
        <f>IFERROR(__xludf.DUMMYFUNCTION("""COMPUTED_VALUE"""),"笑わない婚約者様が恋焦がれているのは変装した私のようです")</f>
        <v>笑わない婚約者様が恋焦がれているのは変装した私のようです</v>
      </c>
      <c r="G4495" s="20">
        <f>IFERROR(__xludf.DUMMYFUNCTION("""COMPUTED_VALUE"""),1.0)</f>
        <v>1</v>
      </c>
      <c r="H4495" s="22" t="str">
        <f>IFERROR(__xludf.DUMMYFUNCTION("""COMPUTED_VALUE"""),"菜乃ひる/瑪々子")</f>
        <v>菜乃ひる/瑪々子</v>
      </c>
      <c r="I4495" s="22" t="str">
        <f>IFERROR(__xludf.DUMMYFUNCTION("""COMPUTED_VALUE"""),"少女")</f>
        <v>少女</v>
      </c>
      <c r="J4495" s="22"/>
      <c r="K4495" s="22" t="str">
        <f>IFERROR(__xludf.DUMMYFUNCTION("""COMPUTED_VALUE"""),"comicスピラ")</f>
        <v>comicスピラ</v>
      </c>
      <c r="L4495" s="22" t="str">
        <f>IFERROR(__xludf.DUMMYFUNCTION("""COMPUTED_VALUE"""),"ファンギルド")</f>
        <v>ファンギルド</v>
      </c>
      <c r="M4495" s="33">
        <f>IFERROR(__xludf.DUMMYFUNCTION("""COMPUTED_VALUE"""),46072.0)</f>
        <v>46072</v>
      </c>
      <c r="N4495" s="33">
        <f>IFERROR(__xludf.DUMMYFUNCTION("""COMPUTED_VALUE"""),46106.0)</f>
        <v>46106</v>
      </c>
      <c r="O4495" s="20"/>
      <c r="P4495" s="32" t="str">
        <f>IFERROR(__xludf.DUMMYFUNCTION("""COMPUTED_VALUE"""),"可")</f>
        <v>可</v>
      </c>
      <c r="Q4495" s="30"/>
      <c r="R4495" s="22"/>
      <c r="S4495" s="22" t="str">
        <f>IFERROR(__xludf.DUMMYFUNCTION("""COMPUTED_VALUE"""),"20251225_ファンギルド_笑わない婚約者様が恋焦がれているのは変装した私のようです")</f>
        <v>20251225_ファンギルド_笑わない婚約者様が恋焦がれているのは変装した私のようです</v>
      </c>
      <c r="T4495" s="22" t="str">
        <f>IFERROR(__xludf.DUMMYFUNCTION("""COMPUTED_VALUE"""),"格納済み")</f>
        <v>格納済み</v>
      </c>
      <c r="U4495" s="9" t="str">
        <f>IFERROR(__xludf.DUMMYFUNCTION("""COMPUTED_VALUE"""),"Ⓒ菜乃ひる/瑪々子/ファンギルド")</f>
        <v>Ⓒ菜乃ひる/瑪々子/ファンギルド</v>
      </c>
      <c r="V4495" s="8"/>
      <c r="W4495" s="8"/>
      <c r="X4495" s="8" t="str">
        <f>IFERROR(__xludf.DUMMYFUNCTION("""COMPUTED_VALUE"""),"有")</f>
        <v>有</v>
      </c>
      <c r="Y4495" s="8" t="str">
        <f>IFERROR(__xludf.DUMMYFUNCTION("""COMPUTED_VALUE"""),"P7まで")</f>
        <v>P7まで</v>
      </c>
      <c r="Z4495" s="7"/>
      <c r="AA4495" s="7"/>
      <c r="AB4495" s="7"/>
    </row>
    <row r="4496" ht="15.75" customHeight="1">
      <c r="A4496" s="26">
        <f>IFERROR(__xludf.DUMMYFUNCTION("""COMPUTED_VALUE"""),7123.0)</f>
        <v>7123</v>
      </c>
      <c r="B4496" s="22" t="str">
        <f>IFERROR(__xludf.DUMMYFUNCTION("""COMPUTED_VALUE"""),"確定")</f>
        <v>確定</v>
      </c>
      <c r="C4496" s="28">
        <f>IFERROR(__xludf.DUMMYFUNCTION("""COMPUTED_VALUE"""),46016.0)</f>
        <v>46016</v>
      </c>
      <c r="D4496" s="28">
        <f>IFERROR(__xludf.DUMMYFUNCTION("""COMPUTED_VALUE"""),46016.0)</f>
        <v>46016</v>
      </c>
      <c r="E4496" s="26">
        <f>IFERROR(__xludf.DUMMYFUNCTION("""COMPUTED_VALUE"""),349070.0)</f>
        <v>349070</v>
      </c>
      <c r="F4496" s="22" t="str">
        <f>IFERROR(__xludf.DUMMYFUNCTION("""COMPUTED_VALUE"""),"夫がゴミを持って帰って来たけれど、爆速離婚するのでどうでも良いです")</f>
        <v>夫がゴミを持って帰って来たけれど、爆速離婚するのでどうでも良いです</v>
      </c>
      <c r="G4496" s="20">
        <f>IFERROR(__xludf.DUMMYFUNCTION("""COMPUTED_VALUE"""),1.0)</f>
        <v>1</v>
      </c>
      <c r="H4496" s="22" t="str">
        <f>IFERROR(__xludf.DUMMYFUNCTION("""COMPUTED_VALUE"""),"榎維/えんどう豆")</f>
        <v>榎維/えんどう豆</v>
      </c>
      <c r="I4496" s="22" t="str">
        <f>IFERROR(__xludf.DUMMYFUNCTION("""COMPUTED_VALUE"""),"女性")</f>
        <v>女性</v>
      </c>
      <c r="J4496" s="22"/>
      <c r="K4496" s="22" t="str">
        <f>IFERROR(__xludf.DUMMYFUNCTION("""COMPUTED_VALUE"""),"comicスピラ")</f>
        <v>comicスピラ</v>
      </c>
      <c r="L4496" s="22" t="str">
        <f>IFERROR(__xludf.DUMMYFUNCTION("""COMPUTED_VALUE"""),"ファンギルド")</f>
        <v>ファンギルド</v>
      </c>
      <c r="M4496" s="33">
        <f>IFERROR(__xludf.DUMMYFUNCTION("""COMPUTED_VALUE"""),46072.0)</f>
        <v>46072</v>
      </c>
      <c r="N4496" s="33">
        <f>IFERROR(__xludf.DUMMYFUNCTION("""COMPUTED_VALUE"""),46148.66666666667)</f>
        <v>46148.66667</v>
      </c>
      <c r="O4496" s="20"/>
      <c r="P4496" s="32" t="str">
        <f>IFERROR(__xludf.DUMMYFUNCTION("""COMPUTED_VALUE"""),"可")</f>
        <v>可</v>
      </c>
      <c r="Q4496" s="30"/>
      <c r="R4496" s="22"/>
      <c r="S4496" s="22" t="str">
        <f>IFERROR(__xludf.DUMMYFUNCTION("""COMPUTED_VALUE"""),"20251225_ファンギルド_夫がゴミを持って帰って来たけれど、爆速離婚するのでどうでも良いです")</f>
        <v>20251225_ファンギルド_夫がゴミを持って帰って来たけれど、爆速離婚するのでどうでも良いです</v>
      </c>
      <c r="T4496" s="22" t="str">
        <f>IFERROR(__xludf.DUMMYFUNCTION("""COMPUTED_VALUE"""),"格納済み")</f>
        <v>格納済み</v>
      </c>
      <c r="U4496" s="9" t="str">
        <f>IFERROR(__xludf.DUMMYFUNCTION("""COMPUTED_VALUE"""),"Ⓒ榎維/えんどう豆/ファンギルド")</f>
        <v>Ⓒ榎維/えんどう豆/ファンギルド</v>
      </c>
      <c r="V4496" s="8"/>
      <c r="W4496" s="8"/>
      <c r="X4496" s="8" t="str">
        <f>IFERROR(__xludf.DUMMYFUNCTION("""COMPUTED_VALUE"""),"有")</f>
        <v>有</v>
      </c>
      <c r="Y4496" s="8" t="str">
        <f>IFERROR(__xludf.DUMMYFUNCTION("""COMPUTED_VALUE"""),"P7まで")</f>
        <v>P7まで</v>
      </c>
      <c r="Z4496" s="7"/>
      <c r="AA4496" s="7"/>
      <c r="AB4496" s="7"/>
    </row>
    <row r="4497" ht="15.75" customHeight="1">
      <c r="A4497" s="26">
        <f>IFERROR(__xludf.DUMMYFUNCTION("""COMPUTED_VALUE"""),7124.0)</f>
        <v>7124</v>
      </c>
      <c r="B4497" s="22" t="str">
        <f>IFERROR(__xludf.DUMMYFUNCTION("""COMPUTED_VALUE"""),"確定")</f>
        <v>確定</v>
      </c>
      <c r="C4497" s="28">
        <f>IFERROR(__xludf.DUMMYFUNCTION("""COMPUTED_VALUE"""),46016.0)</f>
        <v>46016</v>
      </c>
      <c r="D4497" s="28">
        <f>IFERROR(__xludf.DUMMYFUNCTION("""COMPUTED_VALUE"""),46016.0)</f>
        <v>46016</v>
      </c>
      <c r="E4497" s="26">
        <f>IFERROR(__xludf.DUMMYFUNCTION("""COMPUTED_VALUE"""),349069.0)</f>
        <v>349069</v>
      </c>
      <c r="F4497" s="22" t="str">
        <f>IFERROR(__xludf.DUMMYFUNCTION("""COMPUTED_VALUE"""),"魅了魔法にかかったフリをしてみたら、冷淡な婚約者が溺愛モードになりました")</f>
        <v>魅了魔法にかかったフリをしてみたら、冷淡な婚約者が溺愛モードになりました</v>
      </c>
      <c r="G4497" s="20">
        <f>IFERROR(__xludf.DUMMYFUNCTION("""COMPUTED_VALUE"""),1.0)</f>
        <v>1</v>
      </c>
      <c r="H4497" s="22" t="str">
        <f>IFERROR(__xludf.DUMMYFUNCTION("""COMPUTED_VALUE"""),"鷹田さね/冬月光輝")</f>
        <v>鷹田さね/冬月光輝</v>
      </c>
      <c r="I4497" s="22" t="str">
        <f>IFERROR(__xludf.DUMMYFUNCTION("""COMPUTED_VALUE"""),"少女")</f>
        <v>少女</v>
      </c>
      <c r="J4497" s="22"/>
      <c r="K4497" s="22" t="str">
        <f>IFERROR(__xludf.DUMMYFUNCTION("""COMPUTED_VALUE"""),"comicスピラ")</f>
        <v>comicスピラ</v>
      </c>
      <c r="L4497" s="22" t="str">
        <f>IFERROR(__xludf.DUMMYFUNCTION("""COMPUTED_VALUE"""),"ファンギルド")</f>
        <v>ファンギルド</v>
      </c>
      <c r="M4497" s="33">
        <f>IFERROR(__xludf.DUMMYFUNCTION("""COMPUTED_VALUE"""),46072.0)</f>
        <v>46072</v>
      </c>
      <c r="N4497" s="33">
        <f>IFERROR(__xludf.DUMMYFUNCTION("""COMPUTED_VALUE"""),46106.0)</f>
        <v>46106</v>
      </c>
      <c r="O4497" s="20"/>
      <c r="P4497" s="32" t="str">
        <f>IFERROR(__xludf.DUMMYFUNCTION("""COMPUTED_VALUE"""),"可")</f>
        <v>可</v>
      </c>
      <c r="Q4497" s="30"/>
      <c r="R4497" s="22"/>
      <c r="S4497" s="22" t="str">
        <f>IFERROR(__xludf.DUMMYFUNCTION("""COMPUTED_VALUE"""),"20251225_ファンギルド_魅了魔法にかかったフリをしてみたら、冷淡な婚約者が溺愛モードになりました")</f>
        <v>20251225_ファンギルド_魅了魔法にかかったフリをしてみたら、冷淡な婚約者が溺愛モードになりました</v>
      </c>
      <c r="T4497" s="22" t="str">
        <f>IFERROR(__xludf.DUMMYFUNCTION("""COMPUTED_VALUE"""),"格納済み")</f>
        <v>格納済み</v>
      </c>
      <c r="U4497" s="9" t="str">
        <f>IFERROR(__xludf.DUMMYFUNCTION("""COMPUTED_VALUE"""),"Ⓒ鷹田さね/冬月光輝/ファンギルド")</f>
        <v>Ⓒ鷹田さね/冬月光輝/ファンギルド</v>
      </c>
      <c r="V4497" s="8"/>
      <c r="W4497" s="8"/>
      <c r="X4497" s="8" t="str">
        <f>IFERROR(__xludf.DUMMYFUNCTION("""COMPUTED_VALUE"""),"有")</f>
        <v>有</v>
      </c>
      <c r="Y4497" s="8" t="str">
        <f>IFERROR(__xludf.DUMMYFUNCTION("""COMPUTED_VALUE"""),"P7まで")</f>
        <v>P7まで</v>
      </c>
      <c r="Z4497" s="7"/>
      <c r="AA4497" s="7"/>
      <c r="AB4497" s="7"/>
    </row>
    <row r="4498" ht="15.75" customHeight="1">
      <c r="A4498" s="26">
        <f>IFERROR(__xludf.DUMMYFUNCTION("""COMPUTED_VALUE"""),7125.0)</f>
        <v>7125</v>
      </c>
      <c r="B4498" s="22" t="str">
        <f>IFERROR(__xludf.DUMMYFUNCTION("""COMPUTED_VALUE"""),"確定")</f>
        <v>確定</v>
      </c>
      <c r="C4498" s="28">
        <f>IFERROR(__xludf.DUMMYFUNCTION("""COMPUTED_VALUE"""),46016.0)</f>
        <v>46016</v>
      </c>
      <c r="D4498" s="28">
        <f>IFERROR(__xludf.DUMMYFUNCTION("""COMPUTED_VALUE"""),46017.0)</f>
        <v>46017</v>
      </c>
      <c r="E4498" s="26">
        <f>IFERROR(__xludf.DUMMYFUNCTION("""COMPUTED_VALUE"""),348780.0)</f>
        <v>348780</v>
      </c>
      <c r="F4498" s="22" t="str">
        <f>IFERROR(__xludf.DUMMYFUNCTION("""COMPUTED_VALUE"""),"天罰執行～神様に代わって復讐します～")</f>
        <v>天罰執行～神様に代わって復讐します～</v>
      </c>
      <c r="G4498" s="20" t="str">
        <f>IFERROR(__xludf.DUMMYFUNCTION("""COMPUTED_VALUE"""),"1～3")</f>
        <v>1～3</v>
      </c>
      <c r="H4498" s="22" t="str">
        <f>IFERROR(__xludf.DUMMYFUNCTION("""COMPUTED_VALUE"""),"犬塚ぬい")</f>
        <v>犬塚ぬい</v>
      </c>
      <c r="I4498" s="22" t="str">
        <f>IFERROR(__xludf.DUMMYFUNCTION("""COMPUTED_VALUE"""),"青年")</f>
        <v>青年</v>
      </c>
      <c r="J4498" s="22"/>
      <c r="K4498" s="22"/>
      <c r="L4498" s="22" t="str">
        <f>IFERROR(__xludf.DUMMYFUNCTION("""COMPUTED_VALUE"""),"ファンギルド")</f>
        <v>ファンギルド</v>
      </c>
      <c r="M4498" s="33">
        <f>IFERROR(__xludf.DUMMYFUNCTION("""COMPUTED_VALUE"""),46067.0)</f>
        <v>46067</v>
      </c>
      <c r="N4498" s="33">
        <f>IFERROR(__xludf.DUMMYFUNCTION("""COMPUTED_VALUE"""),46122.66666666667)</f>
        <v>46122.66667</v>
      </c>
      <c r="O4498" s="20"/>
      <c r="P4498" s="32" t="str">
        <f>IFERROR(__xludf.DUMMYFUNCTION("""COMPUTED_VALUE"""),"可")</f>
        <v>可</v>
      </c>
      <c r="Q4498" s="30"/>
      <c r="R4498" s="22"/>
      <c r="S4498" s="22" t="str">
        <f>IFERROR(__xludf.DUMMYFUNCTION("""COMPUTED_VALUE"""),"20251225_ファンギルド_天罰執行～神様に代わって復讐します～")</f>
        <v>20251225_ファンギルド_天罰執行～神様に代わって復讐します～</v>
      </c>
      <c r="T4498" s="22" t="str">
        <f>IFERROR(__xludf.DUMMYFUNCTION("""COMPUTED_VALUE"""),"格納済み")</f>
        <v>格納済み</v>
      </c>
      <c r="U4498" s="9" t="str">
        <f>IFERROR(__xludf.DUMMYFUNCTION("""COMPUTED_VALUE"""),"Ⓒ犬塚ぬい/ファンギルド")</f>
        <v>Ⓒ犬塚ぬい/ファンギルド</v>
      </c>
      <c r="V4498" s="8"/>
      <c r="W4498" s="8"/>
      <c r="X4498" s="8" t="str">
        <f>IFERROR(__xludf.DUMMYFUNCTION("""COMPUTED_VALUE"""),"有")</f>
        <v>有</v>
      </c>
      <c r="Y4498" s="8" t="str">
        <f>IFERROR(__xludf.DUMMYFUNCTION("""COMPUTED_VALUE"""),"P7まで")</f>
        <v>P7まで</v>
      </c>
      <c r="Z4498" s="7"/>
      <c r="AA4498" s="7"/>
      <c r="AB4498" s="7"/>
    </row>
    <row r="4499" ht="15.75" customHeight="1">
      <c r="A4499" s="26">
        <f>IFERROR(__xludf.DUMMYFUNCTION("""COMPUTED_VALUE"""),7126.0)</f>
        <v>7126</v>
      </c>
      <c r="B4499" s="22" t="str">
        <f>IFERROR(__xludf.DUMMYFUNCTION("""COMPUTED_VALUE"""),"確定")</f>
        <v>確定</v>
      </c>
      <c r="C4499" s="28">
        <f>IFERROR(__xludf.DUMMYFUNCTION("""COMPUTED_VALUE"""),46016.0)</f>
        <v>46016</v>
      </c>
      <c r="D4499" s="28">
        <f>IFERROR(__xludf.DUMMYFUNCTION("""COMPUTED_VALUE"""),46028.0)</f>
        <v>46028</v>
      </c>
      <c r="E4499" s="26">
        <f>IFERROR(__xludf.DUMMYFUNCTION("""COMPUTED_VALUE"""),348781.0)</f>
        <v>348781</v>
      </c>
      <c r="F4499" s="22" t="str">
        <f>IFERROR(__xludf.DUMMYFUNCTION("""COMPUTED_VALUE"""),"エリート外科医の蕩ける治療～先生、私…濡れないんです")</f>
        <v>エリート外科医の蕩ける治療～先生、私…濡れないんです</v>
      </c>
      <c r="G4499" s="20" t="str">
        <f>IFERROR(__xludf.DUMMYFUNCTION("""COMPUTED_VALUE"""),"1～4")</f>
        <v>1～4</v>
      </c>
      <c r="H4499" s="22" t="str">
        <f>IFERROR(__xludf.DUMMYFUNCTION("""COMPUTED_VALUE"""),"冴島ユカ子/あさの紅茶")</f>
        <v>冴島ユカ子/あさの紅茶</v>
      </c>
      <c r="I4499" s="22" t="str">
        <f>IFERROR(__xludf.DUMMYFUNCTION("""COMPUTED_VALUE"""),"女性")</f>
        <v>女性</v>
      </c>
      <c r="J4499" s="22"/>
      <c r="K4499" s="22"/>
      <c r="L4499" s="22" t="str">
        <f>IFERROR(__xludf.DUMMYFUNCTION("""COMPUTED_VALUE"""),"ファンギルド")</f>
        <v>ファンギルド</v>
      </c>
      <c r="M4499" s="33">
        <f>IFERROR(__xludf.DUMMYFUNCTION("""COMPUTED_VALUE"""),46064.0)</f>
        <v>46064</v>
      </c>
      <c r="N4499" s="33">
        <f>IFERROR(__xludf.DUMMYFUNCTION("""COMPUTED_VALUE"""),46091.0)</f>
        <v>46091</v>
      </c>
      <c r="O4499" s="20"/>
      <c r="P4499" s="32" t="str">
        <f>IFERROR(__xludf.DUMMYFUNCTION("""COMPUTED_VALUE"""),"可")</f>
        <v>可</v>
      </c>
      <c r="Q4499" s="30"/>
      <c r="R4499" s="22"/>
      <c r="S4499" s="22" t="str">
        <f>IFERROR(__xludf.DUMMYFUNCTION("""COMPUTED_VALUE"""),"20251225_ファンギルド_エリート外科医の蕩ける治療～先生、私…濡れないんです")</f>
        <v>20251225_ファンギルド_エリート外科医の蕩ける治療～先生、私…濡れないんです</v>
      </c>
      <c r="T4499" s="22" t="str">
        <f>IFERROR(__xludf.DUMMYFUNCTION("""COMPUTED_VALUE"""),"格納済み")</f>
        <v>格納済み</v>
      </c>
      <c r="U4499" s="9" t="str">
        <f>IFERROR(__xludf.DUMMYFUNCTION("""COMPUTED_VALUE"""),"Ⓒ冴島ユカ子/あさの紅茶/ファンギルド")</f>
        <v>Ⓒ冴島ユカ子/あさの紅茶/ファンギルド</v>
      </c>
      <c r="V4499" s="8"/>
      <c r="W4499" s="8"/>
      <c r="X4499" s="8" t="str">
        <f>IFERROR(__xludf.DUMMYFUNCTION("""COMPUTED_VALUE"""),"有")</f>
        <v>有</v>
      </c>
      <c r="Y4499" s="8" t="str">
        <f>IFERROR(__xludf.DUMMYFUNCTION("""COMPUTED_VALUE"""),"2026/2/24まで1巻無料")</f>
        <v>2026/2/24まで1巻無料</v>
      </c>
      <c r="Z4499" s="7"/>
      <c r="AA4499" s="7"/>
      <c r="AB4499" s="7"/>
    </row>
    <row r="4500" ht="15.75" customHeight="1">
      <c r="A4500" s="26">
        <f>IFERROR(__xludf.DUMMYFUNCTION("""COMPUTED_VALUE"""),7127.0)</f>
        <v>7127</v>
      </c>
      <c r="B4500" s="22" t="str">
        <f>IFERROR(__xludf.DUMMYFUNCTION("""COMPUTED_VALUE"""),"確定")</f>
        <v>確定</v>
      </c>
      <c r="C4500" s="28">
        <f>IFERROR(__xludf.DUMMYFUNCTION("""COMPUTED_VALUE"""),46016.0)</f>
        <v>46016</v>
      </c>
      <c r="D4500" s="28">
        <f>IFERROR(__xludf.DUMMYFUNCTION("""COMPUTED_VALUE"""),46028.0)</f>
        <v>46028</v>
      </c>
      <c r="E4500" s="26">
        <f>IFERROR(__xludf.DUMMYFUNCTION("""COMPUTED_VALUE"""),348783.0)</f>
        <v>348783</v>
      </c>
      <c r="F4500" s="22" t="str">
        <f>IFERROR(__xludf.DUMMYFUNCTION("""COMPUTED_VALUE"""),"友達以上、恋人未満になった夜")</f>
        <v>友達以上、恋人未満になった夜</v>
      </c>
      <c r="G4500" s="20" t="str">
        <f>IFERROR(__xludf.DUMMYFUNCTION("""COMPUTED_VALUE"""),"1～3")</f>
        <v>1～3</v>
      </c>
      <c r="H4500" s="22" t="str">
        <f>IFERROR(__xludf.DUMMYFUNCTION("""COMPUTED_VALUE"""),"鷹野カノ/橘しづき")</f>
        <v>鷹野カノ/橘しづき</v>
      </c>
      <c r="I4500" s="22" t="str">
        <f>IFERROR(__xludf.DUMMYFUNCTION("""COMPUTED_VALUE"""),"女性")</f>
        <v>女性</v>
      </c>
      <c r="J4500" s="22"/>
      <c r="K4500" s="22"/>
      <c r="L4500" s="22" t="str">
        <f>IFERROR(__xludf.DUMMYFUNCTION("""COMPUTED_VALUE"""),"ファンギルド")</f>
        <v>ファンギルド</v>
      </c>
      <c r="M4500" s="33">
        <f>IFERROR(__xludf.DUMMYFUNCTION("""COMPUTED_VALUE"""),46078.0)</f>
        <v>46078</v>
      </c>
      <c r="N4500" s="33">
        <f>IFERROR(__xludf.DUMMYFUNCTION("""COMPUTED_VALUE"""),46105.0)</f>
        <v>46105</v>
      </c>
      <c r="O4500" s="20"/>
      <c r="P4500" s="32" t="str">
        <f>IFERROR(__xludf.DUMMYFUNCTION("""COMPUTED_VALUE"""),"可")</f>
        <v>可</v>
      </c>
      <c r="Q4500" s="30"/>
      <c r="R4500" s="22"/>
      <c r="S4500" s="22" t="str">
        <f>IFERROR(__xludf.DUMMYFUNCTION("""COMPUTED_VALUE"""),"20251225_ファンギルド_友達以上、恋人未満になった夜")</f>
        <v>20251225_ファンギルド_友達以上、恋人未満になった夜</v>
      </c>
      <c r="T4500" s="22" t="str">
        <f>IFERROR(__xludf.DUMMYFUNCTION("""COMPUTED_VALUE"""),"格納済み")</f>
        <v>格納済み</v>
      </c>
      <c r="U4500" s="9" t="str">
        <f>IFERROR(__xludf.DUMMYFUNCTION("""COMPUTED_VALUE"""),"Ⓒ鷹野カノ/橘しづき/ファンギルド")</f>
        <v>Ⓒ鷹野カノ/橘しづき/ファンギルド</v>
      </c>
      <c r="V4500" s="8"/>
      <c r="W4500" s="8"/>
      <c r="X4500" s="8" t="str">
        <f>IFERROR(__xludf.DUMMYFUNCTION("""COMPUTED_VALUE"""),"有")</f>
        <v>有</v>
      </c>
      <c r="Y4500" s="8" t="str">
        <f>IFERROR(__xludf.DUMMYFUNCTION("""COMPUTED_VALUE"""),"2026/3/10まで1巻無料")</f>
        <v>2026/3/10まで1巻無料</v>
      </c>
      <c r="Z4500" s="7"/>
      <c r="AA4500" s="7"/>
      <c r="AB4500" s="7"/>
    </row>
    <row r="4501" ht="15.75" customHeight="1">
      <c r="A4501" s="26">
        <f>IFERROR(__xludf.DUMMYFUNCTION("""COMPUTED_VALUE"""),7128.0)</f>
        <v>7128</v>
      </c>
      <c r="B4501" s="22" t="str">
        <f>IFERROR(__xludf.DUMMYFUNCTION("""COMPUTED_VALUE"""),"確定")</f>
        <v>確定</v>
      </c>
      <c r="C4501" s="28">
        <f>IFERROR(__xludf.DUMMYFUNCTION("""COMPUTED_VALUE"""),46016.0)</f>
        <v>46016</v>
      </c>
      <c r="D4501" s="28">
        <f>IFERROR(__xludf.DUMMYFUNCTION("""COMPUTED_VALUE"""),46028.0)</f>
        <v>46028</v>
      </c>
      <c r="E4501" s="26">
        <f>IFERROR(__xludf.DUMMYFUNCTION("""COMPUTED_VALUE"""),348784.0)</f>
        <v>348784</v>
      </c>
      <c r="F4501" s="22" t="str">
        <f>IFERROR(__xludf.DUMMYFUNCTION("""COMPUTED_VALUE"""),"君に名前を呼ばれるだけで勃起する呪いをかけられた～因縁騎士の隠れ重甘に溺れていく")</f>
        <v>君に名前を呼ばれるだけで勃起する呪いをかけられた～因縁騎士の隠れ重甘に溺れていく</v>
      </c>
      <c r="G4501" s="20" t="str">
        <f>IFERROR(__xludf.DUMMYFUNCTION("""COMPUTED_VALUE"""),"1～3")</f>
        <v>1～3</v>
      </c>
      <c r="H4501" s="22" t="str">
        <f>IFERROR(__xludf.DUMMYFUNCTION("""COMPUTED_VALUE"""),"七海かずさ/浅岸久")</f>
        <v>七海かずさ/浅岸久</v>
      </c>
      <c r="I4501" s="22" t="str">
        <f>IFERROR(__xludf.DUMMYFUNCTION("""COMPUTED_VALUE"""),"TL")</f>
        <v>TL</v>
      </c>
      <c r="J4501" s="22"/>
      <c r="K4501" s="22" t="str">
        <f>IFERROR(__xludf.DUMMYFUNCTION("""COMPUTED_VALUE"""),"ラブきゅんコミック")</f>
        <v>ラブきゅんコミック</v>
      </c>
      <c r="L4501" s="22" t="str">
        <f>IFERROR(__xludf.DUMMYFUNCTION("""COMPUTED_VALUE"""),"モバイルメディアリサーチ")</f>
        <v>モバイルメディアリサーチ</v>
      </c>
      <c r="M4501" s="33">
        <f>IFERROR(__xludf.DUMMYFUNCTION("""COMPUTED_VALUE"""),46074.0)</f>
        <v>46074</v>
      </c>
      <c r="N4501" s="33">
        <f>IFERROR(__xludf.DUMMYFUNCTION("""COMPUTED_VALUE"""),46101.0)</f>
        <v>46101</v>
      </c>
      <c r="O4501" s="20"/>
      <c r="P4501" s="32" t="str">
        <f>IFERROR(__xludf.DUMMYFUNCTION("""COMPUTED_VALUE"""),"可")</f>
        <v>可</v>
      </c>
      <c r="Q4501" s="30" t="str">
        <f>IFERROR(__xludf.DUMMYFUNCTION("""COMPUTED_VALUE"""),"【アダルト作品扱い】")</f>
        <v>【アダルト作品扱い】</v>
      </c>
      <c r="R4501" s="22"/>
      <c r="S4501" s="22" t="str">
        <f>IFERROR(__xludf.DUMMYFUNCTION("""COMPUTED_VALUE"""),"20251225_ファンギルド_君に名前を呼ばれるだけで勃起する呪いをかけられた～因縁騎士の隠れ重甘に溺れていく")</f>
        <v>20251225_ファンギルド_君に名前を呼ばれるだけで勃起する呪いをかけられた～因縁騎士の隠れ重甘に溺れていく</v>
      </c>
      <c r="T4501" s="22" t="str">
        <f>IFERROR(__xludf.DUMMYFUNCTION("""COMPUTED_VALUE"""),"格納済み")</f>
        <v>格納済み</v>
      </c>
      <c r="U4501" s="9" t="str">
        <f>IFERROR(__xludf.DUMMYFUNCTION("""COMPUTED_VALUE"""),"Ⓒ七海かずさ/浅岸久/モバイルメディアリサーチ")</f>
        <v>Ⓒ七海かずさ/浅岸久/モバイルメディアリサーチ</v>
      </c>
      <c r="V4501" s="8"/>
      <c r="W4501" s="8"/>
      <c r="X4501" s="8" t="str">
        <f>IFERROR(__xludf.DUMMYFUNCTION("""COMPUTED_VALUE"""),"有")</f>
        <v>有</v>
      </c>
      <c r="Y4501" s="8" t="str">
        <f>IFERROR(__xludf.DUMMYFUNCTION("""COMPUTED_VALUE"""),"2026/3/20まで1巻無料")</f>
        <v>2026/3/20まで1巻無料</v>
      </c>
      <c r="Z4501" s="7"/>
      <c r="AA4501" s="7"/>
      <c r="AB4501" s="7"/>
    </row>
    <row r="4502" ht="15.75" customHeight="1">
      <c r="A4502" s="26">
        <f>IFERROR(__xludf.DUMMYFUNCTION("""COMPUTED_VALUE"""),7129.0)</f>
        <v>7129</v>
      </c>
      <c r="B4502" s="22" t="str">
        <f>IFERROR(__xludf.DUMMYFUNCTION("""COMPUTED_VALUE"""),"確定")</f>
        <v>確定</v>
      </c>
      <c r="C4502" s="28">
        <f>IFERROR(__xludf.DUMMYFUNCTION("""COMPUTED_VALUE"""),46016.0)</f>
        <v>46016</v>
      </c>
      <c r="D4502" s="28">
        <f>IFERROR(__xludf.DUMMYFUNCTION("""COMPUTED_VALUE"""),46017.0)</f>
        <v>46017</v>
      </c>
      <c r="E4502" s="26">
        <f>IFERROR(__xludf.DUMMYFUNCTION("""COMPUTED_VALUE"""),348778.0)</f>
        <v>348778</v>
      </c>
      <c r="F4502" s="22" t="str">
        <f>IFERROR(__xludf.DUMMYFUNCTION("""COMPUTED_VALUE"""),"未来さんを知りたい")</f>
        <v>未来さんを知りたい</v>
      </c>
      <c r="G4502" s="20" t="str">
        <f>IFERROR(__xludf.DUMMYFUNCTION("""COMPUTED_VALUE"""),"1～3")</f>
        <v>1～3</v>
      </c>
      <c r="H4502" s="22" t="str">
        <f>IFERROR(__xludf.DUMMYFUNCTION("""COMPUTED_VALUE"""),"Frate")</f>
        <v>Frate</v>
      </c>
      <c r="I4502" s="22" t="str">
        <f>IFERROR(__xludf.DUMMYFUNCTION("""COMPUTED_VALUE"""),"アダルトマンガ")</f>
        <v>アダルトマンガ</v>
      </c>
      <c r="J4502" s="22"/>
      <c r="K4502" s="22"/>
      <c r="L4502" s="22" t="str">
        <f>IFERROR(__xludf.DUMMYFUNCTION("""COMPUTED_VALUE"""),"Rush!")</f>
        <v>Rush!</v>
      </c>
      <c r="M4502" s="33">
        <f>IFERROR(__xludf.DUMMYFUNCTION("""COMPUTED_VALUE"""),46071.0)</f>
        <v>46071</v>
      </c>
      <c r="N4502" s="33">
        <f>IFERROR(__xludf.DUMMYFUNCTION("""COMPUTED_VALUE"""),46098.0)</f>
        <v>46098</v>
      </c>
      <c r="O4502" s="20"/>
      <c r="P4502" s="32" t="str">
        <f>IFERROR(__xludf.DUMMYFUNCTION("""COMPUTED_VALUE"""),"可")</f>
        <v>可</v>
      </c>
      <c r="Q4502" s="30"/>
      <c r="R4502" s="22"/>
      <c r="S4502" s="22" t="str">
        <f>IFERROR(__xludf.DUMMYFUNCTION("""COMPUTED_VALUE"""),"20251225_ファンギルド_未来さんを知りたい")</f>
        <v>20251225_ファンギルド_未来さんを知りたい</v>
      </c>
      <c r="T4502" s="22" t="str">
        <f>IFERROR(__xludf.DUMMYFUNCTION("""COMPUTED_VALUE"""),"格納済み")</f>
        <v>格納済み</v>
      </c>
      <c r="U4502" s="9" t="str">
        <f>IFERROR(__xludf.DUMMYFUNCTION("""COMPUTED_VALUE"""),"ⒸFrate/Toomics")</f>
        <v>ⒸFrate/Toomics</v>
      </c>
      <c r="V4502" s="8"/>
      <c r="W4502" s="8"/>
      <c r="X4502" s="8" t="str">
        <f>IFERROR(__xludf.DUMMYFUNCTION("""COMPUTED_VALUE"""),"有")</f>
        <v>有</v>
      </c>
      <c r="Y4502" s="8" t="str">
        <f>IFERROR(__xludf.DUMMYFUNCTION("""COMPUTED_VALUE"""),"2026/3/3まで1巻無料")</f>
        <v>2026/3/3まで1巻無料</v>
      </c>
      <c r="Z4502" s="7"/>
      <c r="AA4502" s="7"/>
      <c r="AB4502" s="7"/>
    </row>
    <row r="4503" ht="15.75" customHeight="1">
      <c r="A4503" s="26">
        <f>IFERROR(__xludf.DUMMYFUNCTION("""COMPUTED_VALUE"""),7130.0)</f>
        <v>7130</v>
      </c>
      <c r="B4503" s="22" t="str">
        <f>IFERROR(__xludf.DUMMYFUNCTION("""COMPUTED_VALUE"""),"確定")</f>
        <v>確定</v>
      </c>
      <c r="C4503" s="28">
        <f>IFERROR(__xludf.DUMMYFUNCTION("""COMPUTED_VALUE"""),46016.0)</f>
        <v>46016</v>
      </c>
      <c r="D4503" s="28">
        <f>IFERROR(__xludf.DUMMYFUNCTION("""COMPUTED_VALUE"""),46017.0)</f>
        <v>46017</v>
      </c>
      <c r="E4503" s="26">
        <f>IFERROR(__xludf.DUMMYFUNCTION("""COMPUTED_VALUE"""),349064.0)</f>
        <v>349064</v>
      </c>
      <c r="F4503" s="22" t="str">
        <f>IFERROR(__xludf.DUMMYFUNCTION("""COMPUTED_VALUE"""),"険しいです、佐伯さん！")</f>
        <v>険しいです、佐伯さん！</v>
      </c>
      <c r="G4503" s="20">
        <f>IFERROR(__xludf.DUMMYFUNCTION("""COMPUTED_VALUE"""),1.0)</f>
        <v>1</v>
      </c>
      <c r="H4503" s="22" t="str">
        <f>IFERROR(__xludf.DUMMYFUNCTION("""COMPUTED_VALUE"""),"天谷月乃")</f>
        <v>天谷月乃</v>
      </c>
      <c r="I4503" s="22" t="str">
        <f>IFERROR(__xludf.DUMMYFUNCTION("""COMPUTED_VALUE"""),"女性")</f>
        <v>女性</v>
      </c>
      <c r="J4503" s="22"/>
      <c r="K4503" s="22"/>
      <c r="L4503" s="22" t="str">
        <f>IFERROR(__xludf.DUMMYFUNCTION("""COMPUTED_VALUE"""),"集英社")</f>
        <v>集英社</v>
      </c>
      <c r="M4503" s="33">
        <f>IFERROR(__xludf.DUMMYFUNCTION("""COMPUTED_VALUE"""),46047.0)</f>
        <v>46047</v>
      </c>
      <c r="N4503" s="33">
        <f>IFERROR(__xludf.DUMMYFUNCTION("""COMPUTED_VALUE"""),46077.0)</f>
        <v>46077</v>
      </c>
      <c r="O4503" s="20"/>
      <c r="P4503" s="32" t="str">
        <f>IFERROR(__xludf.DUMMYFUNCTION("""COMPUTED_VALUE"""),"否")</f>
        <v>否</v>
      </c>
      <c r="Q4503" s="30"/>
      <c r="R4503" s="22"/>
      <c r="S4503" s="22" t="str">
        <f>IFERROR(__xludf.DUMMYFUNCTION("""COMPUTED_VALUE"""),"20251225_集英社_険しいです、佐伯さん！")</f>
        <v>20251225_集英社_険しいです、佐伯さん！</v>
      </c>
      <c r="T4503" s="22" t="str">
        <f>IFERROR(__xludf.DUMMYFUNCTION("""COMPUTED_VALUE"""),"格納済み")</f>
        <v>格納済み</v>
      </c>
      <c r="U4503" s="9" t="str">
        <f>IFERROR(__xludf.DUMMYFUNCTION("""COMPUTED_VALUE"""),"(C)天谷月乃／集英社")</f>
        <v>(C)天谷月乃／集英社</v>
      </c>
      <c r="V4503" s="8"/>
      <c r="W4503" s="8"/>
      <c r="X4503" s="8" t="str">
        <f>IFERROR(__xludf.DUMMYFUNCTION("""COMPUTED_VALUE"""),"有")</f>
        <v>有</v>
      </c>
      <c r="Y4503" s="8" t="str">
        <f>IFERROR(__xludf.DUMMYFUNCTION("""COMPUTED_VALUE"""),"P5まで")</f>
        <v>P5まで</v>
      </c>
      <c r="Z4503" s="7"/>
      <c r="AA4503" s="7"/>
      <c r="AB4503" s="7"/>
    </row>
    <row r="4504" ht="15.75" customHeight="1">
      <c r="A4504" s="26">
        <f>IFERROR(__xludf.DUMMYFUNCTION("""COMPUTED_VALUE"""),7131.0)</f>
        <v>7131</v>
      </c>
      <c r="B4504" s="22" t="str">
        <f>IFERROR(__xludf.DUMMYFUNCTION("""COMPUTED_VALUE"""),"確定")</f>
        <v>確定</v>
      </c>
      <c r="C4504" s="28">
        <f>IFERROR(__xludf.DUMMYFUNCTION("""COMPUTED_VALUE"""),46016.0)</f>
        <v>46016</v>
      </c>
      <c r="D4504" s="28">
        <f>IFERROR(__xludf.DUMMYFUNCTION("""COMPUTED_VALUE"""),46017.0)</f>
        <v>46017</v>
      </c>
      <c r="E4504" s="26">
        <f>IFERROR(__xludf.DUMMYFUNCTION("""COMPUTED_VALUE"""),348321.0)</f>
        <v>348321</v>
      </c>
      <c r="F4504" s="22" t="str">
        <f>IFERROR(__xludf.DUMMYFUNCTION("""COMPUTED_VALUE"""),"恋煩いとはらぺこ")</f>
        <v>恋煩いとはらぺこ</v>
      </c>
      <c r="G4504" s="20" t="str">
        <f>IFERROR(__xludf.DUMMYFUNCTION("""COMPUTED_VALUE"""),"1～4")</f>
        <v>1～4</v>
      </c>
      <c r="H4504" s="22" t="str">
        <f>IFERROR(__xludf.DUMMYFUNCTION("""COMPUTED_VALUE"""),"朝戸ひるね")</f>
        <v>朝戸ひるね</v>
      </c>
      <c r="I4504" s="22" t="str">
        <f>IFERROR(__xludf.DUMMYFUNCTION("""COMPUTED_VALUE"""),"BL")</f>
        <v>BL</v>
      </c>
      <c r="J4504" s="22"/>
      <c r="K4504" s="22"/>
      <c r="L4504" s="22" t="str">
        <f>IFERROR(__xludf.DUMMYFUNCTION("""COMPUTED_VALUE"""),"集英社")</f>
        <v>集英社</v>
      </c>
      <c r="M4504" s="33">
        <f>IFERROR(__xludf.DUMMYFUNCTION("""COMPUTED_VALUE"""),46047.0)</f>
        <v>46047</v>
      </c>
      <c r="N4504" s="33">
        <f>IFERROR(__xludf.DUMMYFUNCTION("""COMPUTED_VALUE"""),46077.0)</f>
        <v>46077</v>
      </c>
      <c r="O4504" s="20"/>
      <c r="P4504" s="32" t="str">
        <f>IFERROR(__xludf.DUMMYFUNCTION("""COMPUTED_VALUE"""),"否")</f>
        <v>否</v>
      </c>
      <c r="Q4504" s="30"/>
      <c r="R4504" s="22"/>
      <c r="S4504" s="22" t="str">
        <f>IFERROR(__xludf.DUMMYFUNCTION("""COMPUTED_VALUE"""),"20251225_集英社_恋煩いとはらぺこ")</f>
        <v>20251225_集英社_恋煩いとはらぺこ</v>
      </c>
      <c r="T4504" s="22" t="str">
        <f>IFERROR(__xludf.DUMMYFUNCTION("""COMPUTED_VALUE"""),"格納済み")</f>
        <v>格納済み</v>
      </c>
      <c r="U4504" s="9" t="str">
        <f>IFERROR(__xludf.DUMMYFUNCTION("""COMPUTED_VALUE"""),"（C）朝戸ひるね／集英社")</f>
        <v>（C）朝戸ひるね／集英社</v>
      </c>
      <c r="V4504" s="8"/>
      <c r="W4504" s="8"/>
      <c r="X4504" s="8" t="str">
        <f>IFERROR(__xludf.DUMMYFUNCTION("""COMPUTED_VALUE"""),"有")</f>
        <v>有</v>
      </c>
      <c r="Y4504" s="8" t="str">
        <f>IFERROR(__xludf.DUMMYFUNCTION("""COMPUTED_VALUE"""),"2026/2/24まで1巻無料")</f>
        <v>2026/2/24まで1巻無料</v>
      </c>
      <c r="Z4504" s="7"/>
      <c r="AA4504" s="7"/>
      <c r="AB4504" s="7"/>
    </row>
    <row r="4505" ht="15.75" customHeight="1">
      <c r="A4505" s="26">
        <f>IFERROR(__xludf.DUMMYFUNCTION("""COMPUTED_VALUE"""),7139.0)</f>
        <v>7139</v>
      </c>
      <c r="B4505" s="22" t="str">
        <f>IFERROR(__xludf.DUMMYFUNCTION("""COMPUTED_VALUE"""),"確定")</f>
        <v>確定</v>
      </c>
      <c r="C4505" s="28">
        <f>IFERROR(__xludf.DUMMYFUNCTION("""COMPUTED_VALUE"""),46017.0)</f>
        <v>46017</v>
      </c>
      <c r="D4505" s="28">
        <f>IFERROR(__xludf.DUMMYFUNCTION("""COMPUTED_VALUE"""),46017.0)</f>
        <v>46017</v>
      </c>
      <c r="E4505" s="26">
        <f>IFERROR(__xludf.DUMMYFUNCTION("""COMPUTED_VALUE"""),285514.0)</f>
        <v>285514</v>
      </c>
      <c r="F4505" s="22" t="str">
        <f>IFERROR(__xludf.DUMMYFUNCTION("""COMPUTED_VALUE"""),"呪われた花嫁は嘘をつく")</f>
        <v>呪われた花嫁は嘘をつく</v>
      </c>
      <c r="G4505" s="20" t="str">
        <f>IFERROR(__xludf.DUMMYFUNCTION("""COMPUTED_VALUE"""),"1～3")</f>
        <v>1～3</v>
      </c>
      <c r="H4505" s="22" t="str">
        <f>IFERROR(__xludf.DUMMYFUNCTION("""COMPUTED_VALUE"""),"北沢旭")</f>
        <v>北沢旭</v>
      </c>
      <c r="I4505" s="22" t="str">
        <f>IFERROR(__xludf.DUMMYFUNCTION("""COMPUTED_VALUE"""),"少女マンガ")</f>
        <v>少女マンガ</v>
      </c>
      <c r="J4505" s="22"/>
      <c r="K4505" s="22" t="str">
        <f>IFERROR(__xludf.DUMMYFUNCTION("""COMPUTED_VALUE"""),"トレモア・ロマンス,トレモアcollection")</f>
        <v>トレモア・ロマンス,トレモアcollection</v>
      </c>
      <c r="L4505" s="22" t="str">
        <f>IFERROR(__xludf.DUMMYFUNCTION("""COMPUTED_VALUE"""),"シーモアコミックス（トレモア）")</f>
        <v>シーモアコミックス（トレモア）</v>
      </c>
      <c r="M4505" s="33">
        <f>IFERROR(__xludf.DUMMYFUNCTION("""COMPUTED_VALUE"""),46059.0)</f>
        <v>46059</v>
      </c>
      <c r="N4505" s="33">
        <f>IFERROR(__xludf.DUMMYFUNCTION("""COMPUTED_VALUE"""),2958465.0)</f>
        <v>2958465</v>
      </c>
      <c r="O4505" s="20"/>
      <c r="P4505" s="32" t="str">
        <f>IFERROR(__xludf.DUMMYFUNCTION("""COMPUTED_VALUE"""),"可")</f>
        <v>可</v>
      </c>
      <c r="Q4505" s="30"/>
      <c r="R4505" s="22"/>
      <c r="S4505" s="22" t="str">
        <f>IFERROR(__xludf.DUMMYFUNCTION("""COMPUTED_VALUE"""),"20251226_シーモアコミックス_呪われた花嫁は嘘をつく")</f>
        <v>20251226_シーモアコミックス_呪われた花嫁は嘘をつく</v>
      </c>
      <c r="T4505" s="22" t="str">
        <f>IFERROR(__xludf.DUMMYFUNCTION("""COMPUTED_VALUE"""),"格納済み")</f>
        <v>格納済み</v>
      </c>
      <c r="U4505" s="9" t="str">
        <f>IFERROR(__xludf.DUMMYFUNCTION("""COMPUTED_VALUE"""),"(C) 北沢旭/シーモアコミックス")</f>
        <v>(C) 北沢旭/シーモアコミックス</v>
      </c>
      <c r="V4505" s="8"/>
      <c r="W4505" s="8"/>
      <c r="X4505" s="8" t="str">
        <f>IFERROR(__xludf.DUMMYFUNCTION("""COMPUTED_VALUE"""),"有")</f>
        <v>有</v>
      </c>
      <c r="Y4505" s="8" t="str">
        <f>IFERROR(__xludf.DUMMYFUNCTION("""COMPUTED_VALUE"""),"P8まで")</f>
        <v>P8まで</v>
      </c>
      <c r="Z4505" s="7"/>
      <c r="AA4505" s="7"/>
      <c r="AB4505" s="7"/>
    </row>
    <row r="4506" ht="15.75" customHeight="1">
      <c r="A4506" s="26">
        <f>IFERROR(__xludf.DUMMYFUNCTION("""COMPUTED_VALUE"""),7141.0)</f>
        <v>7141</v>
      </c>
      <c r="B4506" s="22" t="str">
        <f>IFERROR(__xludf.DUMMYFUNCTION("""COMPUTED_VALUE"""),"確定")</f>
        <v>確定</v>
      </c>
      <c r="C4506" s="28">
        <f>IFERROR(__xludf.DUMMYFUNCTION("""COMPUTED_VALUE"""),46017.0)</f>
        <v>46017</v>
      </c>
      <c r="D4506" s="28">
        <f>IFERROR(__xludf.DUMMYFUNCTION("""COMPUTED_VALUE"""),46017.0)</f>
        <v>46017</v>
      </c>
      <c r="E4506" s="26">
        <f>IFERROR(__xludf.DUMMYFUNCTION("""COMPUTED_VALUE"""),316564.0)</f>
        <v>316564</v>
      </c>
      <c r="F4506" s="22" t="str">
        <f>IFERROR(__xludf.DUMMYFUNCTION("""COMPUTED_VALUE"""),"神命司卿の残酷な契り")</f>
        <v>神命司卿の残酷な契り</v>
      </c>
      <c r="G4506" s="20" t="str">
        <f>IFERROR(__xludf.DUMMYFUNCTION("""COMPUTED_VALUE"""),"1～3")</f>
        <v>1～3</v>
      </c>
      <c r="H4506" s="22" t="str">
        <f>IFERROR(__xludf.DUMMYFUNCTION("""COMPUTED_VALUE"""),"ひなたみわ,木根渕晴王")</f>
        <v>ひなたみわ,木根渕晴王</v>
      </c>
      <c r="I4506" s="22" t="str">
        <f>IFERROR(__xludf.DUMMYFUNCTION("""COMPUTED_VALUE"""),"少女マンガ")</f>
        <v>少女マンガ</v>
      </c>
      <c r="J4506" s="22"/>
      <c r="K4506" s="22" t="str">
        <f>IFERROR(__xludf.DUMMYFUNCTION("""COMPUTED_VALUE"""),"トレモア・ロマンス,トレモアcollection")</f>
        <v>トレモア・ロマンス,トレモアcollection</v>
      </c>
      <c r="L4506" s="22" t="str">
        <f>IFERROR(__xludf.DUMMYFUNCTION("""COMPUTED_VALUE"""),"シーモアコミックス（トレモア）")</f>
        <v>シーモアコミックス（トレモア）</v>
      </c>
      <c r="M4506" s="33">
        <f>IFERROR(__xludf.DUMMYFUNCTION("""COMPUTED_VALUE"""),46059.0)</f>
        <v>46059</v>
      </c>
      <c r="N4506" s="33">
        <f>IFERROR(__xludf.DUMMYFUNCTION("""COMPUTED_VALUE"""),2958465.0)</f>
        <v>2958465</v>
      </c>
      <c r="O4506" s="20"/>
      <c r="P4506" s="32" t="str">
        <f>IFERROR(__xludf.DUMMYFUNCTION("""COMPUTED_VALUE"""),"可")</f>
        <v>可</v>
      </c>
      <c r="Q4506" s="30"/>
      <c r="R4506" s="22"/>
      <c r="S4506" s="22" t="str">
        <f>IFERROR(__xludf.DUMMYFUNCTION("""COMPUTED_VALUE"""),"20251226_シーモアコミックス_神命司卿の残酷な契り")</f>
        <v>20251226_シーモアコミックス_神命司卿の残酷な契り</v>
      </c>
      <c r="T4506" s="22" t="str">
        <f>IFERROR(__xludf.DUMMYFUNCTION("""COMPUTED_VALUE"""),"格納済み")</f>
        <v>格納済み</v>
      </c>
      <c r="U4506" s="9" t="str">
        <f>IFERROR(__xludf.DUMMYFUNCTION("""COMPUTED_VALUE"""),"(C) ひなたみわ/木根渕晴王/シーモアコミックス")</f>
        <v>(C) ひなたみわ/木根渕晴王/シーモアコミックス</v>
      </c>
      <c r="V4506" s="8"/>
      <c r="W4506" s="8"/>
      <c r="X4506" s="8" t="str">
        <f>IFERROR(__xludf.DUMMYFUNCTION("""COMPUTED_VALUE"""),"有")</f>
        <v>有</v>
      </c>
      <c r="Y4506" s="8" t="str">
        <f>IFERROR(__xludf.DUMMYFUNCTION("""COMPUTED_VALUE"""),"P4まで")</f>
        <v>P4まで</v>
      </c>
      <c r="Z4506" s="7"/>
      <c r="AA4506" s="7"/>
      <c r="AB4506" s="7"/>
    </row>
    <row r="4507" ht="15.75" customHeight="1">
      <c r="A4507" s="26">
        <f>IFERROR(__xludf.DUMMYFUNCTION("""COMPUTED_VALUE"""),7142.0)</f>
        <v>7142</v>
      </c>
      <c r="B4507" s="22" t="str">
        <f>IFERROR(__xludf.DUMMYFUNCTION("""COMPUTED_VALUE"""),"確定")</f>
        <v>確定</v>
      </c>
      <c r="C4507" s="28">
        <f>IFERROR(__xludf.DUMMYFUNCTION("""COMPUTED_VALUE"""),46017.0)</f>
        <v>46017</v>
      </c>
      <c r="D4507" s="28">
        <f>IFERROR(__xludf.DUMMYFUNCTION("""COMPUTED_VALUE"""),46017.0)</f>
        <v>46017</v>
      </c>
      <c r="E4507" s="26">
        <f>IFERROR(__xludf.DUMMYFUNCTION("""COMPUTED_VALUE"""),324460.0)</f>
        <v>324460</v>
      </c>
      <c r="F4507" s="22" t="str">
        <f>IFERROR(__xludf.DUMMYFUNCTION("""COMPUTED_VALUE"""),"穢された私が軍神に見初められた理由")</f>
        <v>穢された私が軍神に見初められた理由</v>
      </c>
      <c r="G4507" s="20" t="str">
        <f>IFERROR(__xludf.DUMMYFUNCTION("""COMPUTED_VALUE"""),"1～3")</f>
        <v>1～3</v>
      </c>
      <c r="H4507" s="22" t="str">
        <f>IFERROR(__xludf.DUMMYFUNCTION("""COMPUTED_VALUE"""),"上村秀子,天埜ありさ")</f>
        <v>上村秀子,天埜ありさ</v>
      </c>
      <c r="I4507" s="22" t="str">
        <f>IFERROR(__xludf.DUMMYFUNCTION("""COMPUTED_VALUE"""),"少女マンガ")</f>
        <v>少女マンガ</v>
      </c>
      <c r="J4507" s="22"/>
      <c r="K4507" s="22" t="str">
        <f>IFERROR(__xludf.DUMMYFUNCTION("""COMPUTED_VALUE"""),"トレモア・ロマンス,トレモアcollection")</f>
        <v>トレモア・ロマンス,トレモアcollection</v>
      </c>
      <c r="L4507" s="22" t="str">
        <f>IFERROR(__xludf.DUMMYFUNCTION("""COMPUTED_VALUE"""),"シーモアコミックス（トレモア）")</f>
        <v>シーモアコミックス（トレモア）</v>
      </c>
      <c r="M4507" s="33">
        <f>IFERROR(__xludf.DUMMYFUNCTION("""COMPUTED_VALUE"""),46059.0)</f>
        <v>46059</v>
      </c>
      <c r="N4507" s="33">
        <f>IFERROR(__xludf.DUMMYFUNCTION("""COMPUTED_VALUE"""),2958465.0)</f>
        <v>2958465</v>
      </c>
      <c r="O4507" s="20"/>
      <c r="P4507" s="32" t="str">
        <f>IFERROR(__xludf.DUMMYFUNCTION("""COMPUTED_VALUE"""),"可")</f>
        <v>可</v>
      </c>
      <c r="Q4507" s="30"/>
      <c r="R4507" s="22"/>
      <c r="S4507" s="22" t="str">
        <f>IFERROR(__xludf.DUMMYFUNCTION("""COMPUTED_VALUE"""),"20251226_シーモアコミックス_穢された私が軍神に見初められた理由")</f>
        <v>20251226_シーモアコミックス_穢された私が軍神に見初められた理由</v>
      </c>
      <c r="T4507" s="22" t="str">
        <f>IFERROR(__xludf.DUMMYFUNCTION("""COMPUTED_VALUE"""),"格納済み")</f>
        <v>格納済み</v>
      </c>
      <c r="U4507" s="9" t="str">
        <f>IFERROR(__xludf.DUMMYFUNCTION("""COMPUTED_VALUE"""),"(C) 上村秀子/天埜ありさ/シーモアコミックス")</f>
        <v>(C) 上村秀子/天埜ありさ/シーモアコミックス</v>
      </c>
      <c r="V4507" s="8"/>
      <c r="W4507" s="8"/>
      <c r="X4507" s="8" t="str">
        <f>IFERROR(__xludf.DUMMYFUNCTION("""COMPUTED_VALUE"""),"有")</f>
        <v>有</v>
      </c>
      <c r="Y4507" s="8" t="str">
        <f>IFERROR(__xludf.DUMMYFUNCTION("""COMPUTED_VALUE"""),"P16まで")</f>
        <v>P16まで</v>
      </c>
      <c r="Z4507" s="7"/>
      <c r="AA4507" s="7"/>
      <c r="AB4507" s="7"/>
    </row>
    <row r="4508" ht="15.75" customHeight="1">
      <c r="A4508" s="26">
        <f>IFERROR(__xludf.DUMMYFUNCTION("""COMPUTED_VALUE"""),7143.0)</f>
        <v>7143</v>
      </c>
      <c r="B4508" s="22" t="str">
        <f>IFERROR(__xludf.DUMMYFUNCTION("""COMPUTED_VALUE"""),"確定")</f>
        <v>確定</v>
      </c>
      <c r="C4508" s="28">
        <f>IFERROR(__xludf.DUMMYFUNCTION("""COMPUTED_VALUE"""),46017.0)</f>
        <v>46017</v>
      </c>
      <c r="D4508" s="28">
        <f>IFERROR(__xludf.DUMMYFUNCTION("""COMPUTED_VALUE"""),46017.0)</f>
        <v>46017</v>
      </c>
      <c r="E4508" s="26">
        <f>IFERROR(__xludf.DUMMYFUNCTION("""COMPUTED_VALUE"""),325160.0)</f>
        <v>325160</v>
      </c>
      <c r="F4508" s="22" t="str">
        <f>IFERROR(__xludf.DUMMYFUNCTION("""COMPUTED_VALUE"""),"妹に全てを奪われた元最高聖女は隣国の皇太子に溺愛される")</f>
        <v>妹に全てを奪われた元最高聖女は隣国の皇太子に溺愛される</v>
      </c>
      <c r="G4508" s="20" t="str">
        <f>IFERROR(__xludf.DUMMYFUNCTION("""COMPUTED_VALUE"""),"1～3")</f>
        <v>1～3</v>
      </c>
      <c r="H4508" s="22" t="str">
        <f>IFERROR(__xludf.DUMMYFUNCTION("""COMPUTED_VALUE"""),"茶賀未あと,まほりろ")</f>
        <v>茶賀未あと,まほりろ</v>
      </c>
      <c r="I4508" s="22" t="str">
        <f>IFERROR(__xludf.DUMMYFUNCTION("""COMPUTED_VALUE"""),"少女マンガ")</f>
        <v>少女マンガ</v>
      </c>
      <c r="J4508" s="22"/>
      <c r="K4508" s="22" t="str">
        <f>IFERROR(__xludf.DUMMYFUNCTION("""COMPUTED_VALUE"""),"トレモア・ロマンス,トレモアcollection")</f>
        <v>トレモア・ロマンス,トレモアcollection</v>
      </c>
      <c r="L4508" s="22" t="str">
        <f>IFERROR(__xludf.DUMMYFUNCTION("""COMPUTED_VALUE"""),"シーモアコミックス（トレモア）")</f>
        <v>シーモアコミックス（トレモア）</v>
      </c>
      <c r="M4508" s="33">
        <f>IFERROR(__xludf.DUMMYFUNCTION("""COMPUTED_VALUE"""),46059.0)</f>
        <v>46059</v>
      </c>
      <c r="N4508" s="33">
        <f>IFERROR(__xludf.DUMMYFUNCTION("""COMPUTED_VALUE"""),2958465.0)</f>
        <v>2958465</v>
      </c>
      <c r="O4508" s="20"/>
      <c r="P4508" s="32" t="str">
        <f>IFERROR(__xludf.DUMMYFUNCTION("""COMPUTED_VALUE"""),"可")</f>
        <v>可</v>
      </c>
      <c r="Q4508" s="30"/>
      <c r="R4508" s="22"/>
      <c r="S4508" s="22" t="str">
        <f>IFERROR(__xludf.DUMMYFUNCTION("""COMPUTED_VALUE"""),"20251226_シーモアコミックス_妹に全てを奪われた元最高聖女は隣国の皇太子に溺愛される")</f>
        <v>20251226_シーモアコミックス_妹に全てを奪われた元最高聖女は隣国の皇太子に溺愛される</v>
      </c>
      <c r="T4508" s="22" t="str">
        <f>IFERROR(__xludf.DUMMYFUNCTION("""COMPUTED_VALUE"""),"格納済み")</f>
        <v>格納済み</v>
      </c>
      <c r="U4508" s="9" t="str">
        <f>IFERROR(__xludf.DUMMYFUNCTION("""COMPUTED_VALUE"""),"(C) 茶賀未あと/まほりろ/シーモアコミックス")</f>
        <v>(C) 茶賀未あと/まほりろ/シーモアコミックス</v>
      </c>
      <c r="V4508" s="8"/>
      <c r="W4508" s="8"/>
      <c r="X4508" s="8" t="str">
        <f>IFERROR(__xludf.DUMMYFUNCTION("""COMPUTED_VALUE"""),"有")</f>
        <v>有</v>
      </c>
      <c r="Y4508" s="8" t="str">
        <f>IFERROR(__xludf.DUMMYFUNCTION("""COMPUTED_VALUE"""),"P13まで")</f>
        <v>P13まで</v>
      </c>
      <c r="Z4508" s="7"/>
      <c r="AA4508" s="7"/>
      <c r="AB4508" s="7"/>
    </row>
    <row r="4509" ht="15.75" customHeight="1">
      <c r="A4509" s="26">
        <f>IFERROR(__xludf.DUMMYFUNCTION("""COMPUTED_VALUE"""),7144.0)</f>
        <v>7144</v>
      </c>
      <c r="B4509" s="22" t="str">
        <f>IFERROR(__xludf.DUMMYFUNCTION("""COMPUTED_VALUE"""),"確定")</f>
        <v>確定</v>
      </c>
      <c r="C4509" s="28">
        <f>IFERROR(__xludf.DUMMYFUNCTION("""COMPUTED_VALUE"""),46017.0)</f>
        <v>46017</v>
      </c>
      <c r="D4509" s="28">
        <f>IFERROR(__xludf.DUMMYFUNCTION("""COMPUTED_VALUE"""),46028.0)</f>
        <v>46028</v>
      </c>
      <c r="E4509" s="26">
        <f>IFERROR(__xludf.DUMMYFUNCTION("""COMPUTED_VALUE"""),336945.0)</f>
        <v>336945</v>
      </c>
      <c r="F4509" s="22" t="str">
        <f>IFERROR(__xludf.DUMMYFUNCTION("""COMPUTED_VALUE"""),"麗しの貴公子は傷物令嬢だけを寵愛する")</f>
        <v>麗しの貴公子は傷物令嬢だけを寵愛する</v>
      </c>
      <c r="G4509" s="20" t="str">
        <f>IFERROR(__xludf.DUMMYFUNCTION("""COMPUTED_VALUE"""),"1～3")</f>
        <v>1～3</v>
      </c>
      <c r="H4509" s="22" t="str">
        <f>IFERROR(__xludf.DUMMYFUNCTION("""COMPUTED_VALUE"""),"まほ,小暮,ぺん太,西雲ササメ")</f>
        <v>まほ,小暮,ぺん太,西雲ササメ</v>
      </c>
      <c r="I4509" s="22" t="str">
        <f>IFERROR(__xludf.DUMMYFUNCTION("""COMPUTED_VALUE"""),"少女マンガ")</f>
        <v>少女マンガ</v>
      </c>
      <c r="J4509" s="22"/>
      <c r="K4509" s="22" t="str">
        <f>IFERROR(__xludf.DUMMYFUNCTION("""COMPUTED_VALUE"""),"トレモア・ロマンス,トレモアcollection")</f>
        <v>トレモア・ロマンス,トレモアcollection</v>
      </c>
      <c r="L4509" s="22" t="str">
        <f>IFERROR(__xludf.DUMMYFUNCTION("""COMPUTED_VALUE"""),"シーモアコミックス（トレモア）")</f>
        <v>シーモアコミックス（トレモア）</v>
      </c>
      <c r="M4509" s="33">
        <f>IFERROR(__xludf.DUMMYFUNCTION("""COMPUTED_VALUE"""),46059.0)</f>
        <v>46059</v>
      </c>
      <c r="N4509" s="33">
        <f>IFERROR(__xludf.DUMMYFUNCTION("""COMPUTED_VALUE"""),2958465.0)</f>
        <v>2958465</v>
      </c>
      <c r="O4509" s="20"/>
      <c r="P4509" s="32" t="str">
        <f>IFERROR(__xludf.DUMMYFUNCTION("""COMPUTED_VALUE"""),"可")</f>
        <v>可</v>
      </c>
      <c r="Q4509" s="30"/>
      <c r="R4509" s="22"/>
      <c r="S4509" s="22" t="str">
        <f>IFERROR(__xludf.DUMMYFUNCTION("""COMPUTED_VALUE"""),"20251226_シーモアコミックス_麗しの貴公子は傷物令嬢だけを寵愛する")</f>
        <v>20251226_シーモアコミックス_麗しの貴公子は傷物令嬢だけを寵愛する</v>
      </c>
      <c r="T4509" s="22" t="str">
        <f>IFERROR(__xludf.DUMMYFUNCTION("""COMPUTED_VALUE"""),"格納済み")</f>
        <v>格納済み</v>
      </c>
      <c r="U4509" s="9" t="str">
        <f>IFERROR(__xludf.DUMMYFUNCTION("""COMPUTED_VALUE"""),"(C) まほ/小暮/ぺん太/西雲ササメ/シーモアコミックス")</f>
        <v>(C) まほ/小暮/ぺん太/西雲ササメ/シーモアコミックス</v>
      </c>
      <c r="V4509" s="8"/>
      <c r="W4509" s="8"/>
      <c r="X4509" s="8" t="str">
        <f>IFERROR(__xludf.DUMMYFUNCTION("""COMPUTED_VALUE"""),"有")</f>
        <v>有</v>
      </c>
      <c r="Y4509" s="8" t="str">
        <f>IFERROR(__xludf.DUMMYFUNCTION("""COMPUTED_VALUE"""),"P19まで")</f>
        <v>P19まで</v>
      </c>
      <c r="Z4509" s="7"/>
      <c r="AA4509" s="7"/>
      <c r="AB4509" s="7"/>
    </row>
    <row r="4510" ht="15.75" customHeight="1">
      <c r="A4510" s="26">
        <f>IFERROR(__xludf.DUMMYFUNCTION("""COMPUTED_VALUE"""),7145.0)</f>
        <v>7145</v>
      </c>
      <c r="B4510" s="22" t="str">
        <f>IFERROR(__xludf.DUMMYFUNCTION("""COMPUTED_VALUE"""),"確定")</f>
        <v>確定</v>
      </c>
      <c r="C4510" s="28">
        <f>IFERROR(__xludf.DUMMYFUNCTION("""COMPUTED_VALUE"""),46017.0)</f>
        <v>46017</v>
      </c>
      <c r="D4510" s="28">
        <f>IFERROR(__xludf.DUMMYFUNCTION("""COMPUTED_VALUE"""),46017.0)</f>
        <v>46017</v>
      </c>
      <c r="E4510" s="26">
        <f>IFERROR(__xludf.DUMMYFUNCTION("""COMPUTED_VALUE"""),314642.0)</f>
        <v>314642</v>
      </c>
      <c r="F4510" s="22" t="str">
        <f>IFERROR(__xludf.DUMMYFUNCTION("""COMPUTED_VALUE"""),"毎日キス契約～いつわりの婚約と甘い取引～")</f>
        <v>毎日キス契約～いつわりの婚約と甘い取引～</v>
      </c>
      <c r="G4510" s="20" t="str">
        <f>IFERROR(__xludf.DUMMYFUNCTION("""COMPUTED_VALUE"""),"1～3")</f>
        <v>1～3</v>
      </c>
      <c r="H4510" s="22" t="str">
        <f>IFERROR(__xludf.DUMMYFUNCTION("""COMPUTED_VALUE"""),"桐生菜央,安城いふ")</f>
        <v>桐生菜央,安城いふ</v>
      </c>
      <c r="I4510" s="22" t="str">
        <f>IFERROR(__xludf.DUMMYFUNCTION("""COMPUTED_VALUE"""),"女性マンガ")</f>
        <v>女性マンガ</v>
      </c>
      <c r="J4510" s="22"/>
      <c r="K4510" s="22" t="str">
        <f>IFERROR(__xludf.DUMMYFUNCTION("""COMPUTED_VALUE"""),"トレモア・リアルラブ ,トレモアcollection")</f>
        <v>トレモア・リアルラブ ,トレモアcollection</v>
      </c>
      <c r="L4510" s="22" t="str">
        <f>IFERROR(__xludf.DUMMYFUNCTION("""COMPUTED_VALUE"""),"シーモアコミックス（トレモア）")</f>
        <v>シーモアコミックス（トレモア）</v>
      </c>
      <c r="M4510" s="33">
        <f>IFERROR(__xludf.DUMMYFUNCTION("""COMPUTED_VALUE"""),46031.0)</f>
        <v>46031</v>
      </c>
      <c r="N4510" s="33">
        <f>IFERROR(__xludf.DUMMYFUNCTION("""COMPUTED_VALUE"""),2958465.0)</f>
        <v>2958465</v>
      </c>
      <c r="O4510" s="20"/>
      <c r="P4510" s="32" t="str">
        <f>IFERROR(__xludf.DUMMYFUNCTION("""COMPUTED_VALUE"""),"可")</f>
        <v>可</v>
      </c>
      <c r="Q4510" s="30"/>
      <c r="R4510" s="22"/>
      <c r="S4510" s="22" t="str">
        <f>IFERROR(__xludf.DUMMYFUNCTION("""COMPUTED_VALUE"""),"20251226_シーモアコミックス_毎日キス契約～いつわりの婚約と甘い取引～")</f>
        <v>20251226_シーモアコミックス_毎日キス契約～いつわりの婚約と甘い取引～</v>
      </c>
      <c r="T4510" s="22" t="str">
        <f>IFERROR(__xludf.DUMMYFUNCTION("""COMPUTED_VALUE"""),"格納済み")</f>
        <v>格納済み</v>
      </c>
      <c r="U4510" s="9" t="str">
        <f>IFERROR(__xludf.DUMMYFUNCTION("""COMPUTED_VALUE"""),"(C) 桐生菜央/安城いふ/シーモアコミックス")</f>
        <v>(C) 桐生菜央/安城いふ/シーモアコミックス</v>
      </c>
      <c r="V4510" s="8"/>
      <c r="W4510" s="8"/>
      <c r="X4510" s="8" t="str">
        <f>IFERROR(__xludf.DUMMYFUNCTION("""COMPUTED_VALUE"""),"有")</f>
        <v>有</v>
      </c>
      <c r="Y4510" s="8" t="str">
        <f>IFERROR(__xludf.DUMMYFUNCTION("""COMPUTED_VALUE"""),"2026/12/31まで1巻無料")</f>
        <v>2026/12/31まで1巻無料</v>
      </c>
      <c r="Z4510" s="7"/>
      <c r="AA4510" s="7"/>
      <c r="AB4510" s="7"/>
    </row>
    <row r="4511" ht="15.75" customHeight="1">
      <c r="A4511" s="26">
        <f>IFERROR(__xludf.DUMMYFUNCTION("""COMPUTED_VALUE"""),7146.0)</f>
        <v>7146</v>
      </c>
      <c r="B4511" s="22" t="str">
        <f>IFERROR(__xludf.DUMMYFUNCTION("""COMPUTED_VALUE"""),"確定")</f>
        <v>確定</v>
      </c>
      <c r="C4511" s="28">
        <f>IFERROR(__xludf.DUMMYFUNCTION("""COMPUTED_VALUE"""),46017.0)</f>
        <v>46017</v>
      </c>
      <c r="D4511" s="28">
        <f>IFERROR(__xludf.DUMMYFUNCTION("""COMPUTED_VALUE"""),46028.0)</f>
        <v>46028</v>
      </c>
      <c r="E4511" s="26">
        <f>IFERROR(__xludf.DUMMYFUNCTION("""COMPUTED_VALUE"""),346997.0)</f>
        <v>346997</v>
      </c>
      <c r="F4511" s="22" t="str">
        <f>IFERROR(__xludf.DUMMYFUNCTION("""COMPUTED_VALUE"""),"泣き虫令嬢の幸福な結婚　ディナ、君の涙は全部僕のものだ")</f>
        <v>泣き虫令嬢の幸福な結婚　ディナ、君の涙は全部僕のものだ</v>
      </c>
      <c r="G4511" s="20" t="str">
        <f>IFERROR(__xludf.DUMMYFUNCTION("""COMPUTED_VALUE"""),"1～3")</f>
        <v>1～3</v>
      </c>
      <c r="H4511" s="22" t="str">
        <f>IFERROR(__xludf.DUMMYFUNCTION("""COMPUTED_VALUE"""),"ミヤケ円┴鈴木レモン")</f>
        <v>ミヤケ円┴鈴木レモン</v>
      </c>
      <c r="I4511" s="22" t="str">
        <f>IFERROR(__xludf.DUMMYFUNCTION("""COMPUTED_VALUE"""),"TL")</f>
        <v>TL</v>
      </c>
      <c r="J4511" s="22"/>
      <c r="K4511" s="22" t="str">
        <f>IFERROR(__xludf.DUMMYFUNCTION("""COMPUTED_VALUE"""),"恋愛LoveMAX")</f>
        <v>恋愛LoveMAX</v>
      </c>
      <c r="L4511" s="22" t="str">
        <f>IFERROR(__xludf.DUMMYFUNCTION("""COMPUTED_VALUE"""),"秋田書店")</f>
        <v>秋田書店</v>
      </c>
      <c r="M4511" s="33">
        <f>IFERROR(__xludf.DUMMYFUNCTION("""COMPUTED_VALUE"""),46038.0)</f>
        <v>46038</v>
      </c>
      <c r="N4511" s="33">
        <f>IFERROR(__xludf.DUMMYFUNCTION("""COMPUTED_VALUE"""),46068.0)</f>
        <v>46068</v>
      </c>
      <c r="O4511" s="20"/>
      <c r="P4511" s="32" t="str">
        <f>IFERROR(__xludf.DUMMYFUNCTION("""COMPUTED_VALUE"""),"可")</f>
        <v>可</v>
      </c>
      <c r="Q4511" s="30"/>
      <c r="R4511" s="22"/>
      <c r="S4511" s="22" t="str">
        <f>IFERROR(__xludf.DUMMYFUNCTION("""COMPUTED_VALUE"""),"20251226_秋田書店_泣き虫令嬢の幸福な結婚　ディナ、君の涙は全部僕のものだ")</f>
        <v>20251226_秋田書店_泣き虫令嬢の幸福な結婚　ディナ、君の涙は全部僕のものだ</v>
      </c>
      <c r="T4511" s="22" t="str">
        <f>IFERROR(__xludf.DUMMYFUNCTION("""COMPUTED_VALUE"""),"格納済み")</f>
        <v>格納済み</v>
      </c>
      <c r="U4511" s="9" t="str">
        <f>IFERROR(__xludf.DUMMYFUNCTION("""COMPUTED_VALUE"""),"Ⓒミヤケ円・鈴木レモン（秋田書店）")</f>
        <v>Ⓒミヤケ円・鈴木レモン（秋田書店）</v>
      </c>
      <c r="V4511" s="8"/>
      <c r="W4511" s="8"/>
      <c r="X4511" s="8" t="str">
        <f>IFERROR(__xludf.DUMMYFUNCTION("""COMPUTED_VALUE"""),"有")</f>
        <v>有</v>
      </c>
      <c r="Y4511" s="8" t="str">
        <f>IFERROR(__xludf.DUMMYFUNCTION("""COMPUTED_VALUE"""),"2026/2/15まで1巻無料")</f>
        <v>2026/2/15まで1巻無料</v>
      </c>
      <c r="Z4511" s="7"/>
      <c r="AA4511" s="7"/>
      <c r="AB4511" s="7"/>
    </row>
    <row r="4512" ht="15.75" customHeight="1">
      <c r="A4512" s="26">
        <f>IFERROR(__xludf.DUMMYFUNCTION("""COMPUTED_VALUE"""),7154.0)</f>
        <v>7154</v>
      </c>
      <c r="B4512" s="22" t="str">
        <f>IFERROR(__xludf.DUMMYFUNCTION("""COMPUTED_VALUE"""),"確定")</f>
        <v>確定</v>
      </c>
      <c r="C4512" s="28">
        <f>IFERROR(__xludf.DUMMYFUNCTION("""COMPUTED_VALUE"""),46027.0)</f>
        <v>46027</v>
      </c>
      <c r="D4512" s="28">
        <f>IFERROR(__xludf.DUMMYFUNCTION("""COMPUTED_VALUE"""),46027.0)</f>
        <v>46027</v>
      </c>
      <c r="E4512" s="26">
        <f>IFERROR(__xludf.DUMMYFUNCTION("""COMPUTED_VALUE"""),349141.0)</f>
        <v>349141</v>
      </c>
      <c r="F4512" s="22" t="str">
        <f>IFERROR(__xludf.DUMMYFUNCTION("""COMPUTED_VALUE"""),"君はいつしか毒になる　【連載版】")</f>
        <v>君はいつしか毒になる　【連載版】</v>
      </c>
      <c r="G4512" s="20" t="str">
        <f>IFERROR(__xludf.DUMMYFUNCTION("""COMPUTED_VALUE"""),"1～4")</f>
        <v>1～4</v>
      </c>
      <c r="H4512" s="22" t="str">
        <f>IFERROR(__xludf.DUMMYFUNCTION("""COMPUTED_VALUE"""),"朝賀庵")</f>
        <v>朝賀庵</v>
      </c>
      <c r="I4512" s="22" t="str">
        <f>IFERROR(__xludf.DUMMYFUNCTION("""COMPUTED_VALUE"""),"少女")</f>
        <v>少女</v>
      </c>
      <c r="J4512" s="22"/>
      <c r="K4512" s="22" t="str">
        <f>IFERROR(__xludf.DUMMYFUNCTION("""COMPUTED_VALUE"""),"ZERO-SUMコミックス")</f>
        <v>ZERO-SUMコミックス</v>
      </c>
      <c r="L4512" s="22" t="str">
        <f>IFERROR(__xludf.DUMMYFUNCTION("""COMPUTED_VALUE"""),"一迅社")</f>
        <v>一迅社</v>
      </c>
      <c r="M4512" s="33">
        <f>IFERROR(__xludf.DUMMYFUNCTION("""COMPUTED_VALUE"""),46054.0)</f>
        <v>46054</v>
      </c>
      <c r="N4512" s="33">
        <f>IFERROR(__xludf.DUMMYFUNCTION("""COMPUTED_VALUE"""),46141.66666666667)</f>
        <v>46141.66667</v>
      </c>
      <c r="O4512" s="20"/>
      <c r="P4512" s="32" t="str">
        <f>IFERROR(__xludf.DUMMYFUNCTION("""COMPUTED_VALUE"""),"否")</f>
        <v>否</v>
      </c>
      <c r="Q4512" s="30" t="str">
        <f>IFERROR(__xludf.DUMMYFUNCTION("""COMPUTED_VALUE"""),"・1~3話の素材で広告制作お願いいたします。（4話素材が1月中旬以降になるため）&lt;BR&gt;・続刊の先行期間は1ヶ月となります。&lt;BR&gt;&lt;BR&gt;")</f>
        <v>・1~3話の素材で広告制作お願いいたします。（4話素材が1月中旬以降になるため）&lt;BR&gt;・続刊の先行期間は1ヶ月となります。&lt;BR&gt;&lt;BR&gt;</v>
      </c>
      <c r="R4512" s="22" t="str">
        <f>IFERROR(__xludf.DUMMYFUNCTION("""COMPUTED_VALUE"""),"コミットOK")</f>
        <v>コミットOK</v>
      </c>
      <c r="S4512" s="22" t="str">
        <f>IFERROR(__xludf.DUMMYFUNCTION("""COMPUTED_VALUE"""),"20260105_一迅社_君はいつしか毒になる")</f>
        <v>20260105_一迅社_君はいつしか毒になる</v>
      </c>
      <c r="T4512" s="22" t="str">
        <f>IFERROR(__xludf.DUMMYFUNCTION("""COMPUTED_VALUE"""),"格納済み")</f>
        <v>格納済み</v>
      </c>
      <c r="U4512" s="9" t="str">
        <f>IFERROR(__xludf.DUMMYFUNCTION("""COMPUTED_VALUE"""),"(C)朝賀庵／一迅社")</f>
        <v>(C)朝賀庵／一迅社</v>
      </c>
      <c r="V4512" s="8"/>
      <c r="W4512" s="8"/>
      <c r="X4512" s="8" t="str">
        <f>IFERROR(__xludf.DUMMYFUNCTION("""COMPUTED_VALUE"""),"有")</f>
        <v>有</v>
      </c>
      <c r="Y4512" s="8" t="str">
        <f>IFERROR(__xludf.DUMMYFUNCTION("""COMPUTED_VALUE"""),"2026/3/31まで1巻無料")</f>
        <v>2026/3/31まで1巻無料</v>
      </c>
      <c r="Z4512" s="7"/>
      <c r="AA4512" s="7"/>
      <c r="AB4512" s="7"/>
    </row>
    <row r="4513" ht="15.75" customHeight="1">
      <c r="A4513" s="26">
        <f>IFERROR(__xludf.DUMMYFUNCTION("""COMPUTED_VALUE"""),7155.0)</f>
        <v>7155</v>
      </c>
      <c r="B4513" s="22" t="str">
        <f>IFERROR(__xludf.DUMMYFUNCTION("""COMPUTED_VALUE"""),"確定")</f>
        <v>確定</v>
      </c>
      <c r="C4513" s="28">
        <f>IFERROR(__xludf.DUMMYFUNCTION("""COMPUTED_VALUE"""),46027.0)</f>
        <v>46027</v>
      </c>
      <c r="D4513" s="28">
        <f>IFERROR(__xludf.DUMMYFUNCTION("""COMPUTED_VALUE"""),46029.0)</f>
        <v>46029</v>
      </c>
      <c r="E4513" s="26">
        <f>IFERROR(__xludf.DUMMYFUNCTION("""COMPUTED_VALUE"""),349434.0)</f>
        <v>349434</v>
      </c>
      <c r="F4513" s="22" t="str">
        <f>IFERROR(__xludf.DUMMYFUNCTION("""COMPUTED_VALUE"""),"【18禁】ミガワリ〜強気な巨乳ギャルが堕とされる罠〜")</f>
        <v>【18禁】ミガワリ〜強気な巨乳ギャルが堕とされる罠〜</v>
      </c>
      <c r="G4513" s="20">
        <f>IFERROR(__xludf.DUMMYFUNCTION("""COMPUTED_VALUE"""),1.0)</f>
        <v>1</v>
      </c>
      <c r="H4513" s="22" t="str">
        <f>IFERROR(__xludf.DUMMYFUNCTION("""COMPUTED_VALUE"""),"すまいるふぉらんかんぱにぃ。┴もえまんR")</f>
        <v>すまいるふぉらんかんぱにぃ。┴もえまんR</v>
      </c>
      <c r="I4513" s="22" t="str">
        <f>IFERROR(__xludf.DUMMYFUNCTION("""COMPUTED_VALUE"""),"アダルト")</f>
        <v>アダルト</v>
      </c>
      <c r="J4513" s="22">
        <f>IFERROR(__xludf.DUMMYFUNCTION("""COMPUTED_VALUE"""),1.0)</f>
        <v>1</v>
      </c>
      <c r="K4513" s="22"/>
      <c r="L4513" s="22" t="str">
        <f>IFERROR(__xludf.DUMMYFUNCTION("""COMPUTED_VALUE"""),"アド・グッド")</f>
        <v>アド・グッド</v>
      </c>
      <c r="M4513" s="33">
        <f>IFERROR(__xludf.DUMMYFUNCTION("""COMPUTED_VALUE"""),46079.0)</f>
        <v>46079</v>
      </c>
      <c r="N4513" s="33">
        <f>IFERROR(__xludf.DUMMYFUNCTION("""COMPUTED_VALUE"""),46142.0)</f>
        <v>46142</v>
      </c>
      <c r="O4513" s="20"/>
      <c r="P4513" s="32" t="str">
        <f>IFERROR(__xludf.DUMMYFUNCTION("""COMPUTED_VALUE"""),"可")</f>
        <v>可</v>
      </c>
      <c r="Q4513" s="30"/>
      <c r="R4513" s="22"/>
      <c r="S4513" s="22" t="str">
        <f>IFERROR(__xludf.DUMMYFUNCTION("""COMPUTED_VALUE"""),"20260105_アド・グッド_【18禁】ミガワリ〜強気な巨乳ギャルが堕とされる罠〜")</f>
        <v>20260105_アド・グッド_【18禁】ミガワリ〜強気な巨乳ギャルが堕とされる罠〜</v>
      </c>
      <c r="T4513" s="22" t="str">
        <f>IFERROR(__xludf.DUMMYFUNCTION("""COMPUTED_VALUE"""),"格納済み")</f>
        <v>格納済み</v>
      </c>
      <c r="U4513" s="9" t="str">
        <f>IFERROR(__xludf.DUMMYFUNCTION("""COMPUTED_VALUE"""),"(C)すまいるふぉらんかんぱにぃ。/もえまんR")</f>
        <v>(C)すまいるふぉらんかんぱにぃ。/もえまんR</v>
      </c>
      <c r="V4513" s="8"/>
      <c r="W4513" s="8"/>
      <c r="X4513" s="8" t="str">
        <f>IFERROR(__xludf.DUMMYFUNCTION("""COMPUTED_VALUE"""),"有")</f>
        <v>有</v>
      </c>
      <c r="Y4513" s="8" t="str">
        <f>IFERROR(__xludf.DUMMYFUNCTION("""COMPUTED_VALUE"""),"P10まで")</f>
        <v>P10まで</v>
      </c>
      <c r="Z4513" s="7"/>
      <c r="AA4513" s="7"/>
      <c r="AB4513" s="7"/>
    </row>
    <row r="4514" ht="15.75" customHeight="1">
      <c r="A4514" s="26">
        <f>IFERROR(__xludf.DUMMYFUNCTION("""COMPUTED_VALUE"""),7156.0)</f>
        <v>7156</v>
      </c>
      <c r="B4514" s="22" t="str">
        <f>IFERROR(__xludf.DUMMYFUNCTION("""COMPUTED_VALUE"""),"確定")</f>
        <v>確定</v>
      </c>
      <c r="C4514" s="28">
        <f>IFERROR(__xludf.DUMMYFUNCTION("""COMPUTED_VALUE"""),46027.0)</f>
        <v>46027</v>
      </c>
      <c r="D4514" s="28">
        <f>IFERROR(__xludf.DUMMYFUNCTION("""COMPUTED_VALUE"""),46029.0)</f>
        <v>46029</v>
      </c>
      <c r="E4514" s="26">
        <f>IFERROR(__xludf.DUMMYFUNCTION("""COMPUTED_VALUE"""),349433.0)</f>
        <v>349433</v>
      </c>
      <c r="F4514" s="22" t="str">
        <f>IFERROR(__xludf.DUMMYFUNCTION("""COMPUTED_VALUE"""),"【18禁】ミガワリ2〜堕ちた巨乳ギャルに繰り返す罠〜")</f>
        <v>【18禁】ミガワリ2〜堕ちた巨乳ギャルに繰り返す罠〜</v>
      </c>
      <c r="G4514" s="20">
        <f>IFERROR(__xludf.DUMMYFUNCTION("""COMPUTED_VALUE"""),1.0)</f>
        <v>1</v>
      </c>
      <c r="H4514" s="22" t="str">
        <f>IFERROR(__xludf.DUMMYFUNCTION("""COMPUTED_VALUE"""),"すまいるふぉらんかんぱにぃ。┴もえまんR")</f>
        <v>すまいるふぉらんかんぱにぃ。┴もえまんR</v>
      </c>
      <c r="I4514" s="22" t="str">
        <f>IFERROR(__xludf.DUMMYFUNCTION("""COMPUTED_VALUE"""),"アダルト")</f>
        <v>アダルト</v>
      </c>
      <c r="J4514" s="22">
        <f>IFERROR(__xludf.DUMMYFUNCTION("""COMPUTED_VALUE"""),1.0)</f>
        <v>1</v>
      </c>
      <c r="K4514" s="22"/>
      <c r="L4514" s="22" t="str">
        <f>IFERROR(__xludf.DUMMYFUNCTION("""COMPUTED_VALUE"""),"アド・グッド")</f>
        <v>アド・グッド</v>
      </c>
      <c r="M4514" s="33">
        <f>IFERROR(__xludf.DUMMYFUNCTION("""COMPUTED_VALUE"""),46079.0)</f>
        <v>46079</v>
      </c>
      <c r="N4514" s="33">
        <f>IFERROR(__xludf.DUMMYFUNCTION("""COMPUTED_VALUE"""),46142.0)</f>
        <v>46142</v>
      </c>
      <c r="O4514" s="20"/>
      <c r="P4514" s="32" t="str">
        <f>IFERROR(__xludf.DUMMYFUNCTION("""COMPUTED_VALUE"""),"可")</f>
        <v>可</v>
      </c>
      <c r="Q4514" s="30" t="str">
        <f>IFERROR(__xludf.DUMMYFUNCTION("""COMPUTED_VALUE"""),"【広告使用不可】16～17ページは子供とのエッチシーンがあるため広告に使用しないでください")</f>
        <v>【広告使用不可】16～17ページは子供とのエッチシーンがあるため広告に使用しないでください</v>
      </c>
      <c r="R4514" s="22"/>
      <c r="S4514" s="22" t="str">
        <f>IFERROR(__xludf.DUMMYFUNCTION("""COMPUTED_VALUE"""),"20260105_アド・グッド_【18禁】ミガワリ2〜堕ちた巨乳ギャルに繰り返す罠〜")</f>
        <v>20260105_アド・グッド_【18禁】ミガワリ2〜堕ちた巨乳ギャルに繰り返す罠〜</v>
      </c>
      <c r="T4514" s="22" t="str">
        <f>IFERROR(__xludf.DUMMYFUNCTION("""COMPUTED_VALUE"""),"格納済み")</f>
        <v>格納済み</v>
      </c>
      <c r="U4514" s="9" t="str">
        <f>IFERROR(__xludf.DUMMYFUNCTION("""COMPUTED_VALUE"""),"(C)すまいるふぉらんかんぱにぃ。/もえまんR")</f>
        <v>(C)すまいるふぉらんかんぱにぃ。/もえまんR</v>
      </c>
      <c r="V4514" s="8"/>
      <c r="W4514" s="8"/>
      <c r="X4514" s="8" t="str">
        <f>IFERROR(__xludf.DUMMYFUNCTION("""COMPUTED_VALUE"""),"有")</f>
        <v>有</v>
      </c>
      <c r="Y4514" s="8" t="str">
        <f>IFERROR(__xludf.DUMMYFUNCTION("""COMPUTED_VALUE"""),"P6まで")</f>
        <v>P6まで</v>
      </c>
      <c r="Z4514" s="7"/>
      <c r="AA4514" s="7"/>
      <c r="AB4514" s="7"/>
    </row>
    <row r="4515" ht="15.75" customHeight="1">
      <c r="A4515" s="26">
        <f>IFERROR(__xludf.DUMMYFUNCTION("""COMPUTED_VALUE"""),7165.0)</f>
        <v>7165</v>
      </c>
      <c r="B4515" s="22" t="str">
        <f>IFERROR(__xludf.DUMMYFUNCTION("""COMPUTED_VALUE"""),"確定")</f>
        <v>確定</v>
      </c>
      <c r="C4515" s="28">
        <f>IFERROR(__xludf.DUMMYFUNCTION("""COMPUTED_VALUE"""),46029.0)</f>
        <v>46029</v>
      </c>
      <c r="D4515" s="28">
        <f>IFERROR(__xludf.DUMMYFUNCTION("""COMPUTED_VALUE"""),46029.0)</f>
        <v>46029</v>
      </c>
      <c r="E4515" s="26">
        <f>IFERROR(__xludf.DUMMYFUNCTION("""COMPUTED_VALUE"""),318849.0)</f>
        <v>318849</v>
      </c>
      <c r="F4515" s="22" t="str">
        <f>IFERROR(__xludf.DUMMYFUNCTION("""COMPUTED_VALUE"""),"激重幼なじみの甘い執着")</f>
        <v>激重幼なじみの甘い執着</v>
      </c>
      <c r="G4515" s="20" t="str">
        <f>IFERROR(__xludf.DUMMYFUNCTION("""COMPUTED_VALUE"""),"1～3")</f>
        <v>1～3</v>
      </c>
      <c r="H4515" s="22" t="str">
        <f>IFERROR(__xludf.DUMMYFUNCTION("""COMPUTED_VALUE"""),"漣ライカ")</f>
        <v>漣ライカ</v>
      </c>
      <c r="I4515" s="22" t="str">
        <f>IFERROR(__xludf.DUMMYFUNCTION("""COMPUTED_VALUE"""),"女性マンガ")</f>
        <v>女性マンガ</v>
      </c>
      <c r="J4515" s="22"/>
      <c r="K4515" s="22" t="str">
        <f>IFERROR(__xludf.DUMMYFUNCTION("""COMPUTED_VALUE"""),"トレモア・リアルラブ,トレモアcollection")</f>
        <v>トレモア・リアルラブ,トレモアcollection</v>
      </c>
      <c r="L4515" s="22" t="str">
        <f>IFERROR(__xludf.DUMMYFUNCTION("""COMPUTED_VALUE"""),"シーモアコミックス（トレモア）")</f>
        <v>シーモアコミックス（トレモア）</v>
      </c>
      <c r="M4515" s="33">
        <f>IFERROR(__xludf.DUMMYFUNCTION("""COMPUTED_VALUE"""),46066.0)</f>
        <v>46066</v>
      </c>
      <c r="N4515" s="33">
        <f>IFERROR(__xludf.DUMMYFUNCTION("""COMPUTED_VALUE"""),2958465.0)</f>
        <v>2958465</v>
      </c>
      <c r="O4515" s="20"/>
      <c r="P4515" s="32" t="str">
        <f>IFERROR(__xludf.DUMMYFUNCTION("""COMPUTED_VALUE"""),"可")</f>
        <v>可</v>
      </c>
      <c r="Q4515" s="30"/>
      <c r="R4515" s="22"/>
      <c r="S4515" s="22" t="str">
        <f>IFERROR(__xludf.DUMMYFUNCTION("""COMPUTED_VALUE"""),"20260107_シーモアコミックス_激重幼なじみの甘い執着")</f>
        <v>20260107_シーモアコミックス_激重幼なじみの甘い執着</v>
      </c>
      <c r="T4515" s="22" t="str">
        <f>IFERROR(__xludf.DUMMYFUNCTION("""COMPUTED_VALUE"""),"格納済み")</f>
        <v>格納済み</v>
      </c>
      <c r="U4515" s="9" t="str">
        <f>IFERROR(__xludf.DUMMYFUNCTION("""COMPUTED_VALUE"""),"(C) 漣ライカ/シーモアコミックス")</f>
        <v>(C) 漣ライカ/シーモアコミックス</v>
      </c>
      <c r="V4515" s="8"/>
      <c r="W4515" s="8"/>
      <c r="X4515" s="8" t="str">
        <f>IFERROR(__xludf.DUMMYFUNCTION("""COMPUTED_VALUE"""),"有")</f>
        <v>有</v>
      </c>
      <c r="Y4515" s="8" t="str">
        <f>IFERROR(__xludf.DUMMYFUNCTION("""COMPUTED_VALUE"""),"2026/12/31まで1巻無料")</f>
        <v>2026/12/31まで1巻無料</v>
      </c>
      <c r="Z4515" s="7"/>
      <c r="AA4515" s="7"/>
      <c r="AB4515" s="7"/>
    </row>
    <row r="4516" ht="15.75" customHeight="1">
      <c r="A4516" s="26">
        <f>IFERROR(__xludf.DUMMYFUNCTION("""COMPUTED_VALUE"""),6699.0)</f>
        <v>6699</v>
      </c>
      <c r="B4516" s="22" t="str">
        <f>IFERROR(__xludf.DUMMYFUNCTION("""COMPUTED_VALUE"""),"確定")</f>
        <v>確定</v>
      </c>
      <c r="C4516" s="28">
        <f>IFERROR(__xludf.DUMMYFUNCTION("""COMPUTED_VALUE"""),45950.0)</f>
        <v>45950</v>
      </c>
      <c r="D4516" s="28">
        <f>IFERROR(__xludf.DUMMYFUNCTION("""COMPUTED_VALUE"""),46036.0)</f>
        <v>46036</v>
      </c>
      <c r="E4516" s="26">
        <f>IFERROR(__xludf.DUMMYFUNCTION("""COMPUTED_VALUE"""),349219.0)</f>
        <v>349219</v>
      </c>
      <c r="F4516" s="22" t="str">
        <f>IFERROR(__xludf.DUMMYFUNCTION("""COMPUTED_VALUE"""),"沼らせオトメを溺愛し尽くす俺の話。～鬼部長が注ぐ、あまくて重い蜜の夜～")</f>
        <v>沼らせオトメを溺愛し尽くす俺の話。～鬼部長が注ぐ、あまくて重い蜜の夜～</v>
      </c>
      <c r="G4516" s="20" t="str">
        <f>IFERROR(__xludf.DUMMYFUNCTION("""COMPUTED_VALUE"""),"1～3")</f>
        <v>1～3</v>
      </c>
      <c r="H4516" s="22" t="str">
        <f>IFERROR(__xludf.DUMMYFUNCTION("""COMPUTED_VALUE"""),"鈴鳴いちご")</f>
        <v>鈴鳴いちご</v>
      </c>
      <c r="I4516" s="22" t="str">
        <f>IFERROR(__xludf.DUMMYFUNCTION("""COMPUTED_VALUE"""),"TL")</f>
        <v>TL</v>
      </c>
      <c r="J4516" s="22"/>
      <c r="K4516" s="22"/>
      <c r="L4516" s="22" t="str">
        <f>IFERROR(__xludf.DUMMYFUNCTION("""COMPUTED_VALUE"""),"アイプロダクション")</f>
        <v>アイプロダクション</v>
      </c>
      <c r="M4516" s="33">
        <f>IFERROR(__xludf.DUMMYFUNCTION("""COMPUTED_VALUE"""),46066.0)</f>
        <v>46066</v>
      </c>
      <c r="N4516" s="33">
        <f>IFERROR(__xludf.DUMMYFUNCTION("""COMPUTED_VALUE"""),46124.0)</f>
        <v>46124</v>
      </c>
      <c r="O4516" s="20"/>
      <c r="P4516" s="32" t="str">
        <f>IFERROR(__xludf.DUMMYFUNCTION("""COMPUTED_VALUE"""),"可")</f>
        <v>可</v>
      </c>
      <c r="Q4516" s="30"/>
      <c r="R4516" s="22" t="str">
        <f>IFERROR(__xludf.DUMMYFUNCTION("""COMPUTED_VALUE"""),"コミットOK")</f>
        <v>コミットOK</v>
      </c>
      <c r="S4516" s="22" t="str">
        <f>IFERROR(__xludf.DUMMYFUNCTION("""COMPUTED_VALUE"""),"20260113_アイプロダクション_沼らせオトメを溺愛し尽くす俺の話。")</f>
        <v>20260113_アイプロダクション_沼らせオトメを溺愛し尽くす俺の話。</v>
      </c>
      <c r="T4516" s="22" t="str">
        <f>IFERROR(__xludf.DUMMYFUNCTION("""COMPUTED_VALUE"""),"格納済み")</f>
        <v>格納済み</v>
      </c>
      <c r="U4516" s="9" t="str">
        <f>IFERROR(__xludf.DUMMYFUNCTION("""COMPUTED_VALUE"""),"鈴鳴いちご/アイプロダクション")</f>
        <v>鈴鳴いちご/アイプロダクション</v>
      </c>
      <c r="V4516" s="8"/>
      <c r="W4516" s="8"/>
      <c r="X4516" s="8" t="str">
        <f>IFERROR(__xludf.DUMMYFUNCTION("""COMPUTED_VALUE"""),"有")</f>
        <v>有</v>
      </c>
      <c r="Y4516" s="8" t="str">
        <f>IFERROR(__xludf.DUMMYFUNCTION("""COMPUTED_VALUE"""),"P8まで")</f>
        <v>P8まで</v>
      </c>
      <c r="Z4516" s="7"/>
      <c r="AA4516" s="7"/>
      <c r="AB4516" s="7"/>
    </row>
    <row r="4517" ht="15.75" customHeight="1">
      <c r="A4517" s="26">
        <f>IFERROR(__xludf.DUMMYFUNCTION("""COMPUTED_VALUE"""),6746.0)</f>
        <v>6746</v>
      </c>
      <c r="B4517" s="22" t="str">
        <f>IFERROR(__xludf.DUMMYFUNCTION("""COMPUTED_VALUE"""),"確定")</f>
        <v>確定</v>
      </c>
      <c r="C4517" s="28">
        <f>IFERROR(__xludf.DUMMYFUNCTION("""COMPUTED_VALUE"""),45958.0)</f>
        <v>45958</v>
      </c>
      <c r="D4517" s="28">
        <f>IFERROR(__xludf.DUMMYFUNCTION("""COMPUTED_VALUE"""),46036.0)</f>
        <v>46036</v>
      </c>
      <c r="E4517" s="26">
        <f>IFERROR(__xludf.DUMMYFUNCTION("""COMPUTED_VALUE"""),349394.0)</f>
        <v>349394</v>
      </c>
      <c r="F4517" s="22" t="str">
        <f>IFERROR(__xludf.DUMMYFUNCTION("""COMPUTED_VALUE"""),"女流画家の熱情～大正ロマン譚～【単話版】")</f>
        <v>女流画家の熱情～大正ロマン譚～【単話版】</v>
      </c>
      <c r="G4517" s="20" t="str">
        <f>IFERROR(__xludf.DUMMYFUNCTION("""COMPUTED_VALUE"""),"1～5")</f>
        <v>1～5</v>
      </c>
      <c r="H4517" s="22" t="str">
        <f>IFERROR(__xludf.DUMMYFUNCTION("""COMPUTED_VALUE"""),"アテカ／COMIC ROOM")</f>
        <v>アテカ／COMIC ROOM</v>
      </c>
      <c r="I4517" s="22" t="str">
        <f>IFERROR(__xludf.DUMMYFUNCTION("""COMPUTED_VALUE"""),"女性")</f>
        <v>女性</v>
      </c>
      <c r="J4517" s="22"/>
      <c r="K4517" s="22"/>
      <c r="L4517" s="22" t="str">
        <f>IFERROR(__xludf.DUMMYFUNCTION("""COMPUTED_VALUE"""),"コミックルーム")</f>
        <v>コミックルーム</v>
      </c>
      <c r="M4517" s="33">
        <f>IFERROR(__xludf.DUMMYFUNCTION("""COMPUTED_VALUE"""),46075.0)</f>
        <v>46075</v>
      </c>
      <c r="N4517" s="33">
        <f>IFERROR(__xludf.DUMMYFUNCTION("""COMPUTED_VALUE"""),46163.0)</f>
        <v>46163</v>
      </c>
      <c r="O4517" s="20"/>
      <c r="P4517" s="32" t="str">
        <f>IFERROR(__xludf.DUMMYFUNCTION("""COMPUTED_VALUE"""),"可")</f>
        <v>可</v>
      </c>
      <c r="Q4517" s="30"/>
      <c r="R4517" s="22"/>
      <c r="S4517" s="22" t="str">
        <f>IFERROR(__xludf.DUMMYFUNCTION("""COMPUTED_VALUE"""),"20260114_コミックルーム_女流画家の熱情〜大正ロマン譚〜")</f>
        <v>20260114_コミックルーム_女流画家の熱情〜大正ロマン譚〜</v>
      </c>
      <c r="T4517" s="22" t="str">
        <f>IFERROR(__xludf.DUMMYFUNCTION("""COMPUTED_VALUE"""),"格納済み")</f>
        <v>格納済み</v>
      </c>
      <c r="U4517" s="9" t="str">
        <f>IFERROR(__xludf.DUMMYFUNCTION("""COMPUTED_VALUE"""),"(c)アテカ／COMIC ROOM")</f>
        <v>(c)アテカ／COMIC ROOM</v>
      </c>
      <c r="V4517" s="8"/>
      <c r="W4517" s="8"/>
      <c r="X4517" s="8" t="str">
        <f>IFERROR(__xludf.DUMMYFUNCTION("""COMPUTED_VALUE"""),"有")</f>
        <v>有</v>
      </c>
      <c r="Y4517" s="8" t="str">
        <f>IFERROR(__xludf.DUMMYFUNCTION("""COMPUTED_VALUE"""),"P11まで")</f>
        <v>P11まで</v>
      </c>
      <c r="Z4517" s="7"/>
      <c r="AA4517" s="7"/>
      <c r="AB4517" s="7"/>
    </row>
    <row r="4518" ht="15.75" customHeight="1">
      <c r="A4518" s="26">
        <f>IFERROR(__xludf.DUMMYFUNCTION("""COMPUTED_VALUE"""),6853.0)</f>
        <v>6853</v>
      </c>
      <c r="B4518" s="22" t="str">
        <f>IFERROR(__xludf.DUMMYFUNCTION("""COMPUTED_VALUE"""),"確定")</f>
        <v>確定</v>
      </c>
      <c r="C4518" s="28">
        <f>IFERROR(__xludf.DUMMYFUNCTION("""COMPUTED_VALUE"""),45972.0)</f>
        <v>45972</v>
      </c>
      <c r="D4518" s="28">
        <f>IFERROR(__xludf.DUMMYFUNCTION("""COMPUTED_VALUE"""),46036.0)</f>
        <v>46036</v>
      </c>
      <c r="E4518" s="26">
        <f>IFERROR(__xludf.DUMMYFUNCTION("""COMPUTED_VALUE"""),346742.0)</f>
        <v>346742</v>
      </c>
      <c r="F4518" s="22" t="str">
        <f>IFERROR(__xludf.DUMMYFUNCTION("""COMPUTED_VALUE"""),"立花家の性活～妻は夫が可愛くて仕方ない！～《Lovelicot》")</f>
        <v>立花家の性活～妻は夫が可愛くて仕方ない！～《Lovelicot》</v>
      </c>
      <c r="G4518" s="20" t="str">
        <f>IFERROR(__xludf.DUMMYFUNCTION("""COMPUTED_VALUE"""),"1～3")</f>
        <v>1～3</v>
      </c>
      <c r="H4518" s="22" t="str">
        <f>IFERROR(__xludf.DUMMYFUNCTION("""COMPUTED_VALUE"""),"丹下")</f>
        <v>丹下</v>
      </c>
      <c r="I4518" s="22" t="str">
        <f>IFERROR(__xludf.DUMMYFUNCTION("""COMPUTED_VALUE"""),"TL")</f>
        <v>TL</v>
      </c>
      <c r="J4518" s="22"/>
      <c r="K4518" s="22" t="str">
        <f>IFERROR(__xludf.DUMMYFUNCTION("""COMPUTED_VALUE"""),"Lovelicot")</f>
        <v>Lovelicot</v>
      </c>
      <c r="L4518" s="22" t="str">
        <f>IFERROR(__xludf.DUMMYFUNCTION("""COMPUTED_VALUE"""),"ガールスカウトコミックス")</f>
        <v>ガールスカウトコミックス</v>
      </c>
      <c r="M4518" s="33">
        <f>IFERROR(__xludf.DUMMYFUNCTION("""COMPUTED_VALUE"""),46056.0)</f>
        <v>46056</v>
      </c>
      <c r="N4518" s="33">
        <f>IFERROR(__xludf.DUMMYFUNCTION("""COMPUTED_VALUE"""),46144.0)</f>
        <v>46144</v>
      </c>
      <c r="O4518" s="20"/>
      <c r="P4518" s="32" t="str">
        <f>IFERROR(__xludf.DUMMYFUNCTION("""COMPUTED_VALUE"""),"可")</f>
        <v>可</v>
      </c>
      <c r="Q4518" s="30" t="str">
        <f>IFERROR(__xludf.DUMMYFUNCTION("""COMPUTED_VALUE"""),"【アダルト作品扱い】")</f>
        <v>【アダルト作品扱い】</v>
      </c>
      <c r="R4518" s="22" t="str">
        <f>IFERROR(__xludf.DUMMYFUNCTION("""COMPUTED_VALUE"""),"コミットNG")</f>
        <v>コミットNG</v>
      </c>
      <c r="S4518" s="22" t="str">
        <f>IFERROR(__xludf.DUMMYFUNCTION("""COMPUTED_VALUE"""),"20250109_ガールスカウトコミックス_立花家の性活～妻は夫が可愛くて仕方ない！～")</f>
        <v>20250109_ガールスカウトコミックス_立花家の性活～妻は夫が可愛くて仕方ない！～</v>
      </c>
      <c r="T4518" s="22" t="str">
        <f>IFERROR(__xludf.DUMMYFUNCTION("""COMPUTED_VALUE"""),"格納済み")</f>
        <v>格納済み</v>
      </c>
      <c r="U4518" s="9" t="str">
        <f>IFERROR(__xludf.DUMMYFUNCTION("""COMPUTED_VALUE"""),"(C)丹下／ガールスカウトコミックス")</f>
        <v>(C)丹下／ガールスカウトコミックス</v>
      </c>
      <c r="V4518" s="8"/>
      <c r="W4518" s="8"/>
      <c r="X4518" s="8" t="str">
        <f>IFERROR(__xludf.DUMMYFUNCTION("""COMPUTED_VALUE"""),"有")</f>
        <v>有</v>
      </c>
      <c r="Y4518" s="8" t="str">
        <f>IFERROR(__xludf.DUMMYFUNCTION("""COMPUTED_VALUE"""),"P9まで")</f>
        <v>P9まで</v>
      </c>
      <c r="Z4518" s="7"/>
      <c r="AA4518" s="7"/>
      <c r="AB4518" s="7"/>
    </row>
    <row r="4519" ht="15.75" customHeight="1">
      <c r="A4519" s="26">
        <f>IFERROR(__xludf.DUMMYFUNCTION("""COMPUTED_VALUE"""),6916.0)</f>
        <v>6916</v>
      </c>
      <c r="B4519" s="22" t="str">
        <f>IFERROR(__xludf.DUMMYFUNCTION("""COMPUTED_VALUE"""),"確定")</f>
        <v>確定</v>
      </c>
      <c r="C4519" s="28">
        <f>IFERROR(__xludf.DUMMYFUNCTION("""COMPUTED_VALUE"""),45981.0)</f>
        <v>45981</v>
      </c>
      <c r="D4519" s="28">
        <f>IFERROR(__xludf.DUMMYFUNCTION("""COMPUTED_VALUE"""),46031.0)</f>
        <v>46031</v>
      </c>
      <c r="E4519" s="26">
        <f>IFERROR(__xludf.DUMMYFUNCTION("""COMPUTED_VALUE"""),350863.0)</f>
        <v>350863</v>
      </c>
      <c r="F4519" s="22" t="str">
        <f>IFERROR(__xludf.DUMMYFUNCTION("""COMPUTED_VALUE"""),"負けヒロインですが結婚します～この中に私の夫がいる!?～【マイクロ】")</f>
        <v>負けヒロインですが結婚します～この中に私の夫がいる!?～【マイクロ】</v>
      </c>
      <c r="G4519" s="20" t="str">
        <f>IFERROR(__xludf.DUMMYFUNCTION("""COMPUTED_VALUE"""),"1～6")</f>
        <v>1～6</v>
      </c>
      <c r="H4519" s="22" t="str">
        <f>IFERROR(__xludf.DUMMYFUNCTION("""COMPUTED_VALUE"""),"池山田剛")</f>
        <v>池山田剛</v>
      </c>
      <c r="I4519" s="22" t="str">
        <f>IFERROR(__xludf.DUMMYFUNCTION("""COMPUTED_VALUE"""),"少女")</f>
        <v>少女</v>
      </c>
      <c r="J4519" s="22"/>
      <c r="K4519" s="22"/>
      <c r="L4519" s="22" t="str">
        <f>IFERROR(__xludf.DUMMYFUNCTION("""COMPUTED_VALUE"""),"小学館")</f>
        <v>小学館</v>
      </c>
      <c r="M4519" s="33">
        <f>IFERROR(__xludf.DUMMYFUNCTION("""COMPUTED_VALUE"""),46058.0)</f>
        <v>46058</v>
      </c>
      <c r="N4519" s="33">
        <f>IFERROR(__xludf.DUMMYFUNCTION("""COMPUTED_VALUE"""),46116.0)</f>
        <v>46116</v>
      </c>
      <c r="O4519" s="20"/>
      <c r="P4519" s="32" t="str">
        <f>IFERROR(__xludf.DUMMYFUNCTION("""COMPUTED_VALUE"""),"否")</f>
        <v>否</v>
      </c>
      <c r="Q4519" s="30"/>
      <c r="R4519" s="22" t="str">
        <f>IFERROR(__xludf.DUMMYFUNCTION("""COMPUTED_VALUE"""),"コミットOK")</f>
        <v>コミットOK</v>
      </c>
      <c r="S4519" s="22" t="str">
        <f>IFERROR(__xludf.DUMMYFUNCTION("""COMPUTED_VALUE"""),"20260109_小学館_負けヒロインですが結婚します〜この中に私の夫がいる？！〜【マイクロ】")</f>
        <v>20260109_小学館_負けヒロインですが結婚します〜この中に私の夫がいる？！〜【マイクロ】</v>
      </c>
      <c r="T4519" s="22" t="str">
        <f>IFERROR(__xludf.DUMMYFUNCTION("""COMPUTED_VALUE"""),"格納済み")</f>
        <v>格納済み</v>
      </c>
      <c r="U4519" s="9" t="str">
        <f>IFERROR(__xludf.DUMMYFUNCTION("""COMPUTED_VALUE"""),"(C)池山田剛 / 小学館")</f>
        <v>(C)池山田剛 / 小学館</v>
      </c>
      <c r="V4519" s="8"/>
      <c r="W4519" s="8"/>
      <c r="X4519" s="8" t="str">
        <f>IFERROR(__xludf.DUMMYFUNCTION("""COMPUTED_VALUE"""),"有")</f>
        <v>有</v>
      </c>
      <c r="Y4519" s="8" t="str">
        <f>IFERROR(__xludf.DUMMYFUNCTION("""COMPUTED_VALUE"""),"2026/4/4まで1~2巻無料")</f>
        <v>2026/4/4まで1~2巻無料</v>
      </c>
      <c r="Z4519" s="7"/>
      <c r="AA4519" s="7"/>
      <c r="AB4519" s="7"/>
    </row>
    <row r="4520" ht="15.75" customHeight="1">
      <c r="A4520" s="26">
        <f>IFERROR(__xludf.DUMMYFUNCTION("""COMPUTED_VALUE"""),6917.0)</f>
        <v>6917</v>
      </c>
      <c r="B4520" s="22" t="str">
        <f>IFERROR(__xludf.DUMMYFUNCTION("""COMPUTED_VALUE"""),"確定")</f>
        <v>確定</v>
      </c>
      <c r="C4520" s="28">
        <f>IFERROR(__xludf.DUMMYFUNCTION("""COMPUTED_VALUE"""),45981.0)</f>
        <v>45981</v>
      </c>
      <c r="D4520" s="28">
        <f>IFERROR(__xludf.DUMMYFUNCTION("""COMPUTED_VALUE"""),46036.0)</f>
        <v>46036</v>
      </c>
      <c r="E4520" s="26">
        <f>IFERROR(__xludf.DUMMYFUNCTION("""COMPUTED_VALUE"""),350335.0)</f>
        <v>350335</v>
      </c>
      <c r="F4520" s="22" t="str">
        <f>IFERROR(__xludf.DUMMYFUNCTION("""COMPUTED_VALUE"""),"帝都転異奇譚～初恋で推しなあなたと謎解きを～【マイクロ】")</f>
        <v>帝都転異奇譚～初恋で推しなあなたと謎解きを～【マイクロ】</v>
      </c>
      <c r="G4520" s="20" t="str">
        <f>IFERROR(__xludf.DUMMYFUNCTION("""COMPUTED_VALUE"""),"1～6")</f>
        <v>1～6</v>
      </c>
      <c r="H4520" s="22" t="str">
        <f>IFERROR(__xludf.DUMMYFUNCTION("""COMPUTED_VALUE"""),"清水まみ")</f>
        <v>清水まみ</v>
      </c>
      <c r="I4520" s="22" t="str">
        <f>IFERROR(__xludf.DUMMYFUNCTION("""COMPUTED_VALUE"""),"女性")</f>
        <v>女性</v>
      </c>
      <c r="J4520" s="22"/>
      <c r="K4520" s="22"/>
      <c r="L4520" s="22" t="str">
        <f>IFERROR(__xludf.DUMMYFUNCTION("""COMPUTED_VALUE"""),"小学館")</f>
        <v>小学館</v>
      </c>
      <c r="M4520" s="33">
        <f>IFERROR(__xludf.DUMMYFUNCTION("""COMPUTED_VALUE"""),46055.0)</f>
        <v>46055</v>
      </c>
      <c r="N4520" s="33">
        <f>IFERROR(__xludf.DUMMYFUNCTION("""COMPUTED_VALUE"""),46113.0)</f>
        <v>46113</v>
      </c>
      <c r="O4520" s="20"/>
      <c r="P4520" s="32" t="str">
        <f>IFERROR(__xludf.DUMMYFUNCTION("""COMPUTED_VALUE"""),"否")</f>
        <v>否</v>
      </c>
      <c r="Q4520" s="30" t="str">
        <f>IFERROR(__xludf.DUMMYFUNCTION("""COMPUTED_VALUE"""),"1~3話を各話前後編に分け、初回配信6話として配信します。")</f>
        <v>1~3話を各話前後編に分け、初回配信6話として配信します。</v>
      </c>
      <c r="R4520" s="22" t="str">
        <f>IFERROR(__xludf.DUMMYFUNCTION("""COMPUTED_VALUE"""),"コミットOK")</f>
        <v>コミットOK</v>
      </c>
      <c r="S4520" s="22" t="str">
        <f>IFERROR(__xludf.DUMMYFUNCTION("""COMPUTED_VALUE"""),"20251226_小学館_〜帝都転異奇譚～初恋で推しなあなたと謎解きを～【マイクロ】")</f>
        <v>20251226_小学館_〜帝都転異奇譚～初恋で推しなあなたと謎解きを～【マイクロ】</v>
      </c>
      <c r="T4520" s="22" t="str">
        <f>IFERROR(__xludf.DUMMYFUNCTION("""COMPUTED_VALUE"""),"格納済み")</f>
        <v>格納済み</v>
      </c>
      <c r="U4520" s="9" t="str">
        <f>IFERROR(__xludf.DUMMYFUNCTION("""COMPUTED_VALUE"""),"(C)清水まみ / 小学館")</f>
        <v>(C)清水まみ / 小学館</v>
      </c>
      <c r="V4520" s="8"/>
      <c r="W4520" s="8"/>
      <c r="X4520" s="8" t="str">
        <f>IFERROR(__xludf.DUMMYFUNCTION("""COMPUTED_VALUE"""),"有")</f>
        <v>有</v>
      </c>
      <c r="Y4520" s="8" t="str">
        <f>IFERROR(__xludf.DUMMYFUNCTION("""COMPUTED_VALUE"""),"P20まで")</f>
        <v>P20まで</v>
      </c>
      <c r="Z4520" s="7"/>
      <c r="AA4520" s="7"/>
      <c r="AB4520" s="7"/>
    </row>
    <row r="4521" ht="15.75" customHeight="1">
      <c r="A4521" s="26">
        <f>IFERROR(__xludf.DUMMYFUNCTION("""COMPUTED_VALUE"""),6928.0)</f>
        <v>6928</v>
      </c>
      <c r="B4521" s="22" t="str">
        <f>IFERROR(__xludf.DUMMYFUNCTION("""COMPUTED_VALUE"""),"確定")</f>
        <v>確定</v>
      </c>
      <c r="C4521" s="28">
        <f>IFERROR(__xludf.DUMMYFUNCTION("""COMPUTED_VALUE"""),45982.0)</f>
        <v>45982</v>
      </c>
      <c r="D4521" s="28">
        <f>IFERROR(__xludf.DUMMYFUNCTION("""COMPUTED_VALUE"""),46036.0)</f>
        <v>46036</v>
      </c>
      <c r="E4521" s="26">
        <f>IFERROR(__xludf.DUMMYFUNCTION("""COMPUTED_VALUE"""),348525.0)</f>
        <v>348525</v>
      </c>
      <c r="F4521" s="22" t="str">
        <f>IFERROR(__xludf.DUMMYFUNCTION("""COMPUTED_VALUE"""),"【R版】立花家の性活～妻は夫が可愛くて仕方ない！～《Lovelicot》")</f>
        <v>【R版】立花家の性活～妻は夫が可愛くて仕方ない！～《Lovelicot》</v>
      </c>
      <c r="G4521" s="20" t="str">
        <f>IFERROR(__xludf.DUMMYFUNCTION("""COMPUTED_VALUE"""),"1～3")</f>
        <v>1～3</v>
      </c>
      <c r="H4521" s="22" t="str">
        <f>IFERROR(__xludf.DUMMYFUNCTION("""COMPUTED_VALUE"""),"丹下")</f>
        <v>丹下</v>
      </c>
      <c r="I4521" s="22" t="str">
        <f>IFERROR(__xludf.DUMMYFUNCTION("""COMPUTED_VALUE"""),"アダルト")</f>
        <v>アダルト</v>
      </c>
      <c r="J4521" s="22"/>
      <c r="K4521" s="22" t="str">
        <f>IFERROR(__xludf.DUMMYFUNCTION("""COMPUTED_VALUE"""),"Lovelicot")</f>
        <v>Lovelicot</v>
      </c>
      <c r="L4521" s="22" t="str">
        <f>IFERROR(__xludf.DUMMYFUNCTION("""COMPUTED_VALUE"""),"ガールスカウトコミックス")</f>
        <v>ガールスカウトコミックス</v>
      </c>
      <c r="M4521" s="33">
        <f>IFERROR(__xludf.DUMMYFUNCTION("""COMPUTED_VALUE"""),46056.0)</f>
        <v>46056</v>
      </c>
      <c r="N4521" s="33">
        <f>IFERROR(__xludf.DUMMYFUNCTION("""COMPUTED_VALUE"""),46144.0)</f>
        <v>46144</v>
      </c>
      <c r="O4521" s="20"/>
      <c r="P4521" s="32" t="str">
        <f>IFERROR(__xludf.DUMMYFUNCTION("""COMPUTED_VALUE"""),"可")</f>
        <v>可</v>
      </c>
      <c r="Q4521" s="30"/>
      <c r="R4521" s="22" t="str">
        <f>IFERROR(__xludf.DUMMYFUNCTION("""COMPUTED_VALUE"""),"コミットOK")</f>
        <v>コミットOK</v>
      </c>
      <c r="S4521" s="22" t="str">
        <f>IFERROR(__xludf.DUMMYFUNCTION("""COMPUTED_VALUE"""),"20250109_ガールスカウトコミックス_【R版】立花家の性活～妻は夫が可愛くて仕方ない！～")</f>
        <v>20250109_ガールスカウトコミックス_【R版】立花家の性活～妻は夫が可愛くて仕方ない！～</v>
      </c>
      <c r="T4521" s="22" t="str">
        <f>IFERROR(__xludf.DUMMYFUNCTION("""COMPUTED_VALUE"""),"格納済み")</f>
        <v>格納済み</v>
      </c>
      <c r="U4521" s="9" t="str">
        <f>IFERROR(__xludf.DUMMYFUNCTION("""COMPUTED_VALUE"""),"(C)丹下／ガールスカウトコミックス")</f>
        <v>(C)丹下／ガールスカウトコミックス</v>
      </c>
      <c r="V4521" s="8"/>
      <c r="W4521" s="8"/>
      <c r="X4521" s="8" t="str">
        <f>IFERROR(__xludf.DUMMYFUNCTION("""COMPUTED_VALUE"""),"有")</f>
        <v>有</v>
      </c>
      <c r="Y4521" s="8" t="str">
        <f>IFERROR(__xludf.DUMMYFUNCTION("""COMPUTED_VALUE"""),"P9まで")</f>
        <v>P9まで</v>
      </c>
      <c r="Z4521" s="7"/>
      <c r="AA4521" s="7"/>
      <c r="AB4521" s="7"/>
    </row>
    <row r="4522" ht="15.75" customHeight="1">
      <c r="A4522" s="26">
        <f>IFERROR(__xludf.DUMMYFUNCTION("""COMPUTED_VALUE"""),6942.0)</f>
        <v>6942</v>
      </c>
      <c r="B4522" s="22" t="str">
        <f>IFERROR(__xludf.DUMMYFUNCTION("""COMPUTED_VALUE"""),"確定")</f>
        <v>確定</v>
      </c>
      <c r="C4522" s="28">
        <f>IFERROR(__xludf.DUMMYFUNCTION("""COMPUTED_VALUE"""),45986.0)</f>
        <v>45986</v>
      </c>
      <c r="D4522" s="28">
        <f>IFERROR(__xludf.DUMMYFUNCTION("""COMPUTED_VALUE"""),46030.0)</f>
        <v>46030</v>
      </c>
      <c r="E4522" s="26">
        <f>IFERROR(__xludf.DUMMYFUNCTION("""COMPUTED_VALUE"""),348351.0)</f>
        <v>348351</v>
      </c>
      <c r="F4522" s="22" t="str">
        <f>IFERROR(__xludf.DUMMYFUNCTION("""COMPUTED_VALUE"""),"【単話版】毒を喰らわば愛まで")</f>
        <v>【単話版】毒を喰らわば愛まで</v>
      </c>
      <c r="G4522" s="20" t="str">
        <f>IFERROR(__xludf.DUMMYFUNCTION("""COMPUTED_VALUE"""),"1～5")</f>
        <v>1～5</v>
      </c>
      <c r="H4522" s="22" t="str">
        <f>IFERROR(__xludf.DUMMYFUNCTION("""COMPUTED_VALUE"""),"藤代千鶴")</f>
        <v>藤代千鶴</v>
      </c>
      <c r="I4522" s="22" t="str">
        <f>IFERROR(__xludf.DUMMYFUNCTION("""COMPUTED_VALUE"""),"少女")</f>
        <v>少女</v>
      </c>
      <c r="J4522" s="22"/>
      <c r="K4522" s="22"/>
      <c r="L4522" s="22" t="str">
        <f>IFERROR(__xludf.DUMMYFUNCTION("""COMPUTED_VALUE"""),"TOブックス")</f>
        <v>TOブックス</v>
      </c>
      <c r="M4522" s="33">
        <f>IFERROR(__xludf.DUMMYFUNCTION("""COMPUTED_VALUE"""),46054.0)</f>
        <v>46054</v>
      </c>
      <c r="N4522" s="33">
        <f>IFERROR(__xludf.DUMMYFUNCTION("""COMPUTED_VALUE"""),401738.0)</f>
        <v>401738</v>
      </c>
      <c r="O4522" s="20"/>
      <c r="P4522" s="32" t="str">
        <f>IFERROR(__xludf.DUMMYFUNCTION("""COMPUTED_VALUE"""),"否")</f>
        <v>否</v>
      </c>
      <c r="Q4522" s="30"/>
      <c r="R4522" s="22" t="str">
        <f>IFERROR(__xludf.DUMMYFUNCTION("""COMPUTED_VALUE"""),"コミットOK")</f>
        <v>コミットOK</v>
      </c>
      <c r="S4522" s="22" t="str">
        <f>IFERROR(__xludf.DUMMYFUNCTION("""COMPUTED_VALUE"""),"20260106_TOブックス_【単話版】毒を喰らわば愛まで")</f>
        <v>20260106_TOブックス_【単話版】毒を喰らわば愛まで</v>
      </c>
      <c r="T4522" s="22" t="str">
        <f>IFERROR(__xludf.DUMMYFUNCTION("""COMPUTED_VALUE"""),"格納済み")</f>
        <v>格納済み</v>
      </c>
      <c r="U4522" s="9" t="str">
        <f>IFERROR(__xludf.DUMMYFUNCTION("""COMPUTED_VALUE"""),"(C) chizuru fujishiro")</f>
        <v>(C) chizuru fujishiro</v>
      </c>
      <c r="V4522" s="8"/>
      <c r="W4522" s="8"/>
      <c r="X4522" s="8" t="str">
        <f>IFERROR(__xludf.DUMMYFUNCTION("""COMPUTED_VALUE"""),"有")</f>
        <v>有</v>
      </c>
      <c r="Y4522" s="8" t="str">
        <f>IFERROR(__xludf.DUMMYFUNCTION("""COMPUTED_VALUE"""),"1巻無料")</f>
        <v>1巻無料</v>
      </c>
      <c r="Z4522" s="7"/>
      <c r="AA4522" s="7"/>
      <c r="AB4522" s="7"/>
    </row>
    <row r="4523" ht="15.75" customHeight="1">
      <c r="A4523" s="26">
        <f>IFERROR(__xludf.DUMMYFUNCTION("""COMPUTED_VALUE"""),6962.0)</f>
        <v>6962</v>
      </c>
      <c r="B4523" s="22" t="str">
        <f>IFERROR(__xludf.DUMMYFUNCTION("""COMPUTED_VALUE"""),"確定")</f>
        <v>確定</v>
      </c>
      <c r="C4523" s="28">
        <f>IFERROR(__xludf.DUMMYFUNCTION("""COMPUTED_VALUE"""),45988.0)</f>
        <v>45988</v>
      </c>
      <c r="D4523" s="28">
        <f>IFERROR(__xludf.DUMMYFUNCTION("""COMPUTED_VALUE"""),46030.0)</f>
        <v>46030</v>
      </c>
      <c r="E4523" s="26">
        <f>IFERROR(__xludf.DUMMYFUNCTION("""COMPUTED_VALUE"""),350788.0)</f>
        <v>350788</v>
      </c>
      <c r="F4523" s="22" t="str">
        <f>IFERROR(__xludf.DUMMYFUNCTION("""COMPUTED_VALUE"""),"【単話売】契約婚じゃなかったんですか！？ 幼なじみの彼氏に振られたら、超絶スパダリ男子に求婚されました。")</f>
        <v>【単話売】契約婚じゃなかったんですか！？ 幼なじみの彼氏に振られたら、超絶スパダリ男子に求婚されました。</v>
      </c>
      <c r="G4523" s="20" t="str">
        <f>IFERROR(__xludf.DUMMYFUNCTION("""COMPUTED_VALUE"""),"1～3")</f>
        <v>1～3</v>
      </c>
      <c r="H4523" s="22" t="str">
        <f>IFERROR(__xludf.DUMMYFUNCTION("""COMPUTED_VALUE"""),"上原ひびき")</f>
        <v>上原ひびき</v>
      </c>
      <c r="I4523" s="22" t="str">
        <f>IFERROR(__xludf.DUMMYFUNCTION("""COMPUTED_VALUE"""),"女性")</f>
        <v>女性</v>
      </c>
      <c r="J4523" s="22"/>
      <c r="K4523" s="22"/>
      <c r="L4523" s="22" t="str">
        <f>IFERROR(__xludf.DUMMYFUNCTION("""COMPUTED_VALUE"""),"集英社")</f>
        <v>集英社</v>
      </c>
      <c r="M4523" s="33">
        <f>IFERROR(__xludf.DUMMYFUNCTION("""COMPUTED_VALUE"""),46050.0)</f>
        <v>46050</v>
      </c>
      <c r="N4523" s="33">
        <f>IFERROR(__xludf.DUMMYFUNCTION("""COMPUTED_VALUE"""),46077.0)</f>
        <v>46077</v>
      </c>
      <c r="O4523" s="20"/>
      <c r="P4523" s="32" t="str">
        <f>IFERROR(__xludf.DUMMYFUNCTION("""COMPUTED_VALUE"""),"否")</f>
        <v>否</v>
      </c>
      <c r="Q4523" s="30"/>
      <c r="R4523" s="22" t="str">
        <f>IFERROR(__xludf.DUMMYFUNCTION("""COMPUTED_VALUE"""),"コミットNG")</f>
        <v>コミットNG</v>
      </c>
      <c r="S4523" s="22" t="str">
        <f>IFERROR(__xludf.DUMMYFUNCTION("""COMPUTED_VALUE"""),"20250108_集英社_契約婚じゃなかったんですか⁉ 幼なじみの彼氏に振られたら、超絶スパダリ男子に求婚されました。")</f>
        <v>20250108_集英社_契約婚じゃなかったんですか⁉ 幼なじみの彼氏に振られたら、超絶スパダリ男子に求婚されました。</v>
      </c>
      <c r="T4523" s="22" t="str">
        <f>IFERROR(__xludf.DUMMYFUNCTION("""COMPUTED_VALUE"""),"格納済み")</f>
        <v>格納済み</v>
      </c>
      <c r="U4523" s="9" t="str">
        <f>IFERROR(__xludf.DUMMYFUNCTION("""COMPUTED_VALUE"""),"(c)上原ひびき／集英社クリエイティブ")</f>
        <v>(c)上原ひびき／集英社クリエイティブ</v>
      </c>
      <c r="V4523" s="8"/>
      <c r="W4523" s="8"/>
      <c r="X4523" s="8" t="str">
        <f>IFERROR(__xludf.DUMMYFUNCTION("""COMPUTED_VALUE"""),"有")</f>
        <v>有</v>
      </c>
      <c r="Y4523" s="8" t="str">
        <f>IFERROR(__xludf.DUMMYFUNCTION("""COMPUTED_VALUE"""),"2026/2/27まで1巻無料")</f>
        <v>2026/2/27まで1巻無料</v>
      </c>
      <c r="Z4523" s="7"/>
      <c r="AA4523" s="7"/>
      <c r="AB4523" s="7"/>
    </row>
    <row r="4524" ht="15.75" customHeight="1">
      <c r="A4524" s="26">
        <f>IFERROR(__xludf.DUMMYFUNCTION("""COMPUTED_VALUE"""),7036.0)</f>
        <v>7036</v>
      </c>
      <c r="B4524" s="22" t="str">
        <f>IFERROR(__xludf.DUMMYFUNCTION("""COMPUTED_VALUE"""),"確定")</f>
        <v>確定</v>
      </c>
      <c r="C4524" s="28">
        <f>IFERROR(__xludf.DUMMYFUNCTION("""COMPUTED_VALUE"""),46001.0)</f>
        <v>46001</v>
      </c>
      <c r="D4524" s="28">
        <f>IFERROR(__xludf.DUMMYFUNCTION("""COMPUTED_VALUE"""),46031.0)</f>
        <v>46031</v>
      </c>
      <c r="E4524" s="26">
        <f>IFERROR(__xludf.DUMMYFUNCTION("""COMPUTED_VALUE"""),350098.0)</f>
        <v>350098</v>
      </c>
      <c r="F4524" s="22" t="str">
        <f>IFERROR(__xludf.DUMMYFUNCTION("""COMPUTED_VALUE"""),"バツでも恋していいですか？")</f>
        <v>バツでも恋していいですか？</v>
      </c>
      <c r="G4524" s="20" t="str">
        <f>IFERROR(__xludf.DUMMYFUNCTION("""COMPUTED_VALUE"""),"1～5")</f>
        <v>1～5</v>
      </c>
      <c r="H4524" s="22" t="str">
        <f>IFERROR(__xludf.DUMMYFUNCTION("""COMPUTED_VALUE"""),"嗣春フミ")</f>
        <v>嗣春フミ</v>
      </c>
      <c r="I4524" s="22" t="str">
        <f>IFERROR(__xludf.DUMMYFUNCTION("""COMPUTED_VALUE"""),"女性")</f>
        <v>女性</v>
      </c>
      <c r="J4524" s="22"/>
      <c r="K4524" s="22"/>
      <c r="L4524" s="22" t="str">
        <f>IFERROR(__xludf.DUMMYFUNCTION("""COMPUTED_VALUE"""),"飛鳥新社")</f>
        <v>飛鳥新社</v>
      </c>
      <c r="M4524" s="33">
        <f>IFERROR(__xludf.DUMMYFUNCTION("""COMPUTED_VALUE"""),46072.0)</f>
        <v>46072</v>
      </c>
      <c r="N4524" s="33">
        <f>IFERROR(__xludf.DUMMYFUNCTION("""COMPUTED_VALUE"""),46160.0)</f>
        <v>46160</v>
      </c>
      <c r="O4524" s="20"/>
      <c r="P4524" s="32" t="str">
        <f>IFERROR(__xludf.DUMMYFUNCTION("""COMPUTED_VALUE"""),"可")</f>
        <v>可</v>
      </c>
      <c r="Q4524" s="30"/>
      <c r="R4524" s="22" t="str">
        <f>IFERROR(__xludf.DUMMYFUNCTION("""COMPUTED_VALUE"""),"コミットOK")</f>
        <v>コミットOK</v>
      </c>
      <c r="S4524" s="22" t="str">
        <f>IFERROR(__xludf.DUMMYFUNCTION("""COMPUTED_VALUE"""),"20260109_飛鳥新社_バツでも恋していいですか？")</f>
        <v>20260109_飛鳥新社_バツでも恋していいですか？</v>
      </c>
      <c r="T4524" s="22" t="str">
        <f>IFERROR(__xludf.DUMMYFUNCTION("""COMPUTED_VALUE"""),"格納済み")</f>
        <v>格納済み</v>
      </c>
      <c r="U4524" s="9" t="str">
        <f>IFERROR(__xludf.DUMMYFUNCTION("""COMPUTED_VALUE"""),"Ⓒ嗣春フミ/飛鳥新社")</f>
        <v>Ⓒ嗣春フミ/飛鳥新社</v>
      </c>
      <c r="V4524" s="8"/>
      <c r="W4524" s="8"/>
      <c r="X4524" s="8" t="str">
        <f>IFERROR(__xludf.DUMMYFUNCTION("""COMPUTED_VALUE"""),"有")</f>
        <v>有</v>
      </c>
      <c r="Y4524" s="8" t="str">
        <f>IFERROR(__xludf.DUMMYFUNCTION("""COMPUTED_VALUE"""),"2026/3/4まで1巻無料")</f>
        <v>2026/3/4まで1巻無料</v>
      </c>
      <c r="Z4524" s="7"/>
      <c r="AA4524" s="7"/>
      <c r="AB4524" s="7"/>
    </row>
    <row r="4525" ht="15.75" customHeight="1">
      <c r="A4525" s="26">
        <f>IFERROR(__xludf.DUMMYFUNCTION("""COMPUTED_VALUE"""),7041.0)</f>
        <v>7041</v>
      </c>
      <c r="B4525" s="22" t="str">
        <f>IFERROR(__xludf.DUMMYFUNCTION("""COMPUTED_VALUE"""),"確定")</f>
        <v>確定</v>
      </c>
      <c r="C4525" s="28">
        <f>IFERROR(__xludf.DUMMYFUNCTION("""COMPUTED_VALUE"""),46002.0)</f>
        <v>46002</v>
      </c>
      <c r="D4525" s="28">
        <f>IFERROR(__xludf.DUMMYFUNCTION("""COMPUTED_VALUE"""),46036.0)</f>
        <v>46036</v>
      </c>
      <c r="E4525" s="26">
        <f>IFERROR(__xludf.DUMMYFUNCTION("""COMPUTED_VALUE"""),350989.0)</f>
        <v>350989</v>
      </c>
      <c r="F4525" s="22" t="str">
        <f>IFERROR(__xludf.DUMMYFUNCTION("""COMPUTED_VALUE"""),"オレ様宇宙人から銀河級に執着されています")</f>
        <v>オレ様宇宙人から銀河級に執着されています</v>
      </c>
      <c r="G4525" s="20" t="str">
        <f>IFERROR(__xludf.DUMMYFUNCTION("""COMPUTED_VALUE"""),"1～2")</f>
        <v>1～2</v>
      </c>
      <c r="H4525" s="22" t="str">
        <f>IFERROR(__xludf.DUMMYFUNCTION("""COMPUTED_VALUE"""),"おにぎりニギル")</f>
        <v>おにぎりニギル</v>
      </c>
      <c r="I4525" s="22" t="str">
        <f>IFERROR(__xludf.DUMMYFUNCTION("""COMPUTED_VALUE"""),"BL")</f>
        <v>BL</v>
      </c>
      <c r="J4525" s="22"/>
      <c r="K4525" s="22" t="str">
        <f>IFERROR(__xludf.DUMMYFUNCTION("""COMPUTED_VALUE"""),"NuPu")</f>
        <v>NuPu</v>
      </c>
      <c r="L4525" s="22" t="str">
        <f>IFERROR(__xludf.DUMMYFUNCTION("""COMPUTED_VALUE"""),"CLLENN")</f>
        <v>CLLENN</v>
      </c>
      <c r="M4525" s="33">
        <f>IFERROR(__xludf.DUMMYFUNCTION("""COMPUTED_VALUE"""),46072.0)</f>
        <v>46072</v>
      </c>
      <c r="N4525" s="33">
        <f>IFERROR(__xludf.DUMMYFUNCTION("""COMPUTED_VALUE"""),46127.0)</f>
        <v>46127</v>
      </c>
      <c r="O4525" s="20"/>
      <c r="P4525" s="32" t="str">
        <f>IFERROR(__xludf.DUMMYFUNCTION("""COMPUTED_VALUE"""),"可")</f>
        <v>可</v>
      </c>
      <c r="Q4525" s="30"/>
      <c r="R4525" s="22" t="str">
        <f>IFERROR(__xludf.DUMMYFUNCTION("""COMPUTED_VALUE"""),"コミットNG")</f>
        <v>コミットNG</v>
      </c>
      <c r="S4525" s="22" t="str">
        <f>IFERROR(__xludf.DUMMYFUNCTION("""COMPUTED_VALUE"""),"20260108_CLLENN_オレ様宇宙人から銀河級に執着されています")</f>
        <v>20260108_CLLENN_オレ様宇宙人から銀河級に執着されています</v>
      </c>
      <c r="T4525" s="22" t="str">
        <f>IFERROR(__xludf.DUMMYFUNCTION("""COMPUTED_VALUE"""),"格納済み")</f>
        <v>格納済み</v>
      </c>
      <c r="U4525" s="9" t="str">
        <f>IFERROR(__xludf.DUMMYFUNCTION("""COMPUTED_VALUE"""),"Ⓒおにぎりニギル/CLLENN")</f>
        <v>Ⓒおにぎりニギル/CLLENN</v>
      </c>
      <c r="V4525" s="8"/>
      <c r="W4525" s="8"/>
      <c r="X4525" s="8" t="str">
        <f>IFERROR(__xludf.DUMMYFUNCTION("""COMPUTED_VALUE"""),"有")</f>
        <v>有</v>
      </c>
      <c r="Y4525" s="8" t="str">
        <f>IFERROR(__xludf.DUMMYFUNCTION("""COMPUTED_VALUE"""),"P10まで")</f>
        <v>P10まで</v>
      </c>
      <c r="Z4525" s="7"/>
      <c r="AA4525" s="7"/>
      <c r="AB4525" s="7"/>
    </row>
    <row r="4526" ht="15.75" customHeight="1">
      <c r="A4526" s="26">
        <f>IFERROR(__xludf.DUMMYFUNCTION("""COMPUTED_VALUE"""),7042.0)</f>
        <v>7042</v>
      </c>
      <c r="B4526" s="22" t="str">
        <f>IFERROR(__xludf.DUMMYFUNCTION("""COMPUTED_VALUE"""),"確定")</f>
        <v>確定</v>
      </c>
      <c r="C4526" s="28">
        <f>IFERROR(__xludf.DUMMYFUNCTION("""COMPUTED_VALUE"""),46002.0)</f>
        <v>46002</v>
      </c>
      <c r="D4526" s="28">
        <f>IFERROR(__xludf.DUMMYFUNCTION("""COMPUTED_VALUE"""),46036.0)</f>
        <v>46036</v>
      </c>
      <c r="E4526" s="26">
        <f>IFERROR(__xludf.DUMMYFUNCTION("""COMPUTED_VALUE"""),350985.0)</f>
        <v>350985</v>
      </c>
      <c r="F4526" s="22" t="str">
        <f>IFERROR(__xludf.DUMMYFUNCTION("""COMPUTED_VALUE"""),"シュガーコートキス")</f>
        <v>シュガーコートキス</v>
      </c>
      <c r="G4526" s="20" t="str">
        <f>IFERROR(__xludf.DUMMYFUNCTION("""COMPUTED_VALUE"""),"1～2")</f>
        <v>1～2</v>
      </c>
      <c r="H4526" s="22" t="str">
        <f>IFERROR(__xludf.DUMMYFUNCTION("""COMPUTED_VALUE"""),"里南とか")</f>
        <v>里南とか</v>
      </c>
      <c r="I4526" s="22" t="str">
        <f>IFERROR(__xludf.DUMMYFUNCTION("""COMPUTED_VALUE"""),"BL")</f>
        <v>BL</v>
      </c>
      <c r="J4526" s="22"/>
      <c r="K4526" s="22" t="str">
        <f>IFERROR(__xludf.DUMMYFUNCTION("""COMPUTED_VALUE"""),"spicomi")</f>
        <v>spicomi</v>
      </c>
      <c r="L4526" s="22" t="str">
        <f>IFERROR(__xludf.DUMMYFUNCTION("""COMPUTED_VALUE"""),"CLLENN")</f>
        <v>CLLENN</v>
      </c>
      <c r="M4526" s="33">
        <f>IFERROR(__xludf.DUMMYFUNCTION("""COMPUTED_VALUE"""),46067.0)</f>
        <v>46067</v>
      </c>
      <c r="N4526" s="33">
        <f>IFERROR(__xludf.DUMMYFUNCTION("""COMPUTED_VALUE"""),46122.0)</f>
        <v>46122</v>
      </c>
      <c r="O4526" s="20"/>
      <c r="P4526" s="32" t="str">
        <f>IFERROR(__xludf.DUMMYFUNCTION("""COMPUTED_VALUE"""),"可")</f>
        <v>可</v>
      </c>
      <c r="Q4526" s="30"/>
      <c r="R4526" s="22" t="str">
        <f>IFERROR(__xludf.DUMMYFUNCTION("""COMPUTED_VALUE"""),"コミットNG")</f>
        <v>コミットNG</v>
      </c>
      <c r="S4526" s="22" t="str">
        <f>IFERROR(__xludf.DUMMYFUNCTION("""COMPUTED_VALUE"""),"20260109_CLLENN_シュガーコートキス")</f>
        <v>20260109_CLLENN_シュガーコートキス</v>
      </c>
      <c r="T4526" s="22" t="str">
        <f>IFERROR(__xludf.DUMMYFUNCTION("""COMPUTED_VALUE"""),"格納済み")</f>
        <v>格納済み</v>
      </c>
      <c r="U4526" s="9" t="str">
        <f>IFERROR(__xludf.DUMMYFUNCTION("""COMPUTED_VALUE"""),"Ⓒ里南とか/CLLENN")</f>
        <v>Ⓒ里南とか/CLLENN</v>
      </c>
      <c r="V4526" s="8"/>
      <c r="W4526" s="8"/>
      <c r="X4526" s="8" t="str">
        <f>IFERROR(__xludf.DUMMYFUNCTION("""COMPUTED_VALUE"""),"有")</f>
        <v>有</v>
      </c>
      <c r="Y4526" s="8" t="str">
        <f>IFERROR(__xludf.DUMMYFUNCTION("""COMPUTED_VALUE"""),"P10まで")</f>
        <v>P10まで</v>
      </c>
      <c r="Z4526" s="7"/>
      <c r="AA4526" s="7"/>
      <c r="AB4526" s="7"/>
    </row>
    <row r="4527" ht="15.75" customHeight="1">
      <c r="A4527" s="66">
        <f>IFERROR(__xludf.DUMMYFUNCTION("""COMPUTED_VALUE"""),7067.0)</f>
        <v>7067</v>
      </c>
      <c r="B4527" s="67" t="str">
        <f>IFERROR(__xludf.DUMMYFUNCTION("""COMPUTED_VALUE"""),"確定")</f>
        <v>確定</v>
      </c>
      <c r="C4527" s="68">
        <f>IFERROR(__xludf.DUMMYFUNCTION("""COMPUTED_VALUE"""),46007.0)</f>
        <v>46007</v>
      </c>
      <c r="D4527" s="68">
        <f>IFERROR(__xludf.DUMMYFUNCTION("""COMPUTED_VALUE"""),46031.0)</f>
        <v>46031</v>
      </c>
      <c r="E4527" s="66" t="str">
        <f>IFERROR(__xludf.DUMMYFUNCTION("""COMPUTED_VALUE"""),"ー")</f>
        <v>ー</v>
      </c>
      <c r="F4527" s="67" t="str">
        <f>IFERROR(__xludf.DUMMYFUNCTION("""COMPUTED_VALUE"""),"(元)セフレの晶による、私のための逆襲報復わからせえっち")</f>
        <v>(元)セフレの晶による、私のための逆襲報復わからせえっち</v>
      </c>
      <c r="G4527" s="69" t="str">
        <f>IFERROR(__xludf.DUMMYFUNCTION("""COMPUTED_VALUE"""),"1～3")</f>
        <v>1～3</v>
      </c>
      <c r="H4527" s="67" t="str">
        <f>IFERROR(__xludf.DUMMYFUNCTION("""COMPUTED_VALUE"""),"こぽりヌち/保田飯飯")</f>
        <v>こぽりヌち/保田飯飯</v>
      </c>
      <c r="I4527" s="67" t="str">
        <f>IFERROR(__xludf.DUMMYFUNCTION("""COMPUTED_VALUE"""),"TL")</f>
        <v>TL</v>
      </c>
      <c r="J4527" s="67"/>
      <c r="K4527" s="67" t="str">
        <f>IFERROR(__xludf.DUMMYFUNCTION("""COMPUTED_VALUE"""),"THE猥談")</f>
        <v>THE猥談</v>
      </c>
      <c r="L4527" s="67" t="str">
        <f>IFERROR(__xludf.DUMMYFUNCTION("""COMPUTED_VALUE"""),"DLcomics")</f>
        <v>DLcomics</v>
      </c>
      <c r="M4527" s="77">
        <f>IFERROR(__xludf.DUMMYFUNCTION("""COMPUTED_VALUE"""),46052.0)</f>
        <v>46052</v>
      </c>
      <c r="N4527" s="77">
        <f>IFERROR(__xludf.DUMMYFUNCTION("""COMPUTED_VALUE"""),46142.0)</f>
        <v>46142</v>
      </c>
      <c r="O4527" s="69"/>
      <c r="P4527" s="71" t="str">
        <f>IFERROR(__xludf.DUMMYFUNCTION("""COMPUTED_VALUE"""),"可")</f>
        <v>可</v>
      </c>
      <c r="Q4527" s="72" t="str">
        <f>IFERROR(__xludf.DUMMYFUNCTION("""COMPUTED_VALUE"""),"【アダルト作品扱い】")</f>
        <v>【アダルト作品扱い】</v>
      </c>
      <c r="R4527" s="67" t="str">
        <f>IFERROR(__xludf.DUMMYFUNCTION("""COMPUTED_VALUE"""),"コミットNG")</f>
        <v>コミットNG</v>
      </c>
      <c r="S4527" s="67" t="str">
        <f>IFERROR(__xludf.DUMMYFUNCTION("""COMPUTED_VALUE"""),"20250108_DLcomics_(元)セフレの晶による、私のための逆襲報復わからせえっち")</f>
        <v>20250108_DLcomics_(元)セフレの晶による、私のための逆襲報復わからせえっち</v>
      </c>
      <c r="T4527" s="67" t="str">
        <f>IFERROR(__xludf.DUMMYFUNCTION("""COMPUTED_VALUE"""),"格納済み")</f>
        <v>格納済み</v>
      </c>
      <c r="U4527" s="114" t="str">
        <f>IFERROR(__xludf.DUMMYFUNCTION("""COMPUTED_VALUE"""),"(C)こぽりヌち/保田飯飯/THE猥談")</f>
        <v>(C)こぽりヌち/保田飯飯/THE猥談</v>
      </c>
      <c r="V4527" s="230"/>
      <c r="W4527" s="230"/>
      <c r="X4527" s="230" t="str">
        <f>IFERROR(__xludf.DUMMYFUNCTION("""COMPUTED_VALUE"""),"ー")</f>
        <v>ー</v>
      </c>
      <c r="Y4527" s="8" t="str">
        <f>IFERROR(__xludf.DUMMYFUNCTION("""COMPUTED_VALUE"""),"ー")</f>
        <v>ー</v>
      </c>
      <c r="Z4527" s="7"/>
      <c r="AA4527" s="7"/>
      <c r="AB4527" s="7"/>
    </row>
    <row r="4528" ht="15.75" customHeight="1">
      <c r="A4528" s="26">
        <f>IFERROR(__xludf.DUMMYFUNCTION("""COMPUTED_VALUE"""),7076.0)</f>
        <v>7076</v>
      </c>
      <c r="B4528" s="22" t="str">
        <f>IFERROR(__xludf.DUMMYFUNCTION("""COMPUTED_VALUE"""),"確定")</f>
        <v>確定</v>
      </c>
      <c r="C4528" s="28">
        <f>IFERROR(__xludf.DUMMYFUNCTION("""COMPUTED_VALUE"""),46008.0)</f>
        <v>46008</v>
      </c>
      <c r="D4528" s="28">
        <f>IFERROR(__xludf.DUMMYFUNCTION("""COMPUTED_VALUE"""),46036.0)</f>
        <v>46036</v>
      </c>
      <c r="E4528" s="26">
        <f>IFERROR(__xludf.DUMMYFUNCTION("""COMPUTED_VALUE"""),350990.0)</f>
        <v>350990</v>
      </c>
      <c r="F4528" s="22" t="str">
        <f>IFERROR(__xludf.DUMMYFUNCTION("""COMPUTED_VALUE"""),"俺にしなよ、せんぱい。")</f>
        <v>俺にしなよ、せんぱい。</v>
      </c>
      <c r="G4528" s="20" t="str">
        <f>IFERROR(__xludf.DUMMYFUNCTION("""COMPUTED_VALUE"""),"1～2")</f>
        <v>1～2</v>
      </c>
      <c r="H4528" s="22" t="str">
        <f>IFERROR(__xludf.DUMMYFUNCTION("""COMPUTED_VALUE"""),"ノノダイツミ")</f>
        <v>ノノダイツミ</v>
      </c>
      <c r="I4528" s="22" t="str">
        <f>IFERROR(__xludf.DUMMYFUNCTION("""COMPUTED_VALUE"""),"BL")</f>
        <v>BL</v>
      </c>
      <c r="J4528" s="22"/>
      <c r="K4528" s="22" t="str">
        <f>IFERROR(__xludf.DUMMYFUNCTION("""COMPUTED_VALUE"""),"NuPu")</f>
        <v>NuPu</v>
      </c>
      <c r="L4528" s="22" t="str">
        <f>IFERROR(__xludf.DUMMYFUNCTION("""COMPUTED_VALUE"""),"CLLENN")</f>
        <v>CLLENN</v>
      </c>
      <c r="M4528" s="33">
        <f>IFERROR(__xludf.DUMMYFUNCTION("""COMPUTED_VALUE"""),46072.0)</f>
        <v>46072</v>
      </c>
      <c r="N4528" s="33">
        <f>IFERROR(__xludf.DUMMYFUNCTION("""COMPUTED_VALUE"""),46127.0)</f>
        <v>46127</v>
      </c>
      <c r="O4528" s="20"/>
      <c r="P4528" s="32" t="str">
        <f>IFERROR(__xludf.DUMMYFUNCTION("""COMPUTED_VALUE"""),"可")</f>
        <v>可</v>
      </c>
      <c r="Q4528" s="30"/>
      <c r="R4528" s="22" t="str">
        <f>IFERROR(__xludf.DUMMYFUNCTION("""COMPUTED_VALUE"""),"コミットNG")</f>
        <v>コミットNG</v>
      </c>
      <c r="S4528" s="22" t="str">
        <f>IFERROR(__xludf.DUMMYFUNCTION("""COMPUTED_VALUE"""),"20250109_CLLENN_俺にしなよ、せんぱい。")</f>
        <v>20250109_CLLENN_俺にしなよ、せんぱい。</v>
      </c>
      <c r="T4528" s="22" t="str">
        <f>IFERROR(__xludf.DUMMYFUNCTION("""COMPUTED_VALUE"""),"格納済み")</f>
        <v>格納済み</v>
      </c>
      <c r="U4528" s="9" t="str">
        <f>IFERROR(__xludf.DUMMYFUNCTION("""COMPUTED_VALUE"""),"Ⓒノノダイツミ/CLLENN")</f>
        <v>Ⓒノノダイツミ/CLLENN</v>
      </c>
      <c r="V4528" s="8"/>
      <c r="W4528" s="8"/>
      <c r="X4528" s="8" t="str">
        <f>IFERROR(__xludf.DUMMYFUNCTION("""COMPUTED_VALUE"""),"有")</f>
        <v>有</v>
      </c>
      <c r="Y4528" s="8" t="str">
        <f>IFERROR(__xludf.DUMMYFUNCTION("""COMPUTED_VALUE"""),"P10まで")</f>
        <v>P10まで</v>
      </c>
      <c r="Z4528" s="7"/>
      <c r="AA4528" s="7"/>
      <c r="AB4528" s="7"/>
    </row>
    <row r="4529" ht="15.75" customHeight="1">
      <c r="A4529" s="26">
        <f>IFERROR(__xludf.DUMMYFUNCTION("""COMPUTED_VALUE"""),7089.0)</f>
        <v>7089</v>
      </c>
      <c r="B4529" s="22" t="str">
        <f>IFERROR(__xludf.DUMMYFUNCTION("""COMPUTED_VALUE"""),"確定")</f>
        <v>確定</v>
      </c>
      <c r="C4529" s="28">
        <f>IFERROR(__xludf.DUMMYFUNCTION("""COMPUTED_VALUE"""),46010.0)</f>
        <v>46010</v>
      </c>
      <c r="D4529" s="28">
        <f>IFERROR(__xludf.DUMMYFUNCTION("""COMPUTED_VALUE"""),46031.0)</f>
        <v>46031</v>
      </c>
      <c r="E4529" s="26">
        <f>IFERROR(__xludf.DUMMYFUNCTION("""COMPUTED_VALUE"""),349685.0)</f>
        <v>349685</v>
      </c>
      <c r="F4529" s="22" t="str">
        <f>IFERROR(__xludf.DUMMYFUNCTION("""COMPUTED_VALUE"""),"柳さん、恋をはじめてみませんか")</f>
        <v>柳さん、恋をはじめてみませんか</v>
      </c>
      <c r="G4529" s="20" t="str">
        <f>IFERROR(__xludf.DUMMYFUNCTION("""COMPUTED_VALUE"""),"1～3")</f>
        <v>1～3</v>
      </c>
      <c r="H4529" s="22" t="str">
        <f>IFERROR(__xludf.DUMMYFUNCTION("""COMPUTED_VALUE"""),"いちい・二久アカミ")</f>
        <v>いちい・二久アカミ</v>
      </c>
      <c r="I4529" s="22" t="str">
        <f>IFERROR(__xludf.DUMMYFUNCTION("""COMPUTED_VALUE"""),"BL")</f>
        <v>BL</v>
      </c>
      <c r="J4529" s="22"/>
      <c r="K4529" s="22"/>
      <c r="L4529" s="22" t="str">
        <f>IFERROR(__xludf.DUMMYFUNCTION("""COMPUTED_VALUE"""),"Freedia(フリーディア)")</f>
        <v>Freedia(フリーディア)</v>
      </c>
      <c r="M4529" s="33">
        <f>IFERROR(__xludf.DUMMYFUNCTION("""COMPUTED_VALUE"""),46066.0)</f>
        <v>46066</v>
      </c>
      <c r="N4529" s="33">
        <f>IFERROR(__xludf.DUMMYFUNCTION("""COMPUTED_VALUE"""),46154.0)</f>
        <v>46154</v>
      </c>
      <c r="O4529" s="20"/>
      <c r="P4529" s="32" t="str">
        <f>IFERROR(__xludf.DUMMYFUNCTION("""COMPUTED_VALUE"""),"可")</f>
        <v>可</v>
      </c>
      <c r="Q4529" s="30"/>
      <c r="R4529" s="22" t="str">
        <f>IFERROR(__xludf.DUMMYFUNCTION("""COMPUTED_VALUE"""),"コミットNG")</f>
        <v>コミットNG</v>
      </c>
      <c r="S4529" s="22" t="str">
        <f>IFERROR(__xludf.DUMMYFUNCTION("""COMPUTED_VALUE"""),"20251219_Freedia_柳さん、恋をはじめてみませんか")</f>
        <v>20251219_Freedia_柳さん、恋をはじめてみませんか</v>
      </c>
      <c r="T4529" s="22" t="str">
        <f>IFERROR(__xludf.DUMMYFUNCTION("""COMPUTED_VALUE"""),"格納済み")</f>
        <v>格納済み</v>
      </c>
      <c r="U4529" s="9" t="str">
        <f>IFERROR(__xludf.DUMMYFUNCTION("""COMPUTED_VALUE"""),"Ⓒいちい・二久アカミ/Freedia")</f>
        <v>Ⓒいちい・二久アカミ/Freedia</v>
      </c>
      <c r="V4529" s="8"/>
      <c r="W4529" s="8"/>
      <c r="X4529" s="8" t="str">
        <f>IFERROR(__xludf.DUMMYFUNCTION("""COMPUTED_VALUE"""),"有")</f>
        <v>有</v>
      </c>
      <c r="Y4529" s="8" t="str">
        <f>IFERROR(__xludf.DUMMYFUNCTION("""COMPUTED_VALUE"""),"P5まで")</f>
        <v>P5まで</v>
      </c>
      <c r="Z4529" s="7"/>
      <c r="AA4529" s="7"/>
      <c r="AB4529" s="7"/>
    </row>
    <row r="4530" ht="15.75" customHeight="1">
      <c r="A4530" s="26">
        <f>IFERROR(__xludf.DUMMYFUNCTION("""COMPUTED_VALUE"""),7093.0)</f>
        <v>7093</v>
      </c>
      <c r="B4530" s="22" t="str">
        <f>IFERROR(__xludf.DUMMYFUNCTION("""COMPUTED_VALUE"""),"確定")</f>
        <v>確定</v>
      </c>
      <c r="C4530" s="28">
        <f>IFERROR(__xludf.DUMMYFUNCTION("""COMPUTED_VALUE"""),46013.0)</f>
        <v>46013</v>
      </c>
      <c r="D4530" s="28">
        <f>IFERROR(__xludf.DUMMYFUNCTION("""COMPUTED_VALUE"""),46031.0)</f>
        <v>46031</v>
      </c>
      <c r="E4530" s="26">
        <f>IFERROR(__xludf.DUMMYFUNCTION("""COMPUTED_VALUE"""),327826.0)</f>
        <v>327826</v>
      </c>
      <c r="F4530" s="22" t="str">
        <f>IFERROR(__xludf.DUMMYFUNCTION("""COMPUTED_VALUE"""),"クリーニングくじら ―人生はときどき、洗いなおして―")</f>
        <v>クリーニングくじら ―人生はときどき、洗いなおして―</v>
      </c>
      <c r="G4530" s="20" t="str">
        <f>IFERROR(__xludf.DUMMYFUNCTION("""COMPUTED_VALUE"""),"1～3")</f>
        <v>1～3</v>
      </c>
      <c r="H4530" s="22" t="str">
        <f>IFERROR(__xludf.DUMMYFUNCTION("""COMPUTED_VALUE"""),"岡畑まこ")</f>
        <v>岡畑まこ</v>
      </c>
      <c r="I4530" s="22" t="str">
        <f>IFERROR(__xludf.DUMMYFUNCTION("""COMPUTED_VALUE"""),"女性マンガ")</f>
        <v>女性マンガ</v>
      </c>
      <c r="J4530" s="22"/>
      <c r="K4530" s="22" t="str">
        <f>IFERROR(__xludf.DUMMYFUNCTION("""COMPUTED_VALUE"""),"恋するソワレ＋,恋するソワレ")</f>
        <v>恋するソワレ＋,恋するソワレ</v>
      </c>
      <c r="L4530" s="22" t="str">
        <f>IFERROR(__xludf.DUMMYFUNCTION("""COMPUTED_VALUE"""),"シーモアコミックス")</f>
        <v>シーモアコミックス</v>
      </c>
      <c r="M4530" s="33">
        <f>IFERROR(__xludf.DUMMYFUNCTION("""COMPUTED_VALUE"""),46061.0)</f>
        <v>46061</v>
      </c>
      <c r="N4530" s="33">
        <f>IFERROR(__xludf.DUMMYFUNCTION("""COMPUTED_VALUE"""),2958465.0)</f>
        <v>2958465</v>
      </c>
      <c r="O4530" s="20"/>
      <c r="P4530" s="32" t="str">
        <f>IFERROR(__xludf.DUMMYFUNCTION("""COMPUTED_VALUE"""),"可")</f>
        <v>可</v>
      </c>
      <c r="Q4530" s="30"/>
      <c r="R4530" s="22"/>
      <c r="S4530" s="22" t="str">
        <f>IFERROR(__xludf.DUMMYFUNCTION("""COMPUTED_VALUE"""),"20251222_シーモアコミックス_クリーニングくじら ―人生はときどき、洗いなおして―")</f>
        <v>20251222_シーモアコミックス_クリーニングくじら ―人生はときどき、洗いなおして―</v>
      </c>
      <c r="T4530" s="22" t="str">
        <f>IFERROR(__xludf.DUMMYFUNCTION("""COMPUTED_VALUE"""),"格納済み")</f>
        <v>格納済み</v>
      </c>
      <c r="U4530" s="9" t="str">
        <f>IFERROR(__xludf.DUMMYFUNCTION("""COMPUTED_VALUE"""),"(C) 岡畑まこ/シーモアコミックス")</f>
        <v>(C) 岡畑まこ/シーモアコミックス</v>
      </c>
      <c r="V4530" s="8"/>
      <c r="W4530" s="8"/>
      <c r="X4530" s="8" t="str">
        <f>IFERROR(__xludf.DUMMYFUNCTION("""COMPUTED_VALUE"""),"有")</f>
        <v>有</v>
      </c>
      <c r="Y4530" s="8" t="str">
        <f>IFERROR(__xludf.DUMMYFUNCTION("""COMPUTED_VALUE"""),"2026/3/7まで1巻無料")</f>
        <v>2026/3/7まで1巻無料</v>
      </c>
      <c r="Z4530" s="7"/>
      <c r="AA4530" s="7"/>
      <c r="AB4530" s="7"/>
    </row>
    <row r="4531" ht="15.75" customHeight="1">
      <c r="A4531" s="26">
        <f>IFERROR(__xludf.DUMMYFUNCTION("""COMPUTED_VALUE"""),7105.0)</f>
        <v>7105</v>
      </c>
      <c r="B4531" s="22" t="str">
        <f>IFERROR(__xludf.DUMMYFUNCTION("""COMPUTED_VALUE"""),"確定")</f>
        <v>確定</v>
      </c>
      <c r="C4531" s="28">
        <f>IFERROR(__xludf.DUMMYFUNCTION("""COMPUTED_VALUE"""),46014.0)</f>
        <v>46014</v>
      </c>
      <c r="D4531" s="28">
        <f>IFERROR(__xludf.DUMMYFUNCTION("""COMPUTED_VALUE"""),46031.0)</f>
        <v>46031</v>
      </c>
      <c r="E4531" s="26">
        <f>IFERROR(__xludf.DUMMYFUNCTION("""COMPUTED_VALUE"""),349105.0)</f>
        <v>349105</v>
      </c>
      <c r="F4531" s="22" t="str">
        <f>IFERROR(__xludf.DUMMYFUNCTION("""COMPUTED_VALUE"""),"ヒロインの弟に迫られています～モブでいたいので、溺愛は遠慮します！～")</f>
        <v>ヒロインの弟に迫られています～モブでいたいので、溺愛は遠慮します！～</v>
      </c>
      <c r="G4531" s="20" t="str">
        <f>IFERROR(__xludf.DUMMYFUNCTION("""COMPUTED_VALUE"""),"1～5")</f>
        <v>1～5</v>
      </c>
      <c r="H4531" s="22" t="str">
        <f>IFERROR(__xludf.DUMMYFUNCTION("""COMPUTED_VALUE"""),"水月ミキネ・有木珠乃・テラーノベル")</f>
        <v>水月ミキネ・有木珠乃・テラーノベル</v>
      </c>
      <c r="I4531" s="22" t="str">
        <f>IFERROR(__xludf.DUMMYFUNCTION("""COMPUTED_VALUE"""),"女性")</f>
        <v>女性</v>
      </c>
      <c r="J4531" s="22"/>
      <c r="K4531" s="22" t="str">
        <f>IFERROR(__xludf.DUMMYFUNCTION("""COMPUTED_VALUE"""),"テラーコミックス")</f>
        <v>テラーコミックス</v>
      </c>
      <c r="L4531" s="22" t="str">
        <f>IFERROR(__xludf.DUMMYFUNCTION("""COMPUTED_VALUE"""),"Freedia")</f>
        <v>Freedia</v>
      </c>
      <c r="M4531" s="33">
        <f>IFERROR(__xludf.DUMMYFUNCTION("""COMPUTED_VALUE"""),46059.0)</f>
        <v>46059</v>
      </c>
      <c r="N4531" s="33">
        <f>IFERROR(__xludf.DUMMYFUNCTION("""COMPUTED_VALUE"""),46147.0)</f>
        <v>46147</v>
      </c>
      <c r="O4531" s="20"/>
      <c r="P4531" s="32" t="str">
        <f>IFERROR(__xludf.DUMMYFUNCTION("""COMPUTED_VALUE"""),"可")</f>
        <v>可</v>
      </c>
      <c r="Q4531" s="30"/>
      <c r="R4531" s="22"/>
      <c r="S4531" s="22" t="str">
        <f>IFERROR(__xludf.DUMMYFUNCTION("""COMPUTED_VALUE"""),"20251219_Freedia_「ヒロインの弟に迫られています～」")</f>
        <v>20251219_Freedia_「ヒロインの弟に迫られています～」</v>
      </c>
      <c r="T4531" s="22" t="str">
        <f>IFERROR(__xludf.DUMMYFUNCTION("""COMPUTED_VALUE"""),"格納済み")</f>
        <v>格納済み</v>
      </c>
      <c r="U4531" s="9" t="str">
        <f>IFERROR(__xludf.DUMMYFUNCTION("""COMPUTED_VALUE"""),"Ⓒ水月ミキネ・有木珠乃/Freedia・テラーノベル")</f>
        <v>Ⓒ水月ミキネ・有木珠乃/Freedia・テラーノベル</v>
      </c>
      <c r="V4531" s="8"/>
      <c r="W4531" s="8"/>
      <c r="X4531" s="8" t="str">
        <f>IFERROR(__xludf.DUMMYFUNCTION("""COMPUTED_VALUE"""),"有")</f>
        <v>有</v>
      </c>
      <c r="Y4531" s="8" t="str">
        <f>IFERROR(__xludf.DUMMYFUNCTION("""COMPUTED_VALUE"""),"2026/5/5まで1巻無料")</f>
        <v>2026/5/5まで1巻無料</v>
      </c>
      <c r="Z4531" s="7"/>
      <c r="AA4531" s="7"/>
      <c r="AB4531" s="7"/>
    </row>
    <row r="4532" ht="15.75" customHeight="1">
      <c r="A4532" s="26">
        <f>IFERROR(__xludf.DUMMYFUNCTION("""COMPUTED_VALUE"""),7132.0)</f>
        <v>7132</v>
      </c>
      <c r="B4532" s="22" t="str">
        <f>IFERROR(__xludf.DUMMYFUNCTION("""COMPUTED_VALUE"""),"確定")</f>
        <v>確定</v>
      </c>
      <c r="C4532" s="28">
        <f>IFERROR(__xludf.DUMMYFUNCTION("""COMPUTED_VALUE"""),46016.0)</f>
        <v>46016</v>
      </c>
      <c r="D4532" s="28">
        <f>IFERROR(__xludf.DUMMYFUNCTION("""COMPUTED_VALUE"""),46036.0)</f>
        <v>46036</v>
      </c>
      <c r="E4532" s="26">
        <f>IFERROR(__xludf.DUMMYFUNCTION("""COMPUTED_VALUE"""),349769.0)</f>
        <v>349769</v>
      </c>
      <c r="F4532" s="22" t="str">
        <f>IFERROR(__xludf.DUMMYFUNCTION("""COMPUTED_VALUE"""),"虐げられ令嬢は闇魔導師への魔力供給を拒めない【R版】")</f>
        <v>虐げられ令嬢は闇魔導師への魔力供給を拒めない【R版】</v>
      </c>
      <c r="G4532" s="20" t="str">
        <f>IFERROR(__xludf.DUMMYFUNCTION("""COMPUTED_VALUE"""),"1～2")</f>
        <v>1～2</v>
      </c>
      <c r="H4532" s="22" t="str">
        <f>IFERROR(__xludf.DUMMYFUNCTION("""COMPUTED_VALUE"""),"八珠ぐみ,キケンな男子図鑑")</f>
        <v>八珠ぐみ,キケンな男子図鑑</v>
      </c>
      <c r="I4532" s="22" t="str">
        <f>IFERROR(__xludf.DUMMYFUNCTION("""COMPUTED_VALUE"""),"アダルト")</f>
        <v>アダルト</v>
      </c>
      <c r="J4532" s="22">
        <f>IFERROR(__xludf.DUMMYFUNCTION("""COMPUTED_VALUE"""),1.0)</f>
        <v>1</v>
      </c>
      <c r="K4532" s="22"/>
      <c r="L4532" s="22" t="str">
        <f>IFERROR(__xludf.DUMMYFUNCTION("""COMPUTED_VALUE"""),"BBB")</f>
        <v>BBB</v>
      </c>
      <c r="M4532" s="33">
        <f>IFERROR(__xludf.DUMMYFUNCTION("""COMPUTED_VALUE"""),46074.0)</f>
        <v>46074</v>
      </c>
      <c r="N4532" s="33">
        <f>IFERROR(__xludf.DUMMYFUNCTION("""COMPUTED_VALUE"""),46162.0)</f>
        <v>46162</v>
      </c>
      <c r="O4532" s="20"/>
      <c r="P4532" s="32" t="str">
        <f>IFERROR(__xludf.DUMMYFUNCTION("""COMPUTED_VALUE"""),"可")</f>
        <v>可</v>
      </c>
      <c r="Q4532" s="30" t="str">
        <f>IFERROR(__xludf.DUMMYFUNCTION("""COMPUTED_VALUE"""),"格納素材を2分割して初回1~2巻として配信します。&lt;BR&gt;巻数については画像名で判断お願いいいたします。&lt;BR&gt;1巻：yamimadoushi_1_XXX.jpg&lt;BR&gt;2巻：yamimadoushi_2_XXX.jpg")</f>
        <v>格納素材を2分割して初回1~2巻として配信します。&lt;BR&gt;巻数については画像名で判断お願いいいたします。&lt;BR&gt;1巻：yamimadoushi_1_XXX.jpg&lt;BR&gt;2巻：yamimadoushi_2_XXX.jpg</v>
      </c>
      <c r="R4532" s="22" t="str">
        <f>IFERROR(__xludf.DUMMYFUNCTION("""COMPUTED_VALUE"""),"コミットOK")</f>
        <v>コミットOK</v>
      </c>
      <c r="S4532" s="22" t="str">
        <f>IFERROR(__xludf.DUMMYFUNCTION("""COMPUTED_VALUE"""),"20250106_BBB_虐げられ令嬢は闇魔導師への魔力供給を拒めない【R版】")</f>
        <v>20250106_BBB_虐げられ令嬢は闇魔導師への魔力供給を拒めない【R版】</v>
      </c>
      <c r="T4532" s="22" t="str">
        <f>IFERROR(__xludf.DUMMYFUNCTION("""COMPUTED_VALUE"""),"格納済み")</f>
        <v>格納済み</v>
      </c>
      <c r="U4532" s="9" t="str">
        <f>IFERROR(__xludf.DUMMYFUNCTION("""COMPUTED_VALUE"""),"Ⓒ八珠ぐみ/キケンな男子図鑑/Caleido Comics")</f>
        <v>Ⓒ八珠ぐみ/キケンな男子図鑑/Caleido Comics</v>
      </c>
      <c r="V4532" s="8"/>
      <c r="W4532" s="8"/>
      <c r="X4532" s="8" t="str">
        <f>IFERROR(__xludf.DUMMYFUNCTION("""COMPUTED_VALUE"""),"有")</f>
        <v>有</v>
      </c>
      <c r="Y4532" s="8" t="str">
        <f>IFERROR(__xludf.DUMMYFUNCTION("""COMPUTED_VALUE"""),"P17まで")</f>
        <v>P17まで</v>
      </c>
      <c r="Z4532" s="7"/>
      <c r="AA4532" s="7"/>
      <c r="AB4532" s="7"/>
    </row>
    <row r="4533" ht="15.75" customHeight="1">
      <c r="A4533" s="26">
        <f>IFERROR(__xludf.DUMMYFUNCTION("""COMPUTED_VALUE"""),7157.0)</f>
        <v>7157</v>
      </c>
      <c r="B4533" s="22" t="str">
        <f>IFERROR(__xludf.DUMMYFUNCTION("""COMPUTED_VALUE"""),"確定")</f>
        <v>確定</v>
      </c>
      <c r="C4533" s="28">
        <f>IFERROR(__xludf.DUMMYFUNCTION("""COMPUTED_VALUE"""),46028.0)</f>
        <v>46028</v>
      </c>
      <c r="D4533" s="28">
        <f>IFERROR(__xludf.DUMMYFUNCTION("""COMPUTED_VALUE"""),46036.0)</f>
        <v>46036</v>
      </c>
      <c r="E4533" s="26" t="str">
        <f>IFERROR(__xludf.DUMMYFUNCTION("""COMPUTED_VALUE"""),"※既に配信済みのためCMS削除")</f>
        <v>※既に配信済みのためCMS削除</v>
      </c>
      <c r="F4533" s="22" t="str">
        <f>IFERROR(__xludf.DUMMYFUNCTION("""COMPUTED_VALUE"""),"お嬢、手ほどきのお時間です～極道の男は甘く淫らにこの身に触れる～【単話売】")</f>
        <v>お嬢、手ほどきのお時間です～極道の男は甘く淫らにこの身に触れる～【単話売】</v>
      </c>
      <c r="G4533" s="20" t="str">
        <f>IFERROR(__xludf.DUMMYFUNCTION("""COMPUTED_VALUE"""),"1～2")</f>
        <v>1～2</v>
      </c>
      <c r="H4533" s="22" t="str">
        <f>IFERROR(__xludf.DUMMYFUNCTION("""COMPUTED_VALUE"""),"はちくもりん/東川カンナ/北沢きょう")</f>
        <v>はちくもりん/東川カンナ/北沢きょう</v>
      </c>
      <c r="I4533" s="22" t="str">
        <f>IFERROR(__xludf.DUMMYFUNCTION("""COMPUTED_VALUE"""),"TL")</f>
        <v>TL</v>
      </c>
      <c r="J4533" s="22"/>
      <c r="K4533" s="22" t="str">
        <f>IFERROR(__xludf.DUMMYFUNCTION("""COMPUTED_VALUE"""),"恋愛白書パステル")</f>
        <v>恋愛白書パステル</v>
      </c>
      <c r="L4533" s="22" t="str">
        <f>IFERROR(__xludf.DUMMYFUNCTION("""COMPUTED_VALUE"""),"宙出版")</f>
        <v>宙出版</v>
      </c>
      <c r="M4533" s="33">
        <f>IFERROR(__xludf.DUMMYFUNCTION("""COMPUTED_VALUE"""),46077.0)</f>
        <v>46077</v>
      </c>
      <c r="N4533" s="33">
        <f>IFERROR(__xludf.DUMMYFUNCTION("""COMPUTED_VALUE"""),46104.0)</f>
        <v>46104</v>
      </c>
      <c r="O4533" s="20"/>
      <c r="P4533" s="32" t="str">
        <f>IFERROR(__xludf.DUMMYFUNCTION("""COMPUTED_VALUE"""),"可")</f>
        <v>可</v>
      </c>
      <c r="Q4533" s="30"/>
      <c r="R4533" s="22"/>
      <c r="S4533" s="22" t="str">
        <f>IFERROR(__xludf.DUMMYFUNCTION("""COMPUTED_VALUE"""),"20260106_宙出版_お嬢、手ほどきのお時間です～極道の男は甘く淫らにこの身に触れる～【単話売】")</f>
        <v>20260106_宙出版_お嬢、手ほどきのお時間です～極道の男は甘く淫らにこの身に触れる～【単話売】</v>
      </c>
      <c r="T4533" s="22" t="str">
        <f>IFERROR(__xludf.DUMMYFUNCTION("""COMPUTED_VALUE"""),"格納済み")</f>
        <v>格納済み</v>
      </c>
      <c r="U4533" s="9" t="str">
        <f>IFERROR(__xludf.DUMMYFUNCTION("""COMPUTED_VALUE"""),"Ⓒはちくもりん/東川カンナ/宙出版")</f>
        <v>Ⓒはちくもりん/東川カンナ/宙出版</v>
      </c>
      <c r="V4533" s="8"/>
      <c r="W4533" s="8"/>
      <c r="X4533" s="8"/>
      <c r="Y4533" s="8" t="str">
        <f>IFERROR(__xludf.DUMMYFUNCTION("""COMPUTED_VALUE"""),"ー")</f>
        <v>ー</v>
      </c>
      <c r="Z4533" s="7"/>
      <c r="AA4533" s="7"/>
      <c r="AB4533" s="7"/>
    </row>
    <row r="4534" ht="15.75" customHeight="1">
      <c r="A4534" s="26">
        <f>IFERROR(__xludf.DUMMYFUNCTION("""COMPUTED_VALUE"""),7160.0)</f>
        <v>7160</v>
      </c>
      <c r="B4534" s="22" t="str">
        <f>IFERROR(__xludf.DUMMYFUNCTION("""COMPUTED_VALUE"""),"確定")</f>
        <v>確定</v>
      </c>
      <c r="C4534" s="28">
        <f>IFERROR(__xludf.DUMMYFUNCTION("""COMPUTED_VALUE"""),46028.0)</f>
        <v>46028</v>
      </c>
      <c r="D4534" s="28">
        <f>IFERROR(__xludf.DUMMYFUNCTION("""COMPUTED_VALUE"""),46036.0)</f>
        <v>46036</v>
      </c>
      <c r="E4534" s="26">
        <f>IFERROR(__xludf.DUMMYFUNCTION("""COMPUTED_VALUE"""),352073.0)</f>
        <v>352073</v>
      </c>
      <c r="F4534" s="22" t="str">
        <f>IFERROR(__xludf.DUMMYFUNCTION("""COMPUTED_VALUE"""),"獄門先輩の愛が重い　インテリジェンスな彼の理解しがたいストーカー行為【分冊版】")</f>
        <v>獄門先輩の愛が重い　インテリジェンスな彼の理解しがたいストーカー行為【分冊版】</v>
      </c>
      <c r="G4534" s="20" t="str">
        <f>IFERROR(__xludf.DUMMYFUNCTION("""COMPUTED_VALUE"""),"1~5")</f>
        <v>1~5</v>
      </c>
      <c r="H4534" s="22" t="str">
        <f>IFERROR(__xludf.DUMMYFUNCTION("""COMPUTED_VALUE"""),"原作：木陰侘　　漫画：犀木翔 　　キャラクター原案：yuiNa")</f>
        <v>原作：木陰侘　　漫画：犀木翔 　　キャラクター原案：yuiNa</v>
      </c>
      <c r="I4534" s="22" t="str">
        <f>IFERROR(__xludf.DUMMYFUNCTION("""COMPUTED_VALUE"""),"女性")</f>
        <v>女性</v>
      </c>
      <c r="J4534" s="22"/>
      <c r="K4534" s="22"/>
      <c r="L4534" s="22" t="str">
        <f>IFERROR(__xludf.DUMMYFUNCTION("""COMPUTED_VALUE"""),"マンガボックス")</f>
        <v>マンガボックス</v>
      </c>
      <c r="M4534" s="33">
        <f>IFERROR(__xludf.DUMMYFUNCTION("""COMPUTED_VALUE"""),46069.0)</f>
        <v>46069</v>
      </c>
      <c r="N4534" s="33">
        <f>IFERROR(__xludf.DUMMYFUNCTION("""COMPUTED_VALUE"""),46157.0)</f>
        <v>46157</v>
      </c>
      <c r="O4534" s="20"/>
      <c r="P4534" s="32" t="str">
        <f>IFERROR(__xludf.DUMMYFUNCTION("""COMPUTED_VALUE"""),"可")</f>
        <v>可</v>
      </c>
      <c r="Q4534" s="30"/>
      <c r="R4534" s="22"/>
      <c r="S4534" s="22" t="str">
        <f>IFERROR(__xludf.DUMMYFUNCTION("""COMPUTED_VALUE"""),"20260107_マンガボックス_獄門先輩の愛が重い　インテリジェンスな彼の理解しがたいストーカー行為")</f>
        <v>20260107_マンガボックス_獄門先輩の愛が重い　インテリジェンスな彼の理解しがたいストーカー行為</v>
      </c>
      <c r="T4534" s="22" t="str">
        <f>IFERROR(__xludf.DUMMYFUNCTION("""COMPUTED_VALUE"""),"格納済み")</f>
        <v>格納済み</v>
      </c>
      <c r="U4534" s="9" t="str">
        <f>IFERROR(__xludf.DUMMYFUNCTION("""COMPUTED_VALUE"""),"Ⓒ木陰侘・犀木翔/マンガボックス")</f>
        <v>Ⓒ木陰侘・犀木翔/マンガボックス</v>
      </c>
      <c r="V4534" s="8"/>
      <c r="W4534" s="8"/>
      <c r="X4534" s="8" t="str">
        <f>IFERROR(__xludf.DUMMYFUNCTION("""COMPUTED_VALUE"""),"有")</f>
        <v>有</v>
      </c>
      <c r="Y4534" s="8" t="str">
        <f>IFERROR(__xludf.DUMMYFUNCTION("""COMPUTED_VALUE"""),"2026/3/8まで1巻無料")</f>
        <v>2026/3/8まで1巻無料</v>
      </c>
      <c r="Z4534" s="7"/>
      <c r="AA4534" s="7"/>
      <c r="AB4534" s="7"/>
    </row>
    <row r="4535" ht="15.75" customHeight="1">
      <c r="A4535" s="26">
        <f>IFERROR(__xludf.DUMMYFUNCTION("""COMPUTED_VALUE"""),7163.0)</f>
        <v>7163</v>
      </c>
      <c r="B4535" s="22" t="str">
        <f>IFERROR(__xludf.DUMMYFUNCTION("""COMPUTED_VALUE"""),"確定")</f>
        <v>確定</v>
      </c>
      <c r="C4535" s="28">
        <f>IFERROR(__xludf.DUMMYFUNCTION("""COMPUTED_VALUE"""),46029.0)</f>
        <v>46029</v>
      </c>
      <c r="D4535" s="28">
        <f>IFERROR(__xludf.DUMMYFUNCTION("""COMPUTED_VALUE"""),46031.0)</f>
        <v>46031</v>
      </c>
      <c r="E4535" s="26">
        <f>IFERROR(__xludf.DUMMYFUNCTION("""COMPUTED_VALUE"""),349324.0)</f>
        <v>349324</v>
      </c>
      <c r="F4535" s="22" t="str">
        <f>IFERROR(__xludf.DUMMYFUNCTION("""COMPUTED_VALUE"""),"いつでもどこでも抜いてくれる友達")</f>
        <v>いつでもどこでも抜いてくれる友達</v>
      </c>
      <c r="G4535" s="20" t="str">
        <f>IFERROR(__xludf.DUMMYFUNCTION("""COMPUTED_VALUE"""),"1～2")</f>
        <v>1～2</v>
      </c>
      <c r="H4535" s="22" t="str">
        <f>IFERROR(__xludf.DUMMYFUNCTION("""COMPUTED_VALUE"""),"サカガキ")</f>
        <v>サカガキ</v>
      </c>
      <c r="I4535" s="22" t="str">
        <f>IFERROR(__xludf.DUMMYFUNCTION("""COMPUTED_VALUE"""),"アダルトマンガ")</f>
        <v>アダルトマンガ</v>
      </c>
      <c r="J4535" s="22"/>
      <c r="K4535" s="22"/>
      <c r="L4535" s="22" t="str">
        <f>IFERROR(__xludf.DUMMYFUNCTION("""COMPUTED_VALUE"""),"セ・キララ文庫")</f>
        <v>セ・キララ文庫</v>
      </c>
      <c r="M4535" s="33">
        <f>IFERROR(__xludf.DUMMYFUNCTION("""COMPUTED_VALUE"""),46061.0)</f>
        <v>46061</v>
      </c>
      <c r="N4535" s="33">
        <f>IFERROR(__xludf.DUMMYFUNCTION("""COMPUTED_VALUE"""),46090.0)</f>
        <v>46090</v>
      </c>
      <c r="O4535" s="20"/>
      <c r="P4535" s="32" t="str">
        <f>IFERROR(__xludf.DUMMYFUNCTION("""COMPUTED_VALUE"""),"可")</f>
        <v>可</v>
      </c>
      <c r="Q4535" s="30"/>
      <c r="R4535" s="22"/>
      <c r="S4535" s="22" t="str">
        <f>IFERROR(__xludf.DUMMYFUNCTION("""COMPUTED_VALUE"""),"20260107_ライドオン_いつでもどこでも抜いてくれる友達")</f>
        <v>20260107_ライドオン_いつでもどこでも抜いてくれる友達</v>
      </c>
      <c r="T4535" s="22" t="str">
        <f>IFERROR(__xludf.DUMMYFUNCTION("""COMPUTED_VALUE"""),"格納済み")</f>
        <v>格納済み</v>
      </c>
      <c r="U4535" s="9" t="str">
        <f>IFERROR(__xludf.DUMMYFUNCTION("""COMPUTED_VALUE"""),"Ⓒサカガキ/セ・キララ文庫")</f>
        <v>Ⓒサカガキ/セ・キララ文庫</v>
      </c>
      <c r="V4535" s="8"/>
      <c r="W4535" s="8"/>
      <c r="X4535" s="8" t="str">
        <f>IFERROR(__xludf.DUMMYFUNCTION("""COMPUTED_VALUE"""),"有")</f>
        <v>有</v>
      </c>
      <c r="Y4535" s="8" t="str">
        <f>IFERROR(__xludf.DUMMYFUNCTION("""COMPUTED_VALUE"""),"2026/3/9まで1巻立ち読み増量（P17）")</f>
        <v>2026/3/9まで1巻立ち読み増量（P17）</v>
      </c>
      <c r="Z4535" s="7"/>
      <c r="AA4535" s="7"/>
      <c r="AB4535" s="7"/>
    </row>
    <row r="4536" ht="15.75" customHeight="1">
      <c r="A4536" s="26">
        <f>IFERROR(__xludf.DUMMYFUNCTION("""COMPUTED_VALUE"""),7164.0)</f>
        <v>7164</v>
      </c>
      <c r="B4536" s="22" t="str">
        <f>IFERROR(__xludf.DUMMYFUNCTION("""COMPUTED_VALUE"""),"確定")</f>
        <v>確定</v>
      </c>
      <c r="C4536" s="28">
        <f>IFERROR(__xludf.DUMMYFUNCTION("""COMPUTED_VALUE"""),46029.0)</f>
        <v>46029</v>
      </c>
      <c r="D4536" s="28">
        <f>IFERROR(__xludf.DUMMYFUNCTION("""COMPUTED_VALUE"""),46031.0)</f>
        <v>46031</v>
      </c>
      <c r="E4536" s="26">
        <f>IFERROR(__xludf.DUMMYFUNCTION("""COMPUTED_VALUE"""),349326.0)</f>
        <v>349326</v>
      </c>
      <c r="F4536" s="22" t="str">
        <f>IFERROR(__xludf.DUMMYFUNCTION("""COMPUTED_VALUE"""),"便利屋さんは寝取り屋さん")</f>
        <v>便利屋さんは寝取り屋さん</v>
      </c>
      <c r="G4536" s="20" t="str">
        <f>IFERROR(__xludf.DUMMYFUNCTION("""COMPUTED_VALUE"""),"1～4")</f>
        <v>1～4</v>
      </c>
      <c r="H4536" s="22" t="str">
        <f>IFERROR(__xludf.DUMMYFUNCTION("""COMPUTED_VALUE"""),"高代硝石/蜂st")</f>
        <v>高代硝石/蜂st</v>
      </c>
      <c r="I4536" s="22" t="str">
        <f>IFERROR(__xludf.DUMMYFUNCTION("""COMPUTED_VALUE"""),"アダルトマンガ")</f>
        <v>アダルトマンガ</v>
      </c>
      <c r="J4536" s="22"/>
      <c r="K4536" s="22"/>
      <c r="L4536" s="22" t="str">
        <f>IFERROR(__xludf.DUMMYFUNCTION("""COMPUTED_VALUE"""),"セ・キララ文庫")</f>
        <v>セ・キララ文庫</v>
      </c>
      <c r="M4536" s="33">
        <f>IFERROR(__xludf.DUMMYFUNCTION("""COMPUTED_VALUE"""),46061.0)</f>
        <v>46061</v>
      </c>
      <c r="N4536" s="33">
        <f>IFERROR(__xludf.DUMMYFUNCTION("""COMPUTED_VALUE"""),46090.0)</f>
        <v>46090</v>
      </c>
      <c r="O4536" s="20"/>
      <c r="P4536" s="32" t="str">
        <f>IFERROR(__xludf.DUMMYFUNCTION("""COMPUTED_VALUE"""),"可")</f>
        <v>可</v>
      </c>
      <c r="Q4536" s="30"/>
      <c r="R4536" s="22"/>
      <c r="S4536" s="22" t="str">
        <f>IFERROR(__xludf.DUMMYFUNCTION("""COMPUTED_VALUE"""),"20260107_ライドオン_便利屋さんは寝取り屋さん")</f>
        <v>20260107_ライドオン_便利屋さんは寝取り屋さん</v>
      </c>
      <c r="T4536" s="22" t="str">
        <f>IFERROR(__xludf.DUMMYFUNCTION("""COMPUTED_VALUE"""),"格納済み")</f>
        <v>格納済み</v>
      </c>
      <c r="U4536" s="9" t="str">
        <f>IFERROR(__xludf.DUMMYFUNCTION("""COMPUTED_VALUE"""),"Ⓒ高代硝石/蜂st/セ・キララ文庫")</f>
        <v>Ⓒ高代硝石/蜂st/セ・キララ文庫</v>
      </c>
      <c r="V4536" s="8"/>
      <c r="W4536" s="8"/>
      <c r="X4536" s="8" t="str">
        <f>IFERROR(__xludf.DUMMYFUNCTION("""COMPUTED_VALUE"""),"有")</f>
        <v>有</v>
      </c>
      <c r="Y4536" s="8" t="str">
        <f>IFERROR(__xludf.DUMMYFUNCTION("""COMPUTED_VALUE"""),"2026/3/9まで1巻目立ち読み増量（P14）
2026/3/9まで3巻目立ち読み増量（P14）")</f>
        <v>2026/3/9まで1巻目立ち読み増量（P14）
2026/3/9まで3巻目立ち読み増量（P14）</v>
      </c>
      <c r="Z4536" s="7"/>
      <c r="AA4536" s="7"/>
      <c r="AB4536" s="7"/>
    </row>
    <row r="4537" ht="15.75" customHeight="1">
      <c r="A4537" s="26">
        <f>IFERROR(__xludf.DUMMYFUNCTION("""COMPUTED_VALUE"""),7057.0)</f>
        <v>7057</v>
      </c>
      <c r="B4537" s="22" t="str">
        <f>IFERROR(__xludf.DUMMYFUNCTION("""COMPUTED_VALUE"""),"確定")</f>
        <v>確定</v>
      </c>
      <c r="C4537" s="28">
        <f>IFERROR(__xludf.DUMMYFUNCTION("""COMPUTED_VALUE"""),46006.0)</f>
        <v>46006</v>
      </c>
      <c r="D4537" s="28">
        <f>IFERROR(__xludf.DUMMYFUNCTION("""COMPUTED_VALUE"""),46035.0)</f>
        <v>46035</v>
      </c>
      <c r="E4537" s="26">
        <f>IFERROR(__xludf.DUMMYFUNCTION("""COMPUTED_VALUE"""),330309.0)</f>
        <v>330309</v>
      </c>
      <c r="F4537" s="22" t="str">
        <f>IFERROR(__xludf.DUMMYFUNCTION("""COMPUTED_VALUE"""),"一人で生きたいお姫様 ※ヒーロー拒絶中(フルカラー)")</f>
        <v>一人で生きたいお姫様 ※ヒーロー拒絶中(フルカラー)</v>
      </c>
      <c r="G4537" s="20" t="str">
        <f>IFERROR(__xludf.DUMMYFUNCTION("""COMPUTED_VALUE"""),"1～5")</f>
        <v>1～5</v>
      </c>
      <c r="H4537" s="22" t="str">
        <f>IFERROR(__xludf.DUMMYFUNCTION("""COMPUTED_VALUE"""),"ddanit,Moon si hyun")</f>
        <v>ddanit,Moon si hyun</v>
      </c>
      <c r="I4537" s="22" t="str">
        <f>IFERROR(__xludf.DUMMYFUNCTION("""COMPUTED_VALUE"""),"少女マンガ")</f>
        <v>少女マンガ</v>
      </c>
      <c r="J4537" s="22"/>
      <c r="K4537" s="22" t="str">
        <f>IFERROR(__xludf.DUMMYFUNCTION("""COMPUTED_VALUE"""),"恋するソワレ")</f>
        <v>恋するソワレ</v>
      </c>
      <c r="L4537" s="22" t="str">
        <f>IFERROR(__xludf.DUMMYFUNCTION("""COMPUTED_VALUE"""),"シーモアコミックス")</f>
        <v>シーモアコミックス</v>
      </c>
      <c r="M4537" s="33">
        <f>IFERROR(__xludf.DUMMYFUNCTION("""COMPUTED_VALUE"""),46054.0)</f>
        <v>46054</v>
      </c>
      <c r="N4537" s="33">
        <f>IFERROR(__xludf.DUMMYFUNCTION("""COMPUTED_VALUE"""),46205.66666666667)</f>
        <v>46205.66667</v>
      </c>
      <c r="O4537" s="20"/>
      <c r="P4537" s="32" t="str">
        <f>IFERROR(__xludf.DUMMYFUNCTION("""COMPUTED_VALUE"""),"可")</f>
        <v>可</v>
      </c>
      <c r="Q4537" s="30"/>
      <c r="R4537" s="22"/>
      <c r="S4537" s="22" t="str">
        <f>IFERROR(__xludf.DUMMYFUNCTION("""COMPUTED_VALUE"""),"20251215_シーモアコミックス_一人で生きたいお姫様 ※ヒーロー拒絶中（フルカラー）")</f>
        <v>20251215_シーモアコミックス_一人で生きたいお姫様 ※ヒーロー拒絶中（フルカラー）</v>
      </c>
      <c r="T4537" s="22" t="str">
        <f>IFERROR(__xludf.DUMMYFUNCTION("""COMPUTED_VALUE"""),"格納済み")</f>
        <v>格納済み</v>
      </c>
      <c r="U4537" s="9" t="str">
        <f>IFERROR(__xludf.DUMMYFUNCTION("""COMPUTED_VALUE"""),"(C) ddanit/Moon si hyun/鶴山文化社/シーモアコミックス")</f>
        <v>(C) ddanit/Moon si hyun/鶴山文化社/シーモアコミックス</v>
      </c>
      <c r="V4537" s="8"/>
      <c r="W4537" s="8"/>
      <c r="X4537" s="8" t="str">
        <f>IFERROR(__xludf.DUMMYFUNCTION("""COMPUTED_VALUE"""),"有")</f>
        <v>有</v>
      </c>
      <c r="Y4537" s="8" t="str">
        <f>IFERROR(__xludf.DUMMYFUNCTION("""COMPUTED_VALUE"""),"2026/2/28まで1巻無料")</f>
        <v>2026/2/28まで1巻無料</v>
      </c>
      <c r="Z4537" s="7"/>
      <c r="AA4537" s="7"/>
      <c r="AB4537" s="7"/>
    </row>
    <row r="4538" ht="15.75" customHeight="1">
      <c r="A4538" s="26">
        <f>IFERROR(__xludf.DUMMYFUNCTION("""COMPUTED_VALUE"""),7058.0)</f>
        <v>7058</v>
      </c>
      <c r="B4538" s="22" t="str">
        <f>IFERROR(__xludf.DUMMYFUNCTION("""COMPUTED_VALUE"""),"確定")</f>
        <v>確定</v>
      </c>
      <c r="C4538" s="28">
        <f>IFERROR(__xludf.DUMMYFUNCTION("""COMPUTED_VALUE"""),46006.0)</f>
        <v>46006</v>
      </c>
      <c r="D4538" s="28">
        <f>IFERROR(__xludf.DUMMYFUNCTION("""COMPUTED_VALUE"""),46035.0)</f>
        <v>46035</v>
      </c>
      <c r="E4538" s="26">
        <f>IFERROR(__xludf.DUMMYFUNCTION("""COMPUTED_VALUE"""),330310.0)</f>
        <v>330310</v>
      </c>
      <c r="F4538" s="22" t="str">
        <f>IFERROR(__xludf.DUMMYFUNCTION("""COMPUTED_VALUE"""),"一人で生きたいお姫様 ※ヒーロー拒絶中【タテヨミ】")</f>
        <v>一人で生きたいお姫様 ※ヒーロー拒絶中【タテヨミ】</v>
      </c>
      <c r="G4538" s="20" t="str">
        <f>IFERROR(__xludf.DUMMYFUNCTION("""COMPUTED_VALUE"""),"1～10")</f>
        <v>1～10</v>
      </c>
      <c r="H4538" s="22" t="str">
        <f>IFERROR(__xludf.DUMMYFUNCTION("""COMPUTED_VALUE"""),"ddanit,Moon si hyun")</f>
        <v>ddanit,Moon si hyun</v>
      </c>
      <c r="I4538" s="22" t="str">
        <f>IFERROR(__xludf.DUMMYFUNCTION("""COMPUTED_VALUE"""),"少女マンガ")</f>
        <v>少女マンガ</v>
      </c>
      <c r="J4538" s="22"/>
      <c r="K4538" s="22" t="str">
        <f>IFERROR(__xludf.DUMMYFUNCTION("""COMPUTED_VALUE"""),"恋するソワレ")</f>
        <v>恋するソワレ</v>
      </c>
      <c r="L4538" s="22" t="str">
        <f>IFERROR(__xludf.DUMMYFUNCTION("""COMPUTED_VALUE"""),"シーモアコミックス")</f>
        <v>シーモアコミックス</v>
      </c>
      <c r="M4538" s="33">
        <f>IFERROR(__xludf.DUMMYFUNCTION("""COMPUTED_VALUE"""),46054.0)</f>
        <v>46054</v>
      </c>
      <c r="N4538" s="33">
        <f>IFERROR(__xludf.DUMMYFUNCTION("""COMPUTED_VALUE"""),2958465.0)</f>
        <v>2958465</v>
      </c>
      <c r="O4538" s="20"/>
      <c r="P4538" s="32" t="str">
        <f>IFERROR(__xludf.DUMMYFUNCTION("""COMPUTED_VALUE"""),"可")</f>
        <v>可</v>
      </c>
      <c r="Q4538" s="30" t="str">
        <f>IFERROR(__xludf.DUMMYFUNCTION("""COMPUTED_VALUE"""),"※コマサム等素材は「330309　一人で生きたいお姫様 ※ヒーロー拒絶中(フルカラー)」の方をお使いください。バナー制作はフルカラー版の素材を利用して問題ございません。&lt;BR&gt;")</f>
        <v>※コマサム等素材は「330309　一人で生きたいお姫様 ※ヒーロー拒絶中(フルカラー)」の方をお使いください。バナー制作はフルカラー版の素材を利用して問題ございません。&lt;BR&gt;</v>
      </c>
      <c r="R4538" s="22"/>
      <c r="S4538" s="22" t="str">
        <f>IFERROR(__xludf.DUMMYFUNCTION("""COMPUTED_VALUE"""),"20251215_シーモアコミックス_一人で生きたいお姫様 ※ヒーロー拒絶中【タテヨミ】")</f>
        <v>20251215_シーモアコミックス_一人で生きたいお姫様 ※ヒーロー拒絶中【タテヨミ】</v>
      </c>
      <c r="T4538" s="22" t="str">
        <f>IFERROR(__xludf.DUMMYFUNCTION("""COMPUTED_VALUE"""),"格納済み")</f>
        <v>格納済み</v>
      </c>
      <c r="U4538" s="9" t="str">
        <f>IFERROR(__xludf.DUMMYFUNCTION("""COMPUTED_VALUE"""),"(C) ddanit/Moon si hyun/鶴山文化社/シーモアコミックス")</f>
        <v>(C) ddanit/Moon si hyun/鶴山文化社/シーモアコミックス</v>
      </c>
      <c r="V4538" s="8"/>
      <c r="W4538" s="8"/>
      <c r="X4538" s="8" t="str">
        <f>IFERROR(__xludf.DUMMYFUNCTION("""COMPUTED_VALUE"""),"有")</f>
        <v>有</v>
      </c>
      <c r="Y4538" s="8" t="str">
        <f>IFERROR(__xludf.DUMMYFUNCTION("""COMPUTED_VALUE"""),"2026/2/28まで1~2巻無料")</f>
        <v>2026/2/28まで1~2巻無料</v>
      </c>
      <c r="Z4538" s="7"/>
      <c r="AA4538" s="7"/>
      <c r="AB4538" s="7"/>
    </row>
    <row r="4539" ht="15.75" customHeight="1">
      <c r="A4539" s="26">
        <f>IFERROR(__xludf.DUMMYFUNCTION("""COMPUTED_VALUE"""),6429.0)</f>
        <v>6429</v>
      </c>
      <c r="B4539" s="22" t="str">
        <f>IFERROR(__xludf.DUMMYFUNCTION("""COMPUTED_VALUE"""),"確定")</f>
        <v>確定</v>
      </c>
      <c r="C4539" s="28">
        <f>IFERROR(__xludf.DUMMYFUNCTION("""COMPUTED_VALUE"""),45904.0)</f>
        <v>45904</v>
      </c>
      <c r="D4539" s="28">
        <f>IFERROR(__xludf.DUMMYFUNCTION("""COMPUTED_VALUE"""),46043.0)</f>
        <v>46043</v>
      </c>
      <c r="E4539" s="26">
        <f>IFERROR(__xludf.DUMMYFUNCTION("""COMPUTED_VALUE"""),351427.0)</f>
        <v>351427</v>
      </c>
      <c r="F4539" s="22" t="str">
        <f>IFERROR(__xludf.DUMMYFUNCTION("""COMPUTED_VALUE"""),"侯爵令嬢アリアレインの追放　the Banishment of Lady Arialaine【単話版】")</f>
        <v>侯爵令嬢アリアレインの追放　the Banishment of Lady Arialaine【単話版】</v>
      </c>
      <c r="G4539" s="20" t="str">
        <f>IFERROR(__xludf.DUMMYFUNCTION("""COMPUTED_VALUE"""),"1～3")</f>
        <v>1～3</v>
      </c>
      <c r="H4539" s="22" t="str">
        <f>IFERROR(__xludf.DUMMYFUNCTION("""COMPUTED_VALUE"""),"如月にまる,しろうるり,RAHWIA")</f>
        <v>如月にまる,しろうるり,RAHWIA</v>
      </c>
      <c r="I4539" s="22" t="str">
        <f>IFERROR(__xludf.DUMMYFUNCTION("""COMPUTED_VALUE"""),"少女")</f>
        <v>少女</v>
      </c>
      <c r="J4539" s="22"/>
      <c r="K4539" s="22"/>
      <c r="L4539" s="22" t="str">
        <f>IFERROR(__xludf.DUMMYFUNCTION("""COMPUTED_VALUE"""),"アース・スターエンターテイメント")</f>
        <v>アース・スターエンターテイメント</v>
      </c>
      <c r="M4539" s="33">
        <f>IFERROR(__xludf.DUMMYFUNCTION("""COMPUTED_VALUE"""),46072.0)</f>
        <v>46072</v>
      </c>
      <c r="N4539" s="33">
        <f>IFERROR(__xludf.DUMMYFUNCTION("""COMPUTED_VALUE"""),46143.0)</f>
        <v>46143</v>
      </c>
      <c r="O4539" s="20"/>
      <c r="P4539" s="32" t="str">
        <f>IFERROR(__xludf.DUMMYFUNCTION("""COMPUTED_VALUE"""),"否")</f>
        <v>否</v>
      </c>
      <c r="Q4539" s="30" t="str">
        <f>IFERROR(__xludf.DUMMYFUNCTION("""COMPUTED_VALUE"""),"各話素材がa、bに分かれていますがa、b合わせて1話の計3話分です。")</f>
        <v>各話素材がa、bに分かれていますがa、b合わせて1話の計3話分です。</v>
      </c>
      <c r="R4539" s="22" t="str">
        <f>IFERROR(__xludf.DUMMYFUNCTION("""COMPUTED_VALUE"""),"コミットNG")</f>
        <v>コミットNG</v>
      </c>
      <c r="S4539" s="22" t="str">
        <f>IFERROR(__xludf.DUMMYFUNCTION("""COMPUTED_VALUE"""),"20251201_アース・スター_侯爵令嬢アリアレインの追放")</f>
        <v>20251201_アース・スター_侯爵令嬢アリアレインの追放</v>
      </c>
      <c r="T4539" s="22" t="str">
        <f>IFERROR(__xludf.DUMMYFUNCTION("""COMPUTED_VALUE"""),"格納済み")</f>
        <v>格納済み</v>
      </c>
      <c r="U4539" s="9" t="str">
        <f>IFERROR(__xludf.DUMMYFUNCTION("""COMPUTED_VALUE"""),"Ⓒ 如月にまる　Ⓒ しろうるり・RAHWIA/アース・スター エンターテイメント")</f>
        <v>Ⓒ 如月にまる　Ⓒ しろうるり・RAHWIA/アース・スター エンターテイメント</v>
      </c>
      <c r="V4539" s="8"/>
      <c r="W4539" s="8"/>
      <c r="X4539" s="8" t="str">
        <f>IFERROR(__xludf.DUMMYFUNCTION("""COMPUTED_VALUE"""),"有")</f>
        <v>有</v>
      </c>
      <c r="Y4539" s="8" t="str">
        <f>IFERROR(__xludf.DUMMYFUNCTION("""COMPUTED_VALUE"""),"P3まで")</f>
        <v>P3まで</v>
      </c>
      <c r="Z4539" s="7"/>
      <c r="AA4539" s="7"/>
      <c r="AB4539" s="7"/>
    </row>
    <row r="4540" ht="15.75" customHeight="1">
      <c r="A4540" s="26">
        <f>IFERROR(__xludf.DUMMYFUNCTION("""COMPUTED_VALUE"""),6705.0)</f>
        <v>6705</v>
      </c>
      <c r="B4540" s="22" t="str">
        <f>IFERROR(__xludf.DUMMYFUNCTION("""COMPUTED_VALUE"""),"確定")</f>
        <v>確定</v>
      </c>
      <c r="C4540" s="28">
        <f>IFERROR(__xludf.DUMMYFUNCTION("""COMPUTED_VALUE"""),45951.0)</f>
        <v>45951</v>
      </c>
      <c r="D4540" s="28">
        <f>IFERROR(__xludf.DUMMYFUNCTION("""COMPUTED_VALUE"""),46042.0)</f>
        <v>46042</v>
      </c>
      <c r="E4540" s="26">
        <f>IFERROR(__xludf.DUMMYFUNCTION("""COMPUTED_VALUE"""),349662.0)</f>
        <v>349662</v>
      </c>
      <c r="F4540" s="22" t="str">
        <f>IFERROR(__xludf.DUMMYFUNCTION("""COMPUTED_VALUE"""),"愛重めの幼馴染はよわよわなアソコに触れたがる〜俺以外でイッたらダメだよ？〜")</f>
        <v>愛重めの幼馴染はよわよわなアソコに触れたがる〜俺以外でイッたらダメだよ？〜</v>
      </c>
      <c r="G4540" s="20" t="str">
        <f>IFERROR(__xludf.DUMMYFUNCTION("""COMPUTED_VALUE"""),"1～3")</f>
        <v>1～3</v>
      </c>
      <c r="H4540" s="22" t="str">
        <f>IFERROR(__xludf.DUMMYFUNCTION("""COMPUTED_VALUE"""),"鳴海みや")</f>
        <v>鳴海みや</v>
      </c>
      <c r="I4540" s="22" t="str">
        <f>IFERROR(__xludf.DUMMYFUNCTION("""COMPUTED_VALUE"""),"TLマンガ")</f>
        <v>TLマンガ</v>
      </c>
      <c r="J4540" s="22"/>
      <c r="K4540" s="22"/>
      <c r="L4540" s="22" t="str">
        <f>IFERROR(__xludf.DUMMYFUNCTION("""COMPUTED_VALUE"""),"アイプロダクション")</f>
        <v>アイプロダクション</v>
      </c>
      <c r="M4540" s="33">
        <f>IFERROR(__xludf.DUMMYFUNCTION("""COMPUTED_VALUE"""),46066.0)</f>
        <v>46066</v>
      </c>
      <c r="N4540" s="33">
        <f>IFERROR(__xludf.DUMMYFUNCTION("""COMPUTED_VALUE"""),46093.0)</f>
        <v>46093</v>
      </c>
      <c r="O4540" s="20"/>
      <c r="P4540" s="32" t="str">
        <f>IFERROR(__xludf.DUMMYFUNCTION("""COMPUTED_VALUE"""),"可")</f>
        <v>可</v>
      </c>
      <c r="Q4540" s="30"/>
      <c r="R4540" s="22" t="str">
        <f>IFERROR(__xludf.DUMMYFUNCTION("""COMPUTED_VALUE"""),"コミットNG")</f>
        <v>コミットNG</v>
      </c>
      <c r="S4540" s="22" t="str">
        <f>IFERROR(__xludf.DUMMYFUNCTION("""COMPUTED_VALUE"""),"20260113_アイプロダクション_愛重めの幼馴染はよわよわなアソコに触れたがる")</f>
        <v>20260113_アイプロダクション_愛重めの幼馴染はよわよわなアソコに触れたがる</v>
      </c>
      <c r="T4540" s="22" t="str">
        <f>IFERROR(__xludf.DUMMYFUNCTION("""COMPUTED_VALUE"""),"格納済み")</f>
        <v>格納済み</v>
      </c>
      <c r="U4540" s="9" t="str">
        <f>IFERROR(__xludf.DUMMYFUNCTION("""COMPUTED_VALUE"""),"鳴海みや/アイプロダクション")</f>
        <v>鳴海みや/アイプロダクション</v>
      </c>
      <c r="V4540" s="8"/>
      <c r="W4540" s="8"/>
      <c r="X4540" s="8" t="str">
        <f>IFERROR(__xludf.DUMMYFUNCTION("""COMPUTED_VALUE"""),"有")</f>
        <v>有</v>
      </c>
      <c r="Y4540" s="8" t="str">
        <f>IFERROR(__xludf.DUMMYFUNCTION("""COMPUTED_VALUE"""),"P8まで")</f>
        <v>P8まで</v>
      </c>
      <c r="Z4540" s="7"/>
      <c r="AA4540" s="7"/>
      <c r="AB4540" s="7"/>
    </row>
    <row r="4541" ht="15.75" customHeight="1">
      <c r="A4541" s="26">
        <f>IFERROR(__xludf.DUMMYFUNCTION("""COMPUTED_VALUE"""),6759.0)</f>
        <v>6759</v>
      </c>
      <c r="B4541" s="22" t="str">
        <f>IFERROR(__xludf.DUMMYFUNCTION("""COMPUTED_VALUE"""),"確定")</f>
        <v>確定</v>
      </c>
      <c r="C4541" s="28">
        <f>IFERROR(__xludf.DUMMYFUNCTION("""COMPUTED_VALUE"""),45959.0)</f>
        <v>45959</v>
      </c>
      <c r="D4541" s="28">
        <f>IFERROR(__xludf.DUMMYFUNCTION("""COMPUTED_VALUE"""),46043.0)</f>
        <v>46043</v>
      </c>
      <c r="E4541" s="26">
        <f>IFERROR(__xludf.DUMMYFUNCTION("""COMPUTED_VALUE"""),351284.0)</f>
        <v>351284</v>
      </c>
      <c r="F4541" s="22" t="str">
        <f>IFERROR(__xludf.DUMMYFUNCTION("""COMPUTED_VALUE"""),"消滅した悪役令嬢（分冊版）")</f>
        <v>消滅した悪役令嬢（分冊版）</v>
      </c>
      <c r="G4541" s="20" t="str">
        <f>IFERROR(__xludf.DUMMYFUNCTION("""COMPUTED_VALUE"""),"1～5")</f>
        <v>1～5</v>
      </c>
      <c r="H4541" s="22" t="str">
        <f>IFERROR(__xludf.DUMMYFUNCTION("""COMPUTED_VALUE"""),"マロン株式・北川あじゅ")</f>
        <v>マロン株式・北川あじゅ</v>
      </c>
      <c r="I4541" s="22" t="str">
        <f>IFERROR(__xludf.DUMMYFUNCTION("""COMPUTED_VALUE"""),"女性")</f>
        <v>女性</v>
      </c>
      <c r="J4541" s="22"/>
      <c r="K4541" s="22"/>
      <c r="L4541" s="22" t="str">
        <f>IFERROR(__xludf.DUMMYFUNCTION("""COMPUTED_VALUE"""),"アルファポリス")</f>
        <v>アルファポリス</v>
      </c>
      <c r="M4541" s="33">
        <f>IFERROR(__xludf.DUMMYFUNCTION("""COMPUTED_VALUE"""),46080.0)</f>
        <v>46080</v>
      </c>
      <c r="N4541" s="33">
        <f>IFERROR(__xludf.DUMMYFUNCTION("""COMPUTED_VALUE"""),46198.66666666667)</f>
        <v>46198.66667</v>
      </c>
      <c r="O4541" s="20"/>
      <c r="P4541" s="32" t="str">
        <f>IFERROR(__xludf.DUMMYFUNCTION("""COMPUTED_VALUE"""),"可")</f>
        <v>可</v>
      </c>
      <c r="Q4541" s="30"/>
      <c r="R4541" s="22" t="str">
        <f>IFERROR(__xludf.DUMMYFUNCTION("""COMPUTED_VALUE"""),"コミットOK")</f>
        <v>コミットOK</v>
      </c>
      <c r="S4541" s="22" t="str">
        <f>IFERROR(__xludf.DUMMYFUNCTION("""COMPUTED_VALUE"""),"20260115_アルファポリス_消滅した悪役令嬢")</f>
        <v>20260115_アルファポリス_消滅した悪役令嬢</v>
      </c>
      <c r="T4541" s="22" t="str">
        <f>IFERROR(__xludf.DUMMYFUNCTION("""COMPUTED_VALUE"""),"格納済み")</f>
        <v>格納済み</v>
      </c>
      <c r="U4541" s="9" t="str">
        <f>IFERROR(__xludf.DUMMYFUNCTION("""COMPUTED_VALUE"""),"（C）マロン株式・北川あじゅ／アルファポリス")</f>
        <v>（C）マロン株式・北川あじゅ／アルファポリス</v>
      </c>
      <c r="V4541" s="8"/>
      <c r="W4541" s="8"/>
      <c r="X4541" s="8" t="str">
        <f>IFERROR(__xludf.DUMMYFUNCTION("""COMPUTED_VALUE"""),"有")</f>
        <v>有</v>
      </c>
      <c r="Y4541" s="8" t="str">
        <f>IFERROR(__xludf.DUMMYFUNCTION("""COMPUTED_VALUE"""),"1巻無料")</f>
        <v>1巻無料</v>
      </c>
      <c r="Z4541" s="7"/>
      <c r="AA4541" s="7"/>
      <c r="AB4541" s="7"/>
    </row>
    <row r="4542" ht="15.75" customHeight="1">
      <c r="A4542" s="26">
        <f>IFERROR(__xludf.DUMMYFUNCTION("""COMPUTED_VALUE"""),6836.0)</f>
        <v>6836</v>
      </c>
      <c r="B4542" s="22" t="str">
        <f>IFERROR(__xludf.DUMMYFUNCTION("""COMPUTED_VALUE"""),"確定")</f>
        <v>確定</v>
      </c>
      <c r="C4542" s="28">
        <f>IFERROR(__xludf.DUMMYFUNCTION("""COMPUTED_VALUE"""),45971.0)</f>
        <v>45971</v>
      </c>
      <c r="D4542" s="28">
        <f>IFERROR(__xludf.DUMMYFUNCTION("""COMPUTED_VALUE"""),46037.0)</f>
        <v>46037</v>
      </c>
      <c r="E4542" s="26">
        <f>IFERROR(__xludf.DUMMYFUNCTION("""COMPUTED_VALUE"""),351663.0)</f>
        <v>351663</v>
      </c>
      <c r="F4542" s="22" t="str">
        <f>IFERROR(__xludf.DUMMYFUNCTION("""COMPUTED_VALUE"""),"巨乳エルフ姫、人間の「欲棒」を教え込まれて即イキ体質になりました。")</f>
        <v>巨乳エルフ姫、人間の「欲棒」を教え込まれて即イキ体質になりました。</v>
      </c>
      <c r="G4542" s="20" t="str">
        <f>IFERROR(__xludf.DUMMYFUNCTION("""COMPUTED_VALUE"""),"1～3")</f>
        <v>1～3</v>
      </c>
      <c r="H4542" s="22" t="str">
        <f>IFERROR(__xludf.DUMMYFUNCTION("""COMPUTED_VALUE"""),"銀木星ねむる")</f>
        <v>銀木星ねむる</v>
      </c>
      <c r="I4542" s="22" t="str">
        <f>IFERROR(__xludf.DUMMYFUNCTION("""COMPUTED_VALUE"""),"アダルト")</f>
        <v>アダルト</v>
      </c>
      <c r="J4542" s="22"/>
      <c r="K4542" s="22" t="str">
        <f>IFERROR(__xludf.DUMMYFUNCTION("""COMPUTED_VALUE"""),"もえスタビースト")</f>
        <v>もえスタビースト</v>
      </c>
      <c r="L4542" s="22" t="str">
        <f>IFERROR(__xludf.DUMMYFUNCTION("""COMPUTED_VALUE"""),"DEEPER-ZERO")</f>
        <v>DEEPER-ZERO</v>
      </c>
      <c r="M4542" s="33">
        <f>IFERROR(__xludf.DUMMYFUNCTION("""COMPUTED_VALUE"""),46074.0)</f>
        <v>46074</v>
      </c>
      <c r="N4542" s="33">
        <f>IFERROR(__xludf.DUMMYFUNCTION("""COMPUTED_VALUE"""),46129.0)</f>
        <v>46129</v>
      </c>
      <c r="O4542" s="20"/>
      <c r="P4542" s="32" t="str">
        <f>IFERROR(__xludf.DUMMYFUNCTION("""COMPUTED_VALUE"""),"可")</f>
        <v>可</v>
      </c>
      <c r="Q4542" s="30"/>
      <c r="R4542" s="22" t="str">
        <f>IFERROR(__xludf.DUMMYFUNCTION("""COMPUTED_VALUE"""),"コミットOK")</f>
        <v>コミットOK</v>
      </c>
      <c r="S4542" s="22" t="str">
        <f>IFERROR(__xludf.DUMMYFUNCTION("""COMPUTED_VALUE"""),"20260115_DEEPER-ZERO_巨乳エルフ姫、人間の「欲棒」を教え込まれて即イキ体質になりました。")</f>
        <v>20260115_DEEPER-ZERO_巨乳エルフ姫、人間の「欲棒」を教え込まれて即イキ体質になりました。</v>
      </c>
      <c r="T4542" s="22" t="str">
        <f>IFERROR(__xludf.DUMMYFUNCTION("""COMPUTED_VALUE"""),"格納済み")</f>
        <v>格納済み</v>
      </c>
      <c r="U4542" s="9" t="str">
        <f>IFERROR(__xludf.DUMMYFUNCTION("""COMPUTED_VALUE"""),"Ⓒ銀木星ねむる/DEEPER-ZERO")</f>
        <v>Ⓒ銀木星ねむる/DEEPER-ZERO</v>
      </c>
      <c r="V4542" s="8"/>
      <c r="W4542" s="8"/>
      <c r="X4542" s="8" t="str">
        <f>IFERROR(__xludf.DUMMYFUNCTION("""COMPUTED_VALUE"""),"有")</f>
        <v>有</v>
      </c>
      <c r="Y4542" s="8" t="str">
        <f>IFERROR(__xludf.DUMMYFUNCTION("""COMPUTED_VALUE"""),"P10まで")</f>
        <v>P10まで</v>
      </c>
      <c r="Z4542" s="7"/>
      <c r="AA4542" s="7"/>
      <c r="AB4542" s="7"/>
    </row>
    <row r="4543" ht="15.75" customHeight="1">
      <c r="A4543" s="26">
        <f>IFERROR(__xludf.DUMMYFUNCTION("""COMPUTED_VALUE"""),6862.0)</f>
        <v>6862</v>
      </c>
      <c r="B4543" s="22" t="str">
        <f>IFERROR(__xludf.DUMMYFUNCTION("""COMPUTED_VALUE"""),"確定")</f>
        <v>確定</v>
      </c>
      <c r="C4543" s="28">
        <f>IFERROR(__xludf.DUMMYFUNCTION("""COMPUTED_VALUE"""),45972.0)</f>
        <v>45972</v>
      </c>
      <c r="D4543" s="28">
        <f>IFERROR(__xludf.DUMMYFUNCTION("""COMPUTED_VALUE"""),46037.0)</f>
        <v>46037</v>
      </c>
      <c r="E4543" s="26">
        <f>IFERROR(__xludf.DUMMYFUNCTION("""COMPUTED_VALUE"""),350699.0)</f>
        <v>350699</v>
      </c>
      <c r="F4543" s="22" t="str">
        <f>IFERROR(__xludf.DUMMYFUNCTION("""COMPUTED_VALUE"""),"僕だけの駄犬くん【分冊版】")</f>
        <v>僕だけの駄犬くん【分冊版】</v>
      </c>
      <c r="G4543" s="20" t="str">
        <f>IFERROR(__xludf.DUMMYFUNCTION("""COMPUTED_VALUE"""),"1～2")</f>
        <v>1～2</v>
      </c>
      <c r="H4543" s="22" t="str">
        <f>IFERROR(__xludf.DUMMYFUNCTION("""COMPUTED_VALUE"""),"間瀬もえ")</f>
        <v>間瀬もえ</v>
      </c>
      <c r="I4543" s="22" t="str">
        <f>IFERROR(__xludf.DUMMYFUNCTION("""COMPUTED_VALUE"""),"BL")</f>
        <v>BL</v>
      </c>
      <c r="J4543" s="22"/>
      <c r="K4543" s="22" t="str">
        <f>IFERROR(__xludf.DUMMYFUNCTION("""COMPUTED_VALUE"""),"ジェラートコミックス")</f>
        <v>ジェラートコミックス</v>
      </c>
      <c r="L4543" s="22" t="str">
        <f>IFERROR(__xludf.DUMMYFUNCTION("""COMPUTED_VALUE"""),"ハーパーコリンズ・ジャパン")</f>
        <v>ハーパーコリンズ・ジャパン</v>
      </c>
      <c r="M4543" s="33">
        <f>IFERROR(__xludf.DUMMYFUNCTION("""COMPUTED_VALUE"""),46073.0)</f>
        <v>46073</v>
      </c>
      <c r="N4543" s="33">
        <f>IFERROR(__xludf.DUMMYFUNCTION("""COMPUTED_VALUE"""),46133.0)</f>
        <v>46133</v>
      </c>
      <c r="O4543" s="20"/>
      <c r="P4543" s="32" t="str">
        <f>IFERROR(__xludf.DUMMYFUNCTION("""COMPUTED_VALUE"""),"可")</f>
        <v>可</v>
      </c>
      <c r="Q4543" s="30"/>
      <c r="R4543" s="22" t="str">
        <f>IFERROR(__xludf.DUMMYFUNCTION("""COMPUTED_VALUE"""),"コミットNG")</f>
        <v>コミットNG</v>
      </c>
      <c r="S4543" s="22" t="str">
        <f>IFERROR(__xludf.DUMMYFUNCTION("""COMPUTED_VALUE"""),"20260114_ハーパーコリンズ・ジャパン_僕だけの駄犬くん【分冊版】")</f>
        <v>20260114_ハーパーコリンズ・ジャパン_僕だけの駄犬くん【分冊版】</v>
      </c>
      <c r="T4543" s="22" t="str">
        <f>IFERROR(__xludf.DUMMYFUNCTION("""COMPUTED_VALUE"""),"格納済み")</f>
        <v>格納済み</v>
      </c>
      <c r="U4543" s="9" t="str">
        <f>IFERROR(__xludf.DUMMYFUNCTION("""COMPUTED_VALUE"""),"Ⓒ間瀬もえ／ハーパーコリンズ・ジャパン")</f>
        <v>Ⓒ間瀬もえ／ハーパーコリンズ・ジャパン</v>
      </c>
      <c r="V4543" s="8"/>
      <c r="W4543" s="8"/>
      <c r="X4543" s="8" t="str">
        <f>IFERROR(__xludf.DUMMYFUNCTION("""COMPUTED_VALUE"""),"有")</f>
        <v>有</v>
      </c>
      <c r="Y4543" s="8" t="str">
        <f>IFERROR(__xludf.DUMMYFUNCTION("""COMPUTED_VALUE"""),"2026/3/5まで1巻無料")</f>
        <v>2026/3/5まで1巻無料</v>
      </c>
      <c r="Z4543" s="7"/>
      <c r="AA4543" s="7"/>
      <c r="AB4543" s="7"/>
    </row>
    <row r="4544" ht="15.75" customHeight="1">
      <c r="A4544" s="26">
        <f>IFERROR(__xludf.DUMMYFUNCTION("""COMPUTED_VALUE"""),6922.0)</f>
        <v>6922</v>
      </c>
      <c r="B4544" s="22" t="str">
        <f>IFERROR(__xludf.DUMMYFUNCTION("""COMPUTED_VALUE"""),"確定")</f>
        <v>確定</v>
      </c>
      <c r="C4544" s="28">
        <f>IFERROR(__xludf.DUMMYFUNCTION("""COMPUTED_VALUE"""),45981.0)</f>
        <v>45981</v>
      </c>
      <c r="D4544" s="28">
        <f>IFERROR(__xludf.DUMMYFUNCTION("""COMPUTED_VALUE"""),46037.0)</f>
        <v>46037</v>
      </c>
      <c r="E4544" s="26">
        <f>IFERROR(__xludf.DUMMYFUNCTION("""COMPUTED_VALUE"""),350485.0)</f>
        <v>350485</v>
      </c>
      <c r="F4544" s="22" t="str">
        <f>IFERROR(__xludf.DUMMYFUNCTION("""COMPUTED_VALUE"""),"はじめましての元夫から復縁プロポーズされてます！？【分冊版】")</f>
        <v>はじめましての元夫から復縁プロポーズされてます！？【分冊版】</v>
      </c>
      <c r="G4544" s="20" t="str">
        <f>IFERROR(__xludf.DUMMYFUNCTION("""COMPUTED_VALUE"""),"1～2")</f>
        <v>1～2</v>
      </c>
      <c r="H4544" s="22" t="str">
        <f>IFERROR(__xludf.DUMMYFUNCTION("""COMPUTED_VALUE"""),"上原ひびき")</f>
        <v>上原ひびき</v>
      </c>
      <c r="I4544" s="22" t="str">
        <f>IFERROR(__xludf.DUMMYFUNCTION("""COMPUTED_VALUE"""),"TL")</f>
        <v>TL</v>
      </c>
      <c r="J4544" s="22"/>
      <c r="K4544" s="22" t="str">
        <f>IFERROR(__xludf.DUMMYFUNCTION("""COMPUTED_VALUE"""),"乙女ドルチェ・コミックス")</f>
        <v>乙女ドルチェ・コミックス</v>
      </c>
      <c r="L4544" s="22" t="str">
        <f>IFERROR(__xludf.DUMMYFUNCTION("""COMPUTED_VALUE"""),"乙女ドルチェ・コミックス")</f>
        <v>乙女ドルチェ・コミックス</v>
      </c>
      <c r="M4544" s="33">
        <f>IFERROR(__xludf.DUMMYFUNCTION("""COMPUTED_VALUE"""),46071.0)</f>
        <v>46071</v>
      </c>
      <c r="N4544" s="33">
        <f>IFERROR(__xludf.DUMMYFUNCTION("""COMPUTED_VALUE"""),46128.0)</f>
        <v>46128</v>
      </c>
      <c r="O4544" s="20"/>
      <c r="P4544" s="32" t="str">
        <f>IFERROR(__xludf.DUMMYFUNCTION("""COMPUTED_VALUE"""),"可")</f>
        <v>可</v>
      </c>
      <c r="Q4544" s="30"/>
      <c r="R4544" s="22" t="str">
        <f>IFERROR(__xludf.DUMMYFUNCTION("""COMPUTED_VALUE"""),"コミットNG")</f>
        <v>コミットNG</v>
      </c>
      <c r="S4544" s="22" t="str">
        <f>IFERROR(__xludf.DUMMYFUNCTION("""COMPUTED_VALUE"""),"20260114_乙女ドルチェ_はじめましての元夫から復縁プロポーズされてます!【分冊版】")</f>
        <v>20260114_乙女ドルチェ_はじめましての元夫から復縁プロポーズされてます!【分冊版】</v>
      </c>
      <c r="T4544" s="22" t="str">
        <f>IFERROR(__xludf.DUMMYFUNCTION("""COMPUTED_VALUE"""),"格納済み")</f>
        <v>格納済み</v>
      </c>
      <c r="U4544" s="9" t="str">
        <f>IFERROR(__xludf.DUMMYFUNCTION("""COMPUTED_VALUE"""),"（C)上原ひびき／ハーパーコリンズ・ジャパン")</f>
        <v>（C)上原ひびき／ハーパーコリンズ・ジャパン</v>
      </c>
      <c r="V4544" s="8"/>
      <c r="W4544" s="8"/>
      <c r="X4544" s="8" t="str">
        <f>IFERROR(__xludf.DUMMYFUNCTION("""COMPUTED_VALUE"""),"有")</f>
        <v>有</v>
      </c>
      <c r="Y4544" s="8" t="str">
        <f>IFERROR(__xludf.DUMMYFUNCTION("""COMPUTED_VALUE"""),"2026/3/17まで1巻立ち読み増量（P16）")</f>
        <v>2026/3/17まで1巻立ち読み増量（P16）</v>
      </c>
      <c r="Z4544" s="7"/>
      <c r="AA4544" s="7"/>
      <c r="AB4544" s="7"/>
    </row>
    <row r="4545" ht="15.75" customHeight="1">
      <c r="A4545" s="26">
        <f>IFERROR(__xludf.DUMMYFUNCTION("""COMPUTED_VALUE"""),6924.0)</f>
        <v>6924</v>
      </c>
      <c r="B4545" s="22" t="str">
        <f>IFERROR(__xludf.DUMMYFUNCTION("""COMPUTED_VALUE"""),"確定")</f>
        <v>確定</v>
      </c>
      <c r="C4545" s="28">
        <f>IFERROR(__xludf.DUMMYFUNCTION("""COMPUTED_VALUE"""),45981.0)</f>
        <v>45981</v>
      </c>
      <c r="D4545" s="28">
        <f>IFERROR(__xludf.DUMMYFUNCTION("""COMPUTED_VALUE"""),46037.0)</f>
        <v>46037</v>
      </c>
      <c r="E4545" s="26">
        <f>IFERROR(__xludf.DUMMYFUNCTION("""COMPUTED_VALUE"""),350486.0)</f>
        <v>350486</v>
      </c>
      <c r="F4545" s="22" t="str">
        <f>IFERROR(__xludf.DUMMYFUNCTION("""COMPUTED_VALUE"""),"冷徹王太子は初恋の聖女を花嫁に迎えたくてたまらない～“形だけの結婚”と聞いてましたが！？～【分冊版】")</f>
        <v>冷徹王太子は初恋の聖女を花嫁に迎えたくてたまらない～“形だけの結婚”と聞いてましたが！？～【分冊版】</v>
      </c>
      <c r="G4545" s="20" t="str">
        <f>IFERROR(__xludf.DUMMYFUNCTION("""COMPUTED_VALUE"""),"1～2")</f>
        <v>1～2</v>
      </c>
      <c r="H4545" s="22" t="str">
        <f>IFERROR(__xludf.DUMMYFUNCTION("""COMPUTED_VALUE"""),"龍 胡伯,木登")</f>
        <v>龍 胡伯,木登</v>
      </c>
      <c r="I4545" s="22" t="str">
        <f>IFERROR(__xludf.DUMMYFUNCTION("""COMPUTED_VALUE"""),"TL")</f>
        <v>TL</v>
      </c>
      <c r="J4545" s="22"/>
      <c r="K4545" s="22" t="str">
        <f>IFERROR(__xludf.DUMMYFUNCTION("""COMPUTED_VALUE"""),"乙女ドルチェ・コミックス")</f>
        <v>乙女ドルチェ・コミックス</v>
      </c>
      <c r="L4545" s="22" t="str">
        <f>IFERROR(__xludf.DUMMYFUNCTION("""COMPUTED_VALUE"""),"乙女ドルチェ・コミックス")</f>
        <v>乙女ドルチェ・コミックス</v>
      </c>
      <c r="M4545" s="33">
        <f>IFERROR(__xludf.DUMMYFUNCTION("""COMPUTED_VALUE"""),46071.0)</f>
        <v>46071</v>
      </c>
      <c r="N4545" s="33">
        <f>IFERROR(__xludf.DUMMYFUNCTION("""COMPUTED_VALUE"""),46128.0)</f>
        <v>46128</v>
      </c>
      <c r="O4545" s="20"/>
      <c r="P4545" s="32" t="str">
        <f>IFERROR(__xludf.DUMMYFUNCTION("""COMPUTED_VALUE"""),"可")</f>
        <v>可</v>
      </c>
      <c r="Q4545" s="30"/>
      <c r="R4545" s="22" t="str">
        <f>IFERROR(__xludf.DUMMYFUNCTION("""COMPUTED_VALUE"""),"コミットNG")</f>
        <v>コミットNG</v>
      </c>
      <c r="S4545" s="22" t="str">
        <f>IFERROR(__xludf.DUMMYFUNCTION("""COMPUTED_VALUE"""),"20260114_乙女ドルチェ_冷徹王太子は初恋の聖女を花嫁に迎えたくてたまらない～“形だけの結婚”と聞いてましたが!～【分冊版】")</f>
        <v>20260114_乙女ドルチェ_冷徹王太子は初恋の聖女を花嫁に迎えたくてたまらない～“形だけの結婚”と聞いてましたが!～【分冊版】</v>
      </c>
      <c r="T4545" s="22" t="str">
        <f>IFERROR(__xludf.DUMMYFUNCTION("""COMPUTED_VALUE"""),"格納済み")</f>
        <v>格納済み</v>
      </c>
      <c r="U4545" s="9" t="str">
        <f>IFERROR(__xludf.DUMMYFUNCTION("""COMPUTED_VALUE"""),"（C)龍 胡伯・木登／ハーパーコリンズ・ジャパン")</f>
        <v>（C)龍 胡伯・木登／ハーパーコリンズ・ジャパン</v>
      </c>
      <c r="V4545" s="8"/>
      <c r="W4545" s="8"/>
      <c r="X4545" s="8" t="str">
        <f>IFERROR(__xludf.DUMMYFUNCTION("""COMPUTED_VALUE"""),"有")</f>
        <v>有</v>
      </c>
      <c r="Y4545" s="8" t="str">
        <f>IFERROR(__xludf.DUMMYFUNCTION("""COMPUTED_VALUE"""),"2026/3/17まで1巻立ち読み増量（P16）")</f>
        <v>2026/3/17まで1巻立ち読み増量（P16）</v>
      </c>
      <c r="Z4545" s="7"/>
      <c r="AA4545" s="7"/>
      <c r="AB4545" s="7"/>
    </row>
    <row r="4546" ht="15.75" customHeight="1">
      <c r="A4546" s="26">
        <f>IFERROR(__xludf.DUMMYFUNCTION("""COMPUTED_VALUE"""),6937.0)</f>
        <v>6937</v>
      </c>
      <c r="B4546" s="22" t="str">
        <f>IFERROR(__xludf.DUMMYFUNCTION("""COMPUTED_VALUE"""),"確定")</f>
        <v>確定</v>
      </c>
      <c r="C4546" s="28">
        <f>IFERROR(__xludf.DUMMYFUNCTION("""COMPUTED_VALUE"""),45982.0)</f>
        <v>45982</v>
      </c>
      <c r="D4546" s="28">
        <f>IFERROR(__xludf.DUMMYFUNCTION("""COMPUTED_VALUE"""),46037.0)</f>
        <v>46037</v>
      </c>
      <c r="E4546" s="26">
        <f>IFERROR(__xludf.DUMMYFUNCTION("""COMPUTED_VALUE"""),348347.0)</f>
        <v>348347</v>
      </c>
      <c r="F4546" s="22" t="str">
        <f>IFERROR(__xludf.DUMMYFUNCTION("""COMPUTED_VALUE"""),"子作り志願の姫君は初恋の塩対応王子を諦めない！【単話売】")</f>
        <v>子作り志願の姫君は初恋の塩対応王子を諦めない！【単話売】</v>
      </c>
      <c r="G4546" s="20" t="str">
        <f>IFERROR(__xludf.DUMMYFUNCTION("""COMPUTED_VALUE"""),"1～3")</f>
        <v>1～3</v>
      </c>
      <c r="H4546" s="22" t="str">
        <f>IFERROR(__xludf.DUMMYFUNCTION("""COMPUTED_VALUE"""),"来岬未悠")</f>
        <v>来岬未悠</v>
      </c>
      <c r="I4546" s="22" t="str">
        <f>IFERROR(__xludf.DUMMYFUNCTION("""COMPUTED_VALUE"""),"TL")</f>
        <v>TL</v>
      </c>
      <c r="J4546" s="22"/>
      <c r="K4546" s="22" t="str">
        <f>IFERROR(__xludf.DUMMYFUNCTION("""COMPUTED_VALUE"""),"恋愛白書シェリーKiss")</f>
        <v>恋愛白書シェリーKiss</v>
      </c>
      <c r="L4546" s="22" t="str">
        <f>IFERROR(__xludf.DUMMYFUNCTION("""COMPUTED_VALUE"""),"宙出版")</f>
        <v>宙出版</v>
      </c>
      <c r="M4546" s="33">
        <f>IFERROR(__xludf.DUMMYFUNCTION("""COMPUTED_VALUE"""),46077.0)</f>
        <v>46077</v>
      </c>
      <c r="N4546" s="33">
        <f>IFERROR(__xludf.DUMMYFUNCTION("""COMPUTED_VALUE"""),46173.0)</f>
        <v>46173</v>
      </c>
      <c r="O4546" s="20"/>
      <c r="P4546" s="32" t="str">
        <f>IFERROR(__xludf.DUMMYFUNCTION("""COMPUTED_VALUE"""),"可")</f>
        <v>可</v>
      </c>
      <c r="Q4546" s="30"/>
      <c r="R4546" s="22" t="str">
        <f>IFERROR(__xludf.DUMMYFUNCTION("""COMPUTED_VALUE"""),"コミットOK")</f>
        <v>コミットOK</v>
      </c>
      <c r="S4546" s="22" t="str">
        <f>IFERROR(__xludf.DUMMYFUNCTION("""COMPUTED_VALUE"""),"20260115_宙出版_子作り志願の姫君は初恋の塩対応王子を諦めない！【単話売】")</f>
        <v>20260115_宙出版_子作り志願の姫君は初恋の塩対応王子を諦めない！【単話売】</v>
      </c>
      <c r="T4546" s="22" t="str">
        <f>IFERROR(__xludf.DUMMYFUNCTION("""COMPUTED_VALUE"""),"格納済み")</f>
        <v>格納済み</v>
      </c>
      <c r="U4546" s="9" t="str">
        <f>IFERROR(__xludf.DUMMYFUNCTION("""COMPUTED_VALUE"""),"Ⓒ来岬未悠/宙出版")</f>
        <v>Ⓒ来岬未悠/宙出版</v>
      </c>
      <c r="V4546" s="8"/>
      <c r="W4546" s="8"/>
      <c r="X4546" s="8" t="str">
        <f>IFERROR(__xludf.DUMMYFUNCTION("""COMPUTED_VALUE"""),"有")</f>
        <v>有</v>
      </c>
      <c r="Y4546" s="8" t="str">
        <f>IFERROR(__xludf.DUMMYFUNCTION("""COMPUTED_VALUE"""),"P8まで")</f>
        <v>P8まで</v>
      </c>
      <c r="Z4546" s="7"/>
      <c r="AA4546" s="7"/>
      <c r="AB4546" s="7"/>
    </row>
    <row r="4547" ht="15.75" customHeight="1">
      <c r="A4547" s="26">
        <f>IFERROR(__xludf.DUMMYFUNCTION("""COMPUTED_VALUE"""),6941.0)</f>
        <v>6941</v>
      </c>
      <c r="B4547" s="22" t="str">
        <f>IFERROR(__xludf.DUMMYFUNCTION("""COMPUTED_VALUE"""),"確定")</f>
        <v>確定</v>
      </c>
      <c r="C4547" s="28">
        <f>IFERROR(__xludf.DUMMYFUNCTION("""COMPUTED_VALUE"""),45986.0)</f>
        <v>45986</v>
      </c>
      <c r="D4547" s="28">
        <f>IFERROR(__xludf.DUMMYFUNCTION("""COMPUTED_VALUE"""),46042.0)</f>
        <v>46042</v>
      </c>
      <c r="E4547" s="26">
        <f>IFERROR(__xludf.DUMMYFUNCTION("""COMPUTED_VALUE"""),349422.0)</f>
        <v>349422</v>
      </c>
      <c r="F4547" s="22" t="str">
        <f>IFERROR(__xludf.DUMMYFUNCTION("""COMPUTED_VALUE"""),"無防備な君に溺愛を捧ぐ～死ぬほど愛した幼なじみをズブズブに沼らせて、もう二度と離さない～")</f>
        <v>無防備な君に溺愛を捧ぐ～死ぬほど愛した幼なじみをズブズブに沼らせて、もう二度と離さない～</v>
      </c>
      <c r="G4547" s="20" t="str">
        <f>IFERROR(__xludf.DUMMYFUNCTION("""COMPUTED_VALUE"""),"1～2")</f>
        <v>1～2</v>
      </c>
      <c r="H4547" s="22" t="str">
        <f>IFERROR(__xludf.DUMMYFUNCTION("""COMPUTED_VALUE"""),"玄野さわ")</f>
        <v>玄野さわ</v>
      </c>
      <c r="I4547" s="22" t="str">
        <f>IFERROR(__xludf.DUMMYFUNCTION("""COMPUTED_VALUE"""),"TL")</f>
        <v>TL</v>
      </c>
      <c r="J4547" s="22"/>
      <c r="K4547" s="22" t="str">
        <f>IFERROR(__xludf.DUMMYFUNCTION("""COMPUTED_VALUE"""),"メルト")</f>
        <v>メルト</v>
      </c>
      <c r="L4547" s="22" t="str">
        <f>IFERROR(__xludf.DUMMYFUNCTION("""COMPUTED_VALUE"""),"小学館")</f>
        <v>小学館</v>
      </c>
      <c r="M4547" s="33">
        <f>IFERROR(__xludf.DUMMYFUNCTION("""COMPUTED_VALUE"""),46052.0)</f>
        <v>46052</v>
      </c>
      <c r="N4547" s="33">
        <f>IFERROR(__xludf.DUMMYFUNCTION("""COMPUTED_VALUE"""),46114.0)</f>
        <v>46114</v>
      </c>
      <c r="O4547" s="20"/>
      <c r="P4547" s="32" t="str">
        <f>IFERROR(__xludf.DUMMYFUNCTION("""COMPUTED_VALUE"""),"可")</f>
        <v>可</v>
      </c>
      <c r="Q4547" s="30" t="str">
        <f>IFERROR(__xludf.DUMMYFUNCTION("""COMPUTED_VALUE"""),"【アダルト作品扱い】")</f>
        <v>【アダルト作品扱い】</v>
      </c>
      <c r="R4547" s="22" t="str">
        <f>IFERROR(__xludf.DUMMYFUNCTION("""COMPUTED_VALUE"""),"コミットOK")</f>
        <v>コミットOK</v>
      </c>
      <c r="S4547" s="22" t="str">
        <f>IFERROR(__xludf.DUMMYFUNCTION("""COMPUTED_VALUE"""),"20251226_小学館_無防備な君に溺愛を捧ぐ～死ぬほど愛した幼なじみをズブズブに沼らせて、もう二度と離さない～")</f>
        <v>20251226_小学館_無防備な君に溺愛を捧ぐ～死ぬほど愛した幼なじみをズブズブに沼らせて、もう二度と離さない～</v>
      </c>
      <c r="T4547" s="22" t="str">
        <f>IFERROR(__xludf.DUMMYFUNCTION("""COMPUTED_VALUE"""),"格納済み")</f>
        <v>格納済み</v>
      </c>
      <c r="U4547" s="9" t="str">
        <f>IFERROR(__xludf.DUMMYFUNCTION("""COMPUTED_VALUE"""),"(C)玄野さわ / 小学館")</f>
        <v>(C)玄野さわ / 小学館</v>
      </c>
      <c r="V4547" s="8"/>
      <c r="W4547" s="8"/>
      <c r="X4547" s="8" t="str">
        <f>IFERROR(__xludf.DUMMYFUNCTION("""COMPUTED_VALUE"""),"有")</f>
        <v>有</v>
      </c>
      <c r="Y4547" s="8" t="str">
        <f>IFERROR(__xludf.DUMMYFUNCTION("""COMPUTED_VALUE"""),"2026/4/2まで1巻立ち読み増量（P21）")</f>
        <v>2026/4/2まで1巻立ち読み増量（P21）</v>
      </c>
      <c r="Z4547" s="7"/>
      <c r="AA4547" s="7"/>
      <c r="AB4547" s="7"/>
    </row>
    <row r="4548" ht="15.75" customHeight="1">
      <c r="A4548" s="26">
        <f>IFERROR(__xludf.DUMMYFUNCTION("""COMPUTED_VALUE"""),6959.0)</f>
        <v>6959</v>
      </c>
      <c r="B4548" s="22" t="str">
        <f>IFERROR(__xludf.DUMMYFUNCTION("""COMPUTED_VALUE"""),"確定")</f>
        <v>確定</v>
      </c>
      <c r="C4548" s="28">
        <f>IFERROR(__xludf.DUMMYFUNCTION("""COMPUTED_VALUE"""),45988.0)</f>
        <v>45988</v>
      </c>
      <c r="D4548" s="28">
        <f>IFERROR(__xludf.DUMMYFUNCTION("""COMPUTED_VALUE"""),46042.0)</f>
        <v>46042</v>
      </c>
      <c r="E4548" s="26">
        <f>IFERROR(__xludf.DUMMYFUNCTION("""COMPUTED_VALUE"""),348704.0)</f>
        <v>348704</v>
      </c>
      <c r="F4548" s="22" t="str">
        <f>IFERROR(__xludf.DUMMYFUNCTION("""COMPUTED_VALUE"""),"まきばのカルテ　産業動物臨床獣医師 三海佑 分冊版")</f>
        <v>まきばのカルテ　産業動物臨床獣医師 三海佑 分冊版</v>
      </c>
      <c r="G4548" s="20" t="str">
        <f>IFERROR(__xludf.DUMMYFUNCTION("""COMPUTED_VALUE"""),"1～3")</f>
        <v>1～3</v>
      </c>
      <c r="H4548" s="22" t="str">
        <f>IFERROR(__xludf.DUMMYFUNCTION("""COMPUTED_VALUE"""),"原作／濱原蓮　作画／十束椿　監修／山村文之介")</f>
        <v>原作／濱原蓮　作画／十束椿　監修／山村文之介</v>
      </c>
      <c r="I4548" s="22" t="str">
        <f>IFERROR(__xludf.DUMMYFUNCTION("""COMPUTED_VALUE"""),"青年")</f>
        <v>青年</v>
      </c>
      <c r="J4548" s="22"/>
      <c r="K4548" s="22"/>
      <c r="L4548" s="22" t="str">
        <f>IFERROR(__xludf.DUMMYFUNCTION("""COMPUTED_VALUE"""),"コアミックス")</f>
        <v>コアミックス</v>
      </c>
      <c r="M4548" s="33">
        <f>IFERROR(__xludf.DUMMYFUNCTION("""COMPUTED_VALUE"""),46048.0)</f>
        <v>46048</v>
      </c>
      <c r="N4548" s="33">
        <f>IFERROR(__xludf.DUMMYFUNCTION("""COMPUTED_VALUE"""),46131.0)</f>
        <v>46131</v>
      </c>
      <c r="O4548" s="20"/>
      <c r="P4548" s="32" t="str">
        <f>IFERROR(__xludf.DUMMYFUNCTION("""COMPUTED_VALUE"""),"可")</f>
        <v>可</v>
      </c>
      <c r="Q4548" s="30"/>
      <c r="R4548" s="22" t="str">
        <f>IFERROR(__xludf.DUMMYFUNCTION("""COMPUTED_VALUE"""),"コミットOK")</f>
        <v>コミットOK</v>
      </c>
      <c r="S4548" s="22" t="str">
        <f>IFERROR(__xludf.DUMMYFUNCTION("""COMPUTED_VALUE"""),"20260120_コアミックス_まきばのカルテ　産業動物臨床獣医師 三海佑 分冊版")</f>
        <v>20260120_コアミックス_まきばのカルテ　産業動物臨床獣医師 三海佑 分冊版</v>
      </c>
      <c r="T4548" s="22" t="str">
        <f>IFERROR(__xludf.DUMMYFUNCTION("""COMPUTED_VALUE"""),"格納済み")</f>
        <v>格納済み</v>
      </c>
      <c r="U4548" s="9" t="str">
        <f>IFERROR(__xludf.DUMMYFUNCTION("""COMPUTED_VALUE"""),"Ⓒ濱原蓮・十束椿／コアミックス")</f>
        <v>Ⓒ濱原蓮・十束椿／コアミックス</v>
      </c>
      <c r="V4548" s="8"/>
      <c r="W4548" s="8"/>
      <c r="X4548" s="8" t="str">
        <f>IFERROR(__xludf.DUMMYFUNCTION("""COMPUTED_VALUE"""),"有")</f>
        <v>有</v>
      </c>
      <c r="Y4548" s="8" t="str">
        <f>IFERROR(__xludf.DUMMYFUNCTION("""COMPUTED_VALUE"""),"2026/4/19まで1巻無料")</f>
        <v>2026/4/19まで1巻無料</v>
      </c>
      <c r="Z4548" s="7"/>
      <c r="AA4548" s="7"/>
      <c r="AB4548" s="7"/>
    </row>
    <row r="4549" ht="15.75" customHeight="1">
      <c r="A4549" s="26">
        <f>IFERROR(__xludf.DUMMYFUNCTION("""COMPUTED_VALUE"""),6960.0)</f>
        <v>6960</v>
      </c>
      <c r="B4549" s="22" t="str">
        <f>IFERROR(__xludf.DUMMYFUNCTION("""COMPUTED_VALUE"""),"確定")</f>
        <v>確定</v>
      </c>
      <c r="C4549" s="28">
        <f>IFERROR(__xludf.DUMMYFUNCTION("""COMPUTED_VALUE"""),45988.0)</f>
        <v>45988</v>
      </c>
      <c r="D4549" s="28">
        <f>IFERROR(__xludf.DUMMYFUNCTION("""COMPUTED_VALUE"""),46042.0)</f>
        <v>46042</v>
      </c>
      <c r="E4549" s="26">
        <f>IFERROR(__xludf.DUMMYFUNCTION("""COMPUTED_VALUE"""),348703.0)</f>
        <v>348703</v>
      </c>
      <c r="F4549" s="22" t="str">
        <f>IFERROR(__xludf.DUMMYFUNCTION("""COMPUTED_VALUE"""),"とあるリーマン、もふもふタヌキと不思議な田舎暮らしをはじめる 分冊版")</f>
        <v>とあるリーマン、もふもふタヌキと不思議な田舎暮らしをはじめる 分冊版</v>
      </c>
      <c r="G4549" s="20" t="str">
        <f>IFERROR(__xludf.DUMMYFUNCTION("""COMPUTED_VALUE"""),"1～5")</f>
        <v>1～5</v>
      </c>
      <c r="H4549" s="22" t="str">
        <f>IFERROR(__xludf.DUMMYFUNCTION("""COMPUTED_VALUE"""),"漫画／桑佳あさ　原作／邑上主水")</f>
        <v>漫画／桑佳あさ　原作／邑上主水</v>
      </c>
      <c r="I4549" s="22" t="str">
        <f>IFERROR(__xludf.DUMMYFUNCTION("""COMPUTED_VALUE"""),"青年")</f>
        <v>青年</v>
      </c>
      <c r="J4549" s="22"/>
      <c r="K4549" s="22"/>
      <c r="L4549" s="22" t="str">
        <f>IFERROR(__xludf.DUMMYFUNCTION("""COMPUTED_VALUE"""),"コアミックス")</f>
        <v>コアミックス</v>
      </c>
      <c r="M4549" s="33">
        <f>IFERROR(__xludf.DUMMYFUNCTION("""COMPUTED_VALUE"""),46048.0)</f>
        <v>46048</v>
      </c>
      <c r="N4549" s="33">
        <f>IFERROR(__xludf.DUMMYFUNCTION("""COMPUTED_VALUE"""),46148.0)</f>
        <v>46148</v>
      </c>
      <c r="O4549" s="20"/>
      <c r="P4549" s="32" t="str">
        <f>IFERROR(__xludf.DUMMYFUNCTION("""COMPUTED_VALUE"""),"可")</f>
        <v>可</v>
      </c>
      <c r="Q4549" s="30"/>
      <c r="R4549" s="22" t="str">
        <f>IFERROR(__xludf.DUMMYFUNCTION("""COMPUTED_VALUE"""),"コミットNG")</f>
        <v>コミットNG</v>
      </c>
      <c r="S4549" s="22" t="str">
        <f>IFERROR(__xludf.DUMMYFUNCTION("""COMPUTED_VALUE"""),"20260120_コアミックス_とあるリーマン、もふもふタヌキと不思議な田舎暮らしをはじめる")</f>
        <v>20260120_コアミックス_とあるリーマン、もふもふタヌキと不思議な田舎暮らしをはじめる</v>
      </c>
      <c r="T4549" s="22" t="str">
        <f>IFERROR(__xludf.DUMMYFUNCTION("""COMPUTED_VALUE"""),"格納済み")</f>
        <v>格納済み</v>
      </c>
      <c r="U4549" s="9" t="str">
        <f>IFERROR(__xludf.DUMMYFUNCTION("""COMPUTED_VALUE"""),"Ⓒ桑佳あさ・邑上主水／コアミックス")</f>
        <v>Ⓒ桑佳あさ・邑上主水／コアミックス</v>
      </c>
      <c r="V4549" s="8"/>
      <c r="W4549" s="8"/>
      <c r="X4549" s="8" t="str">
        <f>IFERROR(__xludf.DUMMYFUNCTION("""COMPUTED_VALUE"""),"有")</f>
        <v>有</v>
      </c>
      <c r="Y4549" s="8" t="str">
        <f>IFERROR(__xludf.DUMMYFUNCTION("""COMPUTED_VALUE"""),"2026/5/6まで1巻無料")</f>
        <v>2026/5/6まで1巻無料</v>
      </c>
      <c r="Z4549" s="7"/>
      <c r="AA4549" s="7"/>
      <c r="AB4549" s="7"/>
    </row>
    <row r="4550" ht="15.75" customHeight="1">
      <c r="A4550" s="26">
        <f>IFERROR(__xludf.DUMMYFUNCTION("""COMPUTED_VALUE"""),7012.0)</f>
        <v>7012</v>
      </c>
      <c r="B4550" s="22" t="str">
        <f>IFERROR(__xludf.DUMMYFUNCTION("""COMPUTED_VALUE"""),"確定")</f>
        <v>確定</v>
      </c>
      <c r="C4550" s="28">
        <f>IFERROR(__xludf.DUMMYFUNCTION("""COMPUTED_VALUE"""),45999.0)</f>
        <v>45999</v>
      </c>
      <c r="D4550" s="28">
        <f>IFERROR(__xludf.DUMMYFUNCTION("""COMPUTED_VALUE"""),46042.0)</f>
        <v>46042</v>
      </c>
      <c r="E4550" s="26">
        <f>IFERROR(__xludf.DUMMYFUNCTION("""COMPUTED_VALUE"""),348776.0)</f>
        <v>348776</v>
      </c>
      <c r="F4550" s="22" t="str">
        <f>IFERROR(__xludf.DUMMYFUNCTION("""COMPUTED_VALUE"""),"いじわる上司は別れたがりな私を甘く咎めて離さない【分冊版】")</f>
        <v>いじわる上司は別れたがりな私を甘く咎めて離さない【分冊版】</v>
      </c>
      <c r="G4550" s="20" t="str">
        <f>IFERROR(__xludf.DUMMYFUNCTION("""COMPUTED_VALUE"""),"1～2")</f>
        <v>1～2</v>
      </c>
      <c r="H4550" s="22" t="str">
        <f>IFERROR(__xludf.DUMMYFUNCTION("""COMPUTED_VALUE"""),"いなた⊥さくら蒼⊥ache")</f>
        <v>いなた⊥さくら蒼⊥ache</v>
      </c>
      <c r="I4550" s="22" t="str">
        <f>IFERROR(__xludf.DUMMYFUNCTION("""COMPUTED_VALUE"""),"TL")</f>
        <v>TL</v>
      </c>
      <c r="J4550" s="22"/>
      <c r="K4550" s="22" t="str">
        <f>IFERROR(__xludf.DUMMYFUNCTION("""COMPUTED_VALUE"""),"ラブチュコラ")</f>
        <v>ラブチュコラ</v>
      </c>
      <c r="L4550" s="22" t="str">
        <f>IFERROR(__xludf.DUMMYFUNCTION("""COMPUTED_VALUE"""),"笠倉出版社")</f>
        <v>笠倉出版社</v>
      </c>
      <c r="M4550" s="33">
        <f>IFERROR(__xludf.DUMMYFUNCTION("""COMPUTED_VALUE"""),46058.0)</f>
        <v>46058</v>
      </c>
      <c r="N4550" s="33">
        <f>IFERROR(__xludf.DUMMYFUNCTION("""COMPUTED_VALUE"""),46085.0)</f>
        <v>46085</v>
      </c>
      <c r="O4550" s="20"/>
      <c r="P4550" s="32" t="str">
        <f>IFERROR(__xludf.DUMMYFUNCTION("""COMPUTED_VALUE"""),"可")</f>
        <v>可</v>
      </c>
      <c r="Q4550" s="30" t="str">
        <f>IFERROR(__xludf.DUMMYFUNCTION("""COMPUTED_VALUE"""),"【アダルト作品扱い】")</f>
        <v>【アダルト作品扱い】</v>
      </c>
      <c r="R4550" s="22" t="str">
        <f>IFERROR(__xludf.DUMMYFUNCTION("""COMPUTED_VALUE"""),"コミットNG")</f>
        <v>コミットNG</v>
      </c>
      <c r="S4550" s="22" t="str">
        <f>IFERROR(__xludf.DUMMYFUNCTION("""COMPUTED_VALUE"""),"20260114_笠倉出版社_いじわる上司は別れたがりな私を甘く咎めて離さない【分冊版】")</f>
        <v>20260114_笠倉出版社_いじわる上司は別れたがりな私を甘く咎めて離さない【分冊版】</v>
      </c>
      <c r="T4550" s="22" t="str">
        <f>IFERROR(__xludf.DUMMYFUNCTION("""COMPUTED_VALUE"""),"格納済み")</f>
        <v>格納済み</v>
      </c>
      <c r="U4550" s="9" t="str">
        <f>IFERROR(__xludf.DUMMYFUNCTION("""COMPUTED_VALUE"""),"Ⓒいなた/さくら蒼/笠倉出版社")</f>
        <v>Ⓒいなた/さくら蒼/笠倉出版社</v>
      </c>
      <c r="V4550" s="8"/>
      <c r="W4550" s="8"/>
      <c r="X4550" s="8" t="str">
        <f>IFERROR(__xludf.DUMMYFUNCTION("""COMPUTED_VALUE"""),"有")</f>
        <v>有</v>
      </c>
      <c r="Y4550" s="8" t="str">
        <f>IFERROR(__xludf.DUMMYFUNCTION("""COMPUTED_VALUE"""),"P6まで")</f>
        <v>P6まで</v>
      </c>
      <c r="Z4550" s="7"/>
      <c r="AA4550" s="7"/>
      <c r="AB4550" s="7"/>
    </row>
    <row r="4551" ht="15.75" customHeight="1">
      <c r="A4551" s="26">
        <f>IFERROR(__xludf.DUMMYFUNCTION("""COMPUTED_VALUE"""),7038.0)</f>
        <v>7038</v>
      </c>
      <c r="B4551" s="22" t="str">
        <f>IFERROR(__xludf.DUMMYFUNCTION("""COMPUTED_VALUE"""),"確定")</f>
        <v>確定</v>
      </c>
      <c r="C4551" s="28">
        <f>IFERROR(__xludf.DUMMYFUNCTION("""COMPUTED_VALUE"""),46001.0)</f>
        <v>46001</v>
      </c>
      <c r="D4551" s="28">
        <f>IFERROR(__xludf.DUMMYFUNCTION("""COMPUTED_VALUE"""),46042.0)</f>
        <v>46042</v>
      </c>
      <c r="E4551" s="26">
        <f>IFERROR(__xludf.DUMMYFUNCTION("""COMPUTED_VALUE"""),349664.0)</f>
        <v>349664</v>
      </c>
      <c r="F4551" s="22" t="str">
        <f>IFERROR(__xludf.DUMMYFUNCTION("""COMPUTED_VALUE"""),"悪役令嬢の取り巻きに転生したけど、推しの断罪イベントなんて絶対に許さない！")</f>
        <v>悪役令嬢の取り巻きに転生したけど、推しの断罪イベントなんて絶対に許さない！</v>
      </c>
      <c r="G4551" s="20" t="str">
        <f>IFERROR(__xludf.DUMMYFUNCTION("""COMPUTED_VALUE"""),"1～3")</f>
        <v>1～3</v>
      </c>
      <c r="H4551" s="22" t="str">
        <f>IFERROR(__xludf.DUMMYFUNCTION("""COMPUTED_VALUE"""),"東みーみ／原作：shiryu")</f>
        <v>東みーみ／原作：shiryu</v>
      </c>
      <c r="I4551" s="22" t="str">
        <f>IFERROR(__xludf.DUMMYFUNCTION("""COMPUTED_VALUE"""),"女性")</f>
        <v>女性</v>
      </c>
      <c r="J4551" s="22"/>
      <c r="K4551" s="22"/>
      <c r="L4551" s="22" t="str">
        <f>IFERROR(__xludf.DUMMYFUNCTION("""COMPUTED_VALUE"""),"ぴあ")</f>
        <v>ぴあ</v>
      </c>
      <c r="M4551" s="33">
        <f>IFERROR(__xludf.DUMMYFUNCTION("""COMPUTED_VALUE"""),46072.0)</f>
        <v>46072</v>
      </c>
      <c r="N4551" s="33">
        <f>IFERROR(__xludf.DUMMYFUNCTION("""COMPUTED_VALUE"""),46160.0)</f>
        <v>46160</v>
      </c>
      <c r="O4551" s="20"/>
      <c r="P4551" s="32" t="str">
        <f>IFERROR(__xludf.DUMMYFUNCTION("""COMPUTED_VALUE"""),"可")</f>
        <v>可</v>
      </c>
      <c r="Q4551" s="30"/>
      <c r="R4551" s="22" t="str">
        <f>IFERROR(__xludf.DUMMYFUNCTION("""COMPUTED_VALUE"""),"コミットOK")</f>
        <v>コミットOK</v>
      </c>
      <c r="S4551" s="22" t="str">
        <f>IFERROR(__xludf.DUMMYFUNCTION("""COMPUTED_VALUE"""),"20260119_ぴあ_悪役令嬢の取り巻きに転生したけど、推しの断罪イベントなんて絶対に許さない！")</f>
        <v>20260119_ぴあ_悪役令嬢の取り巻きに転生したけど、推しの断罪イベントなんて絶対に許さない！</v>
      </c>
      <c r="T4551" s="22" t="str">
        <f>IFERROR(__xludf.DUMMYFUNCTION("""COMPUTED_VALUE"""),"格納済み")</f>
        <v>格納済み</v>
      </c>
      <c r="U4551" s="9" t="str">
        <f>IFERROR(__xludf.DUMMYFUNCTION("""COMPUTED_VALUE"""),"Ⓒ 東みーみ／shiryu／ぴあ株式会社／パルプライド")</f>
        <v>Ⓒ 東みーみ／shiryu／ぴあ株式会社／パルプライド</v>
      </c>
      <c r="V4551" s="8"/>
      <c r="W4551" s="8"/>
      <c r="X4551" s="8" t="str">
        <f>IFERROR(__xludf.DUMMYFUNCTION("""COMPUTED_VALUE"""),"有")</f>
        <v>有</v>
      </c>
      <c r="Y4551" s="8" t="str">
        <f>IFERROR(__xludf.DUMMYFUNCTION("""COMPUTED_VALUE"""),"P5まで")</f>
        <v>P5まで</v>
      </c>
      <c r="Z4551" s="7"/>
      <c r="AA4551" s="7"/>
      <c r="AB4551" s="7"/>
    </row>
    <row r="4552" ht="15.75" customHeight="1">
      <c r="A4552" s="26">
        <f>IFERROR(__xludf.DUMMYFUNCTION("""COMPUTED_VALUE"""),7043.0)</f>
        <v>7043</v>
      </c>
      <c r="B4552" s="22" t="str">
        <f>IFERROR(__xludf.DUMMYFUNCTION("""COMPUTED_VALUE"""),"確定")</f>
        <v>確定</v>
      </c>
      <c r="C4552" s="28">
        <f>IFERROR(__xludf.DUMMYFUNCTION("""COMPUTED_VALUE"""),46002.0)</f>
        <v>46002</v>
      </c>
      <c r="D4552" s="28">
        <f>IFERROR(__xludf.DUMMYFUNCTION("""COMPUTED_VALUE"""),46041.0)</f>
        <v>46041</v>
      </c>
      <c r="E4552" s="26">
        <f>IFERROR(__xludf.DUMMYFUNCTION("""COMPUTED_VALUE"""),350986.0)</f>
        <v>350986</v>
      </c>
      <c r="F4552" s="22" t="str">
        <f>IFERROR(__xludf.DUMMYFUNCTION("""COMPUTED_VALUE"""),"わずらわしいイントロが止まない")</f>
        <v>わずらわしいイントロが止まない</v>
      </c>
      <c r="G4552" s="20" t="str">
        <f>IFERROR(__xludf.DUMMYFUNCTION("""COMPUTED_VALUE"""),"1～2")</f>
        <v>1～2</v>
      </c>
      <c r="H4552" s="22" t="str">
        <f>IFERROR(__xludf.DUMMYFUNCTION("""COMPUTED_VALUE"""),"椿かつみ")</f>
        <v>椿かつみ</v>
      </c>
      <c r="I4552" s="22" t="str">
        <f>IFERROR(__xludf.DUMMYFUNCTION("""COMPUTED_VALUE"""),"BL")</f>
        <v>BL</v>
      </c>
      <c r="J4552" s="22"/>
      <c r="K4552" s="22" t="str">
        <f>IFERROR(__xludf.DUMMYFUNCTION("""COMPUTED_VALUE"""),"MooiComics")</f>
        <v>MooiComics</v>
      </c>
      <c r="L4552" s="22" t="str">
        <f>IFERROR(__xludf.DUMMYFUNCTION("""COMPUTED_VALUE"""),"CLLENN")</f>
        <v>CLLENN</v>
      </c>
      <c r="M4552" s="33">
        <f>IFERROR(__xludf.DUMMYFUNCTION("""COMPUTED_VALUE"""),46070.0)</f>
        <v>46070</v>
      </c>
      <c r="N4552" s="33">
        <f>IFERROR(__xludf.DUMMYFUNCTION("""COMPUTED_VALUE"""),46132.0)</f>
        <v>46132</v>
      </c>
      <c r="O4552" s="20"/>
      <c r="P4552" s="32" t="str">
        <f>IFERROR(__xludf.DUMMYFUNCTION("""COMPUTED_VALUE"""),"可")</f>
        <v>可</v>
      </c>
      <c r="Q4552" s="30"/>
      <c r="R4552" s="22" t="str">
        <f>IFERROR(__xludf.DUMMYFUNCTION("""COMPUTED_VALUE"""),"コミットNG")</f>
        <v>コミットNG</v>
      </c>
      <c r="S4552" s="22" t="str">
        <f>IFERROR(__xludf.DUMMYFUNCTION("""COMPUTED_VALUE"""),"20260119_CLLENN_わずらわしいイントロが止まない")</f>
        <v>20260119_CLLENN_わずらわしいイントロが止まない</v>
      </c>
      <c r="T4552" s="22" t="str">
        <f>IFERROR(__xludf.DUMMYFUNCTION("""COMPUTED_VALUE"""),"格納済み")</f>
        <v>格納済み</v>
      </c>
      <c r="U4552" s="9" t="str">
        <f>IFERROR(__xludf.DUMMYFUNCTION("""COMPUTED_VALUE"""),"Ⓒ椿かつみ/CLLENN")</f>
        <v>Ⓒ椿かつみ/CLLENN</v>
      </c>
      <c r="V4552" s="8"/>
      <c r="W4552" s="8"/>
      <c r="X4552" s="8" t="str">
        <f>IFERROR(__xludf.DUMMYFUNCTION("""COMPUTED_VALUE"""),"有")</f>
        <v>有</v>
      </c>
      <c r="Y4552" s="8" t="str">
        <f>IFERROR(__xludf.DUMMYFUNCTION("""COMPUTED_VALUE"""),"2026/3/2まで1巻立ち読み増量（P18）")</f>
        <v>2026/3/2まで1巻立ち読み増量（P18）</v>
      </c>
      <c r="Z4552" s="7"/>
      <c r="AA4552" s="7"/>
      <c r="AB4552" s="7"/>
    </row>
    <row r="4553" ht="15.75" customHeight="1">
      <c r="A4553" s="26">
        <f>IFERROR(__xludf.DUMMYFUNCTION("""COMPUTED_VALUE"""),7044.0)</f>
        <v>7044</v>
      </c>
      <c r="B4553" s="22" t="str">
        <f>IFERROR(__xludf.DUMMYFUNCTION("""COMPUTED_VALUE"""),"確定")</f>
        <v>確定</v>
      </c>
      <c r="C4553" s="28">
        <f>IFERROR(__xludf.DUMMYFUNCTION("""COMPUTED_VALUE"""),46002.0)</f>
        <v>46002</v>
      </c>
      <c r="D4553" s="28">
        <f>IFERROR(__xludf.DUMMYFUNCTION("""COMPUTED_VALUE"""),46041.0)</f>
        <v>46041</v>
      </c>
      <c r="E4553" s="26">
        <f>IFERROR(__xludf.DUMMYFUNCTION("""COMPUTED_VALUE"""),350481.0)</f>
        <v>350481</v>
      </c>
      <c r="F4553" s="22" t="str">
        <f>IFERROR(__xludf.DUMMYFUNCTION("""COMPUTED_VALUE"""),"結婚願望ゼロの私にヤンデレ社長が求婚してきます")</f>
        <v>結婚願望ゼロの私にヤンデレ社長が求婚してきます</v>
      </c>
      <c r="G4553" s="20" t="str">
        <f>IFERROR(__xludf.DUMMYFUNCTION("""COMPUTED_VALUE"""),"1～10")</f>
        <v>1～10</v>
      </c>
      <c r="H4553" s="22" t="str">
        <f>IFERROR(__xludf.DUMMYFUNCTION("""COMPUTED_VALUE"""),"かめやともまさ┴森田りょう┴エトワール編集部")</f>
        <v>かめやともまさ┴森田りょう┴エトワール編集部</v>
      </c>
      <c r="I4553" s="22" t="str">
        <f>IFERROR(__xludf.DUMMYFUNCTION("""COMPUTED_VALUE"""),"女性")</f>
        <v>女性</v>
      </c>
      <c r="J4553" s="22"/>
      <c r="K4553" s="22" t="str">
        <f>IFERROR(__xludf.DUMMYFUNCTION("""COMPUTED_VALUE"""),"COMICエトワール")</f>
        <v>COMICエトワール</v>
      </c>
      <c r="L4553" s="22" t="str">
        <f>IFERROR(__xludf.DUMMYFUNCTION("""COMPUTED_VALUE"""),"ライブコミックス")</f>
        <v>ライブコミックス</v>
      </c>
      <c r="M4553" s="33">
        <f>IFERROR(__xludf.DUMMYFUNCTION("""COMPUTED_VALUE"""),46080.0)</f>
        <v>46080</v>
      </c>
      <c r="N4553" s="33">
        <f>IFERROR(__xludf.DUMMYFUNCTION("""COMPUTED_VALUE"""),46135.0)</f>
        <v>46135</v>
      </c>
      <c r="O4553" s="20"/>
      <c r="P4553" s="32" t="str">
        <f>IFERROR(__xludf.DUMMYFUNCTION("""COMPUTED_VALUE"""),"可")</f>
        <v>可</v>
      </c>
      <c r="Q4553" s="30"/>
      <c r="R4553" s="22" t="str">
        <f>IFERROR(__xludf.DUMMYFUNCTION("""COMPUTED_VALUE"""),"コミットOK")</f>
        <v>コミットOK</v>
      </c>
      <c r="S4553" s="22" t="str">
        <f>IFERROR(__xludf.DUMMYFUNCTION("""COMPUTED_VALUE"""),"20260116_BookLive_結婚願望ゼロの私にヤンデレ社長が求婚してきます")</f>
        <v>20260116_BookLive_結婚願望ゼロの私にヤンデレ社長が求婚してきます</v>
      </c>
      <c r="T4553" s="22" t="str">
        <f>IFERROR(__xludf.DUMMYFUNCTION("""COMPUTED_VALUE"""),"格納済み")</f>
        <v>格納済み</v>
      </c>
      <c r="U4553" s="9" t="str">
        <f>IFERROR(__xludf.DUMMYFUNCTION("""COMPUTED_VALUE"""),"(C)かめやともまさ・森田りょう/ライブコミックス")</f>
        <v>(C)かめやともまさ・森田りょう/ライブコミックス</v>
      </c>
      <c r="V4553" s="8"/>
      <c r="W4553" s="8"/>
      <c r="X4553" s="8" t="str">
        <f>IFERROR(__xludf.DUMMYFUNCTION("""COMPUTED_VALUE"""),"有")</f>
        <v>有</v>
      </c>
      <c r="Y4553" s="8" t="str">
        <f>IFERROR(__xludf.DUMMYFUNCTION("""COMPUTED_VALUE"""),"2026/3/26まで1～5巻無料")</f>
        <v>2026/3/26まで1～5巻無料</v>
      </c>
      <c r="Z4553" s="7"/>
      <c r="AA4553" s="7"/>
      <c r="AB4553" s="7"/>
    </row>
    <row r="4554" ht="15.75" customHeight="1">
      <c r="A4554" s="26">
        <f>IFERROR(__xludf.DUMMYFUNCTION("""COMPUTED_VALUE"""),7046.0)</f>
        <v>7046</v>
      </c>
      <c r="B4554" s="22" t="str">
        <f>IFERROR(__xludf.DUMMYFUNCTION("""COMPUTED_VALUE"""),"確定")</f>
        <v>確定</v>
      </c>
      <c r="C4554" s="28">
        <f>IFERROR(__xludf.DUMMYFUNCTION("""COMPUTED_VALUE"""),46003.0)</f>
        <v>46003</v>
      </c>
      <c r="D4554" s="28">
        <f>IFERROR(__xludf.DUMMYFUNCTION("""COMPUTED_VALUE"""),46041.0)</f>
        <v>46041</v>
      </c>
      <c r="E4554" s="26">
        <f>IFERROR(__xludf.DUMMYFUNCTION("""COMPUTED_VALUE"""),350483.0)</f>
        <v>350483</v>
      </c>
      <c r="F4554" s="22" t="str">
        <f>IFERROR(__xludf.DUMMYFUNCTION("""COMPUTED_VALUE"""),"白の婚姻はうたかたに～望まれぬ人魚姫のはずですが、残虐殿下の心の声が甘すぎます！？～")</f>
        <v>白の婚姻はうたかたに～望まれぬ人魚姫のはずですが、残虐殿下の心の声が甘すぎます！？～</v>
      </c>
      <c r="G4554" s="20" t="str">
        <f>IFERROR(__xludf.DUMMYFUNCTION("""COMPUTED_VALUE"""),"1～7")</f>
        <v>1～7</v>
      </c>
      <c r="H4554" s="22" t="str">
        <f>IFERROR(__xludf.DUMMYFUNCTION("""COMPUTED_VALUE"""),"シライシモモ┴グルナ編集部")</f>
        <v>シライシモモ┴グルナ編集部</v>
      </c>
      <c r="I4554" s="22" t="str">
        <f>IFERROR(__xludf.DUMMYFUNCTION("""COMPUTED_VALUE"""),"女性")</f>
        <v>女性</v>
      </c>
      <c r="J4554" s="22"/>
      <c r="K4554" s="22" t="str">
        <f>IFERROR(__xludf.DUMMYFUNCTION("""COMPUTED_VALUE"""),"COMICエトワール")</f>
        <v>COMICエトワール</v>
      </c>
      <c r="L4554" s="22" t="str">
        <f>IFERROR(__xludf.DUMMYFUNCTION("""COMPUTED_VALUE"""),"ライブコミックス")</f>
        <v>ライブコミックス</v>
      </c>
      <c r="M4554" s="33">
        <f>IFERROR(__xludf.DUMMYFUNCTION("""COMPUTED_VALUE"""),46080.0)</f>
        <v>46080</v>
      </c>
      <c r="N4554" s="33">
        <f>IFERROR(__xludf.DUMMYFUNCTION("""COMPUTED_VALUE"""),46135.0)</f>
        <v>46135</v>
      </c>
      <c r="O4554" s="20"/>
      <c r="P4554" s="32" t="str">
        <f>IFERROR(__xludf.DUMMYFUNCTION("""COMPUTED_VALUE"""),"可")</f>
        <v>可</v>
      </c>
      <c r="Q4554" s="30" t="str">
        <f>IFERROR(__xludf.DUMMYFUNCTION("""COMPUTED_VALUE"""),"7巻目の素材の共有が送れるため1~6巻の素材で広告制作お願いいたします。&lt;BR&gt;")</f>
        <v>7巻目の素材の共有が送れるため1~6巻の素材で広告制作お願いいたします。&lt;BR&gt;</v>
      </c>
      <c r="R4554" s="22" t="str">
        <f>IFERROR(__xludf.DUMMYFUNCTION("""COMPUTED_VALUE"""),"コミットOK")</f>
        <v>コミットOK</v>
      </c>
      <c r="S4554" s="22" t="str">
        <f>IFERROR(__xludf.DUMMYFUNCTION("""COMPUTED_VALUE"""),"20260116_BookLive_白の婚姻はうたかたに～望まれぬ人魚姫のはずですが、残虐殿下の心の声が甘すぎます！？～")</f>
        <v>20260116_BookLive_白の婚姻はうたかたに～望まれぬ人魚姫のはずですが、残虐殿下の心の声が甘すぎます！？～</v>
      </c>
      <c r="T4554" s="22" t="str">
        <f>IFERROR(__xludf.DUMMYFUNCTION("""COMPUTED_VALUE"""),"格納済み")</f>
        <v>格納済み</v>
      </c>
      <c r="U4554" s="9" t="str">
        <f>IFERROR(__xludf.DUMMYFUNCTION("""COMPUTED_VALUE"""),"(C)シライシモモ/ライブコミックス")</f>
        <v>(C)シライシモモ/ライブコミックス</v>
      </c>
      <c r="V4554" s="8"/>
      <c r="W4554" s="8"/>
      <c r="X4554" s="8" t="str">
        <f>IFERROR(__xludf.DUMMYFUNCTION("""COMPUTED_VALUE"""),"有")</f>
        <v>有</v>
      </c>
      <c r="Y4554" s="8" t="str">
        <f>IFERROR(__xludf.DUMMYFUNCTION("""COMPUTED_VALUE"""),"2026/3/26まで1～2巻無料")</f>
        <v>2026/3/26まで1～2巻無料</v>
      </c>
      <c r="Z4554" s="7"/>
      <c r="AA4554" s="7"/>
      <c r="AB4554" s="7"/>
    </row>
    <row r="4555" ht="15.75" customHeight="1">
      <c r="A4555" s="26">
        <f>IFERROR(__xludf.DUMMYFUNCTION("""COMPUTED_VALUE"""),7097.0)</f>
        <v>7097</v>
      </c>
      <c r="B4555" s="22" t="str">
        <f>IFERROR(__xludf.DUMMYFUNCTION("""COMPUTED_VALUE"""),"確定")</f>
        <v>確定</v>
      </c>
      <c r="C4555" s="28">
        <f>IFERROR(__xludf.DUMMYFUNCTION("""COMPUTED_VALUE"""),46014.0)</f>
        <v>46014</v>
      </c>
      <c r="D4555" s="28">
        <f>IFERROR(__xludf.DUMMYFUNCTION("""COMPUTED_VALUE"""),46037.0)</f>
        <v>46037</v>
      </c>
      <c r="E4555" s="26">
        <f>IFERROR(__xludf.DUMMYFUNCTION("""COMPUTED_VALUE"""),352090.0)</f>
        <v>352090</v>
      </c>
      <c r="F4555" s="22" t="str">
        <f>IFERROR(__xludf.DUMMYFUNCTION("""COMPUTED_VALUE"""),"【ラブパルフェ】筋肉フェロモン上司一ノ瀬さんは愛もアソコもXL～抱かれて暴かれ即ハメ絶頂えっち")</f>
        <v>【ラブパルフェ】筋肉フェロモン上司一ノ瀬さんは愛もアソコもXL～抱かれて暴かれ即ハメ絶頂えっち</v>
      </c>
      <c r="G4555" s="20" t="str">
        <f>IFERROR(__xludf.DUMMYFUNCTION("""COMPUTED_VALUE"""),"1～3")</f>
        <v>1～3</v>
      </c>
      <c r="H4555" s="22" t="str">
        <f>IFERROR(__xludf.DUMMYFUNCTION("""COMPUTED_VALUE"""),"ぽぴじろー")</f>
        <v>ぽぴじろー</v>
      </c>
      <c r="I4555" s="22" t="str">
        <f>IFERROR(__xludf.DUMMYFUNCTION("""COMPUTED_VALUE"""),"TL")</f>
        <v>TL</v>
      </c>
      <c r="J4555" s="22"/>
      <c r="K4555" s="22" t="str">
        <f>IFERROR(__xludf.DUMMYFUNCTION("""COMPUTED_VALUE"""),"ラブパルフェ")</f>
        <v>ラブパルフェ</v>
      </c>
      <c r="L4555" s="22" t="str">
        <f>IFERROR(__xludf.DUMMYFUNCTION("""COMPUTED_VALUE"""),"オーバーラップ")</f>
        <v>オーバーラップ</v>
      </c>
      <c r="M4555" s="33">
        <f>IFERROR(__xludf.DUMMYFUNCTION("""COMPUTED_VALUE"""),46082.0)</f>
        <v>46082</v>
      </c>
      <c r="N4555" s="33">
        <f>IFERROR(__xludf.DUMMYFUNCTION("""COMPUTED_VALUE"""),46142.0)</f>
        <v>46142</v>
      </c>
      <c r="O4555" s="20"/>
      <c r="P4555" s="32" t="str">
        <f>IFERROR(__xludf.DUMMYFUNCTION("""COMPUTED_VALUE"""),"可")</f>
        <v>可</v>
      </c>
      <c r="Q4555" s="30" t="str">
        <f>IFERROR(__xludf.DUMMYFUNCTION("""COMPUTED_VALUE"""),"【アダルト作品扱い】")</f>
        <v>【アダルト作品扱い】</v>
      </c>
      <c r="R4555" s="22" t="str">
        <f>IFERROR(__xludf.DUMMYFUNCTION("""COMPUTED_VALUE"""),"コミットOK")</f>
        <v>コミットOK</v>
      </c>
      <c r="S4555" s="22" t="str">
        <f>IFERROR(__xludf.DUMMYFUNCTION("""COMPUTED_VALUE"""),"20260113_オーバーラップ_筋肉フェロモン上司一ノ瀬さんは愛もアソコもXL～抱かれて暴かれ即ハメ絶頂えっち")</f>
        <v>20260113_オーバーラップ_筋肉フェロモン上司一ノ瀬さんは愛もアソコもXL～抱かれて暴かれ即ハメ絶頂えっち</v>
      </c>
      <c r="T4555" s="22" t="str">
        <f>IFERROR(__xludf.DUMMYFUNCTION("""COMPUTED_VALUE"""),"格納済み")</f>
        <v>格納済み</v>
      </c>
      <c r="U4555" s="9" t="str">
        <f>IFERROR(__xludf.DUMMYFUNCTION("""COMPUTED_VALUE"""),"(C)ぽぴじろー／オーバーラップ")</f>
        <v>(C)ぽぴじろー／オーバーラップ</v>
      </c>
      <c r="V4555" s="8"/>
      <c r="W4555" s="8"/>
      <c r="X4555" s="8" t="str">
        <f>IFERROR(__xludf.DUMMYFUNCTION("""COMPUTED_VALUE"""),"有")</f>
        <v>有</v>
      </c>
      <c r="Y4555" s="8" t="str">
        <f>IFERROR(__xludf.DUMMYFUNCTION("""COMPUTED_VALUE"""),"2026/4/30まで1巻無料")</f>
        <v>2026/4/30まで1巻無料</v>
      </c>
      <c r="Z4555" s="7"/>
      <c r="AA4555" s="7"/>
      <c r="AB4555" s="7"/>
    </row>
    <row r="4556" ht="15.75" customHeight="1">
      <c r="A4556" s="26">
        <f>IFERROR(__xludf.DUMMYFUNCTION("""COMPUTED_VALUE"""),7104.0)</f>
        <v>7104</v>
      </c>
      <c r="B4556" s="22" t="str">
        <f>IFERROR(__xludf.DUMMYFUNCTION("""COMPUTED_VALUE"""),"確定")</f>
        <v>確定</v>
      </c>
      <c r="C4556" s="28">
        <f>IFERROR(__xludf.DUMMYFUNCTION("""COMPUTED_VALUE"""),46014.0)</f>
        <v>46014</v>
      </c>
      <c r="D4556" s="28">
        <f>IFERROR(__xludf.DUMMYFUNCTION("""COMPUTED_VALUE"""),46037.0)</f>
        <v>46037</v>
      </c>
      <c r="E4556" s="26">
        <f>IFERROR(__xludf.DUMMYFUNCTION("""COMPUTED_VALUE"""),348723.0)</f>
        <v>348723</v>
      </c>
      <c r="F4556" s="22" t="str">
        <f>IFERROR(__xludf.DUMMYFUNCTION("""COMPUTED_VALUE"""),"こどくの乙女～呪われた令嬢は華族の元婚約者に溺愛される～")</f>
        <v>こどくの乙女～呪われた令嬢は華族の元婚約者に溺愛される～</v>
      </c>
      <c r="G4556" s="20" t="str">
        <f>IFERROR(__xludf.DUMMYFUNCTION("""COMPUTED_VALUE"""),"1～6")</f>
        <v>1～6</v>
      </c>
      <c r="H4556" s="22" t="str">
        <f>IFERROR(__xludf.DUMMYFUNCTION("""COMPUTED_VALUE"""),"すのまた壱夜")</f>
        <v>すのまた壱夜</v>
      </c>
      <c r="I4556" s="22" t="str">
        <f>IFERROR(__xludf.DUMMYFUNCTION("""COMPUTED_VALUE"""),"少女")</f>
        <v>少女</v>
      </c>
      <c r="J4556" s="22"/>
      <c r="K4556" s="22" t="str">
        <f>IFERROR(__xludf.DUMMYFUNCTION("""COMPUTED_VALUE"""),"echo")</f>
        <v>echo</v>
      </c>
      <c r="L4556" s="22" t="str">
        <f>IFERROR(__xludf.DUMMYFUNCTION("""COMPUTED_VALUE"""),"一迅社")</f>
        <v>一迅社</v>
      </c>
      <c r="M4556" s="33">
        <f>IFERROR(__xludf.DUMMYFUNCTION("""COMPUTED_VALUE"""),46059.0)</f>
        <v>46059</v>
      </c>
      <c r="N4556" s="33">
        <f>IFERROR(__xludf.DUMMYFUNCTION("""COMPUTED_VALUE"""),46142.0)</f>
        <v>46142</v>
      </c>
      <c r="O4556" s="20"/>
      <c r="P4556" s="32" t="str">
        <f>IFERROR(__xludf.DUMMYFUNCTION("""COMPUTED_VALUE"""),"否")</f>
        <v>否</v>
      </c>
      <c r="Q4556" s="30"/>
      <c r="R4556" s="22"/>
      <c r="S4556" s="22" t="str">
        <f>IFERROR(__xludf.DUMMYFUNCTION("""COMPUTED_VALUE"""),"20260114_一迅社_こどくの乙女～呪われた令嬢は華族の元婚約者に溺愛される～")</f>
        <v>20260114_一迅社_こどくの乙女～呪われた令嬢は華族の元婚約者に溺愛される～</v>
      </c>
      <c r="T4556" s="22" t="str">
        <f>IFERROR(__xludf.DUMMYFUNCTION("""COMPUTED_VALUE"""),"格納済み")</f>
        <v>格納済み</v>
      </c>
      <c r="U4556" s="9" t="str">
        <f>IFERROR(__xludf.DUMMYFUNCTION("""COMPUTED_VALUE"""),"(C)すのまた壱夜／一迅社")</f>
        <v>(C)すのまた壱夜／一迅社</v>
      </c>
      <c r="V4556" s="8"/>
      <c r="W4556" s="8"/>
      <c r="X4556" s="8" t="str">
        <f>IFERROR(__xludf.DUMMYFUNCTION("""COMPUTED_VALUE"""),"有")</f>
        <v>有</v>
      </c>
      <c r="Y4556" s="8" t="str">
        <f>IFERROR(__xludf.DUMMYFUNCTION("""COMPUTED_VALUE"""),"2026/4/30まで1巻無料")</f>
        <v>2026/4/30まで1巻無料</v>
      </c>
      <c r="Z4556" s="7"/>
      <c r="AA4556" s="7"/>
      <c r="AB4556" s="7"/>
    </row>
    <row r="4557" ht="15.75" customHeight="1">
      <c r="A4557" s="26">
        <f>IFERROR(__xludf.DUMMYFUNCTION("""COMPUTED_VALUE"""),7114.0)</f>
        <v>7114</v>
      </c>
      <c r="B4557" s="22" t="str">
        <f>IFERROR(__xludf.DUMMYFUNCTION("""COMPUTED_VALUE"""),"確定")</f>
        <v>確定</v>
      </c>
      <c r="C4557" s="28">
        <f>IFERROR(__xludf.DUMMYFUNCTION("""COMPUTED_VALUE"""),46015.0)</f>
        <v>46015</v>
      </c>
      <c r="D4557" s="28">
        <f>IFERROR(__xludf.DUMMYFUNCTION("""COMPUTED_VALUE"""),46041.0)</f>
        <v>46041</v>
      </c>
      <c r="E4557" s="26">
        <f>IFERROR(__xludf.DUMMYFUNCTION("""COMPUTED_VALUE"""),350929.0)</f>
        <v>350929</v>
      </c>
      <c r="F4557" s="22" t="str">
        <f>IFERROR(__xludf.DUMMYFUNCTION("""COMPUTED_VALUE"""),"兎野くんはいじめられたい")</f>
        <v>兎野くんはいじめられたい</v>
      </c>
      <c r="G4557" s="20" t="str">
        <f>IFERROR(__xludf.DUMMYFUNCTION("""COMPUTED_VALUE"""),"1～3")</f>
        <v>1～3</v>
      </c>
      <c r="H4557" s="22" t="str">
        <f>IFERROR(__xludf.DUMMYFUNCTION("""COMPUTED_VALUE"""),"山本佳輝")</f>
        <v>山本佳輝</v>
      </c>
      <c r="I4557" s="22" t="str">
        <f>IFERROR(__xludf.DUMMYFUNCTION("""COMPUTED_VALUE"""),"青年")</f>
        <v>青年</v>
      </c>
      <c r="J4557" s="22"/>
      <c r="K4557" s="22"/>
      <c r="L4557" s="22" t="str">
        <f>IFERROR(__xludf.DUMMYFUNCTION("""COMPUTED_VALUE"""),"Freedia(フリーディア)")</f>
        <v>Freedia(フリーディア)</v>
      </c>
      <c r="M4557" s="33">
        <f>IFERROR(__xludf.DUMMYFUNCTION("""COMPUTED_VALUE"""),46077.0)</f>
        <v>46077</v>
      </c>
      <c r="N4557" s="33">
        <f>IFERROR(__xludf.DUMMYFUNCTION("""COMPUTED_VALUE"""),46165.0)</f>
        <v>46165</v>
      </c>
      <c r="O4557" s="20"/>
      <c r="P4557" s="32" t="str">
        <f>IFERROR(__xludf.DUMMYFUNCTION("""COMPUTED_VALUE"""),"可")</f>
        <v>可</v>
      </c>
      <c r="Q4557" s="30"/>
      <c r="R4557" s="22" t="str">
        <f>IFERROR(__xludf.DUMMYFUNCTION("""COMPUTED_VALUE"""),"コミットNG")</f>
        <v>コミットNG</v>
      </c>
      <c r="S4557" s="22" t="str">
        <f>IFERROR(__xludf.DUMMYFUNCTION("""COMPUTED_VALUE"""),"20251224_Freedia_兎野くんはいじめられたい")</f>
        <v>20251224_Freedia_兎野くんはいじめられたい</v>
      </c>
      <c r="T4557" s="22" t="str">
        <f>IFERROR(__xludf.DUMMYFUNCTION("""COMPUTED_VALUE"""),"格納済み")</f>
        <v>格納済み</v>
      </c>
      <c r="U4557" s="9" t="str">
        <f>IFERROR(__xludf.DUMMYFUNCTION("""COMPUTED_VALUE"""),"Ⓒ山本佳輝/Freedia")</f>
        <v>Ⓒ山本佳輝/Freedia</v>
      </c>
      <c r="V4557" s="8"/>
      <c r="W4557" s="8"/>
      <c r="X4557" s="8" t="str">
        <f>IFERROR(__xludf.DUMMYFUNCTION("""COMPUTED_VALUE"""),"有")</f>
        <v>有</v>
      </c>
      <c r="Y4557" s="8" t="str">
        <f>IFERROR(__xludf.DUMMYFUNCTION("""COMPUTED_VALUE"""),"2026/5/23まで1巻無料")</f>
        <v>2026/5/23まで1巻無料</v>
      </c>
      <c r="Z4557" s="7"/>
      <c r="AA4557" s="7"/>
      <c r="AB4557" s="7"/>
    </row>
    <row r="4558" ht="15.75" customHeight="1">
      <c r="A4558" s="26">
        <f>IFERROR(__xludf.DUMMYFUNCTION("""COMPUTED_VALUE"""),7140.0)</f>
        <v>7140</v>
      </c>
      <c r="B4558" s="22" t="str">
        <f>IFERROR(__xludf.DUMMYFUNCTION("""COMPUTED_VALUE"""),"確定")</f>
        <v>確定</v>
      </c>
      <c r="C4558" s="28">
        <f>IFERROR(__xludf.DUMMYFUNCTION("""COMPUTED_VALUE"""),46017.0)</f>
        <v>46017</v>
      </c>
      <c r="D4558" s="28">
        <f>IFERROR(__xludf.DUMMYFUNCTION("""COMPUTED_VALUE"""),46042.0)</f>
        <v>46042</v>
      </c>
      <c r="E4558" s="26">
        <f>IFERROR(__xludf.DUMMYFUNCTION("""COMPUTED_VALUE"""),352151.0)</f>
        <v>352151</v>
      </c>
      <c r="F4558" s="22" t="str">
        <f>IFERROR(__xludf.DUMMYFUNCTION("""COMPUTED_VALUE"""),"子どもをさらして稼ぐ配信ママを許さない")</f>
        <v>子どもをさらして稼ぐ配信ママを許さない</v>
      </c>
      <c r="G4558" s="20" t="str">
        <f>IFERROR(__xludf.DUMMYFUNCTION("""COMPUTED_VALUE"""),"1～7（7話完結）")</f>
        <v>1～7（7話完結）</v>
      </c>
      <c r="H4558" s="22" t="str">
        <f>IFERROR(__xludf.DUMMYFUNCTION("""COMPUTED_VALUE"""),"つかれうさぎ")</f>
        <v>つかれうさぎ</v>
      </c>
      <c r="I4558" s="22" t="str">
        <f>IFERROR(__xludf.DUMMYFUNCTION("""COMPUTED_VALUE"""),"女性")</f>
        <v>女性</v>
      </c>
      <c r="J4558" s="22"/>
      <c r="K4558" s="22"/>
      <c r="L4558" s="22" t="str">
        <f>IFERROR(__xludf.DUMMYFUNCTION("""COMPUTED_VALUE"""),"飛鳥新社")</f>
        <v>飛鳥新社</v>
      </c>
      <c r="M4558" s="33">
        <f>IFERROR(__xludf.DUMMYFUNCTION("""COMPUTED_VALUE"""),46086.0)</f>
        <v>46086</v>
      </c>
      <c r="N4558" s="33">
        <f>IFERROR(__xludf.DUMMYFUNCTION("""COMPUTED_VALUE"""),46177.0)</f>
        <v>46177</v>
      </c>
      <c r="O4558" s="20"/>
      <c r="P4558" s="32" t="str">
        <f>IFERROR(__xludf.DUMMYFUNCTION("""COMPUTED_VALUE"""),"可")</f>
        <v>可</v>
      </c>
      <c r="Q4558" s="30"/>
      <c r="R4558" s="22" t="str">
        <f>IFERROR(__xludf.DUMMYFUNCTION("""COMPUTED_VALUE"""),"コミットNG")</f>
        <v>コミットNG</v>
      </c>
      <c r="S4558" s="22" t="str">
        <f>IFERROR(__xludf.DUMMYFUNCTION("""COMPUTED_VALUE"""),"20260119_飛鳥新社_子どもをさらして稼ぐ配信ママを許さない")</f>
        <v>20260119_飛鳥新社_子どもをさらして稼ぐ配信ママを許さない</v>
      </c>
      <c r="T4558" s="22" t="str">
        <f>IFERROR(__xludf.DUMMYFUNCTION("""COMPUTED_VALUE"""),"格納済み")</f>
        <v>格納済み</v>
      </c>
      <c r="U4558" s="9" t="str">
        <f>IFERROR(__xludf.DUMMYFUNCTION("""COMPUTED_VALUE"""),"Ⓒつかれうさぎ/飛鳥新社")</f>
        <v>Ⓒつかれうさぎ/飛鳥新社</v>
      </c>
      <c r="V4558" s="8"/>
      <c r="W4558" s="8"/>
      <c r="X4558" s="8" t="str">
        <f>IFERROR(__xludf.DUMMYFUNCTION("""COMPUTED_VALUE"""),"有")</f>
        <v>有</v>
      </c>
      <c r="Y4558" s="8" t="str">
        <f>IFERROR(__xludf.DUMMYFUNCTION("""COMPUTED_VALUE"""),"P2まで")</f>
        <v>P2まで</v>
      </c>
      <c r="Z4558" s="7"/>
      <c r="AA4558" s="7"/>
      <c r="AB4558" s="7"/>
    </row>
    <row r="4559" ht="15.75" customHeight="1">
      <c r="A4559" s="26">
        <f>IFERROR(__xludf.DUMMYFUNCTION("""COMPUTED_VALUE"""),7151.0)</f>
        <v>7151</v>
      </c>
      <c r="B4559" s="22" t="str">
        <f>IFERROR(__xludf.DUMMYFUNCTION("""COMPUTED_VALUE"""),"確定")</f>
        <v>確定</v>
      </c>
      <c r="C4559" s="28">
        <f>IFERROR(__xludf.DUMMYFUNCTION("""COMPUTED_VALUE"""),46027.0)</f>
        <v>46027</v>
      </c>
      <c r="D4559" s="28">
        <f>IFERROR(__xludf.DUMMYFUNCTION("""COMPUTED_VALUE"""),46041.0)</f>
        <v>46041</v>
      </c>
      <c r="E4559" s="26">
        <f>IFERROR(__xludf.DUMMYFUNCTION("""COMPUTED_VALUE"""),350994.0)</f>
        <v>350994</v>
      </c>
      <c r="F4559" s="22" t="str">
        <f>IFERROR(__xludf.DUMMYFUNCTION("""COMPUTED_VALUE"""),"僕とは違う君のために【単話】")</f>
        <v>僕とは違う君のために【単話】</v>
      </c>
      <c r="G4559" s="20" t="str">
        <f>IFERROR(__xludf.DUMMYFUNCTION("""COMPUTED_VALUE"""),"1～3")</f>
        <v>1～3</v>
      </c>
      <c r="H4559" s="22" t="str">
        <f>IFERROR(__xludf.DUMMYFUNCTION("""COMPUTED_VALUE"""),"漫画／白雲ひな　原作／成瀬ちはや")</f>
        <v>漫画／白雲ひな　原作／成瀬ちはや</v>
      </c>
      <c r="I4559" s="22" t="str">
        <f>IFERROR(__xludf.DUMMYFUNCTION("""COMPUTED_VALUE"""),"女性")</f>
        <v>女性</v>
      </c>
      <c r="J4559" s="22"/>
      <c r="K4559" s="22" t="str">
        <f>IFERROR(__xludf.DUMMYFUNCTION("""COMPUTED_VALUE"""),"Melty Night")</f>
        <v>Melty Night</v>
      </c>
      <c r="L4559" s="22" t="str">
        <f>IFERROR(__xludf.DUMMYFUNCTION("""COMPUTED_VALUE"""),"朝日新聞出版")</f>
        <v>朝日新聞出版</v>
      </c>
      <c r="M4559" s="33">
        <f>IFERROR(__xludf.DUMMYFUNCTION("""COMPUTED_VALUE"""),46082.0)</f>
        <v>46082</v>
      </c>
      <c r="N4559" s="33">
        <f>IFERROR(__xludf.DUMMYFUNCTION("""COMPUTED_VALUE"""),46173.0)</f>
        <v>46173</v>
      </c>
      <c r="O4559" s="20"/>
      <c r="P4559" s="32" t="str">
        <f>IFERROR(__xludf.DUMMYFUNCTION("""COMPUTED_VALUE"""),"可")</f>
        <v>可</v>
      </c>
      <c r="Q4559" s="30"/>
      <c r="R4559" s="22" t="str">
        <f>IFERROR(__xludf.DUMMYFUNCTION("""COMPUTED_VALUE"""),"コミットOK")</f>
        <v>コミットOK</v>
      </c>
      <c r="S4559" s="22" t="str">
        <f>IFERROR(__xludf.DUMMYFUNCTION("""COMPUTED_VALUE"""),"20260119_朝日新聞出版_僕とは違う君のために")</f>
        <v>20260119_朝日新聞出版_僕とは違う君のために</v>
      </c>
      <c r="T4559" s="22" t="str">
        <f>IFERROR(__xludf.DUMMYFUNCTION("""COMPUTED_VALUE"""),"格納済み")</f>
        <v>格納済み</v>
      </c>
      <c r="U4559" s="9" t="str">
        <f>IFERROR(__xludf.DUMMYFUNCTION("""COMPUTED_VALUE"""),"©成瀬ちはや・白雲ひな／朝日新聞出版")</f>
        <v>©成瀬ちはや・白雲ひな／朝日新聞出版</v>
      </c>
      <c r="V4559" s="8"/>
      <c r="W4559" s="8"/>
      <c r="X4559" s="8" t="str">
        <f>IFERROR(__xludf.DUMMYFUNCTION("""COMPUTED_VALUE"""),"有")</f>
        <v>有</v>
      </c>
      <c r="Y4559" s="8" t="str">
        <f>IFERROR(__xludf.DUMMYFUNCTION("""COMPUTED_VALUE"""),"2026/8/31まで1巻無料")</f>
        <v>2026/8/31まで1巻無料</v>
      </c>
      <c r="Z4559" s="7"/>
      <c r="AA4559" s="7"/>
      <c r="AB4559" s="7"/>
    </row>
    <row r="4560" ht="15.75" customHeight="1">
      <c r="A4560" s="26">
        <f>IFERROR(__xludf.DUMMYFUNCTION("""COMPUTED_VALUE"""),7161.0)</f>
        <v>7161</v>
      </c>
      <c r="B4560" s="22" t="str">
        <f>IFERROR(__xludf.DUMMYFUNCTION("""COMPUTED_VALUE"""),"確定")</f>
        <v>確定</v>
      </c>
      <c r="C4560" s="28">
        <f>IFERROR(__xludf.DUMMYFUNCTION("""COMPUTED_VALUE"""),46029.0)</f>
        <v>46029</v>
      </c>
      <c r="D4560" s="28">
        <f>IFERROR(__xludf.DUMMYFUNCTION("""COMPUTED_VALUE"""),46041.0)</f>
        <v>46041</v>
      </c>
      <c r="E4560" s="26">
        <f>IFERROR(__xludf.DUMMYFUNCTION("""COMPUTED_VALUE"""),351424.0)</f>
        <v>351424</v>
      </c>
      <c r="F4560" s="22" t="str">
        <f>IFERROR(__xludf.DUMMYFUNCTION("""COMPUTED_VALUE"""),"花降る夜には偽りの言葉を～彼が愛したのは、私に瓜二つの令嬢でした～")</f>
        <v>花降る夜には偽りの言葉を～彼が愛したのは、私に瓜二つの令嬢でした～</v>
      </c>
      <c r="G4560" s="20" t="str">
        <f>IFERROR(__xludf.DUMMYFUNCTION("""COMPUTED_VALUE"""),"1～3")</f>
        <v>1～3</v>
      </c>
      <c r="H4560" s="22" t="str">
        <f>IFERROR(__xludf.DUMMYFUNCTION("""COMPUTED_VALUE"""),"苺谷しげる・有沢ゆう")</f>
        <v>苺谷しげる・有沢ゆう</v>
      </c>
      <c r="I4560" s="22" t="str">
        <f>IFERROR(__xludf.DUMMYFUNCTION("""COMPUTED_VALUE"""),"女性")</f>
        <v>女性</v>
      </c>
      <c r="J4560" s="22"/>
      <c r="K4560" s="22" t="str">
        <f>IFERROR(__xludf.DUMMYFUNCTION("""COMPUTED_VALUE"""),"コイパレ")</f>
        <v>コイパレ</v>
      </c>
      <c r="L4560" s="22" t="str">
        <f>IFERROR(__xludf.DUMMYFUNCTION("""COMPUTED_VALUE"""),"CLLENN")</f>
        <v>CLLENN</v>
      </c>
      <c r="M4560" s="33">
        <f>IFERROR(__xludf.DUMMYFUNCTION("""COMPUTED_VALUE"""),46071.0)</f>
        <v>46071</v>
      </c>
      <c r="N4560" s="33">
        <f>IFERROR(__xludf.DUMMYFUNCTION("""COMPUTED_VALUE"""),46126.0)</f>
        <v>46126</v>
      </c>
      <c r="O4560" s="20"/>
      <c r="P4560" s="32" t="str">
        <f>IFERROR(__xludf.DUMMYFUNCTION("""COMPUTED_VALUE"""),"可")</f>
        <v>可</v>
      </c>
      <c r="Q4560" s="30"/>
      <c r="R4560" s="22" t="str">
        <f>IFERROR(__xludf.DUMMYFUNCTION("""COMPUTED_VALUE"""),"コミットOK")</f>
        <v>コミットOK</v>
      </c>
      <c r="S4560" s="22" t="str">
        <f>IFERROR(__xludf.DUMMYFUNCTION("""COMPUTED_VALUE"""),"20260119_CLLENN_花降る夜には偽りの言葉を～彼が愛したのは、私に瓜二つの令嬢でした～")</f>
        <v>20260119_CLLENN_花降る夜には偽りの言葉を～彼が愛したのは、私に瓜二つの令嬢でした～</v>
      </c>
      <c r="T4560" s="22" t="str">
        <f>IFERROR(__xludf.DUMMYFUNCTION("""COMPUTED_VALUE"""),"格納済み")</f>
        <v>格納済み</v>
      </c>
      <c r="U4560" s="9" t="str">
        <f>IFERROR(__xludf.DUMMYFUNCTION("""COMPUTED_VALUE"""),"Ⓒ苺谷しげる・有沢ゆう/CLLENN")</f>
        <v>Ⓒ苺谷しげる・有沢ゆう/CLLENN</v>
      </c>
      <c r="V4560" s="8"/>
      <c r="W4560" s="8"/>
      <c r="X4560" s="8" t="str">
        <f>IFERROR(__xludf.DUMMYFUNCTION("""COMPUTED_VALUE"""),"有")</f>
        <v>有</v>
      </c>
      <c r="Y4560" s="8" t="str">
        <f>IFERROR(__xludf.DUMMYFUNCTION("""COMPUTED_VALUE"""),"2026/3/3まで1巻無料")</f>
        <v>2026/3/3まで1巻無料</v>
      </c>
      <c r="Z4560" s="7"/>
      <c r="AA4560" s="7"/>
      <c r="AB4560" s="7"/>
    </row>
    <row r="4561" ht="15.75" customHeight="1">
      <c r="A4561" s="26">
        <f>IFERROR(__xludf.DUMMYFUNCTION("""COMPUTED_VALUE"""),7190.0)</f>
        <v>7190</v>
      </c>
      <c r="B4561" s="22" t="str">
        <f>IFERROR(__xludf.DUMMYFUNCTION("""COMPUTED_VALUE"""),"確定")</f>
        <v>確定</v>
      </c>
      <c r="C4561" s="28">
        <f>IFERROR(__xludf.DUMMYFUNCTION("""COMPUTED_VALUE"""),46035.0)</f>
        <v>46035</v>
      </c>
      <c r="D4561" s="28">
        <f>IFERROR(__xludf.DUMMYFUNCTION("""COMPUTED_VALUE"""),46042.0)</f>
        <v>46042</v>
      </c>
      <c r="E4561" s="26">
        <f>IFERROR(__xludf.DUMMYFUNCTION("""COMPUTED_VALUE"""),256897.0)</f>
        <v>256897</v>
      </c>
      <c r="F4561" s="22" t="str">
        <f>IFERROR(__xludf.DUMMYFUNCTION("""COMPUTED_VALUE"""),"触れたいのは香りじゃなく")</f>
        <v>触れたいのは香りじゃなく</v>
      </c>
      <c r="G4561" s="20" t="str">
        <f>IFERROR(__xludf.DUMMYFUNCTION("""COMPUTED_VALUE"""),"1～3")</f>
        <v>1～3</v>
      </c>
      <c r="H4561" s="22" t="str">
        <f>IFERROR(__xludf.DUMMYFUNCTION("""COMPUTED_VALUE"""),"チィ助")</f>
        <v>チィ助</v>
      </c>
      <c r="I4561" s="22" t="str">
        <f>IFERROR(__xludf.DUMMYFUNCTION("""COMPUTED_VALUE"""),"BLマンガ")</f>
        <v>BLマンガ</v>
      </c>
      <c r="J4561" s="22"/>
      <c r="K4561" s="22" t="str">
        <f>IFERROR(__xludf.DUMMYFUNCTION("""COMPUTED_VALUE"""),"Ficus")</f>
        <v>Ficus</v>
      </c>
      <c r="L4561" s="22" t="str">
        <f>IFERROR(__xludf.DUMMYFUNCTION("""COMPUTED_VALUE"""),"シーモアコミックス")</f>
        <v>シーモアコミックス</v>
      </c>
      <c r="M4561" s="33">
        <f>IFERROR(__xludf.DUMMYFUNCTION("""COMPUTED_VALUE"""),46067.0)</f>
        <v>46067</v>
      </c>
      <c r="N4561" s="33">
        <f>IFERROR(__xludf.DUMMYFUNCTION("""COMPUTED_VALUE"""),46219.66666666667)</f>
        <v>46219.66667</v>
      </c>
      <c r="O4561" s="20"/>
      <c r="P4561" s="32" t="str">
        <f>IFERROR(__xludf.DUMMYFUNCTION("""COMPUTED_VALUE"""),"可")</f>
        <v>可</v>
      </c>
      <c r="Q4561" s="30"/>
      <c r="R4561" s="22"/>
      <c r="S4561" s="22" t="str">
        <f>IFERROR(__xludf.DUMMYFUNCTION("""COMPUTED_VALUE"""),"20260113_シーモアコミックス_触れたいのは香りじゃなく")</f>
        <v>20260113_シーモアコミックス_触れたいのは香りじゃなく</v>
      </c>
      <c r="T4561" s="22" t="str">
        <f>IFERROR(__xludf.DUMMYFUNCTION("""COMPUTED_VALUE"""),"格納済み")</f>
        <v>格納済み</v>
      </c>
      <c r="U4561" s="9" t="str">
        <f>IFERROR(__xludf.DUMMYFUNCTION("""COMPUTED_VALUE"""),"(C) チィ助/シーモアコミックス")</f>
        <v>(C) チィ助/シーモアコミックス</v>
      </c>
      <c r="V4561" s="8"/>
      <c r="W4561" s="8"/>
      <c r="X4561" s="8" t="str">
        <f>IFERROR(__xludf.DUMMYFUNCTION("""COMPUTED_VALUE"""),"有")</f>
        <v>有</v>
      </c>
      <c r="Y4561" s="8" t="str">
        <f>IFERROR(__xludf.DUMMYFUNCTION("""COMPUTED_VALUE"""),"2026/3/13まで1巻無料")</f>
        <v>2026/3/13まで1巻無料</v>
      </c>
      <c r="Z4561" s="7"/>
      <c r="AA4561" s="7"/>
      <c r="AB4561" s="7"/>
    </row>
    <row r="4562" ht="15.75" customHeight="1">
      <c r="A4562" s="26">
        <f>IFERROR(__xludf.DUMMYFUNCTION("""COMPUTED_VALUE"""),7191.0)</f>
        <v>7191</v>
      </c>
      <c r="B4562" s="22" t="str">
        <f>IFERROR(__xludf.DUMMYFUNCTION("""COMPUTED_VALUE"""),"確定")</f>
        <v>確定</v>
      </c>
      <c r="C4562" s="28">
        <f>IFERROR(__xludf.DUMMYFUNCTION("""COMPUTED_VALUE"""),46035.0)</f>
        <v>46035</v>
      </c>
      <c r="D4562" s="28">
        <f>IFERROR(__xludf.DUMMYFUNCTION("""COMPUTED_VALUE"""),46042.0)</f>
        <v>46042</v>
      </c>
      <c r="E4562" s="26">
        <f>IFERROR(__xludf.DUMMYFUNCTION("""COMPUTED_VALUE"""),330296.0)</f>
        <v>330296</v>
      </c>
      <c r="F4562" s="22" t="str">
        <f>IFERROR(__xludf.DUMMYFUNCTION("""COMPUTED_VALUE"""),"背徳の結実(フルカラー)")</f>
        <v>背徳の結実(フルカラー)</v>
      </c>
      <c r="G4562" s="20" t="str">
        <f>IFERROR(__xludf.DUMMYFUNCTION("""COMPUTED_VALUE"""),"1～4")</f>
        <v>1～4</v>
      </c>
      <c r="H4562" s="22" t="str">
        <f>IFERROR(__xludf.DUMMYFUNCTION("""COMPUTED_VALUE"""),"P.S.,Pyo Hae-gyeom,Gangsoon")</f>
        <v>P.S.,Pyo Hae-gyeom,Gangsoon</v>
      </c>
      <c r="I4562" s="22" t="str">
        <f>IFERROR(__xludf.DUMMYFUNCTION("""COMPUTED_VALUE"""),"TLマンガ")</f>
        <v>TLマンガ</v>
      </c>
      <c r="J4562" s="22"/>
      <c r="K4562" s="22" t="str">
        <f>IFERROR(__xludf.DUMMYFUNCTION("""COMPUTED_VALUE"""),"リア×ロマ,スキして?桃色日記")</f>
        <v>リア×ロマ,スキして?桃色日記</v>
      </c>
      <c r="L4562" s="22" t="str">
        <f>IFERROR(__xludf.DUMMYFUNCTION("""COMPUTED_VALUE"""),"シーモアコミックス")</f>
        <v>シーモアコミックス</v>
      </c>
      <c r="M4562" s="33">
        <f>IFERROR(__xludf.DUMMYFUNCTION("""COMPUTED_VALUE"""),46067.0)</f>
        <v>46067</v>
      </c>
      <c r="N4562" s="33">
        <f>IFERROR(__xludf.DUMMYFUNCTION("""COMPUTED_VALUE"""),2958465.0)</f>
        <v>2958465</v>
      </c>
      <c r="O4562" s="20"/>
      <c r="P4562" s="32" t="str">
        <f>IFERROR(__xludf.DUMMYFUNCTION("""COMPUTED_VALUE"""),"可")</f>
        <v>可</v>
      </c>
      <c r="Q4562" s="30" t="str">
        <f>IFERROR(__xludf.DUMMYFUNCTION("""COMPUTED_VALUE"""),"【アダルト作品扱い】")</f>
        <v>【アダルト作品扱い】</v>
      </c>
      <c r="R4562" s="22"/>
      <c r="S4562" s="22" t="str">
        <f>IFERROR(__xludf.DUMMYFUNCTION("""COMPUTED_VALUE"""),"20260113_シーモアコミックス_背徳の結実（フルカラー）")</f>
        <v>20260113_シーモアコミックス_背徳の結実（フルカラー）</v>
      </c>
      <c r="T4562" s="22" t="str">
        <f>IFERROR(__xludf.DUMMYFUNCTION("""COMPUTED_VALUE"""),"格納済み")</f>
        <v>格納済み</v>
      </c>
      <c r="U4562" s="9" t="str">
        <f>IFERROR(__xludf.DUMMYFUNCTION("""COMPUTED_VALUE"""),"(C) P.S./Pyo Hae-gyeom/Gangsoon/シーモアコミックス")</f>
        <v>(C) P.S./Pyo Hae-gyeom/Gangsoon/シーモアコミックス</v>
      </c>
      <c r="V4562" s="8"/>
      <c r="W4562" s="8"/>
      <c r="X4562" s="8" t="str">
        <f>IFERROR(__xludf.DUMMYFUNCTION("""COMPUTED_VALUE"""),"有")</f>
        <v>有</v>
      </c>
      <c r="Y4562" s="8" t="str">
        <f>IFERROR(__xludf.DUMMYFUNCTION("""COMPUTED_VALUE"""),"2026/3/13まで1巻無料")</f>
        <v>2026/3/13まで1巻無料</v>
      </c>
      <c r="Z4562" s="7"/>
      <c r="AA4562" s="7"/>
      <c r="AB4562" s="7"/>
    </row>
    <row r="4563" ht="15.75" customHeight="1">
      <c r="A4563" s="26">
        <f>IFERROR(__xludf.DUMMYFUNCTION("""COMPUTED_VALUE"""),7192.0)</f>
        <v>7192</v>
      </c>
      <c r="B4563" s="22" t="str">
        <f>IFERROR(__xludf.DUMMYFUNCTION("""COMPUTED_VALUE"""),"確定")</f>
        <v>確定</v>
      </c>
      <c r="C4563" s="28">
        <f>IFERROR(__xludf.DUMMYFUNCTION("""COMPUTED_VALUE"""),46035.0)</f>
        <v>46035</v>
      </c>
      <c r="D4563" s="28">
        <f>IFERROR(__xludf.DUMMYFUNCTION("""COMPUTED_VALUE"""),46042.0)</f>
        <v>46042</v>
      </c>
      <c r="E4563" s="26">
        <f>IFERROR(__xludf.DUMMYFUNCTION("""COMPUTED_VALUE"""),330297.0)</f>
        <v>330297</v>
      </c>
      <c r="F4563" s="22" t="str">
        <f>IFERROR(__xludf.DUMMYFUNCTION("""COMPUTED_VALUE"""),"背徳の結実【タテヨミ】")</f>
        <v>背徳の結実【タテヨミ】</v>
      </c>
      <c r="G4563" s="20" t="str">
        <f>IFERROR(__xludf.DUMMYFUNCTION("""COMPUTED_VALUE"""),"1～12")</f>
        <v>1～12</v>
      </c>
      <c r="H4563" s="22" t="str">
        <f>IFERROR(__xludf.DUMMYFUNCTION("""COMPUTED_VALUE"""),"P.S.,Pyo Hae-gyeom,Gangsoon")</f>
        <v>P.S.,Pyo Hae-gyeom,Gangsoon</v>
      </c>
      <c r="I4563" s="22" t="str">
        <f>IFERROR(__xludf.DUMMYFUNCTION("""COMPUTED_VALUE"""),"TLマンガ")</f>
        <v>TLマンガ</v>
      </c>
      <c r="J4563" s="22"/>
      <c r="K4563" s="22" t="str">
        <f>IFERROR(__xludf.DUMMYFUNCTION("""COMPUTED_VALUE"""),"リア×ロマ,スキして?桃色日記")</f>
        <v>リア×ロマ,スキして?桃色日記</v>
      </c>
      <c r="L4563" s="22" t="str">
        <f>IFERROR(__xludf.DUMMYFUNCTION("""COMPUTED_VALUE"""),"シーモアコミックス")</f>
        <v>シーモアコミックス</v>
      </c>
      <c r="M4563" s="33">
        <f>IFERROR(__xludf.DUMMYFUNCTION("""COMPUTED_VALUE"""),46067.0)</f>
        <v>46067</v>
      </c>
      <c r="N4563" s="33">
        <f>IFERROR(__xludf.DUMMYFUNCTION("""COMPUTED_VALUE"""),2958465.0)</f>
        <v>2958465</v>
      </c>
      <c r="O4563" s="20"/>
      <c r="P4563" s="32" t="str">
        <f>IFERROR(__xludf.DUMMYFUNCTION("""COMPUTED_VALUE"""),"可")</f>
        <v>可</v>
      </c>
      <c r="Q4563" s="30" t="str">
        <f>IFERROR(__xludf.DUMMYFUNCTION("""COMPUTED_VALUE"""),"【アダルト作品扱い】&lt;BR&gt;※コマサム等素材は「330296　背徳の結実(フルカラー)」の方をお使いください。バナー制作はフルカラー版の素材を利用して問題ございません。&lt;BR&gt;")</f>
        <v>【アダルト作品扱い】&lt;BR&gt;※コマサム等素材は「330296　背徳の結実(フルカラー)」の方をお使いください。バナー制作はフルカラー版の素材を利用して問題ございません。&lt;BR&gt;</v>
      </c>
      <c r="R4563" s="22"/>
      <c r="S4563" s="22" t="str">
        <f>IFERROR(__xludf.DUMMYFUNCTION("""COMPUTED_VALUE"""),"20260113_シーモアコミックス_背徳の結実【タテヨミ】")</f>
        <v>20260113_シーモアコミックス_背徳の結実【タテヨミ】</v>
      </c>
      <c r="T4563" s="22" t="str">
        <f>IFERROR(__xludf.DUMMYFUNCTION("""COMPUTED_VALUE"""),"格納済み")</f>
        <v>格納済み</v>
      </c>
      <c r="U4563" s="9" t="str">
        <f>IFERROR(__xludf.DUMMYFUNCTION("""COMPUTED_VALUE"""),"(C) P.S./Pyo Hae-gyeom/Gangsoon/シーモアコミックス")</f>
        <v>(C) P.S./Pyo Hae-gyeom/Gangsoon/シーモアコミックス</v>
      </c>
      <c r="V4563" s="8"/>
      <c r="W4563" s="8"/>
      <c r="X4563" s="8" t="str">
        <f>IFERROR(__xludf.DUMMYFUNCTION("""COMPUTED_VALUE"""),"有")</f>
        <v>有</v>
      </c>
      <c r="Y4563" s="8" t="str">
        <f>IFERROR(__xludf.DUMMYFUNCTION("""COMPUTED_VALUE"""),"2026/3/13まで1~3巻無料")</f>
        <v>2026/3/13まで1~3巻無料</v>
      </c>
      <c r="Z4563" s="7"/>
      <c r="AA4563" s="7"/>
      <c r="AB4563" s="7"/>
    </row>
    <row r="4564" ht="15.75" customHeight="1">
      <c r="A4564" s="26">
        <f>IFERROR(__xludf.DUMMYFUNCTION("""COMPUTED_VALUE"""),7193.0)</f>
        <v>7193</v>
      </c>
      <c r="B4564" s="22" t="str">
        <f>IFERROR(__xludf.DUMMYFUNCTION("""COMPUTED_VALUE"""),"確定")</f>
        <v>確定</v>
      </c>
      <c r="C4564" s="28">
        <f>IFERROR(__xludf.DUMMYFUNCTION("""COMPUTED_VALUE"""),46035.0)</f>
        <v>46035</v>
      </c>
      <c r="D4564" s="28">
        <f>IFERROR(__xludf.DUMMYFUNCTION("""COMPUTED_VALUE"""),46042.0)</f>
        <v>46042</v>
      </c>
      <c r="E4564" s="26">
        <f>IFERROR(__xludf.DUMMYFUNCTION("""COMPUTED_VALUE"""),330302.0)</f>
        <v>330302</v>
      </c>
      <c r="F4564" s="22" t="str">
        <f>IFERROR(__xludf.DUMMYFUNCTION("""COMPUTED_VALUE"""),"冤罪リベンジ(フルカラー)")</f>
        <v>冤罪リベンジ(フルカラー)</v>
      </c>
      <c r="G4564" s="20" t="str">
        <f>IFERROR(__xludf.DUMMYFUNCTION("""COMPUTED_VALUE"""),"1～4")</f>
        <v>1～4</v>
      </c>
      <c r="H4564" s="22" t="str">
        <f>IFERROR(__xludf.DUMMYFUNCTION("""COMPUTED_VALUE"""),"Black Rabbit,hoshi")</f>
        <v>Black Rabbit,hoshi</v>
      </c>
      <c r="I4564" s="22" t="str">
        <f>IFERROR(__xludf.DUMMYFUNCTION("""COMPUTED_VALUE"""),"青年マンガ")</f>
        <v>青年マンガ</v>
      </c>
      <c r="J4564" s="22"/>
      <c r="K4564" s="22" t="str">
        <f>IFERROR(__xludf.DUMMYFUNCTION("""COMPUTED_VALUE"""),"桃色エンジェル")</f>
        <v>桃色エンジェル</v>
      </c>
      <c r="L4564" s="22" t="str">
        <f>IFERROR(__xludf.DUMMYFUNCTION("""COMPUTED_VALUE"""),"シーモアコミックス")</f>
        <v>シーモアコミックス</v>
      </c>
      <c r="M4564" s="33">
        <f>IFERROR(__xludf.DUMMYFUNCTION("""COMPUTED_VALUE"""),46067.0)</f>
        <v>46067</v>
      </c>
      <c r="N4564" s="33">
        <f>IFERROR(__xludf.DUMMYFUNCTION("""COMPUTED_VALUE"""),2958465.0)</f>
        <v>2958465</v>
      </c>
      <c r="O4564" s="20"/>
      <c r="P4564" s="32" t="str">
        <f>IFERROR(__xludf.DUMMYFUNCTION("""COMPUTED_VALUE"""),"可")</f>
        <v>可</v>
      </c>
      <c r="Q4564" s="30" t="str">
        <f>IFERROR(__xludf.DUMMYFUNCTION("""COMPUTED_VALUE"""),"【アダルト作品扱い】")</f>
        <v>【アダルト作品扱い】</v>
      </c>
      <c r="R4564" s="22"/>
      <c r="S4564" s="22" t="str">
        <f>IFERROR(__xludf.DUMMYFUNCTION("""COMPUTED_VALUE"""),"20260113_シーモアコミックス_冤罪リベンジ（フルカラー）")</f>
        <v>20260113_シーモアコミックス_冤罪リベンジ（フルカラー）</v>
      </c>
      <c r="T4564" s="22" t="str">
        <f>IFERROR(__xludf.DUMMYFUNCTION("""COMPUTED_VALUE"""),"格納済み")</f>
        <v>格納済み</v>
      </c>
      <c r="U4564" s="9" t="str">
        <f>IFERROR(__xludf.DUMMYFUNCTION("""COMPUTED_VALUE"""),"(C) Black Rabbit/hoshi/TOPCO/シーモアコミックス")</f>
        <v>(C) Black Rabbit/hoshi/TOPCO/シーモアコミックス</v>
      </c>
      <c r="V4564" s="8"/>
      <c r="W4564" s="8"/>
      <c r="X4564" s="8" t="str">
        <f>IFERROR(__xludf.DUMMYFUNCTION("""COMPUTED_VALUE"""),"有")</f>
        <v>有</v>
      </c>
      <c r="Y4564" s="8" t="str">
        <f>IFERROR(__xludf.DUMMYFUNCTION("""COMPUTED_VALUE"""),"2026/3/13まで1巻無料")</f>
        <v>2026/3/13まで1巻無料</v>
      </c>
      <c r="Z4564" s="7"/>
      <c r="AA4564" s="7"/>
      <c r="AB4564" s="7"/>
    </row>
    <row r="4565" ht="15.75" customHeight="1">
      <c r="A4565" s="26">
        <f>IFERROR(__xludf.DUMMYFUNCTION("""COMPUTED_VALUE"""),7194.0)</f>
        <v>7194</v>
      </c>
      <c r="B4565" s="22" t="str">
        <f>IFERROR(__xludf.DUMMYFUNCTION("""COMPUTED_VALUE"""),"確定")</f>
        <v>確定</v>
      </c>
      <c r="C4565" s="28">
        <f>IFERROR(__xludf.DUMMYFUNCTION("""COMPUTED_VALUE"""),46035.0)</f>
        <v>46035</v>
      </c>
      <c r="D4565" s="28">
        <f>IFERROR(__xludf.DUMMYFUNCTION("""COMPUTED_VALUE"""),46042.0)</f>
        <v>46042</v>
      </c>
      <c r="E4565" s="26">
        <f>IFERROR(__xludf.DUMMYFUNCTION("""COMPUTED_VALUE"""),330303.0)</f>
        <v>330303</v>
      </c>
      <c r="F4565" s="22" t="str">
        <f>IFERROR(__xludf.DUMMYFUNCTION("""COMPUTED_VALUE"""),"冤罪リベンジ【タテヨミ】")</f>
        <v>冤罪リベンジ【タテヨミ】</v>
      </c>
      <c r="G4565" s="20" t="str">
        <f>IFERROR(__xludf.DUMMYFUNCTION("""COMPUTED_VALUE"""),"1～8")</f>
        <v>1～8</v>
      </c>
      <c r="H4565" s="22" t="str">
        <f>IFERROR(__xludf.DUMMYFUNCTION("""COMPUTED_VALUE"""),"Black Rabbit,hoshi")</f>
        <v>Black Rabbit,hoshi</v>
      </c>
      <c r="I4565" s="22" t="str">
        <f>IFERROR(__xludf.DUMMYFUNCTION("""COMPUTED_VALUE"""),"青年マンガ")</f>
        <v>青年マンガ</v>
      </c>
      <c r="J4565" s="22"/>
      <c r="K4565" s="22" t="str">
        <f>IFERROR(__xludf.DUMMYFUNCTION("""COMPUTED_VALUE"""),"桃色エンジェル")</f>
        <v>桃色エンジェル</v>
      </c>
      <c r="L4565" s="22" t="str">
        <f>IFERROR(__xludf.DUMMYFUNCTION("""COMPUTED_VALUE"""),"シーモアコミックス")</f>
        <v>シーモアコミックス</v>
      </c>
      <c r="M4565" s="33">
        <f>IFERROR(__xludf.DUMMYFUNCTION("""COMPUTED_VALUE"""),46067.0)</f>
        <v>46067</v>
      </c>
      <c r="N4565" s="33">
        <f>IFERROR(__xludf.DUMMYFUNCTION("""COMPUTED_VALUE"""),2958465.0)</f>
        <v>2958465</v>
      </c>
      <c r="O4565" s="20"/>
      <c r="P4565" s="32" t="str">
        <f>IFERROR(__xludf.DUMMYFUNCTION("""COMPUTED_VALUE"""),"可")</f>
        <v>可</v>
      </c>
      <c r="Q4565" s="30" t="str">
        <f>IFERROR(__xludf.DUMMYFUNCTION("""COMPUTED_VALUE"""),"【アダルト作品扱い】&lt;BR&gt;※コマサム等素材は「330302　冤罪リベンジ(フルカラー)」の方をお使いください。バナー制作はフルカラー版の素材を利用して問題ございません。&lt;BR&gt;")</f>
        <v>【アダルト作品扱い】&lt;BR&gt;※コマサム等素材は「330302　冤罪リベンジ(フルカラー)」の方をお使いください。バナー制作はフルカラー版の素材を利用して問題ございません。&lt;BR&gt;</v>
      </c>
      <c r="R4565" s="22"/>
      <c r="S4565" s="22" t="str">
        <f>IFERROR(__xludf.DUMMYFUNCTION("""COMPUTED_VALUE"""),"20260113_シーモアコミックス_冤罪リベンジ【タテヨミ】")</f>
        <v>20260113_シーモアコミックス_冤罪リベンジ【タテヨミ】</v>
      </c>
      <c r="T4565" s="22" t="str">
        <f>IFERROR(__xludf.DUMMYFUNCTION("""COMPUTED_VALUE"""),"格納済み")</f>
        <v>格納済み</v>
      </c>
      <c r="U4565" s="9" t="str">
        <f>IFERROR(__xludf.DUMMYFUNCTION("""COMPUTED_VALUE"""),"(C) Black Rabbit/hoshi/TOPCO/シーモアコミックス")</f>
        <v>(C) Black Rabbit/hoshi/TOPCO/シーモアコミックス</v>
      </c>
      <c r="V4565" s="8"/>
      <c r="W4565" s="8"/>
      <c r="X4565" s="8" t="str">
        <f>IFERROR(__xludf.DUMMYFUNCTION("""COMPUTED_VALUE"""),"有")</f>
        <v>有</v>
      </c>
      <c r="Y4565" s="8" t="str">
        <f>IFERROR(__xludf.DUMMYFUNCTION("""COMPUTED_VALUE"""),"2026/3/13まで1~2巻無料")</f>
        <v>2026/3/13まで1~2巻無料</v>
      </c>
      <c r="Z4565" s="7"/>
      <c r="AA4565" s="7"/>
      <c r="AB4565" s="7"/>
    </row>
    <row r="4566" ht="15.75" customHeight="1">
      <c r="A4566" s="26">
        <f>IFERROR(__xludf.DUMMYFUNCTION("""COMPUTED_VALUE"""),7203.0)</f>
        <v>7203</v>
      </c>
      <c r="B4566" s="22" t="str">
        <f>IFERROR(__xludf.DUMMYFUNCTION("""COMPUTED_VALUE"""),"確定")</f>
        <v>確定</v>
      </c>
      <c r="C4566" s="28">
        <f>IFERROR(__xludf.DUMMYFUNCTION("""COMPUTED_VALUE"""),46036.0)</f>
        <v>46036</v>
      </c>
      <c r="D4566" s="28">
        <f>IFERROR(__xludf.DUMMYFUNCTION("""COMPUTED_VALUE"""),46037.0)</f>
        <v>46037</v>
      </c>
      <c r="E4566" s="26">
        <f>IFERROR(__xludf.DUMMYFUNCTION("""COMPUTED_VALUE"""),326680.0)</f>
        <v>326680</v>
      </c>
      <c r="F4566" s="22" t="str">
        <f>IFERROR(__xludf.DUMMYFUNCTION("""COMPUTED_VALUE"""),"断罪の放課後")</f>
        <v>断罪の放課後</v>
      </c>
      <c r="G4566" s="20" t="str">
        <f>IFERROR(__xludf.DUMMYFUNCTION("""COMPUTED_VALUE"""),"1～3")</f>
        <v>1～3</v>
      </c>
      <c r="H4566" s="22" t="str">
        <f>IFERROR(__xludf.DUMMYFUNCTION("""COMPUTED_VALUE"""),"あまねしゅしゅ,土橋真二郎")</f>
        <v>あまねしゅしゅ,土橋真二郎</v>
      </c>
      <c r="I4566" s="22" t="str">
        <f>IFERROR(__xludf.DUMMYFUNCTION("""COMPUTED_VALUE"""),"青年マンガ")</f>
        <v>青年マンガ</v>
      </c>
      <c r="J4566" s="22"/>
      <c r="K4566" s="22" t="str">
        <f>IFERROR(__xludf.DUMMYFUNCTION("""COMPUTED_VALUE"""),"トレモア・スプラッシュ,トレモアcollection")</f>
        <v>トレモア・スプラッシュ,トレモアcollection</v>
      </c>
      <c r="L4566" s="22" t="str">
        <f>IFERROR(__xludf.DUMMYFUNCTION("""COMPUTED_VALUE"""),"シーモアコミックス（トレモア）")</f>
        <v>シーモアコミックス（トレモア）</v>
      </c>
      <c r="M4566" s="33">
        <f>IFERROR(__xludf.DUMMYFUNCTION("""COMPUTED_VALUE"""),46080.0)</f>
        <v>46080</v>
      </c>
      <c r="N4566" s="33">
        <f>IFERROR(__xludf.DUMMYFUNCTION("""COMPUTED_VALUE"""),2958465.0)</f>
        <v>2958465</v>
      </c>
      <c r="O4566" s="20"/>
      <c r="P4566" s="32" t="str">
        <f>IFERROR(__xludf.DUMMYFUNCTION("""COMPUTED_VALUE"""),"可")</f>
        <v>可</v>
      </c>
      <c r="Q4566" s="30"/>
      <c r="R4566" s="22"/>
      <c r="S4566" s="22" t="str">
        <f>IFERROR(__xludf.DUMMYFUNCTION("""COMPUTED_VALUE"""),"20260114_シーモアコミックス_断罪の放課後")</f>
        <v>20260114_シーモアコミックス_断罪の放課後</v>
      </c>
      <c r="T4566" s="22" t="str">
        <f>IFERROR(__xludf.DUMMYFUNCTION("""COMPUTED_VALUE"""),"格納済み")</f>
        <v>格納済み</v>
      </c>
      <c r="U4566" s="9" t="str">
        <f>IFERROR(__xludf.DUMMYFUNCTION("""COMPUTED_VALUE"""),"(C) あまねしゅしゅ/土橋真二郎/シーモアコミックス")</f>
        <v>(C) あまねしゅしゅ/土橋真二郎/シーモアコミックス</v>
      </c>
      <c r="V4566" s="8"/>
      <c r="W4566" s="8"/>
      <c r="X4566" s="8" t="str">
        <f>IFERROR(__xludf.DUMMYFUNCTION("""COMPUTED_VALUE"""),"有")</f>
        <v>有</v>
      </c>
      <c r="Y4566" s="8" t="str">
        <f>IFERROR(__xludf.DUMMYFUNCTION("""COMPUTED_VALUE"""),"2026/12/31まで1巻無料")</f>
        <v>2026/12/31まで1巻無料</v>
      </c>
      <c r="Z4566" s="7"/>
      <c r="AA4566" s="7"/>
      <c r="AB4566" s="7"/>
    </row>
    <row r="4567" ht="15.75" customHeight="1">
      <c r="A4567" s="26">
        <f>IFERROR(__xludf.DUMMYFUNCTION("""COMPUTED_VALUE"""),7208.0)</f>
        <v>7208</v>
      </c>
      <c r="B4567" s="22" t="str">
        <f>IFERROR(__xludf.DUMMYFUNCTION("""COMPUTED_VALUE"""),"確定")</f>
        <v>確定</v>
      </c>
      <c r="C4567" s="28">
        <f>IFERROR(__xludf.DUMMYFUNCTION("""COMPUTED_VALUE"""),46037.0)</f>
        <v>46037</v>
      </c>
      <c r="D4567" s="28">
        <f>IFERROR(__xludf.DUMMYFUNCTION("""COMPUTED_VALUE"""),46042.0)</f>
        <v>46042</v>
      </c>
      <c r="E4567" s="26">
        <f>IFERROR(__xludf.DUMMYFUNCTION("""COMPUTED_VALUE"""),351248.0)</f>
        <v>351248</v>
      </c>
      <c r="F4567" s="22" t="str">
        <f>IFERROR(__xludf.DUMMYFUNCTION("""COMPUTED_VALUE"""),"TS後輩、メスになる。")</f>
        <v>TS後輩、メスになる。</v>
      </c>
      <c r="G4567" s="20" t="str">
        <f>IFERROR(__xludf.DUMMYFUNCTION("""COMPUTED_VALUE"""),"1～3")</f>
        <v>1～3</v>
      </c>
      <c r="H4567" s="22" t="str">
        <f>IFERROR(__xludf.DUMMYFUNCTION("""COMPUTED_VALUE"""),"サバイバル刃")</f>
        <v>サバイバル刃</v>
      </c>
      <c r="I4567" s="22" t="str">
        <f>IFERROR(__xludf.DUMMYFUNCTION("""COMPUTED_VALUE"""),"アダルトマンガ")</f>
        <v>アダルトマンガ</v>
      </c>
      <c r="J4567" s="22"/>
      <c r="K4567" s="22"/>
      <c r="L4567" s="22" t="str">
        <f>IFERROR(__xludf.DUMMYFUNCTION("""COMPUTED_VALUE"""),"セ・キララ文庫")</f>
        <v>セ・キララ文庫</v>
      </c>
      <c r="M4567" s="33">
        <f>IFERROR(__xludf.DUMMYFUNCTION("""COMPUTED_VALUE"""),46066.0)</f>
        <v>46066</v>
      </c>
      <c r="N4567" s="33">
        <f>IFERROR(__xludf.DUMMYFUNCTION("""COMPUTED_VALUE"""),46166.66666666667)</f>
        <v>46166.66667</v>
      </c>
      <c r="O4567" s="20"/>
      <c r="P4567" s="32" t="str">
        <f>IFERROR(__xludf.DUMMYFUNCTION("""COMPUTED_VALUE"""),"可")</f>
        <v>可</v>
      </c>
      <c r="Q4567" s="30"/>
      <c r="R4567" s="22"/>
      <c r="S4567" s="22" t="str">
        <f>IFERROR(__xludf.DUMMYFUNCTION("""COMPUTED_VALUE"""),"20260115_ライドオン_TS後輩、メスになる。")</f>
        <v>20260115_ライドオン_TS後輩、メスになる。</v>
      </c>
      <c r="T4567" s="22" t="str">
        <f>IFERROR(__xludf.DUMMYFUNCTION("""COMPUTED_VALUE"""),"格納済み")</f>
        <v>格納済み</v>
      </c>
      <c r="U4567" s="9" t="str">
        <f>IFERROR(__xludf.DUMMYFUNCTION("""COMPUTED_VALUE"""),"Ⓒサバイバル刃/セ・キララ文庫")</f>
        <v>Ⓒサバイバル刃/セ・キララ文庫</v>
      </c>
      <c r="V4567" s="8"/>
      <c r="W4567" s="8"/>
      <c r="X4567" s="8" t="str">
        <f>IFERROR(__xludf.DUMMYFUNCTION("""COMPUTED_VALUE"""),"有")</f>
        <v>有</v>
      </c>
      <c r="Y4567" s="8" t="str">
        <f>IFERROR(__xludf.DUMMYFUNCTION("""COMPUTED_VALUE"""),"P11まで")</f>
        <v>P11まで</v>
      </c>
      <c r="Z4567" s="7"/>
      <c r="AA4567" s="7"/>
      <c r="AB4567" s="7"/>
    </row>
    <row r="4568" ht="15.75" customHeight="1">
      <c r="A4568" s="26">
        <f>IFERROR(__xludf.DUMMYFUNCTION("""COMPUTED_VALUE"""),7210.0)</f>
        <v>7210</v>
      </c>
      <c r="B4568" s="22" t="str">
        <f>IFERROR(__xludf.DUMMYFUNCTION("""COMPUTED_VALUE"""),"確定")</f>
        <v>確定</v>
      </c>
      <c r="C4568" s="28">
        <f>IFERROR(__xludf.DUMMYFUNCTION("""COMPUTED_VALUE"""),46037.0)</f>
        <v>46037</v>
      </c>
      <c r="D4568" s="28">
        <f>IFERROR(__xludf.DUMMYFUNCTION("""COMPUTED_VALUE"""),46041.0)</f>
        <v>46041</v>
      </c>
      <c r="E4568" s="26">
        <f>IFERROR(__xludf.DUMMYFUNCTION("""COMPUTED_VALUE"""),352382.0)</f>
        <v>352382</v>
      </c>
      <c r="F4568" s="22" t="str">
        <f>IFERROR(__xludf.DUMMYFUNCTION("""COMPUTED_VALUE"""),"ダウナー研究者お姉さんにお願いしてえっちなことしてもらう話。")</f>
        <v>ダウナー研究者お姉さんにお願いしてえっちなことしてもらう話。</v>
      </c>
      <c r="G4568" s="20" t="str">
        <f>IFERROR(__xludf.DUMMYFUNCTION("""COMPUTED_VALUE"""),"1～2")</f>
        <v>1～2</v>
      </c>
      <c r="H4568" s="22" t="str">
        <f>IFERROR(__xludf.DUMMYFUNCTION("""COMPUTED_VALUE"""),"優しい内臓")</f>
        <v>優しい内臓</v>
      </c>
      <c r="I4568" s="22" t="str">
        <f>IFERROR(__xludf.DUMMYFUNCTION("""COMPUTED_VALUE"""),"アダルトマンガ")</f>
        <v>アダルトマンガ</v>
      </c>
      <c r="J4568" s="22"/>
      <c r="K4568" s="22"/>
      <c r="L4568" s="22" t="str">
        <f>IFERROR(__xludf.DUMMYFUNCTION("""COMPUTED_VALUE"""),"セ・キララ文庫")</f>
        <v>セ・キララ文庫</v>
      </c>
      <c r="M4568" s="33">
        <f>IFERROR(__xludf.DUMMYFUNCTION("""COMPUTED_VALUE"""),46066.0)</f>
        <v>46066</v>
      </c>
      <c r="N4568" s="33">
        <f>IFERROR(__xludf.DUMMYFUNCTION("""COMPUTED_VALUE"""),46105.0)</f>
        <v>46105</v>
      </c>
      <c r="O4568" s="20"/>
      <c r="P4568" s="32" t="str">
        <f>IFERROR(__xludf.DUMMYFUNCTION("""COMPUTED_VALUE"""),"可")</f>
        <v>可</v>
      </c>
      <c r="Q4568" s="30" t="str">
        <f>IFERROR(__xludf.DUMMYFUNCTION("""COMPUTED_VALUE"""),"クリエイティブ制作時女の子が幼く見えないようにご注意お願いいたします。")</f>
        <v>クリエイティブ制作時女の子が幼く見えないようにご注意お願いいたします。</v>
      </c>
      <c r="R4568" s="22"/>
      <c r="S4568" s="22" t="str">
        <f>IFERROR(__xludf.DUMMYFUNCTION("""COMPUTED_VALUE"""),"20260115_ライドオン_ダウナー研究者お姉さんにお願いしてえっちなことしてもらう話。")</f>
        <v>20260115_ライドオン_ダウナー研究者お姉さんにお願いしてえっちなことしてもらう話。</v>
      </c>
      <c r="T4568" s="22" t="str">
        <f>IFERROR(__xludf.DUMMYFUNCTION("""COMPUTED_VALUE"""),"格納済み")</f>
        <v>格納済み</v>
      </c>
      <c r="U4568" s="9" t="str">
        <f>IFERROR(__xludf.DUMMYFUNCTION("""COMPUTED_VALUE"""),"Ⓒ優しい内臓/セ・キララ文庫")</f>
        <v>Ⓒ優しい内臓/セ・キララ文庫</v>
      </c>
      <c r="V4568" s="8"/>
      <c r="W4568" s="8"/>
      <c r="X4568" s="8" t="str">
        <f>IFERROR(__xludf.DUMMYFUNCTION("""COMPUTED_VALUE"""),"有")</f>
        <v>有</v>
      </c>
      <c r="Y4568" s="8" t="str">
        <f>IFERROR(__xludf.DUMMYFUNCTION("""COMPUTED_VALUE"""),"P10まで")</f>
        <v>P10まで</v>
      </c>
      <c r="Z4568" s="7"/>
      <c r="AA4568" s="7"/>
      <c r="AB4568" s="7"/>
    </row>
    <row r="4569" ht="15.75" customHeight="1">
      <c r="A4569" s="26">
        <f>IFERROR(__xludf.DUMMYFUNCTION("""COMPUTED_VALUE"""),7211.0)</f>
        <v>7211</v>
      </c>
      <c r="B4569" s="22" t="str">
        <f>IFERROR(__xludf.DUMMYFUNCTION("""COMPUTED_VALUE"""),"確定")</f>
        <v>確定</v>
      </c>
      <c r="C4569" s="28">
        <f>IFERROR(__xludf.DUMMYFUNCTION("""COMPUTED_VALUE"""),46037.0)</f>
        <v>46037</v>
      </c>
      <c r="D4569" s="28">
        <f>IFERROR(__xludf.DUMMYFUNCTION("""COMPUTED_VALUE"""),46041.0)</f>
        <v>46041</v>
      </c>
      <c r="E4569" s="26">
        <f>IFERROR(__xludf.DUMMYFUNCTION("""COMPUTED_VALUE"""),351281.0)</f>
        <v>351281</v>
      </c>
      <c r="F4569" s="22" t="str">
        <f>IFERROR(__xludf.DUMMYFUNCTION("""COMPUTED_VALUE"""),"処刑される当て馬王子、私が幸せにいたします！（分冊版）")</f>
        <v>処刑される当て馬王子、私が幸せにいたします！（分冊版）</v>
      </c>
      <c r="G4569" s="20" t="str">
        <f>IFERROR(__xludf.DUMMYFUNCTION("""COMPUTED_VALUE"""),"1～5")</f>
        <v>1～5</v>
      </c>
      <c r="H4569" s="22" t="str">
        <f>IFERROR(__xludf.DUMMYFUNCTION("""COMPUTED_VALUE"""),"屋丸やす子")</f>
        <v>屋丸やす子</v>
      </c>
      <c r="I4569" s="22" t="str">
        <f>IFERROR(__xludf.DUMMYFUNCTION("""COMPUTED_VALUE"""),"女性")</f>
        <v>女性</v>
      </c>
      <c r="J4569" s="22"/>
      <c r="K4569" s="22"/>
      <c r="L4569" s="22" t="str">
        <f>IFERROR(__xludf.DUMMYFUNCTION("""COMPUTED_VALUE"""),"アルファポリス")</f>
        <v>アルファポリス</v>
      </c>
      <c r="M4569" s="33">
        <f>IFERROR(__xludf.DUMMYFUNCTION("""COMPUTED_VALUE"""),46080.0)</f>
        <v>46080</v>
      </c>
      <c r="N4569" s="33">
        <f>IFERROR(__xludf.DUMMYFUNCTION("""COMPUTED_VALUE"""),46170.0)</f>
        <v>46170</v>
      </c>
      <c r="O4569" s="20"/>
      <c r="P4569" s="32" t="str">
        <f>IFERROR(__xludf.DUMMYFUNCTION("""COMPUTED_VALUE"""),"可")</f>
        <v>可</v>
      </c>
      <c r="Q4569" s="30" t="str">
        <f>IFERROR(__xludf.DUMMYFUNCTION("""COMPUTED_VALUE"""),"【アウトバウント施策】")</f>
        <v>【アウトバウント施策】</v>
      </c>
      <c r="R4569" s="22" t="str">
        <f>IFERROR(__xludf.DUMMYFUNCTION("""COMPUTED_VALUE"""),"コミットOK")</f>
        <v>コミットOK</v>
      </c>
      <c r="S4569" s="22" t="str">
        <f>IFERROR(__xludf.DUMMYFUNCTION("""COMPUTED_VALUE"""),"20260114_アルファポリス_処刑される当て馬王子、私が幸せにいたします！")</f>
        <v>20260114_アルファポリス_処刑される当て馬王子、私が幸せにいたします！</v>
      </c>
      <c r="T4569" s="22" t="str">
        <f>IFERROR(__xludf.DUMMYFUNCTION("""COMPUTED_VALUE"""),"格納済み")</f>
        <v>格納済み</v>
      </c>
      <c r="U4569" s="9" t="str">
        <f>IFERROR(__xludf.DUMMYFUNCTION("""COMPUTED_VALUE"""),"（C）屋丸やす子／アルファポリス")</f>
        <v>（C）屋丸やす子／アルファポリス</v>
      </c>
      <c r="V4569" s="8"/>
      <c r="W4569" s="8"/>
      <c r="X4569" s="8" t="str">
        <f>IFERROR(__xludf.DUMMYFUNCTION("""COMPUTED_VALUE"""),"有")</f>
        <v>有</v>
      </c>
      <c r="Y4569" s="8" t="str">
        <f>IFERROR(__xludf.DUMMYFUNCTION("""COMPUTED_VALUE"""),"1巻無料")</f>
        <v>1巻無料</v>
      </c>
      <c r="Z4569" s="7"/>
      <c r="AA4569" s="7"/>
      <c r="AB4569" s="7"/>
    </row>
    <row r="4570" ht="15.75" customHeight="1">
      <c r="A4570" s="26">
        <f>IFERROR(__xludf.DUMMYFUNCTION("""COMPUTED_VALUE"""),7215.0)</f>
        <v>7215</v>
      </c>
      <c r="B4570" s="22" t="str">
        <f>IFERROR(__xludf.DUMMYFUNCTION("""COMPUTED_VALUE"""),"確定")</f>
        <v>確定</v>
      </c>
      <c r="C4570" s="28">
        <f>IFERROR(__xludf.DUMMYFUNCTION("""COMPUTED_VALUE"""),46037.0)</f>
        <v>46037</v>
      </c>
      <c r="D4570" s="28">
        <f>IFERROR(__xludf.DUMMYFUNCTION("""COMPUTED_VALUE"""),46038.0)</f>
        <v>46038</v>
      </c>
      <c r="E4570" s="26">
        <f>IFERROR(__xludf.DUMMYFUNCTION("""COMPUTED_VALUE"""),349753.0)</f>
        <v>349753</v>
      </c>
      <c r="F4570" s="22" t="str">
        <f>IFERROR(__xludf.DUMMYFUNCTION("""COMPUTED_VALUE"""),"幸せな政略結婚～記憶喪失となった辺境伯様には秘密がある～")</f>
        <v>幸せな政略結婚～記憶喪失となった辺境伯様には秘密がある～</v>
      </c>
      <c r="G4570" s="20" t="str">
        <f>IFERROR(__xludf.DUMMYFUNCTION("""COMPUTED_VALUE"""),"1～3")</f>
        <v>1～3</v>
      </c>
      <c r="H4570" s="22" t="str">
        <f>IFERROR(__xludf.DUMMYFUNCTION("""COMPUTED_VALUE"""),"漫画：星園マキ／原作：ナナセ（エブリスタ）")</f>
        <v>漫画：星園マキ／原作：ナナセ（エブリスタ）</v>
      </c>
      <c r="I4570" s="22" t="str">
        <f>IFERROR(__xludf.DUMMYFUNCTION("""COMPUTED_VALUE"""),"女性")</f>
        <v>女性</v>
      </c>
      <c r="J4570" s="22"/>
      <c r="K4570" s="22"/>
      <c r="L4570" s="22" t="str">
        <f>IFERROR(__xludf.DUMMYFUNCTION("""COMPUTED_VALUE"""),"集英社")</f>
        <v>集英社</v>
      </c>
      <c r="M4570" s="33">
        <f>IFERROR(__xludf.DUMMYFUNCTION("""COMPUTED_VALUE"""),46054.0)</f>
        <v>46054</v>
      </c>
      <c r="N4570" s="33">
        <f>IFERROR(__xludf.DUMMYFUNCTION("""COMPUTED_VALUE"""),46081.0)</f>
        <v>46081</v>
      </c>
      <c r="O4570" s="20"/>
      <c r="P4570" s="32" t="str">
        <f>IFERROR(__xludf.DUMMYFUNCTION("""COMPUTED_VALUE"""),"否")</f>
        <v>否</v>
      </c>
      <c r="Q4570" s="30"/>
      <c r="R4570" s="22"/>
      <c r="S4570" s="22" t="str">
        <f>IFERROR(__xludf.DUMMYFUNCTION("""COMPUTED_VALUE"""),"20260115_集英社_幸せな政略結婚～記憶喪失となった辺境伯様には秘密がある～_1-3k")</f>
        <v>20260115_集英社_幸せな政略結婚～記憶喪失となった辺境伯様には秘密がある～_1-3k</v>
      </c>
      <c r="T4570" s="22" t="str">
        <f>IFERROR(__xludf.DUMMYFUNCTION("""COMPUTED_VALUE"""),"格納済み")</f>
        <v>格納済み</v>
      </c>
      <c r="U4570" s="9" t="str">
        <f>IFERROR(__xludf.DUMMYFUNCTION("""COMPUTED_VALUE"""),"(c)星園マキ・ナナセ（エブリスタ）／集英社")</f>
        <v>(c)星園マキ・ナナセ（エブリスタ）／集英社</v>
      </c>
      <c r="V4570" s="8"/>
      <c r="W4570" s="8"/>
      <c r="X4570" s="8" t="str">
        <f>IFERROR(__xludf.DUMMYFUNCTION("""COMPUTED_VALUE"""),"有")</f>
        <v>有</v>
      </c>
      <c r="Y4570" s="8" t="str">
        <f>IFERROR(__xludf.DUMMYFUNCTION("""COMPUTED_VALUE"""),"2026/2/28まで1巻無料")</f>
        <v>2026/2/28まで1巻無料</v>
      </c>
      <c r="Z4570" s="7"/>
      <c r="AA4570" s="7"/>
      <c r="AB4570" s="7"/>
    </row>
    <row r="4571" ht="15.75" customHeight="1">
      <c r="A4571" s="26">
        <f>IFERROR(__xludf.DUMMYFUNCTION("""COMPUTED_VALUE"""),7216.0)</f>
        <v>7216</v>
      </c>
      <c r="B4571" s="22" t="str">
        <f>IFERROR(__xludf.DUMMYFUNCTION("""COMPUTED_VALUE"""),"確定")</f>
        <v>確定</v>
      </c>
      <c r="C4571" s="28">
        <f>IFERROR(__xludf.DUMMYFUNCTION("""COMPUTED_VALUE"""),46037.0)</f>
        <v>46037</v>
      </c>
      <c r="D4571" s="28">
        <f>IFERROR(__xludf.DUMMYFUNCTION("""COMPUTED_VALUE"""),46038.0)</f>
        <v>46038</v>
      </c>
      <c r="E4571" s="26">
        <f>IFERROR(__xludf.DUMMYFUNCTION("""COMPUTED_VALUE"""),349387.0)</f>
        <v>349387</v>
      </c>
      <c r="F4571" s="22" t="str">
        <f>IFERROR(__xludf.DUMMYFUNCTION("""COMPUTED_VALUE"""),"悪魔に恋をしてしまったのですが、成就してもいいですか？")</f>
        <v>悪魔に恋をしてしまったのですが、成就してもいいですか？</v>
      </c>
      <c r="G4571" s="20" t="str">
        <f>IFERROR(__xludf.DUMMYFUNCTION("""COMPUTED_VALUE"""),"1～2")</f>
        <v>1～2</v>
      </c>
      <c r="H4571" s="22" t="str">
        <f>IFERROR(__xludf.DUMMYFUNCTION("""COMPUTED_VALUE"""),"伊南十八／COMIC ROOM")</f>
        <v>伊南十八／COMIC ROOM</v>
      </c>
      <c r="I4571" s="22" t="str">
        <f>IFERROR(__xludf.DUMMYFUNCTION("""COMPUTED_VALUE"""),"女性")</f>
        <v>女性</v>
      </c>
      <c r="J4571" s="22"/>
      <c r="K4571" s="22"/>
      <c r="L4571" s="22" t="str">
        <f>IFERROR(__xludf.DUMMYFUNCTION("""COMPUTED_VALUE"""),"コミックルーム")</f>
        <v>コミックルーム</v>
      </c>
      <c r="M4571" s="33">
        <f>IFERROR(__xludf.DUMMYFUNCTION("""COMPUTED_VALUE"""),46068.0)</f>
        <v>46068</v>
      </c>
      <c r="N4571" s="33">
        <f>IFERROR(__xludf.DUMMYFUNCTION("""COMPUTED_VALUE"""),46156.0)</f>
        <v>46156</v>
      </c>
      <c r="O4571" s="20"/>
      <c r="P4571" s="32" t="str">
        <f>IFERROR(__xludf.DUMMYFUNCTION("""COMPUTED_VALUE"""),"可")</f>
        <v>可</v>
      </c>
      <c r="Q4571" s="30"/>
      <c r="R4571" s="22"/>
      <c r="S4571" s="22" t="str">
        <f>IFERROR(__xludf.DUMMYFUNCTION("""COMPUTED_VALUE"""),"20260115_コミックルーム_悪魔に恋をしてしまったのですが、成就してもいいですか？")</f>
        <v>20260115_コミックルーム_悪魔に恋をしてしまったのですが、成就してもいいですか？</v>
      </c>
      <c r="T4571" s="22" t="str">
        <f>IFERROR(__xludf.DUMMYFUNCTION("""COMPUTED_VALUE"""),"格納済み")</f>
        <v>格納済み</v>
      </c>
      <c r="U4571" s="9" t="str">
        <f>IFERROR(__xludf.DUMMYFUNCTION("""COMPUTED_VALUE"""),"(c)伊南十八／COMIC ROOM")</f>
        <v>(c)伊南十八／COMIC ROOM</v>
      </c>
      <c r="V4571" s="8"/>
      <c r="W4571" s="8"/>
      <c r="X4571" s="8" t="str">
        <f>IFERROR(__xludf.DUMMYFUNCTION("""COMPUTED_VALUE"""),"有")</f>
        <v>有</v>
      </c>
      <c r="Y4571" s="8" t="str">
        <f>IFERROR(__xludf.DUMMYFUNCTION("""COMPUTED_VALUE"""),"P12まで")</f>
        <v>P12まで</v>
      </c>
      <c r="Z4571" s="7"/>
      <c r="AA4571" s="7"/>
      <c r="AB4571" s="7"/>
    </row>
    <row r="4572" ht="15.75" customHeight="1">
      <c r="A4572" s="26">
        <f>IFERROR(__xludf.DUMMYFUNCTION("""COMPUTED_VALUE"""),7217.0)</f>
        <v>7217</v>
      </c>
      <c r="B4572" s="22" t="str">
        <f>IFERROR(__xludf.DUMMYFUNCTION("""COMPUTED_VALUE"""),"確定")</f>
        <v>確定</v>
      </c>
      <c r="C4572" s="28">
        <f>IFERROR(__xludf.DUMMYFUNCTION("""COMPUTED_VALUE"""),46037.0)</f>
        <v>46037</v>
      </c>
      <c r="D4572" s="28">
        <f>IFERROR(__xludf.DUMMYFUNCTION("""COMPUTED_VALUE"""),46043.0)</f>
        <v>46043</v>
      </c>
      <c r="E4572" s="26">
        <f>IFERROR(__xludf.DUMMYFUNCTION("""COMPUTED_VALUE"""),349388.0)</f>
        <v>349388</v>
      </c>
      <c r="F4572" s="22" t="str">
        <f>IFERROR(__xludf.DUMMYFUNCTION("""COMPUTED_VALUE"""),"シンデレラに魔法をかけたのは、落ちこぼれ魔法使いでした")</f>
        <v>シンデレラに魔法をかけたのは、落ちこぼれ魔法使いでした</v>
      </c>
      <c r="G4572" s="20" t="str">
        <f>IFERROR(__xludf.DUMMYFUNCTION("""COMPUTED_VALUE"""),"1～2")</f>
        <v>1～2</v>
      </c>
      <c r="H4572" s="22" t="str">
        <f>IFERROR(__xludf.DUMMYFUNCTION("""COMPUTED_VALUE"""),"茶木乃紀／COMIC ROOM")</f>
        <v>茶木乃紀／COMIC ROOM</v>
      </c>
      <c r="I4572" s="22" t="str">
        <f>IFERROR(__xludf.DUMMYFUNCTION("""COMPUTED_VALUE"""),"女性")</f>
        <v>女性</v>
      </c>
      <c r="J4572" s="22"/>
      <c r="K4572" s="22"/>
      <c r="L4572" s="22" t="str">
        <f>IFERROR(__xludf.DUMMYFUNCTION("""COMPUTED_VALUE"""),"コミックルーム")</f>
        <v>コミックルーム</v>
      </c>
      <c r="M4572" s="33">
        <f>IFERROR(__xludf.DUMMYFUNCTION("""COMPUTED_VALUE"""),46068.0)</f>
        <v>46068</v>
      </c>
      <c r="N4572" s="33">
        <f>IFERROR(__xludf.DUMMYFUNCTION("""COMPUTED_VALUE"""),46156.0)</f>
        <v>46156</v>
      </c>
      <c r="O4572" s="20"/>
      <c r="P4572" s="32" t="str">
        <f>IFERROR(__xludf.DUMMYFUNCTION("""COMPUTED_VALUE"""),"可")</f>
        <v>可</v>
      </c>
      <c r="Q4572" s="30" t="str">
        <f>IFERROR(__xludf.DUMMYFUNCTION("""COMPUTED_VALUE"""),"格納素材を2分割して初回1~2話として配信します。（1巻：1~35P、2巻：36～72P）")</f>
        <v>格納素材を2分割して初回1~2話として配信します。（1巻：1~35P、2巻：36～72P）</v>
      </c>
      <c r="R4572" s="22"/>
      <c r="S4572" s="22" t="str">
        <f>IFERROR(__xludf.DUMMYFUNCTION("""COMPUTED_VALUE"""),"20260115_コミックルーム_シンデレラに魔法をかけたのは、落ちこぼれ魔法使いでした")</f>
        <v>20260115_コミックルーム_シンデレラに魔法をかけたのは、落ちこぼれ魔法使いでした</v>
      </c>
      <c r="T4572" s="22" t="str">
        <f>IFERROR(__xludf.DUMMYFUNCTION("""COMPUTED_VALUE"""),"格納済み")</f>
        <v>格納済み</v>
      </c>
      <c r="U4572" s="9" t="str">
        <f>IFERROR(__xludf.DUMMYFUNCTION("""COMPUTED_VALUE"""),"(c)茶木乃紀／COMIC ROOM")</f>
        <v>(c)茶木乃紀／COMIC ROOM</v>
      </c>
      <c r="V4572" s="8"/>
      <c r="W4572" s="8"/>
      <c r="X4572" s="8" t="str">
        <f>IFERROR(__xludf.DUMMYFUNCTION("""COMPUTED_VALUE"""),"有")</f>
        <v>有</v>
      </c>
      <c r="Y4572" s="8" t="str">
        <f>IFERROR(__xludf.DUMMYFUNCTION("""COMPUTED_VALUE"""),"P17まで")</f>
        <v>P17まで</v>
      </c>
      <c r="Z4572" s="7"/>
      <c r="AA4572" s="7"/>
      <c r="AB4572" s="7"/>
    </row>
    <row r="4573" ht="15.75" customHeight="1">
      <c r="A4573" s="26">
        <f>IFERROR(__xludf.DUMMYFUNCTION("""COMPUTED_VALUE"""),7218.0)</f>
        <v>7218</v>
      </c>
      <c r="B4573" s="22" t="str">
        <f>IFERROR(__xludf.DUMMYFUNCTION("""COMPUTED_VALUE"""),"確定")</f>
        <v>確定</v>
      </c>
      <c r="C4573" s="28">
        <f>IFERROR(__xludf.DUMMYFUNCTION("""COMPUTED_VALUE"""),46037.0)</f>
        <v>46037</v>
      </c>
      <c r="D4573" s="28">
        <f>IFERROR(__xludf.DUMMYFUNCTION("""COMPUTED_VALUE"""),46038.0)</f>
        <v>46038</v>
      </c>
      <c r="E4573" s="26">
        <f>IFERROR(__xludf.DUMMYFUNCTION("""COMPUTED_VALUE"""),349389.0)</f>
        <v>349389</v>
      </c>
      <c r="F4573" s="22" t="str">
        <f>IFERROR(__xludf.DUMMYFUNCTION("""COMPUTED_VALUE"""),"こう見えて最強軍師ですので ボンボン騎士団長を英雄に導きますわ")</f>
        <v>こう見えて最強軍師ですので ボンボン騎士団長を英雄に導きますわ</v>
      </c>
      <c r="G4573" s="20" t="str">
        <f>IFERROR(__xludf.DUMMYFUNCTION("""COMPUTED_VALUE"""),"1～2")</f>
        <v>1～2</v>
      </c>
      <c r="H4573" s="22" t="str">
        <f>IFERROR(__xludf.DUMMYFUNCTION("""COMPUTED_VALUE"""),"茂木完田／COMIC ROOM")</f>
        <v>茂木完田／COMIC ROOM</v>
      </c>
      <c r="I4573" s="22" t="str">
        <f>IFERROR(__xludf.DUMMYFUNCTION("""COMPUTED_VALUE"""),"女性")</f>
        <v>女性</v>
      </c>
      <c r="J4573" s="22"/>
      <c r="K4573" s="22"/>
      <c r="L4573" s="22" t="str">
        <f>IFERROR(__xludf.DUMMYFUNCTION("""COMPUTED_VALUE"""),"コミックルーム")</f>
        <v>コミックルーム</v>
      </c>
      <c r="M4573" s="33">
        <f>IFERROR(__xludf.DUMMYFUNCTION("""COMPUTED_VALUE"""),46068.0)</f>
        <v>46068</v>
      </c>
      <c r="N4573" s="33">
        <f>IFERROR(__xludf.DUMMYFUNCTION("""COMPUTED_VALUE"""),46156.0)</f>
        <v>46156</v>
      </c>
      <c r="O4573" s="20"/>
      <c r="P4573" s="32" t="str">
        <f>IFERROR(__xludf.DUMMYFUNCTION("""COMPUTED_VALUE"""),"可")</f>
        <v>可</v>
      </c>
      <c r="Q4573" s="30"/>
      <c r="R4573" s="22"/>
      <c r="S4573" s="22" t="str">
        <f>IFERROR(__xludf.DUMMYFUNCTION("""COMPUTED_VALUE"""),"20260115_コミックルーム_こう見えて最強軍師ですので ボンボン騎士団長を英雄に導きますわ")</f>
        <v>20260115_コミックルーム_こう見えて最強軍師ですので ボンボン騎士団長を英雄に導きますわ</v>
      </c>
      <c r="T4573" s="22" t="str">
        <f>IFERROR(__xludf.DUMMYFUNCTION("""COMPUTED_VALUE"""),"格納済み")</f>
        <v>格納済み</v>
      </c>
      <c r="U4573" s="9" t="str">
        <f>IFERROR(__xludf.DUMMYFUNCTION("""COMPUTED_VALUE"""),"(c)茂木完田／COMIC ROOM")</f>
        <v>(c)茂木完田／COMIC ROOM</v>
      </c>
      <c r="V4573" s="8"/>
      <c r="W4573" s="8"/>
      <c r="X4573" s="8" t="str">
        <f>IFERROR(__xludf.DUMMYFUNCTION("""COMPUTED_VALUE"""),"有")</f>
        <v>有</v>
      </c>
      <c r="Y4573" s="8" t="str">
        <f>IFERROR(__xludf.DUMMYFUNCTION("""COMPUTED_VALUE"""),"P15まで")</f>
        <v>P15まで</v>
      </c>
      <c r="Z4573" s="7"/>
      <c r="AA4573" s="7"/>
      <c r="AB4573" s="7"/>
    </row>
    <row r="4574" ht="15.75" customHeight="1">
      <c r="A4574" s="26">
        <f>IFERROR(__xludf.DUMMYFUNCTION("""COMPUTED_VALUE"""),7219.0)</f>
        <v>7219</v>
      </c>
      <c r="B4574" s="22" t="str">
        <f>IFERROR(__xludf.DUMMYFUNCTION("""COMPUTED_VALUE"""),"確定")</f>
        <v>確定</v>
      </c>
      <c r="C4574" s="28">
        <f>IFERROR(__xludf.DUMMYFUNCTION("""COMPUTED_VALUE"""),46037.0)</f>
        <v>46037</v>
      </c>
      <c r="D4574" s="28">
        <f>IFERROR(__xludf.DUMMYFUNCTION("""COMPUTED_VALUE"""),46038.0)</f>
        <v>46038</v>
      </c>
      <c r="E4574" s="26">
        <f>IFERROR(__xludf.DUMMYFUNCTION("""COMPUTED_VALUE"""),349390.0)</f>
        <v>349390</v>
      </c>
      <c r="F4574" s="22" t="str">
        <f>IFERROR(__xludf.DUMMYFUNCTION("""COMPUTED_VALUE"""),"ある日、拳で王太子様を救ったら、まさかの溺愛ルートに突入しました")</f>
        <v>ある日、拳で王太子様を救ったら、まさかの溺愛ルートに突入しました</v>
      </c>
      <c r="G4574" s="20" t="str">
        <f>IFERROR(__xludf.DUMMYFUNCTION("""COMPUTED_VALUE"""),"1～2")</f>
        <v>1～2</v>
      </c>
      <c r="H4574" s="22" t="str">
        <f>IFERROR(__xludf.DUMMYFUNCTION("""COMPUTED_VALUE"""),"原辰三／COMIC ROOM")</f>
        <v>原辰三／COMIC ROOM</v>
      </c>
      <c r="I4574" s="22" t="str">
        <f>IFERROR(__xludf.DUMMYFUNCTION("""COMPUTED_VALUE"""),"女性")</f>
        <v>女性</v>
      </c>
      <c r="J4574" s="22"/>
      <c r="K4574" s="22"/>
      <c r="L4574" s="22" t="str">
        <f>IFERROR(__xludf.DUMMYFUNCTION("""COMPUTED_VALUE"""),"コミックルーム")</f>
        <v>コミックルーム</v>
      </c>
      <c r="M4574" s="33">
        <f>IFERROR(__xludf.DUMMYFUNCTION("""COMPUTED_VALUE"""),46068.0)</f>
        <v>46068</v>
      </c>
      <c r="N4574" s="33">
        <f>IFERROR(__xludf.DUMMYFUNCTION("""COMPUTED_VALUE"""),46156.0)</f>
        <v>46156</v>
      </c>
      <c r="O4574" s="20"/>
      <c r="P4574" s="32" t="str">
        <f>IFERROR(__xludf.DUMMYFUNCTION("""COMPUTED_VALUE"""),"可")</f>
        <v>可</v>
      </c>
      <c r="Q4574" s="30"/>
      <c r="R4574" s="22"/>
      <c r="S4574" s="22" t="str">
        <f>IFERROR(__xludf.DUMMYFUNCTION("""COMPUTED_VALUE"""),"20260115_コミックルーム_ある日、拳で王太子様を救ったら、まさかの溺愛ルートに突入しました")</f>
        <v>20260115_コミックルーム_ある日、拳で王太子様を救ったら、まさかの溺愛ルートに突入しました</v>
      </c>
      <c r="T4574" s="22" t="str">
        <f>IFERROR(__xludf.DUMMYFUNCTION("""COMPUTED_VALUE"""),"格納済み")</f>
        <v>格納済み</v>
      </c>
      <c r="U4574" s="9" t="str">
        <f>IFERROR(__xludf.DUMMYFUNCTION("""COMPUTED_VALUE"""),"(c)原辰三／COMIC ROOM")</f>
        <v>(c)原辰三／COMIC ROOM</v>
      </c>
      <c r="V4574" s="8"/>
      <c r="W4574" s="8"/>
      <c r="X4574" s="8" t="str">
        <f>IFERROR(__xludf.DUMMYFUNCTION("""COMPUTED_VALUE"""),"有")</f>
        <v>有</v>
      </c>
      <c r="Y4574" s="8" t="str">
        <f>IFERROR(__xludf.DUMMYFUNCTION("""COMPUTED_VALUE"""),"P12まで")</f>
        <v>P12まで</v>
      </c>
      <c r="Z4574" s="7"/>
      <c r="AA4574" s="7"/>
      <c r="AB4574" s="7"/>
    </row>
    <row r="4575" ht="15.75" customHeight="1">
      <c r="A4575" s="26">
        <f>IFERROR(__xludf.DUMMYFUNCTION("""COMPUTED_VALUE"""),7220.0)</f>
        <v>7220</v>
      </c>
      <c r="B4575" s="22" t="str">
        <f>IFERROR(__xludf.DUMMYFUNCTION("""COMPUTED_VALUE"""),"確定")</f>
        <v>確定</v>
      </c>
      <c r="C4575" s="28">
        <f>IFERROR(__xludf.DUMMYFUNCTION("""COMPUTED_VALUE"""),46037.0)</f>
        <v>46037</v>
      </c>
      <c r="D4575" s="28">
        <f>IFERROR(__xludf.DUMMYFUNCTION("""COMPUTED_VALUE"""),46038.0)</f>
        <v>46038</v>
      </c>
      <c r="E4575" s="26">
        <f>IFERROR(__xludf.DUMMYFUNCTION("""COMPUTED_VALUE"""),349391.0)</f>
        <v>349391</v>
      </c>
      <c r="F4575" s="22" t="str">
        <f>IFERROR(__xludf.DUMMYFUNCTION("""COMPUTED_VALUE"""),"男に変身した私を兄弟と呼ぶなら、溺愛はやめてください！")</f>
        <v>男に変身した私を兄弟と呼ぶなら、溺愛はやめてください！</v>
      </c>
      <c r="G4575" s="20" t="str">
        <f>IFERROR(__xludf.DUMMYFUNCTION("""COMPUTED_VALUE"""),"1～2")</f>
        <v>1～2</v>
      </c>
      <c r="H4575" s="22" t="str">
        <f>IFERROR(__xludf.DUMMYFUNCTION("""COMPUTED_VALUE"""),"九十九／COMIC ROOM")</f>
        <v>九十九／COMIC ROOM</v>
      </c>
      <c r="I4575" s="22" t="str">
        <f>IFERROR(__xludf.DUMMYFUNCTION("""COMPUTED_VALUE"""),"女性")</f>
        <v>女性</v>
      </c>
      <c r="J4575" s="22"/>
      <c r="K4575" s="22"/>
      <c r="L4575" s="22" t="str">
        <f>IFERROR(__xludf.DUMMYFUNCTION("""COMPUTED_VALUE"""),"コミックルーム")</f>
        <v>コミックルーム</v>
      </c>
      <c r="M4575" s="33">
        <f>IFERROR(__xludf.DUMMYFUNCTION("""COMPUTED_VALUE"""),46068.0)</f>
        <v>46068</v>
      </c>
      <c r="N4575" s="33">
        <f>IFERROR(__xludf.DUMMYFUNCTION("""COMPUTED_VALUE"""),46156.0)</f>
        <v>46156</v>
      </c>
      <c r="O4575" s="20"/>
      <c r="P4575" s="32" t="str">
        <f>IFERROR(__xludf.DUMMYFUNCTION("""COMPUTED_VALUE"""),"否")</f>
        <v>否</v>
      </c>
      <c r="Q4575" s="30"/>
      <c r="R4575" s="22"/>
      <c r="S4575" s="22" t="str">
        <f>IFERROR(__xludf.DUMMYFUNCTION("""COMPUTED_VALUE"""),"20260115_コミックルーム_男に変身した私を兄弟と呼ぶなら、溺愛はやめてください！")</f>
        <v>20260115_コミックルーム_男に変身した私を兄弟と呼ぶなら、溺愛はやめてください！</v>
      </c>
      <c r="T4575" s="22" t="str">
        <f>IFERROR(__xludf.DUMMYFUNCTION("""COMPUTED_VALUE"""),"格納済み")</f>
        <v>格納済み</v>
      </c>
      <c r="U4575" s="9" t="str">
        <f>IFERROR(__xludf.DUMMYFUNCTION("""COMPUTED_VALUE"""),"(c)九十九／COMIC ROOM")</f>
        <v>(c)九十九／COMIC ROOM</v>
      </c>
      <c r="V4575" s="8"/>
      <c r="W4575" s="8"/>
      <c r="X4575" s="8" t="str">
        <f>IFERROR(__xludf.DUMMYFUNCTION("""COMPUTED_VALUE"""),"有")</f>
        <v>有</v>
      </c>
      <c r="Y4575" s="8" t="str">
        <f>IFERROR(__xludf.DUMMYFUNCTION("""COMPUTED_VALUE"""),"P14まで")</f>
        <v>P14まで</v>
      </c>
      <c r="Z4575" s="7"/>
      <c r="AA4575" s="7"/>
      <c r="AB4575" s="7"/>
    </row>
    <row r="4576" ht="15.75" customHeight="1">
      <c r="A4576" s="26">
        <f>IFERROR(__xludf.DUMMYFUNCTION("""COMPUTED_VALUE"""),7222.0)</f>
        <v>7222</v>
      </c>
      <c r="B4576" s="22" t="str">
        <f>IFERROR(__xludf.DUMMYFUNCTION("""COMPUTED_VALUE"""),"確定")</f>
        <v>確定</v>
      </c>
      <c r="C4576" s="28">
        <f>IFERROR(__xludf.DUMMYFUNCTION("""COMPUTED_VALUE"""),46037.0)</f>
        <v>46037</v>
      </c>
      <c r="D4576" s="28">
        <f>IFERROR(__xludf.DUMMYFUNCTION("""COMPUTED_VALUE"""),46038.0)</f>
        <v>46038</v>
      </c>
      <c r="E4576" s="26">
        <f>IFERROR(__xludf.DUMMYFUNCTION("""COMPUTED_VALUE"""),350410.0)</f>
        <v>350410</v>
      </c>
      <c r="F4576" s="22" t="str">
        <f>IFERROR(__xludf.DUMMYFUNCTION("""COMPUTED_VALUE"""),"""愛されない運命""だったはずなのに～時戻り王妃の二度目の結婚～")</f>
        <v>"愛されない運命"だったはずなのに～時戻り王妃の二度目の結婚～</v>
      </c>
      <c r="G4576" s="20" t="str">
        <f>IFERROR(__xludf.DUMMYFUNCTION("""COMPUTED_VALUE"""),"1～4")</f>
        <v>1～4</v>
      </c>
      <c r="H4576" s="22" t="str">
        <f>IFERROR(__xludf.DUMMYFUNCTION("""COMPUTED_VALUE"""),"かみきわか/二階堂まや")</f>
        <v>かみきわか/二階堂まや</v>
      </c>
      <c r="I4576" s="22" t="str">
        <f>IFERROR(__xludf.DUMMYFUNCTION("""COMPUTED_VALUE"""),"少女")</f>
        <v>少女</v>
      </c>
      <c r="J4576" s="22"/>
      <c r="K4576" s="22" t="str">
        <f>IFERROR(__xludf.DUMMYFUNCTION("""COMPUTED_VALUE"""),"comicスピラ")</f>
        <v>comicスピラ</v>
      </c>
      <c r="L4576" s="22" t="str">
        <f>IFERROR(__xludf.DUMMYFUNCTION("""COMPUTED_VALUE"""),"ファンギルド")</f>
        <v>ファンギルド</v>
      </c>
      <c r="M4576" s="33">
        <f>IFERROR(__xludf.DUMMYFUNCTION("""COMPUTED_VALUE"""),46086.0)</f>
        <v>46086</v>
      </c>
      <c r="N4576" s="33">
        <f>IFERROR(__xludf.DUMMYFUNCTION("""COMPUTED_VALUE"""),46148.0)</f>
        <v>46148</v>
      </c>
      <c r="O4576" s="20"/>
      <c r="P4576" s="32" t="str">
        <f>IFERROR(__xludf.DUMMYFUNCTION("""COMPUTED_VALUE"""),"可")</f>
        <v>可</v>
      </c>
      <c r="Q4576" s="30"/>
      <c r="R4576" s="22"/>
      <c r="S4576" s="22" t="str">
        <f>IFERROR(__xludf.DUMMYFUNCTION("""COMPUTED_VALUE"""),"20260115_ファンギルド_愛されない運命だったはずなのに～時戻り王妃の二度目の結婚～")</f>
        <v>20260115_ファンギルド_愛されない運命だったはずなのに～時戻り王妃の二度目の結婚～</v>
      </c>
      <c r="T4576" s="22" t="str">
        <f>IFERROR(__xludf.DUMMYFUNCTION("""COMPUTED_VALUE"""),"格納済み")</f>
        <v>格納済み</v>
      </c>
      <c r="U4576" s="9" t="str">
        <f>IFERROR(__xludf.DUMMYFUNCTION("""COMPUTED_VALUE"""),"Ⓒかみきわか/二階堂まや/ファンギルド")</f>
        <v>Ⓒかみきわか/二階堂まや/ファンギルド</v>
      </c>
      <c r="V4576" s="8"/>
      <c r="W4576" s="8"/>
      <c r="X4576" s="8" t="str">
        <f>IFERROR(__xludf.DUMMYFUNCTION("""COMPUTED_VALUE"""),"有")</f>
        <v>有</v>
      </c>
      <c r="Y4576" s="8" t="str">
        <f>IFERROR(__xludf.DUMMYFUNCTION("""COMPUTED_VALUE"""),"2026/3/18まで1巻無料")</f>
        <v>2026/3/18まで1巻無料</v>
      </c>
      <c r="Z4576" s="7"/>
      <c r="AA4576" s="7"/>
      <c r="AB4576" s="7"/>
    </row>
    <row r="4577" ht="15.75" customHeight="1">
      <c r="A4577" s="26">
        <f>IFERROR(__xludf.DUMMYFUNCTION("""COMPUTED_VALUE"""),7223.0)</f>
        <v>7223</v>
      </c>
      <c r="B4577" s="22" t="str">
        <f>IFERROR(__xludf.DUMMYFUNCTION("""COMPUTED_VALUE"""),"確定")</f>
        <v>確定</v>
      </c>
      <c r="C4577" s="28">
        <f>IFERROR(__xludf.DUMMYFUNCTION("""COMPUTED_VALUE"""),46037.0)</f>
        <v>46037</v>
      </c>
      <c r="D4577" s="28">
        <f>IFERROR(__xludf.DUMMYFUNCTION("""COMPUTED_VALUE"""),46038.0)</f>
        <v>46038</v>
      </c>
      <c r="E4577" s="26">
        <f>IFERROR(__xludf.DUMMYFUNCTION("""COMPUTED_VALUE"""),349672.0)</f>
        <v>349672</v>
      </c>
      <c r="F4577" s="22" t="str">
        <f>IFERROR(__xludf.DUMMYFUNCTION("""COMPUTED_VALUE"""),"初夜に「おまえを妻として愛することはない」と言った夫の真実")</f>
        <v>初夜に「おまえを妻として愛することはない」と言った夫の真実</v>
      </c>
      <c r="G4577" s="20" t="str">
        <f>IFERROR(__xludf.DUMMYFUNCTION("""COMPUTED_VALUE"""),"1～2")</f>
        <v>1～2</v>
      </c>
      <c r="H4577" s="22" t="str">
        <f>IFERROR(__xludf.DUMMYFUNCTION("""COMPUTED_VALUE"""),"なるみや郁/瀬尾優梨")</f>
        <v>なるみや郁/瀬尾優梨</v>
      </c>
      <c r="I4577" s="22" t="str">
        <f>IFERROR(__xludf.DUMMYFUNCTION("""COMPUTED_VALUE"""),"少女")</f>
        <v>少女</v>
      </c>
      <c r="J4577" s="22"/>
      <c r="K4577" s="22" t="str">
        <f>IFERROR(__xludf.DUMMYFUNCTION("""COMPUTED_VALUE"""),"comicスピラ")</f>
        <v>comicスピラ</v>
      </c>
      <c r="L4577" s="22" t="str">
        <f>IFERROR(__xludf.DUMMYFUNCTION("""COMPUTED_VALUE"""),"ファンギルド")</f>
        <v>ファンギルド</v>
      </c>
      <c r="M4577" s="33">
        <f>IFERROR(__xludf.DUMMYFUNCTION("""COMPUTED_VALUE"""),46072.0)</f>
        <v>46072</v>
      </c>
      <c r="N4577" s="33">
        <f>IFERROR(__xludf.DUMMYFUNCTION("""COMPUTED_VALUE"""),46106.0)</f>
        <v>46106</v>
      </c>
      <c r="O4577" s="20"/>
      <c r="P4577" s="32" t="str">
        <f>IFERROR(__xludf.DUMMYFUNCTION("""COMPUTED_VALUE"""),"可")</f>
        <v>可</v>
      </c>
      <c r="Q4577" s="30"/>
      <c r="R4577" s="22"/>
      <c r="S4577" s="22" t="str">
        <f>IFERROR(__xludf.DUMMYFUNCTION("""COMPUTED_VALUE"""),"20260115_ファンギルド_初夜に「おまえを妻として愛することはない」と言った夫の真実")</f>
        <v>20260115_ファンギルド_初夜に「おまえを妻として愛することはない」と言った夫の真実</v>
      </c>
      <c r="T4577" s="22" t="str">
        <f>IFERROR(__xludf.DUMMYFUNCTION("""COMPUTED_VALUE"""),"格納済み")</f>
        <v>格納済み</v>
      </c>
      <c r="U4577" s="9" t="str">
        <f>IFERROR(__xludf.DUMMYFUNCTION("""COMPUTED_VALUE"""),"Ⓒなるみや郁/瀬尾優梨/ファンギルド")</f>
        <v>Ⓒなるみや郁/瀬尾優梨/ファンギルド</v>
      </c>
      <c r="V4577" s="8"/>
      <c r="W4577" s="8"/>
      <c r="X4577" s="8" t="str">
        <f>IFERROR(__xludf.DUMMYFUNCTION("""COMPUTED_VALUE"""),"有")</f>
        <v>有</v>
      </c>
      <c r="Y4577" s="8" t="str">
        <f>IFERROR(__xludf.DUMMYFUNCTION("""COMPUTED_VALUE"""),"P7まで")</f>
        <v>P7まで</v>
      </c>
      <c r="Z4577" s="7"/>
      <c r="AA4577" s="7"/>
      <c r="AB4577" s="7"/>
    </row>
    <row r="4578" ht="15.75" customHeight="1">
      <c r="A4578" s="26">
        <f>IFERROR(__xludf.DUMMYFUNCTION("""COMPUTED_VALUE"""),7224.0)</f>
        <v>7224</v>
      </c>
      <c r="B4578" s="22" t="str">
        <f>IFERROR(__xludf.DUMMYFUNCTION("""COMPUTED_VALUE"""),"確定")</f>
        <v>確定</v>
      </c>
      <c r="C4578" s="28">
        <f>IFERROR(__xludf.DUMMYFUNCTION("""COMPUTED_VALUE"""),46037.0)</f>
        <v>46037</v>
      </c>
      <c r="D4578" s="28">
        <f>IFERROR(__xludf.DUMMYFUNCTION("""COMPUTED_VALUE"""),46038.0)</f>
        <v>46038</v>
      </c>
      <c r="E4578" s="26">
        <f>IFERROR(__xludf.DUMMYFUNCTION("""COMPUTED_VALUE"""),349671.0)</f>
        <v>349671</v>
      </c>
      <c r="F4578" s="22" t="str">
        <f>IFERROR(__xludf.DUMMYFUNCTION("""COMPUTED_VALUE"""),"番の身代わり婚約者を辞めることにしたら、冷酷な龍神王太子の様子がおかしくなりました")</f>
        <v>番の身代わり婚約者を辞めることにしたら、冷酷な龍神王太子の様子がおかしくなりました</v>
      </c>
      <c r="G4578" s="20">
        <f>IFERROR(__xludf.DUMMYFUNCTION("""COMPUTED_VALUE"""),1.0)</f>
        <v>1</v>
      </c>
      <c r="H4578" s="22" t="str">
        <f>IFERROR(__xludf.DUMMYFUNCTION("""COMPUTED_VALUE"""),"梛十澪/降魔鬼灯")</f>
        <v>梛十澪/降魔鬼灯</v>
      </c>
      <c r="I4578" s="22" t="str">
        <f>IFERROR(__xludf.DUMMYFUNCTION("""COMPUTED_VALUE"""),"少女")</f>
        <v>少女</v>
      </c>
      <c r="J4578" s="22"/>
      <c r="K4578" s="22" t="str">
        <f>IFERROR(__xludf.DUMMYFUNCTION("""COMPUTED_VALUE"""),"comicスピラ")</f>
        <v>comicスピラ</v>
      </c>
      <c r="L4578" s="22" t="str">
        <f>IFERROR(__xludf.DUMMYFUNCTION("""COMPUTED_VALUE"""),"ファンギルド")</f>
        <v>ファンギルド</v>
      </c>
      <c r="M4578" s="33">
        <f>IFERROR(__xludf.DUMMYFUNCTION("""COMPUTED_VALUE"""),46072.0)</f>
        <v>46072</v>
      </c>
      <c r="N4578" s="33">
        <f>IFERROR(__xludf.DUMMYFUNCTION("""COMPUTED_VALUE"""),46267.66666666667)</f>
        <v>46267.66667</v>
      </c>
      <c r="O4578" s="20"/>
      <c r="P4578" s="32" t="str">
        <f>IFERROR(__xludf.DUMMYFUNCTION("""COMPUTED_VALUE"""),"可")</f>
        <v>可</v>
      </c>
      <c r="Q4578" s="30"/>
      <c r="R4578" s="22"/>
      <c r="S4578" s="22" t="str">
        <f>IFERROR(__xludf.DUMMYFUNCTION("""COMPUTED_VALUE"""),"20260115_ファンギルド_番の身代わり婚約者を辞めることにしたら、冷酷な龍神王太子の様子がおかしくなりました")</f>
        <v>20260115_ファンギルド_番の身代わり婚約者を辞めることにしたら、冷酷な龍神王太子の様子がおかしくなりました</v>
      </c>
      <c r="T4578" s="22" t="str">
        <f>IFERROR(__xludf.DUMMYFUNCTION("""COMPUTED_VALUE"""),"格納済み")</f>
        <v>格納済み</v>
      </c>
      <c r="U4578" s="9" t="str">
        <f>IFERROR(__xludf.DUMMYFUNCTION("""COMPUTED_VALUE"""),"Ⓒ梛十澪/降魔鬼灯/ファンギルド")</f>
        <v>Ⓒ梛十澪/降魔鬼灯/ファンギルド</v>
      </c>
      <c r="V4578" s="8"/>
      <c r="W4578" s="8"/>
      <c r="X4578" s="8" t="str">
        <f>IFERROR(__xludf.DUMMYFUNCTION("""COMPUTED_VALUE"""),"有")</f>
        <v>有</v>
      </c>
      <c r="Y4578" s="8" t="str">
        <f>IFERROR(__xludf.DUMMYFUNCTION("""COMPUTED_VALUE"""),"P7まで")</f>
        <v>P7まで</v>
      </c>
      <c r="Z4578" s="7"/>
      <c r="AA4578" s="7"/>
      <c r="AB4578" s="7"/>
    </row>
    <row r="4579" ht="15.75" customHeight="1">
      <c r="A4579" s="26">
        <f>IFERROR(__xludf.DUMMYFUNCTION("""COMPUTED_VALUE"""),7225.0)</f>
        <v>7225</v>
      </c>
      <c r="B4579" s="22" t="str">
        <f>IFERROR(__xludf.DUMMYFUNCTION("""COMPUTED_VALUE"""),"確定")</f>
        <v>確定</v>
      </c>
      <c r="C4579" s="28">
        <f>IFERROR(__xludf.DUMMYFUNCTION("""COMPUTED_VALUE"""),46037.0)</f>
        <v>46037</v>
      </c>
      <c r="D4579" s="28">
        <f>IFERROR(__xludf.DUMMYFUNCTION("""COMPUTED_VALUE"""),46038.0)</f>
        <v>46038</v>
      </c>
      <c r="E4579" s="26">
        <f>IFERROR(__xludf.DUMMYFUNCTION("""COMPUTED_VALUE"""),349729.0)</f>
        <v>349729</v>
      </c>
      <c r="F4579" s="22" t="str">
        <f>IFERROR(__xludf.DUMMYFUNCTION("""COMPUTED_VALUE"""),"10年越しの初恋～元カレに甘やかされて愛されて")</f>
        <v>10年越しの初恋～元カレに甘やかされて愛されて</v>
      </c>
      <c r="G4579" s="20" t="str">
        <f>IFERROR(__xludf.DUMMYFUNCTION("""COMPUTED_VALUE"""),"1～4")</f>
        <v>1～4</v>
      </c>
      <c r="H4579" s="22" t="str">
        <f>IFERROR(__xludf.DUMMYFUNCTION("""COMPUTED_VALUE"""),"花守めいら")</f>
        <v>花守めいら</v>
      </c>
      <c r="I4579" s="22" t="str">
        <f>IFERROR(__xludf.DUMMYFUNCTION("""COMPUTED_VALUE"""),"女性")</f>
        <v>女性</v>
      </c>
      <c r="J4579" s="22"/>
      <c r="K4579" s="22" t="str">
        <f>IFERROR(__xludf.DUMMYFUNCTION("""COMPUTED_VALUE"""),"チェリッシュ")</f>
        <v>チェリッシュ</v>
      </c>
      <c r="L4579" s="22" t="str">
        <f>IFERROR(__xludf.DUMMYFUNCTION("""COMPUTED_VALUE"""),"ファンギルド")</f>
        <v>ファンギルド</v>
      </c>
      <c r="M4579" s="33">
        <f>IFERROR(__xludf.DUMMYFUNCTION("""COMPUTED_VALUE"""),46078.0)</f>
        <v>46078</v>
      </c>
      <c r="N4579" s="33">
        <f>IFERROR(__xludf.DUMMYFUNCTION("""COMPUTED_VALUE"""),46105.0)</f>
        <v>46105</v>
      </c>
      <c r="O4579" s="20"/>
      <c r="P4579" s="32" t="str">
        <f>IFERROR(__xludf.DUMMYFUNCTION("""COMPUTED_VALUE"""),"可")</f>
        <v>可</v>
      </c>
      <c r="Q4579" s="30"/>
      <c r="R4579" s="22"/>
      <c r="S4579" s="22" t="str">
        <f>IFERROR(__xludf.DUMMYFUNCTION("""COMPUTED_VALUE"""),"20260115_ファンギルド_10年越しの初恋～元カレに甘やかされて愛されて")</f>
        <v>20260115_ファンギルド_10年越しの初恋～元カレに甘やかされて愛されて</v>
      </c>
      <c r="T4579" s="22" t="str">
        <f>IFERROR(__xludf.DUMMYFUNCTION("""COMPUTED_VALUE"""),"格納済み")</f>
        <v>格納済み</v>
      </c>
      <c r="U4579" s="9" t="str">
        <f>IFERROR(__xludf.DUMMYFUNCTION("""COMPUTED_VALUE"""),"Ⓒ花守めいら/ファンギルド")</f>
        <v>Ⓒ花守めいら/ファンギルド</v>
      </c>
      <c r="V4579" s="8"/>
      <c r="W4579" s="8"/>
      <c r="X4579" s="8" t="str">
        <f>IFERROR(__xludf.DUMMYFUNCTION("""COMPUTED_VALUE"""),"有")</f>
        <v>有</v>
      </c>
      <c r="Y4579" s="8" t="str">
        <f>IFERROR(__xludf.DUMMYFUNCTION("""COMPUTED_VALUE"""),"2026/3/10まで1巻無料")</f>
        <v>2026/3/10まで1巻無料</v>
      </c>
      <c r="Z4579" s="7"/>
      <c r="AA4579" s="7"/>
      <c r="AB4579" s="7"/>
    </row>
    <row r="4580" ht="15.75" customHeight="1">
      <c r="A4580" s="26">
        <f>IFERROR(__xludf.DUMMYFUNCTION("""COMPUTED_VALUE"""),7226.0)</f>
        <v>7226</v>
      </c>
      <c r="B4580" s="22" t="str">
        <f>IFERROR(__xludf.DUMMYFUNCTION("""COMPUTED_VALUE"""),"確定")</f>
        <v>確定</v>
      </c>
      <c r="C4580" s="28">
        <f>IFERROR(__xludf.DUMMYFUNCTION("""COMPUTED_VALUE"""),46037.0)</f>
        <v>46037</v>
      </c>
      <c r="D4580" s="28">
        <f>IFERROR(__xludf.DUMMYFUNCTION("""COMPUTED_VALUE"""),46038.0)</f>
        <v>46038</v>
      </c>
      <c r="E4580" s="26">
        <f>IFERROR(__xludf.DUMMYFUNCTION("""COMPUTED_VALUE"""),350407.0)</f>
        <v>350407</v>
      </c>
      <c r="F4580" s="22" t="str">
        <f>IFERROR(__xludf.DUMMYFUNCTION("""COMPUTED_VALUE"""),"鬼社長と契約結婚！？～まさかの焦れキュン溺愛生活")</f>
        <v>鬼社長と契約結婚！？～まさかの焦れキュン溺愛生活</v>
      </c>
      <c r="G4580" s="20" t="str">
        <f>IFERROR(__xludf.DUMMYFUNCTION("""COMPUTED_VALUE"""),"1～4")</f>
        <v>1～4</v>
      </c>
      <c r="H4580" s="22" t="str">
        <f>IFERROR(__xludf.DUMMYFUNCTION("""COMPUTED_VALUE"""),"阿部坂ヤコ/朝永ゆうり")</f>
        <v>阿部坂ヤコ/朝永ゆうり</v>
      </c>
      <c r="I4580" s="22" t="str">
        <f>IFERROR(__xludf.DUMMYFUNCTION("""COMPUTED_VALUE"""),"女性")</f>
        <v>女性</v>
      </c>
      <c r="J4580" s="22"/>
      <c r="K4580" s="22" t="str">
        <f>IFERROR(__xludf.DUMMYFUNCTION("""COMPUTED_VALUE"""),"チェリッシュ")</f>
        <v>チェリッシュ</v>
      </c>
      <c r="L4580" s="22" t="str">
        <f>IFERROR(__xludf.DUMMYFUNCTION("""COMPUTED_VALUE"""),"ファンギルド")</f>
        <v>ファンギルド</v>
      </c>
      <c r="M4580" s="33">
        <f>IFERROR(__xludf.DUMMYFUNCTION("""COMPUTED_VALUE"""),46092.0)</f>
        <v>46092</v>
      </c>
      <c r="N4580" s="33">
        <f>IFERROR(__xludf.DUMMYFUNCTION("""COMPUTED_VALUE"""),46119.0)</f>
        <v>46119</v>
      </c>
      <c r="O4580" s="20"/>
      <c r="P4580" s="32" t="str">
        <f>IFERROR(__xludf.DUMMYFUNCTION("""COMPUTED_VALUE"""),"可")</f>
        <v>可</v>
      </c>
      <c r="Q4580" s="30"/>
      <c r="R4580" s="22"/>
      <c r="S4580" s="22" t="str">
        <f>IFERROR(__xludf.DUMMYFUNCTION("""COMPUTED_VALUE"""),"20260115_ファンギルド_鬼社長と契約結婚！？～まさかの焦れキュン溺愛生活")</f>
        <v>20260115_ファンギルド_鬼社長と契約結婚！？～まさかの焦れキュン溺愛生活</v>
      </c>
      <c r="T4580" s="22" t="str">
        <f>IFERROR(__xludf.DUMMYFUNCTION("""COMPUTED_VALUE"""),"格納済み")</f>
        <v>格納済み</v>
      </c>
      <c r="U4580" s="9" t="str">
        <f>IFERROR(__xludf.DUMMYFUNCTION("""COMPUTED_VALUE"""),"Ⓒ阿部坂ヤコ/朝永ゆうり/ファンギルド")</f>
        <v>Ⓒ阿部坂ヤコ/朝永ゆうり/ファンギルド</v>
      </c>
      <c r="V4580" s="8"/>
      <c r="W4580" s="8"/>
      <c r="X4580" s="8" t="str">
        <f>IFERROR(__xludf.DUMMYFUNCTION("""COMPUTED_VALUE"""),"有")</f>
        <v>有</v>
      </c>
      <c r="Y4580" s="8" t="str">
        <f>IFERROR(__xludf.DUMMYFUNCTION("""COMPUTED_VALUE"""),"2026/3/24まで1巻無料")</f>
        <v>2026/3/24まで1巻無料</v>
      </c>
      <c r="Z4580" s="7"/>
      <c r="AA4580" s="7"/>
      <c r="AB4580" s="7"/>
    </row>
    <row r="4581" ht="15.75" customHeight="1">
      <c r="A4581" s="26">
        <f>IFERROR(__xludf.DUMMYFUNCTION("""COMPUTED_VALUE"""),7227.0)</f>
        <v>7227</v>
      </c>
      <c r="B4581" s="22" t="str">
        <f>IFERROR(__xludf.DUMMYFUNCTION("""COMPUTED_VALUE"""),"確定")</f>
        <v>確定</v>
      </c>
      <c r="C4581" s="28">
        <f>IFERROR(__xludf.DUMMYFUNCTION("""COMPUTED_VALUE"""),46037.0)</f>
        <v>46037</v>
      </c>
      <c r="D4581" s="28">
        <f>IFERROR(__xludf.DUMMYFUNCTION("""COMPUTED_VALUE"""),46038.0)</f>
        <v>46038</v>
      </c>
      <c r="E4581" s="26">
        <f>IFERROR(__xludf.DUMMYFUNCTION("""COMPUTED_VALUE"""),350342.0)</f>
        <v>350342</v>
      </c>
      <c r="F4581" s="22" t="str">
        <f>IFERROR(__xludf.DUMMYFUNCTION("""COMPUTED_VALUE"""),"婚約破棄されましたが、須藤部長に求愛されてます。")</f>
        <v>婚約破棄されましたが、須藤部長に求愛されてます。</v>
      </c>
      <c r="G4581" s="20" t="str">
        <f>IFERROR(__xludf.DUMMYFUNCTION("""COMPUTED_VALUE"""),"1～3")</f>
        <v>1～3</v>
      </c>
      <c r="H4581" s="22" t="str">
        <f>IFERROR(__xludf.DUMMYFUNCTION("""COMPUTED_VALUE"""),"遊川あみこ")</f>
        <v>遊川あみこ</v>
      </c>
      <c r="I4581" s="22" t="str">
        <f>IFERROR(__xludf.DUMMYFUNCTION("""COMPUTED_VALUE"""),"女性")</f>
        <v>女性</v>
      </c>
      <c r="J4581" s="22"/>
      <c r="K4581" s="22" t="str">
        <f>IFERROR(__xludf.DUMMYFUNCTION("""COMPUTED_VALUE"""),"チェリッシュ")</f>
        <v>チェリッシュ</v>
      </c>
      <c r="L4581" s="22" t="str">
        <f>IFERROR(__xludf.DUMMYFUNCTION("""COMPUTED_VALUE"""),"ファンギルド")</f>
        <v>ファンギルド</v>
      </c>
      <c r="M4581" s="33">
        <f>IFERROR(__xludf.DUMMYFUNCTION("""COMPUTED_VALUE"""),46099.0)</f>
        <v>46099</v>
      </c>
      <c r="N4581" s="33">
        <f>IFERROR(__xludf.DUMMYFUNCTION("""COMPUTED_VALUE"""),46133.0)</f>
        <v>46133</v>
      </c>
      <c r="O4581" s="20"/>
      <c r="P4581" s="32" t="str">
        <f>IFERROR(__xludf.DUMMYFUNCTION("""COMPUTED_VALUE"""),"可")</f>
        <v>可</v>
      </c>
      <c r="Q4581" s="30"/>
      <c r="R4581" s="22"/>
      <c r="S4581" s="22" t="str">
        <f>IFERROR(__xludf.DUMMYFUNCTION("""COMPUTED_VALUE"""),"20260115_ファンギルド_婚約破棄されましたが、須藤部長に求愛されてます。")</f>
        <v>20260115_ファンギルド_婚約破棄されましたが、須藤部長に求愛されてます。</v>
      </c>
      <c r="T4581" s="22" t="str">
        <f>IFERROR(__xludf.DUMMYFUNCTION("""COMPUTED_VALUE"""),"格納済み")</f>
        <v>格納済み</v>
      </c>
      <c r="U4581" s="9" t="str">
        <f>IFERROR(__xludf.DUMMYFUNCTION("""COMPUTED_VALUE"""),"Ⓒ遊川あみこ/ファンギルド")</f>
        <v>Ⓒ遊川あみこ/ファンギルド</v>
      </c>
      <c r="V4581" s="8"/>
      <c r="W4581" s="8"/>
      <c r="X4581" s="8" t="str">
        <f>IFERROR(__xludf.DUMMYFUNCTION("""COMPUTED_VALUE"""),"有")</f>
        <v>有</v>
      </c>
      <c r="Y4581" s="8" t="str">
        <f>IFERROR(__xludf.DUMMYFUNCTION("""COMPUTED_VALUE"""),"P7まで")</f>
        <v>P7まで</v>
      </c>
      <c r="Z4581" s="7"/>
      <c r="AA4581" s="7"/>
      <c r="AB4581" s="7"/>
    </row>
    <row r="4582" ht="15.75" customHeight="1">
      <c r="A4582" s="26">
        <f>IFERROR(__xludf.DUMMYFUNCTION("""COMPUTED_VALUE"""),7228.0)</f>
        <v>7228</v>
      </c>
      <c r="B4582" s="22" t="str">
        <f>IFERROR(__xludf.DUMMYFUNCTION("""COMPUTED_VALUE"""),"確定")</f>
        <v>確定</v>
      </c>
      <c r="C4582" s="28">
        <f>IFERROR(__xludf.DUMMYFUNCTION("""COMPUTED_VALUE"""),46037.0)</f>
        <v>46037</v>
      </c>
      <c r="D4582" s="28">
        <f>IFERROR(__xludf.DUMMYFUNCTION("""COMPUTED_VALUE"""),46038.0)</f>
        <v>46038</v>
      </c>
      <c r="E4582" s="26">
        <f>IFERROR(__xludf.DUMMYFUNCTION("""COMPUTED_VALUE"""),349654.0)</f>
        <v>349654</v>
      </c>
      <c r="F4582" s="22" t="str">
        <f>IFERROR(__xludf.DUMMYFUNCTION("""COMPUTED_VALUE"""),"大好きな幼なじみが、恋人になるまで")</f>
        <v>大好きな幼なじみが、恋人になるまで</v>
      </c>
      <c r="G4582" s="20" t="str">
        <f>IFERROR(__xludf.DUMMYFUNCTION("""COMPUTED_VALUE"""),"1～2")</f>
        <v>1～2</v>
      </c>
      <c r="H4582" s="22" t="str">
        <f>IFERROR(__xludf.DUMMYFUNCTION("""COMPUTED_VALUE"""),"椿かつみ")</f>
        <v>椿かつみ</v>
      </c>
      <c r="I4582" s="22" t="str">
        <f>IFERROR(__xludf.DUMMYFUNCTION("""COMPUTED_VALUE"""),"BL")</f>
        <v>BL</v>
      </c>
      <c r="J4582" s="22"/>
      <c r="K4582" s="22" t="str">
        <f>IFERROR(__xludf.DUMMYFUNCTION("""COMPUTED_VALUE"""),"be sugar")</f>
        <v>be sugar</v>
      </c>
      <c r="L4582" s="22" t="str">
        <f>IFERROR(__xludf.DUMMYFUNCTION("""COMPUTED_VALUE"""),"ファンギルド")</f>
        <v>ファンギルド</v>
      </c>
      <c r="M4582" s="33">
        <f>IFERROR(__xludf.DUMMYFUNCTION("""COMPUTED_VALUE"""),46071.0)</f>
        <v>46071</v>
      </c>
      <c r="N4582" s="33">
        <f>IFERROR(__xludf.DUMMYFUNCTION("""COMPUTED_VALUE"""),46097.0)</f>
        <v>46097</v>
      </c>
      <c r="O4582" s="20"/>
      <c r="P4582" s="32" t="str">
        <f>IFERROR(__xludf.DUMMYFUNCTION("""COMPUTED_VALUE"""),"可")</f>
        <v>可</v>
      </c>
      <c r="Q4582" s="30"/>
      <c r="R4582" s="22"/>
      <c r="S4582" s="22" t="str">
        <f>IFERROR(__xludf.DUMMYFUNCTION("""COMPUTED_VALUE"""),"20260115_ファンギルド_大好きな幼なじみが、恋人になるまで")</f>
        <v>20260115_ファンギルド_大好きな幼なじみが、恋人になるまで</v>
      </c>
      <c r="T4582" s="22" t="str">
        <f>IFERROR(__xludf.DUMMYFUNCTION("""COMPUTED_VALUE"""),"格納済み")</f>
        <v>格納済み</v>
      </c>
      <c r="U4582" s="9" t="str">
        <f>IFERROR(__xludf.DUMMYFUNCTION("""COMPUTED_VALUE"""),"Ⓒ椿かつみ/ファンギルド")</f>
        <v>Ⓒ椿かつみ/ファンギルド</v>
      </c>
      <c r="V4582" s="8"/>
      <c r="W4582" s="8"/>
      <c r="X4582" s="8" t="str">
        <f>IFERROR(__xludf.DUMMYFUNCTION("""COMPUTED_VALUE"""),"有")</f>
        <v>有</v>
      </c>
      <c r="Y4582" s="8" t="str">
        <f>IFERROR(__xludf.DUMMYFUNCTION("""COMPUTED_VALUE"""),"2026/3/3まで1巻立ち読み増量（P16）")</f>
        <v>2026/3/3まで1巻立ち読み増量（P16）</v>
      </c>
      <c r="Z4582" s="7"/>
      <c r="AA4582" s="7"/>
      <c r="AB4582" s="7"/>
    </row>
    <row r="4583" ht="15.75" customHeight="1">
      <c r="A4583" s="26">
        <f>IFERROR(__xludf.DUMMYFUNCTION("""COMPUTED_VALUE"""),7229.0)</f>
        <v>7229</v>
      </c>
      <c r="B4583" s="22" t="str">
        <f>IFERROR(__xludf.DUMMYFUNCTION("""COMPUTED_VALUE"""),"確定")</f>
        <v>確定</v>
      </c>
      <c r="C4583" s="28">
        <f>IFERROR(__xludf.DUMMYFUNCTION("""COMPUTED_VALUE"""),46037.0)</f>
        <v>46037</v>
      </c>
      <c r="D4583" s="28">
        <f>IFERROR(__xludf.DUMMYFUNCTION("""COMPUTED_VALUE"""),46042.0)</f>
        <v>46042</v>
      </c>
      <c r="E4583" s="26">
        <f>IFERROR(__xludf.DUMMYFUNCTION("""COMPUTED_VALUE"""),350415.0)</f>
        <v>350415</v>
      </c>
      <c r="F4583" s="22" t="str">
        <f>IFERROR(__xludf.DUMMYFUNCTION("""COMPUTED_VALUE"""),"リビドー～私のすべては貴方のもの～")</f>
        <v>リビドー～私のすべては貴方のもの～</v>
      </c>
      <c r="G4583" s="20" t="str">
        <f>IFERROR(__xludf.DUMMYFUNCTION("""COMPUTED_VALUE"""),"1～3")</f>
        <v>1～3</v>
      </c>
      <c r="H4583" s="22" t="str">
        <f>IFERROR(__xludf.DUMMYFUNCTION("""COMPUTED_VALUE"""),"toadkim/首枕")</f>
        <v>toadkim/首枕</v>
      </c>
      <c r="I4583" s="22" t="str">
        <f>IFERROR(__xludf.DUMMYFUNCTION("""COMPUTED_VALUE"""),"青年")</f>
        <v>青年</v>
      </c>
      <c r="J4583" s="22"/>
      <c r="K4583" s="22"/>
      <c r="L4583" s="22" t="str">
        <f>IFERROR(__xludf.DUMMYFUNCTION("""COMPUTED_VALUE"""),"Rush!")</f>
        <v>Rush!</v>
      </c>
      <c r="M4583" s="33">
        <f>IFERROR(__xludf.DUMMYFUNCTION("""COMPUTED_VALUE"""),46087.0)</f>
        <v>46087</v>
      </c>
      <c r="N4583" s="33">
        <f>IFERROR(__xludf.DUMMYFUNCTION("""COMPUTED_VALUE"""),46114.0)</f>
        <v>46114</v>
      </c>
      <c r="O4583" s="20"/>
      <c r="P4583" s="32" t="str">
        <f>IFERROR(__xludf.DUMMYFUNCTION("""COMPUTED_VALUE"""),"可")</f>
        <v>可</v>
      </c>
      <c r="Q4583" s="30"/>
      <c r="R4583" s="22"/>
      <c r="S4583" s="22" t="str">
        <f>IFERROR(__xludf.DUMMYFUNCTION("""COMPUTED_VALUE"""),"20260115_ファンギルド_リビドー～私のすべては貴方のもの～")</f>
        <v>20260115_ファンギルド_リビドー～私のすべては貴方のもの～</v>
      </c>
      <c r="T4583" s="22" t="str">
        <f>IFERROR(__xludf.DUMMYFUNCTION("""COMPUTED_VALUE"""),"格納済み")</f>
        <v>格納済み</v>
      </c>
      <c r="U4583" s="9" t="str">
        <f>IFERROR(__xludf.DUMMYFUNCTION("""COMPUTED_VALUE"""),"Ⓒtoadkim/Kubimakura/TOPTOON")</f>
        <v>Ⓒtoadkim/Kubimakura/TOPTOON</v>
      </c>
      <c r="V4583" s="8"/>
      <c r="W4583" s="8"/>
      <c r="X4583" s="8" t="str">
        <f>IFERROR(__xludf.DUMMYFUNCTION("""COMPUTED_VALUE"""),"有")</f>
        <v>有</v>
      </c>
      <c r="Y4583" s="8" t="str">
        <f>IFERROR(__xludf.DUMMYFUNCTION("""COMPUTED_VALUE"""),"2026/4/2まで1巻無料")</f>
        <v>2026/4/2まで1巻無料</v>
      </c>
      <c r="Z4583" s="7"/>
      <c r="AA4583" s="7"/>
      <c r="AB4583" s="7"/>
    </row>
    <row r="4584" ht="15.75" customHeight="1">
      <c r="A4584" s="26">
        <f>IFERROR(__xludf.DUMMYFUNCTION("""COMPUTED_VALUE"""),7248.0)</f>
        <v>7248</v>
      </c>
      <c r="B4584" s="22" t="str">
        <f>IFERROR(__xludf.DUMMYFUNCTION("""COMPUTED_VALUE"""),"確定")</f>
        <v>確定</v>
      </c>
      <c r="C4584" s="28">
        <f>IFERROR(__xludf.DUMMYFUNCTION("""COMPUTED_VALUE"""),46041.0)</f>
        <v>46041</v>
      </c>
      <c r="D4584" s="28">
        <f>IFERROR(__xludf.DUMMYFUNCTION("""COMPUTED_VALUE"""),46043.0)</f>
        <v>46043</v>
      </c>
      <c r="E4584" s="26">
        <f>IFERROR(__xludf.DUMMYFUNCTION("""COMPUTED_VALUE"""),351602.0)</f>
        <v>351602</v>
      </c>
      <c r="F4584" s="22" t="str">
        <f>IFERROR(__xludf.DUMMYFUNCTION("""COMPUTED_VALUE"""),"二次元オタクくんはギャルおっぱいで完オチです！")</f>
        <v>二次元オタクくんはギャルおっぱいで完オチです！</v>
      </c>
      <c r="G4584" s="20" t="str">
        <f>IFERROR(__xludf.DUMMYFUNCTION("""COMPUTED_VALUE"""),"1～2")</f>
        <v>1～2</v>
      </c>
      <c r="H4584" s="22" t="str">
        <f>IFERROR(__xludf.DUMMYFUNCTION("""COMPUTED_VALUE"""),"柚十 扇")</f>
        <v>柚十 扇</v>
      </c>
      <c r="I4584" s="22" t="str">
        <f>IFERROR(__xludf.DUMMYFUNCTION("""COMPUTED_VALUE"""),"アダルト")</f>
        <v>アダルト</v>
      </c>
      <c r="J4584" s="22">
        <f>IFERROR(__xludf.DUMMYFUNCTION("""COMPUTED_VALUE"""),1.0)</f>
        <v>1</v>
      </c>
      <c r="K4584" s="22"/>
      <c r="L4584" s="22" t="str">
        <f>IFERROR(__xludf.DUMMYFUNCTION("""COMPUTED_VALUE"""),"ナイトコミック")</f>
        <v>ナイトコミック</v>
      </c>
      <c r="M4584" s="33">
        <f>IFERROR(__xludf.DUMMYFUNCTION("""COMPUTED_VALUE"""),46087.0)</f>
        <v>46087</v>
      </c>
      <c r="N4584" s="33">
        <f>IFERROR(__xludf.DUMMYFUNCTION("""COMPUTED_VALUE"""),46142.0)</f>
        <v>46142</v>
      </c>
      <c r="O4584" s="20"/>
      <c r="P4584" s="32" t="str">
        <f>IFERROR(__xludf.DUMMYFUNCTION("""COMPUTED_VALUE"""),"可")</f>
        <v>可</v>
      </c>
      <c r="Q4584" s="30"/>
      <c r="R4584" s="22"/>
      <c r="S4584" s="22" t="str">
        <f>IFERROR(__xludf.DUMMYFUNCTION("""COMPUTED_VALUE"""),"20260119_ナイトコミック_二次元オタクくんはギャルおっぱいで完オチです！")</f>
        <v>20260119_ナイトコミック_二次元オタクくんはギャルおっぱいで完オチです！</v>
      </c>
      <c r="T4584" s="22" t="str">
        <f>IFERROR(__xludf.DUMMYFUNCTION("""COMPUTED_VALUE"""),"格納済み")</f>
        <v>格納済み</v>
      </c>
      <c r="U4584" s="9" t="str">
        <f>IFERROR(__xludf.DUMMYFUNCTION("""COMPUTED_VALUE"""),"Ⓒ柚十 扇")</f>
        <v>Ⓒ柚十 扇</v>
      </c>
      <c r="V4584" s="8"/>
      <c r="W4584" s="8"/>
      <c r="X4584" s="8" t="str">
        <f>IFERROR(__xludf.DUMMYFUNCTION("""COMPUTED_VALUE"""),"有")</f>
        <v>有</v>
      </c>
      <c r="Y4584" s="8" t="str">
        <f>IFERROR(__xludf.DUMMYFUNCTION("""COMPUTED_VALUE"""),"2026/4/30まで立ち読み増量
1巻（P16）
2巻（P6）")</f>
        <v>2026/4/30まで立ち読み増量
1巻（P16）
2巻（P6）</v>
      </c>
      <c r="Z4584" s="7"/>
      <c r="AA4584" s="7"/>
      <c r="AB4584" s="7"/>
    </row>
    <row r="4585" ht="15.75" customHeight="1">
      <c r="A4585" s="26">
        <f>IFERROR(__xludf.DUMMYFUNCTION("""COMPUTED_VALUE"""),7249.0)</f>
        <v>7249</v>
      </c>
      <c r="B4585" s="22" t="str">
        <f>IFERROR(__xludf.DUMMYFUNCTION("""COMPUTED_VALUE"""),"確定")</f>
        <v>確定</v>
      </c>
      <c r="C4585" s="28">
        <f>IFERROR(__xludf.DUMMYFUNCTION("""COMPUTED_VALUE"""),46041.0)</f>
        <v>46041</v>
      </c>
      <c r="D4585" s="28">
        <f>IFERROR(__xludf.DUMMYFUNCTION("""COMPUTED_VALUE"""),46043.0)</f>
        <v>46043</v>
      </c>
      <c r="E4585" s="26">
        <f>IFERROR(__xludf.DUMMYFUNCTION("""COMPUTED_VALUE"""),351605.0)</f>
        <v>351605</v>
      </c>
      <c r="F4585" s="22" t="str">
        <f>IFERROR(__xludf.DUMMYFUNCTION("""COMPUTED_VALUE"""),"ムチムチギャルと濃厚ぴっとり主従性活")</f>
        <v>ムチムチギャルと濃厚ぴっとり主従性活</v>
      </c>
      <c r="G4585" s="20" t="str">
        <f>IFERROR(__xludf.DUMMYFUNCTION("""COMPUTED_VALUE"""),"1～2")</f>
        <v>1～2</v>
      </c>
      <c r="H4585" s="22" t="str">
        <f>IFERROR(__xludf.DUMMYFUNCTION("""COMPUTED_VALUE"""),"九月ナガツ")</f>
        <v>九月ナガツ</v>
      </c>
      <c r="I4585" s="22" t="str">
        <f>IFERROR(__xludf.DUMMYFUNCTION("""COMPUTED_VALUE"""),"アダルト")</f>
        <v>アダルト</v>
      </c>
      <c r="J4585" s="22">
        <f>IFERROR(__xludf.DUMMYFUNCTION("""COMPUTED_VALUE"""),1.0)</f>
        <v>1</v>
      </c>
      <c r="K4585" s="22"/>
      <c r="L4585" s="22" t="str">
        <f>IFERROR(__xludf.DUMMYFUNCTION("""COMPUTED_VALUE"""),"ナイトコミック")</f>
        <v>ナイトコミック</v>
      </c>
      <c r="M4585" s="33">
        <f>IFERROR(__xludf.DUMMYFUNCTION("""COMPUTED_VALUE"""),46094.0)</f>
        <v>46094</v>
      </c>
      <c r="N4585" s="33">
        <f>IFERROR(__xludf.DUMMYFUNCTION("""COMPUTED_VALUE"""),46149.0)</f>
        <v>46149</v>
      </c>
      <c r="O4585" s="20"/>
      <c r="P4585" s="32" t="str">
        <f>IFERROR(__xludf.DUMMYFUNCTION("""COMPUTED_VALUE"""),"可")</f>
        <v>可</v>
      </c>
      <c r="Q4585" s="30"/>
      <c r="R4585" s="22"/>
      <c r="S4585" s="22" t="str">
        <f>IFERROR(__xludf.DUMMYFUNCTION("""COMPUTED_VALUE"""),"20260119_ナイトコミック_ムチムチギャルと濃厚ぴっとり主従性活")</f>
        <v>20260119_ナイトコミック_ムチムチギャルと濃厚ぴっとり主従性活</v>
      </c>
      <c r="T4585" s="22" t="str">
        <f>IFERROR(__xludf.DUMMYFUNCTION("""COMPUTED_VALUE"""),"格納済み")</f>
        <v>格納済み</v>
      </c>
      <c r="U4585" s="9" t="str">
        <f>IFERROR(__xludf.DUMMYFUNCTION("""COMPUTED_VALUE"""),"Ⓒ九月ナガツ")</f>
        <v>Ⓒ九月ナガツ</v>
      </c>
      <c r="V4585" s="8"/>
      <c r="W4585" s="8"/>
      <c r="X4585" s="8" t="str">
        <f>IFERROR(__xludf.DUMMYFUNCTION("""COMPUTED_VALUE"""),"有")</f>
        <v>有</v>
      </c>
      <c r="Y4585" s="8" t="str">
        <f>IFERROR(__xludf.DUMMYFUNCTION("""COMPUTED_VALUE"""),"2026/3/26まで1~2巻立ち読み増量
1巻：P20
2巻：P7")</f>
        <v>2026/3/26まで1~2巻立ち読み増量
1巻：P20
2巻：P7</v>
      </c>
      <c r="Z4585" s="7"/>
      <c r="AA4585" s="7"/>
      <c r="AB4585" s="7"/>
    </row>
    <row r="4586" ht="15.75" customHeight="1">
      <c r="A4586" s="26">
        <f>IFERROR(__xludf.DUMMYFUNCTION("""COMPUTED_VALUE"""),6027.0)</f>
        <v>6027</v>
      </c>
      <c r="B4586" s="22" t="str">
        <f>IFERROR(__xludf.DUMMYFUNCTION("""COMPUTED_VALUE"""),"確定")</f>
        <v>確定</v>
      </c>
      <c r="C4586" s="28">
        <f>IFERROR(__xludf.DUMMYFUNCTION("""COMPUTED_VALUE"""),45846.0)</f>
        <v>45846</v>
      </c>
      <c r="D4586" s="28">
        <f>IFERROR(__xludf.DUMMYFUNCTION("""COMPUTED_VALUE"""),46048.0)</f>
        <v>46048</v>
      </c>
      <c r="E4586" s="26">
        <f>IFERROR(__xludf.DUMMYFUNCTION("""COMPUTED_VALUE"""),352063.0)</f>
        <v>352063</v>
      </c>
      <c r="F4586" s="22" t="str">
        <f>IFERROR(__xludf.DUMMYFUNCTION("""COMPUTED_VALUE"""),"夫の書斎から渡されなかった恋文を見つけた話")</f>
        <v>夫の書斎から渡されなかった恋文を見つけた話</v>
      </c>
      <c r="G4586" s="20">
        <f>IFERROR(__xludf.DUMMYFUNCTION("""COMPUTED_VALUE"""),1.0)</f>
        <v>1</v>
      </c>
      <c r="H4586" s="22" t="str">
        <f>IFERROR(__xludf.DUMMYFUNCTION("""COMPUTED_VALUE"""),"漫画：薪乃綾　原作：束原ミヤコ")</f>
        <v>漫画：薪乃綾　原作：束原ミヤコ</v>
      </c>
      <c r="I4586" s="22" t="str">
        <f>IFERROR(__xludf.DUMMYFUNCTION("""COMPUTED_VALUE"""),"少女")</f>
        <v>少女</v>
      </c>
      <c r="J4586" s="22"/>
      <c r="K4586" s="22" t="str">
        <f>IFERROR(__xludf.DUMMYFUNCTION("""COMPUTED_VALUE"""),"ZERO-SUMコミックス")</f>
        <v>ZERO-SUMコミックス</v>
      </c>
      <c r="L4586" s="22" t="str">
        <f>IFERROR(__xludf.DUMMYFUNCTION("""COMPUTED_VALUE"""),"一迅社")</f>
        <v>一迅社</v>
      </c>
      <c r="M4586" s="33">
        <f>IFERROR(__xludf.DUMMYFUNCTION("""COMPUTED_VALUE"""),46082.0)</f>
        <v>46082</v>
      </c>
      <c r="N4586" s="33">
        <f>IFERROR(__xludf.DUMMYFUNCTION("""COMPUTED_VALUE"""),46173.66666666667)</f>
        <v>46173.66667</v>
      </c>
      <c r="O4586" s="20"/>
      <c r="P4586" s="32" t="str">
        <f>IFERROR(__xludf.DUMMYFUNCTION("""COMPUTED_VALUE"""),"否")</f>
        <v>否</v>
      </c>
      <c r="Q4586" s="30" t="str">
        <f>IFERROR(__xludf.DUMMYFUNCTION("""COMPUTED_VALUE"""),"「お飾り妻は冷酷旦那様と離縁したい！ ～実は溺愛されていたなんて知りません～アンソロジーコミック: 3」掲載作品です")</f>
        <v>「お飾り妻は冷酷旦那様と離縁したい！ ～実は溺愛されていたなんて知りません～アンソロジーコミック: 3」掲載作品です</v>
      </c>
      <c r="R4586" s="22"/>
      <c r="S4586" s="22" t="str">
        <f>IFERROR(__xludf.DUMMYFUNCTION("""COMPUTED_VALUE"""),"20260126_一迅社_夫の書斎から渡されなかった恋文を見つけた話")</f>
        <v>20260126_一迅社_夫の書斎から渡されなかった恋文を見つけた話</v>
      </c>
      <c r="T4586" s="22" t="str">
        <f>IFERROR(__xludf.DUMMYFUNCTION("""COMPUTED_VALUE"""),"格納済み")</f>
        <v>格納済み</v>
      </c>
      <c r="U4586" s="9" t="str">
        <f>IFERROR(__xludf.DUMMYFUNCTION("""COMPUTED_VALUE"""),"(C)薪乃綾・束原ミヤコ／一迅社")</f>
        <v>(C)薪乃綾・束原ミヤコ／一迅社</v>
      </c>
      <c r="V4586" s="8"/>
      <c r="W4586" s="8"/>
      <c r="X4586" s="8" t="str">
        <f>IFERROR(__xludf.DUMMYFUNCTION("""COMPUTED_VALUE"""),"有")</f>
        <v>有</v>
      </c>
      <c r="Y4586" s="8" t="str">
        <f>IFERROR(__xludf.DUMMYFUNCTION("""COMPUTED_VALUE"""),"P10まで")</f>
        <v>P10まで</v>
      </c>
      <c r="Z4586" s="7"/>
      <c r="AA4586" s="7"/>
      <c r="AB4586" s="7"/>
    </row>
    <row r="4587" ht="15.75" customHeight="1">
      <c r="A4587" s="26">
        <f>IFERROR(__xludf.DUMMYFUNCTION("""COMPUTED_VALUE"""),6764.0)</f>
        <v>6764</v>
      </c>
      <c r="B4587" s="22" t="str">
        <f>IFERROR(__xludf.DUMMYFUNCTION("""COMPUTED_VALUE"""),"確定")</f>
        <v>確定</v>
      </c>
      <c r="C4587" s="28">
        <f>IFERROR(__xludf.DUMMYFUNCTION("""COMPUTED_VALUE"""),45959.0)</f>
        <v>45959</v>
      </c>
      <c r="D4587" s="28">
        <f>IFERROR(__xludf.DUMMYFUNCTION("""COMPUTED_VALUE"""),46049.0)</f>
        <v>46049</v>
      </c>
      <c r="E4587" s="26">
        <f>IFERROR(__xludf.DUMMYFUNCTION("""COMPUTED_VALUE"""),351263.0)</f>
        <v>351263</v>
      </c>
      <c r="F4587" s="22" t="str">
        <f>IFERROR(__xludf.DUMMYFUNCTION("""COMPUTED_VALUE"""),"夫婦theナイトフィーバー")</f>
        <v>夫婦theナイトフィーバー</v>
      </c>
      <c r="G4587" s="20">
        <f>IFERROR(__xludf.DUMMYFUNCTION("""COMPUTED_VALUE"""),1.0)</f>
        <v>1</v>
      </c>
      <c r="H4587" s="22" t="str">
        <f>IFERROR(__xludf.DUMMYFUNCTION("""COMPUTED_VALUE"""),"ago")</f>
        <v>ago</v>
      </c>
      <c r="I4587" s="22" t="str">
        <f>IFERROR(__xludf.DUMMYFUNCTION("""COMPUTED_VALUE"""),"女性")</f>
        <v>女性</v>
      </c>
      <c r="J4587" s="22"/>
      <c r="K4587" s="22"/>
      <c r="L4587" s="22" t="str">
        <f>IFERROR(__xludf.DUMMYFUNCTION("""COMPUTED_VALUE"""),"集英社")</f>
        <v>集英社</v>
      </c>
      <c r="M4587" s="33">
        <f>IFERROR(__xludf.DUMMYFUNCTION("""COMPUTED_VALUE"""),46078.0)</f>
        <v>46078</v>
      </c>
      <c r="N4587" s="33">
        <f>IFERROR(__xludf.DUMMYFUNCTION("""COMPUTED_VALUE"""),46166.66666666667)</f>
        <v>46166.66667</v>
      </c>
      <c r="O4587" s="20"/>
      <c r="P4587" s="32" t="str">
        <f>IFERROR(__xludf.DUMMYFUNCTION("""COMPUTED_VALUE"""),"否")</f>
        <v>否</v>
      </c>
      <c r="Q4587" s="30" t="str">
        <f>IFERROR(__xludf.DUMMYFUNCTION("""COMPUTED_VALUE"""),"・本編はマンガMeeで無料公開していますが、製品版には「隣の元カレくん」につながる描きおろし（10ページ程度）がつく予定です。")</f>
        <v>・本編はマンガMeeで無料公開していますが、製品版には「隣の元カレくん」につながる描きおろし（10ページ程度）がつく予定です。</v>
      </c>
      <c r="R4587" s="22"/>
      <c r="S4587" s="22" t="str">
        <f>IFERROR(__xludf.DUMMYFUNCTION("""COMPUTED_VALUE"""),"20260127_集英社_夫婦theナイトフィーバー")</f>
        <v>20260127_集英社_夫婦theナイトフィーバー</v>
      </c>
      <c r="T4587" s="22" t="str">
        <f>IFERROR(__xludf.DUMMYFUNCTION("""COMPUTED_VALUE"""),"格納済み")</f>
        <v>格納済み</v>
      </c>
      <c r="U4587" s="9" t="str">
        <f>IFERROR(__xludf.DUMMYFUNCTION("""COMPUTED_VALUE"""),"（C）ago／集英社")</f>
        <v>（C）ago／集英社</v>
      </c>
      <c r="V4587" s="8"/>
      <c r="W4587" s="8"/>
      <c r="X4587" s="8" t="str">
        <f>IFERROR(__xludf.DUMMYFUNCTION("""COMPUTED_VALUE"""),"有")</f>
        <v>有</v>
      </c>
      <c r="Y4587" s="8" t="str">
        <f>IFERROR(__xludf.DUMMYFUNCTION("""COMPUTED_VALUE"""),"P18まで")</f>
        <v>P18まで</v>
      </c>
      <c r="Z4587" s="7"/>
      <c r="AA4587" s="7"/>
      <c r="AB4587" s="7"/>
    </row>
    <row r="4588" ht="15.75" customHeight="1">
      <c r="A4588" s="26">
        <f>IFERROR(__xludf.DUMMYFUNCTION("""COMPUTED_VALUE"""),6865.0)</f>
        <v>6865</v>
      </c>
      <c r="B4588" s="22" t="str">
        <f>IFERROR(__xludf.DUMMYFUNCTION("""COMPUTED_VALUE"""),"確定")</f>
        <v>確定</v>
      </c>
      <c r="C4588" s="28">
        <f>IFERROR(__xludf.DUMMYFUNCTION("""COMPUTED_VALUE"""),45972.0)</f>
        <v>45972</v>
      </c>
      <c r="D4588" s="28">
        <f>IFERROR(__xludf.DUMMYFUNCTION("""COMPUTED_VALUE"""),46045.0)</f>
        <v>46045</v>
      </c>
      <c r="E4588" s="26">
        <f>IFERROR(__xludf.DUMMYFUNCTION("""COMPUTED_VALUE"""),353520.0)</f>
        <v>353520</v>
      </c>
      <c r="F4588" s="22" t="str">
        <f>IFERROR(__xludf.DUMMYFUNCTION("""COMPUTED_VALUE"""),"恋とローンは計画的に～おひとりさまOL、マンション買います！～")</f>
        <v>恋とローンは計画的に～おひとりさまOL、マンション買います！～</v>
      </c>
      <c r="G4588" s="20" t="str">
        <f>IFERROR(__xludf.DUMMYFUNCTION("""COMPUTED_VALUE"""),"1～3")</f>
        <v>1～3</v>
      </c>
      <c r="H4588" s="22" t="str">
        <f>IFERROR(__xludf.DUMMYFUNCTION("""COMPUTED_VALUE"""),"高橋依摘")</f>
        <v>高橋依摘</v>
      </c>
      <c r="I4588" s="22" t="str">
        <f>IFERROR(__xludf.DUMMYFUNCTION("""COMPUTED_VALUE"""),"女性マンガ")</f>
        <v>女性マンガ</v>
      </c>
      <c r="J4588" s="22"/>
      <c r="K4588" s="22"/>
      <c r="L4588" s="22" t="str">
        <f>IFERROR(__xludf.DUMMYFUNCTION("""COMPUTED_VALUE"""),"アイプロダクション")</f>
        <v>アイプロダクション</v>
      </c>
      <c r="M4588" s="33">
        <f>IFERROR(__xludf.DUMMYFUNCTION("""COMPUTED_VALUE"""),46082.0)</f>
        <v>46082</v>
      </c>
      <c r="N4588" s="33">
        <f>IFERROR(__xludf.DUMMYFUNCTION("""COMPUTED_VALUE"""),46112.0)</f>
        <v>46112</v>
      </c>
      <c r="O4588" s="20"/>
      <c r="P4588" s="32" t="str">
        <f>IFERROR(__xludf.DUMMYFUNCTION("""COMPUTED_VALUE"""),"可")</f>
        <v>可</v>
      </c>
      <c r="Q4588" s="30"/>
      <c r="R4588" s="22" t="str">
        <f>IFERROR(__xludf.DUMMYFUNCTION("""COMPUTED_VALUE"""),"コミットNG")</f>
        <v>コミットNG</v>
      </c>
      <c r="S4588" s="22" t="str">
        <f>IFERROR(__xludf.DUMMYFUNCTION("""COMPUTED_VALUE"""),"20260123_アイプロダクション_恋とローンは計画的に～おひとりさまOL、マンション買います！～")</f>
        <v>20260123_アイプロダクション_恋とローンは計画的に～おひとりさまOL、マンション買います！～</v>
      </c>
      <c r="T4588" s="22" t="str">
        <f>IFERROR(__xludf.DUMMYFUNCTION("""COMPUTED_VALUE"""),"格納済み")</f>
        <v>格納済み</v>
      </c>
      <c r="U4588" s="9" t="str">
        <f>IFERROR(__xludf.DUMMYFUNCTION("""COMPUTED_VALUE"""),"高橋依摘/アイプロダクション")</f>
        <v>高橋依摘/アイプロダクション</v>
      </c>
      <c r="V4588" s="8"/>
      <c r="W4588" s="8"/>
      <c r="X4588" s="8" t="str">
        <f>IFERROR(__xludf.DUMMYFUNCTION("""COMPUTED_VALUE"""),"有")</f>
        <v>有</v>
      </c>
      <c r="Y4588" s="8" t="str">
        <f>IFERROR(__xludf.DUMMYFUNCTION("""COMPUTED_VALUE"""),"2026/3/14まで1巻無料")</f>
        <v>2026/3/14まで1巻無料</v>
      </c>
      <c r="Z4588" s="7"/>
      <c r="AA4588" s="7"/>
      <c r="AB4588" s="7"/>
    </row>
    <row r="4589" ht="15.75" customHeight="1">
      <c r="A4589" s="26">
        <f>IFERROR(__xludf.DUMMYFUNCTION("""COMPUTED_VALUE"""),6904.0)</f>
        <v>6904</v>
      </c>
      <c r="B4589" s="22" t="str">
        <f>IFERROR(__xludf.DUMMYFUNCTION("""COMPUTED_VALUE"""),"確定")</f>
        <v>確定</v>
      </c>
      <c r="C4589" s="28">
        <f>IFERROR(__xludf.DUMMYFUNCTION("""COMPUTED_VALUE"""),45978.0)</f>
        <v>45978</v>
      </c>
      <c r="D4589" s="28">
        <f>IFERROR(__xludf.DUMMYFUNCTION("""COMPUTED_VALUE"""),46049.0)</f>
        <v>46049</v>
      </c>
      <c r="E4589" s="26">
        <f>IFERROR(__xludf.DUMMYFUNCTION("""COMPUTED_VALUE"""),352799.0)</f>
        <v>352799</v>
      </c>
      <c r="F4589" s="22" t="str">
        <f>IFERROR(__xludf.DUMMYFUNCTION("""COMPUTED_VALUE"""),"不倫サレ妻、復讐します～私と妹どっちがよかった？～【分冊版】")</f>
        <v>不倫サレ妻、復讐します～私と妹どっちがよかった？～【分冊版】</v>
      </c>
      <c r="G4589" s="20" t="str">
        <f>IFERROR(__xludf.DUMMYFUNCTION("""COMPUTED_VALUE"""),"1～5")</f>
        <v>1～5</v>
      </c>
      <c r="H4589" s="22" t="str">
        <f>IFERROR(__xludf.DUMMYFUNCTION("""COMPUTED_VALUE"""),"瀬川葵")</f>
        <v>瀬川葵</v>
      </c>
      <c r="I4589" s="22" t="str">
        <f>IFERROR(__xludf.DUMMYFUNCTION("""COMPUTED_VALUE"""),"女性")</f>
        <v>女性</v>
      </c>
      <c r="J4589" s="22"/>
      <c r="K4589" s="22"/>
      <c r="L4589" s="22" t="str">
        <f>IFERROR(__xludf.DUMMYFUNCTION("""COMPUTED_VALUE"""),"スクウェア・エニックス")</f>
        <v>スクウェア・エニックス</v>
      </c>
      <c r="M4589" s="33">
        <f>IFERROR(__xludf.DUMMYFUNCTION("""COMPUTED_VALUE"""),46082.0)</f>
        <v>46082</v>
      </c>
      <c r="N4589" s="33">
        <f>IFERROR(__xludf.DUMMYFUNCTION("""COMPUTED_VALUE"""),46142.0)</f>
        <v>46142</v>
      </c>
      <c r="O4589" s="20"/>
      <c r="P4589" s="32" t="str">
        <f>IFERROR(__xludf.DUMMYFUNCTION("""COMPUTED_VALUE"""),"否")</f>
        <v>否</v>
      </c>
      <c r="Q4589" s="30"/>
      <c r="R4589" s="22" t="str">
        <f>IFERROR(__xludf.DUMMYFUNCTION("""COMPUTED_VALUE"""),"コミットNG")</f>
        <v>コミットNG</v>
      </c>
      <c r="S4589" s="22" t="str">
        <f>IFERROR(__xludf.DUMMYFUNCTION("""COMPUTED_VALUE"""),"260126_スクウェア・エニックス_不倫サレ妻復讐します")</f>
        <v>260126_スクウェア・エニックス_不倫サレ妻復讐します</v>
      </c>
      <c r="T4589" s="22" t="str">
        <f>IFERROR(__xludf.DUMMYFUNCTION("""COMPUTED_VALUE"""),"格納済み")</f>
        <v>格納済み</v>
      </c>
      <c r="U4589" s="9" t="str">
        <f>IFERROR(__xludf.DUMMYFUNCTION("""COMPUTED_VALUE"""),"(C)Aoi Segawa/SQUARE ENIX")</f>
        <v>(C)Aoi Segawa/SQUARE ENIX</v>
      </c>
      <c r="V4589" s="8"/>
      <c r="W4589" s="8"/>
      <c r="X4589" s="8" t="str">
        <f>IFERROR(__xludf.DUMMYFUNCTION("""COMPUTED_VALUE"""),"有")</f>
        <v>有</v>
      </c>
      <c r="Y4589" s="8" t="str">
        <f>IFERROR(__xludf.DUMMYFUNCTION("""COMPUTED_VALUE"""),"P8まで")</f>
        <v>P8まで</v>
      </c>
      <c r="Z4589" s="7"/>
      <c r="AA4589" s="7"/>
      <c r="AB4589" s="7"/>
    </row>
    <row r="4590" ht="15.75" customHeight="1">
      <c r="A4590" s="26">
        <f>IFERROR(__xludf.DUMMYFUNCTION("""COMPUTED_VALUE"""),6981.0)</f>
        <v>6981</v>
      </c>
      <c r="B4590" s="22" t="str">
        <f>IFERROR(__xludf.DUMMYFUNCTION("""COMPUTED_VALUE"""),"確定")</f>
        <v>確定</v>
      </c>
      <c r="C4590" s="28">
        <f>IFERROR(__xludf.DUMMYFUNCTION("""COMPUTED_VALUE"""),45992.0)</f>
        <v>45992</v>
      </c>
      <c r="D4590" s="28">
        <f>IFERROR(__xludf.DUMMYFUNCTION("""COMPUTED_VALUE"""),46044.0)</f>
        <v>46044</v>
      </c>
      <c r="E4590" s="26">
        <f>IFERROR(__xludf.DUMMYFUNCTION("""COMPUTED_VALUE"""),351417.0)</f>
        <v>351417</v>
      </c>
      <c r="F4590" s="22" t="str">
        <f>IFERROR(__xludf.DUMMYFUNCTION("""COMPUTED_VALUE"""),"東の魔女のあとしまつ　～7年後の運命～【単話版】")</f>
        <v>東の魔女のあとしまつ　～7年後の運命～【単話版】</v>
      </c>
      <c r="G4590" s="20" t="str">
        <f>IFERROR(__xludf.DUMMYFUNCTION("""COMPUTED_VALUE"""),"1～4")</f>
        <v>1～4</v>
      </c>
      <c r="H4590" s="22" t="str">
        <f>IFERROR(__xludf.DUMMYFUNCTION("""COMPUTED_VALUE"""),"漫画：森みさき/原作：中村颯希/キャラクター原案：toi8")</f>
        <v>漫画：森みさき/原作：中村颯希/キャラクター原案：toi8</v>
      </c>
      <c r="I4590" s="22" t="str">
        <f>IFERROR(__xludf.DUMMYFUNCTION("""COMPUTED_VALUE"""),"少女")</f>
        <v>少女</v>
      </c>
      <c r="J4590" s="22"/>
      <c r="K4590" s="22"/>
      <c r="L4590" s="22" t="str">
        <f>IFERROR(__xludf.DUMMYFUNCTION("""COMPUTED_VALUE"""),"アース・スターエンターテイメント")</f>
        <v>アース・スターエンターテイメント</v>
      </c>
      <c r="M4590" s="33">
        <f>IFERROR(__xludf.DUMMYFUNCTION("""COMPUTED_VALUE"""),46065.0)</f>
        <v>46065</v>
      </c>
      <c r="N4590" s="33">
        <f>IFERROR(__xludf.DUMMYFUNCTION("""COMPUTED_VALUE"""),46092.0)</f>
        <v>46092</v>
      </c>
      <c r="O4590" s="20"/>
      <c r="P4590" s="32" t="str">
        <f>IFERROR(__xludf.DUMMYFUNCTION("""COMPUTED_VALUE"""),"否")</f>
        <v>否</v>
      </c>
      <c r="Q4590" s="30" t="str">
        <f>IFERROR(__xludf.DUMMYFUNCTION("""COMPUTED_VALUE"""),"プロローグ、1話、2話（a,b）、3話（a,b)の計4話です。可能な範囲での出稿で問題ございません。何卒よろしくお願いいたします。")</f>
        <v>プロローグ、1話、2話（a,b）、3話（a,b)の計4話です。可能な範囲での出稿で問題ございません。何卒よろしくお願いいたします。</v>
      </c>
      <c r="R4590" s="22" t="str">
        <f>IFERROR(__xludf.DUMMYFUNCTION("""COMPUTED_VALUE"""),"コミットOK")</f>
        <v>コミットOK</v>
      </c>
      <c r="S4590" s="22" t="str">
        <f>IFERROR(__xludf.DUMMYFUNCTION("""COMPUTED_VALUE"""),"20260121_アース・スター_東の魔女のあとしまつ　～7年後の運命～【単話版】")</f>
        <v>20260121_アース・スター_東の魔女のあとしまつ　～7年後の運命～【単話版】</v>
      </c>
      <c r="T4590" s="22" t="str">
        <f>IFERROR(__xludf.DUMMYFUNCTION("""COMPUTED_VALUE"""),"格納済み")</f>
        <v>格納済み</v>
      </c>
      <c r="U4590" s="9" t="str">
        <f>IFERROR(__xludf.DUMMYFUNCTION("""COMPUTED_VALUE"""),"Ⓒ 森みさき　Ⓒ 中村颯希・toi8/アース・スター エンターテイメント")</f>
        <v>Ⓒ 森みさき　Ⓒ 中村颯希・toi8/アース・スター エンターテイメント</v>
      </c>
      <c r="V4590" s="8"/>
      <c r="W4590" s="8"/>
      <c r="X4590" s="8" t="str">
        <f>IFERROR(__xludf.DUMMYFUNCTION("""COMPUTED_VALUE"""),"有")</f>
        <v>有</v>
      </c>
      <c r="Y4590" s="8" t="str">
        <f>IFERROR(__xludf.DUMMYFUNCTION("""COMPUTED_VALUE"""),"P3まで")</f>
        <v>P3まで</v>
      </c>
      <c r="Z4590" s="7"/>
      <c r="AA4590" s="7"/>
      <c r="AB4590" s="7"/>
    </row>
    <row r="4591" ht="15.75" customHeight="1">
      <c r="A4591" s="26">
        <f>IFERROR(__xludf.DUMMYFUNCTION("""COMPUTED_VALUE"""),6991.0)</f>
        <v>6991</v>
      </c>
      <c r="B4591" s="22" t="str">
        <f>IFERROR(__xludf.DUMMYFUNCTION("""COMPUTED_VALUE"""),"確定")</f>
        <v>確定</v>
      </c>
      <c r="C4591" s="28">
        <f>IFERROR(__xludf.DUMMYFUNCTION("""COMPUTED_VALUE"""),45995.0)</f>
        <v>45995</v>
      </c>
      <c r="D4591" s="28">
        <f>IFERROR(__xludf.DUMMYFUNCTION("""COMPUTED_VALUE"""),46043.0)</f>
        <v>46043</v>
      </c>
      <c r="E4591" s="26">
        <f>IFERROR(__xludf.DUMMYFUNCTION("""COMPUTED_VALUE"""),351416.0)</f>
        <v>351416</v>
      </c>
      <c r="F4591" s="22" t="str">
        <f>IFERROR(__xludf.DUMMYFUNCTION("""COMPUTED_VALUE"""),"正しいヒロインの躾け方～突然手に入れた“黒魔術”で世界征服を目論む～【フルカラー】")</f>
        <v>正しいヒロインの躾け方～突然手に入れた“黒魔術”で世界征服を目論む～【フルカラー】</v>
      </c>
      <c r="G4591" s="20" t="str">
        <f>IFERROR(__xludf.DUMMYFUNCTION("""COMPUTED_VALUE"""),"1～5")</f>
        <v>1～5</v>
      </c>
      <c r="H4591" s="22" t="str">
        <f>IFERROR(__xludf.DUMMYFUNCTION("""COMPUTED_VALUE"""),"愛奴主人・けーき・ファーストコミック")</f>
        <v>愛奴主人・けーき・ファーストコミック</v>
      </c>
      <c r="I4591" s="22" t="str">
        <f>IFERROR(__xludf.DUMMYFUNCTION("""COMPUTED_VALUE"""),"青年")</f>
        <v>青年</v>
      </c>
      <c r="J4591" s="22"/>
      <c r="K4591" s="22" t="str">
        <f>IFERROR(__xludf.DUMMYFUNCTION("""COMPUTED_VALUE"""),"DEDEDE")</f>
        <v>DEDEDE</v>
      </c>
      <c r="L4591" s="22" t="str">
        <f>IFERROR(__xludf.DUMMYFUNCTION("""COMPUTED_VALUE"""),"CLLENN")</f>
        <v>CLLENN</v>
      </c>
      <c r="M4591" s="33">
        <f>IFERROR(__xludf.DUMMYFUNCTION("""COMPUTED_VALUE"""),46068.0)</f>
        <v>46068</v>
      </c>
      <c r="N4591" s="33">
        <f>IFERROR(__xludf.DUMMYFUNCTION("""COMPUTED_VALUE"""),46130.0)</f>
        <v>46130</v>
      </c>
      <c r="O4591" s="20"/>
      <c r="P4591" s="32" t="str">
        <f>IFERROR(__xludf.DUMMYFUNCTION("""COMPUTED_VALUE"""),"可")</f>
        <v>可</v>
      </c>
      <c r="Q4591" s="30" t="str">
        <f>IFERROR(__xludf.DUMMYFUNCTION("""COMPUTED_VALUE"""),"【アダルト作品扱い】")</f>
        <v>【アダルト作品扱い】</v>
      </c>
      <c r="R4591" s="22" t="str">
        <f>IFERROR(__xludf.DUMMYFUNCTION("""COMPUTED_VALUE"""),"コミットOK")</f>
        <v>コミットOK</v>
      </c>
      <c r="S4591" s="22" t="str">
        <f>IFERROR(__xludf.DUMMYFUNCTION("""COMPUTED_VALUE"""),"20260119_CLLENN_正しいヒロインの躾け方～突然手に入れた“黒魔術”で世界征服を目論む〜【フルカラー】")</f>
        <v>20260119_CLLENN_正しいヒロインの躾け方～突然手に入れた“黒魔術”で世界征服を目論む〜【フルカラー】</v>
      </c>
      <c r="T4591" s="22" t="str">
        <f>IFERROR(__xludf.DUMMYFUNCTION("""COMPUTED_VALUE"""),"格納済み")</f>
        <v>格納済み</v>
      </c>
      <c r="U4591" s="9" t="str">
        <f>IFERROR(__xludf.DUMMYFUNCTION("""COMPUTED_VALUE"""),"Ⓒ愛奴主人・けーき・ファーストコミック/CLLENN")</f>
        <v>Ⓒ愛奴主人・けーき・ファーストコミック/CLLENN</v>
      </c>
      <c r="V4591" s="8"/>
      <c r="W4591" s="8"/>
      <c r="X4591" s="8" t="str">
        <f>IFERROR(__xludf.DUMMYFUNCTION("""COMPUTED_VALUE"""),"有")</f>
        <v>有</v>
      </c>
      <c r="Y4591" s="8" t="str">
        <f>IFERROR(__xludf.DUMMYFUNCTION("""COMPUTED_VALUE"""),"2026/2/21まで1巻無料")</f>
        <v>2026/2/21まで1巻無料</v>
      </c>
      <c r="Z4591" s="7"/>
      <c r="AA4591" s="7"/>
      <c r="AB4591" s="7"/>
    </row>
    <row r="4592" ht="15.75" customHeight="1">
      <c r="A4592" s="26">
        <f>IFERROR(__xludf.DUMMYFUNCTION("""COMPUTED_VALUE"""),7035.0)</f>
        <v>7035</v>
      </c>
      <c r="B4592" s="22" t="str">
        <f>IFERROR(__xludf.DUMMYFUNCTION("""COMPUTED_VALUE"""),"確定")</f>
        <v>確定</v>
      </c>
      <c r="C4592" s="28">
        <f>IFERROR(__xludf.DUMMYFUNCTION("""COMPUTED_VALUE"""),46001.0)</f>
        <v>46001</v>
      </c>
      <c r="D4592" s="28">
        <f>IFERROR(__xludf.DUMMYFUNCTION("""COMPUTED_VALUE"""),46048.0)</f>
        <v>46048</v>
      </c>
      <c r="E4592" s="26">
        <f>IFERROR(__xludf.DUMMYFUNCTION("""COMPUTED_VALUE"""),356922.0)</f>
        <v>356922</v>
      </c>
      <c r="F4592" s="22" t="str">
        <f>IFERROR(__xludf.DUMMYFUNCTION("""COMPUTED_VALUE"""),"【分冊版】夫婦が両思いになる方法")</f>
        <v>【分冊版】夫婦が両思いになる方法</v>
      </c>
      <c r="G4592" s="20" t="str">
        <f>IFERROR(__xludf.DUMMYFUNCTION("""COMPUTED_VALUE"""),"1～5")</f>
        <v>1～5</v>
      </c>
      <c r="H4592" s="22" t="str">
        <f>IFERROR(__xludf.DUMMYFUNCTION("""COMPUTED_VALUE"""),"藤緒あい")</f>
        <v>藤緒あい</v>
      </c>
      <c r="I4592" s="22" t="str">
        <f>IFERROR(__xludf.DUMMYFUNCTION("""COMPUTED_VALUE"""),"女性")</f>
        <v>女性</v>
      </c>
      <c r="J4592" s="22"/>
      <c r="K4592" s="22"/>
      <c r="L4592" s="22" t="str">
        <f>IFERROR(__xludf.DUMMYFUNCTION("""COMPUTED_VALUE"""),"Seasons")</f>
        <v>Seasons</v>
      </c>
      <c r="M4592" s="33">
        <f>IFERROR(__xludf.DUMMYFUNCTION("""COMPUTED_VALUE"""),46127.0)</f>
        <v>46127</v>
      </c>
      <c r="N4592" s="33">
        <f>IFERROR(__xludf.DUMMYFUNCTION("""COMPUTED_VALUE"""),46248.66666666667)</f>
        <v>46248.66667</v>
      </c>
      <c r="O4592" s="20"/>
      <c r="P4592" s="32" t="str">
        <f>IFERROR(__xludf.DUMMYFUNCTION("""COMPUTED_VALUE"""),"可")</f>
        <v>可</v>
      </c>
      <c r="Q4592" s="30"/>
      <c r="R4592" s="22" t="str">
        <f>IFERROR(__xludf.DUMMYFUNCTION("""COMPUTED_VALUE"""),"コミットOK")</f>
        <v>コミットOK</v>
      </c>
      <c r="S4592" s="22" t="str">
        <f>IFERROR(__xludf.DUMMYFUNCTION("""COMPUTED_VALUE"""),"20260126_文藝春秋_夫婦が両思いになる方法")</f>
        <v>20260126_文藝春秋_夫婦が両思いになる方法</v>
      </c>
      <c r="T4592" s="22" t="str">
        <f>IFERROR(__xludf.DUMMYFUNCTION("""COMPUTED_VALUE"""),"格納済み")</f>
        <v>格納済み</v>
      </c>
      <c r="U4592" s="9" t="str">
        <f>IFERROR(__xludf.DUMMYFUNCTION("""COMPUTED_VALUE"""),"藤緒あい／文藝春秋")</f>
        <v>藤緒あい／文藝春秋</v>
      </c>
      <c r="V4592" s="8"/>
      <c r="W4592" s="8"/>
      <c r="X4592" s="8" t="str">
        <f>IFERROR(__xludf.DUMMYFUNCTION("""COMPUTED_VALUE"""),"有")</f>
        <v>有</v>
      </c>
      <c r="Y4592" s="8" t="str">
        <f>IFERROR(__xludf.DUMMYFUNCTION("""COMPUTED_VALUE"""),"P7まで")</f>
        <v>P7まで</v>
      </c>
      <c r="Z4592" s="7"/>
      <c r="AA4592" s="7"/>
      <c r="AB4592" s="7"/>
    </row>
    <row r="4593" ht="15.75" customHeight="1">
      <c r="A4593" s="26">
        <f>IFERROR(__xludf.DUMMYFUNCTION("""COMPUTED_VALUE"""),7040.0)</f>
        <v>7040</v>
      </c>
      <c r="B4593" s="22" t="str">
        <f>IFERROR(__xludf.DUMMYFUNCTION("""COMPUTED_VALUE"""),"確定")</f>
        <v>確定</v>
      </c>
      <c r="C4593" s="28">
        <f>IFERROR(__xludf.DUMMYFUNCTION("""COMPUTED_VALUE"""),46002.0)</f>
        <v>46002</v>
      </c>
      <c r="D4593" s="28">
        <f>IFERROR(__xludf.DUMMYFUNCTION("""COMPUTED_VALUE"""),46049.0)</f>
        <v>46049</v>
      </c>
      <c r="E4593" s="26">
        <f>IFERROR(__xludf.DUMMYFUNCTION("""COMPUTED_VALUE"""),351974.0)</f>
        <v>351974</v>
      </c>
      <c r="F4593" s="22" t="str">
        <f>IFERROR(__xludf.DUMMYFUNCTION("""COMPUTED_VALUE"""),"囁いて、発情～素顔を隠した後輩と本気の濡れトロH～")</f>
        <v>囁いて、発情～素顔を隠した後輩と本気の濡れトロH～</v>
      </c>
      <c r="G4593" s="20" t="str">
        <f>IFERROR(__xludf.DUMMYFUNCTION("""COMPUTED_VALUE"""),"1～2")</f>
        <v>1～2</v>
      </c>
      <c r="H4593" s="22" t="str">
        <f>IFERROR(__xludf.DUMMYFUNCTION("""COMPUTED_VALUE"""),"みよし花")</f>
        <v>みよし花</v>
      </c>
      <c r="I4593" s="22" t="str">
        <f>IFERROR(__xludf.DUMMYFUNCTION("""COMPUTED_VALUE"""),"TL")</f>
        <v>TL</v>
      </c>
      <c r="J4593" s="22"/>
      <c r="K4593" s="22" t="str">
        <f>IFERROR(__xludf.DUMMYFUNCTION("""COMPUTED_VALUE"""),"乙女チック")</f>
        <v>乙女チック</v>
      </c>
      <c r="L4593" s="22" t="str">
        <f>IFERROR(__xludf.DUMMYFUNCTION("""COMPUTED_VALUE"""),"CLLENN")</f>
        <v>CLLENN</v>
      </c>
      <c r="M4593" s="33">
        <f>IFERROR(__xludf.DUMMYFUNCTION("""COMPUTED_VALUE"""),46088.0)</f>
        <v>46088</v>
      </c>
      <c r="N4593" s="33">
        <f>IFERROR(__xludf.DUMMYFUNCTION("""COMPUTED_VALUE"""),46143.0)</f>
        <v>46143</v>
      </c>
      <c r="O4593" s="20"/>
      <c r="P4593" s="32" t="str">
        <f>IFERROR(__xludf.DUMMYFUNCTION("""COMPUTED_VALUE"""),"可")</f>
        <v>可</v>
      </c>
      <c r="Q4593" s="30"/>
      <c r="R4593" s="22" t="str">
        <f>IFERROR(__xludf.DUMMYFUNCTION("""COMPUTED_VALUE"""),"コミットOK")</f>
        <v>コミットOK</v>
      </c>
      <c r="S4593" s="22" t="str">
        <f>IFERROR(__xludf.DUMMYFUNCTION("""COMPUTED_VALUE"""),"20260127_CLLENN_囁いて、発情～素顔を隠した後輩と本気の濡れトロH～")</f>
        <v>20260127_CLLENN_囁いて、発情～素顔を隠した後輩と本気の濡れトロH～</v>
      </c>
      <c r="T4593" s="22" t="str">
        <f>IFERROR(__xludf.DUMMYFUNCTION("""COMPUTED_VALUE"""),"格納済み")</f>
        <v>格納済み</v>
      </c>
      <c r="U4593" s="9" t="str">
        <f>IFERROR(__xludf.DUMMYFUNCTION("""COMPUTED_VALUE"""),"Ⓒみよし花/CLLENN")</f>
        <v>Ⓒみよし花/CLLENN</v>
      </c>
      <c r="V4593" s="8"/>
      <c r="W4593" s="8"/>
      <c r="X4593" s="8"/>
      <c r="Y4593" s="8" t="str">
        <f>IFERROR(__xludf.DUMMYFUNCTION("""COMPUTED_VALUE"""),"P10まで")</f>
        <v>P10まで</v>
      </c>
      <c r="Z4593" s="7"/>
      <c r="AA4593" s="7"/>
      <c r="AB4593" s="7"/>
    </row>
    <row r="4594" ht="15.75" customHeight="1">
      <c r="A4594" s="26">
        <f>IFERROR(__xludf.DUMMYFUNCTION("""COMPUTED_VALUE"""),7059.0)</f>
        <v>7059</v>
      </c>
      <c r="B4594" s="22" t="str">
        <f>IFERROR(__xludf.DUMMYFUNCTION("""COMPUTED_VALUE"""),"確定")</f>
        <v>確定</v>
      </c>
      <c r="C4594" s="28">
        <f>IFERROR(__xludf.DUMMYFUNCTION("""COMPUTED_VALUE"""),46006.0)</f>
        <v>46006</v>
      </c>
      <c r="D4594" s="28">
        <f>IFERROR(__xludf.DUMMYFUNCTION("""COMPUTED_VALUE"""),46044.0)</f>
        <v>46044</v>
      </c>
      <c r="E4594" s="26">
        <f>IFERROR(__xludf.DUMMYFUNCTION("""COMPUTED_VALUE"""),351436.0)</f>
        <v>351436</v>
      </c>
      <c r="F4594" s="22" t="str">
        <f>IFERROR(__xludf.DUMMYFUNCTION("""COMPUTED_VALUE"""),"落ちこぼれ王女、誤召喚された妖狐様に琥珀色の寵愛を受ける")</f>
        <v>落ちこぼれ王女、誤召喚された妖狐様に琥珀色の寵愛を受ける</v>
      </c>
      <c r="G4594" s="20" t="str">
        <f>IFERROR(__xludf.DUMMYFUNCTION("""COMPUTED_VALUE"""),"1～2")</f>
        <v>1～2</v>
      </c>
      <c r="H4594" s="22" t="str">
        <f>IFERROR(__xludf.DUMMYFUNCTION("""COMPUTED_VALUE"""),"ヨシノ")</f>
        <v>ヨシノ</v>
      </c>
      <c r="I4594" s="22" t="str">
        <f>IFERROR(__xludf.DUMMYFUNCTION("""COMPUTED_VALUE"""),"女性")</f>
        <v>女性</v>
      </c>
      <c r="J4594" s="22"/>
      <c r="K4594" s="22"/>
      <c r="L4594" s="22" t="str">
        <f>IFERROR(__xludf.DUMMYFUNCTION("""COMPUTED_VALUE"""),"DPNブックス")</f>
        <v>DPNブックス</v>
      </c>
      <c r="M4594" s="33">
        <f>IFERROR(__xludf.DUMMYFUNCTION("""COMPUTED_VALUE"""),46075.0)</f>
        <v>46075</v>
      </c>
      <c r="N4594" s="33">
        <f>IFERROR(__xludf.DUMMYFUNCTION("""COMPUTED_VALUE"""),46102.0)</f>
        <v>46102</v>
      </c>
      <c r="O4594" s="20"/>
      <c r="P4594" s="32" t="str">
        <f>IFERROR(__xludf.DUMMYFUNCTION("""COMPUTED_VALUE"""),"可")</f>
        <v>可</v>
      </c>
      <c r="Q4594" s="30"/>
      <c r="R4594" s="22" t="str">
        <f>IFERROR(__xludf.DUMMYFUNCTION("""COMPUTED_VALUE"""),"コミットOK")</f>
        <v>コミットOK</v>
      </c>
      <c r="S4594" s="22" t="str">
        <f>IFERROR(__xludf.DUMMYFUNCTION("""COMPUTED_VALUE"""),"20260122_DPNブックス_落ちこぼれ王女、誤召喚された妖狐様に琥珀色の寵愛を受ける")</f>
        <v>20260122_DPNブックス_落ちこぼれ王女、誤召喚された妖狐様に琥珀色の寵愛を受ける</v>
      </c>
      <c r="T4594" s="22" t="str">
        <f>IFERROR(__xludf.DUMMYFUNCTION("""COMPUTED_VALUE"""),"格納済み")</f>
        <v>格納済み</v>
      </c>
      <c r="U4594" s="9" t="str">
        <f>IFERROR(__xludf.DUMMYFUNCTION("""COMPUTED_VALUE"""),"Ⓒヨシノ／DPNブックス")</f>
        <v>Ⓒヨシノ／DPNブックス</v>
      </c>
      <c r="V4594" s="8"/>
      <c r="W4594" s="8"/>
      <c r="X4594" s="8" t="str">
        <f>IFERROR(__xludf.DUMMYFUNCTION("""COMPUTED_VALUE"""),"有")</f>
        <v>有</v>
      </c>
      <c r="Y4594" s="8" t="str">
        <f>IFERROR(__xludf.DUMMYFUNCTION("""COMPUTED_VALUE"""),"P4まで")</f>
        <v>P4まで</v>
      </c>
      <c r="Z4594" s="7"/>
      <c r="AA4594" s="7"/>
      <c r="AB4594" s="7"/>
    </row>
    <row r="4595" ht="15.75" customHeight="1">
      <c r="A4595" s="26">
        <f>IFERROR(__xludf.DUMMYFUNCTION("""COMPUTED_VALUE"""),7062.0)</f>
        <v>7062</v>
      </c>
      <c r="B4595" s="22" t="str">
        <f>IFERROR(__xludf.DUMMYFUNCTION("""COMPUTED_VALUE"""),"確定")</f>
        <v>確定</v>
      </c>
      <c r="C4595" s="28">
        <f>IFERROR(__xludf.DUMMYFUNCTION("""COMPUTED_VALUE"""),46006.0)</f>
        <v>46006</v>
      </c>
      <c r="D4595" s="28">
        <f>IFERROR(__xludf.DUMMYFUNCTION("""COMPUTED_VALUE"""),46043.0)</f>
        <v>46043</v>
      </c>
      <c r="E4595" s="26">
        <f>IFERROR(__xludf.DUMMYFUNCTION("""COMPUTED_VALUE"""),349119.0)</f>
        <v>349119</v>
      </c>
      <c r="F4595" s="22" t="str">
        <f>IFERROR(__xludf.DUMMYFUNCTION("""COMPUTED_VALUE"""),"夜坂アルマは支配したい")</f>
        <v>夜坂アルマは支配したい</v>
      </c>
      <c r="G4595" s="20" t="str">
        <f>IFERROR(__xludf.DUMMYFUNCTION("""COMPUTED_VALUE"""),"1～6")</f>
        <v>1～6</v>
      </c>
      <c r="H4595" s="22" t="str">
        <f>IFERROR(__xludf.DUMMYFUNCTION("""COMPUTED_VALUE"""),"風呂淵シキ┴ヤングアンブル編集部")</f>
        <v>風呂淵シキ┴ヤングアンブル編集部</v>
      </c>
      <c r="I4595" s="22" t="str">
        <f>IFERROR(__xludf.DUMMYFUNCTION("""COMPUTED_VALUE"""),"青年")</f>
        <v>青年</v>
      </c>
      <c r="J4595" s="22"/>
      <c r="K4595" s="22" t="str">
        <f>IFERROR(__xludf.DUMMYFUNCTION("""COMPUTED_VALUE"""),"COMICアンブル")</f>
        <v>COMICアンブル</v>
      </c>
      <c r="L4595" s="22" t="str">
        <f>IFERROR(__xludf.DUMMYFUNCTION("""COMPUTED_VALUE"""),"ライブコミックス")</f>
        <v>ライブコミックス</v>
      </c>
      <c r="M4595" s="33">
        <f>IFERROR(__xludf.DUMMYFUNCTION("""COMPUTED_VALUE"""),46080.0)</f>
        <v>46080</v>
      </c>
      <c r="N4595" s="33">
        <f>IFERROR(__xludf.DUMMYFUNCTION("""COMPUTED_VALUE"""),46135.0)</f>
        <v>46135</v>
      </c>
      <c r="O4595" s="20"/>
      <c r="P4595" s="32" t="str">
        <f>IFERROR(__xludf.DUMMYFUNCTION("""COMPUTED_VALUE"""),"可")</f>
        <v>可</v>
      </c>
      <c r="Q4595" s="30"/>
      <c r="R4595" s="22" t="str">
        <f>IFERROR(__xludf.DUMMYFUNCTION("""COMPUTED_VALUE"""),"コミットOK")</f>
        <v>コミットOK</v>
      </c>
      <c r="S4595" s="22" t="str">
        <f>IFERROR(__xludf.DUMMYFUNCTION("""COMPUTED_VALUE"""),"20260121_BookLive_夜坂アルマは支配したい")</f>
        <v>20260121_BookLive_夜坂アルマは支配したい</v>
      </c>
      <c r="T4595" s="22" t="str">
        <f>IFERROR(__xludf.DUMMYFUNCTION("""COMPUTED_VALUE"""),"格納済み")</f>
        <v>格納済み</v>
      </c>
      <c r="U4595" s="9" t="str">
        <f>IFERROR(__xludf.DUMMYFUNCTION("""COMPUTED_VALUE"""),"(C)風呂淵シキ/ライブコミックス")</f>
        <v>(C)風呂淵シキ/ライブコミックス</v>
      </c>
      <c r="V4595" s="8"/>
      <c r="W4595" s="8"/>
      <c r="X4595" s="8" t="str">
        <f>IFERROR(__xludf.DUMMYFUNCTION("""COMPUTED_VALUE"""),"有")</f>
        <v>有</v>
      </c>
      <c r="Y4595" s="8" t="str">
        <f>IFERROR(__xludf.DUMMYFUNCTION("""COMPUTED_VALUE"""),"P16まで")</f>
        <v>P16まで</v>
      </c>
      <c r="Z4595" s="7"/>
      <c r="AA4595" s="7"/>
      <c r="AB4595" s="7"/>
    </row>
    <row r="4596" ht="15.75" customHeight="1">
      <c r="A4596" s="26">
        <f>IFERROR(__xludf.DUMMYFUNCTION("""COMPUTED_VALUE"""),7080.0)</f>
        <v>7080</v>
      </c>
      <c r="B4596" s="22" t="str">
        <f>IFERROR(__xludf.DUMMYFUNCTION("""COMPUTED_VALUE"""),"確定")</f>
        <v>確定</v>
      </c>
      <c r="C4596" s="28">
        <f>IFERROR(__xludf.DUMMYFUNCTION("""COMPUTED_VALUE"""),46008.0)</f>
        <v>46008</v>
      </c>
      <c r="D4596" s="28">
        <f>IFERROR(__xludf.DUMMYFUNCTION("""COMPUTED_VALUE"""),46044.0)</f>
        <v>46044</v>
      </c>
      <c r="E4596" s="26">
        <f>IFERROR(__xludf.DUMMYFUNCTION("""COMPUTED_VALUE"""),351213.0)</f>
        <v>351213</v>
      </c>
      <c r="F4596" s="22" t="str">
        <f>IFERROR(__xludf.DUMMYFUNCTION("""COMPUTED_VALUE"""),"祈られすぎた氷河期世代は軍神に転生し復讐の刃を振り下ろす")</f>
        <v>祈られすぎた氷河期世代は軍神に転生し復讐の刃を振り下ろす</v>
      </c>
      <c r="G4596" s="20" t="str">
        <f>IFERROR(__xludf.DUMMYFUNCTION("""COMPUTED_VALUE"""),"1～3")</f>
        <v>1～3</v>
      </c>
      <c r="H4596" s="22" t="str">
        <f>IFERROR(__xludf.DUMMYFUNCTION("""COMPUTED_VALUE"""),"漫画：群馬くん、原作：柿栗桃")</f>
        <v>漫画：群馬くん、原作：柿栗桃</v>
      </c>
      <c r="I4596" s="22" t="str">
        <f>IFERROR(__xludf.DUMMYFUNCTION("""COMPUTED_VALUE"""),"青年")</f>
        <v>青年</v>
      </c>
      <c r="J4596" s="22"/>
      <c r="K4596" s="22"/>
      <c r="L4596" s="22" t="str">
        <f>IFERROR(__xludf.DUMMYFUNCTION("""COMPUTED_VALUE"""),"JTBパブリッシング")</f>
        <v>JTBパブリッシング</v>
      </c>
      <c r="M4596" s="33">
        <f>IFERROR(__xludf.DUMMYFUNCTION("""COMPUTED_VALUE"""),46099.0)</f>
        <v>46099</v>
      </c>
      <c r="N4596" s="33">
        <f>IFERROR(__xludf.DUMMYFUNCTION("""COMPUTED_VALUE"""),46190.0)</f>
        <v>46190</v>
      </c>
      <c r="O4596" s="20"/>
      <c r="P4596" s="32" t="str">
        <f>IFERROR(__xludf.DUMMYFUNCTION("""COMPUTED_VALUE"""),"可")</f>
        <v>可</v>
      </c>
      <c r="Q4596" s="30"/>
      <c r="R4596" s="22" t="str">
        <f>IFERROR(__xludf.DUMMYFUNCTION("""COMPUTED_VALUE"""),"コミットOK")</f>
        <v>コミットOK</v>
      </c>
      <c r="S4596" s="22" t="str">
        <f>IFERROR(__xludf.DUMMYFUNCTION("""COMPUTED_VALUE"""),"20260120_JTBパブリッシング_祈られすぎた氷河期世代は軍神に転生し復讐の刃を振り下ろす")</f>
        <v>20260120_JTBパブリッシング_祈られすぎた氷河期世代は軍神に転生し復讐の刃を振り下ろす</v>
      </c>
      <c r="T4596" s="22" t="str">
        <f>IFERROR(__xludf.DUMMYFUNCTION("""COMPUTED_VALUE"""),"格納済み")</f>
        <v>格納済み</v>
      </c>
      <c r="U4596" s="9" t="str">
        <f>IFERROR(__xludf.DUMMYFUNCTION("""COMPUTED_VALUE"""),"Ⓒ漫画：群馬くん/原作：柿栗桃")</f>
        <v>Ⓒ漫画：群馬くん/原作：柿栗桃</v>
      </c>
      <c r="V4596" s="8"/>
      <c r="W4596" s="8"/>
      <c r="X4596" s="8" t="str">
        <f>IFERROR(__xludf.DUMMYFUNCTION("""COMPUTED_VALUE"""),"有")</f>
        <v>有</v>
      </c>
      <c r="Y4596" s="8" t="str">
        <f>IFERROR(__xludf.DUMMYFUNCTION("""COMPUTED_VALUE"""),"1巻無料")</f>
        <v>1巻無料</v>
      </c>
      <c r="Z4596" s="7"/>
      <c r="AA4596" s="7"/>
      <c r="AB4596" s="7"/>
    </row>
    <row r="4597" ht="15.75" customHeight="1">
      <c r="A4597" s="26">
        <f>IFERROR(__xludf.DUMMYFUNCTION("""COMPUTED_VALUE"""),7095.0)</f>
        <v>7095</v>
      </c>
      <c r="B4597" s="22" t="str">
        <f>IFERROR(__xludf.DUMMYFUNCTION("""COMPUTED_VALUE"""),"確定")</f>
        <v>確定</v>
      </c>
      <c r="C4597" s="28">
        <f>IFERROR(__xludf.DUMMYFUNCTION("""COMPUTED_VALUE"""),46014.0)</f>
        <v>46014</v>
      </c>
      <c r="D4597" s="28">
        <f>IFERROR(__xludf.DUMMYFUNCTION("""COMPUTED_VALUE"""),46049.0)</f>
        <v>46049</v>
      </c>
      <c r="E4597" s="26">
        <f>IFERROR(__xludf.DUMMYFUNCTION("""COMPUTED_VALUE"""),350959.0)</f>
        <v>350959</v>
      </c>
      <c r="F4597" s="22" t="str">
        <f>IFERROR(__xludf.DUMMYFUNCTION("""COMPUTED_VALUE"""),"【ラブフリック】執縁の龍神と契り愛ー偽り巫女はすべてを暴かれ吸い尽くされるー")</f>
        <v>【ラブフリック】執縁の龍神と契り愛ー偽り巫女はすべてを暴かれ吸い尽くされるー</v>
      </c>
      <c r="G4597" s="20" t="str">
        <f>IFERROR(__xludf.DUMMYFUNCTION("""COMPUTED_VALUE"""),"1～2")</f>
        <v>1～2</v>
      </c>
      <c r="H4597" s="22" t="str">
        <f>IFERROR(__xludf.DUMMYFUNCTION("""COMPUTED_VALUE"""),"裏方")</f>
        <v>裏方</v>
      </c>
      <c r="I4597" s="22" t="str">
        <f>IFERROR(__xludf.DUMMYFUNCTION("""COMPUTED_VALUE"""),"TL")</f>
        <v>TL</v>
      </c>
      <c r="J4597" s="22"/>
      <c r="K4597" s="22" t="str">
        <f>IFERROR(__xludf.DUMMYFUNCTION("""COMPUTED_VALUE"""),"LOVE FLICK")</f>
        <v>LOVE FLICK</v>
      </c>
      <c r="L4597" s="22" t="str">
        <f>IFERROR(__xludf.DUMMYFUNCTION("""COMPUTED_VALUE"""),"CLLENN")</f>
        <v>CLLENN</v>
      </c>
      <c r="M4597" s="33">
        <f>IFERROR(__xludf.DUMMYFUNCTION("""COMPUTED_VALUE"""),46071.0)</f>
        <v>46071</v>
      </c>
      <c r="N4597" s="33">
        <f>IFERROR(__xludf.DUMMYFUNCTION("""COMPUTED_VALUE"""),46126.0)</f>
        <v>46126</v>
      </c>
      <c r="O4597" s="20"/>
      <c r="P4597" s="32" t="str">
        <f>IFERROR(__xludf.DUMMYFUNCTION("""COMPUTED_VALUE"""),"可")</f>
        <v>可</v>
      </c>
      <c r="Q4597" s="30" t="str">
        <f>IFERROR(__xludf.DUMMYFUNCTION("""COMPUTED_VALUE"""),"【アダルト作品扱い】")</f>
        <v>【アダルト作品扱い】</v>
      </c>
      <c r="R4597" s="22" t="str">
        <f>IFERROR(__xludf.DUMMYFUNCTION("""COMPUTED_VALUE"""),"コミットOK")</f>
        <v>コミットOK</v>
      </c>
      <c r="S4597" s="22" t="str">
        <f>IFERROR(__xludf.DUMMYFUNCTION("""COMPUTED_VALUE"""),"20260127_CLLENN_【ラブフリック】執縁の龍神と契り愛ー偽り巫女はすべてを暴かれ吸い尽くされるー")</f>
        <v>20260127_CLLENN_【ラブフリック】執縁の龍神と契り愛ー偽り巫女はすべてを暴かれ吸い尽くされるー</v>
      </c>
      <c r="T4597" s="22" t="str">
        <f>IFERROR(__xludf.DUMMYFUNCTION("""COMPUTED_VALUE"""),"格納済み")</f>
        <v>格納済み</v>
      </c>
      <c r="U4597" s="9" t="str">
        <f>IFERROR(__xludf.DUMMYFUNCTION("""COMPUTED_VALUE"""),"Ⓒ裏方/CLLENN")</f>
        <v>Ⓒ裏方/CLLENN</v>
      </c>
      <c r="V4597" s="8"/>
      <c r="W4597" s="8"/>
      <c r="X4597" s="8" t="str">
        <f>IFERROR(__xludf.DUMMYFUNCTION("""COMPUTED_VALUE"""),"有")</f>
        <v>有</v>
      </c>
      <c r="Y4597" s="8" t="str">
        <f>IFERROR(__xludf.DUMMYFUNCTION("""COMPUTED_VALUE"""),"2026/3/3まで1巻立ち読み増量（P18）")</f>
        <v>2026/3/3まで1巻立ち読み増量（P18）</v>
      </c>
      <c r="Z4597" s="7"/>
      <c r="AA4597" s="7"/>
      <c r="AB4597" s="7"/>
    </row>
    <row r="4598" ht="15.75" customHeight="1">
      <c r="A4598" s="26">
        <f>IFERROR(__xludf.DUMMYFUNCTION("""COMPUTED_VALUE"""),7107.0)</f>
        <v>7107</v>
      </c>
      <c r="B4598" s="22" t="str">
        <f>IFERROR(__xludf.DUMMYFUNCTION("""COMPUTED_VALUE"""),"確定")</f>
        <v>確定</v>
      </c>
      <c r="C4598" s="28">
        <f>IFERROR(__xludf.DUMMYFUNCTION("""COMPUTED_VALUE"""),46014.0)</f>
        <v>46014</v>
      </c>
      <c r="D4598" s="28">
        <f>IFERROR(__xludf.DUMMYFUNCTION("""COMPUTED_VALUE"""),46045.0)</f>
        <v>46045</v>
      </c>
      <c r="E4598" s="26">
        <f>IFERROR(__xludf.DUMMYFUNCTION("""COMPUTED_VALUE"""),350703.0)</f>
        <v>350703</v>
      </c>
      <c r="F4598" s="22" t="str">
        <f>IFERROR(__xludf.DUMMYFUNCTION("""COMPUTED_VALUE"""),"黒猫クロくんの恩返しは不器用で不埒《Lovelicot》")</f>
        <v>黒猫クロくんの恩返しは不器用で不埒《Lovelicot》</v>
      </c>
      <c r="G4598" s="20" t="str">
        <f>IFERROR(__xludf.DUMMYFUNCTION("""COMPUTED_VALUE"""),"1～6")</f>
        <v>1～6</v>
      </c>
      <c r="H4598" s="22" t="str">
        <f>IFERROR(__xludf.DUMMYFUNCTION("""COMPUTED_VALUE"""),"丹下")</f>
        <v>丹下</v>
      </c>
      <c r="I4598" s="22" t="str">
        <f>IFERROR(__xludf.DUMMYFUNCTION("""COMPUTED_VALUE"""),"TL")</f>
        <v>TL</v>
      </c>
      <c r="J4598" s="22"/>
      <c r="K4598" s="22" t="str">
        <f>IFERROR(__xludf.DUMMYFUNCTION("""COMPUTED_VALUE"""),"Lovelicot")</f>
        <v>Lovelicot</v>
      </c>
      <c r="L4598" s="22" t="str">
        <f>IFERROR(__xludf.DUMMYFUNCTION("""COMPUTED_VALUE"""),"ガールスカウトコミックス")</f>
        <v>ガールスカウトコミックス</v>
      </c>
      <c r="M4598" s="33">
        <f>IFERROR(__xludf.DUMMYFUNCTION("""COMPUTED_VALUE"""),46089.0)</f>
        <v>46089</v>
      </c>
      <c r="N4598" s="33">
        <f>IFERROR(__xludf.DUMMYFUNCTION("""COMPUTED_VALUE"""),46180.0)</f>
        <v>46180</v>
      </c>
      <c r="O4598" s="20"/>
      <c r="P4598" s="32" t="str">
        <f>IFERROR(__xludf.DUMMYFUNCTION("""COMPUTED_VALUE"""),"可")</f>
        <v>可</v>
      </c>
      <c r="Q4598" s="30"/>
      <c r="R4598" s="22" t="str">
        <f>IFERROR(__xludf.DUMMYFUNCTION("""COMPUTED_VALUE"""),"コミットNG")</f>
        <v>コミットNG</v>
      </c>
      <c r="S4598" s="22" t="str">
        <f>IFERROR(__xludf.DUMMYFUNCTION("""COMPUTED_VALUE"""),"20260121_ガールスカウトコミックス_黒猫クロくんの恩返しは不器用で不埒")</f>
        <v>20260121_ガールスカウトコミックス_黒猫クロくんの恩返しは不器用で不埒</v>
      </c>
      <c r="T4598" s="22" t="str">
        <f>IFERROR(__xludf.DUMMYFUNCTION("""COMPUTED_VALUE"""),"格納済み")</f>
        <v>格納済み</v>
      </c>
      <c r="U4598" s="9" t="str">
        <f>IFERROR(__xludf.DUMMYFUNCTION("""COMPUTED_VALUE"""),"(C)丹下／ガールスカウトコミックス")</f>
        <v>(C)丹下／ガールスカウトコミックス</v>
      </c>
      <c r="V4598" s="8"/>
      <c r="W4598" s="8"/>
      <c r="X4598" s="8" t="str">
        <f>IFERROR(__xludf.DUMMYFUNCTION("""COMPUTED_VALUE"""),"有")</f>
        <v>有</v>
      </c>
      <c r="Y4598" s="8" t="str">
        <f>IFERROR(__xludf.DUMMYFUNCTION("""COMPUTED_VALUE"""),"2026/6/7まで1~2巻無料")</f>
        <v>2026/6/7まで1~2巻無料</v>
      </c>
      <c r="Z4598" s="7"/>
      <c r="AA4598" s="7"/>
      <c r="AB4598" s="7"/>
    </row>
    <row r="4599" ht="15.75" customHeight="1">
      <c r="A4599" s="26">
        <f>IFERROR(__xludf.DUMMYFUNCTION("""COMPUTED_VALUE"""),7108.0)</f>
        <v>7108</v>
      </c>
      <c r="B4599" s="22" t="str">
        <f>IFERROR(__xludf.DUMMYFUNCTION("""COMPUTED_VALUE"""),"確定")</f>
        <v>確定</v>
      </c>
      <c r="C4599" s="28">
        <f>IFERROR(__xludf.DUMMYFUNCTION("""COMPUTED_VALUE"""),46014.0)</f>
        <v>46014</v>
      </c>
      <c r="D4599" s="28">
        <f>IFERROR(__xludf.DUMMYFUNCTION("""COMPUTED_VALUE"""),46044.0)</f>
        <v>46044</v>
      </c>
      <c r="E4599" s="26">
        <f>IFERROR(__xludf.DUMMYFUNCTION("""COMPUTED_VALUE"""),350704.0)</f>
        <v>350704</v>
      </c>
      <c r="F4599" s="22" t="str">
        <f>IFERROR(__xludf.DUMMYFUNCTION("""COMPUTED_VALUE"""),"【R版】黒猫クロくんの恩返しは不器用で不埒《Lovelicot》")</f>
        <v>【R版】黒猫クロくんの恩返しは不器用で不埒《Lovelicot》</v>
      </c>
      <c r="G4599" s="20" t="str">
        <f>IFERROR(__xludf.DUMMYFUNCTION("""COMPUTED_VALUE"""),"1～6")</f>
        <v>1～6</v>
      </c>
      <c r="H4599" s="22" t="str">
        <f>IFERROR(__xludf.DUMMYFUNCTION("""COMPUTED_VALUE"""),"丹下")</f>
        <v>丹下</v>
      </c>
      <c r="I4599" s="22" t="str">
        <f>IFERROR(__xludf.DUMMYFUNCTION("""COMPUTED_VALUE"""),"アダルト")</f>
        <v>アダルト</v>
      </c>
      <c r="J4599" s="22"/>
      <c r="K4599" s="22" t="str">
        <f>IFERROR(__xludf.DUMMYFUNCTION("""COMPUTED_VALUE"""),"Lovelicot")</f>
        <v>Lovelicot</v>
      </c>
      <c r="L4599" s="22" t="str">
        <f>IFERROR(__xludf.DUMMYFUNCTION("""COMPUTED_VALUE"""),"ガールスカウトコミックス")</f>
        <v>ガールスカウトコミックス</v>
      </c>
      <c r="M4599" s="33">
        <f>IFERROR(__xludf.DUMMYFUNCTION("""COMPUTED_VALUE"""),46089.0)</f>
        <v>46089</v>
      </c>
      <c r="N4599" s="33">
        <f>IFERROR(__xludf.DUMMYFUNCTION("""COMPUTED_VALUE"""),46180.0)</f>
        <v>46180</v>
      </c>
      <c r="O4599" s="20"/>
      <c r="P4599" s="32" t="str">
        <f>IFERROR(__xludf.DUMMYFUNCTION("""COMPUTED_VALUE"""),"可")</f>
        <v>可</v>
      </c>
      <c r="Q4599" s="30"/>
      <c r="R4599" s="22" t="str">
        <f>IFERROR(__xludf.DUMMYFUNCTION("""COMPUTED_VALUE"""),"コミットOK")</f>
        <v>コミットOK</v>
      </c>
      <c r="S4599" s="22" t="str">
        <f>IFERROR(__xludf.DUMMYFUNCTION("""COMPUTED_VALUE"""),"20260121_ガールスカウトコミックス_【R版】黒猫クロくんの恩返しは不器用で不埒")</f>
        <v>20260121_ガールスカウトコミックス_【R版】黒猫クロくんの恩返しは不器用で不埒</v>
      </c>
      <c r="T4599" s="22" t="str">
        <f>IFERROR(__xludf.DUMMYFUNCTION("""COMPUTED_VALUE"""),"格納済み")</f>
        <v>格納済み</v>
      </c>
      <c r="U4599" s="9" t="str">
        <f>IFERROR(__xludf.DUMMYFUNCTION("""COMPUTED_VALUE"""),"(C)丹下／ガールスカウトコミックス")</f>
        <v>(C)丹下／ガールスカウトコミックス</v>
      </c>
      <c r="V4599" s="8"/>
      <c r="W4599" s="8"/>
      <c r="X4599" s="8" t="str">
        <f>IFERROR(__xludf.DUMMYFUNCTION("""COMPUTED_VALUE"""),"有")</f>
        <v>有</v>
      </c>
      <c r="Y4599" s="8" t="str">
        <f>IFERROR(__xludf.DUMMYFUNCTION("""COMPUTED_VALUE"""),"2026/6/7まで1~2巻無料")</f>
        <v>2026/6/7まで1~2巻無料</v>
      </c>
      <c r="Z4599" s="7"/>
      <c r="AA4599" s="7"/>
      <c r="AB4599" s="7"/>
    </row>
    <row r="4600" ht="15.75" customHeight="1">
      <c r="A4600" s="26">
        <f>IFERROR(__xludf.DUMMYFUNCTION("""COMPUTED_VALUE"""),7109.0)</f>
        <v>7109</v>
      </c>
      <c r="B4600" s="22" t="str">
        <f>IFERROR(__xludf.DUMMYFUNCTION("""COMPUTED_VALUE"""),"確定")</f>
        <v>確定</v>
      </c>
      <c r="C4600" s="28">
        <f>IFERROR(__xludf.DUMMYFUNCTION("""COMPUTED_VALUE"""),46014.0)</f>
        <v>46014</v>
      </c>
      <c r="D4600" s="28">
        <f>IFERROR(__xludf.DUMMYFUNCTION("""COMPUTED_VALUE"""),46045.0)</f>
        <v>46045</v>
      </c>
      <c r="E4600" s="26">
        <f>IFERROR(__xludf.DUMMYFUNCTION("""COMPUTED_VALUE"""),350845.0)</f>
        <v>350845</v>
      </c>
      <c r="F4600" s="22" t="str">
        <f>IFERROR(__xludf.DUMMYFUNCTION("""COMPUTED_VALUE"""),"ヤンデレくんは隠れ野獣～奥に挿入（はい）れるのは俺だけだよね？～【単話版】")</f>
        <v>ヤンデレくんは隠れ野獣～奥に挿入（はい）れるのは俺だけだよね？～【単話版】</v>
      </c>
      <c r="G4600" s="20" t="str">
        <f>IFERROR(__xludf.DUMMYFUNCTION("""COMPUTED_VALUE"""),"1～5")</f>
        <v>1～5</v>
      </c>
      <c r="H4600" s="22" t="str">
        <f>IFERROR(__xludf.DUMMYFUNCTION("""COMPUTED_VALUE"""),"森乃あち")</f>
        <v>森乃あち</v>
      </c>
      <c r="I4600" s="22" t="str">
        <f>IFERROR(__xludf.DUMMYFUNCTION("""COMPUTED_VALUE"""),"TL")</f>
        <v>TL</v>
      </c>
      <c r="J4600" s="22"/>
      <c r="K4600" s="22"/>
      <c r="L4600" s="22" t="str">
        <f>IFERROR(__xludf.DUMMYFUNCTION("""COMPUTED_VALUE"""),"デジタルカタパルト（デジカタ編集部）")</f>
        <v>デジタルカタパルト（デジカタ編集部）</v>
      </c>
      <c r="M4600" s="33">
        <f>IFERROR(__xludf.DUMMYFUNCTION("""COMPUTED_VALUE"""),46073.0)</f>
        <v>46073</v>
      </c>
      <c r="N4600" s="33">
        <f>IFERROR(__xludf.DUMMYFUNCTION("""COMPUTED_VALUE"""),46163.0)</f>
        <v>46163</v>
      </c>
      <c r="O4600" s="20"/>
      <c r="P4600" s="32" t="str">
        <f>IFERROR(__xludf.DUMMYFUNCTION("""COMPUTED_VALUE"""),"可")</f>
        <v>可</v>
      </c>
      <c r="Q4600" s="30" t="str">
        <f>IFERROR(__xludf.DUMMYFUNCTION("""COMPUTED_VALUE"""),"【アダルト作品扱い】")</f>
        <v>【アダルト作品扱い】</v>
      </c>
      <c r="R4600" s="22" t="str">
        <f>IFERROR(__xludf.DUMMYFUNCTION("""COMPUTED_VALUE"""),"コミットOK")</f>
        <v>コミットOK</v>
      </c>
      <c r="S4600" s="22" t="str">
        <f>IFERROR(__xludf.DUMMYFUNCTION("""COMPUTED_VALUE"""),"20260122_デジカタ編集部_ヤンデレくんは隠れ野獣～奥に挿入（はい）れるのは俺だけだよね？～")</f>
        <v>20260122_デジカタ編集部_ヤンデレくんは隠れ野獣～奥に挿入（はい）れるのは俺だけだよね？～</v>
      </c>
      <c r="T4600" s="22" t="str">
        <f>IFERROR(__xludf.DUMMYFUNCTION("""COMPUTED_VALUE"""),"格納済み")</f>
        <v>格納済み</v>
      </c>
      <c r="U4600" s="9" t="str">
        <f>IFERROR(__xludf.DUMMYFUNCTION("""COMPUTED_VALUE"""),"Ⓒ森乃あち/デジカタ編集部")</f>
        <v>Ⓒ森乃あち/デジカタ編集部</v>
      </c>
      <c r="V4600" s="8"/>
      <c r="W4600" s="8"/>
      <c r="X4600" s="8" t="str">
        <f>IFERROR(__xludf.DUMMYFUNCTION("""COMPUTED_VALUE"""),"有")</f>
        <v>有</v>
      </c>
      <c r="Y4600" s="8" t="str">
        <f>IFERROR(__xludf.DUMMYFUNCTION("""COMPUTED_VALUE"""),"2026/5/21まで1巻無料")</f>
        <v>2026/5/21まで1巻無料</v>
      </c>
      <c r="Z4600" s="7"/>
      <c r="AA4600" s="7"/>
      <c r="AB4600" s="7"/>
    </row>
    <row r="4601" ht="15.75" customHeight="1">
      <c r="A4601" s="26">
        <f>IFERROR(__xludf.DUMMYFUNCTION("""COMPUTED_VALUE"""),7112.0)</f>
        <v>7112</v>
      </c>
      <c r="B4601" s="22" t="str">
        <f>IFERROR(__xludf.DUMMYFUNCTION("""COMPUTED_VALUE"""),"確定")</f>
        <v>確定</v>
      </c>
      <c r="C4601" s="28">
        <f>IFERROR(__xludf.DUMMYFUNCTION("""COMPUTED_VALUE"""),46015.0)</f>
        <v>46015</v>
      </c>
      <c r="D4601" s="28">
        <f>IFERROR(__xludf.DUMMYFUNCTION("""COMPUTED_VALUE"""),46044.0)</f>
        <v>46044</v>
      </c>
      <c r="E4601" s="26">
        <f>IFERROR(__xludf.DUMMYFUNCTION("""COMPUTED_VALUE"""),351428.0)</f>
        <v>351428</v>
      </c>
      <c r="F4601" s="22" t="str">
        <f>IFERROR(__xludf.DUMMYFUNCTION("""COMPUTED_VALUE"""),"10年越しの再会は黒薔薇の花束とともに")</f>
        <v>10年越しの再会は黒薔薇の花束とともに</v>
      </c>
      <c r="G4601" s="20" t="str">
        <f>IFERROR(__xludf.DUMMYFUNCTION("""COMPUTED_VALUE"""),"1～2")</f>
        <v>1～2</v>
      </c>
      <c r="H4601" s="22" t="str">
        <f>IFERROR(__xludf.DUMMYFUNCTION("""COMPUTED_VALUE"""),"百埜コト")</f>
        <v>百埜コト</v>
      </c>
      <c r="I4601" s="22" t="str">
        <f>IFERROR(__xludf.DUMMYFUNCTION("""COMPUTED_VALUE"""),"女性")</f>
        <v>女性</v>
      </c>
      <c r="J4601" s="22"/>
      <c r="K4601" s="22"/>
      <c r="L4601" s="22" t="str">
        <f>IFERROR(__xludf.DUMMYFUNCTION("""COMPUTED_VALUE"""),"DPNブックス")</f>
        <v>DPNブックス</v>
      </c>
      <c r="M4601" s="33">
        <f>IFERROR(__xludf.DUMMYFUNCTION("""COMPUTED_VALUE"""),46075.0)</f>
        <v>46075</v>
      </c>
      <c r="N4601" s="33">
        <f>IFERROR(__xludf.DUMMYFUNCTION("""COMPUTED_VALUE"""),46102.0)</f>
        <v>46102</v>
      </c>
      <c r="O4601" s="20"/>
      <c r="P4601" s="32" t="str">
        <f>IFERROR(__xludf.DUMMYFUNCTION("""COMPUTED_VALUE"""),"可")</f>
        <v>可</v>
      </c>
      <c r="Q4601" s="30"/>
      <c r="R4601" s="22" t="str">
        <f>IFERROR(__xludf.DUMMYFUNCTION("""COMPUTED_VALUE"""),"コミットOK")</f>
        <v>コミットOK</v>
      </c>
      <c r="S4601" s="22" t="str">
        <f>IFERROR(__xludf.DUMMYFUNCTION("""COMPUTED_VALUE"""),"20260122_DPNブックス_ 10年越しの再会は黒薔薇の花束とともに")</f>
        <v>20260122_DPNブックス_ 10年越しの再会は黒薔薇の花束とともに</v>
      </c>
      <c r="T4601" s="22" t="str">
        <f>IFERROR(__xludf.DUMMYFUNCTION("""COMPUTED_VALUE"""),"格納済み")</f>
        <v>格納済み</v>
      </c>
      <c r="U4601" s="9" t="str">
        <f>IFERROR(__xludf.DUMMYFUNCTION("""COMPUTED_VALUE"""),"(C)百埜コト／DPNブックス")</f>
        <v>(C)百埜コト／DPNブックス</v>
      </c>
      <c r="V4601" s="8"/>
      <c r="W4601" s="8"/>
      <c r="X4601" s="8" t="str">
        <f>IFERROR(__xludf.DUMMYFUNCTION("""COMPUTED_VALUE"""),"有")</f>
        <v>有</v>
      </c>
      <c r="Y4601" s="8" t="str">
        <f>IFERROR(__xludf.DUMMYFUNCTION("""COMPUTED_VALUE"""),"2026/3/21まで1巻無料")</f>
        <v>2026/3/21まで1巻無料</v>
      </c>
      <c r="Z4601" s="7"/>
      <c r="AA4601" s="7"/>
      <c r="AB4601" s="7"/>
    </row>
    <row r="4602" ht="15.75" customHeight="1">
      <c r="A4602" s="26">
        <f>IFERROR(__xludf.DUMMYFUNCTION("""COMPUTED_VALUE"""),7147.0)</f>
        <v>7147</v>
      </c>
      <c r="B4602" s="22" t="str">
        <f>IFERROR(__xludf.DUMMYFUNCTION("""COMPUTED_VALUE"""),"確定")</f>
        <v>確定</v>
      </c>
      <c r="C4602" s="28">
        <f>IFERROR(__xludf.DUMMYFUNCTION("""COMPUTED_VALUE"""),46017.0)</f>
        <v>46017</v>
      </c>
      <c r="D4602" s="28">
        <f>IFERROR(__xludf.DUMMYFUNCTION("""COMPUTED_VALUE"""),46043.0)</f>
        <v>46043</v>
      </c>
      <c r="E4602" s="26">
        <f>IFERROR(__xludf.DUMMYFUNCTION("""COMPUTED_VALUE"""),350615.0)</f>
        <v>350615</v>
      </c>
      <c r="F4602" s="22" t="str">
        <f>IFERROR(__xludf.DUMMYFUNCTION("""COMPUTED_VALUE"""),"ソロ女子ですが冷徹上司から溺愛フラグが立っています…!?（分冊版）")</f>
        <v>ソロ女子ですが冷徹上司から溺愛フラグが立っています…!?（分冊版）</v>
      </c>
      <c r="G4602" s="20" t="str">
        <f>IFERROR(__xludf.DUMMYFUNCTION("""COMPUTED_VALUE"""),"1～3")</f>
        <v>1～3</v>
      </c>
      <c r="H4602" s="22" t="str">
        <f>IFERROR(__xludf.DUMMYFUNCTION("""COMPUTED_VALUE"""),"宇賀ミユキ")</f>
        <v>宇賀ミユキ</v>
      </c>
      <c r="I4602" s="22" t="str">
        <f>IFERROR(__xludf.DUMMYFUNCTION("""COMPUTED_VALUE"""),"女性")</f>
        <v>女性</v>
      </c>
      <c r="J4602" s="22"/>
      <c r="K4602" s="22" t="str">
        <f>IFERROR(__xludf.DUMMYFUNCTION("""COMPUTED_VALUE"""),"よもんがクロメ")</f>
        <v>よもんがクロメ</v>
      </c>
      <c r="L4602" s="22" t="str">
        <f>IFERROR(__xludf.DUMMYFUNCTION("""COMPUTED_VALUE"""),"ぶんか社")</f>
        <v>ぶんか社</v>
      </c>
      <c r="M4602" s="33">
        <f>IFERROR(__xludf.DUMMYFUNCTION("""COMPUTED_VALUE"""),46079.0)</f>
        <v>46079</v>
      </c>
      <c r="N4602" s="33">
        <f>IFERROR(__xludf.DUMMYFUNCTION("""COMPUTED_VALUE"""),46134.0)</f>
        <v>46134</v>
      </c>
      <c r="O4602" s="20"/>
      <c r="P4602" s="32" t="str">
        <f>IFERROR(__xludf.DUMMYFUNCTION("""COMPUTED_VALUE"""),"可")</f>
        <v>可</v>
      </c>
      <c r="Q4602" s="30"/>
      <c r="R4602" s="22" t="str">
        <f>IFERROR(__xludf.DUMMYFUNCTION("""COMPUTED_VALUE"""),"コミットOK")</f>
        <v>コミットOK</v>
      </c>
      <c r="S4602" s="22" t="str">
        <f>IFERROR(__xludf.DUMMYFUNCTION("""COMPUTED_VALUE"""),"20260121_ぶんか社_ソロ女子ですが冷徹上司から溺愛フラグが立っています…⁉")</f>
        <v>20260121_ぶんか社_ソロ女子ですが冷徹上司から溺愛フラグが立っています…⁉</v>
      </c>
      <c r="T4602" s="22" t="str">
        <f>IFERROR(__xludf.DUMMYFUNCTION("""COMPUTED_VALUE"""),"格納済み")</f>
        <v>格納済み</v>
      </c>
      <c r="U4602" s="9" t="str">
        <f>IFERROR(__xludf.DUMMYFUNCTION("""COMPUTED_VALUE"""),"Ⓒ宇賀ミユキ/ぶんか社")</f>
        <v>Ⓒ宇賀ミユキ/ぶんか社</v>
      </c>
      <c r="V4602" s="8"/>
      <c r="W4602" s="8"/>
      <c r="X4602" s="8" t="str">
        <f>IFERROR(__xludf.DUMMYFUNCTION("""COMPUTED_VALUE"""),"有")</f>
        <v>有</v>
      </c>
      <c r="Y4602" s="8" t="str">
        <f>IFERROR(__xludf.DUMMYFUNCTION("""COMPUTED_VALUE"""),"2026/4/22まで1巻無料")</f>
        <v>2026/4/22まで1巻無料</v>
      </c>
      <c r="Z4602" s="7"/>
      <c r="AA4602" s="7"/>
      <c r="AB4602" s="7"/>
    </row>
    <row r="4603" ht="15.75" customHeight="1">
      <c r="A4603" s="26">
        <f>IFERROR(__xludf.DUMMYFUNCTION("""COMPUTED_VALUE"""),7152.0)</f>
        <v>7152</v>
      </c>
      <c r="B4603" s="22" t="str">
        <f>IFERROR(__xludf.DUMMYFUNCTION("""COMPUTED_VALUE"""),"確定")</f>
        <v>確定</v>
      </c>
      <c r="C4603" s="28">
        <f>IFERROR(__xludf.DUMMYFUNCTION("""COMPUTED_VALUE"""),46027.0)</f>
        <v>46027</v>
      </c>
      <c r="D4603" s="28">
        <f>IFERROR(__xludf.DUMMYFUNCTION("""COMPUTED_VALUE"""),46045.0)</f>
        <v>46045</v>
      </c>
      <c r="E4603" s="26">
        <f>IFERROR(__xludf.DUMMYFUNCTION("""COMPUTED_VALUE"""),351346.0)</f>
        <v>351346</v>
      </c>
      <c r="F4603" s="22" t="str">
        <f>IFERROR(__xludf.DUMMYFUNCTION("""COMPUTED_VALUE"""),"抱きたい女と抱かれたい男【単話】")</f>
        <v>抱きたい女と抱かれたい男【単話】</v>
      </c>
      <c r="G4603" s="20" t="str">
        <f>IFERROR(__xludf.DUMMYFUNCTION("""COMPUTED_VALUE"""),"1～3")</f>
        <v>1～3</v>
      </c>
      <c r="H4603" s="22" t="str">
        <f>IFERROR(__xludf.DUMMYFUNCTION("""COMPUTED_VALUE"""),"猫巳屋")</f>
        <v>猫巳屋</v>
      </c>
      <c r="I4603" s="22" t="str">
        <f>IFERROR(__xludf.DUMMYFUNCTION("""COMPUTED_VALUE"""),"女性")</f>
        <v>女性</v>
      </c>
      <c r="J4603" s="22"/>
      <c r="K4603" s="22" t="str">
        <f>IFERROR(__xludf.DUMMYFUNCTION("""COMPUTED_VALUE"""),"Melty Night")</f>
        <v>Melty Night</v>
      </c>
      <c r="L4603" s="22" t="str">
        <f>IFERROR(__xludf.DUMMYFUNCTION("""COMPUTED_VALUE"""),"朝日新聞出版")</f>
        <v>朝日新聞出版</v>
      </c>
      <c r="M4603" s="33">
        <f>IFERROR(__xludf.DUMMYFUNCTION("""COMPUTED_VALUE"""),46082.0)</f>
        <v>46082</v>
      </c>
      <c r="N4603" s="33">
        <f>IFERROR(__xludf.DUMMYFUNCTION("""COMPUTED_VALUE"""),46173.0)</f>
        <v>46173</v>
      </c>
      <c r="O4603" s="20"/>
      <c r="P4603" s="32" t="str">
        <f>IFERROR(__xludf.DUMMYFUNCTION("""COMPUTED_VALUE"""),"可")</f>
        <v>可</v>
      </c>
      <c r="Q4603" s="30"/>
      <c r="R4603" s="22" t="str">
        <f>IFERROR(__xludf.DUMMYFUNCTION("""COMPUTED_VALUE"""),"コミットNG")</f>
        <v>コミットNG</v>
      </c>
      <c r="S4603" s="22" t="str">
        <f>IFERROR(__xludf.DUMMYFUNCTION("""COMPUTED_VALUE"""),"20260123_朝日新聞出版_抱きたい女と抱かれたい男")</f>
        <v>20260123_朝日新聞出版_抱きたい女と抱かれたい男</v>
      </c>
      <c r="T4603" s="22" t="str">
        <f>IFERROR(__xludf.DUMMYFUNCTION("""COMPUTED_VALUE"""),"格納済み")</f>
        <v>格納済み</v>
      </c>
      <c r="U4603" s="9" t="str">
        <f>IFERROR(__xludf.DUMMYFUNCTION("""COMPUTED_VALUE"""),"(C) 猫巳屋／朝日新聞出版")</f>
        <v>(C) 猫巳屋／朝日新聞出版</v>
      </c>
      <c r="V4603" s="8"/>
      <c r="W4603" s="8"/>
      <c r="X4603" s="8" t="str">
        <f>IFERROR(__xludf.DUMMYFUNCTION("""COMPUTED_VALUE"""),"有")</f>
        <v>有</v>
      </c>
      <c r="Y4603" s="8" t="str">
        <f>IFERROR(__xludf.DUMMYFUNCTION("""COMPUTED_VALUE"""),"P3まで")</f>
        <v>P3まで</v>
      </c>
      <c r="Z4603" s="7"/>
      <c r="AA4603" s="7"/>
      <c r="AB4603" s="7"/>
    </row>
    <row r="4604" ht="15.75" customHeight="1">
      <c r="A4604" s="26">
        <f>IFERROR(__xludf.DUMMYFUNCTION("""COMPUTED_VALUE"""),7169.0)</f>
        <v>7169</v>
      </c>
      <c r="B4604" s="22" t="str">
        <f>IFERROR(__xludf.DUMMYFUNCTION("""COMPUTED_VALUE"""),"確定")</f>
        <v>確定</v>
      </c>
      <c r="C4604" s="28">
        <f>IFERROR(__xludf.DUMMYFUNCTION("""COMPUTED_VALUE"""),46030.0)</f>
        <v>46030</v>
      </c>
      <c r="D4604" s="28">
        <f>IFERROR(__xludf.DUMMYFUNCTION("""COMPUTED_VALUE"""),46048.0)</f>
        <v>46048</v>
      </c>
      <c r="E4604" s="26">
        <f>IFERROR(__xludf.DUMMYFUNCTION("""COMPUTED_VALUE"""),351254.0)</f>
        <v>351254</v>
      </c>
      <c r="F4604" s="22" t="str">
        <f>IFERROR(__xludf.DUMMYFUNCTION("""COMPUTED_VALUE"""),"一生、おまえと笑って生きてえわ")</f>
        <v>一生、おまえと笑って生きてえわ</v>
      </c>
      <c r="G4604" s="20" t="str">
        <f>IFERROR(__xludf.DUMMYFUNCTION("""COMPUTED_VALUE"""),"1～3")</f>
        <v>1～3</v>
      </c>
      <c r="H4604" s="22" t="str">
        <f>IFERROR(__xludf.DUMMYFUNCTION("""COMPUTED_VALUE"""),"めめぞ")</f>
        <v>めめぞ</v>
      </c>
      <c r="I4604" s="22" t="str">
        <f>IFERROR(__xludf.DUMMYFUNCTION("""COMPUTED_VALUE"""),"BL")</f>
        <v>BL</v>
      </c>
      <c r="J4604" s="22"/>
      <c r="K4604" s="22"/>
      <c r="L4604" s="22" t="str">
        <f>IFERROR(__xludf.DUMMYFUNCTION("""COMPUTED_VALUE"""),"ガラン")</f>
        <v>ガラン</v>
      </c>
      <c r="M4604" s="33">
        <f>IFERROR(__xludf.DUMMYFUNCTION("""COMPUTED_VALUE"""),46064.0)</f>
        <v>46064</v>
      </c>
      <c r="N4604" s="33">
        <f>IFERROR(__xludf.DUMMYFUNCTION("""COMPUTED_VALUE"""),46161.0)</f>
        <v>46161</v>
      </c>
      <c r="O4604" s="20"/>
      <c r="P4604" s="32" t="str">
        <f>IFERROR(__xludf.DUMMYFUNCTION("""COMPUTED_VALUE"""),"可")</f>
        <v>可</v>
      </c>
      <c r="Q4604" s="30" t="str">
        <f>IFERROR(__xludf.DUMMYFUNCTION("""COMPUTED_VALUE"""),"広告制作を進めていただいてもOKですが、タイトルID確定時に再度レギュレーション判定が必要なため、後日【アダルト作品扱い】になる可能性がございます。&lt;BR&gt;")</f>
        <v>広告制作を進めていただいてもOKですが、タイトルID確定時に再度レギュレーション判定が必要なため、後日【アダルト作品扱い】になる可能性がございます。&lt;BR&gt;</v>
      </c>
      <c r="R4604" s="22" t="str">
        <f>IFERROR(__xludf.DUMMYFUNCTION("""COMPUTED_VALUE"""),"コミットNG")</f>
        <v>コミットNG</v>
      </c>
      <c r="S4604" s="22" t="str">
        <f>IFERROR(__xludf.DUMMYFUNCTION("""COMPUTED_VALUE"""),"20250107_株式会社ガラン_一生、おまえと笑って生きてえわ")</f>
        <v>20250107_株式会社ガラン_一生、おまえと笑って生きてえわ</v>
      </c>
      <c r="T4604" s="22" t="str">
        <f>IFERROR(__xludf.DUMMYFUNCTION("""COMPUTED_VALUE"""),"格納済み")</f>
        <v>格納済み</v>
      </c>
      <c r="U4604" s="9" t="str">
        <f>IFERROR(__xludf.DUMMYFUNCTION("""COMPUTED_VALUE"""),"めめぞ／Boys Shangri-La")</f>
        <v>めめぞ／Boys Shangri-La</v>
      </c>
      <c r="V4604" s="8"/>
      <c r="W4604" s="8"/>
      <c r="X4604" s="8" t="str">
        <f>IFERROR(__xludf.DUMMYFUNCTION("""COMPUTED_VALUE"""),"有")</f>
        <v>有</v>
      </c>
      <c r="Y4604" s="8" t="str">
        <f>IFERROR(__xludf.DUMMYFUNCTION("""COMPUTED_VALUE"""),"1巻無料")</f>
        <v>1巻無料</v>
      </c>
      <c r="Z4604" s="7"/>
      <c r="AA4604" s="7"/>
      <c r="AB4604" s="7"/>
    </row>
    <row r="4605" ht="15.75" customHeight="1">
      <c r="A4605" s="26">
        <f>IFERROR(__xludf.DUMMYFUNCTION("""COMPUTED_VALUE"""),7179.0)</f>
        <v>7179</v>
      </c>
      <c r="B4605" s="22" t="str">
        <f>IFERROR(__xludf.DUMMYFUNCTION("""COMPUTED_VALUE"""),"確定")</f>
        <v>確定</v>
      </c>
      <c r="C4605" s="28">
        <f>IFERROR(__xludf.DUMMYFUNCTION("""COMPUTED_VALUE"""),46030.0)</f>
        <v>46030</v>
      </c>
      <c r="D4605" s="28">
        <f>IFERROR(__xludf.DUMMYFUNCTION("""COMPUTED_VALUE"""),46049.0)</f>
        <v>46049</v>
      </c>
      <c r="E4605" s="26">
        <f>IFERROR(__xludf.DUMMYFUNCTION("""COMPUTED_VALUE"""),349551.0)</f>
        <v>349551</v>
      </c>
      <c r="F4605" s="22" t="str">
        <f>IFERROR(__xludf.DUMMYFUNCTION("""COMPUTED_VALUE"""),"言葉も欲しい～鳥族の世界～")</f>
        <v>言葉も欲しい～鳥族の世界～</v>
      </c>
      <c r="G4605" s="20" t="str">
        <f>IFERROR(__xludf.DUMMYFUNCTION("""COMPUTED_VALUE"""),"1～3")</f>
        <v>1～3</v>
      </c>
      <c r="H4605" s="22" t="str">
        <f>IFERROR(__xludf.DUMMYFUNCTION("""COMPUTED_VALUE"""),"漫画：旭晨薫　原作：竹輪")</f>
        <v>漫画：旭晨薫　原作：竹輪</v>
      </c>
      <c r="I4605" s="22" t="str">
        <f>IFERROR(__xludf.DUMMYFUNCTION("""COMPUTED_VALUE"""),"女性")</f>
        <v>女性</v>
      </c>
      <c r="J4605" s="22"/>
      <c r="K4605" s="22" t="str">
        <f>IFERROR(__xludf.DUMMYFUNCTION("""COMPUTED_VALUE"""),"re:belle")</f>
        <v>re:belle</v>
      </c>
      <c r="L4605" s="22" t="str">
        <f>IFERROR(__xludf.DUMMYFUNCTION("""COMPUTED_VALUE"""),"CLAPコミックス")</f>
        <v>CLAPコミックス</v>
      </c>
      <c r="M4605" s="33">
        <f>IFERROR(__xludf.DUMMYFUNCTION("""COMPUTED_VALUE"""),46079.0)</f>
        <v>46079</v>
      </c>
      <c r="N4605" s="33">
        <f>IFERROR(__xludf.DUMMYFUNCTION("""COMPUTED_VALUE"""),46106.0)</f>
        <v>46106</v>
      </c>
      <c r="O4605" s="20"/>
      <c r="P4605" s="32" t="str">
        <f>IFERROR(__xludf.DUMMYFUNCTION("""COMPUTED_VALUE"""),"可")</f>
        <v>可</v>
      </c>
      <c r="Q4605" s="30"/>
      <c r="R4605" s="22" t="str">
        <f>IFERROR(__xludf.DUMMYFUNCTION("""COMPUTED_VALUE"""),"コミットNG")</f>
        <v>コミットNG</v>
      </c>
      <c r="S4605" s="22" t="str">
        <f>IFERROR(__xludf.DUMMYFUNCTION("""COMPUTED_VALUE"""),"20260126_CLAPコミックス_ 言葉も欲しい～鳥族の世界～")</f>
        <v>20260126_CLAPコミックス_ 言葉も欲しい～鳥族の世界～</v>
      </c>
      <c r="T4605" s="22" t="str">
        <f>IFERROR(__xludf.DUMMYFUNCTION("""COMPUTED_VALUE"""),"格納済み")</f>
        <v>格納済み</v>
      </c>
      <c r="U4605" s="9" t="str">
        <f>IFERROR(__xludf.DUMMYFUNCTION("""COMPUTED_VALUE"""),"旭晨薫・竹輪/CLAPコミックス")</f>
        <v>旭晨薫・竹輪/CLAPコミックス</v>
      </c>
      <c r="V4605" s="8"/>
      <c r="W4605" s="8"/>
      <c r="X4605" s="8" t="str">
        <f>IFERROR(__xludf.DUMMYFUNCTION("""COMPUTED_VALUE"""),"有")</f>
        <v>有</v>
      </c>
      <c r="Y4605" s="8" t="str">
        <f>IFERROR(__xludf.DUMMYFUNCTION("""COMPUTED_VALUE"""),"2026/3/11まで1巻無料")</f>
        <v>2026/3/11まで1巻無料</v>
      </c>
      <c r="Z4605" s="7"/>
      <c r="AA4605" s="7"/>
      <c r="AB4605" s="7"/>
    </row>
    <row r="4606" ht="15.75" customHeight="1">
      <c r="A4606" s="26">
        <f>IFERROR(__xludf.DUMMYFUNCTION("""COMPUTED_VALUE"""),7221.0)</f>
        <v>7221</v>
      </c>
      <c r="B4606" s="22" t="str">
        <f>IFERROR(__xludf.DUMMYFUNCTION("""COMPUTED_VALUE"""),"確定")</f>
        <v>確定</v>
      </c>
      <c r="C4606" s="28">
        <f>IFERROR(__xludf.DUMMYFUNCTION("""COMPUTED_VALUE"""),46037.0)</f>
        <v>46037</v>
      </c>
      <c r="D4606" s="28">
        <f>IFERROR(__xludf.DUMMYFUNCTION("""COMPUTED_VALUE"""),46048.0)</f>
        <v>46048</v>
      </c>
      <c r="E4606" s="26">
        <f>IFERROR(__xludf.DUMMYFUNCTION("""COMPUTED_VALUE"""),351448.0)</f>
        <v>351448</v>
      </c>
      <c r="F4606" s="22" t="str">
        <f>IFERROR(__xludf.DUMMYFUNCTION("""COMPUTED_VALUE"""),"あなたとさよならするための方法～忘れら令嬢の婚活奮闘記～【分冊版】")</f>
        <v>あなたとさよならするための方法～忘れら令嬢の婚活奮闘記～【分冊版】</v>
      </c>
      <c r="G4606" s="20" t="str">
        <f>IFERROR(__xludf.DUMMYFUNCTION("""COMPUTED_VALUE"""),"1～6")</f>
        <v>1～6</v>
      </c>
      <c r="H4606" s="22" t="str">
        <f>IFERROR(__xludf.DUMMYFUNCTION("""COMPUTED_VALUE"""),"夜渡なぎ／けふ／祓衣はらみ／SORAJIMA")</f>
        <v>夜渡なぎ／けふ／祓衣はらみ／SORAJIMA</v>
      </c>
      <c r="I4606" s="22" t="str">
        <f>IFERROR(__xludf.DUMMYFUNCTION("""COMPUTED_VALUE"""),"少女")</f>
        <v>少女</v>
      </c>
      <c r="J4606" s="22"/>
      <c r="K4606" s="22"/>
      <c r="L4606" s="22" t="str">
        <f>IFERROR(__xludf.DUMMYFUNCTION("""COMPUTED_VALUE"""),"SORAJIMA")</f>
        <v>SORAJIMA</v>
      </c>
      <c r="M4606" s="33">
        <f>IFERROR(__xludf.DUMMYFUNCTION("""COMPUTED_VALUE"""),46096.0)</f>
        <v>46096</v>
      </c>
      <c r="N4606" s="33">
        <f>IFERROR(__xludf.DUMMYFUNCTION("""COMPUTED_VALUE"""),46187.0)</f>
        <v>46187</v>
      </c>
      <c r="O4606" s="20"/>
      <c r="P4606" s="32" t="str">
        <f>IFERROR(__xludf.DUMMYFUNCTION("""COMPUTED_VALUE"""),"可")</f>
        <v>可</v>
      </c>
      <c r="Q4606" s="30"/>
      <c r="R4606" s="22"/>
      <c r="S4606" s="22" t="str">
        <f>IFERROR(__xludf.DUMMYFUNCTION("""COMPUTED_VALUE"""),"20260126_SORAJIMA_あなたとさよならするための方法〜忘れら令嬢の婚活奮闘記〜【分冊版】")</f>
        <v>20260126_SORAJIMA_あなたとさよならするための方法〜忘れら令嬢の婚活奮闘記〜【分冊版】</v>
      </c>
      <c r="T4606" s="22" t="str">
        <f>IFERROR(__xludf.DUMMYFUNCTION("""COMPUTED_VALUE"""),"格納済み")</f>
        <v>格納済み</v>
      </c>
      <c r="U4606" s="9" t="str">
        <f>IFERROR(__xludf.DUMMYFUNCTION("""COMPUTED_VALUE"""),"ⒸSORAJIMA")</f>
        <v>ⒸSORAJIMA</v>
      </c>
      <c r="V4606" s="8"/>
      <c r="W4606" s="8"/>
      <c r="X4606" s="8" t="str">
        <f>IFERROR(__xludf.DUMMYFUNCTION("""COMPUTED_VALUE"""),"有")</f>
        <v>有</v>
      </c>
      <c r="Y4606" s="8" t="str">
        <f>IFERROR(__xludf.DUMMYFUNCTION("""COMPUTED_VALUE"""),"2026/4/7まで1~2巻無料")</f>
        <v>2026/4/7まで1~2巻無料</v>
      </c>
      <c r="Z4606" s="7"/>
      <c r="AA4606" s="7"/>
      <c r="AB4606" s="7"/>
    </row>
    <row r="4607" ht="15.75" customHeight="1">
      <c r="A4607" s="26">
        <f>IFERROR(__xludf.DUMMYFUNCTION("""COMPUTED_VALUE"""),7246.0)</f>
        <v>7246</v>
      </c>
      <c r="B4607" s="22" t="str">
        <f>IFERROR(__xludf.DUMMYFUNCTION("""COMPUTED_VALUE"""),"確定")</f>
        <v>確定</v>
      </c>
      <c r="C4607" s="28">
        <f>IFERROR(__xludf.DUMMYFUNCTION("""COMPUTED_VALUE"""),46041.0)</f>
        <v>46041</v>
      </c>
      <c r="D4607" s="28">
        <f>IFERROR(__xludf.DUMMYFUNCTION("""COMPUTED_VALUE"""),46048.0)</f>
        <v>46048</v>
      </c>
      <c r="E4607" s="26">
        <f>IFERROR(__xludf.DUMMYFUNCTION("""COMPUTED_VALUE"""),331038.0)</f>
        <v>331038</v>
      </c>
      <c r="F4607" s="22" t="str">
        <f>IFERROR(__xludf.DUMMYFUNCTION("""COMPUTED_VALUE"""),"亡国のΩ姫は宿敵αに娶られる")</f>
        <v>亡国のΩ姫は宿敵αに娶られる</v>
      </c>
      <c r="G4607" s="20" t="str">
        <f>IFERROR(__xludf.DUMMYFUNCTION("""COMPUTED_VALUE"""),"1～4")</f>
        <v>1～4</v>
      </c>
      <c r="H4607" s="22" t="str">
        <f>IFERROR(__xludf.DUMMYFUNCTION("""COMPUTED_VALUE"""),"楠もこ")</f>
        <v>楠もこ</v>
      </c>
      <c r="I4607" s="22" t="str">
        <f>IFERROR(__xludf.DUMMYFUNCTION("""COMPUTED_VALUE"""),"女性マンガ")</f>
        <v>女性マンガ</v>
      </c>
      <c r="J4607" s="22"/>
      <c r="K4607" s="22" t="str">
        <f>IFERROR(__xludf.DUMMYFUNCTION("""COMPUTED_VALUE"""),"恋するソワレ")</f>
        <v>恋するソワレ</v>
      </c>
      <c r="L4607" s="22" t="str">
        <f>IFERROR(__xludf.DUMMYFUNCTION("""COMPUTED_VALUE"""),"シーモアコミックス")</f>
        <v>シーモアコミックス</v>
      </c>
      <c r="M4607" s="33">
        <f>IFERROR(__xludf.DUMMYFUNCTION("""COMPUTED_VALUE"""),46074.0)</f>
        <v>46074</v>
      </c>
      <c r="N4607" s="33">
        <f>IFERROR(__xludf.DUMMYFUNCTION("""COMPUTED_VALUE"""),46226.66666666667)</f>
        <v>46226.66667</v>
      </c>
      <c r="O4607" s="20"/>
      <c r="P4607" s="32" t="str">
        <f>IFERROR(__xludf.DUMMYFUNCTION("""COMPUTED_VALUE"""),"可")</f>
        <v>可</v>
      </c>
      <c r="Q4607" s="30"/>
      <c r="R4607" s="22"/>
      <c r="S4607" s="22" t="str">
        <f>IFERROR(__xludf.DUMMYFUNCTION("""COMPUTED_VALUE"""),"20260119_シーモアコミックス_亡国のΩ姫は宿敵αに娶られる")</f>
        <v>20260119_シーモアコミックス_亡国のΩ姫は宿敵αに娶られる</v>
      </c>
      <c r="T4607" s="22" t="str">
        <f>IFERROR(__xludf.DUMMYFUNCTION("""COMPUTED_VALUE"""),"格納済み")</f>
        <v>格納済み</v>
      </c>
      <c r="U4607" s="9" t="str">
        <f>IFERROR(__xludf.DUMMYFUNCTION("""COMPUTED_VALUE"""),"(C) 楠もこ/シーモアコミックス")</f>
        <v>(C) 楠もこ/シーモアコミックス</v>
      </c>
      <c r="V4607" s="8"/>
      <c r="W4607" s="8"/>
      <c r="X4607" s="8" t="str">
        <f>IFERROR(__xludf.DUMMYFUNCTION("""COMPUTED_VALUE"""),"有")</f>
        <v>有</v>
      </c>
      <c r="Y4607" s="8" t="str">
        <f>IFERROR(__xludf.DUMMYFUNCTION("""COMPUTED_VALUE"""),"P16まで")</f>
        <v>P16まで</v>
      </c>
      <c r="Z4607" s="7"/>
      <c r="AA4607" s="7"/>
      <c r="AB4607" s="7"/>
    </row>
    <row r="4608" ht="15.75" customHeight="1">
      <c r="A4608" s="26">
        <f>IFERROR(__xludf.DUMMYFUNCTION("""COMPUTED_VALUE"""),7269.0)</f>
        <v>7269</v>
      </c>
      <c r="B4608" s="22" t="str">
        <f>IFERROR(__xludf.DUMMYFUNCTION("""COMPUTED_VALUE"""),"確定")</f>
        <v>確定</v>
      </c>
      <c r="C4608" s="28">
        <f>IFERROR(__xludf.DUMMYFUNCTION("""COMPUTED_VALUE"""),46043.0)</f>
        <v>46043</v>
      </c>
      <c r="D4608" s="28">
        <f>IFERROR(__xludf.DUMMYFUNCTION("""COMPUTED_VALUE"""),46044.0)</f>
        <v>46044</v>
      </c>
      <c r="E4608" s="26">
        <f>IFERROR(__xludf.DUMMYFUNCTION("""COMPUTED_VALUE"""),353543.0)</f>
        <v>353543</v>
      </c>
      <c r="F4608" s="22" t="str">
        <f>IFERROR(__xludf.DUMMYFUNCTION("""COMPUTED_VALUE"""),"使えないと追い出された生活魔法使い、無限の魔力で生活無双　～火力役？いいえ、サポート役です～【単話版】")</f>
        <v>使えないと追い出された生活魔法使い、無限の魔力で生活無双　～火力役？いいえ、サポート役です～【単話版】</v>
      </c>
      <c r="G4608" s="20" t="str">
        <f>IFERROR(__xludf.DUMMYFUNCTION("""COMPUTED_VALUE"""),"1～4")</f>
        <v>1～4</v>
      </c>
      <c r="H4608" s="22" t="str">
        <f>IFERROR(__xludf.DUMMYFUNCTION("""COMPUTED_VALUE"""),"ノヒト/九頭七尾/jimmy")</f>
        <v>ノヒト/九頭七尾/jimmy</v>
      </c>
      <c r="I4608" s="22" t="str">
        <f>IFERROR(__xludf.DUMMYFUNCTION("""COMPUTED_VALUE"""),"青年")</f>
        <v>青年</v>
      </c>
      <c r="J4608" s="22"/>
      <c r="K4608" s="22"/>
      <c r="L4608" s="22" t="str">
        <f>IFERROR(__xludf.DUMMYFUNCTION("""COMPUTED_VALUE"""),"アース・スターエンターテイメント")</f>
        <v>アース・スターエンターテイメント</v>
      </c>
      <c r="M4608" s="33">
        <f>IFERROR(__xludf.DUMMYFUNCTION("""COMPUTED_VALUE"""),46091.0)</f>
        <v>46091</v>
      </c>
      <c r="N4608" s="33">
        <f>IFERROR(__xludf.DUMMYFUNCTION("""COMPUTED_VALUE"""),46121.0)</f>
        <v>46121</v>
      </c>
      <c r="O4608" s="20"/>
      <c r="P4608" s="32" t="str">
        <f>IFERROR(__xludf.DUMMYFUNCTION("""COMPUTED_VALUE"""),"否")</f>
        <v>否</v>
      </c>
      <c r="Q4608" s="30" t="str">
        <f>IFERROR(__xludf.DUMMYFUNCTION("""COMPUTED_VALUE"""),"【アウトバウンド提案】")</f>
        <v>【アウトバウンド提案】</v>
      </c>
      <c r="R4608" s="22"/>
      <c r="S4608" s="22" t="str">
        <f>IFERROR(__xludf.DUMMYFUNCTION("""COMPUTED_VALUE"""),"20260121_アース・スター_使えないと追い出された生活魔法使い、無限の魔力で生活無双　～火力役？いいえ、サポート役です～【単話版】")</f>
        <v>20260121_アース・スター_使えないと追い出された生活魔法使い、無限の魔力で生活無双　～火力役？いいえ、サポート役です～【単話版】</v>
      </c>
      <c r="T4608" s="22" t="str">
        <f>IFERROR(__xludf.DUMMYFUNCTION("""COMPUTED_VALUE"""),"格納済み")</f>
        <v>格納済み</v>
      </c>
      <c r="U4608" s="9" t="str">
        <f>IFERROR(__xludf.DUMMYFUNCTION("""COMPUTED_VALUE"""),"Ⓒ ノヒト　Ⓒ 九頭七尾・jimmy/アース・スター エンターテイメント")</f>
        <v>Ⓒ ノヒト　Ⓒ 九頭七尾・jimmy/アース・スター エンターテイメント</v>
      </c>
      <c r="V4608" s="8"/>
      <c r="W4608" s="8"/>
      <c r="X4608" s="8" t="str">
        <f>IFERROR(__xludf.DUMMYFUNCTION("""COMPUTED_VALUE"""),"有")</f>
        <v>有</v>
      </c>
      <c r="Y4608" s="8" t="str">
        <f>IFERROR(__xludf.DUMMYFUNCTION("""COMPUTED_VALUE"""),"2026/4/30まで1巻無料")</f>
        <v>2026/4/30まで1巻無料</v>
      </c>
      <c r="Z4608" s="7"/>
      <c r="AA4608" s="7"/>
      <c r="AB4608" s="7"/>
    </row>
    <row r="4609" ht="15.75" customHeight="1">
      <c r="A4609" s="26">
        <f>IFERROR(__xludf.DUMMYFUNCTION("""COMPUTED_VALUE"""),7270.0)</f>
        <v>7270</v>
      </c>
      <c r="B4609" s="22" t="str">
        <f>IFERROR(__xludf.DUMMYFUNCTION("""COMPUTED_VALUE"""),"確定")</f>
        <v>確定</v>
      </c>
      <c r="C4609" s="28">
        <f>IFERROR(__xludf.DUMMYFUNCTION("""COMPUTED_VALUE"""),46044.0)</f>
        <v>46044</v>
      </c>
      <c r="D4609" s="28">
        <f>IFERROR(__xludf.DUMMYFUNCTION("""COMPUTED_VALUE"""),46044.0)</f>
        <v>46044</v>
      </c>
      <c r="E4609" s="26">
        <f>IFERROR(__xludf.DUMMYFUNCTION("""COMPUTED_VALUE"""),355158.0)</f>
        <v>355158</v>
      </c>
      <c r="F4609" s="22" t="str">
        <f>IFERROR(__xludf.DUMMYFUNCTION("""COMPUTED_VALUE"""),"【単話】公爵家の長女でした")</f>
        <v>【単話】公爵家の長女でした</v>
      </c>
      <c r="G4609" s="20" t="str">
        <f>IFERROR(__xludf.DUMMYFUNCTION("""COMPUTED_VALUE"""),"1～5")</f>
        <v>1～5</v>
      </c>
      <c r="H4609" s="22" t="str">
        <f>IFERROR(__xludf.DUMMYFUNCTION("""COMPUTED_VALUE"""),"著者：彩川　ぬるぴょ、原作：鈴音　さや、キャラクター原案：たむ")</f>
        <v>著者：彩川　ぬるぴょ、原作：鈴音　さや、キャラクター原案：たむ</v>
      </c>
      <c r="I4609" s="22" t="str">
        <f>IFERROR(__xludf.DUMMYFUNCTION("""COMPUTED_VALUE"""),"少女")</f>
        <v>少女</v>
      </c>
      <c r="J4609" s="22"/>
      <c r="K4609" s="22" t="str">
        <f>IFERROR(__xludf.DUMMYFUNCTION("""COMPUTED_VALUE"""),"ＦＬＯＳ　ＣＯＭＩＣ")</f>
        <v>ＦＬＯＳ　ＣＯＭＩＣ</v>
      </c>
      <c r="L4609" s="22" t="str">
        <f>IFERROR(__xludf.DUMMYFUNCTION("""COMPUTED_VALUE"""),"KADOKAWA")</f>
        <v>KADOKAWA</v>
      </c>
      <c r="M4609" s="33">
        <f>IFERROR(__xludf.DUMMYFUNCTION("""COMPUTED_VALUE"""),46116.0)</f>
        <v>46116</v>
      </c>
      <c r="N4609" s="33">
        <f>IFERROR(__xludf.DUMMYFUNCTION("""COMPUTED_VALUE"""),46300.0)</f>
        <v>46300</v>
      </c>
      <c r="O4609" s="20"/>
      <c r="P4609" s="32" t="str">
        <f>IFERROR(__xludf.DUMMYFUNCTION("""COMPUTED_VALUE"""),"否")</f>
        <v>否</v>
      </c>
      <c r="Q4609" s="30"/>
      <c r="R4609" s="22"/>
      <c r="S4609" s="22" t="str">
        <f>IFERROR(__xludf.DUMMYFUNCTION("""COMPUTED_VALUE"""),"20260122_KADOKAWA協業_【単話】公爵家の長女でした")</f>
        <v>20260122_KADOKAWA協業_【単話】公爵家の長女でした</v>
      </c>
      <c r="T4609" s="22" t="str">
        <f>IFERROR(__xludf.DUMMYFUNCTION("""COMPUTED_VALUE"""),"格納済み")</f>
        <v>格納済み</v>
      </c>
      <c r="U4609" s="9" t="str">
        <f>IFERROR(__xludf.DUMMYFUNCTION("""COMPUTED_VALUE"""),"(C)Nullpyo Ayakawa　(C)Saya Suzune　(C) Tamu")</f>
        <v>(C)Nullpyo Ayakawa　(C)Saya Suzune　(C) Tamu</v>
      </c>
      <c r="V4609" s="8"/>
      <c r="W4609" s="8"/>
      <c r="X4609" s="8" t="str">
        <f>IFERROR(__xludf.DUMMYFUNCTION("""COMPUTED_VALUE"""),"有")</f>
        <v>有</v>
      </c>
      <c r="Y4609" s="8" t="str">
        <f>IFERROR(__xludf.DUMMYFUNCTION("""COMPUTED_VALUE"""),"2026/4/16まで1巻無料")</f>
        <v>2026/4/16まで1巻無料</v>
      </c>
      <c r="Z4609" s="7"/>
      <c r="AA4609" s="7"/>
      <c r="AB4609" s="7"/>
    </row>
    <row r="4610" ht="15.75" customHeight="1">
      <c r="A4610" s="26">
        <f>IFERROR(__xludf.DUMMYFUNCTION("""COMPUTED_VALUE"""),7287.0)</f>
        <v>7287</v>
      </c>
      <c r="B4610" s="22" t="str">
        <f>IFERROR(__xludf.DUMMYFUNCTION("""COMPUTED_VALUE"""),"確定")</f>
        <v>確定</v>
      </c>
      <c r="C4610" s="28">
        <f>IFERROR(__xludf.DUMMYFUNCTION("""COMPUTED_VALUE"""),46045.0)</f>
        <v>46045</v>
      </c>
      <c r="D4610" s="28">
        <f>IFERROR(__xludf.DUMMYFUNCTION("""COMPUTED_VALUE"""),46048.0)</f>
        <v>46048</v>
      </c>
      <c r="E4610" s="26">
        <f>IFERROR(__xludf.DUMMYFUNCTION("""COMPUTED_VALUE"""),337774.0)</f>
        <v>337774</v>
      </c>
      <c r="F4610" s="22" t="str">
        <f>IFERROR(__xludf.DUMMYFUNCTION("""COMPUTED_VALUE"""),"私達、自分を持った妻なので")</f>
        <v>私達、自分を持った妻なので</v>
      </c>
      <c r="G4610" s="20" t="str">
        <f>IFERROR(__xludf.DUMMYFUNCTION("""COMPUTED_VALUE"""),"1～3")</f>
        <v>1～3</v>
      </c>
      <c r="H4610" s="22" t="str">
        <f>IFERROR(__xludf.DUMMYFUNCTION("""COMPUTED_VALUE"""),"蒼井アオ,多知川さくら")</f>
        <v>蒼井アオ,多知川さくら</v>
      </c>
      <c r="I4610" s="22" t="str">
        <f>IFERROR(__xludf.DUMMYFUNCTION("""COMPUTED_VALUE"""),"女性マンガ")</f>
        <v>女性マンガ</v>
      </c>
      <c r="J4610" s="22"/>
      <c r="K4610" s="22" t="str">
        <f>IFERROR(__xludf.DUMMYFUNCTION("""COMPUTED_VALUE"""),"トレモア・リアルラブ,トレモアcollection")</f>
        <v>トレモア・リアルラブ,トレモアcollection</v>
      </c>
      <c r="L4610" s="22" t="str">
        <f>IFERROR(__xludf.DUMMYFUNCTION("""COMPUTED_VALUE"""),"シーモアコミックス（トレモア）")</f>
        <v>シーモアコミックス（トレモア）</v>
      </c>
      <c r="M4610" s="33">
        <f>IFERROR(__xludf.DUMMYFUNCTION("""COMPUTED_VALUE"""),46094.0)</f>
        <v>46094</v>
      </c>
      <c r="N4610" s="33">
        <f>IFERROR(__xludf.DUMMYFUNCTION("""COMPUTED_VALUE"""),46275.66666666667)</f>
        <v>46275.66667</v>
      </c>
      <c r="O4610" s="20"/>
      <c r="P4610" s="32" t="str">
        <f>IFERROR(__xludf.DUMMYFUNCTION("""COMPUTED_VALUE"""),"可")</f>
        <v>可</v>
      </c>
      <c r="Q4610" s="30"/>
      <c r="R4610" s="22"/>
      <c r="S4610" s="22" t="str">
        <f>IFERROR(__xludf.DUMMYFUNCTION("""COMPUTED_VALUE"""),"20260123_シーモアコミックス_私達、自分を持った妻なので")</f>
        <v>20260123_シーモアコミックス_私達、自分を持った妻なので</v>
      </c>
      <c r="T4610" s="22" t="str">
        <f>IFERROR(__xludf.DUMMYFUNCTION("""COMPUTED_VALUE"""),"格納済み")</f>
        <v>格納済み</v>
      </c>
      <c r="U4610" s="9" t="str">
        <f>IFERROR(__xludf.DUMMYFUNCTION("""COMPUTED_VALUE"""),"(C) 蒼井アオ/多知川さくら/シーモアコミックス")</f>
        <v>(C) 蒼井アオ/多知川さくら/シーモアコミックス</v>
      </c>
      <c r="V4610" s="8"/>
      <c r="W4610" s="8"/>
      <c r="X4610" s="8" t="str">
        <f>IFERROR(__xludf.DUMMYFUNCTION("""COMPUTED_VALUE"""),"有")</f>
        <v>有</v>
      </c>
      <c r="Y4610" s="8" t="str">
        <f>IFERROR(__xludf.DUMMYFUNCTION("""COMPUTED_VALUE"""),"P13まで")</f>
        <v>P13まで</v>
      </c>
      <c r="Z4610" s="7"/>
      <c r="AA4610" s="7"/>
      <c r="AB4610" s="7"/>
    </row>
    <row r="4611" ht="15.75" customHeight="1">
      <c r="A4611" s="26">
        <f>IFERROR(__xludf.DUMMYFUNCTION("""COMPUTED_VALUE"""),7289.0)</f>
        <v>7289</v>
      </c>
      <c r="B4611" s="22" t="str">
        <f>IFERROR(__xludf.DUMMYFUNCTION("""COMPUTED_VALUE"""),"確定")</f>
        <v>確定</v>
      </c>
      <c r="C4611" s="28">
        <f>IFERROR(__xludf.DUMMYFUNCTION("""COMPUTED_VALUE"""),46045.0)</f>
        <v>46045</v>
      </c>
      <c r="D4611" s="28">
        <f>IFERROR(__xludf.DUMMYFUNCTION("""COMPUTED_VALUE"""),46048.0)</f>
        <v>46048</v>
      </c>
      <c r="E4611" s="26">
        <f>IFERROR(__xludf.DUMMYFUNCTION("""COMPUTED_VALUE"""),336940.0)</f>
        <v>336940</v>
      </c>
      <c r="F4611" s="22" t="str">
        <f>IFERROR(__xludf.DUMMYFUNCTION("""COMPUTED_VALUE"""),"償うフリをした夫へ最高の復讐を")</f>
        <v>償うフリをした夫へ最高の復讐を</v>
      </c>
      <c r="G4611" s="20" t="str">
        <f>IFERROR(__xludf.DUMMYFUNCTION("""COMPUTED_VALUE"""),"1～3")</f>
        <v>1～3</v>
      </c>
      <c r="H4611" s="22" t="str">
        <f>IFERROR(__xludf.DUMMYFUNCTION("""COMPUTED_VALUE"""),"acca,一宮梨華")</f>
        <v>acca,一宮梨華</v>
      </c>
      <c r="I4611" s="22" t="str">
        <f>IFERROR(__xludf.DUMMYFUNCTION("""COMPUTED_VALUE"""),"女性マンガ")</f>
        <v>女性マンガ</v>
      </c>
      <c r="J4611" s="22"/>
      <c r="K4611" s="22" t="str">
        <f>IFERROR(__xludf.DUMMYFUNCTION("""COMPUTED_VALUE"""),"トレモア・リアルラブ,トレモアcollection")</f>
        <v>トレモア・リアルラブ,トレモアcollection</v>
      </c>
      <c r="L4611" s="22" t="str">
        <f>IFERROR(__xludf.DUMMYFUNCTION("""COMPUTED_VALUE"""),"シーモアコミックス（トレモア）")</f>
        <v>シーモアコミックス（トレモア）</v>
      </c>
      <c r="M4611" s="33">
        <f>IFERROR(__xludf.DUMMYFUNCTION("""COMPUTED_VALUE"""),46094.0)</f>
        <v>46094</v>
      </c>
      <c r="N4611" s="33">
        <f>IFERROR(__xludf.DUMMYFUNCTION("""COMPUTED_VALUE"""),46275.66666666667)</f>
        <v>46275.66667</v>
      </c>
      <c r="O4611" s="20"/>
      <c r="P4611" s="32" t="str">
        <f>IFERROR(__xludf.DUMMYFUNCTION("""COMPUTED_VALUE"""),"可")</f>
        <v>可</v>
      </c>
      <c r="Q4611" s="30"/>
      <c r="R4611" s="22"/>
      <c r="S4611" s="22" t="str">
        <f>IFERROR(__xludf.DUMMYFUNCTION("""COMPUTED_VALUE"""),"20260123_シーモアコミックス_償うフリをした夫へ最高の復讐を")</f>
        <v>20260123_シーモアコミックス_償うフリをした夫へ最高の復讐を</v>
      </c>
      <c r="T4611" s="22" t="str">
        <f>IFERROR(__xludf.DUMMYFUNCTION("""COMPUTED_VALUE"""),"格納済み")</f>
        <v>格納済み</v>
      </c>
      <c r="U4611" s="9" t="str">
        <f>IFERROR(__xludf.DUMMYFUNCTION("""COMPUTED_VALUE"""),"(C) acca/一宮梨華/シーモアコミックス")</f>
        <v>(C) acca/一宮梨華/シーモアコミックス</v>
      </c>
      <c r="V4611" s="8"/>
      <c r="W4611" s="8"/>
      <c r="X4611" s="8" t="str">
        <f>IFERROR(__xludf.DUMMYFUNCTION("""COMPUTED_VALUE"""),"有")</f>
        <v>有</v>
      </c>
      <c r="Y4611" s="8" t="str">
        <f>IFERROR(__xludf.DUMMYFUNCTION("""COMPUTED_VALUE"""),"P17まで")</f>
        <v>P17まで</v>
      </c>
      <c r="Z4611" s="7"/>
      <c r="AA4611" s="7"/>
      <c r="AB4611" s="7"/>
    </row>
    <row r="4612" ht="15.75" customHeight="1">
      <c r="A4612" s="26">
        <f>IFERROR(__xludf.DUMMYFUNCTION("""COMPUTED_VALUE"""),7290.0)</f>
        <v>7290</v>
      </c>
      <c r="B4612" s="22" t="str">
        <f>IFERROR(__xludf.DUMMYFUNCTION("""COMPUTED_VALUE"""),"確定")</f>
        <v>確定</v>
      </c>
      <c r="C4612" s="28">
        <f>IFERROR(__xludf.DUMMYFUNCTION("""COMPUTED_VALUE"""),46045.0)</f>
        <v>46045</v>
      </c>
      <c r="D4612" s="28">
        <f>IFERROR(__xludf.DUMMYFUNCTION("""COMPUTED_VALUE"""),46048.0)</f>
        <v>46048</v>
      </c>
      <c r="E4612" s="26">
        <f>IFERROR(__xludf.DUMMYFUNCTION("""COMPUTED_VALUE"""),337643.0)</f>
        <v>337643</v>
      </c>
      <c r="F4612" s="22" t="str">
        <f>IFERROR(__xludf.DUMMYFUNCTION("""COMPUTED_VALUE"""),"あなたは昔、そうじゃなかった ネチハラ夫に鉄槌を(フルカラー)")</f>
        <v>あなたは昔、そうじゃなかった ネチハラ夫に鉄槌を(フルカラー)</v>
      </c>
      <c r="G4612" s="20" t="str">
        <f>IFERROR(__xludf.DUMMYFUNCTION("""COMPUTED_VALUE"""),"1～3")</f>
        <v>1～3</v>
      </c>
      <c r="H4612" s="22" t="str">
        <f>IFERROR(__xludf.DUMMYFUNCTION("""COMPUTED_VALUE"""),"きら,yukie,高良夏奈,梔子ワズコ,かんかけ,深谷山昊,くろきり,まろ甘,D.s.w")</f>
        <v>きら,yukie,高良夏奈,梔子ワズコ,かんかけ,深谷山昊,くろきり,まろ甘,D.s.w</v>
      </c>
      <c r="I4612" s="22" t="str">
        <f>IFERROR(__xludf.DUMMYFUNCTION("""COMPUTED_VALUE"""),"女性マンガ")</f>
        <v>女性マンガ</v>
      </c>
      <c r="J4612" s="22"/>
      <c r="K4612" s="22" t="str">
        <f>IFERROR(__xludf.DUMMYFUNCTION("""COMPUTED_VALUE"""),"トレモア・リアルラブ,トレモアcollection")</f>
        <v>トレモア・リアルラブ,トレモアcollection</v>
      </c>
      <c r="L4612" s="22" t="str">
        <f>IFERROR(__xludf.DUMMYFUNCTION("""COMPUTED_VALUE"""),"シーモアコミックス（トレモア）")</f>
        <v>シーモアコミックス（トレモア）</v>
      </c>
      <c r="M4612" s="33">
        <f>IFERROR(__xludf.DUMMYFUNCTION("""COMPUTED_VALUE"""),46094.0)</f>
        <v>46094</v>
      </c>
      <c r="N4612" s="33">
        <f>IFERROR(__xludf.DUMMYFUNCTION("""COMPUTED_VALUE"""),2958465.0)</f>
        <v>2958465</v>
      </c>
      <c r="O4612" s="20"/>
      <c r="P4612" s="32" t="str">
        <f>IFERROR(__xludf.DUMMYFUNCTION("""COMPUTED_VALUE"""),"可")</f>
        <v>可</v>
      </c>
      <c r="Q4612" s="30"/>
      <c r="R4612" s="22"/>
      <c r="S4612" s="22" t="str">
        <f>IFERROR(__xludf.DUMMYFUNCTION("""COMPUTED_VALUE"""),"20260123_シーモアコミックス_あなたは昔、そうじゃなかった ネチハラ夫に鉄槌を(フルカラー)")</f>
        <v>20260123_シーモアコミックス_あなたは昔、そうじゃなかった ネチハラ夫に鉄槌を(フルカラー)</v>
      </c>
      <c r="T4612" s="22" t="str">
        <f>IFERROR(__xludf.DUMMYFUNCTION("""COMPUTED_VALUE"""),"格納済み")</f>
        <v>格納済み</v>
      </c>
      <c r="U4612" s="9" t="str">
        <f>IFERROR(__xludf.DUMMYFUNCTION("""COMPUTED_VALUE"""),"(C) きら/yukie/高良夏奈/梔子ワズコ/かんかけ/深谷山昊/くろきり/まろ甘/D.s.w/シーモアコミックス")</f>
        <v>(C) きら/yukie/高良夏奈/梔子ワズコ/かんかけ/深谷山昊/くろきり/まろ甘/D.s.w/シーモアコミックス</v>
      </c>
      <c r="V4612" s="8"/>
      <c r="W4612" s="8"/>
      <c r="X4612" s="8" t="str">
        <f>IFERROR(__xludf.DUMMYFUNCTION("""COMPUTED_VALUE"""),"有")</f>
        <v>有</v>
      </c>
      <c r="Y4612" s="8" t="str">
        <f>IFERROR(__xludf.DUMMYFUNCTION("""COMPUTED_VALUE"""),"P13まで")</f>
        <v>P13まで</v>
      </c>
      <c r="Z4612" s="7"/>
      <c r="AA4612" s="7"/>
      <c r="AB4612" s="7"/>
    </row>
    <row r="4613" ht="15.75" customHeight="1">
      <c r="A4613" s="26">
        <f>IFERROR(__xludf.DUMMYFUNCTION("""COMPUTED_VALUE"""),7303.0)</f>
        <v>7303</v>
      </c>
      <c r="B4613" s="22" t="str">
        <f>IFERROR(__xludf.DUMMYFUNCTION("""COMPUTED_VALUE"""),"確定")</f>
        <v>確定</v>
      </c>
      <c r="C4613" s="28">
        <f>IFERROR(__xludf.DUMMYFUNCTION("""COMPUTED_VALUE"""),46048.0)</f>
        <v>46048</v>
      </c>
      <c r="D4613" s="28">
        <f>IFERROR(__xludf.DUMMYFUNCTION("""COMPUTED_VALUE"""),46049.0)</f>
        <v>46049</v>
      </c>
      <c r="E4613" s="26">
        <f>IFERROR(__xludf.DUMMYFUNCTION("""COMPUTED_VALUE"""),345343.0)</f>
        <v>345343</v>
      </c>
      <c r="F4613" s="22" t="str">
        <f>IFERROR(__xludf.DUMMYFUNCTION("""COMPUTED_VALUE"""),"あなたは昔、そうじゃなかった ネチハラ夫に鉄槌を【タテヨミ】")</f>
        <v>あなたは昔、そうじゃなかった ネチハラ夫に鉄槌を【タテヨミ】</v>
      </c>
      <c r="G4613" s="20" t="str">
        <f>IFERROR(__xludf.DUMMYFUNCTION("""COMPUTED_VALUE"""),"1~6")</f>
        <v>1~6</v>
      </c>
      <c r="H4613" s="22" t="str">
        <f>IFERROR(__xludf.DUMMYFUNCTION("""COMPUTED_VALUE"""),"きら,yukie,高良夏奈,梔子ワズコ,かんかけ,深谷山昊,くろきり,まろ甘,D.s.w")</f>
        <v>きら,yukie,高良夏奈,梔子ワズコ,かんかけ,深谷山昊,くろきり,まろ甘,D.s.w</v>
      </c>
      <c r="I4613" s="22" t="str">
        <f>IFERROR(__xludf.DUMMYFUNCTION("""COMPUTED_VALUE"""),"女性マンガ")</f>
        <v>女性マンガ</v>
      </c>
      <c r="J4613" s="22"/>
      <c r="K4613" s="22" t="str">
        <f>IFERROR(__xludf.DUMMYFUNCTION("""COMPUTED_VALUE"""),"トレモア・リアルラブ,トレモアcollection")</f>
        <v>トレモア・リアルラブ,トレモアcollection</v>
      </c>
      <c r="L4613" s="22" t="str">
        <f>IFERROR(__xludf.DUMMYFUNCTION("""COMPUTED_VALUE"""),"シーモアコミックス（トレモア）")</f>
        <v>シーモアコミックス（トレモア）</v>
      </c>
      <c r="M4613" s="33">
        <f>IFERROR(__xludf.DUMMYFUNCTION("""COMPUTED_VALUE"""),46094.0)</f>
        <v>46094</v>
      </c>
      <c r="N4613" s="33">
        <f>IFERROR(__xludf.DUMMYFUNCTION("""COMPUTED_VALUE"""),2958465.0)</f>
        <v>2958465</v>
      </c>
      <c r="O4613" s="20"/>
      <c r="P4613" s="32" t="str">
        <f>IFERROR(__xludf.DUMMYFUNCTION("""COMPUTED_VALUE"""),"可")</f>
        <v>可</v>
      </c>
      <c r="Q4613" s="30" t="str">
        <f>IFERROR(__xludf.DUMMYFUNCTION("""COMPUTED_VALUE"""),"※コマサム・バナー等素材は「337643　あなたは昔、そうじゃなかった ネチハラ夫に鉄槌を(フルカラー)」の方をお使いください。")</f>
        <v>※コマサム・バナー等素材は「337643　あなたは昔、そうじゃなかった ネチハラ夫に鉄槌を(フルカラー)」の方をお使いください。</v>
      </c>
      <c r="R4613" s="22"/>
      <c r="S4613" s="22" t="str">
        <f>IFERROR(__xludf.DUMMYFUNCTION("""COMPUTED_VALUE"""),"20260126_シーモアコミックス_あなたは昔、そうじゃなかった ネチハラ夫に鉄槌を【タテヨミ】")</f>
        <v>20260126_シーモアコミックス_あなたは昔、そうじゃなかった ネチハラ夫に鉄槌を【タテヨミ】</v>
      </c>
      <c r="T4613" s="22" t="str">
        <f>IFERROR(__xludf.DUMMYFUNCTION("""COMPUTED_VALUE"""),"格納済み")</f>
        <v>格納済み</v>
      </c>
      <c r="U4613" s="9" t="str">
        <f>IFERROR(__xludf.DUMMYFUNCTION("""COMPUTED_VALUE"""),"(C) きら/yukie/高良夏奈/梔子ワズコ/かんかけ/深谷山昊/くろきり/まろ甘/D.s.w/シーモアコミックス")</f>
        <v>(C) きら/yukie/高良夏奈/梔子ワズコ/かんかけ/深谷山昊/くろきり/まろ甘/D.s.w/シーモアコミックス</v>
      </c>
      <c r="V4613" s="8"/>
      <c r="W4613" s="8"/>
      <c r="X4613" s="8" t="str">
        <f>IFERROR(__xludf.DUMMYFUNCTION("""COMPUTED_VALUE"""),"有")</f>
        <v>有</v>
      </c>
      <c r="Y4613" s="8" t="str">
        <f>IFERROR(__xludf.DUMMYFUNCTION("""COMPUTED_VALUE"""),"1巻無料")</f>
        <v>1巻無料</v>
      </c>
      <c r="Z4613" s="7"/>
      <c r="AA4613" s="7"/>
      <c r="AB4613" s="7"/>
    </row>
    <row r="4614" ht="15.75" customHeight="1">
      <c r="A4614" s="26">
        <f>IFERROR(__xludf.DUMMYFUNCTION("""COMPUTED_VALUE"""),7316.0)</f>
        <v>7316</v>
      </c>
      <c r="B4614" s="22" t="str">
        <f>IFERROR(__xludf.DUMMYFUNCTION("""COMPUTED_VALUE"""),"確定")</f>
        <v>確定</v>
      </c>
      <c r="C4614" s="28">
        <f>IFERROR(__xludf.DUMMYFUNCTION("""COMPUTED_VALUE"""),46049.0)</f>
        <v>46049</v>
      </c>
      <c r="D4614" s="28">
        <f>IFERROR(__xludf.DUMMYFUNCTION("""COMPUTED_VALUE"""),46049.0)</f>
        <v>46049</v>
      </c>
      <c r="E4614" s="26">
        <f>IFERROR(__xludf.DUMMYFUNCTION("""COMPUTED_VALUE"""),206295.0)</f>
        <v>206295</v>
      </c>
      <c r="F4614" s="22" t="str">
        <f>IFERROR(__xludf.DUMMYFUNCTION("""COMPUTED_VALUE"""),"αでもΩでもない僕らは")</f>
        <v>αでもΩでもない僕らは</v>
      </c>
      <c r="G4614" s="20" t="str">
        <f>IFERROR(__xludf.DUMMYFUNCTION("""COMPUTED_VALUE"""),"4（シーモア限定BOOK）")</f>
        <v>4（シーモア限定BOOK）</v>
      </c>
      <c r="H4614" s="22" t="str">
        <f>IFERROR(__xludf.DUMMYFUNCTION("""COMPUTED_VALUE"""),"所ケメコ")</f>
        <v>所ケメコ</v>
      </c>
      <c r="I4614" s="22" t="str">
        <f>IFERROR(__xludf.DUMMYFUNCTION("""COMPUTED_VALUE"""),"BLマンガ")</f>
        <v>BLマンガ</v>
      </c>
      <c r="J4614" s="22"/>
      <c r="K4614" s="22"/>
      <c r="L4614" s="22" t="str">
        <f>IFERROR(__xludf.DUMMYFUNCTION("""COMPUTED_VALUE"""),"KADOKAWA")</f>
        <v>KADOKAWA</v>
      </c>
      <c r="M4614" s="33">
        <f>IFERROR(__xludf.DUMMYFUNCTION("""COMPUTED_VALUE"""),46074.0)</f>
        <v>46074</v>
      </c>
      <c r="N4614" s="33">
        <f>IFERROR(__xludf.DUMMYFUNCTION("""COMPUTED_VALUE"""),2958465.0)</f>
        <v>2958465</v>
      </c>
      <c r="O4614" s="20"/>
      <c r="P4614" s="32" t="str">
        <f>IFERROR(__xludf.DUMMYFUNCTION("""COMPUTED_VALUE"""),"可")</f>
        <v>可</v>
      </c>
      <c r="Q4614" s="30" t="str">
        <f>IFERROR(__xludf.DUMMYFUNCTION("""COMPUTED_VALUE"""),"シーモア限定BOOK")</f>
        <v>シーモア限定BOOK</v>
      </c>
      <c r="R4614" s="22"/>
      <c r="S4614" s="22" t="str">
        <f>IFERROR(__xludf.DUMMYFUNCTION("""COMPUTED_VALUE"""),"20260127_KADOKAWA_αでもΩでもない僕らは")</f>
        <v>20260127_KADOKAWA_αでもΩでもない僕らは</v>
      </c>
      <c r="T4614" s="22" t="str">
        <f>IFERROR(__xludf.DUMMYFUNCTION("""COMPUTED_VALUE"""),"格納済み")</f>
        <v>格納済み</v>
      </c>
      <c r="U4614" s="9" t="str">
        <f>IFERROR(__xludf.DUMMYFUNCTION("""COMPUTED_VALUE"""),"(C)Kemeko Tokoro")</f>
        <v>(C)Kemeko Tokoro</v>
      </c>
      <c r="V4614" s="8"/>
      <c r="W4614" s="8"/>
      <c r="X4614" s="8" t="str">
        <f>IFERROR(__xludf.DUMMYFUNCTION("""COMPUTED_VALUE"""),"有")</f>
        <v>有</v>
      </c>
      <c r="Y4614" s="8" t="str">
        <f>IFERROR(__xludf.DUMMYFUNCTION("""COMPUTED_VALUE"""),"2026/3/20まで1巻無料")</f>
        <v>2026/3/20まで1巻無料</v>
      </c>
      <c r="Z4614" s="7"/>
      <c r="AA4614" s="7"/>
      <c r="AB4614" s="7"/>
    </row>
    <row r="4615" ht="15.75" customHeight="1">
      <c r="A4615" s="26">
        <f>IFERROR(__xludf.DUMMYFUNCTION("""COMPUTED_VALUE"""),6684.0)</f>
        <v>6684</v>
      </c>
      <c r="B4615" s="22" t="str">
        <f>IFERROR(__xludf.DUMMYFUNCTION("""COMPUTED_VALUE"""),"確定")</f>
        <v>確定</v>
      </c>
      <c r="C4615" s="28">
        <f>IFERROR(__xludf.DUMMYFUNCTION("""COMPUTED_VALUE"""),45947.0)</f>
        <v>45947</v>
      </c>
      <c r="D4615" s="28">
        <f>IFERROR(__xludf.DUMMYFUNCTION("""COMPUTED_VALUE"""),46056.0)</f>
        <v>46056</v>
      </c>
      <c r="E4615" s="26">
        <f>IFERROR(__xludf.DUMMYFUNCTION("""COMPUTED_VALUE"""),352821.0)</f>
        <v>352821</v>
      </c>
      <c r="F4615" s="22" t="str">
        <f>IFERROR(__xludf.DUMMYFUNCTION("""COMPUTED_VALUE"""),"敵国の魔導士様を即落ちさせてしまいました　～死神と呼ばれた男が絶倫童貞だった話～【単話】")</f>
        <v>敵国の魔導士様を即落ちさせてしまいました　～死神と呼ばれた男が絶倫童貞だった話～【単話】</v>
      </c>
      <c r="G4615" s="20" t="str">
        <f>IFERROR(__xludf.DUMMYFUNCTION("""COMPUTED_VALUE"""),"1～4")</f>
        <v>1～4</v>
      </c>
      <c r="H4615" s="22" t="str">
        <f>IFERROR(__xludf.DUMMYFUNCTION("""COMPUTED_VALUE"""),"著者　和光わこ／原作　杜来リノ／キャラクター原案　鈴ノ助")</f>
        <v>著者　和光わこ／原作　杜来リノ／キャラクター原案　鈴ノ助</v>
      </c>
      <c r="I4615" s="22" t="str">
        <f>IFERROR(__xludf.DUMMYFUNCTION("""COMPUTED_VALUE"""),"TL")</f>
        <v>TL</v>
      </c>
      <c r="J4615" s="22"/>
      <c r="K4615" s="22"/>
      <c r="L4615" s="22" t="str">
        <f>IFERROR(__xludf.DUMMYFUNCTION("""COMPUTED_VALUE"""),"ジュリアンパブリッシング")</f>
        <v>ジュリアンパブリッシング</v>
      </c>
      <c r="M4615" s="33">
        <f>IFERROR(__xludf.DUMMYFUNCTION("""COMPUTED_VALUE"""),46107.0)</f>
        <v>46107</v>
      </c>
      <c r="N4615" s="33">
        <f>IFERROR(__xludf.DUMMYFUNCTION("""COMPUTED_VALUE"""),46169.0)</f>
        <v>46169</v>
      </c>
      <c r="O4615" s="20"/>
      <c r="P4615" s="32" t="str">
        <f>IFERROR(__xludf.DUMMYFUNCTION("""COMPUTED_VALUE"""),"可")</f>
        <v>可</v>
      </c>
      <c r="Q4615" s="30"/>
      <c r="R4615" s="22" t="str">
        <f>IFERROR(__xludf.DUMMYFUNCTION("""COMPUTED_VALUE"""),"コミットOK")</f>
        <v>コミットOK</v>
      </c>
      <c r="S4615" s="22" t="str">
        <f>IFERROR(__xludf.DUMMYFUNCTION("""COMPUTED_VALUE"""),"20260203_ジュリアンパブリッシング_敵国の魔導士様を即落ちさせてしまいました　～死神と呼ばれた男が絶倫童貞だった話～")</f>
        <v>20260203_ジュリアンパブリッシング_敵国の魔導士様を即落ちさせてしまいました　～死神と呼ばれた男が絶倫童貞だった話～</v>
      </c>
      <c r="T4615" s="22" t="str">
        <f>IFERROR(__xludf.DUMMYFUNCTION("""COMPUTED_VALUE"""),"格納済み")</f>
        <v>格納済み</v>
      </c>
      <c r="U4615" s="9" t="str">
        <f>IFERROR(__xludf.DUMMYFUNCTION("""COMPUTED_VALUE"""),"Ⓒ和光わこ／杜来リノ／鈴ノ助／ジュリアンパブリッシング")</f>
        <v>Ⓒ和光わこ／杜来リノ／鈴ノ助／ジュリアンパブリッシング</v>
      </c>
      <c r="V4615" s="8"/>
      <c r="W4615" s="8"/>
      <c r="X4615" s="8" t="str">
        <f>IFERROR(__xludf.DUMMYFUNCTION("""COMPUTED_VALUE"""),"有")</f>
        <v>有</v>
      </c>
      <c r="Y4615" s="8" t="str">
        <f>IFERROR(__xludf.DUMMYFUNCTION("""COMPUTED_VALUE"""),"2026/4/22まで1巻無料")</f>
        <v>2026/4/22まで1巻無料</v>
      </c>
      <c r="Z4615" s="7"/>
      <c r="AA4615" s="7"/>
      <c r="AB4615" s="7"/>
    </row>
    <row r="4616" ht="15.75" customHeight="1">
      <c r="A4616" s="26">
        <f>IFERROR(__xludf.DUMMYFUNCTION("""COMPUTED_VALUE"""),6779.0)</f>
        <v>6779</v>
      </c>
      <c r="B4616" s="22" t="str">
        <f>IFERROR(__xludf.DUMMYFUNCTION("""COMPUTED_VALUE"""),"確定")</f>
        <v>確定</v>
      </c>
      <c r="C4616" s="28">
        <f>IFERROR(__xludf.DUMMYFUNCTION("""COMPUTED_VALUE"""),45965.0)</f>
        <v>45965</v>
      </c>
      <c r="D4616" s="28">
        <f>IFERROR(__xludf.DUMMYFUNCTION("""COMPUTED_VALUE"""),46051.0)</f>
        <v>46051</v>
      </c>
      <c r="E4616" s="26">
        <f>IFERROR(__xludf.DUMMYFUNCTION("""COMPUTED_VALUE"""),354317.0)</f>
        <v>354317</v>
      </c>
      <c r="F4616" s="22" t="str">
        <f>IFERROR(__xludf.DUMMYFUNCTION("""COMPUTED_VALUE"""),"嫉妬深い悪役令嬢は、僕の可愛い婚約者")</f>
        <v>嫉妬深い悪役令嬢は、僕の可愛い婚約者</v>
      </c>
      <c r="G4616" s="20">
        <f>IFERROR(__xludf.DUMMYFUNCTION("""COMPUTED_VALUE"""),1.0)</f>
        <v>1</v>
      </c>
      <c r="H4616" s="22" t="str">
        <f>IFERROR(__xludf.DUMMYFUNCTION("""COMPUTED_VALUE"""),"漫画：珠樹みつね／原作：衣裕生")</f>
        <v>漫画：珠樹みつね／原作：衣裕生</v>
      </c>
      <c r="I4616" s="22" t="str">
        <f>IFERROR(__xludf.DUMMYFUNCTION("""COMPUTED_VALUE"""),"少女")</f>
        <v>少女</v>
      </c>
      <c r="J4616" s="22"/>
      <c r="K4616" s="22" t="str">
        <f>IFERROR(__xludf.DUMMYFUNCTION("""COMPUTED_VALUE"""),"ZERO-SUMコミックス")</f>
        <v>ZERO-SUMコミックス</v>
      </c>
      <c r="L4616" s="22" t="str">
        <f>IFERROR(__xludf.DUMMYFUNCTION("""COMPUTED_VALUE"""),"一迅社")</f>
        <v>一迅社</v>
      </c>
      <c r="M4616" s="33">
        <f>IFERROR(__xludf.DUMMYFUNCTION("""COMPUTED_VALUE"""),46113.0)</f>
        <v>46113</v>
      </c>
      <c r="N4616" s="33">
        <f>IFERROR(__xludf.DUMMYFUNCTION("""COMPUTED_VALUE"""),46173.0)</f>
        <v>46173</v>
      </c>
      <c r="O4616" s="20"/>
      <c r="P4616" s="32" t="str">
        <f>IFERROR(__xludf.DUMMYFUNCTION("""COMPUTED_VALUE"""),"否")</f>
        <v>否</v>
      </c>
      <c r="Q4616" s="30" t="str">
        <f>IFERROR(__xludf.DUMMYFUNCTION("""COMPUTED_VALUE"""),"『悪役令嬢が婚約破棄されたので、いまから俺が幸せにします。 アンソロジーコミック: 4」掲載作品です。")</f>
        <v>『悪役令嬢が婚約破棄されたので、いまから俺が幸せにします。 アンソロジーコミック: 4」掲載作品です。</v>
      </c>
      <c r="R4616" s="22"/>
      <c r="S4616" s="22" t="str">
        <f>IFERROR(__xludf.DUMMYFUNCTION("""COMPUTED_VALUE"""),"20260129_一迅社_嫉妬深い悪役令嬢は、僕の可愛い婚約者")</f>
        <v>20260129_一迅社_嫉妬深い悪役令嬢は、僕の可愛い婚約者</v>
      </c>
      <c r="T4616" s="22" t="str">
        <f>IFERROR(__xludf.DUMMYFUNCTION("""COMPUTED_VALUE"""),"格納済み")</f>
        <v>格納済み</v>
      </c>
      <c r="U4616" s="9" t="str">
        <f>IFERROR(__xludf.DUMMYFUNCTION("""COMPUTED_VALUE"""),"(C)珠樹みつね・衣裕生／一迅社")</f>
        <v>(C)珠樹みつね・衣裕生／一迅社</v>
      </c>
      <c r="V4616" s="8"/>
      <c r="W4616" s="8"/>
      <c r="X4616" s="8" t="str">
        <f>IFERROR(__xludf.DUMMYFUNCTION("""COMPUTED_VALUE"""),"有")</f>
        <v>有</v>
      </c>
      <c r="Y4616" s="8" t="str">
        <f>IFERROR(__xludf.DUMMYFUNCTION("""COMPUTED_VALUE"""),"P9まで")</f>
        <v>P9まで</v>
      </c>
      <c r="Z4616" s="7"/>
      <c r="AA4616" s="7"/>
      <c r="AB4616" s="7"/>
    </row>
    <row r="4617" ht="15.75" customHeight="1">
      <c r="A4617" s="26">
        <f>IFERROR(__xludf.DUMMYFUNCTION("""COMPUTED_VALUE"""),6805.0)</f>
        <v>6805</v>
      </c>
      <c r="B4617" s="22" t="str">
        <f>IFERROR(__xludf.DUMMYFUNCTION("""COMPUTED_VALUE"""),"確定")</f>
        <v>確定</v>
      </c>
      <c r="C4617" s="28">
        <f>IFERROR(__xludf.DUMMYFUNCTION("""COMPUTED_VALUE"""),45967.0)</f>
        <v>45967</v>
      </c>
      <c r="D4617" s="28">
        <f>IFERROR(__xludf.DUMMYFUNCTION("""COMPUTED_VALUE"""),46057.0)</f>
        <v>46057</v>
      </c>
      <c r="E4617" s="26">
        <f>IFERROR(__xludf.DUMMYFUNCTION("""COMPUTED_VALUE"""),353285.0)</f>
        <v>353285</v>
      </c>
      <c r="F4617" s="22" t="str">
        <f>IFERROR(__xludf.DUMMYFUNCTION("""COMPUTED_VALUE"""),"ラブラドライトの王子様")</f>
        <v>ラブラドライトの王子様</v>
      </c>
      <c r="G4617" s="20" t="str">
        <f>IFERROR(__xludf.DUMMYFUNCTION("""COMPUTED_VALUE"""),"1～2")</f>
        <v>1～2</v>
      </c>
      <c r="H4617" s="22" t="str">
        <f>IFERROR(__xludf.DUMMYFUNCTION("""COMPUTED_VALUE"""),"KYAN")</f>
        <v>KYAN</v>
      </c>
      <c r="I4617" s="22" t="str">
        <f>IFERROR(__xludf.DUMMYFUNCTION("""COMPUTED_VALUE"""),"BL")</f>
        <v>BL</v>
      </c>
      <c r="J4617" s="22"/>
      <c r="K4617" s="22" t="str">
        <f>IFERROR(__xludf.DUMMYFUNCTION("""COMPUTED_VALUE"""),"spicomi")</f>
        <v>spicomi</v>
      </c>
      <c r="L4617" s="22" t="str">
        <f>IFERROR(__xludf.DUMMYFUNCTION("""COMPUTED_VALUE"""),"CLLENN")</f>
        <v>CLLENN</v>
      </c>
      <c r="M4617" s="33">
        <f>IFERROR(__xludf.DUMMYFUNCTION("""COMPUTED_VALUE"""),46095.0)</f>
        <v>46095</v>
      </c>
      <c r="N4617" s="33">
        <f>IFERROR(__xludf.DUMMYFUNCTION("""COMPUTED_VALUE"""),46150.0)</f>
        <v>46150</v>
      </c>
      <c r="O4617" s="20"/>
      <c r="P4617" s="32" t="str">
        <f>IFERROR(__xludf.DUMMYFUNCTION("""COMPUTED_VALUE"""),"可")</f>
        <v>可</v>
      </c>
      <c r="Q4617" s="30"/>
      <c r="R4617" s="22" t="str">
        <f>IFERROR(__xludf.DUMMYFUNCTION("""COMPUTED_VALUE"""),"コミットOK")</f>
        <v>コミットOK</v>
      </c>
      <c r="S4617" s="22" t="str">
        <f>IFERROR(__xludf.DUMMYFUNCTION("""COMPUTED_VALUE"""),"20260203_CLLENN_ラブラドライトの王子様")</f>
        <v>20260203_CLLENN_ラブラドライトの王子様</v>
      </c>
      <c r="T4617" s="22" t="str">
        <f>IFERROR(__xludf.DUMMYFUNCTION("""COMPUTED_VALUE"""),"格納済み")</f>
        <v>格納済み</v>
      </c>
      <c r="U4617" s="9" t="str">
        <f>IFERROR(__xludf.DUMMYFUNCTION("""COMPUTED_VALUE"""),"ⒸKYAN/CLLENN")</f>
        <v>ⒸKYAN/CLLENN</v>
      </c>
      <c r="V4617" s="8"/>
      <c r="W4617" s="8"/>
      <c r="X4617" s="8" t="str">
        <f>IFERROR(__xludf.DUMMYFUNCTION("""COMPUTED_VALUE"""),"有")</f>
        <v>有</v>
      </c>
      <c r="Y4617" s="8" t="str">
        <f>IFERROR(__xludf.DUMMYFUNCTION("""COMPUTED_VALUE"""),"2026/3/27まで1巻立ち読み増量（P22）")</f>
        <v>2026/3/27まで1巻立ち読み増量（P22）</v>
      </c>
      <c r="Z4617" s="7"/>
      <c r="AA4617" s="7"/>
      <c r="AB4617" s="7"/>
    </row>
    <row r="4618" ht="15.75" customHeight="1">
      <c r="A4618" s="26">
        <f>IFERROR(__xludf.DUMMYFUNCTION("""COMPUTED_VALUE"""),6844.0)</f>
        <v>6844</v>
      </c>
      <c r="B4618" s="22" t="str">
        <f>IFERROR(__xludf.DUMMYFUNCTION("""COMPUTED_VALUE"""),"確定")</f>
        <v>確定</v>
      </c>
      <c r="C4618" s="28">
        <f>IFERROR(__xludf.DUMMYFUNCTION("""COMPUTED_VALUE"""),45971.0)</f>
        <v>45971</v>
      </c>
      <c r="D4618" s="28">
        <f>IFERROR(__xludf.DUMMYFUNCTION("""COMPUTED_VALUE"""),46055.0)</f>
        <v>46055</v>
      </c>
      <c r="E4618" s="26">
        <f>IFERROR(__xludf.DUMMYFUNCTION("""COMPUTED_VALUE"""),346972.0)</f>
        <v>346972</v>
      </c>
      <c r="F4618" s="22" t="str">
        <f>IFERROR(__xludf.DUMMYFUNCTION("""COMPUTED_VALUE"""),"オークションにかけられたら黒の王子に寵愛されました")</f>
        <v>オークションにかけられたら黒の王子に寵愛されました</v>
      </c>
      <c r="G4618" s="20" t="str">
        <f>IFERROR(__xludf.DUMMYFUNCTION("""COMPUTED_VALUE"""),"1～3")</f>
        <v>1～3</v>
      </c>
      <c r="H4618" s="22" t="str">
        <f>IFERROR(__xludf.DUMMYFUNCTION("""COMPUTED_VALUE"""),"原作：羽白星 蛍　　漫画：霞アサ")</f>
        <v>原作：羽白星 蛍　　漫画：霞アサ</v>
      </c>
      <c r="I4618" s="22" t="str">
        <f>IFERROR(__xludf.DUMMYFUNCTION("""COMPUTED_VALUE"""),"女性")</f>
        <v>女性</v>
      </c>
      <c r="J4618" s="22"/>
      <c r="K4618" s="22"/>
      <c r="L4618" s="22" t="str">
        <f>IFERROR(__xludf.DUMMYFUNCTION("""COMPUTED_VALUE"""),"幻冬舎")</f>
        <v>幻冬舎</v>
      </c>
      <c r="M4618" s="33">
        <f>IFERROR(__xludf.DUMMYFUNCTION("""COMPUTED_VALUE"""),46010.0)</f>
        <v>46010</v>
      </c>
      <c r="N4618" s="33">
        <f>IFERROR(__xludf.DUMMYFUNCTION("""COMPUTED_VALUE"""),46100.0)</f>
        <v>46100</v>
      </c>
      <c r="O4618" s="20"/>
      <c r="P4618" s="32" t="str">
        <f>IFERROR(__xludf.DUMMYFUNCTION("""COMPUTED_VALUE"""),"可")</f>
        <v>可</v>
      </c>
      <c r="Q4618" s="30" t="str">
        <f>IFERROR(__xludf.DUMMYFUNCTION("""COMPUTED_VALUE"""),"先行開始日過ぎてからのご共有となりますので可能な限りお早めにご出稿いただけますと幸いです。")</f>
        <v>先行開始日過ぎてからのご共有となりますので可能な限りお早めにご出稿いただけますと幸いです。</v>
      </c>
      <c r="R4618" s="22" t="str">
        <f>IFERROR(__xludf.DUMMYFUNCTION("""COMPUTED_VALUE"""),"コミットOK")</f>
        <v>コミットOK</v>
      </c>
      <c r="S4618" s="22" t="str">
        <f>IFERROR(__xludf.DUMMYFUNCTION("""COMPUTED_VALUE"""),"20251106_幻冬舎_オークションにかけられたら黒の王子に寵愛されました")</f>
        <v>20251106_幻冬舎_オークションにかけられたら黒の王子に寵愛されました</v>
      </c>
      <c r="T4618" s="22" t="str">
        <f>IFERROR(__xludf.DUMMYFUNCTION("""COMPUTED_VALUE"""),"格納済み")</f>
        <v>格納済み</v>
      </c>
      <c r="U4618" s="9" t="str">
        <f>IFERROR(__xludf.DUMMYFUNCTION("""COMPUTED_VALUE"""),"（C）羽白星蛍／霞アサ／幻冬舎")</f>
        <v>（C）羽白星蛍／霞アサ／幻冬舎</v>
      </c>
      <c r="V4618" s="8"/>
      <c r="W4618" s="8"/>
      <c r="X4618" s="8" t="str">
        <f>IFERROR(__xludf.DUMMYFUNCTION("""COMPUTED_VALUE"""),"有")</f>
        <v>有</v>
      </c>
      <c r="Y4618" s="8" t="str">
        <f>IFERROR(__xludf.DUMMYFUNCTION("""COMPUTED_VALUE"""),"2026/3/19まで1巻無料")</f>
        <v>2026/3/19まで1巻無料</v>
      </c>
      <c r="Z4618" s="7"/>
      <c r="AA4618" s="7"/>
      <c r="AB4618" s="7"/>
    </row>
    <row r="4619" ht="15.75" customHeight="1">
      <c r="A4619" s="26">
        <f>IFERROR(__xludf.DUMMYFUNCTION("""COMPUTED_VALUE"""),6908.0)</f>
        <v>6908</v>
      </c>
      <c r="B4619" s="22" t="str">
        <f>IFERROR(__xludf.DUMMYFUNCTION("""COMPUTED_VALUE"""),"確定")</f>
        <v>確定</v>
      </c>
      <c r="C4619" s="28">
        <f>IFERROR(__xludf.DUMMYFUNCTION("""COMPUTED_VALUE"""),45979.0)</f>
        <v>45979</v>
      </c>
      <c r="D4619" s="28">
        <f>IFERROR(__xludf.DUMMYFUNCTION("""COMPUTED_VALUE"""),46056.0)</f>
        <v>46056</v>
      </c>
      <c r="E4619" s="26">
        <f>IFERROR(__xludf.DUMMYFUNCTION("""COMPUTED_VALUE"""),351147.0)</f>
        <v>351147</v>
      </c>
      <c r="F4619" s="22" t="str">
        <f>IFERROR(__xludf.DUMMYFUNCTION("""COMPUTED_VALUE"""),"逆讐～かえりうち～【タテヨミ】")</f>
        <v>逆讐～かえりうち～【タテヨミ】</v>
      </c>
      <c r="G4619" s="20" t="str">
        <f>IFERROR(__xludf.DUMMYFUNCTION("""COMPUTED_VALUE"""),"1~13")</f>
        <v>1~13</v>
      </c>
      <c r="H4619" s="22" t="str">
        <f>IFERROR(__xludf.DUMMYFUNCTION("""COMPUTED_VALUE"""),"KINGO, Dangmil")</f>
        <v>KINGO, Dangmil</v>
      </c>
      <c r="I4619" s="22" t="str">
        <f>IFERROR(__xludf.DUMMYFUNCTION("""COMPUTED_VALUE"""),"BL")</f>
        <v>BL</v>
      </c>
      <c r="J4619" s="22"/>
      <c r="K4619" s="22" t="str">
        <f>IFERROR(__xludf.DUMMYFUNCTION("""COMPUTED_VALUE"""),"最ボーイズ")</f>
        <v>最ボーイズ</v>
      </c>
      <c r="L4619" s="22" t="str">
        <f>IFERROR(__xludf.DUMMYFUNCTION("""COMPUTED_VALUE"""),"リバース")</f>
        <v>リバース</v>
      </c>
      <c r="M4619" s="33">
        <f>IFERROR(__xludf.DUMMYFUNCTION("""COMPUTED_VALUE"""),46079.0)</f>
        <v>46079</v>
      </c>
      <c r="N4619" s="33">
        <f>IFERROR(__xludf.DUMMYFUNCTION("""COMPUTED_VALUE"""),46141.0)</f>
        <v>46141</v>
      </c>
      <c r="O4619" s="20"/>
      <c r="P4619" s="32" t="str">
        <f>IFERROR(__xludf.DUMMYFUNCTION("""COMPUTED_VALUE"""),"可")</f>
        <v>可</v>
      </c>
      <c r="Q4619" s="30"/>
      <c r="R4619" s="22" t="str">
        <f>IFERROR(__xludf.DUMMYFUNCTION("""COMPUTED_VALUE"""),"コミットOK")</f>
        <v>コミットOK</v>
      </c>
      <c r="S4619" s="22" t="str">
        <f>IFERROR(__xludf.DUMMYFUNCTION("""COMPUTED_VALUE"""),"20260130_リバース_逆讐～かえりうち～【タテヨミ】")</f>
        <v>20260130_リバース_逆讐～かえりうち～【タテヨミ】</v>
      </c>
      <c r="T4619" s="22" t="str">
        <f>IFERROR(__xludf.DUMMYFUNCTION("""COMPUTED_VALUE"""),"格納済み")</f>
        <v>格納済み</v>
      </c>
      <c r="U4619" s="9" t="str">
        <f>IFERROR(__xludf.DUMMYFUNCTION("""COMPUTED_VALUE"""),"ⒸKINGO, Dangmil, KINGDOM COMPANY / RIVERSE")</f>
        <v>ⒸKINGO, Dangmil, KINGDOM COMPANY / RIVERSE</v>
      </c>
      <c r="V4619" s="8"/>
      <c r="W4619" s="8"/>
      <c r="X4619" s="8" t="str">
        <f>IFERROR(__xludf.DUMMYFUNCTION("""COMPUTED_VALUE"""),"有")</f>
        <v>有</v>
      </c>
      <c r="Y4619" s="8" t="str">
        <f>IFERROR(__xludf.DUMMYFUNCTION("""COMPUTED_VALUE"""),"1~3巻無料
2026/3/11まで4巻目無料")</f>
        <v>1~3巻無料
2026/3/11まで4巻目無料</v>
      </c>
      <c r="Z4619" s="7"/>
      <c r="AA4619" s="7"/>
      <c r="AB4619" s="7"/>
    </row>
    <row r="4620" ht="15.75" customHeight="1">
      <c r="A4620" s="26">
        <f>IFERROR(__xludf.DUMMYFUNCTION("""COMPUTED_VALUE"""),7022.0)</f>
        <v>7022</v>
      </c>
      <c r="B4620" s="22" t="str">
        <f>IFERROR(__xludf.DUMMYFUNCTION("""COMPUTED_VALUE"""),"確定")</f>
        <v>確定</v>
      </c>
      <c r="C4620" s="28">
        <f>IFERROR(__xludf.DUMMYFUNCTION("""COMPUTED_VALUE"""),45999.0)</f>
        <v>45999</v>
      </c>
      <c r="D4620" s="28">
        <f>IFERROR(__xludf.DUMMYFUNCTION("""COMPUTED_VALUE"""),46065.0)</f>
        <v>46065</v>
      </c>
      <c r="E4620" s="26">
        <f>IFERROR(__xludf.DUMMYFUNCTION("""COMPUTED_VALUE"""),351526.0)</f>
        <v>351526</v>
      </c>
      <c r="F4620" s="22" t="str">
        <f>IFERROR(__xludf.DUMMYFUNCTION("""COMPUTED_VALUE"""),"期間限定皇后")</f>
        <v>期間限定皇后</v>
      </c>
      <c r="G4620" s="20" t="str">
        <f>IFERROR(__xludf.DUMMYFUNCTION("""COMPUTED_VALUE"""),"1～2")</f>
        <v>1～2</v>
      </c>
      <c r="H4620" s="22" t="str">
        <f>IFERROR(__xludf.DUMMYFUNCTION("""COMPUTED_VALUE"""),"SNC┴小鳥遊一歌┴尼野ゆたか")</f>
        <v>SNC┴小鳥遊一歌┴尼野ゆたか</v>
      </c>
      <c r="I4620" s="22" t="str">
        <f>IFERROR(__xludf.DUMMYFUNCTION("""COMPUTED_VALUE"""),"女性")</f>
        <v>女性</v>
      </c>
      <c r="J4620" s="22"/>
      <c r="K4620" s="22"/>
      <c r="L4620" s="22" t="str">
        <f>IFERROR(__xludf.DUMMYFUNCTION("""COMPUTED_VALUE"""),"二見書房")</f>
        <v>二見書房</v>
      </c>
      <c r="M4620" s="33">
        <f>IFERROR(__xludf.DUMMYFUNCTION("""COMPUTED_VALUE"""),46080.0)</f>
        <v>46080</v>
      </c>
      <c r="N4620" s="33">
        <f>IFERROR(__xludf.DUMMYFUNCTION("""COMPUTED_VALUE"""),46184.0)</f>
        <v>46184</v>
      </c>
      <c r="O4620" s="20"/>
      <c r="P4620" s="32" t="str">
        <f>IFERROR(__xludf.DUMMYFUNCTION("""COMPUTED_VALUE"""),"可")</f>
        <v>可</v>
      </c>
      <c r="Q4620" s="30"/>
      <c r="R4620" s="22" t="str">
        <f>IFERROR(__xludf.DUMMYFUNCTION("""COMPUTED_VALUE"""),"コミットNG")</f>
        <v>コミットNG</v>
      </c>
      <c r="S4620" s="22" t="str">
        <f>IFERROR(__xludf.DUMMYFUNCTION("""COMPUTED_VALUE"""),"20260127_二見書房_期間限定皇后")</f>
        <v>20260127_二見書房_期間限定皇后</v>
      </c>
      <c r="T4620" s="22" t="str">
        <f>IFERROR(__xludf.DUMMYFUNCTION("""COMPUTED_VALUE"""),"格納済み")</f>
        <v>格納済み</v>
      </c>
      <c r="U4620" s="9" t="str">
        <f>IFERROR(__xludf.DUMMYFUNCTION("""COMPUTED_VALUE"""),"©SNC・尼野ゆたか・小鳥遊一歌/二見書房")</f>
        <v>©SNC・尼野ゆたか・小鳥遊一歌/二見書房</v>
      </c>
      <c r="V4620" s="8"/>
      <c r="W4620" s="8"/>
      <c r="X4620" s="8" t="str">
        <f>IFERROR(__xludf.DUMMYFUNCTION("""COMPUTED_VALUE"""),"有")</f>
        <v>有</v>
      </c>
      <c r="Y4620" s="8" t="str">
        <f>IFERROR(__xludf.DUMMYFUNCTION("""COMPUTED_VALUE"""),"1巻無料")</f>
        <v>1巻無料</v>
      </c>
      <c r="Z4620" s="7"/>
      <c r="AA4620" s="7"/>
      <c r="AB4620" s="7"/>
    </row>
    <row r="4621" ht="15.75" customHeight="1">
      <c r="A4621" s="26">
        <f>IFERROR(__xludf.DUMMYFUNCTION("""COMPUTED_VALUE"""),7026.0)</f>
        <v>7026</v>
      </c>
      <c r="B4621" s="22" t="str">
        <f>IFERROR(__xludf.DUMMYFUNCTION("""COMPUTED_VALUE"""),"確定")</f>
        <v>確定</v>
      </c>
      <c r="C4621" s="28">
        <f>IFERROR(__xludf.DUMMYFUNCTION("""COMPUTED_VALUE"""),45999.0)</f>
        <v>45999</v>
      </c>
      <c r="D4621" s="28">
        <f>IFERROR(__xludf.DUMMYFUNCTION("""COMPUTED_VALUE"""),46056.0)</f>
        <v>46056</v>
      </c>
      <c r="E4621" s="26">
        <f>IFERROR(__xludf.DUMMYFUNCTION("""COMPUTED_VALUE"""),353769.0)</f>
        <v>353769</v>
      </c>
      <c r="F4621" s="22" t="str">
        <f>IFERROR(__xludf.DUMMYFUNCTION("""COMPUTED_VALUE"""),"婚約破棄されて自由を手に入れた女伯爵ですが、知識をいかして司書になったら王弟殿下に認められ、専属になりました（単話版）")</f>
        <v>婚約破棄されて自由を手に入れた女伯爵ですが、知識をいかして司書になったら王弟殿下に認められ、専属になりました（単話版）</v>
      </c>
      <c r="G4621" s="20" t="str">
        <f>IFERROR(__xludf.DUMMYFUNCTION("""COMPUTED_VALUE"""),"1～3")</f>
        <v>1～3</v>
      </c>
      <c r="H4621" s="22" t="str">
        <f>IFERROR(__xludf.DUMMYFUNCTION("""COMPUTED_VALUE"""),"作画：匣乃シュリ 原作：畑中希月")</f>
        <v>作画：匣乃シュリ 原作：畑中希月</v>
      </c>
      <c r="I4621" s="22" t="str">
        <f>IFERROR(__xludf.DUMMYFUNCTION("""COMPUTED_VALUE"""),"少女")</f>
        <v>少女</v>
      </c>
      <c r="J4621" s="22"/>
      <c r="K4621" s="22"/>
      <c r="L4621" s="22" t="str">
        <f>IFERROR(__xludf.DUMMYFUNCTION("""COMPUTED_VALUE"""),"コンパス")</f>
        <v>コンパス</v>
      </c>
      <c r="M4621" s="33">
        <f>IFERROR(__xludf.DUMMYFUNCTION("""COMPUTED_VALUE"""),46109.0)</f>
        <v>46109</v>
      </c>
      <c r="N4621" s="33">
        <f>IFERROR(__xludf.DUMMYFUNCTION("""COMPUTED_VALUE"""),46199.0)</f>
        <v>46199</v>
      </c>
      <c r="O4621" s="20"/>
      <c r="P4621" s="32" t="str">
        <f>IFERROR(__xludf.DUMMYFUNCTION("""COMPUTED_VALUE"""),"否")</f>
        <v>否</v>
      </c>
      <c r="Q4621" s="30" t="str">
        <f>IFERROR(__xludf.DUMMYFUNCTION("""COMPUTED_VALUE"""),"担当編集からの推しポイントです。思わせぶりな言動で戸惑わせるけれど、実は誰よりも一途にヒロインを想う有能なヒーロー。&lt;BR&gt;彼の茶目っ気たっぷりの可愛さや労り溢れる優しい笑顔にキュンとしちゃう作品です！&lt;BR&gt;なにより、華やかで麗しく映える作画がたまりません…！！！")</f>
        <v>担当編集からの推しポイントです。思わせぶりな言動で戸惑わせるけれど、実は誰よりも一途にヒロインを想う有能なヒーロー。&lt;BR&gt;彼の茶目っ気たっぷりの可愛さや労り溢れる優しい笑顔にキュンとしちゃう作品です！&lt;BR&gt;なにより、華やかで麗しく映える作画がたまりません…！！！</v>
      </c>
      <c r="R4621" s="22" t="str">
        <f>IFERROR(__xludf.DUMMYFUNCTION("""COMPUTED_VALUE"""),"コミットOK")</f>
        <v>コミットOK</v>
      </c>
      <c r="S4621" s="22" t="str">
        <f>IFERROR(__xludf.DUMMYFUNCTION("""COMPUTED_VALUE"""),"20260203_コンパス_婚約破棄されて自由を手に入れた女伯爵ですが、知識をいかして司書になったら王弟殿下に認められ、専属になりました")</f>
        <v>20260203_コンパス_婚約破棄されて自由を手に入れた女伯爵ですが、知識をいかして司書になったら王弟殿下に認められ、専属になりました</v>
      </c>
      <c r="T4621" s="22" t="str">
        <f>IFERROR(__xludf.DUMMYFUNCTION("""COMPUTED_VALUE"""),"格納済み")</f>
        <v>格納済み</v>
      </c>
      <c r="U4621" s="9" t="str">
        <f>IFERROR(__xludf.DUMMYFUNCTION("""COMPUTED_VALUE"""),"Ⓒ匣乃シュリ・畑中希月／コンパス")</f>
        <v>Ⓒ匣乃シュリ・畑中希月／コンパス</v>
      </c>
      <c r="V4621" s="8"/>
      <c r="W4621" s="8"/>
      <c r="X4621" s="8" t="str">
        <f>IFERROR(__xludf.DUMMYFUNCTION("""COMPUTED_VALUE"""),"有")</f>
        <v>有</v>
      </c>
      <c r="Y4621" s="8" t="str">
        <f>IFERROR(__xludf.DUMMYFUNCTION("""COMPUTED_VALUE"""),"P23まで")</f>
        <v>P23まで</v>
      </c>
      <c r="Z4621" s="7"/>
      <c r="AA4621" s="7"/>
      <c r="AB4621" s="7"/>
    </row>
    <row r="4622" ht="15.75" customHeight="1">
      <c r="A4622" s="26">
        <f>IFERROR(__xludf.DUMMYFUNCTION("""COMPUTED_VALUE"""),7075.0)</f>
        <v>7075</v>
      </c>
      <c r="B4622" s="22" t="str">
        <f>IFERROR(__xludf.DUMMYFUNCTION("""COMPUTED_VALUE"""),"確定")</f>
        <v>確定</v>
      </c>
      <c r="C4622" s="28">
        <f>IFERROR(__xludf.DUMMYFUNCTION("""COMPUTED_VALUE"""),46008.0)</f>
        <v>46008</v>
      </c>
      <c r="D4622" s="28">
        <f>IFERROR(__xludf.DUMMYFUNCTION("""COMPUTED_VALUE"""),46050.0)</f>
        <v>46050</v>
      </c>
      <c r="E4622" s="26">
        <f>IFERROR(__xludf.DUMMYFUNCTION("""COMPUTED_VALUE"""),353413.0)</f>
        <v>353413</v>
      </c>
      <c r="F4622" s="22" t="str">
        <f>IFERROR(__xludf.DUMMYFUNCTION("""COMPUTED_VALUE"""),"魔力量歴代最強な転生聖女さまの学園生活は波乱に満ち溢れているようです ～王子さまに悪役令嬢とヒロインぽい子たちがいるけれど、ここは乙女ゲー世界ですか?～ 分冊版")</f>
        <v>魔力量歴代最強な転生聖女さまの学園生活は波乱に満ち溢れているようです ～王子さまに悪役令嬢とヒロインぽい子たちがいるけれど、ここは乙女ゲー世界ですか?～ 分冊版</v>
      </c>
      <c r="G4622" s="20" t="str">
        <f>IFERROR(__xludf.DUMMYFUNCTION("""COMPUTED_VALUE"""),"1～5")</f>
        <v>1～5</v>
      </c>
      <c r="H4622" s="22" t="str">
        <f>IFERROR(__xludf.DUMMYFUNCTION("""COMPUTED_VALUE"""),"原作：行雲流水 漫画：プラス20 キャラクター原案：桜イオン")</f>
        <v>原作：行雲流水 漫画：プラス20 キャラクター原案：桜イオン</v>
      </c>
      <c r="I4622" s="22" t="str">
        <f>IFERROR(__xludf.DUMMYFUNCTION("""COMPUTED_VALUE"""),"女性")</f>
        <v>女性</v>
      </c>
      <c r="J4622" s="22"/>
      <c r="K4622" s="22"/>
      <c r="L4622" s="22" t="str">
        <f>IFERROR(__xludf.DUMMYFUNCTION("""COMPUTED_VALUE"""),"集英社")</f>
        <v>集英社</v>
      </c>
      <c r="M4622" s="33">
        <f>IFERROR(__xludf.DUMMYFUNCTION("""COMPUTED_VALUE"""),46091.0)</f>
        <v>46091</v>
      </c>
      <c r="N4622" s="33">
        <f>IFERROR(__xludf.DUMMYFUNCTION("""COMPUTED_VALUE"""),46121.0)</f>
        <v>46121</v>
      </c>
      <c r="O4622" s="20"/>
      <c r="P4622" s="32" t="str">
        <f>IFERROR(__xludf.DUMMYFUNCTION("""COMPUTED_VALUE"""),"否")</f>
        <v>否</v>
      </c>
      <c r="Q4622" s="30"/>
      <c r="R4622" s="22" t="str">
        <f>IFERROR(__xludf.DUMMYFUNCTION("""COMPUTED_VALUE"""),"コミットOK")</f>
        <v>コミットOK</v>
      </c>
      <c r="S4622" s="22" t="str">
        <f>IFERROR(__xludf.DUMMYFUNCTION("""COMPUTED_VALUE"""),"20260128_集英社_魔力量歴代最強な転生聖女さまの学園生活は波乱に満ち溢れているようです")</f>
        <v>20260128_集英社_魔力量歴代最強な転生聖女さまの学園生活は波乱に満ち溢れているようです</v>
      </c>
      <c r="T4622" s="22" t="str">
        <f>IFERROR(__xludf.DUMMYFUNCTION("""COMPUTED_VALUE"""),"格納済み")</f>
        <v>格納済み</v>
      </c>
      <c r="U4622" s="9" t="str">
        <f>IFERROR(__xludf.DUMMYFUNCTION("""COMPUTED_VALUE"""),"（C）行雲流水・プラス20・桜イオン／集英社")</f>
        <v>（C）行雲流水・プラス20・桜イオン／集英社</v>
      </c>
      <c r="V4622" s="8"/>
      <c r="W4622" s="8"/>
      <c r="X4622" s="8" t="str">
        <f>IFERROR(__xludf.DUMMYFUNCTION("""COMPUTED_VALUE"""),"有")</f>
        <v>有</v>
      </c>
      <c r="Y4622" s="8" t="str">
        <f>IFERROR(__xludf.DUMMYFUNCTION("""COMPUTED_VALUE"""),"2026/4/9まで1巻無料")</f>
        <v>2026/4/9まで1巻無料</v>
      </c>
      <c r="Z4622" s="7"/>
      <c r="AA4622" s="7"/>
      <c r="AB4622" s="7"/>
    </row>
    <row r="4623" ht="15.75" customHeight="1">
      <c r="A4623" s="26">
        <f>IFERROR(__xludf.DUMMYFUNCTION("""COMPUTED_VALUE"""),7085.0)</f>
        <v>7085</v>
      </c>
      <c r="B4623" s="22" t="str">
        <f>IFERROR(__xludf.DUMMYFUNCTION("""COMPUTED_VALUE"""),"確定")</f>
        <v>確定</v>
      </c>
      <c r="C4623" s="28">
        <f>IFERROR(__xludf.DUMMYFUNCTION("""COMPUTED_VALUE"""),46009.0)</f>
        <v>46009</v>
      </c>
      <c r="D4623" s="28">
        <f>IFERROR(__xludf.DUMMYFUNCTION("""COMPUTED_VALUE"""),46056.0)</f>
        <v>46056</v>
      </c>
      <c r="E4623" s="26">
        <f>IFERROR(__xludf.DUMMYFUNCTION("""COMPUTED_VALUE"""),351336.0)</f>
        <v>351336</v>
      </c>
      <c r="F4623" s="22" t="str">
        <f>IFERROR(__xludf.DUMMYFUNCTION("""COMPUTED_VALUE"""),"【単話売】好きになるなら来世です！")</f>
        <v>【単話売】好きになるなら来世です！</v>
      </c>
      <c r="G4623" s="20" t="str">
        <f>IFERROR(__xludf.DUMMYFUNCTION("""COMPUTED_VALUE"""),"1～3")</f>
        <v>1～3</v>
      </c>
      <c r="H4623" s="22" t="str">
        <f>IFERROR(__xludf.DUMMYFUNCTION("""COMPUTED_VALUE"""),"竹内文香")</f>
        <v>竹内文香</v>
      </c>
      <c r="I4623" s="22" t="str">
        <f>IFERROR(__xludf.DUMMYFUNCTION("""COMPUTED_VALUE"""),"女性")</f>
        <v>女性</v>
      </c>
      <c r="J4623" s="22"/>
      <c r="K4623" s="22"/>
      <c r="L4623" s="22" t="str">
        <f>IFERROR(__xludf.DUMMYFUNCTION("""COMPUTED_VALUE"""),"集英社")</f>
        <v>集英社</v>
      </c>
      <c r="M4623" s="33">
        <f>IFERROR(__xludf.DUMMYFUNCTION("""COMPUTED_VALUE"""),46081.0)</f>
        <v>46081</v>
      </c>
      <c r="N4623" s="33">
        <f>IFERROR(__xludf.DUMMYFUNCTION("""COMPUTED_VALUE"""),46134.0)</f>
        <v>46134</v>
      </c>
      <c r="O4623" s="20"/>
      <c r="P4623" s="32" t="str">
        <f>IFERROR(__xludf.DUMMYFUNCTION("""COMPUTED_VALUE"""),"否")</f>
        <v>否</v>
      </c>
      <c r="Q4623" s="30"/>
      <c r="R4623" s="22" t="str">
        <f>IFERROR(__xludf.DUMMYFUNCTION("""COMPUTED_VALUE"""),"コミットOK")</f>
        <v>コミットOK</v>
      </c>
      <c r="S4623" s="22" t="str">
        <f>IFERROR(__xludf.DUMMYFUNCTION("""COMPUTED_VALUE"""),"20260203_集英社_好きになるなら来世です")</f>
        <v>20260203_集英社_好きになるなら来世です</v>
      </c>
      <c r="T4623" s="22" t="str">
        <f>IFERROR(__xludf.DUMMYFUNCTION("""COMPUTED_VALUE"""),"格納済み")</f>
        <v>格納済み</v>
      </c>
      <c r="U4623" s="9" t="str">
        <f>IFERROR(__xludf.DUMMYFUNCTION("""COMPUTED_VALUE"""),"（C)竹内文香／集英社クリエイティブ")</f>
        <v>（C)竹内文香／集英社クリエイティブ</v>
      </c>
      <c r="V4623" s="8"/>
      <c r="W4623" s="8"/>
      <c r="X4623" s="8" t="str">
        <f>IFERROR(__xludf.DUMMYFUNCTION("""COMPUTED_VALUE"""),"有")</f>
        <v>有</v>
      </c>
      <c r="Y4623" s="8" t="str">
        <f>IFERROR(__xludf.DUMMYFUNCTION("""COMPUTED_VALUE"""),"P11まで")</f>
        <v>P11まで</v>
      </c>
      <c r="Z4623" s="7"/>
      <c r="AA4623" s="7"/>
      <c r="AB4623" s="7"/>
    </row>
    <row r="4624" ht="15.75" customHeight="1">
      <c r="A4624" s="26">
        <f>IFERROR(__xludf.DUMMYFUNCTION("""COMPUTED_VALUE"""),7138.0)</f>
        <v>7138</v>
      </c>
      <c r="B4624" s="22" t="str">
        <f>IFERROR(__xludf.DUMMYFUNCTION("""COMPUTED_VALUE"""),"確定")</f>
        <v>確定</v>
      </c>
      <c r="C4624" s="28">
        <f>IFERROR(__xludf.DUMMYFUNCTION("""COMPUTED_VALUE"""),46017.0)</f>
        <v>46017</v>
      </c>
      <c r="D4624" s="28">
        <f>IFERROR(__xludf.DUMMYFUNCTION("""COMPUTED_VALUE"""),46056.0)</f>
        <v>46056</v>
      </c>
      <c r="E4624" s="26">
        <f>IFERROR(__xludf.DUMMYFUNCTION("""COMPUTED_VALUE"""),353732.0)</f>
        <v>353732</v>
      </c>
      <c r="F4624" s="22" t="str">
        <f>IFERROR(__xludf.DUMMYFUNCTION("""COMPUTED_VALUE"""),"王子が空気読まなすぎる【単話】")</f>
        <v>王子が空気読まなすぎる【単話】</v>
      </c>
      <c r="G4624" s="20" t="str">
        <f>IFERROR(__xludf.DUMMYFUNCTION("""COMPUTED_VALUE"""),"1～3")</f>
        <v>1～3</v>
      </c>
      <c r="H4624" s="22" t="str">
        <f>IFERROR(__xludf.DUMMYFUNCTION("""COMPUTED_VALUE"""),"原作：kae 漫画：幸路 キャラクターデザイン：くろでこ")</f>
        <v>原作：kae 漫画：幸路 キャラクターデザイン：くろでこ</v>
      </c>
      <c r="I4624" s="22" t="str">
        <f>IFERROR(__xludf.DUMMYFUNCTION("""COMPUTED_VALUE"""),"少女")</f>
        <v>少女</v>
      </c>
      <c r="J4624" s="22"/>
      <c r="K4624" s="22" t="str">
        <f>IFERROR(__xludf.DUMMYFUNCTION("""COMPUTED_VALUE"""),"マンガワン女子部")</f>
        <v>マンガワン女子部</v>
      </c>
      <c r="L4624" s="22" t="str">
        <f>IFERROR(__xludf.DUMMYFUNCTION("""COMPUTED_VALUE"""),"小学館")</f>
        <v>小学館</v>
      </c>
      <c r="M4624" s="33">
        <f>IFERROR(__xludf.DUMMYFUNCTION("""COMPUTED_VALUE"""),46099.0)</f>
        <v>46099</v>
      </c>
      <c r="N4624" s="33">
        <f>IFERROR(__xludf.DUMMYFUNCTION("""COMPUTED_VALUE"""),46160.0)</f>
        <v>46160</v>
      </c>
      <c r="O4624" s="20"/>
      <c r="P4624" s="32" t="str">
        <f>IFERROR(__xludf.DUMMYFUNCTION("""COMPUTED_VALUE"""),"否")</f>
        <v>否</v>
      </c>
      <c r="Q4624" s="30" t="str">
        <f>IFERROR(__xludf.DUMMYFUNCTION("""COMPUTED_VALUE"""),"■素材について2話と3話はそれぞれ2フォルダで1話分です。")</f>
        <v>■素材について2話と3話はそれぞれ2フォルダで1話分です。</v>
      </c>
      <c r="R4624" s="22" t="str">
        <f>IFERROR(__xludf.DUMMYFUNCTION("""COMPUTED_VALUE"""),"コミットOK")</f>
        <v>コミットOK</v>
      </c>
      <c r="S4624" s="22" t="str">
        <f>IFERROR(__xludf.DUMMYFUNCTION("""COMPUTED_VALUE"""),"20260203_小学館_王子が空気読まなすぎる【単話】")</f>
        <v>20260203_小学館_王子が空気読まなすぎる【単話】</v>
      </c>
      <c r="T4624" s="22" t="str">
        <f>IFERROR(__xludf.DUMMYFUNCTION("""COMPUTED_VALUE"""),"格納済み")</f>
        <v>格納済み</v>
      </c>
      <c r="U4624" s="9" t="str">
        <f>IFERROR(__xludf.DUMMYFUNCTION("""COMPUTED_VALUE"""),"(C)ｋａｅ・幸路・くろでこ / 小学館")</f>
        <v>(C)ｋａｅ・幸路・くろでこ / 小学館</v>
      </c>
      <c r="V4624" s="8"/>
      <c r="W4624" s="8"/>
      <c r="X4624" s="8" t="str">
        <f>IFERROR(__xludf.DUMMYFUNCTION("""COMPUTED_VALUE"""),"有")</f>
        <v>有</v>
      </c>
      <c r="Y4624" s="8" t="str">
        <f>IFERROR(__xludf.DUMMYFUNCTION("""COMPUTED_VALUE"""),"2026/3/31まで1巻無料")</f>
        <v>2026/3/31まで1巻無料</v>
      </c>
      <c r="Z4624" s="7"/>
      <c r="AA4624" s="7"/>
      <c r="AB4624" s="7"/>
    </row>
    <row r="4625" ht="15.75" customHeight="1">
      <c r="A4625" s="26">
        <f>IFERROR(__xludf.DUMMYFUNCTION("""COMPUTED_VALUE"""),7153.0)</f>
        <v>7153</v>
      </c>
      <c r="B4625" s="22" t="str">
        <f>IFERROR(__xludf.DUMMYFUNCTION("""COMPUTED_VALUE"""),"確定")</f>
        <v>確定</v>
      </c>
      <c r="C4625" s="28">
        <f>IFERROR(__xludf.DUMMYFUNCTION("""COMPUTED_VALUE"""),46027.0)</f>
        <v>46027</v>
      </c>
      <c r="D4625" s="28">
        <f>IFERROR(__xludf.DUMMYFUNCTION("""COMPUTED_VALUE"""),46057.0)</f>
        <v>46057</v>
      </c>
      <c r="E4625" s="26">
        <f>IFERROR(__xludf.DUMMYFUNCTION("""COMPUTED_VALUE"""),352796.0)</f>
        <v>352796</v>
      </c>
      <c r="F4625" s="22" t="str">
        <f>IFERROR(__xludf.DUMMYFUNCTION("""COMPUTED_VALUE"""),"星詠みの巫女は狂嵐公爵に死ぬまで執愛される【単話版】")</f>
        <v>星詠みの巫女は狂嵐公爵に死ぬまで執愛される【単話版】</v>
      </c>
      <c r="G4625" s="20" t="str">
        <f>IFERROR(__xludf.DUMMYFUNCTION("""COMPUTED_VALUE"""),"1～5")</f>
        <v>1～5</v>
      </c>
      <c r="H4625" s="22" t="str">
        <f>IFERROR(__xludf.DUMMYFUNCTION("""COMPUTED_VALUE"""),"CAT-CreativeGroup")</f>
        <v>CAT-CreativeGroup</v>
      </c>
      <c r="I4625" s="22" t="str">
        <f>IFERROR(__xludf.DUMMYFUNCTION("""COMPUTED_VALUE"""),"女性")</f>
        <v>女性</v>
      </c>
      <c r="J4625" s="22"/>
      <c r="K4625" s="22"/>
      <c r="L4625" s="22" t="str">
        <f>IFERROR(__xludf.DUMMYFUNCTION("""COMPUTED_VALUE"""),"主婦の友社")</f>
        <v>主婦の友社</v>
      </c>
      <c r="M4625" s="33">
        <f>IFERROR(__xludf.DUMMYFUNCTION("""COMPUTED_VALUE"""),46080.0)</f>
        <v>46080</v>
      </c>
      <c r="N4625" s="33">
        <f>IFERROR(__xludf.DUMMYFUNCTION("""COMPUTED_VALUE"""),46260.0)</f>
        <v>46260</v>
      </c>
      <c r="O4625" s="20"/>
      <c r="P4625" s="32" t="str">
        <f>IFERROR(__xludf.DUMMYFUNCTION("""COMPUTED_VALUE"""),"可")</f>
        <v>可</v>
      </c>
      <c r="Q4625" s="30"/>
      <c r="R4625" s="22" t="str">
        <f>IFERROR(__xludf.DUMMYFUNCTION("""COMPUTED_VALUE"""),"コミットOK")</f>
        <v>コミットOK</v>
      </c>
      <c r="S4625" s="22" t="str">
        <f>IFERROR(__xludf.DUMMYFUNCTION("""COMPUTED_VALUE"""),"20260203_主婦の友社_星詠みの巫女は狂嵐公爵に死ぬまで執愛される")</f>
        <v>20260203_主婦の友社_星詠みの巫女は狂嵐公爵に死ぬまで執愛される</v>
      </c>
      <c r="T4625" s="22" t="str">
        <f>IFERROR(__xludf.DUMMYFUNCTION("""COMPUTED_VALUE"""),"格納済み")</f>
        <v>格納済み</v>
      </c>
      <c r="U4625" s="9" t="str">
        <f>IFERROR(__xludf.DUMMYFUNCTION("""COMPUTED_VALUE"""),"ⒸCAT-CreativeGroup/Imagica Infos Co., Ltd.")</f>
        <v>ⒸCAT-CreativeGroup/Imagica Infos Co., Ltd.</v>
      </c>
      <c r="V4625" s="8"/>
      <c r="W4625" s="8"/>
      <c r="X4625" s="8" t="str">
        <f>IFERROR(__xludf.DUMMYFUNCTION("""COMPUTED_VALUE"""),"有")</f>
        <v>有</v>
      </c>
      <c r="Y4625" s="8" t="str">
        <f>IFERROR(__xludf.DUMMYFUNCTION("""COMPUTED_VALUE"""),"P8まで")</f>
        <v>P8まで</v>
      </c>
      <c r="Z4625" s="7"/>
      <c r="AA4625" s="7"/>
      <c r="AB4625" s="7"/>
    </row>
    <row r="4626" ht="15.75" customHeight="1">
      <c r="A4626" s="26">
        <f>IFERROR(__xludf.DUMMYFUNCTION("""COMPUTED_VALUE"""),7196.0)</f>
        <v>7196</v>
      </c>
      <c r="B4626" s="22" t="str">
        <f>IFERROR(__xludf.DUMMYFUNCTION("""COMPUTED_VALUE"""),"確定")</f>
        <v>確定</v>
      </c>
      <c r="C4626" s="28">
        <f>IFERROR(__xludf.DUMMYFUNCTION("""COMPUTED_VALUE"""),46035.0)</f>
        <v>46035</v>
      </c>
      <c r="D4626" s="28">
        <f>IFERROR(__xludf.DUMMYFUNCTION("""COMPUTED_VALUE"""),46051.0)</f>
        <v>46051</v>
      </c>
      <c r="E4626" s="26">
        <f>IFERROR(__xludf.DUMMYFUNCTION("""COMPUTED_VALUE"""),351360.0)</f>
        <v>351360</v>
      </c>
      <c r="F4626" s="22" t="str">
        <f>IFERROR(__xludf.DUMMYFUNCTION("""COMPUTED_VALUE"""),"麒麟さまのご寵愛")</f>
        <v>麒麟さまのご寵愛</v>
      </c>
      <c r="G4626" s="20" t="str">
        <f>IFERROR(__xludf.DUMMYFUNCTION("""COMPUTED_VALUE"""),"1～2")</f>
        <v>1～2</v>
      </c>
      <c r="H4626" s="22" t="str">
        <f>IFERROR(__xludf.DUMMYFUNCTION("""COMPUTED_VALUE"""),"らたろう")</f>
        <v>らたろう</v>
      </c>
      <c r="I4626" s="22" t="str">
        <f>IFERROR(__xludf.DUMMYFUNCTION("""COMPUTED_VALUE"""),"BL")</f>
        <v>BL</v>
      </c>
      <c r="J4626" s="22"/>
      <c r="K4626" s="22"/>
      <c r="L4626" s="22" t="str">
        <f>IFERROR(__xludf.DUMMYFUNCTION("""COMPUTED_VALUE"""),"ふゅーじょんぷろだくと")</f>
        <v>ふゅーじょんぷろだくと</v>
      </c>
      <c r="M4626" s="33">
        <f>IFERROR(__xludf.DUMMYFUNCTION("""COMPUTED_VALUE"""),46079.0)</f>
        <v>46079</v>
      </c>
      <c r="N4626" s="33">
        <f>IFERROR(__xludf.DUMMYFUNCTION("""COMPUTED_VALUE"""),46142.0)</f>
        <v>46142</v>
      </c>
      <c r="O4626" s="20"/>
      <c r="P4626" s="32" t="str">
        <f>IFERROR(__xludf.DUMMYFUNCTION("""COMPUTED_VALUE"""),"可")</f>
        <v>可</v>
      </c>
      <c r="Q4626" s="30"/>
      <c r="R4626" s="22" t="str">
        <f>IFERROR(__xludf.DUMMYFUNCTION("""COMPUTED_VALUE"""),"コミットOK")</f>
        <v>コミットOK</v>
      </c>
      <c r="S4626" s="22" t="str">
        <f>IFERROR(__xludf.DUMMYFUNCTION("""COMPUTED_VALUE"""),"20260129_ふゅーじょんぷろだくと_麒麟さまのご寵愛")</f>
        <v>20260129_ふゅーじょんぷろだくと_麒麟さまのご寵愛</v>
      </c>
      <c r="T4626" s="22" t="str">
        <f>IFERROR(__xludf.DUMMYFUNCTION("""COMPUTED_VALUE"""),"格納済み")</f>
        <v>格納済み</v>
      </c>
      <c r="U4626" s="9" t="str">
        <f>IFERROR(__xludf.DUMMYFUNCTION("""COMPUTED_VALUE"""),"(c)らたろう／FUSION PRODUCT")</f>
        <v>(c)らたろう／FUSION PRODUCT</v>
      </c>
      <c r="V4626" s="8"/>
      <c r="W4626" s="8"/>
      <c r="X4626" s="8" t="str">
        <f>IFERROR(__xludf.DUMMYFUNCTION("""COMPUTED_VALUE"""),"有")</f>
        <v>有</v>
      </c>
      <c r="Y4626" s="8" t="str">
        <f>IFERROR(__xludf.DUMMYFUNCTION("""COMPUTED_VALUE"""),"P10まで")</f>
        <v>P10まで</v>
      </c>
      <c r="Z4626" s="7"/>
      <c r="AA4626" s="7"/>
      <c r="AB4626" s="7"/>
    </row>
    <row r="4627" ht="15.75" customHeight="1">
      <c r="A4627" s="26">
        <f>IFERROR(__xludf.DUMMYFUNCTION("""COMPUTED_VALUE"""),7204.0)</f>
        <v>7204</v>
      </c>
      <c r="B4627" s="22" t="str">
        <f>IFERROR(__xludf.DUMMYFUNCTION("""COMPUTED_VALUE"""),"確定")</f>
        <v>確定</v>
      </c>
      <c r="C4627" s="28">
        <f>IFERROR(__xludf.DUMMYFUNCTION("""COMPUTED_VALUE"""),46036.0)</f>
        <v>46036</v>
      </c>
      <c r="D4627" s="28">
        <f>IFERROR(__xludf.DUMMYFUNCTION("""COMPUTED_VALUE"""),46056.0)</f>
        <v>46056</v>
      </c>
      <c r="E4627" s="26">
        <f>IFERROR(__xludf.DUMMYFUNCTION("""COMPUTED_VALUE"""),352963.0)</f>
        <v>352963</v>
      </c>
      <c r="F4627" s="22" t="str">
        <f>IFERROR(__xludf.DUMMYFUNCTION("""COMPUTED_VALUE"""),"年下アイドル君はわがままで嫉妬深い［ばら売り］")</f>
        <v>年下アイドル君はわがままで嫉妬深い［ばら売り］</v>
      </c>
      <c r="G4627" s="20" t="str">
        <f>IFERROR(__xludf.DUMMYFUNCTION("""COMPUTED_VALUE"""),"1～4")</f>
        <v>1～4</v>
      </c>
      <c r="H4627" s="22" t="str">
        <f>IFERROR(__xludf.DUMMYFUNCTION("""COMPUTED_VALUE"""),"衣田ぬぬ")</f>
        <v>衣田ぬぬ</v>
      </c>
      <c r="I4627" s="22" t="str">
        <f>IFERROR(__xludf.DUMMYFUNCTION("""COMPUTED_VALUE"""),"BL")</f>
        <v>BL</v>
      </c>
      <c r="J4627" s="22"/>
      <c r="K4627" s="22" t="str">
        <f>IFERROR(__xludf.DUMMYFUNCTION("""COMPUTED_VALUE"""),"マンガPark")</f>
        <v>マンガPark</v>
      </c>
      <c r="L4627" s="22" t="str">
        <f>IFERROR(__xludf.DUMMYFUNCTION("""COMPUTED_VALUE"""),"白泉社")</f>
        <v>白泉社</v>
      </c>
      <c r="M4627" s="33">
        <f>IFERROR(__xludf.DUMMYFUNCTION("""COMPUTED_VALUE"""),46095.0)</f>
        <v>46095</v>
      </c>
      <c r="N4627" s="33">
        <f>IFERROR(__xludf.DUMMYFUNCTION("""COMPUTED_VALUE"""),46150.0)</f>
        <v>46150</v>
      </c>
      <c r="O4627" s="20"/>
      <c r="P4627" s="32" t="str">
        <f>IFERROR(__xludf.DUMMYFUNCTION("""COMPUTED_VALUE"""),"可")</f>
        <v>可</v>
      </c>
      <c r="Q4627" s="30"/>
      <c r="R4627" s="22"/>
      <c r="S4627" s="22" t="str">
        <f>IFERROR(__xludf.DUMMYFUNCTION("""COMPUTED_VALUE"""),"20260127_白泉社_年下アイドル君はわがままで嫉妬深い［ばら売り］")</f>
        <v>20260127_白泉社_年下アイドル君はわがままで嫉妬深い［ばら売り］</v>
      </c>
      <c r="T4627" s="22" t="str">
        <f>IFERROR(__xludf.DUMMYFUNCTION("""COMPUTED_VALUE"""),"格納済み")</f>
        <v>格納済み</v>
      </c>
      <c r="U4627" s="9" t="str">
        <f>IFERROR(__xludf.DUMMYFUNCTION("""COMPUTED_VALUE"""),"Ⓒ衣田ぬぬ／白泉社")</f>
        <v>Ⓒ衣田ぬぬ／白泉社</v>
      </c>
      <c r="V4627" s="8"/>
      <c r="W4627" s="8"/>
      <c r="X4627" s="8" t="str">
        <f>IFERROR(__xludf.DUMMYFUNCTION("""COMPUTED_VALUE"""),"有")</f>
        <v>有</v>
      </c>
      <c r="Y4627" s="8" t="str">
        <f>IFERROR(__xludf.DUMMYFUNCTION("""COMPUTED_VALUE"""),"P10まで")</f>
        <v>P10まで</v>
      </c>
      <c r="Z4627" s="7"/>
      <c r="AA4627" s="7"/>
      <c r="AB4627" s="7"/>
    </row>
    <row r="4628" ht="15.75" customHeight="1">
      <c r="A4628" s="26">
        <f>IFERROR(__xludf.DUMMYFUNCTION("""COMPUTED_VALUE"""),7205.0)</f>
        <v>7205</v>
      </c>
      <c r="B4628" s="22" t="str">
        <f>IFERROR(__xludf.DUMMYFUNCTION("""COMPUTED_VALUE"""),"確定")</f>
        <v>確定</v>
      </c>
      <c r="C4628" s="28">
        <f>IFERROR(__xludf.DUMMYFUNCTION("""COMPUTED_VALUE"""),46036.0)</f>
        <v>46036</v>
      </c>
      <c r="D4628" s="28">
        <f>IFERROR(__xludf.DUMMYFUNCTION("""COMPUTED_VALUE"""),46056.0)</f>
        <v>46056</v>
      </c>
      <c r="E4628" s="26">
        <f>IFERROR(__xludf.DUMMYFUNCTION("""COMPUTED_VALUE"""),352964.0)</f>
        <v>352964</v>
      </c>
      <c r="F4628" s="22" t="str">
        <f>IFERROR(__xludf.DUMMYFUNCTION("""COMPUTED_VALUE"""),"私が育てたのは国を滅ぼす王でした　～暗殺者は竜人王に溺愛される～［ばら売り］")</f>
        <v>私が育てたのは国を滅ぼす王でした　～暗殺者は竜人王に溺愛される～［ばら売り］</v>
      </c>
      <c r="G4628" s="20" t="str">
        <f>IFERROR(__xludf.DUMMYFUNCTION("""COMPUTED_VALUE"""),"1～4")</f>
        <v>1～4</v>
      </c>
      <c r="H4628" s="22" t="str">
        <f>IFERROR(__xludf.DUMMYFUNCTION("""COMPUTED_VALUE"""),"漫画／せんりょう静　　原作／戌島百花")</f>
        <v>漫画／せんりょう静　　原作／戌島百花</v>
      </c>
      <c r="I4628" s="22" t="str">
        <f>IFERROR(__xludf.DUMMYFUNCTION("""COMPUTED_VALUE"""),"女性")</f>
        <v>女性</v>
      </c>
      <c r="J4628" s="22"/>
      <c r="K4628" s="22" t="str">
        <f>IFERROR(__xludf.DUMMYFUNCTION("""COMPUTED_VALUE"""),"マンガPark")</f>
        <v>マンガPark</v>
      </c>
      <c r="L4628" s="22" t="str">
        <f>IFERROR(__xludf.DUMMYFUNCTION("""COMPUTED_VALUE"""),"白泉社")</f>
        <v>白泉社</v>
      </c>
      <c r="M4628" s="33">
        <f>IFERROR(__xludf.DUMMYFUNCTION("""COMPUTED_VALUE"""),46095.0)</f>
        <v>46095</v>
      </c>
      <c r="N4628" s="33">
        <f>IFERROR(__xludf.DUMMYFUNCTION("""COMPUTED_VALUE"""),46150.0)</f>
        <v>46150</v>
      </c>
      <c r="O4628" s="20"/>
      <c r="P4628" s="32" t="str">
        <f>IFERROR(__xludf.DUMMYFUNCTION("""COMPUTED_VALUE"""),"可")</f>
        <v>可</v>
      </c>
      <c r="Q4628" s="30"/>
      <c r="R4628" s="22"/>
      <c r="S4628" s="22" t="str">
        <f>IFERROR(__xludf.DUMMYFUNCTION("""COMPUTED_VALUE"""),"20260127_白泉社_私が育てたのは国を滅ぼす王でした　～暗殺者は竜人王に溺愛される～［ばら売り］")</f>
        <v>20260127_白泉社_私が育てたのは国を滅ぼす王でした　～暗殺者は竜人王に溺愛される～［ばら売り］</v>
      </c>
      <c r="T4628" s="22" t="str">
        <f>IFERROR(__xludf.DUMMYFUNCTION("""COMPUTED_VALUE"""),"格納済み")</f>
        <v>格納済み</v>
      </c>
      <c r="U4628" s="9" t="str">
        <f>IFERROR(__xludf.DUMMYFUNCTION("""COMPUTED_VALUE"""),"（C）せんりょう静・戌島百花／白泉社")</f>
        <v>（C）せんりょう静・戌島百花／白泉社</v>
      </c>
      <c r="V4628" s="8"/>
      <c r="W4628" s="8"/>
      <c r="X4628" s="8" t="str">
        <f>IFERROR(__xludf.DUMMYFUNCTION("""COMPUTED_VALUE"""),"有")</f>
        <v>有</v>
      </c>
      <c r="Y4628" s="8" t="str">
        <f>IFERROR(__xludf.DUMMYFUNCTION("""COMPUTED_VALUE"""),"P10まで")</f>
        <v>P10まで</v>
      </c>
      <c r="Z4628" s="7"/>
      <c r="AA4628" s="7"/>
      <c r="AB4628" s="7"/>
    </row>
    <row r="4629" ht="15.75" customHeight="1">
      <c r="A4629" s="26">
        <f>IFERROR(__xludf.DUMMYFUNCTION("""COMPUTED_VALUE"""),7206.0)</f>
        <v>7206</v>
      </c>
      <c r="B4629" s="22" t="str">
        <f>IFERROR(__xludf.DUMMYFUNCTION("""COMPUTED_VALUE"""),"確定")</f>
        <v>確定</v>
      </c>
      <c r="C4629" s="28">
        <f>IFERROR(__xludf.DUMMYFUNCTION("""COMPUTED_VALUE"""),46036.0)</f>
        <v>46036</v>
      </c>
      <c r="D4629" s="28">
        <f>IFERROR(__xludf.DUMMYFUNCTION("""COMPUTED_VALUE"""),46051.0)</f>
        <v>46051</v>
      </c>
      <c r="E4629" s="26">
        <f>IFERROR(__xludf.DUMMYFUNCTION("""COMPUTED_VALUE"""),352965.0)</f>
        <v>352965</v>
      </c>
      <c r="F4629" s="22" t="str">
        <f>IFERROR(__xludf.DUMMYFUNCTION("""COMPUTED_VALUE"""),"婚約者がヤンデレになる前に私がヤンデレになれば生存率爆上がり説［ばら売り］")</f>
        <v>婚約者がヤンデレになる前に私がヤンデレになれば生存率爆上がり説［ばら売り］</v>
      </c>
      <c r="G4629" s="20" t="str">
        <f>IFERROR(__xludf.DUMMYFUNCTION("""COMPUTED_VALUE"""),"1～3")</f>
        <v>1～3</v>
      </c>
      <c r="H4629" s="22" t="str">
        <f>IFERROR(__xludf.DUMMYFUNCTION("""COMPUTED_VALUE"""),"漫画：夕槻ちや　原作：海野くらげ")</f>
        <v>漫画：夕槻ちや　原作：海野くらげ</v>
      </c>
      <c r="I4629" s="22" t="str">
        <f>IFERROR(__xludf.DUMMYFUNCTION("""COMPUTED_VALUE"""),"女性")</f>
        <v>女性</v>
      </c>
      <c r="J4629" s="22"/>
      <c r="K4629" s="22" t="str">
        <f>IFERROR(__xludf.DUMMYFUNCTION("""COMPUTED_VALUE"""),"マンガPark")</f>
        <v>マンガPark</v>
      </c>
      <c r="L4629" s="22" t="str">
        <f>IFERROR(__xludf.DUMMYFUNCTION("""COMPUTED_VALUE"""),"白泉社")</f>
        <v>白泉社</v>
      </c>
      <c r="M4629" s="33">
        <f>IFERROR(__xludf.DUMMYFUNCTION("""COMPUTED_VALUE"""),46095.0)</f>
        <v>46095</v>
      </c>
      <c r="N4629" s="33">
        <f>IFERROR(__xludf.DUMMYFUNCTION("""COMPUTED_VALUE"""),46150.0)</f>
        <v>46150</v>
      </c>
      <c r="O4629" s="20"/>
      <c r="P4629" s="32" t="str">
        <f>IFERROR(__xludf.DUMMYFUNCTION("""COMPUTED_VALUE"""),"可")</f>
        <v>可</v>
      </c>
      <c r="Q4629" s="30"/>
      <c r="R4629" s="22"/>
      <c r="S4629" s="22" t="str">
        <f>IFERROR(__xludf.DUMMYFUNCTION("""COMPUTED_VALUE"""),"20260127_白泉社_婚約者がヤンデレになる前に私がヤンデレになれば生存率爆上がり説［ばら売り］")</f>
        <v>20260127_白泉社_婚約者がヤンデレになる前に私がヤンデレになれば生存率爆上がり説［ばら売り］</v>
      </c>
      <c r="T4629" s="22" t="str">
        <f>IFERROR(__xludf.DUMMYFUNCTION("""COMPUTED_VALUE"""),"格納済み")</f>
        <v>格納済み</v>
      </c>
      <c r="U4629" s="9" t="str">
        <f>IFERROR(__xludf.DUMMYFUNCTION("""COMPUTED_VALUE"""),"（ｃ）夕槻ちや・海野くらげ／白泉社")</f>
        <v>（ｃ）夕槻ちや・海野くらげ／白泉社</v>
      </c>
      <c r="V4629" s="8"/>
      <c r="W4629" s="8"/>
      <c r="X4629" s="8" t="str">
        <f>IFERROR(__xludf.DUMMYFUNCTION("""COMPUTED_VALUE"""),"有")</f>
        <v>有</v>
      </c>
      <c r="Y4629" s="8" t="str">
        <f>IFERROR(__xludf.DUMMYFUNCTION("""COMPUTED_VALUE"""),"P10まで")</f>
        <v>P10まで</v>
      </c>
      <c r="Z4629" s="7"/>
      <c r="AA4629" s="7"/>
      <c r="AB4629" s="7"/>
    </row>
    <row r="4630" ht="15.75" customHeight="1">
      <c r="A4630" s="26">
        <f>IFERROR(__xludf.DUMMYFUNCTION("""COMPUTED_VALUE"""),7207.0)</f>
        <v>7207</v>
      </c>
      <c r="B4630" s="22" t="str">
        <f>IFERROR(__xludf.DUMMYFUNCTION("""COMPUTED_VALUE"""),"確定")</f>
        <v>確定</v>
      </c>
      <c r="C4630" s="28">
        <f>IFERROR(__xludf.DUMMYFUNCTION("""COMPUTED_VALUE"""),46036.0)</f>
        <v>46036</v>
      </c>
      <c r="D4630" s="28">
        <f>IFERROR(__xludf.DUMMYFUNCTION("""COMPUTED_VALUE"""),46051.0)</f>
        <v>46051</v>
      </c>
      <c r="E4630" s="26">
        <f>IFERROR(__xludf.DUMMYFUNCTION("""COMPUTED_VALUE"""),352967.0)</f>
        <v>352967</v>
      </c>
      <c r="F4630" s="22" t="str">
        <f>IFERROR(__xludf.DUMMYFUNCTION("""COMPUTED_VALUE"""),"拾った年下男子に毎晩愛される［ばら売り］")</f>
        <v>拾った年下男子に毎晩愛される［ばら売り］</v>
      </c>
      <c r="G4630" s="20" t="str">
        <f>IFERROR(__xludf.DUMMYFUNCTION("""COMPUTED_VALUE"""),"1～5")</f>
        <v>1～5</v>
      </c>
      <c r="H4630" s="22" t="str">
        <f>IFERROR(__xludf.DUMMYFUNCTION("""COMPUTED_VALUE"""),"真夜あきこ")</f>
        <v>真夜あきこ</v>
      </c>
      <c r="I4630" s="22" t="str">
        <f>IFERROR(__xludf.DUMMYFUNCTION("""COMPUTED_VALUE"""),"少女")</f>
        <v>少女</v>
      </c>
      <c r="J4630" s="22"/>
      <c r="K4630" s="22" t="str">
        <f>IFERROR(__xludf.DUMMYFUNCTION("""COMPUTED_VALUE"""),"マンガPark")</f>
        <v>マンガPark</v>
      </c>
      <c r="L4630" s="22" t="str">
        <f>IFERROR(__xludf.DUMMYFUNCTION("""COMPUTED_VALUE"""),"白泉社")</f>
        <v>白泉社</v>
      </c>
      <c r="M4630" s="33">
        <f>IFERROR(__xludf.DUMMYFUNCTION("""COMPUTED_VALUE"""),46095.0)</f>
        <v>46095</v>
      </c>
      <c r="N4630" s="33">
        <f>IFERROR(__xludf.DUMMYFUNCTION("""COMPUTED_VALUE"""),46150.0)</f>
        <v>46150</v>
      </c>
      <c r="O4630" s="20"/>
      <c r="P4630" s="32" t="str">
        <f>IFERROR(__xludf.DUMMYFUNCTION("""COMPUTED_VALUE"""),"可")</f>
        <v>可</v>
      </c>
      <c r="Q4630" s="30" t="str">
        <f>IFERROR(__xludf.DUMMYFUNCTION("""COMPUTED_VALUE"""),"・マンガPark作品です。")</f>
        <v>・マンガPark作品です。</v>
      </c>
      <c r="R4630" s="22"/>
      <c r="S4630" s="22" t="str">
        <f>IFERROR(__xludf.DUMMYFUNCTION("""COMPUTED_VALUE"""),"20260127_白泉社_拾った年下男子に毎晩愛される［ばら売り］")</f>
        <v>20260127_白泉社_拾った年下男子に毎晩愛される［ばら売り］</v>
      </c>
      <c r="T4630" s="22" t="str">
        <f>IFERROR(__xludf.DUMMYFUNCTION("""COMPUTED_VALUE"""),"格納済み")</f>
        <v>格納済み</v>
      </c>
      <c r="U4630" s="9" t="str">
        <f>IFERROR(__xludf.DUMMYFUNCTION("""COMPUTED_VALUE"""),"Ⓒ真夜あきこ／白泉社")</f>
        <v>Ⓒ真夜あきこ／白泉社</v>
      </c>
      <c r="V4630" s="8"/>
      <c r="W4630" s="8"/>
      <c r="X4630" s="8" t="str">
        <f>IFERROR(__xludf.DUMMYFUNCTION("""COMPUTED_VALUE"""),"有")</f>
        <v>有</v>
      </c>
      <c r="Y4630" s="8" t="str">
        <f>IFERROR(__xludf.DUMMYFUNCTION("""COMPUTED_VALUE"""),"2026/3/27まで1巻無料")</f>
        <v>2026/3/27まで1巻無料</v>
      </c>
      <c r="Z4630" s="7"/>
      <c r="AA4630" s="7"/>
      <c r="AB4630" s="7"/>
    </row>
    <row r="4631" ht="15.75" customHeight="1">
      <c r="A4631" s="26">
        <f>IFERROR(__xludf.DUMMYFUNCTION("""COMPUTED_VALUE"""),7241.0)</f>
        <v>7241</v>
      </c>
      <c r="B4631" s="22" t="str">
        <f>IFERROR(__xludf.DUMMYFUNCTION("""COMPUTED_VALUE"""),"確定")</f>
        <v>確定</v>
      </c>
      <c r="C4631" s="28">
        <f>IFERROR(__xludf.DUMMYFUNCTION("""COMPUTED_VALUE"""),46038.0)</f>
        <v>46038</v>
      </c>
      <c r="D4631" s="28">
        <f>IFERROR(__xludf.DUMMYFUNCTION("""COMPUTED_VALUE"""),46056.0)</f>
        <v>46056</v>
      </c>
      <c r="E4631" s="26">
        <f>IFERROR(__xludf.DUMMYFUNCTION("""COMPUTED_VALUE"""),351002.0)</f>
        <v>351002</v>
      </c>
      <c r="F4631" s="22" t="str">
        <f>IFERROR(__xludf.DUMMYFUNCTION("""COMPUTED_VALUE"""),"マウントリベンジ～破滅するまで見ていてあげる、サレ妻の復讐～")</f>
        <v>マウントリベンジ～破滅するまで見ていてあげる、サレ妻の復讐～</v>
      </c>
      <c r="G4631" s="20" t="str">
        <f>IFERROR(__xludf.DUMMYFUNCTION("""COMPUTED_VALUE"""),"1～3")</f>
        <v>1～3</v>
      </c>
      <c r="H4631" s="22" t="str">
        <f>IFERROR(__xludf.DUMMYFUNCTION("""COMPUTED_VALUE"""),"甘味みつ・雪乃サト・瑠璃マリコ")</f>
        <v>甘味みつ・雪乃サト・瑠璃マリコ</v>
      </c>
      <c r="I4631" s="22" t="str">
        <f>IFERROR(__xludf.DUMMYFUNCTION("""COMPUTED_VALUE"""),"女性")</f>
        <v>女性</v>
      </c>
      <c r="J4631" s="22"/>
      <c r="K4631" s="22"/>
      <c r="L4631" s="22" t="str">
        <f>IFERROR(__xludf.DUMMYFUNCTION("""COMPUTED_VALUE"""),"Freedia")</f>
        <v>Freedia</v>
      </c>
      <c r="M4631" s="33">
        <f>IFERROR(__xludf.DUMMYFUNCTION("""COMPUTED_VALUE"""),46084.0)</f>
        <v>46084</v>
      </c>
      <c r="N4631" s="33">
        <f>IFERROR(__xludf.DUMMYFUNCTION("""COMPUTED_VALUE"""),46175.0)</f>
        <v>46175</v>
      </c>
      <c r="O4631" s="20"/>
      <c r="P4631" s="32" t="str">
        <f>IFERROR(__xludf.DUMMYFUNCTION("""COMPUTED_VALUE"""),"可")</f>
        <v>可</v>
      </c>
      <c r="Q4631" s="30"/>
      <c r="R4631" s="22" t="str">
        <f>IFERROR(__xludf.DUMMYFUNCTION("""COMPUTED_VALUE"""),"コミットOK")</f>
        <v>コミットOK</v>
      </c>
      <c r="S4631" s="22" t="str">
        <f>IFERROR(__xludf.DUMMYFUNCTION("""COMPUTED_VALUE"""),"20260116_Freedia_マウントリベンジ")</f>
        <v>20260116_Freedia_マウントリベンジ</v>
      </c>
      <c r="T4631" s="22" t="str">
        <f>IFERROR(__xludf.DUMMYFUNCTION("""COMPUTED_VALUE"""),"格納済み")</f>
        <v>格納済み</v>
      </c>
      <c r="U4631" s="9" t="str">
        <f>IFERROR(__xludf.DUMMYFUNCTION("""COMPUTED_VALUE"""),"Ⓒ甘味みつ・雪乃サト・瑠璃マリコ/Freedia・テラーノベル")</f>
        <v>Ⓒ甘味みつ・雪乃サト・瑠璃マリコ/Freedia・テラーノベル</v>
      </c>
      <c r="V4631" s="8"/>
      <c r="W4631" s="8"/>
      <c r="X4631" s="8" t="str">
        <f>IFERROR(__xludf.DUMMYFUNCTION("""COMPUTED_VALUE"""),"有")</f>
        <v>有</v>
      </c>
      <c r="Y4631" s="8" t="str">
        <f>IFERROR(__xludf.DUMMYFUNCTION("""COMPUTED_VALUE"""),"2026/6/2まで1巻無料")</f>
        <v>2026/6/2まで1巻無料</v>
      </c>
      <c r="Z4631" s="7"/>
      <c r="AA4631" s="7"/>
      <c r="AB4631" s="7"/>
    </row>
    <row r="4632" ht="15.75" customHeight="1">
      <c r="A4632" s="26">
        <f>IFERROR(__xludf.DUMMYFUNCTION("""COMPUTED_VALUE"""),7245.0)</f>
        <v>7245</v>
      </c>
      <c r="B4632" s="22" t="str">
        <f>IFERROR(__xludf.DUMMYFUNCTION("""COMPUTED_VALUE"""),"確定")</f>
        <v>確定</v>
      </c>
      <c r="C4632" s="28">
        <f>IFERROR(__xludf.DUMMYFUNCTION("""COMPUTED_VALUE"""),46041.0)</f>
        <v>46041</v>
      </c>
      <c r="D4632" s="28">
        <f>IFERROR(__xludf.DUMMYFUNCTION("""COMPUTED_VALUE"""),46056.0)</f>
        <v>46056</v>
      </c>
      <c r="E4632" s="26">
        <f>IFERROR(__xludf.DUMMYFUNCTION("""COMPUTED_VALUE"""),353309.0)</f>
        <v>353309</v>
      </c>
      <c r="F4632" s="22" t="str">
        <f>IFERROR(__xludf.DUMMYFUNCTION("""COMPUTED_VALUE"""),"プロポーズは復讐のあとで〜最上階の御曹司は落ちた花嫁に愛を誓う〜")</f>
        <v>プロポーズは復讐のあとで〜最上階の御曹司は落ちた花嫁に愛を誓う〜</v>
      </c>
      <c r="G4632" s="20" t="str">
        <f>IFERROR(__xludf.DUMMYFUNCTION("""COMPUTED_VALUE"""),"1～5")</f>
        <v>1～5</v>
      </c>
      <c r="H4632" s="22" t="str">
        <f>IFERROR(__xludf.DUMMYFUNCTION("""COMPUTED_VALUE"""),"古川あさこ,peep,ちえぴ,taskey STUDIO")</f>
        <v>古川あさこ,peep,ちえぴ,taskey STUDIO</v>
      </c>
      <c r="I4632" s="22" t="str">
        <f>IFERROR(__xludf.DUMMYFUNCTION("""COMPUTED_VALUE"""),"女性")</f>
        <v>女性</v>
      </c>
      <c r="J4632" s="22"/>
      <c r="K4632" s="22"/>
      <c r="L4632" s="22" t="str">
        <f>IFERROR(__xludf.DUMMYFUNCTION("""COMPUTED_VALUE"""),"taskey")</f>
        <v>taskey</v>
      </c>
      <c r="M4632" s="33">
        <f>IFERROR(__xludf.DUMMYFUNCTION("""COMPUTED_VALUE"""),46090.0)</f>
        <v>46090</v>
      </c>
      <c r="N4632" s="33">
        <f>IFERROR(__xludf.DUMMYFUNCTION("""COMPUTED_VALUE"""),46150.0)</f>
        <v>46150</v>
      </c>
      <c r="O4632" s="20"/>
      <c r="P4632" s="32" t="str">
        <f>IFERROR(__xludf.DUMMYFUNCTION("""COMPUTED_VALUE"""),"可")</f>
        <v>可</v>
      </c>
      <c r="Q4632" s="30"/>
      <c r="R4632" s="22" t="str">
        <f>IFERROR(__xludf.DUMMYFUNCTION("""COMPUTED_VALUE"""),"コミットOK")</f>
        <v>コミットOK</v>
      </c>
      <c r="S4632" s="22" t="str">
        <f>IFERROR(__xludf.DUMMYFUNCTION("""COMPUTED_VALUE"""),"20260203_taskey_プロポーズは復讐のあとで〜最上階の御曹司は落ちた花嫁に愛を誓う〜_2")</f>
        <v>20260203_taskey_プロポーズは復讐のあとで〜最上階の御曹司は落ちた花嫁に愛を誓う〜_2</v>
      </c>
      <c r="T4632" s="22" t="str">
        <f>IFERROR(__xludf.DUMMYFUNCTION("""COMPUTED_VALUE"""),"格納済み")</f>
        <v>格納済み</v>
      </c>
      <c r="U4632" s="9" t="str">
        <f>IFERROR(__xludf.DUMMYFUNCTION("""COMPUTED_VALUE"""),"Ⓒ︎taskey　原作／古川あさこ　漫画／ちえぴ")</f>
        <v>Ⓒ︎taskey　原作／古川あさこ　漫画／ちえぴ</v>
      </c>
      <c r="V4632" s="8"/>
      <c r="W4632" s="8"/>
      <c r="X4632" s="8" t="str">
        <f>IFERROR(__xludf.DUMMYFUNCTION("""COMPUTED_VALUE"""),"有")</f>
        <v>有</v>
      </c>
      <c r="Y4632" s="8" t="str">
        <f>IFERROR(__xludf.DUMMYFUNCTION("""COMPUTED_VALUE"""),"1～2巻無料")</f>
        <v>1～2巻無料</v>
      </c>
      <c r="Z4632" s="7"/>
      <c r="AA4632" s="7"/>
      <c r="AB4632" s="7"/>
    </row>
    <row r="4633" ht="15.75" customHeight="1">
      <c r="A4633" s="26">
        <f>IFERROR(__xludf.DUMMYFUNCTION("""COMPUTED_VALUE"""),7251.0)</f>
        <v>7251</v>
      </c>
      <c r="B4633" s="22" t="str">
        <f>IFERROR(__xludf.DUMMYFUNCTION("""COMPUTED_VALUE"""),"確定")</f>
        <v>確定</v>
      </c>
      <c r="C4633" s="28">
        <f>IFERROR(__xludf.DUMMYFUNCTION("""COMPUTED_VALUE"""),46042.0)</f>
        <v>46042</v>
      </c>
      <c r="D4633" s="28">
        <f>IFERROR(__xludf.DUMMYFUNCTION("""COMPUTED_VALUE"""),46056.0)</f>
        <v>46056</v>
      </c>
      <c r="E4633" s="26">
        <f>IFERROR(__xludf.DUMMYFUNCTION("""COMPUTED_VALUE"""),352516.0)</f>
        <v>352516</v>
      </c>
      <c r="F4633" s="22" t="str">
        <f>IFERROR(__xludf.DUMMYFUNCTION("""COMPUTED_VALUE"""),"この恋、片づきません！～ズボラ女子と潔癖男は契約同棲中～")</f>
        <v>この恋、片づきません！～ズボラ女子と潔癖男は契約同棲中～</v>
      </c>
      <c r="G4633" s="20" t="str">
        <f>IFERROR(__xludf.DUMMYFUNCTION("""COMPUTED_VALUE"""),"1～3")</f>
        <v>1～3</v>
      </c>
      <c r="H4633" s="22" t="str">
        <f>IFERROR(__xludf.DUMMYFUNCTION("""COMPUTED_VALUE"""),"子葉")</f>
        <v>子葉</v>
      </c>
      <c r="I4633" s="22" t="str">
        <f>IFERROR(__xludf.DUMMYFUNCTION("""COMPUTED_VALUE"""),"女性")</f>
        <v>女性</v>
      </c>
      <c r="J4633" s="22"/>
      <c r="K4633" s="22"/>
      <c r="L4633" s="22" t="str">
        <f>IFERROR(__xludf.DUMMYFUNCTION("""COMPUTED_VALUE"""),"Freedia")</f>
        <v>Freedia</v>
      </c>
      <c r="M4633" s="33">
        <f>IFERROR(__xludf.DUMMYFUNCTION("""COMPUTED_VALUE"""),46098.0)</f>
        <v>46098</v>
      </c>
      <c r="N4633" s="33">
        <f>IFERROR(__xludf.DUMMYFUNCTION("""COMPUTED_VALUE"""),46189.0)</f>
        <v>46189</v>
      </c>
      <c r="O4633" s="20"/>
      <c r="P4633" s="32" t="str">
        <f>IFERROR(__xludf.DUMMYFUNCTION("""COMPUTED_VALUE"""),"可")</f>
        <v>可</v>
      </c>
      <c r="Q4633" s="30"/>
      <c r="R4633" s="22" t="str">
        <f>IFERROR(__xludf.DUMMYFUNCTION("""COMPUTED_VALUE"""),"コミットNG")</f>
        <v>コミットNG</v>
      </c>
      <c r="S4633" s="22" t="str">
        <f>IFERROR(__xludf.DUMMYFUNCTION("""COMPUTED_VALUE"""),"20260120_Freedia_この恋、片づきません！")</f>
        <v>20260120_Freedia_この恋、片づきません！</v>
      </c>
      <c r="T4633" s="22" t="str">
        <f>IFERROR(__xludf.DUMMYFUNCTION("""COMPUTED_VALUE"""),"格納済み")</f>
        <v>格納済み</v>
      </c>
      <c r="U4633" s="9" t="str">
        <f>IFERROR(__xludf.DUMMYFUNCTION("""COMPUTED_VALUE"""),"Ⓒ子葉/Freedia")</f>
        <v>Ⓒ子葉/Freedia</v>
      </c>
      <c r="V4633" s="8"/>
      <c r="W4633" s="8"/>
      <c r="X4633" s="8" t="str">
        <f>IFERROR(__xludf.DUMMYFUNCTION("""COMPUTED_VALUE"""),"有")</f>
        <v>有</v>
      </c>
      <c r="Y4633" s="8" t="str">
        <f>IFERROR(__xludf.DUMMYFUNCTION("""COMPUTED_VALUE"""),"P5まで")</f>
        <v>P5まで</v>
      </c>
      <c r="Z4633" s="7"/>
      <c r="AA4633" s="7"/>
      <c r="AB4633" s="7"/>
    </row>
    <row r="4634" ht="15.75" customHeight="1">
      <c r="A4634" s="26">
        <f>IFERROR(__xludf.DUMMYFUNCTION("""COMPUTED_VALUE"""),7254.0)</f>
        <v>7254</v>
      </c>
      <c r="B4634" s="22" t="str">
        <f>IFERROR(__xludf.DUMMYFUNCTION("""COMPUTED_VALUE"""),"確定")</f>
        <v>確定</v>
      </c>
      <c r="C4634" s="28">
        <f>IFERROR(__xludf.DUMMYFUNCTION("""COMPUTED_VALUE"""),46042.0)</f>
        <v>46042</v>
      </c>
      <c r="D4634" s="28">
        <f>IFERROR(__xludf.DUMMYFUNCTION("""COMPUTED_VALUE"""),46056.0)</f>
        <v>46056</v>
      </c>
      <c r="E4634" s="26">
        <f>IFERROR(__xludf.DUMMYFUNCTION("""COMPUTED_VALUE"""),352186.0)</f>
        <v>352186</v>
      </c>
      <c r="F4634" s="22" t="str">
        <f>IFERROR(__xludf.DUMMYFUNCTION("""COMPUTED_VALUE"""),"復讐のきずな〜完璧夫には５人の妻がいました〜")</f>
        <v>復讐のきずな〜完璧夫には５人の妻がいました〜</v>
      </c>
      <c r="G4634" s="20" t="str">
        <f>IFERROR(__xludf.DUMMYFUNCTION("""COMPUTED_VALUE"""),"1～3")</f>
        <v>1～3</v>
      </c>
      <c r="H4634" s="22" t="str">
        <f>IFERROR(__xludf.DUMMYFUNCTION("""COMPUTED_VALUE"""),"由刈")</f>
        <v>由刈</v>
      </c>
      <c r="I4634" s="22" t="str">
        <f>IFERROR(__xludf.DUMMYFUNCTION("""COMPUTED_VALUE"""),"女性")</f>
        <v>女性</v>
      </c>
      <c r="J4634" s="22"/>
      <c r="K4634" s="22" t="str">
        <f>IFERROR(__xludf.DUMMYFUNCTION("""COMPUTED_VALUE"""),"Ropopo!")</f>
        <v>Ropopo!</v>
      </c>
      <c r="L4634" s="22" t="str">
        <f>IFERROR(__xludf.DUMMYFUNCTION("""COMPUTED_VALUE"""),"CLLENN")</f>
        <v>CLLENN</v>
      </c>
      <c r="M4634" s="33">
        <f>IFERROR(__xludf.DUMMYFUNCTION("""COMPUTED_VALUE"""),46082.0)</f>
        <v>46082</v>
      </c>
      <c r="N4634" s="33">
        <f>IFERROR(__xludf.DUMMYFUNCTION("""COMPUTED_VALUE"""),46144.0)</f>
        <v>46144</v>
      </c>
      <c r="O4634" s="20"/>
      <c r="P4634" s="32" t="str">
        <f>IFERROR(__xludf.DUMMYFUNCTION("""COMPUTED_VALUE"""),"可")</f>
        <v>可</v>
      </c>
      <c r="Q4634" s="30"/>
      <c r="R4634" s="22" t="str">
        <f>IFERROR(__xludf.DUMMYFUNCTION("""COMPUTED_VALUE"""),"コミットOK")</f>
        <v>コミットOK</v>
      </c>
      <c r="S4634" s="22" t="str">
        <f>IFERROR(__xludf.DUMMYFUNCTION("""COMPUTED_VALUE"""),"20260202_CLLENN_復讐のきずな〜完璧夫には５人の妻がいました〜")</f>
        <v>20260202_CLLENN_復讐のきずな〜完璧夫には５人の妻がいました〜</v>
      </c>
      <c r="T4634" s="22" t="str">
        <f>IFERROR(__xludf.DUMMYFUNCTION("""COMPUTED_VALUE"""),"格納済み")</f>
        <v>格納済み</v>
      </c>
      <c r="U4634" s="9" t="str">
        <f>IFERROR(__xludf.DUMMYFUNCTION("""COMPUTED_VALUE"""),"Ⓒ由刈/CLLENN")</f>
        <v>Ⓒ由刈/CLLENN</v>
      </c>
      <c r="V4634" s="8"/>
      <c r="W4634" s="8"/>
      <c r="X4634" s="8" t="str">
        <f>IFERROR(__xludf.DUMMYFUNCTION("""COMPUTED_VALUE"""),"有")</f>
        <v>有</v>
      </c>
      <c r="Y4634" s="8" t="str">
        <f>IFERROR(__xludf.DUMMYFUNCTION("""COMPUTED_VALUE"""),"2026/3/14まで1巻無料")</f>
        <v>2026/3/14まで1巻無料</v>
      </c>
      <c r="Z4634" s="7"/>
      <c r="AA4634" s="7"/>
      <c r="AB4634" s="7"/>
    </row>
    <row r="4635" ht="15.75" customHeight="1">
      <c r="A4635" s="26">
        <f>IFERROR(__xludf.DUMMYFUNCTION("""COMPUTED_VALUE"""),7291.0)</f>
        <v>7291</v>
      </c>
      <c r="B4635" s="22" t="str">
        <f>IFERROR(__xludf.DUMMYFUNCTION("""COMPUTED_VALUE"""),"確定")</f>
        <v>確定</v>
      </c>
      <c r="C4635" s="28">
        <f>IFERROR(__xludf.DUMMYFUNCTION("""COMPUTED_VALUE"""),46048.0)</f>
        <v>46048</v>
      </c>
      <c r="D4635" s="28">
        <f>IFERROR(__xludf.DUMMYFUNCTION("""COMPUTED_VALUE"""),46056.0)</f>
        <v>46056</v>
      </c>
      <c r="E4635" s="26">
        <f>IFERROR(__xludf.DUMMYFUNCTION("""COMPUTED_VALUE"""),330226.0)</f>
        <v>330226</v>
      </c>
      <c r="F4635" s="22" t="str">
        <f>IFERROR(__xludf.DUMMYFUNCTION("""COMPUTED_VALUE"""),"白ばらパトロネージュ")</f>
        <v>白ばらパトロネージュ</v>
      </c>
      <c r="G4635" s="20" t="str">
        <f>IFERROR(__xludf.DUMMYFUNCTION("""COMPUTED_VALUE"""),"1～2")</f>
        <v>1～2</v>
      </c>
      <c r="H4635" s="22" t="str">
        <f>IFERROR(__xludf.DUMMYFUNCTION("""COMPUTED_VALUE"""),"高乃トキ")</f>
        <v>高乃トキ</v>
      </c>
      <c r="I4635" s="22" t="str">
        <f>IFERROR(__xludf.DUMMYFUNCTION("""COMPUTED_VALUE"""),"BLマンガ")</f>
        <v>BLマンガ</v>
      </c>
      <c r="J4635" s="22"/>
      <c r="K4635" s="22" t="str">
        <f>IFERROR(__xludf.DUMMYFUNCTION("""COMPUTED_VALUE"""),"Ficus")</f>
        <v>Ficus</v>
      </c>
      <c r="L4635" s="22" t="str">
        <f>IFERROR(__xludf.DUMMYFUNCTION("""COMPUTED_VALUE"""),"シーモアコミックス")</f>
        <v>シーモアコミックス</v>
      </c>
      <c r="M4635" s="33">
        <f>IFERROR(__xludf.DUMMYFUNCTION("""COMPUTED_VALUE"""),46081.0)</f>
        <v>46081</v>
      </c>
      <c r="N4635" s="33">
        <f>IFERROR(__xludf.DUMMYFUNCTION("""COMPUTED_VALUE"""),46170.0)</f>
        <v>46170</v>
      </c>
      <c r="O4635" s="20"/>
      <c r="P4635" s="32" t="str">
        <f>IFERROR(__xludf.DUMMYFUNCTION("""COMPUTED_VALUE"""),"可")</f>
        <v>可</v>
      </c>
      <c r="Q4635" s="30"/>
      <c r="R4635" s="22"/>
      <c r="S4635" s="22" t="str">
        <f>IFERROR(__xludf.DUMMYFUNCTION("""COMPUTED_VALUE"""),"20260126_シーモアコミックス_白ばらパトロネージュ")</f>
        <v>20260126_シーモアコミックス_白ばらパトロネージュ</v>
      </c>
      <c r="T4635" s="22" t="str">
        <f>IFERROR(__xludf.DUMMYFUNCTION("""COMPUTED_VALUE"""),"格納済み")</f>
        <v>格納済み</v>
      </c>
      <c r="U4635" s="9" t="str">
        <f>IFERROR(__xludf.DUMMYFUNCTION("""COMPUTED_VALUE"""),"(C) 高乃トキ/シーモアコミックス")</f>
        <v>(C) 高乃トキ/シーモアコミックス</v>
      </c>
      <c r="V4635" s="8"/>
      <c r="W4635" s="8"/>
      <c r="X4635" s="8" t="str">
        <f>IFERROR(__xludf.DUMMYFUNCTION("""COMPUTED_VALUE"""),"有")</f>
        <v>有</v>
      </c>
      <c r="Y4635" s="8" t="str">
        <f>IFERROR(__xludf.DUMMYFUNCTION("""COMPUTED_VALUE"""),"P10まで")</f>
        <v>P10まで</v>
      </c>
      <c r="Z4635" s="7"/>
      <c r="AA4635" s="7"/>
      <c r="AB4635" s="7"/>
    </row>
    <row r="4636" ht="15.75" customHeight="1">
      <c r="A4636" s="26">
        <f>IFERROR(__xludf.DUMMYFUNCTION("""COMPUTED_VALUE"""),7292.0)</f>
        <v>7292</v>
      </c>
      <c r="B4636" s="22" t="str">
        <f>IFERROR(__xludf.DUMMYFUNCTION("""COMPUTED_VALUE"""),"確定")</f>
        <v>確定</v>
      </c>
      <c r="C4636" s="28">
        <f>IFERROR(__xludf.DUMMYFUNCTION("""COMPUTED_VALUE"""),46048.0)</f>
        <v>46048</v>
      </c>
      <c r="D4636" s="28">
        <f>IFERROR(__xludf.DUMMYFUNCTION("""COMPUTED_VALUE"""),46056.0)</f>
        <v>46056</v>
      </c>
      <c r="E4636" s="26">
        <f>IFERROR(__xludf.DUMMYFUNCTION("""COMPUTED_VALUE"""),334884.0)</f>
        <v>334884</v>
      </c>
      <c r="F4636" s="22" t="str">
        <f>IFERROR(__xludf.DUMMYFUNCTION("""COMPUTED_VALUE"""),"バツイチ、元カレ、未経験")</f>
        <v>バツイチ、元カレ、未経験</v>
      </c>
      <c r="G4636" s="20" t="str">
        <f>IFERROR(__xludf.DUMMYFUNCTION("""COMPUTED_VALUE"""),"1～3")</f>
        <v>1～3</v>
      </c>
      <c r="H4636" s="22" t="str">
        <f>IFERROR(__xludf.DUMMYFUNCTION("""COMPUTED_VALUE"""),"むにんしおり")</f>
        <v>むにんしおり</v>
      </c>
      <c r="I4636" s="22" t="str">
        <f>IFERROR(__xludf.DUMMYFUNCTION("""COMPUTED_VALUE"""),"女性マンガ")</f>
        <v>女性マンガ</v>
      </c>
      <c r="J4636" s="22"/>
      <c r="K4636" s="22" t="str">
        <f>IFERROR(__xludf.DUMMYFUNCTION("""COMPUTED_VALUE"""),"恋するソワレ＋,恋するソワレ")</f>
        <v>恋するソワレ＋,恋するソワレ</v>
      </c>
      <c r="L4636" s="22" t="str">
        <f>IFERROR(__xludf.DUMMYFUNCTION("""COMPUTED_VALUE"""),"シーモアコミックス")</f>
        <v>シーモアコミックス</v>
      </c>
      <c r="M4636" s="33">
        <f>IFERROR(__xludf.DUMMYFUNCTION("""COMPUTED_VALUE"""),46081.0)</f>
        <v>46081</v>
      </c>
      <c r="N4636" s="33">
        <f>IFERROR(__xludf.DUMMYFUNCTION("""COMPUTED_VALUE"""),46233.66666666667)</f>
        <v>46233.66667</v>
      </c>
      <c r="O4636" s="20"/>
      <c r="P4636" s="32" t="str">
        <f>IFERROR(__xludf.DUMMYFUNCTION("""COMPUTED_VALUE"""),"可")</f>
        <v>可</v>
      </c>
      <c r="Q4636" s="30"/>
      <c r="R4636" s="22"/>
      <c r="S4636" s="22" t="str">
        <f>IFERROR(__xludf.DUMMYFUNCTION("""COMPUTED_VALUE"""),"20260126_シーモアコミックス_バツイチ、元カレ、未経験")</f>
        <v>20260126_シーモアコミックス_バツイチ、元カレ、未経験</v>
      </c>
      <c r="T4636" s="22" t="str">
        <f>IFERROR(__xludf.DUMMYFUNCTION("""COMPUTED_VALUE"""),"格納済み")</f>
        <v>格納済み</v>
      </c>
      <c r="U4636" s="9" t="str">
        <f>IFERROR(__xludf.DUMMYFUNCTION("""COMPUTED_VALUE"""),"(C) むにんしおり/シーモアコミックス")</f>
        <v>(C) むにんしおり/シーモアコミックス</v>
      </c>
      <c r="V4636" s="8"/>
      <c r="W4636" s="8"/>
      <c r="X4636" s="8" t="str">
        <f>IFERROR(__xludf.DUMMYFUNCTION("""COMPUTED_VALUE"""),"有")</f>
        <v>有</v>
      </c>
      <c r="Y4636" s="8" t="str">
        <f>IFERROR(__xludf.DUMMYFUNCTION("""COMPUTED_VALUE"""),"2026/3/27まで1巻無料")</f>
        <v>2026/3/27まで1巻無料</v>
      </c>
      <c r="Z4636" s="7"/>
      <c r="AA4636" s="7"/>
      <c r="AB4636" s="7"/>
    </row>
    <row r="4637" ht="15.75" customHeight="1">
      <c r="A4637" s="26">
        <f>IFERROR(__xludf.DUMMYFUNCTION("""COMPUTED_VALUE"""),7293.0)</f>
        <v>7293</v>
      </c>
      <c r="B4637" s="22" t="str">
        <f>IFERROR(__xludf.DUMMYFUNCTION("""COMPUTED_VALUE"""),"確定")</f>
        <v>確定</v>
      </c>
      <c r="C4637" s="28">
        <f>IFERROR(__xludf.DUMMYFUNCTION("""COMPUTED_VALUE"""),46048.0)</f>
        <v>46048</v>
      </c>
      <c r="D4637" s="28">
        <f>IFERROR(__xludf.DUMMYFUNCTION("""COMPUTED_VALUE"""),46052.0)</f>
        <v>46052</v>
      </c>
      <c r="E4637" s="26">
        <f>IFERROR(__xludf.DUMMYFUNCTION("""COMPUTED_VALUE"""),318327.0)</f>
        <v>318327</v>
      </c>
      <c r="F4637" s="22" t="str">
        <f>IFERROR(__xludf.DUMMYFUNCTION("""COMPUTED_VALUE"""),"前世のライバルを皇帝にしてみせます ～元皇帝の才女は死に戻り転生して今度こそ幸せになります～(フルカラー)")</f>
        <v>前世のライバルを皇帝にしてみせます ～元皇帝の才女は死に戻り転生して今度こそ幸せになります～(フルカラー)</v>
      </c>
      <c r="G4637" s="20" t="str">
        <f>IFERROR(__xludf.DUMMYFUNCTION("""COMPUTED_VALUE"""),"1～10")</f>
        <v>1～10</v>
      </c>
      <c r="H4637" s="22" t="str">
        <f>IFERROR(__xludf.DUMMYFUNCTION("""COMPUTED_VALUE"""),"Baekok,Lemon Frog,LEFO")</f>
        <v>Baekok,Lemon Frog,LEFO</v>
      </c>
      <c r="I4637" s="22" t="str">
        <f>IFERROR(__xludf.DUMMYFUNCTION("""COMPUTED_VALUE"""),"女性マンガ")</f>
        <v>女性マンガ</v>
      </c>
      <c r="J4637" s="22"/>
      <c r="K4637" s="22" t="str">
        <f>IFERROR(__xludf.DUMMYFUNCTION("""COMPUTED_VALUE"""),"恋するソワレ")</f>
        <v>恋するソワレ</v>
      </c>
      <c r="L4637" s="22" t="str">
        <f>IFERROR(__xludf.DUMMYFUNCTION("""COMPUTED_VALUE"""),"シーモアコミックス")</f>
        <v>シーモアコミックス</v>
      </c>
      <c r="M4637" s="33">
        <f>IFERROR(__xludf.DUMMYFUNCTION("""COMPUTED_VALUE"""),46082.0)</f>
        <v>46082</v>
      </c>
      <c r="N4637" s="33">
        <f>IFERROR(__xludf.DUMMYFUNCTION("""COMPUTED_VALUE"""),2958465.0)</f>
        <v>2958465</v>
      </c>
      <c r="O4637" s="20"/>
      <c r="P4637" s="32" t="str">
        <f>IFERROR(__xludf.DUMMYFUNCTION("""COMPUTED_VALUE"""),"可")</f>
        <v>可</v>
      </c>
      <c r="Q4637" s="30"/>
      <c r="R4637" s="22"/>
      <c r="S4637" s="22" t="str">
        <f>IFERROR(__xludf.DUMMYFUNCTION("""COMPUTED_VALUE"""),"20260130_シーモアコミックス_前世のライバルを皇帝にしてみせます ～元皇帝の才女は死に戻り転生して今度こそ幸せになります～(フルカラー)")</f>
        <v>20260130_シーモアコミックス_前世のライバルを皇帝にしてみせます ～元皇帝の才女は死に戻り転生して今度こそ幸せになります～(フルカラー)</v>
      </c>
      <c r="T4637" s="22" t="str">
        <f>IFERROR(__xludf.DUMMYFUNCTION("""COMPUTED_VALUE"""),"格納済み")</f>
        <v>格納済み</v>
      </c>
      <c r="U4637" s="9" t="str">
        <f>IFERROR(__xludf.DUMMYFUNCTION("""COMPUTED_VALUE"""),"(C) Baekok/Lemon Frog/LEFO/MSTORYHUB/シーモアコミックス")</f>
        <v>(C) Baekok/Lemon Frog/LEFO/MSTORYHUB/シーモアコミックス</v>
      </c>
      <c r="V4637" s="8"/>
      <c r="W4637" s="8"/>
      <c r="X4637" s="8" t="str">
        <f>IFERROR(__xludf.DUMMYFUNCTION("""COMPUTED_VALUE"""),"有")</f>
        <v>有</v>
      </c>
      <c r="Y4637" s="8" t="str">
        <f>IFERROR(__xludf.DUMMYFUNCTION("""COMPUTED_VALUE"""),"2026/4/4まで1~3巻無料")</f>
        <v>2026/4/4まで1~3巻無料</v>
      </c>
      <c r="Z4637" s="7"/>
      <c r="AA4637" s="7"/>
      <c r="AB4637" s="7"/>
    </row>
    <row r="4638" ht="15.75" customHeight="1">
      <c r="A4638" s="26">
        <f>IFERROR(__xludf.DUMMYFUNCTION("""COMPUTED_VALUE"""),7294.0)</f>
        <v>7294</v>
      </c>
      <c r="B4638" s="22" t="str">
        <f>IFERROR(__xludf.DUMMYFUNCTION("""COMPUTED_VALUE"""),"確定")</f>
        <v>確定</v>
      </c>
      <c r="C4638" s="28">
        <f>IFERROR(__xludf.DUMMYFUNCTION("""COMPUTED_VALUE"""),46048.0)</f>
        <v>46048</v>
      </c>
      <c r="D4638" s="28">
        <f>IFERROR(__xludf.DUMMYFUNCTION("""COMPUTED_VALUE"""),46052.0)</f>
        <v>46052</v>
      </c>
      <c r="E4638" s="26">
        <f>IFERROR(__xludf.DUMMYFUNCTION("""COMPUTED_VALUE"""),318328.0)</f>
        <v>318328</v>
      </c>
      <c r="F4638" s="22" t="str">
        <f>IFERROR(__xludf.DUMMYFUNCTION("""COMPUTED_VALUE"""),"前世のライバルを皇帝にしてみせます ～元皇帝の才女は死に戻り転生して今度こそ幸せになります～【タテヨミ】")</f>
        <v>前世のライバルを皇帝にしてみせます ～元皇帝の才女は死に戻り転生して今度こそ幸せになります～【タテヨミ】</v>
      </c>
      <c r="G4638" s="20" t="str">
        <f>IFERROR(__xludf.DUMMYFUNCTION("""COMPUTED_VALUE"""),"1～30")</f>
        <v>1～30</v>
      </c>
      <c r="H4638" s="22" t="str">
        <f>IFERROR(__xludf.DUMMYFUNCTION("""COMPUTED_VALUE"""),"Baekok,Lemon Frog,LEFO")</f>
        <v>Baekok,Lemon Frog,LEFO</v>
      </c>
      <c r="I4638" s="22" t="str">
        <f>IFERROR(__xludf.DUMMYFUNCTION("""COMPUTED_VALUE"""),"女性マンガ")</f>
        <v>女性マンガ</v>
      </c>
      <c r="J4638" s="22"/>
      <c r="K4638" s="22" t="str">
        <f>IFERROR(__xludf.DUMMYFUNCTION("""COMPUTED_VALUE"""),"恋するソワレ")</f>
        <v>恋するソワレ</v>
      </c>
      <c r="L4638" s="22" t="str">
        <f>IFERROR(__xludf.DUMMYFUNCTION("""COMPUTED_VALUE"""),"シーモアコミックス")</f>
        <v>シーモアコミックス</v>
      </c>
      <c r="M4638" s="33">
        <f>IFERROR(__xludf.DUMMYFUNCTION("""COMPUTED_VALUE"""),46082.0)</f>
        <v>46082</v>
      </c>
      <c r="N4638" s="33">
        <f>IFERROR(__xludf.DUMMYFUNCTION("""COMPUTED_VALUE"""),2958465.0)</f>
        <v>2958465</v>
      </c>
      <c r="O4638" s="20"/>
      <c r="P4638" s="32" t="str">
        <f>IFERROR(__xludf.DUMMYFUNCTION("""COMPUTED_VALUE"""),"可")</f>
        <v>可</v>
      </c>
      <c r="Q4638" s="30" t="str">
        <f>IFERROR(__xludf.DUMMYFUNCTION("""COMPUTED_VALUE"""),"※コマサム等素材は「318327　前世のライバルを皇帝にしてみせます ～元皇帝の才女は死に戻り転生して今度こそ幸せになります～(フルカラー)」の方をお使いください。バナー制作はフルカラー版の素材を利用して問題ございません。&lt;BR&gt;")</f>
        <v>※コマサム等素材は「318327　前世のライバルを皇帝にしてみせます ～元皇帝の才女は死に戻り転生して今度こそ幸せになります～(フルカラー)」の方をお使いください。バナー制作はフルカラー版の素材を利用して問題ございません。&lt;BR&gt;</v>
      </c>
      <c r="R4638" s="22"/>
      <c r="S4638" s="22" t="str">
        <f>IFERROR(__xludf.DUMMYFUNCTION("""COMPUTED_VALUE"""),"20260126_シーモアコミックス_前世のライバルを皇帝にしてみせます ～元皇帝の才女は死に戻り転生して今度こそ幸せになります～【タテヨミ】")</f>
        <v>20260126_シーモアコミックス_前世のライバルを皇帝にしてみせます ～元皇帝の才女は死に戻り転生して今度こそ幸せになります～【タテヨミ】</v>
      </c>
      <c r="T4638" s="22" t="str">
        <f>IFERROR(__xludf.DUMMYFUNCTION("""COMPUTED_VALUE"""),"格納済み")</f>
        <v>格納済み</v>
      </c>
      <c r="U4638" s="9" t="str">
        <f>IFERROR(__xludf.DUMMYFUNCTION("""COMPUTED_VALUE"""),"(C) Baekok/Lemon Frog/LEFO/MSTORYHUB/シーモアコミックス")</f>
        <v>(C) Baekok/Lemon Frog/LEFO/MSTORYHUB/シーモアコミックス</v>
      </c>
      <c r="V4638" s="8"/>
      <c r="W4638" s="8"/>
      <c r="X4638" s="8" t="str">
        <f>IFERROR(__xludf.DUMMYFUNCTION("""COMPUTED_VALUE"""),"有")</f>
        <v>有</v>
      </c>
      <c r="Y4638" s="8" t="str">
        <f>IFERROR(__xludf.DUMMYFUNCTION("""COMPUTED_VALUE"""),"2026/4/4まで1~9巻無料")</f>
        <v>2026/4/4まで1~9巻無料</v>
      </c>
      <c r="Z4638" s="7"/>
      <c r="AA4638" s="7"/>
      <c r="AB4638" s="7"/>
    </row>
    <row r="4639" ht="15.75" customHeight="1">
      <c r="A4639" s="26">
        <f>IFERROR(__xludf.DUMMYFUNCTION("""COMPUTED_VALUE"""),7300.0)</f>
        <v>7300</v>
      </c>
      <c r="B4639" s="22" t="str">
        <f>IFERROR(__xludf.DUMMYFUNCTION("""COMPUTED_VALUE"""),"確定")</f>
        <v>確定</v>
      </c>
      <c r="C4639" s="28">
        <f>IFERROR(__xludf.DUMMYFUNCTION("""COMPUTED_VALUE"""),46048.0)</f>
        <v>46048</v>
      </c>
      <c r="D4639" s="28">
        <f>IFERROR(__xludf.DUMMYFUNCTION("""COMPUTED_VALUE"""),46050.0)</f>
        <v>46050</v>
      </c>
      <c r="E4639" s="26">
        <f>IFERROR(__xludf.DUMMYFUNCTION("""COMPUTED_VALUE"""),351545.0)</f>
        <v>351545</v>
      </c>
      <c r="F4639" s="22" t="str">
        <f>IFERROR(__xludf.DUMMYFUNCTION("""COMPUTED_VALUE"""),"一度絶望したので無敵彼女になりました【マイクロ】")</f>
        <v>一度絶望したので無敵彼女になりました【マイクロ】</v>
      </c>
      <c r="G4639" s="20" t="str">
        <f>IFERROR(__xludf.DUMMYFUNCTION("""COMPUTED_VALUE"""),"1～3")</f>
        <v>1～3</v>
      </c>
      <c r="H4639" s="22" t="str">
        <f>IFERROR(__xludf.DUMMYFUNCTION("""COMPUTED_VALUE"""),"陽丘ハオ")</f>
        <v>陽丘ハオ</v>
      </c>
      <c r="I4639" s="22" t="str">
        <f>IFERROR(__xludf.DUMMYFUNCTION("""COMPUTED_VALUE"""),"女性")</f>
        <v>女性</v>
      </c>
      <c r="J4639" s="22"/>
      <c r="K4639" s="22" t="str">
        <f>IFERROR(__xludf.DUMMYFUNCTION("""COMPUTED_VALUE"""),"モバフラ")</f>
        <v>モバフラ</v>
      </c>
      <c r="L4639" s="22" t="str">
        <f>IFERROR(__xludf.DUMMYFUNCTION("""COMPUTED_VALUE"""),"小学館")</f>
        <v>小学館</v>
      </c>
      <c r="M4639" s="33">
        <f>IFERROR(__xludf.DUMMYFUNCTION("""COMPUTED_VALUE"""),46081.0)</f>
        <v>46081</v>
      </c>
      <c r="N4639" s="33">
        <f>IFERROR(__xludf.DUMMYFUNCTION("""COMPUTED_VALUE"""),46139.0)</f>
        <v>46139</v>
      </c>
      <c r="O4639" s="20"/>
      <c r="P4639" s="32" t="str">
        <f>IFERROR(__xludf.DUMMYFUNCTION("""COMPUTED_VALUE"""),"否")</f>
        <v>否</v>
      </c>
      <c r="Q4639" s="30" t="str">
        <f>IFERROR(__xludf.DUMMYFUNCTION("""COMPUTED_VALUE"""),"3話の素材共有が少し先になるため1~2話素材で広告制作お願いいたします。")</f>
        <v>3話の素材共有が少し先になるため1~2話素材で広告制作お願いいたします。</v>
      </c>
      <c r="R4639" s="22"/>
      <c r="S4639" s="22" t="str">
        <f>IFERROR(__xludf.DUMMYFUNCTION("""COMPUTED_VALUE"""),"20260126_小学館_一度絶望したので無敵彼女になりました【マイクロ】")</f>
        <v>20260126_小学館_一度絶望したので無敵彼女になりました【マイクロ】</v>
      </c>
      <c r="T4639" s="22" t="str">
        <f>IFERROR(__xludf.DUMMYFUNCTION("""COMPUTED_VALUE"""),"格納済み")</f>
        <v>格納済み</v>
      </c>
      <c r="U4639" s="9" t="str">
        <f>IFERROR(__xludf.DUMMYFUNCTION("""COMPUTED_VALUE"""),"(C)陽丘ハオ / 小学館")</f>
        <v>(C)陽丘ハオ / 小学館</v>
      </c>
      <c r="V4639" s="8"/>
      <c r="W4639" s="8"/>
      <c r="X4639" s="8" t="str">
        <f>IFERROR(__xludf.DUMMYFUNCTION("""COMPUTED_VALUE"""),"有")</f>
        <v>有</v>
      </c>
      <c r="Y4639" s="8" t="str">
        <f>IFERROR(__xludf.DUMMYFUNCTION("""COMPUTED_VALUE"""),"P12まで")</f>
        <v>P12まで</v>
      </c>
      <c r="Z4639" s="7"/>
      <c r="AA4639" s="7"/>
      <c r="AB4639" s="7"/>
    </row>
    <row r="4640" ht="15.75" customHeight="1">
      <c r="A4640" s="26">
        <f>IFERROR(__xludf.DUMMYFUNCTION("""COMPUTED_VALUE"""),7317.0)</f>
        <v>7317</v>
      </c>
      <c r="B4640" s="22" t="str">
        <f>IFERROR(__xludf.DUMMYFUNCTION("""COMPUTED_VALUE"""),"確定")</f>
        <v>確定</v>
      </c>
      <c r="C4640" s="28">
        <f>IFERROR(__xludf.DUMMYFUNCTION("""COMPUTED_VALUE"""),46049.0)</f>
        <v>46049</v>
      </c>
      <c r="D4640" s="28">
        <f>IFERROR(__xludf.DUMMYFUNCTION("""COMPUTED_VALUE"""),46055.0)</f>
        <v>46055</v>
      </c>
      <c r="E4640" s="26">
        <f>IFERROR(__xludf.DUMMYFUNCTION("""COMPUTED_VALUE"""),351371.0)</f>
        <v>351371</v>
      </c>
      <c r="F4640" s="22" t="str">
        <f>IFERROR(__xludf.DUMMYFUNCTION("""COMPUTED_VALUE"""),"水面に落ちた星屑～年上写真家と最後の恋～")</f>
        <v>水面に落ちた星屑～年上写真家と最後の恋～</v>
      </c>
      <c r="G4640" s="20" t="str">
        <f>IFERROR(__xludf.DUMMYFUNCTION("""COMPUTED_VALUE"""),"1～5")</f>
        <v>1～5</v>
      </c>
      <c r="H4640" s="22" t="str">
        <f>IFERROR(__xludf.DUMMYFUNCTION("""COMPUTED_VALUE"""),"坂口みく・瑠璃マリコ")</f>
        <v>坂口みく・瑠璃マリコ</v>
      </c>
      <c r="I4640" s="22" t="str">
        <f>IFERROR(__xludf.DUMMYFUNCTION("""COMPUTED_VALUE"""),"女性")</f>
        <v>女性</v>
      </c>
      <c r="J4640" s="22"/>
      <c r="K4640" s="22"/>
      <c r="L4640" s="22" t="str">
        <f>IFERROR(__xludf.DUMMYFUNCTION("""COMPUTED_VALUE"""),"Freedia")</f>
        <v>Freedia</v>
      </c>
      <c r="M4640" s="33">
        <f>IFERROR(__xludf.DUMMYFUNCTION("""COMPUTED_VALUE"""),46091.0)</f>
        <v>46091</v>
      </c>
      <c r="N4640" s="33">
        <f>IFERROR(__xludf.DUMMYFUNCTION("""COMPUTED_VALUE"""),46182.0)</f>
        <v>46182</v>
      </c>
      <c r="O4640" s="20"/>
      <c r="P4640" s="32" t="str">
        <f>IFERROR(__xludf.DUMMYFUNCTION("""COMPUTED_VALUE"""),"可")</f>
        <v>可</v>
      </c>
      <c r="Q4640" s="30"/>
      <c r="R4640" s="22" t="str">
        <f>IFERROR(__xludf.DUMMYFUNCTION("""COMPUTED_VALUE"""),"コミットOK")</f>
        <v>コミットOK</v>
      </c>
      <c r="S4640" s="22" t="str">
        <f>IFERROR(__xludf.DUMMYFUNCTION("""COMPUTED_VALUE"""),"20260130_Freedia_水面に落ちた星屑～年上写真家と最後の恋～")</f>
        <v>20260130_Freedia_水面に落ちた星屑～年上写真家と最後の恋～</v>
      </c>
      <c r="T4640" s="22" t="str">
        <f>IFERROR(__xludf.DUMMYFUNCTION("""COMPUTED_VALUE"""),"格納済み")</f>
        <v>格納済み</v>
      </c>
      <c r="U4640" s="9" t="str">
        <f>IFERROR(__xludf.DUMMYFUNCTION("""COMPUTED_VALUE"""),"Ⓒ坂口みく・瑠璃マリコ/Freedia・テラーノベル")</f>
        <v>Ⓒ坂口みく・瑠璃マリコ/Freedia・テラーノベル</v>
      </c>
      <c r="V4640" s="8"/>
      <c r="W4640" s="8"/>
      <c r="X4640" s="8" t="str">
        <f>IFERROR(__xludf.DUMMYFUNCTION("""COMPUTED_VALUE"""),"有")</f>
        <v>有</v>
      </c>
      <c r="Y4640" s="8" t="str">
        <f>IFERROR(__xludf.DUMMYFUNCTION("""COMPUTED_VALUE"""),"2026/6/9まで1巻無無料")</f>
        <v>2026/6/9まで1巻無無料</v>
      </c>
      <c r="Z4640" s="7"/>
      <c r="AA4640" s="7"/>
      <c r="AB4640" s="7"/>
    </row>
    <row r="4641" ht="15.75" customHeight="1">
      <c r="A4641" s="26">
        <f>IFERROR(__xludf.DUMMYFUNCTION("""COMPUTED_VALUE"""),7318.0)</f>
        <v>7318</v>
      </c>
      <c r="B4641" s="22" t="str">
        <f>IFERROR(__xludf.DUMMYFUNCTION("""COMPUTED_VALUE"""),"確定")</f>
        <v>確定</v>
      </c>
      <c r="C4641" s="28">
        <f>IFERROR(__xludf.DUMMYFUNCTION("""COMPUTED_VALUE"""),46049.0)</f>
        <v>46049</v>
      </c>
      <c r="D4641" s="28">
        <f>IFERROR(__xludf.DUMMYFUNCTION("""COMPUTED_VALUE"""),46056.0)</f>
        <v>46056</v>
      </c>
      <c r="E4641" s="26">
        <f>IFERROR(__xludf.DUMMYFUNCTION("""COMPUTED_VALUE"""),352419.0)</f>
        <v>352419</v>
      </c>
      <c r="F4641" s="22" t="str">
        <f>IFERROR(__xludf.DUMMYFUNCTION("""COMPUTED_VALUE"""),"【フルカラー】メゾン〜躾けられた体は後戻りできない〜")</f>
        <v>【フルカラー】メゾン〜躾けられた体は後戻りできない〜</v>
      </c>
      <c r="G4641" s="20" t="str">
        <f>IFERROR(__xludf.DUMMYFUNCTION("""COMPUTED_VALUE"""),"1～3")</f>
        <v>1～3</v>
      </c>
      <c r="H4641" s="22" t="str">
        <f>IFERROR(__xludf.DUMMYFUNCTION("""COMPUTED_VALUE"""),"Leaf")</f>
        <v>Leaf</v>
      </c>
      <c r="I4641" s="22" t="str">
        <f>IFERROR(__xludf.DUMMYFUNCTION("""COMPUTED_VALUE"""),"BL")</f>
        <v>BL</v>
      </c>
      <c r="J4641" s="22"/>
      <c r="K4641" s="22"/>
      <c r="L4641" s="22" t="str">
        <f>IFERROR(__xludf.DUMMYFUNCTION("""COMPUTED_VALUE"""),"レジンコミックス")</f>
        <v>レジンコミックス</v>
      </c>
      <c r="M4641" s="33">
        <f>IFERROR(__xludf.DUMMYFUNCTION("""COMPUTED_VALUE"""),46087.0)</f>
        <v>46087</v>
      </c>
      <c r="N4641" s="33">
        <f>IFERROR(__xludf.DUMMYFUNCTION("""COMPUTED_VALUE"""),46179.0)</f>
        <v>46179</v>
      </c>
      <c r="O4641" s="20"/>
      <c r="P4641" s="32" t="str">
        <f>IFERROR(__xludf.DUMMYFUNCTION("""COMPUTED_VALUE"""),"可")</f>
        <v>可</v>
      </c>
      <c r="Q4641" s="30" t="str">
        <f>IFERROR(__xludf.DUMMYFUNCTION("""COMPUTED_VALUE"""),"【アダルト作品扱い】")</f>
        <v>【アダルト作品扱い】</v>
      </c>
      <c r="R4641" s="22"/>
      <c r="S4641" s="22" t="str">
        <f>IFERROR(__xludf.DUMMYFUNCTION("""COMPUTED_VALUE"""),"20260127_レジンエンターテインメント_メゾン〜躾けられた体は後戻りできない〜【フルカラー】")</f>
        <v>20260127_レジンエンターテインメント_メゾン〜躾けられた体は後戻りできない〜【フルカラー】</v>
      </c>
      <c r="T4641" s="22" t="str">
        <f>IFERROR(__xludf.DUMMYFUNCTION("""COMPUTED_VALUE"""),"格納済み")</f>
        <v>格納済み</v>
      </c>
      <c r="U4641" s="9" t="str">
        <f>IFERROR(__xludf.DUMMYFUNCTION("""COMPUTED_VALUE"""),"ⒸLeaf/レジンコミックス")</f>
        <v>ⒸLeaf/レジンコミックス</v>
      </c>
      <c r="V4641" s="8"/>
      <c r="W4641" s="8"/>
      <c r="X4641" s="8" t="str">
        <f>IFERROR(__xludf.DUMMYFUNCTION("""COMPUTED_VALUE"""),"有")</f>
        <v>有</v>
      </c>
      <c r="Y4641" s="8" t="str">
        <f>IFERROR(__xludf.DUMMYFUNCTION("""COMPUTED_VALUE"""),"2026/3/15まで1巻無料")</f>
        <v>2026/3/15まで1巻無料</v>
      </c>
      <c r="Z4641" s="7"/>
      <c r="AA4641" s="7"/>
      <c r="AB4641" s="7"/>
    </row>
    <row r="4642" ht="15.75" customHeight="1">
      <c r="A4642" s="26">
        <f>IFERROR(__xludf.DUMMYFUNCTION("""COMPUTED_VALUE"""),7319.0)</f>
        <v>7319</v>
      </c>
      <c r="B4642" s="22" t="str">
        <f>IFERROR(__xludf.DUMMYFUNCTION("""COMPUTED_VALUE"""),"確定")</f>
        <v>確定</v>
      </c>
      <c r="C4642" s="28">
        <f>IFERROR(__xludf.DUMMYFUNCTION("""COMPUTED_VALUE"""),46049.0)</f>
        <v>46049</v>
      </c>
      <c r="D4642" s="28">
        <f>IFERROR(__xludf.DUMMYFUNCTION("""COMPUTED_VALUE"""),46056.0)</f>
        <v>46056</v>
      </c>
      <c r="E4642" s="26">
        <f>IFERROR(__xludf.DUMMYFUNCTION("""COMPUTED_VALUE"""),352421.0)</f>
        <v>352421</v>
      </c>
      <c r="F4642" s="22" t="str">
        <f>IFERROR(__xludf.DUMMYFUNCTION("""COMPUTED_VALUE"""),"【フルカラー】彼女がハーレムを薦めてくる")</f>
        <v>【フルカラー】彼女がハーレムを薦めてくる</v>
      </c>
      <c r="G4642" s="20" t="str">
        <f>IFERROR(__xludf.DUMMYFUNCTION("""COMPUTED_VALUE"""),"1～4")</f>
        <v>1～4</v>
      </c>
      <c r="H4642" s="22" t="str">
        <f>IFERROR(__xludf.DUMMYFUNCTION("""COMPUTED_VALUE"""),"原作:愛上クレ/作画:Octonut")</f>
        <v>原作:愛上クレ/作画:Octonut</v>
      </c>
      <c r="I4642" s="22" t="str">
        <f>IFERROR(__xludf.DUMMYFUNCTION("""COMPUTED_VALUE"""),"青年")</f>
        <v>青年</v>
      </c>
      <c r="J4642" s="22"/>
      <c r="K4642" s="22"/>
      <c r="L4642" s="22" t="str">
        <f>IFERROR(__xludf.DUMMYFUNCTION("""COMPUTED_VALUE"""),"レジンコミックス")</f>
        <v>レジンコミックス</v>
      </c>
      <c r="M4642" s="33">
        <f>IFERROR(__xludf.DUMMYFUNCTION("""COMPUTED_VALUE"""),46087.0)</f>
        <v>46087</v>
      </c>
      <c r="N4642" s="33">
        <f>IFERROR(__xludf.DUMMYFUNCTION("""COMPUTED_VALUE"""),46179.0)</f>
        <v>46179</v>
      </c>
      <c r="O4642" s="20"/>
      <c r="P4642" s="32" t="str">
        <f>IFERROR(__xludf.DUMMYFUNCTION("""COMPUTED_VALUE"""),"可")</f>
        <v>可</v>
      </c>
      <c r="Q4642" s="30" t="str">
        <f>IFERROR(__xludf.DUMMYFUNCTION("""COMPUTED_VALUE"""),"【アダルト作品扱い】")</f>
        <v>【アダルト作品扱い】</v>
      </c>
      <c r="R4642" s="22"/>
      <c r="S4642" s="22" t="str">
        <f>IFERROR(__xludf.DUMMYFUNCTION("""COMPUTED_VALUE"""),"20260127_レジンエンターテインメント_彼女がハーレムを薦めてくる【フルカラー】")</f>
        <v>20260127_レジンエンターテインメント_彼女がハーレムを薦めてくる【フルカラー】</v>
      </c>
      <c r="T4642" s="22" t="str">
        <f>IFERROR(__xludf.DUMMYFUNCTION("""COMPUTED_VALUE"""),"格納済み")</f>
        <v>格納済み</v>
      </c>
      <c r="U4642" s="9" t="str">
        <f>IFERROR(__xludf.DUMMYFUNCTION("""COMPUTED_VALUE"""),"Ⓒ原作:愛上クレ/作画:Octonut/レジンコミックス")</f>
        <v>Ⓒ原作:愛上クレ/作画:Octonut/レジンコミックス</v>
      </c>
      <c r="V4642" s="8"/>
      <c r="W4642" s="8"/>
      <c r="X4642" s="8" t="str">
        <f>IFERROR(__xludf.DUMMYFUNCTION("""COMPUTED_VALUE"""),"有")</f>
        <v>有</v>
      </c>
      <c r="Y4642" s="8" t="str">
        <f>IFERROR(__xludf.DUMMYFUNCTION("""COMPUTED_VALUE"""),"2026/3/13まで1巻無料")</f>
        <v>2026/3/13まで1巻無料</v>
      </c>
      <c r="Z4642" s="7"/>
      <c r="AA4642" s="7"/>
      <c r="AB4642" s="7"/>
    </row>
    <row r="4643" ht="15.75" customHeight="1">
      <c r="A4643" s="26">
        <f>IFERROR(__xludf.DUMMYFUNCTION("""COMPUTED_VALUE"""),7320.0)</f>
        <v>7320</v>
      </c>
      <c r="B4643" s="22" t="str">
        <f>IFERROR(__xludf.DUMMYFUNCTION("""COMPUTED_VALUE"""),"確定")</f>
        <v>確定</v>
      </c>
      <c r="C4643" s="28">
        <f>IFERROR(__xludf.DUMMYFUNCTION("""COMPUTED_VALUE"""),46049.0)</f>
        <v>46049</v>
      </c>
      <c r="D4643" s="28">
        <f>IFERROR(__xludf.DUMMYFUNCTION("""COMPUTED_VALUE"""),46050.0)</f>
        <v>46050</v>
      </c>
      <c r="E4643" s="26">
        <f>IFERROR(__xludf.DUMMYFUNCTION("""COMPUTED_VALUE"""),351264.0)</f>
        <v>351264</v>
      </c>
      <c r="F4643" s="22" t="str">
        <f>IFERROR(__xludf.DUMMYFUNCTION("""COMPUTED_VALUE"""),"妄想バーストブルーム")</f>
        <v>妄想バーストブルーム</v>
      </c>
      <c r="G4643" s="20" t="str">
        <f>IFERROR(__xludf.DUMMYFUNCTION("""COMPUTED_VALUE"""),"1～4")</f>
        <v>1～4</v>
      </c>
      <c r="H4643" s="22" t="str">
        <f>IFERROR(__xludf.DUMMYFUNCTION("""COMPUTED_VALUE"""),"陽名ユキ")</f>
        <v>陽名ユキ</v>
      </c>
      <c r="I4643" s="22" t="str">
        <f>IFERROR(__xludf.DUMMYFUNCTION("""COMPUTED_VALUE"""),"女性")</f>
        <v>女性</v>
      </c>
      <c r="J4643" s="22"/>
      <c r="K4643" s="22"/>
      <c r="L4643" s="22" t="str">
        <f>IFERROR(__xludf.DUMMYFUNCTION("""COMPUTED_VALUE"""),"集英社")</f>
        <v>集英社</v>
      </c>
      <c r="M4643" s="33">
        <f>IFERROR(__xludf.DUMMYFUNCTION("""COMPUTED_VALUE"""),46078.0)</f>
        <v>46078</v>
      </c>
      <c r="N4643" s="33">
        <f>IFERROR(__xludf.DUMMYFUNCTION("""COMPUTED_VALUE"""),46105.0)</f>
        <v>46105</v>
      </c>
      <c r="O4643" s="20"/>
      <c r="P4643" s="32" t="str">
        <f>IFERROR(__xludf.DUMMYFUNCTION("""COMPUTED_VALUE"""),"否")</f>
        <v>否</v>
      </c>
      <c r="Q4643" s="30"/>
      <c r="R4643" s="22"/>
      <c r="S4643" s="22" t="str">
        <f>IFERROR(__xludf.DUMMYFUNCTION("""COMPUTED_VALUE"""),"20260127_集英社_妄想バーストブルーム")</f>
        <v>20260127_集英社_妄想バーストブルーム</v>
      </c>
      <c r="T4643" s="22" t="str">
        <f>IFERROR(__xludf.DUMMYFUNCTION("""COMPUTED_VALUE"""),"格納済み")</f>
        <v>格納済み</v>
      </c>
      <c r="U4643" s="9" t="str">
        <f>IFERROR(__xludf.DUMMYFUNCTION("""COMPUTED_VALUE"""),"(C)陽名ユキ／集英社")</f>
        <v>(C)陽名ユキ／集英社</v>
      </c>
      <c r="V4643" s="8"/>
      <c r="W4643" s="8"/>
      <c r="X4643" s="8" t="str">
        <f>IFERROR(__xludf.DUMMYFUNCTION("""COMPUTED_VALUE"""),"有")</f>
        <v>有</v>
      </c>
      <c r="Y4643" s="8" t="str">
        <f>IFERROR(__xludf.DUMMYFUNCTION("""COMPUTED_VALUE"""),"2026/3/24まで1巻無料")</f>
        <v>2026/3/24まで1巻無料</v>
      </c>
      <c r="Z4643" s="7"/>
      <c r="AA4643" s="7"/>
      <c r="AB4643" s="7"/>
    </row>
    <row r="4644" ht="15.75" customHeight="1">
      <c r="A4644" s="26">
        <f>IFERROR(__xludf.DUMMYFUNCTION("""COMPUTED_VALUE"""),7321.0)</f>
        <v>7321</v>
      </c>
      <c r="B4644" s="22" t="str">
        <f>IFERROR(__xludf.DUMMYFUNCTION("""COMPUTED_VALUE"""),"確定")</f>
        <v>確定</v>
      </c>
      <c r="C4644" s="28">
        <f>IFERROR(__xludf.DUMMYFUNCTION("""COMPUTED_VALUE"""),46049.0)</f>
        <v>46049</v>
      </c>
      <c r="D4644" s="28">
        <f>IFERROR(__xludf.DUMMYFUNCTION("""COMPUTED_VALUE"""),46050.0)</f>
        <v>46050</v>
      </c>
      <c r="E4644" s="26">
        <f>IFERROR(__xludf.DUMMYFUNCTION("""COMPUTED_VALUE"""),351261.0)</f>
        <v>351261</v>
      </c>
      <c r="F4644" s="22" t="str">
        <f>IFERROR(__xludf.DUMMYFUNCTION("""COMPUTED_VALUE"""),"うわばみ姫とノンデリメガネ")</f>
        <v>うわばみ姫とノンデリメガネ</v>
      </c>
      <c r="G4644" s="20" t="str">
        <f>IFERROR(__xludf.DUMMYFUNCTION("""COMPUTED_VALUE"""),"1～4")</f>
        <v>1～4</v>
      </c>
      <c r="H4644" s="22" t="str">
        <f>IFERROR(__xludf.DUMMYFUNCTION("""COMPUTED_VALUE"""),"木鳥")</f>
        <v>木鳥</v>
      </c>
      <c r="I4644" s="22" t="str">
        <f>IFERROR(__xludf.DUMMYFUNCTION("""COMPUTED_VALUE"""),"女性")</f>
        <v>女性</v>
      </c>
      <c r="J4644" s="22"/>
      <c r="K4644" s="22"/>
      <c r="L4644" s="22" t="str">
        <f>IFERROR(__xludf.DUMMYFUNCTION("""COMPUTED_VALUE"""),"集英社")</f>
        <v>集英社</v>
      </c>
      <c r="M4644" s="33">
        <f>IFERROR(__xludf.DUMMYFUNCTION("""COMPUTED_VALUE"""),46078.0)</f>
        <v>46078</v>
      </c>
      <c r="N4644" s="33">
        <f>IFERROR(__xludf.DUMMYFUNCTION("""COMPUTED_VALUE"""),46136.66666666667)</f>
        <v>46136.66667</v>
      </c>
      <c r="O4644" s="20"/>
      <c r="P4644" s="32" t="str">
        <f>IFERROR(__xludf.DUMMYFUNCTION("""COMPUTED_VALUE"""),"否")</f>
        <v>否</v>
      </c>
      <c r="Q4644" s="30"/>
      <c r="R4644" s="22"/>
      <c r="S4644" s="22" t="str">
        <f>IFERROR(__xludf.DUMMYFUNCTION("""COMPUTED_VALUE"""),"20260127_集英社_うわばみ姫とノンデリメガネ")</f>
        <v>20260127_集英社_うわばみ姫とノンデリメガネ</v>
      </c>
      <c r="T4644" s="22" t="str">
        <f>IFERROR(__xludf.DUMMYFUNCTION("""COMPUTED_VALUE"""),"格納済み")</f>
        <v>格納済み</v>
      </c>
      <c r="U4644" s="9" t="str">
        <f>IFERROR(__xludf.DUMMYFUNCTION("""COMPUTED_VALUE"""),"(C)木鳥／集英社")</f>
        <v>(C)木鳥／集英社</v>
      </c>
      <c r="V4644" s="8"/>
      <c r="W4644" s="8"/>
      <c r="X4644" s="8" t="str">
        <f>IFERROR(__xludf.DUMMYFUNCTION("""COMPUTED_VALUE"""),"有")</f>
        <v>有</v>
      </c>
      <c r="Y4644" s="8" t="str">
        <f>IFERROR(__xludf.DUMMYFUNCTION("""COMPUTED_VALUE"""),"2026/3/24まで1巻無料")</f>
        <v>2026/3/24まで1巻無料</v>
      </c>
      <c r="Z4644" s="7"/>
      <c r="AA4644" s="7"/>
      <c r="AB4644" s="7"/>
    </row>
    <row r="4645" ht="15.75" customHeight="1">
      <c r="A4645" s="26">
        <f>IFERROR(__xludf.DUMMYFUNCTION("""COMPUTED_VALUE"""),7322.0)</f>
        <v>7322</v>
      </c>
      <c r="B4645" s="22" t="str">
        <f>IFERROR(__xludf.DUMMYFUNCTION("""COMPUTED_VALUE"""),"確定")</f>
        <v>確定</v>
      </c>
      <c r="C4645" s="28">
        <f>IFERROR(__xludf.DUMMYFUNCTION("""COMPUTED_VALUE"""),46049.0)</f>
        <v>46049</v>
      </c>
      <c r="D4645" s="28">
        <f>IFERROR(__xludf.DUMMYFUNCTION("""COMPUTED_VALUE"""),46052.0)</f>
        <v>46052</v>
      </c>
      <c r="E4645" s="26">
        <f>IFERROR(__xludf.DUMMYFUNCTION("""COMPUTED_VALUE"""),349660.0)</f>
        <v>349660</v>
      </c>
      <c r="F4645" s="22" t="str">
        <f>IFERROR(__xludf.DUMMYFUNCTION("""COMPUTED_VALUE"""),"婚約破棄される悪役令嬢ですが、王子にカラダだけ所望されています")</f>
        <v>婚約破棄される悪役令嬢ですが、王子にカラダだけ所望されています</v>
      </c>
      <c r="G4645" s="20" t="str">
        <f>IFERROR(__xludf.DUMMYFUNCTION("""COMPUTED_VALUE"""),"1～3")</f>
        <v>1～3</v>
      </c>
      <c r="H4645" s="22" t="str">
        <f>IFERROR(__xludf.DUMMYFUNCTION("""COMPUTED_VALUE"""),"あまぐり┴金の耳飾り")</f>
        <v>あまぐり┴金の耳飾り</v>
      </c>
      <c r="I4645" s="22" t="str">
        <f>IFERROR(__xludf.DUMMYFUNCTION("""COMPUTED_VALUE"""),"女性")</f>
        <v>女性</v>
      </c>
      <c r="J4645" s="22"/>
      <c r="K4645" s="22" t="str">
        <f>IFERROR(__xludf.DUMMYFUNCTION("""COMPUTED_VALUE"""),"恋愛LoveMAX")</f>
        <v>恋愛LoveMAX</v>
      </c>
      <c r="L4645" s="22" t="str">
        <f>IFERROR(__xludf.DUMMYFUNCTION("""COMPUTED_VALUE"""),"秋田書店")</f>
        <v>秋田書店</v>
      </c>
      <c r="M4645" s="33">
        <f>IFERROR(__xludf.DUMMYFUNCTION("""COMPUTED_VALUE"""),46069.0)</f>
        <v>46069</v>
      </c>
      <c r="N4645" s="33">
        <f>IFERROR(__xludf.DUMMYFUNCTION("""COMPUTED_VALUE"""),46096.0)</f>
        <v>46096</v>
      </c>
      <c r="O4645" s="20"/>
      <c r="P4645" s="32" t="str">
        <f>IFERROR(__xludf.DUMMYFUNCTION("""COMPUTED_VALUE"""),"可")</f>
        <v>可</v>
      </c>
      <c r="Q4645" s="30"/>
      <c r="R4645" s="22"/>
      <c r="S4645" s="22" t="str">
        <f>IFERROR(__xludf.DUMMYFUNCTION("""COMPUTED_VALUE"""),"20260127_秋田書店_婚約破棄される悪役令嬢ですが、王子にカラダだけ所望されています")</f>
        <v>20260127_秋田書店_婚約破棄される悪役令嬢ですが、王子にカラダだけ所望されています</v>
      </c>
      <c r="T4645" s="22" t="str">
        <f>IFERROR(__xludf.DUMMYFUNCTION("""COMPUTED_VALUE"""),"格納済み")</f>
        <v>格納済み</v>
      </c>
      <c r="U4645" s="9" t="str">
        <f>IFERROR(__xludf.DUMMYFUNCTION("""COMPUTED_VALUE"""),"Ⓒ金の耳飾り・あまぐり（秋田書店）")</f>
        <v>Ⓒ金の耳飾り・あまぐり（秋田書店）</v>
      </c>
      <c r="V4645" s="8"/>
      <c r="W4645" s="8"/>
      <c r="X4645" s="8" t="str">
        <f>IFERROR(__xludf.DUMMYFUNCTION("""COMPUTED_VALUE"""),"有")</f>
        <v>有</v>
      </c>
      <c r="Y4645" s="8" t="str">
        <f>IFERROR(__xludf.DUMMYFUNCTION("""COMPUTED_VALUE"""),"2026/3/15まで1巻無料")</f>
        <v>2026/3/15まで1巻無料</v>
      </c>
      <c r="Z4645" s="7"/>
      <c r="AA4645" s="7"/>
      <c r="AB4645" s="7"/>
    </row>
    <row r="4646" ht="15.75" customHeight="1">
      <c r="A4646" s="26">
        <f>IFERROR(__xludf.DUMMYFUNCTION("""COMPUTED_VALUE"""),7325.0)</f>
        <v>7325</v>
      </c>
      <c r="B4646" s="22" t="str">
        <f>IFERROR(__xludf.DUMMYFUNCTION("""COMPUTED_VALUE"""),"確定")</f>
        <v>確定</v>
      </c>
      <c r="C4646" s="28">
        <f>IFERROR(__xludf.DUMMYFUNCTION("""COMPUTED_VALUE"""),46050.0)</f>
        <v>46050</v>
      </c>
      <c r="D4646" s="28">
        <f>IFERROR(__xludf.DUMMYFUNCTION("""COMPUTED_VALUE"""),46052.0)</f>
        <v>46052</v>
      </c>
      <c r="E4646" s="26">
        <f>IFERROR(__xludf.DUMMYFUNCTION("""COMPUTED_VALUE"""),354500.0)</f>
        <v>354500</v>
      </c>
      <c r="F4646" s="22" t="str">
        <f>IFERROR(__xludf.DUMMYFUNCTION("""COMPUTED_VALUE"""),"呪われた桜姫は妖しい鬼に愛される【TL版】")</f>
        <v>呪われた桜姫は妖しい鬼に愛される【TL版】</v>
      </c>
      <c r="G4646" s="20" t="str">
        <f>IFERROR(__xludf.DUMMYFUNCTION("""COMPUTED_VALUE"""),"1～2")</f>
        <v>1～2</v>
      </c>
      <c r="H4646" s="22" t="str">
        <f>IFERROR(__xludf.DUMMYFUNCTION("""COMPUTED_VALUE"""),"まみんご。┴皇ゆい┴にくあつポンチョ")</f>
        <v>まみんご。┴皇ゆい┴にくあつポンチョ</v>
      </c>
      <c r="I4646" s="22" t="str">
        <f>IFERROR(__xludf.DUMMYFUNCTION("""COMPUTED_VALUE"""),"TL")</f>
        <v>TL</v>
      </c>
      <c r="J4646" s="22"/>
      <c r="K4646" s="22" t="str">
        <f>IFERROR(__xludf.DUMMYFUNCTION("""COMPUTED_VALUE"""),"DARKMOON")</f>
        <v>DARKMOON</v>
      </c>
      <c r="L4646" s="22" t="str">
        <f>IFERROR(__xludf.DUMMYFUNCTION("""COMPUTED_VALUE"""),"クロスフォリオ出版")</f>
        <v>クロスフォリオ出版</v>
      </c>
      <c r="M4646" s="33">
        <f>IFERROR(__xludf.DUMMYFUNCTION("""COMPUTED_VALUE"""),46115.0)</f>
        <v>46115</v>
      </c>
      <c r="N4646" s="33">
        <f>IFERROR(__xludf.DUMMYFUNCTION("""COMPUTED_VALUE"""),46205.0)</f>
        <v>46205</v>
      </c>
      <c r="O4646" s="20"/>
      <c r="P4646" s="32" t="str">
        <f>IFERROR(__xludf.DUMMYFUNCTION("""COMPUTED_VALUE"""),"可")</f>
        <v>可</v>
      </c>
      <c r="Q4646" s="30" t="str">
        <f>IFERROR(__xludf.DUMMYFUNCTION("""COMPUTED_VALUE"""),"【アダルト作品扱い】")</f>
        <v>【アダルト作品扱い】</v>
      </c>
      <c r="R4646" s="22"/>
      <c r="S4646" s="22" t="str">
        <f>IFERROR(__xludf.DUMMYFUNCTION("""COMPUTED_VALUE"""),"20260128_BookLive_呪われた桜姫は妖しい鬼に愛される【TL版】")</f>
        <v>20260128_BookLive_呪われた桜姫は妖しい鬼に愛される【TL版】</v>
      </c>
      <c r="T4646" s="22" t="str">
        <f>IFERROR(__xludf.DUMMYFUNCTION("""COMPUTED_VALUE"""),"格納済み")</f>
        <v>格納済み</v>
      </c>
      <c r="U4646" s="9" t="str">
        <f>IFERROR(__xludf.DUMMYFUNCTION("""COMPUTED_VALUE"""),"(C)まみんご。/皇ゆい/にくあつポンチョ/DARKMOON/クロスフォリオ出版")</f>
        <v>(C)まみんご。/皇ゆい/にくあつポンチョ/DARKMOON/クロスフォリオ出版</v>
      </c>
      <c r="V4646" s="8"/>
      <c r="W4646" s="8"/>
      <c r="X4646" s="8" t="str">
        <f>IFERROR(__xludf.DUMMYFUNCTION("""COMPUTED_VALUE"""),"有")</f>
        <v>有</v>
      </c>
      <c r="Y4646" s="8" t="str">
        <f>IFERROR(__xludf.DUMMYFUNCTION("""COMPUTED_VALUE"""),"P4まで")</f>
        <v>P4まで</v>
      </c>
      <c r="Z4646" s="7"/>
      <c r="AA4646" s="7"/>
      <c r="AB4646" s="7"/>
    </row>
    <row r="4647" ht="15.75" customHeight="1">
      <c r="A4647" s="26">
        <f>IFERROR(__xludf.DUMMYFUNCTION("""COMPUTED_VALUE"""),7328.0)</f>
        <v>7328</v>
      </c>
      <c r="B4647" s="22" t="str">
        <f>IFERROR(__xludf.DUMMYFUNCTION("""COMPUTED_VALUE"""),"確定")</f>
        <v>確定</v>
      </c>
      <c r="C4647" s="28">
        <f>IFERROR(__xludf.DUMMYFUNCTION("""COMPUTED_VALUE"""),46050.0)</f>
        <v>46050</v>
      </c>
      <c r="D4647" s="28">
        <f>IFERROR(__xludf.DUMMYFUNCTION("""COMPUTED_VALUE"""),46052.0)</f>
        <v>46052</v>
      </c>
      <c r="E4647" s="26">
        <f>IFERROR(__xludf.DUMMYFUNCTION("""COMPUTED_VALUE"""),351537.0)</f>
        <v>351537</v>
      </c>
      <c r="F4647" s="22" t="str">
        <f>IFERROR(__xludf.DUMMYFUNCTION("""COMPUTED_VALUE"""),"揺れる視線のその先は")</f>
        <v>揺れる視線のその先は</v>
      </c>
      <c r="G4647" s="20" t="str">
        <f>IFERROR(__xludf.DUMMYFUNCTION("""COMPUTED_VALUE"""),"1～3")</f>
        <v>1～3</v>
      </c>
      <c r="H4647" s="22" t="str">
        <f>IFERROR(__xludf.DUMMYFUNCTION("""COMPUTED_VALUE"""),"キサラ")</f>
        <v>キサラ</v>
      </c>
      <c r="I4647" s="22" t="str">
        <f>IFERROR(__xludf.DUMMYFUNCTION("""COMPUTED_VALUE"""),"BL")</f>
        <v>BL</v>
      </c>
      <c r="J4647" s="22"/>
      <c r="K4647" s="22"/>
      <c r="L4647" s="22" t="str">
        <f>IFERROR(__xludf.DUMMYFUNCTION("""COMPUTED_VALUE"""),"セ・キララ文庫")</f>
        <v>セ・キララ文庫</v>
      </c>
      <c r="M4647" s="33">
        <f>IFERROR(__xludf.DUMMYFUNCTION("""COMPUTED_VALUE"""),46080.0)</f>
        <v>46080</v>
      </c>
      <c r="N4647" s="33">
        <f>IFERROR(__xludf.DUMMYFUNCTION("""COMPUTED_VALUE"""),46107.0)</f>
        <v>46107</v>
      </c>
      <c r="O4647" s="20"/>
      <c r="P4647" s="32" t="str">
        <f>IFERROR(__xludf.DUMMYFUNCTION("""COMPUTED_VALUE"""),"可")</f>
        <v>可</v>
      </c>
      <c r="Q4647" s="30" t="str">
        <f>IFERROR(__xludf.DUMMYFUNCTION("""COMPUTED_VALUE"""),"【アダルト作品扱い】")</f>
        <v>【アダルト作品扱い】</v>
      </c>
      <c r="R4647" s="22"/>
      <c r="S4647" s="22" t="str">
        <f>IFERROR(__xludf.DUMMYFUNCTION("""COMPUTED_VALUE"""),"20260128_ライドオン_揺れる視線のその先は")</f>
        <v>20260128_ライドオン_揺れる視線のその先は</v>
      </c>
      <c r="T4647" s="22" t="str">
        <f>IFERROR(__xludf.DUMMYFUNCTION("""COMPUTED_VALUE"""),"格納済み")</f>
        <v>格納済み</v>
      </c>
      <c r="U4647" s="9" t="str">
        <f>IFERROR(__xludf.DUMMYFUNCTION("""COMPUTED_VALUE"""),"Ⓒキサラ/セ・キララ文庫")</f>
        <v>Ⓒキサラ/セ・キララ文庫</v>
      </c>
      <c r="V4647" s="8"/>
      <c r="W4647" s="8"/>
      <c r="X4647" s="8" t="str">
        <f>IFERROR(__xludf.DUMMYFUNCTION("""COMPUTED_VALUE"""),"有")</f>
        <v>有</v>
      </c>
      <c r="Y4647" s="8" t="str">
        <f>IFERROR(__xludf.DUMMYFUNCTION("""COMPUTED_VALUE"""),"P11まで")</f>
        <v>P11まで</v>
      </c>
      <c r="Z4647" s="7"/>
      <c r="AA4647" s="7"/>
      <c r="AB4647" s="7"/>
    </row>
    <row r="4648" ht="15.75" customHeight="1">
      <c r="A4648" s="26">
        <f>IFERROR(__xludf.DUMMYFUNCTION("""COMPUTED_VALUE"""),7329.0)</f>
        <v>7329</v>
      </c>
      <c r="B4648" s="22" t="str">
        <f>IFERROR(__xludf.DUMMYFUNCTION("""COMPUTED_VALUE"""),"確定")</f>
        <v>確定</v>
      </c>
      <c r="C4648" s="28">
        <f>IFERROR(__xludf.DUMMYFUNCTION("""COMPUTED_VALUE"""),46050.0)</f>
        <v>46050</v>
      </c>
      <c r="D4648" s="28">
        <f>IFERROR(__xludf.DUMMYFUNCTION("""COMPUTED_VALUE"""),46051.0)</f>
        <v>46051</v>
      </c>
      <c r="E4648" s="26">
        <f>IFERROR(__xludf.DUMMYFUNCTION("""COMPUTED_VALUE"""),351533.0)</f>
        <v>351533</v>
      </c>
      <c r="F4648" s="22" t="str">
        <f>IFERROR(__xludf.DUMMYFUNCTION("""COMPUTED_VALUE"""),"レジ下の彼女～彼氏のために働いていた私が店長のオモチャになった理由～")</f>
        <v>レジ下の彼女～彼氏のために働いていた私が店長のオモチャになった理由～</v>
      </c>
      <c r="G4648" s="20" t="str">
        <f>IFERROR(__xludf.DUMMYFUNCTION("""COMPUTED_VALUE"""),"1～2")</f>
        <v>1～2</v>
      </c>
      <c r="H4648" s="22" t="str">
        <f>IFERROR(__xludf.DUMMYFUNCTION("""COMPUTED_VALUE"""),"ましゅまろ団")</f>
        <v>ましゅまろ団</v>
      </c>
      <c r="I4648" s="22" t="str">
        <f>IFERROR(__xludf.DUMMYFUNCTION("""COMPUTED_VALUE"""),"アダルトマンガ")</f>
        <v>アダルトマンガ</v>
      </c>
      <c r="J4648" s="22"/>
      <c r="K4648" s="22"/>
      <c r="L4648" s="22" t="str">
        <f>IFERROR(__xludf.DUMMYFUNCTION("""COMPUTED_VALUE"""),"セ・キララ文庫")</f>
        <v>セ・キララ文庫</v>
      </c>
      <c r="M4648" s="33">
        <f>IFERROR(__xludf.DUMMYFUNCTION("""COMPUTED_VALUE"""),46080.0)</f>
        <v>46080</v>
      </c>
      <c r="N4648" s="33">
        <f>IFERROR(__xludf.DUMMYFUNCTION("""COMPUTED_VALUE"""),46105.0)</f>
        <v>46105</v>
      </c>
      <c r="O4648" s="20"/>
      <c r="P4648" s="32" t="str">
        <f>IFERROR(__xludf.DUMMYFUNCTION("""COMPUTED_VALUE"""),"可")</f>
        <v>可</v>
      </c>
      <c r="Q4648" s="30"/>
      <c r="R4648" s="22"/>
      <c r="S4648" s="22" t="str">
        <f>IFERROR(__xludf.DUMMYFUNCTION("""COMPUTED_VALUE"""),"20260128_ライドオン_レジ下の彼女～彼氏のために働いていた私が店長のオモチャになった理由～")</f>
        <v>20260128_ライドオン_レジ下の彼女～彼氏のために働いていた私が店長のオモチャになった理由～</v>
      </c>
      <c r="T4648" s="22" t="str">
        <f>IFERROR(__xludf.DUMMYFUNCTION("""COMPUTED_VALUE"""),"格納済み")</f>
        <v>格納済み</v>
      </c>
      <c r="U4648" s="9" t="str">
        <f>IFERROR(__xludf.DUMMYFUNCTION("""COMPUTED_VALUE"""),"Ⓒましゅまろ団/セ・キララ文庫")</f>
        <v>Ⓒましゅまろ団/セ・キララ文庫</v>
      </c>
      <c r="V4648" s="8"/>
      <c r="W4648" s="8"/>
      <c r="X4648" s="8" t="str">
        <f>IFERROR(__xludf.DUMMYFUNCTION("""COMPUTED_VALUE"""),"有")</f>
        <v>有</v>
      </c>
      <c r="Y4648" s="8" t="str">
        <f>IFERROR(__xludf.DUMMYFUNCTION("""COMPUTED_VALUE"""),"2026/3/24まで1巻無料")</f>
        <v>2026/3/24まで1巻無料</v>
      </c>
      <c r="Z4648" s="7"/>
      <c r="AA4648" s="7"/>
      <c r="AB4648" s="7"/>
    </row>
    <row r="4649" ht="15.75" customHeight="1">
      <c r="A4649" s="26">
        <f>IFERROR(__xludf.DUMMYFUNCTION("""COMPUTED_VALUE"""),7330.0)</f>
        <v>7330</v>
      </c>
      <c r="B4649" s="22" t="str">
        <f>IFERROR(__xludf.DUMMYFUNCTION("""COMPUTED_VALUE"""),"確定")</f>
        <v>確定</v>
      </c>
      <c r="C4649" s="28">
        <f>IFERROR(__xludf.DUMMYFUNCTION("""COMPUTED_VALUE"""),46050.0)</f>
        <v>46050</v>
      </c>
      <c r="D4649" s="28">
        <f>IFERROR(__xludf.DUMMYFUNCTION("""COMPUTED_VALUE"""),46056.0)</f>
        <v>46056</v>
      </c>
      <c r="E4649" s="26">
        <f>IFERROR(__xludf.DUMMYFUNCTION("""COMPUTED_VALUE"""),351534.0)</f>
        <v>351534</v>
      </c>
      <c r="F4649" s="22" t="str">
        <f>IFERROR(__xludf.DUMMYFUNCTION("""COMPUTED_VALUE"""),"褐色でかでかボーイッシュ！渚ちゃん")</f>
        <v>褐色でかでかボーイッシュ！渚ちゃん</v>
      </c>
      <c r="G4649" s="20" t="str">
        <f>IFERROR(__xludf.DUMMYFUNCTION("""COMPUTED_VALUE"""),"1～3")</f>
        <v>1～3</v>
      </c>
      <c r="H4649" s="22" t="str">
        <f>IFERROR(__xludf.DUMMYFUNCTION("""COMPUTED_VALUE"""),"石狩庵")</f>
        <v>石狩庵</v>
      </c>
      <c r="I4649" s="22" t="str">
        <f>IFERROR(__xludf.DUMMYFUNCTION("""COMPUTED_VALUE"""),"アダルトマンガ")</f>
        <v>アダルトマンガ</v>
      </c>
      <c r="J4649" s="22"/>
      <c r="K4649" s="22"/>
      <c r="L4649" s="22" t="str">
        <f>IFERROR(__xludf.DUMMYFUNCTION("""COMPUTED_VALUE"""),"セ・キララ文庫")</f>
        <v>セ・キララ文庫</v>
      </c>
      <c r="M4649" s="33">
        <f>IFERROR(__xludf.DUMMYFUNCTION("""COMPUTED_VALUE"""),46080.0)</f>
        <v>46080</v>
      </c>
      <c r="N4649" s="33">
        <f>IFERROR(__xludf.DUMMYFUNCTION("""COMPUTED_VALUE"""),46105.0)</f>
        <v>46105</v>
      </c>
      <c r="O4649" s="20"/>
      <c r="P4649" s="32" t="str">
        <f>IFERROR(__xludf.DUMMYFUNCTION("""COMPUTED_VALUE"""),"可")</f>
        <v>可</v>
      </c>
      <c r="Q4649" s="30"/>
      <c r="R4649" s="22"/>
      <c r="S4649" s="22" t="str">
        <f>IFERROR(__xludf.DUMMYFUNCTION("""COMPUTED_VALUE"""),"20260128_ライドオン_褐色でかでかボーイッシュ！渚ちゃん")</f>
        <v>20260128_ライドオン_褐色でかでかボーイッシュ！渚ちゃん</v>
      </c>
      <c r="T4649" s="22" t="str">
        <f>IFERROR(__xludf.DUMMYFUNCTION("""COMPUTED_VALUE"""),"格納済み")</f>
        <v>格納済み</v>
      </c>
      <c r="U4649" s="9" t="str">
        <f>IFERROR(__xludf.DUMMYFUNCTION("""COMPUTED_VALUE"""),"Ⓒ石狩庵/セ・キララ文庫")</f>
        <v>Ⓒ石狩庵/セ・キララ文庫</v>
      </c>
      <c r="V4649" s="8"/>
      <c r="W4649" s="8"/>
      <c r="X4649" s="8" t="str">
        <f>IFERROR(__xludf.DUMMYFUNCTION("""COMPUTED_VALUE"""),"有")</f>
        <v>有</v>
      </c>
      <c r="Y4649" s="8" t="str">
        <f>IFERROR(__xludf.DUMMYFUNCTION("""COMPUTED_VALUE"""),"2026/3/24まで1巻無料")</f>
        <v>2026/3/24まで1巻無料</v>
      </c>
      <c r="Z4649" s="7"/>
      <c r="AA4649" s="7"/>
      <c r="AB4649" s="7"/>
    </row>
    <row r="4650" ht="15.75" customHeight="1">
      <c r="A4650" s="26">
        <f>IFERROR(__xludf.DUMMYFUNCTION("""COMPUTED_VALUE"""),7331.0)</f>
        <v>7331</v>
      </c>
      <c r="B4650" s="22" t="str">
        <f>IFERROR(__xludf.DUMMYFUNCTION("""COMPUTED_VALUE"""),"確定")</f>
        <v>確定</v>
      </c>
      <c r="C4650" s="28">
        <f>IFERROR(__xludf.DUMMYFUNCTION("""COMPUTED_VALUE"""),46050.0)</f>
        <v>46050</v>
      </c>
      <c r="D4650" s="28">
        <f>IFERROR(__xludf.DUMMYFUNCTION("""COMPUTED_VALUE"""),46051.0)</f>
        <v>46051</v>
      </c>
      <c r="E4650" s="26">
        <f>IFERROR(__xludf.DUMMYFUNCTION("""COMPUTED_VALUE"""),351535.0)</f>
        <v>351535</v>
      </c>
      <c r="F4650" s="22" t="str">
        <f>IFERROR(__xludf.DUMMYFUNCTION("""COMPUTED_VALUE"""),"絶倫ぐらいしか取り柄のない俺がセフレ先輩の本命彼氏になるまで")</f>
        <v>絶倫ぐらいしか取り柄のない俺がセフレ先輩の本命彼氏になるまで</v>
      </c>
      <c r="G4650" s="20" t="str">
        <f>IFERROR(__xludf.DUMMYFUNCTION("""COMPUTED_VALUE"""),"1～2")</f>
        <v>1～2</v>
      </c>
      <c r="H4650" s="22" t="str">
        <f>IFERROR(__xludf.DUMMYFUNCTION("""COMPUTED_VALUE"""),"石狩庵")</f>
        <v>石狩庵</v>
      </c>
      <c r="I4650" s="22" t="str">
        <f>IFERROR(__xludf.DUMMYFUNCTION("""COMPUTED_VALUE"""),"アダルトマンガ")</f>
        <v>アダルトマンガ</v>
      </c>
      <c r="J4650" s="22"/>
      <c r="K4650" s="22"/>
      <c r="L4650" s="22" t="str">
        <f>IFERROR(__xludf.DUMMYFUNCTION("""COMPUTED_VALUE"""),"セ・キララ文庫")</f>
        <v>セ・キララ文庫</v>
      </c>
      <c r="M4650" s="33">
        <f>IFERROR(__xludf.DUMMYFUNCTION("""COMPUTED_VALUE"""),46080.0)</f>
        <v>46080</v>
      </c>
      <c r="N4650" s="33">
        <f>IFERROR(__xludf.DUMMYFUNCTION("""COMPUTED_VALUE"""),46105.0)</f>
        <v>46105</v>
      </c>
      <c r="O4650" s="20"/>
      <c r="P4650" s="32" t="str">
        <f>IFERROR(__xludf.DUMMYFUNCTION("""COMPUTED_VALUE"""),"可")</f>
        <v>可</v>
      </c>
      <c r="Q4650" s="30"/>
      <c r="R4650" s="22"/>
      <c r="S4650" s="22" t="str">
        <f>IFERROR(__xludf.DUMMYFUNCTION("""COMPUTED_VALUE"""),"20260128_ライドオン_絶倫ぐらいしか取り柄のない俺がセフレ先輩の本命彼氏になるまで")</f>
        <v>20260128_ライドオン_絶倫ぐらいしか取り柄のない俺がセフレ先輩の本命彼氏になるまで</v>
      </c>
      <c r="T4650" s="22" t="str">
        <f>IFERROR(__xludf.DUMMYFUNCTION("""COMPUTED_VALUE"""),"格納済み")</f>
        <v>格納済み</v>
      </c>
      <c r="U4650" s="9" t="str">
        <f>IFERROR(__xludf.DUMMYFUNCTION("""COMPUTED_VALUE"""),"Ⓒ石狩庵/セ・キララ文庫")</f>
        <v>Ⓒ石狩庵/セ・キララ文庫</v>
      </c>
      <c r="V4650" s="8"/>
      <c r="W4650" s="8"/>
      <c r="X4650" s="8" t="str">
        <f>IFERROR(__xludf.DUMMYFUNCTION("""COMPUTED_VALUE"""),"有")</f>
        <v>有</v>
      </c>
      <c r="Y4650" s="8" t="str">
        <f>IFERROR(__xludf.DUMMYFUNCTION("""COMPUTED_VALUE"""),"2026/3/24まで1巻立ち読み増量（P16）")</f>
        <v>2026/3/24まで1巻立ち読み増量（P16）</v>
      </c>
      <c r="Z4650" s="7"/>
      <c r="AA4650" s="7"/>
      <c r="AB4650" s="7"/>
    </row>
    <row r="4651" ht="15.75" customHeight="1">
      <c r="A4651" s="26">
        <f>IFERROR(__xludf.DUMMYFUNCTION("""COMPUTED_VALUE"""),7332.0)</f>
        <v>7332</v>
      </c>
      <c r="B4651" s="22" t="str">
        <f>IFERROR(__xludf.DUMMYFUNCTION("""COMPUTED_VALUE"""),"確定")</f>
        <v>確定</v>
      </c>
      <c r="C4651" s="28">
        <f>IFERROR(__xludf.DUMMYFUNCTION("""COMPUTED_VALUE"""),46050.0)</f>
        <v>46050</v>
      </c>
      <c r="D4651" s="28">
        <f>IFERROR(__xludf.DUMMYFUNCTION("""COMPUTED_VALUE"""),46051.0)</f>
        <v>46051</v>
      </c>
      <c r="E4651" s="26">
        <f>IFERROR(__xludf.DUMMYFUNCTION("""COMPUTED_VALUE"""),351536.0)</f>
        <v>351536</v>
      </c>
      <c r="F4651" s="22" t="str">
        <f>IFERROR(__xludf.DUMMYFUNCTION("""COMPUTED_VALUE"""),"堕ちた彼女と彼～貴族に目を付けられた村娘の末路～")</f>
        <v>堕ちた彼女と彼～貴族に目を付けられた村娘の末路～</v>
      </c>
      <c r="G4651" s="20" t="str">
        <f>IFERROR(__xludf.DUMMYFUNCTION("""COMPUTED_VALUE"""),"1～2")</f>
        <v>1～2</v>
      </c>
      <c r="H4651" s="22" t="str">
        <f>IFERROR(__xludf.DUMMYFUNCTION("""COMPUTED_VALUE"""),"ALIさんマーク")</f>
        <v>ALIさんマーク</v>
      </c>
      <c r="I4651" s="22" t="str">
        <f>IFERROR(__xludf.DUMMYFUNCTION("""COMPUTED_VALUE"""),"アダルトマンガ")</f>
        <v>アダルトマンガ</v>
      </c>
      <c r="J4651" s="22"/>
      <c r="K4651" s="22"/>
      <c r="L4651" s="22" t="str">
        <f>IFERROR(__xludf.DUMMYFUNCTION("""COMPUTED_VALUE"""),"セ・キララ文庫")</f>
        <v>セ・キララ文庫</v>
      </c>
      <c r="M4651" s="33">
        <f>IFERROR(__xludf.DUMMYFUNCTION("""COMPUTED_VALUE"""),46080.0)</f>
        <v>46080</v>
      </c>
      <c r="N4651" s="33">
        <f>IFERROR(__xludf.DUMMYFUNCTION("""COMPUTED_VALUE"""),46105.0)</f>
        <v>46105</v>
      </c>
      <c r="O4651" s="20"/>
      <c r="P4651" s="32" t="str">
        <f>IFERROR(__xludf.DUMMYFUNCTION("""COMPUTED_VALUE"""),"可")</f>
        <v>可</v>
      </c>
      <c r="Q4651" s="30"/>
      <c r="R4651" s="22"/>
      <c r="S4651" s="22" t="str">
        <f>IFERROR(__xludf.DUMMYFUNCTION("""COMPUTED_VALUE"""),"20260128_ライドオン_堕ちた彼女と彼～貴族に目を付けられた村娘の末路～")</f>
        <v>20260128_ライドオン_堕ちた彼女と彼～貴族に目を付けられた村娘の末路～</v>
      </c>
      <c r="T4651" s="22" t="str">
        <f>IFERROR(__xludf.DUMMYFUNCTION("""COMPUTED_VALUE"""),"格納済み")</f>
        <v>格納済み</v>
      </c>
      <c r="U4651" s="9" t="str">
        <f>IFERROR(__xludf.DUMMYFUNCTION("""COMPUTED_VALUE"""),"ⒸALIさんマーク/セ・キララ文庫")</f>
        <v>ⒸALIさんマーク/セ・キララ文庫</v>
      </c>
      <c r="V4651" s="8"/>
      <c r="W4651" s="8"/>
      <c r="X4651" s="8" t="str">
        <f>IFERROR(__xludf.DUMMYFUNCTION("""COMPUTED_VALUE"""),"有")</f>
        <v>有</v>
      </c>
      <c r="Y4651" s="8" t="str">
        <f>IFERROR(__xludf.DUMMYFUNCTION("""COMPUTED_VALUE"""),"2026/3/24まで1巻立ち読み増量（P22）")</f>
        <v>2026/3/24まで1巻立ち読み増量（P22）</v>
      </c>
      <c r="Z4651" s="7"/>
      <c r="AA4651" s="7"/>
      <c r="AB4651" s="7"/>
    </row>
    <row r="4652" ht="15.75" customHeight="1">
      <c r="A4652" s="26">
        <f>IFERROR(__xludf.DUMMYFUNCTION("""COMPUTED_VALUE"""),7339.0)</f>
        <v>7339</v>
      </c>
      <c r="B4652" s="22" t="str">
        <f>IFERROR(__xludf.DUMMYFUNCTION("""COMPUTED_VALUE"""),"確定")</f>
        <v>確定</v>
      </c>
      <c r="C4652" s="28">
        <f>IFERROR(__xludf.DUMMYFUNCTION("""COMPUTED_VALUE"""),46051.0)</f>
        <v>46051</v>
      </c>
      <c r="D4652" s="28">
        <f>IFERROR(__xludf.DUMMYFUNCTION("""COMPUTED_VALUE"""),46056.0)</f>
        <v>46056</v>
      </c>
      <c r="E4652" s="26">
        <f>IFERROR(__xludf.DUMMYFUNCTION("""COMPUTED_VALUE"""),351725.0)</f>
        <v>351725</v>
      </c>
      <c r="F4652" s="22" t="str">
        <f>IFERROR(__xludf.DUMMYFUNCTION("""COMPUTED_VALUE"""),"【単話版】死に役はごめんなので好きにさせてもらいます@COMIC")</f>
        <v>【単話版】死に役はごめんなので好きにさせてもらいます@COMIC</v>
      </c>
      <c r="G4652" s="20" t="str">
        <f>IFERROR(__xludf.DUMMYFUNCTION("""COMPUTED_VALUE"""),"1～4")</f>
        <v>1～4</v>
      </c>
      <c r="H4652" s="22" t="str">
        <f>IFERROR(__xludf.DUMMYFUNCTION("""COMPUTED_VALUE"""),"著者区分：漫画/原作 著者名：島藤ゆかり/橋本彩里 著者名カナ：トウドウユカリ/ハシモトアヤリ")</f>
        <v>著者区分：漫画/原作 著者名：島藤ゆかり/橋本彩里 著者名カナ：トウドウユカリ/ハシモトアヤリ</v>
      </c>
      <c r="I4652" s="22" t="str">
        <f>IFERROR(__xludf.DUMMYFUNCTION("""COMPUTED_VALUE"""),"少女マンガ")</f>
        <v>少女マンガ</v>
      </c>
      <c r="J4652" s="22"/>
      <c r="K4652" s="22" t="str">
        <f>IFERROR(__xludf.DUMMYFUNCTION("""COMPUTED_VALUE"""),"Celicaコミックス")</f>
        <v>Celicaコミックス</v>
      </c>
      <c r="L4652" s="22" t="str">
        <f>IFERROR(__xludf.DUMMYFUNCTION("""COMPUTED_VALUE"""),"TOブックス")</f>
        <v>TOブックス</v>
      </c>
      <c r="M4652" s="33">
        <f>IFERROR(__xludf.DUMMYFUNCTION("""COMPUTED_VALUE"""),46082.0)</f>
        <v>46082</v>
      </c>
      <c r="N4652" s="33">
        <f>IFERROR(__xludf.DUMMYFUNCTION("""COMPUTED_VALUE"""),46142.0)</f>
        <v>46142</v>
      </c>
      <c r="O4652" s="20"/>
      <c r="P4652" s="32" t="str">
        <f>IFERROR(__xludf.DUMMYFUNCTION("""COMPUTED_VALUE"""),"否")</f>
        <v>否</v>
      </c>
      <c r="Q4652" s="30"/>
      <c r="R4652" s="22"/>
      <c r="S4652" s="22" t="str">
        <f>IFERROR(__xludf.DUMMYFUNCTION("""COMPUTED_VALUE"""),"20260129_TOブックス_【単話版】死に役はごめんなので好きにさせてもらいます@COMIC")</f>
        <v>20260129_TOブックス_【単話版】死に役はごめんなので好きにさせてもらいます@COMIC</v>
      </c>
      <c r="T4652" s="22" t="str">
        <f>IFERROR(__xludf.DUMMYFUNCTION("""COMPUTED_VALUE"""),"格納済み")</f>
        <v>格納済み</v>
      </c>
      <c r="U4652" s="9" t="str">
        <f>IFERROR(__xludf.DUMMYFUNCTION("""COMPUTED_VALUE"""),"(C) Yukari Todo / Ayari Hashimoto")</f>
        <v>(C) Yukari Todo / Ayari Hashimoto</v>
      </c>
      <c r="V4652" s="8"/>
      <c r="W4652" s="8"/>
      <c r="X4652" s="8" t="str">
        <f>IFERROR(__xludf.DUMMYFUNCTION("""COMPUTED_VALUE"""),"有")</f>
        <v>有</v>
      </c>
      <c r="Y4652" s="8" t="str">
        <f>IFERROR(__xludf.DUMMYFUNCTION("""COMPUTED_VALUE"""),"1巻無料")</f>
        <v>1巻無料</v>
      </c>
      <c r="Z4652" s="7"/>
      <c r="AA4652" s="7"/>
      <c r="AB4652" s="7"/>
    </row>
    <row r="4653" ht="15.75" customHeight="1">
      <c r="A4653" s="26">
        <f>IFERROR(__xludf.DUMMYFUNCTION("""COMPUTED_VALUE"""),7361.0)</f>
        <v>7361</v>
      </c>
      <c r="B4653" s="22" t="str">
        <f>IFERROR(__xludf.DUMMYFUNCTION("""COMPUTED_VALUE"""),"確定")</f>
        <v>確定</v>
      </c>
      <c r="C4653" s="28">
        <f>IFERROR(__xludf.DUMMYFUNCTION("""COMPUTED_VALUE"""),46055.0)</f>
        <v>46055</v>
      </c>
      <c r="D4653" s="28">
        <f>IFERROR(__xludf.DUMMYFUNCTION("""COMPUTED_VALUE"""),46056.0)</f>
        <v>46056</v>
      </c>
      <c r="E4653" s="26">
        <f>IFERROR(__xludf.DUMMYFUNCTION("""COMPUTED_VALUE"""),352070.0)</f>
        <v>352070</v>
      </c>
      <c r="F4653" s="22" t="str">
        <f>IFERROR(__xludf.DUMMYFUNCTION("""COMPUTED_VALUE"""),"運命のつがい～虐げられた令嬢は金華猫の一途な愛で幸せを掴む～")</f>
        <v>運命のつがい～虐げられた令嬢は金華猫の一途な愛で幸せを掴む～</v>
      </c>
      <c r="G4653" s="20" t="str">
        <f>IFERROR(__xludf.DUMMYFUNCTION("""COMPUTED_VALUE"""),"1～5")</f>
        <v>1～5</v>
      </c>
      <c r="H4653" s="22" t="str">
        <f>IFERROR(__xludf.DUMMYFUNCTION("""COMPUTED_VALUE"""),"森湖春・相馬まこと")</f>
        <v>森湖春・相馬まこと</v>
      </c>
      <c r="I4653" s="22" t="str">
        <f>IFERROR(__xludf.DUMMYFUNCTION("""COMPUTED_VALUE"""),"少女")</f>
        <v>少女</v>
      </c>
      <c r="J4653" s="22"/>
      <c r="K4653" s="22" t="str">
        <f>IFERROR(__xludf.DUMMYFUNCTION("""COMPUTED_VALUE"""),"echo")</f>
        <v>echo</v>
      </c>
      <c r="L4653" s="22" t="str">
        <f>IFERROR(__xludf.DUMMYFUNCTION("""COMPUTED_VALUE"""),"一迅社")</f>
        <v>一迅社</v>
      </c>
      <c r="M4653" s="33">
        <f>IFERROR(__xludf.DUMMYFUNCTION("""COMPUTED_VALUE"""),46087.0)</f>
        <v>46087</v>
      </c>
      <c r="N4653" s="33">
        <f>IFERROR(__xludf.DUMMYFUNCTION("""COMPUTED_VALUE"""),46177.0)</f>
        <v>46177</v>
      </c>
      <c r="O4653" s="20"/>
      <c r="P4653" s="32" t="str">
        <f>IFERROR(__xludf.DUMMYFUNCTION("""COMPUTED_VALUE"""),"否")</f>
        <v>否</v>
      </c>
      <c r="Q4653" s="30"/>
      <c r="R4653" s="22"/>
      <c r="S4653" s="22" t="str">
        <f>IFERROR(__xludf.DUMMYFUNCTION("""COMPUTED_VALUE"""),"20260202_一迅社_運命のつがい～虐げられた令嬢は金華猫の一途な愛で幸せを掴む～")</f>
        <v>20260202_一迅社_運命のつがい～虐げられた令嬢は金華猫の一途な愛で幸せを掴む～</v>
      </c>
      <c r="T4653" s="22" t="str">
        <f>IFERROR(__xludf.DUMMYFUNCTION("""COMPUTED_VALUE"""),"格納済み")</f>
        <v>格納済み</v>
      </c>
      <c r="U4653" s="9" t="str">
        <f>IFERROR(__xludf.DUMMYFUNCTION("""COMPUTED_VALUE"""),"(C)森湖春・相馬まこと／一迅社")</f>
        <v>(C)森湖春・相馬まこと／一迅社</v>
      </c>
      <c r="V4653" s="8"/>
      <c r="W4653" s="8"/>
      <c r="X4653" s="8" t="str">
        <f>IFERROR(__xludf.DUMMYFUNCTION("""COMPUTED_VALUE"""),"有")</f>
        <v>有</v>
      </c>
      <c r="Y4653" s="8" t="str">
        <f>IFERROR(__xludf.DUMMYFUNCTION("""COMPUTED_VALUE"""),"P9まで")</f>
        <v>P9まで</v>
      </c>
      <c r="Z4653" s="7"/>
      <c r="AA4653" s="7"/>
      <c r="AB4653" s="7"/>
    </row>
    <row r="4654" ht="15.75" customHeight="1">
      <c r="A4654" s="26">
        <f>IFERROR(__xludf.DUMMYFUNCTION("""COMPUTED_VALUE"""),6476.0)</f>
        <v>6476</v>
      </c>
      <c r="B4654" s="22" t="str">
        <f>IFERROR(__xludf.DUMMYFUNCTION("""COMPUTED_VALUE"""),"確定")</f>
        <v>確定</v>
      </c>
      <c r="C4654" s="28">
        <f>IFERROR(__xludf.DUMMYFUNCTION("""COMPUTED_VALUE"""),45911.0)</f>
        <v>45911</v>
      </c>
      <c r="D4654" s="28">
        <f>IFERROR(__xludf.DUMMYFUNCTION("""COMPUTED_VALUE"""),46059.0)</f>
        <v>46059</v>
      </c>
      <c r="E4654" s="26">
        <f>IFERROR(__xludf.DUMMYFUNCTION("""COMPUTED_VALUE"""),351733.0)</f>
        <v>351733</v>
      </c>
      <c r="F4654" s="22" t="str">
        <f>IFERROR(__xludf.DUMMYFUNCTION("""COMPUTED_VALUE"""),"友だち以上恋人未満の魔法使いたち【分冊版】")</f>
        <v>友だち以上恋人未満の魔法使いたち【分冊版】</v>
      </c>
      <c r="G4654" s="20" t="str">
        <f>IFERROR(__xludf.DUMMYFUNCTION("""COMPUTED_VALUE"""),"1～3")</f>
        <v>1～3</v>
      </c>
      <c r="H4654" s="22" t="str">
        <f>IFERROR(__xludf.DUMMYFUNCTION("""COMPUTED_VALUE"""),"橘叶和,小竹咲,武田ほたる")</f>
        <v>橘叶和,小竹咲,武田ほたる</v>
      </c>
      <c r="I4654" s="22" t="str">
        <f>IFERROR(__xludf.DUMMYFUNCTION("""COMPUTED_VALUE"""),"女性")</f>
        <v>女性</v>
      </c>
      <c r="J4654" s="22"/>
      <c r="K4654" s="22"/>
      <c r="L4654" s="22" t="str">
        <f>IFERROR(__xludf.DUMMYFUNCTION("""COMPUTED_VALUE"""),"一二三書房")</f>
        <v>一二三書房</v>
      </c>
      <c r="M4654" s="33">
        <f>IFERROR(__xludf.DUMMYFUNCTION("""COMPUTED_VALUE"""),46086.0)</f>
        <v>46086</v>
      </c>
      <c r="N4654" s="33">
        <f>IFERROR(__xludf.DUMMYFUNCTION("""COMPUTED_VALUE"""),46177.0)</f>
        <v>46177</v>
      </c>
      <c r="O4654" s="20"/>
      <c r="P4654" s="32" t="str">
        <f>IFERROR(__xludf.DUMMYFUNCTION("""COMPUTED_VALUE"""),"可")</f>
        <v>可</v>
      </c>
      <c r="Q4654" s="30"/>
      <c r="R4654" s="22" t="str">
        <f>IFERROR(__xludf.DUMMYFUNCTION("""COMPUTED_VALUE"""),"コミットNG")</f>
        <v>コミットNG</v>
      </c>
      <c r="S4654" s="22" t="str">
        <f>IFERROR(__xludf.DUMMYFUNCTION("""COMPUTED_VALUE"""),"20260226_一二三書房_友だち以上恋人未満の魔法使いたち")</f>
        <v>20260226_一二三書房_友だち以上恋人未満の魔法使いたち</v>
      </c>
      <c r="T4654" s="22" t="str">
        <f>IFERROR(__xludf.DUMMYFUNCTION("""COMPUTED_VALUE"""),"格納済み")</f>
        <v>格納済み</v>
      </c>
      <c r="U4654" s="9" t="str">
        <f>IFERROR(__xludf.DUMMYFUNCTION("""COMPUTED_VALUE"""),"ⒸEmi Kotake ⒸTowa Tachibana ⒸHIFUMI SHOBO")</f>
        <v>ⒸEmi Kotake ⒸTowa Tachibana ⒸHIFUMI SHOBO</v>
      </c>
      <c r="V4654" s="8"/>
      <c r="W4654" s="8"/>
      <c r="X4654" s="8" t="str">
        <f>IFERROR(__xludf.DUMMYFUNCTION("""COMPUTED_VALUE"""),"有")</f>
        <v>有</v>
      </c>
      <c r="Y4654" s="8" t="str">
        <f>IFERROR(__xludf.DUMMYFUNCTION("""COMPUTED_VALUE"""),"2026/6/4まで1巻無料")</f>
        <v>2026/6/4まで1巻無料</v>
      </c>
      <c r="Z4654" s="7"/>
      <c r="AA4654" s="7"/>
      <c r="AB4654" s="7"/>
    </row>
    <row r="4655" ht="15.75" customHeight="1">
      <c r="A4655" s="26">
        <f>IFERROR(__xludf.DUMMYFUNCTION("""COMPUTED_VALUE"""),6617.0)</f>
        <v>6617</v>
      </c>
      <c r="B4655" s="22" t="str">
        <f>IFERROR(__xludf.DUMMYFUNCTION("""COMPUTED_VALUE"""),"確定")</f>
        <v>確定</v>
      </c>
      <c r="C4655" s="28">
        <f>IFERROR(__xludf.DUMMYFUNCTION("""COMPUTED_VALUE"""),45937.0)</f>
        <v>45937</v>
      </c>
      <c r="D4655" s="28">
        <f>IFERROR(__xludf.DUMMYFUNCTION("""COMPUTED_VALUE"""),46063.0)</f>
        <v>46063</v>
      </c>
      <c r="E4655" s="26">
        <f>IFERROR(__xludf.DUMMYFUNCTION("""COMPUTED_VALUE"""),351333.0)</f>
        <v>351333</v>
      </c>
      <c r="F4655" s="22" t="str">
        <f>IFERROR(__xludf.DUMMYFUNCTION("""COMPUTED_VALUE"""),"【単話売】その妻、ボディーガードにつき")</f>
        <v>【単話売】その妻、ボディーガードにつき</v>
      </c>
      <c r="G4655" s="20" t="str">
        <f>IFERROR(__xludf.DUMMYFUNCTION("""COMPUTED_VALUE"""),"1～3")</f>
        <v>1～3</v>
      </c>
      <c r="H4655" s="22" t="str">
        <f>IFERROR(__xludf.DUMMYFUNCTION("""COMPUTED_VALUE"""),"小倉すぱ")</f>
        <v>小倉すぱ</v>
      </c>
      <c r="I4655" s="22" t="str">
        <f>IFERROR(__xludf.DUMMYFUNCTION("""COMPUTED_VALUE"""),"女性")</f>
        <v>女性</v>
      </c>
      <c r="J4655" s="22"/>
      <c r="K4655" s="22"/>
      <c r="L4655" s="22" t="str">
        <f>IFERROR(__xludf.DUMMYFUNCTION("""COMPUTED_VALUE"""),"集英社")</f>
        <v>集英社</v>
      </c>
      <c r="M4655" s="33">
        <f>IFERROR(__xludf.DUMMYFUNCTION("""COMPUTED_VALUE"""),46081.0)</f>
        <v>46081</v>
      </c>
      <c r="N4655" s="33">
        <f>IFERROR(__xludf.DUMMYFUNCTION("""COMPUTED_VALUE"""),46166.0)</f>
        <v>46166</v>
      </c>
      <c r="O4655" s="20"/>
      <c r="P4655" s="32" t="str">
        <f>IFERROR(__xludf.DUMMYFUNCTION("""COMPUTED_VALUE"""),"否")</f>
        <v>否</v>
      </c>
      <c r="Q4655" s="30"/>
      <c r="R4655" s="22" t="str">
        <f>IFERROR(__xludf.DUMMYFUNCTION("""COMPUTED_VALUE"""),"コミットNG")</f>
        <v>コミットNG</v>
      </c>
      <c r="S4655" s="22" t="str">
        <f>IFERROR(__xludf.DUMMYFUNCTION("""COMPUTED_VALUE"""),"20260209_集英社_その妻、ボディーガードにつき")</f>
        <v>20260209_集英社_その妻、ボディーガードにつき</v>
      </c>
      <c r="T4655" s="22" t="str">
        <f>IFERROR(__xludf.DUMMYFUNCTION("""COMPUTED_VALUE"""),"格納済み")</f>
        <v>格納済み</v>
      </c>
      <c r="U4655" s="9" t="str">
        <f>IFERROR(__xludf.DUMMYFUNCTION("""COMPUTED_VALUE"""),"(c)小倉すぱ／集英社クリエイティブ")</f>
        <v>(c)小倉すぱ／集英社クリエイティブ</v>
      </c>
      <c r="V4655" s="8"/>
      <c r="W4655" s="8"/>
      <c r="X4655" s="8" t="str">
        <f>IFERROR(__xludf.DUMMYFUNCTION("""COMPUTED_VALUE"""),"有")</f>
        <v>有</v>
      </c>
      <c r="Y4655" s="8" t="str">
        <f>IFERROR(__xludf.DUMMYFUNCTION("""COMPUTED_VALUE"""),"P12まで")</f>
        <v>P12まで</v>
      </c>
      <c r="Z4655" s="7"/>
      <c r="AA4655" s="7"/>
      <c r="AB4655" s="7"/>
    </row>
    <row r="4656" ht="15.75" customHeight="1">
      <c r="A4656" s="26">
        <f>IFERROR(__xludf.DUMMYFUNCTION("""COMPUTED_VALUE"""),6640.0)</f>
        <v>6640</v>
      </c>
      <c r="B4656" s="22" t="str">
        <f>IFERROR(__xludf.DUMMYFUNCTION("""COMPUTED_VALUE"""),"確定")</f>
        <v>確定</v>
      </c>
      <c r="C4656" s="28">
        <f>IFERROR(__xludf.DUMMYFUNCTION("""COMPUTED_VALUE"""),45944.0)</f>
        <v>45944</v>
      </c>
      <c r="D4656" s="28">
        <f>IFERROR(__xludf.DUMMYFUNCTION("""COMPUTED_VALUE"""),46062.0)</f>
        <v>46062</v>
      </c>
      <c r="E4656" s="26">
        <f>IFERROR(__xludf.DUMMYFUNCTION("""COMPUTED_VALUE"""),349073.0)</f>
        <v>349073</v>
      </c>
      <c r="F4656" s="22" t="str">
        <f>IFERROR(__xludf.DUMMYFUNCTION("""COMPUTED_VALUE"""),"パラサイトシスター この女は赤の他人です")</f>
        <v>パラサイトシスター この女は赤の他人です</v>
      </c>
      <c r="G4656" s="20" t="str">
        <f>IFERROR(__xludf.DUMMYFUNCTION("""COMPUTED_VALUE"""),"1～3")</f>
        <v>1～3</v>
      </c>
      <c r="H4656" s="22" t="str">
        <f>IFERROR(__xludf.DUMMYFUNCTION("""COMPUTED_VALUE"""),"味野ひらき┴エイリアンリリィ")</f>
        <v>味野ひらき┴エイリアンリリィ</v>
      </c>
      <c r="I4656" s="22" t="str">
        <f>IFERROR(__xludf.DUMMYFUNCTION("""COMPUTED_VALUE"""),"青年")</f>
        <v>青年</v>
      </c>
      <c r="J4656" s="22"/>
      <c r="K4656" s="22" t="str">
        <f>IFERROR(__xludf.DUMMYFUNCTION("""COMPUTED_VALUE"""),"レヴェリス")</f>
        <v>レヴェリス</v>
      </c>
      <c r="L4656" s="22" t="str">
        <f>IFERROR(__xludf.DUMMYFUNCTION("""COMPUTED_VALUE"""),"ガールスカウトコミックス")</f>
        <v>ガールスカウトコミックス</v>
      </c>
      <c r="M4656" s="33">
        <f>IFERROR(__xludf.DUMMYFUNCTION("""COMPUTED_VALUE"""),46079.0)</f>
        <v>46079</v>
      </c>
      <c r="N4656" s="33">
        <f>IFERROR(__xludf.DUMMYFUNCTION("""COMPUTED_VALUE"""),46167.0)</f>
        <v>46167</v>
      </c>
      <c r="O4656" s="20"/>
      <c r="P4656" s="32" t="str">
        <f>IFERROR(__xludf.DUMMYFUNCTION("""COMPUTED_VALUE"""),"可")</f>
        <v>可</v>
      </c>
      <c r="Q4656" s="30"/>
      <c r="R4656" s="22" t="str">
        <f>IFERROR(__xludf.DUMMYFUNCTION("""COMPUTED_VALUE"""),"コミットOK")</f>
        <v>コミットOK</v>
      </c>
      <c r="S4656" s="22" t="str">
        <f>IFERROR(__xludf.DUMMYFUNCTION("""COMPUTED_VALUE"""),"20260205_ガールスカウトコミックス_パラサイトシスター この女は赤の他人です")</f>
        <v>20260205_ガールスカウトコミックス_パラサイトシスター この女は赤の他人です</v>
      </c>
      <c r="T4656" s="22" t="str">
        <f>IFERROR(__xludf.DUMMYFUNCTION("""COMPUTED_VALUE"""),"格納済み")</f>
        <v>格納済み</v>
      </c>
      <c r="U4656" s="9" t="str">
        <f>IFERROR(__xludf.DUMMYFUNCTION("""COMPUTED_VALUE"""),"(C)味野ひらき／ガールスカウトコミックス")</f>
        <v>(C)味野ひらき／ガールスカウトコミックス</v>
      </c>
      <c r="V4656" s="8"/>
      <c r="W4656" s="8"/>
      <c r="X4656" s="8" t="str">
        <f>IFERROR(__xludf.DUMMYFUNCTION("""COMPUTED_VALUE"""),"有")</f>
        <v>有</v>
      </c>
      <c r="Y4656" s="8" t="str">
        <f>IFERROR(__xludf.DUMMYFUNCTION("""COMPUTED_VALUE"""),"2026/3/11まで1巻無料")</f>
        <v>2026/3/11まで1巻無料</v>
      </c>
      <c r="Z4656" s="7"/>
      <c r="AA4656" s="7"/>
      <c r="AB4656" s="7"/>
    </row>
    <row r="4657" ht="15.75" customHeight="1">
      <c r="A4657" s="26">
        <f>IFERROR(__xludf.DUMMYFUNCTION("""COMPUTED_VALUE"""),6680.0)</f>
        <v>6680</v>
      </c>
      <c r="B4657" s="22" t="str">
        <f>IFERROR(__xludf.DUMMYFUNCTION("""COMPUTED_VALUE"""),"確定")</f>
        <v>確定</v>
      </c>
      <c r="C4657" s="28">
        <f>IFERROR(__xludf.DUMMYFUNCTION("""COMPUTED_VALUE"""),45947.0)</f>
        <v>45947</v>
      </c>
      <c r="D4657" s="28">
        <f>IFERROR(__xludf.DUMMYFUNCTION("""COMPUTED_VALUE"""),46059.0)</f>
        <v>46059</v>
      </c>
      <c r="E4657" s="26">
        <f>IFERROR(__xludf.DUMMYFUNCTION("""COMPUTED_VALUE"""),349327.0)</f>
        <v>349327</v>
      </c>
      <c r="F4657" s="22" t="str">
        <f>IFERROR(__xludf.DUMMYFUNCTION("""COMPUTED_VALUE"""),"離婚したいのに、旦那様の溺愛が凄すぎて別れてくれません【分冊版】")</f>
        <v>離婚したいのに、旦那様の溺愛が凄すぎて別れてくれません【分冊版】</v>
      </c>
      <c r="G4657" s="20" t="str">
        <f>IFERROR(__xludf.DUMMYFUNCTION("""COMPUTED_VALUE"""),"1～3")</f>
        <v>1～3</v>
      </c>
      <c r="H4657" s="22" t="str">
        <f>IFERROR(__xludf.DUMMYFUNCTION("""COMPUTED_VALUE"""),"卯庭やまぶき,夢野美紗")</f>
        <v>卯庭やまぶき,夢野美紗</v>
      </c>
      <c r="I4657" s="22" t="str">
        <f>IFERROR(__xludf.DUMMYFUNCTION("""COMPUTED_VALUE"""),"女性")</f>
        <v>女性</v>
      </c>
      <c r="J4657" s="22"/>
      <c r="K4657" s="22" t="str">
        <f>IFERROR(__xludf.DUMMYFUNCTION("""COMPUTED_VALUE"""),"マーマレードコミックス")</f>
        <v>マーマレードコミックス</v>
      </c>
      <c r="L4657" s="22" t="str">
        <f>IFERROR(__xludf.DUMMYFUNCTION("""COMPUTED_VALUE"""),"ハーパーコリンズ・ジャパン")</f>
        <v>ハーパーコリンズ・ジャパン</v>
      </c>
      <c r="M4657" s="33">
        <f>IFERROR(__xludf.DUMMYFUNCTION("""COMPUTED_VALUE"""),46072.0)</f>
        <v>46072</v>
      </c>
      <c r="N4657" s="33">
        <f>IFERROR(__xludf.DUMMYFUNCTION("""COMPUTED_VALUE"""),46160.0)</f>
        <v>46160</v>
      </c>
      <c r="O4657" s="20"/>
      <c r="P4657" s="32" t="str">
        <f>IFERROR(__xludf.DUMMYFUNCTION("""COMPUTED_VALUE"""),"可")</f>
        <v>可</v>
      </c>
      <c r="Q4657" s="30" t="str">
        <f>IFERROR(__xludf.DUMMYFUNCTION("""COMPUTED_VALUE"""),"可能な限りお早めにご出稿いただけますと幸いです。")</f>
        <v>可能な限りお早めにご出稿いただけますと幸いです。</v>
      </c>
      <c r="R4657" s="22" t="str">
        <f>IFERROR(__xludf.DUMMYFUNCTION("""COMPUTED_VALUE"""),"コミットOK")</f>
        <v>コミットOK</v>
      </c>
      <c r="S4657" s="22" t="str">
        <f>IFERROR(__xludf.DUMMYFUNCTION("""COMPUTED_VALUE"""),"20260205_ハーパーコリンズ・ジャパン_離婚したいのに、旦那様の溺愛が凄すぎて別れてくれません【分冊版】")</f>
        <v>20260205_ハーパーコリンズ・ジャパン_離婚したいのに、旦那様の溺愛が凄すぎて別れてくれません【分冊版】</v>
      </c>
      <c r="T4657" s="22" t="str">
        <f>IFERROR(__xludf.DUMMYFUNCTION("""COMPUTED_VALUE"""),"格納済み")</f>
        <v>格納済み</v>
      </c>
      <c r="U4657" s="9" t="str">
        <f>IFERROR(__xludf.DUMMYFUNCTION("""COMPUTED_VALUE"""),"Ⓒ卯庭やまぶき・夢野美紗／ハーパーコリンズ・ジャパン")</f>
        <v>Ⓒ卯庭やまぶき・夢野美紗／ハーパーコリンズ・ジャパン</v>
      </c>
      <c r="V4657" s="8"/>
      <c r="W4657" s="8"/>
      <c r="X4657" s="8" t="str">
        <f>IFERROR(__xludf.DUMMYFUNCTION("""COMPUTED_VALUE"""),"有")</f>
        <v>有</v>
      </c>
      <c r="Y4657" s="8" t="str">
        <f>IFERROR(__xludf.DUMMYFUNCTION("""COMPUTED_VALUE"""),"2026/3/4まで1巻無料")</f>
        <v>2026/3/4まで1巻無料</v>
      </c>
      <c r="Z4657" s="7"/>
      <c r="AA4657" s="7"/>
      <c r="AB4657" s="7"/>
    </row>
    <row r="4658" ht="15.75" customHeight="1">
      <c r="A4658" s="26">
        <f>IFERROR(__xludf.DUMMYFUNCTION("""COMPUTED_VALUE"""),6778.0)</f>
        <v>6778</v>
      </c>
      <c r="B4658" s="22" t="str">
        <f>IFERROR(__xludf.DUMMYFUNCTION("""COMPUTED_VALUE"""),"確定")</f>
        <v>確定</v>
      </c>
      <c r="C4658" s="28">
        <f>IFERROR(__xludf.DUMMYFUNCTION("""COMPUTED_VALUE"""),45965.0)</f>
        <v>45965</v>
      </c>
      <c r="D4658" s="28">
        <f>IFERROR(__xludf.DUMMYFUNCTION("""COMPUTED_VALUE"""),46062.0)</f>
        <v>46062</v>
      </c>
      <c r="E4658" s="26">
        <f>IFERROR(__xludf.DUMMYFUNCTION("""COMPUTED_VALUE"""),354318.0)</f>
        <v>354318</v>
      </c>
      <c r="F4658" s="22" t="str">
        <f>IFERROR(__xludf.DUMMYFUNCTION("""COMPUTED_VALUE"""),"婚約破棄された令嬢が「私は、お飾り妻ですよね？」と言ったら、恐ろしい笑顔の新しい婚約者に１００キロの純金ドレスをプレゼントされてしまいました")</f>
        <v>婚約破棄された令嬢が「私は、お飾り妻ですよね？」と言ったら、恐ろしい笑顔の新しい婚約者に１００キロの純金ドレスをプレゼントされてしまいました</v>
      </c>
      <c r="G4658" s="20">
        <f>IFERROR(__xludf.DUMMYFUNCTION("""COMPUTED_VALUE"""),1.0)</f>
        <v>1</v>
      </c>
      <c r="H4658" s="22" t="str">
        <f>IFERROR(__xludf.DUMMYFUNCTION("""COMPUTED_VALUE"""),"漫画：いなる／原作：三香")</f>
        <v>漫画：いなる／原作：三香</v>
      </c>
      <c r="I4658" s="22" t="str">
        <f>IFERROR(__xludf.DUMMYFUNCTION("""COMPUTED_VALUE"""),"少女")</f>
        <v>少女</v>
      </c>
      <c r="J4658" s="22"/>
      <c r="K4658" s="22" t="str">
        <f>IFERROR(__xludf.DUMMYFUNCTION("""COMPUTED_VALUE"""),"ZERO-SUMコミックス")</f>
        <v>ZERO-SUMコミックス</v>
      </c>
      <c r="L4658" s="22" t="str">
        <f>IFERROR(__xludf.DUMMYFUNCTION("""COMPUTED_VALUE"""),"一迅社")</f>
        <v>一迅社</v>
      </c>
      <c r="M4658" s="33">
        <f>IFERROR(__xludf.DUMMYFUNCTION("""COMPUTED_VALUE"""),46113.0)</f>
        <v>46113</v>
      </c>
      <c r="N4658" s="33">
        <f>IFERROR(__xludf.DUMMYFUNCTION("""COMPUTED_VALUE"""),46173.0)</f>
        <v>46173</v>
      </c>
      <c r="O4658" s="20"/>
      <c r="P4658" s="32" t="str">
        <f>IFERROR(__xludf.DUMMYFUNCTION("""COMPUTED_VALUE"""),"否")</f>
        <v>否</v>
      </c>
      <c r="Q4658" s="30" t="str">
        <f>IFERROR(__xludf.DUMMYFUNCTION("""COMPUTED_VALUE"""),"『悪役令嬢が婚約破棄されたので、いまから俺が幸せにします。 アンソロジーコミック: 4」掲載作品です。")</f>
        <v>『悪役令嬢が婚約破棄されたので、いまから俺が幸せにします。 アンソロジーコミック: 4」掲載作品です。</v>
      </c>
      <c r="R4658" s="22"/>
      <c r="S4658" s="22" t="str">
        <f>IFERROR(__xludf.DUMMYFUNCTION("""COMPUTED_VALUE"""),"20260209_一迅社_婚約破棄された令嬢が「私は、お飾り妻ですよね？」と言ったら、恐ろしい笑顔の新しい婚約者に１００キロの純金ドレスをプレゼントされてしまいました")</f>
        <v>20260209_一迅社_婚約破棄された令嬢が「私は、お飾り妻ですよね？」と言ったら、恐ろしい笑顔の新しい婚約者に１００キロの純金ドレスをプレゼントされてしまいました</v>
      </c>
      <c r="T4658" s="22" t="str">
        <f>IFERROR(__xludf.DUMMYFUNCTION("""COMPUTED_VALUE"""),"格納済み")</f>
        <v>格納済み</v>
      </c>
      <c r="U4658" s="9" t="str">
        <f>IFERROR(__xludf.DUMMYFUNCTION("""COMPUTED_VALUE"""),"(C)いなる・三香／一迅社")</f>
        <v>(C)いなる・三香／一迅社</v>
      </c>
      <c r="V4658" s="8"/>
      <c r="W4658" s="8"/>
      <c r="X4658" s="8" t="str">
        <f>IFERROR(__xludf.DUMMYFUNCTION("""COMPUTED_VALUE"""),"有")</f>
        <v>有</v>
      </c>
      <c r="Y4658" s="8" t="str">
        <f>IFERROR(__xludf.DUMMYFUNCTION("""COMPUTED_VALUE"""),"P7まで")</f>
        <v>P7まで</v>
      </c>
      <c r="Z4658" s="7"/>
      <c r="AA4658" s="7"/>
      <c r="AB4658" s="7"/>
    </row>
    <row r="4659" ht="15.75" customHeight="1">
      <c r="A4659" s="26">
        <f>IFERROR(__xludf.DUMMYFUNCTION("""COMPUTED_VALUE"""),6780.0)</f>
        <v>6780</v>
      </c>
      <c r="B4659" s="22" t="str">
        <f>IFERROR(__xludf.DUMMYFUNCTION("""COMPUTED_VALUE"""),"確定")</f>
        <v>確定</v>
      </c>
      <c r="C4659" s="28">
        <f>IFERROR(__xludf.DUMMYFUNCTION("""COMPUTED_VALUE"""),45965.0)</f>
        <v>45965</v>
      </c>
      <c r="D4659" s="28">
        <f>IFERROR(__xludf.DUMMYFUNCTION("""COMPUTED_VALUE"""),46062.0)</f>
        <v>46062</v>
      </c>
      <c r="E4659" s="26">
        <f>IFERROR(__xludf.DUMMYFUNCTION("""COMPUTED_VALUE"""),354319.0)</f>
        <v>354319</v>
      </c>
      <c r="F4659" s="22" t="str">
        <f>IFERROR(__xludf.DUMMYFUNCTION("""COMPUTED_VALUE"""),"悪役令嬢と呼ばれた彼女を一途に思い続けた俺の話")</f>
        <v>悪役令嬢と呼ばれた彼女を一途に思い続けた俺の話</v>
      </c>
      <c r="G4659" s="20">
        <f>IFERROR(__xludf.DUMMYFUNCTION("""COMPUTED_VALUE"""),1.0)</f>
        <v>1</v>
      </c>
      <c r="H4659" s="22" t="str">
        <f>IFERROR(__xludf.DUMMYFUNCTION("""COMPUTED_VALUE"""),"漫画：空島想／原作：木村巴")</f>
        <v>漫画：空島想／原作：木村巴</v>
      </c>
      <c r="I4659" s="22" t="str">
        <f>IFERROR(__xludf.DUMMYFUNCTION("""COMPUTED_VALUE"""),"少女")</f>
        <v>少女</v>
      </c>
      <c r="J4659" s="22"/>
      <c r="K4659" s="22" t="str">
        <f>IFERROR(__xludf.DUMMYFUNCTION("""COMPUTED_VALUE"""),"ZERO-SUMコミックス")</f>
        <v>ZERO-SUMコミックス</v>
      </c>
      <c r="L4659" s="22" t="str">
        <f>IFERROR(__xludf.DUMMYFUNCTION("""COMPUTED_VALUE"""),"一迅社")</f>
        <v>一迅社</v>
      </c>
      <c r="M4659" s="33">
        <f>IFERROR(__xludf.DUMMYFUNCTION("""COMPUTED_VALUE"""),46113.0)</f>
        <v>46113</v>
      </c>
      <c r="N4659" s="33">
        <f>IFERROR(__xludf.DUMMYFUNCTION("""COMPUTED_VALUE"""),46173.0)</f>
        <v>46173</v>
      </c>
      <c r="O4659" s="20"/>
      <c r="P4659" s="32" t="str">
        <f>IFERROR(__xludf.DUMMYFUNCTION("""COMPUTED_VALUE"""),"否")</f>
        <v>否</v>
      </c>
      <c r="Q4659" s="30" t="str">
        <f>IFERROR(__xludf.DUMMYFUNCTION("""COMPUTED_VALUE"""),"『悪役令嬢が婚約破棄されたので、いまから俺が幸せにします。 アンソロジーコミック: 4」掲載作品です。")</f>
        <v>『悪役令嬢が婚約破棄されたので、いまから俺が幸せにします。 アンソロジーコミック: 4」掲載作品です。</v>
      </c>
      <c r="R4659" s="22"/>
      <c r="S4659" s="22" t="str">
        <f>IFERROR(__xludf.DUMMYFUNCTION("""COMPUTED_VALUE"""),"20260209_一迅社_悪役令嬢と呼ばれた彼女を一途に思い続けた俺の話")</f>
        <v>20260209_一迅社_悪役令嬢と呼ばれた彼女を一途に思い続けた俺の話</v>
      </c>
      <c r="T4659" s="22" t="str">
        <f>IFERROR(__xludf.DUMMYFUNCTION("""COMPUTED_VALUE"""),"格納済み")</f>
        <v>格納済み</v>
      </c>
      <c r="U4659" s="9" t="str">
        <f>IFERROR(__xludf.DUMMYFUNCTION("""COMPUTED_VALUE"""),"(C)空島想・木村巴／一迅社")</f>
        <v>(C)空島想・木村巴／一迅社</v>
      </c>
      <c r="V4659" s="8"/>
      <c r="W4659" s="8"/>
      <c r="X4659" s="8" t="str">
        <f>IFERROR(__xludf.DUMMYFUNCTION("""COMPUTED_VALUE"""),"有")</f>
        <v>有</v>
      </c>
      <c r="Y4659" s="8" t="str">
        <f>IFERROR(__xludf.DUMMYFUNCTION("""COMPUTED_VALUE"""),"P8まで")</f>
        <v>P8まで</v>
      </c>
      <c r="Z4659" s="7"/>
      <c r="AA4659" s="7"/>
      <c r="AB4659" s="7"/>
    </row>
    <row r="4660" ht="15.75" customHeight="1">
      <c r="A4660" s="26">
        <f>IFERROR(__xludf.DUMMYFUNCTION("""COMPUTED_VALUE"""),6782.0)</f>
        <v>6782</v>
      </c>
      <c r="B4660" s="22" t="str">
        <f>IFERROR(__xludf.DUMMYFUNCTION("""COMPUTED_VALUE"""),"確定")</f>
        <v>確定</v>
      </c>
      <c r="C4660" s="28">
        <f>IFERROR(__xludf.DUMMYFUNCTION("""COMPUTED_VALUE"""),45965.0)</f>
        <v>45965</v>
      </c>
      <c r="D4660" s="28">
        <f>IFERROR(__xludf.DUMMYFUNCTION("""COMPUTED_VALUE"""),46062.0)</f>
        <v>46062</v>
      </c>
      <c r="E4660" s="26">
        <f>IFERROR(__xludf.DUMMYFUNCTION("""COMPUTED_VALUE"""),354320.0)</f>
        <v>354320</v>
      </c>
      <c r="F4660" s="22" t="str">
        <f>IFERROR(__xludf.DUMMYFUNCTION("""COMPUTED_VALUE"""),"王弟魔術師は愛しの令嬢に魔法をかける")</f>
        <v>王弟魔術師は愛しの令嬢に魔法をかける</v>
      </c>
      <c r="G4660" s="20">
        <f>IFERROR(__xludf.DUMMYFUNCTION("""COMPUTED_VALUE"""),1.0)</f>
        <v>1</v>
      </c>
      <c r="H4660" s="22" t="str">
        <f>IFERROR(__xludf.DUMMYFUNCTION("""COMPUTED_VALUE"""),"漫画：sacco／原作：氷雨そら")</f>
        <v>漫画：sacco／原作：氷雨そら</v>
      </c>
      <c r="I4660" s="22" t="str">
        <f>IFERROR(__xludf.DUMMYFUNCTION("""COMPUTED_VALUE"""),"少女")</f>
        <v>少女</v>
      </c>
      <c r="J4660" s="22"/>
      <c r="K4660" s="22" t="str">
        <f>IFERROR(__xludf.DUMMYFUNCTION("""COMPUTED_VALUE"""),"ZERO-SUMコミックス")</f>
        <v>ZERO-SUMコミックス</v>
      </c>
      <c r="L4660" s="22" t="str">
        <f>IFERROR(__xludf.DUMMYFUNCTION("""COMPUTED_VALUE"""),"一迅社")</f>
        <v>一迅社</v>
      </c>
      <c r="M4660" s="33">
        <f>IFERROR(__xludf.DUMMYFUNCTION("""COMPUTED_VALUE"""),46113.0)</f>
        <v>46113</v>
      </c>
      <c r="N4660" s="33">
        <f>IFERROR(__xludf.DUMMYFUNCTION("""COMPUTED_VALUE"""),46173.0)</f>
        <v>46173</v>
      </c>
      <c r="O4660" s="20"/>
      <c r="P4660" s="32" t="str">
        <f>IFERROR(__xludf.DUMMYFUNCTION("""COMPUTED_VALUE"""),"否")</f>
        <v>否</v>
      </c>
      <c r="Q4660" s="30" t="str">
        <f>IFERROR(__xludf.DUMMYFUNCTION("""COMPUTED_VALUE"""),"『悪役令嬢が婚約破棄されたので、いまから俺が幸せにします。 アンソロジーコミック: 4」掲載作品です。")</f>
        <v>『悪役令嬢が婚約破棄されたので、いまから俺が幸せにします。 アンソロジーコミック: 4」掲載作品です。</v>
      </c>
      <c r="R4660" s="22"/>
      <c r="S4660" s="22" t="str">
        <f>IFERROR(__xludf.DUMMYFUNCTION("""COMPUTED_VALUE"""),"20260209_一迅社_王弟魔術師は愛しの令嬢に魔法をかける")</f>
        <v>20260209_一迅社_王弟魔術師は愛しの令嬢に魔法をかける</v>
      </c>
      <c r="T4660" s="22" t="str">
        <f>IFERROR(__xludf.DUMMYFUNCTION("""COMPUTED_VALUE"""),"格納済み")</f>
        <v>格納済み</v>
      </c>
      <c r="U4660" s="9" t="str">
        <f>IFERROR(__xludf.DUMMYFUNCTION("""COMPUTED_VALUE"""),"(C)sacco・氷雨そら／一迅社")</f>
        <v>(C)sacco・氷雨そら／一迅社</v>
      </c>
      <c r="V4660" s="8"/>
      <c r="W4660" s="8"/>
      <c r="X4660" s="8" t="str">
        <f>IFERROR(__xludf.DUMMYFUNCTION("""COMPUTED_VALUE"""),"有")</f>
        <v>有</v>
      </c>
      <c r="Y4660" s="8" t="str">
        <f>IFERROR(__xludf.DUMMYFUNCTION("""COMPUTED_VALUE"""),"P9まで")</f>
        <v>P9まで</v>
      </c>
      <c r="Z4660" s="7"/>
      <c r="AA4660" s="7"/>
      <c r="AB4660" s="7"/>
    </row>
    <row r="4661" ht="15.75" customHeight="1">
      <c r="A4661" s="26">
        <f>IFERROR(__xludf.DUMMYFUNCTION("""COMPUTED_VALUE"""),6816.0)</f>
        <v>6816</v>
      </c>
      <c r="B4661" s="22" t="str">
        <f>IFERROR(__xludf.DUMMYFUNCTION("""COMPUTED_VALUE"""),"確定")</f>
        <v>確定</v>
      </c>
      <c r="C4661" s="28">
        <f>IFERROR(__xludf.DUMMYFUNCTION("""COMPUTED_VALUE"""),45967.0)</f>
        <v>45967</v>
      </c>
      <c r="D4661" s="28">
        <f>IFERROR(__xludf.DUMMYFUNCTION("""COMPUTED_VALUE"""),46063.0)</f>
        <v>46063</v>
      </c>
      <c r="E4661" s="26">
        <f>IFERROR(__xludf.DUMMYFUNCTION("""COMPUTED_VALUE"""),351334.0)</f>
        <v>351334</v>
      </c>
      <c r="F4661" s="22" t="str">
        <f>IFERROR(__xludf.DUMMYFUNCTION("""COMPUTED_VALUE"""),"【単話売】まだ好きの途中")</f>
        <v>【単話売】まだ好きの途中</v>
      </c>
      <c r="G4661" s="20" t="str">
        <f>IFERROR(__xludf.DUMMYFUNCTION("""COMPUTED_VALUE"""),"1～3")</f>
        <v>1～3</v>
      </c>
      <c r="H4661" s="22" t="str">
        <f>IFERROR(__xludf.DUMMYFUNCTION("""COMPUTED_VALUE"""),"仁嶋中道")</f>
        <v>仁嶋中道</v>
      </c>
      <c r="I4661" s="22" t="str">
        <f>IFERROR(__xludf.DUMMYFUNCTION("""COMPUTED_VALUE"""),"女性")</f>
        <v>女性</v>
      </c>
      <c r="J4661" s="22"/>
      <c r="K4661" s="22"/>
      <c r="L4661" s="22" t="str">
        <f>IFERROR(__xludf.DUMMYFUNCTION("""COMPUTED_VALUE"""),"集英社")</f>
        <v>集英社</v>
      </c>
      <c r="M4661" s="33">
        <f>IFERROR(__xludf.DUMMYFUNCTION("""COMPUTED_VALUE"""),46081.0)</f>
        <v>46081</v>
      </c>
      <c r="N4661" s="33">
        <f>IFERROR(__xludf.DUMMYFUNCTION("""COMPUTED_VALUE"""),46166.0)</f>
        <v>46166</v>
      </c>
      <c r="O4661" s="20"/>
      <c r="P4661" s="32" t="str">
        <f>IFERROR(__xludf.DUMMYFUNCTION("""COMPUTED_VALUE"""),"否")</f>
        <v>否</v>
      </c>
      <c r="Q4661" s="30"/>
      <c r="R4661" s="22" t="str">
        <f>IFERROR(__xludf.DUMMYFUNCTION("""COMPUTED_VALUE"""),"コミットNG")</f>
        <v>コミットNG</v>
      </c>
      <c r="S4661" s="22" t="str">
        <f>IFERROR(__xludf.DUMMYFUNCTION("""COMPUTED_VALUE"""),"20260209_集英社_まだ好きの途中")</f>
        <v>20260209_集英社_まだ好きの途中</v>
      </c>
      <c r="T4661" s="22" t="str">
        <f>IFERROR(__xludf.DUMMYFUNCTION("""COMPUTED_VALUE"""),"格納済み")</f>
        <v>格納済み</v>
      </c>
      <c r="U4661" s="9" t="str">
        <f>IFERROR(__xludf.DUMMYFUNCTION("""COMPUTED_VALUE"""),"(c)仁嶋中道／集英社クリエイティブ")</f>
        <v>(c)仁嶋中道／集英社クリエイティブ</v>
      </c>
      <c r="V4661" s="8"/>
      <c r="W4661" s="8"/>
      <c r="X4661" s="8" t="str">
        <f>IFERROR(__xludf.DUMMYFUNCTION("""COMPUTED_VALUE"""),"有")</f>
        <v>有</v>
      </c>
      <c r="Y4661" s="8" t="str">
        <f>IFERROR(__xludf.DUMMYFUNCTION("""COMPUTED_VALUE"""),"P12まで")</f>
        <v>P12まで</v>
      </c>
      <c r="Z4661" s="7"/>
      <c r="AA4661" s="7"/>
      <c r="AB4661" s="7"/>
    </row>
    <row r="4662" ht="15.75" customHeight="1">
      <c r="A4662" s="26">
        <f>IFERROR(__xludf.DUMMYFUNCTION("""COMPUTED_VALUE"""),6980.0)</f>
        <v>6980</v>
      </c>
      <c r="B4662" s="22" t="str">
        <f>IFERROR(__xludf.DUMMYFUNCTION("""COMPUTED_VALUE"""),"確定")</f>
        <v>確定</v>
      </c>
      <c r="C4662" s="28">
        <f>IFERROR(__xludf.DUMMYFUNCTION("""COMPUTED_VALUE"""),45992.0)</f>
        <v>45992</v>
      </c>
      <c r="D4662" s="28">
        <f>IFERROR(__xludf.DUMMYFUNCTION("""COMPUTED_VALUE"""),46062.0)</f>
        <v>46062</v>
      </c>
      <c r="E4662" s="26">
        <f>IFERROR(__xludf.DUMMYFUNCTION("""COMPUTED_VALUE"""),352622.0)</f>
        <v>352622</v>
      </c>
      <c r="F4662" s="22" t="str">
        <f>IFERROR(__xludf.DUMMYFUNCTION("""COMPUTED_VALUE"""),"100億婚【マイクロ】")</f>
        <v>100億婚【マイクロ】</v>
      </c>
      <c r="G4662" s="20" t="str">
        <f>IFERROR(__xludf.DUMMYFUNCTION("""COMPUTED_VALUE"""),"1～4")</f>
        <v>1～4</v>
      </c>
      <c r="H4662" s="22" t="str">
        <f>IFERROR(__xludf.DUMMYFUNCTION("""COMPUTED_VALUE"""),"市原ゆうき")</f>
        <v>市原ゆうき</v>
      </c>
      <c r="I4662" s="22" t="str">
        <f>IFERROR(__xludf.DUMMYFUNCTION("""COMPUTED_VALUE"""),"少女")</f>
        <v>少女</v>
      </c>
      <c r="J4662" s="22"/>
      <c r="K4662" s="22"/>
      <c r="L4662" s="22" t="str">
        <f>IFERROR(__xludf.DUMMYFUNCTION("""COMPUTED_VALUE"""),"小学館")</f>
        <v>小学館</v>
      </c>
      <c r="M4662" s="33">
        <f>IFERROR(__xludf.DUMMYFUNCTION("""COMPUTED_VALUE"""),46073.0)</f>
        <v>46073</v>
      </c>
      <c r="N4662" s="33">
        <f>IFERROR(__xludf.DUMMYFUNCTION("""COMPUTED_VALUE"""),46131.0)</f>
        <v>46131</v>
      </c>
      <c r="O4662" s="20"/>
      <c r="P4662" s="32" t="str">
        <f>IFERROR(__xludf.DUMMYFUNCTION("""COMPUTED_VALUE"""),"否")</f>
        <v>否</v>
      </c>
      <c r="Q4662" s="30" t="str">
        <f>IFERROR(__xludf.DUMMYFUNCTION("""COMPUTED_VALUE"""),"可能な限りお早めの出稿お願いいたします。")</f>
        <v>可能な限りお早めの出稿お願いいたします。</v>
      </c>
      <c r="R4662" s="22" t="str">
        <f>IFERROR(__xludf.DUMMYFUNCTION("""COMPUTED_VALUE"""),"コミットOK")</f>
        <v>コミットOK</v>
      </c>
      <c r="S4662" s="22" t="str">
        <f>IFERROR(__xludf.DUMMYFUNCTION("""COMPUTED_VALUE"""),"20260209_小学館_100億婚【マイクロ】")</f>
        <v>20260209_小学館_100億婚【マイクロ】</v>
      </c>
      <c r="T4662" s="22" t="str">
        <f>IFERROR(__xludf.DUMMYFUNCTION("""COMPUTED_VALUE"""),"格納済み")</f>
        <v>格納済み</v>
      </c>
      <c r="U4662" s="9" t="str">
        <f>IFERROR(__xludf.DUMMYFUNCTION("""COMPUTED_VALUE"""),"(C)市原ゆうき / 小学館")</f>
        <v>(C)市原ゆうき / 小学館</v>
      </c>
      <c r="V4662" s="8"/>
      <c r="W4662" s="8"/>
      <c r="X4662" s="8" t="str">
        <f>IFERROR(__xludf.DUMMYFUNCTION("""COMPUTED_VALUE"""),"有")</f>
        <v>有</v>
      </c>
      <c r="Y4662" s="8" t="str">
        <f>IFERROR(__xludf.DUMMYFUNCTION("""COMPUTED_VALUE"""),"P26まで")</f>
        <v>P26まで</v>
      </c>
      <c r="Z4662" s="7"/>
      <c r="AA4662" s="7"/>
      <c r="AB4662" s="7"/>
    </row>
    <row r="4663" ht="15.75" customHeight="1">
      <c r="A4663" s="26">
        <f>IFERROR(__xludf.DUMMYFUNCTION("""COMPUTED_VALUE"""),6999.0)</f>
        <v>6999</v>
      </c>
      <c r="B4663" s="22" t="str">
        <f>IFERROR(__xludf.DUMMYFUNCTION("""COMPUTED_VALUE"""),"確定")</f>
        <v>確定</v>
      </c>
      <c r="C4663" s="28">
        <f>IFERROR(__xludf.DUMMYFUNCTION("""COMPUTED_VALUE"""),45995.0)</f>
        <v>45995</v>
      </c>
      <c r="D4663" s="28">
        <f>IFERROR(__xludf.DUMMYFUNCTION("""COMPUTED_VALUE"""),46063.0)</f>
        <v>46063</v>
      </c>
      <c r="E4663" s="26">
        <f>IFERROR(__xludf.DUMMYFUNCTION("""COMPUTED_VALUE"""),353781.0)</f>
        <v>353781</v>
      </c>
      <c r="F4663" s="22" t="str">
        <f>IFERROR(__xludf.DUMMYFUNCTION("""COMPUTED_VALUE"""),"冬真くんのXXLな純愛 アソコも愛情も規格外な元彼とむさぼり初夜")</f>
        <v>冬真くんのXXLな純愛 アソコも愛情も規格外な元彼とむさぼり初夜</v>
      </c>
      <c r="G4663" s="20" t="str">
        <f>IFERROR(__xludf.DUMMYFUNCTION("""COMPUTED_VALUE"""),"1～3")</f>
        <v>1～3</v>
      </c>
      <c r="H4663" s="22" t="str">
        <f>IFERROR(__xludf.DUMMYFUNCTION("""COMPUTED_VALUE"""),"睦月ある┴かんたま")</f>
        <v>睦月ある┴かんたま</v>
      </c>
      <c r="I4663" s="22" t="str">
        <f>IFERROR(__xludf.DUMMYFUNCTION("""COMPUTED_VALUE"""),"TL")</f>
        <v>TL</v>
      </c>
      <c r="J4663" s="22"/>
      <c r="K4663" s="22" t="str">
        <f>IFERROR(__xludf.DUMMYFUNCTION("""COMPUTED_VALUE"""),"lou lou")</f>
        <v>lou lou</v>
      </c>
      <c r="L4663" s="22" t="str">
        <f>IFERROR(__xludf.DUMMYFUNCTION("""COMPUTED_VALUE"""),"渋谷六花舎")</f>
        <v>渋谷六花舎</v>
      </c>
      <c r="M4663" s="33">
        <f>IFERROR(__xludf.DUMMYFUNCTION("""COMPUTED_VALUE"""),46099.0)</f>
        <v>46099</v>
      </c>
      <c r="N4663" s="33">
        <f>IFERROR(__xludf.DUMMYFUNCTION("""COMPUTED_VALUE"""),46190.0)</f>
        <v>46190</v>
      </c>
      <c r="O4663" s="20"/>
      <c r="P4663" s="32" t="str">
        <f>IFERROR(__xludf.DUMMYFUNCTION("""COMPUTED_VALUE"""),"可")</f>
        <v>可</v>
      </c>
      <c r="Q4663" s="30" t="str">
        <f>IFERROR(__xludf.DUMMYFUNCTION("""COMPUTED_VALUE"""),"【アダルト作品扱い】")</f>
        <v>【アダルト作品扱い】</v>
      </c>
      <c r="R4663" s="22" t="str">
        <f>IFERROR(__xludf.DUMMYFUNCTION("""COMPUTED_VALUE"""),"コミットOK")</f>
        <v>コミットOK</v>
      </c>
      <c r="S4663" s="22" t="str">
        <f>IFERROR(__xludf.DUMMYFUNCTION("""COMPUTED_VALUE"""),"20260206_渋谷六花舎_冬真くんのXXLな純愛 アソコも愛情も規格外な元彼とむさぼり初夜")</f>
        <v>20260206_渋谷六花舎_冬真くんのXXLな純愛 アソコも愛情も規格外な元彼とむさぼり初夜</v>
      </c>
      <c r="T4663" s="22" t="str">
        <f>IFERROR(__xludf.DUMMYFUNCTION("""COMPUTED_VALUE"""),"格納済み")</f>
        <v>格納済み</v>
      </c>
      <c r="U4663" s="9" t="str">
        <f>IFERROR(__xludf.DUMMYFUNCTION("""COMPUTED_VALUE"""),"（c）睦月ある/かんたま/lou lou")</f>
        <v>（c）睦月ある/かんたま/lou lou</v>
      </c>
      <c r="V4663" s="8"/>
      <c r="W4663" s="8"/>
      <c r="X4663" s="8" t="str">
        <f>IFERROR(__xludf.DUMMYFUNCTION("""COMPUTED_VALUE"""),"有")</f>
        <v>有</v>
      </c>
      <c r="Y4663" s="8" t="str">
        <f>IFERROR(__xludf.DUMMYFUNCTION("""COMPUTED_VALUE"""),"2026/4/1まで1巻無料")</f>
        <v>2026/4/1まで1巻無料</v>
      </c>
      <c r="Z4663" s="7"/>
      <c r="AA4663" s="7"/>
      <c r="AB4663" s="7"/>
    </row>
    <row r="4664" ht="15.75" customHeight="1">
      <c r="A4664" s="26">
        <f>IFERROR(__xludf.DUMMYFUNCTION("""COMPUTED_VALUE"""),7032.0)</f>
        <v>7032</v>
      </c>
      <c r="B4664" s="22" t="str">
        <f>IFERROR(__xludf.DUMMYFUNCTION("""COMPUTED_VALUE"""),"確定")</f>
        <v>確定</v>
      </c>
      <c r="C4664" s="28">
        <f>IFERROR(__xludf.DUMMYFUNCTION("""COMPUTED_VALUE"""),46000.0)</f>
        <v>46000</v>
      </c>
      <c r="D4664" s="28">
        <f>IFERROR(__xludf.DUMMYFUNCTION("""COMPUTED_VALUE"""),46059.0)</f>
        <v>46059</v>
      </c>
      <c r="E4664" s="26">
        <f>IFERROR(__xludf.DUMMYFUNCTION("""COMPUTED_VALUE"""),349229.0)</f>
        <v>349229</v>
      </c>
      <c r="F4664" s="22" t="str">
        <f>IFERROR(__xludf.DUMMYFUNCTION("""COMPUTED_VALUE"""),"溺愛彼氏のカワイイ顔が見たすぎる")</f>
        <v>溺愛彼氏のカワイイ顔が見たすぎる</v>
      </c>
      <c r="G4664" s="20" t="str">
        <f>IFERROR(__xludf.DUMMYFUNCTION("""COMPUTED_VALUE"""),"1～2")</f>
        <v>1～2</v>
      </c>
      <c r="H4664" s="22" t="str">
        <f>IFERROR(__xludf.DUMMYFUNCTION("""COMPUTED_VALUE"""),"あも")</f>
        <v>あも</v>
      </c>
      <c r="I4664" s="22" t="str">
        <f>IFERROR(__xludf.DUMMYFUNCTION("""COMPUTED_VALUE"""),"TL")</f>
        <v>TL</v>
      </c>
      <c r="J4664" s="22"/>
      <c r="K4664" s="22" t="str">
        <f>IFERROR(__xludf.DUMMYFUNCTION("""COMPUTED_VALUE"""),"恋愛ショコラ")</f>
        <v>恋愛ショコラ</v>
      </c>
      <c r="L4664" s="22" t="str">
        <f>IFERROR(__xludf.DUMMYFUNCTION("""COMPUTED_VALUE"""),"forcs")</f>
        <v>forcs</v>
      </c>
      <c r="M4664" s="33">
        <f>IFERROR(__xludf.DUMMYFUNCTION("""COMPUTED_VALUE"""),46059.0)</f>
        <v>46059</v>
      </c>
      <c r="N4664" s="33">
        <f>IFERROR(__xludf.DUMMYFUNCTION("""COMPUTED_VALUE"""),46114.0)</f>
        <v>46114</v>
      </c>
      <c r="O4664" s="20"/>
      <c r="P4664" s="32" t="str">
        <f>IFERROR(__xludf.DUMMYFUNCTION("""COMPUTED_VALUE"""),"可")</f>
        <v>可</v>
      </c>
      <c r="Q4664" s="30" t="str">
        <f>IFERROR(__xludf.DUMMYFUNCTION("""COMPUTED_VALUE"""),"【アダルト作品扱い】既に配信済みのため可能な範囲でのご出稿お願いいたします。")</f>
        <v>【アダルト作品扱い】既に配信済みのため可能な範囲でのご出稿お願いいたします。</v>
      </c>
      <c r="R4664" s="22" t="str">
        <f>IFERROR(__xludf.DUMMYFUNCTION("""COMPUTED_VALUE"""),"コミットOK")</f>
        <v>コミットOK</v>
      </c>
      <c r="S4664" s="22" t="str">
        <f>IFERROR(__xludf.DUMMYFUNCTION("""COMPUTED_VALUE"""),"20260210_focs_修正_溺愛彼氏のカワイイ顔が見たすぎる")</f>
        <v>20260210_focs_修正_溺愛彼氏のカワイイ顔が見たすぎる</v>
      </c>
      <c r="T4664" s="22" t="str">
        <f>IFERROR(__xludf.DUMMYFUNCTION("""COMPUTED_VALUE"""),"格納済み")</f>
        <v>格納済み</v>
      </c>
      <c r="U4664" s="9" t="str">
        <f>IFERROR(__xludf.DUMMYFUNCTION("""COMPUTED_VALUE"""),"Ⓒあも/forcs")</f>
        <v>Ⓒあも/forcs</v>
      </c>
      <c r="V4664" s="8"/>
      <c r="W4664" s="8"/>
      <c r="X4664" s="8" t="str">
        <f>IFERROR(__xludf.DUMMYFUNCTION("""COMPUTED_VALUE"""),"有")</f>
        <v>有</v>
      </c>
      <c r="Y4664" s="8" t="str">
        <f>IFERROR(__xludf.DUMMYFUNCTION("""COMPUTED_VALUE"""),"2026/12/31まで1巻立ち読み増量（P23）")</f>
        <v>2026/12/31まで1巻立ち読み増量（P23）</v>
      </c>
      <c r="Z4664" s="7"/>
      <c r="AA4664" s="7"/>
      <c r="AB4664" s="7"/>
    </row>
    <row r="4665" ht="15.75" customHeight="1">
      <c r="A4665" s="26">
        <f>IFERROR(__xludf.DUMMYFUNCTION("""COMPUTED_VALUE"""),7060.0)</f>
        <v>7060</v>
      </c>
      <c r="B4665" s="22" t="str">
        <f>IFERROR(__xludf.DUMMYFUNCTION("""COMPUTED_VALUE"""),"確定")</f>
        <v>確定</v>
      </c>
      <c r="C4665" s="28">
        <f>IFERROR(__xludf.DUMMYFUNCTION("""COMPUTED_VALUE"""),46006.0)</f>
        <v>46006</v>
      </c>
      <c r="D4665" s="28">
        <f>IFERROR(__xludf.DUMMYFUNCTION("""COMPUTED_VALUE"""),46063.0)</f>
        <v>46063</v>
      </c>
      <c r="E4665" s="26">
        <f>IFERROR(__xludf.DUMMYFUNCTION("""COMPUTED_VALUE"""),353165.0)</f>
        <v>353165</v>
      </c>
      <c r="F4665" s="22" t="str">
        <f>IFERROR(__xludf.DUMMYFUNCTION("""COMPUTED_VALUE"""),"最強のお師匠様と恋仲になるまで自立しません！")</f>
        <v>最強のお師匠様と恋仲になるまで自立しません！</v>
      </c>
      <c r="G4665" s="20" t="str">
        <f>IFERROR(__xludf.DUMMYFUNCTION("""COMPUTED_VALUE"""),"1～3")</f>
        <v>1～3</v>
      </c>
      <c r="H4665" s="22" t="str">
        <f>IFERROR(__xludf.DUMMYFUNCTION("""COMPUTED_VALUE"""),"藻衣")</f>
        <v>藻衣</v>
      </c>
      <c r="I4665" s="22" t="str">
        <f>IFERROR(__xludf.DUMMYFUNCTION("""COMPUTED_VALUE"""),"TL")</f>
        <v>TL</v>
      </c>
      <c r="J4665" s="22"/>
      <c r="K4665" s="22" t="str">
        <f>IFERROR(__xludf.DUMMYFUNCTION("""COMPUTED_VALUE"""),"e乙蜜コミックス")</f>
        <v>e乙蜜コミックス</v>
      </c>
      <c r="L4665" s="22" t="str">
        <f>IFERROR(__xludf.DUMMYFUNCTION("""COMPUTED_VALUE"""),"リブレ")</f>
        <v>リブレ</v>
      </c>
      <c r="M4665" s="33">
        <f>IFERROR(__xludf.DUMMYFUNCTION("""COMPUTED_VALUE"""),46100.0)</f>
        <v>46100</v>
      </c>
      <c r="N4665" s="33">
        <f>IFERROR(__xludf.DUMMYFUNCTION("""COMPUTED_VALUE"""),46162.0)</f>
        <v>46162</v>
      </c>
      <c r="O4665" s="20"/>
      <c r="P4665" s="32" t="str">
        <f>IFERROR(__xludf.DUMMYFUNCTION("""COMPUTED_VALUE"""),"可")</f>
        <v>可</v>
      </c>
      <c r="Q4665" s="30" t="str">
        <f>IFERROR(__xludf.DUMMYFUNCTION("""COMPUTED_VALUE"""),"【アダルト作品扱い】")</f>
        <v>【アダルト作品扱い】</v>
      </c>
      <c r="R4665" s="22" t="str">
        <f>IFERROR(__xludf.DUMMYFUNCTION("""COMPUTED_VALUE"""),"コミットOK")</f>
        <v>コミットOK</v>
      </c>
      <c r="S4665" s="22" t="str">
        <f>IFERROR(__xludf.DUMMYFUNCTION("""COMPUTED_VALUE"""),"20260205_リブレ_最強のお師匠様と恋仲になるまで自立しません！")</f>
        <v>20260205_リブレ_最強のお師匠様と恋仲になるまで自立しません！</v>
      </c>
      <c r="T4665" s="22" t="str">
        <f>IFERROR(__xludf.DUMMYFUNCTION("""COMPUTED_VALUE"""),"格納済み")</f>
        <v>格納済み</v>
      </c>
      <c r="U4665" s="9" t="str">
        <f>IFERROR(__xludf.DUMMYFUNCTION("""COMPUTED_VALUE"""),"Ⓒ藻衣/libre")</f>
        <v>Ⓒ藻衣/libre</v>
      </c>
      <c r="V4665" s="8"/>
      <c r="W4665" s="8"/>
      <c r="X4665" s="8" t="str">
        <f>IFERROR(__xludf.DUMMYFUNCTION("""COMPUTED_VALUE"""),"有")</f>
        <v>有</v>
      </c>
      <c r="Y4665" s="8" t="str">
        <f>IFERROR(__xludf.DUMMYFUNCTION("""COMPUTED_VALUE"""),"2026/3/31まで1巻無料")</f>
        <v>2026/3/31まで1巻無料</v>
      </c>
      <c r="Z4665" s="7"/>
      <c r="AA4665" s="7"/>
      <c r="AB4665" s="7"/>
    </row>
    <row r="4666" ht="15.75" customHeight="1">
      <c r="A4666" s="26">
        <f>IFERROR(__xludf.DUMMYFUNCTION("""COMPUTED_VALUE"""),7077.0)</f>
        <v>7077</v>
      </c>
      <c r="B4666" s="22" t="str">
        <f>IFERROR(__xludf.DUMMYFUNCTION("""COMPUTED_VALUE"""),"確定")</f>
        <v>確定</v>
      </c>
      <c r="C4666" s="28">
        <f>IFERROR(__xludf.DUMMYFUNCTION("""COMPUTED_VALUE"""),46008.0)</f>
        <v>46008</v>
      </c>
      <c r="D4666" s="28">
        <f>IFERROR(__xludf.DUMMYFUNCTION("""COMPUTED_VALUE"""),46062.0)</f>
        <v>46062</v>
      </c>
      <c r="E4666" s="26">
        <f>IFERROR(__xludf.DUMMYFUNCTION("""COMPUTED_VALUE"""),353071.0)</f>
        <v>353071</v>
      </c>
      <c r="F4666" s="22" t="str">
        <f>IFERROR(__xludf.DUMMYFUNCTION("""COMPUTED_VALUE"""),"恋ひ恋ひて【連載版】")</f>
        <v>恋ひ恋ひて【連載版】</v>
      </c>
      <c r="G4666" s="20" t="str">
        <f>IFERROR(__xludf.DUMMYFUNCTION("""COMPUTED_VALUE"""),"1～5")</f>
        <v>1～5</v>
      </c>
      <c r="H4666" s="22" t="str">
        <f>IFERROR(__xludf.DUMMYFUNCTION("""COMPUTED_VALUE"""),"原作 みずのまい、漫画 ito")</f>
        <v>原作 みずのまい、漫画 ito</v>
      </c>
      <c r="I4666" s="22" t="str">
        <f>IFERROR(__xludf.DUMMYFUNCTION("""COMPUTED_VALUE"""),"女性")</f>
        <v>女性</v>
      </c>
      <c r="J4666" s="22"/>
      <c r="K4666" s="22"/>
      <c r="L4666" s="22" t="str">
        <f>IFERROR(__xludf.DUMMYFUNCTION("""COMPUTED_VALUE"""),"学研")</f>
        <v>学研</v>
      </c>
      <c r="M4666" s="33">
        <f>IFERROR(__xludf.DUMMYFUNCTION("""COMPUTED_VALUE"""),46078.0)</f>
        <v>46078</v>
      </c>
      <c r="N4666" s="33">
        <f>IFERROR(__xludf.DUMMYFUNCTION("""COMPUTED_VALUE"""),46166.0)</f>
        <v>46166</v>
      </c>
      <c r="O4666" s="20"/>
      <c r="P4666" s="32" t="str">
        <f>IFERROR(__xludf.DUMMYFUNCTION("""COMPUTED_VALUE"""),"可")</f>
        <v>可</v>
      </c>
      <c r="Q4666" s="30"/>
      <c r="R4666" s="22" t="str">
        <f>IFERROR(__xludf.DUMMYFUNCTION("""COMPUTED_VALUE"""),"コミットNG")</f>
        <v>コミットNG</v>
      </c>
      <c r="S4666" s="22" t="str">
        <f>IFERROR(__xludf.DUMMYFUNCTION("""COMPUTED_VALUE"""),"20251217_学研_恋い恋いて")</f>
        <v>20251217_学研_恋い恋いて</v>
      </c>
      <c r="T4666" s="22" t="str">
        <f>IFERROR(__xludf.DUMMYFUNCTION("""COMPUTED_VALUE"""),"格納済み")</f>
        <v>格納済み</v>
      </c>
      <c r="U4666" s="9" t="str">
        <f>IFERROR(__xludf.DUMMYFUNCTION("""COMPUTED_VALUE"""),"みずのまい・ito／Gakken")</f>
        <v>みずのまい・ito／Gakken</v>
      </c>
      <c r="V4666" s="8"/>
      <c r="W4666" s="8"/>
      <c r="X4666" s="8" t="str">
        <f>IFERROR(__xludf.DUMMYFUNCTION("""COMPUTED_VALUE"""),"有")</f>
        <v>有</v>
      </c>
      <c r="Y4666" s="8" t="str">
        <f>IFERROR(__xludf.DUMMYFUNCTION("""COMPUTED_VALUE"""),"P5まで")</f>
        <v>P5まで</v>
      </c>
      <c r="Z4666" s="7"/>
      <c r="AA4666" s="7"/>
      <c r="AB4666" s="7"/>
    </row>
    <row r="4667" ht="15.75" customHeight="1">
      <c r="A4667" s="26">
        <f>IFERROR(__xludf.DUMMYFUNCTION("""COMPUTED_VALUE"""),7083.0)</f>
        <v>7083</v>
      </c>
      <c r="B4667" s="22" t="str">
        <f>IFERROR(__xludf.DUMMYFUNCTION("""COMPUTED_VALUE"""),"確定")</f>
        <v>確定</v>
      </c>
      <c r="C4667" s="28">
        <f>IFERROR(__xludf.DUMMYFUNCTION("""COMPUTED_VALUE"""),46009.0)</f>
        <v>46009</v>
      </c>
      <c r="D4667" s="28">
        <f>IFERROR(__xludf.DUMMYFUNCTION("""COMPUTED_VALUE"""),46063.0)</f>
        <v>46063</v>
      </c>
      <c r="E4667" s="26">
        <f>IFERROR(__xludf.DUMMYFUNCTION("""COMPUTED_VALUE"""),351335.0)</f>
        <v>351335</v>
      </c>
      <c r="F4667" s="22" t="str">
        <f>IFERROR(__xludf.DUMMYFUNCTION("""COMPUTED_VALUE"""),"【単話売】事故物件と彼女の最期の日")</f>
        <v>【単話売】事故物件と彼女の最期の日</v>
      </c>
      <c r="G4667" s="20" t="str">
        <f>IFERROR(__xludf.DUMMYFUNCTION("""COMPUTED_VALUE"""),"1～3")</f>
        <v>1～3</v>
      </c>
      <c r="H4667" s="22" t="str">
        <f>IFERROR(__xludf.DUMMYFUNCTION("""COMPUTED_VALUE"""),"七尾ゆず")</f>
        <v>七尾ゆず</v>
      </c>
      <c r="I4667" s="22" t="str">
        <f>IFERROR(__xludf.DUMMYFUNCTION("""COMPUTED_VALUE"""),"女性")</f>
        <v>女性</v>
      </c>
      <c r="J4667" s="22"/>
      <c r="K4667" s="22"/>
      <c r="L4667" s="22" t="str">
        <f>IFERROR(__xludf.DUMMYFUNCTION("""COMPUTED_VALUE"""),"集英社")</f>
        <v>集英社</v>
      </c>
      <c r="M4667" s="33">
        <f>IFERROR(__xludf.DUMMYFUNCTION("""COMPUTED_VALUE"""),46081.0)</f>
        <v>46081</v>
      </c>
      <c r="N4667" s="33">
        <f>IFERROR(__xludf.DUMMYFUNCTION("""COMPUTED_VALUE"""),46104.0)</f>
        <v>46104</v>
      </c>
      <c r="O4667" s="20"/>
      <c r="P4667" s="32" t="str">
        <f>IFERROR(__xludf.DUMMYFUNCTION("""COMPUTED_VALUE"""),"否")</f>
        <v>否</v>
      </c>
      <c r="Q4667" s="30"/>
      <c r="R4667" s="22" t="str">
        <f>IFERROR(__xludf.DUMMYFUNCTION("""COMPUTED_VALUE"""),"コミットNG")</f>
        <v>コミットNG</v>
      </c>
      <c r="S4667" s="22" t="str">
        <f>IFERROR(__xludf.DUMMYFUNCTION("""COMPUTED_VALUE"""),"20260209_集英社_事故物件と彼女の最期の日")</f>
        <v>20260209_集英社_事故物件と彼女の最期の日</v>
      </c>
      <c r="T4667" s="22" t="str">
        <f>IFERROR(__xludf.DUMMYFUNCTION("""COMPUTED_VALUE"""),"格納済み")</f>
        <v>格納済み</v>
      </c>
      <c r="U4667" s="9" t="str">
        <f>IFERROR(__xludf.DUMMYFUNCTION("""COMPUTED_VALUE"""),"(c)七尾ゆず／集英社クリエイティブ")</f>
        <v>(c)七尾ゆず／集英社クリエイティブ</v>
      </c>
      <c r="V4667" s="8"/>
      <c r="W4667" s="8"/>
      <c r="X4667" s="8" t="str">
        <f>IFERROR(__xludf.DUMMYFUNCTION("""COMPUTED_VALUE"""),"有")</f>
        <v>有</v>
      </c>
      <c r="Y4667" s="8" t="str">
        <f>IFERROR(__xludf.DUMMYFUNCTION("""COMPUTED_VALUE"""),"P12まで")</f>
        <v>P12まで</v>
      </c>
      <c r="Z4667" s="7"/>
      <c r="AA4667" s="7"/>
      <c r="AB4667" s="7"/>
    </row>
    <row r="4668" ht="15.75" customHeight="1">
      <c r="A4668" s="26">
        <f>IFERROR(__xludf.DUMMYFUNCTION("""COMPUTED_VALUE"""),7159.0)</f>
        <v>7159</v>
      </c>
      <c r="B4668" s="22" t="str">
        <f>IFERROR(__xludf.DUMMYFUNCTION("""COMPUTED_VALUE"""),"確定")</f>
        <v>確定</v>
      </c>
      <c r="C4668" s="28">
        <f>IFERROR(__xludf.DUMMYFUNCTION("""COMPUTED_VALUE"""),46028.0)</f>
        <v>46028</v>
      </c>
      <c r="D4668" s="28">
        <f>IFERROR(__xludf.DUMMYFUNCTION("""COMPUTED_VALUE"""),46062.0)</f>
        <v>46062</v>
      </c>
      <c r="E4668" s="26">
        <f>IFERROR(__xludf.DUMMYFUNCTION("""COMPUTED_VALUE"""),354983.0)</f>
        <v>354983</v>
      </c>
      <c r="F4668" s="22" t="str">
        <f>IFERROR(__xludf.DUMMYFUNCTION("""COMPUTED_VALUE"""),"カルトカルトカルト　その愛を信じますか？【分冊版】")</f>
        <v>カルトカルトカルト　その愛を信じますか？【分冊版】</v>
      </c>
      <c r="G4668" s="20" t="str">
        <f>IFERROR(__xludf.DUMMYFUNCTION("""COMPUTED_VALUE"""),"1～7")</f>
        <v>1～7</v>
      </c>
      <c r="H4668" s="22" t="str">
        <f>IFERROR(__xludf.DUMMYFUNCTION("""COMPUTED_VALUE"""),"鯖田凪生")</f>
        <v>鯖田凪生</v>
      </c>
      <c r="I4668" s="22" t="str">
        <f>IFERROR(__xludf.DUMMYFUNCTION("""COMPUTED_VALUE"""),"女性")</f>
        <v>女性</v>
      </c>
      <c r="J4668" s="22"/>
      <c r="K4668" s="22"/>
      <c r="L4668" s="22" t="str">
        <f>IFERROR(__xludf.DUMMYFUNCTION("""COMPUTED_VALUE"""),"マンガボックス")</f>
        <v>マンガボックス</v>
      </c>
      <c r="M4668" s="33">
        <f>IFERROR(__xludf.DUMMYFUNCTION("""COMPUTED_VALUE"""),46097.0)</f>
        <v>46097</v>
      </c>
      <c r="N4668" s="33">
        <f>IFERROR(__xludf.DUMMYFUNCTION("""COMPUTED_VALUE"""),46188.0)</f>
        <v>46188</v>
      </c>
      <c r="O4668" s="20"/>
      <c r="P4668" s="32" t="str">
        <f>IFERROR(__xludf.DUMMYFUNCTION("""COMPUTED_VALUE"""),"可")</f>
        <v>可</v>
      </c>
      <c r="Q4668" s="30"/>
      <c r="R4668" s="22" t="str">
        <f>IFERROR(__xludf.DUMMYFUNCTION("""COMPUTED_VALUE"""),"コミットOK")</f>
        <v>コミットOK</v>
      </c>
      <c r="S4668" s="22" t="str">
        <f>IFERROR(__xludf.DUMMYFUNCTION("""COMPUTED_VALUE"""),"20260205_マンガボックス_カルトカルトカルト　その愛を信じますか？")</f>
        <v>20260205_マンガボックス_カルトカルトカルト　その愛を信じますか？</v>
      </c>
      <c r="T4668" s="22" t="str">
        <f>IFERROR(__xludf.DUMMYFUNCTION("""COMPUTED_VALUE"""),"格納済み")</f>
        <v>格納済み</v>
      </c>
      <c r="U4668" s="9" t="str">
        <f>IFERROR(__xludf.DUMMYFUNCTION("""COMPUTED_VALUE"""),"Ⓒ鯖田凪生/マンガボックス")</f>
        <v>Ⓒ鯖田凪生/マンガボックス</v>
      </c>
      <c r="V4668" s="8"/>
      <c r="W4668" s="8"/>
      <c r="X4668" s="8" t="str">
        <f>IFERROR(__xludf.DUMMYFUNCTION("""COMPUTED_VALUE"""),"有")</f>
        <v>有</v>
      </c>
      <c r="Y4668" s="8" t="str">
        <f>IFERROR(__xludf.DUMMYFUNCTION("""COMPUTED_VALUE"""),"P24まで")</f>
        <v>P24まで</v>
      </c>
      <c r="Z4668" s="7"/>
      <c r="AA4668" s="7"/>
      <c r="AB4668" s="7"/>
    </row>
    <row r="4669" ht="15.75" customHeight="1">
      <c r="A4669" s="26">
        <f>IFERROR(__xludf.DUMMYFUNCTION("""COMPUTED_VALUE"""),7166.0)</f>
        <v>7166</v>
      </c>
      <c r="B4669" s="22" t="str">
        <f>IFERROR(__xludf.DUMMYFUNCTION("""COMPUTED_VALUE"""),"確定")</f>
        <v>確定</v>
      </c>
      <c r="C4669" s="28">
        <f>IFERROR(__xludf.DUMMYFUNCTION("""COMPUTED_VALUE"""),46029.0)</f>
        <v>46029</v>
      </c>
      <c r="D4669" s="28">
        <f>IFERROR(__xludf.DUMMYFUNCTION("""COMPUTED_VALUE"""),46062.0)</f>
        <v>46062</v>
      </c>
      <c r="E4669" s="26">
        <f>IFERROR(__xludf.DUMMYFUNCTION("""COMPUTED_VALUE"""),351518.0)</f>
        <v>351518</v>
      </c>
      <c r="F4669" s="22" t="str">
        <f>IFERROR(__xludf.DUMMYFUNCTION("""COMPUTED_VALUE"""),"あきらめないでよ、さとりちゃん（分冊版）")</f>
        <v>あきらめないでよ、さとりちゃん（分冊版）</v>
      </c>
      <c r="G4669" s="20" t="str">
        <f>IFERROR(__xludf.DUMMYFUNCTION("""COMPUTED_VALUE"""),"1～3")</f>
        <v>1～3</v>
      </c>
      <c r="H4669" s="22" t="str">
        <f>IFERROR(__xludf.DUMMYFUNCTION("""COMPUTED_VALUE"""),"さくましおり")</f>
        <v>さくましおり</v>
      </c>
      <c r="I4669" s="22" t="str">
        <f>IFERROR(__xludf.DUMMYFUNCTION("""COMPUTED_VALUE"""),"女性")</f>
        <v>女性</v>
      </c>
      <c r="J4669" s="22"/>
      <c r="K4669" s="22" t="str">
        <f>IFERROR(__xludf.DUMMYFUNCTION("""COMPUTED_VALUE"""),"comicタント")</f>
        <v>comicタント</v>
      </c>
      <c r="L4669" s="22" t="str">
        <f>IFERROR(__xludf.DUMMYFUNCTION("""COMPUTED_VALUE"""),"ぶんか社")</f>
        <v>ぶんか社</v>
      </c>
      <c r="M4669" s="33">
        <f>IFERROR(__xludf.DUMMYFUNCTION("""COMPUTED_VALUE"""),46108.0)</f>
        <v>46108</v>
      </c>
      <c r="N4669" s="33">
        <f>IFERROR(__xludf.DUMMYFUNCTION("""COMPUTED_VALUE"""),46198.0)</f>
        <v>46198</v>
      </c>
      <c r="O4669" s="20"/>
      <c r="P4669" s="32" t="str">
        <f>IFERROR(__xludf.DUMMYFUNCTION("""COMPUTED_VALUE"""),"可")</f>
        <v>可</v>
      </c>
      <c r="Q4669" s="30"/>
      <c r="R4669" s="22" t="str">
        <f>IFERROR(__xludf.DUMMYFUNCTION("""COMPUTED_VALUE"""),"コミットOK")</f>
        <v>コミットOK</v>
      </c>
      <c r="S4669" s="22" t="str">
        <f>IFERROR(__xludf.DUMMYFUNCTION("""COMPUTED_VALUE"""),"20260209_ぶんか社_あきらめないでよ、さとりちゃん")</f>
        <v>20260209_ぶんか社_あきらめないでよ、さとりちゃん</v>
      </c>
      <c r="T4669" s="22" t="str">
        <f>IFERROR(__xludf.DUMMYFUNCTION("""COMPUTED_VALUE"""),"格納済み")</f>
        <v>格納済み</v>
      </c>
      <c r="U4669" s="9" t="str">
        <f>IFERROR(__xludf.DUMMYFUNCTION("""COMPUTED_VALUE"""),"Ⓒさくましおり/ぶんか社")</f>
        <v>Ⓒさくましおり/ぶんか社</v>
      </c>
      <c r="V4669" s="8"/>
      <c r="W4669" s="8"/>
      <c r="X4669" s="8" t="str">
        <f>IFERROR(__xludf.DUMMYFUNCTION("""COMPUTED_VALUE"""),"有")</f>
        <v>有</v>
      </c>
      <c r="Y4669" s="8" t="str">
        <f>IFERROR(__xludf.DUMMYFUNCTION("""COMPUTED_VALUE"""),"P21まで")</f>
        <v>P21まで</v>
      </c>
      <c r="Z4669" s="7"/>
      <c r="AA4669" s="7"/>
      <c r="AB4669" s="7"/>
    </row>
    <row r="4670" ht="15.75" customHeight="1">
      <c r="A4670" s="26">
        <f>IFERROR(__xludf.DUMMYFUNCTION("""COMPUTED_VALUE"""),7170.0)</f>
        <v>7170</v>
      </c>
      <c r="B4670" s="22" t="str">
        <f>IFERROR(__xludf.DUMMYFUNCTION("""COMPUTED_VALUE"""),"確定")</f>
        <v>確定</v>
      </c>
      <c r="C4670" s="28">
        <f>IFERROR(__xludf.DUMMYFUNCTION("""COMPUTED_VALUE"""),46030.0)</f>
        <v>46030</v>
      </c>
      <c r="D4670" s="28">
        <f>IFERROR(__xludf.DUMMYFUNCTION("""COMPUTED_VALUE"""),46062.0)</f>
        <v>46062</v>
      </c>
      <c r="E4670" s="26">
        <f>IFERROR(__xludf.DUMMYFUNCTION("""COMPUTED_VALUE"""),352555.0)</f>
        <v>352555</v>
      </c>
      <c r="F4670" s="22" t="str">
        <f>IFERROR(__xludf.DUMMYFUNCTION("""COMPUTED_VALUE"""),"九重さんの極甘愛撫 スパダリ上司が溺愛したくて迫ってきます。")</f>
        <v>九重さんの極甘愛撫 スパダリ上司が溺愛したくて迫ってきます。</v>
      </c>
      <c r="G4670" s="20" t="str">
        <f>IFERROR(__xludf.DUMMYFUNCTION("""COMPUTED_VALUE"""),"1～3")</f>
        <v>1～3</v>
      </c>
      <c r="H4670" s="22" t="str">
        <f>IFERROR(__xludf.DUMMYFUNCTION("""COMPUTED_VALUE"""),"峯リン子/はにぃ/さくら蒼")</f>
        <v>峯リン子/はにぃ/さくら蒼</v>
      </c>
      <c r="I4670" s="22" t="str">
        <f>IFERROR(__xludf.DUMMYFUNCTION("""COMPUTED_VALUE"""),"TL")</f>
        <v>TL</v>
      </c>
      <c r="J4670" s="22"/>
      <c r="K4670" s="22" t="str">
        <f>IFERROR(__xludf.DUMMYFUNCTION("""COMPUTED_VALUE"""),"lou lou")</f>
        <v>lou lou</v>
      </c>
      <c r="L4670" s="22" t="str">
        <f>IFERROR(__xludf.DUMMYFUNCTION("""COMPUTED_VALUE"""),"渋谷六花舎")</f>
        <v>渋谷六花舎</v>
      </c>
      <c r="M4670" s="33">
        <f>IFERROR(__xludf.DUMMYFUNCTION("""COMPUTED_VALUE"""),46084.0)</f>
        <v>46084</v>
      </c>
      <c r="N4670" s="33">
        <f>IFERROR(__xludf.DUMMYFUNCTION("""COMPUTED_VALUE"""),46175.0)</f>
        <v>46175</v>
      </c>
      <c r="O4670" s="20"/>
      <c r="P4670" s="32" t="str">
        <f>IFERROR(__xludf.DUMMYFUNCTION("""COMPUTED_VALUE"""),"可")</f>
        <v>可</v>
      </c>
      <c r="Q4670" s="30"/>
      <c r="R4670" s="22" t="str">
        <f>IFERROR(__xludf.DUMMYFUNCTION("""COMPUTED_VALUE"""),"コミットOK")</f>
        <v>コミットOK</v>
      </c>
      <c r="S4670" s="22" t="str">
        <f>IFERROR(__xludf.DUMMYFUNCTION("""COMPUTED_VALUE"""),"20260206_渋谷六花舎_九重さんの極甘愛撫 スパダリ上司が溺愛したくて迫ってきます。")</f>
        <v>20260206_渋谷六花舎_九重さんの極甘愛撫 スパダリ上司が溺愛したくて迫ってきます。</v>
      </c>
      <c r="T4670" s="22" t="str">
        <f>IFERROR(__xludf.DUMMYFUNCTION("""COMPUTED_VALUE"""),"格納済み")</f>
        <v>格納済み</v>
      </c>
      <c r="U4670" s="9" t="str">
        <f>IFERROR(__xludf.DUMMYFUNCTION("""COMPUTED_VALUE"""),"（c）峯リン子/はにぃ/さくら蒼/lou lou")</f>
        <v>（c）峯リン子/はにぃ/さくら蒼/lou lou</v>
      </c>
      <c r="V4670" s="8"/>
      <c r="W4670" s="8"/>
      <c r="X4670" s="8" t="str">
        <f>IFERROR(__xludf.DUMMYFUNCTION("""COMPUTED_VALUE"""),"有")</f>
        <v>有</v>
      </c>
      <c r="Y4670" s="8" t="str">
        <f>IFERROR(__xludf.DUMMYFUNCTION("""COMPUTED_VALUE"""),"P13まで")</f>
        <v>P13まで</v>
      </c>
      <c r="Z4670" s="7"/>
      <c r="AA4670" s="7"/>
      <c r="AB4670" s="7"/>
    </row>
    <row r="4671" ht="15.75" customHeight="1">
      <c r="A4671" s="26">
        <f>IFERROR(__xludf.DUMMYFUNCTION("""COMPUTED_VALUE"""),7173.0)</f>
        <v>7173</v>
      </c>
      <c r="B4671" s="22" t="str">
        <f>IFERROR(__xludf.DUMMYFUNCTION("""COMPUTED_VALUE"""),"確定")</f>
        <v>確定</v>
      </c>
      <c r="C4671" s="28">
        <f>IFERROR(__xludf.DUMMYFUNCTION("""COMPUTED_VALUE"""),46030.0)</f>
        <v>46030</v>
      </c>
      <c r="D4671" s="28">
        <f>IFERROR(__xludf.DUMMYFUNCTION("""COMPUTED_VALUE"""),46059.0)</f>
        <v>46059</v>
      </c>
      <c r="E4671" s="26">
        <f>IFERROR(__xludf.DUMMYFUNCTION("""COMPUTED_VALUE"""),353646.0)</f>
        <v>353646</v>
      </c>
      <c r="F4671" s="22" t="str">
        <f>IFERROR(__xludf.DUMMYFUNCTION("""COMPUTED_VALUE"""),"皇弟殿下の薬湯妃～初恋の人との駆け落ち先は後宮でした～【単話】")</f>
        <v>皇弟殿下の薬湯妃～初恋の人との駆け落ち先は後宮でした～【単話】</v>
      </c>
      <c r="G4671" s="20" t="str">
        <f>IFERROR(__xludf.DUMMYFUNCTION("""COMPUTED_VALUE"""),"1～3")</f>
        <v>1～3</v>
      </c>
      <c r="H4671" s="22" t="str">
        <f>IFERROR(__xludf.DUMMYFUNCTION("""COMPUTED_VALUE"""),"唐澤和希┴望月桜┴白谷ゆう")</f>
        <v>唐澤和希┴望月桜┴白谷ゆう</v>
      </c>
      <c r="I4671" s="22" t="str">
        <f>IFERROR(__xludf.DUMMYFUNCTION("""COMPUTED_VALUE"""),"女性")</f>
        <v>女性</v>
      </c>
      <c r="J4671" s="22"/>
      <c r="K4671" s="22" t="str">
        <f>IFERROR(__xludf.DUMMYFUNCTION("""COMPUTED_VALUE"""),"やわらかスピリッツ女子部")</f>
        <v>やわらかスピリッツ女子部</v>
      </c>
      <c r="L4671" s="22" t="str">
        <f>IFERROR(__xludf.DUMMYFUNCTION("""COMPUTED_VALUE"""),"小学館")</f>
        <v>小学館</v>
      </c>
      <c r="M4671" s="33">
        <f>IFERROR(__xludf.DUMMYFUNCTION("""COMPUTED_VALUE"""),46087.0)</f>
        <v>46087</v>
      </c>
      <c r="N4671" s="33">
        <f>IFERROR(__xludf.DUMMYFUNCTION("""COMPUTED_VALUE"""),46116.0)</f>
        <v>46116</v>
      </c>
      <c r="O4671" s="20"/>
      <c r="P4671" s="32" t="str">
        <f>IFERROR(__xludf.DUMMYFUNCTION("""COMPUTED_VALUE"""),"否")</f>
        <v>否</v>
      </c>
      <c r="Q4671" s="30" t="str">
        <f>IFERROR(__xludf.DUMMYFUNCTION("""COMPUTED_VALUE"""),"『皇弟殿下の薬湯妃』&lt;BR&gt;https://yawaspi.com/yakutohi/index.html&lt;BR&gt;原作                                   ：唐澤和希(https://www.cmoa.jp/search/author/101389/)&lt;BR&gt;作画                                   ：望月桜（https://www.cmoa.jp/search/author/11520/）")</f>
        <v>『皇弟殿下の薬湯妃』&lt;BR&gt;https://yawaspi.com/yakutohi/index.html&lt;BR&gt;原作                                   ：唐澤和希(https://www.cmoa.jp/search/author/101389/)&lt;BR&gt;作画                                   ：望月桜（https://www.cmoa.jp/search/author/11520/）</v>
      </c>
      <c r="R4671" s="22" t="str">
        <f>IFERROR(__xludf.DUMMYFUNCTION("""COMPUTED_VALUE"""),"コミットOK")</f>
        <v>コミットOK</v>
      </c>
      <c r="S4671" s="22" t="str">
        <f>IFERROR(__xludf.DUMMYFUNCTION("""COMPUTED_VALUE"""),"20260203_小学館_皇弟殿下の薬湯妃～初恋の人との駆け落ち先は後宮でした～【単話】")</f>
        <v>20260203_小学館_皇弟殿下の薬湯妃～初恋の人との駆け落ち先は後宮でした～【単話】</v>
      </c>
      <c r="T4671" s="22" t="str">
        <f>IFERROR(__xludf.DUMMYFUNCTION("""COMPUTED_VALUE"""),"格納済み")</f>
        <v>格納済み</v>
      </c>
      <c r="U4671" s="9" t="str">
        <f>IFERROR(__xludf.DUMMYFUNCTION("""COMPUTED_VALUE"""),"(C)唐澤和希・望月桜 / 小学館")</f>
        <v>(C)唐澤和希・望月桜 / 小学館</v>
      </c>
      <c r="V4671" s="8"/>
      <c r="W4671" s="8"/>
      <c r="X4671" s="8" t="str">
        <f>IFERROR(__xludf.DUMMYFUNCTION("""COMPUTED_VALUE"""),"有")</f>
        <v>有</v>
      </c>
      <c r="Y4671" s="8" t="str">
        <f>IFERROR(__xludf.DUMMYFUNCTION("""COMPUTED_VALUE"""),"P6まで")</f>
        <v>P6まで</v>
      </c>
      <c r="Z4671" s="7"/>
      <c r="AA4671" s="7"/>
      <c r="AB4671" s="7"/>
    </row>
    <row r="4672" ht="15.75" customHeight="1">
      <c r="A4672" s="26">
        <f>IFERROR(__xludf.DUMMYFUNCTION("""COMPUTED_VALUE"""),7195.0)</f>
        <v>7195</v>
      </c>
      <c r="B4672" s="22" t="str">
        <f>IFERROR(__xludf.DUMMYFUNCTION("""COMPUTED_VALUE"""),"確定")</f>
        <v>確定</v>
      </c>
      <c r="C4672" s="28">
        <f>IFERROR(__xludf.DUMMYFUNCTION("""COMPUTED_VALUE"""),46035.0)</f>
        <v>46035</v>
      </c>
      <c r="D4672" s="28">
        <f>IFERROR(__xludf.DUMMYFUNCTION("""COMPUTED_VALUE"""),46059.0)</f>
        <v>46059</v>
      </c>
      <c r="E4672" s="26">
        <f>IFERROR(__xludf.DUMMYFUNCTION("""COMPUTED_VALUE"""),351721.0)</f>
        <v>351721</v>
      </c>
      <c r="F4672" s="22" t="str">
        <f>IFERROR(__xludf.DUMMYFUNCTION("""COMPUTED_VALUE"""),"Berry’sFantasy冷酷な公爵様は名無しのお飾り妻がお気に入り～悪女な姉の身代わりで結婚したはずが、気がつくと溺愛されていました～")</f>
        <v>Berry’sFantasy冷酷な公爵様は名無しのお飾り妻がお気に入り～悪女な姉の身代わりで結婚したはずが、気がつくと溺愛されていました～</v>
      </c>
      <c r="G4672" s="20" t="str">
        <f>IFERROR(__xludf.DUMMYFUNCTION("""COMPUTED_VALUE"""),"1～5")</f>
        <v>1～5</v>
      </c>
      <c r="H4672" s="22" t="str">
        <f>IFERROR(__xludf.DUMMYFUNCTION("""COMPUTED_VALUE"""),"五里江剛一郎,里海慧,なおやみか")</f>
        <v>五里江剛一郎,里海慧,なおやみか</v>
      </c>
      <c r="I4672" s="22" t="str">
        <f>IFERROR(__xludf.DUMMYFUNCTION("""COMPUTED_VALUE"""),"女性")</f>
        <v>女性</v>
      </c>
      <c r="J4672" s="22"/>
      <c r="K4672" s="22"/>
      <c r="L4672" s="22" t="str">
        <f>IFERROR(__xludf.DUMMYFUNCTION("""COMPUTED_VALUE"""),"スターツ出版")</f>
        <v>スターツ出版</v>
      </c>
      <c r="M4672" s="33">
        <f>IFERROR(__xludf.DUMMYFUNCTION("""COMPUTED_VALUE"""),46080.0)</f>
        <v>46080</v>
      </c>
      <c r="N4672" s="33">
        <f>IFERROR(__xludf.DUMMYFUNCTION("""COMPUTED_VALUE"""),46107.0)</f>
        <v>46107</v>
      </c>
      <c r="O4672" s="20"/>
      <c r="P4672" s="32" t="str">
        <f>IFERROR(__xludf.DUMMYFUNCTION("""COMPUTED_VALUE"""),"否")</f>
        <v>否</v>
      </c>
      <c r="Q4672" s="30"/>
      <c r="R4672" s="22" t="str">
        <f>IFERROR(__xludf.DUMMYFUNCTION("""COMPUTED_VALUE"""),"コミットOK")</f>
        <v>コミットOK</v>
      </c>
      <c r="S4672" s="22" t="str">
        <f>IFERROR(__xludf.DUMMYFUNCTION("""COMPUTED_VALUE"""),"20260113_スターツ出版_冷酷な公爵様は名無しのお飾り妻がお気に入り～悪女な姉の身代わりで結婚したはずが、気がつくと溺愛されていました～")</f>
        <v>20260113_スターツ出版_冷酷な公爵様は名無しのお飾り妻がお気に入り～悪女な姉の身代わりで結婚したはずが、気がつくと溺愛されていました～</v>
      </c>
      <c r="T4672" s="22" t="str">
        <f>IFERROR(__xludf.DUMMYFUNCTION("""COMPUTED_VALUE"""),"格納済み")</f>
        <v>格納済み</v>
      </c>
      <c r="U4672" s="9" t="str">
        <f>IFERROR(__xludf.DUMMYFUNCTION("""COMPUTED_VALUE"""),"（C）Gouichirou Gorie・Akira Satomi /スターツ出版")</f>
        <v>（C）Gouichirou Gorie・Akira Satomi /スターツ出版</v>
      </c>
      <c r="V4672" s="8"/>
      <c r="W4672" s="8"/>
      <c r="X4672" s="8" t="str">
        <f>IFERROR(__xludf.DUMMYFUNCTION("""COMPUTED_VALUE"""),"有")</f>
        <v>有</v>
      </c>
      <c r="Y4672" s="8" t="str">
        <f>IFERROR(__xludf.DUMMYFUNCTION("""COMPUTED_VALUE"""),"2026/3/26まで1巻無料")</f>
        <v>2026/3/26まで1巻無料</v>
      </c>
      <c r="Z4672" s="7"/>
      <c r="AA4672" s="7"/>
      <c r="AB4672" s="7"/>
    </row>
    <row r="4673" ht="15.75" customHeight="1">
      <c r="A4673" s="26">
        <f>IFERROR(__xludf.DUMMYFUNCTION("""COMPUTED_VALUE"""),7200.0)</f>
        <v>7200</v>
      </c>
      <c r="B4673" s="22" t="str">
        <f>IFERROR(__xludf.DUMMYFUNCTION("""COMPUTED_VALUE"""),"確定")</f>
        <v>確定</v>
      </c>
      <c r="C4673" s="28">
        <f>IFERROR(__xludf.DUMMYFUNCTION("""COMPUTED_VALUE"""),46036.0)</f>
        <v>46036</v>
      </c>
      <c r="D4673" s="28">
        <f>IFERROR(__xludf.DUMMYFUNCTION("""COMPUTED_VALUE"""),46062.0)</f>
        <v>46062</v>
      </c>
      <c r="E4673" s="26">
        <f>IFERROR(__xludf.DUMMYFUNCTION("""COMPUTED_VALUE"""),351958.0)</f>
        <v>351958</v>
      </c>
      <c r="F4673" s="22" t="str">
        <f>IFERROR(__xludf.DUMMYFUNCTION("""COMPUTED_VALUE"""),"ウソでも恋になるらしい")</f>
        <v>ウソでも恋になるらしい</v>
      </c>
      <c r="G4673" s="20" t="str">
        <f>IFERROR(__xludf.DUMMYFUNCTION("""COMPUTED_VALUE"""),"1～3")</f>
        <v>1～3</v>
      </c>
      <c r="H4673" s="22" t="str">
        <f>IFERROR(__xludf.DUMMYFUNCTION("""COMPUTED_VALUE"""),"白ムナコ・二久アカミ・アスティル編集部")</f>
        <v>白ムナコ・二久アカミ・アスティル編集部</v>
      </c>
      <c r="I4673" s="22" t="str">
        <f>IFERROR(__xludf.DUMMYFUNCTION("""COMPUTED_VALUE"""),"BL")</f>
        <v>BL</v>
      </c>
      <c r="J4673" s="22"/>
      <c r="K4673" s="22" t="str">
        <f>IFERROR(__xludf.DUMMYFUNCTION("""COMPUTED_VALUE"""),"COMICアスティル")</f>
        <v>COMICアスティル</v>
      </c>
      <c r="L4673" s="22" t="str">
        <f>IFERROR(__xludf.DUMMYFUNCTION("""COMPUTED_VALUE"""),"ライブコミックス")</f>
        <v>ライブコミックス</v>
      </c>
      <c r="M4673" s="33">
        <f>IFERROR(__xludf.DUMMYFUNCTION("""COMPUTED_VALUE"""),46085.0)</f>
        <v>46085</v>
      </c>
      <c r="N4673" s="33">
        <f>IFERROR(__xludf.DUMMYFUNCTION("""COMPUTED_VALUE"""),46161.0)</f>
        <v>46161</v>
      </c>
      <c r="O4673" s="20"/>
      <c r="P4673" s="32" t="str">
        <f>IFERROR(__xludf.DUMMYFUNCTION("""COMPUTED_VALUE"""),"可")</f>
        <v>可</v>
      </c>
      <c r="Q4673" s="30"/>
      <c r="R4673" s="22" t="str">
        <f>IFERROR(__xludf.DUMMYFUNCTION("""COMPUTED_VALUE"""),"コミットOK")</f>
        <v>コミットOK</v>
      </c>
      <c r="S4673" s="22" t="str">
        <f>IFERROR(__xludf.DUMMYFUNCTION("""COMPUTED_VALUE"""),"20260206_BookLive_ウソでも恋になるらしい")</f>
        <v>20260206_BookLive_ウソでも恋になるらしい</v>
      </c>
      <c r="T4673" s="22" t="str">
        <f>IFERROR(__xludf.DUMMYFUNCTION("""COMPUTED_VALUE"""),"格納済み")</f>
        <v>格納済み</v>
      </c>
      <c r="U4673" s="9" t="str">
        <f>IFERROR(__xludf.DUMMYFUNCTION("""COMPUTED_VALUE"""),"(C)白ムナコ・二久アカミ/ライブコミックス")</f>
        <v>(C)白ムナコ・二久アカミ/ライブコミックス</v>
      </c>
      <c r="V4673" s="8"/>
      <c r="W4673" s="8"/>
      <c r="X4673" s="8" t="str">
        <f>IFERROR(__xludf.DUMMYFUNCTION("""COMPUTED_VALUE"""),"有")</f>
        <v>有</v>
      </c>
      <c r="Y4673" s="8" t="str">
        <f>IFERROR(__xludf.DUMMYFUNCTION("""COMPUTED_VALUE"""),"2026/3/31まで1巻無料")</f>
        <v>2026/3/31まで1巻無料</v>
      </c>
      <c r="Z4673" s="7"/>
      <c r="AA4673" s="7"/>
      <c r="AB4673" s="7"/>
    </row>
    <row r="4674" ht="15.75" customHeight="1">
      <c r="A4674" s="26">
        <f>IFERROR(__xludf.DUMMYFUNCTION("""COMPUTED_VALUE"""),7255.0)</f>
        <v>7255</v>
      </c>
      <c r="B4674" s="22" t="str">
        <f>IFERROR(__xludf.DUMMYFUNCTION("""COMPUTED_VALUE"""),"確定")</f>
        <v>確定</v>
      </c>
      <c r="C4674" s="28">
        <f>IFERROR(__xludf.DUMMYFUNCTION("""COMPUTED_VALUE"""),46042.0)</f>
        <v>46042</v>
      </c>
      <c r="D4674" s="28">
        <f>IFERROR(__xludf.DUMMYFUNCTION("""COMPUTED_VALUE"""),46062.0)</f>
        <v>46062</v>
      </c>
      <c r="E4674" s="26">
        <f>IFERROR(__xludf.DUMMYFUNCTION("""COMPUTED_VALUE"""),353780.0)</f>
        <v>353780</v>
      </c>
      <c r="F4674" s="22" t="str">
        <f>IFERROR(__xludf.DUMMYFUNCTION("""COMPUTED_VALUE"""),"幼なじみ騎士は初恋を抱いて溺愛したい")</f>
        <v>幼なじみ騎士は初恋を抱いて溺愛したい</v>
      </c>
      <c r="G4674" s="20" t="str">
        <f>IFERROR(__xludf.DUMMYFUNCTION("""COMPUTED_VALUE"""),"1～3")</f>
        <v>1～3</v>
      </c>
      <c r="H4674" s="22" t="str">
        <f>IFERROR(__xludf.DUMMYFUNCTION("""COMPUTED_VALUE"""),"つきみせい")</f>
        <v>つきみせい</v>
      </c>
      <c r="I4674" s="22" t="str">
        <f>IFERROR(__xludf.DUMMYFUNCTION("""COMPUTED_VALUE"""),"TL")</f>
        <v>TL</v>
      </c>
      <c r="J4674" s="22"/>
      <c r="K4674" s="22" t="str">
        <f>IFERROR(__xludf.DUMMYFUNCTION("""COMPUTED_VALUE"""),"lou lou")</f>
        <v>lou lou</v>
      </c>
      <c r="L4674" s="22" t="str">
        <f>IFERROR(__xludf.DUMMYFUNCTION("""COMPUTED_VALUE"""),"渋谷六花舎")</f>
        <v>渋谷六花舎</v>
      </c>
      <c r="M4674" s="33">
        <f>IFERROR(__xludf.DUMMYFUNCTION("""COMPUTED_VALUE"""),46099.0)</f>
        <v>46099</v>
      </c>
      <c r="N4674" s="33">
        <f>IFERROR(__xludf.DUMMYFUNCTION("""COMPUTED_VALUE"""),46190.0)</f>
        <v>46190</v>
      </c>
      <c r="O4674" s="20"/>
      <c r="P4674" s="32" t="str">
        <f>IFERROR(__xludf.DUMMYFUNCTION("""COMPUTED_VALUE"""),"可")</f>
        <v>可</v>
      </c>
      <c r="Q4674" s="30"/>
      <c r="R4674" s="22" t="str">
        <f>IFERROR(__xludf.DUMMYFUNCTION("""COMPUTED_VALUE"""),"コミットOK")</f>
        <v>コミットOK</v>
      </c>
      <c r="S4674" s="22" t="str">
        <f>IFERROR(__xludf.DUMMYFUNCTION("""COMPUTED_VALUE"""),"20260206_渋谷六花舎_幼なじみ騎士は初恋を抱いて溺愛したい")</f>
        <v>20260206_渋谷六花舎_幼なじみ騎士は初恋を抱いて溺愛したい</v>
      </c>
      <c r="T4674" s="22" t="str">
        <f>IFERROR(__xludf.DUMMYFUNCTION("""COMPUTED_VALUE"""),"素材確認中")</f>
        <v>素材確認中</v>
      </c>
      <c r="U4674" s="9" t="str">
        <f>IFERROR(__xludf.DUMMYFUNCTION("""COMPUTED_VALUE"""),"(c)つきみせい/lou lou")</f>
        <v>(c)つきみせい/lou lou</v>
      </c>
      <c r="V4674" s="8"/>
      <c r="W4674" s="8"/>
      <c r="X4674" s="8" t="str">
        <f>IFERROR(__xludf.DUMMYFUNCTION("""COMPUTED_VALUE"""),"有")</f>
        <v>有</v>
      </c>
      <c r="Y4674" s="8" t="str">
        <f>IFERROR(__xludf.DUMMYFUNCTION("""COMPUTED_VALUE"""),"2026/4/1まで1巻無料")</f>
        <v>2026/4/1まで1巻無料</v>
      </c>
      <c r="Z4674" s="7"/>
      <c r="AA4674" s="7"/>
      <c r="AB4674" s="7"/>
    </row>
    <row r="4675" ht="15.75" customHeight="1">
      <c r="A4675" s="26">
        <f>IFERROR(__xludf.DUMMYFUNCTION("""COMPUTED_VALUE"""),7276.0)</f>
        <v>7276</v>
      </c>
      <c r="B4675" s="22" t="str">
        <f>IFERROR(__xludf.DUMMYFUNCTION("""COMPUTED_VALUE"""),"確定")</f>
        <v>確定</v>
      </c>
      <c r="C4675" s="28">
        <f>IFERROR(__xludf.DUMMYFUNCTION("""COMPUTED_VALUE"""),46045.0)</f>
        <v>46045</v>
      </c>
      <c r="D4675" s="28">
        <f>IFERROR(__xludf.DUMMYFUNCTION("""COMPUTED_VALUE"""),46062.0)</f>
        <v>46062</v>
      </c>
      <c r="E4675" s="26">
        <f>IFERROR(__xludf.DUMMYFUNCTION("""COMPUTED_VALUE"""),356942.0)</f>
        <v>356942</v>
      </c>
      <c r="F4675" s="22" t="str">
        <f>IFERROR(__xludf.DUMMYFUNCTION("""COMPUTED_VALUE"""),"先輩、俺の手でとろけて鳴いて【単話売】")</f>
        <v>先輩、俺の手でとろけて鳴いて【単話売】</v>
      </c>
      <c r="G4675" s="20" t="str">
        <f>IFERROR(__xludf.DUMMYFUNCTION("""COMPUTED_VALUE"""),"1～3")</f>
        <v>1～3</v>
      </c>
      <c r="H4675" s="22" t="str">
        <f>IFERROR(__xludf.DUMMYFUNCTION("""COMPUTED_VALUE"""),"柚木マチ")</f>
        <v>柚木マチ</v>
      </c>
      <c r="I4675" s="22" t="str">
        <f>IFERROR(__xludf.DUMMYFUNCTION("""COMPUTED_VALUE"""),"TL")</f>
        <v>TL</v>
      </c>
      <c r="J4675" s="22"/>
      <c r="K4675" s="22" t="str">
        <f>IFERROR(__xludf.DUMMYFUNCTION("""COMPUTED_VALUE"""),"恋愛白書パステル")</f>
        <v>恋愛白書パステル</v>
      </c>
      <c r="L4675" s="22" t="str">
        <f>IFERROR(__xludf.DUMMYFUNCTION("""COMPUTED_VALUE"""),"宙出版")</f>
        <v>宙出版</v>
      </c>
      <c r="M4675" s="33">
        <f>IFERROR(__xludf.DUMMYFUNCTION("""COMPUTED_VALUE"""),46140.0)</f>
        <v>46140</v>
      </c>
      <c r="N4675" s="33">
        <f>IFERROR(__xludf.DUMMYFUNCTION("""COMPUTED_VALUE"""),46230.0)</f>
        <v>46230</v>
      </c>
      <c r="O4675" s="20"/>
      <c r="P4675" s="32" t="str">
        <f>IFERROR(__xludf.DUMMYFUNCTION("""COMPUTED_VALUE"""),"可")</f>
        <v>可</v>
      </c>
      <c r="Q4675" s="30"/>
      <c r="R4675" s="22" t="str">
        <f>IFERROR(__xludf.DUMMYFUNCTION("""COMPUTED_VALUE"""),"コミットOK")</f>
        <v>コミットOK</v>
      </c>
      <c r="S4675" s="22" t="str">
        <f>IFERROR(__xludf.DUMMYFUNCTION("""COMPUTED_VALUE"""),"20260202_宙出版_先輩、俺の手でとろけて鳴いて【単話売】")</f>
        <v>20260202_宙出版_先輩、俺の手でとろけて鳴いて【単話売】</v>
      </c>
      <c r="T4675" s="22" t="str">
        <f>IFERROR(__xludf.DUMMYFUNCTION("""COMPUTED_VALUE"""),"格納済み")</f>
        <v>格納済み</v>
      </c>
      <c r="U4675" s="9" t="str">
        <f>IFERROR(__xludf.DUMMYFUNCTION("""COMPUTED_VALUE"""),"Ⓒ柚木マチ/宙出版")</f>
        <v>Ⓒ柚木マチ/宙出版</v>
      </c>
      <c r="V4675" s="8"/>
      <c r="W4675" s="8"/>
      <c r="X4675" s="8" t="str">
        <f>IFERROR(__xludf.DUMMYFUNCTION("""COMPUTED_VALUE"""),"有")</f>
        <v>有</v>
      </c>
      <c r="Y4675" s="8" t="str">
        <f>IFERROR(__xludf.DUMMYFUNCTION("""COMPUTED_VALUE"""),"P8まで")</f>
        <v>P8まで</v>
      </c>
      <c r="Z4675" s="7"/>
      <c r="AA4675" s="7"/>
      <c r="AB4675" s="7"/>
    </row>
    <row r="4676" ht="15.75" customHeight="1">
      <c r="A4676" s="26">
        <f>IFERROR(__xludf.DUMMYFUNCTION("""COMPUTED_VALUE"""),7295.0)</f>
        <v>7295</v>
      </c>
      <c r="B4676" s="22" t="str">
        <f>IFERROR(__xludf.DUMMYFUNCTION("""COMPUTED_VALUE"""),"確定")</f>
        <v>確定</v>
      </c>
      <c r="C4676" s="28">
        <f>IFERROR(__xludf.DUMMYFUNCTION("""COMPUTED_VALUE"""),46048.0)</f>
        <v>46048</v>
      </c>
      <c r="D4676" s="28">
        <f>IFERROR(__xludf.DUMMYFUNCTION("""COMPUTED_VALUE"""),46057.0)</f>
        <v>46057</v>
      </c>
      <c r="E4676" s="26">
        <f>IFERROR(__xludf.DUMMYFUNCTION("""COMPUTED_VALUE"""),353351.0)</f>
        <v>353351</v>
      </c>
      <c r="F4676" s="22" t="str">
        <f>IFERROR(__xludf.DUMMYFUNCTION("""COMPUTED_VALUE"""),"身代わり令嬢は隣国公爵の手で花開く")</f>
        <v>身代わり令嬢は隣国公爵の手で花開く</v>
      </c>
      <c r="G4676" s="20" t="str">
        <f>IFERROR(__xludf.DUMMYFUNCTION("""COMPUTED_VALUE"""),"1～3")</f>
        <v>1～3</v>
      </c>
      <c r="H4676" s="22" t="str">
        <f>IFERROR(__xludf.DUMMYFUNCTION("""COMPUTED_VALUE"""),"原作 鳴田るな / 作画 モヤシsama")</f>
        <v>原作 鳴田るな / 作画 モヤシsama</v>
      </c>
      <c r="I4676" s="22" t="str">
        <f>IFERROR(__xludf.DUMMYFUNCTION("""COMPUTED_VALUE"""),"女性")</f>
        <v>女性</v>
      </c>
      <c r="J4676" s="22"/>
      <c r="K4676" s="22"/>
      <c r="L4676" s="22" t="str">
        <f>IFERROR(__xludf.DUMMYFUNCTION("""COMPUTED_VALUE"""),"幻冬舎")</f>
        <v>幻冬舎</v>
      </c>
      <c r="M4676" s="33">
        <f>IFERROR(__xludf.DUMMYFUNCTION("""COMPUTED_VALUE"""),46073.0)</f>
        <v>46073</v>
      </c>
      <c r="N4676" s="33">
        <f>IFERROR(__xludf.DUMMYFUNCTION("""COMPUTED_VALUE"""),46191.0)</f>
        <v>46191</v>
      </c>
      <c r="O4676" s="20"/>
      <c r="P4676" s="32" t="str">
        <f>IFERROR(__xludf.DUMMYFUNCTION("""COMPUTED_VALUE"""),"可")</f>
        <v>可</v>
      </c>
      <c r="Q4676" s="30"/>
      <c r="R4676" s="22" t="str">
        <f>IFERROR(__xludf.DUMMYFUNCTION("""COMPUTED_VALUE"""),"コミットOK")</f>
        <v>コミットOK</v>
      </c>
      <c r="S4676" s="22" t="str">
        <f>IFERROR(__xludf.DUMMYFUNCTION("""COMPUTED_VALUE"""),"20260204_幻冬舎_身代わり令嬢は隣国公爵の手で花開く")</f>
        <v>20260204_幻冬舎_身代わり令嬢は隣国公爵の手で花開く</v>
      </c>
      <c r="T4676" s="22" t="str">
        <f>IFERROR(__xludf.DUMMYFUNCTION("""COMPUTED_VALUE"""),"格納済み")</f>
        <v>格納済み</v>
      </c>
      <c r="U4676" s="9" t="str">
        <f>IFERROR(__xludf.DUMMYFUNCTION("""COMPUTED_VALUE"""),"(C)鳴田るな／モヤシsama／幻冬舎")</f>
        <v>(C)鳴田るな／モヤシsama／幻冬舎</v>
      </c>
      <c r="V4676" s="8"/>
      <c r="W4676" s="8"/>
      <c r="X4676" s="8" t="str">
        <f>IFERROR(__xludf.DUMMYFUNCTION("""COMPUTED_VALUE"""),"有")</f>
        <v>有</v>
      </c>
      <c r="Y4676" s="8" t="str">
        <f>IFERROR(__xludf.DUMMYFUNCTION("""COMPUTED_VALUE"""),"2026/5/14まで1巻無料")</f>
        <v>2026/5/14まで1巻無料</v>
      </c>
      <c r="Z4676" s="7"/>
      <c r="AA4676" s="7"/>
      <c r="AB4676" s="7"/>
    </row>
    <row r="4677" ht="15.75" customHeight="1">
      <c r="A4677" s="26">
        <f>IFERROR(__xludf.DUMMYFUNCTION("""COMPUTED_VALUE"""),7301.0)</f>
        <v>7301</v>
      </c>
      <c r="B4677" s="22" t="str">
        <f>IFERROR(__xludf.DUMMYFUNCTION("""COMPUTED_VALUE"""),"確定")</f>
        <v>確定</v>
      </c>
      <c r="C4677" s="28">
        <f>IFERROR(__xludf.DUMMYFUNCTION("""COMPUTED_VALUE"""),46048.0)</f>
        <v>46048</v>
      </c>
      <c r="D4677" s="28">
        <f>IFERROR(__xludf.DUMMYFUNCTION("""COMPUTED_VALUE"""),46063.0)</f>
        <v>46063</v>
      </c>
      <c r="E4677" s="26">
        <f>IFERROR(__xludf.DUMMYFUNCTION("""COMPUTED_VALUE"""),353637.0)</f>
        <v>353637</v>
      </c>
      <c r="F4677" s="22" t="str">
        <f>IFERROR(__xludf.DUMMYFUNCTION("""COMPUTED_VALUE"""),"替霊～カエ・ダマ～ 分冊版")</f>
        <v>替霊～カエ・ダマ～ 分冊版</v>
      </c>
      <c r="G4677" s="20" t="str">
        <f>IFERROR(__xludf.DUMMYFUNCTION("""COMPUTED_VALUE"""),"1～3")</f>
        <v>1～3</v>
      </c>
      <c r="H4677" s="22" t="str">
        <f>IFERROR(__xludf.DUMMYFUNCTION("""COMPUTED_VALUE"""),"津上昌也・宮月新")</f>
        <v>津上昌也・宮月新</v>
      </c>
      <c r="I4677" s="22" t="str">
        <f>IFERROR(__xludf.DUMMYFUNCTION("""COMPUTED_VALUE"""),"青年")</f>
        <v>青年</v>
      </c>
      <c r="J4677" s="22"/>
      <c r="K4677" s="22" t="str">
        <f>IFERROR(__xludf.DUMMYFUNCTION("""COMPUTED_VALUE"""),"アクションコミックス")</f>
        <v>アクションコミックス</v>
      </c>
      <c r="L4677" s="22" t="str">
        <f>IFERROR(__xludf.DUMMYFUNCTION("""COMPUTED_VALUE"""),"双葉社")</f>
        <v>双葉社</v>
      </c>
      <c r="M4677" s="33">
        <f>IFERROR(__xludf.DUMMYFUNCTION("""COMPUTED_VALUE"""),46098.0)</f>
        <v>46098</v>
      </c>
      <c r="N4677" s="33">
        <f>IFERROR(__xludf.DUMMYFUNCTION("""COMPUTED_VALUE"""),46158.0)</f>
        <v>46158</v>
      </c>
      <c r="O4677" s="20"/>
      <c r="P4677" s="32" t="str">
        <f>IFERROR(__xludf.DUMMYFUNCTION("""COMPUTED_VALUE"""),"可")</f>
        <v>可</v>
      </c>
      <c r="Q4677" s="30"/>
      <c r="R4677" s="22" t="str">
        <f>IFERROR(__xludf.DUMMYFUNCTION("""COMPUTED_VALUE"""),"コミットOK")</f>
        <v>コミットOK</v>
      </c>
      <c r="S4677" s="22" t="str">
        <f>IFERROR(__xludf.DUMMYFUNCTION("""COMPUTED_VALUE"""),"20260210_双葉社_替霊〜カエ・ダマ〜 分冊版")</f>
        <v>20260210_双葉社_替霊〜カエ・ダマ〜 分冊版</v>
      </c>
      <c r="T4677" s="22"/>
      <c r="U4677" s="9" t="str">
        <f>IFERROR(__xludf.DUMMYFUNCTION("""COMPUTED_VALUE"""),"Ⓒ津上昌也・宮月新/双葉社")</f>
        <v>Ⓒ津上昌也・宮月新/双葉社</v>
      </c>
      <c r="V4677" s="8"/>
      <c r="W4677" s="8"/>
      <c r="X4677" s="8" t="str">
        <f>IFERROR(__xludf.DUMMYFUNCTION("""COMPUTED_VALUE"""),"有")</f>
        <v>有</v>
      </c>
      <c r="Y4677" s="8" t="str">
        <f>IFERROR(__xludf.DUMMYFUNCTION("""COMPUTED_VALUE"""),"P9まで")</f>
        <v>P9まで</v>
      </c>
      <c r="Z4677" s="7"/>
      <c r="AA4677" s="7"/>
      <c r="AB4677" s="7"/>
    </row>
    <row r="4678" ht="15.75" customHeight="1">
      <c r="A4678" s="26">
        <f>IFERROR(__xludf.DUMMYFUNCTION("""COMPUTED_VALUE"""),7342.0)</f>
        <v>7342</v>
      </c>
      <c r="B4678" s="22" t="str">
        <f>IFERROR(__xludf.DUMMYFUNCTION("""COMPUTED_VALUE"""),"確定")</f>
        <v>確定</v>
      </c>
      <c r="C4678" s="28">
        <f>IFERROR(__xludf.DUMMYFUNCTION("""COMPUTED_VALUE"""),46052.0)</f>
        <v>46052</v>
      </c>
      <c r="D4678" s="28">
        <f>IFERROR(__xludf.DUMMYFUNCTION("""COMPUTED_VALUE"""),46057.0)</f>
        <v>46057</v>
      </c>
      <c r="E4678" s="26">
        <f>IFERROR(__xludf.DUMMYFUNCTION("""COMPUTED_VALUE"""),352663.0)</f>
        <v>352663</v>
      </c>
      <c r="F4678" s="22" t="str">
        <f>IFERROR(__xludf.DUMMYFUNCTION("""COMPUTED_VALUE"""),"ある日起きたら、幼女主人公の悪母になっていました【連載版】")</f>
        <v>ある日起きたら、幼女主人公の悪母になっていました【連載版】</v>
      </c>
      <c r="G4678" s="20" t="str">
        <f>IFERROR(__xludf.DUMMYFUNCTION("""COMPUTED_VALUE"""),"1～3")</f>
        <v>1～3</v>
      </c>
      <c r="H4678" s="22" t="str">
        <f>IFERROR(__xludf.DUMMYFUNCTION("""COMPUTED_VALUE"""),"漫画：皐アスカ　原作：宮之みやこ")</f>
        <v>漫画：皐アスカ　原作：宮之みやこ</v>
      </c>
      <c r="I4678" s="22" t="str">
        <f>IFERROR(__xludf.DUMMYFUNCTION("""COMPUTED_VALUE"""),"女性")</f>
        <v>女性</v>
      </c>
      <c r="J4678" s="22"/>
      <c r="K4678" s="22"/>
      <c r="L4678" s="22" t="str">
        <f>IFERROR(__xludf.DUMMYFUNCTION("""COMPUTED_VALUE"""),"リブリオン")</f>
        <v>リブリオン</v>
      </c>
      <c r="M4678" s="33">
        <f>IFERROR(__xludf.DUMMYFUNCTION("""COMPUTED_VALUE"""),46086.0)</f>
        <v>46086</v>
      </c>
      <c r="N4678" s="33">
        <f>IFERROR(__xludf.DUMMYFUNCTION("""COMPUTED_VALUE"""),46177.0)</f>
        <v>46177</v>
      </c>
      <c r="O4678" s="20"/>
      <c r="P4678" s="32" t="str">
        <f>IFERROR(__xludf.DUMMYFUNCTION("""COMPUTED_VALUE"""),"可")</f>
        <v>可</v>
      </c>
      <c r="Q4678" s="30"/>
      <c r="R4678" s="22" t="str">
        <f>IFERROR(__xludf.DUMMYFUNCTION("""COMPUTED_VALUE"""),"コミットOK")</f>
        <v>コミットOK</v>
      </c>
      <c r="S4678" s="22" t="str">
        <f>IFERROR(__xludf.DUMMYFUNCTION("""COMPUTED_VALUE"""),"20260204_リブリオン_ある日起きたら、幼女主人公の悪母になっていました")</f>
        <v>20260204_リブリオン_ある日起きたら、幼女主人公の悪母になっていました</v>
      </c>
      <c r="T4678" s="22" t="str">
        <f>IFERROR(__xludf.DUMMYFUNCTION("""COMPUTED_VALUE"""),"格納済み")</f>
        <v>格納済み</v>
      </c>
      <c r="U4678" s="9" t="str">
        <f>IFERROR(__xludf.DUMMYFUNCTION("""COMPUTED_VALUE"""),"©皐アスカ・宮之みやこ / リブリオン")</f>
        <v>©皐アスカ・宮之みやこ / リブリオン</v>
      </c>
      <c r="V4678" s="8"/>
      <c r="W4678" s="8"/>
      <c r="X4678" s="8" t="str">
        <f>IFERROR(__xludf.DUMMYFUNCTION("""COMPUTED_VALUE"""),"有")</f>
        <v>有</v>
      </c>
      <c r="Y4678" s="8" t="str">
        <f>IFERROR(__xludf.DUMMYFUNCTION("""COMPUTED_VALUE"""),"2026/6/4まで1巻立ち読み増量（P21）")</f>
        <v>2026/6/4まで1巻立ち読み増量（P21）</v>
      </c>
      <c r="Z4678" s="7"/>
      <c r="AA4678" s="7"/>
      <c r="AB4678" s="7"/>
    </row>
    <row r="4679" ht="15.75" customHeight="1">
      <c r="A4679" s="26">
        <f>IFERROR(__xludf.DUMMYFUNCTION("""COMPUTED_VALUE"""),7344.0)</f>
        <v>7344</v>
      </c>
      <c r="B4679" s="22" t="str">
        <f>IFERROR(__xludf.DUMMYFUNCTION("""COMPUTED_VALUE"""),"確定")</f>
        <v>確定</v>
      </c>
      <c r="C4679" s="28">
        <f>IFERROR(__xludf.DUMMYFUNCTION("""COMPUTED_VALUE"""),46052.0)</f>
        <v>46052</v>
      </c>
      <c r="D4679" s="28">
        <f>IFERROR(__xludf.DUMMYFUNCTION("""COMPUTED_VALUE"""),46063.0)</f>
        <v>46063</v>
      </c>
      <c r="E4679" s="26">
        <f>IFERROR(__xludf.DUMMYFUNCTION("""COMPUTED_VALUE"""),356923.0)</f>
        <v>356923</v>
      </c>
      <c r="F4679" s="22" t="str">
        <f>IFERROR(__xludf.DUMMYFUNCTION("""COMPUTED_VALUE"""),"【分冊版】料理なんて愛なんて")</f>
        <v>【分冊版】料理なんて愛なんて</v>
      </c>
      <c r="G4679" s="20" t="str">
        <f>IFERROR(__xludf.DUMMYFUNCTION("""COMPUTED_VALUE"""),"1～5")</f>
        <v>1～5</v>
      </c>
      <c r="H4679" s="22" t="str">
        <f>IFERROR(__xludf.DUMMYFUNCTION("""COMPUTED_VALUE"""),"原作：佐々木愛　漫画：漆目いわし")</f>
        <v>原作：佐々木愛　漫画：漆目いわし</v>
      </c>
      <c r="I4679" s="22" t="str">
        <f>IFERROR(__xludf.DUMMYFUNCTION("""COMPUTED_VALUE"""),"女性")</f>
        <v>女性</v>
      </c>
      <c r="J4679" s="22"/>
      <c r="K4679" s="22"/>
      <c r="L4679" s="22" t="str">
        <f>IFERROR(__xludf.DUMMYFUNCTION("""COMPUTED_VALUE"""),"Seasons")</f>
        <v>Seasons</v>
      </c>
      <c r="M4679" s="33">
        <f>IFERROR(__xludf.DUMMYFUNCTION("""COMPUTED_VALUE"""),46134.0)</f>
        <v>46134</v>
      </c>
      <c r="N4679" s="33">
        <f>IFERROR(__xludf.DUMMYFUNCTION("""COMPUTED_VALUE"""),46224.0)</f>
        <v>46224</v>
      </c>
      <c r="O4679" s="20"/>
      <c r="P4679" s="32" t="str">
        <f>IFERROR(__xludf.DUMMYFUNCTION("""COMPUTED_VALUE"""),"可")</f>
        <v>可</v>
      </c>
      <c r="Q4679" s="30"/>
      <c r="R4679" s="22"/>
      <c r="S4679" s="22" t="str">
        <f>IFERROR(__xludf.DUMMYFUNCTION("""COMPUTED_VALUE"""),"20260209_文藝春秋_【分冊版】料理なんて愛なんて")</f>
        <v>20260209_文藝春秋_【分冊版】料理なんて愛なんて</v>
      </c>
      <c r="T4679" s="22" t="str">
        <f>IFERROR(__xludf.DUMMYFUNCTION("""COMPUTED_VALUE"""),"格納済み")</f>
        <v>格納済み</v>
      </c>
      <c r="U4679" s="9" t="str">
        <f>IFERROR(__xludf.DUMMYFUNCTION("""COMPUTED_VALUE"""),"佐々木愛・漆目いわし／文藝春秋")</f>
        <v>佐々木愛・漆目いわし／文藝春秋</v>
      </c>
      <c r="V4679" s="8"/>
      <c r="W4679" s="8"/>
      <c r="X4679" s="8" t="str">
        <f>IFERROR(__xludf.DUMMYFUNCTION("""COMPUTED_VALUE"""),"有")</f>
        <v>有</v>
      </c>
      <c r="Y4679" s="8" t="str">
        <f>IFERROR(__xludf.DUMMYFUNCTION("""COMPUTED_VALUE"""),"P7まで")</f>
        <v>P7まで</v>
      </c>
      <c r="Z4679" s="7"/>
      <c r="AA4679" s="7"/>
      <c r="AB4679" s="7"/>
    </row>
    <row r="4680" ht="15.75" customHeight="1">
      <c r="A4680" s="26">
        <f>IFERROR(__xludf.DUMMYFUNCTION("""COMPUTED_VALUE"""),7359.0)</f>
        <v>7359</v>
      </c>
      <c r="B4680" s="22" t="str">
        <f>IFERROR(__xludf.DUMMYFUNCTION("""COMPUTED_VALUE"""),"確定")</f>
        <v>確定</v>
      </c>
      <c r="C4680" s="28">
        <f>IFERROR(__xludf.DUMMYFUNCTION("""COMPUTED_VALUE"""),46055.0)</f>
        <v>46055</v>
      </c>
      <c r="D4680" s="28">
        <f>IFERROR(__xludf.DUMMYFUNCTION("""COMPUTED_VALUE"""),46059.0)</f>
        <v>46059</v>
      </c>
      <c r="E4680" s="26">
        <f>IFERROR(__xludf.DUMMYFUNCTION("""COMPUTED_VALUE"""),323261.0)</f>
        <v>323261</v>
      </c>
      <c r="F4680" s="22" t="str">
        <f>IFERROR(__xludf.DUMMYFUNCTION("""COMPUTED_VALUE"""),"ふつつかな接吻ですが")</f>
        <v>ふつつかな接吻ですが</v>
      </c>
      <c r="G4680" s="20" t="str">
        <f>IFERROR(__xludf.DUMMYFUNCTION("""COMPUTED_VALUE"""),"1～3")</f>
        <v>1～3</v>
      </c>
      <c r="H4680" s="22" t="str">
        <f>IFERROR(__xludf.DUMMYFUNCTION("""COMPUTED_VALUE"""),"木公田つかさ")</f>
        <v>木公田つかさ</v>
      </c>
      <c r="I4680" s="22" t="str">
        <f>IFERROR(__xludf.DUMMYFUNCTION("""COMPUTED_VALUE"""),"女性マンガ")</f>
        <v>女性マンガ</v>
      </c>
      <c r="J4680" s="22"/>
      <c r="K4680" s="22" t="str">
        <f>IFERROR(__xludf.DUMMYFUNCTION("""COMPUTED_VALUE"""),"スキして?桃色日記")</f>
        <v>スキして?桃色日記</v>
      </c>
      <c r="L4680" s="22" t="str">
        <f>IFERROR(__xludf.DUMMYFUNCTION("""COMPUTED_VALUE"""),"シーモアコミックス")</f>
        <v>シーモアコミックス</v>
      </c>
      <c r="M4680" s="33">
        <f>IFERROR(__xludf.DUMMYFUNCTION("""COMPUTED_VALUE"""),46088.0)</f>
        <v>46088</v>
      </c>
      <c r="N4680" s="33">
        <f>IFERROR(__xludf.DUMMYFUNCTION("""COMPUTED_VALUE"""),2958465.0)</f>
        <v>2958465</v>
      </c>
      <c r="O4680" s="20"/>
      <c r="P4680" s="32" t="str">
        <f>IFERROR(__xludf.DUMMYFUNCTION("""COMPUTED_VALUE"""),"可")</f>
        <v>可</v>
      </c>
      <c r="Q4680" s="30"/>
      <c r="R4680" s="22"/>
      <c r="S4680" s="22" t="str">
        <f>IFERROR(__xludf.DUMMYFUNCTION("""COMPUTED_VALUE"""),"20260202_シーモアコミックス_ふつつかな接吻ですが")</f>
        <v>20260202_シーモアコミックス_ふつつかな接吻ですが</v>
      </c>
      <c r="T4680" s="22" t="str">
        <f>IFERROR(__xludf.DUMMYFUNCTION("""COMPUTED_VALUE"""),"格納済み")</f>
        <v>格納済み</v>
      </c>
      <c r="U4680" s="9" t="str">
        <f>IFERROR(__xludf.DUMMYFUNCTION("""COMPUTED_VALUE"""),"(C) 木公田つかさ/シーモアコミックス")</f>
        <v>(C) 木公田つかさ/シーモアコミックス</v>
      </c>
      <c r="V4680" s="8"/>
      <c r="W4680" s="8"/>
      <c r="X4680" s="8" t="str">
        <f>IFERROR(__xludf.DUMMYFUNCTION("""COMPUTED_VALUE"""),"有")</f>
        <v>有</v>
      </c>
      <c r="Y4680" s="8" t="str">
        <f>IFERROR(__xludf.DUMMYFUNCTION("""COMPUTED_VALUE"""),"2026/4/3まで1巻無料")</f>
        <v>2026/4/3まで1巻無料</v>
      </c>
      <c r="Z4680" s="7"/>
      <c r="AA4680" s="7"/>
      <c r="AB4680" s="7"/>
    </row>
    <row r="4681" ht="15.75" customHeight="1">
      <c r="A4681" s="26">
        <f>IFERROR(__xludf.DUMMYFUNCTION("""COMPUTED_VALUE"""),7360.0)</f>
        <v>7360</v>
      </c>
      <c r="B4681" s="22" t="str">
        <f>IFERROR(__xludf.DUMMYFUNCTION("""COMPUTED_VALUE"""),"確定")</f>
        <v>確定</v>
      </c>
      <c r="C4681" s="28">
        <f>IFERROR(__xludf.DUMMYFUNCTION("""COMPUTED_VALUE"""),46055.0)</f>
        <v>46055</v>
      </c>
      <c r="D4681" s="28">
        <f>IFERROR(__xludf.DUMMYFUNCTION("""COMPUTED_VALUE"""),46059.0)</f>
        <v>46059</v>
      </c>
      <c r="E4681" s="26">
        <f>IFERROR(__xludf.DUMMYFUNCTION("""COMPUTED_VALUE"""),334885.0)</f>
        <v>334885</v>
      </c>
      <c r="F4681" s="22" t="str">
        <f>IFERROR(__xludf.DUMMYFUNCTION("""COMPUTED_VALUE"""),"好きになったら終わりの一ノ瀬くん")</f>
        <v>好きになったら終わりの一ノ瀬くん</v>
      </c>
      <c r="G4681" s="20" t="str">
        <f>IFERROR(__xludf.DUMMYFUNCTION("""COMPUTED_VALUE"""),"1～3")</f>
        <v>1～3</v>
      </c>
      <c r="H4681" s="22" t="str">
        <f>IFERROR(__xludf.DUMMYFUNCTION("""COMPUTED_VALUE"""),"雨玉さき")</f>
        <v>雨玉さき</v>
      </c>
      <c r="I4681" s="22" t="str">
        <f>IFERROR(__xludf.DUMMYFUNCTION("""COMPUTED_VALUE"""),"少女マンガ")</f>
        <v>少女マンガ</v>
      </c>
      <c r="J4681" s="22"/>
      <c r="K4681" s="22" t="str">
        <f>IFERROR(__xludf.DUMMYFUNCTION("""COMPUTED_VALUE"""),"恋するソワレ")</f>
        <v>恋するソワレ</v>
      </c>
      <c r="L4681" s="22" t="str">
        <f>IFERROR(__xludf.DUMMYFUNCTION("""COMPUTED_VALUE"""),"シーモアコミックス")</f>
        <v>シーモアコミックス</v>
      </c>
      <c r="M4681" s="33">
        <f>IFERROR(__xludf.DUMMYFUNCTION("""COMPUTED_VALUE"""),46088.0)</f>
        <v>46088</v>
      </c>
      <c r="N4681" s="33"/>
      <c r="O4681" s="20"/>
      <c r="P4681" s="32" t="str">
        <f>IFERROR(__xludf.DUMMYFUNCTION("""COMPUTED_VALUE"""),"可")</f>
        <v>可</v>
      </c>
      <c r="Q4681" s="30"/>
      <c r="R4681" s="22"/>
      <c r="S4681" s="22" t="str">
        <f>IFERROR(__xludf.DUMMYFUNCTION("""COMPUTED_VALUE"""),"20260202_シーモアコミックス_好きになったら終わりの一ノ瀬くん")</f>
        <v>20260202_シーモアコミックス_好きになったら終わりの一ノ瀬くん</v>
      </c>
      <c r="T4681" s="22" t="str">
        <f>IFERROR(__xludf.DUMMYFUNCTION("""COMPUTED_VALUE"""),"格納済み")</f>
        <v>格納済み</v>
      </c>
      <c r="U4681" s="9" t="str">
        <f>IFERROR(__xludf.DUMMYFUNCTION("""COMPUTED_VALUE"""),"(C) 雨玉さき/シーモアコミックス")</f>
        <v>(C) 雨玉さき/シーモアコミックス</v>
      </c>
      <c r="V4681" s="8"/>
      <c r="W4681" s="8"/>
      <c r="X4681" s="8" t="str">
        <f>IFERROR(__xludf.DUMMYFUNCTION("""COMPUTED_VALUE"""),"有")</f>
        <v>有</v>
      </c>
      <c r="Y4681" s="8" t="str">
        <f>IFERROR(__xludf.DUMMYFUNCTION("""COMPUTED_VALUE"""),"2026/4/3まで1巻無料")</f>
        <v>2026/4/3まで1巻無料</v>
      </c>
      <c r="Z4681" s="7"/>
      <c r="AA4681" s="7"/>
      <c r="AB4681" s="7"/>
    </row>
    <row r="4682" ht="15.75" customHeight="1">
      <c r="A4682" s="26">
        <f>IFERROR(__xludf.DUMMYFUNCTION("""COMPUTED_VALUE"""),7373.0)</f>
        <v>7373</v>
      </c>
      <c r="B4682" s="22" t="str">
        <f>IFERROR(__xludf.DUMMYFUNCTION("""COMPUTED_VALUE"""),"確定")</f>
        <v>確定</v>
      </c>
      <c r="C4682" s="28">
        <f>IFERROR(__xludf.DUMMYFUNCTION("""COMPUTED_VALUE"""),46057.0)</f>
        <v>46057</v>
      </c>
      <c r="D4682" s="28">
        <f>IFERROR(__xludf.DUMMYFUNCTION("""COMPUTED_VALUE"""),46099.0)</f>
        <v>46099</v>
      </c>
      <c r="E4682" s="26">
        <f>IFERROR(__xludf.DUMMYFUNCTION("""COMPUTED_VALUE"""),349491.0)</f>
        <v>349491</v>
      </c>
      <c r="F4682" s="22" t="str">
        <f>IFERROR(__xludf.DUMMYFUNCTION("""COMPUTED_VALUE"""),"宵明けの月籠")</f>
        <v>宵明けの月籠</v>
      </c>
      <c r="G4682" s="20" t="str">
        <f>IFERROR(__xludf.DUMMYFUNCTION("""COMPUTED_VALUE"""),"1～5")</f>
        <v>1～5</v>
      </c>
      <c r="H4682" s="22" t="str">
        <f>IFERROR(__xludf.DUMMYFUNCTION("""COMPUTED_VALUE"""),"弥々┴CHILL＋")</f>
        <v>弥々┴CHILL＋</v>
      </c>
      <c r="I4682" s="22" t="str">
        <f>IFERROR(__xludf.DUMMYFUNCTION("""COMPUTED_VALUE"""),"少女")</f>
        <v>少女</v>
      </c>
      <c r="J4682" s="22"/>
      <c r="K4682" s="22"/>
      <c r="L4682" s="22" t="str">
        <f>IFERROR(__xludf.DUMMYFUNCTION("""COMPUTED_VALUE"""),"SMART GATE Inc.")</f>
        <v>SMART GATE Inc.</v>
      </c>
      <c r="M4682" s="33">
        <f>IFERROR(__xludf.DUMMYFUNCTION("""COMPUTED_VALUE"""),46108.0)</f>
        <v>46108</v>
      </c>
      <c r="N4682" s="33">
        <f>IFERROR(__xludf.DUMMYFUNCTION("""COMPUTED_VALUE"""),46200.0)</f>
        <v>46200</v>
      </c>
      <c r="O4682" s="20"/>
      <c r="P4682" s="32" t="str">
        <f>IFERROR(__xludf.DUMMYFUNCTION("""COMPUTED_VALUE"""),"可")</f>
        <v>可</v>
      </c>
      <c r="Q4682" s="30"/>
      <c r="R4682" s="22"/>
      <c r="S4682" s="22" t="str">
        <f>IFERROR(__xludf.DUMMYFUNCTION("""COMPUTED_VALUE"""),"20260204_SMART GATE Inc._宵明けの月籠")</f>
        <v>20260204_SMART GATE Inc._宵明けの月籠</v>
      </c>
      <c r="T4682" s="22" t="str">
        <f>IFERROR(__xludf.DUMMYFUNCTION("""COMPUTED_VALUE"""),"格納済み")</f>
        <v>格納済み</v>
      </c>
      <c r="U4682" s="9" t="str">
        <f>IFERROR(__xludf.DUMMYFUNCTION("""COMPUTED_VALUE"""),"(C)弥々・CHILL+")</f>
        <v>(C)弥々・CHILL+</v>
      </c>
      <c r="V4682" s="8"/>
      <c r="W4682" s="8"/>
      <c r="X4682" s="8" t="str">
        <f>IFERROR(__xludf.DUMMYFUNCTION("""COMPUTED_VALUE"""),"有")</f>
        <v>有</v>
      </c>
      <c r="Y4682" s="8" t="str">
        <f>IFERROR(__xludf.DUMMYFUNCTION("""COMPUTED_VALUE"""),"2026/6/27まで1~2巻無料")</f>
        <v>2026/6/27まで1~2巻無料</v>
      </c>
      <c r="Z4682" s="7"/>
      <c r="AA4682" s="7"/>
      <c r="AB4682" s="7"/>
    </row>
    <row r="4683" ht="15.75" customHeight="1">
      <c r="A4683" s="26">
        <f>IFERROR(__xludf.DUMMYFUNCTION("""COMPUTED_VALUE"""),7376.0)</f>
        <v>7376</v>
      </c>
      <c r="B4683" s="22" t="str">
        <f>IFERROR(__xludf.DUMMYFUNCTION("""COMPUTED_VALUE"""),"確定")</f>
        <v>確定</v>
      </c>
      <c r="C4683" s="28">
        <f>IFERROR(__xludf.DUMMYFUNCTION("""COMPUTED_VALUE"""),46057.0)</f>
        <v>46057</v>
      </c>
      <c r="D4683" s="28">
        <f>IFERROR(__xludf.DUMMYFUNCTION("""COMPUTED_VALUE"""),46058.0)</f>
        <v>46058</v>
      </c>
      <c r="E4683" s="26">
        <f>IFERROR(__xludf.DUMMYFUNCTION("""COMPUTED_VALUE"""),352048.0)</f>
        <v>352048</v>
      </c>
      <c r="F4683" s="22" t="str">
        <f>IFERROR(__xludf.DUMMYFUNCTION("""COMPUTED_VALUE"""),"王妃アリアは揺るがない～陛下は側妃に夢中なので、私は国造りいたします～")</f>
        <v>王妃アリアは揺るがない～陛下は側妃に夢中なので、私は国造りいたします～</v>
      </c>
      <c r="G4683" s="20" t="str">
        <f>IFERROR(__xludf.DUMMYFUNCTION("""COMPUTED_VALUE"""),"1～4")</f>
        <v>1～4</v>
      </c>
      <c r="H4683" s="22" t="str">
        <f>IFERROR(__xludf.DUMMYFUNCTION("""COMPUTED_VALUE"""),"春咲ルネ/鳴宮 野々花")</f>
        <v>春咲ルネ/鳴宮 野々花</v>
      </c>
      <c r="I4683" s="22" t="str">
        <f>IFERROR(__xludf.DUMMYFUNCTION("""COMPUTED_VALUE"""),"少女")</f>
        <v>少女</v>
      </c>
      <c r="J4683" s="22"/>
      <c r="K4683" s="22" t="str">
        <f>IFERROR(__xludf.DUMMYFUNCTION("""COMPUTED_VALUE"""),"comicスピラ")</f>
        <v>comicスピラ</v>
      </c>
      <c r="L4683" s="22" t="str">
        <f>IFERROR(__xludf.DUMMYFUNCTION("""COMPUTED_VALUE"""),"ファンギルド")</f>
        <v>ファンギルド</v>
      </c>
      <c r="M4683" s="33">
        <f>IFERROR(__xludf.DUMMYFUNCTION("""COMPUTED_VALUE"""),46100.0)</f>
        <v>46100</v>
      </c>
      <c r="N4683" s="33">
        <f>IFERROR(__xludf.DUMMYFUNCTION("""COMPUTED_VALUE"""),46162.0)</f>
        <v>46162</v>
      </c>
      <c r="O4683" s="20"/>
      <c r="P4683" s="32" t="str">
        <f>IFERROR(__xludf.DUMMYFUNCTION("""COMPUTED_VALUE"""),"可")</f>
        <v>可</v>
      </c>
      <c r="Q4683" s="30"/>
      <c r="R4683" s="22"/>
      <c r="S4683" s="22" t="str">
        <f>IFERROR(__xludf.DUMMYFUNCTION("""COMPUTED_VALUE"""),"20260204_ファンギルド_王妃アリアは揺るがない～陛下は側妃に夢中なので、私は国造りいたします～")</f>
        <v>20260204_ファンギルド_王妃アリアは揺るがない～陛下は側妃に夢中なので、私は国造りいたします～</v>
      </c>
      <c r="T4683" s="22" t="str">
        <f>IFERROR(__xludf.DUMMYFUNCTION("""COMPUTED_VALUE"""),"格納済み")</f>
        <v>格納済み</v>
      </c>
      <c r="U4683" s="9" t="str">
        <f>IFERROR(__xludf.DUMMYFUNCTION("""COMPUTED_VALUE"""),"Ⓒ春咲ルネ/鳴宮 野々花/ファンギルド")</f>
        <v>Ⓒ春咲ルネ/鳴宮 野々花/ファンギルド</v>
      </c>
      <c r="V4683" s="8"/>
      <c r="W4683" s="8"/>
      <c r="X4683" s="8" t="str">
        <f>IFERROR(__xludf.DUMMYFUNCTION("""COMPUTED_VALUE"""),"有")</f>
        <v>有</v>
      </c>
      <c r="Y4683" s="8" t="str">
        <f>IFERROR(__xludf.DUMMYFUNCTION("""COMPUTED_VALUE"""),"2026/5/20まで1巻無料")</f>
        <v>2026/5/20まで1巻無料</v>
      </c>
      <c r="Z4683" s="7"/>
      <c r="AA4683" s="7"/>
      <c r="AB4683" s="7"/>
    </row>
    <row r="4684" ht="15.75" customHeight="1">
      <c r="A4684" s="26">
        <f>IFERROR(__xludf.DUMMYFUNCTION("""COMPUTED_VALUE"""),7377.0)</f>
        <v>7377</v>
      </c>
      <c r="B4684" s="22" t="str">
        <f>IFERROR(__xludf.DUMMYFUNCTION("""COMPUTED_VALUE"""),"確定")</f>
        <v>確定</v>
      </c>
      <c r="C4684" s="28">
        <f>IFERROR(__xludf.DUMMYFUNCTION("""COMPUTED_VALUE"""),46057.0)</f>
        <v>46057</v>
      </c>
      <c r="D4684" s="28">
        <f>IFERROR(__xludf.DUMMYFUNCTION("""COMPUTED_VALUE"""),46058.0)</f>
        <v>46058</v>
      </c>
      <c r="E4684" s="26">
        <f>IFERROR(__xludf.DUMMYFUNCTION("""COMPUTED_VALUE"""),352050.0)</f>
        <v>352050</v>
      </c>
      <c r="F4684" s="22" t="str">
        <f>IFERROR(__xludf.DUMMYFUNCTION("""COMPUTED_VALUE"""),"このSEXは不倫か純愛か～親友の夫に抱かれて止まらない背徳絶頂")</f>
        <v>このSEXは不倫か純愛か～親友の夫に抱かれて止まらない背徳絶頂</v>
      </c>
      <c r="G4684" s="20" t="str">
        <f>IFERROR(__xludf.DUMMYFUNCTION("""COMPUTED_VALUE"""),"1～3")</f>
        <v>1～3</v>
      </c>
      <c r="H4684" s="22" t="str">
        <f>IFERROR(__xludf.DUMMYFUNCTION("""COMPUTED_VALUE"""),"十色")</f>
        <v>十色</v>
      </c>
      <c r="I4684" s="22" t="str">
        <f>IFERROR(__xludf.DUMMYFUNCTION("""COMPUTED_VALUE"""),"アダルトマンガ")</f>
        <v>アダルトマンガ</v>
      </c>
      <c r="J4684" s="22"/>
      <c r="K4684" s="22"/>
      <c r="L4684" s="22" t="str">
        <f>IFERROR(__xludf.DUMMYFUNCTION("""COMPUTED_VALUE"""),"モバイルメディアリサーチ")</f>
        <v>モバイルメディアリサーチ</v>
      </c>
      <c r="M4684" s="33">
        <f>IFERROR(__xludf.DUMMYFUNCTION("""COMPUTED_VALUE"""),46105.0)</f>
        <v>46105</v>
      </c>
      <c r="N4684" s="33">
        <f>IFERROR(__xludf.DUMMYFUNCTION("""COMPUTED_VALUE"""),46125.0)</f>
        <v>46125</v>
      </c>
      <c r="O4684" s="20"/>
      <c r="P4684" s="32" t="str">
        <f>IFERROR(__xludf.DUMMYFUNCTION("""COMPUTED_VALUE"""),"可")</f>
        <v>可</v>
      </c>
      <c r="Q4684" s="30"/>
      <c r="R4684" s="22"/>
      <c r="S4684" s="22" t="str">
        <f>IFERROR(__xludf.DUMMYFUNCTION("""COMPUTED_VALUE"""),"20260204_ファンギルド_このSEXは不倫か純愛か～親友の夫に抱かれて止まらない背徳絶頂")</f>
        <v>20260204_ファンギルド_このSEXは不倫か純愛か～親友の夫に抱かれて止まらない背徳絶頂</v>
      </c>
      <c r="T4684" s="22" t="str">
        <f>IFERROR(__xludf.DUMMYFUNCTION("""COMPUTED_VALUE"""),"格納済み")</f>
        <v>格納済み</v>
      </c>
      <c r="U4684" s="9" t="str">
        <f>IFERROR(__xludf.DUMMYFUNCTION("""COMPUTED_VALUE"""),"Ⓒ十色/モバイルメディアリサーチ")</f>
        <v>Ⓒ十色/モバイルメディアリサーチ</v>
      </c>
      <c r="V4684" s="8"/>
      <c r="W4684" s="8"/>
      <c r="X4684" s="8" t="str">
        <f>IFERROR(__xludf.DUMMYFUNCTION("""COMPUTED_VALUE"""),"有")</f>
        <v>有</v>
      </c>
      <c r="Y4684" s="8" t="str">
        <f>IFERROR(__xludf.DUMMYFUNCTION("""COMPUTED_VALUE"""),"2026/4/20まで1巻無料")</f>
        <v>2026/4/20まで1巻無料</v>
      </c>
      <c r="Z4684" s="7"/>
      <c r="AA4684" s="7"/>
      <c r="AB4684" s="7"/>
    </row>
    <row r="4685" ht="15.75" customHeight="1">
      <c r="A4685" s="26">
        <f>IFERROR(__xludf.DUMMYFUNCTION("""COMPUTED_VALUE"""),7378.0)</f>
        <v>7378</v>
      </c>
      <c r="B4685" s="22" t="str">
        <f>IFERROR(__xludf.DUMMYFUNCTION("""COMPUTED_VALUE"""),"確定")</f>
        <v>確定</v>
      </c>
      <c r="C4685" s="28">
        <f>IFERROR(__xludf.DUMMYFUNCTION("""COMPUTED_VALUE"""),46057.0)</f>
        <v>46057</v>
      </c>
      <c r="D4685" s="28">
        <f>IFERROR(__xludf.DUMMYFUNCTION("""COMPUTED_VALUE"""),46059.0)</f>
        <v>46059</v>
      </c>
      <c r="E4685" s="26">
        <f>IFERROR(__xludf.DUMMYFUNCTION("""COMPUTED_VALUE"""),352051.0)</f>
        <v>352051</v>
      </c>
      <c r="F4685" s="22" t="str">
        <f>IFERROR(__xludf.DUMMYFUNCTION("""COMPUTED_VALUE"""),"このSEXは不倫か純愛か～親友の夫に抱かれて止まらない背徳絶頂【TL版】")</f>
        <v>このSEXは不倫か純愛か～親友の夫に抱かれて止まらない背徳絶頂【TL版】</v>
      </c>
      <c r="G4685" s="20" t="str">
        <f>IFERROR(__xludf.DUMMYFUNCTION("""COMPUTED_VALUE"""),"1～3")</f>
        <v>1～3</v>
      </c>
      <c r="H4685" s="22" t="str">
        <f>IFERROR(__xludf.DUMMYFUNCTION("""COMPUTED_VALUE"""),"十色")</f>
        <v>十色</v>
      </c>
      <c r="I4685" s="22" t="str">
        <f>IFERROR(__xludf.DUMMYFUNCTION("""COMPUTED_VALUE"""),"TL")</f>
        <v>TL</v>
      </c>
      <c r="J4685" s="22"/>
      <c r="K4685" s="22" t="str">
        <f>IFERROR(__xludf.DUMMYFUNCTION("""COMPUTED_VALUE"""),"comicトピア")</f>
        <v>comicトピア</v>
      </c>
      <c r="L4685" s="22" t="str">
        <f>IFERROR(__xludf.DUMMYFUNCTION("""COMPUTED_VALUE"""),"モバイルメディアリサーチ")</f>
        <v>モバイルメディアリサーチ</v>
      </c>
      <c r="M4685" s="33">
        <f>IFERROR(__xludf.DUMMYFUNCTION("""COMPUTED_VALUE"""),46105.0)</f>
        <v>46105</v>
      </c>
      <c r="N4685" s="33">
        <f>IFERROR(__xludf.DUMMYFUNCTION("""COMPUTED_VALUE"""),46167.0)</f>
        <v>46167</v>
      </c>
      <c r="O4685" s="20"/>
      <c r="P4685" s="32" t="str">
        <f>IFERROR(__xludf.DUMMYFUNCTION("""COMPUTED_VALUE"""),"可")</f>
        <v>可</v>
      </c>
      <c r="Q4685" s="30" t="str">
        <f>IFERROR(__xludf.DUMMYFUNCTION("""COMPUTED_VALUE"""),"【アダルト作品扱い】")</f>
        <v>【アダルト作品扱い】</v>
      </c>
      <c r="R4685" s="22"/>
      <c r="S4685" s="22" t="str">
        <f>IFERROR(__xludf.DUMMYFUNCTION("""COMPUTED_VALUE"""),"20260204_ファンギルド_このSEXは不倫か純愛か～親友の夫に抱かれて止まらない背徳絶頂【TL版】")</f>
        <v>20260204_ファンギルド_このSEXは不倫か純愛か～親友の夫に抱かれて止まらない背徳絶頂【TL版】</v>
      </c>
      <c r="T4685" s="22" t="str">
        <f>IFERROR(__xludf.DUMMYFUNCTION("""COMPUTED_VALUE"""),"格納済み")</f>
        <v>格納済み</v>
      </c>
      <c r="U4685" s="9" t="str">
        <f>IFERROR(__xludf.DUMMYFUNCTION("""COMPUTED_VALUE"""),"Ⓒ十色/モバイルメディアリサーチ")</f>
        <v>Ⓒ十色/モバイルメディアリサーチ</v>
      </c>
      <c r="V4685" s="8"/>
      <c r="W4685" s="8"/>
      <c r="X4685" s="8" t="str">
        <f>IFERROR(__xludf.DUMMYFUNCTION("""COMPUTED_VALUE"""),"有")</f>
        <v>有</v>
      </c>
      <c r="Y4685" s="8" t="str">
        <f>IFERROR(__xludf.DUMMYFUNCTION("""COMPUTED_VALUE"""),"2026/5/25まで1巻無料")</f>
        <v>2026/5/25まで1巻無料</v>
      </c>
      <c r="Z4685" s="7"/>
      <c r="AA4685" s="7"/>
      <c r="AB4685" s="7"/>
    </row>
    <row r="4686" ht="15.75" customHeight="1">
      <c r="A4686" s="26">
        <f>IFERROR(__xludf.DUMMYFUNCTION("""COMPUTED_VALUE"""),7379.0)</f>
        <v>7379</v>
      </c>
      <c r="B4686" s="22" t="str">
        <f>IFERROR(__xludf.DUMMYFUNCTION("""COMPUTED_VALUE"""),"確定")</f>
        <v>確定</v>
      </c>
      <c r="C4686" s="28">
        <f>IFERROR(__xludf.DUMMYFUNCTION("""COMPUTED_VALUE"""),46057.0)</f>
        <v>46057</v>
      </c>
      <c r="D4686" s="28">
        <f>IFERROR(__xludf.DUMMYFUNCTION("""COMPUTED_VALUE"""),46059.0)</f>
        <v>46059</v>
      </c>
      <c r="E4686" s="26">
        <f>IFERROR(__xludf.DUMMYFUNCTION("""COMPUTED_VALUE"""),352053.0)</f>
        <v>352053</v>
      </c>
      <c r="F4686" s="22" t="str">
        <f>IFERROR(__xludf.DUMMYFUNCTION("""COMPUTED_VALUE"""),"執愛公爵は義妹を愛しすぎている【ノーカット版】")</f>
        <v>執愛公爵は義妹を愛しすぎている【ノーカット版】</v>
      </c>
      <c r="G4686" s="20" t="str">
        <f>IFERROR(__xludf.DUMMYFUNCTION("""COMPUTED_VALUE"""),"1～3")</f>
        <v>1～3</v>
      </c>
      <c r="H4686" s="22" t="str">
        <f>IFERROR(__xludf.DUMMYFUNCTION("""COMPUTED_VALUE"""),"HACKGAE/Geumdan/Jeonghaejin")</f>
        <v>HACKGAE/Geumdan/Jeonghaejin</v>
      </c>
      <c r="I4686" s="22" t="str">
        <f>IFERROR(__xludf.DUMMYFUNCTION("""COMPUTED_VALUE"""),"TL")</f>
        <v>TL</v>
      </c>
      <c r="J4686" s="22"/>
      <c r="K4686" s="22" t="str">
        <f>IFERROR(__xludf.DUMMYFUNCTION("""COMPUTED_VALUE"""),"恋愛シロップ")</f>
        <v>恋愛シロップ</v>
      </c>
      <c r="L4686" s="22" t="str">
        <f>IFERROR(__xludf.DUMMYFUNCTION("""COMPUTED_VALUE"""),"Rush!")</f>
        <v>Rush!</v>
      </c>
      <c r="M4686" s="33">
        <f>IFERROR(__xludf.DUMMYFUNCTION("""COMPUTED_VALUE"""),46110.0)</f>
        <v>46110</v>
      </c>
      <c r="N4686" s="33">
        <f>IFERROR(__xludf.DUMMYFUNCTION("""COMPUTED_VALUE"""),46144.0)</f>
        <v>46144</v>
      </c>
      <c r="O4686" s="20"/>
      <c r="P4686" s="32" t="str">
        <f>IFERROR(__xludf.DUMMYFUNCTION("""COMPUTED_VALUE"""),"可")</f>
        <v>可</v>
      </c>
      <c r="Q4686" s="30" t="str">
        <f>IFERROR(__xludf.DUMMYFUNCTION("""COMPUTED_VALUE"""),"【アダルト作品扱い】")</f>
        <v>【アダルト作品扱い】</v>
      </c>
      <c r="R4686" s="22"/>
      <c r="S4686" s="22" t="str">
        <f>IFERROR(__xludf.DUMMYFUNCTION("""COMPUTED_VALUE"""),"20260204_ファンギルド_執愛公爵は義妹を愛しすぎている【ノーカット版】")</f>
        <v>20260204_ファンギルド_執愛公爵は義妹を愛しすぎている【ノーカット版】</v>
      </c>
      <c r="T4686" s="22" t="str">
        <f>IFERROR(__xludf.DUMMYFUNCTION("""COMPUTED_VALUE"""),"格納済み")</f>
        <v>格納済み</v>
      </c>
      <c r="U4686" s="9" t="str">
        <f>IFERROR(__xludf.DUMMYFUNCTION("""COMPUTED_VALUE"""),"ⒸHACKGAE/Geumdan/Jeonghaejin/METATOON")</f>
        <v>ⒸHACKGAE/Geumdan/Jeonghaejin/METATOON</v>
      </c>
      <c r="V4686" s="8"/>
      <c r="W4686" s="8"/>
      <c r="X4686" s="8" t="str">
        <f>IFERROR(__xludf.DUMMYFUNCTION("""COMPUTED_VALUE"""),"有")</f>
        <v>有</v>
      </c>
      <c r="Y4686" s="8" t="str">
        <f>IFERROR(__xludf.DUMMYFUNCTION("""COMPUTED_VALUE"""),"P13まで")</f>
        <v>P13まで</v>
      </c>
      <c r="Z4686" s="7"/>
      <c r="AA4686" s="7"/>
      <c r="AB4686" s="7"/>
    </row>
    <row r="4687" ht="15.75" customHeight="1">
      <c r="A4687" s="26">
        <f>IFERROR(__xludf.DUMMYFUNCTION("""COMPUTED_VALUE"""),7385.0)</f>
        <v>7385</v>
      </c>
      <c r="B4687" s="22" t="str">
        <f>IFERROR(__xludf.DUMMYFUNCTION("""COMPUTED_VALUE"""),"確定")</f>
        <v>確定</v>
      </c>
      <c r="C4687" s="28">
        <f>IFERROR(__xludf.DUMMYFUNCTION("""COMPUTED_VALUE"""),46058.0)</f>
        <v>46058</v>
      </c>
      <c r="D4687" s="28">
        <f>IFERROR(__xludf.DUMMYFUNCTION("""COMPUTED_VALUE"""),46062.0)</f>
        <v>46062</v>
      </c>
      <c r="E4687" s="26">
        <f>IFERROR(__xludf.DUMMYFUNCTION("""COMPUTED_VALUE"""),352055.0)</f>
        <v>352055</v>
      </c>
      <c r="F4687" s="22" t="str">
        <f>IFERROR(__xludf.DUMMYFUNCTION("""COMPUTED_VALUE"""),"別れるつもりだったのに、イケメンセフレが私を離してくれません【ノーカット版】")</f>
        <v>別れるつもりだったのに、イケメンセフレが私を離してくれません【ノーカット版】</v>
      </c>
      <c r="G4687" s="20" t="str">
        <f>IFERROR(__xludf.DUMMYFUNCTION("""COMPUTED_VALUE"""),"1～3")</f>
        <v>1～3</v>
      </c>
      <c r="H4687" s="22" t="str">
        <f>IFERROR(__xludf.DUMMYFUNCTION("""COMPUTED_VALUE"""),"peongyo,popo-chin,ContiMaker")</f>
        <v>peongyo,popo-chin,ContiMaker</v>
      </c>
      <c r="I4687" s="22" t="str">
        <f>IFERROR(__xludf.DUMMYFUNCTION("""COMPUTED_VALUE"""),"TL")</f>
        <v>TL</v>
      </c>
      <c r="J4687" s="22"/>
      <c r="K4687" s="22" t="str">
        <f>IFERROR(__xludf.DUMMYFUNCTION("""COMPUTED_VALUE"""),"恋愛シロップ")</f>
        <v>恋愛シロップ</v>
      </c>
      <c r="L4687" s="22" t="str">
        <f>IFERROR(__xludf.DUMMYFUNCTION("""COMPUTED_VALUE"""),"Rush!")</f>
        <v>Rush!</v>
      </c>
      <c r="M4687" s="33">
        <f>IFERROR(__xludf.DUMMYFUNCTION("""COMPUTED_VALUE"""),46110.0)</f>
        <v>46110</v>
      </c>
      <c r="N4687" s="33">
        <f>IFERROR(__xludf.DUMMYFUNCTION("""COMPUTED_VALUE"""),46144.0)</f>
        <v>46144</v>
      </c>
      <c r="O4687" s="20"/>
      <c r="P4687" s="32" t="str">
        <f>IFERROR(__xludf.DUMMYFUNCTION("""COMPUTED_VALUE"""),"可")</f>
        <v>可</v>
      </c>
      <c r="Q4687" s="30" t="str">
        <f>IFERROR(__xludf.DUMMYFUNCTION("""COMPUTED_VALUE"""),"【アダルト作品扱い】")</f>
        <v>【アダルト作品扱い】</v>
      </c>
      <c r="R4687" s="22"/>
      <c r="S4687" s="22" t="str">
        <f>IFERROR(__xludf.DUMMYFUNCTION("""COMPUTED_VALUE"""),"20260204_ファンギルド_別れるつもりだったのに、イケメンセフレが私を離してくれません【ノーカット版】")</f>
        <v>20260204_ファンギルド_別れるつもりだったのに、イケメンセフレが私を離してくれません【ノーカット版】</v>
      </c>
      <c r="T4687" s="22" t="str">
        <f>IFERROR(__xludf.DUMMYFUNCTION("""COMPUTED_VALUE"""),"格納済み")</f>
        <v>格納済み</v>
      </c>
      <c r="U4687" s="9" t="str">
        <f>IFERROR(__xludf.DUMMYFUNCTION("""COMPUTED_VALUE"""),"Ⓒpeongyo/popo-chin/ContiMaker")</f>
        <v>Ⓒpeongyo/popo-chin/ContiMaker</v>
      </c>
      <c r="V4687" s="8"/>
      <c r="W4687" s="8"/>
      <c r="X4687" s="8" t="str">
        <f>IFERROR(__xludf.DUMMYFUNCTION("""COMPUTED_VALUE"""),"有")</f>
        <v>有</v>
      </c>
      <c r="Y4687" s="8" t="str">
        <f>IFERROR(__xludf.DUMMYFUNCTION("""COMPUTED_VALUE"""),"P13まで")</f>
        <v>P13まで</v>
      </c>
      <c r="Z4687" s="7"/>
      <c r="AA4687" s="7"/>
      <c r="AB4687" s="7"/>
    </row>
    <row r="4688" ht="15.75" customHeight="1">
      <c r="A4688" s="26">
        <f>IFERROR(__xludf.DUMMYFUNCTION("""COMPUTED_VALUE"""),7386.0)</f>
        <v>7386</v>
      </c>
      <c r="B4688" s="22" t="str">
        <f>IFERROR(__xludf.DUMMYFUNCTION("""COMPUTED_VALUE"""),"確定")</f>
        <v>確定</v>
      </c>
      <c r="C4688" s="28">
        <f>IFERROR(__xludf.DUMMYFUNCTION("""COMPUTED_VALUE"""),46058.0)</f>
        <v>46058</v>
      </c>
      <c r="D4688" s="28">
        <f>IFERROR(__xludf.DUMMYFUNCTION("""COMPUTED_VALUE"""),46062.0)</f>
        <v>46062</v>
      </c>
      <c r="E4688" s="26">
        <f>IFERROR(__xludf.DUMMYFUNCTION("""COMPUTED_VALUE"""),352992.0)</f>
        <v>352992</v>
      </c>
      <c r="F4688" s="22" t="str">
        <f>IFERROR(__xludf.DUMMYFUNCTION("""COMPUTED_VALUE"""),"革命リンダ！！(話売り)")</f>
        <v>革命リンダ！！(話売り)</v>
      </c>
      <c r="G4688" s="20" t="str">
        <f>IFERROR(__xludf.DUMMYFUNCTION("""COMPUTED_VALUE"""),"1～3")</f>
        <v>1～3</v>
      </c>
      <c r="H4688" s="22" t="str">
        <f>IFERROR(__xludf.DUMMYFUNCTION("""COMPUTED_VALUE"""),"川井文学")</f>
        <v>川井文学</v>
      </c>
      <c r="I4688" s="22" t="str">
        <f>IFERROR(__xludf.DUMMYFUNCTION("""COMPUTED_VALUE"""),"少年")</f>
        <v>少年</v>
      </c>
      <c r="J4688" s="22"/>
      <c r="K4688" s="22"/>
      <c r="L4688" s="22" t="str">
        <f>IFERROR(__xludf.DUMMYFUNCTION("""COMPUTED_VALUE"""),"秋田書店")</f>
        <v>秋田書店</v>
      </c>
      <c r="M4688" s="33">
        <f>IFERROR(__xludf.DUMMYFUNCTION("""COMPUTED_VALUE"""),46084.0)</f>
        <v>46084</v>
      </c>
      <c r="N4688" s="33">
        <f>IFERROR(__xludf.DUMMYFUNCTION("""COMPUTED_VALUE"""),46144.0)</f>
        <v>46144</v>
      </c>
      <c r="O4688" s="20"/>
      <c r="P4688" s="32" t="str">
        <f>IFERROR(__xludf.DUMMYFUNCTION("""COMPUTED_VALUE"""),"可")</f>
        <v>可</v>
      </c>
      <c r="Q4688" s="30" t="str">
        <f>IFERROR(__xludf.DUMMYFUNCTION("""COMPUTED_VALUE"""),"【アウトバウンド提案】")</f>
        <v>【アウトバウンド提案】</v>
      </c>
      <c r="R4688" s="22"/>
      <c r="S4688" s="22" t="str">
        <f>IFERROR(__xludf.DUMMYFUNCTION("""COMPUTED_VALUE"""),"20260205_秋田書店_革命リンダ!!(話売り)")</f>
        <v>20260205_秋田書店_革命リンダ!!(話売り)</v>
      </c>
      <c r="T4688" s="22" t="str">
        <f>IFERROR(__xludf.DUMMYFUNCTION("""COMPUTED_VALUE"""),"格納済み")</f>
        <v>格納済み</v>
      </c>
      <c r="U4688" s="9" t="str">
        <f>IFERROR(__xludf.DUMMYFUNCTION("""COMPUTED_VALUE"""),"（C）川井文学（秋田書店）")</f>
        <v>（C）川井文学（秋田書店）</v>
      </c>
      <c r="V4688" s="8"/>
      <c r="W4688" s="8"/>
      <c r="X4688" s="8" t="str">
        <f>IFERROR(__xludf.DUMMYFUNCTION("""COMPUTED_VALUE"""),"有")</f>
        <v>有</v>
      </c>
      <c r="Y4688" s="8" t="str">
        <f>IFERROR(__xludf.DUMMYFUNCTION("""COMPUTED_VALUE"""),"2026/5/30まで1巻無料")</f>
        <v>2026/5/30まで1巻無料</v>
      </c>
      <c r="Z4688" s="7"/>
      <c r="AA4688" s="7"/>
      <c r="AB4688" s="7"/>
    </row>
    <row r="4689" ht="15.75" customHeight="1">
      <c r="A4689" s="26">
        <f>IFERROR(__xludf.DUMMYFUNCTION("""COMPUTED_VALUE"""),7388.0)</f>
        <v>7388</v>
      </c>
      <c r="B4689" s="22" t="str">
        <f>IFERROR(__xludf.DUMMYFUNCTION("""COMPUTED_VALUE"""),"確定")</f>
        <v>確定</v>
      </c>
      <c r="C4689" s="28">
        <f>IFERROR(__xludf.DUMMYFUNCTION("""COMPUTED_VALUE"""),46058.0)</f>
        <v>46058</v>
      </c>
      <c r="D4689" s="28">
        <f>IFERROR(__xludf.DUMMYFUNCTION("""COMPUTED_VALUE"""),46062.0)</f>
        <v>46062</v>
      </c>
      <c r="E4689" s="26">
        <f>IFERROR(__xludf.DUMMYFUNCTION("""COMPUTED_VALUE"""),352049.0)</f>
        <v>352049</v>
      </c>
      <c r="F4689" s="22" t="str">
        <f>IFERROR(__xludf.DUMMYFUNCTION("""COMPUTED_VALUE"""),"深夜残業～毒舌先輩と甘く淫らにエスカレートする愛玩取引")</f>
        <v>深夜残業～毒舌先輩と甘く淫らにエスカレートする愛玩取引</v>
      </c>
      <c r="G4689" s="20" t="str">
        <f>IFERROR(__xludf.DUMMYFUNCTION("""COMPUTED_VALUE"""),"1～2")</f>
        <v>1～2</v>
      </c>
      <c r="H4689" s="22" t="str">
        <f>IFERROR(__xludf.DUMMYFUNCTION("""COMPUTED_VALUE"""),"しばさき南月/ボルテージ")</f>
        <v>しばさき南月/ボルテージ</v>
      </c>
      <c r="I4689" s="22" t="str">
        <f>IFERROR(__xludf.DUMMYFUNCTION("""COMPUTED_VALUE"""),"TL")</f>
        <v>TL</v>
      </c>
      <c r="J4689" s="22"/>
      <c r="K4689" s="22" t="str">
        <f>IFERROR(__xludf.DUMMYFUNCTION("""COMPUTED_VALUE"""),"ラブきゅんコミック")</f>
        <v>ラブきゅんコミック</v>
      </c>
      <c r="L4689" s="22" t="str">
        <f>IFERROR(__xludf.DUMMYFUNCTION("""COMPUTED_VALUE"""),"モバイルメディアリサーチ")</f>
        <v>モバイルメディアリサーチ</v>
      </c>
      <c r="M4689" s="33">
        <f>IFERROR(__xludf.DUMMYFUNCTION("""COMPUTED_VALUE"""),46102.0)</f>
        <v>46102</v>
      </c>
      <c r="N4689" s="33">
        <f>IFERROR(__xludf.DUMMYFUNCTION("""COMPUTED_VALUE"""),46150.0)</f>
        <v>46150</v>
      </c>
      <c r="O4689" s="20"/>
      <c r="P4689" s="32" t="str">
        <f>IFERROR(__xludf.DUMMYFUNCTION("""COMPUTED_VALUE"""),"可")</f>
        <v>可</v>
      </c>
      <c r="Q4689" s="30" t="str">
        <f>IFERROR(__xludf.DUMMYFUNCTION("""COMPUTED_VALUE"""),"※ボルテージ原作作品のため、ぼるコミでも同日配信となります。")</f>
        <v>※ボルテージ原作作品のため、ぼるコミでも同日配信となります。</v>
      </c>
      <c r="R4689" s="22"/>
      <c r="S4689" s="22" t="str">
        <f>IFERROR(__xludf.DUMMYFUNCTION("""COMPUTED_VALUE"""),"20260204_ファンギルド_深夜残業～毒舌先輩と甘く淫らにエスカレートする愛玩取引")</f>
        <v>20260204_ファンギルド_深夜残業～毒舌先輩と甘く淫らにエスカレートする愛玩取引</v>
      </c>
      <c r="T4689" s="22" t="str">
        <f>IFERROR(__xludf.DUMMYFUNCTION("""COMPUTED_VALUE"""),"格納済み")</f>
        <v>格納済み</v>
      </c>
      <c r="U4689" s="9" t="str">
        <f>IFERROR(__xludf.DUMMYFUNCTION("""COMPUTED_VALUE"""),"ⒸNatsuki Shibasaki/Voltage Inc./MMR")</f>
        <v>ⒸNatsuki Shibasaki/Voltage Inc./MMR</v>
      </c>
      <c r="V4689" s="8"/>
      <c r="W4689" s="8"/>
      <c r="X4689" s="8" t="str">
        <f>IFERROR(__xludf.DUMMYFUNCTION("""COMPUTED_VALUE"""),"有")</f>
        <v>有</v>
      </c>
      <c r="Y4689" s="8" t="str">
        <f>IFERROR(__xludf.DUMMYFUNCTION("""COMPUTED_VALUE"""),"P7まで")</f>
        <v>P7まで</v>
      </c>
      <c r="Z4689" s="7"/>
      <c r="AA4689" s="7"/>
      <c r="AB4689" s="7"/>
    </row>
    <row r="4690" ht="15.75" customHeight="1">
      <c r="A4690" s="26">
        <f>IFERROR(__xludf.DUMMYFUNCTION("""COMPUTED_VALUE"""),7389.0)</f>
        <v>7389</v>
      </c>
      <c r="B4690" s="22" t="str">
        <f>IFERROR(__xludf.DUMMYFUNCTION("""COMPUTED_VALUE"""),"確定")</f>
        <v>確定</v>
      </c>
      <c r="C4690" s="28">
        <f>IFERROR(__xludf.DUMMYFUNCTION("""COMPUTED_VALUE"""),46058.0)</f>
        <v>46058</v>
      </c>
      <c r="D4690" s="28">
        <f>IFERROR(__xludf.DUMMYFUNCTION("""COMPUTED_VALUE"""),46059.0)</f>
        <v>46059</v>
      </c>
      <c r="E4690" s="26">
        <f>IFERROR(__xludf.DUMMYFUNCTION("""COMPUTED_VALUE"""),352047.0)</f>
        <v>352047</v>
      </c>
      <c r="F4690" s="22" t="str">
        <f>IFERROR(__xludf.DUMMYFUNCTION("""COMPUTED_VALUE"""),"厚顔無恥")</f>
        <v>厚顔無恥</v>
      </c>
      <c r="G4690" s="20" t="str">
        <f>IFERROR(__xludf.DUMMYFUNCTION("""COMPUTED_VALUE"""),"1～3")</f>
        <v>1～3</v>
      </c>
      <c r="H4690" s="22" t="str">
        <f>IFERROR(__xludf.DUMMYFUNCTION("""COMPUTED_VALUE"""),"Shin Yuri/Jinyang")</f>
        <v>Shin Yuri/Jinyang</v>
      </c>
      <c r="I4690" s="22" t="str">
        <f>IFERROR(__xludf.DUMMYFUNCTION("""COMPUTED_VALUE"""),"BL")</f>
        <v>BL</v>
      </c>
      <c r="J4690" s="22"/>
      <c r="K4690" s="22"/>
      <c r="L4690" s="22" t="str">
        <f>IFERROR(__xludf.DUMMYFUNCTION("""COMPUTED_VALUE"""),"Rush!")</f>
        <v>Rush!</v>
      </c>
      <c r="M4690" s="33">
        <f>IFERROR(__xludf.DUMMYFUNCTION("""COMPUTED_VALUE"""),46094.0)</f>
        <v>46094</v>
      </c>
      <c r="N4690" s="33">
        <f>IFERROR(__xludf.DUMMYFUNCTION("""COMPUTED_VALUE"""),46121.0)</f>
        <v>46121</v>
      </c>
      <c r="O4690" s="20"/>
      <c r="P4690" s="32" t="str">
        <f>IFERROR(__xludf.DUMMYFUNCTION("""COMPUTED_VALUE"""),"可")</f>
        <v>可</v>
      </c>
      <c r="Q4690" s="30"/>
      <c r="R4690" s="22"/>
      <c r="S4690" s="22" t="str">
        <f>IFERROR(__xludf.DUMMYFUNCTION("""COMPUTED_VALUE"""),"20260204_ファンギルド_厚顔無恥")</f>
        <v>20260204_ファンギルド_厚顔無恥</v>
      </c>
      <c r="T4690" s="22" t="str">
        <f>IFERROR(__xludf.DUMMYFUNCTION("""COMPUTED_VALUE"""),"素材確認中")</f>
        <v>素材確認中</v>
      </c>
      <c r="U4690" s="9" t="str">
        <f>IFERROR(__xludf.DUMMYFUNCTION("""COMPUTED_VALUE"""),"ⒸShin Yuri/Jinyang")</f>
        <v>ⒸShin Yuri/Jinyang</v>
      </c>
      <c r="V4690" s="8"/>
      <c r="W4690" s="8"/>
      <c r="X4690" s="8" t="str">
        <f>IFERROR(__xludf.DUMMYFUNCTION("""COMPUTED_VALUE"""),"有")</f>
        <v>有</v>
      </c>
      <c r="Y4690" s="8" t="str">
        <f>IFERROR(__xludf.DUMMYFUNCTION("""COMPUTED_VALUE"""),"2026/3/26まで1巻無料")</f>
        <v>2026/3/26まで1巻無料</v>
      </c>
      <c r="Z4690" s="7"/>
      <c r="AA4690" s="7"/>
      <c r="AB4690" s="7"/>
    </row>
    <row r="4691" ht="15.75" customHeight="1">
      <c r="A4691" s="26">
        <f>IFERROR(__xludf.DUMMYFUNCTION("""COMPUTED_VALUE"""),7390.0)</f>
        <v>7390</v>
      </c>
      <c r="B4691" s="22" t="str">
        <f>IFERROR(__xludf.DUMMYFUNCTION("""COMPUTED_VALUE"""),"確定")</f>
        <v>確定</v>
      </c>
      <c r="C4691" s="28">
        <f>IFERROR(__xludf.DUMMYFUNCTION("""COMPUTED_VALUE"""),46058.0)</f>
        <v>46058</v>
      </c>
      <c r="D4691" s="28">
        <f>IFERROR(__xludf.DUMMYFUNCTION("""COMPUTED_VALUE"""),46059.0)</f>
        <v>46059</v>
      </c>
      <c r="E4691" s="26">
        <f>IFERROR(__xludf.DUMMYFUNCTION("""COMPUTED_VALUE"""),352056.0)</f>
        <v>352056</v>
      </c>
      <c r="F4691" s="22" t="str">
        <f>IFERROR(__xludf.DUMMYFUNCTION("""COMPUTED_VALUE"""),"契約夫婦の夜")</f>
        <v>契約夫婦の夜</v>
      </c>
      <c r="G4691" s="20" t="str">
        <f>IFERROR(__xludf.DUMMYFUNCTION("""COMPUTED_VALUE"""),"1～3")</f>
        <v>1～3</v>
      </c>
      <c r="H4691" s="22" t="str">
        <f>IFERROR(__xludf.DUMMYFUNCTION("""COMPUTED_VALUE"""),"magom/jjeonqueen/Jeongminz")</f>
        <v>magom/jjeonqueen/Jeongminz</v>
      </c>
      <c r="I4691" s="22" t="str">
        <f>IFERROR(__xludf.DUMMYFUNCTION("""COMPUTED_VALUE"""),"女性")</f>
        <v>女性</v>
      </c>
      <c r="J4691" s="22"/>
      <c r="K4691" s="22"/>
      <c r="L4691" s="22" t="str">
        <f>IFERROR(__xludf.DUMMYFUNCTION("""COMPUTED_VALUE"""),"Rush!")</f>
        <v>Rush!</v>
      </c>
      <c r="M4691" s="33">
        <f>IFERROR(__xludf.DUMMYFUNCTION("""COMPUTED_VALUE"""),46110.0)</f>
        <v>46110</v>
      </c>
      <c r="N4691" s="33">
        <f>IFERROR(__xludf.DUMMYFUNCTION("""COMPUTED_VALUE"""),46144.0)</f>
        <v>46144</v>
      </c>
      <c r="O4691" s="20"/>
      <c r="P4691" s="32" t="str">
        <f>IFERROR(__xludf.DUMMYFUNCTION("""COMPUTED_VALUE"""),"可")</f>
        <v>可</v>
      </c>
      <c r="Q4691" s="30"/>
      <c r="R4691" s="22"/>
      <c r="S4691" s="22" t="str">
        <f>IFERROR(__xludf.DUMMYFUNCTION("""COMPUTED_VALUE"""),"20260204_ファンギルド_契約夫婦の夜")</f>
        <v>20260204_ファンギルド_契約夫婦の夜</v>
      </c>
      <c r="T4691" s="22" t="str">
        <f>IFERROR(__xludf.DUMMYFUNCTION("""COMPUTED_VALUE"""),"素材確認中")</f>
        <v>素材確認中</v>
      </c>
      <c r="U4691" s="9" t="str">
        <f>IFERROR(__xludf.DUMMYFUNCTION("""COMPUTED_VALUE"""),"Ⓒmagom/jjeonqueen/Jeongminz")</f>
        <v>Ⓒmagom/jjeonqueen/Jeongminz</v>
      </c>
      <c r="V4691" s="8"/>
      <c r="W4691" s="8"/>
      <c r="X4691" s="8" t="str">
        <f>IFERROR(__xludf.DUMMYFUNCTION("""COMPUTED_VALUE"""),"有")</f>
        <v>有</v>
      </c>
      <c r="Y4691" s="8" t="str">
        <f>IFERROR(__xludf.DUMMYFUNCTION("""COMPUTED_VALUE"""),"P13まで")</f>
        <v>P13まで</v>
      </c>
      <c r="Z4691" s="7"/>
      <c r="AA4691" s="7"/>
      <c r="AB4691" s="7"/>
    </row>
    <row r="4692" ht="15.75" customHeight="1">
      <c r="A4692" s="26">
        <f>IFERROR(__xludf.DUMMYFUNCTION("""COMPUTED_VALUE"""),7394.0)</f>
        <v>7394</v>
      </c>
      <c r="B4692" s="22" t="str">
        <f>IFERROR(__xludf.DUMMYFUNCTION("""COMPUTED_VALUE"""),"確定")</f>
        <v>確定</v>
      </c>
      <c r="C4692" s="28">
        <f>IFERROR(__xludf.DUMMYFUNCTION("""COMPUTED_VALUE"""),46059.0)</f>
        <v>46059</v>
      </c>
      <c r="D4692" s="28">
        <f>IFERROR(__xludf.DUMMYFUNCTION("""COMPUTED_VALUE"""),46059.0)</f>
        <v>46059</v>
      </c>
      <c r="E4692" s="26">
        <f>IFERROR(__xludf.DUMMYFUNCTION("""COMPUTED_VALUE"""),351717.0)</f>
        <v>351717</v>
      </c>
      <c r="F4692" s="22" t="str">
        <f>IFERROR(__xludf.DUMMYFUNCTION("""COMPUTED_VALUE"""),"この子、誰の子ですか？～知らぬ間にサレていた妻の復讐～")</f>
        <v>この子、誰の子ですか？～知らぬ間にサレていた妻の復讐～</v>
      </c>
      <c r="G4692" s="20" t="str">
        <f>IFERROR(__xludf.DUMMYFUNCTION("""COMPUTED_VALUE"""),"1～5")</f>
        <v>1～5</v>
      </c>
      <c r="H4692" s="22" t="str">
        <f>IFERROR(__xludf.DUMMYFUNCTION("""COMPUTED_VALUE"""),"葵ナオ")</f>
        <v>葵ナオ</v>
      </c>
      <c r="I4692" s="22" t="str">
        <f>IFERROR(__xludf.DUMMYFUNCTION("""COMPUTED_VALUE"""),"女性マンガ")</f>
        <v>女性マンガ</v>
      </c>
      <c r="J4692" s="22"/>
      <c r="K4692" s="22" t="str">
        <f>IFERROR(__xludf.DUMMYFUNCTION("""COMPUTED_VALUE"""),"シーモア×hachico")</f>
        <v>シーモア×hachico</v>
      </c>
      <c r="L4692" s="22" t="str">
        <f>IFERROR(__xludf.DUMMYFUNCTION("""COMPUTED_VALUE"""),"Bevy")</f>
        <v>Bevy</v>
      </c>
      <c r="M4692" s="33">
        <f>IFERROR(__xludf.DUMMYFUNCTION("""COMPUTED_VALUE"""),46082.0)</f>
        <v>46082</v>
      </c>
      <c r="N4692" s="33">
        <f>IFERROR(__xludf.DUMMYFUNCTION("""COMPUTED_VALUE"""),46265.0)</f>
        <v>46265</v>
      </c>
      <c r="O4692" s="20"/>
      <c r="P4692" s="32" t="str">
        <f>IFERROR(__xludf.DUMMYFUNCTION("""COMPUTED_VALUE"""),"可")</f>
        <v>可</v>
      </c>
      <c r="Q4692" s="30"/>
      <c r="R4692" s="22"/>
      <c r="S4692" s="22" t="str">
        <f>IFERROR(__xludf.DUMMYFUNCTION("""COMPUTED_VALUE"""),"20260206_Bevy_この子、誰の子ですか？～知らぬ間にサレていた妻の復讐～_2")</f>
        <v>20260206_Bevy_この子、誰の子ですか？～知らぬ間にサレていた妻の復讐～_2</v>
      </c>
      <c r="T4692" s="22" t="str">
        <f>IFERROR(__xludf.DUMMYFUNCTION("""COMPUTED_VALUE"""),"格納済み")</f>
        <v>格納済み</v>
      </c>
      <c r="U4692" s="9" t="str">
        <f>IFERROR(__xludf.DUMMYFUNCTION("""COMPUTED_VALUE"""),"（C）Aoi Nao 2026")</f>
        <v>（C）Aoi Nao 2026</v>
      </c>
      <c r="V4692" s="8"/>
      <c r="W4692" s="8"/>
      <c r="X4692" s="8" t="str">
        <f>IFERROR(__xludf.DUMMYFUNCTION("""COMPUTED_VALUE"""),"有")</f>
        <v>有</v>
      </c>
      <c r="Y4692" s="8" t="str">
        <f>IFERROR(__xludf.DUMMYFUNCTION("""COMPUTED_VALUE"""),"2026/8/31まで1巻無料")</f>
        <v>2026/8/31まで1巻無料</v>
      </c>
      <c r="Z4692" s="7"/>
      <c r="AA4692" s="7"/>
      <c r="AB4692" s="7"/>
    </row>
    <row r="4693" ht="15.75" customHeight="1">
      <c r="A4693" s="26">
        <f>IFERROR(__xludf.DUMMYFUNCTION("""COMPUTED_VALUE"""),7395.0)</f>
        <v>7395</v>
      </c>
      <c r="B4693" s="22" t="str">
        <f>IFERROR(__xludf.DUMMYFUNCTION("""COMPUTED_VALUE"""),"確定")</f>
        <v>確定</v>
      </c>
      <c r="C4693" s="28">
        <f>IFERROR(__xludf.DUMMYFUNCTION("""COMPUTED_VALUE"""),46059.0)</f>
        <v>46059</v>
      </c>
      <c r="D4693" s="28">
        <f>IFERROR(__xludf.DUMMYFUNCTION("""COMPUTED_VALUE"""),46059.0)</f>
        <v>46059</v>
      </c>
      <c r="E4693" s="26">
        <f>IFERROR(__xludf.DUMMYFUNCTION("""COMPUTED_VALUE"""),352312.0)</f>
        <v>352312</v>
      </c>
      <c r="F4693" s="22" t="str">
        <f>IFERROR(__xludf.DUMMYFUNCTION("""COMPUTED_VALUE"""),"蜜穴セルフサービス")</f>
        <v>蜜穴セルフサービス</v>
      </c>
      <c r="G4693" s="20" t="str">
        <f>IFERROR(__xludf.DUMMYFUNCTION("""COMPUTED_VALUE"""),"1～3")</f>
        <v>1～3</v>
      </c>
      <c r="H4693" s="22" t="str">
        <f>IFERROR(__xludf.DUMMYFUNCTION("""COMPUTED_VALUE"""),"凸があれば凹がある。")</f>
        <v>凸があれば凹がある。</v>
      </c>
      <c r="I4693" s="22" t="str">
        <f>IFERROR(__xludf.DUMMYFUNCTION("""COMPUTED_VALUE"""),"アダルトマンガ")</f>
        <v>アダルトマンガ</v>
      </c>
      <c r="J4693" s="22"/>
      <c r="K4693" s="22"/>
      <c r="L4693" s="22" t="str">
        <f>IFERROR(__xludf.DUMMYFUNCTION("""COMPUTED_VALUE"""),"セ・キララ文庫")</f>
        <v>セ・キララ文庫</v>
      </c>
      <c r="M4693" s="33">
        <f>IFERROR(__xludf.DUMMYFUNCTION("""COMPUTED_VALUE"""),46087.0)</f>
        <v>46087</v>
      </c>
      <c r="N4693" s="33">
        <f>IFERROR(__xludf.DUMMYFUNCTION("""COMPUTED_VALUE"""),46121.0)</f>
        <v>46121</v>
      </c>
      <c r="O4693" s="20"/>
      <c r="P4693" s="32" t="str">
        <f>IFERROR(__xludf.DUMMYFUNCTION("""COMPUTED_VALUE"""),"可")</f>
        <v>可</v>
      </c>
      <c r="Q4693" s="30"/>
      <c r="R4693" s="22"/>
      <c r="S4693" s="22" t="str">
        <f>IFERROR(__xludf.DUMMYFUNCTION("""COMPUTED_VALUE"""),"20260206_ライドオン_蜜穴セルフサービス")</f>
        <v>20260206_ライドオン_蜜穴セルフサービス</v>
      </c>
      <c r="T4693" s="22" t="str">
        <f>IFERROR(__xludf.DUMMYFUNCTION("""COMPUTED_VALUE"""),"素材確認中")</f>
        <v>素材確認中</v>
      </c>
      <c r="U4693" s="9" t="str">
        <f>IFERROR(__xludf.DUMMYFUNCTION("""COMPUTED_VALUE"""),"Ⓒ凸があれば凹がある。/セ・キララ文庫")</f>
        <v>Ⓒ凸があれば凹がある。/セ・キララ文庫</v>
      </c>
      <c r="V4693" s="8"/>
      <c r="W4693" s="8"/>
      <c r="X4693" s="8" t="str">
        <f>IFERROR(__xludf.DUMMYFUNCTION("""COMPUTED_VALUE"""),"有")</f>
        <v>有</v>
      </c>
      <c r="Y4693" s="8" t="str">
        <f>IFERROR(__xludf.DUMMYFUNCTION("""COMPUTED_VALUE"""),"P10まで")</f>
        <v>P10まで</v>
      </c>
      <c r="Z4693" s="7"/>
      <c r="AA4693" s="7"/>
      <c r="AB4693" s="7"/>
    </row>
    <row r="4694" ht="15.75" customHeight="1">
      <c r="A4694" s="26">
        <f>IFERROR(__xludf.DUMMYFUNCTION("""COMPUTED_VALUE"""),7396.0)</f>
        <v>7396</v>
      </c>
      <c r="B4694" s="22" t="str">
        <f>IFERROR(__xludf.DUMMYFUNCTION("""COMPUTED_VALUE"""),"確定")</f>
        <v>確定</v>
      </c>
      <c r="C4694" s="28">
        <f>IFERROR(__xludf.DUMMYFUNCTION("""COMPUTED_VALUE"""),46059.0)</f>
        <v>46059</v>
      </c>
      <c r="D4694" s="28">
        <f>IFERROR(__xludf.DUMMYFUNCTION("""COMPUTED_VALUE"""),46062.0)</f>
        <v>46062</v>
      </c>
      <c r="E4694" s="26">
        <f>IFERROR(__xludf.DUMMYFUNCTION("""COMPUTED_VALUE"""),352313.0)</f>
        <v>352313</v>
      </c>
      <c r="F4694" s="22" t="str">
        <f>IFERROR(__xludf.DUMMYFUNCTION("""COMPUTED_VALUE"""),"パンツ脱いだら挿入ってた！～逆身長差男女の相性抜群！青春エッチ～")</f>
        <v>パンツ脱いだら挿入ってた！～逆身長差男女の相性抜群！青春エッチ～</v>
      </c>
      <c r="G4694" s="20" t="str">
        <f>IFERROR(__xludf.DUMMYFUNCTION("""COMPUTED_VALUE"""),"1～3")</f>
        <v>1～3</v>
      </c>
      <c r="H4694" s="22" t="str">
        <f>IFERROR(__xludf.DUMMYFUNCTION("""COMPUTED_VALUE"""),"やくもきなこ")</f>
        <v>やくもきなこ</v>
      </c>
      <c r="I4694" s="22" t="str">
        <f>IFERROR(__xludf.DUMMYFUNCTION("""COMPUTED_VALUE"""),"アダルトマンガ")</f>
        <v>アダルトマンガ</v>
      </c>
      <c r="J4694" s="22"/>
      <c r="K4694" s="22"/>
      <c r="L4694" s="22" t="str">
        <f>IFERROR(__xludf.DUMMYFUNCTION("""COMPUTED_VALUE"""),"セ・キララ文庫")</f>
        <v>セ・キララ文庫</v>
      </c>
      <c r="M4694" s="33">
        <f>IFERROR(__xludf.DUMMYFUNCTION("""COMPUTED_VALUE"""),46087.0)</f>
        <v>46087</v>
      </c>
      <c r="N4694" s="33">
        <f>IFERROR(__xludf.DUMMYFUNCTION("""COMPUTED_VALUE"""),46121.0)</f>
        <v>46121</v>
      </c>
      <c r="O4694" s="20"/>
      <c r="P4694" s="32" t="str">
        <f>IFERROR(__xludf.DUMMYFUNCTION("""COMPUTED_VALUE"""),"可")</f>
        <v>可</v>
      </c>
      <c r="Q4694" s="30"/>
      <c r="R4694" s="22"/>
      <c r="S4694" s="22" t="str">
        <f>IFERROR(__xludf.DUMMYFUNCTION("""COMPUTED_VALUE"""),"20260206_ライドオンパンツ脱いだら挿入ってた！～逆身長差男女の相性抜群!青春エッチ～")</f>
        <v>20260206_ライドオンパンツ脱いだら挿入ってた！～逆身長差男女の相性抜群!青春エッチ～</v>
      </c>
      <c r="T4694" s="22" t="str">
        <f>IFERROR(__xludf.DUMMYFUNCTION("""COMPUTED_VALUE"""),"格納済み")</f>
        <v>格納済み</v>
      </c>
      <c r="U4694" s="9" t="str">
        <f>IFERROR(__xludf.DUMMYFUNCTION("""COMPUTED_VALUE"""),"Ⓒやくもきなこ/セ・キララ文庫")</f>
        <v>Ⓒやくもきなこ/セ・キララ文庫</v>
      </c>
      <c r="V4694" s="8"/>
      <c r="W4694" s="8"/>
      <c r="X4694" s="8" t="str">
        <f>IFERROR(__xludf.DUMMYFUNCTION("""COMPUTED_VALUE"""),"有")</f>
        <v>有</v>
      </c>
      <c r="Y4694" s="8" t="str">
        <f>IFERROR(__xludf.DUMMYFUNCTION("""COMPUTED_VALUE"""),"P15まで")</f>
        <v>P15まで</v>
      </c>
      <c r="Z4694" s="7"/>
      <c r="AA4694" s="7"/>
      <c r="AB4694" s="7"/>
    </row>
    <row r="4695" ht="15.75" customHeight="1">
      <c r="A4695" s="26">
        <f>IFERROR(__xludf.DUMMYFUNCTION("""COMPUTED_VALUE"""),7415.0)</f>
        <v>7415</v>
      </c>
      <c r="B4695" s="22" t="str">
        <f>IFERROR(__xludf.DUMMYFUNCTION("""COMPUTED_VALUE"""),"確定")</f>
        <v>確定</v>
      </c>
      <c r="C4695" s="28">
        <f>IFERROR(__xludf.DUMMYFUNCTION("""COMPUTED_VALUE"""),46062.0)</f>
        <v>46062</v>
      </c>
      <c r="D4695" s="28">
        <f>IFERROR(__xludf.DUMMYFUNCTION("""COMPUTED_VALUE"""),46063.0)</f>
        <v>46063</v>
      </c>
      <c r="E4695" s="26">
        <f>IFERROR(__xludf.DUMMYFUNCTION("""COMPUTED_VALUE"""),298691.0)</f>
        <v>298691</v>
      </c>
      <c r="F4695" s="22" t="str">
        <f>IFERROR(__xludf.DUMMYFUNCTION("""COMPUTED_VALUE"""),"柏木くんは、初恋沼男子。")</f>
        <v>柏木くんは、初恋沼男子。</v>
      </c>
      <c r="G4695" s="20" t="str">
        <f>IFERROR(__xludf.DUMMYFUNCTION("""COMPUTED_VALUE"""),"1～3")</f>
        <v>1～3</v>
      </c>
      <c r="H4695" s="22" t="str">
        <f>IFERROR(__xludf.DUMMYFUNCTION("""COMPUTED_VALUE"""),"花杜みかん")</f>
        <v>花杜みかん</v>
      </c>
      <c r="I4695" s="22" t="str">
        <f>IFERROR(__xludf.DUMMYFUNCTION("""COMPUTED_VALUE"""),"TLマンガ")</f>
        <v>TLマンガ</v>
      </c>
      <c r="J4695" s="22"/>
      <c r="K4695" s="22" t="str">
        <f>IFERROR(__xludf.DUMMYFUNCTION("""COMPUTED_VALUE"""),"スキして?桃色日記")</f>
        <v>スキして?桃色日記</v>
      </c>
      <c r="L4695" s="22" t="str">
        <f>IFERROR(__xludf.DUMMYFUNCTION("""COMPUTED_VALUE"""),"シーモアコミックス")</f>
        <v>シーモアコミックス</v>
      </c>
      <c r="M4695" s="33">
        <f>IFERROR(__xludf.DUMMYFUNCTION("""COMPUTED_VALUE"""),46095.0)</f>
        <v>46095</v>
      </c>
      <c r="N4695" s="33"/>
      <c r="O4695" s="20"/>
      <c r="P4695" s="32" t="str">
        <f>IFERROR(__xludf.DUMMYFUNCTION("""COMPUTED_VALUE"""),"可")</f>
        <v>可</v>
      </c>
      <c r="Q4695" s="30" t="str">
        <f>IFERROR(__xludf.DUMMYFUNCTION("""COMPUTED_VALUE"""),"【アダルト作品扱い】")</f>
        <v>【アダルト作品扱い】</v>
      </c>
      <c r="R4695" s="22"/>
      <c r="S4695" s="22" t="str">
        <f>IFERROR(__xludf.DUMMYFUNCTION("""COMPUTED_VALUE"""),"20260209_シーモアコミックス_柏木くんは、初恋沼男子。")</f>
        <v>20260209_シーモアコミックス_柏木くんは、初恋沼男子。</v>
      </c>
      <c r="T4695" s="22" t="str">
        <f>IFERROR(__xludf.DUMMYFUNCTION("""COMPUTED_VALUE"""),"格納済み")</f>
        <v>格納済み</v>
      </c>
      <c r="U4695" s="9" t="str">
        <f>IFERROR(__xludf.DUMMYFUNCTION("""COMPUTED_VALUE"""),"(C) 花杜みかん/シーモアコミックス")</f>
        <v>(C) 花杜みかん/シーモアコミックス</v>
      </c>
      <c r="V4695" s="8"/>
      <c r="W4695" s="8"/>
      <c r="X4695" s="8" t="str">
        <f>IFERROR(__xludf.DUMMYFUNCTION("""COMPUTED_VALUE"""),"有")</f>
        <v>有</v>
      </c>
      <c r="Y4695" s="8" t="str">
        <f>IFERROR(__xludf.DUMMYFUNCTION("""COMPUTED_VALUE"""),"2026/4/10まで1巻無料")</f>
        <v>2026/4/10まで1巻無料</v>
      </c>
      <c r="Z4695" s="7"/>
      <c r="AA4695" s="7"/>
      <c r="AB4695" s="7"/>
    </row>
    <row r="4696" ht="15.75" customHeight="1">
      <c r="A4696" s="26">
        <f>IFERROR(__xludf.DUMMYFUNCTION("""COMPUTED_VALUE"""),7421.0)</f>
        <v>7421</v>
      </c>
      <c r="B4696" s="22" t="str">
        <f>IFERROR(__xludf.DUMMYFUNCTION("""COMPUTED_VALUE"""),"確定")</f>
        <v>確定</v>
      </c>
      <c r="C4696" s="28">
        <f>IFERROR(__xludf.DUMMYFUNCTION("""COMPUTED_VALUE"""),46062.0)</f>
        <v>46062</v>
      </c>
      <c r="D4696" s="28">
        <f>IFERROR(__xludf.DUMMYFUNCTION("""COMPUTED_VALUE"""),46062.0)</f>
        <v>46062</v>
      </c>
      <c r="E4696" s="26">
        <f>IFERROR(__xludf.DUMMYFUNCTION("""COMPUTED_VALUE"""),354401.0)</f>
        <v>354401</v>
      </c>
      <c r="F4696" s="22" t="str">
        <f>IFERROR(__xludf.DUMMYFUNCTION("""COMPUTED_VALUE"""),"【フルカラー】ボロ部屋のオジさん～夢の中でめちゃくちゃに抱かれてます～")</f>
        <v>【フルカラー】ボロ部屋のオジさん～夢の中でめちゃくちゃに抱かれてます～</v>
      </c>
      <c r="G4696" s="20" t="str">
        <f>IFERROR(__xludf.DUMMYFUNCTION("""COMPUTED_VALUE"""),"1～3")</f>
        <v>1～3</v>
      </c>
      <c r="H4696" s="22" t="str">
        <f>IFERROR(__xludf.DUMMYFUNCTION("""COMPUTED_VALUE"""),"原案:Kim Sojeo / 原作:kimttatta / 作画:vivrio")</f>
        <v>原案:Kim Sojeo / 原作:kimttatta / 作画:vivrio</v>
      </c>
      <c r="I4696" s="22" t="str">
        <f>IFERROR(__xludf.DUMMYFUNCTION("""COMPUTED_VALUE"""),"TL")</f>
        <v>TL</v>
      </c>
      <c r="J4696" s="22"/>
      <c r="K4696" s="22" t="str">
        <f>IFERROR(__xludf.DUMMYFUNCTION("""COMPUTED_VALUE"""),"レジコミ Red")</f>
        <v>レジコミ Red</v>
      </c>
      <c r="L4696" s="22" t="str">
        <f>IFERROR(__xludf.DUMMYFUNCTION("""COMPUTED_VALUE"""),"レジンコミックス")</f>
        <v>レジンコミックス</v>
      </c>
      <c r="M4696" s="33">
        <f>IFERROR(__xludf.DUMMYFUNCTION("""COMPUTED_VALUE"""),46094.0)</f>
        <v>46094</v>
      </c>
      <c r="N4696" s="33">
        <f>IFERROR(__xludf.DUMMYFUNCTION("""COMPUTED_VALUE"""),46186.0)</f>
        <v>46186</v>
      </c>
      <c r="O4696" s="20"/>
      <c r="P4696" s="32" t="str">
        <f>IFERROR(__xludf.DUMMYFUNCTION("""COMPUTED_VALUE"""),"可")</f>
        <v>可</v>
      </c>
      <c r="Q4696" s="30"/>
      <c r="R4696" s="22"/>
      <c r="S4696" s="22" t="str">
        <f>IFERROR(__xludf.DUMMYFUNCTION("""COMPUTED_VALUE"""),"20260209_レジンエンターテインメント__ボロ部屋のオジさん～夢の中でめちゃくちゃに抱かれてます～【フルカラー】")</f>
        <v>20260209_レジンエンターテインメント__ボロ部屋のオジさん～夢の中でめちゃくちゃに抱かれてます～【フルカラー】</v>
      </c>
      <c r="T4696" s="22" t="str">
        <f>IFERROR(__xludf.DUMMYFUNCTION("""COMPUTED_VALUE"""),"素材確認中")</f>
        <v>素材確認中</v>
      </c>
      <c r="U4696" s="9" t="str">
        <f>IFERROR(__xludf.DUMMYFUNCTION("""COMPUTED_VALUE"""),"Ⓒ 原案:Kim Sojeo / 原作:kimttatta / 作画:vivrio / レジンコミックス")</f>
        <v>Ⓒ 原案:Kim Sojeo / 原作:kimttatta / 作画:vivrio / レジンコミックス</v>
      </c>
      <c r="V4696" s="8"/>
      <c r="W4696" s="8"/>
      <c r="X4696" s="8" t="str">
        <f>IFERROR(__xludf.DUMMYFUNCTION("""COMPUTED_VALUE"""),"有")</f>
        <v>有</v>
      </c>
      <c r="Y4696" s="8" t="str">
        <f>IFERROR(__xludf.DUMMYFUNCTION("""COMPUTED_VALUE"""),"P8まで")</f>
        <v>P8まで</v>
      </c>
      <c r="Z4696" s="7"/>
      <c r="AA4696" s="7"/>
      <c r="AB4696" s="7"/>
    </row>
    <row r="4697" ht="15.75" customHeight="1">
      <c r="A4697" s="26">
        <f>IFERROR(__xludf.DUMMYFUNCTION("""COMPUTED_VALUE"""),7422.0)</f>
        <v>7422</v>
      </c>
      <c r="B4697" s="22" t="str">
        <f>IFERROR(__xludf.DUMMYFUNCTION("""COMPUTED_VALUE"""),"確定")</f>
        <v>確定</v>
      </c>
      <c r="C4697" s="28">
        <f>IFERROR(__xludf.DUMMYFUNCTION("""COMPUTED_VALUE"""),46063.0)</f>
        <v>46063</v>
      </c>
      <c r="D4697" s="28">
        <f>IFERROR(__xludf.DUMMYFUNCTION("""COMPUTED_VALUE"""),46063.0)</f>
        <v>46063</v>
      </c>
      <c r="E4697" s="26">
        <f>IFERROR(__xludf.DUMMYFUNCTION("""COMPUTED_VALUE"""),352145.0)</f>
        <v>352145</v>
      </c>
      <c r="F4697" s="22" t="str">
        <f>IFERROR(__xludf.DUMMYFUNCTION("""COMPUTED_VALUE"""),"デイジー～公爵の婚約者になる方法～【分冊版】")</f>
        <v>デイジー～公爵の婚約者になる方法～【分冊版】</v>
      </c>
      <c r="G4697" s="20" t="str">
        <f>IFERROR(__xludf.DUMMYFUNCTION("""COMPUTED_VALUE"""),"1～8")</f>
        <v>1～8</v>
      </c>
      <c r="H4697" s="22" t="str">
        <f>IFERROR(__xludf.DUMMYFUNCTION("""COMPUTED_VALUE"""),"ALLYN,W（REDICE STUDIO）, リサベル,REDICE STUDIO")</f>
        <v>ALLYN,W（REDICE STUDIO）, リサベル,REDICE STUDIO</v>
      </c>
      <c r="I4697" s="22" t="str">
        <f>IFERROR(__xludf.DUMMYFUNCTION("""COMPUTED_VALUE"""),"女性")</f>
        <v>女性</v>
      </c>
      <c r="J4697" s="22"/>
      <c r="K4697" s="22" t="str">
        <f>IFERROR(__xludf.DUMMYFUNCTION("""COMPUTED_VALUE"""),"恋々バニラ")</f>
        <v>恋々バニラ</v>
      </c>
      <c r="L4697" s="22" t="str">
        <f>IFERROR(__xludf.DUMMYFUNCTION("""COMPUTED_VALUE"""),"RIVERSE（リバース）")</f>
        <v>RIVERSE（リバース）</v>
      </c>
      <c r="M4697" s="33">
        <f>IFERROR(__xludf.DUMMYFUNCTION("""COMPUTED_VALUE"""),46091.0)</f>
        <v>46091</v>
      </c>
      <c r="N4697" s="33">
        <f>IFERROR(__xludf.DUMMYFUNCTION("""COMPUTED_VALUE"""),46153.0)</f>
        <v>46153</v>
      </c>
      <c r="O4697" s="20"/>
      <c r="P4697" s="32" t="str">
        <f>IFERROR(__xludf.DUMMYFUNCTION("""COMPUTED_VALUE"""),"否")</f>
        <v>否</v>
      </c>
      <c r="Q4697" s="30"/>
      <c r="R4697" s="22"/>
      <c r="S4697" s="22" t="str">
        <f>IFERROR(__xludf.DUMMYFUNCTION("""COMPUTED_VALUE"""),"20260210_RIVERSE_デイジー～公爵の婚約者になる方法～【分冊版】")</f>
        <v>20260210_RIVERSE_デイジー～公爵の婚約者になる方法～【分冊版】</v>
      </c>
      <c r="T4697" s="22" t="str">
        <f>IFERROR(__xludf.DUMMYFUNCTION("""COMPUTED_VALUE"""),"格納済み")</f>
        <v>格納済み</v>
      </c>
      <c r="U4697" s="9" t="str">
        <f>IFERROR(__xludf.DUMMYFUNCTION("""COMPUTED_VALUE"""),"©ALLYN, W(REDICE STUDIO), リサベル / RIVERSE")</f>
        <v>©ALLYN, W(REDICE STUDIO), リサベル / RIVERSE</v>
      </c>
      <c r="V4697" s="8"/>
      <c r="W4697" s="8"/>
      <c r="X4697" s="8" t="str">
        <f>IFERROR(__xludf.DUMMYFUNCTION("""COMPUTED_VALUE"""),"有")</f>
        <v>有</v>
      </c>
      <c r="Y4697" s="8" t="str">
        <f>IFERROR(__xludf.DUMMYFUNCTION("""COMPUTED_VALUE"""),"1巻無料")</f>
        <v>1巻無料</v>
      </c>
      <c r="Z4697" s="7"/>
      <c r="AA4697" s="7"/>
      <c r="AB4697" s="7"/>
    </row>
    <row r="4698" ht="15.75" customHeight="1">
      <c r="A4698" s="26">
        <f>IFERROR(__xludf.DUMMYFUNCTION("""COMPUTED_VALUE"""),6761.0)</f>
        <v>6761</v>
      </c>
      <c r="B4698" s="22" t="str">
        <f>IFERROR(__xludf.DUMMYFUNCTION("""COMPUTED_VALUE"""),"確定")</f>
        <v>確定</v>
      </c>
      <c r="C4698" s="28">
        <f>IFERROR(__xludf.DUMMYFUNCTION("""COMPUTED_VALUE"""),45959.0)</f>
        <v>45959</v>
      </c>
      <c r="D4698" s="28">
        <f>IFERROR(__xludf.DUMMYFUNCTION("""COMPUTED_VALUE"""),46071.0)</f>
        <v>46071</v>
      </c>
      <c r="E4698" s="26">
        <f>IFERROR(__xludf.DUMMYFUNCTION("""COMPUTED_VALUE"""),354296.0)</f>
        <v>354296</v>
      </c>
      <c r="F4698" s="22" t="str">
        <f>IFERROR(__xludf.DUMMYFUNCTION("""COMPUTED_VALUE"""),"妹が「いらない」と捨てた伯爵様と結婚したのに、今更返せと言われても困ります（分冊版）")</f>
        <v>妹が「いらない」と捨てた伯爵様と結婚したのに、今更返せと言われても困ります（分冊版）</v>
      </c>
      <c r="G4698" s="20" t="str">
        <f>IFERROR(__xludf.DUMMYFUNCTION("""COMPUTED_VALUE"""),"1～6")</f>
        <v>1～6</v>
      </c>
      <c r="H4698" s="22" t="str">
        <f>IFERROR(__xludf.DUMMYFUNCTION("""COMPUTED_VALUE"""),"当麻リコ・雨宮エマ")</f>
        <v>当麻リコ・雨宮エマ</v>
      </c>
      <c r="I4698" s="22" t="str">
        <f>IFERROR(__xludf.DUMMYFUNCTION("""COMPUTED_VALUE"""),"女性")</f>
        <v>女性</v>
      </c>
      <c r="J4698" s="22"/>
      <c r="K4698" s="22"/>
      <c r="L4698" s="22" t="str">
        <f>IFERROR(__xludf.DUMMYFUNCTION("""COMPUTED_VALUE"""),"アルファポリス")</f>
        <v>アルファポリス</v>
      </c>
      <c r="M4698" s="33">
        <f>IFERROR(__xludf.DUMMYFUNCTION("""COMPUTED_VALUE"""),46108.0)</f>
        <v>46108</v>
      </c>
      <c r="N4698" s="33">
        <f>IFERROR(__xludf.DUMMYFUNCTION("""COMPUTED_VALUE"""),46198.0)</f>
        <v>46198</v>
      </c>
      <c r="O4698" s="20"/>
      <c r="P4698" s="32" t="str">
        <f>IFERROR(__xludf.DUMMYFUNCTION("""COMPUTED_VALUE"""),"可")</f>
        <v>可</v>
      </c>
      <c r="Q4698" s="30" t="str">
        <f>IFERROR(__xludf.DUMMYFUNCTION("""COMPUTED_VALUE"""),"【アウトバウンド提案】&lt;BR&gt;")</f>
        <v>【アウトバウンド提案】&lt;BR&gt;</v>
      </c>
      <c r="R4698" s="22"/>
      <c r="S4698" s="22" t="str">
        <f>IFERROR(__xludf.DUMMYFUNCTION("""COMPUTED_VALUE"""),"20260210_アルファポリス_妹が「いらない」と捨てた伯爵様と結婚したのに、今更返せと言われても困ります")</f>
        <v>20260210_アルファポリス_妹が「いらない」と捨てた伯爵様と結婚したのに、今更返せと言われても困ります</v>
      </c>
      <c r="T4698" s="22" t="str">
        <f>IFERROR(__xludf.DUMMYFUNCTION("""COMPUTED_VALUE"""),"格納済み")</f>
        <v>格納済み</v>
      </c>
      <c r="U4698" s="9" t="str">
        <f>IFERROR(__xludf.DUMMYFUNCTION("""COMPUTED_VALUE"""),"（C）当麻リコ・雨宮エマ／アルファポリス")</f>
        <v>（C）当麻リコ・雨宮エマ／アルファポリス</v>
      </c>
      <c r="V4698" s="8"/>
      <c r="W4698" s="8"/>
      <c r="X4698" s="8" t="str">
        <f>IFERROR(__xludf.DUMMYFUNCTION("""COMPUTED_VALUE"""),"有")</f>
        <v>有</v>
      </c>
      <c r="Y4698" s="8" t="str">
        <f>IFERROR(__xludf.DUMMYFUNCTION("""COMPUTED_VALUE"""),"1巻無料")</f>
        <v>1巻無料</v>
      </c>
      <c r="Z4698" s="7"/>
      <c r="AA4698" s="7"/>
      <c r="AB4698" s="7"/>
    </row>
    <row r="4699" ht="15.75" customHeight="1">
      <c r="A4699" s="26">
        <f>IFERROR(__xludf.DUMMYFUNCTION("""COMPUTED_VALUE"""),6879.0)</f>
        <v>6879</v>
      </c>
      <c r="B4699" s="22" t="str">
        <f>IFERROR(__xludf.DUMMYFUNCTION("""COMPUTED_VALUE"""),"確定")</f>
        <v>確定</v>
      </c>
      <c r="C4699" s="28">
        <f>IFERROR(__xludf.DUMMYFUNCTION("""COMPUTED_VALUE"""),45975.0)</f>
        <v>45975</v>
      </c>
      <c r="D4699" s="28">
        <f>IFERROR(__xludf.DUMMYFUNCTION("""COMPUTED_VALUE"""),46071.0)</f>
        <v>46071</v>
      </c>
      <c r="E4699" s="26">
        <f>IFERROR(__xludf.DUMMYFUNCTION("""COMPUTED_VALUE"""),353720.0)</f>
        <v>353720</v>
      </c>
      <c r="F4699" s="22" t="str">
        <f>IFERROR(__xludf.DUMMYFUNCTION("""COMPUTED_VALUE"""),"恋とシンクロニシティ 別マ連載版")</f>
        <v>恋とシンクロニシティ 別マ連載版</v>
      </c>
      <c r="G4699" s="20" t="str">
        <f>IFERROR(__xludf.DUMMYFUNCTION("""COMPUTED_VALUE"""),"1～4")</f>
        <v>1～4</v>
      </c>
      <c r="H4699" s="22" t="str">
        <f>IFERROR(__xludf.DUMMYFUNCTION("""COMPUTED_VALUE"""),"ことのは紬")</f>
        <v>ことのは紬</v>
      </c>
      <c r="I4699" s="22" t="str">
        <f>IFERROR(__xludf.DUMMYFUNCTION("""COMPUTED_VALUE"""),"少女")</f>
        <v>少女</v>
      </c>
      <c r="J4699" s="22"/>
      <c r="K4699" s="22"/>
      <c r="L4699" s="22" t="str">
        <f>IFERROR(__xludf.DUMMYFUNCTION("""COMPUTED_VALUE"""),"集英社")</f>
        <v>集英社</v>
      </c>
      <c r="M4699" s="33">
        <f>IFERROR(__xludf.DUMMYFUNCTION("""COMPUTED_VALUE"""),46110.0)</f>
        <v>46110</v>
      </c>
      <c r="N4699" s="33">
        <f>IFERROR(__xludf.DUMMYFUNCTION("""COMPUTED_VALUE"""),46134.0)</f>
        <v>46134</v>
      </c>
      <c r="O4699" s="20"/>
      <c r="P4699" s="32" t="str">
        <f>IFERROR(__xludf.DUMMYFUNCTION("""COMPUTED_VALUE"""),"否")</f>
        <v>否</v>
      </c>
      <c r="Q4699" s="30"/>
      <c r="R4699" s="22" t="str">
        <f>IFERROR(__xludf.DUMMYFUNCTION("""COMPUTED_VALUE"""),"コミットOK")</f>
        <v>コミットOK</v>
      </c>
      <c r="S4699" s="22" t="str">
        <f>IFERROR(__xludf.DUMMYFUNCTION("""COMPUTED_VALUE"""),"20260217_集英社_恋とシンクロニシティ")</f>
        <v>20260217_集英社_恋とシンクロニシティ</v>
      </c>
      <c r="T4699" s="22" t="str">
        <f>IFERROR(__xludf.DUMMYFUNCTION("""COMPUTED_VALUE"""),"格納済み")</f>
        <v>格納済み</v>
      </c>
      <c r="U4699" s="9" t="str">
        <f>IFERROR(__xludf.DUMMYFUNCTION("""COMPUTED_VALUE"""),"（C）ことのは紬／集英社")</f>
        <v>（C）ことのは紬／集英社</v>
      </c>
      <c r="V4699" s="8"/>
      <c r="W4699" s="8"/>
      <c r="X4699" s="8" t="str">
        <f>IFERROR(__xludf.DUMMYFUNCTION("""COMPUTED_VALUE"""),"有")</f>
        <v>有</v>
      </c>
      <c r="Y4699" s="8" t="str">
        <f>IFERROR(__xludf.DUMMYFUNCTION("""COMPUTED_VALUE"""),"2026/4/28まで1巻無料")</f>
        <v>2026/4/28まで1巻無料</v>
      </c>
      <c r="Z4699" s="7"/>
      <c r="AA4699" s="7"/>
      <c r="AB4699" s="7"/>
    </row>
    <row r="4700" ht="15.75" customHeight="1">
      <c r="A4700" s="26">
        <f>IFERROR(__xludf.DUMMYFUNCTION("""COMPUTED_VALUE"""),6906.0)</f>
        <v>6906</v>
      </c>
      <c r="B4700" s="22" t="str">
        <f>IFERROR(__xludf.DUMMYFUNCTION("""COMPUTED_VALUE"""),"確定")</f>
        <v>確定</v>
      </c>
      <c r="C4700" s="28">
        <f>IFERROR(__xludf.DUMMYFUNCTION("""COMPUTED_VALUE"""),45979.0)</f>
        <v>45979</v>
      </c>
      <c r="D4700" s="28">
        <f>IFERROR(__xludf.DUMMYFUNCTION("""COMPUTED_VALUE"""),46066.0)</f>
        <v>46066</v>
      </c>
      <c r="E4700" s="26">
        <f>IFERROR(__xludf.DUMMYFUNCTION("""COMPUTED_VALUE"""),354321.0)</f>
        <v>354321</v>
      </c>
      <c r="F4700" s="22" t="str">
        <f>IFERROR(__xludf.DUMMYFUNCTION("""COMPUTED_VALUE"""),"身代わりで嫁入りした先は冷血公爵でした")</f>
        <v>身代わりで嫁入りした先は冷血公爵でした</v>
      </c>
      <c r="G4700" s="20">
        <f>IFERROR(__xludf.DUMMYFUNCTION("""COMPUTED_VALUE"""),1.0)</f>
        <v>1</v>
      </c>
      <c r="H4700" s="22" t="str">
        <f>IFERROR(__xludf.DUMMYFUNCTION("""COMPUTED_VALUE"""),"漫画：ばち　原作：日之影ソラ")</f>
        <v>漫画：ばち　原作：日之影ソラ</v>
      </c>
      <c r="I4700" s="22" t="str">
        <f>IFERROR(__xludf.DUMMYFUNCTION("""COMPUTED_VALUE"""),"少女")</f>
        <v>少女</v>
      </c>
      <c r="J4700" s="22"/>
      <c r="K4700" s="22" t="str">
        <f>IFERROR(__xludf.DUMMYFUNCTION("""COMPUTED_VALUE"""),"ZERO-SUMコミックス")</f>
        <v>ZERO-SUMコミックス</v>
      </c>
      <c r="L4700" s="22" t="str">
        <f>IFERROR(__xludf.DUMMYFUNCTION("""COMPUTED_VALUE"""),"一迅社")</f>
        <v>一迅社</v>
      </c>
      <c r="M4700" s="33">
        <f>IFERROR(__xludf.DUMMYFUNCTION("""COMPUTED_VALUE"""),46113.0)</f>
        <v>46113</v>
      </c>
      <c r="N4700" s="33">
        <f>IFERROR(__xludf.DUMMYFUNCTION("""COMPUTED_VALUE"""),46173.0)</f>
        <v>46173</v>
      </c>
      <c r="O4700" s="20"/>
      <c r="P4700" s="32" t="str">
        <f>IFERROR(__xludf.DUMMYFUNCTION("""COMPUTED_VALUE"""),"否")</f>
        <v>否</v>
      </c>
      <c r="Q4700" s="30" t="str">
        <f>IFERROR(__xludf.DUMMYFUNCTION("""COMPUTED_VALUE"""),"「身代わり花嫁は、旦那様から溺愛されるようです アンソロジーコミック」1巻掲載")</f>
        <v>「身代わり花嫁は、旦那様から溺愛されるようです アンソロジーコミック」1巻掲載</v>
      </c>
      <c r="R4700" s="22"/>
      <c r="S4700" s="22" t="str">
        <f>IFERROR(__xludf.DUMMYFUNCTION("""COMPUTED_VALUE"""),"20260213_一迅社_身代わりで嫁入りした先は冷血公爵でした")</f>
        <v>20260213_一迅社_身代わりで嫁入りした先は冷血公爵でした</v>
      </c>
      <c r="T4700" s="22" t="str">
        <f>IFERROR(__xludf.DUMMYFUNCTION("""COMPUTED_VALUE"""),"格納済み")</f>
        <v>格納済み</v>
      </c>
      <c r="U4700" s="9" t="str">
        <f>IFERROR(__xludf.DUMMYFUNCTION("""COMPUTED_VALUE"""),"(C)ばち・日之影ソラ／一迅社")</f>
        <v>(C)ばち・日之影ソラ／一迅社</v>
      </c>
      <c r="V4700" s="8"/>
      <c r="W4700" s="8"/>
      <c r="X4700" s="8" t="str">
        <f>IFERROR(__xludf.DUMMYFUNCTION("""COMPUTED_VALUE"""),"有")</f>
        <v>有</v>
      </c>
      <c r="Y4700" s="8" t="str">
        <f>IFERROR(__xludf.DUMMYFUNCTION("""COMPUTED_VALUE"""),"P8まで")</f>
        <v>P8まで</v>
      </c>
      <c r="Z4700" s="7"/>
      <c r="AA4700" s="7"/>
      <c r="AB4700" s="7"/>
    </row>
    <row r="4701" ht="15.75" customHeight="1">
      <c r="A4701" s="26">
        <f>IFERROR(__xludf.DUMMYFUNCTION("""COMPUTED_VALUE"""),6915.0)</f>
        <v>6915</v>
      </c>
      <c r="B4701" s="22" t="str">
        <f>IFERROR(__xludf.DUMMYFUNCTION("""COMPUTED_VALUE"""),"確定")</f>
        <v>確定</v>
      </c>
      <c r="C4701" s="28">
        <f>IFERROR(__xludf.DUMMYFUNCTION("""COMPUTED_VALUE"""),45981.0)</f>
        <v>45981</v>
      </c>
      <c r="D4701" s="28">
        <f>IFERROR(__xludf.DUMMYFUNCTION("""COMPUTED_VALUE"""),46112.0)</f>
        <v>46112</v>
      </c>
      <c r="E4701" s="26">
        <f>IFERROR(__xludf.DUMMYFUNCTION("""COMPUTED_VALUE"""),354322.0)</f>
        <v>354322</v>
      </c>
      <c r="F4701" s="22" t="str">
        <f>IFERROR(__xludf.DUMMYFUNCTION("""COMPUTED_VALUE"""),"身に覚えのない理由で婚約を破棄され、第二王女の身代わりで隣国に人質に差しだされてしまいました。ですが、隣国の第三皇子はそんなわたしを溺愛してくれるようです")</f>
        <v>身に覚えのない理由で婚約を破棄され、第二王女の身代わりで隣国に人質に差しだされてしまいました。ですが、隣国の第三皇子はそんなわたしを溺愛してくれるようです</v>
      </c>
      <c r="G4701" s="20">
        <f>IFERROR(__xludf.DUMMYFUNCTION("""COMPUTED_VALUE"""),1.0)</f>
        <v>1</v>
      </c>
      <c r="H4701" s="22" t="str">
        <f>IFERROR(__xludf.DUMMYFUNCTION("""COMPUTED_VALUE"""),"漫画：春乃ミコ　原作：ぽんた")</f>
        <v>漫画：春乃ミコ　原作：ぽんた</v>
      </c>
      <c r="I4701" s="22" t="str">
        <f>IFERROR(__xludf.DUMMYFUNCTION("""COMPUTED_VALUE"""),"少女")</f>
        <v>少女</v>
      </c>
      <c r="J4701" s="22"/>
      <c r="K4701" s="22" t="str">
        <f>IFERROR(__xludf.DUMMYFUNCTION("""COMPUTED_VALUE"""),"ZERO-SUMコミックス")</f>
        <v>ZERO-SUMコミックス</v>
      </c>
      <c r="L4701" s="22" t="str">
        <f>IFERROR(__xludf.DUMMYFUNCTION("""COMPUTED_VALUE"""),"一迅社")</f>
        <v>一迅社</v>
      </c>
      <c r="M4701" s="33">
        <f>IFERROR(__xludf.DUMMYFUNCTION("""COMPUTED_VALUE"""),46113.0)</f>
        <v>46113</v>
      </c>
      <c r="N4701" s="33">
        <f>IFERROR(__xludf.DUMMYFUNCTION("""COMPUTED_VALUE"""),46173.0)</f>
        <v>46173</v>
      </c>
      <c r="O4701" s="20"/>
      <c r="P4701" s="32" t="str">
        <f>IFERROR(__xludf.DUMMYFUNCTION("""COMPUTED_VALUE"""),"否")</f>
        <v>否</v>
      </c>
      <c r="Q4701" s="30" t="str">
        <f>IFERROR(__xludf.DUMMYFUNCTION("""COMPUTED_VALUE"""),"「身代わり花嫁は、旦那様から溺愛されるようです アンソロジーコミック」1巻掲載")</f>
        <v>「身代わり花嫁は、旦那様から溺愛されるようです アンソロジーコミック」1巻掲載</v>
      </c>
      <c r="R4701" s="22"/>
      <c r="S4701" s="22" t="str">
        <f>IFERROR(__xludf.DUMMYFUNCTION("""COMPUTED_VALUE"""),"20260213_一迅社_身に覚えのない理由で婚約を破棄され、第二王女の身代わりで隣国に人質に差しだされてしまいました。ですが、隣国の第三皇子はそんなわたしを溺愛してくれるようです")</f>
        <v>20260213_一迅社_身に覚えのない理由で婚約を破棄され、第二王女の身代わりで隣国に人質に差しだされてしまいました。ですが、隣国の第三皇子はそんなわたしを溺愛してくれるようです</v>
      </c>
      <c r="T4701" s="22" t="str">
        <f>IFERROR(__xludf.DUMMYFUNCTION("""COMPUTED_VALUE"""),"格納済み")</f>
        <v>格納済み</v>
      </c>
      <c r="U4701" s="9" t="str">
        <f>IFERROR(__xludf.DUMMYFUNCTION("""COMPUTED_VALUE"""),"(C)春乃ミコ・ぽんた／一迅社")</f>
        <v>(C)春乃ミコ・ぽんた／一迅社</v>
      </c>
      <c r="V4701" s="8"/>
      <c r="W4701" s="8"/>
      <c r="X4701" s="8" t="str">
        <f>IFERROR(__xludf.DUMMYFUNCTION("""COMPUTED_VALUE"""),"有")</f>
        <v>有</v>
      </c>
      <c r="Y4701" s="8" t="str">
        <f>IFERROR(__xludf.DUMMYFUNCTION("""COMPUTED_VALUE"""),"P8まで")</f>
        <v>P8まで</v>
      </c>
      <c r="Z4701" s="7"/>
      <c r="AA4701" s="7"/>
      <c r="AB4701" s="7"/>
    </row>
    <row r="4702" ht="15.75" customHeight="1">
      <c r="A4702" s="26">
        <f>IFERROR(__xludf.DUMMYFUNCTION("""COMPUTED_VALUE"""),6961.0)</f>
        <v>6961</v>
      </c>
      <c r="B4702" s="22" t="str">
        <f>IFERROR(__xludf.DUMMYFUNCTION("""COMPUTED_VALUE"""),"確定")</f>
        <v>確定</v>
      </c>
      <c r="C4702" s="28">
        <f>IFERROR(__xludf.DUMMYFUNCTION("""COMPUTED_VALUE"""),45988.0)</f>
        <v>45988</v>
      </c>
      <c r="D4702" s="28">
        <f>IFERROR(__xludf.DUMMYFUNCTION("""COMPUTED_VALUE"""),46071.0)</f>
        <v>46071</v>
      </c>
      <c r="E4702" s="26">
        <f>IFERROR(__xludf.DUMMYFUNCTION("""COMPUTED_VALUE"""),352638.0)</f>
        <v>352638</v>
      </c>
      <c r="F4702" s="22" t="str">
        <f>IFERROR(__xludf.DUMMYFUNCTION("""COMPUTED_VALUE"""),"即クビになりたいメイドなのに、冷血皇子に執着されています")</f>
        <v>即クビになりたいメイドなのに、冷血皇子に執着されています</v>
      </c>
      <c r="G4702" s="20" t="str">
        <f>IFERROR(__xludf.DUMMYFUNCTION("""COMPUTED_VALUE"""),"1～4")</f>
        <v>1～4</v>
      </c>
      <c r="H4702" s="22" t="str">
        <f>IFERROR(__xludf.DUMMYFUNCTION("""COMPUTED_VALUE"""),"長谷川馨,peep ,北神諒,taskey STUDIO")</f>
        <v>長谷川馨,peep ,北神諒,taskey STUDIO</v>
      </c>
      <c r="I4702" s="22" t="str">
        <f>IFERROR(__xludf.DUMMYFUNCTION("""COMPUTED_VALUE"""),"少女")</f>
        <v>少女</v>
      </c>
      <c r="J4702" s="22"/>
      <c r="K4702" s="22"/>
      <c r="L4702" s="22" t="str">
        <f>IFERROR(__xludf.DUMMYFUNCTION("""COMPUTED_VALUE"""),"taskey")</f>
        <v>taskey</v>
      </c>
      <c r="M4702" s="33">
        <f>IFERROR(__xludf.DUMMYFUNCTION("""COMPUTED_VALUE"""),46091.0)</f>
        <v>46091</v>
      </c>
      <c r="N4702" s="33">
        <f>IFERROR(__xludf.DUMMYFUNCTION("""COMPUTED_VALUE"""),46151.0)</f>
        <v>46151</v>
      </c>
      <c r="O4702" s="20"/>
      <c r="P4702" s="32" t="str">
        <f>IFERROR(__xludf.DUMMYFUNCTION("""COMPUTED_VALUE"""),"可")</f>
        <v>可</v>
      </c>
      <c r="Q4702" s="30" t="str">
        <f>IFERROR(__xludf.DUMMYFUNCTION("""COMPUTED_VALUE"""),"1～3話で広告制作をお願いします。")</f>
        <v>1～3話で広告制作をお願いします。</v>
      </c>
      <c r="R4702" s="22" t="str">
        <f>IFERROR(__xludf.DUMMYFUNCTION("""COMPUTED_VALUE"""),"コミットOK")</f>
        <v>コミットOK</v>
      </c>
      <c r="S4702" s="22" t="str">
        <f>IFERROR(__xludf.DUMMYFUNCTION("""COMPUTED_VALUE"""),"20260218_taskey_即クビになりたいメイドなのに、冷血皇子に執着されています_2")</f>
        <v>20260218_taskey_即クビになりたいメイドなのに、冷血皇子に執着されています_2</v>
      </c>
      <c r="T4702" s="22" t="str">
        <f>IFERROR(__xludf.DUMMYFUNCTION("""COMPUTED_VALUE"""),"格納済み")</f>
        <v>格納済み</v>
      </c>
      <c r="U4702" s="9" t="str">
        <f>IFERROR(__xludf.DUMMYFUNCTION("""COMPUTED_VALUE"""),"Ⓒtaskey 原作∕⻑谷川 馨 漫画∕北神諒")</f>
        <v>Ⓒtaskey 原作∕⻑谷川 馨 漫画∕北神諒</v>
      </c>
      <c r="V4702" s="8"/>
      <c r="W4702" s="8"/>
      <c r="X4702" s="8" t="str">
        <f>IFERROR(__xludf.DUMMYFUNCTION("""COMPUTED_VALUE"""),"有")</f>
        <v>有</v>
      </c>
      <c r="Y4702" s="8" t="str">
        <f>IFERROR(__xludf.DUMMYFUNCTION("""COMPUTED_VALUE"""),"1巻無料")</f>
        <v>1巻無料</v>
      </c>
      <c r="Z4702" s="7"/>
      <c r="AA4702" s="7"/>
      <c r="AB4702" s="7"/>
    </row>
    <row r="4703" ht="15.75" customHeight="1">
      <c r="A4703" s="26">
        <f>IFERROR(__xludf.DUMMYFUNCTION("""COMPUTED_VALUE"""),7051.0)</f>
        <v>7051</v>
      </c>
      <c r="B4703" s="22" t="str">
        <f>IFERROR(__xludf.DUMMYFUNCTION("""COMPUTED_VALUE"""),"確定")</f>
        <v>確定</v>
      </c>
      <c r="C4703" s="28">
        <f>IFERROR(__xludf.DUMMYFUNCTION("""COMPUTED_VALUE"""),46003.0)</f>
        <v>46003</v>
      </c>
      <c r="D4703" s="28">
        <f>IFERROR(__xludf.DUMMYFUNCTION("""COMPUTED_VALUE"""),46071.0)</f>
        <v>46071</v>
      </c>
      <c r="E4703" s="26">
        <f>IFERROR(__xludf.DUMMYFUNCTION("""COMPUTED_VALUE"""),349302.0)</f>
        <v>349302</v>
      </c>
      <c r="F4703" s="22" t="str">
        <f>IFERROR(__xludf.DUMMYFUNCTION("""COMPUTED_VALUE"""),"【ラフィーヤ】甘く疼く、その声で。 憧れの先輩に密かに“欲情”しています")</f>
        <v>【ラフィーヤ】甘く疼く、その声で。 憧れの先輩に密かに“欲情”しています</v>
      </c>
      <c r="G4703" s="20" t="str">
        <f>IFERROR(__xludf.DUMMYFUNCTION("""COMPUTED_VALUE"""),"1～3")</f>
        <v>1～3</v>
      </c>
      <c r="H4703" s="22" t="str">
        <f>IFERROR(__xludf.DUMMYFUNCTION("""COMPUTED_VALUE"""),"古賀なな")</f>
        <v>古賀なな</v>
      </c>
      <c r="I4703" s="22" t="str">
        <f>IFERROR(__xludf.DUMMYFUNCTION("""COMPUTED_VALUE"""),"TL")</f>
        <v>TL</v>
      </c>
      <c r="J4703" s="22"/>
      <c r="K4703" s="22" t="str">
        <f>IFERROR(__xludf.DUMMYFUNCTION("""COMPUTED_VALUE"""),"ラフィーヤ")</f>
        <v>ラフィーヤ</v>
      </c>
      <c r="L4703" s="22" t="str">
        <f>IFERROR(__xludf.DUMMYFUNCTION("""COMPUTED_VALUE"""),"アーク・プレス")</f>
        <v>アーク・プレス</v>
      </c>
      <c r="M4703" s="33">
        <f>IFERROR(__xludf.DUMMYFUNCTION("""COMPUTED_VALUE"""),46100.0)</f>
        <v>46100</v>
      </c>
      <c r="N4703" s="33">
        <f>IFERROR(__xludf.DUMMYFUNCTION("""COMPUTED_VALUE"""),46190.0)</f>
        <v>46190</v>
      </c>
      <c r="O4703" s="20"/>
      <c r="P4703" s="32" t="str">
        <f>IFERROR(__xludf.DUMMYFUNCTION("""COMPUTED_VALUE"""),"可")</f>
        <v>可</v>
      </c>
      <c r="Q4703" s="30"/>
      <c r="R4703" s="22" t="str">
        <f>IFERROR(__xludf.DUMMYFUNCTION("""COMPUTED_VALUE"""),"コミットOK")</f>
        <v>コミットOK</v>
      </c>
      <c r="S4703" s="22" t="str">
        <f>IFERROR(__xludf.DUMMYFUNCTION("""COMPUTED_VALUE"""),"20260213_アーク・プレス_【ラフィーヤ】甘く疼く、その声で。 憧れの先輩に密かに欲情しています")</f>
        <v>20260213_アーク・プレス_【ラフィーヤ】甘く疼く、その声で。 憧れの先輩に密かに欲情しています</v>
      </c>
      <c r="T4703" s="22" t="str">
        <f>IFERROR(__xludf.DUMMYFUNCTION("""COMPUTED_VALUE"""),"格納済み")</f>
        <v>格納済み</v>
      </c>
      <c r="U4703" s="9" t="str">
        <f>IFERROR(__xludf.DUMMYFUNCTION("""COMPUTED_VALUE"""),"(C)古賀なな／アーク・プレス")</f>
        <v>(C)古賀なな／アーク・プレス</v>
      </c>
      <c r="V4703" s="8"/>
      <c r="W4703" s="8"/>
      <c r="X4703" s="8" t="str">
        <f>IFERROR(__xludf.DUMMYFUNCTION("""COMPUTED_VALUE"""),"有")</f>
        <v>有</v>
      </c>
      <c r="Y4703" s="8" t="str">
        <f>IFERROR(__xludf.DUMMYFUNCTION("""COMPUTED_VALUE"""),"2026/6/17まで1巻無料")</f>
        <v>2026/6/17まで1巻無料</v>
      </c>
      <c r="Z4703" s="7"/>
      <c r="AA4703" s="7"/>
      <c r="AB4703" s="7"/>
    </row>
    <row r="4704" ht="15.75" customHeight="1">
      <c r="A4704" s="26">
        <f>IFERROR(__xludf.DUMMYFUNCTION("""COMPUTED_VALUE"""),7069.0)</f>
        <v>7069</v>
      </c>
      <c r="B4704" s="22" t="str">
        <f>IFERROR(__xludf.DUMMYFUNCTION("""COMPUTED_VALUE"""),"確定")</f>
        <v>確定</v>
      </c>
      <c r="C4704" s="28">
        <f>IFERROR(__xludf.DUMMYFUNCTION("""COMPUTED_VALUE"""),46007.0)</f>
        <v>46007</v>
      </c>
      <c r="D4704" s="28">
        <f>IFERROR(__xludf.DUMMYFUNCTION("""COMPUTED_VALUE"""),46065.0)</f>
        <v>46065</v>
      </c>
      <c r="E4704" s="26">
        <f>IFERROR(__xludf.DUMMYFUNCTION("""COMPUTED_VALUE"""),349136.0)</f>
        <v>349136</v>
      </c>
      <c r="F4704" s="22" t="str">
        <f>IFERROR(__xludf.DUMMYFUNCTION("""COMPUTED_VALUE"""),"お嬢様は私がお守りいたします【タテヨミ】")</f>
        <v>お嬢様は私がお守りいたします【タテヨミ】</v>
      </c>
      <c r="G4704" s="20" t="str">
        <f>IFERROR(__xludf.DUMMYFUNCTION("""COMPUTED_VALUE"""),"1～15")</f>
        <v>1～15</v>
      </c>
      <c r="H4704" s="22" t="str">
        <f>IFERROR(__xludf.DUMMYFUNCTION("""COMPUTED_VALUE"""),"UREC, 頑固者")</f>
        <v>UREC, 頑固者</v>
      </c>
      <c r="I4704" s="22" t="str">
        <f>IFERROR(__xludf.DUMMYFUNCTION("""COMPUTED_VALUE"""),"青年")</f>
        <v>青年</v>
      </c>
      <c r="J4704" s="22"/>
      <c r="K4704" s="22" t="str">
        <f>IFERROR(__xludf.DUMMYFUNCTION("""COMPUTED_VALUE"""),"DOOON！")</f>
        <v>DOOON！</v>
      </c>
      <c r="L4704" s="22" t="str">
        <f>IFERROR(__xludf.DUMMYFUNCTION("""COMPUTED_VALUE"""),"RIVERSE（リバース）")</f>
        <v>RIVERSE（リバース）</v>
      </c>
      <c r="M4704" s="33">
        <f>IFERROR(__xludf.DUMMYFUNCTION("""COMPUTED_VALUE"""),46068.0)</f>
        <v>46068</v>
      </c>
      <c r="N4704" s="33">
        <f>IFERROR(__xludf.DUMMYFUNCTION("""COMPUTED_VALUE"""),46130.0)</f>
        <v>46130</v>
      </c>
      <c r="O4704" s="20"/>
      <c r="P4704" s="32" t="str">
        <f>IFERROR(__xludf.DUMMYFUNCTION("""COMPUTED_VALUE"""),"可")</f>
        <v>可</v>
      </c>
      <c r="Q4704" s="30" t="str">
        <f>IFERROR(__xludf.DUMMYFUNCTION("""COMPUTED_VALUE"""),"【アダルト作品扱い】&lt;BR&gt;")</f>
        <v>【アダルト作品扱い】&lt;BR&gt;</v>
      </c>
      <c r="R4704" s="22" t="str">
        <f>IFERROR(__xludf.DUMMYFUNCTION("""COMPUTED_VALUE"""),"コミットOK")</f>
        <v>コミットOK</v>
      </c>
      <c r="S4704" s="22" t="str">
        <f>IFERROR(__xludf.DUMMYFUNCTION("""COMPUTED_VALUE"""),"2020212_RIVERSE_お嬢様は私がお守りいたします【タテヨミ】_2")</f>
        <v>2020212_RIVERSE_お嬢様は私がお守りいたします【タテヨミ】_2</v>
      </c>
      <c r="T4704" s="22" t="str">
        <f>IFERROR(__xludf.DUMMYFUNCTION("""COMPUTED_VALUE"""),"格納済み")</f>
        <v>格納済み</v>
      </c>
      <c r="U4704" s="9" t="str">
        <f>IFERROR(__xludf.DUMMYFUNCTION("""COMPUTED_VALUE"""),"ⒸUREC, 頑固者, Toomics")</f>
        <v>ⒸUREC, 頑固者, Toomics</v>
      </c>
      <c r="V4704" s="8"/>
      <c r="W4704" s="8"/>
      <c r="X4704" s="8" t="str">
        <f>IFERROR(__xludf.DUMMYFUNCTION("""COMPUTED_VALUE"""),"有")</f>
        <v>有</v>
      </c>
      <c r="Y4704" s="8" t="str">
        <f>IFERROR(__xludf.DUMMYFUNCTION("""COMPUTED_VALUE"""),"1~3巻無料
2026/2/28まで4~5巻目無料")</f>
        <v>1~3巻無料
2026/2/28まで4~5巻目無料</v>
      </c>
      <c r="Z4704" s="7"/>
      <c r="AA4704" s="7"/>
      <c r="AB4704" s="7"/>
    </row>
    <row r="4705" ht="15.75" customHeight="1">
      <c r="A4705" s="26">
        <f>IFERROR(__xludf.DUMMYFUNCTION("""COMPUTED_VALUE"""),7084.0)</f>
        <v>7084</v>
      </c>
      <c r="B4705" s="22" t="str">
        <f>IFERROR(__xludf.DUMMYFUNCTION("""COMPUTED_VALUE"""),"確定")</f>
        <v>確定</v>
      </c>
      <c r="C4705" s="28">
        <f>IFERROR(__xludf.DUMMYFUNCTION("""COMPUTED_VALUE"""),46009.0)</f>
        <v>46009</v>
      </c>
      <c r="D4705" s="28">
        <f>IFERROR(__xludf.DUMMYFUNCTION("""COMPUTED_VALUE"""),46063.0)</f>
        <v>46063</v>
      </c>
      <c r="E4705" s="26">
        <f>IFERROR(__xludf.DUMMYFUNCTION("""COMPUTED_VALUE"""),351337.0)</f>
        <v>351337</v>
      </c>
      <c r="F4705" s="22" t="str">
        <f>IFERROR(__xludf.DUMMYFUNCTION("""COMPUTED_VALUE"""),"【単話売】妻が認知症になりました")</f>
        <v>【単話売】妻が認知症になりました</v>
      </c>
      <c r="G4705" s="20" t="str">
        <f>IFERROR(__xludf.DUMMYFUNCTION("""COMPUTED_VALUE"""),"1～3")</f>
        <v>1～3</v>
      </c>
      <c r="H4705" s="22" t="str">
        <f>IFERROR(__xludf.DUMMYFUNCTION("""COMPUTED_VALUE"""),"人間まお")</f>
        <v>人間まお</v>
      </c>
      <c r="I4705" s="22" t="str">
        <f>IFERROR(__xludf.DUMMYFUNCTION("""COMPUTED_VALUE"""),"女性")</f>
        <v>女性</v>
      </c>
      <c r="J4705" s="22"/>
      <c r="K4705" s="22"/>
      <c r="L4705" s="22" t="str">
        <f>IFERROR(__xludf.DUMMYFUNCTION("""COMPUTED_VALUE"""),"集英社")</f>
        <v>集英社</v>
      </c>
      <c r="M4705" s="33">
        <f>IFERROR(__xludf.DUMMYFUNCTION("""COMPUTED_VALUE"""),46081.0)</f>
        <v>46081</v>
      </c>
      <c r="N4705" s="33">
        <f>IFERROR(__xludf.DUMMYFUNCTION("""COMPUTED_VALUE"""),46104.0)</f>
        <v>46104</v>
      </c>
      <c r="O4705" s="20"/>
      <c r="P4705" s="32" t="str">
        <f>IFERROR(__xludf.DUMMYFUNCTION("""COMPUTED_VALUE"""),"否")</f>
        <v>否</v>
      </c>
      <c r="Q4705" s="30"/>
      <c r="R4705" s="22" t="str">
        <f>IFERROR(__xludf.DUMMYFUNCTION("""COMPUTED_VALUE"""),"コミットNG")</f>
        <v>コミットNG</v>
      </c>
      <c r="S4705" s="22" t="str">
        <f>IFERROR(__xludf.DUMMYFUNCTION("""COMPUTED_VALUE"""),"20260210_集英社_妻が認知症になりました")</f>
        <v>20260210_集英社_妻が認知症になりました</v>
      </c>
      <c r="T4705" s="22" t="str">
        <f>IFERROR(__xludf.DUMMYFUNCTION("""COMPUTED_VALUE"""),"格納済み")</f>
        <v>格納済み</v>
      </c>
      <c r="U4705" s="9" t="str">
        <f>IFERROR(__xludf.DUMMYFUNCTION("""COMPUTED_VALUE"""),"(c)人間まお／集英社クリエイティブ")</f>
        <v>(c)人間まお／集英社クリエイティブ</v>
      </c>
      <c r="V4705" s="8"/>
      <c r="W4705" s="8"/>
      <c r="X4705" s="8" t="str">
        <f>IFERROR(__xludf.DUMMYFUNCTION("""COMPUTED_VALUE"""),"有")</f>
        <v>有</v>
      </c>
      <c r="Y4705" s="8" t="str">
        <f>IFERROR(__xludf.DUMMYFUNCTION("""COMPUTED_VALUE"""),"P6まで")</f>
        <v>P6まで</v>
      </c>
      <c r="Z4705" s="7"/>
      <c r="AA4705" s="7"/>
      <c r="AB4705" s="7"/>
    </row>
    <row r="4706" ht="15.75" customHeight="1">
      <c r="A4706" s="26">
        <f>IFERROR(__xludf.DUMMYFUNCTION("""COMPUTED_VALUE"""),7090.0)</f>
        <v>7090</v>
      </c>
      <c r="B4706" s="22" t="str">
        <f>IFERROR(__xludf.DUMMYFUNCTION("""COMPUTED_VALUE"""),"確定")</f>
        <v>確定</v>
      </c>
      <c r="C4706" s="28">
        <f>IFERROR(__xludf.DUMMYFUNCTION("""COMPUTED_VALUE"""),46010.0)</f>
        <v>46010</v>
      </c>
      <c r="D4706" s="28">
        <f>IFERROR(__xludf.DUMMYFUNCTION("""COMPUTED_VALUE"""),46066.0)</f>
        <v>46066</v>
      </c>
      <c r="E4706" s="26">
        <f>IFERROR(__xludf.DUMMYFUNCTION("""COMPUTED_VALUE"""),353393.0)</f>
        <v>353393</v>
      </c>
      <c r="F4706" s="22" t="str">
        <f>IFERROR(__xludf.DUMMYFUNCTION("""COMPUTED_VALUE"""),"冷遇放置されて30年、もう限界なので離縁いたします！")</f>
        <v>冷遇放置されて30年、もう限界なので離縁いたします！</v>
      </c>
      <c r="G4706" s="20" t="str">
        <f>IFERROR(__xludf.DUMMYFUNCTION("""COMPUTED_VALUE"""),"1～5")</f>
        <v>1～5</v>
      </c>
      <c r="H4706" s="22" t="str">
        <f>IFERROR(__xludf.DUMMYFUNCTION("""COMPUTED_VALUE"""),"長谷川馨,peep,1O,デジタル職人,taskey STUDIO")</f>
        <v>長谷川馨,peep,1O,デジタル職人,taskey STUDIO</v>
      </c>
      <c r="I4706" s="22" t="str">
        <f>IFERROR(__xludf.DUMMYFUNCTION("""COMPUTED_VALUE"""),"少女")</f>
        <v>少女</v>
      </c>
      <c r="J4706" s="22"/>
      <c r="K4706" s="22"/>
      <c r="L4706" s="22" t="str">
        <f>IFERROR(__xludf.DUMMYFUNCTION("""COMPUTED_VALUE"""),"taskey")</f>
        <v>taskey</v>
      </c>
      <c r="M4706" s="33">
        <f>IFERROR(__xludf.DUMMYFUNCTION("""COMPUTED_VALUE"""),46093.0)</f>
        <v>46093</v>
      </c>
      <c r="N4706" s="33">
        <f>IFERROR(__xludf.DUMMYFUNCTION("""COMPUTED_VALUE"""),46245.66666666667)</f>
        <v>46245.66667</v>
      </c>
      <c r="O4706" s="20"/>
      <c r="P4706" s="32" t="str">
        <f>IFERROR(__xludf.DUMMYFUNCTION("""COMPUTED_VALUE"""),"可")</f>
        <v>可</v>
      </c>
      <c r="Q4706" s="30"/>
      <c r="R4706" s="22" t="str">
        <f>IFERROR(__xludf.DUMMYFUNCTION("""COMPUTED_VALUE"""),"コミットOK")</f>
        <v>コミットOK</v>
      </c>
      <c r="S4706" s="22" t="str">
        <f>IFERROR(__xludf.DUMMYFUNCTION("""COMPUTED_VALUE"""),"20260213_taskey_冷遇放置されて30年、もう限界なので離縁いたします！_2")</f>
        <v>20260213_taskey_冷遇放置されて30年、もう限界なので離縁いたします！_2</v>
      </c>
      <c r="T4706" s="22" t="str">
        <f>IFERROR(__xludf.DUMMYFUNCTION("""COMPUTED_VALUE"""),"格納済み")</f>
        <v>格納済み</v>
      </c>
      <c r="U4706" s="9" t="str">
        <f>IFERROR(__xludf.DUMMYFUNCTION("""COMPUTED_VALUE"""),"Ⓒ︎taskey　原作／長谷川 馨　漫画／1O　編集協力／デジタル職人")</f>
        <v>Ⓒ︎taskey　原作／長谷川 馨　漫画／1O　編集協力／デジタル職人</v>
      </c>
      <c r="V4706" s="8"/>
      <c r="W4706" s="8"/>
      <c r="X4706" s="8" t="str">
        <f>IFERROR(__xludf.DUMMYFUNCTION("""COMPUTED_VALUE"""),"有")</f>
        <v>有</v>
      </c>
      <c r="Y4706" s="8" t="str">
        <f>IFERROR(__xludf.DUMMYFUNCTION("""COMPUTED_VALUE"""),"1巻無料")</f>
        <v>1巻無料</v>
      </c>
      <c r="Z4706" s="7"/>
      <c r="AA4706" s="7"/>
      <c r="AB4706" s="7"/>
    </row>
    <row r="4707" ht="15.75" customHeight="1">
      <c r="A4707" s="26">
        <f>IFERROR(__xludf.DUMMYFUNCTION("""COMPUTED_VALUE"""),7099.0)</f>
        <v>7099</v>
      </c>
      <c r="B4707" s="22" t="str">
        <f>IFERROR(__xludf.DUMMYFUNCTION("""COMPUTED_VALUE"""),"確定")</f>
        <v>確定</v>
      </c>
      <c r="C4707" s="28">
        <f>IFERROR(__xludf.DUMMYFUNCTION("""COMPUTED_VALUE"""),46014.0)</f>
        <v>46014</v>
      </c>
      <c r="D4707" s="28">
        <f>IFERROR(__xludf.DUMMYFUNCTION("""COMPUTED_VALUE"""),46070.0)</f>
        <v>46070</v>
      </c>
      <c r="E4707" s="26">
        <f>IFERROR(__xludf.DUMMYFUNCTION("""COMPUTED_VALUE"""),351607.0)</f>
        <v>351607</v>
      </c>
      <c r="F4707" s="22" t="str">
        <f>IFERROR(__xludf.DUMMYFUNCTION("""COMPUTED_VALUE"""),"御曹司の極蜜危険な執着に捕まったら、迸る愛のかぎりを注がれています【分冊版】")</f>
        <v>御曹司の極蜜危険な執着に捕まったら、迸る愛のかぎりを注がれています【分冊版】</v>
      </c>
      <c r="G4707" s="20" t="str">
        <f>IFERROR(__xludf.DUMMYFUNCTION("""COMPUTED_VALUE"""),"1～3")</f>
        <v>1～3</v>
      </c>
      <c r="H4707" s="22" t="str">
        <f>IFERROR(__xludf.DUMMYFUNCTION("""COMPUTED_VALUE"""),"奥道庵,水十草")</f>
        <v>奥道庵,水十草</v>
      </c>
      <c r="I4707" s="22" t="str">
        <f>IFERROR(__xludf.DUMMYFUNCTION("""COMPUTED_VALUE"""),"女性マンガ")</f>
        <v>女性マンガ</v>
      </c>
      <c r="J4707" s="22"/>
      <c r="K4707" s="22"/>
      <c r="L4707" s="22" t="str">
        <f>IFERROR(__xludf.DUMMYFUNCTION("""COMPUTED_VALUE"""),"ハーパーコリンズ・ジャパン")</f>
        <v>ハーパーコリンズ・ジャパン</v>
      </c>
      <c r="M4707" s="33">
        <f>IFERROR(__xludf.DUMMYFUNCTION("""COMPUTED_VALUE"""),46100.0)</f>
        <v>46100</v>
      </c>
      <c r="N4707" s="33">
        <f>IFERROR(__xludf.DUMMYFUNCTION("""COMPUTED_VALUE"""),46191.0)</f>
        <v>46191</v>
      </c>
      <c r="O4707" s="20"/>
      <c r="P4707" s="32" t="str">
        <f>IFERROR(__xludf.DUMMYFUNCTION("""COMPUTED_VALUE"""),"可")</f>
        <v>可</v>
      </c>
      <c r="Q4707" s="30"/>
      <c r="R4707" s="22" t="str">
        <f>IFERROR(__xludf.DUMMYFUNCTION("""COMPUTED_VALUE"""),"コミットNG")</f>
        <v>コミットNG</v>
      </c>
      <c r="S4707" s="22" t="str">
        <f>IFERROR(__xludf.DUMMYFUNCTION("""COMPUTED_VALUE"""),"20260217_ハーパーコリンズ_御曹司の極蜜危険な執着に捕まったら、迸る愛のかぎりを注がれています【分冊版】")</f>
        <v>20260217_ハーパーコリンズ_御曹司の極蜜危険な執着に捕まったら、迸る愛のかぎりを注がれています【分冊版】</v>
      </c>
      <c r="T4707" s="22" t="str">
        <f>IFERROR(__xludf.DUMMYFUNCTION("""COMPUTED_VALUE"""),"格納済み")</f>
        <v>格納済み</v>
      </c>
      <c r="U4707" s="9" t="str">
        <f>IFERROR(__xludf.DUMMYFUNCTION("""COMPUTED_VALUE"""),"Ⓒ奥道 庵・水十 草／ハーパーコリンズ・ジャパン")</f>
        <v>Ⓒ奥道 庵・水十 草／ハーパーコリンズ・ジャパン</v>
      </c>
      <c r="V4707" s="8"/>
      <c r="W4707" s="8"/>
      <c r="X4707" s="8" t="str">
        <f>IFERROR(__xludf.DUMMYFUNCTION("""COMPUTED_VALUE"""),"有")</f>
        <v>有</v>
      </c>
      <c r="Y4707" s="8" t="str">
        <f>IFERROR(__xludf.DUMMYFUNCTION("""COMPUTED_VALUE"""),"P11まで")</f>
        <v>P11まで</v>
      </c>
      <c r="Z4707" s="7"/>
      <c r="AA4707" s="7"/>
      <c r="AB4707" s="7"/>
    </row>
    <row r="4708" ht="15.75" customHeight="1">
      <c r="A4708" s="26">
        <f>IFERROR(__xludf.DUMMYFUNCTION("""COMPUTED_VALUE"""),7135.0)</f>
        <v>7135</v>
      </c>
      <c r="B4708" s="22" t="str">
        <f>IFERROR(__xludf.DUMMYFUNCTION("""COMPUTED_VALUE"""),"確定")</f>
        <v>確定</v>
      </c>
      <c r="C4708" s="28">
        <f>IFERROR(__xludf.DUMMYFUNCTION("""COMPUTED_VALUE"""),46016.0)</f>
        <v>46016</v>
      </c>
      <c r="D4708" s="28">
        <f>IFERROR(__xludf.DUMMYFUNCTION("""COMPUTED_VALUE"""),46066.0)</f>
        <v>46066</v>
      </c>
      <c r="E4708" s="26">
        <f>IFERROR(__xludf.DUMMYFUNCTION("""COMPUTED_VALUE"""),352386.0)</f>
        <v>352386</v>
      </c>
      <c r="F4708" s="22" t="str">
        <f>IFERROR(__xludf.DUMMYFUNCTION("""COMPUTED_VALUE"""),"超学園血風録～逆上地獄変～")</f>
        <v>超学園血風録～逆上地獄変～</v>
      </c>
      <c r="G4708" s="20" t="str">
        <f>IFERROR(__xludf.DUMMYFUNCTION("""COMPUTED_VALUE"""),"1～5")</f>
        <v>1～5</v>
      </c>
      <c r="H4708" s="22" t="str">
        <f>IFERROR(__xludf.DUMMYFUNCTION("""COMPUTED_VALUE"""),"ビュー")</f>
        <v>ビュー</v>
      </c>
      <c r="I4708" s="22" t="str">
        <f>IFERROR(__xludf.DUMMYFUNCTION("""COMPUTED_VALUE"""),"青年マンガ")</f>
        <v>青年マンガ</v>
      </c>
      <c r="J4708" s="22"/>
      <c r="K4708" s="22" t="str">
        <f>IFERROR(__xludf.DUMMYFUNCTION("""COMPUTED_VALUE"""),"アイプロセレクション")</f>
        <v>アイプロセレクション</v>
      </c>
      <c r="L4708" s="22" t="str">
        <f>IFERROR(__xludf.DUMMYFUNCTION("""COMPUTED_VALUE"""),"アイプロダクション")</f>
        <v>アイプロダクション</v>
      </c>
      <c r="M4708" s="33">
        <f>IFERROR(__xludf.DUMMYFUNCTION("""COMPUTED_VALUE"""),46101.0)</f>
        <v>46101</v>
      </c>
      <c r="N4708" s="33">
        <f>IFERROR(__xludf.DUMMYFUNCTION("""COMPUTED_VALUE"""),46192.0)</f>
        <v>46192</v>
      </c>
      <c r="O4708" s="20"/>
      <c r="P4708" s="32" t="str">
        <f>IFERROR(__xludf.DUMMYFUNCTION("""COMPUTED_VALUE"""),"可")</f>
        <v>可</v>
      </c>
      <c r="Q4708" s="30"/>
      <c r="R4708" s="22"/>
      <c r="S4708" s="22" t="str">
        <f>IFERROR(__xludf.DUMMYFUNCTION("""COMPUTED_VALUE"""),"20260212_アイプロダクション_超学園血風録～逆上地獄変～")</f>
        <v>20260212_アイプロダクション_超学園血風録～逆上地獄変～</v>
      </c>
      <c r="T4708" s="22" t="str">
        <f>IFERROR(__xludf.DUMMYFUNCTION("""COMPUTED_VALUE"""),"格納済み")</f>
        <v>格納済み</v>
      </c>
      <c r="U4708" s="9" t="str">
        <f>IFERROR(__xludf.DUMMYFUNCTION("""COMPUTED_VALUE"""),"ビュー/アイプロダクション")</f>
        <v>ビュー/アイプロダクション</v>
      </c>
      <c r="V4708" s="8"/>
      <c r="W4708" s="8"/>
      <c r="X4708" s="8" t="str">
        <f>IFERROR(__xludf.DUMMYFUNCTION("""COMPUTED_VALUE"""),"有")</f>
        <v>有</v>
      </c>
      <c r="Y4708" s="8" t="str">
        <f>IFERROR(__xludf.DUMMYFUNCTION("""COMPUTED_VALUE"""),"2026/6/19まで1巻目無料
2026/4/2まで2巻目立ち読み増量（P16）")</f>
        <v>2026/6/19まで1巻目無料
2026/4/2まで2巻目立ち読み増量（P16）</v>
      </c>
      <c r="Z4708" s="7"/>
      <c r="AA4708" s="7"/>
      <c r="AB4708" s="7"/>
    </row>
    <row r="4709" ht="15.75" customHeight="1">
      <c r="A4709" s="26">
        <f>IFERROR(__xludf.DUMMYFUNCTION("""COMPUTED_VALUE"""),7136.0)</f>
        <v>7136</v>
      </c>
      <c r="B4709" s="22" t="str">
        <f>IFERROR(__xludf.DUMMYFUNCTION("""COMPUTED_VALUE"""),"確定")</f>
        <v>確定</v>
      </c>
      <c r="C4709" s="28">
        <f>IFERROR(__xludf.DUMMYFUNCTION("""COMPUTED_VALUE"""),46016.0)</f>
        <v>46016</v>
      </c>
      <c r="D4709" s="28">
        <f>IFERROR(__xludf.DUMMYFUNCTION("""COMPUTED_VALUE"""),46066.0)</f>
        <v>46066</v>
      </c>
      <c r="E4709" s="26">
        <f>IFERROR(__xludf.DUMMYFUNCTION("""COMPUTED_VALUE"""),352390.0)</f>
        <v>352390</v>
      </c>
      <c r="F4709" s="22" t="str">
        <f>IFERROR(__xludf.DUMMYFUNCTION("""COMPUTED_VALUE"""),"超学園血風録～風紀地獄変～")</f>
        <v>超学園血風録～風紀地獄変～</v>
      </c>
      <c r="G4709" s="20" t="str">
        <f>IFERROR(__xludf.DUMMYFUNCTION("""COMPUTED_VALUE"""),"1～9")</f>
        <v>1～9</v>
      </c>
      <c r="H4709" s="22" t="str">
        <f>IFERROR(__xludf.DUMMYFUNCTION("""COMPUTED_VALUE"""),"ビュー")</f>
        <v>ビュー</v>
      </c>
      <c r="I4709" s="22" t="str">
        <f>IFERROR(__xludf.DUMMYFUNCTION("""COMPUTED_VALUE"""),"青年マンガ")</f>
        <v>青年マンガ</v>
      </c>
      <c r="J4709" s="22"/>
      <c r="K4709" s="22"/>
      <c r="L4709" s="22" t="str">
        <f>IFERROR(__xludf.DUMMYFUNCTION("""COMPUTED_VALUE"""),"アイプロダクション")</f>
        <v>アイプロダクション</v>
      </c>
      <c r="M4709" s="33">
        <f>IFERROR(__xludf.DUMMYFUNCTION("""COMPUTED_VALUE"""),46101.0)</f>
        <v>46101</v>
      </c>
      <c r="N4709" s="33">
        <f>IFERROR(__xludf.DUMMYFUNCTION("""COMPUTED_VALUE"""),46192.0)</f>
        <v>46192</v>
      </c>
      <c r="O4709" s="20"/>
      <c r="P4709" s="32" t="str">
        <f>IFERROR(__xludf.DUMMYFUNCTION("""COMPUTED_VALUE"""),"可")</f>
        <v>可</v>
      </c>
      <c r="Q4709" s="30"/>
      <c r="R4709" s="22"/>
      <c r="S4709" s="22" t="str">
        <f>IFERROR(__xludf.DUMMYFUNCTION("""COMPUTED_VALUE"""),"20260212_アイプロダクション_超学園血風録～風紀地獄変～")</f>
        <v>20260212_アイプロダクション_超学園血風録～風紀地獄変～</v>
      </c>
      <c r="T4709" s="22" t="str">
        <f>IFERROR(__xludf.DUMMYFUNCTION("""COMPUTED_VALUE"""),"格納済み")</f>
        <v>格納済み</v>
      </c>
      <c r="U4709" s="9" t="str">
        <f>IFERROR(__xludf.DUMMYFUNCTION("""COMPUTED_VALUE"""),"ビュー/アイプロダクション")</f>
        <v>ビュー/アイプロダクション</v>
      </c>
      <c r="V4709" s="8"/>
      <c r="W4709" s="8"/>
      <c r="X4709" s="8" t="str">
        <f>IFERROR(__xludf.DUMMYFUNCTION("""COMPUTED_VALUE"""),"有")</f>
        <v>有</v>
      </c>
      <c r="Y4709" s="8" t="str">
        <f>IFERROR(__xludf.DUMMYFUNCTION("""COMPUTED_VALUE"""),"2026/6/19まで1巻目無料
2026/4/2まで2巻目無料
2026/4/2まで3巻目立ち読み増量（P19）")</f>
        <v>2026/6/19まで1巻目無料
2026/4/2まで2巻目無料
2026/4/2まで3巻目立ち読み増量（P19）</v>
      </c>
      <c r="Z4709" s="7"/>
      <c r="AA4709" s="7"/>
      <c r="AB4709" s="7"/>
    </row>
    <row r="4710" ht="15.75" customHeight="1">
      <c r="A4710" s="26">
        <f>IFERROR(__xludf.DUMMYFUNCTION("""COMPUTED_VALUE"""),7137.0)</f>
        <v>7137</v>
      </c>
      <c r="B4710" s="22" t="str">
        <f>IFERROR(__xludf.DUMMYFUNCTION("""COMPUTED_VALUE"""),"確定")</f>
        <v>確定</v>
      </c>
      <c r="C4710" s="28">
        <f>IFERROR(__xludf.DUMMYFUNCTION("""COMPUTED_VALUE"""),46016.0)</f>
        <v>46016</v>
      </c>
      <c r="D4710" s="28">
        <f>IFERROR(__xludf.DUMMYFUNCTION("""COMPUTED_VALUE"""),46066.0)</f>
        <v>46066</v>
      </c>
      <c r="E4710" s="26">
        <f>IFERROR(__xludf.DUMMYFUNCTION("""COMPUTED_VALUE"""),352385.0)</f>
        <v>352385</v>
      </c>
      <c r="F4710" s="22" t="str">
        <f>IFERROR(__xludf.DUMMYFUNCTION("""COMPUTED_VALUE"""),"超学園血風録～乱痴気地獄変～")</f>
        <v>超学園血風録～乱痴気地獄変～</v>
      </c>
      <c r="G4710" s="20" t="str">
        <f>IFERROR(__xludf.DUMMYFUNCTION("""COMPUTED_VALUE"""),"1～5")</f>
        <v>1～5</v>
      </c>
      <c r="H4710" s="22" t="str">
        <f>IFERROR(__xludf.DUMMYFUNCTION("""COMPUTED_VALUE"""),"ビュー")</f>
        <v>ビュー</v>
      </c>
      <c r="I4710" s="22" t="str">
        <f>IFERROR(__xludf.DUMMYFUNCTION("""COMPUTED_VALUE"""),"青年マンガ")</f>
        <v>青年マンガ</v>
      </c>
      <c r="J4710" s="22"/>
      <c r="K4710" s="22" t="str">
        <f>IFERROR(__xludf.DUMMYFUNCTION("""COMPUTED_VALUE"""),"アイプロセレクション")</f>
        <v>アイプロセレクション</v>
      </c>
      <c r="L4710" s="22" t="str">
        <f>IFERROR(__xludf.DUMMYFUNCTION("""COMPUTED_VALUE"""),"アイプロダクション")</f>
        <v>アイプロダクション</v>
      </c>
      <c r="M4710" s="33">
        <f>IFERROR(__xludf.DUMMYFUNCTION("""COMPUTED_VALUE"""),46101.0)</f>
        <v>46101</v>
      </c>
      <c r="N4710" s="33">
        <f>IFERROR(__xludf.DUMMYFUNCTION("""COMPUTED_VALUE"""),46192.0)</f>
        <v>46192</v>
      </c>
      <c r="O4710" s="20"/>
      <c r="P4710" s="32" t="str">
        <f>IFERROR(__xludf.DUMMYFUNCTION("""COMPUTED_VALUE"""),"可")</f>
        <v>可</v>
      </c>
      <c r="Q4710" s="30"/>
      <c r="R4710" s="22"/>
      <c r="S4710" s="22" t="str">
        <f>IFERROR(__xludf.DUMMYFUNCTION("""COMPUTED_VALUE"""),"20260212_アイプロダクション_超学園血風録～乱痴気地獄変～")</f>
        <v>20260212_アイプロダクション_超学園血風録～乱痴気地獄変～</v>
      </c>
      <c r="T4710" s="22" t="str">
        <f>IFERROR(__xludf.DUMMYFUNCTION("""COMPUTED_VALUE"""),"格納済み")</f>
        <v>格納済み</v>
      </c>
      <c r="U4710" s="9" t="str">
        <f>IFERROR(__xludf.DUMMYFUNCTION("""COMPUTED_VALUE"""),"ビュー/アイプロダクション")</f>
        <v>ビュー/アイプロダクション</v>
      </c>
      <c r="V4710" s="8"/>
      <c r="W4710" s="8"/>
      <c r="X4710" s="8" t="str">
        <f>IFERROR(__xludf.DUMMYFUNCTION("""COMPUTED_VALUE"""),"有")</f>
        <v>有</v>
      </c>
      <c r="Y4710" s="8" t="str">
        <f>IFERROR(__xludf.DUMMYFUNCTION("""COMPUTED_VALUE"""),"2026/6/19まで1巻目無料
2026/4/2まで2巻目無料
2026/4/2まで3巻目立ち読み増量（P17）")</f>
        <v>2026/6/19まで1巻目無料
2026/4/2まで2巻目無料
2026/4/2まで3巻目立ち読み増量（P17）</v>
      </c>
      <c r="Z4710" s="7"/>
      <c r="AA4710" s="7"/>
      <c r="AB4710" s="7"/>
    </row>
    <row r="4711" ht="15.75" customHeight="1">
      <c r="A4711" s="26">
        <f>IFERROR(__xludf.DUMMYFUNCTION("""COMPUTED_VALUE"""),7149.0)</f>
        <v>7149</v>
      </c>
      <c r="B4711" s="22" t="str">
        <f>IFERROR(__xludf.DUMMYFUNCTION("""COMPUTED_VALUE"""),"確定")</f>
        <v>確定</v>
      </c>
      <c r="C4711" s="28">
        <f>IFERROR(__xludf.DUMMYFUNCTION("""COMPUTED_VALUE"""),46027.0)</f>
        <v>46027</v>
      </c>
      <c r="D4711" s="28">
        <f>IFERROR(__xludf.DUMMYFUNCTION("""COMPUTED_VALUE"""),46066.0)</f>
        <v>46066</v>
      </c>
      <c r="E4711" s="26">
        <f>IFERROR(__xludf.DUMMYFUNCTION("""COMPUTED_VALUE"""),354803.0)</f>
        <v>354803</v>
      </c>
      <c r="F4711" s="22" t="str">
        <f>IFERROR(__xludf.DUMMYFUNCTION("""COMPUTED_VALUE"""),"死に戻りの悪役令嬢は、二度目の人生ですべてを幸せにしてみせる【単話版】")</f>
        <v>死に戻りの悪役令嬢は、二度目の人生ですべてを幸せにしてみせる【単話版】</v>
      </c>
      <c r="G4711" s="20" t="str">
        <f>IFERROR(__xludf.DUMMYFUNCTION("""COMPUTED_VALUE"""),"1～3")</f>
        <v>1～3</v>
      </c>
      <c r="H4711" s="22" t="str">
        <f>IFERROR(__xludf.DUMMYFUNCTION("""COMPUTED_VALUE"""),"ねこ茶漬け/岡沢六十四/YOHAKU")</f>
        <v>ねこ茶漬け/岡沢六十四/YOHAKU</v>
      </c>
      <c r="I4711" s="22" t="str">
        <f>IFERROR(__xludf.DUMMYFUNCTION("""COMPUTED_VALUE"""),"少女")</f>
        <v>少女</v>
      </c>
      <c r="J4711" s="22"/>
      <c r="K4711" s="22"/>
      <c r="L4711" s="22" t="str">
        <f>IFERROR(__xludf.DUMMYFUNCTION("""COMPUTED_VALUE"""),"オーバーラップ")</f>
        <v>オーバーラップ</v>
      </c>
      <c r="M4711" s="33">
        <f>IFERROR(__xludf.DUMMYFUNCTION("""COMPUTED_VALUE"""),46092.0)</f>
        <v>46092</v>
      </c>
      <c r="N4711" s="33">
        <f>IFERROR(__xludf.DUMMYFUNCTION("""COMPUTED_VALUE"""),401768.0)</f>
        <v>401768</v>
      </c>
      <c r="O4711" s="20"/>
      <c r="P4711" s="32" t="str">
        <f>IFERROR(__xludf.DUMMYFUNCTION("""COMPUTED_VALUE"""),"可")</f>
        <v>可</v>
      </c>
      <c r="Q4711" s="30"/>
      <c r="R4711" s="22" t="str">
        <f>IFERROR(__xludf.DUMMYFUNCTION("""COMPUTED_VALUE"""),"コミットOK")</f>
        <v>コミットOK</v>
      </c>
      <c r="S4711" s="22" t="str">
        <f>IFERROR(__xludf.DUMMYFUNCTION("""COMPUTED_VALUE"""),"20260212_オーバーラップ_死に戻りの悪役令嬢は、二度目の人生ですべてを幸せにしてみせる")</f>
        <v>20260212_オーバーラップ_死に戻りの悪役令嬢は、二度目の人生ですべてを幸せにしてみせる</v>
      </c>
      <c r="T4711" s="22" t="str">
        <f>IFERROR(__xludf.DUMMYFUNCTION("""COMPUTED_VALUE"""),"格納済み")</f>
        <v>格納済み</v>
      </c>
      <c r="U4711" s="9" t="str">
        <f>IFERROR(__xludf.DUMMYFUNCTION("""COMPUTED_VALUE"""),"(c)ねこ茶漬け　(c)岡沢六十四／オーバーラップ")</f>
        <v>(c)ねこ茶漬け　(c)岡沢六十四／オーバーラップ</v>
      </c>
      <c r="V4711" s="8"/>
      <c r="W4711" s="8"/>
      <c r="X4711" s="8" t="str">
        <f>IFERROR(__xludf.DUMMYFUNCTION("""COMPUTED_VALUE"""),"有")</f>
        <v>有</v>
      </c>
      <c r="Y4711" s="8" t="str">
        <f>IFERROR(__xludf.DUMMYFUNCTION("""COMPUTED_VALUE"""),"2026/6/11まで1巻無料")</f>
        <v>2026/6/11まで1巻無料</v>
      </c>
      <c r="Z4711" s="7"/>
      <c r="AA4711" s="7"/>
      <c r="AB4711" s="7"/>
    </row>
    <row r="4712" ht="15.75" customHeight="1">
      <c r="A4712" s="26">
        <f>IFERROR(__xludf.DUMMYFUNCTION("""COMPUTED_VALUE"""),7162.0)</f>
        <v>7162</v>
      </c>
      <c r="B4712" s="22" t="str">
        <f>IFERROR(__xludf.DUMMYFUNCTION("""COMPUTED_VALUE"""),"確定")</f>
        <v>確定</v>
      </c>
      <c r="C4712" s="28">
        <f>IFERROR(__xludf.DUMMYFUNCTION("""COMPUTED_VALUE"""),46029.0)</f>
        <v>46029</v>
      </c>
      <c r="D4712" s="28">
        <f>IFERROR(__xludf.DUMMYFUNCTION("""COMPUTED_VALUE"""),46069.0)</f>
        <v>46069</v>
      </c>
      <c r="E4712" s="26">
        <f>IFERROR(__xludf.DUMMYFUNCTION("""COMPUTED_VALUE"""),353642.0)</f>
        <v>353642</v>
      </c>
      <c r="F4712" s="22" t="str">
        <f>IFERROR(__xludf.DUMMYFUNCTION("""COMPUTED_VALUE"""),"さまよう夫婦～3年目のクライシス～")</f>
        <v>さまよう夫婦～3年目のクライシス～</v>
      </c>
      <c r="G4712" s="20" t="str">
        <f>IFERROR(__xludf.DUMMYFUNCTION("""COMPUTED_VALUE"""),"1～3")</f>
        <v>1～3</v>
      </c>
      <c r="H4712" s="22" t="str">
        <f>IFERROR(__xludf.DUMMYFUNCTION("""COMPUTED_VALUE"""),"大林あきら")</f>
        <v>大林あきら</v>
      </c>
      <c r="I4712" s="22" t="str">
        <f>IFERROR(__xludf.DUMMYFUNCTION("""COMPUTED_VALUE"""),"女性")</f>
        <v>女性</v>
      </c>
      <c r="J4712" s="22"/>
      <c r="K4712" s="22" t="str">
        <f>IFERROR(__xludf.DUMMYFUNCTION("""COMPUTED_VALUE"""),"コイパレ")</f>
        <v>コイパレ</v>
      </c>
      <c r="L4712" s="22" t="str">
        <f>IFERROR(__xludf.DUMMYFUNCTION("""COMPUTED_VALUE"""),"CLLENN")</f>
        <v>CLLENN</v>
      </c>
      <c r="M4712" s="33">
        <f>IFERROR(__xludf.DUMMYFUNCTION("""COMPUTED_VALUE"""),46099.0)</f>
        <v>46099</v>
      </c>
      <c r="N4712" s="33">
        <f>IFERROR(__xludf.DUMMYFUNCTION("""COMPUTED_VALUE"""),46161.0)</f>
        <v>46161</v>
      </c>
      <c r="O4712" s="20"/>
      <c r="P4712" s="32" t="str">
        <f>IFERROR(__xludf.DUMMYFUNCTION("""COMPUTED_VALUE"""),"可")</f>
        <v>可</v>
      </c>
      <c r="Q4712" s="30"/>
      <c r="R4712" s="22" t="str">
        <f>IFERROR(__xludf.DUMMYFUNCTION("""COMPUTED_VALUE"""),"コミットOK")</f>
        <v>コミットOK</v>
      </c>
      <c r="S4712" s="22" t="str">
        <f>IFERROR(__xludf.DUMMYFUNCTION("""COMPUTED_VALUE"""),"20260313_CLLENN_さまよう夫婦～3年目のクライシス～")</f>
        <v>20260313_CLLENN_さまよう夫婦～3年目のクライシス～</v>
      </c>
      <c r="T4712" s="22" t="str">
        <f>IFERROR(__xludf.DUMMYFUNCTION("""COMPUTED_VALUE"""),"格納済み")</f>
        <v>格納済み</v>
      </c>
      <c r="U4712" s="9" t="str">
        <f>IFERROR(__xludf.DUMMYFUNCTION("""COMPUTED_VALUE"""),"Ⓒ大林あきら/CLLENN")</f>
        <v>Ⓒ大林あきら/CLLENN</v>
      </c>
      <c r="V4712" s="8"/>
      <c r="W4712" s="8"/>
      <c r="X4712" s="8" t="str">
        <f>IFERROR(__xludf.DUMMYFUNCTION("""COMPUTED_VALUE"""),"有")</f>
        <v>有</v>
      </c>
      <c r="Y4712" s="8" t="str">
        <f>IFERROR(__xludf.DUMMYFUNCTION("""COMPUTED_VALUE"""),"2026/3/31まで1巻無料")</f>
        <v>2026/3/31まで1巻無料</v>
      </c>
      <c r="Z4712" s="7"/>
      <c r="AA4712" s="7"/>
      <c r="AB4712" s="7"/>
    </row>
    <row r="4713" ht="15.75" customHeight="1">
      <c r="A4713" s="26">
        <f>IFERROR(__xludf.DUMMYFUNCTION("""COMPUTED_VALUE"""),7181.0)</f>
        <v>7181</v>
      </c>
      <c r="B4713" s="22" t="str">
        <f>IFERROR(__xludf.DUMMYFUNCTION("""COMPUTED_VALUE"""),"確定")</f>
        <v>確定</v>
      </c>
      <c r="C4713" s="28">
        <f>IFERROR(__xludf.DUMMYFUNCTION("""COMPUTED_VALUE"""),46031.0)</f>
        <v>46031</v>
      </c>
      <c r="D4713" s="28">
        <f>IFERROR(__xludf.DUMMYFUNCTION("""COMPUTED_VALUE"""),46065.0)</f>
        <v>46065</v>
      </c>
      <c r="E4713" s="26">
        <f>IFERROR(__xludf.DUMMYFUNCTION("""COMPUTED_VALUE"""),353506.0)</f>
        <v>353506</v>
      </c>
      <c r="F4713" s="22" t="str">
        <f>IFERROR(__xludf.DUMMYFUNCTION("""COMPUTED_VALUE"""),"狂犬ベイベ【マイクロ】")</f>
        <v>狂犬ベイベ【マイクロ】</v>
      </c>
      <c r="G4713" s="20" t="str">
        <f>IFERROR(__xludf.DUMMYFUNCTION("""COMPUTED_VALUE"""),"1～5")</f>
        <v>1～5</v>
      </c>
      <c r="H4713" s="22" t="str">
        <f>IFERROR(__xludf.DUMMYFUNCTION("""COMPUTED_VALUE"""),"蜂野なえ")</f>
        <v>蜂野なえ</v>
      </c>
      <c r="I4713" s="22" t="str">
        <f>IFERROR(__xludf.DUMMYFUNCTION("""COMPUTED_VALUE"""),"女性")</f>
        <v>女性</v>
      </c>
      <c r="J4713" s="22"/>
      <c r="K4713" s="22" t="str">
        <f>IFERROR(__xludf.DUMMYFUNCTION("""COMPUTED_VALUE"""),"＆フラワー")</f>
        <v>＆フラワー</v>
      </c>
      <c r="L4713" s="22" t="str">
        <f>IFERROR(__xludf.DUMMYFUNCTION("""COMPUTED_VALUE"""),"小学館")</f>
        <v>小学館</v>
      </c>
      <c r="M4713" s="33">
        <f>IFERROR(__xludf.DUMMYFUNCTION("""COMPUTED_VALUE"""),46083.0)</f>
        <v>46083</v>
      </c>
      <c r="N4713" s="33">
        <f>IFERROR(__xludf.DUMMYFUNCTION("""COMPUTED_VALUE"""),46143.0)</f>
        <v>46143</v>
      </c>
      <c r="O4713" s="20"/>
      <c r="P4713" s="32" t="str">
        <f>IFERROR(__xludf.DUMMYFUNCTION("""COMPUTED_VALUE"""),"否")</f>
        <v>否</v>
      </c>
      <c r="Q4713" s="30"/>
      <c r="R4713" s="22" t="str">
        <f>IFERROR(__xludf.DUMMYFUNCTION("""COMPUTED_VALUE"""),"コミットOK")</f>
        <v>コミットOK</v>
      </c>
      <c r="S4713" s="22" t="str">
        <f>IFERROR(__xludf.DUMMYFUNCTION("""COMPUTED_VALUE"""),"20260202_小学館_狂犬ベイベ")</f>
        <v>20260202_小学館_狂犬ベイベ</v>
      </c>
      <c r="T4713" s="22" t="str">
        <f>IFERROR(__xludf.DUMMYFUNCTION("""COMPUTED_VALUE"""),"格納済み")</f>
        <v>格納済み</v>
      </c>
      <c r="U4713" s="9" t="str">
        <f>IFERROR(__xludf.DUMMYFUNCTION("""COMPUTED_VALUE"""),"(C)蜂野なえ / 小学館")</f>
        <v>(C)蜂野なえ / 小学館</v>
      </c>
      <c r="V4713" s="8"/>
      <c r="W4713" s="8"/>
      <c r="X4713" s="8" t="str">
        <f>IFERROR(__xludf.DUMMYFUNCTION("""COMPUTED_VALUE"""),"有")</f>
        <v>有</v>
      </c>
      <c r="Y4713" s="8" t="str">
        <f>IFERROR(__xludf.DUMMYFUNCTION("""COMPUTED_VALUE"""),"2026/5/1まで1巻無料")</f>
        <v>2026/5/1まで1巻無料</v>
      </c>
      <c r="Z4713" s="7"/>
      <c r="AA4713" s="7"/>
      <c r="AB4713" s="7"/>
    </row>
    <row r="4714" ht="15.75" customHeight="1">
      <c r="A4714" s="26">
        <f>IFERROR(__xludf.DUMMYFUNCTION("""COMPUTED_VALUE"""),7242.0)</f>
        <v>7242</v>
      </c>
      <c r="B4714" s="22" t="str">
        <f>IFERROR(__xludf.DUMMYFUNCTION("""COMPUTED_VALUE"""),"確定")</f>
        <v>確定</v>
      </c>
      <c r="C4714" s="28">
        <f>IFERROR(__xludf.DUMMYFUNCTION("""COMPUTED_VALUE"""),46041.0)</f>
        <v>46041</v>
      </c>
      <c r="D4714" s="28">
        <f>IFERROR(__xludf.DUMMYFUNCTION("""COMPUTED_VALUE"""),46071.0)</f>
        <v>46071</v>
      </c>
      <c r="E4714" s="26">
        <f>IFERROR(__xludf.DUMMYFUNCTION("""COMPUTED_VALUE"""),356625.0)</f>
        <v>356625</v>
      </c>
      <c r="F4714" s="22" t="str">
        <f>IFERROR(__xludf.DUMMYFUNCTION("""COMPUTED_VALUE"""),"目が覚めました　奪われた婚約者はきっぱりと捨てました（分冊版）")</f>
        <v>目が覚めました　奪われた婚約者はきっぱりと捨てました（分冊版）</v>
      </c>
      <c r="G4714" s="20" t="str">
        <f>IFERROR(__xludf.DUMMYFUNCTION("""COMPUTED_VALUE"""),"1～5")</f>
        <v>1～5</v>
      </c>
      <c r="H4714" s="22" t="str">
        <f>IFERROR(__xludf.DUMMYFUNCTION("""COMPUTED_VALUE"""),"鬱沢色素・あしかうみ")</f>
        <v>鬱沢色素・あしかうみ</v>
      </c>
      <c r="I4714" s="22" t="str">
        <f>IFERROR(__xludf.DUMMYFUNCTION("""COMPUTED_VALUE"""),"女性")</f>
        <v>女性</v>
      </c>
      <c r="J4714" s="22"/>
      <c r="K4714" s="22"/>
      <c r="L4714" s="22" t="str">
        <f>IFERROR(__xludf.DUMMYFUNCTION("""COMPUTED_VALUE"""),"アルファポリス")</f>
        <v>アルファポリス</v>
      </c>
      <c r="M4714" s="33">
        <f>IFERROR(__xludf.DUMMYFUNCTION("""COMPUTED_VALUE"""),46108.0)</f>
        <v>46108</v>
      </c>
      <c r="N4714" s="33">
        <f>IFERROR(__xludf.DUMMYFUNCTION("""COMPUTED_VALUE"""),46198.0)</f>
        <v>46198</v>
      </c>
      <c r="O4714" s="20"/>
      <c r="P4714" s="32" t="str">
        <f>IFERROR(__xludf.DUMMYFUNCTION("""COMPUTED_VALUE"""),"可")</f>
        <v>可</v>
      </c>
      <c r="Q4714" s="30"/>
      <c r="R4714" s="22" t="str">
        <f>IFERROR(__xludf.DUMMYFUNCTION("""COMPUTED_VALUE"""),"コミットOK")</f>
        <v>コミットOK</v>
      </c>
      <c r="S4714" s="22" t="str">
        <f>IFERROR(__xludf.DUMMYFUNCTION("""COMPUTED_VALUE"""),"20260216_アルファポリス_20260116_目が覚めました ～奪われた婚約者はきっぱりと捨てました～")</f>
        <v>20260216_アルファポリス_20260116_目が覚めました ～奪われた婚約者はきっぱりと捨てました～</v>
      </c>
      <c r="T4714" s="22" t="str">
        <f>IFERROR(__xludf.DUMMYFUNCTION("""COMPUTED_VALUE"""),"格納済み")</f>
        <v>格納済み</v>
      </c>
      <c r="U4714" s="9" t="str">
        <f>IFERROR(__xludf.DUMMYFUNCTION("""COMPUTED_VALUE"""),"（C）鬱沢色素・あしかうみ／アルファポリス")</f>
        <v>（C）鬱沢色素・あしかうみ／アルファポリス</v>
      </c>
      <c r="V4714" s="8"/>
      <c r="W4714" s="8"/>
      <c r="X4714" s="8" t="str">
        <f>IFERROR(__xludf.DUMMYFUNCTION("""COMPUTED_VALUE"""),"有")</f>
        <v>有</v>
      </c>
      <c r="Y4714" s="8" t="str">
        <f>IFERROR(__xludf.DUMMYFUNCTION("""COMPUTED_VALUE"""),"1巻無料")</f>
        <v>1巻無料</v>
      </c>
      <c r="Z4714" s="7"/>
      <c r="AA4714" s="7"/>
      <c r="AB4714" s="7"/>
    </row>
    <row r="4715" ht="15.75" customHeight="1">
      <c r="A4715" s="26">
        <f>IFERROR(__xludf.DUMMYFUNCTION("""COMPUTED_VALUE"""),7247.0)</f>
        <v>7247</v>
      </c>
      <c r="B4715" s="22" t="str">
        <f>IFERROR(__xludf.DUMMYFUNCTION("""COMPUTED_VALUE"""),"確定")</f>
        <v>確定</v>
      </c>
      <c r="C4715" s="28">
        <f>IFERROR(__xludf.DUMMYFUNCTION("""COMPUTED_VALUE"""),46041.0)</f>
        <v>46041</v>
      </c>
      <c r="D4715" s="28">
        <f>IFERROR(__xludf.DUMMYFUNCTION("""COMPUTED_VALUE"""),46071.0)</f>
        <v>46071</v>
      </c>
      <c r="E4715" s="26">
        <f>IFERROR(__xludf.DUMMYFUNCTION("""COMPUTED_VALUE"""),354526.0)</f>
        <v>354526</v>
      </c>
      <c r="F4715" s="22" t="str">
        <f>IFERROR(__xludf.DUMMYFUNCTION("""COMPUTED_VALUE"""),"スパダリ限定☆えっちな事故が起こる魔法～殿下のせいではありません！～")</f>
        <v>スパダリ限定☆えっちな事故が起こる魔法～殿下のせいではありません！～</v>
      </c>
      <c r="G4715" s="20" t="str">
        <f>IFERROR(__xludf.DUMMYFUNCTION("""COMPUTED_VALUE"""),"1～3")</f>
        <v>1～3</v>
      </c>
      <c r="H4715" s="22" t="str">
        <f>IFERROR(__xludf.DUMMYFUNCTION("""COMPUTED_VALUE"""),"しえやま┴こいなだ陽日┴輪子湖わこ")</f>
        <v>しえやま┴こいなだ陽日┴輪子湖わこ</v>
      </c>
      <c r="I4715" s="22" t="str">
        <f>IFERROR(__xludf.DUMMYFUNCTION("""COMPUTED_VALUE"""),"TL")</f>
        <v>TL</v>
      </c>
      <c r="J4715" s="22"/>
      <c r="K4715" s="22"/>
      <c r="L4715" s="22" t="str">
        <f>IFERROR(__xludf.DUMMYFUNCTION("""COMPUTED_VALUE"""),"二見書房")</f>
        <v>二見書房</v>
      </c>
      <c r="M4715" s="33">
        <f>IFERROR(__xludf.DUMMYFUNCTION("""COMPUTED_VALUE"""),46108.0)</f>
        <v>46108</v>
      </c>
      <c r="N4715" s="33">
        <f>IFERROR(__xludf.DUMMYFUNCTION("""COMPUTED_VALUE"""),46149.0)</f>
        <v>46149</v>
      </c>
      <c r="O4715" s="20"/>
      <c r="P4715" s="32" t="str">
        <f>IFERROR(__xludf.DUMMYFUNCTION("""COMPUTED_VALUE"""),"可")</f>
        <v>可</v>
      </c>
      <c r="Q4715" s="30"/>
      <c r="R4715" s="22" t="str">
        <f>IFERROR(__xludf.DUMMYFUNCTION("""COMPUTED_VALUE"""),"コミットNG")</f>
        <v>コミットNG</v>
      </c>
      <c r="S4715" s="22" t="str">
        <f>IFERROR(__xludf.DUMMYFUNCTION("""COMPUTED_VALUE"""),"20260210_二見書房_スパダリ限定☆えっちな事故が起こる魔法_殿下のせいではありません！")</f>
        <v>20260210_二見書房_スパダリ限定☆えっちな事故が起こる魔法_殿下のせいではありません！</v>
      </c>
      <c r="T4715" s="22" t="str">
        <f>IFERROR(__xludf.DUMMYFUNCTION("""COMPUTED_VALUE"""),"格納済み")</f>
        <v>格納済み</v>
      </c>
      <c r="U4715" s="9" t="str">
        <f>IFERROR(__xludf.DUMMYFUNCTION("""COMPUTED_VALUE"""),"Ⓒしえやま・こいなだ陽日・輪子湖わこ／二見書房")</f>
        <v>Ⓒしえやま・こいなだ陽日・輪子湖わこ／二見書房</v>
      </c>
      <c r="V4715" s="8"/>
      <c r="W4715" s="8"/>
      <c r="X4715" s="8" t="str">
        <f>IFERROR(__xludf.DUMMYFUNCTION("""COMPUTED_VALUE"""),"有")</f>
        <v>有</v>
      </c>
      <c r="Y4715" s="8" t="str">
        <f>IFERROR(__xludf.DUMMYFUNCTION("""COMPUTED_VALUE"""),"P11まで")</f>
        <v>P11まで</v>
      </c>
      <c r="Z4715" s="7"/>
      <c r="AA4715" s="7"/>
      <c r="AB4715" s="7"/>
    </row>
    <row r="4716" ht="15.75" customHeight="1">
      <c r="A4716" s="26">
        <f>IFERROR(__xludf.DUMMYFUNCTION("""COMPUTED_VALUE"""),7259.0)</f>
        <v>7259</v>
      </c>
      <c r="B4716" s="22" t="str">
        <f>IFERROR(__xludf.DUMMYFUNCTION("""COMPUTED_VALUE"""),"確定")</f>
        <v>確定</v>
      </c>
      <c r="C4716" s="28">
        <f>IFERROR(__xludf.DUMMYFUNCTION("""COMPUTED_VALUE"""),46042.0)</f>
        <v>46042</v>
      </c>
      <c r="D4716" s="28">
        <f>IFERROR(__xludf.DUMMYFUNCTION("""COMPUTED_VALUE"""),46070.0)</f>
        <v>46070</v>
      </c>
      <c r="E4716" s="26">
        <f>IFERROR(__xludf.DUMMYFUNCTION("""COMPUTED_VALUE"""),353291.0)</f>
        <v>353291</v>
      </c>
      <c r="F4716" s="22" t="str">
        <f>IFERROR(__xludf.DUMMYFUNCTION("""COMPUTED_VALUE"""),"物語好む姫、本物の帝からまさかの寵愛！　平安新婚絵巻【分冊版】")</f>
        <v>物語好む姫、本物の帝からまさかの寵愛！　平安新婚絵巻【分冊版】</v>
      </c>
      <c r="G4716" s="20" t="str">
        <f>IFERROR(__xludf.DUMMYFUNCTION("""COMPUTED_VALUE"""),"1～2")</f>
        <v>1～2</v>
      </c>
      <c r="H4716" s="22" t="str">
        <f>IFERROR(__xludf.DUMMYFUNCTION("""COMPUTED_VALUE"""),"春宮ぱんだ,藍井恵")</f>
        <v>春宮ぱんだ,藍井恵</v>
      </c>
      <c r="I4716" s="22" t="str">
        <f>IFERROR(__xludf.DUMMYFUNCTION("""COMPUTED_VALUE"""),"女性")</f>
        <v>女性</v>
      </c>
      <c r="J4716" s="22"/>
      <c r="K4716" s="22" t="str">
        <f>IFERROR(__xludf.DUMMYFUNCTION("""COMPUTED_VALUE"""),"乙女ドルチェ・コミックス")</f>
        <v>乙女ドルチェ・コミックス</v>
      </c>
      <c r="L4716" s="22" t="str">
        <f>IFERROR(__xludf.DUMMYFUNCTION("""COMPUTED_VALUE"""),"乙女ドルチェ・コミックス")</f>
        <v>乙女ドルチェ・コミックス</v>
      </c>
      <c r="M4716" s="33">
        <f>IFERROR(__xludf.DUMMYFUNCTION("""COMPUTED_VALUE"""),46099.0)</f>
        <v>46099</v>
      </c>
      <c r="N4716" s="33">
        <f>IFERROR(__xludf.DUMMYFUNCTION("""COMPUTED_VALUE"""),46159.0)</f>
        <v>46159</v>
      </c>
      <c r="O4716" s="20"/>
      <c r="P4716" s="32" t="str">
        <f>IFERROR(__xludf.DUMMYFUNCTION("""COMPUTED_VALUE"""),"可")</f>
        <v>可</v>
      </c>
      <c r="Q4716" s="30"/>
      <c r="R4716" s="22" t="str">
        <f>IFERROR(__xludf.DUMMYFUNCTION("""COMPUTED_VALUE"""),"コミットNG")</f>
        <v>コミットNG</v>
      </c>
      <c r="S4716" s="22" t="str">
        <f>IFERROR(__xludf.DUMMYFUNCTION("""COMPUTED_VALUE"""),"20260217_乙女ドルチェ_物語好む姫、本物の帝からまさかの寵愛！　平安新婚絵巻【分冊版】")</f>
        <v>20260217_乙女ドルチェ_物語好む姫、本物の帝からまさかの寵愛！　平安新婚絵巻【分冊版】</v>
      </c>
      <c r="T4716" s="22" t="str">
        <f>IFERROR(__xludf.DUMMYFUNCTION("""COMPUTED_VALUE"""),"格納済み")</f>
        <v>格納済み</v>
      </c>
      <c r="U4716" s="9" t="str">
        <f>IFERROR(__xludf.DUMMYFUNCTION("""COMPUTED_VALUE"""),"（C) 春宮ぱんだ・藍井 恵／ハーパーコリンズ・ジャパン")</f>
        <v>（C) 春宮ぱんだ・藍井 恵／ハーパーコリンズ・ジャパン</v>
      </c>
      <c r="V4716" s="8"/>
      <c r="W4716" s="8"/>
      <c r="X4716" s="8" t="str">
        <f>IFERROR(__xludf.DUMMYFUNCTION("""COMPUTED_VALUE"""),"有")</f>
        <v>有</v>
      </c>
      <c r="Y4716" s="8" t="str">
        <f>IFERROR(__xludf.DUMMYFUNCTION("""COMPUTED_VALUE"""),"P7まで")</f>
        <v>P7まで</v>
      </c>
      <c r="Z4716" s="7"/>
      <c r="AA4716" s="7"/>
      <c r="AB4716" s="7"/>
    </row>
    <row r="4717" ht="15.75" customHeight="1">
      <c r="A4717" s="26">
        <f>IFERROR(__xludf.DUMMYFUNCTION("""COMPUTED_VALUE"""),7260.0)</f>
        <v>7260</v>
      </c>
      <c r="B4717" s="22" t="str">
        <f>IFERROR(__xludf.DUMMYFUNCTION("""COMPUTED_VALUE"""),"確定")</f>
        <v>確定</v>
      </c>
      <c r="C4717" s="28">
        <f>IFERROR(__xludf.DUMMYFUNCTION("""COMPUTED_VALUE"""),46042.0)</f>
        <v>46042</v>
      </c>
      <c r="D4717" s="28">
        <f>IFERROR(__xludf.DUMMYFUNCTION("""COMPUTED_VALUE"""),46070.0)</f>
        <v>46070</v>
      </c>
      <c r="E4717" s="26">
        <f>IFERROR(__xludf.DUMMYFUNCTION("""COMPUTED_VALUE"""),356892.0)</f>
        <v>356892</v>
      </c>
      <c r="F4717" s="22" t="str">
        <f>IFERROR(__xludf.DUMMYFUNCTION("""COMPUTED_VALUE"""),"召喚された身代わりの贄姫は異世界砂漠の絶倫皇太子に咲き濡らされる【分冊版】")</f>
        <v>召喚された身代わりの贄姫は異世界砂漠の絶倫皇太子に咲き濡らされる【分冊版】</v>
      </c>
      <c r="G4717" s="20" t="str">
        <f>IFERROR(__xludf.DUMMYFUNCTION("""COMPUTED_VALUE"""),"1～3")</f>
        <v>1～3</v>
      </c>
      <c r="H4717" s="22" t="str">
        <f>IFERROR(__xludf.DUMMYFUNCTION("""COMPUTED_VALUE"""),"飴奈めるな")</f>
        <v>飴奈めるな</v>
      </c>
      <c r="I4717" s="22" t="str">
        <f>IFERROR(__xludf.DUMMYFUNCTION("""COMPUTED_VALUE"""),"TL")</f>
        <v>TL</v>
      </c>
      <c r="J4717" s="22"/>
      <c r="K4717" s="22" t="str">
        <f>IFERROR(__xludf.DUMMYFUNCTION("""COMPUTED_VALUE"""),"ルネッタコミックス")</f>
        <v>ルネッタコミックス</v>
      </c>
      <c r="L4717" s="22" t="str">
        <f>IFERROR(__xludf.DUMMYFUNCTION("""COMPUTED_VALUE"""),"ハーパーコリンズ・ジャパン")</f>
        <v>ハーパーコリンズ・ジャパン</v>
      </c>
      <c r="M4717" s="33">
        <f>IFERROR(__xludf.DUMMYFUNCTION("""COMPUTED_VALUE"""),46108.0)</f>
        <v>46108</v>
      </c>
      <c r="N4717" s="33">
        <f>IFERROR(__xludf.DUMMYFUNCTION("""COMPUTED_VALUE"""),46163.0)</f>
        <v>46163</v>
      </c>
      <c r="O4717" s="20"/>
      <c r="P4717" s="32" t="str">
        <f>IFERROR(__xludf.DUMMYFUNCTION("""COMPUTED_VALUE"""),"可")</f>
        <v>可</v>
      </c>
      <c r="Q4717" s="30"/>
      <c r="R4717" s="22" t="str">
        <f>IFERROR(__xludf.DUMMYFUNCTION("""COMPUTED_VALUE"""),"コミットNG")</f>
        <v>コミットNG</v>
      </c>
      <c r="S4717" s="22" t="str">
        <f>IFERROR(__xludf.DUMMYFUNCTION("""COMPUTED_VALUE"""),"20260217_ハーパーコリンズ_召還された身代わりの贄姫は異世界砂漠の絶倫皇太子に咲き濡らされる【分冊版】")</f>
        <v>20260217_ハーパーコリンズ_召還された身代わりの贄姫は異世界砂漠の絶倫皇太子に咲き濡らされる【分冊版】</v>
      </c>
      <c r="T4717" s="22" t="str">
        <f>IFERROR(__xludf.DUMMYFUNCTION("""COMPUTED_VALUE"""),"格納済み")</f>
        <v>格納済み</v>
      </c>
      <c r="U4717" s="9" t="str">
        <f>IFERROR(__xludf.DUMMYFUNCTION("""COMPUTED_VALUE"""),"（C) 飴奈めるな／ハーパーコリンズ・ジャパン")</f>
        <v>（C) 飴奈めるな／ハーパーコリンズ・ジャパン</v>
      </c>
      <c r="V4717" s="8"/>
      <c r="W4717" s="8"/>
      <c r="X4717" s="8" t="str">
        <f>IFERROR(__xludf.DUMMYFUNCTION("""COMPUTED_VALUE"""),"有")</f>
        <v>有</v>
      </c>
      <c r="Y4717" s="8" t="str">
        <f>IFERROR(__xludf.DUMMYFUNCTION("""COMPUTED_VALUE"""),"P12まで")</f>
        <v>P12まで</v>
      </c>
      <c r="Z4717" s="7"/>
      <c r="AA4717" s="7"/>
      <c r="AB4717" s="7"/>
    </row>
    <row r="4718" ht="15.75" customHeight="1">
      <c r="A4718" s="26">
        <f>IFERROR(__xludf.DUMMYFUNCTION("""COMPUTED_VALUE"""),7266.0)</f>
        <v>7266</v>
      </c>
      <c r="B4718" s="22" t="str">
        <f>IFERROR(__xludf.DUMMYFUNCTION("""COMPUTED_VALUE"""),"確定")</f>
        <v>確定</v>
      </c>
      <c r="C4718" s="28">
        <f>IFERROR(__xludf.DUMMYFUNCTION("""COMPUTED_VALUE"""),46043.0)</f>
        <v>46043</v>
      </c>
      <c r="D4718" s="28">
        <f>IFERROR(__xludf.DUMMYFUNCTION("""COMPUTED_VALUE"""),46070.0)</f>
        <v>46070</v>
      </c>
      <c r="E4718" s="26">
        <f>IFERROR(__xludf.DUMMYFUNCTION("""COMPUTED_VALUE"""),354737.0)</f>
        <v>354737</v>
      </c>
      <c r="F4718" s="22" t="str">
        <f>IFERROR(__xludf.DUMMYFUNCTION("""COMPUTED_VALUE"""),"旦那様、その赤面は反則ですっ！")</f>
        <v>旦那様、その赤面は反則ですっ！</v>
      </c>
      <c r="G4718" s="20" t="str">
        <f>IFERROR(__xludf.DUMMYFUNCTION("""COMPUTED_VALUE"""),"1～3")</f>
        <v>1～3</v>
      </c>
      <c r="H4718" s="22" t="str">
        <f>IFERROR(__xludf.DUMMYFUNCTION("""COMPUTED_VALUE"""),"小川みなも")</f>
        <v>小川みなも</v>
      </c>
      <c r="I4718" s="22" t="str">
        <f>IFERROR(__xludf.DUMMYFUNCTION("""COMPUTED_VALUE"""),"女性")</f>
        <v>女性</v>
      </c>
      <c r="J4718" s="22"/>
      <c r="K4718" s="22"/>
      <c r="L4718" s="22" t="str">
        <f>IFERROR(__xludf.DUMMYFUNCTION("""COMPUTED_VALUE"""),"DPNブックス")</f>
        <v>DPNブックス</v>
      </c>
      <c r="M4718" s="33">
        <f>IFERROR(__xludf.DUMMYFUNCTION("""COMPUTED_VALUE"""),46103.0)</f>
        <v>46103</v>
      </c>
      <c r="N4718" s="33">
        <f>IFERROR(__xludf.DUMMYFUNCTION("""COMPUTED_VALUE"""),46133.0)</f>
        <v>46133</v>
      </c>
      <c r="O4718" s="20"/>
      <c r="P4718" s="32" t="str">
        <f>IFERROR(__xludf.DUMMYFUNCTION("""COMPUTED_VALUE"""),"可")</f>
        <v>可</v>
      </c>
      <c r="Q4718" s="30"/>
      <c r="R4718" s="22" t="str">
        <f>IFERROR(__xludf.DUMMYFUNCTION("""COMPUTED_VALUE"""),"コミットOK")</f>
        <v>コミットOK</v>
      </c>
      <c r="S4718" s="22" t="str">
        <f>IFERROR(__xludf.DUMMYFUNCTION("""COMPUTED_VALUE"""),"20260217_DPNブックス_旦那様、その赤面は反則ですっ！")</f>
        <v>20260217_DPNブックス_旦那様、その赤面は反則ですっ！</v>
      </c>
      <c r="T4718" s="22" t="str">
        <f>IFERROR(__xludf.DUMMYFUNCTION("""COMPUTED_VALUE"""),"格納済み")</f>
        <v>格納済み</v>
      </c>
      <c r="U4718" s="9" t="str">
        <f>IFERROR(__xludf.DUMMYFUNCTION("""COMPUTED_VALUE"""),"(C)小川みなも／DPNブックス")</f>
        <v>(C)小川みなも／DPNブックス</v>
      </c>
      <c r="V4718" s="8"/>
      <c r="W4718" s="8"/>
      <c r="X4718" s="8" t="str">
        <f>IFERROR(__xludf.DUMMYFUNCTION("""COMPUTED_VALUE"""),"有")</f>
        <v>有</v>
      </c>
      <c r="Y4718" s="8" t="str">
        <f>IFERROR(__xludf.DUMMYFUNCTION("""COMPUTED_VALUE"""),"2026/4/21まで1巻無料")</f>
        <v>2026/4/21まで1巻無料</v>
      </c>
      <c r="Z4718" s="7"/>
      <c r="AA4718" s="7"/>
      <c r="AB4718" s="7"/>
    </row>
    <row r="4719" ht="15.75" customHeight="1">
      <c r="A4719" s="26">
        <f>IFERROR(__xludf.DUMMYFUNCTION("""COMPUTED_VALUE"""),7271.0)</f>
        <v>7271</v>
      </c>
      <c r="B4719" s="22" t="str">
        <f>IFERROR(__xludf.DUMMYFUNCTION("""COMPUTED_VALUE"""),"確定")</f>
        <v>確定</v>
      </c>
      <c r="C4719" s="28">
        <f>IFERROR(__xludf.DUMMYFUNCTION("""COMPUTED_VALUE"""),46044.0)</f>
        <v>46044</v>
      </c>
      <c r="D4719" s="28">
        <f>IFERROR(__xludf.DUMMYFUNCTION("""COMPUTED_VALUE"""),46069.0)</f>
        <v>46069</v>
      </c>
      <c r="E4719" s="26">
        <f>IFERROR(__xludf.DUMMYFUNCTION("""COMPUTED_VALUE"""),353345.0)</f>
        <v>353345</v>
      </c>
      <c r="F4719" s="22" t="str">
        <f>IFERROR(__xludf.DUMMYFUNCTION("""COMPUTED_VALUE"""),"恋に落として、俺のこと。")</f>
        <v>恋に落として、俺のこと。</v>
      </c>
      <c r="G4719" s="20" t="str">
        <f>IFERROR(__xludf.DUMMYFUNCTION("""COMPUTED_VALUE"""),"1～2")</f>
        <v>1～2</v>
      </c>
      <c r="H4719" s="22" t="str">
        <f>IFERROR(__xludf.DUMMYFUNCTION("""COMPUTED_VALUE"""),"御堂スイヤ")</f>
        <v>御堂スイヤ</v>
      </c>
      <c r="I4719" s="22" t="str">
        <f>IFERROR(__xludf.DUMMYFUNCTION("""COMPUTED_VALUE"""),"BL")</f>
        <v>BL</v>
      </c>
      <c r="J4719" s="22"/>
      <c r="K4719" s="22" t="str">
        <f>IFERROR(__xludf.DUMMYFUNCTION("""COMPUTED_VALUE"""),"NuPu")</f>
        <v>NuPu</v>
      </c>
      <c r="L4719" s="22" t="str">
        <f>IFERROR(__xludf.DUMMYFUNCTION("""COMPUTED_VALUE"""),"CLLENN")</f>
        <v>CLLENN</v>
      </c>
      <c r="M4719" s="33">
        <f>IFERROR(__xludf.DUMMYFUNCTION("""COMPUTED_VALUE"""),46100.0)</f>
        <v>46100</v>
      </c>
      <c r="N4719" s="33">
        <f>IFERROR(__xludf.DUMMYFUNCTION("""COMPUTED_VALUE"""),46162.0)</f>
        <v>46162</v>
      </c>
      <c r="O4719" s="20"/>
      <c r="P4719" s="32" t="str">
        <f>IFERROR(__xludf.DUMMYFUNCTION("""COMPUTED_VALUE"""),"可")</f>
        <v>可</v>
      </c>
      <c r="Q4719" s="30"/>
      <c r="R4719" s="22" t="str">
        <f>IFERROR(__xludf.DUMMYFUNCTION("""COMPUTED_VALUE"""),"コミットOK")</f>
        <v>コミットOK</v>
      </c>
      <c r="S4719" s="22" t="str">
        <f>IFERROR(__xludf.DUMMYFUNCTION("""COMPUTED_VALUE"""),"20260216_CLLENN_恋に落として、俺のこと。")</f>
        <v>20260216_CLLENN_恋に落として、俺のこと。</v>
      </c>
      <c r="T4719" s="22" t="str">
        <f>IFERROR(__xludf.DUMMYFUNCTION("""COMPUTED_VALUE"""),"格納済み")</f>
        <v>格納済み</v>
      </c>
      <c r="U4719" s="9" t="str">
        <f>IFERROR(__xludf.DUMMYFUNCTION("""COMPUTED_VALUE"""),"Ⓒ御堂スイヤ/CLLENN")</f>
        <v>Ⓒ御堂スイヤ/CLLENN</v>
      </c>
      <c r="V4719" s="8"/>
      <c r="W4719" s="8"/>
      <c r="X4719" s="8" t="str">
        <f>IFERROR(__xludf.DUMMYFUNCTION("""COMPUTED_VALUE"""),"有")</f>
        <v>有</v>
      </c>
      <c r="Y4719" s="8" t="str">
        <f>IFERROR(__xludf.DUMMYFUNCTION("""COMPUTED_VALUE"""),"P10まで")</f>
        <v>P10まで</v>
      </c>
      <c r="Z4719" s="7"/>
      <c r="AA4719" s="7"/>
      <c r="AB4719" s="7"/>
    </row>
    <row r="4720" ht="15.75" customHeight="1">
      <c r="A4720" s="26">
        <f>IFERROR(__xludf.DUMMYFUNCTION("""COMPUTED_VALUE"""),7274.0)</f>
        <v>7274</v>
      </c>
      <c r="B4720" s="22" t="str">
        <f>IFERROR(__xludf.DUMMYFUNCTION("""COMPUTED_VALUE"""),"確定")</f>
        <v>確定</v>
      </c>
      <c r="C4720" s="28">
        <f>IFERROR(__xludf.DUMMYFUNCTION("""COMPUTED_VALUE"""),46044.0)</f>
        <v>46044</v>
      </c>
      <c r="D4720" s="28">
        <f>IFERROR(__xludf.DUMMYFUNCTION("""COMPUTED_VALUE"""),46071.0)</f>
        <v>46071</v>
      </c>
      <c r="E4720" s="26">
        <f>IFERROR(__xludf.DUMMYFUNCTION("""COMPUTED_VALUE"""),352959.0)</f>
        <v>352959</v>
      </c>
      <c r="F4720" s="22" t="str">
        <f>IFERROR(__xludf.DUMMYFUNCTION("""COMPUTED_VALUE"""),"青の忘却曲線～消えていく記憶の中の、忘れられない君へ～【R-18版】")</f>
        <v>青の忘却曲線～消えていく記憶の中の、忘れられない君へ～【R-18版】</v>
      </c>
      <c r="G4720" s="20" t="str">
        <f>IFERROR(__xludf.DUMMYFUNCTION("""COMPUTED_VALUE"""),"1～4")</f>
        <v>1～4</v>
      </c>
      <c r="H4720" s="22" t="str">
        <f>IFERROR(__xludf.DUMMYFUNCTION("""COMPUTED_VALUE"""),"藤白,ちろりん")</f>
        <v>藤白,ちろりん</v>
      </c>
      <c r="I4720" s="22" t="str">
        <f>IFERROR(__xludf.DUMMYFUNCTION("""COMPUTED_VALUE"""),"アダルト")</f>
        <v>アダルト</v>
      </c>
      <c r="J4720" s="22"/>
      <c r="K4720" s="22" t="str">
        <f>IFERROR(__xludf.DUMMYFUNCTION("""COMPUTED_VALUE"""),"リベルタ")</f>
        <v>リベルタ</v>
      </c>
      <c r="L4720" s="22" t="str">
        <f>IFERROR(__xludf.DUMMYFUNCTION("""COMPUTED_VALUE"""),"ナンバーナイン")</f>
        <v>ナンバーナイン</v>
      </c>
      <c r="M4720" s="33">
        <f>IFERROR(__xludf.DUMMYFUNCTION("""COMPUTED_VALUE"""),46082.0)</f>
        <v>46082</v>
      </c>
      <c r="N4720" s="33">
        <f>IFERROR(__xludf.DUMMYFUNCTION("""COMPUTED_VALUE"""),46142.0)</f>
        <v>46142</v>
      </c>
      <c r="O4720" s="20"/>
      <c r="P4720" s="32" t="str">
        <f>IFERROR(__xludf.DUMMYFUNCTION("""COMPUTED_VALUE"""),"可")</f>
        <v>可</v>
      </c>
      <c r="Q4720" s="30" t="str">
        <f>IFERROR(__xludf.DUMMYFUNCTION("""COMPUTED_VALUE"""),"がるまに")</f>
        <v>がるまに</v>
      </c>
      <c r="R4720" s="22"/>
      <c r="S4720" s="22" t="str">
        <f>IFERROR(__xludf.DUMMYFUNCTION("""COMPUTED_VALUE"""),"20260218_ナンバーナイン_青の忘却曲線～消えていく記憶の中の、忘れられない君へ～【R-18版】")</f>
        <v>20260218_ナンバーナイン_青の忘却曲線～消えていく記憶の中の、忘れられない君へ～【R-18版】</v>
      </c>
      <c r="T4720" s="22" t="str">
        <f>IFERROR(__xludf.DUMMYFUNCTION("""COMPUTED_VALUE"""),"格納済み")</f>
        <v>格納済み</v>
      </c>
      <c r="U4720" s="9" t="str">
        <f>IFERROR(__xludf.DUMMYFUNCTION("""COMPUTED_VALUE"""),"(C)リベルタ／ナンバーナイン")</f>
        <v>(C)リベルタ／ナンバーナイン</v>
      </c>
      <c r="V4720" s="8"/>
      <c r="W4720" s="8"/>
      <c r="X4720" s="8" t="str">
        <f>IFERROR(__xludf.DUMMYFUNCTION("""COMPUTED_VALUE"""),"有")</f>
        <v>有</v>
      </c>
      <c r="Y4720" s="8" t="str">
        <f>IFERROR(__xludf.DUMMYFUNCTION("""COMPUTED_VALUE"""),"1巻無料")</f>
        <v>1巻無料</v>
      </c>
      <c r="Z4720" s="7"/>
      <c r="AA4720" s="7"/>
      <c r="AB4720" s="7"/>
    </row>
    <row r="4721" ht="15.75" customHeight="1">
      <c r="A4721" s="26">
        <f>IFERROR(__xludf.DUMMYFUNCTION("""COMPUTED_VALUE"""),7307.0)</f>
        <v>7307</v>
      </c>
      <c r="B4721" s="22" t="str">
        <f>IFERROR(__xludf.DUMMYFUNCTION("""COMPUTED_VALUE"""),"確定")</f>
        <v>確定</v>
      </c>
      <c r="C4721" s="28">
        <f>IFERROR(__xludf.DUMMYFUNCTION("""COMPUTED_VALUE"""),46049.0)</f>
        <v>46049</v>
      </c>
      <c r="D4721" s="28">
        <f>IFERROR(__xludf.DUMMYFUNCTION("""COMPUTED_VALUE"""),46071.0)</f>
        <v>46071</v>
      </c>
      <c r="E4721" s="26">
        <f>IFERROR(__xludf.DUMMYFUNCTION("""COMPUTED_VALUE"""),352958.0)</f>
        <v>352958</v>
      </c>
      <c r="F4721" s="22" t="str">
        <f>IFERROR(__xludf.DUMMYFUNCTION("""COMPUTED_VALUE"""),"淫艶ランジェリー～奥手な私が紳士な彼を誘ったらドS化お仕置き交尾でわからされました～【R-18版】")</f>
        <v>淫艶ランジェリー～奥手な私が紳士な彼を誘ったらドS化お仕置き交尾でわからされました～【R-18版】</v>
      </c>
      <c r="G4721" s="20" t="str">
        <f>IFERROR(__xludf.DUMMYFUNCTION("""COMPUTED_VALUE"""),"1～3")</f>
        <v>1～3</v>
      </c>
      <c r="H4721" s="22" t="str">
        <f>IFERROR(__xludf.DUMMYFUNCTION("""COMPUTED_VALUE"""),"柚木マチ,柊らん")</f>
        <v>柚木マチ,柊らん</v>
      </c>
      <c r="I4721" s="22" t="str">
        <f>IFERROR(__xludf.DUMMYFUNCTION("""COMPUTED_VALUE"""),"アダルト")</f>
        <v>アダルト</v>
      </c>
      <c r="J4721" s="22"/>
      <c r="K4721" s="22" t="str">
        <f>IFERROR(__xludf.DUMMYFUNCTION("""COMPUTED_VALUE"""),"リベルタ")</f>
        <v>リベルタ</v>
      </c>
      <c r="L4721" s="22" t="str">
        <f>IFERROR(__xludf.DUMMYFUNCTION("""COMPUTED_VALUE"""),"ナンバーナイン")</f>
        <v>ナンバーナイン</v>
      </c>
      <c r="M4721" s="33">
        <f>IFERROR(__xludf.DUMMYFUNCTION("""COMPUTED_VALUE"""),46082.0)</f>
        <v>46082</v>
      </c>
      <c r="N4721" s="33">
        <f>IFERROR(__xludf.DUMMYFUNCTION("""COMPUTED_VALUE"""),46142.0)</f>
        <v>46142</v>
      </c>
      <c r="O4721" s="20"/>
      <c r="P4721" s="32" t="str">
        <f>IFERROR(__xludf.DUMMYFUNCTION("""COMPUTED_VALUE"""),"可")</f>
        <v>可</v>
      </c>
      <c r="Q4721" s="30" t="str">
        <f>IFERROR(__xludf.DUMMYFUNCTION("""COMPUTED_VALUE"""),"がるまに")</f>
        <v>がるまに</v>
      </c>
      <c r="R4721" s="22"/>
      <c r="S4721" s="22" t="str">
        <f>IFERROR(__xludf.DUMMYFUNCTION("""COMPUTED_VALUE"""),"20260218_ナンバーナイン_淫艶ランジェリー～奥手な私が紳士な彼を誘ったらドS化お仕置き交尾でわからされました～【R-18版】")</f>
        <v>20260218_ナンバーナイン_淫艶ランジェリー～奥手な私が紳士な彼を誘ったらドS化お仕置き交尾でわからされました～【R-18版】</v>
      </c>
      <c r="T4721" s="22" t="str">
        <f>IFERROR(__xludf.DUMMYFUNCTION("""COMPUTED_VALUE"""),"格納済み")</f>
        <v>格納済み</v>
      </c>
      <c r="U4721" s="9" t="str">
        <f>IFERROR(__xludf.DUMMYFUNCTION("""COMPUTED_VALUE"""),"(C)リベルタ／ナンバーナイン")</f>
        <v>(C)リベルタ／ナンバーナイン</v>
      </c>
      <c r="V4721" s="8"/>
      <c r="W4721" s="8"/>
      <c r="X4721" s="8" t="str">
        <f>IFERROR(__xludf.DUMMYFUNCTION("""COMPUTED_VALUE"""),"有")</f>
        <v>有</v>
      </c>
      <c r="Y4721" s="8" t="str">
        <f>IFERROR(__xludf.DUMMYFUNCTION("""COMPUTED_VALUE"""),"2026/3/15まで1巻無料")</f>
        <v>2026/3/15まで1巻無料</v>
      </c>
      <c r="Z4721" s="7"/>
      <c r="AA4721" s="7"/>
      <c r="AB4721" s="7"/>
    </row>
    <row r="4722" ht="15.75" customHeight="1">
      <c r="A4722" s="26">
        <f>IFERROR(__xludf.DUMMYFUNCTION("""COMPUTED_VALUE"""),7309.0)</f>
        <v>7309</v>
      </c>
      <c r="B4722" s="22" t="str">
        <f>IFERROR(__xludf.DUMMYFUNCTION("""COMPUTED_VALUE"""),"確定")</f>
        <v>確定</v>
      </c>
      <c r="C4722" s="28">
        <f>IFERROR(__xludf.DUMMYFUNCTION("""COMPUTED_VALUE"""),46049.0)</f>
        <v>46049</v>
      </c>
      <c r="D4722" s="28">
        <f>IFERROR(__xludf.DUMMYFUNCTION("""COMPUTED_VALUE"""),46071.0)</f>
        <v>46071</v>
      </c>
      <c r="E4722" s="26">
        <f>IFERROR(__xludf.DUMMYFUNCTION("""COMPUTED_VALUE"""),352957.0)</f>
        <v>352957</v>
      </c>
      <c r="F4722" s="22" t="str">
        <f>IFERROR(__xludf.DUMMYFUNCTION("""COMPUTED_VALUE"""),"桐島くん、ヲタクの私でも好きって本当ですか？～純愛×絶倫×連続絶頂～【R-18版】")</f>
        <v>桐島くん、ヲタクの私でも好きって本当ですか？～純愛×絶倫×連続絶頂～【R-18版】</v>
      </c>
      <c r="G4722" s="20" t="str">
        <f>IFERROR(__xludf.DUMMYFUNCTION("""COMPUTED_VALUE"""),"1～3")</f>
        <v>1～3</v>
      </c>
      <c r="H4722" s="22" t="str">
        <f>IFERROR(__xludf.DUMMYFUNCTION("""COMPUTED_VALUE"""),"SHOYA,まのろ")</f>
        <v>SHOYA,まのろ</v>
      </c>
      <c r="I4722" s="22" t="str">
        <f>IFERROR(__xludf.DUMMYFUNCTION("""COMPUTED_VALUE"""),"アダルト")</f>
        <v>アダルト</v>
      </c>
      <c r="J4722" s="22"/>
      <c r="K4722" s="22" t="str">
        <f>IFERROR(__xludf.DUMMYFUNCTION("""COMPUTED_VALUE"""),"リベルタ")</f>
        <v>リベルタ</v>
      </c>
      <c r="L4722" s="22" t="str">
        <f>IFERROR(__xludf.DUMMYFUNCTION("""COMPUTED_VALUE"""),"ナンバーナイン")</f>
        <v>ナンバーナイン</v>
      </c>
      <c r="M4722" s="33">
        <f>IFERROR(__xludf.DUMMYFUNCTION("""COMPUTED_VALUE"""),46082.0)</f>
        <v>46082</v>
      </c>
      <c r="N4722" s="33">
        <f>IFERROR(__xludf.DUMMYFUNCTION("""COMPUTED_VALUE"""),46142.0)</f>
        <v>46142</v>
      </c>
      <c r="O4722" s="20"/>
      <c r="P4722" s="32" t="str">
        <f>IFERROR(__xludf.DUMMYFUNCTION("""COMPUTED_VALUE"""),"可")</f>
        <v>可</v>
      </c>
      <c r="Q4722" s="30" t="str">
        <f>IFERROR(__xludf.DUMMYFUNCTION("""COMPUTED_VALUE"""),"がるまに")</f>
        <v>がるまに</v>
      </c>
      <c r="R4722" s="22"/>
      <c r="S4722" s="22" t="str">
        <f>IFERROR(__xludf.DUMMYFUNCTION("""COMPUTED_VALUE"""),"20260218_ナンバーナイン_桐島くん、ヲタクの私でも好きって本当ですか？～純愛×絶倫×連続絶頂～【R-18版】")</f>
        <v>20260218_ナンバーナイン_桐島くん、ヲタクの私でも好きって本当ですか？～純愛×絶倫×連続絶頂～【R-18版】</v>
      </c>
      <c r="T4722" s="22" t="str">
        <f>IFERROR(__xludf.DUMMYFUNCTION("""COMPUTED_VALUE"""),"格納済み")</f>
        <v>格納済み</v>
      </c>
      <c r="U4722" s="9" t="str">
        <f>IFERROR(__xludf.DUMMYFUNCTION("""COMPUTED_VALUE"""),"(C)リベルタ／ナンバーナイン")</f>
        <v>(C)リベルタ／ナンバーナイン</v>
      </c>
      <c r="V4722" s="8"/>
      <c r="W4722" s="8"/>
      <c r="X4722" s="8" t="str">
        <f>IFERROR(__xludf.DUMMYFUNCTION("""COMPUTED_VALUE"""),"有")</f>
        <v>有</v>
      </c>
      <c r="Y4722" s="8" t="str">
        <f>IFERROR(__xludf.DUMMYFUNCTION("""COMPUTED_VALUE"""),"2026/3/15まで1巻無料")</f>
        <v>2026/3/15まで1巻無料</v>
      </c>
      <c r="Z4722" s="7"/>
      <c r="AA4722" s="7"/>
      <c r="AB4722" s="7"/>
    </row>
    <row r="4723" ht="15.75" customHeight="1">
      <c r="A4723" s="26">
        <f>IFERROR(__xludf.DUMMYFUNCTION("""COMPUTED_VALUE"""),7311.0)</f>
        <v>7311</v>
      </c>
      <c r="B4723" s="22" t="str">
        <f>IFERROR(__xludf.DUMMYFUNCTION("""COMPUTED_VALUE"""),"確定")</f>
        <v>確定</v>
      </c>
      <c r="C4723" s="28">
        <f>IFERROR(__xludf.DUMMYFUNCTION("""COMPUTED_VALUE"""),46049.0)</f>
        <v>46049</v>
      </c>
      <c r="D4723" s="28">
        <f>IFERROR(__xludf.DUMMYFUNCTION("""COMPUTED_VALUE"""),46071.0)</f>
        <v>46071</v>
      </c>
      <c r="E4723" s="26">
        <f>IFERROR(__xludf.DUMMYFUNCTION("""COMPUTED_VALUE"""),352955.0)</f>
        <v>352955</v>
      </c>
      <c r="F4723" s="22" t="str">
        <f>IFERROR(__xludf.DUMMYFUNCTION("""COMPUTED_VALUE"""),"卒業前日、2年続いたセフレの大和が一線越えてきた【R-18版】")</f>
        <v>卒業前日、2年続いたセフレの大和が一線越えてきた【R-18版】</v>
      </c>
      <c r="G4723" s="20" t="str">
        <f>IFERROR(__xludf.DUMMYFUNCTION("""COMPUTED_VALUE"""),"1～3")</f>
        <v>1～3</v>
      </c>
      <c r="H4723" s="22" t="str">
        <f>IFERROR(__xludf.DUMMYFUNCTION("""COMPUTED_VALUE"""),"藤白,ちろりん")</f>
        <v>藤白,ちろりん</v>
      </c>
      <c r="I4723" s="22" t="str">
        <f>IFERROR(__xludf.DUMMYFUNCTION("""COMPUTED_VALUE"""),"アダルト")</f>
        <v>アダルト</v>
      </c>
      <c r="J4723" s="22"/>
      <c r="K4723" s="22" t="str">
        <f>IFERROR(__xludf.DUMMYFUNCTION("""COMPUTED_VALUE"""),"リベルタ")</f>
        <v>リベルタ</v>
      </c>
      <c r="L4723" s="22" t="str">
        <f>IFERROR(__xludf.DUMMYFUNCTION("""COMPUTED_VALUE"""),"ナンバーナイン")</f>
        <v>ナンバーナイン</v>
      </c>
      <c r="M4723" s="33">
        <f>IFERROR(__xludf.DUMMYFUNCTION("""COMPUTED_VALUE"""),46082.0)</f>
        <v>46082</v>
      </c>
      <c r="N4723" s="33">
        <f>IFERROR(__xludf.DUMMYFUNCTION("""COMPUTED_VALUE"""),46142.0)</f>
        <v>46142</v>
      </c>
      <c r="O4723" s="20"/>
      <c r="P4723" s="32" t="str">
        <f>IFERROR(__xludf.DUMMYFUNCTION("""COMPUTED_VALUE"""),"可")</f>
        <v>可</v>
      </c>
      <c r="Q4723" s="30" t="str">
        <f>IFERROR(__xludf.DUMMYFUNCTION("""COMPUTED_VALUE"""),"がるまに")</f>
        <v>がるまに</v>
      </c>
      <c r="R4723" s="22"/>
      <c r="S4723" s="22" t="str">
        <f>IFERROR(__xludf.DUMMYFUNCTION("""COMPUTED_VALUE"""),"20260218_ナンバーナイン_卒業前日、2年続いたセフレの大和が一線越えてきた【R-18版】")</f>
        <v>20260218_ナンバーナイン_卒業前日、2年続いたセフレの大和が一線越えてきた【R-18版】</v>
      </c>
      <c r="T4723" s="22" t="str">
        <f>IFERROR(__xludf.DUMMYFUNCTION("""COMPUTED_VALUE"""),"格納済み")</f>
        <v>格納済み</v>
      </c>
      <c r="U4723" s="9" t="str">
        <f>IFERROR(__xludf.DUMMYFUNCTION("""COMPUTED_VALUE"""),"(C)リベルタ／ナンバーナイン")</f>
        <v>(C)リベルタ／ナンバーナイン</v>
      </c>
      <c r="V4723" s="8"/>
      <c r="W4723" s="8"/>
      <c r="X4723" s="8" t="str">
        <f>IFERROR(__xludf.DUMMYFUNCTION("""COMPUTED_VALUE"""),"有")</f>
        <v>有</v>
      </c>
      <c r="Y4723" s="8" t="str">
        <f>IFERROR(__xludf.DUMMYFUNCTION("""COMPUTED_VALUE"""),"2026/3/15まで1巻無料")</f>
        <v>2026/3/15まで1巻無料</v>
      </c>
      <c r="Z4723" s="7"/>
      <c r="AA4723" s="7"/>
      <c r="AB4723" s="7"/>
    </row>
    <row r="4724" ht="15.75" customHeight="1">
      <c r="A4724" s="26">
        <f>IFERROR(__xludf.DUMMYFUNCTION("""COMPUTED_VALUE"""),7313.0)</f>
        <v>7313</v>
      </c>
      <c r="B4724" s="22" t="str">
        <f>IFERROR(__xludf.DUMMYFUNCTION("""COMPUTED_VALUE"""),"確定")</f>
        <v>確定</v>
      </c>
      <c r="C4724" s="28">
        <f>IFERROR(__xludf.DUMMYFUNCTION("""COMPUTED_VALUE"""),46049.0)</f>
        <v>46049</v>
      </c>
      <c r="D4724" s="28">
        <f>IFERROR(__xludf.DUMMYFUNCTION("""COMPUTED_VALUE"""),46071.0)</f>
        <v>46071</v>
      </c>
      <c r="E4724" s="26">
        <f>IFERROR(__xludf.DUMMYFUNCTION("""COMPUTED_VALUE"""),352954.0)</f>
        <v>352954</v>
      </c>
      <c r="F4724" s="22" t="str">
        <f>IFERROR(__xludf.DUMMYFUNCTION("""COMPUTED_VALUE"""),"半獣人後輩くんは私と番になりたい【R-18版】")</f>
        <v>半獣人後輩くんは私と番になりたい【R-18版】</v>
      </c>
      <c r="G4724" s="20" t="str">
        <f>IFERROR(__xludf.DUMMYFUNCTION("""COMPUTED_VALUE"""),"1～3")</f>
        <v>1～3</v>
      </c>
      <c r="H4724" s="22" t="str">
        <f>IFERROR(__xludf.DUMMYFUNCTION("""COMPUTED_VALUE"""),"やさい,にな")</f>
        <v>やさい,にな</v>
      </c>
      <c r="I4724" s="22" t="str">
        <f>IFERROR(__xludf.DUMMYFUNCTION("""COMPUTED_VALUE"""),"アダルト")</f>
        <v>アダルト</v>
      </c>
      <c r="J4724" s="22"/>
      <c r="K4724" s="22" t="str">
        <f>IFERROR(__xludf.DUMMYFUNCTION("""COMPUTED_VALUE"""),"リベルタ")</f>
        <v>リベルタ</v>
      </c>
      <c r="L4724" s="22" t="str">
        <f>IFERROR(__xludf.DUMMYFUNCTION("""COMPUTED_VALUE"""),"ナンバーナイン")</f>
        <v>ナンバーナイン</v>
      </c>
      <c r="M4724" s="33">
        <f>IFERROR(__xludf.DUMMYFUNCTION("""COMPUTED_VALUE"""),46082.0)</f>
        <v>46082</v>
      </c>
      <c r="N4724" s="33">
        <f>IFERROR(__xludf.DUMMYFUNCTION("""COMPUTED_VALUE"""),46142.0)</f>
        <v>46142</v>
      </c>
      <c r="O4724" s="20"/>
      <c r="P4724" s="32" t="str">
        <f>IFERROR(__xludf.DUMMYFUNCTION("""COMPUTED_VALUE"""),"可")</f>
        <v>可</v>
      </c>
      <c r="Q4724" s="30" t="str">
        <f>IFERROR(__xludf.DUMMYFUNCTION("""COMPUTED_VALUE"""),"がるまに")</f>
        <v>がるまに</v>
      </c>
      <c r="R4724" s="22"/>
      <c r="S4724" s="22" t="str">
        <f>IFERROR(__xludf.DUMMYFUNCTION("""COMPUTED_VALUE"""),"20260218_ナンバーナイン_半獣人後輩くんは私と番になりたい【R-18版】")</f>
        <v>20260218_ナンバーナイン_半獣人後輩くんは私と番になりたい【R-18版】</v>
      </c>
      <c r="T4724" s="22" t="str">
        <f>IFERROR(__xludf.DUMMYFUNCTION("""COMPUTED_VALUE"""),"格納済み")</f>
        <v>格納済み</v>
      </c>
      <c r="U4724" s="9" t="str">
        <f>IFERROR(__xludf.DUMMYFUNCTION("""COMPUTED_VALUE"""),"(C)リベルタ／ナンバーナイン")</f>
        <v>(C)リベルタ／ナンバーナイン</v>
      </c>
      <c r="V4724" s="8"/>
      <c r="W4724" s="8"/>
      <c r="X4724" s="8" t="str">
        <f>IFERROR(__xludf.DUMMYFUNCTION("""COMPUTED_VALUE"""),"有")</f>
        <v>有</v>
      </c>
      <c r="Y4724" s="8" t="str">
        <f>IFERROR(__xludf.DUMMYFUNCTION("""COMPUTED_VALUE"""),"2026/3/15まで1巻無料")</f>
        <v>2026/3/15まで1巻無料</v>
      </c>
      <c r="Z4724" s="7"/>
      <c r="AA4724" s="7"/>
      <c r="AB4724" s="7"/>
    </row>
    <row r="4725" ht="15.75" customHeight="1">
      <c r="A4725" s="26">
        <f>IFERROR(__xludf.DUMMYFUNCTION("""COMPUTED_VALUE"""),7315.0)</f>
        <v>7315</v>
      </c>
      <c r="B4725" s="22" t="str">
        <f>IFERROR(__xludf.DUMMYFUNCTION("""COMPUTED_VALUE"""),"確定")</f>
        <v>確定</v>
      </c>
      <c r="C4725" s="28">
        <f>IFERROR(__xludf.DUMMYFUNCTION("""COMPUTED_VALUE"""),46049.0)</f>
        <v>46049</v>
      </c>
      <c r="D4725" s="28">
        <f>IFERROR(__xludf.DUMMYFUNCTION("""COMPUTED_VALUE"""),46071.0)</f>
        <v>46071</v>
      </c>
      <c r="E4725" s="26">
        <f>IFERROR(__xludf.DUMMYFUNCTION("""COMPUTED_VALUE"""),352956.0)</f>
        <v>352956</v>
      </c>
      <c r="F4725" s="22" t="str">
        <f>IFERROR(__xludf.DUMMYFUNCTION("""COMPUTED_VALUE"""),"怖くて甘いくちなー様に絆され、堕とされ、犯され──【R-18版】")</f>
        <v>怖くて甘いくちなー様に絆され、堕とされ、犯され──【R-18版】</v>
      </c>
      <c r="G4725" s="20" t="str">
        <f>IFERROR(__xludf.DUMMYFUNCTION("""COMPUTED_VALUE"""),"1～3")</f>
        <v>1～3</v>
      </c>
      <c r="H4725" s="22" t="str">
        <f>IFERROR(__xludf.DUMMYFUNCTION("""COMPUTED_VALUE"""),"たかぶち,パクチーキラー")</f>
        <v>たかぶち,パクチーキラー</v>
      </c>
      <c r="I4725" s="22" t="str">
        <f>IFERROR(__xludf.DUMMYFUNCTION("""COMPUTED_VALUE"""),"アダルト")</f>
        <v>アダルト</v>
      </c>
      <c r="J4725" s="22"/>
      <c r="K4725" s="22" t="str">
        <f>IFERROR(__xludf.DUMMYFUNCTION("""COMPUTED_VALUE"""),"リベルタ")</f>
        <v>リベルタ</v>
      </c>
      <c r="L4725" s="22" t="str">
        <f>IFERROR(__xludf.DUMMYFUNCTION("""COMPUTED_VALUE"""),"ナンバーナイン")</f>
        <v>ナンバーナイン</v>
      </c>
      <c r="M4725" s="33">
        <f>IFERROR(__xludf.DUMMYFUNCTION("""COMPUTED_VALUE"""),46082.0)</f>
        <v>46082</v>
      </c>
      <c r="N4725" s="33">
        <f>IFERROR(__xludf.DUMMYFUNCTION("""COMPUTED_VALUE"""),46142.0)</f>
        <v>46142</v>
      </c>
      <c r="O4725" s="20"/>
      <c r="P4725" s="32" t="str">
        <f>IFERROR(__xludf.DUMMYFUNCTION("""COMPUTED_VALUE"""),"可")</f>
        <v>可</v>
      </c>
      <c r="Q4725" s="30" t="str">
        <f>IFERROR(__xludf.DUMMYFUNCTION("""COMPUTED_VALUE"""),"がるまに")</f>
        <v>がるまに</v>
      </c>
      <c r="R4725" s="22"/>
      <c r="S4725" s="22" t="str">
        <f>IFERROR(__xludf.DUMMYFUNCTION("""COMPUTED_VALUE"""),"20260218_ナンバーナイン_怖くて甘いくちなー様に絆され、堕とされ、犯され──【R-18版】")</f>
        <v>20260218_ナンバーナイン_怖くて甘いくちなー様に絆され、堕とされ、犯され──【R-18版】</v>
      </c>
      <c r="T4725" s="22" t="str">
        <f>IFERROR(__xludf.DUMMYFUNCTION("""COMPUTED_VALUE"""),"格納済み")</f>
        <v>格納済み</v>
      </c>
      <c r="U4725" s="9" t="str">
        <f>IFERROR(__xludf.DUMMYFUNCTION("""COMPUTED_VALUE"""),"(C)リベルタ／ナンバーナイン")</f>
        <v>(C)リベルタ／ナンバーナイン</v>
      </c>
      <c r="V4725" s="8"/>
      <c r="W4725" s="8"/>
      <c r="X4725" s="8" t="str">
        <f>IFERROR(__xludf.DUMMYFUNCTION("""COMPUTED_VALUE"""),"有")</f>
        <v>有</v>
      </c>
      <c r="Y4725" s="8" t="str">
        <f>IFERROR(__xludf.DUMMYFUNCTION("""COMPUTED_VALUE"""),"2026/3/15まで1巻無料")</f>
        <v>2026/3/15まで1巻無料</v>
      </c>
      <c r="Z4725" s="7"/>
      <c r="AA4725" s="7"/>
      <c r="AB4725" s="7"/>
    </row>
    <row r="4726" ht="15.75" customHeight="1">
      <c r="A4726" s="26">
        <f>IFERROR(__xludf.DUMMYFUNCTION("""COMPUTED_VALUE"""),7323.0)</f>
        <v>7323</v>
      </c>
      <c r="B4726" s="22" t="str">
        <f>IFERROR(__xludf.DUMMYFUNCTION("""COMPUTED_VALUE"""),"確定")</f>
        <v>確定</v>
      </c>
      <c r="C4726" s="28">
        <f>IFERROR(__xludf.DUMMYFUNCTION("""COMPUTED_VALUE"""),46049.0)</f>
        <v>46049</v>
      </c>
      <c r="D4726" s="28">
        <f>IFERROR(__xludf.DUMMYFUNCTION("""COMPUTED_VALUE"""),46066.0)</f>
        <v>46066</v>
      </c>
      <c r="E4726" s="26">
        <f>IFERROR(__xludf.DUMMYFUNCTION("""COMPUTED_VALUE"""),352665.0)</f>
        <v>352665</v>
      </c>
      <c r="F4726" s="22" t="str">
        <f>IFERROR(__xludf.DUMMYFUNCTION("""COMPUTED_VALUE"""),"猫と男の子とその父親を買いました。【分冊版】")</f>
        <v>猫と男の子とその父親を買いました。【分冊版】</v>
      </c>
      <c r="G4726" s="20" t="str">
        <f>IFERROR(__xludf.DUMMYFUNCTION("""COMPUTED_VALUE"""),"1～3")</f>
        <v>1～3</v>
      </c>
      <c r="H4726" s="22" t="str">
        <f>IFERROR(__xludf.DUMMYFUNCTION("""COMPUTED_VALUE"""),"山田圭子")</f>
        <v>山田圭子</v>
      </c>
      <c r="I4726" s="22" t="str">
        <f>IFERROR(__xludf.DUMMYFUNCTION("""COMPUTED_VALUE"""),"女性")</f>
        <v>女性</v>
      </c>
      <c r="J4726" s="22"/>
      <c r="K4726" s="22" t="str">
        <f>IFERROR(__xludf.DUMMYFUNCTION("""COMPUTED_VALUE"""),"フォアミセス")</f>
        <v>フォアミセス</v>
      </c>
      <c r="L4726" s="22" t="str">
        <f>IFERROR(__xludf.DUMMYFUNCTION("""COMPUTED_VALUE"""),"秋田書店")</f>
        <v>秋田書店</v>
      </c>
      <c r="M4726" s="33">
        <f>IFERROR(__xludf.DUMMYFUNCTION("""COMPUTED_VALUE"""),46090.0)</f>
        <v>46090</v>
      </c>
      <c r="N4726" s="33">
        <f>IFERROR(__xludf.DUMMYFUNCTION("""COMPUTED_VALUE"""),46120.0)</f>
        <v>46120</v>
      </c>
      <c r="O4726" s="20"/>
      <c r="P4726" s="32" t="str">
        <f>IFERROR(__xludf.DUMMYFUNCTION("""COMPUTED_VALUE"""),"可")</f>
        <v>可</v>
      </c>
      <c r="Q4726" s="30" t="str">
        <f>IFERROR(__xludf.DUMMYFUNCTION("""COMPUTED_VALUE"""),"3話素材の共有までに時間がかかるため、1~2話素材で広告制作お願いいたします。")</f>
        <v>3話素材の共有までに時間がかかるため、1~2話素材で広告制作お願いいたします。</v>
      </c>
      <c r="R4726" s="22"/>
      <c r="S4726" s="22" t="str">
        <f>IFERROR(__xludf.DUMMYFUNCTION("""COMPUTED_VALUE"""),"20260213_秋田書店_猫と男の子とその父親を買いました。【分冊版】")</f>
        <v>20260213_秋田書店_猫と男の子とその父親を買いました。【分冊版】</v>
      </c>
      <c r="T4726" s="22" t="str">
        <f>IFERROR(__xludf.DUMMYFUNCTION("""COMPUTED_VALUE"""),"格納済み")</f>
        <v>格納済み</v>
      </c>
      <c r="U4726" s="9" t="str">
        <f>IFERROR(__xludf.DUMMYFUNCTION("""COMPUTED_VALUE"""),"（C）山田圭子（秋田書店）")</f>
        <v>（C）山田圭子（秋田書店）</v>
      </c>
      <c r="V4726" s="8"/>
      <c r="W4726" s="8"/>
      <c r="X4726" s="8" t="str">
        <f>IFERROR(__xludf.DUMMYFUNCTION("""COMPUTED_VALUE"""),"有")</f>
        <v>有</v>
      </c>
      <c r="Y4726" s="8" t="str">
        <f>IFERROR(__xludf.DUMMYFUNCTION("""COMPUTED_VALUE"""),"2026/4/8まで1巻無料")</f>
        <v>2026/4/8まで1巻無料</v>
      </c>
      <c r="Z4726" s="7"/>
      <c r="AA4726" s="7"/>
      <c r="AB4726" s="7"/>
    </row>
    <row r="4727" ht="15.75" customHeight="1">
      <c r="A4727" s="26">
        <f>IFERROR(__xludf.DUMMYFUNCTION("""COMPUTED_VALUE"""),7324.0)</f>
        <v>7324</v>
      </c>
      <c r="B4727" s="22" t="str">
        <f>IFERROR(__xludf.DUMMYFUNCTION("""COMPUTED_VALUE"""),"確定")</f>
        <v>確定</v>
      </c>
      <c r="C4727" s="28">
        <f>IFERROR(__xludf.DUMMYFUNCTION("""COMPUTED_VALUE"""),46049.0)</f>
        <v>46049</v>
      </c>
      <c r="D4727" s="28">
        <f>IFERROR(__xludf.DUMMYFUNCTION("""COMPUTED_VALUE"""),46066.0)</f>
        <v>46066</v>
      </c>
      <c r="E4727" s="26">
        <f>IFERROR(__xludf.DUMMYFUNCTION("""COMPUTED_VALUE"""),353524.0)</f>
        <v>353524</v>
      </c>
      <c r="F4727" s="22" t="str">
        <f>IFERROR(__xludf.DUMMYFUNCTION("""COMPUTED_VALUE"""),"ホントは彼女って言いたいのに。")</f>
        <v>ホントは彼女って言いたいのに。</v>
      </c>
      <c r="G4727" s="20" t="str">
        <f>IFERROR(__xludf.DUMMYFUNCTION("""COMPUTED_VALUE"""),"1～5")</f>
        <v>1～5</v>
      </c>
      <c r="H4727" s="22" t="str">
        <f>IFERROR(__xludf.DUMMYFUNCTION("""COMPUTED_VALUE"""),"春乃ミコ")</f>
        <v>春乃ミコ</v>
      </c>
      <c r="I4727" s="22" t="str">
        <f>IFERROR(__xludf.DUMMYFUNCTION("""COMPUTED_VALUE"""),"少女")</f>
        <v>少女</v>
      </c>
      <c r="J4727" s="22"/>
      <c r="K4727" s="22"/>
      <c r="L4727" s="22" t="str">
        <f>IFERROR(__xludf.DUMMYFUNCTION("""COMPUTED_VALUE"""),"アイエムエー")</f>
        <v>アイエムエー</v>
      </c>
      <c r="M4727" s="33">
        <f>IFERROR(__xludf.DUMMYFUNCTION("""COMPUTED_VALUE"""),46113.0)</f>
        <v>46113</v>
      </c>
      <c r="N4727" s="33">
        <f>IFERROR(__xludf.DUMMYFUNCTION("""COMPUTED_VALUE"""),46265.66666666667)</f>
        <v>46265.66667</v>
      </c>
      <c r="O4727" s="20"/>
      <c r="P4727" s="32" t="str">
        <f>IFERROR(__xludf.DUMMYFUNCTION("""COMPUTED_VALUE"""),"否")</f>
        <v>否</v>
      </c>
      <c r="Q4727" s="30"/>
      <c r="R4727" s="22" t="str">
        <f>IFERROR(__xludf.DUMMYFUNCTION("""COMPUTED_VALUE"""),"コミットOK")</f>
        <v>コミットOK</v>
      </c>
      <c r="S4727" s="22" t="str">
        <f>IFERROR(__xludf.DUMMYFUNCTION("""COMPUTED_VALUE"""),"20260213_アイエムエー_ホントは彼女って言いたいのに。")</f>
        <v>20260213_アイエムエー_ホントは彼女って言いたいのに。</v>
      </c>
      <c r="T4727" s="22" t="str">
        <f>IFERROR(__xludf.DUMMYFUNCTION("""COMPUTED_VALUE"""),"格納済み")</f>
        <v>格納済み</v>
      </c>
      <c r="U4727" s="9" t="str">
        <f>IFERROR(__xludf.DUMMYFUNCTION("""COMPUTED_VALUE"""),"春乃ミコ/アイエムエー")</f>
        <v>春乃ミコ/アイエムエー</v>
      </c>
      <c r="V4727" s="8"/>
      <c r="W4727" s="8"/>
      <c r="X4727" s="8" t="str">
        <f>IFERROR(__xludf.DUMMYFUNCTION("""COMPUTED_VALUE"""),"有")</f>
        <v>有</v>
      </c>
      <c r="Y4727" s="8" t="str">
        <f>IFERROR(__xludf.DUMMYFUNCTION("""COMPUTED_VALUE"""),"P10まで")</f>
        <v>P10まで</v>
      </c>
      <c r="Z4727" s="7"/>
      <c r="AA4727" s="7"/>
      <c r="AB4727" s="7"/>
    </row>
    <row r="4728" ht="15.75" customHeight="1">
      <c r="A4728" s="26">
        <f>IFERROR(__xludf.DUMMYFUNCTION("""COMPUTED_VALUE"""),7355.0)</f>
        <v>7355</v>
      </c>
      <c r="B4728" s="22" t="str">
        <f>IFERROR(__xludf.DUMMYFUNCTION("""COMPUTED_VALUE"""),"確定")</f>
        <v>確定</v>
      </c>
      <c r="C4728" s="28">
        <f>IFERROR(__xludf.DUMMYFUNCTION("""COMPUTED_VALUE"""),46055.0)</f>
        <v>46055</v>
      </c>
      <c r="D4728" s="28">
        <f>IFERROR(__xludf.DUMMYFUNCTION("""COMPUTED_VALUE"""),46069.0)</f>
        <v>46069</v>
      </c>
      <c r="E4728" s="26">
        <f>IFERROR(__xludf.DUMMYFUNCTION("""COMPUTED_VALUE"""),352798.0)</f>
        <v>352798</v>
      </c>
      <c r="F4728" s="22" t="str">
        <f>IFERROR(__xludf.DUMMYFUNCTION("""COMPUTED_VALUE"""),"天使様は跪かない")</f>
        <v>天使様は跪かない</v>
      </c>
      <c r="G4728" s="20" t="str">
        <f>IFERROR(__xludf.DUMMYFUNCTION("""COMPUTED_VALUE"""),"1～3")</f>
        <v>1～3</v>
      </c>
      <c r="H4728" s="22" t="str">
        <f>IFERROR(__xludf.DUMMYFUNCTION("""COMPUTED_VALUE"""),"大島ニコラ")</f>
        <v>大島ニコラ</v>
      </c>
      <c r="I4728" s="22" t="str">
        <f>IFERROR(__xludf.DUMMYFUNCTION("""COMPUTED_VALUE"""),"BL")</f>
        <v>BL</v>
      </c>
      <c r="J4728" s="22"/>
      <c r="K4728" s="22" t="str">
        <f>IFERROR(__xludf.DUMMYFUNCTION("""COMPUTED_VALUE"""),"Tulle")</f>
        <v>Tulle</v>
      </c>
      <c r="L4728" s="22" t="str">
        <f>IFERROR(__xludf.DUMMYFUNCTION("""COMPUTED_VALUE"""),"ブライト出版")</f>
        <v>ブライト出版</v>
      </c>
      <c r="M4728" s="33">
        <f>IFERROR(__xludf.DUMMYFUNCTION("""COMPUTED_VALUE"""),46095.0)</f>
        <v>46095</v>
      </c>
      <c r="N4728" s="33">
        <f>IFERROR(__xludf.DUMMYFUNCTION("""COMPUTED_VALUE"""),46199.0)</f>
        <v>46199</v>
      </c>
      <c r="O4728" s="20"/>
      <c r="P4728" s="32" t="str">
        <f>IFERROR(__xludf.DUMMYFUNCTION("""COMPUTED_VALUE"""),"可")</f>
        <v>可</v>
      </c>
      <c r="Q4728" s="30"/>
      <c r="R4728" s="22" t="str">
        <f>IFERROR(__xludf.DUMMYFUNCTION("""COMPUTED_VALUE"""),"コミットOK")</f>
        <v>コミットOK</v>
      </c>
      <c r="S4728" s="22" t="str">
        <f>IFERROR(__xludf.DUMMYFUNCTION("""COMPUTED_VALUE"""),"20260213_ブライト出版_天使様は跪かない")</f>
        <v>20260213_ブライト出版_天使様は跪かない</v>
      </c>
      <c r="T4728" s="22" t="str">
        <f>IFERROR(__xludf.DUMMYFUNCTION("""COMPUTED_VALUE"""),"格納済み")</f>
        <v>格納済み</v>
      </c>
      <c r="U4728" s="9" t="str">
        <f>IFERROR(__xludf.DUMMYFUNCTION("""COMPUTED_VALUE"""),"(C)大島ニコラ/ブライト出版")</f>
        <v>(C)大島ニコラ/ブライト出版</v>
      </c>
      <c r="V4728" s="8"/>
      <c r="W4728" s="8"/>
      <c r="X4728" s="8" t="str">
        <f>IFERROR(__xludf.DUMMYFUNCTION("""COMPUTED_VALUE"""),"有")</f>
        <v>有</v>
      </c>
      <c r="Y4728" s="8" t="str">
        <f>IFERROR(__xludf.DUMMYFUNCTION("""COMPUTED_VALUE"""),"P14まで")</f>
        <v>P14まで</v>
      </c>
      <c r="Z4728" s="7"/>
      <c r="AA4728" s="7"/>
      <c r="AB4728" s="7"/>
    </row>
    <row r="4729" ht="15.75" customHeight="1">
      <c r="A4729" s="26">
        <f>IFERROR(__xludf.DUMMYFUNCTION("""COMPUTED_VALUE"""),7356.0)</f>
        <v>7356</v>
      </c>
      <c r="B4729" s="22" t="str">
        <f>IFERROR(__xludf.DUMMYFUNCTION("""COMPUTED_VALUE"""),"確定")</f>
        <v>確定</v>
      </c>
      <c r="C4729" s="28">
        <f>IFERROR(__xludf.DUMMYFUNCTION("""COMPUTED_VALUE"""),46055.0)</f>
        <v>46055</v>
      </c>
      <c r="D4729" s="28">
        <f>IFERROR(__xludf.DUMMYFUNCTION("""COMPUTED_VALUE"""),46069.0)</f>
        <v>46069</v>
      </c>
      <c r="E4729" s="26">
        <f>IFERROR(__xludf.DUMMYFUNCTION("""COMPUTED_VALUE"""),352795.0)</f>
        <v>352795</v>
      </c>
      <c r="F4729" s="22" t="str">
        <f>IFERROR(__xludf.DUMMYFUNCTION("""COMPUTED_VALUE"""),"破滅予定の錬金術師は平穏ライフを送りたい")</f>
        <v>破滅予定の錬金術師は平穏ライフを送りたい</v>
      </c>
      <c r="G4729" s="20" t="str">
        <f>IFERROR(__xludf.DUMMYFUNCTION("""COMPUTED_VALUE"""),"1～3")</f>
        <v>1～3</v>
      </c>
      <c r="H4729" s="22" t="str">
        <f>IFERROR(__xludf.DUMMYFUNCTION("""COMPUTED_VALUE"""),"えぬ夏")</f>
        <v>えぬ夏</v>
      </c>
      <c r="I4729" s="22" t="str">
        <f>IFERROR(__xludf.DUMMYFUNCTION("""COMPUTED_VALUE"""),"BL")</f>
        <v>BL</v>
      </c>
      <c r="J4729" s="22"/>
      <c r="K4729" s="22" t="str">
        <f>IFERROR(__xludf.DUMMYFUNCTION("""COMPUTED_VALUE"""),"Tulle")</f>
        <v>Tulle</v>
      </c>
      <c r="L4729" s="22" t="str">
        <f>IFERROR(__xludf.DUMMYFUNCTION("""COMPUTED_VALUE"""),"ブライト出版")</f>
        <v>ブライト出版</v>
      </c>
      <c r="M4729" s="33">
        <f>IFERROR(__xludf.DUMMYFUNCTION("""COMPUTED_VALUE"""),46095.0)</f>
        <v>46095</v>
      </c>
      <c r="N4729" s="33">
        <f>IFERROR(__xludf.DUMMYFUNCTION("""COMPUTED_VALUE"""),46199.0)</f>
        <v>46199</v>
      </c>
      <c r="O4729" s="20"/>
      <c r="P4729" s="32" t="str">
        <f>IFERROR(__xludf.DUMMYFUNCTION("""COMPUTED_VALUE"""),"可")</f>
        <v>可</v>
      </c>
      <c r="Q4729" s="30" t="str">
        <f>IFERROR(__xludf.DUMMYFUNCTION("""COMPUTED_VALUE"""),"【アダルト作品扱い】&lt;BR&gt;")</f>
        <v>【アダルト作品扱い】&lt;BR&gt;</v>
      </c>
      <c r="R4729" s="22" t="str">
        <f>IFERROR(__xludf.DUMMYFUNCTION("""COMPUTED_VALUE"""),"コミットOK")</f>
        <v>コミットOK</v>
      </c>
      <c r="S4729" s="22" t="str">
        <f>IFERROR(__xludf.DUMMYFUNCTION("""COMPUTED_VALUE"""),"20260213_ブライト出版_破滅予定の錬金術師は平穏ライフを送りたい")</f>
        <v>20260213_ブライト出版_破滅予定の錬金術師は平穏ライフを送りたい</v>
      </c>
      <c r="T4729" s="22" t="str">
        <f>IFERROR(__xludf.DUMMYFUNCTION("""COMPUTED_VALUE"""),"格納済み")</f>
        <v>格納済み</v>
      </c>
      <c r="U4729" s="9" t="str">
        <f>IFERROR(__xludf.DUMMYFUNCTION("""COMPUTED_VALUE"""),"(C)えぬ夏／ブライト出版")</f>
        <v>(C)えぬ夏／ブライト出版</v>
      </c>
      <c r="V4729" s="8"/>
      <c r="W4729" s="8"/>
      <c r="X4729" s="8" t="str">
        <f>IFERROR(__xludf.DUMMYFUNCTION("""COMPUTED_VALUE"""),"有")</f>
        <v>有</v>
      </c>
      <c r="Y4729" s="8" t="str">
        <f>IFERROR(__xludf.DUMMYFUNCTION("""COMPUTED_VALUE"""),"P12まで")</f>
        <v>P12まで</v>
      </c>
      <c r="Z4729" s="7"/>
      <c r="AA4729" s="7"/>
      <c r="AB4729" s="7"/>
    </row>
    <row r="4730" ht="15.75" customHeight="1">
      <c r="A4730" s="26">
        <f>IFERROR(__xludf.DUMMYFUNCTION("""COMPUTED_VALUE"""),7371.0)</f>
        <v>7371</v>
      </c>
      <c r="B4730" s="22" t="str">
        <f>IFERROR(__xludf.DUMMYFUNCTION("""COMPUTED_VALUE"""),"確定")</f>
        <v>確定</v>
      </c>
      <c r="C4730" s="28">
        <f>IFERROR(__xludf.DUMMYFUNCTION("""COMPUTED_VALUE"""),46056.0)</f>
        <v>46056</v>
      </c>
      <c r="D4730" s="28">
        <f>IFERROR(__xludf.DUMMYFUNCTION("""COMPUTED_VALUE"""),46066.0)</f>
        <v>46066</v>
      </c>
      <c r="E4730" s="26">
        <f>IFERROR(__xludf.DUMMYFUNCTION("""COMPUTED_VALUE"""),352792.0)</f>
        <v>352792</v>
      </c>
      <c r="F4730" s="22" t="str">
        <f>IFERROR(__xludf.DUMMYFUNCTION("""COMPUTED_VALUE"""),"異能の姫は後宮の妖を祓う　平安陰陽奇譚 THE COMIC【分冊版】")</f>
        <v>異能の姫は後宮の妖を祓う　平安陰陽奇譚 THE COMIC【分冊版】</v>
      </c>
      <c r="G4730" s="20" t="str">
        <f>IFERROR(__xludf.DUMMYFUNCTION("""COMPUTED_VALUE"""),"1～4")</f>
        <v>1～4</v>
      </c>
      <c r="H4730" s="22" t="str">
        <f>IFERROR(__xludf.DUMMYFUNCTION("""COMPUTED_VALUE"""),"原作：藤夜（角川文庫刊）　漫画：にしき秋湖")</f>
        <v>原作：藤夜（角川文庫刊）　漫画：にしき秋湖</v>
      </c>
      <c r="I4730" s="22" t="str">
        <f>IFERROR(__xludf.DUMMYFUNCTION("""COMPUTED_VALUE"""),"少女マンガ")</f>
        <v>少女マンガ</v>
      </c>
      <c r="J4730" s="22"/>
      <c r="K4730" s="22"/>
      <c r="L4730" s="22" t="str">
        <f>IFERROR(__xludf.DUMMYFUNCTION("""COMPUTED_VALUE"""),"マッグガーデン")</f>
        <v>マッグガーデン</v>
      </c>
      <c r="M4730" s="33">
        <f>IFERROR(__xludf.DUMMYFUNCTION("""COMPUTED_VALUE"""),46096.0)</f>
        <v>46096</v>
      </c>
      <c r="N4730" s="33">
        <f>IFERROR(__xludf.DUMMYFUNCTION("""COMPUTED_VALUE"""),46187.0)</f>
        <v>46187</v>
      </c>
      <c r="O4730" s="20"/>
      <c r="P4730" s="32" t="str">
        <f>IFERROR(__xludf.DUMMYFUNCTION("""COMPUTED_VALUE"""),"可")</f>
        <v>可</v>
      </c>
      <c r="Q4730" s="30"/>
      <c r="R4730" s="22" t="str">
        <f>IFERROR(__xludf.DUMMYFUNCTION("""COMPUTED_VALUE"""),"コミットOK")</f>
        <v>コミットOK</v>
      </c>
      <c r="S4730" s="22" t="str">
        <f>IFERROR(__xludf.DUMMYFUNCTION("""COMPUTED_VALUE"""),"20260212_マッグガーデン_異能の姫は後宮の妖を祓う　平安陰陽奇譚 THE COMIC")</f>
        <v>20260212_マッグガーデン_異能の姫は後宮の妖を祓う　平安陰陽奇譚 THE COMIC</v>
      </c>
      <c r="T4730" s="22" t="str">
        <f>IFERROR(__xludf.DUMMYFUNCTION("""COMPUTED_VALUE"""),"格納済み")</f>
        <v>格納済み</v>
      </c>
      <c r="U4730" s="9" t="str">
        <f>IFERROR(__xludf.DUMMYFUNCTION("""COMPUTED_VALUE"""),"(C)Touya/KADOKAWA (C)Nishiki Akiko/MAG Garden")</f>
        <v>(C)Touya/KADOKAWA (C)Nishiki Akiko/MAG Garden</v>
      </c>
      <c r="V4730" s="8"/>
      <c r="W4730" s="8"/>
      <c r="X4730" s="8" t="str">
        <f>IFERROR(__xludf.DUMMYFUNCTION("""COMPUTED_VALUE"""),"有")</f>
        <v>有</v>
      </c>
      <c r="Y4730" s="8" t="str">
        <f>IFERROR(__xludf.DUMMYFUNCTION("""COMPUTED_VALUE"""),"2026/6/14まで1巻無料")</f>
        <v>2026/6/14まで1巻無料</v>
      </c>
      <c r="Z4730" s="7"/>
      <c r="AA4730" s="7"/>
      <c r="AB4730" s="7"/>
    </row>
    <row r="4731" ht="15.75" customHeight="1">
      <c r="A4731" s="26">
        <f>IFERROR(__xludf.DUMMYFUNCTION("""COMPUTED_VALUE"""),7380.0)</f>
        <v>7380</v>
      </c>
      <c r="B4731" s="22" t="str">
        <f>IFERROR(__xludf.DUMMYFUNCTION("""COMPUTED_VALUE"""),"確定")</f>
        <v>確定</v>
      </c>
      <c r="C4731" s="28">
        <f>IFERROR(__xludf.DUMMYFUNCTION("""COMPUTED_VALUE"""),46057.0)</f>
        <v>46057</v>
      </c>
      <c r="D4731" s="28">
        <f>IFERROR(__xludf.DUMMYFUNCTION("""COMPUTED_VALUE"""),46063.0)</f>
        <v>46063</v>
      </c>
      <c r="E4731" s="26">
        <f>IFERROR(__xludf.DUMMYFUNCTION("""COMPUTED_VALUE"""),354417.0)</f>
        <v>354417</v>
      </c>
      <c r="F4731" s="22" t="str">
        <f>IFERROR(__xludf.DUMMYFUNCTION("""COMPUTED_VALUE"""),"生意気な後輩くんの豹変スイッチ")</f>
        <v>生意気な後輩くんの豹変スイッチ</v>
      </c>
      <c r="G4731" s="20" t="str">
        <f>IFERROR(__xludf.DUMMYFUNCTION("""COMPUTED_VALUE"""),"1～3")</f>
        <v>1～3</v>
      </c>
      <c r="H4731" s="22" t="str">
        <f>IFERROR(__xludf.DUMMYFUNCTION("""COMPUTED_VALUE"""),"四季島しま")</f>
        <v>四季島しま</v>
      </c>
      <c r="I4731" s="22" t="str">
        <f>IFERROR(__xludf.DUMMYFUNCTION("""COMPUTED_VALUE"""),"女性")</f>
        <v>女性</v>
      </c>
      <c r="J4731" s="22"/>
      <c r="K4731" s="22" t="str">
        <f>IFERROR(__xludf.DUMMYFUNCTION("""COMPUTED_VALUE"""),"Haute Couture")</f>
        <v>Haute Couture</v>
      </c>
      <c r="L4731" s="22" t="str">
        <f>IFERROR(__xludf.DUMMYFUNCTION("""COMPUTED_VALUE"""),"ガラン")</f>
        <v>ガラン</v>
      </c>
      <c r="M4731" s="33">
        <f>IFERROR(__xludf.DUMMYFUNCTION("""COMPUTED_VALUE"""),46092.0)</f>
        <v>46092</v>
      </c>
      <c r="N4731" s="33">
        <f>IFERROR(__xludf.DUMMYFUNCTION("""COMPUTED_VALUE"""),46190.0)</f>
        <v>46190</v>
      </c>
      <c r="O4731" s="20"/>
      <c r="P4731" s="32" t="str">
        <f>IFERROR(__xludf.DUMMYFUNCTION("""COMPUTED_VALUE"""),"可")</f>
        <v>可</v>
      </c>
      <c r="Q4731" s="30"/>
      <c r="R4731" s="22" t="str">
        <f>IFERROR(__xludf.DUMMYFUNCTION("""COMPUTED_VALUE"""),"コミットNG")</f>
        <v>コミットNG</v>
      </c>
      <c r="S4731" s="22" t="str">
        <f>IFERROR(__xludf.DUMMYFUNCTION("""COMPUTED_VALUE"""),"20260210_ガラン_生意気な後輩くんの豹変スイッチ")</f>
        <v>20260210_ガラン_生意気な後輩くんの豹変スイッチ</v>
      </c>
      <c r="T4731" s="22" t="str">
        <f>IFERROR(__xludf.DUMMYFUNCTION("""COMPUTED_VALUE"""),"格納済み")</f>
        <v>格納済み</v>
      </c>
      <c r="U4731" s="9" t="str">
        <f>IFERROR(__xludf.DUMMYFUNCTION("""COMPUTED_VALUE"""),"四季島しま／Haute Couture")</f>
        <v>四季島しま／Haute Couture</v>
      </c>
      <c r="V4731" s="8"/>
      <c r="W4731" s="8"/>
      <c r="X4731" s="8" t="str">
        <f>IFERROR(__xludf.DUMMYFUNCTION("""COMPUTED_VALUE"""),"有")</f>
        <v>有</v>
      </c>
      <c r="Y4731" s="8" t="str">
        <f>IFERROR(__xludf.DUMMYFUNCTION("""COMPUTED_VALUE"""),"1巻無料")</f>
        <v>1巻無料</v>
      </c>
      <c r="Z4731" s="7"/>
      <c r="AA4731" s="7"/>
      <c r="AB4731" s="7"/>
    </row>
    <row r="4732" ht="15.75" customHeight="1">
      <c r="A4732" s="26">
        <f>IFERROR(__xludf.DUMMYFUNCTION("""COMPUTED_VALUE"""),7416.0)</f>
        <v>7416</v>
      </c>
      <c r="B4732" s="22" t="str">
        <f>IFERROR(__xludf.DUMMYFUNCTION("""COMPUTED_VALUE"""),"確定")</f>
        <v>確定</v>
      </c>
      <c r="C4732" s="28">
        <f>IFERROR(__xludf.DUMMYFUNCTION("""COMPUTED_VALUE"""),46062.0)</f>
        <v>46062</v>
      </c>
      <c r="D4732" s="28">
        <f>IFERROR(__xludf.DUMMYFUNCTION("""COMPUTED_VALUE"""),46069.0)</f>
        <v>46069</v>
      </c>
      <c r="E4732" s="26">
        <f>IFERROR(__xludf.DUMMYFUNCTION("""COMPUTED_VALUE"""),319380.0)</f>
        <v>319380</v>
      </c>
      <c r="F4732" s="22" t="str">
        <f>IFERROR(__xludf.DUMMYFUNCTION("""COMPUTED_VALUE"""),"官能小説家とうぶな淫魔")</f>
        <v>官能小説家とうぶな淫魔</v>
      </c>
      <c r="G4732" s="20" t="str">
        <f>IFERROR(__xludf.DUMMYFUNCTION("""COMPUTED_VALUE"""),"1～3")</f>
        <v>1～3</v>
      </c>
      <c r="H4732" s="22" t="str">
        <f>IFERROR(__xludf.DUMMYFUNCTION("""COMPUTED_VALUE"""),"おつぼくのみ")</f>
        <v>おつぼくのみ</v>
      </c>
      <c r="I4732" s="22" t="str">
        <f>IFERROR(__xludf.DUMMYFUNCTION("""COMPUTED_VALUE"""),"BLマンガ")</f>
        <v>BLマンガ</v>
      </c>
      <c r="J4732" s="22"/>
      <c r="K4732" s="22" t="str">
        <f>IFERROR(__xludf.DUMMYFUNCTION("""COMPUTED_VALUE"""),"Ficus")</f>
        <v>Ficus</v>
      </c>
      <c r="L4732" s="22" t="str">
        <f>IFERROR(__xludf.DUMMYFUNCTION("""COMPUTED_VALUE"""),"シーモアコミックス")</f>
        <v>シーモアコミックス</v>
      </c>
      <c r="M4732" s="33">
        <f>IFERROR(__xludf.DUMMYFUNCTION("""COMPUTED_VALUE"""),46095.0)</f>
        <v>46095</v>
      </c>
      <c r="N4732" s="33">
        <f>IFERROR(__xludf.DUMMYFUNCTION("""COMPUTED_VALUE"""),2958465.0)</f>
        <v>2958465</v>
      </c>
      <c r="O4732" s="20"/>
      <c r="P4732" s="32" t="str">
        <f>IFERROR(__xludf.DUMMYFUNCTION("""COMPUTED_VALUE"""),"可")</f>
        <v>可</v>
      </c>
      <c r="Q4732" s="30"/>
      <c r="R4732" s="22"/>
      <c r="S4732" s="22" t="str">
        <f>IFERROR(__xludf.DUMMYFUNCTION("""COMPUTED_VALUE"""),"20260209_シーモアコミックス_官能小説家とうぶな淫魔")</f>
        <v>20260209_シーモアコミックス_官能小説家とうぶな淫魔</v>
      </c>
      <c r="T4732" s="22" t="str">
        <f>IFERROR(__xludf.DUMMYFUNCTION("""COMPUTED_VALUE"""),"格納済み")</f>
        <v>格納済み</v>
      </c>
      <c r="U4732" s="9" t="str">
        <f>IFERROR(__xludf.DUMMYFUNCTION("""COMPUTED_VALUE"""),"(C) おつぼくのみ/シーモアコミックス")</f>
        <v>(C) おつぼくのみ/シーモアコミックス</v>
      </c>
      <c r="V4732" s="8"/>
      <c r="W4732" s="8"/>
      <c r="X4732" s="8" t="str">
        <f>IFERROR(__xludf.DUMMYFUNCTION("""COMPUTED_VALUE"""),"有")</f>
        <v>有</v>
      </c>
      <c r="Y4732" s="8" t="str">
        <f>IFERROR(__xludf.DUMMYFUNCTION("""COMPUTED_VALUE"""),"2026/4/10まで1巻無料")</f>
        <v>2026/4/10まで1巻無料</v>
      </c>
      <c r="Z4732" s="7"/>
      <c r="AA4732" s="7"/>
      <c r="AB4732" s="7"/>
    </row>
    <row r="4733" ht="15.75" customHeight="1">
      <c r="A4733" s="26">
        <f>IFERROR(__xludf.DUMMYFUNCTION("""COMPUTED_VALUE"""),7429.0)</f>
        <v>7429</v>
      </c>
      <c r="B4733" s="22" t="str">
        <f>IFERROR(__xludf.DUMMYFUNCTION("""COMPUTED_VALUE"""),"確定")</f>
        <v>確定</v>
      </c>
      <c r="C4733" s="28">
        <f>IFERROR(__xludf.DUMMYFUNCTION("""COMPUTED_VALUE"""),46063.0)</f>
        <v>46063</v>
      </c>
      <c r="D4733" s="28">
        <f>IFERROR(__xludf.DUMMYFUNCTION("""COMPUTED_VALUE"""),46070.0)</f>
        <v>46070</v>
      </c>
      <c r="E4733" s="26">
        <f>IFERROR(__xludf.DUMMYFUNCTION("""COMPUTED_VALUE"""),352658.0)</f>
        <v>352658</v>
      </c>
      <c r="F4733" s="22" t="str">
        <f>IFERROR(__xludf.DUMMYFUNCTION("""COMPUTED_VALUE"""),"マッチングした彼はストーカーでした")</f>
        <v>マッチングした彼はストーカーでした</v>
      </c>
      <c r="G4733" s="20" t="str">
        <f>IFERROR(__xludf.DUMMYFUNCTION("""COMPUTED_VALUE"""),"1～3")</f>
        <v>1～3</v>
      </c>
      <c r="H4733" s="22" t="str">
        <f>IFERROR(__xludf.DUMMYFUNCTION("""COMPUTED_VALUE"""),"由良野")</f>
        <v>由良野</v>
      </c>
      <c r="I4733" s="22" t="str">
        <f>IFERROR(__xludf.DUMMYFUNCTION("""COMPUTED_VALUE"""),"TL")</f>
        <v>TL</v>
      </c>
      <c r="J4733" s="22"/>
      <c r="K4733" s="22" t="str">
        <f>IFERROR(__xludf.DUMMYFUNCTION("""COMPUTED_VALUE"""),"ラスティナ")</f>
        <v>ラスティナ</v>
      </c>
      <c r="L4733" s="22" t="str">
        <f>IFERROR(__xludf.DUMMYFUNCTION("""COMPUTED_VALUE"""),"セ・キララ文庫")</f>
        <v>セ・キララ文庫</v>
      </c>
      <c r="M4733" s="33">
        <f>IFERROR(__xludf.DUMMYFUNCTION("""COMPUTED_VALUE"""),46091.0)</f>
        <v>46091</v>
      </c>
      <c r="N4733" s="33">
        <f>IFERROR(__xludf.DUMMYFUNCTION("""COMPUTED_VALUE"""),46121.0)</f>
        <v>46121</v>
      </c>
      <c r="O4733" s="20"/>
      <c r="P4733" s="32" t="str">
        <f>IFERROR(__xludf.DUMMYFUNCTION("""COMPUTED_VALUE"""),"可")</f>
        <v>可</v>
      </c>
      <c r="Q4733" s="30" t="str">
        <f>IFERROR(__xludf.DUMMYFUNCTION("""COMPUTED_VALUE"""),"【アダルト作品扱い】")</f>
        <v>【アダルト作品扱い】</v>
      </c>
      <c r="R4733" s="22"/>
      <c r="S4733" s="22" t="str">
        <f>IFERROR(__xludf.DUMMYFUNCTION("""COMPUTED_VALUE"""),"20260210_ライドオン_マッチングした彼はストーカーでした")</f>
        <v>20260210_ライドオン_マッチングした彼はストーカーでした</v>
      </c>
      <c r="T4733" s="22" t="str">
        <f>IFERROR(__xludf.DUMMYFUNCTION("""COMPUTED_VALUE"""),"格納済み")</f>
        <v>格納済み</v>
      </c>
      <c r="U4733" s="9" t="str">
        <f>IFERROR(__xludf.DUMMYFUNCTION("""COMPUTED_VALUE"""),"Ⓒ由良野/セ・キララ文庫")</f>
        <v>Ⓒ由良野/セ・キララ文庫</v>
      </c>
      <c r="V4733" s="8"/>
      <c r="W4733" s="8"/>
      <c r="X4733" s="8" t="str">
        <f>IFERROR(__xludf.DUMMYFUNCTION("""COMPUTED_VALUE"""),"有")</f>
        <v>有</v>
      </c>
      <c r="Y4733" s="8" t="str">
        <f>IFERROR(__xludf.DUMMYFUNCTION("""COMPUTED_VALUE"""),"P13まで")</f>
        <v>P13まで</v>
      </c>
      <c r="Z4733" s="7"/>
      <c r="AA4733" s="7"/>
      <c r="AB4733" s="7"/>
    </row>
    <row r="4734" ht="15.75" customHeight="1">
      <c r="A4734" s="26">
        <f>IFERROR(__xludf.DUMMYFUNCTION("""COMPUTED_VALUE"""),7430.0)</f>
        <v>7430</v>
      </c>
      <c r="B4734" s="22" t="str">
        <f>IFERROR(__xludf.DUMMYFUNCTION("""COMPUTED_VALUE"""),"確定")</f>
        <v>確定</v>
      </c>
      <c r="C4734" s="28">
        <f>IFERROR(__xludf.DUMMYFUNCTION("""COMPUTED_VALUE"""),46063.0)</f>
        <v>46063</v>
      </c>
      <c r="D4734" s="28">
        <f>IFERROR(__xludf.DUMMYFUNCTION("""COMPUTED_VALUE"""),46069.0)</f>
        <v>46069</v>
      </c>
      <c r="E4734" s="26">
        <f>IFERROR(__xludf.DUMMYFUNCTION("""COMPUTED_VALUE"""),352664.0)</f>
        <v>352664</v>
      </c>
      <c r="F4734" s="22" t="str">
        <f>IFERROR(__xludf.DUMMYFUNCTION("""COMPUTED_VALUE"""),"ほんとに好きにしていいの？～飛鳥くんは私の可愛いワンちゃん～")</f>
        <v>ほんとに好きにしていいの？～飛鳥くんは私の可愛いワンちゃん～</v>
      </c>
      <c r="G4734" s="20" t="str">
        <f>IFERROR(__xludf.DUMMYFUNCTION("""COMPUTED_VALUE"""),"1～2")</f>
        <v>1～2</v>
      </c>
      <c r="H4734" s="22" t="str">
        <f>IFERROR(__xludf.DUMMYFUNCTION("""COMPUTED_VALUE"""),"カキモチアラレ")</f>
        <v>カキモチアラレ</v>
      </c>
      <c r="I4734" s="22" t="str">
        <f>IFERROR(__xludf.DUMMYFUNCTION("""COMPUTED_VALUE"""),"TL")</f>
        <v>TL</v>
      </c>
      <c r="J4734" s="22"/>
      <c r="K4734" s="22" t="str">
        <f>IFERROR(__xludf.DUMMYFUNCTION("""COMPUTED_VALUE"""),"ラスティナ")</f>
        <v>ラスティナ</v>
      </c>
      <c r="L4734" s="22" t="str">
        <f>IFERROR(__xludf.DUMMYFUNCTION("""COMPUTED_VALUE"""),"セ・キララ文庫")</f>
        <v>セ・キララ文庫</v>
      </c>
      <c r="M4734" s="33">
        <f>IFERROR(__xludf.DUMMYFUNCTION("""COMPUTED_VALUE"""),46091.0)</f>
        <v>46091</v>
      </c>
      <c r="N4734" s="33">
        <f>IFERROR(__xludf.DUMMYFUNCTION("""COMPUTED_VALUE"""),46121.0)</f>
        <v>46121</v>
      </c>
      <c r="O4734" s="20"/>
      <c r="P4734" s="32" t="str">
        <f>IFERROR(__xludf.DUMMYFUNCTION("""COMPUTED_VALUE"""),"可")</f>
        <v>可</v>
      </c>
      <c r="Q4734" s="30" t="str">
        <f>IFERROR(__xludf.DUMMYFUNCTION("""COMPUTED_VALUE"""),"【アダルト作品扱い】")</f>
        <v>【アダルト作品扱い】</v>
      </c>
      <c r="R4734" s="22"/>
      <c r="S4734" s="22" t="str">
        <f>IFERROR(__xludf.DUMMYFUNCTION("""COMPUTED_VALUE"""),"20260210_ライドオン_ほんとに好きにしていいの？～飛鳥くんは私の可愛いワンちゃん～")</f>
        <v>20260210_ライドオン_ほんとに好きにしていいの？～飛鳥くんは私の可愛いワンちゃん～</v>
      </c>
      <c r="T4734" s="22" t="str">
        <f>IFERROR(__xludf.DUMMYFUNCTION("""COMPUTED_VALUE"""),"格納済み")</f>
        <v>格納済み</v>
      </c>
      <c r="U4734" s="9" t="str">
        <f>IFERROR(__xludf.DUMMYFUNCTION("""COMPUTED_VALUE"""),"Ⓒカキモチアラレ/セ・キララ文庫")</f>
        <v>Ⓒカキモチアラレ/セ・キララ文庫</v>
      </c>
      <c r="V4734" s="8"/>
      <c r="W4734" s="8"/>
      <c r="X4734" s="8" t="str">
        <f>IFERROR(__xludf.DUMMYFUNCTION("""COMPUTED_VALUE"""),"有")</f>
        <v>有</v>
      </c>
      <c r="Y4734" s="8" t="str">
        <f>IFERROR(__xludf.DUMMYFUNCTION("""COMPUTED_VALUE"""),"P24まで")</f>
        <v>P24まで</v>
      </c>
      <c r="Z4734" s="7"/>
      <c r="AA4734" s="7"/>
      <c r="AB4734" s="7"/>
    </row>
    <row r="4735" ht="15.75" customHeight="1">
      <c r="A4735" s="26">
        <f>IFERROR(__xludf.DUMMYFUNCTION("""COMPUTED_VALUE"""),7431.0)</f>
        <v>7431</v>
      </c>
      <c r="B4735" s="22" t="str">
        <f>IFERROR(__xludf.DUMMYFUNCTION("""COMPUTED_VALUE"""),"確定")</f>
        <v>確定</v>
      </c>
      <c r="C4735" s="28">
        <f>IFERROR(__xludf.DUMMYFUNCTION("""COMPUTED_VALUE"""),46063.0)</f>
        <v>46063</v>
      </c>
      <c r="D4735" s="28">
        <f>IFERROR(__xludf.DUMMYFUNCTION("""COMPUTED_VALUE"""),46065.0)</f>
        <v>46065</v>
      </c>
      <c r="E4735" s="26">
        <f>IFERROR(__xludf.DUMMYFUNCTION("""COMPUTED_VALUE"""),352705.0)</f>
        <v>352705</v>
      </c>
      <c r="F4735" s="22" t="str">
        <f>IFERROR(__xludf.DUMMYFUNCTION("""COMPUTED_VALUE"""),"自堕落フリーターの俺が呪術の力でハーレム生活～もうこうなったら全員抱いてやる！")</f>
        <v>自堕落フリーターの俺が呪術の力でハーレム生活～もうこうなったら全員抱いてやる！</v>
      </c>
      <c r="G4735" s="20" t="str">
        <f>IFERROR(__xludf.DUMMYFUNCTION("""COMPUTED_VALUE"""),"1～3")</f>
        <v>1～3</v>
      </c>
      <c r="H4735" s="22" t="str">
        <f>IFERROR(__xludf.DUMMYFUNCTION("""COMPUTED_VALUE"""),"速雨")</f>
        <v>速雨</v>
      </c>
      <c r="I4735" s="22" t="str">
        <f>IFERROR(__xludf.DUMMYFUNCTION("""COMPUTED_VALUE"""),"アダルトマンガ")</f>
        <v>アダルトマンガ</v>
      </c>
      <c r="J4735" s="22"/>
      <c r="K4735" s="22" t="str">
        <f>IFERROR(__xludf.DUMMYFUNCTION("""COMPUTED_VALUE"""),"comicホエール")</f>
        <v>comicホエール</v>
      </c>
      <c r="L4735" s="22" t="str">
        <f>IFERROR(__xludf.DUMMYFUNCTION("""COMPUTED_VALUE"""),"セ・キララ文庫")</f>
        <v>セ・キララ文庫</v>
      </c>
      <c r="M4735" s="33">
        <f>IFERROR(__xludf.DUMMYFUNCTION("""COMPUTED_VALUE"""),46094.0)</f>
        <v>46094</v>
      </c>
      <c r="N4735" s="33">
        <f>IFERROR(__xludf.DUMMYFUNCTION("""COMPUTED_VALUE"""),46121.0)</f>
        <v>46121</v>
      </c>
      <c r="O4735" s="20"/>
      <c r="P4735" s="32" t="str">
        <f>IFERROR(__xludf.DUMMYFUNCTION("""COMPUTED_VALUE"""),"可")</f>
        <v>可</v>
      </c>
      <c r="Q4735" s="30"/>
      <c r="R4735" s="22"/>
      <c r="S4735" s="22" t="str">
        <f>IFERROR(__xludf.DUMMYFUNCTION("""COMPUTED_VALUE"""),"20260210_ライドオン_【素材】自堕落フリーターの俺が呪術の力でハーレム生活～もうこうなったら全員抱いてやる")</f>
        <v>20260210_ライドオン_【素材】自堕落フリーターの俺が呪術の力でハーレム生活～もうこうなったら全員抱いてやる</v>
      </c>
      <c r="T4735" s="22" t="str">
        <f>IFERROR(__xludf.DUMMYFUNCTION("""COMPUTED_VALUE"""),"格納済み")</f>
        <v>格納済み</v>
      </c>
      <c r="U4735" s="9" t="str">
        <f>IFERROR(__xludf.DUMMYFUNCTION("""COMPUTED_VALUE"""),"Ⓒ速雨/セ・キララ文庫")</f>
        <v>Ⓒ速雨/セ・キララ文庫</v>
      </c>
      <c r="V4735" s="8"/>
      <c r="W4735" s="8"/>
      <c r="X4735" s="8" t="str">
        <f>IFERROR(__xludf.DUMMYFUNCTION("""COMPUTED_VALUE"""),"有")</f>
        <v>有</v>
      </c>
      <c r="Y4735" s="8" t="str">
        <f>IFERROR(__xludf.DUMMYFUNCTION("""COMPUTED_VALUE"""),"P11まで")</f>
        <v>P11まで</v>
      </c>
      <c r="Z4735" s="7"/>
      <c r="AA4735" s="7"/>
      <c r="AB4735" s="7"/>
    </row>
    <row r="4736" ht="15.75" customHeight="1">
      <c r="A4736" s="26">
        <f>IFERROR(__xludf.DUMMYFUNCTION("""COMPUTED_VALUE"""),7432.0)</f>
        <v>7432</v>
      </c>
      <c r="B4736" s="22" t="str">
        <f>IFERROR(__xludf.DUMMYFUNCTION("""COMPUTED_VALUE"""),"確定")</f>
        <v>確定</v>
      </c>
      <c r="C4736" s="28">
        <f>IFERROR(__xludf.DUMMYFUNCTION("""COMPUTED_VALUE"""),46063.0)</f>
        <v>46063</v>
      </c>
      <c r="D4736" s="28">
        <f>IFERROR(__xludf.DUMMYFUNCTION("""COMPUTED_VALUE"""),46065.0)</f>
        <v>46065</v>
      </c>
      <c r="E4736" s="26">
        <f>IFERROR(__xludf.DUMMYFUNCTION("""COMPUTED_VALUE"""),354286.0)</f>
        <v>354286</v>
      </c>
      <c r="F4736" s="22" t="str">
        <f>IFERROR(__xludf.DUMMYFUNCTION("""COMPUTED_VALUE"""),"処刑された死に戻りの第六王子は故国を捨て、隣国のギロチン皇女と復讐を誓う（分冊版）")</f>
        <v>処刑された死に戻りの第六王子は故国を捨て、隣国のギロチン皇女と復讐を誓う（分冊版）</v>
      </c>
      <c r="G4736" s="20" t="str">
        <f>IFERROR(__xludf.DUMMYFUNCTION("""COMPUTED_VALUE"""),"1～5")</f>
        <v>1～5</v>
      </c>
      <c r="H4736" s="22" t="str">
        <f>IFERROR(__xludf.DUMMYFUNCTION("""COMPUTED_VALUE"""),"サンボン・藍川ちあ")</f>
        <v>サンボン・藍川ちあ</v>
      </c>
      <c r="I4736" s="22" t="str">
        <f>IFERROR(__xludf.DUMMYFUNCTION("""COMPUTED_VALUE"""),"青年")</f>
        <v>青年</v>
      </c>
      <c r="J4736" s="22"/>
      <c r="K4736" s="22"/>
      <c r="L4736" s="22" t="str">
        <f>IFERROR(__xludf.DUMMYFUNCTION("""COMPUTED_VALUE"""),"アルファポリス")</f>
        <v>アルファポリス</v>
      </c>
      <c r="M4736" s="33">
        <f>IFERROR(__xludf.DUMMYFUNCTION("""COMPUTED_VALUE"""),46097.0)</f>
        <v>46097</v>
      </c>
      <c r="N4736" s="33">
        <f>IFERROR(__xludf.DUMMYFUNCTION("""COMPUTED_VALUE"""),46187.0)</f>
        <v>46187</v>
      </c>
      <c r="O4736" s="20"/>
      <c r="P4736" s="32" t="str">
        <f>IFERROR(__xludf.DUMMYFUNCTION("""COMPUTED_VALUE"""),"可")</f>
        <v>可</v>
      </c>
      <c r="Q4736" s="30" t="str">
        <f>IFERROR(__xludf.DUMMYFUNCTION("""COMPUTED_VALUE"""),"【アウトバウンド提案】")</f>
        <v>【アウトバウンド提案】</v>
      </c>
      <c r="R4736" s="22"/>
      <c r="S4736" s="22" t="str">
        <f>IFERROR(__xludf.DUMMYFUNCTION("""COMPUTED_VALUE"""),"20260210_アルファポリス_処刑された死に戻りの第六王子は故国を捨て、隣国のギロチン皇女と復讐を誓う")</f>
        <v>20260210_アルファポリス_処刑された死に戻りの第六王子は故国を捨て、隣国のギロチン皇女と復讐を誓う</v>
      </c>
      <c r="T4736" s="22" t="str">
        <f>IFERROR(__xludf.DUMMYFUNCTION("""COMPUTED_VALUE"""),"格納済み")</f>
        <v>格納済み</v>
      </c>
      <c r="U4736" s="9" t="str">
        <f>IFERROR(__xludf.DUMMYFUNCTION("""COMPUTED_VALUE"""),"（C）サンボン・藍川ちあ／アルファポリス")</f>
        <v>（C）サンボン・藍川ちあ／アルファポリス</v>
      </c>
      <c r="V4736" s="8"/>
      <c r="W4736" s="8"/>
      <c r="X4736" s="8" t="str">
        <f>IFERROR(__xludf.DUMMYFUNCTION("""COMPUTED_VALUE"""),"有")</f>
        <v>有</v>
      </c>
      <c r="Y4736" s="8" t="str">
        <f>IFERROR(__xludf.DUMMYFUNCTION("""COMPUTED_VALUE"""),"2026/3/29まで1巻無料")</f>
        <v>2026/3/29まで1巻無料</v>
      </c>
      <c r="Z4736" s="7"/>
      <c r="AA4736" s="7"/>
      <c r="AB4736" s="7"/>
    </row>
    <row r="4737" ht="15.75" customHeight="1">
      <c r="A4737" s="26">
        <f>IFERROR(__xludf.DUMMYFUNCTION("""COMPUTED_VALUE"""),7438.0)</f>
        <v>7438</v>
      </c>
      <c r="B4737" s="22" t="str">
        <f>IFERROR(__xludf.DUMMYFUNCTION("""COMPUTED_VALUE"""),"確定")</f>
        <v>確定</v>
      </c>
      <c r="C4737" s="28">
        <f>IFERROR(__xludf.DUMMYFUNCTION("""COMPUTED_VALUE"""),46065.0)</f>
        <v>46065</v>
      </c>
      <c r="D4737" s="28">
        <f>IFERROR(__xludf.DUMMYFUNCTION("""COMPUTED_VALUE"""),46066.0)</f>
        <v>46066</v>
      </c>
      <c r="E4737" s="26">
        <f>IFERROR(__xludf.DUMMYFUNCTION("""COMPUTED_VALUE"""),325163.0)</f>
        <v>325163</v>
      </c>
      <c r="F4737" s="22" t="str">
        <f>IFERROR(__xludf.DUMMYFUNCTION("""COMPUTED_VALUE"""),"復讐のプロット")</f>
        <v>復讐のプロット</v>
      </c>
      <c r="G4737" s="20" t="str">
        <f>IFERROR(__xludf.DUMMYFUNCTION("""COMPUTED_VALUE"""),"1～3")</f>
        <v>1～3</v>
      </c>
      <c r="H4737" s="22" t="str">
        <f>IFERROR(__xludf.DUMMYFUNCTION("""COMPUTED_VALUE"""),"藤島がらす,田中静人")</f>
        <v>藤島がらす,田中静人</v>
      </c>
      <c r="I4737" s="22" t="str">
        <f>IFERROR(__xludf.DUMMYFUNCTION("""COMPUTED_VALUE"""),"青年マンガ")</f>
        <v>青年マンガ</v>
      </c>
      <c r="J4737" s="22"/>
      <c r="K4737" s="22" t="str">
        <f>IFERROR(__xludf.DUMMYFUNCTION("""COMPUTED_VALUE"""),"トレモア・スプラッシュ,トレモアcollection")</f>
        <v>トレモア・スプラッシュ,トレモアcollection</v>
      </c>
      <c r="L4737" s="22" t="str">
        <f>IFERROR(__xludf.DUMMYFUNCTION("""COMPUTED_VALUE"""),"シーモアコミックス（トレモア）")</f>
        <v>シーモアコミックス（トレモア）</v>
      </c>
      <c r="M4737" s="33">
        <f>IFERROR(__xludf.DUMMYFUNCTION("""COMPUTED_VALUE"""),46108.0)</f>
        <v>46108</v>
      </c>
      <c r="N4737" s="33">
        <f>IFERROR(__xludf.DUMMYFUNCTION("""COMPUTED_VALUE"""),2958465.0)</f>
        <v>2958465</v>
      </c>
      <c r="O4737" s="20"/>
      <c r="P4737" s="32" t="str">
        <f>IFERROR(__xludf.DUMMYFUNCTION("""COMPUTED_VALUE"""),"可")</f>
        <v>可</v>
      </c>
      <c r="Q4737" s="30"/>
      <c r="R4737" s="22"/>
      <c r="S4737" s="22" t="str">
        <f>IFERROR(__xludf.DUMMYFUNCTION("""COMPUTED_VALUE"""),"20260212_シーモアコミックス_復讐のプロット")</f>
        <v>20260212_シーモアコミックス_復讐のプロット</v>
      </c>
      <c r="T4737" s="22" t="str">
        <f>IFERROR(__xludf.DUMMYFUNCTION("""COMPUTED_VALUE"""),"格納済み")</f>
        <v>格納済み</v>
      </c>
      <c r="U4737" s="9" t="str">
        <f>IFERROR(__xludf.DUMMYFUNCTION("""COMPUTED_VALUE"""),"(C) 藤島がらす/田中静人/シーモアコミックス")</f>
        <v>(C) 藤島がらす/田中静人/シーモアコミックス</v>
      </c>
      <c r="V4737" s="8"/>
      <c r="W4737" s="8"/>
      <c r="X4737" s="8" t="str">
        <f>IFERROR(__xludf.DUMMYFUNCTION("""COMPUTED_VALUE"""),"有")</f>
        <v>有</v>
      </c>
      <c r="Y4737" s="8" t="str">
        <f>IFERROR(__xludf.DUMMYFUNCTION("""COMPUTED_VALUE"""),"P15まで")</f>
        <v>P15まで</v>
      </c>
      <c r="Z4737" s="7"/>
      <c r="AA4737" s="7"/>
      <c r="AB4737" s="7"/>
    </row>
    <row r="4738" ht="15.75" customHeight="1">
      <c r="A4738" s="26">
        <f>IFERROR(__xludf.DUMMYFUNCTION("""COMPUTED_VALUE"""),7445.0)</f>
        <v>7445</v>
      </c>
      <c r="B4738" s="22" t="str">
        <f>IFERROR(__xludf.DUMMYFUNCTION("""COMPUTED_VALUE"""),"確定")</f>
        <v>確定</v>
      </c>
      <c r="C4738" s="28">
        <f>IFERROR(__xludf.DUMMYFUNCTION("""COMPUTED_VALUE"""),46066.0)</f>
        <v>46066</v>
      </c>
      <c r="D4738" s="28">
        <f>IFERROR(__xludf.DUMMYFUNCTION("""COMPUTED_VALUE"""),46069.0)</f>
        <v>46069</v>
      </c>
      <c r="E4738" s="26">
        <f>IFERROR(__xludf.DUMMYFUNCTION("""COMPUTED_VALUE"""),352440.0)</f>
        <v>352440</v>
      </c>
      <c r="F4738" s="22" t="str">
        <f>IFERROR(__xludf.DUMMYFUNCTION("""COMPUTED_VALUE"""),"期間限定の夫のはずが、私のこと本気で口説いてきます")</f>
        <v>期間限定の夫のはずが、私のこと本気で口説いてきます</v>
      </c>
      <c r="G4738" s="20" t="str">
        <f>IFERROR(__xludf.DUMMYFUNCTION("""COMPUTED_VALUE"""),"1～2")</f>
        <v>1～2</v>
      </c>
      <c r="H4738" s="22" t="str">
        <f>IFERROR(__xludf.DUMMYFUNCTION("""COMPUTED_VALUE"""),"中邑文乃／COMIC ROOM")</f>
        <v>中邑文乃／COMIC ROOM</v>
      </c>
      <c r="I4738" s="22" t="str">
        <f>IFERROR(__xludf.DUMMYFUNCTION("""COMPUTED_VALUE"""),"女性")</f>
        <v>女性</v>
      </c>
      <c r="J4738" s="22"/>
      <c r="K4738" s="22"/>
      <c r="L4738" s="22" t="str">
        <f>IFERROR(__xludf.DUMMYFUNCTION("""COMPUTED_VALUE"""),"コミックルーム")</f>
        <v>コミックルーム</v>
      </c>
      <c r="M4738" s="33">
        <f>IFERROR(__xludf.DUMMYFUNCTION("""COMPUTED_VALUE"""),46096.0)</f>
        <v>46096</v>
      </c>
      <c r="N4738" s="33">
        <f>IFERROR(__xludf.DUMMYFUNCTION("""COMPUTED_VALUE"""),46187.0)</f>
        <v>46187</v>
      </c>
      <c r="O4738" s="20"/>
      <c r="P4738" s="32" t="str">
        <f>IFERROR(__xludf.DUMMYFUNCTION("""COMPUTED_VALUE"""),"可")</f>
        <v>可</v>
      </c>
      <c r="Q4738" s="30" t="str">
        <f>IFERROR(__xludf.DUMMYFUNCTION("""COMPUTED_VALUE"""),"格納素材を2分割して初回1~2話として配信します。")</f>
        <v>格納素材を2分割して初回1~2話として配信します。</v>
      </c>
      <c r="R4738" s="22"/>
      <c r="S4738" s="22" t="str">
        <f>IFERROR(__xludf.DUMMYFUNCTION("""COMPUTED_VALUE"""),"20260213_コミックルーム_期間限定の夫のはずが、私のこと本気で口説いてきます_1~2巻分")</f>
        <v>20260213_コミックルーム_期間限定の夫のはずが、私のこと本気で口説いてきます_1~2巻分</v>
      </c>
      <c r="T4738" s="22" t="str">
        <f>IFERROR(__xludf.DUMMYFUNCTION("""COMPUTED_VALUE"""),"格納済み")</f>
        <v>格納済み</v>
      </c>
      <c r="U4738" s="9" t="str">
        <f>IFERROR(__xludf.DUMMYFUNCTION("""COMPUTED_VALUE"""),"(c)中邑文乃／COMIC ROOM")</f>
        <v>(c)中邑文乃／COMIC ROOM</v>
      </c>
      <c r="V4738" s="8"/>
      <c r="W4738" s="8"/>
      <c r="X4738" s="8" t="str">
        <f>IFERROR(__xludf.DUMMYFUNCTION("""COMPUTED_VALUE"""),"有")</f>
        <v>有</v>
      </c>
      <c r="Y4738" s="8" t="str">
        <f>IFERROR(__xludf.DUMMYFUNCTION("""COMPUTED_VALUE"""),"P12まで")</f>
        <v>P12まで</v>
      </c>
      <c r="Z4738" s="7"/>
      <c r="AA4738" s="7"/>
      <c r="AB4738" s="7"/>
    </row>
    <row r="4739" ht="15.75" customHeight="1">
      <c r="A4739" s="26">
        <f>IFERROR(__xludf.DUMMYFUNCTION("""COMPUTED_VALUE"""),7446.0)</f>
        <v>7446</v>
      </c>
      <c r="B4739" s="22" t="str">
        <f>IFERROR(__xludf.DUMMYFUNCTION("""COMPUTED_VALUE"""),"確定")</f>
        <v>確定</v>
      </c>
      <c r="C4739" s="28">
        <f>IFERROR(__xludf.DUMMYFUNCTION("""COMPUTED_VALUE"""),46066.0)</f>
        <v>46066</v>
      </c>
      <c r="D4739" s="28">
        <f>IFERROR(__xludf.DUMMYFUNCTION("""COMPUTED_VALUE"""),46069.0)</f>
        <v>46069</v>
      </c>
      <c r="E4739" s="26">
        <f>IFERROR(__xludf.DUMMYFUNCTION("""COMPUTED_VALUE"""),352439.0)</f>
        <v>352439</v>
      </c>
      <c r="F4739" s="22" t="str">
        <f>IFERROR(__xludf.DUMMYFUNCTION("""COMPUTED_VALUE"""),"籠の中のソルシエール")</f>
        <v>籠の中のソルシエール</v>
      </c>
      <c r="G4739" s="20" t="str">
        <f>IFERROR(__xludf.DUMMYFUNCTION("""COMPUTED_VALUE"""),"1～2")</f>
        <v>1～2</v>
      </c>
      <c r="H4739" s="22" t="str">
        <f>IFERROR(__xludf.DUMMYFUNCTION("""COMPUTED_VALUE"""),"安東鵙／COMIC ROOM")</f>
        <v>安東鵙／COMIC ROOM</v>
      </c>
      <c r="I4739" s="22" t="str">
        <f>IFERROR(__xludf.DUMMYFUNCTION("""COMPUTED_VALUE"""),"女性")</f>
        <v>女性</v>
      </c>
      <c r="J4739" s="22"/>
      <c r="K4739" s="22"/>
      <c r="L4739" s="22" t="str">
        <f>IFERROR(__xludf.DUMMYFUNCTION("""COMPUTED_VALUE"""),"コミックルーム")</f>
        <v>コミックルーム</v>
      </c>
      <c r="M4739" s="33">
        <f>IFERROR(__xludf.DUMMYFUNCTION("""COMPUTED_VALUE"""),46096.0)</f>
        <v>46096</v>
      </c>
      <c r="N4739" s="33">
        <f>IFERROR(__xludf.DUMMYFUNCTION("""COMPUTED_VALUE"""),46187.0)</f>
        <v>46187</v>
      </c>
      <c r="O4739" s="20"/>
      <c r="P4739" s="32" t="str">
        <f>IFERROR(__xludf.DUMMYFUNCTION("""COMPUTED_VALUE"""),"可")</f>
        <v>可</v>
      </c>
      <c r="Q4739" s="30" t="str">
        <f>IFERROR(__xludf.DUMMYFUNCTION("""COMPUTED_VALUE"""),"格納素材を2分割して初回1~2話として配信します。")</f>
        <v>格納素材を2分割して初回1~2話として配信します。</v>
      </c>
      <c r="R4739" s="22"/>
      <c r="S4739" s="22" t="str">
        <f>IFERROR(__xludf.DUMMYFUNCTION("""COMPUTED_VALUE"""),"20260213_コミックルーム_籠の中のソルシエール_1~2巻分")</f>
        <v>20260213_コミックルーム_籠の中のソルシエール_1~2巻分</v>
      </c>
      <c r="T4739" s="22" t="str">
        <f>IFERROR(__xludf.DUMMYFUNCTION("""COMPUTED_VALUE"""),"格納済み")</f>
        <v>格納済み</v>
      </c>
      <c r="U4739" s="9" t="str">
        <f>IFERROR(__xludf.DUMMYFUNCTION("""COMPUTED_VALUE"""),"(c)安東鵙／COMIC ROOM")</f>
        <v>(c)安東鵙／COMIC ROOM</v>
      </c>
      <c r="V4739" s="8"/>
      <c r="W4739" s="8"/>
      <c r="X4739" s="8" t="str">
        <f>IFERROR(__xludf.DUMMYFUNCTION("""COMPUTED_VALUE"""),"有")</f>
        <v>有</v>
      </c>
      <c r="Y4739" s="8" t="str">
        <f>IFERROR(__xludf.DUMMYFUNCTION("""COMPUTED_VALUE"""),"P14まで")</f>
        <v>P14まで</v>
      </c>
      <c r="Z4739" s="7"/>
      <c r="AA4739" s="7"/>
      <c r="AB4739" s="7"/>
    </row>
    <row r="4740" ht="15.75" customHeight="1">
      <c r="A4740" s="26">
        <f>IFERROR(__xludf.DUMMYFUNCTION("""COMPUTED_VALUE"""),7447.0)</f>
        <v>7447</v>
      </c>
      <c r="B4740" s="22" t="str">
        <f>IFERROR(__xludf.DUMMYFUNCTION("""COMPUTED_VALUE"""),"確定")</f>
        <v>確定</v>
      </c>
      <c r="C4740" s="28">
        <f>IFERROR(__xludf.DUMMYFUNCTION("""COMPUTED_VALUE"""),46066.0)</f>
        <v>46066</v>
      </c>
      <c r="D4740" s="28">
        <f>IFERROR(__xludf.DUMMYFUNCTION("""COMPUTED_VALUE"""),46069.0)</f>
        <v>46069</v>
      </c>
      <c r="E4740" s="26">
        <f>IFERROR(__xludf.DUMMYFUNCTION("""COMPUTED_VALUE"""),352442.0)</f>
        <v>352442</v>
      </c>
      <c r="F4740" s="22" t="str">
        <f>IFERROR(__xludf.DUMMYFUNCTION("""COMPUTED_VALUE"""),"五度も婚約破棄された王女ですが、蛮国の王太子と人生逆転狙います")</f>
        <v>五度も婚約破棄された王女ですが、蛮国の王太子と人生逆転狙います</v>
      </c>
      <c r="G4740" s="20" t="str">
        <f>IFERROR(__xludf.DUMMYFUNCTION("""COMPUTED_VALUE"""),"1～2")</f>
        <v>1～2</v>
      </c>
      <c r="H4740" s="22" t="str">
        <f>IFERROR(__xludf.DUMMYFUNCTION("""COMPUTED_VALUE"""),"米粒味／COMIC ROOM")</f>
        <v>米粒味／COMIC ROOM</v>
      </c>
      <c r="I4740" s="22" t="str">
        <f>IFERROR(__xludf.DUMMYFUNCTION("""COMPUTED_VALUE"""),"女性")</f>
        <v>女性</v>
      </c>
      <c r="J4740" s="22"/>
      <c r="K4740" s="22"/>
      <c r="L4740" s="22" t="str">
        <f>IFERROR(__xludf.DUMMYFUNCTION("""COMPUTED_VALUE"""),"コミックルーム")</f>
        <v>コミックルーム</v>
      </c>
      <c r="M4740" s="33">
        <f>IFERROR(__xludf.DUMMYFUNCTION("""COMPUTED_VALUE"""),46096.0)</f>
        <v>46096</v>
      </c>
      <c r="N4740" s="33">
        <f>IFERROR(__xludf.DUMMYFUNCTION("""COMPUTED_VALUE"""),46187.0)</f>
        <v>46187</v>
      </c>
      <c r="O4740" s="20"/>
      <c r="P4740" s="32" t="str">
        <f>IFERROR(__xludf.DUMMYFUNCTION("""COMPUTED_VALUE"""),"可")</f>
        <v>可</v>
      </c>
      <c r="Q4740" s="30" t="str">
        <f>IFERROR(__xludf.DUMMYFUNCTION("""COMPUTED_VALUE"""),"格納素材を2分割して初回1~2話として配信します。")</f>
        <v>格納素材を2分割して初回1~2話として配信します。</v>
      </c>
      <c r="R4740" s="22"/>
      <c r="S4740" s="22" t="str">
        <f>IFERROR(__xludf.DUMMYFUNCTION("""COMPUTED_VALUE"""),"20260213_コミックルーム_五度も婚約破棄された王女ですが、蛮国の王太子と人生逆転狙います_1~2巻分")</f>
        <v>20260213_コミックルーム_五度も婚約破棄された王女ですが、蛮国の王太子と人生逆転狙います_1~2巻分</v>
      </c>
      <c r="T4740" s="22" t="str">
        <f>IFERROR(__xludf.DUMMYFUNCTION("""COMPUTED_VALUE"""),"格納済み")</f>
        <v>格納済み</v>
      </c>
      <c r="U4740" s="9" t="str">
        <f>IFERROR(__xludf.DUMMYFUNCTION("""COMPUTED_VALUE"""),"(c)米粒味／COMIC ROOM")</f>
        <v>(c)米粒味／COMIC ROOM</v>
      </c>
      <c r="V4740" s="8"/>
      <c r="W4740" s="8"/>
      <c r="X4740" s="8" t="str">
        <f>IFERROR(__xludf.DUMMYFUNCTION("""COMPUTED_VALUE"""),"有")</f>
        <v>有</v>
      </c>
      <c r="Y4740" s="8" t="str">
        <f>IFERROR(__xludf.DUMMYFUNCTION("""COMPUTED_VALUE"""),"P12まで")</f>
        <v>P12まで</v>
      </c>
      <c r="Z4740" s="7"/>
      <c r="AA4740" s="7"/>
      <c r="AB4740" s="7"/>
    </row>
    <row r="4741" ht="15.75" customHeight="1">
      <c r="A4741" s="26">
        <f>IFERROR(__xludf.DUMMYFUNCTION("""COMPUTED_VALUE"""),7472.0)</f>
        <v>7472</v>
      </c>
      <c r="B4741" s="22" t="str">
        <f>IFERROR(__xludf.DUMMYFUNCTION("""COMPUTED_VALUE"""),"確定")</f>
        <v>確定</v>
      </c>
      <c r="C4741" s="28">
        <f>IFERROR(__xludf.DUMMYFUNCTION("""COMPUTED_VALUE"""),46070.0)</f>
        <v>46070</v>
      </c>
      <c r="D4741" s="28">
        <f>IFERROR(__xludf.DUMMYFUNCTION("""COMPUTED_VALUE"""),46071.0)</f>
        <v>46071</v>
      </c>
      <c r="E4741" s="26">
        <f>IFERROR(__xludf.DUMMYFUNCTION("""COMPUTED_VALUE"""),354209.0)</f>
        <v>354209</v>
      </c>
      <c r="F4741" s="22" t="str">
        <f>IFERROR(__xludf.DUMMYFUNCTION("""COMPUTED_VALUE"""),"noicomi愛を知らぬ令嬢と天狐様の政略結婚")</f>
        <v>noicomi愛を知らぬ令嬢と天狐様の政略結婚</v>
      </c>
      <c r="G4741" s="20" t="str">
        <f>IFERROR(__xludf.DUMMYFUNCTION("""COMPUTED_VALUE"""),"1～5")</f>
        <v>1～5</v>
      </c>
      <c r="H4741" s="22" t="str">
        <f>IFERROR(__xludf.DUMMYFUNCTION("""COMPUTED_VALUE"""),"作画：よしおかるご 原作：クレハ")</f>
        <v>作画：よしおかるご 原作：クレハ</v>
      </c>
      <c r="I4741" s="22" t="str">
        <f>IFERROR(__xludf.DUMMYFUNCTION("""COMPUTED_VALUE"""),"少女")</f>
        <v>少女</v>
      </c>
      <c r="J4741" s="22"/>
      <c r="K4741" s="22"/>
      <c r="L4741" s="22" t="str">
        <f>IFERROR(__xludf.DUMMYFUNCTION("""COMPUTED_VALUE"""),"スターツ出版")</f>
        <v>スターツ出版</v>
      </c>
      <c r="M4741" s="33">
        <f>IFERROR(__xludf.DUMMYFUNCTION("""COMPUTED_VALUE"""),46094.0)</f>
        <v>46094</v>
      </c>
      <c r="N4741" s="33">
        <f>IFERROR(__xludf.DUMMYFUNCTION("""COMPUTED_VALUE"""),46121.0)</f>
        <v>46121</v>
      </c>
      <c r="O4741" s="20"/>
      <c r="P4741" s="32" t="str">
        <f>IFERROR(__xludf.DUMMYFUNCTION("""COMPUTED_VALUE"""),"否")</f>
        <v>否</v>
      </c>
      <c r="Q4741" s="30"/>
      <c r="R4741" s="22"/>
      <c r="S4741" s="22" t="str">
        <f>IFERROR(__xludf.DUMMYFUNCTION("""COMPUTED_VALUE"""),"20260217_スターツ出版_愛を知らぬ令嬢と天狐様の政略結婚")</f>
        <v>20260217_スターツ出版_愛を知らぬ令嬢と天狐様の政略結婚</v>
      </c>
      <c r="T4741" s="22" t="str">
        <f>IFERROR(__xludf.DUMMYFUNCTION("""COMPUTED_VALUE"""),"格納済み")</f>
        <v>格納済み</v>
      </c>
      <c r="U4741" s="9" t="str">
        <f>IFERROR(__xludf.DUMMYFUNCTION("""COMPUTED_VALUE"""),"ⒸYoshiokarugo・Kureha/スターツ出版")</f>
        <v>ⒸYoshiokarugo・Kureha/スターツ出版</v>
      </c>
      <c r="V4741" s="8"/>
      <c r="W4741" s="8"/>
      <c r="X4741" s="8" t="str">
        <f>IFERROR(__xludf.DUMMYFUNCTION("""COMPUTED_VALUE"""),"有")</f>
        <v>有</v>
      </c>
      <c r="Y4741" s="8" t="str">
        <f>IFERROR(__xludf.DUMMYFUNCTION("""COMPUTED_VALUE"""),"2026/4/9まで1巻無料")</f>
        <v>2026/4/9まで1巻無料</v>
      </c>
      <c r="Z4741" s="7"/>
      <c r="AA4741" s="7"/>
      <c r="AB4741" s="7"/>
    </row>
    <row r="4742" ht="15.75" customHeight="1">
      <c r="A4742" s="26">
        <f>IFERROR(__xludf.DUMMYFUNCTION("""COMPUTED_VALUE"""),7473.0)</f>
        <v>7473</v>
      </c>
      <c r="B4742" s="22" t="str">
        <f>IFERROR(__xludf.DUMMYFUNCTION("""COMPUTED_VALUE"""),"確定")</f>
        <v>確定</v>
      </c>
      <c r="C4742" s="28">
        <f>IFERROR(__xludf.DUMMYFUNCTION("""COMPUTED_VALUE"""),46070.0)</f>
        <v>46070</v>
      </c>
      <c r="D4742" s="28">
        <f>IFERROR(__xludf.DUMMYFUNCTION("""COMPUTED_VALUE"""),46071.0)</f>
        <v>46071</v>
      </c>
      <c r="E4742" s="26">
        <f>IFERROR(__xludf.DUMMYFUNCTION("""COMPUTED_VALUE"""),354210.0)</f>
        <v>354210</v>
      </c>
      <c r="F4742" s="22" t="str">
        <f>IFERROR(__xludf.DUMMYFUNCTION("""COMPUTED_VALUE"""),"noicomi氷の花嫁～笑顔を失った少女が冷血軍神に愛されるまで～")</f>
        <v>noicomi氷の花嫁～笑顔を失った少女が冷血軍神に愛されるまで～</v>
      </c>
      <c r="G4742" s="20" t="str">
        <f>IFERROR(__xludf.DUMMYFUNCTION("""COMPUTED_VALUE"""),"1～5")</f>
        <v>1～5</v>
      </c>
      <c r="H4742" s="22" t="str">
        <f>IFERROR(__xludf.DUMMYFUNCTION("""COMPUTED_VALUE"""),"作画：水月あるみ  原作：シアノ")</f>
        <v>作画：水月あるみ  原作：シアノ</v>
      </c>
      <c r="I4742" s="22" t="str">
        <f>IFERROR(__xludf.DUMMYFUNCTION("""COMPUTED_VALUE"""),"少女")</f>
        <v>少女</v>
      </c>
      <c r="J4742" s="22"/>
      <c r="K4742" s="22"/>
      <c r="L4742" s="22" t="str">
        <f>IFERROR(__xludf.DUMMYFUNCTION("""COMPUTED_VALUE"""),"スターツ出版")</f>
        <v>スターツ出版</v>
      </c>
      <c r="M4742" s="33">
        <f>IFERROR(__xludf.DUMMYFUNCTION("""COMPUTED_VALUE"""),46094.0)</f>
        <v>46094</v>
      </c>
      <c r="N4742" s="33">
        <f>IFERROR(__xludf.DUMMYFUNCTION("""COMPUTED_VALUE"""),46149.0)</f>
        <v>46149</v>
      </c>
      <c r="O4742" s="20"/>
      <c r="P4742" s="32" t="str">
        <f>IFERROR(__xludf.DUMMYFUNCTION("""COMPUTED_VALUE"""),"否")</f>
        <v>否</v>
      </c>
      <c r="Q4742" s="30"/>
      <c r="R4742" s="22"/>
      <c r="S4742" s="22" t="str">
        <f>IFERROR(__xludf.DUMMYFUNCTION("""COMPUTED_VALUE"""),"20260217_スターツ出版_氷の花嫁～笑顔を失った少女が冷血軍神に愛されるまで～")</f>
        <v>20260217_スターツ出版_氷の花嫁～笑顔を失った少女が冷血軍神に愛されるまで～</v>
      </c>
      <c r="T4742" s="22" t="str">
        <f>IFERROR(__xludf.DUMMYFUNCTION("""COMPUTED_VALUE"""),"格納済み")</f>
        <v>格納済み</v>
      </c>
      <c r="U4742" s="9" t="str">
        <f>IFERROR(__xludf.DUMMYFUNCTION("""COMPUTED_VALUE"""),"ⒸAlumi Minatsuki・Siano/スターツ出版")</f>
        <v>ⒸAlumi Minatsuki・Siano/スターツ出版</v>
      </c>
      <c r="V4742" s="8"/>
      <c r="W4742" s="8"/>
      <c r="X4742" s="8" t="str">
        <f>IFERROR(__xludf.DUMMYFUNCTION("""COMPUTED_VALUE"""),"有")</f>
        <v>有</v>
      </c>
      <c r="Y4742" s="8" t="str">
        <f>IFERROR(__xludf.DUMMYFUNCTION("""COMPUTED_VALUE"""),"2026/5/7まで1巻無料")</f>
        <v>2026/5/7まで1巻無料</v>
      </c>
      <c r="Z4742" s="7"/>
      <c r="AA4742" s="7"/>
      <c r="AB4742" s="7"/>
    </row>
    <row r="4743" ht="15.75" customHeight="1">
      <c r="A4743" s="26">
        <f>IFERROR(__xludf.DUMMYFUNCTION("""COMPUTED_VALUE"""),7487.0)</f>
        <v>7487</v>
      </c>
      <c r="B4743" s="22" t="str">
        <f>IFERROR(__xludf.DUMMYFUNCTION("""COMPUTED_VALUE"""),"確定")</f>
        <v>確定</v>
      </c>
      <c r="C4743" s="28">
        <f>IFERROR(__xludf.DUMMYFUNCTION("""COMPUTED_VALUE"""),46070.0)</f>
        <v>46070</v>
      </c>
      <c r="D4743" s="28">
        <f>IFERROR(__xludf.DUMMYFUNCTION("""COMPUTED_VALUE"""),46071.0)</f>
        <v>46071</v>
      </c>
      <c r="E4743" s="26">
        <f>IFERROR(__xludf.DUMMYFUNCTION("""COMPUTED_VALUE"""),352088.0)</f>
        <v>352088</v>
      </c>
      <c r="F4743" s="22" t="str">
        <f>IFERROR(__xludf.DUMMYFUNCTION("""COMPUTED_VALUE"""),"【単話】ヒロインに婚約者を取られるみたいなので、悪役令息(ヤンデレキャラ)を狙います")</f>
        <v>【単話】ヒロインに婚約者を取られるみたいなので、悪役令息(ヤンデレキャラ)を狙います</v>
      </c>
      <c r="G4743" s="20" t="str">
        <f>IFERROR(__xludf.DUMMYFUNCTION("""COMPUTED_VALUE"""),"1～5")</f>
        <v>1～5</v>
      </c>
      <c r="H4743" s="22" t="str">
        <f>IFERROR(__xludf.DUMMYFUNCTION("""COMPUTED_VALUE"""),"ぜんら／原作：宝　小箱／キャラクター原案：夏葉　じゅん")</f>
        <v>ぜんら／原作：宝　小箱／キャラクター原案：夏葉　じゅん</v>
      </c>
      <c r="I4743" s="22" t="str">
        <f>IFERROR(__xludf.DUMMYFUNCTION("""COMPUTED_VALUE"""),"少女")</f>
        <v>少女</v>
      </c>
      <c r="J4743" s="22"/>
      <c r="K4743" s="22"/>
      <c r="L4743" s="22" t="str">
        <f>IFERROR(__xludf.DUMMYFUNCTION("""COMPUTED_VALUE"""),"KADOKAWA")</f>
        <v>KADOKAWA</v>
      </c>
      <c r="M4743" s="33">
        <f>IFERROR(__xludf.DUMMYFUNCTION("""COMPUTED_VALUE"""),46083.0)</f>
        <v>46083</v>
      </c>
      <c r="N4743" s="33">
        <f>IFERROR(__xludf.DUMMYFUNCTION("""COMPUTED_VALUE"""),46267.0)</f>
        <v>46267</v>
      </c>
      <c r="O4743" s="20"/>
      <c r="P4743" s="32" t="str">
        <f>IFERROR(__xludf.DUMMYFUNCTION("""COMPUTED_VALUE"""),"否")</f>
        <v>否</v>
      </c>
      <c r="Q4743" s="30" t="str">
        <f>IFERROR(__xludf.DUMMYFUNCTION("""COMPUTED_VALUE"""),"※4巻6ページの素材は「【差し替え】hk04-6」をご使用ください")</f>
        <v>※4巻6ページの素材は「【差し替え】hk04-6」をご使用ください</v>
      </c>
      <c r="R4743" s="22"/>
      <c r="S4743" s="22" t="str">
        <f>IFERROR(__xludf.DUMMYFUNCTION("""COMPUTED_VALUE"""),"20260217_KADOKAWA_【単話】ヒロインに婚約者を取られるみたいなので、悪役令息（ヤンデレキャラ）を狙います")</f>
        <v>20260217_KADOKAWA_【単話】ヒロインに婚約者を取られるみたいなので、悪役令息（ヤンデレキャラ）を狙います</v>
      </c>
      <c r="T4743" s="22" t="str">
        <f>IFERROR(__xludf.DUMMYFUNCTION("""COMPUTED_VALUE"""),"格納済み")</f>
        <v>格納済み</v>
      </c>
      <c r="U4743" s="9" t="str">
        <f>IFERROR(__xludf.DUMMYFUNCTION("""COMPUTED_VALUE"""),"(C)Zenra (C)Kobako Takara")</f>
        <v>(C)Zenra (C)Kobako Takara</v>
      </c>
      <c r="V4743" s="8"/>
      <c r="W4743" s="8"/>
      <c r="X4743" s="8" t="str">
        <f>IFERROR(__xludf.DUMMYFUNCTION("""COMPUTED_VALUE"""),"有")</f>
        <v>有</v>
      </c>
      <c r="Y4743" s="8" t="str">
        <f>IFERROR(__xludf.DUMMYFUNCTION("""COMPUTED_VALUE"""),"2026/3/31まで1巻無料")</f>
        <v>2026/3/31まで1巻無料</v>
      </c>
      <c r="Z4743" s="7"/>
      <c r="AA4743" s="7"/>
      <c r="AB4743" s="7"/>
    </row>
    <row r="4744" ht="15.75" customHeight="1">
      <c r="A4744" s="26">
        <f>IFERROR(__xludf.DUMMYFUNCTION("""COMPUTED_VALUE"""),6553.0)</f>
        <v>6553</v>
      </c>
      <c r="B4744" s="22" t="str">
        <f>IFERROR(__xludf.DUMMYFUNCTION("""COMPUTED_VALUE"""),"確定")</f>
        <v>確定</v>
      </c>
      <c r="C4744" s="28">
        <f>IFERROR(__xludf.DUMMYFUNCTION("""COMPUTED_VALUE"""),45926.0)</f>
        <v>45926</v>
      </c>
      <c r="D4744" s="28">
        <f>IFERROR(__xludf.DUMMYFUNCTION("""COMPUTED_VALUE"""),46072.0)</f>
        <v>46072</v>
      </c>
      <c r="E4744" s="26">
        <f>IFERROR(__xludf.DUMMYFUNCTION("""COMPUTED_VALUE"""),353937.0)</f>
        <v>353937</v>
      </c>
      <c r="F4744" s="22" t="str">
        <f>IFERROR(__xludf.DUMMYFUNCTION("""COMPUTED_VALUE"""),"アオのラチチュード")</f>
        <v>アオのラチチュード</v>
      </c>
      <c r="G4744" s="20" t="str">
        <f>IFERROR(__xludf.DUMMYFUNCTION("""COMPUTED_VALUE"""),"1～3")</f>
        <v>1～3</v>
      </c>
      <c r="H4744" s="22" t="str">
        <f>IFERROR(__xludf.DUMMYFUNCTION("""COMPUTED_VALUE"""),"温田こぬ,.Poika編集部")</f>
        <v>温田こぬ,.Poika編集部</v>
      </c>
      <c r="I4744" s="22" t="str">
        <f>IFERROR(__xludf.DUMMYFUNCTION("""COMPUTED_VALUE"""),"BL")</f>
        <v>BL</v>
      </c>
      <c r="J4744" s="22"/>
      <c r="K4744" s="22"/>
      <c r="L4744" s="22" t="str">
        <f>IFERROR(__xludf.DUMMYFUNCTION("""COMPUTED_VALUE"""),"文苑堂")</f>
        <v>文苑堂</v>
      </c>
      <c r="M4744" s="33">
        <f>IFERROR(__xludf.DUMMYFUNCTION("""COMPUTED_VALUE"""),46100.0)</f>
        <v>46100</v>
      </c>
      <c r="N4744" s="33">
        <f>IFERROR(__xludf.DUMMYFUNCTION("""COMPUTED_VALUE"""),46197.0)</f>
        <v>46197</v>
      </c>
      <c r="O4744" s="20"/>
      <c r="P4744" s="32" t="str">
        <f>IFERROR(__xludf.DUMMYFUNCTION("""COMPUTED_VALUE"""),"可")</f>
        <v>可</v>
      </c>
      <c r="Q4744" s="30"/>
      <c r="R4744" s="22" t="str">
        <f>IFERROR(__xludf.DUMMYFUNCTION("""COMPUTED_VALUE"""),"コミットNG")</f>
        <v>コミットNG</v>
      </c>
      <c r="S4744" s="22" t="str">
        <f>IFERROR(__xludf.DUMMYFUNCTION("""COMPUTED_VALUE"""),"20260217_文苑堂_アオのラチチュード")</f>
        <v>20260217_文苑堂_アオのラチチュード</v>
      </c>
      <c r="T4744" s="22" t="str">
        <f>IFERROR(__xludf.DUMMYFUNCTION("""COMPUTED_VALUE"""),"格納済み")</f>
        <v>格納済み</v>
      </c>
      <c r="U4744" s="9" t="str">
        <f>IFERROR(__xludf.DUMMYFUNCTION("""COMPUTED_VALUE"""),"（C）温田こぬ/文苑堂")</f>
        <v>（C）温田こぬ/文苑堂</v>
      </c>
      <c r="V4744" s="8"/>
      <c r="W4744" s="8"/>
      <c r="X4744" s="8" t="str">
        <f>IFERROR(__xludf.DUMMYFUNCTION("""COMPUTED_VALUE"""),"有")</f>
        <v>有</v>
      </c>
      <c r="Y4744" s="8" t="str">
        <f>IFERROR(__xludf.DUMMYFUNCTION("""COMPUTED_VALUE"""),"2026/4/1まで1巻無料")</f>
        <v>2026/4/1まで1巻無料</v>
      </c>
      <c r="Z4744" s="7"/>
      <c r="AA4744" s="7"/>
      <c r="AB4744" s="7"/>
    </row>
    <row r="4745" ht="15.75" customHeight="1">
      <c r="A4745" s="26">
        <f>IFERROR(__xludf.DUMMYFUNCTION("""COMPUTED_VALUE"""),6983.0)</f>
        <v>6983</v>
      </c>
      <c r="B4745" s="22" t="str">
        <f>IFERROR(__xludf.DUMMYFUNCTION("""COMPUTED_VALUE"""),"確定")</f>
        <v>確定</v>
      </c>
      <c r="C4745" s="28">
        <f>IFERROR(__xludf.DUMMYFUNCTION("""COMPUTED_VALUE"""),45993.0)</f>
        <v>45993</v>
      </c>
      <c r="D4745" s="28">
        <f>IFERROR(__xludf.DUMMYFUNCTION("""COMPUTED_VALUE"""),46071.0)</f>
        <v>46071</v>
      </c>
      <c r="E4745" s="26">
        <f>IFERROR(__xludf.DUMMYFUNCTION("""COMPUTED_VALUE"""),354835.0)</f>
        <v>354835</v>
      </c>
      <c r="F4745" s="22" t="str">
        <f>IFERROR(__xludf.DUMMYFUNCTION("""COMPUTED_VALUE"""),"吸血嬢はズッ友をご所望です【タテヨミ】")</f>
        <v>吸血嬢はズッ友をご所望です【タテヨミ】</v>
      </c>
      <c r="G4745" s="20" t="str">
        <f>IFERROR(__xludf.DUMMYFUNCTION("""COMPUTED_VALUE"""),"1～15")</f>
        <v>1～15</v>
      </c>
      <c r="H4745" s="22" t="str">
        <f>IFERROR(__xludf.DUMMYFUNCTION("""COMPUTED_VALUE"""),"藤のよう┴booklistaSTUDIO┴MUGEN FACTORY")</f>
        <v>藤のよう┴booklistaSTUDIO┴MUGEN FACTORY</v>
      </c>
      <c r="I4745" s="22" t="str">
        <f>IFERROR(__xludf.DUMMYFUNCTION("""COMPUTED_VALUE"""),"女性")</f>
        <v>女性</v>
      </c>
      <c r="J4745" s="22"/>
      <c r="K4745" s="22" t="str">
        <f>IFERROR(__xludf.DUMMYFUNCTION("""COMPUTED_VALUE"""),"Puffs")</f>
        <v>Puffs</v>
      </c>
      <c r="L4745" s="22" t="str">
        <f>IFERROR(__xludf.DUMMYFUNCTION("""COMPUTED_VALUE"""),"MUGENUP")</f>
        <v>MUGENUP</v>
      </c>
      <c r="M4745" s="33">
        <f>IFERROR(__xludf.DUMMYFUNCTION("""COMPUTED_VALUE"""),46098.0)</f>
        <v>46098</v>
      </c>
      <c r="N4745" s="33">
        <f>IFERROR(__xludf.DUMMYFUNCTION("""COMPUTED_VALUE"""),46189.0)</f>
        <v>46189</v>
      </c>
      <c r="O4745" s="20"/>
      <c r="P4745" s="32" t="str">
        <f>IFERROR(__xludf.DUMMYFUNCTION("""COMPUTED_VALUE"""),"可")</f>
        <v>可</v>
      </c>
      <c r="Q4745" s="30"/>
      <c r="R4745" s="22" t="str">
        <f>IFERROR(__xludf.DUMMYFUNCTION("""COMPUTED_VALUE"""),"コミットOK")</f>
        <v>コミットOK</v>
      </c>
      <c r="S4745" s="22" t="str">
        <f>IFERROR(__xludf.DUMMYFUNCTION("""COMPUTED_VALUE"""),"20260218_MUGENUP_吸血嬢はズッ友をご所望です")</f>
        <v>20260218_MUGENUP_吸血嬢はズッ友をご所望です</v>
      </c>
      <c r="T4745" s="22" t="str">
        <f>IFERROR(__xludf.DUMMYFUNCTION("""COMPUTED_VALUE"""),"格納済み")</f>
        <v>格納済み</v>
      </c>
      <c r="U4745" s="9" t="str">
        <f>IFERROR(__xludf.DUMMYFUNCTION("""COMPUTED_VALUE"""),"(C)booklistaSTUDIO/MUGENUP")</f>
        <v>(C)booklistaSTUDIO/MUGENUP</v>
      </c>
      <c r="V4745" s="8"/>
      <c r="W4745" s="8"/>
      <c r="X4745" s="8" t="str">
        <f>IFERROR(__xludf.DUMMYFUNCTION("""COMPUTED_VALUE"""),"有")</f>
        <v>有</v>
      </c>
      <c r="Y4745" s="8" t="str">
        <f>IFERROR(__xludf.DUMMYFUNCTION("""COMPUTED_VALUE"""),"3巻無料")</f>
        <v>3巻無料</v>
      </c>
      <c r="Z4745" s="7"/>
      <c r="AA4745" s="7"/>
      <c r="AB4745" s="7"/>
    </row>
    <row r="4746" ht="15.75" customHeight="1">
      <c r="A4746" s="26">
        <f>IFERROR(__xludf.DUMMYFUNCTION("""COMPUTED_VALUE"""),7096.0)</f>
        <v>7096</v>
      </c>
      <c r="B4746" s="22" t="str">
        <f>IFERROR(__xludf.DUMMYFUNCTION("""COMPUTED_VALUE"""),"確定")</f>
        <v>確定</v>
      </c>
      <c r="C4746" s="28">
        <f>IFERROR(__xludf.DUMMYFUNCTION("""COMPUTED_VALUE"""),46014.0)</f>
        <v>46014</v>
      </c>
      <c r="D4746" s="28">
        <f>IFERROR(__xludf.DUMMYFUNCTION("""COMPUTED_VALUE"""),46077.0)</f>
        <v>46077</v>
      </c>
      <c r="E4746" s="26">
        <f>IFERROR(__xludf.DUMMYFUNCTION("""COMPUTED_VALUE"""),351975.0)</f>
        <v>351975</v>
      </c>
      <c r="F4746" s="22" t="str">
        <f>IFERROR(__xludf.DUMMYFUNCTION("""COMPUTED_VALUE"""),"嘘はやらしい毒で溶かして。あばかれたい男の愛し方")</f>
        <v>嘘はやらしい毒で溶かして。あばかれたい男の愛し方</v>
      </c>
      <c r="G4746" s="20" t="str">
        <f>IFERROR(__xludf.DUMMYFUNCTION("""COMPUTED_VALUE"""),"1～2")</f>
        <v>1～2</v>
      </c>
      <c r="H4746" s="22" t="str">
        <f>IFERROR(__xludf.DUMMYFUNCTION("""COMPUTED_VALUE"""),"ヤマト蛍")</f>
        <v>ヤマト蛍</v>
      </c>
      <c r="I4746" s="22" t="str">
        <f>IFERROR(__xludf.DUMMYFUNCTION("""COMPUTED_VALUE"""),"TL")</f>
        <v>TL</v>
      </c>
      <c r="J4746" s="22"/>
      <c r="K4746" s="22" t="str">
        <f>IFERROR(__xludf.DUMMYFUNCTION("""COMPUTED_VALUE"""),"TL★オトメチカ")</f>
        <v>TL★オトメチカ</v>
      </c>
      <c r="L4746" s="22" t="str">
        <f>IFERROR(__xludf.DUMMYFUNCTION("""COMPUTED_VALUE"""),"CLLENN")</f>
        <v>CLLENN</v>
      </c>
      <c r="M4746" s="33">
        <f>IFERROR(__xludf.DUMMYFUNCTION("""COMPUTED_VALUE"""),46089.0)</f>
        <v>46089</v>
      </c>
      <c r="N4746" s="33">
        <f>IFERROR(__xludf.DUMMYFUNCTION("""COMPUTED_VALUE"""),46144.0)</f>
        <v>46144</v>
      </c>
      <c r="O4746" s="20"/>
      <c r="P4746" s="32" t="str">
        <f>IFERROR(__xludf.DUMMYFUNCTION("""COMPUTED_VALUE"""),"可")</f>
        <v>可</v>
      </c>
      <c r="Q4746" s="30" t="str">
        <f>IFERROR(__xludf.DUMMYFUNCTION("""COMPUTED_VALUE"""),"【アダルト作品扱い】")</f>
        <v>【アダルト作品扱い】</v>
      </c>
      <c r="R4746" s="22" t="str">
        <f>IFERROR(__xludf.DUMMYFUNCTION("""COMPUTED_VALUE"""),"コミットOK")</f>
        <v>コミットOK</v>
      </c>
      <c r="S4746" s="22" t="str">
        <f>IFERROR(__xludf.DUMMYFUNCTION("""COMPUTED_VALUE"""),"20260219_CLLENN_嘘はやらしい毒で溶かして。あばかれたい男の愛し方")</f>
        <v>20260219_CLLENN_嘘はやらしい毒で溶かして。あばかれたい男の愛し方</v>
      </c>
      <c r="T4746" s="22" t="str">
        <f>IFERROR(__xludf.DUMMYFUNCTION("""COMPUTED_VALUE"""),"格納済み")</f>
        <v>格納済み</v>
      </c>
      <c r="U4746" s="9" t="str">
        <f>IFERROR(__xludf.DUMMYFUNCTION("""COMPUTED_VALUE"""),"Ⓒヤマト蛍/CLLENN")</f>
        <v>Ⓒヤマト蛍/CLLENN</v>
      </c>
      <c r="V4746" s="8"/>
      <c r="W4746" s="8"/>
      <c r="X4746" s="8" t="str">
        <f>IFERROR(__xludf.DUMMYFUNCTION("""COMPUTED_VALUE"""),"有")</f>
        <v>有</v>
      </c>
      <c r="Y4746" s="8" t="str">
        <f>IFERROR(__xludf.DUMMYFUNCTION("""COMPUTED_VALUE"""),"P10まで")</f>
        <v>P10まで</v>
      </c>
      <c r="Z4746" s="7"/>
      <c r="AA4746" s="7"/>
      <c r="AB4746" s="7"/>
    </row>
    <row r="4747" ht="15.75" customHeight="1">
      <c r="A4747" s="26">
        <f>IFERROR(__xludf.DUMMYFUNCTION("""COMPUTED_VALUE"""),7167.0)</f>
        <v>7167</v>
      </c>
      <c r="B4747" s="22" t="str">
        <f>IFERROR(__xludf.DUMMYFUNCTION("""COMPUTED_VALUE"""),"確定")</f>
        <v>確定</v>
      </c>
      <c r="C4747" s="28">
        <f>IFERROR(__xludf.DUMMYFUNCTION("""COMPUTED_VALUE"""),46029.0)</f>
        <v>46029</v>
      </c>
      <c r="D4747" s="28">
        <f>IFERROR(__xludf.DUMMYFUNCTION("""COMPUTED_VALUE"""),46078.0)</f>
        <v>46078</v>
      </c>
      <c r="E4747" s="26">
        <f>IFERROR(__xludf.DUMMYFUNCTION("""COMPUTED_VALUE"""),351470.0)</f>
        <v>351470</v>
      </c>
      <c r="F4747" s="22" t="str">
        <f>IFERROR(__xludf.DUMMYFUNCTION("""COMPUTED_VALUE"""),"本番禁止 セラピストのアキくんに濃厚えっちをお願いしてみた【R版】")</f>
        <v>本番禁止 セラピストのアキくんに濃厚えっちをお願いしてみた【R版】</v>
      </c>
      <c r="G4747" s="20" t="str">
        <f>IFERROR(__xludf.DUMMYFUNCTION("""COMPUTED_VALUE"""),"1～4")</f>
        <v>1～4</v>
      </c>
      <c r="H4747" s="22" t="str">
        <f>IFERROR(__xludf.DUMMYFUNCTION("""COMPUTED_VALUE"""),"しろい宇沙┻キケンな男子図鑑")</f>
        <v>しろい宇沙┻キケンな男子図鑑</v>
      </c>
      <c r="I4747" s="22" t="str">
        <f>IFERROR(__xludf.DUMMYFUNCTION("""COMPUTED_VALUE"""),"アダルト")</f>
        <v>アダルト</v>
      </c>
      <c r="J4747" s="22">
        <f>IFERROR(__xludf.DUMMYFUNCTION("""COMPUTED_VALUE"""),1.0)</f>
        <v>1</v>
      </c>
      <c r="K4747" s="22"/>
      <c r="L4747" s="22" t="str">
        <f>IFERROR(__xludf.DUMMYFUNCTION("""COMPUTED_VALUE"""),"BBB")</f>
        <v>BBB</v>
      </c>
      <c r="M4747" s="33">
        <f>IFERROR(__xludf.DUMMYFUNCTION("""COMPUTED_VALUE"""),46109.0)</f>
        <v>46109</v>
      </c>
      <c r="N4747" s="33">
        <f>IFERROR(__xludf.DUMMYFUNCTION("""COMPUTED_VALUE"""),46200.0)</f>
        <v>46200</v>
      </c>
      <c r="O4747" s="20"/>
      <c r="P4747" s="32" t="str">
        <f>IFERROR(__xludf.DUMMYFUNCTION("""COMPUTED_VALUE"""),"可")</f>
        <v>可</v>
      </c>
      <c r="Q4747" s="30" t="str">
        <f>IFERROR(__xludf.DUMMYFUNCTION("""COMPUTED_VALUE"""),"格納素材を4分割して初回1~4巻として配信します。読み切り作品。")</f>
        <v>格納素材を4分割して初回1~4巻として配信します。読み切り作品。</v>
      </c>
      <c r="R4747" s="22" t="str">
        <f>IFERROR(__xludf.DUMMYFUNCTION("""COMPUTED_VALUE"""),"コミットOK")</f>
        <v>コミットOK</v>
      </c>
      <c r="S4747" s="22" t="str">
        <f>IFERROR(__xludf.DUMMYFUNCTION("""COMPUTED_VALUE"""),"20260224_BBB_本番禁止 セラピストのアキくんに濃厚えっちをお願いしてみた【R版】")</f>
        <v>20260224_BBB_本番禁止 セラピストのアキくんに濃厚えっちをお願いしてみた【R版】</v>
      </c>
      <c r="T4747" s="22" t="str">
        <f>IFERROR(__xludf.DUMMYFUNCTION("""COMPUTED_VALUE"""),"格納済み")</f>
        <v>格納済み</v>
      </c>
      <c r="U4747" s="9" t="str">
        <f>IFERROR(__xludf.DUMMYFUNCTION("""COMPUTED_VALUE"""),"Ⓒしろい宇沙/キケンな男子図鑑/Caleido Comics")</f>
        <v>Ⓒしろい宇沙/キケンな男子図鑑/Caleido Comics</v>
      </c>
      <c r="V4747" s="8"/>
      <c r="W4747" s="8"/>
      <c r="X4747" s="8" t="str">
        <f>IFERROR(__xludf.DUMMYFUNCTION("""COMPUTED_VALUE"""),"有")</f>
        <v>有</v>
      </c>
      <c r="Y4747" s="8" t="str">
        <f>IFERROR(__xludf.DUMMYFUNCTION("""COMPUTED_VALUE"""),"2026/4/27まで1巻無料")</f>
        <v>2026/4/27まで1巻無料</v>
      </c>
      <c r="Z4747" s="7"/>
      <c r="AA4747" s="7"/>
      <c r="AB4747" s="7"/>
    </row>
    <row r="4748" ht="15.75" customHeight="1">
      <c r="A4748" s="26">
        <f>IFERROR(__xludf.DUMMYFUNCTION("""COMPUTED_VALUE"""),7183.0)</f>
        <v>7183</v>
      </c>
      <c r="B4748" s="22" t="str">
        <f>IFERROR(__xludf.DUMMYFUNCTION("""COMPUTED_VALUE"""),"確定")</f>
        <v>確定</v>
      </c>
      <c r="C4748" s="28">
        <f>IFERROR(__xludf.DUMMYFUNCTION("""COMPUTED_VALUE"""),46031.0)</f>
        <v>46031</v>
      </c>
      <c r="D4748" s="28">
        <f>IFERROR(__xludf.DUMMYFUNCTION("""COMPUTED_VALUE"""),46078.0)</f>
        <v>46078</v>
      </c>
      <c r="E4748" s="26">
        <f>IFERROR(__xludf.DUMMYFUNCTION("""COMPUTED_VALUE"""),351747.0)</f>
        <v>351747</v>
      </c>
      <c r="F4748" s="22" t="str">
        <f>IFERROR(__xludf.DUMMYFUNCTION("""COMPUTED_VALUE"""),"幼なじみ、距離感ゼロ【分冊版】")</f>
        <v>幼なじみ、距離感ゼロ【分冊版】</v>
      </c>
      <c r="G4748" s="20">
        <f>IFERROR(__xludf.DUMMYFUNCTION("""COMPUTED_VALUE"""),1.0)</f>
        <v>1</v>
      </c>
      <c r="H4748" s="22" t="str">
        <f>IFERROR(__xludf.DUMMYFUNCTION("""COMPUTED_VALUE"""),"椎名しゅん")</f>
        <v>椎名しゅん</v>
      </c>
      <c r="I4748" s="22" t="str">
        <f>IFERROR(__xludf.DUMMYFUNCTION("""COMPUTED_VALUE"""),"BL")</f>
        <v>BL</v>
      </c>
      <c r="J4748" s="22"/>
      <c r="K4748" s="22" t="str">
        <f>IFERROR(__xludf.DUMMYFUNCTION("""COMPUTED_VALUE"""),"equal")</f>
        <v>equal</v>
      </c>
      <c r="L4748" s="22" t="str">
        <f>IFERROR(__xludf.DUMMYFUNCTION("""COMPUTED_VALUE"""),"笠倉出版社")</f>
        <v>笠倉出版社</v>
      </c>
      <c r="M4748" s="33">
        <f>IFERROR(__xludf.DUMMYFUNCTION("""COMPUTED_VALUE"""),46094.0)</f>
        <v>46094</v>
      </c>
      <c r="N4748" s="33">
        <f>IFERROR(__xludf.DUMMYFUNCTION("""COMPUTED_VALUE"""),46121.0)</f>
        <v>46121</v>
      </c>
      <c r="O4748" s="20"/>
      <c r="P4748" s="32" t="str">
        <f>IFERROR(__xludf.DUMMYFUNCTION("""COMPUTED_VALUE"""),"可")</f>
        <v>可</v>
      </c>
      <c r="Q4748" s="30" t="str">
        <f>IFERROR(__xludf.DUMMYFUNCTION("""COMPUTED_VALUE"""),"隔月配信 5話完結予定")</f>
        <v>隔月配信 5話完結予定</v>
      </c>
      <c r="R4748" s="22"/>
      <c r="S4748" s="22" t="str">
        <f>IFERROR(__xludf.DUMMYFUNCTION("""COMPUTED_VALUE"""),"20260219_笠倉出版社_幼なじみ、距離感ゼロ【分冊版】")</f>
        <v>20260219_笠倉出版社_幼なじみ、距離感ゼロ【分冊版】</v>
      </c>
      <c r="T4748" s="22" t="str">
        <f>IFERROR(__xludf.DUMMYFUNCTION("""COMPUTED_VALUE"""),"格納済み")</f>
        <v>格納済み</v>
      </c>
      <c r="U4748" s="9" t="str">
        <f>IFERROR(__xludf.DUMMYFUNCTION("""COMPUTED_VALUE"""),"Ⓒ椎名しゅん/笠倉出版社")</f>
        <v>Ⓒ椎名しゅん/笠倉出版社</v>
      </c>
      <c r="V4748" s="8"/>
      <c r="W4748" s="8"/>
      <c r="X4748" s="8" t="str">
        <f>IFERROR(__xludf.DUMMYFUNCTION("""COMPUTED_VALUE"""),"有")</f>
        <v>有</v>
      </c>
      <c r="Y4748" s="8" t="str">
        <f>IFERROR(__xludf.DUMMYFUNCTION("""COMPUTED_VALUE"""),"P6まで")</f>
        <v>P6まで</v>
      </c>
      <c r="Z4748" s="7"/>
      <c r="AA4748" s="7"/>
      <c r="AB4748" s="7"/>
    </row>
    <row r="4749" ht="15.75" customHeight="1">
      <c r="A4749" s="26">
        <f>IFERROR(__xludf.DUMMYFUNCTION("""COMPUTED_VALUE"""),7240.0)</f>
        <v>7240</v>
      </c>
      <c r="B4749" s="22" t="str">
        <f>IFERROR(__xludf.DUMMYFUNCTION("""COMPUTED_VALUE"""),"確定")</f>
        <v>確定</v>
      </c>
      <c r="C4749" s="28">
        <f>IFERROR(__xludf.DUMMYFUNCTION("""COMPUTED_VALUE"""),46038.0)</f>
        <v>46038</v>
      </c>
      <c r="D4749" s="28">
        <f>IFERROR(__xludf.DUMMYFUNCTION("""COMPUTED_VALUE"""),46073.0)</f>
        <v>46073</v>
      </c>
      <c r="E4749" s="26">
        <f>IFERROR(__xludf.DUMMYFUNCTION("""COMPUTED_VALUE"""),355992.0)</f>
        <v>355992</v>
      </c>
      <c r="F4749" s="22" t="str">
        <f>IFERROR(__xludf.DUMMYFUNCTION("""COMPUTED_VALUE"""),"うすかわいちまいむこうがわ　～婚約破棄された二度目の人生、あやかしを視る目が最強軍人を導く～【単話版】")</f>
        <v>うすかわいちまいむこうがわ　～婚約破棄された二度目の人生、あやかしを視る目が最強軍人を導く～【単話版】</v>
      </c>
      <c r="G4749" s="20" t="str">
        <f>IFERROR(__xludf.DUMMYFUNCTION("""COMPUTED_VALUE"""),"1～3")</f>
        <v>1～3</v>
      </c>
      <c r="H4749" s="22" t="str">
        <f>IFERROR(__xludf.DUMMYFUNCTION("""COMPUTED_VALUE"""),"塩島れい/豆田 麦/瓜うりた")</f>
        <v>塩島れい/豆田 麦/瓜うりた</v>
      </c>
      <c r="I4749" s="22" t="str">
        <f>IFERROR(__xludf.DUMMYFUNCTION("""COMPUTED_VALUE"""),"少女")</f>
        <v>少女</v>
      </c>
      <c r="J4749" s="22"/>
      <c r="K4749" s="22"/>
      <c r="L4749" s="22" t="str">
        <f>IFERROR(__xludf.DUMMYFUNCTION("""COMPUTED_VALUE"""),"オーバーラップ")</f>
        <v>オーバーラップ</v>
      </c>
      <c r="M4749" s="33">
        <f>IFERROR(__xludf.DUMMYFUNCTION("""COMPUTED_VALUE"""),46106.0)</f>
        <v>46106</v>
      </c>
      <c r="N4749" s="33">
        <f>IFERROR(__xludf.DUMMYFUNCTION("""COMPUTED_VALUE"""),401768.0)</f>
        <v>401768</v>
      </c>
      <c r="O4749" s="20"/>
      <c r="P4749" s="32" t="str">
        <f>IFERROR(__xludf.DUMMYFUNCTION("""COMPUTED_VALUE"""),"可")</f>
        <v>可</v>
      </c>
      <c r="Q4749" s="30"/>
      <c r="R4749" s="22" t="str">
        <f>IFERROR(__xludf.DUMMYFUNCTION("""COMPUTED_VALUE"""),"コミットOK")</f>
        <v>コミットOK</v>
      </c>
      <c r="S4749" s="22" t="str">
        <f>IFERROR(__xludf.DUMMYFUNCTION("""COMPUTED_VALUE"""),"20260219_オーバーラップ_うすかわこまちのむこうがわ")</f>
        <v>20260219_オーバーラップ_うすかわこまちのむこうがわ</v>
      </c>
      <c r="T4749" s="22" t="str">
        <f>IFERROR(__xludf.DUMMYFUNCTION("""COMPUTED_VALUE"""),"格納済み")</f>
        <v>格納済み</v>
      </c>
      <c r="U4749" s="9" t="str">
        <f>IFERROR(__xludf.DUMMYFUNCTION("""COMPUTED_VALUE"""),"(c)塩島れい　(c)豆田 麦／オーバーラップ")</f>
        <v>(c)塩島れい　(c)豆田 麦／オーバーラップ</v>
      </c>
      <c r="V4749" s="8"/>
      <c r="W4749" s="8"/>
      <c r="X4749" s="8" t="str">
        <f>IFERROR(__xludf.DUMMYFUNCTION("""COMPUTED_VALUE"""),"有")</f>
        <v>有</v>
      </c>
      <c r="Y4749" s="8" t="str">
        <f>IFERROR(__xludf.DUMMYFUNCTION("""COMPUTED_VALUE"""),"2026/6/25まで1巻無料")</f>
        <v>2026/6/25まで1巻無料</v>
      </c>
      <c r="Z4749" s="7"/>
      <c r="AA4749" s="7"/>
      <c r="AB4749" s="7"/>
    </row>
    <row r="4750" ht="15.75" customHeight="1">
      <c r="A4750" s="26">
        <f>IFERROR(__xludf.DUMMYFUNCTION("""COMPUTED_VALUE"""),7253.0)</f>
        <v>7253</v>
      </c>
      <c r="B4750" s="22" t="str">
        <f>IFERROR(__xludf.DUMMYFUNCTION("""COMPUTED_VALUE"""),"確定")</f>
        <v>確定</v>
      </c>
      <c r="C4750" s="28">
        <f>IFERROR(__xludf.DUMMYFUNCTION("""COMPUTED_VALUE"""),46042.0)</f>
        <v>46042</v>
      </c>
      <c r="D4750" s="28">
        <f>IFERROR(__xludf.DUMMYFUNCTION("""COMPUTED_VALUE"""),46078.0)</f>
        <v>46078</v>
      </c>
      <c r="E4750" s="26">
        <f>IFERROR(__xludf.DUMMYFUNCTION("""COMPUTED_VALUE"""),355145.0)</f>
        <v>355145</v>
      </c>
      <c r="F4750" s="22" t="str">
        <f>IFERROR(__xludf.DUMMYFUNCTION("""COMPUTED_VALUE"""),"喪女OLですが、なぜか理想の筋肉に包囲されています。")</f>
        <v>喪女OLですが、なぜか理想の筋肉に包囲されています。</v>
      </c>
      <c r="G4750" s="20" t="str">
        <f>IFERROR(__xludf.DUMMYFUNCTION("""COMPUTED_VALUE"""),"1～3")</f>
        <v>1～3</v>
      </c>
      <c r="H4750" s="22" t="str">
        <f>IFERROR(__xludf.DUMMYFUNCTION("""COMPUTED_VALUE"""),"ますだ悠")</f>
        <v>ますだ悠</v>
      </c>
      <c r="I4750" s="22" t="str">
        <f>IFERROR(__xludf.DUMMYFUNCTION("""COMPUTED_VALUE"""),"女性")</f>
        <v>女性</v>
      </c>
      <c r="J4750" s="22"/>
      <c r="K4750" s="22" t="str">
        <f>IFERROR(__xludf.DUMMYFUNCTION("""COMPUTED_VALUE"""),"コイパレ")</f>
        <v>コイパレ</v>
      </c>
      <c r="L4750" s="22" t="str">
        <f>IFERROR(__xludf.DUMMYFUNCTION("""COMPUTED_VALUE"""),"CLLENN")</f>
        <v>CLLENN</v>
      </c>
      <c r="M4750" s="33">
        <f>IFERROR(__xludf.DUMMYFUNCTION("""COMPUTED_VALUE"""),46113.0)</f>
        <v>46113</v>
      </c>
      <c r="N4750" s="33">
        <f>IFERROR(__xludf.DUMMYFUNCTION("""COMPUTED_VALUE"""),46175.0)</f>
        <v>46175</v>
      </c>
      <c r="O4750" s="20"/>
      <c r="P4750" s="32" t="str">
        <f>IFERROR(__xludf.DUMMYFUNCTION("""COMPUTED_VALUE"""),"可")</f>
        <v>可</v>
      </c>
      <c r="Q4750" s="30"/>
      <c r="R4750" s="22" t="str">
        <f>IFERROR(__xludf.DUMMYFUNCTION("""COMPUTED_VALUE"""),"コミットOK")</f>
        <v>コミットOK</v>
      </c>
      <c r="S4750" s="22" t="str">
        <f>IFERROR(__xludf.DUMMYFUNCTION("""COMPUTED_VALUE"""),"20260225_CLLENN_喪女OLですが、なぜか理想の筋肉に包囲されています。")</f>
        <v>20260225_CLLENN_喪女OLですが、なぜか理想の筋肉に包囲されています。</v>
      </c>
      <c r="T4750" s="22" t="str">
        <f>IFERROR(__xludf.DUMMYFUNCTION("""COMPUTED_VALUE"""),"格納済み")</f>
        <v>格納済み</v>
      </c>
      <c r="U4750" s="9" t="str">
        <f>IFERROR(__xludf.DUMMYFUNCTION("""COMPUTED_VALUE"""),"Ⓒますだ悠/CLLENN")</f>
        <v>Ⓒますだ悠/CLLENN</v>
      </c>
      <c r="V4750" s="8"/>
      <c r="W4750" s="8"/>
      <c r="X4750" s="8" t="str">
        <f>IFERROR(__xludf.DUMMYFUNCTION("""COMPUTED_VALUE"""),"有")</f>
        <v>有</v>
      </c>
      <c r="Y4750" s="8" t="str">
        <f>IFERROR(__xludf.DUMMYFUNCTION("""COMPUTED_VALUE"""),"P10まで")</f>
        <v>P10まで</v>
      </c>
      <c r="Z4750" s="7"/>
      <c r="AA4750" s="7"/>
      <c r="AB4750" s="7"/>
    </row>
    <row r="4751" ht="15.75" customHeight="1">
      <c r="A4751" s="26">
        <f>IFERROR(__xludf.DUMMYFUNCTION("""COMPUTED_VALUE"""),7264.0)</f>
        <v>7264</v>
      </c>
      <c r="B4751" s="22" t="str">
        <f>IFERROR(__xludf.DUMMYFUNCTION("""COMPUTED_VALUE"""),"確定")</f>
        <v>確定</v>
      </c>
      <c r="C4751" s="28">
        <f>IFERROR(__xludf.DUMMYFUNCTION("""COMPUTED_VALUE"""),46043.0)</f>
        <v>46043</v>
      </c>
      <c r="D4751" s="28">
        <f>IFERROR(__xludf.DUMMYFUNCTION("""COMPUTED_VALUE"""),46078.0)</f>
        <v>46078</v>
      </c>
      <c r="E4751" s="26">
        <f>IFERROR(__xludf.DUMMYFUNCTION("""COMPUTED_VALUE"""),354738.0)</f>
        <v>354738</v>
      </c>
      <c r="F4751" s="22" t="str">
        <f>IFERROR(__xludf.DUMMYFUNCTION("""COMPUTED_VALUE"""),"俺を好きなはずの君は、思い通りにならない")</f>
        <v>俺を好きなはずの君は、思い通りにならない</v>
      </c>
      <c r="G4751" s="20" t="str">
        <f>IFERROR(__xludf.DUMMYFUNCTION("""COMPUTED_VALUE"""),"1～3")</f>
        <v>1～3</v>
      </c>
      <c r="H4751" s="22" t="str">
        <f>IFERROR(__xludf.DUMMYFUNCTION("""COMPUTED_VALUE"""),"作画：ヨネマイ原作：itoka")</f>
        <v>作画：ヨネマイ原作：itoka</v>
      </c>
      <c r="I4751" s="22" t="str">
        <f>IFERROR(__xludf.DUMMYFUNCTION("""COMPUTED_VALUE"""),"女性")</f>
        <v>女性</v>
      </c>
      <c r="J4751" s="22"/>
      <c r="K4751" s="22" t="str">
        <f>IFERROR(__xludf.DUMMYFUNCTION("""COMPUTED_VALUE"""),"カフネ")</f>
        <v>カフネ</v>
      </c>
      <c r="L4751" s="22" t="str">
        <f>IFERROR(__xludf.DUMMYFUNCTION("""COMPUTED_VALUE"""),"DPNブックス")</f>
        <v>DPNブックス</v>
      </c>
      <c r="M4751" s="33">
        <f>IFERROR(__xludf.DUMMYFUNCTION("""COMPUTED_VALUE"""),46103.0)</f>
        <v>46103</v>
      </c>
      <c r="N4751" s="33">
        <f>IFERROR(__xludf.DUMMYFUNCTION("""COMPUTED_VALUE"""),46133.0)</f>
        <v>46133</v>
      </c>
      <c r="O4751" s="20"/>
      <c r="P4751" s="32" t="str">
        <f>IFERROR(__xludf.DUMMYFUNCTION("""COMPUTED_VALUE"""),"可")</f>
        <v>可</v>
      </c>
      <c r="Q4751" s="30"/>
      <c r="R4751" s="22" t="str">
        <f>IFERROR(__xludf.DUMMYFUNCTION("""COMPUTED_VALUE"""),"コミットNG")</f>
        <v>コミットNG</v>
      </c>
      <c r="S4751" s="22" t="str">
        <f>IFERROR(__xludf.DUMMYFUNCTION("""COMPUTED_VALUE"""),"20260225_DPNブックス_俺を好きなはずの君は、思い通りにならない")</f>
        <v>20260225_DPNブックス_俺を好きなはずの君は、思い通りにならない</v>
      </c>
      <c r="T4751" s="22" t="str">
        <f>IFERROR(__xludf.DUMMYFUNCTION("""COMPUTED_VALUE"""),"格納済み")</f>
        <v>格納済み</v>
      </c>
      <c r="U4751" s="9" t="str">
        <f>IFERROR(__xludf.DUMMYFUNCTION("""COMPUTED_VALUE"""),"(C)ヨネマイ・itoka／DPNブックス")</f>
        <v>(C)ヨネマイ・itoka／DPNブックス</v>
      </c>
      <c r="V4751" s="8"/>
      <c r="W4751" s="8"/>
      <c r="X4751" s="8" t="str">
        <f>IFERROR(__xludf.DUMMYFUNCTION("""COMPUTED_VALUE"""),"有")</f>
        <v>有</v>
      </c>
      <c r="Y4751" s="8" t="str">
        <f>IFERROR(__xludf.DUMMYFUNCTION("""COMPUTED_VALUE"""),"2026/4/21まで1巻無料")</f>
        <v>2026/4/21まで1巻無料</v>
      </c>
      <c r="Z4751" s="7"/>
      <c r="AA4751" s="7"/>
      <c r="AB4751" s="7"/>
    </row>
    <row r="4752" ht="15.75" customHeight="1">
      <c r="A4752" s="26">
        <f>IFERROR(__xludf.DUMMYFUNCTION("""COMPUTED_VALUE"""),7268.0)</f>
        <v>7268</v>
      </c>
      <c r="B4752" s="22" t="str">
        <f>IFERROR(__xludf.DUMMYFUNCTION("""COMPUTED_VALUE"""),"確定")</f>
        <v>確定</v>
      </c>
      <c r="C4752" s="28">
        <f>IFERROR(__xludf.DUMMYFUNCTION("""COMPUTED_VALUE"""),46043.0)</f>
        <v>46043</v>
      </c>
      <c r="D4752" s="28">
        <f>IFERROR(__xludf.DUMMYFUNCTION("""COMPUTED_VALUE"""),46071.0)</f>
        <v>46071</v>
      </c>
      <c r="E4752" s="26">
        <f>IFERROR(__xludf.DUMMYFUNCTION("""COMPUTED_VALUE"""),355141.0)</f>
        <v>355141</v>
      </c>
      <c r="F4752" s="22" t="str">
        <f>IFERROR(__xludf.DUMMYFUNCTION("""COMPUTED_VALUE"""),"しごでき後輩ちゃんは不感症～これなら浮気になりませんよね～")</f>
        <v>しごでき後輩ちゃんは不感症～これなら浮気になりませんよね～</v>
      </c>
      <c r="G4752" s="20" t="str">
        <f>IFERROR(__xludf.DUMMYFUNCTION("""COMPUTED_VALUE"""),"1～3")</f>
        <v>1～3</v>
      </c>
      <c r="H4752" s="22" t="str">
        <f>IFERROR(__xludf.DUMMYFUNCTION("""COMPUTED_VALUE"""),"satoeri")</f>
        <v>satoeri</v>
      </c>
      <c r="I4752" s="22" t="str">
        <f>IFERROR(__xludf.DUMMYFUNCTION("""COMPUTED_VALUE"""),"アダルト")</f>
        <v>アダルト</v>
      </c>
      <c r="J4752" s="22"/>
      <c r="K4752" s="22"/>
      <c r="L4752" s="22" t="str">
        <f>IFERROR(__xludf.DUMMYFUNCTION("""COMPUTED_VALUE"""),"ailoveproject")</f>
        <v>ailoveproject</v>
      </c>
      <c r="M4752" s="33">
        <f>IFERROR(__xludf.DUMMYFUNCTION("""COMPUTED_VALUE"""),46106.0)</f>
        <v>46106</v>
      </c>
      <c r="N4752" s="33">
        <f>IFERROR(__xludf.DUMMYFUNCTION("""COMPUTED_VALUE"""),46197.0)</f>
        <v>46197</v>
      </c>
      <c r="O4752" s="20"/>
      <c r="P4752" s="32" t="str">
        <f>IFERROR(__xludf.DUMMYFUNCTION("""COMPUTED_VALUE"""),"可")</f>
        <v>可</v>
      </c>
      <c r="Q4752" s="30" t="str">
        <f>IFERROR(__xludf.DUMMYFUNCTION("""COMPUTED_VALUE"""),"AI作品")</f>
        <v>AI作品</v>
      </c>
      <c r="R4752" s="22" t="str">
        <f>IFERROR(__xludf.DUMMYFUNCTION("""COMPUTED_VALUE"""),"コミットOK")</f>
        <v>コミットOK</v>
      </c>
      <c r="S4752" s="22" t="str">
        <f>IFERROR(__xludf.DUMMYFUNCTION("""COMPUTED_VALUE"""),"20260218_ailoveproject_しごでき後輩ちゃんは不感症～これなら浮気になりませんよね～")</f>
        <v>20260218_ailoveproject_しごでき後輩ちゃんは不感症～これなら浮気になりませんよね～</v>
      </c>
      <c r="T4752" s="22" t="str">
        <f>IFERROR(__xludf.DUMMYFUNCTION("""COMPUTED_VALUE"""),"格納済み")</f>
        <v>格納済み</v>
      </c>
      <c r="U4752" s="9" t="str">
        <f>IFERROR(__xludf.DUMMYFUNCTION("""COMPUTED_VALUE"""),"（C）satoeri/ailoveproject")</f>
        <v>（C）satoeri/ailoveproject</v>
      </c>
      <c r="V4752" s="8"/>
      <c r="W4752" s="8"/>
      <c r="X4752" s="8" t="str">
        <f>IFERROR(__xludf.DUMMYFUNCTION("""COMPUTED_VALUE"""),"有")</f>
        <v>有</v>
      </c>
      <c r="Y4752" s="8" t="str">
        <f>IFERROR(__xludf.DUMMYFUNCTION("""COMPUTED_VALUE"""),"P3まで")</f>
        <v>P3まで</v>
      </c>
      <c r="Z4752" s="7"/>
      <c r="AA4752" s="7"/>
      <c r="AB4752" s="7"/>
    </row>
    <row r="4753" ht="15.75" customHeight="1">
      <c r="A4753" s="26">
        <f>IFERROR(__xludf.DUMMYFUNCTION("""COMPUTED_VALUE"""),7272.0)</f>
        <v>7272</v>
      </c>
      <c r="B4753" s="22" t="str">
        <f>IFERROR(__xludf.DUMMYFUNCTION("""COMPUTED_VALUE"""),"確定")</f>
        <v>確定</v>
      </c>
      <c r="C4753" s="28">
        <f>IFERROR(__xludf.DUMMYFUNCTION("""COMPUTED_VALUE"""),46044.0)</f>
        <v>46044</v>
      </c>
      <c r="D4753" s="28">
        <f>IFERROR(__xludf.DUMMYFUNCTION("""COMPUTED_VALUE"""),46077.0)</f>
        <v>46077</v>
      </c>
      <c r="E4753" s="26">
        <f>IFERROR(__xludf.DUMMYFUNCTION("""COMPUTED_VALUE"""),353988.0)</f>
        <v>353988</v>
      </c>
      <c r="F4753" s="22" t="str">
        <f>IFERROR(__xludf.DUMMYFUNCTION("""COMPUTED_VALUE"""),"エリートオメガバース-究極の番-")</f>
        <v>エリートオメガバース-究極の番-</v>
      </c>
      <c r="G4753" s="20" t="str">
        <f>IFERROR(__xludf.DUMMYFUNCTION("""COMPUTED_VALUE"""),"1～3")</f>
        <v>1～3</v>
      </c>
      <c r="H4753" s="22" t="str">
        <f>IFERROR(__xludf.DUMMYFUNCTION("""COMPUTED_VALUE"""),"狸木埜サバ")</f>
        <v>狸木埜サバ</v>
      </c>
      <c r="I4753" s="22" t="str">
        <f>IFERROR(__xludf.DUMMYFUNCTION("""COMPUTED_VALUE"""),"BL")</f>
        <v>BL</v>
      </c>
      <c r="J4753" s="22"/>
      <c r="K4753" s="22" t="str">
        <f>IFERROR(__xludf.DUMMYFUNCTION("""COMPUTED_VALUE"""),"B.Pilz")</f>
        <v>B.Pilz</v>
      </c>
      <c r="L4753" s="22" t="str">
        <f>IFERROR(__xludf.DUMMYFUNCTION("""COMPUTED_VALUE"""),"ブライト出版")</f>
        <v>ブライト出版</v>
      </c>
      <c r="M4753" s="33">
        <f>IFERROR(__xludf.DUMMYFUNCTION("""COMPUTED_VALUE"""),46107.0)</f>
        <v>46107</v>
      </c>
      <c r="N4753" s="33">
        <f>IFERROR(__xludf.DUMMYFUNCTION("""COMPUTED_VALUE"""),46211.0)</f>
        <v>46211</v>
      </c>
      <c r="O4753" s="20"/>
      <c r="P4753" s="32" t="str">
        <f>IFERROR(__xludf.DUMMYFUNCTION("""COMPUTED_VALUE"""),"可")</f>
        <v>可</v>
      </c>
      <c r="Q4753" s="30" t="str">
        <f>IFERROR(__xludf.DUMMYFUNCTION("""COMPUTED_VALUE"""),"【アダルト作品扱い】")</f>
        <v>【アダルト作品扱い】</v>
      </c>
      <c r="R4753" s="22" t="str">
        <f>IFERROR(__xludf.DUMMYFUNCTION("""COMPUTED_VALUE"""),"コミットOK")</f>
        <v>コミットOK</v>
      </c>
      <c r="S4753" s="22" t="str">
        <f>IFERROR(__xludf.DUMMYFUNCTION("""COMPUTED_VALUE"""),"20260220_ブライト出版_エリートオメガバース-究極の番-")</f>
        <v>20260220_ブライト出版_エリートオメガバース-究極の番-</v>
      </c>
      <c r="T4753" s="22" t="str">
        <f>IFERROR(__xludf.DUMMYFUNCTION("""COMPUTED_VALUE"""),"格納済み")</f>
        <v>格納済み</v>
      </c>
      <c r="U4753" s="9" t="str">
        <f>IFERROR(__xludf.DUMMYFUNCTION("""COMPUTED_VALUE"""),"(C)狸木埜サバ/ブライト出版")</f>
        <v>(C)狸木埜サバ/ブライト出版</v>
      </c>
      <c r="V4753" s="8"/>
      <c r="W4753" s="8"/>
      <c r="X4753" s="8" t="str">
        <f>IFERROR(__xludf.DUMMYFUNCTION("""COMPUTED_VALUE"""),"有")</f>
        <v>有</v>
      </c>
      <c r="Y4753" s="8" t="str">
        <f>IFERROR(__xludf.DUMMYFUNCTION("""COMPUTED_VALUE"""),"P12まで")</f>
        <v>P12まで</v>
      </c>
      <c r="Z4753" s="7"/>
      <c r="AA4753" s="7"/>
      <c r="AB4753" s="7"/>
    </row>
    <row r="4754" ht="15.75" customHeight="1">
      <c r="A4754" s="26">
        <f>IFERROR(__xludf.DUMMYFUNCTION("""COMPUTED_VALUE"""),7284.0)</f>
        <v>7284</v>
      </c>
      <c r="B4754" s="22" t="str">
        <f>IFERROR(__xludf.DUMMYFUNCTION("""COMPUTED_VALUE"""),"確定")</f>
        <v>確定</v>
      </c>
      <c r="C4754" s="28">
        <f>IFERROR(__xludf.DUMMYFUNCTION("""COMPUTED_VALUE"""),46045.0)</f>
        <v>46045</v>
      </c>
      <c r="D4754" s="28">
        <f>IFERROR(__xludf.DUMMYFUNCTION("""COMPUTED_VALUE"""),46077.0)</f>
        <v>46077</v>
      </c>
      <c r="E4754" s="26">
        <f>IFERROR(__xludf.DUMMYFUNCTION("""COMPUTED_VALUE"""),355166.0)</f>
        <v>355166</v>
      </c>
      <c r="F4754" s="22" t="str">
        <f>IFERROR(__xludf.DUMMYFUNCTION("""COMPUTED_VALUE"""),"【ラブパルフェ】隠れ肉食な先輩はベッドの上で豹変する～イキ癖つくまで愛してやるよ")</f>
        <v>【ラブパルフェ】隠れ肉食な先輩はベッドの上で豹変する～イキ癖つくまで愛してやるよ</v>
      </c>
      <c r="G4754" s="20" t="str">
        <f>IFERROR(__xludf.DUMMYFUNCTION("""COMPUTED_VALUE"""),"1～3")</f>
        <v>1～3</v>
      </c>
      <c r="H4754" s="22" t="str">
        <f>IFERROR(__xludf.DUMMYFUNCTION("""COMPUTED_VALUE"""),"登春加")</f>
        <v>登春加</v>
      </c>
      <c r="I4754" s="22" t="str">
        <f>IFERROR(__xludf.DUMMYFUNCTION("""COMPUTED_VALUE"""),"TL")</f>
        <v>TL</v>
      </c>
      <c r="J4754" s="22"/>
      <c r="K4754" s="22" t="str">
        <f>IFERROR(__xludf.DUMMYFUNCTION("""COMPUTED_VALUE"""),"ラブパルフェ")</f>
        <v>ラブパルフェ</v>
      </c>
      <c r="L4754" s="22" t="str">
        <f>IFERROR(__xludf.DUMMYFUNCTION("""COMPUTED_VALUE"""),"オーバーラップ")</f>
        <v>オーバーラップ</v>
      </c>
      <c r="M4754" s="33">
        <f>IFERROR(__xludf.DUMMYFUNCTION("""COMPUTED_VALUE"""),46113.0)</f>
        <v>46113</v>
      </c>
      <c r="N4754" s="33">
        <f>IFERROR(__xludf.DUMMYFUNCTION("""COMPUTED_VALUE"""),46173.0)</f>
        <v>46173</v>
      </c>
      <c r="O4754" s="20"/>
      <c r="P4754" s="32" t="str">
        <f>IFERROR(__xludf.DUMMYFUNCTION("""COMPUTED_VALUE"""),"可")</f>
        <v>可</v>
      </c>
      <c r="Q4754" s="30" t="str">
        <f>IFERROR(__xludf.DUMMYFUNCTION("""COMPUTED_VALUE"""),"【アダルト作品扱い】")</f>
        <v>【アダルト作品扱い】</v>
      </c>
      <c r="R4754" s="22" t="str">
        <f>IFERROR(__xludf.DUMMYFUNCTION("""COMPUTED_VALUE"""),"コミットNG")</f>
        <v>コミットNG</v>
      </c>
      <c r="S4754" s="22" t="str">
        <f>IFERROR(__xludf.DUMMYFUNCTION("""COMPUTED_VALUE"""),"20260116_オーバーラップ_隠れ肉食な先輩はベッドの上で豹変する～イキ癖つくまで愛してやるよ")</f>
        <v>20260116_オーバーラップ_隠れ肉食な先輩はベッドの上で豹変する～イキ癖つくまで愛してやるよ</v>
      </c>
      <c r="T4754" s="22" t="str">
        <f>IFERROR(__xludf.DUMMYFUNCTION("""COMPUTED_VALUE"""),"格納済み")</f>
        <v>格納済み</v>
      </c>
      <c r="U4754" s="9" t="str">
        <f>IFERROR(__xludf.DUMMYFUNCTION("""COMPUTED_VALUE"""),"(C)登春加／オーバーラップ")</f>
        <v>(C)登春加／オーバーラップ</v>
      </c>
      <c r="V4754" s="8"/>
      <c r="W4754" s="8"/>
      <c r="X4754" s="8" t="str">
        <f>IFERROR(__xludf.DUMMYFUNCTION("""COMPUTED_VALUE"""),"有")</f>
        <v>有</v>
      </c>
      <c r="Y4754" s="8" t="str">
        <f>IFERROR(__xludf.DUMMYFUNCTION("""COMPUTED_VALUE"""),"2026/5/31で1巻無料")</f>
        <v>2026/5/31で1巻無料</v>
      </c>
      <c r="Z4754" s="7"/>
      <c r="AA4754" s="7"/>
      <c r="AB4754" s="7"/>
    </row>
    <row r="4755" ht="15.75" customHeight="1">
      <c r="A4755" s="26">
        <f>IFERROR(__xludf.DUMMYFUNCTION("""COMPUTED_VALUE"""),7285.0)</f>
        <v>7285</v>
      </c>
      <c r="B4755" s="22" t="str">
        <f>IFERROR(__xludf.DUMMYFUNCTION("""COMPUTED_VALUE"""),"確定")</f>
        <v>確定</v>
      </c>
      <c r="C4755" s="28">
        <f>IFERROR(__xludf.DUMMYFUNCTION("""COMPUTED_VALUE"""),46045.0)</f>
        <v>46045</v>
      </c>
      <c r="D4755" s="28">
        <f>IFERROR(__xludf.DUMMYFUNCTION("""COMPUTED_VALUE"""),46077.0)</f>
        <v>46077</v>
      </c>
      <c r="E4755" s="26">
        <f>IFERROR(__xludf.DUMMYFUNCTION("""COMPUTED_VALUE"""),355165.0)</f>
        <v>355165</v>
      </c>
      <c r="F4755" s="22" t="str">
        <f>IFERROR(__xludf.DUMMYFUNCTION("""COMPUTED_VALUE"""),"【ラブパルフェ】豹変男子とがっつき限界セックス～野獣な彼の激しすぎる快楽にハメられて")</f>
        <v>【ラブパルフェ】豹変男子とがっつき限界セックス～野獣な彼の激しすぎる快楽にハメられて</v>
      </c>
      <c r="G4755" s="20" t="str">
        <f>IFERROR(__xludf.DUMMYFUNCTION("""COMPUTED_VALUE"""),"1～3")</f>
        <v>1～3</v>
      </c>
      <c r="H4755" s="22" t="str">
        <f>IFERROR(__xludf.DUMMYFUNCTION("""COMPUTED_VALUE"""),"田尾裸べっちー")</f>
        <v>田尾裸べっちー</v>
      </c>
      <c r="I4755" s="22" t="str">
        <f>IFERROR(__xludf.DUMMYFUNCTION("""COMPUTED_VALUE"""),"TL")</f>
        <v>TL</v>
      </c>
      <c r="J4755" s="22"/>
      <c r="K4755" s="22" t="str">
        <f>IFERROR(__xludf.DUMMYFUNCTION("""COMPUTED_VALUE"""),"ラブパルフェ")</f>
        <v>ラブパルフェ</v>
      </c>
      <c r="L4755" s="22" t="str">
        <f>IFERROR(__xludf.DUMMYFUNCTION("""COMPUTED_VALUE"""),"オーバーラップ")</f>
        <v>オーバーラップ</v>
      </c>
      <c r="M4755" s="33">
        <f>IFERROR(__xludf.DUMMYFUNCTION("""COMPUTED_VALUE"""),46113.0)</f>
        <v>46113</v>
      </c>
      <c r="N4755" s="33">
        <f>IFERROR(__xludf.DUMMYFUNCTION("""COMPUTED_VALUE"""),46173.0)</f>
        <v>46173</v>
      </c>
      <c r="O4755" s="20"/>
      <c r="P4755" s="32" t="str">
        <f>IFERROR(__xludf.DUMMYFUNCTION("""COMPUTED_VALUE"""),"可")</f>
        <v>可</v>
      </c>
      <c r="Q4755" s="30" t="str">
        <f>IFERROR(__xludf.DUMMYFUNCTION("""COMPUTED_VALUE"""),"【アダルト作品扱い】")</f>
        <v>【アダルト作品扱い】</v>
      </c>
      <c r="R4755" s="22" t="str">
        <f>IFERROR(__xludf.DUMMYFUNCTION("""COMPUTED_VALUE"""),"コミットNG")</f>
        <v>コミットNG</v>
      </c>
      <c r="S4755" s="22" t="str">
        <f>IFERROR(__xludf.DUMMYFUNCTION("""COMPUTED_VALUE"""),"20260116_オーバーラップ_豹変男子とがっつき限界セックス～野獣な彼の激しすぎる快楽にハメられて")</f>
        <v>20260116_オーバーラップ_豹変男子とがっつき限界セックス～野獣な彼の激しすぎる快楽にハメられて</v>
      </c>
      <c r="T4755" s="22" t="str">
        <f>IFERROR(__xludf.DUMMYFUNCTION("""COMPUTED_VALUE"""),"格納済み")</f>
        <v>格納済み</v>
      </c>
      <c r="U4755" s="9" t="str">
        <f>IFERROR(__xludf.DUMMYFUNCTION("""COMPUTED_VALUE"""),"(C)田尾裸べっちー／オーバーラップ")</f>
        <v>(C)田尾裸べっちー／オーバーラップ</v>
      </c>
      <c r="V4755" s="8"/>
      <c r="W4755" s="8"/>
      <c r="X4755" s="8" t="str">
        <f>IFERROR(__xludf.DUMMYFUNCTION("""COMPUTED_VALUE"""),"有")</f>
        <v>有</v>
      </c>
      <c r="Y4755" s="8" t="str">
        <f>IFERROR(__xludf.DUMMYFUNCTION("""COMPUTED_VALUE"""),"2026/5/31で1巻無料")</f>
        <v>2026/5/31で1巻無料</v>
      </c>
      <c r="Z4755" s="7"/>
      <c r="AA4755" s="7"/>
      <c r="AB4755" s="7"/>
    </row>
    <row r="4756" ht="15.75" customHeight="1">
      <c r="A4756" s="26">
        <f>IFERROR(__xludf.DUMMYFUNCTION("""COMPUTED_VALUE"""),7286.0)</f>
        <v>7286</v>
      </c>
      <c r="B4756" s="22" t="str">
        <f>IFERROR(__xludf.DUMMYFUNCTION("""COMPUTED_VALUE"""),"確定")</f>
        <v>確定</v>
      </c>
      <c r="C4756" s="28">
        <f>IFERROR(__xludf.DUMMYFUNCTION("""COMPUTED_VALUE"""),46045.0)</f>
        <v>46045</v>
      </c>
      <c r="D4756" s="28">
        <f>IFERROR(__xludf.DUMMYFUNCTION("""COMPUTED_VALUE"""),46077.0)</f>
        <v>46077</v>
      </c>
      <c r="E4756" s="26">
        <f>IFERROR(__xludf.DUMMYFUNCTION("""COMPUTED_VALUE"""),355164.0)</f>
        <v>355164</v>
      </c>
      <c r="F4756" s="22" t="str">
        <f>IFERROR(__xludf.DUMMYFUNCTION("""COMPUTED_VALUE"""),"【ラブパルフェ】脚フェチ社長の変態執愛～激甘すぎるインフルエンサーは夜がしつこい")</f>
        <v>【ラブパルフェ】脚フェチ社長の変態執愛～激甘すぎるインフルエンサーは夜がしつこい</v>
      </c>
      <c r="G4756" s="20" t="str">
        <f>IFERROR(__xludf.DUMMYFUNCTION("""COMPUTED_VALUE"""),"1～3")</f>
        <v>1～3</v>
      </c>
      <c r="H4756" s="22" t="str">
        <f>IFERROR(__xludf.DUMMYFUNCTION("""COMPUTED_VALUE"""),"真山あずき")</f>
        <v>真山あずき</v>
      </c>
      <c r="I4756" s="22" t="str">
        <f>IFERROR(__xludf.DUMMYFUNCTION("""COMPUTED_VALUE"""),"TL")</f>
        <v>TL</v>
      </c>
      <c r="J4756" s="22"/>
      <c r="K4756" s="22" t="str">
        <f>IFERROR(__xludf.DUMMYFUNCTION("""COMPUTED_VALUE"""),"ラブパルフェ")</f>
        <v>ラブパルフェ</v>
      </c>
      <c r="L4756" s="22" t="str">
        <f>IFERROR(__xludf.DUMMYFUNCTION("""COMPUTED_VALUE"""),"オーバーラップ")</f>
        <v>オーバーラップ</v>
      </c>
      <c r="M4756" s="33">
        <f>IFERROR(__xludf.DUMMYFUNCTION("""COMPUTED_VALUE"""),46113.0)</f>
        <v>46113</v>
      </c>
      <c r="N4756" s="33">
        <f>IFERROR(__xludf.DUMMYFUNCTION("""COMPUTED_VALUE"""),46173.0)</f>
        <v>46173</v>
      </c>
      <c r="O4756" s="20"/>
      <c r="P4756" s="32" t="str">
        <f>IFERROR(__xludf.DUMMYFUNCTION("""COMPUTED_VALUE"""),"可")</f>
        <v>可</v>
      </c>
      <c r="Q4756" s="30" t="str">
        <f>IFERROR(__xludf.DUMMYFUNCTION("""COMPUTED_VALUE"""),"【アダルト作品扱い】")</f>
        <v>【アダルト作品扱い】</v>
      </c>
      <c r="R4756" s="22" t="str">
        <f>IFERROR(__xludf.DUMMYFUNCTION("""COMPUTED_VALUE"""),"コミットNG")</f>
        <v>コミットNG</v>
      </c>
      <c r="S4756" s="22" t="str">
        <f>IFERROR(__xludf.DUMMYFUNCTION("""COMPUTED_VALUE"""),"20260116_オーバーラップ_脚フェチ社長の変態執愛～激甘すぎるインフルエンサーは夜がしつこい")</f>
        <v>20260116_オーバーラップ_脚フェチ社長の変態執愛～激甘すぎるインフルエンサーは夜がしつこい</v>
      </c>
      <c r="T4756" s="22" t="str">
        <f>IFERROR(__xludf.DUMMYFUNCTION("""COMPUTED_VALUE"""),"格納済み")</f>
        <v>格納済み</v>
      </c>
      <c r="U4756" s="9" t="str">
        <f>IFERROR(__xludf.DUMMYFUNCTION("""COMPUTED_VALUE"""),"(C)真山あずき／オーバーラップ")</f>
        <v>(C)真山あずき／オーバーラップ</v>
      </c>
      <c r="V4756" s="8"/>
      <c r="W4756" s="8"/>
      <c r="X4756" s="8" t="str">
        <f>IFERROR(__xludf.DUMMYFUNCTION("""COMPUTED_VALUE"""),"有")</f>
        <v>有</v>
      </c>
      <c r="Y4756" s="8" t="str">
        <f>IFERROR(__xludf.DUMMYFUNCTION("""COMPUTED_VALUE"""),"2026/5/31で1巻無料")</f>
        <v>2026/5/31で1巻無料</v>
      </c>
      <c r="Z4756" s="7"/>
      <c r="AA4756" s="7"/>
      <c r="AB4756" s="7"/>
    </row>
    <row r="4757" ht="15.75" customHeight="1">
      <c r="A4757" s="26">
        <f>IFERROR(__xludf.DUMMYFUNCTION("""COMPUTED_VALUE"""),7354.0)</f>
        <v>7354</v>
      </c>
      <c r="B4757" s="22" t="str">
        <f>IFERROR(__xludf.DUMMYFUNCTION("""COMPUTED_VALUE"""),"確定")</f>
        <v>確定</v>
      </c>
      <c r="C4757" s="28">
        <f>IFERROR(__xludf.DUMMYFUNCTION("""COMPUTED_VALUE"""),46055.0)</f>
        <v>46055</v>
      </c>
      <c r="D4757" s="28">
        <f>IFERROR(__xludf.DUMMYFUNCTION("""COMPUTED_VALUE"""),46078.0)</f>
        <v>46078</v>
      </c>
      <c r="E4757" s="26">
        <f>IFERROR(__xludf.DUMMYFUNCTION("""COMPUTED_VALUE"""),354271.0)</f>
        <v>354271</v>
      </c>
      <c r="F4757" s="22" t="str">
        <f>IFERROR(__xludf.DUMMYFUNCTION("""COMPUTED_VALUE"""),"メイドのベル")</f>
        <v>メイドのベル</v>
      </c>
      <c r="G4757" s="20" t="str">
        <f>IFERROR(__xludf.DUMMYFUNCTION("""COMPUTED_VALUE"""),"1～2")</f>
        <v>1～2</v>
      </c>
      <c r="H4757" s="22" t="str">
        <f>IFERROR(__xludf.DUMMYFUNCTION("""COMPUTED_VALUE"""),"えなかあきひ")</f>
        <v>えなかあきひ</v>
      </c>
      <c r="I4757" s="22" t="str">
        <f>IFERROR(__xludf.DUMMYFUNCTION("""COMPUTED_VALUE"""),"青年")</f>
        <v>青年</v>
      </c>
      <c r="J4757" s="22"/>
      <c r="K4757" s="22"/>
      <c r="L4757" s="22" t="str">
        <f>IFERROR(__xludf.DUMMYFUNCTION("""COMPUTED_VALUE"""),"新潮社")</f>
        <v>新潮社</v>
      </c>
      <c r="M4757" s="33">
        <f>IFERROR(__xludf.DUMMYFUNCTION("""COMPUTED_VALUE"""),46106.0)</f>
        <v>46106</v>
      </c>
      <c r="N4757" s="33"/>
      <c r="O4757" s="20"/>
      <c r="P4757" s="32" t="str">
        <f>IFERROR(__xludf.DUMMYFUNCTION("""COMPUTED_VALUE"""),"可")</f>
        <v>可</v>
      </c>
      <c r="Q4757" s="30" t="str">
        <f>IFERROR(__xludf.DUMMYFUNCTION("""COMPUTED_VALUE"""),"前後編で全2話の読み切り作品です。")</f>
        <v>前後編で全2話の読み切り作品です。</v>
      </c>
      <c r="R4757" s="22" t="str">
        <f>IFERROR(__xludf.DUMMYFUNCTION("""COMPUTED_VALUE"""),"コミットOK")</f>
        <v>コミットOK</v>
      </c>
      <c r="S4757" s="22" t="str">
        <f>IFERROR(__xludf.DUMMYFUNCTION("""COMPUTED_VALUE"""),"20260224_新潮社_メイドのベル")</f>
        <v>20260224_新潮社_メイドのベル</v>
      </c>
      <c r="T4757" s="22" t="str">
        <f>IFERROR(__xludf.DUMMYFUNCTION("""COMPUTED_VALUE"""),"格納済み")</f>
        <v>格納済み</v>
      </c>
      <c r="U4757" s="9" t="str">
        <f>IFERROR(__xludf.DUMMYFUNCTION("""COMPUTED_VALUE"""),"🄫えなかあきひ／新潮社")</f>
        <v>🄫えなかあきひ／新潮社</v>
      </c>
      <c r="V4757" s="8"/>
      <c r="W4757" s="8"/>
      <c r="X4757" s="8" t="str">
        <f>IFERROR(__xludf.DUMMYFUNCTION("""COMPUTED_VALUE"""),"有")</f>
        <v>有</v>
      </c>
      <c r="Y4757" s="8" t="str">
        <f>IFERROR(__xludf.DUMMYFUNCTION("""COMPUTED_VALUE"""),"2026/4/7まで1巻立ち読み増量（P27）")</f>
        <v>2026/4/7まで1巻立ち読み増量（P27）</v>
      </c>
      <c r="Z4757" s="7"/>
      <c r="AA4757" s="7"/>
      <c r="AB4757" s="7"/>
    </row>
    <row r="4758" ht="15.75" customHeight="1">
      <c r="A4758" s="26">
        <f>IFERROR(__xludf.DUMMYFUNCTION("""COMPUTED_VALUE"""),7392.0)</f>
        <v>7392</v>
      </c>
      <c r="B4758" s="22" t="str">
        <f>IFERROR(__xludf.DUMMYFUNCTION("""COMPUTED_VALUE"""),"確定")</f>
        <v>確定</v>
      </c>
      <c r="C4758" s="28">
        <f>IFERROR(__xludf.DUMMYFUNCTION("""COMPUTED_VALUE"""),46059.0)</f>
        <v>46059</v>
      </c>
      <c r="D4758" s="28">
        <f>IFERROR(__xludf.DUMMYFUNCTION("""COMPUTED_VALUE"""),46078.0)</f>
        <v>46078</v>
      </c>
      <c r="E4758" s="26">
        <f>IFERROR(__xludf.DUMMYFUNCTION("""COMPUTED_VALUE"""),355561.0)</f>
        <v>355561</v>
      </c>
      <c r="F4758" s="22" t="str">
        <f>IFERROR(__xludf.DUMMYFUNCTION("""COMPUTED_VALUE"""),"貧乏令嬢は呪いの伯爵と結婚したい【分冊版】")</f>
        <v>貧乏令嬢は呪いの伯爵と結婚したい【分冊版】</v>
      </c>
      <c r="G4758" s="20" t="str">
        <f>IFERROR(__xludf.DUMMYFUNCTION("""COMPUTED_VALUE"""),"1～4")</f>
        <v>1～4</v>
      </c>
      <c r="H4758" s="22" t="str">
        <f>IFERROR(__xludf.DUMMYFUNCTION("""COMPUTED_VALUE"""),"原作/海野はな 作画/カマヤキぱんち ネーム構成/那須透真")</f>
        <v>原作/海野はな 作画/カマヤキぱんち ネーム構成/那須透真</v>
      </c>
      <c r="I4758" s="22" t="str">
        <f>IFERROR(__xludf.DUMMYFUNCTION("""COMPUTED_VALUE"""),"少女")</f>
        <v>少女</v>
      </c>
      <c r="J4758" s="22"/>
      <c r="K4758" s="22"/>
      <c r="L4758" s="22" t="str">
        <f>IFERROR(__xludf.DUMMYFUNCTION("""COMPUTED_VALUE"""),"スクウェア・エニックス")</f>
        <v>スクウェア・エニックス</v>
      </c>
      <c r="M4758" s="33">
        <f>IFERROR(__xludf.DUMMYFUNCTION("""COMPUTED_VALUE"""),46113.0)</f>
        <v>46113</v>
      </c>
      <c r="N4758" s="33">
        <f>IFERROR(__xludf.DUMMYFUNCTION("""COMPUTED_VALUE"""),46142.0)</f>
        <v>46142</v>
      </c>
      <c r="O4758" s="20"/>
      <c r="P4758" s="32" t="str">
        <f>IFERROR(__xludf.DUMMYFUNCTION("""COMPUTED_VALUE"""),"否")</f>
        <v>否</v>
      </c>
      <c r="Q4758" s="30"/>
      <c r="R4758" s="22" t="str">
        <f>IFERROR(__xludf.DUMMYFUNCTION("""COMPUTED_VALUE"""),"コミットOK")</f>
        <v>コミットOK</v>
      </c>
      <c r="S4758" s="22" t="str">
        <f>IFERROR(__xludf.DUMMYFUNCTION("""COMPUTED_VALUE"""),"20260206_スクウェア・エニックス_貧乏令嬢は呪いの伯爵と結婚したい")</f>
        <v>20260206_スクウェア・エニックス_貧乏令嬢は呪いの伯爵と結婚したい</v>
      </c>
      <c r="T4758" s="22" t="str">
        <f>IFERROR(__xludf.DUMMYFUNCTION("""COMPUTED_VALUE"""),"格納済み")</f>
        <v>格納済み</v>
      </c>
      <c r="U4758" s="9" t="str">
        <f>IFERROR(__xludf.DUMMYFUNCTION("""COMPUTED_VALUE"""),"(C)Hana Umino (C)Panchi Kamayaki/SQUARE ENIX (C)Touma Nasu/SQUARE ENIX")</f>
        <v>(C)Hana Umino (C)Panchi Kamayaki/SQUARE ENIX (C)Touma Nasu/SQUARE ENIX</v>
      </c>
      <c r="V4758" s="8"/>
      <c r="W4758" s="8"/>
      <c r="X4758" s="8" t="str">
        <f>IFERROR(__xludf.DUMMYFUNCTION("""COMPUTED_VALUE"""),"有")</f>
        <v>有</v>
      </c>
      <c r="Y4758" s="8" t="str">
        <f>IFERROR(__xludf.DUMMYFUNCTION("""COMPUTED_VALUE"""),"2026/4/30まで1巻無料")</f>
        <v>2026/4/30まで1巻無料</v>
      </c>
      <c r="Z4758" s="7"/>
      <c r="AA4758" s="7"/>
      <c r="AB4758" s="7"/>
    </row>
    <row r="4759" ht="15.75" customHeight="1">
      <c r="A4759" s="26">
        <f>IFERROR(__xludf.DUMMYFUNCTION("""COMPUTED_VALUE"""),7417.0)</f>
        <v>7417</v>
      </c>
      <c r="B4759" s="22" t="str">
        <f>IFERROR(__xludf.DUMMYFUNCTION("""COMPUTED_VALUE"""),"確定")</f>
        <v>確定</v>
      </c>
      <c r="C4759" s="28">
        <f>IFERROR(__xludf.DUMMYFUNCTION("""COMPUTED_VALUE"""),46062.0)</f>
        <v>46062</v>
      </c>
      <c r="D4759" s="28">
        <f>IFERROR(__xludf.DUMMYFUNCTION("""COMPUTED_VALUE"""),46071.0)</f>
        <v>46071</v>
      </c>
      <c r="E4759" s="26">
        <f>IFERROR(__xludf.DUMMYFUNCTION("""COMPUTED_VALUE"""),337991.0)</f>
        <v>337991</v>
      </c>
      <c r="F4759" s="22" t="str">
        <f>IFERROR(__xludf.DUMMYFUNCTION("""COMPUTED_VALUE"""),"泥濘に咲く(フルカラー)")</f>
        <v>泥濘に咲く(フルカラー)</v>
      </c>
      <c r="G4759" s="20" t="str">
        <f>IFERROR(__xludf.DUMMYFUNCTION("""COMPUTED_VALUE"""),"1～3")</f>
        <v>1～3</v>
      </c>
      <c r="H4759" s="22" t="str">
        <f>IFERROR(__xludf.DUMMYFUNCTION("""COMPUTED_VALUE"""),"ミルクジェイ,ホンダン")</f>
        <v>ミルクジェイ,ホンダン</v>
      </c>
      <c r="I4759" s="22" t="str">
        <f>IFERROR(__xludf.DUMMYFUNCTION("""COMPUTED_VALUE"""),"青年マンガ")</f>
        <v>青年マンガ</v>
      </c>
      <c r="J4759" s="22"/>
      <c r="K4759" s="22" t="str">
        <f>IFERROR(__xludf.DUMMYFUNCTION("""COMPUTED_VALUE"""),"ズズズキュン！")</f>
        <v>ズズズキュン！</v>
      </c>
      <c r="L4759" s="22" t="str">
        <f>IFERROR(__xludf.DUMMYFUNCTION("""COMPUTED_VALUE"""),"シーモアコミックス")</f>
        <v>シーモアコミックス</v>
      </c>
      <c r="M4759" s="33">
        <f>IFERROR(__xludf.DUMMYFUNCTION("""COMPUTED_VALUE"""),46095.0)</f>
        <v>46095</v>
      </c>
      <c r="N4759" s="33">
        <f>IFERROR(__xludf.DUMMYFUNCTION("""COMPUTED_VALUE"""),2958465.0)</f>
        <v>2958465</v>
      </c>
      <c r="O4759" s="20"/>
      <c r="P4759" s="32" t="str">
        <f>IFERROR(__xludf.DUMMYFUNCTION("""COMPUTED_VALUE"""),"可")</f>
        <v>可</v>
      </c>
      <c r="Q4759" s="30" t="str">
        <f>IFERROR(__xludf.DUMMYFUNCTION("""COMPUTED_VALUE"""),"「人身売買」「臓器売買」といったワードの使用はNG")</f>
        <v>「人身売買」「臓器売買」といったワードの使用はNG</v>
      </c>
      <c r="R4759" s="22"/>
      <c r="S4759" s="22" t="str">
        <f>IFERROR(__xludf.DUMMYFUNCTION("""COMPUTED_VALUE"""),"20260209_シーモアコミックス_泥濘に咲く（フルカラー）")</f>
        <v>20260209_シーモアコミックス_泥濘に咲く（フルカラー）</v>
      </c>
      <c r="T4759" s="22" t="str">
        <f>IFERROR(__xludf.DUMMYFUNCTION("""COMPUTED_VALUE"""),"格納済み")</f>
        <v>格納済み</v>
      </c>
      <c r="U4759" s="9" t="str">
        <f>IFERROR(__xludf.DUMMYFUNCTION("""COMPUTED_VALUE"""),"(C) ミルクジェイ/ホンダン/ARCHIWOOL/MIZURE/シーモアコミックス")</f>
        <v>(C) ミルクジェイ/ホンダン/ARCHIWOOL/MIZURE/シーモアコミックス</v>
      </c>
      <c r="V4759" s="8"/>
      <c r="W4759" s="8"/>
      <c r="X4759" s="8" t="str">
        <f>IFERROR(__xludf.DUMMYFUNCTION("""COMPUTED_VALUE"""),"有")</f>
        <v>有</v>
      </c>
      <c r="Y4759" s="8" t="str">
        <f>IFERROR(__xludf.DUMMYFUNCTION("""COMPUTED_VALUE"""),"2026/4/10まで1巻無料")</f>
        <v>2026/4/10まで1巻無料</v>
      </c>
      <c r="Z4759" s="7"/>
      <c r="AA4759" s="7"/>
      <c r="AB4759" s="7"/>
    </row>
    <row r="4760" ht="15.75" customHeight="1">
      <c r="A4760" s="26">
        <f>IFERROR(__xludf.DUMMYFUNCTION("""COMPUTED_VALUE"""),7418.0)</f>
        <v>7418</v>
      </c>
      <c r="B4760" s="22" t="str">
        <f>IFERROR(__xludf.DUMMYFUNCTION("""COMPUTED_VALUE"""),"確定")</f>
        <v>確定</v>
      </c>
      <c r="C4760" s="28">
        <f>IFERROR(__xludf.DUMMYFUNCTION("""COMPUTED_VALUE"""),46062.0)</f>
        <v>46062</v>
      </c>
      <c r="D4760" s="28">
        <f>IFERROR(__xludf.DUMMYFUNCTION("""COMPUTED_VALUE"""),46077.0)</f>
        <v>46077</v>
      </c>
      <c r="E4760" s="26">
        <f>IFERROR(__xludf.DUMMYFUNCTION("""COMPUTED_VALUE"""),337992.0)</f>
        <v>337992</v>
      </c>
      <c r="F4760" s="22" t="str">
        <f>IFERROR(__xludf.DUMMYFUNCTION("""COMPUTED_VALUE"""),"泥濘に咲く【タテヨミ】")</f>
        <v>泥濘に咲く【タテヨミ】</v>
      </c>
      <c r="G4760" s="20" t="str">
        <f>IFERROR(__xludf.DUMMYFUNCTION("""COMPUTED_VALUE"""),"1～9")</f>
        <v>1～9</v>
      </c>
      <c r="H4760" s="22" t="str">
        <f>IFERROR(__xludf.DUMMYFUNCTION("""COMPUTED_VALUE"""),"ミルクジェイ,ホンダン")</f>
        <v>ミルクジェイ,ホンダン</v>
      </c>
      <c r="I4760" s="22" t="str">
        <f>IFERROR(__xludf.DUMMYFUNCTION("""COMPUTED_VALUE"""),"青年マンガ")</f>
        <v>青年マンガ</v>
      </c>
      <c r="J4760" s="22"/>
      <c r="K4760" s="22" t="str">
        <f>IFERROR(__xludf.DUMMYFUNCTION("""COMPUTED_VALUE"""),"ズズズキュン！")</f>
        <v>ズズズキュン！</v>
      </c>
      <c r="L4760" s="22" t="str">
        <f>IFERROR(__xludf.DUMMYFUNCTION("""COMPUTED_VALUE"""),"シーモアコミックス")</f>
        <v>シーモアコミックス</v>
      </c>
      <c r="M4760" s="33">
        <f>IFERROR(__xludf.DUMMYFUNCTION("""COMPUTED_VALUE"""),46095.0)</f>
        <v>46095</v>
      </c>
      <c r="N4760" s="33">
        <f>IFERROR(__xludf.DUMMYFUNCTION("""COMPUTED_VALUE"""),2958465.0)</f>
        <v>2958465</v>
      </c>
      <c r="O4760" s="20"/>
      <c r="P4760" s="32" t="str">
        <f>IFERROR(__xludf.DUMMYFUNCTION("""COMPUTED_VALUE"""),"可")</f>
        <v>可</v>
      </c>
      <c r="Q4760" s="30" t="str">
        <f>IFERROR(__xludf.DUMMYFUNCTION("""COMPUTED_VALUE"""),"「人身売買」「臓器売買」といったワードの使用はNG&lt;BR&gt;※コマサム等素材は「337991　泥濘に咲く(フルカラー)&lt;BR&gt;」の方をお使いください。バナー制作はフルカラー版の素材を利用して問題ございません。&lt;BR&gt;")</f>
        <v>「人身売買」「臓器売買」といったワードの使用はNG&lt;BR&gt;※コマサム等素材は「337991　泥濘に咲く(フルカラー)&lt;BR&gt;」の方をお使いください。バナー制作はフルカラー版の素材を利用して問題ございません。&lt;BR&gt;</v>
      </c>
      <c r="R4760" s="22"/>
      <c r="S4760" s="22" t="str">
        <f>IFERROR(__xludf.DUMMYFUNCTION("""COMPUTED_VALUE"""),"20260209_シーモアコミックス_泥濘に咲く【タテヨミ】")</f>
        <v>20260209_シーモアコミックス_泥濘に咲く【タテヨミ】</v>
      </c>
      <c r="T4760" s="22" t="str">
        <f>IFERROR(__xludf.DUMMYFUNCTION("""COMPUTED_VALUE"""),"格納済み")</f>
        <v>格納済み</v>
      </c>
      <c r="U4760" s="9" t="str">
        <f>IFERROR(__xludf.DUMMYFUNCTION("""COMPUTED_VALUE"""),"(C) ミルクジェイ/ホンダン/ARCHIWOOL/MIZURE/シーモアコミックス")</f>
        <v>(C) ミルクジェイ/ホンダン/ARCHIWOOL/MIZURE/シーモアコミックス</v>
      </c>
      <c r="V4760" s="8"/>
      <c r="W4760" s="8"/>
      <c r="X4760" s="8" t="str">
        <f>IFERROR(__xludf.DUMMYFUNCTION("""COMPUTED_VALUE"""),"有")</f>
        <v>有</v>
      </c>
      <c r="Y4760" s="8" t="str">
        <f>IFERROR(__xludf.DUMMYFUNCTION("""COMPUTED_VALUE"""),"2026/4/10まで1~3巻無料")</f>
        <v>2026/4/10まで1~3巻無料</v>
      </c>
      <c r="Z4760" s="7"/>
      <c r="AA4760" s="7"/>
      <c r="AB4760" s="7"/>
    </row>
    <row r="4761" ht="15.75" customHeight="1">
      <c r="A4761" s="26">
        <f>IFERROR(__xludf.DUMMYFUNCTION("""COMPUTED_VALUE"""),7420.0)</f>
        <v>7420</v>
      </c>
      <c r="B4761" s="22" t="str">
        <f>IFERROR(__xludf.DUMMYFUNCTION("""COMPUTED_VALUE"""),"確定")</f>
        <v>確定</v>
      </c>
      <c r="C4761" s="28">
        <f>IFERROR(__xludf.DUMMYFUNCTION("""COMPUTED_VALUE"""),46062.0)</f>
        <v>46062</v>
      </c>
      <c r="D4761" s="28">
        <f>IFERROR(__xludf.DUMMYFUNCTION("""COMPUTED_VALUE"""),46078.0)</f>
        <v>46078</v>
      </c>
      <c r="E4761" s="26">
        <f>IFERROR(__xludf.DUMMYFUNCTION("""COMPUTED_VALUE"""),352697.0)</f>
        <v>352697</v>
      </c>
      <c r="F4761" s="22" t="str">
        <f>IFERROR(__xludf.DUMMYFUNCTION("""COMPUTED_VALUE"""),"不思議の間")</f>
        <v>不思議の間</v>
      </c>
      <c r="G4761" s="20" t="str">
        <f>IFERROR(__xludf.DUMMYFUNCTION("""COMPUTED_VALUE"""),"1～5")</f>
        <v>1～5</v>
      </c>
      <c r="H4761" s="22" t="str">
        <f>IFERROR(__xludf.DUMMYFUNCTION("""COMPUTED_VALUE"""),"果目山ヤマタ（漫画）、猫又ヨオスケ（原作）、テラーノベル")</f>
        <v>果目山ヤマタ（漫画）、猫又ヨオスケ（原作）、テラーノベル</v>
      </c>
      <c r="I4761" s="22" t="str">
        <f>IFERROR(__xludf.DUMMYFUNCTION("""COMPUTED_VALUE"""),"青年")</f>
        <v>青年</v>
      </c>
      <c r="J4761" s="22"/>
      <c r="K4761" s="22" t="str">
        <f>IFERROR(__xludf.DUMMYFUNCTION("""COMPUTED_VALUE"""),"テラーコミック")</f>
        <v>テラーコミック</v>
      </c>
      <c r="L4761" s="22" t="str">
        <f>IFERROR(__xludf.DUMMYFUNCTION("""COMPUTED_VALUE"""),"Freedia")</f>
        <v>Freedia</v>
      </c>
      <c r="M4761" s="33">
        <f>IFERROR(__xludf.DUMMYFUNCTION("""COMPUTED_VALUE"""),46101.0)</f>
        <v>46101</v>
      </c>
      <c r="N4761" s="33">
        <f>IFERROR(__xludf.DUMMYFUNCTION("""COMPUTED_VALUE"""),46192.0)</f>
        <v>46192</v>
      </c>
      <c r="O4761" s="20"/>
      <c r="P4761" s="32" t="str">
        <f>IFERROR(__xludf.DUMMYFUNCTION("""COMPUTED_VALUE"""),"可")</f>
        <v>可</v>
      </c>
      <c r="Q4761" s="30"/>
      <c r="R4761" s="22"/>
      <c r="S4761" s="22" t="str">
        <f>IFERROR(__xludf.DUMMYFUNCTION("""COMPUTED_VALUE"""),"20260224_Freedia_不思議の間")</f>
        <v>20260224_Freedia_不思議の間</v>
      </c>
      <c r="T4761" s="22" t="str">
        <f>IFERROR(__xludf.DUMMYFUNCTION("""COMPUTED_VALUE"""),"格納済み")</f>
        <v>格納済み</v>
      </c>
      <c r="U4761" s="9" t="str">
        <f>IFERROR(__xludf.DUMMYFUNCTION("""COMPUTED_VALUE"""),"Ⓒ果目山ヤマタ・猫又ヨオスケ/Freedia・テラーノベル")</f>
        <v>Ⓒ果目山ヤマタ・猫又ヨオスケ/Freedia・テラーノベル</v>
      </c>
      <c r="V4761" s="8"/>
      <c r="W4761" s="8"/>
      <c r="X4761" s="8" t="str">
        <f>IFERROR(__xludf.DUMMYFUNCTION("""COMPUTED_VALUE"""),"有")</f>
        <v>有</v>
      </c>
      <c r="Y4761" s="8" t="str">
        <f>IFERROR(__xludf.DUMMYFUNCTION("""COMPUTED_VALUE"""),"P5まで")</f>
        <v>P5まで</v>
      </c>
      <c r="Z4761" s="7"/>
      <c r="AA4761" s="7"/>
      <c r="AB4761" s="7"/>
    </row>
    <row r="4762" ht="15.75" customHeight="1">
      <c r="A4762" s="26">
        <f>IFERROR(__xludf.DUMMYFUNCTION("""COMPUTED_VALUE"""),7426.0)</f>
        <v>7426</v>
      </c>
      <c r="B4762" s="22" t="str">
        <f>IFERROR(__xludf.DUMMYFUNCTION("""COMPUTED_VALUE"""),"確定")</f>
        <v>確定</v>
      </c>
      <c r="C4762" s="28">
        <f>IFERROR(__xludf.DUMMYFUNCTION("""COMPUTED_VALUE"""),46063.0)</f>
        <v>46063</v>
      </c>
      <c r="D4762" s="28">
        <f>IFERROR(__xludf.DUMMYFUNCTION("""COMPUTED_VALUE"""),46078.0)</f>
        <v>46078</v>
      </c>
      <c r="E4762" s="26">
        <f>IFERROR(__xludf.DUMMYFUNCTION("""COMPUTED_VALUE"""),353621.0)</f>
        <v>353621</v>
      </c>
      <c r="F4762" s="22" t="str">
        <f>IFERROR(__xludf.DUMMYFUNCTION("""COMPUTED_VALUE"""),"いろは堂あやかし語り 連載版")</f>
        <v>いろは堂あやかし語り 連載版</v>
      </c>
      <c r="G4762" s="20" t="str">
        <f>IFERROR(__xludf.DUMMYFUNCTION("""COMPUTED_VALUE"""),"1～4")</f>
        <v>1～4</v>
      </c>
      <c r="H4762" s="22" t="str">
        <f>IFERROR(__xludf.DUMMYFUNCTION("""COMPUTED_VALUE"""),"氷凪┴霜月りつ┴睦月ムンク")</f>
        <v>氷凪┴霜月りつ┴睦月ムンク</v>
      </c>
      <c r="I4762" s="22" t="str">
        <f>IFERROR(__xludf.DUMMYFUNCTION("""COMPUTED_VALUE"""),"女性")</f>
        <v>女性</v>
      </c>
      <c r="J4762" s="22"/>
      <c r="K4762" s="22"/>
      <c r="L4762" s="22" t="str">
        <f>IFERROR(__xludf.DUMMYFUNCTION("""COMPUTED_VALUE"""),"ブシロードワークス")</f>
        <v>ブシロードワークス</v>
      </c>
      <c r="M4762" s="33">
        <f>IFERROR(__xludf.DUMMYFUNCTION("""COMPUTED_VALUE"""),46089.0)</f>
        <v>46089</v>
      </c>
      <c r="N4762" s="33">
        <f>IFERROR(__xludf.DUMMYFUNCTION("""COMPUTED_VALUE"""),46151.0)</f>
        <v>46151</v>
      </c>
      <c r="O4762" s="20"/>
      <c r="P4762" s="32" t="str">
        <f>IFERROR(__xludf.DUMMYFUNCTION("""COMPUTED_VALUE"""),"可")</f>
        <v>可</v>
      </c>
      <c r="Q4762" s="30" t="str">
        <f>IFERROR(__xludf.DUMMYFUNCTION("""COMPUTED_VALUE"""),"「いろは堂あやかし語り_第01話（1・2巻）」を2分割して計1～4話として配信します。")</f>
        <v>「いろは堂あやかし語り_第01話（1・2巻）」を2分割して計1～4話として配信します。</v>
      </c>
      <c r="R4762" s="22" t="str">
        <f>IFERROR(__xludf.DUMMYFUNCTION("""COMPUTED_VALUE"""),"コミットOK")</f>
        <v>コミットOK</v>
      </c>
      <c r="S4762" s="22" t="str">
        <f>IFERROR(__xludf.DUMMYFUNCTION("""COMPUTED_VALUE"""),"20260217_ブシロードワークス_いろは堂あやかし語り 連載版")</f>
        <v>20260217_ブシロードワークス_いろは堂あやかし語り 連載版</v>
      </c>
      <c r="T4762" s="22" t="str">
        <f>IFERROR(__xludf.DUMMYFUNCTION("""COMPUTED_VALUE"""),"格納済み")</f>
        <v>格納済み</v>
      </c>
      <c r="U4762" s="9" t="str">
        <f>IFERROR(__xludf.DUMMYFUNCTION("""COMPUTED_VALUE"""),"ⒸHinagi / BUSHIROAD WORKS ⒸRitu Shimotuki")</f>
        <v>ⒸHinagi / BUSHIROAD WORKS ⒸRitu Shimotuki</v>
      </c>
      <c r="V4762" s="8"/>
      <c r="W4762" s="8"/>
      <c r="X4762" s="8" t="str">
        <f>IFERROR(__xludf.DUMMYFUNCTION("""COMPUTED_VALUE"""),"有")</f>
        <v>有</v>
      </c>
      <c r="Y4762" s="8" t="str">
        <f>IFERROR(__xludf.DUMMYFUNCTION("""COMPUTED_VALUE"""),"2026/5/9まで1~2巻無料")</f>
        <v>2026/5/9まで1~2巻無料</v>
      </c>
      <c r="Z4762" s="7"/>
      <c r="AA4762" s="7"/>
      <c r="AB4762" s="7"/>
    </row>
    <row r="4763" ht="15.75" customHeight="1">
      <c r="A4763" s="26">
        <f>IFERROR(__xludf.DUMMYFUNCTION("""COMPUTED_VALUE"""),7461.0)</f>
        <v>7461</v>
      </c>
      <c r="B4763" s="22" t="str">
        <f>IFERROR(__xludf.DUMMYFUNCTION("""COMPUTED_VALUE"""),"確定")</f>
        <v>確定</v>
      </c>
      <c r="C4763" s="28">
        <f>IFERROR(__xludf.DUMMYFUNCTION("""COMPUTED_VALUE"""),46069.0)</f>
        <v>46069</v>
      </c>
      <c r="D4763" s="28">
        <f>IFERROR(__xludf.DUMMYFUNCTION("""COMPUTED_VALUE"""),46077.0)</f>
        <v>46077</v>
      </c>
      <c r="E4763" s="26">
        <f>IFERROR(__xludf.DUMMYFUNCTION("""COMPUTED_VALUE"""),353471.0)</f>
        <v>353471</v>
      </c>
      <c r="F4763" s="22" t="str">
        <f>IFERROR(__xludf.DUMMYFUNCTION("""COMPUTED_VALUE"""),"恐怖感染")</f>
        <v>恐怖感染</v>
      </c>
      <c r="G4763" s="20" t="str">
        <f>IFERROR(__xludf.DUMMYFUNCTION("""COMPUTED_VALUE"""),"1～3")</f>
        <v>1～3</v>
      </c>
      <c r="H4763" s="22" t="str">
        <f>IFERROR(__xludf.DUMMYFUNCTION("""COMPUTED_VALUE"""),"いちこくら（漫画）、西羽咲花月（原作）、テラーノベル")</f>
        <v>いちこくら（漫画）、西羽咲花月（原作）、テラーノベル</v>
      </c>
      <c r="I4763" s="22" t="str">
        <f>IFERROR(__xludf.DUMMYFUNCTION("""COMPUTED_VALUE"""),"青年")</f>
        <v>青年</v>
      </c>
      <c r="J4763" s="22"/>
      <c r="K4763" s="22" t="str">
        <f>IFERROR(__xludf.DUMMYFUNCTION("""COMPUTED_VALUE"""),"テラーコミック")</f>
        <v>テラーコミック</v>
      </c>
      <c r="L4763" s="22" t="str">
        <f>IFERROR(__xludf.DUMMYFUNCTION("""COMPUTED_VALUE"""),"Freedia")</f>
        <v>Freedia</v>
      </c>
      <c r="M4763" s="33">
        <f>IFERROR(__xludf.DUMMYFUNCTION("""COMPUTED_VALUE"""),46108.0)</f>
        <v>46108</v>
      </c>
      <c r="N4763" s="33">
        <f>IFERROR(__xludf.DUMMYFUNCTION("""COMPUTED_VALUE"""),46199.0)</f>
        <v>46199</v>
      </c>
      <c r="O4763" s="20"/>
      <c r="P4763" s="32" t="str">
        <f>IFERROR(__xludf.DUMMYFUNCTION("""COMPUTED_VALUE"""),"可")</f>
        <v>可</v>
      </c>
      <c r="Q4763" s="30"/>
      <c r="R4763" s="22" t="str">
        <f>IFERROR(__xludf.DUMMYFUNCTION("""COMPUTED_VALUE"""),"コミットNG")</f>
        <v>コミットNG</v>
      </c>
      <c r="S4763" s="22" t="str">
        <f>IFERROR(__xludf.DUMMYFUNCTION("""COMPUTED_VALUE"""),"20260218_Freedia_恐怖感染")</f>
        <v>20260218_Freedia_恐怖感染</v>
      </c>
      <c r="T4763" s="22" t="str">
        <f>IFERROR(__xludf.DUMMYFUNCTION("""COMPUTED_VALUE"""),"格納済み")</f>
        <v>格納済み</v>
      </c>
      <c r="U4763" s="9" t="str">
        <f>IFERROR(__xludf.DUMMYFUNCTION("""COMPUTED_VALUE"""),"Ⓒいちこくら・西羽咲花月/Freedia・テラーノベル")</f>
        <v>Ⓒいちこくら・西羽咲花月/Freedia・テラーノベル</v>
      </c>
      <c r="V4763" s="8"/>
      <c r="W4763" s="8"/>
      <c r="X4763" s="8" t="str">
        <f>IFERROR(__xludf.DUMMYFUNCTION("""COMPUTED_VALUE"""),"有")</f>
        <v>有</v>
      </c>
      <c r="Y4763" s="8" t="str">
        <f>IFERROR(__xludf.DUMMYFUNCTION("""COMPUTED_VALUE"""),"P5まで")</f>
        <v>P5まで</v>
      </c>
      <c r="Z4763" s="7"/>
      <c r="AA4763" s="7"/>
      <c r="AB4763" s="7"/>
    </row>
    <row r="4764" ht="15.75" customHeight="1">
      <c r="A4764" s="26">
        <f>IFERROR(__xludf.DUMMYFUNCTION("""COMPUTED_VALUE"""),7462.0)</f>
        <v>7462</v>
      </c>
      <c r="B4764" s="22" t="str">
        <f>IFERROR(__xludf.DUMMYFUNCTION("""COMPUTED_VALUE"""),"確定")</f>
        <v>確定</v>
      </c>
      <c r="C4764" s="28">
        <f>IFERROR(__xludf.DUMMYFUNCTION("""COMPUTED_VALUE"""),46069.0)</f>
        <v>46069</v>
      </c>
      <c r="D4764" s="28">
        <f>IFERROR(__xludf.DUMMYFUNCTION("""COMPUTED_VALUE"""),46077.0)</f>
        <v>46077</v>
      </c>
      <c r="E4764" s="26">
        <f>IFERROR(__xludf.DUMMYFUNCTION("""COMPUTED_VALUE"""),310832.0)</f>
        <v>310832</v>
      </c>
      <c r="F4764" s="22" t="str">
        <f>IFERROR(__xludf.DUMMYFUNCTION("""COMPUTED_VALUE"""),"悪役ですが、長生きしたいです(フルカラー)")</f>
        <v>悪役ですが、長生きしたいです(フルカラー)</v>
      </c>
      <c r="G4764" s="20" t="str">
        <f>IFERROR(__xludf.DUMMYFUNCTION("""COMPUTED_VALUE"""),"1～10")</f>
        <v>1～10</v>
      </c>
      <c r="H4764" s="22" t="str">
        <f>IFERROR(__xludf.DUMMYFUNCTION("""COMPUTED_VALUE"""),"Shinryo,Pearl Kim,Mongzzee")</f>
        <v>Shinryo,Pearl Kim,Mongzzee</v>
      </c>
      <c r="I4764" s="22" t="str">
        <f>IFERROR(__xludf.DUMMYFUNCTION("""COMPUTED_VALUE"""),"少女マンガ")</f>
        <v>少女マンガ</v>
      </c>
      <c r="J4764" s="22"/>
      <c r="K4764" s="22" t="str">
        <f>IFERROR(__xludf.DUMMYFUNCTION("""COMPUTED_VALUE"""),"恋するソワレ")</f>
        <v>恋するソワレ</v>
      </c>
      <c r="L4764" s="22" t="str">
        <f>IFERROR(__xludf.DUMMYFUNCTION("""COMPUTED_VALUE"""),"シーモアコミックス")</f>
        <v>シーモアコミックス</v>
      </c>
      <c r="M4764" s="33">
        <f>IFERROR(__xludf.DUMMYFUNCTION("""COMPUTED_VALUE"""),46102.0)</f>
        <v>46102</v>
      </c>
      <c r="N4764" s="33">
        <f>IFERROR(__xludf.DUMMYFUNCTION("""COMPUTED_VALUE"""),2958465.0)</f>
        <v>2958465</v>
      </c>
      <c r="O4764" s="20"/>
      <c r="P4764" s="32" t="str">
        <f>IFERROR(__xludf.DUMMYFUNCTION("""COMPUTED_VALUE"""),"可")</f>
        <v>可</v>
      </c>
      <c r="Q4764" s="30"/>
      <c r="R4764" s="22"/>
      <c r="S4764" s="22" t="str">
        <f>IFERROR(__xludf.DUMMYFUNCTION("""COMPUTED_VALUE"""),"20260216_シーモアコミックス_悪役ですが、長生きしたいです（フルカラー）")</f>
        <v>20260216_シーモアコミックス_悪役ですが、長生きしたいです（フルカラー）</v>
      </c>
      <c r="T4764" s="22" t="str">
        <f>IFERROR(__xludf.DUMMYFUNCTION("""COMPUTED_VALUE"""),"格納済み")</f>
        <v>格納済み</v>
      </c>
      <c r="U4764" s="9" t="str">
        <f>IFERROR(__xludf.DUMMYFUNCTION("""COMPUTED_VALUE"""),"(C) Shinryo/Pearl Kim/Mongzzee/KWBOOKS/シーモアコミックス")</f>
        <v>(C) Shinryo/Pearl Kim/Mongzzee/KWBOOKS/シーモアコミックス</v>
      </c>
      <c r="V4764" s="8"/>
      <c r="W4764" s="8"/>
      <c r="X4764" s="8" t="str">
        <f>IFERROR(__xludf.DUMMYFUNCTION("""COMPUTED_VALUE"""),"有")</f>
        <v>有</v>
      </c>
      <c r="Y4764" s="8" t="str">
        <f>IFERROR(__xludf.DUMMYFUNCTION("""COMPUTED_VALUE"""),"2026/4/17まで1~3巻無料")</f>
        <v>2026/4/17まで1~3巻無料</v>
      </c>
      <c r="Z4764" s="7"/>
      <c r="AA4764" s="7"/>
      <c r="AB4764" s="7"/>
    </row>
    <row r="4765" ht="15.75" customHeight="1">
      <c r="A4765" s="26">
        <f>IFERROR(__xludf.DUMMYFUNCTION("""COMPUTED_VALUE"""),7463.0)</f>
        <v>7463</v>
      </c>
      <c r="B4765" s="22" t="str">
        <f>IFERROR(__xludf.DUMMYFUNCTION("""COMPUTED_VALUE"""),"確定")</f>
        <v>確定</v>
      </c>
      <c r="C4765" s="28">
        <f>IFERROR(__xludf.DUMMYFUNCTION("""COMPUTED_VALUE"""),46069.0)</f>
        <v>46069</v>
      </c>
      <c r="D4765" s="28">
        <f>IFERROR(__xludf.DUMMYFUNCTION("""COMPUTED_VALUE"""),46077.0)</f>
        <v>46077</v>
      </c>
      <c r="E4765" s="26">
        <f>IFERROR(__xludf.DUMMYFUNCTION("""COMPUTED_VALUE"""),310833.0)</f>
        <v>310833</v>
      </c>
      <c r="F4765" s="22" t="str">
        <f>IFERROR(__xludf.DUMMYFUNCTION("""COMPUTED_VALUE"""),"悪役ですが、長生きしたいです【タテヨミ】")</f>
        <v>悪役ですが、長生きしたいです【タテヨミ】</v>
      </c>
      <c r="G4765" s="20" t="str">
        <f>IFERROR(__xludf.DUMMYFUNCTION("""COMPUTED_VALUE"""),"1～20")</f>
        <v>1～20</v>
      </c>
      <c r="H4765" s="22" t="str">
        <f>IFERROR(__xludf.DUMMYFUNCTION("""COMPUTED_VALUE"""),"Shinryo,Pearl Kim,Mongzzee")</f>
        <v>Shinryo,Pearl Kim,Mongzzee</v>
      </c>
      <c r="I4765" s="22" t="str">
        <f>IFERROR(__xludf.DUMMYFUNCTION("""COMPUTED_VALUE"""),"少女マンガ")</f>
        <v>少女マンガ</v>
      </c>
      <c r="J4765" s="22"/>
      <c r="K4765" s="22" t="str">
        <f>IFERROR(__xludf.DUMMYFUNCTION("""COMPUTED_VALUE"""),"恋するソワレ")</f>
        <v>恋するソワレ</v>
      </c>
      <c r="L4765" s="22" t="str">
        <f>IFERROR(__xludf.DUMMYFUNCTION("""COMPUTED_VALUE"""),"シーモアコミックス")</f>
        <v>シーモアコミックス</v>
      </c>
      <c r="M4765" s="33">
        <f>IFERROR(__xludf.DUMMYFUNCTION("""COMPUTED_VALUE"""),46102.0)</f>
        <v>46102</v>
      </c>
      <c r="N4765" s="33">
        <f>IFERROR(__xludf.DUMMYFUNCTION("""COMPUTED_VALUE"""),2958465.0)</f>
        <v>2958465</v>
      </c>
      <c r="O4765" s="20"/>
      <c r="P4765" s="32" t="str">
        <f>IFERROR(__xludf.DUMMYFUNCTION("""COMPUTED_VALUE"""),"可")</f>
        <v>可</v>
      </c>
      <c r="Q4765" s="30" t="str">
        <f>IFERROR(__xludf.DUMMYFUNCTION("""COMPUTED_VALUE"""),"※コマサム等素材は「310832　悪役ですが、長生きしたいです(フルカラー)」の方をお使いください。バナー制作はフルカラー版の素材を利用して問題ございません。")</f>
        <v>※コマサム等素材は「310832　悪役ですが、長生きしたいです(フルカラー)」の方をお使いください。バナー制作はフルカラー版の素材を利用して問題ございません。</v>
      </c>
      <c r="R4765" s="22"/>
      <c r="S4765" s="22" t="str">
        <f>IFERROR(__xludf.DUMMYFUNCTION("""COMPUTED_VALUE"""),"20260216_シーモアコミックス_悪役ですが、長生きしたいです【タテヨミ】")</f>
        <v>20260216_シーモアコミックス_悪役ですが、長生きしたいです【タテヨミ】</v>
      </c>
      <c r="T4765" s="22" t="str">
        <f>IFERROR(__xludf.DUMMYFUNCTION("""COMPUTED_VALUE"""),"格納済み")</f>
        <v>格納済み</v>
      </c>
      <c r="U4765" s="9" t="str">
        <f>IFERROR(__xludf.DUMMYFUNCTION("""COMPUTED_VALUE"""),"(C) Shinryo/Pearl Kim/Mongzzee/KWBOOKS/シーモアコミックス")</f>
        <v>(C) Shinryo/Pearl Kim/Mongzzee/KWBOOKS/シーモアコミックス</v>
      </c>
      <c r="V4765" s="8"/>
      <c r="W4765" s="8"/>
      <c r="X4765" s="8" t="str">
        <f>IFERROR(__xludf.DUMMYFUNCTION("""COMPUTED_VALUE"""),"有")</f>
        <v>有</v>
      </c>
      <c r="Y4765" s="8" t="str">
        <f>IFERROR(__xludf.DUMMYFUNCTION("""COMPUTED_VALUE"""),"2026/4/17まで1~6巻無料")</f>
        <v>2026/4/17まで1~6巻無料</v>
      </c>
      <c r="Z4765" s="7"/>
      <c r="AA4765" s="7"/>
      <c r="AB4765" s="7"/>
    </row>
    <row r="4766" ht="15.75" customHeight="1">
      <c r="A4766" s="26">
        <f>IFERROR(__xludf.DUMMYFUNCTION("""COMPUTED_VALUE"""),7466.0)</f>
        <v>7466</v>
      </c>
      <c r="B4766" s="22" t="str">
        <f>IFERROR(__xludf.DUMMYFUNCTION("""COMPUTED_VALUE"""),"確定")</f>
        <v>確定</v>
      </c>
      <c r="C4766" s="28">
        <f>IFERROR(__xludf.DUMMYFUNCTION("""COMPUTED_VALUE"""),46070.0)</f>
        <v>46070</v>
      </c>
      <c r="D4766" s="28">
        <f>IFERROR(__xludf.DUMMYFUNCTION("""COMPUTED_VALUE"""),46077.0)</f>
        <v>46077</v>
      </c>
      <c r="E4766" s="26">
        <f>IFERROR(__xludf.DUMMYFUNCTION("""COMPUTED_VALUE"""),356639.0)</f>
        <v>356639</v>
      </c>
      <c r="F4766" s="22" t="str">
        <f>IFERROR(__xludf.DUMMYFUNCTION("""COMPUTED_VALUE"""),"エロ装備を着せた仲間達と本当に冒険できますか？【タテヨミ】")</f>
        <v>エロ装備を着せた仲間達と本当に冒険できますか？【タテヨミ】</v>
      </c>
      <c r="G4766" s="20" t="str">
        <f>IFERROR(__xludf.DUMMYFUNCTION("""COMPUTED_VALUE"""),"1～8")</f>
        <v>1～8</v>
      </c>
      <c r="H4766" s="22" t="str">
        <f>IFERROR(__xludf.DUMMYFUNCTION("""COMPUTED_VALUE"""),"作画：別館　原作：水龍敬")</f>
        <v>作画：別館　原作：水龍敬</v>
      </c>
      <c r="I4766" s="22" t="str">
        <f>IFERROR(__xludf.DUMMYFUNCTION("""COMPUTED_VALUE"""),"青年")</f>
        <v>青年</v>
      </c>
      <c r="J4766" s="22"/>
      <c r="K4766" s="22" t="str">
        <f>IFERROR(__xludf.DUMMYFUNCTION("""COMPUTED_VALUE"""),"ヤングアニマル / ヤングアニマルコミックス")</f>
        <v>ヤングアニマル / ヤングアニマルコミックス</v>
      </c>
      <c r="L4766" s="22" t="str">
        <f>IFERROR(__xludf.DUMMYFUNCTION("""COMPUTED_VALUE"""),"白泉社")</f>
        <v>白泉社</v>
      </c>
      <c r="M4766" s="33">
        <f>IFERROR(__xludf.DUMMYFUNCTION("""COMPUTED_VALUE"""),46134.0)</f>
        <v>46134</v>
      </c>
      <c r="N4766" s="33">
        <f>IFERROR(__xludf.DUMMYFUNCTION("""COMPUTED_VALUE"""),46316.0)</f>
        <v>46316</v>
      </c>
      <c r="O4766" s="20"/>
      <c r="P4766" s="32" t="str">
        <f>IFERROR(__xludf.DUMMYFUNCTION("""COMPUTED_VALUE"""),"可")</f>
        <v>可</v>
      </c>
      <c r="Q4766" s="30" t="str">
        <f>IFERROR(__xludf.DUMMYFUNCTION("""COMPUTED_VALUE"""),"【アダルト作品扱い】出稿コミット")</f>
        <v>【アダルト作品扱い】出稿コミット</v>
      </c>
      <c r="R4766" s="22"/>
      <c r="S4766" s="22" t="str">
        <f>IFERROR(__xludf.DUMMYFUNCTION("""COMPUTED_VALUE"""),"20260217_白泉社_エロ装備を着せた仲間達と本当に冒険できますか？")</f>
        <v>20260217_白泉社_エロ装備を着せた仲間達と本当に冒険できますか？</v>
      </c>
      <c r="T4766" s="22" t="str">
        <f>IFERROR(__xludf.DUMMYFUNCTION("""COMPUTED_VALUE"""),"格納済み")</f>
        <v>格納済み</v>
      </c>
      <c r="U4766" s="9" t="str">
        <f>IFERROR(__xludf.DUMMYFUNCTION("""COMPUTED_VALUE"""),"(C)別館・水龍敬／白泉社")</f>
        <v>(C)別館・水龍敬／白泉社</v>
      </c>
      <c r="V4766" s="8"/>
      <c r="W4766" s="8"/>
      <c r="X4766" s="8" t="str">
        <f>IFERROR(__xludf.DUMMYFUNCTION("""COMPUTED_VALUE"""),"有")</f>
        <v>有</v>
      </c>
      <c r="Y4766" s="8" t="str">
        <f>IFERROR(__xludf.DUMMYFUNCTION("""COMPUTED_VALUE"""),"1~4巻無料")</f>
        <v>1~4巻無料</v>
      </c>
      <c r="Z4766" s="7"/>
      <c r="AA4766" s="7"/>
      <c r="AB4766" s="7"/>
    </row>
    <row r="4767" ht="15.75" customHeight="1">
      <c r="A4767" s="26">
        <f>IFERROR(__xludf.DUMMYFUNCTION("""COMPUTED_VALUE"""),7478.0)</f>
        <v>7478</v>
      </c>
      <c r="B4767" s="22" t="str">
        <f>IFERROR(__xludf.DUMMYFUNCTION("""COMPUTED_VALUE"""),"確定")</f>
        <v>確定</v>
      </c>
      <c r="C4767" s="28">
        <f>IFERROR(__xludf.DUMMYFUNCTION("""COMPUTED_VALUE"""),46070.0)</f>
        <v>46070</v>
      </c>
      <c r="D4767" s="28">
        <f>IFERROR(__xludf.DUMMYFUNCTION("""COMPUTED_VALUE"""),46073.0)</f>
        <v>46073</v>
      </c>
      <c r="E4767" s="26">
        <f>IFERROR(__xludf.DUMMYFUNCTION("""COMPUTED_VALUE"""),353453.0)</f>
        <v>353453</v>
      </c>
      <c r="F4767" s="22" t="str">
        <f>IFERROR(__xludf.DUMMYFUNCTION("""COMPUTED_VALUE"""),"リピート率100％白濁掻き出しサービス")</f>
        <v>リピート率100％白濁掻き出しサービス</v>
      </c>
      <c r="G4767" s="20" t="str">
        <f>IFERROR(__xludf.DUMMYFUNCTION("""COMPUTED_VALUE"""),"1～2")</f>
        <v>1～2</v>
      </c>
      <c r="H4767" s="22" t="str">
        <f>IFERROR(__xludf.DUMMYFUNCTION("""COMPUTED_VALUE"""),"Mr.チャンツァビ")</f>
        <v>Mr.チャンツァビ</v>
      </c>
      <c r="I4767" s="22" t="str">
        <f>IFERROR(__xludf.DUMMYFUNCTION("""COMPUTED_VALUE"""),"アダルトマンガ")</f>
        <v>アダルトマンガ</v>
      </c>
      <c r="J4767" s="22"/>
      <c r="K4767" s="22"/>
      <c r="L4767" s="22" t="str">
        <f>IFERROR(__xludf.DUMMYFUNCTION("""COMPUTED_VALUE"""),"セ・キララ文庫")</f>
        <v>セ・キララ文庫</v>
      </c>
      <c r="M4767" s="33">
        <f>IFERROR(__xludf.DUMMYFUNCTION("""COMPUTED_VALUE"""),46101.0)</f>
        <v>46101</v>
      </c>
      <c r="N4767" s="33">
        <f>IFERROR(__xludf.DUMMYFUNCTION("""COMPUTED_VALUE"""),46136.0)</f>
        <v>46136</v>
      </c>
      <c r="O4767" s="20"/>
      <c r="P4767" s="32" t="str">
        <f>IFERROR(__xludf.DUMMYFUNCTION("""COMPUTED_VALUE"""),"可")</f>
        <v>可</v>
      </c>
      <c r="Q4767" s="30"/>
      <c r="R4767" s="22"/>
      <c r="S4767" s="22" t="str">
        <f>IFERROR(__xludf.DUMMYFUNCTION("""COMPUTED_VALUE"""),"20260217_ライドオン_リピート率100％白濁掻き出しサービス")</f>
        <v>20260217_ライドオン_リピート率100％白濁掻き出しサービス</v>
      </c>
      <c r="T4767" s="22" t="str">
        <f>IFERROR(__xludf.DUMMYFUNCTION("""COMPUTED_VALUE"""),"格納済み")</f>
        <v>格納済み</v>
      </c>
      <c r="U4767" s="9" t="str">
        <f>IFERROR(__xludf.DUMMYFUNCTION("""COMPUTED_VALUE"""),"ⒸMr.チャンツァビ/セ・キララ文庫")</f>
        <v>ⒸMr.チャンツァビ/セ・キララ文庫</v>
      </c>
      <c r="V4767" s="8"/>
      <c r="W4767" s="8"/>
      <c r="X4767" s="8" t="str">
        <f>IFERROR(__xludf.DUMMYFUNCTION("""COMPUTED_VALUE"""),"有")</f>
        <v>有</v>
      </c>
      <c r="Y4767" s="8" t="str">
        <f>IFERROR(__xludf.DUMMYFUNCTION("""COMPUTED_VALUE"""),"P8まで")</f>
        <v>P8まで</v>
      </c>
      <c r="Z4767" s="7"/>
      <c r="AA4767" s="7"/>
      <c r="AB4767" s="7"/>
    </row>
    <row r="4768" ht="15.75" customHeight="1">
      <c r="A4768" s="26">
        <f>IFERROR(__xludf.DUMMYFUNCTION("""COMPUTED_VALUE"""),7479.0)</f>
        <v>7479</v>
      </c>
      <c r="B4768" s="22" t="str">
        <f>IFERROR(__xludf.DUMMYFUNCTION("""COMPUTED_VALUE"""),"確定")</f>
        <v>確定</v>
      </c>
      <c r="C4768" s="28">
        <f>IFERROR(__xludf.DUMMYFUNCTION("""COMPUTED_VALUE"""),46070.0)</f>
        <v>46070</v>
      </c>
      <c r="D4768" s="28">
        <f>IFERROR(__xludf.DUMMYFUNCTION("""COMPUTED_VALUE"""),46073.0)</f>
        <v>46073</v>
      </c>
      <c r="E4768" s="26">
        <f>IFERROR(__xludf.DUMMYFUNCTION("""COMPUTED_VALUE"""),353452.0)</f>
        <v>353452</v>
      </c>
      <c r="F4768" s="22" t="str">
        <f>IFERROR(__xludf.DUMMYFUNCTION("""COMPUTED_VALUE"""),"片想いのあの娘が修学旅行の超H罰ゲームでチャラ男と公開セックス!?")</f>
        <v>片想いのあの娘が修学旅行の超H罰ゲームでチャラ男と公開セックス!?</v>
      </c>
      <c r="G4768" s="20" t="str">
        <f>IFERROR(__xludf.DUMMYFUNCTION("""COMPUTED_VALUE"""),"1～3")</f>
        <v>1～3</v>
      </c>
      <c r="H4768" s="22" t="str">
        <f>IFERROR(__xludf.DUMMYFUNCTION("""COMPUTED_VALUE"""),"マスターH")</f>
        <v>マスターH</v>
      </c>
      <c r="I4768" s="22" t="str">
        <f>IFERROR(__xludf.DUMMYFUNCTION("""COMPUTED_VALUE"""),"アダルトマンガ")</f>
        <v>アダルトマンガ</v>
      </c>
      <c r="J4768" s="22"/>
      <c r="K4768" s="22"/>
      <c r="L4768" s="22" t="str">
        <f>IFERROR(__xludf.DUMMYFUNCTION("""COMPUTED_VALUE"""),"セ・キララ文庫")</f>
        <v>セ・キララ文庫</v>
      </c>
      <c r="M4768" s="33">
        <f>IFERROR(__xludf.DUMMYFUNCTION("""COMPUTED_VALUE"""),46101.0)</f>
        <v>46101</v>
      </c>
      <c r="N4768" s="33">
        <f>IFERROR(__xludf.DUMMYFUNCTION("""COMPUTED_VALUE"""),46136.0)</f>
        <v>46136</v>
      </c>
      <c r="O4768" s="20"/>
      <c r="P4768" s="32" t="str">
        <f>IFERROR(__xludf.DUMMYFUNCTION("""COMPUTED_VALUE"""),"可")</f>
        <v>可</v>
      </c>
      <c r="Q4768" s="30"/>
      <c r="R4768" s="22"/>
      <c r="S4768" s="22" t="str">
        <f>IFERROR(__xludf.DUMMYFUNCTION("""COMPUTED_VALUE"""),"20260217_ライドオン_片想いのあの娘が修学旅行の超H罰ゲームでチャラ男と公開セックス!")</f>
        <v>20260217_ライドオン_片想いのあの娘が修学旅行の超H罰ゲームでチャラ男と公開セックス!</v>
      </c>
      <c r="T4768" s="22" t="str">
        <f>IFERROR(__xludf.DUMMYFUNCTION("""COMPUTED_VALUE"""),"格納済み")</f>
        <v>格納済み</v>
      </c>
      <c r="U4768" s="9" t="str">
        <f>IFERROR(__xludf.DUMMYFUNCTION("""COMPUTED_VALUE"""),"ⒸマスターH/セ・キララ文庫")</f>
        <v>ⒸマスターH/セ・キララ文庫</v>
      </c>
      <c r="V4768" s="8"/>
      <c r="W4768" s="8"/>
      <c r="X4768" s="8" t="str">
        <f>IFERROR(__xludf.DUMMYFUNCTION("""COMPUTED_VALUE"""),"有")</f>
        <v>有</v>
      </c>
      <c r="Y4768" s="8" t="str">
        <f>IFERROR(__xludf.DUMMYFUNCTION("""COMPUTED_VALUE"""),"P10まで")</f>
        <v>P10まで</v>
      </c>
      <c r="Z4768" s="7"/>
      <c r="AA4768" s="7"/>
      <c r="AB4768" s="7"/>
    </row>
    <row r="4769" ht="15.75" customHeight="1">
      <c r="A4769" s="26">
        <f>IFERROR(__xludf.DUMMYFUNCTION("""COMPUTED_VALUE"""),7480.0)</f>
        <v>7480</v>
      </c>
      <c r="B4769" s="22" t="str">
        <f>IFERROR(__xludf.DUMMYFUNCTION("""COMPUTED_VALUE"""),"確定")</f>
        <v>確定</v>
      </c>
      <c r="C4769" s="28">
        <f>IFERROR(__xludf.DUMMYFUNCTION("""COMPUTED_VALUE"""),46070.0)</f>
        <v>46070</v>
      </c>
      <c r="D4769" s="28">
        <f>IFERROR(__xludf.DUMMYFUNCTION("""COMPUTED_VALUE"""),46073.0)</f>
        <v>46073</v>
      </c>
      <c r="E4769" s="26">
        <f>IFERROR(__xludf.DUMMYFUNCTION("""COMPUTED_VALUE"""),353451.0)</f>
        <v>353451</v>
      </c>
      <c r="F4769" s="22" t="str">
        <f>IFERROR(__xludf.DUMMYFUNCTION("""COMPUTED_VALUE"""),"ともかの～親友の彼女としてはいけないコト～")</f>
        <v>ともかの～親友の彼女としてはいけないコト～</v>
      </c>
      <c r="G4769" s="20" t="str">
        <f>IFERROR(__xludf.DUMMYFUNCTION("""COMPUTED_VALUE"""),"1～3")</f>
        <v>1～3</v>
      </c>
      <c r="H4769" s="22" t="str">
        <f>IFERROR(__xludf.DUMMYFUNCTION("""COMPUTED_VALUE"""),"碧木誠心")</f>
        <v>碧木誠心</v>
      </c>
      <c r="I4769" s="22" t="str">
        <f>IFERROR(__xludf.DUMMYFUNCTION("""COMPUTED_VALUE"""),"アダルトマンガ")</f>
        <v>アダルトマンガ</v>
      </c>
      <c r="J4769" s="22"/>
      <c r="K4769" s="22"/>
      <c r="L4769" s="22" t="str">
        <f>IFERROR(__xludf.DUMMYFUNCTION("""COMPUTED_VALUE"""),"セ・キララ文庫")</f>
        <v>セ・キララ文庫</v>
      </c>
      <c r="M4769" s="33">
        <f>IFERROR(__xludf.DUMMYFUNCTION("""COMPUTED_VALUE"""),46101.0)</f>
        <v>46101</v>
      </c>
      <c r="N4769" s="33">
        <f>IFERROR(__xludf.DUMMYFUNCTION("""COMPUTED_VALUE"""),46136.0)</f>
        <v>46136</v>
      </c>
      <c r="O4769" s="20"/>
      <c r="P4769" s="32" t="str">
        <f>IFERROR(__xludf.DUMMYFUNCTION("""COMPUTED_VALUE"""),"可")</f>
        <v>可</v>
      </c>
      <c r="Q4769" s="30"/>
      <c r="R4769" s="22"/>
      <c r="S4769" s="22" t="str">
        <f>IFERROR(__xludf.DUMMYFUNCTION("""COMPUTED_VALUE"""),"20260217_ライドオン_ともかの～親友の彼女としてはいけないコト～")</f>
        <v>20260217_ライドオン_ともかの～親友の彼女としてはいけないコト～</v>
      </c>
      <c r="T4769" s="22" t="str">
        <f>IFERROR(__xludf.DUMMYFUNCTION("""COMPUTED_VALUE"""),"格納済み")</f>
        <v>格納済み</v>
      </c>
      <c r="U4769" s="9" t="str">
        <f>IFERROR(__xludf.DUMMYFUNCTION("""COMPUTED_VALUE"""),"Ⓒ碧木誠心/セ・キララ文庫")</f>
        <v>Ⓒ碧木誠心/セ・キララ文庫</v>
      </c>
      <c r="V4769" s="8"/>
      <c r="W4769" s="8"/>
      <c r="X4769" s="8" t="str">
        <f>IFERROR(__xludf.DUMMYFUNCTION("""COMPUTED_VALUE"""),"有")</f>
        <v>有</v>
      </c>
      <c r="Y4769" s="8" t="str">
        <f>IFERROR(__xludf.DUMMYFUNCTION("""COMPUTED_VALUE"""),"P8まで")</f>
        <v>P8まで</v>
      </c>
      <c r="Z4769" s="7"/>
      <c r="AA4769" s="7"/>
      <c r="AB4769" s="7"/>
    </row>
    <row r="4770" ht="15.75" customHeight="1">
      <c r="A4770" s="26">
        <f>IFERROR(__xludf.DUMMYFUNCTION("""COMPUTED_VALUE"""),7482.0)</f>
        <v>7482</v>
      </c>
      <c r="B4770" s="22" t="str">
        <f>IFERROR(__xludf.DUMMYFUNCTION("""COMPUTED_VALUE"""),"確定")</f>
        <v>確定</v>
      </c>
      <c r="C4770" s="28">
        <f>IFERROR(__xludf.DUMMYFUNCTION("""COMPUTED_VALUE"""),46070.0)</f>
        <v>46070</v>
      </c>
      <c r="D4770" s="28">
        <f>IFERROR(__xludf.DUMMYFUNCTION("""COMPUTED_VALUE"""),46073.0)</f>
        <v>46073</v>
      </c>
      <c r="E4770" s="26">
        <f>IFERROR(__xludf.DUMMYFUNCTION("""COMPUTED_VALUE"""),353444.0)</f>
        <v>353444</v>
      </c>
      <c r="F4770" s="22" t="str">
        <f>IFERROR(__xludf.DUMMYFUNCTION("""COMPUTED_VALUE"""),"ヒプノメロウ")</f>
        <v>ヒプノメロウ</v>
      </c>
      <c r="G4770" s="20" t="str">
        <f>IFERROR(__xludf.DUMMYFUNCTION("""COMPUTED_VALUE"""),"1～5")</f>
        <v>1～5</v>
      </c>
      <c r="H4770" s="22" t="str">
        <f>IFERROR(__xludf.DUMMYFUNCTION("""COMPUTED_VALUE"""),"中貝まあしぃ・由草草")</f>
        <v>中貝まあしぃ・由草草</v>
      </c>
      <c r="I4770" s="22" t="str">
        <f>IFERROR(__xludf.DUMMYFUNCTION("""COMPUTED_VALUE"""),"女性")</f>
        <v>女性</v>
      </c>
      <c r="J4770" s="22"/>
      <c r="K4770" s="22"/>
      <c r="L4770" s="22" t="str">
        <f>IFERROR(__xludf.DUMMYFUNCTION("""COMPUTED_VALUE"""),"YLAB STUDIOS")</f>
        <v>YLAB STUDIOS</v>
      </c>
      <c r="M4770" s="33">
        <f>IFERROR(__xludf.DUMMYFUNCTION("""COMPUTED_VALUE"""),46100.0)</f>
        <v>46100</v>
      </c>
      <c r="N4770" s="33">
        <f>IFERROR(__xludf.DUMMYFUNCTION("""COMPUTED_VALUE"""),46191.0)</f>
        <v>46191</v>
      </c>
      <c r="O4770" s="20"/>
      <c r="P4770" s="32" t="str">
        <f>IFERROR(__xludf.DUMMYFUNCTION("""COMPUTED_VALUE"""),"可")</f>
        <v>可</v>
      </c>
      <c r="Q4770" s="30"/>
      <c r="R4770" s="22"/>
      <c r="S4770" s="22" t="str">
        <f>IFERROR(__xludf.DUMMYFUNCTION("""COMPUTED_VALUE"""),"20260217_YLAB STUDIOS_ヒプノメロウ")</f>
        <v>20260217_YLAB STUDIOS_ヒプノメロウ</v>
      </c>
      <c r="T4770" s="22" t="str">
        <f>IFERROR(__xludf.DUMMYFUNCTION("""COMPUTED_VALUE"""),"格納済み")</f>
        <v>格納済み</v>
      </c>
      <c r="U4770" s="9" t="str">
        <f>IFERROR(__xludf.DUMMYFUNCTION("""COMPUTED_VALUE"""),"中貝まあしぃ, 由草草 ⓒYLAB")</f>
        <v>中貝まあしぃ, 由草草 ⓒYLAB</v>
      </c>
      <c r="V4770" s="8"/>
      <c r="W4770" s="8"/>
      <c r="X4770" s="8" t="str">
        <f>IFERROR(__xludf.DUMMYFUNCTION("""COMPUTED_VALUE"""),"有")</f>
        <v>有</v>
      </c>
      <c r="Y4770" s="8" t="str">
        <f>IFERROR(__xludf.DUMMYFUNCTION("""COMPUTED_VALUE"""),"P17まで")</f>
        <v>P17まで</v>
      </c>
      <c r="Z4770" s="7"/>
      <c r="AA4770" s="7"/>
      <c r="AB4770" s="7"/>
    </row>
    <row r="4771" ht="15.75" customHeight="1">
      <c r="A4771" s="26">
        <f>IFERROR(__xludf.DUMMYFUNCTION("""COMPUTED_VALUE"""),7483.0)</f>
        <v>7483</v>
      </c>
      <c r="B4771" s="22" t="str">
        <f>IFERROR(__xludf.DUMMYFUNCTION("""COMPUTED_VALUE"""),"確定")</f>
        <v>確定</v>
      </c>
      <c r="C4771" s="28">
        <f>IFERROR(__xludf.DUMMYFUNCTION("""COMPUTED_VALUE"""),46070.0)</f>
        <v>46070</v>
      </c>
      <c r="D4771" s="28">
        <f>IFERROR(__xludf.DUMMYFUNCTION("""COMPUTED_VALUE"""),46073.0)</f>
        <v>46073</v>
      </c>
      <c r="E4771" s="26">
        <f>IFERROR(__xludf.DUMMYFUNCTION("""COMPUTED_VALUE"""),353445.0)</f>
        <v>353445</v>
      </c>
      <c r="F4771" s="22" t="str">
        <f>IFERROR(__xludf.DUMMYFUNCTION("""COMPUTED_VALUE"""),"ルームメイトは可愛くてセクシーな幽霊くん")</f>
        <v>ルームメイトは可愛くてセクシーな幽霊くん</v>
      </c>
      <c r="G4771" s="20" t="str">
        <f>IFERROR(__xludf.DUMMYFUNCTION("""COMPUTED_VALUE"""),"1～5")</f>
        <v>1～5</v>
      </c>
      <c r="H4771" s="22" t="str">
        <f>IFERROR(__xludf.DUMMYFUNCTION("""COMPUTED_VALUE"""),"JIAN・RUHA")</f>
        <v>JIAN・RUHA</v>
      </c>
      <c r="I4771" s="22" t="str">
        <f>IFERROR(__xludf.DUMMYFUNCTION("""COMPUTED_VALUE"""),"女性")</f>
        <v>女性</v>
      </c>
      <c r="J4771" s="22"/>
      <c r="K4771" s="22"/>
      <c r="L4771" s="22" t="str">
        <f>IFERROR(__xludf.DUMMYFUNCTION("""COMPUTED_VALUE"""),"YLAB STUDIOS")</f>
        <v>YLAB STUDIOS</v>
      </c>
      <c r="M4771" s="33">
        <f>IFERROR(__xludf.DUMMYFUNCTION("""COMPUTED_VALUE"""),46100.0)</f>
        <v>46100</v>
      </c>
      <c r="N4771" s="33">
        <f>IFERROR(__xludf.DUMMYFUNCTION("""COMPUTED_VALUE"""),46191.0)</f>
        <v>46191</v>
      </c>
      <c r="O4771" s="20"/>
      <c r="P4771" s="32" t="str">
        <f>IFERROR(__xludf.DUMMYFUNCTION("""COMPUTED_VALUE"""),"可")</f>
        <v>可</v>
      </c>
      <c r="Q4771" s="30"/>
      <c r="R4771" s="22"/>
      <c r="S4771" s="22" t="str">
        <f>IFERROR(__xludf.DUMMYFUNCTION("""COMPUTED_VALUE"""),"20260217_YLAB STUDIOS_ルームメイトは可愛くてセクシーな幽霊くん")</f>
        <v>20260217_YLAB STUDIOS_ルームメイトは可愛くてセクシーな幽霊くん</v>
      </c>
      <c r="T4771" s="22" t="str">
        <f>IFERROR(__xludf.DUMMYFUNCTION("""COMPUTED_VALUE"""),"格納済み")</f>
        <v>格納済み</v>
      </c>
      <c r="U4771" s="9" t="str">
        <f>IFERROR(__xludf.DUMMYFUNCTION("""COMPUTED_VALUE""")," JIAN, RUHA ⓒYLAB")</f>
        <v> JIAN, RUHA ⓒYLAB</v>
      </c>
      <c r="V4771" s="8"/>
      <c r="W4771" s="8"/>
      <c r="X4771" s="8" t="str">
        <f>IFERROR(__xludf.DUMMYFUNCTION("""COMPUTED_VALUE"""),"有")</f>
        <v>有</v>
      </c>
      <c r="Y4771" s="8" t="str">
        <f>IFERROR(__xludf.DUMMYFUNCTION("""COMPUTED_VALUE"""),"P17まで")</f>
        <v>P17まで</v>
      </c>
      <c r="Z4771" s="7"/>
      <c r="AA4771" s="7"/>
      <c r="AB4771" s="7"/>
    </row>
    <row r="4772" ht="15.75" customHeight="1">
      <c r="A4772" s="26">
        <f>IFERROR(__xludf.DUMMYFUNCTION("""COMPUTED_VALUE"""),7484.0)</f>
        <v>7484</v>
      </c>
      <c r="B4772" s="22" t="str">
        <f>IFERROR(__xludf.DUMMYFUNCTION("""COMPUTED_VALUE"""),"確定")</f>
        <v>確定</v>
      </c>
      <c r="C4772" s="28">
        <f>IFERROR(__xludf.DUMMYFUNCTION("""COMPUTED_VALUE"""),46070.0)</f>
        <v>46070</v>
      </c>
      <c r="D4772" s="28">
        <f>IFERROR(__xludf.DUMMYFUNCTION("""COMPUTED_VALUE"""),46073.0)</f>
        <v>46073</v>
      </c>
      <c r="E4772" s="26">
        <f>IFERROR(__xludf.DUMMYFUNCTION("""COMPUTED_VALUE"""),338185.0)</f>
        <v>338185</v>
      </c>
      <c r="F4772" s="22" t="str">
        <f>IFERROR(__xludf.DUMMYFUNCTION("""COMPUTED_VALUE"""),"破滅の魔術師は復讐を誓った男装騎士にキスをする ～淫らな王家に終止符を～")</f>
        <v>破滅の魔術師は復讐を誓った男装騎士にキスをする ～淫らな王家に終止符を～</v>
      </c>
      <c r="G4772" s="20" t="str">
        <f>IFERROR(__xludf.DUMMYFUNCTION("""COMPUTED_VALUE"""),"1～5")</f>
        <v>1～5</v>
      </c>
      <c r="H4772" s="22" t="str">
        <f>IFERROR(__xludf.DUMMYFUNCTION("""COMPUTED_VALUE"""),"LiRiYu・エンリ")</f>
        <v>LiRiYu・エンリ</v>
      </c>
      <c r="I4772" s="22" t="str">
        <f>IFERROR(__xludf.DUMMYFUNCTION("""COMPUTED_VALUE"""),"女性")</f>
        <v>女性</v>
      </c>
      <c r="J4772" s="22"/>
      <c r="K4772" s="22"/>
      <c r="L4772" s="22" t="str">
        <f>IFERROR(__xludf.DUMMYFUNCTION("""COMPUTED_VALUE"""),"YLAB STUDIOS")</f>
        <v>YLAB STUDIOS</v>
      </c>
      <c r="M4772" s="33">
        <f>IFERROR(__xludf.DUMMYFUNCTION("""COMPUTED_VALUE"""),46100.0)</f>
        <v>46100</v>
      </c>
      <c r="N4772" s="33">
        <f>IFERROR(__xludf.DUMMYFUNCTION("""COMPUTED_VALUE"""),46191.0)</f>
        <v>46191</v>
      </c>
      <c r="O4772" s="20"/>
      <c r="P4772" s="32" t="str">
        <f>IFERROR(__xludf.DUMMYFUNCTION("""COMPUTED_VALUE"""),"可")</f>
        <v>可</v>
      </c>
      <c r="Q4772" s="30"/>
      <c r="R4772" s="22"/>
      <c r="S4772" s="22" t="str">
        <f>IFERROR(__xludf.DUMMYFUNCTION("""COMPUTED_VALUE"""),"20260217_YLAB STUDIOS_破滅の魔術師は復讐を誓った男装騎士にキスをする 〜淫らな王家に終止符を〜")</f>
        <v>20260217_YLAB STUDIOS_破滅の魔術師は復讐を誓った男装騎士にキスをする 〜淫らな王家に終止符を〜</v>
      </c>
      <c r="T4772" s="22" t="str">
        <f>IFERROR(__xludf.DUMMYFUNCTION("""COMPUTED_VALUE"""),"格納済み")</f>
        <v>格納済み</v>
      </c>
      <c r="U4772" s="9" t="str">
        <f>IFERROR(__xludf.DUMMYFUNCTION("""COMPUTED_VALUE"""),"LiRiYu, エンリ ⓒYLAB")</f>
        <v>LiRiYu, エンリ ⓒYLAB</v>
      </c>
      <c r="V4772" s="8"/>
      <c r="W4772" s="8"/>
      <c r="X4772" s="8" t="str">
        <f>IFERROR(__xludf.DUMMYFUNCTION("""COMPUTED_VALUE"""),"有")</f>
        <v>有</v>
      </c>
      <c r="Y4772" s="8" t="str">
        <f>IFERROR(__xludf.DUMMYFUNCTION("""COMPUTED_VALUE"""),"P10まで")</f>
        <v>P10まで</v>
      </c>
      <c r="Z4772" s="7"/>
      <c r="AA4772" s="7"/>
      <c r="AB4772" s="7"/>
    </row>
    <row r="4773" ht="15.75" customHeight="1">
      <c r="A4773" s="26">
        <f>IFERROR(__xludf.DUMMYFUNCTION("""COMPUTED_VALUE"""),7488.0)</f>
        <v>7488</v>
      </c>
      <c r="B4773" s="22" t="str">
        <f>IFERROR(__xludf.DUMMYFUNCTION("""COMPUTED_VALUE"""),"確定")</f>
        <v>確定</v>
      </c>
      <c r="C4773" s="28">
        <f>IFERROR(__xludf.DUMMYFUNCTION("""COMPUTED_VALUE"""),46071.0)</f>
        <v>46071</v>
      </c>
      <c r="D4773" s="28">
        <f>IFERROR(__xludf.DUMMYFUNCTION("""COMPUTED_VALUE"""),46073.0)</f>
        <v>46073</v>
      </c>
      <c r="E4773" s="26">
        <f>IFERROR(__xludf.DUMMYFUNCTION("""COMPUTED_VALUE"""),355264.0)</f>
        <v>355264</v>
      </c>
      <c r="F4773" s="22" t="str">
        <f>IFERROR(__xludf.DUMMYFUNCTION("""COMPUTED_VALUE"""),"「妾の娘」と笑われる私に、謎の使用人が純愛を捧ぐワケ")</f>
        <v>「妾の娘」と笑われる私に、謎の使用人が純愛を捧ぐワケ</v>
      </c>
      <c r="G4773" s="20" t="str">
        <f>IFERROR(__xludf.DUMMYFUNCTION("""COMPUTED_VALUE"""),"1～2")</f>
        <v>1～2</v>
      </c>
      <c r="H4773" s="22" t="str">
        <f>IFERROR(__xludf.DUMMYFUNCTION("""COMPUTED_VALUE"""),"田邊卵／机の上／COMIC ROOM")</f>
        <v>田邊卵／机の上／COMIC ROOM</v>
      </c>
      <c r="I4773" s="22" t="str">
        <f>IFERROR(__xludf.DUMMYFUNCTION("""COMPUTED_VALUE"""),"女性")</f>
        <v>女性</v>
      </c>
      <c r="J4773" s="22"/>
      <c r="K4773" s="22"/>
      <c r="L4773" s="22" t="str">
        <f>IFERROR(__xludf.DUMMYFUNCTION("""COMPUTED_VALUE"""),"コミックルーム")</f>
        <v>コミックルーム</v>
      </c>
      <c r="M4773" s="33">
        <f>IFERROR(__xludf.DUMMYFUNCTION("""COMPUTED_VALUE"""),46096.0)</f>
        <v>46096</v>
      </c>
      <c r="N4773" s="33">
        <f>IFERROR(__xludf.DUMMYFUNCTION("""COMPUTED_VALUE"""),46187.0)</f>
        <v>46187</v>
      </c>
      <c r="O4773" s="20"/>
      <c r="P4773" s="32" t="str">
        <f>IFERROR(__xludf.DUMMYFUNCTION("""COMPUTED_VALUE"""),"可")</f>
        <v>可</v>
      </c>
      <c r="Q4773" s="30" t="str">
        <f>IFERROR(__xludf.DUMMYFUNCTION("""COMPUTED_VALUE"""),"素材を2分割して初回1~2巻として配信")</f>
        <v>素材を2分割して初回1~2巻として配信</v>
      </c>
      <c r="R4773" s="22"/>
      <c r="S4773" s="22" t="str">
        <f>IFERROR(__xludf.DUMMYFUNCTION("""COMPUTED_VALUE"""),"20260218_コミックルーム_「妾の娘」と笑われる私に、謎の使用人が純愛を捧ぐワケ")</f>
        <v>20260218_コミックルーム_「妾の娘」と笑われる私に、謎の使用人が純愛を捧ぐワケ</v>
      </c>
      <c r="T4773" s="22" t="str">
        <f>IFERROR(__xludf.DUMMYFUNCTION("""COMPUTED_VALUE"""),"格納済み")</f>
        <v>格納済み</v>
      </c>
      <c r="U4773" s="9" t="str">
        <f>IFERROR(__xludf.DUMMYFUNCTION("""COMPUTED_VALUE"""),"(c)田邊卵／机の上／COMIC ROOM")</f>
        <v>(c)田邊卵／机の上／COMIC ROOM</v>
      </c>
      <c r="V4773" s="8"/>
      <c r="W4773" s="8"/>
      <c r="X4773" s="8" t="str">
        <f>IFERROR(__xludf.DUMMYFUNCTION("""COMPUTED_VALUE"""),"有")</f>
        <v>有</v>
      </c>
      <c r="Y4773" s="8" t="str">
        <f>IFERROR(__xludf.DUMMYFUNCTION("""COMPUTED_VALUE"""),"P14まで")</f>
        <v>P14まで</v>
      </c>
      <c r="Z4773" s="7"/>
      <c r="AA4773" s="7"/>
      <c r="AB4773" s="7"/>
    </row>
    <row r="4774" ht="15.75" customHeight="1">
      <c r="A4774" s="26">
        <f>IFERROR(__xludf.DUMMYFUNCTION("""COMPUTED_VALUE"""),7489.0)</f>
        <v>7489</v>
      </c>
      <c r="B4774" s="22" t="str">
        <f>IFERROR(__xludf.DUMMYFUNCTION("""COMPUTED_VALUE"""),"確定")</f>
        <v>確定</v>
      </c>
      <c r="C4774" s="28">
        <f>IFERROR(__xludf.DUMMYFUNCTION("""COMPUTED_VALUE"""),46071.0)</f>
        <v>46071</v>
      </c>
      <c r="D4774" s="28">
        <f>IFERROR(__xludf.DUMMYFUNCTION("""COMPUTED_VALUE"""),46073.0)</f>
        <v>46073</v>
      </c>
      <c r="E4774" s="26">
        <f>IFERROR(__xludf.DUMMYFUNCTION("""COMPUTED_VALUE"""),355265.0)</f>
        <v>355265</v>
      </c>
      <c r="F4774" s="22" t="str">
        <f>IFERROR(__xludf.DUMMYFUNCTION("""COMPUTED_VALUE"""),"私を口説くなら盤上で～近衛将軍に拾われた追放皇女の、結婚を賭けた遊戯～")</f>
        <v>私を口説くなら盤上で～近衛将軍に拾われた追放皇女の、結婚を賭けた遊戯～</v>
      </c>
      <c r="G4774" s="20" t="str">
        <f>IFERROR(__xludf.DUMMYFUNCTION("""COMPUTED_VALUE"""),"1～2")</f>
        <v>1～2</v>
      </c>
      <c r="H4774" s="22" t="str">
        <f>IFERROR(__xludf.DUMMYFUNCTION("""COMPUTED_VALUE"""),"あまうに／COMIC ROOM")</f>
        <v>あまうに／COMIC ROOM</v>
      </c>
      <c r="I4774" s="22" t="str">
        <f>IFERROR(__xludf.DUMMYFUNCTION("""COMPUTED_VALUE"""),"女性")</f>
        <v>女性</v>
      </c>
      <c r="J4774" s="22"/>
      <c r="K4774" s="22"/>
      <c r="L4774" s="22" t="str">
        <f>IFERROR(__xludf.DUMMYFUNCTION("""COMPUTED_VALUE"""),"コミックルーム")</f>
        <v>コミックルーム</v>
      </c>
      <c r="M4774" s="33">
        <f>IFERROR(__xludf.DUMMYFUNCTION("""COMPUTED_VALUE"""),46096.0)</f>
        <v>46096</v>
      </c>
      <c r="N4774" s="33">
        <f>IFERROR(__xludf.DUMMYFUNCTION("""COMPUTED_VALUE"""),46187.0)</f>
        <v>46187</v>
      </c>
      <c r="O4774" s="20"/>
      <c r="P4774" s="32" t="str">
        <f>IFERROR(__xludf.DUMMYFUNCTION("""COMPUTED_VALUE"""),"可")</f>
        <v>可</v>
      </c>
      <c r="Q4774" s="30" t="str">
        <f>IFERROR(__xludf.DUMMYFUNCTION("""COMPUTED_VALUE"""),"格納素材を2分割して初回1~2巻として配信")</f>
        <v>格納素材を2分割して初回1~2巻として配信</v>
      </c>
      <c r="R4774" s="22"/>
      <c r="S4774" s="22" t="str">
        <f>IFERROR(__xludf.DUMMYFUNCTION("""COMPUTED_VALUE"""),"20260218_コミックルーム_私を口説くなら盤上で～近衛将軍に拾われた追放皇女の、結婚を賭けた遊戯～")</f>
        <v>20260218_コミックルーム_私を口説くなら盤上で～近衛将軍に拾われた追放皇女の、結婚を賭けた遊戯～</v>
      </c>
      <c r="T4774" s="22" t="str">
        <f>IFERROR(__xludf.DUMMYFUNCTION("""COMPUTED_VALUE"""),"格納済み")</f>
        <v>格納済み</v>
      </c>
      <c r="U4774" s="9" t="str">
        <f>IFERROR(__xludf.DUMMYFUNCTION("""COMPUTED_VALUE"""),"(c)あまうに／COMIC ROOM")</f>
        <v>(c)あまうに／COMIC ROOM</v>
      </c>
      <c r="V4774" s="8"/>
      <c r="W4774" s="8"/>
      <c r="X4774" s="8" t="str">
        <f>IFERROR(__xludf.DUMMYFUNCTION("""COMPUTED_VALUE"""),"有")</f>
        <v>有</v>
      </c>
      <c r="Y4774" s="8" t="str">
        <f>IFERROR(__xludf.DUMMYFUNCTION("""COMPUTED_VALUE"""),"P14まで")</f>
        <v>P14まで</v>
      </c>
      <c r="Z4774" s="7"/>
      <c r="AA4774" s="7"/>
      <c r="AB4774" s="7"/>
    </row>
    <row r="4775" ht="15.75" customHeight="1">
      <c r="A4775" s="26">
        <f>IFERROR(__xludf.DUMMYFUNCTION("""COMPUTED_VALUE"""),7491.0)</f>
        <v>7491</v>
      </c>
      <c r="B4775" s="22" t="str">
        <f>IFERROR(__xludf.DUMMYFUNCTION("""COMPUTED_VALUE"""),"確定")</f>
        <v>確定</v>
      </c>
      <c r="C4775" s="28">
        <f>IFERROR(__xludf.DUMMYFUNCTION("""COMPUTED_VALUE"""),46071.0)</f>
        <v>46071</v>
      </c>
      <c r="D4775" s="28">
        <f>IFERROR(__xludf.DUMMYFUNCTION("""COMPUTED_VALUE"""),46072.0)</f>
        <v>46072</v>
      </c>
      <c r="E4775" s="26">
        <f>IFERROR(__xludf.DUMMYFUNCTION("""COMPUTED_VALUE"""),356624.0)</f>
        <v>356624</v>
      </c>
      <c r="F4775" s="22" t="str">
        <f>IFERROR(__xludf.DUMMYFUNCTION("""COMPUTED_VALUE"""),"泣いて謝られても教会には戻りません！　追放された元聖女候補ですが、同じく追放された『剣神』さまと意気投合したので第二の人生を始めてます（分冊版）")</f>
        <v>泣いて謝られても教会には戻りません！　追放された元聖女候補ですが、同じく追放された『剣神』さまと意気投合したので第二の人生を始めてます（分冊版）</v>
      </c>
      <c r="G4775" s="20" t="str">
        <f>IFERROR(__xludf.DUMMYFUNCTION("""COMPUTED_VALUE"""),"1～5")</f>
        <v>1～5</v>
      </c>
      <c r="H4775" s="22" t="str">
        <f>IFERROR(__xludf.DUMMYFUNCTION("""COMPUTED_VALUE"""),"ヒツキノドカ・五月紅葉")</f>
        <v>ヒツキノドカ・五月紅葉</v>
      </c>
      <c r="I4775" s="22" t="str">
        <f>IFERROR(__xludf.DUMMYFUNCTION("""COMPUTED_VALUE"""),"女性")</f>
        <v>女性</v>
      </c>
      <c r="J4775" s="22"/>
      <c r="K4775" s="22"/>
      <c r="L4775" s="22" t="str">
        <f>IFERROR(__xludf.DUMMYFUNCTION("""COMPUTED_VALUE"""),"アルファポリス")</f>
        <v>アルファポリス</v>
      </c>
      <c r="M4775" s="33">
        <f>IFERROR(__xludf.DUMMYFUNCTION("""COMPUTED_VALUE"""),46108.0)</f>
        <v>46108</v>
      </c>
      <c r="N4775" s="33">
        <f>IFERROR(__xludf.DUMMYFUNCTION("""COMPUTED_VALUE"""),46198.0)</f>
        <v>46198</v>
      </c>
      <c r="O4775" s="20"/>
      <c r="P4775" s="32" t="str">
        <f>IFERROR(__xludf.DUMMYFUNCTION("""COMPUTED_VALUE"""),"可")</f>
        <v>可</v>
      </c>
      <c r="Q4775" s="30" t="str">
        <f>IFERROR(__xludf.DUMMYFUNCTION("""COMPUTED_VALUE"""),"【アウトバウンド提案】")</f>
        <v>【アウトバウンド提案】</v>
      </c>
      <c r="R4775" s="22" t="str">
        <f>IFERROR(__xludf.DUMMYFUNCTION("""COMPUTED_VALUE"""),"コミットOK")</f>
        <v>コミットOK</v>
      </c>
      <c r="S4775" s="22" t="str">
        <f>IFERROR(__xludf.DUMMYFUNCTION("""COMPUTED_VALUE"""),"20260217_アルファポリス_泣いて謝られても教会には戻りません！")</f>
        <v>20260217_アルファポリス_泣いて謝られても教会には戻りません！</v>
      </c>
      <c r="T4775" s="22" t="str">
        <f>IFERROR(__xludf.DUMMYFUNCTION("""COMPUTED_VALUE"""),"格納済み")</f>
        <v>格納済み</v>
      </c>
      <c r="U4775" s="9" t="str">
        <f>IFERROR(__xludf.DUMMYFUNCTION("""COMPUTED_VALUE"""),"（C）ヒツキノドカ・五月紅葉／アルファポリス")</f>
        <v>（C）ヒツキノドカ・五月紅葉／アルファポリス</v>
      </c>
      <c r="V4775" s="8"/>
      <c r="W4775" s="8"/>
      <c r="X4775" s="8" t="str">
        <f>IFERROR(__xludf.DUMMYFUNCTION("""COMPUTED_VALUE"""),"有")</f>
        <v>有</v>
      </c>
      <c r="Y4775" s="8" t="str">
        <f>IFERROR(__xludf.DUMMYFUNCTION("""COMPUTED_VALUE"""),"1巻無料")</f>
        <v>1巻無料</v>
      </c>
      <c r="Z4775" s="7"/>
      <c r="AA4775" s="7"/>
      <c r="AB4775" s="7"/>
    </row>
    <row r="4776" ht="15.75" customHeight="1">
      <c r="A4776" s="26">
        <f>IFERROR(__xludf.DUMMYFUNCTION("""COMPUTED_VALUE"""),7493.0)</f>
        <v>7493</v>
      </c>
      <c r="B4776" s="22" t="str">
        <f>IFERROR(__xludf.DUMMYFUNCTION("""COMPUTED_VALUE"""),"確定")</f>
        <v>確定</v>
      </c>
      <c r="C4776" s="28">
        <f>IFERROR(__xludf.DUMMYFUNCTION("""COMPUTED_VALUE"""),46071.0)</f>
        <v>46071</v>
      </c>
      <c r="D4776" s="28">
        <f>IFERROR(__xludf.DUMMYFUNCTION("""COMPUTED_VALUE"""),46077.0)</f>
        <v>46077</v>
      </c>
      <c r="E4776" s="26">
        <f>IFERROR(__xludf.DUMMYFUNCTION("""COMPUTED_VALUE"""),354311.0)</f>
        <v>354311</v>
      </c>
      <c r="F4776" s="22" t="str">
        <f>IFERROR(__xludf.DUMMYFUNCTION("""COMPUTED_VALUE"""),"ラブコメくらいがちょうどいい！？")</f>
        <v>ラブコメくらいがちょうどいい！？</v>
      </c>
      <c r="G4776" s="20" t="str">
        <f>IFERROR(__xludf.DUMMYFUNCTION("""COMPUTED_VALUE"""),"1～2")</f>
        <v>1～2</v>
      </c>
      <c r="H4776" s="22" t="str">
        <f>IFERROR(__xludf.DUMMYFUNCTION("""COMPUTED_VALUE"""),"IAPOC")</f>
        <v>IAPOC</v>
      </c>
      <c r="I4776" s="22" t="str">
        <f>IFERROR(__xludf.DUMMYFUNCTION("""COMPUTED_VALUE"""),"アダルト")</f>
        <v>アダルト</v>
      </c>
      <c r="J4776" s="22"/>
      <c r="K4776" s="22"/>
      <c r="L4776" s="22" t="str">
        <f>IFERROR(__xludf.DUMMYFUNCTION("""COMPUTED_VALUE"""),"ナイトコミック")</f>
        <v>ナイトコミック</v>
      </c>
      <c r="M4776" s="33">
        <f>IFERROR(__xludf.DUMMYFUNCTION("""COMPUTED_VALUE"""),46115.0)</f>
        <v>46115</v>
      </c>
      <c r="N4776" s="33">
        <f>IFERROR(__xludf.DUMMYFUNCTION("""COMPUTED_VALUE"""),46177.0)</f>
        <v>46177</v>
      </c>
      <c r="O4776" s="20"/>
      <c r="P4776" s="32" t="str">
        <f>IFERROR(__xludf.DUMMYFUNCTION("""COMPUTED_VALUE"""),"可")</f>
        <v>可</v>
      </c>
      <c r="Q4776" s="30"/>
      <c r="R4776" s="22"/>
      <c r="S4776" s="22" t="str">
        <f>IFERROR(__xludf.DUMMYFUNCTION("""COMPUTED_VALUE"""),"20260218_ナイトコミック_ラブコメくらいがちょうどいい！？")</f>
        <v>20260218_ナイトコミック_ラブコメくらいがちょうどいい！？</v>
      </c>
      <c r="T4776" s="22" t="str">
        <f>IFERROR(__xludf.DUMMYFUNCTION("""COMPUTED_VALUE"""),"格納済み")</f>
        <v>格納済み</v>
      </c>
      <c r="U4776" s="9" t="str">
        <f>IFERROR(__xludf.DUMMYFUNCTION("""COMPUTED_VALUE"""),"ⒸIAPOC")</f>
        <v>ⒸIAPOC</v>
      </c>
      <c r="V4776" s="8"/>
      <c r="W4776" s="8"/>
      <c r="X4776" s="8" t="str">
        <f>IFERROR(__xludf.DUMMYFUNCTION("""COMPUTED_VALUE"""),"有")</f>
        <v>有</v>
      </c>
      <c r="Y4776" s="8" t="str">
        <f>IFERROR(__xludf.DUMMYFUNCTION("""COMPUTED_VALUE"""),"2026/4/16まで1~2巻立ち読み増量
1巻：P15
2巻：P10")</f>
        <v>2026/4/16まで1~2巻立ち読み増量
1巻：P15
2巻：P10</v>
      </c>
      <c r="Z4776" s="7"/>
      <c r="AA4776" s="7"/>
      <c r="AB4776" s="7"/>
    </row>
    <row r="4777" ht="15.75" customHeight="1">
      <c r="A4777" s="26">
        <f>IFERROR(__xludf.DUMMYFUNCTION("""COMPUTED_VALUE"""),7495.0)</f>
        <v>7495</v>
      </c>
      <c r="B4777" s="22" t="str">
        <f>IFERROR(__xludf.DUMMYFUNCTION("""COMPUTED_VALUE"""),"確定")</f>
        <v>確定</v>
      </c>
      <c r="C4777" s="28">
        <f>IFERROR(__xludf.DUMMYFUNCTION("""COMPUTED_VALUE"""),46072.0)</f>
        <v>46072</v>
      </c>
      <c r="D4777" s="28">
        <f>IFERROR(__xludf.DUMMYFUNCTION("""COMPUTED_VALUE"""),46072.0)</f>
        <v>46072</v>
      </c>
      <c r="E4777" s="26">
        <f>IFERROR(__xludf.DUMMYFUNCTION("""COMPUTED_VALUE"""),334324.0)</f>
        <v>334324</v>
      </c>
      <c r="F4777" s="22" t="str">
        <f>IFERROR(__xludf.DUMMYFUNCTION("""COMPUTED_VALUE"""),"魔人公爵との秘密の契約～伝説の大悪女の生まれ変わりですが、魔人に溺愛されています～")</f>
        <v>魔人公爵との秘密の契約～伝説の大悪女の生まれ変わりですが、魔人に溺愛されています～</v>
      </c>
      <c r="G4777" s="20" t="str">
        <f>IFERROR(__xludf.DUMMYFUNCTION("""COMPUTED_VALUE"""),"1～3")</f>
        <v>1～3</v>
      </c>
      <c r="H4777" s="22" t="str">
        <f>IFERROR(__xludf.DUMMYFUNCTION("""COMPUTED_VALUE"""),"山鵺アヤ")</f>
        <v>山鵺アヤ</v>
      </c>
      <c r="I4777" s="22" t="str">
        <f>IFERROR(__xludf.DUMMYFUNCTION("""COMPUTED_VALUE"""),"少女マンガ")</f>
        <v>少女マンガ</v>
      </c>
      <c r="J4777" s="22"/>
      <c r="K4777" s="22" t="str">
        <f>IFERROR(__xludf.DUMMYFUNCTION("""COMPUTED_VALUE"""),"トレモア・ロマンス,トレモアcollection")</f>
        <v>トレモア・ロマンス,トレモアcollection</v>
      </c>
      <c r="L4777" s="22" t="str">
        <f>IFERROR(__xludf.DUMMYFUNCTION("""COMPUTED_VALUE"""),"シーモアコミックス（トレモア）")</f>
        <v>シーモアコミックス（トレモア）</v>
      </c>
      <c r="M4777" s="33">
        <f>IFERROR(__xludf.DUMMYFUNCTION("""COMPUTED_VALUE"""),46115.0)</f>
        <v>46115</v>
      </c>
      <c r="N4777" s="33">
        <f>IFERROR(__xludf.DUMMYFUNCTION("""COMPUTED_VALUE"""),46296.66666666667)</f>
        <v>46296.66667</v>
      </c>
      <c r="O4777" s="20"/>
      <c r="P4777" s="32" t="str">
        <f>IFERROR(__xludf.DUMMYFUNCTION("""COMPUTED_VALUE"""),"可")</f>
        <v>可</v>
      </c>
      <c r="Q4777" s="30"/>
      <c r="R4777" s="22"/>
      <c r="S4777" s="22" t="str">
        <f>IFERROR(__xludf.DUMMYFUNCTION("""COMPUTED_VALUE"""),"20260219_シーモアコミックス_魔人公爵との秘密の契約～伝説の大悪女の生まれ変わりですが、魔人に溺愛されています～")</f>
        <v>20260219_シーモアコミックス_魔人公爵との秘密の契約～伝説の大悪女の生まれ変わりですが、魔人に溺愛されています～</v>
      </c>
      <c r="T4777" s="22" t="str">
        <f>IFERROR(__xludf.DUMMYFUNCTION("""COMPUTED_VALUE"""),"格納済み")</f>
        <v>格納済み</v>
      </c>
      <c r="U4777" s="9" t="str">
        <f>IFERROR(__xludf.DUMMYFUNCTION("""COMPUTED_VALUE"""),"(C) 山鵺アヤ/シーモアコミックス")</f>
        <v>(C) 山鵺アヤ/シーモアコミックス</v>
      </c>
      <c r="V4777" s="8"/>
      <c r="W4777" s="8"/>
      <c r="X4777" s="8" t="str">
        <f>IFERROR(__xludf.DUMMYFUNCTION("""COMPUTED_VALUE"""),"有")</f>
        <v>有</v>
      </c>
      <c r="Y4777" s="8" t="str">
        <f>IFERROR(__xludf.DUMMYFUNCTION("""COMPUTED_VALUE"""),"2026/12/31まで1巻無料")</f>
        <v>2026/12/31まで1巻無料</v>
      </c>
      <c r="Z4777" s="7"/>
      <c r="AA4777" s="7"/>
      <c r="AB4777" s="7"/>
    </row>
    <row r="4778" ht="15.75" customHeight="1">
      <c r="A4778" s="26">
        <f>IFERROR(__xludf.DUMMYFUNCTION("""COMPUTED_VALUE"""),7496.0)</f>
        <v>7496</v>
      </c>
      <c r="B4778" s="22" t="str">
        <f>IFERROR(__xludf.DUMMYFUNCTION("""COMPUTED_VALUE"""),"確定")</f>
        <v>確定</v>
      </c>
      <c r="C4778" s="28">
        <f>IFERROR(__xludf.DUMMYFUNCTION("""COMPUTED_VALUE"""),46072.0)</f>
        <v>46072</v>
      </c>
      <c r="D4778" s="28">
        <f>IFERROR(__xludf.DUMMYFUNCTION("""COMPUTED_VALUE"""),46072.0)</f>
        <v>46072</v>
      </c>
      <c r="E4778" s="26">
        <f>IFERROR(__xludf.DUMMYFUNCTION("""COMPUTED_VALUE"""),336941.0)</f>
        <v>336941</v>
      </c>
      <c r="F4778" s="22" t="str">
        <f>IFERROR(__xludf.DUMMYFUNCTION("""COMPUTED_VALUE"""),"不幸せな公爵令嬢は光の魔女として生きることにしました")</f>
        <v>不幸せな公爵令嬢は光の魔女として生きることにしました</v>
      </c>
      <c r="G4778" s="20" t="str">
        <f>IFERROR(__xludf.DUMMYFUNCTION("""COMPUTED_VALUE"""),"1～3")</f>
        <v>1～3</v>
      </c>
      <c r="H4778" s="22" t="str">
        <f>IFERROR(__xludf.DUMMYFUNCTION("""COMPUTED_VALUE"""),"夢衣")</f>
        <v>夢衣</v>
      </c>
      <c r="I4778" s="22" t="str">
        <f>IFERROR(__xludf.DUMMYFUNCTION("""COMPUTED_VALUE"""),"少女マンガ")</f>
        <v>少女マンガ</v>
      </c>
      <c r="J4778" s="22"/>
      <c r="K4778" s="22" t="str">
        <f>IFERROR(__xludf.DUMMYFUNCTION("""COMPUTED_VALUE"""),"トレモア・ロマンス,トレモアcollection")</f>
        <v>トレモア・ロマンス,トレモアcollection</v>
      </c>
      <c r="L4778" s="22" t="str">
        <f>IFERROR(__xludf.DUMMYFUNCTION("""COMPUTED_VALUE"""),"シーモアコミックス（トレモア）")</f>
        <v>シーモアコミックス（トレモア）</v>
      </c>
      <c r="M4778" s="33">
        <f>IFERROR(__xludf.DUMMYFUNCTION("""COMPUTED_VALUE"""),46115.0)</f>
        <v>46115</v>
      </c>
      <c r="N4778" s="33">
        <f>IFERROR(__xludf.DUMMYFUNCTION("""COMPUTED_VALUE"""),2958465.0)</f>
        <v>2958465</v>
      </c>
      <c r="O4778" s="20"/>
      <c r="P4778" s="32" t="str">
        <f>IFERROR(__xludf.DUMMYFUNCTION("""COMPUTED_VALUE"""),"可")</f>
        <v>可</v>
      </c>
      <c r="Q4778" s="30"/>
      <c r="R4778" s="22"/>
      <c r="S4778" s="22" t="str">
        <f>IFERROR(__xludf.DUMMYFUNCTION("""COMPUTED_VALUE"""),"20260219_シーモアコミックス_不幸せな公爵令嬢は光の魔女として生きることにしました")</f>
        <v>20260219_シーモアコミックス_不幸せな公爵令嬢は光の魔女として生きることにしました</v>
      </c>
      <c r="T4778" s="22" t="str">
        <f>IFERROR(__xludf.DUMMYFUNCTION("""COMPUTED_VALUE"""),"格納済み")</f>
        <v>格納済み</v>
      </c>
      <c r="U4778" s="9" t="str">
        <f>IFERROR(__xludf.DUMMYFUNCTION("""COMPUTED_VALUE"""),"(C) 夢衣/シーモアコミックス")</f>
        <v>(C) 夢衣/シーモアコミックス</v>
      </c>
      <c r="V4778" s="8"/>
      <c r="W4778" s="8"/>
      <c r="X4778" s="8" t="str">
        <f>IFERROR(__xludf.DUMMYFUNCTION("""COMPUTED_VALUE"""),"有")</f>
        <v>有</v>
      </c>
      <c r="Y4778" s="8" t="str">
        <f>IFERROR(__xludf.DUMMYFUNCTION("""COMPUTED_VALUE"""),"2026/12/31まで1巻無料")</f>
        <v>2026/12/31まで1巻無料</v>
      </c>
      <c r="Z4778" s="7"/>
      <c r="AA4778" s="7"/>
      <c r="AB4778" s="7"/>
    </row>
    <row r="4779" ht="15.75" customHeight="1">
      <c r="A4779" s="26">
        <f>IFERROR(__xludf.DUMMYFUNCTION("""COMPUTED_VALUE"""),7497.0)</f>
        <v>7497</v>
      </c>
      <c r="B4779" s="22" t="str">
        <f>IFERROR(__xludf.DUMMYFUNCTION("""COMPUTED_VALUE"""),"確定")</f>
        <v>確定</v>
      </c>
      <c r="C4779" s="28">
        <f>IFERROR(__xludf.DUMMYFUNCTION("""COMPUTED_VALUE"""),46072.0)</f>
        <v>46072</v>
      </c>
      <c r="D4779" s="28">
        <f>IFERROR(__xludf.DUMMYFUNCTION("""COMPUTED_VALUE"""),46072.0)</f>
        <v>46072</v>
      </c>
      <c r="E4779" s="26">
        <f>IFERROR(__xludf.DUMMYFUNCTION("""COMPUTED_VALUE"""),306537.0)</f>
        <v>306537</v>
      </c>
      <c r="F4779" s="22" t="str">
        <f>IFERROR(__xludf.DUMMYFUNCTION("""COMPUTED_VALUE"""),"龍神さまの双子のつがい")</f>
        <v>龍神さまの双子のつがい</v>
      </c>
      <c r="G4779" s="20" t="str">
        <f>IFERROR(__xludf.DUMMYFUNCTION("""COMPUTED_VALUE"""),"1～3")</f>
        <v>1～3</v>
      </c>
      <c r="H4779" s="22" t="str">
        <f>IFERROR(__xludf.DUMMYFUNCTION("""COMPUTED_VALUE"""),"葉月暘子,なつせ,Team Summer Leaf")</f>
        <v>葉月暘子,なつせ,Team Summer Leaf</v>
      </c>
      <c r="I4779" s="22" t="str">
        <f>IFERROR(__xludf.DUMMYFUNCTION("""COMPUTED_VALUE"""),"少女マンガ")</f>
        <v>少女マンガ</v>
      </c>
      <c r="J4779" s="22"/>
      <c r="K4779" s="22" t="str">
        <f>IFERROR(__xludf.DUMMYFUNCTION("""COMPUTED_VALUE"""),"トレモア・ロマンス,トレモアcollection")</f>
        <v>トレモア・ロマンス,トレモアcollection</v>
      </c>
      <c r="L4779" s="22" t="str">
        <f>IFERROR(__xludf.DUMMYFUNCTION("""COMPUTED_VALUE"""),"シーモアコミックス（トレモア）")</f>
        <v>シーモアコミックス（トレモア）</v>
      </c>
      <c r="M4779" s="33">
        <f>IFERROR(__xludf.DUMMYFUNCTION("""COMPUTED_VALUE"""),46115.0)</f>
        <v>46115</v>
      </c>
      <c r="N4779" s="33">
        <f>IFERROR(__xludf.DUMMYFUNCTION("""COMPUTED_VALUE"""),46296.66666666667)</f>
        <v>46296.66667</v>
      </c>
      <c r="O4779" s="20"/>
      <c r="P4779" s="32" t="str">
        <f>IFERROR(__xludf.DUMMYFUNCTION("""COMPUTED_VALUE"""),"可")</f>
        <v>可</v>
      </c>
      <c r="Q4779" s="30"/>
      <c r="R4779" s="22"/>
      <c r="S4779" s="22" t="str">
        <f>IFERROR(__xludf.DUMMYFUNCTION("""COMPUTED_VALUE"""),"20260219_シーモアコミックス_龍神さまの双子のつがい")</f>
        <v>20260219_シーモアコミックス_龍神さまの双子のつがい</v>
      </c>
      <c r="T4779" s="22" t="str">
        <f>IFERROR(__xludf.DUMMYFUNCTION("""COMPUTED_VALUE"""),"格納済み")</f>
        <v>格納済み</v>
      </c>
      <c r="U4779" s="9" t="str">
        <f>IFERROR(__xludf.DUMMYFUNCTION("""COMPUTED_VALUE"""),"(C) 葉月暘子/なつせ/Team Summer Leaf/シーモアコミックス")</f>
        <v>(C) 葉月暘子/なつせ/Team Summer Leaf/シーモアコミックス</v>
      </c>
      <c r="V4779" s="8"/>
      <c r="W4779" s="8"/>
      <c r="X4779" s="8" t="str">
        <f>IFERROR(__xludf.DUMMYFUNCTION("""COMPUTED_VALUE"""),"有")</f>
        <v>有</v>
      </c>
      <c r="Y4779" s="8" t="str">
        <f>IFERROR(__xludf.DUMMYFUNCTION("""COMPUTED_VALUE"""),"2026/12/31まで1巻無料")</f>
        <v>2026/12/31まで1巻無料</v>
      </c>
      <c r="Z4779" s="7"/>
      <c r="AA4779" s="7"/>
      <c r="AB4779" s="7"/>
    </row>
    <row r="4780" ht="15.75" customHeight="1">
      <c r="A4780" s="26">
        <f>IFERROR(__xludf.DUMMYFUNCTION("""COMPUTED_VALUE"""),7510.0)</f>
        <v>7510</v>
      </c>
      <c r="B4780" s="22" t="str">
        <f>IFERROR(__xludf.DUMMYFUNCTION("""COMPUTED_VALUE"""),"確定")</f>
        <v>確定</v>
      </c>
      <c r="C4780" s="28">
        <f>IFERROR(__xludf.DUMMYFUNCTION("""COMPUTED_VALUE"""),46073.0)</f>
        <v>46073</v>
      </c>
      <c r="D4780" s="28">
        <f>IFERROR(__xludf.DUMMYFUNCTION("""COMPUTED_VALUE"""),46077.0)</f>
        <v>46077</v>
      </c>
      <c r="E4780" s="26">
        <f>IFERROR(__xludf.DUMMYFUNCTION("""COMPUTED_VALUE"""),353538.0)</f>
        <v>353538</v>
      </c>
      <c r="F4780" s="22" t="str">
        <f>IFERROR(__xludf.DUMMYFUNCTION("""COMPUTED_VALUE"""),"古風美人な義母と本能剥き出し危険日種付けセックスしてしまった話")</f>
        <v>古風美人な義母と本能剥き出し危険日種付けセックスしてしまった話</v>
      </c>
      <c r="G4780" s="20" t="str">
        <f>IFERROR(__xludf.DUMMYFUNCTION("""COMPUTED_VALUE"""),"1～3")</f>
        <v>1～3</v>
      </c>
      <c r="H4780" s="22" t="str">
        <f>IFERROR(__xludf.DUMMYFUNCTION("""COMPUTED_VALUE"""),"mamaya")</f>
        <v>mamaya</v>
      </c>
      <c r="I4780" s="22" t="str">
        <f>IFERROR(__xludf.DUMMYFUNCTION("""COMPUTED_VALUE"""),"アダルト")</f>
        <v>アダルト</v>
      </c>
      <c r="J4780" s="22"/>
      <c r="K4780" s="22" t="str">
        <f>IFERROR(__xludf.DUMMYFUNCTION("""COMPUTED_VALUE"""),"アルピス工房")</f>
        <v>アルピス工房</v>
      </c>
      <c r="L4780" s="22" t="str">
        <f>IFERROR(__xludf.DUMMYFUNCTION("""COMPUTED_VALUE"""),"アルピス工房")</f>
        <v>アルピス工房</v>
      </c>
      <c r="M4780" s="33">
        <f>IFERROR(__xludf.DUMMYFUNCTION("""COMPUTED_VALUE"""),46095.0)</f>
        <v>46095</v>
      </c>
      <c r="N4780" s="33">
        <f>IFERROR(__xludf.DUMMYFUNCTION("""COMPUTED_VALUE"""),46186.0)</f>
        <v>46186</v>
      </c>
      <c r="O4780" s="20"/>
      <c r="P4780" s="32" t="str">
        <f>IFERROR(__xludf.DUMMYFUNCTION("""COMPUTED_VALUE"""),"可")</f>
        <v>可</v>
      </c>
      <c r="Q4780" s="30"/>
      <c r="R4780" s="22"/>
      <c r="S4780" s="22" t="str">
        <f>IFERROR(__xludf.DUMMYFUNCTION("""COMPUTED_VALUE"""),"20260220_アルピス工房_古風美人な義母と本能剥き出し危険日種付けセックスしてしまった話")</f>
        <v>20260220_アルピス工房_古風美人な義母と本能剥き出し危険日種付けセックスしてしまった話</v>
      </c>
      <c r="T4780" s="22" t="str">
        <f>IFERROR(__xludf.DUMMYFUNCTION("""COMPUTED_VALUE"""),"格納済み")</f>
        <v>格納済み</v>
      </c>
      <c r="U4780" s="9" t="str">
        <f>IFERROR(__xludf.DUMMYFUNCTION("""COMPUTED_VALUE"""),"（C）mamaya/アルピス工房")</f>
        <v>（C）mamaya/アルピス工房</v>
      </c>
      <c r="V4780" s="8"/>
      <c r="W4780" s="8"/>
      <c r="X4780" s="8" t="str">
        <f>IFERROR(__xludf.DUMMYFUNCTION("""COMPUTED_VALUE"""),"有")</f>
        <v>有</v>
      </c>
      <c r="Y4780" s="8" t="str">
        <f>IFERROR(__xludf.DUMMYFUNCTION("""COMPUTED_VALUE"""),"2026/6/30まで1巻無料")</f>
        <v>2026/6/30まで1巻無料</v>
      </c>
      <c r="Z4780" s="7"/>
      <c r="AA4780" s="7"/>
      <c r="AB4780" s="7"/>
    </row>
    <row r="4781" ht="15.75" customHeight="1">
      <c r="A4781" s="26">
        <f>IFERROR(__xludf.DUMMYFUNCTION("""COMPUTED_VALUE"""),7520.0)</f>
        <v>7520</v>
      </c>
      <c r="B4781" s="22" t="str">
        <f>IFERROR(__xludf.DUMMYFUNCTION("""COMPUTED_VALUE"""),"確定")</f>
        <v>確定</v>
      </c>
      <c r="C4781" s="28">
        <f>IFERROR(__xludf.DUMMYFUNCTION("""COMPUTED_VALUE"""),46078.0)</f>
        <v>46078</v>
      </c>
      <c r="D4781" s="28">
        <f>IFERROR(__xludf.DUMMYFUNCTION("""COMPUTED_VALUE"""),46078.0)</f>
        <v>46078</v>
      </c>
      <c r="E4781" s="26">
        <f>IFERROR(__xludf.DUMMYFUNCTION("""COMPUTED_VALUE"""),327827.0)</f>
        <v>327827</v>
      </c>
      <c r="F4781" s="22" t="str">
        <f>IFERROR(__xludf.DUMMYFUNCTION("""COMPUTED_VALUE"""),"敏腕上司から10年越しの愛を受けています")</f>
        <v>敏腕上司から10年越しの愛を受けています</v>
      </c>
      <c r="G4781" s="20" t="str">
        <f>IFERROR(__xludf.DUMMYFUNCTION("""COMPUTED_VALUE"""),"1～3")</f>
        <v>1～3</v>
      </c>
      <c r="H4781" s="22" t="str">
        <f>IFERROR(__xludf.DUMMYFUNCTION("""COMPUTED_VALUE"""),"長谷河樹衣,アサノクラ")</f>
        <v>長谷河樹衣,アサノクラ</v>
      </c>
      <c r="I4781" s="22" t="str">
        <f>IFERROR(__xludf.DUMMYFUNCTION("""COMPUTED_VALUE"""),"女性マンガ")</f>
        <v>女性マンガ</v>
      </c>
      <c r="J4781" s="22"/>
      <c r="K4781" s="22" t="str">
        <f>IFERROR(__xludf.DUMMYFUNCTION("""COMPUTED_VALUE"""),"トレモア・リアルラブ,トレモアcollection")</f>
        <v>トレモア・リアルラブ,トレモアcollection</v>
      </c>
      <c r="L4781" s="22" t="str">
        <f>IFERROR(__xludf.DUMMYFUNCTION("""COMPUTED_VALUE"""),"シーモアコミックス（トレモア）")</f>
        <v>シーモアコミックス（トレモア）</v>
      </c>
      <c r="M4781" s="33">
        <f>IFERROR(__xludf.DUMMYFUNCTION("""COMPUTED_VALUE"""),46122.0)</f>
        <v>46122</v>
      </c>
      <c r="N4781" s="33">
        <f>IFERROR(__xludf.DUMMYFUNCTION("""COMPUTED_VALUE"""),46303.66666666667)</f>
        <v>46303.66667</v>
      </c>
      <c r="O4781" s="20"/>
      <c r="P4781" s="32" t="str">
        <f>IFERROR(__xludf.DUMMYFUNCTION("""COMPUTED_VALUE"""),"可")</f>
        <v>可</v>
      </c>
      <c r="Q4781" s="30"/>
      <c r="R4781" s="22"/>
      <c r="S4781" s="22" t="str">
        <f>IFERROR(__xludf.DUMMYFUNCTION("""COMPUTED_VALUE"""),"20260225_シーモアコミックス_敏腕上司から10年越しの愛を受けています")</f>
        <v>20260225_シーモアコミックス_敏腕上司から10年越しの愛を受けています</v>
      </c>
      <c r="T4781" s="22" t="str">
        <f>IFERROR(__xludf.DUMMYFUNCTION("""COMPUTED_VALUE"""),"格納済み")</f>
        <v>格納済み</v>
      </c>
      <c r="U4781" s="9" t="str">
        <f>IFERROR(__xludf.DUMMYFUNCTION("""COMPUTED_VALUE"""),"(C) 長谷河樹衣/アサノクラ/シーモアコミックス")</f>
        <v>(C) 長谷河樹衣/アサノクラ/シーモアコミックス</v>
      </c>
      <c r="V4781" s="8"/>
      <c r="W4781" s="8"/>
      <c r="X4781" s="8" t="str">
        <f>IFERROR(__xludf.DUMMYFUNCTION("""COMPUTED_VALUE"""),"有")</f>
        <v>有</v>
      </c>
      <c r="Y4781" s="8" t="str">
        <f>IFERROR(__xludf.DUMMYFUNCTION("""COMPUTED_VALUE"""),"2026/12/31まで1巻無料")</f>
        <v>2026/12/31まで1巻無料</v>
      </c>
      <c r="Z4781" s="7"/>
      <c r="AA4781" s="7"/>
      <c r="AB4781" s="7"/>
    </row>
    <row r="4782" ht="15.75" customHeight="1">
      <c r="A4782" s="26">
        <f>IFERROR(__xludf.DUMMYFUNCTION("""COMPUTED_VALUE"""),7521.0)</f>
        <v>7521</v>
      </c>
      <c r="B4782" s="22" t="str">
        <f>IFERROR(__xludf.DUMMYFUNCTION("""COMPUTED_VALUE"""),"確定")</f>
        <v>確定</v>
      </c>
      <c r="C4782" s="28">
        <f>IFERROR(__xludf.DUMMYFUNCTION("""COMPUTED_VALUE"""),46078.0)</f>
        <v>46078</v>
      </c>
      <c r="D4782" s="28">
        <f>IFERROR(__xludf.DUMMYFUNCTION("""COMPUTED_VALUE"""),46078.0)</f>
        <v>46078</v>
      </c>
      <c r="E4782" s="26">
        <f>IFERROR(__xludf.DUMMYFUNCTION("""COMPUTED_VALUE"""),319376.0)</f>
        <v>319376</v>
      </c>
      <c r="F4782" s="22" t="str">
        <f>IFERROR(__xludf.DUMMYFUNCTION("""COMPUTED_VALUE"""),"悪いのは全部シタ夫でした。～サレ妻と騙サレ女子の復讐同盟～")</f>
        <v>悪いのは全部シタ夫でした。～サレ妻と騙サレ女子の復讐同盟～</v>
      </c>
      <c r="G4782" s="20" t="str">
        <f>IFERROR(__xludf.DUMMYFUNCTION("""COMPUTED_VALUE"""),"1～3")</f>
        <v>1～3</v>
      </c>
      <c r="H4782" s="22" t="str">
        <f>IFERROR(__xludf.DUMMYFUNCTION("""COMPUTED_VALUE"""),"ヨシダ有希,法明寺桜")</f>
        <v>ヨシダ有希,法明寺桜</v>
      </c>
      <c r="I4782" s="22" t="str">
        <f>IFERROR(__xludf.DUMMYFUNCTION("""COMPUTED_VALUE"""),"女性マンガ")</f>
        <v>女性マンガ</v>
      </c>
      <c r="J4782" s="22"/>
      <c r="K4782" s="22" t="str">
        <f>IFERROR(__xludf.DUMMYFUNCTION("""COMPUTED_VALUE"""),"トレモア・リアルラブ,トレモアcollection")</f>
        <v>トレモア・リアルラブ,トレモアcollection</v>
      </c>
      <c r="L4782" s="22" t="str">
        <f>IFERROR(__xludf.DUMMYFUNCTION("""COMPUTED_VALUE"""),"シーモアコミックス（トレモア）")</f>
        <v>シーモアコミックス（トレモア）</v>
      </c>
      <c r="M4782" s="33">
        <f>IFERROR(__xludf.DUMMYFUNCTION("""COMPUTED_VALUE"""),46122.0)</f>
        <v>46122</v>
      </c>
      <c r="N4782" s="33">
        <f>IFERROR(__xludf.DUMMYFUNCTION("""COMPUTED_VALUE"""),2958465.0)</f>
        <v>2958465</v>
      </c>
      <c r="O4782" s="20"/>
      <c r="P4782" s="32" t="str">
        <f>IFERROR(__xludf.DUMMYFUNCTION("""COMPUTED_VALUE"""),"可")</f>
        <v>可</v>
      </c>
      <c r="Q4782" s="30"/>
      <c r="R4782" s="22"/>
      <c r="S4782" s="22" t="str">
        <f>IFERROR(__xludf.DUMMYFUNCTION("""COMPUTED_VALUE"""),"20260225_シーモアコミックス_悪いのは全部シタ夫でした。～サレ妻と騙サレ女子の復讐同盟～")</f>
        <v>20260225_シーモアコミックス_悪いのは全部シタ夫でした。～サレ妻と騙サレ女子の復讐同盟～</v>
      </c>
      <c r="T4782" s="22" t="str">
        <f>IFERROR(__xludf.DUMMYFUNCTION("""COMPUTED_VALUE"""),"格納済み")</f>
        <v>格納済み</v>
      </c>
      <c r="U4782" s="9" t="str">
        <f>IFERROR(__xludf.DUMMYFUNCTION("""COMPUTED_VALUE"""),"(C) ヨシダ有希/法明寺桜/シーモアコミックス")</f>
        <v>(C) ヨシダ有希/法明寺桜/シーモアコミックス</v>
      </c>
      <c r="V4782" s="8"/>
      <c r="W4782" s="8"/>
      <c r="X4782" s="8" t="str">
        <f>IFERROR(__xludf.DUMMYFUNCTION("""COMPUTED_VALUE"""),"有")</f>
        <v>有</v>
      </c>
      <c r="Y4782" s="8" t="str">
        <f>IFERROR(__xludf.DUMMYFUNCTION("""COMPUTED_VALUE"""),"2026/12/31まで1巻無料")</f>
        <v>2026/12/31まで1巻無料</v>
      </c>
      <c r="Z4782" s="7"/>
      <c r="AA4782" s="7"/>
      <c r="AB4782" s="7"/>
    </row>
    <row r="4783" ht="15.75" customHeight="1">
      <c r="A4783" s="26">
        <f>IFERROR(__xludf.DUMMYFUNCTION("""COMPUTED_VALUE"""),6752.0)</f>
        <v>6752</v>
      </c>
      <c r="B4783" s="22" t="str">
        <f>IFERROR(__xludf.DUMMYFUNCTION("""COMPUTED_VALUE"""),"確定")</f>
        <v>確定</v>
      </c>
      <c r="C4783" s="28">
        <f>IFERROR(__xludf.DUMMYFUNCTION("""COMPUTED_VALUE"""),45959.0)</f>
        <v>45959</v>
      </c>
      <c r="D4783" s="28">
        <f>IFERROR(__xludf.DUMMYFUNCTION("""COMPUTED_VALUE"""),46079.0)</f>
        <v>46079</v>
      </c>
      <c r="E4783" s="26">
        <f>IFERROR(__xludf.DUMMYFUNCTION("""COMPUTED_VALUE"""),354306.0)</f>
        <v>354306</v>
      </c>
      <c r="F4783" s="22" t="str">
        <f>IFERROR(__xludf.DUMMYFUNCTION("""COMPUTED_VALUE"""),"黒兎伯爵の溺愛求婚　【連載版】")</f>
        <v>黒兎伯爵の溺愛求婚　【連載版】</v>
      </c>
      <c r="G4783" s="20" t="str">
        <f>IFERROR(__xludf.DUMMYFUNCTION("""COMPUTED_VALUE"""),"1~6")</f>
        <v>1~6</v>
      </c>
      <c r="H4783" s="22" t="str">
        <f>IFERROR(__xludf.DUMMYFUNCTION("""COMPUTED_VALUE"""),"コミック：ｃｈａｎｙ／原作：百門一新／キャラクター原案：春が野かおる")</f>
        <v>コミック：ｃｈａｎｙ／原作：百門一新／キャラクター原案：春が野かおる</v>
      </c>
      <c r="I4783" s="22" t="str">
        <f>IFERROR(__xludf.DUMMYFUNCTION("""COMPUTED_VALUE"""),"少女マンガ")</f>
        <v>少女マンガ</v>
      </c>
      <c r="J4783" s="22"/>
      <c r="K4783" s="22" t="str">
        <f>IFERROR(__xludf.DUMMYFUNCTION("""COMPUTED_VALUE"""),"ZERO-SUMコミックス")</f>
        <v>ZERO-SUMコミックス</v>
      </c>
      <c r="L4783" s="22" t="str">
        <f>IFERROR(__xludf.DUMMYFUNCTION("""COMPUTED_VALUE"""),"一迅社")</f>
        <v>一迅社</v>
      </c>
      <c r="M4783" s="33">
        <f>IFERROR(__xludf.DUMMYFUNCTION("""COMPUTED_VALUE"""),46113.0)</f>
        <v>46113</v>
      </c>
      <c r="N4783" s="33">
        <f>IFERROR(__xludf.DUMMYFUNCTION("""COMPUTED_VALUE"""),46173.0)</f>
        <v>46173</v>
      </c>
      <c r="O4783" s="20"/>
      <c r="P4783" s="32" t="str">
        <f>IFERROR(__xludf.DUMMYFUNCTION("""COMPUTED_VALUE"""),"否")</f>
        <v>否</v>
      </c>
      <c r="Q4783" s="30" t="str">
        <f>IFERROR(__xludf.DUMMYFUNCTION("""COMPUTED_VALUE"""),"1~5巻の素材で広告制作お願いいたします。")</f>
        <v>1~5巻の素材で広告制作お願いいたします。</v>
      </c>
      <c r="R4783" s="22" t="str">
        <f>IFERROR(__xludf.DUMMYFUNCTION("""COMPUTED_VALUE"""),"コミットOK")</f>
        <v>コミットOK</v>
      </c>
      <c r="S4783" s="22" t="str">
        <f>IFERROR(__xludf.DUMMYFUNCTION("""COMPUTED_VALUE"""),"20260226_一迅社_黒兎伯爵の溺愛求婚")</f>
        <v>20260226_一迅社_黒兎伯爵の溺愛求婚</v>
      </c>
      <c r="T4783" s="22" t="str">
        <f>IFERROR(__xludf.DUMMYFUNCTION("""COMPUTED_VALUE"""),"格納済み")</f>
        <v>格納済み</v>
      </c>
      <c r="U4783" s="9" t="str">
        <f>IFERROR(__xludf.DUMMYFUNCTION("""COMPUTED_VALUE"""),"(C)chany・百門一新・春が野かおる／一迅社")</f>
        <v>(C)chany・百門一新・春が野かおる／一迅社</v>
      </c>
      <c r="V4783" s="8"/>
      <c r="W4783" s="8"/>
      <c r="X4783" s="8" t="str">
        <f>IFERROR(__xludf.DUMMYFUNCTION("""COMPUTED_VALUE"""),"有")</f>
        <v>有</v>
      </c>
      <c r="Y4783" s="8" t="str">
        <f>IFERROR(__xludf.DUMMYFUNCTION("""COMPUTED_VALUE"""),"2026/4/30まで1巻無料")</f>
        <v>2026/4/30まで1巻無料</v>
      </c>
      <c r="Z4783" s="7"/>
      <c r="AA4783" s="7"/>
      <c r="AB4783" s="7"/>
    </row>
    <row r="4784" ht="15.75" customHeight="1">
      <c r="A4784" s="26">
        <f>IFERROR(__xludf.DUMMYFUNCTION("""COMPUTED_VALUE"""),6809.0)</f>
        <v>6809</v>
      </c>
      <c r="B4784" s="22" t="str">
        <f>IFERROR(__xludf.DUMMYFUNCTION("""COMPUTED_VALUE"""),"確定")</f>
        <v>確定</v>
      </c>
      <c r="C4784" s="28">
        <f>IFERROR(__xludf.DUMMYFUNCTION("""COMPUTED_VALUE"""),45967.0)</f>
        <v>45967</v>
      </c>
      <c r="D4784" s="28">
        <f>IFERROR(__xludf.DUMMYFUNCTION("""COMPUTED_VALUE"""),46079.0)</f>
        <v>46079</v>
      </c>
      <c r="E4784" s="26">
        <f>IFERROR(__xludf.DUMMYFUNCTION("""COMPUTED_VALUE"""),353752.0)</f>
        <v>353752</v>
      </c>
      <c r="F4784" s="22" t="str">
        <f>IFERROR(__xludf.DUMMYFUNCTION("""COMPUTED_VALUE"""),"ヴァレリアン公爵夫人の穏やかな復讐　【連載版】")</f>
        <v>ヴァレリアン公爵夫人の穏やかな復讐　【連載版】</v>
      </c>
      <c r="G4784" s="20" t="str">
        <f>IFERROR(__xludf.DUMMYFUNCTION("""COMPUTED_VALUE"""),"1～3")</f>
        <v>1～3</v>
      </c>
      <c r="H4784" s="22" t="str">
        <f>IFERROR(__xludf.DUMMYFUNCTION("""COMPUTED_VALUE"""),"漫画：西宮瑠花／原作：丹空舞")</f>
        <v>漫画：西宮瑠花／原作：丹空舞</v>
      </c>
      <c r="I4784" s="22" t="str">
        <f>IFERROR(__xludf.DUMMYFUNCTION("""COMPUTED_VALUE"""),"女性")</f>
        <v>女性</v>
      </c>
      <c r="J4784" s="22"/>
      <c r="K4784" s="22" t="str">
        <f>IFERROR(__xludf.DUMMYFUNCTION("""COMPUTED_VALUE"""),"comic LAKE")</f>
        <v>comic LAKE</v>
      </c>
      <c r="L4784" s="22" t="str">
        <f>IFERROR(__xludf.DUMMYFUNCTION("""COMPUTED_VALUE"""),"一迅社")</f>
        <v>一迅社</v>
      </c>
      <c r="M4784" s="33">
        <f>IFERROR(__xludf.DUMMYFUNCTION("""COMPUTED_VALUE"""),46101.0)</f>
        <v>46101</v>
      </c>
      <c r="N4784" s="33">
        <f>IFERROR(__xludf.DUMMYFUNCTION("""COMPUTED_VALUE"""),46128.0)</f>
        <v>46128</v>
      </c>
      <c r="O4784" s="20"/>
      <c r="P4784" s="32" t="str">
        <f>IFERROR(__xludf.DUMMYFUNCTION("""COMPUTED_VALUE"""),"否")</f>
        <v>否</v>
      </c>
      <c r="Q4784" s="30"/>
      <c r="R4784" s="22" t="str">
        <f>IFERROR(__xludf.DUMMYFUNCTION("""COMPUTED_VALUE"""),"コミットOK")</f>
        <v>コミットOK</v>
      </c>
      <c r="S4784" s="22" t="str">
        <f>IFERROR(__xludf.DUMMYFUNCTION("""COMPUTED_VALUE"""),"20260226_一迅社_ヴァレリアン公爵夫人の穏やかな復讐")</f>
        <v>20260226_一迅社_ヴァレリアン公爵夫人の穏やかな復讐</v>
      </c>
      <c r="T4784" s="22" t="str">
        <f>IFERROR(__xludf.DUMMYFUNCTION("""COMPUTED_VALUE"""),"格納済み")</f>
        <v>格納済み</v>
      </c>
      <c r="U4784" s="9" t="str">
        <f>IFERROR(__xludf.DUMMYFUNCTION("""COMPUTED_VALUE"""),"(C)西宮瑠花・丹空舞／一迅社")</f>
        <v>(C)西宮瑠花・丹空舞／一迅社</v>
      </c>
      <c r="V4784" s="8"/>
      <c r="W4784" s="8"/>
      <c r="X4784" s="8" t="str">
        <f>IFERROR(__xludf.DUMMYFUNCTION("""COMPUTED_VALUE"""),"有")</f>
        <v>有</v>
      </c>
      <c r="Y4784" s="8" t="str">
        <f>IFERROR(__xludf.DUMMYFUNCTION("""COMPUTED_VALUE"""),"P8まで")</f>
        <v>P8まで</v>
      </c>
      <c r="Z4784" s="7"/>
      <c r="AA4784" s="7"/>
      <c r="AB4784" s="7"/>
    </row>
    <row r="4785" ht="15.75" customHeight="1">
      <c r="A4785" s="26">
        <f>IFERROR(__xludf.DUMMYFUNCTION("""COMPUTED_VALUE"""),6863.0)</f>
        <v>6863</v>
      </c>
      <c r="B4785" s="22" t="str">
        <f>IFERROR(__xludf.DUMMYFUNCTION("""COMPUTED_VALUE"""),"確定")</f>
        <v>確定</v>
      </c>
      <c r="C4785" s="28">
        <f>IFERROR(__xludf.DUMMYFUNCTION("""COMPUTED_VALUE"""),45972.0)</f>
        <v>45972</v>
      </c>
      <c r="D4785" s="28">
        <f>IFERROR(__xludf.DUMMYFUNCTION("""COMPUTED_VALUE"""),46080.0)</f>
        <v>46080</v>
      </c>
      <c r="E4785" s="26">
        <f>IFERROR(__xludf.DUMMYFUNCTION("""COMPUTED_VALUE"""),353353.0)</f>
        <v>353353</v>
      </c>
      <c r="F4785" s="22" t="str">
        <f>IFERROR(__xludf.DUMMYFUNCTION("""COMPUTED_VALUE"""),"メロメロラブスクエア【分冊版】")</f>
        <v>メロメロラブスクエア【分冊版】</v>
      </c>
      <c r="G4785" s="20" t="str">
        <f>IFERROR(__xludf.DUMMYFUNCTION("""COMPUTED_VALUE"""),"1～2")</f>
        <v>1～2</v>
      </c>
      <c r="H4785" s="22" t="str">
        <f>IFERROR(__xludf.DUMMYFUNCTION("""COMPUTED_VALUE"""),"仲村拓彦")</f>
        <v>仲村拓彦</v>
      </c>
      <c r="I4785" s="22" t="str">
        <f>IFERROR(__xludf.DUMMYFUNCTION("""COMPUTED_VALUE"""),"BL")</f>
        <v>BL</v>
      </c>
      <c r="J4785" s="22"/>
      <c r="K4785" s="22" t="str">
        <f>IFERROR(__xludf.DUMMYFUNCTION("""COMPUTED_VALUE"""),"ジェラートコミックス")</f>
        <v>ジェラートコミックス</v>
      </c>
      <c r="L4785" s="22" t="str">
        <f>IFERROR(__xludf.DUMMYFUNCTION("""COMPUTED_VALUE"""),"ハーパーコリンズ・ジャパン")</f>
        <v>ハーパーコリンズ・ジャパン</v>
      </c>
      <c r="M4785" s="33">
        <f>IFERROR(__xludf.DUMMYFUNCTION("""COMPUTED_VALUE"""),46100.0)</f>
        <v>46100</v>
      </c>
      <c r="N4785" s="33">
        <f>IFERROR(__xludf.DUMMYFUNCTION("""COMPUTED_VALUE"""),46163.0)</f>
        <v>46163</v>
      </c>
      <c r="O4785" s="20"/>
      <c r="P4785" s="32" t="str">
        <f>IFERROR(__xludf.DUMMYFUNCTION("""COMPUTED_VALUE"""),"可")</f>
        <v>可</v>
      </c>
      <c r="Q4785" s="30"/>
      <c r="R4785" s="22" t="str">
        <f>IFERROR(__xludf.DUMMYFUNCTION("""COMPUTED_VALUE"""),"コミットNG")</f>
        <v>コミットNG</v>
      </c>
      <c r="S4785" s="22" t="str">
        <f>IFERROR(__xludf.DUMMYFUNCTION("""COMPUTED_VALUE"""),"20260226_ハーパーコリンズ・ジャパン_メロメロラブスクエア【分冊版】")</f>
        <v>20260226_ハーパーコリンズ・ジャパン_メロメロラブスクエア【分冊版】</v>
      </c>
      <c r="T4785" s="22" t="str">
        <f>IFERROR(__xludf.DUMMYFUNCTION("""COMPUTED_VALUE"""),"格納済み")</f>
        <v>格納済み</v>
      </c>
      <c r="U4785" s="9" t="str">
        <f>IFERROR(__xludf.DUMMYFUNCTION("""COMPUTED_VALUE"""),"Ⓒ仲村拓彦/ハーパーコリンズ・ジャパン")</f>
        <v>Ⓒ仲村拓彦/ハーパーコリンズ・ジャパン</v>
      </c>
      <c r="V4785" s="8"/>
      <c r="W4785" s="8"/>
      <c r="X4785" s="8" t="str">
        <f>IFERROR(__xludf.DUMMYFUNCTION("""COMPUTED_VALUE"""),"有")</f>
        <v>有</v>
      </c>
      <c r="Y4785" s="8" t="str">
        <f>IFERROR(__xludf.DUMMYFUNCTION("""COMPUTED_VALUE"""),"2026/4/1まで1巻無料")</f>
        <v>2026/4/1まで1巻無料</v>
      </c>
      <c r="Z4785" s="7"/>
      <c r="AA4785" s="7"/>
      <c r="AB4785" s="7"/>
    </row>
    <row r="4786" ht="15.75" customHeight="1">
      <c r="A4786" s="26">
        <f>IFERROR(__xludf.DUMMYFUNCTION("""COMPUTED_VALUE"""),7063.0)</f>
        <v>7063</v>
      </c>
      <c r="B4786" s="22" t="str">
        <f>IFERROR(__xludf.DUMMYFUNCTION("""COMPUTED_VALUE"""),"確定")</f>
        <v>確定</v>
      </c>
      <c r="C4786" s="28">
        <f>IFERROR(__xludf.DUMMYFUNCTION("""COMPUTED_VALUE"""),46007.0)</f>
        <v>46007</v>
      </c>
      <c r="D4786" s="28">
        <f>IFERROR(__xludf.DUMMYFUNCTION("""COMPUTED_VALUE"""),46079.0)</f>
        <v>46079</v>
      </c>
      <c r="E4786" s="26">
        <f>IFERROR(__xludf.DUMMYFUNCTION("""COMPUTED_VALUE"""),354316.0)</f>
        <v>354316</v>
      </c>
      <c r="F4786" s="22" t="str">
        <f>IFERROR(__xludf.DUMMYFUNCTION("""COMPUTED_VALUE"""),"ようこそ修道院へ、ここは追放された女たちの楽園よ　【連載版】")</f>
        <v>ようこそ修道院へ、ここは追放された女たちの楽園よ　【連載版】</v>
      </c>
      <c r="G4786" s="20" t="str">
        <f>IFERROR(__xludf.DUMMYFUNCTION("""COMPUTED_VALUE"""),"1~4")</f>
        <v>1~4</v>
      </c>
      <c r="H4786" s="22" t="str">
        <f>IFERROR(__xludf.DUMMYFUNCTION("""COMPUTED_VALUE"""),"サコ、一ノ谷鈴、whimhalooo")</f>
        <v>サコ、一ノ谷鈴、whimhalooo</v>
      </c>
      <c r="I4786" s="22" t="str">
        <f>IFERROR(__xludf.DUMMYFUNCTION("""COMPUTED_VALUE"""),"少女")</f>
        <v>少女</v>
      </c>
      <c r="J4786" s="22"/>
      <c r="K4786" s="22" t="str">
        <f>IFERROR(__xludf.DUMMYFUNCTION("""COMPUTED_VALUE"""),"ZERO-SUMコミックス")</f>
        <v>ZERO-SUMコミックス</v>
      </c>
      <c r="L4786" s="22" t="str">
        <f>IFERROR(__xludf.DUMMYFUNCTION("""COMPUTED_VALUE"""),"一迅社")</f>
        <v>一迅社</v>
      </c>
      <c r="M4786" s="33">
        <f>IFERROR(__xludf.DUMMYFUNCTION("""COMPUTED_VALUE"""),46113.0)</f>
        <v>46113</v>
      </c>
      <c r="N4786" s="33">
        <f>IFERROR(__xludf.DUMMYFUNCTION("""COMPUTED_VALUE"""),46173.0)</f>
        <v>46173</v>
      </c>
      <c r="O4786" s="20"/>
      <c r="P4786" s="32" t="str">
        <f>IFERROR(__xludf.DUMMYFUNCTION("""COMPUTED_VALUE"""),"否")</f>
        <v>否</v>
      </c>
      <c r="Q4786" s="30" t="str">
        <f>IFERROR(__xludf.DUMMYFUNCTION("""COMPUTED_VALUE"""),"1~3話の素材で広告制作お願いいたします。")</f>
        <v>1~3話の素材で広告制作お願いいたします。</v>
      </c>
      <c r="R4786" s="22" t="str">
        <f>IFERROR(__xludf.DUMMYFUNCTION("""COMPUTED_VALUE"""),"コミットOK")</f>
        <v>コミットOK</v>
      </c>
      <c r="S4786" s="22" t="str">
        <f>IFERROR(__xludf.DUMMYFUNCTION("""COMPUTED_VALUE"""),"20260226_一迅社_ようこそ修道院へ、ここは追放された女たちの楽園よ")</f>
        <v>20260226_一迅社_ようこそ修道院へ、ここは追放された女たちの楽園よ</v>
      </c>
      <c r="T4786" s="22" t="str">
        <f>IFERROR(__xludf.DUMMYFUNCTION("""COMPUTED_VALUE"""),"格納済み")</f>
        <v>格納済み</v>
      </c>
      <c r="U4786" s="9" t="str">
        <f>IFERROR(__xludf.DUMMYFUNCTION("""COMPUTED_VALUE"""),"(C)サコ・一ノ谷鈴・whimhalooo／一迅社")</f>
        <v>(C)サコ・一ノ谷鈴・whimhalooo／一迅社</v>
      </c>
      <c r="V4786" s="8"/>
      <c r="W4786" s="8"/>
      <c r="X4786" s="8" t="str">
        <f>IFERROR(__xludf.DUMMYFUNCTION("""COMPUTED_VALUE"""),"有")</f>
        <v>有</v>
      </c>
      <c r="Y4786" s="8" t="str">
        <f>IFERROR(__xludf.DUMMYFUNCTION("""COMPUTED_VALUE"""),"2026/4/30まで1巻無料")</f>
        <v>2026/4/30まで1巻無料</v>
      </c>
      <c r="Z4786" s="7"/>
      <c r="AA4786" s="7"/>
      <c r="AB4786" s="7"/>
    </row>
    <row r="4787" ht="15.75" customHeight="1">
      <c r="A4787" s="26">
        <f>IFERROR(__xludf.DUMMYFUNCTION("""COMPUTED_VALUE"""),7174.0)</f>
        <v>7174</v>
      </c>
      <c r="B4787" s="22" t="str">
        <f>IFERROR(__xludf.DUMMYFUNCTION("""COMPUTED_VALUE"""),"確定")</f>
        <v>確定</v>
      </c>
      <c r="C4787" s="28">
        <f>IFERROR(__xludf.DUMMYFUNCTION("""COMPUTED_VALUE"""),46030.0)</f>
        <v>46030</v>
      </c>
      <c r="D4787" s="28">
        <f>IFERROR(__xludf.DUMMYFUNCTION("""COMPUTED_VALUE"""),46079.0)</f>
        <v>46079</v>
      </c>
      <c r="E4787" s="26">
        <f>IFERROR(__xludf.DUMMYFUNCTION("""COMPUTED_VALUE"""),353721.0)</f>
        <v>353721</v>
      </c>
      <c r="F4787" s="22" t="str">
        <f>IFERROR(__xludf.DUMMYFUNCTION("""COMPUTED_VALUE"""),"追放令嬢からの手紙～かつて愛していた皆さまへ　私のことなどお忘れですか？【単話】")</f>
        <v>追放令嬢からの手紙～かつて愛していた皆さまへ　私のことなどお忘れですか？【単話】</v>
      </c>
      <c r="G4787" s="20" t="str">
        <f>IFERROR(__xludf.DUMMYFUNCTION("""COMPUTED_VALUE"""),"1～3")</f>
        <v>1～3</v>
      </c>
      <c r="H4787" s="22" t="str">
        <f>IFERROR(__xludf.DUMMYFUNCTION("""COMPUTED_VALUE"""),"マチバリ┴田中ててて┴中條由良")</f>
        <v>マチバリ┴田中ててて┴中條由良</v>
      </c>
      <c r="I4787" s="22" t="str">
        <f>IFERROR(__xludf.DUMMYFUNCTION("""COMPUTED_VALUE"""),"女性")</f>
        <v>女性</v>
      </c>
      <c r="J4787" s="22"/>
      <c r="K4787" s="22" t="str">
        <f>IFERROR(__xludf.DUMMYFUNCTION("""COMPUTED_VALUE"""),"やわらかスピリッツ女子部")</f>
        <v>やわらかスピリッツ女子部</v>
      </c>
      <c r="L4787" s="22" t="str">
        <f>IFERROR(__xludf.DUMMYFUNCTION("""COMPUTED_VALUE"""),"小学館")</f>
        <v>小学館</v>
      </c>
      <c r="M4787" s="33">
        <f>IFERROR(__xludf.DUMMYFUNCTION("""COMPUTED_VALUE"""),46093.0)</f>
        <v>46093</v>
      </c>
      <c r="N4787" s="33">
        <f>IFERROR(__xludf.DUMMYFUNCTION("""COMPUTED_VALUE"""),46122.0)</f>
        <v>46122</v>
      </c>
      <c r="O4787" s="20"/>
      <c r="P4787" s="32" t="str">
        <f>IFERROR(__xludf.DUMMYFUNCTION("""COMPUTED_VALUE"""),"否")</f>
        <v>否</v>
      </c>
      <c r="Q4787" s="30"/>
      <c r="R4787" s="22" t="str">
        <f>IFERROR(__xludf.DUMMYFUNCTION("""COMPUTED_VALUE"""),"コミットOK")</f>
        <v>コミットOK</v>
      </c>
      <c r="S4787" s="22" t="str">
        <f>IFERROR(__xludf.DUMMYFUNCTION("""COMPUTED_VALUE"""),"20260226_小学館_追放令嬢からの手紙～かつて愛していた皆さまへ　私のことなどお忘れですか？【単話】")</f>
        <v>20260226_小学館_追放令嬢からの手紙～かつて愛していた皆さまへ　私のことなどお忘れですか？【単話】</v>
      </c>
      <c r="T4787" s="22" t="str">
        <f>IFERROR(__xludf.DUMMYFUNCTION("""COMPUTED_VALUE"""),"格納済み")</f>
        <v>格納済み</v>
      </c>
      <c r="U4787" s="9" t="str">
        <f>IFERROR(__xludf.DUMMYFUNCTION("""COMPUTED_VALUE"""),"(C)マチバリ・田中ててて / 小学館")</f>
        <v>(C)マチバリ・田中ててて / 小学館</v>
      </c>
      <c r="V4787" s="8"/>
      <c r="W4787" s="8"/>
      <c r="X4787" s="8" t="str">
        <f>IFERROR(__xludf.DUMMYFUNCTION("""COMPUTED_VALUE"""),"有")</f>
        <v>有</v>
      </c>
      <c r="Y4787" s="8" t="str">
        <f>IFERROR(__xludf.DUMMYFUNCTION("""COMPUTED_VALUE"""),"2026/4/10まで1巻無料")</f>
        <v>2026/4/10まで1巻無料</v>
      </c>
      <c r="Z4787" s="7"/>
      <c r="AA4787" s="7"/>
      <c r="AB4787" s="7"/>
    </row>
    <row r="4788" ht="15.75" customHeight="1">
      <c r="A4788" s="26">
        <f>IFERROR(__xludf.DUMMYFUNCTION("""COMPUTED_VALUE"""),7175.0)</f>
        <v>7175</v>
      </c>
      <c r="B4788" s="22" t="str">
        <f>IFERROR(__xludf.DUMMYFUNCTION("""COMPUTED_VALUE"""),"確定")</f>
        <v>確定</v>
      </c>
      <c r="C4788" s="28">
        <f>IFERROR(__xludf.DUMMYFUNCTION("""COMPUTED_VALUE"""),46030.0)</f>
        <v>46030</v>
      </c>
      <c r="D4788" s="28">
        <f>IFERROR(__xludf.DUMMYFUNCTION("""COMPUTED_VALUE"""),46079.0)</f>
        <v>46079</v>
      </c>
      <c r="E4788" s="26">
        <f>IFERROR(__xludf.DUMMYFUNCTION("""COMPUTED_VALUE"""),354036.0)</f>
        <v>354036</v>
      </c>
      <c r="F4788" s="22" t="str">
        <f>IFERROR(__xludf.DUMMYFUNCTION("""COMPUTED_VALUE"""),"白蛇の華燭～生贄の乙女は孤独な蛇神に嫁ぐ～【単話】")</f>
        <v>白蛇の華燭～生贄の乙女は孤独な蛇神に嫁ぐ～【単話】</v>
      </c>
      <c r="G4788" s="20" t="str">
        <f>IFERROR(__xludf.DUMMYFUNCTION("""COMPUTED_VALUE"""),"1～3")</f>
        <v>1～3</v>
      </c>
      <c r="H4788" s="22" t="str">
        <f>IFERROR(__xludf.DUMMYFUNCTION("""COMPUTED_VALUE"""),"桜川ヒロ┴かんち┴セカイメグル")</f>
        <v>桜川ヒロ┴かんち┴セカイメグル</v>
      </c>
      <c r="I4788" s="22" t="str">
        <f>IFERROR(__xludf.DUMMYFUNCTION("""COMPUTED_VALUE"""),"女性")</f>
        <v>女性</v>
      </c>
      <c r="J4788" s="22"/>
      <c r="K4788" s="22" t="str">
        <f>IFERROR(__xludf.DUMMYFUNCTION("""COMPUTED_VALUE"""),"やわらかスピリッツ女子部")</f>
        <v>やわらかスピリッツ女子部</v>
      </c>
      <c r="L4788" s="22" t="str">
        <f>IFERROR(__xludf.DUMMYFUNCTION("""COMPUTED_VALUE"""),"小学館")</f>
        <v>小学館</v>
      </c>
      <c r="M4788" s="33">
        <f>IFERROR(__xludf.DUMMYFUNCTION("""COMPUTED_VALUE"""),46108.0)</f>
        <v>46108</v>
      </c>
      <c r="N4788" s="33">
        <f>IFERROR(__xludf.DUMMYFUNCTION("""COMPUTED_VALUE"""),46137.0)</f>
        <v>46137</v>
      </c>
      <c r="O4788" s="20"/>
      <c r="P4788" s="32" t="str">
        <f>IFERROR(__xludf.DUMMYFUNCTION("""COMPUTED_VALUE"""),"否")</f>
        <v>否</v>
      </c>
      <c r="Q4788" s="30"/>
      <c r="R4788" s="22" t="str">
        <f>IFERROR(__xludf.DUMMYFUNCTION("""COMPUTED_VALUE"""),"コミットOK")</f>
        <v>コミットOK</v>
      </c>
      <c r="S4788" s="22" t="str">
        <f>IFERROR(__xludf.DUMMYFUNCTION("""COMPUTED_VALUE"""),"20260203_小学館_白蛇の華燭～生贄の乙女は孤独な蛇神に嫁ぐ～【単話】")</f>
        <v>20260203_小学館_白蛇の華燭～生贄の乙女は孤独な蛇神に嫁ぐ～【単話】</v>
      </c>
      <c r="T4788" s="22" t="str">
        <f>IFERROR(__xludf.DUMMYFUNCTION("""COMPUTED_VALUE"""),"格納済み")</f>
        <v>格納済み</v>
      </c>
      <c r="U4788" s="9" t="str">
        <f>IFERROR(__xludf.DUMMYFUNCTION("""COMPUTED_VALUE"""),"(C)桜川ヒロ・かんち / 小学館")</f>
        <v>(C)桜川ヒロ・かんち / 小学館</v>
      </c>
      <c r="V4788" s="8"/>
      <c r="W4788" s="8"/>
      <c r="X4788" s="8" t="str">
        <f>IFERROR(__xludf.DUMMYFUNCTION("""COMPUTED_VALUE"""),"有")</f>
        <v>有</v>
      </c>
      <c r="Y4788" s="8" t="str">
        <f>IFERROR(__xludf.DUMMYFUNCTION("""COMPUTED_VALUE"""),"2026/4/25まで1巻無料")</f>
        <v>2026/4/25まで1巻無料</v>
      </c>
      <c r="Z4788" s="7"/>
      <c r="AA4788" s="7"/>
      <c r="AB4788" s="7"/>
    </row>
    <row r="4789" ht="15.75" customHeight="1">
      <c r="A4789" s="26">
        <f>IFERROR(__xludf.DUMMYFUNCTION("""COMPUTED_VALUE"""),7182.0)</f>
        <v>7182</v>
      </c>
      <c r="B4789" s="22" t="str">
        <f>IFERROR(__xludf.DUMMYFUNCTION("""COMPUTED_VALUE"""),"確定")</f>
        <v>確定</v>
      </c>
      <c r="C4789" s="28">
        <f>IFERROR(__xludf.DUMMYFUNCTION("""COMPUTED_VALUE"""),46031.0)</f>
        <v>46031</v>
      </c>
      <c r="D4789" s="28">
        <f>IFERROR(__xludf.DUMMYFUNCTION("""COMPUTED_VALUE"""),46083.0)</f>
        <v>46083</v>
      </c>
      <c r="E4789" s="26">
        <f>IFERROR(__xludf.DUMMYFUNCTION("""COMPUTED_VALUE"""),351748.0)</f>
        <v>351748</v>
      </c>
      <c r="F4789" s="22" t="str">
        <f>IFERROR(__xludf.DUMMYFUNCTION("""COMPUTED_VALUE"""),"妄想こじらせ令嬢と不機嫌な王子様【分冊版】")</f>
        <v>妄想こじらせ令嬢と不機嫌な王子様【分冊版】</v>
      </c>
      <c r="G4789" s="20" t="str">
        <f>IFERROR(__xludf.DUMMYFUNCTION("""COMPUTED_VALUE"""),"1～3")</f>
        <v>1～3</v>
      </c>
      <c r="H4789" s="22" t="str">
        <f>IFERROR(__xludf.DUMMYFUNCTION("""COMPUTED_VALUE"""),"柚稀ミツ⊥青井千寿⊥ache")</f>
        <v>柚稀ミツ⊥青井千寿⊥ache</v>
      </c>
      <c r="I4789" s="22" t="str">
        <f>IFERROR(__xludf.DUMMYFUNCTION("""COMPUTED_VALUE"""),"TL")</f>
        <v>TL</v>
      </c>
      <c r="J4789" s="22"/>
      <c r="K4789" s="22" t="str">
        <f>IFERROR(__xludf.DUMMYFUNCTION("""COMPUTED_VALUE"""),"ラブチュコラ")</f>
        <v>ラブチュコラ</v>
      </c>
      <c r="L4789" s="22" t="str">
        <f>IFERROR(__xludf.DUMMYFUNCTION("""COMPUTED_VALUE"""),"笠倉出版社")</f>
        <v>笠倉出版社</v>
      </c>
      <c r="M4789" s="33">
        <f>IFERROR(__xludf.DUMMYFUNCTION("""COMPUTED_VALUE"""),46100.0)</f>
        <v>46100</v>
      </c>
      <c r="N4789" s="33">
        <f>IFERROR(__xludf.DUMMYFUNCTION("""COMPUTED_VALUE"""),46190.0)</f>
        <v>46190</v>
      </c>
      <c r="O4789" s="20"/>
      <c r="P4789" s="32" t="str">
        <f>IFERROR(__xludf.DUMMYFUNCTION("""COMPUTED_VALUE"""),"可")</f>
        <v>可</v>
      </c>
      <c r="Q4789" s="30" t="str">
        <f>IFERROR(__xludf.DUMMYFUNCTION("""COMPUTED_VALUE"""),"12話完結予定")</f>
        <v>12話完結予定</v>
      </c>
      <c r="R4789" s="22" t="str">
        <f>IFERROR(__xludf.DUMMYFUNCTION("""COMPUTED_VALUE"""),"コミットOK")</f>
        <v>コミットOK</v>
      </c>
      <c r="S4789" s="22" t="str">
        <f>IFERROR(__xludf.DUMMYFUNCTION("""COMPUTED_VALUE"""),"20260226_笠倉出版社_妄想こじらせ令嬢と不機嫌な王子様【分冊版】")</f>
        <v>20260226_笠倉出版社_妄想こじらせ令嬢と不機嫌な王子様【分冊版】</v>
      </c>
      <c r="T4789" s="22" t="str">
        <f>IFERROR(__xludf.DUMMYFUNCTION("""COMPUTED_VALUE"""),"格納済み")</f>
        <v>格納済み</v>
      </c>
      <c r="U4789" s="9" t="str">
        <f>IFERROR(__xludf.DUMMYFUNCTION("""COMPUTED_VALUE"""),"Ⓒ柚稀ミツ/青井千寿/笠倉出版社")</f>
        <v>Ⓒ柚稀ミツ/青井千寿/笠倉出版社</v>
      </c>
      <c r="V4789" s="8"/>
      <c r="W4789" s="8"/>
      <c r="X4789" s="8" t="str">
        <f>IFERROR(__xludf.DUMMYFUNCTION("""COMPUTED_VALUE"""),"有")</f>
        <v>有</v>
      </c>
      <c r="Y4789" s="8" t="str">
        <f>IFERROR(__xludf.DUMMYFUNCTION("""COMPUTED_VALUE"""),"2026/4/1まで1巻無料")</f>
        <v>2026/4/1まで1巻無料</v>
      </c>
      <c r="Z4789" s="7"/>
      <c r="AA4789" s="7"/>
      <c r="AB4789" s="7"/>
    </row>
    <row r="4790" ht="15.75" customHeight="1">
      <c r="A4790" s="26">
        <f>IFERROR(__xludf.DUMMYFUNCTION("""COMPUTED_VALUE"""),7184.0)</f>
        <v>7184</v>
      </c>
      <c r="B4790" s="22" t="str">
        <f>IFERROR(__xludf.DUMMYFUNCTION("""COMPUTED_VALUE"""),"確定")</f>
        <v>確定</v>
      </c>
      <c r="C4790" s="28">
        <f>IFERROR(__xludf.DUMMYFUNCTION("""COMPUTED_VALUE"""),46031.0)</f>
        <v>46031</v>
      </c>
      <c r="D4790" s="28">
        <f>IFERROR(__xludf.DUMMYFUNCTION("""COMPUTED_VALUE"""),46085.0)</f>
        <v>46085</v>
      </c>
      <c r="E4790" s="26">
        <f>IFERROR(__xludf.DUMMYFUNCTION("""COMPUTED_VALUE"""),353617.0)</f>
        <v>353617</v>
      </c>
      <c r="F4790" s="22" t="str">
        <f>IFERROR(__xludf.DUMMYFUNCTION("""COMPUTED_VALUE"""),"女勇者と魔王軍幹部【R版】")</f>
        <v>女勇者と魔王軍幹部【R版】</v>
      </c>
      <c r="G4790" s="20" t="str">
        <f>IFERROR(__xludf.DUMMYFUNCTION("""COMPUTED_VALUE"""),"1～2")</f>
        <v>1～2</v>
      </c>
      <c r="H4790" s="22" t="str">
        <f>IFERROR(__xludf.DUMMYFUNCTION("""COMPUTED_VALUE"""),"スライムミルク")</f>
        <v>スライムミルク</v>
      </c>
      <c r="I4790" s="22" t="str">
        <f>IFERROR(__xludf.DUMMYFUNCTION("""COMPUTED_VALUE"""),"アダルトマンガ")</f>
        <v>アダルトマンガ</v>
      </c>
      <c r="J4790" s="22"/>
      <c r="K4790" s="22" t="str">
        <f>IFERROR(__xludf.DUMMYFUNCTION("""COMPUTED_VALUE"""),"＠夜噺+")</f>
        <v>＠夜噺+</v>
      </c>
      <c r="L4790" s="22" t="str">
        <f>IFERROR(__xludf.DUMMYFUNCTION("""COMPUTED_VALUE"""),"DEEPER-ZERO")</f>
        <v>DEEPER-ZERO</v>
      </c>
      <c r="M4790" s="33">
        <f>IFERROR(__xludf.DUMMYFUNCTION("""COMPUTED_VALUE"""),46103.0)</f>
        <v>46103</v>
      </c>
      <c r="N4790" s="33">
        <f>IFERROR(__xludf.DUMMYFUNCTION("""COMPUTED_VALUE"""),46162.0)</f>
        <v>46162</v>
      </c>
      <c r="O4790" s="20"/>
      <c r="P4790" s="32" t="str">
        <f>IFERROR(__xludf.DUMMYFUNCTION("""COMPUTED_VALUE"""),"可")</f>
        <v>可</v>
      </c>
      <c r="Q4790" s="30"/>
      <c r="R4790" s="22" t="str">
        <f>IFERROR(__xludf.DUMMYFUNCTION("""COMPUTED_VALUE"""),"コミットOK")</f>
        <v>コミットOK</v>
      </c>
      <c r="S4790" s="22" t="str">
        <f>IFERROR(__xludf.DUMMYFUNCTION("""COMPUTED_VALUE"""),"20260226_CLLENN_女勇者と魔王軍幹部R版")</f>
        <v>20260226_CLLENN_女勇者と魔王軍幹部R版</v>
      </c>
      <c r="T4790" s="22" t="str">
        <f>IFERROR(__xludf.DUMMYFUNCTION("""COMPUTED_VALUE"""),"格納済み")</f>
        <v>格納済み</v>
      </c>
      <c r="U4790" s="9" t="str">
        <f>IFERROR(__xludf.DUMMYFUNCTION("""COMPUTED_VALUE"""),"Ⓒスライムミルク/DEEPER-ZERO")</f>
        <v>Ⓒスライムミルク/DEEPER-ZERO</v>
      </c>
      <c r="V4790" s="8"/>
      <c r="W4790" s="8"/>
      <c r="X4790" s="8" t="str">
        <f>IFERROR(__xludf.DUMMYFUNCTION("""COMPUTED_VALUE"""),"有")</f>
        <v>有</v>
      </c>
      <c r="Y4790" s="8" t="str">
        <f>IFERROR(__xludf.DUMMYFUNCTION("""COMPUTED_VALUE"""),"1巻無料")</f>
        <v>1巻無料</v>
      </c>
      <c r="Z4790" s="7"/>
      <c r="AA4790" s="7"/>
      <c r="AB4790" s="7"/>
    </row>
    <row r="4791" ht="15.75" customHeight="1">
      <c r="A4791" s="26">
        <f>IFERROR(__xludf.DUMMYFUNCTION("""COMPUTED_VALUE"""),7185.0)</f>
        <v>7185</v>
      </c>
      <c r="B4791" s="22" t="str">
        <f>IFERROR(__xludf.DUMMYFUNCTION("""COMPUTED_VALUE"""),"確定")</f>
        <v>確定</v>
      </c>
      <c r="C4791" s="28">
        <f>IFERROR(__xludf.DUMMYFUNCTION("""COMPUTED_VALUE"""),46031.0)</f>
        <v>46031</v>
      </c>
      <c r="D4791" s="28">
        <f>IFERROR(__xludf.DUMMYFUNCTION("""COMPUTED_VALUE"""),46079.0)</f>
        <v>46079</v>
      </c>
      <c r="E4791" s="26">
        <f>IFERROR(__xludf.DUMMYFUNCTION("""COMPUTED_VALUE"""),353616.0)</f>
        <v>353616</v>
      </c>
      <c r="F4791" s="22" t="str">
        <f>IFERROR(__xludf.DUMMYFUNCTION("""COMPUTED_VALUE"""),"女勇者と魔王軍幹部【TL版】")</f>
        <v>女勇者と魔王軍幹部【TL版】</v>
      </c>
      <c r="G4791" s="20" t="str">
        <f>IFERROR(__xludf.DUMMYFUNCTION("""COMPUTED_VALUE"""),"1～2")</f>
        <v>1～2</v>
      </c>
      <c r="H4791" s="22" t="str">
        <f>IFERROR(__xludf.DUMMYFUNCTION("""COMPUTED_VALUE"""),"スライムミルク")</f>
        <v>スライムミルク</v>
      </c>
      <c r="I4791" s="22" t="str">
        <f>IFERROR(__xludf.DUMMYFUNCTION("""COMPUTED_VALUE"""),"TL")</f>
        <v>TL</v>
      </c>
      <c r="J4791" s="22"/>
      <c r="K4791" s="22" t="str">
        <f>IFERROR(__xludf.DUMMYFUNCTION("""COMPUTED_VALUE"""),"＠夜噺")</f>
        <v>＠夜噺</v>
      </c>
      <c r="L4791" s="22" t="str">
        <f>IFERROR(__xludf.DUMMYFUNCTION("""COMPUTED_VALUE"""),"DEEPER-ZERO")</f>
        <v>DEEPER-ZERO</v>
      </c>
      <c r="M4791" s="33">
        <f>IFERROR(__xludf.DUMMYFUNCTION("""COMPUTED_VALUE"""),46103.0)</f>
        <v>46103</v>
      </c>
      <c r="N4791" s="33">
        <f>IFERROR(__xludf.DUMMYFUNCTION("""COMPUTED_VALUE"""),46162.0)</f>
        <v>46162</v>
      </c>
      <c r="O4791" s="20"/>
      <c r="P4791" s="32" t="str">
        <f>IFERROR(__xludf.DUMMYFUNCTION("""COMPUTED_VALUE"""),"可")</f>
        <v>可</v>
      </c>
      <c r="Q4791" s="30" t="str">
        <f>IFERROR(__xludf.DUMMYFUNCTION("""COMPUTED_VALUE"""),"【アダルト作品扱い】")</f>
        <v>【アダルト作品扱い】</v>
      </c>
      <c r="R4791" s="22" t="str">
        <f>IFERROR(__xludf.DUMMYFUNCTION("""COMPUTED_VALUE"""),"コミットNG")</f>
        <v>コミットNG</v>
      </c>
      <c r="S4791" s="22" t="str">
        <f>IFERROR(__xludf.DUMMYFUNCTION("""COMPUTED_VALUE"""),"20260226_CLLENN_女勇者と魔王軍幹部TL版")</f>
        <v>20260226_CLLENN_女勇者と魔王軍幹部TL版</v>
      </c>
      <c r="T4791" s="22" t="str">
        <f>IFERROR(__xludf.DUMMYFUNCTION("""COMPUTED_VALUE"""),"格納済み")</f>
        <v>格納済み</v>
      </c>
      <c r="U4791" s="9" t="str">
        <f>IFERROR(__xludf.DUMMYFUNCTION("""COMPUTED_VALUE"""),"Ⓒスライムミルク/DEEPER-ZERO")</f>
        <v>Ⓒスライムミルク/DEEPER-ZERO</v>
      </c>
      <c r="V4791" s="8"/>
      <c r="W4791" s="8"/>
      <c r="X4791" s="8" t="str">
        <f>IFERROR(__xludf.DUMMYFUNCTION("""COMPUTED_VALUE"""),"有")</f>
        <v>有</v>
      </c>
      <c r="Y4791" s="8" t="str">
        <f>IFERROR(__xludf.DUMMYFUNCTION("""COMPUTED_VALUE"""),"1巻無料")</f>
        <v>1巻無料</v>
      </c>
      <c r="Z4791" s="7"/>
      <c r="AA4791" s="7"/>
      <c r="AB4791" s="7"/>
    </row>
    <row r="4792" ht="15.75" customHeight="1">
      <c r="A4792" s="26">
        <f>IFERROR(__xludf.DUMMYFUNCTION("""COMPUTED_VALUE"""),7187.0)</f>
        <v>7187</v>
      </c>
      <c r="B4792" s="22" t="str">
        <f>IFERROR(__xludf.DUMMYFUNCTION("""COMPUTED_VALUE"""),"確定")</f>
        <v>確定</v>
      </c>
      <c r="C4792" s="28">
        <f>IFERROR(__xludf.DUMMYFUNCTION("""COMPUTED_VALUE"""),46031.0)</f>
        <v>46031</v>
      </c>
      <c r="D4792" s="28">
        <f>IFERROR(__xludf.DUMMYFUNCTION("""COMPUTED_VALUE"""),46084.0)</f>
        <v>46084</v>
      </c>
      <c r="E4792" s="26">
        <f>IFERROR(__xludf.DUMMYFUNCTION("""COMPUTED_VALUE"""),355508.0)</f>
        <v>355508</v>
      </c>
      <c r="F4792" s="22" t="str">
        <f>IFERROR(__xludf.DUMMYFUNCTION("""COMPUTED_VALUE"""),"強面な先輩を可愛がりたい～午後10時の女攻めセックス～【R版】")</f>
        <v>強面な先輩を可愛がりたい～午後10時の女攻めセックス～【R版】</v>
      </c>
      <c r="G4792" s="20" t="str">
        <f>IFERROR(__xludf.DUMMYFUNCTION("""COMPUTED_VALUE"""),"1～3")</f>
        <v>1～3</v>
      </c>
      <c r="H4792" s="22" t="str">
        <f>IFERROR(__xludf.DUMMYFUNCTION("""COMPUTED_VALUE"""),"しばやましば")</f>
        <v>しばやましば</v>
      </c>
      <c r="I4792" s="22" t="str">
        <f>IFERROR(__xludf.DUMMYFUNCTION("""COMPUTED_VALUE"""),"アダルト")</f>
        <v>アダルト</v>
      </c>
      <c r="J4792" s="22"/>
      <c r="K4792" s="22" t="str">
        <f>IFERROR(__xludf.DUMMYFUNCTION("""COMPUTED_VALUE"""),"＠夜噺+")</f>
        <v>＠夜噺+</v>
      </c>
      <c r="L4792" s="22" t="str">
        <f>IFERROR(__xludf.DUMMYFUNCTION("""COMPUTED_VALUE"""),"DEEPER-ZERO")</f>
        <v>DEEPER-ZERO</v>
      </c>
      <c r="M4792" s="33">
        <f>IFERROR(__xludf.DUMMYFUNCTION("""COMPUTED_VALUE"""),46114.0)</f>
        <v>46114</v>
      </c>
      <c r="N4792" s="33">
        <f>IFERROR(__xludf.DUMMYFUNCTION("""COMPUTED_VALUE"""),46190.0)</f>
        <v>46190</v>
      </c>
      <c r="O4792" s="20"/>
      <c r="P4792" s="32" t="str">
        <f>IFERROR(__xludf.DUMMYFUNCTION("""COMPUTED_VALUE"""),"可")</f>
        <v>可</v>
      </c>
      <c r="Q4792" s="30"/>
      <c r="R4792" s="22" t="str">
        <f>IFERROR(__xludf.DUMMYFUNCTION("""COMPUTED_VALUE"""),"コミットOK")</f>
        <v>コミットOK</v>
      </c>
      <c r="S4792" s="22" t="str">
        <f>IFERROR(__xludf.DUMMYFUNCTION("""COMPUTED_VALUE"""),"20260302_DEEPER-ZERO_強面な先輩を可愛がりたい～午後10時の女攻めセックス～【R版】")</f>
        <v>20260302_DEEPER-ZERO_強面な先輩を可愛がりたい～午後10時の女攻めセックス～【R版】</v>
      </c>
      <c r="T4792" s="22" t="str">
        <f>IFERROR(__xludf.DUMMYFUNCTION("""COMPUTED_VALUE"""),"格納済み")</f>
        <v>格納済み</v>
      </c>
      <c r="U4792" s="9" t="str">
        <f>IFERROR(__xludf.DUMMYFUNCTION("""COMPUTED_VALUE"""),"Ⓒしばやましば/DEEPER-ZERO")</f>
        <v>Ⓒしばやましば/DEEPER-ZERO</v>
      </c>
      <c r="V4792" s="8"/>
      <c r="W4792" s="8"/>
      <c r="X4792" s="8" t="str">
        <f>IFERROR(__xludf.DUMMYFUNCTION("""COMPUTED_VALUE"""),"有")</f>
        <v>有</v>
      </c>
      <c r="Y4792" s="8" t="str">
        <f>IFERROR(__xludf.DUMMYFUNCTION("""COMPUTED_VALUE"""),"P12まで")</f>
        <v>P12まで</v>
      </c>
      <c r="Z4792" s="7"/>
      <c r="AA4792" s="7"/>
      <c r="AB4792" s="7"/>
    </row>
    <row r="4793" ht="15.75" customHeight="1">
      <c r="A4793" s="26">
        <f>IFERROR(__xludf.DUMMYFUNCTION("""COMPUTED_VALUE"""),7188.0)</f>
        <v>7188</v>
      </c>
      <c r="B4793" s="22" t="str">
        <f>IFERROR(__xludf.DUMMYFUNCTION("""COMPUTED_VALUE"""),"確定")</f>
        <v>確定</v>
      </c>
      <c r="C4793" s="28">
        <f>IFERROR(__xludf.DUMMYFUNCTION("""COMPUTED_VALUE"""),46031.0)</f>
        <v>46031</v>
      </c>
      <c r="D4793" s="28">
        <f>IFERROR(__xludf.DUMMYFUNCTION("""COMPUTED_VALUE"""),46084.0)</f>
        <v>46084</v>
      </c>
      <c r="E4793" s="26">
        <f>IFERROR(__xludf.DUMMYFUNCTION("""COMPUTED_VALUE"""),355507.0)</f>
        <v>355507</v>
      </c>
      <c r="F4793" s="22" t="str">
        <f>IFERROR(__xludf.DUMMYFUNCTION("""COMPUTED_VALUE"""),"強面な先輩を可愛がりたい～午後10時の女攻めセックス～【TL版】")</f>
        <v>強面な先輩を可愛がりたい～午後10時の女攻めセックス～【TL版】</v>
      </c>
      <c r="G4793" s="20" t="str">
        <f>IFERROR(__xludf.DUMMYFUNCTION("""COMPUTED_VALUE"""),"1～3")</f>
        <v>1～3</v>
      </c>
      <c r="H4793" s="22" t="str">
        <f>IFERROR(__xludf.DUMMYFUNCTION("""COMPUTED_VALUE"""),"しばやましば")</f>
        <v>しばやましば</v>
      </c>
      <c r="I4793" s="22" t="str">
        <f>IFERROR(__xludf.DUMMYFUNCTION("""COMPUTED_VALUE"""),"TL")</f>
        <v>TL</v>
      </c>
      <c r="J4793" s="22"/>
      <c r="K4793" s="22" t="str">
        <f>IFERROR(__xludf.DUMMYFUNCTION("""COMPUTED_VALUE"""),"＠夜噺")</f>
        <v>＠夜噺</v>
      </c>
      <c r="L4793" s="22" t="str">
        <f>IFERROR(__xludf.DUMMYFUNCTION("""COMPUTED_VALUE"""),"DEEPER-ZERO")</f>
        <v>DEEPER-ZERO</v>
      </c>
      <c r="M4793" s="33">
        <f>IFERROR(__xludf.DUMMYFUNCTION("""COMPUTED_VALUE"""),46114.0)</f>
        <v>46114</v>
      </c>
      <c r="N4793" s="33">
        <f>IFERROR(__xludf.DUMMYFUNCTION("""COMPUTED_VALUE"""),46190.0)</f>
        <v>46190</v>
      </c>
      <c r="O4793" s="20"/>
      <c r="P4793" s="32" t="str">
        <f>IFERROR(__xludf.DUMMYFUNCTION("""COMPUTED_VALUE"""),"可")</f>
        <v>可</v>
      </c>
      <c r="Q4793" s="30" t="str">
        <f>IFERROR(__xludf.DUMMYFUNCTION("""COMPUTED_VALUE"""),"【アダルト作品扱い】")</f>
        <v>【アダルト作品扱い】</v>
      </c>
      <c r="R4793" s="22" t="str">
        <f>IFERROR(__xludf.DUMMYFUNCTION("""COMPUTED_VALUE"""),"コミットNG")</f>
        <v>コミットNG</v>
      </c>
      <c r="S4793" s="22" t="str">
        <f>IFERROR(__xludf.DUMMYFUNCTION("""COMPUTED_VALUE"""),"20260302_DEEPER-ZERO_強面な先輩を可愛がりたい～午後10時の女攻めセックス～【TL版】")</f>
        <v>20260302_DEEPER-ZERO_強面な先輩を可愛がりたい～午後10時の女攻めセックス～【TL版】</v>
      </c>
      <c r="T4793" s="22" t="str">
        <f>IFERROR(__xludf.DUMMYFUNCTION("""COMPUTED_VALUE"""),"格納済み")</f>
        <v>格納済み</v>
      </c>
      <c r="U4793" s="9" t="str">
        <f>IFERROR(__xludf.DUMMYFUNCTION("""COMPUTED_VALUE"""),"Ⓒしばやましば/DEEPER-ZERO")</f>
        <v>Ⓒしばやましば/DEEPER-ZERO</v>
      </c>
      <c r="V4793" s="8"/>
      <c r="W4793" s="8"/>
      <c r="X4793" s="8" t="str">
        <f>IFERROR(__xludf.DUMMYFUNCTION("""COMPUTED_VALUE"""),"有")</f>
        <v>有</v>
      </c>
      <c r="Y4793" s="8" t="str">
        <f>IFERROR(__xludf.DUMMYFUNCTION("""COMPUTED_VALUE"""),"P12まで")</f>
        <v>P12まで</v>
      </c>
      <c r="Z4793" s="7"/>
      <c r="AA4793" s="7"/>
      <c r="AB4793" s="7"/>
    </row>
    <row r="4794" ht="15.75" customHeight="1">
      <c r="A4794" s="26">
        <f>IFERROR(__xludf.DUMMYFUNCTION("""COMPUTED_VALUE"""),7199.0)</f>
        <v>7199</v>
      </c>
      <c r="B4794" s="22" t="str">
        <f>IFERROR(__xludf.DUMMYFUNCTION("""COMPUTED_VALUE"""),"確定")</f>
        <v>確定</v>
      </c>
      <c r="C4794" s="28">
        <f>IFERROR(__xludf.DUMMYFUNCTION("""COMPUTED_VALUE"""),46036.0)</f>
        <v>46036</v>
      </c>
      <c r="D4794" s="28">
        <f>IFERROR(__xludf.DUMMYFUNCTION("""COMPUTED_VALUE"""),46080.0)</f>
        <v>46080</v>
      </c>
      <c r="E4794" s="26">
        <f>IFERROR(__xludf.DUMMYFUNCTION("""COMPUTED_VALUE"""),351982.0)</f>
        <v>351982</v>
      </c>
      <c r="F4794" s="22" t="str">
        <f>IFERROR(__xludf.DUMMYFUNCTION("""COMPUTED_VALUE"""),"継母レレーナは噂の悪女")</f>
        <v>継母レレーナは噂の悪女</v>
      </c>
      <c r="G4794" s="20" t="str">
        <f>IFERROR(__xludf.DUMMYFUNCTION("""COMPUTED_VALUE"""),"1～7")</f>
        <v>1～7</v>
      </c>
      <c r="H4794" s="22" t="str">
        <f>IFERROR(__xludf.DUMMYFUNCTION("""COMPUTED_VALUE"""),"花菱ういろ┴ふじた里奈┴Midori┴グルナ編集部")</f>
        <v>花菱ういろ┴ふじた里奈┴Midori┴グルナ編集部</v>
      </c>
      <c r="I4794" s="22" t="str">
        <f>IFERROR(__xludf.DUMMYFUNCTION("""COMPUTED_VALUE"""),"女性")</f>
        <v>女性</v>
      </c>
      <c r="J4794" s="22"/>
      <c r="K4794" s="22" t="str">
        <f>IFERROR(__xludf.DUMMYFUNCTION("""COMPUTED_VALUE"""),"COMICエトワール")</f>
        <v>COMICエトワール</v>
      </c>
      <c r="L4794" s="22" t="str">
        <f>IFERROR(__xludf.DUMMYFUNCTION("""COMPUTED_VALUE"""),"ライブコミックス")</f>
        <v>ライブコミックス</v>
      </c>
      <c r="M4794" s="33">
        <f>IFERROR(__xludf.DUMMYFUNCTION("""COMPUTED_VALUE"""),46108.0)</f>
        <v>46108</v>
      </c>
      <c r="N4794" s="33">
        <f>IFERROR(__xludf.DUMMYFUNCTION("""COMPUTED_VALUE"""),46163.0)</f>
        <v>46163</v>
      </c>
      <c r="O4794" s="20"/>
      <c r="P4794" s="32" t="str">
        <f>IFERROR(__xludf.DUMMYFUNCTION("""COMPUTED_VALUE"""),"可")</f>
        <v>可</v>
      </c>
      <c r="Q4794" s="30"/>
      <c r="R4794" s="22" t="str">
        <f>IFERROR(__xludf.DUMMYFUNCTION("""COMPUTED_VALUE"""),"コミットOK")</f>
        <v>コミットOK</v>
      </c>
      <c r="S4794" s="22" t="str">
        <f>IFERROR(__xludf.DUMMYFUNCTION("""COMPUTED_VALUE"""),"20260226_BookLive_継母レレーナは噂の悪女")</f>
        <v>20260226_BookLive_継母レレーナは噂の悪女</v>
      </c>
      <c r="T4794" s="22" t="str">
        <f>IFERROR(__xludf.DUMMYFUNCTION("""COMPUTED_VALUE"""),"格納済み")</f>
        <v>格納済み</v>
      </c>
      <c r="U4794" s="9" t="str">
        <f>IFERROR(__xludf.DUMMYFUNCTION("""COMPUTED_VALUE"""),"(C)ライブコミックス")</f>
        <v>(C)ライブコミックス</v>
      </c>
      <c r="V4794" s="8"/>
      <c r="W4794" s="8"/>
      <c r="X4794" s="8" t="str">
        <f>IFERROR(__xludf.DUMMYFUNCTION("""COMPUTED_VALUE"""),"有")</f>
        <v>有</v>
      </c>
      <c r="Y4794" s="8" t="str">
        <f>IFERROR(__xludf.DUMMYFUNCTION("""COMPUTED_VALUE"""),"2026/5/21まで1～2巻無料")</f>
        <v>2026/5/21まで1～2巻無料</v>
      </c>
      <c r="Z4794" s="7"/>
      <c r="AA4794" s="7"/>
      <c r="AB4794" s="7"/>
    </row>
    <row r="4795" ht="15.75" customHeight="1">
      <c r="A4795" s="26">
        <f>IFERROR(__xludf.DUMMYFUNCTION("""COMPUTED_VALUE"""),7212.0)</f>
        <v>7212</v>
      </c>
      <c r="B4795" s="22" t="str">
        <f>IFERROR(__xludf.DUMMYFUNCTION("""COMPUTED_VALUE"""),"確定")</f>
        <v>確定</v>
      </c>
      <c r="C4795" s="28">
        <f>IFERROR(__xludf.DUMMYFUNCTION("""COMPUTED_VALUE"""),46037.0)</f>
        <v>46037</v>
      </c>
      <c r="D4795" s="28">
        <f>IFERROR(__xludf.DUMMYFUNCTION("""COMPUTED_VALUE"""),46083.0)</f>
        <v>46083</v>
      </c>
      <c r="E4795" s="26">
        <f>IFERROR(__xludf.DUMMYFUNCTION("""COMPUTED_VALUE"""),354777.0)</f>
        <v>354777</v>
      </c>
      <c r="F4795" s="22" t="str">
        <f>IFERROR(__xludf.DUMMYFUNCTION("""COMPUTED_VALUE"""),"白豚王子をプロデュース！～もしかして私、チョロインですか？～　【連載版】")</f>
        <v>白豚王子をプロデュース！～もしかして私、チョロインですか？～　【連載版】</v>
      </c>
      <c r="G4795" s="20" t="str">
        <f>IFERROR(__xludf.DUMMYFUNCTION("""COMPUTED_VALUE"""),"1～3")</f>
        <v>1～3</v>
      </c>
      <c r="H4795" s="22" t="str">
        <f>IFERROR(__xludf.DUMMYFUNCTION("""COMPUTED_VALUE"""),"漫画：盧む、原作：ゆいレギナ")</f>
        <v>漫画：盧む、原作：ゆいレギナ</v>
      </c>
      <c r="I4795" s="22" t="str">
        <f>IFERROR(__xludf.DUMMYFUNCTION("""COMPUTED_VALUE"""),"女性")</f>
        <v>女性</v>
      </c>
      <c r="J4795" s="22"/>
      <c r="K4795" s="22" t="str">
        <f>IFERROR(__xludf.DUMMYFUNCTION("""COMPUTED_VALUE"""),"comic LAKE")</f>
        <v>comic LAKE</v>
      </c>
      <c r="L4795" s="22" t="str">
        <f>IFERROR(__xludf.DUMMYFUNCTION("""COMPUTED_VALUE"""),"一迅社")</f>
        <v>一迅社</v>
      </c>
      <c r="M4795" s="33">
        <f>IFERROR(__xludf.DUMMYFUNCTION("""COMPUTED_VALUE"""),46129.0)</f>
        <v>46129</v>
      </c>
      <c r="N4795" s="33">
        <f>IFERROR(__xludf.DUMMYFUNCTION("""COMPUTED_VALUE"""),46191.0)</f>
        <v>46191</v>
      </c>
      <c r="O4795" s="20"/>
      <c r="P4795" s="32" t="str">
        <f>IFERROR(__xludf.DUMMYFUNCTION("""COMPUTED_VALUE"""),"否")</f>
        <v>否</v>
      </c>
      <c r="Q4795" s="30"/>
      <c r="R4795" s="22" t="str">
        <f>IFERROR(__xludf.DUMMYFUNCTION("""COMPUTED_VALUE"""),"コミットOK")</f>
        <v>コミットOK</v>
      </c>
      <c r="S4795" s="22" t="str">
        <f>IFERROR(__xludf.DUMMYFUNCTION("""COMPUTED_VALUE"""),"20260302_一迅社‗白豚王子をプロデュース！～もしかして私、チョロインですか？～")</f>
        <v>20260302_一迅社‗白豚王子をプロデュース！～もしかして私、チョロインですか？～</v>
      </c>
      <c r="T4795" s="22" t="str">
        <f>IFERROR(__xludf.DUMMYFUNCTION("""COMPUTED_VALUE"""),"格納済み")</f>
        <v>格納済み</v>
      </c>
      <c r="U4795" s="9" t="str">
        <f>IFERROR(__xludf.DUMMYFUNCTION("""COMPUTED_VALUE"""),"(C)盧む・ゆいレギナ／一迅社")</f>
        <v>(C)盧む・ゆいレギナ／一迅社</v>
      </c>
      <c r="V4795" s="8"/>
      <c r="W4795" s="8"/>
      <c r="X4795" s="8" t="str">
        <f>IFERROR(__xludf.DUMMYFUNCTION("""COMPUTED_VALUE"""),"有")</f>
        <v>有</v>
      </c>
      <c r="Y4795" s="8" t="str">
        <f>IFERROR(__xludf.DUMMYFUNCTION("""COMPUTED_VALUE"""),"P7まで")</f>
        <v>P7まで</v>
      </c>
      <c r="Z4795" s="7"/>
      <c r="AA4795" s="7"/>
      <c r="AB4795" s="7"/>
    </row>
    <row r="4796" ht="15.75" customHeight="1">
      <c r="A4796" s="26">
        <f>IFERROR(__xludf.DUMMYFUNCTION("""COMPUTED_VALUE"""),7257.0)</f>
        <v>7257</v>
      </c>
      <c r="B4796" s="22" t="str">
        <f>IFERROR(__xludf.DUMMYFUNCTION("""COMPUTED_VALUE"""),"確定")</f>
        <v>確定</v>
      </c>
      <c r="C4796" s="28">
        <f>IFERROR(__xludf.DUMMYFUNCTION("""COMPUTED_VALUE"""),46042.0)</f>
        <v>46042</v>
      </c>
      <c r="D4796" s="28">
        <f>IFERROR(__xludf.DUMMYFUNCTION("""COMPUTED_VALUE"""),46084.0)</f>
        <v>46084</v>
      </c>
      <c r="E4796" s="26">
        <f>IFERROR(__xludf.DUMMYFUNCTION("""COMPUTED_VALUE"""),353805.0)</f>
        <v>353805</v>
      </c>
      <c r="F4796" s="22" t="str">
        <f>IFERROR(__xludf.DUMMYFUNCTION("""COMPUTED_VALUE"""),"僕の化け妻【マイクロ】")</f>
        <v>僕の化け妻【マイクロ】</v>
      </c>
      <c r="G4796" s="20" t="str">
        <f>IFERROR(__xludf.DUMMYFUNCTION("""COMPUTED_VALUE"""),"1～3")</f>
        <v>1～3</v>
      </c>
      <c r="H4796" s="22" t="str">
        <f>IFERROR(__xludf.DUMMYFUNCTION("""COMPUTED_VALUE"""),"藤生ナミ")</f>
        <v>藤生ナミ</v>
      </c>
      <c r="I4796" s="22" t="str">
        <f>IFERROR(__xludf.DUMMYFUNCTION("""COMPUTED_VALUE"""),"少女")</f>
        <v>少女</v>
      </c>
      <c r="J4796" s="22"/>
      <c r="K4796" s="22"/>
      <c r="L4796" s="22" t="str">
        <f>IFERROR(__xludf.DUMMYFUNCTION("""COMPUTED_VALUE"""),"小学館")</f>
        <v>小学館</v>
      </c>
      <c r="M4796" s="33">
        <f>IFERROR(__xludf.DUMMYFUNCTION("""COMPUTED_VALUE"""),46106.0)</f>
        <v>46106</v>
      </c>
      <c r="N4796" s="33">
        <f>IFERROR(__xludf.DUMMYFUNCTION("""COMPUTED_VALUE"""),46166.0)</f>
        <v>46166</v>
      </c>
      <c r="O4796" s="20"/>
      <c r="P4796" s="32" t="str">
        <f>IFERROR(__xludf.DUMMYFUNCTION("""COMPUTED_VALUE"""),"否")</f>
        <v>否</v>
      </c>
      <c r="Q4796" s="30" t="str">
        <f>IFERROR(__xludf.DUMMYFUNCTION("""COMPUTED_VALUE"""),"【夫＝人間】×【妻＝妖怪（化け猫）】の政略結婚の夫婦。・ふたりとも惹かれ合っているが義務で結婚したので向こうは自分に恋愛感情はないと思い込んでいる。・夫は妻をかわいいと思いながらも手を出してはいけないとひたすら耐える日々…自制する姿がほほえましい！・妻はびっくりすると大きな化け猫に変身する、嬉しいと半化けで、人間の姿に猫の耳としっぽが生える…もふもふが可愛い！（化けてしまったときに人間に戻す方法は夫からのキス）")</f>
        <v>【夫＝人間】×【妻＝妖怪（化け猫）】の政略結婚の夫婦。・ふたりとも惹かれ合っているが義務で結婚したので向こうは自分に恋愛感情はないと思い込んでいる。・夫は妻をかわいいと思いながらも手を出してはいけないとひたすら耐える日々…自制する姿がほほえましい！・妻はびっくりすると大きな化け猫に変身する、嬉しいと半化けで、人間の姿に猫の耳としっぽが生える…もふもふが可愛い！（化けてしまったときに人間に戻す方法は夫からのキス）</v>
      </c>
      <c r="R4796" s="22" t="str">
        <f>IFERROR(__xludf.DUMMYFUNCTION("""COMPUTED_VALUE"""),"コミットOK")</f>
        <v>コミットOK</v>
      </c>
      <c r="S4796" s="22" t="str">
        <f>IFERROR(__xludf.DUMMYFUNCTION("""COMPUTED_VALUE"""),"20260303_小学館_僕の化け妻【マイクロ】")</f>
        <v>20260303_小学館_僕の化け妻【マイクロ】</v>
      </c>
      <c r="T4796" s="22" t="str">
        <f>IFERROR(__xludf.DUMMYFUNCTION("""COMPUTED_VALUE"""),"格納済み")</f>
        <v>格納済み</v>
      </c>
      <c r="U4796" s="9" t="str">
        <f>IFERROR(__xludf.DUMMYFUNCTION("""COMPUTED_VALUE"""),"(C)藤生ナミ / 小学館")</f>
        <v>(C)藤生ナミ / 小学館</v>
      </c>
      <c r="V4796" s="8"/>
      <c r="W4796" s="8"/>
      <c r="X4796" s="8" t="str">
        <f>IFERROR(__xludf.DUMMYFUNCTION("""COMPUTED_VALUE"""),"有")</f>
        <v>有</v>
      </c>
      <c r="Y4796" s="8" t="str">
        <f>IFERROR(__xludf.DUMMYFUNCTION("""COMPUTED_VALUE"""),"2026/5/24まで1巻無料")</f>
        <v>2026/5/24まで1巻無料</v>
      </c>
      <c r="Z4796" s="7"/>
      <c r="AA4796" s="7"/>
      <c r="AB4796" s="7"/>
    </row>
    <row r="4797" ht="15.75" customHeight="1">
      <c r="A4797" s="26">
        <f>IFERROR(__xludf.DUMMYFUNCTION("""COMPUTED_VALUE"""),7258.0)</f>
        <v>7258</v>
      </c>
      <c r="B4797" s="22" t="str">
        <f>IFERROR(__xludf.DUMMYFUNCTION("""COMPUTED_VALUE"""),"確定")</f>
        <v>確定</v>
      </c>
      <c r="C4797" s="28">
        <f>IFERROR(__xludf.DUMMYFUNCTION("""COMPUTED_VALUE"""),46042.0)</f>
        <v>46042</v>
      </c>
      <c r="D4797" s="28">
        <f>IFERROR(__xludf.DUMMYFUNCTION("""COMPUTED_VALUE"""),46080.0)</f>
        <v>46080</v>
      </c>
      <c r="E4797" s="26">
        <f>IFERROR(__xludf.DUMMYFUNCTION("""COMPUTED_VALUE"""),353766.0)</f>
        <v>353766</v>
      </c>
      <c r="F4797" s="22" t="str">
        <f>IFERROR(__xludf.DUMMYFUNCTION("""COMPUTED_VALUE"""),"カワイイの呪い【マイクロ】")</f>
        <v>カワイイの呪い【マイクロ】</v>
      </c>
      <c r="G4797" s="20" t="str">
        <f>IFERROR(__xludf.DUMMYFUNCTION("""COMPUTED_VALUE"""),"1～3")</f>
        <v>1～3</v>
      </c>
      <c r="H4797" s="22" t="str">
        <f>IFERROR(__xludf.DUMMYFUNCTION("""COMPUTED_VALUE"""),"宮瀬まり")</f>
        <v>宮瀬まり</v>
      </c>
      <c r="I4797" s="22" t="str">
        <f>IFERROR(__xludf.DUMMYFUNCTION("""COMPUTED_VALUE"""),"少女")</f>
        <v>少女</v>
      </c>
      <c r="J4797" s="22"/>
      <c r="K4797" s="22"/>
      <c r="L4797" s="22" t="str">
        <f>IFERROR(__xludf.DUMMYFUNCTION("""COMPUTED_VALUE"""),"小学館")</f>
        <v>小学館</v>
      </c>
      <c r="M4797" s="33">
        <f>IFERROR(__xludf.DUMMYFUNCTION("""COMPUTED_VALUE"""),46101.0)</f>
        <v>46101</v>
      </c>
      <c r="N4797" s="33">
        <f>IFERROR(__xludf.DUMMYFUNCTION("""COMPUTED_VALUE"""),46161.0)</f>
        <v>46161</v>
      </c>
      <c r="O4797" s="20"/>
      <c r="P4797" s="32" t="str">
        <f>IFERROR(__xludf.DUMMYFUNCTION("""COMPUTED_VALUE"""),"否")</f>
        <v>否</v>
      </c>
      <c r="Q4797" s="30"/>
      <c r="R4797" s="22" t="str">
        <f>IFERROR(__xludf.DUMMYFUNCTION("""COMPUTED_VALUE"""),"コミットOK")</f>
        <v>コミットOK</v>
      </c>
      <c r="S4797" s="22" t="str">
        <f>IFERROR(__xludf.DUMMYFUNCTION("""COMPUTED_VALUE"""),"20260226_小学館_カワイイの呪い【マイクロ】")</f>
        <v>20260226_小学館_カワイイの呪い【マイクロ】</v>
      </c>
      <c r="T4797" s="22" t="str">
        <f>IFERROR(__xludf.DUMMYFUNCTION("""COMPUTED_VALUE"""),"格納済み")</f>
        <v>格納済み</v>
      </c>
      <c r="U4797" s="9" t="str">
        <f>IFERROR(__xludf.DUMMYFUNCTION("""COMPUTED_VALUE"""),"(C)宮瀬まり / 小学館")</f>
        <v>(C)宮瀬まり / 小学館</v>
      </c>
      <c r="V4797" s="8"/>
      <c r="W4797" s="8"/>
      <c r="X4797" s="8" t="str">
        <f>IFERROR(__xludf.DUMMYFUNCTION("""COMPUTED_VALUE"""),"有")</f>
        <v>有</v>
      </c>
      <c r="Y4797" s="8" t="str">
        <f>IFERROR(__xludf.DUMMYFUNCTION("""COMPUTED_VALUE"""),"P6まで")</f>
        <v>P6まで</v>
      </c>
      <c r="Z4797" s="7"/>
      <c r="AA4797" s="7"/>
      <c r="AB4797" s="7"/>
    </row>
    <row r="4798" ht="15.75" customHeight="1">
      <c r="A4798" s="26">
        <f>IFERROR(__xludf.DUMMYFUNCTION("""COMPUTED_VALUE"""),7275.0)</f>
        <v>7275</v>
      </c>
      <c r="B4798" s="22" t="str">
        <f>IFERROR(__xludf.DUMMYFUNCTION("""COMPUTED_VALUE"""),"確定")</f>
        <v>確定</v>
      </c>
      <c r="C4798" s="28">
        <f>IFERROR(__xludf.DUMMYFUNCTION("""COMPUTED_VALUE"""),46044.0)</f>
        <v>46044</v>
      </c>
      <c r="D4798" s="28">
        <f>IFERROR(__xludf.DUMMYFUNCTION("""COMPUTED_VALUE"""),46080.0)</f>
        <v>46080</v>
      </c>
      <c r="E4798" s="26">
        <f>IFERROR(__xludf.DUMMYFUNCTION("""COMPUTED_VALUE"""),353539.0)</f>
        <v>353539</v>
      </c>
      <c r="F4798" s="22" t="str">
        <f>IFERROR(__xludf.DUMMYFUNCTION("""COMPUTED_VALUE"""),"恋じまい～独身から逃げたい女と結婚から逃げた男～")</f>
        <v>恋じまい～独身から逃げたい女と結婚から逃げた男～</v>
      </c>
      <c r="G4798" s="20" t="str">
        <f>IFERROR(__xludf.DUMMYFUNCTION("""COMPUTED_VALUE"""),"1～3")</f>
        <v>1～3</v>
      </c>
      <c r="H4798" s="22" t="str">
        <f>IFERROR(__xludf.DUMMYFUNCTION("""COMPUTED_VALUE"""),"アサ")</f>
        <v>アサ</v>
      </c>
      <c r="I4798" s="22" t="str">
        <f>IFERROR(__xludf.DUMMYFUNCTION("""COMPUTED_VALUE"""),"女性")</f>
        <v>女性</v>
      </c>
      <c r="J4798" s="22"/>
      <c r="K4798" s="22" t="str">
        <f>IFERROR(__xludf.DUMMYFUNCTION("""COMPUTED_VALUE"""),"comic soda")</f>
        <v>comic soda</v>
      </c>
      <c r="L4798" s="22" t="str">
        <f>IFERROR(__xludf.DUMMYFUNCTION("""COMPUTED_VALUE"""),"アイプロダクション")</f>
        <v>アイプロダクション</v>
      </c>
      <c r="M4798" s="33">
        <f>IFERROR(__xludf.DUMMYFUNCTION("""COMPUTED_VALUE"""),46113.0)</f>
        <v>46113</v>
      </c>
      <c r="N4798" s="33">
        <f>IFERROR(__xludf.DUMMYFUNCTION("""COMPUTED_VALUE"""),46173.0)</f>
        <v>46173</v>
      </c>
      <c r="O4798" s="20"/>
      <c r="P4798" s="32" t="str">
        <f>IFERROR(__xludf.DUMMYFUNCTION("""COMPUTED_VALUE"""),"可")</f>
        <v>可</v>
      </c>
      <c r="Q4798" s="30"/>
      <c r="R4798" s="22" t="str">
        <f>IFERROR(__xludf.DUMMYFUNCTION("""COMPUTED_VALUE"""),"コミットOK")</f>
        <v>コミットOK</v>
      </c>
      <c r="S4798" s="22" t="str">
        <f>IFERROR(__xludf.DUMMYFUNCTION("""COMPUTED_VALUE"""),"20260227_アイプロダクション_恋じまい～独身から逃げたい女と結婚から逃げた男～")</f>
        <v>20260227_アイプロダクション_恋じまい～独身から逃げたい女と結婚から逃げた男～</v>
      </c>
      <c r="T4798" s="22" t="str">
        <f>IFERROR(__xludf.DUMMYFUNCTION("""COMPUTED_VALUE"""),"格納済み")</f>
        <v>格納済み</v>
      </c>
      <c r="U4798" s="9" t="str">
        <f>IFERROR(__xludf.DUMMYFUNCTION("""COMPUTED_VALUE"""),"アサ/アイプロダクション")</f>
        <v>アサ/アイプロダクション</v>
      </c>
      <c r="V4798" s="8"/>
      <c r="W4798" s="8"/>
      <c r="X4798" s="8" t="str">
        <f>IFERROR(__xludf.DUMMYFUNCTION("""COMPUTED_VALUE"""),"有")</f>
        <v>有</v>
      </c>
      <c r="Y4798" s="8" t="str">
        <f>IFERROR(__xludf.DUMMYFUNCTION("""COMPUTED_VALUE"""),"P8まで")</f>
        <v>P8まで</v>
      </c>
      <c r="Z4798" s="7"/>
      <c r="AA4798" s="7"/>
      <c r="AB4798" s="7"/>
    </row>
    <row r="4799" ht="15.75" customHeight="1">
      <c r="A4799" s="26">
        <f>IFERROR(__xludf.DUMMYFUNCTION("""COMPUTED_VALUE"""),7277.0)</f>
        <v>7277</v>
      </c>
      <c r="B4799" s="22" t="str">
        <f>IFERROR(__xludf.DUMMYFUNCTION("""COMPUTED_VALUE"""),"確定")</f>
        <v>確定</v>
      </c>
      <c r="C4799" s="28">
        <f>IFERROR(__xludf.DUMMYFUNCTION("""COMPUTED_VALUE"""),46045.0)</f>
        <v>46045</v>
      </c>
      <c r="D4799" s="28">
        <f>IFERROR(__xludf.DUMMYFUNCTION("""COMPUTED_VALUE"""),46084.0)</f>
        <v>46084</v>
      </c>
      <c r="E4799" s="26">
        <f>IFERROR(__xludf.DUMMYFUNCTION("""COMPUTED_VALUE"""),356704.0)</f>
        <v>356704</v>
      </c>
      <c r="F4799" s="22" t="str">
        <f>IFERROR(__xludf.DUMMYFUNCTION("""COMPUTED_VALUE"""),"ハズレ嫁は最強の天才公爵様と再婚しました。（分冊版）")</f>
        <v>ハズレ嫁は最強の天才公爵様と再婚しました。（分冊版）</v>
      </c>
      <c r="G4799" s="20" t="str">
        <f>IFERROR(__xludf.DUMMYFUNCTION("""COMPUTED_VALUE"""),"1～5")</f>
        <v>1～5</v>
      </c>
      <c r="H4799" s="22" t="str">
        <f>IFERROR(__xludf.DUMMYFUNCTION("""COMPUTED_VALUE"""),"光子・ナツキシホ")</f>
        <v>光子・ナツキシホ</v>
      </c>
      <c r="I4799" s="22" t="str">
        <f>IFERROR(__xludf.DUMMYFUNCTION("""COMPUTED_VALUE"""),"女性")</f>
        <v>女性</v>
      </c>
      <c r="J4799" s="22"/>
      <c r="K4799" s="22"/>
      <c r="L4799" s="22" t="str">
        <f>IFERROR(__xludf.DUMMYFUNCTION("""COMPUTED_VALUE"""),"アルファポリス")</f>
        <v>アルファポリス</v>
      </c>
      <c r="M4799" s="33">
        <f>IFERROR(__xludf.DUMMYFUNCTION("""COMPUTED_VALUE"""),46132.0)</f>
        <v>46132</v>
      </c>
      <c r="N4799" s="33">
        <f>IFERROR(__xludf.DUMMYFUNCTION("""COMPUTED_VALUE"""),46226.0)</f>
        <v>46226</v>
      </c>
      <c r="O4799" s="20"/>
      <c r="P4799" s="32" t="str">
        <f>IFERROR(__xludf.DUMMYFUNCTION("""COMPUTED_VALUE"""),"可")</f>
        <v>可</v>
      </c>
      <c r="Q4799" s="30"/>
      <c r="R4799" s="22"/>
      <c r="S4799" s="22" t="str">
        <f>IFERROR(__xludf.DUMMYFUNCTION("""COMPUTED_VALUE"""),"20260302_アルファポリス_ハズレ嫁は最強の天才公爵様と再婚しました。")</f>
        <v>20260302_アルファポリス_ハズレ嫁は最強の天才公爵様と再婚しました。</v>
      </c>
      <c r="T4799" s="22" t="str">
        <f>IFERROR(__xludf.DUMMYFUNCTION("""COMPUTED_VALUE"""),"格納済み")</f>
        <v>格納済み</v>
      </c>
      <c r="U4799" s="9" t="str">
        <f>IFERROR(__xludf.DUMMYFUNCTION("""COMPUTED_VALUE"""),"（C）光子・ナツキシホ／アルファポリス")</f>
        <v>（C）光子・ナツキシホ／アルファポリス</v>
      </c>
      <c r="V4799" s="8"/>
      <c r="W4799" s="8"/>
      <c r="X4799" s="8" t="str">
        <f>IFERROR(__xludf.DUMMYFUNCTION("""COMPUTED_VALUE"""),"有")</f>
        <v>有</v>
      </c>
      <c r="Y4799" s="8" t="str">
        <f>IFERROR(__xludf.DUMMYFUNCTION("""COMPUTED_VALUE"""),"1巻無料")</f>
        <v>1巻無料</v>
      </c>
      <c r="Z4799" s="7"/>
      <c r="AA4799" s="7"/>
      <c r="AB4799" s="7"/>
    </row>
    <row r="4800" ht="15.75" customHeight="1">
      <c r="A4800" s="26">
        <f>IFERROR(__xludf.DUMMYFUNCTION("""COMPUTED_VALUE"""),7283.0)</f>
        <v>7283</v>
      </c>
      <c r="B4800" s="22" t="str">
        <f>IFERROR(__xludf.DUMMYFUNCTION("""COMPUTED_VALUE"""),"確定")</f>
        <v>確定</v>
      </c>
      <c r="C4800" s="28">
        <f>IFERROR(__xludf.DUMMYFUNCTION("""COMPUTED_VALUE"""),46045.0)</f>
        <v>46045</v>
      </c>
      <c r="D4800" s="28">
        <f>IFERROR(__xludf.DUMMYFUNCTION("""COMPUTED_VALUE"""),46084.0)</f>
        <v>46084</v>
      </c>
      <c r="E4800" s="26">
        <f>IFERROR(__xludf.DUMMYFUNCTION("""COMPUTED_VALUE"""),356707.0)</f>
        <v>356707</v>
      </c>
      <c r="F4800" s="22" t="str">
        <f>IFERROR(__xludf.DUMMYFUNCTION("""COMPUTED_VALUE"""),"推しを味方に付けたら最強だって知ってましたか？（分冊版）")</f>
        <v>推しを味方に付けたら最強だって知ってましたか？（分冊版）</v>
      </c>
      <c r="G4800" s="20" t="str">
        <f>IFERROR(__xludf.DUMMYFUNCTION("""COMPUTED_VALUE"""),"1~5")</f>
        <v>1~5</v>
      </c>
      <c r="H4800" s="22" t="str">
        <f>IFERROR(__xludf.DUMMYFUNCTION("""COMPUTED_VALUE"""),"やきいもほくほく・天満あこ")</f>
        <v>やきいもほくほく・天満あこ</v>
      </c>
      <c r="I4800" s="22" t="str">
        <f>IFERROR(__xludf.DUMMYFUNCTION("""COMPUTED_VALUE"""),"女性")</f>
        <v>女性</v>
      </c>
      <c r="J4800" s="22"/>
      <c r="K4800" s="22"/>
      <c r="L4800" s="22" t="str">
        <f>IFERROR(__xludf.DUMMYFUNCTION("""COMPUTED_VALUE"""),"アルファポリス")</f>
        <v>アルファポリス</v>
      </c>
      <c r="M4800" s="33">
        <f>IFERROR(__xludf.DUMMYFUNCTION("""COMPUTED_VALUE"""),46132.0)</f>
        <v>46132</v>
      </c>
      <c r="N4800" s="33">
        <f>IFERROR(__xludf.DUMMYFUNCTION("""COMPUTED_VALUE"""),46226.0)</f>
        <v>46226</v>
      </c>
      <c r="O4800" s="20"/>
      <c r="P4800" s="32" t="str">
        <f>IFERROR(__xludf.DUMMYFUNCTION("""COMPUTED_VALUE"""),"可")</f>
        <v>可</v>
      </c>
      <c r="Q4800" s="30"/>
      <c r="R4800" s="22"/>
      <c r="S4800" s="22" t="str">
        <f>IFERROR(__xludf.DUMMYFUNCTION("""COMPUTED_VALUE"""),"20260302_アルファポリス_推しを味方に付けたら最強だって知ってましたか？")</f>
        <v>20260302_アルファポリス_推しを味方に付けたら最強だって知ってましたか？</v>
      </c>
      <c r="T4800" s="22" t="str">
        <f>IFERROR(__xludf.DUMMYFUNCTION("""COMPUTED_VALUE"""),"格納済み")</f>
        <v>格納済み</v>
      </c>
      <c r="U4800" s="9" t="str">
        <f>IFERROR(__xludf.DUMMYFUNCTION("""COMPUTED_VALUE"""),"（C）やきいもほくほく・天満あこ／アルファポリス")</f>
        <v>（C）やきいもほくほく・天満あこ／アルファポリス</v>
      </c>
      <c r="V4800" s="8"/>
      <c r="W4800" s="8"/>
      <c r="X4800" s="8" t="str">
        <f>IFERROR(__xludf.DUMMYFUNCTION("""COMPUTED_VALUE"""),"有")</f>
        <v>有</v>
      </c>
      <c r="Y4800" s="8" t="str">
        <f>IFERROR(__xludf.DUMMYFUNCTION("""COMPUTED_VALUE"""),"1巻無料")</f>
        <v>1巻無料</v>
      </c>
      <c r="Z4800" s="7"/>
      <c r="AA4800" s="7"/>
      <c r="AB4800" s="7"/>
    </row>
    <row r="4801" ht="15.75" customHeight="1">
      <c r="A4801" s="26">
        <f>IFERROR(__xludf.DUMMYFUNCTION("""COMPUTED_VALUE"""),7304.0)</f>
        <v>7304</v>
      </c>
      <c r="B4801" s="22" t="str">
        <f>IFERROR(__xludf.DUMMYFUNCTION("""COMPUTED_VALUE"""),"確定")</f>
        <v>確定</v>
      </c>
      <c r="C4801" s="28">
        <f>IFERROR(__xludf.DUMMYFUNCTION("""COMPUTED_VALUE"""),46048.0)</f>
        <v>46048</v>
      </c>
      <c r="D4801" s="28">
        <f>IFERROR(__xludf.DUMMYFUNCTION("""COMPUTED_VALUE"""),46085.0)</f>
        <v>46085</v>
      </c>
      <c r="E4801" s="26">
        <f>IFERROR(__xludf.DUMMYFUNCTION("""COMPUTED_VALUE"""),355449.0)</f>
        <v>355449</v>
      </c>
      <c r="F4801" s="22" t="str">
        <f>IFERROR(__xludf.DUMMYFUNCTION("""COMPUTED_VALUE"""),"うちの夫婦は来年離婚する予定です（諸事情あり）【単話】")</f>
        <v>うちの夫婦は来年離婚する予定です（諸事情あり）【単話】</v>
      </c>
      <c r="G4801" s="20" t="str">
        <f>IFERROR(__xludf.DUMMYFUNCTION("""COMPUTED_VALUE"""),"1～3")</f>
        <v>1～3</v>
      </c>
      <c r="H4801" s="22" t="str">
        <f>IFERROR(__xludf.DUMMYFUNCTION("""COMPUTED_VALUE"""),"大口みなと")</f>
        <v>大口みなと</v>
      </c>
      <c r="I4801" s="22" t="str">
        <f>IFERROR(__xludf.DUMMYFUNCTION("""COMPUTED_VALUE"""),"女性")</f>
        <v>女性</v>
      </c>
      <c r="J4801" s="22"/>
      <c r="K4801" s="22" t="str">
        <f>IFERROR(__xludf.DUMMYFUNCTION("""COMPUTED_VALUE"""),"FC Jam")</f>
        <v>FC Jam</v>
      </c>
      <c r="L4801" s="22" t="str">
        <f>IFERROR(__xludf.DUMMYFUNCTION("""COMPUTED_VALUE"""),"祥伝社")</f>
        <v>祥伝社</v>
      </c>
      <c r="M4801" s="33">
        <f>IFERROR(__xludf.DUMMYFUNCTION("""COMPUTED_VALUE"""),46126.0)</f>
        <v>46126</v>
      </c>
      <c r="N4801" s="33">
        <f>IFERROR(__xludf.DUMMYFUNCTION("""COMPUTED_VALUE"""),46191.0)</f>
        <v>46191</v>
      </c>
      <c r="O4801" s="20"/>
      <c r="P4801" s="32" t="str">
        <f>IFERROR(__xludf.DUMMYFUNCTION("""COMPUTED_VALUE"""),"可")</f>
        <v>可</v>
      </c>
      <c r="Q4801" s="30" t="str">
        <f>IFERROR(__xludf.DUMMYFUNCTION("""COMPUTED_VALUE"""),"貴社作品「うちの夫、やばくないですか？」の大口先生による新連載です。今回は原作はなく、オリジナルとなっておりますが相変わらず嫌な人間のイラッとする表情が多々描かれる作品に仕上がっております‼弟の失踪という縦軸もありながら、預かっている甥っ子がいる中で不倫夫にどう対峙していくか…という疑似子あり夫婦離婚モノとなっております。")</f>
        <v>貴社作品「うちの夫、やばくないですか？」の大口先生による新連載です。今回は原作はなく、オリジナルとなっておりますが相変わらず嫌な人間のイラッとする表情が多々描かれる作品に仕上がっております‼弟の失踪という縦軸もありながら、預かっている甥っ子がいる中で不倫夫にどう対峙していくか…という疑似子あり夫婦離婚モノとなっております。</v>
      </c>
      <c r="R4801" s="22" t="str">
        <f>IFERROR(__xludf.DUMMYFUNCTION("""COMPUTED_VALUE"""),"コミットOK")</f>
        <v>コミットOK</v>
      </c>
      <c r="S4801" s="22" t="str">
        <f>IFERROR(__xludf.DUMMYFUNCTION("""COMPUTED_VALUE"""),"20260226_祥伝社_うちの夫婦は来年離婚する予定です（諸事情あり）")</f>
        <v>20260226_祥伝社_うちの夫婦は来年離婚する予定です（諸事情あり）</v>
      </c>
      <c r="T4801" s="22" t="str">
        <f>IFERROR(__xludf.DUMMYFUNCTION("""COMPUTED_VALUE"""),"格納済み")</f>
        <v>格納済み</v>
      </c>
      <c r="U4801" s="9" t="str">
        <f>IFERROR(__xludf.DUMMYFUNCTION("""COMPUTED_VALUE"""),"（C）大口みなと/祥伝社")</f>
        <v>（C）大口みなと/祥伝社</v>
      </c>
      <c r="V4801" s="8"/>
      <c r="W4801" s="8"/>
      <c r="X4801" s="8" t="str">
        <f>IFERROR(__xludf.DUMMYFUNCTION("""COMPUTED_VALUE"""),"有")</f>
        <v>有</v>
      </c>
      <c r="Y4801" s="8" t="str">
        <f>IFERROR(__xludf.DUMMYFUNCTION("""COMPUTED_VALUE"""),"2026/6/18まで1巻無料")</f>
        <v>2026/6/18まで1巻無料</v>
      </c>
      <c r="Z4801" s="7"/>
      <c r="AA4801" s="7"/>
      <c r="AB4801" s="7"/>
    </row>
    <row r="4802" ht="15.75" customHeight="1">
      <c r="A4802" s="26">
        <f>IFERROR(__xludf.DUMMYFUNCTION("""COMPUTED_VALUE"""),7340.0)</f>
        <v>7340</v>
      </c>
      <c r="B4802" s="22" t="str">
        <f>IFERROR(__xludf.DUMMYFUNCTION("""COMPUTED_VALUE"""),"確定")</f>
        <v>確定</v>
      </c>
      <c r="C4802" s="28">
        <f>IFERROR(__xludf.DUMMYFUNCTION("""COMPUTED_VALUE"""),46051.0)</f>
        <v>46051</v>
      </c>
      <c r="D4802" s="28">
        <f>IFERROR(__xludf.DUMMYFUNCTION("""COMPUTED_VALUE"""),46084.0)</f>
        <v>46084</v>
      </c>
      <c r="E4802" s="26">
        <f>IFERROR(__xludf.DUMMYFUNCTION("""COMPUTED_VALUE"""),357109.0)</f>
        <v>357109</v>
      </c>
      <c r="F4802" s="22" t="str">
        <f>IFERROR(__xludf.DUMMYFUNCTION("""COMPUTED_VALUE"""),"愛され天くんの執着カレシ（仮）")</f>
        <v>愛され天くんの執着カレシ（仮）</v>
      </c>
      <c r="G4802" s="20" t="str">
        <f>IFERROR(__xludf.DUMMYFUNCTION("""COMPUTED_VALUE"""),"1～3")</f>
        <v>1～3</v>
      </c>
      <c r="H4802" s="22" t="str">
        <f>IFERROR(__xludf.DUMMYFUNCTION("""COMPUTED_VALUE"""),"夏野あきら")</f>
        <v>夏野あきら</v>
      </c>
      <c r="I4802" s="22" t="str">
        <f>IFERROR(__xludf.DUMMYFUNCTION("""COMPUTED_VALUE"""),"BL")</f>
        <v>BL</v>
      </c>
      <c r="J4802" s="22"/>
      <c r="K4802" s="22" t="str">
        <f>IFERROR(__xludf.DUMMYFUNCTION("""COMPUTED_VALUE"""),"B.Pilz")</f>
        <v>B.Pilz</v>
      </c>
      <c r="L4802" s="22" t="str">
        <f>IFERROR(__xludf.DUMMYFUNCTION("""COMPUTED_VALUE"""),"ブライト出版")</f>
        <v>ブライト出版</v>
      </c>
      <c r="M4802" s="33">
        <f>IFERROR(__xludf.DUMMYFUNCTION("""COMPUTED_VALUE"""),46142.0)</f>
        <v>46142</v>
      </c>
      <c r="N4802" s="33">
        <f>IFERROR(__xludf.DUMMYFUNCTION("""COMPUTED_VALUE"""),46246.0)</f>
        <v>46246</v>
      </c>
      <c r="O4802" s="20"/>
      <c r="P4802" s="32" t="str">
        <f>IFERROR(__xludf.DUMMYFUNCTION("""COMPUTED_VALUE"""),"可")</f>
        <v>可</v>
      </c>
      <c r="Q4802" s="30" t="str">
        <f>IFERROR(__xludf.DUMMYFUNCTION("""COMPUTED_VALUE"""),"タイトルに仮がついておりますが仮題という意味ではなく（仮）含め正式タイトル名です。")</f>
        <v>タイトルに仮がついておりますが仮題という意味ではなく（仮）含め正式タイトル名です。</v>
      </c>
      <c r="R4802" s="22" t="str">
        <f>IFERROR(__xludf.DUMMYFUNCTION("""COMPUTED_VALUE"""),"コミットOK")</f>
        <v>コミットOK</v>
      </c>
      <c r="S4802" s="22" t="str">
        <f>IFERROR(__xludf.DUMMYFUNCTION("""COMPUTED_VALUE"""),"20260302_ブライト出版_愛され天くんの執着カレシ(仮)")</f>
        <v>20260302_ブライト出版_愛され天くんの執着カレシ(仮)</v>
      </c>
      <c r="T4802" s="22" t="str">
        <f>IFERROR(__xludf.DUMMYFUNCTION("""COMPUTED_VALUE"""),"格納済み")</f>
        <v>格納済み</v>
      </c>
      <c r="U4802" s="9" t="str">
        <f>IFERROR(__xludf.DUMMYFUNCTION("""COMPUTED_VALUE"""),"(C)夏野あきら/ブライト出版")</f>
        <v>(C)夏野あきら/ブライト出版</v>
      </c>
      <c r="V4802" s="8"/>
      <c r="W4802" s="8"/>
      <c r="X4802" s="8" t="str">
        <f>IFERROR(__xludf.DUMMYFUNCTION("""COMPUTED_VALUE"""),"有")</f>
        <v>有</v>
      </c>
      <c r="Y4802" s="8" t="str">
        <f>IFERROR(__xludf.DUMMYFUNCTION("""COMPUTED_VALUE"""),"P12まで")</f>
        <v>P12まで</v>
      </c>
      <c r="Z4802" s="7"/>
      <c r="AA4802" s="7"/>
      <c r="AB4802" s="7"/>
    </row>
    <row r="4803" ht="15.75" customHeight="1">
      <c r="A4803" s="26">
        <f>IFERROR(__xludf.DUMMYFUNCTION("""COMPUTED_VALUE"""),7350.0)</f>
        <v>7350</v>
      </c>
      <c r="B4803" s="22" t="str">
        <f>IFERROR(__xludf.DUMMYFUNCTION("""COMPUTED_VALUE"""),"確定")</f>
        <v>確定</v>
      </c>
      <c r="C4803" s="28">
        <f>IFERROR(__xludf.DUMMYFUNCTION("""COMPUTED_VALUE"""),46055.0)</f>
        <v>46055</v>
      </c>
      <c r="D4803" s="28">
        <f>IFERROR(__xludf.DUMMYFUNCTION("""COMPUTED_VALUE"""),46083.0)</f>
        <v>46083</v>
      </c>
      <c r="E4803" s="26">
        <f>IFERROR(__xludf.DUMMYFUNCTION("""COMPUTED_VALUE"""),354168.0)</f>
        <v>354168</v>
      </c>
      <c r="F4803" s="22" t="str">
        <f>IFERROR(__xludf.DUMMYFUNCTION("""COMPUTED_VALUE"""),"吸血鬼の後輩に咬まれたら、性欲が止まらなくなりました【アダルト版】単話版")</f>
        <v>吸血鬼の後輩に咬まれたら、性欲が止まらなくなりました【アダルト版】単話版</v>
      </c>
      <c r="G4803" s="20" t="str">
        <f>IFERROR(__xludf.DUMMYFUNCTION("""COMPUTED_VALUE"""),"1～3")</f>
        <v>1～3</v>
      </c>
      <c r="H4803" s="22" t="str">
        <f>IFERROR(__xludf.DUMMYFUNCTION("""COMPUTED_VALUE"""),"上結もみじ┴八方塞がり┴ねざめづき")</f>
        <v>上結もみじ┴八方塞がり┴ねざめづき</v>
      </c>
      <c r="I4803" s="22" t="str">
        <f>IFERROR(__xludf.DUMMYFUNCTION("""COMPUTED_VALUE"""),"アダルト")</f>
        <v>アダルト</v>
      </c>
      <c r="J4803" s="22"/>
      <c r="K4803" s="22" t="str">
        <f>IFERROR(__xludf.DUMMYFUNCTION("""COMPUTED_VALUE"""),"BLIC-ERO")</f>
        <v>BLIC-ERO</v>
      </c>
      <c r="L4803" s="22" t="str">
        <f>IFERROR(__xludf.DUMMYFUNCTION("""COMPUTED_VALUE"""),"クロスフォリオ出版")</f>
        <v>クロスフォリオ出版</v>
      </c>
      <c r="M4803" s="33">
        <f>IFERROR(__xludf.DUMMYFUNCTION("""COMPUTED_VALUE"""),46115.0)</f>
        <v>46115</v>
      </c>
      <c r="N4803" s="33">
        <f>IFERROR(__xludf.DUMMYFUNCTION("""COMPUTED_VALUE"""),46177.0)</f>
        <v>46177</v>
      </c>
      <c r="O4803" s="20"/>
      <c r="P4803" s="32" t="str">
        <f>IFERROR(__xludf.DUMMYFUNCTION("""COMPUTED_VALUE"""),"可")</f>
        <v>可</v>
      </c>
      <c r="Q4803" s="30" t="str">
        <f>IFERROR(__xludf.DUMMYFUNCTION("""COMPUTED_VALUE"""),"【アダルト作品扱い】")</f>
        <v>【アダルト作品扱い】</v>
      </c>
      <c r="R4803" s="22" t="str">
        <f>IFERROR(__xludf.DUMMYFUNCTION("""COMPUTED_VALUE"""),"コミットOK")</f>
        <v>コミットOK</v>
      </c>
      <c r="S4803" s="22" t="str">
        <f>IFERROR(__xludf.DUMMYFUNCTION("""COMPUTED_VALUE"""),"20260227_BookLive_吸血鬼の後輩に咬まれたら、性欲が止まらなくなりました")</f>
        <v>20260227_BookLive_吸血鬼の後輩に咬まれたら、性欲が止まらなくなりました</v>
      </c>
      <c r="T4803" s="22" t="str">
        <f>IFERROR(__xludf.DUMMYFUNCTION("""COMPUTED_VALUE"""),"格納済み")</f>
        <v>格納済み</v>
      </c>
      <c r="U4803" s="9" t="str">
        <f>IFERROR(__xludf.DUMMYFUNCTION("""COMPUTED_VALUE"""),"(C)上結もみじ/八方塞がり/ねざめづき/クロスフォリオ出版")</f>
        <v>(C)上結もみじ/八方塞がり/ねざめづき/クロスフォリオ出版</v>
      </c>
      <c r="V4803" s="8"/>
      <c r="W4803" s="8"/>
      <c r="X4803" s="8" t="str">
        <f>IFERROR(__xludf.DUMMYFUNCTION("""COMPUTED_VALUE"""),"有")</f>
        <v>有</v>
      </c>
      <c r="Y4803" s="8" t="str">
        <f>IFERROR(__xludf.DUMMYFUNCTION("""COMPUTED_VALUE"""),"P5まで")</f>
        <v>P5まで</v>
      </c>
      <c r="Z4803" s="7"/>
      <c r="AA4803" s="7"/>
      <c r="AB4803" s="7"/>
    </row>
    <row r="4804" ht="15.75" customHeight="1">
      <c r="A4804" s="26">
        <f>IFERROR(__xludf.DUMMYFUNCTION("""COMPUTED_VALUE"""),7358.0)</f>
        <v>7358</v>
      </c>
      <c r="B4804" s="22" t="str">
        <f>IFERROR(__xludf.DUMMYFUNCTION("""COMPUTED_VALUE"""),"確定")</f>
        <v>確定</v>
      </c>
      <c r="C4804" s="28">
        <f>IFERROR(__xludf.DUMMYFUNCTION("""COMPUTED_VALUE"""),46055.0)</f>
        <v>46055</v>
      </c>
      <c r="D4804" s="28">
        <f>IFERROR(__xludf.DUMMYFUNCTION("""COMPUTED_VALUE"""),46083.0)</f>
        <v>46083</v>
      </c>
      <c r="E4804" s="26">
        <f>IFERROR(__xludf.DUMMYFUNCTION("""COMPUTED_VALUE"""),355974.0)</f>
        <v>355974</v>
      </c>
      <c r="F4804" s="22" t="str">
        <f>IFERROR(__xludf.DUMMYFUNCTION("""COMPUTED_VALUE"""),"嫁ぎ先で放置され、夫は何故かテント暮らしをさせられていますが私がこの家を変えてみせましょう")</f>
        <v>嫁ぎ先で放置され、夫は何故かテント暮らしをさせられていますが私がこの家を変えてみせましょう</v>
      </c>
      <c r="G4804" s="20" t="str">
        <f>IFERROR(__xludf.DUMMYFUNCTION("""COMPUTED_VALUE"""),"1～5")</f>
        <v>1～5</v>
      </c>
      <c r="H4804" s="22" t="str">
        <f>IFERROR(__xludf.DUMMYFUNCTION("""COMPUTED_VALUE"""),"踊る毒林檎┴白井粥")</f>
        <v>踊る毒林檎┴白井粥</v>
      </c>
      <c r="I4804" s="22" t="str">
        <f>IFERROR(__xludf.DUMMYFUNCTION("""COMPUTED_VALUE"""),"女性")</f>
        <v>女性</v>
      </c>
      <c r="J4804" s="22"/>
      <c r="K4804" s="22" t="str">
        <f>IFERROR(__xludf.DUMMYFUNCTION("""COMPUTED_VALUE"""),"シーモア×Puffs")</f>
        <v>シーモア×Puffs</v>
      </c>
      <c r="L4804" s="22" t="str">
        <f>IFERROR(__xludf.DUMMYFUNCTION("""COMPUTED_VALUE"""),"MUGENUP")</f>
        <v>MUGENUP</v>
      </c>
      <c r="M4804" s="33">
        <f>IFERROR(__xludf.DUMMYFUNCTION("""COMPUTED_VALUE"""),46111.0)</f>
        <v>46111</v>
      </c>
      <c r="N4804" s="33">
        <f>IFERROR(__xludf.DUMMYFUNCTION("""COMPUTED_VALUE"""),46202.0)</f>
        <v>46202</v>
      </c>
      <c r="O4804" s="20"/>
      <c r="P4804" s="32" t="str">
        <f>IFERROR(__xludf.DUMMYFUNCTION("""COMPUTED_VALUE"""),"可")</f>
        <v>可</v>
      </c>
      <c r="Q4804" s="30" t="str">
        <f>IFERROR(__xludf.DUMMYFUNCTION("""COMPUTED_VALUE"""),"1話4ページ（totugisaki_001-04.jpg）は白紙ページのため広告に使用しないでください。")</f>
        <v>1話4ページ（totugisaki_001-04.jpg）は白紙ページのため広告に使用しないでください。</v>
      </c>
      <c r="R4804" s="22"/>
      <c r="S4804" s="22" t="str">
        <f>IFERROR(__xludf.DUMMYFUNCTION("""COMPUTED_VALUE"""),"20260302_MUGENUP_修正_嫁ぎ先で放置され、夫は何故かテント暮らしをさせられていますが私がこの家を変えてみせましょう")</f>
        <v>20260302_MUGENUP_修正_嫁ぎ先で放置され、夫は何故かテント暮らしをさせられていますが私がこの家を変えてみせましょう</v>
      </c>
      <c r="T4804" s="22" t="str">
        <f>IFERROR(__xludf.DUMMYFUNCTION("""COMPUTED_VALUE"""),"格納済み")</f>
        <v>格納済み</v>
      </c>
      <c r="U4804" s="9" t="str">
        <f>IFERROR(__xludf.DUMMYFUNCTION("""COMPUTED_VALUE"""),"（C）踊る毒林檎・白井粥／MUGENUP")</f>
        <v>（C）踊る毒林檎・白井粥／MUGENUP</v>
      </c>
      <c r="V4804" s="8"/>
      <c r="W4804" s="8"/>
      <c r="X4804" s="8" t="str">
        <f>IFERROR(__xludf.DUMMYFUNCTION("""COMPUTED_VALUE"""),"有")</f>
        <v>有</v>
      </c>
      <c r="Y4804" s="8" t="str">
        <f>IFERROR(__xludf.DUMMYFUNCTION("""COMPUTED_VALUE"""),"P24まで")</f>
        <v>P24まで</v>
      </c>
      <c r="Z4804" s="7"/>
      <c r="AA4804" s="7"/>
      <c r="AB4804" s="7"/>
    </row>
    <row r="4805" ht="15.75" customHeight="1">
      <c r="A4805" s="26">
        <f>IFERROR(__xludf.DUMMYFUNCTION("""COMPUTED_VALUE"""),7381.0)</f>
        <v>7381</v>
      </c>
      <c r="B4805" s="22" t="str">
        <f>IFERROR(__xludf.DUMMYFUNCTION("""COMPUTED_VALUE"""),"確定")</f>
        <v>確定</v>
      </c>
      <c r="C4805" s="28">
        <f>IFERROR(__xludf.DUMMYFUNCTION("""COMPUTED_VALUE"""),46057.0)</f>
        <v>46057</v>
      </c>
      <c r="D4805" s="28">
        <f>IFERROR(__xludf.DUMMYFUNCTION("""COMPUTED_VALUE"""),46079.0)</f>
        <v>46079</v>
      </c>
      <c r="E4805" s="26">
        <f>IFERROR(__xludf.DUMMYFUNCTION("""COMPUTED_VALUE"""),354085.0)</f>
        <v>354085</v>
      </c>
      <c r="F4805" s="22" t="str">
        <f>IFERROR(__xludf.DUMMYFUNCTION("""COMPUTED_VALUE"""),"悪役令嬢＆年上イケメン執事の異世界旅行記！～婚約破棄されて慰謝料を稼いだ公爵令嬢は追放された執事と一緒に豪遊します～")</f>
        <v>悪役令嬢＆年上イケメン執事の異世界旅行記！～婚約破棄されて慰謝料を稼いだ公爵令嬢は追放された執事と一緒に豪遊します～</v>
      </c>
      <c r="G4805" s="20" t="str">
        <f>IFERROR(__xludf.DUMMYFUNCTION("""COMPUTED_VALUE"""),"1～5")</f>
        <v>1～5</v>
      </c>
      <c r="H4805" s="22" t="str">
        <f>IFERROR(__xludf.DUMMYFUNCTION("""COMPUTED_VALUE"""),"漫画：萠田まく／原作：D")</f>
        <v>漫画：萠田まく／原作：D</v>
      </c>
      <c r="I4805" s="22" t="str">
        <f>IFERROR(__xludf.DUMMYFUNCTION("""COMPUTED_VALUE"""),"少女")</f>
        <v>少女</v>
      </c>
      <c r="J4805" s="22"/>
      <c r="K4805" s="22"/>
      <c r="L4805" s="22" t="str">
        <f>IFERROR(__xludf.DUMMYFUNCTION("""COMPUTED_VALUE"""),"アイエムエー")</f>
        <v>アイエムエー</v>
      </c>
      <c r="M4805" s="33">
        <f>IFERROR(__xludf.DUMMYFUNCTION("""COMPUTED_VALUE"""),46113.0)</f>
        <v>46113</v>
      </c>
      <c r="N4805" s="33">
        <f>IFERROR(__xludf.DUMMYFUNCTION("""COMPUTED_VALUE"""),46203.0)</f>
        <v>46203</v>
      </c>
      <c r="O4805" s="20"/>
      <c r="P4805" s="32" t="str">
        <f>IFERROR(__xludf.DUMMYFUNCTION("""COMPUTED_VALUE"""),"可")</f>
        <v>可</v>
      </c>
      <c r="Q4805" s="30"/>
      <c r="R4805" s="22"/>
      <c r="S4805" s="22" t="str">
        <f>IFERROR(__xludf.DUMMYFUNCTION("""COMPUTED_VALUE"""),"20260225_アイエムエー_悪役令嬢＆年上イケメン執事の異世界旅行記！")</f>
        <v>20260225_アイエムエー_悪役令嬢＆年上イケメン執事の異世界旅行記！</v>
      </c>
      <c r="T4805" s="22" t="str">
        <f>IFERROR(__xludf.DUMMYFUNCTION("""COMPUTED_VALUE"""),"格納済み")</f>
        <v>格納済み</v>
      </c>
      <c r="U4805" s="9" t="str">
        <f>IFERROR(__xludf.DUMMYFUNCTION("""COMPUTED_VALUE"""),"(C)萠田まく／D／アイエムエー")</f>
        <v>(C)萠田まく／D／アイエムエー</v>
      </c>
      <c r="V4805" s="8"/>
      <c r="W4805" s="8"/>
      <c r="X4805" s="8" t="str">
        <f>IFERROR(__xludf.DUMMYFUNCTION("""COMPUTED_VALUE"""),"有")</f>
        <v>有</v>
      </c>
      <c r="Y4805" s="8" t="str">
        <f>IFERROR(__xludf.DUMMYFUNCTION("""COMPUTED_VALUE"""),"P10まで")</f>
        <v>P10まで</v>
      </c>
      <c r="Z4805" s="7"/>
      <c r="AA4805" s="7"/>
      <c r="AB4805" s="7"/>
    </row>
    <row r="4806" ht="15.75" customHeight="1">
      <c r="A4806" s="26">
        <f>IFERROR(__xludf.DUMMYFUNCTION("""COMPUTED_VALUE"""),7382.0)</f>
        <v>7382</v>
      </c>
      <c r="B4806" s="22" t="str">
        <f>IFERROR(__xludf.DUMMYFUNCTION("""COMPUTED_VALUE"""),"確定")</f>
        <v>確定</v>
      </c>
      <c r="C4806" s="28">
        <f>IFERROR(__xludf.DUMMYFUNCTION("""COMPUTED_VALUE"""),46057.0)</f>
        <v>46057</v>
      </c>
      <c r="D4806" s="28">
        <f>IFERROR(__xludf.DUMMYFUNCTION("""COMPUTED_VALUE"""),46079.0)</f>
        <v>46079</v>
      </c>
      <c r="E4806" s="26">
        <f>IFERROR(__xludf.DUMMYFUNCTION("""COMPUTED_VALUE"""),354084.0)</f>
        <v>354084</v>
      </c>
      <c r="F4806" s="22" t="str">
        <f>IFERROR(__xludf.DUMMYFUNCTION("""COMPUTED_VALUE"""),"城を追われた王子を魔女が拾って育てたら～1000年分の寵愛が返ってきた～")</f>
        <v>城を追われた王子を魔女が拾って育てたら～1000年分の寵愛が返ってきた～</v>
      </c>
      <c r="G4806" s="20" t="str">
        <f>IFERROR(__xludf.DUMMYFUNCTION("""COMPUTED_VALUE"""),"1～5")</f>
        <v>1～5</v>
      </c>
      <c r="H4806" s="22" t="str">
        <f>IFERROR(__xludf.DUMMYFUNCTION("""COMPUTED_VALUE"""),"漫画：くるひなた")</f>
        <v>漫画：くるひなた</v>
      </c>
      <c r="I4806" s="22" t="str">
        <f>IFERROR(__xludf.DUMMYFUNCTION("""COMPUTED_VALUE"""),"少女")</f>
        <v>少女</v>
      </c>
      <c r="J4806" s="22"/>
      <c r="K4806" s="22"/>
      <c r="L4806" s="22" t="str">
        <f>IFERROR(__xludf.DUMMYFUNCTION("""COMPUTED_VALUE"""),"アイエムエー")</f>
        <v>アイエムエー</v>
      </c>
      <c r="M4806" s="33">
        <f>IFERROR(__xludf.DUMMYFUNCTION("""COMPUTED_VALUE"""),46113.0)</f>
        <v>46113</v>
      </c>
      <c r="N4806" s="33">
        <f>IFERROR(__xludf.DUMMYFUNCTION("""COMPUTED_VALUE"""),46203.0)</f>
        <v>46203</v>
      </c>
      <c r="O4806" s="20"/>
      <c r="P4806" s="32" t="str">
        <f>IFERROR(__xludf.DUMMYFUNCTION("""COMPUTED_VALUE"""),"可")</f>
        <v>可</v>
      </c>
      <c r="Q4806" s="30"/>
      <c r="R4806" s="22"/>
      <c r="S4806" s="22" t="str">
        <f>IFERROR(__xludf.DUMMYFUNCTION("""COMPUTED_VALUE"""),"20260225_アイエムエー_城を追われた王子を魔女が拾って育てたら")</f>
        <v>20260225_アイエムエー_城を追われた王子を魔女が拾って育てたら</v>
      </c>
      <c r="T4806" s="22" t="str">
        <f>IFERROR(__xludf.DUMMYFUNCTION("""COMPUTED_VALUE"""),"格納済み")</f>
        <v>格納済み</v>
      </c>
      <c r="U4806" s="9" t="str">
        <f>IFERROR(__xludf.DUMMYFUNCTION("""COMPUTED_VALUE"""),"(C)くるひなた／アイエムエー")</f>
        <v>(C)くるひなた／アイエムエー</v>
      </c>
      <c r="V4806" s="8"/>
      <c r="W4806" s="8"/>
      <c r="X4806" s="8" t="str">
        <f>IFERROR(__xludf.DUMMYFUNCTION("""COMPUTED_VALUE"""),"有")</f>
        <v>有</v>
      </c>
      <c r="Y4806" s="8" t="str">
        <f>IFERROR(__xludf.DUMMYFUNCTION("""COMPUTED_VALUE"""),"P10まで")</f>
        <v>P10まで</v>
      </c>
      <c r="Z4806" s="7"/>
      <c r="AA4806" s="7"/>
      <c r="AB4806" s="7"/>
    </row>
    <row r="4807" ht="15.75" customHeight="1">
      <c r="A4807" s="26">
        <f>IFERROR(__xludf.DUMMYFUNCTION("""COMPUTED_VALUE"""),7387.0)</f>
        <v>7387</v>
      </c>
      <c r="B4807" s="22" t="str">
        <f>IFERROR(__xludf.DUMMYFUNCTION("""COMPUTED_VALUE"""),"確定")</f>
        <v>確定</v>
      </c>
      <c r="C4807" s="28">
        <f>IFERROR(__xludf.DUMMYFUNCTION("""COMPUTED_VALUE"""),46058.0)</f>
        <v>46058</v>
      </c>
      <c r="D4807" s="28">
        <f>IFERROR(__xludf.DUMMYFUNCTION("""COMPUTED_VALUE"""),46079.0)</f>
        <v>46079</v>
      </c>
      <c r="E4807" s="26">
        <f>IFERROR(__xludf.DUMMYFUNCTION("""COMPUTED_VALUE"""),355142.0)</f>
        <v>355142</v>
      </c>
      <c r="F4807" s="22" t="str">
        <f>IFERROR(__xludf.DUMMYFUNCTION("""COMPUTED_VALUE"""),"おとぎの国のデスマシーン(話売り)")</f>
        <v>おとぎの国のデスマシーン(話売り)</v>
      </c>
      <c r="G4807" s="20" t="str">
        <f>IFERROR(__xludf.DUMMYFUNCTION("""COMPUTED_VALUE"""),"1～5")</f>
        <v>1～5</v>
      </c>
      <c r="H4807" s="22" t="str">
        <f>IFERROR(__xludf.DUMMYFUNCTION("""COMPUTED_VALUE"""),"間千里")</f>
        <v>間千里</v>
      </c>
      <c r="I4807" s="22" t="str">
        <f>IFERROR(__xludf.DUMMYFUNCTION("""COMPUTED_VALUE"""),"少年")</f>
        <v>少年</v>
      </c>
      <c r="J4807" s="22"/>
      <c r="K4807" s="22"/>
      <c r="L4807" s="22" t="str">
        <f>IFERROR(__xludf.DUMMYFUNCTION("""COMPUTED_VALUE"""),"秋田書店")</f>
        <v>秋田書店</v>
      </c>
      <c r="M4807" s="33">
        <f>IFERROR(__xludf.DUMMYFUNCTION("""COMPUTED_VALUE"""),46106.0)</f>
        <v>46106</v>
      </c>
      <c r="N4807" s="33">
        <f>IFERROR(__xludf.DUMMYFUNCTION("""COMPUTED_VALUE"""),46166.0)</f>
        <v>46166</v>
      </c>
      <c r="O4807" s="20"/>
      <c r="P4807" s="32" t="str">
        <f>IFERROR(__xludf.DUMMYFUNCTION("""COMPUTED_VALUE"""),"可")</f>
        <v>可</v>
      </c>
      <c r="Q4807" s="30" t="str">
        <f>IFERROR(__xludf.DUMMYFUNCTION("""COMPUTED_VALUE"""),"【アウトバウンド提案】&lt;BR&gt;1~4巻素材で広告制作お願いいたします。")</f>
        <v>【アウトバウンド提案】&lt;BR&gt;1~4巻素材で広告制作お願いいたします。</v>
      </c>
      <c r="R4807" s="22"/>
      <c r="S4807" s="22" t="str">
        <f>IFERROR(__xludf.DUMMYFUNCTION("""COMPUTED_VALUE"""),"20260226_秋田書店_おとぎの国のデスマシーン(話売り)")</f>
        <v>20260226_秋田書店_おとぎの国のデスマシーン(話売り)</v>
      </c>
      <c r="T4807" s="22" t="str">
        <f>IFERROR(__xludf.DUMMYFUNCTION("""COMPUTED_VALUE"""),"格納済み")</f>
        <v>格納済み</v>
      </c>
      <c r="U4807" s="9" t="str">
        <f>IFERROR(__xludf.DUMMYFUNCTION("""COMPUTED_VALUE"""),"（C）間千里（秋田書店）")</f>
        <v>（C）間千里（秋田書店）</v>
      </c>
      <c r="V4807" s="8"/>
      <c r="W4807" s="8"/>
      <c r="X4807" s="8" t="str">
        <f>IFERROR(__xludf.DUMMYFUNCTION("""COMPUTED_VALUE"""),"有")</f>
        <v>有</v>
      </c>
      <c r="Y4807" s="8" t="str">
        <f>IFERROR(__xludf.DUMMYFUNCTION("""COMPUTED_VALUE"""),"2026/5/24まで1巻無料")</f>
        <v>2026/5/24まで1巻無料</v>
      </c>
      <c r="Z4807" s="7"/>
      <c r="AA4807" s="7"/>
      <c r="AB4807" s="7"/>
    </row>
    <row r="4808" ht="15.75" customHeight="1">
      <c r="A4808" s="26">
        <f>IFERROR(__xludf.DUMMYFUNCTION("""COMPUTED_VALUE"""),7398.0)</f>
        <v>7398</v>
      </c>
      <c r="B4808" s="22" t="str">
        <f>IFERROR(__xludf.DUMMYFUNCTION("""COMPUTED_VALUE"""),"確定")</f>
        <v>確定</v>
      </c>
      <c r="C4808" s="28">
        <f>IFERROR(__xludf.DUMMYFUNCTION("""COMPUTED_VALUE"""),46059.0)</f>
        <v>46059</v>
      </c>
      <c r="D4808" s="28">
        <f>IFERROR(__xludf.DUMMYFUNCTION("""COMPUTED_VALUE"""),46083.0)</f>
        <v>46083</v>
      </c>
      <c r="E4808" s="26">
        <f>IFERROR(__xludf.DUMMYFUNCTION("""COMPUTED_VALUE"""),356047.0)</f>
        <v>356047</v>
      </c>
      <c r="F4808" s="22" t="str">
        <f>IFERROR(__xludf.DUMMYFUNCTION("""COMPUTED_VALUE"""),"生後0ヶ月の最強魔王  食べるだけ強くなるチート能力持ち転生者だけど赤ちゃんなので英雄たちの母乳で成長して無双します")</f>
        <v>生後0ヶ月の最強魔王  食べるだけ強くなるチート能力持ち転生者だけど赤ちゃんなので英雄たちの母乳で成長して無双します</v>
      </c>
      <c r="G4808" s="20" t="str">
        <f>IFERROR(__xludf.DUMMYFUNCTION("""COMPUTED_VALUE"""),"1～5")</f>
        <v>1～5</v>
      </c>
      <c r="H4808" s="22" t="str">
        <f>IFERROR(__xludf.DUMMYFUNCTION("""COMPUTED_VALUE"""),"原作：三河ごーすと　 作画：花房雪 構成：マップ")</f>
        <v>原作：三河ごーすと　 作画：花房雪 構成：マップ</v>
      </c>
      <c r="I4808" s="22" t="str">
        <f>IFERROR(__xludf.DUMMYFUNCTION("""COMPUTED_VALUE"""),"青年")</f>
        <v>青年</v>
      </c>
      <c r="J4808" s="22"/>
      <c r="K4808" s="22" t="str">
        <f>IFERROR(__xludf.DUMMYFUNCTION("""COMPUTED_VALUE"""),"RapidBrainComics")</f>
        <v>RapidBrainComics</v>
      </c>
      <c r="L4808" s="22" t="str">
        <f>IFERROR(__xludf.DUMMYFUNCTION("""COMPUTED_VALUE"""),"RapidBrain")</f>
        <v>RapidBrain</v>
      </c>
      <c r="M4808" s="33">
        <f>IFERROR(__xludf.DUMMYFUNCTION("""COMPUTED_VALUE"""),46100.0)</f>
        <v>46100</v>
      </c>
      <c r="N4808" s="33">
        <f>IFERROR(__xludf.DUMMYFUNCTION("""COMPUTED_VALUE"""),46253.66666666667)</f>
        <v>46253.66667</v>
      </c>
      <c r="O4808" s="20"/>
      <c r="P4808" s="32" t="str">
        <f>IFERROR(__xludf.DUMMYFUNCTION("""COMPUTED_VALUE"""),"可")</f>
        <v>可</v>
      </c>
      <c r="Q4808" s="30"/>
      <c r="R4808" s="22" t="str">
        <f>IFERROR(__xludf.DUMMYFUNCTION("""COMPUTED_VALUE"""),"コミットOK")</f>
        <v>コミットOK</v>
      </c>
      <c r="S4808" s="22" t="str">
        <f>IFERROR(__xludf.DUMMYFUNCTION("""COMPUTED_VALUE"""),"20260302_Rapidbrain_生後0ヶ月の最強魔王")</f>
        <v>20260302_Rapidbrain_生後0ヶ月の最強魔王</v>
      </c>
      <c r="T4808" s="22" t="str">
        <f>IFERROR(__xludf.DUMMYFUNCTION("""COMPUTED_VALUE"""),"格納済み")</f>
        <v>格納済み</v>
      </c>
      <c r="U4808" s="9" t="str">
        <f>IFERROR(__xludf.DUMMYFUNCTION("""COMPUTED_VALUE"""),"ⒸGhost Mikawa　ⒸYuki Hanabusa　Ⓒmapp")</f>
        <v>ⒸGhost Mikawa　ⒸYuki Hanabusa　Ⓒmapp</v>
      </c>
      <c r="V4808" s="8"/>
      <c r="W4808" s="8"/>
      <c r="X4808" s="8" t="str">
        <f>IFERROR(__xludf.DUMMYFUNCTION("""COMPUTED_VALUE"""),"有")</f>
        <v>有</v>
      </c>
      <c r="Y4808" s="8" t="str">
        <f>IFERROR(__xludf.DUMMYFUNCTION("""COMPUTED_VALUE"""),"2026/9/19まで1巻無料")</f>
        <v>2026/9/19まで1巻無料</v>
      </c>
      <c r="Z4808" s="7"/>
      <c r="AA4808" s="7"/>
      <c r="AB4808" s="7"/>
    </row>
    <row r="4809" ht="15.75" customHeight="1">
      <c r="A4809" s="26">
        <f>IFERROR(__xludf.DUMMYFUNCTION("""COMPUTED_VALUE"""),7404.0)</f>
        <v>7404</v>
      </c>
      <c r="B4809" s="22" t="str">
        <f>IFERROR(__xludf.DUMMYFUNCTION("""COMPUTED_VALUE"""),"確定")</f>
        <v>確定</v>
      </c>
      <c r="C4809" s="28">
        <f>IFERROR(__xludf.DUMMYFUNCTION("""COMPUTED_VALUE"""),46062.0)</f>
        <v>46062</v>
      </c>
      <c r="D4809" s="28">
        <f>IFERROR(__xludf.DUMMYFUNCTION("""COMPUTED_VALUE"""),46083.0)</f>
        <v>46083</v>
      </c>
      <c r="E4809" s="26">
        <f>IFERROR(__xludf.DUMMYFUNCTION("""COMPUTED_VALUE"""),355470.0)</f>
        <v>355470</v>
      </c>
      <c r="F4809" s="22" t="str">
        <f>IFERROR(__xludf.DUMMYFUNCTION("""COMPUTED_VALUE"""),"文学女子とのセックスがこんなにエロいなんて【R版】")</f>
        <v>文学女子とのセックスがこんなにエロいなんて【R版】</v>
      </c>
      <c r="G4809" s="20" t="str">
        <f>IFERROR(__xludf.DUMMYFUNCTION("""COMPUTED_VALUE"""),"1～3")</f>
        <v>1～3</v>
      </c>
      <c r="H4809" s="22" t="str">
        <f>IFERROR(__xludf.DUMMYFUNCTION("""COMPUTED_VALUE"""),"ババロアバス")</f>
        <v>ババロアバス</v>
      </c>
      <c r="I4809" s="22" t="str">
        <f>IFERROR(__xludf.DUMMYFUNCTION("""COMPUTED_VALUE"""),"アダルトマンガ")</f>
        <v>アダルトマンガ</v>
      </c>
      <c r="J4809" s="22"/>
      <c r="K4809" s="22" t="str">
        <f>IFERROR(__xludf.DUMMYFUNCTION("""COMPUTED_VALUE"""),"もえスタビースト")</f>
        <v>もえスタビースト</v>
      </c>
      <c r="L4809" s="22" t="str">
        <f>IFERROR(__xludf.DUMMYFUNCTION("""COMPUTED_VALUE"""),"DEEPER-ZERO")</f>
        <v>DEEPER-ZERO</v>
      </c>
      <c r="M4809" s="33">
        <f>IFERROR(__xludf.DUMMYFUNCTION("""COMPUTED_VALUE"""),46116.0)</f>
        <v>46116</v>
      </c>
      <c r="N4809" s="33">
        <f>IFERROR(__xludf.DUMMYFUNCTION("""COMPUTED_VALUE"""),46178.0)</f>
        <v>46178</v>
      </c>
      <c r="O4809" s="20"/>
      <c r="P4809" s="32" t="str">
        <f>IFERROR(__xludf.DUMMYFUNCTION("""COMPUTED_VALUE"""),"可")</f>
        <v>可</v>
      </c>
      <c r="Q4809" s="30"/>
      <c r="R4809" s="22" t="str">
        <f>IFERROR(__xludf.DUMMYFUNCTION("""COMPUTED_VALUE"""),"コミットOK")</f>
        <v>コミットOK</v>
      </c>
      <c r="S4809" s="22" t="str">
        <f>IFERROR(__xludf.DUMMYFUNCTION("""COMPUTED_VALUE"""),"20260302_DEEPER-ZERO_文学女子とのセックスがこんなにエロいなんて")</f>
        <v>20260302_DEEPER-ZERO_文学女子とのセックスがこんなにエロいなんて</v>
      </c>
      <c r="T4809" s="22" t="str">
        <f>IFERROR(__xludf.DUMMYFUNCTION("""COMPUTED_VALUE"""),"格納済み")</f>
        <v>格納済み</v>
      </c>
      <c r="U4809" s="9" t="str">
        <f>IFERROR(__xludf.DUMMYFUNCTION("""COMPUTED_VALUE"""),"Ⓒババロアバス/DEEPER-ZERO")</f>
        <v>Ⓒババロアバス/DEEPER-ZERO</v>
      </c>
      <c r="V4809" s="8"/>
      <c r="W4809" s="8"/>
      <c r="X4809" s="8" t="str">
        <f>IFERROR(__xludf.DUMMYFUNCTION("""COMPUTED_VALUE"""),"有")</f>
        <v>有</v>
      </c>
      <c r="Y4809" s="8" t="str">
        <f>IFERROR(__xludf.DUMMYFUNCTION("""COMPUTED_VALUE"""),"2026/4/17まで1巻無料")</f>
        <v>2026/4/17まで1巻無料</v>
      </c>
      <c r="Z4809" s="7"/>
      <c r="AA4809" s="7"/>
      <c r="AB4809" s="7"/>
    </row>
    <row r="4810" ht="15.75" customHeight="1">
      <c r="A4810" s="26">
        <f>IFERROR(__xludf.DUMMYFUNCTION("""COMPUTED_VALUE"""),7436.0)</f>
        <v>7436</v>
      </c>
      <c r="B4810" s="22" t="str">
        <f>IFERROR(__xludf.DUMMYFUNCTION("""COMPUTED_VALUE"""),"確定")</f>
        <v>確定</v>
      </c>
      <c r="C4810" s="28">
        <f>IFERROR(__xludf.DUMMYFUNCTION("""COMPUTED_VALUE"""),46065.0)</f>
        <v>46065</v>
      </c>
      <c r="D4810" s="28">
        <f>IFERROR(__xludf.DUMMYFUNCTION("""COMPUTED_VALUE"""),46085.0)</f>
        <v>46085</v>
      </c>
      <c r="E4810" s="26">
        <f>IFERROR(__xludf.DUMMYFUNCTION("""COMPUTED_VALUE"""),354805.0)</f>
        <v>354805</v>
      </c>
      <c r="F4810" s="22" t="str">
        <f>IFERROR(__xludf.DUMMYFUNCTION("""COMPUTED_VALUE"""),"さ迷う8")</f>
        <v>さ迷う8</v>
      </c>
      <c r="G4810" s="20">
        <f>IFERROR(__xludf.DUMMYFUNCTION("""COMPUTED_VALUE"""),1.0)</f>
        <v>1</v>
      </c>
      <c r="H4810" s="22" t="str">
        <f>IFERROR(__xludf.DUMMYFUNCTION("""COMPUTED_VALUE"""),"凡乃ヌイス")</f>
        <v>凡乃ヌイス</v>
      </c>
      <c r="I4810" s="22" t="str">
        <f>IFERROR(__xludf.DUMMYFUNCTION("""COMPUTED_VALUE"""),"BL")</f>
        <v>BL</v>
      </c>
      <c r="J4810" s="22"/>
      <c r="K4810" s="22"/>
      <c r="L4810" s="22" t="str">
        <f>IFERROR(__xludf.DUMMYFUNCTION("""COMPUTED_VALUE"""),"東京漫画社")</f>
        <v>東京漫画社</v>
      </c>
      <c r="M4810" s="33">
        <f>IFERROR(__xludf.DUMMYFUNCTION("""COMPUTED_VALUE"""),46094.0)</f>
        <v>46094</v>
      </c>
      <c r="N4810" s="33">
        <f>IFERROR(__xludf.DUMMYFUNCTION("""COMPUTED_VALUE"""),46149.0)</f>
        <v>46149</v>
      </c>
      <c r="O4810" s="20"/>
      <c r="P4810" s="32" t="str">
        <f>IFERROR(__xludf.DUMMYFUNCTION("""COMPUTED_VALUE"""),"可")</f>
        <v>可</v>
      </c>
      <c r="Q4810" s="30" t="str">
        <f>IFERROR(__xludf.DUMMYFUNCTION("""COMPUTED_VALUE"""),"※『6と7』のスピンオフ作品です。")</f>
        <v>※『6と7』のスピンオフ作品です。</v>
      </c>
      <c r="R4810" s="22" t="str">
        <f>IFERROR(__xludf.DUMMYFUNCTION("""COMPUTED_VALUE"""),"コミットNG")</f>
        <v>コミットNG</v>
      </c>
      <c r="S4810" s="22" t="str">
        <f>IFERROR(__xludf.DUMMYFUNCTION("""COMPUTED_VALUE"""),"20260209_東京漫画社_さ迷う8")</f>
        <v>20260209_東京漫画社_さ迷う8</v>
      </c>
      <c r="T4810" s="22" t="str">
        <f>IFERROR(__xludf.DUMMYFUNCTION("""COMPUTED_VALUE"""),"格納済み")</f>
        <v>格納済み</v>
      </c>
      <c r="U4810" s="9" t="str">
        <f>IFERROR(__xludf.DUMMYFUNCTION("""COMPUTED_VALUE"""),"Ⓒ凡乃ヌイス/東京漫画社")</f>
        <v>Ⓒ凡乃ヌイス/東京漫画社</v>
      </c>
      <c r="V4810" s="8"/>
      <c r="W4810" s="8"/>
      <c r="X4810" s="8" t="str">
        <f>IFERROR(__xludf.DUMMYFUNCTION("""COMPUTED_VALUE"""),"有")</f>
        <v>有</v>
      </c>
      <c r="Y4810" s="8" t="str">
        <f>IFERROR(__xludf.DUMMYFUNCTION("""COMPUTED_VALUE"""),"P5まで")</f>
        <v>P5まで</v>
      </c>
      <c r="Z4810" s="7"/>
      <c r="AA4810" s="7"/>
      <c r="AB4810" s="7"/>
    </row>
    <row r="4811" ht="15.75" customHeight="1">
      <c r="A4811" s="26">
        <f>IFERROR(__xludf.DUMMYFUNCTION("""COMPUTED_VALUE"""),7437.0)</f>
        <v>7437</v>
      </c>
      <c r="B4811" s="22" t="str">
        <f>IFERROR(__xludf.DUMMYFUNCTION("""COMPUTED_VALUE"""),"確定")</f>
        <v>確定</v>
      </c>
      <c r="C4811" s="28">
        <f>IFERROR(__xludf.DUMMYFUNCTION("""COMPUTED_VALUE"""),46065.0)</f>
        <v>46065</v>
      </c>
      <c r="D4811" s="28">
        <f>IFERROR(__xludf.DUMMYFUNCTION("""COMPUTED_VALUE"""),46084.0)</f>
        <v>46084</v>
      </c>
      <c r="E4811" s="26">
        <f>IFERROR(__xludf.DUMMYFUNCTION("""COMPUTED_VALUE"""),355551.0)</f>
        <v>355551</v>
      </c>
      <c r="F4811" s="22" t="str">
        <f>IFERROR(__xludf.DUMMYFUNCTION("""COMPUTED_VALUE"""),"軍神王は不遇の王女を淫らに堕とす【単話売】")</f>
        <v>軍神王は不遇の王女を淫らに堕とす【単話売】</v>
      </c>
      <c r="G4811" s="20" t="str">
        <f>IFERROR(__xludf.DUMMYFUNCTION("""COMPUTED_VALUE"""),"1～3")</f>
        <v>1～3</v>
      </c>
      <c r="H4811" s="22" t="str">
        <f>IFERROR(__xludf.DUMMYFUNCTION("""COMPUTED_VALUE"""),"よしざわ未菜子/佐倉紫/すらだまみ")</f>
        <v>よしざわ未菜子/佐倉紫/すらだまみ</v>
      </c>
      <c r="I4811" s="22" t="str">
        <f>IFERROR(__xludf.DUMMYFUNCTION("""COMPUTED_VALUE"""),"TL")</f>
        <v>TL</v>
      </c>
      <c r="J4811" s="22"/>
      <c r="K4811" s="22" t="str">
        <f>IFERROR(__xludf.DUMMYFUNCTION("""COMPUTED_VALUE"""),"恋愛白書シェリーKiss")</f>
        <v>恋愛白書シェリーKiss</v>
      </c>
      <c r="L4811" s="22" t="str">
        <f>IFERROR(__xludf.DUMMYFUNCTION("""COMPUTED_VALUE"""),"宙出版")</f>
        <v>宙出版</v>
      </c>
      <c r="M4811" s="33">
        <f>IFERROR(__xludf.DUMMYFUNCTION("""COMPUTED_VALUE"""),46119.0)</f>
        <v>46119</v>
      </c>
      <c r="N4811" s="33">
        <f>IFERROR(__xludf.DUMMYFUNCTION("""COMPUTED_VALUE"""),46174.0)</f>
        <v>46174</v>
      </c>
      <c r="O4811" s="20"/>
      <c r="P4811" s="32" t="str">
        <f>IFERROR(__xludf.DUMMYFUNCTION("""COMPUTED_VALUE"""),"可")</f>
        <v>可</v>
      </c>
      <c r="Q4811" s="30" t="str">
        <f>IFERROR(__xludf.DUMMYFUNCTION("""COMPUTED_VALUE"""),"「シェリーLoveノベルズ恋愛小説大賞」の第1回で&lt;BR&gt;大賞を受賞した作品のコミカライズとなります。原作者の佐倉先生はシーモアコミック大賞2026のTL部門で受賞した作品の原作者様でもあります。")</f>
        <v>「シェリーLoveノベルズ恋愛小説大賞」の第1回で&lt;BR&gt;大賞を受賞した作品のコミカライズとなります。原作者の佐倉先生はシーモアコミック大賞2026のTL部門で受賞した作品の原作者様でもあります。</v>
      </c>
      <c r="R4811" s="22" t="str">
        <f>IFERROR(__xludf.DUMMYFUNCTION("""COMPUTED_VALUE"""),"コミットOK")</f>
        <v>コミットOK</v>
      </c>
      <c r="S4811" s="22" t="str">
        <f>IFERROR(__xludf.DUMMYFUNCTION("""COMPUTED_VALUE"""),"20260212_宙出版_軍神王は不遇の王女を淫らに堕とす【単話売】")</f>
        <v>20260212_宙出版_軍神王は不遇の王女を淫らに堕とす【単話売】</v>
      </c>
      <c r="T4811" s="22" t="str">
        <f>IFERROR(__xludf.DUMMYFUNCTION("""COMPUTED_VALUE"""),"格納済み")</f>
        <v>格納済み</v>
      </c>
      <c r="U4811" s="9" t="str">
        <f>IFERROR(__xludf.DUMMYFUNCTION("""COMPUTED_VALUE"""),"Ⓒよしざわ未菜子/佐倉紫/宙出版")</f>
        <v>Ⓒよしざわ未菜子/佐倉紫/宙出版</v>
      </c>
      <c r="V4811" s="8"/>
      <c r="W4811" s="8"/>
      <c r="X4811" s="8" t="str">
        <f>IFERROR(__xludf.DUMMYFUNCTION("""COMPUTED_VALUE"""),"有")</f>
        <v>有</v>
      </c>
      <c r="Y4811" s="8" t="str">
        <f>IFERROR(__xludf.DUMMYFUNCTION("""COMPUTED_VALUE"""),"P8まで")</f>
        <v>P8まで</v>
      </c>
      <c r="Z4811" s="7"/>
      <c r="AA4811" s="7"/>
      <c r="AB4811" s="7"/>
    </row>
    <row r="4812" ht="15.75" customHeight="1">
      <c r="A4812" s="26">
        <f>IFERROR(__xludf.DUMMYFUNCTION("""COMPUTED_VALUE"""),7439.0)</f>
        <v>7439</v>
      </c>
      <c r="B4812" s="22" t="str">
        <f>IFERROR(__xludf.DUMMYFUNCTION("""COMPUTED_VALUE"""),"確定")</f>
        <v>確定</v>
      </c>
      <c r="C4812" s="28">
        <f>IFERROR(__xludf.DUMMYFUNCTION("""COMPUTED_VALUE"""),46065.0)</f>
        <v>46065</v>
      </c>
      <c r="D4812" s="28">
        <f>IFERROR(__xludf.DUMMYFUNCTION("""COMPUTED_VALUE"""),46085.0)</f>
        <v>46085</v>
      </c>
      <c r="E4812" s="26">
        <f>IFERROR(__xludf.DUMMYFUNCTION("""COMPUTED_VALUE"""),355560.0)</f>
        <v>355560</v>
      </c>
      <c r="F4812" s="22" t="str">
        <f>IFERROR(__xludf.DUMMYFUNCTION("""COMPUTED_VALUE"""),"男装騎士と女嫌い公爵様の偽装婚約～いつの間にか溺愛されています～【単話売】")</f>
        <v>男装騎士と女嫌い公爵様の偽装婚約～いつの間にか溺愛されています～【単話売】</v>
      </c>
      <c r="G4812" s="20" t="str">
        <f>IFERROR(__xludf.DUMMYFUNCTION("""COMPUTED_VALUE"""),"1～3")</f>
        <v>1～3</v>
      </c>
      <c r="H4812" s="22" t="str">
        <f>IFERROR(__xludf.DUMMYFUNCTION("""COMPUTED_VALUE"""),"水月あるみ/ヨドミ")</f>
        <v>水月あるみ/ヨドミ</v>
      </c>
      <c r="I4812" s="22" t="str">
        <f>IFERROR(__xludf.DUMMYFUNCTION("""COMPUTED_VALUE"""),"TL")</f>
        <v>TL</v>
      </c>
      <c r="J4812" s="22"/>
      <c r="K4812" s="22" t="str">
        <f>IFERROR(__xludf.DUMMYFUNCTION("""COMPUTED_VALUE"""),"恋愛白書シェリーKiss")</f>
        <v>恋愛白書シェリーKiss</v>
      </c>
      <c r="L4812" s="22" t="str">
        <f>IFERROR(__xludf.DUMMYFUNCTION("""COMPUTED_VALUE"""),"宙出版")</f>
        <v>宙出版</v>
      </c>
      <c r="M4812" s="33">
        <f>IFERROR(__xludf.DUMMYFUNCTION("""COMPUTED_VALUE"""),46119.0)</f>
        <v>46119</v>
      </c>
      <c r="N4812" s="33">
        <f>IFERROR(__xludf.DUMMYFUNCTION("""COMPUTED_VALUE"""),46174.0)</f>
        <v>46174</v>
      </c>
      <c r="O4812" s="20"/>
      <c r="P4812" s="32" t="str">
        <f>IFERROR(__xludf.DUMMYFUNCTION("""COMPUTED_VALUE"""),"可")</f>
        <v>可</v>
      </c>
      <c r="Q4812" s="30" t="str">
        <f>IFERROR(__xludf.DUMMYFUNCTION("""COMPUTED_VALUE"""),"「シェリーLoveノベルズ恋愛小説大賞」の第２回で&lt;BR&gt;佳作を受賞した作品のコミカライズとなります")</f>
        <v>「シェリーLoveノベルズ恋愛小説大賞」の第２回で&lt;BR&gt;佳作を受賞した作品のコミカライズとなります</v>
      </c>
      <c r="R4812" s="22" t="str">
        <f>IFERROR(__xludf.DUMMYFUNCTION("""COMPUTED_VALUE"""),"コミットOK")</f>
        <v>コミットOK</v>
      </c>
      <c r="S4812" s="22" t="str">
        <f>IFERROR(__xludf.DUMMYFUNCTION("""COMPUTED_VALUE"""),"20260212_宙出版_男装騎士と女嫌い公爵様の偽装婚約～いつの間にか溺愛されています～【単話売】")</f>
        <v>20260212_宙出版_男装騎士と女嫌い公爵様の偽装婚約～いつの間にか溺愛されています～【単話売】</v>
      </c>
      <c r="T4812" s="22" t="str">
        <f>IFERROR(__xludf.DUMMYFUNCTION("""COMPUTED_VALUE"""),"格納済み")</f>
        <v>格納済み</v>
      </c>
      <c r="U4812" s="9" t="str">
        <f>IFERROR(__xludf.DUMMYFUNCTION("""COMPUTED_VALUE"""),"Ⓒ水月あるみ/ヨドミ/宙出版")</f>
        <v>Ⓒ水月あるみ/ヨドミ/宙出版</v>
      </c>
      <c r="V4812" s="8"/>
      <c r="W4812" s="8"/>
      <c r="X4812" s="8" t="str">
        <f>IFERROR(__xludf.DUMMYFUNCTION("""COMPUTED_VALUE"""),"有")</f>
        <v>有</v>
      </c>
      <c r="Y4812" s="8" t="str">
        <f>IFERROR(__xludf.DUMMYFUNCTION("""COMPUTED_VALUE"""),"P8まで")</f>
        <v>P8まで</v>
      </c>
      <c r="Z4812" s="7"/>
      <c r="AA4812" s="7"/>
      <c r="AB4812" s="7"/>
    </row>
    <row r="4813" ht="15.75" customHeight="1">
      <c r="A4813" s="26">
        <f>IFERROR(__xludf.DUMMYFUNCTION("""COMPUTED_VALUE"""),7440.0)</f>
        <v>7440</v>
      </c>
      <c r="B4813" s="22" t="str">
        <f>IFERROR(__xludf.DUMMYFUNCTION("""COMPUTED_VALUE"""),"確定")</f>
        <v>確定</v>
      </c>
      <c r="C4813" s="28">
        <f>IFERROR(__xludf.DUMMYFUNCTION("""COMPUTED_VALUE"""),46065.0)</f>
        <v>46065</v>
      </c>
      <c r="D4813" s="28">
        <f>IFERROR(__xludf.DUMMYFUNCTION("""COMPUTED_VALUE"""),46080.0)</f>
        <v>46080</v>
      </c>
      <c r="E4813" s="26">
        <f>IFERROR(__xludf.DUMMYFUNCTION("""COMPUTED_VALUE"""),351541.0)</f>
        <v>351541</v>
      </c>
      <c r="F4813" s="22" t="str">
        <f>IFERROR(__xludf.DUMMYFUNCTION("""COMPUTED_VALUE"""),"コワモテ騎士団長様の専属抱き枕になりました")</f>
        <v>コワモテ騎士団長様の専属抱き枕になりました</v>
      </c>
      <c r="G4813" s="20" t="str">
        <f>IFERROR(__xludf.DUMMYFUNCTION("""COMPUTED_VALUE"""),"1～3")</f>
        <v>1～3</v>
      </c>
      <c r="H4813" s="22" t="str">
        <f>IFERROR(__xludf.DUMMYFUNCTION("""COMPUTED_VALUE"""),"漫画：紫妲たかゆき　原作：マチバリ")</f>
        <v>漫画：紫妲たかゆき　原作：マチバリ</v>
      </c>
      <c r="I4813" s="22" t="str">
        <f>IFERROR(__xludf.DUMMYFUNCTION("""COMPUTED_VALUE"""),"女性")</f>
        <v>女性</v>
      </c>
      <c r="J4813" s="22"/>
      <c r="K4813" s="22" t="str">
        <f>IFERROR(__xludf.DUMMYFUNCTION("""COMPUTED_VALUE"""),"re:belle")</f>
        <v>re:belle</v>
      </c>
      <c r="L4813" s="22" t="str">
        <f>IFERROR(__xludf.DUMMYFUNCTION("""COMPUTED_VALUE"""),"CLAPコミックス")</f>
        <v>CLAPコミックス</v>
      </c>
      <c r="M4813" s="33">
        <f>IFERROR(__xludf.DUMMYFUNCTION("""COMPUTED_VALUE"""),46107.0)</f>
        <v>46107</v>
      </c>
      <c r="N4813" s="33">
        <f>IFERROR(__xludf.DUMMYFUNCTION("""COMPUTED_VALUE"""),46258.66666666667)</f>
        <v>46258.66667</v>
      </c>
      <c r="O4813" s="20"/>
      <c r="P4813" s="32" t="str">
        <f>IFERROR(__xludf.DUMMYFUNCTION("""COMPUTED_VALUE"""),"可")</f>
        <v>可</v>
      </c>
      <c r="Q4813" s="30"/>
      <c r="R4813" s="22" t="str">
        <f>IFERROR(__xludf.DUMMYFUNCTION("""COMPUTED_VALUE"""),"コミットOK")</f>
        <v>コミットOK</v>
      </c>
      <c r="S4813" s="22" t="str">
        <f>IFERROR(__xludf.DUMMYFUNCTION("""COMPUTED_VALUE"""),"20250227_CLAPコミックス_コワモテ騎士団長様の専属抱き枕になりました")</f>
        <v>20250227_CLAPコミックス_コワモテ騎士団長様の専属抱き枕になりました</v>
      </c>
      <c r="T4813" s="22" t="str">
        <f>IFERROR(__xludf.DUMMYFUNCTION("""COMPUTED_VALUE"""),"格納済み")</f>
        <v>格納済み</v>
      </c>
      <c r="U4813" s="9" t="str">
        <f>IFERROR(__xludf.DUMMYFUNCTION("""COMPUTED_VALUE"""),"紫妲たかゆき・マチバリ/CLAPコミックス")</f>
        <v>紫妲たかゆき・マチバリ/CLAPコミックス</v>
      </c>
      <c r="V4813" s="8"/>
      <c r="W4813" s="8"/>
      <c r="X4813" s="8" t="str">
        <f>IFERROR(__xludf.DUMMYFUNCTION("""COMPUTED_VALUE"""),"有")</f>
        <v>有</v>
      </c>
      <c r="Y4813" s="8" t="str">
        <f>IFERROR(__xludf.DUMMYFUNCTION("""COMPUTED_VALUE"""),"2026/4/8まで1巻無料")</f>
        <v>2026/4/8まで1巻無料</v>
      </c>
      <c r="Z4813" s="7"/>
      <c r="AA4813" s="7"/>
      <c r="AB4813" s="7"/>
    </row>
    <row r="4814" ht="15.75" customHeight="1">
      <c r="A4814" s="26">
        <f>IFERROR(__xludf.DUMMYFUNCTION("""COMPUTED_VALUE"""),7476.0)</f>
        <v>7476</v>
      </c>
      <c r="B4814" s="22" t="str">
        <f>IFERROR(__xludf.DUMMYFUNCTION("""COMPUTED_VALUE"""),"確定")</f>
        <v>確定</v>
      </c>
      <c r="C4814" s="28">
        <f>IFERROR(__xludf.DUMMYFUNCTION("""COMPUTED_VALUE"""),46070.0)</f>
        <v>46070</v>
      </c>
      <c r="D4814" s="28">
        <f>IFERROR(__xludf.DUMMYFUNCTION("""COMPUTED_VALUE"""),46084.0)</f>
        <v>46084</v>
      </c>
      <c r="E4814" s="26">
        <f>IFERROR(__xludf.DUMMYFUNCTION("""COMPUTED_VALUE"""),355299.0)</f>
        <v>355299</v>
      </c>
      <c r="F4814" s="22" t="str">
        <f>IFERROR(__xludf.DUMMYFUNCTION("""COMPUTED_VALUE"""),"夢から始まる恋でもいい")</f>
        <v>夢から始まる恋でもいい</v>
      </c>
      <c r="G4814" s="20" t="str">
        <f>IFERROR(__xludf.DUMMYFUNCTION("""COMPUTED_VALUE"""),"1～2")</f>
        <v>1～2</v>
      </c>
      <c r="H4814" s="22" t="str">
        <f>IFERROR(__xludf.DUMMYFUNCTION("""COMPUTED_VALUE"""),"うしぢま")</f>
        <v>うしぢま</v>
      </c>
      <c r="I4814" s="22" t="str">
        <f>IFERROR(__xludf.DUMMYFUNCTION("""COMPUTED_VALUE"""),"BL")</f>
        <v>BL</v>
      </c>
      <c r="J4814" s="22"/>
      <c r="K4814" s="22"/>
      <c r="L4814" s="22" t="str">
        <f>IFERROR(__xludf.DUMMYFUNCTION("""COMPUTED_VALUE"""),"ontembaar")</f>
        <v>ontembaar</v>
      </c>
      <c r="M4814" s="33">
        <f>IFERROR(__xludf.DUMMYFUNCTION("""COMPUTED_VALUE"""),46120.0)</f>
        <v>46120</v>
      </c>
      <c r="N4814" s="33">
        <f>IFERROR(__xludf.DUMMYFUNCTION("""COMPUTED_VALUE"""),46210.0)</f>
        <v>46210</v>
      </c>
      <c r="O4814" s="20"/>
      <c r="P4814" s="32" t="str">
        <f>IFERROR(__xludf.DUMMYFUNCTION("""COMPUTED_VALUE"""),"可")</f>
        <v>可</v>
      </c>
      <c r="Q4814" s="30" t="str">
        <f>IFERROR(__xludf.DUMMYFUNCTION("""COMPUTED_VALUE"""),"【アダルト作品扱い】")</f>
        <v>【アダルト作品扱い】</v>
      </c>
      <c r="R4814" s="22" t="str">
        <f>IFERROR(__xludf.DUMMYFUNCTION("""COMPUTED_VALUE"""),"コミットOK")</f>
        <v>コミットOK</v>
      </c>
      <c r="S4814" s="22" t="str">
        <f>IFERROR(__xludf.DUMMYFUNCTION("""COMPUTED_VALUE"""),"20260225_ontembaar_夢から始まる恋でもいい")</f>
        <v>20260225_ontembaar_夢から始まる恋でもいい</v>
      </c>
      <c r="T4814" s="22" t="str">
        <f>IFERROR(__xludf.DUMMYFUNCTION("""COMPUTED_VALUE"""),"格納済み")</f>
        <v>格納済み</v>
      </c>
      <c r="U4814" s="9" t="str">
        <f>IFERROR(__xludf.DUMMYFUNCTION("""COMPUTED_VALUE"""),"(C)ontembaar        ")</f>
        <v>(C)ontembaar        </v>
      </c>
      <c r="V4814" s="8"/>
      <c r="W4814" s="8"/>
      <c r="X4814" s="8" t="str">
        <f>IFERROR(__xludf.DUMMYFUNCTION("""COMPUTED_VALUE"""),"有")</f>
        <v>有</v>
      </c>
      <c r="Y4814" s="8" t="str">
        <f>IFERROR(__xludf.DUMMYFUNCTION("""COMPUTED_VALUE"""),"P10まで")</f>
        <v>P10まで</v>
      </c>
      <c r="Z4814" s="7"/>
      <c r="AA4814" s="7"/>
      <c r="AB4814" s="7"/>
    </row>
    <row r="4815" ht="15.75" customHeight="1">
      <c r="A4815" s="26">
        <f>IFERROR(__xludf.DUMMYFUNCTION("""COMPUTED_VALUE"""),7477.0)</f>
        <v>7477</v>
      </c>
      <c r="B4815" s="22" t="str">
        <f>IFERROR(__xludf.DUMMYFUNCTION("""COMPUTED_VALUE"""),"確定")</f>
        <v>確定</v>
      </c>
      <c r="C4815" s="28">
        <f>IFERROR(__xludf.DUMMYFUNCTION("""COMPUTED_VALUE"""),46070.0)</f>
        <v>46070</v>
      </c>
      <c r="D4815" s="28">
        <f>IFERROR(__xludf.DUMMYFUNCTION("""COMPUTED_VALUE"""),46080.0)</f>
        <v>46080</v>
      </c>
      <c r="E4815" s="26">
        <f>IFERROR(__xludf.DUMMYFUNCTION("""COMPUTED_VALUE"""),355300.0)</f>
        <v>355300</v>
      </c>
      <c r="F4815" s="22" t="str">
        <f>IFERROR(__xludf.DUMMYFUNCTION("""COMPUTED_VALUE"""),"恋は溺れても飲まれるな！")</f>
        <v>恋は溺れても飲まれるな！</v>
      </c>
      <c r="G4815" s="20" t="str">
        <f>IFERROR(__xludf.DUMMYFUNCTION("""COMPUTED_VALUE"""),"1～2")</f>
        <v>1～2</v>
      </c>
      <c r="H4815" s="22" t="str">
        <f>IFERROR(__xludf.DUMMYFUNCTION("""COMPUTED_VALUE"""),"おにぎりニギル")</f>
        <v>おにぎりニギル</v>
      </c>
      <c r="I4815" s="22" t="str">
        <f>IFERROR(__xludf.DUMMYFUNCTION("""COMPUTED_VALUE"""),"BL")</f>
        <v>BL</v>
      </c>
      <c r="J4815" s="22"/>
      <c r="K4815" s="22"/>
      <c r="L4815" s="22" t="str">
        <f>IFERROR(__xludf.DUMMYFUNCTION("""COMPUTED_VALUE"""),"ontembaar")</f>
        <v>ontembaar</v>
      </c>
      <c r="M4815" s="33">
        <f>IFERROR(__xludf.DUMMYFUNCTION("""COMPUTED_VALUE"""),46120.0)</f>
        <v>46120</v>
      </c>
      <c r="N4815" s="33">
        <f>IFERROR(__xludf.DUMMYFUNCTION("""COMPUTED_VALUE"""),46210.0)</f>
        <v>46210</v>
      </c>
      <c r="O4815" s="20"/>
      <c r="P4815" s="32" t="str">
        <f>IFERROR(__xludf.DUMMYFUNCTION("""COMPUTED_VALUE"""),"可")</f>
        <v>可</v>
      </c>
      <c r="Q4815" s="30"/>
      <c r="R4815" s="22" t="str">
        <f>IFERROR(__xludf.DUMMYFUNCTION("""COMPUTED_VALUE"""),"コミットOK")</f>
        <v>コミットOK</v>
      </c>
      <c r="S4815" s="22" t="str">
        <f>IFERROR(__xludf.DUMMYFUNCTION("""COMPUTED_VALUE"""),"20260225_ontembaar_恋は溺れても飲まれるな！")</f>
        <v>20260225_ontembaar_恋は溺れても飲まれるな！</v>
      </c>
      <c r="T4815" s="22" t="str">
        <f>IFERROR(__xludf.DUMMYFUNCTION("""COMPUTED_VALUE"""),"格納済み")</f>
        <v>格納済み</v>
      </c>
      <c r="U4815" s="9" t="str">
        <f>IFERROR(__xludf.DUMMYFUNCTION("""COMPUTED_VALUE"""),"(C)ontembaar        ")</f>
        <v>(C)ontembaar        </v>
      </c>
      <c r="V4815" s="8"/>
      <c r="W4815" s="8"/>
      <c r="X4815" s="8" t="str">
        <f>IFERROR(__xludf.DUMMYFUNCTION("""COMPUTED_VALUE"""),"有")</f>
        <v>有</v>
      </c>
      <c r="Y4815" s="8" t="str">
        <f>IFERROR(__xludf.DUMMYFUNCTION("""COMPUTED_VALUE"""),"P10まで")</f>
        <v>P10まで</v>
      </c>
      <c r="Z4815" s="7"/>
      <c r="AA4815" s="7"/>
      <c r="AB4815" s="7"/>
    </row>
    <row r="4816" ht="15.75" customHeight="1">
      <c r="A4816" s="26">
        <f>IFERROR(__xludf.DUMMYFUNCTION("""COMPUTED_VALUE"""),7513.0)</f>
        <v>7513</v>
      </c>
      <c r="B4816" s="22" t="str">
        <f>IFERROR(__xludf.DUMMYFUNCTION("""COMPUTED_VALUE"""),"確定")</f>
        <v>確定</v>
      </c>
      <c r="C4816" s="28">
        <f>IFERROR(__xludf.DUMMYFUNCTION("""COMPUTED_VALUE"""),46077.0)</f>
        <v>46077</v>
      </c>
      <c r="D4816" s="28">
        <f>IFERROR(__xludf.DUMMYFUNCTION("""COMPUTED_VALUE"""),46083.0)</f>
        <v>46083</v>
      </c>
      <c r="E4816" s="26">
        <f>IFERROR(__xludf.DUMMYFUNCTION("""COMPUTED_VALUE"""),322273.0)</f>
        <v>322273</v>
      </c>
      <c r="F4816" s="22" t="str">
        <f>IFERROR(__xludf.DUMMYFUNCTION("""COMPUTED_VALUE"""),"だるヒールとサイレント")</f>
        <v>だるヒールとサイレント</v>
      </c>
      <c r="G4816" s="20" t="str">
        <f>IFERROR(__xludf.DUMMYFUNCTION("""COMPUTED_VALUE"""),"1～3")</f>
        <v>1～3</v>
      </c>
      <c r="H4816" s="22" t="str">
        <f>IFERROR(__xludf.DUMMYFUNCTION("""COMPUTED_VALUE"""),"春巻はるな")</f>
        <v>春巻はるな</v>
      </c>
      <c r="I4816" s="22" t="str">
        <f>IFERROR(__xludf.DUMMYFUNCTION("""COMPUTED_VALUE"""),"少女マンガ")</f>
        <v>少女マンガ</v>
      </c>
      <c r="J4816" s="22"/>
      <c r="K4816" s="22" t="str">
        <f>IFERROR(__xludf.DUMMYFUNCTION("""COMPUTED_VALUE"""),"恋するソワレ")</f>
        <v>恋するソワレ</v>
      </c>
      <c r="L4816" s="22" t="str">
        <f>IFERROR(__xludf.DUMMYFUNCTION("""COMPUTED_VALUE"""),"シーモアコミックス")</f>
        <v>シーモアコミックス</v>
      </c>
      <c r="M4816" s="33">
        <f>IFERROR(__xludf.DUMMYFUNCTION("""COMPUTED_VALUE"""),46109.0)</f>
        <v>46109</v>
      </c>
      <c r="N4816" s="33"/>
      <c r="O4816" s="20"/>
      <c r="P4816" s="32" t="str">
        <f>IFERROR(__xludf.DUMMYFUNCTION("""COMPUTED_VALUE"""),"可")</f>
        <v>可</v>
      </c>
      <c r="Q4816" s="30"/>
      <c r="R4816" s="22"/>
      <c r="S4816" s="22" t="str">
        <f>IFERROR(__xludf.DUMMYFUNCTION("""COMPUTED_VALUE"""),"20260224_シーモアコミックス_だるヒールとサイレント")</f>
        <v>20260224_シーモアコミックス_だるヒールとサイレント</v>
      </c>
      <c r="T4816" s="22" t="str">
        <f>IFERROR(__xludf.DUMMYFUNCTION("""COMPUTED_VALUE"""),"格納済み")</f>
        <v>格納済み</v>
      </c>
      <c r="U4816" s="9" t="str">
        <f>IFERROR(__xludf.DUMMYFUNCTION("""COMPUTED_VALUE"""),"(C) 春巻はるな/シーモアコミックス")</f>
        <v>(C) 春巻はるな/シーモアコミックス</v>
      </c>
      <c r="V4816" s="8"/>
      <c r="W4816" s="8"/>
      <c r="X4816" s="8" t="str">
        <f>IFERROR(__xludf.DUMMYFUNCTION("""COMPUTED_VALUE"""),"有")</f>
        <v>有</v>
      </c>
      <c r="Y4816" s="8" t="str">
        <f>IFERROR(__xludf.DUMMYFUNCTION("""COMPUTED_VALUE"""),"2026/4/24まで1巻無料")</f>
        <v>2026/4/24まで1巻無料</v>
      </c>
      <c r="Z4816" s="7"/>
      <c r="AA4816" s="7"/>
      <c r="AB4816" s="7"/>
    </row>
    <row r="4817" ht="15.75" customHeight="1">
      <c r="A4817" s="26">
        <f>IFERROR(__xludf.DUMMYFUNCTION("""COMPUTED_VALUE"""),7525.0)</f>
        <v>7525</v>
      </c>
      <c r="B4817" s="22" t="str">
        <f>IFERROR(__xludf.DUMMYFUNCTION("""COMPUTED_VALUE"""),"確定")</f>
        <v>確定</v>
      </c>
      <c r="C4817" s="28">
        <f>IFERROR(__xludf.DUMMYFUNCTION("""COMPUTED_VALUE"""),46078.0)</f>
        <v>46078</v>
      </c>
      <c r="D4817" s="28">
        <f>IFERROR(__xludf.DUMMYFUNCTION("""COMPUTED_VALUE"""),46084.0)</f>
        <v>46084</v>
      </c>
      <c r="E4817" s="26">
        <f>IFERROR(__xludf.DUMMYFUNCTION("""COMPUTED_VALUE"""),352515.0)</f>
        <v>352515</v>
      </c>
      <c r="F4817" s="22" t="str">
        <f>IFERROR(__xludf.DUMMYFUNCTION("""COMPUTED_VALUE"""),"愛欲インストール-歪んだセクサロイドの暴走-")</f>
        <v>愛欲インストール-歪んだセクサロイドの暴走-</v>
      </c>
      <c r="G4817" s="20" t="str">
        <f>IFERROR(__xludf.DUMMYFUNCTION("""COMPUTED_VALUE"""),"1～3")</f>
        <v>1～3</v>
      </c>
      <c r="H4817" s="22" t="str">
        <f>IFERROR(__xludf.DUMMYFUNCTION("""COMPUTED_VALUE"""),"黒崎リリー")</f>
        <v>黒崎リリー</v>
      </c>
      <c r="I4817" s="22" t="str">
        <f>IFERROR(__xludf.DUMMYFUNCTION("""COMPUTED_VALUE"""),"女性")</f>
        <v>女性</v>
      </c>
      <c r="J4817" s="22"/>
      <c r="K4817" s="22"/>
      <c r="L4817" s="22" t="str">
        <f>IFERROR(__xludf.DUMMYFUNCTION("""COMPUTED_VALUE"""),"秋田書店")</f>
        <v>秋田書店</v>
      </c>
      <c r="M4817" s="33">
        <f>IFERROR(__xludf.DUMMYFUNCTION("""COMPUTED_VALUE"""),46097.0)</f>
        <v>46097</v>
      </c>
      <c r="N4817" s="33">
        <f>IFERROR(__xludf.DUMMYFUNCTION("""COMPUTED_VALUE"""),46127.0)</f>
        <v>46127</v>
      </c>
      <c r="O4817" s="20"/>
      <c r="P4817" s="32" t="str">
        <f>IFERROR(__xludf.DUMMYFUNCTION("""COMPUTED_VALUE"""),"可")</f>
        <v>可</v>
      </c>
      <c r="Q4817" s="30"/>
      <c r="R4817" s="22"/>
      <c r="S4817" s="22" t="str">
        <f>IFERROR(__xludf.DUMMYFUNCTION("""COMPUTED_VALUE"""),"20260225_秋田書店_愛欲インストール-歪んだセクサロイドの暴走-")</f>
        <v>20260225_秋田書店_愛欲インストール-歪んだセクサロイドの暴走-</v>
      </c>
      <c r="T4817" s="22" t="str">
        <f>IFERROR(__xludf.DUMMYFUNCTION("""COMPUTED_VALUE"""),"格納済み")</f>
        <v>格納済み</v>
      </c>
      <c r="U4817" s="9" t="str">
        <f>IFERROR(__xludf.DUMMYFUNCTION("""COMPUTED_VALUE"""),"（C）黒崎リリー（秋田書店）")</f>
        <v>（C）黒崎リリー（秋田書店）</v>
      </c>
      <c r="V4817" s="8"/>
      <c r="W4817" s="8"/>
      <c r="X4817" s="8" t="str">
        <f>IFERROR(__xludf.DUMMYFUNCTION("""COMPUTED_VALUE"""),"有")</f>
        <v>有</v>
      </c>
      <c r="Y4817" s="8" t="str">
        <f>IFERROR(__xludf.DUMMYFUNCTION("""COMPUTED_VALUE"""),"P5まで")</f>
        <v>P5まで</v>
      </c>
      <c r="Z4817" s="7"/>
      <c r="AA4817" s="7"/>
      <c r="AB4817" s="7"/>
    </row>
    <row r="4818" ht="15.75" customHeight="1">
      <c r="A4818" s="26">
        <f>IFERROR(__xludf.DUMMYFUNCTION("""COMPUTED_VALUE"""),7533.0)</f>
        <v>7533</v>
      </c>
      <c r="B4818" s="22" t="str">
        <f>IFERROR(__xludf.DUMMYFUNCTION("""COMPUTED_VALUE"""),"確定")</f>
        <v>確定</v>
      </c>
      <c r="C4818" s="28">
        <f>IFERROR(__xludf.DUMMYFUNCTION("""COMPUTED_VALUE"""),46079.0)</f>
        <v>46079</v>
      </c>
      <c r="D4818" s="28">
        <f>IFERROR(__xludf.DUMMYFUNCTION("""COMPUTED_VALUE"""),46080.0)</f>
        <v>46080</v>
      </c>
      <c r="E4818" s="26">
        <f>IFERROR(__xludf.DUMMYFUNCTION("""COMPUTED_VALUE"""),353641.0)</f>
        <v>353641</v>
      </c>
      <c r="F4818" s="22" t="str">
        <f>IFERROR(__xludf.DUMMYFUNCTION("""COMPUTED_VALUE"""),"ゆらめいて、つかまえて")</f>
        <v>ゆらめいて、つかまえて</v>
      </c>
      <c r="G4818" s="20" t="str">
        <f>IFERROR(__xludf.DUMMYFUNCTION("""COMPUTED_VALUE"""),"1~4")</f>
        <v>1~4</v>
      </c>
      <c r="H4818" s="22" t="str">
        <f>IFERROR(__xludf.DUMMYFUNCTION("""COMPUTED_VALUE"""),"はなぽん")</f>
        <v>はなぽん</v>
      </c>
      <c r="I4818" s="22" t="str">
        <f>IFERROR(__xludf.DUMMYFUNCTION("""COMPUTED_VALUE"""),"BL")</f>
        <v>BL</v>
      </c>
      <c r="J4818" s="22"/>
      <c r="K4818" s="22" t="str">
        <f>IFERROR(__xludf.DUMMYFUNCTION("""COMPUTED_VALUE"""),"マンガMee")</f>
        <v>マンガMee</v>
      </c>
      <c r="L4818" s="22" t="str">
        <f>IFERROR(__xludf.DUMMYFUNCTION("""COMPUTED_VALUE"""),"集英社")</f>
        <v>集英社</v>
      </c>
      <c r="M4818" s="33">
        <f>IFERROR(__xludf.DUMMYFUNCTION("""COMPUTED_VALUE"""),46106.0)</f>
        <v>46106</v>
      </c>
      <c r="N4818" s="33">
        <f>IFERROR(__xludf.DUMMYFUNCTION("""COMPUTED_VALUE"""),46136.0)</f>
        <v>46136</v>
      </c>
      <c r="O4818" s="20"/>
      <c r="P4818" s="32" t="str">
        <f>IFERROR(__xludf.DUMMYFUNCTION("""COMPUTED_VALUE"""),"否")</f>
        <v>否</v>
      </c>
      <c r="Q4818" s="30"/>
      <c r="R4818" s="22"/>
      <c r="S4818" s="22" t="str">
        <f>IFERROR(__xludf.DUMMYFUNCTION("""COMPUTED_VALUE"""),"20260226_集英社_ゆらめいて、つかまえて")</f>
        <v>20260226_集英社_ゆらめいて、つかまえて</v>
      </c>
      <c r="T4818" s="22" t="str">
        <f>IFERROR(__xludf.DUMMYFUNCTION("""COMPUTED_VALUE"""),"格納済み")</f>
        <v>格納済み</v>
      </c>
      <c r="U4818" s="9" t="str">
        <f>IFERROR(__xludf.DUMMYFUNCTION("""COMPUTED_VALUE"""),"(C)はなぽん／集英社")</f>
        <v>(C)はなぽん／集英社</v>
      </c>
      <c r="V4818" s="8"/>
      <c r="W4818" s="8"/>
      <c r="X4818" s="8" t="str">
        <f>IFERROR(__xludf.DUMMYFUNCTION("""COMPUTED_VALUE"""),"有")</f>
        <v>有</v>
      </c>
      <c r="Y4818" s="8" t="str">
        <f>IFERROR(__xludf.DUMMYFUNCTION("""COMPUTED_VALUE"""),"P44まで")</f>
        <v>P44まで</v>
      </c>
      <c r="Z4818" s="7"/>
      <c r="AA4818" s="7"/>
      <c r="AB4818" s="7"/>
    </row>
    <row r="4819" ht="15.75" customHeight="1">
      <c r="A4819" s="26">
        <f>IFERROR(__xludf.DUMMYFUNCTION("""COMPUTED_VALUE"""),7552.0)</f>
        <v>7552</v>
      </c>
      <c r="B4819" s="22" t="str">
        <f>IFERROR(__xludf.DUMMYFUNCTION("""COMPUTED_VALUE"""),"確定")</f>
        <v>確定</v>
      </c>
      <c r="C4819" s="28">
        <f>IFERROR(__xludf.DUMMYFUNCTION("""COMPUTED_VALUE"""),46083.0)</f>
        <v>46083</v>
      </c>
      <c r="D4819" s="28">
        <f>IFERROR(__xludf.DUMMYFUNCTION("""COMPUTED_VALUE"""),46084.0)</f>
        <v>46084</v>
      </c>
      <c r="E4819" s="26">
        <f>IFERROR(__xludf.DUMMYFUNCTION("""COMPUTED_VALUE"""),353718.0)</f>
        <v>353718</v>
      </c>
      <c r="F4819" s="22" t="str">
        <f>IFERROR(__xludf.DUMMYFUNCTION("""COMPUTED_VALUE"""),"アロハガール")</f>
        <v>アロハガール</v>
      </c>
      <c r="G4819" s="20">
        <f>IFERROR(__xludf.DUMMYFUNCTION("""COMPUTED_VALUE"""),1.0)</f>
        <v>1</v>
      </c>
      <c r="H4819" s="22" t="str">
        <f>IFERROR(__xludf.DUMMYFUNCTION("""COMPUTED_VALUE"""),"原作：如月園　作画：萩原さおり")</f>
        <v>原作：如月園　作画：萩原さおり</v>
      </c>
      <c r="I4819" s="22" t="str">
        <f>IFERROR(__xludf.DUMMYFUNCTION("""COMPUTED_VALUE"""),"女性")</f>
        <v>女性</v>
      </c>
      <c r="J4819" s="22"/>
      <c r="K4819" s="22"/>
      <c r="L4819" s="22" t="str">
        <f>IFERROR(__xludf.DUMMYFUNCTION("""COMPUTED_VALUE"""),"集英社")</f>
        <v>集英社</v>
      </c>
      <c r="M4819" s="33">
        <f>IFERROR(__xludf.DUMMYFUNCTION("""COMPUTED_VALUE"""),46110.0)</f>
        <v>46110</v>
      </c>
      <c r="N4819" s="33">
        <f>IFERROR(__xludf.DUMMYFUNCTION("""COMPUTED_VALUE"""),46134.0)</f>
        <v>46134</v>
      </c>
      <c r="O4819" s="20"/>
      <c r="P4819" s="32" t="str">
        <f>IFERROR(__xludf.DUMMYFUNCTION("""COMPUTED_VALUE"""),"否")</f>
        <v>否</v>
      </c>
      <c r="Q4819" s="30"/>
      <c r="R4819" s="22"/>
      <c r="S4819" s="22" t="str">
        <f>IFERROR(__xludf.DUMMYFUNCTION("""COMPUTED_VALUE"""),"20260302_集英社_アロハガール")</f>
        <v>20260302_集英社_アロハガール</v>
      </c>
      <c r="T4819" s="22" t="str">
        <f>IFERROR(__xludf.DUMMYFUNCTION("""COMPUTED_VALUE"""),"格納済み")</f>
        <v>格納済み</v>
      </c>
      <c r="U4819" s="9" t="str">
        <f>IFERROR(__xludf.DUMMYFUNCTION("""COMPUTED_VALUE"""),"(C)如月園・萩原さおり／集英社")</f>
        <v>(C)如月園・萩原さおり／集英社</v>
      </c>
      <c r="V4819" s="8"/>
      <c r="W4819" s="8"/>
      <c r="X4819" s="8" t="str">
        <f>IFERROR(__xludf.DUMMYFUNCTION("""COMPUTED_VALUE"""),"有")</f>
        <v>有</v>
      </c>
      <c r="Y4819" s="8" t="str">
        <f>IFERROR(__xludf.DUMMYFUNCTION("""COMPUTED_VALUE"""),"2026/4/28まで1巻立ち読み増量（P80）")</f>
        <v>2026/4/28まで1巻立ち読み増量（P80）</v>
      </c>
      <c r="Z4819" s="7"/>
      <c r="AA4819" s="7"/>
      <c r="AB4819" s="7"/>
    </row>
    <row r="4820" ht="15.75" customHeight="1">
      <c r="A4820" s="26">
        <f>IFERROR(__xludf.DUMMYFUNCTION("""COMPUTED_VALUE"""),7556.0)</f>
        <v>7556</v>
      </c>
      <c r="B4820" s="22" t="str">
        <f>IFERROR(__xludf.DUMMYFUNCTION("""COMPUTED_VALUE"""),"確定")</f>
        <v>確定</v>
      </c>
      <c r="C4820" s="28">
        <f>IFERROR(__xludf.DUMMYFUNCTION("""COMPUTED_VALUE"""),46084.0)</f>
        <v>46084</v>
      </c>
      <c r="D4820" s="28">
        <f>IFERROR(__xludf.DUMMYFUNCTION("""COMPUTED_VALUE"""),46085.0)</f>
        <v>46085</v>
      </c>
      <c r="E4820" s="26">
        <f>IFERROR(__xludf.DUMMYFUNCTION("""COMPUTED_VALUE"""),356709.0)</f>
        <v>356709</v>
      </c>
      <c r="F4820" s="22" t="str">
        <f>IFERROR(__xludf.DUMMYFUNCTION("""COMPUTED_VALUE"""),"政略より愛を選んだ結婚。　～後悔は十年後にやってきた。～（分冊版）")</f>
        <v>政略より愛を選んだ結婚。　～後悔は十年後にやってきた。～（分冊版）</v>
      </c>
      <c r="G4820" s="20" t="str">
        <f>IFERROR(__xludf.DUMMYFUNCTION("""COMPUTED_VALUE"""),"1～5")</f>
        <v>1～5</v>
      </c>
      <c r="H4820" s="22" t="str">
        <f>IFERROR(__xludf.DUMMYFUNCTION("""COMPUTED_VALUE"""),"つくも茄子・ 大庭ジョルジョ")</f>
        <v>つくも茄子・ 大庭ジョルジョ</v>
      </c>
      <c r="I4820" s="22" t="str">
        <f>IFERROR(__xludf.DUMMYFUNCTION("""COMPUTED_VALUE"""),"女性")</f>
        <v>女性</v>
      </c>
      <c r="J4820" s="22"/>
      <c r="K4820" s="22"/>
      <c r="L4820" s="22" t="str">
        <f>IFERROR(__xludf.DUMMYFUNCTION("""COMPUTED_VALUE"""),"アルファポリス")</f>
        <v>アルファポリス</v>
      </c>
      <c r="M4820" s="33">
        <f>IFERROR(__xludf.DUMMYFUNCTION("""COMPUTED_VALUE"""),46132.0)</f>
        <v>46132</v>
      </c>
      <c r="N4820" s="33">
        <f>IFERROR(__xludf.DUMMYFUNCTION("""COMPUTED_VALUE"""),46257.66666666667)</f>
        <v>46257.66667</v>
      </c>
      <c r="O4820" s="20"/>
      <c r="P4820" s="32" t="str">
        <f>IFERROR(__xludf.DUMMYFUNCTION("""COMPUTED_VALUE"""),"可")</f>
        <v>可</v>
      </c>
      <c r="Q4820" s="30" t="str">
        <f>IFERROR(__xludf.DUMMYFUNCTION("""COMPUTED_VALUE"""),"【アウトバウンド提案】")</f>
        <v>【アウトバウンド提案】</v>
      </c>
      <c r="R4820" s="22"/>
      <c r="S4820" s="22" t="str">
        <f>IFERROR(__xludf.DUMMYFUNCTION("""COMPUTED_VALUE"""),"20260302_アルファポリス_政略より愛を選んだ結婚。～後悔は十年後にやってきた。～")</f>
        <v>20260302_アルファポリス_政略より愛を選んだ結婚。～後悔は十年後にやってきた。～</v>
      </c>
      <c r="T4820" s="22" t="str">
        <f>IFERROR(__xludf.DUMMYFUNCTION("""COMPUTED_VALUE"""),"格納済み")</f>
        <v>格納済み</v>
      </c>
      <c r="U4820" s="9" t="str">
        <f>IFERROR(__xludf.DUMMYFUNCTION("""COMPUTED_VALUE"""),"（C）つくも茄子・大庭ジョルジョ／アルファポリス")</f>
        <v>（C）つくも茄子・大庭ジョルジョ／アルファポリス</v>
      </c>
      <c r="V4820" s="8"/>
      <c r="W4820" s="8"/>
      <c r="X4820" s="8" t="str">
        <f>IFERROR(__xludf.DUMMYFUNCTION("""COMPUTED_VALUE"""),"有")</f>
        <v>有</v>
      </c>
      <c r="Y4820" s="8" t="str">
        <f>IFERROR(__xludf.DUMMYFUNCTION("""COMPUTED_VALUE"""),"1巻無料")</f>
        <v>1巻無料</v>
      </c>
      <c r="Z4820" s="7"/>
      <c r="AA4820" s="7"/>
      <c r="AB4820" s="7"/>
    </row>
    <row r="4821" ht="15.75" customHeight="1">
      <c r="A4821" s="26">
        <f>IFERROR(__xludf.DUMMYFUNCTION("""COMPUTED_VALUE"""),7568.0)</f>
        <v>7568</v>
      </c>
      <c r="B4821" s="22" t="str">
        <f>IFERROR(__xludf.DUMMYFUNCTION("""COMPUTED_VALUE"""),"確定")</f>
        <v>確定</v>
      </c>
      <c r="C4821" s="28">
        <f>IFERROR(__xludf.DUMMYFUNCTION("""COMPUTED_VALUE"""),46084.0)</f>
        <v>46084</v>
      </c>
      <c r="D4821" s="28">
        <f>IFERROR(__xludf.DUMMYFUNCTION("""COMPUTED_VALUE"""),46085.0)</f>
        <v>46085</v>
      </c>
      <c r="E4821" s="26">
        <f>IFERROR(__xludf.DUMMYFUNCTION("""COMPUTED_VALUE"""),354776.0)</f>
        <v>354776</v>
      </c>
      <c r="F4821" s="22" t="str">
        <f>IFERROR(__xludf.DUMMYFUNCTION("""COMPUTED_VALUE"""),"冷酷王子にスパイとして雇われましたが、結婚を迫られています")</f>
        <v>冷酷王子にスパイとして雇われましたが、結婚を迫られています</v>
      </c>
      <c r="G4821" s="20" t="str">
        <f>IFERROR(__xludf.DUMMYFUNCTION("""COMPUTED_VALUE"""),"1～5")</f>
        <v>1～5</v>
      </c>
      <c r="H4821" s="22" t="str">
        <f>IFERROR(__xludf.DUMMYFUNCTION("""COMPUTED_VALUE"""),"八重・まこち")</f>
        <v>八重・まこち</v>
      </c>
      <c r="I4821" s="22" t="str">
        <f>IFERROR(__xludf.DUMMYFUNCTION("""COMPUTED_VALUE"""),"少女")</f>
        <v>少女</v>
      </c>
      <c r="J4821" s="22"/>
      <c r="K4821" s="22" t="str">
        <f>IFERROR(__xludf.DUMMYFUNCTION("""COMPUTED_VALUE"""),"echo")</f>
        <v>echo</v>
      </c>
      <c r="L4821" s="22" t="str">
        <f>IFERROR(__xludf.DUMMYFUNCTION("""COMPUTED_VALUE"""),"一迅社")</f>
        <v>一迅社</v>
      </c>
      <c r="M4821" s="33">
        <f>IFERROR(__xludf.DUMMYFUNCTION("""COMPUTED_VALUE"""),46115.0)</f>
        <v>46115</v>
      </c>
      <c r="N4821" s="33">
        <f>IFERROR(__xludf.DUMMYFUNCTION("""COMPUTED_VALUE"""),46205.0)</f>
        <v>46205</v>
      </c>
      <c r="O4821" s="20"/>
      <c r="P4821" s="32" t="str">
        <f>IFERROR(__xludf.DUMMYFUNCTION("""COMPUTED_VALUE"""),"否")</f>
        <v>否</v>
      </c>
      <c r="Q4821" s="30"/>
      <c r="R4821" s="22"/>
      <c r="S4821" s="22" t="str">
        <f>IFERROR(__xludf.DUMMYFUNCTION("""COMPUTED_VALUE"""),"20260303_一迅社_冷酷王子にスパイとして雇われましたが、結婚を迫られています")</f>
        <v>20260303_一迅社_冷酷王子にスパイとして雇われましたが、結婚を迫られています</v>
      </c>
      <c r="T4821" s="22" t="str">
        <f>IFERROR(__xludf.DUMMYFUNCTION("""COMPUTED_VALUE"""),"格納済み")</f>
        <v>格納済み</v>
      </c>
      <c r="U4821" s="9" t="str">
        <f>IFERROR(__xludf.DUMMYFUNCTION("""COMPUTED_VALUE"""),"(C)八重・まこち／一迅社")</f>
        <v>(C)八重・まこち／一迅社</v>
      </c>
      <c r="V4821" s="8"/>
      <c r="W4821" s="8"/>
      <c r="X4821" s="8" t="str">
        <f>IFERROR(__xludf.DUMMYFUNCTION("""COMPUTED_VALUE"""),"有")</f>
        <v>有</v>
      </c>
      <c r="Y4821" s="8" t="str">
        <f>IFERROR(__xludf.DUMMYFUNCTION("""COMPUTED_VALUE"""),"P8まで")</f>
        <v>P8まで</v>
      </c>
      <c r="Z4821" s="7"/>
      <c r="AA4821" s="7"/>
      <c r="AB4821" s="7"/>
    </row>
    <row r="4822" ht="15.75" customHeight="1">
      <c r="A4822" s="26">
        <f>IFERROR(__xludf.DUMMYFUNCTION("""COMPUTED_VALUE"""),7569.0)</f>
        <v>7569</v>
      </c>
      <c r="B4822" s="22" t="str">
        <f>IFERROR(__xludf.DUMMYFUNCTION("""COMPUTED_VALUE"""),"確定")</f>
        <v>確定</v>
      </c>
      <c r="C4822" s="28">
        <f>IFERROR(__xludf.DUMMYFUNCTION("""COMPUTED_VALUE"""),46084.0)</f>
        <v>46084</v>
      </c>
      <c r="D4822" s="28">
        <f>IFERROR(__xludf.DUMMYFUNCTION("""COMPUTED_VALUE"""),46085.0)</f>
        <v>46085</v>
      </c>
      <c r="E4822" s="26">
        <f>IFERROR(__xludf.DUMMYFUNCTION("""COMPUTED_VALUE"""),355442.0)</f>
        <v>355442</v>
      </c>
      <c r="F4822" s="22" t="str">
        <f>IFERROR(__xludf.DUMMYFUNCTION("""COMPUTED_VALUE"""),"夜逃げ聖女の二度目の結婚　分冊版")</f>
        <v>夜逃げ聖女の二度目の結婚　分冊版</v>
      </c>
      <c r="G4822" s="20" t="str">
        <f>IFERROR(__xludf.DUMMYFUNCTION("""COMPUTED_VALUE"""),"1～4")</f>
        <v>1～4</v>
      </c>
      <c r="H4822" s="22" t="str">
        <f>IFERROR(__xludf.DUMMYFUNCTION("""COMPUTED_VALUE"""),"カワハラ恋")</f>
        <v>カワハラ恋</v>
      </c>
      <c r="I4822" s="22" t="str">
        <f>IFERROR(__xludf.DUMMYFUNCTION("""COMPUTED_VALUE"""),"少女")</f>
        <v>少女</v>
      </c>
      <c r="J4822" s="22"/>
      <c r="K4822" s="22"/>
      <c r="L4822" s="22" t="str">
        <f>IFERROR(__xludf.DUMMYFUNCTION("""COMPUTED_VALUE"""),"講談社")</f>
        <v>講談社</v>
      </c>
      <c r="M4822" s="33">
        <f>IFERROR(__xludf.DUMMYFUNCTION("""COMPUTED_VALUE"""),46111.0)</f>
        <v>46111</v>
      </c>
      <c r="N4822" s="33">
        <f>IFERROR(__xludf.DUMMYFUNCTION("""COMPUTED_VALUE"""),46171.0)</f>
        <v>46171</v>
      </c>
      <c r="O4822" s="20"/>
      <c r="P4822" s="32" t="str">
        <f>IFERROR(__xludf.DUMMYFUNCTION("""COMPUTED_VALUE"""),"可")</f>
        <v>可</v>
      </c>
      <c r="Q4822" s="30"/>
      <c r="R4822" s="22"/>
      <c r="S4822" s="22" t="str">
        <f>IFERROR(__xludf.DUMMYFUNCTION("""COMPUTED_VALUE"""),"20260303_講談社_夜逃げ聖女の二度目の結婚")</f>
        <v>20260303_講談社_夜逃げ聖女の二度目の結婚</v>
      </c>
      <c r="T4822" s="22" t="str">
        <f>IFERROR(__xludf.DUMMYFUNCTION("""COMPUTED_VALUE"""),"格納済み")</f>
        <v>格納済み</v>
      </c>
      <c r="U4822" s="9" t="str">
        <f>IFERROR(__xludf.DUMMYFUNCTION("""COMPUTED_VALUE"""),"ⓒカワハラ恋／講談社")</f>
        <v>ⓒカワハラ恋／講談社</v>
      </c>
      <c r="V4822" s="8"/>
      <c r="W4822" s="8"/>
      <c r="X4822" s="8" t="str">
        <f>IFERROR(__xludf.DUMMYFUNCTION("""COMPUTED_VALUE"""),"有")</f>
        <v>有</v>
      </c>
      <c r="Y4822" s="8" t="str">
        <f>IFERROR(__xludf.DUMMYFUNCTION("""COMPUTED_VALUE"""),"2026/5/29まで1巻無料")</f>
        <v>2026/5/29まで1巻無料</v>
      </c>
      <c r="Z4822" s="7"/>
      <c r="AA4822" s="7"/>
      <c r="AB4822" s="7"/>
    </row>
    <row r="4823" ht="15.75" customHeight="1">
      <c r="A4823" s="26">
        <f>IFERROR(__xludf.DUMMYFUNCTION("""COMPUTED_VALUE"""),7572.0)</f>
        <v>7572</v>
      </c>
      <c r="B4823" s="22" t="str">
        <f>IFERROR(__xludf.DUMMYFUNCTION("""COMPUTED_VALUE"""),"確定")</f>
        <v>確定</v>
      </c>
      <c r="C4823" s="28">
        <f>IFERROR(__xludf.DUMMYFUNCTION("""COMPUTED_VALUE"""),46085.0)</f>
        <v>46085</v>
      </c>
      <c r="D4823" s="28">
        <f>IFERROR(__xludf.DUMMYFUNCTION("""COMPUTED_VALUE"""),46085.0)</f>
        <v>46085</v>
      </c>
      <c r="E4823" s="26">
        <f>IFERROR(__xludf.DUMMYFUNCTION("""COMPUTED_VALUE"""),354427.0)</f>
        <v>354427</v>
      </c>
      <c r="F4823" s="22" t="str">
        <f>IFERROR(__xludf.DUMMYFUNCTION("""COMPUTED_VALUE"""),"【単話版】ガンバレ人生一周目令嬢ちゃん")</f>
        <v>【単話版】ガンバレ人生一周目令嬢ちゃん</v>
      </c>
      <c r="G4823" s="20" t="str">
        <f>IFERROR(__xludf.DUMMYFUNCTION("""COMPUTED_VALUE"""),"1～3")</f>
        <v>1～3</v>
      </c>
      <c r="H4823" s="22" t="str">
        <f>IFERROR(__xludf.DUMMYFUNCTION("""COMPUTED_VALUE"""),"くるひなた")</f>
        <v>くるひなた</v>
      </c>
      <c r="I4823" s="22" t="str">
        <f>IFERROR(__xludf.DUMMYFUNCTION("""COMPUTED_VALUE"""),"少女マンガ")</f>
        <v>少女マンガ</v>
      </c>
      <c r="J4823" s="22"/>
      <c r="K4823" s="22" t="str">
        <f>IFERROR(__xludf.DUMMYFUNCTION("""COMPUTED_VALUE"""),"Celicaコミックス")</f>
        <v>Celicaコミックス</v>
      </c>
      <c r="L4823" s="22" t="str">
        <f>IFERROR(__xludf.DUMMYFUNCTION("""COMPUTED_VALUE"""),"TOブックス")</f>
        <v>TOブックス</v>
      </c>
      <c r="M4823" s="33">
        <f>IFERROR(__xludf.DUMMYFUNCTION("""COMPUTED_VALUE"""),46113.0)</f>
        <v>46113</v>
      </c>
      <c r="N4823" s="33">
        <f>IFERROR(__xludf.DUMMYFUNCTION("""COMPUTED_VALUE"""),46173.0)</f>
        <v>46173</v>
      </c>
      <c r="O4823" s="20"/>
      <c r="P4823" s="32" t="str">
        <f>IFERROR(__xludf.DUMMYFUNCTION("""COMPUTED_VALUE"""),"否")</f>
        <v>否</v>
      </c>
      <c r="Q4823" s="30"/>
      <c r="R4823" s="22"/>
      <c r="S4823" s="22" t="str">
        <f>IFERROR(__xludf.DUMMYFUNCTION("""COMPUTED_VALUE"""),"20260303_TOブックス_【単話版】ガンバレ人生一周目令嬢ちゃん")</f>
        <v>20260303_TOブックス_【単話版】ガンバレ人生一周目令嬢ちゃん</v>
      </c>
      <c r="T4823" s="22" t="str">
        <f>IFERROR(__xludf.DUMMYFUNCTION("""COMPUTED_VALUE"""),"格納済み")</f>
        <v>格納済み</v>
      </c>
      <c r="U4823" s="9" t="str">
        <f>IFERROR(__xludf.DUMMYFUNCTION("""COMPUTED_VALUE"""),"(C) Hinata Kuru")</f>
        <v>(C) Hinata Kuru</v>
      </c>
      <c r="V4823" s="8"/>
      <c r="W4823" s="8"/>
      <c r="X4823" s="8" t="str">
        <f>IFERROR(__xludf.DUMMYFUNCTION("""COMPUTED_VALUE"""),"有")</f>
        <v>有</v>
      </c>
      <c r="Y4823" s="8" t="str">
        <f>IFERROR(__xludf.DUMMYFUNCTION("""COMPUTED_VALUE"""),"2026/4/14まで1巻無料")</f>
        <v>2026/4/14まで1巻無料</v>
      </c>
      <c r="Z4823" s="7"/>
      <c r="AA4823" s="7"/>
      <c r="AB4823" s="7"/>
    </row>
    <row r="4824" ht="15.75" customHeight="1">
      <c r="A4824" s="26">
        <f>IFERROR(__xludf.DUMMYFUNCTION("""COMPUTED_VALUE"""),7573.0)</f>
        <v>7573</v>
      </c>
      <c r="B4824" s="22" t="str">
        <f>IFERROR(__xludf.DUMMYFUNCTION("""COMPUTED_VALUE"""),"確定")</f>
        <v>確定</v>
      </c>
      <c r="C4824" s="28">
        <f>IFERROR(__xludf.DUMMYFUNCTION("""COMPUTED_VALUE"""),46085.0)</f>
        <v>46085</v>
      </c>
      <c r="D4824" s="28">
        <f>IFERROR(__xludf.DUMMYFUNCTION("""COMPUTED_VALUE"""),46085.0)</f>
        <v>46085</v>
      </c>
      <c r="E4824" s="26">
        <f>IFERROR(__xludf.DUMMYFUNCTION("""COMPUTED_VALUE"""),354430.0)</f>
        <v>354430</v>
      </c>
      <c r="F4824" s="22" t="str">
        <f>IFERROR(__xludf.DUMMYFUNCTION("""COMPUTED_VALUE"""),"【単話版】悪役令嬢にざまぁされたくないので、お城勤めの高給取りを目指すはずでした@COMIC")</f>
        <v>【単話版】悪役令嬢にざまぁされたくないので、お城勤めの高給取りを目指すはずでした@COMIC</v>
      </c>
      <c r="G4824" s="20" t="str">
        <f>IFERROR(__xludf.DUMMYFUNCTION("""COMPUTED_VALUE"""),"1～4")</f>
        <v>1～4</v>
      </c>
      <c r="H4824" s="22" t="str">
        <f>IFERROR(__xludf.DUMMYFUNCTION("""COMPUTED_VALUE"""),"小森 薫/うり北うりこ/RAHWIA")</f>
        <v>小森 薫/うり北うりこ/RAHWIA</v>
      </c>
      <c r="I4824" s="22" t="str">
        <f>IFERROR(__xludf.DUMMYFUNCTION("""COMPUTED_VALUE"""),"少女マンガ")</f>
        <v>少女マンガ</v>
      </c>
      <c r="J4824" s="22"/>
      <c r="K4824" s="22" t="str">
        <f>IFERROR(__xludf.DUMMYFUNCTION("""COMPUTED_VALUE"""),"Celicaコミックス")</f>
        <v>Celicaコミックス</v>
      </c>
      <c r="L4824" s="22" t="str">
        <f>IFERROR(__xludf.DUMMYFUNCTION("""COMPUTED_VALUE"""),"TOブックス")</f>
        <v>TOブックス</v>
      </c>
      <c r="M4824" s="33">
        <f>IFERROR(__xludf.DUMMYFUNCTION("""COMPUTED_VALUE"""),46113.0)</f>
        <v>46113</v>
      </c>
      <c r="N4824" s="33">
        <f>IFERROR(__xludf.DUMMYFUNCTION("""COMPUTED_VALUE"""),46173.0)</f>
        <v>46173</v>
      </c>
      <c r="O4824" s="20"/>
      <c r="P4824" s="32" t="str">
        <f>IFERROR(__xludf.DUMMYFUNCTION("""COMPUTED_VALUE"""),"否")</f>
        <v>否</v>
      </c>
      <c r="Q4824" s="30"/>
      <c r="R4824" s="22"/>
      <c r="S4824" s="22" t="str">
        <f>IFERROR(__xludf.DUMMYFUNCTION("""COMPUTED_VALUE"""),"20260303_TOブックス_【単話版】悪役令嬢にざまぁされたくないので、お城勤めの高給取りを目指すはずでした@COMIC")</f>
        <v>20260303_TOブックス_【単話版】悪役令嬢にざまぁされたくないので、お城勤めの高給取りを目指すはずでした@COMIC</v>
      </c>
      <c r="T4824" s="22" t="str">
        <f>IFERROR(__xludf.DUMMYFUNCTION("""COMPUTED_VALUE"""),"格納済み")</f>
        <v>格納済み</v>
      </c>
      <c r="U4824" s="9" t="str">
        <f>IFERROR(__xludf.DUMMYFUNCTION("""COMPUTED_VALUE"""),"(C) Caoru Comori / Uriko Urikita")</f>
        <v>(C) Caoru Comori / Uriko Urikita</v>
      </c>
      <c r="V4824" s="8"/>
      <c r="W4824" s="8"/>
      <c r="X4824" s="8" t="str">
        <f>IFERROR(__xludf.DUMMYFUNCTION("""COMPUTED_VALUE"""),"有")</f>
        <v>有</v>
      </c>
      <c r="Y4824" s="8" t="str">
        <f>IFERROR(__xludf.DUMMYFUNCTION("""COMPUTED_VALUE"""),"1巻無料")</f>
        <v>1巻無料</v>
      </c>
      <c r="Z4824" s="7"/>
      <c r="AA4824" s="7"/>
      <c r="AB4824" s="7"/>
    </row>
    <row r="4825" ht="15.75" customHeight="1">
      <c r="A4825" s="26">
        <f>IFERROR(__xludf.DUMMYFUNCTION("""COMPUTED_VALUE"""),7574.0)</f>
        <v>7574</v>
      </c>
      <c r="B4825" s="22" t="str">
        <f>IFERROR(__xludf.DUMMYFUNCTION("""COMPUTED_VALUE"""),"確定")</f>
        <v>確定</v>
      </c>
      <c r="C4825" s="28">
        <f>IFERROR(__xludf.DUMMYFUNCTION("""COMPUTED_VALUE"""),46085.0)</f>
        <v>46085</v>
      </c>
      <c r="D4825" s="28">
        <f>IFERROR(__xludf.DUMMYFUNCTION("""COMPUTED_VALUE"""),46085.0)</f>
        <v>46085</v>
      </c>
      <c r="E4825" s="26">
        <f>IFERROR(__xludf.DUMMYFUNCTION("""COMPUTED_VALUE"""),354428.0)</f>
        <v>354428</v>
      </c>
      <c r="F4825" s="22" t="str">
        <f>IFERROR(__xludf.DUMMYFUNCTION("""COMPUTED_VALUE"""),"【単話版】推しカプのお気に召すまま～こっそり応援するはずがなぜか私がモテてます!?～@COMIC")</f>
        <v>【単話版】推しカプのお気に召すまま～こっそり応援するはずがなぜか私がモテてます!?～@COMIC</v>
      </c>
      <c r="G4825" s="20" t="str">
        <f>IFERROR(__xludf.DUMMYFUNCTION("""COMPUTED_VALUE"""),"1～3")</f>
        <v>1～3</v>
      </c>
      <c r="H4825" s="22" t="str">
        <f>IFERROR(__xludf.DUMMYFUNCTION("""COMPUTED_VALUE"""),"木犀あまた/姫沙羅/御子柴リョウ")</f>
        <v>木犀あまた/姫沙羅/御子柴リョウ</v>
      </c>
      <c r="I4825" s="22" t="str">
        <f>IFERROR(__xludf.DUMMYFUNCTION("""COMPUTED_VALUE"""),"少女マンガ")</f>
        <v>少女マンガ</v>
      </c>
      <c r="J4825" s="22"/>
      <c r="K4825" s="22" t="str">
        <f>IFERROR(__xludf.DUMMYFUNCTION("""COMPUTED_VALUE"""),"Celicaコミックス")</f>
        <v>Celicaコミックス</v>
      </c>
      <c r="L4825" s="22" t="str">
        <f>IFERROR(__xludf.DUMMYFUNCTION("""COMPUTED_VALUE"""),"TOブックス")</f>
        <v>TOブックス</v>
      </c>
      <c r="M4825" s="33">
        <f>IFERROR(__xludf.DUMMYFUNCTION("""COMPUTED_VALUE"""),46113.0)</f>
        <v>46113</v>
      </c>
      <c r="N4825" s="33">
        <f>IFERROR(__xludf.DUMMYFUNCTION("""COMPUTED_VALUE"""),46173.0)</f>
        <v>46173</v>
      </c>
      <c r="O4825" s="20"/>
      <c r="P4825" s="32" t="str">
        <f>IFERROR(__xludf.DUMMYFUNCTION("""COMPUTED_VALUE"""),"否")</f>
        <v>否</v>
      </c>
      <c r="Q4825" s="30"/>
      <c r="R4825" s="22"/>
      <c r="S4825" s="22" t="str">
        <f>IFERROR(__xludf.DUMMYFUNCTION("""COMPUTED_VALUE"""),"20260303_TOブックス_【単話版】推しカプのお気に召すまま～こっそり応援するはずがなぜか私がモテてます!～@COMIC")</f>
        <v>20260303_TOブックス_【単話版】推しカプのお気に召すまま～こっそり応援するはずがなぜか私がモテてます!～@COMIC</v>
      </c>
      <c r="T4825" s="22" t="str">
        <f>IFERROR(__xludf.DUMMYFUNCTION("""COMPUTED_VALUE"""),"格納済み")</f>
        <v>格納済み</v>
      </c>
      <c r="U4825" s="9" t="str">
        <f>IFERROR(__xludf.DUMMYFUNCTION("""COMPUTED_VALUE"""),"(C) AmatA / Ki Sara")</f>
        <v>(C) AmatA / Ki Sara</v>
      </c>
      <c r="V4825" s="8"/>
      <c r="W4825" s="8"/>
      <c r="X4825" s="8" t="str">
        <f>IFERROR(__xludf.DUMMYFUNCTION("""COMPUTED_VALUE"""),"有")</f>
        <v>有</v>
      </c>
      <c r="Y4825" s="8" t="str">
        <f>IFERROR(__xludf.DUMMYFUNCTION("""COMPUTED_VALUE"""),"2026/4/14まで1巻無料")</f>
        <v>2026/4/14まで1巻無料</v>
      </c>
      <c r="Z4825" s="7"/>
      <c r="AA4825" s="7"/>
      <c r="AB4825" s="7"/>
    </row>
    <row r="4826" ht="15.75" customHeight="1">
      <c r="A4826" s="26">
        <f>IFERROR(__xludf.DUMMYFUNCTION("""COMPUTED_VALUE"""),6392.0)</f>
        <v>6392</v>
      </c>
      <c r="B4826" s="22" t="str">
        <f>IFERROR(__xludf.DUMMYFUNCTION("""COMPUTED_VALUE"""),"確定")</f>
        <v>確定</v>
      </c>
      <c r="C4826" s="28">
        <f>IFERROR(__xludf.DUMMYFUNCTION("""COMPUTED_VALUE"""),45902.0)</f>
        <v>45902</v>
      </c>
      <c r="D4826" s="28">
        <f>IFERROR(__xludf.DUMMYFUNCTION("""COMPUTED_VALUE"""),46092.0)</f>
        <v>46092</v>
      </c>
      <c r="E4826" s="26">
        <f>IFERROR(__xludf.DUMMYFUNCTION("""COMPUTED_VALUE"""),353731.0)</f>
        <v>353731</v>
      </c>
      <c r="F4826" s="22" t="str">
        <f>IFERROR(__xludf.DUMMYFUNCTION("""COMPUTED_VALUE"""),"スパダリ王子様の狂い愛【単話】")</f>
        <v>スパダリ王子様の狂い愛【単話】</v>
      </c>
      <c r="G4826" s="20" t="str">
        <f>IFERROR(__xludf.DUMMYFUNCTION("""COMPUTED_VALUE"""),"1～5")</f>
        <v>1～5</v>
      </c>
      <c r="H4826" s="22" t="str">
        <f>IFERROR(__xludf.DUMMYFUNCTION("""COMPUTED_VALUE"""),"ミナミ")</f>
        <v>ミナミ</v>
      </c>
      <c r="I4826" s="22" t="str">
        <f>IFERROR(__xludf.DUMMYFUNCTION("""COMPUTED_VALUE"""),"少女")</f>
        <v>少女</v>
      </c>
      <c r="J4826" s="22"/>
      <c r="K4826" s="22"/>
      <c r="L4826" s="22" t="str">
        <f>IFERROR(__xludf.DUMMYFUNCTION("""COMPUTED_VALUE"""),"小学館")</f>
        <v>小学館</v>
      </c>
      <c r="M4826" s="33">
        <f>IFERROR(__xludf.DUMMYFUNCTION("""COMPUTED_VALUE"""),46098.0)</f>
        <v>46098</v>
      </c>
      <c r="N4826" s="33">
        <f>IFERROR(__xludf.DUMMYFUNCTION("""COMPUTED_VALUE"""),46158.0)</f>
        <v>46158</v>
      </c>
      <c r="O4826" s="20"/>
      <c r="P4826" s="32" t="str">
        <f>IFERROR(__xludf.DUMMYFUNCTION("""COMPUTED_VALUE"""),"否")</f>
        <v>否</v>
      </c>
      <c r="Q4826" s="30"/>
      <c r="R4826" s="22" t="str">
        <f>IFERROR(__xludf.DUMMYFUNCTION("""COMPUTED_VALUE"""),"コミットOK")</f>
        <v>コミットOK</v>
      </c>
      <c r="S4826" s="22" t="str">
        <f>IFERROR(__xludf.DUMMYFUNCTION("""COMPUTED_VALUE"""),"20260305_小学館_スパダリ王子様の狂い愛【単話】")</f>
        <v>20260305_小学館_スパダリ王子様の狂い愛【単話】</v>
      </c>
      <c r="T4826" s="22" t="str">
        <f>IFERROR(__xludf.DUMMYFUNCTION("""COMPUTED_VALUE"""),"格納済み")</f>
        <v>格納済み</v>
      </c>
      <c r="U4826" s="9" t="str">
        <f>IFERROR(__xludf.DUMMYFUNCTION("""COMPUTED_VALUE"""),"(C)ミナミ / 小学館")</f>
        <v>(C)ミナミ / 小学館</v>
      </c>
      <c r="V4826" s="8"/>
      <c r="W4826" s="8"/>
      <c r="X4826" s="8" t="str">
        <f>IFERROR(__xludf.DUMMYFUNCTION("""COMPUTED_VALUE"""),"有")</f>
        <v>有</v>
      </c>
      <c r="Y4826" s="8" t="str">
        <f>IFERROR(__xludf.DUMMYFUNCTION("""COMPUTED_VALUE"""),"2026/5/16まで1巻無料")</f>
        <v>2026/5/16まで1巻無料</v>
      </c>
      <c r="Z4826" s="7"/>
      <c r="AA4826" s="7"/>
      <c r="AB4826" s="7"/>
    </row>
    <row r="4827" ht="15.75" customHeight="1">
      <c r="A4827" s="26">
        <f>IFERROR(__xludf.DUMMYFUNCTION("""COMPUTED_VALUE"""),6905.0)</f>
        <v>6905</v>
      </c>
      <c r="B4827" s="22" t="str">
        <f>IFERROR(__xludf.DUMMYFUNCTION("""COMPUTED_VALUE"""),"確定")</f>
        <v>確定</v>
      </c>
      <c r="C4827" s="28">
        <f>IFERROR(__xludf.DUMMYFUNCTION("""COMPUTED_VALUE"""),45979.0)</f>
        <v>45979</v>
      </c>
      <c r="D4827" s="28">
        <f>IFERROR(__xludf.DUMMYFUNCTION("""COMPUTED_VALUE"""),46087.0)</f>
        <v>46087</v>
      </c>
      <c r="E4827" s="26">
        <f>IFERROR(__xludf.DUMMYFUNCTION("""COMPUTED_VALUE"""),358274.0)</f>
        <v>358274</v>
      </c>
      <c r="F4827" s="22" t="str">
        <f>IFERROR(__xludf.DUMMYFUNCTION("""COMPUTED_VALUE"""),"身代わりで獣人の供物にされた出来損ない聖女は、溺愛されて花開く")</f>
        <v>身代わりで獣人の供物にされた出来損ない聖女は、溺愛されて花開く</v>
      </c>
      <c r="G4827" s="20">
        <f>IFERROR(__xludf.DUMMYFUNCTION("""COMPUTED_VALUE"""),1.0)</f>
        <v>1</v>
      </c>
      <c r="H4827" s="22" t="str">
        <f>IFERROR(__xludf.DUMMYFUNCTION("""COMPUTED_VALUE"""),"漫画：おだやか　原作：志波咲良")</f>
        <v>漫画：おだやか　原作：志波咲良</v>
      </c>
      <c r="I4827" s="22" t="str">
        <f>IFERROR(__xludf.DUMMYFUNCTION("""COMPUTED_VALUE"""),"少女マンガ")</f>
        <v>少女マンガ</v>
      </c>
      <c r="J4827" s="22"/>
      <c r="K4827" s="22" t="str">
        <f>IFERROR(__xludf.DUMMYFUNCTION("""COMPUTED_VALUE"""),"ZERO-SUMコミックス")</f>
        <v>ZERO-SUMコミックス</v>
      </c>
      <c r="L4827" s="22" t="str">
        <f>IFERROR(__xludf.DUMMYFUNCTION("""COMPUTED_VALUE"""),"一迅社")</f>
        <v>一迅社</v>
      </c>
      <c r="M4827" s="33">
        <f>IFERROR(__xludf.DUMMYFUNCTION("""COMPUTED_VALUE"""),46143.0)</f>
        <v>46143</v>
      </c>
      <c r="N4827" s="33">
        <f>IFERROR(__xludf.DUMMYFUNCTION("""COMPUTED_VALUE"""),46203.0)</f>
        <v>46203</v>
      </c>
      <c r="O4827" s="20"/>
      <c r="P4827" s="32" t="str">
        <f>IFERROR(__xludf.DUMMYFUNCTION("""COMPUTED_VALUE"""),"否")</f>
        <v>否</v>
      </c>
      <c r="Q4827" s="30" t="str">
        <f>IFERROR(__xludf.DUMMYFUNCTION("""COMPUTED_VALUE"""),"「身代わり花嫁は、旦那様から溺愛されるようです アンソロジーコミック」2巻掲載")</f>
        <v>「身代わり花嫁は、旦那様から溺愛されるようです アンソロジーコミック」2巻掲載</v>
      </c>
      <c r="R4827" s="22"/>
      <c r="S4827" s="22" t="str">
        <f>IFERROR(__xludf.DUMMYFUNCTION("""COMPUTED_VALUE"""),"20260305_一迅社_身代わりで獣人の供物にされた出来損ない聖女は、溺愛されて花開く")</f>
        <v>20260305_一迅社_身代わりで獣人の供物にされた出来損ない聖女は、溺愛されて花開く</v>
      </c>
      <c r="T4827" s="22" t="str">
        <f>IFERROR(__xludf.DUMMYFUNCTION("""COMPUTED_VALUE"""),"格納済み")</f>
        <v>格納済み</v>
      </c>
      <c r="U4827" s="9" t="str">
        <f>IFERROR(__xludf.DUMMYFUNCTION("""COMPUTED_VALUE"""),"(C)おだやか・志波咲良／一迅社")</f>
        <v>(C)おだやか・志波咲良／一迅社</v>
      </c>
      <c r="V4827" s="8"/>
      <c r="W4827" s="8"/>
      <c r="X4827" s="8" t="str">
        <f>IFERROR(__xludf.DUMMYFUNCTION("""COMPUTED_VALUE"""),"有")</f>
        <v>有</v>
      </c>
      <c r="Y4827" s="8" t="str">
        <f>IFERROR(__xludf.DUMMYFUNCTION("""COMPUTED_VALUE"""),"P8まで")</f>
        <v>P8まで</v>
      </c>
      <c r="Z4827" s="7"/>
      <c r="AA4827" s="7"/>
      <c r="AB4827" s="7"/>
    </row>
    <row r="4828" ht="15.75" customHeight="1">
      <c r="A4828" s="26">
        <f>IFERROR(__xludf.DUMMYFUNCTION("""COMPUTED_VALUE"""),6947.0)</f>
        <v>6947</v>
      </c>
      <c r="B4828" s="22" t="str">
        <f>IFERROR(__xludf.DUMMYFUNCTION("""COMPUTED_VALUE"""),"確定")</f>
        <v>確定</v>
      </c>
      <c r="C4828" s="28">
        <f>IFERROR(__xludf.DUMMYFUNCTION("""COMPUTED_VALUE"""),45986.0)</f>
        <v>45986</v>
      </c>
      <c r="D4828" s="28">
        <f>IFERROR(__xludf.DUMMYFUNCTION("""COMPUTED_VALUE"""),46091.0)</f>
        <v>46091</v>
      </c>
      <c r="E4828" s="26">
        <f>IFERROR(__xludf.DUMMYFUNCTION("""COMPUTED_VALUE"""),355509.0)</f>
        <v>355509</v>
      </c>
      <c r="F4828" s="22" t="str">
        <f>IFERROR(__xludf.DUMMYFUNCTION("""COMPUTED_VALUE"""),"推し上司に躾(しつけ)られてます!?～いつも優しい司堂先輩のドSスイッチ押しちゃいました～【TL版】")</f>
        <v>推し上司に躾(しつけ)られてます!?～いつも優しい司堂先輩のドSスイッチ押しちゃいました～【TL版】</v>
      </c>
      <c r="G4828" s="20" t="str">
        <f>IFERROR(__xludf.DUMMYFUNCTION("""COMPUTED_VALUE"""),"1～3")</f>
        <v>1～3</v>
      </c>
      <c r="H4828" s="22" t="str">
        <f>IFERROR(__xludf.DUMMYFUNCTION("""COMPUTED_VALUE"""),"高蘭")</f>
        <v>高蘭</v>
      </c>
      <c r="I4828" s="22" t="str">
        <f>IFERROR(__xludf.DUMMYFUNCTION("""COMPUTED_VALUE"""),"TL")</f>
        <v>TL</v>
      </c>
      <c r="J4828" s="22"/>
      <c r="K4828" s="22" t="str">
        <f>IFERROR(__xludf.DUMMYFUNCTION("""COMPUTED_VALUE"""),"＠夜噺")</f>
        <v>＠夜噺</v>
      </c>
      <c r="L4828" s="22" t="str">
        <f>IFERROR(__xludf.DUMMYFUNCTION("""COMPUTED_VALUE"""),"DEEPER-ZERO")</f>
        <v>DEEPER-ZERO</v>
      </c>
      <c r="M4828" s="33">
        <f>IFERROR(__xludf.DUMMYFUNCTION("""COMPUTED_VALUE"""),46128.0)</f>
        <v>46128</v>
      </c>
      <c r="N4828" s="33">
        <f>IFERROR(__xludf.DUMMYFUNCTION("""COMPUTED_VALUE"""),46190.0)</f>
        <v>46190</v>
      </c>
      <c r="O4828" s="20"/>
      <c r="P4828" s="32" t="str">
        <f>IFERROR(__xludf.DUMMYFUNCTION("""COMPUTED_VALUE"""),"可")</f>
        <v>可</v>
      </c>
      <c r="Q4828" s="30" t="str">
        <f>IFERROR(__xludf.DUMMYFUNCTION("""COMPUTED_VALUE"""),"【アダルト作品扱い】")</f>
        <v>【アダルト作品扱い】</v>
      </c>
      <c r="R4828" s="22" t="str">
        <f>IFERROR(__xludf.DUMMYFUNCTION("""COMPUTED_VALUE"""),"コミットNG")</f>
        <v>コミットNG</v>
      </c>
      <c r="S4828" s="22" t="str">
        <f>IFERROR(__xludf.DUMMYFUNCTION("""COMPUTED_VALUE"""),"20260305_DEEPER-ZERO_推し上司に躾(しつけ)られてます!～いつも優しい司堂先輩のドSスイッチ押しちゃいました～TL版")</f>
        <v>20260305_DEEPER-ZERO_推し上司に躾(しつけ)られてます!～いつも優しい司堂先輩のドSスイッチ押しちゃいました～TL版</v>
      </c>
      <c r="T4828" s="22" t="str">
        <f>IFERROR(__xludf.DUMMYFUNCTION("""COMPUTED_VALUE"""),"格納済み")</f>
        <v>格納済み</v>
      </c>
      <c r="U4828" s="9" t="str">
        <f>IFERROR(__xludf.DUMMYFUNCTION("""COMPUTED_VALUE"""),"Ⓒ高蘭/DEEPER-ZERO")</f>
        <v>Ⓒ高蘭/DEEPER-ZERO</v>
      </c>
      <c r="V4828" s="8"/>
      <c r="W4828" s="8"/>
      <c r="X4828" s="8" t="str">
        <f>IFERROR(__xludf.DUMMYFUNCTION("""COMPUTED_VALUE"""),"有")</f>
        <v>有</v>
      </c>
      <c r="Y4828" s="8" t="str">
        <f>IFERROR(__xludf.DUMMYFUNCTION("""COMPUTED_VALUE"""),"2026/4/29まで1巻無料")</f>
        <v>2026/4/29まで1巻無料</v>
      </c>
      <c r="Z4828" s="7"/>
      <c r="AA4828" s="7"/>
      <c r="AB4828" s="7"/>
    </row>
    <row r="4829" ht="15.75" customHeight="1">
      <c r="A4829" s="26">
        <f>IFERROR(__xludf.DUMMYFUNCTION("""COMPUTED_VALUE"""),6948.0)</f>
        <v>6948</v>
      </c>
      <c r="B4829" s="22" t="str">
        <f>IFERROR(__xludf.DUMMYFUNCTION("""COMPUTED_VALUE"""),"確定")</f>
        <v>確定</v>
      </c>
      <c r="C4829" s="28">
        <f>IFERROR(__xludf.DUMMYFUNCTION("""COMPUTED_VALUE"""),45986.0)</f>
        <v>45986</v>
      </c>
      <c r="D4829" s="28">
        <f>IFERROR(__xludf.DUMMYFUNCTION("""COMPUTED_VALUE"""),46091.0)</f>
        <v>46091</v>
      </c>
      <c r="E4829" s="26">
        <f>IFERROR(__xludf.DUMMYFUNCTION("""COMPUTED_VALUE"""),355512.0)</f>
        <v>355512</v>
      </c>
      <c r="F4829" s="22" t="str">
        <f>IFERROR(__xludf.DUMMYFUNCTION("""COMPUTED_VALUE"""),"推し上司に躾(しつけ)られてます!?～いつも優しい司堂先輩のドSスイッチ押しちゃいました～【R版】")</f>
        <v>推し上司に躾(しつけ)られてます!?～いつも優しい司堂先輩のドSスイッチ押しちゃいました～【R版】</v>
      </c>
      <c r="G4829" s="20" t="str">
        <f>IFERROR(__xludf.DUMMYFUNCTION("""COMPUTED_VALUE"""),"1～3")</f>
        <v>1～3</v>
      </c>
      <c r="H4829" s="22" t="str">
        <f>IFERROR(__xludf.DUMMYFUNCTION("""COMPUTED_VALUE"""),"高蘭")</f>
        <v>高蘭</v>
      </c>
      <c r="I4829" s="22" t="str">
        <f>IFERROR(__xludf.DUMMYFUNCTION("""COMPUTED_VALUE"""),"アダルト")</f>
        <v>アダルト</v>
      </c>
      <c r="J4829" s="22"/>
      <c r="K4829" s="22" t="str">
        <f>IFERROR(__xludf.DUMMYFUNCTION("""COMPUTED_VALUE"""),"＠夜噺+")</f>
        <v>＠夜噺+</v>
      </c>
      <c r="L4829" s="22" t="str">
        <f>IFERROR(__xludf.DUMMYFUNCTION("""COMPUTED_VALUE"""),"DEEPER-ZERO")</f>
        <v>DEEPER-ZERO</v>
      </c>
      <c r="M4829" s="33">
        <f>IFERROR(__xludf.DUMMYFUNCTION("""COMPUTED_VALUE"""),46128.0)</f>
        <v>46128</v>
      </c>
      <c r="N4829" s="33">
        <f>IFERROR(__xludf.DUMMYFUNCTION("""COMPUTED_VALUE"""),46190.0)</f>
        <v>46190</v>
      </c>
      <c r="O4829" s="20"/>
      <c r="P4829" s="32" t="str">
        <f>IFERROR(__xludf.DUMMYFUNCTION("""COMPUTED_VALUE"""),"可")</f>
        <v>可</v>
      </c>
      <c r="Q4829" s="30"/>
      <c r="R4829" s="22" t="str">
        <f>IFERROR(__xludf.DUMMYFUNCTION("""COMPUTED_VALUE"""),"コミットOK")</f>
        <v>コミットOK</v>
      </c>
      <c r="S4829" s="22" t="str">
        <f>IFERROR(__xludf.DUMMYFUNCTION("""COMPUTED_VALUE"""),"20260305_DEEPER-ZERO_推し上司に躾(しつけ)られてます!～いつも優しい司堂先輩のドSスイッチ押しちゃいました～R版")</f>
        <v>20260305_DEEPER-ZERO_推し上司に躾(しつけ)られてます!～いつも優しい司堂先輩のドSスイッチ押しちゃいました～R版</v>
      </c>
      <c r="T4829" s="22" t="str">
        <f>IFERROR(__xludf.DUMMYFUNCTION("""COMPUTED_VALUE"""),"格納済み")</f>
        <v>格納済み</v>
      </c>
      <c r="U4829" s="9" t="str">
        <f>IFERROR(__xludf.DUMMYFUNCTION("""COMPUTED_VALUE"""),"Ⓒ高蘭/DEEPER-ZERO")</f>
        <v>Ⓒ高蘭/DEEPER-ZERO</v>
      </c>
      <c r="V4829" s="8"/>
      <c r="W4829" s="8"/>
      <c r="X4829" s="8" t="str">
        <f>IFERROR(__xludf.DUMMYFUNCTION("""COMPUTED_VALUE"""),"有")</f>
        <v>有</v>
      </c>
      <c r="Y4829" s="8" t="str">
        <f>IFERROR(__xludf.DUMMYFUNCTION("""COMPUTED_VALUE"""),"2026/4/29まで1巻無料")</f>
        <v>2026/4/29まで1巻無料</v>
      </c>
      <c r="Z4829" s="7"/>
      <c r="AA4829" s="7"/>
      <c r="AB4829" s="7"/>
    </row>
    <row r="4830" ht="15.75" customHeight="1">
      <c r="A4830" s="26">
        <f>IFERROR(__xludf.DUMMYFUNCTION("""COMPUTED_VALUE"""),7086.0)</f>
        <v>7086</v>
      </c>
      <c r="B4830" s="22" t="str">
        <f>IFERROR(__xludf.DUMMYFUNCTION("""COMPUTED_VALUE"""),"確定")</f>
        <v>確定</v>
      </c>
      <c r="C4830" s="28">
        <f>IFERROR(__xludf.DUMMYFUNCTION("""COMPUTED_VALUE"""),46009.0)</f>
        <v>46009</v>
      </c>
      <c r="D4830" s="28">
        <f>IFERROR(__xludf.DUMMYFUNCTION("""COMPUTED_VALUE"""),46090.0)</f>
        <v>46090</v>
      </c>
      <c r="E4830" s="26">
        <f>IFERROR(__xludf.DUMMYFUNCTION("""COMPUTED_VALUE"""),353712.0)</f>
        <v>353712</v>
      </c>
      <c r="F4830" s="22" t="str">
        <f>IFERROR(__xludf.DUMMYFUNCTION("""COMPUTED_VALUE"""),"【単話売】致さない夫婦、はじめます")</f>
        <v>【単話売】致さない夫婦、はじめます</v>
      </c>
      <c r="G4830" s="20" t="str">
        <f>IFERROR(__xludf.DUMMYFUNCTION("""COMPUTED_VALUE"""),"1～3")</f>
        <v>1～3</v>
      </c>
      <c r="H4830" s="22" t="str">
        <f>IFERROR(__xludf.DUMMYFUNCTION("""COMPUTED_VALUE"""),"林 晴々")</f>
        <v>林 晴々</v>
      </c>
      <c r="I4830" s="22" t="str">
        <f>IFERROR(__xludf.DUMMYFUNCTION("""COMPUTED_VALUE"""),"女性")</f>
        <v>女性</v>
      </c>
      <c r="J4830" s="22"/>
      <c r="K4830" s="22"/>
      <c r="L4830" s="22" t="str">
        <f>IFERROR(__xludf.DUMMYFUNCTION("""COMPUTED_VALUE"""),"集英社")</f>
        <v>集英社</v>
      </c>
      <c r="M4830" s="33">
        <f>IFERROR(__xludf.DUMMYFUNCTION("""COMPUTED_VALUE"""),46109.0)</f>
        <v>46109</v>
      </c>
      <c r="N4830" s="33">
        <f>IFERROR(__xludf.DUMMYFUNCTION("""COMPUTED_VALUE"""),46166.0)</f>
        <v>46166</v>
      </c>
      <c r="O4830" s="20"/>
      <c r="P4830" s="32" t="str">
        <f>IFERROR(__xludf.DUMMYFUNCTION("""COMPUTED_VALUE"""),"否")</f>
        <v>否</v>
      </c>
      <c r="Q4830" s="30"/>
      <c r="R4830" s="22" t="str">
        <f>IFERROR(__xludf.DUMMYFUNCTION("""COMPUTED_VALUE"""),"コミットOK")</f>
        <v>コミットOK</v>
      </c>
      <c r="S4830" s="22" t="str">
        <f>IFERROR(__xludf.DUMMYFUNCTION("""COMPUTED_VALUE"""),"20260309_集英社_致さない夫婦、はじめます")</f>
        <v>20260309_集英社_致さない夫婦、はじめます</v>
      </c>
      <c r="T4830" s="22" t="str">
        <f>IFERROR(__xludf.DUMMYFUNCTION("""COMPUTED_VALUE"""),"格納済み")</f>
        <v>格納済み</v>
      </c>
      <c r="U4830" s="9" t="str">
        <f>IFERROR(__xludf.DUMMYFUNCTION("""COMPUTED_VALUE"""),"(c)林 晴々／集英社クリエイティブ")</f>
        <v>(c)林 晴々／集英社クリエイティブ</v>
      </c>
      <c r="V4830" s="8"/>
      <c r="W4830" s="8"/>
      <c r="X4830" s="8" t="str">
        <f>IFERROR(__xludf.DUMMYFUNCTION("""COMPUTED_VALUE"""),"有")</f>
        <v>有</v>
      </c>
      <c r="Y4830" s="8" t="str">
        <f>IFERROR(__xludf.DUMMYFUNCTION("""COMPUTED_VALUE"""),"P12まで")</f>
        <v>P12まで</v>
      </c>
      <c r="Z4830" s="7"/>
      <c r="AA4830" s="7"/>
      <c r="AB4830" s="7"/>
    </row>
    <row r="4831" ht="15.75" customHeight="1">
      <c r="A4831" s="26">
        <f>IFERROR(__xludf.DUMMYFUNCTION("""COMPUTED_VALUE"""),7180.0)</f>
        <v>7180</v>
      </c>
      <c r="B4831" s="22" t="str">
        <f>IFERROR(__xludf.DUMMYFUNCTION("""COMPUTED_VALUE"""),"確定")</f>
        <v>確定</v>
      </c>
      <c r="C4831" s="28">
        <f>IFERROR(__xludf.DUMMYFUNCTION("""COMPUTED_VALUE"""),46031.0)</f>
        <v>46031</v>
      </c>
      <c r="D4831" s="28">
        <f>IFERROR(__xludf.DUMMYFUNCTION("""COMPUTED_VALUE"""),46091.0)</f>
        <v>46091</v>
      </c>
      <c r="E4831" s="26">
        <f>IFERROR(__xludf.DUMMYFUNCTION("""COMPUTED_VALUE"""),356268.0)</f>
        <v>356268</v>
      </c>
      <c r="F4831" s="22" t="str">
        <f>IFERROR(__xludf.DUMMYFUNCTION("""COMPUTED_VALUE"""),"おかえり、俺の最愛～男装ホストはエースの寵愛から逃げられない～【マイクロ】")</f>
        <v>おかえり、俺の最愛～男装ホストはエースの寵愛から逃げられない～【マイクロ】</v>
      </c>
      <c r="G4831" s="20" t="str">
        <f>IFERROR(__xludf.DUMMYFUNCTION("""COMPUTED_VALUE"""),"1～3")</f>
        <v>1～3</v>
      </c>
      <c r="H4831" s="22" t="str">
        <f>IFERROR(__xludf.DUMMYFUNCTION("""COMPUTED_VALUE"""),"あやもと美葉（過去作：『速水社長は今日も好きって言わせたい』ほか）")</f>
        <v>あやもと美葉（過去作：『速水社長は今日も好きって言わせたい』ほか）</v>
      </c>
      <c r="I4831" s="22" t="str">
        <f>IFERROR(__xludf.DUMMYFUNCTION("""COMPUTED_VALUE"""),"女性")</f>
        <v>女性</v>
      </c>
      <c r="J4831" s="22"/>
      <c r="K4831" s="22" t="str">
        <f>IFERROR(__xludf.DUMMYFUNCTION("""COMPUTED_VALUE"""),"＆フラワー")</f>
        <v>＆フラワー</v>
      </c>
      <c r="L4831" s="22" t="str">
        <f>IFERROR(__xludf.DUMMYFUNCTION("""COMPUTED_VALUE"""),"小学館")</f>
        <v>小学館</v>
      </c>
      <c r="M4831" s="33">
        <f>IFERROR(__xludf.DUMMYFUNCTION("""COMPUTED_VALUE"""),46114.0)</f>
        <v>46114</v>
      </c>
      <c r="N4831" s="33">
        <f>IFERROR(__xludf.DUMMYFUNCTION("""COMPUTED_VALUE"""),46174.0)</f>
        <v>46174</v>
      </c>
      <c r="O4831" s="20"/>
      <c r="P4831" s="32" t="str">
        <f>IFERROR(__xludf.DUMMYFUNCTION("""COMPUTED_VALUE"""),"否")</f>
        <v>否</v>
      </c>
      <c r="Q4831" s="30" t="str">
        <f>IFERROR(__xludf.DUMMYFUNCTION("""COMPUTED_VALUE"""),"素材は2話と3話は前編後編セットで1巻なので、格納素材で初回3巻分です。")</f>
        <v>素材は2話と3話は前編後編セットで1巻なので、格納素材で初回3巻分です。</v>
      </c>
      <c r="R4831" s="22" t="str">
        <f>IFERROR(__xludf.DUMMYFUNCTION("""COMPUTED_VALUE"""),"コミットOK")</f>
        <v>コミットOK</v>
      </c>
      <c r="S4831" s="22" t="str">
        <f>IFERROR(__xludf.DUMMYFUNCTION("""COMPUTED_VALUE"""),"20260305_小学館_おかえり、俺の最愛～男装ホストはエースの寵愛から逃げられない～")</f>
        <v>20260305_小学館_おかえり、俺の最愛～男装ホストはエースの寵愛から逃げられない～</v>
      </c>
      <c r="T4831" s="22" t="str">
        <f>IFERROR(__xludf.DUMMYFUNCTION("""COMPUTED_VALUE"""),"格納済み")</f>
        <v>格納済み</v>
      </c>
      <c r="U4831" s="9" t="str">
        <f>IFERROR(__xludf.DUMMYFUNCTION("""COMPUTED_VALUE"""),"(C)あやもと美葉 / 小学館")</f>
        <v>(C)あやもと美葉 / 小学館</v>
      </c>
      <c r="V4831" s="8"/>
      <c r="W4831" s="8"/>
      <c r="X4831" s="8" t="str">
        <f>IFERROR(__xludf.DUMMYFUNCTION("""COMPUTED_VALUE"""),"有")</f>
        <v>有</v>
      </c>
      <c r="Y4831" s="8" t="str">
        <f>IFERROR(__xludf.DUMMYFUNCTION("""COMPUTED_VALUE"""),"2026/6/1まで1巻無料")</f>
        <v>2026/6/1まで1巻無料</v>
      </c>
      <c r="Z4831" s="7"/>
      <c r="AA4831" s="7"/>
      <c r="AB4831" s="7"/>
    </row>
    <row r="4832" ht="15.75" customHeight="1">
      <c r="A4832" s="26">
        <f>IFERROR(__xludf.DUMMYFUNCTION("""COMPUTED_VALUE"""),7252.0)</f>
        <v>7252</v>
      </c>
      <c r="B4832" s="22" t="str">
        <f>IFERROR(__xludf.DUMMYFUNCTION("""COMPUTED_VALUE"""),"確定")</f>
        <v>確定</v>
      </c>
      <c r="C4832" s="28">
        <f>IFERROR(__xludf.DUMMYFUNCTION("""COMPUTED_VALUE"""),46042.0)</f>
        <v>46042</v>
      </c>
      <c r="D4832" s="28">
        <f>IFERROR(__xludf.DUMMYFUNCTION("""COMPUTED_VALUE"""),46105.0)</f>
        <v>46105</v>
      </c>
      <c r="E4832" s="26">
        <f>IFERROR(__xludf.DUMMYFUNCTION("""COMPUTED_VALUE"""),355785.0)</f>
        <v>355785</v>
      </c>
      <c r="F4832" s="22" t="str">
        <f>IFERROR(__xludf.DUMMYFUNCTION("""COMPUTED_VALUE"""),"復讐主夫～元殺し屋は社会のゴミ共を制裁する～")</f>
        <v>復讐主夫～元殺し屋は社会のゴミ共を制裁する～</v>
      </c>
      <c r="G4832" s="20" t="str">
        <f>IFERROR(__xludf.DUMMYFUNCTION("""COMPUTED_VALUE"""),"1～4")</f>
        <v>1～4</v>
      </c>
      <c r="H4832" s="22" t="str">
        <f>IFERROR(__xludf.DUMMYFUNCTION("""COMPUTED_VALUE"""),"諸星モヨヨ,peep,れいゔん,瀬田セリ仮,taskey STUDIO")</f>
        <v>諸星モヨヨ,peep,れいゔん,瀬田セリ仮,taskey STUDIO</v>
      </c>
      <c r="I4832" s="22" t="str">
        <f>IFERROR(__xludf.DUMMYFUNCTION("""COMPUTED_VALUE"""),"青年")</f>
        <v>青年</v>
      </c>
      <c r="J4832" s="22"/>
      <c r="K4832" s="22" t="str">
        <f>IFERROR(__xludf.DUMMYFUNCTION("""COMPUTED_VALUE"""),"サイコワコミック")</f>
        <v>サイコワコミック</v>
      </c>
      <c r="L4832" s="22" t="str">
        <f>IFERROR(__xludf.DUMMYFUNCTION("""COMPUTED_VALUE"""),"taskey")</f>
        <v>taskey</v>
      </c>
      <c r="M4832" s="33">
        <f>IFERROR(__xludf.DUMMYFUNCTION("""COMPUTED_VALUE"""),46122.0)</f>
        <v>46122</v>
      </c>
      <c r="N4832" s="33">
        <f>IFERROR(__xludf.DUMMYFUNCTION("""COMPUTED_VALUE"""),46274.66666666667)</f>
        <v>46274.66667</v>
      </c>
      <c r="O4832" s="20"/>
      <c r="P4832" s="32" t="str">
        <f>IFERROR(__xludf.DUMMYFUNCTION("""COMPUTED_VALUE"""),"可")</f>
        <v>可</v>
      </c>
      <c r="Q4832" s="30"/>
      <c r="R4832" s="22" t="str">
        <f>IFERROR(__xludf.DUMMYFUNCTION("""COMPUTED_VALUE"""),"コミットOK")</f>
        <v>コミットOK</v>
      </c>
      <c r="S4832" s="22" t="str">
        <f>IFERROR(__xludf.DUMMYFUNCTION("""COMPUTED_VALUE"""),"20260309_taskey_復讐主夫～元殺し屋は社会のゴミ共を制裁する～_2")</f>
        <v>20260309_taskey_復讐主夫～元殺し屋は社会のゴミ共を制裁する～_2</v>
      </c>
      <c r="T4832" s="22" t="str">
        <f>IFERROR(__xludf.DUMMYFUNCTION("""COMPUTED_VALUE"""),"格納済み")</f>
        <v>格納済み</v>
      </c>
      <c r="U4832" s="9" t="str">
        <f>IFERROR(__xludf.DUMMYFUNCTION("""COMPUTED_VALUE"""),"©︎taskey　原作／諸星モヨヨ　ネーム／れいゔん　作画／瀬田セリ仮")</f>
        <v>©︎taskey　原作／諸星モヨヨ　ネーム／れいゔん　作画／瀬田セリ仮</v>
      </c>
      <c r="V4832" s="8"/>
      <c r="W4832" s="8"/>
      <c r="X4832" s="8" t="str">
        <f>IFERROR(__xludf.DUMMYFUNCTION("""COMPUTED_VALUE"""),"有")</f>
        <v>有</v>
      </c>
      <c r="Y4832" s="8" t="str">
        <f>IFERROR(__xludf.DUMMYFUNCTION("""COMPUTED_VALUE"""),"2026/4/29まで1巻無料")</f>
        <v>2026/4/29まで1巻無料</v>
      </c>
      <c r="Z4832" s="7"/>
      <c r="AA4832" s="7"/>
      <c r="AB4832" s="7"/>
    </row>
    <row r="4833" ht="15.75" customHeight="1">
      <c r="A4833" s="26">
        <f>IFERROR(__xludf.DUMMYFUNCTION("""COMPUTED_VALUE"""),7296.0)</f>
        <v>7296</v>
      </c>
      <c r="B4833" s="22" t="str">
        <f>IFERROR(__xludf.DUMMYFUNCTION("""COMPUTED_VALUE"""),"確定")</f>
        <v>確定</v>
      </c>
      <c r="C4833" s="28">
        <f>IFERROR(__xludf.DUMMYFUNCTION("""COMPUTED_VALUE"""),46048.0)</f>
        <v>46048</v>
      </c>
      <c r="D4833" s="28">
        <f>IFERROR(__xludf.DUMMYFUNCTION("""COMPUTED_VALUE"""),46091.0)</f>
        <v>46091</v>
      </c>
      <c r="E4833" s="26">
        <f>IFERROR(__xludf.DUMMYFUNCTION("""COMPUTED_VALUE"""),357145.0)</f>
        <v>357145</v>
      </c>
      <c r="F4833" s="22" t="str">
        <f>IFERROR(__xludf.DUMMYFUNCTION("""COMPUTED_VALUE"""),"先輩、俺に沼ってください")</f>
        <v>先輩、俺に沼ってください</v>
      </c>
      <c r="G4833" s="20" t="str">
        <f>IFERROR(__xludf.DUMMYFUNCTION("""COMPUTED_VALUE"""),"1～3")</f>
        <v>1～3</v>
      </c>
      <c r="H4833" s="22" t="str">
        <f>IFERROR(__xludf.DUMMYFUNCTION("""COMPUTED_VALUE"""),"漣ライカ")</f>
        <v>漣ライカ</v>
      </c>
      <c r="I4833" s="22" t="str">
        <f>IFERROR(__xludf.DUMMYFUNCTION("""COMPUTED_VALUE"""),"女性")</f>
        <v>女性</v>
      </c>
      <c r="J4833" s="22"/>
      <c r="K4833" s="22" t="str">
        <f>IFERROR(__xludf.DUMMYFUNCTION("""COMPUTED_VALUE"""),"カフネ")</f>
        <v>カフネ</v>
      </c>
      <c r="L4833" s="22" t="str">
        <f>IFERROR(__xludf.DUMMYFUNCTION("""COMPUTED_VALUE"""),"DPNブックス")</f>
        <v>DPNブックス</v>
      </c>
      <c r="M4833" s="33">
        <f>IFERROR(__xludf.DUMMYFUNCTION("""COMPUTED_VALUE"""),46134.0)</f>
        <v>46134</v>
      </c>
      <c r="N4833" s="33">
        <f>IFERROR(__xludf.DUMMYFUNCTION("""COMPUTED_VALUE"""),46194.0)</f>
        <v>46194</v>
      </c>
      <c r="O4833" s="20"/>
      <c r="P4833" s="32" t="str">
        <f>IFERROR(__xludf.DUMMYFUNCTION("""COMPUTED_VALUE"""),"可")</f>
        <v>可</v>
      </c>
      <c r="Q4833" s="30"/>
      <c r="R4833" s="22" t="str">
        <f>IFERROR(__xludf.DUMMYFUNCTION("""COMPUTED_VALUE"""),"コミットOK")</f>
        <v>コミットOK</v>
      </c>
      <c r="S4833" s="22" t="str">
        <f>IFERROR(__xludf.DUMMYFUNCTION("""COMPUTED_VALUE"""),"20260306_DPNブックス_先輩、俺に沼ってください")</f>
        <v>20260306_DPNブックス_先輩、俺に沼ってください</v>
      </c>
      <c r="T4833" s="22" t="str">
        <f>IFERROR(__xludf.DUMMYFUNCTION("""COMPUTED_VALUE"""),"格納済み")</f>
        <v>格納済み</v>
      </c>
      <c r="U4833" s="9" t="str">
        <f>IFERROR(__xludf.DUMMYFUNCTION("""COMPUTED_VALUE"""),"Ⓒ漣ライカ／DPNブックス")</f>
        <v>Ⓒ漣ライカ／DPNブックス</v>
      </c>
      <c r="V4833" s="8"/>
      <c r="W4833" s="8"/>
      <c r="X4833" s="8" t="str">
        <f>IFERROR(__xludf.DUMMYFUNCTION("""COMPUTED_VALUE"""),"有")</f>
        <v>有</v>
      </c>
      <c r="Y4833" s="8" t="str">
        <f>IFERROR(__xludf.DUMMYFUNCTION("""COMPUTED_VALUE"""),"2026/5/21まで1巻無料")</f>
        <v>2026/5/21まで1巻無料</v>
      </c>
      <c r="Z4833" s="7"/>
      <c r="AA4833" s="7"/>
      <c r="AB4833" s="7"/>
    </row>
    <row r="4834" ht="15.75" customHeight="1">
      <c r="A4834" s="26">
        <f>IFERROR(__xludf.DUMMYFUNCTION("""COMPUTED_VALUE"""),7334.0)</f>
        <v>7334</v>
      </c>
      <c r="B4834" s="22" t="str">
        <f>IFERROR(__xludf.DUMMYFUNCTION("""COMPUTED_VALUE"""),"確定")</f>
        <v>確定</v>
      </c>
      <c r="C4834" s="28">
        <f>IFERROR(__xludf.DUMMYFUNCTION("""COMPUTED_VALUE"""),46051.0)</f>
        <v>46051</v>
      </c>
      <c r="D4834" s="28">
        <f>IFERROR(__xludf.DUMMYFUNCTION("""COMPUTED_VALUE"""),46091.0)</f>
        <v>46091</v>
      </c>
      <c r="E4834" s="26">
        <f>IFERROR(__xludf.DUMMYFUNCTION("""COMPUTED_VALUE"""),357673.0)</f>
        <v>357673</v>
      </c>
      <c r="F4834" s="22" t="str">
        <f>IFERROR(__xludf.DUMMYFUNCTION("""COMPUTED_VALUE"""),"異世界残酷漂流記ーシンジュウー【タテヨミ】")</f>
        <v>異世界残酷漂流記ーシンジュウー【タテヨミ】</v>
      </c>
      <c r="G4834" s="20" t="str">
        <f>IFERROR(__xludf.DUMMYFUNCTION("""COMPUTED_VALUE"""),"1~15")</f>
        <v>1~15</v>
      </c>
      <c r="H4834" s="22" t="str">
        <f>IFERROR(__xludf.DUMMYFUNCTION("""COMPUTED_VALUE"""),"荒井チェイサー,冥土院ヘブん,西山田,booklistaSTUDIO,MUGEN FACTORY")</f>
        <v>荒井チェイサー,冥土院ヘブん,西山田,booklistaSTUDIO,MUGEN FACTORY</v>
      </c>
      <c r="I4834" s="22" t="str">
        <f>IFERROR(__xludf.DUMMYFUNCTION("""COMPUTED_VALUE"""),"青年")</f>
        <v>青年</v>
      </c>
      <c r="J4834" s="22"/>
      <c r="K4834" s="22" t="str">
        <f>IFERROR(__xludf.DUMMYFUNCTION("""COMPUTED_VALUE"""),"ムゲンコミックス")</f>
        <v>ムゲンコミックス</v>
      </c>
      <c r="L4834" s="22" t="str">
        <f>IFERROR(__xludf.DUMMYFUNCTION("""COMPUTED_VALUE"""),"MUGENUP")</f>
        <v>MUGENUP</v>
      </c>
      <c r="M4834" s="33">
        <f>IFERROR(__xludf.DUMMYFUNCTION("""COMPUTED_VALUE"""),46129.0)</f>
        <v>46129</v>
      </c>
      <c r="N4834" s="33">
        <f>IFERROR(__xludf.DUMMYFUNCTION("""COMPUTED_VALUE"""),46219.0)</f>
        <v>46219</v>
      </c>
      <c r="O4834" s="20"/>
      <c r="P4834" s="32" t="str">
        <f>IFERROR(__xludf.DUMMYFUNCTION("""COMPUTED_VALUE"""),"可")</f>
        <v>可</v>
      </c>
      <c r="Q4834" s="30"/>
      <c r="R4834" s="22" t="str">
        <f>IFERROR(__xludf.DUMMYFUNCTION("""COMPUTED_VALUE"""),"コミットOK")</f>
        <v>コミットOK</v>
      </c>
      <c r="S4834" s="22" t="str">
        <f>IFERROR(__xludf.DUMMYFUNCTION("""COMPUTED_VALUE"""),"20260306_MUGENUP_異世界残酷漂流記ーシンジュウー【タテヨミ】")</f>
        <v>20260306_MUGENUP_異世界残酷漂流記ーシンジュウー【タテヨミ】</v>
      </c>
      <c r="T4834" s="22" t="str">
        <f>IFERROR(__xludf.DUMMYFUNCTION("""COMPUTED_VALUE"""),"格納済み")</f>
        <v>格納済み</v>
      </c>
      <c r="U4834" s="9" t="str">
        <f>IFERROR(__xludf.DUMMYFUNCTION("""COMPUTED_VALUE"""),"(C)booklistaSTUDIO/MUGENUP")</f>
        <v>(C)booklistaSTUDIO/MUGENUP</v>
      </c>
      <c r="V4834" s="8"/>
      <c r="W4834" s="8"/>
      <c r="X4834" s="8" t="str">
        <f>IFERROR(__xludf.DUMMYFUNCTION("""COMPUTED_VALUE"""),"有")</f>
        <v>有</v>
      </c>
      <c r="Y4834" s="8" t="str">
        <f>IFERROR(__xludf.DUMMYFUNCTION("""COMPUTED_VALUE"""),"1~3巻まで無料
2026/5/11まで4～6巻無料")</f>
        <v>1~3巻まで無料
2026/5/11まで4～6巻無料</v>
      </c>
      <c r="Z4834" s="7"/>
      <c r="AA4834" s="7"/>
      <c r="AB4834" s="7"/>
    </row>
    <row r="4835" ht="15.75" customHeight="1">
      <c r="A4835" s="26">
        <f>IFERROR(__xludf.DUMMYFUNCTION("""COMPUTED_VALUE"""),7336.0)</f>
        <v>7336</v>
      </c>
      <c r="B4835" s="22" t="str">
        <f>IFERROR(__xludf.DUMMYFUNCTION("""COMPUTED_VALUE"""),"確定")</f>
        <v>確定</v>
      </c>
      <c r="C4835" s="28">
        <f>IFERROR(__xludf.DUMMYFUNCTION("""COMPUTED_VALUE"""),46051.0)</f>
        <v>46051</v>
      </c>
      <c r="D4835" s="28">
        <f>IFERROR(__xludf.DUMMYFUNCTION("""COMPUTED_VALUE"""),46092.0)</f>
        <v>46092</v>
      </c>
      <c r="E4835" s="26">
        <f>IFERROR(__xludf.DUMMYFUNCTION("""COMPUTED_VALUE"""),353576.0)</f>
        <v>353576</v>
      </c>
      <c r="F4835" s="22" t="str">
        <f>IFERROR(__xludf.DUMMYFUNCTION("""COMPUTED_VALUE"""),"【R版】女性不信執事を手懐けました《Lovelicot》")</f>
        <v>【R版】女性不信執事を手懐けました《Lovelicot》</v>
      </c>
      <c r="G4835" s="20" t="str">
        <f>IFERROR(__xludf.DUMMYFUNCTION("""COMPUTED_VALUE"""),"1～3")</f>
        <v>1～3</v>
      </c>
      <c r="H4835" s="22" t="str">
        <f>IFERROR(__xludf.DUMMYFUNCTION("""COMPUTED_VALUE"""),"星埜")</f>
        <v>星埜</v>
      </c>
      <c r="I4835" s="22" t="str">
        <f>IFERROR(__xludf.DUMMYFUNCTION("""COMPUTED_VALUE"""),"アダルト")</f>
        <v>アダルト</v>
      </c>
      <c r="J4835" s="22"/>
      <c r="K4835" s="22" t="str">
        <f>IFERROR(__xludf.DUMMYFUNCTION("""COMPUTED_VALUE"""),"Lovelicot")</f>
        <v>Lovelicot</v>
      </c>
      <c r="L4835" s="22" t="str">
        <f>IFERROR(__xludf.DUMMYFUNCTION("""COMPUTED_VALUE"""),"ガールスカウトコミックス")</f>
        <v>ガールスカウトコミックス</v>
      </c>
      <c r="M4835" s="33">
        <f>IFERROR(__xludf.DUMMYFUNCTION("""COMPUTED_VALUE"""),46124.0)</f>
        <v>46124</v>
      </c>
      <c r="N4835" s="33">
        <f>IFERROR(__xludf.DUMMYFUNCTION("""COMPUTED_VALUE"""),46214.0)</f>
        <v>46214</v>
      </c>
      <c r="O4835" s="20"/>
      <c r="P4835" s="32" t="str">
        <f>IFERROR(__xludf.DUMMYFUNCTION("""COMPUTED_VALUE"""),"可")</f>
        <v>可</v>
      </c>
      <c r="Q4835" s="30"/>
      <c r="R4835" s="22" t="str">
        <f>IFERROR(__xludf.DUMMYFUNCTION("""COMPUTED_VALUE"""),"コミットOK")</f>
        <v>コミットOK</v>
      </c>
      <c r="S4835" s="22" t="str">
        <f>IFERROR(__xludf.DUMMYFUNCTION("""COMPUTED_VALUE"""),"20260311_ガールスカウトコミックス_【R版】女性不信執事を手懐けました《Lovelicot》")</f>
        <v>20260311_ガールスカウトコミックス_【R版】女性不信執事を手懐けました《Lovelicot》</v>
      </c>
      <c r="T4835" s="22" t="str">
        <f>IFERROR(__xludf.DUMMYFUNCTION("""COMPUTED_VALUE"""),"格納済み")</f>
        <v>格納済み</v>
      </c>
      <c r="U4835" s="9" t="str">
        <f>IFERROR(__xludf.DUMMYFUNCTION("""COMPUTED_VALUE"""),"(C)星埜／ガールスカウトコミックス")</f>
        <v>(C)星埜／ガールスカウトコミックス</v>
      </c>
      <c r="V4835" s="8"/>
      <c r="W4835" s="8"/>
      <c r="X4835" s="8" t="str">
        <f>IFERROR(__xludf.DUMMYFUNCTION("""COMPUTED_VALUE"""),"有")</f>
        <v>有</v>
      </c>
      <c r="Y4835" s="8" t="str">
        <f>IFERROR(__xludf.DUMMYFUNCTION("""COMPUTED_VALUE"""),"P10まで")</f>
        <v>P10まで</v>
      </c>
      <c r="Z4835" s="7"/>
      <c r="AA4835" s="7"/>
      <c r="AB4835" s="7"/>
    </row>
    <row r="4836" ht="15.75" customHeight="1">
      <c r="A4836" s="26">
        <f>IFERROR(__xludf.DUMMYFUNCTION("""COMPUTED_VALUE"""),7348.0)</f>
        <v>7348</v>
      </c>
      <c r="B4836" s="22" t="str">
        <f>IFERROR(__xludf.DUMMYFUNCTION("""COMPUTED_VALUE"""),"確定")</f>
        <v>確定</v>
      </c>
      <c r="C4836" s="28">
        <f>IFERROR(__xludf.DUMMYFUNCTION("""COMPUTED_VALUE"""),46055.0)</f>
        <v>46055</v>
      </c>
      <c r="D4836" s="28">
        <f>IFERROR(__xludf.DUMMYFUNCTION("""COMPUTED_VALUE"""),46091.0)</f>
        <v>46091</v>
      </c>
      <c r="E4836" s="26">
        <f>IFERROR(__xludf.DUMMYFUNCTION("""COMPUTED_VALUE"""),354166.0)</f>
        <v>354166</v>
      </c>
      <c r="F4836" s="22" t="str">
        <f>IFERROR(__xludf.DUMMYFUNCTION("""COMPUTED_VALUE"""),"幼馴染の理兎くんは私の××でしか満たされない。")</f>
        <v>幼馴染の理兎くんは私の××でしか満たされない。</v>
      </c>
      <c r="G4836" s="20" t="str">
        <f>IFERROR(__xludf.DUMMYFUNCTION("""COMPUTED_VALUE"""),"1～3")</f>
        <v>1～3</v>
      </c>
      <c r="H4836" s="22" t="str">
        <f>IFERROR(__xludf.DUMMYFUNCTION("""COMPUTED_VALUE"""),"あさぎ屋┴あさぎ屋さんち")</f>
        <v>あさぎ屋┴あさぎ屋さんち</v>
      </c>
      <c r="I4836" s="22" t="str">
        <f>IFERROR(__xludf.DUMMYFUNCTION("""COMPUTED_VALUE"""),"アダルト")</f>
        <v>アダルト</v>
      </c>
      <c r="J4836" s="22"/>
      <c r="K4836" s="22" t="str">
        <f>IFERROR(__xludf.DUMMYFUNCTION("""COMPUTED_VALUE"""),"BLIC-ERO")</f>
        <v>BLIC-ERO</v>
      </c>
      <c r="L4836" s="22" t="str">
        <f>IFERROR(__xludf.DUMMYFUNCTION("""COMPUTED_VALUE"""),"クロスフォリオ出版")</f>
        <v>クロスフォリオ出版</v>
      </c>
      <c r="M4836" s="33">
        <f>IFERROR(__xludf.DUMMYFUNCTION("""COMPUTED_VALUE"""),46115.0)</f>
        <v>46115</v>
      </c>
      <c r="N4836" s="33">
        <f>IFERROR(__xludf.DUMMYFUNCTION("""COMPUTED_VALUE"""),46177.0)</f>
        <v>46177</v>
      </c>
      <c r="O4836" s="20"/>
      <c r="P4836" s="32" t="str">
        <f>IFERROR(__xludf.DUMMYFUNCTION("""COMPUTED_VALUE"""),"可")</f>
        <v>可</v>
      </c>
      <c r="Q4836" s="30"/>
      <c r="R4836" s="22" t="str">
        <f>IFERROR(__xludf.DUMMYFUNCTION("""COMPUTED_VALUE"""),"コミットOK")</f>
        <v>コミットOK</v>
      </c>
      <c r="S4836" s="22" t="str">
        <f>IFERROR(__xludf.DUMMYFUNCTION("""COMPUTED_VALUE"""),"20260309_BookLive_幼馴染の理兎くんは私の××でしか満たされない。")</f>
        <v>20260309_BookLive_幼馴染の理兎くんは私の××でしか満たされない。</v>
      </c>
      <c r="T4836" s="22" t="str">
        <f>IFERROR(__xludf.DUMMYFUNCTION("""COMPUTED_VALUE"""),"格納済み")</f>
        <v>格納済み</v>
      </c>
      <c r="U4836" s="9" t="str">
        <f>IFERROR(__xludf.DUMMYFUNCTION("""COMPUTED_VALUE"""),"(C)あさぎ屋/あさぎ屋さんち/クロスフォリオ出版")</f>
        <v>(C)あさぎ屋/あさぎ屋さんち/クロスフォリオ出版</v>
      </c>
      <c r="V4836" s="8"/>
      <c r="W4836" s="8"/>
      <c r="X4836" s="8" t="str">
        <f>IFERROR(__xludf.DUMMYFUNCTION("""COMPUTED_VALUE"""),"有")</f>
        <v>有</v>
      </c>
      <c r="Y4836" s="8" t="str">
        <f>IFERROR(__xludf.DUMMYFUNCTION("""COMPUTED_VALUE"""),"P7まで")</f>
        <v>P7まで</v>
      </c>
      <c r="Z4836" s="7"/>
      <c r="AA4836" s="7"/>
      <c r="AB4836" s="7"/>
    </row>
    <row r="4837" ht="15.75" customHeight="1">
      <c r="A4837" s="26">
        <f>IFERROR(__xludf.DUMMYFUNCTION("""COMPUTED_VALUE"""),7352.0)</f>
        <v>7352</v>
      </c>
      <c r="B4837" s="22" t="str">
        <f>IFERROR(__xludf.DUMMYFUNCTION("""COMPUTED_VALUE"""),"確定")</f>
        <v>確定</v>
      </c>
      <c r="C4837" s="28">
        <f>IFERROR(__xludf.DUMMYFUNCTION("""COMPUTED_VALUE"""),46055.0)</f>
        <v>46055</v>
      </c>
      <c r="D4837" s="28">
        <f>IFERROR(__xludf.DUMMYFUNCTION("""COMPUTED_VALUE"""),46090.0)</f>
        <v>46090</v>
      </c>
      <c r="E4837" s="26">
        <f>IFERROR(__xludf.DUMMYFUNCTION("""COMPUTED_VALUE"""),354047.0)</f>
        <v>354047</v>
      </c>
      <c r="F4837" s="22" t="str">
        <f>IFERROR(__xludf.DUMMYFUNCTION("""COMPUTED_VALUE"""),"王子殿下、どうせ破滅する私をからかわないでくださいませんか？")</f>
        <v>王子殿下、どうせ破滅する私をからかわないでくださいませんか？</v>
      </c>
      <c r="G4837" s="20" t="str">
        <f>IFERROR(__xludf.DUMMYFUNCTION("""COMPUTED_VALUE"""),"1～11")</f>
        <v>1～11</v>
      </c>
      <c r="H4837" s="22" t="str">
        <f>IFERROR(__xludf.DUMMYFUNCTION("""COMPUTED_VALUE"""),"kana10.┴はるい┴C-Route Studio┴グルナ編集部")</f>
        <v>kana10.┴はるい┴C-Route Studio┴グルナ編集部</v>
      </c>
      <c r="I4837" s="22" t="str">
        <f>IFERROR(__xludf.DUMMYFUNCTION("""COMPUTED_VALUE"""),"女性")</f>
        <v>女性</v>
      </c>
      <c r="J4837" s="22"/>
      <c r="K4837" s="22" t="str">
        <f>IFERROR(__xludf.DUMMYFUNCTION("""COMPUTED_VALUE"""),"COMICエトワール")</f>
        <v>COMICエトワール</v>
      </c>
      <c r="L4837" s="22" t="str">
        <f>IFERROR(__xludf.DUMMYFUNCTION("""COMPUTED_VALUE"""),"ライブコミックス")</f>
        <v>ライブコミックス</v>
      </c>
      <c r="M4837" s="33">
        <f>IFERROR(__xludf.DUMMYFUNCTION("""COMPUTED_VALUE"""),46108.0)</f>
        <v>46108</v>
      </c>
      <c r="N4837" s="33">
        <f>IFERROR(__xludf.DUMMYFUNCTION("""COMPUTED_VALUE"""),46163.0)</f>
        <v>46163</v>
      </c>
      <c r="O4837" s="20"/>
      <c r="P4837" s="32" t="str">
        <f>IFERROR(__xludf.DUMMYFUNCTION("""COMPUTED_VALUE"""),"可")</f>
        <v>可</v>
      </c>
      <c r="Q4837" s="30"/>
      <c r="R4837" s="22" t="str">
        <f>IFERROR(__xludf.DUMMYFUNCTION("""COMPUTED_VALUE"""),"コミットOK")</f>
        <v>コミットOK</v>
      </c>
      <c r="S4837" s="22" t="str">
        <f>IFERROR(__xludf.DUMMYFUNCTION("""COMPUTED_VALUE"""),"20260308_BooklLive_王子殿下、どうせ破滅する私をからかわないでくださいませんか？")</f>
        <v>20260308_BooklLive_王子殿下、どうせ破滅する私をからかわないでくださいませんか？</v>
      </c>
      <c r="T4837" s="22" t="str">
        <f>IFERROR(__xludf.DUMMYFUNCTION("""COMPUTED_VALUE"""),"格納済み")</f>
        <v>格納済み</v>
      </c>
      <c r="U4837" s="9" t="str">
        <f>IFERROR(__xludf.DUMMYFUNCTION("""COMPUTED_VALUE"""),"(C)はるい/ライブコミックス")</f>
        <v>(C)はるい/ライブコミックス</v>
      </c>
      <c r="V4837" s="8"/>
      <c r="W4837" s="8"/>
      <c r="X4837" s="8" t="str">
        <f>IFERROR(__xludf.DUMMYFUNCTION("""COMPUTED_VALUE"""),"有")</f>
        <v>有</v>
      </c>
      <c r="Y4837" s="8" t="str">
        <f>IFERROR(__xludf.DUMMYFUNCTION("""COMPUTED_VALUE"""),"2026/4/23まで1～2巻無料")</f>
        <v>2026/4/23まで1～2巻無料</v>
      </c>
      <c r="Z4837" s="7"/>
      <c r="AA4837" s="7"/>
      <c r="AB4837" s="7"/>
    </row>
    <row r="4838" ht="15.75" customHeight="1">
      <c r="A4838" s="26">
        <f>IFERROR(__xludf.DUMMYFUNCTION("""COMPUTED_VALUE"""),7366.0)</f>
        <v>7366</v>
      </c>
      <c r="B4838" s="22" t="str">
        <f>IFERROR(__xludf.DUMMYFUNCTION("""COMPUTED_VALUE"""),"確定")</f>
        <v>確定</v>
      </c>
      <c r="C4838" s="28">
        <f>IFERROR(__xludf.DUMMYFUNCTION("""COMPUTED_VALUE"""),46056.0)</f>
        <v>46056</v>
      </c>
      <c r="D4838" s="28">
        <f>IFERROR(__xludf.DUMMYFUNCTION("""COMPUTED_VALUE"""),46086.0)</f>
        <v>46086</v>
      </c>
      <c r="E4838" s="26">
        <f>IFERROR(__xludf.DUMMYFUNCTION("""COMPUTED_VALUE"""),355146.0)</f>
        <v>355146</v>
      </c>
      <c r="F4838" s="22" t="str">
        <f>IFERROR(__xludf.DUMMYFUNCTION("""COMPUTED_VALUE"""),"転生幼女は教育したい！　～前世の知識で、異世界の社会常識を変えることにしました～（コミック）")</f>
        <v>転生幼女は教育したい！　～前世の知識で、異世界の社会常識を変えることにしました～（コミック）</v>
      </c>
      <c r="G4838" s="20" t="str">
        <f>IFERROR(__xludf.DUMMYFUNCTION("""COMPUTED_VALUE"""),"1～7")</f>
        <v>1～7</v>
      </c>
      <c r="H4838" s="22" t="str">
        <f>IFERROR(__xludf.DUMMYFUNCTION("""COMPUTED_VALUE"""),"うめのはな,Ryoko,フェルネモ")</f>
        <v>うめのはな,Ryoko,フェルネモ</v>
      </c>
      <c r="I4838" s="22" t="str">
        <f>IFERROR(__xludf.DUMMYFUNCTION("""COMPUTED_VALUE"""),"少女マンガ")</f>
        <v>少女マンガ</v>
      </c>
      <c r="J4838" s="22"/>
      <c r="K4838" s="22"/>
      <c r="L4838" s="22" t="str">
        <f>IFERROR(__xludf.DUMMYFUNCTION("""COMPUTED_VALUE"""),"ツギクル")</f>
        <v>ツギクル</v>
      </c>
      <c r="M4838" s="33">
        <f>IFERROR(__xludf.DUMMYFUNCTION("""COMPUTED_VALUE"""),46123.0)</f>
        <v>46123</v>
      </c>
      <c r="N4838" s="33">
        <f>IFERROR(__xludf.DUMMYFUNCTION("""COMPUTED_VALUE"""),46212.0)</f>
        <v>46212</v>
      </c>
      <c r="O4838" s="20"/>
      <c r="P4838" s="32" t="str">
        <f>IFERROR(__xludf.DUMMYFUNCTION("""COMPUTED_VALUE"""),"否")</f>
        <v>否</v>
      </c>
      <c r="Q4838" s="30"/>
      <c r="R4838" s="22"/>
      <c r="S4838" s="22" t="str">
        <f>IFERROR(__xludf.DUMMYFUNCTION("""COMPUTED_VALUE"""),"20260305_ツギクル_転生幼女は教育したい！（コミック）")</f>
        <v>20260305_ツギクル_転生幼女は教育したい！（コミック）</v>
      </c>
      <c r="T4838" s="22" t="str">
        <f>IFERROR(__xludf.DUMMYFUNCTION("""COMPUTED_VALUE"""),"格納済み")</f>
        <v>格納済み</v>
      </c>
      <c r="U4838" s="9" t="str">
        <f>IFERROR(__xludf.DUMMYFUNCTION("""COMPUTED_VALUE"""),"(C)うめのはな/ Ryoko / SBクリエイティブ")</f>
        <v>(C)うめのはな/ Ryoko / SBクリエイティブ</v>
      </c>
      <c r="V4838" s="8"/>
      <c r="W4838" s="8"/>
      <c r="X4838" s="8" t="str">
        <f>IFERROR(__xludf.DUMMYFUNCTION("""COMPUTED_VALUE"""),"有")</f>
        <v>有</v>
      </c>
      <c r="Y4838" s="8" t="str">
        <f>IFERROR(__xludf.DUMMYFUNCTION("""COMPUTED_VALUE"""),"1~2巻無料")</f>
        <v>1~2巻無料</v>
      </c>
      <c r="Z4838" s="7"/>
      <c r="AA4838" s="7"/>
      <c r="AB4838" s="7"/>
    </row>
    <row r="4839" ht="15.75" customHeight="1">
      <c r="A4839" s="26">
        <f>IFERROR(__xludf.DUMMYFUNCTION("""COMPUTED_VALUE"""),7399.0)</f>
        <v>7399</v>
      </c>
      <c r="B4839" s="22" t="str">
        <f>IFERROR(__xludf.DUMMYFUNCTION("""COMPUTED_VALUE"""),"確定")</f>
        <v>確定</v>
      </c>
      <c r="C4839" s="28">
        <f>IFERROR(__xludf.DUMMYFUNCTION("""COMPUTED_VALUE"""),46059.0)</f>
        <v>46059</v>
      </c>
      <c r="D4839" s="28">
        <f>IFERROR(__xludf.DUMMYFUNCTION("""COMPUTED_VALUE"""),46091.0)</f>
        <v>46091</v>
      </c>
      <c r="E4839" s="26">
        <f>IFERROR(__xludf.DUMMYFUNCTION("""COMPUTED_VALUE"""),354770.0)</f>
        <v>354770</v>
      </c>
      <c r="F4839" s="22" t="str">
        <f>IFERROR(__xludf.DUMMYFUNCTION("""COMPUTED_VALUE"""),"敗北貴族の黒幕無双～落ちぶれた伯爵家の息子ですが、裏社会から成り上がります～")</f>
        <v>敗北貴族の黒幕無双～落ちぶれた伯爵家の息子ですが、裏社会から成り上がります～</v>
      </c>
      <c r="G4839" s="20" t="str">
        <f>IFERROR(__xludf.DUMMYFUNCTION("""COMPUTED_VALUE"""),"1～3")</f>
        <v>1～3</v>
      </c>
      <c r="H4839" s="22" t="str">
        <f>IFERROR(__xludf.DUMMYFUNCTION("""COMPUTED_VALUE"""),"花門初海,岸本和葉")</f>
        <v>花門初海,岸本和葉</v>
      </c>
      <c r="I4839" s="22" t="str">
        <f>IFERROR(__xludf.DUMMYFUNCTION("""COMPUTED_VALUE"""),"青年")</f>
        <v>青年</v>
      </c>
      <c r="J4839" s="22"/>
      <c r="K4839" s="22" t="str">
        <f>IFERROR(__xludf.DUMMYFUNCTION("""COMPUTED_VALUE"""),"ゼットコミックス")</f>
        <v>ゼットコミックス</v>
      </c>
      <c r="L4839" s="22" t="str">
        <f>IFERROR(__xludf.DUMMYFUNCTION("""COMPUTED_VALUE"""),"グループ・ゼロ")</f>
        <v>グループ・ゼロ</v>
      </c>
      <c r="M4839" s="33">
        <f>IFERROR(__xludf.DUMMYFUNCTION("""COMPUTED_VALUE"""),46113.0)</f>
        <v>46113</v>
      </c>
      <c r="N4839" s="33">
        <f>IFERROR(__xludf.DUMMYFUNCTION("""COMPUTED_VALUE"""),46174.0)</f>
        <v>46174</v>
      </c>
      <c r="O4839" s="20"/>
      <c r="P4839" s="32" t="str">
        <f>IFERROR(__xludf.DUMMYFUNCTION("""COMPUTED_VALUE"""),"可")</f>
        <v>可</v>
      </c>
      <c r="Q4839" s="30"/>
      <c r="R4839" s="22" t="str">
        <f>IFERROR(__xludf.DUMMYFUNCTION("""COMPUTED_VALUE"""),"コミットOK")</f>
        <v>コミットOK</v>
      </c>
      <c r="S4839" s="22" t="str">
        <f>IFERROR(__xludf.DUMMYFUNCTION("""COMPUTED_VALUE"""),"202603034_グループ・ゼロ_敗北貴族の黒幕無双")</f>
        <v>202603034_グループ・ゼロ_敗北貴族の黒幕無双</v>
      </c>
      <c r="T4839" s="22" t="str">
        <f>IFERROR(__xludf.DUMMYFUNCTION("""COMPUTED_VALUE"""),"格納済み")</f>
        <v>格納済み</v>
      </c>
      <c r="U4839" s="9" t="str">
        <f>IFERROR(__xludf.DUMMYFUNCTION("""COMPUTED_VALUE"""),"花門初海／岸本和葉／グループ・ゼロ")</f>
        <v>花門初海／岸本和葉／グループ・ゼロ</v>
      </c>
      <c r="V4839" s="8"/>
      <c r="W4839" s="8"/>
      <c r="X4839" s="8" t="str">
        <f>IFERROR(__xludf.DUMMYFUNCTION("""COMPUTED_VALUE"""),"有")</f>
        <v>有</v>
      </c>
      <c r="Y4839" s="8" t="str">
        <f>IFERROR(__xludf.DUMMYFUNCTION("""COMPUTED_VALUE"""),"2026/6/1まで1巻無料")</f>
        <v>2026/6/1まで1巻無料</v>
      </c>
      <c r="Z4839" s="7"/>
      <c r="AA4839" s="7"/>
      <c r="AB4839" s="7"/>
    </row>
    <row r="4840" ht="15.75" customHeight="1">
      <c r="A4840" s="26">
        <f>IFERROR(__xludf.DUMMYFUNCTION("""COMPUTED_VALUE"""),7402.0)</f>
        <v>7402</v>
      </c>
      <c r="B4840" s="22" t="str">
        <f>IFERROR(__xludf.DUMMYFUNCTION("""COMPUTED_VALUE"""),"確定")</f>
        <v>確定</v>
      </c>
      <c r="C4840" s="28">
        <f>IFERROR(__xludf.DUMMYFUNCTION("""COMPUTED_VALUE"""),46062.0)</f>
        <v>46062</v>
      </c>
      <c r="D4840" s="28">
        <f>IFERROR(__xludf.DUMMYFUNCTION("""COMPUTED_VALUE"""),46090.0)</f>
        <v>46090</v>
      </c>
      <c r="E4840" s="26">
        <f>IFERROR(__xludf.DUMMYFUNCTION("""COMPUTED_VALUE"""),363627.0)</f>
        <v>363627</v>
      </c>
      <c r="F4840" s="22" t="str">
        <f>IFERROR(__xludf.DUMMYFUNCTION("""COMPUTED_VALUE"""),"ちっぱいOL雫さん、スパダリ幼馴染に開発されることになりました!?【R版】")</f>
        <v>ちっぱいOL雫さん、スパダリ幼馴染に開発されることになりました!?【R版】</v>
      </c>
      <c r="G4840" s="20" t="str">
        <f>IFERROR(__xludf.DUMMYFUNCTION("""COMPUTED_VALUE"""),"1～3")</f>
        <v>1～3</v>
      </c>
      <c r="H4840" s="22" t="str">
        <f>IFERROR(__xludf.DUMMYFUNCTION("""COMPUTED_VALUE"""),"空木くもり")</f>
        <v>空木くもり</v>
      </c>
      <c r="I4840" s="22" t="str">
        <f>IFERROR(__xludf.DUMMYFUNCTION("""COMPUTED_VALUE"""),"アダルトマンガ")</f>
        <v>アダルトマンガ</v>
      </c>
      <c r="J4840" s="22"/>
      <c r="K4840" s="22" t="str">
        <f>IFERROR(__xludf.DUMMYFUNCTION("""COMPUTED_VALUE"""),"＠夜噺+")</f>
        <v>＠夜噺+</v>
      </c>
      <c r="L4840" s="22" t="str">
        <f>IFERROR(__xludf.DUMMYFUNCTION("""COMPUTED_VALUE"""),"DEEPER-ZERO")</f>
        <v>DEEPER-ZERO</v>
      </c>
      <c r="M4840" s="33">
        <f>IFERROR(__xludf.DUMMYFUNCTION("""COMPUTED_VALUE"""),46191.0)</f>
        <v>46191</v>
      </c>
      <c r="N4840" s="33">
        <f>IFERROR(__xludf.DUMMYFUNCTION("""COMPUTED_VALUE"""),46253.0)</f>
        <v>46253</v>
      </c>
      <c r="O4840" s="20"/>
      <c r="P4840" s="32" t="str">
        <f>IFERROR(__xludf.DUMMYFUNCTION("""COMPUTED_VALUE"""),"可")</f>
        <v>可</v>
      </c>
      <c r="Q4840" s="30"/>
      <c r="R4840" s="22" t="str">
        <f>IFERROR(__xludf.DUMMYFUNCTION("""COMPUTED_VALUE"""),"コミットOK")</f>
        <v>コミットOK</v>
      </c>
      <c r="S4840" s="22" t="str">
        <f>IFERROR(__xludf.DUMMYFUNCTION("""COMPUTED_VALUE"""),"20260305_DEEPER-ZERO_ちっぱいOL雫さん、スパダリ幼馴染に開発されることになりました!R版")</f>
        <v>20260305_DEEPER-ZERO_ちっぱいOL雫さん、スパダリ幼馴染に開発されることになりました!R版</v>
      </c>
      <c r="T4840" s="22" t="str">
        <f>IFERROR(__xludf.DUMMYFUNCTION("""COMPUTED_VALUE"""),"格納済み")</f>
        <v>格納済み</v>
      </c>
      <c r="U4840" s="9" t="str">
        <f>IFERROR(__xludf.DUMMYFUNCTION("""COMPUTED_VALUE"""),"Ⓒ空木くもり/DEEPER-ZERO")</f>
        <v>Ⓒ空木くもり/DEEPER-ZERO</v>
      </c>
      <c r="V4840" s="8"/>
      <c r="W4840" s="8"/>
      <c r="X4840" s="8" t="str">
        <f>IFERROR(__xludf.DUMMYFUNCTION("""COMPUTED_VALUE"""),"有")</f>
        <v>有</v>
      </c>
      <c r="Y4840" s="8" t="str">
        <f>IFERROR(__xludf.DUMMYFUNCTION("""COMPUTED_VALUE"""),"2026/7/1まで1巻無料")</f>
        <v>2026/7/1まで1巻無料</v>
      </c>
      <c r="Z4840" s="7"/>
      <c r="AA4840" s="7"/>
      <c r="AB4840" s="7"/>
    </row>
    <row r="4841" ht="15.75" customHeight="1">
      <c r="A4841" s="26">
        <f>IFERROR(__xludf.DUMMYFUNCTION("""COMPUTED_VALUE"""),7403.0)</f>
        <v>7403</v>
      </c>
      <c r="B4841" s="22" t="str">
        <f>IFERROR(__xludf.DUMMYFUNCTION("""COMPUTED_VALUE"""),"確定")</f>
        <v>確定</v>
      </c>
      <c r="C4841" s="28">
        <f>IFERROR(__xludf.DUMMYFUNCTION("""COMPUTED_VALUE"""),46062.0)</f>
        <v>46062</v>
      </c>
      <c r="D4841" s="28">
        <f>IFERROR(__xludf.DUMMYFUNCTION("""COMPUTED_VALUE"""),46090.0)</f>
        <v>46090</v>
      </c>
      <c r="E4841" s="26">
        <f>IFERROR(__xludf.DUMMYFUNCTION("""COMPUTED_VALUE"""),363619.0)</f>
        <v>363619</v>
      </c>
      <c r="F4841" s="22" t="str">
        <f>IFERROR(__xludf.DUMMYFUNCTION("""COMPUTED_VALUE"""),"ちっぱいOL雫さん、スパダリ幼馴染に開発されることになりました!?【TL版】")</f>
        <v>ちっぱいOL雫さん、スパダリ幼馴染に開発されることになりました!?【TL版】</v>
      </c>
      <c r="G4841" s="20" t="str">
        <f>IFERROR(__xludf.DUMMYFUNCTION("""COMPUTED_VALUE"""),"1～3")</f>
        <v>1～3</v>
      </c>
      <c r="H4841" s="22" t="str">
        <f>IFERROR(__xludf.DUMMYFUNCTION("""COMPUTED_VALUE"""),"空木くもり")</f>
        <v>空木くもり</v>
      </c>
      <c r="I4841" s="22" t="str">
        <f>IFERROR(__xludf.DUMMYFUNCTION("""COMPUTED_VALUE"""),"TL")</f>
        <v>TL</v>
      </c>
      <c r="J4841" s="22"/>
      <c r="K4841" s="22" t="str">
        <f>IFERROR(__xludf.DUMMYFUNCTION("""COMPUTED_VALUE"""),"＠夜噺")</f>
        <v>＠夜噺</v>
      </c>
      <c r="L4841" s="22" t="str">
        <f>IFERROR(__xludf.DUMMYFUNCTION("""COMPUTED_VALUE"""),"DEEPER-ZERO")</f>
        <v>DEEPER-ZERO</v>
      </c>
      <c r="M4841" s="33">
        <f>IFERROR(__xludf.DUMMYFUNCTION("""COMPUTED_VALUE"""),46191.0)</f>
        <v>46191</v>
      </c>
      <c r="N4841" s="33">
        <f>IFERROR(__xludf.DUMMYFUNCTION("""COMPUTED_VALUE"""),46253.0)</f>
        <v>46253</v>
      </c>
      <c r="O4841" s="20"/>
      <c r="P4841" s="32" t="str">
        <f>IFERROR(__xludf.DUMMYFUNCTION("""COMPUTED_VALUE"""),"可")</f>
        <v>可</v>
      </c>
      <c r="Q4841" s="30" t="str">
        <f>IFERROR(__xludf.DUMMYFUNCTION("""COMPUTED_VALUE"""),"【アダルト作品扱い】")</f>
        <v>【アダルト作品扱い】</v>
      </c>
      <c r="R4841" s="22" t="str">
        <f>IFERROR(__xludf.DUMMYFUNCTION("""COMPUTED_VALUE"""),"コミットNG")</f>
        <v>コミットNG</v>
      </c>
      <c r="S4841" s="22" t="str">
        <f>IFERROR(__xludf.DUMMYFUNCTION("""COMPUTED_VALUE"""),"20260305_DEEPER-ZERO_ちっぱいOL雫さん、スパダリ幼馴染に開発されることになりました!TL版")</f>
        <v>20260305_DEEPER-ZERO_ちっぱいOL雫さん、スパダリ幼馴染に開発されることになりました!TL版</v>
      </c>
      <c r="T4841" s="22" t="str">
        <f>IFERROR(__xludf.DUMMYFUNCTION("""COMPUTED_VALUE"""),"格納済み")</f>
        <v>格納済み</v>
      </c>
      <c r="U4841" s="9" t="str">
        <f>IFERROR(__xludf.DUMMYFUNCTION("""COMPUTED_VALUE"""),"Ⓒ空木くもり/DEEPER-ZERO")</f>
        <v>Ⓒ空木くもり/DEEPER-ZERO</v>
      </c>
      <c r="V4841" s="8"/>
      <c r="W4841" s="8"/>
      <c r="X4841" s="8" t="str">
        <f>IFERROR(__xludf.DUMMYFUNCTION("""COMPUTED_VALUE"""),"有")</f>
        <v>有</v>
      </c>
      <c r="Y4841" s="8" t="str">
        <f>IFERROR(__xludf.DUMMYFUNCTION("""COMPUTED_VALUE"""),"p10まで")</f>
        <v>p10まで</v>
      </c>
      <c r="Z4841" s="7"/>
      <c r="AA4841" s="7"/>
      <c r="AB4841" s="7"/>
    </row>
    <row r="4842" ht="15.75" customHeight="1">
      <c r="A4842" s="26">
        <f>IFERROR(__xludf.DUMMYFUNCTION("""COMPUTED_VALUE"""),7419.0)</f>
        <v>7419</v>
      </c>
      <c r="B4842" s="22" t="str">
        <f>IFERROR(__xludf.DUMMYFUNCTION("""COMPUTED_VALUE"""),"確定")</f>
        <v>確定</v>
      </c>
      <c r="C4842" s="28">
        <f>IFERROR(__xludf.DUMMYFUNCTION("""COMPUTED_VALUE"""),46062.0)</f>
        <v>46062</v>
      </c>
      <c r="D4842" s="28">
        <f>IFERROR(__xludf.DUMMYFUNCTION("""COMPUTED_VALUE"""),46091.0)</f>
        <v>46091</v>
      </c>
      <c r="E4842" s="26">
        <f>IFERROR(__xludf.DUMMYFUNCTION("""COMPUTED_VALUE"""),355266.0)</f>
        <v>355266</v>
      </c>
      <c r="F4842" s="22" t="str">
        <f>IFERROR(__xludf.DUMMYFUNCTION("""COMPUTED_VALUE"""),"今日も母は繭の中")</f>
        <v>今日も母は繭の中</v>
      </c>
      <c r="G4842" s="20" t="str">
        <f>IFERROR(__xludf.DUMMYFUNCTION("""COMPUTED_VALUE"""),"1～3")</f>
        <v>1～3</v>
      </c>
      <c r="H4842" s="22" t="str">
        <f>IFERROR(__xludf.DUMMYFUNCTION("""COMPUTED_VALUE"""),"佐海ずう")</f>
        <v>佐海ずう</v>
      </c>
      <c r="I4842" s="22" t="str">
        <f>IFERROR(__xludf.DUMMYFUNCTION("""COMPUTED_VALUE"""),"女性")</f>
        <v>女性</v>
      </c>
      <c r="J4842" s="22"/>
      <c r="K4842" s="22"/>
      <c r="L4842" s="22" t="str">
        <f>IFERROR(__xludf.DUMMYFUNCTION("""COMPUTED_VALUE"""),"Vスクロールコミックス")</f>
        <v>Vスクロールコミックス</v>
      </c>
      <c r="M4842" s="33">
        <f>IFERROR(__xludf.DUMMYFUNCTION("""COMPUTED_VALUE"""),46116.0)</f>
        <v>46116</v>
      </c>
      <c r="N4842" s="33">
        <f>IFERROR(__xludf.DUMMYFUNCTION("""COMPUTED_VALUE"""),46205.0)</f>
        <v>46205</v>
      </c>
      <c r="O4842" s="20"/>
      <c r="P4842" s="32" t="str">
        <f>IFERROR(__xludf.DUMMYFUNCTION("""COMPUTED_VALUE"""),"可")</f>
        <v>可</v>
      </c>
      <c r="Q4842" s="30" t="str">
        <f>IFERROR(__xludf.DUMMYFUNCTION("""COMPUTED_VALUE"""),"※病気の描写・震災の描写は広告使用NGです※&lt;BR&gt;")</f>
        <v>※病気の描写・震災の描写は広告使用NGです※&lt;BR&gt;</v>
      </c>
      <c r="R4842" s="22" t="str">
        <f>IFERROR(__xludf.DUMMYFUNCTION("""COMPUTED_VALUE"""),"コミットNG")</f>
        <v>コミットNG</v>
      </c>
      <c r="S4842" s="22" t="str">
        <f>IFERROR(__xludf.DUMMYFUNCTION("""COMPUTED_VALUE"""),"20260305_Vスクロールコミックス_今日も母は繭の中")</f>
        <v>20260305_Vスクロールコミックス_今日も母は繭の中</v>
      </c>
      <c r="T4842" s="22" t="str">
        <f>IFERROR(__xludf.DUMMYFUNCTION("""COMPUTED_VALUE"""),"格納済み")</f>
        <v>格納済み</v>
      </c>
      <c r="U4842" s="9" t="str">
        <f>IFERROR(__xludf.DUMMYFUNCTION("""COMPUTED_VALUE"""),"Ⓒ佐海ずう/Vコミ")</f>
        <v>Ⓒ佐海ずう/Vコミ</v>
      </c>
      <c r="V4842" s="8"/>
      <c r="W4842" s="8"/>
      <c r="X4842" s="8" t="str">
        <f>IFERROR(__xludf.DUMMYFUNCTION("""COMPUTED_VALUE"""),"有")</f>
        <v>有</v>
      </c>
      <c r="Y4842" s="8" t="str">
        <f>IFERROR(__xludf.DUMMYFUNCTION("""COMPUTED_VALUE"""),"1巻無料")</f>
        <v>1巻無料</v>
      </c>
      <c r="Z4842" s="7"/>
      <c r="AA4842" s="7"/>
      <c r="AB4842" s="7"/>
    </row>
    <row r="4843" ht="15.75" customHeight="1">
      <c r="A4843" s="26">
        <f>IFERROR(__xludf.DUMMYFUNCTION("""COMPUTED_VALUE"""),7425.0)</f>
        <v>7425</v>
      </c>
      <c r="B4843" s="22" t="str">
        <f>IFERROR(__xludf.DUMMYFUNCTION("""COMPUTED_VALUE"""),"確定")</f>
        <v>確定</v>
      </c>
      <c r="C4843" s="28">
        <f>IFERROR(__xludf.DUMMYFUNCTION("""COMPUTED_VALUE"""),46063.0)</f>
        <v>46063</v>
      </c>
      <c r="D4843" s="28">
        <f>IFERROR(__xludf.DUMMYFUNCTION("""COMPUTED_VALUE"""),46091.0)</f>
        <v>46091</v>
      </c>
      <c r="E4843" s="26">
        <f>IFERROR(__xludf.DUMMYFUNCTION("""COMPUTED_VALUE"""),355344.0)</f>
        <v>355344</v>
      </c>
      <c r="F4843" s="22" t="str">
        <f>IFERROR(__xludf.DUMMYFUNCTION("""COMPUTED_VALUE"""),"いつわりの蜜夜　～囚われの王女は甘美な尋問に屈しない～")</f>
        <v>いつわりの蜜夜　～囚われの王女は甘美な尋問に屈しない～</v>
      </c>
      <c r="G4843" s="20" t="str">
        <f>IFERROR(__xludf.DUMMYFUNCTION("""COMPUTED_VALUE"""),"1~4")</f>
        <v>1~4</v>
      </c>
      <c r="H4843" s="22" t="str">
        <f>IFERROR(__xludf.DUMMYFUNCTION("""COMPUTED_VALUE"""),"高橋依摘")</f>
        <v>高橋依摘</v>
      </c>
      <c r="I4843" s="22" t="str">
        <f>IFERROR(__xludf.DUMMYFUNCTION("""COMPUTED_VALUE"""),"TL")</f>
        <v>TL</v>
      </c>
      <c r="J4843" s="22"/>
      <c r="K4843" s="22" t="str">
        <f>IFERROR(__xludf.DUMMYFUNCTION("""COMPUTED_VALUE"""),"メルト")</f>
        <v>メルト</v>
      </c>
      <c r="L4843" s="22" t="str">
        <f>IFERROR(__xludf.DUMMYFUNCTION("""COMPUTED_VALUE"""),"小学館")</f>
        <v>小学館</v>
      </c>
      <c r="M4843" s="33">
        <f>IFERROR(__xludf.DUMMYFUNCTION("""COMPUTED_VALUE"""),46115.0)</f>
        <v>46115</v>
      </c>
      <c r="N4843" s="33">
        <f>IFERROR(__xludf.DUMMYFUNCTION("""COMPUTED_VALUE"""),46170.0)</f>
        <v>46170</v>
      </c>
      <c r="O4843" s="20"/>
      <c r="P4843" s="32" t="str">
        <f>IFERROR(__xludf.DUMMYFUNCTION("""COMPUTED_VALUE"""),"可")</f>
        <v>可</v>
      </c>
      <c r="Q4843" s="30"/>
      <c r="R4843" s="22" t="str">
        <f>IFERROR(__xludf.DUMMYFUNCTION("""COMPUTED_VALUE"""),"コミットOK")</f>
        <v>コミットOK</v>
      </c>
      <c r="S4843" s="22" t="str">
        <f>IFERROR(__xludf.DUMMYFUNCTION("""COMPUTED_VALUE"""),"20260305_小学館_いつわりの蜜夜〜囚われの王女は甘美な尋問に屈しない〜")</f>
        <v>20260305_小学館_いつわりの蜜夜〜囚われの王女は甘美な尋問に屈しない〜</v>
      </c>
      <c r="T4843" s="22" t="str">
        <f>IFERROR(__xludf.DUMMYFUNCTION("""COMPUTED_VALUE"""),"格納済み")</f>
        <v>格納済み</v>
      </c>
      <c r="U4843" s="9" t="str">
        <f>IFERROR(__xludf.DUMMYFUNCTION("""COMPUTED_VALUE"""),"(c)高橋依摘 / 小学館")</f>
        <v>(c)高橋依摘 / 小学館</v>
      </c>
      <c r="V4843" s="8"/>
      <c r="W4843" s="8"/>
      <c r="X4843" s="8" t="str">
        <f>IFERROR(__xludf.DUMMYFUNCTION("""COMPUTED_VALUE"""),"有")</f>
        <v>有</v>
      </c>
      <c r="Y4843" s="8" t="str">
        <f>IFERROR(__xludf.DUMMYFUNCTION("""COMPUTED_VALUE"""),"2026/5/28まで1巻無料
2026/5/28まで2巻目立ち読み増量（P18）")</f>
        <v>2026/5/28まで1巻無料
2026/5/28まで2巻目立ち読み増量（P18）</v>
      </c>
      <c r="Z4843" s="7"/>
      <c r="AA4843" s="7"/>
      <c r="AB4843" s="7"/>
    </row>
    <row r="4844" ht="15.75" customHeight="1">
      <c r="A4844" s="26">
        <f>IFERROR(__xludf.DUMMYFUNCTION("""COMPUTED_VALUE"""),7427.0)</f>
        <v>7427</v>
      </c>
      <c r="B4844" s="22" t="str">
        <f>IFERROR(__xludf.DUMMYFUNCTION("""COMPUTED_VALUE"""),"確定")</f>
        <v>確定</v>
      </c>
      <c r="C4844" s="28">
        <f>IFERROR(__xludf.DUMMYFUNCTION("""COMPUTED_VALUE"""),46063.0)</f>
        <v>46063</v>
      </c>
      <c r="D4844" s="28">
        <f>IFERROR(__xludf.DUMMYFUNCTION("""COMPUTED_VALUE"""),46091.0)</f>
        <v>46091</v>
      </c>
      <c r="E4844" s="26">
        <f>IFERROR(__xludf.DUMMYFUNCTION("""COMPUTED_VALUE"""),354169.0)</f>
        <v>354169</v>
      </c>
      <c r="F4844" s="22" t="str">
        <f>IFERROR(__xludf.DUMMYFUNCTION("""COMPUTED_VALUE"""),"ナギちゃんはみんなのカノジョ")</f>
        <v>ナギちゃんはみんなのカノジョ</v>
      </c>
      <c r="G4844" s="20" t="str">
        <f>IFERROR(__xludf.DUMMYFUNCTION("""COMPUTED_VALUE"""),"1～2")</f>
        <v>1～2</v>
      </c>
      <c r="H4844" s="22" t="str">
        <f>IFERROR(__xludf.DUMMYFUNCTION("""COMPUTED_VALUE"""),"夏地下┴ひんやり")</f>
        <v>夏地下┴ひんやり</v>
      </c>
      <c r="I4844" s="22" t="str">
        <f>IFERROR(__xludf.DUMMYFUNCTION("""COMPUTED_VALUE"""),"アダルト")</f>
        <v>アダルト</v>
      </c>
      <c r="J4844" s="22"/>
      <c r="K4844" s="22" t="str">
        <f>IFERROR(__xludf.DUMMYFUNCTION("""COMPUTED_VALUE"""),"BLIC-ERO")</f>
        <v>BLIC-ERO</v>
      </c>
      <c r="L4844" s="22" t="str">
        <f>IFERROR(__xludf.DUMMYFUNCTION("""COMPUTED_VALUE"""),"クロスフォリオ出版")</f>
        <v>クロスフォリオ出版</v>
      </c>
      <c r="M4844" s="33">
        <f>IFERROR(__xludf.DUMMYFUNCTION("""COMPUTED_VALUE"""),46115.0)</f>
        <v>46115</v>
      </c>
      <c r="N4844" s="33">
        <f>IFERROR(__xludf.DUMMYFUNCTION("""COMPUTED_VALUE"""),46177.0)</f>
        <v>46177</v>
      </c>
      <c r="O4844" s="20"/>
      <c r="P4844" s="32" t="str">
        <f>IFERROR(__xludf.DUMMYFUNCTION("""COMPUTED_VALUE"""),"可")</f>
        <v>可</v>
      </c>
      <c r="Q4844" s="30"/>
      <c r="R4844" s="22" t="str">
        <f>IFERROR(__xludf.DUMMYFUNCTION("""COMPUTED_VALUE"""),"コミットOK")</f>
        <v>コミットOK</v>
      </c>
      <c r="S4844" s="22" t="str">
        <f>IFERROR(__xludf.DUMMYFUNCTION("""COMPUTED_VALUE"""),"20260309_BokLive_ナギちゃんはみんなのカノジョ")</f>
        <v>20260309_BokLive_ナギちゃんはみんなのカノジョ</v>
      </c>
      <c r="T4844" s="22" t="str">
        <f>IFERROR(__xludf.DUMMYFUNCTION("""COMPUTED_VALUE"""),"格納済み")</f>
        <v>格納済み</v>
      </c>
      <c r="U4844" s="9" t="str">
        <f>IFERROR(__xludf.DUMMYFUNCTION("""COMPUTED_VALUE"""),"(C)夏地下/ひんやり/クロスフォリオ出版")</f>
        <v>(C)夏地下/ひんやり/クロスフォリオ出版</v>
      </c>
      <c r="V4844" s="8"/>
      <c r="W4844" s="8"/>
      <c r="X4844" s="8" t="str">
        <f>IFERROR(__xludf.DUMMYFUNCTION("""COMPUTED_VALUE"""),"有")</f>
        <v>有</v>
      </c>
      <c r="Y4844" s="8" t="str">
        <f>IFERROR(__xludf.DUMMYFUNCTION("""COMPUTED_VALUE"""),"P10まで")</f>
        <v>P10まで</v>
      </c>
      <c r="Z4844" s="7"/>
      <c r="AA4844" s="7"/>
      <c r="AB4844" s="7"/>
    </row>
    <row r="4845" ht="15.75" customHeight="1">
      <c r="A4845" s="26">
        <f>IFERROR(__xludf.DUMMYFUNCTION("""COMPUTED_VALUE"""),7475.0)</f>
        <v>7475</v>
      </c>
      <c r="B4845" s="22" t="str">
        <f>IFERROR(__xludf.DUMMYFUNCTION("""COMPUTED_VALUE"""),"確定")</f>
        <v>確定</v>
      </c>
      <c r="C4845" s="28">
        <f>IFERROR(__xludf.DUMMYFUNCTION("""COMPUTED_VALUE"""),46070.0)</f>
        <v>46070</v>
      </c>
      <c r="D4845" s="28">
        <f>IFERROR(__xludf.DUMMYFUNCTION("""COMPUTED_VALUE"""),46091.0)</f>
        <v>46091</v>
      </c>
      <c r="E4845" s="26">
        <f>IFERROR(__xludf.DUMMYFUNCTION("""COMPUTED_VALUE"""),355297.0)</f>
        <v>355297</v>
      </c>
      <c r="F4845" s="22" t="str">
        <f>IFERROR(__xludf.DUMMYFUNCTION("""COMPUTED_VALUE"""),"My President 俺の彼氏は生徒会長")</f>
        <v>My President 俺の彼氏は生徒会長</v>
      </c>
      <c r="G4845" s="20" t="str">
        <f>IFERROR(__xludf.DUMMYFUNCTION("""COMPUTED_VALUE"""),"1～2")</f>
        <v>1～2</v>
      </c>
      <c r="H4845" s="22" t="str">
        <f>IFERROR(__xludf.DUMMYFUNCTION("""COMPUTED_VALUE"""),"漫画：瀬田苔 / 原作：Pruesapha")</f>
        <v>漫画：瀬田苔 / 原作：Pruesapha</v>
      </c>
      <c r="I4845" s="22" t="str">
        <f>IFERROR(__xludf.DUMMYFUNCTION("""COMPUTED_VALUE"""),"BL")</f>
        <v>BL</v>
      </c>
      <c r="J4845" s="22"/>
      <c r="K4845" s="22"/>
      <c r="L4845" s="22" t="str">
        <f>IFERROR(__xludf.DUMMYFUNCTION("""COMPUTED_VALUE"""),"ontembaar")</f>
        <v>ontembaar</v>
      </c>
      <c r="M4845" s="33">
        <f>IFERROR(__xludf.DUMMYFUNCTION("""COMPUTED_VALUE"""),46120.0)</f>
        <v>46120</v>
      </c>
      <c r="N4845" s="33">
        <f>IFERROR(__xludf.DUMMYFUNCTION("""COMPUTED_VALUE"""),46149.0)</f>
        <v>46149</v>
      </c>
      <c r="O4845" s="20"/>
      <c r="P4845" s="32" t="str">
        <f>IFERROR(__xludf.DUMMYFUNCTION("""COMPUTED_VALUE"""),"可")</f>
        <v>可</v>
      </c>
      <c r="Q4845" s="30"/>
      <c r="R4845" s="22" t="str">
        <f>IFERROR(__xludf.DUMMYFUNCTION("""COMPUTED_VALUE"""),"コミットNG")</f>
        <v>コミットNG</v>
      </c>
      <c r="S4845" s="22" t="str">
        <f>IFERROR(__xludf.DUMMYFUNCTION("""COMPUTED_VALUE"""),"20260309_ontembaar_My President 俺の彼氏は生徒会長")</f>
        <v>20260309_ontembaar_My President 俺の彼氏は生徒会長</v>
      </c>
      <c r="T4845" s="22" t="str">
        <f>IFERROR(__xludf.DUMMYFUNCTION("""COMPUTED_VALUE"""),"格納済み")</f>
        <v>格納済み</v>
      </c>
      <c r="U4845" s="9" t="str">
        <f>IFERROR(__xludf.DUMMYFUNCTION("""COMPUTED_VALUE"""),"(C)ontembaar        ")</f>
        <v>(C)ontembaar        </v>
      </c>
      <c r="V4845" s="8"/>
      <c r="W4845" s="8"/>
      <c r="X4845" s="8" t="str">
        <f>IFERROR(__xludf.DUMMYFUNCTION("""COMPUTED_VALUE"""),"有")</f>
        <v>有</v>
      </c>
      <c r="Y4845" s="8" t="str">
        <f>IFERROR(__xludf.DUMMYFUNCTION("""COMPUTED_VALUE"""),"P10まで")</f>
        <v>P10まで</v>
      </c>
      <c r="Z4845" s="7"/>
      <c r="AA4845" s="7"/>
      <c r="AB4845" s="7"/>
    </row>
    <row r="4846" ht="15.75" customHeight="1">
      <c r="A4846" s="26">
        <f>IFERROR(__xludf.DUMMYFUNCTION("""COMPUTED_VALUE"""),7490.0)</f>
        <v>7490</v>
      </c>
      <c r="B4846" s="22" t="str">
        <f>IFERROR(__xludf.DUMMYFUNCTION("""COMPUTED_VALUE"""),"確定")</f>
        <v>確定</v>
      </c>
      <c r="C4846" s="28">
        <f>IFERROR(__xludf.DUMMYFUNCTION("""COMPUTED_VALUE"""),46071.0)</f>
        <v>46071</v>
      </c>
      <c r="D4846" s="28">
        <f>IFERROR(__xludf.DUMMYFUNCTION("""COMPUTED_VALUE"""),46091.0)</f>
        <v>46091</v>
      </c>
      <c r="E4846" s="26">
        <f>IFERROR(__xludf.DUMMYFUNCTION("""COMPUTED_VALUE"""),356330.0)</f>
        <v>356330</v>
      </c>
      <c r="F4846" s="22" t="str">
        <f>IFERROR(__xludf.DUMMYFUNCTION("""COMPUTED_VALUE"""),"あの日の初恋を、もう一度【タテヨミ】")</f>
        <v>あの日の初恋を、もう一度【タテヨミ】</v>
      </c>
      <c r="G4846" s="20" t="str">
        <f>IFERROR(__xludf.DUMMYFUNCTION("""COMPUTED_VALUE"""),"1～16")</f>
        <v>1～16</v>
      </c>
      <c r="H4846" s="22" t="str">
        <f>IFERROR(__xludf.DUMMYFUNCTION("""COMPUTED_VALUE"""),"青代理鶴|MUGEN FACTORY")</f>
        <v>青代理鶴|MUGEN FACTORY</v>
      </c>
      <c r="I4846" s="22" t="str">
        <f>IFERROR(__xludf.DUMMYFUNCTION("""COMPUTED_VALUE"""),"女性")</f>
        <v>女性</v>
      </c>
      <c r="J4846" s="22"/>
      <c r="K4846" s="22"/>
      <c r="L4846" s="22" t="str">
        <f>IFERROR(__xludf.DUMMYFUNCTION("""COMPUTED_VALUE"""),"weavin")</f>
        <v>weavin</v>
      </c>
      <c r="M4846" s="33">
        <f>IFERROR(__xludf.DUMMYFUNCTION("""COMPUTED_VALUE"""),46123.0)</f>
        <v>46123</v>
      </c>
      <c r="N4846" s="33">
        <f>IFERROR(__xludf.DUMMYFUNCTION("""COMPUTED_VALUE"""),46220.0)</f>
        <v>46220</v>
      </c>
      <c r="O4846" s="20"/>
      <c r="P4846" s="32" t="str">
        <f>IFERROR(__xludf.DUMMYFUNCTION("""COMPUTED_VALUE"""),"可")</f>
        <v>可</v>
      </c>
      <c r="Q4846" s="30"/>
      <c r="R4846" s="22" t="str">
        <f>IFERROR(__xludf.DUMMYFUNCTION("""COMPUTED_VALUE"""),"コミットOK")</f>
        <v>コミットOK</v>
      </c>
      <c r="S4846" s="22" t="str">
        <f>IFERROR(__xludf.DUMMYFUNCTION("""COMPUTED_VALUE"""),"20260306_weavin_あの日の初恋をもう一度")</f>
        <v>20260306_weavin_あの日の初恋をもう一度</v>
      </c>
      <c r="T4846" s="22" t="str">
        <f>IFERROR(__xludf.DUMMYFUNCTION("""COMPUTED_VALUE"""),"格納済み")</f>
        <v>格納済み</v>
      </c>
      <c r="U4846" s="9" t="str">
        <f>IFERROR(__xludf.DUMMYFUNCTION("""COMPUTED_VALUE"""),"ⓒMUGEN FACTORY／MUGENUP／weavin")</f>
        <v>ⓒMUGEN FACTORY／MUGENUP／weavin</v>
      </c>
      <c r="V4846" s="8"/>
      <c r="W4846" s="8"/>
      <c r="X4846" s="8" t="str">
        <f>IFERROR(__xludf.DUMMYFUNCTION("""COMPUTED_VALUE"""),"有")</f>
        <v>有</v>
      </c>
      <c r="Y4846" s="8" t="str">
        <f>IFERROR(__xludf.DUMMYFUNCTION("""COMPUTED_VALUE"""),"1~4巻無料")</f>
        <v>1~4巻無料</v>
      </c>
      <c r="Z4846" s="7"/>
      <c r="AA4846" s="7"/>
      <c r="AB4846" s="7"/>
    </row>
    <row r="4847" ht="15.75" customHeight="1">
      <c r="A4847" s="26">
        <f>IFERROR(__xludf.DUMMYFUNCTION("""COMPUTED_VALUE"""),7499.0)</f>
        <v>7499</v>
      </c>
      <c r="B4847" s="22" t="str">
        <f>IFERROR(__xludf.DUMMYFUNCTION("""COMPUTED_VALUE"""),"確定")</f>
        <v>確定</v>
      </c>
      <c r="C4847" s="28">
        <f>IFERROR(__xludf.DUMMYFUNCTION("""COMPUTED_VALUE"""),46072.0)</f>
        <v>46072</v>
      </c>
      <c r="D4847" s="28">
        <f>IFERROR(__xludf.DUMMYFUNCTION("""COMPUTED_VALUE"""),46091.0)</f>
        <v>46091</v>
      </c>
      <c r="E4847" s="26">
        <f>IFERROR(__xludf.DUMMYFUNCTION("""COMPUTED_VALUE"""),356168.0)</f>
        <v>356168</v>
      </c>
      <c r="F4847" s="22" t="str">
        <f>IFERROR(__xludf.DUMMYFUNCTION("""COMPUTED_VALUE"""),"推しキャラの中に入ったら話を聞かない系配下たちに執着されて逃げられません")</f>
        <v>推しキャラの中に入ったら話を聞かない系配下たちに執着されて逃げられません</v>
      </c>
      <c r="G4847" s="20" t="str">
        <f>IFERROR(__xludf.DUMMYFUNCTION("""COMPUTED_VALUE"""),"1～6")</f>
        <v>1～6</v>
      </c>
      <c r="H4847" s="22" t="str">
        <f>IFERROR(__xludf.DUMMYFUNCTION("""COMPUTED_VALUE"""),"うた乃┴Ice Sugar")</f>
        <v>うた乃┴Ice Sugar</v>
      </c>
      <c r="I4847" s="22" t="str">
        <f>IFERROR(__xludf.DUMMYFUNCTION("""COMPUTED_VALUE"""),"TL")</f>
        <v>TL</v>
      </c>
      <c r="J4847" s="22"/>
      <c r="K4847" s="22" t="str">
        <f>IFERROR(__xludf.DUMMYFUNCTION("""COMPUTED_VALUE"""),"BLIC-TL")</f>
        <v>BLIC-TL</v>
      </c>
      <c r="L4847" s="22" t="str">
        <f>IFERROR(__xludf.DUMMYFUNCTION("""COMPUTED_VALUE"""),"クロスフォリオ出版")</f>
        <v>クロスフォリオ出版</v>
      </c>
      <c r="M4847" s="33">
        <f>IFERROR(__xludf.DUMMYFUNCTION("""COMPUTED_VALUE"""),46136.0)</f>
        <v>46136</v>
      </c>
      <c r="N4847" s="33">
        <f>IFERROR(__xludf.DUMMYFUNCTION("""COMPUTED_VALUE"""),46198.0)</f>
        <v>46198</v>
      </c>
      <c r="O4847" s="20"/>
      <c r="P4847" s="32" t="str">
        <f>IFERROR(__xludf.DUMMYFUNCTION("""COMPUTED_VALUE"""),"可")</f>
        <v>可</v>
      </c>
      <c r="Q4847" s="30"/>
      <c r="R4847" s="22" t="str">
        <f>IFERROR(__xludf.DUMMYFUNCTION("""COMPUTED_VALUE"""),"コミットNG")</f>
        <v>コミットNG</v>
      </c>
      <c r="S4847" s="22" t="str">
        <f>IFERROR(__xludf.DUMMYFUNCTION("""COMPUTED_VALUE"""),"20260218_BooklLive_推しキャラの中に入ったら話を聞かない系配下たちに執着されて逃げられません")</f>
        <v>20260218_BooklLive_推しキャラの中に入ったら話を聞かない系配下たちに執着されて逃げられません</v>
      </c>
      <c r="T4847" s="22" t="str">
        <f>IFERROR(__xludf.DUMMYFUNCTION("""COMPUTED_VALUE"""),"格納済み")</f>
        <v>格納済み</v>
      </c>
      <c r="U4847" s="9" t="str">
        <f>IFERROR(__xludf.DUMMYFUNCTION("""COMPUTED_VALUE"""),"(C)うた乃/Ice Sugar/クロスフォリオ出版")</f>
        <v>(C)うた乃/Ice Sugar/クロスフォリオ出版</v>
      </c>
      <c r="V4847" s="8"/>
      <c r="W4847" s="8"/>
      <c r="X4847" s="8" t="str">
        <f>IFERROR(__xludf.DUMMYFUNCTION("""COMPUTED_VALUE"""),"有")</f>
        <v>有</v>
      </c>
      <c r="Y4847" s="8" t="str">
        <f>IFERROR(__xludf.DUMMYFUNCTION("""COMPUTED_VALUE"""),"P5まで")</f>
        <v>P5まで</v>
      </c>
      <c r="Z4847" s="7"/>
      <c r="AA4847" s="7"/>
      <c r="AB4847" s="7"/>
    </row>
    <row r="4848" ht="15.75" customHeight="1">
      <c r="A4848" s="26">
        <f>IFERROR(__xludf.DUMMYFUNCTION("""COMPUTED_VALUE"""),7500.0)</f>
        <v>7500</v>
      </c>
      <c r="B4848" s="22" t="str">
        <f>IFERROR(__xludf.DUMMYFUNCTION("""COMPUTED_VALUE"""),"確定")</f>
        <v>確定</v>
      </c>
      <c r="C4848" s="28">
        <f>IFERROR(__xludf.DUMMYFUNCTION("""COMPUTED_VALUE"""),46072.0)</f>
        <v>46072</v>
      </c>
      <c r="D4848" s="28">
        <f>IFERROR(__xludf.DUMMYFUNCTION("""COMPUTED_VALUE"""),46091.0)</f>
        <v>46091</v>
      </c>
      <c r="E4848" s="26">
        <f>IFERROR(__xludf.DUMMYFUNCTION("""COMPUTED_VALUE"""),356169.0)</f>
        <v>356169</v>
      </c>
      <c r="F4848" s="22" t="str">
        <f>IFERROR(__xludf.DUMMYFUNCTION("""COMPUTED_VALUE"""),"推しキャラの中に入ったら話を聞かない系配下たちに執着されて逃げられません【R版】")</f>
        <v>推しキャラの中に入ったら話を聞かない系配下たちに執着されて逃げられません【R版】</v>
      </c>
      <c r="G4848" s="20" t="str">
        <f>IFERROR(__xludf.DUMMYFUNCTION("""COMPUTED_VALUE"""),"1～6")</f>
        <v>1～6</v>
      </c>
      <c r="H4848" s="22" t="str">
        <f>IFERROR(__xludf.DUMMYFUNCTION("""COMPUTED_VALUE"""),"うた乃┴Ice Sugar")</f>
        <v>うた乃┴Ice Sugar</v>
      </c>
      <c r="I4848" s="22" t="str">
        <f>IFERROR(__xludf.DUMMYFUNCTION("""COMPUTED_VALUE"""),"アダルト")</f>
        <v>アダルト</v>
      </c>
      <c r="J4848" s="22"/>
      <c r="K4848" s="22" t="str">
        <f>IFERROR(__xludf.DUMMYFUNCTION("""COMPUTED_VALUE"""),"BLIC-ERO")</f>
        <v>BLIC-ERO</v>
      </c>
      <c r="L4848" s="22" t="str">
        <f>IFERROR(__xludf.DUMMYFUNCTION("""COMPUTED_VALUE"""),"クロスフォリオ出版")</f>
        <v>クロスフォリオ出版</v>
      </c>
      <c r="M4848" s="33">
        <f>IFERROR(__xludf.DUMMYFUNCTION("""COMPUTED_VALUE"""),46136.0)</f>
        <v>46136</v>
      </c>
      <c r="N4848" s="33">
        <f>IFERROR(__xludf.DUMMYFUNCTION("""COMPUTED_VALUE"""),46198.0)</f>
        <v>46198</v>
      </c>
      <c r="O4848" s="20"/>
      <c r="P4848" s="32" t="str">
        <f>IFERROR(__xludf.DUMMYFUNCTION("""COMPUTED_VALUE"""),"可")</f>
        <v>可</v>
      </c>
      <c r="Q4848" s="30"/>
      <c r="R4848" s="22" t="str">
        <f>IFERROR(__xludf.DUMMYFUNCTION("""COMPUTED_VALUE"""),"コミットOK")</f>
        <v>コミットOK</v>
      </c>
      <c r="S4848" s="22" t="str">
        <f>IFERROR(__xludf.DUMMYFUNCTION("""COMPUTED_VALUE"""),"20260309_BookLive_推しキャラの中に入ったら話を聞かない系配下たちに執着されて逃げられません【R版】")</f>
        <v>20260309_BookLive_推しキャラの中に入ったら話を聞かない系配下たちに執着されて逃げられません【R版】</v>
      </c>
      <c r="T4848" s="22" t="str">
        <f>IFERROR(__xludf.DUMMYFUNCTION("""COMPUTED_VALUE"""),"格納済み")</f>
        <v>格納済み</v>
      </c>
      <c r="U4848" s="9" t="str">
        <f>IFERROR(__xludf.DUMMYFUNCTION("""COMPUTED_VALUE"""),"(C)うた乃/Ice Sugar/クロスフォリオ出版")</f>
        <v>(C)うた乃/Ice Sugar/クロスフォリオ出版</v>
      </c>
      <c r="V4848" s="8"/>
      <c r="W4848" s="8"/>
      <c r="X4848" s="8" t="str">
        <f>IFERROR(__xludf.DUMMYFUNCTION("""COMPUTED_VALUE"""),"有")</f>
        <v>有</v>
      </c>
      <c r="Y4848" s="8" t="str">
        <f>IFERROR(__xludf.DUMMYFUNCTION("""COMPUTED_VALUE"""),"P5まで")</f>
        <v>P5まで</v>
      </c>
      <c r="Z4848" s="7"/>
      <c r="AA4848" s="7"/>
      <c r="AB4848" s="7"/>
    </row>
    <row r="4849" ht="15.75" customHeight="1">
      <c r="A4849" s="26">
        <f>IFERROR(__xludf.DUMMYFUNCTION("""COMPUTED_VALUE"""),7507.0)</f>
        <v>7507</v>
      </c>
      <c r="B4849" s="22" t="str">
        <f>IFERROR(__xludf.DUMMYFUNCTION("""COMPUTED_VALUE"""),"確定")</f>
        <v>確定</v>
      </c>
      <c r="C4849" s="28">
        <f>IFERROR(__xludf.DUMMYFUNCTION("""COMPUTED_VALUE"""),46073.0)</f>
        <v>46073</v>
      </c>
      <c r="D4849" s="28">
        <f>IFERROR(__xludf.DUMMYFUNCTION("""COMPUTED_VALUE"""),46091.0)</f>
        <v>46091</v>
      </c>
      <c r="E4849" s="26">
        <f>IFERROR(__xludf.DUMMYFUNCTION("""COMPUTED_VALUE"""),355390.0)</f>
        <v>355390</v>
      </c>
      <c r="F4849" s="22" t="str">
        <f>IFERROR(__xludf.DUMMYFUNCTION("""COMPUTED_VALUE"""),"魔力0で目覚めたら、最強魔法使い様（元養い子）が立派なヤンデレになっていました")</f>
        <v>魔力0で目覚めたら、最強魔法使い様（元養い子）が立派なヤンデレになっていました</v>
      </c>
      <c r="G4849" s="20" t="str">
        <f>IFERROR(__xludf.DUMMYFUNCTION("""COMPUTED_VALUE"""),"1～3")</f>
        <v>1～3</v>
      </c>
      <c r="H4849" s="22" t="str">
        <f>IFERROR(__xludf.DUMMYFUNCTION("""COMPUTED_VALUE"""),"ゆうき飛白/あさぎ千夜春")</f>
        <v>ゆうき飛白/あさぎ千夜春</v>
      </c>
      <c r="I4849" s="22" t="str">
        <f>IFERROR(__xludf.DUMMYFUNCTION("""COMPUTED_VALUE"""),"TL")</f>
        <v>TL</v>
      </c>
      <c r="J4849" s="22"/>
      <c r="K4849" s="22" t="str">
        <f>IFERROR(__xludf.DUMMYFUNCTION("""COMPUTED_VALUE"""),"lou lou")</f>
        <v>lou lou</v>
      </c>
      <c r="L4849" s="22" t="str">
        <f>IFERROR(__xludf.DUMMYFUNCTION("""COMPUTED_VALUE"""),"渋谷六花舎")</f>
        <v>渋谷六花舎</v>
      </c>
      <c r="M4849" s="33">
        <f>IFERROR(__xludf.DUMMYFUNCTION("""COMPUTED_VALUE"""),46114.0)</f>
        <v>46114</v>
      </c>
      <c r="N4849" s="33">
        <f>IFERROR(__xludf.DUMMYFUNCTION("""COMPUTED_VALUE"""),46204.0)</f>
        <v>46204</v>
      </c>
      <c r="O4849" s="20"/>
      <c r="P4849" s="32" t="str">
        <f>IFERROR(__xludf.DUMMYFUNCTION("""COMPUTED_VALUE"""),"可")</f>
        <v>可</v>
      </c>
      <c r="Q4849" s="30" t="str">
        <f>IFERROR(__xludf.DUMMYFUNCTION("""COMPUTED_VALUE"""),"【アダルト作品扱い】")</f>
        <v>【アダルト作品扱い】</v>
      </c>
      <c r="R4849" s="22" t="str">
        <f>IFERROR(__xludf.DUMMYFUNCTION("""COMPUTED_VALUE"""),"コミットOK")</f>
        <v>コミットOK</v>
      </c>
      <c r="S4849" s="22" t="str">
        <f>IFERROR(__xludf.DUMMYFUNCTION("""COMPUTED_VALUE"""),"20260306_渋谷六花舎_魔力0で目覚めたら、最強魔法使い様（元養い子）が立派なヤンデレになっていました")</f>
        <v>20260306_渋谷六花舎_魔力0で目覚めたら、最強魔法使い様（元養い子）が立派なヤンデレになっていました</v>
      </c>
      <c r="T4849" s="22" t="str">
        <f>IFERROR(__xludf.DUMMYFUNCTION("""COMPUTED_VALUE"""),"格納済み")</f>
        <v>格納済み</v>
      </c>
      <c r="U4849" s="9" t="str">
        <f>IFERROR(__xludf.DUMMYFUNCTION("""COMPUTED_VALUE"""),"(c)ゆうき飛白/あさぎ千夜春/lou lou")</f>
        <v>(c)ゆうき飛白/あさぎ千夜春/lou lou</v>
      </c>
      <c r="V4849" s="8"/>
      <c r="W4849" s="8"/>
      <c r="X4849" s="8" t="str">
        <f>IFERROR(__xludf.DUMMYFUNCTION("""COMPUTED_VALUE"""),"有")</f>
        <v>有</v>
      </c>
      <c r="Y4849" s="8" t="str">
        <f>IFERROR(__xludf.DUMMYFUNCTION("""COMPUTED_VALUE"""),"2026/4/15まで1巻無料")</f>
        <v>2026/4/15まで1巻無料</v>
      </c>
      <c r="Z4849" s="7"/>
      <c r="AA4849" s="7"/>
      <c r="AB4849" s="7"/>
    </row>
    <row r="4850" ht="15.75" customHeight="1">
      <c r="A4850" s="26">
        <f>IFERROR(__xludf.DUMMYFUNCTION("""COMPUTED_VALUE"""),7511.0)</f>
        <v>7511</v>
      </c>
      <c r="B4850" s="22" t="str">
        <f>IFERROR(__xludf.DUMMYFUNCTION("""COMPUTED_VALUE"""),"確定")</f>
        <v>確定</v>
      </c>
      <c r="C4850" s="28">
        <f>IFERROR(__xludf.DUMMYFUNCTION("""COMPUTED_VALUE"""),46073.0)</f>
        <v>46073</v>
      </c>
      <c r="D4850" s="28">
        <f>IFERROR(__xludf.DUMMYFUNCTION("""COMPUTED_VALUE"""),46091.0)</f>
        <v>46091</v>
      </c>
      <c r="E4850" s="26">
        <f>IFERROR(__xludf.DUMMYFUNCTION("""COMPUTED_VALUE"""),355298.0)</f>
        <v>355298</v>
      </c>
      <c r="F4850" s="22" t="str">
        <f>IFERROR(__xludf.DUMMYFUNCTION("""COMPUTED_VALUE"""),"また好きになってもいいですか")</f>
        <v>また好きになってもいいですか</v>
      </c>
      <c r="G4850" s="20" t="str">
        <f>IFERROR(__xludf.DUMMYFUNCTION("""COMPUTED_VALUE"""),"1～2")</f>
        <v>1～2</v>
      </c>
      <c r="H4850" s="22" t="str">
        <f>IFERROR(__xludf.DUMMYFUNCTION("""COMPUTED_VALUE"""),"天野とろろ")</f>
        <v>天野とろろ</v>
      </c>
      <c r="I4850" s="22" t="str">
        <f>IFERROR(__xludf.DUMMYFUNCTION("""COMPUTED_VALUE"""),"BL")</f>
        <v>BL</v>
      </c>
      <c r="J4850" s="22"/>
      <c r="K4850" s="22"/>
      <c r="L4850" s="22" t="str">
        <f>IFERROR(__xludf.DUMMYFUNCTION("""COMPUTED_VALUE"""),"ontembaar")</f>
        <v>ontembaar</v>
      </c>
      <c r="M4850" s="33">
        <f>IFERROR(__xludf.DUMMYFUNCTION("""COMPUTED_VALUE"""),46120.0)</f>
        <v>46120</v>
      </c>
      <c r="N4850" s="33">
        <f>IFERROR(__xludf.DUMMYFUNCTION("""COMPUTED_VALUE"""),46210.0)</f>
        <v>46210</v>
      </c>
      <c r="O4850" s="20"/>
      <c r="P4850" s="32" t="str">
        <f>IFERROR(__xludf.DUMMYFUNCTION("""COMPUTED_VALUE"""),"可")</f>
        <v>可</v>
      </c>
      <c r="Q4850" s="30"/>
      <c r="R4850" s="22" t="str">
        <f>IFERROR(__xludf.DUMMYFUNCTION("""COMPUTED_VALUE"""),"コミットOK")</f>
        <v>コミットOK</v>
      </c>
      <c r="S4850" s="22" t="str">
        <f>IFERROR(__xludf.DUMMYFUNCTION("""COMPUTED_VALUE"""),"20260305_ontembaar_また好きになってもいいですか")</f>
        <v>20260305_ontembaar_また好きになってもいいですか</v>
      </c>
      <c r="T4850" s="22" t="str">
        <f>IFERROR(__xludf.DUMMYFUNCTION("""COMPUTED_VALUE"""),"格納済み")</f>
        <v>格納済み</v>
      </c>
      <c r="U4850" s="9" t="str">
        <f>IFERROR(__xludf.DUMMYFUNCTION("""COMPUTED_VALUE"""),"(C)ontembaar        ")</f>
        <v>(C)ontembaar        </v>
      </c>
      <c r="V4850" s="8"/>
      <c r="W4850" s="8"/>
      <c r="X4850" s="8" t="str">
        <f>IFERROR(__xludf.DUMMYFUNCTION("""COMPUTED_VALUE"""),"有")</f>
        <v>有</v>
      </c>
      <c r="Y4850" s="8" t="str">
        <f>IFERROR(__xludf.DUMMYFUNCTION("""COMPUTED_VALUE"""),"P7まで")</f>
        <v>P7まで</v>
      </c>
      <c r="Z4850" s="7"/>
      <c r="AA4850" s="7"/>
      <c r="AB4850" s="7"/>
    </row>
    <row r="4851" ht="15.75" customHeight="1">
      <c r="A4851" s="26">
        <f>IFERROR(__xludf.DUMMYFUNCTION("""COMPUTED_VALUE"""),7526.0)</f>
        <v>7526</v>
      </c>
      <c r="B4851" s="22" t="str">
        <f>IFERROR(__xludf.DUMMYFUNCTION("""COMPUTED_VALUE"""),"確定")</f>
        <v>確定</v>
      </c>
      <c r="C4851" s="28">
        <f>IFERROR(__xludf.DUMMYFUNCTION("""COMPUTED_VALUE"""),46079.0)</f>
        <v>46079</v>
      </c>
      <c r="D4851" s="28">
        <f>IFERROR(__xludf.DUMMYFUNCTION("""COMPUTED_VALUE"""),46091.0)</f>
        <v>46091</v>
      </c>
      <c r="E4851" s="26">
        <f>IFERROR(__xludf.DUMMYFUNCTION("""COMPUTED_VALUE"""),354254.0)</f>
        <v>354254</v>
      </c>
      <c r="F4851" s="22" t="str">
        <f>IFERROR(__xludf.DUMMYFUNCTION("""COMPUTED_VALUE"""),"バズったのは夫の嘘 〜モラハラ妻にされた私の復讐記〜【分冊版】")</f>
        <v>バズったのは夫の嘘 〜モラハラ妻にされた私の復讐記〜【分冊版】</v>
      </c>
      <c r="G4851" s="20" t="str">
        <f>IFERROR(__xludf.DUMMYFUNCTION("""COMPUTED_VALUE"""),"1～3")</f>
        <v>1～3</v>
      </c>
      <c r="H4851" s="22" t="str">
        <f>IFERROR(__xludf.DUMMYFUNCTION("""COMPUTED_VALUE"""),"荻安理紗／SORAJIMA")</f>
        <v>荻安理紗／SORAJIMA</v>
      </c>
      <c r="I4851" s="22" t="str">
        <f>IFERROR(__xludf.DUMMYFUNCTION("""COMPUTED_VALUE"""),"女性")</f>
        <v>女性</v>
      </c>
      <c r="J4851" s="22"/>
      <c r="K4851" s="22"/>
      <c r="L4851" s="22" t="str">
        <f>IFERROR(__xludf.DUMMYFUNCTION("""COMPUTED_VALUE"""),"SORAJIMA")</f>
        <v>SORAJIMA</v>
      </c>
      <c r="M4851" s="33">
        <f>IFERROR(__xludf.DUMMYFUNCTION("""COMPUTED_VALUE"""),46123.0)</f>
        <v>46123</v>
      </c>
      <c r="N4851" s="33">
        <f>IFERROR(__xludf.DUMMYFUNCTION("""COMPUTED_VALUE"""),46212.0)</f>
        <v>46212</v>
      </c>
      <c r="O4851" s="20"/>
      <c r="P4851" s="32" t="str">
        <f>IFERROR(__xludf.DUMMYFUNCTION("""COMPUTED_VALUE"""),"可")</f>
        <v>可</v>
      </c>
      <c r="Q4851" s="30"/>
      <c r="R4851" s="22" t="str">
        <f>IFERROR(__xludf.DUMMYFUNCTION("""COMPUTED_VALUE"""),"コミットNG")</f>
        <v>コミットNG</v>
      </c>
      <c r="S4851" s="22" t="str">
        <f>IFERROR(__xludf.DUMMYFUNCTION("""COMPUTED_VALUE"""),"20260305_SORAJIMA_バズったのは夫の嘘 〜モラハラ妻にされた私の復讐記〜")</f>
        <v>20260305_SORAJIMA_バズったのは夫の嘘 〜モラハラ妻にされた私の復讐記〜</v>
      </c>
      <c r="T4851" s="22" t="str">
        <f>IFERROR(__xludf.DUMMYFUNCTION("""COMPUTED_VALUE"""),"格納済み")</f>
        <v>格納済み</v>
      </c>
      <c r="U4851" s="9" t="str">
        <f>IFERROR(__xludf.DUMMYFUNCTION("""COMPUTED_VALUE"""),"Ⓒ荻安理紗/SORAJIMA")</f>
        <v>Ⓒ荻安理紗/SORAJIMA</v>
      </c>
      <c r="V4851" s="8"/>
      <c r="W4851" s="8"/>
      <c r="X4851" s="8" t="str">
        <f>IFERROR(__xludf.DUMMYFUNCTION("""COMPUTED_VALUE"""),"有")</f>
        <v>有</v>
      </c>
      <c r="Y4851" s="8" t="str">
        <f>IFERROR(__xludf.DUMMYFUNCTION("""COMPUTED_VALUE"""),"2026/5/8まで1巻無料")</f>
        <v>2026/5/8まで1巻無料</v>
      </c>
      <c r="Z4851" s="7"/>
      <c r="AA4851" s="7"/>
      <c r="AB4851" s="7"/>
    </row>
    <row r="4852" ht="15.75" customHeight="1">
      <c r="A4852" s="26">
        <f>IFERROR(__xludf.DUMMYFUNCTION("""COMPUTED_VALUE"""),7527.0)</f>
        <v>7527</v>
      </c>
      <c r="B4852" s="22" t="str">
        <f>IFERROR(__xludf.DUMMYFUNCTION("""COMPUTED_VALUE"""),"確定")</f>
        <v>確定</v>
      </c>
      <c r="C4852" s="28">
        <f>IFERROR(__xludf.DUMMYFUNCTION("""COMPUTED_VALUE"""),46079.0)</f>
        <v>46079</v>
      </c>
      <c r="D4852" s="28">
        <f>IFERROR(__xludf.DUMMYFUNCTION("""COMPUTED_VALUE"""),46171.0)</f>
        <v>46171</v>
      </c>
      <c r="E4852" s="26"/>
      <c r="F4852" s="22" t="str">
        <f>IFERROR(__xludf.DUMMYFUNCTION("""COMPUTED_VALUE"""),"リライト・リスタート")</f>
        <v>リライト・リスタート</v>
      </c>
      <c r="G4852" s="20" t="str">
        <f>IFERROR(__xludf.DUMMYFUNCTION("""COMPUTED_VALUE"""),"1～3")</f>
        <v>1～3</v>
      </c>
      <c r="H4852" s="22" t="str">
        <f>IFERROR(__xludf.DUMMYFUNCTION("""COMPUTED_VALUE"""),"結木万紀子")</f>
        <v>結木万紀子</v>
      </c>
      <c r="I4852" s="22" t="str">
        <f>IFERROR(__xludf.DUMMYFUNCTION("""COMPUTED_VALUE"""),"BL")</f>
        <v>BL</v>
      </c>
      <c r="J4852" s="22"/>
      <c r="K4852" s="22" t="str">
        <f>IFERROR(__xludf.DUMMYFUNCTION("""COMPUTED_VALUE"""),"Freedia comics")</f>
        <v>Freedia comics</v>
      </c>
      <c r="L4852" s="22" t="str">
        <f>IFERROR(__xludf.DUMMYFUNCTION("""COMPUTED_VALUE"""),"Freedia")</f>
        <v>Freedia</v>
      </c>
      <c r="M4852" s="33" t="str">
        <f>IFERROR(__xludf.DUMMYFUNCTION("""COMPUTED_VALUE"""),"配信日未定")</f>
        <v>配信日未定</v>
      </c>
      <c r="N4852" s="33">
        <f>IFERROR(__xludf.DUMMYFUNCTION("""COMPUTED_VALUE"""),46276.0)</f>
        <v>46276</v>
      </c>
      <c r="O4852" s="20"/>
      <c r="P4852" s="32" t="str">
        <f>IFERROR(__xludf.DUMMYFUNCTION("""COMPUTED_VALUE"""),"可")</f>
        <v>可</v>
      </c>
      <c r="Q4852" s="30"/>
      <c r="R4852" s="22" t="str">
        <f>IFERROR(__xludf.DUMMYFUNCTION("""COMPUTED_VALUE"""),"コミットOK")</f>
        <v>コミットOK</v>
      </c>
      <c r="S4852" s="22" t="str">
        <f>IFERROR(__xludf.DUMMYFUNCTION("""COMPUTED_VALUE"""),"20260309_Freedia_リライト・リスタート")</f>
        <v>20260309_Freedia_リライト・リスタート</v>
      </c>
      <c r="T4852" s="22" t="str">
        <f>IFERROR(__xludf.DUMMYFUNCTION("""COMPUTED_VALUE"""),"格納済み")</f>
        <v>格納済み</v>
      </c>
      <c r="U4852" s="9" t="str">
        <f>IFERROR(__xludf.DUMMYFUNCTION("""COMPUTED_VALUE"""),"Ⓒ結木万城子/Freedia")</f>
        <v>Ⓒ結木万城子/Freedia</v>
      </c>
      <c r="V4852" s="8"/>
      <c r="W4852" s="8"/>
      <c r="X4852" s="8"/>
      <c r="Y4852" s="8"/>
      <c r="Z4852" s="7"/>
      <c r="AA4852" s="7"/>
      <c r="AB4852" s="7"/>
    </row>
    <row r="4853" ht="15.75" customHeight="1">
      <c r="A4853" s="26">
        <f>IFERROR(__xludf.DUMMYFUNCTION("""COMPUTED_VALUE"""),7548.0)</f>
        <v>7548</v>
      </c>
      <c r="B4853" s="22" t="str">
        <f>IFERROR(__xludf.DUMMYFUNCTION("""COMPUTED_VALUE"""),"確定")</f>
        <v>確定</v>
      </c>
      <c r="C4853" s="28">
        <f>IFERROR(__xludf.DUMMYFUNCTION("""COMPUTED_VALUE"""),46083.0)</f>
        <v>46083</v>
      </c>
      <c r="D4853" s="28">
        <f>IFERROR(__xludf.DUMMYFUNCTION("""COMPUTED_VALUE"""),46087.0)</f>
        <v>46087</v>
      </c>
      <c r="E4853" s="26">
        <f>IFERROR(__xludf.DUMMYFUNCTION("""COMPUTED_VALUE"""),335488.0)</f>
        <v>335488</v>
      </c>
      <c r="F4853" s="22" t="str">
        <f>IFERROR(__xludf.DUMMYFUNCTION("""COMPUTED_VALUE"""),"「あなたを娶ることはない」と冷たく言っても、殿下の優しさバレバレですよ？～王太子妃候補は魔法が使えない伯爵令嬢～")</f>
        <v>「あなたを娶ることはない」と冷たく言っても、殿下の優しさバレバレですよ？～王太子妃候補は魔法が使えない伯爵令嬢～</v>
      </c>
      <c r="G4853" s="20" t="str">
        <f>IFERROR(__xludf.DUMMYFUNCTION("""COMPUTED_VALUE"""),"1～3")</f>
        <v>1～3</v>
      </c>
      <c r="H4853" s="22" t="str">
        <f>IFERROR(__xludf.DUMMYFUNCTION("""COMPUTED_VALUE"""),"硴久まひる,池田聖子")</f>
        <v>硴久まひる,池田聖子</v>
      </c>
      <c r="I4853" s="22" t="str">
        <f>IFERROR(__xludf.DUMMYFUNCTION("""COMPUTED_VALUE"""),"少女マンガ")</f>
        <v>少女マンガ</v>
      </c>
      <c r="J4853" s="22"/>
      <c r="K4853" s="22" t="str">
        <f>IFERROR(__xludf.DUMMYFUNCTION("""COMPUTED_VALUE"""),"恋するソワレ")</f>
        <v>恋するソワレ</v>
      </c>
      <c r="L4853" s="22" t="str">
        <f>IFERROR(__xludf.DUMMYFUNCTION("""COMPUTED_VALUE"""),"シーモアコミックス")</f>
        <v>シーモアコミックス</v>
      </c>
      <c r="M4853" s="33">
        <f>IFERROR(__xludf.DUMMYFUNCTION("""COMPUTED_VALUE"""),46117.0)</f>
        <v>46117</v>
      </c>
      <c r="N4853" s="33"/>
      <c r="O4853" s="20"/>
      <c r="P4853" s="32" t="str">
        <f>IFERROR(__xludf.DUMMYFUNCTION("""COMPUTED_VALUE"""),"可")</f>
        <v>可</v>
      </c>
      <c r="Q4853" s="30"/>
      <c r="R4853" s="22"/>
      <c r="S4853" s="22" t="str">
        <f>IFERROR(__xludf.DUMMYFUNCTION("""COMPUTED_VALUE"""),"20260302_シーモアコミックス_「あなたを娶ることはない」と冷たく言っても、殿下の優しさバレバレですよ？～王太子妃候補は魔法が使えない伯爵令嬢～")</f>
        <v>20260302_シーモアコミックス_「あなたを娶ることはない」と冷たく言っても、殿下の優しさバレバレですよ？～王太子妃候補は魔法が使えない伯爵令嬢～</v>
      </c>
      <c r="T4853" s="22" t="str">
        <f>IFERROR(__xludf.DUMMYFUNCTION("""COMPUTED_VALUE"""),"格納済み")</f>
        <v>格納済み</v>
      </c>
      <c r="U4853" s="9" t="str">
        <f>IFERROR(__xludf.DUMMYFUNCTION("""COMPUTED_VALUE"""),"(C) 硴久まひる/池田聖子/シーモアコミックス")</f>
        <v>(C) 硴久まひる/池田聖子/シーモアコミックス</v>
      </c>
      <c r="V4853" s="8"/>
      <c r="W4853" s="8"/>
      <c r="X4853" s="8" t="str">
        <f>IFERROR(__xludf.DUMMYFUNCTION("""COMPUTED_VALUE"""),"有")</f>
        <v>有</v>
      </c>
      <c r="Y4853" s="8" t="str">
        <f>IFERROR(__xludf.DUMMYFUNCTION("""COMPUTED_VALUE"""),"2026/5/2まで1巻無料")</f>
        <v>2026/5/2まで1巻無料</v>
      </c>
      <c r="Z4853" s="7"/>
      <c r="AA4853" s="7"/>
      <c r="AB4853" s="7"/>
    </row>
    <row r="4854" ht="15.75" customHeight="1">
      <c r="A4854" s="26">
        <f>IFERROR(__xludf.DUMMYFUNCTION("""COMPUTED_VALUE"""),7579.0)</f>
        <v>7579</v>
      </c>
      <c r="B4854" s="22" t="str">
        <f>IFERROR(__xludf.DUMMYFUNCTION("""COMPUTED_VALUE"""),"確定")</f>
        <v>確定</v>
      </c>
      <c r="C4854" s="28">
        <f>IFERROR(__xludf.DUMMYFUNCTION("""COMPUTED_VALUE"""),46085.0)</f>
        <v>46085</v>
      </c>
      <c r="D4854" s="28">
        <f>IFERROR(__xludf.DUMMYFUNCTION("""COMPUTED_VALUE"""),46087.0)</f>
        <v>46087</v>
      </c>
      <c r="E4854" s="26">
        <f>IFERROR(__xludf.DUMMYFUNCTION("""COMPUTED_VALUE"""),354781.0)</f>
        <v>354781</v>
      </c>
      <c r="F4854" s="22" t="str">
        <f>IFERROR(__xludf.DUMMYFUNCTION("""COMPUTED_VALUE"""),"姫が大切過ぎる超堅物騎士の理性が、媚薬で決壊しました。")</f>
        <v>姫が大切過ぎる超堅物騎士の理性が、媚薬で決壊しました。</v>
      </c>
      <c r="G4854" s="20" t="str">
        <f>IFERROR(__xludf.DUMMYFUNCTION("""COMPUTED_VALUE"""),"1～3")</f>
        <v>1～3</v>
      </c>
      <c r="H4854" s="22" t="str">
        <f>IFERROR(__xludf.DUMMYFUNCTION("""COMPUTED_VALUE"""),"芳乃カオル/さくら蒼")</f>
        <v>芳乃カオル/さくら蒼</v>
      </c>
      <c r="I4854" s="22" t="str">
        <f>IFERROR(__xludf.DUMMYFUNCTION("""COMPUTED_VALUE"""),"TLマンガ")</f>
        <v>TLマンガ</v>
      </c>
      <c r="J4854" s="22"/>
      <c r="K4854" s="22" t="str">
        <f>IFERROR(__xludf.DUMMYFUNCTION("""COMPUTED_VALUE"""),"ラブきゅんコミック")</f>
        <v>ラブきゅんコミック</v>
      </c>
      <c r="L4854" s="22" t="str">
        <f>IFERROR(__xludf.DUMMYFUNCTION("""COMPUTED_VALUE"""),"モバイルメディアリサーチ")</f>
        <v>モバイルメディアリサーチ</v>
      </c>
      <c r="M4854" s="33">
        <f>IFERROR(__xludf.DUMMYFUNCTION("""COMPUTED_VALUE"""),46130.0)</f>
        <v>46130</v>
      </c>
      <c r="N4854" s="33">
        <f>IFERROR(__xludf.DUMMYFUNCTION("""COMPUTED_VALUE"""),46164.0)</f>
        <v>46164</v>
      </c>
      <c r="O4854" s="20"/>
      <c r="P4854" s="32" t="str">
        <f>IFERROR(__xludf.DUMMYFUNCTION("""COMPUTED_VALUE"""),"可")</f>
        <v>可</v>
      </c>
      <c r="Q4854" s="30" t="str">
        <f>IFERROR(__xludf.DUMMYFUNCTION("""COMPUTED_VALUE"""),"【アダルト作品扱い】")</f>
        <v>【アダルト作品扱い】</v>
      </c>
      <c r="R4854" s="22"/>
      <c r="S4854" s="22" t="str">
        <f>IFERROR(__xludf.DUMMYFUNCTION("""COMPUTED_VALUE"""),"20260303_ファンギルド_姫が大切過ぎる超堅物騎士の理性が、媚薬で決壊しました。")</f>
        <v>20260303_ファンギルド_姫が大切過ぎる超堅物騎士の理性が、媚薬で決壊しました。</v>
      </c>
      <c r="T4854" s="22" t="str">
        <f>IFERROR(__xludf.DUMMYFUNCTION("""COMPUTED_VALUE"""),"格納済み")</f>
        <v>格納済み</v>
      </c>
      <c r="U4854" s="9" t="str">
        <f>IFERROR(__xludf.DUMMYFUNCTION("""COMPUTED_VALUE"""),"Ⓒ芳乃カオル/さくら蒼/モバイルメディアリサーチ")</f>
        <v>Ⓒ芳乃カオル/さくら蒼/モバイルメディアリサーチ</v>
      </c>
      <c r="V4854" s="8"/>
      <c r="W4854" s="8"/>
      <c r="X4854" s="8" t="str">
        <f>IFERROR(__xludf.DUMMYFUNCTION("""COMPUTED_VALUE"""),"有")</f>
        <v>有</v>
      </c>
      <c r="Y4854" s="8" t="str">
        <f>IFERROR(__xludf.DUMMYFUNCTION("""COMPUTED_VALUE"""),"2026/5/11まで1巻無料")</f>
        <v>2026/5/11まで1巻無料</v>
      </c>
      <c r="Z4854" s="7"/>
      <c r="AA4854" s="7"/>
      <c r="AB4854" s="7"/>
    </row>
    <row r="4855" ht="15.75" customHeight="1">
      <c r="A4855" s="26">
        <f>IFERROR(__xludf.DUMMYFUNCTION("""COMPUTED_VALUE"""),7580.0)</f>
        <v>7580</v>
      </c>
      <c r="B4855" s="22" t="str">
        <f>IFERROR(__xludf.DUMMYFUNCTION("""COMPUTED_VALUE"""),"確定")</f>
        <v>確定</v>
      </c>
      <c r="C4855" s="28">
        <f>IFERROR(__xludf.DUMMYFUNCTION("""COMPUTED_VALUE"""),46085.0)</f>
        <v>46085</v>
      </c>
      <c r="D4855" s="28">
        <f>IFERROR(__xludf.DUMMYFUNCTION("""COMPUTED_VALUE"""),46087.0)</f>
        <v>46087</v>
      </c>
      <c r="E4855" s="26">
        <f>IFERROR(__xludf.DUMMYFUNCTION("""COMPUTED_VALUE"""),354190.0)</f>
        <v>354190</v>
      </c>
      <c r="F4855" s="22" t="str">
        <f>IFERROR(__xludf.DUMMYFUNCTION("""COMPUTED_VALUE"""),"婚約破棄になりかけてたら、可愛い女の子たちに誘惑されまくってます！？")</f>
        <v>婚約破棄になりかけてたら、可愛い女の子たちに誘惑されまくってます！？</v>
      </c>
      <c r="G4855" s="20" t="str">
        <f>IFERROR(__xludf.DUMMYFUNCTION("""COMPUTED_VALUE"""),"1～3")</f>
        <v>1～3</v>
      </c>
      <c r="H4855" s="22" t="str">
        <f>IFERROR(__xludf.DUMMYFUNCTION("""COMPUTED_VALUE"""),"ソクチ/MOGUMOGU")</f>
        <v>ソクチ/MOGUMOGU</v>
      </c>
      <c r="I4855" s="22" t="str">
        <f>IFERROR(__xludf.DUMMYFUNCTION("""COMPUTED_VALUE"""),"青年マンガ")</f>
        <v>青年マンガ</v>
      </c>
      <c r="J4855" s="22"/>
      <c r="K4855" s="22"/>
      <c r="L4855" s="22" t="str">
        <f>IFERROR(__xludf.DUMMYFUNCTION("""COMPUTED_VALUE"""),"Rush!")</f>
        <v>Rush!</v>
      </c>
      <c r="M4855" s="33">
        <f>IFERROR(__xludf.DUMMYFUNCTION("""COMPUTED_VALUE"""),46115.0)</f>
        <v>46115</v>
      </c>
      <c r="N4855" s="33">
        <f>IFERROR(__xludf.DUMMYFUNCTION("""COMPUTED_VALUE"""),46142.0)</f>
        <v>46142</v>
      </c>
      <c r="O4855" s="20"/>
      <c r="P4855" s="32" t="str">
        <f>IFERROR(__xludf.DUMMYFUNCTION("""COMPUTED_VALUE"""),"可")</f>
        <v>可</v>
      </c>
      <c r="Q4855" s="30" t="str">
        <f>IFERROR(__xludf.DUMMYFUNCTION("""COMPUTED_VALUE"""),"【アダルト作品扱い】")</f>
        <v>【アダルト作品扱い】</v>
      </c>
      <c r="R4855" s="22"/>
      <c r="S4855" s="22" t="str">
        <f>IFERROR(__xludf.DUMMYFUNCTION("""COMPUTED_VALUE"""),"20260303_ファンギルド_婚約破棄になりかけてたら、可愛い女の子たちに誘惑されまくってます！？")</f>
        <v>20260303_ファンギルド_婚約破棄になりかけてたら、可愛い女の子たちに誘惑されまくってます！？</v>
      </c>
      <c r="T4855" s="22" t="str">
        <f>IFERROR(__xludf.DUMMYFUNCTION("""COMPUTED_VALUE"""),"格納済み")</f>
        <v>格納済み</v>
      </c>
      <c r="U4855" s="9" t="str">
        <f>IFERROR(__xludf.DUMMYFUNCTION("""COMPUTED_VALUE"""),"ⒸSeokji/MOGUMOGU/Toomics")</f>
        <v>ⒸSeokji/MOGUMOGU/Toomics</v>
      </c>
      <c r="V4855" s="8"/>
      <c r="W4855" s="8"/>
      <c r="X4855" s="8" t="str">
        <f>IFERROR(__xludf.DUMMYFUNCTION("""COMPUTED_VALUE"""),"有")</f>
        <v>有</v>
      </c>
      <c r="Y4855" s="8" t="str">
        <f>IFERROR(__xludf.DUMMYFUNCTION("""COMPUTED_VALUE"""),"2026/4/16まで1巻無料")</f>
        <v>2026/4/16まで1巻無料</v>
      </c>
      <c r="Z4855" s="7"/>
      <c r="AA4855" s="7"/>
      <c r="AB4855" s="7"/>
    </row>
    <row r="4856" ht="15.75" customHeight="1">
      <c r="A4856" s="26">
        <f>IFERROR(__xludf.DUMMYFUNCTION("""COMPUTED_VALUE"""),7581.0)</f>
        <v>7581</v>
      </c>
      <c r="B4856" s="22" t="str">
        <f>IFERROR(__xludf.DUMMYFUNCTION("""COMPUTED_VALUE"""),"確定")</f>
        <v>確定</v>
      </c>
      <c r="C4856" s="28">
        <f>IFERROR(__xludf.DUMMYFUNCTION("""COMPUTED_VALUE"""),46085.0)</f>
        <v>46085</v>
      </c>
      <c r="D4856" s="28">
        <f>IFERROR(__xludf.DUMMYFUNCTION("""COMPUTED_VALUE"""),46087.0)</f>
        <v>46087</v>
      </c>
      <c r="E4856" s="26">
        <f>IFERROR(__xludf.DUMMYFUNCTION("""COMPUTED_VALUE"""),354912.0)</f>
        <v>354912</v>
      </c>
      <c r="F4856" s="22" t="str">
        <f>IFERROR(__xludf.DUMMYFUNCTION("""COMPUTED_VALUE"""),"本日はお日柄も良く、白い結婚おめでとうございます。")</f>
        <v>本日はお日柄も良く、白い結婚おめでとうございます。</v>
      </c>
      <c r="G4856" s="20">
        <f>IFERROR(__xludf.DUMMYFUNCTION("""COMPUTED_VALUE"""),1.0)</f>
        <v>1</v>
      </c>
      <c r="H4856" s="22" t="str">
        <f>IFERROR(__xludf.DUMMYFUNCTION("""COMPUTED_VALUE"""),"阿路乃もと/待鳥園子")</f>
        <v>阿路乃もと/待鳥園子</v>
      </c>
      <c r="I4856" s="22" t="str">
        <f>IFERROR(__xludf.DUMMYFUNCTION("""COMPUTED_VALUE"""),"少女マンガ")</f>
        <v>少女マンガ</v>
      </c>
      <c r="J4856" s="22"/>
      <c r="K4856" s="22"/>
      <c r="L4856" s="22" t="str">
        <f>IFERROR(__xludf.DUMMYFUNCTION("""COMPUTED_VALUE"""),"ファンギルド")</f>
        <v>ファンギルド</v>
      </c>
      <c r="M4856" s="33">
        <f>IFERROR(__xludf.DUMMYFUNCTION("""COMPUTED_VALUE"""),46128.0)</f>
        <v>46128</v>
      </c>
      <c r="N4856" s="33">
        <f>IFERROR(__xludf.DUMMYFUNCTION("""COMPUTED_VALUE"""),46162.0)</f>
        <v>46162</v>
      </c>
      <c r="O4856" s="20"/>
      <c r="P4856" s="32" t="str">
        <f>IFERROR(__xludf.DUMMYFUNCTION("""COMPUTED_VALUE"""),"可")</f>
        <v>可</v>
      </c>
      <c r="Q4856" s="30"/>
      <c r="R4856" s="22"/>
      <c r="S4856" s="22" t="str">
        <f>IFERROR(__xludf.DUMMYFUNCTION("""COMPUTED_VALUE"""),"20260303_ファンギルド_本日はお日柄も良く、白い結婚おめでとうございます。")</f>
        <v>20260303_ファンギルド_本日はお日柄も良く、白い結婚おめでとうございます。</v>
      </c>
      <c r="T4856" s="22" t="str">
        <f>IFERROR(__xludf.DUMMYFUNCTION("""COMPUTED_VALUE"""),"格納済み")</f>
        <v>格納済み</v>
      </c>
      <c r="U4856" s="9" t="str">
        <f>IFERROR(__xludf.DUMMYFUNCTION("""COMPUTED_VALUE"""),"Ⓒ阿路乃もと/待鳥園子/ファンギルド")</f>
        <v>Ⓒ阿路乃もと/待鳥園子/ファンギルド</v>
      </c>
      <c r="V4856" s="8"/>
      <c r="W4856" s="8"/>
      <c r="X4856" s="8" t="str">
        <f>IFERROR(__xludf.DUMMYFUNCTION("""COMPUTED_VALUE"""),"有")</f>
        <v>有</v>
      </c>
      <c r="Y4856" s="8" t="str">
        <f>IFERROR(__xludf.DUMMYFUNCTION("""COMPUTED_VALUE"""),"P7まで")</f>
        <v>P7まで</v>
      </c>
      <c r="Z4856" s="7"/>
      <c r="AA4856" s="7"/>
      <c r="AB4856" s="7"/>
    </row>
    <row r="4857" ht="15.75" customHeight="1">
      <c r="A4857" s="26">
        <f>IFERROR(__xludf.DUMMYFUNCTION("""COMPUTED_VALUE"""),7582.0)</f>
        <v>7582</v>
      </c>
      <c r="B4857" s="22" t="str">
        <f>IFERROR(__xludf.DUMMYFUNCTION("""COMPUTED_VALUE"""),"確定")</f>
        <v>確定</v>
      </c>
      <c r="C4857" s="28">
        <f>IFERROR(__xludf.DUMMYFUNCTION("""COMPUTED_VALUE"""),46085.0)</f>
        <v>46085</v>
      </c>
      <c r="D4857" s="28">
        <f>IFERROR(__xludf.DUMMYFUNCTION("""COMPUTED_VALUE"""),46087.0)</f>
        <v>46087</v>
      </c>
      <c r="E4857" s="26">
        <f>IFERROR(__xludf.DUMMYFUNCTION("""COMPUTED_VALUE"""),354782.0)</f>
        <v>354782</v>
      </c>
      <c r="F4857" s="22" t="str">
        <f>IFERROR(__xludf.DUMMYFUNCTION("""COMPUTED_VALUE"""),"勇者だけど、最後に泊まった宿屋に産まれた娘がどう見ても俺の子な件")</f>
        <v>勇者だけど、最後に泊まった宿屋に産まれた娘がどう見ても俺の子な件</v>
      </c>
      <c r="G4857" s="20" t="str">
        <f>IFERROR(__xludf.DUMMYFUNCTION("""COMPUTED_VALUE"""),"1～3")</f>
        <v>1～3</v>
      </c>
      <c r="H4857" s="22" t="str">
        <f>IFERROR(__xludf.DUMMYFUNCTION("""COMPUTED_VALUE"""),"ひろびー,ナル,美少女文庫")</f>
        <v>ひろびー,ナル,美少女文庫</v>
      </c>
      <c r="I4857" s="22" t="str">
        <f>IFERROR(__xludf.DUMMYFUNCTION("""COMPUTED_VALUE"""),"青年マンガ")</f>
        <v>青年マンガ</v>
      </c>
      <c r="J4857" s="22"/>
      <c r="K4857" s="22"/>
      <c r="L4857" s="22" t="str">
        <f>IFERROR(__xludf.DUMMYFUNCTION("""COMPUTED_VALUE"""),"Rush!")</f>
        <v>Rush!</v>
      </c>
      <c r="M4857" s="33">
        <f>IFERROR(__xludf.DUMMYFUNCTION("""COMPUTED_VALUE"""),46129.0)</f>
        <v>46129</v>
      </c>
      <c r="N4857" s="33">
        <f>IFERROR(__xludf.DUMMYFUNCTION("""COMPUTED_VALUE"""),46163.0)</f>
        <v>46163</v>
      </c>
      <c r="O4857" s="20"/>
      <c r="P4857" s="32" t="str">
        <f>IFERROR(__xludf.DUMMYFUNCTION("""COMPUTED_VALUE"""),"可")</f>
        <v>可</v>
      </c>
      <c r="Q4857" s="30" t="str">
        <f>IFERROR(__xludf.DUMMYFUNCTION("""COMPUTED_VALUE"""),"【アダルト作品扱い】")</f>
        <v>【アダルト作品扱い】</v>
      </c>
      <c r="R4857" s="22"/>
      <c r="S4857" s="22" t="str">
        <f>IFERROR(__xludf.DUMMYFUNCTION("""COMPUTED_VALUE"""),"20260303_ファンギルド_勇者だけど、最後に泊まった宿屋に産まれた娘がどう見ても俺の子な件")</f>
        <v>20260303_ファンギルド_勇者だけど、最後に泊まった宿屋に産まれた娘がどう見ても俺の子な件</v>
      </c>
      <c r="T4857" s="22" t="str">
        <f>IFERROR(__xludf.DUMMYFUNCTION("""COMPUTED_VALUE"""),"格納済み")</f>
        <v>格納済み</v>
      </c>
      <c r="U4857" s="9" t="str">
        <f>IFERROR(__xludf.DUMMYFUNCTION("""COMPUTED_VALUE"""),"©hirob/Naru/Bishojobunko")</f>
        <v>©hirob/Naru/Bishojobunko</v>
      </c>
      <c r="V4857" s="8"/>
      <c r="W4857" s="8"/>
      <c r="X4857" s="8" t="str">
        <f>IFERROR(__xludf.DUMMYFUNCTION("""COMPUTED_VALUE"""),"有")</f>
        <v>有</v>
      </c>
      <c r="Y4857" s="8" t="str">
        <f>IFERROR(__xludf.DUMMYFUNCTION("""COMPUTED_VALUE"""),"P9まで")</f>
        <v>P9まで</v>
      </c>
      <c r="Z4857" s="7"/>
      <c r="AA4857" s="7"/>
      <c r="AB4857" s="7"/>
    </row>
    <row r="4858" ht="15.75" customHeight="1">
      <c r="A4858" s="26">
        <f>IFERROR(__xludf.DUMMYFUNCTION("""COMPUTED_VALUE"""),7583.0)</f>
        <v>7583</v>
      </c>
      <c r="B4858" s="22" t="str">
        <f>IFERROR(__xludf.DUMMYFUNCTION("""COMPUTED_VALUE"""),"確定")</f>
        <v>確定</v>
      </c>
      <c r="C4858" s="28">
        <f>IFERROR(__xludf.DUMMYFUNCTION("""COMPUTED_VALUE"""),46085.0)</f>
        <v>46085</v>
      </c>
      <c r="D4858" s="28">
        <f>IFERROR(__xludf.DUMMYFUNCTION("""COMPUTED_VALUE"""),46091.0)</f>
        <v>46091</v>
      </c>
      <c r="E4858" s="26">
        <f>IFERROR(__xludf.DUMMYFUNCTION("""COMPUTED_VALUE"""),354191.0)</f>
        <v>354191</v>
      </c>
      <c r="F4858" s="22" t="str">
        <f>IFERROR(__xludf.DUMMYFUNCTION("""COMPUTED_VALUE"""),"まだまだ青いくせに")</f>
        <v>まだまだ青いくせに</v>
      </c>
      <c r="G4858" s="20" t="str">
        <f>IFERROR(__xludf.DUMMYFUNCTION("""COMPUTED_VALUE"""),"1～3")</f>
        <v>1～3</v>
      </c>
      <c r="H4858" s="22" t="str">
        <f>IFERROR(__xludf.DUMMYFUNCTION("""COMPUTED_VALUE"""),"Bolp/アビョ4")</f>
        <v>Bolp/アビョ4</v>
      </c>
      <c r="I4858" s="22" t="str">
        <f>IFERROR(__xludf.DUMMYFUNCTION("""COMPUTED_VALUE"""),"アダルトマンガ")</f>
        <v>アダルトマンガ</v>
      </c>
      <c r="J4858" s="22"/>
      <c r="K4858" s="22"/>
      <c r="L4858" s="22" t="str">
        <f>IFERROR(__xludf.DUMMYFUNCTION("""COMPUTED_VALUE"""),"Rush!")</f>
        <v>Rush!</v>
      </c>
      <c r="M4858" s="33">
        <f>IFERROR(__xludf.DUMMYFUNCTION("""COMPUTED_VALUE"""),46115.0)</f>
        <v>46115</v>
      </c>
      <c r="N4858" s="33">
        <f>IFERROR(__xludf.DUMMYFUNCTION("""COMPUTED_VALUE"""),46142.0)</f>
        <v>46142</v>
      </c>
      <c r="O4858" s="20"/>
      <c r="P4858" s="32" t="str">
        <f>IFERROR(__xludf.DUMMYFUNCTION("""COMPUTED_VALUE"""),"可")</f>
        <v>可</v>
      </c>
      <c r="Q4858" s="30"/>
      <c r="R4858" s="22"/>
      <c r="S4858" s="22" t="str">
        <f>IFERROR(__xludf.DUMMYFUNCTION("""COMPUTED_VALUE"""),"20260303_ファンギルド_まだまだ青いくせに")</f>
        <v>20260303_ファンギルド_まだまだ青いくせに</v>
      </c>
      <c r="T4858" s="22" t="str">
        <f>IFERROR(__xludf.DUMMYFUNCTION("""COMPUTED_VALUE"""),"格納済み")</f>
        <v>格納済み</v>
      </c>
      <c r="U4858" s="9" t="str">
        <f>IFERROR(__xludf.DUMMYFUNCTION("""COMPUTED_VALUE"""),"ⒸBolp/Abyo4/Toomics")</f>
        <v>ⒸBolp/Abyo4/Toomics</v>
      </c>
      <c r="V4858" s="8"/>
      <c r="W4858" s="8"/>
      <c r="X4858" s="8" t="str">
        <f>IFERROR(__xludf.DUMMYFUNCTION("""COMPUTED_VALUE"""),"有")</f>
        <v>有</v>
      </c>
      <c r="Y4858" s="8" t="str">
        <f>IFERROR(__xludf.DUMMYFUNCTION("""COMPUTED_VALUE"""),"2026/4/30まで1巻無料")</f>
        <v>2026/4/30まで1巻無料</v>
      </c>
      <c r="Z4858" s="7"/>
      <c r="AA4858" s="7"/>
      <c r="AB4858" s="7"/>
    </row>
    <row r="4859" ht="15.75" customHeight="1">
      <c r="A4859" s="26">
        <f>IFERROR(__xludf.DUMMYFUNCTION("""COMPUTED_VALUE"""),7584.0)</f>
        <v>7584</v>
      </c>
      <c r="B4859" s="22" t="str">
        <f>IFERROR(__xludf.DUMMYFUNCTION("""COMPUTED_VALUE"""),"確定")</f>
        <v>確定</v>
      </c>
      <c r="C4859" s="28">
        <f>IFERROR(__xludf.DUMMYFUNCTION("""COMPUTED_VALUE"""),46085.0)</f>
        <v>46085</v>
      </c>
      <c r="D4859" s="28">
        <f>IFERROR(__xludf.DUMMYFUNCTION("""COMPUTED_VALUE"""),46092.0)</f>
        <v>46092</v>
      </c>
      <c r="E4859" s="26">
        <f>IFERROR(__xludf.DUMMYFUNCTION("""COMPUTED_VALUE"""),358094.0)</f>
        <v>358094</v>
      </c>
      <c r="F4859" s="22" t="str">
        <f>IFERROR(__xludf.DUMMYFUNCTION("""COMPUTED_VALUE"""),"転生リベンジ～生まれかわった僕は、今日からコイツらを下僕にします")</f>
        <v>転生リベンジ～生まれかわった僕は、今日からコイツらを下僕にします</v>
      </c>
      <c r="G4859" s="20" t="str">
        <f>IFERROR(__xludf.DUMMYFUNCTION("""COMPUTED_VALUE"""),"1～3")</f>
        <v>1～3</v>
      </c>
      <c r="H4859" s="22" t="str">
        <f>IFERROR(__xludf.DUMMYFUNCTION("""COMPUTED_VALUE"""),"白石ガッタ")</f>
        <v>白石ガッタ</v>
      </c>
      <c r="I4859" s="22" t="str">
        <f>IFERROR(__xludf.DUMMYFUNCTION("""COMPUTED_VALUE"""),"アダルトマンガ")</f>
        <v>アダルトマンガ</v>
      </c>
      <c r="J4859" s="22"/>
      <c r="K4859" s="22"/>
      <c r="L4859" s="22" t="str">
        <f>IFERROR(__xludf.DUMMYFUNCTION("""COMPUTED_VALUE"""),"セ・キララ文庫")</f>
        <v>セ・キララ文庫</v>
      </c>
      <c r="M4859" s="33">
        <f>IFERROR(__xludf.DUMMYFUNCTION("""COMPUTED_VALUE"""),46143.0)</f>
        <v>46143</v>
      </c>
      <c r="N4859" s="33">
        <f>IFERROR(__xludf.DUMMYFUNCTION("""COMPUTED_VALUE"""),46212.0)</f>
        <v>46212</v>
      </c>
      <c r="O4859" s="20"/>
      <c r="P4859" s="32" t="str">
        <f>IFERROR(__xludf.DUMMYFUNCTION("""COMPUTED_VALUE"""),"可")</f>
        <v>可</v>
      </c>
      <c r="Q4859" s="30"/>
      <c r="R4859" s="22"/>
      <c r="S4859" s="22" t="str">
        <f>IFERROR(__xludf.DUMMYFUNCTION("""COMPUTED_VALUE"""),"20260310_ライドオン_転生リベンジ")</f>
        <v>20260310_ライドオン_転生リベンジ</v>
      </c>
      <c r="T4859" s="22" t="str">
        <f>IFERROR(__xludf.DUMMYFUNCTION("""COMPUTED_VALUE"""),"格納済み")</f>
        <v>格納済み</v>
      </c>
      <c r="U4859" s="9" t="str">
        <f>IFERROR(__xludf.DUMMYFUNCTION("""COMPUTED_VALUE"""),"(C)白石ガッタ/セ・キララ文庫")</f>
        <v>(C)白石ガッタ/セ・キララ文庫</v>
      </c>
      <c r="V4859" s="8"/>
      <c r="W4859" s="8"/>
      <c r="X4859" s="8" t="str">
        <f>IFERROR(__xludf.DUMMYFUNCTION("""COMPUTED_VALUE"""),"有")</f>
        <v>有</v>
      </c>
      <c r="Y4859" s="8" t="str">
        <f>IFERROR(__xludf.DUMMYFUNCTION("""COMPUTED_VALUE"""),"P11まで")</f>
        <v>P11まで</v>
      </c>
      <c r="Z4859" s="7"/>
      <c r="AA4859" s="7"/>
      <c r="AB4859" s="7"/>
    </row>
    <row r="4860" ht="15.75" customHeight="1">
      <c r="A4860" s="26">
        <f>IFERROR(__xludf.DUMMYFUNCTION("""COMPUTED_VALUE"""),7585.0)</f>
        <v>7585</v>
      </c>
      <c r="B4860" s="22" t="str">
        <f>IFERROR(__xludf.DUMMYFUNCTION("""COMPUTED_VALUE"""),"確定")</f>
        <v>確定</v>
      </c>
      <c r="C4860" s="28">
        <f>IFERROR(__xludf.DUMMYFUNCTION("""COMPUTED_VALUE"""),46085.0)</f>
        <v>46085</v>
      </c>
      <c r="D4860" s="28">
        <f>IFERROR(__xludf.DUMMYFUNCTION("""COMPUTED_VALUE"""),46086.0)</f>
        <v>46086</v>
      </c>
      <c r="E4860" s="26">
        <f>IFERROR(__xludf.DUMMYFUNCTION("""COMPUTED_VALUE"""),358096.0)</f>
        <v>358096</v>
      </c>
      <c r="F4860" s="22" t="str">
        <f>IFERROR(__xludf.DUMMYFUNCTION("""COMPUTED_VALUE"""),"夫婦交感～あなたの知らない妻の顔～（フルカラー）")</f>
        <v>夫婦交感～あなたの知らない妻の顔～（フルカラー）</v>
      </c>
      <c r="G4860" s="20" t="str">
        <f>IFERROR(__xludf.DUMMYFUNCTION("""COMPUTED_VALUE"""),"1～3")</f>
        <v>1～3</v>
      </c>
      <c r="H4860" s="22" t="str">
        <f>IFERROR(__xludf.DUMMYFUNCTION("""COMPUTED_VALUE"""),"ぐっちMAX")</f>
        <v>ぐっちMAX</v>
      </c>
      <c r="I4860" s="22" t="str">
        <f>IFERROR(__xludf.DUMMYFUNCTION("""COMPUTED_VALUE"""),"アダルトマンガ")</f>
        <v>アダルトマンガ</v>
      </c>
      <c r="J4860" s="22"/>
      <c r="K4860" s="22"/>
      <c r="L4860" s="22" t="str">
        <f>IFERROR(__xludf.DUMMYFUNCTION("""COMPUTED_VALUE"""),"セ・キララ文庫")</f>
        <v>セ・キララ文庫</v>
      </c>
      <c r="M4860" s="33">
        <f>IFERROR(__xludf.DUMMYFUNCTION("""COMPUTED_VALUE"""),46143.0)</f>
        <v>46143</v>
      </c>
      <c r="N4860" s="33">
        <f>IFERROR(__xludf.DUMMYFUNCTION("""COMPUTED_VALUE"""),46212.0)</f>
        <v>46212</v>
      </c>
      <c r="O4860" s="20"/>
      <c r="P4860" s="32" t="str">
        <f>IFERROR(__xludf.DUMMYFUNCTION("""COMPUTED_VALUE"""),"可")</f>
        <v>可</v>
      </c>
      <c r="Q4860" s="30"/>
      <c r="R4860" s="22"/>
      <c r="S4860" s="22" t="str">
        <f>IFERROR(__xludf.DUMMYFUNCTION("""COMPUTED_VALUE"""),"20260303_ライドオン_夫婦交感～あなたの知らない妻の顔～（フルカラー）")</f>
        <v>20260303_ライドオン_夫婦交感～あなたの知らない妻の顔～（フルカラー）</v>
      </c>
      <c r="T4860" s="22" t="str">
        <f>IFERROR(__xludf.DUMMYFUNCTION("""COMPUTED_VALUE"""),"格納済み")</f>
        <v>格納済み</v>
      </c>
      <c r="U4860" s="9" t="str">
        <f>IFERROR(__xludf.DUMMYFUNCTION("""COMPUTED_VALUE"""),"(C)ぐっちMAX/セ・キララ文庫")</f>
        <v>(C)ぐっちMAX/セ・キララ文庫</v>
      </c>
      <c r="V4860" s="8"/>
      <c r="W4860" s="8"/>
      <c r="X4860" s="8" t="str">
        <f>IFERROR(__xludf.DUMMYFUNCTION("""COMPUTED_VALUE"""),"有")</f>
        <v>有</v>
      </c>
      <c r="Y4860" s="8" t="str">
        <f>IFERROR(__xludf.DUMMYFUNCTION("""COMPUTED_VALUE"""),"P12まで")</f>
        <v>P12まで</v>
      </c>
      <c r="Z4860" s="7"/>
      <c r="AA4860" s="7"/>
      <c r="AB4860" s="7"/>
    </row>
    <row r="4861" ht="15.75" customHeight="1">
      <c r="A4861" s="26">
        <f>IFERROR(__xludf.DUMMYFUNCTION("""COMPUTED_VALUE"""),7586.0)</f>
        <v>7586</v>
      </c>
      <c r="B4861" s="22" t="str">
        <f>IFERROR(__xludf.DUMMYFUNCTION("""COMPUTED_VALUE"""),"確定")</f>
        <v>確定</v>
      </c>
      <c r="C4861" s="28">
        <f>IFERROR(__xludf.DUMMYFUNCTION("""COMPUTED_VALUE"""),46085.0)</f>
        <v>46085</v>
      </c>
      <c r="D4861" s="28">
        <f>IFERROR(__xludf.DUMMYFUNCTION("""COMPUTED_VALUE"""),46087.0)</f>
        <v>46087</v>
      </c>
      <c r="E4861" s="26">
        <f>IFERROR(__xludf.DUMMYFUNCTION("""COMPUTED_VALUE"""),358097.0)</f>
        <v>358097</v>
      </c>
      <c r="F4861" s="22" t="str">
        <f>IFERROR(__xludf.DUMMYFUNCTION("""COMPUTED_VALUE"""),"クソエロ地味娘と筋肉先輩と俺～君のトロ顔は俺のもの、君のカラダは先輩のモノ～")</f>
        <v>クソエロ地味娘と筋肉先輩と俺～君のトロ顔は俺のもの、君のカラダは先輩のモノ～</v>
      </c>
      <c r="G4861" s="20" t="str">
        <f>IFERROR(__xludf.DUMMYFUNCTION("""COMPUTED_VALUE"""),"1～3")</f>
        <v>1～3</v>
      </c>
      <c r="H4861" s="22" t="str">
        <f>IFERROR(__xludf.DUMMYFUNCTION("""COMPUTED_VALUE"""),"市原和真")</f>
        <v>市原和真</v>
      </c>
      <c r="I4861" s="22" t="str">
        <f>IFERROR(__xludf.DUMMYFUNCTION("""COMPUTED_VALUE"""),"アダルトマンガ")</f>
        <v>アダルトマンガ</v>
      </c>
      <c r="J4861" s="22"/>
      <c r="K4861" s="22"/>
      <c r="L4861" s="22" t="str">
        <f>IFERROR(__xludf.DUMMYFUNCTION("""COMPUTED_VALUE"""),"セ・キララ文庫")</f>
        <v>セ・キララ文庫</v>
      </c>
      <c r="M4861" s="33">
        <f>IFERROR(__xludf.DUMMYFUNCTION("""COMPUTED_VALUE"""),46143.0)</f>
        <v>46143</v>
      </c>
      <c r="N4861" s="33">
        <f>IFERROR(__xludf.DUMMYFUNCTION("""COMPUTED_VALUE"""),46212.0)</f>
        <v>46212</v>
      </c>
      <c r="O4861" s="20"/>
      <c r="P4861" s="32" t="str">
        <f>IFERROR(__xludf.DUMMYFUNCTION("""COMPUTED_VALUE"""),"可")</f>
        <v>可</v>
      </c>
      <c r="Q4861" s="30"/>
      <c r="R4861" s="22"/>
      <c r="S4861" s="22" t="str">
        <f>IFERROR(__xludf.DUMMYFUNCTION("""COMPUTED_VALUE"""),"20260303_ライドオン_クソエロ地味娘と筋肉先輩と俺～君のトロ顔は俺のもの、君のカラダは先輩のモノ～")</f>
        <v>20260303_ライドオン_クソエロ地味娘と筋肉先輩と俺～君のトロ顔は俺のもの、君のカラダは先輩のモノ～</v>
      </c>
      <c r="T4861" s="22" t="str">
        <f>IFERROR(__xludf.DUMMYFUNCTION("""COMPUTED_VALUE"""),"格納済み")</f>
        <v>格納済み</v>
      </c>
      <c r="U4861" s="9" t="str">
        <f>IFERROR(__xludf.DUMMYFUNCTION("""COMPUTED_VALUE"""),"(C)市原和真/セ・キララ文庫")</f>
        <v>(C)市原和真/セ・キララ文庫</v>
      </c>
      <c r="V4861" s="8"/>
      <c r="W4861" s="8"/>
      <c r="X4861" s="8" t="str">
        <f>IFERROR(__xludf.DUMMYFUNCTION("""COMPUTED_VALUE"""),"有")</f>
        <v>有</v>
      </c>
      <c r="Y4861" s="8" t="str">
        <f>IFERROR(__xludf.DUMMYFUNCTION("""COMPUTED_VALUE"""),"P11まで")</f>
        <v>P11まで</v>
      </c>
      <c r="Z4861" s="7"/>
      <c r="AA4861" s="7"/>
      <c r="AB4861" s="7"/>
    </row>
    <row r="4862" ht="15.75" customHeight="1">
      <c r="A4862" s="26">
        <f>IFERROR(__xludf.DUMMYFUNCTION("""COMPUTED_VALUE"""),7588.0)</f>
        <v>7588</v>
      </c>
      <c r="B4862" s="22" t="str">
        <f>IFERROR(__xludf.DUMMYFUNCTION("""COMPUTED_VALUE"""),"確定")</f>
        <v>確定</v>
      </c>
      <c r="C4862" s="28">
        <f>IFERROR(__xludf.DUMMYFUNCTION("""COMPUTED_VALUE"""),46085.0)</f>
        <v>46085</v>
      </c>
      <c r="D4862" s="28">
        <f>IFERROR(__xludf.DUMMYFUNCTION("""COMPUTED_VALUE"""),46087.0)</f>
        <v>46087</v>
      </c>
      <c r="E4862" s="26">
        <f>IFERROR(__xludf.DUMMYFUNCTION("""COMPUTED_VALUE"""),353467.0)</f>
        <v>353467</v>
      </c>
      <c r="F4862" s="22" t="str">
        <f>IFERROR(__xludf.DUMMYFUNCTION("""COMPUTED_VALUE"""),"溺愛されてもあげません")</f>
        <v>溺愛されてもあげません</v>
      </c>
      <c r="G4862" s="20">
        <f>IFERROR(__xludf.DUMMYFUNCTION("""COMPUTED_VALUE"""),1.0)</f>
        <v>1</v>
      </c>
      <c r="H4862" s="22" t="str">
        <f>IFERROR(__xludf.DUMMYFUNCTION("""COMPUTED_VALUE"""),"いやさか　りさ")</f>
        <v>いやさか　りさ</v>
      </c>
      <c r="I4862" s="22" t="str">
        <f>IFERROR(__xludf.DUMMYFUNCTION("""COMPUTED_VALUE"""),"女性")</f>
        <v>女性</v>
      </c>
      <c r="J4862" s="22"/>
      <c r="K4862" s="22" t="str">
        <f>IFERROR(__xludf.DUMMYFUNCTION("""COMPUTED_VALUE"""),"異世界マーガレット")</f>
        <v>異世界マーガレット</v>
      </c>
      <c r="L4862" s="22" t="str">
        <f>IFERROR(__xludf.DUMMYFUNCTION("""COMPUTED_VALUE"""),"集英社")</f>
        <v>集英社</v>
      </c>
      <c r="M4862" s="33">
        <f>IFERROR(__xludf.DUMMYFUNCTION("""COMPUTED_VALUE"""),46105.0)</f>
        <v>46105</v>
      </c>
      <c r="N4862" s="33">
        <f>IFERROR(__xludf.DUMMYFUNCTION("""COMPUTED_VALUE"""),46134.0)</f>
        <v>46134</v>
      </c>
      <c r="O4862" s="20"/>
      <c r="P4862" s="32" t="str">
        <f>IFERROR(__xludf.DUMMYFUNCTION("""COMPUTED_VALUE"""),"否")</f>
        <v>否</v>
      </c>
      <c r="Q4862" s="30"/>
      <c r="R4862" s="22"/>
      <c r="S4862" s="22" t="str">
        <f>IFERROR(__xludf.DUMMYFUNCTION("""COMPUTED_VALUE"""),"20260304_集英社_溺愛されてもあげません")</f>
        <v>20260304_集英社_溺愛されてもあげません</v>
      </c>
      <c r="T4862" s="22" t="str">
        <f>IFERROR(__xludf.DUMMYFUNCTION("""COMPUTED_VALUE"""),"格納済み")</f>
        <v>格納済み</v>
      </c>
      <c r="U4862" s="9" t="str">
        <f>IFERROR(__xludf.DUMMYFUNCTION("""COMPUTED_VALUE"""),"(c)いやさか りさ／集英社クリエイティブ")</f>
        <v>(c)いやさか りさ／集英社クリエイティブ</v>
      </c>
      <c r="V4862" s="8"/>
      <c r="W4862" s="8"/>
      <c r="X4862" s="8" t="str">
        <f>IFERROR(__xludf.DUMMYFUNCTION("""COMPUTED_VALUE"""),"有")</f>
        <v>有</v>
      </c>
      <c r="Y4862" s="8" t="str">
        <f>IFERROR(__xludf.DUMMYFUNCTION("""COMPUTED_VALUE"""),"P14まで")</f>
        <v>P14まで</v>
      </c>
      <c r="Z4862" s="7"/>
      <c r="AA4862" s="7"/>
      <c r="AB4862" s="7"/>
    </row>
    <row r="4863" ht="15.75" customHeight="1">
      <c r="A4863" s="26">
        <f>IFERROR(__xludf.DUMMYFUNCTION("""COMPUTED_VALUE"""),7589.0)</f>
        <v>7589</v>
      </c>
      <c r="B4863" s="22" t="str">
        <f>IFERROR(__xludf.DUMMYFUNCTION("""COMPUTED_VALUE"""),"確定")</f>
        <v>確定</v>
      </c>
      <c r="C4863" s="28">
        <f>IFERROR(__xludf.DUMMYFUNCTION("""COMPUTED_VALUE"""),46085.0)</f>
        <v>46085</v>
      </c>
      <c r="D4863" s="28">
        <f>IFERROR(__xludf.DUMMYFUNCTION("""COMPUTED_VALUE"""),46087.0)</f>
        <v>46087</v>
      </c>
      <c r="E4863" s="26">
        <f>IFERROR(__xludf.DUMMYFUNCTION("""COMPUTED_VALUE"""),353464.0)</f>
        <v>353464</v>
      </c>
      <c r="F4863" s="22" t="str">
        <f>IFERROR(__xludf.DUMMYFUNCTION("""COMPUTED_VALUE"""),"地味令嬢の愛され同盟婚　なぜか旦那様に溺愛されます")</f>
        <v>地味令嬢の愛され同盟婚　なぜか旦那様に溺愛されます</v>
      </c>
      <c r="G4863" s="20">
        <f>IFERROR(__xludf.DUMMYFUNCTION("""COMPUTED_VALUE"""),1.0)</f>
        <v>1</v>
      </c>
      <c r="H4863" s="22" t="str">
        <f>IFERROR(__xludf.DUMMYFUNCTION("""COMPUTED_VALUE"""),"三月　ゆか, TTT")</f>
        <v>三月　ゆか, TTT</v>
      </c>
      <c r="I4863" s="22" t="str">
        <f>IFERROR(__xludf.DUMMYFUNCTION("""COMPUTED_VALUE"""),"女性")</f>
        <v>女性</v>
      </c>
      <c r="J4863" s="22"/>
      <c r="K4863" s="22" t="str">
        <f>IFERROR(__xludf.DUMMYFUNCTION("""COMPUTED_VALUE"""),"異世界マーガレット")</f>
        <v>異世界マーガレット</v>
      </c>
      <c r="L4863" s="22" t="str">
        <f>IFERROR(__xludf.DUMMYFUNCTION("""COMPUTED_VALUE"""),"集英社")</f>
        <v>集英社</v>
      </c>
      <c r="M4863" s="33">
        <f>IFERROR(__xludf.DUMMYFUNCTION("""COMPUTED_VALUE"""),46105.0)</f>
        <v>46105</v>
      </c>
      <c r="N4863" s="33">
        <f>IFERROR(__xludf.DUMMYFUNCTION("""COMPUTED_VALUE"""),46134.0)</f>
        <v>46134</v>
      </c>
      <c r="O4863" s="20"/>
      <c r="P4863" s="32" t="str">
        <f>IFERROR(__xludf.DUMMYFUNCTION("""COMPUTED_VALUE"""),"否")</f>
        <v>否</v>
      </c>
      <c r="Q4863" s="30"/>
      <c r="R4863" s="22"/>
      <c r="S4863" s="22" t="str">
        <f>IFERROR(__xludf.DUMMYFUNCTION("""COMPUTED_VALUE"""),"20260304_集英社_地味令嬢の愛され同盟婚　なぜか旦那様に溺愛されます")</f>
        <v>20260304_集英社_地味令嬢の愛され同盟婚　なぜか旦那様に溺愛されます</v>
      </c>
      <c r="T4863" s="22" t="str">
        <f>IFERROR(__xludf.DUMMYFUNCTION("""COMPUTED_VALUE"""),"格納済み")</f>
        <v>格納済み</v>
      </c>
      <c r="U4863" s="9" t="str">
        <f>IFERROR(__xludf.DUMMYFUNCTION("""COMPUTED_VALUE"""),"(c)三月ゆか・TTT／集英社クリエイティブ")</f>
        <v>(c)三月ゆか・TTT／集英社クリエイティブ</v>
      </c>
      <c r="V4863" s="8"/>
      <c r="W4863" s="8"/>
      <c r="X4863" s="8" t="str">
        <f>IFERROR(__xludf.DUMMYFUNCTION("""COMPUTED_VALUE"""),"有")</f>
        <v>有</v>
      </c>
      <c r="Y4863" s="8" t="str">
        <f>IFERROR(__xludf.DUMMYFUNCTION("""COMPUTED_VALUE"""),"P13まで")</f>
        <v>P13まで</v>
      </c>
      <c r="Z4863" s="7"/>
      <c r="AA4863" s="7"/>
      <c r="AB4863" s="7"/>
    </row>
    <row r="4864" ht="15.75" customHeight="1">
      <c r="A4864" s="26">
        <f>IFERROR(__xludf.DUMMYFUNCTION("""COMPUTED_VALUE"""),7590.0)</f>
        <v>7590</v>
      </c>
      <c r="B4864" s="22" t="str">
        <f>IFERROR(__xludf.DUMMYFUNCTION("""COMPUTED_VALUE"""),"確定")</f>
        <v>確定</v>
      </c>
      <c r="C4864" s="28">
        <f>IFERROR(__xludf.DUMMYFUNCTION("""COMPUTED_VALUE"""),46085.0)</f>
        <v>46085</v>
      </c>
      <c r="D4864" s="28">
        <f>IFERROR(__xludf.DUMMYFUNCTION("""COMPUTED_VALUE"""),46087.0)</f>
        <v>46087</v>
      </c>
      <c r="E4864" s="26">
        <f>IFERROR(__xludf.DUMMYFUNCTION("""COMPUTED_VALUE"""),353466.0)</f>
        <v>353466</v>
      </c>
      <c r="F4864" s="22" t="str">
        <f>IFERROR(__xludf.DUMMYFUNCTION("""COMPUTED_VALUE"""),"捨てられましたが、旦那様の本音を知ったら時間が巻き戻って溺愛されました")</f>
        <v>捨てられましたが、旦那様の本音を知ったら時間が巻き戻って溺愛されました</v>
      </c>
      <c r="G4864" s="20">
        <f>IFERROR(__xludf.DUMMYFUNCTION("""COMPUTED_VALUE"""),1.0)</f>
        <v>1</v>
      </c>
      <c r="H4864" s="22" t="str">
        <f>IFERROR(__xludf.DUMMYFUNCTION("""COMPUTED_VALUE"""),"みずも")</f>
        <v>みずも</v>
      </c>
      <c r="I4864" s="22" t="str">
        <f>IFERROR(__xludf.DUMMYFUNCTION("""COMPUTED_VALUE"""),"女性")</f>
        <v>女性</v>
      </c>
      <c r="J4864" s="22"/>
      <c r="K4864" s="22" t="str">
        <f>IFERROR(__xludf.DUMMYFUNCTION("""COMPUTED_VALUE"""),"異世界マーガレット")</f>
        <v>異世界マーガレット</v>
      </c>
      <c r="L4864" s="22" t="str">
        <f>IFERROR(__xludf.DUMMYFUNCTION("""COMPUTED_VALUE"""),"集英社")</f>
        <v>集英社</v>
      </c>
      <c r="M4864" s="33">
        <f>IFERROR(__xludf.DUMMYFUNCTION("""COMPUTED_VALUE"""),46105.0)</f>
        <v>46105</v>
      </c>
      <c r="N4864" s="33">
        <f>IFERROR(__xludf.DUMMYFUNCTION("""COMPUTED_VALUE"""),46134.0)</f>
        <v>46134</v>
      </c>
      <c r="O4864" s="20"/>
      <c r="P4864" s="32" t="str">
        <f>IFERROR(__xludf.DUMMYFUNCTION("""COMPUTED_VALUE"""),"否")</f>
        <v>否</v>
      </c>
      <c r="Q4864" s="30"/>
      <c r="R4864" s="22"/>
      <c r="S4864" s="22" t="str">
        <f>IFERROR(__xludf.DUMMYFUNCTION("""COMPUTED_VALUE"""),"20260304_集英社_捨てられましたが、旦那様の本音を知ったら時間が巻き戻って溺愛されました")</f>
        <v>20260304_集英社_捨てられましたが、旦那様の本音を知ったら時間が巻き戻って溺愛されました</v>
      </c>
      <c r="T4864" s="22" t="str">
        <f>IFERROR(__xludf.DUMMYFUNCTION("""COMPUTED_VALUE"""),"格納済み")</f>
        <v>格納済み</v>
      </c>
      <c r="U4864" s="9" t="str">
        <f>IFERROR(__xludf.DUMMYFUNCTION("""COMPUTED_VALUE"""),"(c)みずも／集英社クリエイティブ")</f>
        <v>(c)みずも／集英社クリエイティブ</v>
      </c>
      <c r="V4864" s="8"/>
      <c r="W4864" s="8"/>
      <c r="X4864" s="8" t="str">
        <f>IFERROR(__xludf.DUMMYFUNCTION("""COMPUTED_VALUE"""),"有")</f>
        <v>有</v>
      </c>
      <c r="Y4864" s="8" t="str">
        <f>IFERROR(__xludf.DUMMYFUNCTION("""COMPUTED_VALUE"""),"P12まで")</f>
        <v>P12まで</v>
      </c>
      <c r="Z4864" s="7"/>
      <c r="AA4864" s="7"/>
      <c r="AB4864" s="7"/>
    </row>
    <row r="4865" ht="15.75" customHeight="1">
      <c r="A4865" s="26">
        <f>IFERROR(__xludf.DUMMYFUNCTION("""COMPUTED_VALUE"""),7591.0)</f>
        <v>7591</v>
      </c>
      <c r="B4865" s="22" t="str">
        <f>IFERROR(__xludf.DUMMYFUNCTION("""COMPUTED_VALUE"""),"確定")</f>
        <v>確定</v>
      </c>
      <c r="C4865" s="28">
        <f>IFERROR(__xludf.DUMMYFUNCTION("""COMPUTED_VALUE"""),46085.0)</f>
        <v>46085</v>
      </c>
      <c r="D4865" s="28">
        <f>IFERROR(__xludf.DUMMYFUNCTION("""COMPUTED_VALUE"""),46091.0)</f>
        <v>46091</v>
      </c>
      <c r="E4865" s="26">
        <f>IFERROR(__xludf.DUMMYFUNCTION("""COMPUTED_VALUE"""),353465.0)</f>
        <v>353465</v>
      </c>
      <c r="F4865" s="22" t="str">
        <f>IFERROR(__xludf.DUMMYFUNCTION("""COMPUTED_VALUE"""),"婚約の噂を耳にした宰相子息の様子がおかしい")</f>
        <v>婚約の噂を耳にした宰相子息の様子がおかしい</v>
      </c>
      <c r="G4865" s="20">
        <f>IFERROR(__xludf.DUMMYFUNCTION("""COMPUTED_VALUE"""),1.0)</f>
        <v>1</v>
      </c>
      <c r="H4865" s="22" t="str">
        <f>IFERROR(__xludf.DUMMYFUNCTION("""COMPUTED_VALUE"""),"桃月　あおね, TTT")</f>
        <v>桃月　あおね, TTT</v>
      </c>
      <c r="I4865" s="22" t="str">
        <f>IFERROR(__xludf.DUMMYFUNCTION("""COMPUTED_VALUE"""),"女性")</f>
        <v>女性</v>
      </c>
      <c r="J4865" s="22"/>
      <c r="K4865" s="22" t="str">
        <f>IFERROR(__xludf.DUMMYFUNCTION("""COMPUTED_VALUE"""),"異世界マーガレット")</f>
        <v>異世界マーガレット</v>
      </c>
      <c r="L4865" s="22" t="str">
        <f>IFERROR(__xludf.DUMMYFUNCTION("""COMPUTED_VALUE"""),"集英社")</f>
        <v>集英社</v>
      </c>
      <c r="M4865" s="33">
        <f>IFERROR(__xludf.DUMMYFUNCTION("""COMPUTED_VALUE"""),46105.0)</f>
        <v>46105</v>
      </c>
      <c r="N4865" s="33">
        <f>IFERROR(__xludf.DUMMYFUNCTION("""COMPUTED_VALUE"""),46134.0)</f>
        <v>46134</v>
      </c>
      <c r="O4865" s="20"/>
      <c r="P4865" s="32" t="str">
        <f>IFERROR(__xludf.DUMMYFUNCTION("""COMPUTED_VALUE"""),"否")</f>
        <v>否</v>
      </c>
      <c r="Q4865" s="30"/>
      <c r="R4865" s="22"/>
      <c r="S4865" s="22" t="str">
        <f>IFERROR(__xludf.DUMMYFUNCTION("""COMPUTED_VALUE"""),"20260304_集英社_婚約の噂を耳にした宰相子息の様子がおかしい")</f>
        <v>20260304_集英社_婚約の噂を耳にした宰相子息の様子がおかしい</v>
      </c>
      <c r="T4865" s="22" t="str">
        <f>IFERROR(__xludf.DUMMYFUNCTION("""COMPUTED_VALUE"""),"格納済み")</f>
        <v>格納済み</v>
      </c>
      <c r="U4865" s="9" t="str">
        <f>IFERROR(__xludf.DUMMYFUNCTION("""COMPUTED_VALUE"""),"(c)桃月あおね・TTT／集英社クリエイティブ")</f>
        <v>(c)桃月あおね・TTT／集英社クリエイティブ</v>
      </c>
      <c r="V4865" s="8"/>
      <c r="W4865" s="8"/>
      <c r="X4865" s="8" t="str">
        <f>IFERROR(__xludf.DUMMYFUNCTION("""COMPUTED_VALUE"""),"有")</f>
        <v>有</v>
      </c>
      <c r="Y4865" s="8" t="str">
        <f>IFERROR(__xludf.DUMMYFUNCTION("""COMPUTED_VALUE"""),"P14まで")</f>
        <v>P14まで</v>
      </c>
      <c r="Z4865" s="7"/>
      <c r="AA4865" s="7"/>
      <c r="AB4865" s="7"/>
    </row>
    <row r="4866" ht="15.75" customHeight="1">
      <c r="A4866" s="26">
        <f>IFERROR(__xludf.DUMMYFUNCTION("""COMPUTED_VALUE"""),7592.0)</f>
        <v>7592</v>
      </c>
      <c r="B4866" s="22" t="str">
        <f>IFERROR(__xludf.DUMMYFUNCTION("""COMPUTED_VALUE"""),"確定")</f>
        <v>確定</v>
      </c>
      <c r="C4866" s="28">
        <f>IFERROR(__xludf.DUMMYFUNCTION("""COMPUTED_VALUE"""),46085.0)</f>
        <v>46085</v>
      </c>
      <c r="D4866" s="28">
        <f>IFERROR(__xludf.DUMMYFUNCTION("""COMPUTED_VALUE"""),46091.0)</f>
        <v>46091</v>
      </c>
      <c r="E4866" s="26">
        <f>IFERROR(__xludf.DUMMYFUNCTION("""COMPUTED_VALUE"""),351918.0)</f>
        <v>351918</v>
      </c>
      <c r="F4866" s="22" t="str">
        <f>IFERROR(__xludf.DUMMYFUNCTION("""COMPUTED_VALUE"""),"狼は王子の隙を狙ってる")</f>
        <v>狼は王子の隙を狙ってる</v>
      </c>
      <c r="G4866" s="20">
        <f>IFERROR(__xludf.DUMMYFUNCTION("""COMPUTED_VALUE"""),1.0)</f>
        <v>1</v>
      </c>
      <c r="H4866" s="22" t="str">
        <f>IFERROR(__xludf.DUMMYFUNCTION("""COMPUTED_VALUE"""),"戸真伊まい")</f>
        <v>戸真伊まい</v>
      </c>
      <c r="I4866" s="22" t="str">
        <f>IFERROR(__xludf.DUMMYFUNCTION("""COMPUTED_VALUE"""),"BL")</f>
        <v>BL</v>
      </c>
      <c r="J4866" s="22"/>
      <c r="K4866" s="22" t="str">
        <f>IFERROR(__xludf.DUMMYFUNCTION("""COMPUTED_VALUE"""),"君恋")</f>
        <v>君恋</v>
      </c>
      <c r="L4866" s="22" t="str">
        <f>IFERROR(__xludf.DUMMYFUNCTION("""COMPUTED_VALUE"""),"集英社")</f>
        <v>集英社</v>
      </c>
      <c r="M4866" s="33">
        <f>IFERROR(__xludf.DUMMYFUNCTION("""COMPUTED_VALUE"""),46110.0)</f>
        <v>46110</v>
      </c>
      <c r="N4866" s="33">
        <f>IFERROR(__xludf.DUMMYFUNCTION("""COMPUTED_VALUE"""),46134.0)</f>
        <v>46134</v>
      </c>
      <c r="O4866" s="20"/>
      <c r="P4866" s="32" t="str">
        <f>IFERROR(__xludf.DUMMYFUNCTION("""COMPUTED_VALUE"""),"否")</f>
        <v>否</v>
      </c>
      <c r="Q4866" s="30"/>
      <c r="R4866" s="22"/>
      <c r="S4866" s="22" t="str">
        <f>IFERROR(__xludf.DUMMYFUNCTION("""COMPUTED_VALUE"""),"20260304_集英社_狼は王子の隙を狙ってる")</f>
        <v>20260304_集英社_狼は王子の隙を狙ってる</v>
      </c>
      <c r="T4866" s="22" t="str">
        <f>IFERROR(__xludf.DUMMYFUNCTION("""COMPUTED_VALUE"""),"格納済み")</f>
        <v>格納済み</v>
      </c>
      <c r="U4866" s="9" t="str">
        <f>IFERROR(__xludf.DUMMYFUNCTION("""COMPUTED_VALUE"""),"（C）戸真伊まい／集英社")</f>
        <v>（C）戸真伊まい／集英社</v>
      </c>
      <c r="V4866" s="8"/>
      <c r="W4866" s="8"/>
      <c r="X4866" s="8" t="str">
        <f>IFERROR(__xludf.DUMMYFUNCTION("""COMPUTED_VALUE"""),"有")</f>
        <v>有</v>
      </c>
      <c r="Y4866" s="8" t="str">
        <f>IFERROR(__xludf.DUMMYFUNCTION("""COMPUTED_VALUE"""),"2026/4/28まで1巻立ち読み増量（P80）")</f>
        <v>2026/4/28まで1巻立ち読み増量（P80）</v>
      </c>
      <c r="Z4866" s="7"/>
      <c r="AA4866" s="7"/>
      <c r="AB4866" s="7"/>
    </row>
    <row r="4867" ht="15.75" customHeight="1">
      <c r="A4867" s="26">
        <f>IFERROR(__xludf.DUMMYFUNCTION("""COMPUTED_VALUE"""),7593.0)</f>
        <v>7593</v>
      </c>
      <c r="B4867" s="22" t="str">
        <f>IFERROR(__xludf.DUMMYFUNCTION("""COMPUTED_VALUE"""),"確定")</f>
        <v>確定</v>
      </c>
      <c r="C4867" s="28">
        <f>IFERROR(__xludf.DUMMYFUNCTION("""COMPUTED_VALUE"""),46085.0)</f>
        <v>46085</v>
      </c>
      <c r="D4867" s="28">
        <f>IFERROR(__xludf.DUMMYFUNCTION("""COMPUTED_VALUE"""),46091.0)</f>
        <v>46091</v>
      </c>
      <c r="E4867" s="26">
        <f>IFERROR(__xludf.DUMMYFUNCTION("""COMPUTED_VALUE"""),351913.0)</f>
        <v>351913</v>
      </c>
      <c r="F4867" s="22" t="str">
        <f>IFERROR(__xludf.DUMMYFUNCTION("""COMPUTED_VALUE"""),"お弁当箱のむこうがわ")</f>
        <v>お弁当箱のむこうがわ</v>
      </c>
      <c r="G4867" s="20">
        <f>IFERROR(__xludf.DUMMYFUNCTION("""COMPUTED_VALUE"""),1.0)</f>
        <v>1</v>
      </c>
      <c r="H4867" s="22" t="str">
        <f>IFERROR(__xludf.DUMMYFUNCTION("""COMPUTED_VALUE"""),"とおの")</f>
        <v>とおの</v>
      </c>
      <c r="I4867" s="22" t="str">
        <f>IFERROR(__xludf.DUMMYFUNCTION("""COMPUTED_VALUE"""),"BL")</f>
        <v>BL</v>
      </c>
      <c r="J4867" s="22"/>
      <c r="K4867" s="22" t="str">
        <f>IFERROR(__xludf.DUMMYFUNCTION("""COMPUTED_VALUE"""),"君恋")</f>
        <v>君恋</v>
      </c>
      <c r="L4867" s="22" t="str">
        <f>IFERROR(__xludf.DUMMYFUNCTION("""COMPUTED_VALUE"""),"集英社")</f>
        <v>集英社</v>
      </c>
      <c r="M4867" s="33">
        <f>IFERROR(__xludf.DUMMYFUNCTION("""COMPUTED_VALUE"""),46110.0)</f>
        <v>46110</v>
      </c>
      <c r="N4867" s="33">
        <f>IFERROR(__xludf.DUMMYFUNCTION("""COMPUTED_VALUE"""),46134.0)</f>
        <v>46134</v>
      </c>
      <c r="O4867" s="20"/>
      <c r="P4867" s="32" t="str">
        <f>IFERROR(__xludf.DUMMYFUNCTION("""COMPUTED_VALUE"""),"否")</f>
        <v>否</v>
      </c>
      <c r="Q4867" s="30"/>
      <c r="R4867" s="22"/>
      <c r="S4867" s="22" t="str">
        <f>IFERROR(__xludf.DUMMYFUNCTION("""COMPUTED_VALUE"""),"20260304_集英社_お弁当箱のむこうがわ")</f>
        <v>20260304_集英社_お弁当箱のむこうがわ</v>
      </c>
      <c r="T4867" s="22" t="str">
        <f>IFERROR(__xludf.DUMMYFUNCTION("""COMPUTED_VALUE"""),"格納済み")</f>
        <v>格納済み</v>
      </c>
      <c r="U4867" s="9" t="str">
        <f>IFERROR(__xludf.DUMMYFUNCTION("""COMPUTED_VALUE"""),"（C）とおの／集英社")</f>
        <v>（C）とおの／集英社</v>
      </c>
      <c r="V4867" s="8"/>
      <c r="W4867" s="8"/>
      <c r="X4867" s="8" t="str">
        <f>IFERROR(__xludf.DUMMYFUNCTION("""COMPUTED_VALUE"""),"有")</f>
        <v>有</v>
      </c>
      <c r="Y4867" s="8" t="str">
        <f>IFERROR(__xludf.DUMMYFUNCTION("""COMPUTED_VALUE"""),"2026/4/28まで1巻立ち読み増量（P80）")</f>
        <v>2026/4/28まで1巻立ち読み増量（P80）</v>
      </c>
      <c r="Z4867" s="7"/>
      <c r="AA4867" s="7"/>
      <c r="AB4867" s="7"/>
    </row>
    <row r="4868" ht="15.75" customHeight="1">
      <c r="A4868" s="26">
        <f>IFERROR(__xludf.DUMMYFUNCTION("""COMPUTED_VALUE"""),7599.0)</f>
        <v>7599</v>
      </c>
      <c r="B4868" s="22" t="str">
        <f>IFERROR(__xludf.DUMMYFUNCTION("""COMPUTED_VALUE"""),"確定")</f>
        <v>確定</v>
      </c>
      <c r="C4868" s="28">
        <f>IFERROR(__xludf.DUMMYFUNCTION("""COMPUTED_VALUE"""),46085.0)</f>
        <v>46085</v>
      </c>
      <c r="D4868" s="28">
        <f>IFERROR(__xludf.DUMMYFUNCTION("""COMPUTED_VALUE"""),46091.0)</f>
        <v>46091</v>
      </c>
      <c r="E4868" s="26">
        <f>IFERROR(__xludf.DUMMYFUNCTION("""COMPUTED_VALUE"""),353719.0)</f>
        <v>353719</v>
      </c>
      <c r="F4868" s="22" t="str">
        <f>IFERROR(__xludf.DUMMYFUNCTION("""COMPUTED_VALUE"""),"恋する向日葵はわきまえない")</f>
        <v>恋する向日葵はわきまえない</v>
      </c>
      <c r="G4868" s="20">
        <f>IFERROR(__xludf.DUMMYFUNCTION("""COMPUTED_VALUE"""),1.0)</f>
        <v>1</v>
      </c>
      <c r="H4868" s="22" t="str">
        <f>IFERROR(__xludf.DUMMYFUNCTION("""COMPUTED_VALUE"""),"泉麦歩")</f>
        <v>泉麦歩</v>
      </c>
      <c r="I4868" s="22" t="str">
        <f>IFERROR(__xludf.DUMMYFUNCTION("""COMPUTED_VALUE"""),"少女")</f>
        <v>少女</v>
      </c>
      <c r="J4868" s="22"/>
      <c r="K4868" s="22"/>
      <c r="L4868" s="22" t="str">
        <f>IFERROR(__xludf.DUMMYFUNCTION("""COMPUTED_VALUE"""),"集英社")</f>
        <v>集英社</v>
      </c>
      <c r="M4868" s="33">
        <f>IFERROR(__xludf.DUMMYFUNCTION("""COMPUTED_VALUE"""),46110.0)</f>
        <v>46110</v>
      </c>
      <c r="N4868" s="33">
        <f>IFERROR(__xludf.DUMMYFUNCTION("""COMPUTED_VALUE"""),46134.0)</f>
        <v>46134</v>
      </c>
      <c r="O4868" s="20"/>
      <c r="P4868" s="32" t="str">
        <f>IFERROR(__xludf.DUMMYFUNCTION("""COMPUTED_VALUE"""),"可")</f>
        <v>可</v>
      </c>
      <c r="Q4868" s="30" t="str">
        <f>IFERROR(__xludf.DUMMYFUNCTION("""COMPUTED_VALUE"""),"【アウトバウンド提案】")</f>
        <v>【アウトバウンド提案】</v>
      </c>
      <c r="R4868" s="22"/>
      <c r="S4868" s="22" t="str">
        <f>IFERROR(__xludf.DUMMYFUNCTION("""COMPUTED_VALUE"""),"20260303_集英社_恋する向日葵はわきまえない")</f>
        <v>20260303_集英社_恋する向日葵はわきまえない</v>
      </c>
      <c r="T4868" s="22" t="str">
        <f>IFERROR(__xludf.DUMMYFUNCTION("""COMPUTED_VALUE"""),"格納済み")</f>
        <v>格納済み</v>
      </c>
      <c r="U4868" s="9" t="str">
        <f>IFERROR(__xludf.DUMMYFUNCTION("""COMPUTED_VALUE"""),"（C）泉麦歩／集英社")</f>
        <v>（C）泉麦歩／集英社</v>
      </c>
      <c r="V4868" s="8"/>
      <c r="W4868" s="8"/>
      <c r="X4868" s="8" t="str">
        <f>IFERROR(__xludf.DUMMYFUNCTION("""COMPUTED_VALUE"""),"有")</f>
        <v>有</v>
      </c>
      <c r="Y4868" s="8" t="str">
        <f>IFERROR(__xludf.DUMMYFUNCTION("""COMPUTED_VALUE"""),"2026/4/28まで1巻立ち読み増量（P80）")</f>
        <v>2026/4/28まで1巻立ち読み増量（P80）</v>
      </c>
      <c r="Z4868" s="7"/>
      <c r="AA4868" s="7"/>
      <c r="AB4868" s="7"/>
    </row>
    <row r="4869" ht="15.75" customHeight="1">
      <c r="A4869" s="26">
        <f>IFERROR(__xludf.DUMMYFUNCTION("""COMPUTED_VALUE"""),7608.0)</f>
        <v>7608</v>
      </c>
      <c r="B4869" s="22" t="str">
        <f>IFERROR(__xludf.DUMMYFUNCTION("""COMPUTED_VALUE"""),"確定")</f>
        <v>確定</v>
      </c>
      <c r="C4869" s="28">
        <f>IFERROR(__xludf.DUMMYFUNCTION("""COMPUTED_VALUE"""),46086.0)</f>
        <v>46086</v>
      </c>
      <c r="D4869" s="28">
        <f>IFERROR(__xludf.DUMMYFUNCTION("""COMPUTED_VALUE"""),46091.0)</f>
        <v>46091</v>
      </c>
      <c r="E4869" s="26">
        <f>IFERROR(__xludf.DUMMYFUNCTION("""COMPUTED_VALUE"""),356266.0)</f>
        <v>356266</v>
      </c>
      <c r="F4869" s="22" t="str">
        <f>IFERROR(__xludf.DUMMYFUNCTION("""COMPUTED_VALUE"""),"男主人公を殺してもいいですか？【タテヨミ】")</f>
        <v>男主人公を殺してもいいですか？【タテヨミ】</v>
      </c>
      <c r="G4869" s="20" t="str">
        <f>IFERROR(__xludf.DUMMYFUNCTION("""COMPUTED_VALUE"""),"1~15")</f>
        <v>1~15</v>
      </c>
      <c r="H4869" s="22" t="str">
        <f>IFERROR(__xludf.DUMMYFUNCTION("""COMPUTED_VALUE"""),"KUN-B・TD")</f>
        <v>KUN-B・TD</v>
      </c>
      <c r="I4869" s="22" t="str">
        <f>IFERROR(__xludf.DUMMYFUNCTION("""COMPUTED_VALUE"""),"TL")</f>
        <v>TL</v>
      </c>
      <c r="J4869" s="22"/>
      <c r="K4869" s="22" t="str">
        <f>IFERROR(__xludf.DUMMYFUNCTION("""COMPUTED_VALUE"""),"レジコミ Red")</f>
        <v>レジコミ Red</v>
      </c>
      <c r="L4869" s="22" t="str">
        <f>IFERROR(__xludf.DUMMYFUNCTION("""COMPUTED_VALUE"""),"レジンコミックス")</f>
        <v>レジンコミックス</v>
      </c>
      <c r="M4869" s="33">
        <f>IFERROR(__xludf.DUMMYFUNCTION("""COMPUTED_VALUE"""),46129.0)</f>
        <v>46129</v>
      </c>
      <c r="N4869" s="33">
        <f>IFERROR(__xludf.DUMMYFUNCTION("""COMPUTED_VALUE"""),46220.0)</f>
        <v>46220</v>
      </c>
      <c r="O4869" s="20"/>
      <c r="P4869" s="32" t="str">
        <f>IFERROR(__xludf.DUMMYFUNCTION("""COMPUTED_VALUE"""),"可")</f>
        <v>可</v>
      </c>
      <c r="Q4869" s="30" t="str">
        <f>IFERROR(__xludf.DUMMYFUNCTION("""COMPUTED_VALUE"""),"【アダルト作品扱い】")</f>
        <v>【アダルト作品扱い】</v>
      </c>
      <c r="R4869" s="22"/>
      <c r="S4869" s="22" t="str">
        <f>IFERROR(__xludf.DUMMYFUNCTION("""COMPUTED_VALUE"""),"20260305_レジンコミックス_男主人公を殺してもいいですか？【タテヨミ】")</f>
        <v>20260305_レジンコミックス_男主人公を殺してもいいですか？【タテヨミ】</v>
      </c>
      <c r="T4869" s="22" t="str">
        <f>IFERROR(__xludf.DUMMYFUNCTION("""COMPUTED_VALUE"""),"格納済み")</f>
        <v>格納済み</v>
      </c>
      <c r="U4869" s="9" t="str">
        <f>IFERROR(__xludf.DUMMYFUNCTION("""COMPUTED_VALUE"""),"Ⓒ  KUN-B・TD / レジンコミックス")</f>
        <v>Ⓒ  KUN-B・TD / レジンコミックス</v>
      </c>
      <c r="V4869" s="8"/>
      <c r="W4869" s="8"/>
      <c r="X4869" s="8" t="str">
        <f>IFERROR(__xludf.DUMMYFUNCTION("""COMPUTED_VALUE"""),"有")</f>
        <v>有</v>
      </c>
      <c r="Y4869" s="8" t="str">
        <f>IFERROR(__xludf.DUMMYFUNCTION("""COMPUTED_VALUE"""),"1巻無料")</f>
        <v>1巻無料</v>
      </c>
      <c r="Z4869" s="7"/>
      <c r="AA4869" s="7"/>
      <c r="AB4869" s="7"/>
    </row>
    <row r="4870" ht="15.75" customHeight="1">
      <c r="A4870" s="26">
        <f>IFERROR(__xludf.DUMMYFUNCTION("""COMPUTED_VALUE"""),7609.0)</f>
        <v>7609</v>
      </c>
      <c r="B4870" s="22" t="str">
        <f>IFERROR(__xludf.DUMMYFUNCTION("""COMPUTED_VALUE"""),"確定")</f>
        <v>確定</v>
      </c>
      <c r="C4870" s="28">
        <f>IFERROR(__xludf.DUMMYFUNCTION("""COMPUTED_VALUE"""),46086.0)</f>
        <v>46086</v>
      </c>
      <c r="D4870" s="28">
        <f>IFERROR(__xludf.DUMMYFUNCTION("""COMPUTED_VALUE"""),46091.0)</f>
        <v>46091</v>
      </c>
      <c r="E4870" s="26">
        <f>IFERROR(__xludf.DUMMYFUNCTION("""COMPUTED_VALUE"""),356264.0)</f>
        <v>356264</v>
      </c>
      <c r="F4870" s="22" t="str">
        <f>IFERROR(__xludf.DUMMYFUNCTION("""COMPUTED_VALUE"""),"乱れたキャンパスのパートナーたち【タテヨミ】")</f>
        <v>乱れたキャンパスのパートナーたち【タテヨミ】</v>
      </c>
      <c r="G4870" s="20" t="str">
        <f>IFERROR(__xludf.DUMMYFUNCTION("""COMPUTED_VALUE"""),"1~15")</f>
        <v>1~15</v>
      </c>
      <c r="H4870" s="22" t="str">
        <f>IFERROR(__xludf.DUMMYFUNCTION("""COMPUTED_VALUE"""),"原案:guemdan / 原作:タキシードペンギン / 作画:Charibo")</f>
        <v>原案:guemdan / 原作:タキシードペンギン / 作画:Charibo</v>
      </c>
      <c r="I4870" s="22" t="str">
        <f>IFERROR(__xludf.DUMMYFUNCTION("""COMPUTED_VALUE"""),"TL")</f>
        <v>TL</v>
      </c>
      <c r="J4870" s="22"/>
      <c r="K4870" s="22" t="str">
        <f>IFERROR(__xludf.DUMMYFUNCTION("""COMPUTED_VALUE"""),"レジコミ Red")</f>
        <v>レジコミ Red</v>
      </c>
      <c r="L4870" s="22" t="str">
        <f>IFERROR(__xludf.DUMMYFUNCTION("""COMPUTED_VALUE"""),"レジンコミックス")</f>
        <v>レジンコミックス</v>
      </c>
      <c r="M4870" s="33">
        <f>IFERROR(__xludf.DUMMYFUNCTION("""COMPUTED_VALUE"""),46129.0)</f>
        <v>46129</v>
      </c>
      <c r="N4870" s="33">
        <f>IFERROR(__xludf.DUMMYFUNCTION("""COMPUTED_VALUE"""),46220.0)</f>
        <v>46220</v>
      </c>
      <c r="O4870" s="20"/>
      <c r="P4870" s="32" t="str">
        <f>IFERROR(__xludf.DUMMYFUNCTION("""COMPUTED_VALUE"""),"可")</f>
        <v>可</v>
      </c>
      <c r="Q4870" s="30" t="str">
        <f>IFERROR(__xludf.DUMMYFUNCTION("""COMPUTED_VALUE"""),"【アダルト作品扱い】")</f>
        <v>【アダルト作品扱い】</v>
      </c>
      <c r="R4870" s="22"/>
      <c r="S4870" s="22" t="str">
        <f>IFERROR(__xludf.DUMMYFUNCTION("""COMPUTED_VALUE"""),"20260305_レジンコミックス_乱れたキャンパスのパートナーたち【タテヨミ】")</f>
        <v>20260305_レジンコミックス_乱れたキャンパスのパートナーたち【タテヨミ】</v>
      </c>
      <c r="T4870" s="22" t="str">
        <f>IFERROR(__xludf.DUMMYFUNCTION("""COMPUTED_VALUE"""),"格納済み")</f>
        <v>格納済み</v>
      </c>
      <c r="U4870" s="9" t="str">
        <f>IFERROR(__xludf.DUMMYFUNCTION("""COMPUTED_VALUE"""),"Ⓒ  原案:guemdan / 原作:タキシードペンギン / 作画:Charibo / レジンコミックス")</f>
        <v>Ⓒ  原案:guemdan / 原作:タキシードペンギン / 作画:Charibo / レジンコミックス</v>
      </c>
      <c r="V4870" s="8"/>
      <c r="W4870" s="8"/>
      <c r="X4870" s="8" t="str">
        <f>IFERROR(__xludf.DUMMYFUNCTION("""COMPUTED_VALUE"""),"有")</f>
        <v>有</v>
      </c>
      <c r="Y4870" s="8" t="str">
        <f>IFERROR(__xludf.DUMMYFUNCTION("""COMPUTED_VALUE"""),"1巻無料")</f>
        <v>1巻無料</v>
      </c>
      <c r="Z4870" s="7"/>
      <c r="AA4870" s="7"/>
      <c r="AB4870" s="7"/>
    </row>
    <row r="4871" ht="15.75" customHeight="1">
      <c r="A4871" s="26">
        <f>IFERROR(__xludf.DUMMYFUNCTION("""COMPUTED_VALUE"""),7610.0)</f>
        <v>7610</v>
      </c>
      <c r="B4871" s="22" t="str">
        <f>IFERROR(__xludf.DUMMYFUNCTION("""COMPUTED_VALUE"""),"確定")</f>
        <v>確定</v>
      </c>
      <c r="C4871" s="28">
        <f>IFERROR(__xludf.DUMMYFUNCTION("""COMPUTED_VALUE"""),46086.0)</f>
        <v>46086</v>
      </c>
      <c r="D4871" s="28">
        <f>IFERROR(__xludf.DUMMYFUNCTION("""COMPUTED_VALUE"""),46091.0)</f>
        <v>46091</v>
      </c>
      <c r="E4871" s="26">
        <f>IFERROR(__xludf.DUMMYFUNCTION("""COMPUTED_VALUE"""),356697.0)</f>
        <v>356697</v>
      </c>
      <c r="F4871" s="22" t="str">
        <f>IFERROR(__xludf.DUMMYFUNCTION("""COMPUTED_VALUE"""),"悪作～許されない罪～【タテヨミ】")</f>
        <v>悪作～許されない罪～【タテヨミ】</v>
      </c>
      <c r="G4871" s="20" t="str">
        <f>IFERROR(__xludf.DUMMYFUNCTION("""COMPUTED_VALUE"""),"1~20")</f>
        <v>1~20</v>
      </c>
      <c r="H4871" s="22" t="str">
        <f>IFERROR(__xludf.DUMMYFUNCTION("""COMPUTED_VALUE"""),"Sojogeum・JUN・JungSal")</f>
        <v>Sojogeum・JUN・JungSal</v>
      </c>
      <c r="I4871" s="22" t="str">
        <f>IFERROR(__xludf.DUMMYFUNCTION("""COMPUTED_VALUE"""),"BL")</f>
        <v>BL</v>
      </c>
      <c r="J4871" s="22"/>
      <c r="K4871" s="22"/>
      <c r="L4871" s="22" t="str">
        <f>IFERROR(__xludf.DUMMYFUNCTION("""COMPUTED_VALUE"""),"レジンコミックス")</f>
        <v>レジンコミックス</v>
      </c>
      <c r="M4871" s="33">
        <f>IFERROR(__xludf.DUMMYFUNCTION("""COMPUTED_VALUE"""),46122.0)</f>
        <v>46122</v>
      </c>
      <c r="N4871" s="33">
        <f>IFERROR(__xludf.DUMMYFUNCTION("""COMPUTED_VALUE"""),46213.0)</f>
        <v>46213</v>
      </c>
      <c r="O4871" s="20"/>
      <c r="P4871" s="32" t="str">
        <f>IFERROR(__xludf.DUMMYFUNCTION("""COMPUTED_VALUE"""),"可")</f>
        <v>可</v>
      </c>
      <c r="Q4871" s="30"/>
      <c r="R4871" s="22"/>
      <c r="S4871" s="22" t="str">
        <f>IFERROR(__xludf.DUMMYFUNCTION("""COMPUTED_VALUE"""),"20260305_レジンコミックス_悪作～許されない罪～【タテヨミ】")</f>
        <v>20260305_レジンコミックス_悪作～許されない罪～【タテヨミ】</v>
      </c>
      <c r="T4871" s="22" t="str">
        <f>IFERROR(__xludf.DUMMYFUNCTION("""COMPUTED_VALUE"""),"格納済み")</f>
        <v>格納済み</v>
      </c>
      <c r="U4871" s="9" t="str">
        <f>IFERROR(__xludf.DUMMYFUNCTION("""COMPUTED_VALUE"""),"© Sojogeum・JUN・JungSal / レジンコミックス")</f>
        <v>© Sojogeum・JUN・JungSal / レジンコミックス</v>
      </c>
      <c r="V4871" s="8"/>
      <c r="W4871" s="8"/>
      <c r="X4871" s="8" t="str">
        <f>IFERROR(__xludf.DUMMYFUNCTION("""COMPUTED_VALUE"""),"有")</f>
        <v>有</v>
      </c>
      <c r="Y4871" s="8" t="str">
        <f>IFERROR(__xludf.DUMMYFUNCTION("""COMPUTED_VALUE"""),"1巻無料")</f>
        <v>1巻無料</v>
      </c>
      <c r="Z4871" s="7"/>
      <c r="AA4871" s="7"/>
      <c r="AB4871" s="7"/>
    </row>
    <row r="4872" ht="15.75" customHeight="1">
      <c r="A4872" s="26">
        <f>IFERROR(__xludf.DUMMYFUNCTION("""COMPUTED_VALUE"""),7611.0)</f>
        <v>7611</v>
      </c>
      <c r="B4872" s="22" t="str">
        <f>IFERROR(__xludf.DUMMYFUNCTION("""COMPUTED_VALUE"""),"確定")</f>
        <v>確定</v>
      </c>
      <c r="C4872" s="28">
        <f>IFERROR(__xludf.DUMMYFUNCTION("""COMPUTED_VALUE"""),46086.0)</f>
        <v>46086</v>
      </c>
      <c r="D4872" s="28">
        <f>IFERROR(__xludf.DUMMYFUNCTION("""COMPUTED_VALUE"""),46091.0)</f>
        <v>46091</v>
      </c>
      <c r="E4872" s="26">
        <f>IFERROR(__xludf.DUMMYFUNCTION("""COMPUTED_VALUE"""),356696.0)</f>
        <v>356696</v>
      </c>
      <c r="F4872" s="22" t="str">
        <f>IFERROR(__xludf.DUMMYFUNCTION("""COMPUTED_VALUE"""),"TWIN GUIDE～白と黒の恋着～【タテヨミ】")</f>
        <v>TWIN GUIDE～白と黒の恋着～【タテヨミ】</v>
      </c>
      <c r="G4872" s="20" t="str">
        <f>IFERROR(__xludf.DUMMYFUNCTION("""COMPUTED_VALUE"""),"1~20")</f>
        <v>1~20</v>
      </c>
      <c r="H4872" s="22" t="str">
        <f>IFERROR(__xludf.DUMMYFUNCTION("""COMPUTED_VALUE"""),"原案:HAETAE / 原作:YRSR / 作画:HEHE, Studio Malans")</f>
        <v>原案:HAETAE / 原作:YRSR / 作画:HEHE, Studio Malans</v>
      </c>
      <c r="I4872" s="22" t="str">
        <f>IFERROR(__xludf.DUMMYFUNCTION("""COMPUTED_VALUE"""),"BLマンガ")</f>
        <v>BLマンガ</v>
      </c>
      <c r="J4872" s="22"/>
      <c r="K4872" s="22"/>
      <c r="L4872" s="22" t="str">
        <f>IFERROR(__xludf.DUMMYFUNCTION("""COMPUTED_VALUE"""),"レジンコミックス")</f>
        <v>レジンコミックス</v>
      </c>
      <c r="M4872" s="33">
        <f>IFERROR(__xludf.DUMMYFUNCTION("""COMPUTED_VALUE"""),46129.0)</f>
        <v>46129</v>
      </c>
      <c r="N4872" s="33">
        <f>IFERROR(__xludf.DUMMYFUNCTION("""COMPUTED_VALUE"""),46220.0)</f>
        <v>46220</v>
      </c>
      <c r="O4872" s="20"/>
      <c r="P4872" s="32" t="str">
        <f>IFERROR(__xludf.DUMMYFUNCTION("""COMPUTED_VALUE"""),"可")</f>
        <v>可</v>
      </c>
      <c r="Q4872" s="30"/>
      <c r="R4872" s="22"/>
      <c r="S4872" s="22" t="str">
        <f>IFERROR(__xludf.DUMMYFUNCTION("""COMPUTED_VALUE"""),"20260305_レジンコミックス_TWIN GUIDE～白と黒の恋着～【タテヨミ】")</f>
        <v>20260305_レジンコミックス_TWIN GUIDE～白と黒の恋着～【タテヨミ】</v>
      </c>
      <c r="T4872" s="22" t="str">
        <f>IFERROR(__xludf.DUMMYFUNCTION("""COMPUTED_VALUE"""),"格納済み")</f>
        <v>格納済み</v>
      </c>
      <c r="U4872" s="9" t="str">
        <f>IFERROR(__xludf.DUMMYFUNCTION("""COMPUTED_VALUE"""),"Ⓒ 原案:HAETAE / 原作:YRSR / 作画:HEHE, Studio Malans / レジンコミックス")</f>
        <v>Ⓒ 原案:HAETAE / 原作:YRSR / 作画:HEHE, Studio Malans / レジンコミックス</v>
      </c>
      <c r="V4872" s="8"/>
      <c r="W4872" s="8"/>
      <c r="X4872" s="8" t="str">
        <f>IFERROR(__xludf.DUMMYFUNCTION("""COMPUTED_VALUE"""),"有")</f>
        <v>有</v>
      </c>
      <c r="Y4872" s="8" t="str">
        <f>IFERROR(__xludf.DUMMYFUNCTION("""COMPUTED_VALUE"""),"1巻無料")</f>
        <v>1巻無料</v>
      </c>
      <c r="Z4872" s="7"/>
      <c r="AA4872" s="7"/>
      <c r="AB4872" s="7"/>
    </row>
    <row r="4873" ht="15.75" customHeight="1">
      <c r="A4873" s="26">
        <f>IFERROR(__xludf.DUMMYFUNCTION("""COMPUTED_VALUE"""),7612.0)</f>
        <v>7612</v>
      </c>
      <c r="B4873" s="22" t="str">
        <f>IFERROR(__xludf.DUMMYFUNCTION("""COMPUTED_VALUE"""),"確定")</f>
        <v>確定</v>
      </c>
      <c r="C4873" s="28">
        <f>IFERROR(__xludf.DUMMYFUNCTION("""COMPUTED_VALUE"""),46086.0)</f>
        <v>46086</v>
      </c>
      <c r="D4873" s="28">
        <f>IFERROR(__xludf.DUMMYFUNCTION("""COMPUTED_VALUE"""),46091.0)</f>
        <v>46091</v>
      </c>
      <c r="E4873" s="26">
        <f>IFERROR(__xludf.DUMMYFUNCTION("""COMPUTED_VALUE"""),356263.0)</f>
        <v>356263</v>
      </c>
      <c r="F4873" s="22" t="str">
        <f>IFERROR(__xludf.DUMMYFUNCTION("""COMPUTED_VALUE"""),"お嬢様、教育のお時間です【タテヨミ】")</f>
        <v>お嬢様、教育のお時間です【タテヨミ】</v>
      </c>
      <c r="G4873" s="20" t="str">
        <f>IFERROR(__xludf.DUMMYFUNCTION("""COMPUTED_VALUE"""),"1~15")</f>
        <v>1~15</v>
      </c>
      <c r="H4873" s="22" t="str">
        <f>IFERROR(__xludf.DUMMYFUNCTION("""COMPUTED_VALUE"""),"phuphen・Kwan・chocofairy")</f>
        <v>phuphen・Kwan・chocofairy</v>
      </c>
      <c r="I4873" s="22" t="str">
        <f>IFERROR(__xludf.DUMMYFUNCTION("""COMPUTED_VALUE"""),"TLマンガ")</f>
        <v>TLマンガ</v>
      </c>
      <c r="J4873" s="22"/>
      <c r="K4873" s="22" t="str">
        <f>IFERROR(__xludf.DUMMYFUNCTION("""COMPUTED_VALUE"""),"レジコミ Red")</f>
        <v>レジコミ Red</v>
      </c>
      <c r="L4873" s="22" t="str">
        <f>IFERROR(__xludf.DUMMYFUNCTION("""COMPUTED_VALUE"""),"レジンコミックス")</f>
        <v>レジンコミックス</v>
      </c>
      <c r="M4873" s="33">
        <f>IFERROR(__xludf.DUMMYFUNCTION("""COMPUTED_VALUE"""),46129.0)</f>
        <v>46129</v>
      </c>
      <c r="N4873" s="33">
        <f>IFERROR(__xludf.DUMMYFUNCTION("""COMPUTED_VALUE"""),46220.0)</f>
        <v>46220</v>
      </c>
      <c r="O4873" s="20"/>
      <c r="P4873" s="32" t="str">
        <f>IFERROR(__xludf.DUMMYFUNCTION("""COMPUTED_VALUE"""),"可")</f>
        <v>可</v>
      </c>
      <c r="Q4873" s="30"/>
      <c r="R4873" s="22"/>
      <c r="S4873" s="22" t="str">
        <f>IFERROR(__xludf.DUMMYFUNCTION("""COMPUTED_VALUE"""),"20260305_レジンコミックス_お嬢様、教育のお時間です【タテヨミ】")</f>
        <v>20260305_レジンコミックス_お嬢様、教育のお時間です【タテヨミ】</v>
      </c>
      <c r="T4873" s="22" t="str">
        <f>IFERROR(__xludf.DUMMYFUNCTION("""COMPUTED_VALUE"""),"格納済み")</f>
        <v>格納済み</v>
      </c>
      <c r="U4873" s="9" t="str">
        <f>IFERROR(__xludf.DUMMYFUNCTION("""COMPUTED_VALUE"""),"Ⓒ  phuphen・Kwan・chocofairy / レジンコミックス")</f>
        <v>Ⓒ  phuphen・Kwan・chocofairy / レジンコミックス</v>
      </c>
      <c r="V4873" s="8"/>
      <c r="W4873" s="8"/>
      <c r="X4873" s="8" t="str">
        <f>IFERROR(__xludf.DUMMYFUNCTION("""COMPUTED_VALUE"""),"有")</f>
        <v>有</v>
      </c>
      <c r="Y4873" s="8" t="str">
        <f>IFERROR(__xludf.DUMMYFUNCTION("""COMPUTED_VALUE"""),"1巻無料")</f>
        <v>1巻無料</v>
      </c>
      <c r="Z4873" s="7"/>
      <c r="AA4873" s="7"/>
      <c r="AB4873" s="7"/>
    </row>
    <row r="4874" ht="15.75" customHeight="1">
      <c r="A4874" s="26">
        <f>IFERROR(__xludf.DUMMYFUNCTION("""COMPUTED_VALUE"""),7613.0)</f>
        <v>7613</v>
      </c>
      <c r="B4874" s="22" t="str">
        <f>IFERROR(__xludf.DUMMYFUNCTION("""COMPUTED_VALUE"""),"確定")</f>
        <v>確定</v>
      </c>
      <c r="C4874" s="28">
        <f>IFERROR(__xludf.DUMMYFUNCTION("""COMPUTED_VALUE"""),46087.0)</f>
        <v>46087</v>
      </c>
      <c r="D4874" s="28">
        <f>IFERROR(__xludf.DUMMYFUNCTION("""COMPUTED_VALUE"""),46087.0)</f>
        <v>46087</v>
      </c>
      <c r="E4874" s="26">
        <f>IFERROR(__xludf.DUMMYFUNCTION("""COMPUTED_VALUE"""),354067.0)</f>
        <v>354067</v>
      </c>
      <c r="F4874" s="22" t="str">
        <f>IFERROR(__xludf.DUMMYFUNCTION("""COMPUTED_VALUE"""),"拗らせ皇太子の偏愛遊戯【マイクロ】")</f>
        <v>拗らせ皇太子の偏愛遊戯【マイクロ】</v>
      </c>
      <c r="G4874" s="20" t="str">
        <f>IFERROR(__xludf.DUMMYFUNCTION("""COMPUTED_VALUE"""),"1～3")</f>
        <v>1～3</v>
      </c>
      <c r="H4874" s="22" t="str">
        <f>IFERROR(__xludf.DUMMYFUNCTION("""COMPUTED_VALUE"""),"桃乃みく")</f>
        <v>桃乃みく</v>
      </c>
      <c r="I4874" s="22" t="str">
        <f>IFERROR(__xludf.DUMMYFUNCTION("""COMPUTED_VALUE"""),"女性")</f>
        <v>女性</v>
      </c>
      <c r="J4874" s="22"/>
      <c r="K4874" s="22"/>
      <c r="L4874" s="22" t="str">
        <f>IFERROR(__xludf.DUMMYFUNCTION("""COMPUTED_VALUE"""),"小学館")</f>
        <v>小学館</v>
      </c>
      <c r="M4874" s="33">
        <f>IFERROR(__xludf.DUMMYFUNCTION("""COMPUTED_VALUE"""),46111.0)</f>
        <v>46111</v>
      </c>
      <c r="N4874" s="33">
        <f>IFERROR(__xludf.DUMMYFUNCTION("""COMPUTED_VALUE"""),46141.0)</f>
        <v>46141</v>
      </c>
      <c r="O4874" s="20"/>
      <c r="P4874" s="32" t="str">
        <f>IFERROR(__xludf.DUMMYFUNCTION("""COMPUTED_VALUE"""),"否")</f>
        <v>否</v>
      </c>
      <c r="Q4874" s="30"/>
      <c r="R4874" s="22"/>
      <c r="S4874" s="22" t="str">
        <f>IFERROR(__xludf.DUMMYFUNCTION("""COMPUTED_VALUE"""),"20260305_小学館_拗らせ皇太子の偏愛遊戯")</f>
        <v>20260305_小学館_拗らせ皇太子の偏愛遊戯</v>
      </c>
      <c r="T4874" s="22" t="str">
        <f>IFERROR(__xludf.DUMMYFUNCTION("""COMPUTED_VALUE"""),"格納済み")</f>
        <v>格納済み</v>
      </c>
      <c r="U4874" s="9" t="str">
        <f>IFERROR(__xludf.DUMMYFUNCTION("""COMPUTED_VALUE"""),"(C)桃乃みく / 小学館")</f>
        <v>(C)桃乃みく / 小学館</v>
      </c>
      <c r="V4874" s="8"/>
      <c r="W4874" s="8"/>
      <c r="X4874" s="8" t="str">
        <f>IFERROR(__xludf.DUMMYFUNCTION("""COMPUTED_VALUE"""),"有")</f>
        <v>有</v>
      </c>
      <c r="Y4874" s="8" t="str">
        <f>IFERROR(__xludf.DUMMYFUNCTION("""COMPUTED_VALUE"""),"P12まで")</f>
        <v>P12まで</v>
      </c>
      <c r="Z4874" s="7"/>
      <c r="AA4874" s="7"/>
      <c r="AB4874" s="7"/>
    </row>
    <row r="4875" ht="15.75" customHeight="1">
      <c r="A4875" s="26">
        <f>IFERROR(__xludf.DUMMYFUNCTION("""COMPUTED_VALUE"""),7618.0)</f>
        <v>7618</v>
      </c>
      <c r="B4875" s="22" t="str">
        <f>IFERROR(__xludf.DUMMYFUNCTION("""COMPUTED_VALUE"""),"確定")</f>
        <v>確定</v>
      </c>
      <c r="C4875" s="28">
        <f>IFERROR(__xludf.DUMMYFUNCTION("""COMPUTED_VALUE"""),46087.0)</f>
        <v>46087</v>
      </c>
      <c r="D4875" s="28">
        <f>IFERROR(__xludf.DUMMYFUNCTION("""COMPUTED_VALUE"""),46091.0)</f>
        <v>46091</v>
      </c>
      <c r="E4875" s="26">
        <f>IFERROR(__xludf.DUMMYFUNCTION("""COMPUTED_VALUE"""),357331.0)</f>
        <v>357331</v>
      </c>
      <c r="F4875" s="22" t="str">
        <f>IFERROR(__xludf.DUMMYFUNCTION("""COMPUTED_VALUE"""),"noicomi花嫁と魔王～穢れた少女は帝都の守護者に娶られる～")</f>
        <v>noicomi花嫁と魔王～穢れた少女は帝都の守護者に娶られる～</v>
      </c>
      <c r="G4875" s="20" t="str">
        <f>IFERROR(__xludf.DUMMYFUNCTION("""COMPUTED_VALUE"""),"1～3")</f>
        <v>1～3</v>
      </c>
      <c r="H4875" s="22" t="str">
        <f>IFERROR(__xludf.DUMMYFUNCTION("""COMPUTED_VALUE"""),"ナガトカヨ（作画）、ヒトエ真琴（原作）")</f>
        <v>ナガトカヨ（作画）、ヒトエ真琴（原作）</v>
      </c>
      <c r="I4875" s="22" t="str">
        <f>IFERROR(__xludf.DUMMYFUNCTION("""COMPUTED_VALUE"""),"少女")</f>
        <v>少女</v>
      </c>
      <c r="J4875" s="22"/>
      <c r="K4875" s="22"/>
      <c r="L4875" s="22" t="str">
        <f>IFERROR(__xludf.DUMMYFUNCTION("""COMPUTED_VALUE"""),"スターツ出版")</f>
        <v>スターツ出版</v>
      </c>
      <c r="M4875" s="33">
        <f>IFERROR(__xludf.DUMMYFUNCTION("""COMPUTED_VALUE"""),46122.0)</f>
        <v>46122</v>
      </c>
      <c r="N4875" s="33">
        <f>IFERROR(__xludf.DUMMYFUNCTION("""COMPUTED_VALUE"""),46212.0)</f>
        <v>46212</v>
      </c>
      <c r="O4875" s="20"/>
      <c r="P4875" s="32" t="str">
        <f>IFERROR(__xludf.DUMMYFUNCTION("""COMPUTED_VALUE"""),"可")</f>
        <v>可</v>
      </c>
      <c r="Q4875" s="30"/>
      <c r="R4875" s="22"/>
      <c r="S4875" s="22" t="str">
        <f>IFERROR(__xludf.DUMMYFUNCTION("""COMPUTED_VALUE"""),"20260306_スターツ出版_花嫁と魔王～穢れた少女は帝都の守護者に娶られる～")</f>
        <v>20260306_スターツ出版_花嫁と魔王～穢れた少女は帝都の守護者に娶られる～</v>
      </c>
      <c r="T4875" s="22" t="str">
        <f>IFERROR(__xludf.DUMMYFUNCTION("""COMPUTED_VALUE"""),"格納済み")</f>
        <v>格納済み</v>
      </c>
      <c r="U4875" s="9" t="str">
        <f>IFERROR(__xludf.DUMMYFUNCTION("""COMPUTED_VALUE"""),"（C）KAYO NAGATO ・Makoto Hitoe/スターツ出版")</f>
        <v>（C）KAYO NAGATO ・Makoto Hitoe/スターツ出版</v>
      </c>
      <c r="V4875" s="8"/>
      <c r="W4875" s="8"/>
      <c r="X4875" s="8" t="str">
        <f>IFERROR(__xludf.DUMMYFUNCTION("""COMPUTED_VALUE"""),"有")</f>
        <v>有</v>
      </c>
      <c r="Y4875" s="8" t="str">
        <f>IFERROR(__xludf.DUMMYFUNCTION("""COMPUTED_VALUE"""),"2026/7/9まで1巻無料")</f>
        <v>2026/7/9まで1巻無料</v>
      </c>
      <c r="Z4875" s="7"/>
      <c r="AA4875" s="7"/>
      <c r="AB4875" s="7"/>
    </row>
    <row r="4876" ht="15.75" customHeight="1">
      <c r="A4876" s="26">
        <f>IFERROR(__xludf.DUMMYFUNCTION("""COMPUTED_VALUE"""),7621.0)</f>
        <v>7621</v>
      </c>
      <c r="B4876" s="22" t="str">
        <f>IFERROR(__xludf.DUMMYFUNCTION("""COMPUTED_VALUE"""),"確定")</f>
        <v>確定</v>
      </c>
      <c r="C4876" s="28">
        <f>IFERROR(__xludf.DUMMYFUNCTION("""COMPUTED_VALUE"""),46090.0)</f>
        <v>46090</v>
      </c>
      <c r="D4876" s="28">
        <f>IFERROR(__xludf.DUMMYFUNCTION("""COMPUTED_VALUE"""),46090.0)</f>
        <v>46090</v>
      </c>
      <c r="E4876" s="26">
        <f>IFERROR(__xludf.DUMMYFUNCTION("""COMPUTED_VALUE"""),355818.0)</f>
        <v>355818</v>
      </c>
      <c r="F4876" s="22" t="str">
        <f>IFERROR(__xludf.DUMMYFUNCTION("""COMPUTED_VALUE"""),"この戦いが終わったら一緒になろうと約束していた勇者は、私の目の前で皇女様との結婚を選んだ")</f>
        <v>この戦いが終わったら一緒になろうと約束していた勇者は、私の目の前で皇女様との結婚を選んだ</v>
      </c>
      <c r="G4876" s="20" t="str">
        <f>IFERROR(__xludf.DUMMYFUNCTION("""COMPUTED_VALUE"""),"1～3")</f>
        <v>1～3</v>
      </c>
      <c r="H4876" s="22" t="str">
        <f>IFERROR(__xludf.DUMMYFUNCTION("""COMPUTED_VALUE"""),"漫画：さぎり和紗／原作：めぐめぐ（エブリスタ）")</f>
        <v>漫画：さぎり和紗／原作：めぐめぐ（エブリスタ）</v>
      </c>
      <c r="I4876" s="22" t="str">
        <f>IFERROR(__xludf.DUMMYFUNCTION("""COMPUTED_VALUE"""),"女性")</f>
        <v>女性</v>
      </c>
      <c r="J4876" s="22"/>
      <c r="K4876" s="22" t="str">
        <f>IFERROR(__xludf.DUMMYFUNCTION("""COMPUTED_VALUE"""),"デジタルマーガレット")</f>
        <v>デジタルマーガレット</v>
      </c>
      <c r="L4876" s="22" t="str">
        <f>IFERROR(__xludf.DUMMYFUNCTION("""COMPUTED_VALUE"""),"集英社")</f>
        <v>集英社</v>
      </c>
      <c r="M4876" s="33">
        <f>IFERROR(__xludf.DUMMYFUNCTION("""COMPUTED_VALUE"""),46113.0)</f>
        <v>46113</v>
      </c>
      <c r="N4876" s="33">
        <f>IFERROR(__xludf.DUMMYFUNCTION("""COMPUTED_VALUE"""),46142.0)</f>
        <v>46142</v>
      </c>
      <c r="O4876" s="20"/>
      <c r="P4876" s="32" t="str">
        <f>IFERROR(__xludf.DUMMYFUNCTION("""COMPUTED_VALUE"""),"否")</f>
        <v>否</v>
      </c>
      <c r="Q4876" s="30"/>
      <c r="R4876" s="22"/>
      <c r="S4876" s="22" t="str">
        <f>IFERROR(__xludf.DUMMYFUNCTION("""COMPUTED_VALUE"""),"20260309_集英社_この戦いが終わったら一緒になろうと約束していた勇者は、私の目の前で皇女様との結婚を選んだ")</f>
        <v>20260309_集英社_この戦いが終わったら一緒になろうと約束していた勇者は、私の目の前で皇女様との結婚を選んだ</v>
      </c>
      <c r="T4876" s="22" t="str">
        <f>IFERROR(__xludf.DUMMYFUNCTION("""COMPUTED_VALUE"""),"格納済み")</f>
        <v>格納済み</v>
      </c>
      <c r="U4876" s="9" t="str">
        <f>IFERROR(__xludf.DUMMYFUNCTION("""COMPUTED_VALUE"""),"(c)さぎり和紗・めぐめぐ（エブリスタ）／集英社")</f>
        <v>(c)さぎり和紗・めぐめぐ（エブリスタ）／集英社</v>
      </c>
      <c r="V4876" s="8"/>
      <c r="W4876" s="8"/>
      <c r="X4876" s="8" t="str">
        <f>IFERROR(__xludf.DUMMYFUNCTION("""COMPUTED_VALUE"""),"有")</f>
        <v>有</v>
      </c>
      <c r="Y4876" s="8" t="str">
        <f>IFERROR(__xludf.DUMMYFUNCTION("""COMPUTED_VALUE"""),"2026/4/30まで1巻無料")</f>
        <v>2026/4/30まで1巻無料</v>
      </c>
      <c r="Z4876" s="7"/>
      <c r="AA4876" s="7"/>
      <c r="AB4876" s="7"/>
    </row>
    <row r="4877" ht="15.75" customHeight="1">
      <c r="A4877" s="26">
        <f>IFERROR(__xludf.DUMMYFUNCTION("""COMPUTED_VALUE"""),7623.0)</f>
        <v>7623</v>
      </c>
      <c r="B4877" s="22" t="str">
        <f>IFERROR(__xludf.DUMMYFUNCTION("""COMPUTED_VALUE"""),"確定")</f>
        <v>確定</v>
      </c>
      <c r="C4877" s="28">
        <f>IFERROR(__xludf.DUMMYFUNCTION("""COMPUTED_VALUE"""),46090.0)</f>
        <v>46090</v>
      </c>
      <c r="D4877" s="28">
        <f>IFERROR(__xludf.DUMMYFUNCTION("""COMPUTED_VALUE"""),46090.0)</f>
        <v>46090</v>
      </c>
      <c r="E4877" s="26">
        <f>IFERROR(__xludf.DUMMYFUNCTION("""COMPUTED_VALUE"""),355819.0)</f>
        <v>355819</v>
      </c>
      <c r="F4877" s="22" t="str">
        <f>IFERROR(__xludf.DUMMYFUNCTION("""COMPUTED_VALUE"""),"断罪された異世界令嬢は、歌舞伎町のJDキャバ嬢に転身しますわ！")</f>
        <v>断罪された異世界令嬢は、歌舞伎町のJDキャバ嬢に転身しますわ！</v>
      </c>
      <c r="G4877" s="20" t="str">
        <f>IFERROR(__xludf.DUMMYFUNCTION("""COMPUTED_VALUE"""),"1～3")</f>
        <v>1～3</v>
      </c>
      <c r="H4877" s="22" t="str">
        <f>IFERROR(__xludf.DUMMYFUNCTION("""COMPUTED_VALUE"""),"漫画：七紅なゆ／原作：百奈山エンナ（エブリスタ)／監修：湊響子(エブリスタ)")</f>
        <v>漫画：七紅なゆ／原作：百奈山エンナ（エブリスタ)／監修：湊響子(エブリスタ)</v>
      </c>
      <c r="I4877" s="22" t="str">
        <f>IFERROR(__xludf.DUMMYFUNCTION("""COMPUTED_VALUE"""),"女性")</f>
        <v>女性</v>
      </c>
      <c r="J4877" s="22"/>
      <c r="K4877" s="22" t="str">
        <f>IFERROR(__xludf.DUMMYFUNCTION("""COMPUTED_VALUE"""),"デジタルマーガレット")</f>
        <v>デジタルマーガレット</v>
      </c>
      <c r="L4877" s="22" t="str">
        <f>IFERROR(__xludf.DUMMYFUNCTION("""COMPUTED_VALUE"""),"集英社")</f>
        <v>集英社</v>
      </c>
      <c r="M4877" s="33">
        <f>IFERROR(__xludf.DUMMYFUNCTION("""COMPUTED_VALUE"""),46113.0)</f>
        <v>46113</v>
      </c>
      <c r="N4877" s="33">
        <f>IFERROR(__xludf.DUMMYFUNCTION("""COMPUTED_VALUE"""),46142.0)</f>
        <v>46142</v>
      </c>
      <c r="O4877" s="20"/>
      <c r="P4877" s="32" t="str">
        <f>IFERROR(__xludf.DUMMYFUNCTION("""COMPUTED_VALUE"""),"否")</f>
        <v>否</v>
      </c>
      <c r="Q4877" s="30"/>
      <c r="R4877" s="22"/>
      <c r="S4877" s="22" t="str">
        <f>IFERROR(__xludf.DUMMYFUNCTION("""COMPUTED_VALUE"""),"20260309_集英社_断罪された異世界令嬢は、歌舞伎町のJDキャバ嬢に転身しますわ！")</f>
        <v>20260309_集英社_断罪された異世界令嬢は、歌舞伎町のJDキャバ嬢に転身しますわ！</v>
      </c>
      <c r="T4877" s="22" t="str">
        <f>IFERROR(__xludf.DUMMYFUNCTION("""COMPUTED_VALUE"""),"格納済み")</f>
        <v>格納済み</v>
      </c>
      <c r="U4877" s="9" t="str">
        <f>IFERROR(__xludf.DUMMYFUNCTION("""COMPUTED_VALUE"""),"(c)七紅なゆ・百奈山エンナ（エブリスタ)・湊響子（エブリスタ）／集英社")</f>
        <v>(c)七紅なゆ・百奈山エンナ（エブリスタ)・湊響子（エブリスタ）／集英社</v>
      </c>
      <c r="V4877" s="8"/>
      <c r="W4877" s="8"/>
      <c r="X4877" s="8" t="str">
        <f>IFERROR(__xludf.DUMMYFUNCTION("""COMPUTED_VALUE"""),"有")</f>
        <v>有</v>
      </c>
      <c r="Y4877" s="8" t="str">
        <f>IFERROR(__xludf.DUMMYFUNCTION("""COMPUTED_VALUE"""),"2026/4/30まで1巻無料")</f>
        <v>2026/4/30まで1巻無料</v>
      </c>
      <c r="Z4877" s="7"/>
      <c r="AA4877" s="7"/>
      <c r="AB4877" s="7"/>
    </row>
    <row r="4878" ht="15.75" customHeight="1">
      <c r="A4878" s="26">
        <f>IFERROR(__xludf.DUMMYFUNCTION("""COMPUTED_VALUE"""),7627.0)</f>
        <v>7627</v>
      </c>
      <c r="B4878" s="22" t="str">
        <f>IFERROR(__xludf.DUMMYFUNCTION("""COMPUTED_VALUE"""),"確定")</f>
        <v>確定</v>
      </c>
      <c r="C4878" s="28">
        <f>IFERROR(__xludf.DUMMYFUNCTION("""COMPUTED_VALUE"""),46090.0)</f>
        <v>46090</v>
      </c>
      <c r="D4878" s="28">
        <f>IFERROR(__xludf.DUMMYFUNCTION("""COMPUTED_VALUE"""),46091.0)</f>
        <v>46091</v>
      </c>
      <c r="E4878" s="26">
        <f>IFERROR(__xludf.DUMMYFUNCTION("""COMPUTED_VALUE"""),356807.0)</f>
        <v>356807</v>
      </c>
      <c r="F4878" s="22" t="str">
        <f>IFERROR(__xludf.DUMMYFUNCTION("""COMPUTED_VALUE"""),"差使泰晨伝 ～冥土の使者と結んだ契約～【タテヨミ】")</f>
        <v>差使泰晨伝 ～冥土の使者と結んだ契約～【タテヨミ】</v>
      </c>
      <c r="G4878" s="20" t="str">
        <f>IFERROR(__xludf.DUMMYFUNCTION("""COMPUTED_VALUE"""),"1~23")</f>
        <v>1~23</v>
      </c>
      <c r="H4878" s="22" t="str">
        <f>IFERROR(__xludf.DUMMYFUNCTION("""COMPUTED_VALUE"""),"geupan・JoSamanru")</f>
        <v>geupan・JoSamanru</v>
      </c>
      <c r="I4878" s="22" t="str">
        <f>IFERROR(__xludf.DUMMYFUNCTION("""COMPUTED_VALUE"""),"BL")</f>
        <v>BL</v>
      </c>
      <c r="J4878" s="22"/>
      <c r="K4878" s="22"/>
      <c r="L4878" s="22" t="str">
        <f>IFERROR(__xludf.DUMMYFUNCTION("""COMPUTED_VALUE"""),"レジンコミックス")</f>
        <v>レジンコミックス</v>
      </c>
      <c r="M4878" s="33">
        <f>IFERROR(__xludf.DUMMYFUNCTION("""COMPUTED_VALUE"""),46136.0)</f>
        <v>46136</v>
      </c>
      <c r="N4878" s="33">
        <f>IFERROR(__xludf.DUMMYFUNCTION("""COMPUTED_VALUE"""),46227.0)</f>
        <v>46227</v>
      </c>
      <c r="O4878" s="20"/>
      <c r="P4878" s="32" t="str">
        <f>IFERROR(__xludf.DUMMYFUNCTION("""COMPUTED_VALUE"""),"可")</f>
        <v>可</v>
      </c>
      <c r="Q4878" s="30"/>
      <c r="R4878" s="22"/>
      <c r="S4878" s="22" t="str">
        <f>IFERROR(__xludf.DUMMYFUNCTION("""COMPUTED_VALUE"""),"20260309_レジンコミックス_差使泰晨伝 ～冥土の使者と結んだ契約～【タテヨミ】")</f>
        <v>20260309_レジンコミックス_差使泰晨伝 ～冥土の使者と結んだ契約～【タテヨミ】</v>
      </c>
      <c r="T4878" s="22" t="str">
        <f>IFERROR(__xludf.DUMMYFUNCTION("""COMPUTED_VALUE"""),"格納済み")</f>
        <v>格納済み</v>
      </c>
      <c r="U4878" s="9" t="str">
        <f>IFERROR(__xludf.DUMMYFUNCTION("""COMPUTED_VALUE"""),"Ⓒ  geupan・JoSamanru / レジンコミックス")</f>
        <v>Ⓒ  geupan・JoSamanru / レジンコミックス</v>
      </c>
      <c r="V4878" s="8"/>
      <c r="W4878" s="8"/>
      <c r="X4878" s="8" t="str">
        <f>IFERROR(__xludf.DUMMYFUNCTION("""COMPUTED_VALUE"""),"有")</f>
        <v>有</v>
      </c>
      <c r="Y4878" s="8" t="str">
        <f>IFERROR(__xludf.DUMMYFUNCTION("""COMPUTED_VALUE"""),"1巻無料")</f>
        <v>1巻無料</v>
      </c>
      <c r="Z4878" s="7"/>
      <c r="AA4878" s="7"/>
      <c r="AB4878" s="7"/>
    </row>
    <row r="4879" ht="15.75" customHeight="1">
      <c r="A4879" s="26">
        <f>IFERROR(__xludf.DUMMYFUNCTION("""COMPUTED_VALUE"""),7632.0)</f>
        <v>7632</v>
      </c>
      <c r="B4879" s="22" t="str">
        <f>IFERROR(__xludf.DUMMYFUNCTION("""COMPUTED_VALUE"""),"確定")</f>
        <v>確定</v>
      </c>
      <c r="C4879" s="28">
        <f>IFERROR(__xludf.DUMMYFUNCTION("""COMPUTED_VALUE"""),46091.0)</f>
        <v>46091</v>
      </c>
      <c r="D4879" s="28">
        <f>IFERROR(__xludf.DUMMYFUNCTION("""COMPUTED_VALUE"""),46091.0)</f>
        <v>46091</v>
      </c>
      <c r="E4879" s="26">
        <f>IFERROR(__xludf.DUMMYFUNCTION("""COMPUTED_VALUE"""),355559.0)</f>
        <v>355559</v>
      </c>
      <c r="F4879" s="22" t="str">
        <f>IFERROR(__xludf.DUMMYFUNCTION("""COMPUTED_VALUE"""),"悪役貴族が開き直って破滅フラグを“実力”で叩き折っていたら、いつの間にかヒロイン達から英雄視されるようになった件（コミック）【分冊版】")</f>
        <v>悪役貴族が開き直って破滅フラグを“実力”で叩き折っていたら、いつの間にかヒロイン達から英雄視されるようになった件（コミック）【分冊版】</v>
      </c>
      <c r="G4879" s="20" t="str">
        <f>IFERROR(__xludf.DUMMYFUNCTION("""COMPUTED_VALUE"""),"1～5")</f>
        <v>1～5</v>
      </c>
      <c r="H4879" s="22" t="str">
        <f>IFERROR(__xludf.DUMMYFUNCTION("""COMPUTED_VALUE"""),"原作：楓原こうた、漫画：てにたつじ、原作イラスト：ファルまろ")</f>
        <v>原作：楓原こうた、漫画：てにたつじ、原作イラスト：ファルまろ</v>
      </c>
      <c r="I4879" s="22" t="str">
        <f>IFERROR(__xludf.DUMMYFUNCTION("""COMPUTED_VALUE"""),"少年")</f>
        <v>少年</v>
      </c>
      <c r="J4879" s="22"/>
      <c r="K4879" s="22"/>
      <c r="L4879" s="22" t="str">
        <f>IFERROR(__xludf.DUMMYFUNCTION("""COMPUTED_VALUE"""),"スクウェア・エニックス")</f>
        <v>スクウェア・エニックス</v>
      </c>
      <c r="M4879" s="33">
        <f>IFERROR(__xludf.DUMMYFUNCTION("""COMPUTED_VALUE"""),46113.0)</f>
        <v>46113</v>
      </c>
      <c r="N4879" s="33">
        <f>IFERROR(__xludf.DUMMYFUNCTION("""COMPUTED_VALUE"""),46142.0)</f>
        <v>46142</v>
      </c>
      <c r="O4879" s="20"/>
      <c r="P4879" s="32" t="str">
        <f>IFERROR(__xludf.DUMMYFUNCTION("""COMPUTED_VALUE"""),"否")</f>
        <v>否</v>
      </c>
      <c r="Q4879" s="30"/>
      <c r="R4879" s="22"/>
      <c r="S4879" s="22" t="str">
        <f>IFERROR(__xludf.DUMMYFUNCTION("""COMPUTED_VALUE"""),"260309_スクウェア・エニックス_悪役貴族分冊版")</f>
        <v>260309_スクウェア・エニックス_悪役貴族分冊版</v>
      </c>
      <c r="T4879" s="22" t="str">
        <f>IFERROR(__xludf.DUMMYFUNCTION("""COMPUTED_VALUE"""),"格納済み")</f>
        <v>格納済み</v>
      </c>
      <c r="U4879" s="9" t="str">
        <f>IFERROR(__xludf.DUMMYFUNCTION("""COMPUTED_VALUE"""),"(C)Kota Kaedehara/SQUARE ENIX (C)Falmaro/SQUARE ENIX (C)Tenitatsuji/SQUARE ENIX")</f>
        <v>(C)Kota Kaedehara/SQUARE ENIX (C)Falmaro/SQUARE ENIX (C)Tenitatsuji/SQUARE ENIX</v>
      </c>
      <c r="V4879" s="8"/>
      <c r="W4879" s="8"/>
      <c r="X4879" s="8" t="str">
        <f>IFERROR(__xludf.DUMMYFUNCTION("""COMPUTED_VALUE"""),"有")</f>
        <v>有</v>
      </c>
      <c r="Y4879" s="8" t="str">
        <f>IFERROR(__xludf.DUMMYFUNCTION("""COMPUTED_VALUE"""),"2026/4/30まで1巻無料")</f>
        <v>2026/4/30まで1巻無料</v>
      </c>
      <c r="Z4879" s="7"/>
      <c r="AA4879" s="7"/>
      <c r="AB4879" s="7"/>
    </row>
    <row r="4880" ht="15.75" customHeight="1">
      <c r="A4880" s="26">
        <f>IFERROR(__xludf.DUMMYFUNCTION("""COMPUTED_VALUE"""),7633.0)</f>
        <v>7633</v>
      </c>
      <c r="B4880" s="22" t="str">
        <f>IFERROR(__xludf.DUMMYFUNCTION("""COMPUTED_VALUE"""),"確定")</f>
        <v>確定</v>
      </c>
      <c r="C4880" s="28">
        <f>IFERROR(__xludf.DUMMYFUNCTION("""COMPUTED_VALUE"""),46091.0)</f>
        <v>46091</v>
      </c>
      <c r="D4880" s="28">
        <f>IFERROR(__xludf.DUMMYFUNCTION("""COMPUTED_VALUE"""),46091.0)</f>
        <v>46091</v>
      </c>
      <c r="E4880" s="26">
        <f>IFERROR(__xludf.DUMMYFUNCTION("""COMPUTED_VALUE"""),353717.0)</f>
        <v>353717</v>
      </c>
      <c r="F4880" s="22" t="str">
        <f>IFERROR(__xludf.DUMMYFUNCTION("""COMPUTED_VALUE"""),"#バグってきゅるきゅる")</f>
        <v>#バグってきゅるきゅる</v>
      </c>
      <c r="G4880" s="20">
        <f>IFERROR(__xludf.DUMMYFUNCTION("""COMPUTED_VALUE"""),1.0)</f>
        <v>1</v>
      </c>
      <c r="H4880" s="22" t="str">
        <f>IFERROR(__xludf.DUMMYFUNCTION("""COMPUTED_VALUE"""),"浅漬くらげ")</f>
        <v>浅漬くらげ</v>
      </c>
      <c r="I4880" s="22" t="str">
        <f>IFERROR(__xludf.DUMMYFUNCTION("""COMPUTED_VALUE"""),"少女マンガ")</f>
        <v>少女マンガ</v>
      </c>
      <c r="J4880" s="22"/>
      <c r="K4880" s="22"/>
      <c r="L4880" s="22" t="str">
        <f>IFERROR(__xludf.DUMMYFUNCTION("""COMPUTED_VALUE"""),"集英社")</f>
        <v>集英社</v>
      </c>
      <c r="M4880" s="33">
        <f>IFERROR(__xludf.DUMMYFUNCTION("""COMPUTED_VALUE"""),46110.0)</f>
        <v>46110</v>
      </c>
      <c r="N4880" s="33">
        <f>IFERROR(__xludf.DUMMYFUNCTION("""COMPUTED_VALUE"""),46134.0)</f>
        <v>46134</v>
      </c>
      <c r="O4880" s="20"/>
      <c r="P4880" s="32" t="str">
        <f>IFERROR(__xludf.DUMMYFUNCTION("""COMPUTED_VALUE"""),"否")</f>
        <v>否</v>
      </c>
      <c r="Q4880" s="30"/>
      <c r="R4880" s="22"/>
      <c r="S4880" s="22" t="str">
        <f>IFERROR(__xludf.DUMMYFUNCTION("""COMPUTED_VALUE"""),"20260309_集英社_＃バグってきゅるきゅる")</f>
        <v>20260309_集英社_＃バグってきゅるきゅる</v>
      </c>
      <c r="T4880" s="22" t="str">
        <f>IFERROR(__xludf.DUMMYFUNCTION("""COMPUTED_VALUE"""),"格納済み")</f>
        <v>格納済み</v>
      </c>
      <c r="U4880" s="9" t="str">
        <f>IFERROR(__xludf.DUMMYFUNCTION("""COMPUTED_VALUE"""),"(c)浅漬くらげ／集英社")</f>
        <v>(c)浅漬くらげ／集英社</v>
      </c>
      <c r="V4880" s="8"/>
      <c r="W4880" s="8"/>
      <c r="X4880" s="8" t="str">
        <f>IFERROR(__xludf.DUMMYFUNCTION("""COMPUTED_VALUE"""),"有")</f>
        <v>有</v>
      </c>
      <c r="Y4880" s="8" t="str">
        <f>IFERROR(__xludf.DUMMYFUNCTION("""COMPUTED_VALUE"""),"2026/4/28まで1巻立ち読み増量（P80）")</f>
        <v>2026/4/28まで1巻立ち読み増量（P80）</v>
      </c>
      <c r="Z4880" s="7"/>
      <c r="AA4880" s="7"/>
      <c r="AB4880" s="7"/>
    </row>
    <row r="4881" ht="15.75" customHeight="1">
      <c r="A4881" s="26">
        <f>IFERROR(__xludf.DUMMYFUNCTION("""COMPUTED_VALUE"""),6475.0)</f>
        <v>6475</v>
      </c>
      <c r="B4881" s="22" t="str">
        <f>IFERROR(__xludf.DUMMYFUNCTION("""COMPUTED_VALUE"""),"確定")</f>
        <v>確定</v>
      </c>
      <c r="C4881" s="28">
        <f>IFERROR(__xludf.DUMMYFUNCTION("""COMPUTED_VALUE"""),45911.0)</f>
        <v>45911</v>
      </c>
      <c r="D4881" s="28">
        <f>IFERROR(__xludf.DUMMYFUNCTION("""COMPUTED_VALUE"""),46098.0)</f>
        <v>46098</v>
      </c>
      <c r="E4881" s="26">
        <f>IFERROR(__xludf.DUMMYFUNCTION("""COMPUTED_VALUE"""),354524.0)</f>
        <v>354524</v>
      </c>
      <c r="F4881" s="22" t="str">
        <f>IFERROR(__xludf.DUMMYFUNCTION("""COMPUTED_VALUE"""),"妹に結婚を押し付けられた手違いの妻ですが、いつの間にか辺境伯に溺愛されてました【分冊版】")</f>
        <v>妹に結婚を押し付けられた手違いの妻ですが、いつの間にか辺境伯に溺愛されてました【分冊版】</v>
      </c>
      <c r="G4881" s="20" t="str">
        <f>IFERROR(__xludf.DUMMYFUNCTION("""COMPUTED_VALUE"""),"1～3")</f>
        <v>1～3</v>
      </c>
      <c r="H4881" s="22" t="str">
        <f>IFERROR(__xludf.DUMMYFUNCTION("""COMPUTED_VALUE"""),"瑞貴,河原シノ,楠なわて")</f>
        <v>瑞貴,河原シノ,楠なわて</v>
      </c>
      <c r="I4881" s="22" t="str">
        <f>IFERROR(__xludf.DUMMYFUNCTION("""COMPUTED_VALUE"""),"女性")</f>
        <v>女性</v>
      </c>
      <c r="J4881" s="22"/>
      <c r="K4881" s="22"/>
      <c r="L4881" s="22" t="str">
        <f>IFERROR(__xludf.DUMMYFUNCTION("""COMPUTED_VALUE"""),"一二三書房")</f>
        <v>一二三書房</v>
      </c>
      <c r="M4881" s="33">
        <f>IFERROR(__xludf.DUMMYFUNCTION("""COMPUTED_VALUE"""),46115.0)</f>
        <v>46115</v>
      </c>
      <c r="N4881" s="33">
        <f>IFERROR(__xludf.DUMMYFUNCTION("""COMPUTED_VALUE"""),46207.0)</f>
        <v>46207</v>
      </c>
      <c r="O4881" s="20"/>
      <c r="P4881" s="32" t="str">
        <f>IFERROR(__xludf.DUMMYFUNCTION("""COMPUTED_VALUE"""),"可")</f>
        <v>可</v>
      </c>
      <c r="Q4881" s="30"/>
      <c r="R4881" s="22" t="str">
        <f>IFERROR(__xludf.DUMMYFUNCTION("""COMPUTED_VALUE"""),"コミットOK")</f>
        <v>コミットOK</v>
      </c>
      <c r="S4881" s="22" t="str">
        <f>IFERROR(__xludf.DUMMYFUNCTION("""COMPUTED_VALUE"""),"20260310_一二三書房_妹に結婚を押し付けられた手違いの妻ですが、いつの間にか辺境伯に溺愛されてました")</f>
        <v>20260310_一二三書房_妹に結婚を押し付けられた手違いの妻ですが、いつの間にか辺境伯に溺愛されてました</v>
      </c>
      <c r="T4881" s="22" t="str">
        <f>IFERROR(__xludf.DUMMYFUNCTION("""COMPUTED_VALUE"""),"格納済み")</f>
        <v>格納済み</v>
      </c>
      <c r="U4881" s="9" t="str">
        <f>IFERROR(__xludf.DUMMYFUNCTION("""COMPUTED_VALUE"""),"ⒸMizuki ⒸKawahara Shino ⒸHIFUMI SHOBO")</f>
        <v>ⒸMizuki ⒸKawahara Shino ⒸHIFUMI SHOBO</v>
      </c>
      <c r="V4881" s="8"/>
      <c r="W4881" s="8"/>
      <c r="X4881" s="8" t="str">
        <f>IFERROR(__xludf.DUMMYFUNCTION("""COMPUTED_VALUE"""),"有")</f>
        <v>有</v>
      </c>
      <c r="Y4881" s="8" t="str">
        <f>IFERROR(__xludf.DUMMYFUNCTION("""COMPUTED_VALUE"""),"2026/7/4まで1巻無料")</f>
        <v>2026/7/4まで1巻無料</v>
      </c>
      <c r="Z4881" s="7"/>
      <c r="AA4881" s="7"/>
      <c r="AB4881" s="7"/>
    </row>
    <row r="4882" ht="15.75" customHeight="1">
      <c r="A4882" s="26">
        <f>IFERROR(__xludf.DUMMYFUNCTION("""COMPUTED_VALUE"""),6837.0)</f>
        <v>6837</v>
      </c>
      <c r="B4882" s="22" t="str">
        <f>IFERROR(__xludf.DUMMYFUNCTION("""COMPUTED_VALUE"""),"確定")</f>
        <v>確定</v>
      </c>
      <c r="C4882" s="28">
        <f>IFERROR(__xludf.DUMMYFUNCTION("""COMPUTED_VALUE"""),45971.0)</f>
        <v>45971</v>
      </c>
      <c r="D4882" s="28">
        <f>IFERROR(__xludf.DUMMYFUNCTION("""COMPUTED_VALUE"""),46099.0)</f>
        <v>46099</v>
      </c>
      <c r="E4882" s="26">
        <f>IFERROR(__xludf.DUMMYFUNCTION("""COMPUTED_VALUE"""),355511.0)</f>
        <v>355511</v>
      </c>
      <c r="F4882" s="22" t="str">
        <f>IFERROR(__xludf.DUMMYFUNCTION("""COMPUTED_VALUE"""),"追放魔女は冷酷騎士の重すぎる愛に気付かない～何度イッても終わらない暴走発情エッチ～【TL版】")</f>
        <v>追放魔女は冷酷騎士の重すぎる愛に気付かない～何度イッても終わらない暴走発情エッチ～【TL版】</v>
      </c>
      <c r="G4882" s="20" t="str">
        <f>IFERROR(__xludf.DUMMYFUNCTION("""COMPUTED_VALUE"""),"1～3")</f>
        <v>1～3</v>
      </c>
      <c r="H4882" s="22" t="str">
        <f>IFERROR(__xludf.DUMMYFUNCTION("""COMPUTED_VALUE"""),"寝々々")</f>
        <v>寝々々</v>
      </c>
      <c r="I4882" s="22" t="str">
        <f>IFERROR(__xludf.DUMMYFUNCTION("""COMPUTED_VALUE"""),"TL")</f>
        <v>TL</v>
      </c>
      <c r="J4882" s="22"/>
      <c r="K4882" s="22" t="str">
        <f>IFERROR(__xludf.DUMMYFUNCTION("""COMPUTED_VALUE"""),"＠夜噺")</f>
        <v>＠夜噺</v>
      </c>
      <c r="L4882" s="22" t="str">
        <f>IFERROR(__xludf.DUMMYFUNCTION("""COMPUTED_VALUE"""),"DEEPER-ZERO")</f>
        <v>DEEPER-ZERO</v>
      </c>
      <c r="M4882" s="33">
        <f>IFERROR(__xludf.DUMMYFUNCTION("""COMPUTED_VALUE"""),46128.0)</f>
        <v>46128</v>
      </c>
      <c r="N4882" s="33">
        <f>IFERROR(__xludf.DUMMYFUNCTION("""COMPUTED_VALUE"""),46162.0)</f>
        <v>46162</v>
      </c>
      <c r="O4882" s="20"/>
      <c r="P4882" s="32" t="str">
        <f>IFERROR(__xludf.DUMMYFUNCTION("""COMPUTED_VALUE"""),"可")</f>
        <v>可</v>
      </c>
      <c r="Q4882" s="30" t="str">
        <f>IFERROR(__xludf.DUMMYFUNCTION("""COMPUTED_VALUE"""),"【アダルト作品扱い】")</f>
        <v>【アダルト作品扱い】</v>
      </c>
      <c r="R4882" s="22" t="str">
        <f>IFERROR(__xludf.DUMMYFUNCTION("""COMPUTED_VALUE"""),"コミットNG")</f>
        <v>コミットNG</v>
      </c>
      <c r="S4882" s="22" t="str">
        <f>IFERROR(__xludf.DUMMYFUNCTION("""COMPUTED_VALUE"""),"20260312_DEEPER-ZERO_追放魔女は冷酷騎士の重すぎる愛に気付かない～何度イッても終わらない暴走発情エッチ～【TL版】")</f>
        <v>20260312_DEEPER-ZERO_追放魔女は冷酷騎士の重すぎる愛に気付かない～何度イッても終わらない暴走発情エッチ～【TL版】</v>
      </c>
      <c r="T4882" s="22" t="str">
        <f>IFERROR(__xludf.DUMMYFUNCTION("""COMPUTED_VALUE"""),"格納済み")</f>
        <v>格納済み</v>
      </c>
      <c r="U4882" s="9" t="str">
        <f>IFERROR(__xludf.DUMMYFUNCTION("""COMPUTED_VALUE"""),"Ⓒ寝々々/DEEPER-ZERO")</f>
        <v>Ⓒ寝々々/DEEPER-ZERO</v>
      </c>
      <c r="V4882" s="8"/>
      <c r="W4882" s="8"/>
      <c r="X4882" s="8" t="str">
        <f>IFERROR(__xludf.DUMMYFUNCTION("""COMPUTED_VALUE"""),"有")</f>
        <v>有</v>
      </c>
      <c r="Y4882" s="8" t="str">
        <f>IFERROR(__xludf.DUMMYFUNCTION("""COMPUTED_VALUE"""),"2026/4/29まで1巻無料")</f>
        <v>2026/4/29まで1巻無料</v>
      </c>
      <c r="Z4882" s="7"/>
      <c r="AA4882" s="7"/>
      <c r="AB4882" s="7"/>
    </row>
    <row r="4883" ht="15.75" customHeight="1">
      <c r="A4883" s="26">
        <f>IFERROR(__xludf.DUMMYFUNCTION("""COMPUTED_VALUE"""),6838.0)</f>
        <v>6838</v>
      </c>
      <c r="B4883" s="22" t="str">
        <f>IFERROR(__xludf.DUMMYFUNCTION("""COMPUTED_VALUE"""),"確定")</f>
        <v>確定</v>
      </c>
      <c r="C4883" s="28">
        <f>IFERROR(__xludf.DUMMYFUNCTION("""COMPUTED_VALUE"""),45971.0)</f>
        <v>45971</v>
      </c>
      <c r="D4883" s="28">
        <f>IFERROR(__xludf.DUMMYFUNCTION("""COMPUTED_VALUE"""),46099.0)</f>
        <v>46099</v>
      </c>
      <c r="E4883" s="26">
        <f>IFERROR(__xludf.DUMMYFUNCTION("""COMPUTED_VALUE"""),355514.0)</f>
        <v>355514</v>
      </c>
      <c r="F4883" s="22" t="str">
        <f>IFERROR(__xludf.DUMMYFUNCTION("""COMPUTED_VALUE"""),"追放魔女は冷酷騎士の重すぎる愛に気付かない～何度イッても終わらない暴走発情エッチ～【R版】")</f>
        <v>追放魔女は冷酷騎士の重すぎる愛に気付かない～何度イッても終わらない暴走発情エッチ～【R版】</v>
      </c>
      <c r="G4883" s="20" t="str">
        <f>IFERROR(__xludf.DUMMYFUNCTION("""COMPUTED_VALUE"""),"1～3")</f>
        <v>1～3</v>
      </c>
      <c r="H4883" s="22" t="str">
        <f>IFERROR(__xludf.DUMMYFUNCTION("""COMPUTED_VALUE"""),"寝々々")</f>
        <v>寝々々</v>
      </c>
      <c r="I4883" s="22" t="str">
        <f>IFERROR(__xludf.DUMMYFUNCTION("""COMPUTED_VALUE"""),"アダルト")</f>
        <v>アダルト</v>
      </c>
      <c r="J4883" s="22"/>
      <c r="K4883" s="22" t="str">
        <f>IFERROR(__xludf.DUMMYFUNCTION("""COMPUTED_VALUE"""),"＠夜噺+")</f>
        <v>＠夜噺+</v>
      </c>
      <c r="L4883" s="22" t="str">
        <f>IFERROR(__xludf.DUMMYFUNCTION("""COMPUTED_VALUE"""),"DEEPER-ZERO")</f>
        <v>DEEPER-ZERO</v>
      </c>
      <c r="M4883" s="33">
        <f>IFERROR(__xludf.DUMMYFUNCTION("""COMPUTED_VALUE"""),46128.0)</f>
        <v>46128</v>
      </c>
      <c r="N4883" s="33">
        <f>IFERROR(__xludf.DUMMYFUNCTION("""COMPUTED_VALUE"""),46162.0)</f>
        <v>46162</v>
      </c>
      <c r="O4883" s="20"/>
      <c r="P4883" s="32" t="str">
        <f>IFERROR(__xludf.DUMMYFUNCTION("""COMPUTED_VALUE"""),"可")</f>
        <v>可</v>
      </c>
      <c r="Q4883" s="30"/>
      <c r="R4883" s="22" t="str">
        <f>IFERROR(__xludf.DUMMYFUNCTION("""COMPUTED_VALUE"""),"コミットNG")</f>
        <v>コミットNG</v>
      </c>
      <c r="S4883" s="22" t="str">
        <f>IFERROR(__xludf.DUMMYFUNCTION("""COMPUTED_VALUE"""),"20260312_DEEPER-ZERO_追放魔女は冷酷騎士の重すぎる愛に気付かない～何度イッても終わらない暴走発情エッチ～【R版】")</f>
        <v>20260312_DEEPER-ZERO_追放魔女は冷酷騎士の重すぎる愛に気付かない～何度イッても終わらない暴走発情エッチ～【R版】</v>
      </c>
      <c r="T4883" s="22" t="str">
        <f>IFERROR(__xludf.DUMMYFUNCTION("""COMPUTED_VALUE"""),"格納済み")</f>
        <v>格納済み</v>
      </c>
      <c r="U4883" s="9" t="str">
        <f>IFERROR(__xludf.DUMMYFUNCTION("""COMPUTED_VALUE"""),"Ⓒ寝々々/DEEPER-ZERO")</f>
        <v>Ⓒ寝々々/DEEPER-ZERO</v>
      </c>
      <c r="V4883" s="8"/>
      <c r="W4883" s="8"/>
      <c r="X4883" s="8" t="str">
        <f>IFERROR(__xludf.DUMMYFUNCTION("""COMPUTED_VALUE"""),"有")</f>
        <v>有</v>
      </c>
      <c r="Y4883" s="8" t="str">
        <f>IFERROR(__xludf.DUMMYFUNCTION("""COMPUTED_VALUE"""),"2026/4/29まで1巻無料")</f>
        <v>2026/4/29まで1巻無料</v>
      </c>
      <c r="Z4883" s="7"/>
      <c r="AA4883" s="7"/>
      <c r="AB4883" s="7"/>
    </row>
    <row r="4884" ht="15.75" customHeight="1">
      <c r="A4884" s="26">
        <f>IFERROR(__xludf.DUMMYFUNCTION("""COMPUTED_VALUE"""),6890.0)</f>
        <v>6890</v>
      </c>
      <c r="B4884" s="22" t="str">
        <f>IFERROR(__xludf.DUMMYFUNCTION("""COMPUTED_VALUE"""),"確定")</f>
        <v>確定</v>
      </c>
      <c r="C4884" s="28">
        <f>IFERROR(__xludf.DUMMYFUNCTION("""COMPUTED_VALUE"""),45978.0)</f>
        <v>45978</v>
      </c>
      <c r="D4884" s="28">
        <f>IFERROR(__xludf.DUMMYFUNCTION("""COMPUTED_VALUE"""),46098.0)</f>
        <v>46098</v>
      </c>
      <c r="E4884" s="26">
        <f>IFERROR(__xludf.DUMMYFUNCTION("""COMPUTED_VALUE"""),360651.0)</f>
        <v>360651</v>
      </c>
      <c r="F4884" s="22" t="str">
        <f>IFERROR(__xludf.DUMMYFUNCTION("""COMPUTED_VALUE"""),"姉の身代わりで結婚した、直視したら目が潰れる光王子に「僕を愛する必要はない」と言われました。")</f>
        <v>姉の身代わりで結婚した、直視したら目が潰れる光王子に「僕を愛する必要はない」と言われました。</v>
      </c>
      <c r="G4884" s="20">
        <f>IFERROR(__xludf.DUMMYFUNCTION("""COMPUTED_VALUE"""),1.0)</f>
        <v>1</v>
      </c>
      <c r="H4884" s="22" t="str">
        <f>IFERROR(__xludf.DUMMYFUNCTION("""COMPUTED_VALUE"""),"漫画：祈里咲杜　原作：結生まひろ")</f>
        <v>漫画：祈里咲杜　原作：結生まひろ</v>
      </c>
      <c r="I4884" s="22" t="str">
        <f>IFERROR(__xludf.DUMMYFUNCTION("""COMPUTED_VALUE"""),"少女")</f>
        <v>少女</v>
      </c>
      <c r="J4884" s="22"/>
      <c r="K4884" s="22" t="str">
        <f>IFERROR(__xludf.DUMMYFUNCTION("""COMPUTED_VALUE"""),"ZERO-SUMコミックス")</f>
        <v>ZERO-SUMコミックス</v>
      </c>
      <c r="L4884" s="22" t="str">
        <f>IFERROR(__xludf.DUMMYFUNCTION("""COMPUTED_VALUE"""),"一迅社")</f>
        <v>一迅社</v>
      </c>
      <c r="M4884" s="33">
        <f>IFERROR(__xludf.DUMMYFUNCTION("""COMPUTED_VALUE"""),46174.0)</f>
        <v>46174</v>
      </c>
      <c r="N4884" s="33">
        <f>IFERROR(__xludf.DUMMYFUNCTION("""COMPUTED_VALUE"""),46234.0)</f>
        <v>46234</v>
      </c>
      <c r="O4884" s="20"/>
      <c r="P4884" s="32" t="str">
        <f>IFERROR(__xludf.DUMMYFUNCTION("""COMPUTED_VALUE"""),"否")</f>
        <v>否</v>
      </c>
      <c r="Q4884" s="30" t="str">
        <f>IFERROR(__xludf.DUMMYFUNCTION("""COMPUTED_VALUE"""),"「身代わり花嫁は、旦那様から溺愛されるようです アンソロジーコミック」2巻掲載")</f>
        <v>「身代わり花嫁は、旦那様から溺愛されるようです アンソロジーコミック」2巻掲載</v>
      </c>
      <c r="R4884" s="22"/>
      <c r="S4884" s="22" t="str">
        <f>IFERROR(__xludf.DUMMYFUNCTION("""COMPUTED_VALUE"""),"20260316_一迅社_姉の身代わりで結婚した、直視したら目が潰れる光王子に「僕を愛する必要はない」と言われました")</f>
        <v>20260316_一迅社_姉の身代わりで結婚した、直視したら目が潰れる光王子に「僕を愛する必要はない」と言われました</v>
      </c>
      <c r="T4884" s="22" t="str">
        <f>IFERROR(__xludf.DUMMYFUNCTION("""COMPUTED_VALUE"""),"格納済み")</f>
        <v>格納済み</v>
      </c>
      <c r="U4884" s="9" t="str">
        <f>IFERROR(__xludf.DUMMYFUNCTION("""COMPUTED_VALUE"""),"(C)祈里咲杜・結生まひろ／一迅社")</f>
        <v>(C)祈里咲杜・結生まひろ／一迅社</v>
      </c>
      <c r="V4884" s="8"/>
      <c r="W4884" s="8"/>
      <c r="X4884" s="8" t="str">
        <f>IFERROR(__xludf.DUMMYFUNCTION("""COMPUTED_VALUE"""),"有")</f>
        <v>有</v>
      </c>
      <c r="Y4884" s="8" t="str">
        <f>IFERROR(__xludf.DUMMYFUNCTION("""COMPUTED_VALUE"""),"P9まで")</f>
        <v>P9まで</v>
      </c>
      <c r="Z4884" s="7"/>
      <c r="AA4884" s="7"/>
      <c r="AB4884" s="7"/>
    </row>
    <row r="4885" ht="15.75" customHeight="1">
      <c r="A4885" s="26">
        <f>IFERROR(__xludf.DUMMYFUNCTION("""COMPUTED_VALUE"""),7029.0)</f>
        <v>7029</v>
      </c>
      <c r="B4885" s="22" t="str">
        <f>IFERROR(__xludf.DUMMYFUNCTION("""COMPUTED_VALUE"""),"確定")</f>
        <v>確定</v>
      </c>
      <c r="C4885" s="28">
        <f>IFERROR(__xludf.DUMMYFUNCTION("""COMPUTED_VALUE"""),46000.0)</f>
        <v>46000</v>
      </c>
      <c r="D4885" s="28">
        <f>IFERROR(__xludf.DUMMYFUNCTION("""COMPUTED_VALUE"""),46098.0)</f>
        <v>46098</v>
      </c>
      <c r="E4885" s="26">
        <f>IFERROR(__xludf.DUMMYFUNCTION("""COMPUTED_VALUE"""),356769.0)</f>
        <v>356769</v>
      </c>
      <c r="F4885" s="22" t="str">
        <f>IFERROR(__xludf.DUMMYFUNCTION("""COMPUTED_VALUE"""),"アオハルエール【マイクロ】")</f>
        <v>アオハルエール【マイクロ】</v>
      </c>
      <c r="G4885" s="20" t="str">
        <f>IFERROR(__xludf.DUMMYFUNCTION("""COMPUTED_VALUE"""),"1~5")</f>
        <v>1~5</v>
      </c>
      <c r="H4885" s="22" t="str">
        <f>IFERROR(__xludf.DUMMYFUNCTION("""COMPUTED_VALUE"""),"八田愛")</f>
        <v>八田愛</v>
      </c>
      <c r="I4885" s="22" t="str">
        <f>IFERROR(__xludf.DUMMYFUNCTION("""COMPUTED_VALUE"""),"少女")</f>
        <v>少女</v>
      </c>
      <c r="J4885" s="22"/>
      <c r="K4885" s="22" t="str">
        <f>IFERROR(__xludf.DUMMYFUNCTION("""COMPUTED_VALUE"""),"Sho-Comi")</f>
        <v>Sho-Comi</v>
      </c>
      <c r="L4885" s="22" t="str">
        <f>IFERROR(__xludf.DUMMYFUNCTION("""COMPUTED_VALUE"""),"小学館")</f>
        <v>小学館</v>
      </c>
      <c r="M4885" s="33">
        <f>IFERROR(__xludf.DUMMYFUNCTION("""COMPUTED_VALUE"""),46117.0)</f>
        <v>46117</v>
      </c>
      <c r="N4885" s="33">
        <f>IFERROR(__xludf.DUMMYFUNCTION("""COMPUTED_VALUE"""),46177.0)</f>
        <v>46177</v>
      </c>
      <c r="O4885" s="20"/>
      <c r="P4885" s="32" t="str">
        <f>IFERROR(__xludf.DUMMYFUNCTION("""COMPUTED_VALUE"""),"否")</f>
        <v>否</v>
      </c>
      <c r="Q4885" s="30"/>
      <c r="R4885" s="22" t="str">
        <f>IFERROR(__xludf.DUMMYFUNCTION("""COMPUTED_VALUE"""),"コミットOK")</f>
        <v>コミットOK</v>
      </c>
      <c r="S4885" s="22" t="str">
        <f>IFERROR(__xludf.DUMMYFUNCTION("""COMPUTED_VALUE"""),"20260310_小学館_アオハルエール")</f>
        <v>20260310_小学館_アオハルエール</v>
      </c>
      <c r="T4885" s="22" t="str">
        <f>IFERROR(__xludf.DUMMYFUNCTION("""COMPUTED_VALUE"""),"格納済み")</f>
        <v>格納済み</v>
      </c>
      <c r="U4885" s="9" t="str">
        <f>IFERROR(__xludf.DUMMYFUNCTION("""COMPUTED_VALUE"""),"(C)八田愛 / 小学館")</f>
        <v>(C)八田愛 / 小学館</v>
      </c>
      <c r="V4885" s="8"/>
      <c r="W4885" s="8"/>
      <c r="X4885" s="8" t="str">
        <f>IFERROR(__xludf.DUMMYFUNCTION("""COMPUTED_VALUE"""),"有")</f>
        <v>有</v>
      </c>
      <c r="Y4885" s="8" t="str">
        <f>IFERROR(__xludf.DUMMYFUNCTION("""COMPUTED_VALUE"""),"P19まで")</f>
        <v>P19まで</v>
      </c>
      <c r="Z4885" s="7"/>
      <c r="AA4885" s="7"/>
      <c r="AB4885" s="7"/>
    </row>
    <row r="4886" ht="15.75" customHeight="1">
      <c r="A4886" s="26">
        <f>IFERROR(__xludf.DUMMYFUNCTION("""COMPUTED_VALUE"""),7081.0)</f>
        <v>7081</v>
      </c>
      <c r="B4886" s="22" t="str">
        <f>IFERROR(__xludf.DUMMYFUNCTION("""COMPUTED_VALUE"""),"確定")</f>
        <v>確定</v>
      </c>
      <c r="C4886" s="28">
        <f>IFERROR(__xludf.DUMMYFUNCTION("""COMPUTED_VALUE"""),46009.0)</f>
        <v>46009</v>
      </c>
      <c r="D4886" s="28">
        <f>IFERROR(__xludf.DUMMYFUNCTION("""COMPUTED_VALUE"""),46098.0)</f>
        <v>46098</v>
      </c>
      <c r="E4886" s="26">
        <f>IFERROR(__xludf.DUMMYFUNCTION("""COMPUTED_VALUE"""),356329.0)</f>
        <v>356329</v>
      </c>
      <c r="F4886" s="22" t="str">
        <f>IFERROR(__xludf.DUMMYFUNCTION("""COMPUTED_VALUE"""),"うるわし初婚～純朴男子、獰猛な溺愛夫に成る～")</f>
        <v>うるわし初婚～純朴男子、獰猛な溺愛夫に成る～</v>
      </c>
      <c r="G4886" s="20" t="str">
        <f>IFERROR(__xludf.DUMMYFUNCTION("""COMPUTED_VALUE"""),"1～2")</f>
        <v>1～2</v>
      </c>
      <c r="H4886" s="22" t="str">
        <f>IFERROR(__xludf.DUMMYFUNCTION("""COMPUTED_VALUE"""),"柴寅・青井千寿")</f>
        <v>柴寅・青井千寿</v>
      </c>
      <c r="I4886" s="22" t="str">
        <f>IFERROR(__xludf.DUMMYFUNCTION("""COMPUTED_VALUE"""),"TL")</f>
        <v>TL</v>
      </c>
      <c r="J4886" s="22"/>
      <c r="K4886" s="22" t="str">
        <f>IFERROR(__xludf.DUMMYFUNCTION("""COMPUTED_VALUE"""),"乙女チック")</f>
        <v>乙女チック</v>
      </c>
      <c r="L4886" s="22" t="str">
        <f>IFERROR(__xludf.DUMMYFUNCTION("""COMPUTED_VALUE"""),"CLLENN")</f>
        <v>CLLENN</v>
      </c>
      <c r="M4886" s="33">
        <f>IFERROR(__xludf.DUMMYFUNCTION("""COMPUTED_VALUE"""),46137.0)</f>
        <v>46137</v>
      </c>
      <c r="N4886" s="33">
        <f>IFERROR(__xludf.DUMMYFUNCTION("""COMPUTED_VALUE"""),46227.66666666667)</f>
        <v>46227.66667</v>
      </c>
      <c r="O4886" s="20"/>
      <c r="P4886" s="32" t="str">
        <f>IFERROR(__xludf.DUMMYFUNCTION("""COMPUTED_VALUE"""),"可")</f>
        <v>可</v>
      </c>
      <c r="Q4886" s="30"/>
      <c r="R4886" s="22" t="str">
        <f>IFERROR(__xludf.DUMMYFUNCTION("""COMPUTED_VALUE"""),"コミットOK")</f>
        <v>コミットOK</v>
      </c>
      <c r="S4886" s="22" t="str">
        <f>IFERROR(__xludf.DUMMYFUNCTION("""COMPUTED_VALUE"""),"20260317_CLLENN_うるわし初婚～純朴男子、獰猛な溺愛夫に成る～")</f>
        <v>20260317_CLLENN_うるわし初婚～純朴男子、獰猛な溺愛夫に成る～</v>
      </c>
      <c r="T4886" s="22" t="str">
        <f>IFERROR(__xludf.DUMMYFUNCTION("""COMPUTED_VALUE"""),"格納済み")</f>
        <v>格納済み</v>
      </c>
      <c r="U4886" s="9" t="str">
        <f>IFERROR(__xludf.DUMMYFUNCTION("""COMPUTED_VALUE"""),"Ⓒ柴寅・青井千寿/CLLENN")</f>
        <v>Ⓒ柴寅・青井千寿/CLLENN</v>
      </c>
      <c r="V4886" s="8"/>
      <c r="W4886" s="8"/>
      <c r="X4886" s="8" t="str">
        <f>IFERROR(__xludf.DUMMYFUNCTION("""COMPUTED_VALUE"""),"有")</f>
        <v>有</v>
      </c>
      <c r="Y4886" s="8" t="str">
        <f>IFERROR(__xludf.DUMMYFUNCTION("""COMPUTED_VALUE"""),"P10まで")</f>
        <v>P10まで</v>
      </c>
      <c r="Z4886" s="7"/>
      <c r="AA4886" s="7"/>
      <c r="AB4886" s="7"/>
    </row>
    <row r="4887" ht="15.75" customHeight="1">
      <c r="A4887" s="26">
        <f>IFERROR(__xludf.DUMMYFUNCTION("""COMPUTED_VALUE"""),7213.0)</f>
        <v>7213</v>
      </c>
      <c r="B4887" s="22" t="str">
        <f>IFERROR(__xludf.DUMMYFUNCTION("""COMPUTED_VALUE"""),"確定")</f>
        <v>確定</v>
      </c>
      <c r="C4887" s="28">
        <f>IFERROR(__xludf.DUMMYFUNCTION("""COMPUTED_VALUE"""),46037.0)</f>
        <v>46037</v>
      </c>
      <c r="D4887" s="28">
        <f>IFERROR(__xludf.DUMMYFUNCTION("""COMPUTED_VALUE"""),46099.0)</f>
        <v>46099</v>
      </c>
      <c r="E4887" s="26">
        <f>IFERROR(__xludf.DUMMYFUNCTION("""COMPUTED_VALUE"""),354780.0)</f>
        <v>354780</v>
      </c>
      <c r="F4887" s="22" t="str">
        <f>IFERROR(__xludf.DUMMYFUNCTION("""COMPUTED_VALUE"""),"皇帝陛下の寵愛は契約外につき～偽寵妃後宮奮闘記～　【連載版】")</f>
        <v>皇帝陛下の寵愛は契約外につき～偽寵妃後宮奮闘記～　【連載版】</v>
      </c>
      <c r="G4887" s="20" t="str">
        <f>IFERROR(__xludf.DUMMYFUNCTION("""COMPUTED_VALUE"""),"1～3")</f>
        <v>1～3</v>
      </c>
      <c r="H4887" s="22" t="str">
        <f>IFERROR(__xludf.DUMMYFUNCTION("""COMPUTED_VALUE"""),"漫画：隅川とおる、原作：若松だんご")</f>
        <v>漫画：隅川とおる、原作：若松だんご</v>
      </c>
      <c r="I4887" s="22" t="str">
        <f>IFERROR(__xludf.DUMMYFUNCTION("""COMPUTED_VALUE"""),"少女")</f>
        <v>少女</v>
      </c>
      <c r="J4887" s="22"/>
      <c r="K4887" s="22" t="str">
        <f>IFERROR(__xludf.DUMMYFUNCTION("""COMPUTED_VALUE"""),"comic LAKE")</f>
        <v>comic LAKE</v>
      </c>
      <c r="L4887" s="22" t="str">
        <f>IFERROR(__xludf.DUMMYFUNCTION("""COMPUTED_VALUE"""),"一迅社")</f>
        <v>一迅社</v>
      </c>
      <c r="M4887" s="33">
        <f>IFERROR(__xludf.DUMMYFUNCTION("""COMPUTED_VALUE"""),46129.0)</f>
        <v>46129</v>
      </c>
      <c r="N4887" s="33">
        <f>IFERROR(__xludf.DUMMYFUNCTION("""COMPUTED_VALUE"""),46191.0)</f>
        <v>46191</v>
      </c>
      <c r="O4887" s="20"/>
      <c r="P4887" s="32" t="str">
        <f>IFERROR(__xludf.DUMMYFUNCTION("""COMPUTED_VALUE"""),"否")</f>
        <v>否</v>
      </c>
      <c r="Q4887" s="30"/>
      <c r="R4887" s="22" t="str">
        <f>IFERROR(__xludf.DUMMYFUNCTION("""COMPUTED_VALUE"""),"コミットOK")</f>
        <v>コミットOK</v>
      </c>
      <c r="S4887" s="22" t="str">
        <f>IFERROR(__xludf.DUMMYFUNCTION("""COMPUTED_VALUE"""),"20260318_一迅社_皇帝陛下の寵愛は契約外につき～偽寵妃後宮奮闘記～")</f>
        <v>20260318_一迅社_皇帝陛下の寵愛は契約外につき～偽寵妃後宮奮闘記～</v>
      </c>
      <c r="T4887" s="22" t="str">
        <f>IFERROR(__xludf.DUMMYFUNCTION("""COMPUTED_VALUE"""),"格納済み")</f>
        <v>格納済み</v>
      </c>
      <c r="U4887" s="9" t="str">
        <f>IFERROR(__xludf.DUMMYFUNCTION("""COMPUTED_VALUE"""),"(C)若松だんご・隅川とおる／一迅社")</f>
        <v>(C)若松だんご・隅川とおる／一迅社</v>
      </c>
      <c r="V4887" s="8"/>
      <c r="W4887" s="8"/>
      <c r="X4887" s="8" t="str">
        <f>IFERROR(__xludf.DUMMYFUNCTION("""COMPUTED_VALUE"""),"有")</f>
        <v>有</v>
      </c>
      <c r="Y4887" s="8" t="str">
        <f>IFERROR(__xludf.DUMMYFUNCTION("""COMPUTED_VALUE"""),"P8まで")</f>
        <v>P8まで</v>
      </c>
      <c r="Z4887" s="7"/>
      <c r="AA4887" s="7"/>
      <c r="AB4887" s="7"/>
    </row>
    <row r="4888" ht="15.75" customHeight="1">
      <c r="A4888" s="26">
        <f>IFERROR(__xludf.DUMMYFUNCTION("""COMPUTED_VALUE"""),7261.0)</f>
        <v>7261</v>
      </c>
      <c r="B4888" s="22" t="str">
        <f>IFERROR(__xludf.DUMMYFUNCTION("""COMPUTED_VALUE"""),"確定")</f>
        <v>確定</v>
      </c>
      <c r="C4888" s="28">
        <f>IFERROR(__xludf.DUMMYFUNCTION("""COMPUTED_VALUE"""),46043.0)</f>
        <v>46043</v>
      </c>
      <c r="D4888" s="28">
        <f>IFERROR(__xludf.DUMMYFUNCTION("""COMPUTED_VALUE"""),46098.0)</f>
        <v>46098</v>
      </c>
      <c r="E4888" s="26">
        <f>IFERROR(__xludf.DUMMYFUNCTION("""COMPUTED_VALUE"""),356028.0)</f>
        <v>356028</v>
      </c>
      <c r="F4888" s="22" t="str">
        <f>IFERROR(__xludf.DUMMYFUNCTION("""COMPUTED_VALUE"""),"欠陥聖女ですが絶倫公爵にすがられています【タテヨミ】")</f>
        <v>欠陥聖女ですが絶倫公爵にすがられています【タテヨミ】</v>
      </c>
      <c r="G4888" s="220">
        <f>IFERROR(__xludf.DUMMYFUNCTION("""COMPUTED_VALUE"""),46034.0)</f>
        <v>46034</v>
      </c>
      <c r="H4888" s="22" t="str">
        <f>IFERROR(__xludf.DUMMYFUNCTION("""COMPUTED_VALUE"""),"森本イチカ,Plott")</f>
        <v>森本イチカ,Plott</v>
      </c>
      <c r="I4888" s="22" t="str">
        <f>IFERROR(__xludf.DUMMYFUNCTION("""COMPUTED_VALUE"""),"女性")</f>
        <v>女性</v>
      </c>
      <c r="J4888" s="22"/>
      <c r="K4888" s="22"/>
      <c r="L4888" s="22" t="str">
        <f>IFERROR(__xludf.DUMMYFUNCTION("""COMPUTED_VALUE"""),"weavin")</f>
        <v>weavin</v>
      </c>
      <c r="M4888" s="33">
        <f>IFERROR(__xludf.DUMMYFUNCTION("""COMPUTED_VALUE"""),46128.0)</f>
        <v>46128</v>
      </c>
      <c r="N4888" s="33">
        <f>IFERROR(__xludf.DUMMYFUNCTION("""COMPUTED_VALUE"""),46225.0)</f>
        <v>46225</v>
      </c>
      <c r="O4888" s="20"/>
      <c r="P4888" s="32" t="str">
        <f>IFERROR(__xludf.DUMMYFUNCTION("""COMPUTED_VALUE"""),"可")</f>
        <v>可</v>
      </c>
      <c r="Q4888" s="30"/>
      <c r="R4888" s="22" t="str">
        <f>IFERROR(__xludf.DUMMYFUNCTION("""COMPUTED_VALUE"""),"コミットOK")</f>
        <v>コミットOK</v>
      </c>
      <c r="S4888" s="22" t="str">
        <f>IFERROR(__xludf.DUMMYFUNCTION("""COMPUTED_VALUE"""),"20260317_weavin_欠陥聖女ですが絶倫公爵にすがられています_2")</f>
        <v>20260317_weavin_欠陥聖女ですが絶倫公爵にすがられています_2</v>
      </c>
      <c r="T4888" s="22" t="str">
        <f>IFERROR(__xludf.DUMMYFUNCTION("""COMPUTED_VALUE"""),"格納済み")</f>
        <v>格納済み</v>
      </c>
      <c r="U4888" s="9" t="str">
        <f>IFERROR(__xludf.DUMMYFUNCTION("""COMPUTED_VALUE"""),"(C)Plott Inc.／weavin")</f>
        <v>(C)Plott Inc.／weavin</v>
      </c>
      <c r="V4888" s="8"/>
      <c r="W4888" s="8"/>
      <c r="X4888" s="8" t="str">
        <f>IFERROR(__xludf.DUMMYFUNCTION("""COMPUTED_VALUE"""),"有")</f>
        <v>有</v>
      </c>
      <c r="Y4888" s="8" t="str">
        <f>IFERROR(__xludf.DUMMYFUNCTION("""COMPUTED_VALUE"""),"1~3巻無料")</f>
        <v>1~3巻無料</v>
      </c>
      <c r="Z4888" s="7"/>
      <c r="AA4888" s="7"/>
      <c r="AB4888" s="7"/>
    </row>
    <row r="4889" ht="15.75" customHeight="1">
      <c r="A4889" s="26">
        <f>IFERROR(__xludf.DUMMYFUNCTION("""COMPUTED_VALUE"""),7267.0)</f>
        <v>7267</v>
      </c>
      <c r="B4889" s="22" t="str">
        <f>IFERROR(__xludf.DUMMYFUNCTION("""COMPUTED_VALUE"""),"確定")</f>
        <v>確定</v>
      </c>
      <c r="C4889" s="28">
        <f>IFERROR(__xludf.DUMMYFUNCTION("""COMPUTED_VALUE"""),46043.0)</f>
        <v>46043</v>
      </c>
      <c r="D4889" s="28">
        <f>IFERROR(__xludf.DUMMYFUNCTION("""COMPUTED_VALUE"""),46099.0)</f>
        <v>46099</v>
      </c>
      <c r="E4889" s="26">
        <f>IFERROR(__xludf.DUMMYFUNCTION("""COMPUTED_VALUE"""),358101.0)</f>
        <v>358101</v>
      </c>
      <c r="F4889" s="22" t="str">
        <f>IFERROR(__xludf.DUMMYFUNCTION("""COMPUTED_VALUE"""),"限界ホストくんの好き堕ちセックスに抗えないっ")</f>
        <v>限界ホストくんの好き堕ちセックスに抗えないっ</v>
      </c>
      <c r="G4889" s="20">
        <f>IFERROR(__xludf.DUMMYFUNCTION("""COMPUTED_VALUE"""),1.0)</f>
        <v>1</v>
      </c>
      <c r="H4889" s="22" t="str">
        <f>IFERROR(__xludf.DUMMYFUNCTION("""COMPUTED_VALUE"""),"豆腐ピザ丸")</f>
        <v>豆腐ピザ丸</v>
      </c>
      <c r="I4889" s="22" t="str">
        <f>IFERROR(__xludf.DUMMYFUNCTION("""COMPUTED_VALUE"""),"TL")</f>
        <v>TL</v>
      </c>
      <c r="J4889" s="22"/>
      <c r="K4889" s="22" t="str">
        <f>IFERROR(__xludf.DUMMYFUNCTION("""COMPUTED_VALUE"""),"lou lou")</f>
        <v>lou lou</v>
      </c>
      <c r="L4889" s="22" t="str">
        <f>IFERROR(__xludf.DUMMYFUNCTION("""COMPUTED_VALUE"""),"渋谷六花舎")</f>
        <v>渋谷六花舎</v>
      </c>
      <c r="M4889" s="33">
        <f>IFERROR(__xludf.DUMMYFUNCTION("""COMPUTED_VALUE"""),46139.0)</f>
        <v>46139</v>
      </c>
      <c r="N4889" s="33">
        <f>IFERROR(__xludf.DUMMYFUNCTION("""COMPUTED_VALUE"""),46229.0)</f>
        <v>46229</v>
      </c>
      <c r="O4889" s="20"/>
      <c r="P4889" s="32" t="str">
        <f>IFERROR(__xludf.DUMMYFUNCTION("""COMPUTED_VALUE"""),"可")</f>
        <v>可</v>
      </c>
      <c r="Q4889" s="30" t="str">
        <f>IFERROR(__xludf.DUMMYFUNCTION("""COMPUTED_VALUE"""),"【アダルト作品扱い】")</f>
        <v>【アダルト作品扱い】</v>
      </c>
      <c r="R4889" s="22" t="str">
        <f>IFERROR(__xludf.DUMMYFUNCTION("""COMPUTED_VALUE"""),"コミットOK")</f>
        <v>コミットOK</v>
      </c>
      <c r="S4889" s="22" t="str">
        <f>IFERROR(__xludf.DUMMYFUNCTION("""COMPUTED_VALUE"""),"20260318_渋谷六花舎_限界ホストくんの好き堕ちセックスに抗えないっ")</f>
        <v>20260318_渋谷六花舎_限界ホストくんの好き堕ちセックスに抗えないっ</v>
      </c>
      <c r="T4889" s="22" t="str">
        <f>IFERROR(__xludf.DUMMYFUNCTION("""COMPUTED_VALUE"""),"格納済み")</f>
        <v>格納済み</v>
      </c>
      <c r="U4889" s="9" t="str">
        <f>IFERROR(__xludf.DUMMYFUNCTION("""COMPUTED_VALUE"""),"(c)豆腐ピザ丸/lou lou")</f>
        <v>(c)豆腐ピザ丸/lou lou</v>
      </c>
      <c r="V4889" s="8"/>
      <c r="W4889" s="8"/>
      <c r="X4889" s="8" t="str">
        <f>IFERROR(__xludf.DUMMYFUNCTION("""COMPUTED_VALUE"""),"有")</f>
        <v>有</v>
      </c>
      <c r="Y4889" s="8" t="str">
        <f>IFERROR(__xludf.DUMMYFUNCTION("""COMPUTED_VALUE"""),"2026/5/10まで1巻立ち読み増量(P13)")</f>
        <v>2026/5/10まで1巻立ち読み増量(P13)</v>
      </c>
      <c r="Z4889" s="7"/>
      <c r="AA4889" s="7"/>
      <c r="AB4889" s="7"/>
    </row>
    <row r="4890" ht="15.75" customHeight="1">
      <c r="A4890" s="26">
        <f>IFERROR(__xludf.DUMMYFUNCTION("""COMPUTED_VALUE"""),7297.0)</f>
        <v>7297</v>
      </c>
      <c r="B4890" s="22" t="str">
        <f>IFERROR(__xludf.DUMMYFUNCTION("""COMPUTED_VALUE"""),"確定")</f>
        <v>確定</v>
      </c>
      <c r="C4890" s="28">
        <f>IFERROR(__xludf.DUMMYFUNCTION("""COMPUTED_VALUE"""),46048.0)</f>
        <v>46048</v>
      </c>
      <c r="D4890" s="28">
        <f>IFERROR(__xludf.DUMMYFUNCTION("""COMPUTED_VALUE"""),46098.0)</f>
        <v>46098</v>
      </c>
      <c r="E4890" s="26">
        <f>IFERROR(__xludf.DUMMYFUNCTION("""COMPUTED_VALUE"""),355513.0)</f>
        <v>355513</v>
      </c>
      <c r="F4890" s="22" t="str">
        <f>IFERROR(__xludf.DUMMYFUNCTION("""COMPUTED_VALUE"""),"下ネタ言い合ってた友達同士の私たちが…一晩中えっちしてる【R版】")</f>
        <v>下ネタ言い合ってた友達同士の私たちが…一晩中えっちしてる【R版】</v>
      </c>
      <c r="G4890" s="20" t="str">
        <f>IFERROR(__xludf.DUMMYFUNCTION("""COMPUTED_VALUE"""),"1～3")</f>
        <v>1～3</v>
      </c>
      <c r="H4890" s="22" t="str">
        <f>IFERROR(__xludf.DUMMYFUNCTION("""COMPUTED_VALUE"""),"雄基はるの")</f>
        <v>雄基はるの</v>
      </c>
      <c r="I4890" s="22" t="str">
        <f>IFERROR(__xludf.DUMMYFUNCTION("""COMPUTED_VALUE"""),"アダルト")</f>
        <v>アダルト</v>
      </c>
      <c r="J4890" s="22"/>
      <c r="K4890" s="22" t="str">
        <f>IFERROR(__xludf.DUMMYFUNCTION("""COMPUTED_VALUE"""),"＠夜噺+")</f>
        <v>＠夜噺+</v>
      </c>
      <c r="L4890" s="22" t="str">
        <f>IFERROR(__xludf.DUMMYFUNCTION("""COMPUTED_VALUE"""),"DEEPER-ZERO")</f>
        <v>DEEPER-ZERO</v>
      </c>
      <c r="M4890" s="33">
        <f>IFERROR(__xludf.DUMMYFUNCTION("""COMPUTED_VALUE"""),46128.0)</f>
        <v>46128</v>
      </c>
      <c r="N4890" s="33">
        <f>IFERROR(__xludf.DUMMYFUNCTION("""COMPUTED_VALUE"""),46190.0)</f>
        <v>46190</v>
      </c>
      <c r="O4890" s="20"/>
      <c r="P4890" s="32" t="str">
        <f>IFERROR(__xludf.DUMMYFUNCTION("""COMPUTED_VALUE"""),"可")</f>
        <v>可</v>
      </c>
      <c r="Q4890" s="30"/>
      <c r="R4890" s="22" t="str">
        <f>IFERROR(__xludf.DUMMYFUNCTION("""COMPUTED_VALUE"""),"コミットOK")</f>
        <v>コミットOK</v>
      </c>
      <c r="S4890" s="22" t="str">
        <f>IFERROR(__xludf.DUMMYFUNCTION("""COMPUTED_VALUE"""),"20260311_DEEPER-ZERO_下ネタ言い合ってた友達同士の私たちが…一晩中えっちしてる【R版】")</f>
        <v>20260311_DEEPER-ZERO_下ネタ言い合ってた友達同士の私たちが…一晩中えっちしてる【R版】</v>
      </c>
      <c r="T4890" s="22" t="str">
        <f>IFERROR(__xludf.DUMMYFUNCTION("""COMPUTED_VALUE"""),"格納済み")</f>
        <v>格納済み</v>
      </c>
      <c r="U4890" s="9" t="str">
        <f>IFERROR(__xludf.DUMMYFUNCTION("""COMPUTED_VALUE"""),"Ⓒ雄基はるの/DEEPER-ZERO")</f>
        <v>Ⓒ雄基はるの/DEEPER-ZERO</v>
      </c>
      <c r="V4890" s="8"/>
      <c r="W4890" s="8"/>
      <c r="X4890" s="8" t="str">
        <f>IFERROR(__xludf.DUMMYFUNCTION("""COMPUTED_VALUE"""),"有")</f>
        <v>有</v>
      </c>
      <c r="Y4890" s="8" t="str">
        <f>IFERROR(__xludf.DUMMYFUNCTION("""COMPUTED_VALUE"""),"2026/4/29まで1巻無料")</f>
        <v>2026/4/29まで1巻無料</v>
      </c>
      <c r="Z4890" s="7"/>
      <c r="AA4890" s="7"/>
      <c r="AB4890" s="7"/>
    </row>
    <row r="4891" ht="15.75" customHeight="1">
      <c r="A4891" s="26">
        <f>IFERROR(__xludf.DUMMYFUNCTION("""COMPUTED_VALUE"""),7298.0)</f>
        <v>7298</v>
      </c>
      <c r="B4891" s="22" t="str">
        <f>IFERROR(__xludf.DUMMYFUNCTION("""COMPUTED_VALUE"""),"確定")</f>
        <v>確定</v>
      </c>
      <c r="C4891" s="28">
        <f>IFERROR(__xludf.DUMMYFUNCTION("""COMPUTED_VALUE"""),46048.0)</f>
        <v>46048</v>
      </c>
      <c r="D4891" s="28">
        <f>IFERROR(__xludf.DUMMYFUNCTION("""COMPUTED_VALUE"""),46098.0)</f>
        <v>46098</v>
      </c>
      <c r="E4891" s="26">
        <f>IFERROR(__xludf.DUMMYFUNCTION("""COMPUTED_VALUE"""),355510.0)</f>
        <v>355510</v>
      </c>
      <c r="F4891" s="22" t="str">
        <f>IFERROR(__xludf.DUMMYFUNCTION("""COMPUTED_VALUE"""),"下ネタ言い合ってた友達同士の私たちが…一晩中えっちしてる【TL版】")</f>
        <v>下ネタ言い合ってた友達同士の私たちが…一晩中えっちしてる【TL版】</v>
      </c>
      <c r="G4891" s="20" t="str">
        <f>IFERROR(__xludf.DUMMYFUNCTION("""COMPUTED_VALUE"""),"1～3")</f>
        <v>1～3</v>
      </c>
      <c r="H4891" s="22" t="str">
        <f>IFERROR(__xludf.DUMMYFUNCTION("""COMPUTED_VALUE"""),"雄基はるの")</f>
        <v>雄基はるの</v>
      </c>
      <c r="I4891" s="22" t="str">
        <f>IFERROR(__xludf.DUMMYFUNCTION("""COMPUTED_VALUE"""),"TL")</f>
        <v>TL</v>
      </c>
      <c r="J4891" s="22"/>
      <c r="K4891" s="22" t="str">
        <f>IFERROR(__xludf.DUMMYFUNCTION("""COMPUTED_VALUE"""),"＠夜噺")</f>
        <v>＠夜噺</v>
      </c>
      <c r="L4891" s="22" t="str">
        <f>IFERROR(__xludf.DUMMYFUNCTION("""COMPUTED_VALUE"""),"DEEPER-ZERO")</f>
        <v>DEEPER-ZERO</v>
      </c>
      <c r="M4891" s="33">
        <f>IFERROR(__xludf.DUMMYFUNCTION("""COMPUTED_VALUE"""),46128.0)</f>
        <v>46128</v>
      </c>
      <c r="N4891" s="33">
        <f>IFERROR(__xludf.DUMMYFUNCTION("""COMPUTED_VALUE"""),46190.0)</f>
        <v>46190</v>
      </c>
      <c r="O4891" s="20"/>
      <c r="P4891" s="32" t="str">
        <f>IFERROR(__xludf.DUMMYFUNCTION("""COMPUTED_VALUE"""),"可")</f>
        <v>可</v>
      </c>
      <c r="Q4891" s="30" t="str">
        <f>IFERROR(__xludf.DUMMYFUNCTION("""COMPUTED_VALUE"""),"【アダルト作品扱い】")</f>
        <v>【アダルト作品扱い】</v>
      </c>
      <c r="R4891" s="22" t="str">
        <f>IFERROR(__xludf.DUMMYFUNCTION("""COMPUTED_VALUE"""),"コミットNG")</f>
        <v>コミットNG</v>
      </c>
      <c r="S4891" s="22" t="str">
        <f>IFERROR(__xludf.DUMMYFUNCTION("""COMPUTED_VALUE"""),"20260311_DEEPER-ZERO_下ネタ言い合ってた友達同士の私たちが…一晩中えっちしてる【TL版】")</f>
        <v>20260311_DEEPER-ZERO_下ネタ言い合ってた友達同士の私たちが…一晩中えっちしてる【TL版】</v>
      </c>
      <c r="T4891" s="22" t="str">
        <f>IFERROR(__xludf.DUMMYFUNCTION("""COMPUTED_VALUE"""),"格納済み")</f>
        <v>格納済み</v>
      </c>
      <c r="U4891" s="9" t="str">
        <f>IFERROR(__xludf.DUMMYFUNCTION("""COMPUTED_VALUE"""),"Ⓒ雄基はるの/DEEPER-ZERO")</f>
        <v>Ⓒ雄基はるの/DEEPER-ZERO</v>
      </c>
      <c r="V4891" s="8"/>
      <c r="W4891" s="8"/>
      <c r="X4891" s="8" t="str">
        <f>IFERROR(__xludf.DUMMYFUNCTION("""COMPUTED_VALUE"""),"有")</f>
        <v>有</v>
      </c>
      <c r="Y4891" s="8" t="str">
        <f>IFERROR(__xludf.DUMMYFUNCTION("""COMPUTED_VALUE"""),"2026/4/29まで1巻無料")</f>
        <v>2026/4/29まで1巻無料</v>
      </c>
      <c r="Z4891" s="7"/>
      <c r="AA4891" s="7"/>
      <c r="AB4891" s="7"/>
    </row>
    <row r="4892" ht="15.75" customHeight="1">
      <c r="A4892" s="26">
        <f>IFERROR(__xludf.DUMMYFUNCTION("""COMPUTED_VALUE"""),7335.0)</f>
        <v>7335</v>
      </c>
      <c r="B4892" s="22" t="str">
        <f>IFERROR(__xludf.DUMMYFUNCTION("""COMPUTED_VALUE"""),"確定")</f>
        <v>確定</v>
      </c>
      <c r="C4892" s="28">
        <f>IFERROR(__xludf.DUMMYFUNCTION("""COMPUTED_VALUE"""),46051.0)</f>
        <v>46051</v>
      </c>
      <c r="D4892" s="28">
        <f>IFERROR(__xludf.DUMMYFUNCTION("""COMPUTED_VALUE"""),46094.0)</f>
        <v>46094</v>
      </c>
      <c r="E4892" s="26">
        <f>IFERROR(__xludf.DUMMYFUNCTION("""COMPUTED_VALUE"""),353575.0)</f>
        <v>353575</v>
      </c>
      <c r="F4892" s="22" t="str">
        <f>IFERROR(__xludf.DUMMYFUNCTION("""COMPUTED_VALUE"""),"女性不信執事を手懐けました《Lovelicot》")</f>
        <v>女性不信執事を手懐けました《Lovelicot》</v>
      </c>
      <c r="G4892" s="20" t="str">
        <f>IFERROR(__xludf.DUMMYFUNCTION("""COMPUTED_VALUE"""),"1～3")</f>
        <v>1～3</v>
      </c>
      <c r="H4892" s="22" t="str">
        <f>IFERROR(__xludf.DUMMYFUNCTION("""COMPUTED_VALUE"""),"星埜")</f>
        <v>星埜</v>
      </c>
      <c r="I4892" s="22" t="str">
        <f>IFERROR(__xludf.DUMMYFUNCTION("""COMPUTED_VALUE"""),"TL")</f>
        <v>TL</v>
      </c>
      <c r="J4892" s="22"/>
      <c r="K4892" s="22" t="str">
        <f>IFERROR(__xludf.DUMMYFUNCTION("""COMPUTED_VALUE"""),"Lovelicot")</f>
        <v>Lovelicot</v>
      </c>
      <c r="L4892" s="22" t="str">
        <f>IFERROR(__xludf.DUMMYFUNCTION("""COMPUTED_VALUE"""),"ガールスカウトコミックス")</f>
        <v>ガールスカウトコミックス</v>
      </c>
      <c r="M4892" s="33">
        <f>IFERROR(__xludf.DUMMYFUNCTION("""COMPUTED_VALUE"""),46124.0)</f>
        <v>46124</v>
      </c>
      <c r="N4892" s="33">
        <f>IFERROR(__xludf.DUMMYFUNCTION("""COMPUTED_VALUE"""),46214.0)</f>
        <v>46214</v>
      </c>
      <c r="O4892" s="20"/>
      <c r="P4892" s="32" t="str">
        <f>IFERROR(__xludf.DUMMYFUNCTION("""COMPUTED_VALUE"""),"可")</f>
        <v>可</v>
      </c>
      <c r="Q4892" s="30" t="str">
        <f>IFERROR(__xludf.DUMMYFUNCTION("""COMPUTED_VALUE"""),"【アダルト作品扱い】&lt;BR&gt;R版については3/11に共有済みです。")</f>
        <v>【アダルト作品扱い】&lt;BR&gt;R版については3/11に共有済みです。</v>
      </c>
      <c r="R4892" s="22" t="str">
        <f>IFERROR(__xludf.DUMMYFUNCTION("""COMPUTED_VALUE"""),"コミットNG")</f>
        <v>コミットNG</v>
      </c>
      <c r="S4892" s="22" t="str">
        <f>IFERROR(__xludf.DUMMYFUNCTION("""COMPUTED_VALUE"""),"20260311_ガールスカウトコミックス_女性不信執事を手懐けました《Lovelicot》")</f>
        <v>20260311_ガールスカウトコミックス_女性不信執事を手懐けました《Lovelicot》</v>
      </c>
      <c r="T4892" s="22" t="str">
        <f>IFERROR(__xludf.DUMMYFUNCTION("""COMPUTED_VALUE"""),"格納済み")</f>
        <v>格納済み</v>
      </c>
      <c r="U4892" s="9" t="str">
        <f>IFERROR(__xludf.DUMMYFUNCTION("""COMPUTED_VALUE"""),"(C)星埜／ガールスカウトコミックス")</f>
        <v>(C)星埜／ガールスカウトコミックス</v>
      </c>
      <c r="V4892" s="8"/>
      <c r="W4892" s="8"/>
      <c r="X4892" s="8" t="str">
        <f>IFERROR(__xludf.DUMMYFUNCTION("""COMPUTED_VALUE"""),"有")</f>
        <v>有</v>
      </c>
      <c r="Y4892" s="8" t="str">
        <f>IFERROR(__xludf.DUMMYFUNCTION("""COMPUTED_VALUE"""),"P10まで")</f>
        <v>P10まで</v>
      </c>
      <c r="Z4892" s="7"/>
      <c r="AA4892" s="7"/>
      <c r="AB4892" s="7"/>
    </row>
    <row r="4893" ht="15.75" customHeight="1">
      <c r="A4893" s="26">
        <f>IFERROR(__xludf.DUMMYFUNCTION("""COMPUTED_VALUE"""),7383.0)</f>
        <v>7383</v>
      </c>
      <c r="B4893" s="22" t="str">
        <f>IFERROR(__xludf.DUMMYFUNCTION("""COMPUTED_VALUE"""),"確定")</f>
        <v>確定</v>
      </c>
      <c r="C4893" s="28">
        <f>IFERROR(__xludf.DUMMYFUNCTION("""COMPUTED_VALUE"""),46058.0)</f>
        <v>46058</v>
      </c>
      <c r="D4893" s="28">
        <f>IFERROR(__xludf.DUMMYFUNCTION("""COMPUTED_VALUE"""),46099.0)</f>
        <v>46099</v>
      </c>
      <c r="E4893" s="26">
        <f>IFERROR(__xludf.DUMMYFUNCTION("""COMPUTED_VALUE"""),356022.0)</f>
        <v>356022</v>
      </c>
      <c r="F4893" s="22" t="str">
        <f>IFERROR(__xludf.DUMMYFUNCTION("""COMPUTED_VALUE"""),"アイシャの皇女【タテヨミ】")</f>
        <v>アイシャの皇女【タテヨミ】</v>
      </c>
      <c r="G4893" s="20" t="str">
        <f>IFERROR(__xludf.DUMMYFUNCTION("""COMPUTED_VALUE"""),"1～20")</f>
        <v>1～20</v>
      </c>
      <c r="H4893" s="22" t="str">
        <f>IFERROR(__xludf.DUMMYFUNCTION("""COMPUTED_VALUE"""),"Dalviang,Contents Lab. Blue TOKYO")</f>
        <v>Dalviang,Contents Lab. Blue TOKYO</v>
      </c>
      <c r="I4893" s="22" t="str">
        <f>IFERROR(__xludf.DUMMYFUNCTION("""COMPUTED_VALUE"""),"女性")</f>
        <v>女性</v>
      </c>
      <c r="J4893" s="22"/>
      <c r="K4893" s="22"/>
      <c r="L4893" s="22" t="str">
        <f>IFERROR(__xludf.DUMMYFUNCTION("""COMPUTED_VALUE"""),"weavin")</f>
        <v>weavin</v>
      </c>
      <c r="M4893" s="33">
        <f>IFERROR(__xludf.DUMMYFUNCTION("""COMPUTED_VALUE"""),46128.0)</f>
        <v>46128</v>
      </c>
      <c r="N4893" s="33">
        <f>IFERROR(__xludf.DUMMYFUNCTION("""COMPUTED_VALUE"""),46225.0)</f>
        <v>46225</v>
      </c>
      <c r="O4893" s="20"/>
      <c r="P4893" s="32" t="str">
        <f>IFERROR(__xludf.DUMMYFUNCTION("""COMPUTED_VALUE"""),"可")</f>
        <v>可</v>
      </c>
      <c r="Q4893" s="30"/>
      <c r="R4893" s="22" t="str">
        <f>IFERROR(__xludf.DUMMYFUNCTION("""COMPUTED_VALUE"""),"コミットOK")</f>
        <v>コミットOK</v>
      </c>
      <c r="S4893" s="22" t="str">
        <f>IFERROR(__xludf.DUMMYFUNCTION("""COMPUTED_VALUE"""),"20260316_weavin_アイシャの皇女")</f>
        <v>20260316_weavin_アイシャの皇女</v>
      </c>
      <c r="T4893" s="22" t="str">
        <f>IFERROR(__xludf.DUMMYFUNCTION("""COMPUTED_VALUE"""),"格納済み")</f>
        <v>格納済み</v>
      </c>
      <c r="U4893" s="9" t="str">
        <f>IFERROR(__xludf.DUMMYFUNCTION("""COMPUTED_VALUE"""),"ⓒDalviang/Contents Lab. Blue TOKYO/weavin")</f>
        <v>ⓒDalviang/Contents Lab. Blue TOKYO/weavin</v>
      </c>
      <c r="V4893" s="8"/>
      <c r="W4893" s="8"/>
      <c r="X4893" s="8" t="str">
        <f>IFERROR(__xludf.DUMMYFUNCTION("""COMPUTED_VALUE"""),"有")</f>
        <v>有</v>
      </c>
      <c r="Y4893" s="8" t="str">
        <f>IFERROR(__xludf.DUMMYFUNCTION("""COMPUTED_VALUE"""),"1~3巻無料")</f>
        <v>1~3巻無料</v>
      </c>
      <c r="Z4893" s="7"/>
      <c r="AA4893" s="7"/>
      <c r="AB4893" s="7"/>
    </row>
    <row r="4894" ht="15.75" customHeight="1">
      <c r="A4894" s="26">
        <f>IFERROR(__xludf.DUMMYFUNCTION("""COMPUTED_VALUE"""),7441.0)</f>
        <v>7441</v>
      </c>
      <c r="B4894" s="22" t="str">
        <f>IFERROR(__xludf.DUMMYFUNCTION("""COMPUTED_VALUE"""),"確定")</f>
        <v>確定</v>
      </c>
      <c r="C4894" s="28">
        <f>IFERROR(__xludf.DUMMYFUNCTION("""COMPUTED_VALUE"""),46066.0)</f>
        <v>46066</v>
      </c>
      <c r="D4894" s="28">
        <f>IFERROR(__xludf.DUMMYFUNCTION("""COMPUTED_VALUE"""),46092.0)</f>
        <v>46092</v>
      </c>
      <c r="E4894" s="26">
        <f>IFERROR(__xludf.DUMMYFUNCTION("""COMPUTED_VALUE"""),357678.0)</f>
        <v>357678</v>
      </c>
      <c r="F4894" s="22" t="str">
        <f>IFERROR(__xludf.DUMMYFUNCTION("""COMPUTED_VALUE"""),"救世の騎士姫　ファラン【マイクロ】")</f>
        <v>救世の騎士姫　ファラン【マイクロ】</v>
      </c>
      <c r="G4894" s="20" t="str">
        <f>IFERROR(__xludf.DUMMYFUNCTION("""COMPUTED_VALUE"""),"1～3")</f>
        <v>1～3</v>
      </c>
      <c r="H4894" s="22" t="str">
        <f>IFERROR(__xludf.DUMMYFUNCTION("""COMPUTED_VALUE"""),"上条あおい")</f>
        <v>上条あおい</v>
      </c>
      <c r="I4894" s="22" t="str">
        <f>IFERROR(__xludf.DUMMYFUNCTION("""COMPUTED_VALUE"""),"少女")</f>
        <v>少女</v>
      </c>
      <c r="J4894" s="22"/>
      <c r="K4894" s="22"/>
      <c r="L4894" s="22" t="str">
        <f>IFERROR(__xludf.DUMMYFUNCTION("""COMPUTED_VALUE"""),"小学館")</f>
        <v>小学館</v>
      </c>
      <c r="M4894" s="33">
        <f>IFERROR(__xludf.DUMMYFUNCTION("""COMPUTED_VALUE"""),46127.0)</f>
        <v>46127</v>
      </c>
      <c r="N4894" s="33">
        <f>IFERROR(__xludf.DUMMYFUNCTION("""COMPUTED_VALUE"""),46187.0)</f>
        <v>46187</v>
      </c>
      <c r="O4894" s="20"/>
      <c r="P4894" s="32" t="str">
        <f>IFERROR(__xludf.DUMMYFUNCTION("""COMPUTED_VALUE"""),"否")</f>
        <v>否</v>
      </c>
      <c r="Q4894" s="30" t="str">
        <f>IFERROR(__xludf.DUMMYFUNCTION("""COMPUTED_VALUE"""),"・コマ画像内のページ番号は削除OKです。&lt;BR&gt;※ページ番号以外は消さないようにお願いいたします。&lt;BR&gt;")</f>
        <v>・コマ画像内のページ番号は削除OKです。&lt;BR&gt;※ページ番号以外は消さないようにお願いいたします。&lt;BR&gt;</v>
      </c>
      <c r="R4894" s="22" t="str">
        <f>IFERROR(__xludf.DUMMYFUNCTION("""COMPUTED_VALUE"""),"コミットOK")</f>
        <v>コミットOK</v>
      </c>
      <c r="S4894" s="22" t="str">
        <f>IFERROR(__xludf.DUMMYFUNCTION("""COMPUTED_VALUE"""),"20260306_小学館_救世の騎士姫　ファラン【マイクロ】")</f>
        <v>20260306_小学館_救世の騎士姫　ファラン【マイクロ】</v>
      </c>
      <c r="T4894" s="22" t="str">
        <f>IFERROR(__xludf.DUMMYFUNCTION("""COMPUTED_VALUE"""),"格納済み")</f>
        <v>格納済み</v>
      </c>
      <c r="U4894" s="9" t="str">
        <f>IFERROR(__xludf.DUMMYFUNCTION("""COMPUTED_VALUE"""),"(C)上条あおい / 小学館")</f>
        <v>(C)上条あおい / 小学館</v>
      </c>
      <c r="V4894" s="8"/>
      <c r="W4894" s="8"/>
      <c r="X4894" s="8" t="str">
        <f>IFERROR(__xludf.DUMMYFUNCTION("""COMPUTED_VALUE"""),"有")</f>
        <v>有</v>
      </c>
      <c r="Y4894" s="8" t="str">
        <f>IFERROR(__xludf.DUMMYFUNCTION("""COMPUTED_VALUE"""),"2026/6/14まで1巻無料")</f>
        <v>2026/6/14まで1巻無料</v>
      </c>
      <c r="Z4894" s="7"/>
      <c r="AA4894" s="7"/>
      <c r="AB4894" s="7"/>
    </row>
    <row r="4895" ht="15.75" customHeight="1">
      <c r="A4895" s="26">
        <f>IFERROR(__xludf.DUMMYFUNCTION("""COMPUTED_VALUE"""),7501.0)</f>
        <v>7501</v>
      </c>
      <c r="B4895" s="22" t="str">
        <f>IFERROR(__xludf.DUMMYFUNCTION("""COMPUTED_VALUE"""),"確定")</f>
        <v>確定</v>
      </c>
      <c r="C4895" s="28">
        <f>IFERROR(__xludf.DUMMYFUNCTION("""COMPUTED_VALUE"""),46072.0)</f>
        <v>46072</v>
      </c>
      <c r="D4895" s="28">
        <f>IFERROR(__xludf.DUMMYFUNCTION("""COMPUTED_VALUE"""),46098.0)</f>
        <v>46098</v>
      </c>
      <c r="E4895" s="26">
        <f>IFERROR(__xludf.DUMMYFUNCTION("""COMPUTED_VALUE"""),355010.0)</f>
        <v>355010</v>
      </c>
      <c r="F4895" s="22" t="str">
        <f>IFERROR(__xludf.DUMMYFUNCTION("""COMPUTED_VALUE"""),"勇者そこに眠れ")</f>
        <v>勇者そこに眠れ</v>
      </c>
      <c r="G4895" s="20" t="str">
        <f>IFERROR(__xludf.DUMMYFUNCTION("""COMPUTED_VALUE"""),"1～6")</f>
        <v>1～6</v>
      </c>
      <c r="H4895" s="22" t="str">
        <f>IFERROR(__xludf.DUMMYFUNCTION("""COMPUTED_VALUE"""),"もんじ┴アンブル編集部")</f>
        <v>もんじ┴アンブル編集部</v>
      </c>
      <c r="I4895" s="22" t="str">
        <f>IFERROR(__xludf.DUMMYFUNCTION("""COMPUTED_VALUE"""),"青年")</f>
        <v>青年</v>
      </c>
      <c r="J4895" s="22"/>
      <c r="K4895" s="22" t="str">
        <f>IFERROR(__xludf.DUMMYFUNCTION("""COMPUTED_VALUE"""),"COMICアンブル")</f>
        <v>COMICアンブル</v>
      </c>
      <c r="L4895" s="22" t="str">
        <f>IFERROR(__xludf.DUMMYFUNCTION("""COMPUTED_VALUE"""),"ライブコミックス")</f>
        <v>ライブコミックス</v>
      </c>
      <c r="M4895" s="33">
        <f>IFERROR(__xludf.DUMMYFUNCTION("""COMPUTED_VALUE"""),46122.0)</f>
        <v>46122</v>
      </c>
      <c r="N4895" s="33">
        <f>IFERROR(__xludf.DUMMYFUNCTION("""COMPUTED_VALUE"""),46184.0)</f>
        <v>46184</v>
      </c>
      <c r="O4895" s="20"/>
      <c r="P4895" s="32" t="str">
        <f>IFERROR(__xludf.DUMMYFUNCTION("""COMPUTED_VALUE"""),"可")</f>
        <v>可</v>
      </c>
      <c r="Q4895" s="30"/>
      <c r="R4895" s="22" t="str">
        <f>IFERROR(__xludf.DUMMYFUNCTION("""COMPUTED_VALUE"""),"コミットOK")</f>
        <v>コミットOK</v>
      </c>
      <c r="S4895" s="22" t="str">
        <f>IFERROR(__xludf.DUMMYFUNCTION("""COMPUTED_VALUE"""),"20260313_BookLive_勇者そこに眠れ")</f>
        <v>20260313_BookLive_勇者そこに眠れ</v>
      </c>
      <c r="T4895" s="22" t="str">
        <f>IFERROR(__xludf.DUMMYFUNCTION("""COMPUTED_VALUE"""),"格納済み")</f>
        <v>格納済み</v>
      </c>
      <c r="U4895" s="9" t="str">
        <f>IFERROR(__xludf.DUMMYFUNCTION("""COMPUTED_VALUE"""),"(C)もんじ/ライブコミックス")</f>
        <v>(C)もんじ/ライブコミックス</v>
      </c>
      <c r="V4895" s="8"/>
      <c r="W4895" s="8"/>
      <c r="X4895" s="8" t="str">
        <f>IFERROR(__xludf.DUMMYFUNCTION("""COMPUTED_VALUE"""),"有")</f>
        <v>有</v>
      </c>
      <c r="Y4895" s="8" t="str">
        <f>IFERROR(__xludf.DUMMYFUNCTION("""COMPUTED_VALUE"""),"P13まで")</f>
        <v>P13まで</v>
      </c>
      <c r="Z4895" s="7"/>
      <c r="AA4895" s="7"/>
      <c r="AB4895" s="7"/>
    </row>
    <row r="4896" ht="15.75" customHeight="1">
      <c r="A4896" s="26">
        <f>IFERROR(__xludf.DUMMYFUNCTION("""COMPUTED_VALUE"""),7519.0)</f>
        <v>7519</v>
      </c>
      <c r="B4896" s="22" t="str">
        <f>IFERROR(__xludf.DUMMYFUNCTION("""COMPUTED_VALUE"""),"確定")</f>
        <v>確定</v>
      </c>
      <c r="C4896" s="28">
        <f>IFERROR(__xludf.DUMMYFUNCTION("""COMPUTED_VALUE"""),46078.0)</f>
        <v>46078</v>
      </c>
      <c r="D4896" s="28">
        <f>IFERROR(__xludf.DUMMYFUNCTION("""COMPUTED_VALUE"""),46099.0)</f>
        <v>46099</v>
      </c>
      <c r="E4896" s="26">
        <f>IFERROR(__xludf.DUMMYFUNCTION("""COMPUTED_VALUE"""),355989.0)</f>
        <v>355989</v>
      </c>
      <c r="F4896" s="22" t="str">
        <f>IFERROR(__xludf.DUMMYFUNCTION("""COMPUTED_VALUE"""),"成り上がり社長は、無敵の御曹司を落としたい")</f>
        <v>成り上がり社長は、無敵の御曹司を落としたい</v>
      </c>
      <c r="G4896" s="20" t="str">
        <f>IFERROR(__xludf.DUMMYFUNCTION("""COMPUTED_VALUE"""),"1～2")</f>
        <v>1～2</v>
      </c>
      <c r="H4896" s="22" t="str">
        <f>IFERROR(__xludf.DUMMYFUNCTION("""COMPUTED_VALUE"""),"藤永ジュン")</f>
        <v>藤永ジュン</v>
      </c>
      <c r="I4896" s="22" t="str">
        <f>IFERROR(__xludf.DUMMYFUNCTION("""COMPUTED_VALUE"""),"BL")</f>
        <v>BL</v>
      </c>
      <c r="J4896" s="22"/>
      <c r="K4896" s="22" t="str">
        <f>IFERROR(__xludf.DUMMYFUNCTION("""COMPUTED_VALUE"""),"NuPu")</f>
        <v>NuPu</v>
      </c>
      <c r="L4896" s="22" t="str">
        <f>IFERROR(__xludf.DUMMYFUNCTION("""COMPUTED_VALUE"""),"CLLENN")</f>
        <v>CLLENN</v>
      </c>
      <c r="M4896" s="33">
        <f>IFERROR(__xludf.DUMMYFUNCTION("""COMPUTED_VALUE"""),46128.0)</f>
        <v>46128</v>
      </c>
      <c r="N4896" s="33">
        <f>IFERROR(__xludf.DUMMYFUNCTION("""COMPUTED_VALUE"""),46190.0)</f>
        <v>46190</v>
      </c>
      <c r="O4896" s="20"/>
      <c r="P4896" s="32" t="str">
        <f>IFERROR(__xludf.DUMMYFUNCTION("""COMPUTED_VALUE"""),"可")</f>
        <v>可</v>
      </c>
      <c r="Q4896" s="30"/>
      <c r="R4896" s="22" t="str">
        <f>IFERROR(__xludf.DUMMYFUNCTION("""COMPUTED_VALUE"""),"コミットNG")</f>
        <v>コミットNG</v>
      </c>
      <c r="S4896" s="22" t="str">
        <f>IFERROR(__xludf.DUMMYFUNCTION("""COMPUTED_VALUE"""),"20260313_CLLENN_成り上がり社長は、無敵の御曹司を落としたい")</f>
        <v>20260313_CLLENN_成り上がり社長は、無敵の御曹司を落としたい</v>
      </c>
      <c r="T4896" s="22" t="str">
        <f>IFERROR(__xludf.DUMMYFUNCTION("""COMPUTED_VALUE"""),"格納済み")</f>
        <v>格納済み</v>
      </c>
      <c r="U4896" s="9" t="str">
        <f>IFERROR(__xludf.DUMMYFUNCTION("""COMPUTED_VALUE"""),"Ⓒ藤永ジュン/CLLENN")</f>
        <v>Ⓒ藤永ジュン/CLLENN</v>
      </c>
      <c r="V4896" s="8"/>
      <c r="W4896" s="8"/>
      <c r="X4896" s="8" t="str">
        <f>IFERROR(__xludf.DUMMYFUNCTION("""COMPUTED_VALUE"""),"有")</f>
        <v>有</v>
      </c>
      <c r="Y4896" s="8" t="str">
        <f>IFERROR(__xludf.DUMMYFUNCTION("""COMPUTED_VALUE"""),"P10まで")</f>
        <v>P10まで</v>
      </c>
      <c r="Z4896" s="7"/>
      <c r="AA4896" s="7"/>
      <c r="AB4896" s="7"/>
    </row>
    <row r="4897" ht="15.75" customHeight="1">
      <c r="A4897" s="26">
        <f>IFERROR(__xludf.DUMMYFUNCTION("""COMPUTED_VALUE"""),7559.0)</f>
        <v>7559</v>
      </c>
      <c r="B4897" s="22" t="str">
        <f>IFERROR(__xludf.DUMMYFUNCTION("""COMPUTED_VALUE"""),"確定")</f>
        <v>確定</v>
      </c>
      <c r="C4897" s="28">
        <f>IFERROR(__xludf.DUMMYFUNCTION("""COMPUTED_VALUE"""),46084.0)</f>
        <v>46084</v>
      </c>
      <c r="D4897" s="28">
        <f>IFERROR(__xludf.DUMMYFUNCTION("""COMPUTED_VALUE"""),46098.0)</f>
        <v>46098</v>
      </c>
      <c r="E4897" s="26">
        <f>IFERROR(__xludf.DUMMYFUNCTION("""COMPUTED_VALUE"""),356187.0)</f>
        <v>356187</v>
      </c>
      <c r="F4897" s="22" t="str">
        <f>IFERROR(__xludf.DUMMYFUNCTION("""COMPUTED_VALUE"""),"冷徹でドSな奴隷商のご主人様はなぜか私を売ろうとしない【R-18版】")</f>
        <v>冷徹でドSな奴隷商のご主人様はなぜか私を売ろうとしない【R-18版】</v>
      </c>
      <c r="G4897" s="20" t="str">
        <f>IFERROR(__xludf.DUMMYFUNCTION("""COMPUTED_VALUE"""),"1～3")</f>
        <v>1～3</v>
      </c>
      <c r="H4897" s="22" t="str">
        <f>IFERROR(__xludf.DUMMYFUNCTION("""COMPUTED_VALUE"""),"ガツ,なかむ楽")</f>
        <v>ガツ,なかむ楽</v>
      </c>
      <c r="I4897" s="22" t="str">
        <f>IFERROR(__xludf.DUMMYFUNCTION("""COMPUTED_VALUE"""),"アダルト")</f>
        <v>アダルト</v>
      </c>
      <c r="J4897" s="22"/>
      <c r="K4897" s="22" t="str">
        <f>IFERROR(__xludf.DUMMYFUNCTION("""COMPUTED_VALUE"""),"リベルタ")</f>
        <v>リベルタ</v>
      </c>
      <c r="L4897" s="22" t="str">
        <f>IFERROR(__xludf.DUMMYFUNCTION("""COMPUTED_VALUE"""),"ナンバーナイン")</f>
        <v>ナンバーナイン</v>
      </c>
      <c r="M4897" s="33">
        <f>IFERROR(__xludf.DUMMYFUNCTION("""COMPUTED_VALUE"""),46113.0)</f>
        <v>46113</v>
      </c>
      <c r="N4897" s="33">
        <f>IFERROR(__xludf.DUMMYFUNCTION("""COMPUTED_VALUE"""),46173.0)</f>
        <v>46173</v>
      </c>
      <c r="O4897" s="20"/>
      <c r="P4897" s="32" t="str">
        <f>IFERROR(__xludf.DUMMYFUNCTION("""COMPUTED_VALUE"""),"可")</f>
        <v>可</v>
      </c>
      <c r="Q4897" s="30" t="str">
        <f>IFERROR(__xludf.DUMMYFUNCTION("""COMPUTED_VALUE"""),"がるまに")</f>
        <v>がるまに</v>
      </c>
      <c r="R4897" s="22"/>
      <c r="S4897" s="22" t="str">
        <f>IFERROR(__xludf.DUMMYFUNCTION("""COMPUTED_VALUE"""),"20260316_ナンバーナイン_冷徹でドSな奴隷商のご主人様はなぜか私を売ろうとしない【R-18版】")</f>
        <v>20260316_ナンバーナイン_冷徹でドSな奴隷商のご主人様はなぜか私を売ろうとしない【R-18版】</v>
      </c>
      <c r="T4897" s="22" t="str">
        <f>IFERROR(__xludf.DUMMYFUNCTION("""COMPUTED_VALUE"""),"格納済み")</f>
        <v>格納済み</v>
      </c>
      <c r="U4897" s="9" t="str">
        <f>IFERROR(__xludf.DUMMYFUNCTION("""COMPUTED_VALUE"""),"(C)リベルタ／ナンバーナイン")</f>
        <v>(C)リベルタ／ナンバーナイン</v>
      </c>
      <c r="V4897" s="8"/>
      <c r="W4897" s="8"/>
      <c r="X4897" s="8" t="str">
        <f>IFERROR(__xludf.DUMMYFUNCTION("""COMPUTED_VALUE"""),"有")</f>
        <v>有</v>
      </c>
      <c r="Y4897" s="8" t="str">
        <f>IFERROR(__xludf.DUMMYFUNCTION("""COMPUTED_VALUE"""),"P7まで")</f>
        <v>P7まで</v>
      </c>
      <c r="Z4897" s="7"/>
      <c r="AA4897" s="7"/>
      <c r="AB4897" s="7"/>
    </row>
    <row r="4898" ht="15.75" customHeight="1">
      <c r="A4898" s="26">
        <f>IFERROR(__xludf.DUMMYFUNCTION("""COMPUTED_VALUE"""),7560.0)</f>
        <v>7560</v>
      </c>
      <c r="B4898" s="22" t="str">
        <f>IFERROR(__xludf.DUMMYFUNCTION("""COMPUTED_VALUE"""),"確定")</f>
        <v>確定</v>
      </c>
      <c r="C4898" s="28">
        <f>IFERROR(__xludf.DUMMYFUNCTION("""COMPUTED_VALUE"""),46084.0)</f>
        <v>46084</v>
      </c>
      <c r="D4898" s="28">
        <f>IFERROR(__xludf.DUMMYFUNCTION("""COMPUTED_VALUE"""),46098.0)</f>
        <v>46098</v>
      </c>
      <c r="E4898" s="26">
        <f>IFERROR(__xludf.DUMMYFUNCTION("""COMPUTED_VALUE"""),356193.0)</f>
        <v>356193</v>
      </c>
      <c r="F4898" s="22" t="str">
        <f>IFERROR(__xludf.DUMMYFUNCTION("""COMPUTED_VALUE"""),"支配系サイコパス拓真くんの洗脳セックスに壊されるまで【R-18版】")</f>
        <v>支配系サイコパス拓真くんの洗脳セックスに壊されるまで【R-18版】</v>
      </c>
      <c r="G4898" s="20" t="str">
        <f>IFERROR(__xludf.DUMMYFUNCTION("""COMPUTED_VALUE"""),"1～3")</f>
        <v>1～3</v>
      </c>
      <c r="H4898" s="22" t="str">
        <f>IFERROR(__xludf.DUMMYFUNCTION("""COMPUTED_VALUE"""),"やさい,七原みさ")</f>
        <v>やさい,七原みさ</v>
      </c>
      <c r="I4898" s="22" t="str">
        <f>IFERROR(__xludf.DUMMYFUNCTION("""COMPUTED_VALUE"""),"アダルトマンガ")</f>
        <v>アダルトマンガ</v>
      </c>
      <c r="J4898" s="22"/>
      <c r="K4898" s="22" t="str">
        <f>IFERROR(__xludf.DUMMYFUNCTION("""COMPUTED_VALUE"""),"リベルタ")</f>
        <v>リベルタ</v>
      </c>
      <c r="L4898" s="22" t="str">
        <f>IFERROR(__xludf.DUMMYFUNCTION("""COMPUTED_VALUE"""),"ナンバーナイン")</f>
        <v>ナンバーナイン</v>
      </c>
      <c r="M4898" s="33">
        <f>IFERROR(__xludf.DUMMYFUNCTION("""COMPUTED_VALUE"""),46113.0)</f>
        <v>46113</v>
      </c>
      <c r="N4898" s="33">
        <f>IFERROR(__xludf.DUMMYFUNCTION("""COMPUTED_VALUE"""),46173.0)</f>
        <v>46173</v>
      </c>
      <c r="O4898" s="20"/>
      <c r="P4898" s="32" t="str">
        <f>IFERROR(__xludf.DUMMYFUNCTION("""COMPUTED_VALUE"""),"可")</f>
        <v>可</v>
      </c>
      <c r="Q4898" s="30" t="str">
        <f>IFERROR(__xludf.DUMMYFUNCTION("""COMPUTED_VALUE"""),"がるまに")</f>
        <v>がるまに</v>
      </c>
      <c r="R4898" s="22"/>
      <c r="S4898" s="22" t="str">
        <f>IFERROR(__xludf.DUMMYFUNCTION("""COMPUTED_VALUE"""),"20260316_ナンバーナイン_支配系サイコパス拓真くんの洗脳セックスに壊されるまで【R-18版】")</f>
        <v>20260316_ナンバーナイン_支配系サイコパス拓真くんの洗脳セックスに壊されるまで【R-18版】</v>
      </c>
      <c r="T4898" s="22" t="str">
        <f>IFERROR(__xludf.DUMMYFUNCTION("""COMPUTED_VALUE"""),"格納済み")</f>
        <v>格納済み</v>
      </c>
      <c r="U4898" s="9" t="str">
        <f>IFERROR(__xludf.DUMMYFUNCTION("""COMPUTED_VALUE"""),"(C)リベルタ／ナンバーナイン")</f>
        <v>(C)リベルタ／ナンバーナイン</v>
      </c>
      <c r="V4898" s="8"/>
      <c r="W4898" s="8"/>
      <c r="X4898" s="8" t="str">
        <f>IFERROR(__xludf.DUMMYFUNCTION("""COMPUTED_VALUE"""),"有")</f>
        <v>有</v>
      </c>
      <c r="Y4898" s="8" t="str">
        <f>IFERROR(__xludf.DUMMYFUNCTION("""COMPUTED_VALUE"""),"2026/4/15まで1巻無料")</f>
        <v>2026/4/15まで1巻無料</v>
      </c>
      <c r="Z4898" s="7"/>
      <c r="AA4898" s="7"/>
      <c r="AB4898" s="7"/>
    </row>
    <row r="4899" ht="15.75" customHeight="1">
      <c r="A4899" s="26">
        <f>IFERROR(__xludf.DUMMYFUNCTION("""COMPUTED_VALUE"""),7561.0)</f>
        <v>7561</v>
      </c>
      <c r="B4899" s="22" t="str">
        <f>IFERROR(__xludf.DUMMYFUNCTION("""COMPUTED_VALUE"""),"確定")</f>
        <v>確定</v>
      </c>
      <c r="C4899" s="28">
        <f>IFERROR(__xludf.DUMMYFUNCTION("""COMPUTED_VALUE"""),46084.0)</f>
        <v>46084</v>
      </c>
      <c r="D4899" s="28">
        <f>IFERROR(__xludf.DUMMYFUNCTION("""COMPUTED_VALUE"""),46098.0)</f>
        <v>46098</v>
      </c>
      <c r="E4899" s="26">
        <f>IFERROR(__xludf.DUMMYFUNCTION("""COMPUTED_VALUE"""),356190.0)</f>
        <v>356190</v>
      </c>
      <c r="F4899" s="22" t="str">
        <f>IFERROR(__xludf.DUMMYFUNCTION("""COMPUTED_VALUE"""),"凛くんの黒い部屋～私をいじめてたやつらが全員死んだ～【R-18版】")</f>
        <v>凛くんの黒い部屋～私をいじめてたやつらが全員死んだ～【R-18版】</v>
      </c>
      <c r="G4899" s="20" t="str">
        <f>IFERROR(__xludf.DUMMYFUNCTION("""COMPUTED_VALUE"""),"1～3")</f>
        <v>1～3</v>
      </c>
      <c r="H4899" s="22" t="str">
        <f>IFERROR(__xludf.DUMMYFUNCTION("""COMPUTED_VALUE"""),"ごい,ねこまたみさ,星埜いろ")</f>
        <v>ごい,ねこまたみさ,星埜いろ</v>
      </c>
      <c r="I4899" s="22" t="str">
        <f>IFERROR(__xludf.DUMMYFUNCTION("""COMPUTED_VALUE"""),"アダルトマンガ")</f>
        <v>アダルトマンガ</v>
      </c>
      <c r="J4899" s="22"/>
      <c r="K4899" s="22" t="str">
        <f>IFERROR(__xludf.DUMMYFUNCTION("""COMPUTED_VALUE"""),"リベルタ")</f>
        <v>リベルタ</v>
      </c>
      <c r="L4899" s="22" t="str">
        <f>IFERROR(__xludf.DUMMYFUNCTION("""COMPUTED_VALUE"""),"ナンバーナイン")</f>
        <v>ナンバーナイン</v>
      </c>
      <c r="M4899" s="33">
        <f>IFERROR(__xludf.DUMMYFUNCTION("""COMPUTED_VALUE"""),46113.0)</f>
        <v>46113</v>
      </c>
      <c r="N4899" s="33">
        <f>IFERROR(__xludf.DUMMYFUNCTION("""COMPUTED_VALUE"""),46173.0)</f>
        <v>46173</v>
      </c>
      <c r="O4899" s="20"/>
      <c r="P4899" s="32" t="str">
        <f>IFERROR(__xludf.DUMMYFUNCTION("""COMPUTED_VALUE"""),"可")</f>
        <v>可</v>
      </c>
      <c r="Q4899" s="30" t="str">
        <f>IFERROR(__xludf.DUMMYFUNCTION("""COMPUTED_VALUE"""),"がるまに")</f>
        <v>がるまに</v>
      </c>
      <c r="R4899" s="22"/>
      <c r="S4899" s="22" t="str">
        <f>IFERROR(__xludf.DUMMYFUNCTION("""COMPUTED_VALUE"""),"20260316_ナンバーナイン_凛くんの黒い部屋～私をいじめてたやつらが全員死んだ～【R-18版】")</f>
        <v>20260316_ナンバーナイン_凛くんの黒い部屋～私をいじめてたやつらが全員死んだ～【R-18版】</v>
      </c>
      <c r="T4899" s="22" t="str">
        <f>IFERROR(__xludf.DUMMYFUNCTION("""COMPUTED_VALUE"""),"格納済み")</f>
        <v>格納済み</v>
      </c>
      <c r="U4899" s="9" t="str">
        <f>IFERROR(__xludf.DUMMYFUNCTION("""COMPUTED_VALUE"""),"(C)リベルタ／ナンバーナイン")</f>
        <v>(C)リベルタ／ナンバーナイン</v>
      </c>
      <c r="V4899" s="8"/>
      <c r="W4899" s="8"/>
      <c r="X4899" s="8" t="str">
        <f>IFERROR(__xludf.DUMMYFUNCTION("""COMPUTED_VALUE"""),"有")</f>
        <v>有</v>
      </c>
      <c r="Y4899" s="8" t="str">
        <f>IFERROR(__xludf.DUMMYFUNCTION("""COMPUTED_VALUE"""),"2026/4/15まで1巻無料")</f>
        <v>2026/4/15まで1巻無料</v>
      </c>
      <c r="Z4899" s="7"/>
      <c r="AA4899" s="7"/>
      <c r="AB4899" s="7"/>
    </row>
    <row r="4900" ht="15.75" customHeight="1">
      <c r="A4900" s="26">
        <f>IFERROR(__xludf.DUMMYFUNCTION("""COMPUTED_VALUE"""),7562.0)</f>
        <v>7562</v>
      </c>
      <c r="B4900" s="22" t="str">
        <f>IFERROR(__xludf.DUMMYFUNCTION("""COMPUTED_VALUE"""),"確定")</f>
        <v>確定</v>
      </c>
      <c r="C4900" s="28">
        <f>IFERROR(__xludf.DUMMYFUNCTION("""COMPUTED_VALUE"""),46084.0)</f>
        <v>46084</v>
      </c>
      <c r="D4900" s="28">
        <f>IFERROR(__xludf.DUMMYFUNCTION("""COMPUTED_VALUE"""),46098.0)</f>
        <v>46098</v>
      </c>
      <c r="E4900" s="26">
        <f>IFERROR(__xludf.DUMMYFUNCTION("""COMPUTED_VALUE"""),356194.0)</f>
        <v>356194</v>
      </c>
      <c r="F4900" s="22" t="str">
        <f>IFERROR(__xludf.DUMMYFUNCTION("""COMPUTED_VALUE"""),"藤嶌家の淫宴～私のカラダでしか味がしない旦那様たちの恍惚絶頂マジ嬲り～【R-18版】")</f>
        <v>藤嶌家の淫宴～私のカラダでしか味がしない旦那様たちの恍惚絶頂マジ嬲り～【R-18版】</v>
      </c>
      <c r="G4900" s="20" t="str">
        <f>IFERROR(__xludf.DUMMYFUNCTION("""COMPUTED_VALUE"""),"1～3")</f>
        <v>1～3</v>
      </c>
      <c r="H4900" s="22" t="str">
        <f>IFERROR(__xludf.DUMMYFUNCTION("""COMPUTED_VALUE"""),"じんにくれーちぇ,さくら蒼")</f>
        <v>じんにくれーちぇ,さくら蒼</v>
      </c>
      <c r="I4900" s="22" t="str">
        <f>IFERROR(__xludf.DUMMYFUNCTION("""COMPUTED_VALUE"""),"アダルトマンガ")</f>
        <v>アダルトマンガ</v>
      </c>
      <c r="J4900" s="22"/>
      <c r="K4900" s="22" t="str">
        <f>IFERROR(__xludf.DUMMYFUNCTION("""COMPUTED_VALUE"""),"リベルタ")</f>
        <v>リベルタ</v>
      </c>
      <c r="L4900" s="22" t="str">
        <f>IFERROR(__xludf.DUMMYFUNCTION("""COMPUTED_VALUE"""),"ナンバーナイン")</f>
        <v>ナンバーナイン</v>
      </c>
      <c r="M4900" s="33">
        <f>IFERROR(__xludf.DUMMYFUNCTION("""COMPUTED_VALUE"""),46113.0)</f>
        <v>46113</v>
      </c>
      <c r="N4900" s="33">
        <f>IFERROR(__xludf.DUMMYFUNCTION("""COMPUTED_VALUE"""),46173.0)</f>
        <v>46173</v>
      </c>
      <c r="O4900" s="20"/>
      <c r="P4900" s="32" t="str">
        <f>IFERROR(__xludf.DUMMYFUNCTION("""COMPUTED_VALUE"""),"可")</f>
        <v>可</v>
      </c>
      <c r="Q4900" s="30" t="str">
        <f>IFERROR(__xludf.DUMMYFUNCTION("""COMPUTED_VALUE"""),"がるまに")</f>
        <v>がるまに</v>
      </c>
      <c r="R4900" s="22"/>
      <c r="S4900" s="22" t="str">
        <f>IFERROR(__xludf.DUMMYFUNCTION("""COMPUTED_VALUE"""),"20260316_ナンバーナイン_藤嶌家の淫宴～私のカラダでしか味がしない旦那様たちの恍惚絶頂マジ嬲り～【R-18版】")</f>
        <v>20260316_ナンバーナイン_藤嶌家の淫宴～私のカラダでしか味がしない旦那様たちの恍惚絶頂マジ嬲り～【R-18版】</v>
      </c>
      <c r="T4900" s="22" t="str">
        <f>IFERROR(__xludf.DUMMYFUNCTION("""COMPUTED_VALUE"""),"格納済み")</f>
        <v>格納済み</v>
      </c>
      <c r="U4900" s="9" t="str">
        <f>IFERROR(__xludf.DUMMYFUNCTION("""COMPUTED_VALUE"""),"(C)リベルタ／ナンバーナイン")</f>
        <v>(C)リベルタ／ナンバーナイン</v>
      </c>
      <c r="V4900" s="8"/>
      <c r="W4900" s="8"/>
      <c r="X4900" s="8" t="str">
        <f>IFERROR(__xludf.DUMMYFUNCTION("""COMPUTED_VALUE"""),"有")</f>
        <v>有</v>
      </c>
      <c r="Y4900" s="8" t="str">
        <f>IFERROR(__xludf.DUMMYFUNCTION("""COMPUTED_VALUE"""),"2026/4/15まで1巻無料")</f>
        <v>2026/4/15まで1巻無料</v>
      </c>
      <c r="Z4900" s="7"/>
      <c r="AA4900" s="7"/>
      <c r="AB4900" s="7"/>
    </row>
    <row r="4901" ht="15.75" customHeight="1">
      <c r="A4901" s="26">
        <f>IFERROR(__xludf.DUMMYFUNCTION("""COMPUTED_VALUE"""),7563.0)</f>
        <v>7563</v>
      </c>
      <c r="B4901" s="22" t="str">
        <f>IFERROR(__xludf.DUMMYFUNCTION("""COMPUTED_VALUE"""),"確定")</f>
        <v>確定</v>
      </c>
      <c r="C4901" s="28">
        <f>IFERROR(__xludf.DUMMYFUNCTION("""COMPUTED_VALUE"""),46084.0)</f>
        <v>46084</v>
      </c>
      <c r="D4901" s="28">
        <f>IFERROR(__xludf.DUMMYFUNCTION("""COMPUTED_VALUE"""),46098.0)</f>
        <v>46098</v>
      </c>
      <c r="E4901" s="26">
        <f>IFERROR(__xludf.DUMMYFUNCTION("""COMPUTED_VALUE"""),356185.0)</f>
        <v>356185</v>
      </c>
      <c r="F4901" s="22" t="str">
        <f>IFERROR(__xludf.DUMMYFUNCTION("""COMPUTED_VALUE"""),"Deadly Drip～激重で病的で責めがうまい殺し屋の相棒が私を死ぬほど犯してくる～【R-18版】")</f>
        <v>Deadly Drip～激重で病的で責めがうまい殺し屋の相棒が私を死ぬほど犯してくる～【R-18版】</v>
      </c>
      <c r="G4901" s="20" t="str">
        <f>IFERROR(__xludf.DUMMYFUNCTION("""COMPUTED_VALUE"""),"1～3")</f>
        <v>1～3</v>
      </c>
      <c r="H4901" s="22" t="str">
        <f>IFERROR(__xludf.DUMMYFUNCTION("""COMPUTED_VALUE"""),"兄咲ねも,冬冬")</f>
        <v>兄咲ねも,冬冬</v>
      </c>
      <c r="I4901" s="22" t="str">
        <f>IFERROR(__xludf.DUMMYFUNCTION("""COMPUTED_VALUE"""),"アダルトマンガ")</f>
        <v>アダルトマンガ</v>
      </c>
      <c r="J4901" s="22"/>
      <c r="K4901" s="22" t="str">
        <f>IFERROR(__xludf.DUMMYFUNCTION("""COMPUTED_VALUE"""),"リベルタ")</f>
        <v>リベルタ</v>
      </c>
      <c r="L4901" s="22" t="str">
        <f>IFERROR(__xludf.DUMMYFUNCTION("""COMPUTED_VALUE"""),"ナンバーナイン")</f>
        <v>ナンバーナイン</v>
      </c>
      <c r="M4901" s="33">
        <f>IFERROR(__xludf.DUMMYFUNCTION("""COMPUTED_VALUE"""),46113.0)</f>
        <v>46113</v>
      </c>
      <c r="N4901" s="33">
        <f>IFERROR(__xludf.DUMMYFUNCTION("""COMPUTED_VALUE"""),46173.0)</f>
        <v>46173</v>
      </c>
      <c r="O4901" s="20"/>
      <c r="P4901" s="32" t="str">
        <f>IFERROR(__xludf.DUMMYFUNCTION("""COMPUTED_VALUE"""),"可")</f>
        <v>可</v>
      </c>
      <c r="Q4901" s="30" t="str">
        <f>IFERROR(__xludf.DUMMYFUNCTION("""COMPUTED_VALUE"""),"がるまに")</f>
        <v>がるまに</v>
      </c>
      <c r="R4901" s="22"/>
      <c r="S4901" s="22" t="str">
        <f>IFERROR(__xludf.DUMMYFUNCTION("""COMPUTED_VALUE"""),"20260316_ナンバーナイン_Deadly Drip～激重で病的で責めがうまい殺し屋の相棒が私を死ぬほど犯してくる～【R-18版】")</f>
        <v>20260316_ナンバーナイン_Deadly Drip～激重で病的で責めがうまい殺し屋の相棒が私を死ぬほど犯してくる～【R-18版】</v>
      </c>
      <c r="T4901" s="22" t="str">
        <f>IFERROR(__xludf.DUMMYFUNCTION("""COMPUTED_VALUE"""),"格納済み")</f>
        <v>格納済み</v>
      </c>
      <c r="U4901" s="9" t="str">
        <f>IFERROR(__xludf.DUMMYFUNCTION("""COMPUTED_VALUE"""),"(C)リベルタ／ナンバーナイン")</f>
        <v>(C)リベルタ／ナンバーナイン</v>
      </c>
      <c r="V4901" s="8"/>
      <c r="W4901" s="8"/>
      <c r="X4901" s="8" t="str">
        <f>IFERROR(__xludf.DUMMYFUNCTION("""COMPUTED_VALUE"""),"有")</f>
        <v>有</v>
      </c>
      <c r="Y4901" s="8" t="str">
        <f>IFERROR(__xludf.DUMMYFUNCTION("""COMPUTED_VALUE"""),"2026/4/15まで1巻無料")</f>
        <v>2026/4/15まで1巻無料</v>
      </c>
      <c r="Z4901" s="7"/>
      <c r="AA4901" s="7"/>
      <c r="AB4901" s="7"/>
    </row>
    <row r="4902" ht="15.75" customHeight="1">
      <c r="A4902" s="26">
        <f>IFERROR(__xludf.DUMMYFUNCTION("""COMPUTED_VALUE"""),7564.0)</f>
        <v>7564</v>
      </c>
      <c r="B4902" s="22" t="str">
        <f>IFERROR(__xludf.DUMMYFUNCTION("""COMPUTED_VALUE"""),"確定")</f>
        <v>確定</v>
      </c>
      <c r="C4902" s="28">
        <f>IFERROR(__xludf.DUMMYFUNCTION("""COMPUTED_VALUE"""),46084.0)</f>
        <v>46084</v>
      </c>
      <c r="D4902" s="28">
        <f>IFERROR(__xludf.DUMMYFUNCTION("""COMPUTED_VALUE"""),46099.0)</f>
        <v>46099</v>
      </c>
      <c r="E4902" s="26">
        <f>IFERROR(__xludf.DUMMYFUNCTION("""COMPUTED_VALUE"""),356186.0)</f>
        <v>356186</v>
      </c>
      <c r="F4902" s="22" t="str">
        <f>IFERROR(__xludf.DUMMYFUNCTION("""COMPUTED_VALUE"""),"催淫密室にドジって入って即エッチ♡女騎士の私が闇組織に堕ちた幼馴染にねっとりクリ責めされて職務放棄するまで【R-18版】")</f>
        <v>催淫密室にドジって入って即エッチ♡女騎士の私が闇組織に堕ちた幼馴染にねっとりクリ責めされて職務放棄するまで【R-18版】</v>
      </c>
      <c r="G4902" s="20" t="str">
        <f>IFERROR(__xludf.DUMMYFUNCTION("""COMPUTED_VALUE"""),"1～3")</f>
        <v>1～3</v>
      </c>
      <c r="H4902" s="22" t="str">
        <f>IFERROR(__xludf.DUMMYFUNCTION("""COMPUTED_VALUE"""),"たかぶち,春瀬湖子")</f>
        <v>たかぶち,春瀬湖子</v>
      </c>
      <c r="I4902" s="22" t="str">
        <f>IFERROR(__xludf.DUMMYFUNCTION("""COMPUTED_VALUE"""),"アダルトマンガ")</f>
        <v>アダルトマンガ</v>
      </c>
      <c r="J4902" s="22"/>
      <c r="K4902" s="22" t="str">
        <f>IFERROR(__xludf.DUMMYFUNCTION("""COMPUTED_VALUE"""),"リベルタ")</f>
        <v>リベルタ</v>
      </c>
      <c r="L4902" s="22" t="str">
        <f>IFERROR(__xludf.DUMMYFUNCTION("""COMPUTED_VALUE"""),"ナンバーナイン")</f>
        <v>ナンバーナイン</v>
      </c>
      <c r="M4902" s="33">
        <f>IFERROR(__xludf.DUMMYFUNCTION("""COMPUTED_VALUE"""),46113.0)</f>
        <v>46113</v>
      </c>
      <c r="N4902" s="33">
        <f>IFERROR(__xludf.DUMMYFUNCTION("""COMPUTED_VALUE"""),46173.0)</f>
        <v>46173</v>
      </c>
      <c r="O4902" s="20"/>
      <c r="P4902" s="32" t="str">
        <f>IFERROR(__xludf.DUMMYFUNCTION("""COMPUTED_VALUE"""),"可")</f>
        <v>可</v>
      </c>
      <c r="Q4902" s="30" t="str">
        <f>IFERROR(__xludf.DUMMYFUNCTION("""COMPUTED_VALUE"""),"がるまに")</f>
        <v>がるまに</v>
      </c>
      <c r="R4902" s="22"/>
      <c r="S4902" s="22" t="str">
        <f>IFERROR(__xludf.DUMMYFUNCTION("""COMPUTED_VALUE"""),"20260316_ナンバーナイン_催淫密室にドジって入って即エッチ♡女騎士の私が闇組織に堕ちた幼馴染にねっとりクリ責めされて職務放棄するまで【R-18版】")</f>
        <v>20260316_ナンバーナイン_催淫密室にドジって入って即エッチ♡女騎士の私が闇組織に堕ちた幼馴染にねっとりクリ責めされて職務放棄するまで【R-18版】</v>
      </c>
      <c r="T4902" s="22" t="str">
        <f>IFERROR(__xludf.DUMMYFUNCTION("""COMPUTED_VALUE"""),"格納済み")</f>
        <v>格納済み</v>
      </c>
      <c r="U4902" s="9" t="str">
        <f>IFERROR(__xludf.DUMMYFUNCTION("""COMPUTED_VALUE"""),"(C)リベルタ／ナンバーナイン")</f>
        <v>(C)リベルタ／ナンバーナイン</v>
      </c>
      <c r="V4902" s="8"/>
      <c r="W4902" s="8"/>
      <c r="X4902" s="8" t="str">
        <f>IFERROR(__xludf.DUMMYFUNCTION("""COMPUTED_VALUE"""),"有")</f>
        <v>有</v>
      </c>
      <c r="Y4902" s="8" t="str">
        <f>IFERROR(__xludf.DUMMYFUNCTION("""COMPUTED_VALUE"""),"2026/4/15まで1巻無料")</f>
        <v>2026/4/15まで1巻無料</v>
      </c>
      <c r="Z4902" s="7"/>
      <c r="AA4902" s="7"/>
      <c r="AB4902" s="7"/>
    </row>
    <row r="4903" ht="15.75" customHeight="1">
      <c r="A4903" s="26">
        <f>IFERROR(__xludf.DUMMYFUNCTION("""COMPUTED_VALUE"""),7576.0)</f>
        <v>7576</v>
      </c>
      <c r="B4903" s="22" t="str">
        <f>IFERROR(__xludf.DUMMYFUNCTION("""COMPUTED_VALUE"""),"確定")</f>
        <v>確定</v>
      </c>
      <c r="C4903" s="28">
        <f>IFERROR(__xludf.DUMMYFUNCTION("""COMPUTED_VALUE"""),46085.0)</f>
        <v>46085</v>
      </c>
      <c r="D4903" s="28">
        <f>IFERROR(__xludf.DUMMYFUNCTION("""COMPUTED_VALUE"""),46099.0)</f>
        <v>46099</v>
      </c>
      <c r="E4903" s="26">
        <f>IFERROR(__xludf.DUMMYFUNCTION("""COMPUTED_VALUE"""),357638.0)</f>
        <v>357638</v>
      </c>
      <c r="F4903" s="22" t="str">
        <f>IFERROR(__xludf.DUMMYFUNCTION("""COMPUTED_VALUE"""),"高比良さん専用の淫らなマネキン愛玩性活【R版】")</f>
        <v>高比良さん専用の淫らなマネキン愛玩性活【R版】</v>
      </c>
      <c r="G4903" s="20" t="str">
        <f>IFERROR(__xludf.DUMMYFUNCTION("""COMPUTED_VALUE"""),"1～2")</f>
        <v>1～2</v>
      </c>
      <c r="H4903" s="22" t="str">
        <f>IFERROR(__xludf.DUMMYFUNCTION("""COMPUTED_VALUE"""),"ひさまつえいと┴灰色の犬┴キケンな男子図鑑 ")</f>
        <v>ひさまつえいと┴灰色の犬┴キケンな男子図鑑 </v>
      </c>
      <c r="I4903" s="22" t="str">
        <f>IFERROR(__xludf.DUMMYFUNCTION("""COMPUTED_VALUE"""),"アダルトマンガ")</f>
        <v>アダルトマンガ</v>
      </c>
      <c r="J4903" s="22">
        <f>IFERROR(__xludf.DUMMYFUNCTION("""COMPUTED_VALUE"""),1.0)</f>
        <v>1</v>
      </c>
      <c r="K4903" s="22"/>
      <c r="L4903" s="22" t="str">
        <f>IFERROR(__xludf.DUMMYFUNCTION("""COMPUTED_VALUE"""),"BBB")</f>
        <v>BBB</v>
      </c>
      <c r="M4903" s="33">
        <f>IFERROR(__xludf.DUMMYFUNCTION("""COMPUTED_VALUE"""),46137.0)</f>
        <v>46137</v>
      </c>
      <c r="N4903" s="33">
        <f>IFERROR(__xludf.DUMMYFUNCTION("""COMPUTED_VALUE"""),46227.0)</f>
        <v>46227</v>
      </c>
      <c r="O4903" s="20"/>
      <c r="P4903" s="32" t="str">
        <f>IFERROR(__xludf.DUMMYFUNCTION("""COMPUTED_VALUE"""),"可")</f>
        <v>可</v>
      </c>
      <c r="Q4903" s="30" t="str">
        <f>IFERROR(__xludf.DUMMYFUNCTION("""COMPUTED_VALUE"""),"格納素材を2分割して初回1~2巻として配信します。&lt;BR&gt;")</f>
        <v>格納素材を2分割して初回1~2巻として配信します。&lt;BR&gt;</v>
      </c>
      <c r="R4903" s="22" t="str">
        <f>IFERROR(__xludf.DUMMYFUNCTION("""COMPUTED_VALUE"""),"コミットNG")</f>
        <v>コミットNG</v>
      </c>
      <c r="S4903" s="22" t="str">
        <f>IFERROR(__xludf.DUMMYFUNCTION("""COMPUTED_VALUE"""),"20260317_BBB_高比良さん専用の淫らなマネキン愛玩性活【R版】")</f>
        <v>20260317_BBB_高比良さん専用の淫らなマネキン愛玩性活【R版】</v>
      </c>
      <c r="T4903" s="22" t="str">
        <f>IFERROR(__xludf.DUMMYFUNCTION("""COMPUTED_VALUE"""),"格納済み")</f>
        <v>格納済み</v>
      </c>
      <c r="U4903" s="9" t="str">
        <f>IFERROR(__xludf.DUMMYFUNCTION("""COMPUTED_VALUE"""),"Ⓒ灰色の犬/ひさまつえいと/キケンな男子図鑑/CaleidoComics")</f>
        <v>Ⓒ灰色の犬/ひさまつえいと/キケンな男子図鑑/CaleidoComics</v>
      </c>
      <c r="V4903" s="8"/>
      <c r="W4903" s="8"/>
      <c r="X4903" s="8" t="str">
        <f>IFERROR(__xludf.DUMMYFUNCTION("""COMPUTED_VALUE"""),"有")</f>
        <v>有</v>
      </c>
      <c r="Y4903" s="8" t="str">
        <f>IFERROR(__xludf.DUMMYFUNCTION("""COMPUTED_VALUE"""),"P15まで")</f>
        <v>P15まで</v>
      </c>
      <c r="Z4903" s="7"/>
      <c r="AA4903" s="7"/>
      <c r="AB4903" s="7"/>
    </row>
    <row r="4904" ht="15.75" customHeight="1">
      <c r="A4904" s="26">
        <f>IFERROR(__xludf.DUMMYFUNCTION("""COMPUTED_VALUE"""),7577.0)</f>
        <v>7577</v>
      </c>
      <c r="B4904" s="22" t="str">
        <f>IFERROR(__xludf.DUMMYFUNCTION("""COMPUTED_VALUE"""),"確定")</f>
        <v>確定</v>
      </c>
      <c r="C4904" s="28">
        <f>IFERROR(__xludf.DUMMYFUNCTION("""COMPUTED_VALUE"""),46085.0)</f>
        <v>46085</v>
      </c>
      <c r="D4904" s="28">
        <f>IFERROR(__xludf.DUMMYFUNCTION("""COMPUTED_VALUE"""),46099.0)</f>
        <v>46099</v>
      </c>
      <c r="E4904" s="26">
        <f>IFERROR(__xludf.DUMMYFUNCTION("""COMPUTED_VALUE"""),357636.0)</f>
        <v>357636</v>
      </c>
      <c r="F4904" s="22" t="str">
        <f>IFERROR(__xludf.DUMMYFUNCTION("""COMPUTED_VALUE"""),"セックスしないと出られない部屋に閉じ込められたら、同僚が超絶ヤバいストーカーでした【R版】")</f>
        <v>セックスしないと出られない部屋に閉じ込められたら、同僚が超絶ヤバいストーカーでした【R版】</v>
      </c>
      <c r="G4904" s="20" t="str">
        <f>IFERROR(__xludf.DUMMYFUNCTION("""COMPUTED_VALUE"""),"1～2")</f>
        <v>1～2</v>
      </c>
      <c r="H4904" s="22" t="str">
        <f>IFERROR(__xludf.DUMMYFUNCTION("""COMPUTED_VALUE"""),"夜行性┴キケンな男子図鑑 ")</f>
        <v>夜行性┴キケンな男子図鑑 </v>
      </c>
      <c r="I4904" s="22" t="str">
        <f>IFERROR(__xludf.DUMMYFUNCTION("""COMPUTED_VALUE"""),"アダルトマンガ")</f>
        <v>アダルトマンガ</v>
      </c>
      <c r="J4904" s="22">
        <f>IFERROR(__xludf.DUMMYFUNCTION("""COMPUTED_VALUE"""),1.0)</f>
        <v>1</v>
      </c>
      <c r="K4904" s="22"/>
      <c r="L4904" s="22" t="str">
        <f>IFERROR(__xludf.DUMMYFUNCTION("""COMPUTED_VALUE"""),"BBB")</f>
        <v>BBB</v>
      </c>
      <c r="M4904" s="33">
        <f>IFERROR(__xludf.DUMMYFUNCTION("""COMPUTED_VALUE"""),46137.0)</f>
        <v>46137</v>
      </c>
      <c r="N4904" s="33">
        <f>IFERROR(__xludf.DUMMYFUNCTION("""COMPUTED_VALUE"""),46227.0)</f>
        <v>46227</v>
      </c>
      <c r="O4904" s="20"/>
      <c r="P4904" s="32" t="str">
        <f>IFERROR(__xludf.DUMMYFUNCTION("""COMPUTED_VALUE"""),"可")</f>
        <v>可</v>
      </c>
      <c r="Q4904" s="30" t="str">
        <f>IFERROR(__xludf.DUMMYFUNCTION("""COMPUTED_VALUE"""),"格納素材を2分割して初回1~2巻として配信します。")</f>
        <v>格納素材を2分割して初回1~2巻として配信します。</v>
      </c>
      <c r="R4904" s="22" t="str">
        <f>IFERROR(__xludf.DUMMYFUNCTION("""COMPUTED_VALUE"""),"コミットNG")</f>
        <v>コミットNG</v>
      </c>
      <c r="S4904" s="22" t="str">
        <f>IFERROR(__xludf.DUMMYFUNCTION("""COMPUTED_VALUE"""),"20260317_BBB_セックスしないと出られない部屋に閉じ込められたら、同僚が超絶ヤバいストーカーでした【R版】")</f>
        <v>20260317_BBB_セックスしないと出られない部屋に閉じ込められたら、同僚が超絶ヤバいストーカーでした【R版】</v>
      </c>
      <c r="T4904" s="22" t="str">
        <f>IFERROR(__xludf.DUMMYFUNCTION("""COMPUTED_VALUE"""),"格納済み")</f>
        <v>格納済み</v>
      </c>
      <c r="U4904" s="9" t="str">
        <f>IFERROR(__xludf.DUMMYFUNCTION("""COMPUTED_VALUE"""),"Ⓒ夜行性/キケンな男子図鑑/CaleidoComics")</f>
        <v>Ⓒ夜行性/キケンな男子図鑑/CaleidoComics</v>
      </c>
      <c r="V4904" s="8"/>
      <c r="W4904" s="8"/>
      <c r="X4904" s="8" t="str">
        <f>IFERROR(__xludf.DUMMYFUNCTION("""COMPUTED_VALUE"""),"有")</f>
        <v>有</v>
      </c>
      <c r="Y4904" s="8" t="str">
        <f>IFERROR(__xludf.DUMMYFUNCTION("""COMPUTED_VALUE"""),"P16まで")</f>
        <v>P16まで</v>
      </c>
      <c r="Z4904" s="7"/>
      <c r="AA4904" s="7"/>
      <c r="AB4904" s="7"/>
    </row>
    <row r="4905" ht="15.75" customHeight="1">
      <c r="A4905" s="26">
        <f>IFERROR(__xludf.DUMMYFUNCTION("""COMPUTED_VALUE"""),7578.0)</f>
        <v>7578</v>
      </c>
      <c r="B4905" s="22" t="str">
        <f>IFERROR(__xludf.DUMMYFUNCTION("""COMPUTED_VALUE"""),"確定")</f>
        <v>確定</v>
      </c>
      <c r="C4905" s="28">
        <f>IFERROR(__xludf.DUMMYFUNCTION("""COMPUTED_VALUE"""),46085.0)</f>
        <v>46085</v>
      </c>
      <c r="D4905" s="28">
        <f>IFERROR(__xludf.DUMMYFUNCTION("""COMPUTED_VALUE"""),46099.0)</f>
        <v>46099</v>
      </c>
      <c r="E4905" s="26">
        <f>IFERROR(__xludf.DUMMYFUNCTION("""COMPUTED_VALUE"""),357637.0)</f>
        <v>357637</v>
      </c>
      <c r="F4905" s="22" t="str">
        <f>IFERROR(__xludf.DUMMYFUNCTION("""COMPUTED_VALUE"""),"親友の弟の童貞はケダモノの味がした【R版】")</f>
        <v>親友の弟の童貞はケダモノの味がした【R版】</v>
      </c>
      <c r="G4905" s="20" t="str">
        <f>IFERROR(__xludf.DUMMYFUNCTION("""COMPUTED_VALUE"""),"1～2")</f>
        <v>1～2</v>
      </c>
      <c r="H4905" s="22" t="str">
        <f>IFERROR(__xludf.DUMMYFUNCTION("""COMPUTED_VALUE"""),"ひさまつえいと┴八つ尾┴キケンな男子図鑑 ")</f>
        <v>ひさまつえいと┴八つ尾┴キケンな男子図鑑 </v>
      </c>
      <c r="I4905" s="22" t="str">
        <f>IFERROR(__xludf.DUMMYFUNCTION("""COMPUTED_VALUE"""),"アダルトマンガ")</f>
        <v>アダルトマンガ</v>
      </c>
      <c r="J4905" s="22">
        <f>IFERROR(__xludf.DUMMYFUNCTION("""COMPUTED_VALUE"""),1.0)</f>
        <v>1</v>
      </c>
      <c r="K4905" s="22"/>
      <c r="L4905" s="22" t="str">
        <f>IFERROR(__xludf.DUMMYFUNCTION("""COMPUTED_VALUE"""),"BBB")</f>
        <v>BBB</v>
      </c>
      <c r="M4905" s="33">
        <f>IFERROR(__xludf.DUMMYFUNCTION("""COMPUTED_VALUE"""),46137.0)</f>
        <v>46137</v>
      </c>
      <c r="N4905" s="33">
        <f>IFERROR(__xludf.DUMMYFUNCTION("""COMPUTED_VALUE"""),46227.0)</f>
        <v>46227</v>
      </c>
      <c r="O4905" s="20"/>
      <c r="P4905" s="32" t="str">
        <f>IFERROR(__xludf.DUMMYFUNCTION("""COMPUTED_VALUE"""),"可")</f>
        <v>可</v>
      </c>
      <c r="Q4905" s="30" t="str">
        <f>IFERROR(__xludf.DUMMYFUNCTION("""COMPUTED_VALUE"""),"格納素材を2分割して初回1~2巻として配信します。")</f>
        <v>格納素材を2分割して初回1~2巻として配信します。</v>
      </c>
      <c r="R4905" s="22" t="str">
        <f>IFERROR(__xludf.DUMMYFUNCTION("""COMPUTED_VALUE"""),"コミットOK")</f>
        <v>コミットOK</v>
      </c>
      <c r="S4905" s="22" t="str">
        <f>IFERROR(__xludf.DUMMYFUNCTION("""COMPUTED_VALUE"""),"20260316_BBB_親友の弟の童貞はケダモノの味がした【R版】")</f>
        <v>20260316_BBB_親友の弟の童貞はケダモノの味がした【R版】</v>
      </c>
      <c r="T4905" s="22" t="str">
        <f>IFERROR(__xludf.DUMMYFUNCTION("""COMPUTED_VALUE"""),"格納済み")</f>
        <v>格納済み</v>
      </c>
      <c r="U4905" s="9" t="str">
        <f>IFERROR(__xludf.DUMMYFUNCTION("""COMPUTED_VALUE"""),"Ⓒ八つ尾/ひさまつえいと/キケンな男子図鑑/CaleidoComics")</f>
        <v>Ⓒ八つ尾/ひさまつえいと/キケンな男子図鑑/CaleidoComics</v>
      </c>
      <c r="V4905" s="8"/>
      <c r="W4905" s="8"/>
      <c r="X4905" s="8" t="str">
        <f>IFERROR(__xludf.DUMMYFUNCTION("""COMPUTED_VALUE"""),"有")</f>
        <v>有</v>
      </c>
      <c r="Y4905" s="8" t="str">
        <f>IFERROR(__xludf.DUMMYFUNCTION("""COMPUTED_VALUE"""),"P14まで")</f>
        <v>P14まで</v>
      </c>
      <c r="Z4905" s="7"/>
      <c r="AA4905" s="7"/>
      <c r="AB4905" s="7"/>
    </row>
    <row r="4906" ht="15.75" customHeight="1">
      <c r="A4906" s="26">
        <f>IFERROR(__xludf.DUMMYFUNCTION("""COMPUTED_VALUE"""),7622.0)</f>
        <v>7622</v>
      </c>
      <c r="B4906" s="22" t="str">
        <f>IFERROR(__xludf.DUMMYFUNCTION("""COMPUTED_VALUE"""),"確定")</f>
        <v>確定</v>
      </c>
      <c r="C4906" s="28">
        <f>IFERROR(__xludf.DUMMYFUNCTION("""COMPUTED_VALUE"""),46090.0)</f>
        <v>46090</v>
      </c>
      <c r="D4906" s="28">
        <f>IFERROR(__xludf.DUMMYFUNCTION("""COMPUTED_VALUE"""),46098.0)</f>
        <v>46098</v>
      </c>
      <c r="E4906" s="26">
        <f>IFERROR(__xludf.DUMMYFUNCTION("""COMPUTED_VALUE"""),324706.0)</f>
        <v>324706</v>
      </c>
      <c r="F4906" s="22" t="str">
        <f>IFERROR(__xludf.DUMMYFUNCTION("""COMPUTED_VALUE"""),"綻ぶ純花は遅く咲く")</f>
        <v>綻ぶ純花は遅く咲く</v>
      </c>
      <c r="G4906" s="20" t="str">
        <f>IFERROR(__xludf.DUMMYFUNCTION("""COMPUTED_VALUE"""),"1～3")</f>
        <v>1～3</v>
      </c>
      <c r="H4906" s="22" t="str">
        <f>IFERROR(__xludf.DUMMYFUNCTION("""COMPUTED_VALUE"""),"亜良々來")</f>
        <v>亜良々來</v>
      </c>
      <c r="I4906" s="22" t="str">
        <f>IFERROR(__xludf.DUMMYFUNCTION("""COMPUTED_VALUE"""),"BLマンガ")</f>
        <v>BLマンガ</v>
      </c>
      <c r="J4906" s="22"/>
      <c r="K4906" s="22" t="str">
        <f>IFERROR(__xludf.DUMMYFUNCTION("""COMPUTED_VALUE"""),"Ficus")</f>
        <v>Ficus</v>
      </c>
      <c r="L4906" s="22" t="str">
        <f>IFERROR(__xludf.DUMMYFUNCTION("""COMPUTED_VALUE"""),"シーモアコミックス")</f>
        <v>シーモアコミックス</v>
      </c>
      <c r="M4906" s="33">
        <f>IFERROR(__xludf.DUMMYFUNCTION("""COMPUTED_VALUE"""),46123.0)</f>
        <v>46123</v>
      </c>
      <c r="N4906" s="33">
        <f>IFERROR(__xludf.DUMMYFUNCTION("""COMPUTED_VALUE"""),2958465.0)</f>
        <v>2958465</v>
      </c>
      <c r="O4906" s="20"/>
      <c r="P4906" s="32" t="str">
        <f>IFERROR(__xludf.DUMMYFUNCTION("""COMPUTED_VALUE"""),"可")</f>
        <v>可</v>
      </c>
      <c r="Q4906" s="30" t="str">
        <f>IFERROR(__xludf.DUMMYFUNCTION("""COMPUTED_VALUE"""),"【アダルト作品扱い】")</f>
        <v>【アダルト作品扱い】</v>
      </c>
      <c r="R4906" s="22"/>
      <c r="S4906" s="22" t="str">
        <f>IFERROR(__xludf.DUMMYFUNCTION("""COMPUTED_VALUE"""),"20260309_シーモアコミックス_綻ぶ純花は遅く咲く")</f>
        <v>20260309_シーモアコミックス_綻ぶ純花は遅く咲く</v>
      </c>
      <c r="T4906" s="22" t="str">
        <f>IFERROR(__xludf.DUMMYFUNCTION("""COMPUTED_VALUE"""),"格納済み")</f>
        <v>格納済み</v>
      </c>
      <c r="U4906" s="9" t="str">
        <f>IFERROR(__xludf.DUMMYFUNCTION("""COMPUTED_VALUE"""),"(C) 亜良々來/シーモアコミックス")</f>
        <v>(C) 亜良々來/シーモアコミックス</v>
      </c>
      <c r="V4906" s="8"/>
      <c r="W4906" s="8"/>
      <c r="X4906" s="8" t="str">
        <f>IFERROR(__xludf.DUMMYFUNCTION("""COMPUTED_VALUE"""),"有")</f>
        <v>有</v>
      </c>
      <c r="Y4906" s="8" t="str">
        <f>IFERROR(__xludf.DUMMYFUNCTION("""COMPUTED_VALUE"""),"2026/5/8まで1巻無料")</f>
        <v>2026/5/8まで1巻無料</v>
      </c>
      <c r="Z4906" s="7"/>
      <c r="AA4906" s="7"/>
      <c r="AB4906" s="7"/>
    </row>
    <row r="4907" ht="15.75" customHeight="1">
      <c r="A4907" s="26">
        <f>IFERROR(__xludf.DUMMYFUNCTION("""COMPUTED_VALUE"""),7625.0)</f>
        <v>7625</v>
      </c>
      <c r="B4907" s="22" t="str">
        <f>IFERROR(__xludf.DUMMYFUNCTION("""COMPUTED_VALUE"""),"確定")</f>
        <v>確定</v>
      </c>
      <c r="C4907" s="28">
        <f>IFERROR(__xludf.DUMMYFUNCTION("""COMPUTED_VALUE"""),46090.0)</f>
        <v>46090</v>
      </c>
      <c r="D4907" s="28">
        <f>IFERROR(__xludf.DUMMYFUNCTION("""COMPUTED_VALUE"""),46098.0)</f>
        <v>46098</v>
      </c>
      <c r="E4907" s="26">
        <f>IFERROR(__xludf.DUMMYFUNCTION("""COMPUTED_VALUE"""),305088.0)</f>
        <v>305088</v>
      </c>
      <c r="F4907" s="22" t="str">
        <f>IFERROR(__xludf.DUMMYFUNCTION("""COMPUTED_VALUE"""),"孤毒妻～夫は冷蔵庫におります～")</f>
        <v>孤毒妻～夫は冷蔵庫におります～</v>
      </c>
      <c r="G4907" s="20" t="str">
        <f>IFERROR(__xludf.DUMMYFUNCTION("""COMPUTED_VALUE"""),"1～4")</f>
        <v>1～4</v>
      </c>
      <c r="H4907" s="22" t="str">
        <f>IFERROR(__xludf.DUMMYFUNCTION("""COMPUTED_VALUE"""),"なつまろ。")</f>
        <v>なつまろ。</v>
      </c>
      <c r="I4907" s="22" t="str">
        <f>IFERROR(__xludf.DUMMYFUNCTION("""COMPUTED_VALUE"""),"女性マンガ")</f>
        <v>女性マンガ</v>
      </c>
      <c r="J4907" s="22"/>
      <c r="K4907" s="22" t="str">
        <f>IFERROR(__xludf.DUMMYFUNCTION("""COMPUTED_VALUE"""),"恋するソワレ＋,恋するソワレ")</f>
        <v>恋するソワレ＋,恋するソワレ</v>
      </c>
      <c r="L4907" s="22" t="str">
        <f>IFERROR(__xludf.DUMMYFUNCTION("""COMPUTED_VALUE"""),"シーモアコミックス")</f>
        <v>シーモアコミックス</v>
      </c>
      <c r="M4907" s="33">
        <f>IFERROR(__xludf.DUMMYFUNCTION("""COMPUTED_VALUE"""),46124.0)</f>
        <v>46124</v>
      </c>
      <c r="N4907" s="33"/>
      <c r="O4907" s="20"/>
      <c r="P4907" s="32" t="str">
        <f>IFERROR(__xludf.DUMMYFUNCTION("""COMPUTED_VALUE"""),"可")</f>
        <v>可</v>
      </c>
      <c r="Q4907" s="30"/>
      <c r="R4907" s="22"/>
      <c r="S4907" s="22" t="str">
        <f>IFERROR(__xludf.DUMMYFUNCTION("""COMPUTED_VALUE"""),"20260309_シーモアコミックス_孤毒妻～夫は冷蔵庫におります～")</f>
        <v>20260309_シーモアコミックス_孤毒妻～夫は冷蔵庫におります～</v>
      </c>
      <c r="T4907" s="22" t="str">
        <f>IFERROR(__xludf.DUMMYFUNCTION("""COMPUTED_VALUE"""),"格納済み")</f>
        <v>格納済み</v>
      </c>
      <c r="U4907" s="9" t="str">
        <f>IFERROR(__xludf.DUMMYFUNCTION("""COMPUTED_VALUE"""),"(C) なつまろ。/シーモアコミックス")</f>
        <v>(C) なつまろ。/シーモアコミックス</v>
      </c>
      <c r="V4907" s="8"/>
      <c r="W4907" s="8"/>
      <c r="X4907" s="8" t="str">
        <f>IFERROR(__xludf.DUMMYFUNCTION("""COMPUTED_VALUE"""),"有")</f>
        <v>有</v>
      </c>
      <c r="Y4907" s="8" t="str">
        <f>IFERROR(__xludf.DUMMYFUNCTION("""COMPUTED_VALUE"""),"2026/5/9まで1巻無料")</f>
        <v>2026/5/9まで1巻無料</v>
      </c>
      <c r="Z4907" s="7"/>
      <c r="AA4907" s="7"/>
      <c r="AB4907" s="7"/>
    </row>
    <row r="4908" ht="15.75" customHeight="1">
      <c r="A4908" s="26">
        <f>IFERROR(__xludf.DUMMYFUNCTION("""COMPUTED_VALUE"""),7639.0)</f>
        <v>7639</v>
      </c>
      <c r="B4908" s="22" t="str">
        <f>IFERROR(__xludf.DUMMYFUNCTION("""COMPUTED_VALUE"""),"確定")</f>
        <v>確定</v>
      </c>
      <c r="C4908" s="28">
        <f>IFERROR(__xludf.DUMMYFUNCTION("""COMPUTED_VALUE"""),46092.0)</f>
        <v>46092</v>
      </c>
      <c r="D4908" s="28">
        <f>IFERROR(__xludf.DUMMYFUNCTION("""COMPUTED_VALUE"""),46093.0)</f>
        <v>46093</v>
      </c>
      <c r="E4908" s="26">
        <f>IFERROR(__xludf.DUMMYFUNCTION("""COMPUTED_VALUE"""),354539.0)</f>
        <v>354539</v>
      </c>
      <c r="F4908" s="22" t="str">
        <f>IFERROR(__xludf.DUMMYFUNCTION("""COMPUTED_VALUE"""),"やさしくするから大丈夫")</f>
        <v>やさしくするから大丈夫</v>
      </c>
      <c r="G4908" s="20" t="str">
        <f>IFERROR(__xludf.DUMMYFUNCTION("""COMPUTED_VALUE"""),"1～3")</f>
        <v>1～3</v>
      </c>
      <c r="H4908" s="22" t="str">
        <f>IFERROR(__xludf.DUMMYFUNCTION("""COMPUTED_VALUE"""),"守田五月")</f>
        <v>守田五月</v>
      </c>
      <c r="I4908" s="22" t="str">
        <f>IFERROR(__xludf.DUMMYFUNCTION("""COMPUTED_VALUE"""),"BL")</f>
        <v>BL</v>
      </c>
      <c r="J4908" s="22"/>
      <c r="K4908" s="22" t="str">
        <f>IFERROR(__xludf.DUMMYFUNCTION("""COMPUTED_VALUE"""),"STUNNER")</f>
        <v>STUNNER</v>
      </c>
      <c r="L4908" s="22" t="str">
        <f>IFERROR(__xludf.DUMMYFUNCTION("""COMPUTED_VALUE"""),"リイド社")</f>
        <v>リイド社</v>
      </c>
      <c r="M4908" s="33">
        <f>IFERROR(__xludf.DUMMYFUNCTION("""COMPUTED_VALUE"""),46087.0)</f>
        <v>46087</v>
      </c>
      <c r="N4908" s="33">
        <f>IFERROR(__xludf.DUMMYFUNCTION("""COMPUTED_VALUE"""),46178.0)</f>
        <v>46178</v>
      </c>
      <c r="O4908" s="20"/>
      <c r="P4908" s="32" t="str">
        <f>IFERROR(__xludf.DUMMYFUNCTION("""COMPUTED_VALUE"""),"可")</f>
        <v>可</v>
      </c>
      <c r="Q4908" s="30" t="str">
        <f>IFERROR(__xludf.DUMMYFUNCTION("""COMPUTED_VALUE"""),"既に配信済みのため可能な範囲でご出稿よろしくお願いいたします。&lt;BR&gt;&lt;BR&gt;&lt;BR&gt;")</f>
        <v>既に配信済みのため可能な範囲でご出稿よろしくお願いいたします。&lt;BR&gt;&lt;BR&gt;&lt;BR&gt;</v>
      </c>
      <c r="R4908" s="22"/>
      <c r="S4908" s="22" t="str">
        <f>IFERROR(__xludf.DUMMYFUNCTION("""COMPUTED_VALUE"""),"20260310_リイド社_やさしくするから大丈夫")</f>
        <v>20260310_リイド社_やさしくするから大丈夫</v>
      </c>
      <c r="T4908" s="22" t="str">
        <f>IFERROR(__xludf.DUMMYFUNCTION("""COMPUTED_VALUE"""),"格納済み")</f>
        <v>格納済み</v>
      </c>
      <c r="U4908" s="9" t="str">
        <f>IFERROR(__xludf.DUMMYFUNCTION("""COMPUTED_VALUE"""),"(C)守田五月/STUNNER")</f>
        <v>(C)守田五月/STUNNER</v>
      </c>
      <c r="V4908" s="8"/>
      <c r="W4908" s="8"/>
      <c r="X4908" s="8" t="str">
        <f>IFERROR(__xludf.DUMMYFUNCTION("""COMPUTED_VALUE"""),"有")</f>
        <v>有</v>
      </c>
      <c r="Y4908" s="8" t="str">
        <f>IFERROR(__xludf.DUMMYFUNCTION("""COMPUTED_VALUE"""),"1巻無料")</f>
        <v>1巻無料</v>
      </c>
      <c r="Z4908" s="7"/>
      <c r="AA4908" s="7"/>
      <c r="AB4908" s="7"/>
    </row>
    <row r="4909" ht="15.75" customHeight="1">
      <c r="A4909" s="26">
        <f>IFERROR(__xludf.DUMMYFUNCTION("""COMPUTED_VALUE"""),7666.0)</f>
        <v>7666</v>
      </c>
      <c r="B4909" s="22" t="str">
        <f>IFERROR(__xludf.DUMMYFUNCTION("""COMPUTED_VALUE"""),"確定")</f>
        <v>確定</v>
      </c>
      <c r="C4909" s="28">
        <f>IFERROR(__xludf.DUMMYFUNCTION("""COMPUTED_VALUE"""),46093.0)</f>
        <v>46093</v>
      </c>
      <c r="D4909" s="28">
        <f>IFERROR(__xludf.DUMMYFUNCTION("""COMPUTED_VALUE"""),46098.0)</f>
        <v>46098</v>
      </c>
      <c r="E4909" s="26">
        <f>IFERROR(__xludf.DUMMYFUNCTION("""COMPUTED_VALUE"""),355451.0)</f>
        <v>355451</v>
      </c>
      <c r="F4909" s="22" t="str">
        <f>IFERROR(__xludf.DUMMYFUNCTION("""COMPUTED_VALUE"""),"孤独な騎士様を禁術で守り抜いたら、極上の溺愛で恩返しされました。")</f>
        <v>孤独な騎士様を禁術で守り抜いたら、極上の溺愛で恩返しされました。</v>
      </c>
      <c r="G4909" s="20" t="str">
        <f>IFERROR(__xludf.DUMMYFUNCTION("""COMPUTED_VALUE"""),"1～2")</f>
        <v>1～2</v>
      </c>
      <c r="H4909" s="22" t="str">
        <f>IFERROR(__xludf.DUMMYFUNCTION("""COMPUTED_VALUE"""),"いさ／COMIC ROOM")</f>
        <v>いさ／COMIC ROOM</v>
      </c>
      <c r="I4909" s="22" t="str">
        <f>IFERROR(__xludf.DUMMYFUNCTION("""COMPUTED_VALUE"""),"女性")</f>
        <v>女性</v>
      </c>
      <c r="J4909" s="22"/>
      <c r="K4909" s="22"/>
      <c r="L4909" s="22" t="str">
        <f>IFERROR(__xludf.DUMMYFUNCTION("""COMPUTED_VALUE"""),"コミックルーム")</f>
        <v>コミックルーム</v>
      </c>
      <c r="M4909" s="33">
        <f>IFERROR(__xludf.DUMMYFUNCTION("""COMPUTED_VALUE"""),46127.0)</f>
        <v>46127</v>
      </c>
      <c r="N4909" s="33">
        <f>IFERROR(__xludf.DUMMYFUNCTION("""COMPUTED_VALUE"""),46217.0)</f>
        <v>46217</v>
      </c>
      <c r="O4909" s="20"/>
      <c r="P4909" s="32" t="str">
        <f>IFERROR(__xludf.DUMMYFUNCTION("""COMPUTED_VALUE"""),"可")</f>
        <v>可</v>
      </c>
      <c r="Q4909" s="30" t="str">
        <f>IFERROR(__xludf.DUMMYFUNCTION("""COMPUTED_VALUE"""),"格納素材を2分割して初回1~2巻として配信します。")</f>
        <v>格納素材を2分割して初回1~2巻として配信します。</v>
      </c>
      <c r="R4909" s="22"/>
      <c r="S4909" s="22" t="str">
        <f>IFERROR(__xludf.DUMMYFUNCTION("""COMPUTED_VALUE"""),"20260312_コミックルーム_孤独な騎士様を禁術で守り抜いたら、極上の溺愛で恩返しされました。（略称：疫病神令嬢）")</f>
        <v>20260312_コミックルーム_孤独な騎士様を禁術で守り抜いたら、極上の溺愛で恩返しされました。（略称：疫病神令嬢）</v>
      </c>
      <c r="T4909" s="22" t="str">
        <f>IFERROR(__xludf.DUMMYFUNCTION("""COMPUTED_VALUE"""),"格納済み")</f>
        <v>格納済み</v>
      </c>
      <c r="U4909" s="9" t="str">
        <f>IFERROR(__xludf.DUMMYFUNCTION("""COMPUTED_VALUE"""),"(c)いさ／COMIC ROOM")</f>
        <v>(c)いさ／COMIC ROOM</v>
      </c>
      <c r="V4909" s="8"/>
      <c r="W4909" s="8"/>
      <c r="X4909" s="8" t="str">
        <f>IFERROR(__xludf.DUMMYFUNCTION("""COMPUTED_VALUE"""),"有")</f>
        <v>有</v>
      </c>
      <c r="Y4909" s="8" t="str">
        <f>IFERROR(__xludf.DUMMYFUNCTION("""COMPUTED_VALUE"""),"P14まで")</f>
        <v>P14まで</v>
      </c>
      <c r="Z4909" s="7"/>
      <c r="AA4909" s="7"/>
      <c r="AB4909" s="7"/>
    </row>
    <row r="4910" ht="15.75" customHeight="1">
      <c r="A4910" s="26">
        <f>IFERROR(__xludf.DUMMYFUNCTION("""COMPUTED_VALUE"""),7667.0)</f>
        <v>7667</v>
      </c>
      <c r="B4910" s="22" t="str">
        <f>IFERROR(__xludf.DUMMYFUNCTION("""COMPUTED_VALUE"""),"確定")</f>
        <v>確定</v>
      </c>
      <c r="C4910" s="28">
        <f>IFERROR(__xludf.DUMMYFUNCTION("""COMPUTED_VALUE"""),46093.0)</f>
        <v>46093</v>
      </c>
      <c r="D4910" s="28">
        <f>IFERROR(__xludf.DUMMYFUNCTION("""COMPUTED_VALUE"""),46098.0)</f>
        <v>46098</v>
      </c>
      <c r="E4910" s="26">
        <f>IFERROR(__xludf.DUMMYFUNCTION("""COMPUTED_VALUE"""),352443.0)</f>
        <v>352443</v>
      </c>
      <c r="F4910" s="22" t="str">
        <f>IFERROR(__xludf.DUMMYFUNCTION("""COMPUTED_VALUE"""),"嫌われ影魔法使いの幸福な誤算 。〜砂漠の王子に拾われて、恵みの聖女になりました〜")</f>
        <v>嫌われ影魔法使いの幸福な誤算 。〜砂漠の王子に拾われて、恵みの聖女になりました〜</v>
      </c>
      <c r="G4910" s="20" t="str">
        <f>IFERROR(__xludf.DUMMYFUNCTION("""COMPUTED_VALUE"""),"1～2")</f>
        <v>1～2</v>
      </c>
      <c r="H4910" s="22" t="str">
        <f>IFERROR(__xludf.DUMMYFUNCTION("""COMPUTED_VALUE"""),"齋宮太郎／COMIC ROOM")</f>
        <v>齋宮太郎／COMIC ROOM</v>
      </c>
      <c r="I4910" s="22" t="str">
        <f>IFERROR(__xludf.DUMMYFUNCTION("""COMPUTED_VALUE"""),"女性")</f>
        <v>女性</v>
      </c>
      <c r="J4910" s="22"/>
      <c r="K4910" s="22"/>
      <c r="L4910" s="22" t="str">
        <f>IFERROR(__xludf.DUMMYFUNCTION("""COMPUTED_VALUE"""),"コミックルーム")</f>
        <v>コミックルーム</v>
      </c>
      <c r="M4910" s="33">
        <f>IFERROR(__xludf.DUMMYFUNCTION("""COMPUTED_VALUE"""),46127.0)</f>
        <v>46127</v>
      </c>
      <c r="N4910" s="33">
        <f>IFERROR(__xludf.DUMMYFUNCTION("""COMPUTED_VALUE"""),46217.0)</f>
        <v>46217</v>
      </c>
      <c r="O4910" s="20"/>
      <c r="P4910" s="32" t="str">
        <f>IFERROR(__xludf.DUMMYFUNCTION("""COMPUTED_VALUE"""),"可")</f>
        <v>可</v>
      </c>
      <c r="Q4910" s="30" t="str">
        <f>IFERROR(__xludf.DUMMYFUNCTION("""COMPUTED_VALUE"""),"格納素材を2分割して初回1~2巻として配信します。")</f>
        <v>格納素材を2分割して初回1~2巻として配信します。</v>
      </c>
      <c r="R4910" s="22"/>
      <c r="S4910" s="22" t="str">
        <f>IFERROR(__xludf.DUMMYFUNCTION("""COMPUTED_VALUE"""),"20260312_コミックルーム_嫌われ影魔法使いの幸福な誤算 。〜砂漠の王子に拾われて、恵みの聖女になりました〜（略称：影魔法令嬢）")</f>
        <v>20260312_コミックルーム_嫌われ影魔法使いの幸福な誤算 。〜砂漠の王子に拾われて、恵みの聖女になりました〜（略称：影魔法令嬢）</v>
      </c>
      <c r="T4910" s="22" t="str">
        <f>IFERROR(__xludf.DUMMYFUNCTION("""COMPUTED_VALUE"""),"格納済み")</f>
        <v>格納済み</v>
      </c>
      <c r="U4910" s="9" t="str">
        <f>IFERROR(__xludf.DUMMYFUNCTION("""COMPUTED_VALUE"""),"(c)齋宮太郎／COMIC ROOM")</f>
        <v>(c)齋宮太郎／COMIC ROOM</v>
      </c>
      <c r="V4910" s="8"/>
      <c r="W4910" s="8"/>
      <c r="X4910" s="8" t="str">
        <f>IFERROR(__xludf.DUMMYFUNCTION("""COMPUTED_VALUE"""),"有")</f>
        <v>有</v>
      </c>
      <c r="Y4910" s="8" t="str">
        <f>IFERROR(__xludf.DUMMYFUNCTION("""COMPUTED_VALUE"""),"P12まで")</f>
        <v>P12まで</v>
      </c>
      <c r="Z4910" s="7"/>
      <c r="AA4910" s="7"/>
      <c r="AB4910" s="7"/>
    </row>
    <row r="4911" ht="15.75" customHeight="1">
      <c r="A4911" s="26">
        <f>IFERROR(__xludf.DUMMYFUNCTION("""COMPUTED_VALUE"""),7668.0)</f>
        <v>7668</v>
      </c>
      <c r="B4911" s="22" t="str">
        <f>IFERROR(__xludf.DUMMYFUNCTION("""COMPUTED_VALUE"""),"確定")</f>
        <v>確定</v>
      </c>
      <c r="C4911" s="28">
        <f>IFERROR(__xludf.DUMMYFUNCTION("""COMPUTED_VALUE"""),46093.0)</f>
        <v>46093</v>
      </c>
      <c r="D4911" s="28">
        <f>IFERROR(__xludf.DUMMYFUNCTION("""COMPUTED_VALUE"""),46098.0)</f>
        <v>46098</v>
      </c>
      <c r="E4911" s="26">
        <f>IFERROR(__xludf.DUMMYFUNCTION("""COMPUTED_VALUE"""),355452.0)</f>
        <v>355452</v>
      </c>
      <c r="F4911" s="22" t="str">
        <f>IFERROR(__xludf.DUMMYFUNCTION("""COMPUTED_VALUE"""),"無敗の戦姫は、王太子の溺愛に抗えない")</f>
        <v>無敗の戦姫は、王太子の溺愛に抗えない</v>
      </c>
      <c r="G4911" s="20" t="str">
        <f>IFERROR(__xludf.DUMMYFUNCTION("""COMPUTED_VALUE"""),"1～2")</f>
        <v>1～2</v>
      </c>
      <c r="H4911" s="22" t="str">
        <f>IFERROR(__xludf.DUMMYFUNCTION("""COMPUTED_VALUE"""),"popopo／COMIC ROOM")</f>
        <v>popopo／COMIC ROOM</v>
      </c>
      <c r="I4911" s="22" t="str">
        <f>IFERROR(__xludf.DUMMYFUNCTION("""COMPUTED_VALUE"""),"女性")</f>
        <v>女性</v>
      </c>
      <c r="J4911" s="22"/>
      <c r="K4911" s="22"/>
      <c r="L4911" s="22" t="str">
        <f>IFERROR(__xludf.DUMMYFUNCTION("""COMPUTED_VALUE"""),"コミックルーム")</f>
        <v>コミックルーム</v>
      </c>
      <c r="M4911" s="33">
        <f>IFERROR(__xludf.DUMMYFUNCTION("""COMPUTED_VALUE"""),46127.0)</f>
        <v>46127</v>
      </c>
      <c r="N4911" s="33">
        <f>IFERROR(__xludf.DUMMYFUNCTION("""COMPUTED_VALUE"""),46217.0)</f>
        <v>46217</v>
      </c>
      <c r="O4911" s="20"/>
      <c r="P4911" s="32" t="str">
        <f>IFERROR(__xludf.DUMMYFUNCTION("""COMPUTED_VALUE"""),"可")</f>
        <v>可</v>
      </c>
      <c r="Q4911" s="30" t="str">
        <f>IFERROR(__xludf.DUMMYFUNCTION("""COMPUTED_VALUE"""),"格納素材を2分割して初回1~2巻として配信します。")</f>
        <v>格納素材を2分割して初回1~2巻として配信します。</v>
      </c>
      <c r="R4911" s="22"/>
      <c r="S4911" s="22" t="str">
        <f>IFERROR(__xludf.DUMMYFUNCTION("""COMPUTED_VALUE"""),"20260312_コミックルーム_無敗の戦姫（いくさひめ）は、王太子の溺愛に抗えない（略称：戦姫令嬢）")</f>
        <v>20260312_コミックルーム_無敗の戦姫（いくさひめ）は、王太子の溺愛に抗えない（略称：戦姫令嬢）</v>
      </c>
      <c r="T4911" s="22" t="str">
        <f>IFERROR(__xludf.DUMMYFUNCTION("""COMPUTED_VALUE"""),"格納済み")</f>
        <v>格納済み</v>
      </c>
      <c r="U4911" s="9" t="str">
        <f>IFERROR(__xludf.DUMMYFUNCTION("""COMPUTED_VALUE"""),"(c)popopo／COMIC ROOM")</f>
        <v>(c)popopo／COMIC ROOM</v>
      </c>
      <c r="V4911" s="8"/>
      <c r="W4911" s="8"/>
      <c r="X4911" s="8" t="str">
        <f>IFERROR(__xludf.DUMMYFUNCTION("""COMPUTED_VALUE"""),"有")</f>
        <v>有</v>
      </c>
      <c r="Y4911" s="8" t="str">
        <f>IFERROR(__xludf.DUMMYFUNCTION("""COMPUTED_VALUE"""),"P15まで")</f>
        <v>P15まで</v>
      </c>
      <c r="Z4911" s="7"/>
      <c r="AA4911" s="7"/>
      <c r="AB4911" s="7"/>
    </row>
    <row r="4912" ht="15.75" customHeight="1">
      <c r="A4912" s="26">
        <f>IFERROR(__xludf.DUMMYFUNCTION("""COMPUTED_VALUE"""),7669.0)</f>
        <v>7669</v>
      </c>
      <c r="B4912" s="22" t="str">
        <f>IFERROR(__xludf.DUMMYFUNCTION("""COMPUTED_VALUE"""),"確定")</f>
        <v>確定</v>
      </c>
      <c r="C4912" s="28">
        <f>IFERROR(__xludf.DUMMYFUNCTION("""COMPUTED_VALUE"""),46093.0)</f>
        <v>46093</v>
      </c>
      <c r="D4912" s="28">
        <f>IFERROR(__xludf.DUMMYFUNCTION("""COMPUTED_VALUE"""),46098.0)</f>
        <v>46098</v>
      </c>
      <c r="E4912" s="26">
        <f>IFERROR(__xludf.DUMMYFUNCTION("""COMPUTED_VALUE"""),355453.0)</f>
        <v>355453</v>
      </c>
      <c r="F4912" s="22" t="str">
        <f>IFERROR(__xludf.DUMMYFUNCTION("""COMPUTED_VALUE"""),"憎き貴方が、私の最愛になるまで")</f>
        <v>憎き貴方が、私の最愛になるまで</v>
      </c>
      <c r="G4912" s="20" t="str">
        <f>IFERROR(__xludf.DUMMYFUNCTION("""COMPUTED_VALUE"""),"1～2")</f>
        <v>1～2</v>
      </c>
      <c r="H4912" s="22" t="str">
        <f>IFERROR(__xludf.DUMMYFUNCTION("""COMPUTED_VALUE"""),"天王聖／COMIC ROOM")</f>
        <v>天王聖／COMIC ROOM</v>
      </c>
      <c r="I4912" s="22" t="str">
        <f>IFERROR(__xludf.DUMMYFUNCTION("""COMPUTED_VALUE"""),"女性")</f>
        <v>女性</v>
      </c>
      <c r="J4912" s="22"/>
      <c r="K4912" s="22"/>
      <c r="L4912" s="22" t="str">
        <f>IFERROR(__xludf.DUMMYFUNCTION("""COMPUTED_VALUE"""),"コミックルーム")</f>
        <v>コミックルーム</v>
      </c>
      <c r="M4912" s="33">
        <f>IFERROR(__xludf.DUMMYFUNCTION("""COMPUTED_VALUE"""),46127.0)</f>
        <v>46127</v>
      </c>
      <c r="N4912" s="33">
        <f>IFERROR(__xludf.DUMMYFUNCTION("""COMPUTED_VALUE"""),46217.0)</f>
        <v>46217</v>
      </c>
      <c r="O4912" s="20"/>
      <c r="P4912" s="32" t="str">
        <f>IFERROR(__xludf.DUMMYFUNCTION("""COMPUTED_VALUE"""),"可")</f>
        <v>可</v>
      </c>
      <c r="Q4912" s="30" t="str">
        <f>IFERROR(__xludf.DUMMYFUNCTION("""COMPUTED_VALUE"""),"格納素材を2分割して初回1~2巻として配信します")</f>
        <v>格納素材を2分割して初回1~2巻として配信します</v>
      </c>
      <c r="R4912" s="22"/>
      <c r="S4912" s="22" t="str">
        <f>IFERROR(__xludf.DUMMYFUNCTION("""COMPUTED_VALUE"""),"20260312_コミックルーム_憎き貴方が、私の最愛になるまで（略称：タイムスリップ令嬢）")</f>
        <v>20260312_コミックルーム_憎き貴方が、私の最愛になるまで（略称：タイムスリップ令嬢）</v>
      </c>
      <c r="T4912" s="22" t="str">
        <f>IFERROR(__xludf.DUMMYFUNCTION("""COMPUTED_VALUE"""),"格納済み")</f>
        <v>格納済み</v>
      </c>
      <c r="U4912" s="9" t="str">
        <f>IFERROR(__xludf.DUMMYFUNCTION("""COMPUTED_VALUE"""),"(c)天王聖／COMIC ROOM")</f>
        <v>(c)天王聖／COMIC ROOM</v>
      </c>
      <c r="V4912" s="8"/>
      <c r="W4912" s="8"/>
      <c r="X4912" s="8" t="str">
        <f>IFERROR(__xludf.DUMMYFUNCTION("""COMPUTED_VALUE"""),"有")</f>
        <v>有</v>
      </c>
      <c r="Y4912" s="8" t="str">
        <f>IFERROR(__xludf.DUMMYFUNCTION("""COMPUTED_VALUE"""),"P14まで")</f>
        <v>P14まで</v>
      </c>
      <c r="Z4912" s="7"/>
      <c r="AA4912" s="7"/>
      <c r="AB4912" s="7"/>
    </row>
    <row r="4913" ht="15.75" customHeight="1">
      <c r="A4913" s="26">
        <f>IFERROR(__xludf.DUMMYFUNCTION("""COMPUTED_VALUE"""),7670.0)</f>
        <v>7670</v>
      </c>
      <c r="B4913" s="22" t="str">
        <f>IFERROR(__xludf.DUMMYFUNCTION("""COMPUTED_VALUE"""),"確定")</f>
        <v>確定</v>
      </c>
      <c r="C4913" s="28">
        <f>IFERROR(__xludf.DUMMYFUNCTION("""COMPUTED_VALUE"""),46093.0)</f>
        <v>46093</v>
      </c>
      <c r="D4913" s="28">
        <f>IFERROR(__xludf.DUMMYFUNCTION("""COMPUTED_VALUE"""),46098.0)</f>
        <v>46098</v>
      </c>
      <c r="E4913" s="26">
        <f>IFERROR(__xludf.DUMMYFUNCTION("""COMPUTED_VALUE"""),355454.0)</f>
        <v>355454</v>
      </c>
      <c r="F4913" s="22" t="str">
        <f>IFERROR(__xludf.DUMMYFUNCTION("""COMPUTED_VALUE"""),"身の程知らずの恋だったのに。～下女同然の私が、次期侯爵様の「最愛」になるまで～")</f>
        <v>身の程知らずの恋だったのに。～下女同然の私が、次期侯爵様の「最愛」になるまで～</v>
      </c>
      <c r="G4913" s="20" t="str">
        <f>IFERROR(__xludf.DUMMYFUNCTION("""COMPUTED_VALUE"""),"1～2")</f>
        <v>1～2</v>
      </c>
      <c r="H4913" s="22" t="str">
        <f>IFERROR(__xludf.DUMMYFUNCTION("""COMPUTED_VALUE"""),"石川きよにゃ／キイロイホウ／COMIC ROOM")</f>
        <v>石川きよにゃ／キイロイホウ／COMIC ROOM</v>
      </c>
      <c r="I4913" s="22" t="str">
        <f>IFERROR(__xludf.DUMMYFUNCTION("""COMPUTED_VALUE"""),"女性")</f>
        <v>女性</v>
      </c>
      <c r="J4913" s="22"/>
      <c r="K4913" s="22"/>
      <c r="L4913" s="22" t="str">
        <f>IFERROR(__xludf.DUMMYFUNCTION("""COMPUTED_VALUE"""),"コミックルーム")</f>
        <v>コミックルーム</v>
      </c>
      <c r="M4913" s="33">
        <f>IFERROR(__xludf.DUMMYFUNCTION("""COMPUTED_VALUE"""),46127.0)</f>
        <v>46127</v>
      </c>
      <c r="N4913" s="33">
        <f>IFERROR(__xludf.DUMMYFUNCTION("""COMPUTED_VALUE"""),46217.0)</f>
        <v>46217</v>
      </c>
      <c r="O4913" s="20"/>
      <c r="P4913" s="32" t="str">
        <f>IFERROR(__xludf.DUMMYFUNCTION("""COMPUTED_VALUE"""),"可")</f>
        <v>可</v>
      </c>
      <c r="Q4913" s="30" t="str">
        <f>IFERROR(__xludf.DUMMYFUNCTION("""COMPUTED_VALUE"""),"格納素材を2分割して初回1~2巻として配信します")</f>
        <v>格納素材を2分割して初回1~2巻として配信します</v>
      </c>
      <c r="R4913" s="22"/>
      <c r="S4913" s="22" t="str">
        <f>IFERROR(__xludf.DUMMYFUNCTION("""COMPUTED_VALUE"""),"20260312_コミックルーム_身の程知らずの恋だったのに。～下女同然の私が、次期侯爵様の「最愛」になるまで～（略称：薬草姫）")</f>
        <v>20260312_コミックルーム_身の程知らずの恋だったのに。～下女同然の私が、次期侯爵様の「最愛」になるまで～（略称：薬草姫）</v>
      </c>
      <c r="T4913" s="22" t="str">
        <f>IFERROR(__xludf.DUMMYFUNCTION("""COMPUTED_VALUE"""),"格納済み")</f>
        <v>格納済み</v>
      </c>
      <c r="U4913" s="9" t="str">
        <f>IFERROR(__xludf.DUMMYFUNCTION("""COMPUTED_VALUE"""),"(c)石川きよにゃ／キイロイホウ／COMIC ROOM")</f>
        <v>(c)石川きよにゃ／キイロイホウ／COMIC ROOM</v>
      </c>
      <c r="V4913" s="8"/>
      <c r="W4913" s="8"/>
      <c r="X4913" s="8" t="str">
        <f>IFERROR(__xludf.DUMMYFUNCTION("""COMPUTED_VALUE"""),"有")</f>
        <v>有</v>
      </c>
      <c r="Y4913" s="8" t="str">
        <f>IFERROR(__xludf.DUMMYFUNCTION("""COMPUTED_VALUE"""),"P10まで")</f>
        <v>P10まで</v>
      </c>
      <c r="Z4913" s="7"/>
      <c r="AA4913" s="7"/>
      <c r="AB4913" s="7"/>
    </row>
    <row r="4914" ht="15.75" customHeight="1">
      <c r="A4914" s="26">
        <f>IFERROR(__xludf.DUMMYFUNCTION("""COMPUTED_VALUE"""),7672.0)</f>
        <v>7672</v>
      </c>
      <c r="B4914" s="22" t="str">
        <f>IFERROR(__xludf.DUMMYFUNCTION("""COMPUTED_VALUE"""),"確定")</f>
        <v>確定</v>
      </c>
      <c r="C4914" s="28">
        <f>IFERROR(__xludf.DUMMYFUNCTION("""COMPUTED_VALUE"""),46093.0)</f>
        <v>46093</v>
      </c>
      <c r="D4914" s="28">
        <f>IFERROR(__xludf.DUMMYFUNCTION("""COMPUTED_VALUE"""),46098.0)</f>
        <v>46098</v>
      </c>
      <c r="E4914" s="26">
        <f>IFERROR(__xludf.DUMMYFUNCTION("""COMPUTED_VALUE"""),357325.0)</f>
        <v>357325</v>
      </c>
      <c r="F4914" s="22" t="str">
        <f>IFERROR(__xludf.DUMMYFUNCTION("""COMPUTED_VALUE"""),"だってこれが初恋")</f>
        <v>だってこれが初恋</v>
      </c>
      <c r="G4914" s="20">
        <f>IFERROR(__xludf.DUMMYFUNCTION("""COMPUTED_VALUE"""),1.0)</f>
        <v>1</v>
      </c>
      <c r="H4914" s="22" t="str">
        <f>IFERROR(__xludf.DUMMYFUNCTION("""COMPUTED_VALUE"""),"桃白茉乃")</f>
        <v>桃白茉乃</v>
      </c>
      <c r="I4914" s="22" t="str">
        <f>IFERROR(__xludf.DUMMYFUNCTION("""COMPUTED_VALUE"""),"少女マンガ")</f>
        <v>少女マンガ</v>
      </c>
      <c r="J4914" s="22"/>
      <c r="K4914" s="22"/>
      <c r="L4914" s="22" t="str">
        <f>IFERROR(__xludf.DUMMYFUNCTION("""COMPUTED_VALUE"""),"集英社")</f>
        <v>集英社</v>
      </c>
      <c r="M4914" s="33">
        <f>IFERROR(__xludf.DUMMYFUNCTION("""COMPUTED_VALUE"""),46138.0)</f>
        <v>46138</v>
      </c>
      <c r="N4914" s="33">
        <f>IFERROR(__xludf.DUMMYFUNCTION("""COMPUTED_VALUE"""),46166.0)</f>
        <v>46166</v>
      </c>
      <c r="O4914" s="20"/>
      <c r="P4914" s="32" t="str">
        <f>IFERROR(__xludf.DUMMYFUNCTION("""COMPUTED_VALUE"""),"否")</f>
        <v>否</v>
      </c>
      <c r="Q4914" s="30" t="str">
        <f>IFERROR(__xludf.DUMMYFUNCTION("""COMPUTED_VALUE"""),"単行本先行です")</f>
        <v>単行本先行です</v>
      </c>
      <c r="R4914" s="22"/>
      <c r="S4914" s="22" t="str">
        <f>IFERROR(__xludf.DUMMYFUNCTION("""COMPUTED_VALUE"""),"20260312_集英社_だってこれが初恋")</f>
        <v>20260312_集英社_だってこれが初恋</v>
      </c>
      <c r="T4914" s="22" t="str">
        <f>IFERROR(__xludf.DUMMYFUNCTION("""COMPUTED_VALUE"""),"格納済み")</f>
        <v>格納済み</v>
      </c>
      <c r="U4914" s="9" t="str">
        <f>IFERROR(__xludf.DUMMYFUNCTION("""COMPUTED_VALUE"""),"(c)桃白茉乃／集英社")</f>
        <v>(c)桃白茉乃／集英社</v>
      </c>
      <c r="V4914" s="8"/>
      <c r="W4914" s="8"/>
      <c r="X4914" s="8" t="str">
        <f>IFERROR(__xludf.DUMMYFUNCTION("""COMPUTED_VALUE"""),"有")</f>
        <v>有</v>
      </c>
      <c r="Y4914" s="8" t="str">
        <f>IFERROR(__xludf.DUMMYFUNCTION("""COMPUTED_VALUE"""),"P20まで")</f>
        <v>P20まで</v>
      </c>
      <c r="Z4914" s="7"/>
      <c r="AA4914" s="7"/>
      <c r="AB4914" s="7"/>
    </row>
    <row r="4915" ht="15.75" customHeight="1">
      <c r="A4915" s="26">
        <f>IFERROR(__xludf.DUMMYFUNCTION("""COMPUTED_VALUE"""),7686.0)</f>
        <v>7686</v>
      </c>
      <c r="B4915" s="22" t="str">
        <f>IFERROR(__xludf.DUMMYFUNCTION("""COMPUTED_VALUE"""),"確定")</f>
        <v>確定</v>
      </c>
      <c r="C4915" s="28">
        <f>IFERROR(__xludf.DUMMYFUNCTION("""COMPUTED_VALUE"""),46094.0)</f>
        <v>46094</v>
      </c>
      <c r="D4915" s="28">
        <f>IFERROR(__xludf.DUMMYFUNCTION("""COMPUTED_VALUE"""),46098.0)</f>
        <v>46098</v>
      </c>
      <c r="E4915" s="26">
        <f>IFERROR(__xludf.DUMMYFUNCTION("""COMPUTED_VALUE"""),357097.0)</f>
        <v>357097</v>
      </c>
      <c r="F4915" s="22" t="str">
        <f>IFERROR(__xludf.DUMMYFUNCTION("""COMPUTED_VALUE"""),"勇者遺族 分冊版")</f>
        <v>勇者遺族 分冊版</v>
      </c>
      <c r="G4915" s="20" t="str">
        <f>IFERROR(__xludf.DUMMYFUNCTION("""COMPUTED_VALUE"""),"1～12")</f>
        <v>1～12</v>
      </c>
      <c r="H4915" s="22" t="str">
        <f>IFERROR(__xludf.DUMMYFUNCTION("""COMPUTED_VALUE"""),"印牧巻")</f>
        <v>印牧巻</v>
      </c>
      <c r="I4915" s="22" t="str">
        <f>IFERROR(__xludf.DUMMYFUNCTION("""COMPUTED_VALUE"""),"青年マンガ")</f>
        <v>青年マンガ</v>
      </c>
      <c r="J4915" s="22"/>
      <c r="K4915" s="22" t="str">
        <f>IFERROR(__xludf.DUMMYFUNCTION("""COMPUTED_VALUE"""),"となりのヤングジャンプ")</f>
        <v>となりのヤングジャンプ</v>
      </c>
      <c r="L4915" s="22" t="str">
        <f>IFERROR(__xludf.DUMMYFUNCTION("""COMPUTED_VALUE"""),"集英社")</f>
        <v>集英社</v>
      </c>
      <c r="M4915" s="33">
        <f>IFERROR(__xludf.DUMMYFUNCTION("""COMPUTED_VALUE"""),46129.0)</f>
        <v>46129</v>
      </c>
      <c r="N4915" s="33">
        <f>IFERROR(__xludf.DUMMYFUNCTION("""COMPUTED_VALUE"""),46190.0)</f>
        <v>46190</v>
      </c>
      <c r="O4915" s="20"/>
      <c r="P4915" s="32" t="str">
        <f>IFERROR(__xludf.DUMMYFUNCTION("""COMPUTED_VALUE"""),"否")</f>
        <v>否</v>
      </c>
      <c r="Q4915" s="30" t="str">
        <f>IFERROR(__xludf.DUMMYFUNCTION("""COMPUTED_VALUE"""),"【アウトバウンド提案】&lt;BR&gt;1～3巻は2分割するので1～6巻なり、計10巻分の素材です。こちらで広告制作お願いいたします。")</f>
        <v>【アウトバウンド提案】&lt;BR&gt;1～3巻は2分割するので1～6巻なり、計10巻分の素材です。こちらで広告制作お願いいたします。</v>
      </c>
      <c r="R4915" s="22"/>
      <c r="S4915" s="22" t="str">
        <f>IFERROR(__xludf.DUMMYFUNCTION("""COMPUTED_VALUE"""),"20260313_集英社_勇者遺族")</f>
        <v>20260313_集英社_勇者遺族</v>
      </c>
      <c r="T4915" s="22" t="str">
        <f>IFERROR(__xludf.DUMMYFUNCTION("""COMPUTED_VALUE"""),"格納済み")</f>
        <v>格納済み</v>
      </c>
      <c r="U4915" s="9" t="str">
        <f>IFERROR(__xludf.DUMMYFUNCTION("""COMPUTED_VALUE"""),"(c)印牧巻／集英社")</f>
        <v>(c)印牧巻／集英社</v>
      </c>
      <c r="V4915" s="8"/>
      <c r="W4915" s="8"/>
      <c r="X4915" s="8" t="str">
        <f>IFERROR(__xludf.DUMMYFUNCTION("""COMPUTED_VALUE"""),"有")</f>
        <v>有</v>
      </c>
      <c r="Y4915" s="8" t="str">
        <f>IFERROR(__xludf.DUMMYFUNCTION("""COMPUTED_VALUE"""),"2026/5/16まで1～2巻無料")</f>
        <v>2026/5/16まで1～2巻無料</v>
      </c>
      <c r="Z4915" s="7"/>
      <c r="AA4915" s="7"/>
      <c r="AB4915" s="7"/>
    </row>
    <row r="4916" ht="15.75" customHeight="1">
      <c r="A4916" s="26">
        <f>IFERROR(__xludf.DUMMYFUNCTION("""COMPUTED_VALUE"""),7692.0)</f>
        <v>7692</v>
      </c>
      <c r="B4916" s="22" t="str">
        <f>IFERROR(__xludf.DUMMYFUNCTION("""COMPUTED_VALUE"""),"確定")</f>
        <v>確定</v>
      </c>
      <c r="C4916" s="28">
        <f>IFERROR(__xludf.DUMMYFUNCTION("""COMPUTED_VALUE"""),46094.0)</f>
        <v>46094</v>
      </c>
      <c r="D4916" s="28">
        <f>IFERROR(__xludf.DUMMYFUNCTION("""COMPUTED_VALUE"""),46098.0)</f>
        <v>46098</v>
      </c>
      <c r="E4916" s="26">
        <f>IFERROR(__xludf.DUMMYFUNCTION("""COMPUTED_VALUE"""),345347.0)</f>
        <v>345347</v>
      </c>
      <c r="F4916" s="22" t="str">
        <f>IFERROR(__xludf.DUMMYFUNCTION("""COMPUTED_VALUE"""),"無責任のゆくえ～復讐のチャンネル～")</f>
        <v>無責任のゆくえ～復讐のチャンネル～</v>
      </c>
      <c r="G4916" s="20" t="str">
        <f>IFERROR(__xludf.DUMMYFUNCTION("""COMPUTED_VALUE"""),"1～3")</f>
        <v>1～3</v>
      </c>
      <c r="H4916" s="22" t="str">
        <f>IFERROR(__xludf.DUMMYFUNCTION("""COMPUTED_VALUE"""),"アルネコウ,じゅんた,かきとめ,鳳翔雨月")</f>
        <v>アルネコウ,じゅんた,かきとめ,鳳翔雨月</v>
      </c>
      <c r="I4916" s="22" t="str">
        <f>IFERROR(__xludf.DUMMYFUNCTION("""COMPUTED_VALUE"""),"青年マンガ")</f>
        <v>青年マンガ</v>
      </c>
      <c r="J4916" s="22"/>
      <c r="K4916" s="22" t="str">
        <f>IFERROR(__xludf.DUMMYFUNCTION("""COMPUTED_VALUE"""),"トレモア・スプラッシュ,トレモアcollection")</f>
        <v>トレモア・スプラッシュ,トレモアcollection</v>
      </c>
      <c r="L4916" s="22" t="str">
        <f>IFERROR(__xludf.DUMMYFUNCTION("""COMPUTED_VALUE"""),"シーモアコミックス（トレモア）")</f>
        <v>シーモアコミックス（トレモア）</v>
      </c>
      <c r="M4916" s="33">
        <f>IFERROR(__xludf.DUMMYFUNCTION("""COMPUTED_VALUE"""),46136.0)</f>
        <v>46136</v>
      </c>
      <c r="N4916" s="33">
        <f>IFERROR(__xludf.DUMMYFUNCTION("""COMPUTED_VALUE"""),2958465.0)</f>
        <v>2958465</v>
      </c>
      <c r="O4916" s="20"/>
      <c r="P4916" s="32" t="str">
        <f>IFERROR(__xludf.DUMMYFUNCTION("""COMPUTED_VALUE"""),"可")</f>
        <v>可</v>
      </c>
      <c r="Q4916" s="30"/>
      <c r="R4916" s="22"/>
      <c r="S4916" s="22" t="str">
        <f>IFERROR(__xludf.DUMMYFUNCTION("""COMPUTED_VALUE"""),"20260313_シーモアコミックス_無責任のゆくえ～復讐のチャンネル～")</f>
        <v>20260313_シーモアコミックス_無責任のゆくえ～復讐のチャンネル～</v>
      </c>
      <c r="T4916" s="22" t="str">
        <f>IFERROR(__xludf.DUMMYFUNCTION("""COMPUTED_VALUE"""),"格納済み")</f>
        <v>格納済み</v>
      </c>
      <c r="U4916" s="9" t="str">
        <f>IFERROR(__xludf.DUMMYFUNCTION("""COMPUTED_VALUE"""),"(C) アルネコウ/じゅんた/かきとめ/鳳翔雨月/シーモアコミックス")</f>
        <v>(C) アルネコウ/じゅんた/かきとめ/鳳翔雨月/シーモアコミックス</v>
      </c>
      <c r="V4916" s="8"/>
      <c r="W4916" s="8"/>
      <c r="X4916" s="8" t="str">
        <f>IFERROR(__xludf.DUMMYFUNCTION("""COMPUTED_VALUE"""),"有")</f>
        <v>有</v>
      </c>
      <c r="Y4916" s="8" t="str">
        <f>IFERROR(__xludf.DUMMYFUNCTION("""COMPUTED_VALUE"""),"2026/12/31まで1巻無料")</f>
        <v>2026/12/31まで1巻無料</v>
      </c>
      <c r="Z4916" s="7"/>
      <c r="AA4916" s="7"/>
      <c r="AB4916" s="7"/>
    </row>
    <row r="4917" ht="15.75" customHeight="1">
      <c r="A4917" s="26">
        <f>IFERROR(__xludf.DUMMYFUNCTION("""COMPUTED_VALUE"""),7693.0)</f>
        <v>7693</v>
      </c>
      <c r="B4917" s="22" t="str">
        <f>IFERROR(__xludf.DUMMYFUNCTION("""COMPUTED_VALUE"""),"確定")</f>
        <v>確定</v>
      </c>
      <c r="C4917" s="28">
        <f>IFERROR(__xludf.DUMMYFUNCTION("""COMPUTED_VALUE"""),46094.0)</f>
        <v>46094</v>
      </c>
      <c r="D4917" s="28">
        <f>IFERROR(__xludf.DUMMYFUNCTION("""COMPUTED_VALUE"""),46098.0)</f>
        <v>46098</v>
      </c>
      <c r="E4917" s="26">
        <f>IFERROR(__xludf.DUMMYFUNCTION("""COMPUTED_VALUE"""),340366.0)</f>
        <v>340366</v>
      </c>
      <c r="F4917" s="22" t="str">
        <f>IFERROR(__xludf.DUMMYFUNCTION("""COMPUTED_VALUE"""),"復讐マネージャー")</f>
        <v>復讐マネージャー</v>
      </c>
      <c r="G4917" s="20" t="str">
        <f>IFERROR(__xludf.DUMMYFUNCTION("""COMPUTED_VALUE"""),"1～3")</f>
        <v>1～3</v>
      </c>
      <c r="H4917" s="22" t="str">
        <f>IFERROR(__xludf.DUMMYFUNCTION("""COMPUTED_VALUE"""),"山川杏")</f>
        <v>山川杏</v>
      </c>
      <c r="I4917" s="22" t="str">
        <f>IFERROR(__xludf.DUMMYFUNCTION("""COMPUTED_VALUE"""),"青年マンガ")</f>
        <v>青年マンガ</v>
      </c>
      <c r="J4917" s="22"/>
      <c r="K4917" s="22" t="str">
        <f>IFERROR(__xludf.DUMMYFUNCTION("""COMPUTED_VALUE"""),"トレモア・スプラッシュ,トレモアcollection")</f>
        <v>トレモア・スプラッシュ,トレモアcollection</v>
      </c>
      <c r="L4917" s="22" t="str">
        <f>IFERROR(__xludf.DUMMYFUNCTION("""COMPUTED_VALUE"""),"シーモアコミックス（トレモア）")</f>
        <v>シーモアコミックス（トレモア）</v>
      </c>
      <c r="M4917" s="33">
        <f>IFERROR(__xludf.DUMMYFUNCTION("""COMPUTED_VALUE"""),46136.0)</f>
        <v>46136</v>
      </c>
      <c r="N4917" s="33">
        <f>IFERROR(__xludf.DUMMYFUNCTION("""COMPUTED_VALUE"""),46317.66666666667)</f>
        <v>46317.66667</v>
      </c>
      <c r="O4917" s="20"/>
      <c r="P4917" s="32" t="str">
        <f>IFERROR(__xludf.DUMMYFUNCTION("""COMPUTED_VALUE"""),"可")</f>
        <v>可</v>
      </c>
      <c r="Q4917" s="30"/>
      <c r="R4917" s="22"/>
      <c r="S4917" s="22" t="str">
        <f>IFERROR(__xludf.DUMMYFUNCTION("""COMPUTED_VALUE"""),"20260313_シーモアコミックス_復讐マネージャー")</f>
        <v>20260313_シーモアコミックス_復讐マネージャー</v>
      </c>
      <c r="T4917" s="22" t="str">
        <f>IFERROR(__xludf.DUMMYFUNCTION("""COMPUTED_VALUE"""),"格納済み")</f>
        <v>格納済み</v>
      </c>
      <c r="U4917" s="9" t="str">
        <f>IFERROR(__xludf.DUMMYFUNCTION("""COMPUTED_VALUE"""),"(C) 山川杏/シーモアコミックス")</f>
        <v>(C) 山川杏/シーモアコミックス</v>
      </c>
      <c r="V4917" s="8"/>
      <c r="W4917" s="8"/>
      <c r="X4917" s="8" t="str">
        <f>IFERROR(__xludf.DUMMYFUNCTION("""COMPUTED_VALUE"""),"有")</f>
        <v>有</v>
      </c>
      <c r="Y4917" s="8" t="str">
        <f>IFERROR(__xludf.DUMMYFUNCTION("""COMPUTED_VALUE"""),"2026/12/31まで1巻無料")</f>
        <v>2026/12/31まで1巻無料</v>
      </c>
      <c r="Z4917" s="7"/>
      <c r="AA4917" s="7"/>
      <c r="AB4917" s="7"/>
    </row>
    <row r="4918" ht="15.75" customHeight="1">
      <c r="A4918" s="26">
        <f>IFERROR(__xludf.DUMMYFUNCTION("""COMPUTED_VALUE"""),7699.0)</f>
        <v>7699</v>
      </c>
      <c r="B4918" s="22" t="str">
        <f>IFERROR(__xludf.DUMMYFUNCTION("""COMPUTED_VALUE"""),"確定")</f>
        <v>確定</v>
      </c>
      <c r="C4918" s="28">
        <f>IFERROR(__xludf.DUMMYFUNCTION("""COMPUTED_VALUE"""),46097.0)</f>
        <v>46097</v>
      </c>
      <c r="D4918" s="28">
        <f>IFERROR(__xludf.DUMMYFUNCTION("""COMPUTED_VALUE"""),46098.0)</f>
        <v>46098</v>
      </c>
      <c r="E4918" s="26">
        <f>IFERROR(__xludf.DUMMYFUNCTION("""COMPUTED_VALUE"""),324146.0)</f>
        <v>324146</v>
      </c>
      <c r="F4918" s="22" t="str">
        <f>IFERROR(__xludf.DUMMYFUNCTION("""COMPUTED_VALUE"""),"冷遇皇妃は死に戻る ～さよなら前世、今世では幸せになります～")</f>
        <v>冷遇皇妃は死に戻る ～さよなら前世、今世では幸せになります～</v>
      </c>
      <c r="G4918" s="20" t="str">
        <f>IFERROR(__xludf.DUMMYFUNCTION("""COMPUTED_VALUE"""),"1～4")</f>
        <v>1～4</v>
      </c>
      <c r="H4918" s="22" t="str">
        <f>IFERROR(__xludf.DUMMYFUNCTION("""COMPUTED_VALUE"""),"かしこ,夕香里")</f>
        <v>かしこ,夕香里</v>
      </c>
      <c r="I4918" s="22" t="str">
        <f>IFERROR(__xludf.DUMMYFUNCTION("""COMPUTED_VALUE"""),"少女マンガ")</f>
        <v>少女マンガ</v>
      </c>
      <c r="J4918" s="22"/>
      <c r="K4918" s="22" t="str">
        <f>IFERROR(__xludf.DUMMYFUNCTION("""COMPUTED_VALUE"""),"恋するソワレ")</f>
        <v>恋するソワレ</v>
      </c>
      <c r="L4918" s="22" t="str">
        <f>IFERROR(__xludf.DUMMYFUNCTION("""COMPUTED_VALUE"""),"シーモアコミックス")</f>
        <v>シーモアコミックス</v>
      </c>
      <c r="M4918" s="33">
        <f>IFERROR(__xludf.DUMMYFUNCTION("""COMPUTED_VALUE"""),46130.0)</f>
        <v>46130</v>
      </c>
      <c r="N4918" s="33">
        <f>IFERROR(__xludf.DUMMYFUNCTION("""COMPUTED_VALUE"""),46303.66666666667)</f>
        <v>46303.66667</v>
      </c>
      <c r="O4918" s="20"/>
      <c r="P4918" s="32" t="str">
        <f>IFERROR(__xludf.DUMMYFUNCTION("""COMPUTED_VALUE"""),"可")</f>
        <v>可</v>
      </c>
      <c r="Q4918" s="30"/>
      <c r="R4918" s="22"/>
      <c r="S4918" s="22" t="str">
        <f>IFERROR(__xludf.DUMMYFUNCTION("""COMPUTED_VALUE"""),"20260316_シーモアコミックス_冷遇皇妃は死に戻る ～さよなら前世、今世では幸せになります～")</f>
        <v>20260316_シーモアコミックス_冷遇皇妃は死に戻る ～さよなら前世、今世では幸せになります～</v>
      </c>
      <c r="T4918" s="22" t="str">
        <f>IFERROR(__xludf.DUMMYFUNCTION("""COMPUTED_VALUE"""),"格納済み")</f>
        <v>格納済み</v>
      </c>
      <c r="U4918" s="9" t="str">
        <f>IFERROR(__xludf.DUMMYFUNCTION("""COMPUTED_VALUE"""),"(C) かしこ/夕香里/シーモアコミックス")</f>
        <v>(C) かしこ/夕香里/シーモアコミックス</v>
      </c>
      <c r="V4918" s="8"/>
      <c r="W4918" s="8"/>
      <c r="X4918" s="8" t="str">
        <f>IFERROR(__xludf.DUMMYFUNCTION("""COMPUTED_VALUE"""),"有")</f>
        <v>有</v>
      </c>
      <c r="Y4918" s="8" t="str">
        <f>IFERROR(__xludf.DUMMYFUNCTION("""COMPUTED_VALUE"""),"2026/5/15まで1巻無料")</f>
        <v>2026/5/15まで1巻無料</v>
      </c>
      <c r="Z4918" s="7"/>
      <c r="AA4918" s="7"/>
      <c r="AB4918" s="7"/>
    </row>
    <row r="4919" ht="15.75" customHeight="1">
      <c r="A4919" s="26">
        <f>IFERROR(__xludf.DUMMYFUNCTION("""COMPUTED_VALUE"""),7702.0)</f>
        <v>7702</v>
      </c>
      <c r="B4919" s="22" t="str">
        <f>IFERROR(__xludf.DUMMYFUNCTION("""COMPUTED_VALUE"""),"確定")</f>
        <v>確定</v>
      </c>
      <c r="C4919" s="28">
        <f>IFERROR(__xludf.DUMMYFUNCTION("""COMPUTED_VALUE"""),46097.0)</f>
        <v>46097</v>
      </c>
      <c r="D4919" s="28">
        <f>IFERROR(__xludf.DUMMYFUNCTION("""COMPUTED_VALUE"""),46098.0)</f>
        <v>46098</v>
      </c>
      <c r="E4919" s="26">
        <f>IFERROR(__xludf.DUMMYFUNCTION("""COMPUTED_VALUE"""),248743.0)</f>
        <v>248743</v>
      </c>
      <c r="F4919" s="22" t="str">
        <f>IFERROR(__xludf.DUMMYFUNCTION("""COMPUTED_VALUE"""),"年下の指先にお熱")</f>
        <v>年下の指先にお熱</v>
      </c>
      <c r="G4919" s="20" t="str">
        <f>IFERROR(__xludf.DUMMYFUNCTION("""COMPUTED_VALUE"""),"1～3")</f>
        <v>1～3</v>
      </c>
      <c r="H4919" s="22" t="str">
        <f>IFERROR(__xludf.DUMMYFUNCTION("""COMPUTED_VALUE"""),"折井雛")</f>
        <v>折井雛</v>
      </c>
      <c r="I4919" s="22" t="str">
        <f>IFERROR(__xludf.DUMMYFUNCTION("""COMPUTED_VALUE"""),"BLマンガ")</f>
        <v>BLマンガ</v>
      </c>
      <c r="J4919" s="22"/>
      <c r="K4919" s="22" t="str">
        <f>IFERROR(__xludf.DUMMYFUNCTION("""COMPUTED_VALUE"""),"Ficus")</f>
        <v>Ficus</v>
      </c>
      <c r="L4919" s="22" t="str">
        <f>IFERROR(__xludf.DUMMYFUNCTION("""COMPUTED_VALUE"""),"シーモアコミックス")</f>
        <v>シーモアコミックス</v>
      </c>
      <c r="M4919" s="33">
        <f>IFERROR(__xludf.DUMMYFUNCTION("""COMPUTED_VALUE"""),46137.0)</f>
        <v>46137</v>
      </c>
      <c r="N4919" s="33">
        <f>IFERROR(__xludf.DUMMYFUNCTION("""COMPUTED_VALUE"""),2958465.0)</f>
        <v>2958465</v>
      </c>
      <c r="O4919" s="20"/>
      <c r="P4919" s="32" t="str">
        <f>IFERROR(__xludf.DUMMYFUNCTION("""COMPUTED_VALUE"""),"可")</f>
        <v>可</v>
      </c>
      <c r="Q4919" s="30" t="str">
        <f>IFERROR(__xludf.DUMMYFUNCTION("""COMPUTED_VALUE"""),"【アダルト作品扱い】")</f>
        <v>【アダルト作品扱い】</v>
      </c>
      <c r="R4919" s="22"/>
      <c r="S4919" s="22" t="str">
        <f>IFERROR(__xludf.DUMMYFUNCTION("""COMPUTED_VALUE"""),"20260316_シーモアコミックス_年下の指先にお熱")</f>
        <v>20260316_シーモアコミックス_年下の指先にお熱</v>
      </c>
      <c r="T4919" s="22" t="str">
        <f>IFERROR(__xludf.DUMMYFUNCTION("""COMPUTED_VALUE"""),"格納済み")</f>
        <v>格納済み</v>
      </c>
      <c r="U4919" s="9" t="str">
        <f>IFERROR(__xludf.DUMMYFUNCTION("""COMPUTED_VALUE"""),"(C) 折井雛/シーモアコミックス")</f>
        <v>(C) 折井雛/シーモアコミックス</v>
      </c>
      <c r="V4919" s="8"/>
      <c r="W4919" s="8"/>
      <c r="X4919" s="8" t="str">
        <f>IFERROR(__xludf.DUMMYFUNCTION("""COMPUTED_VALUE"""),"有")</f>
        <v>有</v>
      </c>
      <c r="Y4919" s="8" t="str">
        <f>IFERROR(__xludf.DUMMYFUNCTION("""COMPUTED_VALUE"""),"2026/5/22まで1巻無料")</f>
        <v>2026/5/22まで1巻無料</v>
      </c>
      <c r="Z4919" s="7"/>
      <c r="AA4919" s="7"/>
      <c r="AB4919" s="7"/>
    </row>
    <row r="4920" ht="15.75" customHeight="1">
      <c r="A4920" s="26">
        <f>IFERROR(__xludf.DUMMYFUNCTION("""COMPUTED_VALUE"""),7703.0)</f>
        <v>7703</v>
      </c>
      <c r="B4920" s="22" t="str">
        <f>IFERROR(__xludf.DUMMYFUNCTION("""COMPUTED_VALUE"""),"確定")</f>
        <v>確定</v>
      </c>
      <c r="C4920" s="28">
        <f>IFERROR(__xludf.DUMMYFUNCTION("""COMPUTED_VALUE"""),46097.0)</f>
        <v>46097</v>
      </c>
      <c r="D4920" s="28">
        <f>IFERROR(__xludf.DUMMYFUNCTION("""COMPUTED_VALUE"""),46098.0)</f>
        <v>46098</v>
      </c>
      <c r="E4920" s="26">
        <f>IFERROR(__xludf.DUMMYFUNCTION("""COMPUTED_VALUE"""),337909.0)</f>
        <v>337909</v>
      </c>
      <c r="F4920" s="22" t="str">
        <f>IFERROR(__xludf.DUMMYFUNCTION("""COMPUTED_VALUE"""),"おひとり様、母になる。")</f>
        <v>おひとり様、母になる。</v>
      </c>
      <c r="G4920" s="20" t="str">
        <f>IFERROR(__xludf.DUMMYFUNCTION("""COMPUTED_VALUE"""),"1～3")</f>
        <v>1～3</v>
      </c>
      <c r="H4920" s="22" t="str">
        <f>IFERROR(__xludf.DUMMYFUNCTION("""COMPUTED_VALUE"""),"萱乃童")</f>
        <v>萱乃童</v>
      </c>
      <c r="I4920" s="22" t="str">
        <f>IFERROR(__xludf.DUMMYFUNCTION("""COMPUTED_VALUE"""),"女性マンガ")</f>
        <v>女性マンガ</v>
      </c>
      <c r="J4920" s="22"/>
      <c r="K4920" s="22" t="str">
        <f>IFERROR(__xludf.DUMMYFUNCTION("""COMPUTED_VALUE"""),"恋するソワレ＋,恋するソワレ")</f>
        <v>恋するソワレ＋,恋するソワレ</v>
      </c>
      <c r="L4920" s="22" t="str">
        <f>IFERROR(__xludf.DUMMYFUNCTION("""COMPUTED_VALUE"""),"シーモアコミックス")</f>
        <v>シーモアコミックス</v>
      </c>
      <c r="M4920" s="33">
        <f>IFERROR(__xludf.DUMMYFUNCTION("""COMPUTED_VALUE"""),46137.0)</f>
        <v>46137</v>
      </c>
      <c r="N4920" s="33"/>
      <c r="O4920" s="20"/>
      <c r="P4920" s="32" t="str">
        <f>IFERROR(__xludf.DUMMYFUNCTION("""COMPUTED_VALUE"""),"可")</f>
        <v>可</v>
      </c>
      <c r="Q4920" s="30"/>
      <c r="R4920" s="22"/>
      <c r="S4920" s="22" t="str">
        <f>IFERROR(__xludf.DUMMYFUNCTION("""COMPUTED_VALUE"""),"20260316_シーモアコミックス_おひとり様、母になる。")</f>
        <v>20260316_シーモアコミックス_おひとり様、母になる。</v>
      </c>
      <c r="T4920" s="22" t="str">
        <f>IFERROR(__xludf.DUMMYFUNCTION("""COMPUTED_VALUE"""),"格納済み")</f>
        <v>格納済み</v>
      </c>
      <c r="U4920" s="9" t="str">
        <f>IFERROR(__xludf.DUMMYFUNCTION("""COMPUTED_VALUE"""),"(C) 萱乃童/シーモアコミックス")</f>
        <v>(C) 萱乃童/シーモアコミックス</v>
      </c>
      <c r="V4920" s="8"/>
      <c r="W4920" s="8"/>
      <c r="X4920" s="8" t="str">
        <f>IFERROR(__xludf.DUMMYFUNCTION("""COMPUTED_VALUE"""),"有")</f>
        <v>有</v>
      </c>
      <c r="Y4920" s="8" t="str">
        <f>IFERROR(__xludf.DUMMYFUNCTION("""COMPUTED_VALUE"""),"P14まで")</f>
        <v>P14まで</v>
      </c>
      <c r="Z4920" s="7"/>
      <c r="AA4920" s="7"/>
      <c r="AB4920" s="7"/>
    </row>
    <row r="4921" ht="15.75" customHeight="1">
      <c r="A4921" s="26">
        <f>IFERROR(__xludf.DUMMYFUNCTION("""COMPUTED_VALUE"""),7704.0)</f>
        <v>7704</v>
      </c>
      <c r="B4921" s="22" t="str">
        <f>IFERROR(__xludf.DUMMYFUNCTION("""COMPUTED_VALUE"""),"確定")</f>
        <v>確定</v>
      </c>
      <c r="C4921" s="28">
        <f>IFERROR(__xludf.DUMMYFUNCTION("""COMPUTED_VALUE"""),46097.0)</f>
        <v>46097</v>
      </c>
      <c r="D4921" s="28">
        <f>IFERROR(__xludf.DUMMYFUNCTION("""COMPUTED_VALUE"""),46099.0)</f>
        <v>46099</v>
      </c>
      <c r="E4921" s="26">
        <f>IFERROR(__xludf.DUMMYFUNCTION("""COMPUTED_VALUE"""),351441.0)</f>
        <v>351441</v>
      </c>
      <c r="F4921" s="22" t="str">
        <f>IFERROR(__xludf.DUMMYFUNCTION("""COMPUTED_VALUE"""),"小執事たちの珍客【タテヨミ】")</f>
        <v>小執事たちの珍客【タテヨミ】</v>
      </c>
      <c r="G4921" s="20" t="str">
        <f>IFERROR(__xludf.DUMMYFUNCTION("""COMPUTED_VALUE"""),"1～23")</f>
        <v>1～23</v>
      </c>
      <c r="H4921" s="22" t="str">
        <f>IFERROR(__xludf.DUMMYFUNCTION("""COMPUTED_VALUE"""),"和戸村")</f>
        <v>和戸村</v>
      </c>
      <c r="I4921" s="22" t="str">
        <f>IFERROR(__xludf.DUMMYFUNCTION("""COMPUTED_VALUE"""),"少女マンガ")</f>
        <v>少女マンガ</v>
      </c>
      <c r="J4921" s="22"/>
      <c r="K4921" s="22" t="str">
        <f>IFERROR(__xludf.DUMMYFUNCTION("""COMPUTED_VALUE"""),"恋するソワレ")</f>
        <v>恋するソワレ</v>
      </c>
      <c r="L4921" s="22" t="str">
        <f>IFERROR(__xludf.DUMMYFUNCTION("""COMPUTED_VALUE"""),"シーモアコミックス")</f>
        <v>シーモアコミックス</v>
      </c>
      <c r="M4921" s="33">
        <f>IFERROR(__xludf.DUMMYFUNCTION("""COMPUTED_VALUE"""),46137.0)</f>
        <v>46137</v>
      </c>
      <c r="N4921" s="33">
        <f>IFERROR(__xludf.DUMMYFUNCTION("""COMPUTED_VALUE"""),2958465.0)</f>
        <v>2958465</v>
      </c>
      <c r="O4921" s="20"/>
      <c r="P4921" s="32" t="str">
        <f>IFERROR(__xludf.DUMMYFUNCTION("""COMPUTED_VALUE"""),"可")</f>
        <v>可</v>
      </c>
      <c r="Q4921" s="30"/>
      <c r="R4921" s="22"/>
      <c r="S4921" s="22" t="str">
        <f>IFERROR(__xludf.DUMMYFUNCTION("""COMPUTED_VALUE"""),"20260316_シーモアコミックス_小執事たちの珍客【タテヨミ】")</f>
        <v>20260316_シーモアコミックス_小執事たちの珍客【タテヨミ】</v>
      </c>
      <c r="T4921" s="22" t="str">
        <f>IFERROR(__xludf.DUMMYFUNCTION("""COMPUTED_VALUE"""),"格納済み")</f>
        <v>格納済み</v>
      </c>
      <c r="U4921" s="9" t="str">
        <f>IFERROR(__xludf.DUMMYFUNCTION("""COMPUTED_VALUE"""),"(C) 和戸村/シーモアコミックス")</f>
        <v>(C) 和戸村/シーモアコミックス</v>
      </c>
      <c r="V4921" s="8"/>
      <c r="W4921" s="8"/>
      <c r="X4921" s="8" t="str">
        <f>IFERROR(__xludf.DUMMYFUNCTION("""COMPUTED_VALUE"""),"有")</f>
        <v>有</v>
      </c>
      <c r="Y4921" s="8" t="str">
        <f>IFERROR(__xludf.DUMMYFUNCTION("""COMPUTED_VALUE"""),"1巻無料")</f>
        <v>1巻無料</v>
      </c>
      <c r="Z4921" s="7"/>
      <c r="AA4921" s="7"/>
      <c r="AB4921" s="7"/>
    </row>
    <row r="4922" ht="15.75" customHeight="1">
      <c r="A4922" s="26">
        <f>IFERROR(__xludf.DUMMYFUNCTION("""COMPUTED_VALUE"""),6887.0)</f>
        <v>6887</v>
      </c>
      <c r="B4922" s="22" t="str">
        <f>IFERROR(__xludf.DUMMYFUNCTION("""COMPUTED_VALUE"""),"確定")</f>
        <v>確定</v>
      </c>
      <c r="C4922" s="28">
        <f>IFERROR(__xludf.DUMMYFUNCTION("""COMPUTED_VALUE"""),45978.0)</f>
        <v>45978</v>
      </c>
      <c r="D4922" s="28">
        <f>IFERROR(__xludf.DUMMYFUNCTION("""COMPUTED_VALUE"""),46105.0)</f>
        <v>46105</v>
      </c>
      <c r="E4922" s="26">
        <f>IFERROR(__xludf.DUMMYFUNCTION("""COMPUTED_VALUE"""),360652.0)</f>
        <v>360652</v>
      </c>
      <c r="F4922" s="22" t="str">
        <f>IFERROR(__xludf.DUMMYFUNCTION("""COMPUTED_VALUE"""),"妹の身代わりで、呪われた王子と婚約したところ")</f>
        <v>妹の身代わりで、呪われた王子と婚約したところ</v>
      </c>
      <c r="G4922" s="20">
        <f>IFERROR(__xludf.DUMMYFUNCTION("""COMPUTED_VALUE"""),1.0)</f>
        <v>1</v>
      </c>
      <c r="H4922" s="22" t="str">
        <f>IFERROR(__xludf.DUMMYFUNCTION("""COMPUTED_VALUE"""),"漫画：荻野スミ　原作：朝月アサ")</f>
        <v>漫画：荻野スミ　原作：朝月アサ</v>
      </c>
      <c r="I4922" s="22" t="str">
        <f>IFERROR(__xludf.DUMMYFUNCTION("""COMPUTED_VALUE"""),"少女マンガ")</f>
        <v>少女マンガ</v>
      </c>
      <c r="J4922" s="22"/>
      <c r="K4922" s="22" t="str">
        <f>IFERROR(__xludf.DUMMYFUNCTION("""COMPUTED_VALUE"""),"ZERO-SUMコミックス")</f>
        <v>ZERO-SUMコミックス</v>
      </c>
      <c r="L4922" s="22" t="str">
        <f>IFERROR(__xludf.DUMMYFUNCTION("""COMPUTED_VALUE"""),"一迅社")</f>
        <v>一迅社</v>
      </c>
      <c r="M4922" s="33">
        <f>IFERROR(__xludf.DUMMYFUNCTION("""COMPUTED_VALUE"""),46174.0)</f>
        <v>46174</v>
      </c>
      <c r="N4922" s="33">
        <f>IFERROR(__xludf.DUMMYFUNCTION("""COMPUTED_VALUE"""),46234.0)</f>
        <v>46234</v>
      </c>
      <c r="O4922" s="20"/>
      <c r="P4922" s="32" t="str">
        <f>IFERROR(__xludf.DUMMYFUNCTION("""COMPUTED_VALUE"""),"否")</f>
        <v>否</v>
      </c>
      <c r="Q4922" s="30" t="str">
        <f>IFERROR(__xludf.DUMMYFUNCTION("""COMPUTED_VALUE"""),"「身代わり花嫁は、旦那様から溺愛されるようです アンソロジーコミック」1巻掲載")</f>
        <v>「身代わり花嫁は、旦那様から溺愛されるようです アンソロジーコミック」1巻掲載</v>
      </c>
      <c r="R4922" s="22"/>
      <c r="S4922" s="22" t="str">
        <f>IFERROR(__xludf.DUMMYFUNCTION("""COMPUTED_VALUE"""),"20260323_一迅社_妹の身代わりで、呪われた王子と婚約したところ")</f>
        <v>20260323_一迅社_妹の身代わりで、呪われた王子と婚約したところ</v>
      </c>
      <c r="T4922" s="22" t="str">
        <f>IFERROR(__xludf.DUMMYFUNCTION("""COMPUTED_VALUE"""),"格納済み")</f>
        <v>格納済み</v>
      </c>
      <c r="U4922" s="9" t="str">
        <f>IFERROR(__xludf.DUMMYFUNCTION("""COMPUTED_VALUE"""),"(C)荻野スミ・朝月アサ／一迅社")</f>
        <v>(C)荻野スミ・朝月アサ／一迅社</v>
      </c>
      <c r="V4922" s="8"/>
      <c r="W4922" s="8"/>
      <c r="X4922" s="8" t="str">
        <f>IFERROR(__xludf.DUMMYFUNCTION("""COMPUTED_VALUE"""),"有")</f>
        <v>有</v>
      </c>
      <c r="Y4922" s="8" t="str">
        <f>IFERROR(__xludf.DUMMYFUNCTION("""COMPUTED_VALUE"""),"p8まで")</f>
        <v>p8まで</v>
      </c>
      <c r="Z4922" s="7"/>
      <c r="AA4922" s="7"/>
      <c r="AB4922" s="7"/>
    </row>
    <row r="4923" ht="15.75" customHeight="1">
      <c r="A4923" s="26">
        <f>IFERROR(__xludf.DUMMYFUNCTION("""COMPUTED_VALUE"""),7088.0)</f>
        <v>7088</v>
      </c>
      <c r="B4923" s="22" t="str">
        <f>IFERROR(__xludf.DUMMYFUNCTION("""COMPUTED_VALUE"""),"確定")</f>
        <v>確定</v>
      </c>
      <c r="C4923" s="28">
        <f>IFERROR(__xludf.DUMMYFUNCTION("""COMPUTED_VALUE"""),46010.0)</f>
        <v>46010</v>
      </c>
      <c r="D4923" s="28">
        <f>IFERROR(__xludf.DUMMYFUNCTION("""COMPUTED_VALUE"""),46106.0)</f>
        <v>46106</v>
      </c>
      <c r="E4923" s="26">
        <f>IFERROR(__xludf.DUMMYFUNCTION("""COMPUTED_VALUE"""),356143.0)</f>
        <v>356143</v>
      </c>
      <c r="F4923" s="22" t="str">
        <f>IFERROR(__xludf.DUMMYFUNCTION("""COMPUTED_VALUE"""),"世界で一番、メロいキス。～とろけるカラダで貪りエッチ～")</f>
        <v>世界で一番、メロいキス。～とろけるカラダで貪りエッチ～</v>
      </c>
      <c r="G4923" s="20" t="str">
        <f>IFERROR(__xludf.DUMMYFUNCTION("""COMPUTED_VALUE"""),"1～2")</f>
        <v>1～2</v>
      </c>
      <c r="H4923" s="22" t="str">
        <f>IFERROR(__xludf.DUMMYFUNCTION("""COMPUTED_VALUE"""),"鹿乃子")</f>
        <v>鹿乃子</v>
      </c>
      <c r="I4923" s="22" t="str">
        <f>IFERROR(__xludf.DUMMYFUNCTION("""COMPUTED_VALUE"""),"TLマンガ")</f>
        <v>TLマンガ</v>
      </c>
      <c r="J4923" s="22"/>
      <c r="K4923" s="22" t="str">
        <f>IFERROR(__xludf.DUMMYFUNCTION("""COMPUTED_VALUE"""),"TL★オトメチカ")</f>
        <v>TL★オトメチカ</v>
      </c>
      <c r="L4923" s="22" t="str">
        <f>IFERROR(__xludf.DUMMYFUNCTION("""COMPUTED_VALUE"""),"CLLENN")</f>
        <v>CLLENN</v>
      </c>
      <c r="M4923" s="33">
        <f>IFERROR(__xludf.DUMMYFUNCTION("""COMPUTED_VALUE"""),46131.0)</f>
        <v>46131</v>
      </c>
      <c r="N4923" s="33">
        <f>IFERROR(__xludf.DUMMYFUNCTION("""COMPUTED_VALUE"""),46195.0)</f>
        <v>46195</v>
      </c>
      <c r="O4923" s="20"/>
      <c r="P4923" s="32" t="str">
        <f>IFERROR(__xludf.DUMMYFUNCTION("""COMPUTED_VALUE"""),"可")</f>
        <v>可</v>
      </c>
      <c r="Q4923" s="30"/>
      <c r="R4923" s="22" t="str">
        <f>IFERROR(__xludf.DUMMYFUNCTION("""COMPUTED_VALUE"""),"コミットOK")</f>
        <v>コミットOK</v>
      </c>
      <c r="S4923" s="22" t="str">
        <f>IFERROR(__xludf.DUMMYFUNCTION("""COMPUTED_VALUE"""),"20260324_CLLENN_世界で一番、メロいキス。～とろけるカラダで貪りエッチ～")</f>
        <v>20260324_CLLENN_世界で一番、メロいキス。～とろけるカラダで貪りエッチ～</v>
      </c>
      <c r="T4923" s="22" t="str">
        <f>IFERROR(__xludf.DUMMYFUNCTION("""COMPUTED_VALUE"""),"格納済み")</f>
        <v>格納済み</v>
      </c>
      <c r="U4923" s="9" t="str">
        <f>IFERROR(__xludf.DUMMYFUNCTION("""COMPUTED_VALUE"""),"Ⓒ鹿乃子/CLLENN")</f>
        <v>Ⓒ鹿乃子/CLLENN</v>
      </c>
      <c r="V4923" s="8"/>
      <c r="W4923" s="8"/>
      <c r="X4923" s="8" t="str">
        <f>IFERROR(__xludf.DUMMYFUNCTION("""COMPUTED_VALUE"""),"有")</f>
        <v>有</v>
      </c>
      <c r="Y4923" s="8" t="str">
        <f>IFERROR(__xludf.DUMMYFUNCTION("""COMPUTED_VALUE"""),"2026/5/4まで1巻立ち読み増量(P17)")</f>
        <v>2026/5/4まで1巻立ち読み増量(P17)</v>
      </c>
      <c r="Z4923" s="7"/>
      <c r="AA4923" s="7"/>
      <c r="AB4923" s="7"/>
    </row>
    <row r="4924" ht="15.75" customHeight="1">
      <c r="A4924" s="26">
        <f>IFERROR(__xludf.DUMMYFUNCTION("""COMPUTED_VALUE"""),7302.0)</f>
        <v>7302</v>
      </c>
      <c r="B4924" s="22" t="str">
        <f>IFERROR(__xludf.DUMMYFUNCTION("""COMPUTED_VALUE"""),"確定")</f>
        <v>確定</v>
      </c>
      <c r="C4924" s="28">
        <f>IFERROR(__xludf.DUMMYFUNCTION("""COMPUTED_VALUE"""),46048.0)</f>
        <v>46048</v>
      </c>
      <c r="D4924" s="28">
        <f>IFERROR(__xludf.DUMMYFUNCTION("""COMPUTED_VALUE"""),46104.0)</f>
        <v>46104</v>
      </c>
      <c r="E4924" s="26">
        <f>IFERROR(__xludf.DUMMYFUNCTION("""COMPUTED_VALUE"""),356328.0)</f>
        <v>356328</v>
      </c>
      <c r="F4924" s="22" t="str">
        <f>IFERROR(__xludf.DUMMYFUNCTION("""COMPUTED_VALUE"""),"一条律の穢れなき日常【単話】")</f>
        <v>一条律の穢れなき日常【単話】</v>
      </c>
      <c r="G4924" s="20" t="str">
        <f>IFERROR(__xludf.DUMMYFUNCTION("""COMPUTED_VALUE"""),"1～3")</f>
        <v>1～3</v>
      </c>
      <c r="H4924" s="22" t="str">
        <f>IFERROR(__xludf.DUMMYFUNCTION("""COMPUTED_VALUE"""),"奈樫マユミ")</f>
        <v>奈樫マユミ</v>
      </c>
      <c r="I4924" s="22" t="str">
        <f>IFERROR(__xludf.DUMMYFUNCTION("""COMPUTED_VALUE"""),"BL")</f>
        <v>BL</v>
      </c>
      <c r="J4924" s="22"/>
      <c r="K4924" s="22" t="str">
        <f>IFERROR(__xludf.DUMMYFUNCTION("""COMPUTED_VALUE"""),"enigma")</f>
        <v>enigma</v>
      </c>
      <c r="L4924" s="22" t="str">
        <f>IFERROR(__xludf.DUMMYFUNCTION("""COMPUTED_VALUE"""),"オークラ出版")</f>
        <v>オークラ出版</v>
      </c>
      <c r="M4924" s="33">
        <f>IFERROR(__xludf.DUMMYFUNCTION("""COMPUTED_VALUE"""),46137.0)</f>
        <v>46137</v>
      </c>
      <c r="N4924" s="33">
        <f>IFERROR(__xludf.DUMMYFUNCTION("""COMPUTED_VALUE"""),46227.0)</f>
        <v>46227</v>
      </c>
      <c r="O4924" s="20"/>
      <c r="P4924" s="32" t="str">
        <f>IFERROR(__xludf.DUMMYFUNCTION("""COMPUTED_VALUE"""),"可")</f>
        <v>可</v>
      </c>
      <c r="Q4924" s="30" t="str">
        <f>IFERROR(__xludf.DUMMYFUNCTION("""COMPUTED_VALUE"""),"【アダルト作品扱い】")</f>
        <v>【アダルト作品扱い】</v>
      </c>
      <c r="R4924" s="22" t="str">
        <f>IFERROR(__xludf.DUMMYFUNCTION("""COMPUTED_VALUE"""),"コミットOK")</f>
        <v>コミットOK</v>
      </c>
      <c r="S4924" s="22" t="str">
        <f>IFERROR(__xludf.DUMMYFUNCTION("""COMPUTED_VALUE"""),"20260318_オークラ出版_一条律の穢れなき日常")</f>
        <v>20260318_オークラ出版_一条律の穢れなき日常</v>
      </c>
      <c r="T4924" s="22" t="str">
        <f>IFERROR(__xludf.DUMMYFUNCTION("""COMPUTED_VALUE"""),"格納済み")</f>
        <v>格納済み</v>
      </c>
      <c r="U4924" s="9" t="str">
        <f>IFERROR(__xludf.DUMMYFUNCTION("""COMPUTED_VALUE"""),"（C）奈樫マユミ／オークラ出版 enigma")</f>
        <v>（C）奈樫マユミ／オークラ出版 enigma</v>
      </c>
      <c r="V4924" s="8"/>
      <c r="W4924" s="8"/>
      <c r="X4924" s="8" t="str">
        <f>IFERROR(__xludf.DUMMYFUNCTION("""COMPUTED_VALUE"""),"有")</f>
        <v>有</v>
      </c>
      <c r="Y4924" s="8" t="str">
        <f>IFERROR(__xludf.DUMMYFUNCTION("""COMPUTED_VALUE"""),"2026/5/8まで1巻無料")</f>
        <v>2026/5/8まで1巻無料</v>
      </c>
      <c r="Z4924" s="7"/>
      <c r="AA4924" s="7"/>
      <c r="AB4924" s="7"/>
    </row>
    <row r="4925" ht="15.75" customHeight="1">
      <c r="A4925" s="26">
        <f>IFERROR(__xludf.DUMMYFUNCTION("""COMPUTED_VALUE"""),7338.0)</f>
        <v>7338</v>
      </c>
      <c r="B4925" s="22" t="str">
        <f>IFERROR(__xludf.DUMMYFUNCTION("""COMPUTED_VALUE"""),"確定")</f>
        <v>確定</v>
      </c>
      <c r="C4925" s="28">
        <f>IFERROR(__xludf.DUMMYFUNCTION("""COMPUTED_VALUE"""),46051.0)</f>
        <v>46051</v>
      </c>
      <c r="D4925" s="28">
        <f>IFERROR(__xludf.DUMMYFUNCTION("""COMPUTED_VALUE"""),46104.0)</f>
        <v>46104</v>
      </c>
      <c r="E4925" s="26">
        <f>IFERROR(__xludf.DUMMYFUNCTION("""COMPUTED_VALUE"""),353583.0)</f>
        <v>353583</v>
      </c>
      <c r="F4925" s="22" t="str">
        <f>IFERROR(__xludf.DUMMYFUNCTION("""COMPUTED_VALUE"""),"殺人鬼は南の方へ向かう")</f>
        <v>殺人鬼は南の方へ向かう</v>
      </c>
      <c r="G4925" s="20" t="str">
        <f>IFERROR(__xludf.DUMMYFUNCTION("""COMPUTED_VALUE"""),"1～3")</f>
        <v>1～3</v>
      </c>
      <c r="H4925" s="22" t="str">
        <f>IFERROR(__xludf.DUMMYFUNCTION("""COMPUTED_VALUE"""),"与野半┴すた")</f>
        <v>与野半┴すた</v>
      </c>
      <c r="I4925" s="22" t="str">
        <f>IFERROR(__xludf.DUMMYFUNCTION("""COMPUTED_VALUE"""),"青年マンガ")</f>
        <v>青年マンガ</v>
      </c>
      <c r="J4925" s="22"/>
      <c r="K4925" s="22" t="str">
        <f>IFERROR(__xludf.DUMMYFUNCTION("""COMPUTED_VALUE"""),"レヴェリス")</f>
        <v>レヴェリス</v>
      </c>
      <c r="L4925" s="22" t="str">
        <f>IFERROR(__xludf.DUMMYFUNCTION("""COMPUTED_VALUE"""),"ガールスカウトコミックス")</f>
        <v>ガールスカウトコミックス</v>
      </c>
      <c r="M4925" s="33">
        <f>IFERROR(__xludf.DUMMYFUNCTION("""COMPUTED_VALUE"""),46139.0)</f>
        <v>46139</v>
      </c>
      <c r="N4925" s="33">
        <f>IFERROR(__xludf.DUMMYFUNCTION("""COMPUTED_VALUE"""),46229.0)</f>
        <v>46229</v>
      </c>
      <c r="O4925" s="20"/>
      <c r="P4925" s="32" t="str">
        <f>IFERROR(__xludf.DUMMYFUNCTION("""COMPUTED_VALUE"""),"可")</f>
        <v>可</v>
      </c>
      <c r="Q4925" s="30"/>
      <c r="R4925" s="22" t="str">
        <f>IFERROR(__xludf.DUMMYFUNCTION("""COMPUTED_VALUE"""),"コミットOK")</f>
        <v>コミットOK</v>
      </c>
      <c r="S4925" s="22" t="str">
        <f>IFERROR(__xludf.DUMMYFUNCTION("""COMPUTED_VALUE"""),"20260318_ガールスカウトコミックス_殺人鬼は南の方へ向かう")</f>
        <v>20260318_ガールスカウトコミックス_殺人鬼は南の方へ向かう</v>
      </c>
      <c r="T4925" s="22" t="str">
        <f>IFERROR(__xludf.DUMMYFUNCTION("""COMPUTED_VALUE"""),"格納済み")</f>
        <v>格納済み</v>
      </c>
      <c r="U4925" s="9" t="str">
        <f>IFERROR(__xludf.DUMMYFUNCTION("""COMPUTED_VALUE"""),"(C)与野半・すた／ガールスカウトコミックス")</f>
        <v>(C)与野半・すた／ガールスカウトコミックス</v>
      </c>
      <c r="V4925" s="8"/>
      <c r="W4925" s="8"/>
      <c r="X4925" s="8" t="str">
        <f>IFERROR(__xludf.DUMMYFUNCTION("""COMPUTED_VALUE"""),"有")</f>
        <v>有</v>
      </c>
      <c r="Y4925" s="8" t="str">
        <f>IFERROR(__xludf.DUMMYFUNCTION("""COMPUTED_VALUE"""),"2026/5/10まで1巻無料")</f>
        <v>2026/5/10まで1巻無料</v>
      </c>
      <c r="Z4925" s="7"/>
      <c r="AA4925" s="7"/>
      <c r="AB4925" s="7"/>
    </row>
    <row r="4926" ht="15.75" customHeight="1">
      <c r="A4926" s="26">
        <f>IFERROR(__xludf.DUMMYFUNCTION("""COMPUTED_VALUE"""),7363.0)</f>
        <v>7363</v>
      </c>
      <c r="B4926" s="22" t="str">
        <f>IFERROR(__xludf.DUMMYFUNCTION("""COMPUTED_VALUE"""),"確定")</f>
        <v>確定</v>
      </c>
      <c r="C4926" s="28">
        <f>IFERROR(__xludf.DUMMYFUNCTION("""COMPUTED_VALUE"""),46055.0)</f>
        <v>46055</v>
      </c>
      <c r="D4926" s="28">
        <f>IFERROR(__xludf.DUMMYFUNCTION("""COMPUTED_VALUE"""),46106.0)</f>
        <v>46106</v>
      </c>
      <c r="E4926" s="26">
        <f>IFERROR(__xludf.DUMMYFUNCTION("""COMPUTED_VALUE"""),359577.0)</f>
        <v>359577</v>
      </c>
      <c r="F4926" s="22" t="str">
        <f>IFERROR(__xludf.DUMMYFUNCTION("""COMPUTED_VALUE"""),"ワガママ令嬢は遊び人の貴公子から溺愛される　～私たち、偽装恋人のはずですよね？～（単話版）")</f>
        <v>ワガママ令嬢は遊び人の貴公子から溺愛される　～私たち、偽装恋人のはずですよね？～（単話版）</v>
      </c>
      <c r="G4926" s="20" t="str">
        <f>IFERROR(__xludf.DUMMYFUNCTION("""COMPUTED_VALUE"""),"1～3")</f>
        <v>1～3</v>
      </c>
      <c r="H4926" s="22" t="str">
        <f>IFERROR(__xludf.DUMMYFUNCTION("""COMPUTED_VALUE"""),"千蜂アキ/山吹てふ/カズアキ")</f>
        <v>千蜂アキ/山吹てふ/カズアキ</v>
      </c>
      <c r="I4926" s="22" t="str">
        <f>IFERROR(__xludf.DUMMYFUNCTION("""COMPUTED_VALUE"""),"少女")</f>
        <v>少女</v>
      </c>
      <c r="J4926" s="22"/>
      <c r="K4926" s="22"/>
      <c r="L4926" s="22" t="str">
        <f>IFERROR(__xludf.DUMMYFUNCTION("""COMPUTED_VALUE"""),"コンパス")</f>
        <v>コンパス</v>
      </c>
      <c r="M4926" s="33">
        <f>IFERROR(__xludf.DUMMYFUNCTION("""COMPUTED_VALUE"""),46165.0)</f>
        <v>46165</v>
      </c>
      <c r="N4926" s="33">
        <f>IFERROR(__xludf.DUMMYFUNCTION("""COMPUTED_VALUE"""),46255.0)</f>
        <v>46255</v>
      </c>
      <c r="O4926" s="20"/>
      <c r="P4926" s="32" t="str">
        <f>IFERROR(__xludf.DUMMYFUNCTION("""COMPUTED_VALUE"""),"可")</f>
        <v>可</v>
      </c>
      <c r="Q4926" s="30" t="str">
        <f>IFERROR(__xludf.DUMMYFUNCTION("""COMPUTED_VALUE"""),"獣人ヒーロー×凛としたヒロインの物語。&lt;BR&gt;少し気の強いところはあるけれど、頑張り屋で健気なヒロイン。決して完璧ではないけれど、好きな子のために誠意を尽くして努力できるヒーロー。2人が見せる掛け合いが、とても魅力的な作品です！(1話でヒーローが真摯な土下座を披露するシーンは必見！）自立したヒロインがお好きな方に特にオススメです！")</f>
        <v>獣人ヒーロー×凛としたヒロインの物語。&lt;BR&gt;少し気の強いところはあるけれど、頑張り屋で健気なヒロイン。決して完璧ではないけれど、好きな子のために誠意を尽くして努力できるヒーロー。2人が見せる掛け合いが、とても魅力的な作品です！(1話でヒーローが真摯な土下座を披露するシーンは必見！）自立したヒロインがお好きな方に特にオススメです！</v>
      </c>
      <c r="R4926" s="22" t="str">
        <f>IFERROR(__xludf.DUMMYFUNCTION("""COMPUTED_VALUE"""),"コミットNG")</f>
        <v>コミットNG</v>
      </c>
      <c r="S4926" s="22" t="str">
        <f>IFERROR(__xludf.DUMMYFUNCTION("""COMPUTED_VALUE"""),"20260319_コンパス_ワガママ令嬢は遊び人の貴公子から溺愛される ～私たち、偽装恋人のはずですよね？～")</f>
        <v>20260319_コンパス_ワガママ令嬢は遊び人の貴公子から溺愛される ～私たち、偽装恋人のはずですよね？～</v>
      </c>
      <c r="T4926" s="22" t="str">
        <f>IFERROR(__xludf.DUMMYFUNCTION("""COMPUTED_VALUE"""),"格納済み")</f>
        <v>格納済み</v>
      </c>
      <c r="U4926" s="9" t="str">
        <f>IFERROR(__xludf.DUMMYFUNCTION("""COMPUTED_VALUE"""),"Ⓒ千蜂アキ・山吹てふ／コンパス")</f>
        <v>Ⓒ千蜂アキ・山吹てふ／コンパス</v>
      </c>
      <c r="V4926" s="8"/>
      <c r="W4926" s="8"/>
      <c r="X4926" s="8" t="str">
        <f>IFERROR(__xludf.DUMMYFUNCTION("""COMPUTED_VALUE"""),"有")</f>
        <v>有</v>
      </c>
      <c r="Y4926" s="8" t="str">
        <f>IFERROR(__xludf.DUMMYFUNCTION("""COMPUTED_VALUE"""),"2026/6/5まで1巻無料")</f>
        <v>2026/6/5まで1巻無料</v>
      </c>
      <c r="Z4926" s="7"/>
      <c r="AA4926" s="7"/>
      <c r="AB4926" s="7"/>
    </row>
    <row r="4927" ht="15.75" customHeight="1">
      <c r="A4927" s="26">
        <f>IFERROR(__xludf.DUMMYFUNCTION("""COMPUTED_VALUE"""),7442.0)</f>
        <v>7442</v>
      </c>
      <c r="B4927" s="22" t="str">
        <f>IFERROR(__xludf.DUMMYFUNCTION("""COMPUTED_VALUE"""),"確定")</f>
        <v>確定</v>
      </c>
      <c r="C4927" s="28">
        <f>IFERROR(__xludf.DUMMYFUNCTION("""COMPUTED_VALUE"""),46066.0)</f>
        <v>46066</v>
      </c>
      <c r="D4927" s="28">
        <f>IFERROR(__xludf.DUMMYFUNCTION("""COMPUTED_VALUE"""),46106.0)</f>
        <v>46106</v>
      </c>
      <c r="E4927" s="26">
        <f>IFERROR(__xludf.DUMMYFUNCTION("""COMPUTED_VALUE"""),356138.0)</f>
        <v>356138</v>
      </c>
      <c r="F4927" s="22" t="str">
        <f>IFERROR(__xludf.DUMMYFUNCTION("""COMPUTED_VALUE"""),"溺愛蜜月になるとは聞いてません～クレマン公爵夫妻は仮面夫婦？～【分冊版】")</f>
        <v>溺愛蜜月になるとは聞いてません～クレマン公爵夫妻は仮面夫婦？～【分冊版】</v>
      </c>
      <c r="G4927" s="20" t="str">
        <f>IFERROR(__xludf.DUMMYFUNCTION("""COMPUTED_VALUE"""),"1～2")</f>
        <v>1～2</v>
      </c>
      <c r="H4927" s="22" t="str">
        <f>IFERROR(__xludf.DUMMYFUNCTION("""COMPUTED_VALUE"""),"桜月ナナカ,すずね凜")</f>
        <v>桜月ナナカ,すずね凜</v>
      </c>
      <c r="I4927" s="22" t="str">
        <f>IFERROR(__xludf.DUMMYFUNCTION("""COMPUTED_VALUE"""),"TL")</f>
        <v>TL</v>
      </c>
      <c r="J4927" s="22"/>
      <c r="K4927" s="22" t="str">
        <f>IFERROR(__xludf.DUMMYFUNCTION("""COMPUTED_VALUE"""),"乙女ドルチェ・コミックス")</f>
        <v>乙女ドルチェ・コミックス</v>
      </c>
      <c r="L4927" s="22" t="str">
        <f>IFERROR(__xludf.DUMMYFUNCTION("""COMPUTED_VALUE"""),"乙女ドルチェ・コミックス")</f>
        <v>乙女ドルチェ・コミックス</v>
      </c>
      <c r="M4927" s="33">
        <f>IFERROR(__xludf.DUMMYFUNCTION("""COMPUTED_VALUE"""),46129.0)</f>
        <v>46129</v>
      </c>
      <c r="N4927" s="33">
        <f>IFERROR(__xludf.DUMMYFUNCTION("""COMPUTED_VALUE"""),46190.0)</f>
        <v>46190</v>
      </c>
      <c r="O4927" s="20"/>
      <c r="P4927" s="32" t="str">
        <f>IFERROR(__xludf.DUMMYFUNCTION("""COMPUTED_VALUE"""),"可")</f>
        <v>可</v>
      </c>
      <c r="Q4927" s="30"/>
      <c r="R4927" s="22" t="str">
        <f>IFERROR(__xludf.DUMMYFUNCTION("""COMPUTED_VALUE"""),"コミットNG")</f>
        <v>コミットNG</v>
      </c>
      <c r="S4927" s="22" t="str">
        <f>IFERROR(__xludf.DUMMYFUNCTION("""COMPUTED_VALUE"""),"20260323_乙女ドルチェ_溺愛蜜月になるとは聞いてません～クレマン公爵夫妻は仮面夫婦？～【分冊版】")</f>
        <v>20260323_乙女ドルチェ_溺愛蜜月になるとは聞いてません～クレマン公爵夫妻は仮面夫婦？～【分冊版】</v>
      </c>
      <c r="T4927" s="22" t="str">
        <f>IFERROR(__xludf.DUMMYFUNCTION("""COMPUTED_VALUE"""),"格納済み")</f>
        <v>格納済み</v>
      </c>
      <c r="U4927" s="9" t="str">
        <f>IFERROR(__xludf.DUMMYFUNCTION("""COMPUTED_VALUE"""),"（C)桜月ナナカ・すずね凜／ハーパーコリンズ・ジャパン")</f>
        <v>（C)桜月ナナカ・すずね凜／ハーパーコリンズ・ジャパン</v>
      </c>
      <c r="V4927" s="8"/>
      <c r="W4927" s="8"/>
      <c r="X4927" s="8" t="str">
        <f>IFERROR(__xludf.DUMMYFUNCTION("""COMPUTED_VALUE"""),"有")</f>
        <v>有</v>
      </c>
      <c r="Y4927" s="8" t="str">
        <f>IFERROR(__xludf.DUMMYFUNCTION("""COMPUTED_VALUE"""),"P7まで")</f>
        <v>P7まで</v>
      </c>
      <c r="Z4927" s="7"/>
      <c r="AA4927" s="7"/>
      <c r="AB4927" s="7"/>
    </row>
    <row r="4928" ht="15.75" customHeight="1">
      <c r="A4928" s="26">
        <f>IFERROR(__xludf.DUMMYFUNCTION("""COMPUTED_VALUE"""),7443.0)</f>
        <v>7443</v>
      </c>
      <c r="B4928" s="22" t="str">
        <f>IFERROR(__xludf.DUMMYFUNCTION("""COMPUTED_VALUE"""),"確定")</f>
        <v>確定</v>
      </c>
      <c r="C4928" s="28">
        <f>IFERROR(__xludf.DUMMYFUNCTION("""COMPUTED_VALUE"""),46066.0)</f>
        <v>46066</v>
      </c>
      <c r="D4928" s="28">
        <f>IFERROR(__xludf.DUMMYFUNCTION("""COMPUTED_VALUE"""),46106.0)</f>
        <v>46106</v>
      </c>
      <c r="E4928" s="26">
        <f>IFERROR(__xludf.DUMMYFUNCTION("""COMPUTED_VALUE"""),359132.0)</f>
        <v>359132</v>
      </c>
      <c r="F4928" s="22" t="str">
        <f>IFERROR(__xludf.DUMMYFUNCTION("""COMPUTED_VALUE"""),"虐げられ令嬢ですが、氷の侯爵が豹変したら溺愛が熱すぎて蕩けそうです【分冊版】")</f>
        <v>虐げられ令嬢ですが、氷の侯爵が豹変したら溺愛が熱すぎて蕩けそうです【分冊版】</v>
      </c>
      <c r="G4928" s="20" t="str">
        <f>IFERROR(__xludf.DUMMYFUNCTION("""COMPUTED_VALUE"""),"1～2")</f>
        <v>1～2</v>
      </c>
      <c r="H4928" s="22" t="str">
        <f>IFERROR(__xludf.DUMMYFUNCTION("""COMPUTED_VALUE"""),"果桃なばこ")</f>
        <v>果桃なばこ</v>
      </c>
      <c r="I4928" s="22" t="str">
        <f>IFERROR(__xludf.DUMMYFUNCTION("""COMPUTED_VALUE"""),"女性")</f>
        <v>女性</v>
      </c>
      <c r="J4928" s="22"/>
      <c r="K4928" s="22" t="str">
        <f>IFERROR(__xludf.DUMMYFUNCTION("""COMPUTED_VALUE"""),"乙女ドルチェ・コミックス")</f>
        <v>乙女ドルチェ・コミックス</v>
      </c>
      <c r="L4928" s="22" t="str">
        <f>IFERROR(__xludf.DUMMYFUNCTION("""COMPUTED_VALUE"""),"乙女ドルチェ・コミックス")</f>
        <v>乙女ドルチェ・コミックス</v>
      </c>
      <c r="M4928" s="33">
        <f>IFERROR(__xludf.DUMMYFUNCTION("""COMPUTED_VALUE"""),46129.0)</f>
        <v>46129</v>
      </c>
      <c r="N4928" s="33">
        <f>IFERROR(__xludf.DUMMYFUNCTION("""COMPUTED_VALUE"""),46190.0)</f>
        <v>46190</v>
      </c>
      <c r="O4928" s="20"/>
      <c r="P4928" s="32" t="str">
        <f>IFERROR(__xludf.DUMMYFUNCTION("""COMPUTED_VALUE"""),"可")</f>
        <v>可</v>
      </c>
      <c r="Q4928" s="30"/>
      <c r="R4928" s="22" t="str">
        <f>IFERROR(__xludf.DUMMYFUNCTION("""COMPUTED_VALUE"""),"コミットNG")</f>
        <v>コミットNG</v>
      </c>
      <c r="S4928" s="22" t="str">
        <f>IFERROR(__xludf.DUMMYFUNCTION("""COMPUTED_VALUE"""),"20260323_乙女ドルチェ_虐げられた令嬢ですが、氷の侯爵が豹変したら溺愛が熱すぎて蕩けそうです【分冊版】")</f>
        <v>20260323_乙女ドルチェ_虐げられた令嬢ですが、氷の侯爵が豹変したら溺愛が熱すぎて蕩けそうです【分冊版】</v>
      </c>
      <c r="T4928" s="22" t="str">
        <f>IFERROR(__xludf.DUMMYFUNCTION("""COMPUTED_VALUE"""),"格納済み")</f>
        <v>格納済み</v>
      </c>
      <c r="U4928" s="9" t="str">
        <f>IFERROR(__xludf.DUMMYFUNCTION("""COMPUTED_VALUE"""),"（C)果桃なばこ／ハーパーコリンズ・ジャパン")</f>
        <v>（C)果桃なばこ／ハーパーコリンズ・ジャパン</v>
      </c>
      <c r="V4928" s="8"/>
      <c r="W4928" s="8"/>
      <c r="X4928" s="8" t="str">
        <f>IFERROR(__xludf.DUMMYFUNCTION("""COMPUTED_VALUE"""),"有")</f>
        <v>有</v>
      </c>
      <c r="Y4928" s="8" t="str">
        <f>IFERROR(__xludf.DUMMYFUNCTION("""COMPUTED_VALUE"""),"2026/5/17まで1巻立ち読み増量(P16)")</f>
        <v>2026/5/17まで1巻立ち読み増量(P16)</v>
      </c>
      <c r="Z4928" s="7"/>
      <c r="AA4928" s="7"/>
      <c r="AB4928" s="7"/>
    </row>
    <row r="4929" ht="15.75" customHeight="1">
      <c r="A4929" s="26">
        <f>IFERROR(__xludf.DUMMYFUNCTION("""COMPUTED_VALUE"""),7458.0)</f>
        <v>7458</v>
      </c>
      <c r="B4929" s="22" t="str">
        <f>IFERROR(__xludf.DUMMYFUNCTION("""COMPUTED_VALUE"""),"確定")</f>
        <v>確定</v>
      </c>
      <c r="C4929" s="28">
        <f>IFERROR(__xludf.DUMMYFUNCTION("""COMPUTED_VALUE"""),46069.0)</f>
        <v>46069</v>
      </c>
      <c r="D4929" s="28">
        <f>IFERROR(__xludf.DUMMYFUNCTION("""COMPUTED_VALUE"""),46104.0)</f>
        <v>46104</v>
      </c>
      <c r="E4929" s="26">
        <f>IFERROR(__xludf.DUMMYFUNCTION("""COMPUTED_VALUE"""),357353.0)</f>
        <v>357353</v>
      </c>
      <c r="F4929" s="22" t="str">
        <f>IFERROR(__xludf.DUMMYFUNCTION("""COMPUTED_VALUE"""),"惚酔ランジェリー")</f>
        <v>惚酔ランジェリー</v>
      </c>
      <c r="G4929" s="20" t="str">
        <f>IFERROR(__xludf.DUMMYFUNCTION("""COMPUTED_VALUE"""),"1～2")</f>
        <v>1～2</v>
      </c>
      <c r="H4929" s="22" t="str">
        <f>IFERROR(__xludf.DUMMYFUNCTION("""COMPUTED_VALUE"""),"現示コウ")</f>
        <v>現示コウ</v>
      </c>
      <c r="I4929" s="22" t="str">
        <f>IFERROR(__xludf.DUMMYFUNCTION("""COMPUTED_VALUE"""),"BL")</f>
        <v>BL</v>
      </c>
      <c r="J4929" s="22"/>
      <c r="K4929" s="22" t="str">
        <f>IFERROR(__xludf.DUMMYFUNCTION("""COMPUTED_VALUE"""),"spicomi")</f>
        <v>spicomi</v>
      </c>
      <c r="L4929" s="22" t="str">
        <f>IFERROR(__xludf.DUMMYFUNCTION("""COMPUTED_VALUE"""),"CLLENN")</f>
        <v>CLLENN</v>
      </c>
      <c r="M4929" s="33">
        <f>IFERROR(__xludf.DUMMYFUNCTION("""COMPUTED_VALUE"""),46123.0)</f>
        <v>46123</v>
      </c>
      <c r="N4929" s="33">
        <f>IFERROR(__xludf.DUMMYFUNCTION("""COMPUTED_VALUE"""),46185.0)</f>
        <v>46185</v>
      </c>
      <c r="O4929" s="20"/>
      <c r="P4929" s="32" t="str">
        <f>IFERROR(__xludf.DUMMYFUNCTION("""COMPUTED_VALUE"""),"可")</f>
        <v>可</v>
      </c>
      <c r="Q4929" s="30"/>
      <c r="R4929" s="22" t="str">
        <f>IFERROR(__xludf.DUMMYFUNCTION("""COMPUTED_VALUE"""),"コミットNG")</f>
        <v>コミットNG</v>
      </c>
      <c r="S4929" s="22" t="str">
        <f>IFERROR(__xludf.DUMMYFUNCTION("""COMPUTED_VALUE"""),"20260318_CLLENN_惚酔ランジェリー")</f>
        <v>20260318_CLLENN_惚酔ランジェリー</v>
      </c>
      <c r="T4929" s="22" t="str">
        <f>IFERROR(__xludf.DUMMYFUNCTION("""COMPUTED_VALUE"""),"格納済み")</f>
        <v>格納済み</v>
      </c>
      <c r="U4929" s="9" t="str">
        <f>IFERROR(__xludf.DUMMYFUNCTION("""COMPUTED_VALUE"""),"Ⓒ現示コウ/CLLENN")</f>
        <v>Ⓒ現示コウ/CLLENN</v>
      </c>
      <c r="V4929" s="8"/>
      <c r="W4929" s="8"/>
      <c r="X4929" s="8" t="str">
        <f>IFERROR(__xludf.DUMMYFUNCTION("""COMPUTED_VALUE"""),"有")</f>
        <v>有</v>
      </c>
      <c r="Y4929" s="8" t="str">
        <f>IFERROR(__xludf.DUMMYFUNCTION("""COMPUTED_VALUE"""),"P10まで")</f>
        <v>P10まで</v>
      </c>
      <c r="Z4929" s="7"/>
      <c r="AA4929" s="7"/>
      <c r="AB4929" s="7"/>
    </row>
    <row r="4930" ht="15.75" customHeight="1">
      <c r="A4930" s="26">
        <f>IFERROR(__xludf.DUMMYFUNCTION("""COMPUTED_VALUE"""),7464.0)</f>
        <v>7464</v>
      </c>
      <c r="B4930" s="22" t="str">
        <f>IFERROR(__xludf.DUMMYFUNCTION("""COMPUTED_VALUE"""),"確定")</f>
        <v>確定</v>
      </c>
      <c r="C4930" s="28">
        <f>IFERROR(__xludf.DUMMYFUNCTION("""COMPUTED_VALUE"""),46069.0)</f>
        <v>46069</v>
      </c>
      <c r="D4930" s="28">
        <f>IFERROR(__xludf.DUMMYFUNCTION("""COMPUTED_VALUE"""),46106.0)</f>
        <v>46106</v>
      </c>
      <c r="E4930" s="26">
        <f>IFERROR(__xludf.DUMMYFUNCTION("""COMPUTED_VALUE"""),355812.0)</f>
        <v>355812</v>
      </c>
      <c r="F4930" s="22" t="str">
        <f>IFERROR(__xludf.DUMMYFUNCTION("""COMPUTED_VALUE"""),"僕にしか見えない君［ばら売り］")</f>
        <v>僕にしか見えない君［ばら売り］</v>
      </c>
      <c r="G4930" s="20" t="str">
        <f>IFERROR(__xludf.DUMMYFUNCTION("""COMPUTED_VALUE"""),"1～3")</f>
        <v>1～3</v>
      </c>
      <c r="H4930" s="22" t="str">
        <f>IFERROR(__xludf.DUMMYFUNCTION("""COMPUTED_VALUE"""),"浮らぺ")</f>
        <v>浮らぺ</v>
      </c>
      <c r="I4930" s="22" t="str">
        <f>IFERROR(__xludf.DUMMYFUNCTION("""COMPUTED_VALUE"""),"女性")</f>
        <v>女性</v>
      </c>
      <c r="J4930" s="22"/>
      <c r="K4930" s="22" t="str">
        <f>IFERROR(__xludf.DUMMYFUNCTION("""COMPUTED_VALUE"""),"マンガPark")</f>
        <v>マンガPark</v>
      </c>
      <c r="L4930" s="22" t="str">
        <f>IFERROR(__xludf.DUMMYFUNCTION("""COMPUTED_VALUE"""),"白泉社")</f>
        <v>白泉社</v>
      </c>
      <c r="M4930" s="33">
        <f>IFERROR(__xludf.DUMMYFUNCTION("""COMPUTED_VALUE"""),46123.0)</f>
        <v>46123</v>
      </c>
      <c r="N4930" s="33">
        <f>IFERROR(__xludf.DUMMYFUNCTION("""COMPUTED_VALUE"""),46185.0)</f>
        <v>46185</v>
      </c>
      <c r="O4930" s="20"/>
      <c r="P4930" s="32" t="str">
        <f>IFERROR(__xludf.DUMMYFUNCTION("""COMPUTED_VALUE"""),"可")</f>
        <v>可</v>
      </c>
      <c r="Q4930" s="30"/>
      <c r="R4930" s="22"/>
      <c r="S4930" s="22" t="str">
        <f>IFERROR(__xludf.DUMMYFUNCTION("""COMPUTED_VALUE"""),"20260324_白泉社_僕にしか見えない君［ばら売り］")</f>
        <v>20260324_白泉社_僕にしか見えない君［ばら売り］</v>
      </c>
      <c r="T4930" s="22" t="str">
        <f>IFERROR(__xludf.DUMMYFUNCTION("""COMPUTED_VALUE"""),"格納済み")</f>
        <v>格納済み</v>
      </c>
      <c r="U4930" s="9" t="str">
        <f>IFERROR(__xludf.DUMMYFUNCTION("""COMPUTED_VALUE"""),"Ⓒ浮らぺ／白泉社")</f>
        <v>Ⓒ浮らぺ／白泉社</v>
      </c>
      <c r="V4930" s="8"/>
      <c r="W4930" s="8"/>
      <c r="X4930" s="8" t="str">
        <f>IFERROR(__xludf.DUMMYFUNCTION("""COMPUTED_VALUE"""),"有")</f>
        <v>有</v>
      </c>
      <c r="Y4930" s="8" t="str">
        <f>IFERROR(__xludf.DUMMYFUNCTION("""COMPUTED_VALUE"""),"P10まで")</f>
        <v>P10まで</v>
      </c>
      <c r="Z4930" s="7"/>
      <c r="AA4930" s="7"/>
      <c r="AB4930" s="7"/>
    </row>
    <row r="4931" ht="15.75" customHeight="1">
      <c r="A4931" s="26">
        <f>IFERROR(__xludf.DUMMYFUNCTION("""COMPUTED_VALUE"""),7465.0)</f>
        <v>7465</v>
      </c>
      <c r="B4931" s="22" t="str">
        <f>IFERROR(__xludf.DUMMYFUNCTION("""COMPUTED_VALUE"""),"確定")</f>
        <v>確定</v>
      </c>
      <c r="C4931" s="28">
        <f>IFERROR(__xludf.DUMMYFUNCTION("""COMPUTED_VALUE"""),46069.0)</f>
        <v>46069</v>
      </c>
      <c r="D4931" s="28">
        <f>IFERROR(__xludf.DUMMYFUNCTION("""COMPUTED_VALUE"""),46106.0)</f>
        <v>46106</v>
      </c>
      <c r="E4931" s="26">
        <f>IFERROR(__xludf.DUMMYFUNCTION("""COMPUTED_VALUE"""),355811.0)</f>
        <v>355811</v>
      </c>
      <c r="F4931" s="22" t="str">
        <f>IFERROR(__xludf.DUMMYFUNCTION("""COMPUTED_VALUE"""),"森に捨てられ令嬢は無慈悲な公爵に餌付けされる　庇護欲に目覚めた旦那様に溺愛されています［ばら売り］")</f>
        <v>森に捨てられ令嬢は無慈悲な公爵に餌付けされる　庇護欲に目覚めた旦那様に溺愛されています［ばら売り］</v>
      </c>
      <c r="G4931" s="20" t="str">
        <f>IFERROR(__xludf.DUMMYFUNCTION("""COMPUTED_VALUE"""),"1～3")</f>
        <v>1～3</v>
      </c>
      <c r="H4931" s="22" t="str">
        <f>IFERROR(__xludf.DUMMYFUNCTION("""COMPUTED_VALUE"""),"原作：柚原テイル　作画：宝生奈々")</f>
        <v>原作：柚原テイル　作画：宝生奈々</v>
      </c>
      <c r="I4931" s="22" t="str">
        <f>IFERROR(__xludf.DUMMYFUNCTION("""COMPUTED_VALUE"""),"少女")</f>
        <v>少女</v>
      </c>
      <c r="J4931" s="22"/>
      <c r="K4931" s="22" t="str">
        <f>IFERROR(__xludf.DUMMYFUNCTION("""COMPUTED_VALUE"""),"マンガPark")</f>
        <v>マンガPark</v>
      </c>
      <c r="L4931" s="22" t="str">
        <f>IFERROR(__xludf.DUMMYFUNCTION("""COMPUTED_VALUE"""),"白泉社")</f>
        <v>白泉社</v>
      </c>
      <c r="M4931" s="33">
        <f>IFERROR(__xludf.DUMMYFUNCTION("""COMPUTED_VALUE"""),46123.0)</f>
        <v>46123</v>
      </c>
      <c r="N4931" s="33">
        <f>IFERROR(__xludf.DUMMYFUNCTION("""COMPUTED_VALUE"""),46185.0)</f>
        <v>46185</v>
      </c>
      <c r="O4931" s="20"/>
      <c r="P4931" s="32" t="str">
        <f>IFERROR(__xludf.DUMMYFUNCTION("""COMPUTED_VALUE"""),"否")</f>
        <v>否</v>
      </c>
      <c r="Q4931" s="30"/>
      <c r="R4931" s="22"/>
      <c r="S4931" s="22" t="str">
        <f>IFERROR(__xludf.DUMMYFUNCTION("""COMPUTED_VALUE"""),"20260324_白泉社_森に捨てられ令嬢は無慈悲な公爵に餌付けされる　庇護欲に目覚めた旦那様に溺愛されています［ばら売り］")</f>
        <v>20260324_白泉社_森に捨てられ令嬢は無慈悲な公爵に餌付けされる　庇護欲に目覚めた旦那様に溺愛されています［ばら売り］</v>
      </c>
      <c r="T4931" s="22" t="str">
        <f>IFERROR(__xludf.DUMMYFUNCTION("""COMPUTED_VALUE"""),"格納済み")</f>
        <v>格納済み</v>
      </c>
      <c r="U4931" s="9" t="str">
        <f>IFERROR(__xludf.DUMMYFUNCTION("""COMPUTED_VALUE"""),"Ⓒ柚原テイル・宝生奈々／白泉社")</f>
        <v>Ⓒ柚原テイル・宝生奈々／白泉社</v>
      </c>
      <c r="V4931" s="8"/>
      <c r="W4931" s="8"/>
      <c r="X4931" s="8" t="str">
        <f>IFERROR(__xludf.DUMMYFUNCTION("""COMPUTED_VALUE"""),"有")</f>
        <v>有</v>
      </c>
      <c r="Y4931" s="8" t="str">
        <f>IFERROR(__xludf.DUMMYFUNCTION("""COMPUTED_VALUE"""),"P10まで")</f>
        <v>P10まで</v>
      </c>
      <c r="Z4931" s="7"/>
      <c r="AA4931" s="7"/>
      <c r="AB4931" s="7"/>
    </row>
    <row r="4932" ht="15.75" customHeight="1">
      <c r="A4932" s="26">
        <f>IFERROR(__xludf.DUMMYFUNCTION("""COMPUTED_VALUE"""),7503.0)</f>
        <v>7503</v>
      </c>
      <c r="B4932" s="22" t="str">
        <f>IFERROR(__xludf.DUMMYFUNCTION("""COMPUTED_VALUE"""),"確定")</f>
        <v>確定</v>
      </c>
      <c r="C4932" s="28">
        <f>IFERROR(__xludf.DUMMYFUNCTION("""COMPUTED_VALUE"""),46073.0)</f>
        <v>46073</v>
      </c>
      <c r="D4932" s="28">
        <f>IFERROR(__xludf.DUMMYFUNCTION("""COMPUTED_VALUE"""),46106.0)</f>
        <v>46106</v>
      </c>
      <c r="E4932" s="26">
        <f>IFERROR(__xludf.DUMMYFUNCTION("""COMPUTED_VALUE"""),357999.0)</f>
        <v>357999</v>
      </c>
      <c r="F4932" s="22" t="str">
        <f>IFERROR(__xludf.DUMMYFUNCTION("""COMPUTED_VALUE"""),"剣しか取り柄のない私が公爵様の溺愛対象になりました")</f>
        <v>剣しか取り柄のない私が公爵様の溺愛対象になりました</v>
      </c>
      <c r="G4932" s="20" t="str">
        <f>IFERROR(__xludf.DUMMYFUNCTION("""COMPUTED_VALUE"""),"1～3")</f>
        <v>1～3</v>
      </c>
      <c r="H4932" s="22" t="str">
        <f>IFERROR(__xludf.DUMMYFUNCTION("""COMPUTED_VALUE"""),"ミナミナツキ")</f>
        <v>ミナミナツキ</v>
      </c>
      <c r="I4932" s="22" t="str">
        <f>IFERROR(__xludf.DUMMYFUNCTION("""COMPUTED_VALUE"""),"女性")</f>
        <v>女性</v>
      </c>
      <c r="J4932" s="22"/>
      <c r="K4932" s="22" t="str">
        <f>IFERROR(__xludf.DUMMYFUNCTION("""COMPUTED_VALUE"""),"COMIC stella")</f>
        <v>COMIC stella</v>
      </c>
      <c r="L4932" s="22" t="str">
        <f>IFERROR(__xludf.DUMMYFUNCTION("""COMPUTED_VALUE"""),"COMIC stella")</f>
        <v>COMIC stella</v>
      </c>
      <c r="M4932" s="33">
        <f>IFERROR(__xludf.DUMMYFUNCTION("""COMPUTED_VALUE"""),46144.0)</f>
        <v>46144</v>
      </c>
      <c r="N4932" s="33">
        <f>IFERROR(__xludf.DUMMYFUNCTION("""COMPUTED_VALUE"""),46235.0)</f>
        <v>46235</v>
      </c>
      <c r="O4932" s="20"/>
      <c r="P4932" s="32" t="str">
        <f>IFERROR(__xludf.DUMMYFUNCTION("""COMPUTED_VALUE"""),"可")</f>
        <v>可</v>
      </c>
      <c r="Q4932" s="30"/>
      <c r="R4932" s="22" t="str">
        <f>IFERROR(__xludf.DUMMYFUNCTION("""COMPUTED_VALUE"""),"コミットOK")</f>
        <v>コミットOK</v>
      </c>
      <c r="S4932" s="22" t="str">
        <f>IFERROR(__xludf.DUMMYFUNCTION("""COMPUTED_VALUE"""),"20260324_COMIC stella_剣しか取り柄のない私が公爵様の溺愛対象になりました")</f>
        <v>20260324_COMIC stella_剣しか取り柄のない私が公爵様の溺愛対象になりました</v>
      </c>
      <c r="T4932" s="22" t="str">
        <f>IFERROR(__xludf.DUMMYFUNCTION("""COMPUTED_VALUE"""),"格納済み")</f>
        <v>格納済み</v>
      </c>
      <c r="U4932" s="9" t="str">
        <f>IFERROR(__xludf.DUMMYFUNCTION("""COMPUTED_VALUE"""),"（C）ミナミナツキ／COMIC stella")</f>
        <v>（C）ミナミナツキ／COMIC stella</v>
      </c>
      <c r="V4932" s="8"/>
      <c r="W4932" s="8"/>
      <c r="X4932" s="8" t="str">
        <f>IFERROR(__xludf.DUMMYFUNCTION("""COMPUTED_VALUE"""),"有")</f>
        <v>有</v>
      </c>
      <c r="Y4932" s="8" t="str">
        <f>IFERROR(__xludf.DUMMYFUNCTION("""COMPUTED_VALUE"""),"P5まで")</f>
        <v>P5まで</v>
      </c>
      <c r="Z4932" s="7"/>
      <c r="AA4932" s="7"/>
      <c r="AB4932" s="7"/>
    </row>
    <row r="4933" ht="15.75" customHeight="1">
      <c r="A4933" s="26">
        <f>IFERROR(__xludf.DUMMYFUNCTION("""COMPUTED_VALUE"""),7504.0)</f>
        <v>7504</v>
      </c>
      <c r="B4933" s="22" t="str">
        <f>IFERROR(__xludf.DUMMYFUNCTION("""COMPUTED_VALUE"""),"確定")</f>
        <v>確定</v>
      </c>
      <c r="C4933" s="28">
        <f>IFERROR(__xludf.DUMMYFUNCTION("""COMPUTED_VALUE"""),46073.0)</f>
        <v>46073</v>
      </c>
      <c r="D4933" s="28">
        <f>IFERROR(__xludf.DUMMYFUNCTION("""COMPUTED_VALUE"""),46104.0)</f>
        <v>46104</v>
      </c>
      <c r="E4933" s="26">
        <f>IFERROR(__xludf.DUMMYFUNCTION("""COMPUTED_VALUE"""),358000.0)</f>
        <v>358000</v>
      </c>
      <c r="F4933" s="22" t="str">
        <f>IFERROR(__xludf.DUMMYFUNCTION("""COMPUTED_VALUE"""),"月の聖女は公爵様の溺愛で輝く")</f>
        <v>月の聖女は公爵様の溺愛で輝く</v>
      </c>
      <c r="G4933" s="20" t="str">
        <f>IFERROR(__xludf.DUMMYFUNCTION("""COMPUTED_VALUE"""),"1～3")</f>
        <v>1～3</v>
      </c>
      <c r="H4933" s="22" t="str">
        <f>IFERROR(__xludf.DUMMYFUNCTION("""COMPUTED_VALUE"""),"彩園こゆみ┴jovei")</f>
        <v>彩園こゆみ┴jovei</v>
      </c>
      <c r="I4933" s="22" t="str">
        <f>IFERROR(__xludf.DUMMYFUNCTION("""COMPUTED_VALUE"""),"女性")</f>
        <v>女性</v>
      </c>
      <c r="J4933" s="22"/>
      <c r="K4933" s="22" t="str">
        <f>IFERROR(__xludf.DUMMYFUNCTION("""COMPUTED_VALUE"""),"COMIC stella")</f>
        <v>COMIC stella</v>
      </c>
      <c r="L4933" s="22" t="str">
        <f>IFERROR(__xludf.DUMMYFUNCTION("""COMPUTED_VALUE"""),"COMIC stella")</f>
        <v>COMIC stella</v>
      </c>
      <c r="M4933" s="33">
        <f>IFERROR(__xludf.DUMMYFUNCTION("""COMPUTED_VALUE"""),46144.0)</f>
        <v>46144</v>
      </c>
      <c r="N4933" s="33">
        <f>IFERROR(__xludf.DUMMYFUNCTION("""COMPUTED_VALUE"""),46235.0)</f>
        <v>46235</v>
      </c>
      <c r="O4933" s="20"/>
      <c r="P4933" s="32" t="str">
        <f>IFERROR(__xludf.DUMMYFUNCTION("""COMPUTED_VALUE"""),"可")</f>
        <v>可</v>
      </c>
      <c r="Q4933" s="30"/>
      <c r="R4933" s="22" t="str">
        <f>IFERROR(__xludf.DUMMYFUNCTION("""COMPUTED_VALUE"""),"コミットOK")</f>
        <v>コミットOK</v>
      </c>
      <c r="S4933" s="22" t="str">
        <f>IFERROR(__xludf.DUMMYFUNCTION("""COMPUTED_VALUE"""),"20260319_COMIC stella_月の聖女は公爵様の溺愛で輝く")</f>
        <v>20260319_COMIC stella_月の聖女は公爵様の溺愛で輝く</v>
      </c>
      <c r="T4933" s="22" t="str">
        <f>IFERROR(__xludf.DUMMYFUNCTION("""COMPUTED_VALUE"""),"格納済み")</f>
        <v>格納済み</v>
      </c>
      <c r="U4933" s="9" t="str">
        <f>IFERROR(__xludf.DUMMYFUNCTION("""COMPUTED_VALUE"""),"（C）彩園こゆみ・jovei／COMIC stella")</f>
        <v>（C）彩園こゆみ・jovei／COMIC stella</v>
      </c>
      <c r="V4933" s="8"/>
      <c r="W4933" s="8"/>
      <c r="X4933" s="8" t="str">
        <f>IFERROR(__xludf.DUMMYFUNCTION("""COMPUTED_VALUE"""),"有")</f>
        <v>有</v>
      </c>
      <c r="Y4933" s="8" t="str">
        <f>IFERROR(__xludf.DUMMYFUNCTION("""COMPUTED_VALUE"""),"P5まで")</f>
        <v>P5まで</v>
      </c>
      <c r="Z4933" s="7"/>
      <c r="AA4933" s="7"/>
      <c r="AB4933" s="7"/>
    </row>
    <row r="4934" ht="15.75" customHeight="1">
      <c r="A4934" s="26">
        <f>IFERROR(__xludf.DUMMYFUNCTION("""COMPUTED_VALUE"""),7505.0)</f>
        <v>7505</v>
      </c>
      <c r="B4934" s="22" t="str">
        <f>IFERROR(__xludf.DUMMYFUNCTION("""COMPUTED_VALUE"""),"確定")</f>
        <v>確定</v>
      </c>
      <c r="C4934" s="28">
        <f>IFERROR(__xludf.DUMMYFUNCTION("""COMPUTED_VALUE"""),46073.0)</f>
        <v>46073</v>
      </c>
      <c r="D4934" s="28">
        <f>IFERROR(__xludf.DUMMYFUNCTION("""COMPUTED_VALUE"""),46105.0)</f>
        <v>46105</v>
      </c>
      <c r="E4934" s="26">
        <f>IFERROR(__xludf.DUMMYFUNCTION("""COMPUTED_VALUE"""),356793.0)</f>
        <v>356793</v>
      </c>
      <c r="F4934" s="22" t="str">
        <f>IFERROR(__xludf.DUMMYFUNCTION("""COMPUTED_VALUE"""),"墜下の輝星")</f>
        <v>墜下の輝星</v>
      </c>
      <c r="G4934" s="20" t="str">
        <f>IFERROR(__xludf.DUMMYFUNCTION("""COMPUTED_VALUE"""),"1～2")</f>
        <v>1～2</v>
      </c>
      <c r="H4934" s="22" t="str">
        <f>IFERROR(__xludf.DUMMYFUNCTION("""COMPUTED_VALUE"""),"だいず")</f>
        <v>だいず</v>
      </c>
      <c r="I4934" s="22" t="str">
        <f>IFERROR(__xludf.DUMMYFUNCTION("""COMPUTED_VALUE"""),"TL")</f>
        <v>TL</v>
      </c>
      <c r="J4934" s="22"/>
      <c r="K4934" s="22" t="str">
        <f>IFERROR(__xludf.DUMMYFUNCTION("""COMPUTED_VALUE"""),"ショコラシュクレデジタル")</f>
        <v>ショコラシュクレデジタル</v>
      </c>
      <c r="L4934" s="22" t="str">
        <f>IFERROR(__xludf.DUMMYFUNCTION("""COMPUTED_VALUE"""),"キルタイムコミュニケーション")</f>
        <v>キルタイムコミュニケーション</v>
      </c>
      <c r="M4934" s="33">
        <f>IFERROR(__xludf.DUMMYFUNCTION("""COMPUTED_VALUE"""),46136.0)</f>
        <v>46136</v>
      </c>
      <c r="N4934" s="33">
        <f>IFERROR(__xludf.DUMMYFUNCTION("""COMPUTED_VALUE"""),46226.0)</f>
        <v>46226</v>
      </c>
      <c r="O4934" s="20"/>
      <c r="P4934" s="32" t="str">
        <f>IFERROR(__xludf.DUMMYFUNCTION("""COMPUTED_VALUE"""),"可")</f>
        <v>可</v>
      </c>
      <c r="Q4934" s="30" t="str">
        <f>IFERROR(__xludf.DUMMYFUNCTION("""COMPUTED_VALUE"""),"【アダルト作品扱い】")</f>
        <v>【アダルト作品扱い】</v>
      </c>
      <c r="R4934" s="22" t="str">
        <f>IFERROR(__xludf.DUMMYFUNCTION("""COMPUTED_VALUE"""),"コミットNG")</f>
        <v>コミットNG</v>
      </c>
      <c r="S4934" s="22" t="str">
        <f>IFERROR(__xludf.DUMMYFUNCTION("""COMPUTED_VALUE"""),"20260319_キルタイムコミュニケーション_墜下の輝星【TL版】")</f>
        <v>20260319_キルタイムコミュニケーション_墜下の輝星【TL版】</v>
      </c>
      <c r="T4934" s="22" t="str">
        <f>IFERROR(__xludf.DUMMYFUNCTION("""COMPUTED_VALUE"""),"格納済み")</f>
        <v>格納済み</v>
      </c>
      <c r="U4934" s="9" t="str">
        <f>IFERROR(__xludf.DUMMYFUNCTION("""COMPUTED_VALUE"""),"（C）だいず/キルタイムコミュニケーション")</f>
        <v>（C）だいず/キルタイムコミュニケーション</v>
      </c>
      <c r="V4934" s="8"/>
      <c r="W4934" s="8"/>
      <c r="X4934" s="8" t="str">
        <f>IFERROR(__xludf.DUMMYFUNCTION("""COMPUTED_VALUE"""),"有")</f>
        <v>有</v>
      </c>
      <c r="Y4934" s="8" t="str">
        <f>IFERROR(__xludf.DUMMYFUNCTION("""COMPUTED_VALUE"""),"P16まで")</f>
        <v>P16まで</v>
      </c>
      <c r="Z4934" s="7"/>
      <c r="AA4934" s="7"/>
      <c r="AB4934" s="7"/>
    </row>
    <row r="4935" ht="15.75" customHeight="1">
      <c r="A4935" s="26">
        <f>IFERROR(__xludf.DUMMYFUNCTION("""COMPUTED_VALUE"""),7506.0)</f>
        <v>7506</v>
      </c>
      <c r="B4935" s="22" t="str">
        <f>IFERROR(__xludf.DUMMYFUNCTION("""COMPUTED_VALUE"""),"確定")</f>
        <v>確定</v>
      </c>
      <c r="C4935" s="28">
        <f>IFERROR(__xludf.DUMMYFUNCTION("""COMPUTED_VALUE"""),46073.0)</f>
        <v>46073</v>
      </c>
      <c r="D4935" s="28">
        <f>IFERROR(__xludf.DUMMYFUNCTION("""COMPUTED_VALUE"""),46105.0)</f>
        <v>46105</v>
      </c>
      <c r="E4935" s="26">
        <f>IFERROR(__xludf.DUMMYFUNCTION("""COMPUTED_VALUE"""),360088.0)</f>
        <v>360088</v>
      </c>
      <c r="F4935" s="22" t="str">
        <f>IFERROR(__xludf.DUMMYFUNCTION("""COMPUTED_VALUE"""),"墜下の輝星【R18版】")</f>
        <v>墜下の輝星【R18版】</v>
      </c>
      <c r="G4935" s="20" t="str">
        <f>IFERROR(__xludf.DUMMYFUNCTION("""COMPUTED_VALUE"""),"1～2")</f>
        <v>1～2</v>
      </c>
      <c r="H4935" s="22" t="str">
        <f>IFERROR(__xludf.DUMMYFUNCTION("""COMPUTED_VALUE"""),"だいず")</f>
        <v>だいず</v>
      </c>
      <c r="I4935" s="22" t="str">
        <f>IFERROR(__xludf.DUMMYFUNCTION("""COMPUTED_VALUE"""),"アダルト")</f>
        <v>アダルト</v>
      </c>
      <c r="J4935" s="22"/>
      <c r="K4935" s="22" t="str">
        <f>IFERROR(__xludf.DUMMYFUNCTION("""COMPUTED_VALUE"""),"ショコラシュクレデジタルR18")</f>
        <v>ショコラシュクレデジタルR18</v>
      </c>
      <c r="L4935" s="22" t="str">
        <f>IFERROR(__xludf.DUMMYFUNCTION("""COMPUTED_VALUE"""),"キルタイムコミュニケーション")</f>
        <v>キルタイムコミュニケーション</v>
      </c>
      <c r="M4935" s="33">
        <f>IFERROR(__xludf.DUMMYFUNCTION("""COMPUTED_VALUE"""),46136.0)</f>
        <v>46136</v>
      </c>
      <c r="N4935" s="33">
        <f>IFERROR(__xludf.DUMMYFUNCTION("""COMPUTED_VALUE"""),46226.0)</f>
        <v>46226</v>
      </c>
      <c r="O4935" s="20"/>
      <c r="P4935" s="32" t="str">
        <f>IFERROR(__xludf.DUMMYFUNCTION("""COMPUTED_VALUE"""),"可")</f>
        <v>可</v>
      </c>
      <c r="Q4935" s="30"/>
      <c r="R4935" s="22" t="str">
        <f>IFERROR(__xludf.DUMMYFUNCTION("""COMPUTED_VALUE"""),"コミットOK")</f>
        <v>コミットOK</v>
      </c>
      <c r="S4935" s="22" t="str">
        <f>IFERROR(__xludf.DUMMYFUNCTION("""COMPUTED_VALUE"""),"20260318_キルタイムコミュニケーション_墜下の輝星【R版】")</f>
        <v>20260318_キルタイムコミュニケーション_墜下の輝星【R版】</v>
      </c>
      <c r="T4935" s="22" t="str">
        <f>IFERROR(__xludf.DUMMYFUNCTION("""COMPUTED_VALUE"""),"格納済み")</f>
        <v>格納済み</v>
      </c>
      <c r="U4935" s="9" t="str">
        <f>IFERROR(__xludf.DUMMYFUNCTION("""COMPUTED_VALUE"""),"（C）だいず/キルタイムコミュニケーション")</f>
        <v>（C）だいず/キルタイムコミュニケーション</v>
      </c>
      <c r="V4935" s="8"/>
      <c r="W4935" s="8"/>
      <c r="X4935" s="8" t="str">
        <f>IFERROR(__xludf.DUMMYFUNCTION("""COMPUTED_VALUE"""),"有")</f>
        <v>有</v>
      </c>
      <c r="Y4935" s="8" t="str">
        <f>IFERROR(__xludf.DUMMYFUNCTION("""COMPUTED_VALUE"""),"P22まで")</f>
        <v>P22まで</v>
      </c>
      <c r="Z4935" s="7"/>
      <c r="AA4935" s="7"/>
      <c r="AB4935" s="7"/>
    </row>
    <row r="4936" ht="15.75" customHeight="1">
      <c r="A4936" s="26">
        <f>IFERROR(__xludf.DUMMYFUNCTION("""COMPUTED_VALUE"""),7528.0)</f>
        <v>7528</v>
      </c>
      <c r="B4936" s="22" t="str">
        <f>IFERROR(__xludf.DUMMYFUNCTION("""COMPUTED_VALUE"""),"確定")</f>
        <v>確定</v>
      </c>
      <c r="C4936" s="28">
        <f>IFERROR(__xludf.DUMMYFUNCTION("""COMPUTED_VALUE"""),46079.0)</f>
        <v>46079</v>
      </c>
      <c r="D4936" s="28">
        <f>IFERROR(__xludf.DUMMYFUNCTION("""COMPUTED_VALUE"""),46106.0)</f>
        <v>46106</v>
      </c>
      <c r="E4936" s="26">
        <f>IFERROR(__xludf.DUMMYFUNCTION("""COMPUTED_VALUE"""),357328.0)</f>
        <v>357328</v>
      </c>
      <c r="F4936" s="22" t="str">
        <f>IFERROR(__xludf.DUMMYFUNCTION("""COMPUTED_VALUE"""),"女王陛下（実は女装男子）の可愛い金糸雀（カナリア）　【連載版】")</f>
        <v>女王陛下（実は女装男子）の可愛い金糸雀（カナリア）　【連載版】</v>
      </c>
      <c r="G4936" s="20" t="str">
        <f>IFERROR(__xludf.DUMMYFUNCTION("""COMPUTED_VALUE"""),"1～3")</f>
        <v>1～3</v>
      </c>
      <c r="H4936" s="22" t="str">
        <f>IFERROR(__xludf.DUMMYFUNCTION("""COMPUTED_VALUE"""),"漫画：花まるこ／原作：クレイン")</f>
        <v>漫画：花まるこ／原作：クレイン</v>
      </c>
      <c r="I4936" s="22" t="str">
        <f>IFERROR(__xludf.DUMMYFUNCTION("""COMPUTED_VALUE"""),"女性")</f>
        <v>女性</v>
      </c>
      <c r="J4936" s="22"/>
      <c r="K4936" s="22" t="str">
        <f>IFERROR(__xludf.DUMMYFUNCTION("""COMPUTED_VALUE"""),"comic LAKE")</f>
        <v>comic LAKE</v>
      </c>
      <c r="L4936" s="22" t="str">
        <f>IFERROR(__xludf.DUMMYFUNCTION("""COMPUTED_VALUE"""),"一迅社")</f>
        <v>一迅社</v>
      </c>
      <c r="M4936" s="33">
        <f>IFERROR(__xludf.DUMMYFUNCTION("""COMPUTED_VALUE"""),46129.0)</f>
        <v>46129</v>
      </c>
      <c r="N4936" s="33">
        <f>IFERROR(__xludf.DUMMYFUNCTION("""COMPUTED_VALUE"""),46219.66666666667)</f>
        <v>46219.66667</v>
      </c>
      <c r="O4936" s="20"/>
      <c r="P4936" s="32" t="str">
        <f>IFERROR(__xludf.DUMMYFUNCTION("""COMPUTED_VALUE"""),"否")</f>
        <v>否</v>
      </c>
      <c r="Q4936" s="30"/>
      <c r="R4936" s="22" t="str">
        <f>IFERROR(__xludf.DUMMYFUNCTION("""COMPUTED_VALUE"""),"コミットOK")</f>
        <v>コミットOK</v>
      </c>
      <c r="S4936" s="22" t="str">
        <f>IFERROR(__xludf.DUMMYFUNCTION("""COMPUTED_VALUE"""),"20260324_一迅社_女王陛下（実は女装男子）の可愛い金糸雀（カナリア）")</f>
        <v>20260324_一迅社_女王陛下（実は女装男子）の可愛い金糸雀（カナリア）</v>
      </c>
      <c r="T4936" s="22" t="str">
        <f>IFERROR(__xludf.DUMMYFUNCTION("""COMPUTED_VALUE"""),"格納済み")</f>
        <v>格納済み</v>
      </c>
      <c r="U4936" s="9" t="str">
        <f>IFERROR(__xludf.DUMMYFUNCTION("""COMPUTED_VALUE"""),"(C)クレイン・花まるこ／一迅社")</f>
        <v>(C)クレイン・花まるこ／一迅社</v>
      </c>
      <c r="V4936" s="8"/>
      <c r="W4936" s="8"/>
      <c r="X4936" s="8" t="str">
        <f>IFERROR(__xludf.DUMMYFUNCTION("""COMPUTED_VALUE"""),"有")</f>
        <v>有</v>
      </c>
      <c r="Y4936" s="8" t="str">
        <f>IFERROR(__xludf.DUMMYFUNCTION("""COMPUTED_VALUE"""),"P7まで")</f>
        <v>P7まで</v>
      </c>
      <c r="Z4936" s="7"/>
      <c r="AA4936" s="7"/>
      <c r="AB4936" s="7"/>
    </row>
    <row r="4937" ht="15.75" customHeight="1">
      <c r="A4937" s="26">
        <f>IFERROR(__xludf.DUMMYFUNCTION("""COMPUTED_VALUE"""),7529.0)</f>
        <v>7529</v>
      </c>
      <c r="B4937" s="22" t="str">
        <f>IFERROR(__xludf.DUMMYFUNCTION("""COMPUTED_VALUE"""),"確定")</f>
        <v>確定</v>
      </c>
      <c r="C4937" s="28">
        <f>IFERROR(__xludf.DUMMYFUNCTION("""COMPUTED_VALUE"""),46079.0)</f>
        <v>46079</v>
      </c>
      <c r="D4937" s="28">
        <f>IFERROR(__xludf.DUMMYFUNCTION("""COMPUTED_VALUE"""),46106.0)</f>
        <v>46106</v>
      </c>
      <c r="E4937" s="26">
        <f>IFERROR(__xludf.DUMMYFUNCTION("""COMPUTED_VALUE"""),358276.0)</f>
        <v>358276</v>
      </c>
      <c r="F4937" s="22" t="str">
        <f>IFERROR(__xludf.DUMMYFUNCTION("""COMPUTED_VALUE"""),"うちのマネがこんなにメロいなんて聞いてない！")</f>
        <v>うちのマネがこんなにメロいなんて聞いてない！</v>
      </c>
      <c r="G4937" s="20">
        <f>IFERROR(__xludf.DUMMYFUNCTION("""COMPUTED_VALUE"""),1.0)</f>
        <v>1</v>
      </c>
      <c r="H4937" s="22" t="str">
        <f>IFERROR(__xludf.DUMMYFUNCTION("""COMPUTED_VALUE"""),"ソウダ")</f>
        <v>ソウダ</v>
      </c>
      <c r="I4937" s="22" t="str">
        <f>IFERROR(__xludf.DUMMYFUNCTION("""COMPUTED_VALUE"""),"TL")</f>
        <v>TL</v>
      </c>
      <c r="J4937" s="22"/>
      <c r="K4937" s="22" t="str">
        <f>IFERROR(__xludf.DUMMYFUNCTION("""COMPUTED_VALUE"""),"LOVEBITES")</f>
        <v>LOVEBITES</v>
      </c>
      <c r="L4937" s="22" t="str">
        <f>IFERROR(__xludf.DUMMYFUNCTION("""COMPUTED_VALUE"""),"一迅社")</f>
        <v>一迅社</v>
      </c>
      <c r="M4937" s="33">
        <f>IFERROR(__xludf.DUMMYFUNCTION("""COMPUTED_VALUE"""),46143.0)</f>
        <v>46143</v>
      </c>
      <c r="N4937" s="33">
        <f>IFERROR(__xludf.DUMMYFUNCTION("""COMPUTED_VALUE"""),46173.0)</f>
        <v>46173</v>
      </c>
      <c r="O4937" s="20"/>
      <c r="P4937" s="32" t="str">
        <f>IFERROR(__xludf.DUMMYFUNCTION("""COMPUTED_VALUE"""),"可")</f>
        <v>可</v>
      </c>
      <c r="Q4937" s="30" t="str">
        <f>IFERROR(__xludf.DUMMYFUNCTION("""COMPUTED_VALUE"""),"アダルト作品扱いから一般面OKへ変更（3/25）")</f>
        <v>アダルト作品扱いから一般面OKへ変更（3/25）</v>
      </c>
      <c r="R4937" s="22" t="str">
        <f>IFERROR(__xludf.DUMMYFUNCTION("""COMPUTED_VALUE"""),"コミットOK")</f>
        <v>コミットOK</v>
      </c>
      <c r="S4937" s="22" t="str">
        <f>IFERROR(__xludf.DUMMYFUNCTION("""COMPUTED_VALUE"""),"20260324_一迅社_うちのマネがこんなにメロいなんて聞いてない！")</f>
        <v>20260324_一迅社_うちのマネがこんなにメロいなんて聞いてない！</v>
      </c>
      <c r="T4937" s="22" t="str">
        <f>IFERROR(__xludf.DUMMYFUNCTION("""COMPUTED_VALUE"""),"格納済み")</f>
        <v>格納済み</v>
      </c>
      <c r="U4937" s="9" t="str">
        <f>IFERROR(__xludf.DUMMYFUNCTION("""COMPUTED_VALUE"""),"(C)ソウダ／一迅社")</f>
        <v>(C)ソウダ／一迅社</v>
      </c>
      <c r="V4937" s="8"/>
      <c r="W4937" s="8"/>
      <c r="X4937" s="8" t="str">
        <f>IFERROR(__xludf.DUMMYFUNCTION("""COMPUTED_VALUE"""),"有")</f>
        <v>有</v>
      </c>
      <c r="Y4937" s="8" t="str">
        <f>IFERROR(__xludf.DUMMYFUNCTION("""COMPUTED_VALUE"""),"P7まで")</f>
        <v>P7まで</v>
      </c>
      <c r="Z4937" s="7"/>
      <c r="AA4937" s="7"/>
      <c r="AB4937" s="7"/>
    </row>
    <row r="4938" ht="15.75" customHeight="1">
      <c r="A4938" s="26">
        <f>IFERROR(__xludf.DUMMYFUNCTION("""COMPUTED_VALUE"""),7530.0)</f>
        <v>7530</v>
      </c>
      <c r="B4938" s="22" t="str">
        <f>IFERROR(__xludf.DUMMYFUNCTION("""COMPUTED_VALUE"""),"確定")</f>
        <v>確定</v>
      </c>
      <c r="C4938" s="28">
        <f>IFERROR(__xludf.DUMMYFUNCTION("""COMPUTED_VALUE"""),46079.0)</f>
        <v>46079</v>
      </c>
      <c r="D4938" s="28">
        <f>IFERROR(__xludf.DUMMYFUNCTION("""COMPUTED_VALUE"""),46106.0)</f>
        <v>46106</v>
      </c>
      <c r="E4938" s="26">
        <f>IFERROR(__xludf.DUMMYFUNCTION("""COMPUTED_VALUE"""),358278.0)</f>
        <v>358278</v>
      </c>
      <c r="F4938" s="22" t="str">
        <f>IFERROR(__xludf.DUMMYFUNCTION("""COMPUTED_VALUE"""),"彼の素顔は非公開")</f>
        <v>彼の素顔は非公開</v>
      </c>
      <c r="G4938" s="20">
        <f>IFERROR(__xludf.DUMMYFUNCTION("""COMPUTED_VALUE"""),1.0)</f>
        <v>1</v>
      </c>
      <c r="H4938" s="22" t="str">
        <f>IFERROR(__xludf.DUMMYFUNCTION("""COMPUTED_VALUE"""),"篠突つゆ")</f>
        <v>篠突つゆ</v>
      </c>
      <c r="I4938" s="22" t="str">
        <f>IFERROR(__xludf.DUMMYFUNCTION("""COMPUTED_VALUE"""),"TL")</f>
        <v>TL</v>
      </c>
      <c r="J4938" s="22"/>
      <c r="K4938" s="22" t="str">
        <f>IFERROR(__xludf.DUMMYFUNCTION("""COMPUTED_VALUE"""),"LOVEBITES")</f>
        <v>LOVEBITES</v>
      </c>
      <c r="L4938" s="22" t="str">
        <f>IFERROR(__xludf.DUMMYFUNCTION("""COMPUTED_VALUE"""),"一迅社")</f>
        <v>一迅社</v>
      </c>
      <c r="M4938" s="33">
        <f>IFERROR(__xludf.DUMMYFUNCTION("""COMPUTED_VALUE"""),46143.0)</f>
        <v>46143</v>
      </c>
      <c r="N4938" s="33">
        <f>IFERROR(__xludf.DUMMYFUNCTION("""COMPUTED_VALUE"""),46173.0)</f>
        <v>46173</v>
      </c>
      <c r="O4938" s="20"/>
      <c r="P4938" s="32" t="str">
        <f>IFERROR(__xludf.DUMMYFUNCTION("""COMPUTED_VALUE"""),"可")</f>
        <v>可</v>
      </c>
      <c r="Q4938" s="30" t="str">
        <f>IFERROR(__xludf.DUMMYFUNCTION("""COMPUTED_VALUE"""),"【アダルト作品扱い】")</f>
        <v>【アダルト作品扱い】</v>
      </c>
      <c r="R4938" s="22" t="str">
        <f>IFERROR(__xludf.DUMMYFUNCTION("""COMPUTED_VALUE"""),"コミットOK")</f>
        <v>コミットOK</v>
      </c>
      <c r="S4938" s="22" t="str">
        <f>IFERROR(__xludf.DUMMYFUNCTION("""COMPUTED_VALUE"""),"20260324_一迅社_彼の素顔は非公開")</f>
        <v>20260324_一迅社_彼の素顔は非公開</v>
      </c>
      <c r="T4938" s="22" t="str">
        <f>IFERROR(__xludf.DUMMYFUNCTION("""COMPUTED_VALUE"""),"格納済み")</f>
        <v>格納済み</v>
      </c>
      <c r="U4938" s="9" t="str">
        <f>IFERROR(__xludf.DUMMYFUNCTION("""COMPUTED_VALUE"""),"(C)篠突つゆ／一迅社")</f>
        <v>(C)篠突つゆ／一迅社</v>
      </c>
      <c r="V4938" s="8"/>
      <c r="W4938" s="8"/>
      <c r="X4938" s="8" t="str">
        <f>IFERROR(__xludf.DUMMYFUNCTION("""COMPUTED_VALUE"""),"有")</f>
        <v>有</v>
      </c>
      <c r="Y4938" s="8" t="str">
        <f>IFERROR(__xludf.DUMMYFUNCTION("""COMPUTED_VALUE"""),"P5まで")</f>
        <v>P5まで</v>
      </c>
      <c r="Z4938" s="7"/>
      <c r="AA4938" s="7"/>
      <c r="AB4938" s="7"/>
    </row>
    <row r="4939" ht="15.75" customHeight="1">
      <c r="A4939" s="26">
        <f>IFERROR(__xludf.DUMMYFUNCTION("""COMPUTED_VALUE"""),7531.0)</f>
        <v>7531</v>
      </c>
      <c r="B4939" s="22" t="str">
        <f>IFERROR(__xludf.DUMMYFUNCTION("""COMPUTED_VALUE"""),"確定")</f>
        <v>確定</v>
      </c>
      <c r="C4939" s="28">
        <f>IFERROR(__xludf.DUMMYFUNCTION("""COMPUTED_VALUE"""),46079.0)</f>
        <v>46079</v>
      </c>
      <c r="D4939" s="28">
        <f>IFERROR(__xludf.DUMMYFUNCTION("""COMPUTED_VALUE"""),46106.0)</f>
        <v>46106</v>
      </c>
      <c r="E4939" s="26">
        <f>IFERROR(__xludf.DUMMYFUNCTION("""COMPUTED_VALUE"""),358277.0)</f>
        <v>358277</v>
      </c>
      <c r="F4939" s="22" t="str">
        <f>IFERROR(__xludf.DUMMYFUNCTION("""COMPUTED_VALUE"""),"合コン行ったら前職の鬼上司がいた話")</f>
        <v>合コン行ったら前職の鬼上司がいた話</v>
      </c>
      <c r="G4939" s="20">
        <f>IFERROR(__xludf.DUMMYFUNCTION("""COMPUTED_VALUE"""),1.0)</f>
        <v>1</v>
      </c>
      <c r="H4939" s="22" t="str">
        <f>IFERROR(__xludf.DUMMYFUNCTION("""COMPUTED_VALUE"""),"よちリョウタ")</f>
        <v>よちリョウタ</v>
      </c>
      <c r="I4939" s="22" t="str">
        <f>IFERROR(__xludf.DUMMYFUNCTION("""COMPUTED_VALUE"""),"TL")</f>
        <v>TL</v>
      </c>
      <c r="J4939" s="22"/>
      <c r="K4939" s="22" t="str">
        <f>IFERROR(__xludf.DUMMYFUNCTION("""COMPUTED_VALUE"""),"LOVEBITES")</f>
        <v>LOVEBITES</v>
      </c>
      <c r="L4939" s="22" t="str">
        <f>IFERROR(__xludf.DUMMYFUNCTION("""COMPUTED_VALUE"""),"一迅社")</f>
        <v>一迅社</v>
      </c>
      <c r="M4939" s="33">
        <f>IFERROR(__xludf.DUMMYFUNCTION("""COMPUTED_VALUE"""),46143.0)</f>
        <v>46143</v>
      </c>
      <c r="N4939" s="33">
        <f>IFERROR(__xludf.DUMMYFUNCTION("""COMPUTED_VALUE"""),46173.0)</f>
        <v>46173</v>
      </c>
      <c r="O4939" s="20"/>
      <c r="P4939" s="32" t="str">
        <f>IFERROR(__xludf.DUMMYFUNCTION("""COMPUTED_VALUE"""),"可")</f>
        <v>可</v>
      </c>
      <c r="Q4939" s="30" t="str">
        <f>IFERROR(__xludf.DUMMYFUNCTION("""COMPUTED_VALUE"""),"【アダルト作品扱い】")</f>
        <v>【アダルト作品扱い】</v>
      </c>
      <c r="R4939" s="22" t="str">
        <f>IFERROR(__xludf.DUMMYFUNCTION("""COMPUTED_VALUE"""),"コミットOK")</f>
        <v>コミットOK</v>
      </c>
      <c r="S4939" s="22" t="str">
        <f>IFERROR(__xludf.DUMMYFUNCTION("""COMPUTED_VALUE"""),"20260324_一迅社_合コン行ったら前職の鬼上司がいた話")</f>
        <v>20260324_一迅社_合コン行ったら前職の鬼上司がいた話</v>
      </c>
      <c r="T4939" s="22" t="str">
        <f>IFERROR(__xludf.DUMMYFUNCTION("""COMPUTED_VALUE"""),"格納済み")</f>
        <v>格納済み</v>
      </c>
      <c r="U4939" s="9" t="str">
        <f>IFERROR(__xludf.DUMMYFUNCTION("""COMPUTED_VALUE"""),"(C)よちリョウタ／一迅社")</f>
        <v>(C)よちリョウタ／一迅社</v>
      </c>
      <c r="V4939" s="8"/>
      <c r="W4939" s="8"/>
      <c r="X4939" s="8" t="str">
        <f>IFERROR(__xludf.DUMMYFUNCTION("""COMPUTED_VALUE"""),"有")</f>
        <v>有</v>
      </c>
      <c r="Y4939" s="8" t="str">
        <f>IFERROR(__xludf.DUMMYFUNCTION("""COMPUTED_VALUE"""),"P6まで")</f>
        <v>P6まで</v>
      </c>
      <c r="Z4939" s="7"/>
      <c r="AA4939" s="7"/>
      <c r="AB4939" s="7"/>
    </row>
    <row r="4940" ht="15.75" customHeight="1">
      <c r="A4940" s="26">
        <f>IFERROR(__xludf.DUMMYFUNCTION("""COMPUTED_VALUE"""),7538.0)</f>
        <v>7538</v>
      </c>
      <c r="B4940" s="22" t="str">
        <f>IFERROR(__xludf.DUMMYFUNCTION("""COMPUTED_VALUE"""),"確定")</f>
        <v>確定</v>
      </c>
      <c r="C4940" s="28">
        <f>IFERROR(__xludf.DUMMYFUNCTION("""COMPUTED_VALUE"""),46079.0)</f>
        <v>46079</v>
      </c>
      <c r="D4940" s="28">
        <f>IFERROR(__xludf.DUMMYFUNCTION("""COMPUTED_VALUE"""),46106.0)</f>
        <v>46106</v>
      </c>
      <c r="E4940" s="26">
        <f>IFERROR(__xludf.DUMMYFUNCTION("""COMPUTED_VALUE"""),360276.0)</f>
        <v>360276</v>
      </c>
      <c r="F4940" s="22" t="str">
        <f>IFERROR(__xludf.DUMMYFUNCTION("""COMPUTED_VALUE"""),"とうがらしドラゴンのシン　飼育員レージの観察日記【単話版】")</f>
        <v>とうがらしドラゴンのシン　飼育員レージの観察日記【単話版】</v>
      </c>
      <c r="G4940" s="20" t="str">
        <f>IFERROR(__xludf.DUMMYFUNCTION("""COMPUTED_VALUE"""),"1～5")</f>
        <v>1～5</v>
      </c>
      <c r="H4940" s="231">
        <f>IFERROR(__xludf.DUMMYFUNCTION("""COMPUTED_VALUE"""),0.16597222222222222)</f>
        <v>0.1659722222</v>
      </c>
      <c r="I4940" s="22" t="str">
        <f>IFERROR(__xludf.DUMMYFUNCTION("""COMPUTED_VALUE"""),"青年")</f>
        <v>青年</v>
      </c>
      <c r="J4940" s="22"/>
      <c r="K4940" s="22" t="str">
        <f>IFERROR(__xludf.DUMMYFUNCTION("""COMPUTED_VALUE"""),"COMICリュウ / リュウコミックス")</f>
        <v>COMICリュウ / リュウコミックス</v>
      </c>
      <c r="L4940" s="22" t="str">
        <f>IFERROR(__xludf.DUMMYFUNCTION("""COMPUTED_VALUE"""),"徳間書店")</f>
        <v>徳間書店</v>
      </c>
      <c r="M4940" s="33">
        <f>IFERROR(__xludf.DUMMYFUNCTION("""COMPUTED_VALUE"""),46142.0)</f>
        <v>46142</v>
      </c>
      <c r="N4940" s="33">
        <f>IFERROR(__xludf.DUMMYFUNCTION("""COMPUTED_VALUE"""),46263.66666666667)</f>
        <v>46263.66667</v>
      </c>
      <c r="O4940" s="20"/>
      <c r="P4940" s="32" t="str">
        <f>IFERROR(__xludf.DUMMYFUNCTION("""COMPUTED_VALUE"""),"可")</f>
        <v>可</v>
      </c>
      <c r="Q4940" s="30" t="str">
        <f>IFERROR(__xludf.DUMMYFUNCTION("""COMPUTED_VALUE"""),"5巻の素材の共有に少し時間がかかるため1~4巻までの素材で広告制作お願いいたします。")</f>
        <v>5巻の素材の共有に少し時間がかかるため1~4巻までの素材で広告制作お願いいたします。</v>
      </c>
      <c r="R4940" s="22" t="str">
        <f>IFERROR(__xludf.DUMMYFUNCTION("""COMPUTED_VALUE"""),"コミットOK")</f>
        <v>コミットOK</v>
      </c>
      <c r="S4940" s="22" t="str">
        <f>IFERROR(__xludf.DUMMYFUNCTION("""COMPUTED_VALUE"""),"20260324_徳間書店_とうがらしドラゴンのシン")</f>
        <v>20260324_徳間書店_とうがらしドラゴンのシン</v>
      </c>
      <c r="T4940" s="22" t="str">
        <f>IFERROR(__xludf.DUMMYFUNCTION("""COMPUTED_VALUE"""),"格納済み")</f>
        <v>格納済み</v>
      </c>
      <c r="U4940" s="9" t="str">
        <f>IFERROR(__xludf.DUMMYFUNCTION("""COMPUTED_VALUE"""),"Ⓒ3：59／徳間書店")</f>
        <v>Ⓒ3：59／徳間書店</v>
      </c>
      <c r="V4940" s="8"/>
      <c r="W4940" s="8"/>
      <c r="X4940" s="8" t="str">
        <f>IFERROR(__xludf.DUMMYFUNCTION("""COMPUTED_VALUE"""),"有")</f>
        <v>有</v>
      </c>
      <c r="Y4940" s="8" t="str">
        <f>IFERROR(__xludf.DUMMYFUNCTION("""COMPUTED_VALUE"""),"2026/5/29まで1巻無料")</f>
        <v>2026/5/29まで1巻無料</v>
      </c>
      <c r="Z4940" s="7"/>
      <c r="AA4940" s="7"/>
      <c r="AB4940" s="7"/>
    </row>
    <row r="4941" ht="15.75" customHeight="1">
      <c r="A4941" s="26">
        <f>IFERROR(__xludf.DUMMYFUNCTION("""COMPUTED_VALUE"""),7540.0)</f>
        <v>7540</v>
      </c>
      <c r="B4941" s="22" t="str">
        <f>IFERROR(__xludf.DUMMYFUNCTION("""COMPUTED_VALUE"""),"確定")</f>
        <v>確定</v>
      </c>
      <c r="C4941" s="28">
        <f>IFERROR(__xludf.DUMMYFUNCTION("""COMPUTED_VALUE"""),46079.0)</f>
        <v>46079</v>
      </c>
      <c r="D4941" s="28">
        <f>IFERROR(__xludf.DUMMYFUNCTION("""COMPUTED_VALUE"""),46106.0)</f>
        <v>46106</v>
      </c>
      <c r="E4941" s="26">
        <f>IFERROR(__xludf.DUMMYFUNCTION("""COMPUTED_VALUE"""),360277.0)</f>
        <v>360277</v>
      </c>
      <c r="F4941" s="22" t="str">
        <f>IFERROR(__xludf.DUMMYFUNCTION("""COMPUTED_VALUE"""),"竜宮ホテル【単話版】")</f>
        <v>竜宮ホテル【単話版】</v>
      </c>
      <c r="G4941" s="20" t="str">
        <f>IFERROR(__xludf.DUMMYFUNCTION("""COMPUTED_VALUE"""),"1～5")</f>
        <v>1～5</v>
      </c>
      <c r="H4941" s="22" t="str">
        <f>IFERROR(__xludf.DUMMYFUNCTION("""COMPUTED_VALUE"""),"村山早紀┴月ノ輪航介")</f>
        <v>村山早紀┴月ノ輪航介</v>
      </c>
      <c r="I4941" s="22" t="str">
        <f>IFERROR(__xludf.DUMMYFUNCTION("""COMPUTED_VALUE"""),"青年マンガ")</f>
        <v>青年マンガ</v>
      </c>
      <c r="J4941" s="22"/>
      <c r="K4941" s="22" t="str">
        <f>IFERROR(__xludf.DUMMYFUNCTION("""COMPUTED_VALUE"""),"COMICリュウ / リュウコミックス")</f>
        <v>COMICリュウ / リュウコミックス</v>
      </c>
      <c r="L4941" s="22" t="str">
        <f>IFERROR(__xludf.DUMMYFUNCTION("""COMPUTED_VALUE"""),"徳間書店")</f>
        <v>徳間書店</v>
      </c>
      <c r="M4941" s="33">
        <f>IFERROR(__xludf.DUMMYFUNCTION("""COMPUTED_VALUE"""),46142.0)</f>
        <v>46142</v>
      </c>
      <c r="N4941" s="33">
        <f>IFERROR(__xludf.DUMMYFUNCTION("""COMPUTED_VALUE"""),46202.0)</f>
        <v>46202</v>
      </c>
      <c r="O4941" s="20"/>
      <c r="P4941" s="32" t="str">
        <f>IFERROR(__xludf.DUMMYFUNCTION("""COMPUTED_VALUE"""),"可")</f>
        <v>可</v>
      </c>
      <c r="Q4941" s="30"/>
      <c r="R4941" s="22" t="str">
        <f>IFERROR(__xludf.DUMMYFUNCTION("""COMPUTED_VALUE"""),"コミットOK")</f>
        <v>コミットOK</v>
      </c>
      <c r="S4941" s="22" t="str">
        <f>IFERROR(__xludf.DUMMYFUNCTION("""COMPUTED_VALUE"""),"20260324_徳間書店_竜宮ホテル")</f>
        <v>20260324_徳間書店_竜宮ホテル</v>
      </c>
      <c r="T4941" s="22" t="str">
        <f>IFERROR(__xludf.DUMMYFUNCTION("""COMPUTED_VALUE"""),"格納済み")</f>
        <v>格納済み</v>
      </c>
      <c r="U4941" s="9" t="str">
        <f>IFERROR(__xludf.DUMMYFUNCTION("""COMPUTED_VALUE"""),"Ⓒ村山早紀・月ノ輪航介／徳間書店")</f>
        <v>Ⓒ村山早紀・月ノ輪航介／徳間書店</v>
      </c>
      <c r="V4941" s="8"/>
      <c r="W4941" s="8"/>
      <c r="X4941" s="8" t="str">
        <f>IFERROR(__xludf.DUMMYFUNCTION("""COMPUTED_VALUE"""),"有")</f>
        <v>有</v>
      </c>
      <c r="Y4941" s="8" t="str">
        <f>IFERROR(__xludf.DUMMYFUNCTION("""COMPUTED_VALUE"""),"2026/5/29まで1巻無料")</f>
        <v>2026/5/29まで1巻無料</v>
      </c>
      <c r="Z4941" s="7"/>
      <c r="AA4941" s="7"/>
      <c r="AB4941" s="7"/>
    </row>
    <row r="4942" ht="15.75" customHeight="1">
      <c r="A4942" s="26">
        <f>IFERROR(__xludf.DUMMYFUNCTION("""COMPUTED_VALUE"""),7541.0)</f>
        <v>7541</v>
      </c>
      <c r="B4942" s="22" t="str">
        <f>IFERROR(__xludf.DUMMYFUNCTION("""COMPUTED_VALUE"""),"確定")</f>
        <v>確定</v>
      </c>
      <c r="C4942" s="28">
        <f>IFERROR(__xludf.DUMMYFUNCTION("""COMPUTED_VALUE"""),46080.0)</f>
        <v>46080</v>
      </c>
      <c r="D4942" s="28">
        <f>IFERROR(__xludf.DUMMYFUNCTION("""COMPUTED_VALUE"""),46106.0)</f>
        <v>46106</v>
      </c>
      <c r="E4942" s="26">
        <f>IFERROR(__xludf.DUMMYFUNCTION("""COMPUTED_VALUE"""),358111.0)</f>
        <v>358111</v>
      </c>
      <c r="F4942" s="22" t="str">
        <f>IFERROR(__xludf.DUMMYFUNCTION("""COMPUTED_VALUE"""),"オレンジの向日葵～我が子のように育てた男の子に抱かれてしまいました～")</f>
        <v>オレンジの向日葵～我が子のように育てた男の子に抱かれてしまいました～</v>
      </c>
      <c r="G4942" s="20" t="str">
        <f>IFERROR(__xludf.DUMMYFUNCTION("""COMPUTED_VALUE"""),"1～4")</f>
        <v>1～4</v>
      </c>
      <c r="H4942" s="22" t="str">
        <f>IFERROR(__xludf.DUMMYFUNCTION("""COMPUTED_VALUE"""),"棗アキラ")</f>
        <v>棗アキラ</v>
      </c>
      <c r="I4942" s="22" t="str">
        <f>IFERROR(__xludf.DUMMYFUNCTION("""COMPUTED_VALUE"""),"TLマンガ")</f>
        <v>TLマンガ</v>
      </c>
      <c r="J4942" s="22"/>
      <c r="K4942" s="22" t="str">
        <f>IFERROR(__xludf.DUMMYFUNCTION("""COMPUTED_VALUE"""),"黒ひめコミック")</f>
        <v>黒ひめコミック</v>
      </c>
      <c r="L4942" s="22" t="str">
        <f>IFERROR(__xludf.DUMMYFUNCTION("""COMPUTED_VALUE"""),"アイプロダクション")</f>
        <v>アイプロダクション</v>
      </c>
      <c r="M4942" s="33">
        <f>IFERROR(__xludf.DUMMYFUNCTION("""COMPUTED_VALUE"""),46148.0)</f>
        <v>46148</v>
      </c>
      <c r="N4942" s="33">
        <f>IFERROR(__xludf.DUMMYFUNCTION("""COMPUTED_VALUE"""),46208.0)</f>
        <v>46208</v>
      </c>
      <c r="O4942" s="20"/>
      <c r="P4942" s="32" t="str">
        <f>IFERROR(__xludf.DUMMYFUNCTION("""COMPUTED_VALUE"""),"可")</f>
        <v>可</v>
      </c>
      <c r="Q4942" s="30" t="str">
        <f>IFERROR(__xludf.DUMMYFUNCTION("""COMPUTED_VALUE"""),"【アダルト作品扱い】&lt;BR&gt;")</f>
        <v>【アダルト作品扱い】&lt;BR&gt;</v>
      </c>
      <c r="R4942" s="22" t="str">
        <f>IFERROR(__xludf.DUMMYFUNCTION("""COMPUTED_VALUE"""),"コミットOK")</f>
        <v>コミットOK</v>
      </c>
      <c r="S4942" s="22" t="str">
        <f>IFERROR(__xludf.DUMMYFUNCTION("""COMPUTED_VALUE"""),"20260323_アイプロダクション_オレンジの向日葵")</f>
        <v>20260323_アイプロダクション_オレンジの向日葵</v>
      </c>
      <c r="T4942" s="22" t="str">
        <f>IFERROR(__xludf.DUMMYFUNCTION("""COMPUTED_VALUE"""),"格納済み")</f>
        <v>格納済み</v>
      </c>
      <c r="U4942" s="9" t="str">
        <f>IFERROR(__xludf.DUMMYFUNCTION("""COMPUTED_VALUE"""),"棗アキラ/アイプロダクション")</f>
        <v>棗アキラ/アイプロダクション</v>
      </c>
      <c r="V4942" s="8"/>
      <c r="W4942" s="8"/>
      <c r="X4942" s="8" t="str">
        <f>IFERROR(__xludf.DUMMYFUNCTION("""COMPUTED_VALUE"""),"有")</f>
        <v>有</v>
      </c>
      <c r="Y4942" s="8" t="str">
        <f>IFERROR(__xludf.DUMMYFUNCTION("""COMPUTED_VALUE"""),"2026/5/19まで1巻無料
2巻立ち読み増量(P10)")</f>
        <v>2026/5/19まで1巻無料
2巻立ち読み増量(P10)</v>
      </c>
      <c r="Z4942" s="7"/>
      <c r="AA4942" s="7"/>
      <c r="AB4942" s="7"/>
    </row>
    <row r="4943" ht="15.75" customHeight="1">
      <c r="A4943" s="26">
        <f>IFERROR(__xludf.DUMMYFUNCTION("""COMPUTED_VALUE"""),7542.0)</f>
        <v>7542</v>
      </c>
      <c r="B4943" s="22" t="str">
        <f>IFERROR(__xludf.DUMMYFUNCTION("""COMPUTED_VALUE"""),"確定")</f>
        <v>確定</v>
      </c>
      <c r="C4943" s="28">
        <f>IFERROR(__xludf.DUMMYFUNCTION("""COMPUTED_VALUE"""),46080.0)</f>
        <v>46080</v>
      </c>
      <c r="D4943" s="28">
        <f>IFERROR(__xludf.DUMMYFUNCTION("""COMPUTED_VALUE"""),46105.0)</f>
        <v>46105</v>
      </c>
      <c r="E4943" s="26">
        <f>IFERROR(__xludf.DUMMYFUNCTION("""COMPUTED_VALUE"""),358037.0)</f>
        <v>358037</v>
      </c>
      <c r="F4943" s="22" t="str">
        <f>IFERROR(__xludf.DUMMYFUNCTION("""COMPUTED_VALUE"""),"「待て」のデキる後輩くん【マイクロ】")</f>
        <v>「待て」のデキる後輩くん【マイクロ】</v>
      </c>
      <c r="G4943" s="20" t="str">
        <f>IFERROR(__xludf.DUMMYFUNCTION("""COMPUTED_VALUE"""),"1～4")</f>
        <v>1～4</v>
      </c>
      <c r="H4943" s="22" t="str">
        <f>IFERROR(__xludf.DUMMYFUNCTION("""COMPUTED_VALUE"""),"朝黄ひかる")</f>
        <v>朝黄ひかる</v>
      </c>
      <c r="I4943" s="22" t="str">
        <f>IFERROR(__xludf.DUMMYFUNCTION("""COMPUTED_VALUE"""),"少女")</f>
        <v>少女</v>
      </c>
      <c r="J4943" s="22"/>
      <c r="K4943" s="22" t="str">
        <f>IFERROR(__xludf.DUMMYFUNCTION("""COMPUTED_VALUE"""),"Sho-ComiX")</f>
        <v>Sho-ComiX</v>
      </c>
      <c r="L4943" s="22" t="str">
        <f>IFERROR(__xludf.DUMMYFUNCTION("""COMPUTED_VALUE"""),"小学館")</f>
        <v>小学館</v>
      </c>
      <c r="M4943" s="33">
        <f>IFERROR(__xludf.DUMMYFUNCTION("""COMPUTED_VALUE"""),46137.0)</f>
        <v>46137</v>
      </c>
      <c r="N4943" s="33">
        <f>IFERROR(__xludf.DUMMYFUNCTION("""COMPUTED_VALUE"""),46227.66666666667)</f>
        <v>46227.66667</v>
      </c>
      <c r="O4943" s="20"/>
      <c r="P4943" s="32" t="str">
        <f>IFERROR(__xludf.DUMMYFUNCTION("""COMPUTED_VALUE"""),"否")</f>
        <v>否</v>
      </c>
      <c r="Q4943" s="30"/>
      <c r="R4943" s="22" t="str">
        <f>IFERROR(__xludf.DUMMYFUNCTION("""COMPUTED_VALUE"""),"コミットOK")</f>
        <v>コミットOK</v>
      </c>
      <c r="S4943" s="22" t="str">
        <f>IFERROR(__xludf.DUMMYFUNCTION("""COMPUTED_VALUE"""),"20260323_小学館_「待て」のデキる後輩くん【マイクロ】")</f>
        <v>20260323_小学館_「待て」のデキる後輩くん【マイクロ】</v>
      </c>
      <c r="T4943" s="22" t="str">
        <f>IFERROR(__xludf.DUMMYFUNCTION("""COMPUTED_VALUE"""),"格納済み")</f>
        <v>格納済み</v>
      </c>
      <c r="U4943" s="9" t="str">
        <f>IFERROR(__xludf.DUMMYFUNCTION("""COMPUTED_VALUE"""),"(C)朝黄ひかる / 小学館")</f>
        <v>(C)朝黄ひかる / 小学館</v>
      </c>
      <c r="V4943" s="8"/>
      <c r="W4943" s="8"/>
      <c r="X4943" s="8" t="str">
        <f>IFERROR(__xludf.DUMMYFUNCTION("""COMPUTED_VALUE"""),"有")</f>
        <v>有</v>
      </c>
      <c r="Y4943" s="8" t="str">
        <f>IFERROR(__xludf.DUMMYFUNCTION("""COMPUTED_VALUE"""),"2026/6/24まで1巻無料")</f>
        <v>2026/6/24まで1巻無料</v>
      </c>
      <c r="Z4943" s="7"/>
      <c r="AA4943" s="7"/>
      <c r="AB4943" s="7"/>
    </row>
    <row r="4944" ht="15.75" customHeight="1">
      <c r="A4944" s="26">
        <f>IFERROR(__xludf.DUMMYFUNCTION("""COMPUTED_VALUE"""),7543.0)</f>
        <v>7543</v>
      </c>
      <c r="B4944" s="22" t="str">
        <f>IFERROR(__xludf.DUMMYFUNCTION("""COMPUTED_VALUE"""),"確定")</f>
        <v>確定</v>
      </c>
      <c r="C4944" s="28">
        <f>IFERROR(__xludf.DUMMYFUNCTION("""COMPUTED_VALUE"""),46080.0)</f>
        <v>46080</v>
      </c>
      <c r="D4944" s="28">
        <f>IFERROR(__xludf.DUMMYFUNCTION("""COMPUTED_VALUE"""),46105.0)</f>
        <v>46105</v>
      </c>
      <c r="E4944" s="26">
        <f>IFERROR(__xludf.DUMMYFUNCTION("""COMPUTED_VALUE"""),358099.0)</f>
        <v>358099</v>
      </c>
      <c r="F4944" s="22" t="str">
        <f>IFERROR(__xludf.DUMMYFUNCTION("""COMPUTED_VALUE"""),"クズの噛み跡【マイクロ】")</f>
        <v>クズの噛み跡【マイクロ】</v>
      </c>
      <c r="G4944" s="20" t="str">
        <f>IFERROR(__xludf.DUMMYFUNCTION("""COMPUTED_VALUE"""),"1～3")</f>
        <v>1～3</v>
      </c>
      <c r="H4944" s="22" t="str">
        <f>IFERROR(__xludf.DUMMYFUNCTION("""COMPUTED_VALUE"""),"真村澪生")</f>
        <v>真村澪生</v>
      </c>
      <c r="I4944" s="22" t="str">
        <f>IFERROR(__xludf.DUMMYFUNCTION("""COMPUTED_VALUE"""),"女性")</f>
        <v>女性</v>
      </c>
      <c r="J4944" s="22"/>
      <c r="K4944" s="22" t="str">
        <f>IFERROR(__xludf.DUMMYFUNCTION("""COMPUTED_VALUE"""),"＆フラワー")</f>
        <v>＆フラワー</v>
      </c>
      <c r="L4944" s="22" t="str">
        <f>IFERROR(__xludf.DUMMYFUNCTION("""COMPUTED_VALUE"""),"小学館")</f>
        <v>小学館</v>
      </c>
      <c r="M4944" s="33">
        <f>IFERROR(__xludf.DUMMYFUNCTION("""COMPUTED_VALUE"""),46142.0)</f>
        <v>46142</v>
      </c>
      <c r="N4944" s="33">
        <f>IFERROR(__xludf.DUMMYFUNCTION("""COMPUTED_VALUE"""),46266.66666666667)</f>
        <v>46266.66667</v>
      </c>
      <c r="O4944" s="20"/>
      <c r="P4944" s="32" t="str">
        <f>IFERROR(__xludf.DUMMYFUNCTION("""COMPUTED_VALUE"""),"否")</f>
        <v>否</v>
      </c>
      <c r="Q4944" s="30"/>
      <c r="R4944" s="22" t="str">
        <f>IFERROR(__xludf.DUMMYFUNCTION("""COMPUTED_VALUE"""),"コミットOK")</f>
        <v>コミットOK</v>
      </c>
      <c r="S4944" s="22" t="str">
        <f>IFERROR(__xludf.DUMMYFUNCTION("""COMPUTED_VALUE"""),"20260319_小学館_クズの噛み跡【マイクロ】")</f>
        <v>20260319_小学館_クズの噛み跡【マイクロ】</v>
      </c>
      <c r="T4944" s="22" t="str">
        <f>IFERROR(__xludf.DUMMYFUNCTION("""COMPUTED_VALUE"""),"格納済み")</f>
        <v>格納済み</v>
      </c>
      <c r="U4944" s="9" t="str">
        <f>IFERROR(__xludf.DUMMYFUNCTION("""COMPUTED_VALUE"""),"(C)真村澪生 / 小学館")</f>
        <v>(C)真村澪生 / 小学館</v>
      </c>
      <c r="V4944" s="8"/>
      <c r="W4944" s="8"/>
      <c r="X4944" s="8" t="str">
        <f>IFERROR(__xludf.DUMMYFUNCTION("""COMPUTED_VALUE"""),"有")</f>
        <v>有</v>
      </c>
      <c r="Y4944" s="8" t="str">
        <f>IFERROR(__xludf.DUMMYFUNCTION("""COMPUTED_VALUE"""),"2026/6/29まで1巻無料")</f>
        <v>2026/6/29まで1巻無料</v>
      </c>
      <c r="Z4944" s="7"/>
      <c r="AA4944" s="7"/>
      <c r="AB4944" s="7"/>
    </row>
    <row r="4945" ht="15.75" customHeight="1">
      <c r="A4945" s="26">
        <f>IFERROR(__xludf.DUMMYFUNCTION("""COMPUTED_VALUE"""),7544.0)</f>
        <v>7544</v>
      </c>
      <c r="B4945" s="22" t="str">
        <f>IFERROR(__xludf.DUMMYFUNCTION("""COMPUTED_VALUE"""),"確定")</f>
        <v>確定</v>
      </c>
      <c r="C4945" s="28">
        <f>IFERROR(__xludf.DUMMYFUNCTION("""COMPUTED_VALUE"""),46080.0)</f>
        <v>46080</v>
      </c>
      <c r="D4945" s="28">
        <f>IFERROR(__xludf.DUMMYFUNCTION("""COMPUTED_VALUE"""),46106.0)</f>
        <v>46106</v>
      </c>
      <c r="E4945" s="26">
        <f>IFERROR(__xludf.DUMMYFUNCTION("""COMPUTED_VALUE"""),358002.0)</f>
        <v>358002</v>
      </c>
      <c r="F4945" s="22" t="str">
        <f>IFERROR(__xludf.DUMMYFUNCTION("""COMPUTED_VALUE"""),"恋したクズは溺愛彼氏に向いている～黒い策略にハメ堕とされて〜")</f>
        <v>恋したクズは溺愛彼氏に向いている～黒い策略にハメ堕とされて〜</v>
      </c>
      <c r="G4945" s="20" t="str">
        <f>IFERROR(__xludf.DUMMYFUNCTION("""COMPUTED_VALUE"""),"1～2")</f>
        <v>1～2</v>
      </c>
      <c r="H4945" s="22" t="str">
        <f>IFERROR(__xludf.DUMMYFUNCTION("""COMPUTED_VALUE"""),"さらだ希望")</f>
        <v>さらだ希望</v>
      </c>
      <c r="I4945" s="22" t="str">
        <f>IFERROR(__xludf.DUMMYFUNCTION("""COMPUTED_VALUE"""),"TL")</f>
        <v>TL</v>
      </c>
      <c r="J4945" s="22"/>
      <c r="K4945" s="22" t="str">
        <f>IFERROR(__xludf.DUMMYFUNCTION("""COMPUTED_VALUE"""),"黒ひめコミック")</f>
        <v>黒ひめコミック</v>
      </c>
      <c r="L4945" s="22" t="str">
        <f>IFERROR(__xludf.DUMMYFUNCTION("""COMPUTED_VALUE"""),"アイプロダクション")</f>
        <v>アイプロダクション</v>
      </c>
      <c r="M4945" s="33">
        <f>IFERROR(__xludf.DUMMYFUNCTION("""COMPUTED_VALUE"""),46145.0)</f>
        <v>46145</v>
      </c>
      <c r="N4945" s="33">
        <f>IFERROR(__xludf.DUMMYFUNCTION("""COMPUTED_VALUE"""),46205.0)</f>
        <v>46205</v>
      </c>
      <c r="O4945" s="20"/>
      <c r="P4945" s="32" t="str">
        <f>IFERROR(__xludf.DUMMYFUNCTION("""COMPUTED_VALUE"""),"可")</f>
        <v>可</v>
      </c>
      <c r="Q4945" s="30"/>
      <c r="R4945" s="22" t="str">
        <f>IFERROR(__xludf.DUMMYFUNCTION("""COMPUTED_VALUE"""),"コミットOK")</f>
        <v>コミットOK</v>
      </c>
      <c r="S4945" s="22" t="str">
        <f>IFERROR(__xludf.DUMMYFUNCTION("""COMPUTED_VALUE"""),"20260324_アイプロダクション_恋したクズは溺愛彼氏に向いている")</f>
        <v>20260324_アイプロダクション_恋したクズは溺愛彼氏に向いている</v>
      </c>
      <c r="T4945" s="22" t="str">
        <f>IFERROR(__xludf.DUMMYFUNCTION("""COMPUTED_VALUE"""),"格納済み")</f>
        <v>格納済み</v>
      </c>
      <c r="U4945" s="9" t="str">
        <f>IFERROR(__xludf.DUMMYFUNCTION("""COMPUTED_VALUE"""),"さらだ希望/アイプロダクション")</f>
        <v>さらだ希望/アイプロダクション</v>
      </c>
      <c r="V4945" s="8"/>
      <c r="W4945" s="8"/>
      <c r="X4945" s="8" t="str">
        <f>IFERROR(__xludf.DUMMYFUNCTION("""COMPUTED_VALUE"""),"有")</f>
        <v>有</v>
      </c>
      <c r="Y4945" s="8" t="str">
        <f>IFERROR(__xludf.DUMMYFUNCTION("""COMPUTED_VALUE"""),"P8まで")</f>
        <v>P8まで</v>
      </c>
      <c r="Z4945" s="7"/>
      <c r="AA4945" s="7"/>
      <c r="AB4945" s="7"/>
    </row>
    <row r="4946" ht="15.75" customHeight="1">
      <c r="A4946" s="26">
        <f>IFERROR(__xludf.DUMMYFUNCTION("""COMPUTED_VALUE"""),7547.0)</f>
        <v>7547</v>
      </c>
      <c r="B4946" s="22" t="str">
        <f>IFERROR(__xludf.DUMMYFUNCTION("""COMPUTED_VALUE"""),"確定")</f>
        <v>確定</v>
      </c>
      <c r="C4946" s="28">
        <f>IFERROR(__xludf.DUMMYFUNCTION("""COMPUTED_VALUE"""),46083.0)</f>
        <v>46083</v>
      </c>
      <c r="D4946" s="28">
        <f>IFERROR(__xludf.DUMMYFUNCTION("""COMPUTED_VALUE"""),46105.0)</f>
        <v>46105</v>
      </c>
      <c r="E4946" s="26">
        <f>IFERROR(__xludf.DUMMYFUNCTION("""COMPUTED_VALUE"""),355813.0)</f>
        <v>355813</v>
      </c>
      <c r="F4946" s="22" t="str">
        <f>IFERROR(__xludf.DUMMYFUNCTION("""COMPUTED_VALUE"""),"コマンドじょうずにきけるかな")</f>
        <v>コマンドじょうずにきけるかな</v>
      </c>
      <c r="G4946" s="20">
        <f>IFERROR(__xludf.DUMMYFUNCTION("""COMPUTED_VALUE"""),1.0)</f>
        <v>1</v>
      </c>
      <c r="H4946" s="22" t="str">
        <f>IFERROR(__xludf.DUMMYFUNCTION("""COMPUTED_VALUE"""),"岩峰コウ")</f>
        <v>岩峰コウ</v>
      </c>
      <c r="I4946" s="22" t="str">
        <f>IFERROR(__xludf.DUMMYFUNCTION("""COMPUTED_VALUE"""),"BLマンガ")</f>
        <v>BLマンガ</v>
      </c>
      <c r="J4946" s="22"/>
      <c r="K4946" s="22"/>
      <c r="L4946" s="22" t="str">
        <f>IFERROR(__xludf.DUMMYFUNCTION("""COMPUTED_VALUE"""),"東京漫画社")</f>
        <v>東京漫画社</v>
      </c>
      <c r="M4946" s="33">
        <f>IFERROR(__xludf.DUMMYFUNCTION("""COMPUTED_VALUE"""),46112.0)</f>
        <v>46112</v>
      </c>
      <c r="N4946" s="33">
        <f>IFERROR(__xludf.DUMMYFUNCTION("""COMPUTED_VALUE"""),46172.0)</f>
        <v>46172</v>
      </c>
      <c r="O4946" s="20"/>
      <c r="P4946" s="32" t="str">
        <f>IFERROR(__xludf.DUMMYFUNCTION("""COMPUTED_VALUE"""),"可")</f>
        <v>可</v>
      </c>
      <c r="Q4946" s="30"/>
      <c r="R4946" s="22" t="str">
        <f>IFERROR(__xludf.DUMMYFUNCTION("""COMPUTED_VALUE"""),"コミットNG")</f>
        <v>コミットNG</v>
      </c>
      <c r="S4946" s="22" t="str">
        <f>IFERROR(__xludf.DUMMYFUNCTION("""COMPUTED_VALUE"""),"20260319_東京漫画社_コマンドじょうずにきけるかな")</f>
        <v>20260319_東京漫画社_コマンドじょうずにきけるかな</v>
      </c>
      <c r="T4946" s="22" t="str">
        <f>IFERROR(__xludf.DUMMYFUNCTION("""COMPUTED_VALUE"""),"格納済み")</f>
        <v>格納済み</v>
      </c>
      <c r="U4946" s="9" t="str">
        <f>IFERROR(__xludf.DUMMYFUNCTION("""COMPUTED_VALUE"""),"Ⓒ岩峰コウ/東京漫画社")</f>
        <v>Ⓒ岩峰コウ/東京漫画社</v>
      </c>
      <c r="V4946" s="8"/>
      <c r="W4946" s="8"/>
      <c r="X4946" s="8" t="str">
        <f>IFERROR(__xludf.DUMMYFUNCTION("""COMPUTED_VALUE"""),"有")</f>
        <v>有</v>
      </c>
      <c r="Y4946" s="8" t="str">
        <f>IFERROR(__xludf.DUMMYFUNCTION("""COMPUTED_VALUE"""),"P5まで")</f>
        <v>P5まで</v>
      </c>
      <c r="Z4946" s="7"/>
      <c r="AA4946" s="7"/>
      <c r="AB4946" s="7"/>
    </row>
    <row r="4947" ht="15.75" customHeight="1">
      <c r="A4947" s="26">
        <f>IFERROR(__xludf.DUMMYFUNCTION("""COMPUTED_VALUE"""),7603.0)</f>
        <v>7603</v>
      </c>
      <c r="B4947" s="22" t="str">
        <f>IFERROR(__xludf.DUMMYFUNCTION("""COMPUTED_VALUE"""),"確定")</f>
        <v>確定</v>
      </c>
      <c r="C4947" s="28">
        <f>IFERROR(__xludf.DUMMYFUNCTION("""COMPUTED_VALUE"""),46086.0)</f>
        <v>46086</v>
      </c>
      <c r="D4947" s="28">
        <f>IFERROR(__xludf.DUMMYFUNCTION("""COMPUTED_VALUE"""),46105.0)</f>
        <v>46105</v>
      </c>
      <c r="E4947" s="26">
        <f>IFERROR(__xludf.DUMMYFUNCTION("""COMPUTED_VALUE"""),355170.0)</f>
        <v>355170</v>
      </c>
      <c r="F4947" s="22" t="str">
        <f>IFERROR(__xludf.DUMMYFUNCTION("""COMPUTED_VALUE"""),"アンハッピーマネジメント")</f>
        <v>アンハッピーマネジメント</v>
      </c>
      <c r="G4947" s="20" t="str">
        <f>IFERROR(__xludf.DUMMYFUNCTION("""COMPUTED_VALUE"""),"1～3")</f>
        <v>1～3</v>
      </c>
      <c r="H4947" s="22" t="str">
        <f>IFERROR(__xludf.DUMMYFUNCTION("""COMPUTED_VALUE"""),"立河あいも")</f>
        <v>立河あいも</v>
      </c>
      <c r="I4947" s="22" t="str">
        <f>IFERROR(__xludf.DUMMYFUNCTION("""COMPUTED_VALUE"""),"BLマンガ")</f>
        <v>BLマンガ</v>
      </c>
      <c r="J4947" s="22"/>
      <c r="K4947" s="22" t="str">
        <f>IFERROR(__xludf.DUMMYFUNCTION("""COMPUTED_VALUE"""),"Tulle")</f>
        <v>Tulle</v>
      </c>
      <c r="L4947" s="22" t="str">
        <f>IFERROR(__xludf.DUMMYFUNCTION("""COMPUTED_VALUE"""),"ブライト出版")</f>
        <v>ブライト出版</v>
      </c>
      <c r="M4947" s="33">
        <f>IFERROR(__xludf.DUMMYFUNCTION("""COMPUTED_VALUE"""),46123.0)</f>
        <v>46123</v>
      </c>
      <c r="N4947" s="33">
        <f>IFERROR(__xludf.DUMMYFUNCTION("""COMPUTED_VALUE"""),46227.0)</f>
        <v>46227</v>
      </c>
      <c r="O4947" s="20"/>
      <c r="P4947" s="32" t="str">
        <f>IFERROR(__xludf.DUMMYFUNCTION("""COMPUTED_VALUE"""),"可")</f>
        <v>可</v>
      </c>
      <c r="Q4947" s="30"/>
      <c r="R4947" s="22" t="str">
        <f>IFERROR(__xludf.DUMMYFUNCTION("""COMPUTED_VALUE"""),"コミットOK")</f>
        <v>コミットOK</v>
      </c>
      <c r="S4947" s="22" t="str">
        <f>IFERROR(__xludf.DUMMYFUNCTION("""COMPUTED_VALUE"""),"20260318_ブライト出版_アンハッピーマネジメント")</f>
        <v>20260318_ブライト出版_アンハッピーマネジメント</v>
      </c>
      <c r="T4947" s="22" t="str">
        <f>IFERROR(__xludf.DUMMYFUNCTION("""COMPUTED_VALUE"""),"格納済み")</f>
        <v>格納済み</v>
      </c>
      <c r="U4947" s="9" t="str">
        <f>IFERROR(__xludf.DUMMYFUNCTION("""COMPUTED_VALUE"""),"(C)立河あいも／ブライト出版")</f>
        <v>(C)立河あいも／ブライト出版</v>
      </c>
      <c r="V4947" s="8"/>
      <c r="W4947" s="8"/>
      <c r="X4947" s="8" t="str">
        <f>IFERROR(__xludf.DUMMYFUNCTION("""COMPUTED_VALUE"""),"有")</f>
        <v>有</v>
      </c>
      <c r="Y4947" s="8" t="str">
        <f>IFERROR(__xludf.DUMMYFUNCTION("""COMPUTED_VALUE"""),"2026/4/24まで1巻無料")</f>
        <v>2026/4/24まで1巻無料</v>
      </c>
      <c r="Z4947" s="7"/>
      <c r="AA4947" s="7"/>
      <c r="AB4947" s="7"/>
    </row>
    <row r="4948" ht="15.75" customHeight="1">
      <c r="A4948" s="26">
        <f>IFERROR(__xludf.DUMMYFUNCTION("""COMPUTED_VALUE"""),7616.0)</f>
        <v>7616</v>
      </c>
      <c r="B4948" s="22" t="str">
        <f>IFERROR(__xludf.DUMMYFUNCTION("""COMPUTED_VALUE"""),"確定")</f>
        <v>確定</v>
      </c>
      <c r="C4948" s="28">
        <f>IFERROR(__xludf.DUMMYFUNCTION("""COMPUTED_VALUE"""),46087.0)</f>
        <v>46087</v>
      </c>
      <c r="D4948" s="28">
        <f>IFERROR(__xludf.DUMMYFUNCTION("""COMPUTED_VALUE"""),46105.0)</f>
        <v>46105</v>
      </c>
      <c r="E4948" s="26">
        <f>IFERROR(__xludf.DUMMYFUNCTION("""COMPUTED_VALUE"""),356802.0)</f>
        <v>356802</v>
      </c>
      <c r="F4948" s="22" t="str">
        <f>IFERROR(__xludf.DUMMYFUNCTION("""COMPUTED_VALUE"""),"耳が出ちゃうのはキミのせい【分冊版】")</f>
        <v>耳が出ちゃうのはキミのせい【分冊版】</v>
      </c>
      <c r="G4948" s="20" t="str">
        <f>IFERROR(__xludf.DUMMYFUNCTION("""COMPUTED_VALUE"""),"1～2")</f>
        <v>1～2</v>
      </c>
      <c r="H4948" s="22" t="str">
        <f>IFERROR(__xludf.DUMMYFUNCTION("""COMPUTED_VALUE"""),"淵")</f>
        <v>淵</v>
      </c>
      <c r="I4948" s="22" t="str">
        <f>IFERROR(__xludf.DUMMYFUNCTION("""COMPUTED_VALUE"""),"BLマンガ")</f>
        <v>BLマンガ</v>
      </c>
      <c r="J4948" s="22"/>
      <c r="K4948" s="22" t="str">
        <f>IFERROR(__xludf.DUMMYFUNCTION("""COMPUTED_VALUE"""),"ジェラートコミックス")</f>
        <v>ジェラートコミックス</v>
      </c>
      <c r="L4948" s="22" t="str">
        <f>IFERROR(__xludf.DUMMYFUNCTION("""COMPUTED_VALUE"""),"ハーパーコリンズ・ジャパン")</f>
        <v>ハーパーコリンズ・ジャパン</v>
      </c>
      <c r="M4948" s="33">
        <f>IFERROR(__xludf.DUMMYFUNCTION("""COMPUTED_VALUE"""),46134.0)</f>
        <v>46134</v>
      </c>
      <c r="N4948" s="33">
        <f>IFERROR(__xludf.DUMMYFUNCTION("""COMPUTED_VALUE"""),46194.0)</f>
        <v>46194</v>
      </c>
      <c r="O4948" s="20"/>
      <c r="P4948" s="32" t="str">
        <f>IFERROR(__xludf.DUMMYFUNCTION("""COMPUTED_VALUE"""),"可")</f>
        <v>可</v>
      </c>
      <c r="Q4948" s="30"/>
      <c r="R4948" s="22" t="str">
        <f>IFERROR(__xludf.DUMMYFUNCTION("""COMPUTED_VALUE"""),"コミットNG")</f>
        <v>コミットNG</v>
      </c>
      <c r="S4948" s="22" t="str">
        <f>IFERROR(__xludf.DUMMYFUNCTION("""COMPUTED_VALUE"""),"20260323_ハーパーコリンズ・ジャパン_耳が出ちゃうのはキミのせい【分冊版】")</f>
        <v>20260323_ハーパーコリンズ・ジャパン_耳が出ちゃうのはキミのせい【分冊版】</v>
      </c>
      <c r="T4948" s="22" t="str">
        <f>IFERROR(__xludf.DUMMYFUNCTION("""COMPUTED_VALUE"""),"格納済み")</f>
        <v>格納済み</v>
      </c>
      <c r="U4948" s="9" t="str">
        <f>IFERROR(__xludf.DUMMYFUNCTION("""COMPUTED_VALUE"""),"ⓒ淵/ハーパーコリンズ・ジャパン")</f>
        <v>ⓒ淵/ハーパーコリンズ・ジャパン</v>
      </c>
      <c r="V4948" s="8"/>
      <c r="W4948" s="8"/>
      <c r="X4948" s="8" t="str">
        <f>IFERROR(__xludf.DUMMYFUNCTION("""COMPUTED_VALUE"""),"有")</f>
        <v>有</v>
      </c>
      <c r="Y4948" s="8" t="str">
        <f>IFERROR(__xludf.DUMMYFUNCTION("""COMPUTED_VALUE"""),"P11まで")</f>
        <v>P11まで</v>
      </c>
      <c r="Z4948" s="7"/>
      <c r="AA4948" s="7"/>
      <c r="AB4948" s="7"/>
    </row>
    <row r="4949" ht="15.75" customHeight="1">
      <c r="A4949" s="26">
        <f>IFERROR(__xludf.DUMMYFUNCTION("""COMPUTED_VALUE"""),7617.0)</f>
        <v>7617</v>
      </c>
      <c r="B4949" s="22" t="str">
        <f>IFERROR(__xludf.DUMMYFUNCTION("""COMPUTED_VALUE"""),"確定")</f>
        <v>確定</v>
      </c>
      <c r="C4949" s="28">
        <f>IFERROR(__xludf.DUMMYFUNCTION("""COMPUTED_VALUE"""),46087.0)</f>
        <v>46087</v>
      </c>
      <c r="D4949" s="28">
        <f>IFERROR(__xludf.DUMMYFUNCTION("""COMPUTED_VALUE"""),46104.0)</f>
        <v>46104</v>
      </c>
      <c r="E4949" s="26">
        <f>IFERROR(__xludf.DUMMYFUNCTION("""COMPUTED_VALUE"""),355255.0)</f>
        <v>355255</v>
      </c>
      <c r="F4949" s="22" t="str">
        <f>IFERROR(__xludf.DUMMYFUNCTION("""COMPUTED_VALUE"""),"俺の召喚魔法がおかしい。～雑魚すぎると追放された召喚魔法使いの俺は、現代兵器を召喚して育成チートで無双する～ 連載版")</f>
        <v>俺の召喚魔法がおかしい。～雑魚すぎると追放された召喚魔法使いの俺は、現代兵器を召喚して育成チートで無双する～ 連載版</v>
      </c>
      <c r="G4949" s="20" t="str">
        <f>IFERROR(__xludf.DUMMYFUNCTION("""COMPUTED_VALUE"""),"1~4")</f>
        <v>1~4</v>
      </c>
      <c r="H4949" s="22" t="str">
        <f>IFERROR(__xludf.DUMMYFUNCTION("""COMPUTED_VALUE"""),"木嶋隆太,鈴穂ほたる,近衛桜月")</f>
        <v>木嶋隆太,鈴穂ほたる,近衛桜月</v>
      </c>
      <c r="I4949" s="22" t="str">
        <f>IFERROR(__xludf.DUMMYFUNCTION("""COMPUTED_VALUE"""),"青年マンガ")</f>
        <v>青年マンガ</v>
      </c>
      <c r="J4949" s="22"/>
      <c r="K4949" s="22"/>
      <c r="L4949" s="22" t="str">
        <f>IFERROR(__xludf.DUMMYFUNCTION("""COMPUTED_VALUE"""),"ブシロードワークス")</f>
        <v>ブシロードワークス</v>
      </c>
      <c r="M4949" s="33">
        <f>IFERROR(__xludf.DUMMYFUNCTION("""COMPUTED_VALUE"""),46108.0)</f>
        <v>46108</v>
      </c>
      <c r="N4949" s="33">
        <f>IFERROR(__xludf.DUMMYFUNCTION("""COMPUTED_VALUE"""),46135.0)</f>
        <v>46135</v>
      </c>
      <c r="O4949" s="20"/>
      <c r="P4949" s="32" t="str">
        <f>IFERROR(__xludf.DUMMYFUNCTION("""COMPUTED_VALUE"""),"可")</f>
        <v>可</v>
      </c>
      <c r="Q4949" s="30" t="str">
        <f>IFERROR(__xludf.DUMMYFUNCTION("""COMPUTED_VALUE"""),"「俺の召喚魔法がおかしい_第01話（1・2巻）.pdf」を2分割して計4巻分の素材です。")</f>
        <v>「俺の召喚魔法がおかしい_第01話（1・2巻）.pdf」を2分割して計4巻分の素材です。</v>
      </c>
      <c r="R4949" s="22" t="str">
        <f>IFERROR(__xludf.DUMMYFUNCTION("""COMPUTED_VALUE"""),"コミットOK")</f>
        <v>コミットOK</v>
      </c>
      <c r="S4949" s="22" t="str">
        <f>IFERROR(__xludf.DUMMYFUNCTION("""COMPUTED_VALUE"""),"20260319_ブシロードワークス_俺の召喚魔法がおかしい。～雑魚すぎると追放された召喚魔法使いの俺は、現代兵器を召喚して育成チートで無双する～ 連載版")</f>
        <v>20260319_ブシロードワークス_俺の召喚魔法がおかしい。～雑魚すぎると追放された召喚魔法使いの俺は、現代兵器を召喚して育成チートで無双する～ 連載版</v>
      </c>
      <c r="T4949" s="22" t="str">
        <f>IFERROR(__xludf.DUMMYFUNCTION("""COMPUTED_VALUE"""),"格納済み")</f>
        <v>格納済み</v>
      </c>
      <c r="U4949" s="9" t="str">
        <f>IFERROR(__xludf.DUMMYFUNCTION("""COMPUTED_VALUE"""),"ⒸSatsuki Konoe / BUSHIROAD WORKS ⒸRyuta Kizima")</f>
        <v>ⒸSatsuki Konoe / BUSHIROAD WORKS ⒸRyuta Kizima</v>
      </c>
      <c r="V4949" s="8"/>
      <c r="W4949" s="8"/>
      <c r="X4949" s="8" t="str">
        <f>IFERROR(__xludf.DUMMYFUNCTION("""COMPUTED_VALUE"""),"有")</f>
        <v>有</v>
      </c>
      <c r="Y4949" s="8" t="str">
        <f>IFERROR(__xludf.DUMMYFUNCTION("""COMPUTED_VALUE"""),"2026/4/23まで1～2巻無料")</f>
        <v>2026/4/23まで1～2巻無料</v>
      </c>
      <c r="Z4949" s="7"/>
      <c r="AA4949" s="7"/>
      <c r="AB4949" s="7"/>
    </row>
    <row r="4950" ht="15.75" customHeight="1">
      <c r="A4950" s="26">
        <f>IFERROR(__xludf.DUMMYFUNCTION("""COMPUTED_VALUE"""),7624.0)</f>
        <v>7624</v>
      </c>
      <c r="B4950" s="22" t="str">
        <f>IFERROR(__xludf.DUMMYFUNCTION("""COMPUTED_VALUE"""),"確定")</f>
        <v>確定</v>
      </c>
      <c r="C4950" s="28">
        <f>IFERROR(__xludf.DUMMYFUNCTION("""COMPUTED_VALUE"""),46090.0)</f>
        <v>46090</v>
      </c>
      <c r="D4950" s="28">
        <f>IFERROR(__xludf.DUMMYFUNCTION("""COMPUTED_VALUE"""),46105.0)</f>
        <v>46105</v>
      </c>
      <c r="E4950" s="26">
        <f>IFERROR(__xludf.DUMMYFUNCTION("""COMPUTED_VALUE"""),339084.0)</f>
        <v>339084</v>
      </c>
      <c r="F4950" s="22" t="str">
        <f>IFERROR(__xludf.DUMMYFUNCTION("""COMPUTED_VALUE"""),"プライマル・セラピー")</f>
        <v>プライマル・セラピー</v>
      </c>
      <c r="G4950" s="20" t="str">
        <f>IFERROR(__xludf.DUMMYFUNCTION("""COMPUTED_VALUE"""),"1～3")</f>
        <v>1～3</v>
      </c>
      <c r="H4950" s="22" t="str">
        <f>IFERROR(__xludf.DUMMYFUNCTION("""COMPUTED_VALUE"""),"つなしや季夏")</f>
        <v>つなしや季夏</v>
      </c>
      <c r="I4950" s="22" t="str">
        <f>IFERROR(__xludf.DUMMYFUNCTION("""COMPUTED_VALUE"""),"BLマンガ")</f>
        <v>BLマンガ</v>
      </c>
      <c r="J4950" s="22"/>
      <c r="K4950" s="22" t="str">
        <f>IFERROR(__xludf.DUMMYFUNCTION("""COMPUTED_VALUE"""),"Ficus")</f>
        <v>Ficus</v>
      </c>
      <c r="L4950" s="22" t="str">
        <f>IFERROR(__xludf.DUMMYFUNCTION("""COMPUTED_VALUE"""),"シーモアコミックス")</f>
        <v>シーモアコミックス</v>
      </c>
      <c r="M4950" s="33">
        <f>IFERROR(__xludf.DUMMYFUNCTION("""COMPUTED_VALUE"""),46137.0)</f>
        <v>46137</v>
      </c>
      <c r="N4950" s="33">
        <f>IFERROR(__xludf.DUMMYFUNCTION("""COMPUTED_VALUE"""),2958465.0)</f>
        <v>2958465</v>
      </c>
      <c r="O4950" s="20"/>
      <c r="P4950" s="32" t="str">
        <f>IFERROR(__xludf.DUMMYFUNCTION("""COMPUTED_VALUE"""),"可")</f>
        <v>可</v>
      </c>
      <c r="Q4950" s="30"/>
      <c r="R4950" s="22"/>
      <c r="S4950" s="22" t="str">
        <f>IFERROR(__xludf.DUMMYFUNCTION("""COMPUTED_VALUE"""),"20260316_シーモアコミックス_プライマル・セラピー")</f>
        <v>20260316_シーモアコミックス_プライマル・セラピー</v>
      </c>
      <c r="T4950" s="22" t="str">
        <f>IFERROR(__xludf.DUMMYFUNCTION("""COMPUTED_VALUE"""),"格納済み")</f>
        <v>格納済み</v>
      </c>
      <c r="U4950" s="9" t="str">
        <f>IFERROR(__xludf.DUMMYFUNCTION("""COMPUTED_VALUE"""),"(C) つなしや季夏/シーモアコミックス")</f>
        <v>(C) つなしや季夏/シーモアコミックス</v>
      </c>
      <c r="V4950" s="8"/>
      <c r="W4950" s="8"/>
      <c r="X4950" s="8" t="str">
        <f>IFERROR(__xludf.DUMMYFUNCTION("""COMPUTED_VALUE"""),"有")</f>
        <v>有</v>
      </c>
      <c r="Y4950" s="8" t="str">
        <f>IFERROR(__xludf.DUMMYFUNCTION("""COMPUTED_VALUE"""),"2026/5/22まで1巻無料")</f>
        <v>2026/5/22まで1巻無料</v>
      </c>
      <c r="Z4950" s="7"/>
      <c r="AA4950" s="7"/>
      <c r="AB4950" s="7"/>
    </row>
    <row r="4951" ht="15.75" customHeight="1">
      <c r="A4951" s="26">
        <f>IFERROR(__xludf.DUMMYFUNCTION("""COMPUTED_VALUE"""),7642.0)</f>
        <v>7642</v>
      </c>
      <c r="B4951" s="22" t="str">
        <f>IFERROR(__xludf.DUMMYFUNCTION("""COMPUTED_VALUE"""),"確定")</f>
        <v>確定</v>
      </c>
      <c r="C4951" s="28">
        <f>IFERROR(__xludf.DUMMYFUNCTION("""COMPUTED_VALUE"""),46092.0)</f>
        <v>46092</v>
      </c>
      <c r="D4951" s="28">
        <f>IFERROR(__xludf.DUMMYFUNCTION("""COMPUTED_VALUE"""),46105.0)</f>
        <v>46105</v>
      </c>
      <c r="E4951" s="26">
        <f>IFERROR(__xludf.DUMMYFUNCTION("""COMPUTED_VALUE"""),358288.0)</f>
        <v>358288</v>
      </c>
      <c r="F4951" s="22" t="str">
        <f>IFERROR(__xludf.DUMMYFUNCTION("""COMPUTED_VALUE"""),"【ラブコフレ】虐げられ乙女は領主様の溺愛で花ひらく")</f>
        <v>【ラブコフレ】虐げられ乙女は領主様の溺愛で花ひらく</v>
      </c>
      <c r="G4951" s="20" t="str">
        <f>IFERROR(__xludf.DUMMYFUNCTION("""COMPUTED_VALUE"""),"1～3")</f>
        <v>1～3</v>
      </c>
      <c r="H4951" s="22" t="str">
        <f>IFERROR(__xludf.DUMMYFUNCTION("""COMPUTED_VALUE"""),"小川つばめ")</f>
        <v>小川つばめ</v>
      </c>
      <c r="I4951" s="22" t="str">
        <f>IFERROR(__xludf.DUMMYFUNCTION("""COMPUTED_VALUE"""),"TL")</f>
        <v>TL</v>
      </c>
      <c r="J4951" s="22"/>
      <c r="K4951" s="22" t="str">
        <f>IFERROR(__xludf.DUMMYFUNCTION("""COMPUTED_VALUE"""),"ラブコフレ")</f>
        <v>ラブコフレ</v>
      </c>
      <c r="L4951" s="22" t="str">
        <f>IFERROR(__xludf.DUMMYFUNCTION("""COMPUTED_VALUE"""),"大誠社")</f>
        <v>大誠社</v>
      </c>
      <c r="M4951" s="33">
        <f>IFERROR(__xludf.DUMMYFUNCTION("""COMPUTED_VALUE"""),46153.0)</f>
        <v>46153</v>
      </c>
      <c r="N4951" s="33">
        <f>IFERROR(__xludf.DUMMYFUNCTION("""COMPUTED_VALUE"""),46265.0)</f>
        <v>46265</v>
      </c>
      <c r="O4951" s="20"/>
      <c r="P4951" s="32" t="str">
        <f>IFERROR(__xludf.DUMMYFUNCTION("""COMPUTED_VALUE"""),"可")</f>
        <v>可</v>
      </c>
      <c r="Q4951" s="30"/>
      <c r="R4951" s="22" t="str">
        <f>IFERROR(__xludf.DUMMYFUNCTION("""COMPUTED_VALUE"""),"コミットOK")</f>
        <v>コミットOK</v>
      </c>
      <c r="S4951" s="22" t="str">
        <f>IFERROR(__xludf.DUMMYFUNCTION("""COMPUTED_VALUE"""),"20260324_大誠社_【ラブコフレ】虐げられ乙女は領主様の溺愛で花ひらく")</f>
        <v>20260324_大誠社_【ラブコフレ】虐げられ乙女は領主様の溺愛で花ひらく</v>
      </c>
      <c r="T4951" s="22" t="str">
        <f>IFERROR(__xludf.DUMMYFUNCTION("""COMPUTED_VALUE"""),"格納済み")</f>
        <v>格納済み</v>
      </c>
      <c r="U4951" s="9" t="str">
        <f>IFERROR(__xludf.DUMMYFUNCTION("""COMPUTED_VALUE"""),"(C) 小川つばめ/大誠社")</f>
        <v>(C) 小川つばめ/大誠社</v>
      </c>
      <c r="V4951" s="8"/>
      <c r="W4951" s="8"/>
      <c r="X4951" s="8" t="str">
        <f>IFERROR(__xludf.DUMMYFUNCTION("""COMPUTED_VALUE"""),"有")</f>
        <v>有</v>
      </c>
      <c r="Y4951" s="8" t="str">
        <f>IFERROR(__xludf.DUMMYFUNCTION("""COMPUTED_VALUE"""),"P20まで")</f>
        <v>P20まで</v>
      </c>
      <c r="Z4951" s="7"/>
      <c r="AA4951" s="7"/>
      <c r="AB4951" s="7"/>
    </row>
    <row r="4952" ht="15.75" customHeight="1">
      <c r="A4952" s="26">
        <f>IFERROR(__xludf.DUMMYFUNCTION("""COMPUTED_VALUE"""),7644.0)</f>
        <v>7644</v>
      </c>
      <c r="B4952" s="22" t="str">
        <f>IFERROR(__xludf.DUMMYFUNCTION("""COMPUTED_VALUE"""),"確定")</f>
        <v>確定</v>
      </c>
      <c r="C4952" s="28">
        <f>IFERROR(__xludf.DUMMYFUNCTION("""COMPUTED_VALUE"""),46092.0)</f>
        <v>46092</v>
      </c>
      <c r="D4952" s="28">
        <f>IFERROR(__xludf.DUMMYFUNCTION("""COMPUTED_VALUE"""),46105.0)</f>
        <v>46105</v>
      </c>
      <c r="E4952" s="26">
        <f>IFERROR(__xludf.DUMMYFUNCTION("""COMPUTED_VALUE"""),356978.0)</f>
        <v>356978</v>
      </c>
      <c r="F4952" s="22" t="str">
        <f>IFERROR(__xludf.DUMMYFUNCTION("""COMPUTED_VALUE"""),"推しが腹黒勇者になった世界線で溺愛されてます!?～退魔儀式は48手のえっちな体位でハメ堕ちするまで～")</f>
        <v>推しが腹黒勇者になった世界線で溺愛されてます!?～退魔儀式は48手のえっちな体位でハメ堕ちするまで～</v>
      </c>
      <c r="G4952" s="20" t="str">
        <f>IFERROR(__xludf.DUMMYFUNCTION("""COMPUTED_VALUE"""),"1～3")</f>
        <v>1～3</v>
      </c>
      <c r="H4952" s="22" t="str">
        <f>IFERROR(__xludf.DUMMYFUNCTION("""COMPUTED_VALUE"""),"作画：中野かのこ・原作：白湯屋")</f>
        <v>作画：中野かのこ・原作：白湯屋</v>
      </c>
      <c r="I4952" s="22" t="str">
        <f>IFERROR(__xludf.DUMMYFUNCTION("""COMPUTED_VALUE"""),"TLマンガ")</f>
        <v>TLマンガ</v>
      </c>
      <c r="J4952" s="22"/>
      <c r="K4952" s="22" t="str">
        <f>IFERROR(__xludf.DUMMYFUNCTION("""COMPUTED_VALUE"""),"黒ひめコミック")</f>
        <v>黒ひめコミック</v>
      </c>
      <c r="L4952" s="22" t="str">
        <f>IFERROR(__xludf.DUMMYFUNCTION("""COMPUTED_VALUE"""),"アイプロダクション")</f>
        <v>アイプロダクション</v>
      </c>
      <c r="M4952" s="33">
        <f>IFERROR(__xludf.DUMMYFUNCTION("""COMPUTED_VALUE"""),46136.0)</f>
        <v>46136</v>
      </c>
      <c r="N4952" s="33">
        <f>IFERROR(__xludf.DUMMYFUNCTION("""COMPUTED_VALUE"""),46196.0)</f>
        <v>46196</v>
      </c>
      <c r="O4952" s="20"/>
      <c r="P4952" s="32" t="str">
        <f>IFERROR(__xludf.DUMMYFUNCTION("""COMPUTED_VALUE"""),"可")</f>
        <v>可</v>
      </c>
      <c r="Q4952" s="30" t="str">
        <f>IFERROR(__xludf.DUMMYFUNCTION("""COMPUTED_VALUE"""),"【アダルト作品扱い】")</f>
        <v>【アダルト作品扱い】</v>
      </c>
      <c r="R4952" s="22" t="str">
        <f>IFERROR(__xludf.DUMMYFUNCTION("""COMPUTED_VALUE"""),"コミットOK")</f>
        <v>コミットOK</v>
      </c>
      <c r="S4952" s="22" t="str">
        <f>IFERROR(__xludf.DUMMYFUNCTION("""COMPUTED_VALUE"""),"20260324_アイプロダクション_推しが腹黒勇者になった世界線で溺愛されてます")</f>
        <v>20260324_アイプロダクション_推しが腹黒勇者になった世界線で溺愛されてます</v>
      </c>
      <c r="T4952" s="22" t="str">
        <f>IFERROR(__xludf.DUMMYFUNCTION("""COMPUTED_VALUE"""),"格納済み")</f>
        <v>格納済み</v>
      </c>
      <c r="U4952" s="9" t="str">
        <f>IFERROR(__xludf.DUMMYFUNCTION("""COMPUTED_VALUE"""),"Ⓒ中野かのこ・白湯屋/アイプロダクション")</f>
        <v>Ⓒ中野かのこ・白湯屋/アイプロダクション</v>
      </c>
      <c r="V4952" s="8"/>
      <c r="W4952" s="8"/>
      <c r="X4952" s="8" t="str">
        <f>IFERROR(__xludf.DUMMYFUNCTION("""COMPUTED_VALUE"""),"有")</f>
        <v>有</v>
      </c>
      <c r="Y4952" s="8" t="str">
        <f>IFERROR(__xludf.DUMMYFUNCTION("""COMPUTED_VALUE"""),"P8まで")</f>
        <v>P8まで</v>
      </c>
      <c r="Z4952" s="7"/>
      <c r="AA4952" s="7"/>
      <c r="AB4952" s="7"/>
    </row>
    <row r="4953" ht="15.75" customHeight="1">
      <c r="A4953" s="26">
        <f>IFERROR(__xludf.DUMMYFUNCTION("""COMPUTED_VALUE"""),7698.0)</f>
        <v>7698</v>
      </c>
      <c r="B4953" s="22" t="str">
        <f>IFERROR(__xludf.DUMMYFUNCTION("""COMPUTED_VALUE"""),"確定")</f>
        <v>確定</v>
      </c>
      <c r="C4953" s="28">
        <f>IFERROR(__xludf.DUMMYFUNCTION("""COMPUTED_VALUE"""),46097.0)</f>
        <v>46097</v>
      </c>
      <c r="D4953" s="28">
        <f>IFERROR(__xludf.DUMMYFUNCTION("""COMPUTED_VALUE"""),46105.0)</f>
        <v>46105</v>
      </c>
      <c r="E4953" s="26">
        <f>IFERROR(__xludf.DUMMYFUNCTION("""COMPUTED_VALUE"""),320555.0)</f>
        <v>320555</v>
      </c>
      <c r="F4953" s="22" t="str">
        <f>IFERROR(__xludf.DUMMYFUNCTION("""COMPUTED_VALUE"""),"絶対服従本能オメガ")</f>
        <v>絶対服従本能オメガ</v>
      </c>
      <c r="G4953" s="20" t="str">
        <f>IFERROR(__xludf.DUMMYFUNCTION("""COMPUTED_VALUE"""),"1～6")</f>
        <v>1～6</v>
      </c>
      <c r="H4953" s="22" t="str">
        <f>IFERROR(__xludf.DUMMYFUNCTION("""COMPUTED_VALUE"""),"皐月フミ")</f>
        <v>皐月フミ</v>
      </c>
      <c r="I4953" s="22" t="str">
        <f>IFERROR(__xludf.DUMMYFUNCTION("""COMPUTED_VALUE"""),"BLマンガ")</f>
        <v>BLマンガ</v>
      </c>
      <c r="J4953" s="22"/>
      <c r="K4953" s="22" t="str">
        <f>IFERROR(__xludf.DUMMYFUNCTION("""COMPUTED_VALUE"""),"Ficus")</f>
        <v>Ficus</v>
      </c>
      <c r="L4953" s="22" t="str">
        <f>IFERROR(__xludf.DUMMYFUNCTION("""COMPUTED_VALUE"""),"シーモアコミックス")</f>
        <v>シーモアコミックス</v>
      </c>
      <c r="M4953" s="33">
        <f>IFERROR(__xludf.DUMMYFUNCTION("""COMPUTED_VALUE"""),46130.0)</f>
        <v>46130</v>
      </c>
      <c r="N4953" s="33">
        <f>IFERROR(__xludf.DUMMYFUNCTION("""COMPUTED_VALUE"""),2958465.0)</f>
        <v>2958465</v>
      </c>
      <c r="O4953" s="20"/>
      <c r="P4953" s="32" t="str">
        <f>IFERROR(__xludf.DUMMYFUNCTION("""COMPUTED_VALUE"""),"可")</f>
        <v>可</v>
      </c>
      <c r="Q4953" s="30" t="str">
        <f>IFERROR(__xludf.DUMMYFUNCTION("""COMPUTED_VALUE"""),"【アダルト作品扱い】&lt;BR&gt;※配信開始日に出稿が間に合わない場合は、大変恐れ入りますがなるべく最短でのご出稿をお願いいたします。")</f>
        <v>【アダルト作品扱い】&lt;BR&gt;※配信開始日に出稿が間に合わない場合は、大変恐れ入りますがなるべく最短でのご出稿をお願いいたします。</v>
      </c>
      <c r="R4953" s="22"/>
      <c r="S4953" s="22" t="str">
        <f>IFERROR(__xludf.DUMMYFUNCTION("""COMPUTED_VALUE"""),"20260316_シーモアコミックス_絶対服従本能オメガ")</f>
        <v>20260316_シーモアコミックス_絶対服従本能オメガ</v>
      </c>
      <c r="T4953" s="22" t="str">
        <f>IFERROR(__xludf.DUMMYFUNCTION("""COMPUTED_VALUE"""),"格納済み")</f>
        <v>格納済み</v>
      </c>
      <c r="U4953" s="9" t="str">
        <f>IFERROR(__xludf.DUMMYFUNCTION("""COMPUTED_VALUE"""),"(C) 皐月フミ/シーモアコミックス")</f>
        <v>(C) 皐月フミ/シーモアコミックス</v>
      </c>
      <c r="V4953" s="8"/>
      <c r="W4953" s="8"/>
      <c r="X4953" s="8" t="str">
        <f>IFERROR(__xludf.DUMMYFUNCTION("""COMPUTED_VALUE"""),"有")</f>
        <v>有</v>
      </c>
      <c r="Y4953" s="8" t="str">
        <f>IFERROR(__xludf.DUMMYFUNCTION("""COMPUTED_VALUE"""),"2026/5/15まで1~2巻無料")</f>
        <v>2026/5/15まで1~2巻無料</v>
      </c>
      <c r="Z4953" s="7"/>
      <c r="AA4953" s="7"/>
      <c r="AB4953" s="7"/>
    </row>
    <row r="4954" ht="15.75" customHeight="1">
      <c r="A4954" s="26">
        <f>IFERROR(__xludf.DUMMYFUNCTION("""COMPUTED_VALUE"""),7700.0)</f>
        <v>7700</v>
      </c>
      <c r="B4954" s="22" t="str">
        <f>IFERROR(__xludf.DUMMYFUNCTION("""COMPUTED_VALUE"""),"確定")</f>
        <v>確定</v>
      </c>
      <c r="C4954" s="28">
        <f>IFERROR(__xludf.DUMMYFUNCTION("""COMPUTED_VALUE"""),46097.0)</f>
        <v>46097</v>
      </c>
      <c r="D4954" s="28">
        <f>IFERROR(__xludf.DUMMYFUNCTION("""COMPUTED_VALUE"""),46105.0)</f>
        <v>46105</v>
      </c>
      <c r="E4954" s="26">
        <f>IFERROR(__xludf.DUMMYFUNCTION("""COMPUTED_VALUE"""),332215.0)</f>
        <v>332215</v>
      </c>
      <c r="F4954" s="22" t="str">
        <f>IFERROR(__xludf.DUMMYFUNCTION("""COMPUTED_VALUE"""),"アンダーカバーダーリン(フルカラー)")</f>
        <v>アンダーカバーダーリン(フルカラー)</v>
      </c>
      <c r="G4954" s="20" t="str">
        <f>IFERROR(__xludf.DUMMYFUNCTION("""COMPUTED_VALUE"""),"1～3")</f>
        <v>1～3</v>
      </c>
      <c r="H4954" s="22" t="str">
        <f>IFERROR(__xludf.DUMMYFUNCTION("""COMPUTED_VALUE"""),"RIDI")</f>
        <v>RIDI</v>
      </c>
      <c r="I4954" s="22" t="str">
        <f>IFERROR(__xludf.DUMMYFUNCTION("""COMPUTED_VALUE"""),"BLマンガ")</f>
        <v>BLマンガ</v>
      </c>
      <c r="J4954" s="22"/>
      <c r="K4954" s="22" t="str">
        <f>IFERROR(__xludf.DUMMYFUNCTION("""COMPUTED_VALUE"""),"Ficus")</f>
        <v>Ficus</v>
      </c>
      <c r="L4954" s="22" t="str">
        <f>IFERROR(__xludf.DUMMYFUNCTION("""COMPUTED_VALUE"""),"シーモアコミックス")</f>
        <v>シーモアコミックス</v>
      </c>
      <c r="M4954" s="33">
        <f>IFERROR(__xludf.DUMMYFUNCTION("""COMPUTED_VALUE"""),46130.0)</f>
        <v>46130</v>
      </c>
      <c r="N4954" s="33">
        <f>IFERROR(__xludf.DUMMYFUNCTION("""COMPUTED_VALUE"""),2958465.0)</f>
        <v>2958465</v>
      </c>
      <c r="O4954" s="20"/>
      <c r="P4954" s="32" t="str">
        <f>IFERROR(__xludf.DUMMYFUNCTION("""COMPUTED_VALUE"""),"可")</f>
        <v>可</v>
      </c>
      <c r="Q4954" s="30" t="str">
        <f>IFERROR(__xludf.DUMMYFUNCTION("""COMPUTED_VALUE"""),"配信開始日に出稿が間に合わない場合は、大変恐れ入りますがなるべく最短でのご出稿をお願いいたします。")</f>
        <v>配信開始日に出稿が間に合わない場合は、大変恐れ入りますがなるべく最短でのご出稿をお願いいたします。</v>
      </c>
      <c r="R4954" s="22"/>
      <c r="S4954" s="22" t="str">
        <f>IFERROR(__xludf.DUMMYFUNCTION("""COMPUTED_VALUE"""),"20260316_シーモアコミックス_アンダーカバーダーリン（フルカラー）")</f>
        <v>20260316_シーモアコミックス_アンダーカバーダーリン（フルカラー）</v>
      </c>
      <c r="T4954" s="22" t="str">
        <f>IFERROR(__xludf.DUMMYFUNCTION("""COMPUTED_VALUE"""),"格納済み")</f>
        <v>格納済み</v>
      </c>
      <c r="U4954" s="9" t="str">
        <f>IFERROR(__xludf.DUMMYFUNCTION("""COMPUTED_VALUE"""),"(C) RIDI/シーモアコミックス")</f>
        <v>(C) RIDI/シーモアコミックス</v>
      </c>
      <c r="V4954" s="8"/>
      <c r="W4954" s="8"/>
      <c r="X4954" s="8" t="str">
        <f>IFERROR(__xludf.DUMMYFUNCTION("""COMPUTED_VALUE"""),"有")</f>
        <v>有</v>
      </c>
      <c r="Y4954" s="8" t="str">
        <f>IFERROR(__xludf.DUMMYFUNCTION("""COMPUTED_VALUE"""),"2026/5/15まで1巻無料")</f>
        <v>2026/5/15まで1巻無料</v>
      </c>
      <c r="Z4954" s="7"/>
      <c r="AA4954" s="7"/>
      <c r="AB4954" s="7"/>
    </row>
    <row r="4955" ht="15.75" customHeight="1">
      <c r="A4955" s="26">
        <f>IFERROR(__xludf.DUMMYFUNCTION("""COMPUTED_VALUE"""),7701.0)</f>
        <v>7701</v>
      </c>
      <c r="B4955" s="22" t="str">
        <f>IFERROR(__xludf.DUMMYFUNCTION("""COMPUTED_VALUE"""),"確定")</f>
        <v>確定</v>
      </c>
      <c r="C4955" s="28">
        <f>IFERROR(__xludf.DUMMYFUNCTION("""COMPUTED_VALUE"""),46097.0)</f>
        <v>46097</v>
      </c>
      <c r="D4955" s="28">
        <f>IFERROR(__xludf.DUMMYFUNCTION("""COMPUTED_VALUE"""),46105.0)</f>
        <v>46105</v>
      </c>
      <c r="E4955" s="26">
        <f>IFERROR(__xludf.DUMMYFUNCTION("""COMPUTED_VALUE"""),332216.0)</f>
        <v>332216</v>
      </c>
      <c r="F4955" s="22" t="str">
        <f>IFERROR(__xludf.DUMMYFUNCTION("""COMPUTED_VALUE"""),"アンダーカバーダーリン【タテヨミ】")</f>
        <v>アンダーカバーダーリン【タテヨミ】</v>
      </c>
      <c r="G4955" s="20" t="str">
        <f>IFERROR(__xludf.DUMMYFUNCTION("""COMPUTED_VALUE"""),"1～9")</f>
        <v>1～9</v>
      </c>
      <c r="H4955" s="22" t="str">
        <f>IFERROR(__xludf.DUMMYFUNCTION("""COMPUTED_VALUE"""),"RIDI")</f>
        <v>RIDI</v>
      </c>
      <c r="I4955" s="22" t="str">
        <f>IFERROR(__xludf.DUMMYFUNCTION("""COMPUTED_VALUE"""),"BLマンガ")</f>
        <v>BLマンガ</v>
      </c>
      <c r="J4955" s="22"/>
      <c r="K4955" s="22" t="str">
        <f>IFERROR(__xludf.DUMMYFUNCTION("""COMPUTED_VALUE"""),"Ficus")</f>
        <v>Ficus</v>
      </c>
      <c r="L4955" s="22" t="str">
        <f>IFERROR(__xludf.DUMMYFUNCTION("""COMPUTED_VALUE"""),"シーモアコミックス")</f>
        <v>シーモアコミックス</v>
      </c>
      <c r="M4955" s="33">
        <f>IFERROR(__xludf.DUMMYFUNCTION("""COMPUTED_VALUE"""),46130.0)</f>
        <v>46130</v>
      </c>
      <c r="N4955" s="33">
        <f>IFERROR(__xludf.DUMMYFUNCTION("""COMPUTED_VALUE"""),2958465.0)</f>
        <v>2958465</v>
      </c>
      <c r="O4955" s="20"/>
      <c r="P4955" s="32" t="str">
        <f>IFERROR(__xludf.DUMMYFUNCTION("""COMPUTED_VALUE"""),"可")</f>
        <v>可</v>
      </c>
      <c r="Q4955" s="30" t="str">
        <f>IFERROR(__xludf.DUMMYFUNCTION("""COMPUTED_VALUE"""),"※コマサム等素材は「332215　アンダーカバーダーリン(フルカラー)」の方をお使いください。バナー制作はフルカラー版の素材を利用して問題ございません。&lt;BR&gt;※配信開始日に出稿が間に合わない場合は、大変恐れ入りますがなるべく最短でのご出稿をお願いいたします。")</f>
        <v>※コマサム等素材は「332215　アンダーカバーダーリン(フルカラー)」の方をお使いください。バナー制作はフルカラー版の素材を利用して問題ございません。&lt;BR&gt;※配信開始日に出稿が間に合わない場合は、大変恐れ入りますがなるべく最短でのご出稿をお願いいたします。</v>
      </c>
      <c r="R4955" s="22"/>
      <c r="S4955" s="22" t="str">
        <f>IFERROR(__xludf.DUMMYFUNCTION("""COMPUTED_VALUE"""),"20260316_シーモアコミックス_アンダーカバーダーリン【タテヨミ】")</f>
        <v>20260316_シーモアコミックス_アンダーカバーダーリン【タテヨミ】</v>
      </c>
      <c r="T4955" s="22" t="str">
        <f>IFERROR(__xludf.DUMMYFUNCTION("""COMPUTED_VALUE"""),"格納済み")</f>
        <v>格納済み</v>
      </c>
      <c r="U4955" s="9" t="str">
        <f>IFERROR(__xludf.DUMMYFUNCTION("""COMPUTED_VALUE"""),"(C) RIDI/シーモアコミックス")</f>
        <v>(C) RIDI/シーモアコミックス</v>
      </c>
      <c r="V4955" s="8"/>
      <c r="W4955" s="8"/>
      <c r="X4955" s="8" t="str">
        <f>IFERROR(__xludf.DUMMYFUNCTION("""COMPUTED_VALUE"""),"有")</f>
        <v>有</v>
      </c>
      <c r="Y4955" s="8" t="str">
        <f>IFERROR(__xludf.DUMMYFUNCTION("""COMPUTED_VALUE"""),"2026/5/15まで1~3巻無料")</f>
        <v>2026/5/15まで1~3巻無料</v>
      </c>
      <c r="Z4955" s="7"/>
      <c r="AA4955" s="7"/>
      <c r="AB4955" s="7"/>
    </row>
    <row r="4956" ht="15.75" customHeight="1">
      <c r="A4956" s="26">
        <f>IFERROR(__xludf.DUMMYFUNCTION("""COMPUTED_VALUE"""),7705.0)</f>
        <v>7705</v>
      </c>
      <c r="B4956" s="22" t="str">
        <f>IFERROR(__xludf.DUMMYFUNCTION("""COMPUTED_VALUE"""),"確定")</f>
        <v>確定</v>
      </c>
      <c r="C4956" s="28">
        <f>IFERROR(__xludf.DUMMYFUNCTION("""COMPUTED_VALUE"""),46098.0)</f>
        <v>46098</v>
      </c>
      <c r="D4956" s="28">
        <f>IFERROR(__xludf.DUMMYFUNCTION("""COMPUTED_VALUE"""),46105.0)</f>
        <v>46105</v>
      </c>
      <c r="E4956" s="26">
        <f>IFERROR(__xludf.DUMMYFUNCTION("""COMPUTED_VALUE"""),358140.0)</f>
        <v>358140</v>
      </c>
      <c r="F4956" s="22" t="str">
        <f>IFERROR(__xludf.DUMMYFUNCTION("""COMPUTED_VALUE"""),"お嬢様とのシークレットレッスン【タテヨミ】")</f>
        <v>お嬢様とのシークレットレッスン【タテヨミ】</v>
      </c>
      <c r="G4956" s="20" t="str">
        <f>IFERROR(__xludf.DUMMYFUNCTION("""COMPUTED_VALUE"""),"1~32")</f>
        <v>1~32</v>
      </c>
      <c r="H4956" s="22" t="str">
        <f>IFERROR(__xludf.DUMMYFUNCTION("""COMPUTED_VALUE"""),"KKUMKKU")</f>
        <v>KKUMKKU</v>
      </c>
      <c r="I4956" s="22" t="str">
        <f>IFERROR(__xludf.DUMMYFUNCTION("""COMPUTED_VALUE"""),"女性マンガ")</f>
        <v>女性マンガ</v>
      </c>
      <c r="J4956" s="22"/>
      <c r="K4956" s="22" t="str">
        <f>IFERROR(__xludf.DUMMYFUNCTION("""COMPUTED_VALUE"""),"レジコミ Red")</f>
        <v>レジコミ Red</v>
      </c>
      <c r="L4956" s="22" t="str">
        <f>IFERROR(__xludf.DUMMYFUNCTION("""COMPUTED_VALUE"""),"レジンコミックス")</f>
        <v>レジンコミックス</v>
      </c>
      <c r="M4956" s="33">
        <f>IFERROR(__xludf.DUMMYFUNCTION("""COMPUTED_VALUE"""),46157.0)</f>
        <v>46157</v>
      </c>
      <c r="N4956" s="33">
        <f>IFERROR(__xludf.DUMMYFUNCTION("""COMPUTED_VALUE"""),46249.0)</f>
        <v>46249</v>
      </c>
      <c r="O4956" s="20"/>
      <c r="P4956" s="32" t="str">
        <f>IFERROR(__xludf.DUMMYFUNCTION("""COMPUTED_VALUE"""),"可")</f>
        <v>可</v>
      </c>
      <c r="Q4956" s="30" t="str">
        <f>IFERROR(__xludf.DUMMYFUNCTION("""COMPUTED_VALUE"""),"【アダルト作品扱い】&lt;BR&gt;")</f>
        <v>【アダルト作品扱い】&lt;BR&gt;</v>
      </c>
      <c r="R4956" s="22"/>
      <c r="S4956" s="22" t="str">
        <f>IFERROR(__xludf.DUMMYFUNCTION("""COMPUTED_VALUE"""),"20260317_レジンエンターテインメント_お嬢様とのシークレットレッスン")</f>
        <v>20260317_レジンエンターテインメント_お嬢様とのシークレットレッスン</v>
      </c>
      <c r="T4956" s="22" t="str">
        <f>IFERROR(__xludf.DUMMYFUNCTION("""COMPUTED_VALUE"""),"格納済み")</f>
        <v>格納済み</v>
      </c>
      <c r="U4956" s="9" t="str">
        <f>IFERROR(__xludf.DUMMYFUNCTION("""COMPUTED_VALUE"""),"Ⓒ  KKUMKKU / レジンコミックス")</f>
        <v>Ⓒ  KKUMKKU / レジンコミックス</v>
      </c>
      <c r="V4956" s="8"/>
      <c r="W4956" s="8"/>
      <c r="X4956" s="8" t="str">
        <f>IFERROR(__xludf.DUMMYFUNCTION("""COMPUTED_VALUE"""),"有")</f>
        <v>有</v>
      </c>
      <c r="Y4956" s="8" t="str">
        <f>IFERROR(__xludf.DUMMYFUNCTION("""COMPUTED_VALUE"""),"1巻目無料
2026/5/31まで2~12巻目まで無料")</f>
        <v>1巻目無料
2026/5/31まで2~12巻目まで無料</v>
      </c>
      <c r="Z4956" s="7"/>
      <c r="AA4956" s="7"/>
      <c r="AB4956" s="7"/>
    </row>
    <row r="4957" ht="15.75" customHeight="1">
      <c r="A4957" s="26">
        <f>IFERROR(__xludf.DUMMYFUNCTION("""COMPUTED_VALUE"""),7708.0)</f>
        <v>7708</v>
      </c>
      <c r="B4957" s="22" t="str">
        <f>IFERROR(__xludf.DUMMYFUNCTION("""COMPUTED_VALUE"""),"確定")</f>
        <v>確定</v>
      </c>
      <c r="C4957" s="28">
        <f>IFERROR(__xludf.DUMMYFUNCTION("""COMPUTED_VALUE"""),46099.0)</f>
        <v>46099</v>
      </c>
      <c r="D4957" s="28">
        <f>IFERROR(__xludf.DUMMYFUNCTION("""COMPUTED_VALUE"""),46105.0)</f>
        <v>46105</v>
      </c>
      <c r="E4957" s="26">
        <f>IFERROR(__xludf.DUMMYFUNCTION("""COMPUTED_VALUE"""),335110.0)</f>
        <v>335110</v>
      </c>
      <c r="F4957" s="22" t="str">
        <f>IFERROR(__xludf.DUMMYFUNCTION("""COMPUTED_VALUE"""),"王族の騎士は氷の魔女に愛を誓う")</f>
        <v>王族の騎士は氷の魔女に愛を誓う</v>
      </c>
      <c r="G4957" s="20" t="str">
        <f>IFERROR(__xludf.DUMMYFUNCTION("""COMPUTED_VALUE"""),"1～3")</f>
        <v>1～3</v>
      </c>
      <c r="H4957" s="22" t="str">
        <f>IFERROR(__xludf.DUMMYFUNCTION("""COMPUTED_VALUE"""),"ナビ,つづきさくら")</f>
        <v>ナビ,つづきさくら</v>
      </c>
      <c r="I4957" s="22" t="str">
        <f>IFERROR(__xludf.DUMMYFUNCTION("""COMPUTED_VALUE"""),"少女マンガ")</f>
        <v>少女マンガ</v>
      </c>
      <c r="J4957" s="22"/>
      <c r="K4957" s="22" t="str">
        <f>IFERROR(__xludf.DUMMYFUNCTION("""COMPUTED_VALUE"""),"トレモア・ロマンス,トレモアcollection")</f>
        <v>トレモア・ロマンス,トレモアcollection</v>
      </c>
      <c r="L4957" s="22" t="str">
        <f>IFERROR(__xludf.DUMMYFUNCTION("""COMPUTED_VALUE"""),"シーモアコミックス（トレモア）")</f>
        <v>シーモアコミックス（トレモア）</v>
      </c>
      <c r="M4957" s="33">
        <f>IFERROR(__xludf.DUMMYFUNCTION("""COMPUTED_VALUE"""),46143.0)</f>
        <v>46143</v>
      </c>
      <c r="N4957" s="33">
        <f>IFERROR(__xludf.DUMMYFUNCTION("""COMPUTED_VALUE"""),2958465.0)</f>
        <v>2958465</v>
      </c>
      <c r="O4957" s="20"/>
      <c r="P4957" s="32" t="str">
        <f>IFERROR(__xludf.DUMMYFUNCTION("""COMPUTED_VALUE"""),"可")</f>
        <v>可</v>
      </c>
      <c r="Q4957" s="30"/>
      <c r="R4957" s="22"/>
      <c r="S4957" s="22" t="str">
        <f>IFERROR(__xludf.DUMMYFUNCTION("""COMPUTED_VALUE"""),"20260318_シーモアコミックス_王族の騎士は氷の魔女に愛を誓う")</f>
        <v>20260318_シーモアコミックス_王族の騎士は氷の魔女に愛を誓う</v>
      </c>
      <c r="T4957" s="22" t="str">
        <f>IFERROR(__xludf.DUMMYFUNCTION("""COMPUTED_VALUE"""),"格納済み")</f>
        <v>格納済み</v>
      </c>
      <c r="U4957" s="9" t="str">
        <f>IFERROR(__xludf.DUMMYFUNCTION("""COMPUTED_VALUE"""),"(C) ナビ/つづきさくら/シーモアコミックス")</f>
        <v>(C) ナビ/つづきさくら/シーモアコミックス</v>
      </c>
      <c r="V4957" s="8"/>
      <c r="W4957" s="8"/>
      <c r="X4957" s="8" t="str">
        <f>IFERROR(__xludf.DUMMYFUNCTION("""COMPUTED_VALUE"""),"有")</f>
        <v>有</v>
      </c>
      <c r="Y4957" s="8" t="str">
        <f>IFERROR(__xludf.DUMMYFUNCTION("""COMPUTED_VALUE"""),"2026/12/31まで1巻無料")</f>
        <v>2026/12/31まで1巻無料</v>
      </c>
      <c r="Z4957" s="7"/>
      <c r="AA4957" s="7"/>
      <c r="AB4957" s="7"/>
    </row>
    <row r="4958" ht="15.75" customHeight="1">
      <c r="A4958" s="26">
        <f>IFERROR(__xludf.DUMMYFUNCTION("""COMPUTED_VALUE"""),7709.0)</f>
        <v>7709</v>
      </c>
      <c r="B4958" s="22" t="str">
        <f>IFERROR(__xludf.DUMMYFUNCTION("""COMPUTED_VALUE"""),"確定")</f>
        <v>確定</v>
      </c>
      <c r="C4958" s="28">
        <f>IFERROR(__xludf.DUMMYFUNCTION("""COMPUTED_VALUE"""),46099.0)</f>
        <v>46099</v>
      </c>
      <c r="D4958" s="28">
        <f>IFERROR(__xludf.DUMMYFUNCTION("""COMPUTED_VALUE"""),46105.0)</f>
        <v>46105</v>
      </c>
      <c r="E4958" s="26">
        <f>IFERROR(__xludf.DUMMYFUNCTION("""COMPUTED_VALUE"""),322265.0)</f>
        <v>322265</v>
      </c>
      <c r="F4958" s="22" t="str">
        <f>IFERROR(__xludf.DUMMYFUNCTION("""COMPUTED_VALUE"""),"邪龍の花嫁～不浄の令嬢は呪われた皇子に溺愛される～")</f>
        <v>邪龍の花嫁～不浄の令嬢は呪われた皇子に溺愛される～</v>
      </c>
      <c r="G4958" s="20" t="str">
        <f>IFERROR(__xludf.DUMMYFUNCTION("""COMPUTED_VALUE"""),"1～3")</f>
        <v>1～3</v>
      </c>
      <c r="H4958" s="22" t="str">
        <f>IFERROR(__xludf.DUMMYFUNCTION("""COMPUTED_VALUE"""),"森屋越智,冴葉")</f>
        <v>森屋越智,冴葉</v>
      </c>
      <c r="I4958" s="22" t="str">
        <f>IFERROR(__xludf.DUMMYFUNCTION("""COMPUTED_VALUE"""),"少女マンガ")</f>
        <v>少女マンガ</v>
      </c>
      <c r="J4958" s="22"/>
      <c r="K4958" s="22" t="str">
        <f>IFERROR(__xludf.DUMMYFUNCTION("""COMPUTED_VALUE"""),"トレモア・ロマンス,トレモアcollection")</f>
        <v>トレモア・ロマンス,トレモアcollection</v>
      </c>
      <c r="L4958" s="22" t="str">
        <f>IFERROR(__xludf.DUMMYFUNCTION("""COMPUTED_VALUE"""),"シーモアコミックス（トレモア）")</f>
        <v>シーモアコミックス（トレモア）</v>
      </c>
      <c r="M4958" s="33">
        <f>IFERROR(__xludf.DUMMYFUNCTION("""COMPUTED_VALUE"""),46143.0)</f>
        <v>46143</v>
      </c>
      <c r="N4958" s="33">
        <f>IFERROR(__xludf.DUMMYFUNCTION("""COMPUTED_VALUE"""),2958465.0)</f>
        <v>2958465</v>
      </c>
      <c r="O4958" s="20"/>
      <c r="P4958" s="32" t="str">
        <f>IFERROR(__xludf.DUMMYFUNCTION("""COMPUTED_VALUE"""),"可")</f>
        <v>可</v>
      </c>
      <c r="Q4958" s="30"/>
      <c r="R4958" s="22"/>
      <c r="S4958" s="22" t="str">
        <f>IFERROR(__xludf.DUMMYFUNCTION("""COMPUTED_VALUE"""),"20260318_シーモアコミックス_邪龍の花嫁～不浄の令嬢は呪われた皇子に溺愛される～")</f>
        <v>20260318_シーモアコミックス_邪龍の花嫁～不浄の令嬢は呪われた皇子に溺愛される～</v>
      </c>
      <c r="T4958" s="22" t="str">
        <f>IFERROR(__xludf.DUMMYFUNCTION("""COMPUTED_VALUE"""),"格納済み")</f>
        <v>格納済み</v>
      </c>
      <c r="U4958" s="9" t="str">
        <f>IFERROR(__xludf.DUMMYFUNCTION("""COMPUTED_VALUE"""),"(C) 森屋越智/冴葉/シーモアコミックス")</f>
        <v>(C) 森屋越智/冴葉/シーモアコミックス</v>
      </c>
      <c r="V4958" s="8"/>
      <c r="W4958" s="8"/>
      <c r="X4958" s="8" t="str">
        <f>IFERROR(__xludf.DUMMYFUNCTION("""COMPUTED_VALUE"""),"有")</f>
        <v>有</v>
      </c>
      <c r="Y4958" s="8" t="str">
        <f>IFERROR(__xludf.DUMMYFUNCTION("""COMPUTED_VALUE"""),"2026/12/31まで1巻無料")</f>
        <v>2026/12/31まで1巻無料</v>
      </c>
      <c r="Z4958" s="7"/>
      <c r="AA4958" s="7"/>
      <c r="AB4958" s="7"/>
    </row>
    <row r="4959" ht="15.75" customHeight="1">
      <c r="A4959" s="26">
        <f>IFERROR(__xludf.DUMMYFUNCTION("""COMPUTED_VALUE"""),7710.0)</f>
        <v>7710</v>
      </c>
      <c r="B4959" s="22" t="str">
        <f>IFERROR(__xludf.DUMMYFUNCTION("""COMPUTED_VALUE"""),"確定")</f>
        <v>確定</v>
      </c>
      <c r="C4959" s="28">
        <f>IFERROR(__xludf.DUMMYFUNCTION("""COMPUTED_VALUE"""),46099.0)</f>
        <v>46099</v>
      </c>
      <c r="D4959" s="28">
        <f>IFERROR(__xludf.DUMMYFUNCTION("""COMPUTED_VALUE"""),46105.0)</f>
        <v>46105</v>
      </c>
      <c r="E4959" s="26">
        <f>IFERROR(__xludf.DUMMYFUNCTION("""COMPUTED_VALUE"""),345342.0)</f>
        <v>345342</v>
      </c>
      <c r="F4959" s="22" t="str">
        <f>IFERROR(__xludf.DUMMYFUNCTION("""COMPUTED_VALUE"""),"舞踏会はひとりで踊るので、私のことはお構いなく～モラハラ次期公爵様に尽くすのをやめて婚約破棄するはずが、なぜか執着されています～")</f>
        <v>舞踏会はひとりで踊るので、私のことはお構いなく～モラハラ次期公爵様に尽くすのをやめて婚約破棄するはずが、なぜか執着されています～</v>
      </c>
      <c r="G4959" s="20" t="str">
        <f>IFERROR(__xludf.DUMMYFUNCTION("""COMPUTED_VALUE"""),"1～3")</f>
        <v>1～3</v>
      </c>
      <c r="H4959" s="22" t="str">
        <f>IFERROR(__xludf.DUMMYFUNCTION("""COMPUTED_VALUE"""),"月詠れん")</f>
        <v>月詠れん</v>
      </c>
      <c r="I4959" s="22" t="str">
        <f>IFERROR(__xludf.DUMMYFUNCTION("""COMPUTED_VALUE"""),"少女マンガ")</f>
        <v>少女マンガ</v>
      </c>
      <c r="J4959" s="22"/>
      <c r="K4959" s="22" t="str">
        <f>IFERROR(__xludf.DUMMYFUNCTION("""COMPUTED_VALUE"""),"トレモア・ロマンス,トレモアcollection")</f>
        <v>トレモア・ロマンス,トレモアcollection</v>
      </c>
      <c r="L4959" s="22" t="str">
        <f>IFERROR(__xludf.DUMMYFUNCTION("""COMPUTED_VALUE"""),"シーモアコミックス（トレモア）")</f>
        <v>シーモアコミックス（トレモア）</v>
      </c>
      <c r="M4959" s="33">
        <f>IFERROR(__xludf.DUMMYFUNCTION("""COMPUTED_VALUE"""),46143.0)</f>
        <v>46143</v>
      </c>
      <c r="N4959" s="33">
        <f>IFERROR(__xludf.DUMMYFUNCTION("""COMPUTED_VALUE"""),46331.70833333333)</f>
        <v>46331.70833</v>
      </c>
      <c r="O4959" s="20"/>
      <c r="P4959" s="32" t="str">
        <f>IFERROR(__xludf.DUMMYFUNCTION("""COMPUTED_VALUE"""),"可")</f>
        <v>可</v>
      </c>
      <c r="Q4959" s="30" t="str">
        <f>IFERROR(__xludf.DUMMYFUNCTION("""COMPUTED_VALUE"""),"「03」フォルダ内の表紙（345342_003_00A.tif）が2巻になっておりますが、本編素材は3巻のものですのでそのまま広告制作お願いいたします。")</f>
        <v>「03」フォルダ内の表紙（345342_003_00A.tif）が2巻になっておりますが、本編素材は3巻のものですのでそのまま広告制作お願いいたします。</v>
      </c>
      <c r="R4959" s="22"/>
      <c r="S4959" s="22" t="str">
        <f>IFERROR(__xludf.DUMMYFUNCTION("""COMPUTED_VALUE"""),"20260318_シーモアコミックス_舞踏会はひとりで踊るので、私のことはお構いなく～モラハラ次期公爵様に尽くすのをやめて婚約破棄するはずが、なぜか執着されています～")</f>
        <v>20260318_シーモアコミックス_舞踏会はひとりで踊るので、私のことはお構いなく～モラハラ次期公爵様に尽くすのをやめて婚約破棄するはずが、なぜか執着されています～</v>
      </c>
      <c r="T4959" s="22" t="str">
        <f>IFERROR(__xludf.DUMMYFUNCTION("""COMPUTED_VALUE"""),"格納済み")</f>
        <v>格納済み</v>
      </c>
      <c r="U4959" s="9" t="str">
        <f>IFERROR(__xludf.DUMMYFUNCTION("""COMPUTED_VALUE"""),"(C) 月詠れん/シーモアコミックス")</f>
        <v>(C) 月詠れん/シーモアコミックス</v>
      </c>
      <c r="V4959" s="8"/>
      <c r="W4959" s="8"/>
      <c r="X4959" s="8" t="str">
        <f>IFERROR(__xludf.DUMMYFUNCTION("""COMPUTED_VALUE"""),"有")</f>
        <v>有</v>
      </c>
      <c r="Y4959" s="8" t="str">
        <f>IFERROR(__xludf.DUMMYFUNCTION("""COMPUTED_VALUE"""),"2026/12/31まで1巻無料")</f>
        <v>2026/12/31まで1巻無料</v>
      </c>
      <c r="Z4959" s="7"/>
      <c r="AA4959" s="7"/>
      <c r="AB4959" s="7"/>
    </row>
    <row r="4960" ht="15.75" customHeight="1">
      <c r="A4960" s="26">
        <f>IFERROR(__xludf.DUMMYFUNCTION("""COMPUTED_VALUE"""),7711.0)</f>
        <v>7711</v>
      </c>
      <c r="B4960" s="22" t="str">
        <f>IFERROR(__xludf.DUMMYFUNCTION("""COMPUTED_VALUE"""),"確定")</f>
        <v>確定</v>
      </c>
      <c r="C4960" s="28">
        <f>IFERROR(__xludf.DUMMYFUNCTION("""COMPUTED_VALUE"""),46099.0)</f>
        <v>46099</v>
      </c>
      <c r="D4960" s="28">
        <f>IFERROR(__xludf.DUMMYFUNCTION("""COMPUTED_VALUE"""),46105.0)</f>
        <v>46105</v>
      </c>
      <c r="E4960" s="26">
        <f>IFERROR(__xludf.DUMMYFUNCTION("""COMPUTED_VALUE"""),354956.0)</f>
        <v>354956</v>
      </c>
      <c r="F4960" s="22" t="str">
        <f>IFERROR(__xludf.DUMMYFUNCTION("""COMPUTED_VALUE"""),"堅物皇太子、私は自由を謳歌させていただきます！")</f>
        <v>堅物皇太子、私は自由を謳歌させていただきます！</v>
      </c>
      <c r="G4960" s="20" t="str">
        <f>IFERROR(__xludf.DUMMYFUNCTION("""COMPUTED_VALUE"""),"1～3")</f>
        <v>1～3</v>
      </c>
      <c r="H4960" s="22" t="str">
        <f>IFERROR(__xludf.DUMMYFUNCTION("""COMPUTED_VALUE"""),"藤臣,かるぼなら,木原梨花")</f>
        <v>藤臣,かるぼなら,木原梨花</v>
      </c>
      <c r="I4960" s="22" t="str">
        <f>IFERROR(__xludf.DUMMYFUNCTION("""COMPUTED_VALUE"""),"少女マンガ")</f>
        <v>少女マンガ</v>
      </c>
      <c r="J4960" s="22"/>
      <c r="K4960" s="22" t="str">
        <f>IFERROR(__xludf.DUMMYFUNCTION("""COMPUTED_VALUE"""),"トレモア・ロマンス,トレモアcollection")</f>
        <v>トレモア・ロマンス,トレモアcollection</v>
      </c>
      <c r="L4960" s="22" t="str">
        <f>IFERROR(__xludf.DUMMYFUNCTION("""COMPUTED_VALUE"""),"シーモアコミックス（トレモア）")</f>
        <v>シーモアコミックス（トレモア）</v>
      </c>
      <c r="M4960" s="33">
        <f>IFERROR(__xludf.DUMMYFUNCTION("""COMPUTED_VALUE"""),46143.0)</f>
        <v>46143</v>
      </c>
      <c r="N4960" s="33">
        <f>IFERROR(__xludf.DUMMYFUNCTION("""COMPUTED_VALUE"""),46331.70833333333)</f>
        <v>46331.70833</v>
      </c>
      <c r="O4960" s="20"/>
      <c r="P4960" s="32" t="str">
        <f>IFERROR(__xludf.DUMMYFUNCTION("""COMPUTED_VALUE"""),"可")</f>
        <v>可</v>
      </c>
      <c r="Q4960" s="30"/>
      <c r="R4960" s="22"/>
      <c r="S4960" s="22" t="str">
        <f>IFERROR(__xludf.DUMMYFUNCTION("""COMPUTED_VALUE"""),"20260318_シーモアコミックス_堅物皇太子、私は自由を謳歌させていただきます！")</f>
        <v>20260318_シーモアコミックス_堅物皇太子、私は自由を謳歌させていただきます！</v>
      </c>
      <c r="T4960" s="22" t="str">
        <f>IFERROR(__xludf.DUMMYFUNCTION("""COMPUTED_VALUE"""),"格納済み")</f>
        <v>格納済み</v>
      </c>
      <c r="U4960" s="9" t="str">
        <f>IFERROR(__xludf.DUMMYFUNCTION("""COMPUTED_VALUE"""),"(C) 藤臣/かるぼなら/木原梨花/シーモアコミックス")</f>
        <v>(C) 藤臣/かるぼなら/木原梨花/シーモアコミックス</v>
      </c>
      <c r="V4960" s="8"/>
      <c r="W4960" s="8"/>
      <c r="X4960" s="8" t="str">
        <f>IFERROR(__xludf.DUMMYFUNCTION("""COMPUTED_VALUE"""),"有")</f>
        <v>有</v>
      </c>
      <c r="Y4960" s="8" t="str">
        <f>IFERROR(__xludf.DUMMYFUNCTION("""COMPUTED_VALUE"""),"2026/12/31まで1巻無料")</f>
        <v>2026/12/31まで1巻無料</v>
      </c>
      <c r="Z4960" s="7"/>
      <c r="AA4960" s="7"/>
      <c r="AB4960" s="7"/>
    </row>
    <row r="4961" ht="15.75" customHeight="1">
      <c r="A4961" s="26">
        <f>IFERROR(__xludf.DUMMYFUNCTION("""COMPUTED_VALUE"""),7712.0)</f>
        <v>7712</v>
      </c>
      <c r="B4961" s="22" t="str">
        <f>IFERROR(__xludf.DUMMYFUNCTION("""COMPUTED_VALUE"""),"確定")</f>
        <v>確定</v>
      </c>
      <c r="C4961" s="28">
        <f>IFERROR(__xludf.DUMMYFUNCTION("""COMPUTED_VALUE"""),46099.0)</f>
        <v>46099</v>
      </c>
      <c r="D4961" s="28">
        <f>IFERROR(__xludf.DUMMYFUNCTION("""COMPUTED_VALUE"""),46105.0)</f>
        <v>46105</v>
      </c>
      <c r="E4961" s="26">
        <f>IFERROR(__xludf.DUMMYFUNCTION("""COMPUTED_VALUE"""),356159.0)</f>
        <v>356159</v>
      </c>
      <c r="F4961" s="22" t="str">
        <f>IFERROR(__xludf.DUMMYFUNCTION("""COMPUTED_VALUE"""),"私の秘密がバレまして～退勤後、エリート上司の指先に溺れる夜【ノーカット版】")</f>
        <v>私の秘密がバレまして～退勤後、エリート上司の指先に溺れる夜【ノーカット版】</v>
      </c>
      <c r="G4961" s="20" t="str">
        <f>IFERROR(__xludf.DUMMYFUNCTION("""COMPUTED_VALUE"""),"1～3")</f>
        <v>1～3</v>
      </c>
      <c r="H4961" s="22" t="str">
        <f>IFERROR(__xludf.DUMMYFUNCTION("""COMPUTED_VALUE"""),"Jami/Kang Chayoon/Jeonghaejin")</f>
        <v>Jami/Kang Chayoon/Jeonghaejin</v>
      </c>
      <c r="I4961" s="22" t="str">
        <f>IFERROR(__xludf.DUMMYFUNCTION("""COMPUTED_VALUE"""),"TL")</f>
        <v>TL</v>
      </c>
      <c r="J4961" s="22"/>
      <c r="K4961" s="22" t="str">
        <f>IFERROR(__xludf.DUMMYFUNCTION("""COMPUTED_VALUE"""),"恋愛シロップ")</f>
        <v>恋愛シロップ</v>
      </c>
      <c r="L4961" s="22" t="str">
        <f>IFERROR(__xludf.DUMMYFUNCTION("""COMPUTED_VALUE"""),"Rush!")</f>
        <v>Rush!</v>
      </c>
      <c r="M4961" s="33">
        <f>IFERROR(__xludf.DUMMYFUNCTION("""COMPUTED_VALUE"""),46136.0)</f>
        <v>46136</v>
      </c>
      <c r="N4961" s="33">
        <f>IFERROR(__xludf.DUMMYFUNCTION("""COMPUTED_VALUE"""),46170.0)</f>
        <v>46170</v>
      </c>
      <c r="O4961" s="20"/>
      <c r="P4961" s="32" t="str">
        <f>IFERROR(__xludf.DUMMYFUNCTION("""COMPUTED_VALUE"""),"可")</f>
        <v>可</v>
      </c>
      <c r="Q4961" s="30" t="str">
        <f>IFERROR(__xludf.DUMMYFUNCTION("""COMPUTED_VALUE"""),"【アダルト作品扱い】")</f>
        <v>【アダルト作品扱い】</v>
      </c>
      <c r="R4961" s="22"/>
      <c r="S4961" s="22" t="str">
        <f>IFERROR(__xludf.DUMMYFUNCTION("""COMPUTED_VALUE"""),"20260317_ファンギルド_私の秘密がバレまして～退勤後、エリート上司の指先に溺れる夜【ノーカット版】")</f>
        <v>20260317_ファンギルド_私の秘密がバレまして～退勤後、エリート上司の指先に溺れる夜【ノーカット版】</v>
      </c>
      <c r="T4961" s="22" t="str">
        <f>IFERROR(__xludf.DUMMYFUNCTION("""COMPUTED_VALUE"""),"格納済み")</f>
        <v>格納済み</v>
      </c>
      <c r="U4961" s="9" t="str">
        <f>IFERROR(__xludf.DUMMYFUNCTION("""COMPUTED_VALUE"""),"ⒸJami/Kang Chayoon/Jeonghaejin/METATOON")</f>
        <v>ⒸJami/Kang Chayoon/Jeonghaejin/METATOON</v>
      </c>
      <c r="V4961" s="8"/>
      <c r="W4961" s="8"/>
      <c r="X4961" s="8" t="str">
        <f>IFERROR(__xludf.DUMMYFUNCTION("""COMPUTED_VALUE"""),"有")</f>
        <v>有</v>
      </c>
      <c r="Y4961" s="8" t="str">
        <f>IFERROR(__xludf.DUMMYFUNCTION("""COMPUTED_VALUE"""),"P13まで")</f>
        <v>P13まで</v>
      </c>
      <c r="Z4961" s="7"/>
      <c r="AA4961" s="7"/>
      <c r="AB4961" s="7"/>
    </row>
    <row r="4962" ht="15.75" customHeight="1">
      <c r="A4962" s="26">
        <f>IFERROR(__xludf.DUMMYFUNCTION("""COMPUTED_VALUE"""),7713.0)</f>
        <v>7713</v>
      </c>
      <c r="B4962" s="22" t="str">
        <f>IFERROR(__xludf.DUMMYFUNCTION("""COMPUTED_VALUE"""),"確定")</f>
        <v>確定</v>
      </c>
      <c r="C4962" s="28">
        <f>IFERROR(__xludf.DUMMYFUNCTION("""COMPUTED_VALUE"""),46099.0)</f>
        <v>46099</v>
      </c>
      <c r="D4962" s="28">
        <f>IFERROR(__xludf.DUMMYFUNCTION("""COMPUTED_VALUE"""),46105.0)</f>
        <v>46105</v>
      </c>
      <c r="E4962" s="26">
        <f>IFERROR(__xludf.DUMMYFUNCTION("""COMPUTED_VALUE"""),356160.0)</f>
        <v>356160</v>
      </c>
      <c r="F4962" s="22" t="str">
        <f>IFERROR(__xludf.DUMMYFUNCTION("""COMPUTED_VALUE"""),"これぞ成績アップの必勝法")</f>
        <v>これぞ成績アップの必勝法</v>
      </c>
      <c r="G4962" s="20" t="str">
        <f>IFERROR(__xludf.DUMMYFUNCTION("""COMPUTED_VALUE"""),"1～3")</f>
        <v>1～3</v>
      </c>
      <c r="H4962" s="22">
        <f>IFERROR(__xludf.DUMMYFUNCTION("""COMPUTED_VALUE"""),1535.0)</f>
        <v>1535</v>
      </c>
      <c r="I4962" s="22" t="str">
        <f>IFERROR(__xludf.DUMMYFUNCTION("""COMPUTED_VALUE"""),"青年")</f>
        <v>青年</v>
      </c>
      <c r="J4962" s="22"/>
      <c r="K4962" s="22"/>
      <c r="L4962" s="22" t="str">
        <f>IFERROR(__xludf.DUMMYFUNCTION("""COMPUTED_VALUE"""),"Rush!")</f>
        <v>Rush!</v>
      </c>
      <c r="M4962" s="33">
        <f>IFERROR(__xludf.DUMMYFUNCTION("""COMPUTED_VALUE"""),46171.0)</f>
        <v>46171</v>
      </c>
      <c r="N4962" s="33">
        <f>IFERROR(__xludf.DUMMYFUNCTION("""COMPUTED_VALUE"""),46205.0)</f>
        <v>46205</v>
      </c>
      <c r="O4962" s="20"/>
      <c r="P4962" s="32" t="str">
        <f>IFERROR(__xludf.DUMMYFUNCTION("""COMPUTED_VALUE"""),"可")</f>
        <v>可</v>
      </c>
      <c r="Q4962" s="30" t="str">
        <f>IFERROR(__xludf.DUMMYFUNCTION("""COMPUTED_VALUE"""),"【アダルト作品扱い】")</f>
        <v>【アダルト作品扱い】</v>
      </c>
      <c r="R4962" s="22"/>
      <c r="S4962" s="22" t="str">
        <f>IFERROR(__xludf.DUMMYFUNCTION("""COMPUTED_VALUE"""),"20260317_ファンギルド_これぞ成績アップの必勝法")</f>
        <v>20260317_ファンギルド_これぞ成績アップの必勝法</v>
      </c>
      <c r="T4962" s="22" t="str">
        <f>IFERROR(__xludf.DUMMYFUNCTION("""COMPUTED_VALUE"""),"格納済み")</f>
        <v>格納済み</v>
      </c>
      <c r="U4962" s="9" t="str">
        <f>IFERROR(__xludf.DUMMYFUNCTION("""COMPUTED_VALUE"""),"Ⓒ1535/Toomics")</f>
        <v>Ⓒ1535/Toomics</v>
      </c>
      <c r="V4962" s="8"/>
      <c r="W4962" s="8"/>
      <c r="X4962" s="8" t="str">
        <f>IFERROR(__xludf.DUMMYFUNCTION("""COMPUTED_VALUE"""),"有")</f>
        <v>有</v>
      </c>
      <c r="Y4962" s="8" t="str">
        <f>IFERROR(__xludf.DUMMYFUNCTION("""COMPUTED_VALUE"""),"2026/6/11まで1巻無料")</f>
        <v>2026/6/11まで1巻無料</v>
      </c>
      <c r="Z4962" s="7"/>
      <c r="AA4962" s="7"/>
      <c r="AB4962" s="7"/>
    </row>
    <row r="4963" ht="15.75" customHeight="1">
      <c r="A4963" s="26">
        <f>IFERROR(__xludf.DUMMYFUNCTION("""COMPUTED_VALUE"""),7714.0)</f>
        <v>7714</v>
      </c>
      <c r="B4963" s="22" t="str">
        <f>IFERROR(__xludf.DUMMYFUNCTION("""COMPUTED_VALUE"""),"確定")</f>
        <v>確定</v>
      </c>
      <c r="C4963" s="28">
        <f>IFERROR(__xludf.DUMMYFUNCTION("""COMPUTED_VALUE"""),46099.0)</f>
        <v>46099</v>
      </c>
      <c r="D4963" s="28">
        <f>IFERROR(__xludf.DUMMYFUNCTION("""COMPUTED_VALUE"""),46105.0)</f>
        <v>46105</v>
      </c>
      <c r="E4963" s="26">
        <f>IFERROR(__xludf.DUMMYFUNCTION("""COMPUTED_VALUE"""),355303.0)</f>
        <v>355303</v>
      </c>
      <c r="F4963" s="22" t="str">
        <f>IFERROR(__xludf.DUMMYFUNCTION("""COMPUTED_VALUE"""),"カフェ“もふもふ”へようこそ！～実は可愛いものが大好きな”元”最恐傭兵のセカンドライフ～")</f>
        <v>カフェ“もふもふ”へようこそ！～実は可愛いものが大好きな”元”最恐傭兵のセカンドライフ～</v>
      </c>
      <c r="G4963" s="20" t="str">
        <f>IFERROR(__xludf.DUMMYFUNCTION("""COMPUTED_VALUE"""),"1～5")</f>
        <v>1～5</v>
      </c>
      <c r="H4963" s="22" t="str">
        <f>IFERROR(__xludf.DUMMYFUNCTION("""COMPUTED_VALUE"""),"ゆら/ミポリオン")</f>
        <v>ゆら/ミポリオン</v>
      </c>
      <c r="I4963" s="22" t="str">
        <f>IFERROR(__xludf.DUMMYFUNCTION("""COMPUTED_VALUE"""),"青年")</f>
        <v>青年</v>
      </c>
      <c r="J4963" s="22"/>
      <c r="K4963" s="22"/>
      <c r="L4963" s="22" t="str">
        <f>IFERROR(__xludf.DUMMYFUNCTION("""COMPUTED_VALUE"""),"ファンギルド")</f>
        <v>ファンギルド</v>
      </c>
      <c r="M4963" s="33">
        <f>IFERROR(__xludf.DUMMYFUNCTION("""COMPUTED_VALUE"""),46134.0)</f>
        <v>46134</v>
      </c>
      <c r="N4963" s="33">
        <f>IFERROR(__xludf.DUMMYFUNCTION("""COMPUTED_VALUE"""),46163.0)</f>
        <v>46163</v>
      </c>
      <c r="O4963" s="20"/>
      <c r="P4963" s="32" t="str">
        <f>IFERROR(__xludf.DUMMYFUNCTION("""COMPUTED_VALUE"""),"可")</f>
        <v>可</v>
      </c>
      <c r="Q4963" s="30"/>
      <c r="R4963" s="22"/>
      <c r="S4963" s="22" t="str">
        <f>IFERROR(__xludf.DUMMYFUNCTION("""COMPUTED_VALUE"""),"20260317_ファンギルド_カフェ”もふもふ”へようこそ！～実は可愛いものが大好きな”元”最恐傭兵のセカンドライフ～")</f>
        <v>20260317_ファンギルド_カフェ”もふもふ”へようこそ！～実は可愛いものが大好きな”元”最恐傭兵のセカンドライフ～</v>
      </c>
      <c r="T4963" s="22" t="str">
        <f>IFERROR(__xludf.DUMMYFUNCTION("""COMPUTED_VALUE"""),"格納済み")</f>
        <v>格納済み</v>
      </c>
      <c r="U4963" s="9" t="str">
        <f>IFERROR(__xludf.DUMMYFUNCTION("""COMPUTED_VALUE"""),"Ⓒゆら/ミポリオン/ファンギルド")</f>
        <v>Ⓒゆら/ミポリオン/ファンギルド</v>
      </c>
      <c r="V4963" s="8"/>
      <c r="W4963" s="8"/>
      <c r="X4963" s="8" t="str">
        <f>IFERROR(__xludf.DUMMYFUNCTION("""COMPUTED_VALUE"""),"有")</f>
        <v>有</v>
      </c>
      <c r="Y4963" s="8" t="str">
        <f>IFERROR(__xludf.DUMMYFUNCTION("""COMPUTED_VALUE"""),"2026/5/5まで1巻無料")</f>
        <v>2026/5/5まで1巻無料</v>
      </c>
      <c r="Z4963" s="7"/>
      <c r="AA4963" s="7"/>
      <c r="AB4963" s="7"/>
    </row>
    <row r="4964" ht="15.75" customHeight="1">
      <c r="A4964" s="26">
        <f>IFERROR(__xludf.DUMMYFUNCTION("""COMPUTED_VALUE"""),7726.0)</f>
        <v>7726</v>
      </c>
      <c r="B4964" s="22" t="str">
        <f>IFERROR(__xludf.DUMMYFUNCTION("""COMPUTED_VALUE"""),"確定")</f>
        <v>確定</v>
      </c>
      <c r="C4964" s="28">
        <f>IFERROR(__xludf.DUMMYFUNCTION("""COMPUTED_VALUE"""),46104.0)</f>
        <v>46104</v>
      </c>
      <c r="D4964" s="28">
        <f>IFERROR(__xludf.DUMMYFUNCTION("""COMPUTED_VALUE"""),46105.0)</f>
        <v>46105</v>
      </c>
      <c r="E4964" s="26">
        <f>IFERROR(__xludf.DUMMYFUNCTION("""COMPUTED_VALUE"""),331856.0)</f>
        <v>331856</v>
      </c>
      <c r="F4964" s="22" t="str">
        <f>IFERROR(__xludf.DUMMYFUNCTION("""COMPUTED_VALUE"""),"おとなですが、はじめてです")</f>
        <v>おとなですが、はじめてです</v>
      </c>
      <c r="G4964" s="20" t="str">
        <f>IFERROR(__xludf.DUMMYFUNCTION("""COMPUTED_VALUE"""),"1～3")</f>
        <v>1～3</v>
      </c>
      <c r="H4964" s="22" t="str">
        <f>IFERROR(__xludf.DUMMYFUNCTION("""COMPUTED_VALUE"""),"ヨシザワ")</f>
        <v>ヨシザワ</v>
      </c>
      <c r="I4964" s="22" t="str">
        <f>IFERROR(__xludf.DUMMYFUNCTION("""COMPUTED_VALUE"""),"女性マンガ")</f>
        <v>女性マンガ</v>
      </c>
      <c r="J4964" s="22"/>
      <c r="K4964" s="22" t="str">
        <f>IFERROR(__xludf.DUMMYFUNCTION("""COMPUTED_VALUE"""),"スキして?桃色日記")</f>
        <v>スキして?桃色日記</v>
      </c>
      <c r="L4964" s="22" t="str">
        <f>IFERROR(__xludf.DUMMYFUNCTION("""COMPUTED_VALUE"""),"シーモアコミックス")</f>
        <v>シーモアコミックス</v>
      </c>
      <c r="M4964" s="33">
        <f>IFERROR(__xludf.DUMMYFUNCTION("""COMPUTED_VALUE"""),46144.0)</f>
        <v>46144</v>
      </c>
      <c r="N4964" s="33">
        <f>IFERROR(__xludf.DUMMYFUNCTION("""COMPUTED_VALUE"""),2958465.0)</f>
        <v>2958465</v>
      </c>
      <c r="O4964" s="20"/>
      <c r="P4964" s="32" t="str">
        <f>IFERROR(__xludf.DUMMYFUNCTION("""COMPUTED_VALUE"""),"可")</f>
        <v>可</v>
      </c>
      <c r="Q4964" s="30"/>
      <c r="R4964" s="22"/>
      <c r="S4964" s="22" t="str">
        <f>IFERROR(__xludf.DUMMYFUNCTION("""COMPUTED_VALUE"""),"20260323_シーモアコミックス_おとなですが、はじめてです")</f>
        <v>20260323_シーモアコミックス_おとなですが、はじめてです</v>
      </c>
      <c r="T4964" s="22" t="str">
        <f>IFERROR(__xludf.DUMMYFUNCTION("""COMPUTED_VALUE"""),"格納済み")</f>
        <v>格納済み</v>
      </c>
      <c r="U4964" s="9" t="str">
        <f>IFERROR(__xludf.DUMMYFUNCTION("""COMPUTED_VALUE"""),"(C) ヨシザワ/シーモアコミックス")</f>
        <v>(C) ヨシザワ/シーモアコミックス</v>
      </c>
      <c r="V4964" s="8"/>
      <c r="W4964" s="8"/>
      <c r="X4964" s="8" t="str">
        <f>IFERROR(__xludf.DUMMYFUNCTION("""COMPUTED_VALUE"""),"有")</f>
        <v>有</v>
      </c>
      <c r="Y4964" s="8" t="str">
        <f>IFERROR(__xludf.DUMMYFUNCTION("""COMPUTED_VALUE"""),"2026/6/5まで1巻無料")</f>
        <v>2026/6/5まで1巻無料</v>
      </c>
      <c r="Z4964" s="7"/>
      <c r="AA4964" s="7"/>
      <c r="AB4964" s="7"/>
    </row>
    <row r="4965" ht="15.75" customHeight="1">
      <c r="A4965" s="26">
        <f>IFERROR(__xludf.DUMMYFUNCTION("""COMPUTED_VALUE"""),6750.0)</f>
        <v>6750</v>
      </c>
      <c r="B4965" s="22" t="str">
        <f>IFERROR(__xludf.DUMMYFUNCTION("""COMPUTED_VALUE"""),"確定")</f>
        <v>確定</v>
      </c>
      <c r="C4965" s="28">
        <f>IFERROR(__xludf.DUMMYFUNCTION("""COMPUTED_VALUE"""),45959.0)</f>
        <v>45959</v>
      </c>
      <c r="D4965" s="28">
        <f>IFERROR(__xludf.DUMMYFUNCTION("""COMPUTED_VALUE"""),46113.0)</f>
        <v>46113</v>
      </c>
      <c r="E4965" s="26">
        <f>IFERROR(__xludf.DUMMYFUNCTION("""COMPUTED_VALUE"""),354069.0)</f>
        <v>354069</v>
      </c>
      <c r="F4965" s="22" t="str">
        <f>IFERROR(__xludf.DUMMYFUNCTION("""COMPUTED_VALUE"""),"転生聖女ですがBLが禁忌の乙女ゲーム界で腐女子バレして断罪されそうです【単話】")</f>
        <v>転生聖女ですがBLが禁忌の乙女ゲーム界で腐女子バレして断罪されそうです【単話】</v>
      </c>
      <c r="G4965" s="20" t="str">
        <f>IFERROR(__xludf.DUMMYFUNCTION("""COMPUTED_VALUE"""),"1～3")</f>
        <v>1～3</v>
      </c>
      <c r="H4965" s="22" t="str">
        <f>IFERROR(__xludf.DUMMYFUNCTION("""COMPUTED_VALUE"""),"エヌシ┴餅西うまし┴ごめんこうむる")</f>
        <v>エヌシ┴餅西うまし┴ごめんこうむる</v>
      </c>
      <c r="I4965" s="22" t="str">
        <f>IFERROR(__xludf.DUMMYFUNCTION("""COMPUTED_VALUE"""),"女性")</f>
        <v>女性</v>
      </c>
      <c r="J4965" s="22"/>
      <c r="K4965" s="22"/>
      <c r="L4965" s="22" t="str">
        <f>IFERROR(__xludf.DUMMYFUNCTION("""COMPUTED_VALUE"""),"小学館")</f>
        <v>小学館</v>
      </c>
      <c r="M4965" s="33">
        <f>IFERROR(__xludf.DUMMYFUNCTION("""COMPUTED_VALUE"""),46142.0)</f>
        <v>46142</v>
      </c>
      <c r="N4965" s="33">
        <f>IFERROR(__xludf.DUMMYFUNCTION("""COMPUTED_VALUE"""),46171.0)</f>
        <v>46171</v>
      </c>
      <c r="O4965" s="20"/>
      <c r="P4965" s="32" t="str">
        <f>IFERROR(__xludf.DUMMYFUNCTION("""COMPUTED_VALUE"""),"否")</f>
        <v>否</v>
      </c>
      <c r="Q4965" s="30"/>
      <c r="R4965" s="22" t="str">
        <f>IFERROR(__xludf.DUMMYFUNCTION("""COMPUTED_VALUE"""),"コミットNG")</f>
        <v>コミットNG</v>
      </c>
      <c r="S4965" s="22" t="str">
        <f>IFERROR(__xludf.DUMMYFUNCTION("""COMPUTED_VALUE"""),"20260327_小学館_ 転生聖女ですがBLが禁忌の乙女ゲーム界で腐女子バレして断罪されそうです【単話】")</f>
        <v>20260327_小学館_ 転生聖女ですがBLが禁忌の乙女ゲーム界で腐女子バレして断罪されそうです【単話】</v>
      </c>
      <c r="T4965" s="22" t="str">
        <f>IFERROR(__xludf.DUMMYFUNCTION("""COMPUTED_VALUE"""),"格納済み")</f>
        <v>格納済み</v>
      </c>
      <c r="U4965" s="9" t="str">
        <f>IFERROR(__xludf.DUMMYFUNCTION("""COMPUTED_VALUE"""),"(C)エヌシ・餅西うまし・ごめんこうむる / 小学館")</f>
        <v>(C)エヌシ・餅西うまし・ごめんこうむる / 小学館</v>
      </c>
      <c r="V4965" s="8"/>
      <c r="W4965" s="8"/>
      <c r="X4965" s="8" t="str">
        <f>IFERROR(__xludf.DUMMYFUNCTION("""COMPUTED_VALUE"""),"有")</f>
        <v>有</v>
      </c>
      <c r="Y4965" s="8" t="str">
        <f>IFERROR(__xludf.DUMMYFUNCTION("""COMPUTED_VALUE"""),"1巻無料")</f>
        <v>1巻無料</v>
      </c>
      <c r="Z4965" s="7"/>
      <c r="AA4965" s="7"/>
      <c r="AB4965" s="7"/>
    </row>
    <row r="4966" ht="15.75" customHeight="1">
      <c r="A4966" s="26">
        <f>IFERROR(__xludf.DUMMYFUNCTION("""COMPUTED_VALUE"""),6757.0)</f>
        <v>6757</v>
      </c>
      <c r="B4966" s="22" t="str">
        <f>IFERROR(__xludf.DUMMYFUNCTION("""COMPUTED_VALUE"""),"確定")</f>
        <v>確定</v>
      </c>
      <c r="C4966" s="28">
        <f>IFERROR(__xludf.DUMMYFUNCTION("""COMPUTED_VALUE"""),45959.0)</f>
        <v>45959</v>
      </c>
      <c r="D4966" s="28">
        <f>IFERROR(__xludf.DUMMYFUNCTION("""COMPUTED_VALUE"""),46113.0)</f>
        <v>46113</v>
      </c>
      <c r="E4966" s="26">
        <f>IFERROR(__xludf.DUMMYFUNCTION("""COMPUTED_VALUE"""),360284.0)</f>
        <v>360284</v>
      </c>
      <c r="F4966" s="22" t="str">
        <f>IFERROR(__xludf.DUMMYFUNCTION("""COMPUTED_VALUE"""),"義弟を虐げて殺される運命の悪役令嬢は何故か彼に溺愛される（分冊版）")</f>
        <v>義弟を虐げて殺される運命の悪役令嬢は何故か彼に溺愛される（分冊版）</v>
      </c>
      <c r="G4966" s="20" t="str">
        <f>IFERROR(__xludf.DUMMYFUNCTION("""COMPUTED_VALUE"""),"1～7")</f>
        <v>1～7</v>
      </c>
      <c r="H4966" s="22" t="str">
        <f>IFERROR(__xludf.DUMMYFUNCTION("""COMPUTED_VALUE"""),"山梨ネコ・雪光貴")</f>
        <v>山梨ネコ・雪光貴</v>
      </c>
      <c r="I4966" s="22" t="str">
        <f>IFERROR(__xludf.DUMMYFUNCTION("""COMPUTED_VALUE"""),"女性マンガ")</f>
        <v>女性マンガ</v>
      </c>
      <c r="J4966" s="22"/>
      <c r="K4966" s="22"/>
      <c r="L4966" s="22" t="str">
        <f>IFERROR(__xludf.DUMMYFUNCTION("""COMPUTED_VALUE"""),"アルファポリス")</f>
        <v>アルファポリス</v>
      </c>
      <c r="M4966" s="33">
        <f>IFERROR(__xludf.DUMMYFUNCTION("""COMPUTED_VALUE"""),46171.0)</f>
        <v>46171</v>
      </c>
      <c r="N4966" s="33">
        <f>IFERROR(__xludf.DUMMYFUNCTION("""COMPUTED_VALUE"""),46289.66666666667)</f>
        <v>46289.66667</v>
      </c>
      <c r="O4966" s="20"/>
      <c r="P4966" s="32" t="str">
        <f>IFERROR(__xludf.DUMMYFUNCTION("""COMPUTED_VALUE"""),"可")</f>
        <v>可</v>
      </c>
      <c r="Q4966" s="30" t="str">
        <f>IFERROR(__xludf.DUMMYFUNCTION("""COMPUTED_VALUE"""),"【アウトバウンド提案】")</f>
        <v>【アウトバウンド提案】</v>
      </c>
      <c r="R4966" s="22" t="str">
        <f>IFERROR(__xludf.DUMMYFUNCTION("""COMPUTED_VALUE"""),"コミットOK")</f>
        <v>コミットOK</v>
      </c>
      <c r="S4966" s="22" t="str">
        <f>IFERROR(__xludf.DUMMYFUNCTION("""COMPUTED_VALUE"""),"20260330_アルファポリス_義弟を虐げて殺される運命の悪役令嬢は何故か彼に溺愛される_2")</f>
        <v>20260330_アルファポリス_義弟を虐げて殺される運命の悪役令嬢は何故か彼に溺愛される_2</v>
      </c>
      <c r="T4966" s="22" t="str">
        <f>IFERROR(__xludf.DUMMYFUNCTION("""COMPUTED_VALUE"""),"格納済み")</f>
        <v>格納済み</v>
      </c>
      <c r="U4966" s="9" t="str">
        <f>IFERROR(__xludf.DUMMYFUNCTION("""COMPUTED_VALUE"""),"（C）山梨ネコ・雪光貴／アルファポリス")</f>
        <v>（C）山梨ネコ・雪光貴／アルファポリス</v>
      </c>
      <c r="V4966" s="8"/>
      <c r="W4966" s="8"/>
      <c r="X4966" s="8" t="str">
        <f>IFERROR(__xludf.DUMMYFUNCTION("""COMPUTED_VALUE"""),"有")</f>
        <v>有</v>
      </c>
      <c r="Y4966" s="8" t="str">
        <f>IFERROR(__xludf.DUMMYFUNCTION("""COMPUTED_VALUE"""),"1巻無料")</f>
        <v>1巻無料</v>
      </c>
      <c r="Z4966" s="7"/>
      <c r="AA4966" s="7"/>
      <c r="AB4966" s="7"/>
    </row>
    <row r="4967" ht="15.75" customHeight="1">
      <c r="A4967" s="26">
        <f>IFERROR(__xludf.DUMMYFUNCTION("""COMPUTED_VALUE"""),7288.0)</f>
        <v>7288</v>
      </c>
      <c r="B4967" s="22" t="str">
        <f>IFERROR(__xludf.DUMMYFUNCTION("""COMPUTED_VALUE"""),"確定")</f>
        <v>確定</v>
      </c>
      <c r="C4967" s="28">
        <f>IFERROR(__xludf.DUMMYFUNCTION("""COMPUTED_VALUE"""),46045.0)</f>
        <v>46045</v>
      </c>
      <c r="D4967" s="28">
        <f>IFERROR(__xludf.DUMMYFUNCTION("""COMPUTED_VALUE"""),46113.0)</f>
        <v>46113</v>
      </c>
      <c r="E4967" s="26">
        <f>IFERROR(__xludf.DUMMYFUNCTION("""COMPUTED_VALUE"""),358055.0)</f>
        <v>358055</v>
      </c>
      <c r="F4967" s="22" t="str">
        <f>IFERROR(__xludf.DUMMYFUNCTION("""COMPUTED_VALUE"""),"売られた天女と死にたがり藩主の契約婚【単話】")</f>
        <v>売られた天女と死にたがり藩主の契約婚【単話】</v>
      </c>
      <c r="G4967" s="20" t="str">
        <f>IFERROR(__xludf.DUMMYFUNCTION("""COMPUTED_VALUE"""),"1～3")</f>
        <v>1～3</v>
      </c>
      <c r="H4967" s="22" t="str">
        <f>IFERROR(__xludf.DUMMYFUNCTION("""COMPUTED_VALUE"""),"漫画：くりおね。　原作：とびらの")</f>
        <v>漫画：くりおね。　原作：とびらの</v>
      </c>
      <c r="I4967" s="22" t="str">
        <f>IFERROR(__xludf.DUMMYFUNCTION("""COMPUTED_VALUE"""),"女性")</f>
        <v>女性</v>
      </c>
      <c r="J4967" s="22"/>
      <c r="K4967" s="22"/>
      <c r="L4967" s="22" t="str">
        <f>IFERROR(__xludf.DUMMYFUNCTION("""COMPUTED_VALUE"""),"マガジンハウス")</f>
        <v>マガジンハウス</v>
      </c>
      <c r="M4967" s="33">
        <f>IFERROR(__xludf.DUMMYFUNCTION("""COMPUTED_VALUE"""),46161.0)</f>
        <v>46161</v>
      </c>
      <c r="N4967" s="33">
        <f>IFERROR(__xludf.DUMMYFUNCTION("""COMPUTED_VALUE"""),46223.0)</f>
        <v>46223</v>
      </c>
      <c r="O4967" s="20"/>
      <c r="P4967" s="32" t="str">
        <f>IFERROR(__xludf.DUMMYFUNCTION("""COMPUTED_VALUE"""),"可")</f>
        <v>可</v>
      </c>
      <c r="Q4967" s="30"/>
      <c r="R4967" s="22" t="str">
        <f>IFERROR(__xludf.DUMMYFUNCTION("""COMPUTED_VALUE"""),"コミットOK")</f>
        <v>コミットOK</v>
      </c>
      <c r="S4967" s="22" t="str">
        <f>IFERROR(__xludf.DUMMYFUNCTION("""COMPUTED_VALUE"""),"20260325_マガジンハウス_売られた天女と死にたがり藩主の契約婚")</f>
        <v>20260325_マガジンハウス_売られた天女と死にたがり藩主の契約婚</v>
      </c>
      <c r="T4967" s="22" t="str">
        <f>IFERROR(__xludf.DUMMYFUNCTION("""COMPUTED_VALUE"""),"格納済み")</f>
        <v>格納済み</v>
      </c>
      <c r="U4967" s="9" t="str">
        <f>IFERROR(__xludf.DUMMYFUNCTION("""COMPUTED_VALUE"""),"(C)くりおね。/とびらの/マガジンハウス")</f>
        <v>(C)くりおね。/とびらの/マガジンハウス</v>
      </c>
      <c r="V4967" s="8"/>
      <c r="W4967" s="8"/>
      <c r="X4967" s="8" t="str">
        <f>IFERROR(__xludf.DUMMYFUNCTION("""COMPUTED_VALUE"""),"有")</f>
        <v>有</v>
      </c>
      <c r="Y4967" s="8" t="str">
        <f>IFERROR(__xludf.DUMMYFUNCTION("""COMPUTED_VALUE"""),"8/31まで1巻無料")</f>
        <v>8/31まで1巻無料</v>
      </c>
      <c r="Z4967" s="7"/>
      <c r="AA4967" s="7"/>
      <c r="AB4967" s="7"/>
    </row>
    <row r="4968" ht="15.75" customHeight="1">
      <c r="A4968" s="26">
        <f>IFERROR(__xludf.DUMMYFUNCTION("""COMPUTED_VALUE"""),7346.0)</f>
        <v>7346</v>
      </c>
      <c r="B4968" s="22" t="str">
        <f>IFERROR(__xludf.DUMMYFUNCTION("""COMPUTED_VALUE"""),"確定")</f>
        <v>確定</v>
      </c>
      <c r="C4968" s="28">
        <f>IFERROR(__xludf.DUMMYFUNCTION("""COMPUTED_VALUE"""),46055.0)</f>
        <v>46055</v>
      </c>
      <c r="D4968" s="28">
        <f>IFERROR(__xludf.DUMMYFUNCTION("""COMPUTED_VALUE"""),46111.0)</f>
        <v>46111</v>
      </c>
      <c r="E4968" s="26">
        <f>IFERROR(__xludf.DUMMYFUNCTION("""COMPUTED_VALUE"""),356768.0)</f>
        <v>356768</v>
      </c>
      <c r="F4968" s="22" t="str">
        <f>IFERROR(__xludf.DUMMYFUNCTION("""COMPUTED_VALUE"""),"陰キャな鶴屋くんの激重感情【マイクロ】")</f>
        <v>陰キャな鶴屋くんの激重感情【マイクロ】</v>
      </c>
      <c r="G4968" s="20" t="str">
        <f>IFERROR(__xludf.DUMMYFUNCTION("""COMPUTED_VALUE"""),"1～3")</f>
        <v>1～3</v>
      </c>
      <c r="H4968" s="22" t="str">
        <f>IFERROR(__xludf.DUMMYFUNCTION("""COMPUTED_VALUE"""),"香椎へんり")</f>
        <v>香椎へんり</v>
      </c>
      <c r="I4968" s="22" t="str">
        <f>IFERROR(__xludf.DUMMYFUNCTION("""COMPUTED_VALUE"""),"女性")</f>
        <v>女性</v>
      </c>
      <c r="J4968" s="22"/>
      <c r="K4968" s="22"/>
      <c r="L4968" s="22" t="str">
        <f>IFERROR(__xludf.DUMMYFUNCTION("""COMPUTED_VALUE"""),"小学館")</f>
        <v>小学館</v>
      </c>
      <c r="M4968" s="33">
        <f>IFERROR(__xludf.DUMMYFUNCTION("""COMPUTED_VALUE"""),46117.0)</f>
        <v>46117</v>
      </c>
      <c r="N4968" s="33">
        <f>IFERROR(__xludf.DUMMYFUNCTION("""COMPUTED_VALUE"""),46177.0)</f>
        <v>46177</v>
      </c>
      <c r="O4968" s="20"/>
      <c r="P4968" s="32" t="str">
        <f>IFERROR(__xludf.DUMMYFUNCTION("""COMPUTED_VALUE"""),"否")</f>
        <v>否</v>
      </c>
      <c r="Q4968" s="30"/>
      <c r="R4968" s="22" t="str">
        <f>IFERROR(__xludf.DUMMYFUNCTION("""COMPUTED_VALUE"""),"コミットOK")</f>
        <v>コミットOK</v>
      </c>
      <c r="S4968" s="22" t="str">
        <f>IFERROR(__xludf.DUMMYFUNCTION("""COMPUTED_VALUE"""),"20260325_小学館_陰キャな鶴屋くんの激重感情【マイクロ】")</f>
        <v>20260325_小学館_陰キャな鶴屋くんの激重感情【マイクロ】</v>
      </c>
      <c r="T4968" s="22" t="str">
        <f>IFERROR(__xludf.DUMMYFUNCTION("""COMPUTED_VALUE"""),"格納済み")</f>
        <v>格納済み</v>
      </c>
      <c r="U4968" s="9" t="str">
        <f>IFERROR(__xludf.DUMMYFUNCTION("""COMPUTED_VALUE"""),"(C)香椎へんり / 小学館")</f>
        <v>(C)香椎へんり / 小学館</v>
      </c>
      <c r="V4968" s="8"/>
      <c r="W4968" s="8"/>
      <c r="X4968" s="8" t="str">
        <f>IFERROR(__xludf.DUMMYFUNCTION("""COMPUTED_VALUE"""),"有")</f>
        <v>有</v>
      </c>
      <c r="Y4968" s="8" t="str">
        <f>IFERROR(__xludf.DUMMYFUNCTION("""COMPUTED_VALUE"""),"P27まで")</f>
        <v>P27まで</v>
      </c>
      <c r="Z4968" s="7"/>
      <c r="AA4968" s="7"/>
      <c r="AB4968" s="7"/>
    </row>
    <row r="4969" ht="15.75" customHeight="1">
      <c r="A4969" s="26">
        <f>IFERROR(__xludf.DUMMYFUNCTION("""COMPUTED_VALUE"""),7365.0)</f>
        <v>7365</v>
      </c>
      <c r="B4969" s="22" t="str">
        <f>IFERROR(__xludf.DUMMYFUNCTION("""COMPUTED_VALUE"""),"確定")</f>
        <v>確定</v>
      </c>
      <c r="C4969" s="28">
        <f>IFERROR(__xludf.DUMMYFUNCTION("""COMPUTED_VALUE"""),46056.0)</f>
        <v>46056</v>
      </c>
      <c r="D4969" s="28">
        <f>IFERROR(__xludf.DUMMYFUNCTION("""COMPUTED_VALUE"""),46113.0)</f>
        <v>46113</v>
      </c>
      <c r="E4969" s="26">
        <f>IFERROR(__xludf.DUMMYFUNCTION("""COMPUTED_VALUE"""),360282.0)</f>
        <v>360282</v>
      </c>
      <c r="F4969" s="22" t="str">
        <f>IFERROR(__xludf.DUMMYFUNCTION("""COMPUTED_VALUE"""),"大正あやかし契約婚　帝都もののけ屋敷と異能の花嫁（分冊版）")</f>
        <v>大正あやかし契約婚　帝都もののけ屋敷と異能の花嫁（分冊版）</v>
      </c>
      <c r="G4969" s="20" t="str">
        <f>IFERROR(__xludf.DUMMYFUNCTION("""COMPUTED_VALUE"""),"1～5")</f>
        <v>1～5</v>
      </c>
      <c r="H4969" s="22" t="str">
        <f>IFERROR(__xludf.DUMMYFUNCTION("""COMPUTED_VALUE"""),"湊祥・ウヱ")</f>
        <v>湊祥・ウヱ</v>
      </c>
      <c r="I4969" s="22" t="str">
        <f>IFERROR(__xludf.DUMMYFUNCTION("""COMPUTED_VALUE"""),"女性マンガ")</f>
        <v>女性マンガ</v>
      </c>
      <c r="J4969" s="22"/>
      <c r="K4969" s="22"/>
      <c r="L4969" s="22" t="str">
        <f>IFERROR(__xludf.DUMMYFUNCTION("""COMPUTED_VALUE"""),"アルファポリス")</f>
        <v>アルファポリス</v>
      </c>
      <c r="M4969" s="33">
        <f>IFERROR(__xludf.DUMMYFUNCTION("""COMPUTED_VALUE"""),46171.0)</f>
        <v>46171</v>
      </c>
      <c r="N4969" s="33">
        <f>IFERROR(__xludf.DUMMYFUNCTION("""COMPUTED_VALUE"""),46261.0)</f>
        <v>46261</v>
      </c>
      <c r="O4969" s="20"/>
      <c r="P4969" s="32" t="str">
        <f>IFERROR(__xludf.DUMMYFUNCTION("""COMPUTED_VALUE"""),"可")</f>
        <v>可</v>
      </c>
      <c r="Q4969" s="30"/>
      <c r="R4969" s="22"/>
      <c r="S4969" s="22" t="str">
        <f>IFERROR(__xludf.DUMMYFUNCTION("""COMPUTED_VALUE"""),"20260330_アルファポリス_大正あやかし契約婚")</f>
        <v>20260330_アルファポリス_大正あやかし契約婚</v>
      </c>
      <c r="T4969" s="22" t="str">
        <f>IFERROR(__xludf.DUMMYFUNCTION("""COMPUTED_VALUE"""),"格納済み")</f>
        <v>格納済み</v>
      </c>
      <c r="U4969" s="9" t="str">
        <f>IFERROR(__xludf.DUMMYFUNCTION("""COMPUTED_VALUE"""),"（C）湊祥・ウヱ／アルファポリス")</f>
        <v>（C）湊祥・ウヱ／アルファポリス</v>
      </c>
      <c r="V4969" s="8"/>
      <c r="W4969" s="8"/>
      <c r="X4969" s="8" t="str">
        <f>IFERROR(__xludf.DUMMYFUNCTION("""COMPUTED_VALUE"""),"有")</f>
        <v>有</v>
      </c>
      <c r="Y4969" s="8" t="str">
        <f>IFERROR(__xludf.DUMMYFUNCTION("""COMPUTED_VALUE"""),"1巻無料")</f>
        <v>1巻無料</v>
      </c>
      <c r="Z4969" s="7"/>
      <c r="AA4969" s="7"/>
      <c r="AB4969" s="7"/>
    </row>
    <row r="4970" ht="15.75" customHeight="1">
      <c r="A4970" s="26">
        <f>IFERROR(__xludf.DUMMYFUNCTION("""COMPUTED_VALUE"""),7433.0)</f>
        <v>7433</v>
      </c>
      <c r="B4970" s="22" t="str">
        <f>IFERROR(__xludf.DUMMYFUNCTION("""COMPUTED_VALUE"""),"確定")</f>
        <v>確定</v>
      </c>
      <c r="C4970" s="28">
        <f>IFERROR(__xludf.DUMMYFUNCTION("""COMPUTED_VALUE"""),46065.0)</f>
        <v>46065</v>
      </c>
      <c r="D4970" s="28">
        <f>IFERROR(__xludf.DUMMYFUNCTION("""COMPUTED_VALUE"""),46111.0)</f>
        <v>46111</v>
      </c>
      <c r="E4970" s="26">
        <f>IFERROR(__xludf.DUMMYFUNCTION("""COMPUTED_VALUE"""),356965.0)</f>
        <v>356965</v>
      </c>
      <c r="F4970" s="22" t="str">
        <f>IFERROR(__xludf.DUMMYFUNCTION("""COMPUTED_VALUE"""),"イケメンバス運転手さんと私の明るい家族計画【単話版】")</f>
        <v>イケメンバス運転手さんと私の明るい家族計画【単話版】</v>
      </c>
      <c r="G4970" s="20" t="str">
        <f>IFERROR(__xludf.DUMMYFUNCTION("""COMPUTED_VALUE"""),"1～5")</f>
        <v>1～5</v>
      </c>
      <c r="H4970" s="22" t="str">
        <f>IFERROR(__xludf.DUMMYFUNCTION("""COMPUTED_VALUE"""),"三芳野ねこ⊥染野")</f>
        <v>三芳野ねこ⊥染野</v>
      </c>
      <c r="I4970" s="22" t="str">
        <f>IFERROR(__xludf.DUMMYFUNCTION("""COMPUTED_VALUE"""),"少女")</f>
        <v>少女</v>
      </c>
      <c r="J4970" s="22"/>
      <c r="K4970" s="22" t="str">
        <f>IFERROR(__xludf.DUMMYFUNCTION("""COMPUTED_VALUE"""),"fondue")</f>
        <v>fondue</v>
      </c>
      <c r="L4970" s="22" t="str">
        <f>IFERROR(__xludf.DUMMYFUNCTION("""COMPUTED_VALUE"""),"デジタルカタパルト（デジカタ編集部）")</f>
        <v>デジタルカタパルト（デジカタ編集部）</v>
      </c>
      <c r="M4970" s="33">
        <f>IFERROR(__xludf.DUMMYFUNCTION("""COMPUTED_VALUE"""),46141.0)</f>
        <v>46141</v>
      </c>
      <c r="N4970" s="33">
        <f>IFERROR(__xludf.DUMMYFUNCTION("""COMPUTED_VALUE"""),46231.0)</f>
        <v>46231</v>
      </c>
      <c r="O4970" s="20"/>
      <c r="P4970" s="32" t="str">
        <f>IFERROR(__xludf.DUMMYFUNCTION("""COMPUTED_VALUE"""),"可")</f>
        <v>可</v>
      </c>
      <c r="Q4970" s="30"/>
      <c r="R4970" s="22"/>
      <c r="S4970" s="22" t="str">
        <f>IFERROR(__xludf.DUMMYFUNCTION("""COMPUTED_VALUE"""),"20260325_デジカタ編集部_イケメンバス運転手さんと私の明るい家族計画")</f>
        <v>20260325_デジカタ編集部_イケメンバス運転手さんと私の明るい家族計画</v>
      </c>
      <c r="T4970" s="22" t="str">
        <f>IFERROR(__xludf.DUMMYFUNCTION("""COMPUTED_VALUE"""),"格納済み")</f>
        <v>格納済み</v>
      </c>
      <c r="U4970" s="9" t="str">
        <f>IFERROR(__xludf.DUMMYFUNCTION("""COMPUTED_VALUE"""),"Ⓒ三芳野ねこ・染野/デジカタ編集部")</f>
        <v>Ⓒ三芳野ねこ・染野/デジカタ編集部</v>
      </c>
      <c r="V4970" s="8"/>
      <c r="W4970" s="8"/>
      <c r="X4970" s="8" t="str">
        <f>IFERROR(__xludf.DUMMYFUNCTION("""COMPUTED_VALUE"""),"有")</f>
        <v>有</v>
      </c>
      <c r="Y4970" s="8" t="str">
        <f>IFERROR(__xludf.DUMMYFUNCTION("""COMPUTED_VALUE"""),"P12まで")</f>
        <v>P12まで</v>
      </c>
      <c r="Z4970" s="7"/>
      <c r="AA4970" s="7"/>
      <c r="AB4970" s="7"/>
    </row>
    <row r="4971" ht="15.75" customHeight="1">
      <c r="A4971" s="26">
        <f>IFERROR(__xludf.DUMMYFUNCTION("""COMPUTED_VALUE"""),7434.0)</f>
        <v>7434</v>
      </c>
      <c r="B4971" s="22" t="str">
        <f>IFERROR(__xludf.DUMMYFUNCTION("""COMPUTED_VALUE"""),"確定")</f>
        <v>確定</v>
      </c>
      <c r="C4971" s="28">
        <f>IFERROR(__xludf.DUMMYFUNCTION("""COMPUTED_VALUE"""),46065.0)</f>
        <v>46065</v>
      </c>
      <c r="D4971" s="28">
        <f>IFERROR(__xludf.DUMMYFUNCTION("""COMPUTED_VALUE"""),46111.0)</f>
        <v>46111</v>
      </c>
      <c r="E4971" s="26">
        <f>IFERROR(__xludf.DUMMYFUNCTION("""COMPUTED_VALUE"""),356979.0)</f>
        <v>356979</v>
      </c>
      <c r="F4971" s="22" t="str">
        <f>IFERROR(__xludf.DUMMYFUNCTION("""COMPUTED_VALUE"""),"害悪女バスター　不届き者には復讐を【単話版】")</f>
        <v>害悪女バスター　不届き者には復讐を【単話版】</v>
      </c>
      <c r="G4971" s="20" t="str">
        <f>IFERROR(__xludf.DUMMYFUNCTION("""COMPUTED_VALUE"""),"1～5")</f>
        <v>1～5</v>
      </c>
      <c r="H4971" s="22" t="str">
        <f>IFERROR(__xludf.DUMMYFUNCTION("""COMPUTED_VALUE"""),"小虎")</f>
        <v>小虎</v>
      </c>
      <c r="I4971" s="22" t="str">
        <f>IFERROR(__xludf.DUMMYFUNCTION("""COMPUTED_VALUE"""),"女性")</f>
        <v>女性</v>
      </c>
      <c r="J4971" s="22"/>
      <c r="K4971" s="22" t="str">
        <f>IFERROR(__xludf.DUMMYFUNCTION("""COMPUTED_VALUE"""),"&amp;nable")</f>
        <v>&amp;nable</v>
      </c>
      <c r="L4971" s="22" t="str">
        <f>IFERROR(__xludf.DUMMYFUNCTION("""COMPUTED_VALUE"""),"デジタルカタパルト（デジカタ編集部）")</f>
        <v>デジタルカタパルト（デジカタ編集部）</v>
      </c>
      <c r="M4971" s="33">
        <f>IFERROR(__xludf.DUMMYFUNCTION("""COMPUTED_VALUE"""),46141.0)</f>
        <v>46141</v>
      </c>
      <c r="N4971" s="33">
        <f>IFERROR(__xludf.DUMMYFUNCTION("""COMPUTED_VALUE"""),46231.0)</f>
        <v>46231</v>
      </c>
      <c r="O4971" s="20"/>
      <c r="P4971" s="32" t="str">
        <f>IFERROR(__xludf.DUMMYFUNCTION("""COMPUTED_VALUE"""),"可")</f>
        <v>可</v>
      </c>
      <c r="Q4971" s="30"/>
      <c r="R4971" s="22"/>
      <c r="S4971" s="22" t="str">
        <f>IFERROR(__xludf.DUMMYFUNCTION("""COMPUTED_VALUE"""),"20260325_デジカタ編集部_害悪女バスター　不届き者には復讐を")</f>
        <v>20260325_デジカタ編集部_害悪女バスター　不届き者には復讐を</v>
      </c>
      <c r="T4971" s="22" t="str">
        <f>IFERROR(__xludf.DUMMYFUNCTION("""COMPUTED_VALUE"""),"格納済み")</f>
        <v>格納済み</v>
      </c>
      <c r="U4971" s="9" t="str">
        <f>IFERROR(__xludf.DUMMYFUNCTION("""COMPUTED_VALUE"""),"Ⓒ小虎/デジカタ編集部")</f>
        <v>Ⓒ小虎/デジカタ編集部</v>
      </c>
      <c r="V4971" s="8"/>
      <c r="W4971" s="8"/>
      <c r="X4971" s="8" t="str">
        <f>IFERROR(__xludf.DUMMYFUNCTION("""COMPUTED_VALUE"""),"有")</f>
        <v>有</v>
      </c>
      <c r="Y4971" s="8" t="str">
        <f>IFERROR(__xludf.DUMMYFUNCTION("""COMPUTED_VALUE"""),"P12まで")</f>
        <v>P12まで</v>
      </c>
      <c r="Z4971" s="7"/>
      <c r="AA4971" s="7"/>
      <c r="AB4971" s="7"/>
    </row>
    <row r="4972" ht="15.75" customHeight="1">
      <c r="A4972" s="26">
        <f>IFERROR(__xludf.DUMMYFUNCTION("""COMPUTED_VALUE"""),7435.0)</f>
        <v>7435</v>
      </c>
      <c r="B4972" s="22" t="str">
        <f>IFERROR(__xludf.DUMMYFUNCTION("""COMPUTED_VALUE"""),"確定")</f>
        <v>確定</v>
      </c>
      <c r="C4972" s="28">
        <f>IFERROR(__xludf.DUMMYFUNCTION("""COMPUTED_VALUE"""),46065.0)</f>
        <v>46065</v>
      </c>
      <c r="D4972" s="28">
        <f>IFERROR(__xludf.DUMMYFUNCTION("""COMPUTED_VALUE"""),46111.0)</f>
        <v>46111</v>
      </c>
      <c r="E4972" s="26">
        <f>IFERROR(__xludf.DUMMYFUNCTION("""COMPUTED_VALUE"""),357906.0)</f>
        <v>357906</v>
      </c>
      <c r="F4972" s="22" t="str">
        <f>IFERROR(__xludf.DUMMYFUNCTION("""COMPUTED_VALUE"""),"悪役令嬢は、推しの騎士を全力で助けたら、溺愛されました！？【単話版】")</f>
        <v>悪役令嬢は、推しの騎士を全力で助けたら、溺愛されました！？【単話版】</v>
      </c>
      <c r="G4972" s="20" t="str">
        <f>IFERROR(__xludf.DUMMYFUNCTION("""COMPUTED_VALUE"""),"1～5")</f>
        <v>1～5</v>
      </c>
      <c r="H4972" s="22" t="str">
        <f>IFERROR(__xludf.DUMMYFUNCTION("""COMPUTED_VALUE"""),"橘イラ⊥かわい澄香")</f>
        <v>橘イラ⊥かわい澄香</v>
      </c>
      <c r="I4972" s="22" t="str">
        <f>IFERROR(__xludf.DUMMYFUNCTION("""COMPUTED_VALUE"""),"女性")</f>
        <v>女性</v>
      </c>
      <c r="J4972" s="22"/>
      <c r="K4972" s="22" t="str">
        <f>IFERROR(__xludf.DUMMYFUNCTION("""COMPUTED_VALUE"""),"Spirale COMIC")</f>
        <v>Spirale COMIC</v>
      </c>
      <c r="L4972" s="22" t="str">
        <f>IFERROR(__xludf.DUMMYFUNCTION("""COMPUTED_VALUE"""),"デジタルカタパルト（デジカタ編集部）")</f>
        <v>デジタルカタパルト（デジカタ編集部）</v>
      </c>
      <c r="M4972" s="33">
        <f>IFERROR(__xludf.DUMMYFUNCTION("""COMPUTED_VALUE"""),46141.0)</f>
        <v>46141</v>
      </c>
      <c r="N4972" s="33">
        <f>IFERROR(__xludf.DUMMYFUNCTION("""COMPUTED_VALUE"""),46231.0)</f>
        <v>46231</v>
      </c>
      <c r="O4972" s="20"/>
      <c r="P4972" s="32" t="str">
        <f>IFERROR(__xludf.DUMMYFUNCTION("""COMPUTED_VALUE"""),"可")</f>
        <v>可</v>
      </c>
      <c r="Q4972" s="30"/>
      <c r="R4972" s="22"/>
      <c r="S4972" s="22" t="str">
        <f>IFERROR(__xludf.DUMMYFUNCTION("""COMPUTED_VALUE"""),"20260325_デジカタ編集部_悪役令嬢は、推しの騎士を全力で助けたら、溺愛されました！？")</f>
        <v>20260325_デジカタ編集部_悪役令嬢は、推しの騎士を全力で助けたら、溺愛されました！？</v>
      </c>
      <c r="T4972" s="22" t="str">
        <f>IFERROR(__xludf.DUMMYFUNCTION("""COMPUTED_VALUE"""),"格納済み")</f>
        <v>格納済み</v>
      </c>
      <c r="U4972" s="9" t="str">
        <f>IFERROR(__xludf.DUMMYFUNCTION("""COMPUTED_VALUE"""),"Ⓒ橘イラ・かわい澄香/デジカタ編集部")</f>
        <v>Ⓒ橘イラ・かわい澄香/デジカタ編集部</v>
      </c>
      <c r="V4972" s="8"/>
      <c r="W4972" s="8"/>
      <c r="X4972" s="8" t="str">
        <f>IFERROR(__xludf.DUMMYFUNCTION("""COMPUTED_VALUE"""),"有")</f>
        <v>有</v>
      </c>
      <c r="Y4972" s="8" t="str">
        <f>IFERROR(__xludf.DUMMYFUNCTION("""COMPUTED_VALUE"""),"P12まで")</f>
        <v>P12まで</v>
      </c>
      <c r="Z4972" s="7"/>
      <c r="AA4972" s="7"/>
      <c r="AB4972" s="7"/>
    </row>
    <row r="4973" ht="15.75" customHeight="1">
      <c r="A4973" s="26">
        <f>IFERROR(__xludf.DUMMYFUNCTION("""COMPUTED_VALUE"""),7514.0)</f>
        <v>7514</v>
      </c>
      <c r="B4973" s="22" t="str">
        <f>IFERROR(__xludf.DUMMYFUNCTION("""COMPUTED_VALUE"""),"確定")</f>
        <v>確定</v>
      </c>
      <c r="C4973" s="28">
        <f>IFERROR(__xludf.DUMMYFUNCTION("""COMPUTED_VALUE"""),46077.0)</f>
        <v>46077</v>
      </c>
      <c r="D4973" s="28">
        <f>IFERROR(__xludf.DUMMYFUNCTION("""COMPUTED_VALUE"""),46113.0)</f>
        <v>46113</v>
      </c>
      <c r="E4973" s="26">
        <f>IFERROR(__xludf.DUMMYFUNCTION("""COMPUTED_VALUE"""),355872.0)</f>
        <v>355872</v>
      </c>
      <c r="F4973" s="22" t="str">
        <f>IFERROR(__xludf.DUMMYFUNCTION("""COMPUTED_VALUE"""),"柊二さんの至れり尽くせり 〜目が覚めたら無愛想な先輩が溺愛彼氏に〜【単話版】")</f>
        <v>柊二さんの至れり尽くせり 〜目が覚めたら無愛想な先輩が溺愛彼氏に〜【単話版】</v>
      </c>
      <c r="G4973" s="20" t="str">
        <f>IFERROR(__xludf.DUMMYFUNCTION("""COMPUTED_VALUE"""),"1～5")</f>
        <v>1～5</v>
      </c>
      <c r="H4973" s="22" t="str">
        <f>IFERROR(__xludf.DUMMYFUNCTION("""COMPUTED_VALUE"""),"芦ノ也晴子")</f>
        <v>芦ノ也晴子</v>
      </c>
      <c r="I4973" s="22" t="str">
        <f>IFERROR(__xludf.DUMMYFUNCTION("""COMPUTED_VALUE"""),"女性")</f>
        <v>女性</v>
      </c>
      <c r="J4973" s="22"/>
      <c r="K4973" s="22"/>
      <c r="L4973" s="22" t="str">
        <f>IFERROR(__xludf.DUMMYFUNCTION("""COMPUTED_VALUE"""),"GANMA!")</f>
        <v>GANMA!</v>
      </c>
      <c r="M4973" s="33">
        <f>IFERROR(__xludf.DUMMYFUNCTION("""COMPUTED_VALUE"""),46127.0)</f>
        <v>46127</v>
      </c>
      <c r="N4973" s="33">
        <f>IFERROR(__xludf.DUMMYFUNCTION("""COMPUTED_VALUE"""),46299.66666666667)</f>
        <v>46299.66667</v>
      </c>
      <c r="O4973" s="20"/>
      <c r="P4973" s="32" t="str">
        <f>IFERROR(__xludf.DUMMYFUNCTION("""COMPUTED_VALUE"""),"可")</f>
        <v>可</v>
      </c>
      <c r="Q4973" s="30"/>
      <c r="R4973" s="22" t="str">
        <f>IFERROR(__xludf.DUMMYFUNCTION("""COMPUTED_VALUE"""),"コミットOK")</f>
        <v>コミットOK</v>
      </c>
      <c r="S4973" s="22" t="str">
        <f>IFERROR(__xludf.DUMMYFUNCTION("""COMPUTED_VALUE"""),"20260319_GANMA!_柊二さんの至れり尽くせり 〜目が覚めたら無愛想な先輩が溺愛彼氏に〜")</f>
        <v>20260319_GANMA!_柊二さんの至れり尽くせり 〜目が覚めたら無愛想な先輩が溺愛彼氏に〜</v>
      </c>
      <c r="T4973" s="22" t="str">
        <f>IFERROR(__xludf.DUMMYFUNCTION("""COMPUTED_VALUE"""),"格納済み")</f>
        <v>格納済み</v>
      </c>
      <c r="U4973" s="9" t="str">
        <f>IFERROR(__xludf.DUMMYFUNCTION("""COMPUTED_VALUE"""),"Ⓒ︎芦ノ也晴子／COMISMA INC.")</f>
        <v>Ⓒ︎芦ノ也晴子／COMISMA INC.</v>
      </c>
      <c r="V4973" s="8"/>
      <c r="W4973" s="8"/>
      <c r="X4973" s="8" t="str">
        <f>IFERROR(__xludf.DUMMYFUNCTION("""COMPUTED_VALUE"""),"有")</f>
        <v>有</v>
      </c>
      <c r="Y4973" s="8" t="str">
        <f>IFERROR(__xludf.DUMMYFUNCTION("""COMPUTED_VALUE"""),"2026/4/30まで1~2巻無料")</f>
        <v>2026/4/30まで1~2巻無料</v>
      </c>
      <c r="Z4973" s="7"/>
      <c r="AA4973" s="7"/>
      <c r="AB4973" s="7"/>
    </row>
    <row r="4974" ht="15.75" customHeight="1">
      <c r="A4974" s="26">
        <f>IFERROR(__xludf.DUMMYFUNCTION("""COMPUTED_VALUE"""),7515.0)</f>
        <v>7515</v>
      </c>
      <c r="B4974" s="22" t="str">
        <f>IFERROR(__xludf.DUMMYFUNCTION("""COMPUTED_VALUE"""),"確定")</f>
        <v>確定</v>
      </c>
      <c r="C4974" s="28">
        <f>IFERROR(__xludf.DUMMYFUNCTION("""COMPUTED_VALUE"""),46077.0)</f>
        <v>46077</v>
      </c>
      <c r="D4974" s="28">
        <f>IFERROR(__xludf.DUMMYFUNCTION("""COMPUTED_VALUE"""),46113.0)</f>
        <v>46113</v>
      </c>
      <c r="E4974" s="26">
        <f>IFERROR(__xludf.DUMMYFUNCTION("""COMPUTED_VALUE"""),355873.0)</f>
        <v>355873</v>
      </c>
      <c r="F4974" s="22" t="str">
        <f>IFERROR(__xludf.DUMMYFUNCTION("""COMPUTED_VALUE"""),"忠犬令嬢やめたら狼侯爵の溺愛スイッチ入りました！【単話版】")</f>
        <v>忠犬令嬢やめたら狼侯爵の溺愛スイッチ入りました！【単話版】</v>
      </c>
      <c r="G4974" s="20" t="str">
        <f>IFERROR(__xludf.DUMMYFUNCTION("""COMPUTED_VALUE"""),"1～7")</f>
        <v>1～7</v>
      </c>
      <c r="H4974" s="22" t="str">
        <f>IFERROR(__xludf.DUMMYFUNCTION("""COMPUTED_VALUE"""),"原作：つるこ。／作画：甘栗苺")</f>
        <v>原作：つるこ。／作画：甘栗苺</v>
      </c>
      <c r="I4974" s="22" t="str">
        <f>IFERROR(__xludf.DUMMYFUNCTION("""COMPUTED_VALUE"""),"女性")</f>
        <v>女性</v>
      </c>
      <c r="J4974" s="22"/>
      <c r="K4974" s="22"/>
      <c r="L4974" s="22" t="str">
        <f>IFERROR(__xludf.DUMMYFUNCTION("""COMPUTED_VALUE"""),"GANMA!")</f>
        <v>GANMA!</v>
      </c>
      <c r="M4974" s="33">
        <f>IFERROR(__xludf.DUMMYFUNCTION("""COMPUTED_VALUE"""),46127.0)</f>
        <v>46127</v>
      </c>
      <c r="N4974" s="33">
        <f>IFERROR(__xludf.DUMMYFUNCTION("""COMPUTED_VALUE"""),46217.0)</f>
        <v>46217</v>
      </c>
      <c r="O4974" s="20"/>
      <c r="P4974" s="32" t="str">
        <f>IFERROR(__xludf.DUMMYFUNCTION("""COMPUTED_VALUE"""),"可")</f>
        <v>可</v>
      </c>
      <c r="Q4974" s="30"/>
      <c r="R4974" s="22" t="str">
        <f>IFERROR(__xludf.DUMMYFUNCTION("""COMPUTED_VALUE"""),"コミットOK")</f>
        <v>コミットOK</v>
      </c>
      <c r="S4974" s="22" t="str">
        <f>IFERROR(__xludf.DUMMYFUNCTION("""COMPUTED_VALUE"""),"20260319_GANMA!_忠犬令嬢やめたら狼侯爵の溺愛スイッチ入りました！")</f>
        <v>20260319_GANMA!_忠犬令嬢やめたら狼侯爵の溺愛スイッチ入りました！</v>
      </c>
      <c r="T4974" s="22" t="str">
        <f>IFERROR(__xludf.DUMMYFUNCTION("""COMPUTED_VALUE"""),"格納済み")</f>
        <v>格納済み</v>
      </c>
      <c r="U4974" s="9" t="str">
        <f>IFERROR(__xludf.DUMMYFUNCTION("""COMPUTED_VALUE"""),"Ⓒつるこ。・甘栗苺／COMISMA INC.")</f>
        <v>Ⓒつるこ。・甘栗苺／COMISMA INC.</v>
      </c>
      <c r="V4974" s="8"/>
      <c r="W4974" s="8"/>
      <c r="X4974" s="8" t="str">
        <f>IFERROR(__xludf.DUMMYFUNCTION("""COMPUTED_VALUE"""),"有")</f>
        <v>有</v>
      </c>
      <c r="Y4974" s="8" t="str">
        <f>IFERROR(__xludf.DUMMYFUNCTION("""COMPUTED_VALUE"""),"P5まで")</f>
        <v>P5まで</v>
      </c>
      <c r="Z4974" s="7"/>
      <c r="AA4974" s="7"/>
      <c r="AB4974" s="7"/>
    </row>
    <row r="4975" ht="15.75" customHeight="1">
      <c r="A4975" s="26">
        <f>IFERROR(__xludf.DUMMYFUNCTION("""COMPUTED_VALUE"""),7566.0)</f>
        <v>7566</v>
      </c>
      <c r="B4975" s="22" t="str">
        <f>IFERROR(__xludf.DUMMYFUNCTION("""COMPUTED_VALUE"""),"確定")</f>
        <v>確定</v>
      </c>
      <c r="C4975" s="28">
        <f>IFERROR(__xludf.DUMMYFUNCTION("""COMPUTED_VALUE"""),46084.0)</f>
        <v>46084</v>
      </c>
      <c r="D4975" s="28">
        <f>IFERROR(__xludf.DUMMYFUNCTION("""COMPUTED_VALUE"""),46113.0)</f>
        <v>46113</v>
      </c>
      <c r="E4975" s="26">
        <f>IFERROR(__xludf.DUMMYFUNCTION("""COMPUTED_VALUE"""),358949.0)</f>
        <v>358949</v>
      </c>
      <c r="F4975" s="22" t="str">
        <f>IFERROR(__xludf.DUMMYFUNCTION("""COMPUTED_VALUE"""),"執着溺愛エリート後輩雛木くんはとろ甘デカクリ開発で彼氏持ちの私を略奪しました。【R-18版】")</f>
        <v>執着溺愛エリート後輩雛木くんはとろ甘デカクリ開発で彼氏持ちの私を略奪しました。【R-18版】</v>
      </c>
      <c r="G4975" s="20" t="str">
        <f>IFERROR(__xludf.DUMMYFUNCTION("""COMPUTED_VALUE"""),"1～2")</f>
        <v>1～2</v>
      </c>
      <c r="H4975" s="22" t="str">
        <f>IFERROR(__xludf.DUMMYFUNCTION("""COMPUTED_VALUE"""),"藤咲ふじこ")</f>
        <v>藤咲ふじこ</v>
      </c>
      <c r="I4975" s="22" t="str">
        <f>IFERROR(__xludf.DUMMYFUNCTION("""COMPUTED_VALUE"""),"アダルト")</f>
        <v>アダルト</v>
      </c>
      <c r="J4975" s="22"/>
      <c r="K4975" s="22" t="str">
        <f>IFERROR(__xludf.DUMMYFUNCTION("""COMPUTED_VALUE"""),"Close Moon")</f>
        <v>Close Moon</v>
      </c>
      <c r="L4975" s="22" t="str">
        <f>IFERROR(__xludf.DUMMYFUNCTION("""COMPUTED_VALUE"""),"ナンバーナイン")</f>
        <v>ナンバーナイン</v>
      </c>
      <c r="M4975" s="33">
        <f>IFERROR(__xludf.DUMMYFUNCTION("""COMPUTED_VALUE"""),46143.0)</f>
        <v>46143</v>
      </c>
      <c r="N4975" s="33">
        <f>IFERROR(__xludf.DUMMYFUNCTION("""COMPUTED_VALUE"""),46203.0)</f>
        <v>46203</v>
      </c>
      <c r="O4975" s="20"/>
      <c r="P4975" s="32" t="str">
        <f>IFERROR(__xludf.DUMMYFUNCTION("""COMPUTED_VALUE"""),"可")</f>
        <v>可</v>
      </c>
      <c r="Q4975" s="30" t="str">
        <f>IFERROR(__xludf.DUMMYFUNCTION("""COMPUTED_VALUE"""),"がるまに")</f>
        <v>がるまに</v>
      </c>
      <c r="R4975" s="22"/>
      <c r="S4975" s="22" t="str">
        <f>IFERROR(__xludf.DUMMYFUNCTION("""COMPUTED_VALUE"""),"20260331_ナンバーナイン_執着溺愛エリート後輩雛木君はとろ甘デカクリ開発で彼氏持ちの私を略奪しました。【R-18版】")</f>
        <v>20260331_ナンバーナイン_執着溺愛エリート後輩雛木君はとろ甘デカクリ開発で彼氏持ちの私を略奪しました。【R-18版】</v>
      </c>
      <c r="T4975" s="22" t="str">
        <f>IFERROR(__xludf.DUMMYFUNCTION("""COMPUTED_VALUE"""),"格納済み")</f>
        <v>格納済み</v>
      </c>
      <c r="U4975" s="9" t="str">
        <f>IFERROR(__xludf.DUMMYFUNCTION("""COMPUTED_VALUE"""),"(C)藤咲ふじこ／ナンバーナイン")</f>
        <v>(C)藤咲ふじこ／ナンバーナイン</v>
      </c>
      <c r="V4975" s="8"/>
      <c r="W4975" s="8"/>
      <c r="X4975" s="8" t="str">
        <f>IFERROR(__xludf.DUMMYFUNCTION("""COMPUTED_VALUE"""),"有")</f>
        <v>有</v>
      </c>
      <c r="Y4975" s="8" t="str">
        <f>IFERROR(__xludf.DUMMYFUNCTION("""COMPUTED_VALUE"""),"P7まで")</f>
        <v>P7まで</v>
      </c>
      <c r="Z4975" s="7"/>
      <c r="AA4975" s="7"/>
      <c r="AB4975" s="7"/>
    </row>
    <row r="4976" ht="15.75" customHeight="1">
      <c r="A4976" s="26">
        <f>IFERROR(__xludf.DUMMYFUNCTION("""COMPUTED_VALUE"""),7594.0)</f>
        <v>7594</v>
      </c>
      <c r="B4976" s="22" t="str">
        <f>IFERROR(__xludf.DUMMYFUNCTION("""COMPUTED_VALUE"""),"確定")</f>
        <v>確定</v>
      </c>
      <c r="C4976" s="28">
        <f>IFERROR(__xludf.DUMMYFUNCTION("""COMPUTED_VALUE"""),46085.0)</f>
        <v>46085</v>
      </c>
      <c r="D4976" s="28">
        <f>IFERROR(__xludf.DUMMYFUNCTION("""COMPUTED_VALUE"""),46113.0)</f>
        <v>46113</v>
      </c>
      <c r="E4976" s="26">
        <f>IFERROR(__xludf.DUMMYFUNCTION("""COMPUTED_VALUE"""),358191.0)</f>
        <v>358191</v>
      </c>
      <c r="F4976" s="22" t="str">
        <f>IFERROR(__xludf.DUMMYFUNCTION("""COMPUTED_VALUE"""),"xxできないと死ぬ＜３DAYS＞【タテヨミ】")</f>
        <v>xxできないと死ぬ＜３DAYS＞【タテヨミ】</v>
      </c>
      <c r="G4976" s="20" t="str">
        <f>IFERROR(__xludf.DUMMYFUNCTION("""COMPUTED_VALUE"""),"1~6")</f>
        <v>1~6</v>
      </c>
      <c r="H4976" s="22" t="str">
        <f>IFERROR(__xludf.DUMMYFUNCTION("""COMPUTED_VALUE"""),"ZED")</f>
        <v>ZED</v>
      </c>
      <c r="I4976" s="22" t="str">
        <f>IFERROR(__xludf.DUMMYFUNCTION("""COMPUTED_VALUE"""),"BL")</f>
        <v>BL</v>
      </c>
      <c r="J4976" s="22"/>
      <c r="K4976" s="22" t="str">
        <f>IFERROR(__xludf.DUMMYFUNCTION("""COMPUTED_VALUE"""),"SZ Media")</f>
        <v>SZ Media</v>
      </c>
      <c r="L4976" s="22" t="str">
        <f>IFERROR(__xludf.DUMMYFUNCTION("""COMPUTED_VALUE"""),"主婦の友社")</f>
        <v>主婦の友社</v>
      </c>
      <c r="M4976" s="33">
        <f>IFERROR(__xludf.DUMMYFUNCTION("""COMPUTED_VALUE"""),46136.0)</f>
        <v>46136</v>
      </c>
      <c r="N4976" s="33">
        <f>IFERROR(__xludf.DUMMYFUNCTION("""COMPUTED_VALUE"""),46226.0)</f>
        <v>46226</v>
      </c>
      <c r="O4976" s="20"/>
      <c r="P4976" s="32" t="str">
        <f>IFERROR(__xludf.DUMMYFUNCTION("""COMPUTED_VALUE"""),"可")</f>
        <v>可</v>
      </c>
      <c r="Q4976" s="30"/>
      <c r="R4976" s="22" t="str">
        <f>IFERROR(__xludf.DUMMYFUNCTION("""COMPUTED_VALUE"""),"コミットOK")</f>
        <v>コミットOK</v>
      </c>
      <c r="S4976" s="22" t="str">
        <f>IFERROR(__xludf.DUMMYFUNCTION("""COMPUTED_VALUE"""),"20260326_主婦の友社_3 DAYS")</f>
        <v>20260326_主婦の友社_3 DAYS</v>
      </c>
      <c r="T4976" s="22" t="str">
        <f>IFERROR(__xludf.DUMMYFUNCTION("""COMPUTED_VALUE"""),"格納済み")</f>
        <v>格納済み</v>
      </c>
      <c r="U4976" s="9" t="str">
        <f>IFERROR(__xludf.DUMMYFUNCTION("""COMPUTED_VALUE"""),"ⓒZED / Jaedam")</f>
        <v>ⓒZED / Jaedam</v>
      </c>
      <c r="V4976" s="8"/>
      <c r="W4976" s="8"/>
      <c r="X4976" s="8" t="str">
        <f>IFERROR(__xludf.DUMMYFUNCTION("""COMPUTED_VALUE"""),"有")</f>
        <v>有</v>
      </c>
      <c r="Y4976" s="8" t="str">
        <f>IFERROR(__xludf.DUMMYFUNCTION("""COMPUTED_VALUE"""),"1巻無料")</f>
        <v>1巻無料</v>
      </c>
      <c r="Z4976" s="7"/>
      <c r="AA4976" s="7"/>
      <c r="AB4976" s="7"/>
    </row>
    <row r="4977" ht="15.75" customHeight="1">
      <c r="A4977" s="26">
        <f>IFERROR(__xludf.DUMMYFUNCTION("""COMPUTED_VALUE"""),7595.0)</f>
        <v>7595</v>
      </c>
      <c r="B4977" s="22" t="str">
        <f>IFERROR(__xludf.DUMMYFUNCTION("""COMPUTED_VALUE"""),"確定")</f>
        <v>確定</v>
      </c>
      <c r="C4977" s="28">
        <f>IFERROR(__xludf.DUMMYFUNCTION("""COMPUTED_VALUE"""),46085.0)</f>
        <v>46085</v>
      </c>
      <c r="D4977" s="28">
        <f>IFERROR(__xludf.DUMMYFUNCTION("""COMPUTED_VALUE"""),46113.0)</f>
        <v>46113</v>
      </c>
      <c r="E4977" s="26">
        <f>IFERROR(__xludf.DUMMYFUNCTION("""COMPUTED_VALUE"""),358189.0)</f>
        <v>358189</v>
      </c>
      <c r="F4977" s="22" t="str">
        <f>IFERROR(__xludf.DUMMYFUNCTION("""COMPUTED_VALUE"""),"xxできないと死ぬ＜成立遅延中＞【タテヨミ】")</f>
        <v>xxできないと死ぬ＜成立遅延中＞【タテヨミ】</v>
      </c>
      <c r="G4977" s="20" t="str">
        <f>IFERROR(__xludf.DUMMYFUNCTION("""COMPUTED_VALUE"""),"1～4")</f>
        <v>1～4</v>
      </c>
      <c r="H4977" s="22" t="str">
        <f>IFERROR(__xludf.DUMMYFUNCTION("""COMPUTED_VALUE"""),"Choi YuJin┴KangJiyong")</f>
        <v>Choi YuJin┴KangJiyong</v>
      </c>
      <c r="I4977" s="22" t="str">
        <f>IFERROR(__xludf.DUMMYFUNCTION("""COMPUTED_VALUE"""),"BL")</f>
        <v>BL</v>
      </c>
      <c r="J4977" s="22"/>
      <c r="K4977" s="22" t="str">
        <f>IFERROR(__xludf.DUMMYFUNCTION("""COMPUTED_VALUE"""),"SZ Media")</f>
        <v>SZ Media</v>
      </c>
      <c r="L4977" s="22" t="str">
        <f>IFERROR(__xludf.DUMMYFUNCTION("""COMPUTED_VALUE"""),"主婦の友社")</f>
        <v>主婦の友社</v>
      </c>
      <c r="M4977" s="33">
        <f>IFERROR(__xludf.DUMMYFUNCTION("""COMPUTED_VALUE"""),46136.0)</f>
        <v>46136</v>
      </c>
      <c r="N4977" s="33">
        <f>IFERROR(__xludf.DUMMYFUNCTION("""COMPUTED_VALUE"""),46226.0)</f>
        <v>46226</v>
      </c>
      <c r="O4977" s="20"/>
      <c r="P4977" s="32" t="str">
        <f>IFERROR(__xludf.DUMMYFUNCTION("""COMPUTED_VALUE"""),"可")</f>
        <v>可</v>
      </c>
      <c r="Q4977" s="30"/>
      <c r="R4977" s="22" t="str">
        <f>IFERROR(__xludf.DUMMYFUNCTION("""COMPUTED_VALUE"""),"コミットOK")</f>
        <v>コミットOK</v>
      </c>
      <c r="S4977" s="22" t="str">
        <f>IFERROR(__xludf.DUMMYFUNCTION("""COMPUTED_VALUE"""),"20260326_主婦の友社_成立遅延中")</f>
        <v>20260326_主婦の友社_成立遅延中</v>
      </c>
      <c r="T4977" s="22" t="str">
        <f>IFERROR(__xludf.DUMMYFUNCTION("""COMPUTED_VALUE"""),"格納済み")</f>
        <v>格納済み</v>
      </c>
      <c r="U4977" s="9" t="str">
        <f>IFERROR(__xludf.DUMMYFUNCTION("""COMPUTED_VALUE"""),"ⓒCYJ, KJY / Jaedam")</f>
        <v>ⓒCYJ, KJY / Jaedam</v>
      </c>
      <c r="V4977" s="8"/>
      <c r="W4977" s="8"/>
      <c r="X4977" s="8" t="str">
        <f>IFERROR(__xludf.DUMMYFUNCTION("""COMPUTED_VALUE"""),"有")</f>
        <v>有</v>
      </c>
      <c r="Y4977" s="8" t="str">
        <f>IFERROR(__xludf.DUMMYFUNCTION("""COMPUTED_VALUE"""),"1巻無料")</f>
        <v>1巻無料</v>
      </c>
      <c r="Z4977" s="7"/>
      <c r="AA4977" s="7"/>
      <c r="AB4977" s="7"/>
    </row>
    <row r="4978" ht="15.75" customHeight="1">
      <c r="A4978" s="26">
        <f>IFERROR(__xludf.DUMMYFUNCTION("""COMPUTED_VALUE"""),7596.0)</f>
        <v>7596</v>
      </c>
      <c r="B4978" s="22" t="str">
        <f>IFERROR(__xludf.DUMMYFUNCTION("""COMPUTED_VALUE"""),"確定")</f>
        <v>確定</v>
      </c>
      <c r="C4978" s="28">
        <f>IFERROR(__xludf.DUMMYFUNCTION("""COMPUTED_VALUE"""),46085.0)</f>
        <v>46085</v>
      </c>
      <c r="D4978" s="28">
        <f>IFERROR(__xludf.DUMMYFUNCTION("""COMPUTED_VALUE"""),46113.0)</f>
        <v>46113</v>
      </c>
      <c r="E4978" s="26">
        <f>IFERROR(__xludf.DUMMYFUNCTION("""COMPUTED_VALUE"""),358187.0)</f>
        <v>358187</v>
      </c>
      <c r="F4978" s="22" t="str">
        <f>IFERROR(__xludf.DUMMYFUNCTION("""COMPUTED_VALUE"""),"xxできないと死ぬ＜Sトキシン＞【タテヨミ】")</f>
        <v>xxできないと死ぬ＜Sトキシン＞【タテヨミ】</v>
      </c>
      <c r="G4978" s="20" t="str">
        <f>IFERROR(__xludf.DUMMYFUNCTION("""COMPUTED_VALUE"""),"1~6")</f>
        <v>1~6</v>
      </c>
      <c r="H4978" s="22" t="str">
        <f>IFERROR(__xludf.DUMMYFUNCTION("""COMPUTED_VALUE"""),"YUNO")</f>
        <v>YUNO</v>
      </c>
      <c r="I4978" s="22" t="str">
        <f>IFERROR(__xludf.DUMMYFUNCTION("""COMPUTED_VALUE"""),"BL")</f>
        <v>BL</v>
      </c>
      <c r="J4978" s="22"/>
      <c r="K4978" s="22" t="str">
        <f>IFERROR(__xludf.DUMMYFUNCTION("""COMPUTED_VALUE"""),"SZ Media")</f>
        <v>SZ Media</v>
      </c>
      <c r="L4978" s="22" t="str">
        <f>IFERROR(__xludf.DUMMYFUNCTION("""COMPUTED_VALUE"""),"主婦の友社")</f>
        <v>主婦の友社</v>
      </c>
      <c r="M4978" s="33">
        <f>IFERROR(__xludf.DUMMYFUNCTION("""COMPUTED_VALUE"""),46136.0)</f>
        <v>46136</v>
      </c>
      <c r="N4978" s="33">
        <f>IFERROR(__xludf.DUMMYFUNCTION("""COMPUTED_VALUE"""),46226.0)</f>
        <v>46226</v>
      </c>
      <c r="O4978" s="20"/>
      <c r="P4978" s="32" t="str">
        <f>IFERROR(__xludf.DUMMYFUNCTION("""COMPUTED_VALUE"""),"可")</f>
        <v>可</v>
      </c>
      <c r="Q4978" s="30"/>
      <c r="R4978" s="22" t="str">
        <f>IFERROR(__xludf.DUMMYFUNCTION("""COMPUTED_VALUE"""),"コミットOK")</f>
        <v>コミットOK</v>
      </c>
      <c r="S4978" s="22" t="str">
        <f>IFERROR(__xludf.DUMMYFUNCTION("""COMPUTED_VALUE"""),"20260326_主婦の友社_Sトキシン")</f>
        <v>20260326_主婦の友社_Sトキシン</v>
      </c>
      <c r="T4978" s="22" t="str">
        <f>IFERROR(__xludf.DUMMYFUNCTION("""COMPUTED_VALUE"""),"格納済み")</f>
        <v>格納済み</v>
      </c>
      <c r="U4978" s="9" t="str">
        <f>IFERROR(__xludf.DUMMYFUNCTION("""COMPUTED_VALUE"""),"ⓒYUNO / Jaedam")</f>
        <v>ⓒYUNO / Jaedam</v>
      </c>
      <c r="V4978" s="8"/>
      <c r="W4978" s="8"/>
      <c r="X4978" s="8" t="str">
        <f>IFERROR(__xludf.DUMMYFUNCTION("""COMPUTED_VALUE"""),"有")</f>
        <v>有</v>
      </c>
      <c r="Y4978" s="8" t="str">
        <f>IFERROR(__xludf.DUMMYFUNCTION("""COMPUTED_VALUE"""),"1巻無料")</f>
        <v>1巻無料</v>
      </c>
      <c r="Z4978" s="7"/>
      <c r="AA4978" s="7"/>
      <c r="AB4978" s="7"/>
    </row>
    <row r="4979" ht="15.75" customHeight="1">
      <c r="A4979" s="26">
        <f>IFERROR(__xludf.DUMMYFUNCTION("""COMPUTED_VALUE"""),7597.0)</f>
        <v>7597</v>
      </c>
      <c r="B4979" s="22" t="str">
        <f>IFERROR(__xludf.DUMMYFUNCTION("""COMPUTED_VALUE"""),"確定")</f>
        <v>確定</v>
      </c>
      <c r="C4979" s="28">
        <f>IFERROR(__xludf.DUMMYFUNCTION("""COMPUTED_VALUE"""),46085.0)</f>
        <v>46085</v>
      </c>
      <c r="D4979" s="28">
        <f>IFERROR(__xludf.DUMMYFUNCTION("""COMPUTED_VALUE"""),46113.0)</f>
        <v>46113</v>
      </c>
      <c r="E4979" s="26">
        <f>IFERROR(__xludf.DUMMYFUNCTION("""COMPUTED_VALUE"""),358188.0)</f>
        <v>358188</v>
      </c>
      <c r="F4979" s="22" t="str">
        <f>IFERROR(__xludf.DUMMYFUNCTION("""COMPUTED_VALUE"""),"xxできないと死ぬ＜ビゲパを止めてください＞【タテヨミ】")</f>
        <v>xxできないと死ぬ＜ビゲパを止めてください＞【タテヨミ】</v>
      </c>
      <c r="G4979" s="20" t="str">
        <f>IFERROR(__xludf.DUMMYFUNCTION("""COMPUTED_VALUE"""),"1～5")</f>
        <v>1～5</v>
      </c>
      <c r="H4979" s="22" t="str">
        <f>IFERROR(__xludf.DUMMYFUNCTION("""COMPUTED_VALUE"""),"ROAL")</f>
        <v>ROAL</v>
      </c>
      <c r="I4979" s="22" t="str">
        <f>IFERROR(__xludf.DUMMYFUNCTION("""COMPUTED_VALUE"""),"BL")</f>
        <v>BL</v>
      </c>
      <c r="J4979" s="22"/>
      <c r="K4979" s="22" t="str">
        <f>IFERROR(__xludf.DUMMYFUNCTION("""COMPUTED_VALUE"""),"SZ Media")</f>
        <v>SZ Media</v>
      </c>
      <c r="L4979" s="22" t="str">
        <f>IFERROR(__xludf.DUMMYFUNCTION("""COMPUTED_VALUE"""),"主婦の友社")</f>
        <v>主婦の友社</v>
      </c>
      <c r="M4979" s="33">
        <f>IFERROR(__xludf.DUMMYFUNCTION("""COMPUTED_VALUE"""),46136.0)</f>
        <v>46136</v>
      </c>
      <c r="N4979" s="33">
        <f>IFERROR(__xludf.DUMMYFUNCTION("""COMPUTED_VALUE"""),46226.0)</f>
        <v>46226</v>
      </c>
      <c r="O4979" s="20"/>
      <c r="P4979" s="32" t="str">
        <f>IFERROR(__xludf.DUMMYFUNCTION("""COMPUTED_VALUE"""),"可")</f>
        <v>可</v>
      </c>
      <c r="Q4979" s="30"/>
      <c r="R4979" s="22" t="str">
        <f>IFERROR(__xludf.DUMMYFUNCTION("""COMPUTED_VALUE"""),"コミットOK")</f>
        <v>コミットOK</v>
      </c>
      <c r="S4979" s="22" t="str">
        <f>IFERROR(__xludf.DUMMYFUNCTION("""COMPUTED_VALUE"""),"20260326_主婦の友社_ビゲパを止めてください！")</f>
        <v>20260326_主婦の友社_ビゲパを止めてください！</v>
      </c>
      <c r="T4979" s="22" t="str">
        <f>IFERROR(__xludf.DUMMYFUNCTION("""COMPUTED_VALUE"""),"格納済み")</f>
        <v>格納済み</v>
      </c>
      <c r="U4979" s="9" t="str">
        <f>IFERROR(__xludf.DUMMYFUNCTION("""COMPUTED_VALUE"""),"ⓒROAL / Jaedam")</f>
        <v>ⓒROAL / Jaedam</v>
      </c>
      <c r="V4979" s="8"/>
      <c r="W4979" s="8"/>
      <c r="X4979" s="8" t="str">
        <f>IFERROR(__xludf.DUMMYFUNCTION("""COMPUTED_VALUE"""),"有")</f>
        <v>有</v>
      </c>
      <c r="Y4979" s="8" t="str">
        <f>IFERROR(__xludf.DUMMYFUNCTION("""COMPUTED_VALUE"""),"1巻無料")</f>
        <v>1巻無料</v>
      </c>
      <c r="Z4979" s="7"/>
      <c r="AA4979" s="7"/>
      <c r="AB4979" s="7"/>
    </row>
    <row r="4980" ht="15.75" customHeight="1">
      <c r="A4980" s="26">
        <f>IFERROR(__xludf.DUMMYFUNCTION("""COMPUTED_VALUE"""),7598.0)</f>
        <v>7598</v>
      </c>
      <c r="B4980" s="22" t="str">
        <f>IFERROR(__xludf.DUMMYFUNCTION("""COMPUTED_VALUE"""),"確定")</f>
        <v>確定</v>
      </c>
      <c r="C4980" s="28">
        <f>IFERROR(__xludf.DUMMYFUNCTION("""COMPUTED_VALUE"""),46085.0)</f>
        <v>46085</v>
      </c>
      <c r="D4980" s="28">
        <f>IFERROR(__xludf.DUMMYFUNCTION("""COMPUTED_VALUE"""),46113.0)</f>
        <v>46113</v>
      </c>
      <c r="E4980" s="26">
        <f>IFERROR(__xludf.DUMMYFUNCTION("""COMPUTED_VALUE"""),358190.0)</f>
        <v>358190</v>
      </c>
      <c r="F4980" s="22" t="str">
        <f>IFERROR(__xludf.DUMMYFUNCTION("""COMPUTED_VALUE"""),"xxできないと死ぬ＜聖なる教祖様＞【タテヨミ】")</f>
        <v>xxできないと死ぬ＜聖なる教祖様＞【タテヨミ】</v>
      </c>
      <c r="G4980" s="20" t="str">
        <f>IFERROR(__xludf.DUMMYFUNCTION("""COMPUTED_VALUE"""),"1～5")</f>
        <v>1～5</v>
      </c>
      <c r="H4980" s="22" t="str">
        <f>IFERROR(__xludf.DUMMYFUNCTION("""COMPUTED_VALUE"""),"JJUJJU")</f>
        <v>JJUJJU</v>
      </c>
      <c r="I4980" s="22" t="str">
        <f>IFERROR(__xludf.DUMMYFUNCTION("""COMPUTED_VALUE"""),"BLマンガ")</f>
        <v>BLマンガ</v>
      </c>
      <c r="J4980" s="22"/>
      <c r="K4980" s="22" t="str">
        <f>IFERROR(__xludf.DUMMYFUNCTION("""COMPUTED_VALUE"""),"SZ Media")</f>
        <v>SZ Media</v>
      </c>
      <c r="L4980" s="22" t="str">
        <f>IFERROR(__xludf.DUMMYFUNCTION("""COMPUTED_VALUE"""),"主婦の友社")</f>
        <v>主婦の友社</v>
      </c>
      <c r="M4980" s="33">
        <f>IFERROR(__xludf.DUMMYFUNCTION("""COMPUTED_VALUE"""),46136.0)</f>
        <v>46136</v>
      </c>
      <c r="N4980" s="33">
        <f>IFERROR(__xludf.DUMMYFUNCTION("""COMPUTED_VALUE"""),46226.0)</f>
        <v>46226</v>
      </c>
      <c r="O4980" s="20"/>
      <c r="P4980" s="32" t="str">
        <f>IFERROR(__xludf.DUMMYFUNCTION("""COMPUTED_VALUE"""),"可")</f>
        <v>可</v>
      </c>
      <c r="Q4980" s="30"/>
      <c r="R4980" s="22" t="str">
        <f>IFERROR(__xludf.DUMMYFUNCTION("""COMPUTED_VALUE"""),"コミットOK")</f>
        <v>コミットOK</v>
      </c>
      <c r="S4980" s="22" t="str">
        <f>IFERROR(__xludf.DUMMYFUNCTION("""COMPUTED_VALUE"""),"20260326_主婦の友社_聖なる教祖様")</f>
        <v>20260326_主婦の友社_聖なる教祖様</v>
      </c>
      <c r="T4980" s="22" t="str">
        <f>IFERROR(__xludf.DUMMYFUNCTION("""COMPUTED_VALUE"""),"格納済み")</f>
        <v>格納済み</v>
      </c>
      <c r="U4980" s="9" t="str">
        <f>IFERROR(__xludf.DUMMYFUNCTION("""COMPUTED_VALUE"""),"ⓒJJUJJU / Jaedam")</f>
        <v>ⓒJJUJJU / Jaedam</v>
      </c>
      <c r="V4980" s="8"/>
      <c r="W4980" s="8"/>
      <c r="X4980" s="8" t="str">
        <f>IFERROR(__xludf.DUMMYFUNCTION("""COMPUTED_VALUE"""),"有")</f>
        <v>有</v>
      </c>
      <c r="Y4980" s="8" t="str">
        <f>IFERROR(__xludf.DUMMYFUNCTION("""COMPUTED_VALUE"""),"1巻無料")</f>
        <v>1巻無料</v>
      </c>
      <c r="Z4980" s="7"/>
      <c r="AA4980" s="7"/>
      <c r="AB4980" s="7"/>
    </row>
    <row r="4981" ht="15.75" customHeight="1">
      <c r="A4981" s="26">
        <f>IFERROR(__xludf.DUMMYFUNCTION("""COMPUTED_VALUE"""),7600.0)</f>
        <v>7600</v>
      </c>
      <c r="B4981" s="22" t="str">
        <f>IFERROR(__xludf.DUMMYFUNCTION("""COMPUTED_VALUE"""),"確定")</f>
        <v>確定</v>
      </c>
      <c r="C4981" s="28">
        <f>IFERROR(__xludf.DUMMYFUNCTION("""COMPUTED_VALUE"""),46085.0)</f>
        <v>46085</v>
      </c>
      <c r="D4981" s="28">
        <f>IFERROR(__xludf.DUMMYFUNCTION("""COMPUTED_VALUE"""),46113.0)</f>
        <v>46113</v>
      </c>
      <c r="E4981" s="26">
        <f>IFERROR(__xludf.DUMMYFUNCTION("""COMPUTED_VALUE"""),358003.0)</f>
        <v>358003</v>
      </c>
      <c r="F4981" s="22" t="str">
        <f>IFERROR(__xludf.DUMMYFUNCTION("""COMPUTED_VALUE"""),"甘くて重い公爵様と私のヤンデレ更生生活")</f>
        <v>甘くて重い公爵様と私のヤンデレ更生生活</v>
      </c>
      <c r="G4981" s="20" t="str">
        <f>IFERROR(__xludf.DUMMYFUNCTION("""COMPUTED_VALUE"""),"1~3")</f>
        <v>1~3</v>
      </c>
      <c r="H4981" s="22" t="str">
        <f>IFERROR(__xludf.DUMMYFUNCTION("""COMPUTED_VALUE"""),"原作：紫音ふみ、漫画：西さんた")</f>
        <v>原作：紫音ふみ、漫画：西さんた</v>
      </c>
      <c r="I4981" s="22" t="str">
        <f>IFERROR(__xludf.DUMMYFUNCTION("""COMPUTED_VALUE"""),"女性マンガ")</f>
        <v>女性マンガ</v>
      </c>
      <c r="J4981" s="22"/>
      <c r="K4981" s="22"/>
      <c r="L4981" s="22" t="str">
        <f>IFERROR(__xludf.DUMMYFUNCTION("""COMPUTED_VALUE"""),"幻冬舎")</f>
        <v>幻冬舎</v>
      </c>
      <c r="M4981" s="33">
        <f>IFERROR(__xludf.DUMMYFUNCTION("""COMPUTED_VALUE"""),46129.0)</f>
        <v>46129</v>
      </c>
      <c r="N4981" s="33">
        <f>IFERROR(__xludf.DUMMYFUNCTION("""COMPUTED_VALUE"""),46219.0)</f>
        <v>46219</v>
      </c>
      <c r="O4981" s="20"/>
      <c r="P4981" s="32" t="str">
        <f>IFERROR(__xludf.DUMMYFUNCTION("""COMPUTED_VALUE"""),"可")</f>
        <v>可</v>
      </c>
      <c r="Q4981" s="30"/>
      <c r="R4981" s="22" t="str">
        <f>IFERROR(__xludf.DUMMYFUNCTION("""COMPUTED_VALUE"""),"コミットNG")</f>
        <v>コミットNG</v>
      </c>
      <c r="S4981" s="22" t="str">
        <f>IFERROR(__xludf.DUMMYFUNCTION("""COMPUTED_VALUE"""),"20260327_幻冬舎_甘くて重い公爵様と私のヤンデレ更生生活")</f>
        <v>20260327_幻冬舎_甘くて重い公爵様と私のヤンデレ更生生活</v>
      </c>
      <c r="T4981" s="22" t="str">
        <f>IFERROR(__xludf.DUMMYFUNCTION("""COMPUTED_VALUE"""),"格納済み")</f>
        <v>格納済み</v>
      </c>
      <c r="U4981" s="9" t="str">
        <f>IFERROR(__xludf.DUMMYFUNCTION("""COMPUTED_VALUE"""),"（ｃ）紫音ふみ／西さんた／幻冬舎")</f>
        <v>（ｃ）紫音ふみ／西さんた／幻冬舎</v>
      </c>
      <c r="V4981" s="8"/>
      <c r="W4981" s="8"/>
      <c r="X4981" s="8" t="str">
        <f>IFERROR(__xludf.DUMMYFUNCTION("""COMPUTED_VALUE"""),"有")</f>
        <v>有</v>
      </c>
      <c r="Y4981" s="8" t="str">
        <f>IFERROR(__xludf.DUMMYFUNCTION("""COMPUTED_VALUE"""),"P3まで")</f>
        <v>P3まで</v>
      </c>
      <c r="Z4981" s="7"/>
      <c r="AA4981" s="7"/>
      <c r="AB4981" s="7"/>
    </row>
    <row r="4982" ht="15.75" customHeight="1">
      <c r="A4982" s="26">
        <f>IFERROR(__xludf.DUMMYFUNCTION("""COMPUTED_VALUE"""),7606.0)</f>
        <v>7606</v>
      </c>
      <c r="B4982" s="22" t="str">
        <f>IFERROR(__xludf.DUMMYFUNCTION("""COMPUTED_VALUE"""),"確定")</f>
        <v>確定</v>
      </c>
      <c r="C4982" s="28">
        <f>IFERROR(__xludf.DUMMYFUNCTION("""COMPUTED_VALUE"""),46086.0)</f>
        <v>46086</v>
      </c>
      <c r="D4982" s="28">
        <f>IFERROR(__xludf.DUMMYFUNCTION("""COMPUTED_VALUE"""),46113.0)</f>
        <v>46113</v>
      </c>
      <c r="E4982" s="26">
        <f>IFERROR(__xludf.DUMMYFUNCTION("""COMPUTED_VALUE"""),357800.0)</f>
        <v>357800</v>
      </c>
      <c r="F4982" s="22" t="str">
        <f>IFERROR(__xludf.DUMMYFUNCTION("""COMPUTED_VALUE"""),"都市伝説清掃員 連載版")</f>
        <v>都市伝説清掃員 連載版</v>
      </c>
      <c r="G4982" s="20" t="str">
        <f>IFERROR(__xludf.DUMMYFUNCTION("""COMPUTED_VALUE"""),"1～4")</f>
        <v>1～4</v>
      </c>
      <c r="H4982" s="22" t="str">
        <f>IFERROR(__xludf.DUMMYFUNCTION("""COMPUTED_VALUE"""),"宙埜つき")</f>
        <v>宙埜つき</v>
      </c>
      <c r="I4982" s="22" t="str">
        <f>IFERROR(__xludf.DUMMYFUNCTION("""COMPUTED_VALUE"""),"青年マンガ")</f>
        <v>青年マンガ</v>
      </c>
      <c r="J4982" s="22"/>
      <c r="K4982" s="22"/>
      <c r="L4982" s="22" t="str">
        <f>IFERROR(__xludf.DUMMYFUNCTION("""COMPUTED_VALUE"""),"ブシロードワークス")</f>
        <v>ブシロードワークス</v>
      </c>
      <c r="M4982" s="33">
        <f>IFERROR(__xludf.DUMMYFUNCTION("""COMPUTED_VALUE"""),46123.0)</f>
        <v>46123</v>
      </c>
      <c r="N4982" s="33">
        <f>IFERROR(__xludf.DUMMYFUNCTION("""COMPUTED_VALUE"""),46150.0)</f>
        <v>46150</v>
      </c>
      <c r="O4982" s="20"/>
      <c r="P4982" s="32" t="str">
        <f>IFERROR(__xludf.DUMMYFUNCTION("""COMPUTED_VALUE"""),"可")</f>
        <v>可</v>
      </c>
      <c r="Q4982" s="30" t="str">
        <f>IFERROR(__xludf.DUMMYFUNCTION("""COMPUTED_VALUE"""),"・都市伝説がテーマな為、ホラー要素もあり、インパクトのある描写も多い作品となります。&lt;BR&gt;")</f>
        <v>・都市伝説がテーマな為、ホラー要素もあり、インパクトのある描写も多い作品となります。&lt;BR&gt;</v>
      </c>
      <c r="R4982" s="22" t="str">
        <f>IFERROR(__xludf.DUMMYFUNCTION("""COMPUTED_VALUE"""),"コミットNG")</f>
        <v>コミットNG</v>
      </c>
      <c r="S4982" s="22" t="str">
        <f>IFERROR(__xludf.DUMMYFUNCTION("""COMPUTED_VALUE"""),"20260327_ブシロードワークス_都市伝説清掃員 連載版")</f>
        <v>20260327_ブシロードワークス_都市伝説清掃員 連載版</v>
      </c>
      <c r="T4982" s="22" t="str">
        <f>IFERROR(__xludf.DUMMYFUNCTION("""COMPUTED_VALUE"""),"格納済み")</f>
        <v>格納済み</v>
      </c>
      <c r="U4982" s="9" t="str">
        <f>IFERROR(__xludf.DUMMYFUNCTION("""COMPUTED_VALUE"""),"ⒸTsuki Sorano / BUSHIROAD WORKS")</f>
        <v>ⒸTsuki Sorano / BUSHIROAD WORKS</v>
      </c>
      <c r="V4982" s="8"/>
      <c r="W4982" s="8"/>
      <c r="X4982" s="8" t="str">
        <f>IFERROR(__xludf.DUMMYFUNCTION("""COMPUTED_VALUE"""),"有")</f>
        <v>有</v>
      </c>
      <c r="Y4982" s="8" t="str">
        <f>IFERROR(__xludf.DUMMYFUNCTION("""COMPUTED_VALUE"""),"2026/5/8まで1~2巻無料")</f>
        <v>2026/5/8まで1~2巻無料</v>
      </c>
      <c r="Z4982" s="7"/>
      <c r="AA4982" s="7"/>
      <c r="AB4982" s="7"/>
    </row>
    <row r="4983" ht="15.75" customHeight="1">
      <c r="A4983" s="26">
        <f>IFERROR(__xludf.DUMMYFUNCTION("""COMPUTED_VALUE"""),7648.0)</f>
        <v>7648</v>
      </c>
      <c r="B4983" s="22" t="str">
        <f>IFERROR(__xludf.DUMMYFUNCTION("""COMPUTED_VALUE"""),"確定")</f>
        <v>確定</v>
      </c>
      <c r="C4983" s="28">
        <f>IFERROR(__xludf.DUMMYFUNCTION("""COMPUTED_VALUE"""),46093.0)</f>
        <v>46093</v>
      </c>
      <c r="D4983" s="28">
        <f>IFERROR(__xludf.DUMMYFUNCTION("""COMPUTED_VALUE"""),46113.0)</f>
        <v>46113</v>
      </c>
      <c r="E4983" s="26">
        <f>IFERROR(__xludf.DUMMYFUNCTION("""COMPUTED_VALUE"""),357731.0)</f>
        <v>357731</v>
      </c>
      <c r="F4983" s="22" t="str">
        <f>IFERROR(__xludf.DUMMYFUNCTION("""COMPUTED_VALUE"""),"ご褒美は恋と調教の始まりです(話売り)")</f>
        <v>ご褒美は恋と調教の始まりです(話売り)</v>
      </c>
      <c r="G4983" s="20" t="str">
        <f>IFERROR(__xludf.DUMMYFUNCTION("""COMPUTED_VALUE"""),"1~3")</f>
        <v>1~3</v>
      </c>
      <c r="H4983" s="22" t="str">
        <f>IFERROR(__xludf.DUMMYFUNCTION("""COMPUTED_VALUE"""),"貝原しじみ")</f>
        <v>貝原しじみ</v>
      </c>
      <c r="I4983" s="22" t="str">
        <f>IFERROR(__xludf.DUMMYFUNCTION("""COMPUTED_VALUE"""),"女性")</f>
        <v>女性</v>
      </c>
      <c r="J4983" s="22"/>
      <c r="K4983" s="22"/>
      <c r="L4983" s="22" t="str">
        <f>IFERROR(__xludf.DUMMYFUNCTION("""COMPUTED_VALUE"""),"秋田書店")</f>
        <v>秋田書店</v>
      </c>
      <c r="M4983" s="33">
        <f>IFERROR(__xludf.DUMMYFUNCTION("""COMPUTED_VALUE"""),46143.0)</f>
        <v>46143</v>
      </c>
      <c r="N4983" s="33">
        <f>IFERROR(__xludf.DUMMYFUNCTION("""COMPUTED_VALUE"""),46203.0)</f>
        <v>46203</v>
      </c>
      <c r="O4983" s="20"/>
      <c r="P4983" s="32" t="str">
        <f>IFERROR(__xludf.DUMMYFUNCTION("""COMPUTED_VALUE"""),"否")</f>
        <v>否</v>
      </c>
      <c r="Q4983" s="30" t="str">
        <f>IFERROR(__xludf.DUMMYFUNCTION("""COMPUTED_VALUE"""),"1~2巻の素材で広告制作お願いいたします。&lt;BR&gt;歪んだ性癖を持つハイスぺ男性と、不憫で小動物的な主人公の恋愛漫画です。")</f>
        <v>1~2巻の素材で広告制作お願いいたします。&lt;BR&gt;歪んだ性癖を持つハイスぺ男性と、不憫で小動物的な主人公の恋愛漫画です。</v>
      </c>
      <c r="R4983" s="22" t="str">
        <f>IFERROR(__xludf.DUMMYFUNCTION("""COMPUTED_VALUE"""),"コミットOK")</f>
        <v>コミットOK</v>
      </c>
      <c r="S4983" s="22" t="str">
        <f>IFERROR(__xludf.DUMMYFUNCTION("""COMPUTED_VALUE"""),"20260331_秋田書店_ご褒美は恋と調教のはじまりです(話売り)")</f>
        <v>20260331_秋田書店_ご褒美は恋と調教のはじまりです(話売り)</v>
      </c>
      <c r="T4983" s="22" t="str">
        <f>IFERROR(__xludf.DUMMYFUNCTION("""COMPUTED_VALUE"""),"格納済み")</f>
        <v>格納済み</v>
      </c>
      <c r="U4983" s="9" t="str">
        <f>IFERROR(__xludf.DUMMYFUNCTION("""COMPUTED_VALUE"""),"（C）貝原しじみ（秋田書店）")</f>
        <v>（C）貝原しじみ（秋田書店）</v>
      </c>
      <c r="V4983" s="8"/>
      <c r="W4983" s="8"/>
      <c r="X4983" s="8" t="str">
        <f>IFERROR(__xludf.DUMMYFUNCTION("""COMPUTED_VALUE"""),"有")</f>
        <v>有</v>
      </c>
      <c r="Y4983" s="8" t="str">
        <f>IFERROR(__xludf.DUMMYFUNCTION("""COMPUTED_VALUE"""),"2026/6/30まで1巻無料")</f>
        <v>2026/6/30まで1巻無料</v>
      </c>
      <c r="Z4983" s="7"/>
      <c r="AA4983" s="7"/>
      <c r="AB4983" s="7"/>
    </row>
    <row r="4984" ht="15.75" customHeight="1">
      <c r="A4984" s="26">
        <f>IFERROR(__xludf.DUMMYFUNCTION("""COMPUTED_VALUE"""),7651.0)</f>
        <v>7651</v>
      </c>
      <c r="B4984" s="22" t="str">
        <f>IFERROR(__xludf.DUMMYFUNCTION("""COMPUTED_VALUE"""),"確定")</f>
        <v>確定</v>
      </c>
      <c r="C4984" s="28">
        <f>IFERROR(__xludf.DUMMYFUNCTION("""COMPUTED_VALUE"""),46093.0)</f>
        <v>46093</v>
      </c>
      <c r="D4984" s="28">
        <f>IFERROR(__xludf.DUMMYFUNCTION("""COMPUTED_VALUE"""),46113.0)</f>
        <v>46113</v>
      </c>
      <c r="E4984" s="26">
        <f>IFERROR(__xludf.DUMMYFUNCTION("""COMPUTED_VALUE"""),357682.0)</f>
        <v>357682</v>
      </c>
      <c r="F4984" s="22" t="str">
        <f>IFERROR(__xludf.DUMMYFUNCTION("""COMPUTED_VALUE"""),"殺し屋さんの危うい盲愛に愛玩ペットは抗えない【R-18分冊版】")</f>
        <v>殺し屋さんの危うい盲愛に愛玩ペットは抗えない【R-18分冊版】</v>
      </c>
      <c r="G4984" s="20" t="str">
        <f>IFERROR(__xludf.DUMMYFUNCTION("""COMPUTED_VALUE"""),"1～4")</f>
        <v>1～4</v>
      </c>
      <c r="H4984" s="22" t="str">
        <f>IFERROR(__xludf.DUMMYFUNCTION("""COMPUTED_VALUE"""),"うめのこっぺ")</f>
        <v>うめのこっぺ</v>
      </c>
      <c r="I4984" s="22" t="str">
        <f>IFERROR(__xludf.DUMMYFUNCTION("""COMPUTED_VALUE"""),"アダルトマンガ")</f>
        <v>アダルトマンガ</v>
      </c>
      <c r="J4984" s="22"/>
      <c r="K4984" s="22" t="str">
        <f>IFERROR(__xludf.DUMMYFUNCTION("""COMPUTED_VALUE"""),"GirlsCREATIVE")</f>
        <v>GirlsCREATIVE</v>
      </c>
      <c r="L4984" s="22" t="str">
        <f>IFERROR(__xludf.DUMMYFUNCTION("""COMPUTED_VALUE"""),"DLcomics")</f>
        <v>DLcomics</v>
      </c>
      <c r="M4984" s="33">
        <f>IFERROR(__xludf.DUMMYFUNCTION("""COMPUTED_VALUE"""),46140.0)</f>
        <v>46140</v>
      </c>
      <c r="N4984" s="33">
        <f>IFERROR(__xludf.DUMMYFUNCTION("""COMPUTED_VALUE"""),46173.0)</f>
        <v>46173</v>
      </c>
      <c r="O4984" s="20"/>
      <c r="P4984" s="32" t="str">
        <f>IFERROR(__xludf.DUMMYFUNCTION("""COMPUTED_VALUE"""),"可")</f>
        <v>可</v>
      </c>
      <c r="Q4984" s="30"/>
      <c r="R4984" s="22" t="str">
        <f>IFERROR(__xludf.DUMMYFUNCTION("""COMPUTED_VALUE"""),"コミットOK")</f>
        <v>コミットOK</v>
      </c>
      <c r="S4984" s="22" t="str">
        <f>IFERROR(__xludf.DUMMYFUNCTION("""COMPUTED_VALUE"""),"20260325_DLcomics_殺し屋さんの危うい盲愛に愛玩ペットは抗えない【R-18分冊版】")</f>
        <v>20260325_DLcomics_殺し屋さんの危うい盲愛に愛玩ペットは抗えない【R-18分冊版】</v>
      </c>
      <c r="T4984" s="22" t="str">
        <f>IFERROR(__xludf.DUMMYFUNCTION("""COMPUTED_VALUE"""),"格納済み")</f>
        <v>格納済み</v>
      </c>
      <c r="U4984" s="9" t="str">
        <f>IFERROR(__xludf.DUMMYFUNCTION("""COMPUTED_VALUE"""),"(c)うめのこっぺ/DLcomics")</f>
        <v>(c)うめのこっぺ/DLcomics</v>
      </c>
      <c r="V4984" s="8"/>
      <c r="W4984" s="8"/>
      <c r="X4984" s="8" t="str">
        <f>IFERROR(__xludf.DUMMYFUNCTION("""COMPUTED_VALUE"""),"有")</f>
        <v>有</v>
      </c>
      <c r="Y4984" s="8" t="str">
        <f>IFERROR(__xludf.DUMMYFUNCTION("""COMPUTED_VALUE"""),"P5まで")</f>
        <v>P5まで</v>
      </c>
      <c r="Z4984" s="7"/>
      <c r="AA4984" s="7"/>
      <c r="AB4984" s="7"/>
    </row>
    <row r="4985" ht="15.75" customHeight="1">
      <c r="A4985" s="26">
        <f>IFERROR(__xludf.DUMMYFUNCTION("""COMPUTED_VALUE"""),7652.0)</f>
        <v>7652</v>
      </c>
      <c r="B4985" s="22" t="str">
        <f>IFERROR(__xludf.DUMMYFUNCTION("""COMPUTED_VALUE"""),"確定")</f>
        <v>確定</v>
      </c>
      <c r="C4985" s="28">
        <f>IFERROR(__xludf.DUMMYFUNCTION("""COMPUTED_VALUE"""),46093.0)</f>
        <v>46093</v>
      </c>
      <c r="D4985" s="28">
        <f>IFERROR(__xludf.DUMMYFUNCTION("""COMPUTED_VALUE"""),46113.0)</f>
        <v>46113</v>
      </c>
      <c r="E4985" s="26">
        <f>IFERROR(__xludf.DUMMYFUNCTION("""COMPUTED_VALUE"""),357646.0)</f>
        <v>357646</v>
      </c>
      <c r="F4985" s="22" t="str">
        <f>IFERROR(__xludf.DUMMYFUNCTION("""COMPUTED_VALUE"""),"殺し屋さんの危うい盲愛に愛玩ペットは抗えない【分冊版】")</f>
        <v>殺し屋さんの危うい盲愛に愛玩ペットは抗えない【分冊版】</v>
      </c>
      <c r="G4985" s="20" t="str">
        <f>IFERROR(__xludf.DUMMYFUNCTION("""COMPUTED_VALUE"""),"1～4")</f>
        <v>1～4</v>
      </c>
      <c r="H4985" s="22" t="str">
        <f>IFERROR(__xludf.DUMMYFUNCTION("""COMPUTED_VALUE"""),"うめのこっぺ")</f>
        <v>うめのこっぺ</v>
      </c>
      <c r="I4985" s="22" t="str">
        <f>IFERROR(__xludf.DUMMYFUNCTION("""COMPUTED_VALUE"""),"TLマンガ")</f>
        <v>TLマンガ</v>
      </c>
      <c r="J4985" s="22"/>
      <c r="K4985" s="22" t="str">
        <f>IFERROR(__xludf.DUMMYFUNCTION("""COMPUTED_VALUE"""),"GirlsCREATIVE")</f>
        <v>GirlsCREATIVE</v>
      </c>
      <c r="L4985" s="22" t="str">
        <f>IFERROR(__xludf.DUMMYFUNCTION("""COMPUTED_VALUE"""),"DLcomics")</f>
        <v>DLcomics</v>
      </c>
      <c r="M4985" s="33">
        <f>IFERROR(__xludf.DUMMYFUNCTION("""COMPUTED_VALUE"""),46140.0)</f>
        <v>46140</v>
      </c>
      <c r="N4985" s="33">
        <f>IFERROR(__xludf.DUMMYFUNCTION("""COMPUTED_VALUE"""),46173.0)</f>
        <v>46173</v>
      </c>
      <c r="O4985" s="20"/>
      <c r="P4985" s="32" t="str">
        <f>IFERROR(__xludf.DUMMYFUNCTION("""COMPUTED_VALUE"""),"可")</f>
        <v>可</v>
      </c>
      <c r="Q4985" s="30"/>
      <c r="R4985" s="22" t="str">
        <f>IFERROR(__xludf.DUMMYFUNCTION("""COMPUTED_VALUE"""),"コミットNG")</f>
        <v>コミットNG</v>
      </c>
      <c r="S4985" s="22" t="str">
        <f>IFERROR(__xludf.DUMMYFUNCTION("""COMPUTED_VALUE"""),"20260325_DLcomics_殺し屋さんの危うい盲愛に愛玩ペットは抗えない【分冊版】")</f>
        <v>20260325_DLcomics_殺し屋さんの危うい盲愛に愛玩ペットは抗えない【分冊版】</v>
      </c>
      <c r="T4985" s="22" t="str">
        <f>IFERROR(__xludf.DUMMYFUNCTION("""COMPUTED_VALUE"""),"格納済み")</f>
        <v>格納済み</v>
      </c>
      <c r="U4985" s="9" t="str">
        <f>IFERROR(__xludf.DUMMYFUNCTION("""COMPUTED_VALUE"""),"(c)うめのこっぺ/DLcomics")</f>
        <v>(c)うめのこっぺ/DLcomics</v>
      </c>
      <c r="V4985" s="8"/>
      <c r="W4985" s="8"/>
      <c r="X4985" s="8" t="str">
        <f>IFERROR(__xludf.DUMMYFUNCTION("""COMPUTED_VALUE"""),"有")</f>
        <v>有</v>
      </c>
      <c r="Y4985" s="8" t="str">
        <f>IFERROR(__xludf.DUMMYFUNCTION("""COMPUTED_VALUE"""),"P5まで")</f>
        <v>P5まで</v>
      </c>
      <c r="Z4985" s="7"/>
      <c r="AA4985" s="7"/>
      <c r="AB4985" s="7"/>
    </row>
    <row r="4986" ht="15.75" customHeight="1">
      <c r="A4986" s="26">
        <f>IFERROR(__xludf.DUMMYFUNCTION("""COMPUTED_VALUE"""),7653.0)</f>
        <v>7653</v>
      </c>
      <c r="B4986" s="22" t="str">
        <f>IFERROR(__xludf.DUMMYFUNCTION("""COMPUTED_VALUE"""),"確定")</f>
        <v>確定</v>
      </c>
      <c r="C4986" s="28">
        <f>IFERROR(__xludf.DUMMYFUNCTION("""COMPUTED_VALUE"""),46093.0)</f>
        <v>46093</v>
      </c>
      <c r="D4986" s="28">
        <f>IFERROR(__xludf.DUMMYFUNCTION("""COMPUTED_VALUE"""),46113.0)</f>
        <v>46113</v>
      </c>
      <c r="E4986" s="26">
        <f>IFERROR(__xludf.DUMMYFUNCTION("""COMPUTED_VALUE"""),357685.0)</f>
        <v>357685</v>
      </c>
      <c r="F4986" s="22" t="str">
        <f>IFERROR(__xludf.DUMMYFUNCTION("""COMPUTED_VALUE"""),"#崇拝型病み系アイドル翠くん【R-18分冊版】")</f>
        <v>#崇拝型病み系アイドル翠くん【R-18分冊版】</v>
      </c>
      <c r="G4986" s="20" t="str">
        <f>IFERROR(__xludf.DUMMYFUNCTION("""COMPUTED_VALUE"""),"1～3")</f>
        <v>1～3</v>
      </c>
      <c r="H4986" s="22" t="str">
        <f>IFERROR(__xludf.DUMMYFUNCTION("""COMPUTED_VALUE"""),"うめのこっぺ")</f>
        <v>うめのこっぺ</v>
      </c>
      <c r="I4986" s="22" t="str">
        <f>IFERROR(__xludf.DUMMYFUNCTION("""COMPUTED_VALUE"""),"アダルトマンガ")</f>
        <v>アダルトマンガ</v>
      </c>
      <c r="J4986" s="22"/>
      <c r="K4986" s="22" t="str">
        <f>IFERROR(__xludf.DUMMYFUNCTION("""COMPUTED_VALUE"""),"GirlsCREATIVE")</f>
        <v>GirlsCREATIVE</v>
      </c>
      <c r="L4986" s="22" t="str">
        <f>IFERROR(__xludf.DUMMYFUNCTION("""COMPUTED_VALUE"""),"DLcomics")</f>
        <v>DLcomics</v>
      </c>
      <c r="M4986" s="33">
        <f>IFERROR(__xludf.DUMMYFUNCTION("""COMPUTED_VALUE"""),46140.0)</f>
        <v>46140</v>
      </c>
      <c r="N4986" s="33">
        <f>IFERROR(__xludf.DUMMYFUNCTION("""COMPUTED_VALUE"""),46173.0)</f>
        <v>46173</v>
      </c>
      <c r="O4986" s="20"/>
      <c r="P4986" s="32" t="str">
        <f>IFERROR(__xludf.DUMMYFUNCTION("""COMPUTED_VALUE"""),"可")</f>
        <v>可</v>
      </c>
      <c r="Q4986" s="30"/>
      <c r="R4986" s="22" t="str">
        <f>IFERROR(__xludf.DUMMYFUNCTION("""COMPUTED_VALUE"""),"コミットOK")</f>
        <v>コミットOK</v>
      </c>
      <c r="S4986" s="22" t="str">
        <f>IFERROR(__xludf.DUMMYFUNCTION("""COMPUTED_VALUE"""),"20260325_DLcomics_#崇拝型病み系アイドル翠くん【R-18分冊版】")</f>
        <v>20260325_DLcomics_#崇拝型病み系アイドル翠くん【R-18分冊版】</v>
      </c>
      <c r="T4986" s="22" t="str">
        <f>IFERROR(__xludf.DUMMYFUNCTION("""COMPUTED_VALUE"""),"格納済み")</f>
        <v>格納済み</v>
      </c>
      <c r="U4986" s="9" t="str">
        <f>IFERROR(__xludf.DUMMYFUNCTION("""COMPUTED_VALUE"""),"(c)うめのこっぺ/DLcomics")</f>
        <v>(c)うめのこっぺ/DLcomics</v>
      </c>
      <c r="V4986" s="8"/>
      <c r="W4986" s="8"/>
      <c r="X4986" s="8" t="str">
        <f>IFERROR(__xludf.DUMMYFUNCTION("""COMPUTED_VALUE"""),"有")</f>
        <v>有</v>
      </c>
      <c r="Y4986" s="8" t="str">
        <f>IFERROR(__xludf.DUMMYFUNCTION("""COMPUTED_VALUE"""),"P6まで")</f>
        <v>P6まで</v>
      </c>
      <c r="Z4986" s="7"/>
      <c r="AA4986" s="7"/>
      <c r="AB4986" s="7"/>
    </row>
    <row r="4987" ht="15.75" customHeight="1">
      <c r="A4987" s="26">
        <f>IFERROR(__xludf.DUMMYFUNCTION("""COMPUTED_VALUE"""),7654.0)</f>
        <v>7654</v>
      </c>
      <c r="B4987" s="22" t="str">
        <f>IFERROR(__xludf.DUMMYFUNCTION("""COMPUTED_VALUE"""),"確定")</f>
        <v>確定</v>
      </c>
      <c r="C4987" s="28">
        <f>IFERROR(__xludf.DUMMYFUNCTION("""COMPUTED_VALUE"""),46093.0)</f>
        <v>46093</v>
      </c>
      <c r="D4987" s="28">
        <f>IFERROR(__xludf.DUMMYFUNCTION("""COMPUTED_VALUE"""),46113.0)</f>
        <v>46113</v>
      </c>
      <c r="E4987" s="26">
        <f>IFERROR(__xludf.DUMMYFUNCTION("""COMPUTED_VALUE"""),357648.0)</f>
        <v>357648</v>
      </c>
      <c r="F4987" s="22" t="str">
        <f>IFERROR(__xludf.DUMMYFUNCTION("""COMPUTED_VALUE"""),"#崇拝型病み系アイドル翠くん【分冊版】")</f>
        <v>#崇拝型病み系アイドル翠くん【分冊版】</v>
      </c>
      <c r="G4987" s="20" t="str">
        <f>IFERROR(__xludf.DUMMYFUNCTION("""COMPUTED_VALUE"""),"1～3")</f>
        <v>1～3</v>
      </c>
      <c r="H4987" s="22" t="str">
        <f>IFERROR(__xludf.DUMMYFUNCTION("""COMPUTED_VALUE"""),"うめのこっぺ")</f>
        <v>うめのこっぺ</v>
      </c>
      <c r="I4987" s="22" t="str">
        <f>IFERROR(__xludf.DUMMYFUNCTION("""COMPUTED_VALUE"""),"TLマンガ")</f>
        <v>TLマンガ</v>
      </c>
      <c r="J4987" s="22"/>
      <c r="K4987" s="22" t="str">
        <f>IFERROR(__xludf.DUMMYFUNCTION("""COMPUTED_VALUE"""),"GirlsCREATIVE")</f>
        <v>GirlsCREATIVE</v>
      </c>
      <c r="L4987" s="22" t="str">
        <f>IFERROR(__xludf.DUMMYFUNCTION("""COMPUTED_VALUE"""),"DLcomics")</f>
        <v>DLcomics</v>
      </c>
      <c r="M4987" s="33">
        <f>IFERROR(__xludf.DUMMYFUNCTION("""COMPUTED_VALUE"""),46140.0)</f>
        <v>46140</v>
      </c>
      <c r="N4987" s="33">
        <f>IFERROR(__xludf.DUMMYFUNCTION("""COMPUTED_VALUE"""),46173.0)</f>
        <v>46173</v>
      </c>
      <c r="O4987" s="20"/>
      <c r="P4987" s="32" t="str">
        <f>IFERROR(__xludf.DUMMYFUNCTION("""COMPUTED_VALUE"""),"可")</f>
        <v>可</v>
      </c>
      <c r="Q4987" s="30"/>
      <c r="R4987" s="22" t="str">
        <f>IFERROR(__xludf.DUMMYFUNCTION("""COMPUTED_VALUE"""),"コミットNG")</f>
        <v>コミットNG</v>
      </c>
      <c r="S4987" s="22" t="str">
        <f>IFERROR(__xludf.DUMMYFUNCTION("""COMPUTED_VALUE"""),"20260325_DLcomics_#崇拝型病み系アイドル翠くん【分冊版】")</f>
        <v>20260325_DLcomics_#崇拝型病み系アイドル翠くん【分冊版】</v>
      </c>
      <c r="T4987" s="22" t="str">
        <f>IFERROR(__xludf.DUMMYFUNCTION("""COMPUTED_VALUE"""),"格納済み")</f>
        <v>格納済み</v>
      </c>
      <c r="U4987" s="9" t="str">
        <f>IFERROR(__xludf.DUMMYFUNCTION("""COMPUTED_VALUE"""),"(c)うめのこっぺ/DLcomics")</f>
        <v>(c)うめのこっぺ/DLcomics</v>
      </c>
      <c r="V4987" s="8"/>
      <c r="W4987" s="8"/>
      <c r="X4987" s="8" t="str">
        <f>IFERROR(__xludf.DUMMYFUNCTION("""COMPUTED_VALUE"""),"有")</f>
        <v>有</v>
      </c>
      <c r="Y4987" s="8" t="str">
        <f>IFERROR(__xludf.DUMMYFUNCTION("""COMPUTED_VALUE"""),"P6まで")</f>
        <v>P6まで</v>
      </c>
      <c r="Z4987" s="7"/>
      <c r="AA4987" s="7"/>
      <c r="AB4987" s="7"/>
    </row>
    <row r="4988" ht="15.75" customHeight="1">
      <c r="A4988" s="26">
        <f>IFERROR(__xludf.DUMMYFUNCTION("""COMPUTED_VALUE"""),7655.0)</f>
        <v>7655</v>
      </c>
      <c r="B4988" s="22" t="str">
        <f>IFERROR(__xludf.DUMMYFUNCTION("""COMPUTED_VALUE"""),"確定")</f>
        <v>確定</v>
      </c>
      <c r="C4988" s="28">
        <f>IFERROR(__xludf.DUMMYFUNCTION("""COMPUTED_VALUE"""),46093.0)</f>
        <v>46093</v>
      </c>
      <c r="D4988" s="28">
        <f>IFERROR(__xludf.DUMMYFUNCTION("""COMPUTED_VALUE"""),46113.0)</f>
        <v>46113</v>
      </c>
      <c r="E4988" s="26">
        <f>IFERROR(__xludf.DUMMYFUNCTION("""COMPUTED_VALUE"""),357689.0)</f>
        <v>357689</v>
      </c>
      <c r="F4988" s="22" t="str">
        <f>IFERROR(__xludf.DUMMYFUNCTION("""COMPUTED_VALUE"""),"かわいそうなキミがいちばんカワイイ-沼系幼なじみルイくんの異常性癖えっち-【R-18分冊版】")</f>
        <v>かわいそうなキミがいちばんカワイイ-沼系幼なじみルイくんの異常性癖えっち-【R-18分冊版】</v>
      </c>
      <c r="G4988" s="20" t="str">
        <f>IFERROR(__xludf.DUMMYFUNCTION("""COMPUTED_VALUE"""),"1～3")</f>
        <v>1～3</v>
      </c>
      <c r="H4988" s="22" t="str">
        <f>IFERROR(__xludf.DUMMYFUNCTION("""COMPUTED_VALUE"""),"うめのこっぺ")</f>
        <v>うめのこっぺ</v>
      </c>
      <c r="I4988" s="22" t="str">
        <f>IFERROR(__xludf.DUMMYFUNCTION("""COMPUTED_VALUE"""),"アダルトマンガ")</f>
        <v>アダルトマンガ</v>
      </c>
      <c r="J4988" s="22"/>
      <c r="K4988" s="22" t="str">
        <f>IFERROR(__xludf.DUMMYFUNCTION("""COMPUTED_VALUE"""),"GirlsCREATIVE")</f>
        <v>GirlsCREATIVE</v>
      </c>
      <c r="L4988" s="22" t="str">
        <f>IFERROR(__xludf.DUMMYFUNCTION("""COMPUTED_VALUE"""),"DLcomics")</f>
        <v>DLcomics</v>
      </c>
      <c r="M4988" s="33">
        <f>IFERROR(__xludf.DUMMYFUNCTION("""COMPUTED_VALUE"""),46140.0)</f>
        <v>46140</v>
      </c>
      <c r="N4988" s="33">
        <f>IFERROR(__xludf.DUMMYFUNCTION("""COMPUTED_VALUE"""),46173.0)</f>
        <v>46173</v>
      </c>
      <c r="O4988" s="20"/>
      <c r="P4988" s="32" t="str">
        <f>IFERROR(__xludf.DUMMYFUNCTION("""COMPUTED_VALUE"""),"可")</f>
        <v>可</v>
      </c>
      <c r="Q4988" s="30"/>
      <c r="R4988" s="22" t="str">
        <f>IFERROR(__xludf.DUMMYFUNCTION("""COMPUTED_VALUE"""),"コミットOK")</f>
        <v>コミットOK</v>
      </c>
      <c r="S4988" s="22" t="str">
        <f>IFERROR(__xludf.DUMMYFUNCTION("""COMPUTED_VALUE"""),"20260325_DLcomics_かわいそうなキミがいちばんカワイイ-沼系幼なじみルイくんの異常性癖えっち-【R-18分冊版】")</f>
        <v>20260325_DLcomics_かわいそうなキミがいちばんカワイイ-沼系幼なじみルイくんの異常性癖えっち-【R-18分冊版】</v>
      </c>
      <c r="T4988" s="22" t="str">
        <f>IFERROR(__xludf.DUMMYFUNCTION("""COMPUTED_VALUE"""),"格納済み")</f>
        <v>格納済み</v>
      </c>
      <c r="U4988" s="9" t="str">
        <f>IFERROR(__xludf.DUMMYFUNCTION("""COMPUTED_VALUE"""),"(c)うめのこっぺ/DLcomics")</f>
        <v>(c)うめのこっぺ/DLcomics</v>
      </c>
      <c r="V4988" s="8"/>
      <c r="W4988" s="8"/>
      <c r="X4988" s="8" t="str">
        <f>IFERROR(__xludf.DUMMYFUNCTION("""COMPUTED_VALUE"""),"有")</f>
        <v>有</v>
      </c>
      <c r="Y4988" s="8" t="str">
        <f>IFERROR(__xludf.DUMMYFUNCTION("""COMPUTED_VALUE"""),"P7まで")</f>
        <v>P7まで</v>
      </c>
      <c r="Z4988" s="7"/>
      <c r="AA4988" s="7"/>
      <c r="AB4988" s="7"/>
    </row>
    <row r="4989" ht="15.75" customHeight="1">
      <c r="A4989" s="26">
        <f>IFERROR(__xludf.DUMMYFUNCTION("""COMPUTED_VALUE"""),7656.0)</f>
        <v>7656</v>
      </c>
      <c r="B4989" s="22" t="str">
        <f>IFERROR(__xludf.DUMMYFUNCTION("""COMPUTED_VALUE"""),"確定")</f>
        <v>確定</v>
      </c>
      <c r="C4989" s="28">
        <f>IFERROR(__xludf.DUMMYFUNCTION("""COMPUTED_VALUE"""),46093.0)</f>
        <v>46093</v>
      </c>
      <c r="D4989" s="28">
        <f>IFERROR(__xludf.DUMMYFUNCTION("""COMPUTED_VALUE"""),46113.0)</f>
        <v>46113</v>
      </c>
      <c r="E4989" s="26">
        <f>IFERROR(__xludf.DUMMYFUNCTION("""COMPUTED_VALUE"""),357657.0)</f>
        <v>357657</v>
      </c>
      <c r="F4989" s="22" t="str">
        <f>IFERROR(__xludf.DUMMYFUNCTION("""COMPUTED_VALUE"""),"かわいそうなキミがいちばんカワイイ-沼系幼なじみルイくんの異常性癖えっち-【分冊版】")</f>
        <v>かわいそうなキミがいちばんカワイイ-沼系幼なじみルイくんの異常性癖えっち-【分冊版】</v>
      </c>
      <c r="G4989" s="20" t="str">
        <f>IFERROR(__xludf.DUMMYFUNCTION("""COMPUTED_VALUE"""),"1～3")</f>
        <v>1～3</v>
      </c>
      <c r="H4989" s="22" t="str">
        <f>IFERROR(__xludf.DUMMYFUNCTION("""COMPUTED_VALUE"""),"うめのこっぺ")</f>
        <v>うめのこっぺ</v>
      </c>
      <c r="I4989" s="22" t="str">
        <f>IFERROR(__xludf.DUMMYFUNCTION("""COMPUTED_VALUE"""),"TLマンガ")</f>
        <v>TLマンガ</v>
      </c>
      <c r="J4989" s="22"/>
      <c r="K4989" s="22" t="str">
        <f>IFERROR(__xludf.DUMMYFUNCTION("""COMPUTED_VALUE"""),"GirlsCREATIVE")</f>
        <v>GirlsCREATIVE</v>
      </c>
      <c r="L4989" s="22" t="str">
        <f>IFERROR(__xludf.DUMMYFUNCTION("""COMPUTED_VALUE"""),"DLcomics")</f>
        <v>DLcomics</v>
      </c>
      <c r="M4989" s="33">
        <f>IFERROR(__xludf.DUMMYFUNCTION("""COMPUTED_VALUE"""),46140.0)</f>
        <v>46140</v>
      </c>
      <c r="N4989" s="33">
        <f>IFERROR(__xludf.DUMMYFUNCTION("""COMPUTED_VALUE"""),46173.0)</f>
        <v>46173</v>
      </c>
      <c r="O4989" s="20"/>
      <c r="P4989" s="32" t="str">
        <f>IFERROR(__xludf.DUMMYFUNCTION("""COMPUTED_VALUE"""),"可")</f>
        <v>可</v>
      </c>
      <c r="Q4989" s="30"/>
      <c r="R4989" s="22" t="str">
        <f>IFERROR(__xludf.DUMMYFUNCTION("""COMPUTED_VALUE"""),"コミットNG")</f>
        <v>コミットNG</v>
      </c>
      <c r="S4989" s="22" t="str">
        <f>IFERROR(__xludf.DUMMYFUNCTION("""COMPUTED_VALUE"""),"20260325_DLcomics_かわいそうなキミがいちばんカワイイ-沼系幼なじみルイくんの異常性癖えっち-【分冊版】")</f>
        <v>20260325_DLcomics_かわいそうなキミがいちばんカワイイ-沼系幼なじみルイくんの異常性癖えっち-【分冊版】</v>
      </c>
      <c r="T4989" s="22" t="str">
        <f>IFERROR(__xludf.DUMMYFUNCTION("""COMPUTED_VALUE"""),"格納済み")</f>
        <v>格納済み</v>
      </c>
      <c r="U4989" s="9" t="str">
        <f>IFERROR(__xludf.DUMMYFUNCTION("""COMPUTED_VALUE"""),"(c)うめのこっぺ/DLcomics")</f>
        <v>(c)うめのこっぺ/DLcomics</v>
      </c>
      <c r="V4989" s="8"/>
      <c r="W4989" s="8"/>
      <c r="X4989" s="8" t="str">
        <f>IFERROR(__xludf.DUMMYFUNCTION("""COMPUTED_VALUE"""),"有")</f>
        <v>有</v>
      </c>
      <c r="Y4989" s="8" t="str">
        <f>IFERROR(__xludf.DUMMYFUNCTION("""COMPUTED_VALUE"""),"P7まで")</f>
        <v>P7まで</v>
      </c>
      <c r="Z4989" s="7"/>
      <c r="AA4989" s="7"/>
      <c r="AB4989" s="7"/>
    </row>
    <row r="4990" ht="15.75" customHeight="1">
      <c r="A4990" s="26">
        <f>IFERROR(__xludf.DUMMYFUNCTION("""COMPUTED_VALUE"""),7657.0)</f>
        <v>7657</v>
      </c>
      <c r="B4990" s="22" t="str">
        <f>IFERROR(__xludf.DUMMYFUNCTION("""COMPUTED_VALUE"""),"確定")</f>
        <v>確定</v>
      </c>
      <c r="C4990" s="28">
        <f>IFERROR(__xludf.DUMMYFUNCTION("""COMPUTED_VALUE"""),46093.0)</f>
        <v>46093</v>
      </c>
      <c r="D4990" s="28">
        <f>IFERROR(__xludf.DUMMYFUNCTION("""COMPUTED_VALUE"""),46113.0)</f>
        <v>46113</v>
      </c>
      <c r="E4990" s="26">
        <f>IFERROR(__xludf.DUMMYFUNCTION("""COMPUTED_VALUE"""),357690.0)</f>
        <v>357690</v>
      </c>
      <c r="F4990" s="22" t="str">
        <f>IFERROR(__xludf.DUMMYFUNCTION("""COMPUTED_VALUE"""),"ヤンデレ王子が社畜女の私を離さない【R-18分冊版】")</f>
        <v>ヤンデレ王子が社畜女の私を離さない【R-18分冊版】</v>
      </c>
      <c r="G4990" s="20" t="str">
        <f>IFERROR(__xludf.DUMMYFUNCTION("""COMPUTED_VALUE"""),"1～3")</f>
        <v>1～3</v>
      </c>
      <c r="H4990" s="22" t="str">
        <f>IFERROR(__xludf.DUMMYFUNCTION("""COMPUTED_VALUE"""),"うめのこっぺ")</f>
        <v>うめのこっぺ</v>
      </c>
      <c r="I4990" s="22" t="str">
        <f>IFERROR(__xludf.DUMMYFUNCTION("""COMPUTED_VALUE"""),"アダルトマンガ")</f>
        <v>アダルトマンガ</v>
      </c>
      <c r="J4990" s="22"/>
      <c r="K4990" s="22" t="str">
        <f>IFERROR(__xludf.DUMMYFUNCTION("""COMPUTED_VALUE"""),"GirlsCREATIVE")</f>
        <v>GirlsCREATIVE</v>
      </c>
      <c r="L4990" s="22" t="str">
        <f>IFERROR(__xludf.DUMMYFUNCTION("""COMPUTED_VALUE"""),"DLcomics")</f>
        <v>DLcomics</v>
      </c>
      <c r="M4990" s="33">
        <f>IFERROR(__xludf.DUMMYFUNCTION("""COMPUTED_VALUE"""),46140.0)</f>
        <v>46140</v>
      </c>
      <c r="N4990" s="33">
        <f>IFERROR(__xludf.DUMMYFUNCTION("""COMPUTED_VALUE"""),46173.0)</f>
        <v>46173</v>
      </c>
      <c r="O4990" s="20"/>
      <c r="P4990" s="32" t="str">
        <f>IFERROR(__xludf.DUMMYFUNCTION("""COMPUTED_VALUE"""),"可")</f>
        <v>可</v>
      </c>
      <c r="Q4990" s="30" t="str">
        <f>IFERROR(__xludf.DUMMYFUNCTION("""COMPUTED_VALUE"""),"※初回配信素材は「広告申請中」フォルダに入っている素材です&lt;BR&gt;")</f>
        <v>※初回配信素材は「広告申請中」フォルダに入っている素材です&lt;BR&gt;</v>
      </c>
      <c r="R4990" s="22" t="str">
        <f>IFERROR(__xludf.DUMMYFUNCTION("""COMPUTED_VALUE"""),"コミットOK")</f>
        <v>コミットOK</v>
      </c>
      <c r="S4990" s="22" t="str">
        <f>IFERROR(__xludf.DUMMYFUNCTION("""COMPUTED_VALUE"""),"20260326_DLcomics_ヤンデレ王子が社畜女の私を離さない【R-18分冊版】")</f>
        <v>20260326_DLcomics_ヤンデレ王子が社畜女の私を離さない【R-18分冊版】</v>
      </c>
      <c r="T4990" s="22" t="str">
        <f>IFERROR(__xludf.DUMMYFUNCTION("""COMPUTED_VALUE"""),"格納済み")</f>
        <v>格納済み</v>
      </c>
      <c r="U4990" s="9" t="str">
        <f>IFERROR(__xludf.DUMMYFUNCTION("""COMPUTED_VALUE"""),"(c)うめのこっぺ/DLcomics")</f>
        <v>(c)うめのこっぺ/DLcomics</v>
      </c>
      <c r="V4990" s="8"/>
      <c r="W4990" s="8"/>
      <c r="X4990" s="8" t="str">
        <f>IFERROR(__xludf.DUMMYFUNCTION("""COMPUTED_VALUE"""),"有")</f>
        <v>有</v>
      </c>
      <c r="Y4990" s="8" t="str">
        <f>IFERROR(__xludf.DUMMYFUNCTION("""COMPUTED_VALUE"""),"P3まで")</f>
        <v>P3まで</v>
      </c>
      <c r="Z4990" s="7"/>
      <c r="AA4990" s="7"/>
      <c r="AB4990" s="7"/>
    </row>
    <row r="4991" ht="15.75" customHeight="1">
      <c r="A4991" s="26">
        <f>IFERROR(__xludf.DUMMYFUNCTION("""COMPUTED_VALUE"""),7658.0)</f>
        <v>7658</v>
      </c>
      <c r="B4991" s="22" t="str">
        <f>IFERROR(__xludf.DUMMYFUNCTION("""COMPUTED_VALUE"""),"確定")</f>
        <v>確定</v>
      </c>
      <c r="C4991" s="28">
        <f>IFERROR(__xludf.DUMMYFUNCTION("""COMPUTED_VALUE"""),46093.0)</f>
        <v>46093</v>
      </c>
      <c r="D4991" s="28">
        <f>IFERROR(__xludf.DUMMYFUNCTION("""COMPUTED_VALUE"""),46113.0)</f>
        <v>46113</v>
      </c>
      <c r="E4991" s="26">
        <f>IFERROR(__xludf.DUMMYFUNCTION("""COMPUTED_VALUE"""),357659.0)</f>
        <v>357659</v>
      </c>
      <c r="F4991" s="22" t="str">
        <f>IFERROR(__xludf.DUMMYFUNCTION("""COMPUTED_VALUE"""),"ヤンデレ王子が社畜女の私を離さない【分冊版】")</f>
        <v>ヤンデレ王子が社畜女の私を離さない【分冊版】</v>
      </c>
      <c r="G4991" s="20" t="str">
        <f>IFERROR(__xludf.DUMMYFUNCTION("""COMPUTED_VALUE"""),"1～3")</f>
        <v>1～3</v>
      </c>
      <c r="H4991" s="22" t="str">
        <f>IFERROR(__xludf.DUMMYFUNCTION("""COMPUTED_VALUE"""),"うめのこっぺ")</f>
        <v>うめのこっぺ</v>
      </c>
      <c r="I4991" s="22" t="str">
        <f>IFERROR(__xludf.DUMMYFUNCTION("""COMPUTED_VALUE"""),"TLマンガ")</f>
        <v>TLマンガ</v>
      </c>
      <c r="J4991" s="22"/>
      <c r="K4991" s="22" t="str">
        <f>IFERROR(__xludf.DUMMYFUNCTION("""COMPUTED_VALUE"""),"GirlsCREATIVE")</f>
        <v>GirlsCREATIVE</v>
      </c>
      <c r="L4991" s="22" t="str">
        <f>IFERROR(__xludf.DUMMYFUNCTION("""COMPUTED_VALUE"""),"DLcomics")</f>
        <v>DLcomics</v>
      </c>
      <c r="M4991" s="33">
        <f>IFERROR(__xludf.DUMMYFUNCTION("""COMPUTED_VALUE"""),46140.0)</f>
        <v>46140</v>
      </c>
      <c r="N4991" s="33">
        <f>IFERROR(__xludf.DUMMYFUNCTION("""COMPUTED_VALUE"""),46173.0)</f>
        <v>46173</v>
      </c>
      <c r="O4991" s="20"/>
      <c r="P4991" s="32" t="str">
        <f>IFERROR(__xludf.DUMMYFUNCTION("""COMPUTED_VALUE"""),"可")</f>
        <v>可</v>
      </c>
      <c r="Q4991" s="30" t="str">
        <f>IFERROR(__xludf.DUMMYFUNCTION("""COMPUTED_VALUE"""),"※初回配信素材は「広告申請中」フォルダに入っている素材です。")</f>
        <v>※初回配信素材は「広告申請中」フォルダに入っている素材です。</v>
      </c>
      <c r="R4991" s="22" t="str">
        <f>IFERROR(__xludf.DUMMYFUNCTION("""COMPUTED_VALUE"""),"コミットNG")</f>
        <v>コミットNG</v>
      </c>
      <c r="S4991" s="22" t="str">
        <f>IFERROR(__xludf.DUMMYFUNCTION("""COMPUTED_VALUE"""),"20260325_DLcomics_ヤンデレ王子が社畜女の私を離さない【分冊版】")</f>
        <v>20260325_DLcomics_ヤンデレ王子が社畜女の私を離さない【分冊版】</v>
      </c>
      <c r="T4991" s="22" t="str">
        <f>IFERROR(__xludf.DUMMYFUNCTION("""COMPUTED_VALUE"""),"格納済み")</f>
        <v>格納済み</v>
      </c>
      <c r="U4991" s="9" t="str">
        <f>IFERROR(__xludf.DUMMYFUNCTION("""COMPUTED_VALUE"""),"(c)うめのこっぺ/DLcomics")</f>
        <v>(c)うめのこっぺ/DLcomics</v>
      </c>
      <c r="V4991" s="8"/>
      <c r="W4991" s="8"/>
      <c r="X4991" s="8" t="str">
        <f>IFERROR(__xludf.DUMMYFUNCTION("""COMPUTED_VALUE"""),"有")</f>
        <v>有</v>
      </c>
      <c r="Y4991" s="8" t="str">
        <f>IFERROR(__xludf.DUMMYFUNCTION("""COMPUTED_VALUE"""),"P3まで")</f>
        <v>P3まで</v>
      </c>
      <c r="Z4991" s="7"/>
      <c r="AA4991" s="7"/>
      <c r="AB4991" s="7"/>
    </row>
    <row r="4992" ht="15.75" customHeight="1">
      <c r="A4992" s="26">
        <f>IFERROR(__xludf.DUMMYFUNCTION("""COMPUTED_VALUE"""),7659.0)</f>
        <v>7659</v>
      </c>
      <c r="B4992" s="22" t="str">
        <f>IFERROR(__xludf.DUMMYFUNCTION("""COMPUTED_VALUE"""),"確定")</f>
        <v>確定</v>
      </c>
      <c r="C4992" s="28">
        <f>IFERROR(__xludf.DUMMYFUNCTION("""COMPUTED_VALUE"""),46093.0)</f>
        <v>46093</v>
      </c>
      <c r="D4992" s="28">
        <f>IFERROR(__xludf.DUMMYFUNCTION("""COMPUTED_VALUE"""),46113.0)</f>
        <v>46113</v>
      </c>
      <c r="E4992" s="26">
        <f>IFERROR(__xludf.DUMMYFUNCTION("""COMPUTED_VALUE"""),357691.0)</f>
        <v>357691</v>
      </c>
      <c r="F4992" s="22" t="str">
        <f>IFERROR(__xludf.DUMMYFUNCTION("""COMPUTED_VALUE"""),"平凡女はダウナー神様に依存されて戻れない【R-18分冊版】")</f>
        <v>平凡女はダウナー神様に依存されて戻れない【R-18分冊版】</v>
      </c>
      <c r="G4992" s="20" t="str">
        <f>IFERROR(__xludf.DUMMYFUNCTION("""COMPUTED_VALUE"""),"1～3")</f>
        <v>1～3</v>
      </c>
      <c r="H4992" s="22" t="str">
        <f>IFERROR(__xludf.DUMMYFUNCTION("""COMPUTED_VALUE"""),"うめのこっぺ")</f>
        <v>うめのこっぺ</v>
      </c>
      <c r="I4992" s="22" t="str">
        <f>IFERROR(__xludf.DUMMYFUNCTION("""COMPUTED_VALUE"""),"アダルトマンガ")</f>
        <v>アダルトマンガ</v>
      </c>
      <c r="J4992" s="22"/>
      <c r="K4992" s="22" t="str">
        <f>IFERROR(__xludf.DUMMYFUNCTION("""COMPUTED_VALUE"""),"GirlsCREATIVE")</f>
        <v>GirlsCREATIVE</v>
      </c>
      <c r="L4992" s="22" t="str">
        <f>IFERROR(__xludf.DUMMYFUNCTION("""COMPUTED_VALUE"""),"DLcomics")</f>
        <v>DLcomics</v>
      </c>
      <c r="M4992" s="33">
        <f>IFERROR(__xludf.DUMMYFUNCTION("""COMPUTED_VALUE"""),46140.0)</f>
        <v>46140</v>
      </c>
      <c r="N4992" s="33">
        <f>IFERROR(__xludf.DUMMYFUNCTION("""COMPUTED_VALUE"""),46173.0)</f>
        <v>46173</v>
      </c>
      <c r="O4992" s="20"/>
      <c r="P4992" s="32" t="str">
        <f>IFERROR(__xludf.DUMMYFUNCTION("""COMPUTED_VALUE"""),"可")</f>
        <v>可</v>
      </c>
      <c r="Q4992" s="30"/>
      <c r="R4992" s="22" t="str">
        <f>IFERROR(__xludf.DUMMYFUNCTION("""COMPUTED_VALUE"""),"コミットOK")</f>
        <v>コミットOK</v>
      </c>
      <c r="S4992" s="22" t="str">
        <f>IFERROR(__xludf.DUMMYFUNCTION("""COMPUTED_VALUE"""),"20260325_DLcomics_平凡女はダウナー神様に依存されて戻れない【R-18分冊版】")</f>
        <v>20260325_DLcomics_平凡女はダウナー神様に依存されて戻れない【R-18分冊版】</v>
      </c>
      <c r="T4992" s="22" t="str">
        <f>IFERROR(__xludf.DUMMYFUNCTION("""COMPUTED_VALUE"""),"格納済み")</f>
        <v>格納済み</v>
      </c>
      <c r="U4992" s="9" t="str">
        <f>IFERROR(__xludf.DUMMYFUNCTION("""COMPUTED_VALUE"""),"(c)うめのこっぺ/DLcomics")</f>
        <v>(c)うめのこっぺ/DLcomics</v>
      </c>
      <c r="V4992" s="8"/>
      <c r="W4992" s="8"/>
      <c r="X4992" s="8" t="str">
        <f>IFERROR(__xludf.DUMMYFUNCTION("""COMPUTED_VALUE"""),"有")</f>
        <v>有</v>
      </c>
      <c r="Y4992" s="8" t="str">
        <f>IFERROR(__xludf.DUMMYFUNCTION("""COMPUTED_VALUE"""),"P4まで")</f>
        <v>P4まで</v>
      </c>
      <c r="Z4992" s="7"/>
      <c r="AA4992" s="7"/>
      <c r="AB4992" s="7"/>
    </row>
    <row r="4993" ht="15.75" customHeight="1">
      <c r="A4993" s="26">
        <f>IFERROR(__xludf.DUMMYFUNCTION("""COMPUTED_VALUE"""),7660.0)</f>
        <v>7660</v>
      </c>
      <c r="B4993" s="22" t="str">
        <f>IFERROR(__xludf.DUMMYFUNCTION("""COMPUTED_VALUE"""),"確定")</f>
        <v>確定</v>
      </c>
      <c r="C4993" s="28">
        <f>IFERROR(__xludf.DUMMYFUNCTION("""COMPUTED_VALUE"""),46093.0)</f>
        <v>46093</v>
      </c>
      <c r="D4993" s="28">
        <f>IFERROR(__xludf.DUMMYFUNCTION("""COMPUTED_VALUE"""),46113.0)</f>
        <v>46113</v>
      </c>
      <c r="E4993" s="26">
        <f>IFERROR(__xludf.DUMMYFUNCTION("""COMPUTED_VALUE"""),357661.0)</f>
        <v>357661</v>
      </c>
      <c r="F4993" s="22" t="str">
        <f>IFERROR(__xludf.DUMMYFUNCTION("""COMPUTED_VALUE"""),"平凡女はダウナー神様に依存されて戻れない【分冊版】")</f>
        <v>平凡女はダウナー神様に依存されて戻れない【分冊版】</v>
      </c>
      <c r="G4993" s="20" t="str">
        <f>IFERROR(__xludf.DUMMYFUNCTION("""COMPUTED_VALUE"""),"1～3")</f>
        <v>1～3</v>
      </c>
      <c r="H4993" s="22" t="str">
        <f>IFERROR(__xludf.DUMMYFUNCTION("""COMPUTED_VALUE"""),"うめのこっぺ")</f>
        <v>うめのこっぺ</v>
      </c>
      <c r="I4993" s="22" t="str">
        <f>IFERROR(__xludf.DUMMYFUNCTION("""COMPUTED_VALUE"""),"TLマンガ")</f>
        <v>TLマンガ</v>
      </c>
      <c r="J4993" s="22"/>
      <c r="K4993" s="22" t="str">
        <f>IFERROR(__xludf.DUMMYFUNCTION("""COMPUTED_VALUE"""),"GirlsCREATIVE")</f>
        <v>GirlsCREATIVE</v>
      </c>
      <c r="L4993" s="22" t="str">
        <f>IFERROR(__xludf.DUMMYFUNCTION("""COMPUTED_VALUE"""),"DLcomics")</f>
        <v>DLcomics</v>
      </c>
      <c r="M4993" s="33">
        <f>IFERROR(__xludf.DUMMYFUNCTION("""COMPUTED_VALUE"""),46140.0)</f>
        <v>46140</v>
      </c>
      <c r="N4993" s="33">
        <f>IFERROR(__xludf.DUMMYFUNCTION("""COMPUTED_VALUE"""),46173.0)</f>
        <v>46173</v>
      </c>
      <c r="O4993" s="20"/>
      <c r="P4993" s="32" t="str">
        <f>IFERROR(__xludf.DUMMYFUNCTION("""COMPUTED_VALUE"""),"可")</f>
        <v>可</v>
      </c>
      <c r="Q4993" s="30"/>
      <c r="R4993" s="22" t="str">
        <f>IFERROR(__xludf.DUMMYFUNCTION("""COMPUTED_VALUE"""),"コミットNG")</f>
        <v>コミットNG</v>
      </c>
      <c r="S4993" s="22" t="str">
        <f>IFERROR(__xludf.DUMMYFUNCTION("""COMPUTED_VALUE"""),"20260325_DLcomics_平凡女はダウナー神様に依存されて戻れない【分冊版】")</f>
        <v>20260325_DLcomics_平凡女はダウナー神様に依存されて戻れない【分冊版】</v>
      </c>
      <c r="T4993" s="22" t="str">
        <f>IFERROR(__xludf.DUMMYFUNCTION("""COMPUTED_VALUE"""),"格納済み")</f>
        <v>格納済み</v>
      </c>
      <c r="U4993" s="9" t="str">
        <f>IFERROR(__xludf.DUMMYFUNCTION("""COMPUTED_VALUE"""),"(c)うめのこっぺ/DLcomics")</f>
        <v>(c)うめのこっぺ/DLcomics</v>
      </c>
      <c r="V4993" s="8"/>
      <c r="W4993" s="8"/>
      <c r="X4993" s="8" t="str">
        <f>IFERROR(__xludf.DUMMYFUNCTION("""COMPUTED_VALUE"""),"有")</f>
        <v>有</v>
      </c>
      <c r="Y4993" s="8" t="str">
        <f>IFERROR(__xludf.DUMMYFUNCTION("""COMPUTED_VALUE"""),"P4まで")</f>
        <v>P4まで</v>
      </c>
      <c r="Z4993" s="7"/>
      <c r="AA4993" s="7"/>
      <c r="AB4993" s="7"/>
    </row>
    <row r="4994" ht="15.75" customHeight="1">
      <c r="A4994" s="26">
        <f>IFERROR(__xludf.DUMMYFUNCTION("""COMPUTED_VALUE"""),7661.0)</f>
        <v>7661</v>
      </c>
      <c r="B4994" s="22" t="str">
        <f>IFERROR(__xludf.DUMMYFUNCTION("""COMPUTED_VALUE"""),"確定")</f>
        <v>確定</v>
      </c>
      <c r="C4994" s="28">
        <f>IFERROR(__xludf.DUMMYFUNCTION("""COMPUTED_VALUE"""),46093.0)</f>
        <v>46093</v>
      </c>
      <c r="D4994" s="28">
        <f>IFERROR(__xludf.DUMMYFUNCTION("""COMPUTED_VALUE"""),46113.0)</f>
        <v>46113</v>
      </c>
      <c r="E4994" s="26">
        <f>IFERROR(__xludf.DUMMYFUNCTION("""COMPUTED_VALUE"""),357683.0)</f>
        <v>357683</v>
      </c>
      <c r="F4994" s="22" t="str">
        <f>IFERROR(__xludf.DUMMYFUNCTION("""COMPUTED_VALUE"""),"猫かぶり吸血鬼に骨の髄まで食べ尽くされる【R-18分冊版】")</f>
        <v>猫かぶり吸血鬼に骨の髄まで食べ尽くされる【R-18分冊版】</v>
      </c>
      <c r="G4994" s="20" t="str">
        <f>IFERROR(__xludf.DUMMYFUNCTION("""COMPUTED_VALUE"""),"1～7")</f>
        <v>1～7</v>
      </c>
      <c r="H4994" s="22" t="str">
        <f>IFERROR(__xludf.DUMMYFUNCTION("""COMPUTED_VALUE"""),"うめのこっぺ")</f>
        <v>うめのこっぺ</v>
      </c>
      <c r="I4994" s="22" t="str">
        <f>IFERROR(__xludf.DUMMYFUNCTION("""COMPUTED_VALUE"""),"アダルトマンガ")</f>
        <v>アダルトマンガ</v>
      </c>
      <c r="J4994" s="22"/>
      <c r="K4994" s="22" t="str">
        <f>IFERROR(__xludf.DUMMYFUNCTION("""COMPUTED_VALUE"""),"GirlsCREATIVE")</f>
        <v>GirlsCREATIVE</v>
      </c>
      <c r="L4994" s="22" t="str">
        <f>IFERROR(__xludf.DUMMYFUNCTION("""COMPUTED_VALUE"""),"DLcomics")</f>
        <v>DLcomics</v>
      </c>
      <c r="M4994" s="33">
        <f>IFERROR(__xludf.DUMMYFUNCTION("""COMPUTED_VALUE"""),46140.0)</f>
        <v>46140</v>
      </c>
      <c r="N4994" s="33">
        <f>IFERROR(__xludf.DUMMYFUNCTION("""COMPUTED_VALUE"""),46173.0)</f>
        <v>46173</v>
      </c>
      <c r="O4994" s="20"/>
      <c r="P4994" s="32" t="str">
        <f>IFERROR(__xludf.DUMMYFUNCTION("""COMPUTED_VALUE"""),"可")</f>
        <v>可</v>
      </c>
      <c r="Q4994" s="30"/>
      <c r="R4994" s="22" t="str">
        <f>IFERROR(__xludf.DUMMYFUNCTION("""COMPUTED_VALUE"""),"コミットOK")</f>
        <v>コミットOK</v>
      </c>
      <c r="S4994" s="22" t="str">
        <f>IFERROR(__xludf.DUMMYFUNCTION("""COMPUTED_VALUE"""),"20260325_DLcomics_猫かぶり吸血鬼に骨の髄まで食べ尽くされる【R-18分冊版】")</f>
        <v>20260325_DLcomics_猫かぶり吸血鬼に骨の髄まで食べ尽くされる【R-18分冊版】</v>
      </c>
      <c r="T4994" s="22" t="str">
        <f>IFERROR(__xludf.DUMMYFUNCTION("""COMPUTED_VALUE"""),"格納済み")</f>
        <v>格納済み</v>
      </c>
      <c r="U4994" s="9" t="str">
        <f>IFERROR(__xludf.DUMMYFUNCTION("""COMPUTED_VALUE"""),"(c)うめのこっぺ/DLcomics")</f>
        <v>(c)うめのこっぺ/DLcomics</v>
      </c>
      <c r="V4994" s="8"/>
      <c r="W4994" s="8"/>
      <c r="X4994" s="8" t="str">
        <f>IFERROR(__xludf.DUMMYFUNCTION("""COMPUTED_VALUE"""),"有")</f>
        <v>有</v>
      </c>
      <c r="Y4994" s="8" t="str">
        <f>IFERROR(__xludf.DUMMYFUNCTION("""COMPUTED_VALUE"""),"P4まで")</f>
        <v>P4まで</v>
      </c>
      <c r="Z4994" s="7"/>
      <c r="AA4994" s="7"/>
      <c r="AB4994" s="7"/>
    </row>
    <row r="4995" ht="15.75" customHeight="1">
      <c r="A4995" s="26">
        <f>IFERROR(__xludf.DUMMYFUNCTION("""COMPUTED_VALUE"""),7662.0)</f>
        <v>7662</v>
      </c>
      <c r="B4995" s="22" t="str">
        <f>IFERROR(__xludf.DUMMYFUNCTION("""COMPUTED_VALUE"""),"確定")</f>
        <v>確定</v>
      </c>
      <c r="C4995" s="28">
        <f>IFERROR(__xludf.DUMMYFUNCTION("""COMPUTED_VALUE"""),46093.0)</f>
        <v>46093</v>
      </c>
      <c r="D4995" s="28">
        <f>IFERROR(__xludf.DUMMYFUNCTION("""COMPUTED_VALUE"""),46113.0)</f>
        <v>46113</v>
      </c>
      <c r="E4995" s="26">
        <f>IFERROR(__xludf.DUMMYFUNCTION("""COMPUTED_VALUE"""),357662.0)</f>
        <v>357662</v>
      </c>
      <c r="F4995" s="22" t="str">
        <f>IFERROR(__xludf.DUMMYFUNCTION("""COMPUTED_VALUE"""),"猫かぶり吸血鬼に骨の髄まで食べ尽くされる【分冊版】")</f>
        <v>猫かぶり吸血鬼に骨の髄まで食べ尽くされる【分冊版】</v>
      </c>
      <c r="G4995" s="20" t="str">
        <f>IFERROR(__xludf.DUMMYFUNCTION("""COMPUTED_VALUE"""),"1～7")</f>
        <v>1～7</v>
      </c>
      <c r="H4995" s="22" t="str">
        <f>IFERROR(__xludf.DUMMYFUNCTION("""COMPUTED_VALUE"""),"うめのこっぺ")</f>
        <v>うめのこっぺ</v>
      </c>
      <c r="I4995" s="22" t="str">
        <f>IFERROR(__xludf.DUMMYFUNCTION("""COMPUTED_VALUE"""),"TLマンガ")</f>
        <v>TLマンガ</v>
      </c>
      <c r="J4995" s="22"/>
      <c r="K4995" s="22" t="str">
        <f>IFERROR(__xludf.DUMMYFUNCTION("""COMPUTED_VALUE"""),"GirlsCREATIVE")</f>
        <v>GirlsCREATIVE</v>
      </c>
      <c r="L4995" s="22" t="str">
        <f>IFERROR(__xludf.DUMMYFUNCTION("""COMPUTED_VALUE"""),"DLcomics")</f>
        <v>DLcomics</v>
      </c>
      <c r="M4995" s="33">
        <f>IFERROR(__xludf.DUMMYFUNCTION("""COMPUTED_VALUE"""),46140.0)</f>
        <v>46140</v>
      </c>
      <c r="N4995" s="33">
        <f>IFERROR(__xludf.DUMMYFUNCTION("""COMPUTED_VALUE"""),46173.0)</f>
        <v>46173</v>
      </c>
      <c r="O4995" s="20"/>
      <c r="P4995" s="32" t="str">
        <f>IFERROR(__xludf.DUMMYFUNCTION("""COMPUTED_VALUE"""),"可")</f>
        <v>可</v>
      </c>
      <c r="Q4995" s="30"/>
      <c r="R4995" s="22" t="str">
        <f>IFERROR(__xludf.DUMMYFUNCTION("""COMPUTED_VALUE"""),"コミットNG")</f>
        <v>コミットNG</v>
      </c>
      <c r="S4995" s="22" t="str">
        <f>IFERROR(__xludf.DUMMYFUNCTION("""COMPUTED_VALUE"""),"20260325_DLcomics_猫かぶり吸血鬼に骨の髄まで食べ尽くされる【分冊版】")</f>
        <v>20260325_DLcomics_猫かぶり吸血鬼に骨の髄まで食べ尽くされる【分冊版】</v>
      </c>
      <c r="T4995" s="22" t="str">
        <f>IFERROR(__xludf.DUMMYFUNCTION("""COMPUTED_VALUE"""),"格納済み")</f>
        <v>格納済み</v>
      </c>
      <c r="U4995" s="9" t="str">
        <f>IFERROR(__xludf.DUMMYFUNCTION("""COMPUTED_VALUE"""),"(c)うめのこっぺ/DLcomics")</f>
        <v>(c)うめのこっぺ/DLcomics</v>
      </c>
      <c r="V4995" s="8"/>
      <c r="W4995" s="8"/>
      <c r="X4995" s="8" t="str">
        <f>IFERROR(__xludf.DUMMYFUNCTION("""COMPUTED_VALUE"""),"有")</f>
        <v>有</v>
      </c>
      <c r="Y4995" s="8" t="str">
        <f>IFERROR(__xludf.DUMMYFUNCTION("""COMPUTED_VALUE"""),"P4まで")</f>
        <v>P4まで</v>
      </c>
      <c r="Z4995" s="7"/>
      <c r="AA4995" s="7"/>
      <c r="AB4995" s="7"/>
    </row>
    <row r="4996" ht="15.75" customHeight="1">
      <c r="A4996" s="26">
        <f>IFERROR(__xludf.DUMMYFUNCTION("""COMPUTED_VALUE"""),7683.0)</f>
        <v>7683</v>
      </c>
      <c r="B4996" s="22" t="str">
        <f>IFERROR(__xludf.DUMMYFUNCTION("""COMPUTED_VALUE"""),"確定")</f>
        <v>確定</v>
      </c>
      <c r="C4996" s="28">
        <f>IFERROR(__xludf.DUMMYFUNCTION("""COMPUTED_VALUE"""),46094.0)</f>
        <v>46094</v>
      </c>
      <c r="D4996" s="28">
        <f>IFERROR(__xludf.DUMMYFUNCTION("""COMPUTED_VALUE"""),46113.0)</f>
        <v>46113</v>
      </c>
      <c r="E4996" s="26">
        <f>IFERROR(__xludf.DUMMYFUNCTION("""COMPUTED_VALUE"""),358102.0)</f>
        <v>358102</v>
      </c>
      <c r="F4996" s="22" t="str">
        <f>IFERROR(__xludf.DUMMYFUNCTION("""COMPUTED_VALUE"""),"白藤さん、ダメな私をいじめて下さい。〜憧れの先輩はM彼女を溺愛しすぎる")</f>
        <v>白藤さん、ダメな私をいじめて下さい。〜憧れの先輩はM彼女を溺愛しすぎる</v>
      </c>
      <c r="G4996" s="20" t="str">
        <f>IFERROR(__xludf.DUMMYFUNCTION("""COMPUTED_VALUE"""),"1～3")</f>
        <v>1～3</v>
      </c>
      <c r="H4996" s="22" t="str">
        <f>IFERROR(__xludf.DUMMYFUNCTION("""COMPUTED_VALUE"""),"夏凪つな/七原みさ")</f>
        <v>夏凪つな/七原みさ</v>
      </c>
      <c r="I4996" s="22" t="str">
        <f>IFERROR(__xludf.DUMMYFUNCTION("""COMPUTED_VALUE"""),"TLマンガ")</f>
        <v>TLマンガ</v>
      </c>
      <c r="J4996" s="22"/>
      <c r="K4996" s="22" t="str">
        <f>IFERROR(__xludf.DUMMYFUNCTION("""COMPUTED_VALUE"""),"lou lou")</f>
        <v>lou lou</v>
      </c>
      <c r="L4996" s="22" t="str">
        <f>IFERROR(__xludf.DUMMYFUNCTION("""COMPUTED_VALUE"""),"渋谷六花舎")</f>
        <v>渋谷六花舎</v>
      </c>
      <c r="M4996" s="33">
        <f>IFERROR(__xludf.DUMMYFUNCTION("""COMPUTED_VALUE"""),46139.0)</f>
        <v>46139</v>
      </c>
      <c r="N4996" s="33">
        <f>IFERROR(__xludf.DUMMYFUNCTION("""COMPUTED_VALUE"""),46229.0)</f>
        <v>46229</v>
      </c>
      <c r="O4996" s="20"/>
      <c r="P4996" s="32" t="str">
        <f>IFERROR(__xludf.DUMMYFUNCTION("""COMPUTED_VALUE"""),"可")</f>
        <v>可</v>
      </c>
      <c r="Q4996" s="30"/>
      <c r="R4996" s="22" t="str">
        <f>IFERROR(__xludf.DUMMYFUNCTION("""COMPUTED_VALUE"""),"コミットOK")</f>
        <v>コミットOK</v>
      </c>
      <c r="S4996" s="22" t="str">
        <f>IFERROR(__xludf.DUMMYFUNCTION("""COMPUTED_VALUE"""),"20260330_渋谷六花舎_白藤さん、ダメな私をいじめて下さい。〜憧れの先輩はM彼女を溺愛しすぎる")</f>
        <v>20260330_渋谷六花舎_白藤さん、ダメな私をいじめて下さい。〜憧れの先輩はM彼女を溺愛しすぎる</v>
      </c>
      <c r="T4996" s="22" t="str">
        <f>IFERROR(__xludf.DUMMYFUNCTION("""COMPUTED_VALUE"""),"格納済み")</f>
        <v>格納済み</v>
      </c>
      <c r="U4996" s="9" t="str">
        <f>IFERROR(__xludf.DUMMYFUNCTION("""COMPUTED_VALUE"""),"（C）夏凪つな／七原みさ／lou lou")</f>
        <v>（C）夏凪つな／七原みさ／lou lou</v>
      </c>
      <c r="V4996" s="8"/>
      <c r="W4996" s="8"/>
      <c r="X4996" s="8" t="str">
        <f>IFERROR(__xludf.DUMMYFUNCTION("""COMPUTED_VALUE"""),"有")</f>
        <v>有</v>
      </c>
      <c r="Y4996" s="8" t="str">
        <f>IFERROR(__xludf.DUMMYFUNCTION("""COMPUTED_VALUE"""),"2026/5/10まで1巻無料")</f>
        <v>2026/5/10まで1巻無料</v>
      </c>
      <c r="Z4996" s="7"/>
      <c r="AA4996" s="7"/>
      <c r="AB4996" s="7"/>
    </row>
    <row r="4997" ht="15.75" customHeight="1">
      <c r="A4997" s="26">
        <f>IFERROR(__xludf.DUMMYFUNCTION("""COMPUTED_VALUE"""),7728.0)</f>
        <v>7728</v>
      </c>
      <c r="B4997" s="22" t="str">
        <f>IFERROR(__xludf.DUMMYFUNCTION("""COMPUTED_VALUE"""),"確定")</f>
        <v>確定</v>
      </c>
      <c r="C4997" s="28">
        <f>IFERROR(__xludf.DUMMYFUNCTION("""COMPUTED_VALUE"""),46104.0)</f>
        <v>46104</v>
      </c>
      <c r="D4997" s="28">
        <f>IFERROR(__xludf.DUMMYFUNCTION("""COMPUTED_VALUE"""),46113.0)</f>
        <v>46113</v>
      </c>
      <c r="E4997" s="26">
        <f>IFERROR(__xludf.DUMMYFUNCTION("""COMPUTED_VALUE"""),321752.0)</f>
        <v>321752</v>
      </c>
      <c r="F4997" s="22" t="str">
        <f>IFERROR(__xludf.DUMMYFUNCTION("""COMPUTED_VALUE"""),"ワガママを愛して")</f>
        <v>ワガママを愛して</v>
      </c>
      <c r="G4997" s="20" t="str">
        <f>IFERROR(__xludf.DUMMYFUNCTION("""COMPUTED_VALUE"""),"1～3")</f>
        <v>1～3</v>
      </c>
      <c r="H4997" s="22" t="str">
        <f>IFERROR(__xludf.DUMMYFUNCTION("""COMPUTED_VALUE"""),"藤衣里采")</f>
        <v>藤衣里采</v>
      </c>
      <c r="I4997" s="22" t="str">
        <f>IFERROR(__xludf.DUMMYFUNCTION("""COMPUTED_VALUE"""),"BLマンガ")</f>
        <v>BLマンガ</v>
      </c>
      <c r="J4997" s="22"/>
      <c r="K4997" s="22" t="str">
        <f>IFERROR(__xludf.DUMMYFUNCTION("""COMPUTED_VALUE"""),"Ficus")</f>
        <v>Ficus</v>
      </c>
      <c r="L4997" s="22" t="str">
        <f>IFERROR(__xludf.DUMMYFUNCTION("""COMPUTED_VALUE"""),"シーモアコミックス")</f>
        <v>シーモアコミックス</v>
      </c>
      <c r="M4997" s="33">
        <f>IFERROR(__xludf.DUMMYFUNCTION("""COMPUTED_VALUE"""),46151.0)</f>
        <v>46151</v>
      </c>
      <c r="N4997" s="33">
        <f>IFERROR(__xludf.DUMMYFUNCTION("""COMPUTED_VALUE"""),2958465.0)</f>
        <v>2958465</v>
      </c>
      <c r="O4997" s="20"/>
      <c r="P4997" s="32" t="str">
        <f>IFERROR(__xludf.DUMMYFUNCTION("""COMPUTED_VALUE"""),"可")</f>
        <v>可</v>
      </c>
      <c r="Q4997" s="30"/>
      <c r="R4997" s="22"/>
      <c r="S4997" s="22" t="str">
        <f>IFERROR(__xludf.DUMMYFUNCTION("""COMPUTED_VALUE"""),"20260323_シーモアコミックス_ワガママを愛して")</f>
        <v>20260323_シーモアコミックス_ワガママを愛して</v>
      </c>
      <c r="T4997" s="22" t="str">
        <f>IFERROR(__xludf.DUMMYFUNCTION("""COMPUTED_VALUE"""),"格納済み")</f>
        <v>格納済み</v>
      </c>
      <c r="U4997" s="9" t="str">
        <f>IFERROR(__xludf.DUMMYFUNCTION("""COMPUTED_VALUE"""),"(C) 藤衣里采/シーモアコミックス")</f>
        <v>(C) 藤衣里采/シーモアコミックス</v>
      </c>
      <c r="V4997" s="8"/>
      <c r="W4997" s="8"/>
      <c r="X4997" s="8" t="str">
        <f>IFERROR(__xludf.DUMMYFUNCTION("""COMPUTED_VALUE"""),"有")</f>
        <v>有</v>
      </c>
      <c r="Y4997" s="8" t="str">
        <f>IFERROR(__xludf.DUMMYFUNCTION("""COMPUTED_VALUE"""),"2026/6/12まで1巻無料")</f>
        <v>2026/6/12まで1巻無料</v>
      </c>
      <c r="Z4997" s="7"/>
      <c r="AA4997" s="7"/>
      <c r="AB4997" s="7"/>
    </row>
    <row r="4998" ht="15.75" customHeight="1">
      <c r="A4998" s="26">
        <f>IFERROR(__xludf.DUMMYFUNCTION("""COMPUTED_VALUE"""),7729.0)</f>
        <v>7729</v>
      </c>
      <c r="B4998" s="22" t="str">
        <f>IFERROR(__xludf.DUMMYFUNCTION("""COMPUTED_VALUE"""),"確定")</f>
        <v>確定</v>
      </c>
      <c r="C4998" s="28">
        <f>IFERROR(__xludf.DUMMYFUNCTION("""COMPUTED_VALUE"""),46104.0)</f>
        <v>46104</v>
      </c>
      <c r="D4998" s="28">
        <f>IFERROR(__xludf.DUMMYFUNCTION("""COMPUTED_VALUE"""),46113.0)</f>
        <v>46113</v>
      </c>
      <c r="E4998" s="26">
        <f>IFERROR(__xludf.DUMMYFUNCTION("""COMPUTED_VALUE"""),322598.0)</f>
        <v>322598</v>
      </c>
      <c r="F4998" s="22" t="str">
        <f>IFERROR(__xludf.DUMMYFUNCTION("""COMPUTED_VALUE"""),"大正はつ恋婚～いのち短し契れよめおと～")</f>
        <v>大正はつ恋婚～いのち短し契れよめおと～</v>
      </c>
      <c r="G4998" s="20" t="str">
        <f>IFERROR(__xludf.DUMMYFUNCTION("""COMPUTED_VALUE"""),"1～4")</f>
        <v>1～4</v>
      </c>
      <c r="H4998" s="22" t="str">
        <f>IFERROR(__xludf.DUMMYFUNCTION("""COMPUTED_VALUE"""),"雪ノ下りん子")</f>
        <v>雪ノ下りん子</v>
      </c>
      <c r="I4998" s="22" t="str">
        <f>IFERROR(__xludf.DUMMYFUNCTION("""COMPUTED_VALUE"""),"女性マンガ")</f>
        <v>女性マンガ</v>
      </c>
      <c r="J4998" s="22"/>
      <c r="K4998" s="22" t="str">
        <f>IFERROR(__xludf.DUMMYFUNCTION("""COMPUTED_VALUE"""),"恋するソワレ")</f>
        <v>恋するソワレ</v>
      </c>
      <c r="L4998" s="22" t="str">
        <f>IFERROR(__xludf.DUMMYFUNCTION("""COMPUTED_VALUE"""),"シーモアコミックス")</f>
        <v>シーモアコミックス</v>
      </c>
      <c r="M4998" s="33">
        <f>IFERROR(__xludf.DUMMYFUNCTION("""COMPUTED_VALUE"""),46151.0)</f>
        <v>46151</v>
      </c>
      <c r="N4998" s="33">
        <f>IFERROR(__xludf.DUMMYFUNCTION("""COMPUTED_VALUE"""),46303.66666666667)</f>
        <v>46303.66667</v>
      </c>
      <c r="O4998" s="20"/>
      <c r="P4998" s="32" t="str">
        <f>IFERROR(__xludf.DUMMYFUNCTION("""COMPUTED_VALUE"""),"可")</f>
        <v>可</v>
      </c>
      <c r="Q4998" s="30"/>
      <c r="R4998" s="22"/>
      <c r="S4998" s="22" t="str">
        <f>IFERROR(__xludf.DUMMYFUNCTION("""COMPUTED_VALUE"""),"20260323_シーモアコミックス_大正はつ恋婚～いのち短し契れよめおと～")</f>
        <v>20260323_シーモアコミックス_大正はつ恋婚～いのち短し契れよめおと～</v>
      </c>
      <c r="T4998" s="22" t="str">
        <f>IFERROR(__xludf.DUMMYFUNCTION("""COMPUTED_VALUE"""),"格納済み")</f>
        <v>格納済み</v>
      </c>
      <c r="U4998" s="9" t="str">
        <f>IFERROR(__xludf.DUMMYFUNCTION("""COMPUTED_VALUE"""),"(C) 雪ノ下りん子/シーモアコミックス")</f>
        <v>(C) 雪ノ下りん子/シーモアコミックス</v>
      </c>
      <c r="V4998" s="8"/>
      <c r="W4998" s="8"/>
      <c r="X4998" s="8" t="str">
        <f>IFERROR(__xludf.DUMMYFUNCTION("""COMPUTED_VALUE"""),"有")</f>
        <v>有</v>
      </c>
      <c r="Y4998" s="8" t="str">
        <f>IFERROR(__xludf.DUMMYFUNCTION("""COMPUTED_VALUE"""),"P12まで")</f>
        <v>P12まで</v>
      </c>
      <c r="Z4998" s="7"/>
      <c r="AA4998" s="7"/>
      <c r="AB4998" s="7"/>
    </row>
    <row r="4999" ht="15.75" customHeight="1">
      <c r="A4999" s="26">
        <f>IFERROR(__xludf.DUMMYFUNCTION("""COMPUTED_VALUE"""),7732.0)</f>
        <v>7732</v>
      </c>
      <c r="B4999" s="22" t="str">
        <f>IFERROR(__xludf.DUMMYFUNCTION("""COMPUTED_VALUE"""),"確定")</f>
        <v>確定</v>
      </c>
      <c r="C4999" s="28">
        <f>IFERROR(__xludf.DUMMYFUNCTION("""COMPUTED_VALUE"""),46104.0)</f>
        <v>46104</v>
      </c>
      <c r="D4999" s="28">
        <f>IFERROR(__xludf.DUMMYFUNCTION("""COMPUTED_VALUE"""),46113.0)</f>
        <v>46113</v>
      </c>
      <c r="E4999" s="26">
        <f>IFERROR(__xludf.DUMMYFUNCTION("""COMPUTED_VALUE"""),334891.0)</f>
        <v>334891</v>
      </c>
      <c r="F4999" s="22" t="str">
        <f>IFERROR(__xludf.DUMMYFUNCTION("""COMPUTED_VALUE"""),"ふたりプレイ～不感症な私の好きなコト～")</f>
        <v>ふたりプレイ～不感症な私の好きなコト～</v>
      </c>
      <c r="G4999" s="20" t="str">
        <f>IFERROR(__xludf.DUMMYFUNCTION("""COMPUTED_VALUE"""),"1～4")</f>
        <v>1～4</v>
      </c>
      <c r="H4999" s="22" t="str">
        <f>IFERROR(__xludf.DUMMYFUNCTION("""COMPUTED_VALUE"""),"江本晴")</f>
        <v>江本晴</v>
      </c>
      <c r="I4999" s="22" t="str">
        <f>IFERROR(__xludf.DUMMYFUNCTION("""COMPUTED_VALUE"""),"女性マンガ")</f>
        <v>女性マンガ</v>
      </c>
      <c r="J4999" s="22"/>
      <c r="K4999" s="22" t="str">
        <f>IFERROR(__xludf.DUMMYFUNCTION("""COMPUTED_VALUE"""),"恋するソワレ＋,恋するソワレ")</f>
        <v>恋するソワレ＋,恋するソワレ</v>
      </c>
      <c r="L4999" s="22" t="str">
        <f>IFERROR(__xludf.DUMMYFUNCTION("""COMPUTED_VALUE"""),"シーモアコミックス")</f>
        <v>シーモアコミックス</v>
      </c>
      <c r="M4999" s="33">
        <f>IFERROR(__xludf.DUMMYFUNCTION("""COMPUTED_VALUE"""),46152.0)</f>
        <v>46152</v>
      </c>
      <c r="N4999" s="33">
        <f>IFERROR(__xludf.DUMMYFUNCTION("""COMPUTED_VALUE"""),2958465.0)</f>
        <v>2958465</v>
      </c>
      <c r="O4999" s="20"/>
      <c r="P4999" s="32" t="str">
        <f>IFERROR(__xludf.DUMMYFUNCTION("""COMPUTED_VALUE"""),"可")</f>
        <v>可</v>
      </c>
      <c r="Q4999" s="30"/>
      <c r="R4999" s="22"/>
      <c r="S4999" s="22" t="str">
        <f>IFERROR(__xludf.DUMMYFUNCTION("""COMPUTED_VALUE"""),"20260323_シーモアコミックス_ふたりプレイ～不感症な私の好きなコト～")</f>
        <v>20260323_シーモアコミックス_ふたりプレイ～不感症な私の好きなコト～</v>
      </c>
      <c r="T4999" s="22" t="str">
        <f>IFERROR(__xludf.DUMMYFUNCTION("""COMPUTED_VALUE"""),"格納済み")</f>
        <v>格納済み</v>
      </c>
      <c r="U4999" s="9" t="str">
        <f>IFERROR(__xludf.DUMMYFUNCTION("""COMPUTED_VALUE"""),"(C) 江本晴/シーモアコミックス")</f>
        <v>(C) 江本晴/シーモアコミックス</v>
      </c>
      <c r="V4999" s="8"/>
      <c r="W4999" s="8"/>
      <c r="X4999" s="8" t="str">
        <f>IFERROR(__xludf.DUMMYFUNCTION("""COMPUTED_VALUE"""),"有")</f>
        <v>有</v>
      </c>
      <c r="Y4999" s="8" t="str">
        <f>IFERROR(__xludf.DUMMYFUNCTION("""COMPUTED_VALUE"""),"P13まで")</f>
        <v>P13まで</v>
      </c>
      <c r="Z4999" s="7"/>
      <c r="AA4999" s="7"/>
      <c r="AB4999" s="7"/>
    </row>
    <row r="5000" ht="15.75" customHeight="1">
      <c r="A5000" s="26">
        <f>IFERROR(__xludf.DUMMYFUNCTION("""COMPUTED_VALUE"""),7743.0)</f>
        <v>7743</v>
      </c>
      <c r="B5000" s="22" t="str">
        <f>IFERROR(__xludf.DUMMYFUNCTION("""COMPUTED_VALUE"""),"確定")</f>
        <v>確定</v>
      </c>
      <c r="C5000" s="28">
        <f>IFERROR(__xludf.DUMMYFUNCTION("""COMPUTED_VALUE"""),46105.0)</f>
        <v>46105</v>
      </c>
      <c r="D5000" s="28">
        <f>IFERROR(__xludf.DUMMYFUNCTION("""COMPUTED_VALUE"""),46113.0)</f>
        <v>46113</v>
      </c>
      <c r="E5000" s="26">
        <f>IFERROR(__xludf.DUMMYFUNCTION("""COMPUTED_VALUE"""),358820.0)</f>
        <v>358820</v>
      </c>
      <c r="F5000" s="22" t="str">
        <f>IFERROR(__xludf.DUMMYFUNCTION("""COMPUTED_VALUE"""),"新入社員の藤くんに今夜も甘く抱かれてます［ばら売り］")</f>
        <v>新入社員の藤くんに今夜も甘く抱かれてます［ばら売り］</v>
      </c>
      <c r="G5000" s="20" t="str">
        <f>IFERROR(__xludf.DUMMYFUNCTION("""COMPUTED_VALUE"""),"1～4")</f>
        <v>1～4</v>
      </c>
      <c r="H5000" s="22" t="str">
        <f>IFERROR(__xludf.DUMMYFUNCTION("""COMPUTED_VALUE"""),"みよし花")</f>
        <v>みよし花</v>
      </c>
      <c r="I5000" s="22" t="str">
        <f>IFERROR(__xludf.DUMMYFUNCTION("""COMPUTED_VALUE"""),"女性")</f>
        <v>女性</v>
      </c>
      <c r="J5000" s="22"/>
      <c r="K5000" s="22" t="str">
        <f>IFERROR(__xludf.DUMMYFUNCTION("""COMPUTED_VALUE"""),"マンガPark")</f>
        <v>マンガPark</v>
      </c>
      <c r="L5000" s="22" t="str">
        <f>IFERROR(__xludf.DUMMYFUNCTION("""COMPUTED_VALUE"""),"白泉社")</f>
        <v>白泉社</v>
      </c>
      <c r="M5000" s="33">
        <f>IFERROR(__xludf.DUMMYFUNCTION("""COMPUTED_VALUE"""),46151.0)</f>
        <v>46151</v>
      </c>
      <c r="N5000" s="33">
        <f>IFERROR(__xludf.DUMMYFUNCTION("""COMPUTED_VALUE"""),46213.0)</f>
        <v>46213</v>
      </c>
      <c r="O5000" s="20"/>
      <c r="P5000" s="32" t="str">
        <f>IFERROR(__xludf.DUMMYFUNCTION("""COMPUTED_VALUE"""),"可")</f>
        <v>可</v>
      </c>
      <c r="Q5000" s="30"/>
      <c r="R5000" s="22"/>
      <c r="S5000" s="22" t="str">
        <f>IFERROR(__xludf.DUMMYFUNCTION("""COMPUTED_VALUE"""),"20260324_白泉社_新入社員の藤くんに今夜も甘く抱かれてます［ばら売り］")</f>
        <v>20260324_白泉社_新入社員の藤くんに今夜も甘く抱かれてます［ばら売り］</v>
      </c>
      <c r="T5000" s="22" t="str">
        <f>IFERROR(__xludf.DUMMYFUNCTION("""COMPUTED_VALUE"""),"格納済み")</f>
        <v>格納済み</v>
      </c>
      <c r="U5000" s="9" t="str">
        <f>IFERROR(__xludf.DUMMYFUNCTION("""COMPUTED_VALUE"""),"（C）みよし花／白泉社")</f>
        <v>（C）みよし花／白泉社</v>
      </c>
      <c r="V5000" s="8"/>
      <c r="W5000" s="8"/>
      <c r="X5000" s="8" t="str">
        <f>IFERROR(__xludf.DUMMYFUNCTION("""COMPUTED_VALUE"""),"有")</f>
        <v>有</v>
      </c>
      <c r="Y5000" s="8" t="str">
        <f>IFERROR(__xludf.DUMMYFUNCTION("""COMPUTED_VALUE"""),"P10まで")</f>
        <v>P10まで</v>
      </c>
      <c r="Z5000" s="7"/>
      <c r="AA5000" s="7"/>
      <c r="AB5000" s="7"/>
    </row>
    <row r="5001" ht="15.75" customHeight="1">
      <c r="A5001" s="26">
        <f>IFERROR(__xludf.DUMMYFUNCTION("""COMPUTED_VALUE"""),7745.0)</f>
        <v>7745</v>
      </c>
      <c r="B5001" s="22" t="str">
        <f>IFERROR(__xludf.DUMMYFUNCTION("""COMPUTED_VALUE"""),"確定")</f>
        <v>確定</v>
      </c>
      <c r="C5001" s="28">
        <f>IFERROR(__xludf.DUMMYFUNCTION("""COMPUTED_VALUE"""),46106.0)</f>
        <v>46106</v>
      </c>
      <c r="D5001" s="28">
        <f>IFERROR(__xludf.DUMMYFUNCTION("""COMPUTED_VALUE"""),46107.0)</f>
        <v>46107</v>
      </c>
      <c r="E5001" s="26">
        <f>IFERROR(__xludf.DUMMYFUNCTION("""COMPUTED_VALUE"""),358946.0)</f>
        <v>358946</v>
      </c>
      <c r="F5001" s="22" t="str">
        <f>IFERROR(__xludf.DUMMYFUNCTION("""COMPUTED_VALUE"""),"妄想令嬢と堅物王子 淫らな魔法が解けませんっ！")</f>
        <v>妄想令嬢と堅物王子 淫らな魔法が解けませんっ！</v>
      </c>
      <c r="G5001" s="20" t="str">
        <f>IFERROR(__xludf.DUMMYFUNCTION("""COMPUTED_VALUE"""),"1～3")</f>
        <v>1～3</v>
      </c>
      <c r="H5001" s="22" t="str">
        <f>IFERROR(__xludf.DUMMYFUNCTION("""COMPUTED_VALUE"""),"漫画：えぞのいな／原作：あまおう紅／キャラクター原案：YUGE")</f>
        <v>漫画：えぞのいな／原作：あまおう紅／キャラクター原案：YUGE</v>
      </c>
      <c r="I5001" s="22" t="str">
        <f>IFERROR(__xludf.DUMMYFUNCTION("""COMPUTED_VALUE"""),"女性")</f>
        <v>女性</v>
      </c>
      <c r="J5001" s="22"/>
      <c r="K5001" s="22"/>
      <c r="L5001" s="22" t="str">
        <f>IFERROR(__xludf.DUMMYFUNCTION("""COMPUTED_VALUE"""),"集英社")</f>
        <v>集英社</v>
      </c>
      <c r="M5001" s="33">
        <f>IFERROR(__xludf.DUMMYFUNCTION("""COMPUTED_VALUE"""),46143.0)</f>
        <v>46143</v>
      </c>
      <c r="N5001" s="33">
        <f>IFERROR(__xludf.DUMMYFUNCTION("""COMPUTED_VALUE"""),46173.0)</f>
        <v>46173</v>
      </c>
      <c r="O5001" s="20"/>
      <c r="P5001" s="32" t="str">
        <f>IFERROR(__xludf.DUMMYFUNCTION("""COMPUTED_VALUE"""),"否")</f>
        <v>否</v>
      </c>
      <c r="Q5001" s="30" t="str">
        <f>IFERROR(__xludf.DUMMYFUNCTION("""COMPUTED_VALUE"""),"原作者が「王子様は淫魔の取り替えっ子でした 貞淑な令嬢をダメにするニョロの誘惑」https://www.cmoa.jp/title/314493/　と同じあまおう紅先生です。")</f>
        <v>原作者が「王子様は淫魔の取り替えっ子でした 貞淑な令嬢をダメにするニョロの誘惑」https://www.cmoa.jp/title/314493/　と同じあまおう紅先生です。</v>
      </c>
      <c r="R5001" s="22"/>
      <c r="S5001" s="22" t="str">
        <f>IFERROR(__xludf.DUMMYFUNCTION("""COMPUTED_VALUE"""),"20260324_集英社_妄想令嬢と堅物王子")</f>
        <v>20260324_集英社_妄想令嬢と堅物王子</v>
      </c>
      <c r="T5001" s="22" t="str">
        <f>IFERROR(__xludf.DUMMYFUNCTION("""COMPUTED_VALUE"""),"格納済み")</f>
        <v>格納済み</v>
      </c>
      <c r="U5001" s="9" t="str">
        <f>IFERROR(__xludf.DUMMYFUNCTION("""COMPUTED_VALUE"""),"(c)えぞのいな・あまおう紅／集英社")</f>
        <v>(c)えぞのいな・あまおう紅／集英社</v>
      </c>
      <c r="V5001" s="8"/>
      <c r="W5001" s="8"/>
      <c r="X5001" s="8" t="str">
        <f>IFERROR(__xludf.DUMMYFUNCTION("""COMPUTED_VALUE"""),"有")</f>
        <v>有</v>
      </c>
      <c r="Y5001" s="8" t="str">
        <f>IFERROR(__xludf.DUMMYFUNCTION("""COMPUTED_VALUE"""),"P14まで")</f>
        <v>P14まで</v>
      </c>
      <c r="Z5001" s="7"/>
      <c r="AA5001" s="7"/>
      <c r="AB5001" s="7"/>
    </row>
    <row r="5002" ht="15.75" customHeight="1">
      <c r="A5002" s="26">
        <f>IFERROR(__xludf.DUMMYFUNCTION("""COMPUTED_VALUE"""),7755.0)</f>
        <v>7755</v>
      </c>
      <c r="B5002" s="22" t="str">
        <f>IFERROR(__xludf.DUMMYFUNCTION("""COMPUTED_VALUE"""),"確定")</f>
        <v>確定</v>
      </c>
      <c r="C5002" s="28">
        <f>IFERROR(__xludf.DUMMYFUNCTION("""COMPUTED_VALUE"""),46107.0)</f>
        <v>46107</v>
      </c>
      <c r="D5002" s="28">
        <f>IFERROR(__xludf.DUMMYFUNCTION("""COMPUTED_VALUE"""),46111.0)</f>
        <v>46111</v>
      </c>
      <c r="E5002" s="26">
        <f>IFERROR(__xludf.DUMMYFUNCTION("""COMPUTED_VALUE"""),336943.0)</f>
        <v>336943</v>
      </c>
      <c r="F5002" s="22" t="str">
        <f>IFERROR(__xludf.DUMMYFUNCTION("""COMPUTED_VALUE"""),"最悪の運命は、私を溺愛する番。～あの夜、最愛の子を授かりました～")</f>
        <v>最悪の運命は、私を溺愛する番。～あの夜、最愛の子を授かりました～</v>
      </c>
      <c r="G5002" s="20" t="str">
        <f>IFERROR(__xludf.DUMMYFUNCTION("""COMPUTED_VALUE"""),"1～3")</f>
        <v>1～3</v>
      </c>
      <c r="H5002" s="22" t="str">
        <f>IFERROR(__xludf.DUMMYFUNCTION("""COMPUTED_VALUE"""),"雪原しづき,冲,秋山ヨウ,マテリアルズ")</f>
        <v>雪原しづき,冲,秋山ヨウ,マテリアルズ</v>
      </c>
      <c r="I5002" s="22" t="str">
        <f>IFERROR(__xludf.DUMMYFUNCTION("""COMPUTED_VALUE"""),"女性")</f>
        <v>女性</v>
      </c>
      <c r="J5002" s="22"/>
      <c r="K5002" s="22" t="str">
        <f>IFERROR(__xludf.DUMMYFUNCTION("""COMPUTED_VALUE"""),"トレモア・リアルラブ,トレモアcollection")</f>
        <v>トレモア・リアルラブ,トレモアcollection</v>
      </c>
      <c r="L5002" s="22" t="str">
        <f>IFERROR(__xludf.DUMMYFUNCTION("""COMPUTED_VALUE"""),"シーモアコミックス（トレモア）")</f>
        <v>シーモアコミックス（トレモア）</v>
      </c>
      <c r="M5002" s="33">
        <f>IFERROR(__xludf.DUMMYFUNCTION("""COMPUTED_VALUE"""),46150.0)</f>
        <v>46150</v>
      </c>
      <c r="N5002" s="33">
        <f>IFERROR(__xludf.DUMMYFUNCTION("""COMPUTED_VALUE"""),2958465.0)</f>
        <v>2958465</v>
      </c>
      <c r="O5002" s="20"/>
      <c r="P5002" s="32" t="str">
        <f>IFERROR(__xludf.DUMMYFUNCTION("""COMPUTED_VALUE"""),"可")</f>
        <v>可</v>
      </c>
      <c r="Q5002" s="30"/>
      <c r="R5002" s="22"/>
      <c r="S5002" s="22" t="str">
        <f>IFERROR(__xludf.DUMMYFUNCTION("""COMPUTED_VALUE"""),"20260326_シーモアコミックス_最悪の運命は、私を溺愛する番。～あの夜、最愛の子を授かりました～")</f>
        <v>20260326_シーモアコミックス_最悪の運命は、私を溺愛する番。～あの夜、最愛の子を授かりました～</v>
      </c>
      <c r="T5002" s="22" t="str">
        <f>IFERROR(__xludf.DUMMYFUNCTION("""COMPUTED_VALUE"""),"格納済み")</f>
        <v>格納済み</v>
      </c>
      <c r="U5002" s="9" t="str">
        <f>IFERROR(__xludf.DUMMYFUNCTION("""COMPUTED_VALUE"""),"(C) 雪原しづき/冲/秋山ヨウ/マテリアルズ/シーモアコミックス")</f>
        <v>(C) 雪原しづき/冲/秋山ヨウ/マテリアルズ/シーモアコミックス</v>
      </c>
      <c r="V5002" s="8"/>
      <c r="W5002" s="8"/>
      <c r="X5002" s="8" t="str">
        <f>IFERROR(__xludf.DUMMYFUNCTION("""COMPUTED_VALUE"""),"有")</f>
        <v>有</v>
      </c>
      <c r="Y5002" s="8" t="str">
        <f>IFERROR(__xludf.DUMMYFUNCTION("""COMPUTED_VALUE"""),"P14まで")</f>
        <v>P14まで</v>
      </c>
      <c r="Z5002" s="7"/>
      <c r="AA5002" s="7"/>
      <c r="AB5002" s="7"/>
    </row>
    <row r="5003" ht="15.75" customHeight="1">
      <c r="A5003" s="26">
        <f>IFERROR(__xludf.DUMMYFUNCTION("""COMPUTED_VALUE"""),7756.0)</f>
        <v>7756</v>
      </c>
      <c r="B5003" s="22" t="str">
        <f>IFERROR(__xludf.DUMMYFUNCTION("""COMPUTED_VALUE"""),"確定")</f>
        <v>確定</v>
      </c>
      <c r="C5003" s="28">
        <f>IFERROR(__xludf.DUMMYFUNCTION("""COMPUTED_VALUE"""),46107.0)</f>
        <v>46107</v>
      </c>
      <c r="D5003" s="28">
        <f>IFERROR(__xludf.DUMMYFUNCTION("""COMPUTED_VALUE"""),46113.0)</f>
        <v>46113</v>
      </c>
      <c r="E5003" s="26">
        <f>IFERROR(__xludf.DUMMYFUNCTION("""COMPUTED_VALUE"""),351444.0)</f>
        <v>351444</v>
      </c>
      <c r="F5003" s="22" t="str">
        <f>IFERROR(__xludf.DUMMYFUNCTION("""COMPUTED_VALUE"""),"無自覚Ωと番様～一夜の過ちのはずが、御曹司αに溺愛されています～")</f>
        <v>無自覚Ωと番様～一夜の過ちのはずが、御曹司αに溺愛されています～</v>
      </c>
      <c r="G5003" s="20" t="str">
        <f>IFERROR(__xludf.DUMMYFUNCTION("""COMPUTED_VALUE"""),"1～3")</f>
        <v>1～3</v>
      </c>
      <c r="H5003" s="22" t="str">
        <f>IFERROR(__xludf.DUMMYFUNCTION("""COMPUTED_VALUE"""),"氷室スイ,鳥栖茉莉花,金子りさ")</f>
        <v>氷室スイ,鳥栖茉莉花,金子りさ</v>
      </c>
      <c r="I5003" s="22" t="str">
        <f>IFERROR(__xludf.DUMMYFUNCTION("""COMPUTED_VALUE"""),"女性")</f>
        <v>女性</v>
      </c>
      <c r="J5003" s="22"/>
      <c r="K5003" s="22" t="str">
        <f>IFERROR(__xludf.DUMMYFUNCTION("""COMPUTED_VALUE"""),"トレモア・リアルラブ,トレモアcollection")</f>
        <v>トレモア・リアルラブ,トレモアcollection</v>
      </c>
      <c r="L5003" s="22" t="str">
        <f>IFERROR(__xludf.DUMMYFUNCTION("""COMPUTED_VALUE"""),"シーモアコミックス（トレモア）")</f>
        <v>シーモアコミックス（トレモア）</v>
      </c>
      <c r="M5003" s="33">
        <f>IFERROR(__xludf.DUMMYFUNCTION("""COMPUTED_VALUE"""),46150.0)</f>
        <v>46150</v>
      </c>
      <c r="N5003" s="33">
        <f>IFERROR(__xludf.DUMMYFUNCTION("""COMPUTED_VALUE"""),2958465.0)</f>
        <v>2958465</v>
      </c>
      <c r="O5003" s="20"/>
      <c r="P5003" s="32" t="str">
        <f>IFERROR(__xludf.DUMMYFUNCTION("""COMPUTED_VALUE"""),"可")</f>
        <v>可</v>
      </c>
      <c r="Q5003" s="30"/>
      <c r="R5003" s="22"/>
      <c r="S5003" s="22" t="str">
        <f>IFERROR(__xludf.DUMMYFUNCTION("""COMPUTED_VALUE"""),"20260326_シーモアコミックス_無自覚Ωと番様～一夜の過ちのはずが、御曹司αに溺愛されています～")</f>
        <v>20260326_シーモアコミックス_無自覚Ωと番様～一夜の過ちのはずが、御曹司αに溺愛されています～</v>
      </c>
      <c r="T5003" s="22" t="str">
        <f>IFERROR(__xludf.DUMMYFUNCTION("""COMPUTED_VALUE"""),"格納済み")</f>
        <v>格納済み</v>
      </c>
      <c r="U5003" s="9" t="str">
        <f>IFERROR(__xludf.DUMMYFUNCTION("""COMPUTED_VALUE"""),"(C) 氷室スイ/鳥栖茉莉花/金子りさ/シーモアコミックス")</f>
        <v>(C) 氷室スイ/鳥栖茉莉花/金子りさ/シーモアコミックス</v>
      </c>
      <c r="V5003" s="8"/>
      <c r="W5003" s="8"/>
      <c r="X5003" s="8" t="str">
        <f>IFERROR(__xludf.DUMMYFUNCTION("""COMPUTED_VALUE"""),"有")</f>
        <v>有</v>
      </c>
      <c r="Y5003" s="8" t="str">
        <f>IFERROR(__xludf.DUMMYFUNCTION("""COMPUTED_VALUE"""),"P13まで")</f>
        <v>P13まで</v>
      </c>
      <c r="Z5003" s="7"/>
      <c r="AA5003" s="7"/>
      <c r="AB5003" s="7"/>
    </row>
    <row r="5004" ht="15.75" customHeight="1">
      <c r="A5004" s="26">
        <f>IFERROR(__xludf.DUMMYFUNCTION("""COMPUTED_VALUE"""),7757.0)</f>
        <v>7757</v>
      </c>
      <c r="B5004" s="22" t="str">
        <f>IFERROR(__xludf.DUMMYFUNCTION("""COMPUTED_VALUE"""),"確定")</f>
        <v>確定</v>
      </c>
      <c r="C5004" s="28">
        <f>IFERROR(__xludf.DUMMYFUNCTION("""COMPUTED_VALUE"""),46107.0)</f>
        <v>46107</v>
      </c>
      <c r="D5004" s="28">
        <f>IFERROR(__xludf.DUMMYFUNCTION("""COMPUTED_VALUE"""),46111.0)</f>
        <v>46111</v>
      </c>
      <c r="E5004" s="26">
        <f>IFERROR(__xludf.DUMMYFUNCTION("""COMPUTED_VALUE"""),359755.0)</f>
        <v>359755</v>
      </c>
      <c r="F5004" s="22" t="str">
        <f>IFERROR(__xludf.DUMMYFUNCTION("""COMPUTED_VALUE"""),"人妻、浮気、団地にて。")</f>
        <v>人妻、浮気、団地にて。</v>
      </c>
      <c r="G5004" s="20" t="str">
        <f>IFERROR(__xludf.DUMMYFUNCTION("""COMPUTED_VALUE"""),"1～3")</f>
        <v>1～3</v>
      </c>
      <c r="H5004" s="22" t="str">
        <f>IFERROR(__xludf.DUMMYFUNCTION("""COMPUTED_VALUE"""),"石狩庵")</f>
        <v>石狩庵</v>
      </c>
      <c r="I5004" s="22" t="str">
        <f>IFERROR(__xludf.DUMMYFUNCTION("""COMPUTED_VALUE"""),"アダルト")</f>
        <v>アダルト</v>
      </c>
      <c r="J5004" s="22"/>
      <c r="K5004" s="22"/>
      <c r="L5004" s="22" t="str">
        <f>IFERROR(__xludf.DUMMYFUNCTION("""COMPUTED_VALUE"""),"セ・キララ文庫")</f>
        <v>セ・キララ文庫</v>
      </c>
      <c r="M5004" s="33">
        <f>IFERROR(__xludf.DUMMYFUNCTION("""COMPUTED_VALUE"""),46167.0)</f>
        <v>46167</v>
      </c>
      <c r="N5004" s="33">
        <f>IFERROR(__xludf.DUMMYFUNCTION("""COMPUTED_VALUE"""),46227.0)</f>
        <v>46227</v>
      </c>
      <c r="O5004" s="20"/>
      <c r="P5004" s="32" t="str">
        <f>IFERROR(__xludf.DUMMYFUNCTION("""COMPUTED_VALUE"""),"可")</f>
        <v>可</v>
      </c>
      <c r="Q5004" s="30"/>
      <c r="R5004" s="22"/>
      <c r="S5004" s="22" t="str">
        <f>IFERROR(__xludf.DUMMYFUNCTION("""COMPUTED_VALUE"""),"20260326_ライドオン_人妻、浮気、団地にて。─37歳美穂─")</f>
        <v>20260326_ライドオン_人妻、浮気、団地にて。─37歳美穂─</v>
      </c>
      <c r="T5004" s="22" t="str">
        <f>IFERROR(__xludf.DUMMYFUNCTION("""COMPUTED_VALUE"""),"格納済み")</f>
        <v>格納済み</v>
      </c>
      <c r="U5004" s="9" t="str">
        <f>IFERROR(__xludf.DUMMYFUNCTION("""COMPUTED_VALUE"""),"(C)石狩庵/セ・キララ文庫")</f>
        <v>(C)石狩庵/セ・キララ文庫</v>
      </c>
      <c r="V5004" s="8"/>
      <c r="W5004" s="8"/>
      <c r="X5004" s="8" t="str">
        <f>IFERROR(__xludf.DUMMYFUNCTION("""COMPUTED_VALUE"""),"有")</f>
        <v>有</v>
      </c>
      <c r="Y5004" s="8" t="str">
        <f>IFERROR(__xludf.DUMMYFUNCTION("""COMPUTED_VALUE"""),"2026/7/24までP15まで増量中")</f>
        <v>2026/7/24までP15まで増量中</v>
      </c>
      <c r="Z5004" s="7"/>
      <c r="AA5004" s="7"/>
      <c r="AB5004" s="7"/>
    </row>
    <row r="5005" ht="15.75" customHeight="1">
      <c r="A5005" s="26">
        <f>IFERROR(__xludf.DUMMYFUNCTION("""COMPUTED_VALUE"""),7763.0)</f>
        <v>7763</v>
      </c>
      <c r="B5005" s="22" t="str">
        <f>IFERROR(__xludf.DUMMYFUNCTION("""COMPUTED_VALUE"""),"確定")</f>
        <v>確定</v>
      </c>
      <c r="C5005" s="28">
        <f>IFERROR(__xludf.DUMMYFUNCTION("""COMPUTED_VALUE"""),46108.0)</f>
        <v>46108</v>
      </c>
      <c r="D5005" s="28">
        <f>IFERROR(__xludf.DUMMYFUNCTION("""COMPUTED_VALUE"""),46113.0)</f>
        <v>46113</v>
      </c>
      <c r="E5005" s="26">
        <f>IFERROR(__xludf.DUMMYFUNCTION("""COMPUTED_VALUE"""),354212.0)</f>
        <v>354212</v>
      </c>
      <c r="F5005" s="22" t="str">
        <f>IFERROR(__xludf.DUMMYFUNCTION("""COMPUTED_VALUE"""),"エリート弁護士になった（元）冷徹若頭に再会したら、ひっそり出産した息子ごと愛し尽くされ囲われています【分冊版】")</f>
        <v>エリート弁護士になった（元）冷徹若頭に再会したら、ひっそり出産した息子ごと愛し尽くされ囲われています【分冊版】</v>
      </c>
      <c r="G5005" s="20" t="str">
        <f>IFERROR(__xludf.DUMMYFUNCTION("""COMPUTED_VALUE"""),"1～4")</f>
        <v>1～4</v>
      </c>
      <c r="H5005" s="22" t="str">
        <f>IFERROR(__xludf.DUMMYFUNCTION("""COMPUTED_VALUE"""),"Sachiyo,なぁな")</f>
        <v>Sachiyo,なぁな</v>
      </c>
      <c r="I5005" s="22" t="str">
        <f>IFERROR(__xludf.DUMMYFUNCTION("""COMPUTED_VALUE"""),"女性")</f>
        <v>女性</v>
      </c>
      <c r="J5005" s="22"/>
      <c r="K5005" s="22" t="str">
        <f>IFERROR(__xludf.DUMMYFUNCTION("""COMPUTED_VALUE"""),"マーマレードコミックス")</f>
        <v>マーマレードコミックス</v>
      </c>
      <c r="L5005" s="22" t="str">
        <f>IFERROR(__xludf.DUMMYFUNCTION("""COMPUTED_VALUE"""),"ハーパーコリンズ・ジャパン")</f>
        <v>ハーパーコリンズ・ジャパン</v>
      </c>
      <c r="M5005" s="33">
        <f>IFERROR(__xludf.DUMMYFUNCTION("""COMPUTED_VALUE"""),46129.0)</f>
        <v>46129</v>
      </c>
      <c r="N5005" s="33">
        <f>IFERROR(__xludf.DUMMYFUNCTION("""COMPUTED_VALUE"""),46282.66666666667)</f>
        <v>46282.66667</v>
      </c>
      <c r="O5005" s="20"/>
      <c r="P5005" s="32" t="str">
        <f>IFERROR(__xludf.DUMMYFUNCTION("""COMPUTED_VALUE"""),"可")</f>
        <v>可</v>
      </c>
      <c r="Q5005" s="30"/>
      <c r="R5005" s="22" t="str">
        <f>IFERROR(__xludf.DUMMYFUNCTION("""COMPUTED_VALUE"""),"コミットNG")</f>
        <v>コミットNG</v>
      </c>
      <c r="S5005" s="22" t="str">
        <f>IFERROR(__xludf.DUMMYFUNCTION("""COMPUTED_VALUE"""),"20260323_ハーパーコリンズ・ジャパン_エリート弁護士になった（元）冷徹若頭に再会したら、ひっそり出産した息子ごと愛し尽くされ囲われています【分冊版】")</f>
        <v>20260323_ハーパーコリンズ・ジャパン_エリート弁護士になった（元）冷徹若頭に再会したら、ひっそり出産した息子ごと愛し尽くされ囲われています【分冊版】</v>
      </c>
      <c r="T5005" s="22" t="str">
        <f>IFERROR(__xludf.DUMMYFUNCTION("""COMPUTED_VALUE"""),"格納済み")</f>
        <v>格納済み</v>
      </c>
      <c r="U5005" s="9" t="str">
        <f>IFERROR(__xludf.DUMMYFUNCTION("""COMPUTED_VALUE"""),"ⒸSachiyo・なぁな／ハーパーコリンズ・ジャパン")</f>
        <v>ⒸSachiyo・なぁな／ハーパーコリンズ・ジャパン</v>
      </c>
      <c r="V5005" s="8"/>
      <c r="W5005" s="8"/>
      <c r="X5005" s="8" t="str">
        <f>IFERROR(__xludf.DUMMYFUNCTION("""COMPUTED_VALUE"""),"有")</f>
        <v>有</v>
      </c>
      <c r="Y5005" s="8" t="str">
        <f>IFERROR(__xludf.DUMMYFUNCTION("""COMPUTED_VALUE"""),"2026/4/30まで1巻無料")</f>
        <v>2026/4/30まで1巻無料</v>
      </c>
      <c r="Z5005" s="7"/>
      <c r="AA5005" s="7"/>
      <c r="AB5005" s="7"/>
    </row>
    <row r="5006" ht="15.75" customHeight="1">
      <c r="A5006" s="26">
        <f>IFERROR(__xludf.DUMMYFUNCTION("""COMPUTED_VALUE"""),7764.0)</f>
        <v>7764</v>
      </c>
      <c r="B5006" s="22" t="str">
        <f>IFERROR(__xludf.DUMMYFUNCTION("""COMPUTED_VALUE"""),"確定")</f>
        <v>確定</v>
      </c>
      <c r="C5006" s="28">
        <f>IFERROR(__xludf.DUMMYFUNCTION("""COMPUTED_VALUE"""),46108.0)</f>
        <v>46108</v>
      </c>
      <c r="D5006" s="28">
        <f>IFERROR(__xludf.DUMMYFUNCTION("""COMPUTED_VALUE"""),46113.0)</f>
        <v>46113</v>
      </c>
      <c r="E5006" s="26">
        <f>IFERROR(__xludf.DUMMYFUNCTION("""COMPUTED_VALUE"""),360083.0)</f>
        <v>360083</v>
      </c>
      <c r="F5006" s="22" t="str">
        <f>IFERROR(__xludf.DUMMYFUNCTION("""COMPUTED_VALUE"""),"純白婚～政略結婚させられた幼妻ですが、溺愛されすぎて困ります～【マイクロ】")</f>
        <v>純白婚～政略結婚させられた幼妻ですが、溺愛されすぎて困ります～【マイクロ】</v>
      </c>
      <c r="G5006" s="20">
        <f>IFERROR(__xludf.DUMMYFUNCTION("""COMPUTED_VALUE"""),1.0)</f>
        <v>1</v>
      </c>
      <c r="H5006" s="22" t="str">
        <f>IFERROR(__xludf.DUMMYFUNCTION("""COMPUTED_VALUE"""),"蛙田アメコ・大ノ木さよし")</f>
        <v>蛙田アメコ・大ノ木さよし</v>
      </c>
      <c r="I5006" s="22" t="str">
        <f>IFERROR(__xludf.DUMMYFUNCTION("""COMPUTED_VALUE"""),"女性")</f>
        <v>女性</v>
      </c>
      <c r="J5006" s="22"/>
      <c r="K5006" s="22" t="str">
        <f>IFERROR(__xludf.DUMMYFUNCTION("""COMPUTED_VALUE"""),"異世界フラワーコミックス")</f>
        <v>異世界フラワーコミックス</v>
      </c>
      <c r="L5006" s="22" t="str">
        <f>IFERROR(__xludf.DUMMYFUNCTION("""COMPUTED_VALUE"""),"小学館")</f>
        <v>小学館</v>
      </c>
      <c r="M5006" s="33">
        <f>IFERROR(__xludf.DUMMYFUNCTION("""COMPUTED_VALUE"""),46144.0)</f>
        <v>46144</v>
      </c>
      <c r="N5006" s="33">
        <f>IFERROR(__xludf.DUMMYFUNCTION("""COMPUTED_VALUE"""),46204.0)</f>
        <v>46204</v>
      </c>
      <c r="O5006" s="20"/>
      <c r="P5006" s="32" t="str">
        <f>IFERROR(__xludf.DUMMYFUNCTION("""COMPUTED_VALUE"""),"否")</f>
        <v>否</v>
      </c>
      <c r="Q5006" s="30"/>
      <c r="R5006" s="22"/>
      <c r="S5006" s="22" t="str">
        <f>IFERROR(__xludf.DUMMYFUNCTION("""COMPUTED_VALUE"""),"20260401_小学館_純白婚～政略結婚させられた幼妻ですが、溺愛されすぎて困ります～【マイクロ】")</f>
        <v>20260401_小学館_純白婚～政略結婚させられた幼妻ですが、溺愛されすぎて困ります～【マイクロ】</v>
      </c>
      <c r="T5006" s="22" t="str">
        <f>IFERROR(__xludf.DUMMYFUNCTION("""COMPUTED_VALUE"""),"格納済み")</f>
        <v>格納済み</v>
      </c>
      <c r="U5006" s="9" t="str">
        <f>IFERROR(__xludf.DUMMYFUNCTION("""COMPUTED_VALUE"""),"C)蛙田アメコ・大ノ木さよし / 小学館")</f>
        <v>C)蛙田アメコ・大ノ木さよし / 小学館</v>
      </c>
      <c r="V5006" s="8"/>
      <c r="W5006" s="8"/>
      <c r="X5006" s="8" t="str">
        <f>IFERROR(__xludf.DUMMYFUNCTION("""COMPUTED_VALUE"""),"有")</f>
        <v>有</v>
      </c>
      <c r="Y5006" s="8" t="str">
        <f>IFERROR(__xludf.DUMMYFUNCTION("""COMPUTED_VALUE"""),"P10まで")</f>
        <v>P10まで</v>
      </c>
      <c r="Z5006" s="7"/>
      <c r="AA5006" s="7"/>
      <c r="AB5006" s="7"/>
    </row>
    <row r="5007" ht="15.75" customHeight="1">
      <c r="A5007" s="26">
        <f>IFERROR(__xludf.DUMMYFUNCTION("""COMPUTED_VALUE"""),7765.0)</f>
        <v>7765</v>
      </c>
      <c r="B5007" s="22" t="str">
        <f>IFERROR(__xludf.DUMMYFUNCTION("""COMPUTED_VALUE"""),"確定")</f>
        <v>確定</v>
      </c>
      <c r="C5007" s="28">
        <f>IFERROR(__xludf.DUMMYFUNCTION("""COMPUTED_VALUE"""),46108.0)</f>
        <v>46108</v>
      </c>
      <c r="D5007" s="28">
        <f>IFERROR(__xludf.DUMMYFUNCTION("""COMPUTED_VALUE"""),46113.0)</f>
        <v>46113</v>
      </c>
      <c r="E5007" s="26">
        <f>IFERROR(__xludf.DUMMYFUNCTION("""COMPUTED_VALUE"""),357323.0)</f>
        <v>357323</v>
      </c>
      <c r="F5007" s="22" t="str">
        <f>IFERROR(__xludf.DUMMYFUNCTION("""COMPUTED_VALUE"""),"一等星と春の衛星")</f>
        <v>一等星と春の衛星</v>
      </c>
      <c r="G5007" s="20" t="str">
        <f>IFERROR(__xludf.DUMMYFUNCTION("""COMPUTED_VALUE"""),"1～4")</f>
        <v>1～4</v>
      </c>
      <c r="H5007" s="22" t="str">
        <f>IFERROR(__xludf.DUMMYFUNCTION("""COMPUTED_VALUE"""),"二桜サク")</f>
        <v>二桜サク</v>
      </c>
      <c r="I5007" s="22" t="str">
        <f>IFERROR(__xludf.DUMMYFUNCTION("""COMPUTED_VALUE"""),"女性")</f>
        <v>女性</v>
      </c>
      <c r="J5007" s="22"/>
      <c r="K5007" s="22"/>
      <c r="L5007" s="22" t="str">
        <f>IFERROR(__xludf.DUMMYFUNCTION("""COMPUTED_VALUE"""),"集英社")</f>
        <v>集英社</v>
      </c>
      <c r="M5007" s="33">
        <f>IFERROR(__xludf.DUMMYFUNCTION("""COMPUTED_VALUE"""),46137.0)</f>
        <v>46137</v>
      </c>
      <c r="N5007" s="33">
        <f>IFERROR(__xludf.DUMMYFUNCTION("""COMPUTED_VALUE"""),46166.0)</f>
        <v>46166</v>
      </c>
      <c r="O5007" s="20"/>
      <c r="P5007" s="32" t="str">
        <f>IFERROR(__xludf.DUMMYFUNCTION("""COMPUTED_VALUE"""),"否")</f>
        <v>否</v>
      </c>
      <c r="Q5007" s="30"/>
      <c r="R5007" s="22"/>
      <c r="S5007" s="22" t="str">
        <f>IFERROR(__xludf.DUMMYFUNCTION("""COMPUTED_VALUE"""),"20260327_集英社_一等星と春の衛星")</f>
        <v>20260327_集英社_一等星と春の衛星</v>
      </c>
      <c r="T5007" s="22" t="str">
        <f>IFERROR(__xludf.DUMMYFUNCTION("""COMPUTED_VALUE"""),"格納済み")</f>
        <v>格納済み</v>
      </c>
      <c r="U5007" s="9" t="str">
        <f>IFERROR(__xludf.DUMMYFUNCTION("""COMPUTED_VALUE"""),"(c)二桜サク／集英社")</f>
        <v>(c)二桜サク／集英社</v>
      </c>
      <c r="V5007" s="8"/>
      <c r="W5007" s="8"/>
      <c r="X5007" s="8" t="str">
        <f>IFERROR(__xludf.DUMMYFUNCTION("""COMPUTED_VALUE"""),"有")</f>
        <v>有</v>
      </c>
      <c r="Y5007" s="8" t="str">
        <f>IFERROR(__xludf.DUMMYFUNCTION("""COMPUTED_VALUE"""),"P29まで")</f>
        <v>P29まで</v>
      </c>
      <c r="Z5007" s="7"/>
      <c r="AA5007" s="7"/>
      <c r="AB5007" s="7"/>
    </row>
    <row r="5008" ht="15.75" customHeight="1">
      <c r="A5008" s="26">
        <f>IFERROR(__xludf.DUMMYFUNCTION("""COMPUTED_VALUE"""),7766.0)</f>
        <v>7766</v>
      </c>
      <c r="B5008" s="22" t="str">
        <f>IFERROR(__xludf.DUMMYFUNCTION("""COMPUTED_VALUE"""),"確定")</f>
        <v>確定</v>
      </c>
      <c r="C5008" s="28">
        <f>IFERROR(__xludf.DUMMYFUNCTION("""COMPUTED_VALUE"""),46108.0)</f>
        <v>46108</v>
      </c>
      <c r="D5008" s="28">
        <f>IFERROR(__xludf.DUMMYFUNCTION("""COMPUTED_VALUE"""),46113.0)</f>
        <v>46113</v>
      </c>
      <c r="E5008" s="26">
        <f>IFERROR(__xludf.DUMMYFUNCTION("""COMPUTED_VALUE"""),358804.0)</f>
        <v>358804</v>
      </c>
      <c r="F5008" s="22" t="str">
        <f>IFERROR(__xludf.DUMMYFUNCTION("""COMPUTED_VALUE"""),"はらぺこ淫魔はまだたりない［ばら売り］")</f>
        <v>はらぺこ淫魔はまだたりない［ばら売り］</v>
      </c>
      <c r="G5008" s="20" t="str">
        <f>IFERROR(__xludf.DUMMYFUNCTION("""COMPUTED_VALUE"""),"1～3")</f>
        <v>1～3</v>
      </c>
      <c r="H5008" s="22" t="str">
        <f>IFERROR(__xludf.DUMMYFUNCTION("""COMPUTED_VALUE"""),"せつな")</f>
        <v>せつな</v>
      </c>
      <c r="I5008" s="22" t="str">
        <f>IFERROR(__xludf.DUMMYFUNCTION("""COMPUTED_VALUE"""),"BL")</f>
        <v>BL</v>
      </c>
      <c r="J5008" s="22"/>
      <c r="K5008" s="22" t="str">
        <f>IFERROR(__xludf.DUMMYFUNCTION("""COMPUTED_VALUE"""),"マンガPark")</f>
        <v>マンガPark</v>
      </c>
      <c r="L5008" s="22" t="str">
        <f>IFERROR(__xludf.DUMMYFUNCTION("""COMPUTED_VALUE"""),"白泉社")</f>
        <v>白泉社</v>
      </c>
      <c r="M5008" s="33">
        <f>IFERROR(__xludf.DUMMYFUNCTION("""COMPUTED_VALUE"""),46151.0)</f>
        <v>46151</v>
      </c>
      <c r="N5008" s="33">
        <f>IFERROR(__xludf.DUMMYFUNCTION("""COMPUTED_VALUE"""),46213.0)</f>
        <v>46213</v>
      </c>
      <c r="O5008" s="20"/>
      <c r="P5008" s="32" t="str">
        <f>IFERROR(__xludf.DUMMYFUNCTION("""COMPUTED_VALUE"""),"可")</f>
        <v>可</v>
      </c>
      <c r="Q5008" s="30"/>
      <c r="R5008" s="22"/>
      <c r="S5008" s="22" t="str">
        <f>IFERROR(__xludf.DUMMYFUNCTION("""COMPUTED_VALUE"""),"20260327_白泉社_はらぺこ淫魔はまだたりない［ばら売り］")</f>
        <v>20260327_白泉社_はらぺこ淫魔はまだたりない［ばら売り］</v>
      </c>
      <c r="T5008" s="22" t="str">
        <f>IFERROR(__xludf.DUMMYFUNCTION("""COMPUTED_VALUE"""),"格納済み")</f>
        <v>格納済み</v>
      </c>
      <c r="U5008" s="9" t="str">
        <f>IFERROR(__xludf.DUMMYFUNCTION("""COMPUTED_VALUE"""),"Ⓒせつな／白泉社")</f>
        <v>Ⓒせつな／白泉社</v>
      </c>
      <c r="V5008" s="8"/>
      <c r="W5008" s="8"/>
      <c r="X5008" s="8" t="str">
        <f>IFERROR(__xludf.DUMMYFUNCTION("""COMPUTED_VALUE"""),"有")</f>
        <v>有</v>
      </c>
      <c r="Y5008" s="8" t="str">
        <f>IFERROR(__xludf.DUMMYFUNCTION("""COMPUTED_VALUE"""),"P10まで")</f>
        <v>P10まで</v>
      </c>
      <c r="Z5008" s="7"/>
      <c r="AA5008" s="7"/>
      <c r="AB5008" s="7"/>
    </row>
    <row r="5009" ht="15.75" customHeight="1">
      <c r="A5009" s="26">
        <f>IFERROR(__xludf.DUMMYFUNCTION("""COMPUTED_VALUE"""),7773.0)</f>
        <v>7773</v>
      </c>
      <c r="B5009" s="22" t="str">
        <f>IFERROR(__xludf.DUMMYFUNCTION("""COMPUTED_VALUE"""),"確定")</f>
        <v>確定</v>
      </c>
      <c r="C5009" s="28">
        <f>IFERROR(__xludf.DUMMYFUNCTION("""COMPUTED_VALUE"""),46112.0)</f>
        <v>46112</v>
      </c>
      <c r="D5009" s="28">
        <f>IFERROR(__xludf.DUMMYFUNCTION("""COMPUTED_VALUE"""),46113.0)</f>
        <v>46113</v>
      </c>
      <c r="E5009" s="26">
        <f>IFERROR(__xludf.DUMMYFUNCTION("""COMPUTED_VALUE"""),357838.0)</f>
        <v>357838</v>
      </c>
      <c r="F5009" s="22" t="str">
        <f>IFERROR(__xludf.DUMMYFUNCTION("""COMPUTED_VALUE"""),"ネクタイほどいていいですか（分冊版）")</f>
        <v>ネクタイほどいていいですか（分冊版）</v>
      </c>
      <c r="G5009" s="20" t="str">
        <f>IFERROR(__xludf.DUMMYFUNCTION("""COMPUTED_VALUE"""),"1～5")</f>
        <v>1～5</v>
      </c>
      <c r="H5009" s="22" t="str">
        <f>IFERROR(__xludf.DUMMYFUNCTION("""COMPUTED_VALUE"""),"戸帳さわ")</f>
        <v>戸帳さわ</v>
      </c>
      <c r="I5009" s="22" t="str">
        <f>IFERROR(__xludf.DUMMYFUNCTION("""COMPUTED_VALUE"""),"BLマンガ")</f>
        <v>BLマンガ</v>
      </c>
      <c r="J5009" s="22"/>
      <c r="K5009" s="22" t="str">
        <f>IFERROR(__xludf.DUMMYFUNCTION("""COMPUTED_VALUE"""),"アンダルシュCOMICS")</f>
        <v>アンダルシュCOMICS</v>
      </c>
      <c r="L5009" s="22" t="str">
        <f>IFERROR(__xludf.DUMMYFUNCTION("""COMPUTED_VALUE"""),"アルファポリス")</f>
        <v>アルファポリス</v>
      </c>
      <c r="M5009" s="33">
        <f>IFERROR(__xludf.DUMMYFUNCTION("""COMPUTED_VALUE"""),46149.0)</f>
        <v>46149</v>
      </c>
      <c r="N5009" s="33">
        <f>IFERROR(__xludf.DUMMYFUNCTION("""COMPUTED_VALUE"""),46236.0)</f>
        <v>46236</v>
      </c>
      <c r="O5009" s="20"/>
      <c r="P5009" s="32" t="str">
        <f>IFERROR(__xludf.DUMMYFUNCTION("""COMPUTED_VALUE"""),"可")</f>
        <v>可</v>
      </c>
      <c r="Q5009" s="30"/>
      <c r="R5009" s="22"/>
      <c r="S5009" s="22" t="str">
        <f>IFERROR(__xludf.DUMMYFUNCTION("""COMPUTED_VALUE"""),"20260330_アルファポリス_ネクタイほどいていいですか")</f>
        <v>20260330_アルファポリス_ネクタイほどいていいですか</v>
      </c>
      <c r="T5009" s="22" t="str">
        <f>IFERROR(__xludf.DUMMYFUNCTION("""COMPUTED_VALUE"""),"格納済み")</f>
        <v>格納済み</v>
      </c>
      <c r="U5009" s="9" t="str">
        <f>IFERROR(__xludf.DUMMYFUNCTION("""COMPUTED_VALUE"""),"（C）戸帳さわ／アルファポリス")</f>
        <v>（C）戸帳さわ／アルファポリス</v>
      </c>
      <c r="V5009" s="8"/>
      <c r="W5009" s="8"/>
      <c r="X5009" s="8" t="str">
        <f>IFERROR(__xludf.DUMMYFUNCTION("""COMPUTED_VALUE"""),"有")</f>
        <v>有</v>
      </c>
      <c r="Y5009" s="8" t="str">
        <f>IFERROR(__xludf.DUMMYFUNCTION("""COMPUTED_VALUE"""),"2026/5/20まで1巻無料")</f>
        <v>2026/5/20まで1巻無料</v>
      </c>
      <c r="Z5009" s="7"/>
      <c r="AA5009" s="7"/>
      <c r="AB5009" s="7"/>
    </row>
    <row r="5010" ht="15.75" customHeight="1">
      <c r="A5010" s="26">
        <f>IFERROR(__xludf.DUMMYFUNCTION("""COMPUTED_VALUE"""),7774.0)</f>
        <v>7774</v>
      </c>
      <c r="B5010" s="22" t="str">
        <f>IFERROR(__xludf.DUMMYFUNCTION("""COMPUTED_VALUE"""),"確定")</f>
        <v>確定</v>
      </c>
      <c r="C5010" s="28">
        <f>IFERROR(__xludf.DUMMYFUNCTION("""COMPUTED_VALUE"""),46112.0)</f>
        <v>46112</v>
      </c>
      <c r="D5010" s="28">
        <f>IFERROR(__xludf.DUMMYFUNCTION("""COMPUTED_VALUE"""),46113.0)</f>
        <v>46113</v>
      </c>
      <c r="E5010" s="26">
        <f>IFERROR(__xludf.DUMMYFUNCTION("""COMPUTED_VALUE"""),358434.0)</f>
        <v>358434</v>
      </c>
      <c r="F5010" s="22" t="str">
        <f>IFERROR(__xludf.DUMMYFUNCTION("""COMPUTED_VALUE"""),"【単話版】この世界の顔面偏差値が高すぎて目が痛い～突然始まる異世界溺愛生活～@COMIC")</f>
        <v>【単話版】この世界の顔面偏差値が高すぎて目が痛い～突然始まる異世界溺愛生活～@COMIC</v>
      </c>
      <c r="G5010" s="20" t="str">
        <f>IFERROR(__xludf.DUMMYFUNCTION("""COMPUTED_VALUE"""),"1～3")</f>
        <v>1～3</v>
      </c>
      <c r="H5010" s="22" t="str">
        <f>IFERROR(__xludf.DUMMYFUNCTION("""COMPUTED_VALUE"""),"卯月澪/暁晴海/茶乃ひなの")</f>
        <v>卯月澪/暁晴海/茶乃ひなの</v>
      </c>
      <c r="I5010" s="22" t="str">
        <f>IFERROR(__xludf.DUMMYFUNCTION("""COMPUTED_VALUE"""),"少女")</f>
        <v>少女</v>
      </c>
      <c r="J5010" s="22"/>
      <c r="K5010" s="22" t="str">
        <f>IFERROR(__xludf.DUMMYFUNCTION("""COMPUTED_VALUE"""),"Celicaコミックス")</f>
        <v>Celicaコミックス</v>
      </c>
      <c r="L5010" s="22" t="str">
        <f>IFERROR(__xludf.DUMMYFUNCTION("""COMPUTED_VALUE"""),"TOブックス")</f>
        <v>TOブックス</v>
      </c>
      <c r="M5010" s="33">
        <f>IFERROR(__xludf.DUMMYFUNCTION("""COMPUTED_VALUE"""),46143.0)</f>
        <v>46143</v>
      </c>
      <c r="N5010" s="33">
        <f>IFERROR(__xludf.DUMMYFUNCTION("""COMPUTED_VALUE"""),46203.0)</f>
        <v>46203</v>
      </c>
      <c r="O5010" s="20"/>
      <c r="P5010" s="32" t="str">
        <f>IFERROR(__xludf.DUMMYFUNCTION("""COMPUTED_VALUE"""),"可")</f>
        <v>可</v>
      </c>
      <c r="Q5010" s="30"/>
      <c r="R5010" s="22"/>
      <c r="S5010" s="22" t="str">
        <f>IFERROR(__xludf.DUMMYFUNCTION("""COMPUTED_VALUE"""),"20260331_TOブックス_この世界の顔面偏差値が高すぎて目が痛い～突然始まる異世界溺愛生活～@COMIC")</f>
        <v>20260331_TOブックス_この世界の顔面偏差値が高すぎて目が痛い～突然始まる異世界溺愛生活～@COMIC</v>
      </c>
      <c r="T5010" s="22" t="str">
        <f>IFERROR(__xludf.DUMMYFUNCTION("""COMPUTED_VALUE"""),"格納済み")</f>
        <v>格納済み</v>
      </c>
      <c r="U5010" s="9" t="str">
        <f>IFERROR(__xludf.DUMMYFUNCTION("""COMPUTED_VALUE"""),"(C) Mio Uduki / Harumi Akatsuki")</f>
        <v>(C) Mio Uduki / Harumi Akatsuki</v>
      </c>
      <c r="V5010" s="8"/>
      <c r="W5010" s="8"/>
      <c r="X5010" s="8" t="str">
        <f>IFERROR(__xludf.DUMMYFUNCTION("""COMPUTED_VALUE"""),"有")</f>
        <v>有</v>
      </c>
      <c r="Y5010" s="8" t="str">
        <f>IFERROR(__xludf.DUMMYFUNCTION("""COMPUTED_VALUE"""),"P6まで")</f>
        <v>P6まで</v>
      </c>
      <c r="Z5010" s="7"/>
      <c r="AA5010" s="7"/>
      <c r="AB5010" s="7"/>
    </row>
    <row r="5011" ht="15.75" customHeight="1">
      <c r="A5011" s="26">
        <f>IFERROR(__xludf.DUMMYFUNCTION("""COMPUTED_VALUE"""),7775.0)</f>
        <v>7775</v>
      </c>
      <c r="B5011" s="22" t="str">
        <f>IFERROR(__xludf.DUMMYFUNCTION("""COMPUTED_VALUE"""),"確定")</f>
        <v>確定</v>
      </c>
      <c r="C5011" s="28">
        <f>IFERROR(__xludf.DUMMYFUNCTION("""COMPUTED_VALUE"""),46112.0)</f>
        <v>46112</v>
      </c>
      <c r="D5011" s="28">
        <f>IFERROR(__xludf.DUMMYFUNCTION("""COMPUTED_VALUE"""),46113.0)</f>
        <v>46113</v>
      </c>
      <c r="E5011" s="26">
        <f>IFERROR(__xludf.DUMMYFUNCTION("""COMPUTED_VALUE"""),358437.0)</f>
        <v>358437</v>
      </c>
      <c r="F5011" s="22" t="str">
        <f>IFERROR(__xludf.DUMMYFUNCTION("""COMPUTED_VALUE"""),"【単話版】転生ものぐさ王女よ、食っちゃ寝ライフを目指せ！@COMIC")</f>
        <v>【単話版】転生ものぐさ王女よ、食っちゃ寝ライフを目指せ！@COMIC</v>
      </c>
      <c r="G5011" s="20" t="str">
        <f>IFERROR(__xludf.DUMMYFUNCTION("""COMPUTED_VALUE"""),"1～5")</f>
        <v>1～5</v>
      </c>
      <c r="H5011" s="22" t="str">
        <f>IFERROR(__xludf.DUMMYFUNCTION("""COMPUTED_VALUE"""),"藍原ナツキ/宮緒葵/猫林")</f>
        <v>藍原ナツキ/宮緒葵/猫林</v>
      </c>
      <c r="I5011" s="22" t="str">
        <f>IFERROR(__xludf.DUMMYFUNCTION("""COMPUTED_VALUE"""),"少女")</f>
        <v>少女</v>
      </c>
      <c r="J5011" s="22"/>
      <c r="K5011" s="22" t="str">
        <f>IFERROR(__xludf.DUMMYFUNCTION("""COMPUTED_VALUE"""),"Celicaコミックス")</f>
        <v>Celicaコミックス</v>
      </c>
      <c r="L5011" s="22" t="str">
        <f>IFERROR(__xludf.DUMMYFUNCTION("""COMPUTED_VALUE"""),"TOブックス")</f>
        <v>TOブックス</v>
      </c>
      <c r="M5011" s="33">
        <f>IFERROR(__xludf.DUMMYFUNCTION("""COMPUTED_VALUE"""),46143.0)</f>
        <v>46143</v>
      </c>
      <c r="N5011" s="33">
        <f>IFERROR(__xludf.DUMMYFUNCTION("""COMPUTED_VALUE"""),46203.0)</f>
        <v>46203</v>
      </c>
      <c r="O5011" s="20"/>
      <c r="P5011" s="32" t="str">
        <f>IFERROR(__xludf.DUMMYFUNCTION("""COMPUTED_VALUE"""),"可")</f>
        <v>可</v>
      </c>
      <c r="Q5011" s="30"/>
      <c r="R5011" s="22"/>
      <c r="S5011" s="22" t="str">
        <f>IFERROR(__xludf.DUMMYFUNCTION("""COMPUTED_VALUE"""),"20260331_TOブックス_転生ものぐさ王女よ、食っちゃ寝ライフを目指せ！＠COMIC")</f>
        <v>20260331_TOブックス_転生ものぐさ王女よ、食っちゃ寝ライフを目指せ！＠COMIC</v>
      </c>
      <c r="T5011" s="22" t="str">
        <f>IFERROR(__xludf.DUMMYFUNCTION("""COMPUTED_VALUE"""),"格納済み")</f>
        <v>格納済み</v>
      </c>
      <c r="U5011" s="9" t="str">
        <f>IFERROR(__xludf.DUMMYFUNCTION("""COMPUTED_VALUE"""),"(C) Natsuki Aihara / Aoi Miyao")</f>
        <v>(C) Natsuki Aihara / Aoi Miyao</v>
      </c>
      <c r="V5011" s="8"/>
      <c r="W5011" s="8"/>
      <c r="X5011" s="8" t="str">
        <f>IFERROR(__xludf.DUMMYFUNCTION("""COMPUTED_VALUE"""),"有")</f>
        <v>有</v>
      </c>
      <c r="Y5011" s="8" t="str">
        <f>IFERROR(__xludf.DUMMYFUNCTION("""COMPUTED_VALUE"""),"1巻無料")</f>
        <v>1巻無料</v>
      </c>
      <c r="Z5011" s="7"/>
      <c r="AA5011" s="7"/>
      <c r="AB5011" s="7"/>
    </row>
    <row r="5012" ht="15.75" customHeight="1">
      <c r="A5012" s="26">
        <f>IFERROR(__xludf.DUMMYFUNCTION("""COMPUTED_VALUE"""),7776.0)</f>
        <v>7776</v>
      </c>
      <c r="B5012" s="22" t="str">
        <f>IFERROR(__xludf.DUMMYFUNCTION("""COMPUTED_VALUE"""),"確定")</f>
        <v>確定</v>
      </c>
      <c r="C5012" s="28">
        <f>IFERROR(__xludf.DUMMYFUNCTION("""COMPUTED_VALUE"""),46112.0)</f>
        <v>46112</v>
      </c>
      <c r="D5012" s="28">
        <f>IFERROR(__xludf.DUMMYFUNCTION("""COMPUTED_VALUE"""),46113.0)</f>
        <v>46113</v>
      </c>
      <c r="E5012" s="26">
        <f>IFERROR(__xludf.DUMMYFUNCTION("""COMPUTED_VALUE"""),358427.0)</f>
        <v>358427</v>
      </c>
      <c r="F5012" s="22" t="str">
        <f>IFERROR(__xludf.DUMMYFUNCTION("""COMPUTED_VALUE"""),"【単話版】魔族の王子様は私のためにスパダリを目指すそうです")</f>
        <v>【単話版】魔族の王子様は私のためにスパダリを目指すそうです</v>
      </c>
      <c r="G5012" s="20" t="str">
        <f>IFERROR(__xludf.DUMMYFUNCTION("""COMPUTED_VALUE"""),"1～3")</f>
        <v>1～3</v>
      </c>
      <c r="H5012" s="22" t="str">
        <f>IFERROR(__xludf.DUMMYFUNCTION("""COMPUTED_VALUE"""),"久藤三空")</f>
        <v>久藤三空</v>
      </c>
      <c r="I5012" s="22" t="str">
        <f>IFERROR(__xludf.DUMMYFUNCTION("""COMPUTED_VALUE"""),"少女")</f>
        <v>少女</v>
      </c>
      <c r="J5012" s="22"/>
      <c r="K5012" s="22" t="str">
        <f>IFERROR(__xludf.DUMMYFUNCTION("""COMPUTED_VALUE"""),"Celicaコミックス")</f>
        <v>Celicaコミックス</v>
      </c>
      <c r="L5012" s="22" t="str">
        <f>IFERROR(__xludf.DUMMYFUNCTION("""COMPUTED_VALUE"""),"TOブックス")</f>
        <v>TOブックス</v>
      </c>
      <c r="M5012" s="33">
        <f>IFERROR(__xludf.DUMMYFUNCTION("""COMPUTED_VALUE"""),46143.0)</f>
        <v>46143</v>
      </c>
      <c r="N5012" s="33">
        <f>IFERROR(__xludf.DUMMYFUNCTION("""COMPUTED_VALUE"""),46203.0)</f>
        <v>46203</v>
      </c>
      <c r="O5012" s="20"/>
      <c r="P5012" s="32" t="str">
        <f>IFERROR(__xludf.DUMMYFUNCTION("""COMPUTED_VALUE"""),"可")</f>
        <v>可</v>
      </c>
      <c r="Q5012" s="30"/>
      <c r="R5012" s="22"/>
      <c r="S5012" s="22" t="str">
        <f>IFERROR(__xludf.DUMMYFUNCTION("""COMPUTED_VALUE"""),"20260331_TOブックス_魔族の王子様は私のためにスパダリを目指すそうです")</f>
        <v>20260331_TOブックス_魔族の王子様は私のためにスパダリを目指すそうです</v>
      </c>
      <c r="T5012" s="22" t="str">
        <f>IFERROR(__xludf.DUMMYFUNCTION("""COMPUTED_VALUE"""),"格納済み")</f>
        <v>格納済み</v>
      </c>
      <c r="U5012" s="9" t="str">
        <f>IFERROR(__xludf.DUMMYFUNCTION("""COMPUTED_VALUE"""),"(C) Mikuu Kudo")</f>
        <v>(C) Mikuu Kudo</v>
      </c>
      <c r="V5012" s="8"/>
      <c r="W5012" s="8"/>
      <c r="X5012" s="8" t="str">
        <f>IFERROR(__xludf.DUMMYFUNCTION("""COMPUTED_VALUE"""),"有")</f>
        <v>有</v>
      </c>
      <c r="Y5012" s="8" t="str">
        <f>IFERROR(__xludf.DUMMYFUNCTION("""COMPUTED_VALUE"""),"P6まで")</f>
        <v>P6まで</v>
      </c>
      <c r="Z5012" s="7"/>
      <c r="AA5012" s="7"/>
      <c r="AB5012" s="7"/>
    </row>
    <row r="5013" ht="15.75" customHeight="1">
      <c r="A5013" s="26">
        <f>IFERROR(__xludf.DUMMYFUNCTION("""COMPUTED_VALUE"""),7777.0)</f>
        <v>7777</v>
      </c>
      <c r="B5013" s="22" t="str">
        <f>IFERROR(__xludf.DUMMYFUNCTION("""COMPUTED_VALUE"""),"確定")</f>
        <v>確定</v>
      </c>
      <c r="C5013" s="28">
        <f>IFERROR(__xludf.DUMMYFUNCTION("""COMPUTED_VALUE"""),46112.0)</f>
        <v>46112</v>
      </c>
      <c r="D5013" s="28">
        <f>IFERROR(__xludf.DUMMYFUNCTION("""COMPUTED_VALUE"""),46113.0)</f>
        <v>46113</v>
      </c>
      <c r="E5013" s="26">
        <f>IFERROR(__xludf.DUMMYFUNCTION("""COMPUTED_VALUE"""),358215.0)</f>
        <v>358215</v>
      </c>
      <c r="F5013" s="22" t="str">
        <f>IFERROR(__xludf.DUMMYFUNCTION("""COMPUTED_VALUE"""),"魔物（マンドラゴラ）ってバレたら討伐ですか？　～花の魔女のほほえみは勘違いの種を蒔く～【単話版】")</f>
        <v>魔物（マンドラゴラ）ってバレたら討伐ですか？　～花の魔女のほほえみは勘違いの種を蒔く～【単話版】</v>
      </c>
      <c r="G5013" s="20" t="str">
        <f>IFERROR(__xludf.DUMMYFUNCTION("""COMPUTED_VALUE"""),"1～3")</f>
        <v>1～3</v>
      </c>
      <c r="H5013" s="22" t="str">
        <f>IFERROR(__xludf.DUMMYFUNCTION("""COMPUTED_VALUE"""),"大林ポチ子┴Mikura┴中西達哉")</f>
        <v>大林ポチ子┴Mikura┴中西達哉</v>
      </c>
      <c r="I5013" s="22" t="str">
        <f>IFERROR(__xludf.DUMMYFUNCTION("""COMPUTED_VALUE"""),"少女")</f>
        <v>少女</v>
      </c>
      <c r="J5013" s="22"/>
      <c r="K5013" s="22"/>
      <c r="L5013" s="22" t="str">
        <f>IFERROR(__xludf.DUMMYFUNCTION("""COMPUTED_VALUE"""),"アース・スター エンターテイメント")</f>
        <v>アース・スター エンターテイメント</v>
      </c>
      <c r="M5013" s="33">
        <f>IFERROR(__xludf.DUMMYFUNCTION("""COMPUTED_VALUE"""),46135.0)</f>
        <v>46135</v>
      </c>
      <c r="N5013" s="33">
        <f>IFERROR(__xludf.DUMMYFUNCTION("""COMPUTED_VALUE"""),46240.0)</f>
        <v>46240</v>
      </c>
      <c r="O5013" s="20"/>
      <c r="P5013" s="32" t="str">
        <f>IFERROR(__xludf.DUMMYFUNCTION("""COMPUTED_VALUE"""),"可")</f>
        <v>可</v>
      </c>
      <c r="Q5013" s="30"/>
      <c r="R5013" s="22"/>
      <c r="S5013" s="22" t="str">
        <f>IFERROR(__xludf.DUMMYFUNCTION("""COMPUTED_VALUE"""),"20260331_アース・スター_魔物（マンドラゴラ）ってバレたら討伐ですか？　～花の魔女のほほえみは勘違いの種を蒔く～")</f>
        <v>20260331_アース・スター_魔物（マンドラゴラ）ってバレたら討伐ですか？　～花の魔女のほほえみは勘違いの種を蒔く～</v>
      </c>
      <c r="T5013" s="22" t="str">
        <f>IFERROR(__xludf.DUMMYFUNCTION("""COMPUTED_VALUE"""),"格納済み")</f>
        <v>格納済み</v>
      </c>
      <c r="U5013" s="9" t="str">
        <f>IFERROR(__xludf.DUMMYFUNCTION("""COMPUTED_VALUE"""),"Ⓒ 大林ポチ子　Ⓒ Mikura・中西達哉/アース・スター エンターテイメント")</f>
        <v>Ⓒ 大林ポチ子　Ⓒ Mikura・中西達哉/アース・スター エンターテイメント</v>
      </c>
      <c r="V5013" s="8"/>
      <c r="W5013" s="8"/>
      <c r="X5013" s="8" t="str">
        <f>IFERROR(__xludf.DUMMYFUNCTION("""COMPUTED_VALUE"""),"有")</f>
        <v>有</v>
      </c>
      <c r="Y5013" s="8" t="str">
        <f>IFERROR(__xludf.DUMMYFUNCTION("""COMPUTED_VALUE"""),"2026/7/21まで1巻無料")</f>
        <v>2026/7/21まで1巻無料</v>
      </c>
      <c r="Z5013" s="7"/>
      <c r="AA5013" s="7"/>
      <c r="AB5013" s="7"/>
    </row>
    <row r="5014" ht="15.75" customHeight="1">
      <c r="A5014" s="26">
        <f>IFERROR(__xludf.DUMMYFUNCTION("""COMPUTED_VALUE"""),7198.0)</f>
        <v>7198</v>
      </c>
      <c r="B5014" s="22" t="str">
        <f>IFERROR(__xludf.DUMMYFUNCTION("""COMPUTED_VALUE"""),"確定")</f>
        <v>確定</v>
      </c>
      <c r="C5014" s="28">
        <f>IFERROR(__xludf.DUMMYFUNCTION("""COMPUTED_VALUE"""),46036.0)</f>
        <v>46036</v>
      </c>
      <c r="D5014" s="28">
        <f>IFERROR(__xludf.DUMMYFUNCTION("""COMPUTED_VALUE"""),46120.0)</f>
        <v>46120</v>
      </c>
      <c r="E5014" s="26">
        <f>IFERROR(__xludf.DUMMYFUNCTION("""COMPUTED_VALUE"""),356801.0)</f>
        <v>356801</v>
      </c>
      <c r="F5014" s="22" t="str">
        <f>IFERROR(__xludf.DUMMYFUNCTION("""COMPUTED_VALUE"""),"アフターアワーズレッスン【分冊版】")</f>
        <v>アフターアワーズレッスン【分冊版】</v>
      </c>
      <c r="G5014" s="20" t="str">
        <f>IFERROR(__xludf.DUMMYFUNCTION("""COMPUTED_VALUE"""),"1～2")</f>
        <v>1～2</v>
      </c>
      <c r="H5014" s="22" t="str">
        <f>IFERROR(__xludf.DUMMYFUNCTION("""COMPUTED_VALUE"""),"時国アサ丸")</f>
        <v>時国アサ丸</v>
      </c>
      <c r="I5014" s="22" t="str">
        <f>IFERROR(__xludf.DUMMYFUNCTION("""COMPUTED_VALUE"""),"BL")</f>
        <v>BL</v>
      </c>
      <c r="J5014" s="22"/>
      <c r="K5014" s="22" t="str">
        <f>IFERROR(__xludf.DUMMYFUNCTION("""COMPUTED_VALUE"""),"ジェラートコミックス")</f>
        <v>ジェラートコミックス</v>
      </c>
      <c r="L5014" s="22" t="str">
        <f>IFERROR(__xludf.DUMMYFUNCTION("""COMPUTED_VALUE"""),"ハーパーコリンズ・ジャパン")</f>
        <v>ハーパーコリンズ・ジャパン</v>
      </c>
      <c r="M5014" s="33">
        <f>IFERROR(__xludf.DUMMYFUNCTION("""COMPUTED_VALUE"""),46134.0)</f>
        <v>46134</v>
      </c>
      <c r="N5014" s="33">
        <f>IFERROR(__xludf.DUMMYFUNCTION("""COMPUTED_VALUE"""),46194.0)</f>
        <v>46194</v>
      </c>
      <c r="O5014" s="20" t="str">
        <f>IFERROR(__xludf.DUMMYFUNCTION("""COMPUTED_VALUE"""),"【アダルト作品扱い】")</f>
        <v>【アダルト作品扱い】</v>
      </c>
      <c r="P5014" s="32" t="str">
        <f>IFERROR(__xludf.DUMMYFUNCTION("""COMPUTED_VALUE"""),"可")</f>
        <v>可</v>
      </c>
      <c r="Q5014" s="30"/>
      <c r="R5014" s="22" t="str">
        <f>IFERROR(__xludf.DUMMYFUNCTION("""COMPUTED_VALUE"""),"コミットNG")</f>
        <v>コミットNG</v>
      </c>
      <c r="S5014" s="22" t="str">
        <f>IFERROR(__xludf.DUMMYFUNCTION("""COMPUTED_VALUE"""),"20260401_ハーパーコリンズジャパン_アフターアワーズレッスン【分冊版】")</f>
        <v>20260401_ハーパーコリンズジャパン_アフターアワーズレッスン【分冊版】</v>
      </c>
      <c r="T5014" s="22" t="str">
        <f>IFERROR(__xludf.DUMMYFUNCTION("""COMPUTED_VALUE"""),"格納済み")</f>
        <v>格納済み</v>
      </c>
      <c r="U5014" s="9" t="str">
        <f>IFERROR(__xludf.DUMMYFUNCTION("""COMPUTED_VALUE"""),"ⓒ時国アサ丸ハーパーコリンズ・ジャパン")</f>
        <v>ⓒ時国アサ丸ハーパーコリンズ・ジャパン</v>
      </c>
      <c r="V5014" s="8"/>
      <c r="W5014" s="8"/>
      <c r="X5014" s="8" t="str">
        <f>IFERROR(__xludf.DUMMYFUNCTION("""COMPUTED_VALUE"""),"有")</f>
        <v>有</v>
      </c>
      <c r="Y5014" s="8" t="str">
        <f>IFERROR(__xludf.DUMMYFUNCTION("""COMPUTED_VALUE"""),"P12まで")</f>
        <v>P12まで</v>
      </c>
      <c r="Z5014" s="7"/>
      <c r="AA5014" s="7"/>
      <c r="AB5014" s="7"/>
    </row>
    <row r="5015" ht="15.75" customHeight="1">
      <c r="A5015" s="26">
        <f>IFERROR(__xludf.DUMMYFUNCTION("""COMPUTED_VALUE"""),7474.0)</f>
        <v>7474</v>
      </c>
      <c r="B5015" s="22" t="str">
        <f>IFERROR(__xludf.DUMMYFUNCTION("""COMPUTED_VALUE"""),"確定")</f>
        <v>確定</v>
      </c>
      <c r="C5015" s="28">
        <f>IFERROR(__xludf.DUMMYFUNCTION("""COMPUTED_VALUE"""),46070.0)</f>
        <v>46070</v>
      </c>
      <c r="D5015" s="28">
        <f>IFERROR(__xludf.DUMMYFUNCTION("""COMPUTED_VALUE"""),46142.0)</f>
        <v>46142</v>
      </c>
      <c r="E5015" s="26">
        <f>IFERROR(__xludf.DUMMYFUNCTION("""COMPUTED_VALUE"""),360677.0)</f>
        <v>360677</v>
      </c>
      <c r="F5015" s="22" t="str">
        <f>IFERROR(__xludf.DUMMYFUNCTION("""COMPUTED_VALUE"""),"noicomi午前０時、不良を拾いました。")</f>
        <v>noicomi午前０時、不良を拾いました。</v>
      </c>
      <c r="G5015" s="20" t="str">
        <f>IFERROR(__xludf.DUMMYFUNCTION("""COMPUTED_VALUE"""),"1～5")</f>
        <v>1～5</v>
      </c>
      <c r="H5015" s="22" t="str">
        <f>IFERROR(__xludf.DUMMYFUNCTION("""COMPUTED_VALUE"""),"作画：比乃キオ・原作：花袋一")</f>
        <v>作画：比乃キオ・原作：花袋一</v>
      </c>
      <c r="I5015" s="22" t="str">
        <f>IFERROR(__xludf.DUMMYFUNCTION("""COMPUTED_VALUE"""),"少女マンガ")</f>
        <v>少女マンガ</v>
      </c>
      <c r="J5015" s="22"/>
      <c r="K5015" s="22"/>
      <c r="L5015" s="22" t="str">
        <f>IFERROR(__xludf.DUMMYFUNCTION("""COMPUTED_VALUE"""),"スターツ出版")</f>
        <v>スターツ出版</v>
      </c>
      <c r="M5015" s="33">
        <f>IFERROR(__xludf.DUMMYFUNCTION("""COMPUTED_VALUE"""),46150.0)</f>
        <v>46150</v>
      </c>
      <c r="N5015" s="33">
        <f>IFERROR(__xludf.DUMMYFUNCTION("""COMPUTED_VALUE"""),46247.66666666667)</f>
        <v>46247.66667</v>
      </c>
      <c r="O5015" s="20"/>
      <c r="P5015" s="32" t="str">
        <f>IFERROR(__xludf.DUMMYFUNCTION("""COMPUTED_VALUE"""),"否")</f>
        <v>否</v>
      </c>
      <c r="Q5015" s="30" t="str">
        <f>IFERROR(__xludf.DUMMYFUNCTION("""COMPUTED_VALUE"""),"【アウトバウンド提案】")</f>
        <v>【アウトバウンド提案】</v>
      </c>
      <c r="R5015" s="22"/>
      <c r="S5015" s="22" t="str">
        <f>IFERROR(__xludf.DUMMYFUNCTION("""COMPUTED_VALUE"""),"20260327_スターツ出版_午前０時、不良を拾いました。")</f>
        <v>20260327_スターツ出版_午前０時、不良を拾いました。</v>
      </c>
      <c r="T5015" s="22" t="str">
        <f>IFERROR(__xludf.DUMMYFUNCTION("""COMPUTED_VALUE"""),"格納済み")</f>
        <v>格納済み</v>
      </c>
      <c r="U5015" s="9" t="str">
        <f>IFERROR(__xludf.DUMMYFUNCTION("""COMPUTED_VALUE"""),"（C）Kio Hino・Hajime Katai／スターツ出版")</f>
        <v>（C）Kio Hino・Hajime Katai／スターツ出版</v>
      </c>
      <c r="V5015" s="8"/>
      <c r="W5015" s="8"/>
      <c r="X5015" s="8" t="str">
        <f>IFERROR(__xludf.DUMMYFUNCTION("""COMPUTED_VALUE"""),"有")</f>
        <v>有</v>
      </c>
      <c r="Y5015" s="8" t="str">
        <f>IFERROR(__xludf.DUMMYFUNCTION("""COMPUTED_VALUE"""),"2026/5/21まで1巻無料")</f>
        <v>2026/5/21まで1巻無料</v>
      </c>
      <c r="Z5015" s="7"/>
      <c r="AA5015" s="7"/>
      <c r="AB5015" s="7"/>
    </row>
    <row r="5016" ht="15.75" customHeight="1">
      <c r="A5016" s="26">
        <f>IFERROR(__xludf.DUMMYFUNCTION("""COMPUTED_VALUE"""),7602.0)</f>
        <v>7602</v>
      </c>
      <c r="B5016" s="22" t="str">
        <f>IFERROR(__xludf.DUMMYFUNCTION("""COMPUTED_VALUE"""),"確定")</f>
        <v>確定</v>
      </c>
      <c r="C5016" s="28">
        <f>IFERROR(__xludf.DUMMYFUNCTION("""COMPUTED_VALUE"""),46086.0)</f>
        <v>46086</v>
      </c>
      <c r="D5016" s="28">
        <f>IFERROR(__xludf.DUMMYFUNCTION("""COMPUTED_VALUE"""),46115.0)</f>
        <v>46115</v>
      </c>
      <c r="E5016" s="26">
        <f>IFERROR(__xludf.DUMMYFUNCTION("""COMPUTED_VALUE"""),359552.0)</f>
        <v>359552</v>
      </c>
      <c r="F5016" s="22" t="str">
        <f>IFERROR(__xludf.DUMMYFUNCTION("""COMPUTED_VALUE"""),"焦がれるケモノ〜白虎は羊に噛みつきたい〜")</f>
        <v>焦がれるケモノ〜白虎は羊に噛みつきたい〜</v>
      </c>
      <c r="G5016" s="20" t="str">
        <f>IFERROR(__xludf.DUMMYFUNCTION("""COMPUTED_VALUE"""),"1～2")</f>
        <v>1～2</v>
      </c>
      <c r="H5016" s="22" t="str">
        <f>IFERROR(__xludf.DUMMYFUNCTION("""COMPUTED_VALUE"""),"さち")</f>
        <v>さち</v>
      </c>
      <c r="I5016" s="22" t="str">
        <f>IFERROR(__xludf.DUMMYFUNCTION("""COMPUTED_VALUE"""),"BLマンガ")</f>
        <v>BLマンガ</v>
      </c>
      <c r="J5016" s="22"/>
      <c r="K5016" s="22" t="str">
        <f>IFERROR(__xludf.DUMMYFUNCTION("""COMPUTED_VALUE"""),"NuPu")</f>
        <v>NuPu</v>
      </c>
      <c r="L5016" s="22" t="str">
        <f>IFERROR(__xludf.DUMMYFUNCTION("""COMPUTED_VALUE"""),"CLLENN")</f>
        <v>CLLENN</v>
      </c>
      <c r="M5016" s="33">
        <f>IFERROR(__xludf.DUMMYFUNCTION("""COMPUTED_VALUE"""),46163.0)</f>
        <v>46163</v>
      </c>
      <c r="N5016" s="33">
        <f>IFERROR(__xludf.DUMMYFUNCTION("""COMPUTED_VALUE"""),46218.0)</f>
        <v>46218</v>
      </c>
      <c r="O5016" s="20"/>
      <c r="P5016" s="32" t="str">
        <f>IFERROR(__xludf.DUMMYFUNCTION("""COMPUTED_VALUE"""),"可")</f>
        <v>可</v>
      </c>
      <c r="Q5016" s="30"/>
      <c r="R5016" s="22" t="str">
        <f>IFERROR(__xludf.DUMMYFUNCTION("""COMPUTED_VALUE"""),"コミットOK")</f>
        <v>コミットOK</v>
      </c>
      <c r="S5016" s="22" t="str">
        <f>IFERROR(__xludf.DUMMYFUNCTION("""COMPUTED_VALUE"""),"20260402_CLLENN_焦がれるケモノ〜白虎は羊に噛みつきたい〜")</f>
        <v>20260402_CLLENN_焦がれるケモノ〜白虎は羊に噛みつきたい〜</v>
      </c>
      <c r="T5016" s="22" t="str">
        <f>IFERROR(__xludf.DUMMYFUNCTION("""COMPUTED_VALUE"""),"格納済み")</f>
        <v>格納済み</v>
      </c>
      <c r="U5016" s="9" t="str">
        <f>IFERROR(__xludf.DUMMYFUNCTION("""COMPUTED_VALUE"""),"Ⓒさち/CLLENN")</f>
        <v>Ⓒさち/CLLENN</v>
      </c>
      <c r="V5016" s="8"/>
      <c r="W5016" s="8"/>
      <c r="X5016" s="8" t="str">
        <f>IFERROR(__xludf.DUMMYFUNCTION("""COMPUTED_VALUE"""),"有")</f>
        <v>有</v>
      </c>
      <c r="Y5016" s="8" t="str">
        <f>IFERROR(__xludf.DUMMYFUNCTION("""COMPUTED_VALUE"""),"6/3まで1巻立ち読み増量P21まで")</f>
        <v>6/3まで1巻立ち読み増量P21まで</v>
      </c>
      <c r="Z5016" s="7"/>
      <c r="AA5016" s="7"/>
      <c r="AB5016" s="7"/>
    </row>
    <row r="5017" ht="15.75" customHeight="1">
      <c r="A5017" s="26">
        <f>IFERROR(__xludf.DUMMYFUNCTION("""COMPUTED_VALUE"""),7620.0)</f>
        <v>7620</v>
      </c>
      <c r="B5017" s="22" t="str">
        <f>IFERROR(__xludf.DUMMYFUNCTION("""COMPUTED_VALUE"""),"確定")</f>
        <v>確定</v>
      </c>
      <c r="C5017" s="28">
        <f>IFERROR(__xludf.DUMMYFUNCTION("""COMPUTED_VALUE"""),46087.0)</f>
        <v>46087</v>
      </c>
      <c r="D5017" s="28">
        <f>IFERROR(__xludf.DUMMYFUNCTION("""COMPUTED_VALUE"""),46119.0)</f>
        <v>46119</v>
      </c>
      <c r="E5017" s="26">
        <f>IFERROR(__xludf.DUMMYFUNCTION("""COMPUTED_VALUE"""),359079.0)</f>
        <v>359079</v>
      </c>
      <c r="F5017" s="22" t="str">
        <f>IFERROR(__xludf.DUMMYFUNCTION("""COMPUTED_VALUE"""),"ほんとうに怖い中学受験【分冊版】")</f>
        <v>ほんとうに怖い中学受験【分冊版】</v>
      </c>
      <c r="G5017" s="20" t="str">
        <f>IFERROR(__xludf.DUMMYFUNCTION("""COMPUTED_VALUE"""),"1～5")</f>
        <v>1～5</v>
      </c>
      <c r="H5017" s="22" t="str">
        <f>IFERROR(__xludf.DUMMYFUNCTION("""COMPUTED_VALUE"""),"浦川佳弥")</f>
        <v>浦川佳弥</v>
      </c>
      <c r="I5017" s="22" t="str">
        <f>IFERROR(__xludf.DUMMYFUNCTION("""COMPUTED_VALUE"""),"女性マンガ")</f>
        <v>女性マンガ</v>
      </c>
      <c r="J5017" s="22"/>
      <c r="K5017" s="22"/>
      <c r="L5017" s="22" t="str">
        <f>IFERROR(__xludf.DUMMYFUNCTION("""COMPUTED_VALUE"""),"秋田書店")</f>
        <v>秋田書店</v>
      </c>
      <c r="M5017" s="33">
        <f>IFERROR(__xludf.DUMMYFUNCTION("""COMPUTED_VALUE"""),46151.0)</f>
        <v>46151</v>
      </c>
      <c r="N5017" s="33">
        <f>IFERROR(__xludf.DUMMYFUNCTION("""COMPUTED_VALUE"""),46242.66666666667)</f>
        <v>46242.66667</v>
      </c>
      <c r="O5017" s="20"/>
      <c r="P5017" s="32" t="str">
        <f>IFERROR(__xludf.DUMMYFUNCTION("""COMPUTED_VALUE"""),"可")</f>
        <v>可</v>
      </c>
      <c r="Q5017" s="30"/>
      <c r="R5017" s="22" t="str">
        <f>IFERROR(__xludf.DUMMYFUNCTION("""COMPUTED_VALUE"""),"コミットNG")</f>
        <v>コミットNG</v>
      </c>
      <c r="S5017" s="22" t="str">
        <f>IFERROR(__xludf.DUMMYFUNCTION("""COMPUTED_VALUE"""),"20260306_秋田書店_ほんとうに怖い中学受験【分冊版】")</f>
        <v>20260306_秋田書店_ほんとうに怖い中学受験【分冊版】</v>
      </c>
      <c r="T5017" s="22" t="str">
        <f>IFERROR(__xludf.DUMMYFUNCTION("""COMPUTED_VALUE"""),"格納済み")</f>
        <v>格納済み</v>
      </c>
      <c r="U5017" s="9" t="str">
        <f>IFERROR(__xludf.DUMMYFUNCTION("""COMPUTED_VALUE"""),"（C）浦川佳弥（秋田書店）")</f>
        <v>（C）浦川佳弥（秋田書店）</v>
      </c>
      <c r="V5017" s="8"/>
      <c r="W5017" s="8"/>
      <c r="X5017" s="8" t="str">
        <f>IFERROR(__xludf.DUMMYFUNCTION("""COMPUTED_VALUE"""),"有")</f>
        <v>有</v>
      </c>
      <c r="Y5017" s="8" t="str">
        <f>IFERROR(__xludf.DUMMYFUNCTION("""COMPUTED_VALUE"""),"2026/6/8まで1巻無料")</f>
        <v>2026/6/8まで1巻無料</v>
      </c>
      <c r="Z5017" s="7"/>
      <c r="AA5017" s="7"/>
      <c r="AB5017" s="7"/>
    </row>
    <row r="5018" ht="15.75" customHeight="1">
      <c r="A5018" s="26">
        <f>IFERROR(__xludf.DUMMYFUNCTION("""COMPUTED_VALUE"""),7635.0)</f>
        <v>7635</v>
      </c>
      <c r="B5018" s="22" t="str">
        <f>IFERROR(__xludf.DUMMYFUNCTION("""COMPUTED_VALUE"""),"確定")</f>
        <v>確定</v>
      </c>
      <c r="C5018" s="28">
        <f>IFERROR(__xludf.DUMMYFUNCTION("""COMPUTED_VALUE"""),46091.0)</f>
        <v>46091</v>
      </c>
      <c r="D5018" s="28">
        <f>IFERROR(__xludf.DUMMYFUNCTION("""COMPUTED_VALUE"""),46120.0)</f>
        <v>46120</v>
      </c>
      <c r="E5018" s="26">
        <f>IFERROR(__xludf.DUMMYFUNCTION("""COMPUTED_VALUE"""),357707.0)</f>
        <v>357707</v>
      </c>
      <c r="F5018" s="22" t="str">
        <f>IFERROR(__xludf.DUMMYFUNCTION("""COMPUTED_VALUE"""),"悪女アリエッタの処世術～あざとくてごめんあそばせ～（コミック） 分冊版")</f>
        <v>悪女アリエッタの処世術～あざとくてごめんあそばせ～（コミック） 分冊版</v>
      </c>
      <c r="G5018" s="20" t="str">
        <f>IFERROR(__xludf.DUMMYFUNCTION("""COMPUTED_VALUE"""),"1～2")</f>
        <v>1～2</v>
      </c>
      <c r="H5018" s="22" t="str">
        <f>IFERROR(__xludf.DUMMYFUNCTION("""COMPUTED_VALUE"""),"彩綺いろは・三萩せんや")</f>
        <v>彩綺いろは・三萩せんや</v>
      </c>
      <c r="I5018" s="22" t="str">
        <f>IFERROR(__xludf.DUMMYFUNCTION("""COMPUTED_VALUE"""),"女性")</f>
        <v>女性</v>
      </c>
      <c r="J5018" s="22"/>
      <c r="K5018" s="22" t="str">
        <f>IFERROR(__xludf.DUMMYFUNCTION("""COMPUTED_VALUE"""),"モンスターコミックスｆ")</f>
        <v>モンスターコミックスｆ</v>
      </c>
      <c r="L5018" s="22" t="str">
        <f>IFERROR(__xludf.DUMMYFUNCTION("""COMPUTED_VALUE"""),"双葉社")</f>
        <v>双葉社</v>
      </c>
      <c r="M5018" s="33">
        <f>IFERROR(__xludf.DUMMYFUNCTION("""COMPUTED_VALUE"""),46129.0)</f>
        <v>46129</v>
      </c>
      <c r="N5018" s="33">
        <f>IFERROR(__xludf.DUMMYFUNCTION("""COMPUTED_VALUE"""),46189.0)</f>
        <v>46189</v>
      </c>
      <c r="O5018" s="20"/>
      <c r="P5018" s="32" t="str">
        <f>IFERROR(__xludf.DUMMYFUNCTION("""COMPUTED_VALUE"""),"可")</f>
        <v>可</v>
      </c>
      <c r="Q5018" s="30"/>
      <c r="R5018" s="22" t="str">
        <f>IFERROR(__xludf.DUMMYFUNCTION("""COMPUTED_VALUE"""),"コミットNG")</f>
        <v>コミットNG</v>
      </c>
      <c r="S5018" s="22" t="str">
        <f>IFERROR(__xludf.DUMMYFUNCTION("""COMPUTED_VALUE"""),"20260407_双葉社_悪女アリエッタの処世術～あざとくてごめんあそばせ～ 分冊版")</f>
        <v>20260407_双葉社_悪女アリエッタの処世術～あざとくてごめんあそばせ～ 分冊版</v>
      </c>
      <c r="T5018" s="22" t="str">
        <f>IFERROR(__xludf.DUMMYFUNCTION("""COMPUTED_VALUE"""),"格納済み")</f>
        <v>格納済み</v>
      </c>
      <c r="U5018" s="9" t="str">
        <f>IFERROR(__xludf.DUMMYFUNCTION("""COMPUTED_VALUE"""),"Ⓒ彩綺いろは・三萩せんや/双葉社")</f>
        <v>Ⓒ彩綺いろは・三萩せんや/双葉社</v>
      </c>
      <c r="V5018" s="8"/>
      <c r="W5018" s="8"/>
      <c r="X5018" s="8" t="str">
        <f>IFERROR(__xludf.DUMMYFUNCTION("""COMPUTED_VALUE"""),"有")</f>
        <v>有</v>
      </c>
      <c r="Y5018" s="8" t="str">
        <f>IFERROR(__xludf.DUMMYFUNCTION("""COMPUTED_VALUE"""),"P9まで")</f>
        <v>P9まで</v>
      </c>
      <c r="Z5018" s="7"/>
      <c r="AA5018" s="7"/>
      <c r="AB5018" s="7"/>
    </row>
    <row r="5019" ht="15.75" customHeight="1">
      <c r="A5019" s="26">
        <f>IFERROR(__xludf.DUMMYFUNCTION("""COMPUTED_VALUE"""),7645.0)</f>
        <v>7645</v>
      </c>
      <c r="B5019" s="22" t="str">
        <f>IFERROR(__xludf.DUMMYFUNCTION("""COMPUTED_VALUE"""),"確定")</f>
        <v>確定</v>
      </c>
      <c r="C5019" s="28">
        <f>IFERROR(__xludf.DUMMYFUNCTION("""COMPUTED_VALUE"""),46092.0)</f>
        <v>46092</v>
      </c>
      <c r="D5019" s="28">
        <f>IFERROR(__xludf.DUMMYFUNCTION("""COMPUTED_VALUE"""),46119.0)</f>
        <v>46119</v>
      </c>
      <c r="E5019" s="26">
        <f>IFERROR(__xludf.DUMMYFUNCTION("""COMPUTED_VALUE"""),357815.0)</f>
        <v>357815</v>
      </c>
      <c r="F5019" s="22" t="str">
        <f>IFERROR(__xludf.DUMMYFUNCTION("""COMPUTED_VALUE"""),"私の主人は大きな犬系騎士様")</f>
        <v>私の主人は大きな犬系騎士様</v>
      </c>
      <c r="G5019" s="20" t="str">
        <f>IFERROR(__xludf.DUMMYFUNCTION("""COMPUTED_VALUE"""),"1～5")</f>
        <v>1～5</v>
      </c>
      <c r="H5019" s="22" t="str">
        <f>IFERROR(__xludf.DUMMYFUNCTION("""COMPUTED_VALUE"""),"天夜葎,結生まひろ,眠介")</f>
        <v>天夜葎,結生まひろ,眠介</v>
      </c>
      <c r="I5019" s="22" t="str">
        <f>IFERROR(__xludf.DUMMYFUNCTION("""COMPUTED_VALUE"""),"少女")</f>
        <v>少女</v>
      </c>
      <c r="J5019" s="22"/>
      <c r="K5019" s="22"/>
      <c r="L5019" s="22" t="str">
        <f>IFERROR(__xludf.DUMMYFUNCTION("""COMPUTED_VALUE"""),"主婦と生活社")</f>
        <v>主婦と生活社</v>
      </c>
      <c r="M5019" s="33">
        <f>IFERROR(__xludf.DUMMYFUNCTION("""COMPUTED_VALUE"""),46145.0)</f>
        <v>46145</v>
      </c>
      <c r="N5019" s="33">
        <f>IFERROR(__xludf.DUMMYFUNCTION("""COMPUTED_VALUE"""),46236.0)</f>
        <v>46236</v>
      </c>
      <c r="O5019" s="20"/>
      <c r="P5019" s="32" t="str">
        <f>IFERROR(__xludf.DUMMYFUNCTION("""COMPUTED_VALUE"""),"可")</f>
        <v>可</v>
      </c>
      <c r="Q5019" s="30"/>
      <c r="R5019" s="22"/>
      <c r="S5019" s="22" t="str">
        <f>IFERROR(__xludf.DUMMYFUNCTION("""COMPUTED_VALUE"""),"20260403_主婦と生活社_私の主人は大きな犬系騎士様")</f>
        <v>20260403_主婦と生活社_私の主人は大きな犬系騎士様</v>
      </c>
      <c r="T5019" s="22" t="str">
        <f>IFERROR(__xludf.DUMMYFUNCTION("""COMPUTED_VALUE"""),"格納済み")</f>
        <v>格納済み</v>
      </c>
      <c r="U5019" s="9" t="str">
        <f>IFERROR(__xludf.DUMMYFUNCTION("""COMPUTED_VALUE"""),"Ⓒ天夜葎・結生まひろ・眠介／主婦と生活社")</f>
        <v>Ⓒ天夜葎・結生まひろ・眠介／主婦と生活社</v>
      </c>
      <c r="V5019" s="8"/>
      <c r="W5019" s="8"/>
      <c r="X5019" s="8" t="str">
        <f>IFERROR(__xludf.DUMMYFUNCTION("""COMPUTED_VALUE"""),"有")</f>
        <v>有</v>
      </c>
      <c r="Y5019" s="8" t="str">
        <f>IFERROR(__xludf.DUMMYFUNCTION("""COMPUTED_VALUE"""),"2巻無料")</f>
        <v>2巻無料</v>
      </c>
      <c r="Z5019" s="7"/>
      <c r="AA5019" s="7"/>
      <c r="AB5019" s="7"/>
    </row>
    <row r="5020" ht="15.75" customHeight="1">
      <c r="A5020" s="26">
        <f>IFERROR(__xludf.DUMMYFUNCTION("""COMPUTED_VALUE"""),7720.0)</f>
        <v>7720</v>
      </c>
      <c r="B5020" s="22" t="str">
        <f>IFERROR(__xludf.DUMMYFUNCTION("""COMPUTED_VALUE"""),"確定")</f>
        <v>確定</v>
      </c>
      <c r="C5020" s="28">
        <f>IFERROR(__xludf.DUMMYFUNCTION("""COMPUTED_VALUE"""),46104.0)</f>
        <v>46104</v>
      </c>
      <c r="D5020" s="28">
        <f>IFERROR(__xludf.DUMMYFUNCTION("""COMPUTED_VALUE"""),46119.0)</f>
        <v>46119</v>
      </c>
      <c r="E5020" s="26">
        <f>IFERROR(__xludf.DUMMYFUNCTION("""COMPUTED_VALUE"""),358905.0)</f>
        <v>358905</v>
      </c>
      <c r="F5020" s="22" t="str">
        <f>IFERROR(__xludf.DUMMYFUNCTION("""COMPUTED_VALUE"""),"悪役になれなかった追放令嬢は甘く優しく蕩かされる～呪術師とふたりきり、溺愛の10日間。～R版")</f>
        <v>悪役になれなかった追放令嬢は甘く優しく蕩かされる～呪術師とふたりきり、溺愛の10日間。～R版</v>
      </c>
      <c r="G5020" s="20" t="str">
        <f>IFERROR(__xludf.DUMMYFUNCTION("""COMPUTED_VALUE"""),"1～3")</f>
        <v>1～3</v>
      </c>
      <c r="H5020" s="22" t="str">
        <f>IFERROR(__xludf.DUMMYFUNCTION("""COMPUTED_VALUE"""),"山本ともみつ")</f>
        <v>山本ともみつ</v>
      </c>
      <c r="I5020" s="22" t="str">
        <f>IFERROR(__xludf.DUMMYFUNCTION("""COMPUTED_VALUE"""),"アダルト")</f>
        <v>アダルト</v>
      </c>
      <c r="J5020" s="22"/>
      <c r="K5020" s="22"/>
      <c r="L5020" s="22" t="str">
        <f>IFERROR(__xludf.DUMMYFUNCTION("""COMPUTED_VALUE"""),"ライトリーズン")</f>
        <v>ライトリーズン</v>
      </c>
      <c r="M5020" s="33">
        <f>IFERROR(__xludf.DUMMYFUNCTION("""COMPUTED_VALUE"""),46137.0)</f>
        <v>46137</v>
      </c>
      <c r="N5020" s="33">
        <f>IFERROR(__xludf.DUMMYFUNCTION("""COMPUTED_VALUE"""),46241.0)</f>
        <v>46241</v>
      </c>
      <c r="O5020" s="20"/>
      <c r="P5020" s="32" t="str">
        <f>IFERROR(__xludf.DUMMYFUNCTION("""COMPUTED_VALUE"""),"可")</f>
        <v>可</v>
      </c>
      <c r="Q5020" s="30"/>
      <c r="R5020" s="22" t="str">
        <f>IFERROR(__xludf.DUMMYFUNCTION("""COMPUTED_VALUE"""),"コミットOK")</f>
        <v>コミットOK</v>
      </c>
      <c r="S5020" s="22" t="str">
        <f>IFERROR(__xludf.DUMMYFUNCTION("""COMPUTED_VALUE"""),"20260402_ライトリーズン_悪役になれなかった追放令嬢は甘く優しく蕩かされる～呪術師とふたりきり、溺愛の10日間。～R版")</f>
        <v>20260402_ライトリーズン_悪役になれなかった追放令嬢は甘く優しく蕩かされる～呪術師とふたりきり、溺愛の10日間。～R版</v>
      </c>
      <c r="T5020" s="22" t="str">
        <f>IFERROR(__xludf.DUMMYFUNCTION("""COMPUTED_VALUE"""),"格納済み")</f>
        <v>格納済み</v>
      </c>
      <c r="U5020" s="9" t="str">
        <f>IFERROR(__xludf.DUMMYFUNCTION("""COMPUTED_VALUE"""),"（C)山本ともみつ/ライトリーズン")</f>
        <v>（C)山本ともみつ/ライトリーズン</v>
      </c>
      <c r="V5020" s="8"/>
      <c r="W5020" s="8"/>
      <c r="X5020" s="8" t="str">
        <f>IFERROR(__xludf.DUMMYFUNCTION("""COMPUTED_VALUE"""),"有")</f>
        <v>有</v>
      </c>
      <c r="Y5020" s="8" t="str">
        <f>IFERROR(__xludf.DUMMYFUNCTION("""COMPUTED_VALUE"""),"P5まで")</f>
        <v>P5まで</v>
      </c>
      <c r="Z5020" s="7"/>
      <c r="AA5020" s="7"/>
      <c r="AB5020" s="7"/>
    </row>
    <row r="5021" ht="15.75" customHeight="1">
      <c r="A5021" s="26">
        <f>IFERROR(__xludf.DUMMYFUNCTION("""COMPUTED_VALUE"""),7722.0)</f>
        <v>7722</v>
      </c>
      <c r="B5021" s="22" t="str">
        <f>IFERROR(__xludf.DUMMYFUNCTION("""COMPUTED_VALUE"""),"確定")</f>
        <v>確定</v>
      </c>
      <c r="C5021" s="28">
        <f>IFERROR(__xludf.DUMMYFUNCTION("""COMPUTED_VALUE"""),46104.0)</f>
        <v>46104</v>
      </c>
      <c r="D5021" s="28">
        <f>IFERROR(__xludf.DUMMYFUNCTION("""COMPUTED_VALUE"""),46115.0)</f>
        <v>46115</v>
      </c>
      <c r="E5021" s="26">
        <f>IFERROR(__xludf.DUMMYFUNCTION("""COMPUTED_VALUE"""),358126.0)</f>
        <v>358126</v>
      </c>
      <c r="F5021" s="22" t="str">
        <f>IFERROR(__xludf.DUMMYFUNCTION("""COMPUTED_VALUE"""),"終電逃した巨乳ギャルと食い込みビキニでエッチした話")</f>
        <v>終電逃した巨乳ギャルと食い込みビキニでエッチした話</v>
      </c>
      <c r="G5021" s="20" t="str">
        <f>IFERROR(__xludf.DUMMYFUNCTION("""COMPUTED_VALUE"""),"1～2")</f>
        <v>1～2</v>
      </c>
      <c r="H5021" s="22" t="str">
        <f>IFERROR(__xludf.DUMMYFUNCTION("""COMPUTED_VALUE"""),"けーしむ／砂丘将軍")</f>
        <v>けーしむ／砂丘将軍</v>
      </c>
      <c r="I5021" s="22" t="str">
        <f>IFERROR(__xludf.DUMMYFUNCTION("""COMPUTED_VALUE"""),"アダルト")</f>
        <v>アダルト</v>
      </c>
      <c r="J5021" s="22"/>
      <c r="K5021" s="22"/>
      <c r="L5021" s="22" t="str">
        <f>IFERROR(__xludf.DUMMYFUNCTION("""COMPUTED_VALUE"""),"ナイトコミック")</f>
        <v>ナイトコミック</v>
      </c>
      <c r="M5021" s="33">
        <f>IFERROR(__xludf.DUMMYFUNCTION("""COMPUTED_VALUE"""),46150.0)</f>
        <v>46150</v>
      </c>
      <c r="N5021" s="33">
        <f>IFERROR(__xludf.DUMMYFUNCTION("""COMPUTED_VALUE"""),46212.0)</f>
        <v>46212</v>
      </c>
      <c r="O5021" s="20"/>
      <c r="P5021" s="32" t="str">
        <f>IFERROR(__xludf.DUMMYFUNCTION("""COMPUTED_VALUE"""),"可")</f>
        <v>可</v>
      </c>
      <c r="Q5021" s="30"/>
      <c r="R5021" s="22" t="str">
        <f>IFERROR(__xludf.DUMMYFUNCTION("""COMPUTED_VALUE"""),"コミットOK")</f>
        <v>コミットOK</v>
      </c>
      <c r="S5021" s="22" t="str">
        <f>IFERROR(__xludf.DUMMYFUNCTION("""COMPUTED_VALUE"""),"20260319_ナイトコミック_終電逃した巨乳ギャルと食い込みビキニでエッチした話")</f>
        <v>20260319_ナイトコミック_終電逃した巨乳ギャルと食い込みビキニでエッチした話</v>
      </c>
      <c r="T5021" s="22" t="str">
        <f>IFERROR(__xludf.DUMMYFUNCTION("""COMPUTED_VALUE"""),"格納済み")</f>
        <v>格納済み</v>
      </c>
      <c r="U5021" s="9" t="str">
        <f>IFERROR(__xludf.DUMMYFUNCTION("""COMPUTED_VALUE"""),"Ⓒけーしむ／砂丘将軍")</f>
        <v>Ⓒけーしむ／砂丘将軍</v>
      </c>
      <c r="V5021" s="8"/>
      <c r="W5021" s="8"/>
      <c r="X5021" s="8" t="str">
        <f>IFERROR(__xludf.DUMMYFUNCTION("""COMPUTED_VALUE"""),"有")</f>
        <v>有</v>
      </c>
      <c r="Y5021" s="8" t="str">
        <f>IFERROR(__xludf.DUMMYFUNCTION("""COMPUTED_VALUE"""),"P12まで")</f>
        <v>P12まで</v>
      </c>
      <c r="Z5021" s="7"/>
      <c r="AA5021" s="7"/>
      <c r="AB5021" s="7"/>
    </row>
    <row r="5022" ht="15.75" customHeight="1">
      <c r="A5022" s="26">
        <f>IFERROR(__xludf.DUMMYFUNCTION("""COMPUTED_VALUE"""),7723.0)</f>
        <v>7723</v>
      </c>
      <c r="B5022" s="22" t="str">
        <f>IFERROR(__xludf.DUMMYFUNCTION("""COMPUTED_VALUE"""),"確定")</f>
        <v>確定</v>
      </c>
      <c r="C5022" s="28">
        <f>IFERROR(__xludf.DUMMYFUNCTION("""COMPUTED_VALUE"""),46104.0)</f>
        <v>46104</v>
      </c>
      <c r="D5022" s="28">
        <f>IFERROR(__xludf.DUMMYFUNCTION("""COMPUTED_VALUE"""),46115.0)</f>
        <v>46115</v>
      </c>
      <c r="E5022" s="26">
        <f>IFERROR(__xludf.DUMMYFUNCTION("""COMPUTED_VALUE"""),358125.0)</f>
        <v>358125</v>
      </c>
      <c r="F5022" s="22" t="str">
        <f>IFERROR(__xludf.DUMMYFUNCTION("""COMPUTED_VALUE"""),"青が溶ける")</f>
        <v>青が溶ける</v>
      </c>
      <c r="G5022" s="20" t="str">
        <f>IFERROR(__xludf.DUMMYFUNCTION("""COMPUTED_VALUE"""),"1～2")</f>
        <v>1～2</v>
      </c>
      <c r="H5022" s="22" t="str">
        <f>IFERROR(__xludf.DUMMYFUNCTION("""COMPUTED_VALUE"""),"たことかいと")</f>
        <v>たことかいと</v>
      </c>
      <c r="I5022" s="22" t="str">
        <f>IFERROR(__xludf.DUMMYFUNCTION("""COMPUTED_VALUE"""),"アダルト")</f>
        <v>アダルト</v>
      </c>
      <c r="J5022" s="22"/>
      <c r="K5022" s="22"/>
      <c r="L5022" s="22" t="str">
        <f>IFERROR(__xludf.DUMMYFUNCTION("""COMPUTED_VALUE"""),"ナイトコミック")</f>
        <v>ナイトコミック</v>
      </c>
      <c r="M5022" s="33">
        <f>IFERROR(__xludf.DUMMYFUNCTION("""COMPUTED_VALUE"""),46150.0)</f>
        <v>46150</v>
      </c>
      <c r="N5022" s="33">
        <f>IFERROR(__xludf.DUMMYFUNCTION("""COMPUTED_VALUE"""),46212.0)</f>
        <v>46212</v>
      </c>
      <c r="O5022" s="20"/>
      <c r="P5022" s="32" t="str">
        <f>IFERROR(__xludf.DUMMYFUNCTION("""COMPUTED_VALUE"""),"可")</f>
        <v>可</v>
      </c>
      <c r="Q5022" s="30"/>
      <c r="R5022" s="22" t="str">
        <f>IFERROR(__xludf.DUMMYFUNCTION("""COMPUTED_VALUE"""),"コミットOK")</f>
        <v>コミットOK</v>
      </c>
      <c r="S5022" s="22" t="str">
        <f>IFERROR(__xludf.DUMMYFUNCTION("""COMPUTED_VALUE"""),"20260319_ナイトコミック_青が溶ける")</f>
        <v>20260319_ナイトコミック_青が溶ける</v>
      </c>
      <c r="T5022" s="22" t="str">
        <f>IFERROR(__xludf.DUMMYFUNCTION("""COMPUTED_VALUE"""),"格納済み")</f>
        <v>格納済み</v>
      </c>
      <c r="U5022" s="9" t="str">
        <f>IFERROR(__xludf.DUMMYFUNCTION("""COMPUTED_VALUE"""),"Ⓒたことかいと")</f>
        <v>Ⓒたことかいと</v>
      </c>
      <c r="V5022" s="8"/>
      <c r="W5022" s="8"/>
      <c r="X5022" s="8" t="str">
        <f>IFERROR(__xludf.DUMMYFUNCTION("""COMPUTED_VALUE"""),"有")</f>
        <v>有</v>
      </c>
      <c r="Y5022" s="8" t="str">
        <f>IFERROR(__xludf.DUMMYFUNCTION("""COMPUTED_VALUE"""),"P12まで")</f>
        <v>P12まで</v>
      </c>
      <c r="Z5022" s="7"/>
      <c r="AA5022" s="7"/>
      <c r="AB5022" s="7"/>
    </row>
    <row r="5023" ht="15.75" customHeight="1">
      <c r="A5023" s="26">
        <f>IFERROR(__xludf.DUMMYFUNCTION("""COMPUTED_VALUE"""),7724.0)</f>
        <v>7724</v>
      </c>
      <c r="B5023" s="22" t="str">
        <f>IFERROR(__xludf.DUMMYFUNCTION("""COMPUTED_VALUE"""),"確定")</f>
        <v>確定</v>
      </c>
      <c r="C5023" s="28">
        <f>IFERROR(__xludf.DUMMYFUNCTION("""COMPUTED_VALUE"""),46104.0)</f>
        <v>46104</v>
      </c>
      <c r="D5023" s="28">
        <f>IFERROR(__xludf.DUMMYFUNCTION("""COMPUTED_VALUE"""),46115.0)</f>
        <v>46115</v>
      </c>
      <c r="E5023" s="26">
        <f>IFERROR(__xludf.DUMMYFUNCTION("""COMPUTED_VALUE"""),359937.0)</f>
        <v>359937</v>
      </c>
      <c r="F5023" s="22" t="str">
        <f>IFERROR(__xludf.DUMMYFUNCTION("""COMPUTED_VALUE"""),"超敏感体質の義姉からの誘惑")</f>
        <v>超敏感体質の義姉からの誘惑</v>
      </c>
      <c r="G5023" s="20" t="str">
        <f>IFERROR(__xludf.DUMMYFUNCTION("""COMPUTED_VALUE"""),"1～2")</f>
        <v>1～2</v>
      </c>
      <c r="H5023" s="22" t="str">
        <f>IFERROR(__xludf.DUMMYFUNCTION("""COMPUTED_VALUE"""),"ほよよ")</f>
        <v>ほよよ</v>
      </c>
      <c r="I5023" s="22" t="str">
        <f>IFERROR(__xludf.DUMMYFUNCTION("""COMPUTED_VALUE"""),"アダルト")</f>
        <v>アダルト</v>
      </c>
      <c r="J5023" s="22"/>
      <c r="K5023" s="22"/>
      <c r="L5023" s="22" t="str">
        <f>IFERROR(__xludf.DUMMYFUNCTION("""COMPUTED_VALUE"""),"ナイトコミック")</f>
        <v>ナイトコミック</v>
      </c>
      <c r="M5023" s="33">
        <f>IFERROR(__xludf.DUMMYFUNCTION("""COMPUTED_VALUE"""),46171.0)</f>
        <v>46171</v>
      </c>
      <c r="N5023" s="33">
        <f>IFERROR(__xludf.DUMMYFUNCTION("""COMPUTED_VALUE"""),46233.0)</f>
        <v>46233</v>
      </c>
      <c r="O5023" s="20"/>
      <c r="P5023" s="32" t="str">
        <f>IFERROR(__xludf.DUMMYFUNCTION("""COMPUTED_VALUE"""),"可")</f>
        <v>可</v>
      </c>
      <c r="Q5023" s="30"/>
      <c r="R5023" s="22" t="str">
        <f>IFERROR(__xludf.DUMMYFUNCTION("""COMPUTED_VALUE"""),"コミットNG")</f>
        <v>コミットNG</v>
      </c>
      <c r="S5023" s="22" t="str">
        <f>IFERROR(__xludf.DUMMYFUNCTION("""COMPUTED_VALUE"""),"20260319_ナイトコミック_超敏感体質の義姉からの誘惑")</f>
        <v>20260319_ナイトコミック_超敏感体質の義姉からの誘惑</v>
      </c>
      <c r="T5023" s="22" t="str">
        <f>IFERROR(__xludf.DUMMYFUNCTION("""COMPUTED_VALUE"""),"格納済み")</f>
        <v>格納済み</v>
      </c>
      <c r="U5023" s="9" t="str">
        <f>IFERROR(__xludf.DUMMYFUNCTION("""COMPUTED_VALUE"""),"Ⓒほよよ")</f>
        <v>Ⓒほよよ</v>
      </c>
      <c r="V5023" s="8"/>
      <c r="W5023" s="8"/>
      <c r="X5023" s="8" t="str">
        <f>IFERROR(__xludf.DUMMYFUNCTION("""COMPUTED_VALUE"""),"有")</f>
        <v>有</v>
      </c>
      <c r="Y5023" s="8" t="str">
        <f>IFERROR(__xludf.DUMMYFUNCTION("""COMPUTED_VALUE"""),"2026/7/30　1巻p19まで
2巻p10まで　立ち読み増量")</f>
        <v>2026/7/30　1巻p19まで
2巻p10まで　立ち読み増量</v>
      </c>
      <c r="Z5023" s="7"/>
      <c r="AA5023" s="7"/>
      <c r="AB5023" s="7"/>
    </row>
    <row r="5024" ht="15.75" customHeight="1">
      <c r="A5024" s="26">
        <f>IFERROR(__xludf.DUMMYFUNCTION("""COMPUTED_VALUE"""),7725.0)</f>
        <v>7725</v>
      </c>
      <c r="B5024" s="22" t="str">
        <f>IFERROR(__xludf.DUMMYFUNCTION("""COMPUTED_VALUE"""),"確定")</f>
        <v>確定</v>
      </c>
      <c r="C5024" s="28">
        <f>IFERROR(__xludf.DUMMYFUNCTION("""COMPUTED_VALUE"""),46104.0)</f>
        <v>46104</v>
      </c>
      <c r="D5024" s="28">
        <f>IFERROR(__xludf.DUMMYFUNCTION("""COMPUTED_VALUE"""),46115.0)</f>
        <v>46115</v>
      </c>
      <c r="E5024" s="26">
        <f>IFERROR(__xludf.DUMMYFUNCTION("""COMPUTED_VALUE"""),359382.0)</f>
        <v>359382</v>
      </c>
      <c r="F5024" s="22" t="str">
        <f>IFERROR(__xludf.DUMMYFUNCTION("""COMPUTED_VALUE"""),"Kカップ長乳女は姉妹でオフパコOKケダモノ交尾期待中")</f>
        <v>Kカップ長乳女は姉妹でオフパコOKケダモノ交尾期待中</v>
      </c>
      <c r="G5024" s="20" t="str">
        <f>IFERROR(__xludf.DUMMYFUNCTION("""COMPUTED_VALUE"""),"1～2")</f>
        <v>1～2</v>
      </c>
      <c r="H5024" s="22" t="str">
        <f>IFERROR(__xludf.DUMMYFUNCTION("""COMPUTED_VALUE"""),"藤ます／藤屋本店")</f>
        <v>藤ます／藤屋本店</v>
      </c>
      <c r="I5024" s="22" t="str">
        <f>IFERROR(__xludf.DUMMYFUNCTION("""COMPUTED_VALUE"""),"アダルト")</f>
        <v>アダルト</v>
      </c>
      <c r="J5024" s="22"/>
      <c r="K5024" s="22"/>
      <c r="L5024" s="22" t="str">
        <f>IFERROR(__xludf.DUMMYFUNCTION("""COMPUTED_VALUE"""),"ナイトコミック")</f>
        <v>ナイトコミック</v>
      </c>
      <c r="M5024" s="33">
        <f>IFERROR(__xludf.DUMMYFUNCTION("""COMPUTED_VALUE"""),46164.0)</f>
        <v>46164</v>
      </c>
      <c r="N5024" s="33">
        <f>IFERROR(__xludf.DUMMYFUNCTION("""COMPUTED_VALUE"""),46226.0)</f>
        <v>46226</v>
      </c>
      <c r="O5024" s="20"/>
      <c r="P5024" s="32" t="str">
        <f>IFERROR(__xludf.DUMMYFUNCTION("""COMPUTED_VALUE"""),"可")</f>
        <v>可</v>
      </c>
      <c r="Q5024" s="30"/>
      <c r="R5024" s="22" t="str">
        <f>IFERROR(__xludf.DUMMYFUNCTION("""COMPUTED_VALUE"""),"コミットOK")</f>
        <v>コミットOK</v>
      </c>
      <c r="S5024" s="22" t="str">
        <f>IFERROR(__xludf.DUMMYFUNCTION("""COMPUTED_VALUE"""),"20260319_ナイトコミック_Kカップ長乳女は姉妹でオフパコOKケダモノ交尾期待中")</f>
        <v>20260319_ナイトコミック_Kカップ長乳女は姉妹でオフパコOKケダモノ交尾期待中</v>
      </c>
      <c r="T5024" s="22" t="str">
        <f>IFERROR(__xludf.DUMMYFUNCTION("""COMPUTED_VALUE"""),"格納済み")</f>
        <v>格納済み</v>
      </c>
      <c r="U5024" s="9" t="str">
        <f>IFERROR(__xludf.DUMMYFUNCTION("""COMPUTED_VALUE"""),"Ⓒ藤ます／藤屋本店")</f>
        <v>Ⓒ藤ます／藤屋本店</v>
      </c>
      <c r="V5024" s="8"/>
      <c r="W5024" s="8"/>
      <c r="X5024" s="8" t="str">
        <f>IFERROR(__xludf.DUMMYFUNCTION("""COMPUTED_VALUE"""),"有")</f>
        <v>有</v>
      </c>
      <c r="Y5024" s="8" t="str">
        <f>IFERROR(__xludf.DUMMYFUNCTION("""COMPUTED_VALUE"""),"2026/6/4まで1巻P12まで増量中
2026/6/4まで2巻P8まで増量中")</f>
        <v>2026/6/4まで1巻P12まで増量中
2026/6/4まで2巻P8まで増量中</v>
      </c>
      <c r="Z5024" s="7"/>
      <c r="AA5024" s="7"/>
      <c r="AB5024" s="7"/>
    </row>
    <row r="5025" ht="15.75" customHeight="1">
      <c r="A5025" s="26">
        <f>IFERROR(__xludf.DUMMYFUNCTION("""COMPUTED_VALUE"""),7727.0)</f>
        <v>7727</v>
      </c>
      <c r="B5025" s="22" t="str">
        <f>IFERROR(__xludf.DUMMYFUNCTION("""COMPUTED_VALUE"""),"確定")</f>
        <v>確定</v>
      </c>
      <c r="C5025" s="28">
        <f>IFERROR(__xludf.DUMMYFUNCTION("""COMPUTED_VALUE"""),46104.0)</f>
        <v>46104</v>
      </c>
      <c r="D5025" s="28">
        <f>IFERROR(__xludf.DUMMYFUNCTION("""COMPUTED_VALUE"""),46119.0)</f>
        <v>46119</v>
      </c>
      <c r="E5025" s="26">
        <f>IFERROR(__xludf.DUMMYFUNCTION("""COMPUTED_VALUE"""),309785.0)</f>
        <v>309785</v>
      </c>
      <c r="F5025" s="22" t="str">
        <f>IFERROR(__xludf.DUMMYFUNCTION("""COMPUTED_VALUE"""),"ごめんね許してもらえるわけないか")</f>
        <v>ごめんね許してもらえるわけないか</v>
      </c>
      <c r="G5025" s="20" t="str">
        <f>IFERROR(__xludf.DUMMYFUNCTION("""COMPUTED_VALUE"""),"1～3")</f>
        <v>1～3</v>
      </c>
      <c r="H5025" s="22" t="str">
        <f>IFERROR(__xludf.DUMMYFUNCTION("""COMPUTED_VALUE"""),"菊屋きく子")</f>
        <v>菊屋きく子</v>
      </c>
      <c r="I5025" s="22" t="str">
        <f>IFERROR(__xludf.DUMMYFUNCTION("""COMPUTED_VALUE"""),"BLマンガ")</f>
        <v>BLマンガ</v>
      </c>
      <c r="J5025" s="22"/>
      <c r="K5025" s="22" t="str">
        <f>IFERROR(__xludf.DUMMYFUNCTION("""COMPUTED_VALUE"""),"Ficus")</f>
        <v>Ficus</v>
      </c>
      <c r="L5025" s="22" t="str">
        <f>IFERROR(__xludf.DUMMYFUNCTION("""COMPUTED_VALUE"""),"シーモアコミックス")</f>
        <v>シーモアコミックス</v>
      </c>
      <c r="M5025" s="33">
        <f>IFERROR(__xludf.DUMMYFUNCTION("""COMPUTED_VALUE"""),46151.0)</f>
        <v>46151</v>
      </c>
      <c r="N5025" s="33">
        <f>IFERROR(__xludf.DUMMYFUNCTION("""COMPUTED_VALUE"""),2958465.0)</f>
        <v>2958465</v>
      </c>
      <c r="O5025" s="20" t="str">
        <f>IFERROR(__xludf.DUMMYFUNCTION("""COMPUTED_VALUE"""),"【アダルト作品扱い】")</f>
        <v>【アダルト作品扱い】</v>
      </c>
      <c r="P5025" s="32" t="str">
        <f>IFERROR(__xludf.DUMMYFUNCTION("""COMPUTED_VALUE"""),"可")</f>
        <v>可</v>
      </c>
      <c r="Q5025" s="30"/>
      <c r="R5025" s="22"/>
      <c r="S5025" s="22" t="str">
        <f>IFERROR(__xludf.DUMMYFUNCTION("""COMPUTED_VALUE"""),"20260323_シーモアコミックス_ごめんね許してもらえるわけないか")</f>
        <v>20260323_シーモアコミックス_ごめんね許してもらえるわけないか</v>
      </c>
      <c r="T5025" s="22" t="str">
        <f>IFERROR(__xludf.DUMMYFUNCTION("""COMPUTED_VALUE"""),"格納済み")</f>
        <v>格納済み</v>
      </c>
      <c r="U5025" s="9" t="str">
        <f>IFERROR(__xludf.DUMMYFUNCTION("""COMPUTED_VALUE"""),"(C) 菊屋きく子/シーモアコミックス")</f>
        <v>(C) 菊屋きく子/シーモアコミックス</v>
      </c>
      <c r="V5025" s="8"/>
      <c r="W5025" s="8"/>
      <c r="X5025" s="8" t="str">
        <f>IFERROR(__xludf.DUMMYFUNCTION("""COMPUTED_VALUE"""),"有")</f>
        <v>有</v>
      </c>
      <c r="Y5025" s="8" t="str">
        <f>IFERROR(__xludf.DUMMYFUNCTION("""COMPUTED_VALUE"""),"2026/6/12まで1巻無料")</f>
        <v>2026/6/12まで1巻無料</v>
      </c>
      <c r="Z5025" s="7"/>
      <c r="AA5025" s="7"/>
      <c r="AB5025" s="7"/>
    </row>
    <row r="5026" ht="15.75" customHeight="1">
      <c r="A5026" s="26">
        <f>IFERROR(__xludf.DUMMYFUNCTION("""COMPUTED_VALUE"""),7731.0)</f>
        <v>7731</v>
      </c>
      <c r="B5026" s="22" t="str">
        <f>IFERROR(__xludf.DUMMYFUNCTION("""COMPUTED_VALUE"""),"確定")</f>
        <v>確定</v>
      </c>
      <c r="C5026" s="28">
        <f>IFERROR(__xludf.DUMMYFUNCTION("""COMPUTED_VALUE"""),46104.0)</f>
        <v>46104</v>
      </c>
      <c r="D5026" s="28">
        <f>IFERROR(__xludf.DUMMYFUNCTION("""COMPUTED_VALUE"""),46119.0)</f>
        <v>46119</v>
      </c>
      <c r="E5026" s="26">
        <f>IFERROR(__xludf.DUMMYFUNCTION("""COMPUTED_VALUE"""),341891.0)</f>
        <v>341891</v>
      </c>
      <c r="F5026" s="22" t="str">
        <f>IFERROR(__xludf.DUMMYFUNCTION("""COMPUTED_VALUE"""),"異種族マッチングで溺愛婚しました！")</f>
        <v>異種族マッチングで溺愛婚しました！</v>
      </c>
      <c r="G5026" s="20">
        <f>IFERROR(__xludf.DUMMYFUNCTION("""COMPUTED_VALUE"""),1.0)</f>
        <v>1</v>
      </c>
      <c r="H5026" s="22" t="str">
        <f>IFERROR(__xludf.DUMMYFUNCTION("""COMPUTED_VALUE"""),"灰葉")</f>
        <v>灰葉</v>
      </c>
      <c r="I5026" s="22" t="str">
        <f>IFERROR(__xludf.DUMMYFUNCTION("""COMPUTED_VALUE"""),"TLマンガ")</f>
        <v>TLマンガ</v>
      </c>
      <c r="J5026" s="22"/>
      <c r="K5026" s="22" t="str">
        <f>IFERROR(__xludf.DUMMYFUNCTION("""COMPUTED_VALUE"""),"スキして?桃色日記")</f>
        <v>スキして?桃色日記</v>
      </c>
      <c r="L5026" s="22" t="str">
        <f>IFERROR(__xludf.DUMMYFUNCTION("""COMPUTED_VALUE"""),"シーモアコミックス")</f>
        <v>シーモアコミックス</v>
      </c>
      <c r="M5026" s="33">
        <f>IFERROR(__xludf.DUMMYFUNCTION("""COMPUTED_VALUE"""),46151.0)</f>
        <v>46151</v>
      </c>
      <c r="N5026" s="33">
        <f>IFERROR(__xludf.DUMMYFUNCTION("""COMPUTED_VALUE"""),2958465.0)</f>
        <v>2958465</v>
      </c>
      <c r="O5026" s="20" t="str">
        <f>IFERROR(__xludf.DUMMYFUNCTION("""COMPUTED_VALUE"""),"【アダルト作品扱い】")</f>
        <v>【アダルト作品扱い】</v>
      </c>
      <c r="P5026" s="32" t="str">
        <f>IFERROR(__xludf.DUMMYFUNCTION("""COMPUTED_VALUE"""),"可")</f>
        <v>可</v>
      </c>
      <c r="Q5026" s="30" t="str">
        <f>IFERROR(__xludf.DUMMYFUNCTION("""COMPUTED_VALUE"""),"※読み切り作品")</f>
        <v>※読み切り作品</v>
      </c>
      <c r="R5026" s="22"/>
      <c r="S5026" s="22" t="str">
        <f>IFERROR(__xludf.DUMMYFUNCTION("""COMPUTED_VALUE"""),"20260323_シーモアコミックス_異種族マッチングで溺愛婚しました！")</f>
        <v>20260323_シーモアコミックス_異種族マッチングで溺愛婚しました！</v>
      </c>
      <c r="T5026" s="22" t="str">
        <f>IFERROR(__xludf.DUMMYFUNCTION("""COMPUTED_VALUE"""),"格納済み")</f>
        <v>格納済み</v>
      </c>
      <c r="U5026" s="9" t="str">
        <f>IFERROR(__xludf.DUMMYFUNCTION("""COMPUTED_VALUE"""),"(C) 灰葉/シーモアコミックス")</f>
        <v>(C) 灰葉/シーモアコミックス</v>
      </c>
      <c r="V5026" s="8"/>
      <c r="W5026" s="8"/>
      <c r="X5026" s="8" t="str">
        <f>IFERROR(__xludf.DUMMYFUNCTION("""COMPUTED_VALUE"""),"有")</f>
        <v>有</v>
      </c>
      <c r="Y5026" s="8" t="str">
        <f>IFERROR(__xludf.DUMMYFUNCTION("""COMPUTED_VALUE"""),"P7まで")</f>
        <v>P7まで</v>
      </c>
      <c r="Z5026" s="7"/>
      <c r="AA5026" s="7"/>
      <c r="AB5026" s="7"/>
    </row>
    <row r="5027" ht="15.75" customHeight="1">
      <c r="A5027" s="26">
        <f>IFERROR(__xludf.DUMMYFUNCTION("""COMPUTED_VALUE"""),7733.0)</f>
        <v>7733</v>
      </c>
      <c r="B5027" s="22" t="str">
        <f>IFERROR(__xludf.DUMMYFUNCTION("""COMPUTED_VALUE"""),"確定")</f>
        <v>確定</v>
      </c>
      <c r="C5027" s="28">
        <f>IFERROR(__xludf.DUMMYFUNCTION("""COMPUTED_VALUE"""),46104.0)</f>
        <v>46104</v>
      </c>
      <c r="D5027" s="28">
        <f>IFERROR(__xludf.DUMMYFUNCTION("""COMPUTED_VALUE"""),46119.0)</f>
        <v>46119</v>
      </c>
      <c r="E5027" s="26">
        <f>IFERROR(__xludf.DUMMYFUNCTION("""COMPUTED_VALUE"""),360767.0)</f>
        <v>360767</v>
      </c>
      <c r="F5027" s="22" t="str">
        <f>IFERROR(__xludf.DUMMYFUNCTION("""COMPUTED_VALUE"""),"【ラブパルフェ】ドMなエロ欲、満たしてあげる～柊木先輩のズル甘すぎるSテク")</f>
        <v>【ラブパルフェ】ドMなエロ欲、満たしてあげる～柊木先輩のズル甘すぎるSテク</v>
      </c>
      <c r="G5027" s="20" t="str">
        <f>IFERROR(__xludf.DUMMYFUNCTION("""COMPUTED_VALUE"""),"1～3")</f>
        <v>1～3</v>
      </c>
      <c r="H5027" s="22" t="str">
        <f>IFERROR(__xludf.DUMMYFUNCTION("""COMPUTED_VALUE"""),"星脇リカ")</f>
        <v>星脇リカ</v>
      </c>
      <c r="I5027" s="22" t="str">
        <f>IFERROR(__xludf.DUMMYFUNCTION("""COMPUTED_VALUE"""),"TLマンガ")</f>
        <v>TLマンガ</v>
      </c>
      <c r="J5027" s="22"/>
      <c r="K5027" s="22" t="str">
        <f>IFERROR(__xludf.DUMMYFUNCTION("""COMPUTED_VALUE"""),"ラブパルフェ")</f>
        <v>ラブパルフェ</v>
      </c>
      <c r="L5027" s="22" t="str">
        <f>IFERROR(__xludf.DUMMYFUNCTION("""COMPUTED_VALUE"""),"オーバーラップ")</f>
        <v>オーバーラップ</v>
      </c>
      <c r="M5027" s="33">
        <f>IFERROR(__xludf.DUMMYFUNCTION("""COMPUTED_VALUE"""),46174.0)</f>
        <v>46174</v>
      </c>
      <c r="N5027" s="33">
        <f>IFERROR(__xludf.DUMMYFUNCTION("""COMPUTED_VALUE"""),46234.0)</f>
        <v>46234</v>
      </c>
      <c r="O5027" s="20" t="str">
        <f>IFERROR(__xludf.DUMMYFUNCTION("""COMPUTED_VALUE"""),"【アダルト作品扱い】")</f>
        <v>【アダルト作品扱い】</v>
      </c>
      <c r="P5027" s="32" t="str">
        <f>IFERROR(__xludf.DUMMYFUNCTION("""COMPUTED_VALUE"""),"可")</f>
        <v>可</v>
      </c>
      <c r="Q5027" s="30"/>
      <c r="R5027" s="22"/>
      <c r="S5027" s="22" t="str">
        <f>IFERROR(__xludf.DUMMYFUNCTION("""COMPUTED_VALUE"""),"20260401_オーバーラップ_ドMなエロ欲、満たしてあげる～柊木先輩のズル甘すぎるSテク")</f>
        <v>20260401_オーバーラップ_ドMなエロ欲、満たしてあげる～柊木先輩のズル甘すぎるSテク</v>
      </c>
      <c r="T5027" s="22" t="str">
        <f>IFERROR(__xludf.DUMMYFUNCTION("""COMPUTED_VALUE"""),"格納済み")</f>
        <v>格納済み</v>
      </c>
      <c r="U5027" s="9" t="str">
        <f>IFERROR(__xludf.DUMMYFUNCTION("""COMPUTED_VALUE"""),"(C)星脇リカ／オーバーラップ")</f>
        <v>(C)星脇リカ／オーバーラップ</v>
      </c>
      <c r="V5027" s="8"/>
      <c r="W5027" s="8"/>
      <c r="X5027" s="8" t="str">
        <f>IFERROR(__xludf.DUMMYFUNCTION("""COMPUTED_VALUE"""),"有")</f>
        <v>有</v>
      </c>
      <c r="Y5027" s="8" t="str">
        <f>IFERROR(__xludf.DUMMYFUNCTION("""COMPUTED_VALUE"""),"p10まで")</f>
        <v>p10まで</v>
      </c>
      <c r="Z5027" s="7"/>
      <c r="AA5027" s="7"/>
      <c r="AB5027" s="7"/>
    </row>
    <row r="5028" ht="15.75" customHeight="1">
      <c r="A5028" s="26">
        <f>IFERROR(__xludf.DUMMYFUNCTION("""COMPUTED_VALUE"""),7734.0)</f>
        <v>7734</v>
      </c>
      <c r="B5028" s="22" t="str">
        <f>IFERROR(__xludf.DUMMYFUNCTION("""COMPUTED_VALUE"""),"確定")</f>
        <v>確定</v>
      </c>
      <c r="C5028" s="28">
        <f>IFERROR(__xludf.DUMMYFUNCTION("""COMPUTED_VALUE"""),46104.0)</f>
        <v>46104</v>
      </c>
      <c r="D5028" s="28">
        <f>IFERROR(__xludf.DUMMYFUNCTION("""COMPUTED_VALUE"""),46119.0)</f>
        <v>46119</v>
      </c>
      <c r="E5028" s="26">
        <f>IFERROR(__xludf.DUMMYFUNCTION("""COMPUTED_VALUE"""),360768.0)</f>
        <v>360768</v>
      </c>
      <c r="F5028" s="22" t="str">
        <f>IFERROR(__xludf.DUMMYFUNCTION("""COMPUTED_VALUE"""),"【ラブパルフェ】甘Sセレブ社長と濃厚エッチ婚～初めてなのに圧倒的快感で囲われて")</f>
        <v>【ラブパルフェ】甘Sセレブ社長と濃厚エッチ婚～初めてなのに圧倒的快感で囲われて</v>
      </c>
      <c r="G5028" s="20" t="str">
        <f>IFERROR(__xludf.DUMMYFUNCTION("""COMPUTED_VALUE"""),"1～3")</f>
        <v>1～3</v>
      </c>
      <c r="H5028" s="22" t="str">
        <f>IFERROR(__xludf.DUMMYFUNCTION("""COMPUTED_VALUE"""),"一場あいみ")</f>
        <v>一場あいみ</v>
      </c>
      <c r="I5028" s="22" t="str">
        <f>IFERROR(__xludf.DUMMYFUNCTION("""COMPUTED_VALUE"""),"TLマンガ")</f>
        <v>TLマンガ</v>
      </c>
      <c r="J5028" s="22"/>
      <c r="K5028" s="22" t="str">
        <f>IFERROR(__xludf.DUMMYFUNCTION("""COMPUTED_VALUE"""),"ラブパルフェ")</f>
        <v>ラブパルフェ</v>
      </c>
      <c r="L5028" s="22" t="str">
        <f>IFERROR(__xludf.DUMMYFUNCTION("""COMPUTED_VALUE"""),"オーバーラップ")</f>
        <v>オーバーラップ</v>
      </c>
      <c r="M5028" s="33">
        <f>IFERROR(__xludf.DUMMYFUNCTION("""COMPUTED_VALUE"""),46174.0)</f>
        <v>46174</v>
      </c>
      <c r="N5028" s="33">
        <f>IFERROR(__xludf.DUMMYFUNCTION("""COMPUTED_VALUE"""),46234.0)</f>
        <v>46234</v>
      </c>
      <c r="O5028" s="20" t="str">
        <f>IFERROR(__xludf.DUMMYFUNCTION("""COMPUTED_VALUE"""),"【アダルト作品扱い】")</f>
        <v>【アダルト作品扱い】</v>
      </c>
      <c r="P5028" s="32" t="str">
        <f>IFERROR(__xludf.DUMMYFUNCTION("""COMPUTED_VALUE"""),"可")</f>
        <v>可</v>
      </c>
      <c r="Q5028" s="30"/>
      <c r="R5028" s="22"/>
      <c r="S5028" s="22" t="str">
        <f>IFERROR(__xludf.DUMMYFUNCTION("""COMPUTED_VALUE"""),"20260402_オーバーラップ_甘Sセレブ社長と濃厚エッチ婚～初めてなのに圧倒的快感で囲われて")</f>
        <v>20260402_オーバーラップ_甘Sセレブ社長と濃厚エッチ婚～初めてなのに圧倒的快感で囲われて</v>
      </c>
      <c r="T5028" s="22" t="str">
        <f>IFERROR(__xludf.DUMMYFUNCTION("""COMPUTED_VALUE"""),"格納済み")</f>
        <v>格納済み</v>
      </c>
      <c r="U5028" s="9" t="str">
        <f>IFERROR(__xludf.DUMMYFUNCTION("""COMPUTED_VALUE"""),"(C)一場あいみ／オーバーラップ")</f>
        <v>(C)一場あいみ／オーバーラップ</v>
      </c>
      <c r="V5028" s="8"/>
      <c r="W5028" s="8"/>
      <c r="X5028" s="8" t="str">
        <f>IFERROR(__xludf.DUMMYFUNCTION("""COMPUTED_VALUE"""),"有")</f>
        <v>有</v>
      </c>
      <c r="Y5028" s="8" t="str">
        <f>IFERROR(__xludf.DUMMYFUNCTION("""COMPUTED_VALUE"""),"p11まで")</f>
        <v>p11まで</v>
      </c>
      <c r="Z5028" s="7"/>
      <c r="AA5028" s="7"/>
      <c r="AB5028" s="7"/>
    </row>
    <row r="5029" ht="15.75" customHeight="1">
      <c r="A5029" s="26">
        <f>IFERROR(__xludf.DUMMYFUNCTION("""COMPUTED_VALUE"""),7738.0)</f>
        <v>7738</v>
      </c>
      <c r="B5029" s="22" t="str">
        <f>IFERROR(__xludf.DUMMYFUNCTION("""COMPUTED_VALUE"""),"確定")</f>
        <v>確定</v>
      </c>
      <c r="C5029" s="28">
        <f>IFERROR(__xludf.DUMMYFUNCTION("""COMPUTED_VALUE"""),46104.0)</f>
        <v>46104</v>
      </c>
      <c r="D5029" s="28">
        <f>IFERROR(__xludf.DUMMYFUNCTION("""COMPUTED_VALUE"""),46119.0)</f>
        <v>46119</v>
      </c>
      <c r="E5029" s="26">
        <f>IFERROR(__xludf.DUMMYFUNCTION("""COMPUTED_VALUE"""),358572.0)</f>
        <v>358572</v>
      </c>
      <c r="F5029" s="22" t="str">
        <f>IFERROR(__xludf.DUMMYFUNCTION("""COMPUTED_VALUE"""),"梅森レイジの終活")</f>
        <v>梅森レイジの終活</v>
      </c>
      <c r="G5029" s="20" t="str">
        <f>IFERROR(__xludf.DUMMYFUNCTION("""COMPUTED_VALUE"""),"1～7")</f>
        <v>1～7</v>
      </c>
      <c r="H5029" s="22" t="str">
        <f>IFERROR(__xludf.DUMMYFUNCTION("""COMPUTED_VALUE"""),"蔵石ユウ／イナベカズ")</f>
        <v>蔵石ユウ／イナベカズ</v>
      </c>
      <c r="I5029" s="22" t="str">
        <f>IFERROR(__xludf.DUMMYFUNCTION("""COMPUTED_VALUE"""),"青年マンガ")</f>
        <v>青年マンガ</v>
      </c>
      <c r="J5029" s="22"/>
      <c r="K5029" s="22" t="str">
        <f>IFERROR(__xludf.DUMMYFUNCTION("""COMPUTED_VALUE"""),"STUDIO ZOON")</f>
        <v>STUDIO ZOON</v>
      </c>
      <c r="L5029" s="22" t="str">
        <f>IFERROR(__xludf.DUMMYFUNCTION("""COMPUTED_VALUE"""),"STUDIO ZOON")</f>
        <v>STUDIO ZOON</v>
      </c>
      <c r="M5029" s="33">
        <f>IFERROR(__xludf.DUMMYFUNCTION("""COMPUTED_VALUE"""),46159.0)</f>
        <v>46159</v>
      </c>
      <c r="N5029" s="33">
        <f>IFERROR(__xludf.DUMMYFUNCTION("""COMPUTED_VALUE"""),46287.66666666667)</f>
        <v>46287.66667</v>
      </c>
      <c r="O5029" s="20"/>
      <c r="P5029" s="32" t="str">
        <f>IFERROR(__xludf.DUMMYFUNCTION("""COMPUTED_VALUE"""),"可")</f>
        <v>可</v>
      </c>
      <c r="Q5029" s="30"/>
      <c r="R5029" s="22" t="str">
        <f>IFERROR(__xludf.DUMMYFUNCTION("""COMPUTED_VALUE"""),"コミットOK")</f>
        <v>コミットOK</v>
      </c>
      <c r="S5029" s="22" t="str">
        <f>IFERROR(__xludf.DUMMYFUNCTION("""COMPUTED_VALUE"""),"20260319_STUDIOZOON_梅森レイジの終活")</f>
        <v>20260319_STUDIOZOON_梅森レイジの終活</v>
      </c>
      <c r="T5029" s="22" t="str">
        <f>IFERROR(__xludf.DUMMYFUNCTION("""COMPUTED_VALUE"""),"格納済み")</f>
        <v>格納済み</v>
      </c>
      <c r="U5029" s="9" t="str">
        <f>IFERROR(__xludf.DUMMYFUNCTION("""COMPUTED_VALUE"""),"「梅森レイジの終活」©︎蔵石ユウ/イナベカズ/STUDIO ZOON")</f>
        <v>「梅森レイジの終活」©︎蔵石ユウ/イナベカズ/STUDIO ZOON</v>
      </c>
      <c r="V5029" s="8"/>
      <c r="W5029" s="8"/>
      <c r="X5029" s="8" t="str">
        <f>IFERROR(__xludf.DUMMYFUNCTION("""COMPUTED_VALUE"""),"有")</f>
        <v>有</v>
      </c>
      <c r="Y5029" s="8" t="str">
        <f>IFERROR(__xludf.DUMMYFUNCTION("""COMPUTED_VALUE"""),"5/30まで
・1巻無料
・2巻立ち読み増量P11まで")</f>
        <v>5/30まで
・1巻無料
・2巻立ち読み増量P11まで</v>
      </c>
      <c r="Z5029" s="7"/>
      <c r="AA5029" s="7"/>
      <c r="AB5029" s="7"/>
    </row>
    <row r="5030" ht="15.75" customHeight="1">
      <c r="A5030" s="26">
        <f>IFERROR(__xludf.DUMMYFUNCTION("""COMPUTED_VALUE"""),7788.0)</f>
        <v>7788</v>
      </c>
      <c r="B5030" s="22" t="str">
        <f>IFERROR(__xludf.DUMMYFUNCTION("""COMPUTED_VALUE"""),"確定")</f>
        <v>確定</v>
      </c>
      <c r="C5030" s="28">
        <f>IFERROR(__xludf.DUMMYFUNCTION("""COMPUTED_VALUE"""),46113.0)</f>
        <v>46113</v>
      </c>
      <c r="D5030" s="28">
        <f>IFERROR(__xludf.DUMMYFUNCTION("""COMPUTED_VALUE"""),46115.0)</f>
        <v>46115</v>
      </c>
      <c r="E5030" s="26">
        <f>IFERROR(__xludf.DUMMYFUNCTION("""COMPUTED_VALUE"""),359726.0)</f>
        <v>359726</v>
      </c>
      <c r="F5030" s="22" t="str">
        <f>IFERROR(__xludf.DUMMYFUNCTION("""COMPUTED_VALUE"""),"伊坂課長に筒抜けでした！【タテヨミ】")</f>
        <v>伊坂課長に筒抜けでした！【タテヨミ】</v>
      </c>
      <c r="G5030" s="20" t="str">
        <f>IFERROR(__xludf.DUMMYFUNCTION("""COMPUTED_VALUE"""),"1~13")</f>
        <v>1~13</v>
      </c>
      <c r="H5030" s="22" t="str">
        <f>IFERROR(__xludf.DUMMYFUNCTION("""COMPUTED_VALUE"""),"Jiseo、Summer、Hi jeong")</f>
        <v>Jiseo、Summer、Hi jeong</v>
      </c>
      <c r="I5030" s="22" t="str">
        <f>IFERROR(__xludf.DUMMYFUNCTION("""COMPUTED_VALUE"""),"女性")</f>
        <v>女性</v>
      </c>
      <c r="J5030" s="22"/>
      <c r="K5030" s="22" t="str">
        <f>IFERROR(__xludf.DUMMYFUNCTION("""COMPUTED_VALUE"""),"恋々リアル")</f>
        <v>恋々リアル</v>
      </c>
      <c r="L5030" s="22" t="str">
        <f>IFERROR(__xludf.DUMMYFUNCTION("""COMPUTED_VALUE"""),"リバース")</f>
        <v>リバース</v>
      </c>
      <c r="M5030" s="33">
        <f>IFERROR(__xludf.DUMMYFUNCTION("""COMPUTED_VALUE"""),46143.0)</f>
        <v>46143</v>
      </c>
      <c r="N5030" s="33" t="str">
        <f>IFERROR(__xludf.DUMMYFUNCTION("""COMPUTED_VALUE"""),"（確認中）2026/7/1")</f>
        <v>（確認中）2026/7/1</v>
      </c>
      <c r="O5030" s="20" t="str">
        <f>IFERROR(__xludf.DUMMYFUNCTION("""COMPUTED_VALUE"""),"【アダルト作品扱い】")</f>
        <v>【アダルト作品扱い】</v>
      </c>
      <c r="P5030" s="32" t="str">
        <f>IFERROR(__xludf.DUMMYFUNCTION("""COMPUTED_VALUE"""),"可")</f>
        <v>可</v>
      </c>
      <c r="Q5030" s="30"/>
      <c r="R5030" s="22"/>
      <c r="S5030" s="22" t="str">
        <f>IFERROR(__xludf.DUMMYFUNCTION("""COMPUTED_VALUE"""),"20260401_リバース_伊坂課長に筒抜けでした！")</f>
        <v>20260401_リバース_伊坂課長に筒抜けでした！</v>
      </c>
      <c r="T5030" s="22" t="str">
        <f>IFERROR(__xludf.DUMMYFUNCTION("""COMPUTED_VALUE"""),"格納済み")</f>
        <v>格納済み</v>
      </c>
      <c r="U5030" s="9" t="str">
        <f>IFERROR(__xludf.DUMMYFUNCTION("""COMPUTED_VALUE"""),"©Ziseo, Tappytoon Studio / RIVERSE")</f>
        <v>©Ziseo, Tappytoon Studio / RIVERSE</v>
      </c>
      <c r="V5030" s="8"/>
      <c r="W5030" s="8"/>
      <c r="X5030" s="8" t="str">
        <f>IFERROR(__xludf.DUMMYFUNCTION("""COMPUTED_VALUE"""),"有")</f>
        <v>有</v>
      </c>
      <c r="Y5030" s="8" t="str">
        <f>IFERROR(__xludf.DUMMYFUNCTION("""COMPUTED_VALUE"""),"3巻無料")</f>
        <v>3巻無料</v>
      </c>
      <c r="Z5030" s="7"/>
      <c r="AA5030" s="7"/>
      <c r="AB5030" s="7"/>
    </row>
    <row r="5031" ht="15.75" customHeight="1">
      <c r="A5031" s="26">
        <f>IFERROR(__xludf.DUMMYFUNCTION("""COMPUTED_VALUE"""),7791.0)</f>
        <v>7791</v>
      </c>
      <c r="B5031" s="22" t="str">
        <f>IFERROR(__xludf.DUMMYFUNCTION("""COMPUTED_VALUE"""),"確定")</f>
        <v>確定</v>
      </c>
      <c r="C5031" s="28">
        <f>IFERROR(__xludf.DUMMYFUNCTION("""COMPUTED_VALUE"""),46114.0)</f>
        <v>46114</v>
      </c>
      <c r="D5031" s="28">
        <f>IFERROR(__xludf.DUMMYFUNCTION("""COMPUTED_VALUE"""),46119.0)</f>
        <v>46119</v>
      </c>
      <c r="E5031" s="26">
        <f>IFERROR(__xludf.DUMMYFUNCTION("""COMPUTED_VALUE"""),358245.0)</f>
        <v>358245</v>
      </c>
      <c r="F5031" s="22" t="str">
        <f>IFERROR(__xludf.DUMMYFUNCTION("""COMPUTED_VALUE"""),"放課後タッチセラピー")</f>
        <v>放課後タッチセラピー</v>
      </c>
      <c r="G5031" s="20" t="str">
        <f>IFERROR(__xludf.DUMMYFUNCTION("""COMPUTED_VALUE"""),"1～2")</f>
        <v>1～2</v>
      </c>
      <c r="H5031" s="22" t="str">
        <f>IFERROR(__xludf.DUMMYFUNCTION("""COMPUTED_VALUE"""),"眠田なな")</f>
        <v>眠田なな</v>
      </c>
      <c r="I5031" s="22" t="str">
        <f>IFERROR(__xludf.DUMMYFUNCTION("""COMPUTED_VALUE"""),"BLマンガ")</f>
        <v>BLマンガ</v>
      </c>
      <c r="J5031" s="22"/>
      <c r="K5031" s="22" t="str">
        <f>IFERROR(__xludf.DUMMYFUNCTION("""COMPUTED_VALUE"""),"spicomi")</f>
        <v>spicomi</v>
      </c>
      <c r="L5031" s="22" t="str">
        <f>IFERROR(__xludf.DUMMYFUNCTION("""COMPUTED_VALUE"""),"CLLENN")</f>
        <v>CLLENN</v>
      </c>
      <c r="M5031" s="33">
        <f>IFERROR(__xludf.DUMMYFUNCTION("""COMPUTED_VALUE"""),46151.0)</f>
        <v>46151</v>
      </c>
      <c r="N5031" s="33">
        <f>IFERROR(__xludf.DUMMYFUNCTION("""COMPUTED_VALUE"""),46213.0)</f>
        <v>46213</v>
      </c>
      <c r="O5031" s="20"/>
      <c r="P5031" s="32" t="str">
        <f>IFERROR(__xludf.DUMMYFUNCTION("""COMPUTED_VALUE"""),"可")</f>
        <v>可</v>
      </c>
      <c r="Q5031" s="30"/>
      <c r="R5031" s="22" t="str">
        <f>IFERROR(__xludf.DUMMYFUNCTION("""COMPUTED_VALUE"""),"コミットNG")</f>
        <v>コミットNG</v>
      </c>
      <c r="S5031" s="22" t="str">
        <f>IFERROR(__xludf.DUMMYFUNCTION("""COMPUTED_VALUE"""),"20260402_CLLENN_放課後タッチセラピー")</f>
        <v>20260402_CLLENN_放課後タッチセラピー</v>
      </c>
      <c r="T5031" s="22" t="str">
        <f>IFERROR(__xludf.DUMMYFUNCTION("""COMPUTED_VALUE"""),"格納済み")</f>
        <v>格納済み</v>
      </c>
      <c r="U5031" s="9" t="str">
        <f>IFERROR(__xludf.DUMMYFUNCTION("""COMPUTED_VALUE"""),"Ⓒ眠田なな/CLLENN")</f>
        <v>Ⓒ眠田なな/CLLENN</v>
      </c>
      <c r="V5031" s="8"/>
      <c r="W5031" s="8"/>
      <c r="X5031" s="8" t="str">
        <f>IFERROR(__xludf.DUMMYFUNCTION("""COMPUTED_VALUE"""),"有")</f>
        <v>有</v>
      </c>
      <c r="Y5031" s="8" t="str">
        <f>IFERROR(__xludf.DUMMYFUNCTION("""COMPUTED_VALUE"""),"P10まで")</f>
        <v>P10まで</v>
      </c>
      <c r="Z5031" s="7"/>
      <c r="AA5031" s="7"/>
      <c r="AB5031" s="7"/>
    </row>
    <row r="5032" ht="15.75" customHeight="1">
      <c r="A5032" s="26">
        <f>IFERROR(__xludf.DUMMYFUNCTION("""COMPUTED_VALUE"""),7793.0)</f>
        <v>7793</v>
      </c>
      <c r="B5032" s="22" t="str">
        <f>IFERROR(__xludf.DUMMYFUNCTION("""COMPUTED_VALUE"""),"確定")</f>
        <v>確定</v>
      </c>
      <c r="C5032" s="28">
        <f>IFERROR(__xludf.DUMMYFUNCTION("""COMPUTED_VALUE"""),46119.0)</f>
        <v>46119</v>
      </c>
      <c r="D5032" s="28">
        <f>IFERROR(__xludf.DUMMYFUNCTION("""COMPUTED_VALUE"""),46120.0)</f>
        <v>46120</v>
      </c>
      <c r="E5032" s="26">
        <f>IFERROR(__xludf.DUMMYFUNCTION("""COMPUTED_VALUE"""),338193.0)</f>
        <v>338193</v>
      </c>
      <c r="F5032" s="22" t="str">
        <f>IFERROR(__xludf.DUMMYFUNCTION("""COMPUTED_VALUE"""),"野獣は蛇苺の香りに狂わされる(フルカラー)")</f>
        <v>野獣は蛇苺の香りに狂わされる(フルカラー)</v>
      </c>
      <c r="G5032" s="20" t="str">
        <f>IFERROR(__xludf.DUMMYFUNCTION("""COMPUTED_VALUE"""),"1～3")</f>
        <v>1～3</v>
      </c>
      <c r="H5032" s="22" t="str">
        <f>IFERROR(__xludf.DUMMYFUNCTION("""COMPUTED_VALUE"""),"伍徽核,曹火火,半蔵")</f>
        <v>伍徽核,曹火火,半蔵</v>
      </c>
      <c r="I5032" s="22" t="str">
        <f>IFERROR(__xludf.DUMMYFUNCTION("""COMPUTED_VALUE"""),"BLマンガ")</f>
        <v>BLマンガ</v>
      </c>
      <c r="J5032" s="22"/>
      <c r="K5032" s="22" t="str">
        <f>IFERROR(__xludf.DUMMYFUNCTION("""COMPUTED_VALUE"""),"Ficus")</f>
        <v>Ficus</v>
      </c>
      <c r="L5032" s="22" t="str">
        <f>IFERROR(__xludf.DUMMYFUNCTION("""COMPUTED_VALUE"""),"シーモアコミックス")</f>
        <v>シーモアコミックス</v>
      </c>
      <c r="M5032" s="33">
        <f>IFERROR(__xludf.DUMMYFUNCTION("""COMPUTED_VALUE"""),46158.0)</f>
        <v>46158</v>
      </c>
      <c r="N5032" s="33">
        <f>IFERROR(__xludf.DUMMYFUNCTION("""COMPUTED_VALUE"""),2958465.0)</f>
        <v>2958465</v>
      </c>
      <c r="O5032" s="20"/>
      <c r="P5032" s="32" t="str">
        <f>IFERROR(__xludf.DUMMYFUNCTION("""COMPUTED_VALUE"""),"可")</f>
        <v>可</v>
      </c>
      <c r="Q5032" s="30"/>
      <c r="R5032" s="22"/>
      <c r="S5032" s="22" t="str">
        <f>IFERROR(__xludf.DUMMYFUNCTION("""COMPUTED_VALUE"""),"20260330_シーモアコミックス_野獣は蛇苺の香りに狂わされる（フルカラー）")</f>
        <v>20260330_シーモアコミックス_野獣は蛇苺の香りに狂わされる（フルカラー）</v>
      </c>
      <c r="T5032" s="22" t="str">
        <f>IFERROR(__xludf.DUMMYFUNCTION("""COMPUTED_VALUE"""),"格納済み")</f>
        <v>格納済み</v>
      </c>
      <c r="U5032" s="9" t="str">
        <f>IFERROR(__xludf.DUMMYFUNCTION("""COMPUTED_VALUE"""),"(C) 伍徽核/曹火火/半蔵/BILIBILI COMICS/シーモアコミックス")</f>
        <v>(C) 伍徽核/曹火火/半蔵/BILIBILI COMICS/シーモアコミックス</v>
      </c>
      <c r="V5032" s="8"/>
      <c r="W5032" s="8"/>
      <c r="X5032" s="8" t="str">
        <f>IFERROR(__xludf.DUMMYFUNCTION("""COMPUTED_VALUE"""),"有")</f>
        <v>有</v>
      </c>
      <c r="Y5032" s="8" t="str">
        <f>IFERROR(__xludf.DUMMYFUNCTION("""COMPUTED_VALUE"""),"2026/6/19まで1巻無料")</f>
        <v>2026/6/19まで1巻無料</v>
      </c>
      <c r="Z5032" s="7"/>
      <c r="AA5032" s="7"/>
      <c r="AB5032" s="7"/>
    </row>
    <row r="5033" ht="15.75" customHeight="1">
      <c r="A5033" s="26">
        <f>IFERROR(__xludf.DUMMYFUNCTION("""COMPUTED_VALUE"""),7794.0)</f>
        <v>7794</v>
      </c>
      <c r="B5033" s="22" t="str">
        <f>IFERROR(__xludf.DUMMYFUNCTION("""COMPUTED_VALUE"""),"確定")</f>
        <v>確定</v>
      </c>
      <c r="C5033" s="28">
        <f>IFERROR(__xludf.DUMMYFUNCTION("""COMPUTED_VALUE"""),46119.0)</f>
        <v>46119</v>
      </c>
      <c r="D5033" s="28">
        <f>IFERROR(__xludf.DUMMYFUNCTION("""COMPUTED_VALUE"""),46120.0)</f>
        <v>46120</v>
      </c>
      <c r="E5033" s="26">
        <f>IFERROR(__xludf.DUMMYFUNCTION("""COMPUTED_VALUE"""),338194.0)</f>
        <v>338194</v>
      </c>
      <c r="F5033" s="22" t="str">
        <f>IFERROR(__xludf.DUMMYFUNCTION("""COMPUTED_VALUE"""),"野獣は蛇苺の香りに狂わされる【タテヨミ】")</f>
        <v>野獣は蛇苺の香りに狂わされる【タテヨミ】</v>
      </c>
      <c r="G5033" s="20" t="str">
        <f>IFERROR(__xludf.DUMMYFUNCTION("""COMPUTED_VALUE"""),"1～9")</f>
        <v>1～9</v>
      </c>
      <c r="H5033" s="22" t="str">
        <f>IFERROR(__xludf.DUMMYFUNCTION("""COMPUTED_VALUE"""),"伍徽核,曹火火,半蔵")</f>
        <v>伍徽核,曹火火,半蔵</v>
      </c>
      <c r="I5033" s="22" t="str">
        <f>IFERROR(__xludf.DUMMYFUNCTION("""COMPUTED_VALUE"""),"BLマンガ")</f>
        <v>BLマンガ</v>
      </c>
      <c r="J5033" s="22"/>
      <c r="K5033" s="22" t="str">
        <f>IFERROR(__xludf.DUMMYFUNCTION("""COMPUTED_VALUE"""),"Ficus")</f>
        <v>Ficus</v>
      </c>
      <c r="L5033" s="22" t="str">
        <f>IFERROR(__xludf.DUMMYFUNCTION("""COMPUTED_VALUE"""),"シーモアコミックス")</f>
        <v>シーモアコミックス</v>
      </c>
      <c r="M5033" s="33">
        <f>IFERROR(__xludf.DUMMYFUNCTION("""COMPUTED_VALUE"""),46158.0)</f>
        <v>46158</v>
      </c>
      <c r="N5033" s="33">
        <f>IFERROR(__xludf.DUMMYFUNCTION("""COMPUTED_VALUE"""),2958465.0)</f>
        <v>2958465</v>
      </c>
      <c r="O5033" s="20"/>
      <c r="P5033" s="32" t="str">
        <f>IFERROR(__xludf.DUMMYFUNCTION("""COMPUTED_VALUE"""),"可")</f>
        <v>可</v>
      </c>
      <c r="Q5033" s="30" t="str">
        <f>IFERROR(__xludf.DUMMYFUNCTION("""COMPUTED_VALUE"""),"コマサム等の素材は「338193　野獣は蛇苺の香りに狂わされる(フルカラー)」の方をお使いください。バナー制作についてもフルカラー版を利用して問題ございません。")</f>
        <v>コマサム等の素材は「338193　野獣は蛇苺の香りに狂わされる(フルカラー)」の方をお使いください。バナー制作についてもフルカラー版を利用して問題ございません。</v>
      </c>
      <c r="R5033" s="22"/>
      <c r="S5033" s="22" t="str">
        <f>IFERROR(__xludf.DUMMYFUNCTION("""COMPUTED_VALUE"""),"20260330_シーモアコミックス_野獣は蛇苺の香りに狂わされる【タテヨミ】")</f>
        <v>20260330_シーモアコミックス_野獣は蛇苺の香りに狂わされる【タテヨミ】</v>
      </c>
      <c r="T5033" s="22" t="str">
        <f>IFERROR(__xludf.DUMMYFUNCTION("""COMPUTED_VALUE"""),"格納済み")</f>
        <v>格納済み</v>
      </c>
      <c r="U5033" s="9" t="str">
        <f>IFERROR(__xludf.DUMMYFUNCTION("""COMPUTED_VALUE"""),"(C) 伍徽核/曹火火/半蔵/BILIBILI COMICS/シーモアコミックス")</f>
        <v>(C) 伍徽核/曹火火/半蔵/BILIBILI COMICS/シーモアコミックス</v>
      </c>
      <c r="V5033" s="8"/>
      <c r="W5033" s="8"/>
      <c r="X5033" s="8" t="str">
        <f>IFERROR(__xludf.DUMMYFUNCTION("""COMPUTED_VALUE"""),"有")</f>
        <v>有</v>
      </c>
      <c r="Y5033" s="8" t="str">
        <f>IFERROR(__xludf.DUMMYFUNCTION("""COMPUTED_VALUE"""),"2026/6/19まで1～3巻無料")</f>
        <v>2026/6/19まで1～3巻無料</v>
      </c>
      <c r="Z5033" s="7"/>
      <c r="AA5033" s="7"/>
      <c r="AB5033" s="7"/>
    </row>
    <row r="5034" ht="15.75" customHeight="1">
      <c r="A5034" s="26">
        <f>IFERROR(__xludf.DUMMYFUNCTION("""COMPUTED_VALUE"""),7796.0)</f>
        <v>7796</v>
      </c>
      <c r="B5034" s="22" t="str">
        <f>IFERROR(__xludf.DUMMYFUNCTION("""COMPUTED_VALUE"""),"確定")</f>
        <v>確定</v>
      </c>
      <c r="C5034" s="28">
        <f>IFERROR(__xludf.DUMMYFUNCTION("""COMPUTED_VALUE"""),46119.0)</f>
        <v>46119</v>
      </c>
      <c r="D5034" s="28">
        <f>IFERROR(__xludf.DUMMYFUNCTION("""COMPUTED_VALUE"""),46120.0)</f>
        <v>46120</v>
      </c>
      <c r="E5034" s="26">
        <f>IFERROR(__xludf.DUMMYFUNCTION("""COMPUTED_VALUE"""),362161.0)</f>
        <v>362161</v>
      </c>
      <c r="F5034" s="22" t="str">
        <f>IFERROR(__xludf.DUMMYFUNCTION("""COMPUTED_VALUE"""),"午前0時、解けない魔法を私にかけて！【単話版】")</f>
        <v>午前0時、解けない魔法を私にかけて！【単話版】</v>
      </c>
      <c r="G5034" s="20" t="str">
        <f>IFERROR(__xludf.DUMMYFUNCTION("""COMPUTED_VALUE"""),"1～3")</f>
        <v>1～3</v>
      </c>
      <c r="H5034" s="22" t="str">
        <f>IFERROR(__xludf.DUMMYFUNCTION("""COMPUTED_VALUE"""),"伊時潤/飛翔こたつ")</f>
        <v>伊時潤/飛翔こたつ</v>
      </c>
      <c r="I5034" s="22" t="str">
        <f>IFERROR(__xludf.DUMMYFUNCTION("""COMPUTED_VALUE"""),"少女")</f>
        <v>少女</v>
      </c>
      <c r="J5034" s="22"/>
      <c r="K5034" s="22"/>
      <c r="L5034" s="22" t="str">
        <f>IFERROR(__xludf.DUMMYFUNCTION("""COMPUTED_VALUE"""),"オーバーラップ")</f>
        <v>オーバーラップ</v>
      </c>
      <c r="M5034" s="33">
        <f>IFERROR(__xludf.DUMMYFUNCTION("""COMPUTED_VALUE"""),46169.0)</f>
        <v>46169</v>
      </c>
      <c r="N5034" s="33">
        <f>IFERROR(__xludf.DUMMYFUNCTION("""COMPUTED_VALUE"""),401768.0)</f>
        <v>401768</v>
      </c>
      <c r="O5034" s="20"/>
      <c r="P5034" s="32" t="str">
        <f>IFERROR(__xludf.DUMMYFUNCTION("""COMPUTED_VALUE"""),"可")</f>
        <v>可</v>
      </c>
      <c r="Q5034" s="30"/>
      <c r="R5034" s="22"/>
      <c r="S5034" s="22" t="str">
        <f>IFERROR(__xludf.DUMMYFUNCTION("""COMPUTED_VALUE"""),"20260407_オーバーラップ_午前0時")</f>
        <v>20260407_オーバーラップ_午前0時</v>
      </c>
      <c r="T5034" s="22" t="str">
        <f>IFERROR(__xludf.DUMMYFUNCTION("""COMPUTED_VALUE"""),"格納済み")</f>
        <v>格納済み</v>
      </c>
      <c r="U5034" s="9" t="str">
        <f>IFERROR(__xludf.DUMMYFUNCTION("""COMPUTED_VALUE"""),"(c)伊時潤　(c)飛翔こたつ／オーバーラップ")</f>
        <v>(c)伊時潤　(c)飛翔こたつ／オーバーラップ</v>
      </c>
      <c r="V5034" s="8"/>
      <c r="W5034" s="8"/>
      <c r="X5034" s="8" t="str">
        <f>IFERROR(__xludf.DUMMYFUNCTION("""COMPUTED_VALUE"""),"有")</f>
        <v>有</v>
      </c>
      <c r="Y5034" s="8" t="str">
        <f>IFERROR(__xludf.DUMMYFUNCTION("""COMPUTED_VALUE"""),"2026/8/27まで１巻無料")</f>
        <v>2026/8/27まで１巻無料</v>
      </c>
      <c r="Z5034" s="7"/>
      <c r="AA5034" s="7"/>
      <c r="AB5034" s="7"/>
    </row>
    <row r="5035" ht="15.75" customHeight="1">
      <c r="A5035" s="26">
        <f>IFERROR(__xludf.DUMMYFUNCTION("""COMPUTED_VALUE"""),6804.0)</f>
        <v>6804</v>
      </c>
      <c r="B5035" s="22" t="str">
        <f>IFERROR(__xludf.DUMMYFUNCTION("""COMPUTED_VALUE"""),"確定")</f>
        <v>確定</v>
      </c>
      <c r="C5035" s="28">
        <f>IFERROR(__xludf.DUMMYFUNCTION("""COMPUTED_VALUE"""),45966.0)</f>
        <v>45966</v>
      </c>
      <c r="D5035" s="28">
        <f>IFERROR(__xludf.DUMMYFUNCTION("""COMPUTED_VALUE"""),46126.0)</f>
        <v>46126</v>
      </c>
      <c r="E5035" s="26">
        <f>IFERROR(__xludf.DUMMYFUNCTION("""COMPUTED_VALUE"""),359720.0)</f>
        <v>359720</v>
      </c>
      <c r="F5035" s="22" t="str">
        <f>IFERROR(__xludf.DUMMYFUNCTION("""COMPUTED_VALUE"""),"当て馬αは好きと言えない")</f>
        <v>当て馬αは好きと言えない</v>
      </c>
      <c r="G5035" s="20" t="str">
        <f>IFERROR(__xludf.DUMMYFUNCTION("""COMPUTED_VALUE"""),"1～2")</f>
        <v>1～2</v>
      </c>
      <c r="H5035" s="22" t="str">
        <f>IFERROR(__xludf.DUMMYFUNCTION("""COMPUTED_VALUE"""),"真新イッサ")</f>
        <v>真新イッサ</v>
      </c>
      <c r="I5035" s="22" t="str">
        <f>IFERROR(__xludf.DUMMYFUNCTION("""COMPUTED_VALUE"""),"BL")</f>
        <v>BL</v>
      </c>
      <c r="J5035" s="22"/>
      <c r="K5035" s="22"/>
      <c r="L5035" s="22" t="str">
        <f>IFERROR(__xludf.DUMMYFUNCTION("""COMPUTED_VALUE"""),"新潮社")</f>
        <v>新潮社</v>
      </c>
      <c r="M5035" s="33">
        <f>IFERROR(__xludf.DUMMYFUNCTION("""COMPUTED_VALUE"""),46157.0)</f>
        <v>46157</v>
      </c>
      <c r="N5035" s="33">
        <f>IFERROR(__xludf.DUMMYFUNCTION("""COMPUTED_VALUE"""),46249.0)</f>
        <v>46249</v>
      </c>
      <c r="O5035" s="20" t="str">
        <f>IFERROR(__xludf.DUMMYFUNCTION("""COMPUTED_VALUE"""),"【アダルト作品扱い】")</f>
        <v>【アダルト作品扱い】</v>
      </c>
      <c r="P5035" s="32" t="str">
        <f>IFERROR(__xludf.DUMMYFUNCTION("""COMPUTED_VALUE"""),"可")</f>
        <v>可</v>
      </c>
      <c r="Q5035" s="30" t="str">
        <f>IFERROR(__xludf.DUMMYFUNCTION("""COMPUTED_VALUE"""),"前・後編の全2話です。")</f>
        <v>前・後編の全2話です。</v>
      </c>
      <c r="R5035" s="22" t="str">
        <f>IFERROR(__xludf.DUMMYFUNCTION("""COMPUTED_VALUE"""),"コミットOK")</f>
        <v>コミットOK</v>
      </c>
      <c r="S5035" s="22" t="str">
        <f>IFERROR(__xludf.DUMMYFUNCTION("""COMPUTED_VALUE"""),"20260414_新潮社_当て馬αは好きと言えない")</f>
        <v>20260414_新潮社_当て馬αは好きと言えない</v>
      </c>
      <c r="T5035" s="22" t="str">
        <f>IFERROR(__xludf.DUMMYFUNCTION("""COMPUTED_VALUE"""),"格納済み")</f>
        <v>格納済み</v>
      </c>
      <c r="U5035" s="9" t="str">
        <f>IFERROR(__xludf.DUMMYFUNCTION("""COMPUTED_VALUE"""),"Ⓒ真新イッサ／新潮社")</f>
        <v>Ⓒ真新イッサ／新潮社</v>
      </c>
      <c r="V5035" s="8"/>
      <c r="W5035" s="8"/>
      <c r="X5035" s="8" t="str">
        <f>IFERROR(__xludf.DUMMYFUNCTION("""COMPUTED_VALUE"""),"有")</f>
        <v>有</v>
      </c>
      <c r="Y5035" s="8" t="str">
        <f>IFERROR(__xludf.DUMMYFUNCTION("""COMPUTED_VALUE"""),"2026/5/28までP23まで増量中")</f>
        <v>2026/5/28までP23まで増量中</v>
      </c>
      <c r="Z5035" s="7"/>
      <c r="AA5035" s="7"/>
      <c r="AB5035" s="7"/>
    </row>
    <row r="5036" ht="15.75" customHeight="1">
      <c r="A5036" s="26">
        <f>IFERROR(__xludf.DUMMYFUNCTION("""COMPUTED_VALUE"""),7341.0)</f>
        <v>7341</v>
      </c>
      <c r="B5036" s="22" t="str">
        <f>IFERROR(__xludf.DUMMYFUNCTION("""COMPUTED_VALUE"""),"確定")</f>
        <v>確定</v>
      </c>
      <c r="C5036" s="28">
        <f>IFERROR(__xludf.DUMMYFUNCTION("""COMPUTED_VALUE"""),46052.0)</f>
        <v>46052</v>
      </c>
      <c r="D5036" s="28">
        <f>IFERROR(__xludf.DUMMYFUNCTION("""COMPUTED_VALUE"""),46156.0)</f>
        <v>46156</v>
      </c>
      <c r="E5036" s="26">
        <f>IFERROR(__xludf.DUMMYFUNCTION("""COMPUTED_VALUE"""),359742.0)</f>
        <v>359742</v>
      </c>
      <c r="F5036" s="22" t="str">
        <f>IFERROR(__xludf.DUMMYFUNCTION("""COMPUTED_VALUE"""),"世界で一番しあわせ！ 分冊版")</f>
        <v>世界で一番しあわせ！ 分冊版</v>
      </c>
      <c r="G5036" s="20" t="str">
        <f>IFERROR(__xludf.DUMMYFUNCTION("""COMPUTED_VALUE"""),"1～3")</f>
        <v>1～3</v>
      </c>
      <c r="H5036" s="22" t="str">
        <f>IFERROR(__xludf.DUMMYFUNCTION("""COMPUTED_VALUE"""),"原作：春芳きざし、作画：アルコ")</f>
        <v>原作：春芳きざし、作画：アルコ</v>
      </c>
      <c r="I5036" s="22" t="str">
        <f>IFERROR(__xludf.DUMMYFUNCTION("""COMPUTED_VALUE"""),"BL")</f>
        <v>BL</v>
      </c>
      <c r="J5036" s="22"/>
      <c r="K5036" s="22" t="str">
        <f>IFERROR(__xludf.DUMMYFUNCTION("""COMPUTED_VALUE"""),"マンガMee")</f>
        <v>マンガMee</v>
      </c>
      <c r="L5036" s="22" t="str">
        <f>IFERROR(__xludf.DUMMYFUNCTION("""COMPUTED_VALUE"""),"集英社")</f>
        <v>集英社</v>
      </c>
      <c r="M5036" s="33">
        <f>IFERROR(__xludf.DUMMYFUNCTION("""COMPUTED_VALUE"""),46167.0)</f>
        <v>46167</v>
      </c>
      <c r="N5036" s="33">
        <f>IFERROR(__xludf.DUMMYFUNCTION("""COMPUTED_VALUE"""),46197.0)</f>
        <v>46197</v>
      </c>
      <c r="O5036" s="20"/>
      <c r="P5036" s="32" t="str">
        <f>IFERROR(__xludf.DUMMYFUNCTION("""COMPUTED_VALUE"""),"否")</f>
        <v>否</v>
      </c>
      <c r="Q5036" s="30" t="str">
        <f>IFERROR(__xludf.DUMMYFUNCTION("""COMPUTED_VALUE"""),"初回配信の1~3巻はマンガMeeの8話相当です。&lt;BR&gt;")</f>
        <v>初回配信の1~3巻はマンガMeeの8話相当です。&lt;BR&gt;</v>
      </c>
      <c r="R5036" s="22" t="str">
        <f>IFERROR(__xludf.DUMMYFUNCTION("""COMPUTED_VALUE"""),"コミットOK")</f>
        <v>コミットOK</v>
      </c>
      <c r="S5036" s="22" t="str">
        <f>IFERROR(__xludf.DUMMYFUNCTION("""COMPUTED_VALUE"""),"20260414_集英社_世界で一番幸せ！")</f>
        <v>20260414_集英社_世界で一番幸せ！</v>
      </c>
      <c r="T5036" s="22" t="str">
        <f>IFERROR(__xludf.DUMMYFUNCTION("""COMPUTED_VALUE"""),"格納済み")</f>
        <v>格納済み</v>
      </c>
      <c r="U5036" s="9" t="str">
        <f>IFERROR(__xludf.DUMMYFUNCTION("""COMPUTED_VALUE"""),"(c)春芳きざし・アルコ／集英社")</f>
        <v>(c)春芳きざし・アルコ／集英社</v>
      </c>
      <c r="V5036" s="8"/>
      <c r="W5036" s="8"/>
      <c r="X5036" s="8" t="str">
        <f>IFERROR(__xludf.DUMMYFUNCTION("""COMPUTED_VALUE"""),"有")</f>
        <v>有</v>
      </c>
      <c r="Y5036" s="8" t="str">
        <f>IFERROR(__xludf.DUMMYFUNCTION("""COMPUTED_VALUE"""),"2026/6/24まで1巻無料")</f>
        <v>2026/6/24まで1巻無料</v>
      </c>
      <c r="Z5036" s="7"/>
      <c r="AA5036" s="7"/>
      <c r="AB5036" s="7"/>
    </row>
    <row r="5037" ht="15.75" customHeight="1">
      <c r="A5037" s="26">
        <f>IFERROR(__xludf.DUMMYFUNCTION("""COMPUTED_VALUE"""),7631.0)</f>
        <v>7631</v>
      </c>
      <c r="B5037" s="22" t="str">
        <f>IFERROR(__xludf.DUMMYFUNCTION("""COMPUTED_VALUE"""),"確定")</f>
        <v>確定</v>
      </c>
      <c r="C5037" s="28">
        <f>IFERROR(__xludf.DUMMYFUNCTION("""COMPUTED_VALUE"""),46091.0)</f>
        <v>46091</v>
      </c>
      <c r="D5037" s="28">
        <f>IFERROR(__xludf.DUMMYFUNCTION("""COMPUTED_VALUE"""),46126.0)</f>
        <v>46126</v>
      </c>
      <c r="E5037" s="26">
        <f>IFERROR(__xludf.DUMMYFUNCTION("""COMPUTED_VALUE"""),359718.0)</f>
        <v>359718</v>
      </c>
      <c r="F5037" s="22" t="str">
        <f>IFERROR(__xludf.DUMMYFUNCTION("""COMPUTED_VALUE"""),"月の兎の溺愛婚 ～最強退魔師は「石ころの目」を恋い慕う～")</f>
        <v>月の兎の溺愛婚 ～最強退魔師は「石ころの目」を恋い慕う～</v>
      </c>
      <c r="G5037" s="20" t="str">
        <f>IFERROR(__xludf.DUMMYFUNCTION("""COMPUTED_VALUE"""),"1～3")</f>
        <v>1～3</v>
      </c>
      <c r="H5037" s="22" t="str">
        <f>IFERROR(__xludf.DUMMYFUNCTION("""COMPUTED_VALUE"""),"雨宮いろり（原作）／マエコウ（漫画）")</f>
        <v>雨宮いろり（原作）／マエコウ（漫画）</v>
      </c>
      <c r="I5037" s="22" t="str">
        <f>IFERROR(__xludf.DUMMYFUNCTION("""COMPUTED_VALUE"""),"少女")</f>
        <v>少女</v>
      </c>
      <c r="J5037" s="22"/>
      <c r="K5037" s="22" t="str">
        <f>IFERROR(__xludf.DUMMYFUNCTION("""COMPUTED_VALUE"""),"comic LAKE")</f>
        <v>comic LAKE</v>
      </c>
      <c r="L5037" s="22" t="str">
        <f>IFERROR(__xludf.DUMMYFUNCTION("""COMPUTED_VALUE"""),"一迅社")</f>
        <v>一迅社</v>
      </c>
      <c r="M5037" s="33">
        <f>IFERROR(__xludf.DUMMYFUNCTION("""COMPUTED_VALUE"""),46157.0)</f>
        <v>46157</v>
      </c>
      <c r="N5037" s="33">
        <f>IFERROR(__xludf.DUMMYFUNCTION("""COMPUTED_VALUE"""),46219.0)</f>
        <v>46219</v>
      </c>
      <c r="O5037" s="20"/>
      <c r="P5037" s="32" t="str">
        <f>IFERROR(__xludf.DUMMYFUNCTION("""COMPUTED_VALUE"""),"否")</f>
        <v>否</v>
      </c>
      <c r="Q5037" s="30"/>
      <c r="R5037" s="22" t="str">
        <f>IFERROR(__xludf.DUMMYFUNCTION("""COMPUTED_VALUE"""),"コミットOK")</f>
        <v>コミットOK</v>
      </c>
      <c r="S5037" s="22" t="str">
        <f>IFERROR(__xludf.DUMMYFUNCTION("""COMPUTED_VALUE"""),"20260414_一迅社_月の兎の溺愛婚")</f>
        <v>20260414_一迅社_月の兎の溺愛婚</v>
      </c>
      <c r="T5037" s="22" t="str">
        <f>IFERROR(__xludf.DUMMYFUNCTION("""COMPUTED_VALUE"""),"格納済み")</f>
        <v>格納済み</v>
      </c>
      <c r="U5037" s="9" t="str">
        <f>IFERROR(__xludf.DUMMYFUNCTION("""COMPUTED_VALUE"""),"（C）雨宮いろり・マエコウ／一迅社")</f>
        <v>（C）雨宮いろり・マエコウ／一迅社</v>
      </c>
      <c r="V5037" s="8"/>
      <c r="W5037" s="8"/>
      <c r="X5037" s="8" t="str">
        <f>IFERROR(__xludf.DUMMYFUNCTION("""COMPUTED_VALUE"""),"有")</f>
        <v>有</v>
      </c>
      <c r="Y5037" s="8" t="str">
        <f>IFERROR(__xludf.DUMMYFUNCTION("""COMPUTED_VALUE"""),"7/16まで1巻無料")</f>
        <v>7/16まで1巻無料</v>
      </c>
      <c r="Z5037" s="7"/>
      <c r="AA5037" s="7"/>
      <c r="AB5037" s="7"/>
    </row>
    <row r="5038" ht="15.75" customHeight="1">
      <c r="A5038" s="26">
        <f>IFERROR(__xludf.DUMMYFUNCTION("""COMPUTED_VALUE"""),7636.0)</f>
        <v>7636</v>
      </c>
      <c r="B5038" s="22" t="str">
        <f>IFERROR(__xludf.DUMMYFUNCTION("""COMPUTED_VALUE"""),"確定")</f>
        <v>確定</v>
      </c>
      <c r="C5038" s="28">
        <f>IFERROR(__xludf.DUMMYFUNCTION("""COMPUTED_VALUE"""),46091.0)</f>
        <v>46091</v>
      </c>
      <c r="D5038" s="28">
        <f>IFERROR(__xludf.DUMMYFUNCTION("""COMPUTED_VALUE"""),46126.0)</f>
        <v>46126</v>
      </c>
      <c r="E5038" s="26">
        <f>IFERROR(__xludf.DUMMYFUNCTION("""COMPUTED_VALUE"""),362747.0)</f>
        <v>362747</v>
      </c>
      <c r="F5038" s="22" t="str">
        <f>IFERROR(__xludf.DUMMYFUNCTION("""COMPUTED_VALUE"""),"嘘と最愛の品格－命果てるまで愛を誓いますか？－【マイクロ】")</f>
        <v>嘘と最愛の品格－命果てるまで愛を誓いますか？－【マイクロ】</v>
      </c>
      <c r="G5038" s="20" t="str">
        <f>IFERROR(__xludf.DUMMYFUNCTION("""COMPUTED_VALUE"""),"1~6")</f>
        <v>1~6</v>
      </c>
      <c r="H5038" s="22" t="str">
        <f>IFERROR(__xludf.DUMMYFUNCTION("""COMPUTED_VALUE"""),"甘宮ちか")</f>
        <v>甘宮ちか</v>
      </c>
      <c r="I5038" s="22" t="str">
        <f>IFERROR(__xludf.DUMMYFUNCTION("""COMPUTED_VALUE"""),"女性")</f>
        <v>女性</v>
      </c>
      <c r="J5038" s="22"/>
      <c r="K5038" s="22" t="str">
        <f>IFERROR(__xludf.DUMMYFUNCTION("""COMPUTED_VALUE"""),"Sho-ComiX")</f>
        <v>Sho-ComiX</v>
      </c>
      <c r="L5038" s="22" t="str">
        <f>IFERROR(__xludf.DUMMYFUNCTION("""COMPUTED_VALUE"""),"小学館")</f>
        <v>小学館</v>
      </c>
      <c r="M5038" s="33">
        <f>IFERROR(__xludf.DUMMYFUNCTION("""COMPUTED_VALUE"""),46175.0)</f>
        <v>46175</v>
      </c>
      <c r="N5038" s="33">
        <f>IFERROR(__xludf.DUMMYFUNCTION("""COMPUTED_VALUE"""),46266.66666666667)</f>
        <v>46266.66667</v>
      </c>
      <c r="O5038" s="20"/>
      <c r="P5038" s="32" t="str">
        <f>IFERROR(__xludf.DUMMYFUNCTION("""COMPUTED_VALUE"""),"否")</f>
        <v>否</v>
      </c>
      <c r="Q5038" s="30" t="str">
        <f>IFERROR(__xludf.DUMMYFUNCTION("""COMPUTED_VALUE"""),"『花は二度咲き乱れる』『文豪に捧げる乙女』の先生の新作です。&lt;BR&gt;")</f>
        <v>『花は二度咲き乱れる』『文豪に捧げる乙女』の先生の新作です。&lt;BR&gt;</v>
      </c>
      <c r="R5038" s="22" t="str">
        <f>IFERROR(__xludf.DUMMYFUNCTION("""COMPUTED_VALUE"""),"コミットOK")</f>
        <v>コミットOK</v>
      </c>
      <c r="S5038" s="22" t="str">
        <f>IFERROR(__xludf.DUMMYFUNCTION("""COMPUTED_VALUE"""),"20260413_小学館_嘘と最愛の品格－命果てるまで愛を誓いますか？－【マイクロ】")</f>
        <v>20260413_小学館_嘘と最愛の品格－命果てるまで愛を誓いますか？－【マイクロ】</v>
      </c>
      <c r="T5038" s="22" t="str">
        <f>IFERROR(__xludf.DUMMYFUNCTION("""COMPUTED_VALUE"""),"格納済み")</f>
        <v>格納済み</v>
      </c>
      <c r="U5038" s="9" t="str">
        <f>IFERROR(__xludf.DUMMYFUNCTION("""COMPUTED_VALUE"""),"(C)甘宮ちか / 小学館")</f>
        <v>(C)甘宮ちか / 小学館</v>
      </c>
      <c r="V5038" s="8"/>
      <c r="W5038" s="8"/>
      <c r="X5038" s="8" t="str">
        <f>IFERROR(__xludf.DUMMYFUNCTION("""COMPUTED_VALUE"""),"有")</f>
        <v>有</v>
      </c>
      <c r="Y5038" s="8" t="str">
        <f>IFERROR(__xludf.DUMMYFUNCTION("""COMPUTED_VALUE"""),"2026/8/1まで1巻無料")</f>
        <v>2026/8/1まで1巻無料</v>
      </c>
      <c r="Z5038" s="7"/>
      <c r="AA5038" s="7"/>
      <c r="AB5038" s="7"/>
    </row>
    <row r="5039" ht="15.75" customHeight="1">
      <c r="A5039" s="26">
        <f>IFERROR(__xludf.DUMMYFUNCTION("""COMPUTED_VALUE"""),7650.0)</f>
        <v>7650</v>
      </c>
      <c r="B5039" s="22" t="str">
        <f>IFERROR(__xludf.DUMMYFUNCTION("""COMPUTED_VALUE"""),"確定")</f>
        <v>確定</v>
      </c>
      <c r="C5039" s="28">
        <f>IFERROR(__xludf.DUMMYFUNCTION("""COMPUTED_VALUE"""),46093.0)</f>
        <v>46093</v>
      </c>
      <c r="D5039" s="28">
        <f>IFERROR(__xludf.DUMMYFUNCTION("""COMPUTED_VALUE"""),46127.0)</f>
        <v>46127</v>
      </c>
      <c r="E5039" s="26"/>
      <c r="F5039" s="22" t="str">
        <f>IFERROR(__xludf.DUMMYFUNCTION("""COMPUTED_VALUE"""),"仔猫な花嫁は我慢しない 公爵閣下の溺愛教育")</f>
        <v>仔猫な花嫁は我慢しない 公爵閣下の溺愛教育</v>
      </c>
      <c r="G5039" s="20" t="str">
        <f>IFERROR(__xludf.DUMMYFUNCTION("""COMPUTED_VALUE"""),"1～3")</f>
        <v>1～3</v>
      </c>
      <c r="H5039" s="22" t="str">
        <f>IFERROR(__xludf.DUMMYFUNCTION("""COMPUTED_VALUE"""),"漫画：高塔サチ／原作：クレイン")</f>
        <v>漫画：高塔サチ／原作：クレイン</v>
      </c>
      <c r="I5039" s="22" t="str">
        <f>IFERROR(__xludf.DUMMYFUNCTION("""COMPUTED_VALUE"""),"女性マンガ")</f>
        <v>女性マンガ</v>
      </c>
      <c r="J5039" s="22"/>
      <c r="K5039" s="22" t="str">
        <f>IFERROR(__xludf.DUMMYFUNCTION("""COMPUTED_VALUE"""),"華猫")</f>
        <v>華猫</v>
      </c>
      <c r="L5039" s="22" t="str">
        <f>IFERROR(__xludf.DUMMYFUNCTION("""COMPUTED_VALUE"""),"竹書房")</f>
        <v>竹書房</v>
      </c>
      <c r="M5039" s="33">
        <f>IFERROR(__xludf.DUMMYFUNCTION("""COMPUTED_VALUE"""),46266.0)</f>
        <v>46266</v>
      </c>
      <c r="N5039" s="33">
        <f>IFERROR(__xludf.DUMMYFUNCTION("""COMPUTED_VALUE"""),46326.0)</f>
        <v>46326</v>
      </c>
      <c r="O5039" s="20"/>
      <c r="P5039" s="32" t="str">
        <f>IFERROR(__xludf.DUMMYFUNCTION("""COMPUTED_VALUE"""),"可")</f>
        <v>可</v>
      </c>
      <c r="Q5039" s="30"/>
      <c r="R5039" s="22" t="str">
        <f>IFERROR(__xludf.DUMMYFUNCTION("""COMPUTED_VALUE"""),"コミットNG")</f>
        <v>コミットNG</v>
      </c>
      <c r="S5039" s="22" t="str">
        <f>IFERROR(__xludf.DUMMYFUNCTION("""COMPUTED_VALUE"""),"20260413_竹書房_仔猫な花嫁は我慢しない 公爵閣下の溺愛教育")</f>
        <v>20260413_竹書房_仔猫な花嫁は我慢しない 公爵閣下の溺愛教育</v>
      </c>
      <c r="T5039" s="22" t="str">
        <f>IFERROR(__xludf.DUMMYFUNCTION("""COMPUTED_VALUE"""),"格納済み")</f>
        <v>格納済み</v>
      </c>
      <c r="U5039" s="9" t="str">
        <f>IFERROR(__xludf.DUMMYFUNCTION("""COMPUTED_VALUE"""),"Ⓒクレイン・高塔サチ ／竹書房")</f>
        <v>Ⓒクレイン・高塔サチ ／竹書房</v>
      </c>
      <c r="V5039" s="8"/>
      <c r="W5039" s="8"/>
      <c r="X5039" s="8"/>
      <c r="Y5039" s="8"/>
      <c r="Z5039" s="7"/>
      <c r="AA5039" s="7"/>
      <c r="AB5039" s="7"/>
    </row>
    <row r="5040" ht="15.75" customHeight="1">
      <c r="A5040" s="26">
        <f>IFERROR(__xludf.DUMMYFUNCTION("""COMPUTED_VALUE"""),7685.0)</f>
        <v>7685</v>
      </c>
      <c r="B5040" s="22" t="str">
        <f>IFERROR(__xludf.DUMMYFUNCTION("""COMPUTED_VALUE"""),"確定")</f>
        <v>確定</v>
      </c>
      <c r="C5040" s="28">
        <f>IFERROR(__xludf.DUMMYFUNCTION("""COMPUTED_VALUE"""),46094.0)</f>
        <v>46094</v>
      </c>
      <c r="D5040" s="28">
        <f>IFERROR(__xludf.DUMMYFUNCTION("""COMPUTED_VALUE"""),46126.0)</f>
        <v>46126</v>
      </c>
      <c r="E5040" s="26">
        <f>IFERROR(__xludf.DUMMYFUNCTION("""COMPUTED_VALUE"""),359551.0)</f>
        <v>359551</v>
      </c>
      <c r="F5040" s="22" t="str">
        <f>IFERROR(__xludf.DUMMYFUNCTION("""COMPUTED_VALUE"""),"別れさせ屋とやばかわモンスター")</f>
        <v>別れさせ屋とやばかわモンスター</v>
      </c>
      <c r="G5040" s="20" t="str">
        <f>IFERROR(__xludf.DUMMYFUNCTION("""COMPUTED_VALUE"""),"1～2")</f>
        <v>1～2</v>
      </c>
      <c r="H5040" s="22" t="str">
        <f>IFERROR(__xludf.DUMMYFUNCTION("""COMPUTED_VALUE"""),"甘夏すみ")</f>
        <v>甘夏すみ</v>
      </c>
      <c r="I5040" s="22" t="str">
        <f>IFERROR(__xludf.DUMMYFUNCTION("""COMPUTED_VALUE"""),"BLマンガ")</f>
        <v>BLマンガ</v>
      </c>
      <c r="J5040" s="22"/>
      <c r="K5040" s="22" t="str">
        <f>IFERROR(__xludf.DUMMYFUNCTION("""COMPUTED_VALUE"""),"NuPu")</f>
        <v>NuPu</v>
      </c>
      <c r="L5040" s="22" t="str">
        <f>IFERROR(__xludf.DUMMYFUNCTION("""COMPUTED_VALUE"""),"CLLENN")</f>
        <v>CLLENN</v>
      </c>
      <c r="M5040" s="33">
        <f>IFERROR(__xludf.DUMMYFUNCTION("""COMPUTED_VALUE"""),46163.0)</f>
        <v>46163</v>
      </c>
      <c r="N5040" s="33">
        <f>IFERROR(__xludf.DUMMYFUNCTION("""COMPUTED_VALUE"""),46218.0)</f>
        <v>46218</v>
      </c>
      <c r="O5040" s="20" t="str">
        <f>IFERROR(__xludf.DUMMYFUNCTION("""COMPUTED_VALUE"""),"【アダルト作品扱い】")</f>
        <v>【アダルト作品扱い】</v>
      </c>
      <c r="P5040" s="32" t="str">
        <f>IFERROR(__xludf.DUMMYFUNCTION("""COMPUTED_VALUE"""),"可")</f>
        <v>可</v>
      </c>
      <c r="Q5040" s="30"/>
      <c r="R5040" s="22" t="str">
        <f>IFERROR(__xludf.DUMMYFUNCTION("""COMPUTED_VALUE"""),"コミットOK")</f>
        <v>コミットOK</v>
      </c>
      <c r="S5040" s="22" t="str">
        <f>IFERROR(__xludf.DUMMYFUNCTION("""COMPUTED_VALUE"""),"20260414_CLLENN_別れさせ屋とやばかわモンスター")</f>
        <v>20260414_CLLENN_別れさせ屋とやばかわモンスター</v>
      </c>
      <c r="T5040" s="22" t="str">
        <f>IFERROR(__xludf.DUMMYFUNCTION("""COMPUTED_VALUE"""),"格納済み")</f>
        <v>格納済み</v>
      </c>
      <c r="U5040" s="9" t="str">
        <f>IFERROR(__xludf.DUMMYFUNCTION("""COMPUTED_VALUE"""),"Ⓒ甘夏すみ/CLLENN")</f>
        <v>Ⓒ甘夏すみ/CLLENN</v>
      </c>
      <c r="V5040" s="8"/>
      <c r="W5040" s="8"/>
      <c r="X5040" s="8"/>
      <c r="Y5040" s="8" t="str">
        <f>IFERROR(__xludf.DUMMYFUNCTION("""COMPUTED_VALUE"""),"6/3まで1巻立ち読み増量P19まで")</f>
        <v>6/3まで1巻立ち読み増量P19まで</v>
      </c>
      <c r="Z5040" s="7"/>
      <c r="AA5040" s="7"/>
      <c r="AB5040" s="7"/>
    </row>
    <row r="5041" ht="15.75" customHeight="1">
      <c r="A5041" s="26">
        <f>IFERROR(__xludf.DUMMYFUNCTION("""COMPUTED_VALUE"""),7721.0)</f>
        <v>7721</v>
      </c>
      <c r="B5041" s="22" t="str">
        <f>IFERROR(__xludf.DUMMYFUNCTION("""COMPUTED_VALUE"""),"確定")</f>
        <v>確定</v>
      </c>
      <c r="C5041" s="28">
        <f>IFERROR(__xludf.DUMMYFUNCTION("""COMPUTED_VALUE"""),46104.0)</f>
        <v>46104</v>
      </c>
      <c r="D5041" s="28">
        <f>IFERROR(__xludf.DUMMYFUNCTION("""COMPUTED_VALUE"""),46127.0)</f>
        <v>46127</v>
      </c>
      <c r="E5041" s="26">
        <f>IFERROR(__xludf.DUMMYFUNCTION("""COMPUTED_VALUE"""),359734.0)</f>
        <v>359734</v>
      </c>
      <c r="F5041" s="22" t="str">
        <f>IFERROR(__xludf.DUMMYFUNCTION("""COMPUTED_VALUE"""),"殿下が求婚中のお色気魔女の正体は、私です")</f>
        <v>殿下が求婚中のお色気魔女の正体は、私です</v>
      </c>
      <c r="G5041" s="20" t="str">
        <f>IFERROR(__xludf.DUMMYFUNCTION("""COMPUTED_VALUE"""),"1～3")</f>
        <v>1～3</v>
      </c>
      <c r="H5041" s="22" t="str">
        <f>IFERROR(__xludf.DUMMYFUNCTION("""COMPUTED_VALUE"""),"鷹咲いつき/瀬尾優梨/コユコム")</f>
        <v>鷹咲いつき/瀬尾優梨/コユコム</v>
      </c>
      <c r="I5041" s="22" t="str">
        <f>IFERROR(__xludf.DUMMYFUNCTION("""COMPUTED_VALUE"""),"少女マンガ")</f>
        <v>少女マンガ</v>
      </c>
      <c r="J5041" s="22"/>
      <c r="K5041" s="22"/>
      <c r="L5041" s="22" t="str">
        <f>IFERROR(__xludf.DUMMYFUNCTION("""COMPUTED_VALUE"""),"風濤社（futohsha）")</f>
        <v>風濤社（futohsha）</v>
      </c>
      <c r="M5041" s="33">
        <f>IFERROR(__xludf.DUMMYFUNCTION("""COMPUTED_VALUE"""),46157.0)</f>
        <v>46157</v>
      </c>
      <c r="N5041" s="33">
        <f>IFERROR(__xludf.DUMMYFUNCTION("""COMPUTED_VALUE"""),46247.0)</f>
        <v>46247</v>
      </c>
      <c r="O5041" s="20"/>
      <c r="P5041" s="32" t="str">
        <f>IFERROR(__xludf.DUMMYFUNCTION("""COMPUTED_VALUE"""),"可")</f>
        <v>可</v>
      </c>
      <c r="Q5041" s="30"/>
      <c r="R5041" s="22" t="str">
        <f>IFERROR(__xludf.DUMMYFUNCTION("""COMPUTED_VALUE"""),"コミットNG")</f>
        <v>コミットNG</v>
      </c>
      <c r="S5041" s="22" t="str">
        <f>IFERROR(__xludf.DUMMYFUNCTION("""COMPUTED_VALUE"""),"20260414_風濤社_殿下が求婚中のお色気魔女の正体は、私です")</f>
        <v>20260414_風濤社_殿下が求婚中のお色気魔女の正体は、私です</v>
      </c>
      <c r="T5041" s="22" t="str">
        <f>IFERROR(__xludf.DUMMYFUNCTION("""COMPUTED_VALUE"""),"格納済み")</f>
        <v>格納済み</v>
      </c>
      <c r="U5041" s="9" t="str">
        <f>IFERROR(__xludf.DUMMYFUNCTION("""COMPUTED_VALUE"""),"Ⓒ鷹咲いつき・瀬尾優梨/Eylie")</f>
        <v>Ⓒ鷹咲いつき・瀬尾優梨/Eylie</v>
      </c>
      <c r="V5041" s="8"/>
      <c r="W5041" s="8"/>
      <c r="X5041" s="8" t="str">
        <f>IFERROR(__xludf.DUMMYFUNCTION("""COMPUTED_VALUE"""),"有")</f>
        <v>有</v>
      </c>
      <c r="Y5041" s="8" t="str">
        <f>IFERROR(__xludf.DUMMYFUNCTION("""COMPUTED_VALUE"""),"5/28まで1巻無料")</f>
        <v>5/28まで1巻無料</v>
      </c>
      <c r="Z5041" s="7"/>
      <c r="AA5041" s="7"/>
      <c r="AB5041" s="7"/>
    </row>
    <row r="5042" ht="15.75" customHeight="1">
      <c r="A5042" s="26">
        <f>IFERROR(__xludf.DUMMYFUNCTION("""COMPUTED_VALUE"""),7737.0)</f>
        <v>7737</v>
      </c>
      <c r="B5042" s="22" t="str">
        <f>IFERROR(__xludf.DUMMYFUNCTION("""COMPUTED_VALUE"""),"確定")</f>
        <v>確定</v>
      </c>
      <c r="C5042" s="28">
        <f>IFERROR(__xludf.DUMMYFUNCTION("""COMPUTED_VALUE"""),46104.0)</f>
        <v>46104</v>
      </c>
      <c r="D5042" s="28">
        <f>IFERROR(__xludf.DUMMYFUNCTION("""COMPUTED_VALUE"""),46125.0)</f>
        <v>46125</v>
      </c>
      <c r="E5042" s="26">
        <f>IFERROR(__xludf.DUMMYFUNCTION("""COMPUTED_VALUE"""),359059.0)</f>
        <v>359059</v>
      </c>
      <c r="F5042" s="22" t="str">
        <f>IFERROR(__xludf.DUMMYFUNCTION("""COMPUTED_VALUE"""),"身分差に終わった恋を、今さらですが。")</f>
        <v>身分差に終わった恋を、今さらですが。</v>
      </c>
      <c r="G5042" s="20" t="str">
        <f>IFERROR(__xludf.DUMMYFUNCTION("""COMPUTED_VALUE"""),"1~6")</f>
        <v>1~6</v>
      </c>
      <c r="H5042" s="22" t="str">
        <f>IFERROR(__xludf.DUMMYFUNCTION("""COMPUTED_VALUE"""),"渡鍋ぽんず")</f>
        <v>渡鍋ぽんず</v>
      </c>
      <c r="I5042" s="22" t="str">
        <f>IFERROR(__xludf.DUMMYFUNCTION("""COMPUTED_VALUE"""),"女性マンガ")</f>
        <v>女性マンガ</v>
      </c>
      <c r="J5042" s="22"/>
      <c r="K5042" s="22" t="str">
        <f>IFERROR(__xludf.DUMMYFUNCTION("""COMPUTED_VALUE"""),"STUDIO ZOON")</f>
        <v>STUDIO ZOON</v>
      </c>
      <c r="L5042" s="22" t="str">
        <f>IFERROR(__xludf.DUMMYFUNCTION("""COMPUTED_VALUE"""),"STUDIO ZOON")</f>
        <v>STUDIO ZOON</v>
      </c>
      <c r="M5042" s="33">
        <f>IFERROR(__xludf.DUMMYFUNCTION("""COMPUTED_VALUE"""),46159.0)</f>
        <v>46159</v>
      </c>
      <c r="N5042" s="33">
        <f>IFERROR(__xludf.DUMMYFUNCTION("""COMPUTED_VALUE"""),46287.66666666667)</f>
        <v>46287.66667</v>
      </c>
      <c r="O5042" s="20"/>
      <c r="P5042" s="32" t="str">
        <f>IFERROR(__xludf.DUMMYFUNCTION("""COMPUTED_VALUE"""),"可")</f>
        <v>可</v>
      </c>
      <c r="Q5042" s="30"/>
      <c r="R5042" s="22" t="str">
        <f>IFERROR(__xludf.DUMMYFUNCTION("""COMPUTED_VALUE"""),"コミットOK")</f>
        <v>コミットOK</v>
      </c>
      <c r="S5042" s="22" t="str">
        <f>IFERROR(__xludf.DUMMYFUNCTION("""COMPUTED_VALUE"""),"20260410_SBクリエイティブ_身分差に終わった恋を、今さらですが。")</f>
        <v>20260410_SBクリエイティブ_身分差に終わった恋を、今さらですが。</v>
      </c>
      <c r="T5042" s="22" t="str">
        <f>IFERROR(__xludf.DUMMYFUNCTION("""COMPUTED_VALUE"""),"格納済み")</f>
        <v>格納済み</v>
      </c>
      <c r="U5042" s="9" t="str">
        <f>IFERROR(__xludf.DUMMYFUNCTION("""COMPUTED_VALUE"""),"「身分差に終わった恋を、今さらですが。」Ⓒ︎渡鍋ぽんず/STUDIO ZOON")</f>
        <v>「身分差に終わった恋を、今さらですが。」Ⓒ︎渡鍋ぽんず/STUDIO ZOON</v>
      </c>
      <c r="V5042" s="8"/>
      <c r="W5042" s="8"/>
      <c r="X5042" s="8" t="str">
        <f>IFERROR(__xludf.DUMMYFUNCTION("""COMPUTED_VALUE"""),"有")</f>
        <v>有</v>
      </c>
      <c r="Y5042" s="8" t="str">
        <f>IFERROR(__xludf.DUMMYFUNCTION("""COMPUTED_VALUE"""),"7/18まで1~2巻無料")</f>
        <v>7/18まで1~2巻無料</v>
      </c>
      <c r="Z5042" s="7"/>
      <c r="AA5042" s="7"/>
      <c r="AB5042" s="7"/>
    </row>
    <row r="5043" ht="15.75" customHeight="1">
      <c r="A5043" s="26">
        <f>IFERROR(__xludf.DUMMYFUNCTION("""COMPUTED_VALUE"""),7792.0)</f>
        <v>7792</v>
      </c>
      <c r="B5043" s="22" t="str">
        <f>IFERROR(__xludf.DUMMYFUNCTION("""COMPUTED_VALUE"""),"確定")</f>
        <v>確定</v>
      </c>
      <c r="C5043" s="28">
        <f>IFERROR(__xludf.DUMMYFUNCTION("""COMPUTED_VALUE"""),46119.0)</f>
        <v>46119</v>
      </c>
      <c r="D5043" s="28">
        <f>IFERROR(__xludf.DUMMYFUNCTION("""COMPUTED_VALUE"""),46122.0)</f>
        <v>46122</v>
      </c>
      <c r="E5043" s="26">
        <f>IFERROR(__xludf.DUMMYFUNCTION("""COMPUTED_VALUE"""),359146.0)</f>
        <v>359146</v>
      </c>
      <c r="F5043" s="22" t="str">
        <f>IFERROR(__xludf.DUMMYFUNCTION("""COMPUTED_VALUE"""),"ご指名制イレギュラーハニー 分冊版")</f>
        <v>ご指名制イレギュラーハニー 分冊版</v>
      </c>
      <c r="G5043" s="20" t="str">
        <f>IFERROR(__xludf.DUMMYFUNCTION("""COMPUTED_VALUE"""),"1～2")</f>
        <v>1～2</v>
      </c>
      <c r="H5043" s="22" t="str">
        <f>IFERROR(__xludf.DUMMYFUNCTION("""COMPUTED_VALUE"""),"もちた")</f>
        <v>もちた</v>
      </c>
      <c r="I5043" s="22" t="str">
        <f>IFERROR(__xludf.DUMMYFUNCTION("""COMPUTED_VALUE"""),"BL")</f>
        <v>BL</v>
      </c>
      <c r="J5043" s="22"/>
      <c r="K5043" s="22" t="str">
        <f>IFERROR(__xludf.DUMMYFUNCTION("""COMPUTED_VALUE"""),"チルシェコミックス")</f>
        <v>チルシェコミックス</v>
      </c>
      <c r="L5043" s="22" t="str">
        <f>IFERROR(__xludf.DUMMYFUNCTION("""COMPUTED_VALUE"""),"双葉社")</f>
        <v>双葉社</v>
      </c>
      <c r="M5043" s="33">
        <f>IFERROR(__xludf.DUMMYFUNCTION("""COMPUTED_VALUE"""),46162.0)</f>
        <v>46162</v>
      </c>
      <c r="N5043" s="33">
        <f>IFERROR(__xludf.DUMMYFUNCTION("""COMPUTED_VALUE"""),46192.0)</f>
        <v>46192</v>
      </c>
      <c r="O5043" s="20" t="str">
        <f>IFERROR(__xludf.DUMMYFUNCTION("""COMPUTED_VALUE"""),"【アダルト作品扱い】")</f>
        <v>【アダルト作品扱い】</v>
      </c>
      <c r="P5043" s="32" t="str">
        <f>IFERROR(__xludf.DUMMYFUNCTION("""COMPUTED_VALUE"""),"可")</f>
        <v>可</v>
      </c>
      <c r="Q5043" s="30"/>
      <c r="R5043" s="22"/>
      <c r="S5043" s="22" t="str">
        <f>IFERROR(__xludf.DUMMYFUNCTION("""COMPUTED_VALUE"""),"20260410_双葉社_ご指名制イレギュラーハニー")</f>
        <v>20260410_双葉社_ご指名制イレギュラーハニー</v>
      </c>
      <c r="T5043" s="22" t="str">
        <f>IFERROR(__xludf.DUMMYFUNCTION("""COMPUTED_VALUE"""),"格納済み")</f>
        <v>格納済み</v>
      </c>
      <c r="U5043" s="9" t="str">
        <f>IFERROR(__xludf.DUMMYFUNCTION("""COMPUTED_VALUE"""),"Ⓒもちた/双葉社")</f>
        <v>Ⓒもちた/双葉社</v>
      </c>
      <c r="V5043" s="8"/>
      <c r="W5043" s="8"/>
      <c r="X5043" s="8" t="str">
        <f>IFERROR(__xludf.DUMMYFUNCTION("""COMPUTED_VALUE"""),"有")</f>
        <v>有</v>
      </c>
      <c r="Y5043" s="8" t="str">
        <f>IFERROR(__xludf.DUMMYFUNCTION("""COMPUTED_VALUE"""),"P13まで")</f>
        <v>P13まで</v>
      </c>
      <c r="Z5043" s="7"/>
      <c r="AA5043" s="7"/>
      <c r="AB5043" s="7"/>
    </row>
    <row r="5044" ht="15.75" customHeight="1">
      <c r="A5044" s="26">
        <f>IFERROR(__xludf.DUMMYFUNCTION("""COMPUTED_VALUE"""),7797.0)</f>
        <v>7797</v>
      </c>
      <c r="B5044" s="22" t="str">
        <f>IFERROR(__xludf.DUMMYFUNCTION("""COMPUTED_VALUE"""),"確定")</f>
        <v>確定</v>
      </c>
      <c r="C5044" s="28">
        <f>IFERROR(__xludf.DUMMYFUNCTION("""COMPUTED_VALUE"""),46122.0)</f>
        <v>46122</v>
      </c>
      <c r="D5044" s="28">
        <f>IFERROR(__xludf.DUMMYFUNCTION("""COMPUTED_VALUE"""),46122.0)</f>
        <v>46122</v>
      </c>
      <c r="E5044" s="26">
        <f>IFERROR(__xludf.DUMMYFUNCTION("""COMPUTED_VALUE"""),354774.0)</f>
        <v>354774</v>
      </c>
      <c r="F5044" s="22" t="str">
        <f>IFERROR(__xludf.DUMMYFUNCTION("""COMPUTED_VALUE"""),"恋を知らないサキュバスが騎士団長様に執着溺愛されるまで")</f>
        <v>恋を知らないサキュバスが騎士団長様に執着溺愛されるまで</v>
      </c>
      <c r="G5044" s="20" t="str">
        <f>IFERROR(__xludf.DUMMYFUNCTION("""COMPUTED_VALUE"""),"1~5")</f>
        <v>1~5</v>
      </c>
      <c r="H5044" s="22" t="str">
        <f>IFERROR(__xludf.DUMMYFUNCTION("""COMPUTED_VALUE"""),"犀木ろっか")</f>
        <v>犀木ろっか</v>
      </c>
      <c r="I5044" s="22" t="str">
        <f>IFERROR(__xludf.DUMMYFUNCTION("""COMPUTED_VALUE"""),"TLマンガ")</f>
        <v>TLマンガ</v>
      </c>
      <c r="J5044" s="22"/>
      <c r="K5044" s="22" t="str">
        <f>IFERROR(__xludf.DUMMYFUNCTION("""COMPUTED_VALUE"""),"LOVEBITES")</f>
        <v>LOVEBITES</v>
      </c>
      <c r="L5044" s="22" t="str">
        <f>IFERROR(__xludf.DUMMYFUNCTION("""COMPUTED_VALUE"""),"一迅社")</f>
        <v>一迅社</v>
      </c>
      <c r="M5044" s="33">
        <f>IFERROR(__xludf.DUMMYFUNCTION("""COMPUTED_VALUE"""),46115.0)</f>
        <v>46115</v>
      </c>
      <c r="N5044" s="33">
        <f>IFERROR(__xludf.DUMMYFUNCTION("""COMPUTED_VALUE"""),46142.0)</f>
        <v>46142</v>
      </c>
      <c r="O5044" s="20"/>
      <c r="P5044" s="32" t="str">
        <f>IFERROR(__xludf.DUMMYFUNCTION("""COMPUTED_VALUE"""),"可")</f>
        <v>可</v>
      </c>
      <c r="Q5044" s="30" t="str">
        <f>IFERROR(__xludf.DUMMYFUNCTION("""COMPUTED_VALUE"""),"可能な限りお早めのご出稿お願いいたします。")</f>
        <v>可能な限りお早めのご出稿お願いいたします。</v>
      </c>
      <c r="R5044" s="22"/>
      <c r="S5044" s="22" t="str">
        <f>IFERROR(__xludf.DUMMYFUNCTION("""COMPUTED_VALUE"""),"20260410_一迅社_恋を知らないサキュバスが騎士団長様に執着溺愛されるまで")</f>
        <v>20260410_一迅社_恋を知らないサキュバスが騎士団長様に執着溺愛されるまで</v>
      </c>
      <c r="T5044" s="22" t="str">
        <f>IFERROR(__xludf.DUMMYFUNCTION("""COMPUTED_VALUE"""),"格納済み")</f>
        <v>格納済み</v>
      </c>
      <c r="U5044" s="9" t="str">
        <f>IFERROR(__xludf.DUMMYFUNCTION("""COMPUTED_VALUE"""),"(C)犀木ろっか／一迅社")</f>
        <v>(C)犀木ろっか／一迅社</v>
      </c>
      <c r="V5044" s="8"/>
      <c r="W5044" s="8"/>
      <c r="X5044" s="8" t="str">
        <f>IFERROR(__xludf.DUMMYFUNCTION("""COMPUTED_VALUE"""),"有")</f>
        <v>有</v>
      </c>
      <c r="Y5044" s="8" t="str">
        <f>IFERROR(__xludf.DUMMYFUNCTION("""COMPUTED_VALUE"""),"2026/5/14まで1巻無料")</f>
        <v>2026/5/14まで1巻無料</v>
      </c>
      <c r="Z5044" s="7"/>
      <c r="AA5044" s="7"/>
      <c r="AB5044" s="7"/>
    </row>
    <row r="5045" ht="15.75" customHeight="1">
      <c r="A5045" s="26">
        <f>IFERROR(__xludf.DUMMYFUNCTION("""COMPUTED_VALUE"""),7798.0)</f>
        <v>7798</v>
      </c>
      <c r="B5045" s="22" t="str">
        <f>IFERROR(__xludf.DUMMYFUNCTION("""COMPUTED_VALUE"""),"確定")</f>
        <v>確定</v>
      </c>
      <c r="C5045" s="28">
        <f>IFERROR(__xludf.DUMMYFUNCTION("""COMPUTED_VALUE"""),46122.0)</f>
        <v>46122</v>
      </c>
      <c r="D5045" s="28">
        <f>IFERROR(__xludf.DUMMYFUNCTION("""COMPUTED_VALUE"""),46122.0)</f>
        <v>46122</v>
      </c>
      <c r="E5045" s="26">
        <f>IFERROR(__xludf.DUMMYFUNCTION("""COMPUTED_VALUE"""),354779.0)</f>
        <v>354779</v>
      </c>
      <c r="F5045" s="22" t="str">
        <f>IFERROR(__xludf.DUMMYFUNCTION("""COMPUTED_VALUE"""),"その声に甘く痺れて溺れてく～シゴデキ後輩は推しのメロ声配信者でした～")</f>
        <v>その声に甘く痺れて溺れてく～シゴデキ後輩は推しのメロ声配信者でした～</v>
      </c>
      <c r="G5045" s="20" t="str">
        <f>IFERROR(__xludf.DUMMYFUNCTION("""COMPUTED_VALUE"""),"1～3")</f>
        <v>1～3</v>
      </c>
      <c r="H5045" s="22" t="str">
        <f>IFERROR(__xludf.DUMMYFUNCTION("""COMPUTED_VALUE"""),"政れお")</f>
        <v>政れお</v>
      </c>
      <c r="I5045" s="22" t="str">
        <f>IFERROR(__xludf.DUMMYFUNCTION("""COMPUTED_VALUE"""),"TLマンガ")</f>
        <v>TLマンガ</v>
      </c>
      <c r="J5045" s="22"/>
      <c r="K5045" s="22" t="str">
        <f>IFERROR(__xludf.DUMMYFUNCTION("""COMPUTED_VALUE"""),"LOVEBITES")</f>
        <v>LOVEBITES</v>
      </c>
      <c r="L5045" s="22" t="str">
        <f>IFERROR(__xludf.DUMMYFUNCTION("""COMPUTED_VALUE"""),"一迅社")</f>
        <v>一迅社</v>
      </c>
      <c r="M5045" s="33">
        <f>IFERROR(__xludf.DUMMYFUNCTION("""COMPUTED_VALUE"""),46115.0)</f>
        <v>46115</v>
      </c>
      <c r="N5045" s="33">
        <f>IFERROR(__xludf.DUMMYFUNCTION("""COMPUTED_VALUE"""),46142.0)</f>
        <v>46142</v>
      </c>
      <c r="O5045" s="20"/>
      <c r="P5045" s="32" t="str">
        <f>IFERROR(__xludf.DUMMYFUNCTION("""COMPUTED_VALUE"""),"可")</f>
        <v>可</v>
      </c>
      <c r="Q5045" s="30" t="str">
        <f>IFERROR(__xludf.DUMMYFUNCTION("""COMPUTED_VALUE"""),"可能な限りお早めのご出稿お願いいたします。")</f>
        <v>可能な限りお早めのご出稿お願いいたします。</v>
      </c>
      <c r="R5045" s="22"/>
      <c r="S5045" s="22" t="str">
        <f>IFERROR(__xludf.DUMMYFUNCTION("""COMPUTED_VALUE"""),"20260410_一迅社_その声に甘く痺れて溺れてく～シゴデキ後輩は推しのメロ声配信者でした～")</f>
        <v>20260410_一迅社_その声に甘く痺れて溺れてく～シゴデキ後輩は推しのメロ声配信者でした～</v>
      </c>
      <c r="T5045" s="22" t="str">
        <f>IFERROR(__xludf.DUMMYFUNCTION("""COMPUTED_VALUE"""),"格納済み")</f>
        <v>格納済み</v>
      </c>
      <c r="U5045" s="9" t="str">
        <f>IFERROR(__xludf.DUMMYFUNCTION("""COMPUTED_VALUE"""),"(C)政れお／一迅社")</f>
        <v>(C)政れお／一迅社</v>
      </c>
      <c r="V5045" s="8"/>
      <c r="W5045" s="8"/>
      <c r="X5045" s="8" t="str">
        <f>IFERROR(__xludf.DUMMYFUNCTION("""COMPUTED_VALUE"""),"有")</f>
        <v>有</v>
      </c>
      <c r="Y5045" s="8" t="str">
        <f>IFERROR(__xludf.DUMMYFUNCTION("""COMPUTED_VALUE"""),"2026/5/14まで1巻無料")</f>
        <v>2026/5/14まで1巻無料</v>
      </c>
      <c r="Z5045" s="7"/>
      <c r="AA5045" s="7"/>
      <c r="AB5045" s="7"/>
    </row>
    <row r="5046" ht="15.75" customHeight="1">
      <c r="A5046" s="26">
        <f>IFERROR(__xludf.DUMMYFUNCTION("""COMPUTED_VALUE"""),7799.0)</f>
        <v>7799</v>
      </c>
      <c r="B5046" s="22" t="str">
        <f>IFERROR(__xludf.DUMMYFUNCTION("""COMPUTED_VALUE"""),"確定")</f>
        <v>確定</v>
      </c>
      <c r="C5046" s="28">
        <f>IFERROR(__xludf.DUMMYFUNCTION("""COMPUTED_VALUE"""),46125.0)</f>
        <v>46125</v>
      </c>
      <c r="D5046" s="28">
        <f>IFERROR(__xludf.DUMMYFUNCTION("""COMPUTED_VALUE"""),46126.0)</f>
        <v>46126</v>
      </c>
      <c r="E5046" s="26">
        <f>IFERROR(__xludf.DUMMYFUNCTION("""COMPUTED_VALUE"""),359934.0)</f>
        <v>359934</v>
      </c>
      <c r="F5046" s="22" t="str">
        <f>IFERROR(__xludf.DUMMYFUNCTION("""COMPUTED_VALUE"""),"アインの伝説")</f>
        <v>アインの伝説</v>
      </c>
      <c r="G5046" s="20" t="str">
        <f>IFERROR(__xludf.DUMMYFUNCTION("""COMPUTED_VALUE"""),"1~5")</f>
        <v>1~5</v>
      </c>
      <c r="H5046" s="22" t="str">
        <f>IFERROR(__xludf.DUMMYFUNCTION("""COMPUTED_VALUE"""),"steicy・相生蒼尉")</f>
        <v>steicy・相生蒼尉</v>
      </c>
      <c r="I5046" s="22" t="str">
        <f>IFERROR(__xludf.DUMMYFUNCTION("""COMPUTED_VALUE"""),"青年")</f>
        <v>青年</v>
      </c>
      <c r="J5046" s="22"/>
      <c r="K5046" s="22" t="str">
        <f>IFERROR(__xludf.DUMMYFUNCTION("""COMPUTED_VALUE"""),"Freedia comics")</f>
        <v>Freedia comics</v>
      </c>
      <c r="L5046" s="22" t="str">
        <f>IFERROR(__xludf.DUMMYFUNCTION("""COMPUTED_VALUE"""),"Freedia(フリーディア)")</f>
        <v>Freedia(フリーディア)</v>
      </c>
      <c r="M5046" s="33">
        <f>IFERROR(__xludf.DUMMYFUNCTION("""COMPUTED_VALUE"""),46169.0)</f>
        <v>46169</v>
      </c>
      <c r="N5046" s="33">
        <f>IFERROR(__xludf.DUMMYFUNCTION("""COMPUTED_VALUE"""),46260.0)</f>
        <v>46260</v>
      </c>
      <c r="O5046" s="20"/>
      <c r="P5046" s="32" t="str">
        <f>IFERROR(__xludf.DUMMYFUNCTION("""COMPUTED_VALUE"""),"可")</f>
        <v>可</v>
      </c>
      <c r="Q5046" s="30"/>
      <c r="R5046" s="22"/>
      <c r="S5046" s="22" t="str">
        <f>IFERROR(__xludf.DUMMYFUNCTION("""COMPUTED_VALUE"""),"20260413_Freedia_アインの伝説～脇役に転生したのに勇者よりも強いみたいなんで世界を救えといわれました～")</f>
        <v>20260413_Freedia_アインの伝説～脇役に転生したのに勇者よりも強いみたいなんで世界を救えといわれました～</v>
      </c>
      <c r="T5046" s="22" t="str">
        <f>IFERROR(__xludf.DUMMYFUNCTION("""COMPUTED_VALUE"""),"格納済み")</f>
        <v>格納済み</v>
      </c>
      <c r="U5046" s="9" t="str">
        <f>IFERROR(__xludf.DUMMYFUNCTION("""COMPUTED_VALUE"""),"@steicy・相生蒼尉/Freedia")</f>
        <v>@steicy・相生蒼尉/Freedia</v>
      </c>
      <c r="V5046" s="8"/>
      <c r="W5046" s="8"/>
      <c r="X5046" s="8" t="str">
        <f>IFERROR(__xludf.DUMMYFUNCTION("""COMPUTED_VALUE"""),"有")</f>
        <v>有</v>
      </c>
      <c r="Y5046" s="8" t="str">
        <f>IFERROR(__xludf.DUMMYFUNCTION("""COMPUTED_VALUE"""),"2026/8/26まで１巻無料")</f>
        <v>2026/8/26まで１巻無料</v>
      </c>
      <c r="Z5046" s="7"/>
      <c r="AA5046" s="7"/>
      <c r="AB5046" s="7"/>
    </row>
    <row r="5047" ht="15.75" customHeight="1">
      <c r="A5047" s="26">
        <f>IFERROR(__xludf.DUMMYFUNCTION("""COMPUTED_VALUE"""),7801.0)</f>
        <v>7801</v>
      </c>
      <c r="B5047" s="22" t="str">
        <f>IFERROR(__xludf.DUMMYFUNCTION("""COMPUTED_VALUE"""),"確定")</f>
        <v>確定</v>
      </c>
      <c r="C5047" s="28">
        <f>IFERROR(__xludf.DUMMYFUNCTION("""COMPUTED_VALUE"""),46125.0)</f>
        <v>46125</v>
      </c>
      <c r="D5047" s="28">
        <f>IFERROR(__xludf.DUMMYFUNCTION("""COMPUTED_VALUE"""),46126.0)</f>
        <v>46126</v>
      </c>
      <c r="E5047" s="26">
        <f>IFERROR(__xludf.DUMMYFUNCTION("""COMPUTED_VALUE"""),357825.0)</f>
        <v>357825</v>
      </c>
      <c r="F5047" s="22" t="str">
        <f>IFERROR(__xludf.DUMMYFUNCTION("""COMPUTED_VALUE"""),"男装姫は愛愛愛シンドバッドとの結婚を見極めたい")</f>
        <v>男装姫は愛愛愛シンドバッドとの結婚を見極めたい</v>
      </c>
      <c r="G5047" s="20" t="str">
        <f>IFERROR(__xludf.DUMMYFUNCTION("""COMPUTED_VALUE"""),"1~5")</f>
        <v>1~5</v>
      </c>
      <c r="H5047" s="22" t="str">
        <f>IFERROR(__xludf.DUMMYFUNCTION("""COMPUTED_VALUE"""),"イヌカワ")</f>
        <v>イヌカワ</v>
      </c>
      <c r="I5047" s="22" t="str">
        <f>IFERROR(__xludf.DUMMYFUNCTION("""COMPUTED_VALUE"""),"少女")</f>
        <v>少女</v>
      </c>
      <c r="J5047" s="22"/>
      <c r="K5047" s="22"/>
      <c r="L5047" s="22" t="str">
        <f>IFERROR(__xludf.DUMMYFUNCTION("""COMPUTED_VALUE"""),"アミューズクリエイティブスタジオ")</f>
        <v>アミューズクリエイティブスタジオ</v>
      </c>
      <c r="M5047" s="33">
        <f>IFERROR(__xludf.DUMMYFUNCTION("""COMPUTED_VALUE"""),46147.0)</f>
        <v>46147</v>
      </c>
      <c r="N5047" s="33">
        <f>IFERROR(__xludf.DUMMYFUNCTION("""COMPUTED_VALUE"""),46219.0)</f>
        <v>46219</v>
      </c>
      <c r="O5047" s="20"/>
      <c r="P5047" s="32" t="str">
        <f>IFERROR(__xludf.DUMMYFUNCTION("""COMPUTED_VALUE"""),"可")</f>
        <v>可</v>
      </c>
      <c r="Q5047" s="30"/>
      <c r="R5047" s="22"/>
      <c r="S5047" s="22" t="str">
        <f>IFERROR(__xludf.DUMMYFUNCTION("""COMPUTED_VALUE"""),"20260403_アミューズクリエイティブスタジオ_男装姫は愛愛愛シンドバッドとの結婚を見極めたい")</f>
        <v>20260403_アミューズクリエイティブスタジオ_男装姫は愛愛愛シンドバッドとの結婚を見極めたい</v>
      </c>
      <c r="T5047" s="22" t="str">
        <f>IFERROR(__xludf.DUMMYFUNCTION("""COMPUTED_VALUE"""),"格納済み")</f>
        <v>格納済み</v>
      </c>
      <c r="U5047" s="9" t="str">
        <f>IFERROR(__xludf.DUMMYFUNCTION("""COMPUTED_VALUE"""),"ⓒイヌカワ／AMUSE CREATIVE STUDIO")</f>
        <v>ⓒイヌカワ／AMUSE CREATIVE STUDIO</v>
      </c>
      <c r="V5047" s="8"/>
      <c r="W5047" s="8"/>
      <c r="X5047" s="8" t="str">
        <f>IFERROR(__xludf.DUMMYFUNCTION("""COMPUTED_VALUE"""),"有")</f>
        <v>有</v>
      </c>
      <c r="Y5047" s="8" t="str">
        <f>IFERROR(__xludf.DUMMYFUNCTION("""COMPUTED_VALUE"""),"P12まで")</f>
        <v>P12まで</v>
      </c>
      <c r="Z5047" s="7"/>
      <c r="AA5047" s="7"/>
      <c r="AB5047" s="7"/>
    </row>
    <row r="5048" ht="15.75" customHeight="1">
      <c r="A5048" s="26">
        <f>IFERROR(__xludf.DUMMYFUNCTION("""COMPUTED_VALUE"""),7802.0)</f>
        <v>7802</v>
      </c>
      <c r="B5048" s="22" t="str">
        <f>IFERROR(__xludf.DUMMYFUNCTION("""COMPUTED_VALUE"""),"確定")</f>
        <v>確定</v>
      </c>
      <c r="C5048" s="28">
        <f>IFERROR(__xludf.DUMMYFUNCTION("""COMPUTED_VALUE"""),46126.0)</f>
        <v>46126</v>
      </c>
      <c r="D5048" s="28">
        <f>IFERROR(__xludf.DUMMYFUNCTION("""COMPUTED_VALUE"""),46127.0)</f>
        <v>46127</v>
      </c>
      <c r="E5048" s="26">
        <f>IFERROR(__xludf.DUMMYFUNCTION("""COMPUTED_VALUE"""),360647.0)</f>
        <v>360647</v>
      </c>
      <c r="F5048" s="22" t="str">
        <f>IFERROR(__xludf.DUMMYFUNCTION("""COMPUTED_VALUE"""),"【18禁】おっきなさおりちゃんは不器用にえろい")</f>
        <v>【18禁】おっきなさおりちゃんは不器用にえろい</v>
      </c>
      <c r="G5048" s="20">
        <f>IFERROR(__xludf.DUMMYFUNCTION("""COMPUTED_VALUE"""),1.0)</f>
        <v>1</v>
      </c>
      <c r="H5048" s="22" t="str">
        <f>IFERROR(__xludf.DUMMYFUNCTION("""COMPUTED_VALUE"""),"7連鎖┴もえまんR")</f>
        <v>7連鎖┴もえまんR</v>
      </c>
      <c r="I5048" s="22" t="str">
        <f>IFERROR(__xludf.DUMMYFUNCTION("""COMPUTED_VALUE"""),"アダルト")</f>
        <v>アダルト</v>
      </c>
      <c r="J5048" s="22"/>
      <c r="K5048" s="22"/>
      <c r="L5048" s="22" t="str">
        <f>IFERROR(__xludf.DUMMYFUNCTION("""COMPUTED_VALUE"""),"アド・グッド")</f>
        <v>アド・グッド</v>
      </c>
      <c r="M5048" s="33">
        <f>IFERROR(__xludf.DUMMYFUNCTION("""COMPUTED_VALUE"""),46170.0)</f>
        <v>46170</v>
      </c>
      <c r="N5048" s="33">
        <f>IFERROR(__xludf.DUMMYFUNCTION("""COMPUTED_VALUE"""),46261.0)</f>
        <v>46261</v>
      </c>
      <c r="O5048" s="20"/>
      <c r="P5048" s="32" t="str">
        <f>IFERROR(__xludf.DUMMYFUNCTION("""COMPUTED_VALUE"""),"可")</f>
        <v>可</v>
      </c>
      <c r="Q5048" s="30" t="str">
        <f>IFERROR(__xludf.DUMMYFUNCTION("""COMPUTED_VALUE"""),"※幼い男の子と性行為をしているように見える広告制作はNG&lt;BR&gt;詳細についてはレギュレーション判定リストにご確認お願いいたします。")</f>
        <v>※幼い男の子と性行為をしているように見える広告制作はNG&lt;BR&gt;詳細についてはレギュレーション判定リストにご確認お願いいたします。</v>
      </c>
      <c r="R5048" s="22" t="str">
        <f>IFERROR(__xludf.DUMMYFUNCTION("""COMPUTED_VALUE"""),"コミットOK")</f>
        <v>コミットOK</v>
      </c>
      <c r="S5048" s="22" t="str">
        <f>IFERROR(__xludf.DUMMYFUNCTION("""COMPUTED_VALUE"""),"20260413_アド・グッド_【18禁】おっきなさおりちゃんは不器用にえろい")</f>
        <v>20260413_アド・グッド_【18禁】おっきなさおりちゃんは不器用にえろい</v>
      </c>
      <c r="T5048" s="22" t="str">
        <f>IFERROR(__xludf.DUMMYFUNCTION("""COMPUTED_VALUE"""),"格納済み")</f>
        <v>格納済み</v>
      </c>
      <c r="U5048" s="9" t="str">
        <f>IFERROR(__xludf.DUMMYFUNCTION("""COMPUTED_VALUE"""),"(C)7連鎖/もえまんR")</f>
        <v>(C)7連鎖/もえまんR</v>
      </c>
      <c r="V5048" s="8"/>
      <c r="W5048" s="8"/>
      <c r="X5048" s="8" t="str">
        <f>IFERROR(__xludf.DUMMYFUNCTION("""COMPUTED_VALUE"""),"有")</f>
        <v>有</v>
      </c>
      <c r="Y5048" s="8" t="str">
        <f>IFERROR(__xludf.DUMMYFUNCTION("""COMPUTED_VALUE"""),"p10まで")</f>
        <v>p10まで</v>
      </c>
      <c r="Z5048" s="7"/>
      <c r="AA5048" s="7"/>
      <c r="AB5048" s="7"/>
    </row>
    <row r="5049" ht="15.75" customHeight="1">
      <c r="A5049" s="26">
        <f>IFERROR(__xludf.DUMMYFUNCTION("""COMPUTED_VALUE"""),7803.0)</f>
        <v>7803</v>
      </c>
      <c r="B5049" s="22" t="str">
        <f>IFERROR(__xludf.DUMMYFUNCTION("""COMPUTED_VALUE"""),"確定")</f>
        <v>確定</v>
      </c>
      <c r="C5049" s="28">
        <f>IFERROR(__xludf.DUMMYFUNCTION("""COMPUTED_VALUE"""),46126.0)</f>
        <v>46126</v>
      </c>
      <c r="D5049" s="28">
        <f>IFERROR(__xludf.DUMMYFUNCTION("""COMPUTED_VALUE"""),46126.0)</f>
        <v>46126</v>
      </c>
      <c r="E5049" s="26">
        <f>IFERROR(__xludf.DUMMYFUNCTION("""COMPUTED_VALUE"""),358139.0)</f>
        <v>358139</v>
      </c>
      <c r="F5049" s="22" t="str">
        <f>IFERROR(__xludf.DUMMYFUNCTION("""COMPUTED_VALUE"""),"琥珀国墨夜伝 後宮の宵に月華は輝く 連載版")</f>
        <v>琥珀国墨夜伝 後宮の宵に月華は輝く 連載版</v>
      </c>
      <c r="G5049" s="20" t="str">
        <f>IFERROR(__xludf.DUMMYFUNCTION("""COMPUTED_VALUE"""),"1~5")</f>
        <v>1~5</v>
      </c>
      <c r="H5049" s="22" t="str">
        <f>IFERROR(__xludf.DUMMYFUNCTION("""COMPUTED_VALUE"""),"三間⊥紙屋ねこ⊥七原しえ")</f>
        <v>三間⊥紙屋ねこ⊥七原しえ</v>
      </c>
      <c r="I5049" s="22" t="str">
        <f>IFERROR(__xludf.DUMMYFUNCTION("""COMPUTED_VALUE"""),"女性")</f>
        <v>女性</v>
      </c>
      <c r="J5049" s="22"/>
      <c r="K5049" s="22"/>
      <c r="L5049" s="22" t="str">
        <f>IFERROR(__xludf.DUMMYFUNCTION("""COMPUTED_VALUE"""),"ブシロードワークス")</f>
        <v>ブシロードワークス</v>
      </c>
      <c r="M5049" s="33">
        <f>IFERROR(__xludf.DUMMYFUNCTION("""COMPUTED_VALUE"""),46144.0)</f>
        <v>46144</v>
      </c>
      <c r="N5049" s="33">
        <f>IFERROR(__xludf.DUMMYFUNCTION("""COMPUTED_VALUE"""),46178.0)</f>
        <v>46178</v>
      </c>
      <c r="O5049" s="20"/>
      <c r="P5049" s="32" t="str">
        <f>IFERROR(__xludf.DUMMYFUNCTION("""COMPUTED_VALUE"""),"可")</f>
        <v>可</v>
      </c>
      <c r="Q5049" s="30" t="str">
        <f>IFERROR(__xludf.DUMMYFUNCTION("""COMPUTED_VALUE"""),"素材は1～2巻は01話を2分割、3~4巻は02話を2分割、5巻は03話となっています。")</f>
        <v>素材は1～2巻は01話を2分割、3~4巻は02話を2分割、5巻は03話となっています。</v>
      </c>
      <c r="R5049" s="22" t="str">
        <f>IFERROR(__xludf.DUMMYFUNCTION("""COMPUTED_VALUE"""),"コミットNG")</f>
        <v>コミットNG</v>
      </c>
      <c r="S5049" s="22" t="str">
        <f>IFERROR(__xludf.DUMMYFUNCTION("""COMPUTED_VALUE"""),"20260402_ブシロードワークス_琥珀国墨夜伝 後宮の宵に月華は輝く 連載版")</f>
        <v>20260402_ブシロードワークス_琥珀国墨夜伝 後宮の宵に月華は輝く 連載版</v>
      </c>
      <c r="T5049" s="22" t="str">
        <f>IFERROR(__xludf.DUMMYFUNCTION("""COMPUTED_VALUE"""),"格納済み")</f>
        <v>格納済み</v>
      </c>
      <c r="U5049" s="9" t="str">
        <f>IFERROR(__xludf.DUMMYFUNCTION("""COMPUTED_VALUE"""),"ⒸMima / BUSHIROAD WORKS ⒸNeko Kamiya")</f>
        <v>ⒸMima / BUSHIROAD WORKS ⒸNeko Kamiya</v>
      </c>
      <c r="V5049" s="8"/>
      <c r="W5049" s="8"/>
      <c r="X5049" s="8" t="str">
        <f>IFERROR(__xludf.DUMMYFUNCTION("""COMPUTED_VALUE"""),"有")</f>
        <v>有</v>
      </c>
      <c r="Y5049" s="8" t="str">
        <f>IFERROR(__xludf.DUMMYFUNCTION("""COMPUTED_VALUE"""),"2026/6/5まで1~2巻無料")</f>
        <v>2026/6/5まで1~2巻無料</v>
      </c>
      <c r="Z5049" s="7"/>
      <c r="AA5049" s="7"/>
      <c r="AB5049" s="7"/>
    </row>
    <row r="5050" ht="15.75" customHeight="1">
      <c r="A5050" s="26">
        <f>IFERROR(__xludf.DUMMYFUNCTION("""COMPUTED_VALUE"""),7816.0)</f>
        <v>7816</v>
      </c>
      <c r="B5050" s="22" t="str">
        <f>IFERROR(__xludf.DUMMYFUNCTION("""COMPUTED_VALUE"""),"確定")</f>
        <v>確定</v>
      </c>
      <c r="C5050" s="28">
        <f>IFERROR(__xludf.DUMMYFUNCTION("""COMPUTED_VALUE"""),46127.0)</f>
        <v>46127</v>
      </c>
      <c r="D5050" s="28">
        <f>IFERROR(__xludf.DUMMYFUNCTION("""COMPUTED_VALUE"""),46127.0)</f>
        <v>46127</v>
      </c>
      <c r="E5050" s="26">
        <f>IFERROR(__xludf.DUMMYFUNCTION("""COMPUTED_VALUE"""),359713.0)</f>
        <v>359713</v>
      </c>
      <c r="F5050" s="22" t="str">
        <f>IFERROR(__xludf.DUMMYFUNCTION("""COMPUTED_VALUE"""),"悪女になって婚約破棄を目論みましたが、陛下にはお見通しだったようです")</f>
        <v>悪女になって婚約破棄を目論みましたが、陛下にはお見通しだったようです</v>
      </c>
      <c r="G5050" s="20" t="str">
        <f>IFERROR(__xludf.DUMMYFUNCTION("""COMPUTED_VALUE"""),"1～3")</f>
        <v>1～3</v>
      </c>
      <c r="H5050" s="22" t="str">
        <f>IFERROR(__xludf.DUMMYFUNCTION("""COMPUTED_VALUE"""),"柴正ワコ/ほづみ")</f>
        <v>柴正ワコ/ほづみ</v>
      </c>
      <c r="I5050" s="22" t="str">
        <f>IFERROR(__xludf.DUMMYFUNCTION("""COMPUTED_VALUE"""),"女性マンガ")</f>
        <v>女性マンガ</v>
      </c>
      <c r="J5050" s="22"/>
      <c r="K5050" s="22" t="str">
        <f>IFERROR(__xludf.DUMMYFUNCTION("""COMPUTED_VALUE"""),"素敵なロマンス")</f>
        <v>素敵なロマンス</v>
      </c>
      <c r="L5050" s="22" t="str">
        <f>IFERROR(__xludf.DUMMYFUNCTION("""COMPUTED_VALUE"""),"秋水社ORIGINAL")</f>
        <v>秋水社ORIGINAL</v>
      </c>
      <c r="M5050" s="33">
        <f>IFERROR(__xludf.DUMMYFUNCTION("""COMPUTED_VALUE"""),46157.0)</f>
        <v>46157</v>
      </c>
      <c r="N5050" s="33">
        <f>IFERROR(__xludf.DUMMYFUNCTION("""COMPUTED_VALUE"""),46217.0)</f>
        <v>46217</v>
      </c>
      <c r="O5050" s="20"/>
      <c r="P5050" s="32" t="str">
        <f>IFERROR(__xludf.DUMMYFUNCTION("""COMPUTED_VALUE"""),"否")</f>
        <v>否</v>
      </c>
      <c r="Q5050" s="30"/>
      <c r="R5050" s="22" t="str">
        <f>IFERROR(__xludf.DUMMYFUNCTION("""COMPUTED_VALUE"""),"コミットOK")</f>
        <v>コミットOK</v>
      </c>
      <c r="S5050" s="22" t="str">
        <f>IFERROR(__xludf.DUMMYFUNCTION("""COMPUTED_VALUE"""),"20260414_秋水社_悪女になって婚約破棄を目論みましたが、陛下にはお見通しだったようです")</f>
        <v>20260414_秋水社_悪女になって婚約破棄を目論みましたが、陛下にはお見通しだったようです</v>
      </c>
      <c r="T5050" s="22" t="str">
        <f>IFERROR(__xludf.DUMMYFUNCTION("""COMPUTED_VALUE"""),"格納済み")</f>
        <v>格納済み</v>
      </c>
      <c r="U5050" s="9" t="str">
        <f>IFERROR(__xludf.DUMMYFUNCTION("""COMPUTED_VALUE"""),"Ⓒ紫正ワコ/ほづみ/秋水社ORIGINAL")</f>
        <v>Ⓒ紫正ワコ/ほづみ/秋水社ORIGINAL</v>
      </c>
      <c r="V5050" s="8"/>
      <c r="W5050" s="8"/>
      <c r="X5050" s="8" t="str">
        <f>IFERROR(__xludf.DUMMYFUNCTION("""COMPUTED_VALUE"""),"有")</f>
        <v>有</v>
      </c>
      <c r="Y5050" s="8" t="str">
        <f>IFERROR(__xludf.DUMMYFUNCTION("""COMPUTED_VALUE"""),"P7まで")</f>
        <v>P7まで</v>
      </c>
      <c r="Z5050" s="7"/>
      <c r="AA5050" s="7"/>
      <c r="AB5050" s="7"/>
    </row>
    <row r="5051" ht="15.75" customHeight="1">
      <c r="A5051" s="26">
        <f>IFERROR(__xludf.DUMMYFUNCTION("""COMPUTED_VALUE"""),7100.0)</f>
        <v>7100</v>
      </c>
      <c r="B5051" s="22" t="str">
        <f>IFERROR(__xludf.DUMMYFUNCTION("""COMPUTED_VALUE"""),"確定")</f>
        <v>確定</v>
      </c>
      <c r="C5051" s="28">
        <f>IFERROR(__xludf.DUMMYFUNCTION("""COMPUTED_VALUE"""),46014.0)</f>
        <v>46014</v>
      </c>
      <c r="D5051" s="28">
        <f>IFERROR(__xludf.DUMMYFUNCTION("""COMPUTED_VALUE"""),46133.0)</f>
        <v>46133</v>
      </c>
      <c r="E5051" s="26">
        <f>IFERROR(__xludf.DUMMYFUNCTION("""COMPUTED_VALUE"""),358501.0)</f>
        <v>358501</v>
      </c>
      <c r="F5051" s="22" t="str">
        <f>IFERROR(__xludf.DUMMYFUNCTION("""COMPUTED_VALUE"""),"政略結婚、どうぞよろしく～クールな御曹司の独占愛～【分冊版】")</f>
        <v>政略結婚、どうぞよろしく～クールな御曹司の独占愛～【分冊版】</v>
      </c>
      <c r="G5051" s="20" t="str">
        <f>IFERROR(__xludf.DUMMYFUNCTION("""COMPUTED_VALUE"""),"1～3")</f>
        <v>1～3</v>
      </c>
      <c r="H5051" s="22" t="str">
        <f>IFERROR(__xludf.DUMMYFUNCTION("""COMPUTED_VALUE"""),"咲倉げてぃ/ひなの琴莉")</f>
        <v>咲倉げてぃ/ひなの琴莉</v>
      </c>
      <c r="I5051" s="22" t="str">
        <f>IFERROR(__xludf.DUMMYFUNCTION("""COMPUTED_VALUE"""),"女性")</f>
        <v>女性</v>
      </c>
      <c r="J5051" s="22"/>
      <c r="K5051" s="22"/>
      <c r="L5051" s="22" t="str">
        <f>IFERROR(__xludf.DUMMYFUNCTION("""COMPUTED_VALUE"""),"ハーパーコリンズ・ジャパン")</f>
        <v>ハーパーコリンズ・ジャパン</v>
      </c>
      <c r="M5051" s="33">
        <f>IFERROR(__xludf.DUMMYFUNCTION("""COMPUTED_VALUE"""),46161.0)</f>
        <v>46161</v>
      </c>
      <c r="N5051" s="33">
        <f>IFERROR(__xludf.DUMMYFUNCTION("""COMPUTED_VALUE"""),46252.0)</f>
        <v>46252</v>
      </c>
      <c r="O5051" s="20"/>
      <c r="P5051" s="32" t="str">
        <f>IFERROR(__xludf.DUMMYFUNCTION("""COMPUTED_VALUE"""),"可")</f>
        <v>可</v>
      </c>
      <c r="Q5051" s="30"/>
      <c r="R5051" s="22" t="str">
        <f>IFERROR(__xludf.DUMMYFUNCTION("""COMPUTED_VALUE"""),"コミットOK")</f>
        <v>コミットOK</v>
      </c>
      <c r="S5051" s="22" t="str">
        <f>IFERROR(__xludf.DUMMYFUNCTION("""COMPUTED_VALUE"""),"20260416_ハーパーコリンズ・ジャパン_政略結婚、どうぞよろしく～クールな御曹司の独占愛～【分冊版】』")</f>
        <v>20260416_ハーパーコリンズ・ジャパン_政略結婚、どうぞよろしく～クールな御曹司の独占愛～【分冊版】』</v>
      </c>
      <c r="T5051" s="22" t="str">
        <f>IFERROR(__xludf.DUMMYFUNCTION("""COMPUTED_VALUE"""),"格納済み")</f>
        <v>格納済み</v>
      </c>
      <c r="U5051" s="9" t="str">
        <f>IFERROR(__xludf.DUMMYFUNCTION("""COMPUTED_VALUE"""),"Ⓒ咲倉げてぃ・ひなの琴莉／ハーパーコリンズ・ジャパン")</f>
        <v>Ⓒ咲倉げてぃ・ひなの琴莉／ハーパーコリンズ・ジャパン</v>
      </c>
      <c r="V5051" s="8"/>
      <c r="W5051" s="8"/>
      <c r="X5051" s="8" t="str">
        <f>IFERROR(__xludf.DUMMYFUNCTION("""COMPUTED_VALUE"""),"有")</f>
        <v>有</v>
      </c>
      <c r="Y5051" s="8" t="str">
        <f>IFERROR(__xludf.DUMMYFUNCTION("""COMPUTED_VALUE"""),"6/1まで1巻無料")</f>
        <v>6/1まで1巻無料</v>
      </c>
      <c r="Z5051" s="7"/>
      <c r="AA5051" s="7"/>
      <c r="AB5051" s="7"/>
    </row>
    <row r="5052" ht="15.75" customHeight="1">
      <c r="A5052" s="26">
        <f>IFERROR(__xludf.DUMMYFUNCTION("""COMPUTED_VALUE"""),7148.0)</f>
        <v>7148</v>
      </c>
      <c r="B5052" s="22" t="str">
        <f>IFERROR(__xludf.DUMMYFUNCTION("""COMPUTED_VALUE"""),"確定")</f>
        <v>確定</v>
      </c>
      <c r="C5052" s="28">
        <f>IFERROR(__xludf.DUMMYFUNCTION("""COMPUTED_VALUE"""),46027.0)</f>
        <v>46027</v>
      </c>
      <c r="D5052" s="28">
        <f>IFERROR(__xludf.DUMMYFUNCTION("""COMPUTED_VALUE"""),46127.0)</f>
        <v>46127</v>
      </c>
      <c r="E5052" s="26">
        <f>IFERROR(__xludf.DUMMYFUNCTION("""COMPUTED_VALUE"""),358319.0)</f>
        <v>358319</v>
      </c>
      <c r="F5052" s="22" t="str">
        <f>IFERROR(__xludf.DUMMYFUNCTION("""COMPUTED_VALUE"""),"執着幼なじみの異常性愛 ―溺愛汗フェチは愛汁すすっておうち交尾でひとつになりたい―（分冊版）")</f>
        <v>執着幼なじみの異常性愛 ―溺愛汗フェチは愛汁すすっておうち交尾でひとつになりたい―（分冊版）</v>
      </c>
      <c r="G5052" s="20" t="str">
        <f>IFERROR(__xludf.DUMMYFUNCTION("""COMPUTED_VALUE"""),"1～3")</f>
        <v>1～3</v>
      </c>
      <c r="H5052" s="22" t="str">
        <f>IFERROR(__xludf.DUMMYFUNCTION("""COMPUTED_VALUE"""),"日回畑")</f>
        <v>日回畑</v>
      </c>
      <c r="I5052" s="22" t="str">
        <f>IFERROR(__xludf.DUMMYFUNCTION("""COMPUTED_VALUE"""),"TL")</f>
        <v>TL</v>
      </c>
      <c r="J5052" s="22"/>
      <c r="K5052" s="22" t="str">
        <f>IFERROR(__xludf.DUMMYFUNCTION("""COMPUTED_VALUE"""),"蜜恋ティアラ")</f>
        <v>蜜恋ティアラ</v>
      </c>
      <c r="L5052" s="22" t="str">
        <f>IFERROR(__xludf.DUMMYFUNCTION("""COMPUTED_VALUE"""),"ぶんか社")</f>
        <v>ぶんか社</v>
      </c>
      <c r="M5052" s="33">
        <f>IFERROR(__xludf.DUMMYFUNCTION("""COMPUTED_VALUE"""),46156.0)</f>
        <v>46156</v>
      </c>
      <c r="N5052" s="33">
        <f>IFERROR(__xludf.DUMMYFUNCTION("""COMPUTED_VALUE"""),46246.0)</f>
        <v>46246</v>
      </c>
      <c r="O5052" s="20"/>
      <c r="P5052" s="32" t="str">
        <f>IFERROR(__xludf.DUMMYFUNCTION("""COMPUTED_VALUE"""),"可")</f>
        <v>可</v>
      </c>
      <c r="Q5052" s="30"/>
      <c r="R5052" s="22" t="str">
        <f>IFERROR(__xludf.DUMMYFUNCTION("""COMPUTED_VALUE"""),"コミットOK")</f>
        <v>コミットOK</v>
      </c>
      <c r="S5052" s="22" t="str">
        <f>IFERROR(__xludf.DUMMYFUNCTION("""COMPUTED_VALUE"""),"20260415_ぶんか社_執着幼なじみの異常性愛 ―溺愛汗フェチは愛汁すすっておうち交尾でひとつになりたい―（分冊版）")</f>
        <v>20260415_ぶんか社_執着幼なじみの異常性愛 ―溺愛汗フェチは愛汁すすっておうち交尾でひとつになりたい―（分冊版）</v>
      </c>
      <c r="T5052" s="22" t="str">
        <f>IFERROR(__xludf.DUMMYFUNCTION("""COMPUTED_VALUE"""),"格納済み")</f>
        <v>格納済み</v>
      </c>
      <c r="U5052" s="9" t="str">
        <f>IFERROR(__xludf.DUMMYFUNCTION("""COMPUTED_VALUE"""),"Ⓒ日回畑/ぶんか社")</f>
        <v>Ⓒ日回畑/ぶんか社</v>
      </c>
      <c r="V5052" s="8"/>
      <c r="W5052" s="8"/>
      <c r="X5052" s="8" t="str">
        <f>IFERROR(__xludf.DUMMYFUNCTION("""COMPUTED_VALUE"""),"有")</f>
        <v>有</v>
      </c>
      <c r="Y5052" s="8" t="str">
        <f>IFERROR(__xludf.DUMMYFUNCTION("""COMPUTED_VALUE"""),"P19まで")</f>
        <v>P19まで</v>
      </c>
      <c r="Z5052" s="7"/>
      <c r="AA5052" s="7"/>
      <c r="AB5052" s="7"/>
    </row>
    <row r="5053" ht="15.75" customHeight="1">
      <c r="A5053" s="26">
        <f>IFERROR(__xludf.DUMMYFUNCTION("""COMPUTED_VALUE"""),7397.0)</f>
        <v>7397</v>
      </c>
      <c r="B5053" s="22" t="str">
        <f>IFERROR(__xludf.DUMMYFUNCTION("""COMPUTED_VALUE"""),"確定")</f>
        <v>確定</v>
      </c>
      <c r="C5053" s="28">
        <f>IFERROR(__xludf.DUMMYFUNCTION("""COMPUTED_VALUE"""),46059.0)</f>
        <v>46059</v>
      </c>
      <c r="D5053" s="28">
        <f>IFERROR(__xludf.DUMMYFUNCTION("""COMPUTED_VALUE"""),46133.0)</f>
        <v>46133</v>
      </c>
      <c r="E5053" s="26">
        <f>IFERROR(__xludf.DUMMYFUNCTION("""COMPUTED_VALUE"""),360118.0)</f>
        <v>360118</v>
      </c>
      <c r="F5053" s="22" t="str">
        <f>IFERROR(__xludf.DUMMYFUNCTION("""COMPUTED_VALUE"""),"女風のまにまに")</f>
        <v>女風のまにまに</v>
      </c>
      <c r="G5053" s="20" t="str">
        <f>IFERROR(__xludf.DUMMYFUNCTION("""COMPUTED_VALUE"""),"1～6")</f>
        <v>1～6</v>
      </c>
      <c r="H5053" s="22" t="str">
        <f>IFERROR(__xludf.DUMMYFUNCTION("""COMPUTED_VALUE"""),"葵日向　東雲怜弥")</f>
        <v>葵日向　東雲怜弥</v>
      </c>
      <c r="I5053" s="22" t="str">
        <f>IFERROR(__xludf.DUMMYFUNCTION("""COMPUTED_VALUE"""),"女性")</f>
        <v>女性</v>
      </c>
      <c r="J5053" s="22"/>
      <c r="K5053" s="22"/>
      <c r="L5053" s="22" t="str">
        <f>IFERROR(__xludf.DUMMYFUNCTION("""COMPUTED_VALUE"""),"飛鳥新社")</f>
        <v>飛鳥新社</v>
      </c>
      <c r="M5053" s="33">
        <f>IFERROR(__xludf.DUMMYFUNCTION("""COMPUTED_VALUE"""),46171.0)</f>
        <v>46171</v>
      </c>
      <c r="N5053" s="33">
        <f>IFERROR(__xludf.DUMMYFUNCTION("""COMPUTED_VALUE"""),46262.0)</f>
        <v>46262</v>
      </c>
      <c r="O5053" s="20"/>
      <c r="P5053" s="32" t="str">
        <f>IFERROR(__xludf.DUMMYFUNCTION("""COMPUTED_VALUE"""),"可")</f>
        <v>可</v>
      </c>
      <c r="Q5053" s="30" t="str">
        <f>IFERROR(__xludf.DUMMYFUNCTION("""COMPUTED_VALUE"""),"9話完結の作品です。&lt;BR&gt;")</f>
        <v>9話完結の作品です。&lt;BR&gt;</v>
      </c>
      <c r="R5053" s="22" t="str">
        <f>IFERROR(__xludf.DUMMYFUNCTION("""COMPUTED_VALUE"""),"コミットNG")</f>
        <v>コミットNG</v>
      </c>
      <c r="S5053" s="22" t="str">
        <f>IFERROR(__xludf.DUMMYFUNCTION("""COMPUTED_VALUE"""),"20260420_飛鳥新社_女風のまにまに")</f>
        <v>20260420_飛鳥新社_女風のまにまに</v>
      </c>
      <c r="T5053" s="22" t="str">
        <f>IFERROR(__xludf.DUMMYFUNCTION("""COMPUTED_VALUE"""),"格納済み")</f>
        <v>格納済み</v>
      </c>
      <c r="U5053" s="9" t="str">
        <f>IFERROR(__xludf.DUMMYFUNCTION("""COMPUTED_VALUE"""),"(C)東雲怜弥・葵日向/飛鳥新社")</f>
        <v>(C)東雲怜弥・葵日向/飛鳥新社</v>
      </c>
      <c r="V5053" s="8"/>
      <c r="W5053" s="8"/>
      <c r="X5053" s="8" t="str">
        <f>IFERROR(__xludf.DUMMYFUNCTION("""COMPUTED_VALUE"""),"有")</f>
        <v>有</v>
      </c>
      <c r="Y5053" s="8" t="str">
        <f>IFERROR(__xludf.DUMMYFUNCTION("""COMPUTED_VALUE"""),"2026/06/11まで1～3巻無料")</f>
        <v>2026/06/11まで1～3巻無料</v>
      </c>
      <c r="Z5053" s="7"/>
      <c r="AA5053" s="7"/>
      <c r="AB5053" s="7"/>
    </row>
    <row r="5054" ht="15.75" customHeight="1">
      <c r="A5054" s="26">
        <f>IFERROR(__xludf.DUMMYFUNCTION("""COMPUTED_VALUE"""),7567.0)</f>
        <v>7567</v>
      </c>
      <c r="B5054" s="22" t="str">
        <f>IFERROR(__xludf.DUMMYFUNCTION("""COMPUTED_VALUE"""),"確定")</f>
        <v>確定</v>
      </c>
      <c r="C5054" s="28">
        <f>IFERROR(__xludf.DUMMYFUNCTION("""COMPUTED_VALUE"""),46084.0)</f>
        <v>46084</v>
      </c>
      <c r="D5054" s="28">
        <f>IFERROR(__xludf.DUMMYFUNCTION("""COMPUTED_VALUE"""),46133.0)</f>
        <v>46133</v>
      </c>
      <c r="E5054" s="26">
        <f>IFERROR(__xludf.DUMMYFUNCTION("""COMPUTED_VALUE"""),360096.0)</f>
        <v>360096</v>
      </c>
      <c r="F5054" s="22" t="str">
        <f>IFERROR(__xludf.DUMMYFUNCTION("""COMPUTED_VALUE"""),"極道令嬢、猫を拾う。")</f>
        <v>極道令嬢、猫を拾う。</v>
      </c>
      <c r="G5054" s="20" t="str">
        <f>IFERROR(__xludf.DUMMYFUNCTION("""COMPUTED_VALUE"""),"1~4")</f>
        <v>1~4</v>
      </c>
      <c r="H5054" s="22" t="str">
        <f>IFERROR(__xludf.DUMMYFUNCTION("""COMPUTED_VALUE"""),"直木ナナ")</f>
        <v>直木ナナ</v>
      </c>
      <c r="I5054" s="22" t="str">
        <f>IFERROR(__xludf.DUMMYFUNCTION("""COMPUTED_VALUE"""),"少女")</f>
        <v>少女</v>
      </c>
      <c r="J5054" s="22"/>
      <c r="K5054" s="22"/>
      <c r="L5054" s="22" t="str">
        <f>IFERROR(__xludf.DUMMYFUNCTION("""COMPUTED_VALUE"""),"白泉社")</f>
        <v>白泉社</v>
      </c>
      <c r="M5054" s="33">
        <f>IFERROR(__xludf.DUMMYFUNCTION("""COMPUTED_VALUE"""),46158.0)</f>
        <v>46158</v>
      </c>
      <c r="N5054" s="33">
        <f>IFERROR(__xludf.DUMMYFUNCTION("""COMPUTED_VALUE"""),46227.0)</f>
        <v>46227</v>
      </c>
      <c r="O5054" s="20"/>
      <c r="P5054" s="32" t="str">
        <f>IFERROR(__xludf.DUMMYFUNCTION("""COMPUTED_VALUE"""),"否")</f>
        <v>否</v>
      </c>
      <c r="Q5054" s="30"/>
      <c r="R5054" s="22" t="str">
        <f>IFERROR(__xludf.DUMMYFUNCTION("""COMPUTED_VALUE"""),"コミットNG")</f>
        <v>コミットNG</v>
      </c>
      <c r="S5054" s="22" t="str">
        <f>IFERROR(__xludf.DUMMYFUNCTION("""COMPUTED_VALUE"""),"20260420_白泉社_極道令嬢、猫を拾う。")</f>
        <v>20260420_白泉社_極道令嬢、猫を拾う。</v>
      </c>
      <c r="T5054" s="22" t="str">
        <f>IFERROR(__xludf.DUMMYFUNCTION("""COMPUTED_VALUE"""),"格納済み")</f>
        <v>格納済み</v>
      </c>
      <c r="U5054" s="9" t="str">
        <f>IFERROR(__xludf.DUMMYFUNCTION("""COMPUTED_VALUE"""),"Ⓒ直木ナナ／白泉社")</f>
        <v>Ⓒ直木ナナ／白泉社</v>
      </c>
      <c r="V5054" s="8"/>
      <c r="W5054" s="8"/>
      <c r="X5054" s="8" t="str">
        <f>IFERROR(__xludf.DUMMYFUNCTION("""COMPUTED_VALUE"""),"有")</f>
        <v>有</v>
      </c>
      <c r="Y5054" s="8" t="str">
        <f>IFERROR(__xludf.DUMMYFUNCTION("""COMPUTED_VALUE"""),"2026/5/31まで1巻無料")</f>
        <v>2026/5/31まで1巻無料</v>
      </c>
      <c r="Z5054" s="7"/>
      <c r="AA5054" s="7"/>
      <c r="AB5054" s="7"/>
    </row>
    <row r="5055" ht="15.75" customHeight="1">
      <c r="A5055" s="26">
        <f>IFERROR(__xludf.DUMMYFUNCTION("""COMPUTED_VALUE"""),7571.0)</f>
        <v>7571</v>
      </c>
      <c r="B5055" s="22" t="str">
        <f>IFERROR(__xludf.DUMMYFUNCTION("""COMPUTED_VALUE"""),"確定")</f>
        <v>確定</v>
      </c>
      <c r="C5055" s="28">
        <f>IFERROR(__xludf.DUMMYFUNCTION("""COMPUTED_VALUE"""),46085.0)</f>
        <v>46085</v>
      </c>
      <c r="D5055" s="28">
        <f>IFERROR(__xludf.DUMMYFUNCTION("""COMPUTED_VALUE"""),46133.0)</f>
        <v>46133</v>
      </c>
      <c r="E5055" s="26">
        <f>IFERROR(__xludf.DUMMYFUNCTION("""COMPUTED_VALUE"""),359553.0)</f>
        <v>359553</v>
      </c>
      <c r="F5055" s="22" t="str">
        <f>IFERROR(__xludf.DUMMYFUNCTION("""COMPUTED_VALUE"""),"世那さんの、えっち　～沼らせ上司とのXXXは妄想よりずっとイイ～【単話】")</f>
        <v>世那さんの、えっち　～沼らせ上司とのXXXは妄想よりずっとイイ～【単話】</v>
      </c>
      <c r="G5055" s="20" t="str">
        <f>IFERROR(__xludf.DUMMYFUNCTION("""COMPUTED_VALUE"""),"1～3")</f>
        <v>1～3</v>
      </c>
      <c r="H5055" s="22" t="str">
        <f>IFERROR(__xludf.DUMMYFUNCTION("""COMPUTED_VALUE"""),"冴木ぽてり")</f>
        <v>冴木ぽてり</v>
      </c>
      <c r="I5055" s="22" t="str">
        <f>IFERROR(__xludf.DUMMYFUNCTION("""COMPUTED_VALUE"""),"TLマンガ")</f>
        <v>TLマンガ</v>
      </c>
      <c r="J5055" s="22"/>
      <c r="K5055" s="22" t="str">
        <f>IFERROR(__xludf.DUMMYFUNCTION("""COMPUTED_VALUE"""),"ミンティ")</f>
        <v>ミンティ</v>
      </c>
      <c r="L5055" s="22" t="str">
        <f>IFERROR(__xludf.DUMMYFUNCTION("""COMPUTED_VALUE"""),"オークラ出版")</f>
        <v>オークラ出版</v>
      </c>
      <c r="M5055" s="33">
        <f>IFERROR(__xludf.DUMMYFUNCTION("""COMPUTED_VALUE"""),46164.0)</f>
        <v>46164</v>
      </c>
      <c r="N5055" s="33">
        <f>IFERROR(__xludf.DUMMYFUNCTION("""COMPUTED_VALUE"""),46261.0)</f>
        <v>46261</v>
      </c>
      <c r="O5055" s="20" t="str">
        <f>IFERROR(__xludf.DUMMYFUNCTION("""COMPUTED_VALUE"""),"【アダルト作品扱い】")</f>
        <v>【アダルト作品扱い】</v>
      </c>
      <c r="P5055" s="32" t="str">
        <f>IFERROR(__xludf.DUMMYFUNCTION("""COMPUTED_VALUE"""),"可")</f>
        <v>可</v>
      </c>
      <c r="Q5055" s="30" t="str">
        <f>IFERROR(__xludf.DUMMYFUNCTION("""COMPUTED_VALUE"""),"□コンセプト&lt;BR&gt;沼らせ無自覚上司×無表情オナ女子")</f>
        <v>□コンセプト&lt;BR&gt;沼らせ無自覚上司×無表情オナ女子</v>
      </c>
      <c r="R5055" s="22" t="str">
        <f>IFERROR(__xludf.DUMMYFUNCTION("""COMPUTED_VALUE"""),"コミットOK")</f>
        <v>コミットOK</v>
      </c>
      <c r="S5055" s="22" t="str">
        <f>IFERROR(__xludf.DUMMYFUNCTION("""COMPUTED_VALUE"""),"20260420_オークラ出版_世那さんの、えっち　～沼らせ上司とのXXXは妄想よりずっとイイ～【単話】")</f>
        <v>20260420_オークラ出版_世那さんの、えっち　～沼らせ上司とのXXXは妄想よりずっとイイ～【単話】</v>
      </c>
      <c r="T5055" s="22" t="str">
        <f>IFERROR(__xludf.DUMMYFUNCTION("""COMPUTED_VALUE"""),"格納済み")</f>
        <v>格納済み</v>
      </c>
      <c r="U5055" s="9" t="str">
        <f>IFERROR(__xludf.DUMMYFUNCTION("""COMPUTED_VALUE"""),"（C）冴木ぽてり／オークラ出版 ミンティ")</f>
        <v>（C）冴木ぽてり／オークラ出版 ミンティ</v>
      </c>
      <c r="V5055" s="8"/>
      <c r="W5055" s="8"/>
      <c r="X5055" s="8" t="str">
        <f>IFERROR(__xludf.DUMMYFUNCTION("""COMPUTED_VALUE"""),"有")</f>
        <v>有</v>
      </c>
      <c r="Y5055" s="8" t="str">
        <f>IFERROR(__xludf.DUMMYFUNCTION("""COMPUTED_VALUE"""),"P8まで")</f>
        <v>P8まで</v>
      </c>
      <c r="Z5055" s="7"/>
      <c r="AA5055" s="7"/>
      <c r="AB5055" s="7"/>
    </row>
    <row r="5056" ht="15.75" customHeight="1">
      <c r="A5056" s="26">
        <f>IFERROR(__xludf.DUMMYFUNCTION("""COMPUTED_VALUE"""),7634.0)</f>
        <v>7634</v>
      </c>
      <c r="B5056" s="22" t="str">
        <f>IFERROR(__xludf.DUMMYFUNCTION("""COMPUTED_VALUE"""),"確定")</f>
        <v>確定</v>
      </c>
      <c r="C5056" s="28">
        <f>IFERROR(__xludf.DUMMYFUNCTION("""COMPUTED_VALUE"""),46091.0)</f>
        <v>46091</v>
      </c>
      <c r="D5056" s="28">
        <f>IFERROR(__xludf.DUMMYFUNCTION("""COMPUTED_VALUE"""),46133.0)</f>
        <v>46133</v>
      </c>
      <c r="E5056" s="26">
        <f>IFERROR(__xludf.DUMMYFUNCTION("""COMPUTED_VALUE"""),360392.0)</f>
        <v>360392</v>
      </c>
      <c r="F5056" s="22" t="str">
        <f>IFERROR(__xludf.DUMMYFUNCTION("""COMPUTED_VALUE"""),"推し似の後輩はメロくて、ズルい。～甘い罠でハメ壊される～")</f>
        <v>推し似の後輩はメロくて、ズルい。～甘い罠でハメ壊される～</v>
      </c>
      <c r="G5056" s="20" t="str">
        <f>IFERROR(__xludf.DUMMYFUNCTION("""COMPUTED_VALUE"""),"1～2")</f>
        <v>1～2</v>
      </c>
      <c r="H5056" s="22" t="str">
        <f>IFERROR(__xludf.DUMMYFUNCTION("""COMPUTED_VALUE"""),"秋丸とらお")</f>
        <v>秋丸とらお</v>
      </c>
      <c r="I5056" s="22" t="str">
        <f>IFERROR(__xludf.DUMMYFUNCTION("""COMPUTED_VALUE"""),"TL")</f>
        <v>TL</v>
      </c>
      <c r="J5056" s="22"/>
      <c r="K5056" s="22" t="str">
        <f>IFERROR(__xludf.DUMMYFUNCTION("""COMPUTED_VALUE"""),"TL★オトメチカ")</f>
        <v>TL★オトメチカ</v>
      </c>
      <c r="L5056" s="22" t="str">
        <f>IFERROR(__xludf.DUMMYFUNCTION("""COMPUTED_VALUE"""),"CLLENN")</f>
        <v>CLLENN</v>
      </c>
      <c r="M5056" s="33">
        <f>IFERROR(__xludf.DUMMYFUNCTION("""COMPUTED_VALUE"""),46189.0)</f>
        <v>46189</v>
      </c>
      <c r="N5056" s="33">
        <f>IFERROR(__xludf.DUMMYFUNCTION("""COMPUTED_VALUE"""),46251.0)</f>
        <v>46251</v>
      </c>
      <c r="O5056" s="20" t="str">
        <f>IFERROR(__xludf.DUMMYFUNCTION("""COMPUTED_VALUE"""),"【アダルト作品扱い】")</f>
        <v>【アダルト作品扱い】</v>
      </c>
      <c r="P5056" s="32" t="str">
        <f>IFERROR(__xludf.DUMMYFUNCTION("""COMPUTED_VALUE"""),"可")</f>
        <v>可</v>
      </c>
      <c r="Q5056" s="30"/>
      <c r="R5056" s="22" t="str">
        <f>IFERROR(__xludf.DUMMYFUNCTION("""COMPUTED_VALUE"""),"コミットOK")</f>
        <v>コミットOK</v>
      </c>
      <c r="S5056" s="22" t="str">
        <f>IFERROR(__xludf.DUMMYFUNCTION("""COMPUTED_VALUE"""),"20260417_CLLENN_推し似の後輩はメロくて、ズルい。～甘い罠でハメ壊される～")</f>
        <v>20260417_CLLENN_推し似の後輩はメロくて、ズルい。～甘い罠でハメ壊される～</v>
      </c>
      <c r="T5056" s="22" t="str">
        <f>IFERROR(__xludf.DUMMYFUNCTION("""COMPUTED_VALUE"""),"格納済み")</f>
        <v>格納済み</v>
      </c>
      <c r="U5056" s="9" t="str">
        <f>IFERROR(__xludf.DUMMYFUNCTION("""COMPUTED_VALUE"""),"Ⓒ秋丸とらお/CLLENN")</f>
        <v>Ⓒ秋丸とらお/CLLENN</v>
      </c>
      <c r="V5056" s="8"/>
      <c r="W5056" s="8"/>
      <c r="X5056" s="8" t="str">
        <f>IFERROR(__xludf.DUMMYFUNCTION("""COMPUTED_VALUE"""),"有")</f>
        <v>有</v>
      </c>
      <c r="Y5056" s="8" t="str">
        <f>IFERROR(__xludf.DUMMYFUNCTION("""COMPUTED_VALUE"""),"p10まで")</f>
        <v>p10まで</v>
      </c>
      <c r="Z5056" s="7"/>
      <c r="AA5056" s="7"/>
      <c r="AB5056" s="7"/>
    </row>
    <row r="5057" ht="15.75" customHeight="1">
      <c r="A5057" s="26">
        <f>IFERROR(__xludf.DUMMYFUNCTION("""COMPUTED_VALUE"""),7649.0)</f>
        <v>7649</v>
      </c>
      <c r="B5057" s="22" t="str">
        <f>IFERROR(__xludf.DUMMYFUNCTION("""COMPUTED_VALUE"""),"確定")</f>
        <v>確定</v>
      </c>
      <c r="C5057" s="28">
        <f>IFERROR(__xludf.DUMMYFUNCTION("""COMPUTED_VALUE"""),46093.0)</f>
        <v>46093</v>
      </c>
      <c r="D5057" s="28">
        <f>IFERROR(__xludf.DUMMYFUNCTION("""COMPUTED_VALUE"""),46133.0)</f>
        <v>46133</v>
      </c>
      <c r="E5057" s="26">
        <f>IFERROR(__xludf.DUMMYFUNCTION("""COMPUTED_VALUE"""),360333.0)</f>
        <v>360333</v>
      </c>
      <c r="F5057" s="22" t="str">
        <f>IFERROR(__xludf.DUMMYFUNCTION("""COMPUTED_VALUE"""),"断れない同人AVデビュー～彼氏と同棲中のスレンダー巨乳OL小島ヒナ～【R版】")</f>
        <v>断れない同人AVデビュー～彼氏と同棲中のスレンダー巨乳OL小島ヒナ～【R版】</v>
      </c>
      <c r="G5057" s="20" t="str">
        <f>IFERROR(__xludf.DUMMYFUNCTION("""COMPUTED_VALUE"""),"1～3")</f>
        <v>1～3</v>
      </c>
      <c r="H5057" s="22" t="str">
        <f>IFERROR(__xludf.DUMMYFUNCTION("""COMPUTED_VALUE"""),"山本ばくざん")</f>
        <v>山本ばくざん</v>
      </c>
      <c r="I5057" s="22" t="str">
        <f>IFERROR(__xludf.DUMMYFUNCTION("""COMPUTED_VALUE"""),"アダルト")</f>
        <v>アダルト</v>
      </c>
      <c r="J5057" s="22"/>
      <c r="K5057" s="22" t="str">
        <f>IFERROR(__xludf.DUMMYFUNCTION("""COMPUTED_VALUE"""),"もえスタビースト")</f>
        <v>もえスタビースト</v>
      </c>
      <c r="L5057" s="22" t="str">
        <f>IFERROR(__xludf.DUMMYFUNCTION("""COMPUTED_VALUE"""),"DEEPER-ZERO")</f>
        <v>DEEPER-ZERO</v>
      </c>
      <c r="M5057" s="33">
        <f>IFERROR(__xludf.DUMMYFUNCTION("""COMPUTED_VALUE"""),46165.0)</f>
        <v>46165</v>
      </c>
      <c r="N5057" s="33">
        <f>IFERROR(__xludf.DUMMYFUNCTION("""COMPUTED_VALUE"""),46220.0)</f>
        <v>46220</v>
      </c>
      <c r="O5057" s="20"/>
      <c r="P5057" s="32" t="str">
        <f>IFERROR(__xludf.DUMMYFUNCTION("""COMPUTED_VALUE"""),"可")</f>
        <v>可</v>
      </c>
      <c r="Q5057" s="30"/>
      <c r="R5057" s="22" t="str">
        <f>IFERROR(__xludf.DUMMYFUNCTION("""COMPUTED_VALUE"""),"コミットNG")</f>
        <v>コミットNG</v>
      </c>
      <c r="S5057" s="22" t="str">
        <f>IFERROR(__xludf.DUMMYFUNCTION("""COMPUTED_VALUE"""),"20260421_DEEPER-ZERO_断れない同人AVデビュー～彼氏と同棲中のスレンダー巨乳OL小島ヒナ～")</f>
        <v>20260421_DEEPER-ZERO_断れない同人AVデビュー～彼氏と同棲中のスレンダー巨乳OL小島ヒナ～</v>
      </c>
      <c r="T5057" s="22" t="str">
        <f>IFERROR(__xludf.DUMMYFUNCTION("""COMPUTED_VALUE"""),"格納済み")</f>
        <v>格納済み</v>
      </c>
      <c r="U5057" s="9" t="str">
        <f>IFERROR(__xludf.DUMMYFUNCTION("""COMPUTED_VALUE"""),"Ⓒ山本ばくざん/DEEPER-ZERO")</f>
        <v>Ⓒ山本ばくざん/DEEPER-ZERO</v>
      </c>
      <c r="V5057" s="8"/>
      <c r="W5057" s="8"/>
      <c r="X5057" s="8" t="str">
        <f>IFERROR(__xludf.DUMMYFUNCTION("""COMPUTED_VALUE"""),"有")</f>
        <v>有</v>
      </c>
      <c r="Y5057" s="8" t="str">
        <f>IFERROR(__xludf.DUMMYFUNCTION("""COMPUTED_VALUE"""),"P10まで")</f>
        <v>P10まで</v>
      </c>
      <c r="Z5057" s="7"/>
      <c r="AA5057" s="7"/>
      <c r="AB5057" s="7"/>
    </row>
    <row r="5058" ht="15.75" customHeight="1">
      <c r="A5058" s="26">
        <f>IFERROR(__xludf.DUMMYFUNCTION("""COMPUTED_VALUE"""),7736.0)</f>
        <v>7736</v>
      </c>
      <c r="B5058" s="22" t="str">
        <f>IFERROR(__xludf.DUMMYFUNCTION("""COMPUTED_VALUE"""),"確定")</f>
        <v>確定</v>
      </c>
      <c r="C5058" s="28">
        <f>IFERROR(__xludf.DUMMYFUNCTION("""COMPUTED_VALUE"""),46104.0)</f>
        <v>46104</v>
      </c>
      <c r="D5058" s="28">
        <f>IFERROR(__xludf.DUMMYFUNCTION("""COMPUTED_VALUE"""),46133.0)</f>
        <v>46133</v>
      </c>
      <c r="E5058" s="26">
        <f>IFERROR(__xludf.DUMMYFUNCTION("""COMPUTED_VALUE"""),364221.0)</f>
        <v>364221</v>
      </c>
      <c r="F5058" s="22" t="str">
        <f>IFERROR(__xludf.DUMMYFUNCTION("""COMPUTED_VALUE"""),"【ラブパルフェ】デキる幼なじみの夜は猛愛～9年育てた欲を奥まで注がれて")</f>
        <v>【ラブパルフェ】デキる幼なじみの夜は猛愛～9年育てた欲を奥まで注がれて</v>
      </c>
      <c r="G5058" s="20" t="str">
        <f>IFERROR(__xludf.DUMMYFUNCTION("""COMPUTED_VALUE"""),"1～3")</f>
        <v>1～3</v>
      </c>
      <c r="H5058" s="22" t="str">
        <f>IFERROR(__xludf.DUMMYFUNCTION("""COMPUTED_VALUE"""),"白枝せんべえ")</f>
        <v>白枝せんべえ</v>
      </c>
      <c r="I5058" s="22" t="str">
        <f>IFERROR(__xludf.DUMMYFUNCTION("""COMPUTED_VALUE"""),"TLマンガ")</f>
        <v>TLマンガ</v>
      </c>
      <c r="J5058" s="22"/>
      <c r="K5058" s="22" t="str">
        <f>IFERROR(__xludf.DUMMYFUNCTION("""COMPUTED_VALUE"""),"ラブパルフェ（LoveParfait）")</f>
        <v>ラブパルフェ（LoveParfait）</v>
      </c>
      <c r="L5058" s="22" t="str">
        <f>IFERROR(__xludf.DUMMYFUNCTION("""COMPUTED_VALUE"""),"オーバーラップ")</f>
        <v>オーバーラップ</v>
      </c>
      <c r="M5058" s="33">
        <f>IFERROR(__xludf.DUMMYFUNCTION("""COMPUTED_VALUE"""),46204.0)</f>
        <v>46204</v>
      </c>
      <c r="N5058" s="33">
        <f>IFERROR(__xludf.DUMMYFUNCTION("""COMPUTED_VALUE"""),46265.0)</f>
        <v>46265</v>
      </c>
      <c r="O5058" s="20"/>
      <c r="P5058" s="32" t="str">
        <f>IFERROR(__xludf.DUMMYFUNCTION("""COMPUTED_VALUE"""),"可")</f>
        <v>可</v>
      </c>
      <c r="Q5058" s="30"/>
      <c r="R5058" s="22"/>
      <c r="S5058" s="22" t="str">
        <f>IFERROR(__xludf.DUMMYFUNCTION("""COMPUTED_VALUE"""),"20260416_オーバーラップ_デキる幼なじみの夜は猛愛～9年育てた欲を奥まで注がれて")</f>
        <v>20260416_オーバーラップ_デキる幼なじみの夜は猛愛～9年育てた欲を奥まで注がれて</v>
      </c>
      <c r="T5058" s="22" t="str">
        <f>IFERROR(__xludf.DUMMYFUNCTION("""COMPUTED_VALUE"""),"格納済み")</f>
        <v>格納済み</v>
      </c>
      <c r="U5058" s="9" t="str">
        <f>IFERROR(__xludf.DUMMYFUNCTION("""COMPUTED_VALUE"""),"(C)白枝せんべえ／オーバーラップ")</f>
        <v>(C)白枝せんべえ／オーバーラップ</v>
      </c>
      <c r="V5058" s="8"/>
      <c r="W5058" s="8"/>
      <c r="X5058" s="8" t="str">
        <f>IFERROR(__xludf.DUMMYFUNCTION("""COMPUTED_VALUE"""),"有")</f>
        <v>有</v>
      </c>
      <c r="Y5058" s="8" t="str">
        <f>IFERROR(__xludf.DUMMYFUNCTION("""COMPUTED_VALUE"""),"p10まで")</f>
        <v>p10まで</v>
      </c>
      <c r="Z5058" s="7"/>
      <c r="AA5058" s="7"/>
      <c r="AB5058" s="7"/>
    </row>
    <row r="5059" ht="15.75" customHeight="1">
      <c r="A5059" s="26">
        <f>IFERROR(__xludf.DUMMYFUNCTION("""COMPUTED_VALUE"""),7739.0)</f>
        <v>7739</v>
      </c>
      <c r="B5059" s="22" t="str">
        <f>IFERROR(__xludf.DUMMYFUNCTION("""COMPUTED_VALUE"""),"確定")</f>
        <v>確定</v>
      </c>
      <c r="C5059" s="28">
        <f>IFERROR(__xludf.DUMMYFUNCTION("""COMPUTED_VALUE"""),46104.0)</f>
        <v>46104</v>
      </c>
      <c r="D5059" s="28">
        <f>IFERROR(__xludf.DUMMYFUNCTION("""COMPUTED_VALUE"""),46132.0)</f>
        <v>46132</v>
      </c>
      <c r="E5059" s="26">
        <f>IFERROR(__xludf.DUMMYFUNCTION("""COMPUTED_VALUE"""),359472.0)</f>
        <v>359472</v>
      </c>
      <c r="F5059" s="22" t="str">
        <f>IFERROR(__xludf.DUMMYFUNCTION("""COMPUTED_VALUE"""),"腹黒陛下の甘やかな策略～婚活を助けたらプロポーズされました！？～【分冊版】")</f>
        <v>腹黒陛下の甘やかな策略～婚活を助けたらプロポーズされました！？～【分冊版】</v>
      </c>
      <c r="G5059" s="20" t="str">
        <f>IFERROR(__xludf.DUMMYFUNCTION("""COMPUTED_VALUE"""),"1～2")</f>
        <v>1～2</v>
      </c>
      <c r="H5059" s="22" t="str">
        <f>IFERROR(__xludf.DUMMYFUNCTION("""COMPUTED_VALUE"""),"三夏/月城うさぎ")</f>
        <v>三夏/月城うさぎ</v>
      </c>
      <c r="I5059" s="22" t="str">
        <f>IFERROR(__xludf.DUMMYFUNCTION("""COMPUTED_VALUE"""),"TL")</f>
        <v>TL</v>
      </c>
      <c r="J5059" s="22"/>
      <c r="K5059" s="22" t="str">
        <f>IFERROR(__xludf.DUMMYFUNCTION("""COMPUTED_VALUE"""),"乙女ドルチェ・コミックス")</f>
        <v>乙女ドルチェ・コミックス</v>
      </c>
      <c r="L5059" s="22" t="str">
        <f>IFERROR(__xludf.DUMMYFUNCTION("""COMPUTED_VALUE"""),"乙女ドルチェ・コミックス")</f>
        <v>乙女ドルチェ・コミックス</v>
      </c>
      <c r="M5059" s="33">
        <f>IFERROR(__xludf.DUMMYFUNCTION("""COMPUTED_VALUE"""),46160.0)</f>
        <v>46160</v>
      </c>
      <c r="N5059" s="33">
        <f>IFERROR(__xludf.DUMMYFUNCTION("""COMPUTED_VALUE"""),46219.0)</f>
        <v>46219</v>
      </c>
      <c r="O5059" s="20"/>
      <c r="P5059" s="32" t="str">
        <f>IFERROR(__xludf.DUMMYFUNCTION("""COMPUTED_VALUE"""),"可")</f>
        <v>可</v>
      </c>
      <c r="Q5059" s="30"/>
      <c r="R5059" s="22" t="str">
        <f>IFERROR(__xludf.DUMMYFUNCTION("""COMPUTED_VALUE"""),"コミットNG")</f>
        <v>コミットNG</v>
      </c>
      <c r="S5059" s="22" t="str">
        <f>IFERROR(__xludf.DUMMYFUNCTION("""COMPUTED_VALUE"""),"20260416_ハーパーコリンズ・ジャパン_腹黒陛下の甘やかな策略～婚活を助けたらプロポーズされました!～【分冊版】")</f>
        <v>20260416_ハーパーコリンズ・ジャパン_腹黒陛下の甘やかな策略～婚活を助けたらプロポーズされました!～【分冊版】</v>
      </c>
      <c r="T5059" s="22" t="str">
        <f>IFERROR(__xludf.DUMMYFUNCTION("""COMPUTED_VALUE"""),"格納済み")</f>
        <v>格納済み</v>
      </c>
      <c r="U5059" s="9" t="str">
        <f>IFERROR(__xludf.DUMMYFUNCTION("""COMPUTED_VALUE"""),"（C)三夏・月城うさぎ／ハーパーコリンズ・ジャパン")</f>
        <v>（C)三夏・月城うさぎ／ハーパーコリンズ・ジャパン</v>
      </c>
      <c r="V5059" s="8"/>
      <c r="W5059" s="8"/>
      <c r="X5059" s="8" t="str">
        <f>IFERROR(__xludf.DUMMYFUNCTION("""COMPUTED_VALUE"""),"有")</f>
        <v>有</v>
      </c>
      <c r="Y5059" s="8" t="str">
        <f>IFERROR(__xludf.DUMMYFUNCTION("""COMPUTED_VALUE"""),"2026/6/17まで1巻立ち読み増量P16まで")</f>
        <v>2026/6/17まで1巻立ち読み増量P16まで</v>
      </c>
      <c r="Z5059" s="7"/>
      <c r="AA5059" s="7"/>
      <c r="AB5059" s="7"/>
    </row>
    <row r="5060" ht="15.75" customHeight="1">
      <c r="A5060" s="26">
        <f>IFERROR(__xludf.DUMMYFUNCTION("""COMPUTED_VALUE"""),7746.0)</f>
        <v>7746</v>
      </c>
      <c r="B5060" s="22" t="str">
        <f>IFERROR(__xludf.DUMMYFUNCTION("""COMPUTED_VALUE"""),"確定")</f>
        <v>確定</v>
      </c>
      <c r="C5060" s="28">
        <f>IFERROR(__xludf.DUMMYFUNCTION("""COMPUTED_VALUE"""),46106.0)</f>
        <v>46106</v>
      </c>
      <c r="D5060" s="28">
        <f>IFERROR(__xludf.DUMMYFUNCTION("""COMPUTED_VALUE"""),46132.0)</f>
        <v>46132</v>
      </c>
      <c r="E5060" s="26">
        <f>IFERROR(__xludf.DUMMYFUNCTION("""COMPUTED_VALUE"""),359475.0)</f>
        <v>359475</v>
      </c>
      <c r="F5060" s="22" t="str">
        <f>IFERROR(__xludf.DUMMYFUNCTION("""COMPUTED_VALUE"""),"巨乳オタク女子とオフパコアフター")</f>
        <v>巨乳オタク女子とオフパコアフター</v>
      </c>
      <c r="G5060" s="20" t="str">
        <f>IFERROR(__xludf.DUMMYFUNCTION("""COMPUTED_VALUE"""),"1～3")</f>
        <v>1～3</v>
      </c>
      <c r="H5060" s="22" t="str">
        <f>IFERROR(__xludf.DUMMYFUNCTION("""COMPUTED_VALUE"""),"トウ┴甘トウ宣言")</f>
        <v>トウ┴甘トウ宣言</v>
      </c>
      <c r="I5060" s="22" t="str">
        <f>IFERROR(__xludf.DUMMYFUNCTION("""COMPUTED_VALUE"""),"アダルト")</f>
        <v>アダルト</v>
      </c>
      <c r="J5060" s="22"/>
      <c r="K5060" s="22" t="str">
        <f>IFERROR(__xludf.DUMMYFUNCTION("""COMPUTED_VALUE"""),"BLIC-ERO")</f>
        <v>BLIC-ERO</v>
      </c>
      <c r="L5060" s="22" t="str">
        <f>IFERROR(__xludf.DUMMYFUNCTION("""COMPUTED_VALUE"""),"クロスフォリオ出版")</f>
        <v>クロスフォリオ出版</v>
      </c>
      <c r="M5060" s="33">
        <f>IFERROR(__xludf.DUMMYFUNCTION("""COMPUTED_VALUE"""),46164.0)</f>
        <v>46164</v>
      </c>
      <c r="N5060" s="33">
        <f>IFERROR(__xludf.DUMMYFUNCTION("""COMPUTED_VALUE"""),46226.0)</f>
        <v>46226</v>
      </c>
      <c r="O5060" s="20"/>
      <c r="P5060" s="32" t="str">
        <f>IFERROR(__xludf.DUMMYFUNCTION("""COMPUTED_VALUE"""),"可")</f>
        <v>可</v>
      </c>
      <c r="Q5060" s="30" t="str">
        <f>IFERROR(__xludf.DUMMYFUNCTION("""COMPUTED_VALUE"""),"書店BookLiveと同時先行配信&lt;BR&gt;初回配信巻数：1~3巻（4～6巻配信日は6/26となります）&lt;BR&gt;")</f>
        <v>書店BookLiveと同時先行配信&lt;BR&gt;初回配信巻数：1~3巻（4～6巻配信日は6/26となります）&lt;BR&gt;</v>
      </c>
      <c r="R5060" s="22" t="str">
        <f>IFERROR(__xludf.DUMMYFUNCTION("""COMPUTED_VALUE"""),"コミットOK")</f>
        <v>コミットOK</v>
      </c>
      <c r="S5060" s="22" t="str">
        <f>IFERROR(__xludf.DUMMYFUNCTION("""COMPUTED_VALUE"""),"20260416_BookLive_巨乳オタク女子とオフパコアフター")</f>
        <v>20260416_BookLive_巨乳オタク女子とオフパコアフター</v>
      </c>
      <c r="T5060" s="22" t="str">
        <f>IFERROR(__xludf.DUMMYFUNCTION("""COMPUTED_VALUE"""),"格納済み")</f>
        <v>格納済み</v>
      </c>
      <c r="U5060" s="9" t="str">
        <f>IFERROR(__xludf.DUMMYFUNCTION("""COMPUTED_VALUE"""),"(C)トウ/甘トウ宣言/クロスフォリオ出版")</f>
        <v>(C)トウ/甘トウ宣言/クロスフォリオ出版</v>
      </c>
      <c r="V5060" s="8"/>
      <c r="W5060" s="8"/>
      <c r="X5060" s="8" t="str">
        <f>IFERROR(__xludf.DUMMYFUNCTION("""COMPUTED_VALUE"""),"有")</f>
        <v>有</v>
      </c>
      <c r="Y5060" s="8" t="str">
        <f>IFERROR(__xludf.DUMMYFUNCTION("""COMPUTED_VALUE"""),"P15まで")</f>
        <v>P15まで</v>
      </c>
      <c r="Z5060" s="7"/>
      <c r="AA5060" s="7"/>
      <c r="AB5060" s="7"/>
    </row>
    <row r="5061" ht="15.75" customHeight="1">
      <c r="A5061" s="26">
        <f>IFERROR(__xludf.DUMMYFUNCTION("""COMPUTED_VALUE"""),7750.0)</f>
        <v>7750</v>
      </c>
      <c r="B5061" s="22" t="str">
        <f>IFERROR(__xludf.DUMMYFUNCTION("""COMPUTED_VALUE"""),"確定")</f>
        <v>確定</v>
      </c>
      <c r="C5061" s="28">
        <f>IFERROR(__xludf.DUMMYFUNCTION("""COMPUTED_VALUE"""),46107.0)</f>
        <v>46107</v>
      </c>
      <c r="D5061" s="28">
        <f>IFERROR(__xludf.DUMMYFUNCTION("""COMPUTED_VALUE"""),46133.0)</f>
        <v>46133</v>
      </c>
      <c r="E5061" s="26">
        <f>IFERROR(__xludf.DUMMYFUNCTION("""COMPUTED_VALUE"""),360332.0)</f>
        <v>360332</v>
      </c>
      <c r="F5061" s="22" t="str">
        <f>IFERROR(__xludf.DUMMYFUNCTION("""COMPUTED_VALUE"""),"押しに弱い姉さんは土下座一つでヤらせてくれる【R版】")</f>
        <v>押しに弱い姉さんは土下座一つでヤらせてくれる【R版】</v>
      </c>
      <c r="G5061" s="20" t="str">
        <f>IFERROR(__xludf.DUMMYFUNCTION("""COMPUTED_VALUE"""),"1～3")</f>
        <v>1～3</v>
      </c>
      <c r="H5061" s="22" t="str">
        <f>IFERROR(__xludf.DUMMYFUNCTION("""COMPUTED_VALUE"""),"くろながす")</f>
        <v>くろながす</v>
      </c>
      <c r="I5061" s="22" t="str">
        <f>IFERROR(__xludf.DUMMYFUNCTION("""COMPUTED_VALUE"""),"アダルトマンガ")</f>
        <v>アダルトマンガ</v>
      </c>
      <c r="J5061" s="22"/>
      <c r="K5061" s="22" t="str">
        <f>IFERROR(__xludf.DUMMYFUNCTION("""COMPUTED_VALUE"""),"もえスタビースト")</f>
        <v>もえスタビースト</v>
      </c>
      <c r="L5061" s="22" t="str">
        <f>IFERROR(__xludf.DUMMYFUNCTION("""COMPUTED_VALUE"""),"DEEPER-ZERO")</f>
        <v>DEEPER-ZERO</v>
      </c>
      <c r="M5061" s="33">
        <f>IFERROR(__xludf.DUMMYFUNCTION("""COMPUTED_VALUE"""),46165.0)</f>
        <v>46165</v>
      </c>
      <c r="N5061" s="33">
        <f>IFERROR(__xludf.DUMMYFUNCTION("""COMPUTED_VALUE"""),46220.0)</f>
        <v>46220</v>
      </c>
      <c r="O5061" s="20"/>
      <c r="P5061" s="32" t="str">
        <f>IFERROR(__xludf.DUMMYFUNCTION("""COMPUTED_VALUE"""),"可")</f>
        <v>可</v>
      </c>
      <c r="Q5061" s="30"/>
      <c r="R5061" s="22" t="str">
        <f>IFERROR(__xludf.DUMMYFUNCTION("""COMPUTED_VALUE"""),"コミットOK")</f>
        <v>コミットOK</v>
      </c>
      <c r="S5061" s="22" t="str">
        <f>IFERROR(__xludf.DUMMYFUNCTION("""COMPUTED_VALUE"""),"20260421_DEEPER-ZERO_押しに弱い姉さんは土下座一つでヤらせてくれる")</f>
        <v>20260421_DEEPER-ZERO_押しに弱い姉さんは土下座一つでヤらせてくれる</v>
      </c>
      <c r="T5061" s="22" t="str">
        <f>IFERROR(__xludf.DUMMYFUNCTION("""COMPUTED_VALUE"""),"格納済み")</f>
        <v>格納済み</v>
      </c>
      <c r="U5061" s="9" t="str">
        <f>IFERROR(__xludf.DUMMYFUNCTION("""COMPUTED_VALUE"""),"Ⓒくろながす/DEEPER-ZERO")</f>
        <v>Ⓒくろながす/DEEPER-ZERO</v>
      </c>
      <c r="V5061" s="8"/>
      <c r="W5061" s="8"/>
      <c r="X5061" s="8" t="str">
        <f>IFERROR(__xludf.DUMMYFUNCTION("""COMPUTED_VALUE"""),"有")</f>
        <v>有</v>
      </c>
      <c r="Y5061" s="8" t="str">
        <f>IFERROR(__xludf.DUMMYFUNCTION("""COMPUTED_VALUE"""),"p10まで")</f>
        <v>p10まで</v>
      </c>
      <c r="Z5061" s="7"/>
      <c r="AA5061" s="7"/>
      <c r="AB5061" s="7"/>
    </row>
    <row r="5062" ht="15.75" customHeight="1">
      <c r="A5062" s="26">
        <f>IFERROR(__xludf.DUMMYFUNCTION("""COMPUTED_VALUE"""),7761.0)</f>
        <v>7761</v>
      </c>
      <c r="B5062" s="22" t="str">
        <f>IFERROR(__xludf.DUMMYFUNCTION("""COMPUTED_VALUE"""),"確定")</f>
        <v>確定</v>
      </c>
      <c r="C5062" s="28">
        <f>IFERROR(__xludf.DUMMYFUNCTION("""COMPUTED_VALUE"""),46107.0)</f>
        <v>46107</v>
      </c>
      <c r="D5062" s="28">
        <f>IFERROR(__xludf.DUMMYFUNCTION("""COMPUTED_VALUE"""),46132.0)</f>
        <v>46132</v>
      </c>
      <c r="E5062" s="26">
        <f>IFERROR(__xludf.DUMMYFUNCTION("""COMPUTED_VALUE"""),359476.0)</f>
        <v>359476</v>
      </c>
      <c r="F5062" s="22" t="str">
        <f>IFERROR(__xludf.DUMMYFUNCTION("""COMPUTED_VALUE"""),"返り咲き聖女は2人の王子に溺愛される")</f>
        <v>返り咲き聖女は2人の王子に溺愛される</v>
      </c>
      <c r="G5062" s="20" t="str">
        <f>IFERROR(__xludf.DUMMYFUNCTION("""COMPUTED_VALUE"""),"1~6")</f>
        <v>1~6</v>
      </c>
      <c r="H5062" s="22" t="str">
        <f>IFERROR(__xludf.DUMMYFUNCTION("""COMPUTED_VALUE"""),"笹木彰人┴智┴保志乃シホ┴グルナ編集部")</f>
        <v>笹木彰人┴智┴保志乃シホ┴グルナ編集部</v>
      </c>
      <c r="I5062" s="22" t="str">
        <f>IFERROR(__xludf.DUMMYFUNCTION("""COMPUTED_VALUE"""),"女性")</f>
        <v>女性</v>
      </c>
      <c r="J5062" s="22"/>
      <c r="K5062" s="22" t="str">
        <f>IFERROR(__xludf.DUMMYFUNCTION("""COMPUTED_VALUE"""),"COMICエトワール")</f>
        <v>COMICエトワール</v>
      </c>
      <c r="L5062" s="22" t="str">
        <f>IFERROR(__xludf.DUMMYFUNCTION("""COMPUTED_VALUE"""),"ライブコミックス")</f>
        <v>ライブコミックス</v>
      </c>
      <c r="M5062" s="33">
        <f>IFERROR(__xludf.DUMMYFUNCTION("""COMPUTED_VALUE"""),46164.0)</f>
        <v>46164</v>
      </c>
      <c r="N5062" s="33">
        <f>IFERROR(__xludf.DUMMYFUNCTION("""COMPUTED_VALUE"""),46226.0)</f>
        <v>46226</v>
      </c>
      <c r="O5062" s="20"/>
      <c r="P5062" s="32" t="str">
        <f>IFERROR(__xludf.DUMMYFUNCTION("""COMPUTED_VALUE"""),"可")</f>
        <v>可</v>
      </c>
      <c r="Q5062" s="30"/>
      <c r="R5062" s="22" t="str">
        <f>IFERROR(__xludf.DUMMYFUNCTION("""COMPUTED_VALUE"""),"コミットOK")</f>
        <v>コミットOK</v>
      </c>
      <c r="S5062" s="22" t="str">
        <f>IFERROR(__xludf.DUMMYFUNCTION("""COMPUTED_VALUE"""),"20260415_BookLive_返り咲き聖女は2人の王子に溺愛される")</f>
        <v>20260415_BookLive_返り咲き聖女は2人の王子に溺愛される</v>
      </c>
      <c r="T5062" s="22" t="str">
        <f>IFERROR(__xludf.DUMMYFUNCTION("""COMPUTED_VALUE"""),"格納済み")</f>
        <v>格納済み</v>
      </c>
      <c r="U5062" s="9" t="str">
        <f>IFERROR(__xludf.DUMMYFUNCTION("""COMPUTED_VALUE"""),"(C)笹木彰人・智・保志乃シホ/ライブコミックス")</f>
        <v>(C)笹木彰人・智・保志乃シホ/ライブコミックス</v>
      </c>
      <c r="V5062" s="8"/>
      <c r="W5062" s="8"/>
      <c r="X5062" s="8" t="str">
        <f>IFERROR(__xludf.DUMMYFUNCTION("""COMPUTED_VALUE"""),"有")</f>
        <v>有</v>
      </c>
      <c r="Y5062" s="8" t="str">
        <f>IFERROR(__xludf.DUMMYFUNCTION("""COMPUTED_VALUE"""),"7/23まで1巻無料")</f>
        <v>7/23まで1巻無料</v>
      </c>
      <c r="Z5062" s="7"/>
      <c r="AA5062" s="7"/>
      <c r="AB5062" s="7"/>
    </row>
    <row r="5063" ht="15.75" customHeight="1">
      <c r="A5063" s="26">
        <f>IFERROR(__xludf.DUMMYFUNCTION("""COMPUTED_VALUE"""),7762.0)</f>
        <v>7762</v>
      </c>
      <c r="B5063" s="22" t="str">
        <f>IFERROR(__xludf.DUMMYFUNCTION("""COMPUTED_VALUE"""),"確定")</f>
        <v>確定</v>
      </c>
      <c r="C5063" s="28">
        <f>IFERROR(__xludf.DUMMYFUNCTION("""COMPUTED_VALUE"""),46108.0)</f>
        <v>46108</v>
      </c>
      <c r="D5063" s="28">
        <f>IFERROR(__xludf.DUMMYFUNCTION("""COMPUTED_VALUE"""),46129.0)</f>
        <v>46129</v>
      </c>
      <c r="E5063" s="26">
        <f>IFERROR(__xludf.DUMMYFUNCTION("""COMPUTED_VALUE"""),360245.0)</f>
        <v>360245</v>
      </c>
      <c r="F5063" s="22" t="str">
        <f>IFERROR(__xludf.DUMMYFUNCTION("""COMPUTED_VALUE"""),"まなざし珠子の自由研究【単話】")</f>
        <v>まなざし珠子の自由研究【単話】</v>
      </c>
      <c r="G5063" s="20" t="str">
        <f>IFERROR(__xludf.DUMMYFUNCTION("""COMPUTED_VALUE"""),"1～7")</f>
        <v>1～7</v>
      </c>
      <c r="H5063" s="22" t="str">
        <f>IFERROR(__xludf.DUMMYFUNCTION("""COMPUTED_VALUE"""),"乃木坂太郎")</f>
        <v>乃木坂太郎</v>
      </c>
      <c r="I5063" s="22" t="str">
        <f>IFERROR(__xludf.DUMMYFUNCTION("""COMPUTED_VALUE"""),"青年")</f>
        <v>青年</v>
      </c>
      <c r="J5063" s="22"/>
      <c r="K5063" s="22"/>
      <c r="L5063" s="22" t="str">
        <f>IFERROR(__xludf.DUMMYFUNCTION("""COMPUTED_VALUE"""),"小学館")</f>
        <v>小学館</v>
      </c>
      <c r="M5063" s="33">
        <f>IFERROR(__xludf.DUMMYFUNCTION("""COMPUTED_VALUE"""),46157.0)</f>
        <v>46157</v>
      </c>
      <c r="N5063" s="33">
        <f>IFERROR(__xludf.DUMMYFUNCTION("""COMPUTED_VALUE"""),46212.0)</f>
        <v>46212</v>
      </c>
      <c r="O5063" s="20"/>
      <c r="P5063" s="32" t="str">
        <f>IFERROR(__xludf.DUMMYFUNCTION("""COMPUTED_VALUE"""),"否")</f>
        <v>否</v>
      </c>
      <c r="Q5063" s="30" t="str">
        <f>IFERROR(__xludf.DUMMYFUNCTION("""COMPUTED_VALUE"""),"「夏目アラタの結婚」の先生の新作です。第7話で、異形が現世に現れるという展開となっており、今後は本格ホラーとして展開される見通しです。")</f>
        <v>「夏目アラタの結婚」の先生の新作です。第7話で、異形が現世に現れるという展開となっており、今後は本格ホラーとして展開される見通しです。</v>
      </c>
      <c r="R5063" s="22" t="str">
        <f>IFERROR(__xludf.DUMMYFUNCTION("""COMPUTED_VALUE"""),"コミットOK")</f>
        <v>コミットOK</v>
      </c>
      <c r="S5063" s="22" t="str">
        <f>IFERROR(__xludf.DUMMYFUNCTION("""COMPUTED_VALUE"""),"20260416_小学館_まなざし珠子の自由研究【単話】")</f>
        <v>20260416_小学館_まなざし珠子の自由研究【単話】</v>
      </c>
      <c r="T5063" s="22" t="str">
        <f>IFERROR(__xludf.DUMMYFUNCTION("""COMPUTED_VALUE"""),"格納済み")</f>
        <v>格納済み</v>
      </c>
      <c r="U5063" s="9" t="str">
        <f>IFERROR(__xludf.DUMMYFUNCTION("""COMPUTED_VALUE"""),"(C)乃木坂太郎 / 小学館")</f>
        <v>(C)乃木坂太郎 / 小学館</v>
      </c>
      <c r="V5063" s="8"/>
      <c r="W5063" s="8"/>
      <c r="X5063" s="8" t="str">
        <f>IFERROR(__xludf.DUMMYFUNCTION("""COMPUTED_VALUE"""),"有")</f>
        <v>有</v>
      </c>
      <c r="Y5063" s="8" t="str">
        <f>IFERROR(__xludf.DUMMYFUNCTION("""COMPUTED_VALUE"""),"7/9まで1巻無料")</f>
        <v>7/9まで1巻無料</v>
      </c>
      <c r="Z5063" s="7"/>
      <c r="AA5063" s="7"/>
      <c r="AB5063" s="7"/>
    </row>
    <row r="5064" ht="15.75" customHeight="1">
      <c r="A5064" s="26">
        <f>IFERROR(__xludf.DUMMYFUNCTION("""COMPUTED_VALUE"""),7767.0)</f>
        <v>7767</v>
      </c>
      <c r="B5064" s="22" t="str">
        <f>IFERROR(__xludf.DUMMYFUNCTION("""COMPUTED_VALUE"""),"確定")</f>
        <v>確定</v>
      </c>
      <c r="C5064" s="28">
        <f>IFERROR(__xludf.DUMMYFUNCTION("""COMPUTED_VALUE"""),46112.0)</f>
        <v>46112</v>
      </c>
      <c r="D5064" s="28">
        <f>IFERROR(__xludf.DUMMYFUNCTION("""COMPUTED_VALUE"""),46129.0)</f>
        <v>46129</v>
      </c>
      <c r="E5064" s="26">
        <f>IFERROR(__xludf.DUMMYFUNCTION("""COMPUTED_VALUE"""),358824.0)</f>
        <v>358824</v>
      </c>
      <c r="F5064" s="22" t="str">
        <f>IFERROR(__xludf.DUMMYFUNCTION("""COMPUTED_VALUE"""),"前髪から恋わずらい")</f>
        <v>前髪から恋わずらい</v>
      </c>
      <c r="G5064" s="20" t="str">
        <f>IFERROR(__xludf.DUMMYFUNCTION("""COMPUTED_VALUE"""),"1～3")</f>
        <v>1～3</v>
      </c>
      <c r="H5064" s="22" t="str">
        <f>IFERROR(__xludf.DUMMYFUNCTION("""COMPUTED_VALUE"""),"むお")</f>
        <v>むお</v>
      </c>
      <c r="I5064" s="22" t="str">
        <f>IFERROR(__xludf.DUMMYFUNCTION("""COMPUTED_VALUE"""),"BL")</f>
        <v>BL</v>
      </c>
      <c r="J5064" s="22"/>
      <c r="K5064" s="22" t="str">
        <f>IFERROR(__xludf.DUMMYFUNCTION("""COMPUTED_VALUE"""),"Tulle")</f>
        <v>Tulle</v>
      </c>
      <c r="L5064" s="22" t="str">
        <f>IFERROR(__xludf.DUMMYFUNCTION("""COMPUTED_VALUE"""),"ブライト出版")</f>
        <v>ブライト出版</v>
      </c>
      <c r="M5064" s="33">
        <f>IFERROR(__xludf.DUMMYFUNCTION("""COMPUTED_VALUE"""),46158.0)</f>
        <v>46158</v>
      </c>
      <c r="N5064" s="33">
        <f>IFERROR(__xludf.DUMMYFUNCTION("""COMPUTED_VALUE"""),46262.0)</f>
        <v>46262</v>
      </c>
      <c r="O5064" s="20"/>
      <c r="P5064" s="32" t="str">
        <f>IFERROR(__xludf.DUMMYFUNCTION("""COMPUTED_VALUE"""),"可")</f>
        <v>可</v>
      </c>
      <c r="Q5064" s="30"/>
      <c r="R5064" s="22" t="str">
        <f>IFERROR(__xludf.DUMMYFUNCTION("""COMPUTED_VALUE"""),"コミットOK")</f>
        <v>コミットOK</v>
      </c>
      <c r="S5064" s="22" t="str">
        <f>IFERROR(__xludf.DUMMYFUNCTION("""COMPUTED_VALUE"""),"20260416_ブライト出版_前髪から恋わずらい")</f>
        <v>20260416_ブライト出版_前髪から恋わずらい</v>
      </c>
      <c r="T5064" s="22" t="str">
        <f>IFERROR(__xludf.DUMMYFUNCTION("""COMPUTED_VALUE"""),"格納済み")</f>
        <v>格納済み</v>
      </c>
      <c r="U5064" s="9" t="str">
        <f>IFERROR(__xludf.DUMMYFUNCTION("""COMPUTED_VALUE"""),"(C)むお／ブライト出版")</f>
        <v>(C)むお／ブライト出版</v>
      </c>
      <c r="V5064" s="8"/>
      <c r="W5064" s="8"/>
      <c r="X5064" s="8" t="str">
        <f>IFERROR(__xludf.DUMMYFUNCTION("""COMPUTED_VALUE"""),"有")</f>
        <v>有</v>
      </c>
      <c r="Y5064" s="8" t="str">
        <f>IFERROR(__xludf.DUMMYFUNCTION("""COMPUTED_VALUE"""),"2026/5/29まで1巻無料")</f>
        <v>2026/5/29まで1巻無料</v>
      </c>
      <c r="Z5064" s="7"/>
      <c r="AA5064" s="7"/>
      <c r="AB5064" s="7"/>
    </row>
    <row r="5065" ht="15.75" customHeight="1">
      <c r="A5065" s="26">
        <f>IFERROR(__xludf.DUMMYFUNCTION("""COMPUTED_VALUE"""),7778.0)</f>
        <v>7778</v>
      </c>
      <c r="B5065" s="22" t="str">
        <f>IFERROR(__xludf.DUMMYFUNCTION("""COMPUTED_VALUE"""),"確定")</f>
        <v>確定</v>
      </c>
      <c r="C5065" s="28">
        <f>IFERROR(__xludf.DUMMYFUNCTION("""COMPUTED_VALUE"""),46112.0)</f>
        <v>46112</v>
      </c>
      <c r="D5065" s="28">
        <f>IFERROR(__xludf.DUMMYFUNCTION("""COMPUTED_VALUE"""),46129.0)</f>
        <v>46129</v>
      </c>
      <c r="E5065" s="26">
        <f>IFERROR(__xludf.DUMMYFUNCTION("""COMPUTED_VALUE"""),359562.0)</f>
        <v>359562</v>
      </c>
      <c r="F5065" s="22" t="str">
        <f>IFERROR(__xludf.DUMMYFUNCTION("""COMPUTED_VALUE"""),"これ以上は、また明日【分冊版】")</f>
        <v>これ以上は、また明日【分冊版】</v>
      </c>
      <c r="G5065" s="20" t="str">
        <f>IFERROR(__xludf.DUMMYFUNCTION("""COMPUTED_VALUE"""),"1～2")</f>
        <v>1～2</v>
      </c>
      <c r="H5065" s="22" t="str">
        <f>IFERROR(__xludf.DUMMYFUNCTION("""COMPUTED_VALUE"""),"キスガエ")</f>
        <v>キスガエ</v>
      </c>
      <c r="I5065" s="22" t="str">
        <f>IFERROR(__xludf.DUMMYFUNCTION("""COMPUTED_VALUE"""),"BL")</f>
        <v>BL</v>
      </c>
      <c r="J5065" s="22"/>
      <c r="K5065" s="22" t="str">
        <f>IFERROR(__xludf.DUMMYFUNCTION("""COMPUTED_VALUE"""),"ジェラートコミックス")</f>
        <v>ジェラートコミックス</v>
      </c>
      <c r="L5065" s="22" t="str">
        <f>IFERROR(__xludf.DUMMYFUNCTION("""COMPUTED_VALUE"""),"ハーパーコリンズ・ジャパン")</f>
        <v>ハーパーコリンズ・ジャパン</v>
      </c>
      <c r="M5065" s="33">
        <f>IFERROR(__xludf.DUMMYFUNCTION("""COMPUTED_VALUE"""),46164.0)</f>
        <v>46164</v>
      </c>
      <c r="N5065" s="33">
        <f>IFERROR(__xludf.DUMMYFUNCTION("""COMPUTED_VALUE"""),46254.0)</f>
        <v>46254</v>
      </c>
      <c r="O5065" s="20"/>
      <c r="P5065" s="32" t="str">
        <f>IFERROR(__xludf.DUMMYFUNCTION("""COMPUTED_VALUE"""),"可")</f>
        <v>可</v>
      </c>
      <c r="Q5065" s="30"/>
      <c r="R5065" s="22" t="str">
        <f>IFERROR(__xludf.DUMMYFUNCTION("""COMPUTED_VALUE"""),"コミットOK")</f>
        <v>コミットOK</v>
      </c>
      <c r="S5065" s="22" t="str">
        <f>IFERROR(__xludf.DUMMYFUNCTION("""COMPUTED_VALUE"""),"20260416_ハーパーコリンズ・ジャパン_これ以上は、また明日【分冊版】")</f>
        <v>20260416_ハーパーコリンズ・ジャパン_これ以上は、また明日【分冊版】</v>
      </c>
      <c r="T5065" s="22" t="str">
        <f>IFERROR(__xludf.DUMMYFUNCTION("""COMPUTED_VALUE"""),"格納済み")</f>
        <v>格納済み</v>
      </c>
      <c r="U5065" s="9" t="str">
        <f>IFERROR(__xludf.DUMMYFUNCTION("""COMPUTED_VALUE"""),"（C)キスガエ／ハーパーコリンズ・ジャパン")</f>
        <v>（C)キスガエ／ハーパーコリンズ・ジャパン</v>
      </c>
      <c r="V5065" s="8"/>
      <c r="W5065" s="8"/>
      <c r="X5065" s="8" t="str">
        <f>IFERROR(__xludf.DUMMYFUNCTION("""COMPUTED_VALUE"""),"有")</f>
        <v>有</v>
      </c>
      <c r="Y5065" s="8" t="str">
        <f>IFERROR(__xludf.DUMMYFUNCTION("""COMPUTED_VALUE"""),"6/4まで1巻無料")</f>
        <v>6/4まで1巻無料</v>
      </c>
      <c r="Z5065" s="7"/>
      <c r="AA5065" s="7"/>
      <c r="AB5065" s="7"/>
    </row>
    <row r="5066" ht="15.75" customHeight="1">
      <c r="A5066" s="26">
        <f>IFERROR(__xludf.DUMMYFUNCTION("""COMPUTED_VALUE"""),7784.0)</f>
        <v>7784</v>
      </c>
      <c r="B5066" s="22" t="str">
        <f>IFERROR(__xludf.DUMMYFUNCTION("""COMPUTED_VALUE"""),"確定")</f>
        <v>確定</v>
      </c>
      <c r="C5066" s="28">
        <f>IFERROR(__xludf.DUMMYFUNCTION("""COMPUTED_VALUE"""),46112.0)</f>
        <v>46112</v>
      </c>
      <c r="D5066" s="28">
        <f>IFERROR(__xludf.DUMMYFUNCTION("""COMPUTED_VALUE"""),46133.0)</f>
        <v>46133</v>
      </c>
      <c r="E5066" s="26">
        <f>IFERROR(__xludf.DUMMYFUNCTION("""COMPUTED_VALUE"""),361672.0)</f>
        <v>361672</v>
      </c>
      <c r="F5066" s="22" t="str">
        <f>IFERROR(__xludf.DUMMYFUNCTION("""COMPUTED_VALUE"""),"【分冊版】好き以上、恋人未満。")</f>
        <v>【分冊版】好き以上、恋人未満。</v>
      </c>
      <c r="G5066" s="20" t="str">
        <f>IFERROR(__xludf.DUMMYFUNCTION("""COMPUTED_VALUE"""),"1～3")</f>
        <v>1～3</v>
      </c>
      <c r="H5066" s="22" t="str">
        <f>IFERROR(__xludf.DUMMYFUNCTION("""COMPUTED_VALUE"""),"梨田")</f>
        <v>梨田</v>
      </c>
      <c r="I5066" s="22" t="str">
        <f>IFERROR(__xludf.DUMMYFUNCTION("""COMPUTED_VALUE"""),"BL")</f>
        <v>BL</v>
      </c>
      <c r="J5066" s="22"/>
      <c r="K5066" s="22"/>
      <c r="L5066" s="22" t="str">
        <f>IFERROR(__xludf.DUMMYFUNCTION("""COMPUTED_VALUE"""),"ジーオーティー")</f>
        <v>ジーオーティー</v>
      </c>
      <c r="M5066" s="33">
        <f>IFERROR(__xludf.DUMMYFUNCTION("""COMPUTED_VALUE"""),46169.0)</f>
        <v>46169</v>
      </c>
      <c r="N5066" s="33">
        <f>IFERROR(__xludf.DUMMYFUNCTION("""COMPUTED_VALUE"""),46229.0)</f>
        <v>46229</v>
      </c>
      <c r="O5066" s="20"/>
      <c r="P5066" s="32" t="str">
        <f>IFERROR(__xludf.DUMMYFUNCTION("""COMPUTED_VALUE"""),"可")</f>
        <v>可</v>
      </c>
      <c r="Q5066" s="30"/>
      <c r="R5066" s="22" t="str">
        <f>IFERROR(__xludf.DUMMYFUNCTION("""COMPUTED_VALUE"""),"コミットNG")</f>
        <v>コミットNG</v>
      </c>
      <c r="S5066" s="22" t="str">
        <f>IFERROR(__xludf.DUMMYFUNCTION("""COMPUTED_VALUE"""),"20260417_ジーオーティー_【分冊版】好き以上、恋人未満。")</f>
        <v>20260417_ジーオーティー_【分冊版】好き以上、恋人未満。</v>
      </c>
      <c r="T5066" s="22" t="str">
        <f>IFERROR(__xludf.DUMMYFUNCTION("""COMPUTED_VALUE"""),"格納済み")</f>
        <v>格納済み</v>
      </c>
      <c r="U5066" s="9" t="str">
        <f>IFERROR(__xludf.DUMMYFUNCTION("""COMPUTED_VALUE"""),"Ⓒ梨田／ジーオーティー")</f>
        <v>Ⓒ梨田／ジーオーティー</v>
      </c>
      <c r="V5066" s="8"/>
      <c r="W5066" s="8"/>
      <c r="X5066" s="8" t="str">
        <f>IFERROR(__xludf.DUMMYFUNCTION("""COMPUTED_VALUE"""),"有")</f>
        <v>有</v>
      </c>
      <c r="Y5066" s="8" t="str">
        <f>IFERROR(__xludf.DUMMYFUNCTION("""COMPUTED_VALUE"""),"2026/6/26まで１巻無料")</f>
        <v>2026/6/26まで１巻無料</v>
      </c>
      <c r="Z5066" s="7"/>
      <c r="AA5066" s="7"/>
      <c r="AB5066" s="7"/>
    </row>
    <row r="5067" ht="15.75" customHeight="1">
      <c r="A5067" s="26">
        <f>IFERROR(__xludf.DUMMYFUNCTION("""COMPUTED_VALUE"""),7800.0)</f>
        <v>7800</v>
      </c>
      <c r="B5067" s="22" t="str">
        <f>IFERROR(__xludf.DUMMYFUNCTION("""COMPUTED_VALUE"""),"確定")</f>
        <v>確定</v>
      </c>
      <c r="C5067" s="28">
        <f>IFERROR(__xludf.DUMMYFUNCTION("""COMPUTED_VALUE"""),46125.0)</f>
        <v>46125</v>
      </c>
      <c r="D5067" s="28">
        <f>IFERROR(__xludf.DUMMYFUNCTION("""COMPUTED_VALUE"""),46129.0)</f>
        <v>46129</v>
      </c>
      <c r="E5067" s="26">
        <f>IFERROR(__xludf.DUMMYFUNCTION("""COMPUTED_VALUE"""),358908.0)</f>
        <v>358908</v>
      </c>
      <c r="F5067" s="22" t="str">
        <f>IFERROR(__xludf.DUMMYFUNCTION("""COMPUTED_VALUE"""),"後宮の転生寵妃〜女の地獄を生き残る方法～【分冊版】")</f>
        <v>後宮の転生寵妃〜女の地獄を生き残る方法～【分冊版】</v>
      </c>
      <c r="G5067" s="20" t="str">
        <f>IFERROR(__xludf.DUMMYFUNCTION("""COMPUTED_VALUE"""),"1～3")</f>
        <v>1～3</v>
      </c>
      <c r="H5067" s="22" t="str">
        <f>IFERROR(__xludf.DUMMYFUNCTION("""COMPUTED_VALUE"""),"原作：望月桜／漫画：銀南ナナ")</f>
        <v>原作：望月桜／漫画：銀南ナナ</v>
      </c>
      <c r="I5067" s="22" t="str">
        <f>IFERROR(__xludf.DUMMYFUNCTION("""COMPUTED_VALUE"""),"女性")</f>
        <v>女性</v>
      </c>
      <c r="J5067" s="22"/>
      <c r="K5067" s="22"/>
      <c r="L5067" s="22" t="str">
        <f>IFERROR(__xludf.DUMMYFUNCTION("""COMPUTED_VALUE"""),"秋田書店")</f>
        <v>秋田書店</v>
      </c>
      <c r="M5067" s="33">
        <f>IFERROR(__xludf.DUMMYFUNCTION("""COMPUTED_VALUE"""),46142.0)</f>
        <v>46142</v>
      </c>
      <c r="N5067" s="33">
        <f>IFERROR(__xludf.DUMMYFUNCTION("""COMPUTED_VALUE"""),46172.0)</f>
        <v>46172</v>
      </c>
      <c r="O5067" s="20"/>
      <c r="P5067" s="32" t="str">
        <f>IFERROR(__xludf.DUMMYFUNCTION("""COMPUTED_VALUE"""),"可")</f>
        <v>可</v>
      </c>
      <c r="Q5067" s="30"/>
      <c r="R5067" s="22"/>
      <c r="S5067" s="22" t="str">
        <f>IFERROR(__xludf.DUMMYFUNCTION("""COMPUTED_VALUE"""),"20260416_秋田書店_後宮の転生寵妃〜女の地獄を生き残る方法～【分冊版】")</f>
        <v>20260416_秋田書店_後宮の転生寵妃〜女の地獄を生き残る方法～【分冊版】</v>
      </c>
      <c r="T5067" s="22" t="str">
        <f>IFERROR(__xludf.DUMMYFUNCTION("""COMPUTED_VALUE"""),"格納済み")</f>
        <v>格納済み</v>
      </c>
      <c r="U5067" s="9" t="str">
        <f>IFERROR(__xludf.DUMMYFUNCTION("""COMPUTED_VALUE"""),"（C）望月桜・銀南ナナ（秋田書店）")</f>
        <v>（C）望月桜・銀南ナナ（秋田書店）</v>
      </c>
      <c r="V5067" s="8"/>
      <c r="W5067" s="8"/>
      <c r="X5067" s="8" t="str">
        <f>IFERROR(__xludf.DUMMYFUNCTION("""COMPUTED_VALUE"""),"有")</f>
        <v>有</v>
      </c>
      <c r="Y5067" s="8" t="str">
        <f>IFERROR(__xludf.DUMMYFUNCTION("""COMPUTED_VALUE"""),"2026/5/30まで1巻無料")</f>
        <v>2026/5/30まで1巻無料</v>
      </c>
      <c r="Z5067" s="7"/>
      <c r="AA5067" s="7"/>
      <c r="AB5067" s="7"/>
    </row>
    <row r="5068" ht="15.75" customHeight="1">
      <c r="A5068" s="26">
        <f>IFERROR(__xludf.DUMMYFUNCTION("""COMPUTED_VALUE"""),7806.0)</f>
        <v>7806</v>
      </c>
      <c r="B5068" s="22" t="str">
        <f>IFERROR(__xludf.DUMMYFUNCTION("""COMPUTED_VALUE"""),"確定")</f>
        <v>確定</v>
      </c>
      <c r="C5068" s="28">
        <f>IFERROR(__xludf.DUMMYFUNCTION("""COMPUTED_VALUE"""),46126.0)</f>
        <v>46126</v>
      </c>
      <c r="D5068" s="28">
        <f>IFERROR(__xludf.DUMMYFUNCTION("""COMPUTED_VALUE"""),46129.0)</f>
        <v>46129</v>
      </c>
      <c r="E5068" s="26">
        <f>IFERROR(__xludf.DUMMYFUNCTION("""COMPUTED_VALUE"""),360057.0)</f>
        <v>360057</v>
      </c>
      <c r="F5068" s="22" t="str">
        <f>IFERROR(__xludf.DUMMYFUNCTION("""COMPUTED_VALUE"""),"ターンパープル・ウィズ・エンヴィー【単話】")</f>
        <v>ターンパープル・ウィズ・エンヴィー【単話】</v>
      </c>
      <c r="G5068" s="20" t="str">
        <f>IFERROR(__xludf.DUMMYFUNCTION("""COMPUTED_VALUE"""),"1～3")</f>
        <v>1～3</v>
      </c>
      <c r="H5068" s="22" t="str">
        <f>IFERROR(__xludf.DUMMYFUNCTION("""COMPUTED_VALUE"""),"ぬめりけ")</f>
        <v>ぬめりけ</v>
      </c>
      <c r="I5068" s="22" t="str">
        <f>IFERROR(__xludf.DUMMYFUNCTION("""COMPUTED_VALUE"""),"BL")</f>
        <v>BL</v>
      </c>
      <c r="J5068" s="22"/>
      <c r="K5068" s="22" t="str">
        <f>IFERROR(__xludf.DUMMYFUNCTION("""COMPUTED_VALUE"""),"Melty Night")</f>
        <v>Melty Night</v>
      </c>
      <c r="L5068" s="22" t="str">
        <f>IFERROR(__xludf.DUMMYFUNCTION("""COMPUTED_VALUE"""),"朝日新聞出版")</f>
        <v>朝日新聞出版</v>
      </c>
      <c r="M5068" s="33">
        <f>IFERROR(__xludf.DUMMYFUNCTION("""COMPUTED_VALUE"""),46174.0)</f>
        <v>46174</v>
      </c>
      <c r="N5068" s="33">
        <f>IFERROR(__xludf.DUMMYFUNCTION("""COMPUTED_VALUE"""),46265.0)</f>
        <v>46265</v>
      </c>
      <c r="O5068" s="20"/>
      <c r="P5068" s="32" t="str">
        <f>IFERROR(__xludf.DUMMYFUNCTION("""COMPUTED_VALUE"""),"可")</f>
        <v>可</v>
      </c>
      <c r="Q5068" s="30"/>
      <c r="R5068" s="22" t="str">
        <f>IFERROR(__xludf.DUMMYFUNCTION("""COMPUTED_VALUE"""),"コミットOK")</f>
        <v>コミットOK</v>
      </c>
      <c r="S5068" s="22" t="str">
        <f>IFERROR(__xludf.DUMMYFUNCTION("""COMPUTED_VALUE"""),"20260414_朝日新聞出版_ターンパープル・ウィズ・エンヴィ―【単話】")</f>
        <v>20260414_朝日新聞出版_ターンパープル・ウィズ・エンヴィ―【単話】</v>
      </c>
      <c r="T5068" s="22" t="str">
        <f>IFERROR(__xludf.DUMMYFUNCTION("""COMPUTED_VALUE"""),"格納済み")</f>
        <v>格納済み</v>
      </c>
      <c r="U5068" s="9" t="str">
        <f>IFERROR(__xludf.DUMMYFUNCTION("""COMPUTED_VALUE"""),"(C) ぬめりけ／朝日新聞出版")</f>
        <v>(C) ぬめりけ／朝日新聞出版</v>
      </c>
      <c r="V5068" s="8"/>
      <c r="W5068" s="8"/>
      <c r="X5068" s="8" t="str">
        <f>IFERROR(__xludf.DUMMYFUNCTION("""COMPUTED_VALUE"""),"有")</f>
        <v>有</v>
      </c>
      <c r="Y5068" s="8" t="str">
        <f>IFERROR(__xludf.DUMMYFUNCTION("""COMPUTED_VALUE"""),"2026/11/30まで1巻無料")</f>
        <v>2026/11/30まで1巻無料</v>
      </c>
      <c r="Z5068" s="7"/>
      <c r="AA5068" s="7"/>
      <c r="AB5068" s="7"/>
    </row>
    <row r="5069" ht="15.75" customHeight="1">
      <c r="A5069" s="26">
        <f>IFERROR(__xludf.DUMMYFUNCTION("""COMPUTED_VALUE"""),7808.0)</f>
        <v>7808</v>
      </c>
      <c r="B5069" s="22" t="str">
        <f>IFERROR(__xludf.DUMMYFUNCTION("""COMPUTED_VALUE"""),"確定")</f>
        <v>確定</v>
      </c>
      <c r="C5069" s="28">
        <f>IFERROR(__xludf.DUMMYFUNCTION("""COMPUTED_VALUE"""),46126.0)</f>
        <v>46126</v>
      </c>
      <c r="D5069" s="28">
        <f>IFERROR(__xludf.DUMMYFUNCTION("""COMPUTED_VALUE"""),46142.0)</f>
        <v>46142</v>
      </c>
      <c r="E5069" s="26">
        <f>IFERROR(__xludf.DUMMYFUNCTION("""COMPUTED_VALUE"""),358970.0)</f>
        <v>358970</v>
      </c>
      <c r="F5069" s="22" t="str">
        <f>IFERROR(__xludf.DUMMYFUNCTION("""COMPUTED_VALUE"""),"[スパイシーレディ]噛まれるほどに、溺愛～再会した関西弁幼馴染の執着Hが私を逃がさない～")</f>
        <v>[スパイシーレディ]噛まれるほどに、溺愛～再会した関西弁幼馴染の執着Hが私を逃がさない～</v>
      </c>
      <c r="G5069" s="20" t="str">
        <f>IFERROR(__xludf.DUMMYFUNCTION("""COMPUTED_VALUE"""),"1～3")</f>
        <v>1～3</v>
      </c>
      <c r="H5069" s="22" t="str">
        <f>IFERROR(__xludf.DUMMYFUNCTION("""COMPUTED_VALUE"""),"浜有師")</f>
        <v>浜有師</v>
      </c>
      <c r="I5069" s="22" t="str">
        <f>IFERROR(__xludf.DUMMYFUNCTION("""COMPUTED_VALUE"""),"TL")</f>
        <v>TL</v>
      </c>
      <c r="J5069" s="22"/>
      <c r="K5069" s="22"/>
      <c r="L5069" s="22" t="str">
        <f>IFERROR(__xludf.DUMMYFUNCTION("""COMPUTED_VALUE"""),".ink works")</f>
        <v>.ink works</v>
      </c>
      <c r="M5069" s="33">
        <f>IFERROR(__xludf.DUMMYFUNCTION("""COMPUTED_VALUE"""),46151.0)</f>
        <v>46151</v>
      </c>
      <c r="N5069" s="33">
        <f>IFERROR(__xludf.DUMMYFUNCTION("""COMPUTED_VALUE"""),46255.0)</f>
        <v>46255</v>
      </c>
      <c r="O5069" s="20" t="str">
        <f>IFERROR(__xludf.DUMMYFUNCTION("""COMPUTED_VALUE"""),"【アダルト作品扱い】")</f>
        <v>【アダルト作品扱い】</v>
      </c>
      <c r="P5069" s="32" t="str">
        <f>IFERROR(__xludf.DUMMYFUNCTION("""COMPUTED_VALUE"""),"可")</f>
        <v>可</v>
      </c>
      <c r="Q5069" s="30"/>
      <c r="R5069" s="22" t="str">
        <f>IFERROR(__xludf.DUMMYFUNCTION("""COMPUTED_VALUE"""),"コミットOK")</f>
        <v>コミットOK</v>
      </c>
      <c r="S5069" s="22" t="str">
        <f>IFERROR(__xludf.DUMMYFUNCTION("""COMPUTED_VALUE"""),"20260408_.ink works_スパイシーレディ_噛まれるほどに、溺愛～再会した関西弁幼馴染の執着Hが私を逃がさない～")</f>
        <v>20260408_.ink works_スパイシーレディ_噛まれるほどに、溺愛～再会した関西弁幼馴染の執着Hが私を逃がさない～</v>
      </c>
      <c r="T5069" s="22" t="str">
        <f>IFERROR(__xludf.DUMMYFUNCTION("""COMPUTED_VALUE"""),"格納済み")</f>
        <v>格納済み</v>
      </c>
      <c r="U5069" s="9" t="str">
        <f>IFERROR(__xludf.DUMMYFUNCTION("""COMPUTED_VALUE"""),"(C)浜有師/スパイシーレディ")</f>
        <v>(C)浜有師/スパイシーレディ</v>
      </c>
      <c r="V5069" s="8"/>
      <c r="W5069" s="8"/>
      <c r="X5069" s="8" t="str">
        <f>IFERROR(__xludf.DUMMYFUNCTION("""COMPUTED_VALUE"""),"有")</f>
        <v>有</v>
      </c>
      <c r="Y5069" s="8" t="str">
        <f>IFERROR(__xludf.DUMMYFUNCTION("""COMPUTED_VALUE"""),"P6まで")</f>
        <v>P6まで</v>
      </c>
      <c r="Z5069" s="7"/>
      <c r="AA5069" s="7"/>
      <c r="AB5069" s="7"/>
    </row>
    <row r="5070" ht="15.75" customHeight="1">
      <c r="A5070" s="26">
        <f>IFERROR(__xludf.DUMMYFUNCTION("""COMPUTED_VALUE"""),7809.0)</f>
        <v>7809</v>
      </c>
      <c r="B5070" s="22" t="str">
        <f>IFERROR(__xludf.DUMMYFUNCTION("""COMPUTED_VALUE"""),"確定")</f>
        <v>確定</v>
      </c>
      <c r="C5070" s="28">
        <f>IFERROR(__xludf.DUMMYFUNCTION("""COMPUTED_VALUE"""),46126.0)</f>
        <v>46126</v>
      </c>
      <c r="D5070" s="28">
        <f>IFERROR(__xludf.DUMMYFUNCTION("""COMPUTED_VALUE"""),46132.0)</f>
        <v>46132</v>
      </c>
      <c r="E5070" s="26">
        <f>IFERROR(__xludf.DUMMYFUNCTION("""COMPUTED_VALUE"""),360450.0)</f>
        <v>360450</v>
      </c>
      <c r="F5070" s="22" t="str">
        <f>IFERROR(__xludf.DUMMYFUNCTION("""COMPUTED_VALUE"""),"時間停止の力を手に入れた俺はカースト上位女子に復讐する")</f>
        <v>時間停止の力を手に入れた俺はカースト上位女子に復讐する</v>
      </c>
      <c r="G5070" s="20" t="str">
        <f>IFERROR(__xludf.DUMMYFUNCTION("""COMPUTED_VALUE"""),"1～3")</f>
        <v>1～3</v>
      </c>
      <c r="H5070" s="22" t="str">
        <f>IFERROR(__xludf.DUMMYFUNCTION("""COMPUTED_VALUE"""),"あこ助")</f>
        <v>あこ助</v>
      </c>
      <c r="I5070" s="22" t="str">
        <f>IFERROR(__xludf.DUMMYFUNCTION("""COMPUTED_VALUE"""),"アダルト")</f>
        <v>アダルト</v>
      </c>
      <c r="J5070" s="22"/>
      <c r="K5070" s="22"/>
      <c r="L5070" s="22" t="str">
        <f>IFERROR(__xludf.DUMMYFUNCTION("""COMPUTED_VALUE"""),"セ・キララ文庫")</f>
        <v>セ・キララ文庫</v>
      </c>
      <c r="M5070" s="33">
        <f>IFERROR(__xludf.DUMMYFUNCTION("""COMPUTED_VALUE"""),46185.0)</f>
        <v>46185</v>
      </c>
      <c r="N5070" s="33">
        <f>IFERROR(__xludf.DUMMYFUNCTION("""COMPUTED_VALUE"""),46243.0)</f>
        <v>46243</v>
      </c>
      <c r="O5070" s="20"/>
      <c r="P5070" s="32" t="str">
        <f>IFERROR(__xludf.DUMMYFUNCTION("""COMPUTED_VALUE"""),"可")</f>
        <v>可</v>
      </c>
      <c r="Q5070" s="30"/>
      <c r="R5070" s="22"/>
      <c r="S5070" s="22" t="str">
        <f>IFERROR(__xludf.DUMMYFUNCTION("""COMPUTED_VALUE"""),"20260414_ライドオン_時間停止の力を手に入れた俺はカースト上位女子に復讐する")</f>
        <v>20260414_ライドオン_時間停止の力を手に入れた俺はカースト上位女子に復讐する</v>
      </c>
      <c r="T5070" s="22" t="str">
        <f>IFERROR(__xludf.DUMMYFUNCTION("""COMPUTED_VALUE"""),"格納済み")</f>
        <v>格納済み</v>
      </c>
      <c r="U5070" s="9" t="str">
        <f>IFERROR(__xludf.DUMMYFUNCTION("""COMPUTED_VALUE"""),"Ⓒあこ助/セ・キララ文庫")</f>
        <v>Ⓒあこ助/セ・キララ文庫</v>
      </c>
      <c r="V5070" s="8"/>
      <c r="W5070" s="8"/>
      <c r="X5070" s="8" t="str">
        <f>IFERROR(__xludf.DUMMYFUNCTION("""COMPUTED_VALUE"""),"有")</f>
        <v>有</v>
      </c>
      <c r="Y5070" s="8" t="str">
        <f>IFERROR(__xludf.DUMMYFUNCTION("""COMPUTED_VALUE"""),"P9まで")</f>
        <v>P9まで</v>
      </c>
      <c r="Z5070" s="7"/>
      <c r="AA5070" s="7"/>
      <c r="AB5070" s="7"/>
    </row>
    <row r="5071" ht="15.75" customHeight="1">
      <c r="A5071" s="26">
        <f>IFERROR(__xludf.DUMMYFUNCTION("""COMPUTED_VALUE"""),7810.0)</f>
        <v>7810</v>
      </c>
      <c r="B5071" s="22" t="str">
        <f>IFERROR(__xludf.DUMMYFUNCTION("""COMPUTED_VALUE"""),"確定")</f>
        <v>確定</v>
      </c>
      <c r="C5071" s="28">
        <f>IFERROR(__xludf.DUMMYFUNCTION("""COMPUTED_VALUE"""),46126.0)</f>
        <v>46126</v>
      </c>
      <c r="D5071" s="28">
        <f>IFERROR(__xludf.DUMMYFUNCTION("""COMPUTED_VALUE"""),46129.0)</f>
        <v>46129</v>
      </c>
      <c r="E5071" s="26">
        <f>IFERROR(__xludf.DUMMYFUNCTION("""COMPUTED_VALUE"""),360762.0)</f>
        <v>360762</v>
      </c>
      <c r="F5071" s="22" t="str">
        <f>IFERROR(__xludf.DUMMYFUNCTION("""COMPUTED_VALUE"""),"ゲスイXX【タテヨミ】")</f>
        <v>ゲスイXX【タテヨミ】</v>
      </c>
      <c r="G5071" s="20" t="str">
        <f>IFERROR(__xludf.DUMMYFUNCTION("""COMPUTED_VALUE"""),"1~20")</f>
        <v>1~20</v>
      </c>
      <c r="H5071" s="22" t="str">
        <f>IFERROR(__xludf.DUMMYFUNCTION("""COMPUTED_VALUE"""),"Yunhee Woo┴hardcore┴Pexxy")</f>
        <v>Yunhee Woo┴hardcore┴Pexxy</v>
      </c>
      <c r="I5071" s="22" t="str">
        <f>IFERROR(__xludf.DUMMYFUNCTION("""COMPUTED_VALUE"""),"BLマンガ")</f>
        <v>BLマンガ</v>
      </c>
      <c r="J5071" s="22"/>
      <c r="K5071" s="22"/>
      <c r="L5071" s="22" t="str">
        <f>IFERROR(__xludf.DUMMYFUNCTION("""COMPUTED_VALUE"""),"Studio Number Zero")</f>
        <v>Studio Number Zero</v>
      </c>
      <c r="M5071" s="33">
        <f>IFERROR(__xludf.DUMMYFUNCTION("""COMPUTED_VALUE"""),46162.0)</f>
        <v>46162</v>
      </c>
      <c r="N5071" s="33">
        <f>IFERROR(__xludf.DUMMYFUNCTION("""COMPUTED_VALUE"""),46253.0)</f>
        <v>46253</v>
      </c>
      <c r="O5071" s="20"/>
      <c r="P5071" s="32" t="str">
        <f>IFERROR(__xludf.DUMMYFUNCTION("""COMPUTED_VALUE"""),"可")</f>
        <v>可</v>
      </c>
      <c r="Q5071" s="30" t="str">
        <f>IFERROR(__xludf.DUMMYFUNCTION("""COMPUTED_VALUE"""),"全70話完結（初回20話配信、以降週次更新予定）")</f>
        <v>全70話完結（初回20話配信、以降週次更新予定）</v>
      </c>
      <c r="R5071" s="22" t="str">
        <f>IFERROR(__xludf.DUMMYFUNCTION("""COMPUTED_VALUE"""),"コミットOK")</f>
        <v>コミットOK</v>
      </c>
      <c r="S5071" s="22" t="str">
        <f>IFERROR(__xludf.DUMMYFUNCTION("""COMPUTED_VALUE"""),"20260415_Studio Number Zero_ゲスい××【タテヨミ】")</f>
        <v>20260415_Studio Number Zero_ゲスい××【タテヨミ】</v>
      </c>
      <c r="T5071" s="22" t="str">
        <f>IFERROR(__xludf.DUMMYFUNCTION("""COMPUTED_VALUE"""),"格納済み")</f>
        <v>格納済み</v>
      </c>
      <c r="U5071" s="9" t="str">
        <f>IFERROR(__xludf.DUMMYFUNCTION("""COMPUTED_VALUE"""),"ⒸYunhee Woo, hardcore, Pexxy / STUDIO NUMBER ZERO")</f>
        <v>ⒸYunhee Woo, hardcore, Pexxy / STUDIO NUMBER ZERO</v>
      </c>
      <c r="V5071" s="8"/>
      <c r="W5071" s="8"/>
      <c r="X5071" s="8" t="str">
        <f>IFERROR(__xludf.DUMMYFUNCTION("""COMPUTED_VALUE"""),"有")</f>
        <v>有</v>
      </c>
      <c r="Y5071" s="8" t="str">
        <f>IFERROR(__xludf.DUMMYFUNCTION("""COMPUTED_VALUE"""),"8/19まで1～5巻無料")</f>
        <v>8/19まで1～5巻無料</v>
      </c>
      <c r="Z5071" s="7"/>
      <c r="AA5071" s="7"/>
      <c r="AB5071" s="7"/>
    </row>
    <row r="5072" ht="15.75" customHeight="1">
      <c r="A5072" s="26">
        <f>IFERROR(__xludf.DUMMYFUNCTION("""COMPUTED_VALUE"""),7813.0)</f>
        <v>7813</v>
      </c>
      <c r="B5072" s="22" t="str">
        <f>IFERROR(__xludf.DUMMYFUNCTION("""COMPUTED_VALUE"""),"確定")</f>
        <v>確定</v>
      </c>
      <c r="C5072" s="28">
        <f>IFERROR(__xludf.DUMMYFUNCTION("""COMPUTED_VALUE"""),46126.0)</f>
        <v>46126</v>
      </c>
      <c r="D5072" s="28">
        <f>IFERROR(__xludf.DUMMYFUNCTION("""COMPUTED_VALUE"""),46132.0)</f>
        <v>46132</v>
      </c>
      <c r="E5072" s="26">
        <f>IFERROR(__xludf.DUMMYFUNCTION("""COMPUTED_VALUE"""),360469.0)</f>
        <v>360469</v>
      </c>
      <c r="F5072" s="22" t="str">
        <f>IFERROR(__xludf.DUMMYFUNCTION("""COMPUTED_VALUE"""),"ママさん風俗でぬちゅぬちゅエッチ！初客は息子の白人保育士…!?（フルカラー）")</f>
        <v>ママさん風俗でぬちゅぬちゅエッチ！初客は息子の白人保育士…!?（フルカラー）</v>
      </c>
      <c r="G5072" s="20" t="str">
        <f>IFERROR(__xludf.DUMMYFUNCTION("""COMPUTED_VALUE"""),"1～2")</f>
        <v>1～2</v>
      </c>
      <c r="H5072" s="22" t="str">
        <f>IFERROR(__xludf.DUMMYFUNCTION("""COMPUTED_VALUE"""),"るるキチ")</f>
        <v>るるキチ</v>
      </c>
      <c r="I5072" s="22" t="str">
        <f>IFERROR(__xludf.DUMMYFUNCTION("""COMPUTED_VALUE"""),"アダルト")</f>
        <v>アダルト</v>
      </c>
      <c r="J5072" s="22"/>
      <c r="K5072" s="22"/>
      <c r="L5072" s="22" t="str">
        <f>IFERROR(__xludf.DUMMYFUNCTION("""COMPUTED_VALUE"""),"セ・キララ文庫")</f>
        <v>セ・キララ文庫</v>
      </c>
      <c r="M5072" s="33">
        <f>IFERROR(__xludf.DUMMYFUNCTION("""COMPUTED_VALUE"""),46185.0)</f>
        <v>46185</v>
      </c>
      <c r="N5072" s="33">
        <f>IFERROR(__xludf.DUMMYFUNCTION("""COMPUTED_VALUE"""),46243.0)</f>
        <v>46243</v>
      </c>
      <c r="O5072" s="20"/>
      <c r="P5072" s="32" t="str">
        <f>IFERROR(__xludf.DUMMYFUNCTION("""COMPUTED_VALUE"""),"可")</f>
        <v>可</v>
      </c>
      <c r="Q5072" s="30"/>
      <c r="R5072" s="22"/>
      <c r="S5072" s="22" t="str">
        <f>IFERROR(__xludf.DUMMYFUNCTION("""COMPUTED_VALUE"""),"20260414_ライドオン_ママさん風俗でぬちゅぬちゅエッチ！初客は息子の白人保育士…!（フルカラー）")</f>
        <v>20260414_ライドオン_ママさん風俗でぬちゅぬちゅエッチ！初客は息子の白人保育士…!（フルカラー）</v>
      </c>
      <c r="T5072" s="22" t="str">
        <f>IFERROR(__xludf.DUMMYFUNCTION("""COMPUTED_VALUE"""),"格納済み")</f>
        <v>格納済み</v>
      </c>
      <c r="U5072" s="9" t="str">
        <f>IFERROR(__xludf.DUMMYFUNCTION("""COMPUTED_VALUE"""),"Ⓒるるキチ/セ・キララ文庫")</f>
        <v>Ⓒるるキチ/セ・キララ文庫</v>
      </c>
      <c r="V5072" s="8"/>
      <c r="W5072" s="8"/>
      <c r="X5072" s="8" t="str">
        <f>IFERROR(__xludf.DUMMYFUNCTION("""COMPUTED_VALUE"""),"有")</f>
        <v>有</v>
      </c>
      <c r="Y5072" s="8" t="str">
        <f>IFERROR(__xludf.DUMMYFUNCTION("""COMPUTED_VALUE"""),"P9まで")</f>
        <v>P9まで</v>
      </c>
      <c r="Z5072" s="7"/>
      <c r="AA5072" s="7"/>
      <c r="AB5072" s="7"/>
    </row>
    <row r="5073" ht="15.75" customHeight="1">
      <c r="A5073" s="26">
        <f>IFERROR(__xludf.DUMMYFUNCTION("""COMPUTED_VALUE"""),7815.0)</f>
        <v>7815</v>
      </c>
      <c r="B5073" s="22" t="str">
        <f>IFERROR(__xludf.DUMMYFUNCTION("""COMPUTED_VALUE"""),"確定")</f>
        <v>確定</v>
      </c>
      <c r="C5073" s="28">
        <f>IFERROR(__xludf.DUMMYFUNCTION("""COMPUTED_VALUE"""),46127.0)</f>
        <v>46127</v>
      </c>
      <c r="D5073" s="28">
        <f>IFERROR(__xludf.DUMMYFUNCTION("""COMPUTED_VALUE"""),46132.0)</f>
        <v>46132</v>
      </c>
      <c r="E5073" s="26">
        <f>IFERROR(__xludf.DUMMYFUNCTION("""COMPUTED_VALUE"""),360393.0)</f>
        <v>360393</v>
      </c>
      <c r="F5073" s="22" t="str">
        <f>IFERROR(__xludf.DUMMYFUNCTION("""COMPUTED_VALUE"""),"蝉時雨が止む前に")</f>
        <v>蝉時雨が止む前に</v>
      </c>
      <c r="G5073" s="20" t="str">
        <f>IFERROR(__xludf.DUMMYFUNCTION("""COMPUTED_VALUE"""),"1～3")</f>
        <v>1～3</v>
      </c>
      <c r="H5073" s="22" t="str">
        <f>IFERROR(__xludf.DUMMYFUNCTION("""COMPUTED_VALUE"""),"やまぐちにこ")</f>
        <v>やまぐちにこ</v>
      </c>
      <c r="I5073" s="22" t="str">
        <f>IFERROR(__xludf.DUMMYFUNCTION("""COMPUTED_VALUE"""),"BLマンガ")</f>
        <v>BLマンガ</v>
      </c>
      <c r="J5073" s="22"/>
      <c r="K5073" s="22" t="str">
        <f>IFERROR(__xludf.DUMMYFUNCTION("""COMPUTED_VALUE"""),"Boy'sReci")</f>
        <v>Boy'sReci</v>
      </c>
      <c r="L5073" s="22" t="str">
        <f>IFERROR(__xludf.DUMMYFUNCTION("""COMPUTED_VALUE"""),"快感倶楽部")</f>
        <v>快感倶楽部</v>
      </c>
      <c r="M5073" s="33">
        <f>IFERROR(__xludf.DUMMYFUNCTION("""COMPUTED_VALUE"""),46173.0)</f>
        <v>46173</v>
      </c>
      <c r="N5073" s="33">
        <f>IFERROR(__xludf.DUMMYFUNCTION("""COMPUTED_VALUE"""),46295.66666666667)</f>
        <v>46295.66667</v>
      </c>
      <c r="O5073" s="20"/>
      <c r="P5073" s="32" t="str">
        <f>IFERROR(__xludf.DUMMYFUNCTION("""COMPUTED_VALUE"""),"可")</f>
        <v>可</v>
      </c>
      <c r="Q5073" s="30"/>
      <c r="R5073" s="22" t="str">
        <f>IFERROR(__xludf.DUMMYFUNCTION("""COMPUTED_VALUE"""),"コミットOK")</f>
        <v>コミットOK</v>
      </c>
      <c r="S5073" s="22" t="str">
        <f>IFERROR(__xludf.DUMMYFUNCTION("""COMPUTED_VALUE"""),"20260414_サード・ライン・ネクスト_蝉時雨が止む前に")</f>
        <v>20260414_サード・ライン・ネクスト_蝉時雨が止む前に</v>
      </c>
      <c r="T5073" s="22" t="str">
        <f>IFERROR(__xludf.DUMMYFUNCTION("""COMPUTED_VALUE"""),"格納済み")</f>
        <v>格納済み</v>
      </c>
      <c r="U5073" s="9" t="str">
        <f>IFERROR(__xludf.DUMMYFUNCTION("""COMPUTED_VALUE"""),"Ⓒやまぐちにこ/Boy'sRecipe")</f>
        <v>Ⓒやまぐちにこ/Boy'sRecipe</v>
      </c>
      <c r="V5073" s="8"/>
      <c r="W5073" s="8"/>
      <c r="X5073" s="8" t="str">
        <f>IFERROR(__xludf.DUMMYFUNCTION("""COMPUTED_VALUE"""),"有")</f>
        <v>有</v>
      </c>
      <c r="Y5073" s="8" t="str">
        <f>IFERROR(__xludf.DUMMYFUNCTION("""COMPUTED_VALUE"""),"2026/07/30まで1巻無料")</f>
        <v>2026/07/30まで1巻無料</v>
      </c>
      <c r="Z5073" s="7"/>
      <c r="AA5073" s="7"/>
      <c r="AB5073" s="7"/>
    </row>
    <row r="5074" ht="15.75" customHeight="1">
      <c r="A5074" s="26">
        <f>IFERROR(__xludf.DUMMYFUNCTION("""COMPUTED_VALUE"""),7818.0)</f>
        <v>7818</v>
      </c>
      <c r="B5074" s="22" t="str">
        <f>IFERROR(__xludf.DUMMYFUNCTION("""COMPUTED_VALUE"""),"確定")</f>
        <v>確定</v>
      </c>
      <c r="C5074" s="28">
        <f>IFERROR(__xludf.DUMMYFUNCTION("""COMPUTED_VALUE"""),46127.0)</f>
        <v>46127</v>
      </c>
      <c r="D5074" s="28">
        <f>IFERROR(__xludf.DUMMYFUNCTION("""COMPUTED_VALUE"""),46132.0)</f>
        <v>46132</v>
      </c>
      <c r="E5074" s="26">
        <f>IFERROR(__xludf.DUMMYFUNCTION("""COMPUTED_VALUE"""),358940.0)</f>
        <v>358940</v>
      </c>
      <c r="F5074" s="22" t="str">
        <f>IFERROR(__xludf.DUMMYFUNCTION("""COMPUTED_VALUE"""),"ただ朝食を作ってただけなのに～偏食王太子の胃袋も溺愛も掴み取りますわ！～")</f>
        <v>ただ朝食を作ってただけなのに～偏食王太子の胃袋も溺愛も掴み取りますわ！～</v>
      </c>
      <c r="G5074" s="20" t="str">
        <f>IFERROR(__xludf.DUMMYFUNCTION("""COMPUTED_VALUE"""),"1～2")</f>
        <v>1～2</v>
      </c>
      <c r="H5074" s="22" t="str">
        <f>IFERROR(__xludf.DUMMYFUNCTION("""COMPUTED_VALUE"""),"くろ葱／COMIC ROOM")</f>
        <v>くろ葱／COMIC ROOM</v>
      </c>
      <c r="I5074" s="22" t="str">
        <f>IFERROR(__xludf.DUMMYFUNCTION("""COMPUTED_VALUE"""),"女性マンガ")</f>
        <v>女性マンガ</v>
      </c>
      <c r="J5074" s="22"/>
      <c r="K5074" s="22"/>
      <c r="L5074" s="22" t="str">
        <f>IFERROR(__xludf.DUMMYFUNCTION("""COMPUTED_VALUE"""),"コミックルーム")</f>
        <v>コミックルーム</v>
      </c>
      <c r="M5074" s="33">
        <f>IFERROR(__xludf.DUMMYFUNCTION("""COMPUTED_VALUE"""),46157.0)</f>
        <v>46157</v>
      </c>
      <c r="N5074" s="33">
        <f>IFERROR(__xludf.DUMMYFUNCTION("""COMPUTED_VALUE"""),46248.0)</f>
        <v>46248</v>
      </c>
      <c r="O5074" s="20"/>
      <c r="P5074" s="32" t="str">
        <f>IFERROR(__xludf.DUMMYFUNCTION("""COMPUTED_VALUE"""),"可")</f>
        <v>可</v>
      </c>
      <c r="Q5074" s="30" t="str">
        <f>IFERROR(__xludf.DUMMYFUNCTION("""COMPUTED_VALUE"""),"格納した本文データは2巻分のデータです")</f>
        <v>格納した本文データは2巻分のデータです</v>
      </c>
      <c r="R5074" s="22"/>
      <c r="S5074" s="22" t="str">
        <f>IFERROR(__xludf.DUMMYFUNCTION("""COMPUTED_VALUE"""),"20260415_コミックルーム_ただ朝食を作ってただけなのに～偏食王太子の胃袋も溺愛も掴み取りますわ！～")</f>
        <v>20260415_コミックルーム_ただ朝食を作ってただけなのに～偏食王太子の胃袋も溺愛も掴み取りますわ！～</v>
      </c>
      <c r="T5074" s="22" t="str">
        <f>IFERROR(__xludf.DUMMYFUNCTION("""COMPUTED_VALUE"""),"格納済み")</f>
        <v>格納済み</v>
      </c>
      <c r="U5074" s="9" t="str">
        <f>IFERROR(__xludf.DUMMYFUNCTION("""COMPUTED_VALUE"""),"(c)くろ葱／COMIC ROOM")</f>
        <v>(c)くろ葱／COMIC ROOM</v>
      </c>
      <c r="V5074" s="8"/>
      <c r="W5074" s="8"/>
      <c r="X5074" s="8" t="str">
        <f>IFERROR(__xludf.DUMMYFUNCTION("""COMPUTED_VALUE"""),"有")</f>
        <v>有</v>
      </c>
      <c r="Y5074" s="8" t="str">
        <f>IFERROR(__xludf.DUMMYFUNCTION("""COMPUTED_VALUE"""),"P15まで")</f>
        <v>P15まで</v>
      </c>
      <c r="Z5074" s="7"/>
      <c r="AA5074" s="7"/>
      <c r="AB5074" s="7"/>
    </row>
    <row r="5075" ht="15.75" customHeight="1">
      <c r="A5075" s="26">
        <f>IFERROR(__xludf.DUMMYFUNCTION("""COMPUTED_VALUE"""),7819.0)</f>
        <v>7819</v>
      </c>
      <c r="B5075" s="22" t="str">
        <f>IFERROR(__xludf.DUMMYFUNCTION("""COMPUTED_VALUE"""),"確定")</f>
        <v>確定</v>
      </c>
      <c r="C5075" s="28">
        <f>IFERROR(__xludf.DUMMYFUNCTION("""COMPUTED_VALUE"""),46127.0)</f>
        <v>46127</v>
      </c>
      <c r="D5075" s="28">
        <f>IFERROR(__xludf.DUMMYFUNCTION("""COMPUTED_VALUE"""),46132.0)</f>
        <v>46132</v>
      </c>
      <c r="E5075" s="26">
        <f>IFERROR(__xludf.DUMMYFUNCTION("""COMPUTED_VALUE"""),358941.0)</f>
        <v>358941</v>
      </c>
      <c r="F5075" s="22" t="str">
        <f>IFERROR(__xludf.DUMMYFUNCTION("""COMPUTED_VALUE"""),"お針子令嬢は、鉄仮面伯爵を最上級の旦那様に仕立てます")</f>
        <v>お針子令嬢は、鉄仮面伯爵を最上級の旦那様に仕立てます</v>
      </c>
      <c r="G5075" s="20" t="str">
        <f>IFERROR(__xludf.DUMMYFUNCTION("""COMPUTED_VALUE"""),"1～2")</f>
        <v>1～2</v>
      </c>
      <c r="H5075" s="22" t="str">
        <f>IFERROR(__xludf.DUMMYFUNCTION("""COMPUTED_VALUE"""),"春乃すい／COMIC ROOM")</f>
        <v>春乃すい／COMIC ROOM</v>
      </c>
      <c r="I5075" s="22" t="str">
        <f>IFERROR(__xludf.DUMMYFUNCTION("""COMPUTED_VALUE"""),"女性マンガ")</f>
        <v>女性マンガ</v>
      </c>
      <c r="J5075" s="22"/>
      <c r="K5075" s="22"/>
      <c r="L5075" s="22" t="str">
        <f>IFERROR(__xludf.DUMMYFUNCTION("""COMPUTED_VALUE"""),"コミックルーム")</f>
        <v>コミックルーム</v>
      </c>
      <c r="M5075" s="33">
        <f>IFERROR(__xludf.DUMMYFUNCTION("""COMPUTED_VALUE"""),46157.0)</f>
        <v>46157</v>
      </c>
      <c r="N5075" s="33">
        <f>IFERROR(__xludf.DUMMYFUNCTION("""COMPUTED_VALUE"""),46248.0)</f>
        <v>46248</v>
      </c>
      <c r="O5075" s="20"/>
      <c r="P5075" s="32" t="str">
        <f>IFERROR(__xludf.DUMMYFUNCTION("""COMPUTED_VALUE"""),"可")</f>
        <v>可</v>
      </c>
      <c r="Q5075" s="30" t="str">
        <f>IFERROR(__xludf.DUMMYFUNCTION("""COMPUTED_VALUE"""),"格納した本文データは2巻分のデータです")</f>
        <v>格納した本文データは2巻分のデータです</v>
      </c>
      <c r="R5075" s="22"/>
      <c r="S5075" s="22" t="str">
        <f>IFERROR(__xludf.DUMMYFUNCTION("""COMPUTED_VALUE"""),"20260415_コミックルーム_お針子令嬢は、鉄仮面伯爵を最上級の旦那様に仕立てます")</f>
        <v>20260415_コミックルーム_お針子令嬢は、鉄仮面伯爵を最上級の旦那様に仕立てます</v>
      </c>
      <c r="T5075" s="22" t="str">
        <f>IFERROR(__xludf.DUMMYFUNCTION("""COMPUTED_VALUE"""),"格納済み")</f>
        <v>格納済み</v>
      </c>
      <c r="U5075" s="9" t="str">
        <f>IFERROR(__xludf.DUMMYFUNCTION("""COMPUTED_VALUE"""),"(c)春乃すい／COMIC ROOM")</f>
        <v>(c)春乃すい／COMIC ROOM</v>
      </c>
      <c r="V5075" s="8"/>
      <c r="W5075" s="8"/>
      <c r="X5075" s="8" t="str">
        <f>IFERROR(__xludf.DUMMYFUNCTION("""COMPUTED_VALUE"""),"有")</f>
        <v>有</v>
      </c>
      <c r="Y5075" s="8" t="str">
        <f>IFERROR(__xludf.DUMMYFUNCTION("""COMPUTED_VALUE"""),"P13まで")</f>
        <v>P13まで</v>
      </c>
      <c r="Z5075" s="7"/>
      <c r="AA5075" s="7"/>
      <c r="AB5075" s="7"/>
    </row>
    <row r="5076" ht="15.75" customHeight="1">
      <c r="A5076" s="26">
        <f>IFERROR(__xludf.DUMMYFUNCTION("""COMPUTED_VALUE"""),7820.0)</f>
        <v>7820</v>
      </c>
      <c r="B5076" s="22" t="str">
        <f>IFERROR(__xludf.DUMMYFUNCTION("""COMPUTED_VALUE"""),"確定")</f>
        <v>確定</v>
      </c>
      <c r="C5076" s="28">
        <f>IFERROR(__xludf.DUMMYFUNCTION("""COMPUTED_VALUE"""),46127.0)</f>
        <v>46127</v>
      </c>
      <c r="D5076" s="28">
        <f>IFERROR(__xludf.DUMMYFUNCTION("""COMPUTED_VALUE"""),46132.0)</f>
        <v>46132</v>
      </c>
      <c r="E5076" s="26">
        <f>IFERROR(__xludf.DUMMYFUNCTION("""COMPUTED_VALUE"""),358942.0)</f>
        <v>358942</v>
      </c>
      <c r="F5076" s="22" t="str">
        <f>IFERROR(__xludf.DUMMYFUNCTION("""COMPUTED_VALUE"""),"図書館で始まる、異国の王子との秘密の恋")</f>
        <v>図書館で始まる、異国の王子との秘密の恋</v>
      </c>
      <c r="G5076" s="20" t="str">
        <f>IFERROR(__xludf.DUMMYFUNCTION("""COMPUTED_VALUE"""),"1～2")</f>
        <v>1～2</v>
      </c>
      <c r="H5076" s="22" t="str">
        <f>IFERROR(__xludf.DUMMYFUNCTION("""COMPUTED_VALUE"""),"鴨鍋ねこ／COMIC ROOM")</f>
        <v>鴨鍋ねこ／COMIC ROOM</v>
      </c>
      <c r="I5076" s="22" t="str">
        <f>IFERROR(__xludf.DUMMYFUNCTION("""COMPUTED_VALUE"""),"女性マンガ")</f>
        <v>女性マンガ</v>
      </c>
      <c r="J5076" s="22"/>
      <c r="K5076" s="22"/>
      <c r="L5076" s="22" t="str">
        <f>IFERROR(__xludf.DUMMYFUNCTION("""COMPUTED_VALUE"""),"コミックルーム")</f>
        <v>コミックルーム</v>
      </c>
      <c r="M5076" s="33">
        <f>IFERROR(__xludf.DUMMYFUNCTION("""COMPUTED_VALUE"""),46157.0)</f>
        <v>46157</v>
      </c>
      <c r="N5076" s="33">
        <f>IFERROR(__xludf.DUMMYFUNCTION("""COMPUTED_VALUE"""),46248.0)</f>
        <v>46248</v>
      </c>
      <c r="O5076" s="20"/>
      <c r="P5076" s="32" t="str">
        <f>IFERROR(__xludf.DUMMYFUNCTION("""COMPUTED_VALUE"""),"可")</f>
        <v>可</v>
      </c>
      <c r="Q5076" s="30" t="str">
        <f>IFERROR(__xludf.DUMMYFUNCTION("""COMPUTED_VALUE"""),"格納した本文データは2巻分のデータです")</f>
        <v>格納した本文データは2巻分のデータです</v>
      </c>
      <c r="R5076" s="22"/>
      <c r="S5076" s="22" t="str">
        <f>IFERROR(__xludf.DUMMYFUNCTION("""COMPUTED_VALUE"""),"20260415_コミックルーム_図書館で始まる、異国の王子との秘密の恋")</f>
        <v>20260415_コミックルーム_図書館で始まる、異国の王子との秘密の恋</v>
      </c>
      <c r="T5076" s="22" t="str">
        <f>IFERROR(__xludf.DUMMYFUNCTION("""COMPUTED_VALUE"""),"格納済み")</f>
        <v>格納済み</v>
      </c>
      <c r="U5076" s="9" t="str">
        <f>IFERROR(__xludf.DUMMYFUNCTION("""COMPUTED_VALUE"""),"(c)鴨鍋ねこ／COMIC ROOM")</f>
        <v>(c)鴨鍋ねこ／COMIC ROOM</v>
      </c>
      <c r="V5076" s="8"/>
      <c r="W5076" s="8"/>
      <c r="X5076" s="8" t="str">
        <f>IFERROR(__xludf.DUMMYFUNCTION("""COMPUTED_VALUE"""),"有")</f>
        <v>有</v>
      </c>
      <c r="Y5076" s="8" t="str">
        <f>IFERROR(__xludf.DUMMYFUNCTION("""COMPUTED_VALUE"""),"P16まで")</f>
        <v>P16まで</v>
      </c>
      <c r="Z5076" s="7"/>
      <c r="AA5076" s="7"/>
      <c r="AB5076" s="7"/>
    </row>
    <row r="5077" ht="15.75" customHeight="1">
      <c r="A5077" s="26">
        <f>IFERROR(__xludf.DUMMYFUNCTION("""COMPUTED_VALUE"""),7821.0)</f>
        <v>7821</v>
      </c>
      <c r="B5077" s="22" t="str">
        <f>IFERROR(__xludf.DUMMYFUNCTION("""COMPUTED_VALUE"""),"確定")</f>
        <v>確定</v>
      </c>
      <c r="C5077" s="28">
        <f>IFERROR(__xludf.DUMMYFUNCTION("""COMPUTED_VALUE"""),46127.0)</f>
        <v>46127</v>
      </c>
      <c r="D5077" s="28">
        <f>IFERROR(__xludf.DUMMYFUNCTION("""COMPUTED_VALUE"""),46132.0)</f>
        <v>46132</v>
      </c>
      <c r="E5077" s="26">
        <f>IFERROR(__xludf.DUMMYFUNCTION("""COMPUTED_VALUE"""),358943.0)</f>
        <v>358943</v>
      </c>
      <c r="F5077" s="22" t="str">
        <f>IFERROR(__xludf.DUMMYFUNCTION("""COMPUTED_VALUE"""),"悪徳令息に買われた子爵令嬢は、自由を手にして愛を知る")</f>
        <v>悪徳令息に買われた子爵令嬢は、自由を手にして愛を知る</v>
      </c>
      <c r="G5077" s="20" t="str">
        <f>IFERROR(__xludf.DUMMYFUNCTION("""COMPUTED_VALUE"""),"1～2")</f>
        <v>1～2</v>
      </c>
      <c r="H5077" s="22" t="str">
        <f>IFERROR(__xludf.DUMMYFUNCTION("""COMPUTED_VALUE"""),"トモリ／COMIC ROOM")</f>
        <v>トモリ／COMIC ROOM</v>
      </c>
      <c r="I5077" s="22" t="str">
        <f>IFERROR(__xludf.DUMMYFUNCTION("""COMPUTED_VALUE"""),"女性マンガ")</f>
        <v>女性マンガ</v>
      </c>
      <c r="J5077" s="22"/>
      <c r="K5077" s="22"/>
      <c r="L5077" s="22" t="str">
        <f>IFERROR(__xludf.DUMMYFUNCTION("""COMPUTED_VALUE"""),"コミックルーム")</f>
        <v>コミックルーム</v>
      </c>
      <c r="M5077" s="33">
        <f>IFERROR(__xludf.DUMMYFUNCTION("""COMPUTED_VALUE"""),46157.0)</f>
        <v>46157</v>
      </c>
      <c r="N5077" s="33">
        <f>IFERROR(__xludf.DUMMYFUNCTION("""COMPUTED_VALUE"""),46248.0)</f>
        <v>46248</v>
      </c>
      <c r="O5077" s="20"/>
      <c r="P5077" s="32" t="str">
        <f>IFERROR(__xludf.DUMMYFUNCTION("""COMPUTED_VALUE"""),"可")</f>
        <v>可</v>
      </c>
      <c r="Q5077" s="30" t="str">
        <f>IFERROR(__xludf.DUMMYFUNCTION("""COMPUTED_VALUE"""),"格納した本文データは2巻分のデータです")</f>
        <v>格納した本文データは2巻分のデータです</v>
      </c>
      <c r="R5077" s="22"/>
      <c r="S5077" s="22" t="str">
        <f>IFERROR(__xludf.DUMMYFUNCTION("""COMPUTED_VALUE"""),"20260415_コミックルーム_悪徳令息に買われた子爵令嬢は、自由を手にして愛を知る")</f>
        <v>20260415_コミックルーム_悪徳令息に買われた子爵令嬢は、自由を手にして愛を知る</v>
      </c>
      <c r="T5077" s="22" t="str">
        <f>IFERROR(__xludf.DUMMYFUNCTION("""COMPUTED_VALUE"""),"格納済み")</f>
        <v>格納済み</v>
      </c>
      <c r="U5077" s="9" t="str">
        <f>IFERROR(__xludf.DUMMYFUNCTION("""COMPUTED_VALUE"""),"(c)トモリ／COMIC ROOM")</f>
        <v>(c)トモリ／COMIC ROOM</v>
      </c>
      <c r="V5077" s="8"/>
      <c r="W5077" s="8"/>
      <c r="X5077" s="8" t="str">
        <f>IFERROR(__xludf.DUMMYFUNCTION("""COMPUTED_VALUE"""),"有")</f>
        <v>有</v>
      </c>
      <c r="Y5077" s="8" t="str">
        <f>IFERROR(__xludf.DUMMYFUNCTION("""COMPUTED_VALUE"""),"P11まで")</f>
        <v>P11まで</v>
      </c>
      <c r="Z5077" s="7"/>
      <c r="AA5077" s="7"/>
      <c r="AB5077" s="7"/>
    </row>
    <row r="5078" ht="15.75" customHeight="1">
      <c r="A5078" s="26">
        <f>IFERROR(__xludf.DUMMYFUNCTION("""COMPUTED_VALUE"""),7822.0)</f>
        <v>7822</v>
      </c>
      <c r="B5078" s="22" t="str">
        <f>IFERROR(__xludf.DUMMYFUNCTION("""COMPUTED_VALUE"""),"確定")</f>
        <v>確定</v>
      </c>
      <c r="C5078" s="28">
        <f>IFERROR(__xludf.DUMMYFUNCTION("""COMPUTED_VALUE"""),46127.0)</f>
        <v>46127</v>
      </c>
      <c r="D5078" s="28">
        <f>IFERROR(__xludf.DUMMYFUNCTION("""COMPUTED_VALUE"""),46129.0)</f>
        <v>46129</v>
      </c>
      <c r="E5078" s="26">
        <f>IFERROR(__xludf.DUMMYFUNCTION("""COMPUTED_VALUE"""),358953.0)</f>
        <v>358953</v>
      </c>
      <c r="F5078" s="22" t="str">
        <f>IFERROR(__xludf.DUMMYFUNCTION("""COMPUTED_VALUE"""),"人喰い公爵の実験体のはずが、極上の溺愛が止まりません！")</f>
        <v>人喰い公爵の実験体のはずが、極上の溺愛が止まりません！</v>
      </c>
      <c r="G5078" s="20" t="str">
        <f>IFERROR(__xludf.DUMMYFUNCTION("""COMPUTED_VALUE"""),"1～2")</f>
        <v>1～2</v>
      </c>
      <c r="H5078" s="22" t="str">
        <f>IFERROR(__xludf.DUMMYFUNCTION("""COMPUTED_VALUE"""),"村岡ハジメ／COMIC ROOM")</f>
        <v>村岡ハジメ／COMIC ROOM</v>
      </c>
      <c r="I5078" s="22" t="str">
        <f>IFERROR(__xludf.DUMMYFUNCTION("""COMPUTED_VALUE"""),"女性マンガ")</f>
        <v>女性マンガ</v>
      </c>
      <c r="J5078" s="22"/>
      <c r="K5078" s="22"/>
      <c r="L5078" s="22" t="str">
        <f>IFERROR(__xludf.DUMMYFUNCTION("""COMPUTED_VALUE"""),"コミックルーム")</f>
        <v>コミックルーム</v>
      </c>
      <c r="M5078" s="33">
        <f>IFERROR(__xludf.DUMMYFUNCTION("""COMPUTED_VALUE"""),46157.0)</f>
        <v>46157</v>
      </c>
      <c r="N5078" s="33">
        <f>IFERROR(__xludf.DUMMYFUNCTION("""COMPUTED_VALUE"""),46248.0)</f>
        <v>46248</v>
      </c>
      <c r="O5078" s="20"/>
      <c r="P5078" s="32" t="str">
        <f>IFERROR(__xludf.DUMMYFUNCTION("""COMPUTED_VALUE"""),"可")</f>
        <v>可</v>
      </c>
      <c r="Q5078" s="30" t="str">
        <f>IFERROR(__xludf.DUMMYFUNCTION("""COMPUTED_VALUE"""),"格納した本文データは2巻分のデータです")</f>
        <v>格納した本文データは2巻分のデータです</v>
      </c>
      <c r="R5078" s="22"/>
      <c r="S5078" s="22" t="str">
        <f>IFERROR(__xludf.DUMMYFUNCTION("""COMPUTED_VALUE"""),"20260415_コミックルーム_人喰い公爵の実験体のはずが、極上の溺愛が止まりません！")</f>
        <v>20260415_コミックルーム_人喰い公爵の実験体のはずが、極上の溺愛が止まりません！</v>
      </c>
      <c r="T5078" s="22" t="str">
        <f>IFERROR(__xludf.DUMMYFUNCTION("""COMPUTED_VALUE"""),"格納済み")</f>
        <v>格納済み</v>
      </c>
      <c r="U5078" s="9" t="str">
        <f>IFERROR(__xludf.DUMMYFUNCTION("""COMPUTED_VALUE"""),"(c)村岡ハジメ／COMIC ROOM")</f>
        <v>(c)村岡ハジメ／COMIC ROOM</v>
      </c>
      <c r="V5078" s="8"/>
      <c r="W5078" s="8"/>
      <c r="X5078" s="8" t="str">
        <f>IFERROR(__xludf.DUMMYFUNCTION("""COMPUTED_VALUE"""),"有")</f>
        <v>有</v>
      </c>
      <c r="Y5078" s="8" t="str">
        <f>IFERROR(__xludf.DUMMYFUNCTION("""COMPUTED_VALUE"""),"P14まで")</f>
        <v>P14まで</v>
      </c>
      <c r="Z5078" s="7"/>
      <c r="AA5078" s="7"/>
      <c r="AB5078" s="7"/>
    </row>
    <row r="5079" ht="15.75" customHeight="1">
      <c r="A5079" s="26">
        <f>IFERROR(__xludf.DUMMYFUNCTION("""COMPUTED_VALUE"""),7823.0)</f>
        <v>7823</v>
      </c>
      <c r="B5079" s="22" t="str">
        <f>IFERROR(__xludf.DUMMYFUNCTION("""COMPUTED_VALUE"""),"確定")</f>
        <v>確定</v>
      </c>
      <c r="C5079" s="28">
        <f>IFERROR(__xludf.DUMMYFUNCTION("""COMPUTED_VALUE"""),46127.0)</f>
        <v>46127</v>
      </c>
      <c r="D5079" s="28">
        <f>IFERROR(__xludf.DUMMYFUNCTION("""COMPUTED_VALUE"""),46134.0)</f>
        <v>46134</v>
      </c>
      <c r="E5079" s="26">
        <f>IFERROR(__xludf.DUMMYFUNCTION("""COMPUTED_VALUE"""),359861.0)</f>
        <v>359861</v>
      </c>
      <c r="F5079" s="22" t="str">
        <f>IFERROR(__xludf.DUMMYFUNCTION("""COMPUTED_VALUE"""),"社長様とモデルくん")</f>
        <v>社長様とモデルくん</v>
      </c>
      <c r="G5079" s="20" t="str">
        <f>IFERROR(__xludf.DUMMYFUNCTION("""COMPUTED_VALUE"""),"1～3")</f>
        <v>1～3</v>
      </c>
      <c r="H5079" s="22" t="str">
        <f>IFERROR(__xludf.DUMMYFUNCTION("""COMPUTED_VALUE"""),"白花せんの")</f>
        <v>白花せんの</v>
      </c>
      <c r="I5079" s="22" t="str">
        <f>IFERROR(__xludf.DUMMYFUNCTION("""COMPUTED_VALUE"""),"BL")</f>
        <v>BL</v>
      </c>
      <c r="J5079" s="22"/>
      <c r="K5079" s="22"/>
      <c r="L5079" s="22" t="str">
        <f>IFERROR(__xludf.DUMMYFUNCTION("""COMPUTED_VALUE"""),"ガラン")</f>
        <v>ガラン</v>
      </c>
      <c r="M5079" s="33">
        <f>IFERROR(__xludf.DUMMYFUNCTION("""COMPUTED_VALUE"""),46155.0)</f>
        <v>46155</v>
      </c>
      <c r="N5079" s="33">
        <f>IFERROR(__xludf.DUMMYFUNCTION("""COMPUTED_VALUE"""),46252.0)</f>
        <v>46252</v>
      </c>
      <c r="O5079" s="20"/>
      <c r="P5079" s="32" t="str">
        <f>IFERROR(__xludf.DUMMYFUNCTION("""COMPUTED_VALUE"""),"可")</f>
        <v>可</v>
      </c>
      <c r="Q5079" s="30"/>
      <c r="R5079" s="22" t="str">
        <f>IFERROR(__xludf.DUMMYFUNCTION("""COMPUTED_VALUE"""),"コミットNG")</f>
        <v>コミットNG</v>
      </c>
      <c r="S5079" s="22" t="str">
        <f>IFERROR(__xludf.DUMMYFUNCTION("""COMPUTED_VALUE"""),"20260331_株式会社ガラン_社長様とモデルくん")</f>
        <v>20260331_株式会社ガラン_社長様とモデルくん</v>
      </c>
      <c r="T5079" s="22" t="str">
        <f>IFERROR(__xludf.DUMMYFUNCTION("""COMPUTED_VALUE"""),"格納済み")</f>
        <v>格納済み</v>
      </c>
      <c r="U5079" s="9" t="str">
        <f>IFERROR(__xludf.DUMMYFUNCTION("""COMPUTED_VALUE"""),"白花せんの／Boys Shangri-La")</f>
        <v>白花せんの／Boys Shangri-La</v>
      </c>
      <c r="V5079" s="8"/>
      <c r="W5079" s="8"/>
      <c r="X5079" s="8" t="str">
        <f>IFERROR(__xludf.DUMMYFUNCTION("""COMPUTED_VALUE"""),"有")</f>
        <v>有</v>
      </c>
      <c r="Y5079" s="8" t="str">
        <f>IFERROR(__xludf.DUMMYFUNCTION("""COMPUTED_VALUE"""),"1巻無料")</f>
        <v>1巻無料</v>
      </c>
      <c r="Z5079" s="7"/>
      <c r="AA5079" s="7"/>
      <c r="AB5079" s="7"/>
    </row>
    <row r="5080" ht="15.75" customHeight="1">
      <c r="A5080" s="26">
        <f>IFERROR(__xludf.DUMMYFUNCTION("""COMPUTED_VALUE"""),7850.0)</f>
        <v>7850</v>
      </c>
      <c r="B5080" s="22" t="str">
        <f>IFERROR(__xludf.DUMMYFUNCTION("""COMPUTED_VALUE"""),"確定")</f>
        <v>確定</v>
      </c>
      <c r="C5080" s="28">
        <f>IFERROR(__xludf.DUMMYFUNCTION("""COMPUTED_VALUE"""),46127.0)</f>
        <v>46127</v>
      </c>
      <c r="D5080" s="28">
        <f>IFERROR(__xludf.DUMMYFUNCTION("""COMPUTED_VALUE"""),46129.0)</f>
        <v>46129</v>
      </c>
      <c r="E5080" s="26">
        <f>IFERROR(__xludf.DUMMYFUNCTION("""COMPUTED_VALUE"""),360337.0)</f>
        <v>360337</v>
      </c>
      <c r="F5080" s="22" t="str">
        <f>IFERROR(__xludf.DUMMYFUNCTION("""COMPUTED_VALUE"""),"さそり座の心臓 連載版")</f>
        <v>さそり座の心臓 連載版</v>
      </c>
      <c r="G5080" s="20" t="str">
        <f>IFERROR(__xludf.DUMMYFUNCTION("""COMPUTED_VALUE"""),"1~4")</f>
        <v>1~4</v>
      </c>
      <c r="H5080" s="22" t="str">
        <f>IFERROR(__xludf.DUMMYFUNCTION("""COMPUTED_VALUE"""),"梅干野まぐ")</f>
        <v>梅干野まぐ</v>
      </c>
      <c r="I5080" s="22" t="str">
        <f>IFERROR(__xludf.DUMMYFUNCTION("""COMPUTED_VALUE"""),"青年")</f>
        <v>青年</v>
      </c>
      <c r="J5080" s="22"/>
      <c r="K5080" s="22"/>
      <c r="L5080" s="22" t="str">
        <f>IFERROR(__xludf.DUMMYFUNCTION("""COMPUTED_VALUE"""),"ブシロードワークス")</f>
        <v>ブシロードワークス</v>
      </c>
      <c r="M5080" s="33">
        <f>IFERROR(__xludf.DUMMYFUNCTION("""COMPUTED_VALUE"""),46156.0)</f>
        <v>46156</v>
      </c>
      <c r="N5080" s="33">
        <f>IFERROR(__xludf.DUMMYFUNCTION("""COMPUTED_VALUE"""),46219.0)</f>
        <v>46219</v>
      </c>
      <c r="O5080" s="20"/>
      <c r="P5080" s="32" t="str">
        <f>IFERROR(__xludf.DUMMYFUNCTION("""COMPUTED_VALUE"""),"可")</f>
        <v>可</v>
      </c>
      <c r="Q5080" s="30" t="str">
        <f>IFERROR(__xludf.DUMMYFUNCTION("""COMPUTED_VALUE"""),"素材は01話を2分割して1~2巻、02話が3巻、03話が4巻の初回1~4巻として配信します。&lt;BR&gt;")</f>
        <v>素材は01話を2分割して1~2巻、02話が3巻、03話が4巻の初回1~4巻として配信します。&lt;BR&gt;</v>
      </c>
      <c r="R5080" s="22" t="str">
        <f>IFERROR(__xludf.DUMMYFUNCTION("""COMPUTED_VALUE"""),"コミットOK")</f>
        <v>コミットOK</v>
      </c>
      <c r="S5080" s="22" t="str">
        <f>IFERROR(__xludf.DUMMYFUNCTION("""COMPUTED_VALUE"""),"20260415_ブシロードワークス_さそり座の心臓 連載版")</f>
        <v>20260415_ブシロードワークス_さそり座の心臓 連載版</v>
      </c>
      <c r="T5080" s="22" t="str">
        <f>IFERROR(__xludf.DUMMYFUNCTION("""COMPUTED_VALUE"""),"格納済み")</f>
        <v>格納済み</v>
      </c>
      <c r="U5080" s="9" t="str">
        <f>IFERROR(__xludf.DUMMYFUNCTION("""COMPUTED_VALUE"""),"ⒸMag Hoyano / BUSHIROAD WORKS")</f>
        <v>ⒸMag Hoyano / BUSHIROAD WORKS</v>
      </c>
      <c r="V5080" s="8"/>
      <c r="W5080" s="8"/>
      <c r="X5080" s="8" t="str">
        <f>IFERROR(__xludf.DUMMYFUNCTION("""COMPUTED_VALUE"""),"有")</f>
        <v>有</v>
      </c>
      <c r="Y5080" s="8" t="str">
        <f>IFERROR(__xludf.DUMMYFUNCTION("""COMPUTED_VALUE"""),"2026/7/16まで1~2巻無料")</f>
        <v>2026/7/16まで1~2巻無料</v>
      </c>
      <c r="Z5080" s="7"/>
      <c r="AA5080" s="7"/>
      <c r="AB5080" s="7"/>
    </row>
    <row r="5081" ht="15.75" customHeight="1">
      <c r="A5081" s="26">
        <f>IFERROR(__xludf.DUMMYFUNCTION("""COMPUTED_VALUE"""),7851.0)</f>
        <v>7851</v>
      </c>
      <c r="B5081" s="22" t="str">
        <f>IFERROR(__xludf.DUMMYFUNCTION("""COMPUTED_VALUE"""),"確定")</f>
        <v>確定</v>
      </c>
      <c r="C5081" s="28">
        <f>IFERROR(__xludf.DUMMYFUNCTION("""COMPUTED_VALUE"""),46128.0)</f>
        <v>46128</v>
      </c>
      <c r="D5081" s="28">
        <f>IFERROR(__xludf.DUMMYFUNCTION("""COMPUTED_VALUE"""),46129.0)</f>
        <v>46129</v>
      </c>
      <c r="E5081" s="26">
        <f>IFERROR(__xludf.DUMMYFUNCTION("""COMPUTED_VALUE"""),362573.0)</f>
        <v>362573</v>
      </c>
      <c r="F5081" s="22" t="str">
        <f>IFERROR(__xludf.DUMMYFUNCTION("""COMPUTED_VALUE"""),"幽霊くんに夜ごと乳首とクリを舐めしゃぶられる一週間【R-18版】【分冊版】")</f>
        <v>幽霊くんに夜ごと乳首とクリを舐めしゃぶられる一週間【R-18版】【分冊版】</v>
      </c>
      <c r="G5081" s="20" t="str">
        <f>IFERROR(__xludf.DUMMYFUNCTION("""COMPUTED_VALUE"""),"1~4")</f>
        <v>1~4</v>
      </c>
      <c r="H5081" s="22" t="str">
        <f>IFERROR(__xludf.DUMMYFUNCTION("""COMPUTED_VALUE"""),"杏里まある")</f>
        <v>杏里まある</v>
      </c>
      <c r="I5081" s="22" t="str">
        <f>IFERROR(__xludf.DUMMYFUNCTION("""COMPUTED_VALUE"""),"アダルトマンガ")</f>
        <v>アダルトマンガ</v>
      </c>
      <c r="J5081" s="22"/>
      <c r="K5081" s="22" t="str">
        <f>IFERROR(__xludf.DUMMYFUNCTION("""COMPUTED_VALUE"""),"Close Moon")</f>
        <v>Close Moon</v>
      </c>
      <c r="L5081" s="22" t="str">
        <f>IFERROR(__xludf.DUMMYFUNCTION("""COMPUTED_VALUE"""),"ナンバーナイン")</f>
        <v>ナンバーナイン</v>
      </c>
      <c r="M5081" s="33">
        <f>IFERROR(__xludf.DUMMYFUNCTION("""COMPUTED_VALUE"""),46189.0)</f>
        <v>46189</v>
      </c>
      <c r="N5081" s="33">
        <f>IFERROR(__xludf.DUMMYFUNCTION("""COMPUTED_VALUE"""),46249.0)</f>
        <v>46249</v>
      </c>
      <c r="O5081" s="20"/>
      <c r="P5081" s="32" t="str">
        <f>IFERROR(__xludf.DUMMYFUNCTION("""COMPUTED_VALUE"""),"可")</f>
        <v>可</v>
      </c>
      <c r="Q5081" s="30" t="str">
        <f>IFERROR(__xludf.DUMMYFUNCTION("""COMPUTED_VALUE"""),"がるまに")</f>
        <v>がるまに</v>
      </c>
      <c r="R5081" s="22"/>
      <c r="S5081" s="22" t="str">
        <f>IFERROR(__xludf.DUMMYFUNCTION("""COMPUTED_VALUE"""),"20260416_ナンバーナイン_幽霊くんに夜ごと乳首とクリを舐めしゃぶられる一週間【R-18版】【分冊版】")</f>
        <v>20260416_ナンバーナイン_幽霊くんに夜ごと乳首とクリを舐めしゃぶられる一週間【R-18版】【分冊版】</v>
      </c>
      <c r="T5081" s="22" t="str">
        <f>IFERROR(__xludf.DUMMYFUNCTION("""COMPUTED_VALUE"""),"格納済み")</f>
        <v>格納済み</v>
      </c>
      <c r="U5081" s="9" t="str">
        <f>IFERROR(__xludf.DUMMYFUNCTION("""COMPUTED_VALUE"""),"(C)杏里まある/ナンバーナイン")</f>
        <v>(C)杏里まある/ナンバーナイン</v>
      </c>
      <c r="V5081" s="8"/>
      <c r="W5081" s="8"/>
      <c r="X5081" s="8" t="str">
        <f>IFERROR(__xludf.DUMMYFUNCTION("""COMPUTED_VALUE"""),"有")</f>
        <v>有</v>
      </c>
      <c r="Y5081" s="8" t="str">
        <f>IFERROR(__xludf.DUMMYFUNCTION("""COMPUTED_VALUE"""),"1巻永久無料")</f>
        <v>1巻永久無料</v>
      </c>
      <c r="Z5081" s="7"/>
      <c r="AA5081" s="7"/>
      <c r="AB5081" s="7"/>
    </row>
    <row r="5082" ht="15.75" customHeight="1">
      <c r="A5082" s="26">
        <f>IFERROR(__xludf.DUMMYFUNCTION("""COMPUTED_VALUE"""),7854.0)</f>
        <v>7854</v>
      </c>
      <c r="B5082" s="22" t="str">
        <f>IFERROR(__xludf.DUMMYFUNCTION("""COMPUTED_VALUE"""),"確定")</f>
        <v>確定</v>
      </c>
      <c r="C5082" s="28">
        <f>IFERROR(__xludf.DUMMYFUNCTION("""COMPUTED_VALUE"""),46128.0)</f>
        <v>46128</v>
      </c>
      <c r="D5082" s="28">
        <f>IFERROR(__xludf.DUMMYFUNCTION("""COMPUTED_VALUE"""),46133.0)</f>
        <v>46133</v>
      </c>
      <c r="E5082" s="26">
        <f>IFERROR(__xludf.DUMMYFUNCTION("""COMPUTED_VALUE"""),361220.0)</f>
        <v>361220</v>
      </c>
      <c r="F5082" s="22" t="str">
        <f>IFERROR(__xludf.DUMMYFUNCTION("""COMPUTED_VALUE"""),"春は雲の上［1話売り］")</f>
        <v>春は雲の上［1話売り］</v>
      </c>
      <c r="G5082" s="20" t="str">
        <f>IFERROR(__xludf.DUMMYFUNCTION("""COMPUTED_VALUE"""),"1～3")</f>
        <v>1～3</v>
      </c>
      <c r="H5082" s="22" t="str">
        <f>IFERROR(__xludf.DUMMYFUNCTION("""COMPUTED_VALUE"""),"ソノヘンノ高橋")</f>
        <v>ソノヘンノ高橋</v>
      </c>
      <c r="I5082" s="22" t="str">
        <f>IFERROR(__xludf.DUMMYFUNCTION("""COMPUTED_VALUE"""),"少女")</f>
        <v>少女</v>
      </c>
      <c r="J5082" s="22"/>
      <c r="K5082" s="22" t="str">
        <f>IFERROR(__xludf.DUMMYFUNCTION("""COMPUTED_VALUE"""),"花とゆめ")</f>
        <v>花とゆめ</v>
      </c>
      <c r="L5082" s="22" t="str">
        <f>IFERROR(__xludf.DUMMYFUNCTION("""COMPUTED_VALUE"""),"白泉社")</f>
        <v>白泉社</v>
      </c>
      <c r="M5082" s="33">
        <f>IFERROR(__xludf.DUMMYFUNCTION("""COMPUTED_VALUE"""),46192.0)</f>
        <v>46192</v>
      </c>
      <c r="N5082" s="33">
        <f>IFERROR(__xludf.DUMMYFUNCTION("""COMPUTED_VALUE"""),46255.0)</f>
        <v>46255</v>
      </c>
      <c r="O5082" s="20"/>
      <c r="P5082" s="32" t="str">
        <f>IFERROR(__xludf.DUMMYFUNCTION("""COMPUTED_VALUE"""),"否")</f>
        <v>否</v>
      </c>
      <c r="Q5082" s="30"/>
      <c r="R5082" s="22"/>
      <c r="S5082" s="22" t="str">
        <f>IFERROR(__xludf.DUMMYFUNCTION("""COMPUTED_VALUE"""),"20260420_白泉社_春は雲の上")</f>
        <v>20260420_白泉社_春は雲の上</v>
      </c>
      <c r="T5082" s="22" t="str">
        <f>IFERROR(__xludf.DUMMYFUNCTION("""COMPUTED_VALUE"""),"格納済み")</f>
        <v>格納済み</v>
      </c>
      <c r="U5082" s="9" t="str">
        <f>IFERROR(__xludf.DUMMYFUNCTION("""COMPUTED_VALUE"""),"(C)ソノヘンノ高橋／白泉社")</f>
        <v>(C)ソノヘンノ高橋／白泉社</v>
      </c>
      <c r="V5082" s="8"/>
      <c r="W5082" s="8"/>
      <c r="X5082" s="8" t="str">
        <f>IFERROR(__xludf.DUMMYFUNCTION("""COMPUTED_VALUE"""),"有")</f>
        <v>有</v>
      </c>
      <c r="Y5082" s="8" t="str">
        <f>IFERROR(__xludf.DUMMYFUNCTION("""COMPUTED_VALUE"""),"2026/8/21まで1巻無料")</f>
        <v>2026/8/21まで1巻無料</v>
      </c>
      <c r="Z5082" s="7"/>
      <c r="AA5082" s="7"/>
      <c r="AB5082" s="7"/>
    </row>
    <row r="5083" ht="15.75" customHeight="1">
      <c r="A5083" s="26">
        <f>IFERROR(__xludf.DUMMYFUNCTION("""COMPUTED_VALUE"""),7858.0)</f>
        <v>7858</v>
      </c>
      <c r="B5083" s="22" t="str">
        <f>IFERROR(__xludf.DUMMYFUNCTION("""COMPUTED_VALUE"""),"確定")</f>
        <v>確定</v>
      </c>
      <c r="C5083" s="28">
        <f>IFERROR(__xludf.DUMMYFUNCTION("""COMPUTED_VALUE"""),46132.0)</f>
        <v>46132</v>
      </c>
      <c r="D5083" s="28">
        <f>IFERROR(__xludf.DUMMYFUNCTION("""COMPUTED_VALUE"""),46132.0)</f>
        <v>46132</v>
      </c>
      <c r="E5083" s="26">
        <f>IFERROR(__xludf.DUMMYFUNCTION("""COMPUTED_VALUE"""),360132.0)</f>
        <v>360132</v>
      </c>
      <c r="F5083" s="22" t="str">
        <f>IFERROR(__xludf.DUMMYFUNCTION("""COMPUTED_VALUE"""),"その獣は懐かない")</f>
        <v>その獣は懐かない</v>
      </c>
      <c r="G5083" s="20">
        <f>IFERROR(__xludf.DUMMYFUNCTION("""COMPUTED_VALUE"""),1.0)</f>
        <v>1</v>
      </c>
      <c r="H5083" s="22" t="str">
        <f>IFERROR(__xludf.DUMMYFUNCTION("""COMPUTED_VALUE"""),"野原唯衣")</f>
        <v>野原唯衣</v>
      </c>
      <c r="I5083" s="22" t="str">
        <f>IFERROR(__xludf.DUMMYFUNCTION("""COMPUTED_VALUE"""),"少女")</f>
        <v>少女</v>
      </c>
      <c r="J5083" s="22"/>
      <c r="K5083" s="22"/>
      <c r="L5083" s="22" t="str">
        <f>IFERROR(__xludf.DUMMYFUNCTION("""COMPUTED_VALUE"""),"集英社")</f>
        <v>集英社</v>
      </c>
      <c r="M5083" s="33">
        <f>IFERROR(__xludf.DUMMYFUNCTION("""COMPUTED_VALUE"""),46173.0)</f>
        <v>46173</v>
      </c>
      <c r="N5083" s="33">
        <f>IFERROR(__xludf.DUMMYFUNCTION("""COMPUTED_VALUE"""),46197.0)</f>
        <v>46197</v>
      </c>
      <c r="O5083" s="20"/>
      <c r="P5083" s="32" t="str">
        <f>IFERROR(__xludf.DUMMYFUNCTION("""COMPUTED_VALUE"""),"否")</f>
        <v>否</v>
      </c>
      <c r="Q5083" s="30" t="str">
        <f>IFERROR(__xludf.DUMMYFUNCTION("""COMPUTED_VALUE"""),"単行本版です")</f>
        <v>単行本版です</v>
      </c>
      <c r="R5083" s="22"/>
      <c r="S5083" s="22" t="str">
        <f>IFERROR(__xludf.DUMMYFUNCTION("""COMPUTED_VALUE"""),"20260420_集英社_その獣は懐かない")</f>
        <v>20260420_集英社_その獣は懐かない</v>
      </c>
      <c r="T5083" s="22" t="str">
        <f>IFERROR(__xludf.DUMMYFUNCTION("""COMPUTED_VALUE"""),"格納済み")</f>
        <v>格納済み</v>
      </c>
      <c r="U5083" s="9" t="str">
        <f>IFERROR(__xludf.DUMMYFUNCTION("""COMPUTED_VALUE"""),"(c)野原唯衣／集英社")</f>
        <v>(c)野原唯衣／集英社</v>
      </c>
      <c r="V5083" s="8"/>
      <c r="W5083" s="8"/>
      <c r="X5083" s="8" t="str">
        <f>IFERROR(__xludf.DUMMYFUNCTION("""COMPUTED_VALUE"""),"有")</f>
        <v>有</v>
      </c>
      <c r="Y5083" s="8" t="str">
        <f>IFERROR(__xludf.DUMMYFUNCTION("""COMPUTED_VALUE"""),"2026/6/30までp80まで立ち読み増量")</f>
        <v>2026/6/30までp80まで立ち読み増量</v>
      </c>
      <c r="Z5083" s="7"/>
      <c r="AA5083" s="7"/>
      <c r="AB5083" s="7"/>
    </row>
    <row r="5084" ht="15.75" customHeight="1">
      <c r="A5084" s="26">
        <f>IFERROR(__xludf.DUMMYFUNCTION("""COMPUTED_VALUE"""),7859.0)</f>
        <v>7859</v>
      </c>
      <c r="B5084" s="22" t="str">
        <f>IFERROR(__xludf.DUMMYFUNCTION("""COMPUTED_VALUE"""),"確定")</f>
        <v>確定</v>
      </c>
      <c r="C5084" s="28">
        <f>IFERROR(__xludf.DUMMYFUNCTION("""COMPUTED_VALUE"""),46132.0)</f>
        <v>46132</v>
      </c>
      <c r="D5084" s="28">
        <f>IFERROR(__xludf.DUMMYFUNCTION("""COMPUTED_VALUE"""),46132.0)</f>
        <v>46132</v>
      </c>
      <c r="E5084" s="26">
        <f>IFERROR(__xludf.DUMMYFUNCTION("""COMPUTED_VALUE"""),360133.0)</f>
        <v>360133</v>
      </c>
      <c r="F5084" s="22" t="str">
        <f>IFERROR(__xludf.DUMMYFUNCTION("""COMPUTED_VALUE"""),"僕のアップル色エイリアン")</f>
        <v>僕のアップル色エイリアン</v>
      </c>
      <c r="G5084" s="20">
        <f>IFERROR(__xludf.DUMMYFUNCTION("""COMPUTED_VALUE"""),1.0)</f>
        <v>1</v>
      </c>
      <c r="H5084" s="22" t="str">
        <f>IFERROR(__xludf.DUMMYFUNCTION("""COMPUTED_VALUE"""),"山田柚子")</f>
        <v>山田柚子</v>
      </c>
      <c r="I5084" s="22" t="str">
        <f>IFERROR(__xludf.DUMMYFUNCTION("""COMPUTED_VALUE"""),"少女")</f>
        <v>少女</v>
      </c>
      <c r="J5084" s="22"/>
      <c r="K5084" s="22"/>
      <c r="L5084" s="22" t="str">
        <f>IFERROR(__xludf.DUMMYFUNCTION("""COMPUTED_VALUE"""),"集英社")</f>
        <v>集英社</v>
      </c>
      <c r="M5084" s="33">
        <f>IFERROR(__xludf.DUMMYFUNCTION("""COMPUTED_VALUE"""),46173.0)</f>
        <v>46173</v>
      </c>
      <c r="N5084" s="33">
        <f>IFERROR(__xludf.DUMMYFUNCTION("""COMPUTED_VALUE"""),46197.0)</f>
        <v>46197</v>
      </c>
      <c r="O5084" s="20"/>
      <c r="P5084" s="32" t="str">
        <f>IFERROR(__xludf.DUMMYFUNCTION("""COMPUTED_VALUE"""),"否")</f>
        <v>否</v>
      </c>
      <c r="Q5084" s="30" t="str">
        <f>IFERROR(__xludf.DUMMYFUNCTION("""COMPUTED_VALUE"""),"単行本版です")</f>
        <v>単行本版です</v>
      </c>
      <c r="R5084" s="22"/>
      <c r="S5084" s="22" t="str">
        <f>IFERROR(__xludf.DUMMYFUNCTION("""COMPUTED_VALUE"""),"20260420_集英社_僕のアップル色エイリアン")</f>
        <v>20260420_集英社_僕のアップル色エイリアン</v>
      </c>
      <c r="T5084" s="22" t="str">
        <f>IFERROR(__xludf.DUMMYFUNCTION("""COMPUTED_VALUE"""),"格納済み")</f>
        <v>格納済み</v>
      </c>
      <c r="U5084" s="9" t="str">
        <f>IFERROR(__xludf.DUMMYFUNCTION("""COMPUTED_VALUE"""),"(c)山田柚子／集英社")</f>
        <v>(c)山田柚子／集英社</v>
      </c>
      <c r="V5084" s="8"/>
      <c r="W5084" s="8"/>
      <c r="X5084" s="8" t="str">
        <f>IFERROR(__xludf.DUMMYFUNCTION("""COMPUTED_VALUE"""),"有")</f>
        <v>有</v>
      </c>
      <c r="Y5084" s="8" t="str">
        <f>IFERROR(__xludf.DUMMYFUNCTION("""COMPUTED_VALUE"""),"2026/6/30までp80まで立ち読み増量")</f>
        <v>2026/6/30までp80まで立ち読み増量</v>
      </c>
      <c r="Z5084" s="7"/>
      <c r="AA5084" s="7"/>
      <c r="AB5084" s="7"/>
    </row>
    <row r="5085" ht="15.75" customHeight="1">
      <c r="A5085" s="26">
        <f>IFERROR(__xludf.DUMMYFUNCTION("""COMPUTED_VALUE"""),7861.0)</f>
        <v>7861</v>
      </c>
      <c r="B5085" s="22" t="str">
        <f>IFERROR(__xludf.DUMMYFUNCTION("""COMPUTED_VALUE"""),"確定")</f>
        <v>確定</v>
      </c>
      <c r="C5085" s="28">
        <f>IFERROR(__xludf.DUMMYFUNCTION("""COMPUTED_VALUE"""),46132.0)</f>
        <v>46132</v>
      </c>
      <c r="D5085" s="28">
        <f>IFERROR(__xludf.DUMMYFUNCTION("""COMPUTED_VALUE"""),46133.0)</f>
        <v>46133</v>
      </c>
      <c r="E5085" s="26">
        <f>IFERROR(__xludf.DUMMYFUNCTION("""COMPUTED_VALUE"""),361083.0)</f>
        <v>361083</v>
      </c>
      <c r="F5085" s="22" t="str">
        <f>IFERROR(__xludf.DUMMYFUNCTION("""COMPUTED_VALUE"""),"欲しいのはその閃光")</f>
        <v>欲しいのはその閃光</v>
      </c>
      <c r="G5085" s="20" t="str">
        <f>IFERROR(__xludf.DUMMYFUNCTION("""COMPUTED_VALUE"""),"1～3")</f>
        <v>1～3</v>
      </c>
      <c r="H5085" s="22" t="str">
        <f>IFERROR(__xludf.DUMMYFUNCTION("""COMPUTED_VALUE"""),"夏嶋みき")</f>
        <v>夏嶋みき</v>
      </c>
      <c r="I5085" s="22" t="str">
        <f>IFERROR(__xludf.DUMMYFUNCTION("""COMPUTED_VALUE"""),"BLマンガ")</f>
        <v>BLマンガ</v>
      </c>
      <c r="J5085" s="22"/>
      <c r="K5085" s="22" t="str">
        <f>IFERROR(__xludf.DUMMYFUNCTION("""COMPUTED_VALUE"""),"B.Pilz")</f>
        <v>B.Pilz</v>
      </c>
      <c r="L5085" s="22" t="str">
        <f>IFERROR(__xludf.DUMMYFUNCTION("""COMPUTED_VALUE"""),"ブライト出版")</f>
        <v>ブライト出版</v>
      </c>
      <c r="M5085" s="33">
        <f>IFERROR(__xludf.DUMMYFUNCTION("""COMPUTED_VALUE"""),46170.0)</f>
        <v>46170</v>
      </c>
      <c r="N5085" s="33">
        <f>IFERROR(__xludf.DUMMYFUNCTION("""COMPUTED_VALUE"""),46274.0)</f>
        <v>46274</v>
      </c>
      <c r="O5085" s="20"/>
      <c r="P5085" s="32" t="str">
        <f>IFERROR(__xludf.DUMMYFUNCTION("""COMPUTED_VALUE"""),"可")</f>
        <v>可</v>
      </c>
      <c r="Q5085" s="30"/>
      <c r="R5085" s="22"/>
      <c r="S5085" s="22" t="str">
        <f>IFERROR(__xludf.DUMMYFUNCTION("""COMPUTED_VALUE"""),"20260421_ブライト出版_欲しいのはその閃光")</f>
        <v>20260421_ブライト出版_欲しいのはその閃光</v>
      </c>
      <c r="T5085" s="22" t="str">
        <f>IFERROR(__xludf.DUMMYFUNCTION("""COMPUTED_VALUE"""),"格納済み")</f>
        <v>格納済み</v>
      </c>
      <c r="U5085" s="9" t="str">
        <f>IFERROR(__xludf.DUMMYFUNCTION("""COMPUTED_VALUE"""),"(C) 夏嶋みき/ブライト出版")</f>
        <v>(C) 夏嶋みき/ブライト出版</v>
      </c>
      <c r="V5085" s="8"/>
      <c r="W5085" s="8"/>
      <c r="X5085" s="8" t="str">
        <f>IFERROR(__xludf.DUMMYFUNCTION("""COMPUTED_VALUE"""),"有")</f>
        <v>有</v>
      </c>
      <c r="Y5085" s="8" t="str">
        <f>IFERROR(__xludf.DUMMYFUNCTION("""COMPUTED_VALUE"""),"2026/6/10まで１巻無料")</f>
        <v>2026/6/10まで１巻無料</v>
      </c>
      <c r="Z5085" s="7"/>
      <c r="AA5085" s="7"/>
      <c r="AB5085" s="7"/>
    </row>
    <row r="5086" ht="15.75" customHeight="1">
      <c r="A5086" s="26">
        <f>IFERROR(__xludf.DUMMYFUNCTION("""COMPUTED_VALUE"""),7864.0)</f>
        <v>7864</v>
      </c>
      <c r="B5086" s="22" t="str">
        <f>IFERROR(__xludf.DUMMYFUNCTION("""COMPUTED_VALUE"""),"確定")</f>
        <v>確定</v>
      </c>
      <c r="C5086" s="28">
        <f>IFERROR(__xludf.DUMMYFUNCTION("""COMPUTED_VALUE"""),46132.0)</f>
        <v>46132</v>
      </c>
      <c r="D5086" s="28">
        <f>IFERROR(__xludf.DUMMYFUNCTION("""COMPUTED_VALUE"""),46133.0)</f>
        <v>46133</v>
      </c>
      <c r="E5086" s="26">
        <f>IFERROR(__xludf.DUMMYFUNCTION("""COMPUTED_VALUE"""),362209.0)</f>
        <v>362209</v>
      </c>
      <c r="F5086" s="22" t="str">
        <f>IFERROR(__xludf.DUMMYFUNCTION("""COMPUTED_VALUE"""),"異世界転生旅行代理店【タテヨミ】")</f>
        <v>異世界転生旅行代理店【タテヨミ】</v>
      </c>
      <c r="G5086" s="20" t="str">
        <f>IFERROR(__xludf.DUMMYFUNCTION("""COMPUTED_VALUE"""),"1～10")</f>
        <v>1～10</v>
      </c>
      <c r="H5086" s="22" t="str">
        <f>IFERROR(__xludf.DUMMYFUNCTION("""COMPUTED_VALUE"""),"あかほりさとる/水木シュウ/アカマツリョウ")</f>
        <v>あかほりさとる/水木シュウ/アカマツリョウ</v>
      </c>
      <c r="I5086" s="22" t="str">
        <f>IFERROR(__xludf.DUMMYFUNCTION("""COMPUTED_VALUE"""),"青年")</f>
        <v>青年</v>
      </c>
      <c r="J5086" s="22"/>
      <c r="K5086" s="22" t="str">
        <f>IFERROR(__xludf.DUMMYFUNCTION("""COMPUTED_VALUE"""),"マンガPark")</f>
        <v>マンガPark</v>
      </c>
      <c r="L5086" s="22" t="str">
        <f>IFERROR(__xludf.DUMMYFUNCTION("""COMPUTED_VALUE"""),"白泉社")</f>
        <v>白泉社</v>
      </c>
      <c r="M5086" s="33">
        <f>IFERROR(__xludf.DUMMYFUNCTION("""COMPUTED_VALUE"""),46186.0)</f>
        <v>46186</v>
      </c>
      <c r="N5086" s="33">
        <f>IFERROR(__xludf.DUMMYFUNCTION("""COMPUTED_VALUE"""),46241.0)</f>
        <v>46241</v>
      </c>
      <c r="O5086" s="20"/>
      <c r="P5086" s="32" t="str">
        <f>IFERROR(__xludf.DUMMYFUNCTION("""COMPUTED_VALUE"""),"可")</f>
        <v>可</v>
      </c>
      <c r="Q5086" s="30"/>
      <c r="R5086" s="22"/>
      <c r="S5086" s="22" t="str">
        <f>IFERROR(__xludf.DUMMYFUNCTION("""COMPUTED_VALUE"""),"20260421_白泉社_異世界転生旅行代理店")</f>
        <v>20260421_白泉社_異世界転生旅行代理店</v>
      </c>
      <c r="T5086" s="22" t="str">
        <f>IFERROR(__xludf.DUMMYFUNCTION("""COMPUTED_VALUE"""),"格納済み")</f>
        <v>格納済み</v>
      </c>
      <c r="U5086" s="9" t="str">
        <f>IFERROR(__xludf.DUMMYFUNCTION("""COMPUTED_VALUE"""),"Ⓒあかほりさとる・水木シュウ・アカマツリョウ／白泉社")</f>
        <v>Ⓒあかほりさとる・水木シュウ・アカマツリョウ／白泉社</v>
      </c>
      <c r="V5086" s="8"/>
      <c r="W5086" s="8"/>
      <c r="X5086" s="8" t="str">
        <f>IFERROR(__xludf.DUMMYFUNCTION("""COMPUTED_VALUE"""),"有")</f>
        <v>有</v>
      </c>
      <c r="Y5086" s="8" t="str">
        <f>IFERROR(__xludf.DUMMYFUNCTION("""COMPUTED_VALUE"""),"1～2巻永久無料
2026/6/26まで3～5巻無料")</f>
        <v>1～2巻永久無料
2026/6/26まで3～5巻無料</v>
      </c>
      <c r="Z5086" s="7"/>
      <c r="AA5086" s="7"/>
      <c r="AB5086" s="7"/>
    </row>
    <row r="5087" ht="15.75" customHeight="1">
      <c r="A5087" s="26">
        <f>IFERROR(__xludf.DUMMYFUNCTION("""COMPUTED_VALUE"""),7871.0)</f>
        <v>7871</v>
      </c>
      <c r="B5087" s="22" t="str">
        <f>IFERROR(__xludf.DUMMYFUNCTION("""COMPUTED_VALUE"""),"確定")</f>
        <v>確定</v>
      </c>
      <c r="C5087" s="28">
        <f>IFERROR(__xludf.DUMMYFUNCTION("""COMPUTED_VALUE"""),46132.0)</f>
        <v>46132</v>
      </c>
      <c r="D5087" s="28">
        <f>IFERROR(__xludf.DUMMYFUNCTION("""COMPUTED_VALUE"""),46156.0)</f>
        <v>46156</v>
      </c>
      <c r="E5087" s="26">
        <f>IFERROR(__xludf.DUMMYFUNCTION("""COMPUTED_VALUE"""),362311.0)</f>
        <v>362311</v>
      </c>
      <c r="F5087" s="22" t="str">
        <f>IFERROR(__xludf.DUMMYFUNCTION("""COMPUTED_VALUE"""),"我がままな双子の妹にすべてを奪われた姉ですが、むしろ本望です！～第二の人生は愛するグルメともふもふに囲まれて楽しく暮らします～【分冊版】")</f>
        <v>我がままな双子の妹にすべてを奪われた姉ですが、むしろ本望です！～第二の人生は愛するグルメともふもふに囲まれて楽しく暮らします～【分冊版】</v>
      </c>
      <c r="G5087" s="20" t="str">
        <f>IFERROR(__xludf.DUMMYFUNCTION("""COMPUTED_VALUE"""),"1~4")</f>
        <v>1~4</v>
      </c>
      <c r="H5087" s="22" t="str">
        <f>IFERROR(__xludf.DUMMYFUNCTION("""COMPUTED_VALUE"""),"原作/上下左右 作画/カミタニミキ キャラクター原案/雪子")</f>
        <v>原作/上下左右 作画/カミタニミキ キャラクター原案/雪子</v>
      </c>
      <c r="I5087" s="22" t="str">
        <f>IFERROR(__xludf.DUMMYFUNCTION("""COMPUTED_VALUE"""),"少女")</f>
        <v>少女</v>
      </c>
      <c r="J5087" s="22"/>
      <c r="K5087" s="22"/>
      <c r="L5087" s="22" t="str">
        <f>IFERROR(__xludf.DUMMYFUNCTION("""COMPUTED_VALUE"""),"スクウェア・エニックス")</f>
        <v>スクウェア・エニックス</v>
      </c>
      <c r="M5087" s="33">
        <f>IFERROR(__xludf.DUMMYFUNCTION("""COMPUTED_VALUE"""),46174.0)</f>
        <v>46174</v>
      </c>
      <c r="N5087" s="33">
        <f>IFERROR(__xludf.DUMMYFUNCTION("""COMPUTED_VALUE"""),46203.0)</f>
        <v>46203</v>
      </c>
      <c r="O5087" s="20"/>
      <c r="P5087" s="32" t="str">
        <f>IFERROR(__xludf.DUMMYFUNCTION("""COMPUTED_VALUE"""),"否")</f>
        <v>否</v>
      </c>
      <c r="Q5087" s="30"/>
      <c r="R5087" s="22"/>
      <c r="S5087" s="22" t="str">
        <f>IFERROR(__xludf.DUMMYFUNCTION("""COMPUTED_VALUE"""),"20260408_スクウェア・エニックス_我がままな双子の妹にすべてを奪われた姉ですが、むしろ本望です！～第二の人生は愛するグルメともふもふに囲まれて楽しく暮らします～1")</f>
        <v>20260408_スクウェア・エニックス_我がままな双子の妹にすべてを奪われた姉ですが、むしろ本望です！～第二の人生は愛するグルメともふもふに囲まれて楽しく暮らします～1</v>
      </c>
      <c r="T5087" s="22" t="str">
        <f>IFERROR(__xludf.DUMMYFUNCTION("""COMPUTED_VALUE"""),"格納済み")</f>
        <v>格納済み</v>
      </c>
      <c r="U5087" s="9" t="str">
        <f>IFERROR(__xludf.DUMMYFUNCTION("""COMPUTED_VALUE"""),"(C)Zyougesayuu (C)Miki Kamitani/SQUARE ENIX")</f>
        <v>(C)Zyougesayuu (C)Miki Kamitani/SQUARE ENIX</v>
      </c>
      <c r="V5087" s="8"/>
      <c r="W5087" s="8"/>
      <c r="X5087" s="8"/>
      <c r="Y5087" s="8"/>
      <c r="Z5087" s="7"/>
      <c r="AA5087" s="7"/>
      <c r="AB5087" s="7"/>
    </row>
    <row r="5088" ht="15.75" customHeight="1">
      <c r="A5088" s="26">
        <f>IFERROR(__xludf.DUMMYFUNCTION("""COMPUTED_VALUE"""),7875.0)</f>
        <v>7875</v>
      </c>
      <c r="B5088" s="22" t="str">
        <f>IFERROR(__xludf.DUMMYFUNCTION("""COMPUTED_VALUE"""),"確定")</f>
        <v>確定</v>
      </c>
      <c r="C5088" s="28">
        <f>IFERROR(__xludf.DUMMYFUNCTION("""COMPUTED_VALUE"""),46132.0)</f>
        <v>46132</v>
      </c>
      <c r="D5088" s="28">
        <f>IFERROR(__xludf.DUMMYFUNCTION("""COMPUTED_VALUE"""),46133.0)</f>
        <v>46133</v>
      </c>
      <c r="E5088" s="26">
        <f>IFERROR(__xludf.DUMMYFUNCTION("""COMPUTED_VALUE"""),360066.0)</f>
        <v>360066</v>
      </c>
      <c r="F5088" s="22" t="str">
        <f>IFERROR(__xludf.DUMMYFUNCTION("""COMPUTED_VALUE"""),"愛されないとわかっていても～捨てられ王女は黒騎士の激重執愛に囚われる～")</f>
        <v>愛されないとわかっていても～捨てられ王女は黒騎士の激重執愛に囚われる～</v>
      </c>
      <c r="G5088" s="20" t="str">
        <f>IFERROR(__xludf.DUMMYFUNCTION("""COMPUTED_VALUE"""),"1～3")</f>
        <v>1～3</v>
      </c>
      <c r="H5088" s="22" t="str">
        <f>IFERROR(__xludf.DUMMYFUNCTION("""COMPUTED_VALUE"""),"岩華すもも/浅岸久/comic スピラ/蜂不二子")</f>
        <v>岩華すもも/浅岸久/comic スピラ/蜂不二子</v>
      </c>
      <c r="I5088" s="22" t="str">
        <f>IFERROR(__xludf.DUMMYFUNCTION("""COMPUTED_VALUE"""),"少女")</f>
        <v>少女</v>
      </c>
      <c r="J5088" s="22"/>
      <c r="K5088" s="22"/>
      <c r="L5088" s="22" t="str">
        <f>IFERROR(__xludf.DUMMYFUNCTION("""COMPUTED_VALUE"""),"ファンギルド")</f>
        <v>ファンギルド</v>
      </c>
      <c r="M5088" s="33">
        <f>IFERROR(__xludf.DUMMYFUNCTION("""COMPUTED_VALUE"""),46177.0)</f>
        <v>46177</v>
      </c>
      <c r="N5088" s="33">
        <f>IFERROR(__xludf.DUMMYFUNCTION("""COMPUTED_VALUE"""),46239.0)</f>
        <v>46239</v>
      </c>
      <c r="O5088" s="20"/>
      <c r="P5088" s="32" t="str">
        <f>IFERROR(__xludf.DUMMYFUNCTION("""COMPUTED_VALUE"""),"可")</f>
        <v>可</v>
      </c>
      <c r="Q5088" s="30"/>
      <c r="R5088" s="22"/>
      <c r="S5088" s="22" t="str">
        <f>IFERROR(__xludf.DUMMYFUNCTION("""COMPUTED_VALUE"""),"20260421_ファンギルド_愛されないとわかっていても～捨てられ王女は黒騎士の激重執愛に囚われる～")</f>
        <v>20260421_ファンギルド_愛されないとわかっていても～捨てられ王女は黒騎士の激重執愛に囚われる～</v>
      </c>
      <c r="T5088" s="22" t="str">
        <f>IFERROR(__xludf.DUMMYFUNCTION("""COMPUTED_VALUE"""),"格納済み")</f>
        <v>格納済み</v>
      </c>
      <c r="U5088" s="9" t="str">
        <f>IFERROR(__xludf.DUMMYFUNCTION("""COMPUTED_VALUE"""),"Ⓒ岩華すもも/浅岸久/comic スピラ/蜂不二子/ファンギルド")</f>
        <v>Ⓒ岩華すもも/浅岸久/comic スピラ/蜂不二子/ファンギルド</v>
      </c>
      <c r="V5088" s="8"/>
      <c r="W5088" s="8"/>
      <c r="X5088" s="8" t="str">
        <f>IFERROR(__xludf.DUMMYFUNCTION("""COMPUTED_VALUE"""),"有")</f>
        <v>有</v>
      </c>
      <c r="Y5088" s="8" t="str">
        <f>IFERROR(__xludf.DUMMYFUNCTION("""COMPUTED_VALUE"""),"2026/6/17まで1巻無料")</f>
        <v>2026/6/17まで1巻無料</v>
      </c>
      <c r="Z5088" s="7"/>
      <c r="AA5088" s="7"/>
      <c r="AB5088" s="7"/>
    </row>
    <row r="5089" ht="15.75" customHeight="1">
      <c r="A5089" s="26">
        <f>IFERROR(__xludf.DUMMYFUNCTION("""COMPUTED_VALUE"""),7876.0)</f>
        <v>7876</v>
      </c>
      <c r="B5089" s="22" t="str">
        <f>IFERROR(__xludf.DUMMYFUNCTION("""COMPUTED_VALUE"""),"確定")</f>
        <v>確定</v>
      </c>
      <c r="C5089" s="28">
        <f>IFERROR(__xludf.DUMMYFUNCTION("""COMPUTED_VALUE"""),46132.0)</f>
        <v>46132</v>
      </c>
      <c r="D5089" s="28">
        <f>IFERROR(__xludf.DUMMYFUNCTION("""COMPUTED_VALUE"""),46133.0)</f>
        <v>46133</v>
      </c>
      <c r="E5089" s="26">
        <f>IFERROR(__xludf.DUMMYFUNCTION("""COMPUTED_VALUE"""),360064.0)</f>
        <v>360064</v>
      </c>
      <c r="F5089" s="22" t="str">
        <f>IFERROR(__xludf.DUMMYFUNCTION("""COMPUTED_VALUE"""),"この絵には裏がある")</f>
        <v>この絵には裏がある</v>
      </c>
      <c r="G5089" s="20" t="str">
        <f>IFERROR(__xludf.DUMMYFUNCTION("""COMPUTED_VALUE"""),"1~4")</f>
        <v>1~4</v>
      </c>
      <c r="H5089" s="22" t="str">
        <f>IFERROR(__xludf.DUMMYFUNCTION("""COMPUTED_VALUE"""),"樹生ナト／大塩哲史")</f>
        <v>樹生ナト／大塩哲史</v>
      </c>
      <c r="I5089" s="22" t="str">
        <f>IFERROR(__xludf.DUMMYFUNCTION("""COMPUTED_VALUE"""),"青年")</f>
        <v>青年</v>
      </c>
      <c r="J5089" s="22"/>
      <c r="K5089" s="22"/>
      <c r="L5089" s="22" t="str">
        <f>IFERROR(__xludf.DUMMYFUNCTION("""COMPUTED_VALUE"""),"ファンギルド")</f>
        <v>ファンギルド</v>
      </c>
      <c r="M5089" s="33">
        <f>IFERROR(__xludf.DUMMYFUNCTION("""COMPUTED_VALUE"""),46186.0)</f>
        <v>46186</v>
      </c>
      <c r="N5089" s="33">
        <f>IFERROR(__xludf.DUMMYFUNCTION("""COMPUTED_VALUE"""),46276.66666666667)</f>
        <v>46276.66667</v>
      </c>
      <c r="O5089" s="20"/>
      <c r="P5089" s="32" t="str">
        <f>IFERROR(__xludf.DUMMYFUNCTION("""COMPUTED_VALUE"""),"可")</f>
        <v>可</v>
      </c>
      <c r="Q5089" s="30"/>
      <c r="R5089" s="22"/>
      <c r="S5089" s="22" t="str">
        <f>IFERROR(__xludf.DUMMYFUNCTION("""COMPUTED_VALUE"""),"20260420_ファンギルド_この絵には裏がある")</f>
        <v>20260420_ファンギルド_この絵には裏がある</v>
      </c>
      <c r="T5089" s="22" t="str">
        <f>IFERROR(__xludf.DUMMYFUNCTION("""COMPUTED_VALUE"""),"格納済み")</f>
        <v>格納済み</v>
      </c>
      <c r="U5089" s="9" t="str">
        <f>IFERROR(__xludf.DUMMYFUNCTION("""COMPUTED_VALUE"""),"Ⓒ樹生ナト/大塩哲史/ファンギルド")</f>
        <v>Ⓒ樹生ナト/大塩哲史/ファンギルド</v>
      </c>
      <c r="V5089" s="8"/>
      <c r="W5089" s="8"/>
      <c r="X5089" s="8" t="str">
        <f>IFERROR(__xludf.DUMMYFUNCTION("""COMPUTED_VALUE"""),"有")</f>
        <v>有</v>
      </c>
      <c r="Y5089" s="8" t="str">
        <f>IFERROR(__xludf.DUMMYFUNCTION("""COMPUTED_VALUE"""),"2026/6/26まで1巻無料")</f>
        <v>2026/6/26まで1巻無料</v>
      </c>
      <c r="Z5089" s="7"/>
      <c r="AA5089" s="7"/>
      <c r="AB5089" s="7"/>
    </row>
    <row r="5090" ht="15.75" customHeight="1">
      <c r="A5090" s="26">
        <f>IFERROR(__xludf.DUMMYFUNCTION("""COMPUTED_VALUE"""),7877.0)</f>
        <v>7877</v>
      </c>
      <c r="B5090" s="22" t="str">
        <f>IFERROR(__xludf.DUMMYFUNCTION("""COMPUTED_VALUE"""),"確定")</f>
        <v>確定</v>
      </c>
      <c r="C5090" s="28">
        <f>IFERROR(__xludf.DUMMYFUNCTION("""COMPUTED_VALUE"""),46132.0)</f>
        <v>46132</v>
      </c>
      <c r="D5090" s="28">
        <f>IFERROR(__xludf.DUMMYFUNCTION("""COMPUTED_VALUE"""),46133.0)</f>
        <v>46133</v>
      </c>
      <c r="E5090" s="26">
        <f>IFERROR(__xludf.DUMMYFUNCTION("""COMPUTED_VALUE"""),360062.0)</f>
        <v>360062</v>
      </c>
      <c r="F5090" s="22" t="str">
        <f>IFERROR(__xludf.DUMMYFUNCTION("""COMPUTED_VALUE"""),"フェイク～映された真実を見落とすな～")</f>
        <v>フェイク～映された真実を見落とすな～</v>
      </c>
      <c r="G5090" s="20" t="str">
        <f>IFERROR(__xludf.DUMMYFUNCTION("""COMPUTED_VALUE"""),"1~4")</f>
        <v>1~4</v>
      </c>
      <c r="H5090" s="22" t="str">
        <f>IFERROR(__xludf.DUMMYFUNCTION("""COMPUTED_VALUE"""),"猫かりんとう/石川北ニ")</f>
        <v>猫かりんとう/石川北ニ</v>
      </c>
      <c r="I5090" s="22" t="str">
        <f>IFERROR(__xludf.DUMMYFUNCTION("""COMPUTED_VALUE"""),"青年")</f>
        <v>青年</v>
      </c>
      <c r="J5090" s="22"/>
      <c r="K5090" s="22"/>
      <c r="L5090" s="22" t="str">
        <f>IFERROR(__xludf.DUMMYFUNCTION("""COMPUTED_VALUE"""),"ファンギルド")</f>
        <v>ファンギルド</v>
      </c>
      <c r="M5090" s="33">
        <f>IFERROR(__xludf.DUMMYFUNCTION("""COMPUTED_VALUE"""),46165.0)</f>
        <v>46165</v>
      </c>
      <c r="N5090" s="33">
        <f>IFERROR(__xludf.DUMMYFUNCTION("""COMPUTED_VALUE"""),46227.0)</f>
        <v>46227</v>
      </c>
      <c r="O5090" s="20"/>
      <c r="P5090" s="32" t="str">
        <f>IFERROR(__xludf.DUMMYFUNCTION("""COMPUTED_VALUE"""),"可")</f>
        <v>可</v>
      </c>
      <c r="Q5090" s="30" t="str">
        <f>IFERROR(__xludf.DUMMYFUNCTION("""COMPUTED_VALUE"""),"4巻素材は後日共有のため1~3巻で広告制作お願いいたします。")</f>
        <v>4巻素材は後日共有のため1~3巻で広告制作お願いいたします。</v>
      </c>
      <c r="R5090" s="22"/>
      <c r="S5090" s="22" t="str">
        <f>IFERROR(__xludf.DUMMYFUNCTION("""COMPUTED_VALUE"""),"20260420_ファンギルド_フェイク～映された真実を見落とすな～")</f>
        <v>20260420_ファンギルド_フェイク～映された真実を見落とすな～</v>
      </c>
      <c r="T5090" s="22" t="str">
        <f>IFERROR(__xludf.DUMMYFUNCTION("""COMPUTED_VALUE"""),"格納済み")</f>
        <v>格納済み</v>
      </c>
      <c r="U5090" s="9" t="str">
        <f>IFERROR(__xludf.DUMMYFUNCTION("""COMPUTED_VALUE"""),"Ⓒ猫かりんとう/石川北ニ/ファンギルド")</f>
        <v>Ⓒ猫かりんとう/石川北ニ/ファンギルド</v>
      </c>
      <c r="V5090" s="8"/>
      <c r="W5090" s="8"/>
      <c r="X5090" s="8" t="str">
        <f>IFERROR(__xludf.DUMMYFUNCTION("""COMPUTED_VALUE"""),"有")</f>
        <v>有</v>
      </c>
      <c r="Y5090" s="8" t="str">
        <f>IFERROR(__xludf.DUMMYFUNCTION("""COMPUTED_VALUE"""),"2026/6/5まで1巻無料")</f>
        <v>2026/6/5まで1巻無料</v>
      </c>
      <c r="Z5090" s="7"/>
      <c r="AA5090" s="7"/>
      <c r="AB5090" s="7"/>
    </row>
    <row r="5091" ht="15.75" customHeight="1">
      <c r="A5091" s="26">
        <f>IFERROR(__xludf.DUMMYFUNCTION("""COMPUTED_VALUE"""),7878.0)</f>
        <v>7878</v>
      </c>
      <c r="B5091" s="22" t="str">
        <f>IFERROR(__xludf.DUMMYFUNCTION("""COMPUTED_VALUE"""),"確定")</f>
        <v>確定</v>
      </c>
      <c r="C5091" s="28">
        <f>IFERROR(__xludf.DUMMYFUNCTION("""COMPUTED_VALUE"""),46132.0)</f>
        <v>46132</v>
      </c>
      <c r="D5091" s="28">
        <f>IFERROR(__xludf.DUMMYFUNCTION("""COMPUTED_VALUE"""),46133.0)</f>
        <v>46133</v>
      </c>
      <c r="E5091" s="26">
        <f>IFERROR(__xludf.DUMMYFUNCTION("""COMPUTED_VALUE"""),360063.0)</f>
        <v>360063</v>
      </c>
      <c r="F5091" s="22" t="str">
        <f>IFERROR(__xludf.DUMMYFUNCTION("""COMPUTED_VALUE"""),"クールな理人さんは私にだけ愛が重い")</f>
        <v>クールな理人さんは私にだけ愛が重い</v>
      </c>
      <c r="G5091" s="20" t="str">
        <f>IFERROR(__xludf.DUMMYFUNCTION("""COMPUTED_VALUE"""),"1~4")</f>
        <v>1~4</v>
      </c>
      <c r="H5091" s="22" t="str">
        <f>IFERROR(__xludf.DUMMYFUNCTION("""COMPUTED_VALUE"""),"あやあや")</f>
        <v>あやあや</v>
      </c>
      <c r="I5091" s="22" t="str">
        <f>IFERROR(__xludf.DUMMYFUNCTION("""COMPUTED_VALUE"""),"女性")</f>
        <v>女性</v>
      </c>
      <c r="J5091" s="22"/>
      <c r="K5091" s="22"/>
      <c r="L5091" s="22" t="str">
        <f>IFERROR(__xludf.DUMMYFUNCTION("""COMPUTED_VALUE"""),"ファンギルド")</f>
        <v>ファンギルド</v>
      </c>
      <c r="M5091" s="33">
        <f>IFERROR(__xludf.DUMMYFUNCTION("""COMPUTED_VALUE"""),46169.0)</f>
        <v>46169</v>
      </c>
      <c r="N5091" s="33">
        <f>IFERROR(__xludf.DUMMYFUNCTION("""COMPUTED_VALUE"""),46196.0)</f>
        <v>46196</v>
      </c>
      <c r="O5091" s="20"/>
      <c r="P5091" s="32" t="str">
        <f>IFERROR(__xludf.DUMMYFUNCTION("""COMPUTED_VALUE"""),"可")</f>
        <v>可</v>
      </c>
      <c r="Q5091" s="30"/>
      <c r="R5091" s="22"/>
      <c r="S5091" s="22" t="str">
        <f>IFERROR(__xludf.DUMMYFUNCTION("""COMPUTED_VALUE"""),"20260420_ファンギルド_クールな理人さんは私にだけ愛が重い")</f>
        <v>20260420_ファンギルド_クールな理人さんは私にだけ愛が重い</v>
      </c>
      <c r="T5091" s="22" t="str">
        <f>IFERROR(__xludf.DUMMYFUNCTION("""COMPUTED_VALUE"""),"格納済み")</f>
        <v>格納済み</v>
      </c>
      <c r="U5091" s="9" t="str">
        <f>IFERROR(__xludf.DUMMYFUNCTION("""COMPUTED_VALUE"""),"Ⓒあやあや/ファンギルド")</f>
        <v>Ⓒあやあや/ファンギルド</v>
      </c>
      <c r="V5091" s="8"/>
      <c r="W5091" s="8"/>
      <c r="X5091" s="8" t="str">
        <f>IFERROR(__xludf.DUMMYFUNCTION("""COMPUTED_VALUE"""),"有")</f>
        <v>有</v>
      </c>
      <c r="Y5091" s="8" t="str">
        <f>IFERROR(__xludf.DUMMYFUNCTION("""COMPUTED_VALUE"""),"2026/6/9まで１巻無料")</f>
        <v>2026/6/9まで１巻無料</v>
      </c>
      <c r="Z5091" s="7"/>
      <c r="AA5091" s="7"/>
      <c r="AB5091" s="7"/>
    </row>
    <row r="5092" ht="15.75" customHeight="1">
      <c r="A5092" s="26">
        <f>IFERROR(__xludf.DUMMYFUNCTION("""COMPUTED_VALUE"""),7879.0)</f>
        <v>7879</v>
      </c>
      <c r="B5092" s="22" t="str">
        <f>IFERROR(__xludf.DUMMYFUNCTION("""COMPUTED_VALUE"""),"確定")</f>
        <v>確定</v>
      </c>
      <c r="C5092" s="28">
        <f>IFERROR(__xludf.DUMMYFUNCTION("""COMPUTED_VALUE"""),46132.0)</f>
        <v>46132</v>
      </c>
      <c r="D5092" s="28">
        <f>IFERROR(__xludf.DUMMYFUNCTION("""COMPUTED_VALUE"""),46133.0)</f>
        <v>46133</v>
      </c>
      <c r="E5092" s="26">
        <f>IFERROR(__xludf.DUMMYFUNCTION("""COMPUTED_VALUE"""),360426.0)</f>
        <v>360426</v>
      </c>
      <c r="F5092" s="22" t="str">
        <f>IFERROR(__xludf.DUMMYFUNCTION("""COMPUTED_VALUE"""),"殿下！そこは舐めてイイところじゃありません！ ～悪役令嬢に転生したけど元潔癖症の王子に溺愛されてます～")</f>
        <v>殿下！そこは舐めてイイところじゃありません！ ～悪役令嬢に転生したけど元潔癖症の王子に溺愛されてます～</v>
      </c>
      <c r="G5092" s="20">
        <f>IFERROR(__xludf.DUMMYFUNCTION("""COMPUTED_VALUE"""),1.0)</f>
        <v>1</v>
      </c>
      <c r="H5092" s="22" t="str">
        <f>IFERROR(__xludf.DUMMYFUNCTION("""COMPUTED_VALUE"""),"甘野まよ/茅野ガク")</f>
        <v>甘野まよ/茅野ガク</v>
      </c>
      <c r="I5092" s="22" t="str">
        <f>IFERROR(__xludf.DUMMYFUNCTION("""COMPUTED_VALUE"""),"TL")</f>
        <v>TL</v>
      </c>
      <c r="J5092" s="22"/>
      <c r="K5092" s="22" t="str">
        <f>IFERROR(__xludf.DUMMYFUNCTION("""COMPUTED_VALUE"""),"ラブきゅんコミック")</f>
        <v>ラブきゅんコミック</v>
      </c>
      <c r="L5092" s="22" t="str">
        <f>IFERROR(__xludf.DUMMYFUNCTION("""COMPUTED_VALUE"""),"モバイルメディアリサーチ")</f>
        <v>モバイルメディアリサーチ</v>
      </c>
      <c r="M5092" s="33">
        <f>IFERROR(__xludf.DUMMYFUNCTION("""COMPUTED_VALUE"""),46179.0)</f>
        <v>46179</v>
      </c>
      <c r="N5092" s="33">
        <f>IFERROR(__xludf.DUMMYFUNCTION("""COMPUTED_VALUE"""),46206.0)</f>
        <v>46206</v>
      </c>
      <c r="O5092" s="20"/>
      <c r="P5092" s="32" t="str">
        <f>IFERROR(__xludf.DUMMYFUNCTION("""COMPUTED_VALUE"""),"可")</f>
        <v>可</v>
      </c>
      <c r="Q5092" s="30"/>
      <c r="R5092" s="22"/>
      <c r="S5092" s="22" t="str">
        <f>IFERROR(__xludf.DUMMYFUNCTION("""COMPUTED_VALUE"""),"20260420_ファンギルド_殿下そこは")</f>
        <v>20260420_ファンギルド_殿下そこは</v>
      </c>
      <c r="T5092" s="22" t="str">
        <f>IFERROR(__xludf.DUMMYFUNCTION("""COMPUTED_VALUE"""),"格納済み")</f>
        <v>格納済み</v>
      </c>
      <c r="U5092" s="9" t="str">
        <f>IFERROR(__xludf.DUMMYFUNCTION("""COMPUTED_VALUE"""),"Ⓒ甘野まよ/茅野ガク/モバイルメディアリサーチ")</f>
        <v>Ⓒ甘野まよ/茅野ガク/モバイルメディアリサーチ</v>
      </c>
      <c r="V5092" s="8"/>
      <c r="W5092" s="8"/>
      <c r="X5092" s="8" t="str">
        <f>IFERROR(__xludf.DUMMYFUNCTION("""COMPUTED_VALUE"""),"有")</f>
        <v>有</v>
      </c>
      <c r="Y5092" s="8" t="str">
        <f>IFERROR(__xludf.DUMMYFUNCTION("""COMPUTED_VALUE"""),"2026/6/19までp21まで立ち読み増量")</f>
        <v>2026/6/19までp21まで立ち読み増量</v>
      </c>
      <c r="Z5092" s="7"/>
      <c r="AA5092" s="7"/>
      <c r="AB5092" s="7"/>
    </row>
    <row r="5093" ht="15.75" customHeight="1">
      <c r="A5093" s="26">
        <f>IFERROR(__xludf.DUMMYFUNCTION("""COMPUTED_VALUE"""),7880.0)</f>
        <v>7880</v>
      </c>
      <c r="B5093" s="22" t="str">
        <f>IFERROR(__xludf.DUMMYFUNCTION("""COMPUTED_VALUE"""),"確定")</f>
        <v>確定</v>
      </c>
      <c r="C5093" s="28">
        <f>IFERROR(__xludf.DUMMYFUNCTION("""COMPUTED_VALUE"""),46132.0)</f>
        <v>46132</v>
      </c>
      <c r="D5093" s="28">
        <f>IFERROR(__xludf.DUMMYFUNCTION("""COMPUTED_VALUE"""),46133.0)</f>
        <v>46133</v>
      </c>
      <c r="E5093" s="26">
        <f>IFERROR(__xludf.DUMMYFUNCTION("""COMPUTED_VALUE"""),360425.0)</f>
        <v>360425</v>
      </c>
      <c r="F5093" s="22" t="str">
        <f>IFERROR(__xludf.DUMMYFUNCTION("""COMPUTED_VALUE"""),"隣国の姫君に脅されて媚薬を作ったら、絶倫執着王子ができました")</f>
        <v>隣国の姫君に脅されて媚薬を作ったら、絶倫執着王子ができました</v>
      </c>
      <c r="G5093" s="20" t="str">
        <f>IFERROR(__xludf.DUMMYFUNCTION("""COMPUTED_VALUE"""),"1～2")</f>
        <v>1～2</v>
      </c>
      <c r="H5093" s="22" t="str">
        <f>IFERROR(__xludf.DUMMYFUNCTION("""COMPUTED_VALUE"""),"白詰はる/月白セブン")</f>
        <v>白詰はる/月白セブン</v>
      </c>
      <c r="I5093" s="22" t="str">
        <f>IFERROR(__xludf.DUMMYFUNCTION("""COMPUTED_VALUE"""),"TL")</f>
        <v>TL</v>
      </c>
      <c r="J5093" s="22"/>
      <c r="K5093" s="22" t="str">
        <f>IFERROR(__xludf.DUMMYFUNCTION("""COMPUTED_VALUE"""),"ラブきゅんコミック")</f>
        <v>ラブきゅんコミック</v>
      </c>
      <c r="L5093" s="22" t="str">
        <f>IFERROR(__xludf.DUMMYFUNCTION("""COMPUTED_VALUE"""),"モバイルメディアリサーチ")</f>
        <v>モバイルメディアリサーチ</v>
      </c>
      <c r="M5093" s="33">
        <f>IFERROR(__xludf.DUMMYFUNCTION("""COMPUTED_VALUE"""),46179.0)</f>
        <v>46179</v>
      </c>
      <c r="N5093" s="33">
        <f>IFERROR(__xludf.DUMMYFUNCTION("""COMPUTED_VALUE"""),46206.0)</f>
        <v>46206</v>
      </c>
      <c r="O5093" s="20" t="str">
        <f>IFERROR(__xludf.DUMMYFUNCTION("""COMPUTED_VALUE"""),"【アダルト作品扱い】")</f>
        <v>【アダルト作品扱い】</v>
      </c>
      <c r="P5093" s="32" t="str">
        <f>IFERROR(__xludf.DUMMYFUNCTION("""COMPUTED_VALUE"""),"可")</f>
        <v>可</v>
      </c>
      <c r="Q5093" s="30"/>
      <c r="R5093" s="22"/>
      <c r="S5093" s="22" t="str">
        <f>IFERROR(__xludf.DUMMYFUNCTION("""COMPUTED_VALUE"""),"20260420_ファンギルド_隣国の姫君に脅されて媚薬を作ったら、絶倫執着王子ができました")</f>
        <v>20260420_ファンギルド_隣国の姫君に脅されて媚薬を作ったら、絶倫執着王子ができました</v>
      </c>
      <c r="T5093" s="22" t="str">
        <f>IFERROR(__xludf.DUMMYFUNCTION("""COMPUTED_VALUE"""),"格納済み")</f>
        <v>格納済み</v>
      </c>
      <c r="U5093" s="9" t="str">
        <f>IFERROR(__xludf.DUMMYFUNCTION("""COMPUTED_VALUE"""),"Ⓒ白詰はる/月白セブン/モバイルメディアリサーチ")</f>
        <v>Ⓒ白詰はる/月白セブン/モバイルメディアリサーチ</v>
      </c>
      <c r="V5093" s="8"/>
      <c r="W5093" s="8"/>
      <c r="X5093" s="8" t="str">
        <f>IFERROR(__xludf.DUMMYFUNCTION("""COMPUTED_VALUE"""),"有")</f>
        <v>有</v>
      </c>
      <c r="Y5093" s="8" t="str">
        <f>IFERROR(__xludf.DUMMYFUNCTION("""COMPUTED_VALUE"""),"2026/6/19までp18まで立ち読み増量")</f>
        <v>2026/6/19までp18まで立ち読み増量</v>
      </c>
      <c r="Z5093" s="7"/>
      <c r="AA5093" s="7"/>
      <c r="AB5093" s="7"/>
    </row>
    <row r="5094" ht="15.75" customHeight="1">
      <c r="A5094" s="26">
        <f>IFERROR(__xludf.DUMMYFUNCTION("""COMPUTED_VALUE"""),7881.0)</f>
        <v>7881</v>
      </c>
      <c r="B5094" s="22" t="str">
        <f>IFERROR(__xludf.DUMMYFUNCTION("""COMPUTED_VALUE"""),"確定")</f>
        <v>確定</v>
      </c>
      <c r="C5094" s="28">
        <f>IFERROR(__xludf.DUMMYFUNCTION("""COMPUTED_VALUE"""),46132.0)</f>
        <v>46132</v>
      </c>
      <c r="D5094" s="28">
        <f>IFERROR(__xludf.DUMMYFUNCTION("""COMPUTED_VALUE"""),46133.0)</f>
        <v>46133</v>
      </c>
      <c r="E5094" s="26">
        <f>IFERROR(__xludf.DUMMYFUNCTION("""COMPUTED_VALUE"""),360060.0)</f>
        <v>360060</v>
      </c>
      <c r="F5094" s="22" t="str">
        <f>IFERROR(__xludf.DUMMYFUNCTION("""COMPUTED_VALUE"""),"溢れる愛欲を視た")</f>
        <v>溢れる愛欲を視た</v>
      </c>
      <c r="G5094" s="20" t="str">
        <f>IFERROR(__xludf.DUMMYFUNCTION("""COMPUTED_VALUE"""),"1～3")</f>
        <v>1～3</v>
      </c>
      <c r="H5094" s="22" t="str">
        <f>IFERROR(__xludf.DUMMYFUNCTION("""COMPUTED_VALUE"""),"ドミ/dding jini/Jagerbomb")</f>
        <v>ドミ/dding jini/Jagerbomb</v>
      </c>
      <c r="I5094" s="22" t="str">
        <f>IFERROR(__xludf.DUMMYFUNCTION("""COMPUTED_VALUE"""),"青年")</f>
        <v>青年</v>
      </c>
      <c r="J5094" s="22"/>
      <c r="K5094" s="22"/>
      <c r="L5094" s="22" t="str">
        <f>IFERROR(__xludf.DUMMYFUNCTION("""COMPUTED_VALUE"""),"Rush!")</f>
        <v>Rush!</v>
      </c>
      <c r="M5094" s="33">
        <f>IFERROR(__xludf.DUMMYFUNCTION("""COMPUTED_VALUE"""),46185.0)</f>
        <v>46185</v>
      </c>
      <c r="N5094" s="33">
        <f>IFERROR(__xludf.DUMMYFUNCTION("""COMPUTED_VALUE"""),46212.0)</f>
        <v>46212</v>
      </c>
      <c r="O5094" s="20" t="str">
        <f>IFERROR(__xludf.DUMMYFUNCTION("""COMPUTED_VALUE"""),"【アダルト作品扱い】")</f>
        <v>【アダルト作品扱い】</v>
      </c>
      <c r="P5094" s="32" t="str">
        <f>IFERROR(__xludf.DUMMYFUNCTION("""COMPUTED_VALUE"""),"可")</f>
        <v>可</v>
      </c>
      <c r="Q5094" s="30"/>
      <c r="R5094" s="22"/>
      <c r="S5094" s="22" t="str">
        <f>IFERROR(__xludf.DUMMYFUNCTION("""COMPUTED_VALUE"""),"20260420_ファンギルド_溢れる愛欲を視た")</f>
        <v>20260420_ファンギルド_溢れる愛欲を視た</v>
      </c>
      <c r="T5094" s="22" t="str">
        <f>IFERROR(__xludf.DUMMYFUNCTION("""COMPUTED_VALUE"""),"格納済み")</f>
        <v>格納済み</v>
      </c>
      <c r="U5094" s="9" t="str">
        <f>IFERROR(__xludf.DUMMYFUNCTION("""COMPUTED_VALUE"""),"Ⓒドミ/Jagerbomb/dding jini/TOPTOON")</f>
        <v>Ⓒドミ/Jagerbomb/dding jini/TOPTOON</v>
      </c>
      <c r="V5094" s="8"/>
      <c r="W5094" s="8"/>
      <c r="X5094" s="8" t="str">
        <f>IFERROR(__xludf.DUMMYFUNCTION("""COMPUTED_VALUE"""),"有")</f>
        <v>有</v>
      </c>
      <c r="Y5094" s="8" t="str">
        <f>IFERROR(__xludf.DUMMYFUNCTION("""COMPUTED_VALUE"""),"2026/7/9まで1巻無料")</f>
        <v>2026/7/9まで1巻無料</v>
      </c>
      <c r="Z5094" s="7"/>
      <c r="AA5094" s="7"/>
      <c r="AB5094" s="7"/>
    </row>
    <row r="5095" ht="15.75" customHeight="1">
      <c r="A5095" s="26">
        <f>IFERROR(__xludf.DUMMYFUNCTION("""COMPUTED_VALUE"""),7882.0)</f>
        <v>7882</v>
      </c>
      <c r="B5095" s="22" t="str">
        <f>IFERROR(__xludf.DUMMYFUNCTION("""COMPUTED_VALUE"""),"確定")</f>
        <v>確定</v>
      </c>
      <c r="C5095" s="28">
        <f>IFERROR(__xludf.DUMMYFUNCTION("""COMPUTED_VALUE"""),46132.0)</f>
        <v>46132</v>
      </c>
      <c r="D5095" s="28">
        <f>IFERROR(__xludf.DUMMYFUNCTION("""COMPUTED_VALUE"""),46133.0)</f>
        <v>46133</v>
      </c>
      <c r="E5095" s="26">
        <f>IFERROR(__xludf.DUMMYFUNCTION("""COMPUTED_VALUE"""),360059.0)</f>
        <v>360059</v>
      </c>
      <c r="F5095" s="22" t="str">
        <f>IFERROR(__xludf.DUMMYFUNCTION("""COMPUTED_VALUE"""),"開花島~悦楽の咲く村")</f>
        <v>開花島~悦楽の咲く村</v>
      </c>
      <c r="G5095" s="20" t="str">
        <f>IFERROR(__xludf.DUMMYFUNCTION("""COMPUTED_VALUE"""),"1～3")</f>
        <v>1～3</v>
      </c>
      <c r="H5095" s="22" t="str">
        <f>IFERROR(__xludf.DUMMYFUNCTION("""COMPUTED_VALUE"""),"Kimono/犬公")</f>
        <v>Kimono/犬公</v>
      </c>
      <c r="I5095" s="22" t="str">
        <f>IFERROR(__xludf.DUMMYFUNCTION("""COMPUTED_VALUE"""),"青年")</f>
        <v>青年</v>
      </c>
      <c r="J5095" s="22"/>
      <c r="K5095" s="22"/>
      <c r="L5095" s="22" t="str">
        <f>IFERROR(__xludf.DUMMYFUNCTION("""COMPUTED_VALUE"""),"Rush!")</f>
        <v>Rush!</v>
      </c>
      <c r="M5095" s="33">
        <f>IFERROR(__xludf.DUMMYFUNCTION("""COMPUTED_VALUE"""),46185.0)</f>
        <v>46185</v>
      </c>
      <c r="N5095" s="33">
        <f>IFERROR(__xludf.DUMMYFUNCTION("""COMPUTED_VALUE"""),46212.0)</f>
        <v>46212</v>
      </c>
      <c r="O5095" s="20" t="str">
        <f>IFERROR(__xludf.DUMMYFUNCTION("""COMPUTED_VALUE"""),"【アダルト作品扱い】")</f>
        <v>【アダルト作品扱い】</v>
      </c>
      <c r="P5095" s="32" t="str">
        <f>IFERROR(__xludf.DUMMYFUNCTION("""COMPUTED_VALUE"""),"可")</f>
        <v>可</v>
      </c>
      <c r="Q5095" s="30"/>
      <c r="R5095" s="22"/>
      <c r="S5095" s="22" t="str">
        <f>IFERROR(__xludf.DUMMYFUNCTION("""COMPUTED_VALUE"""),"20260420_ファンギルド_開花島~悦楽の咲く村")</f>
        <v>20260420_ファンギルド_開花島~悦楽の咲く村</v>
      </c>
      <c r="T5095" s="22" t="str">
        <f>IFERROR(__xludf.DUMMYFUNCTION("""COMPUTED_VALUE"""),"格納済み")</f>
        <v>格納済み</v>
      </c>
      <c r="U5095" s="9" t="str">
        <f>IFERROR(__xludf.DUMMYFUNCTION("""COMPUTED_VALUE"""),"ⒸKimono/犬公/TOPTOON")</f>
        <v>ⒸKimono/犬公/TOPTOON</v>
      </c>
      <c r="V5095" s="8"/>
      <c r="W5095" s="8"/>
      <c r="X5095" s="8" t="str">
        <f>IFERROR(__xludf.DUMMYFUNCTION("""COMPUTED_VALUE"""),"有")</f>
        <v>有</v>
      </c>
      <c r="Y5095" s="8" t="str">
        <f>IFERROR(__xludf.DUMMYFUNCTION("""COMPUTED_VALUE"""),"2026/7/9まで1巻無料")</f>
        <v>2026/7/9まで1巻無料</v>
      </c>
      <c r="Z5095" s="7"/>
      <c r="AA5095" s="7"/>
      <c r="AB5095" s="7"/>
    </row>
    <row r="5096" ht="15.75" customHeight="1">
      <c r="A5096" s="26">
        <f>IFERROR(__xludf.DUMMYFUNCTION("""COMPUTED_VALUE"""),7883.0)</f>
        <v>7883</v>
      </c>
      <c r="B5096" s="22" t="str">
        <f>IFERROR(__xludf.DUMMYFUNCTION("""COMPUTED_VALUE"""),"確定")</f>
        <v>確定</v>
      </c>
      <c r="C5096" s="28">
        <f>IFERROR(__xludf.DUMMYFUNCTION("""COMPUTED_VALUE"""),46132.0)</f>
        <v>46132</v>
      </c>
      <c r="D5096" s="28">
        <f>IFERROR(__xludf.DUMMYFUNCTION("""COMPUTED_VALUE"""),46133.0)</f>
        <v>46133</v>
      </c>
      <c r="E5096" s="26">
        <f>IFERROR(__xludf.DUMMYFUNCTION("""COMPUTED_VALUE"""),360065.0)</f>
        <v>360065</v>
      </c>
      <c r="F5096" s="22" t="str">
        <f>IFERROR(__xludf.DUMMYFUNCTION("""COMPUTED_VALUE"""),"お姉さんの夜")</f>
        <v>お姉さんの夜</v>
      </c>
      <c r="G5096" s="20" t="str">
        <f>IFERROR(__xludf.DUMMYFUNCTION("""COMPUTED_VALUE"""),"1～3")</f>
        <v>1～3</v>
      </c>
      <c r="H5096" s="22" t="str">
        <f>IFERROR(__xludf.DUMMYFUNCTION("""COMPUTED_VALUE"""),"カメノアシ/LEERUN")</f>
        <v>カメノアシ/LEERUN</v>
      </c>
      <c r="I5096" s="22" t="str">
        <f>IFERROR(__xludf.DUMMYFUNCTION("""COMPUTED_VALUE"""),"青年")</f>
        <v>青年</v>
      </c>
      <c r="J5096" s="22"/>
      <c r="K5096" s="22"/>
      <c r="L5096" s="22" t="str">
        <f>IFERROR(__xludf.DUMMYFUNCTION("""COMPUTED_VALUE"""),"Rush!")</f>
        <v>Rush!</v>
      </c>
      <c r="M5096" s="33">
        <f>IFERROR(__xludf.DUMMYFUNCTION("""COMPUTED_VALUE"""),46178.0)</f>
        <v>46178</v>
      </c>
      <c r="N5096" s="33">
        <f>IFERROR(__xludf.DUMMYFUNCTION("""COMPUTED_VALUE"""),46212.0)</f>
        <v>46212</v>
      </c>
      <c r="O5096" s="20" t="str">
        <f>IFERROR(__xludf.DUMMYFUNCTION("""COMPUTED_VALUE"""),"【アダルト作品扱い】")</f>
        <v>【アダルト作品扱い】</v>
      </c>
      <c r="P5096" s="32" t="str">
        <f>IFERROR(__xludf.DUMMYFUNCTION("""COMPUTED_VALUE"""),"可")</f>
        <v>可</v>
      </c>
      <c r="Q5096" s="30"/>
      <c r="R5096" s="22"/>
      <c r="S5096" s="22" t="str">
        <f>IFERROR(__xludf.DUMMYFUNCTION("""COMPUTED_VALUE"""),"20260420_ファンギルド_お姉さんの夜")</f>
        <v>20260420_ファンギルド_お姉さんの夜</v>
      </c>
      <c r="T5096" s="22" t="str">
        <f>IFERROR(__xludf.DUMMYFUNCTION("""COMPUTED_VALUE"""),"格納済み")</f>
        <v>格納済み</v>
      </c>
      <c r="U5096" s="9" t="str">
        <f>IFERROR(__xludf.DUMMYFUNCTION("""COMPUTED_VALUE"""),"ⒸLovefactory")</f>
        <v>ⒸLovefactory</v>
      </c>
      <c r="V5096" s="8"/>
      <c r="W5096" s="8"/>
      <c r="X5096" s="8" t="str">
        <f>IFERROR(__xludf.DUMMYFUNCTION("""COMPUTED_VALUE"""),"有")</f>
        <v>有</v>
      </c>
      <c r="Y5096" s="8" t="str">
        <f>IFERROR(__xludf.DUMMYFUNCTION("""COMPUTED_VALUE"""),"2026/6/18まで1巻無料")</f>
        <v>2026/6/18まで1巻無料</v>
      </c>
      <c r="Z5096" s="7"/>
      <c r="AA5096" s="7"/>
      <c r="AB5096" s="7"/>
    </row>
    <row r="5097" ht="15.75" customHeight="1">
      <c r="A5097" s="26">
        <f>IFERROR(__xludf.DUMMYFUNCTION("""COMPUTED_VALUE"""),7884.0)</f>
        <v>7884</v>
      </c>
      <c r="B5097" s="22" t="str">
        <f>IFERROR(__xludf.DUMMYFUNCTION("""COMPUTED_VALUE"""),"確定")</f>
        <v>確定</v>
      </c>
      <c r="C5097" s="28">
        <f>IFERROR(__xludf.DUMMYFUNCTION("""COMPUTED_VALUE"""),46132.0)</f>
        <v>46132</v>
      </c>
      <c r="D5097" s="28">
        <f>IFERROR(__xludf.DUMMYFUNCTION("""COMPUTED_VALUE"""),46133.0)</f>
        <v>46133</v>
      </c>
      <c r="E5097" s="26">
        <f>IFERROR(__xludf.DUMMYFUNCTION("""COMPUTED_VALUE"""),361238.0)</f>
        <v>361238</v>
      </c>
      <c r="F5097" s="22" t="str">
        <f>IFERROR(__xludf.DUMMYFUNCTION("""COMPUTED_VALUE"""),"私のおじさん")</f>
        <v>私のおじさん</v>
      </c>
      <c r="G5097" s="20" t="str">
        <f>IFERROR(__xludf.DUMMYFUNCTION("""COMPUTED_VALUE"""),"1～3")</f>
        <v>1～3</v>
      </c>
      <c r="H5097" s="22" t="str">
        <f>IFERROR(__xludf.DUMMYFUNCTION("""COMPUTED_VALUE"""),"ソクチ/ススッ/F-set")</f>
        <v>ソクチ/ススッ/F-set</v>
      </c>
      <c r="I5097" s="22" t="str">
        <f>IFERROR(__xludf.DUMMYFUNCTION("""COMPUTED_VALUE"""),"青年")</f>
        <v>青年</v>
      </c>
      <c r="J5097" s="22"/>
      <c r="K5097" s="22"/>
      <c r="L5097" s="22" t="str">
        <f>IFERROR(__xludf.DUMMYFUNCTION("""COMPUTED_VALUE"""),"Rush!")</f>
        <v>Rush!</v>
      </c>
      <c r="M5097" s="33">
        <f>IFERROR(__xludf.DUMMYFUNCTION("""COMPUTED_VALUE"""),46178.0)</f>
        <v>46178</v>
      </c>
      <c r="N5097" s="33">
        <f>IFERROR(__xludf.DUMMYFUNCTION("""COMPUTED_VALUE"""),46212.0)</f>
        <v>46212</v>
      </c>
      <c r="O5097" s="20" t="str">
        <f>IFERROR(__xludf.DUMMYFUNCTION("""COMPUTED_VALUE"""),"【アダルト作品扱い】")</f>
        <v>【アダルト作品扱い】</v>
      </c>
      <c r="P5097" s="32" t="str">
        <f>IFERROR(__xludf.DUMMYFUNCTION("""COMPUTED_VALUE"""),"可")</f>
        <v>可</v>
      </c>
      <c r="Q5097" s="30" t="str">
        <f>IFERROR(__xludf.DUMMYFUNCTION("""COMPUTED_VALUE"""),"1~2巻の素材で広告制作お願いいたします。3巻目素材は後日共有予定です。")</f>
        <v>1~2巻の素材で広告制作お願いいたします。3巻目素材は後日共有予定です。</v>
      </c>
      <c r="R5097" s="22"/>
      <c r="S5097" s="22" t="str">
        <f>IFERROR(__xludf.DUMMYFUNCTION("""COMPUTED_VALUE"""),"20260421_ファンギルド_私のおじさん")</f>
        <v>20260421_ファンギルド_私のおじさん</v>
      </c>
      <c r="T5097" s="22" t="str">
        <f>IFERROR(__xludf.DUMMYFUNCTION("""COMPUTED_VALUE"""),"格納済み")</f>
        <v>格納済み</v>
      </c>
      <c r="U5097" s="9" t="str">
        <f>IFERROR(__xludf.DUMMYFUNCTION("""COMPUTED_VALUE"""),"ⒸLovefactory")</f>
        <v>ⒸLovefactory</v>
      </c>
      <c r="V5097" s="8"/>
      <c r="W5097" s="8"/>
      <c r="X5097" s="8" t="str">
        <f>IFERROR(__xludf.DUMMYFUNCTION("""COMPUTED_VALUE"""),"有")</f>
        <v>有</v>
      </c>
      <c r="Y5097" s="8" t="str">
        <f>IFERROR(__xludf.DUMMYFUNCTION("""COMPUTED_VALUE"""),"2026/6/18まで1巻無料")</f>
        <v>2026/6/18まで1巻無料</v>
      </c>
      <c r="Z5097" s="7"/>
      <c r="AA5097" s="7"/>
      <c r="AB5097" s="7"/>
    </row>
    <row r="5098" ht="15.75" customHeight="1">
      <c r="A5098" s="26">
        <f>IFERROR(__xludf.DUMMYFUNCTION("""COMPUTED_VALUE"""),7885.0)</f>
        <v>7885</v>
      </c>
      <c r="B5098" s="22" t="str">
        <f>IFERROR(__xludf.DUMMYFUNCTION("""COMPUTED_VALUE"""),"確定")</f>
        <v>確定</v>
      </c>
      <c r="C5098" s="28">
        <f>IFERROR(__xludf.DUMMYFUNCTION("""COMPUTED_VALUE"""),46132.0)</f>
        <v>46132</v>
      </c>
      <c r="D5098" s="28">
        <f>IFERROR(__xludf.DUMMYFUNCTION("""COMPUTED_VALUE"""),46133.0)</f>
        <v>46133</v>
      </c>
      <c r="E5098" s="26">
        <f>IFERROR(__xludf.DUMMYFUNCTION("""COMPUTED_VALUE"""),360061.0)</f>
        <v>360061</v>
      </c>
      <c r="F5098" s="22" t="str">
        <f>IFERROR(__xludf.DUMMYFUNCTION("""COMPUTED_VALUE"""),"給料泥棒注意報")</f>
        <v>給料泥棒注意報</v>
      </c>
      <c r="G5098" s="20" t="str">
        <f>IFERROR(__xludf.DUMMYFUNCTION("""COMPUTED_VALUE"""),"1～3")</f>
        <v>1～3</v>
      </c>
      <c r="H5098" s="22" t="str">
        <f>IFERROR(__xludf.DUMMYFUNCTION("""COMPUTED_VALUE"""),"SS 遊ぶ鹿")</f>
        <v>SS 遊ぶ鹿</v>
      </c>
      <c r="I5098" s="22" t="str">
        <f>IFERROR(__xludf.DUMMYFUNCTION("""COMPUTED_VALUE"""),"アダルト")</f>
        <v>アダルト</v>
      </c>
      <c r="J5098" s="22"/>
      <c r="K5098" s="22"/>
      <c r="L5098" s="22" t="str">
        <f>IFERROR(__xludf.DUMMYFUNCTION("""COMPUTED_VALUE"""),"Rush!")</f>
        <v>Rush!</v>
      </c>
      <c r="M5098" s="33">
        <f>IFERROR(__xludf.DUMMYFUNCTION("""COMPUTED_VALUE"""),46172.0)</f>
        <v>46172</v>
      </c>
      <c r="N5098" s="33">
        <f>IFERROR(__xludf.DUMMYFUNCTION("""COMPUTED_VALUE"""),46206.0)</f>
        <v>46206</v>
      </c>
      <c r="O5098" s="20"/>
      <c r="P5098" s="32" t="str">
        <f>IFERROR(__xludf.DUMMYFUNCTION("""COMPUTED_VALUE"""),"可")</f>
        <v>可</v>
      </c>
      <c r="Q5098" s="30"/>
      <c r="R5098" s="22"/>
      <c r="S5098" s="22" t="str">
        <f>IFERROR(__xludf.DUMMYFUNCTION("""COMPUTED_VALUE"""),"20260420_ファンギルド_給料泥棒注意報")</f>
        <v>20260420_ファンギルド_給料泥棒注意報</v>
      </c>
      <c r="T5098" s="22" t="str">
        <f>IFERROR(__xludf.DUMMYFUNCTION("""COMPUTED_VALUE"""),"格納済み")</f>
        <v>格納済み</v>
      </c>
      <c r="U5098" s="9" t="str">
        <f>IFERROR(__xludf.DUMMYFUNCTION("""COMPUTED_VALUE"""),"ⒸSS/Asobushika/Toomics")</f>
        <v>ⒸSS/Asobushika/Toomics</v>
      </c>
      <c r="V5098" s="8"/>
      <c r="W5098" s="8"/>
      <c r="X5098" s="8" t="str">
        <f>IFERROR(__xludf.DUMMYFUNCTION("""COMPUTED_VALUE"""),"有")</f>
        <v>有</v>
      </c>
      <c r="Y5098" s="8" t="str">
        <f>IFERROR(__xludf.DUMMYFUNCTION("""COMPUTED_VALUE"""),"2026/6/12まで1巻無料")</f>
        <v>2026/6/12まで1巻無料</v>
      </c>
      <c r="Z5098" s="7"/>
      <c r="AA5098" s="7"/>
      <c r="AB5098" s="7"/>
    </row>
    <row r="5099" ht="15.75" customHeight="1">
      <c r="A5099" s="26">
        <f>IFERROR(__xludf.DUMMYFUNCTION("""COMPUTED_VALUE"""),7886.0)</f>
        <v>7886</v>
      </c>
      <c r="B5099" s="22" t="str">
        <f>IFERROR(__xludf.DUMMYFUNCTION("""COMPUTED_VALUE"""),"確定")</f>
        <v>確定</v>
      </c>
      <c r="C5099" s="28">
        <f>IFERROR(__xludf.DUMMYFUNCTION("""COMPUTED_VALUE"""),46132.0)</f>
        <v>46132</v>
      </c>
      <c r="D5099" s="28">
        <f>IFERROR(__xludf.DUMMYFUNCTION("""COMPUTED_VALUE"""),46133.0)</f>
        <v>46133</v>
      </c>
      <c r="E5099" s="26">
        <f>IFERROR(__xludf.DUMMYFUNCTION("""COMPUTED_VALUE"""),360058.0)</f>
        <v>360058</v>
      </c>
      <c r="F5099" s="22" t="str">
        <f>IFERROR(__xludf.DUMMYFUNCTION("""COMPUTED_VALUE"""),"ビミョ～な関係！？")</f>
        <v>ビミョ～な関係！？</v>
      </c>
      <c r="G5099" s="20" t="str">
        <f>IFERROR(__xludf.DUMMYFUNCTION("""COMPUTED_VALUE"""),"1～3")</f>
        <v>1～3</v>
      </c>
      <c r="H5099" s="22" t="str">
        <f>IFERROR(__xludf.DUMMYFUNCTION("""COMPUTED_VALUE"""),"UREC/アニ")</f>
        <v>UREC/アニ</v>
      </c>
      <c r="I5099" s="22" t="str">
        <f>IFERROR(__xludf.DUMMYFUNCTION("""COMPUTED_VALUE"""),"アダルト")</f>
        <v>アダルト</v>
      </c>
      <c r="J5099" s="22"/>
      <c r="K5099" s="22"/>
      <c r="L5099" s="22" t="str">
        <f>IFERROR(__xludf.DUMMYFUNCTION("""COMPUTED_VALUE"""),"Rush!")</f>
        <v>Rush!</v>
      </c>
      <c r="M5099" s="33">
        <f>IFERROR(__xludf.DUMMYFUNCTION("""COMPUTED_VALUE"""),46165.0)</f>
        <v>46165</v>
      </c>
      <c r="N5099" s="33">
        <f>IFERROR(__xludf.DUMMYFUNCTION("""COMPUTED_VALUE"""),46199.0)</f>
        <v>46199</v>
      </c>
      <c r="O5099" s="20"/>
      <c r="P5099" s="32" t="str">
        <f>IFERROR(__xludf.DUMMYFUNCTION("""COMPUTED_VALUE"""),"可")</f>
        <v>可</v>
      </c>
      <c r="Q5099" s="30"/>
      <c r="R5099" s="22"/>
      <c r="S5099" s="22" t="str">
        <f>IFERROR(__xludf.DUMMYFUNCTION("""COMPUTED_VALUE"""),"20260420_ファンギルド_ビミョ～な関係!")</f>
        <v>20260420_ファンギルド_ビミョ～な関係!</v>
      </c>
      <c r="T5099" s="22" t="str">
        <f>IFERROR(__xludf.DUMMYFUNCTION("""COMPUTED_VALUE"""),"格納済み")</f>
        <v>格納済み</v>
      </c>
      <c r="U5099" s="9" t="str">
        <f>IFERROR(__xludf.DUMMYFUNCTION("""COMPUTED_VALUE"""),"ⒸUREC/アニ/Toomics")</f>
        <v>ⒸUREC/アニ/Toomics</v>
      </c>
      <c r="V5099" s="8"/>
      <c r="W5099" s="8"/>
      <c r="X5099" s="8" t="str">
        <f>IFERROR(__xludf.DUMMYFUNCTION("""COMPUTED_VALUE"""),"有")</f>
        <v>有</v>
      </c>
      <c r="Y5099" s="8" t="str">
        <f>IFERROR(__xludf.DUMMYFUNCTION("""COMPUTED_VALUE"""),"2026/6/5まで1巻無料")</f>
        <v>2026/6/5まで1巻無料</v>
      </c>
      <c r="Z5099" s="7"/>
      <c r="AA5099" s="7"/>
      <c r="AB5099" s="7"/>
    </row>
    <row r="5100" ht="15.75" customHeight="1">
      <c r="A5100" s="26">
        <f>IFERROR(__xludf.DUMMYFUNCTION("""COMPUTED_VALUE"""),7887.0)</f>
        <v>7887</v>
      </c>
      <c r="B5100" s="22" t="str">
        <f>IFERROR(__xludf.DUMMYFUNCTION("""COMPUTED_VALUE"""),"確定")</f>
        <v>確定</v>
      </c>
      <c r="C5100" s="28">
        <f>IFERROR(__xludf.DUMMYFUNCTION("""COMPUTED_VALUE"""),46132.0)</f>
        <v>46132</v>
      </c>
      <c r="D5100" s="28">
        <f>IFERROR(__xludf.DUMMYFUNCTION("""COMPUTED_VALUE"""),46133.0)</f>
        <v>46133</v>
      </c>
      <c r="E5100" s="26">
        <f>IFERROR(__xludf.DUMMYFUNCTION("""COMPUTED_VALUE"""),313418.0)</f>
        <v>313418</v>
      </c>
      <c r="F5100" s="22" t="str">
        <f>IFERROR(__xludf.DUMMYFUNCTION("""COMPUTED_VALUE"""),"薄幸Ωの婚姻譚～虐げられた少女は、最上位αに溺愛される～")</f>
        <v>薄幸Ωの婚姻譚～虐げられた少女は、最上位αに溺愛される～</v>
      </c>
      <c r="G5100" s="20" t="str">
        <f>IFERROR(__xludf.DUMMYFUNCTION("""COMPUTED_VALUE"""),"1～3")</f>
        <v>1～3</v>
      </c>
      <c r="H5100" s="22" t="str">
        <f>IFERROR(__xludf.DUMMYFUNCTION("""COMPUTED_VALUE"""),"入江桃樺")</f>
        <v>入江桃樺</v>
      </c>
      <c r="I5100" s="22" t="str">
        <f>IFERROR(__xludf.DUMMYFUNCTION("""COMPUTED_VALUE"""),"少女")</f>
        <v>少女</v>
      </c>
      <c r="J5100" s="22"/>
      <c r="K5100" s="22" t="str">
        <f>IFERROR(__xludf.DUMMYFUNCTION("""COMPUTED_VALUE"""),"トレモア・ロマンス,トレモアcollection")</f>
        <v>トレモア・ロマンス,トレモアcollection</v>
      </c>
      <c r="L5100" s="22" t="str">
        <f>IFERROR(__xludf.DUMMYFUNCTION("""COMPUTED_VALUE"""),"シーモアコミックス（トレモア）")</f>
        <v>シーモアコミックス（トレモア）</v>
      </c>
      <c r="M5100" s="33">
        <f>IFERROR(__xludf.DUMMYFUNCTION("""COMPUTED_VALUE"""),46178.0)</f>
        <v>46178</v>
      </c>
      <c r="N5100" s="33">
        <f>IFERROR(__xludf.DUMMYFUNCTION("""COMPUTED_VALUE"""),2958465.0)</f>
        <v>2958465</v>
      </c>
      <c r="O5100" s="20"/>
      <c r="P5100" s="32" t="str">
        <f>IFERROR(__xludf.DUMMYFUNCTION("""COMPUTED_VALUE"""),"可")</f>
        <v>可</v>
      </c>
      <c r="Q5100" s="30"/>
      <c r="R5100" s="22"/>
      <c r="S5100" s="22" t="str">
        <f>IFERROR(__xludf.DUMMYFUNCTION("""COMPUTED_VALUE"""),"20260420_シーモアコミックス_薄幸Ωの婚姻譚～虐げられた少女は、最上位αに溺愛される～")</f>
        <v>20260420_シーモアコミックス_薄幸Ωの婚姻譚～虐げられた少女は、最上位αに溺愛される～</v>
      </c>
      <c r="T5100" s="22" t="str">
        <f>IFERROR(__xludf.DUMMYFUNCTION("""COMPUTED_VALUE"""),"格納済み")</f>
        <v>格納済み</v>
      </c>
      <c r="U5100" s="9" t="str">
        <f>IFERROR(__xludf.DUMMYFUNCTION("""COMPUTED_VALUE"""),"(C) 入江桃樺/シーモアコミックス")</f>
        <v>(C) 入江桃樺/シーモアコミックス</v>
      </c>
      <c r="V5100" s="8"/>
      <c r="W5100" s="8"/>
      <c r="X5100" s="8" t="str">
        <f>IFERROR(__xludf.DUMMYFUNCTION("""COMPUTED_VALUE"""),"有")</f>
        <v>有</v>
      </c>
      <c r="Y5100" s="8" t="str">
        <f>IFERROR(__xludf.DUMMYFUNCTION("""COMPUTED_VALUE"""),"12/31まで1巻無料")</f>
        <v>12/31まで1巻無料</v>
      </c>
      <c r="Z5100" s="7"/>
      <c r="AA5100" s="7"/>
      <c r="AB5100" s="7"/>
    </row>
    <row r="5101" ht="15.75" customHeight="1">
      <c r="A5101" s="26">
        <f>IFERROR(__xludf.DUMMYFUNCTION("""COMPUTED_VALUE"""),7890.0)</f>
        <v>7890</v>
      </c>
      <c r="B5101" s="22" t="str">
        <f>IFERROR(__xludf.DUMMYFUNCTION("""COMPUTED_VALUE"""),"確定")</f>
        <v>確定</v>
      </c>
      <c r="C5101" s="28">
        <f>IFERROR(__xludf.DUMMYFUNCTION("""COMPUTED_VALUE"""),46133.0)</f>
        <v>46133</v>
      </c>
      <c r="D5101" s="28">
        <f>IFERROR(__xludf.DUMMYFUNCTION("""COMPUTED_VALUE"""),46133.0)</f>
        <v>46133</v>
      </c>
      <c r="E5101" s="26">
        <f>IFERROR(__xludf.DUMMYFUNCTION("""COMPUTED_VALUE"""),361602.0)</f>
        <v>361602</v>
      </c>
      <c r="F5101" s="22" t="str">
        <f>IFERROR(__xludf.DUMMYFUNCTION("""COMPUTED_VALUE"""),"お母さんが骨折したので息子のオレが介護する！")</f>
        <v>お母さんが骨折したので息子のオレが介護する！</v>
      </c>
      <c r="G5101" s="20" t="str">
        <f>IFERROR(__xludf.DUMMYFUNCTION("""COMPUTED_VALUE"""),"1～2")</f>
        <v>1～2</v>
      </c>
      <c r="H5101" s="22" t="str">
        <f>IFERROR(__xludf.DUMMYFUNCTION("""COMPUTED_VALUE"""),"ほよよ")</f>
        <v>ほよよ</v>
      </c>
      <c r="I5101" s="22" t="str">
        <f>IFERROR(__xludf.DUMMYFUNCTION("""COMPUTED_VALUE"""),"アダルトマンガ")</f>
        <v>アダルトマンガ</v>
      </c>
      <c r="J5101" s="22"/>
      <c r="K5101" s="22"/>
      <c r="L5101" s="22" t="str">
        <f>IFERROR(__xludf.DUMMYFUNCTION("""COMPUTED_VALUE"""),"ナイトコミック")</f>
        <v>ナイトコミック</v>
      </c>
      <c r="M5101" s="33">
        <f>IFERROR(__xludf.DUMMYFUNCTION("""COMPUTED_VALUE"""),46199.0)</f>
        <v>46199</v>
      </c>
      <c r="N5101" s="33">
        <f>IFERROR(__xludf.DUMMYFUNCTION("""COMPUTED_VALUE"""),46261.0)</f>
        <v>46261</v>
      </c>
      <c r="O5101" s="20"/>
      <c r="P5101" s="32" t="str">
        <f>IFERROR(__xludf.DUMMYFUNCTION("""COMPUTED_VALUE"""),"可")</f>
        <v>可</v>
      </c>
      <c r="Q5101" s="30"/>
      <c r="R5101" s="22"/>
      <c r="S5101" s="22" t="str">
        <f>IFERROR(__xludf.DUMMYFUNCTION("""COMPUTED_VALUE"""),"20260420_ナイトコミック_お母さんが骨折したので息子のオレが介護する！")</f>
        <v>20260420_ナイトコミック_お母さんが骨折したので息子のオレが介護する！</v>
      </c>
      <c r="T5101" s="22" t="str">
        <f>IFERROR(__xludf.DUMMYFUNCTION("""COMPUTED_VALUE"""),"格納済み")</f>
        <v>格納済み</v>
      </c>
      <c r="U5101" s="9" t="str">
        <f>IFERROR(__xludf.DUMMYFUNCTION("""COMPUTED_VALUE"""),"Ⓒほよよ")</f>
        <v>Ⓒほよよ</v>
      </c>
      <c r="V5101" s="8"/>
      <c r="W5101" s="8"/>
      <c r="X5101" s="8" t="str">
        <f>IFERROR(__xludf.DUMMYFUNCTION("""COMPUTED_VALUE"""),"有")</f>
        <v>有</v>
      </c>
      <c r="Y5101" s="8" t="str">
        <f>IFERROR(__xludf.DUMMYFUNCTION("""COMPUTED_VALUE"""),"2026/7/9まで1巻p21まで立ち読み増量
2026/7/9まで2巻p8まで立ち読み増量")</f>
        <v>2026/7/9まで1巻p21まで立ち読み増量
2026/7/9まで2巻p8まで立ち読み増量</v>
      </c>
      <c r="Z5101" s="7"/>
      <c r="AA5101" s="7"/>
      <c r="AB5101" s="7"/>
    </row>
    <row r="5102" ht="15.75" customHeight="1">
      <c r="A5102" s="26">
        <f>IFERROR(__xludf.DUMMYFUNCTION("""COMPUTED_VALUE"""),7891.0)</f>
        <v>7891</v>
      </c>
      <c r="B5102" s="22" t="str">
        <f>IFERROR(__xludf.DUMMYFUNCTION("""COMPUTED_VALUE"""),"確定")</f>
        <v>確定</v>
      </c>
      <c r="C5102" s="28">
        <f>IFERROR(__xludf.DUMMYFUNCTION("""COMPUTED_VALUE"""),46133.0)</f>
        <v>46133</v>
      </c>
      <c r="D5102" s="28">
        <f>IFERROR(__xludf.DUMMYFUNCTION("""COMPUTED_VALUE"""),46133.0)</f>
        <v>46133</v>
      </c>
      <c r="E5102" s="26">
        <f>IFERROR(__xludf.DUMMYFUNCTION("""COMPUTED_VALUE"""),361240.0)</f>
        <v>361240</v>
      </c>
      <c r="F5102" s="22" t="str">
        <f>IFERROR(__xludf.DUMMYFUNCTION("""COMPUTED_VALUE"""),"あなたのことしか、好きじゃない　-愛が重い爆乳爆尻お姉さんに教え込まれる日々-")</f>
        <v>あなたのことしか、好きじゃない　-愛が重い爆乳爆尻お姉さんに教え込まれる日々-</v>
      </c>
      <c r="G5102" s="20" t="str">
        <f>IFERROR(__xludf.DUMMYFUNCTION("""COMPUTED_VALUE"""),"1～2")</f>
        <v>1～2</v>
      </c>
      <c r="H5102" s="22" t="str">
        <f>IFERROR(__xludf.DUMMYFUNCTION("""COMPUTED_VALUE"""),"海野りょう")</f>
        <v>海野りょう</v>
      </c>
      <c r="I5102" s="22" t="str">
        <f>IFERROR(__xludf.DUMMYFUNCTION("""COMPUTED_VALUE"""),"アダルトマンガ")</f>
        <v>アダルトマンガ</v>
      </c>
      <c r="J5102" s="22"/>
      <c r="K5102" s="22"/>
      <c r="L5102" s="22" t="str">
        <f>IFERROR(__xludf.DUMMYFUNCTION("""COMPUTED_VALUE"""),"ナイトコミック")</f>
        <v>ナイトコミック</v>
      </c>
      <c r="M5102" s="33">
        <f>IFERROR(__xludf.DUMMYFUNCTION("""COMPUTED_VALUE"""),46192.0)</f>
        <v>46192</v>
      </c>
      <c r="N5102" s="33">
        <f>IFERROR(__xludf.DUMMYFUNCTION("""COMPUTED_VALUE"""),46254.0)</f>
        <v>46254</v>
      </c>
      <c r="O5102" s="20"/>
      <c r="P5102" s="32" t="str">
        <f>IFERROR(__xludf.DUMMYFUNCTION("""COMPUTED_VALUE"""),"可")</f>
        <v>可</v>
      </c>
      <c r="Q5102" s="30"/>
      <c r="R5102" s="22"/>
      <c r="S5102" s="22" t="str">
        <f>IFERROR(__xludf.DUMMYFUNCTION("""COMPUTED_VALUE"""),"20260420_ナイトコミック_あなたのことしか、好きじゃない　-愛が重い爆乳爆尻お姉さんに教え込まれる日々-")</f>
        <v>20260420_ナイトコミック_あなたのことしか、好きじゃない　-愛が重い爆乳爆尻お姉さんに教え込まれる日々-</v>
      </c>
      <c r="T5102" s="22" t="str">
        <f>IFERROR(__xludf.DUMMYFUNCTION("""COMPUTED_VALUE"""),"格納済み")</f>
        <v>格納済み</v>
      </c>
      <c r="U5102" s="9" t="str">
        <f>IFERROR(__xludf.DUMMYFUNCTION("""COMPUTED_VALUE"""),"Ⓒ海野りょう")</f>
        <v>Ⓒ海野りょう</v>
      </c>
      <c r="V5102" s="8"/>
      <c r="W5102" s="8"/>
      <c r="X5102" s="8" t="str">
        <f>IFERROR(__xludf.DUMMYFUNCTION("""COMPUTED_VALUE"""),"有")</f>
        <v>有</v>
      </c>
      <c r="Y5102" s="8" t="str">
        <f>IFERROR(__xludf.DUMMYFUNCTION("""COMPUTED_VALUE"""),"2026/7/2まで1巻21Pまで立ち読み増量
2026/7/2まで1巻12Pまで立ち読み増量")</f>
        <v>2026/7/2まで1巻21Pまで立ち読み増量
2026/7/2まで1巻12Pまで立ち読み増量</v>
      </c>
      <c r="Z5102" s="7"/>
      <c r="AA5102" s="7"/>
      <c r="AB5102" s="7"/>
    </row>
    <row r="5103" ht="15.75" customHeight="1">
      <c r="A5103" s="26">
        <f>IFERROR(__xludf.DUMMYFUNCTION("""COMPUTED_VALUE"""),7892.0)</f>
        <v>7892</v>
      </c>
      <c r="B5103" s="22" t="str">
        <f>IFERROR(__xludf.DUMMYFUNCTION("""COMPUTED_VALUE"""),"確定")</f>
        <v>確定</v>
      </c>
      <c r="C5103" s="28">
        <f>IFERROR(__xludf.DUMMYFUNCTION("""COMPUTED_VALUE"""),46133.0)</f>
        <v>46133</v>
      </c>
      <c r="D5103" s="28">
        <f>IFERROR(__xludf.DUMMYFUNCTION("""COMPUTED_VALUE"""),46133.0)</f>
        <v>46133</v>
      </c>
      <c r="E5103" s="26">
        <f>IFERROR(__xludf.DUMMYFUNCTION("""COMPUTED_VALUE"""),360985.0)</f>
        <v>360985</v>
      </c>
      <c r="F5103" s="22" t="str">
        <f>IFERROR(__xludf.DUMMYFUNCTION("""COMPUTED_VALUE"""),"生意気ギャルがわからせられる本")</f>
        <v>生意気ギャルがわからせられる本</v>
      </c>
      <c r="G5103" s="20" t="str">
        <f>IFERROR(__xludf.DUMMYFUNCTION("""COMPUTED_VALUE"""),"1～2")</f>
        <v>1～2</v>
      </c>
      <c r="H5103" s="22" t="str">
        <f>IFERROR(__xludf.DUMMYFUNCTION("""COMPUTED_VALUE"""),"オンキュウ")</f>
        <v>オンキュウ</v>
      </c>
      <c r="I5103" s="22" t="str">
        <f>IFERROR(__xludf.DUMMYFUNCTION("""COMPUTED_VALUE"""),"アダルトマンガ")</f>
        <v>アダルトマンガ</v>
      </c>
      <c r="J5103" s="22"/>
      <c r="K5103" s="22"/>
      <c r="L5103" s="22" t="str">
        <f>IFERROR(__xludf.DUMMYFUNCTION("""COMPUTED_VALUE"""),"ナイトコミック")</f>
        <v>ナイトコミック</v>
      </c>
      <c r="M5103" s="33">
        <f>IFERROR(__xludf.DUMMYFUNCTION("""COMPUTED_VALUE"""),46185.0)</f>
        <v>46185</v>
      </c>
      <c r="N5103" s="33">
        <f>IFERROR(__xludf.DUMMYFUNCTION("""COMPUTED_VALUE"""),46247.0)</f>
        <v>46247</v>
      </c>
      <c r="O5103" s="20"/>
      <c r="P5103" s="32" t="str">
        <f>IFERROR(__xludf.DUMMYFUNCTION("""COMPUTED_VALUE"""),"可")</f>
        <v>可</v>
      </c>
      <c r="Q5103" s="30"/>
      <c r="R5103" s="22"/>
      <c r="S5103" s="22" t="str">
        <f>IFERROR(__xludf.DUMMYFUNCTION("""COMPUTED_VALUE"""),"20260420_ナイトコミック_生意気ギャルがわからせられる本")</f>
        <v>20260420_ナイトコミック_生意気ギャルがわからせられる本</v>
      </c>
      <c r="T5103" s="22" t="str">
        <f>IFERROR(__xludf.DUMMYFUNCTION("""COMPUTED_VALUE"""),"格納済み")</f>
        <v>格納済み</v>
      </c>
      <c r="U5103" s="9" t="str">
        <f>IFERROR(__xludf.DUMMYFUNCTION("""COMPUTED_VALUE"""),"Ⓒオンキュウ")</f>
        <v>Ⓒオンキュウ</v>
      </c>
      <c r="V5103" s="8"/>
      <c r="W5103" s="8"/>
      <c r="X5103" s="8" t="str">
        <f>IFERROR(__xludf.DUMMYFUNCTION("""COMPUTED_VALUE"""),"有")</f>
        <v>有</v>
      </c>
      <c r="Y5103" s="8" t="str">
        <f>IFERROR(__xludf.DUMMYFUNCTION("""COMPUTED_VALUE"""),"2026/8/13まで
1巻p16まで立ち読み増量
2巻p10まで立ち読み増量")</f>
        <v>2026/8/13まで
1巻p16まで立ち読み増量
2巻p10まで立ち読み増量</v>
      </c>
      <c r="Z5103" s="7"/>
      <c r="AA5103" s="7"/>
      <c r="AB5103" s="7"/>
    </row>
    <row r="5104" ht="15.75" customHeight="1">
      <c r="A5104" s="26">
        <f>IFERROR(__xludf.DUMMYFUNCTION("""COMPUTED_VALUE"""),7893.0)</f>
        <v>7893</v>
      </c>
      <c r="B5104" s="22" t="str">
        <f>IFERROR(__xludf.DUMMYFUNCTION("""COMPUTED_VALUE"""),"確定")</f>
        <v>確定</v>
      </c>
      <c r="C5104" s="28">
        <f>IFERROR(__xludf.DUMMYFUNCTION("""COMPUTED_VALUE"""),46133.0)</f>
        <v>46133</v>
      </c>
      <c r="D5104" s="28">
        <f>IFERROR(__xludf.DUMMYFUNCTION("""COMPUTED_VALUE"""),46133.0)</f>
        <v>46133</v>
      </c>
      <c r="E5104" s="26">
        <f>IFERROR(__xludf.DUMMYFUNCTION("""COMPUTED_VALUE"""),360346.0)</f>
        <v>360346</v>
      </c>
      <c r="F5104" s="22" t="str">
        <f>IFERROR(__xludf.DUMMYFUNCTION("""COMPUTED_VALUE"""),"あの日、素直に好きと言えたなら 【コマカ】")</f>
        <v>あの日、素直に好きと言えたなら 【コマカ】</v>
      </c>
      <c r="G5104" s="20" t="str">
        <f>IFERROR(__xludf.DUMMYFUNCTION("""COMPUTED_VALUE"""),"1～3")</f>
        <v>1～3</v>
      </c>
      <c r="H5104" s="22" t="str">
        <f>IFERROR(__xludf.DUMMYFUNCTION("""COMPUTED_VALUE"""),"カズヲダイスケ")</f>
        <v>カズヲダイスケ</v>
      </c>
      <c r="I5104" s="22" t="str">
        <f>IFERROR(__xludf.DUMMYFUNCTION("""COMPUTED_VALUE"""),"アダルトマンガ")</f>
        <v>アダルトマンガ</v>
      </c>
      <c r="J5104" s="22"/>
      <c r="K5104" s="22"/>
      <c r="L5104" s="22" t="str">
        <f>IFERROR(__xludf.DUMMYFUNCTION("""COMPUTED_VALUE"""),"ナイトコミック")</f>
        <v>ナイトコミック</v>
      </c>
      <c r="M5104" s="33">
        <f>IFERROR(__xludf.DUMMYFUNCTION("""COMPUTED_VALUE"""),46178.0)</f>
        <v>46178</v>
      </c>
      <c r="N5104" s="33">
        <f>IFERROR(__xludf.DUMMYFUNCTION("""COMPUTED_VALUE"""),46240.0)</f>
        <v>46240</v>
      </c>
      <c r="O5104" s="20"/>
      <c r="P5104" s="32" t="str">
        <f>IFERROR(__xludf.DUMMYFUNCTION("""COMPUTED_VALUE"""),"可")</f>
        <v>可</v>
      </c>
      <c r="Q5104" s="30"/>
      <c r="R5104" s="22"/>
      <c r="S5104" s="22" t="str">
        <f>IFERROR(__xludf.DUMMYFUNCTION("""COMPUTED_VALUE"""),"20260420_ナイトコミック_あの日、素直に好きと言えたなら【コマカ】")</f>
        <v>20260420_ナイトコミック_あの日、素直に好きと言えたなら【コマカ】</v>
      </c>
      <c r="T5104" s="22" t="str">
        <f>IFERROR(__xludf.DUMMYFUNCTION("""COMPUTED_VALUE"""),"格納済み")</f>
        <v>格納済み</v>
      </c>
      <c r="U5104" s="9" t="str">
        <f>IFERROR(__xludf.DUMMYFUNCTION("""COMPUTED_VALUE"""),"Ⓒカズヲダイスケ")</f>
        <v>Ⓒカズヲダイスケ</v>
      </c>
      <c r="V5104" s="8"/>
      <c r="W5104" s="8"/>
      <c r="X5104" s="8" t="str">
        <f>IFERROR(__xludf.DUMMYFUNCTION("""COMPUTED_VALUE"""),"有")</f>
        <v>有</v>
      </c>
      <c r="Y5104" s="8" t="str">
        <f>IFERROR(__xludf.DUMMYFUNCTION("""COMPUTED_VALUE"""),"2026/8/6まで1巻無料")</f>
        <v>2026/8/6まで1巻無料</v>
      </c>
      <c r="Z5104" s="7"/>
      <c r="AA5104" s="7"/>
      <c r="AB5104" s="7"/>
    </row>
    <row r="5105" ht="15.75" customHeight="1">
      <c r="A5105" s="26">
        <f>IFERROR(__xludf.DUMMYFUNCTION("""COMPUTED_VALUE"""),7894.0)</f>
        <v>7894</v>
      </c>
      <c r="B5105" s="22" t="str">
        <f>IFERROR(__xludf.DUMMYFUNCTION("""COMPUTED_VALUE"""),"確定")</f>
        <v>確定</v>
      </c>
      <c r="C5105" s="28">
        <f>IFERROR(__xludf.DUMMYFUNCTION("""COMPUTED_VALUE"""),46133.0)</f>
        <v>46133</v>
      </c>
      <c r="D5105" s="28">
        <f>IFERROR(__xludf.DUMMYFUNCTION("""COMPUTED_VALUE"""),46133.0)</f>
        <v>46133</v>
      </c>
      <c r="E5105" s="26">
        <f>IFERROR(__xludf.DUMMYFUNCTION("""COMPUTED_VALUE"""),361202.0)</f>
        <v>361202</v>
      </c>
      <c r="F5105" s="22" t="str">
        <f>IFERROR(__xludf.DUMMYFUNCTION("""COMPUTED_VALUE"""),"皇帝の指南役 -クールな宮女の筆おろし子作り指導-")</f>
        <v>皇帝の指南役 -クールな宮女の筆おろし子作り指導-</v>
      </c>
      <c r="G5105" s="20" t="str">
        <f>IFERROR(__xludf.DUMMYFUNCTION("""COMPUTED_VALUE"""),"1～2")</f>
        <v>1～2</v>
      </c>
      <c r="H5105" s="22" t="str">
        <f>IFERROR(__xludf.DUMMYFUNCTION("""COMPUTED_VALUE"""),"魂童夢")</f>
        <v>魂童夢</v>
      </c>
      <c r="I5105" s="22" t="str">
        <f>IFERROR(__xludf.DUMMYFUNCTION("""COMPUTED_VALUE"""),"アダルトマンガ")</f>
        <v>アダルトマンガ</v>
      </c>
      <c r="J5105" s="22"/>
      <c r="K5105" s="22"/>
      <c r="L5105" s="22" t="str">
        <f>IFERROR(__xludf.DUMMYFUNCTION("""COMPUTED_VALUE"""),"ナイトコミック")</f>
        <v>ナイトコミック</v>
      </c>
      <c r="M5105" s="33">
        <f>IFERROR(__xludf.DUMMYFUNCTION("""COMPUTED_VALUE"""),46182.0)</f>
        <v>46182</v>
      </c>
      <c r="N5105" s="33">
        <f>IFERROR(__xludf.DUMMYFUNCTION("""COMPUTED_VALUE"""),46240.0)</f>
        <v>46240</v>
      </c>
      <c r="O5105" s="20"/>
      <c r="P5105" s="32" t="str">
        <f>IFERROR(__xludf.DUMMYFUNCTION("""COMPUTED_VALUE"""),"可")</f>
        <v>可</v>
      </c>
      <c r="Q5105" s="30"/>
      <c r="R5105" s="22"/>
      <c r="S5105" s="22" t="str">
        <f>IFERROR(__xludf.DUMMYFUNCTION("""COMPUTED_VALUE"""),"20260420_ナイトコミック_皇帝の指南役 -クールな宮女の筆おろし子作り指導-")</f>
        <v>20260420_ナイトコミック_皇帝の指南役 -クールな宮女の筆おろし子作り指導-</v>
      </c>
      <c r="T5105" s="22" t="str">
        <f>IFERROR(__xludf.DUMMYFUNCTION("""COMPUTED_VALUE"""),"格納済み")</f>
        <v>格納済み</v>
      </c>
      <c r="U5105" s="9" t="str">
        <f>IFERROR(__xludf.DUMMYFUNCTION("""COMPUTED_VALUE"""),"Ⓒ魂童夢")</f>
        <v>Ⓒ魂童夢</v>
      </c>
      <c r="V5105" s="8"/>
      <c r="W5105" s="8"/>
      <c r="X5105" s="8" t="str">
        <f>IFERROR(__xludf.DUMMYFUNCTION("""COMPUTED_VALUE"""),"有")</f>
        <v>有</v>
      </c>
      <c r="Y5105" s="8" t="str">
        <f>IFERROR(__xludf.DUMMYFUNCTION("""COMPUTED_VALUE"""),"2026/8/6まで1巻　p19まで立ち読み増量
2巻　p7まで立ち読み増量")</f>
        <v>2026/8/6まで1巻　p19まで立ち読み増量
2巻　p7まで立ち読み増量</v>
      </c>
      <c r="Z5105" s="7"/>
      <c r="AA5105" s="7"/>
      <c r="AB5105" s="7"/>
    </row>
    <row r="5106" ht="15.75" customHeight="1">
      <c r="A5106" s="26">
        <f>IFERROR(__xludf.DUMMYFUNCTION("""COMPUTED_VALUE"""),7895.0)</f>
        <v>7895</v>
      </c>
      <c r="B5106" s="22" t="str">
        <f>IFERROR(__xludf.DUMMYFUNCTION("""COMPUTED_VALUE"""),"確定")</f>
        <v>確定</v>
      </c>
      <c r="C5106" s="28">
        <f>IFERROR(__xludf.DUMMYFUNCTION("""COMPUTED_VALUE"""),46133.0)</f>
        <v>46133</v>
      </c>
      <c r="D5106" s="28">
        <f>IFERROR(__xludf.DUMMYFUNCTION("""COMPUTED_VALUE"""),46134.0)</f>
        <v>46134</v>
      </c>
      <c r="E5106" s="26">
        <f>IFERROR(__xludf.DUMMYFUNCTION("""COMPUTED_VALUE"""),360244.0)</f>
        <v>360244</v>
      </c>
      <c r="F5106" s="22" t="str">
        <f>IFERROR(__xludf.DUMMYFUNCTION("""COMPUTED_VALUE"""),"今度は私が、あなたたちを壊す【マイクロ】")</f>
        <v>今度は私が、あなたたちを壊す【マイクロ】</v>
      </c>
      <c r="G5106" s="20" t="str">
        <f>IFERROR(__xludf.DUMMYFUNCTION("""COMPUTED_VALUE"""),"1～3")</f>
        <v>1～3</v>
      </c>
      <c r="H5106" s="22" t="str">
        <f>IFERROR(__xludf.DUMMYFUNCTION("""COMPUTED_VALUE"""),"服部美紀")</f>
        <v>服部美紀</v>
      </c>
      <c r="I5106" s="22" t="str">
        <f>IFERROR(__xludf.DUMMYFUNCTION("""COMPUTED_VALUE"""),"女性")</f>
        <v>女性</v>
      </c>
      <c r="J5106" s="22"/>
      <c r="K5106" s="22" t="str">
        <f>IFERROR(__xludf.DUMMYFUNCTION("""COMPUTED_VALUE"""),"モバフラ")</f>
        <v>モバフラ</v>
      </c>
      <c r="L5106" s="22" t="str">
        <f>IFERROR(__xludf.DUMMYFUNCTION("""COMPUTED_VALUE"""),"小学館")</f>
        <v>小学館</v>
      </c>
      <c r="M5106" s="33">
        <f>IFERROR(__xludf.DUMMYFUNCTION("""COMPUTED_VALUE"""),46152.0)</f>
        <v>46152</v>
      </c>
      <c r="N5106" s="33">
        <f>IFERROR(__xludf.DUMMYFUNCTION("""COMPUTED_VALUE"""),46182.0)</f>
        <v>46182</v>
      </c>
      <c r="O5106" s="20"/>
      <c r="P5106" s="32" t="str">
        <f>IFERROR(__xludf.DUMMYFUNCTION("""COMPUTED_VALUE"""),"否")</f>
        <v>否</v>
      </c>
      <c r="Q5106" s="30"/>
      <c r="R5106" s="22"/>
      <c r="S5106" s="22" t="str">
        <f>IFERROR(__xludf.DUMMYFUNCTION("""COMPUTED_VALUE"""),"20260421_小学館_今度は私が、あなたたちを壊す【マイクロ】")</f>
        <v>20260421_小学館_今度は私が、あなたたちを壊す【マイクロ】</v>
      </c>
      <c r="T5106" s="22" t="str">
        <f>IFERROR(__xludf.DUMMYFUNCTION("""COMPUTED_VALUE"""),"格納済み")</f>
        <v>格納済み</v>
      </c>
      <c r="U5106" s="9" t="str">
        <f>IFERROR(__xludf.DUMMYFUNCTION("""COMPUTED_VALUE"""),"(C)服部美紀 / 小学館")</f>
        <v>(C)服部美紀 / 小学館</v>
      </c>
      <c r="V5106" s="8"/>
      <c r="W5106" s="8"/>
      <c r="X5106" s="8" t="str">
        <f>IFERROR(__xludf.DUMMYFUNCTION("""COMPUTED_VALUE"""),"有")</f>
        <v>有</v>
      </c>
      <c r="Y5106" s="8" t="str">
        <f>IFERROR(__xludf.DUMMYFUNCTION("""COMPUTED_VALUE"""),"P12まで")</f>
        <v>P12まで</v>
      </c>
      <c r="Z5106" s="7"/>
      <c r="AA5106" s="7"/>
      <c r="AB5106" s="7"/>
    </row>
    <row r="5107" ht="15.75" customHeight="1">
      <c r="A5107" s="26">
        <f>IFERROR(__xludf.DUMMYFUNCTION("""COMPUTED_VALUE"""),6888.0)</f>
        <v>6888</v>
      </c>
      <c r="B5107" s="22" t="str">
        <f>IFERROR(__xludf.DUMMYFUNCTION("""COMPUTED_VALUE"""),"確定")</f>
        <v>確定</v>
      </c>
      <c r="C5107" s="28">
        <f>IFERROR(__xludf.DUMMYFUNCTION("""COMPUTED_VALUE"""),45978.0)</f>
        <v>45978</v>
      </c>
      <c r="D5107" s="28">
        <f>IFERROR(__xludf.DUMMYFUNCTION("""COMPUTED_VALUE"""),46139.0)</f>
        <v>46139</v>
      </c>
      <c r="E5107" s="26"/>
      <c r="F5107" s="22" t="str">
        <f>IFERROR(__xludf.DUMMYFUNCTION("""COMPUTED_VALUE"""),"変人と噂される辺境伯の身代わり花嫁となりましたが、実は優しい旦那様のつくるあたたかい食事のおかげで幸せです。")</f>
        <v>変人と噂される辺境伯の身代わり花嫁となりましたが、実は優しい旦那様のつくるあたたかい食事のおかげで幸せです。</v>
      </c>
      <c r="G5107" s="20">
        <f>IFERROR(__xludf.DUMMYFUNCTION("""COMPUTED_VALUE"""),1.0)</f>
        <v>1</v>
      </c>
      <c r="H5107" s="22" t="str">
        <f>IFERROR(__xludf.DUMMYFUNCTION("""COMPUTED_VALUE"""),"漫画：名越ゆずな　原作：shinobu")</f>
        <v>漫画：名越ゆずな　原作：shinobu</v>
      </c>
      <c r="I5107" s="22" t="str">
        <f>IFERROR(__xludf.DUMMYFUNCTION("""COMPUTED_VALUE"""),"少女")</f>
        <v>少女</v>
      </c>
      <c r="J5107" s="22"/>
      <c r="K5107" s="22" t="str">
        <f>IFERROR(__xludf.DUMMYFUNCTION("""COMPUTED_VALUE"""),"ZERO-SUMコミックス")</f>
        <v>ZERO-SUMコミックス</v>
      </c>
      <c r="L5107" s="22" t="str">
        <f>IFERROR(__xludf.DUMMYFUNCTION("""COMPUTED_VALUE"""),"一迅社")</f>
        <v>一迅社</v>
      </c>
      <c r="M5107" s="33">
        <f>IFERROR(__xludf.DUMMYFUNCTION("""COMPUTED_VALUE"""),46235.0)</f>
        <v>46235</v>
      </c>
      <c r="N5107" s="33">
        <f>IFERROR(__xludf.DUMMYFUNCTION("""COMPUTED_VALUE"""),46295.0)</f>
        <v>46295</v>
      </c>
      <c r="O5107" s="20"/>
      <c r="P5107" s="32" t="str">
        <f>IFERROR(__xludf.DUMMYFUNCTION("""COMPUTED_VALUE"""),"否")</f>
        <v>否</v>
      </c>
      <c r="Q5107" s="30" t="str">
        <f>IFERROR(__xludf.DUMMYFUNCTION("""COMPUTED_VALUE"""),"「身代わり花嫁は、旦那様から溺愛されるようです アンソロジーコミック」2巻掲載")</f>
        <v>「身代わり花嫁は、旦那様から溺愛されるようです アンソロジーコミック」2巻掲載</v>
      </c>
      <c r="R5107" s="22"/>
      <c r="S5107" s="22" t="str">
        <f>IFERROR(__xludf.DUMMYFUNCTION("""COMPUTED_VALUE"""),"20260427_一迅社_変人と噂される辺境伯の身代わり花嫁となりましたが、実は優しい旦那様のつくるあたたかい食事のおかげで幸せです。")</f>
        <v>20260427_一迅社_変人と噂される辺境伯の身代わり花嫁となりましたが、実は優しい旦那様のつくるあたたかい食事のおかげで幸せです。</v>
      </c>
      <c r="T5107" s="22" t="str">
        <f>IFERROR(__xludf.DUMMYFUNCTION("""COMPUTED_VALUE"""),"格納済み")</f>
        <v>格納済み</v>
      </c>
      <c r="U5107" s="9" t="str">
        <f>IFERROR(__xludf.DUMMYFUNCTION("""COMPUTED_VALUE"""),"(C)名越ゆずな・shinobu／一迅社")</f>
        <v>(C)名越ゆずな・shinobu／一迅社</v>
      </c>
      <c r="V5107" s="8"/>
      <c r="W5107" s="8"/>
      <c r="X5107" s="8"/>
      <c r="Y5107" s="8"/>
      <c r="Z5107" s="7"/>
      <c r="AA5107" s="7"/>
      <c r="AB5107" s="7"/>
    </row>
    <row r="5108" ht="15.75" customHeight="1">
      <c r="A5108" s="26">
        <f>IFERROR(__xludf.DUMMYFUNCTION("""COMPUTED_VALUE"""),6891.0)</f>
        <v>6891</v>
      </c>
      <c r="B5108" s="22" t="str">
        <f>IFERROR(__xludf.DUMMYFUNCTION("""COMPUTED_VALUE"""),"確定")</f>
        <v>確定</v>
      </c>
      <c r="C5108" s="28">
        <f>IFERROR(__xludf.DUMMYFUNCTION("""COMPUTED_VALUE"""),45978.0)</f>
        <v>45978</v>
      </c>
      <c r="D5108" s="28">
        <f>IFERROR(__xludf.DUMMYFUNCTION("""COMPUTED_VALUE"""),46139.0)</f>
        <v>46139</v>
      </c>
      <c r="E5108" s="26"/>
      <c r="F5108" s="22" t="str">
        <f>IFERROR(__xludf.DUMMYFUNCTION("""COMPUTED_VALUE"""),"二度目まして、旦那さま。わたしがあなたの花嫁です。")</f>
        <v>二度目まして、旦那さま。わたしがあなたの花嫁です。</v>
      </c>
      <c r="G5108" s="20">
        <f>IFERROR(__xludf.DUMMYFUNCTION("""COMPUTED_VALUE"""),1.0)</f>
        <v>1</v>
      </c>
      <c r="H5108" s="22" t="str">
        <f>IFERROR(__xludf.DUMMYFUNCTION("""COMPUTED_VALUE"""),"漫画：ねこ田太子　原作：彩瀬あいり")</f>
        <v>漫画：ねこ田太子　原作：彩瀬あいり</v>
      </c>
      <c r="I5108" s="22" t="str">
        <f>IFERROR(__xludf.DUMMYFUNCTION("""COMPUTED_VALUE"""),"少女")</f>
        <v>少女</v>
      </c>
      <c r="J5108" s="22"/>
      <c r="K5108" s="22" t="str">
        <f>IFERROR(__xludf.DUMMYFUNCTION("""COMPUTED_VALUE"""),"ZERO-SUMコミックス")</f>
        <v>ZERO-SUMコミックス</v>
      </c>
      <c r="L5108" s="22" t="str">
        <f>IFERROR(__xludf.DUMMYFUNCTION("""COMPUTED_VALUE"""),"一迅社")</f>
        <v>一迅社</v>
      </c>
      <c r="M5108" s="33">
        <f>IFERROR(__xludf.DUMMYFUNCTION("""COMPUTED_VALUE"""),46235.0)</f>
        <v>46235</v>
      </c>
      <c r="N5108" s="33">
        <f>IFERROR(__xludf.DUMMYFUNCTION("""COMPUTED_VALUE"""),46295.0)</f>
        <v>46295</v>
      </c>
      <c r="O5108" s="20"/>
      <c r="P5108" s="32" t="str">
        <f>IFERROR(__xludf.DUMMYFUNCTION("""COMPUTED_VALUE"""),"否")</f>
        <v>否</v>
      </c>
      <c r="Q5108" s="30" t="str">
        <f>IFERROR(__xludf.DUMMYFUNCTION("""COMPUTED_VALUE"""),"「身代わり花嫁は、旦那様から溺愛されるようです アンソロジーコミック」2巻掲載")</f>
        <v>「身代わり花嫁は、旦那様から溺愛されるようです アンソロジーコミック」2巻掲載</v>
      </c>
      <c r="R5108" s="22"/>
      <c r="S5108" s="22" t="str">
        <f>IFERROR(__xludf.DUMMYFUNCTION("""COMPUTED_VALUE"""),"20260427_一迅社_二度目まして、旦那さま。わたしがあなたの花嫁です。")</f>
        <v>20260427_一迅社_二度目まして、旦那さま。わたしがあなたの花嫁です。</v>
      </c>
      <c r="T5108" s="22" t="str">
        <f>IFERROR(__xludf.DUMMYFUNCTION("""COMPUTED_VALUE"""),"格納済み")</f>
        <v>格納済み</v>
      </c>
      <c r="U5108" s="9" t="str">
        <f>IFERROR(__xludf.DUMMYFUNCTION("""COMPUTED_VALUE"""),"(C)ねこ田太子・彩瀬あいり／一迅社")</f>
        <v>(C)ねこ田太子・彩瀬あいり／一迅社</v>
      </c>
      <c r="V5108" s="8"/>
      <c r="W5108" s="8"/>
      <c r="X5108" s="8"/>
      <c r="Y5108" s="8"/>
      <c r="Z5108" s="7"/>
      <c r="AA5108" s="7"/>
      <c r="AB5108" s="7"/>
    </row>
    <row r="5109" ht="15.75" customHeight="1">
      <c r="A5109" s="26">
        <f>IFERROR(__xludf.DUMMYFUNCTION("""COMPUTED_VALUE"""),7230.0)</f>
        <v>7230</v>
      </c>
      <c r="B5109" s="22" t="str">
        <f>IFERROR(__xludf.DUMMYFUNCTION("""COMPUTED_VALUE"""),"確定")</f>
        <v>確定</v>
      </c>
      <c r="C5109" s="28">
        <f>IFERROR(__xludf.DUMMYFUNCTION("""COMPUTED_VALUE"""),46038.0)</f>
        <v>46038</v>
      </c>
      <c r="D5109" s="28">
        <f>IFERROR(__xludf.DUMMYFUNCTION("""COMPUTED_VALUE"""),46136.0)</f>
        <v>46136</v>
      </c>
      <c r="E5109" s="26">
        <f>IFERROR(__xludf.DUMMYFUNCTION("""COMPUTED_VALUE"""),361098.0)</f>
        <v>361098</v>
      </c>
      <c r="F5109" s="22" t="str">
        <f>IFERROR(__xludf.DUMMYFUNCTION("""COMPUTED_VALUE"""),"かわいい年下幼なじみの執着愛は本物です")</f>
        <v>かわいい年下幼なじみの執着愛は本物です</v>
      </c>
      <c r="G5109" s="20">
        <f>IFERROR(__xludf.DUMMYFUNCTION("""COMPUTED_VALUE"""),1.0)</f>
        <v>1</v>
      </c>
      <c r="H5109" s="22" t="str">
        <f>IFERROR(__xludf.DUMMYFUNCTION("""COMPUTED_VALUE"""),"ぽぴじろ～")</f>
        <v>ぽぴじろ～</v>
      </c>
      <c r="I5109" s="22" t="str">
        <f>IFERROR(__xludf.DUMMYFUNCTION("""COMPUTED_VALUE"""),"TL")</f>
        <v>TL</v>
      </c>
      <c r="J5109" s="22"/>
      <c r="K5109" s="22" t="str">
        <f>IFERROR(__xludf.DUMMYFUNCTION("""COMPUTED_VALUE"""),"comic LAKE")</f>
        <v>comic LAKE</v>
      </c>
      <c r="L5109" s="22" t="str">
        <f>IFERROR(__xludf.DUMMYFUNCTION("""COMPUTED_VALUE"""),"一迅社")</f>
        <v>一迅社</v>
      </c>
      <c r="M5109" s="33">
        <f>IFERROR(__xludf.DUMMYFUNCTION("""COMPUTED_VALUE"""),46197.0)</f>
        <v>46197</v>
      </c>
      <c r="N5109" s="33">
        <f>IFERROR(__xludf.DUMMYFUNCTION("""COMPUTED_VALUE"""),46257.0)</f>
        <v>46257</v>
      </c>
      <c r="O5109" s="20" t="str">
        <f>IFERROR(__xludf.DUMMYFUNCTION("""COMPUTED_VALUE"""),"【アダルト作品扱い】")</f>
        <v>【アダルト作品扱い】</v>
      </c>
      <c r="P5109" s="32" t="str">
        <f>IFERROR(__xludf.DUMMYFUNCTION("""COMPUTED_VALUE"""),"可")</f>
        <v>可</v>
      </c>
      <c r="Q5109" s="30" t="str">
        <f>IFERROR(__xludf.DUMMYFUNCTION("""COMPUTED_VALUE"""),"『ヤンデレご主人様の甘い支配に今宵も私は抗えない。コミックアンソロジー』の単話配信")</f>
        <v>『ヤンデレご主人様の甘い支配に今宵も私は抗えない。コミックアンソロジー』の単話配信</v>
      </c>
      <c r="R5109" s="22" t="str">
        <f>IFERROR(__xludf.DUMMYFUNCTION("""COMPUTED_VALUE"""),"コミットNG")</f>
        <v>コミットNG</v>
      </c>
      <c r="S5109" s="22" t="str">
        <f>IFERROR(__xludf.DUMMYFUNCTION("""COMPUTED_VALUE"""),"20260423_一迅社_かわいい年下幼なじみの執着愛は本物です")</f>
        <v>20260423_一迅社_かわいい年下幼なじみの執着愛は本物です</v>
      </c>
      <c r="T5109" s="22" t="str">
        <f>IFERROR(__xludf.DUMMYFUNCTION("""COMPUTED_VALUE"""),"格納済み")</f>
        <v>格納済み</v>
      </c>
      <c r="U5109" s="9" t="str">
        <f>IFERROR(__xludf.DUMMYFUNCTION("""COMPUTED_VALUE"""),"(C)ぽぴじろ～／一迅社")</f>
        <v>(C)ぽぴじろ～／一迅社</v>
      </c>
      <c r="V5109" s="8"/>
      <c r="W5109" s="8"/>
      <c r="X5109" s="8" t="str">
        <f>IFERROR(__xludf.DUMMYFUNCTION("""COMPUTED_VALUE"""),"有")</f>
        <v>有</v>
      </c>
      <c r="Y5109" s="8" t="str">
        <f>IFERROR(__xludf.DUMMYFUNCTION("""COMPUTED_VALUE"""),"p7まで")</f>
        <v>p7まで</v>
      </c>
      <c r="Z5109" s="7"/>
      <c r="AA5109" s="7"/>
      <c r="AB5109" s="7"/>
    </row>
    <row r="5110" ht="15.75" customHeight="1">
      <c r="A5110" s="26">
        <f>IFERROR(__xludf.DUMMYFUNCTION("""COMPUTED_VALUE"""),7231.0)</f>
        <v>7231</v>
      </c>
      <c r="B5110" s="22" t="str">
        <f>IFERROR(__xludf.DUMMYFUNCTION("""COMPUTED_VALUE"""),"確定")</f>
        <v>確定</v>
      </c>
      <c r="C5110" s="28">
        <f>IFERROR(__xludf.DUMMYFUNCTION("""COMPUTED_VALUE"""),46038.0)</f>
        <v>46038</v>
      </c>
      <c r="D5110" s="28">
        <f>IFERROR(__xludf.DUMMYFUNCTION("""COMPUTED_VALUE"""),46136.0)</f>
        <v>46136</v>
      </c>
      <c r="E5110" s="26">
        <f>IFERROR(__xludf.DUMMYFUNCTION("""COMPUTED_VALUE"""),361099.0)</f>
        <v>361099</v>
      </c>
      <c r="F5110" s="22" t="str">
        <f>IFERROR(__xludf.DUMMYFUNCTION("""COMPUTED_VALUE"""),"愛と死は甘い檻の中で")</f>
        <v>愛と死は甘い檻の中で</v>
      </c>
      <c r="G5110" s="20">
        <f>IFERROR(__xludf.DUMMYFUNCTION("""COMPUTED_VALUE"""),1.0)</f>
        <v>1</v>
      </c>
      <c r="H5110" s="22" t="str">
        <f>IFERROR(__xludf.DUMMYFUNCTION("""COMPUTED_VALUE"""),"井野之せち")</f>
        <v>井野之せち</v>
      </c>
      <c r="I5110" s="22" t="str">
        <f>IFERROR(__xludf.DUMMYFUNCTION("""COMPUTED_VALUE"""),"TL")</f>
        <v>TL</v>
      </c>
      <c r="J5110" s="22"/>
      <c r="K5110" s="22" t="str">
        <f>IFERROR(__xludf.DUMMYFUNCTION("""COMPUTED_VALUE"""),"comic LAKE")</f>
        <v>comic LAKE</v>
      </c>
      <c r="L5110" s="22" t="str">
        <f>IFERROR(__xludf.DUMMYFUNCTION("""COMPUTED_VALUE"""),"一迅社")</f>
        <v>一迅社</v>
      </c>
      <c r="M5110" s="33">
        <f>IFERROR(__xludf.DUMMYFUNCTION("""COMPUTED_VALUE"""),46197.0)</f>
        <v>46197</v>
      </c>
      <c r="N5110" s="33">
        <f>IFERROR(__xludf.DUMMYFUNCTION("""COMPUTED_VALUE"""),46257.0)</f>
        <v>46257</v>
      </c>
      <c r="O5110" s="20" t="str">
        <f>IFERROR(__xludf.DUMMYFUNCTION("""COMPUTED_VALUE"""),"【アダルト作品扱い】")</f>
        <v>【アダルト作品扱い】</v>
      </c>
      <c r="P5110" s="32" t="str">
        <f>IFERROR(__xludf.DUMMYFUNCTION("""COMPUTED_VALUE"""),"可")</f>
        <v>可</v>
      </c>
      <c r="Q5110" s="30" t="str">
        <f>IFERROR(__xludf.DUMMYFUNCTION("""COMPUTED_VALUE"""),"『ヤンデレご主人様の甘い支配に今宵も私は抗えない。コミックアンソロジー』の単話配信")</f>
        <v>『ヤンデレご主人様の甘い支配に今宵も私は抗えない。コミックアンソロジー』の単話配信</v>
      </c>
      <c r="R5110" s="22" t="str">
        <f>IFERROR(__xludf.DUMMYFUNCTION("""COMPUTED_VALUE"""),"コミットNG")</f>
        <v>コミットNG</v>
      </c>
      <c r="S5110" s="22" t="str">
        <f>IFERROR(__xludf.DUMMYFUNCTION("""COMPUTED_VALUE"""),"20260423_一迅社_愛と死は甘い檻の中で")</f>
        <v>20260423_一迅社_愛と死は甘い檻の中で</v>
      </c>
      <c r="T5110" s="22" t="str">
        <f>IFERROR(__xludf.DUMMYFUNCTION("""COMPUTED_VALUE"""),"格納済み")</f>
        <v>格納済み</v>
      </c>
      <c r="U5110" s="9" t="str">
        <f>IFERROR(__xludf.DUMMYFUNCTION("""COMPUTED_VALUE"""),"(C)井野之せち／一迅社")</f>
        <v>(C)井野之せち／一迅社</v>
      </c>
      <c r="V5110" s="8"/>
      <c r="W5110" s="8"/>
      <c r="X5110" s="8" t="str">
        <f>IFERROR(__xludf.DUMMYFUNCTION("""COMPUTED_VALUE"""),"有")</f>
        <v>有</v>
      </c>
      <c r="Y5110" s="8" t="str">
        <f>IFERROR(__xludf.DUMMYFUNCTION("""COMPUTED_VALUE"""),"p7まで")</f>
        <v>p7まで</v>
      </c>
      <c r="Z5110" s="7"/>
      <c r="AA5110" s="7"/>
      <c r="AB5110" s="7"/>
    </row>
    <row r="5111" ht="15.75" customHeight="1">
      <c r="A5111" s="26">
        <f>IFERROR(__xludf.DUMMYFUNCTION("""COMPUTED_VALUE"""),7232.0)</f>
        <v>7232</v>
      </c>
      <c r="B5111" s="22" t="str">
        <f>IFERROR(__xludf.DUMMYFUNCTION("""COMPUTED_VALUE"""),"確定")</f>
        <v>確定</v>
      </c>
      <c r="C5111" s="28">
        <f>IFERROR(__xludf.DUMMYFUNCTION("""COMPUTED_VALUE"""),46038.0)</f>
        <v>46038</v>
      </c>
      <c r="D5111" s="28">
        <f>IFERROR(__xludf.DUMMYFUNCTION("""COMPUTED_VALUE"""),46136.0)</f>
        <v>46136</v>
      </c>
      <c r="E5111" s="26">
        <f>IFERROR(__xludf.DUMMYFUNCTION("""COMPUTED_VALUE"""),361100.0)</f>
        <v>361100</v>
      </c>
      <c r="F5111" s="22" t="str">
        <f>IFERROR(__xludf.DUMMYFUNCTION("""COMPUTED_VALUE"""),"深愛冥婚〜死んだ皇子の花嫁にされてしまったので、誠心誠意お仕えしようと思います〜")</f>
        <v>深愛冥婚〜死んだ皇子の花嫁にされてしまったので、誠心誠意お仕えしようと思います〜</v>
      </c>
      <c r="G5111" s="20">
        <f>IFERROR(__xludf.DUMMYFUNCTION("""COMPUTED_VALUE"""),1.0)</f>
        <v>1</v>
      </c>
      <c r="H5111" s="22" t="str">
        <f>IFERROR(__xludf.DUMMYFUNCTION("""COMPUTED_VALUE"""),"紅衣ユナ、灰ノ木朱風")</f>
        <v>紅衣ユナ、灰ノ木朱風</v>
      </c>
      <c r="I5111" s="22" t="str">
        <f>IFERROR(__xludf.DUMMYFUNCTION("""COMPUTED_VALUE"""),"TL")</f>
        <v>TL</v>
      </c>
      <c r="J5111" s="22"/>
      <c r="K5111" s="22" t="str">
        <f>IFERROR(__xludf.DUMMYFUNCTION("""COMPUTED_VALUE"""),"comic LAKE")</f>
        <v>comic LAKE</v>
      </c>
      <c r="L5111" s="22" t="str">
        <f>IFERROR(__xludf.DUMMYFUNCTION("""COMPUTED_VALUE"""),"一迅社")</f>
        <v>一迅社</v>
      </c>
      <c r="M5111" s="33">
        <f>IFERROR(__xludf.DUMMYFUNCTION("""COMPUTED_VALUE"""),46197.0)</f>
        <v>46197</v>
      </c>
      <c r="N5111" s="33">
        <f>IFERROR(__xludf.DUMMYFUNCTION("""COMPUTED_VALUE"""),46257.0)</f>
        <v>46257</v>
      </c>
      <c r="O5111" s="20" t="str">
        <f>IFERROR(__xludf.DUMMYFUNCTION("""COMPUTED_VALUE"""),"【アダルト作品扱い】")</f>
        <v>【アダルト作品扱い】</v>
      </c>
      <c r="P5111" s="32" t="str">
        <f>IFERROR(__xludf.DUMMYFUNCTION("""COMPUTED_VALUE"""),"可")</f>
        <v>可</v>
      </c>
      <c r="Q5111" s="30" t="str">
        <f>IFERROR(__xludf.DUMMYFUNCTION("""COMPUTED_VALUE"""),"『ヤンデレご主人様の甘い支配に今宵も私は抗えない。コミックアンソロジー』の単話配信")</f>
        <v>『ヤンデレご主人様の甘い支配に今宵も私は抗えない。コミックアンソロジー』の単話配信</v>
      </c>
      <c r="R5111" s="22" t="str">
        <f>IFERROR(__xludf.DUMMYFUNCTION("""COMPUTED_VALUE"""),"コミットNG")</f>
        <v>コミットNG</v>
      </c>
      <c r="S5111" s="22" t="str">
        <f>IFERROR(__xludf.DUMMYFUNCTION("""COMPUTED_VALUE"""),"20260423_一迅社_深愛冥婚〜死んだ皇子の花嫁にされてしまったので、誠心誠意お仕えしようと思います〜")</f>
        <v>20260423_一迅社_深愛冥婚〜死んだ皇子の花嫁にされてしまったので、誠心誠意お仕えしようと思います〜</v>
      </c>
      <c r="T5111" s="22" t="str">
        <f>IFERROR(__xludf.DUMMYFUNCTION("""COMPUTED_VALUE"""),"格納済み")</f>
        <v>格納済み</v>
      </c>
      <c r="U5111" s="9" t="str">
        <f>IFERROR(__xludf.DUMMYFUNCTION("""COMPUTED_VALUE"""),"(C)紅衣ユナ・灰ノ木朱風／一迅社")</f>
        <v>(C)紅衣ユナ・灰ノ木朱風／一迅社</v>
      </c>
      <c r="V5111" s="8"/>
      <c r="W5111" s="8"/>
      <c r="X5111" s="8" t="str">
        <f>IFERROR(__xludf.DUMMYFUNCTION("""COMPUTED_VALUE"""),"有")</f>
        <v>有</v>
      </c>
      <c r="Y5111" s="8" t="str">
        <f>IFERROR(__xludf.DUMMYFUNCTION("""COMPUTED_VALUE"""),"p8まで")</f>
        <v>p8まで</v>
      </c>
      <c r="Z5111" s="7"/>
      <c r="AA5111" s="7"/>
      <c r="AB5111" s="7"/>
    </row>
    <row r="5112" ht="15.75" customHeight="1">
      <c r="A5112" s="26">
        <f>IFERROR(__xludf.DUMMYFUNCTION("""COMPUTED_VALUE"""),7233.0)</f>
        <v>7233</v>
      </c>
      <c r="B5112" s="22" t="str">
        <f>IFERROR(__xludf.DUMMYFUNCTION("""COMPUTED_VALUE"""),"確定")</f>
        <v>確定</v>
      </c>
      <c r="C5112" s="28">
        <f>IFERROR(__xludf.DUMMYFUNCTION("""COMPUTED_VALUE"""),46038.0)</f>
        <v>46038</v>
      </c>
      <c r="D5112" s="28">
        <f>IFERROR(__xludf.DUMMYFUNCTION("""COMPUTED_VALUE"""),46136.0)</f>
        <v>46136</v>
      </c>
      <c r="E5112" s="26">
        <f>IFERROR(__xludf.DUMMYFUNCTION("""COMPUTED_VALUE"""),361101.0)</f>
        <v>361101</v>
      </c>
      <c r="F5112" s="22" t="str">
        <f>IFERROR(__xludf.DUMMYFUNCTION("""COMPUTED_VALUE"""),"呪われた黒騎士様と針子の娘～捕らわれた処女は抱かれるまで帰れない～")</f>
        <v>呪われた黒騎士様と針子の娘～捕らわれた処女は抱かれるまで帰れない～</v>
      </c>
      <c r="G5112" s="20">
        <f>IFERROR(__xludf.DUMMYFUNCTION("""COMPUTED_VALUE"""),1.0)</f>
        <v>1</v>
      </c>
      <c r="H5112" s="22" t="str">
        <f>IFERROR(__xludf.DUMMYFUNCTION("""COMPUTED_VALUE"""),"川野タニシ")</f>
        <v>川野タニシ</v>
      </c>
      <c r="I5112" s="22" t="str">
        <f>IFERROR(__xludf.DUMMYFUNCTION("""COMPUTED_VALUE"""),"TL")</f>
        <v>TL</v>
      </c>
      <c r="J5112" s="22"/>
      <c r="K5112" s="22" t="str">
        <f>IFERROR(__xludf.DUMMYFUNCTION("""COMPUTED_VALUE"""),"comic LAKE")</f>
        <v>comic LAKE</v>
      </c>
      <c r="L5112" s="22" t="str">
        <f>IFERROR(__xludf.DUMMYFUNCTION("""COMPUTED_VALUE"""),"一迅社")</f>
        <v>一迅社</v>
      </c>
      <c r="M5112" s="33">
        <f>IFERROR(__xludf.DUMMYFUNCTION("""COMPUTED_VALUE"""),46197.0)</f>
        <v>46197</v>
      </c>
      <c r="N5112" s="33">
        <f>IFERROR(__xludf.DUMMYFUNCTION("""COMPUTED_VALUE"""),46257.0)</f>
        <v>46257</v>
      </c>
      <c r="O5112" s="20" t="str">
        <f>IFERROR(__xludf.DUMMYFUNCTION("""COMPUTED_VALUE"""),"【アダルト作品扱い】")</f>
        <v>【アダルト作品扱い】</v>
      </c>
      <c r="P5112" s="32" t="str">
        <f>IFERROR(__xludf.DUMMYFUNCTION("""COMPUTED_VALUE"""),"可")</f>
        <v>可</v>
      </c>
      <c r="Q5112" s="30" t="str">
        <f>IFERROR(__xludf.DUMMYFUNCTION("""COMPUTED_VALUE"""),"『ヤンデレご主人様の甘い支配に今宵も私は抗えない。コミックアンソロジー』の単話配信")</f>
        <v>『ヤンデレご主人様の甘い支配に今宵も私は抗えない。コミックアンソロジー』の単話配信</v>
      </c>
      <c r="R5112" s="22" t="str">
        <f>IFERROR(__xludf.DUMMYFUNCTION("""COMPUTED_VALUE"""),"コミットNG")</f>
        <v>コミットNG</v>
      </c>
      <c r="S5112" s="22" t="str">
        <f>IFERROR(__xludf.DUMMYFUNCTION("""COMPUTED_VALUE"""),"20260423_一迅社_呪われた黒騎士様と針子の娘")</f>
        <v>20260423_一迅社_呪われた黒騎士様と針子の娘</v>
      </c>
      <c r="T5112" s="22" t="str">
        <f>IFERROR(__xludf.DUMMYFUNCTION("""COMPUTED_VALUE"""),"格納済み")</f>
        <v>格納済み</v>
      </c>
      <c r="U5112" s="9" t="str">
        <f>IFERROR(__xludf.DUMMYFUNCTION("""COMPUTED_VALUE"""),"(C)川野タニシ／一迅社")</f>
        <v>(C)川野タニシ／一迅社</v>
      </c>
      <c r="V5112" s="8"/>
      <c r="W5112" s="8"/>
      <c r="X5112" s="8" t="str">
        <f>IFERROR(__xludf.DUMMYFUNCTION("""COMPUTED_VALUE"""),"有")</f>
        <v>有</v>
      </c>
      <c r="Y5112" s="8" t="str">
        <f>IFERROR(__xludf.DUMMYFUNCTION("""COMPUTED_VALUE"""),"p7まで")</f>
        <v>p7まで</v>
      </c>
      <c r="Z5112" s="7"/>
      <c r="AA5112" s="7"/>
      <c r="AB5112" s="7"/>
    </row>
    <row r="5113" ht="15.75" customHeight="1">
      <c r="A5113" s="26">
        <f>IFERROR(__xludf.DUMMYFUNCTION("""COMPUTED_VALUE"""),7235.0)</f>
        <v>7235</v>
      </c>
      <c r="B5113" s="22" t="str">
        <f>IFERROR(__xludf.DUMMYFUNCTION("""COMPUTED_VALUE"""),"確定")</f>
        <v>確定</v>
      </c>
      <c r="C5113" s="28">
        <f>IFERROR(__xludf.DUMMYFUNCTION("""COMPUTED_VALUE"""),46038.0)</f>
        <v>46038</v>
      </c>
      <c r="D5113" s="28">
        <f>IFERROR(__xludf.DUMMYFUNCTION("""COMPUTED_VALUE"""),46139.0)</f>
        <v>46139</v>
      </c>
      <c r="E5113" s="26">
        <f>IFERROR(__xludf.DUMMYFUNCTION("""COMPUTED_VALUE"""),361102.0)</f>
        <v>361102</v>
      </c>
      <c r="F5113" s="22" t="str">
        <f>IFERROR(__xludf.DUMMYFUNCTION("""COMPUTED_VALUE"""),"王女と罪人は夜に蕩ける")</f>
        <v>王女と罪人は夜に蕩ける</v>
      </c>
      <c r="G5113" s="20">
        <f>IFERROR(__xludf.DUMMYFUNCTION("""COMPUTED_VALUE"""),1.0)</f>
        <v>1</v>
      </c>
      <c r="H5113" s="22" t="str">
        <f>IFERROR(__xludf.DUMMYFUNCTION("""COMPUTED_VALUE"""),"ねじがなめた")</f>
        <v>ねじがなめた</v>
      </c>
      <c r="I5113" s="22" t="str">
        <f>IFERROR(__xludf.DUMMYFUNCTION("""COMPUTED_VALUE"""),"TL")</f>
        <v>TL</v>
      </c>
      <c r="J5113" s="22"/>
      <c r="K5113" s="22" t="str">
        <f>IFERROR(__xludf.DUMMYFUNCTION("""COMPUTED_VALUE"""),"comic LAKE")</f>
        <v>comic LAKE</v>
      </c>
      <c r="L5113" s="22" t="str">
        <f>IFERROR(__xludf.DUMMYFUNCTION("""COMPUTED_VALUE"""),"一迅社")</f>
        <v>一迅社</v>
      </c>
      <c r="M5113" s="33">
        <f>IFERROR(__xludf.DUMMYFUNCTION("""COMPUTED_VALUE"""),46197.0)</f>
        <v>46197</v>
      </c>
      <c r="N5113" s="33">
        <f>IFERROR(__xludf.DUMMYFUNCTION("""COMPUTED_VALUE"""),46257.0)</f>
        <v>46257</v>
      </c>
      <c r="O5113" s="20"/>
      <c r="P5113" s="32" t="str">
        <f>IFERROR(__xludf.DUMMYFUNCTION("""COMPUTED_VALUE"""),"可")</f>
        <v>可</v>
      </c>
      <c r="Q5113" s="30" t="str">
        <f>IFERROR(__xludf.DUMMYFUNCTION("""COMPUTED_VALUE"""),"『わたくしの可愛い旦那さまへの愛が今宵も止まりませんっ 異世界令嬢攻めアンソロジー』の単話配信")</f>
        <v>『わたくしの可愛い旦那さまへの愛が今宵も止まりませんっ 異世界令嬢攻めアンソロジー』の単話配信</v>
      </c>
      <c r="R5113" s="22"/>
      <c r="S5113" s="22" t="str">
        <f>IFERROR(__xludf.DUMMYFUNCTION("""COMPUTED_VALUE"""),"20260423_一迅社_王女と罪人は夜に蕩ける")</f>
        <v>20260423_一迅社_王女と罪人は夜に蕩ける</v>
      </c>
      <c r="T5113" s="22" t="str">
        <f>IFERROR(__xludf.DUMMYFUNCTION("""COMPUTED_VALUE"""),"格納済み")</f>
        <v>格納済み</v>
      </c>
      <c r="U5113" s="9" t="str">
        <f>IFERROR(__xludf.DUMMYFUNCTION("""COMPUTED_VALUE"""),"(C)ねじがなめた／一迅社")</f>
        <v>(C)ねじがなめた／一迅社</v>
      </c>
      <c r="V5113" s="8"/>
      <c r="W5113" s="8"/>
      <c r="X5113" s="8" t="str">
        <f>IFERROR(__xludf.DUMMYFUNCTION("""COMPUTED_VALUE"""),"有")</f>
        <v>有</v>
      </c>
      <c r="Y5113" s="8" t="str">
        <f>IFERROR(__xludf.DUMMYFUNCTION("""COMPUTED_VALUE"""),"p8まで")</f>
        <v>p8まで</v>
      </c>
      <c r="Z5113" s="7"/>
      <c r="AA5113" s="7"/>
      <c r="AB5113" s="7"/>
    </row>
    <row r="5114" ht="15.75" customHeight="1">
      <c r="A5114" s="26">
        <f>IFERROR(__xludf.DUMMYFUNCTION("""COMPUTED_VALUE"""),7237.0)</f>
        <v>7237</v>
      </c>
      <c r="B5114" s="22" t="str">
        <f>IFERROR(__xludf.DUMMYFUNCTION("""COMPUTED_VALUE"""),"確定")</f>
        <v>確定</v>
      </c>
      <c r="C5114" s="28">
        <f>IFERROR(__xludf.DUMMYFUNCTION("""COMPUTED_VALUE"""),46038.0)</f>
        <v>46038</v>
      </c>
      <c r="D5114" s="28">
        <f>IFERROR(__xludf.DUMMYFUNCTION("""COMPUTED_VALUE"""),46139.0)</f>
        <v>46139</v>
      </c>
      <c r="E5114" s="26">
        <f>IFERROR(__xludf.DUMMYFUNCTION("""COMPUTED_VALUE"""),361104.0)</f>
        <v>361104</v>
      </c>
      <c r="F5114" s="22" t="str">
        <f>IFERROR(__xludf.DUMMYFUNCTION("""COMPUTED_VALUE"""),"月夜は甘い檻の中")</f>
        <v>月夜は甘い檻の中</v>
      </c>
      <c r="G5114" s="20">
        <f>IFERROR(__xludf.DUMMYFUNCTION("""COMPUTED_VALUE"""),1.0)</f>
        <v>1</v>
      </c>
      <c r="H5114" s="22" t="str">
        <f>IFERROR(__xludf.DUMMYFUNCTION("""COMPUTED_VALUE"""),"眞山")</f>
        <v>眞山</v>
      </c>
      <c r="I5114" s="22" t="str">
        <f>IFERROR(__xludf.DUMMYFUNCTION("""COMPUTED_VALUE"""),"TL")</f>
        <v>TL</v>
      </c>
      <c r="J5114" s="22"/>
      <c r="K5114" s="22" t="str">
        <f>IFERROR(__xludf.DUMMYFUNCTION("""COMPUTED_VALUE"""),"comic LAKE")</f>
        <v>comic LAKE</v>
      </c>
      <c r="L5114" s="22" t="str">
        <f>IFERROR(__xludf.DUMMYFUNCTION("""COMPUTED_VALUE"""),"一迅社")</f>
        <v>一迅社</v>
      </c>
      <c r="M5114" s="33">
        <f>IFERROR(__xludf.DUMMYFUNCTION("""COMPUTED_VALUE"""),46197.0)</f>
        <v>46197</v>
      </c>
      <c r="N5114" s="33">
        <f>IFERROR(__xludf.DUMMYFUNCTION("""COMPUTED_VALUE"""),46257.0)</f>
        <v>46257</v>
      </c>
      <c r="O5114" s="20" t="str">
        <f>IFERROR(__xludf.DUMMYFUNCTION("""COMPUTED_VALUE"""),"【アダルト作品扱い】")</f>
        <v>【アダルト作品扱い】</v>
      </c>
      <c r="P5114" s="32" t="str">
        <f>IFERROR(__xludf.DUMMYFUNCTION("""COMPUTED_VALUE"""),"可")</f>
        <v>可</v>
      </c>
      <c r="Q5114" s="30" t="str">
        <f>IFERROR(__xludf.DUMMYFUNCTION("""COMPUTED_VALUE"""),"『わたくしの可愛い旦那さまへの愛が今宵も止まりませんっ 異世界令嬢攻めアンソロジー』の単話配信")</f>
        <v>『わたくしの可愛い旦那さまへの愛が今宵も止まりませんっ 異世界令嬢攻めアンソロジー』の単話配信</v>
      </c>
      <c r="R5114" s="22"/>
      <c r="S5114" s="22" t="str">
        <f>IFERROR(__xludf.DUMMYFUNCTION("""COMPUTED_VALUE"""),"20260423_一迅社_月夜は甘い檻の中")</f>
        <v>20260423_一迅社_月夜は甘い檻の中</v>
      </c>
      <c r="T5114" s="22" t="str">
        <f>IFERROR(__xludf.DUMMYFUNCTION("""COMPUTED_VALUE"""),"格納済み")</f>
        <v>格納済み</v>
      </c>
      <c r="U5114" s="9" t="str">
        <f>IFERROR(__xludf.DUMMYFUNCTION("""COMPUTED_VALUE"""),"(C)眞山／一迅社")</f>
        <v>(C)眞山／一迅社</v>
      </c>
      <c r="V5114" s="8"/>
      <c r="W5114" s="8"/>
      <c r="X5114" s="8" t="str">
        <f>IFERROR(__xludf.DUMMYFUNCTION("""COMPUTED_VALUE"""),"有")</f>
        <v>有</v>
      </c>
      <c r="Y5114" s="8" t="str">
        <f>IFERROR(__xludf.DUMMYFUNCTION("""COMPUTED_VALUE"""),"p7まで")</f>
        <v>p7まで</v>
      </c>
      <c r="Z5114" s="7"/>
      <c r="AA5114" s="7"/>
      <c r="AB5114" s="7"/>
    </row>
    <row r="5115" ht="15.75" customHeight="1">
      <c r="A5115" s="26">
        <f>IFERROR(__xludf.DUMMYFUNCTION("""COMPUTED_VALUE"""),7263.0)</f>
        <v>7263</v>
      </c>
      <c r="B5115" s="22" t="str">
        <f>IFERROR(__xludf.DUMMYFUNCTION("""COMPUTED_VALUE"""),"確定")</f>
        <v>確定</v>
      </c>
      <c r="C5115" s="28">
        <f>IFERROR(__xludf.DUMMYFUNCTION("""COMPUTED_VALUE"""),46043.0)</f>
        <v>46043</v>
      </c>
      <c r="D5115" s="28">
        <f>IFERROR(__xludf.DUMMYFUNCTION("""COMPUTED_VALUE"""),46139.0)</f>
        <v>46139</v>
      </c>
      <c r="E5115" s="26">
        <f>IFERROR(__xludf.DUMMYFUNCTION("""COMPUTED_VALUE"""),361731.0)</f>
        <v>361731</v>
      </c>
      <c r="F5115" s="22" t="str">
        <f>IFERROR(__xludf.DUMMYFUNCTION("""COMPUTED_VALUE"""),"ミラ・ブランシャールは二度救う ～ある日、親友は別人になった～")</f>
        <v>ミラ・ブランシャールは二度救う ～ある日、親友は別人になった～</v>
      </c>
      <c r="G5115" s="20" t="str">
        <f>IFERROR(__xludf.DUMMYFUNCTION("""COMPUTED_VALUE"""),"1～4")</f>
        <v>1～4</v>
      </c>
      <c r="H5115" s="22" t="str">
        <f>IFERROR(__xludf.DUMMYFUNCTION("""COMPUTED_VALUE"""),"和歌綾太")</f>
        <v>和歌綾太</v>
      </c>
      <c r="I5115" s="22" t="str">
        <f>IFERROR(__xludf.DUMMYFUNCTION("""COMPUTED_VALUE"""),"女性")</f>
        <v>女性</v>
      </c>
      <c r="J5115" s="22"/>
      <c r="K5115" s="22"/>
      <c r="L5115" s="22" t="str">
        <f>IFERROR(__xludf.DUMMYFUNCTION("""COMPUTED_VALUE"""),"DPNブックス")</f>
        <v>DPNブックス</v>
      </c>
      <c r="M5115" s="33">
        <f>IFERROR(__xludf.DUMMYFUNCTION("""COMPUTED_VALUE"""),46164.0)</f>
        <v>46164</v>
      </c>
      <c r="N5115" s="33">
        <f>IFERROR(__xludf.DUMMYFUNCTION("""COMPUTED_VALUE"""),46224.0)</f>
        <v>46224</v>
      </c>
      <c r="O5115" s="20"/>
      <c r="P5115" s="32" t="str">
        <f>IFERROR(__xludf.DUMMYFUNCTION("""COMPUTED_VALUE"""),"可")</f>
        <v>可</v>
      </c>
      <c r="Q5115" s="30"/>
      <c r="R5115" s="22" t="str">
        <f>IFERROR(__xludf.DUMMYFUNCTION("""COMPUTED_VALUE"""),"コミットOK")</f>
        <v>コミットOK</v>
      </c>
      <c r="S5115" s="22" t="str">
        <f>IFERROR(__xludf.DUMMYFUNCTION("""COMPUTED_VALUE"""),"20260423_DPNブックス_ミラ・ブランシャールは二度救う ～ある日、親友は別人になった～")</f>
        <v>20260423_DPNブックス_ミラ・ブランシャールは二度救う ～ある日、親友は別人になった～</v>
      </c>
      <c r="T5115" s="22" t="str">
        <f>IFERROR(__xludf.DUMMYFUNCTION("""COMPUTED_VALUE"""),"格納済み")</f>
        <v>格納済み</v>
      </c>
      <c r="U5115" s="9" t="str">
        <f>IFERROR(__xludf.DUMMYFUNCTION("""COMPUTED_VALUE"""),"(C)和歌綾太／DPNブックス")</f>
        <v>(C)和歌綾太／DPNブックス</v>
      </c>
      <c r="V5115" s="8"/>
      <c r="W5115" s="8"/>
      <c r="X5115" s="8" t="str">
        <f>IFERROR(__xludf.DUMMYFUNCTION("""COMPUTED_VALUE"""),"有")</f>
        <v>有</v>
      </c>
      <c r="Y5115" s="8" t="str">
        <f>IFERROR(__xludf.DUMMYFUNCTION("""COMPUTED_VALUE"""),"P7まで")</f>
        <v>P7まで</v>
      </c>
      <c r="Z5115" s="7"/>
      <c r="AA5115" s="7"/>
      <c r="AB5115" s="7"/>
    </row>
    <row r="5116" ht="15.75" customHeight="1">
      <c r="A5116" s="26">
        <f>IFERROR(__xludf.DUMMYFUNCTION("""COMPUTED_VALUE"""),7265.0)</f>
        <v>7265</v>
      </c>
      <c r="B5116" s="22" t="str">
        <f>IFERROR(__xludf.DUMMYFUNCTION("""COMPUTED_VALUE"""),"確定")</f>
        <v>確定</v>
      </c>
      <c r="C5116" s="28">
        <f>IFERROR(__xludf.DUMMYFUNCTION("""COMPUTED_VALUE"""),46043.0)</f>
        <v>46043</v>
      </c>
      <c r="D5116" s="28">
        <f>IFERROR(__xludf.DUMMYFUNCTION("""COMPUTED_VALUE"""),46139.0)</f>
        <v>46139</v>
      </c>
      <c r="E5116" s="26">
        <f>IFERROR(__xludf.DUMMYFUNCTION("""COMPUTED_VALUE"""),361271.0)</f>
        <v>361271</v>
      </c>
      <c r="F5116" s="22" t="str">
        <f>IFERROR(__xludf.DUMMYFUNCTION("""COMPUTED_VALUE"""),"灰色のふたりの愛ある結婚")</f>
        <v>灰色のふたりの愛ある結婚</v>
      </c>
      <c r="G5116" s="20" t="str">
        <f>IFERROR(__xludf.DUMMYFUNCTION("""COMPUTED_VALUE"""),"1～4")</f>
        <v>1～4</v>
      </c>
      <c r="H5116" s="22" t="str">
        <f>IFERROR(__xludf.DUMMYFUNCTION("""COMPUTED_VALUE"""),"染作")</f>
        <v>染作</v>
      </c>
      <c r="I5116" s="22" t="str">
        <f>IFERROR(__xludf.DUMMYFUNCTION("""COMPUTED_VALUE"""),"女性")</f>
        <v>女性</v>
      </c>
      <c r="J5116" s="22"/>
      <c r="K5116" s="22"/>
      <c r="L5116" s="22" t="str">
        <f>IFERROR(__xludf.DUMMYFUNCTION("""COMPUTED_VALUE"""),"DPNブックス")</f>
        <v>DPNブックス</v>
      </c>
      <c r="M5116" s="33">
        <f>IFERROR(__xludf.DUMMYFUNCTION("""COMPUTED_VALUE"""),46164.0)</f>
        <v>46164</v>
      </c>
      <c r="N5116" s="33">
        <f>IFERROR(__xludf.DUMMYFUNCTION("""COMPUTED_VALUE"""),46224.0)</f>
        <v>46224</v>
      </c>
      <c r="O5116" s="20"/>
      <c r="P5116" s="32" t="str">
        <f>IFERROR(__xludf.DUMMYFUNCTION("""COMPUTED_VALUE"""),"可")</f>
        <v>可</v>
      </c>
      <c r="Q5116" s="30"/>
      <c r="R5116" s="22" t="str">
        <f>IFERROR(__xludf.DUMMYFUNCTION("""COMPUTED_VALUE"""),"コミットOK")</f>
        <v>コミットOK</v>
      </c>
      <c r="S5116" s="22" t="str">
        <f>IFERROR(__xludf.DUMMYFUNCTION("""COMPUTED_VALUE"""),"20260423_DPNブックス_灰色のふたりの愛ある結婚")</f>
        <v>20260423_DPNブックス_灰色のふたりの愛ある結婚</v>
      </c>
      <c r="T5116" s="22" t="str">
        <f>IFERROR(__xludf.DUMMYFUNCTION("""COMPUTED_VALUE"""),"格納済み")</f>
        <v>格納済み</v>
      </c>
      <c r="U5116" s="9" t="str">
        <f>IFERROR(__xludf.DUMMYFUNCTION("""COMPUTED_VALUE"""),"(C)染作／DPNブックス")</f>
        <v>(C)染作／DPNブックス</v>
      </c>
      <c r="V5116" s="8"/>
      <c r="W5116" s="8"/>
      <c r="X5116" s="8" t="str">
        <f>IFERROR(__xludf.DUMMYFUNCTION("""COMPUTED_VALUE"""),"有")</f>
        <v>有</v>
      </c>
      <c r="Y5116" s="8" t="str">
        <f>IFERROR(__xludf.DUMMYFUNCTION("""COMPUTED_VALUE"""),"7/21まで1巻無料")</f>
        <v>7/21まで1巻無料</v>
      </c>
      <c r="Z5116" s="7"/>
      <c r="AA5116" s="7"/>
      <c r="AB5116" s="7"/>
    </row>
    <row r="5117" ht="15.75" customHeight="1">
      <c r="A5117" s="26">
        <f>IFERROR(__xludf.DUMMYFUNCTION("""COMPUTED_VALUE"""),7367.0)</f>
        <v>7367</v>
      </c>
      <c r="B5117" s="22" t="str">
        <f>IFERROR(__xludf.DUMMYFUNCTION("""COMPUTED_VALUE"""),"確定")</f>
        <v>確定</v>
      </c>
      <c r="C5117" s="28">
        <f>IFERROR(__xludf.DUMMYFUNCTION("""COMPUTED_VALUE"""),46056.0)</f>
        <v>46056</v>
      </c>
      <c r="D5117" s="28">
        <f>IFERROR(__xludf.DUMMYFUNCTION("""COMPUTED_VALUE"""),46140.0)</f>
        <v>46140</v>
      </c>
      <c r="E5117" s="26">
        <f>IFERROR(__xludf.DUMMYFUNCTION("""COMPUTED_VALUE"""),360650.0)</f>
        <v>360650</v>
      </c>
      <c r="F5117" s="22" t="str">
        <f>IFERROR(__xludf.DUMMYFUNCTION("""COMPUTED_VALUE"""),"晴明様のおっしゃることには　平安陰陽診療録　【連載版】")</f>
        <v>晴明様のおっしゃることには　平安陰陽診療録　【連載版】</v>
      </c>
      <c r="G5117" s="20" t="str">
        <f>IFERROR(__xludf.DUMMYFUNCTION("""COMPUTED_VALUE"""),"1~5")</f>
        <v>1~5</v>
      </c>
      <c r="H5117" s="22" t="str">
        <f>IFERROR(__xludf.DUMMYFUNCTION("""COMPUTED_VALUE"""),"漫画：いなる　原作：田井ノエル　医療監修：山科章")</f>
        <v>漫画：いなる　原作：田井ノエル　医療監修：山科章</v>
      </c>
      <c r="I5117" s="22" t="str">
        <f>IFERROR(__xludf.DUMMYFUNCTION("""COMPUTED_VALUE"""),"少女")</f>
        <v>少女</v>
      </c>
      <c r="J5117" s="22"/>
      <c r="K5117" s="22" t="str">
        <f>IFERROR(__xludf.DUMMYFUNCTION("""COMPUTED_VALUE"""),"ZERO-SUMコミックス")</f>
        <v>ZERO-SUMコミックス</v>
      </c>
      <c r="L5117" s="22" t="str">
        <f>IFERROR(__xludf.DUMMYFUNCTION("""COMPUTED_VALUE"""),"一迅社")</f>
        <v>一迅社</v>
      </c>
      <c r="M5117" s="33">
        <f>IFERROR(__xludf.DUMMYFUNCTION("""COMPUTED_VALUE"""),46174.0)</f>
        <v>46174</v>
      </c>
      <c r="N5117" s="33">
        <f>IFERROR(__xludf.DUMMYFUNCTION("""COMPUTED_VALUE"""),46234.0)</f>
        <v>46234</v>
      </c>
      <c r="O5117" s="20"/>
      <c r="P5117" s="32" t="str">
        <f>IFERROR(__xludf.DUMMYFUNCTION("""COMPUTED_VALUE"""),"否")</f>
        <v>否</v>
      </c>
      <c r="Q5117" s="30" t="str">
        <f>IFERROR(__xludf.DUMMYFUNCTION("""COMPUTED_VALUE"""),"1~4巻の素材で広告制作お願いいたします")</f>
        <v>1~4巻の素材で広告制作お願いいたします</v>
      </c>
      <c r="R5117" s="22"/>
      <c r="S5117" s="22" t="str">
        <f>IFERROR(__xludf.DUMMYFUNCTION("""COMPUTED_VALUE"""),"20260428_一迅社_晴明様のおっしゃることには　平安陰陽診療録")</f>
        <v>20260428_一迅社_晴明様のおっしゃることには　平安陰陽診療録</v>
      </c>
      <c r="T5117" s="22" t="str">
        <f>IFERROR(__xludf.DUMMYFUNCTION("""COMPUTED_VALUE"""),"格納済み")</f>
        <v>格納済み</v>
      </c>
      <c r="U5117" s="9" t="str">
        <f>IFERROR(__xludf.DUMMYFUNCTION("""COMPUTED_VALUE"""),"(C)いなる・田井ノエル／一迅社")</f>
        <v>(C)いなる・田井ノエル／一迅社</v>
      </c>
      <c r="V5117" s="8"/>
      <c r="W5117" s="8"/>
      <c r="X5117" s="8" t="str">
        <f>IFERROR(__xludf.DUMMYFUNCTION("""COMPUTED_VALUE"""),"有")</f>
        <v>有</v>
      </c>
      <c r="Y5117" s="8" t="str">
        <f>IFERROR(__xludf.DUMMYFUNCTION("""COMPUTED_VALUE"""),"2026/07/31まで1巻無料")</f>
        <v>2026/07/31まで1巻無料</v>
      </c>
      <c r="Z5117" s="7"/>
      <c r="AA5117" s="7"/>
      <c r="AB5117" s="7"/>
    </row>
    <row r="5118" ht="15.75" customHeight="1">
      <c r="A5118" s="26">
        <f>IFERROR(__xludf.DUMMYFUNCTION("""COMPUTED_VALUE"""),7405.0)</f>
        <v>7405</v>
      </c>
      <c r="B5118" s="22" t="str">
        <f>IFERROR(__xludf.DUMMYFUNCTION("""COMPUTED_VALUE"""),"確定")</f>
        <v>確定</v>
      </c>
      <c r="C5118" s="28">
        <f>IFERROR(__xludf.DUMMYFUNCTION("""COMPUTED_VALUE"""),46062.0)</f>
        <v>46062</v>
      </c>
      <c r="D5118" s="28">
        <f>IFERROR(__xludf.DUMMYFUNCTION("""COMPUTED_VALUE"""),46139.0)</f>
        <v>46139</v>
      </c>
      <c r="E5118" s="26">
        <f>IFERROR(__xludf.DUMMYFUNCTION("""COMPUTED_VALUE"""),364355.0)</f>
        <v>364355</v>
      </c>
      <c r="F5118" s="22" t="str">
        <f>IFERROR(__xludf.DUMMYFUNCTION("""COMPUTED_VALUE"""),"今から断罪されそうな偽聖女に転生してしまった～すべてをひっくり返して生き残れ～")</f>
        <v>今から断罪されそうな偽聖女に転生してしまった～すべてをひっくり返して生き残れ～</v>
      </c>
      <c r="G5118" s="20">
        <f>IFERROR(__xludf.DUMMYFUNCTION("""COMPUTED_VALUE"""),1.0)</f>
        <v>1</v>
      </c>
      <c r="H5118" s="22" t="str">
        <f>IFERROR(__xludf.DUMMYFUNCTION("""COMPUTED_VALUE"""),"漫画：白良木羅々　原作：来須みかん")</f>
        <v>漫画：白良木羅々　原作：来須みかん</v>
      </c>
      <c r="I5118" s="22" t="str">
        <f>IFERROR(__xludf.DUMMYFUNCTION("""COMPUTED_VALUE"""),"少女")</f>
        <v>少女</v>
      </c>
      <c r="J5118" s="22"/>
      <c r="K5118" s="22" t="str">
        <f>IFERROR(__xludf.DUMMYFUNCTION("""COMPUTED_VALUE"""),"ZERO-SUMコミックス")</f>
        <v>ZERO-SUMコミックス</v>
      </c>
      <c r="L5118" s="22" t="str">
        <f>IFERROR(__xludf.DUMMYFUNCTION("""COMPUTED_VALUE"""),"一迅社")</f>
        <v>一迅社</v>
      </c>
      <c r="M5118" s="33">
        <f>IFERROR(__xludf.DUMMYFUNCTION("""COMPUTED_VALUE"""),46204.0)</f>
        <v>46204</v>
      </c>
      <c r="N5118" s="33">
        <f>IFERROR(__xludf.DUMMYFUNCTION("""COMPUTED_VALUE"""),46265.0)</f>
        <v>46265</v>
      </c>
      <c r="O5118" s="20"/>
      <c r="P5118" s="32" t="str">
        <f>IFERROR(__xludf.DUMMYFUNCTION("""COMPUTED_VALUE"""),"否")</f>
        <v>否</v>
      </c>
      <c r="Q5118" s="30" t="str">
        <f>IFERROR(__xludf.DUMMYFUNCTION("""COMPUTED_VALUE"""),"「偽聖女だと言われましたが、どうやら私が本物のようですよ？ アンソロジーコミック: 4」掲載")</f>
        <v>「偽聖女だと言われましたが、どうやら私が本物のようですよ？ アンソロジーコミック: 4」掲載</v>
      </c>
      <c r="R5118" s="22"/>
      <c r="S5118" s="22" t="str">
        <f>IFERROR(__xludf.DUMMYFUNCTION("""COMPUTED_VALUE"""),"20260422_一迅社_今から断罪されそうな偽聖女に転生してしまった～すべてをひっくり返して生き残れ～")</f>
        <v>20260422_一迅社_今から断罪されそうな偽聖女に転生してしまった～すべてをひっくり返して生き残れ～</v>
      </c>
      <c r="T5118" s="22" t="str">
        <f>IFERROR(__xludf.DUMMYFUNCTION("""COMPUTED_VALUE"""),"格納済み")</f>
        <v>格納済み</v>
      </c>
      <c r="U5118" s="9" t="str">
        <f>IFERROR(__xludf.DUMMYFUNCTION("""COMPUTED_VALUE"""),"(C)白良木羅々・来須みかん／一迅社")</f>
        <v>(C)白良木羅々・来須みかん／一迅社</v>
      </c>
      <c r="V5118" s="8"/>
      <c r="W5118" s="8"/>
      <c r="X5118" s="8" t="str">
        <f>IFERROR(__xludf.DUMMYFUNCTION("""COMPUTED_VALUE"""),"有")</f>
        <v>有</v>
      </c>
      <c r="Y5118" s="8" t="str">
        <f>IFERROR(__xludf.DUMMYFUNCTION("""COMPUTED_VALUE"""),"p8まで")</f>
        <v>p8まで</v>
      </c>
      <c r="Z5118" s="7"/>
      <c r="AA5118" s="7"/>
      <c r="AB5118" s="7"/>
    </row>
    <row r="5119" ht="15.75" customHeight="1">
      <c r="A5119" s="26">
        <f>IFERROR(__xludf.DUMMYFUNCTION("""COMPUTED_VALUE"""),7407.0)</f>
        <v>7407</v>
      </c>
      <c r="B5119" s="22" t="str">
        <f>IFERROR(__xludf.DUMMYFUNCTION("""COMPUTED_VALUE"""),"確定")</f>
        <v>確定</v>
      </c>
      <c r="C5119" s="28">
        <f>IFERROR(__xludf.DUMMYFUNCTION("""COMPUTED_VALUE"""),46062.0)</f>
        <v>46062</v>
      </c>
      <c r="D5119" s="28">
        <f>IFERROR(__xludf.DUMMYFUNCTION("""COMPUTED_VALUE"""),46139.0)</f>
        <v>46139</v>
      </c>
      <c r="E5119" s="26">
        <f>IFERROR(__xludf.DUMMYFUNCTION("""COMPUTED_VALUE"""),364357.0)</f>
        <v>364357</v>
      </c>
      <c r="F5119" s="22" t="str">
        <f>IFERROR(__xludf.DUMMYFUNCTION("""COMPUTED_VALUE"""),"召喚聖女は毒の王へ嫁がされる")</f>
        <v>召喚聖女は毒の王へ嫁がされる</v>
      </c>
      <c r="G5119" s="20">
        <f>IFERROR(__xludf.DUMMYFUNCTION("""COMPUTED_VALUE"""),1.0)</f>
        <v>1</v>
      </c>
      <c r="H5119" s="22" t="str">
        <f>IFERROR(__xludf.DUMMYFUNCTION("""COMPUTED_VALUE"""),"漫画：鱧永あるひ　原作：天樹堂")</f>
        <v>漫画：鱧永あるひ　原作：天樹堂</v>
      </c>
      <c r="I5119" s="22" t="str">
        <f>IFERROR(__xludf.DUMMYFUNCTION("""COMPUTED_VALUE"""),"少女")</f>
        <v>少女</v>
      </c>
      <c r="J5119" s="22"/>
      <c r="K5119" s="22" t="str">
        <f>IFERROR(__xludf.DUMMYFUNCTION("""COMPUTED_VALUE"""),"ZERO-SUMコミックス")</f>
        <v>ZERO-SUMコミックス</v>
      </c>
      <c r="L5119" s="22" t="str">
        <f>IFERROR(__xludf.DUMMYFUNCTION("""COMPUTED_VALUE"""),"一迅社")</f>
        <v>一迅社</v>
      </c>
      <c r="M5119" s="33">
        <f>IFERROR(__xludf.DUMMYFUNCTION("""COMPUTED_VALUE"""),46204.0)</f>
        <v>46204</v>
      </c>
      <c r="N5119" s="33">
        <f>IFERROR(__xludf.DUMMYFUNCTION("""COMPUTED_VALUE"""),46265.0)</f>
        <v>46265</v>
      </c>
      <c r="O5119" s="20"/>
      <c r="P5119" s="32" t="str">
        <f>IFERROR(__xludf.DUMMYFUNCTION("""COMPUTED_VALUE"""),"否")</f>
        <v>否</v>
      </c>
      <c r="Q5119" s="30" t="str">
        <f>IFERROR(__xludf.DUMMYFUNCTION("""COMPUTED_VALUE"""),"「偽聖女だと言われましたが、どうやら私が本物のようですよ？ アンソロジーコミック: 4」掲載&lt;BR&gt;")</f>
        <v>「偽聖女だと言われましたが、どうやら私が本物のようですよ？ アンソロジーコミック: 4」掲載&lt;BR&gt;</v>
      </c>
      <c r="R5119" s="22"/>
      <c r="S5119" s="22" t="str">
        <f>IFERROR(__xludf.DUMMYFUNCTION("""COMPUTED_VALUE"""),"20260421_一迅社_召喚聖女は毒の王へ嫁がされる")</f>
        <v>20260421_一迅社_召喚聖女は毒の王へ嫁がされる</v>
      </c>
      <c r="T5119" s="22" t="str">
        <f>IFERROR(__xludf.DUMMYFUNCTION("""COMPUTED_VALUE"""),"格納済み")</f>
        <v>格納済み</v>
      </c>
      <c r="U5119" s="9" t="str">
        <f>IFERROR(__xludf.DUMMYFUNCTION("""COMPUTED_VALUE"""),"(C)鱧永あるひ・天樹堂／一迅社")</f>
        <v>(C)鱧永あるひ・天樹堂／一迅社</v>
      </c>
      <c r="V5119" s="8"/>
      <c r="W5119" s="8"/>
      <c r="X5119" s="8" t="str">
        <f>IFERROR(__xludf.DUMMYFUNCTION("""COMPUTED_VALUE"""),"有")</f>
        <v>有</v>
      </c>
      <c r="Y5119" s="8" t="str">
        <f>IFERROR(__xludf.DUMMYFUNCTION("""COMPUTED_VALUE"""),"p8まで")</f>
        <v>p8まで</v>
      </c>
      <c r="Z5119" s="7"/>
      <c r="AA5119" s="7"/>
      <c r="AB5119" s="7"/>
    </row>
    <row r="5120" ht="15.75" customHeight="1">
      <c r="A5120" s="26">
        <f>IFERROR(__xludf.DUMMYFUNCTION("""COMPUTED_VALUE"""),7410.0)</f>
        <v>7410</v>
      </c>
      <c r="B5120" s="22" t="str">
        <f>IFERROR(__xludf.DUMMYFUNCTION("""COMPUTED_VALUE"""),"確定")</f>
        <v>確定</v>
      </c>
      <c r="C5120" s="28">
        <f>IFERROR(__xludf.DUMMYFUNCTION("""COMPUTED_VALUE"""),46062.0)</f>
        <v>46062</v>
      </c>
      <c r="D5120" s="28">
        <f>IFERROR(__xludf.DUMMYFUNCTION("""COMPUTED_VALUE"""),46136.0)</f>
        <v>46136</v>
      </c>
      <c r="E5120" s="26">
        <f>IFERROR(__xludf.DUMMYFUNCTION("""COMPUTED_VALUE"""),364358.0)</f>
        <v>364358</v>
      </c>
      <c r="F5120" s="22" t="str">
        <f>IFERROR(__xludf.DUMMYFUNCTION("""COMPUTED_VALUE"""),"虐げられた聖女の能力は幸福に比例します")</f>
        <v>虐げられた聖女の能力は幸福に比例します</v>
      </c>
      <c r="G5120" s="20">
        <f>IFERROR(__xludf.DUMMYFUNCTION("""COMPUTED_VALUE"""),1.0)</f>
        <v>1</v>
      </c>
      <c r="H5120" s="22" t="str">
        <f>IFERROR(__xludf.DUMMYFUNCTION("""COMPUTED_VALUE"""),"漫画：あかつき三日　原作：和泉")</f>
        <v>漫画：あかつき三日　原作：和泉</v>
      </c>
      <c r="I5120" s="22" t="str">
        <f>IFERROR(__xludf.DUMMYFUNCTION("""COMPUTED_VALUE"""),"少女")</f>
        <v>少女</v>
      </c>
      <c r="J5120" s="22"/>
      <c r="K5120" s="22" t="str">
        <f>IFERROR(__xludf.DUMMYFUNCTION("""COMPUTED_VALUE"""),"ZERO-SUMコミックス")</f>
        <v>ZERO-SUMコミックス</v>
      </c>
      <c r="L5120" s="22" t="str">
        <f>IFERROR(__xludf.DUMMYFUNCTION("""COMPUTED_VALUE"""),"一迅社")</f>
        <v>一迅社</v>
      </c>
      <c r="M5120" s="33">
        <f>IFERROR(__xludf.DUMMYFUNCTION("""COMPUTED_VALUE"""),46204.0)</f>
        <v>46204</v>
      </c>
      <c r="N5120" s="33">
        <f>IFERROR(__xludf.DUMMYFUNCTION("""COMPUTED_VALUE"""),46265.0)</f>
        <v>46265</v>
      </c>
      <c r="O5120" s="20"/>
      <c r="P5120" s="32" t="str">
        <f>IFERROR(__xludf.DUMMYFUNCTION("""COMPUTED_VALUE"""),"否")</f>
        <v>否</v>
      </c>
      <c r="Q5120" s="30" t="str">
        <f>IFERROR(__xludf.DUMMYFUNCTION("""COMPUTED_VALUE"""),"「偽聖女だと言われましたが、どうやら私が本物のようですよ？ アンソロジーコミック: 4」掲載")</f>
        <v>「偽聖女だと言われましたが、どうやら私が本物のようですよ？ アンソロジーコミック: 4」掲載</v>
      </c>
      <c r="R5120" s="22"/>
      <c r="S5120" s="22" t="str">
        <f>IFERROR(__xludf.DUMMYFUNCTION("""COMPUTED_VALUE"""),"20260422_一迅社_虐げられた聖女の能力は幸福に比例します")</f>
        <v>20260422_一迅社_虐げられた聖女の能力は幸福に比例します</v>
      </c>
      <c r="T5120" s="22" t="str">
        <f>IFERROR(__xludf.DUMMYFUNCTION("""COMPUTED_VALUE"""),"格納済み")</f>
        <v>格納済み</v>
      </c>
      <c r="U5120" s="9" t="str">
        <f>IFERROR(__xludf.DUMMYFUNCTION("""COMPUTED_VALUE"""),"(C)あかつき三日・和泉／一迅社")</f>
        <v>(C)あかつき三日・和泉／一迅社</v>
      </c>
      <c r="V5120" s="8"/>
      <c r="W5120" s="8"/>
      <c r="X5120" s="8" t="str">
        <f>IFERROR(__xludf.DUMMYFUNCTION("""COMPUTED_VALUE"""),"有")</f>
        <v>有</v>
      </c>
      <c r="Y5120" s="8" t="str">
        <f>IFERROR(__xludf.DUMMYFUNCTION("""COMPUTED_VALUE"""),"p9まで")</f>
        <v>p9まで</v>
      </c>
      <c r="Z5120" s="7"/>
      <c r="AA5120" s="7"/>
      <c r="AB5120" s="7"/>
    </row>
    <row r="5121" ht="15.75" customHeight="1">
      <c r="A5121" s="26">
        <f>IFERROR(__xludf.DUMMYFUNCTION("""COMPUTED_VALUE"""),7411.0)</f>
        <v>7411</v>
      </c>
      <c r="B5121" s="22" t="str">
        <f>IFERROR(__xludf.DUMMYFUNCTION("""COMPUTED_VALUE"""),"確定")</f>
        <v>確定</v>
      </c>
      <c r="C5121" s="28">
        <f>IFERROR(__xludf.DUMMYFUNCTION("""COMPUTED_VALUE"""),46062.0)</f>
        <v>46062</v>
      </c>
      <c r="D5121" s="28">
        <f>IFERROR(__xludf.DUMMYFUNCTION("""COMPUTED_VALUE"""),46136.0)</f>
        <v>46136</v>
      </c>
      <c r="E5121" s="26">
        <f>IFERROR(__xludf.DUMMYFUNCTION("""COMPUTED_VALUE"""),364405.0)</f>
        <v>364405</v>
      </c>
      <c r="F5121" s="22" t="str">
        <f>IFERROR(__xludf.DUMMYFUNCTION("""COMPUTED_VALUE"""),"追放された元聖女ですが、マジで偽聖女だったので助かりました。")</f>
        <v>追放された元聖女ですが、マジで偽聖女だったので助かりました。</v>
      </c>
      <c r="G5121" s="20">
        <f>IFERROR(__xludf.DUMMYFUNCTION("""COMPUTED_VALUE"""),1.0)</f>
        <v>1</v>
      </c>
      <c r="H5121" s="22" t="str">
        <f>IFERROR(__xludf.DUMMYFUNCTION("""COMPUTED_VALUE"""),"漫画：あれいと　原作：てんつぶ")</f>
        <v>漫画：あれいと　原作：てんつぶ</v>
      </c>
      <c r="I5121" s="22" t="str">
        <f>IFERROR(__xludf.DUMMYFUNCTION("""COMPUTED_VALUE"""),"少女")</f>
        <v>少女</v>
      </c>
      <c r="J5121" s="22"/>
      <c r="K5121" s="22" t="str">
        <f>IFERROR(__xludf.DUMMYFUNCTION("""COMPUTED_VALUE"""),"ZERO-SUMコミックス")</f>
        <v>ZERO-SUMコミックス</v>
      </c>
      <c r="L5121" s="22" t="str">
        <f>IFERROR(__xludf.DUMMYFUNCTION("""COMPUTED_VALUE"""),"一迅社")</f>
        <v>一迅社</v>
      </c>
      <c r="M5121" s="33">
        <f>IFERROR(__xludf.DUMMYFUNCTION("""COMPUTED_VALUE"""),46204.0)</f>
        <v>46204</v>
      </c>
      <c r="N5121" s="33">
        <f>IFERROR(__xludf.DUMMYFUNCTION("""COMPUTED_VALUE"""),46265.0)</f>
        <v>46265</v>
      </c>
      <c r="O5121" s="20"/>
      <c r="P5121" s="32" t="str">
        <f>IFERROR(__xludf.DUMMYFUNCTION("""COMPUTED_VALUE"""),"否")</f>
        <v>否</v>
      </c>
      <c r="Q5121" s="30" t="str">
        <f>IFERROR(__xludf.DUMMYFUNCTION("""COMPUTED_VALUE"""),"「偽聖女だと言われましたが、どうやら私が本物のようですよ？ アンソロジーコミック: 5」掲載")</f>
        <v>「偽聖女だと言われましたが、どうやら私が本物のようですよ？ アンソロジーコミック: 5」掲載</v>
      </c>
      <c r="R5121" s="22"/>
      <c r="S5121" s="22" t="str">
        <f>IFERROR(__xludf.DUMMYFUNCTION("""COMPUTED_VALUE"""),"20260422_一迅社_追放された元聖女ですが、マジで偽聖女だったので助かりました。")</f>
        <v>20260422_一迅社_追放された元聖女ですが、マジで偽聖女だったので助かりました。</v>
      </c>
      <c r="T5121" s="22" t="str">
        <f>IFERROR(__xludf.DUMMYFUNCTION("""COMPUTED_VALUE"""),"格納済み")</f>
        <v>格納済み</v>
      </c>
      <c r="U5121" s="9" t="str">
        <f>IFERROR(__xludf.DUMMYFUNCTION("""COMPUTED_VALUE"""),"(C)あれいと・てんつぶ／一迅社")</f>
        <v>(C)あれいと・てんつぶ／一迅社</v>
      </c>
      <c r="V5121" s="8"/>
      <c r="W5121" s="8"/>
      <c r="X5121" s="8" t="str">
        <f>IFERROR(__xludf.DUMMYFUNCTION("""COMPUTED_VALUE"""),"有")</f>
        <v>有</v>
      </c>
      <c r="Y5121" s="8" t="str">
        <f>IFERROR(__xludf.DUMMYFUNCTION("""COMPUTED_VALUE"""),"p8まで")</f>
        <v>p8まで</v>
      </c>
      <c r="Z5121" s="7"/>
      <c r="AA5121" s="7"/>
      <c r="AB5121" s="7"/>
    </row>
    <row r="5122" ht="15.75" customHeight="1">
      <c r="A5122" s="26">
        <f>IFERROR(__xludf.DUMMYFUNCTION("""COMPUTED_VALUE"""),7412.0)</f>
        <v>7412</v>
      </c>
      <c r="B5122" s="22" t="str">
        <f>IFERROR(__xludf.DUMMYFUNCTION("""COMPUTED_VALUE"""),"確定")</f>
        <v>確定</v>
      </c>
      <c r="C5122" s="28">
        <f>IFERROR(__xludf.DUMMYFUNCTION("""COMPUTED_VALUE"""),46062.0)</f>
        <v>46062</v>
      </c>
      <c r="D5122" s="28">
        <f>IFERROR(__xludf.DUMMYFUNCTION("""COMPUTED_VALUE"""),46136.0)</f>
        <v>46136</v>
      </c>
      <c r="E5122" s="26">
        <f>IFERROR(__xludf.DUMMYFUNCTION("""COMPUTED_VALUE"""),364406.0)</f>
        <v>364406</v>
      </c>
      <c r="F5122" s="22" t="str">
        <f>IFERROR(__xludf.DUMMYFUNCTION("""COMPUTED_VALUE"""),"追放聖女と闇の契り〜妹にすべてを奪われた偽聖女。今更謝っても遅いです～")</f>
        <v>追放聖女と闇の契り〜妹にすべてを奪われた偽聖女。今更謝っても遅いです～</v>
      </c>
      <c r="G5122" s="20">
        <f>IFERROR(__xludf.DUMMYFUNCTION("""COMPUTED_VALUE"""),1.0)</f>
        <v>1</v>
      </c>
      <c r="H5122" s="22" t="str">
        <f>IFERROR(__xludf.DUMMYFUNCTION("""COMPUTED_VALUE"""),"漫画：瓜田ノヒト　原作：真夏")</f>
        <v>漫画：瓜田ノヒト　原作：真夏</v>
      </c>
      <c r="I5122" s="22" t="str">
        <f>IFERROR(__xludf.DUMMYFUNCTION("""COMPUTED_VALUE"""),"少女")</f>
        <v>少女</v>
      </c>
      <c r="J5122" s="22"/>
      <c r="K5122" s="22" t="str">
        <f>IFERROR(__xludf.DUMMYFUNCTION("""COMPUTED_VALUE"""),"ZERO-SUMコミックス")</f>
        <v>ZERO-SUMコミックス</v>
      </c>
      <c r="L5122" s="22" t="str">
        <f>IFERROR(__xludf.DUMMYFUNCTION("""COMPUTED_VALUE"""),"一迅社")</f>
        <v>一迅社</v>
      </c>
      <c r="M5122" s="33">
        <f>IFERROR(__xludf.DUMMYFUNCTION("""COMPUTED_VALUE"""),46204.0)</f>
        <v>46204</v>
      </c>
      <c r="N5122" s="33">
        <f>IFERROR(__xludf.DUMMYFUNCTION("""COMPUTED_VALUE"""),46265.0)</f>
        <v>46265</v>
      </c>
      <c r="O5122" s="20"/>
      <c r="P5122" s="32" t="str">
        <f>IFERROR(__xludf.DUMMYFUNCTION("""COMPUTED_VALUE"""),"否")</f>
        <v>否</v>
      </c>
      <c r="Q5122" s="30" t="str">
        <f>IFERROR(__xludf.DUMMYFUNCTION("""COMPUTED_VALUE"""),"「偽聖女だと言われましたが、どうやら私が本物のようですよ？ アンソロジーコミック: 5」掲載")</f>
        <v>「偽聖女だと言われましたが、どうやら私が本物のようですよ？ アンソロジーコミック: 5」掲載</v>
      </c>
      <c r="R5122" s="22"/>
      <c r="S5122" s="22" t="str">
        <f>IFERROR(__xludf.DUMMYFUNCTION("""COMPUTED_VALUE"""),"20260422_一迅社_追放聖女と闇の契り〜妹にすべてを奪われた偽聖女。今更謝っても遅いです～")</f>
        <v>20260422_一迅社_追放聖女と闇の契り〜妹にすべてを奪われた偽聖女。今更謝っても遅いです～</v>
      </c>
      <c r="T5122" s="22" t="str">
        <f>IFERROR(__xludf.DUMMYFUNCTION("""COMPUTED_VALUE"""),"格納済み")</f>
        <v>格納済み</v>
      </c>
      <c r="U5122" s="9" t="str">
        <f>IFERROR(__xludf.DUMMYFUNCTION("""COMPUTED_VALUE"""),"(C)瓜田ノヒト・真夏／一迅社")</f>
        <v>(C)瓜田ノヒト・真夏／一迅社</v>
      </c>
      <c r="V5122" s="8"/>
      <c r="W5122" s="8"/>
      <c r="X5122" s="8" t="str">
        <f>IFERROR(__xludf.DUMMYFUNCTION("""COMPUTED_VALUE"""),"有")</f>
        <v>有</v>
      </c>
      <c r="Y5122" s="8" t="str">
        <f>IFERROR(__xludf.DUMMYFUNCTION("""COMPUTED_VALUE"""),"p6まで")</f>
        <v>p6まで</v>
      </c>
      <c r="Z5122" s="7"/>
      <c r="AA5122" s="7"/>
      <c r="AB5122" s="7"/>
    </row>
    <row r="5123" ht="15.75" customHeight="1">
      <c r="A5123" s="26">
        <f>IFERROR(__xludf.DUMMYFUNCTION("""COMPUTED_VALUE"""),7413.0)</f>
        <v>7413</v>
      </c>
      <c r="B5123" s="22" t="str">
        <f>IFERROR(__xludf.DUMMYFUNCTION("""COMPUTED_VALUE"""),"確定")</f>
        <v>確定</v>
      </c>
      <c r="C5123" s="28">
        <f>IFERROR(__xludf.DUMMYFUNCTION("""COMPUTED_VALUE"""),46062.0)</f>
        <v>46062</v>
      </c>
      <c r="D5123" s="28">
        <f>IFERROR(__xludf.DUMMYFUNCTION("""COMPUTED_VALUE"""),46136.0)</f>
        <v>46136</v>
      </c>
      <c r="E5123" s="26">
        <f>IFERROR(__xludf.DUMMYFUNCTION("""COMPUTED_VALUE"""),364407.0)</f>
        <v>364407</v>
      </c>
      <c r="F5123" s="22" t="str">
        <f>IFERROR(__xludf.DUMMYFUNCTION("""COMPUTED_VALUE"""),"意地悪な姉が聖女らしいので、私は悪役令嬢になります！")</f>
        <v>意地悪な姉が聖女らしいので、私は悪役令嬢になります！</v>
      </c>
      <c r="G5123" s="20">
        <f>IFERROR(__xludf.DUMMYFUNCTION("""COMPUTED_VALUE"""),1.0)</f>
        <v>1</v>
      </c>
      <c r="H5123" s="22" t="str">
        <f>IFERROR(__xludf.DUMMYFUNCTION("""COMPUTED_VALUE"""),"漫画：森野リエタ　原作：花坂つぐみ")</f>
        <v>漫画：森野リエタ　原作：花坂つぐみ</v>
      </c>
      <c r="I5123" s="22" t="str">
        <f>IFERROR(__xludf.DUMMYFUNCTION("""COMPUTED_VALUE"""),"少女")</f>
        <v>少女</v>
      </c>
      <c r="J5123" s="22"/>
      <c r="K5123" s="22" t="str">
        <f>IFERROR(__xludf.DUMMYFUNCTION("""COMPUTED_VALUE"""),"ZERO-SUMコミックス")</f>
        <v>ZERO-SUMコミックス</v>
      </c>
      <c r="L5123" s="22" t="str">
        <f>IFERROR(__xludf.DUMMYFUNCTION("""COMPUTED_VALUE"""),"一迅社")</f>
        <v>一迅社</v>
      </c>
      <c r="M5123" s="33">
        <f>IFERROR(__xludf.DUMMYFUNCTION("""COMPUTED_VALUE"""),46204.0)</f>
        <v>46204</v>
      </c>
      <c r="N5123" s="33">
        <f>IFERROR(__xludf.DUMMYFUNCTION("""COMPUTED_VALUE"""),46265.0)</f>
        <v>46265</v>
      </c>
      <c r="O5123" s="20"/>
      <c r="P5123" s="32" t="str">
        <f>IFERROR(__xludf.DUMMYFUNCTION("""COMPUTED_VALUE"""),"否")</f>
        <v>否</v>
      </c>
      <c r="Q5123" s="30" t="str">
        <f>IFERROR(__xludf.DUMMYFUNCTION("""COMPUTED_VALUE"""),"「偽聖女だと言われましたが、どうやら私が本物のようですよ？ アンソロジーコミック: 5」掲載")</f>
        <v>「偽聖女だと言われましたが、どうやら私が本物のようですよ？ アンソロジーコミック: 5」掲載</v>
      </c>
      <c r="R5123" s="22"/>
      <c r="S5123" s="22" t="str">
        <f>IFERROR(__xludf.DUMMYFUNCTION("""COMPUTED_VALUE"""),"20260422_一迅社_意地悪な姉が聖女らしいので、私は悪役令嬢になります！")</f>
        <v>20260422_一迅社_意地悪な姉が聖女らしいので、私は悪役令嬢になります！</v>
      </c>
      <c r="T5123" s="22" t="str">
        <f>IFERROR(__xludf.DUMMYFUNCTION("""COMPUTED_VALUE"""),"格納済み")</f>
        <v>格納済み</v>
      </c>
      <c r="U5123" s="9" t="str">
        <f>IFERROR(__xludf.DUMMYFUNCTION("""COMPUTED_VALUE"""),"(C)森野リエタ・花坂つぐみ／一迅社")</f>
        <v>(C)森野リエタ・花坂つぐみ／一迅社</v>
      </c>
      <c r="V5123" s="8"/>
      <c r="W5123" s="8"/>
      <c r="X5123" s="8" t="str">
        <f>IFERROR(__xludf.DUMMYFUNCTION("""COMPUTED_VALUE"""),"有")</f>
        <v>有</v>
      </c>
      <c r="Y5123" s="8" t="str">
        <f>IFERROR(__xludf.DUMMYFUNCTION("""COMPUTED_VALUE"""),"p9まで")</f>
        <v>p9まで</v>
      </c>
      <c r="Z5123" s="7"/>
      <c r="AA5123" s="7"/>
      <c r="AB5123" s="7"/>
    </row>
    <row r="5124" ht="15.75" customHeight="1">
      <c r="A5124" s="26">
        <f>IFERROR(__xludf.DUMMYFUNCTION("""COMPUTED_VALUE"""),7663.0)</f>
        <v>7663</v>
      </c>
      <c r="B5124" s="22" t="str">
        <f>IFERROR(__xludf.DUMMYFUNCTION("""COMPUTED_VALUE"""),"確定")</f>
        <v>確定</v>
      </c>
      <c r="C5124" s="28">
        <f>IFERROR(__xludf.DUMMYFUNCTION("""COMPUTED_VALUE"""),46093.0)</f>
        <v>46093</v>
      </c>
      <c r="D5124" s="28">
        <f>IFERROR(__xludf.DUMMYFUNCTION("""COMPUTED_VALUE"""),46139.0)</f>
        <v>46139</v>
      </c>
      <c r="E5124" s="26">
        <f>IFERROR(__xludf.DUMMYFUNCTION("""COMPUTED_VALUE"""),361732.0)</f>
        <v>361732</v>
      </c>
      <c r="F5124" s="22" t="str">
        <f>IFERROR(__xludf.DUMMYFUNCTION("""COMPUTED_VALUE"""),"悪役聖女は死なせない～転生作家は推理で断罪を覆す～")</f>
        <v>悪役聖女は死なせない～転生作家は推理で断罪を覆す～</v>
      </c>
      <c r="G5124" s="20" t="str">
        <f>IFERROR(__xludf.DUMMYFUNCTION("""COMPUTED_VALUE"""),"1～3")</f>
        <v>1～3</v>
      </c>
      <c r="H5124" s="22" t="str">
        <f>IFERROR(__xludf.DUMMYFUNCTION("""COMPUTED_VALUE"""),"比良坂")</f>
        <v>比良坂</v>
      </c>
      <c r="I5124" s="22" t="str">
        <f>IFERROR(__xludf.DUMMYFUNCTION("""COMPUTED_VALUE"""),"女性マンガ")</f>
        <v>女性マンガ</v>
      </c>
      <c r="J5124" s="22"/>
      <c r="K5124" s="22"/>
      <c r="L5124" s="22" t="str">
        <f>IFERROR(__xludf.DUMMYFUNCTION("""COMPUTED_VALUE"""),"DPNブックス")</f>
        <v>DPNブックス</v>
      </c>
      <c r="M5124" s="33">
        <f>IFERROR(__xludf.DUMMYFUNCTION("""COMPUTED_VALUE"""),46164.0)</f>
        <v>46164</v>
      </c>
      <c r="N5124" s="33">
        <f>IFERROR(__xludf.DUMMYFUNCTION("""COMPUTED_VALUE"""),46224.0)</f>
        <v>46224</v>
      </c>
      <c r="O5124" s="20"/>
      <c r="P5124" s="32" t="str">
        <f>IFERROR(__xludf.DUMMYFUNCTION("""COMPUTED_VALUE"""),"可")</f>
        <v>可</v>
      </c>
      <c r="Q5124" s="30"/>
      <c r="R5124" s="22" t="str">
        <f>IFERROR(__xludf.DUMMYFUNCTION("""COMPUTED_VALUE"""),"コミットNG")</f>
        <v>コミットNG</v>
      </c>
      <c r="S5124" s="22" t="str">
        <f>IFERROR(__xludf.DUMMYFUNCTION("""COMPUTED_VALUE"""),"20260423_DPNブックス_悪役聖女は死なせない～転生作家は推理で断罪を覆す～")</f>
        <v>20260423_DPNブックス_悪役聖女は死なせない～転生作家は推理で断罪を覆す～</v>
      </c>
      <c r="T5124" s="22" t="str">
        <f>IFERROR(__xludf.DUMMYFUNCTION("""COMPUTED_VALUE"""),"格納済み")</f>
        <v>格納済み</v>
      </c>
      <c r="U5124" s="9" t="str">
        <f>IFERROR(__xludf.DUMMYFUNCTION("""COMPUTED_VALUE"""),"(C)比良坂／DPNブックス")</f>
        <v>(C)比良坂／DPNブックス</v>
      </c>
      <c r="V5124" s="8"/>
      <c r="W5124" s="8"/>
      <c r="X5124" s="8" t="str">
        <f>IFERROR(__xludf.DUMMYFUNCTION("""COMPUTED_VALUE"""),"有")</f>
        <v>有</v>
      </c>
      <c r="Y5124" s="8" t="str">
        <f>IFERROR(__xludf.DUMMYFUNCTION("""COMPUTED_VALUE"""),"P9まで")</f>
        <v>P9まで</v>
      </c>
      <c r="Z5124" s="7"/>
      <c r="AA5124" s="7"/>
      <c r="AB5124" s="7"/>
    </row>
    <row r="5125" ht="15.75" customHeight="1">
      <c r="A5125" s="26">
        <f>IFERROR(__xludf.DUMMYFUNCTION("""COMPUTED_VALUE"""),7664.0)</f>
        <v>7664</v>
      </c>
      <c r="B5125" s="22" t="str">
        <f>IFERROR(__xludf.DUMMYFUNCTION("""COMPUTED_VALUE"""),"確定")</f>
        <v>確定</v>
      </c>
      <c r="C5125" s="28">
        <f>IFERROR(__xludf.DUMMYFUNCTION("""COMPUTED_VALUE"""),46093.0)</f>
        <v>46093</v>
      </c>
      <c r="D5125" s="28">
        <f>IFERROR(__xludf.DUMMYFUNCTION("""COMPUTED_VALUE"""),46139.0)</f>
        <v>46139</v>
      </c>
      <c r="E5125" s="26">
        <f>IFERROR(__xludf.DUMMYFUNCTION("""COMPUTED_VALUE"""),361272.0)</f>
        <v>361272</v>
      </c>
      <c r="F5125" s="22" t="str">
        <f>IFERROR(__xludf.DUMMYFUNCTION("""COMPUTED_VALUE"""),"結ぶ恋は、運命につき")</f>
        <v>結ぶ恋は、運命につき</v>
      </c>
      <c r="G5125" s="20" t="str">
        <f>IFERROR(__xludf.DUMMYFUNCTION("""COMPUTED_VALUE"""),"1～3")</f>
        <v>1～3</v>
      </c>
      <c r="H5125" s="22" t="str">
        <f>IFERROR(__xludf.DUMMYFUNCTION("""COMPUTED_VALUE"""),"間下めぐみ")</f>
        <v>間下めぐみ</v>
      </c>
      <c r="I5125" s="22" t="str">
        <f>IFERROR(__xludf.DUMMYFUNCTION("""COMPUTED_VALUE"""),"女性マンガ")</f>
        <v>女性マンガ</v>
      </c>
      <c r="J5125" s="22"/>
      <c r="K5125" s="22"/>
      <c r="L5125" s="22" t="str">
        <f>IFERROR(__xludf.DUMMYFUNCTION("""COMPUTED_VALUE"""),"DPNブックス")</f>
        <v>DPNブックス</v>
      </c>
      <c r="M5125" s="33">
        <f>IFERROR(__xludf.DUMMYFUNCTION("""COMPUTED_VALUE"""),46164.0)</f>
        <v>46164</v>
      </c>
      <c r="N5125" s="33">
        <f>IFERROR(__xludf.DUMMYFUNCTION("""COMPUTED_VALUE"""),46194.0)</f>
        <v>46194</v>
      </c>
      <c r="O5125" s="20"/>
      <c r="P5125" s="32" t="str">
        <f>IFERROR(__xludf.DUMMYFUNCTION("""COMPUTED_VALUE"""),"可")</f>
        <v>可</v>
      </c>
      <c r="Q5125" s="30"/>
      <c r="R5125" s="22" t="str">
        <f>IFERROR(__xludf.DUMMYFUNCTION("""COMPUTED_VALUE"""),"コミットNG")</f>
        <v>コミットNG</v>
      </c>
      <c r="S5125" s="22" t="str">
        <f>IFERROR(__xludf.DUMMYFUNCTION("""COMPUTED_VALUE"""),"20260423_DPNブックス_結ぶ恋は、運命につき")</f>
        <v>20260423_DPNブックス_結ぶ恋は、運命につき</v>
      </c>
      <c r="T5125" s="22" t="str">
        <f>IFERROR(__xludf.DUMMYFUNCTION("""COMPUTED_VALUE"""),"格納済み")</f>
        <v>格納済み</v>
      </c>
      <c r="U5125" s="9" t="str">
        <f>IFERROR(__xludf.DUMMYFUNCTION("""COMPUTED_VALUE"""),"(C)間下めぐみ／DPNブックス")</f>
        <v>(C)間下めぐみ／DPNブックス</v>
      </c>
      <c r="V5125" s="8"/>
      <c r="W5125" s="8"/>
      <c r="X5125" s="8" t="str">
        <f>IFERROR(__xludf.DUMMYFUNCTION("""COMPUTED_VALUE"""),"有")</f>
        <v>有</v>
      </c>
      <c r="Y5125" s="8" t="str">
        <f>IFERROR(__xludf.DUMMYFUNCTION("""COMPUTED_VALUE"""),"6/21まで1巻無料")</f>
        <v>6/21まで1巻無料</v>
      </c>
      <c r="Z5125" s="7"/>
      <c r="AA5125" s="7"/>
      <c r="AB5125" s="7"/>
    </row>
    <row r="5126" ht="15.75" customHeight="1">
      <c r="A5126" s="26">
        <f>IFERROR(__xludf.DUMMYFUNCTION("""COMPUTED_VALUE"""),7694.0)</f>
        <v>7694</v>
      </c>
      <c r="B5126" s="22" t="str">
        <f>IFERROR(__xludf.DUMMYFUNCTION("""COMPUTED_VALUE"""),"確定")</f>
        <v>確定</v>
      </c>
      <c r="C5126" s="28">
        <f>IFERROR(__xludf.DUMMYFUNCTION("""COMPUTED_VALUE"""),46097.0)</f>
        <v>46097</v>
      </c>
      <c r="D5126" s="28">
        <f>IFERROR(__xludf.DUMMYFUNCTION("""COMPUTED_VALUE"""),46139.0)</f>
        <v>46139</v>
      </c>
      <c r="E5126" s="26">
        <f>IFERROR(__xludf.DUMMYFUNCTION("""COMPUTED_VALUE"""),364352.0)</f>
        <v>364352</v>
      </c>
      <c r="F5126" s="22" t="str">
        <f>IFERROR(__xludf.DUMMYFUNCTION("""COMPUTED_VALUE"""),"追放されたやさぐれ聖女はイケオジ公爵に溺愛される～元婚約者と祖国なんぞ知るか！～")</f>
        <v>追放されたやさぐれ聖女はイケオジ公爵に溺愛される～元婚約者と祖国なんぞ知るか！～</v>
      </c>
      <c r="G5126" s="20">
        <f>IFERROR(__xludf.DUMMYFUNCTION("""COMPUTED_VALUE"""),1.0)</f>
        <v>1</v>
      </c>
      <c r="H5126" s="22" t="str">
        <f>IFERROR(__xludf.DUMMYFUNCTION("""COMPUTED_VALUE"""),"漫画：織部とき　原作：琴葉悠")</f>
        <v>漫画：織部とき　原作：琴葉悠</v>
      </c>
      <c r="I5126" s="22" t="str">
        <f>IFERROR(__xludf.DUMMYFUNCTION("""COMPUTED_VALUE"""),"少女")</f>
        <v>少女</v>
      </c>
      <c r="J5126" s="22"/>
      <c r="K5126" s="22" t="str">
        <f>IFERROR(__xludf.DUMMYFUNCTION("""COMPUTED_VALUE"""),"ZERO-SUMコミックス")</f>
        <v>ZERO-SUMコミックス</v>
      </c>
      <c r="L5126" s="22" t="str">
        <f>IFERROR(__xludf.DUMMYFUNCTION("""COMPUTED_VALUE"""),"一迅社")</f>
        <v>一迅社</v>
      </c>
      <c r="M5126" s="33">
        <f>IFERROR(__xludf.DUMMYFUNCTION("""COMPUTED_VALUE"""),46204.0)</f>
        <v>46204</v>
      </c>
      <c r="N5126" s="33">
        <f>IFERROR(__xludf.DUMMYFUNCTION("""COMPUTED_VALUE"""),46265.0)</f>
        <v>46265</v>
      </c>
      <c r="O5126" s="20"/>
      <c r="P5126" s="32" t="str">
        <f>IFERROR(__xludf.DUMMYFUNCTION("""COMPUTED_VALUE"""),"否")</f>
        <v>否</v>
      </c>
      <c r="Q5126" s="30" t="str">
        <f>IFERROR(__xludf.DUMMYFUNCTION("""COMPUTED_VALUE"""),"「偽聖女だと言われましたが、どうやら私が本物のようですよ？ アンソロジーコミック: 5」掲載")</f>
        <v>「偽聖女だと言われましたが、どうやら私が本物のようですよ？ アンソロジーコミック: 5」掲載</v>
      </c>
      <c r="R5126" s="22"/>
      <c r="S5126" s="22" t="str">
        <f>IFERROR(__xludf.DUMMYFUNCTION("""COMPUTED_VALUE"""),"20260422_一迅社_追放されたやさぐれ聖女はイケオジ公爵に溺愛される～元婚約者と祖国なんぞ知るか！～")</f>
        <v>20260422_一迅社_追放されたやさぐれ聖女はイケオジ公爵に溺愛される～元婚約者と祖国なんぞ知るか！～</v>
      </c>
      <c r="T5126" s="22" t="str">
        <f>IFERROR(__xludf.DUMMYFUNCTION("""COMPUTED_VALUE"""),"格納済み")</f>
        <v>格納済み</v>
      </c>
      <c r="U5126" s="9" t="str">
        <f>IFERROR(__xludf.DUMMYFUNCTION("""COMPUTED_VALUE"""),"（C）織部とき・琴葉悠／一迅社")</f>
        <v>（C）織部とき・琴葉悠／一迅社</v>
      </c>
      <c r="V5126" s="8"/>
      <c r="W5126" s="8"/>
      <c r="X5126" s="8" t="str">
        <f>IFERROR(__xludf.DUMMYFUNCTION("""COMPUTED_VALUE"""),"有")</f>
        <v>有</v>
      </c>
      <c r="Y5126" s="8" t="str">
        <f>IFERROR(__xludf.DUMMYFUNCTION("""COMPUTED_VALUE"""),"p7まで")</f>
        <v>p7まで</v>
      </c>
      <c r="Z5126" s="7"/>
      <c r="AA5126" s="7"/>
      <c r="AB5126" s="7"/>
    </row>
    <row r="5127" ht="15.75" customHeight="1">
      <c r="A5127" s="26">
        <f>IFERROR(__xludf.DUMMYFUNCTION("""COMPUTED_VALUE"""),7697.0)</f>
        <v>7697</v>
      </c>
      <c r="B5127" s="22" t="str">
        <f>IFERROR(__xludf.DUMMYFUNCTION("""COMPUTED_VALUE"""),"確定")</f>
        <v>確定</v>
      </c>
      <c r="C5127" s="28">
        <f>IFERROR(__xludf.DUMMYFUNCTION("""COMPUTED_VALUE"""),46097.0)</f>
        <v>46097</v>
      </c>
      <c r="D5127" s="28">
        <f>IFERROR(__xludf.DUMMYFUNCTION("""COMPUTED_VALUE"""),46139.0)</f>
        <v>46139</v>
      </c>
      <c r="E5127" s="26">
        <f>IFERROR(__xludf.DUMMYFUNCTION("""COMPUTED_VALUE"""),361236.0)</f>
        <v>361236</v>
      </c>
      <c r="F5127" s="22" t="str">
        <f>IFERROR(__xludf.DUMMYFUNCTION("""COMPUTED_VALUE"""),"復讐なら、ぼくに任せて〜クズ保育士、地獄送り〜")</f>
        <v>復讐なら、ぼくに任せて〜クズ保育士、地獄送り〜</v>
      </c>
      <c r="G5127" s="20" t="str">
        <f>IFERROR(__xludf.DUMMYFUNCTION("""COMPUTED_VALUE"""),"1～2")</f>
        <v>1～2</v>
      </c>
      <c r="H5127" s="22" t="str">
        <f>IFERROR(__xludf.DUMMYFUNCTION("""COMPUTED_VALUE"""),"夢弥")</f>
        <v>夢弥</v>
      </c>
      <c r="I5127" s="22" t="str">
        <f>IFERROR(__xludf.DUMMYFUNCTION("""COMPUTED_VALUE"""),"青年マンガ")</f>
        <v>青年マンガ</v>
      </c>
      <c r="J5127" s="22"/>
      <c r="K5127" s="22"/>
      <c r="L5127" s="22" t="str">
        <f>IFERROR(__xludf.DUMMYFUNCTION("""COMPUTED_VALUE"""),"1LDK")</f>
        <v>1LDK</v>
      </c>
      <c r="M5127" s="33">
        <f>IFERROR(__xludf.DUMMYFUNCTION("""COMPUTED_VALUE"""),46171.0)</f>
        <v>46171</v>
      </c>
      <c r="N5127" s="33">
        <f>IFERROR(__xludf.DUMMYFUNCTION("""COMPUTED_VALUE"""),46263.0)</f>
        <v>46263</v>
      </c>
      <c r="O5127" s="20"/>
      <c r="P5127" s="32" t="str">
        <f>IFERROR(__xludf.DUMMYFUNCTION("""COMPUTED_VALUE"""),"可")</f>
        <v>可</v>
      </c>
      <c r="Q5127" s="30" t="str">
        <f>IFERROR(__xludf.DUMMYFUNCTION("""COMPUTED_VALUE"""),"単話5作品分のアンソロジー収録作品です。")</f>
        <v>単話5作品分のアンソロジー収録作品です。</v>
      </c>
      <c r="R5127" s="22" t="str">
        <f>IFERROR(__xludf.DUMMYFUNCTION("""COMPUTED_VALUE"""),"コミットOK")</f>
        <v>コミットOK</v>
      </c>
      <c r="S5127" s="22" t="str">
        <f>IFERROR(__xludf.DUMMYFUNCTION("""COMPUTED_VALUE"""),"20260423_1LDK_復讐なら、ぼくに任せて〜クズ保育士、地獄送り〜")</f>
        <v>20260423_1LDK_復讐なら、ぼくに任せて〜クズ保育士、地獄送り〜</v>
      </c>
      <c r="T5127" s="22" t="str">
        <f>IFERROR(__xludf.DUMMYFUNCTION("""COMPUTED_VALUE"""),"格納済み")</f>
        <v>格納済み</v>
      </c>
      <c r="U5127" s="9" t="str">
        <f>IFERROR(__xludf.DUMMYFUNCTION("""COMPUTED_VALUE"""),"Ⓒ夢弥/1LDK")</f>
        <v>Ⓒ夢弥/1LDK</v>
      </c>
      <c r="V5127" s="8"/>
      <c r="W5127" s="8"/>
      <c r="X5127" s="8" t="str">
        <f>IFERROR(__xludf.DUMMYFUNCTION("""COMPUTED_VALUE"""),"有")</f>
        <v>有</v>
      </c>
      <c r="Y5127" s="8" t="str">
        <f>IFERROR(__xludf.DUMMYFUNCTION("""COMPUTED_VALUE"""),"P12まで")</f>
        <v>P12まで</v>
      </c>
      <c r="Z5127" s="7"/>
      <c r="AA5127" s="7"/>
      <c r="AB5127" s="7"/>
    </row>
    <row r="5128" ht="15.75" customHeight="1">
      <c r="A5128" s="26">
        <f>IFERROR(__xludf.DUMMYFUNCTION("""COMPUTED_VALUE"""),7740.0)</f>
        <v>7740</v>
      </c>
      <c r="B5128" s="22" t="str">
        <f>IFERROR(__xludf.DUMMYFUNCTION("""COMPUTED_VALUE"""),"確定")</f>
        <v>確定</v>
      </c>
      <c r="C5128" s="28">
        <f>IFERROR(__xludf.DUMMYFUNCTION("""COMPUTED_VALUE"""),46105.0)</f>
        <v>46105</v>
      </c>
      <c r="D5128" s="28">
        <f>IFERROR(__xludf.DUMMYFUNCTION("""COMPUTED_VALUE"""),46140.0)</f>
        <v>46140</v>
      </c>
      <c r="E5128" s="26">
        <f>IFERROR(__xludf.DUMMYFUNCTION("""COMPUTED_VALUE"""),360112.0)</f>
        <v>360112</v>
      </c>
      <c r="F5128" s="22" t="str">
        <f>IFERROR(__xludf.DUMMYFUNCTION("""COMPUTED_VALUE"""),"【単話売】その日、妻が離婚を切り出した")</f>
        <v>【単話売】その日、妻が離婚を切り出した</v>
      </c>
      <c r="G5128" s="20" t="str">
        <f>IFERROR(__xludf.DUMMYFUNCTION("""COMPUTED_VALUE"""),"1～3")</f>
        <v>1～3</v>
      </c>
      <c r="H5128" s="22" t="str">
        <f>IFERROR(__xludf.DUMMYFUNCTION("""COMPUTED_VALUE"""),"人間まお")</f>
        <v>人間まお</v>
      </c>
      <c r="I5128" s="22" t="str">
        <f>IFERROR(__xludf.DUMMYFUNCTION("""COMPUTED_VALUE"""),"女性")</f>
        <v>女性</v>
      </c>
      <c r="J5128" s="22"/>
      <c r="K5128" s="22"/>
      <c r="L5128" s="22" t="str">
        <f>IFERROR(__xludf.DUMMYFUNCTION("""COMPUTED_VALUE"""),"集英社")</f>
        <v>集英社</v>
      </c>
      <c r="M5128" s="33">
        <f>IFERROR(__xludf.DUMMYFUNCTION("""COMPUTED_VALUE"""),46170.0)</f>
        <v>46170</v>
      </c>
      <c r="N5128" s="33">
        <f>IFERROR(__xludf.DUMMYFUNCTION("""COMPUTED_VALUE"""),46197.0)</f>
        <v>46197</v>
      </c>
      <c r="O5128" s="20"/>
      <c r="P5128" s="32" t="str">
        <f>IFERROR(__xludf.DUMMYFUNCTION("""COMPUTED_VALUE"""),"否")</f>
        <v>否</v>
      </c>
      <c r="Q5128" s="30"/>
      <c r="R5128" s="22" t="str">
        <f>IFERROR(__xludf.DUMMYFUNCTION("""COMPUTED_VALUE"""),"コミットNG")</f>
        <v>コミットNG</v>
      </c>
      <c r="S5128" s="22" t="str">
        <f>IFERROR(__xludf.DUMMYFUNCTION("""COMPUTED_VALUE"""),"20260424_集英社_その日、妻が離婚を切り出した")</f>
        <v>20260424_集英社_その日、妻が離婚を切り出した</v>
      </c>
      <c r="T5128" s="22" t="str">
        <f>IFERROR(__xludf.DUMMYFUNCTION("""COMPUTED_VALUE"""),"格納済み")</f>
        <v>格納済み</v>
      </c>
      <c r="U5128" s="9" t="str">
        <f>IFERROR(__xludf.DUMMYFUNCTION("""COMPUTED_VALUE"""),"(c)人間まお／集英社クリエイティブ")</f>
        <v>(c)人間まお／集英社クリエイティブ</v>
      </c>
      <c r="V5128" s="8"/>
      <c r="W5128" s="8"/>
      <c r="X5128" s="8" t="str">
        <f>IFERROR(__xludf.DUMMYFUNCTION("""COMPUTED_VALUE"""),"有")</f>
        <v>有</v>
      </c>
      <c r="Y5128" s="8" t="str">
        <f>IFERROR(__xludf.DUMMYFUNCTION("""COMPUTED_VALUE"""),"p5まで")</f>
        <v>p5まで</v>
      </c>
      <c r="Z5128" s="7"/>
      <c r="AA5128" s="7"/>
      <c r="AB5128" s="7"/>
    </row>
    <row r="5129" ht="15.75" customHeight="1">
      <c r="A5129" s="26">
        <f>IFERROR(__xludf.DUMMYFUNCTION("""COMPUTED_VALUE"""),7747.0)</f>
        <v>7747</v>
      </c>
      <c r="B5129" s="22" t="str">
        <f>IFERROR(__xludf.DUMMYFUNCTION("""COMPUTED_VALUE"""),"確定")</f>
        <v>確定</v>
      </c>
      <c r="C5129" s="28">
        <f>IFERROR(__xludf.DUMMYFUNCTION("""COMPUTED_VALUE"""),46106.0)</f>
        <v>46106</v>
      </c>
      <c r="D5129" s="28">
        <f>IFERROR(__xludf.DUMMYFUNCTION("""COMPUTED_VALUE"""),46139.0)</f>
        <v>46139</v>
      </c>
      <c r="E5129" s="26">
        <f>IFERROR(__xludf.DUMMYFUNCTION("""COMPUTED_VALUE"""),360115.0)</f>
        <v>360115</v>
      </c>
      <c r="F5129" s="22" t="str">
        <f>IFERROR(__xludf.DUMMYFUNCTION("""COMPUTED_VALUE"""),"【単話売】鍵のない檻")</f>
        <v>【単話売】鍵のない檻</v>
      </c>
      <c r="G5129" s="20" t="str">
        <f>IFERROR(__xludf.DUMMYFUNCTION("""COMPUTED_VALUE"""),"1～3")</f>
        <v>1～3</v>
      </c>
      <c r="H5129" s="22" t="str">
        <f>IFERROR(__xludf.DUMMYFUNCTION("""COMPUTED_VALUE"""),"上村秀子")</f>
        <v>上村秀子</v>
      </c>
      <c r="I5129" s="22" t="str">
        <f>IFERROR(__xludf.DUMMYFUNCTION("""COMPUTED_VALUE"""),"女性")</f>
        <v>女性</v>
      </c>
      <c r="J5129" s="22"/>
      <c r="K5129" s="22"/>
      <c r="L5129" s="22" t="str">
        <f>IFERROR(__xludf.DUMMYFUNCTION("""COMPUTED_VALUE"""),"集英社")</f>
        <v>集英社</v>
      </c>
      <c r="M5129" s="33">
        <f>IFERROR(__xludf.DUMMYFUNCTION("""COMPUTED_VALUE"""),46170.0)</f>
        <v>46170</v>
      </c>
      <c r="N5129" s="33">
        <f>IFERROR(__xludf.DUMMYFUNCTION("""COMPUTED_VALUE"""),46197.0)</f>
        <v>46197</v>
      </c>
      <c r="O5129" s="20"/>
      <c r="P5129" s="32" t="str">
        <f>IFERROR(__xludf.DUMMYFUNCTION("""COMPUTED_VALUE"""),"否")</f>
        <v>否</v>
      </c>
      <c r="Q5129" s="30"/>
      <c r="R5129" s="22" t="str">
        <f>IFERROR(__xludf.DUMMYFUNCTION("""COMPUTED_VALUE"""),"コミットNG")</f>
        <v>コミットNG</v>
      </c>
      <c r="S5129" s="22" t="str">
        <f>IFERROR(__xludf.DUMMYFUNCTION("""COMPUTED_VALUE"""),"20260424_集英社_鍵のない檻")</f>
        <v>20260424_集英社_鍵のない檻</v>
      </c>
      <c r="T5129" s="22" t="str">
        <f>IFERROR(__xludf.DUMMYFUNCTION("""COMPUTED_VALUE"""),"格納済み")</f>
        <v>格納済み</v>
      </c>
      <c r="U5129" s="9" t="str">
        <f>IFERROR(__xludf.DUMMYFUNCTION("""COMPUTED_VALUE"""),"(c)上村秀子／集英社クリエイティブ")</f>
        <v>(c)上村秀子／集英社クリエイティブ</v>
      </c>
      <c r="V5129" s="8"/>
      <c r="W5129" s="8"/>
      <c r="X5129" s="8" t="str">
        <f>IFERROR(__xludf.DUMMYFUNCTION("""COMPUTED_VALUE"""),"有")</f>
        <v>有</v>
      </c>
      <c r="Y5129" s="8" t="str">
        <f>IFERROR(__xludf.DUMMYFUNCTION("""COMPUTED_VALUE"""),"p12まで")</f>
        <v>p12まで</v>
      </c>
      <c r="Z5129" s="7"/>
      <c r="AA5129" s="7"/>
      <c r="AB5129" s="7"/>
    </row>
    <row r="5130" ht="15.75" customHeight="1">
      <c r="A5130" s="26">
        <f>IFERROR(__xludf.DUMMYFUNCTION("""COMPUTED_VALUE"""),7752.0)</f>
        <v>7752</v>
      </c>
      <c r="B5130" s="22" t="str">
        <f>IFERROR(__xludf.DUMMYFUNCTION("""COMPUTED_VALUE"""),"確定")</f>
        <v>確定</v>
      </c>
      <c r="C5130" s="28">
        <f>IFERROR(__xludf.DUMMYFUNCTION("""COMPUTED_VALUE"""),46107.0)</f>
        <v>46107</v>
      </c>
      <c r="D5130" s="28">
        <f>IFERROR(__xludf.DUMMYFUNCTION("""COMPUTED_VALUE"""),46140.0)</f>
        <v>46140</v>
      </c>
      <c r="E5130" s="26">
        <f>IFERROR(__xludf.DUMMYFUNCTION("""COMPUTED_VALUE"""),362994.0)</f>
        <v>362994</v>
      </c>
      <c r="F5130" s="22" t="str">
        <f>IFERROR(__xludf.DUMMYFUNCTION("""COMPUTED_VALUE"""),"孤独な旦那様は、愛しきひきこもり伯爵 ～仮面に隠れた熱と色香に蕩けていく～")</f>
        <v>孤独な旦那様は、愛しきひきこもり伯爵 ～仮面に隠れた熱と色香に蕩けていく～</v>
      </c>
      <c r="G5130" s="20" t="str">
        <f>IFERROR(__xludf.DUMMYFUNCTION("""COMPUTED_VALUE"""),"1～2")</f>
        <v>1～2</v>
      </c>
      <c r="H5130" s="22" t="str">
        <f>IFERROR(__xludf.DUMMYFUNCTION("""COMPUTED_VALUE"""),"ゆうき莉子")</f>
        <v>ゆうき莉子</v>
      </c>
      <c r="I5130" s="22" t="str">
        <f>IFERROR(__xludf.DUMMYFUNCTION("""COMPUTED_VALUE"""),"TLマンガ")</f>
        <v>TLマンガ</v>
      </c>
      <c r="J5130" s="22"/>
      <c r="K5130" s="22" t="str">
        <f>IFERROR(__xludf.DUMMYFUNCTION("""COMPUTED_VALUE"""),"LOVE FLICK")</f>
        <v>LOVE FLICK</v>
      </c>
      <c r="L5130" s="22" t="str">
        <f>IFERROR(__xludf.DUMMYFUNCTION("""COMPUTED_VALUE"""),"CLLENN")</f>
        <v>CLLENN</v>
      </c>
      <c r="M5130" s="33">
        <f>IFERROR(__xludf.DUMMYFUNCTION("""COMPUTED_VALUE"""),46190.0)</f>
        <v>46190</v>
      </c>
      <c r="N5130" s="33">
        <f>IFERROR(__xludf.DUMMYFUNCTION("""COMPUTED_VALUE"""),46252.0)</f>
        <v>46252</v>
      </c>
      <c r="O5130" s="20" t="str">
        <f>IFERROR(__xludf.DUMMYFUNCTION("""COMPUTED_VALUE"""),"【アダルト作品扱い】")</f>
        <v>【アダルト作品扱い】</v>
      </c>
      <c r="P5130" s="32" t="str">
        <f>IFERROR(__xludf.DUMMYFUNCTION("""COMPUTED_VALUE"""),"可")</f>
        <v>可</v>
      </c>
      <c r="Q5130" s="30"/>
      <c r="R5130" s="22" t="str">
        <f>IFERROR(__xludf.DUMMYFUNCTION("""COMPUTED_VALUE"""),"コミットOK")</f>
        <v>コミットOK</v>
      </c>
      <c r="S5130" s="22" t="str">
        <f>IFERROR(__xludf.DUMMYFUNCTION("""COMPUTED_VALUE"""),"20260427_CLLENN_孤独な旦那様は、愛しきひきこもり伯爵 〜仮面に隠れた熱と色香に蕩けていく〜")</f>
        <v>20260427_CLLENN_孤独な旦那様は、愛しきひきこもり伯爵 〜仮面に隠れた熱と色香に蕩けていく〜</v>
      </c>
      <c r="T5130" s="22" t="str">
        <f>IFERROR(__xludf.DUMMYFUNCTION("""COMPUTED_VALUE"""),"格納済み")</f>
        <v>格納済み</v>
      </c>
      <c r="U5130" s="9" t="str">
        <f>IFERROR(__xludf.DUMMYFUNCTION("""COMPUTED_VALUE"""),"Ⓒゆうき莉子/CLLENN")</f>
        <v>Ⓒゆうき莉子/CLLENN</v>
      </c>
      <c r="V5130" s="8"/>
      <c r="W5130" s="8"/>
      <c r="X5130" s="8" t="str">
        <f>IFERROR(__xludf.DUMMYFUNCTION("""COMPUTED_VALUE"""),"有")</f>
        <v>有</v>
      </c>
      <c r="Y5130" s="8" t="str">
        <f>IFERROR(__xludf.DUMMYFUNCTION("""COMPUTED_VALUE"""),"2026/6/30までp22まで立ち読み増量")</f>
        <v>2026/6/30までp22まで立ち読み増量</v>
      </c>
      <c r="Z5130" s="7"/>
      <c r="AA5130" s="7"/>
      <c r="AB5130" s="7"/>
    </row>
    <row r="5131" ht="15.75" customHeight="1">
      <c r="A5131" s="26">
        <f>IFERROR(__xludf.DUMMYFUNCTION("""COMPUTED_VALUE"""),7760.0)</f>
        <v>7760</v>
      </c>
      <c r="B5131" s="22" t="str">
        <f>IFERROR(__xludf.DUMMYFUNCTION("""COMPUTED_VALUE"""),"確定")</f>
        <v>確定</v>
      </c>
      <c r="C5131" s="28">
        <f>IFERROR(__xludf.DUMMYFUNCTION("""COMPUTED_VALUE"""),46107.0)</f>
        <v>46107</v>
      </c>
      <c r="D5131" s="28">
        <f>IFERROR(__xludf.DUMMYFUNCTION("""COMPUTED_VALUE"""),46140.0)</f>
        <v>46140</v>
      </c>
      <c r="E5131" s="26">
        <f>IFERROR(__xludf.DUMMYFUNCTION("""COMPUTED_VALUE"""),360114.0)</f>
        <v>360114</v>
      </c>
      <c r="F5131" s="22" t="str">
        <f>IFERROR(__xludf.DUMMYFUNCTION("""COMPUTED_VALUE"""),"【単話売】彼の両手はすり抜けない")</f>
        <v>【単話売】彼の両手はすり抜けない</v>
      </c>
      <c r="G5131" s="20" t="str">
        <f>IFERROR(__xludf.DUMMYFUNCTION("""COMPUTED_VALUE"""),"1～3")</f>
        <v>1～3</v>
      </c>
      <c r="H5131" s="22" t="str">
        <f>IFERROR(__xludf.DUMMYFUNCTION("""COMPUTED_VALUE"""),"シタラマサコ　原作／志月かなで")</f>
        <v>シタラマサコ　原作／志月かなで</v>
      </c>
      <c r="I5131" s="22" t="str">
        <f>IFERROR(__xludf.DUMMYFUNCTION("""COMPUTED_VALUE"""),"女性")</f>
        <v>女性</v>
      </c>
      <c r="J5131" s="22"/>
      <c r="K5131" s="22"/>
      <c r="L5131" s="22" t="str">
        <f>IFERROR(__xludf.DUMMYFUNCTION("""COMPUTED_VALUE"""),"集英社")</f>
        <v>集英社</v>
      </c>
      <c r="M5131" s="33">
        <f>IFERROR(__xludf.DUMMYFUNCTION("""COMPUTED_VALUE"""),46170.0)</f>
        <v>46170</v>
      </c>
      <c r="N5131" s="33">
        <f>IFERROR(__xludf.DUMMYFUNCTION("""COMPUTED_VALUE"""),46197.0)</f>
        <v>46197</v>
      </c>
      <c r="O5131" s="20"/>
      <c r="P5131" s="32" t="str">
        <f>IFERROR(__xludf.DUMMYFUNCTION("""COMPUTED_VALUE"""),"否")</f>
        <v>否</v>
      </c>
      <c r="Q5131" s="30"/>
      <c r="R5131" s="22" t="str">
        <f>IFERROR(__xludf.DUMMYFUNCTION("""COMPUTED_VALUE"""),"コミットNG")</f>
        <v>コミットNG</v>
      </c>
      <c r="S5131" s="22" t="str">
        <f>IFERROR(__xludf.DUMMYFUNCTION("""COMPUTED_VALUE"""),"20260424_集英社_彼の両手はすり抜けない")</f>
        <v>20260424_集英社_彼の両手はすり抜けない</v>
      </c>
      <c r="T5131" s="22" t="str">
        <f>IFERROR(__xludf.DUMMYFUNCTION("""COMPUTED_VALUE"""),"格納済み")</f>
        <v>格納済み</v>
      </c>
      <c r="U5131" s="9" t="str">
        <f>IFERROR(__xludf.DUMMYFUNCTION("""COMPUTED_VALUE"""),"(c)シタラマサコ・志月かなで／集英社クリエイティブ")</f>
        <v>(c)シタラマサコ・志月かなで／集英社クリエイティブ</v>
      </c>
      <c r="V5131" s="8"/>
      <c r="W5131" s="8"/>
      <c r="X5131" s="8" t="str">
        <f>IFERROR(__xludf.DUMMYFUNCTION("""COMPUTED_VALUE"""),"有")</f>
        <v>有</v>
      </c>
      <c r="Y5131" s="8" t="str">
        <f>IFERROR(__xludf.DUMMYFUNCTION("""COMPUTED_VALUE"""),"p12まで")</f>
        <v>p12まで</v>
      </c>
      <c r="Z5131" s="7"/>
      <c r="AA5131" s="7"/>
      <c r="AB5131" s="7"/>
    </row>
    <row r="5132" ht="15.75" customHeight="1">
      <c r="A5132" s="26">
        <f>IFERROR(__xludf.DUMMYFUNCTION("""COMPUTED_VALUE"""),7832.0)</f>
        <v>7832</v>
      </c>
      <c r="B5132" s="22" t="str">
        <f>IFERROR(__xludf.DUMMYFUNCTION("""COMPUTED_VALUE"""),"確定")</f>
        <v>確定</v>
      </c>
      <c r="C5132" s="28">
        <f>IFERROR(__xludf.DUMMYFUNCTION("""COMPUTED_VALUE"""),46127.0)</f>
        <v>46127</v>
      </c>
      <c r="D5132" s="28">
        <f>IFERROR(__xludf.DUMMYFUNCTION("""COMPUTED_VALUE"""),46139.0)</f>
        <v>46139</v>
      </c>
      <c r="E5132" s="26">
        <f>IFERROR(__xludf.DUMMYFUNCTION("""COMPUTED_VALUE"""),360765.0)</f>
        <v>360765</v>
      </c>
      <c r="F5132" s="22" t="str">
        <f>IFERROR(__xludf.DUMMYFUNCTION("""COMPUTED_VALUE"""),"未来の男たち【タテヨミ】")</f>
        <v>未来の男たち【タテヨミ】</v>
      </c>
      <c r="G5132" s="20" t="str">
        <f>IFERROR(__xludf.DUMMYFUNCTION("""COMPUTED_VALUE"""),"1~11")</f>
        <v>1~11</v>
      </c>
      <c r="H5132" s="22" t="str">
        <f>IFERROR(__xludf.DUMMYFUNCTION("""COMPUTED_VALUE"""),"Jeyukheonteo┴kimpuckpuck┴gold bozi")</f>
        <v>Jeyukheonteo┴kimpuckpuck┴gold bozi</v>
      </c>
      <c r="I5132" s="22" t="str">
        <f>IFERROR(__xludf.DUMMYFUNCTION("""COMPUTED_VALUE"""),"TL")</f>
        <v>TL</v>
      </c>
      <c r="J5132" s="22"/>
      <c r="K5132" s="22"/>
      <c r="L5132" s="22" t="str">
        <f>IFERROR(__xludf.DUMMYFUNCTION("""COMPUTED_VALUE"""),"Studio Number Zero")</f>
        <v>Studio Number Zero</v>
      </c>
      <c r="M5132" s="33">
        <f>IFERROR(__xludf.DUMMYFUNCTION("""COMPUTED_VALUE"""),46162.0)</f>
        <v>46162</v>
      </c>
      <c r="N5132" s="33">
        <f>IFERROR(__xludf.DUMMYFUNCTION("""COMPUTED_VALUE"""),46253.0)</f>
        <v>46253</v>
      </c>
      <c r="O5132" s="20" t="str">
        <f>IFERROR(__xludf.DUMMYFUNCTION("""COMPUTED_VALUE"""),"【アダルト作品扱い】")</f>
        <v>【アダルト作品扱い】</v>
      </c>
      <c r="P5132" s="32" t="str">
        <f>IFERROR(__xludf.DUMMYFUNCTION("""COMPUTED_VALUE"""),"可")</f>
        <v>可</v>
      </c>
      <c r="Q5132" s="30" t="str">
        <f>IFERROR(__xludf.DUMMYFUNCTION("""COMPUTED_VALUE"""),"11話完結")</f>
        <v>11話完結</v>
      </c>
      <c r="R5132" s="22" t="str">
        <f>IFERROR(__xludf.DUMMYFUNCTION("""COMPUTED_VALUE"""),"コミットOK")</f>
        <v>コミットOK</v>
      </c>
      <c r="S5132" s="22" t="str">
        <f>IFERROR(__xludf.DUMMYFUNCTION("""COMPUTED_VALUE"""),"20260423_スタジオナンバーゼロ_未来の男たち【タテヨミ】")</f>
        <v>20260423_スタジオナンバーゼロ_未来の男たち【タテヨミ】</v>
      </c>
      <c r="T5132" s="22" t="str">
        <f>IFERROR(__xludf.DUMMYFUNCTION("""COMPUTED_VALUE"""),"格納済み")</f>
        <v>格納済み</v>
      </c>
      <c r="U5132" s="9" t="str">
        <f>IFERROR(__xludf.DUMMYFUNCTION("""COMPUTED_VALUE"""),"ⒸJeyukheonteo, kimpuckpuck, gold bozi / STUDIO NUMBER ZERO")</f>
        <v>ⒸJeyukheonteo, kimpuckpuck, gold bozi / STUDIO NUMBER ZERO</v>
      </c>
      <c r="V5132" s="8"/>
      <c r="W5132" s="8"/>
      <c r="X5132" s="8" t="str">
        <f>IFERROR(__xludf.DUMMYFUNCTION("""COMPUTED_VALUE"""),"有")</f>
        <v>有</v>
      </c>
      <c r="Y5132" s="8" t="str">
        <f>IFERROR(__xludf.DUMMYFUNCTION("""COMPUTED_VALUE"""),"8/19まで1～3巻無料")</f>
        <v>8/19まで1～3巻無料</v>
      </c>
      <c r="Z5132" s="7"/>
      <c r="AA5132" s="7"/>
      <c r="AB5132" s="7"/>
    </row>
    <row r="5133" ht="15.75" customHeight="1">
      <c r="A5133" s="26">
        <f>IFERROR(__xludf.DUMMYFUNCTION("""COMPUTED_VALUE"""),7833.0)</f>
        <v>7833</v>
      </c>
      <c r="B5133" s="22" t="str">
        <f>IFERROR(__xludf.DUMMYFUNCTION("""COMPUTED_VALUE"""),"確定")</f>
        <v>確定</v>
      </c>
      <c r="C5133" s="28">
        <f>IFERROR(__xludf.DUMMYFUNCTION("""COMPUTED_VALUE"""),46127.0)</f>
        <v>46127</v>
      </c>
      <c r="D5133" s="28">
        <f>IFERROR(__xludf.DUMMYFUNCTION("""COMPUTED_VALUE"""),46139.0)</f>
        <v>46139</v>
      </c>
      <c r="E5133" s="26">
        <f>IFERROR(__xludf.DUMMYFUNCTION("""COMPUTED_VALUE"""),360764.0)</f>
        <v>360764</v>
      </c>
      <c r="F5133" s="22" t="str">
        <f>IFERROR(__xludf.DUMMYFUNCTION("""COMPUTED_VALUE"""),"不完全燃焼【タテヨミ】")</f>
        <v>不完全燃焼【タテヨミ】</v>
      </c>
      <c r="G5133" s="20" t="str">
        <f>IFERROR(__xludf.DUMMYFUNCTION("""COMPUTED_VALUE"""),"1~25")</f>
        <v>1~25</v>
      </c>
      <c r="H5133" s="22" t="str">
        <f>IFERROR(__xludf.DUMMYFUNCTION("""COMPUTED_VALUE"""),"Gaetsaeng")</f>
        <v>Gaetsaeng</v>
      </c>
      <c r="I5133" s="22" t="str">
        <f>IFERROR(__xludf.DUMMYFUNCTION("""COMPUTED_VALUE"""),"BL")</f>
        <v>BL</v>
      </c>
      <c r="J5133" s="22"/>
      <c r="K5133" s="22"/>
      <c r="L5133" s="22" t="str">
        <f>IFERROR(__xludf.DUMMYFUNCTION("""COMPUTED_VALUE"""),"Studio Number Zero")</f>
        <v>Studio Number Zero</v>
      </c>
      <c r="M5133" s="33">
        <f>IFERROR(__xludf.DUMMYFUNCTION("""COMPUTED_VALUE"""),46162.0)</f>
        <v>46162</v>
      </c>
      <c r="N5133" s="33">
        <f>IFERROR(__xludf.DUMMYFUNCTION("""COMPUTED_VALUE"""),46253.0)</f>
        <v>46253</v>
      </c>
      <c r="O5133" s="20" t="str">
        <f>IFERROR(__xludf.DUMMYFUNCTION("""COMPUTED_VALUE"""),"【アダルト作品扱い】")</f>
        <v>【アダルト作品扱い】</v>
      </c>
      <c r="P5133" s="32" t="str">
        <f>IFERROR(__xludf.DUMMYFUNCTION("""COMPUTED_VALUE"""),"可")</f>
        <v>可</v>
      </c>
      <c r="Q5133" s="30" t="str">
        <f>IFERROR(__xludf.DUMMYFUNCTION("""COMPUTED_VALUE"""),"第1部25話完結（第2部50話以上予定）")</f>
        <v>第1部25話完結（第2部50話以上予定）</v>
      </c>
      <c r="R5133" s="22" t="str">
        <f>IFERROR(__xludf.DUMMYFUNCTION("""COMPUTED_VALUE"""),"コミットOK")</f>
        <v>コミットOK</v>
      </c>
      <c r="S5133" s="22" t="str">
        <f>IFERROR(__xludf.DUMMYFUNCTION("""COMPUTED_VALUE"""),"20260423_スタジオナンバーゼロ_不完全燃焼【タテヨミ】")</f>
        <v>20260423_スタジオナンバーゼロ_不完全燃焼【タテヨミ】</v>
      </c>
      <c r="T5133" s="22" t="str">
        <f>IFERROR(__xludf.DUMMYFUNCTION("""COMPUTED_VALUE"""),"格納済み")</f>
        <v>格納済み</v>
      </c>
      <c r="U5133" s="9" t="str">
        <f>IFERROR(__xludf.DUMMYFUNCTION("""COMPUTED_VALUE"""),"ⒸGaetsaeng / STUDIO NUMBER ZERO")</f>
        <v>ⒸGaetsaeng / STUDIO NUMBER ZERO</v>
      </c>
      <c r="V5133" s="8"/>
      <c r="W5133" s="8"/>
      <c r="X5133" s="8" t="str">
        <f>IFERROR(__xludf.DUMMYFUNCTION("""COMPUTED_VALUE"""),"有")</f>
        <v>有</v>
      </c>
      <c r="Y5133" s="8" t="str">
        <f>IFERROR(__xludf.DUMMYFUNCTION("""COMPUTED_VALUE"""),"8/19まで1～3巻無料")</f>
        <v>8/19まで1～3巻無料</v>
      </c>
      <c r="Z5133" s="7"/>
      <c r="AA5133" s="7"/>
      <c r="AB5133" s="7"/>
    </row>
    <row r="5134" ht="15.75" customHeight="1">
      <c r="A5134" s="26">
        <f>IFERROR(__xludf.DUMMYFUNCTION("""COMPUTED_VALUE"""),7834.0)</f>
        <v>7834</v>
      </c>
      <c r="B5134" s="22" t="str">
        <f>IFERROR(__xludf.DUMMYFUNCTION("""COMPUTED_VALUE"""),"確定")</f>
        <v>確定</v>
      </c>
      <c r="C5134" s="28">
        <f>IFERROR(__xludf.DUMMYFUNCTION("""COMPUTED_VALUE"""),46127.0)</f>
        <v>46127</v>
      </c>
      <c r="D5134" s="28">
        <f>IFERROR(__xludf.DUMMYFUNCTION("""COMPUTED_VALUE"""),46139.0)</f>
        <v>46139</v>
      </c>
      <c r="E5134" s="26">
        <f>IFERROR(__xludf.DUMMYFUNCTION("""COMPUTED_VALUE"""),360763.0)</f>
        <v>360763</v>
      </c>
      <c r="F5134" s="22" t="str">
        <f>IFERROR(__xludf.DUMMYFUNCTION("""COMPUTED_VALUE"""),"ゾットベイビー【タテヨミ】")</f>
        <v>ゾットベイビー【タテヨミ】</v>
      </c>
      <c r="G5134" s="20" t="str">
        <f>IFERROR(__xludf.DUMMYFUNCTION("""COMPUTED_VALUE"""),"1~36")</f>
        <v>1~36</v>
      </c>
      <c r="H5134" s="22" t="str">
        <f>IFERROR(__xludf.DUMMYFUNCTION("""COMPUTED_VALUE"""),"inai┴moose┴Pyeong Yo")</f>
        <v>inai┴moose┴Pyeong Yo</v>
      </c>
      <c r="I5134" s="22" t="str">
        <f>IFERROR(__xludf.DUMMYFUNCTION("""COMPUTED_VALUE"""),"BL")</f>
        <v>BL</v>
      </c>
      <c r="J5134" s="22"/>
      <c r="K5134" s="22"/>
      <c r="L5134" s="22" t="str">
        <f>IFERROR(__xludf.DUMMYFUNCTION("""COMPUTED_VALUE"""),"Studio Number Zero")</f>
        <v>Studio Number Zero</v>
      </c>
      <c r="M5134" s="33">
        <f>IFERROR(__xludf.DUMMYFUNCTION("""COMPUTED_VALUE"""),46162.0)</f>
        <v>46162</v>
      </c>
      <c r="N5134" s="33">
        <f>IFERROR(__xludf.DUMMYFUNCTION("""COMPUTED_VALUE"""),46253.0)</f>
        <v>46253</v>
      </c>
      <c r="O5134" s="20"/>
      <c r="P5134" s="32" t="str">
        <f>IFERROR(__xludf.DUMMYFUNCTION("""COMPUTED_VALUE"""),"可")</f>
        <v>可</v>
      </c>
      <c r="Q5134" s="30" t="str">
        <f>IFERROR(__xludf.DUMMYFUNCTION("""COMPUTED_VALUE"""),"第1部36話完結（最終70話予定）")</f>
        <v>第1部36話完結（最終70話予定）</v>
      </c>
      <c r="R5134" s="22" t="str">
        <f>IFERROR(__xludf.DUMMYFUNCTION("""COMPUTED_VALUE"""),"コミットNG")</f>
        <v>コミットNG</v>
      </c>
      <c r="S5134" s="22" t="str">
        <f>IFERROR(__xludf.DUMMYFUNCTION("""COMPUTED_VALUE"""),"20260423_スタジオナンバーゼロ_ゾッとするベイビー【タテヨミ】")</f>
        <v>20260423_スタジオナンバーゼロ_ゾッとするベイビー【タテヨミ】</v>
      </c>
      <c r="T5134" s="22" t="str">
        <f>IFERROR(__xludf.DUMMYFUNCTION("""COMPUTED_VALUE"""),"格納済み")</f>
        <v>格納済み</v>
      </c>
      <c r="U5134" s="9" t="str">
        <f>IFERROR(__xludf.DUMMYFUNCTION("""COMPUTED_VALUE"""),"Ⓒinai, moose, Pyeong Yo / STUDIO NUMBER ZERO")</f>
        <v>Ⓒinai, moose, Pyeong Yo / STUDIO NUMBER ZERO</v>
      </c>
      <c r="V5134" s="8"/>
      <c r="W5134" s="8"/>
      <c r="X5134" s="8" t="str">
        <f>IFERROR(__xludf.DUMMYFUNCTION("""COMPUTED_VALUE"""),"有")</f>
        <v>有</v>
      </c>
      <c r="Y5134" s="8" t="str">
        <f>IFERROR(__xludf.DUMMYFUNCTION("""COMPUTED_VALUE"""),"8/19まで1～3巻無料")</f>
        <v>8/19まで1～3巻無料</v>
      </c>
      <c r="Z5134" s="7"/>
      <c r="AA5134" s="7"/>
      <c r="AB5134" s="7"/>
    </row>
    <row r="5135" ht="15.75" customHeight="1">
      <c r="A5135" s="26">
        <f>IFERROR(__xludf.DUMMYFUNCTION("""COMPUTED_VALUE"""),7835.0)</f>
        <v>7835</v>
      </c>
      <c r="B5135" s="22" t="str">
        <f>IFERROR(__xludf.DUMMYFUNCTION("""COMPUTED_VALUE"""),"確定")</f>
        <v>確定</v>
      </c>
      <c r="C5135" s="28">
        <f>IFERROR(__xludf.DUMMYFUNCTION("""COMPUTED_VALUE"""),46127.0)</f>
        <v>46127</v>
      </c>
      <c r="D5135" s="28">
        <f>IFERROR(__xludf.DUMMYFUNCTION("""COMPUTED_VALUE"""),46139.0)</f>
        <v>46139</v>
      </c>
      <c r="E5135" s="26">
        <f>IFERROR(__xludf.DUMMYFUNCTION("""COMPUTED_VALUE"""),360387.0)</f>
        <v>360387</v>
      </c>
      <c r="F5135" s="22" t="str">
        <f>IFERROR(__xludf.DUMMYFUNCTION("""COMPUTED_VALUE"""),"陽炎のスティグマ")</f>
        <v>陽炎のスティグマ</v>
      </c>
      <c r="G5135" s="20">
        <f>IFERROR(__xludf.DUMMYFUNCTION("""COMPUTED_VALUE"""),1.0)</f>
        <v>1</v>
      </c>
      <c r="H5135" s="22" t="str">
        <f>IFERROR(__xludf.DUMMYFUNCTION("""COMPUTED_VALUE"""),"マドノアカリ")</f>
        <v>マドノアカリ</v>
      </c>
      <c r="I5135" s="22" t="str">
        <f>IFERROR(__xludf.DUMMYFUNCTION("""COMPUTED_VALUE"""),"BL")</f>
        <v>BL</v>
      </c>
      <c r="J5135" s="22"/>
      <c r="K5135" s="22" t="str">
        <f>IFERROR(__xludf.DUMMYFUNCTION("""COMPUTED_VALUE"""),"Tone Comics（トーンコミックス）")</f>
        <v>Tone Comics（トーンコミックス）</v>
      </c>
      <c r="L5135" s="22" t="str">
        <f>IFERROR(__xludf.DUMMYFUNCTION("""COMPUTED_VALUE"""),"ontembaar")</f>
        <v>ontembaar</v>
      </c>
      <c r="M5135" s="33">
        <f>IFERROR(__xludf.DUMMYFUNCTION("""COMPUTED_VALUE"""),46155.0)</f>
        <v>46155</v>
      </c>
      <c r="N5135" s="33">
        <f>IFERROR(__xludf.DUMMYFUNCTION("""COMPUTED_VALUE"""),46185.0)</f>
        <v>46185</v>
      </c>
      <c r="O5135" s="20" t="str">
        <f>IFERROR(__xludf.DUMMYFUNCTION("""COMPUTED_VALUE"""),"【アダルト作品扱い】")</f>
        <v>【アダルト作品扱い】</v>
      </c>
      <c r="P5135" s="32" t="str">
        <f>IFERROR(__xludf.DUMMYFUNCTION("""COMPUTED_VALUE"""),"可")</f>
        <v>可</v>
      </c>
      <c r="Q5135" s="30" t="str">
        <f>IFERROR(__xludf.DUMMYFUNCTION("""COMPUTED_VALUE"""),"pixivにてバイオレンスや、緻密な異国舞台設定が魅力のニア極道・ヤンキーBL系タグの作家様です。 pixiv上で同人作品公開時にview数が5,000〜13,000と、難しいテーマ作品ながら安定感があります。 Dom/Subユニバース×タトゥーの攻めキャラでの市場人気の高いテーマで商業デビュー作となります。")</f>
        <v>pixivにてバイオレンスや、緻密な異国舞台設定が魅力のニア極道・ヤンキーBL系タグの作家様です。 pixiv上で同人作品公開時にview数が5,000〜13,000と、難しいテーマ作品ながら安定感があります。 Dom/Subユニバース×タトゥーの攻めキャラでの市場人気の高いテーマで商業デビュー作となります。</v>
      </c>
      <c r="R5135" s="22" t="str">
        <f>IFERROR(__xludf.DUMMYFUNCTION("""COMPUTED_VALUE"""),"コミットNG")</f>
        <v>コミットNG</v>
      </c>
      <c r="S5135" s="22" t="str">
        <f>IFERROR(__xludf.DUMMYFUNCTION("""COMPUTED_VALUE"""),"20260423_ontembaar_陽炎のスティグマ")</f>
        <v>20260423_ontembaar_陽炎のスティグマ</v>
      </c>
      <c r="T5135" s="22" t="str">
        <f>IFERROR(__xludf.DUMMYFUNCTION("""COMPUTED_VALUE"""),"格納済み")</f>
        <v>格納済み</v>
      </c>
      <c r="U5135" s="9" t="str">
        <f>IFERROR(__xludf.DUMMYFUNCTION("""COMPUTED_VALUE"""),"ontembaar")</f>
        <v>ontembaar</v>
      </c>
      <c r="V5135" s="8"/>
      <c r="W5135" s="8"/>
      <c r="X5135" s="8" t="str">
        <f>IFERROR(__xludf.DUMMYFUNCTION("""COMPUTED_VALUE"""),"有")</f>
        <v>有</v>
      </c>
      <c r="Y5135" s="8" t="str">
        <f>IFERROR(__xludf.DUMMYFUNCTION("""COMPUTED_VALUE"""),"P9まで")</f>
        <v>P9まで</v>
      </c>
      <c r="Z5135" s="7"/>
      <c r="AA5135" s="7"/>
      <c r="AB5135" s="7"/>
    </row>
    <row r="5136" ht="15.75" customHeight="1">
      <c r="A5136" s="26">
        <f>IFERROR(__xludf.DUMMYFUNCTION("""COMPUTED_VALUE"""),7836.0)</f>
        <v>7836</v>
      </c>
      <c r="B5136" s="22" t="str">
        <f>IFERROR(__xludf.DUMMYFUNCTION("""COMPUTED_VALUE"""),"確定")</f>
        <v>確定</v>
      </c>
      <c r="C5136" s="28">
        <f>IFERROR(__xludf.DUMMYFUNCTION("""COMPUTED_VALUE"""),46127.0)</f>
        <v>46127</v>
      </c>
      <c r="D5136" s="28">
        <f>IFERROR(__xludf.DUMMYFUNCTION("""COMPUTED_VALUE"""),46139.0)</f>
        <v>46139</v>
      </c>
      <c r="E5136" s="26">
        <f>IFERROR(__xludf.DUMMYFUNCTION("""COMPUTED_VALUE"""),360390.0)</f>
        <v>360390</v>
      </c>
      <c r="F5136" s="22" t="str">
        <f>IFERROR(__xludf.DUMMYFUNCTION("""COMPUTED_VALUE"""),"フラッシュ・ユア・アイズ")</f>
        <v>フラッシュ・ユア・アイズ</v>
      </c>
      <c r="G5136" s="20">
        <f>IFERROR(__xludf.DUMMYFUNCTION("""COMPUTED_VALUE"""),1.0)</f>
        <v>1</v>
      </c>
      <c r="H5136" s="22" t="str">
        <f>IFERROR(__xludf.DUMMYFUNCTION("""COMPUTED_VALUE"""),"陽寝もす")</f>
        <v>陽寝もす</v>
      </c>
      <c r="I5136" s="22" t="str">
        <f>IFERROR(__xludf.DUMMYFUNCTION("""COMPUTED_VALUE"""),"BL")</f>
        <v>BL</v>
      </c>
      <c r="J5136" s="22"/>
      <c r="K5136" s="22" t="str">
        <f>IFERROR(__xludf.DUMMYFUNCTION("""COMPUTED_VALUE"""),"Tone Comics（トーンコミックス）")</f>
        <v>Tone Comics（トーンコミックス）</v>
      </c>
      <c r="L5136" s="22" t="str">
        <f>IFERROR(__xludf.DUMMYFUNCTION("""COMPUTED_VALUE"""),"ontembaar")</f>
        <v>ontembaar</v>
      </c>
      <c r="M5136" s="33">
        <f>IFERROR(__xludf.DUMMYFUNCTION("""COMPUTED_VALUE"""),46155.0)</f>
        <v>46155</v>
      </c>
      <c r="N5136" s="33">
        <f>IFERROR(__xludf.DUMMYFUNCTION("""COMPUTED_VALUE"""),46185.0)</f>
        <v>46185</v>
      </c>
      <c r="O5136" s="20" t="str">
        <f>IFERROR(__xludf.DUMMYFUNCTION("""COMPUTED_VALUE"""),"【アダルト作品扱い】")</f>
        <v>【アダルト作品扱い】</v>
      </c>
      <c r="P5136" s="32" t="str">
        <f>IFERROR(__xludf.DUMMYFUNCTION("""COMPUTED_VALUE"""),"可")</f>
        <v>可</v>
      </c>
      <c r="Q5136" s="30" t="str">
        <f>IFERROR(__xludf.DUMMYFUNCTION("""COMPUTED_VALUE"""),"商業では別ペンネームで男性向け作品や、TLジャンルで活躍されている作家様です。 pixiv二次創作BLでは別名義にて呪術廻戦テーマ「3000user入り」です。 本作が商業BLデビュー作となります。")</f>
        <v>商業では別ペンネームで男性向け作品や、TLジャンルで活躍されている作家様です。 pixiv二次創作BLでは別名義にて呪術廻戦テーマ「3000user入り」です。 本作が商業BLデビュー作となります。</v>
      </c>
      <c r="R5136" s="22" t="str">
        <f>IFERROR(__xludf.DUMMYFUNCTION("""COMPUTED_VALUE"""),"コミットOK")</f>
        <v>コミットOK</v>
      </c>
      <c r="S5136" s="22" t="str">
        <f>IFERROR(__xludf.DUMMYFUNCTION("""COMPUTED_VALUE"""),"20260423_ontembaar_フラッシュ・ユア・アイズ")</f>
        <v>20260423_ontembaar_フラッシュ・ユア・アイズ</v>
      </c>
      <c r="T5136" s="22" t="str">
        <f>IFERROR(__xludf.DUMMYFUNCTION("""COMPUTED_VALUE"""),"格納済み")</f>
        <v>格納済み</v>
      </c>
      <c r="U5136" s="9" t="str">
        <f>IFERROR(__xludf.DUMMYFUNCTION("""COMPUTED_VALUE"""),"ontembaar")</f>
        <v>ontembaar</v>
      </c>
      <c r="V5136" s="8"/>
      <c r="W5136" s="8"/>
      <c r="X5136" s="8" t="str">
        <f>IFERROR(__xludf.DUMMYFUNCTION("""COMPUTED_VALUE"""),"有")</f>
        <v>有</v>
      </c>
      <c r="Y5136" s="8" t="str">
        <f>IFERROR(__xludf.DUMMYFUNCTION("""COMPUTED_VALUE"""),"P10まで")</f>
        <v>P10まで</v>
      </c>
      <c r="Z5136" s="7"/>
      <c r="AA5136" s="7"/>
      <c r="AB5136" s="7"/>
    </row>
    <row r="5137" ht="15.75" customHeight="1">
      <c r="A5137" s="26">
        <f>IFERROR(__xludf.DUMMYFUNCTION("""COMPUTED_VALUE"""),7837.0)</f>
        <v>7837</v>
      </c>
      <c r="B5137" s="22" t="str">
        <f>IFERROR(__xludf.DUMMYFUNCTION("""COMPUTED_VALUE"""),"確定")</f>
        <v>確定</v>
      </c>
      <c r="C5137" s="28">
        <f>IFERROR(__xludf.DUMMYFUNCTION("""COMPUTED_VALUE"""),46127.0)</f>
        <v>46127</v>
      </c>
      <c r="D5137" s="28">
        <f>IFERROR(__xludf.DUMMYFUNCTION("""COMPUTED_VALUE"""),46139.0)</f>
        <v>46139</v>
      </c>
      <c r="E5137" s="26">
        <f>IFERROR(__xludf.DUMMYFUNCTION("""COMPUTED_VALUE"""),360388.0)</f>
        <v>360388</v>
      </c>
      <c r="F5137" s="22" t="str">
        <f>IFERROR(__xludf.DUMMYFUNCTION("""COMPUTED_VALUE"""),"アンチラブコンフリクト")</f>
        <v>アンチラブコンフリクト</v>
      </c>
      <c r="G5137" s="20">
        <f>IFERROR(__xludf.DUMMYFUNCTION("""COMPUTED_VALUE"""),1.0)</f>
        <v>1</v>
      </c>
      <c r="H5137" s="22" t="str">
        <f>IFERROR(__xludf.DUMMYFUNCTION("""COMPUTED_VALUE"""),"リト")</f>
        <v>リト</v>
      </c>
      <c r="I5137" s="22" t="str">
        <f>IFERROR(__xludf.DUMMYFUNCTION("""COMPUTED_VALUE"""),"BL")</f>
        <v>BL</v>
      </c>
      <c r="J5137" s="22"/>
      <c r="K5137" s="22" t="str">
        <f>IFERROR(__xludf.DUMMYFUNCTION("""COMPUTED_VALUE"""),"Tone Comics（トーンコミックス）")</f>
        <v>Tone Comics（トーンコミックス）</v>
      </c>
      <c r="L5137" s="22" t="str">
        <f>IFERROR(__xludf.DUMMYFUNCTION("""COMPUTED_VALUE"""),"ontembaar")</f>
        <v>ontembaar</v>
      </c>
      <c r="M5137" s="33">
        <f>IFERROR(__xludf.DUMMYFUNCTION("""COMPUTED_VALUE"""),46155.0)</f>
        <v>46155</v>
      </c>
      <c r="N5137" s="33">
        <f>IFERROR(__xludf.DUMMYFUNCTION("""COMPUTED_VALUE"""),46185.0)</f>
        <v>46185</v>
      </c>
      <c r="O5137" s="20"/>
      <c r="P5137" s="32" t="str">
        <f>IFERROR(__xludf.DUMMYFUNCTION("""COMPUTED_VALUE"""),"可")</f>
        <v>可</v>
      </c>
      <c r="Q5137" s="30" t="str">
        <f>IFERROR(__xludf.DUMMYFUNCTION("""COMPUTED_VALUE"""),"二次創作BLでは別名義にてX上で2万フォロワーの作家様です。 他社からも商業BLデビュー済みですが、市場人気の高い獣人＆オメガバース作品になります。")</f>
        <v>二次創作BLでは別名義にてX上で2万フォロワーの作家様です。 他社からも商業BLデビュー済みですが、市場人気の高い獣人＆オメガバース作品になります。</v>
      </c>
      <c r="R5137" s="22" t="str">
        <f>IFERROR(__xludf.DUMMYFUNCTION("""COMPUTED_VALUE"""),"コミットNG")</f>
        <v>コミットNG</v>
      </c>
      <c r="S5137" s="22" t="str">
        <f>IFERROR(__xludf.DUMMYFUNCTION("""COMPUTED_VALUE"""),"20260423_ontembaar_アンチラブコンフリクト")</f>
        <v>20260423_ontembaar_アンチラブコンフリクト</v>
      </c>
      <c r="T5137" s="22" t="str">
        <f>IFERROR(__xludf.DUMMYFUNCTION("""COMPUTED_VALUE"""),"格納済み")</f>
        <v>格納済み</v>
      </c>
      <c r="U5137" s="9" t="str">
        <f>IFERROR(__xludf.DUMMYFUNCTION("""COMPUTED_VALUE"""),"ontembaar")</f>
        <v>ontembaar</v>
      </c>
      <c r="V5137" s="8"/>
      <c r="W5137" s="8"/>
      <c r="X5137" s="8" t="str">
        <f>IFERROR(__xludf.DUMMYFUNCTION("""COMPUTED_VALUE"""),"有")</f>
        <v>有</v>
      </c>
      <c r="Y5137" s="8" t="str">
        <f>IFERROR(__xludf.DUMMYFUNCTION("""COMPUTED_VALUE"""),"P9まで")</f>
        <v>P9まで</v>
      </c>
      <c r="Z5137" s="7"/>
      <c r="AA5137" s="7"/>
      <c r="AB5137" s="7"/>
    </row>
    <row r="5138" ht="15.75" customHeight="1">
      <c r="A5138" s="26">
        <f>IFERROR(__xludf.DUMMYFUNCTION("""COMPUTED_VALUE"""),7838.0)</f>
        <v>7838</v>
      </c>
      <c r="B5138" s="22" t="str">
        <f>IFERROR(__xludf.DUMMYFUNCTION("""COMPUTED_VALUE"""),"確定")</f>
        <v>確定</v>
      </c>
      <c r="C5138" s="28">
        <f>IFERROR(__xludf.DUMMYFUNCTION("""COMPUTED_VALUE"""),46127.0)</f>
        <v>46127</v>
      </c>
      <c r="D5138" s="28">
        <f>IFERROR(__xludf.DUMMYFUNCTION("""COMPUTED_VALUE"""),46139.0)</f>
        <v>46139</v>
      </c>
      <c r="E5138" s="26">
        <f>IFERROR(__xludf.DUMMYFUNCTION("""COMPUTED_VALUE"""),360389.0)</f>
        <v>360389</v>
      </c>
      <c r="F5138" s="22" t="str">
        <f>IFERROR(__xludf.DUMMYFUNCTION("""COMPUTED_VALUE"""),"偽物のキスに愛をこめて")</f>
        <v>偽物のキスに愛をこめて</v>
      </c>
      <c r="G5138" s="20">
        <f>IFERROR(__xludf.DUMMYFUNCTION("""COMPUTED_VALUE"""),1.0)</f>
        <v>1</v>
      </c>
      <c r="H5138" s="22" t="str">
        <f>IFERROR(__xludf.DUMMYFUNCTION("""COMPUTED_VALUE"""),"鳶山ひな太")</f>
        <v>鳶山ひな太</v>
      </c>
      <c r="I5138" s="22" t="str">
        <f>IFERROR(__xludf.DUMMYFUNCTION("""COMPUTED_VALUE"""),"BL")</f>
        <v>BL</v>
      </c>
      <c r="J5138" s="22"/>
      <c r="K5138" s="22" t="str">
        <f>IFERROR(__xludf.DUMMYFUNCTION("""COMPUTED_VALUE"""),"Tone Comics（トーンコミックス）")</f>
        <v>Tone Comics（トーンコミックス）</v>
      </c>
      <c r="L5138" s="22" t="str">
        <f>IFERROR(__xludf.DUMMYFUNCTION("""COMPUTED_VALUE"""),"ontembaar")</f>
        <v>ontembaar</v>
      </c>
      <c r="M5138" s="33">
        <f>IFERROR(__xludf.DUMMYFUNCTION("""COMPUTED_VALUE"""),46155.0)</f>
        <v>46155</v>
      </c>
      <c r="N5138" s="33">
        <f>IFERROR(__xludf.DUMMYFUNCTION("""COMPUTED_VALUE"""),46185.0)</f>
        <v>46185</v>
      </c>
      <c r="O5138" s="20"/>
      <c r="P5138" s="32" t="str">
        <f>IFERROR(__xludf.DUMMYFUNCTION("""COMPUTED_VALUE"""),"可")</f>
        <v>可</v>
      </c>
      <c r="Q5138" s="30" t="str">
        <f>IFERROR(__xludf.DUMMYFUNCTION("""COMPUTED_VALUE"""),"二次創作BLでは別名義にてX上で1.2万フォロワーの作家様です。 他社からも商業BLデビュー済みですが、新人俳優と家政婦男子による、人気の恋人代行テーマ作品になります。")</f>
        <v>二次創作BLでは別名義にてX上で1.2万フォロワーの作家様です。 他社からも商業BLデビュー済みですが、新人俳優と家政婦男子による、人気の恋人代行テーマ作品になります。</v>
      </c>
      <c r="R5138" s="22" t="str">
        <f>IFERROR(__xludf.DUMMYFUNCTION("""COMPUTED_VALUE"""),"コミットNG")</f>
        <v>コミットNG</v>
      </c>
      <c r="S5138" s="22" t="str">
        <f>IFERROR(__xludf.DUMMYFUNCTION("""COMPUTED_VALUE"""),"20260423_ontembaar_偽物のキスに愛をこめて")</f>
        <v>20260423_ontembaar_偽物のキスに愛をこめて</v>
      </c>
      <c r="T5138" s="22" t="str">
        <f>IFERROR(__xludf.DUMMYFUNCTION("""COMPUTED_VALUE"""),"格納済み")</f>
        <v>格納済み</v>
      </c>
      <c r="U5138" s="9" t="str">
        <f>IFERROR(__xludf.DUMMYFUNCTION("""COMPUTED_VALUE"""),"ontembaar")</f>
        <v>ontembaar</v>
      </c>
      <c r="V5138" s="8"/>
      <c r="W5138" s="8"/>
      <c r="X5138" s="8" t="str">
        <f>IFERROR(__xludf.DUMMYFUNCTION("""COMPUTED_VALUE"""),"有")</f>
        <v>有</v>
      </c>
      <c r="Y5138" s="8" t="str">
        <f>IFERROR(__xludf.DUMMYFUNCTION("""COMPUTED_VALUE"""),"P10まで")</f>
        <v>P10まで</v>
      </c>
      <c r="Z5138" s="7"/>
      <c r="AA5138" s="7"/>
      <c r="AB5138" s="7"/>
    </row>
    <row r="5139" ht="15.75" customHeight="1">
      <c r="A5139" s="26">
        <f>IFERROR(__xludf.DUMMYFUNCTION("""COMPUTED_VALUE"""),7843.0)</f>
        <v>7843</v>
      </c>
      <c r="B5139" s="22" t="str">
        <f>IFERROR(__xludf.DUMMYFUNCTION("""COMPUTED_VALUE"""),"確定")</f>
        <v>確定</v>
      </c>
      <c r="C5139" s="28">
        <f>IFERROR(__xludf.DUMMYFUNCTION("""COMPUTED_VALUE"""),46127.0)</f>
        <v>46127</v>
      </c>
      <c r="D5139" s="28">
        <f>IFERROR(__xludf.DUMMYFUNCTION("""COMPUTED_VALUE"""),46139.0)</f>
        <v>46139</v>
      </c>
      <c r="E5139" s="26">
        <f>IFERROR(__xludf.DUMMYFUNCTION("""COMPUTED_VALUE"""),360545.0)</f>
        <v>360545</v>
      </c>
      <c r="F5139" s="22" t="str">
        <f>IFERROR(__xludf.DUMMYFUNCTION("""COMPUTED_VALUE"""),"エチュード・イン・ザ・ルーム[BluMellow]")</f>
        <v>エチュード・イン・ザ・ルーム[BluMellow]</v>
      </c>
      <c r="G5139" s="20" t="str">
        <f>IFERROR(__xludf.DUMMYFUNCTION("""COMPUTED_VALUE"""),"1~5")</f>
        <v>1~5</v>
      </c>
      <c r="H5139" s="22" t="str">
        <f>IFERROR(__xludf.DUMMYFUNCTION("""COMPUTED_VALUE"""),"片桐あらた/ボルテージ")</f>
        <v>片桐あらた/ボルテージ</v>
      </c>
      <c r="I5139" s="22" t="str">
        <f>IFERROR(__xludf.DUMMYFUNCTION("""COMPUTED_VALUE"""),"BL")</f>
        <v>BL</v>
      </c>
      <c r="J5139" s="22"/>
      <c r="K5139" s="22"/>
      <c r="L5139" s="22" t="str">
        <f>IFERROR(__xludf.DUMMYFUNCTION("""COMPUTED_VALUE"""),"ボルテージ")</f>
        <v>ボルテージ</v>
      </c>
      <c r="M5139" s="33">
        <f>IFERROR(__xludf.DUMMYFUNCTION("""COMPUTED_VALUE"""),46164.0)</f>
        <v>46164</v>
      </c>
      <c r="N5139" s="33">
        <f>IFERROR(__xludf.DUMMYFUNCTION("""COMPUTED_VALUE"""),46255.0)</f>
        <v>46255</v>
      </c>
      <c r="O5139" s="20"/>
      <c r="P5139" s="32" t="str">
        <f>IFERROR(__xludf.DUMMYFUNCTION("""COMPUTED_VALUE"""),"可")</f>
        <v>可</v>
      </c>
      <c r="Q5139" s="30"/>
      <c r="R5139" s="22" t="str">
        <f>IFERROR(__xludf.DUMMYFUNCTION("""COMPUTED_VALUE"""),"コミットOK")</f>
        <v>コミットOK</v>
      </c>
      <c r="S5139" s="22" t="str">
        <f>IFERROR(__xludf.DUMMYFUNCTION("""COMPUTED_VALUE"""),"20260423_ボルテージ_（修正）エチュード・イン・ザ・ルーム")</f>
        <v>20260423_ボルテージ_（修正）エチュード・イン・ザ・ルーム</v>
      </c>
      <c r="T5139" s="22" t="str">
        <f>IFERROR(__xludf.DUMMYFUNCTION("""COMPUTED_VALUE"""),"格納済み")</f>
        <v>格納済み</v>
      </c>
      <c r="U5139" s="9" t="str">
        <f>IFERROR(__xludf.DUMMYFUNCTION("""COMPUTED_VALUE"""),"Ⓒボルテージ・ 片桐あらた  /ボルテージ")</f>
        <v>Ⓒボルテージ・ 片桐あらた  /ボルテージ</v>
      </c>
      <c r="V5139" s="8"/>
      <c r="W5139" s="8"/>
      <c r="X5139" s="8" t="str">
        <f>IFERROR(__xludf.DUMMYFUNCTION("""COMPUTED_VALUE"""),"有")</f>
        <v>有</v>
      </c>
      <c r="Y5139" s="8" t="str">
        <f>IFERROR(__xludf.DUMMYFUNCTION("""COMPUTED_VALUE"""),"8/21まで1巻無料")</f>
        <v>8/21まで1巻無料</v>
      </c>
      <c r="Z5139" s="7"/>
      <c r="AA5139" s="7"/>
      <c r="AB5139" s="7"/>
    </row>
    <row r="5140" ht="15.75" customHeight="1">
      <c r="A5140" s="26">
        <f>IFERROR(__xludf.DUMMYFUNCTION("""COMPUTED_VALUE"""),7860.0)</f>
        <v>7860</v>
      </c>
      <c r="B5140" s="22" t="str">
        <f>IFERROR(__xludf.DUMMYFUNCTION("""COMPUTED_VALUE"""),"確定")</f>
        <v>確定</v>
      </c>
      <c r="C5140" s="28">
        <f>IFERROR(__xludf.DUMMYFUNCTION("""COMPUTED_VALUE"""),46132.0)</f>
        <v>46132</v>
      </c>
      <c r="D5140" s="28">
        <f>IFERROR(__xludf.DUMMYFUNCTION("""COMPUTED_VALUE"""),46136.0)</f>
        <v>46136</v>
      </c>
      <c r="E5140" s="26">
        <f>IFERROR(__xludf.DUMMYFUNCTION("""COMPUTED_VALUE"""),360646.0)</f>
        <v>360646</v>
      </c>
      <c r="F5140" s="22" t="str">
        <f>IFERROR(__xludf.DUMMYFUNCTION("""COMPUTED_VALUE"""),"優しい晴兄様は、愛に狂った執着獣でした。")</f>
        <v>優しい晴兄様は、愛に狂った執着獣でした。</v>
      </c>
      <c r="G5140" s="20" t="str">
        <f>IFERROR(__xludf.DUMMYFUNCTION("""COMPUTED_VALUE"""),"1～3")</f>
        <v>1～3</v>
      </c>
      <c r="H5140" s="22" t="str">
        <f>IFERROR(__xludf.DUMMYFUNCTION("""COMPUTED_VALUE"""),"種田サエ ズレット編集部")</f>
        <v>種田サエ ズレット編集部</v>
      </c>
      <c r="I5140" s="22" t="str">
        <f>IFERROR(__xludf.DUMMYFUNCTION("""COMPUTED_VALUE"""),"TL")</f>
        <v>TL</v>
      </c>
      <c r="J5140" s="22"/>
      <c r="K5140" s="22" t="str">
        <f>IFERROR(__xludf.DUMMYFUNCTION("""COMPUTED_VALUE"""),"ズレット！")</f>
        <v>ズレット！</v>
      </c>
      <c r="L5140" s="22" t="str">
        <f>IFERROR(__xludf.DUMMYFUNCTION("""COMPUTED_VALUE"""),"ライブコミックス")</f>
        <v>ライブコミックス</v>
      </c>
      <c r="M5140" s="33">
        <f>IFERROR(__xludf.DUMMYFUNCTION("""COMPUTED_VALUE"""),46178.0)</f>
        <v>46178</v>
      </c>
      <c r="N5140" s="33">
        <f>IFERROR(__xludf.DUMMYFUNCTION("""COMPUTED_VALUE"""),46240.0)</f>
        <v>46240</v>
      </c>
      <c r="O5140" s="20" t="str">
        <f>IFERROR(__xludf.DUMMYFUNCTION("""COMPUTED_VALUE"""),"【アダルト作品扱い】")</f>
        <v>【アダルト作品扱い】</v>
      </c>
      <c r="P5140" s="32" t="str">
        <f>IFERROR(__xludf.DUMMYFUNCTION("""COMPUTED_VALUE"""),"可")</f>
        <v>可</v>
      </c>
      <c r="Q5140" s="30"/>
      <c r="R5140" s="22"/>
      <c r="S5140" s="22" t="str">
        <f>IFERROR(__xludf.DUMMYFUNCTION("""COMPUTED_VALUE"""),"20260424_BookLive_優しい晴兄様は、愛に狂った執着獣でした。")</f>
        <v>20260424_BookLive_優しい晴兄様は、愛に狂った執着獣でした。</v>
      </c>
      <c r="T5140" s="22" t="str">
        <f>IFERROR(__xludf.DUMMYFUNCTION("""COMPUTED_VALUE"""),"格納済み")</f>
        <v>格納済み</v>
      </c>
      <c r="U5140" s="9" t="str">
        <f>IFERROR(__xludf.DUMMYFUNCTION("""COMPUTED_VALUE"""),"(C)種田サエ/ライブコミックス")</f>
        <v>(C)種田サエ/ライブコミックス</v>
      </c>
      <c r="V5140" s="8"/>
      <c r="W5140" s="8"/>
      <c r="X5140" s="8" t="str">
        <f>IFERROR(__xludf.DUMMYFUNCTION("""COMPUTED_VALUE"""),"有")</f>
        <v>有</v>
      </c>
      <c r="Y5140" s="8" t="str">
        <f>IFERROR(__xludf.DUMMYFUNCTION("""COMPUTED_VALUE"""),"2026/7/2まで1巻無料")</f>
        <v>2026/7/2まで1巻無料</v>
      </c>
      <c r="Z5140" s="7"/>
      <c r="AA5140" s="7"/>
      <c r="AB5140" s="7"/>
    </row>
    <row r="5141" ht="15.75" customHeight="1">
      <c r="A5141" s="26">
        <f>IFERROR(__xludf.DUMMYFUNCTION("""COMPUTED_VALUE"""),7862.0)</f>
        <v>7862</v>
      </c>
      <c r="B5141" s="22" t="str">
        <f>IFERROR(__xludf.DUMMYFUNCTION("""COMPUTED_VALUE"""),"確定")</f>
        <v>確定</v>
      </c>
      <c r="C5141" s="28">
        <f>IFERROR(__xludf.DUMMYFUNCTION("""COMPUTED_VALUE"""),46132.0)</f>
        <v>46132</v>
      </c>
      <c r="D5141" s="28">
        <f>IFERROR(__xludf.DUMMYFUNCTION("""COMPUTED_VALUE"""),46139.0)</f>
        <v>46139</v>
      </c>
      <c r="E5141" s="26">
        <f>IFERROR(__xludf.DUMMYFUNCTION("""COMPUTED_VALUE"""),363056.0)</f>
        <v>363056</v>
      </c>
      <c r="F5141" s="22" t="str">
        <f>IFERROR(__xludf.DUMMYFUNCTION("""COMPUTED_VALUE"""),"サランとレシピ。～恋のはじまりは韓国ごはんから～【分冊版】")</f>
        <v>サランとレシピ。～恋のはじまりは韓国ごはんから～【分冊版】</v>
      </c>
      <c r="G5141" s="20" t="str">
        <f>IFERROR(__xludf.DUMMYFUNCTION("""COMPUTED_VALUE"""),"1～3")</f>
        <v>1～3</v>
      </c>
      <c r="H5141" s="22" t="str">
        <f>IFERROR(__xludf.DUMMYFUNCTION("""COMPUTED_VALUE"""),"ane・イ ヨンジ・キム スクヒ")</f>
        <v>ane・イ ヨンジ・キム スクヒ</v>
      </c>
      <c r="I5141" s="22" t="str">
        <f>IFERROR(__xludf.DUMMYFUNCTION("""COMPUTED_VALUE"""),"女性")</f>
        <v>女性</v>
      </c>
      <c r="J5141" s="22"/>
      <c r="K5141" s="22"/>
      <c r="L5141" s="22" t="str">
        <f>IFERROR(__xludf.DUMMYFUNCTION("""COMPUTED_VALUE"""),"秋田書店")</f>
        <v>秋田書店</v>
      </c>
      <c r="M5141" s="33">
        <f>IFERROR(__xludf.DUMMYFUNCTION("""COMPUTED_VALUE"""),46173.0)</f>
        <v>46173</v>
      </c>
      <c r="N5141" s="33">
        <f>IFERROR(__xludf.DUMMYFUNCTION("""COMPUTED_VALUE"""),46202.0)</f>
        <v>46202</v>
      </c>
      <c r="O5141" s="20"/>
      <c r="P5141" s="32" t="str">
        <f>IFERROR(__xludf.DUMMYFUNCTION("""COMPUTED_VALUE"""),"可")</f>
        <v>可</v>
      </c>
      <c r="Q5141" s="30" t="str">
        <f>IFERROR(__xludf.DUMMYFUNCTION("""COMPUTED_VALUE"""),"3話素材に時間がかかるため1～2話の素材で広告制作お願いいたします。&lt;BR&gt;&lt;BR&gt;恋に破れたアラサーOLが韓国料理屋で働く年下イケメン大学生と出会うお話です。 美味しそうな韓国料理もたくさん紹介されます！")</f>
        <v>3話素材に時間がかかるため1～2話の素材で広告制作お願いいたします。&lt;BR&gt;&lt;BR&gt;恋に破れたアラサーOLが韓国料理屋で働く年下イケメン大学生と出会うお話です。 美味しそうな韓国料理もたくさん紹介されます！</v>
      </c>
      <c r="R5141" s="22" t="str">
        <f>IFERROR(__xludf.DUMMYFUNCTION("""COMPUTED_VALUE"""),"コミットNG")</f>
        <v>コミットNG</v>
      </c>
      <c r="S5141" s="22" t="str">
        <f>IFERROR(__xludf.DUMMYFUNCTION("""COMPUTED_VALUE"""),"20260407_秋田書店_サランとレシピ～恋のはじまりは韓国ごはんから～")</f>
        <v>20260407_秋田書店_サランとレシピ～恋のはじまりは韓国ごはんから～</v>
      </c>
      <c r="T5141" s="22" t="str">
        <f>IFERROR(__xludf.DUMMYFUNCTION("""COMPUTED_VALUE"""),"格納済み")</f>
        <v>格納済み</v>
      </c>
      <c r="U5141" s="9" t="str">
        <f>IFERROR(__xludf.DUMMYFUNCTION("""COMPUTED_VALUE"""),"(C)ane・イ ヨンジ・キム スクヒ（秋田書店）")</f>
        <v>(C)ane・イ ヨンジ・キム スクヒ（秋田書店）</v>
      </c>
      <c r="V5141" s="8"/>
      <c r="W5141" s="8"/>
      <c r="X5141" s="8" t="str">
        <f>IFERROR(__xludf.DUMMYFUNCTION("""COMPUTED_VALUE"""),"有")</f>
        <v>有</v>
      </c>
      <c r="Y5141" s="8" t="str">
        <f>IFERROR(__xludf.DUMMYFUNCTION("""COMPUTED_VALUE"""),"2026/06/29まで1巻無料")</f>
        <v>2026/06/29まで1巻無料</v>
      </c>
      <c r="Z5141" s="7"/>
      <c r="AA5141" s="7"/>
      <c r="AB5141" s="7"/>
    </row>
    <row r="5142" ht="15.75" customHeight="1">
      <c r="A5142" s="26">
        <f>IFERROR(__xludf.DUMMYFUNCTION("""COMPUTED_VALUE"""),7863.0)</f>
        <v>7863</v>
      </c>
      <c r="B5142" s="22" t="str">
        <f>IFERROR(__xludf.DUMMYFUNCTION("""COMPUTED_VALUE"""),"確定")</f>
        <v>確定</v>
      </c>
      <c r="C5142" s="28">
        <f>IFERROR(__xludf.DUMMYFUNCTION("""COMPUTED_VALUE"""),46132.0)</f>
        <v>46132</v>
      </c>
      <c r="D5142" s="28">
        <f>IFERROR(__xludf.DUMMYFUNCTION("""COMPUTED_VALUE"""),46139.0)</f>
        <v>46139</v>
      </c>
      <c r="E5142" s="26">
        <f>IFERROR(__xludf.DUMMYFUNCTION("""COMPUTED_VALUE"""),362077.0)</f>
        <v>362077</v>
      </c>
      <c r="F5142" s="22" t="str">
        <f>IFERROR(__xludf.DUMMYFUNCTION("""COMPUTED_VALUE"""),"神さまエンドロール【分冊版】")</f>
        <v>神さまエンドロール【分冊版】</v>
      </c>
      <c r="G5142" s="20" t="str">
        <f>IFERROR(__xludf.DUMMYFUNCTION("""COMPUTED_VALUE"""),"1～3")</f>
        <v>1～3</v>
      </c>
      <c r="H5142" s="22" t="str">
        <f>IFERROR(__xludf.DUMMYFUNCTION("""COMPUTED_VALUE"""),"有永イネ")</f>
        <v>有永イネ</v>
      </c>
      <c r="I5142" s="22" t="str">
        <f>IFERROR(__xludf.DUMMYFUNCTION("""COMPUTED_VALUE"""),"女性")</f>
        <v>女性</v>
      </c>
      <c r="J5142" s="22"/>
      <c r="K5142" s="22"/>
      <c r="L5142" s="22" t="str">
        <f>IFERROR(__xludf.DUMMYFUNCTION("""COMPUTED_VALUE"""),"秋田書店")</f>
        <v>秋田書店</v>
      </c>
      <c r="M5142" s="33">
        <f>IFERROR(__xludf.DUMMYFUNCTION("""COMPUTED_VALUE"""),46173.0)</f>
        <v>46173</v>
      </c>
      <c r="N5142" s="33">
        <f>IFERROR(__xludf.DUMMYFUNCTION("""COMPUTED_VALUE"""),46202.0)</f>
        <v>46202</v>
      </c>
      <c r="O5142" s="20"/>
      <c r="P5142" s="32" t="str">
        <f>IFERROR(__xludf.DUMMYFUNCTION("""COMPUTED_VALUE"""),"可")</f>
        <v>可</v>
      </c>
      <c r="Q5142" s="30" t="str">
        <f>IFERROR(__xludf.DUMMYFUNCTION("""COMPUTED_VALUE"""),"2巻以降の素材共有に時間がかかるので1巻素材で広告制作お願いいたします。&lt;BR&gt;&lt;BR&gt;余命1年の神さま（猫）と人間が織り成すハートフル終活ドラマです！ 人の温かさにじんわりと心が温まります。")</f>
        <v>2巻以降の素材共有に時間がかかるので1巻素材で広告制作お願いいたします。&lt;BR&gt;&lt;BR&gt;余命1年の神さま（猫）と人間が織り成すハートフル終活ドラマです！ 人の温かさにじんわりと心が温まります。</v>
      </c>
      <c r="R5142" s="22" t="str">
        <f>IFERROR(__xludf.DUMMYFUNCTION("""COMPUTED_VALUE"""),"コミットNG")</f>
        <v>コミットNG</v>
      </c>
      <c r="S5142" s="22" t="str">
        <f>IFERROR(__xludf.DUMMYFUNCTION("""COMPUTED_VALUE"""),"20260407_秋田書店_神さまエンドロール")</f>
        <v>20260407_秋田書店_神さまエンドロール</v>
      </c>
      <c r="T5142" s="22" t="str">
        <f>IFERROR(__xludf.DUMMYFUNCTION("""COMPUTED_VALUE"""),"格納済み")</f>
        <v>格納済み</v>
      </c>
      <c r="U5142" s="9" t="str">
        <f>IFERROR(__xludf.DUMMYFUNCTION("""COMPUTED_VALUE"""),"（C）有永イネ（秋田書店）")</f>
        <v>（C）有永イネ（秋田書店）</v>
      </c>
      <c r="V5142" s="8"/>
      <c r="W5142" s="8"/>
      <c r="X5142" s="8" t="str">
        <f>IFERROR(__xludf.DUMMYFUNCTION("""COMPUTED_VALUE"""),"有")</f>
        <v>有</v>
      </c>
      <c r="Y5142" s="8" t="str">
        <f>IFERROR(__xludf.DUMMYFUNCTION("""COMPUTED_VALUE"""),"2026/06/29まで1巻無料")</f>
        <v>2026/06/29まで1巻無料</v>
      </c>
      <c r="Z5142" s="7"/>
      <c r="AA5142" s="7"/>
      <c r="AB5142" s="7"/>
    </row>
    <row r="5143" ht="15.75" customHeight="1">
      <c r="A5143" s="26">
        <f>IFERROR(__xludf.DUMMYFUNCTION("""COMPUTED_VALUE"""),7899.0)</f>
        <v>7899</v>
      </c>
      <c r="B5143" s="22" t="str">
        <f>IFERROR(__xludf.DUMMYFUNCTION("""COMPUTED_VALUE"""),"確定")</f>
        <v>確定</v>
      </c>
      <c r="C5143" s="28">
        <f>IFERROR(__xludf.DUMMYFUNCTION("""COMPUTED_VALUE"""),46135.0)</f>
        <v>46135</v>
      </c>
      <c r="D5143" s="28">
        <f>IFERROR(__xludf.DUMMYFUNCTION("""COMPUTED_VALUE"""),46136.0)</f>
        <v>46136</v>
      </c>
      <c r="E5143" s="26">
        <f>IFERROR(__xludf.DUMMYFUNCTION("""COMPUTED_VALUE"""),361105.0)</f>
        <v>361105</v>
      </c>
      <c r="F5143" s="22" t="str">
        <f>IFERROR(__xludf.DUMMYFUNCTION("""COMPUTED_VALUE"""),"胡蝶は蜘蛛に囚われる～ただの地味女なのに、美形な魔術師団長に囲われてしまいました～")</f>
        <v>胡蝶は蜘蛛に囚われる～ただの地味女なのに、美形な魔術師団長に囲われてしまいました～</v>
      </c>
      <c r="G5143" s="20">
        <f>IFERROR(__xludf.DUMMYFUNCTION("""COMPUTED_VALUE"""),1.0)</f>
        <v>1</v>
      </c>
      <c r="H5143" s="22" t="str">
        <f>IFERROR(__xludf.DUMMYFUNCTION("""COMPUTED_VALUE"""),"お牛・鈴木かなえ")</f>
        <v>お牛・鈴木かなえ</v>
      </c>
      <c r="I5143" s="22" t="str">
        <f>IFERROR(__xludf.DUMMYFUNCTION("""COMPUTED_VALUE"""),"TL")</f>
        <v>TL</v>
      </c>
      <c r="J5143" s="22"/>
      <c r="K5143" s="22" t="str">
        <f>IFERROR(__xludf.DUMMYFUNCTION("""COMPUTED_VALUE"""),"comic LAKE")</f>
        <v>comic LAKE</v>
      </c>
      <c r="L5143" s="22" t="str">
        <f>IFERROR(__xludf.DUMMYFUNCTION("""COMPUTED_VALUE"""),"一迅社")</f>
        <v>一迅社</v>
      </c>
      <c r="M5143" s="33">
        <f>IFERROR(__xludf.DUMMYFUNCTION("""COMPUTED_VALUE"""),46197.0)</f>
        <v>46197</v>
      </c>
      <c r="N5143" s="33">
        <f>IFERROR(__xludf.DUMMYFUNCTION("""COMPUTED_VALUE"""),46257.0)</f>
        <v>46257</v>
      </c>
      <c r="O5143" s="20" t="str">
        <f>IFERROR(__xludf.DUMMYFUNCTION("""COMPUTED_VALUE"""),"【アダルト作品扱い】")</f>
        <v>【アダルト作品扱い】</v>
      </c>
      <c r="P5143" s="32" t="str">
        <f>IFERROR(__xludf.DUMMYFUNCTION("""COMPUTED_VALUE"""),"可")</f>
        <v>可</v>
      </c>
      <c r="Q5143" s="30" t="str">
        <f>IFERROR(__xludf.DUMMYFUNCTION("""COMPUTED_VALUE"""),"『ヤンデレご主人様の甘い支配に今宵も私は抗えない。コミックアンソロジー』の単話配信")</f>
        <v>『ヤンデレご主人様の甘い支配に今宵も私は抗えない。コミックアンソロジー』の単話配信</v>
      </c>
      <c r="R5143" s="22" t="str">
        <f>IFERROR(__xludf.DUMMYFUNCTION("""COMPUTED_VALUE"""),"コミットNG")</f>
        <v>コミットNG</v>
      </c>
      <c r="S5143" s="22" t="str">
        <f>IFERROR(__xludf.DUMMYFUNCTION("""COMPUTED_VALUE"""),"20260423_一迅社_胡蝶は蜘蛛に囚われる")</f>
        <v>20260423_一迅社_胡蝶は蜘蛛に囚われる</v>
      </c>
      <c r="T5143" s="22" t="str">
        <f>IFERROR(__xludf.DUMMYFUNCTION("""COMPUTED_VALUE"""),"格納済み")</f>
        <v>格納済み</v>
      </c>
      <c r="U5143" s="9" t="str">
        <f>IFERROR(__xludf.DUMMYFUNCTION("""COMPUTED_VALUE"""),"(C)お牛・鈴木かなえ／一迅社")</f>
        <v>(C)お牛・鈴木かなえ／一迅社</v>
      </c>
      <c r="V5143" s="8"/>
      <c r="W5143" s="8"/>
      <c r="X5143" s="8" t="str">
        <f>IFERROR(__xludf.DUMMYFUNCTION("""COMPUTED_VALUE"""),"有")</f>
        <v>有</v>
      </c>
      <c r="Y5143" s="8" t="str">
        <f>IFERROR(__xludf.DUMMYFUNCTION("""COMPUTED_VALUE"""),"p9まで")</f>
        <v>p9まで</v>
      </c>
      <c r="Z5143" s="7"/>
      <c r="AA5143" s="7"/>
      <c r="AB5143" s="7"/>
    </row>
    <row r="5144" ht="15.75" customHeight="1">
      <c r="A5144" s="26">
        <f>IFERROR(__xludf.DUMMYFUNCTION("""COMPUTED_VALUE"""),7900.0)</f>
        <v>7900</v>
      </c>
      <c r="B5144" s="22" t="str">
        <f>IFERROR(__xludf.DUMMYFUNCTION("""COMPUTED_VALUE"""),"確定")</f>
        <v>確定</v>
      </c>
      <c r="C5144" s="28">
        <f>IFERROR(__xludf.DUMMYFUNCTION("""COMPUTED_VALUE"""),46135.0)</f>
        <v>46135</v>
      </c>
      <c r="D5144" s="28">
        <f>IFERROR(__xludf.DUMMYFUNCTION("""COMPUTED_VALUE"""),46139.0)</f>
        <v>46139</v>
      </c>
      <c r="E5144" s="26">
        <f>IFERROR(__xludf.DUMMYFUNCTION("""COMPUTED_VALUE"""),359147.0)</f>
        <v>359147</v>
      </c>
      <c r="F5144" s="22" t="str">
        <f>IFERROR(__xludf.DUMMYFUNCTION("""COMPUTED_VALUE"""),"100回言ったら、愛にして 分冊版")</f>
        <v>100回言ったら、愛にして 分冊版</v>
      </c>
      <c r="G5144" s="20">
        <f>IFERROR(__xludf.DUMMYFUNCTION("""COMPUTED_VALUE"""),1.0)</f>
        <v>1</v>
      </c>
      <c r="H5144" s="22" t="str">
        <f>IFERROR(__xludf.DUMMYFUNCTION("""COMPUTED_VALUE"""),"河合あめ")</f>
        <v>河合あめ</v>
      </c>
      <c r="I5144" s="22" t="str">
        <f>IFERROR(__xludf.DUMMYFUNCTION("""COMPUTED_VALUE"""),"BL")</f>
        <v>BL</v>
      </c>
      <c r="J5144" s="22"/>
      <c r="K5144" s="22" t="str">
        <f>IFERROR(__xludf.DUMMYFUNCTION("""COMPUTED_VALUE"""),"チルシェコミックス")</f>
        <v>チルシェコミックス</v>
      </c>
      <c r="L5144" s="22" t="str">
        <f>IFERROR(__xludf.DUMMYFUNCTION("""COMPUTED_VALUE"""),"双葉社")</f>
        <v>双葉社</v>
      </c>
      <c r="M5144" s="33">
        <f>IFERROR(__xludf.DUMMYFUNCTION("""COMPUTED_VALUE"""),46162.0)</f>
        <v>46162</v>
      </c>
      <c r="N5144" s="33">
        <f>IFERROR(__xludf.DUMMYFUNCTION("""COMPUTED_VALUE"""),46192.0)</f>
        <v>46192</v>
      </c>
      <c r="O5144" s="20"/>
      <c r="P5144" s="32" t="str">
        <f>IFERROR(__xludf.DUMMYFUNCTION("""COMPUTED_VALUE"""),"可")</f>
        <v>可</v>
      </c>
      <c r="Q5144" s="30"/>
      <c r="R5144" s="22"/>
      <c r="S5144" s="22" t="str">
        <f>IFERROR(__xludf.DUMMYFUNCTION("""COMPUTED_VALUE"""),"20260423_双葉社_100回言ったら、愛にして 分冊版")</f>
        <v>20260423_双葉社_100回言ったら、愛にして 分冊版</v>
      </c>
      <c r="T5144" s="22" t="str">
        <f>IFERROR(__xludf.DUMMYFUNCTION("""COMPUTED_VALUE"""),"格納済み")</f>
        <v>格納済み</v>
      </c>
      <c r="U5144" s="9" t="str">
        <f>IFERROR(__xludf.DUMMYFUNCTION("""COMPUTED_VALUE"""),"Ⓒ河合あめ/双葉社")</f>
        <v>Ⓒ河合あめ/双葉社</v>
      </c>
      <c r="V5144" s="8"/>
      <c r="W5144" s="8"/>
      <c r="X5144" s="8" t="str">
        <f>IFERROR(__xludf.DUMMYFUNCTION("""COMPUTED_VALUE"""),"有")</f>
        <v>有</v>
      </c>
      <c r="Y5144" s="8" t="str">
        <f>IFERROR(__xludf.DUMMYFUNCTION("""COMPUTED_VALUE"""),"P12まで")</f>
        <v>P12まで</v>
      </c>
      <c r="Z5144" s="7"/>
      <c r="AA5144" s="7"/>
      <c r="AB5144" s="7"/>
    </row>
    <row r="5145" ht="15.75" customHeight="1">
      <c r="A5145" s="26">
        <f>IFERROR(__xludf.DUMMYFUNCTION("""COMPUTED_VALUE"""),7902.0)</f>
        <v>7902</v>
      </c>
      <c r="B5145" s="22" t="str">
        <f>IFERROR(__xludf.DUMMYFUNCTION("""COMPUTED_VALUE"""),"確定")</f>
        <v>確定</v>
      </c>
      <c r="C5145" s="28">
        <f>IFERROR(__xludf.DUMMYFUNCTION("""COMPUTED_VALUE"""),46136.0)</f>
        <v>46136</v>
      </c>
      <c r="D5145" s="28">
        <f>IFERROR(__xludf.DUMMYFUNCTION("""COMPUTED_VALUE"""),46140.0)</f>
        <v>46140</v>
      </c>
      <c r="E5145" s="26">
        <f>IFERROR(__xludf.DUMMYFUNCTION("""COMPUTED_VALUE"""),362207.0)</f>
        <v>362207</v>
      </c>
      <c r="F5145" s="22" t="str">
        <f>IFERROR(__xludf.DUMMYFUNCTION("""COMPUTED_VALUE"""),"汐乃先生と、とろける取材事情［ばら売り］")</f>
        <v>汐乃先生と、とろける取材事情［ばら売り］</v>
      </c>
      <c r="G5145" s="20" t="str">
        <f>IFERROR(__xludf.DUMMYFUNCTION("""COMPUTED_VALUE"""),"1～4")</f>
        <v>1～4</v>
      </c>
      <c r="H5145" s="22" t="str">
        <f>IFERROR(__xludf.DUMMYFUNCTION("""COMPUTED_VALUE"""),"望田ほへと")</f>
        <v>望田ほへと</v>
      </c>
      <c r="I5145" s="22" t="str">
        <f>IFERROR(__xludf.DUMMYFUNCTION("""COMPUTED_VALUE"""),"女性")</f>
        <v>女性</v>
      </c>
      <c r="J5145" s="22"/>
      <c r="K5145" s="22" t="str">
        <f>IFERROR(__xludf.DUMMYFUNCTION("""COMPUTED_VALUE"""),"マンガPark")</f>
        <v>マンガPark</v>
      </c>
      <c r="L5145" s="22" t="str">
        <f>IFERROR(__xludf.DUMMYFUNCTION("""COMPUTED_VALUE"""),"白泉社")</f>
        <v>白泉社</v>
      </c>
      <c r="M5145" s="33">
        <f>IFERROR(__xludf.DUMMYFUNCTION("""COMPUTED_VALUE"""),46186.0)</f>
        <v>46186</v>
      </c>
      <c r="N5145" s="33">
        <f>IFERROR(__xludf.DUMMYFUNCTION("""COMPUTED_VALUE"""),46241.0)</f>
        <v>46241</v>
      </c>
      <c r="O5145" s="20"/>
      <c r="P5145" s="32" t="str">
        <f>IFERROR(__xludf.DUMMYFUNCTION("""COMPUTED_VALUE"""),"可")</f>
        <v>可</v>
      </c>
      <c r="Q5145" s="30"/>
      <c r="R5145" s="22"/>
      <c r="S5145" s="22" t="str">
        <f>IFERROR(__xludf.DUMMYFUNCTION("""COMPUTED_VALUE"""),"20260424_白泉社_汐乃先生と、とろける取材事情［ばら売り］")</f>
        <v>20260424_白泉社_汐乃先生と、とろける取材事情［ばら売り］</v>
      </c>
      <c r="T5145" s="22" t="str">
        <f>IFERROR(__xludf.DUMMYFUNCTION("""COMPUTED_VALUE"""),"格納済み")</f>
        <v>格納済み</v>
      </c>
      <c r="U5145" s="9" t="str">
        <f>IFERROR(__xludf.DUMMYFUNCTION("""COMPUTED_VALUE"""),"（C）望田ほへと／白泉社")</f>
        <v>（C）望田ほへと／白泉社</v>
      </c>
      <c r="V5145" s="8"/>
      <c r="W5145" s="8"/>
      <c r="X5145" s="8" t="str">
        <f>IFERROR(__xludf.DUMMYFUNCTION("""COMPUTED_VALUE"""),"有")</f>
        <v>有</v>
      </c>
      <c r="Y5145" s="8" t="str">
        <f>IFERROR(__xludf.DUMMYFUNCTION("""COMPUTED_VALUE"""),"P10まで")</f>
        <v>P10まで</v>
      </c>
      <c r="Z5145" s="7"/>
      <c r="AA5145" s="7"/>
      <c r="AB5145" s="7"/>
    </row>
    <row r="5146" ht="15.75" customHeight="1">
      <c r="A5146" s="26">
        <f>IFERROR(__xludf.DUMMYFUNCTION("""COMPUTED_VALUE"""),7903.0)</f>
        <v>7903</v>
      </c>
      <c r="B5146" s="22" t="str">
        <f>IFERROR(__xludf.DUMMYFUNCTION("""COMPUTED_VALUE"""),"確定")</f>
        <v>確定</v>
      </c>
      <c r="C5146" s="28">
        <f>IFERROR(__xludf.DUMMYFUNCTION("""COMPUTED_VALUE"""),46136.0)</f>
        <v>46136</v>
      </c>
      <c r="D5146" s="28">
        <f>IFERROR(__xludf.DUMMYFUNCTION("""COMPUTED_VALUE"""),46136.0)</f>
        <v>46136</v>
      </c>
      <c r="E5146" s="26">
        <f>IFERROR(__xludf.DUMMYFUNCTION("""COMPUTED_VALUE"""),362277.0)</f>
        <v>362277</v>
      </c>
      <c r="F5146" s="22" t="str">
        <f>IFERROR(__xludf.DUMMYFUNCTION("""COMPUTED_VALUE"""),"またね、神様　Restart［ばら売り］")</f>
        <v>またね、神様　Restart［ばら売り］</v>
      </c>
      <c r="G5146" s="20" t="str">
        <f>IFERROR(__xludf.DUMMYFUNCTION("""COMPUTED_VALUE"""),"1～3")</f>
        <v>1～3</v>
      </c>
      <c r="H5146" s="22" t="str">
        <f>IFERROR(__xludf.DUMMYFUNCTION("""COMPUTED_VALUE"""),"ヴヤマ")</f>
        <v>ヴヤマ</v>
      </c>
      <c r="I5146" s="22" t="str">
        <f>IFERROR(__xludf.DUMMYFUNCTION("""COMPUTED_VALUE"""),"BL")</f>
        <v>BL</v>
      </c>
      <c r="J5146" s="22"/>
      <c r="K5146" s="22" t="str">
        <f>IFERROR(__xludf.DUMMYFUNCTION("""COMPUTED_VALUE"""),"マンガPark")</f>
        <v>マンガPark</v>
      </c>
      <c r="L5146" s="22" t="str">
        <f>IFERROR(__xludf.DUMMYFUNCTION("""COMPUTED_VALUE"""),"白泉社")</f>
        <v>白泉社</v>
      </c>
      <c r="M5146" s="33">
        <f>IFERROR(__xludf.DUMMYFUNCTION("""COMPUTED_VALUE"""),46186.0)</f>
        <v>46186</v>
      </c>
      <c r="N5146" s="33">
        <f>IFERROR(__xludf.DUMMYFUNCTION("""COMPUTED_VALUE"""),46241.0)</f>
        <v>46241</v>
      </c>
      <c r="O5146" s="20"/>
      <c r="P5146" s="32" t="str">
        <f>IFERROR(__xludf.DUMMYFUNCTION("""COMPUTED_VALUE"""),"可")</f>
        <v>可</v>
      </c>
      <c r="Q5146" s="30" t="str">
        <f>IFERROR(__xludf.DUMMYFUNCTION("""COMPUTED_VALUE"""),"一部広告使用NGコマあり。別途情報共有します。")</f>
        <v>一部広告使用NGコマあり。別途情報共有します。</v>
      </c>
      <c r="R5146" s="22"/>
      <c r="S5146" s="22" t="str">
        <f>IFERROR(__xludf.DUMMYFUNCTION("""COMPUTED_VALUE"""),"20260424_白泉社_またね、神様　Restart［ばら売り］")</f>
        <v>20260424_白泉社_またね、神様　Restart［ばら売り］</v>
      </c>
      <c r="T5146" s="22" t="str">
        <f>IFERROR(__xludf.DUMMYFUNCTION("""COMPUTED_VALUE"""),"格納済み")</f>
        <v>格納済み</v>
      </c>
      <c r="U5146" s="9" t="str">
        <f>IFERROR(__xludf.DUMMYFUNCTION("""COMPUTED_VALUE"""),"(C)ヴヤマ／白泉社")</f>
        <v>(C)ヴヤマ／白泉社</v>
      </c>
      <c r="V5146" s="8"/>
      <c r="W5146" s="8"/>
      <c r="X5146" s="8" t="str">
        <f>IFERROR(__xludf.DUMMYFUNCTION("""COMPUTED_VALUE"""),"有")</f>
        <v>有</v>
      </c>
      <c r="Y5146" s="8" t="str">
        <f>IFERROR(__xludf.DUMMYFUNCTION("""COMPUTED_VALUE"""),"2026/6/26まで1巻無料")</f>
        <v>2026/6/26まで1巻無料</v>
      </c>
      <c r="Z5146" s="7"/>
      <c r="AA5146" s="7"/>
      <c r="AB5146" s="7"/>
    </row>
    <row r="5147" ht="15.75" customHeight="1">
      <c r="A5147" s="26">
        <f>IFERROR(__xludf.DUMMYFUNCTION("""COMPUTED_VALUE"""),7904.0)</f>
        <v>7904</v>
      </c>
      <c r="B5147" s="22" t="str">
        <f>IFERROR(__xludf.DUMMYFUNCTION("""COMPUTED_VALUE"""),"確定")</f>
        <v>確定</v>
      </c>
      <c r="C5147" s="28">
        <f>IFERROR(__xludf.DUMMYFUNCTION("""COMPUTED_VALUE"""),46136.0)</f>
        <v>46136</v>
      </c>
      <c r="D5147" s="28">
        <f>IFERROR(__xludf.DUMMYFUNCTION("""COMPUTED_VALUE"""),46140.0)</f>
        <v>46140</v>
      </c>
      <c r="E5147" s="26">
        <f>IFERROR(__xludf.DUMMYFUNCTION("""COMPUTED_VALUE"""),362208.0)</f>
        <v>362208</v>
      </c>
      <c r="F5147" s="22" t="str">
        <f>IFERROR(__xludf.DUMMYFUNCTION("""COMPUTED_VALUE"""),"優菜ちゃんは夢の中［ばら売り］")</f>
        <v>優菜ちゃんは夢の中［ばら売り］</v>
      </c>
      <c r="G5147" s="20" t="str">
        <f>IFERROR(__xludf.DUMMYFUNCTION("""COMPUTED_VALUE"""),"1～4")</f>
        <v>1～4</v>
      </c>
      <c r="H5147" s="22" t="str">
        <f>IFERROR(__xludf.DUMMYFUNCTION("""COMPUTED_VALUE"""),"彦田ジュン")</f>
        <v>彦田ジュン</v>
      </c>
      <c r="I5147" s="22" t="str">
        <f>IFERROR(__xludf.DUMMYFUNCTION("""COMPUTED_VALUE"""),"女性")</f>
        <v>女性</v>
      </c>
      <c r="J5147" s="22"/>
      <c r="K5147" s="22" t="str">
        <f>IFERROR(__xludf.DUMMYFUNCTION("""COMPUTED_VALUE"""),"マンガPark")</f>
        <v>マンガPark</v>
      </c>
      <c r="L5147" s="22" t="str">
        <f>IFERROR(__xludf.DUMMYFUNCTION("""COMPUTED_VALUE"""),"白泉社")</f>
        <v>白泉社</v>
      </c>
      <c r="M5147" s="33">
        <f>IFERROR(__xludf.DUMMYFUNCTION("""COMPUTED_VALUE"""),46186.0)</f>
        <v>46186</v>
      </c>
      <c r="N5147" s="33">
        <f>IFERROR(__xludf.DUMMYFUNCTION("""COMPUTED_VALUE"""),46241.0)</f>
        <v>46241</v>
      </c>
      <c r="O5147" s="20"/>
      <c r="P5147" s="32" t="str">
        <f>IFERROR(__xludf.DUMMYFUNCTION("""COMPUTED_VALUE"""),"可")</f>
        <v>可</v>
      </c>
      <c r="Q5147" s="30"/>
      <c r="R5147" s="22"/>
      <c r="S5147" s="22" t="str">
        <f>IFERROR(__xludf.DUMMYFUNCTION("""COMPUTED_VALUE"""),"20260424_白泉社_優菜ちゃんは夢の中［ばら売り］")</f>
        <v>20260424_白泉社_優菜ちゃんは夢の中［ばら売り］</v>
      </c>
      <c r="T5147" s="22" t="str">
        <f>IFERROR(__xludf.DUMMYFUNCTION("""COMPUTED_VALUE"""),"格納済み")</f>
        <v>格納済み</v>
      </c>
      <c r="U5147" s="9" t="str">
        <f>IFERROR(__xludf.DUMMYFUNCTION("""COMPUTED_VALUE"""),"(C)彦田ジュン／白泉社")</f>
        <v>(C)彦田ジュン／白泉社</v>
      </c>
      <c r="V5147" s="8"/>
      <c r="W5147" s="8"/>
      <c r="X5147" s="8" t="str">
        <f>IFERROR(__xludf.DUMMYFUNCTION("""COMPUTED_VALUE"""),"有")</f>
        <v>有</v>
      </c>
      <c r="Y5147" s="8" t="str">
        <f>IFERROR(__xludf.DUMMYFUNCTION("""COMPUTED_VALUE"""),"P10まで")</f>
        <v>P10まで</v>
      </c>
      <c r="Z5147" s="7"/>
      <c r="AA5147" s="7"/>
      <c r="AB5147" s="7"/>
    </row>
    <row r="5148" ht="15.75" customHeight="1">
      <c r="A5148" s="26">
        <f>IFERROR(__xludf.DUMMYFUNCTION("""COMPUTED_VALUE"""),7908.0)</f>
        <v>7908</v>
      </c>
      <c r="B5148" s="22" t="str">
        <f>IFERROR(__xludf.DUMMYFUNCTION("""COMPUTED_VALUE"""),"確定")</f>
        <v>確定</v>
      </c>
      <c r="C5148" s="28">
        <f>IFERROR(__xludf.DUMMYFUNCTION("""COMPUTED_VALUE"""),46136.0)</f>
        <v>46136</v>
      </c>
      <c r="D5148" s="28">
        <f>IFERROR(__xludf.DUMMYFUNCTION("""COMPUTED_VALUE"""),46140.0)</f>
        <v>46140</v>
      </c>
      <c r="E5148" s="26">
        <f>IFERROR(__xludf.DUMMYFUNCTION("""COMPUTED_VALUE"""),361927.0)</f>
        <v>361927</v>
      </c>
      <c r="F5148" s="22" t="str">
        <f>IFERROR(__xludf.DUMMYFUNCTION("""COMPUTED_VALUE"""),"偽りのペアリング～偽装恋人になった元彼は過保護に私を溺愛する～")</f>
        <v>偽りのペアリング～偽装恋人になった元彼は過保護に私を溺愛する～</v>
      </c>
      <c r="G5148" s="20" t="str">
        <f>IFERROR(__xludf.DUMMYFUNCTION("""COMPUTED_VALUE"""),"1～3")</f>
        <v>1～3</v>
      </c>
      <c r="H5148" s="22" t="str">
        <f>IFERROR(__xludf.DUMMYFUNCTION("""COMPUTED_VALUE"""),"あまね未琴")</f>
        <v>あまね未琴</v>
      </c>
      <c r="I5148" s="22" t="str">
        <f>IFERROR(__xludf.DUMMYFUNCTION("""COMPUTED_VALUE"""),"女性")</f>
        <v>女性</v>
      </c>
      <c r="J5148" s="22"/>
      <c r="K5148" s="22" t="str">
        <f>IFERROR(__xludf.DUMMYFUNCTION("""COMPUTED_VALUE"""),"コイパレ")</f>
        <v>コイパレ</v>
      </c>
      <c r="L5148" s="22" t="str">
        <f>IFERROR(__xludf.DUMMYFUNCTION("""COMPUTED_VALUE"""),"CLLENN")</f>
        <v>CLLENN</v>
      </c>
      <c r="M5148" s="33">
        <f>IFERROR(__xludf.DUMMYFUNCTION("""COMPUTED_VALUE"""),46176.0)</f>
        <v>46176</v>
      </c>
      <c r="N5148" s="33">
        <f>IFERROR(__xludf.DUMMYFUNCTION("""COMPUTED_VALUE"""),46238.0)</f>
        <v>46238</v>
      </c>
      <c r="O5148" s="20"/>
      <c r="P5148" s="32" t="str">
        <f>IFERROR(__xludf.DUMMYFUNCTION("""COMPUTED_VALUE"""),"可")</f>
        <v>可</v>
      </c>
      <c r="Q5148" s="30"/>
      <c r="R5148" s="22"/>
      <c r="S5148" s="22" t="str">
        <f>IFERROR(__xludf.DUMMYFUNCTION("""COMPUTED_VALUE"""),"20260428_CLLENN_偽りのペアリング～偽装恋人になった元彼は過保護に私を溺愛する～")</f>
        <v>20260428_CLLENN_偽りのペアリング～偽装恋人になった元彼は過保護に私を溺愛する～</v>
      </c>
      <c r="T5148" s="22" t="str">
        <f>IFERROR(__xludf.DUMMYFUNCTION("""COMPUTED_VALUE"""),"格納済み")</f>
        <v>格納済み</v>
      </c>
      <c r="U5148" s="9" t="str">
        <f>IFERROR(__xludf.DUMMYFUNCTION("""COMPUTED_VALUE"""),"Ⓒあまね未琴/CLLENN")</f>
        <v>Ⓒあまね未琴/CLLENN</v>
      </c>
      <c r="V5148" s="8"/>
      <c r="W5148" s="8"/>
      <c r="X5148" s="8" t="str">
        <f>IFERROR(__xludf.DUMMYFUNCTION("""COMPUTED_VALUE"""),"有")</f>
        <v>有</v>
      </c>
      <c r="Y5148" s="8" t="str">
        <f>IFERROR(__xludf.DUMMYFUNCTION("""COMPUTED_VALUE"""),"2026/6/16まで1巻無料")</f>
        <v>2026/6/16まで1巻無料</v>
      </c>
      <c r="Z5148" s="7"/>
      <c r="AA5148" s="7"/>
      <c r="AB5148" s="7"/>
    </row>
    <row r="5149" ht="15.75" customHeight="1">
      <c r="A5149" s="26">
        <f>IFERROR(__xludf.DUMMYFUNCTION("""COMPUTED_VALUE"""),7915.0)</f>
        <v>7915</v>
      </c>
      <c r="B5149" s="22" t="str">
        <f>IFERROR(__xludf.DUMMYFUNCTION("""COMPUTED_VALUE"""),"確定")</f>
        <v>確定</v>
      </c>
      <c r="C5149" s="28">
        <f>IFERROR(__xludf.DUMMYFUNCTION("""COMPUTED_VALUE"""),46139.0)</f>
        <v>46139</v>
      </c>
      <c r="D5149" s="28">
        <f>IFERROR(__xludf.DUMMYFUNCTION("""COMPUTED_VALUE"""),46140.0)</f>
        <v>46140</v>
      </c>
      <c r="E5149" s="26">
        <f>IFERROR(__xludf.DUMMYFUNCTION("""COMPUTED_VALUE"""),331709.0)</f>
        <v>331709</v>
      </c>
      <c r="F5149" s="22" t="str">
        <f>IFERROR(__xludf.DUMMYFUNCTION("""COMPUTED_VALUE"""),"賞味期限切れ妻の逆襲～夫も浮気女もまとめて思い知らせます！～")</f>
        <v>賞味期限切れ妻の逆襲～夫も浮気女もまとめて思い知らせます！～</v>
      </c>
      <c r="G5149" s="20" t="str">
        <f>IFERROR(__xludf.DUMMYFUNCTION("""COMPUTED_VALUE"""),"1～3")</f>
        <v>1～3</v>
      </c>
      <c r="H5149" s="22" t="str">
        <f>IFERROR(__xludf.DUMMYFUNCTION("""COMPUTED_VALUE"""),"早乃あかり")</f>
        <v>早乃あかり</v>
      </c>
      <c r="I5149" s="22" t="str">
        <f>IFERROR(__xludf.DUMMYFUNCTION("""COMPUTED_VALUE"""),"女性")</f>
        <v>女性</v>
      </c>
      <c r="J5149" s="22"/>
      <c r="K5149" s="22" t="str">
        <f>IFERROR(__xludf.DUMMYFUNCTION("""COMPUTED_VALUE"""),"トレモア・リアルラブ,トレモアcollection")</f>
        <v>トレモア・リアルラブ,トレモアcollection</v>
      </c>
      <c r="L5149" s="22" t="str">
        <f>IFERROR(__xludf.DUMMYFUNCTION("""COMPUTED_VALUE"""),"シーモアコミックス（トレモア）")</f>
        <v>シーモアコミックス（トレモア）</v>
      </c>
      <c r="M5149" s="33">
        <f>IFERROR(__xludf.DUMMYFUNCTION("""COMPUTED_VALUE"""),46185.0)</f>
        <v>46185</v>
      </c>
      <c r="N5149" s="33">
        <f>IFERROR(__xludf.DUMMYFUNCTION("""COMPUTED_VALUE"""),2958465.0)</f>
        <v>2958465</v>
      </c>
      <c r="O5149" s="20"/>
      <c r="P5149" s="32" t="str">
        <f>IFERROR(__xludf.DUMMYFUNCTION("""COMPUTED_VALUE"""),"可")</f>
        <v>可</v>
      </c>
      <c r="Q5149" s="30"/>
      <c r="R5149" s="22"/>
      <c r="S5149" s="22" t="str">
        <f>IFERROR(__xludf.DUMMYFUNCTION("""COMPUTED_VALUE"""),"20260427_シーモアコミックス_賞味期限切れ妻の逆襲～夫も浮気女もまとめて思い知らせます！～")</f>
        <v>20260427_シーモアコミックス_賞味期限切れ妻の逆襲～夫も浮気女もまとめて思い知らせます！～</v>
      </c>
      <c r="T5149" s="22" t="str">
        <f>IFERROR(__xludf.DUMMYFUNCTION("""COMPUTED_VALUE"""),"格納済み")</f>
        <v>格納済み</v>
      </c>
      <c r="U5149" s="9" t="str">
        <f>IFERROR(__xludf.DUMMYFUNCTION("""COMPUTED_VALUE"""),"(C) 早乃あかり/シーモアコミックス")</f>
        <v>(C) 早乃あかり/シーモアコミックス</v>
      </c>
      <c r="V5149" s="8"/>
      <c r="W5149" s="8"/>
      <c r="X5149" s="8" t="str">
        <f>IFERROR(__xludf.DUMMYFUNCTION("""COMPUTED_VALUE"""),"有")</f>
        <v>有</v>
      </c>
      <c r="Y5149" s="8" t="str">
        <f>IFERROR(__xludf.DUMMYFUNCTION("""COMPUTED_VALUE"""),"1巻永久無料")</f>
        <v>1巻永久無料</v>
      </c>
      <c r="Z5149" s="7"/>
      <c r="AA5149" s="7"/>
      <c r="AB5149" s="7"/>
    </row>
    <row r="5150" ht="15.75" customHeight="1">
      <c r="A5150" s="26">
        <f>IFERROR(__xludf.DUMMYFUNCTION("""COMPUTED_VALUE"""),7236.0)</f>
        <v>7236</v>
      </c>
      <c r="B5150" s="22" t="str">
        <f>IFERROR(__xludf.DUMMYFUNCTION("""COMPUTED_VALUE"""),"確定")</f>
        <v>確定</v>
      </c>
      <c r="C5150" s="28">
        <f>IFERROR(__xludf.DUMMYFUNCTION("""COMPUTED_VALUE"""),46038.0)</f>
        <v>46038</v>
      </c>
      <c r="D5150" s="28">
        <f>IFERROR(__xludf.DUMMYFUNCTION("""COMPUTED_VALUE"""),46149.0)</f>
        <v>46149</v>
      </c>
      <c r="E5150" s="26">
        <f>IFERROR(__xludf.DUMMYFUNCTION("""COMPUTED_VALUE"""),363656.0)</f>
        <v>363656</v>
      </c>
      <c r="F5150" s="22" t="str">
        <f>IFERROR(__xludf.DUMMYFUNCTION("""COMPUTED_VALUE"""),"闇一族の天才クラスメイトが突然女の子になった件 ～第三王子の俺が責任を取ることになりました～")</f>
        <v>闇一族の天才クラスメイトが突然女の子になった件 ～第三王子の俺が責任を取ることになりました～</v>
      </c>
      <c r="G5150" s="20">
        <f>IFERROR(__xludf.DUMMYFUNCTION("""COMPUTED_VALUE"""),1.0)</f>
        <v>1</v>
      </c>
      <c r="H5150" s="22" t="str">
        <f>IFERROR(__xludf.DUMMYFUNCTION("""COMPUTED_VALUE"""),"四つ葉ねこ")</f>
        <v>四つ葉ねこ</v>
      </c>
      <c r="I5150" s="22" t="str">
        <f>IFERROR(__xludf.DUMMYFUNCTION("""COMPUTED_VALUE"""),"TL")</f>
        <v>TL</v>
      </c>
      <c r="J5150" s="22"/>
      <c r="K5150" s="22" t="str">
        <f>IFERROR(__xludf.DUMMYFUNCTION("""COMPUTED_VALUE"""),"comic LAKE")</f>
        <v>comic LAKE</v>
      </c>
      <c r="L5150" s="22" t="str">
        <f>IFERROR(__xludf.DUMMYFUNCTION("""COMPUTED_VALUE"""),"一迅社")</f>
        <v>一迅社</v>
      </c>
      <c r="M5150" s="33">
        <f>IFERROR(__xludf.DUMMYFUNCTION("""COMPUTED_VALUE"""),46197.0)</f>
        <v>46197</v>
      </c>
      <c r="N5150" s="33">
        <f>IFERROR(__xludf.DUMMYFUNCTION("""COMPUTED_VALUE"""),46257.0)</f>
        <v>46257</v>
      </c>
      <c r="O5150" s="20"/>
      <c r="P5150" s="32" t="str">
        <f>IFERROR(__xludf.DUMMYFUNCTION("""COMPUTED_VALUE"""),"可")</f>
        <v>可</v>
      </c>
      <c r="Q5150" s="30" t="str">
        <f>IFERROR(__xludf.DUMMYFUNCTION("""COMPUTED_VALUE"""),"『わたくしの可愛い旦那さまへの愛が今宵も止まりませんっ 異世界令嬢攻めアンソロジー』の単話配信")</f>
        <v>『わたくしの可愛い旦那さまへの愛が今宵も止まりませんっ 異世界令嬢攻めアンソロジー』の単話配信</v>
      </c>
      <c r="R5150" s="22"/>
      <c r="S5150" s="22" t="str">
        <f>IFERROR(__xludf.DUMMYFUNCTION("""COMPUTED_VALUE"""),"20260423_一迅社_闇一族の天才クラスメイトが突然女の子になった件～第三王子の俺が責任を取ることになりました～")</f>
        <v>20260423_一迅社_闇一族の天才クラスメイトが突然女の子になった件～第三王子の俺が責任を取ることになりました～</v>
      </c>
      <c r="T5150" s="22" t="str">
        <f>IFERROR(__xludf.DUMMYFUNCTION("""COMPUTED_VALUE"""),"格納済み")</f>
        <v>格納済み</v>
      </c>
      <c r="U5150" s="9" t="str">
        <f>IFERROR(__xludf.DUMMYFUNCTION("""COMPUTED_VALUE"""),"(C)四つ葉ねこ／一迅社")</f>
        <v>(C)四つ葉ねこ／一迅社</v>
      </c>
      <c r="V5150" s="8"/>
      <c r="W5150" s="8"/>
      <c r="X5150" s="8" t="str">
        <f>IFERROR(__xludf.DUMMYFUNCTION("""COMPUTED_VALUE"""),"有")</f>
        <v>有</v>
      </c>
      <c r="Y5150" s="8" t="str">
        <f>IFERROR(__xludf.DUMMYFUNCTION("""COMPUTED_VALUE"""),"p8まで")</f>
        <v>p8まで</v>
      </c>
      <c r="Z5150" s="7"/>
      <c r="AA5150" s="7"/>
      <c r="AB5150" s="7"/>
    </row>
    <row r="5151" ht="15.75" customHeight="1">
      <c r="A5151" s="26">
        <f>IFERROR(__xludf.DUMMYFUNCTION("""COMPUTED_VALUE"""),7459.0)</f>
        <v>7459</v>
      </c>
      <c r="B5151" s="22" t="str">
        <f>IFERROR(__xludf.DUMMYFUNCTION("""COMPUTED_VALUE"""),"確定")</f>
        <v>確定</v>
      </c>
      <c r="C5151" s="28">
        <f>IFERROR(__xludf.DUMMYFUNCTION("""COMPUTED_VALUE"""),46069.0)</f>
        <v>46069</v>
      </c>
      <c r="D5151" s="28">
        <f>IFERROR(__xludf.DUMMYFUNCTION("""COMPUTED_VALUE"""),46143.0)</f>
        <v>46143</v>
      </c>
      <c r="E5151" s="26">
        <f>IFERROR(__xludf.DUMMYFUNCTION("""COMPUTED_VALUE"""),360354.0)</f>
        <v>360354</v>
      </c>
      <c r="F5151" s="22" t="str">
        <f>IFERROR(__xludf.DUMMYFUNCTION("""COMPUTED_VALUE"""),"ムカつく同期とずぶずぶ挑発エッチ～溢れた独占欲で私を満たして～")</f>
        <v>ムカつく同期とずぶずぶ挑発エッチ～溢れた独占欲で私を満たして～</v>
      </c>
      <c r="G5151" s="20" t="str">
        <f>IFERROR(__xludf.DUMMYFUNCTION("""COMPUTED_VALUE"""),"1～2")</f>
        <v>1～2</v>
      </c>
      <c r="H5151" s="22" t="str">
        <f>IFERROR(__xludf.DUMMYFUNCTION("""COMPUTED_VALUE"""),"汐湖ショウ")</f>
        <v>汐湖ショウ</v>
      </c>
      <c r="I5151" s="22" t="str">
        <f>IFERROR(__xludf.DUMMYFUNCTION("""COMPUTED_VALUE"""),"TL")</f>
        <v>TL</v>
      </c>
      <c r="J5151" s="22"/>
      <c r="K5151" s="22" t="str">
        <f>IFERROR(__xludf.DUMMYFUNCTION("""COMPUTED_VALUE"""),"乙女チック")</f>
        <v>乙女チック</v>
      </c>
      <c r="L5151" s="22" t="str">
        <f>IFERROR(__xludf.DUMMYFUNCTION("""COMPUTED_VALUE"""),"CLLENN")</f>
        <v>CLLENN</v>
      </c>
      <c r="M5151" s="33">
        <f>IFERROR(__xludf.DUMMYFUNCTION("""COMPUTED_VALUE"""),46172.0)</f>
        <v>46172</v>
      </c>
      <c r="N5151" s="33">
        <f>IFERROR(__xludf.DUMMYFUNCTION("""COMPUTED_VALUE"""),46227.0)</f>
        <v>46227</v>
      </c>
      <c r="O5151" s="20" t="str">
        <f>IFERROR(__xludf.DUMMYFUNCTION("""COMPUTED_VALUE"""),"【アダルト作品扱い】")</f>
        <v>【アダルト作品扱い】</v>
      </c>
      <c r="P5151" s="32" t="str">
        <f>IFERROR(__xludf.DUMMYFUNCTION("""COMPUTED_VALUE"""),"可")</f>
        <v>可</v>
      </c>
      <c r="Q5151" s="30"/>
      <c r="R5151" s="22" t="str">
        <f>IFERROR(__xludf.DUMMYFUNCTION("""COMPUTED_VALUE"""),"コミットOK")</f>
        <v>コミットOK</v>
      </c>
      <c r="S5151" s="22" t="str">
        <f>IFERROR(__xludf.DUMMYFUNCTION("""COMPUTED_VALUE"""),"20260428_CLLENN_ムカつく同期とずぶずぶ挑発エッチ～溢れた独占欲で私を満たして～")</f>
        <v>20260428_CLLENN_ムカつく同期とずぶずぶ挑発エッチ～溢れた独占欲で私を満たして～</v>
      </c>
      <c r="T5151" s="22" t="str">
        <f>IFERROR(__xludf.DUMMYFUNCTION("""COMPUTED_VALUE"""),"格納済み")</f>
        <v>格納済み</v>
      </c>
      <c r="U5151" s="9" t="str">
        <f>IFERROR(__xludf.DUMMYFUNCTION("""COMPUTED_VALUE"""),"Ⓒ汐湖ショウ/CLLENN")</f>
        <v>Ⓒ汐湖ショウ/CLLENN</v>
      </c>
      <c r="V5151" s="8"/>
      <c r="W5151" s="8"/>
      <c r="X5151" s="8" t="str">
        <f>IFERROR(__xludf.DUMMYFUNCTION("""COMPUTED_VALUE"""),"有")</f>
        <v>有</v>
      </c>
      <c r="Y5151" s="8" t="str">
        <f>IFERROR(__xludf.DUMMYFUNCTION("""COMPUTED_VALUE"""),"P10まで")</f>
        <v>P10まで</v>
      </c>
      <c r="Z5151" s="7"/>
      <c r="AA5151" s="7"/>
      <c r="AB5151" s="7"/>
    </row>
    <row r="5152" ht="15.75" customHeight="1">
      <c r="A5152" s="26">
        <f>IFERROR(__xludf.DUMMYFUNCTION("""COMPUTED_VALUE"""),7681.0)</f>
        <v>7681</v>
      </c>
      <c r="B5152" s="22" t="str">
        <f>IFERROR(__xludf.DUMMYFUNCTION("""COMPUTED_VALUE"""),"確定")</f>
        <v>確定</v>
      </c>
      <c r="C5152" s="28">
        <f>IFERROR(__xludf.DUMMYFUNCTION("""COMPUTED_VALUE"""),46094.0)</f>
        <v>46094</v>
      </c>
      <c r="D5152" s="28">
        <f>IFERROR(__xludf.DUMMYFUNCTION("""COMPUTED_VALUE"""),46143.0)</f>
        <v>46143</v>
      </c>
      <c r="E5152" s="26">
        <f>IFERROR(__xludf.DUMMYFUNCTION("""COMPUTED_VALUE"""),359077.0)</f>
        <v>359077</v>
      </c>
      <c r="F5152" s="22" t="str">
        <f>IFERROR(__xludf.DUMMYFUNCTION("""COMPUTED_VALUE"""),"カンスト王子は冷酷姫を渇望する《Lovelicot》")</f>
        <v>カンスト王子は冷酷姫を渇望する《Lovelicot》</v>
      </c>
      <c r="G5152" s="20" t="str">
        <f>IFERROR(__xludf.DUMMYFUNCTION("""COMPUTED_VALUE"""),"1～2")</f>
        <v>1～2</v>
      </c>
      <c r="H5152" s="22" t="str">
        <f>IFERROR(__xludf.DUMMYFUNCTION("""COMPUTED_VALUE"""),"朝陽チュン")</f>
        <v>朝陽チュン</v>
      </c>
      <c r="I5152" s="22" t="str">
        <f>IFERROR(__xludf.DUMMYFUNCTION("""COMPUTED_VALUE"""),"TL")</f>
        <v>TL</v>
      </c>
      <c r="J5152" s="22"/>
      <c r="K5152" s="22" t="str">
        <f>IFERROR(__xludf.DUMMYFUNCTION("""COMPUTED_VALUE"""),"Lovelicot")</f>
        <v>Lovelicot</v>
      </c>
      <c r="L5152" s="22" t="str">
        <f>IFERROR(__xludf.DUMMYFUNCTION("""COMPUTED_VALUE"""),"ガールスカウトコミックス")</f>
        <v>ガールスカウトコミックス</v>
      </c>
      <c r="M5152" s="33">
        <f>IFERROR(__xludf.DUMMYFUNCTION("""COMPUTED_VALUE"""),46160.0)</f>
        <v>46160</v>
      </c>
      <c r="N5152" s="33">
        <f>IFERROR(__xludf.DUMMYFUNCTION("""COMPUTED_VALUE"""),46251.0)</f>
        <v>46251</v>
      </c>
      <c r="O5152" s="20" t="str">
        <f>IFERROR(__xludf.DUMMYFUNCTION("""COMPUTED_VALUE"""),"【アダルト作品扱い】")</f>
        <v>【アダルト作品扱い】</v>
      </c>
      <c r="P5152" s="32" t="str">
        <f>IFERROR(__xludf.DUMMYFUNCTION("""COMPUTED_VALUE"""),"可")</f>
        <v>可</v>
      </c>
      <c r="Q5152" s="30" t="str">
        <f>IFERROR(__xludf.DUMMYFUNCTION("""COMPUTED_VALUE"""),"格納素材を2分割して初回1~2巻として配信します。")</f>
        <v>格納素材を2分割して初回1~2巻として配信します。</v>
      </c>
      <c r="R5152" s="22" t="str">
        <f>IFERROR(__xludf.DUMMYFUNCTION("""COMPUTED_VALUE"""),"コミットNG")</f>
        <v>コミットNG</v>
      </c>
      <c r="S5152" s="22" t="str">
        <f>IFERROR(__xludf.DUMMYFUNCTION("""COMPUTED_VALUE"""),"20260430_ガールスカウトコミックス_【TL版】カンスト王子広告素材")</f>
        <v>20260430_ガールスカウトコミックス_【TL版】カンスト王子広告素材</v>
      </c>
      <c r="T5152" s="22" t="str">
        <f>IFERROR(__xludf.DUMMYFUNCTION("""COMPUTED_VALUE"""),"格納済み")</f>
        <v>格納済み</v>
      </c>
      <c r="U5152" s="9" t="str">
        <f>IFERROR(__xludf.DUMMYFUNCTION("""COMPUTED_VALUE"""),"(C)朝陽チュン／ガールスカウトコミックス")</f>
        <v>(C)朝陽チュン／ガールスカウトコミックス</v>
      </c>
      <c r="V5152" s="8"/>
      <c r="W5152" s="8"/>
      <c r="X5152" s="8" t="str">
        <f>IFERROR(__xludf.DUMMYFUNCTION("""COMPUTED_VALUE"""),"有")</f>
        <v>有</v>
      </c>
      <c r="Y5152" s="8" t="str">
        <f>IFERROR(__xludf.DUMMYFUNCTION("""COMPUTED_VALUE"""),"2026/5/31まで1巻立ち読み増量P17まで")</f>
        <v>2026/5/31まで1巻立ち読み増量P17まで</v>
      </c>
      <c r="Z5152" s="7"/>
      <c r="AA5152" s="7"/>
      <c r="AB5152" s="7"/>
    </row>
    <row r="5153" ht="15.75" customHeight="1">
      <c r="A5153" s="26">
        <f>IFERROR(__xludf.DUMMYFUNCTION("""COMPUTED_VALUE"""),7682.0)</f>
        <v>7682</v>
      </c>
      <c r="B5153" s="22" t="str">
        <f>IFERROR(__xludf.DUMMYFUNCTION("""COMPUTED_VALUE"""),"確定")</f>
        <v>確定</v>
      </c>
      <c r="C5153" s="28">
        <f>IFERROR(__xludf.DUMMYFUNCTION("""COMPUTED_VALUE"""),46094.0)</f>
        <v>46094</v>
      </c>
      <c r="D5153" s="28">
        <f>IFERROR(__xludf.DUMMYFUNCTION("""COMPUTED_VALUE"""),46143.0)</f>
        <v>46143</v>
      </c>
      <c r="E5153" s="26">
        <f>IFERROR(__xludf.DUMMYFUNCTION("""COMPUTED_VALUE"""),359078.0)</f>
        <v>359078</v>
      </c>
      <c r="F5153" s="22" t="str">
        <f>IFERROR(__xludf.DUMMYFUNCTION("""COMPUTED_VALUE"""),"【R版】カンスト王子は冷酷姫を渇望する《Lovelicot》")</f>
        <v>【R版】カンスト王子は冷酷姫を渇望する《Lovelicot》</v>
      </c>
      <c r="G5153" s="20" t="str">
        <f>IFERROR(__xludf.DUMMYFUNCTION("""COMPUTED_VALUE"""),"1～2")</f>
        <v>1～2</v>
      </c>
      <c r="H5153" s="22" t="str">
        <f>IFERROR(__xludf.DUMMYFUNCTION("""COMPUTED_VALUE"""),"朝陽チュン")</f>
        <v>朝陽チュン</v>
      </c>
      <c r="I5153" s="22" t="str">
        <f>IFERROR(__xludf.DUMMYFUNCTION("""COMPUTED_VALUE"""),"アダルト")</f>
        <v>アダルト</v>
      </c>
      <c r="J5153" s="22"/>
      <c r="K5153" s="22" t="str">
        <f>IFERROR(__xludf.DUMMYFUNCTION("""COMPUTED_VALUE"""),"Lovelicot")</f>
        <v>Lovelicot</v>
      </c>
      <c r="L5153" s="22" t="str">
        <f>IFERROR(__xludf.DUMMYFUNCTION("""COMPUTED_VALUE"""),"ガールスカウトコミックス")</f>
        <v>ガールスカウトコミックス</v>
      </c>
      <c r="M5153" s="33">
        <f>IFERROR(__xludf.DUMMYFUNCTION("""COMPUTED_VALUE"""),46160.0)</f>
        <v>46160</v>
      </c>
      <c r="N5153" s="33">
        <f>IFERROR(__xludf.DUMMYFUNCTION("""COMPUTED_VALUE"""),46251.0)</f>
        <v>46251</v>
      </c>
      <c r="O5153" s="20"/>
      <c r="P5153" s="32" t="str">
        <f>IFERROR(__xludf.DUMMYFUNCTION("""COMPUTED_VALUE"""),"可")</f>
        <v>可</v>
      </c>
      <c r="Q5153" s="30" t="str">
        <f>IFERROR(__xludf.DUMMYFUNCTION("""COMPUTED_VALUE"""),"格納素材を2分割して初回1~2巻として配信します。")</f>
        <v>格納素材を2分割して初回1~2巻として配信します。</v>
      </c>
      <c r="R5153" s="22" t="str">
        <f>IFERROR(__xludf.DUMMYFUNCTION("""COMPUTED_VALUE"""),"コミットOK")</f>
        <v>コミットOK</v>
      </c>
      <c r="S5153" s="22" t="str">
        <f>IFERROR(__xludf.DUMMYFUNCTION("""COMPUTED_VALUE"""),"20260430_ガールスカウトコミックス_【R版】カンスト王子広告素材")</f>
        <v>20260430_ガールスカウトコミックス_【R版】カンスト王子広告素材</v>
      </c>
      <c r="T5153" s="22" t="str">
        <f>IFERROR(__xludf.DUMMYFUNCTION("""COMPUTED_VALUE"""),"格納済み")</f>
        <v>格納済み</v>
      </c>
      <c r="U5153" s="9" t="str">
        <f>IFERROR(__xludf.DUMMYFUNCTION("""COMPUTED_VALUE"""),"(C)朝陽チュン／ガールスカウトコミックス")</f>
        <v>(C)朝陽チュン／ガールスカウトコミックス</v>
      </c>
      <c r="V5153" s="8"/>
      <c r="W5153" s="8"/>
      <c r="X5153" s="8" t="str">
        <f>IFERROR(__xludf.DUMMYFUNCTION("""COMPUTED_VALUE"""),"有")</f>
        <v>有</v>
      </c>
      <c r="Y5153" s="8" t="str">
        <f>IFERROR(__xludf.DUMMYFUNCTION("""COMPUTED_VALUE"""),"2026/5/31まで1巻立ち読み増量P17まで")</f>
        <v>2026/5/31まで1巻立ち読み増量P17まで</v>
      </c>
      <c r="Z5153" s="7"/>
      <c r="AA5153" s="7"/>
      <c r="AB5153" s="7"/>
    </row>
    <row r="5154" ht="15.75" customHeight="1">
      <c r="A5154" s="26">
        <f>IFERROR(__xludf.DUMMYFUNCTION("""COMPUTED_VALUE"""),7684.0)</f>
        <v>7684</v>
      </c>
      <c r="B5154" s="22" t="str">
        <f>IFERROR(__xludf.DUMMYFUNCTION("""COMPUTED_VALUE"""),"確定")</f>
        <v>確定</v>
      </c>
      <c r="C5154" s="28">
        <f>IFERROR(__xludf.DUMMYFUNCTION("""COMPUTED_VALUE"""),46094.0)</f>
        <v>46094</v>
      </c>
      <c r="D5154" s="28">
        <f>IFERROR(__xludf.DUMMYFUNCTION("""COMPUTED_VALUE"""),46143.0)</f>
        <v>46143</v>
      </c>
      <c r="E5154" s="26">
        <f>IFERROR(__xludf.DUMMYFUNCTION("""COMPUTED_VALUE"""),361150.0)</f>
        <v>361150</v>
      </c>
      <c r="F5154" s="22" t="str">
        <f>IFERROR(__xludf.DUMMYFUNCTION("""COMPUTED_VALUE"""),"闇堕ち勇者は、癒しの聖女を貪り尽くして離さない。")</f>
        <v>闇堕ち勇者は、癒しの聖女を貪り尽くして離さない。</v>
      </c>
      <c r="G5154" s="20">
        <f>IFERROR(__xludf.DUMMYFUNCTION("""COMPUTED_VALUE"""),1.0)</f>
        <v>1</v>
      </c>
      <c r="H5154" s="22" t="str">
        <f>IFERROR(__xludf.DUMMYFUNCTION("""COMPUTED_VALUE"""),"希野コバル/まるぶち銀河")</f>
        <v>希野コバル/まるぶち銀河</v>
      </c>
      <c r="I5154" s="22" t="str">
        <f>IFERROR(__xludf.DUMMYFUNCTION("""COMPUTED_VALUE"""),"TL")</f>
        <v>TL</v>
      </c>
      <c r="J5154" s="22"/>
      <c r="K5154" s="22" t="str">
        <f>IFERROR(__xludf.DUMMYFUNCTION("""COMPUTED_VALUE"""),"lou lou")</f>
        <v>lou lou</v>
      </c>
      <c r="L5154" s="22" t="str">
        <f>IFERROR(__xludf.DUMMYFUNCTION("""COMPUTED_VALUE"""),"渋谷六花舎")</f>
        <v>渋谷六花舎</v>
      </c>
      <c r="M5154" s="33">
        <f>IFERROR(__xludf.DUMMYFUNCTION("""COMPUTED_VALUE"""),46160.0)</f>
        <v>46160</v>
      </c>
      <c r="N5154" s="33">
        <f>IFERROR(__xludf.DUMMYFUNCTION("""COMPUTED_VALUE"""),46243.0)</f>
        <v>46243</v>
      </c>
      <c r="O5154" s="20" t="str">
        <f>IFERROR(__xludf.DUMMYFUNCTION("""COMPUTED_VALUE"""),"【アダルト作品扱い】")</f>
        <v>【アダルト作品扱い】</v>
      </c>
      <c r="P5154" s="32" t="str">
        <f>IFERROR(__xludf.DUMMYFUNCTION("""COMPUTED_VALUE"""),"可")</f>
        <v>可</v>
      </c>
      <c r="Q5154" s="30" t="str">
        <f>IFERROR(__xludf.DUMMYFUNCTION("""COMPUTED_VALUE"""),"読切作品。")</f>
        <v>読切作品。</v>
      </c>
      <c r="R5154" s="22" t="str">
        <f>IFERROR(__xludf.DUMMYFUNCTION("""COMPUTED_VALUE"""),"コミットOK")</f>
        <v>コミットOK</v>
      </c>
      <c r="S5154" s="22" t="str">
        <f>IFERROR(__xludf.DUMMYFUNCTION("""COMPUTED_VALUE"""),"20260430_渋谷六花舎_闇堕ち勇者は、癒しの聖女を貪り尽くして離さない")</f>
        <v>20260430_渋谷六花舎_闇堕ち勇者は、癒しの聖女を貪り尽くして離さない</v>
      </c>
      <c r="T5154" s="22" t="str">
        <f>IFERROR(__xludf.DUMMYFUNCTION("""COMPUTED_VALUE"""),"格納済み")</f>
        <v>格納済み</v>
      </c>
      <c r="U5154" s="9" t="str">
        <f>IFERROR(__xludf.DUMMYFUNCTION("""COMPUTED_VALUE"""),"(c)希野コバル/まるぶち銀河/lou lou")</f>
        <v>(c)希野コバル/まるぶち銀河/lou lou</v>
      </c>
      <c r="V5154" s="8"/>
      <c r="W5154" s="8"/>
      <c r="X5154" s="8" t="str">
        <f>IFERROR(__xludf.DUMMYFUNCTION("""COMPUTED_VALUE"""),"有")</f>
        <v>有</v>
      </c>
      <c r="Y5154" s="8" t="str">
        <f>IFERROR(__xludf.DUMMYFUNCTION("""COMPUTED_VALUE"""),"2026/5/31まで1巻立ち読み増量P16まで")</f>
        <v>2026/5/31まで1巻立ち読み増量P16まで</v>
      </c>
      <c r="Z5154" s="7"/>
      <c r="AA5154" s="7"/>
      <c r="AB5154" s="7"/>
    </row>
    <row r="5155" ht="15.75" customHeight="1">
      <c r="A5155" s="26">
        <f>IFERROR(__xludf.DUMMYFUNCTION("""COMPUTED_VALUE"""),7768.0)</f>
        <v>7768</v>
      </c>
      <c r="B5155" s="22" t="str">
        <f>IFERROR(__xludf.DUMMYFUNCTION("""COMPUTED_VALUE"""),"確定")</f>
        <v>確定</v>
      </c>
      <c r="C5155" s="28">
        <f>IFERROR(__xludf.DUMMYFUNCTION("""COMPUTED_VALUE"""),46112.0)</f>
        <v>46112</v>
      </c>
      <c r="D5155" s="28">
        <f>IFERROR(__xludf.DUMMYFUNCTION("""COMPUTED_VALUE"""),46149.0)</f>
        <v>46149</v>
      </c>
      <c r="E5155" s="26">
        <f>IFERROR(__xludf.DUMMYFUNCTION("""COMPUTED_VALUE"""),359026.0)</f>
        <v>359026</v>
      </c>
      <c r="F5155" s="22" t="str">
        <f>IFERROR(__xludf.DUMMYFUNCTION("""COMPUTED_VALUE"""),"恋味ひと口いかがでしょう【単話版】")</f>
        <v>恋味ひと口いかがでしょう【単話版】</v>
      </c>
      <c r="G5155" s="20" t="str">
        <f>IFERROR(__xludf.DUMMYFUNCTION("""COMPUTED_VALUE"""),"1~6")</f>
        <v>1~6</v>
      </c>
      <c r="H5155" s="22" t="str">
        <f>IFERROR(__xludf.DUMMYFUNCTION("""COMPUTED_VALUE"""),"保スカ")</f>
        <v>保スカ</v>
      </c>
      <c r="I5155" s="22" t="str">
        <f>IFERROR(__xludf.DUMMYFUNCTION("""COMPUTED_VALUE"""),"BLマンガ")</f>
        <v>BLマンガ</v>
      </c>
      <c r="J5155" s="22"/>
      <c r="K5155" s="22" t="str">
        <f>IFERROR(__xludf.DUMMYFUNCTION("""COMPUTED_VALUE"""),"コミックマズル")</f>
        <v>コミックマズル</v>
      </c>
      <c r="L5155" s="22" t="str">
        <f>IFERROR(__xludf.DUMMYFUNCTION("""COMPUTED_VALUE"""),"Sony Music Entertainment (Japan) Inc.")</f>
        <v>Sony Music Entertainment (Japan) Inc.</v>
      </c>
      <c r="M5155" s="33">
        <f>IFERROR(__xludf.DUMMYFUNCTION("""COMPUTED_VALUE"""),46157.0)</f>
        <v>46157</v>
      </c>
      <c r="N5155" s="33">
        <f>IFERROR(__xludf.DUMMYFUNCTION("""COMPUTED_VALUE"""),46248.0)</f>
        <v>46248</v>
      </c>
      <c r="O5155" s="20"/>
      <c r="P5155" s="32" t="str">
        <f>IFERROR(__xludf.DUMMYFUNCTION("""COMPUTED_VALUE"""),"可")</f>
        <v>可</v>
      </c>
      <c r="Q5155" s="30" t="str">
        <f>IFERROR(__xludf.DUMMYFUNCTION("""COMPUTED_VALUE"""),"自社サイト（ReaderStore）配信中。配信開始日より自社サイトと同時先行です。")</f>
        <v>自社サイト（ReaderStore）配信中。配信開始日より自社サイトと同時先行です。</v>
      </c>
      <c r="R5155" s="22"/>
      <c r="S5155" s="22" t="str">
        <f>IFERROR(__xludf.DUMMYFUNCTION("""COMPUTED_VALUE"""),"20260430_Sony Music Entertainment (Japan) Inc._恋味ひと口いかがでしょう【単話版】")</f>
        <v>20260430_Sony Music Entertainment (Japan) Inc._恋味ひと口いかがでしょう【単話版】</v>
      </c>
      <c r="T5155" s="22" t="str">
        <f>IFERROR(__xludf.DUMMYFUNCTION("""COMPUTED_VALUE"""),"格納済み")</f>
        <v>格納済み</v>
      </c>
      <c r="U5155" s="9" t="str">
        <f>IFERROR(__xludf.DUMMYFUNCTION("""COMPUTED_VALUE"""),"（C）保スカ／コミックマズル")</f>
        <v>（C）保スカ／コミックマズル</v>
      </c>
      <c r="V5155" s="8"/>
      <c r="W5155" s="8"/>
      <c r="X5155" s="8" t="str">
        <f>IFERROR(__xludf.DUMMYFUNCTION("""COMPUTED_VALUE"""),"有")</f>
        <v>有</v>
      </c>
      <c r="Y5155" s="8" t="str">
        <f>IFERROR(__xludf.DUMMYFUNCTION("""COMPUTED_VALUE"""),"2巻無料
2026/5/28まで3巻目無料")</f>
        <v>2巻無料
2026/5/28まで3巻目無料</v>
      </c>
      <c r="Z5155" s="7"/>
      <c r="AA5155" s="7"/>
      <c r="AB5155" s="7"/>
    </row>
    <row r="5156" ht="15.75" customHeight="1">
      <c r="A5156" s="26">
        <f>IFERROR(__xludf.DUMMYFUNCTION("""COMPUTED_VALUE"""),7790.0)</f>
        <v>7790</v>
      </c>
      <c r="B5156" s="22" t="str">
        <f>IFERROR(__xludf.DUMMYFUNCTION("""COMPUTED_VALUE"""),"確定")</f>
        <v>確定</v>
      </c>
      <c r="C5156" s="28">
        <f>IFERROR(__xludf.DUMMYFUNCTION("""COMPUTED_VALUE"""),46114.0)</f>
        <v>46114</v>
      </c>
      <c r="D5156" s="28">
        <f>IFERROR(__xludf.DUMMYFUNCTION("""COMPUTED_VALUE"""),46143.0)</f>
        <v>46143</v>
      </c>
      <c r="E5156" s="26">
        <f>IFERROR(__xludf.DUMMYFUNCTION("""COMPUTED_VALUE"""),362410.0)</f>
        <v>362410</v>
      </c>
      <c r="F5156" s="22" t="str">
        <f>IFERROR(__xludf.DUMMYFUNCTION("""COMPUTED_VALUE"""),"喚く声が愛になる")</f>
        <v>喚く声が愛になる</v>
      </c>
      <c r="G5156" s="20" t="str">
        <f>IFERROR(__xludf.DUMMYFUNCTION("""COMPUTED_VALUE"""),"1～2")</f>
        <v>1～2</v>
      </c>
      <c r="H5156" s="22" t="str">
        <f>IFERROR(__xludf.DUMMYFUNCTION("""COMPUTED_VALUE"""),"さんやさん")</f>
        <v>さんやさん</v>
      </c>
      <c r="I5156" s="22" t="str">
        <f>IFERROR(__xludf.DUMMYFUNCTION("""COMPUTED_VALUE"""),"BLマンガ")</f>
        <v>BLマンガ</v>
      </c>
      <c r="J5156" s="22"/>
      <c r="K5156" s="22" t="str">
        <f>IFERROR(__xludf.DUMMYFUNCTION("""COMPUTED_VALUE"""),"MooiComics")</f>
        <v>MooiComics</v>
      </c>
      <c r="L5156" s="22" t="str">
        <f>IFERROR(__xludf.DUMMYFUNCTION("""COMPUTED_VALUE"""),"CLLENN")</f>
        <v>CLLENN</v>
      </c>
      <c r="M5156" s="33">
        <f>IFERROR(__xludf.DUMMYFUNCTION("""COMPUTED_VALUE"""),46189.0)</f>
        <v>46189</v>
      </c>
      <c r="N5156" s="33">
        <f>IFERROR(__xludf.DUMMYFUNCTION("""COMPUTED_VALUE"""),46251.0)</f>
        <v>46251</v>
      </c>
      <c r="O5156" s="20"/>
      <c r="P5156" s="32" t="str">
        <f>IFERROR(__xludf.DUMMYFUNCTION("""COMPUTED_VALUE"""),"可")</f>
        <v>可</v>
      </c>
      <c r="Q5156" s="30"/>
      <c r="R5156" s="22" t="str">
        <f>IFERROR(__xludf.DUMMYFUNCTION("""COMPUTED_VALUE"""),"コミットNG")</f>
        <v>コミットNG</v>
      </c>
      <c r="S5156" s="22" t="str">
        <f>IFERROR(__xludf.DUMMYFUNCTION("""COMPUTED_VALUE"""),"20260428_CLLENN_喚く声が愛になる")</f>
        <v>20260428_CLLENN_喚く声が愛になる</v>
      </c>
      <c r="T5156" s="22" t="str">
        <f>IFERROR(__xludf.DUMMYFUNCTION("""COMPUTED_VALUE"""),"格納済み")</f>
        <v>格納済み</v>
      </c>
      <c r="U5156" s="9" t="str">
        <f>IFERROR(__xludf.DUMMYFUNCTION("""COMPUTED_VALUE"""),"Ⓒさんやさん/CLLENN")</f>
        <v>Ⓒさんやさん/CLLENN</v>
      </c>
      <c r="V5156" s="8"/>
      <c r="W5156" s="8"/>
      <c r="X5156" s="8" t="str">
        <f>IFERROR(__xludf.DUMMYFUNCTION("""COMPUTED_VALUE"""),"有")</f>
        <v>有</v>
      </c>
      <c r="Y5156" s="8" t="str">
        <f>IFERROR(__xludf.DUMMYFUNCTION("""COMPUTED_VALUE"""),"p10まで")</f>
        <v>p10まで</v>
      </c>
      <c r="Z5156" s="7"/>
      <c r="AA5156" s="7"/>
      <c r="AB5156" s="7"/>
    </row>
    <row r="5157" ht="15.75" customHeight="1">
      <c r="A5157" s="26">
        <f>IFERROR(__xludf.DUMMYFUNCTION("""COMPUTED_VALUE"""),7827.0)</f>
        <v>7827</v>
      </c>
      <c r="B5157" s="22" t="str">
        <f>IFERROR(__xludf.DUMMYFUNCTION("""COMPUTED_VALUE"""),"確定")</f>
        <v>確定</v>
      </c>
      <c r="C5157" s="28">
        <f>IFERROR(__xludf.DUMMYFUNCTION("""COMPUTED_VALUE"""),46127.0)</f>
        <v>46127</v>
      </c>
      <c r="D5157" s="28">
        <f>IFERROR(__xludf.DUMMYFUNCTION("""COMPUTED_VALUE"""),46143.0)</f>
        <v>46143</v>
      </c>
      <c r="E5157" s="26">
        <f>IFERROR(__xludf.DUMMYFUNCTION("""COMPUTED_VALUE"""),360644.0)</f>
        <v>360644</v>
      </c>
      <c r="F5157" s="22" t="str">
        <f>IFERROR(__xludf.DUMMYFUNCTION("""COMPUTED_VALUE"""),"幸薄令嬢は公爵閣下の執着溺愛に抗えない（分冊版）")</f>
        <v>幸薄令嬢は公爵閣下の執着溺愛に抗えない（分冊版）</v>
      </c>
      <c r="G5157" s="20" t="str">
        <f>IFERROR(__xludf.DUMMYFUNCTION("""COMPUTED_VALUE"""),"1～3")</f>
        <v>1～3</v>
      </c>
      <c r="H5157" s="22" t="str">
        <f>IFERROR(__xludf.DUMMYFUNCTION("""COMPUTED_VALUE"""),"柚りゆう┴千賀つづら")</f>
        <v>柚りゆう┴千賀つづら</v>
      </c>
      <c r="I5157" s="22" t="str">
        <f>IFERROR(__xludf.DUMMYFUNCTION("""COMPUTED_VALUE"""),"TLマンガ")</f>
        <v>TLマンガ</v>
      </c>
      <c r="J5157" s="22"/>
      <c r="K5157" s="22"/>
      <c r="L5157" s="22" t="str">
        <f>IFERROR(__xludf.DUMMYFUNCTION("""COMPUTED_VALUE"""),"ライトリーズン")</f>
        <v>ライトリーズン</v>
      </c>
      <c r="M5157" s="33">
        <f>IFERROR(__xludf.DUMMYFUNCTION("""COMPUTED_VALUE"""),46157.0)</f>
        <v>46157</v>
      </c>
      <c r="N5157" s="33">
        <f>IFERROR(__xludf.DUMMYFUNCTION("""COMPUTED_VALUE"""),46248.0)</f>
        <v>46248</v>
      </c>
      <c r="O5157" s="20" t="str">
        <f>IFERROR(__xludf.DUMMYFUNCTION("""COMPUTED_VALUE"""),"【アダルト作品扱い】")</f>
        <v>【アダルト作品扱い】</v>
      </c>
      <c r="P5157" s="32" t="str">
        <f>IFERROR(__xludf.DUMMYFUNCTION("""COMPUTED_VALUE"""),"可")</f>
        <v>可</v>
      </c>
      <c r="Q5157" s="30"/>
      <c r="R5157" s="22" t="str">
        <f>IFERROR(__xludf.DUMMYFUNCTION("""COMPUTED_VALUE"""),"コミットNG")</f>
        <v>コミットNG</v>
      </c>
      <c r="S5157" s="22" t="str">
        <f>IFERROR(__xludf.DUMMYFUNCTION("""COMPUTED_VALUE"""),"20260423_ライトリーズン_幸薄令嬢は公爵閣下の執着溺愛に抗えない（分冊版）")</f>
        <v>20260423_ライトリーズン_幸薄令嬢は公爵閣下の執着溺愛に抗えない（分冊版）</v>
      </c>
      <c r="T5157" s="22" t="str">
        <f>IFERROR(__xludf.DUMMYFUNCTION("""COMPUTED_VALUE"""),"格納済み")</f>
        <v>格納済み</v>
      </c>
      <c r="U5157" s="9" t="str">
        <f>IFERROR(__xludf.DUMMYFUNCTION("""COMPUTED_VALUE"""),"（C)柚りゆう・千賀つづら/ライトリーズン")</f>
        <v>（C)柚りゆう・千賀つづら/ライトリーズン</v>
      </c>
      <c r="V5157" s="8"/>
      <c r="W5157" s="8"/>
      <c r="X5157" s="8" t="str">
        <f>IFERROR(__xludf.DUMMYFUNCTION("""COMPUTED_VALUE"""),"有")</f>
        <v>有</v>
      </c>
      <c r="Y5157" s="8" t="str">
        <f>IFERROR(__xludf.DUMMYFUNCTION("""COMPUTED_VALUE"""),"8/14まで1巻無料")</f>
        <v>8/14まで1巻無料</v>
      </c>
      <c r="Z5157" s="7"/>
      <c r="AA5157" s="7"/>
      <c r="AB5157" s="7"/>
    </row>
    <row r="5158" ht="15.75" customHeight="1">
      <c r="A5158" s="26">
        <f>IFERROR(__xludf.DUMMYFUNCTION("""COMPUTED_VALUE"""),7907.0)</f>
        <v>7907</v>
      </c>
      <c r="B5158" s="22" t="str">
        <f>IFERROR(__xludf.DUMMYFUNCTION("""COMPUTED_VALUE"""),"確定")</f>
        <v>確定</v>
      </c>
      <c r="C5158" s="28">
        <f>IFERROR(__xludf.DUMMYFUNCTION("""COMPUTED_VALUE"""),46136.0)</f>
        <v>46136</v>
      </c>
      <c r="D5158" s="28">
        <f>IFERROR(__xludf.DUMMYFUNCTION("""COMPUTED_VALUE"""),46143.0)</f>
        <v>46143</v>
      </c>
      <c r="E5158" s="26">
        <f>IFERROR(__xludf.DUMMYFUNCTION("""COMPUTED_VALUE"""),362265.0)</f>
        <v>362265</v>
      </c>
      <c r="F5158" s="22" t="str">
        <f>IFERROR(__xludf.DUMMYFUNCTION("""COMPUTED_VALUE"""),"溺愛きつねは娶りたい")</f>
        <v>溺愛きつねは娶りたい</v>
      </c>
      <c r="G5158" s="20" t="str">
        <f>IFERROR(__xludf.DUMMYFUNCTION("""COMPUTED_VALUE"""),"1～2")</f>
        <v>1～2</v>
      </c>
      <c r="H5158" s="22" t="str">
        <f>IFERROR(__xludf.DUMMYFUNCTION("""COMPUTED_VALUE"""),"柚夏")</f>
        <v>柚夏</v>
      </c>
      <c r="I5158" s="22" t="str">
        <f>IFERROR(__xludf.DUMMYFUNCTION("""COMPUTED_VALUE"""),"BL")</f>
        <v>BL</v>
      </c>
      <c r="J5158" s="22"/>
      <c r="K5158" s="22" t="str">
        <f>IFERROR(__xludf.DUMMYFUNCTION("""COMPUTED_VALUE"""),"spicomi")</f>
        <v>spicomi</v>
      </c>
      <c r="L5158" s="22" t="str">
        <f>IFERROR(__xludf.DUMMYFUNCTION("""COMPUTED_VALUE"""),"CLLENN")</f>
        <v>CLLENN</v>
      </c>
      <c r="M5158" s="33">
        <f>IFERROR(__xludf.DUMMYFUNCTION("""COMPUTED_VALUE"""),46186.0)</f>
        <v>46186</v>
      </c>
      <c r="N5158" s="33">
        <f>IFERROR(__xludf.DUMMYFUNCTION("""COMPUTED_VALUE"""),46241.0)</f>
        <v>46241</v>
      </c>
      <c r="O5158" s="20" t="str">
        <f>IFERROR(__xludf.DUMMYFUNCTION("""COMPUTED_VALUE"""),"【アダルト作品扱い】")</f>
        <v>【アダルト作品扱い】</v>
      </c>
      <c r="P5158" s="32" t="str">
        <f>IFERROR(__xludf.DUMMYFUNCTION("""COMPUTED_VALUE"""),"可")</f>
        <v>可</v>
      </c>
      <c r="Q5158" s="30"/>
      <c r="R5158" s="22"/>
      <c r="S5158" s="22" t="str">
        <f>IFERROR(__xludf.DUMMYFUNCTION("""COMPUTED_VALUE"""),"20260501_CLLENN_溺愛きつねは娶りたい")</f>
        <v>20260501_CLLENN_溺愛きつねは娶りたい</v>
      </c>
      <c r="T5158" s="22" t="str">
        <f>IFERROR(__xludf.DUMMYFUNCTION("""COMPUTED_VALUE"""),"格納済み")</f>
        <v>格納済み</v>
      </c>
      <c r="U5158" s="9" t="str">
        <f>IFERROR(__xludf.DUMMYFUNCTION("""COMPUTED_VALUE"""),"Ⓒ柚夏/CLLENN")</f>
        <v>Ⓒ柚夏/CLLENN</v>
      </c>
      <c r="V5158" s="8"/>
      <c r="W5158" s="8"/>
      <c r="X5158" s="8" t="str">
        <f>IFERROR(__xludf.DUMMYFUNCTION("""COMPUTED_VALUE"""),"有")</f>
        <v>有</v>
      </c>
      <c r="Y5158" s="8" t="str">
        <f>IFERROR(__xludf.DUMMYFUNCTION("""COMPUTED_VALUE"""),"2026/6/26まで1巻p19まで立ち読み増量")</f>
        <v>2026/6/26まで1巻p19まで立ち読み増量</v>
      </c>
      <c r="Z5158" s="7"/>
      <c r="AA5158" s="7"/>
      <c r="AB5158" s="7"/>
    </row>
    <row r="5159" ht="15.75" customHeight="1">
      <c r="A5159" s="26">
        <f>IFERROR(__xludf.DUMMYFUNCTION("""COMPUTED_VALUE"""),7911.0)</f>
        <v>7911</v>
      </c>
      <c r="B5159" s="22" t="str">
        <f>IFERROR(__xludf.DUMMYFUNCTION("""COMPUTED_VALUE"""),"確定")</f>
        <v>確定</v>
      </c>
      <c r="C5159" s="28">
        <f>IFERROR(__xludf.DUMMYFUNCTION("""COMPUTED_VALUE"""),46139.0)</f>
        <v>46139</v>
      </c>
      <c r="D5159" s="28">
        <f>IFERROR(__xludf.DUMMYFUNCTION("""COMPUTED_VALUE"""),46140.0)</f>
        <v>46140</v>
      </c>
      <c r="E5159" s="26">
        <f>IFERROR(__xludf.DUMMYFUNCTION("""COMPUTED_VALUE"""),360702.0)</f>
        <v>360702</v>
      </c>
      <c r="F5159" s="22" t="str">
        <f>IFERROR(__xludf.DUMMYFUNCTION("""COMPUTED_VALUE"""),"（自称）紳士なヤクザはワケありお嬢様を甘やかしたい【単話版】")</f>
        <v>（自称）紳士なヤクザはワケありお嬢様を甘やかしたい【単話版】</v>
      </c>
      <c r="G5159" s="20" t="str">
        <f>IFERROR(__xludf.DUMMYFUNCTION("""COMPUTED_VALUE"""),"1~5")</f>
        <v>1~5</v>
      </c>
      <c r="H5159" s="22" t="str">
        <f>IFERROR(__xludf.DUMMYFUNCTION("""COMPUTED_VALUE"""),"テラーノベル,白玉虹,夏目萌")</f>
        <v>テラーノベル,白玉虹,夏目萌</v>
      </c>
      <c r="I5159" s="22" t="str">
        <f>IFERROR(__xludf.DUMMYFUNCTION("""COMPUTED_VALUE"""),"女性")</f>
        <v>女性</v>
      </c>
      <c r="J5159" s="22"/>
      <c r="K5159" s="22" t="str">
        <f>IFERROR(__xludf.DUMMYFUNCTION("""COMPUTED_VALUE"""),"fondue")</f>
        <v>fondue</v>
      </c>
      <c r="L5159" s="22" t="str">
        <f>IFERROR(__xludf.DUMMYFUNCTION("""COMPUTED_VALUE"""),"デジカタ編集部")</f>
        <v>デジカタ編集部</v>
      </c>
      <c r="M5159" s="33">
        <f>IFERROR(__xludf.DUMMYFUNCTION("""COMPUTED_VALUE"""),46170.0)</f>
        <v>46170</v>
      </c>
      <c r="N5159" s="33">
        <f>IFERROR(__xludf.DUMMYFUNCTION("""COMPUTED_VALUE"""),46260.0)</f>
        <v>46260</v>
      </c>
      <c r="O5159" s="20"/>
      <c r="P5159" s="32" t="str">
        <f>IFERROR(__xludf.DUMMYFUNCTION("""COMPUTED_VALUE"""),"可")</f>
        <v>可</v>
      </c>
      <c r="Q5159" s="30"/>
      <c r="R5159" s="22"/>
      <c r="S5159" s="22" t="str">
        <f>IFERROR(__xludf.DUMMYFUNCTION("""COMPUTED_VALUE"""),"20260428_デジカタ編集部_（自称）紳士なヤクザはワケありお嬢様を甘やかしたい【単話版】")</f>
        <v>20260428_デジカタ編集部_（自称）紳士なヤクザはワケありお嬢様を甘やかしたい【単話版】</v>
      </c>
      <c r="T5159" s="22" t="str">
        <f>IFERROR(__xludf.DUMMYFUNCTION("""COMPUTED_VALUE"""),"格納済み")</f>
        <v>格納済み</v>
      </c>
      <c r="U5159" s="9" t="str">
        <f>IFERROR(__xludf.DUMMYFUNCTION("""COMPUTED_VALUE"""),"Ⓒ白玉虹・夏目萌・テラーノベル/デジカタ編集部")</f>
        <v>Ⓒ白玉虹・夏目萌・テラーノベル/デジカタ編集部</v>
      </c>
      <c r="V5159" s="8"/>
      <c r="W5159" s="8"/>
      <c r="X5159" s="8" t="str">
        <f>IFERROR(__xludf.DUMMYFUNCTION("""COMPUTED_VALUE"""),"有")</f>
        <v>有</v>
      </c>
      <c r="Y5159" s="8" t="str">
        <f>IFERROR(__xludf.DUMMYFUNCTION("""COMPUTED_VALUE"""),"2026/8/26まで１巻無料")</f>
        <v>2026/8/26まで１巻無料</v>
      </c>
      <c r="Z5159" s="7"/>
      <c r="AA5159" s="7"/>
      <c r="AB5159" s="7"/>
    </row>
    <row r="5160" ht="15.75" customHeight="1">
      <c r="A5160" s="26">
        <f>IFERROR(__xludf.DUMMYFUNCTION("""COMPUTED_VALUE"""),7941.0)</f>
        <v>7941</v>
      </c>
      <c r="B5160" s="22" t="str">
        <f>IFERROR(__xludf.DUMMYFUNCTION("""COMPUTED_VALUE"""),"確定")</f>
        <v>確定</v>
      </c>
      <c r="C5160" s="28">
        <f>IFERROR(__xludf.DUMMYFUNCTION("""COMPUTED_VALUE"""),46140.0)</f>
        <v>46140</v>
      </c>
      <c r="D5160" s="28">
        <f>IFERROR(__xludf.DUMMYFUNCTION("""COMPUTED_VALUE"""),46143.0)</f>
        <v>46143</v>
      </c>
      <c r="E5160" s="26">
        <f>IFERROR(__xludf.DUMMYFUNCTION("""COMPUTED_VALUE"""),361333.0)</f>
        <v>361333</v>
      </c>
      <c r="F5160" s="22" t="str">
        <f>IFERROR(__xludf.DUMMYFUNCTION("""COMPUTED_VALUE"""),"【単話版】意地悪姉と呼ばれた令嬢、実はとても優れた魔法使いでした。@COMIC")</f>
        <v>【単話版】意地悪姉と呼ばれた令嬢、実はとても優れた魔法使いでした。@COMIC</v>
      </c>
      <c r="G5160" s="20" t="str">
        <f>IFERROR(__xludf.DUMMYFUNCTION("""COMPUTED_VALUE"""),"1~4")</f>
        <v>1~4</v>
      </c>
      <c r="H5160" s="22" t="str">
        <f>IFERROR(__xludf.DUMMYFUNCTION("""COMPUTED_VALUE"""),"桐井/光子/緑川明")</f>
        <v>桐井/光子/緑川明</v>
      </c>
      <c r="I5160" s="22" t="str">
        <f>IFERROR(__xludf.DUMMYFUNCTION("""COMPUTED_VALUE"""),"少女")</f>
        <v>少女</v>
      </c>
      <c r="J5160" s="22"/>
      <c r="K5160" s="22" t="str">
        <f>IFERROR(__xludf.DUMMYFUNCTION("""COMPUTED_VALUE"""),"Celicaコミックス")</f>
        <v>Celicaコミックス</v>
      </c>
      <c r="L5160" s="22" t="str">
        <f>IFERROR(__xludf.DUMMYFUNCTION("""COMPUTED_VALUE"""),"TOブックス")</f>
        <v>TOブックス</v>
      </c>
      <c r="M5160" s="33">
        <f>IFERROR(__xludf.DUMMYFUNCTION("""COMPUTED_VALUE"""),46174.0)</f>
        <v>46174</v>
      </c>
      <c r="N5160" s="33">
        <f>IFERROR(__xludf.DUMMYFUNCTION("""COMPUTED_VALUE"""),46234.0)</f>
        <v>46234</v>
      </c>
      <c r="O5160" s="20"/>
      <c r="P5160" s="32" t="str">
        <f>IFERROR(__xludf.DUMMYFUNCTION("""COMPUTED_VALUE"""),"否")</f>
        <v>否</v>
      </c>
      <c r="Q5160" s="30"/>
      <c r="R5160" s="22"/>
      <c r="S5160" s="22" t="str">
        <f>IFERROR(__xludf.DUMMYFUNCTION("""COMPUTED_VALUE"""),"20260427_TOブックス_意地悪姉と呼ばれた令嬢、実はとても優れた魔法使いでした。@COMIC")</f>
        <v>20260427_TOブックス_意地悪姉と呼ばれた令嬢、実はとても優れた魔法使いでした。@COMIC</v>
      </c>
      <c r="T5160" s="22" t="str">
        <f>IFERROR(__xludf.DUMMYFUNCTION("""COMPUTED_VALUE"""),"格納済み")</f>
        <v>格納済み</v>
      </c>
      <c r="U5160" s="9" t="str">
        <f>IFERROR(__xludf.DUMMYFUNCTION("""COMPUTED_VALUE"""),"(C) Killy / Hikariko")</f>
        <v>(C) Killy / Hikariko</v>
      </c>
      <c r="V5160" s="8"/>
      <c r="W5160" s="8"/>
      <c r="X5160" s="8" t="str">
        <f>IFERROR(__xludf.DUMMYFUNCTION("""COMPUTED_VALUE"""),"有")</f>
        <v>有</v>
      </c>
      <c r="Y5160" s="8" t="str">
        <f>IFERROR(__xludf.DUMMYFUNCTION("""COMPUTED_VALUE"""),"1巻無料")</f>
        <v>1巻無料</v>
      </c>
      <c r="Z5160" s="7"/>
      <c r="AA5160" s="7"/>
      <c r="AB5160" s="7"/>
    </row>
    <row r="5161" ht="15.75" customHeight="1">
      <c r="A5161" s="26">
        <f>IFERROR(__xludf.DUMMYFUNCTION("""COMPUTED_VALUE"""),7942.0)</f>
        <v>7942</v>
      </c>
      <c r="B5161" s="22" t="str">
        <f>IFERROR(__xludf.DUMMYFUNCTION("""COMPUTED_VALUE"""),"確定")</f>
        <v>確定</v>
      </c>
      <c r="C5161" s="28">
        <f>IFERROR(__xludf.DUMMYFUNCTION("""COMPUTED_VALUE"""),46140.0)</f>
        <v>46140</v>
      </c>
      <c r="D5161" s="28">
        <f>IFERROR(__xludf.DUMMYFUNCTION("""COMPUTED_VALUE"""),46143.0)</f>
        <v>46143</v>
      </c>
      <c r="E5161" s="26">
        <f>IFERROR(__xludf.DUMMYFUNCTION("""COMPUTED_VALUE"""),361335.0)</f>
        <v>361335</v>
      </c>
      <c r="F5161" s="22" t="str">
        <f>IFERROR(__xludf.DUMMYFUNCTION("""COMPUTED_VALUE"""),"【単話版】後宮見鬼の嫁入り@COMIC")</f>
        <v>【単話版】後宮見鬼の嫁入り@COMIC</v>
      </c>
      <c r="G5161" s="20" t="str">
        <f>IFERROR(__xludf.DUMMYFUNCTION("""COMPUTED_VALUE"""),"1~4")</f>
        <v>1~4</v>
      </c>
      <c r="H5161" s="22" t="str">
        <f>IFERROR(__xludf.DUMMYFUNCTION("""COMPUTED_VALUE"""),"飴坂ニナ/夢見里龍/NiKrome/柊花")</f>
        <v>飴坂ニナ/夢見里龍/NiKrome/柊花</v>
      </c>
      <c r="I5161" s="22" t="str">
        <f>IFERROR(__xludf.DUMMYFUNCTION("""COMPUTED_VALUE"""),"少女")</f>
        <v>少女</v>
      </c>
      <c r="J5161" s="22"/>
      <c r="K5161" s="22" t="str">
        <f>IFERROR(__xludf.DUMMYFUNCTION("""COMPUTED_VALUE"""),"Celicaコミックス")</f>
        <v>Celicaコミックス</v>
      </c>
      <c r="L5161" s="22" t="str">
        <f>IFERROR(__xludf.DUMMYFUNCTION("""COMPUTED_VALUE"""),"TOブックス")</f>
        <v>TOブックス</v>
      </c>
      <c r="M5161" s="33">
        <f>IFERROR(__xludf.DUMMYFUNCTION("""COMPUTED_VALUE"""),46174.0)</f>
        <v>46174</v>
      </c>
      <c r="N5161" s="33">
        <f>IFERROR(__xludf.DUMMYFUNCTION("""COMPUTED_VALUE"""),46234.0)</f>
        <v>46234</v>
      </c>
      <c r="O5161" s="20"/>
      <c r="P5161" s="32" t="str">
        <f>IFERROR(__xludf.DUMMYFUNCTION("""COMPUTED_VALUE"""),"否")</f>
        <v>否</v>
      </c>
      <c r="Q5161" s="30"/>
      <c r="R5161" s="22"/>
      <c r="S5161" s="22" t="str">
        <f>IFERROR(__xludf.DUMMYFUNCTION("""COMPUTED_VALUE"""),"20260427_TOブックス_後宮見鬼の嫁入り@COMIC")</f>
        <v>20260427_TOブックス_後宮見鬼の嫁入り@COMIC</v>
      </c>
      <c r="T5161" s="22" t="str">
        <f>IFERROR(__xludf.DUMMYFUNCTION("""COMPUTED_VALUE"""),"格納済み")</f>
        <v>格納済み</v>
      </c>
      <c r="U5161" s="9" t="str">
        <f>IFERROR(__xludf.DUMMYFUNCTION("""COMPUTED_VALUE"""),"(C) Nina Amesaka / Ryu Yumemishi / Shuka")</f>
        <v>(C) Nina Amesaka / Ryu Yumemishi / Shuka</v>
      </c>
      <c r="V5161" s="8"/>
      <c r="W5161" s="8"/>
      <c r="X5161" s="8" t="str">
        <f>IFERROR(__xludf.DUMMYFUNCTION("""COMPUTED_VALUE"""),"有")</f>
        <v>有</v>
      </c>
      <c r="Y5161" s="8" t="str">
        <f>IFERROR(__xludf.DUMMYFUNCTION("""COMPUTED_VALUE"""),"1巻無料")</f>
        <v>1巻無料</v>
      </c>
      <c r="Z5161" s="7"/>
      <c r="AA5161" s="7"/>
      <c r="AB5161" s="7"/>
    </row>
    <row r="5162" ht="15.75" customHeight="1">
      <c r="A5162" s="26">
        <f>IFERROR(__xludf.DUMMYFUNCTION("""COMPUTED_VALUE"""),7943.0)</f>
        <v>7943</v>
      </c>
      <c r="B5162" s="22" t="str">
        <f>IFERROR(__xludf.DUMMYFUNCTION("""COMPUTED_VALUE"""),"確定")</f>
        <v>確定</v>
      </c>
      <c r="C5162" s="28">
        <f>IFERROR(__xludf.DUMMYFUNCTION("""COMPUTED_VALUE"""),46140.0)</f>
        <v>46140</v>
      </c>
      <c r="D5162" s="28">
        <f>IFERROR(__xludf.DUMMYFUNCTION("""COMPUTED_VALUE"""),46143.0)</f>
        <v>46143</v>
      </c>
      <c r="E5162" s="26">
        <f>IFERROR(__xludf.DUMMYFUNCTION("""COMPUTED_VALUE"""),361334.0)</f>
        <v>361334</v>
      </c>
      <c r="F5162" s="22" t="str">
        <f>IFERROR(__xludf.DUMMYFUNCTION("""COMPUTED_VALUE"""),"【単話版】八人目はだぁれ？@COMIC")</f>
        <v>【単話版】八人目はだぁれ？@COMIC</v>
      </c>
      <c r="G5162" s="20" t="str">
        <f>IFERROR(__xludf.DUMMYFUNCTION("""COMPUTED_VALUE"""),"1～3")</f>
        <v>1～3</v>
      </c>
      <c r="H5162" s="22" t="str">
        <f>IFERROR(__xludf.DUMMYFUNCTION("""COMPUTED_VALUE"""),"苫ゆぎまる/榛名丼")</f>
        <v>苫ゆぎまる/榛名丼</v>
      </c>
      <c r="I5162" s="22" t="str">
        <f>IFERROR(__xludf.DUMMYFUNCTION("""COMPUTED_VALUE"""),"青年")</f>
        <v>青年</v>
      </c>
      <c r="J5162" s="22"/>
      <c r="K5162" s="22" t="str">
        <f>IFERROR(__xludf.DUMMYFUNCTION("""COMPUTED_VALUE"""),"コロナ・コミックス")</f>
        <v>コロナ・コミックス</v>
      </c>
      <c r="L5162" s="22" t="str">
        <f>IFERROR(__xludf.DUMMYFUNCTION("""COMPUTED_VALUE"""),"TOブックス")</f>
        <v>TOブックス</v>
      </c>
      <c r="M5162" s="33">
        <f>IFERROR(__xludf.DUMMYFUNCTION("""COMPUTED_VALUE"""),46174.0)</f>
        <v>46174</v>
      </c>
      <c r="N5162" s="33">
        <f>IFERROR(__xludf.DUMMYFUNCTION("""COMPUTED_VALUE"""),46234.0)</f>
        <v>46234</v>
      </c>
      <c r="O5162" s="20"/>
      <c r="P5162" s="32" t="str">
        <f>IFERROR(__xludf.DUMMYFUNCTION("""COMPUTED_VALUE"""),"否")</f>
        <v>否</v>
      </c>
      <c r="Q5162" s="30" t="str">
        <f>IFERROR(__xludf.DUMMYFUNCTION("""COMPUTED_VALUE"""),"※一部使用不可コマあり※&lt;BR&gt;ホラー・ミステリー系の新作です。直近のホラー系で好調な作品に似て、違和感や不自然な部分が刺さるのではと思います。")</f>
        <v>※一部使用不可コマあり※&lt;BR&gt;ホラー・ミステリー系の新作です。直近のホラー系で好調な作品に似て、違和感や不自然な部分が刺さるのではと思います。</v>
      </c>
      <c r="R5162" s="22"/>
      <c r="S5162" s="22" t="str">
        <f>IFERROR(__xludf.DUMMYFUNCTION("""COMPUTED_VALUE"""),"20260427_TOブックス_八人目はだぁれ？@COMIC")</f>
        <v>20260427_TOブックス_八人目はだぁれ？@COMIC</v>
      </c>
      <c r="T5162" s="22" t="str">
        <f>IFERROR(__xludf.DUMMYFUNCTION("""COMPUTED_VALUE"""),"格納済み")</f>
        <v>格納済み</v>
      </c>
      <c r="U5162" s="9" t="str">
        <f>IFERROR(__xludf.DUMMYFUNCTION("""COMPUTED_VALUE"""),"(C) Tomayugimaru / Harunadon")</f>
        <v>(C) Tomayugimaru / Harunadon</v>
      </c>
      <c r="V5162" s="8"/>
      <c r="W5162" s="8"/>
      <c r="X5162" s="8" t="str">
        <f>IFERROR(__xludf.DUMMYFUNCTION("""COMPUTED_VALUE"""),"有")</f>
        <v>有</v>
      </c>
      <c r="Y5162" s="8" t="str">
        <f>IFERROR(__xludf.DUMMYFUNCTION("""COMPUTED_VALUE"""),"p6まで")</f>
        <v>p6まで</v>
      </c>
      <c r="Z5162" s="7"/>
      <c r="AA5162" s="7"/>
      <c r="AB5162" s="7"/>
    </row>
    <row r="5163" ht="15.75" customHeight="1">
      <c r="A5163" s="26">
        <f>IFERROR(__xludf.DUMMYFUNCTION("""COMPUTED_VALUE"""),7944.0)</f>
        <v>7944</v>
      </c>
      <c r="B5163" s="22" t="str">
        <f>IFERROR(__xludf.DUMMYFUNCTION("""COMPUTED_VALUE"""),"確定")</f>
        <v>確定</v>
      </c>
      <c r="C5163" s="28">
        <f>IFERROR(__xludf.DUMMYFUNCTION("""COMPUTED_VALUE"""),46142.0)</f>
        <v>46142</v>
      </c>
      <c r="D5163" s="28">
        <f>IFERROR(__xludf.DUMMYFUNCTION("""COMPUTED_VALUE"""),46149.0)</f>
        <v>46149</v>
      </c>
      <c r="E5163" s="26">
        <f>IFERROR(__xludf.DUMMYFUNCTION("""COMPUTED_VALUE"""),362024.0)</f>
        <v>362024</v>
      </c>
      <c r="F5163" s="22" t="str">
        <f>IFERROR(__xludf.DUMMYFUNCTION("""COMPUTED_VALUE"""),"バッドエンドを迎えた悪役令嬢ですが、近隣国の王太子に死ぬほど甘やかされています")</f>
        <v>バッドエンドを迎えた悪役令嬢ですが、近隣国の王太子に死ぬほど甘やかされています</v>
      </c>
      <c r="G5163" s="20" t="str">
        <f>IFERROR(__xludf.DUMMYFUNCTION("""COMPUTED_VALUE"""),"1～3")</f>
        <v>1～3</v>
      </c>
      <c r="H5163" s="22" t="str">
        <f>IFERROR(__xludf.DUMMYFUNCTION("""COMPUTED_VALUE"""),"青空花苗 瑞希ちこ 深山キリ")</f>
        <v>青空花苗 瑞希ちこ 深山キリ</v>
      </c>
      <c r="I5163" s="22" t="str">
        <f>IFERROR(__xludf.DUMMYFUNCTION("""COMPUTED_VALUE"""),"女性")</f>
        <v>女性</v>
      </c>
      <c r="J5163" s="22"/>
      <c r="K5163" s="22"/>
      <c r="L5163" s="22" t="str">
        <f>IFERROR(__xludf.DUMMYFUNCTION("""COMPUTED_VALUE"""),"集英社")</f>
        <v>集英社</v>
      </c>
      <c r="M5163" s="33">
        <f>IFERROR(__xludf.DUMMYFUNCTION("""COMPUTED_VALUE"""),46174.0)</f>
        <v>46174</v>
      </c>
      <c r="N5163" s="33">
        <f>IFERROR(__xludf.DUMMYFUNCTION("""COMPUTED_VALUE"""),46203.0)</f>
        <v>46203</v>
      </c>
      <c r="O5163" s="20"/>
      <c r="P5163" s="32" t="str">
        <f>IFERROR(__xludf.DUMMYFUNCTION("""COMPUTED_VALUE"""),"否")</f>
        <v>否</v>
      </c>
      <c r="Q5163" s="30"/>
      <c r="R5163" s="22"/>
      <c r="S5163" s="22" t="str">
        <f>IFERROR(__xludf.DUMMYFUNCTION("""COMPUTED_VALUE"""),"20260430_集英社_バッドエンドを迎えた悪役令嬢ですが、近隣国の王太子に死ぬほど甘やかされています")</f>
        <v>20260430_集英社_バッドエンドを迎えた悪役令嬢ですが、近隣国の王太子に死ぬほど甘やかされています</v>
      </c>
      <c r="T5163" s="22" t="str">
        <f>IFERROR(__xludf.DUMMYFUNCTION("""COMPUTED_VALUE"""),"格納済み")</f>
        <v>格納済み</v>
      </c>
      <c r="U5163" s="9" t="str">
        <f>IFERROR(__xludf.DUMMYFUNCTION("""COMPUTED_VALUE"""),"(c)青空花苗・瑞希ちこ／集英社")</f>
        <v>(c)青空花苗・瑞希ちこ／集英社</v>
      </c>
      <c r="V5163" s="8"/>
      <c r="W5163" s="8"/>
      <c r="X5163" s="8" t="str">
        <f>IFERROR(__xludf.DUMMYFUNCTION("""COMPUTED_VALUE"""),"有")</f>
        <v>有</v>
      </c>
      <c r="Y5163" s="8" t="str">
        <f>IFERROR(__xludf.DUMMYFUNCTION("""COMPUTED_VALUE"""),"2026/6/30まで1巻無料")</f>
        <v>2026/6/30まで1巻無料</v>
      </c>
      <c r="Z5163" s="7"/>
      <c r="AA5163" s="7"/>
      <c r="AB5163" s="7"/>
    </row>
    <row r="5164" ht="15.75" customHeight="1">
      <c r="A5164" s="26">
        <f>IFERROR(__xludf.DUMMYFUNCTION("""COMPUTED_VALUE"""),7945.0)</f>
        <v>7945</v>
      </c>
      <c r="B5164" s="22" t="str">
        <f>IFERROR(__xludf.DUMMYFUNCTION("""COMPUTED_VALUE"""),"確定")</f>
        <v>確定</v>
      </c>
      <c r="C5164" s="28">
        <f>IFERROR(__xludf.DUMMYFUNCTION("""COMPUTED_VALUE"""),46142.0)</f>
        <v>46142</v>
      </c>
      <c r="D5164" s="28">
        <f>IFERROR(__xludf.DUMMYFUNCTION("""COMPUTED_VALUE"""),46149.0)</f>
        <v>46149</v>
      </c>
      <c r="E5164" s="26">
        <f>IFERROR(__xludf.DUMMYFUNCTION("""COMPUTED_VALUE"""),361148.0)</f>
        <v>361148</v>
      </c>
      <c r="F5164" s="22" t="str">
        <f>IFERROR(__xludf.DUMMYFUNCTION("""COMPUTED_VALUE"""),"敵国の吸血鬼は聖女の首筋に盲目的な愛を刻む")</f>
        <v>敵国の吸血鬼は聖女の首筋に盲目的な愛を刻む</v>
      </c>
      <c r="G5164" s="20">
        <f>IFERROR(__xludf.DUMMYFUNCTION("""COMPUTED_VALUE"""),1.0)</f>
        <v>1</v>
      </c>
      <c r="H5164" s="22" t="str">
        <f>IFERROR(__xludf.DUMMYFUNCTION("""COMPUTED_VALUE"""),"綿貫夜空")</f>
        <v>綿貫夜空</v>
      </c>
      <c r="I5164" s="22" t="str">
        <f>IFERROR(__xludf.DUMMYFUNCTION("""COMPUTED_VALUE"""),"TL")</f>
        <v>TL</v>
      </c>
      <c r="J5164" s="22"/>
      <c r="K5164" s="22" t="str">
        <f>IFERROR(__xludf.DUMMYFUNCTION("""COMPUTED_VALUE"""),"lou lou")</f>
        <v>lou lou</v>
      </c>
      <c r="L5164" s="22" t="str">
        <f>IFERROR(__xludf.DUMMYFUNCTION("""COMPUTED_VALUE"""),"渋谷六花舎")</f>
        <v>渋谷六花舎</v>
      </c>
      <c r="M5164" s="33">
        <f>IFERROR(__xludf.DUMMYFUNCTION("""COMPUTED_VALUE"""),46160.0)</f>
        <v>46160</v>
      </c>
      <c r="N5164" s="33">
        <f>IFERROR(__xludf.DUMMYFUNCTION("""COMPUTED_VALUE"""),46243.0)</f>
        <v>46243</v>
      </c>
      <c r="O5164" s="20"/>
      <c r="P5164" s="32" t="str">
        <f>IFERROR(__xludf.DUMMYFUNCTION("""COMPUTED_VALUE"""),"可")</f>
        <v>可</v>
      </c>
      <c r="Q5164" s="30" t="str">
        <f>IFERROR(__xludf.DUMMYFUNCTION("""COMPUTED_VALUE"""),"アンソロ収録の単話。")</f>
        <v>アンソロ収録の単話。</v>
      </c>
      <c r="R5164" s="22"/>
      <c r="S5164" s="22" t="str">
        <f>IFERROR(__xludf.DUMMYFUNCTION("""COMPUTED_VALUE"""),"20260430_渋谷六花舎_敵国の吸血鬼は聖女の首筋に盲目的な愛を刻む")</f>
        <v>20260430_渋谷六花舎_敵国の吸血鬼は聖女の首筋に盲目的な愛を刻む</v>
      </c>
      <c r="T5164" s="22" t="str">
        <f>IFERROR(__xludf.DUMMYFUNCTION("""COMPUTED_VALUE"""),"格納済み")</f>
        <v>格納済み</v>
      </c>
      <c r="U5164" s="9" t="str">
        <f>IFERROR(__xludf.DUMMYFUNCTION("""COMPUTED_VALUE"""),"（C）綿貫夜空/lou lou")</f>
        <v>（C）綿貫夜空/lou lou</v>
      </c>
      <c r="V5164" s="8"/>
      <c r="W5164" s="8"/>
      <c r="X5164" s="8" t="str">
        <f>IFERROR(__xludf.DUMMYFUNCTION("""COMPUTED_VALUE"""),"有")</f>
        <v>有</v>
      </c>
      <c r="Y5164" s="8" t="str">
        <f>IFERROR(__xludf.DUMMYFUNCTION("""COMPUTED_VALUE"""),"2026/5/31まで1巻立ち読み増量P14まで")</f>
        <v>2026/5/31まで1巻立ち読み増量P14まで</v>
      </c>
      <c r="Z5164" s="7"/>
      <c r="AA5164" s="7"/>
      <c r="AB5164" s="7"/>
    </row>
    <row r="5165" ht="15.75" customHeight="1">
      <c r="A5165" s="26">
        <f>IFERROR(__xludf.DUMMYFUNCTION("""COMPUTED_VALUE"""),7948.0)</f>
        <v>7948</v>
      </c>
      <c r="B5165" s="22" t="str">
        <f>IFERROR(__xludf.DUMMYFUNCTION("""COMPUTED_VALUE"""),"確定")</f>
        <v>確定</v>
      </c>
      <c r="C5165" s="28">
        <f>IFERROR(__xludf.DUMMYFUNCTION("""COMPUTED_VALUE"""),46143.0)</f>
        <v>46143</v>
      </c>
      <c r="D5165" s="28">
        <f>IFERROR(__xludf.DUMMYFUNCTION("""COMPUTED_VALUE"""),46143.0)</f>
        <v>46143</v>
      </c>
      <c r="E5165" s="26">
        <f>IFERROR(__xludf.DUMMYFUNCTION("""COMPUTED_VALUE"""),360566.0)</f>
        <v>360566</v>
      </c>
      <c r="F5165" s="22" t="str">
        <f>IFERROR(__xludf.DUMMYFUNCTION("""COMPUTED_VALUE"""),"魔王様の餌付けに成功しました～魔界の定食屋で悪役令嬢が魔族の胃袋を掴みます～（コミック） 分冊版")</f>
        <v>魔王様の餌付けに成功しました～魔界の定食屋で悪役令嬢が魔族の胃袋を掴みます～（コミック） 分冊版</v>
      </c>
      <c r="G5165" s="20" t="str">
        <f>IFERROR(__xludf.DUMMYFUNCTION("""COMPUTED_VALUE"""),"1～3")</f>
        <v>1～3</v>
      </c>
      <c r="H5165" s="22" t="str">
        <f>IFERROR(__xludf.DUMMYFUNCTION("""COMPUTED_VALUE"""),"赤佐たな・笛路")</f>
        <v>赤佐たな・笛路</v>
      </c>
      <c r="I5165" s="22" t="str">
        <f>IFERROR(__xludf.DUMMYFUNCTION("""COMPUTED_VALUE"""),"女性マンガ")</f>
        <v>女性マンガ</v>
      </c>
      <c r="J5165" s="22"/>
      <c r="K5165" s="22" t="str">
        <f>IFERROR(__xludf.DUMMYFUNCTION("""COMPUTED_VALUE"""),"モンスターコミックスｆ")</f>
        <v>モンスターコミックスｆ</v>
      </c>
      <c r="L5165" s="22" t="str">
        <f>IFERROR(__xludf.DUMMYFUNCTION("""COMPUTED_VALUE"""),"双葉社")</f>
        <v>双葉社</v>
      </c>
      <c r="M5165" s="33">
        <f>IFERROR(__xludf.DUMMYFUNCTION("""COMPUTED_VALUE"""),46158.0)</f>
        <v>46158</v>
      </c>
      <c r="N5165" s="33">
        <f>IFERROR(__xludf.DUMMYFUNCTION("""COMPUTED_VALUE"""),46218.0)</f>
        <v>46218</v>
      </c>
      <c r="O5165" s="20"/>
      <c r="P5165" s="32" t="str">
        <f>IFERROR(__xludf.DUMMYFUNCTION("""COMPUTED_VALUE"""),"可")</f>
        <v>可</v>
      </c>
      <c r="Q5165" s="30"/>
      <c r="R5165" s="22"/>
      <c r="S5165" s="22" t="str">
        <f>IFERROR(__xludf.DUMMYFUNCTION("""COMPUTED_VALUE"""),"20260501_双葉社_魔王様の餌付けに成功しました～魔界の定食屋で悪役令嬢が魔族の胃袋を掴みます～（コミック） 分冊版")</f>
        <v>20260501_双葉社_魔王様の餌付けに成功しました～魔界の定食屋で悪役令嬢が魔族の胃袋を掴みます～（コミック） 分冊版</v>
      </c>
      <c r="T5165" s="22" t="str">
        <f>IFERROR(__xludf.DUMMYFUNCTION("""COMPUTED_VALUE"""),"格納済み")</f>
        <v>格納済み</v>
      </c>
      <c r="U5165" s="9" t="str">
        <f>IFERROR(__xludf.DUMMYFUNCTION("""COMPUTED_VALUE"""),"Ⓒ赤佐たな・笛路/双葉社")</f>
        <v>Ⓒ赤佐たな・笛路/双葉社</v>
      </c>
      <c r="V5165" s="8"/>
      <c r="W5165" s="8"/>
      <c r="X5165" s="8" t="str">
        <f>IFERROR(__xludf.DUMMYFUNCTION("""COMPUTED_VALUE"""),"有")</f>
        <v>有</v>
      </c>
      <c r="Y5165" s="8" t="str">
        <f>IFERROR(__xludf.DUMMYFUNCTION("""COMPUTED_VALUE"""),"2026/6/26まで1巻無料")</f>
        <v>2026/6/26まで1巻無料</v>
      </c>
      <c r="Z5165" s="7"/>
      <c r="AA5165" s="7"/>
      <c r="AB5165" s="7"/>
    </row>
    <row r="5166" ht="15.75" customHeight="1">
      <c r="A5166" s="26">
        <f>IFERROR(__xludf.DUMMYFUNCTION("""COMPUTED_VALUE"""),7949.0)</f>
        <v>7949</v>
      </c>
      <c r="B5166" s="22" t="str">
        <f>IFERROR(__xludf.DUMMYFUNCTION("""COMPUTED_VALUE"""),"確定")</f>
        <v>確定</v>
      </c>
      <c r="C5166" s="28">
        <f>IFERROR(__xludf.DUMMYFUNCTION("""COMPUTED_VALUE"""),46149.0)</f>
        <v>46149</v>
      </c>
      <c r="D5166" s="28">
        <f>IFERROR(__xludf.DUMMYFUNCTION("""COMPUTED_VALUE"""),46149.0)</f>
        <v>46149</v>
      </c>
      <c r="E5166" s="26">
        <f>IFERROR(__xludf.DUMMYFUNCTION("""COMPUTED_VALUE"""),362860.0)</f>
        <v>362860</v>
      </c>
      <c r="F5166" s="22" t="str">
        <f>IFERROR(__xludf.DUMMYFUNCTION("""COMPUTED_VALUE"""),"皇帝陛下のあたため係 ～冷血白蛇陛下は田舎娘のぬくもりをご所望です！？～【単話版】")</f>
        <v>皇帝陛下のあたため係 ～冷血白蛇陛下は田舎娘のぬくもりをご所望です！？～【単話版】</v>
      </c>
      <c r="G5166" s="20" t="str">
        <f>IFERROR(__xludf.DUMMYFUNCTION("""COMPUTED_VALUE"""),"1~5")</f>
        <v>1~5</v>
      </c>
      <c r="H5166" s="22" t="str">
        <f>IFERROR(__xludf.DUMMYFUNCTION("""COMPUTED_VALUE"""),"漫画：菜種ももな　原作：森 湖春　キャラクター原案：Matsuki")</f>
        <v>漫画：菜種ももな　原作：森 湖春　キャラクター原案：Matsuki</v>
      </c>
      <c r="I5166" s="22" t="str">
        <f>IFERROR(__xludf.DUMMYFUNCTION("""COMPUTED_VALUE"""),"少女")</f>
        <v>少女</v>
      </c>
      <c r="J5166" s="22"/>
      <c r="K5166" s="22"/>
      <c r="L5166" s="22" t="str">
        <f>IFERROR(__xludf.DUMMYFUNCTION("""COMPUTED_VALUE"""),"主婦と生活社")</f>
        <v>主婦と生活社</v>
      </c>
      <c r="M5166" s="33">
        <f>IFERROR(__xludf.DUMMYFUNCTION("""COMPUTED_VALUE"""),46174.0)</f>
        <v>46174</v>
      </c>
      <c r="N5166" s="33">
        <f>IFERROR(__xludf.DUMMYFUNCTION("""COMPUTED_VALUE"""),46296.0)</f>
        <v>46296</v>
      </c>
      <c r="O5166" s="20"/>
      <c r="P5166" s="32" t="str">
        <f>IFERROR(__xludf.DUMMYFUNCTION("""COMPUTED_VALUE"""),"可")</f>
        <v>可</v>
      </c>
      <c r="Q5166" s="30"/>
      <c r="R5166" s="22"/>
      <c r="S5166" s="22" t="str">
        <f>IFERROR(__xludf.DUMMYFUNCTION("""COMPUTED_VALUE"""),"20260423_主婦と生活社_皇帝陛下のあたため係〜冷血白蛇陛下は田舎娘のぬくもりをご所望です！？〜")</f>
        <v>20260423_主婦と生活社_皇帝陛下のあたため係〜冷血白蛇陛下は田舎娘のぬくもりをご所望です！？〜</v>
      </c>
      <c r="T5166" s="22" t="str">
        <f>IFERROR(__xludf.DUMMYFUNCTION("""COMPUTED_VALUE"""),"格納済み")</f>
        <v>格納済み</v>
      </c>
      <c r="U5166" s="9" t="str">
        <f>IFERROR(__xludf.DUMMYFUNCTION("""COMPUTED_VALUE"""),"Ⓒ︎菜種ももな・森 湖春・Matsuki／主婦と生活社")</f>
        <v>Ⓒ︎菜種ももな・森 湖春・Matsuki／主婦と生活社</v>
      </c>
      <c r="V5166" s="8"/>
      <c r="W5166" s="8"/>
      <c r="X5166" s="8" t="str">
        <f>IFERROR(__xludf.DUMMYFUNCTION("""COMPUTED_VALUE"""),"有")</f>
        <v>有</v>
      </c>
      <c r="Y5166" s="8" t="str">
        <f>IFERROR(__xludf.DUMMYFUNCTION("""COMPUTED_VALUE"""),"1～2巻無料")</f>
        <v>1～2巻無料</v>
      </c>
      <c r="Z5166" s="7"/>
      <c r="AA5166" s="7"/>
      <c r="AB5166" s="7"/>
    </row>
    <row r="5167" ht="15.75" customHeight="1">
      <c r="A5167" s="26">
        <f>IFERROR(__xludf.DUMMYFUNCTION("""COMPUTED_VALUE"""),7071.0)</f>
        <v>7071</v>
      </c>
      <c r="B5167" s="22" t="str">
        <f>IFERROR(__xludf.DUMMYFUNCTION("""COMPUTED_VALUE"""),"確定")</f>
        <v>確定</v>
      </c>
      <c r="C5167" s="28">
        <f>IFERROR(__xludf.DUMMYFUNCTION("""COMPUTED_VALUE"""),46007.0)</f>
        <v>46007</v>
      </c>
      <c r="D5167" s="28">
        <f>IFERROR(__xludf.DUMMYFUNCTION("""COMPUTED_VALUE"""),46153.0)</f>
        <v>46153</v>
      </c>
      <c r="E5167" s="26">
        <f>IFERROR(__xludf.DUMMYFUNCTION("""COMPUTED_VALUE"""),362744.0)</f>
        <v>362744</v>
      </c>
      <c r="F5167" s="22" t="str">
        <f>IFERROR(__xludf.DUMMYFUNCTION("""COMPUTED_VALUE"""),"義兄ヴァンパイアは毒の乙女を囲い込む（分冊版）")</f>
        <v>義兄ヴァンパイアは毒の乙女を囲い込む（分冊版）</v>
      </c>
      <c r="G5167" s="20" t="str">
        <f>IFERROR(__xludf.DUMMYFUNCTION("""COMPUTED_VALUE"""),"1~6")</f>
        <v>1~6</v>
      </c>
      <c r="H5167" s="22" t="str">
        <f>IFERROR(__xludf.DUMMYFUNCTION("""COMPUTED_VALUE"""),"むつき紫乃・歌貌")</f>
        <v>むつき紫乃・歌貌</v>
      </c>
      <c r="I5167" s="22" t="str">
        <f>IFERROR(__xludf.DUMMYFUNCTION("""COMPUTED_VALUE"""),"女性")</f>
        <v>女性</v>
      </c>
      <c r="J5167" s="22"/>
      <c r="K5167" s="22"/>
      <c r="L5167" s="22" t="str">
        <f>IFERROR(__xludf.DUMMYFUNCTION("""COMPUTED_VALUE"""),"アルファポリス")</f>
        <v>アルファポリス</v>
      </c>
      <c r="M5167" s="33">
        <f>IFERROR(__xludf.DUMMYFUNCTION("""COMPUTED_VALUE"""),46178.0)</f>
        <v>46178</v>
      </c>
      <c r="N5167" s="33">
        <f>IFERROR(__xludf.DUMMYFUNCTION("""COMPUTED_VALUE"""),46268.0)</f>
        <v>46268</v>
      </c>
      <c r="O5167" s="20"/>
      <c r="P5167" s="32" t="str">
        <f>IFERROR(__xludf.DUMMYFUNCTION("""COMPUTED_VALUE"""),"可")</f>
        <v>可</v>
      </c>
      <c r="Q5167" s="30" t="str">
        <f>IFERROR(__xludf.DUMMYFUNCTION("""COMPUTED_VALUE"""),"単行本版もシーモア先行で同時配信予定")</f>
        <v>単行本版もシーモア先行で同時配信予定</v>
      </c>
      <c r="R5167" s="22"/>
      <c r="S5167" s="22" t="str">
        <f>IFERROR(__xludf.DUMMYFUNCTION("""COMPUTED_VALUE"""),"20262507_アルファポリス_義兄ヴァンパイアは毒の乙女を囲い込む")</f>
        <v>20262507_アルファポリス_義兄ヴァンパイアは毒の乙女を囲い込む</v>
      </c>
      <c r="T5167" s="22" t="str">
        <f>IFERROR(__xludf.DUMMYFUNCTION("""COMPUTED_VALUE"""),"格納済み")</f>
        <v>格納済み</v>
      </c>
      <c r="U5167" s="9" t="str">
        <f>IFERROR(__xludf.DUMMYFUNCTION("""COMPUTED_VALUE"""),"（C）むつき紫乃・歌貌／アルファポリス")</f>
        <v>（C）むつき紫乃・歌貌／アルファポリス</v>
      </c>
      <c r="V5167" s="8"/>
      <c r="W5167" s="8"/>
      <c r="X5167" s="8" t="str">
        <f>IFERROR(__xludf.DUMMYFUNCTION("""COMPUTED_VALUE"""),"有")</f>
        <v>有</v>
      </c>
      <c r="Y5167" s="8" t="str">
        <f>IFERROR(__xludf.DUMMYFUNCTION("""COMPUTED_VALUE"""),"1巻永久無料")</f>
        <v>1巻永久無料</v>
      </c>
      <c r="Z5167" s="7"/>
      <c r="AA5167" s="7"/>
      <c r="AB5167" s="7"/>
    </row>
    <row r="5168" ht="15.75" customHeight="1">
      <c r="A5168" s="26">
        <f>IFERROR(__xludf.DUMMYFUNCTION("""COMPUTED_VALUE"""),7364.0)</f>
        <v>7364</v>
      </c>
      <c r="B5168" s="22" t="str">
        <f>IFERROR(__xludf.DUMMYFUNCTION("""COMPUTED_VALUE"""),"確定")</f>
        <v>確定</v>
      </c>
      <c r="C5168" s="28">
        <f>IFERROR(__xludf.DUMMYFUNCTION("""COMPUTED_VALUE"""),46055.0)</f>
        <v>46055</v>
      </c>
      <c r="D5168" s="28">
        <f>IFERROR(__xludf.DUMMYFUNCTION("""COMPUTED_VALUE"""),46154.0)</f>
        <v>46154</v>
      </c>
      <c r="E5168" s="26">
        <f>IFERROR(__xludf.DUMMYFUNCTION("""COMPUTED_VALUE"""),363911.0)</f>
        <v>363911</v>
      </c>
      <c r="F5168" s="22" t="str">
        <f>IFERROR(__xludf.DUMMYFUNCTION("""COMPUTED_VALUE"""),"美女と野獣の婚前旅行～婚約破棄は許しません。氷の令嬢は、逃げた参謀を追いかけます！～（単話版）")</f>
        <v>美女と野獣の婚前旅行～婚約破棄は許しません。氷の令嬢は、逃げた参謀を追いかけます！～（単話版）</v>
      </c>
      <c r="G5168" s="20" t="str">
        <f>IFERROR(__xludf.DUMMYFUNCTION("""COMPUTED_VALUE"""),"1～3")</f>
        <v>1～3</v>
      </c>
      <c r="H5168" s="22" t="str">
        <f>IFERROR(__xludf.DUMMYFUNCTION("""COMPUTED_VALUE"""),"作画：久留宮知里 原作：メアリー＝ドゥ")</f>
        <v>作画：久留宮知里 原作：メアリー＝ドゥ</v>
      </c>
      <c r="I5168" s="22" t="str">
        <f>IFERROR(__xludf.DUMMYFUNCTION("""COMPUTED_VALUE"""),"少女")</f>
        <v>少女</v>
      </c>
      <c r="J5168" s="22"/>
      <c r="K5168" s="22"/>
      <c r="L5168" s="22" t="str">
        <f>IFERROR(__xludf.DUMMYFUNCTION("""COMPUTED_VALUE"""),"コンパス")</f>
        <v>コンパス</v>
      </c>
      <c r="M5168" s="33">
        <f>IFERROR(__xludf.DUMMYFUNCTION("""COMPUTED_VALUE"""),46200.0)</f>
        <v>46200</v>
      </c>
      <c r="N5168" s="33">
        <f>IFERROR(__xludf.DUMMYFUNCTION("""COMPUTED_VALUE"""),46290.0)</f>
        <v>46290</v>
      </c>
      <c r="O5168" s="20"/>
      <c r="P5168" s="32" t="str">
        <f>IFERROR(__xludf.DUMMYFUNCTION("""COMPUTED_VALUE"""),"可")</f>
        <v>可</v>
      </c>
      <c r="Q5168" s="30" t="str">
        <f>IFERROR(__xludf.DUMMYFUNCTION("""COMPUTED_VALUE"""),"推しポイント：&lt;BR&gt;獣人ヒーロー×凛としたヒロインの物語。&lt;BR&gt;漫画家は新人：久留宮知里を実力を見込んで抜擢。&lt;BR&gt;原作者：メアリー＝ドゥ氏は『悪役令嬢の矜持』（スクエニ）が大ヒット中の実力者。&lt;BR&gt;メアリー＝ドゥ氏の力量に加え、「美女と野獣」+「金髪の姫将軍」の二重のヒット要素が入っている作品です。")</f>
        <v>推しポイント：&lt;BR&gt;獣人ヒーロー×凛としたヒロインの物語。&lt;BR&gt;漫画家は新人：久留宮知里を実力を見込んで抜擢。&lt;BR&gt;原作者：メアリー＝ドゥ氏は『悪役令嬢の矜持』（スクエニ）が大ヒット中の実力者。&lt;BR&gt;メアリー＝ドゥ氏の力量に加え、「美女と野獣」+「金髪の姫将軍」の二重のヒット要素が入っている作品です。</v>
      </c>
      <c r="R5168" s="22" t="str">
        <f>IFERROR(__xludf.DUMMYFUNCTION("""COMPUTED_VALUE"""),"コミットOK")</f>
        <v>コミットOK</v>
      </c>
      <c r="S5168" s="22" t="str">
        <f>IFERROR(__xludf.DUMMYFUNCTION("""COMPUTED_VALUE"""),"20260511_コンパス_美女と野獣の婚前旅行～婚約破棄は許しません。氷の令嬢は、逃げた参謀を追いかけます！～")</f>
        <v>20260511_コンパス_美女と野獣の婚前旅行～婚約破棄は許しません。氷の令嬢は、逃げた参謀を追いかけます！～</v>
      </c>
      <c r="T5168" s="22" t="str">
        <f>IFERROR(__xludf.DUMMYFUNCTION("""COMPUTED_VALUE"""),"格納済み")</f>
        <v>格納済み</v>
      </c>
      <c r="U5168" s="9" t="str">
        <f>IFERROR(__xludf.DUMMYFUNCTION("""COMPUTED_VALUE"""),"Ⓒ久留宮知里・メアリー＝ドゥ／コンパス")</f>
        <v>Ⓒ久留宮知里・メアリー＝ドゥ／コンパス</v>
      </c>
      <c r="V5168" s="8"/>
      <c r="W5168" s="8"/>
      <c r="X5168" s="8" t="str">
        <f>IFERROR(__xludf.DUMMYFUNCTION("""COMPUTED_VALUE"""),"有")</f>
        <v>有</v>
      </c>
      <c r="Y5168" s="8" t="str">
        <f>IFERROR(__xludf.DUMMYFUNCTION("""COMPUTED_VALUE"""),"2026/7/10まで1巻無料")</f>
        <v>2026/7/10まで1巻無料</v>
      </c>
      <c r="Z5168" s="7"/>
      <c r="AA5168" s="7"/>
      <c r="AB5168" s="7"/>
    </row>
    <row r="5169" ht="15.75" customHeight="1">
      <c r="A5169" s="26">
        <f>IFERROR(__xludf.DUMMYFUNCTION("""COMPUTED_VALUE"""),7554.0)</f>
        <v>7554</v>
      </c>
      <c r="B5169" s="22" t="str">
        <f>IFERROR(__xludf.DUMMYFUNCTION("""COMPUTED_VALUE"""),"確定")</f>
        <v>確定</v>
      </c>
      <c r="C5169" s="28">
        <f>IFERROR(__xludf.DUMMYFUNCTION("""COMPUTED_VALUE"""),46084.0)</f>
        <v>46084</v>
      </c>
      <c r="D5169" s="28">
        <f>IFERROR(__xludf.DUMMYFUNCTION("""COMPUTED_VALUE"""),46155.0)</f>
        <v>46155</v>
      </c>
      <c r="E5169" s="26">
        <f>IFERROR(__xludf.DUMMYFUNCTION("""COMPUTED_VALUE"""),359546.0)</f>
        <v>359546</v>
      </c>
      <c r="F5169" s="22" t="str">
        <f>IFERROR(__xludf.DUMMYFUNCTION("""COMPUTED_VALUE"""),"甘い毒【分冊版】")</f>
        <v>甘い毒【分冊版】</v>
      </c>
      <c r="G5169" s="20" t="str">
        <f>IFERROR(__xludf.DUMMYFUNCTION("""COMPUTED_VALUE"""),"1～2")</f>
        <v>1～2</v>
      </c>
      <c r="H5169" s="22" t="str">
        <f>IFERROR(__xludf.DUMMYFUNCTION("""COMPUTED_VALUE"""),"花里ひかり/てと")</f>
        <v>花里ひかり/てと</v>
      </c>
      <c r="I5169" s="22" t="str">
        <f>IFERROR(__xludf.DUMMYFUNCTION("""COMPUTED_VALUE"""),"女性")</f>
        <v>女性</v>
      </c>
      <c r="J5169" s="22"/>
      <c r="K5169" s="22"/>
      <c r="L5169" s="22" t="str">
        <f>IFERROR(__xludf.DUMMYFUNCTION("""COMPUTED_VALUE"""),"ハーパーコリンズ・ジャパン")</f>
        <v>ハーパーコリンズ・ジャパン</v>
      </c>
      <c r="M5169" s="33">
        <f>IFERROR(__xludf.DUMMYFUNCTION("""COMPUTED_VALUE"""),46164.0)</f>
        <v>46164</v>
      </c>
      <c r="N5169" s="33">
        <f>IFERROR(__xludf.DUMMYFUNCTION("""COMPUTED_VALUE"""),46225.0)</f>
        <v>46225</v>
      </c>
      <c r="O5169" s="20"/>
      <c r="P5169" s="32" t="str">
        <f>IFERROR(__xludf.DUMMYFUNCTION("""COMPUTED_VALUE"""),"可")</f>
        <v>可</v>
      </c>
      <c r="Q5169" s="30"/>
      <c r="R5169" s="22" t="str">
        <f>IFERROR(__xludf.DUMMYFUNCTION("""COMPUTED_VALUE"""),"コミットNG")</f>
        <v>コミットNG</v>
      </c>
      <c r="S5169" s="22" t="str">
        <f>IFERROR(__xludf.DUMMYFUNCTION("""COMPUTED_VALUE"""),"20260513_ハーパーコリンズ_甘い毒【分冊版】")</f>
        <v>20260513_ハーパーコリンズ_甘い毒【分冊版】</v>
      </c>
      <c r="T5169" s="22" t="str">
        <f>IFERROR(__xludf.DUMMYFUNCTION("""COMPUTED_VALUE"""),"格納済み")</f>
        <v>格納済み</v>
      </c>
      <c r="U5169" s="9" t="str">
        <f>IFERROR(__xludf.DUMMYFUNCTION("""COMPUTED_VALUE"""),"Ⓒ花里ひかり・てと／ハーパーコリンズ・ジャパン")</f>
        <v>Ⓒ花里ひかり・てと／ハーパーコリンズ・ジャパン</v>
      </c>
      <c r="V5169" s="8"/>
      <c r="W5169" s="8"/>
      <c r="X5169" s="8" t="str">
        <f>IFERROR(__xludf.DUMMYFUNCTION("""COMPUTED_VALUE"""),"有")</f>
        <v>有</v>
      </c>
      <c r="Y5169" s="8" t="str">
        <f>IFERROR(__xludf.DUMMYFUNCTION("""COMPUTED_VALUE"""),"2026/6/4まで1巻無料")</f>
        <v>2026/6/4まで1巻無料</v>
      </c>
      <c r="Z5169" s="7"/>
      <c r="AA5169" s="7"/>
      <c r="AB5169" s="7"/>
    </row>
    <row r="5170" ht="15.75" customHeight="1">
      <c r="A5170" s="26">
        <f>IFERROR(__xludf.DUMMYFUNCTION("""COMPUTED_VALUE"""),7557.0)</f>
        <v>7557</v>
      </c>
      <c r="B5170" s="22" t="str">
        <f>IFERROR(__xludf.DUMMYFUNCTION("""COMPUTED_VALUE"""),"確定")</f>
        <v>確定</v>
      </c>
      <c r="C5170" s="28">
        <f>IFERROR(__xludf.DUMMYFUNCTION("""COMPUTED_VALUE"""),46084.0)</f>
        <v>46084</v>
      </c>
      <c r="D5170" s="28">
        <f>IFERROR(__xludf.DUMMYFUNCTION("""COMPUTED_VALUE"""),46154.0)</f>
        <v>46154</v>
      </c>
      <c r="E5170" s="26">
        <f>IFERROR(__xludf.DUMMYFUNCTION("""COMPUTED_VALUE"""),362524.0)</f>
        <v>362524</v>
      </c>
      <c r="F5170" s="22" t="str">
        <f>IFERROR(__xludf.DUMMYFUNCTION("""COMPUTED_VALUE"""),"ノンケ女、和服人妻に狙われてます。")</f>
        <v>ノンケ女、和服人妻に狙われてます。</v>
      </c>
      <c r="G5170" s="20" t="str">
        <f>IFERROR(__xludf.DUMMYFUNCTION("""COMPUTED_VALUE"""),"1～3")</f>
        <v>1～3</v>
      </c>
      <c r="H5170" s="22" t="str">
        <f>IFERROR(__xludf.DUMMYFUNCTION("""COMPUTED_VALUE"""),"かみしまあきら")</f>
        <v>かみしまあきら</v>
      </c>
      <c r="I5170" s="22" t="str">
        <f>IFERROR(__xludf.DUMMYFUNCTION("""COMPUTED_VALUE"""),"TL")</f>
        <v>TL</v>
      </c>
      <c r="J5170" s="22"/>
      <c r="K5170" s="22" t="str">
        <f>IFERROR(__xludf.DUMMYFUNCTION("""COMPUTED_VALUE"""),"Close Moon")</f>
        <v>Close Moon</v>
      </c>
      <c r="L5170" s="22" t="str">
        <f>IFERROR(__xludf.DUMMYFUNCTION("""COMPUTED_VALUE"""),"ナンバーナイン")</f>
        <v>ナンバーナイン</v>
      </c>
      <c r="M5170" s="33">
        <f>IFERROR(__xludf.DUMMYFUNCTION("""COMPUTED_VALUE"""),46185.0)</f>
        <v>46185</v>
      </c>
      <c r="N5170" s="33">
        <f>IFERROR(__xludf.DUMMYFUNCTION("""COMPUTED_VALUE"""),46245.0)</f>
        <v>46245</v>
      </c>
      <c r="O5170" s="20" t="str">
        <f>IFERROR(__xludf.DUMMYFUNCTION("""COMPUTED_VALUE"""),"【アダルト作品扱い】")</f>
        <v>【アダルト作品扱い】</v>
      </c>
      <c r="P5170" s="32" t="str">
        <f>IFERROR(__xludf.DUMMYFUNCTION("""COMPUTED_VALUE"""),"可")</f>
        <v>可</v>
      </c>
      <c r="Q5170" s="30"/>
      <c r="R5170" s="22" t="str">
        <f>IFERROR(__xludf.DUMMYFUNCTION("""COMPUTED_VALUE"""),"コミットOK")</f>
        <v>コミットOK</v>
      </c>
      <c r="S5170" s="22" t="str">
        <f>IFERROR(__xludf.DUMMYFUNCTION("""COMPUTED_VALUE"""),"20260511_ナンバーナイン_ノンケ女、和服人妻に狙われてます。")</f>
        <v>20260511_ナンバーナイン_ノンケ女、和服人妻に狙われてます。</v>
      </c>
      <c r="T5170" s="22" t="str">
        <f>IFERROR(__xludf.DUMMYFUNCTION("""COMPUTED_VALUE"""),"格納済み")</f>
        <v>格納済み</v>
      </c>
      <c r="U5170" s="9" t="str">
        <f>IFERROR(__xludf.DUMMYFUNCTION("""COMPUTED_VALUE"""),"(C)かみしまあきら／ナンバーナイン")</f>
        <v>(C)かみしまあきら／ナンバーナイン</v>
      </c>
      <c r="V5170" s="8"/>
      <c r="W5170" s="8"/>
      <c r="X5170" s="8" t="str">
        <f>IFERROR(__xludf.DUMMYFUNCTION("""COMPUTED_VALUE"""),"有")</f>
        <v>有</v>
      </c>
      <c r="Y5170" s="8" t="str">
        <f>IFERROR(__xludf.DUMMYFUNCTION("""COMPUTED_VALUE"""),"1巻永久無料")</f>
        <v>1巻永久無料</v>
      </c>
      <c r="Z5170" s="7"/>
      <c r="AA5170" s="7"/>
      <c r="AB5170" s="7"/>
    </row>
    <row r="5171" ht="15.75" customHeight="1">
      <c r="A5171" s="26">
        <f>IFERROR(__xludf.DUMMYFUNCTION("""COMPUTED_VALUE"""),7587.0)</f>
        <v>7587</v>
      </c>
      <c r="B5171" s="22" t="str">
        <f>IFERROR(__xludf.DUMMYFUNCTION("""COMPUTED_VALUE"""),"確定")</f>
        <v>確定</v>
      </c>
      <c r="C5171" s="28">
        <f>IFERROR(__xludf.DUMMYFUNCTION("""COMPUTED_VALUE"""),46085.0)</f>
        <v>46085</v>
      </c>
      <c r="D5171" s="28">
        <f>IFERROR(__xludf.DUMMYFUNCTION("""COMPUTED_VALUE"""),46154.0)</f>
        <v>46154</v>
      </c>
      <c r="E5171" s="26">
        <f>IFERROR(__xludf.DUMMYFUNCTION("""COMPUTED_VALUE"""),361681.0)</f>
        <v>361681</v>
      </c>
      <c r="F5171" s="22" t="str">
        <f>IFERROR(__xludf.DUMMYFUNCTION("""COMPUTED_VALUE"""),"６番目のセフレだけど一生分の思い出ができたからもう充分（分冊版）")</f>
        <v>６番目のセフレだけど一生分の思い出ができたからもう充分（分冊版）</v>
      </c>
      <c r="G5171" s="20" t="str">
        <f>IFERROR(__xludf.DUMMYFUNCTION("""COMPUTED_VALUE"""),"1~5")</f>
        <v>1~5</v>
      </c>
      <c r="H5171" s="22" t="str">
        <f>IFERROR(__xludf.DUMMYFUNCTION("""COMPUTED_VALUE"""),"SKYTRICK・かどをとおる")</f>
        <v>SKYTRICK・かどをとおる</v>
      </c>
      <c r="I5171" s="22" t="str">
        <f>IFERROR(__xludf.DUMMYFUNCTION("""COMPUTED_VALUE"""),"BL")</f>
        <v>BL</v>
      </c>
      <c r="J5171" s="22"/>
      <c r="K5171" s="22"/>
      <c r="L5171" s="22" t="str">
        <f>IFERROR(__xludf.DUMMYFUNCTION("""COMPUTED_VALUE"""),"アルファポリス")</f>
        <v>アルファポリス</v>
      </c>
      <c r="M5171" s="33">
        <f>IFERROR(__xludf.DUMMYFUNCTION("""COMPUTED_VALUE"""),46174.0)</f>
        <v>46174</v>
      </c>
      <c r="N5171" s="33">
        <f>IFERROR(__xludf.DUMMYFUNCTION("""COMPUTED_VALUE"""),46265.0)</f>
        <v>46265</v>
      </c>
      <c r="O5171" s="20"/>
      <c r="P5171" s="32" t="str">
        <f>IFERROR(__xludf.DUMMYFUNCTION("""COMPUTED_VALUE"""),"可")</f>
        <v>可</v>
      </c>
      <c r="Q5171" s="30"/>
      <c r="R5171" s="22" t="str">
        <f>IFERROR(__xludf.DUMMYFUNCTION("""COMPUTED_VALUE"""),"コミットOK")</f>
        <v>コミットOK</v>
      </c>
      <c r="S5171" s="22" t="str">
        <f>IFERROR(__xludf.DUMMYFUNCTION("""COMPUTED_VALUE"""),"20260304_アルファポリス_6番目のセフレだけど一生分の思い出ができたからもう充分")</f>
        <v>20260304_アルファポリス_6番目のセフレだけど一生分の思い出ができたからもう充分</v>
      </c>
      <c r="T5171" s="22" t="str">
        <f>IFERROR(__xludf.DUMMYFUNCTION("""COMPUTED_VALUE"""),"格納済み")</f>
        <v>格納済み</v>
      </c>
      <c r="U5171" s="9" t="str">
        <f>IFERROR(__xludf.DUMMYFUNCTION("""COMPUTED_VALUE"""),"（C）SKYTRICK・かどをとおる／アルファポリス")</f>
        <v>（C）SKYTRICK・かどをとおる／アルファポリス</v>
      </c>
      <c r="V5171" s="8"/>
      <c r="W5171" s="8"/>
      <c r="X5171" s="8" t="str">
        <f>IFERROR(__xludf.DUMMYFUNCTION("""COMPUTED_VALUE"""),"有")</f>
        <v>有</v>
      </c>
      <c r="Y5171" s="8" t="str">
        <f>IFERROR(__xludf.DUMMYFUNCTION("""COMPUTED_VALUE"""),"2026/6/14まで1巻無料")</f>
        <v>2026/6/14まで1巻無料</v>
      </c>
      <c r="Z5171" s="7"/>
      <c r="AA5171" s="7"/>
      <c r="AB5171" s="7"/>
    </row>
    <row r="5172" ht="15.75" customHeight="1">
      <c r="A5172" s="26">
        <f>IFERROR(__xludf.DUMMYFUNCTION("""COMPUTED_VALUE"""),7626.0)</f>
        <v>7626</v>
      </c>
      <c r="B5172" s="22" t="str">
        <f>IFERROR(__xludf.DUMMYFUNCTION("""COMPUTED_VALUE"""),"確定")</f>
        <v>確定</v>
      </c>
      <c r="C5172" s="28">
        <f>IFERROR(__xludf.DUMMYFUNCTION("""COMPUTED_VALUE"""),46090.0)</f>
        <v>46090</v>
      </c>
      <c r="D5172" s="28">
        <f>IFERROR(__xludf.DUMMYFUNCTION("""COMPUTED_VALUE"""),46154.0)</f>
        <v>46154</v>
      </c>
      <c r="E5172" s="26"/>
      <c r="F5172" s="22" t="str">
        <f>IFERROR(__xludf.DUMMYFUNCTION("""COMPUTED_VALUE"""),"あたし聖女様、今、娼館にいるの")</f>
        <v>あたし聖女様、今、娼館にいるの</v>
      </c>
      <c r="G5172" s="20" t="str">
        <f>IFERROR(__xludf.DUMMYFUNCTION("""COMPUTED_VALUE"""),"1～3")</f>
        <v>1～3</v>
      </c>
      <c r="H5172" s="22" t="str">
        <f>IFERROR(__xludf.DUMMYFUNCTION("""COMPUTED_VALUE"""),"さんぞく・飯塚まこと")</f>
        <v>さんぞく・飯塚まこと</v>
      </c>
      <c r="I5172" s="22" t="str">
        <f>IFERROR(__xludf.DUMMYFUNCTION("""COMPUTED_VALUE"""),"少女")</f>
        <v>少女</v>
      </c>
      <c r="J5172" s="22"/>
      <c r="K5172" s="22"/>
      <c r="L5172" s="22" t="str">
        <f>IFERROR(__xludf.DUMMYFUNCTION("""COMPUTED_VALUE"""),"リブリオン")</f>
        <v>リブリオン</v>
      </c>
      <c r="M5172" s="33">
        <f>IFERROR(__xludf.DUMMYFUNCTION("""COMPUTED_VALUE"""),46234.0)</f>
        <v>46234</v>
      </c>
      <c r="N5172" s="33">
        <f>IFERROR(__xludf.DUMMYFUNCTION("""COMPUTED_VALUE"""),46325.0)</f>
        <v>46325</v>
      </c>
      <c r="O5172" s="20" t="str">
        <f>IFERROR(__xludf.DUMMYFUNCTION("""COMPUTED_VALUE"""),"【アダルト作品扱い】")</f>
        <v>【アダルト作品扱い】</v>
      </c>
      <c r="P5172" s="32" t="str">
        <f>IFERROR(__xludf.DUMMYFUNCTION("""COMPUTED_VALUE"""),"可")</f>
        <v>可</v>
      </c>
      <c r="Q5172" s="30"/>
      <c r="R5172" s="22" t="str">
        <f>IFERROR(__xludf.DUMMYFUNCTION("""COMPUTED_VALUE"""),"コミットOK")</f>
        <v>コミットOK</v>
      </c>
      <c r="S5172" s="22" t="str">
        <f>IFERROR(__xludf.DUMMYFUNCTION("""COMPUTED_VALUE"""),"20260508_リブリオン_あたし聖女様、今、娼館にいるの")</f>
        <v>20260508_リブリオン_あたし聖女様、今、娼館にいるの</v>
      </c>
      <c r="T5172" s="22" t="str">
        <f>IFERROR(__xludf.DUMMYFUNCTION("""COMPUTED_VALUE"""),"格納済み")</f>
        <v>格納済み</v>
      </c>
      <c r="U5172" s="9" t="str">
        <f>IFERROR(__xludf.DUMMYFUNCTION("""COMPUTED_VALUE"""),"(c)さんぞく・飯塚まこと / Librion")</f>
        <v>(c)さんぞく・飯塚まこと / Librion</v>
      </c>
      <c r="V5172" s="8"/>
      <c r="W5172" s="8"/>
      <c r="X5172" s="8"/>
      <c r="Y5172" s="8"/>
      <c r="Z5172" s="7"/>
      <c r="AA5172" s="7"/>
      <c r="AB5172" s="7"/>
    </row>
    <row r="5173" ht="15.75" customHeight="1">
      <c r="A5173" s="26">
        <f>IFERROR(__xludf.DUMMYFUNCTION("""COMPUTED_VALUE"""),7717.0)</f>
        <v>7717</v>
      </c>
      <c r="B5173" s="22" t="str">
        <f>IFERROR(__xludf.DUMMYFUNCTION("""COMPUTED_VALUE"""),"確定")</f>
        <v>確定</v>
      </c>
      <c r="C5173" s="28">
        <f>IFERROR(__xludf.DUMMYFUNCTION("""COMPUTED_VALUE"""),46100.0)</f>
        <v>46100</v>
      </c>
      <c r="D5173" s="28">
        <f>IFERROR(__xludf.DUMMYFUNCTION("""COMPUTED_VALUE"""),46154.0)</f>
        <v>46154</v>
      </c>
      <c r="E5173" s="26">
        <f>IFERROR(__xludf.DUMMYFUNCTION("""COMPUTED_VALUE"""),359429.0)</f>
        <v>359429</v>
      </c>
      <c r="F5173" s="22" t="str">
        <f>IFERROR(__xludf.DUMMYFUNCTION("""COMPUTED_VALUE"""),"推しぴと繋がり、サイコに溺れる")</f>
        <v>推しぴと繋がり、サイコに溺れる</v>
      </c>
      <c r="G5173" s="20" t="str">
        <f>IFERROR(__xludf.DUMMYFUNCTION("""COMPUTED_VALUE"""),"1～3")</f>
        <v>1～3</v>
      </c>
      <c r="H5173" s="22" t="str">
        <f>IFERROR(__xludf.DUMMYFUNCTION("""COMPUTED_VALUE"""),"poco.")</f>
        <v>poco.</v>
      </c>
      <c r="I5173" s="22" t="str">
        <f>IFERROR(__xludf.DUMMYFUNCTION("""COMPUTED_VALUE"""),"TL")</f>
        <v>TL</v>
      </c>
      <c r="J5173" s="22"/>
      <c r="K5173" s="22"/>
      <c r="L5173" s="22" t="str">
        <f>IFERROR(__xludf.DUMMYFUNCTION("""COMPUTED_VALUE"""),"パチカ")</f>
        <v>パチカ</v>
      </c>
      <c r="M5173" s="33">
        <f>IFERROR(__xludf.DUMMYFUNCTION("""COMPUTED_VALUE"""),46157.0)</f>
        <v>46157</v>
      </c>
      <c r="N5173" s="33">
        <f>IFERROR(__xludf.DUMMYFUNCTION("""COMPUTED_VALUE"""),46248.0)</f>
        <v>46248</v>
      </c>
      <c r="O5173" s="20" t="str">
        <f>IFERROR(__xludf.DUMMYFUNCTION("""COMPUTED_VALUE"""),"【アダルト作品扱い】")</f>
        <v>【アダルト作品扱い】</v>
      </c>
      <c r="P5173" s="32" t="str">
        <f>IFERROR(__xludf.DUMMYFUNCTION("""COMPUTED_VALUE"""),"可")</f>
        <v>可</v>
      </c>
      <c r="Q5173" s="30"/>
      <c r="R5173" s="22" t="str">
        <f>IFERROR(__xludf.DUMMYFUNCTION("""COMPUTED_VALUE"""),"コミットOK")</f>
        <v>コミットOK</v>
      </c>
      <c r="S5173" s="22" t="str">
        <f>IFERROR(__xludf.DUMMYFUNCTION("""COMPUTED_VALUE"""),"20260507_ウェイブ_推しぴと繋がり、サイコに溺れる")</f>
        <v>20260507_ウェイブ_推しぴと繋がり、サイコに溺れる</v>
      </c>
      <c r="T5173" s="22" t="str">
        <f>IFERROR(__xludf.DUMMYFUNCTION("""COMPUTED_VALUE"""),"格納済み")</f>
        <v>格納済み</v>
      </c>
      <c r="U5173" s="9" t="str">
        <f>IFERROR(__xludf.DUMMYFUNCTION("""COMPUTED_VALUE"""),"Ⓒpoco.／パチカ")</f>
        <v>Ⓒpoco.／パチカ</v>
      </c>
      <c r="V5173" s="8"/>
      <c r="W5173" s="8"/>
      <c r="X5173" s="8" t="str">
        <f>IFERROR(__xludf.DUMMYFUNCTION("""COMPUTED_VALUE"""),"有")</f>
        <v>有</v>
      </c>
      <c r="Y5173" s="8" t="str">
        <f>IFERROR(__xludf.DUMMYFUNCTION("""COMPUTED_VALUE"""),"5/28まで1巻無料")</f>
        <v>5/28まで1巻無料</v>
      </c>
      <c r="Z5173" s="7"/>
      <c r="AA5173" s="7"/>
      <c r="AB5173" s="7"/>
    </row>
    <row r="5174" ht="15.75" customHeight="1">
      <c r="A5174" s="26">
        <f>IFERROR(__xludf.DUMMYFUNCTION("""COMPUTED_VALUE"""),7789.0)</f>
        <v>7789</v>
      </c>
      <c r="B5174" s="22" t="str">
        <f>IFERROR(__xludf.DUMMYFUNCTION("""COMPUTED_VALUE"""),"確定")</f>
        <v>確定</v>
      </c>
      <c r="C5174" s="28">
        <f>IFERROR(__xludf.DUMMYFUNCTION("""COMPUTED_VALUE"""),46113.0)</f>
        <v>46113</v>
      </c>
      <c r="D5174" s="28">
        <f>IFERROR(__xludf.DUMMYFUNCTION("""COMPUTED_VALUE"""),46149.0)</f>
        <v>46149</v>
      </c>
      <c r="E5174" s="26">
        <f>IFERROR(__xludf.DUMMYFUNCTION("""COMPUTED_VALUE"""),361675.0)</f>
        <v>361675</v>
      </c>
      <c r="F5174" s="22" t="str">
        <f>IFERROR(__xludf.DUMMYFUNCTION("""COMPUTED_VALUE"""),"推しの愛に気づかない（分冊版）")</f>
        <v>推しの愛に気づかない（分冊版）</v>
      </c>
      <c r="G5174" s="20" t="str">
        <f>IFERROR(__xludf.DUMMYFUNCTION("""COMPUTED_VALUE"""),"1～7")</f>
        <v>1～7</v>
      </c>
      <c r="H5174" s="22" t="str">
        <f>IFERROR(__xludf.DUMMYFUNCTION("""COMPUTED_VALUE"""),"縞々わか")</f>
        <v>縞々わか</v>
      </c>
      <c r="I5174" s="22" t="str">
        <f>IFERROR(__xludf.DUMMYFUNCTION("""COMPUTED_VALUE"""),"BL")</f>
        <v>BL</v>
      </c>
      <c r="J5174" s="22"/>
      <c r="K5174" s="22"/>
      <c r="L5174" s="22" t="str">
        <f>IFERROR(__xludf.DUMMYFUNCTION("""COMPUTED_VALUE"""),"アルファポリス")</f>
        <v>アルファポリス</v>
      </c>
      <c r="M5174" s="33">
        <f>IFERROR(__xludf.DUMMYFUNCTION("""COMPUTED_VALUE"""),46174.0)</f>
        <v>46174</v>
      </c>
      <c r="N5174" s="33">
        <f>IFERROR(__xludf.DUMMYFUNCTION("""COMPUTED_VALUE"""),46265.0)</f>
        <v>46265</v>
      </c>
      <c r="O5174" s="20"/>
      <c r="P5174" s="32" t="str">
        <f>IFERROR(__xludf.DUMMYFUNCTION("""COMPUTED_VALUE"""),"可")</f>
        <v>可</v>
      </c>
      <c r="Q5174" s="30" t="str">
        <f>IFERROR(__xludf.DUMMYFUNCTION("""COMPUTED_VALUE"""),"ライトBL施策")</f>
        <v>ライトBL施策</v>
      </c>
      <c r="R5174" s="22"/>
      <c r="S5174" s="22" t="str">
        <f>IFERROR(__xludf.DUMMYFUNCTION("""COMPUTED_VALUE"""),"20260501_アルファポリス_推しの愛に気づかない")</f>
        <v>20260501_アルファポリス_推しの愛に気づかない</v>
      </c>
      <c r="T5174" s="22" t="str">
        <f>IFERROR(__xludf.DUMMYFUNCTION("""COMPUTED_VALUE"""),"格納済み")</f>
        <v>格納済み</v>
      </c>
      <c r="U5174" s="9" t="str">
        <f>IFERROR(__xludf.DUMMYFUNCTION("""COMPUTED_VALUE"""),"（C）縞々わか／アルファポリス")</f>
        <v>（C）縞々わか／アルファポリス</v>
      </c>
      <c r="V5174" s="8"/>
      <c r="W5174" s="8"/>
      <c r="X5174" s="8" t="str">
        <f>IFERROR(__xludf.DUMMYFUNCTION("""COMPUTED_VALUE"""),"有")</f>
        <v>有</v>
      </c>
      <c r="Y5174" s="8" t="str">
        <f>IFERROR(__xludf.DUMMYFUNCTION("""COMPUTED_VALUE"""),"2026/6/14まで1巻無料")</f>
        <v>2026/6/14まで1巻無料</v>
      </c>
      <c r="Z5174" s="7"/>
      <c r="AA5174" s="7"/>
      <c r="AB5174" s="7"/>
    </row>
    <row r="5175" ht="15.75" customHeight="1">
      <c r="A5175" s="26">
        <f>IFERROR(__xludf.DUMMYFUNCTION("""COMPUTED_VALUE"""),7804.0)</f>
        <v>7804</v>
      </c>
      <c r="B5175" s="22" t="str">
        <f>IFERROR(__xludf.DUMMYFUNCTION("""COMPUTED_VALUE"""),"確定")</f>
        <v>確定</v>
      </c>
      <c r="C5175" s="28">
        <f>IFERROR(__xludf.DUMMYFUNCTION("""COMPUTED_VALUE"""),46126.0)</f>
        <v>46126</v>
      </c>
      <c r="D5175" s="28">
        <f>IFERROR(__xludf.DUMMYFUNCTION("""COMPUTED_VALUE"""),46155.0)</f>
        <v>46155</v>
      </c>
      <c r="E5175" s="26">
        <f>IFERROR(__xludf.DUMMYFUNCTION("""COMPUTED_VALUE"""),360338.0)</f>
        <v>360338</v>
      </c>
      <c r="F5175" s="22" t="str">
        <f>IFERROR(__xludf.DUMMYFUNCTION("""COMPUTED_VALUE"""),"婚約破棄されたいので素顔を隠して残念令嬢になります！え？腹黒王子にバレてるとか聞いてないんですけど!?")</f>
        <v>婚約破棄されたいので素顔を隠して残念令嬢になります！え？腹黒王子にバレてるとか聞いてないんですけど!?</v>
      </c>
      <c r="G5175" s="20" t="str">
        <f>IFERROR(__xludf.DUMMYFUNCTION("""COMPUTED_VALUE"""),"1~6")</f>
        <v>1~6</v>
      </c>
      <c r="H5175" s="22" t="str">
        <f>IFERROR(__xludf.DUMMYFUNCTION("""COMPUTED_VALUE"""),"漫画：都筑せつり　原作：野原のこ　キャラクター原案：南々瀬なつ")</f>
        <v>漫画：都筑せつり　原作：野原のこ　キャラクター原案：南々瀬なつ</v>
      </c>
      <c r="I5175" s="22" t="str">
        <f>IFERROR(__xludf.DUMMYFUNCTION("""COMPUTED_VALUE"""),"少女")</f>
        <v>少女</v>
      </c>
      <c r="J5175" s="22"/>
      <c r="K5175" s="22"/>
      <c r="L5175" s="22" t="str">
        <f>IFERROR(__xludf.DUMMYFUNCTION("""COMPUTED_VALUE"""),"主婦と生活社")</f>
        <v>主婦と生活社</v>
      </c>
      <c r="M5175" s="33">
        <f>IFERROR(__xludf.DUMMYFUNCTION("""COMPUTED_VALUE"""),46157.0)</f>
        <v>46157</v>
      </c>
      <c r="N5175" s="33">
        <f>IFERROR(__xludf.DUMMYFUNCTION("""COMPUTED_VALUE"""),46266.0)</f>
        <v>46266</v>
      </c>
      <c r="O5175" s="20"/>
      <c r="P5175" s="32" t="str">
        <f>IFERROR(__xludf.DUMMYFUNCTION("""COMPUTED_VALUE"""),"可")</f>
        <v>可</v>
      </c>
      <c r="Q5175" s="30"/>
      <c r="R5175" s="22" t="str">
        <f>IFERROR(__xludf.DUMMYFUNCTION("""COMPUTED_VALUE"""),"コミットOK")</f>
        <v>コミットOK</v>
      </c>
      <c r="S5175" s="22" t="str">
        <f>IFERROR(__xludf.DUMMYFUNCTION("""COMPUTED_VALUE"""),"20260512_主婦と生活社_婚約破棄されたいので素顔を隠して残念令嬢になります")</f>
        <v>20260512_主婦と生活社_婚約破棄されたいので素顔を隠して残念令嬢になります</v>
      </c>
      <c r="T5175" s="22" t="str">
        <f>IFERROR(__xludf.DUMMYFUNCTION("""COMPUTED_VALUE"""),"格納済み")</f>
        <v>格納済み</v>
      </c>
      <c r="U5175" s="9" t="str">
        <f>IFERROR(__xludf.DUMMYFUNCTION("""COMPUTED_VALUE"""),"Ⓒ︎都筑せつり・野原のこ・南々瀬なつ／主婦と生活社")</f>
        <v>Ⓒ︎都筑せつり・野原のこ・南々瀬なつ／主婦と生活社</v>
      </c>
      <c r="V5175" s="8"/>
      <c r="W5175" s="8"/>
      <c r="X5175" s="8" t="str">
        <f>IFERROR(__xludf.DUMMYFUNCTION("""COMPUTED_VALUE"""),"有")</f>
        <v>有</v>
      </c>
      <c r="Y5175" s="8" t="str">
        <f>IFERROR(__xludf.DUMMYFUNCTION("""COMPUTED_VALUE"""),"1～3巻無料")</f>
        <v>1～3巻無料</v>
      </c>
      <c r="Z5175" s="7"/>
      <c r="AA5175" s="7"/>
      <c r="AB5175" s="7"/>
    </row>
    <row r="5176" ht="15.75" customHeight="1">
      <c r="A5176" s="26">
        <f>IFERROR(__xludf.DUMMYFUNCTION("""COMPUTED_VALUE"""),7830.0)</f>
        <v>7830</v>
      </c>
      <c r="B5176" s="22" t="str">
        <f>IFERROR(__xludf.DUMMYFUNCTION("""COMPUTED_VALUE"""),"確定")</f>
        <v>確定</v>
      </c>
      <c r="C5176" s="28">
        <f>IFERROR(__xludf.DUMMYFUNCTION("""COMPUTED_VALUE"""),46127.0)</f>
        <v>46127</v>
      </c>
      <c r="D5176" s="28">
        <f>IFERROR(__xludf.DUMMYFUNCTION("""COMPUTED_VALUE"""),46155.0)</f>
        <v>46155</v>
      </c>
      <c r="E5176" s="26">
        <f>IFERROR(__xludf.DUMMYFUNCTION("""COMPUTED_VALUE"""),362183.0)</f>
        <v>362183</v>
      </c>
      <c r="F5176" s="22" t="str">
        <f>IFERROR(__xludf.DUMMYFUNCTION("""COMPUTED_VALUE"""),"寡黙な彼氏の身体で伝える独占執愛")</f>
        <v>寡黙な彼氏の身体で伝える独占執愛</v>
      </c>
      <c r="G5176" s="20" t="str">
        <f>IFERROR(__xludf.DUMMYFUNCTION("""COMPUTED_VALUE"""),"1~4")</f>
        <v>1~4</v>
      </c>
      <c r="H5176" s="22" t="str">
        <f>IFERROR(__xludf.DUMMYFUNCTION("""COMPUTED_VALUE"""),"おの臣┴THE猥談")</f>
        <v>おの臣┴THE猥談</v>
      </c>
      <c r="I5176" s="22" t="str">
        <f>IFERROR(__xludf.DUMMYFUNCTION("""COMPUTED_VALUE"""),"TL")</f>
        <v>TL</v>
      </c>
      <c r="J5176" s="22"/>
      <c r="K5176" s="22" t="str">
        <f>IFERROR(__xludf.DUMMYFUNCTION("""COMPUTED_VALUE"""),"THE猥談")</f>
        <v>THE猥談</v>
      </c>
      <c r="L5176" s="22" t="str">
        <f>IFERROR(__xludf.DUMMYFUNCTION("""COMPUTED_VALUE"""),"クロスフォリオ出版")</f>
        <v>クロスフォリオ出版</v>
      </c>
      <c r="M5176" s="33">
        <f>IFERROR(__xludf.DUMMYFUNCTION("""COMPUTED_VALUE"""),46178.0)</f>
        <v>46178</v>
      </c>
      <c r="N5176" s="33">
        <f>IFERROR(__xludf.DUMMYFUNCTION("""COMPUTED_VALUE"""),46268.0)</f>
        <v>46268</v>
      </c>
      <c r="O5176" s="20" t="str">
        <f>IFERROR(__xludf.DUMMYFUNCTION("""COMPUTED_VALUE"""),"【アダルト作品扱い】")</f>
        <v>【アダルト作品扱い】</v>
      </c>
      <c r="P5176" s="32" t="str">
        <f>IFERROR(__xludf.DUMMYFUNCTION("""COMPUTED_VALUE"""),"可")</f>
        <v>可</v>
      </c>
      <c r="Q5176" s="30"/>
      <c r="R5176" s="22" t="str">
        <f>IFERROR(__xludf.DUMMYFUNCTION("""COMPUTED_VALUE"""),"コミットOK")</f>
        <v>コミットOK</v>
      </c>
      <c r="S5176" s="22" t="str">
        <f>IFERROR(__xludf.DUMMYFUNCTION("""COMPUTED_VALUE"""),"20260512_BookLive_寡黙な彼氏の身体で伝える独占執愛")</f>
        <v>20260512_BookLive_寡黙な彼氏の身体で伝える独占執愛</v>
      </c>
      <c r="T5176" s="22" t="str">
        <f>IFERROR(__xludf.DUMMYFUNCTION("""COMPUTED_VALUE"""),"格納済み")</f>
        <v>格納済み</v>
      </c>
      <c r="U5176" s="9" t="str">
        <f>IFERROR(__xludf.DUMMYFUNCTION("""COMPUTED_VALUE"""),"(c)おの臣/THE猥談/クロスフォリオ出版")</f>
        <v>(c)おの臣/THE猥談/クロスフォリオ出版</v>
      </c>
      <c r="V5176" s="8"/>
      <c r="W5176" s="8"/>
      <c r="X5176" s="8" t="str">
        <f>IFERROR(__xludf.DUMMYFUNCTION("""COMPUTED_VALUE"""),"有")</f>
        <v>有</v>
      </c>
      <c r="Y5176" s="8" t="str">
        <f>IFERROR(__xludf.DUMMYFUNCTION("""COMPUTED_VALUE"""),"2026/6/18まで1巻無料")</f>
        <v>2026/6/18まで1巻無料</v>
      </c>
      <c r="Z5176" s="7"/>
      <c r="AA5176" s="7"/>
      <c r="AB5176" s="7"/>
    </row>
    <row r="5177" ht="15.75" customHeight="1">
      <c r="A5177" s="26">
        <f>IFERROR(__xludf.DUMMYFUNCTION("""COMPUTED_VALUE"""),7831.0)</f>
        <v>7831</v>
      </c>
      <c r="B5177" s="22" t="str">
        <f>IFERROR(__xludf.DUMMYFUNCTION("""COMPUTED_VALUE"""),"確定")</f>
        <v>確定</v>
      </c>
      <c r="C5177" s="28">
        <f>IFERROR(__xludf.DUMMYFUNCTION("""COMPUTED_VALUE"""),46127.0)</f>
        <v>46127</v>
      </c>
      <c r="D5177" s="28">
        <f>IFERROR(__xludf.DUMMYFUNCTION("""COMPUTED_VALUE"""),46155.0)</f>
        <v>46155</v>
      </c>
      <c r="E5177" s="26">
        <f>IFERROR(__xludf.DUMMYFUNCTION("""COMPUTED_VALUE"""),362184.0)</f>
        <v>362184</v>
      </c>
      <c r="F5177" s="22" t="str">
        <f>IFERROR(__xludf.DUMMYFUNCTION("""COMPUTED_VALUE"""),"甘々執心年下男子はもえこさんと✕✕✕したい")</f>
        <v>甘々執心年下男子はもえこさんと✕✕✕したい</v>
      </c>
      <c r="G5177" s="20" t="str">
        <f>IFERROR(__xludf.DUMMYFUNCTION("""COMPUTED_VALUE"""),"1~4")</f>
        <v>1~4</v>
      </c>
      <c r="H5177" s="22" t="str">
        <f>IFERROR(__xludf.DUMMYFUNCTION("""COMPUTED_VALUE"""),"是まと┴THE猥談")</f>
        <v>是まと┴THE猥談</v>
      </c>
      <c r="I5177" s="22" t="str">
        <f>IFERROR(__xludf.DUMMYFUNCTION("""COMPUTED_VALUE"""),"TL")</f>
        <v>TL</v>
      </c>
      <c r="J5177" s="22"/>
      <c r="K5177" s="22" t="str">
        <f>IFERROR(__xludf.DUMMYFUNCTION("""COMPUTED_VALUE"""),"THE猥談")</f>
        <v>THE猥談</v>
      </c>
      <c r="L5177" s="22" t="str">
        <f>IFERROR(__xludf.DUMMYFUNCTION("""COMPUTED_VALUE"""),"クロスフォリオ出版")</f>
        <v>クロスフォリオ出版</v>
      </c>
      <c r="M5177" s="33">
        <f>IFERROR(__xludf.DUMMYFUNCTION("""COMPUTED_VALUE"""),46178.0)</f>
        <v>46178</v>
      </c>
      <c r="N5177" s="33">
        <f>IFERROR(__xludf.DUMMYFUNCTION("""COMPUTED_VALUE"""),46268.0)</f>
        <v>46268</v>
      </c>
      <c r="O5177" s="20" t="str">
        <f>IFERROR(__xludf.DUMMYFUNCTION("""COMPUTED_VALUE"""),"【アダルト作品扱い】")</f>
        <v>【アダルト作品扱い】</v>
      </c>
      <c r="P5177" s="32" t="str">
        <f>IFERROR(__xludf.DUMMYFUNCTION("""COMPUTED_VALUE"""),"可")</f>
        <v>可</v>
      </c>
      <c r="Q5177" s="30"/>
      <c r="R5177" s="22" t="str">
        <f>IFERROR(__xludf.DUMMYFUNCTION("""COMPUTED_VALUE"""),"コミットOK")</f>
        <v>コミットOK</v>
      </c>
      <c r="S5177" s="22" t="str">
        <f>IFERROR(__xludf.DUMMYFUNCTION("""COMPUTED_VALUE"""),"20260512_BookLive_甘々執心年下男子はもえこさんと✕✕✕したい")</f>
        <v>20260512_BookLive_甘々執心年下男子はもえこさんと✕✕✕したい</v>
      </c>
      <c r="T5177" s="22" t="str">
        <f>IFERROR(__xludf.DUMMYFUNCTION("""COMPUTED_VALUE"""),"格納済み")</f>
        <v>格納済み</v>
      </c>
      <c r="U5177" s="9" t="str">
        <f>IFERROR(__xludf.DUMMYFUNCTION("""COMPUTED_VALUE"""),"(c)是まと/THE猥談/クロスフォリオ出版")</f>
        <v>(c)是まと/THE猥談/クロスフォリオ出版</v>
      </c>
      <c r="V5177" s="8"/>
      <c r="W5177" s="8"/>
      <c r="X5177" s="8" t="str">
        <f>IFERROR(__xludf.DUMMYFUNCTION("""COMPUTED_VALUE"""),"有")</f>
        <v>有</v>
      </c>
      <c r="Y5177" s="8" t="str">
        <f>IFERROR(__xludf.DUMMYFUNCTION("""COMPUTED_VALUE"""),"2026/6/18まで1巻無料")</f>
        <v>2026/6/18まで1巻無料</v>
      </c>
      <c r="Z5177" s="7"/>
      <c r="AA5177" s="7"/>
      <c r="AB5177" s="7"/>
    </row>
    <row r="5178" ht="15.75" customHeight="1">
      <c r="A5178" s="26">
        <f>IFERROR(__xludf.DUMMYFUNCTION("""COMPUTED_VALUE"""),7844.0)</f>
        <v>7844</v>
      </c>
      <c r="B5178" s="22" t="str">
        <f>IFERROR(__xludf.DUMMYFUNCTION("""COMPUTED_VALUE"""),"確定")</f>
        <v>確定</v>
      </c>
      <c r="C5178" s="28">
        <f>IFERROR(__xludf.DUMMYFUNCTION("""COMPUTED_VALUE"""),46127.0)</f>
        <v>46127</v>
      </c>
      <c r="D5178" s="28">
        <f>IFERROR(__xludf.DUMMYFUNCTION("""COMPUTED_VALUE"""),46155.0)</f>
        <v>46155</v>
      </c>
      <c r="E5178" s="26">
        <f>IFERROR(__xludf.DUMMYFUNCTION("""COMPUTED_VALUE"""),361821.0)</f>
        <v>361821</v>
      </c>
      <c r="F5178" s="22" t="str">
        <f>IFERROR(__xludf.DUMMYFUNCTION("""COMPUTED_VALUE"""),"魔法使いの食卓")</f>
        <v>魔法使いの食卓</v>
      </c>
      <c r="G5178" s="20" t="str">
        <f>IFERROR(__xludf.DUMMYFUNCTION("""COMPUTED_VALUE"""),"1～2")</f>
        <v>1～2</v>
      </c>
      <c r="H5178" s="22" t="str">
        <f>IFERROR(__xludf.DUMMYFUNCTION("""COMPUTED_VALUE"""),"村崎ハネル／谷崎泉／陸裕千景子")</f>
        <v>村崎ハネル／谷崎泉／陸裕千景子</v>
      </c>
      <c r="I5178" s="22" t="str">
        <f>IFERROR(__xludf.DUMMYFUNCTION("""COMPUTED_VALUE"""),"BL")</f>
        <v>BL</v>
      </c>
      <c r="J5178" s="22"/>
      <c r="K5178" s="22"/>
      <c r="L5178" s="22" t="str">
        <f>IFERROR(__xludf.DUMMYFUNCTION("""COMPUTED_VALUE"""),"二見書房")</f>
        <v>二見書房</v>
      </c>
      <c r="M5178" s="33">
        <f>IFERROR(__xludf.DUMMYFUNCTION("""COMPUTED_VALUE"""),46199.0)</f>
        <v>46199</v>
      </c>
      <c r="N5178" s="33">
        <f>IFERROR(__xludf.DUMMYFUNCTION("""COMPUTED_VALUE"""),46226.0)</f>
        <v>46226</v>
      </c>
      <c r="O5178" s="20"/>
      <c r="P5178" s="32" t="str">
        <f>IFERROR(__xludf.DUMMYFUNCTION("""COMPUTED_VALUE"""),"可")</f>
        <v>可</v>
      </c>
      <c r="Q5178" s="30" t="str">
        <f>IFERROR(__xludf.DUMMYFUNCTION("""COMPUTED_VALUE"""),"続刊（3話）：2026/7/24配信予定")</f>
        <v>続刊（3話）：2026/7/24配信予定</v>
      </c>
      <c r="R5178" s="22" t="str">
        <f>IFERROR(__xludf.DUMMYFUNCTION("""COMPUTED_VALUE"""),"コミットNG")</f>
        <v>コミットNG</v>
      </c>
      <c r="S5178" s="22" t="str">
        <f>IFERROR(__xludf.DUMMYFUNCTION("""COMPUTED_VALUE"""),"20260508_二見書房_魔法使いの食卓")</f>
        <v>20260508_二見書房_魔法使いの食卓</v>
      </c>
      <c r="T5178" s="22" t="str">
        <f>IFERROR(__xludf.DUMMYFUNCTION("""COMPUTED_VALUE"""),"格納済み")</f>
        <v>格納済み</v>
      </c>
      <c r="U5178" s="9" t="str">
        <f>IFERROR(__xludf.DUMMYFUNCTION("""COMPUTED_VALUE"""),"Ⓒ村崎ハネル・谷崎泉・陸裕千景子／二見書房")</f>
        <v>Ⓒ村崎ハネル・谷崎泉・陸裕千景子／二見書房</v>
      </c>
      <c r="V5178" s="8"/>
      <c r="W5178" s="8"/>
      <c r="X5178" s="8" t="str">
        <f>IFERROR(__xludf.DUMMYFUNCTION("""COMPUTED_VALUE"""),"有")</f>
        <v>有</v>
      </c>
      <c r="Y5178" s="8" t="str">
        <f>IFERROR(__xludf.DUMMYFUNCTION("""COMPUTED_VALUE"""),"2026/7/9まで1巻ｐ22まで立ち読み増量")</f>
        <v>2026/7/9まで1巻ｐ22まで立ち読み増量</v>
      </c>
      <c r="Z5178" s="7"/>
      <c r="AA5178" s="7"/>
      <c r="AB5178" s="7"/>
    </row>
    <row r="5179" ht="15.75" customHeight="1">
      <c r="A5179" s="26">
        <f>IFERROR(__xludf.DUMMYFUNCTION("""COMPUTED_VALUE"""),7853.0)</f>
        <v>7853</v>
      </c>
      <c r="B5179" s="22" t="str">
        <f>IFERROR(__xludf.DUMMYFUNCTION("""COMPUTED_VALUE"""),"確定")</f>
        <v>確定</v>
      </c>
      <c r="C5179" s="28">
        <f>IFERROR(__xludf.DUMMYFUNCTION("""COMPUTED_VALUE"""),46128.0)</f>
        <v>46128</v>
      </c>
      <c r="D5179" s="28">
        <f>IFERROR(__xludf.DUMMYFUNCTION("""COMPUTED_VALUE"""),46153.0)</f>
        <v>46153</v>
      </c>
      <c r="E5179" s="26">
        <f>IFERROR(__xludf.DUMMYFUNCTION("""COMPUTED_VALUE"""),362750.0)</f>
        <v>362750</v>
      </c>
      <c r="F5179" s="22" t="str">
        <f>IFERROR(__xludf.DUMMYFUNCTION("""COMPUTED_VALUE"""),"やおよろず取扱説明書【マイクロ】")</f>
        <v>やおよろず取扱説明書【マイクロ】</v>
      </c>
      <c r="G5179" s="20" t="str">
        <f>IFERROR(__xludf.DUMMYFUNCTION("""COMPUTED_VALUE"""),"1~4")</f>
        <v>1~4</v>
      </c>
      <c r="H5179" s="22" t="str">
        <f>IFERROR(__xludf.DUMMYFUNCTION("""COMPUTED_VALUE"""),"最富キョウスケ")</f>
        <v>最富キョウスケ</v>
      </c>
      <c r="I5179" s="22" t="str">
        <f>IFERROR(__xludf.DUMMYFUNCTION("""COMPUTED_VALUE"""),"少女マンガ")</f>
        <v>少女マンガ</v>
      </c>
      <c r="J5179" s="22"/>
      <c r="K5179" s="22"/>
      <c r="L5179" s="22" t="str">
        <f>IFERROR(__xludf.DUMMYFUNCTION("""COMPUTED_VALUE"""),"小学館")</f>
        <v>小学館</v>
      </c>
      <c r="M5179" s="33">
        <f>IFERROR(__xludf.DUMMYFUNCTION("""COMPUTED_VALUE"""),46183.0)</f>
        <v>46183</v>
      </c>
      <c r="N5179" s="33">
        <f>IFERROR(__xludf.DUMMYFUNCTION("""COMPUTED_VALUE"""),46284.66666666667)</f>
        <v>46284.66667</v>
      </c>
      <c r="O5179" s="20"/>
      <c r="P5179" s="32" t="str">
        <f>IFERROR(__xludf.DUMMYFUNCTION("""COMPUTED_VALUE"""),"否")</f>
        <v>否</v>
      </c>
      <c r="Q5179" s="30" t="str">
        <f>IFERROR(__xludf.DUMMYFUNCTION("""COMPUTED_VALUE"""),"『クイーンズ・クオリティ』『電撃デイジー』の最富キョウスケ先生の新作です。ふしぎなものが見える”クソ度胸”の女子大生・栞。内定先が潰れ、代わる就職先となったのは、「畏さま」という神々の登録や調査をする国の組織、通称・カムイで！？ 全く新たな神々契約ロマンタジー！！&lt;BR&gt;")</f>
        <v>『クイーンズ・クオリティ』『電撃デイジー』の最富キョウスケ先生の新作です。ふしぎなものが見える”クソ度胸”の女子大生・栞。内定先が潰れ、代わる就職先となったのは、「畏さま」という神々の登録や調査をする国の組織、通称・カムイで！？ 全く新たな神々契約ロマンタジー！！&lt;BR&gt;</v>
      </c>
      <c r="R5179" s="22"/>
      <c r="S5179" s="22" t="str">
        <f>IFERROR(__xludf.DUMMYFUNCTION("""COMPUTED_VALUE"""),"20260507_小学館_やおよろず取扱説明書【マイクロ】")</f>
        <v>20260507_小学館_やおよろず取扱説明書【マイクロ】</v>
      </c>
      <c r="T5179" s="22" t="str">
        <f>IFERROR(__xludf.DUMMYFUNCTION("""COMPUTED_VALUE"""),"格納済み")</f>
        <v>格納済み</v>
      </c>
      <c r="U5179" s="9" t="str">
        <f>IFERROR(__xludf.DUMMYFUNCTION("""COMPUTED_VALUE"""),"(C)最富キョウスケ / 小学館")</f>
        <v>(C)最富キョウスケ / 小学館</v>
      </c>
      <c r="V5179" s="8"/>
      <c r="W5179" s="8"/>
      <c r="X5179" s="8" t="str">
        <f>IFERROR(__xludf.DUMMYFUNCTION("""COMPUTED_VALUE"""),"有")</f>
        <v>有</v>
      </c>
      <c r="Y5179" s="8" t="str">
        <f>IFERROR(__xludf.DUMMYFUNCTION("""COMPUTED_VALUE"""),"P6まで")</f>
        <v>P6まで</v>
      </c>
      <c r="Z5179" s="7"/>
      <c r="AA5179" s="7"/>
      <c r="AB5179" s="7"/>
    </row>
    <row r="5180" ht="15.75" customHeight="1">
      <c r="A5180" s="26">
        <f>IFERROR(__xludf.DUMMYFUNCTION("""COMPUTED_VALUE"""),7905.0)</f>
        <v>7905</v>
      </c>
      <c r="B5180" s="22" t="str">
        <f>IFERROR(__xludf.DUMMYFUNCTION("""COMPUTED_VALUE"""),"確定")</f>
        <v>確定</v>
      </c>
      <c r="C5180" s="28">
        <f>IFERROR(__xludf.DUMMYFUNCTION("""COMPUTED_VALUE"""),46136.0)</f>
        <v>46136</v>
      </c>
      <c r="D5180" s="28">
        <f>IFERROR(__xludf.DUMMYFUNCTION("""COMPUTED_VALUE"""),46155.0)</f>
        <v>46155</v>
      </c>
      <c r="E5180" s="26">
        <f>IFERROR(__xludf.DUMMYFUNCTION("""COMPUTED_VALUE"""),362181.0)</f>
        <v>362181</v>
      </c>
      <c r="F5180" s="22" t="str">
        <f>IFERROR(__xludf.DUMMYFUNCTION("""COMPUTED_VALUE"""),"二年後に死ぬ王女ですが、政略結婚した国王に溺愛されています【分冊版】")</f>
        <v>二年後に死ぬ王女ですが、政略結婚した国王に溺愛されています【分冊版】</v>
      </c>
      <c r="G5180" s="20" t="str">
        <f>IFERROR(__xludf.DUMMYFUNCTION("""COMPUTED_VALUE"""),"1～2")</f>
        <v>1～2</v>
      </c>
      <c r="H5180" s="22" t="str">
        <f>IFERROR(__xludf.DUMMYFUNCTION("""COMPUTED_VALUE"""),"いそてつ すずね凜")</f>
        <v>いそてつ すずね凜</v>
      </c>
      <c r="I5180" s="22" t="str">
        <f>IFERROR(__xludf.DUMMYFUNCTION("""COMPUTED_VALUE"""),"TL")</f>
        <v>TL</v>
      </c>
      <c r="J5180" s="22"/>
      <c r="K5180" s="22" t="str">
        <f>IFERROR(__xludf.DUMMYFUNCTION("""COMPUTED_VALUE"""),"乙女ドルチェ・コミックス")</f>
        <v>乙女ドルチェ・コミックス</v>
      </c>
      <c r="L5180" s="22" t="str">
        <f>IFERROR(__xludf.DUMMYFUNCTION("""COMPUTED_VALUE"""),"乙女ドルチェ・コミックス")</f>
        <v>乙女ドルチェ・コミックス</v>
      </c>
      <c r="M5180" s="33">
        <f>IFERROR(__xludf.DUMMYFUNCTION("""COMPUTED_VALUE"""),46191.0)</f>
        <v>46191</v>
      </c>
      <c r="N5180" s="33">
        <f>IFERROR(__xludf.DUMMYFUNCTION("""COMPUTED_VALUE"""),46251.0)</f>
        <v>46251</v>
      </c>
      <c r="O5180" s="20"/>
      <c r="P5180" s="32" t="str">
        <f>IFERROR(__xludf.DUMMYFUNCTION("""COMPUTED_VALUE"""),"可")</f>
        <v>可</v>
      </c>
      <c r="Q5180" s="30"/>
      <c r="R5180" s="22"/>
      <c r="S5180" s="22" t="str">
        <f>IFERROR(__xludf.DUMMYFUNCTION("""COMPUTED_VALUE"""),"20260512_乙女ドルチェ_二年後に死ぬ王女ですが、政略結婚した国王に溺愛されています【分冊版】")</f>
        <v>20260512_乙女ドルチェ_二年後に死ぬ王女ですが、政略結婚した国王に溺愛されています【分冊版】</v>
      </c>
      <c r="T5180" s="22" t="str">
        <f>IFERROR(__xludf.DUMMYFUNCTION("""COMPUTED_VALUE"""),"格納済み")</f>
        <v>格納済み</v>
      </c>
      <c r="U5180" s="9" t="str">
        <f>IFERROR(__xludf.DUMMYFUNCTION("""COMPUTED_VALUE"""),"（C)いそてつ・すずね凜／ハーパーコリンズ・ジャパン")</f>
        <v>（C)いそてつ・すずね凜／ハーパーコリンズ・ジャパン</v>
      </c>
      <c r="V5180" s="8"/>
      <c r="W5180" s="8"/>
      <c r="X5180" s="8" t="str">
        <f>IFERROR(__xludf.DUMMYFUNCTION("""COMPUTED_VALUE"""),"有")</f>
        <v>有</v>
      </c>
      <c r="Y5180" s="8" t="str">
        <f>IFERROR(__xludf.DUMMYFUNCTION("""COMPUTED_VALUE"""),"p7まで")</f>
        <v>p7まで</v>
      </c>
      <c r="Z5180" s="7"/>
      <c r="AA5180" s="7"/>
      <c r="AB5180" s="7"/>
    </row>
    <row r="5181" ht="15.75" customHeight="1">
      <c r="A5181" s="26">
        <f>IFERROR(__xludf.DUMMYFUNCTION("""COMPUTED_VALUE"""),7906.0)</f>
        <v>7906</v>
      </c>
      <c r="B5181" s="22" t="str">
        <f>IFERROR(__xludf.DUMMYFUNCTION("""COMPUTED_VALUE"""),"確定")</f>
        <v>確定</v>
      </c>
      <c r="C5181" s="28">
        <f>IFERROR(__xludf.DUMMYFUNCTION("""COMPUTED_VALUE"""),46136.0)</f>
        <v>46136</v>
      </c>
      <c r="D5181" s="28">
        <f>IFERROR(__xludf.DUMMYFUNCTION("""COMPUTED_VALUE"""),46154.0)</f>
        <v>46154</v>
      </c>
      <c r="E5181" s="26">
        <f>IFERROR(__xludf.DUMMYFUNCTION("""COMPUTED_VALUE"""),362411.0)</f>
        <v>362411</v>
      </c>
      <c r="F5181" s="22" t="str">
        <f>IFERROR(__xludf.DUMMYFUNCTION("""COMPUTED_VALUE"""),"キャッチミー！エイリアン")</f>
        <v>キャッチミー！エイリアン</v>
      </c>
      <c r="G5181" s="20" t="str">
        <f>IFERROR(__xludf.DUMMYFUNCTION("""COMPUTED_VALUE"""),"1～2")</f>
        <v>1～2</v>
      </c>
      <c r="H5181" s="22" t="str">
        <f>IFERROR(__xludf.DUMMYFUNCTION("""COMPUTED_VALUE"""),"in.")</f>
        <v>in.</v>
      </c>
      <c r="I5181" s="22" t="str">
        <f>IFERROR(__xludf.DUMMYFUNCTION("""COMPUTED_VALUE"""),"BL")</f>
        <v>BL</v>
      </c>
      <c r="J5181" s="22"/>
      <c r="K5181" s="22" t="str">
        <f>IFERROR(__xludf.DUMMYFUNCTION("""COMPUTED_VALUE"""),"MooiComics")</f>
        <v>MooiComics</v>
      </c>
      <c r="L5181" s="22" t="str">
        <f>IFERROR(__xludf.DUMMYFUNCTION("""COMPUTED_VALUE"""),"CLLENN")</f>
        <v>CLLENN</v>
      </c>
      <c r="M5181" s="33">
        <f>IFERROR(__xludf.DUMMYFUNCTION("""COMPUTED_VALUE"""),46189.0)</f>
        <v>46189</v>
      </c>
      <c r="N5181" s="33">
        <f>IFERROR(__xludf.DUMMYFUNCTION("""COMPUTED_VALUE"""),46251.0)</f>
        <v>46251</v>
      </c>
      <c r="O5181" s="20" t="str">
        <f>IFERROR(__xludf.DUMMYFUNCTION("""COMPUTED_VALUE"""),"【アダルト作品扱い】")</f>
        <v>【アダルト作品扱い】</v>
      </c>
      <c r="P5181" s="32" t="str">
        <f>IFERROR(__xludf.DUMMYFUNCTION("""COMPUTED_VALUE"""),"可")</f>
        <v>可</v>
      </c>
      <c r="Q5181" s="30"/>
      <c r="R5181" s="22"/>
      <c r="S5181" s="22" t="str">
        <f>IFERROR(__xludf.DUMMYFUNCTION("""COMPUTED_VALUE"""),"20260511_CLLENN_キャッチミー！エイリアン")</f>
        <v>20260511_CLLENN_キャッチミー！エイリアン</v>
      </c>
      <c r="T5181" s="22" t="str">
        <f>IFERROR(__xludf.DUMMYFUNCTION("""COMPUTED_VALUE"""),"格納済み")</f>
        <v>格納済み</v>
      </c>
      <c r="U5181" s="9" t="str">
        <f>IFERROR(__xludf.DUMMYFUNCTION("""COMPUTED_VALUE"""),"Ⓒin./CLLENN")</f>
        <v>Ⓒin./CLLENN</v>
      </c>
      <c r="V5181" s="8"/>
      <c r="W5181" s="8"/>
      <c r="X5181" s="8" t="str">
        <f>IFERROR(__xludf.DUMMYFUNCTION("""COMPUTED_VALUE"""),"有")</f>
        <v>有</v>
      </c>
      <c r="Y5181" s="8" t="str">
        <f>IFERROR(__xludf.DUMMYFUNCTION("""COMPUTED_VALUE"""),"p10まで")</f>
        <v>p10まで</v>
      </c>
      <c r="Z5181" s="7"/>
      <c r="AA5181" s="7"/>
      <c r="AB5181" s="7"/>
    </row>
    <row r="5182" ht="15.75" customHeight="1">
      <c r="A5182" s="26">
        <f>IFERROR(__xludf.DUMMYFUNCTION("""COMPUTED_VALUE"""),7912.0)</f>
        <v>7912</v>
      </c>
      <c r="B5182" s="22" t="str">
        <f>IFERROR(__xludf.DUMMYFUNCTION("""COMPUTED_VALUE"""),"確定")</f>
        <v>確定</v>
      </c>
      <c r="C5182" s="28">
        <f>IFERROR(__xludf.DUMMYFUNCTION("""COMPUTED_VALUE"""),46139.0)</f>
        <v>46139</v>
      </c>
      <c r="D5182" s="28">
        <f>IFERROR(__xludf.DUMMYFUNCTION("""COMPUTED_VALUE"""),46155.0)</f>
        <v>46155</v>
      </c>
      <c r="E5182" s="26">
        <f>IFERROR(__xludf.DUMMYFUNCTION("""COMPUTED_VALUE"""),362182.0)</f>
        <v>362182</v>
      </c>
      <c r="F5182" s="22" t="str">
        <f>IFERROR(__xludf.DUMMYFUNCTION("""COMPUTED_VALUE"""),"社長になった初恋幼なじみの執着愛から逃げられません！　【分冊版】")</f>
        <v>社長になった初恋幼なじみの執着愛から逃げられません！　【分冊版】</v>
      </c>
      <c r="G5182" s="20" t="str">
        <f>IFERROR(__xludf.DUMMYFUNCTION("""COMPUTED_VALUE"""),"1～2")</f>
        <v>1～2</v>
      </c>
      <c r="H5182" s="22" t="str">
        <f>IFERROR(__xludf.DUMMYFUNCTION("""COMPUTED_VALUE"""),"咲乃寧子 希彗まゆ")</f>
        <v>咲乃寧子 希彗まゆ</v>
      </c>
      <c r="I5182" s="22" t="str">
        <f>IFERROR(__xludf.DUMMYFUNCTION("""COMPUTED_VALUE"""),"TL")</f>
        <v>TL</v>
      </c>
      <c r="J5182" s="22"/>
      <c r="K5182" s="22" t="str">
        <f>IFERROR(__xludf.DUMMYFUNCTION("""COMPUTED_VALUE"""),"乙女ドルチェ・コミックス")</f>
        <v>乙女ドルチェ・コミックス</v>
      </c>
      <c r="L5182" s="22" t="str">
        <f>IFERROR(__xludf.DUMMYFUNCTION("""COMPUTED_VALUE"""),"乙女ドルチェ・コミックス")</f>
        <v>乙女ドルチェ・コミックス</v>
      </c>
      <c r="M5182" s="33">
        <f>IFERROR(__xludf.DUMMYFUNCTION("""COMPUTED_VALUE"""),46191.0)</f>
        <v>46191</v>
      </c>
      <c r="N5182" s="33">
        <f>IFERROR(__xludf.DUMMYFUNCTION("""COMPUTED_VALUE"""),46251.0)</f>
        <v>46251</v>
      </c>
      <c r="O5182" s="20" t="str">
        <f>IFERROR(__xludf.DUMMYFUNCTION("""COMPUTED_VALUE"""),"【アダルト作品扱い】")</f>
        <v>【アダルト作品扱い】</v>
      </c>
      <c r="P5182" s="32" t="str">
        <f>IFERROR(__xludf.DUMMYFUNCTION("""COMPUTED_VALUE"""),"可")</f>
        <v>可</v>
      </c>
      <c r="Q5182" s="30"/>
      <c r="R5182" s="22"/>
      <c r="S5182" s="22" t="str">
        <f>IFERROR(__xludf.DUMMYFUNCTION("""COMPUTED_VALUE"""),"20260512_乙女ドルチェ_社長になった初恋幼なじみの執着愛から逃げられません！【分冊版】")</f>
        <v>20260512_乙女ドルチェ_社長になった初恋幼なじみの執着愛から逃げられません！【分冊版】</v>
      </c>
      <c r="T5182" s="22" t="str">
        <f>IFERROR(__xludf.DUMMYFUNCTION("""COMPUTED_VALUE"""),"格納済み")</f>
        <v>格納済み</v>
      </c>
      <c r="U5182" s="9" t="str">
        <f>IFERROR(__xludf.DUMMYFUNCTION("""COMPUTED_VALUE"""),"（C)咲乃寧子・希彗まゆ／ハーパーコリンズ・ジャパン")</f>
        <v>（C)咲乃寧子・希彗まゆ／ハーパーコリンズ・ジャパン</v>
      </c>
      <c r="V5182" s="8"/>
      <c r="W5182" s="8"/>
      <c r="X5182" s="8" t="str">
        <f>IFERROR(__xludf.DUMMYFUNCTION("""COMPUTED_VALUE"""),"有")</f>
        <v>有</v>
      </c>
      <c r="Y5182" s="8" t="str">
        <f>IFERROR(__xludf.DUMMYFUNCTION("""COMPUTED_VALUE"""),"p8まで")</f>
        <v>p8まで</v>
      </c>
      <c r="Z5182" s="7"/>
      <c r="AA5182" s="7"/>
      <c r="AB5182" s="7"/>
    </row>
    <row r="5183" ht="15.75" customHeight="1">
      <c r="A5183" s="26">
        <f>IFERROR(__xludf.DUMMYFUNCTION("""COMPUTED_VALUE"""),7946.0)</f>
        <v>7946</v>
      </c>
      <c r="B5183" s="22" t="str">
        <f>IFERROR(__xludf.DUMMYFUNCTION("""COMPUTED_VALUE"""),"確定")</f>
        <v>確定</v>
      </c>
      <c r="C5183" s="28">
        <f>IFERROR(__xludf.DUMMYFUNCTION("""COMPUTED_VALUE"""),46142.0)</f>
        <v>46142</v>
      </c>
      <c r="D5183" s="28">
        <f>IFERROR(__xludf.DUMMYFUNCTION("""COMPUTED_VALUE"""),46154.0)</f>
        <v>46154</v>
      </c>
      <c r="E5183" s="26">
        <f>IFERROR(__xludf.DUMMYFUNCTION("""COMPUTED_VALUE"""),361694.0)</f>
        <v>361694</v>
      </c>
      <c r="F5183" s="22" t="str">
        <f>IFERROR(__xludf.DUMMYFUNCTION("""COMPUTED_VALUE"""),"【ラブコフレ】素直じゃないにも、ほどがある。 -絶倫同期は経験値0の私に容赦がない-")</f>
        <v>【ラブコフレ】素直じゃないにも、ほどがある。 -絶倫同期は経験値0の私に容赦がない-</v>
      </c>
      <c r="G5183" s="20" t="str">
        <f>IFERROR(__xludf.DUMMYFUNCTION("""COMPUTED_VALUE"""),"1～3")</f>
        <v>1～3</v>
      </c>
      <c r="H5183" s="22" t="str">
        <f>IFERROR(__xludf.DUMMYFUNCTION("""COMPUTED_VALUE"""),"水雲りと")</f>
        <v>水雲りと</v>
      </c>
      <c r="I5183" s="22" t="str">
        <f>IFERROR(__xludf.DUMMYFUNCTION("""COMPUTED_VALUE"""),"TLマンガ")</f>
        <v>TLマンガ</v>
      </c>
      <c r="J5183" s="22"/>
      <c r="K5183" s="22" t="str">
        <f>IFERROR(__xludf.DUMMYFUNCTION("""COMPUTED_VALUE"""),"ラブコフレ")</f>
        <v>ラブコフレ</v>
      </c>
      <c r="L5183" s="22" t="str">
        <f>IFERROR(__xludf.DUMMYFUNCTION("""COMPUTED_VALUE"""),"大誠社")</f>
        <v>大誠社</v>
      </c>
      <c r="M5183" s="33">
        <f>IFERROR(__xludf.DUMMYFUNCTION("""COMPUTED_VALUE"""),46183.0)</f>
        <v>46183</v>
      </c>
      <c r="N5183" s="33">
        <f>IFERROR(__xludf.DUMMYFUNCTION("""COMPUTED_VALUE"""),46295.0)</f>
        <v>46295</v>
      </c>
      <c r="O5183" s="20" t="str">
        <f>IFERROR(__xludf.DUMMYFUNCTION("""COMPUTED_VALUE"""),"【アダルト作品扱い】")</f>
        <v>【アダルト作品扱い】</v>
      </c>
      <c r="P5183" s="32" t="str">
        <f>IFERROR(__xludf.DUMMYFUNCTION("""COMPUTED_VALUE"""),"可")</f>
        <v>可</v>
      </c>
      <c r="Q5183" s="30"/>
      <c r="R5183" s="22"/>
      <c r="S5183" s="22" t="str">
        <f>IFERROR(__xludf.DUMMYFUNCTION("""COMPUTED_VALUE"""),"20260511_大誠社_【ラブコフレ】素直じゃないにも、ほどがある。 -絶倫同期は経験値0の私に容赦がない-")</f>
        <v>20260511_大誠社_【ラブコフレ】素直じゃないにも、ほどがある。 -絶倫同期は経験値0の私に容赦がない-</v>
      </c>
      <c r="T5183" s="22" t="str">
        <f>IFERROR(__xludf.DUMMYFUNCTION("""COMPUTED_VALUE"""),"格納済み")</f>
        <v>格納済み</v>
      </c>
      <c r="U5183" s="9" t="str">
        <f>IFERROR(__xludf.DUMMYFUNCTION("""COMPUTED_VALUE"""),"(C) 水雲りと/大誠社")</f>
        <v>(C) 水雲りと/大誠社</v>
      </c>
      <c r="V5183" s="8"/>
      <c r="W5183" s="8"/>
      <c r="X5183" s="8" t="str">
        <f>IFERROR(__xludf.DUMMYFUNCTION("""COMPUTED_VALUE"""),"有")</f>
        <v>有</v>
      </c>
      <c r="Y5183" s="8" t="str">
        <f>IFERROR(__xludf.DUMMYFUNCTION("""COMPUTED_VALUE"""),"P16まで")</f>
        <v>P16まで</v>
      </c>
      <c r="Z5183" s="7"/>
      <c r="AA5183" s="7"/>
      <c r="AB5183" s="7"/>
    </row>
    <row r="5184" ht="15.75" customHeight="1">
      <c r="A5184" s="26">
        <f>IFERROR(__xludf.DUMMYFUNCTION("""COMPUTED_VALUE"""),7950.0)</f>
        <v>7950</v>
      </c>
      <c r="B5184" s="22" t="str">
        <f>IFERROR(__xludf.DUMMYFUNCTION("""COMPUTED_VALUE"""),"確定")</f>
        <v>確定</v>
      </c>
      <c r="C5184" s="28">
        <f>IFERROR(__xludf.DUMMYFUNCTION("""COMPUTED_VALUE"""),46149.0)</f>
        <v>46149</v>
      </c>
      <c r="D5184" s="28">
        <f>IFERROR(__xludf.DUMMYFUNCTION("""COMPUTED_VALUE"""),46153.0)</f>
        <v>46153</v>
      </c>
      <c r="E5184" s="26">
        <f>IFERROR(__xludf.DUMMYFUNCTION("""COMPUTED_VALUE"""),362692.0)</f>
        <v>362692</v>
      </c>
      <c r="F5184" s="22" t="str">
        <f>IFERROR(__xludf.DUMMYFUNCTION("""COMPUTED_VALUE"""),"彼女だと思っていたらただのセフレでした")</f>
        <v>彼女だと思っていたらただのセフレでした</v>
      </c>
      <c r="G5184" s="20" t="str">
        <f>IFERROR(__xludf.DUMMYFUNCTION("""COMPUTED_VALUE"""),"1～3")</f>
        <v>1～3</v>
      </c>
      <c r="H5184" s="22" t="str">
        <f>IFERROR(__xludf.DUMMYFUNCTION("""COMPUTED_VALUE"""),"村井あぢみ")</f>
        <v>村井あぢみ</v>
      </c>
      <c r="I5184" s="22" t="str">
        <f>IFERROR(__xludf.DUMMYFUNCTION("""COMPUTED_VALUE"""),"アダルトマンガ")</f>
        <v>アダルトマンガ</v>
      </c>
      <c r="J5184" s="22"/>
      <c r="K5184" s="22"/>
      <c r="L5184" s="22" t="str">
        <f>IFERROR(__xludf.DUMMYFUNCTION("""COMPUTED_VALUE"""),"セ・キララ文庫")</f>
        <v>セ・キララ文庫</v>
      </c>
      <c r="M5184" s="33">
        <f>IFERROR(__xludf.DUMMYFUNCTION("""COMPUTED_VALUE"""),46198.0)</f>
        <v>46198</v>
      </c>
      <c r="N5184" s="33">
        <f>IFERROR(__xludf.DUMMYFUNCTION("""COMPUTED_VALUE"""),46258.0)</f>
        <v>46258</v>
      </c>
      <c r="O5184" s="20"/>
      <c r="P5184" s="32" t="str">
        <f>IFERROR(__xludf.DUMMYFUNCTION("""COMPUTED_VALUE"""),"可")</f>
        <v>可</v>
      </c>
      <c r="Q5184" s="30"/>
      <c r="R5184" s="22"/>
      <c r="S5184" s="22" t="str">
        <f>IFERROR(__xludf.DUMMYFUNCTION("""COMPUTED_VALUE"""),"20260507_ライドオン_彼女だと思っていたらただのセフレでした")</f>
        <v>20260507_ライドオン_彼女だと思っていたらただのセフレでした</v>
      </c>
      <c r="T5184" s="22" t="str">
        <f>IFERROR(__xludf.DUMMYFUNCTION("""COMPUTED_VALUE"""),"格納済み")</f>
        <v>格納済み</v>
      </c>
      <c r="U5184" s="9" t="str">
        <f>IFERROR(__xludf.DUMMYFUNCTION("""COMPUTED_VALUE"""),"Ⓒ村井あぢみ/セ・キララ文庫")</f>
        <v>Ⓒ村井あぢみ/セ・キララ文庫</v>
      </c>
      <c r="V5184" s="8"/>
      <c r="W5184" s="8"/>
      <c r="X5184" s="8" t="str">
        <f>IFERROR(__xludf.DUMMYFUNCTION("""COMPUTED_VALUE"""),"有")</f>
        <v>有</v>
      </c>
      <c r="Y5184" s="8" t="str">
        <f>IFERROR(__xludf.DUMMYFUNCTION("""COMPUTED_VALUE"""),"p10まで")</f>
        <v>p10まで</v>
      </c>
      <c r="Z5184" s="7"/>
      <c r="AA5184" s="7"/>
      <c r="AB5184" s="7"/>
    </row>
    <row r="5185" ht="15.75" customHeight="1">
      <c r="A5185" s="26">
        <f>IFERROR(__xludf.DUMMYFUNCTION("""COMPUTED_VALUE"""),7951.0)</f>
        <v>7951</v>
      </c>
      <c r="B5185" s="22" t="str">
        <f>IFERROR(__xludf.DUMMYFUNCTION("""COMPUTED_VALUE"""),"確定")</f>
        <v>確定</v>
      </c>
      <c r="C5185" s="28">
        <f>IFERROR(__xludf.DUMMYFUNCTION("""COMPUTED_VALUE"""),46149.0)</f>
        <v>46149</v>
      </c>
      <c r="D5185" s="28">
        <f>IFERROR(__xludf.DUMMYFUNCTION("""COMPUTED_VALUE"""),46153.0)</f>
        <v>46153</v>
      </c>
      <c r="E5185" s="26">
        <f>IFERROR(__xludf.DUMMYFUNCTION("""COMPUTED_VALUE"""),362691.0)</f>
        <v>362691</v>
      </c>
      <c r="F5185" s="22" t="str">
        <f>IFERROR(__xludf.DUMMYFUNCTION("""COMPUTED_VALUE"""),"欲求不満の人妻は性感リフレで秘密の性活（フルカラー）")</f>
        <v>欲求不満の人妻は性感リフレで秘密の性活（フルカラー）</v>
      </c>
      <c r="G5185" s="20" t="str">
        <f>IFERROR(__xludf.DUMMYFUNCTION("""COMPUTED_VALUE"""),"1～3")</f>
        <v>1～3</v>
      </c>
      <c r="H5185" s="22" t="str">
        <f>IFERROR(__xludf.DUMMYFUNCTION("""COMPUTED_VALUE"""),"なしを。")</f>
        <v>なしを。</v>
      </c>
      <c r="I5185" s="22" t="str">
        <f>IFERROR(__xludf.DUMMYFUNCTION("""COMPUTED_VALUE"""),"アダルトマンガ")</f>
        <v>アダルトマンガ</v>
      </c>
      <c r="J5185" s="22"/>
      <c r="K5185" s="22"/>
      <c r="L5185" s="22" t="str">
        <f>IFERROR(__xludf.DUMMYFUNCTION("""COMPUTED_VALUE"""),"セ・キララ文庫")</f>
        <v>セ・キララ文庫</v>
      </c>
      <c r="M5185" s="33">
        <f>IFERROR(__xludf.DUMMYFUNCTION("""COMPUTED_VALUE"""),46198.0)</f>
        <v>46198</v>
      </c>
      <c r="N5185" s="33">
        <f>IFERROR(__xludf.DUMMYFUNCTION("""COMPUTED_VALUE"""),46258.0)</f>
        <v>46258</v>
      </c>
      <c r="O5185" s="20"/>
      <c r="P5185" s="32" t="str">
        <f>IFERROR(__xludf.DUMMYFUNCTION("""COMPUTED_VALUE"""),"可")</f>
        <v>可</v>
      </c>
      <c r="Q5185" s="30"/>
      <c r="R5185" s="22"/>
      <c r="S5185" s="22" t="str">
        <f>IFERROR(__xludf.DUMMYFUNCTION("""COMPUTED_VALUE"""),"20260507_ライドオン_欲求不満の人妻は性感リフレで秘密の性活（フルカラー）")</f>
        <v>20260507_ライドオン_欲求不満の人妻は性感リフレで秘密の性活（フルカラー）</v>
      </c>
      <c r="T5185" s="22" t="str">
        <f>IFERROR(__xludf.DUMMYFUNCTION("""COMPUTED_VALUE"""),"格納済み")</f>
        <v>格納済み</v>
      </c>
      <c r="U5185" s="9" t="str">
        <f>IFERROR(__xludf.DUMMYFUNCTION("""COMPUTED_VALUE"""),"Ⓒなしを。/セ・キララ文庫")</f>
        <v>Ⓒなしを。/セ・キララ文庫</v>
      </c>
      <c r="V5185" s="8"/>
      <c r="W5185" s="8"/>
      <c r="X5185" s="8" t="str">
        <f>IFERROR(__xludf.DUMMYFUNCTION("""COMPUTED_VALUE"""),"有")</f>
        <v>有</v>
      </c>
      <c r="Y5185" s="8" t="str">
        <f>IFERROR(__xludf.DUMMYFUNCTION("""COMPUTED_VALUE"""),"p11まで")</f>
        <v>p11まで</v>
      </c>
      <c r="Z5185" s="7"/>
      <c r="AA5185" s="7"/>
      <c r="AB5185" s="7"/>
    </row>
    <row r="5186" ht="15.75" customHeight="1">
      <c r="A5186" s="26">
        <f>IFERROR(__xludf.DUMMYFUNCTION("""COMPUTED_VALUE"""),7952.0)</f>
        <v>7952</v>
      </c>
      <c r="B5186" s="22" t="str">
        <f>IFERROR(__xludf.DUMMYFUNCTION("""COMPUTED_VALUE"""),"確定")</f>
        <v>確定</v>
      </c>
      <c r="C5186" s="28">
        <f>IFERROR(__xludf.DUMMYFUNCTION("""COMPUTED_VALUE"""),46149.0)</f>
        <v>46149</v>
      </c>
      <c r="D5186" s="28">
        <f>IFERROR(__xludf.DUMMYFUNCTION("""COMPUTED_VALUE"""),46153.0)</f>
        <v>46153</v>
      </c>
      <c r="E5186" s="26">
        <f>IFERROR(__xludf.DUMMYFUNCTION("""COMPUTED_VALUE"""),362690.0)</f>
        <v>362690</v>
      </c>
      <c r="F5186" s="22" t="str">
        <f>IFERROR(__xludf.DUMMYFUNCTION("""COMPUTED_VALUE"""),"上級国民の妻に種付けする方法")</f>
        <v>上級国民の妻に種付けする方法</v>
      </c>
      <c r="G5186" s="20" t="str">
        <f>IFERROR(__xludf.DUMMYFUNCTION("""COMPUTED_VALUE"""),"1～3")</f>
        <v>1～3</v>
      </c>
      <c r="H5186" s="22" t="str">
        <f>IFERROR(__xludf.DUMMYFUNCTION("""COMPUTED_VALUE"""),"有機リンゴ")</f>
        <v>有機リンゴ</v>
      </c>
      <c r="I5186" s="22" t="str">
        <f>IFERROR(__xludf.DUMMYFUNCTION("""COMPUTED_VALUE"""),"アダルトマンガ")</f>
        <v>アダルトマンガ</v>
      </c>
      <c r="J5186" s="22"/>
      <c r="K5186" s="22"/>
      <c r="L5186" s="22" t="str">
        <f>IFERROR(__xludf.DUMMYFUNCTION("""COMPUTED_VALUE"""),"セ・キララ文庫")</f>
        <v>セ・キララ文庫</v>
      </c>
      <c r="M5186" s="33">
        <f>IFERROR(__xludf.DUMMYFUNCTION("""COMPUTED_VALUE"""),46198.0)</f>
        <v>46198</v>
      </c>
      <c r="N5186" s="33">
        <f>IFERROR(__xludf.DUMMYFUNCTION("""COMPUTED_VALUE"""),46258.0)</f>
        <v>46258</v>
      </c>
      <c r="O5186" s="20"/>
      <c r="P5186" s="32" t="str">
        <f>IFERROR(__xludf.DUMMYFUNCTION("""COMPUTED_VALUE"""),"可")</f>
        <v>可</v>
      </c>
      <c r="Q5186" s="30"/>
      <c r="R5186" s="22"/>
      <c r="S5186" s="22" t="str">
        <f>IFERROR(__xludf.DUMMYFUNCTION("""COMPUTED_VALUE"""),"20260507_ライドオン_上級国民の妻に種付けする方法")</f>
        <v>20260507_ライドオン_上級国民の妻に種付けする方法</v>
      </c>
      <c r="T5186" s="22" t="str">
        <f>IFERROR(__xludf.DUMMYFUNCTION("""COMPUTED_VALUE"""),"格納済み")</f>
        <v>格納済み</v>
      </c>
      <c r="U5186" s="9" t="str">
        <f>IFERROR(__xludf.DUMMYFUNCTION("""COMPUTED_VALUE"""),"Ⓒ有機リンゴ/セ・キララ文庫")</f>
        <v>Ⓒ有機リンゴ/セ・キララ文庫</v>
      </c>
      <c r="V5186" s="8"/>
      <c r="W5186" s="8"/>
      <c r="X5186" s="8" t="str">
        <f>IFERROR(__xludf.DUMMYFUNCTION("""COMPUTED_VALUE"""),"有")</f>
        <v>有</v>
      </c>
      <c r="Y5186" s="8" t="str">
        <f>IFERROR(__xludf.DUMMYFUNCTION("""COMPUTED_VALUE"""),"2026/8/24まで1巻無料")</f>
        <v>2026/8/24まで1巻無料</v>
      </c>
      <c r="Z5186" s="7"/>
      <c r="AA5186" s="7"/>
      <c r="AB5186" s="7"/>
    </row>
    <row r="5187" ht="15.75" customHeight="1">
      <c r="A5187" s="26">
        <f>IFERROR(__xludf.DUMMYFUNCTION("""COMPUTED_VALUE"""),7953.0)</f>
        <v>7953</v>
      </c>
      <c r="B5187" s="22" t="str">
        <f>IFERROR(__xludf.DUMMYFUNCTION("""COMPUTED_VALUE"""),"確定")</f>
        <v>確定</v>
      </c>
      <c r="C5187" s="28">
        <f>IFERROR(__xludf.DUMMYFUNCTION("""COMPUTED_VALUE"""),46149.0)</f>
        <v>46149</v>
      </c>
      <c r="D5187" s="28">
        <f>IFERROR(__xludf.DUMMYFUNCTION("""COMPUTED_VALUE"""),46153.0)</f>
        <v>46153</v>
      </c>
      <c r="E5187" s="26">
        <f>IFERROR(__xludf.DUMMYFUNCTION("""COMPUTED_VALUE"""),362688.0)</f>
        <v>362688</v>
      </c>
      <c r="F5187" s="22" t="str">
        <f>IFERROR(__xludf.DUMMYFUNCTION("""COMPUTED_VALUE"""),"おまえのかーちゃん、オナホ！")</f>
        <v>おまえのかーちゃん、オナホ！</v>
      </c>
      <c r="G5187" s="20" t="str">
        <f>IFERROR(__xludf.DUMMYFUNCTION("""COMPUTED_VALUE"""),"1～2")</f>
        <v>1～2</v>
      </c>
      <c r="H5187" s="22" t="str">
        <f>IFERROR(__xludf.DUMMYFUNCTION("""COMPUTED_VALUE"""),"仔じら園")</f>
        <v>仔じら園</v>
      </c>
      <c r="I5187" s="22" t="str">
        <f>IFERROR(__xludf.DUMMYFUNCTION("""COMPUTED_VALUE"""),"アダルトマンガ")</f>
        <v>アダルトマンガ</v>
      </c>
      <c r="J5187" s="22"/>
      <c r="K5187" s="22"/>
      <c r="L5187" s="22" t="str">
        <f>IFERROR(__xludf.DUMMYFUNCTION("""COMPUTED_VALUE"""),"セ・キララ文庫")</f>
        <v>セ・キララ文庫</v>
      </c>
      <c r="M5187" s="33">
        <f>IFERROR(__xludf.DUMMYFUNCTION("""COMPUTED_VALUE"""),46198.0)</f>
        <v>46198</v>
      </c>
      <c r="N5187" s="33">
        <f>IFERROR(__xludf.DUMMYFUNCTION("""COMPUTED_VALUE"""),46258.0)</f>
        <v>46258</v>
      </c>
      <c r="O5187" s="20"/>
      <c r="P5187" s="32" t="str">
        <f>IFERROR(__xludf.DUMMYFUNCTION("""COMPUTED_VALUE"""),"可")</f>
        <v>可</v>
      </c>
      <c r="Q5187" s="30"/>
      <c r="R5187" s="22"/>
      <c r="S5187" s="22" t="str">
        <f>IFERROR(__xludf.DUMMYFUNCTION("""COMPUTED_VALUE"""),"20260507_ライドオン_おまえのかーちゃん、オナホ！")</f>
        <v>20260507_ライドオン_おまえのかーちゃん、オナホ！</v>
      </c>
      <c r="T5187" s="22" t="str">
        <f>IFERROR(__xludf.DUMMYFUNCTION("""COMPUTED_VALUE"""),"格納済み")</f>
        <v>格納済み</v>
      </c>
      <c r="U5187" s="9" t="str">
        <f>IFERROR(__xludf.DUMMYFUNCTION("""COMPUTED_VALUE"""),"Ⓒ仔じら園/セ・キララ文庫")</f>
        <v>Ⓒ仔じら園/セ・キララ文庫</v>
      </c>
      <c r="V5187" s="8"/>
      <c r="W5187" s="8"/>
      <c r="X5187" s="8" t="str">
        <f>IFERROR(__xludf.DUMMYFUNCTION("""COMPUTED_VALUE"""),"有")</f>
        <v>有</v>
      </c>
      <c r="Y5187" s="8" t="str">
        <f>IFERROR(__xludf.DUMMYFUNCTION("""COMPUTED_VALUE"""),"p９まで")</f>
        <v>p９まで</v>
      </c>
      <c r="Z5187" s="7"/>
      <c r="AA5187" s="7"/>
      <c r="AB5187" s="7"/>
    </row>
    <row r="5188" ht="15.75" customHeight="1">
      <c r="A5188" s="26">
        <f>IFERROR(__xludf.DUMMYFUNCTION("""COMPUTED_VALUE"""),7954.0)</f>
        <v>7954</v>
      </c>
      <c r="B5188" s="22" t="str">
        <f>IFERROR(__xludf.DUMMYFUNCTION("""COMPUTED_VALUE"""),"確定")</f>
        <v>確定</v>
      </c>
      <c r="C5188" s="28">
        <f>IFERROR(__xludf.DUMMYFUNCTION("""COMPUTED_VALUE"""),46149.0)</f>
        <v>46149</v>
      </c>
      <c r="D5188" s="28">
        <f>IFERROR(__xludf.DUMMYFUNCTION("""COMPUTED_VALUE"""),46153.0)</f>
        <v>46153</v>
      </c>
      <c r="E5188" s="26">
        <f>IFERROR(__xludf.DUMMYFUNCTION("""COMPUTED_VALUE"""),362687.0)</f>
        <v>362687</v>
      </c>
      <c r="F5188" s="22" t="str">
        <f>IFERROR(__xludf.DUMMYFUNCTION("""COMPUTED_VALUE"""),"俺の彼女のめいちゃんが俺だけの彼女じゃなくなってしまった日")</f>
        <v>俺の彼女のめいちゃんが俺だけの彼女じゃなくなってしまった日</v>
      </c>
      <c r="G5188" s="20" t="str">
        <f>IFERROR(__xludf.DUMMYFUNCTION("""COMPUTED_VALUE"""),"1～3")</f>
        <v>1～3</v>
      </c>
      <c r="H5188" s="22" t="str">
        <f>IFERROR(__xludf.DUMMYFUNCTION("""COMPUTED_VALUE"""),"あこ助")</f>
        <v>あこ助</v>
      </c>
      <c r="I5188" s="22" t="str">
        <f>IFERROR(__xludf.DUMMYFUNCTION("""COMPUTED_VALUE"""),"アダルトマンガ")</f>
        <v>アダルトマンガ</v>
      </c>
      <c r="J5188" s="22"/>
      <c r="K5188" s="22"/>
      <c r="L5188" s="22" t="str">
        <f>IFERROR(__xludf.DUMMYFUNCTION("""COMPUTED_VALUE"""),"セ・キララ文庫")</f>
        <v>セ・キララ文庫</v>
      </c>
      <c r="M5188" s="33">
        <f>IFERROR(__xludf.DUMMYFUNCTION("""COMPUTED_VALUE"""),46198.0)</f>
        <v>46198</v>
      </c>
      <c r="N5188" s="33">
        <f>IFERROR(__xludf.DUMMYFUNCTION("""COMPUTED_VALUE"""),46258.0)</f>
        <v>46258</v>
      </c>
      <c r="O5188" s="20"/>
      <c r="P5188" s="32" t="str">
        <f>IFERROR(__xludf.DUMMYFUNCTION("""COMPUTED_VALUE"""),"可")</f>
        <v>可</v>
      </c>
      <c r="Q5188" s="30"/>
      <c r="R5188" s="22"/>
      <c r="S5188" s="22" t="str">
        <f>IFERROR(__xludf.DUMMYFUNCTION("""COMPUTED_VALUE"""),"20260507_ライドオン_俺の彼女のめいちゃんが俺だけの彼女じゃなくなってしまった日")</f>
        <v>20260507_ライドオン_俺の彼女のめいちゃんが俺だけの彼女じゃなくなってしまった日</v>
      </c>
      <c r="T5188" s="22" t="str">
        <f>IFERROR(__xludf.DUMMYFUNCTION("""COMPUTED_VALUE"""),"格納済み")</f>
        <v>格納済み</v>
      </c>
      <c r="U5188" s="9" t="str">
        <f>IFERROR(__xludf.DUMMYFUNCTION("""COMPUTED_VALUE"""),"Ⓒあこ助/セ・キララ文庫")</f>
        <v>Ⓒあこ助/セ・キララ文庫</v>
      </c>
      <c r="V5188" s="8"/>
      <c r="W5188" s="8"/>
      <c r="X5188" s="8" t="str">
        <f>IFERROR(__xludf.DUMMYFUNCTION("""COMPUTED_VALUE"""),"有")</f>
        <v>有</v>
      </c>
      <c r="Y5188" s="8" t="str">
        <f>IFERROR(__xludf.DUMMYFUNCTION("""COMPUTED_VALUE"""),"2026/8/24まで1巻無料")</f>
        <v>2026/8/24まで1巻無料</v>
      </c>
      <c r="Z5188" s="7"/>
      <c r="AA5188" s="7"/>
      <c r="AB5188" s="7"/>
    </row>
    <row r="5189" ht="15.75" customHeight="1">
      <c r="A5189" s="26">
        <f>IFERROR(__xludf.DUMMYFUNCTION("""COMPUTED_VALUE"""),7955.0)</f>
        <v>7955</v>
      </c>
      <c r="B5189" s="22" t="str">
        <f>IFERROR(__xludf.DUMMYFUNCTION("""COMPUTED_VALUE"""),"確定")</f>
        <v>確定</v>
      </c>
      <c r="C5189" s="28">
        <f>IFERROR(__xludf.DUMMYFUNCTION("""COMPUTED_VALUE"""),46149.0)</f>
        <v>46149</v>
      </c>
      <c r="D5189" s="28">
        <f>IFERROR(__xludf.DUMMYFUNCTION("""COMPUTED_VALUE"""),46154.0)</f>
        <v>46154</v>
      </c>
      <c r="E5189" s="26">
        <f>IFERROR(__xludf.DUMMYFUNCTION("""COMPUTED_VALUE"""),359477.0)</f>
        <v>359477</v>
      </c>
      <c r="F5189" s="22" t="str">
        <f>IFERROR(__xludf.DUMMYFUNCTION("""COMPUTED_VALUE"""),"愛されないので、旦那様は「推し」にします")</f>
        <v>愛されないので、旦那様は「推し」にします</v>
      </c>
      <c r="G5189" s="20" t="str">
        <f>IFERROR(__xludf.DUMMYFUNCTION("""COMPUTED_VALUE"""),"1~5")</f>
        <v>1~5</v>
      </c>
      <c r="H5189" s="22" t="str">
        <f>IFERROR(__xludf.DUMMYFUNCTION("""COMPUTED_VALUE"""),"真臣レオン")</f>
        <v>真臣レオン</v>
      </c>
      <c r="I5189" s="22" t="str">
        <f>IFERROR(__xludf.DUMMYFUNCTION("""COMPUTED_VALUE"""),"少女マンガ")</f>
        <v>少女マンガ</v>
      </c>
      <c r="J5189" s="22"/>
      <c r="K5189" s="22"/>
      <c r="L5189" s="22" t="str">
        <f>IFERROR(__xludf.DUMMYFUNCTION("""COMPUTED_VALUE"""),"ウェイブ")</f>
        <v>ウェイブ</v>
      </c>
      <c r="M5189" s="33">
        <f>IFERROR(__xludf.DUMMYFUNCTION("""COMPUTED_VALUE"""),46164.0)</f>
        <v>46164</v>
      </c>
      <c r="N5189" s="33">
        <f>IFERROR(__xludf.DUMMYFUNCTION("""COMPUTED_VALUE"""),46255.0)</f>
        <v>46255</v>
      </c>
      <c r="O5189" s="20"/>
      <c r="P5189" s="32" t="str">
        <f>IFERROR(__xludf.DUMMYFUNCTION("""COMPUTED_VALUE"""),"可")</f>
        <v>可</v>
      </c>
      <c r="Q5189" s="30" t="str">
        <f>IFERROR(__xludf.DUMMYFUNCTION("""COMPUTED_VALUE"""),"ComicFestaで1～4巻まで先行配信中の作品ですが、&lt;BR&gt;5/22配信の5巻目から、シーモアと同時先行(配信巻数同じ）で配信になります")</f>
        <v>ComicFestaで1～4巻まで先行配信中の作品ですが、&lt;BR&gt;5/22配信の5巻目から、シーモアと同時先行(配信巻数同じ）で配信になります</v>
      </c>
      <c r="R5189" s="22"/>
      <c r="S5189" s="22" t="str">
        <f>IFERROR(__xludf.DUMMYFUNCTION("""COMPUTED_VALUE"""),"20260507_ウェイブ_愛されないので、旦那様は「推し」にします")</f>
        <v>20260507_ウェイブ_愛されないので、旦那様は「推し」にします</v>
      </c>
      <c r="T5189" s="22" t="str">
        <f>IFERROR(__xludf.DUMMYFUNCTION("""COMPUTED_VALUE"""),"格納済み")</f>
        <v>格納済み</v>
      </c>
      <c r="U5189" s="9" t="str">
        <f>IFERROR(__xludf.DUMMYFUNCTION("""COMPUTED_VALUE"""),"Ⓒ真臣レオン／wwwave comics")</f>
        <v>Ⓒ真臣レオン／wwwave comics</v>
      </c>
      <c r="V5189" s="8"/>
      <c r="W5189" s="8"/>
      <c r="X5189" s="8" t="str">
        <f>IFERROR(__xludf.DUMMYFUNCTION("""COMPUTED_VALUE"""),"有")</f>
        <v>有</v>
      </c>
      <c r="Y5189" s="8" t="str">
        <f>IFERROR(__xludf.DUMMYFUNCTION("""COMPUTED_VALUE"""),"2026/6/4まで1巻無料")</f>
        <v>2026/6/4まで1巻無料</v>
      </c>
      <c r="Z5189" s="7"/>
      <c r="AA5189" s="7"/>
      <c r="AB5189" s="7"/>
    </row>
    <row r="5190" ht="15.75" customHeight="1">
      <c r="A5190" s="26">
        <f>IFERROR(__xludf.DUMMYFUNCTION("""COMPUTED_VALUE"""),7956.0)</f>
        <v>7956</v>
      </c>
      <c r="B5190" s="22" t="str">
        <f>IFERROR(__xludf.DUMMYFUNCTION("""COMPUTED_VALUE"""),"確定")</f>
        <v>確定</v>
      </c>
      <c r="C5190" s="28">
        <f>IFERROR(__xludf.DUMMYFUNCTION("""COMPUTED_VALUE"""),46149.0)</f>
        <v>46149</v>
      </c>
      <c r="D5190" s="28">
        <f>IFERROR(__xludf.DUMMYFUNCTION("""COMPUTED_VALUE"""),46153.0)</f>
        <v>46153</v>
      </c>
      <c r="E5190" s="26">
        <f>IFERROR(__xludf.DUMMYFUNCTION("""COMPUTED_VALUE"""),361466.0)</f>
        <v>361466</v>
      </c>
      <c r="F5190" s="22" t="str">
        <f>IFERROR(__xludf.DUMMYFUNCTION("""COMPUTED_VALUE"""),"うちの夫が最悪なので")</f>
        <v>うちの夫が最悪なので</v>
      </c>
      <c r="G5190" s="20" t="str">
        <f>IFERROR(__xludf.DUMMYFUNCTION("""COMPUTED_VALUE"""),"1~4")</f>
        <v>1~4</v>
      </c>
      <c r="H5190" s="22" t="str">
        <f>IFERROR(__xludf.DUMMYFUNCTION("""COMPUTED_VALUE"""),"柊みずか 綾瀬なつ")</f>
        <v>柊みずか 綾瀬なつ</v>
      </c>
      <c r="I5190" s="22" t="str">
        <f>IFERROR(__xludf.DUMMYFUNCTION("""COMPUTED_VALUE"""),"女性")</f>
        <v>女性</v>
      </c>
      <c r="J5190" s="22"/>
      <c r="K5190" s="22"/>
      <c r="L5190" s="22" t="str">
        <f>IFERROR(__xludf.DUMMYFUNCTION("""COMPUTED_VALUE"""),"ファンギルド")</f>
        <v>ファンギルド</v>
      </c>
      <c r="M5190" s="33">
        <f>IFERROR(__xludf.DUMMYFUNCTION("""COMPUTED_VALUE"""),46183.0)</f>
        <v>46183</v>
      </c>
      <c r="N5190" s="33">
        <f>IFERROR(__xludf.DUMMYFUNCTION("""COMPUTED_VALUE"""),46287.66666666667)</f>
        <v>46287.66667</v>
      </c>
      <c r="O5190" s="20"/>
      <c r="P5190" s="32" t="str">
        <f>IFERROR(__xludf.DUMMYFUNCTION("""COMPUTED_VALUE"""),"可")</f>
        <v>可</v>
      </c>
      <c r="Q5190" s="30"/>
      <c r="R5190" s="22"/>
      <c r="S5190" s="22" t="str">
        <f>IFERROR(__xludf.DUMMYFUNCTION("""COMPUTED_VALUE"""),"20260507_ファンギルド_うちの夫が最悪なので")</f>
        <v>20260507_ファンギルド_うちの夫が最悪なので</v>
      </c>
      <c r="T5190" s="22" t="str">
        <f>IFERROR(__xludf.DUMMYFUNCTION("""COMPUTED_VALUE"""),"格納済み")</f>
        <v>格納済み</v>
      </c>
      <c r="U5190" s="9" t="str">
        <f>IFERROR(__xludf.DUMMYFUNCTION("""COMPUTED_VALUE"""),"Ⓒ柊みずか/綾瀬なつ/ファンギルド")</f>
        <v>Ⓒ柊みずか/綾瀬なつ/ファンギルド</v>
      </c>
      <c r="V5190" s="8"/>
      <c r="W5190" s="8"/>
      <c r="X5190" s="8" t="str">
        <f>IFERROR(__xludf.DUMMYFUNCTION("""COMPUTED_VALUE"""),"有")</f>
        <v>有</v>
      </c>
      <c r="Y5190" s="8" t="str">
        <f>IFERROR(__xludf.DUMMYFUNCTION("""COMPUTED_VALUE"""),"2026/7/7まで1巻無料")</f>
        <v>2026/7/7まで1巻無料</v>
      </c>
      <c r="Z5190" s="7"/>
      <c r="AA5190" s="7"/>
      <c r="AB5190" s="7"/>
    </row>
    <row r="5191" ht="15.75" customHeight="1">
      <c r="A5191" s="26">
        <f>IFERROR(__xludf.DUMMYFUNCTION("""COMPUTED_VALUE"""),7957.0)</f>
        <v>7957</v>
      </c>
      <c r="B5191" s="22" t="str">
        <f>IFERROR(__xludf.DUMMYFUNCTION("""COMPUTED_VALUE"""),"確定")</f>
        <v>確定</v>
      </c>
      <c r="C5191" s="28">
        <f>IFERROR(__xludf.DUMMYFUNCTION("""COMPUTED_VALUE"""),46149.0)</f>
        <v>46149</v>
      </c>
      <c r="D5191" s="28">
        <f>IFERROR(__xludf.DUMMYFUNCTION("""COMPUTED_VALUE"""),46153.0)</f>
        <v>46153</v>
      </c>
      <c r="E5191" s="26">
        <f>IFERROR(__xludf.DUMMYFUNCTION("""COMPUTED_VALUE"""),364767.0)</f>
        <v>364767</v>
      </c>
      <c r="F5191" s="22" t="str">
        <f>IFERROR(__xludf.DUMMYFUNCTION("""COMPUTED_VALUE"""),"【単話】そして、あなたは私を捨てる 死に戻り令嬢は竜の王子の執着を知らない")</f>
        <v>【単話】そして、あなたは私を捨てる 死に戻り令嬢は竜の王子の執着を知らない</v>
      </c>
      <c r="G5191" s="20" t="str">
        <f>IFERROR(__xludf.DUMMYFUNCTION("""COMPUTED_VALUE"""),"1~5")</f>
        <v>1~5</v>
      </c>
      <c r="H5191" s="22" t="str">
        <f>IFERROR(__xludf.DUMMYFUNCTION("""COMPUTED_VALUE"""),"漫画：しゅりお、原作：柏　みなみ、キャラクター原案：狂ｚｉｐ")</f>
        <v>漫画：しゅりお、原作：柏　みなみ、キャラクター原案：狂ｚｉｐ</v>
      </c>
      <c r="I5191" s="22" t="str">
        <f>IFERROR(__xludf.DUMMYFUNCTION("""COMPUTED_VALUE"""),"少女マンガ")</f>
        <v>少女マンガ</v>
      </c>
      <c r="J5191" s="22"/>
      <c r="K5191" s="22"/>
      <c r="L5191" s="22" t="str">
        <f>IFERROR(__xludf.DUMMYFUNCTION("""COMPUTED_VALUE"""),"KADOKAWA")</f>
        <v>KADOKAWA</v>
      </c>
      <c r="M5191" s="33">
        <f>IFERROR(__xludf.DUMMYFUNCTION("""COMPUTED_VALUE"""),46207.0)</f>
        <v>46207</v>
      </c>
      <c r="N5191" s="33">
        <f>IFERROR(__xludf.DUMMYFUNCTION("""COMPUTED_VALUE"""),46724.0)</f>
        <v>46724</v>
      </c>
      <c r="O5191" s="20"/>
      <c r="P5191" s="32" t="str">
        <f>IFERROR(__xludf.DUMMYFUNCTION("""COMPUTED_VALUE"""),"否")</f>
        <v>否</v>
      </c>
      <c r="Q5191" s="30"/>
      <c r="R5191" s="22"/>
      <c r="S5191" s="22" t="str">
        <f>IFERROR(__xludf.DUMMYFUNCTION("""COMPUTED_VALUE"""),"20260507_KADOKAWA協業_【単話】そして、あなたは私を捨てる")</f>
        <v>20260507_KADOKAWA協業_【単話】そして、あなたは私を捨てる</v>
      </c>
      <c r="T5191" s="22" t="str">
        <f>IFERROR(__xludf.DUMMYFUNCTION("""COMPUTED_VALUE"""),"格納済み")</f>
        <v>格納済み</v>
      </c>
      <c r="U5191" s="9" t="str">
        <f>IFERROR(__xludf.DUMMYFUNCTION("""COMPUTED_VALUE"""),"(C)syurio (C)Minami Kashiwa, Kyozip")</f>
        <v>(C)syurio (C)Minami Kashiwa, Kyozip</v>
      </c>
      <c r="V5191" s="8"/>
      <c r="W5191" s="8"/>
      <c r="X5191" s="8" t="str">
        <f>IFERROR(__xludf.DUMMYFUNCTION("""COMPUTED_VALUE"""),"有")</f>
        <v>有</v>
      </c>
      <c r="Y5191" s="8" t="str">
        <f>IFERROR(__xludf.DUMMYFUNCTION("""COMPUTED_VALUE"""),"2026/7/16まで1巻無料")</f>
        <v>2026/7/16まで1巻無料</v>
      </c>
      <c r="Z5191" s="7"/>
      <c r="AA5191" s="7"/>
      <c r="AB5191" s="7"/>
    </row>
    <row r="5192" ht="15.75" customHeight="1">
      <c r="A5192" s="26">
        <f>IFERROR(__xludf.DUMMYFUNCTION("""COMPUTED_VALUE"""),7958.0)</f>
        <v>7958</v>
      </c>
      <c r="B5192" s="22" t="str">
        <f>IFERROR(__xludf.DUMMYFUNCTION("""COMPUTED_VALUE"""),"確定")</f>
        <v>確定</v>
      </c>
      <c r="C5192" s="28">
        <f>IFERROR(__xludf.DUMMYFUNCTION("""COMPUTED_VALUE"""),46149.0)</f>
        <v>46149</v>
      </c>
      <c r="D5192" s="28">
        <f>IFERROR(__xludf.DUMMYFUNCTION("""COMPUTED_VALUE"""),46153.0)</f>
        <v>46153</v>
      </c>
      <c r="E5192" s="26">
        <f>IFERROR(__xludf.DUMMYFUNCTION("""COMPUTED_VALUE"""),362730.0)</f>
        <v>362730</v>
      </c>
      <c r="F5192" s="22" t="str">
        <f>IFERROR(__xludf.DUMMYFUNCTION("""COMPUTED_VALUE"""),"夫の幸せを願って離縁を告げたら、なぜか引きとめられました")</f>
        <v>夫の幸せを願って離縁を告げたら、なぜか引きとめられました</v>
      </c>
      <c r="G5192" s="20">
        <f>IFERROR(__xludf.DUMMYFUNCTION("""COMPUTED_VALUE"""),1.0)</f>
        <v>1</v>
      </c>
      <c r="H5192" s="22" t="str">
        <f>IFERROR(__xludf.DUMMYFUNCTION("""COMPUTED_VALUE"""),"ゆにしま獏/ゼン")</f>
        <v>ゆにしま獏/ゼン</v>
      </c>
      <c r="I5192" s="22" t="str">
        <f>IFERROR(__xludf.DUMMYFUNCTION("""COMPUTED_VALUE"""),"少女")</f>
        <v>少女</v>
      </c>
      <c r="J5192" s="22"/>
      <c r="K5192" s="22"/>
      <c r="L5192" s="22" t="str">
        <f>IFERROR(__xludf.DUMMYFUNCTION("""COMPUTED_VALUE"""),"ファンギルド")</f>
        <v>ファンギルド</v>
      </c>
      <c r="M5192" s="33">
        <f>IFERROR(__xludf.DUMMYFUNCTION("""COMPUTED_VALUE"""),46219.0)</f>
        <v>46219</v>
      </c>
      <c r="N5192" s="33">
        <f>IFERROR(__xludf.DUMMYFUNCTION("""COMPUTED_VALUE"""),46253.0)</f>
        <v>46253</v>
      </c>
      <c r="O5192" s="20"/>
      <c r="P5192" s="32" t="str">
        <f>IFERROR(__xludf.DUMMYFUNCTION("""COMPUTED_VALUE"""),"可")</f>
        <v>可</v>
      </c>
      <c r="Q5192" s="30"/>
      <c r="R5192" s="22"/>
      <c r="S5192" s="22" t="str">
        <f>IFERROR(__xludf.DUMMYFUNCTION("""COMPUTED_VALUE"""),"20260507_ファンギルド_夫の幸せを願って離縁を告げたら、なぜか引きとめられました")</f>
        <v>20260507_ファンギルド_夫の幸せを願って離縁を告げたら、なぜか引きとめられました</v>
      </c>
      <c r="T5192" s="22" t="str">
        <f>IFERROR(__xludf.DUMMYFUNCTION("""COMPUTED_VALUE"""),"格納済み")</f>
        <v>格納済み</v>
      </c>
      <c r="U5192" s="9" t="str">
        <f>IFERROR(__xludf.DUMMYFUNCTION("""COMPUTED_VALUE"""),"Ⓒゆにしま獏/ゼン/ファンギルド")</f>
        <v>Ⓒゆにしま獏/ゼン/ファンギルド</v>
      </c>
      <c r="V5192" s="8"/>
      <c r="W5192" s="8"/>
      <c r="X5192" s="8" t="str">
        <f>IFERROR(__xludf.DUMMYFUNCTION("""COMPUTED_VALUE"""),"有")</f>
        <v>有</v>
      </c>
      <c r="Y5192" s="8" t="str">
        <f>IFERROR(__xludf.DUMMYFUNCTION("""COMPUTED_VALUE"""),"P7まで")</f>
        <v>P7まで</v>
      </c>
      <c r="Z5192" s="7"/>
      <c r="AA5192" s="7"/>
      <c r="AB5192" s="7"/>
    </row>
    <row r="5193" ht="15.75" customHeight="1">
      <c r="A5193" s="26">
        <f>IFERROR(__xludf.DUMMYFUNCTION("""COMPUTED_VALUE"""),7959.0)</f>
        <v>7959</v>
      </c>
      <c r="B5193" s="22" t="str">
        <f>IFERROR(__xludf.DUMMYFUNCTION("""COMPUTED_VALUE"""),"確定")</f>
        <v>確定</v>
      </c>
      <c r="C5193" s="28">
        <f>IFERROR(__xludf.DUMMYFUNCTION("""COMPUTED_VALUE"""),46149.0)</f>
        <v>46149</v>
      </c>
      <c r="D5193" s="28">
        <f>IFERROR(__xludf.DUMMYFUNCTION("""COMPUTED_VALUE"""),46153.0)</f>
        <v>46153</v>
      </c>
      <c r="E5193" s="26">
        <f>IFERROR(__xludf.DUMMYFUNCTION("""COMPUTED_VALUE"""),361464.0)</f>
        <v>361464</v>
      </c>
      <c r="F5193" s="22" t="str">
        <f>IFERROR(__xludf.DUMMYFUNCTION("""COMPUTED_VALUE"""),"英雄の旦那様はオオカミ妻の首を噛みたい～夫の秘められていた独占愛～")</f>
        <v>英雄の旦那様はオオカミ妻の首を噛みたい～夫の秘められていた独占愛～</v>
      </c>
      <c r="G5193" s="20">
        <f>IFERROR(__xludf.DUMMYFUNCTION("""COMPUTED_VALUE"""),1.0)</f>
        <v>1</v>
      </c>
      <c r="H5193" s="22" t="str">
        <f>IFERROR(__xludf.DUMMYFUNCTION("""COMPUTED_VALUE"""),"月丘あかね/宮田紗音")</f>
        <v>月丘あかね/宮田紗音</v>
      </c>
      <c r="I5193" s="22" t="str">
        <f>IFERROR(__xludf.DUMMYFUNCTION("""COMPUTED_VALUE"""),"TL")</f>
        <v>TL</v>
      </c>
      <c r="J5193" s="22"/>
      <c r="K5193" s="22" t="str">
        <f>IFERROR(__xludf.DUMMYFUNCTION("""COMPUTED_VALUE"""),"ラブきゅんコミック")</f>
        <v>ラブきゅんコミック</v>
      </c>
      <c r="L5193" s="22" t="str">
        <f>IFERROR(__xludf.DUMMYFUNCTION("""COMPUTED_VALUE"""),"モバイルメディアリサーチ")</f>
        <v>モバイルメディアリサーチ</v>
      </c>
      <c r="M5193" s="33">
        <f>IFERROR(__xludf.DUMMYFUNCTION("""COMPUTED_VALUE"""),46179.0)</f>
        <v>46179</v>
      </c>
      <c r="N5193" s="33">
        <f>IFERROR(__xludf.DUMMYFUNCTION("""COMPUTED_VALUE"""),46206.0)</f>
        <v>46206</v>
      </c>
      <c r="O5193" s="20" t="str">
        <f>IFERROR(__xludf.DUMMYFUNCTION("""COMPUTED_VALUE"""),"【アダルト作品扱い】")</f>
        <v>【アダルト作品扱い】</v>
      </c>
      <c r="P5193" s="32" t="str">
        <f>IFERROR(__xludf.DUMMYFUNCTION("""COMPUTED_VALUE"""),"可")</f>
        <v>可</v>
      </c>
      <c r="Q5193" s="30"/>
      <c r="R5193" s="22"/>
      <c r="S5193" s="22" t="str">
        <f>IFERROR(__xludf.DUMMYFUNCTION("""COMPUTED_VALUE"""),"20260507_ファンギルド_英雄の旦那様はオオカミ妻の首を噛みたい")</f>
        <v>20260507_ファンギルド_英雄の旦那様はオオカミ妻の首を噛みたい</v>
      </c>
      <c r="T5193" s="22" t="str">
        <f>IFERROR(__xludf.DUMMYFUNCTION("""COMPUTED_VALUE"""),"格納済み")</f>
        <v>格納済み</v>
      </c>
      <c r="U5193" s="9" t="str">
        <f>IFERROR(__xludf.DUMMYFUNCTION("""COMPUTED_VALUE"""),"Ⓒ月丘あかね/宮田紗音/モバイルメディアリサーチ")</f>
        <v>Ⓒ月丘あかね/宮田紗音/モバイルメディアリサーチ</v>
      </c>
      <c r="V5193" s="8"/>
      <c r="W5193" s="8"/>
      <c r="X5193" s="8" t="str">
        <f>IFERROR(__xludf.DUMMYFUNCTION("""COMPUTED_VALUE"""),"有")</f>
        <v>有</v>
      </c>
      <c r="Y5193" s="8" t="str">
        <f>IFERROR(__xludf.DUMMYFUNCTION("""COMPUTED_VALUE"""),"2026/6/19までp29まで立ち読み増量")</f>
        <v>2026/6/19までp29まで立ち読み増量</v>
      </c>
      <c r="Z5193" s="7"/>
      <c r="AA5193" s="7"/>
      <c r="AB5193" s="7"/>
    </row>
    <row r="5194" ht="15.75" customHeight="1">
      <c r="A5194" s="26">
        <f>IFERROR(__xludf.DUMMYFUNCTION("""COMPUTED_VALUE"""),7960.0)</f>
        <v>7960</v>
      </c>
      <c r="B5194" s="22" t="str">
        <f>IFERROR(__xludf.DUMMYFUNCTION("""COMPUTED_VALUE"""),"確定")</f>
        <v>確定</v>
      </c>
      <c r="C5194" s="28">
        <f>IFERROR(__xludf.DUMMYFUNCTION("""COMPUTED_VALUE"""),46149.0)</f>
        <v>46149</v>
      </c>
      <c r="D5194" s="28">
        <f>IFERROR(__xludf.DUMMYFUNCTION("""COMPUTED_VALUE"""),46153.0)</f>
        <v>46153</v>
      </c>
      <c r="E5194" s="26">
        <f>IFERROR(__xludf.DUMMYFUNCTION("""COMPUTED_VALUE"""),361465.0)</f>
        <v>361465</v>
      </c>
      <c r="F5194" s="22" t="str">
        <f>IFERROR(__xludf.DUMMYFUNCTION("""COMPUTED_VALUE"""),"初夜に旦那様を襲ったらなぜか翌日から溺愛してきます")</f>
        <v>初夜に旦那様を襲ったらなぜか翌日から溺愛してきます</v>
      </c>
      <c r="G5194" s="20">
        <f>IFERROR(__xludf.DUMMYFUNCTION("""COMPUTED_VALUE"""),1.0)</f>
        <v>1</v>
      </c>
      <c r="H5194" s="22" t="str">
        <f>IFERROR(__xludf.DUMMYFUNCTION("""COMPUTED_VALUE"""),"眞希志まむ/イヌノフグリ")</f>
        <v>眞希志まむ/イヌノフグリ</v>
      </c>
      <c r="I5194" s="22" t="str">
        <f>IFERROR(__xludf.DUMMYFUNCTION("""COMPUTED_VALUE"""),"TL")</f>
        <v>TL</v>
      </c>
      <c r="J5194" s="22"/>
      <c r="K5194" s="22" t="str">
        <f>IFERROR(__xludf.DUMMYFUNCTION("""COMPUTED_VALUE"""),"ラブきゅんコミック")</f>
        <v>ラブきゅんコミック</v>
      </c>
      <c r="L5194" s="22" t="str">
        <f>IFERROR(__xludf.DUMMYFUNCTION("""COMPUTED_VALUE"""),"モバイルメディアリサーチ")</f>
        <v>モバイルメディアリサーチ</v>
      </c>
      <c r="M5194" s="33">
        <f>IFERROR(__xludf.DUMMYFUNCTION("""COMPUTED_VALUE"""),46179.0)</f>
        <v>46179</v>
      </c>
      <c r="N5194" s="33">
        <f>IFERROR(__xludf.DUMMYFUNCTION("""COMPUTED_VALUE"""),46206.0)</f>
        <v>46206</v>
      </c>
      <c r="O5194" s="20" t="str">
        <f>IFERROR(__xludf.DUMMYFUNCTION("""COMPUTED_VALUE"""),"【アダルト作品扱い】")</f>
        <v>【アダルト作品扱い】</v>
      </c>
      <c r="P5194" s="32" t="str">
        <f>IFERROR(__xludf.DUMMYFUNCTION("""COMPUTED_VALUE"""),"可")</f>
        <v>可</v>
      </c>
      <c r="Q5194" s="30"/>
      <c r="R5194" s="22"/>
      <c r="S5194" s="22" t="str">
        <f>IFERROR(__xludf.DUMMYFUNCTION("""COMPUTED_VALUE"""),"20260507_ファンギルド_初夜に旦那様を襲ったらなぜか翌日から溺愛してきます")</f>
        <v>20260507_ファンギルド_初夜に旦那様を襲ったらなぜか翌日から溺愛してきます</v>
      </c>
      <c r="T5194" s="22" t="str">
        <f>IFERROR(__xludf.DUMMYFUNCTION("""COMPUTED_VALUE"""),"格納済み")</f>
        <v>格納済み</v>
      </c>
      <c r="U5194" s="9" t="str">
        <f>IFERROR(__xludf.DUMMYFUNCTION("""COMPUTED_VALUE"""),"Ⓒ眞希志まむ/イヌノフグリ/モバイルメディアリサーチ")</f>
        <v>Ⓒ眞希志まむ/イヌノフグリ/モバイルメディアリサーチ</v>
      </c>
      <c r="V5194" s="8"/>
      <c r="W5194" s="8"/>
      <c r="X5194" s="8" t="str">
        <f>IFERROR(__xludf.DUMMYFUNCTION("""COMPUTED_VALUE"""),"有")</f>
        <v>有</v>
      </c>
      <c r="Y5194" s="8" t="str">
        <f>IFERROR(__xludf.DUMMYFUNCTION("""COMPUTED_VALUE"""),"2026/6/19までp29まで立ち読み増量")</f>
        <v>2026/6/19までp29まで立ち読み増量</v>
      </c>
      <c r="Z5194" s="7"/>
      <c r="AA5194" s="7"/>
      <c r="AB5194" s="7"/>
    </row>
    <row r="5195" ht="15.75" customHeight="1">
      <c r="A5195" s="26">
        <f>IFERROR(__xludf.DUMMYFUNCTION("""COMPUTED_VALUE"""),7961.0)</f>
        <v>7961</v>
      </c>
      <c r="B5195" s="22" t="str">
        <f>IFERROR(__xludf.DUMMYFUNCTION("""COMPUTED_VALUE"""),"確定")</f>
        <v>確定</v>
      </c>
      <c r="C5195" s="28">
        <f>IFERROR(__xludf.DUMMYFUNCTION("""COMPUTED_VALUE"""),46149.0)</f>
        <v>46149</v>
      </c>
      <c r="D5195" s="28">
        <f>IFERROR(__xludf.DUMMYFUNCTION("""COMPUTED_VALUE"""),46153.0)</f>
        <v>46153</v>
      </c>
      <c r="E5195" s="26">
        <f>IFERROR(__xludf.DUMMYFUNCTION("""COMPUTED_VALUE"""),361476.0)</f>
        <v>361476</v>
      </c>
      <c r="F5195" s="22" t="str">
        <f>IFERROR(__xludf.DUMMYFUNCTION("""COMPUTED_VALUE"""),"虐げられたΩが愛を知るまで")</f>
        <v>虐げられたΩが愛を知るまで</v>
      </c>
      <c r="G5195" s="20" t="str">
        <f>IFERROR(__xludf.DUMMYFUNCTION("""COMPUTED_VALUE"""),"1～3")</f>
        <v>1～3</v>
      </c>
      <c r="H5195" s="22" t="str">
        <f>IFERROR(__xludf.DUMMYFUNCTION("""COMPUTED_VALUE"""),"Roadda")</f>
        <v>Roadda</v>
      </c>
      <c r="I5195" s="22" t="str">
        <f>IFERROR(__xludf.DUMMYFUNCTION("""COMPUTED_VALUE"""),"BLマンガ")</f>
        <v>BLマンガ</v>
      </c>
      <c r="J5195" s="22"/>
      <c r="K5195" s="22"/>
      <c r="L5195" s="22" t="str">
        <f>IFERROR(__xludf.DUMMYFUNCTION("""COMPUTED_VALUE"""),"Rush!")</f>
        <v>Rush!</v>
      </c>
      <c r="M5195" s="33">
        <f>IFERROR(__xludf.DUMMYFUNCTION("""COMPUTED_VALUE"""),46185.0)</f>
        <v>46185</v>
      </c>
      <c r="N5195" s="33">
        <f>IFERROR(__xludf.DUMMYFUNCTION("""COMPUTED_VALUE"""),46212.0)</f>
        <v>46212</v>
      </c>
      <c r="O5195" s="20" t="str">
        <f>IFERROR(__xludf.DUMMYFUNCTION("""COMPUTED_VALUE"""),"【アダルト作品扱い】")</f>
        <v>【アダルト作品扱い】</v>
      </c>
      <c r="P5195" s="32" t="str">
        <f>IFERROR(__xludf.DUMMYFUNCTION("""COMPUTED_VALUE"""),"可")</f>
        <v>可</v>
      </c>
      <c r="Q5195" s="30"/>
      <c r="R5195" s="22"/>
      <c r="S5195" s="22" t="str">
        <f>IFERROR(__xludf.DUMMYFUNCTION("""COMPUTED_VALUE"""),"20260507_ファンギルド_虐げられたΩが愛を知るまで")</f>
        <v>20260507_ファンギルド_虐げられたΩが愛を知るまで</v>
      </c>
      <c r="T5195" s="22" t="str">
        <f>IFERROR(__xludf.DUMMYFUNCTION("""COMPUTED_VALUE"""),"格納済み")</f>
        <v>格納済み</v>
      </c>
      <c r="U5195" s="9" t="str">
        <f>IFERROR(__xludf.DUMMYFUNCTION("""COMPUTED_VALUE"""),"ⒸToonsfamily/Roadda")</f>
        <v>ⒸToonsfamily/Roadda</v>
      </c>
      <c r="V5195" s="8"/>
      <c r="W5195" s="8"/>
      <c r="X5195" s="8" t="str">
        <f>IFERROR(__xludf.DUMMYFUNCTION("""COMPUTED_VALUE"""),"有")</f>
        <v>有</v>
      </c>
      <c r="Y5195" s="8" t="str">
        <f>IFERROR(__xludf.DUMMYFUNCTION("""COMPUTED_VALUE"""),"2026/6/25まで1巻無料")</f>
        <v>2026/6/25まで1巻無料</v>
      </c>
      <c r="Z5195" s="7"/>
      <c r="AA5195" s="7"/>
      <c r="AB5195" s="7"/>
    </row>
    <row r="5196" ht="15.75" customHeight="1">
      <c r="A5196" s="26">
        <f>IFERROR(__xludf.DUMMYFUNCTION("""COMPUTED_VALUE"""),7962.0)</f>
        <v>7962</v>
      </c>
      <c r="B5196" s="22" t="str">
        <f>IFERROR(__xludf.DUMMYFUNCTION("""COMPUTED_VALUE"""),"確定")</f>
        <v>確定</v>
      </c>
      <c r="C5196" s="28">
        <f>IFERROR(__xludf.DUMMYFUNCTION("""COMPUTED_VALUE"""),46149.0)</f>
        <v>46149</v>
      </c>
      <c r="D5196" s="28">
        <f>IFERROR(__xludf.DUMMYFUNCTION("""COMPUTED_VALUE"""),46153.0)</f>
        <v>46153</v>
      </c>
      <c r="E5196" s="26">
        <f>IFERROR(__xludf.DUMMYFUNCTION("""COMPUTED_VALUE"""),361475.0)</f>
        <v>361475</v>
      </c>
      <c r="F5196" s="22" t="str">
        <f>IFERROR(__xludf.DUMMYFUNCTION("""COMPUTED_VALUE"""),"人妻は夫の前で抱かれる")</f>
        <v>人妻は夫の前で抱かれる</v>
      </c>
      <c r="G5196" s="20" t="str">
        <f>IFERROR(__xludf.DUMMYFUNCTION("""COMPUTED_VALUE"""),"1～3")</f>
        <v>1～3</v>
      </c>
      <c r="H5196" s="22" t="str">
        <f>IFERROR(__xludf.DUMMYFUNCTION("""COMPUTED_VALUE"""),"キム・ビョッキュ/JYfucker/ゴールジー")</f>
        <v>キム・ビョッキュ/JYfucker/ゴールジー</v>
      </c>
      <c r="I5196" s="22" t="str">
        <f>IFERROR(__xludf.DUMMYFUNCTION("""COMPUTED_VALUE"""),"青年マンガ")</f>
        <v>青年マンガ</v>
      </c>
      <c r="J5196" s="22"/>
      <c r="K5196" s="22"/>
      <c r="L5196" s="22" t="str">
        <f>IFERROR(__xludf.DUMMYFUNCTION("""COMPUTED_VALUE"""),"Rush!")</f>
        <v>Rush!</v>
      </c>
      <c r="M5196" s="33">
        <f>IFERROR(__xludf.DUMMYFUNCTION("""COMPUTED_VALUE"""),46199.0)</f>
        <v>46199</v>
      </c>
      <c r="N5196" s="33">
        <f>IFERROR(__xludf.DUMMYFUNCTION("""COMPUTED_VALUE"""),46226.0)</f>
        <v>46226</v>
      </c>
      <c r="O5196" s="20" t="str">
        <f>IFERROR(__xludf.DUMMYFUNCTION("""COMPUTED_VALUE"""),"【アダルト作品扱い】")</f>
        <v>【アダルト作品扱い】</v>
      </c>
      <c r="P5196" s="32" t="str">
        <f>IFERROR(__xludf.DUMMYFUNCTION("""COMPUTED_VALUE"""),"可")</f>
        <v>可</v>
      </c>
      <c r="Q5196" s="30"/>
      <c r="R5196" s="22"/>
      <c r="S5196" s="22" t="str">
        <f>IFERROR(__xludf.DUMMYFUNCTION("""COMPUTED_VALUE"""),"20260507_ファンギルド_人妻は夫の前で抱かれる")</f>
        <v>20260507_ファンギルド_人妻は夫の前で抱かれる</v>
      </c>
      <c r="T5196" s="22" t="str">
        <f>IFERROR(__xludf.DUMMYFUNCTION("""COMPUTED_VALUE"""),"格納済み")</f>
        <v>格納済み</v>
      </c>
      <c r="U5196" s="9" t="str">
        <f>IFERROR(__xludf.DUMMYFUNCTION("""COMPUTED_VALUE"""),"Ⓒキム・ビョッキュ/JYfucker/ゴールジー/TOPTOON")</f>
        <v>Ⓒキム・ビョッキュ/JYfucker/ゴールジー/TOPTOON</v>
      </c>
      <c r="V5196" s="8"/>
      <c r="W5196" s="8"/>
      <c r="X5196" s="8" t="str">
        <f>IFERROR(__xludf.DUMMYFUNCTION("""COMPUTED_VALUE"""),"有")</f>
        <v>有</v>
      </c>
      <c r="Y5196" s="8" t="str">
        <f>IFERROR(__xludf.DUMMYFUNCTION("""COMPUTED_VALUE"""),"2026/7/9まで1巻無料")</f>
        <v>2026/7/9まで1巻無料</v>
      </c>
      <c r="Z5196" s="7"/>
      <c r="AA5196" s="7"/>
      <c r="AB5196" s="7"/>
    </row>
    <row r="5197" ht="15.75" customHeight="1">
      <c r="A5197" s="26">
        <f>IFERROR(__xludf.DUMMYFUNCTION("""COMPUTED_VALUE"""),7963.0)</f>
        <v>7963</v>
      </c>
      <c r="B5197" s="22" t="str">
        <f>IFERROR(__xludf.DUMMYFUNCTION("""COMPUTED_VALUE"""),"確定")</f>
        <v>確定</v>
      </c>
      <c r="C5197" s="28">
        <f>IFERROR(__xludf.DUMMYFUNCTION("""COMPUTED_VALUE"""),46149.0)</f>
        <v>46149</v>
      </c>
      <c r="D5197" s="28">
        <f>IFERROR(__xludf.DUMMYFUNCTION("""COMPUTED_VALUE"""),46153.0)</f>
        <v>46153</v>
      </c>
      <c r="E5197" s="26">
        <f>IFERROR(__xludf.DUMMYFUNCTION("""COMPUTED_VALUE"""),361472.0)</f>
        <v>361472</v>
      </c>
      <c r="F5197" s="22" t="str">
        <f>IFERROR(__xludf.DUMMYFUNCTION("""COMPUTED_VALUE"""),"猥談をきかせてよ")</f>
        <v>猥談をきかせてよ</v>
      </c>
      <c r="G5197" s="20" t="str">
        <f>IFERROR(__xludf.DUMMYFUNCTION("""COMPUTED_VALUE"""),"1～3")</f>
        <v>1～3</v>
      </c>
      <c r="H5197" s="22" t="str">
        <f>IFERROR(__xludf.DUMMYFUNCTION("""COMPUTED_VALUE"""),"Hanai/honeyfruit")</f>
        <v>Hanai/honeyfruit</v>
      </c>
      <c r="I5197" s="22" t="str">
        <f>IFERROR(__xludf.DUMMYFUNCTION("""COMPUTED_VALUE"""),"青年")</f>
        <v>青年</v>
      </c>
      <c r="J5197" s="22"/>
      <c r="K5197" s="22"/>
      <c r="L5197" s="22" t="str">
        <f>IFERROR(__xludf.DUMMYFUNCTION("""COMPUTED_VALUE"""),"Rush!")</f>
        <v>Rush!</v>
      </c>
      <c r="M5197" s="33">
        <f>IFERROR(__xludf.DUMMYFUNCTION("""COMPUTED_VALUE"""),46192.0)</f>
        <v>46192</v>
      </c>
      <c r="N5197" s="33">
        <f>IFERROR(__xludf.DUMMYFUNCTION("""COMPUTED_VALUE"""),46219.0)</f>
        <v>46219</v>
      </c>
      <c r="O5197" s="20" t="str">
        <f>IFERROR(__xludf.DUMMYFUNCTION("""COMPUTED_VALUE"""),"【アダルト作品扱い】")</f>
        <v>【アダルト作品扱い】</v>
      </c>
      <c r="P5197" s="32" t="str">
        <f>IFERROR(__xludf.DUMMYFUNCTION("""COMPUTED_VALUE"""),"可")</f>
        <v>可</v>
      </c>
      <c r="Q5197" s="30"/>
      <c r="R5197" s="22"/>
      <c r="S5197" s="22" t="str">
        <f>IFERROR(__xludf.DUMMYFUNCTION("""COMPUTED_VALUE"""),"20260507_ファンギルド_猥談をきかせてよ")</f>
        <v>20260507_ファンギルド_猥談をきかせてよ</v>
      </c>
      <c r="T5197" s="22" t="str">
        <f>IFERROR(__xludf.DUMMYFUNCTION("""COMPUTED_VALUE"""),"格納済み")</f>
        <v>格納済み</v>
      </c>
      <c r="U5197" s="9" t="str">
        <f>IFERROR(__xludf.DUMMYFUNCTION("""COMPUTED_VALUE"""),"ⒸHanai/honeyfruit/TOPTOON")</f>
        <v>ⒸHanai/honeyfruit/TOPTOON</v>
      </c>
      <c r="V5197" s="8"/>
      <c r="W5197" s="8"/>
      <c r="X5197" s="8" t="str">
        <f>IFERROR(__xludf.DUMMYFUNCTION("""COMPUTED_VALUE"""),"有")</f>
        <v>有</v>
      </c>
      <c r="Y5197" s="8" t="str">
        <f>IFERROR(__xludf.DUMMYFUNCTION("""COMPUTED_VALUE"""),"2026/7/16まで1巻無料")</f>
        <v>2026/7/16まで1巻無料</v>
      </c>
      <c r="Z5197" s="7"/>
      <c r="AA5197" s="7"/>
      <c r="AB5197" s="7"/>
    </row>
    <row r="5198" ht="15.75" customHeight="1">
      <c r="A5198" s="26">
        <f>IFERROR(__xludf.DUMMYFUNCTION("""COMPUTED_VALUE"""),7964.0)</f>
        <v>7964</v>
      </c>
      <c r="B5198" s="22" t="str">
        <f>IFERROR(__xludf.DUMMYFUNCTION("""COMPUTED_VALUE"""),"確定")</f>
        <v>確定</v>
      </c>
      <c r="C5198" s="28">
        <f>IFERROR(__xludf.DUMMYFUNCTION("""COMPUTED_VALUE"""),46149.0)</f>
        <v>46149</v>
      </c>
      <c r="D5198" s="28">
        <f>IFERROR(__xludf.DUMMYFUNCTION("""COMPUTED_VALUE"""),46153.0)</f>
        <v>46153</v>
      </c>
      <c r="E5198" s="26">
        <f>IFERROR(__xludf.DUMMYFUNCTION("""COMPUTED_VALUE"""),361474.0)</f>
        <v>361474</v>
      </c>
      <c r="F5198" s="22" t="str">
        <f>IFERROR(__xludf.DUMMYFUNCTION("""COMPUTED_VALUE"""),"秘密の楽園")</f>
        <v>秘密の楽園</v>
      </c>
      <c r="G5198" s="20" t="str">
        <f>IFERROR(__xludf.DUMMYFUNCTION("""COMPUTED_VALUE"""),"1～3")</f>
        <v>1～3</v>
      </c>
      <c r="H5198" s="22" t="str">
        <f>IFERROR(__xludf.DUMMYFUNCTION("""COMPUTED_VALUE"""),"benP/duck")</f>
        <v>benP/duck</v>
      </c>
      <c r="I5198" s="22" t="str">
        <f>IFERROR(__xludf.DUMMYFUNCTION("""COMPUTED_VALUE"""),"青年マンガ")</f>
        <v>青年マンガ</v>
      </c>
      <c r="J5198" s="22"/>
      <c r="K5198" s="22"/>
      <c r="L5198" s="22" t="str">
        <f>IFERROR(__xludf.DUMMYFUNCTION("""COMPUTED_VALUE"""),"Rush!")</f>
        <v>Rush!</v>
      </c>
      <c r="M5198" s="33">
        <f>IFERROR(__xludf.DUMMYFUNCTION("""COMPUTED_VALUE"""),46199.0)</f>
        <v>46199</v>
      </c>
      <c r="N5198" s="33">
        <f>IFERROR(__xludf.DUMMYFUNCTION("""COMPUTED_VALUE"""),46226.0)</f>
        <v>46226</v>
      </c>
      <c r="O5198" s="20" t="str">
        <f>IFERROR(__xludf.DUMMYFUNCTION("""COMPUTED_VALUE"""),"【アダルト作品扱い】")</f>
        <v>【アダルト作品扱い】</v>
      </c>
      <c r="P5198" s="32" t="str">
        <f>IFERROR(__xludf.DUMMYFUNCTION("""COMPUTED_VALUE"""),"可")</f>
        <v>可</v>
      </c>
      <c r="Q5198" s="30"/>
      <c r="R5198" s="22"/>
      <c r="S5198" s="22" t="str">
        <f>IFERROR(__xludf.DUMMYFUNCTION("""COMPUTED_VALUE"""),"20260507_ファンギルド_秘密の楽園")</f>
        <v>20260507_ファンギルド_秘密の楽園</v>
      </c>
      <c r="T5198" s="22" t="str">
        <f>IFERROR(__xludf.DUMMYFUNCTION("""COMPUTED_VALUE"""),"格納済み")</f>
        <v>格納済み</v>
      </c>
      <c r="U5198" s="9" t="str">
        <f>IFERROR(__xludf.DUMMYFUNCTION("""COMPUTED_VALUE"""),"ⒸbenP/duck/TOPTOON")</f>
        <v>ⒸbenP/duck/TOPTOON</v>
      </c>
      <c r="V5198" s="8"/>
      <c r="W5198" s="8"/>
      <c r="X5198" s="8" t="str">
        <f>IFERROR(__xludf.DUMMYFUNCTION("""COMPUTED_VALUE"""),"有")</f>
        <v>有</v>
      </c>
      <c r="Y5198" s="8" t="str">
        <f>IFERROR(__xludf.DUMMYFUNCTION("""COMPUTED_VALUE"""),"2026/7/9まで1巻無料")</f>
        <v>2026/7/9まで1巻無料</v>
      </c>
      <c r="Z5198" s="7"/>
      <c r="AA5198" s="7"/>
      <c r="AB5198" s="7"/>
    </row>
    <row r="5199" ht="15.75" customHeight="1">
      <c r="A5199" s="26">
        <f>IFERROR(__xludf.DUMMYFUNCTION("""COMPUTED_VALUE"""),7965.0)</f>
        <v>7965</v>
      </c>
      <c r="B5199" s="22" t="str">
        <f>IFERROR(__xludf.DUMMYFUNCTION("""COMPUTED_VALUE"""),"確定")</f>
        <v>確定</v>
      </c>
      <c r="C5199" s="28">
        <f>IFERROR(__xludf.DUMMYFUNCTION("""COMPUTED_VALUE"""),46149.0)</f>
        <v>46149</v>
      </c>
      <c r="D5199" s="28">
        <f>IFERROR(__xludf.DUMMYFUNCTION("""COMPUTED_VALUE"""),46153.0)</f>
        <v>46153</v>
      </c>
      <c r="E5199" s="26">
        <f>IFERROR(__xludf.DUMMYFUNCTION("""COMPUTED_VALUE"""),361473.0)</f>
        <v>361473</v>
      </c>
      <c r="F5199" s="22" t="str">
        <f>IFERROR(__xludf.DUMMYFUNCTION("""COMPUTED_VALUE"""),"「福利厚生」お願いします")</f>
        <v>「福利厚生」お願いします</v>
      </c>
      <c r="G5199" s="20" t="str">
        <f>IFERROR(__xludf.DUMMYFUNCTION("""COMPUTED_VALUE"""),"1～3")</f>
        <v>1～3</v>
      </c>
      <c r="H5199" s="22" t="str">
        <f>IFERROR(__xludf.DUMMYFUNCTION("""COMPUTED_VALUE"""),"sizenpang/heung-geon")</f>
        <v>sizenpang/heung-geon</v>
      </c>
      <c r="I5199" s="22" t="str">
        <f>IFERROR(__xludf.DUMMYFUNCTION("""COMPUTED_VALUE"""),"青年")</f>
        <v>青年</v>
      </c>
      <c r="J5199" s="22"/>
      <c r="K5199" s="22"/>
      <c r="L5199" s="22" t="str">
        <f>IFERROR(__xludf.DUMMYFUNCTION("""COMPUTED_VALUE"""),"Rush!")</f>
        <v>Rush!</v>
      </c>
      <c r="M5199" s="33">
        <f>IFERROR(__xludf.DUMMYFUNCTION("""COMPUTED_VALUE"""),46192.0)</f>
        <v>46192</v>
      </c>
      <c r="N5199" s="33">
        <f>IFERROR(__xludf.DUMMYFUNCTION("""COMPUTED_VALUE"""),46219.0)</f>
        <v>46219</v>
      </c>
      <c r="O5199" s="20" t="str">
        <f>IFERROR(__xludf.DUMMYFUNCTION("""COMPUTED_VALUE"""),"【アダルト作品扱い】")</f>
        <v>【アダルト作品扱い】</v>
      </c>
      <c r="P5199" s="32" t="str">
        <f>IFERROR(__xludf.DUMMYFUNCTION("""COMPUTED_VALUE"""),"可")</f>
        <v>可</v>
      </c>
      <c r="Q5199" s="30"/>
      <c r="R5199" s="22"/>
      <c r="S5199" s="22" t="str">
        <f>IFERROR(__xludf.DUMMYFUNCTION("""COMPUTED_VALUE"""),"20260507_ファンギルド_「福利厚生」お願いします")</f>
        <v>20260507_ファンギルド_「福利厚生」お願いします</v>
      </c>
      <c r="T5199" s="22" t="str">
        <f>IFERROR(__xludf.DUMMYFUNCTION("""COMPUTED_VALUE"""),"格納済み")</f>
        <v>格納済み</v>
      </c>
      <c r="U5199" s="9" t="str">
        <f>IFERROR(__xludf.DUMMYFUNCTION("""COMPUTED_VALUE"""),"Ⓒsizenpang/heung-geon/TOPTOON")</f>
        <v>Ⓒsizenpang/heung-geon/TOPTOON</v>
      </c>
      <c r="V5199" s="8"/>
      <c r="W5199" s="8"/>
      <c r="X5199" s="8" t="str">
        <f>IFERROR(__xludf.DUMMYFUNCTION("""COMPUTED_VALUE"""),"有")</f>
        <v>有</v>
      </c>
      <c r="Y5199" s="8" t="str">
        <f>IFERROR(__xludf.DUMMYFUNCTION("""COMPUTED_VALUE"""),"2026/7/16まで1巻無料")</f>
        <v>2026/7/16まで1巻無料</v>
      </c>
      <c r="Z5199" s="7"/>
      <c r="AA5199" s="7"/>
      <c r="AB5199" s="7"/>
    </row>
    <row r="5200" ht="15.75" customHeight="1">
      <c r="A5200" s="26">
        <f>IFERROR(__xludf.DUMMYFUNCTION("""COMPUTED_VALUE"""),7967.0)</f>
        <v>7967</v>
      </c>
      <c r="B5200" s="22" t="str">
        <f>IFERROR(__xludf.DUMMYFUNCTION("""COMPUTED_VALUE"""),"確定")</f>
        <v>確定</v>
      </c>
      <c r="C5200" s="28">
        <f>IFERROR(__xludf.DUMMYFUNCTION("""COMPUTED_VALUE"""),46153.0)</f>
        <v>46153</v>
      </c>
      <c r="D5200" s="28">
        <f>IFERROR(__xludf.DUMMYFUNCTION("""COMPUTED_VALUE"""),46154.0)</f>
        <v>46154</v>
      </c>
      <c r="E5200" s="26">
        <f>IFERROR(__xludf.DUMMYFUNCTION("""COMPUTED_VALUE"""),362153.0)</f>
        <v>362153</v>
      </c>
      <c r="F5200" s="22" t="str">
        <f>IFERROR(__xludf.DUMMYFUNCTION("""COMPUTED_VALUE"""),"欲に溺れた夫へ")</f>
        <v>欲に溺れた夫へ</v>
      </c>
      <c r="G5200" s="20" t="str">
        <f>IFERROR(__xludf.DUMMYFUNCTION("""COMPUTED_VALUE"""),"1~5")</f>
        <v>1~5</v>
      </c>
      <c r="H5200" s="22" t="str">
        <f>IFERROR(__xludf.DUMMYFUNCTION("""COMPUTED_VALUE"""),"岡さくら・岩島朋未")</f>
        <v>岡さくら・岩島朋未</v>
      </c>
      <c r="I5200" s="22" t="str">
        <f>IFERROR(__xludf.DUMMYFUNCTION("""COMPUTED_VALUE"""),"女性マンガ")</f>
        <v>女性マンガ</v>
      </c>
      <c r="J5200" s="22"/>
      <c r="K5200" s="22" t="str">
        <f>IFERROR(__xludf.DUMMYFUNCTION("""COMPUTED_VALUE"""),"コイパレ")</f>
        <v>コイパレ</v>
      </c>
      <c r="L5200" s="22" t="str">
        <f>IFERROR(__xludf.DUMMYFUNCTION("""COMPUTED_VALUE"""),"CLLENN")</f>
        <v>CLLENN</v>
      </c>
      <c r="M5200" s="33">
        <f>IFERROR(__xludf.DUMMYFUNCTION("""COMPUTED_VALUE"""),46183.0)</f>
        <v>46183</v>
      </c>
      <c r="N5200" s="33">
        <f>IFERROR(__xludf.DUMMYFUNCTION("""COMPUTED_VALUE"""),46364.0)</f>
        <v>46364</v>
      </c>
      <c r="O5200" s="20"/>
      <c r="P5200" s="32" t="str">
        <f>IFERROR(__xludf.DUMMYFUNCTION("""COMPUTED_VALUE"""),"可")</f>
        <v>可</v>
      </c>
      <c r="Q5200" s="30"/>
      <c r="R5200" s="22"/>
      <c r="S5200" s="22" t="str">
        <f>IFERROR(__xludf.DUMMYFUNCTION("""COMPUTED_VALUE"""),"20260511_CLLENN_欲に溺れた夫へ")</f>
        <v>20260511_CLLENN_欲に溺れた夫へ</v>
      </c>
      <c r="T5200" s="22" t="str">
        <f>IFERROR(__xludf.DUMMYFUNCTION("""COMPUTED_VALUE"""),"格納済み")</f>
        <v>格納済み</v>
      </c>
      <c r="U5200" s="9" t="str">
        <f>IFERROR(__xludf.DUMMYFUNCTION("""COMPUTED_VALUE"""),"Ⓒ岡さくら・岩島朋未/CLLENN")</f>
        <v>Ⓒ岡さくら・岩島朋未/CLLENN</v>
      </c>
      <c r="V5200" s="8"/>
      <c r="W5200" s="8"/>
      <c r="X5200" s="8" t="str">
        <f>IFERROR(__xludf.DUMMYFUNCTION("""COMPUTED_VALUE"""),"有")</f>
        <v>有</v>
      </c>
      <c r="Y5200" s="8" t="str">
        <f>IFERROR(__xludf.DUMMYFUNCTION("""COMPUTED_VALUE"""),"2026/6/23まで1巻無料")</f>
        <v>2026/6/23まで1巻無料</v>
      </c>
      <c r="Z5200" s="7"/>
      <c r="AA5200" s="7"/>
      <c r="AB5200" s="7"/>
    </row>
    <row r="5201" ht="15.75" customHeight="1">
      <c r="A5201" s="26">
        <f>IFERROR(__xludf.DUMMYFUNCTION("""COMPUTED_VALUE"""),7968.0)</f>
        <v>7968</v>
      </c>
      <c r="B5201" s="22" t="str">
        <f>IFERROR(__xludf.DUMMYFUNCTION("""COMPUTED_VALUE"""),"確定")</f>
        <v>確定</v>
      </c>
      <c r="C5201" s="28">
        <f>IFERROR(__xludf.DUMMYFUNCTION("""COMPUTED_VALUE"""),46153.0)</f>
        <v>46153</v>
      </c>
      <c r="D5201" s="28">
        <f>IFERROR(__xludf.DUMMYFUNCTION("""COMPUTED_VALUE"""),46154.0)</f>
        <v>46154</v>
      </c>
      <c r="E5201" s="26">
        <f>IFERROR(__xludf.DUMMYFUNCTION("""COMPUTED_VALUE"""),361739.0)</f>
        <v>361739</v>
      </c>
      <c r="F5201" s="22" t="str">
        <f>IFERROR(__xludf.DUMMYFUNCTION("""COMPUTED_VALUE"""),"闇アプリ 分冊版")</f>
        <v>闇アプリ 分冊版</v>
      </c>
      <c r="G5201" s="20" t="str">
        <f>IFERROR(__xludf.DUMMYFUNCTION("""COMPUTED_VALUE"""),"1~4")</f>
        <v>1~4</v>
      </c>
      <c r="H5201" s="22" t="str">
        <f>IFERROR(__xludf.DUMMYFUNCTION("""COMPUTED_VALUE"""),"ミトミユキ・藤見登吏央")</f>
        <v>ミトミユキ・藤見登吏央</v>
      </c>
      <c r="I5201" s="22" t="str">
        <f>IFERROR(__xludf.DUMMYFUNCTION("""COMPUTED_VALUE"""),"青年マンガ")</f>
        <v>青年マンガ</v>
      </c>
      <c r="J5201" s="22"/>
      <c r="K5201" s="22" t="str">
        <f>IFERROR(__xludf.DUMMYFUNCTION("""COMPUTED_VALUE"""),"アクションコミックス")</f>
        <v>アクションコミックス</v>
      </c>
      <c r="L5201" s="22" t="str">
        <f>IFERROR(__xludf.DUMMYFUNCTION("""COMPUTED_VALUE"""),"双葉社")</f>
        <v>双葉社</v>
      </c>
      <c r="M5201" s="33">
        <f>IFERROR(__xludf.DUMMYFUNCTION("""COMPUTED_VALUE"""),46166.0)</f>
        <v>46166</v>
      </c>
      <c r="N5201" s="33">
        <f>IFERROR(__xludf.DUMMYFUNCTION("""COMPUTED_VALUE"""),46226.0)</f>
        <v>46226</v>
      </c>
      <c r="O5201" s="20"/>
      <c r="P5201" s="32" t="str">
        <f>IFERROR(__xludf.DUMMYFUNCTION("""COMPUTED_VALUE"""),"可")</f>
        <v>可</v>
      </c>
      <c r="Q5201" s="30"/>
      <c r="R5201" s="22"/>
      <c r="S5201" s="22" t="str">
        <f>IFERROR(__xludf.DUMMYFUNCTION("""COMPUTED_VALUE"""),"20260511_双葉社_闇アプリ 分冊版")</f>
        <v>20260511_双葉社_闇アプリ 分冊版</v>
      </c>
      <c r="T5201" s="22" t="str">
        <f>IFERROR(__xludf.DUMMYFUNCTION("""COMPUTED_VALUE"""),"格納済み")</f>
        <v>格納済み</v>
      </c>
      <c r="U5201" s="9" t="str">
        <f>IFERROR(__xludf.DUMMYFUNCTION("""COMPUTED_VALUE"""),"Ⓒミトミユキ・藤見登吏央/双葉社")</f>
        <v>Ⓒミトミユキ・藤見登吏央/双葉社</v>
      </c>
      <c r="V5201" s="8"/>
      <c r="W5201" s="8"/>
      <c r="X5201" s="8" t="str">
        <f>IFERROR(__xludf.DUMMYFUNCTION("""COMPUTED_VALUE"""),"有")</f>
        <v>有</v>
      </c>
      <c r="Y5201" s="8" t="str">
        <f>IFERROR(__xludf.DUMMYFUNCTION("""COMPUTED_VALUE"""),"P6まで")</f>
        <v>P6まで</v>
      </c>
      <c r="Z5201" s="7"/>
      <c r="AA5201" s="7"/>
      <c r="AB5201" s="7"/>
    </row>
    <row r="5202" ht="15.75" customHeight="1">
      <c r="A5202" s="26">
        <f>IFERROR(__xludf.DUMMYFUNCTION("""COMPUTED_VALUE"""),7969.0)</f>
        <v>7969</v>
      </c>
      <c r="B5202" s="22" t="str">
        <f>IFERROR(__xludf.DUMMYFUNCTION("""COMPUTED_VALUE"""),"確定")</f>
        <v>確定</v>
      </c>
      <c r="C5202" s="28">
        <f>IFERROR(__xludf.DUMMYFUNCTION("""COMPUTED_VALUE"""),46153.0)</f>
        <v>46153</v>
      </c>
      <c r="D5202" s="28">
        <f>IFERROR(__xludf.DUMMYFUNCTION("""COMPUTED_VALUE"""),46155.0)</f>
        <v>46155</v>
      </c>
      <c r="E5202" s="26"/>
      <c r="F5202" s="22" t="str">
        <f>IFERROR(__xludf.DUMMYFUNCTION("""COMPUTED_VALUE"""),"S級エスパーに嫌われています～愛と嫌悪は紙一重～【タテヨミ】")</f>
        <v>S級エスパーに嫌われています～愛と嫌悪は紙一重～【タテヨミ】</v>
      </c>
      <c r="G5202" s="20" t="str">
        <f>IFERROR(__xludf.DUMMYFUNCTION("""COMPUTED_VALUE"""),"1~30")</f>
        <v>1~30</v>
      </c>
      <c r="H5202" s="22" t="str">
        <f>IFERROR(__xludf.DUMMYFUNCTION("""COMPUTED_VALUE"""),"argon18 原案   SinM 原作  Morin 作画")</f>
        <v>argon18 原案   SinM 原作  Morin 作画</v>
      </c>
      <c r="I5202" s="22" t="str">
        <f>IFERROR(__xludf.DUMMYFUNCTION("""COMPUTED_VALUE"""),"BLマンガ")</f>
        <v>BLマンガ</v>
      </c>
      <c r="J5202" s="22"/>
      <c r="K5202" s="22"/>
      <c r="L5202" s="22" t="str">
        <f>IFERROR(__xludf.DUMMYFUNCTION("""COMPUTED_VALUE"""),"レジンコミックス")</f>
        <v>レジンコミックス</v>
      </c>
      <c r="M5202" s="33">
        <f>IFERROR(__xludf.DUMMYFUNCTION("""COMPUTED_VALUE"""),46241.0)</f>
        <v>46241</v>
      </c>
      <c r="N5202" s="33">
        <f>IFERROR(__xludf.DUMMYFUNCTION("""COMPUTED_VALUE"""),46333.0)</f>
        <v>46333</v>
      </c>
      <c r="O5202" s="20"/>
      <c r="P5202" s="32" t="str">
        <f>IFERROR(__xludf.DUMMYFUNCTION("""COMPUTED_VALUE"""),"可")</f>
        <v>可</v>
      </c>
      <c r="Q5202" s="30"/>
      <c r="R5202" s="22"/>
      <c r="S5202" s="22" t="str">
        <f>IFERROR(__xludf.DUMMYFUNCTION("""COMPUTED_VALUE"""),"20260508_レジンコミックス_S級エスパーに嫌われています～愛と嫌悪は紙一重～")</f>
        <v>20260508_レジンコミックス_S級エスパーに嫌われています～愛と嫌悪は紙一重～</v>
      </c>
      <c r="T5202" s="22" t="str">
        <f>IFERROR(__xludf.DUMMYFUNCTION("""COMPUTED_VALUE"""),"格納済み")</f>
        <v>格納済み</v>
      </c>
      <c r="U5202" s="9" t="str">
        <f>IFERROR(__xludf.DUMMYFUNCTION("""COMPUTED_VALUE"""),"Ⓒargon18 / SinM / Morin / レジンコミックス")</f>
        <v>Ⓒargon18 / SinM / Morin / レジンコミックス</v>
      </c>
      <c r="V5202" s="8"/>
      <c r="W5202" s="8"/>
      <c r="X5202" s="8"/>
      <c r="Y5202" s="8"/>
      <c r="Z5202" s="7"/>
      <c r="AA5202" s="7"/>
      <c r="AB5202" s="7"/>
    </row>
    <row r="5203" ht="15.75" customHeight="1">
      <c r="A5203" s="26">
        <f>IFERROR(__xludf.DUMMYFUNCTION("""COMPUTED_VALUE"""),7970.0)</f>
        <v>7970</v>
      </c>
      <c r="B5203" s="22" t="str">
        <f>IFERROR(__xludf.DUMMYFUNCTION("""COMPUTED_VALUE"""),"確定")</f>
        <v>確定</v>
      </c>
      <c r="C5203" s="28">
        <f>IFERROR(__xludf.DUMMYFUNCTION("""COMPUTED_VALUE"""),46153.0)</f>
        <v>46153</v>
      </c>
      <c r="D5203" s="28">
        <f>IFERROR(__xludf.DUMMYFUNCTION("""COMPUTED_VALUE"""),46155.0)</f>
        <v>46155</v>
      </c>
      <c r="E5203" s="26">
        <f>IFERROR(__xludf.DUMMYFUNCTION("""COMPUTED_VALUE"""),362562.0)</f>
        <v>362562</v>
      </c>
      <c r="F5203" s="22" t="str">
        <f>IFERROR(__xludf.DUMMYFUNCTION("""COMPUTED_VALUE"""),"Control Time：コントロール・タイム【タテヨミ】")</f>
        <v>Control Time：コントロール・タイム【タテヨミ】</v>
      </c>
      <c r="G5203" s="20" t="str">
        <f>IFERROR(__xludf.DUMMYFUNCTION("""COMPUTED_VALUE"""),"1~30")</f>
        <v>1~30</v>
      </c>
      <c r="H5203" s="22" t="str">
        <f>IFERROR(__xludf.DUMMYFUNCTION("""COMPUTED_VALUE"""),"OFFCAR 原作  HIPS 作画")</f>
        <v>OFFCAR 原作  HIPS 作画</v>
      </c>
      <c r="I5203" s="22" t="str">
        <f>IFERROR(__xludf.DUMMYFUNCTION("""COMPUTED_VALUE"""),"BLマンガ")</f>
        <v>BLマンガ</v>
      </c>
      <c r="J5203" s="22"/>
      <c r="K5203" s="22"/>
      <c r="L5203" s="22" t="str">
        <f>IFERROR(__xludf.DUMMYFUNCTION("""COMPUTED_VALUE"""),"レジンエンターテインメント")</f>
        <v>レジンエンターテインメント</v>
      </c>
      <c r="M5203" s="33">
        <f>IFERROR(__xludf.DUMMYFUNCTION("""COMPUTED_VALUE"""),46213.0)</f>
        <v>46213</v>
      </c>
      <c r="N5203" s="33">
        <f>IFERROR(__xludf.DUMMYFUNCTION("""COMPUTED_VALUE"""),46305.0)</f>
        <v>46305</v>
      </c>
      <c r="O5203" s="20" t="str">
        <f>IFERROR(__xludf.DUMMYFUNCTION("""COMPUTED_VALUE"""),"【アダルト作品扱い】")</f>
        <v>【アダルト作品扱い】</v>
      </c>
      <c r="P5203" s="32" t="str">
        <f>IFERROR(__xludf.DUMMYFUNCTION("""COMPUTED_VALUE"""),"可")</f>
        <v>可</v>
      </c>
      <c r="Q5203" s="30"/>
      <c r="R5203" s="22"/>
      <c r="S5203" s="22" t="str">
        <f>IFERROR(__xludf.DUMMYFUNCTION("""COMPUTED_VALUE"""),"20260508_レジンコミックス_Control Time：コントロール・タイム【タテヨミ】")</f>
        <v>20260508_レジンコミックス_Control Time：コントロール・タイム【タテヨミ】</v>
      </c>
      <c r="T5203" s="22" t="str">
        <f>IFERROR(__xludf.DUMMYFUNCTION("""COMPUTED_VALUE"""),"格納済み")</f>
        <v>格納済み</v>
      </c>
      <c r="U5203" s="9" t="str">
        <f>IFERROR(__xludf.DUMMYFUNCTION("""COMPUTED_VALUE"""),"ⒸOFFCAR・HIPS / レジンエンターテインメント")</f>
        <v>ⒸOFFCAR・HIPS / レジンエンターテインメント</v>
      </c>
      <c r="V5203" s="8"/>
      <c r="W5203" s="8"/>
      <c r="X5203" s="8" t="str">
        <f>IFERROR(__xludf.DUMMYFUNCTION("""COMPUTED_VALUE"""),"有")</f>
        <v>有</v>
      </c>
      <c r="Y5203" s="8" t="str">
        <f>IFERROR(__xludf.DUMMYFUNCTION("""COMPUTED_VALUE"""),"1巻永久無料")</f>
        <v>1巻永久無料</v>
      </c>
      <c r="Z5203" s="7"/>
      <c r="AA5203" s="7"/>
      <c r="AB5203" s="7"/>
    </row>
    <row r="5204" ht="15.75" customHeight="1">
      <c r="A5204" s="26">
        <f>IFERROR(__xludf.DUMMYFUNCTION("""COMPUTED_VALUE"""),7971.0)</f>
        <v>7971</v>
      </c>
      <c r="B5204" s="22" t="str">
        <f>IFERROR(__xludf.DUMMYFUNCTION("""COMPUTED_VALUE"""),"確定")</f>
        <v>確定</v>
      </c>
      <c r="C5204" s="28">
        <f>IFERROR(__xludf.DUMMYFUNCTION("""COMPUTED_VALUE"""),46153.0)</f>
        <v>46153</v>
      </c>
      <c r="D5204" s="28">
        <f>IFERROR(__xludf.DUMMYFUNCTION("""COMPUTED_VALUE"""),46155.0)</f>
        <v>46155</v>
      </c>
      <c r="E5204" s="26"/>
      <c r="F5204" s="22" t="str">
        <f>IFERROR(__xludf.DUMMYFUNCTION("""COMPUTED_VALUE"""),"Bloody Lies ：ブラッディ・ライズ【タテヨミ】")</f>
        <v>Bloody Lies ：ブラッディ・ライズ【タテヨミ】</v>
      </c>
      <c r="G5204" s="20" t="str">
        <f>IFERROR(__xludf.DUMMYFUNCTION("""COMPUTED_VALUE"""),"1~30")</f>
        <v>1~30</v>
      </c>
      <c r="H5204" s="22" t="str">
        <f>IFERROR(__xludf.DUMMYFUNCTION("""COMPUTED_VALUE"""),"whiterain   原作  ZO.KILLMER")</f>
        <v>whiterain   原作  ZO.KILLMER</v>
      </c>
      <c r="I5204" s="22" t="str">
        <f>IFERROR(__xludf.DUMMYFUNCTION("""COMPUTED_VALUE"""),"BLマンガ")</f>
        <v>BLマンガ</v>
      </c>
      <c r="J5204" s="22"/>
      <c r="K5204" s="22"/>
      <c r="L5204" s="22" t="str">
        <f>IFERROR(__xludf.DUMMYFUNCTION("""COMPUTED_VALUE"""),"レジンエンターテインメント")</f>
        <v>レジンエンターテインメント</v>
      </c>
      <c r="M5204" s="33">
        <f>IFERROR(__xludf.DUMMYFUNCTION("""COMPUTED_VALUE"""),46227.0)</f>
        <v>46227</v>
      </c>
      <c r="N5204" s="33">
        <f>IFERROR(__xludf.DUMMYFUNCTION("""COMPUTED_VALUE"""),46319.0)</f>
        <v>46319</v>
      </c>
      <c r="O5204" s="20" t="str">
        <f>IFERROR(__xludf.DUMMYFUNCTION("""COMPUTED_VALUE"""),"【アダルト作品扱い】")</f>
        <v>【アダルト作品扱い】</v>
      </c>
      <c r="P5204" s="32" t="str">
        <f>IFERROR(__xludf.DUMMYFUNCTION("""COMPUTED_VALUE"""),"可")</f>
        <v>可</v>
      </c>
      <c r="Q5204" s="30"/>
      <c r="R5204" s="22"/>
      <c r="S5204" s="22" t="str">
        <f>IFERROR(__xludf.DUMMYFUNCTION("""COMPUTED_VALUE"""),"20260508_レジンエンターテインメント_Bloody Lies ：ブラッディ・ライズ【タテヨミ】")</f>
        <v>20260508_レジンエンターテインメント_Bloody Lies ：ブラッディ・ライズ【タテヨミ】</v>
      </c>
      <c r="T5204" s="22" t="str">
        <f>IFERROR(__xludf.DUMMYFUNCTION("""COMPUTED_VALUE"""),"格納済み")</f>
        <v>格納済み</v>
      </c>
      <c r="U5204" s="9" t="str">
        <f>IFERROR(__xludf.DUMMYFUNCTION("""COMPUTED_VALUE"""),"Ⓒwhiterain / ZO.KILLMER / レジンエンターテインメント")</f>
        <v>Ⓒwhiterain / ZO.KILLMER / レジンエンターテインメント</v>
      </c>
      <c r="V5204" s="8"/>
      <c r="W5204" s="8"/>
      <c r="X5204" s="8"/>
      <c r="Y5204" s="8"/>
      <c r="Z5204" s="7"/>
      <c r="AA5204" s="7"/>
      <c r="AB5204" s="7"/>
    </row>
    <row r="5205" ht="15.75" customHeight="1">
      <c r="A5205" s="26">
        <f>IFERROR(__xludf.DUMMYFUNCTION("""COMPUTED_VALUE"""),7972.0)</f>
        <v>7972</v>
      </c>
      <c r="B5205" s="22" t="str">
        <f>IFERROR(__xludf.DUMMYFUNCTION("""COMPUTED_VALUE"""),"確定")</f>
        <v>確定</v>
      </c>
      <c r="C5205" s="28">
        <f>IFERROR(__xludf.DUMMYFUNCTION("""COMPUTED_VALUE"""),46153.0)</f>
        <v>46153</v>
      </c>
      <c r="D5205" s="28">
        <f>IFERROR(__xludf.DUMMYFUNCTION("""COMPUTED_VALUE"""),46155.0)</f>
        <v>46155</v>
      </c>
      <c r="E5205" s="26">
        <f>IFERROR(__xludf.DUMMYFUNCTION("""COMPUTED_VALUE"""),365003.0)</f>
        <v>365003</v>
      </c>
      <c r="F5205" s="22" t="str">
        <f>IFERROR(__xludf.DUMMYFUNCTION("""COMPUTED_VALUE"""),"【フルカラー】彼女の危険なプレイ体験")</f>
        <v>【フルカラー】彼女の危険なプレイ体験</v>
      </c>
      <c r="G5205" s="20" t="str">
        <f>IFERROR(__xludf.DUMMYFUNCTION("""COMPUTED_VALUE"""),"1～3")</f>
        <v>1～3</v>
      </c>
      <c r="H5205" s="22" t="str">
        <f>IFERROR(__xludf.DUMMYFUNCTION("""COMPUTED_VALUE"""),"wild_eryngii soopool")</f>
        <v>wild_eryngii soopool</v>
      </c>
      <c r="I5205" s="22" t="str">
        <f>IFERROR(__xludf.DUMMYFUNCTION("""COMPUTED_VALUE"""),"青年マンガ")</f>
        <v>青年マンガ</v>
      </c>
      <c r="J5205" s="22"/>
      <c r="K5205" s="22"/>
      <c r="L5205" s="22" t="str">
        <f>IFERROR(__xludf.DUMMYFUNCTION("""COMPUTED_VALUE"""),"レジンエンターテインメント")</f>
        <v>レジンエンターテインメント</v>
      </c>
      <c r="M5205" s="33">
        <f>IFERROR(__xludf.DUMMYFUNCTION("""COMPUTED_VALUE"""),46199.0)</f>
        <v>46199</v>
      </c>
      <c r="N5205" s="33">
        <f>IFERROR(__xludf.DUMMYFUNCTION("""COMPUTED_VALUE"""),46291.0)</f>
        <v>46291</v>
      </c>
      <c r="O5205" s="20" t="str">
        <f>IFERROR(__xludf.DUMMYFUNCTION("""COMPUTED_VALUE"""),"【アダルト作品扱い】")</f>
        <v>【アダルト作品扱い】</v>
      </c>
      <c r="P5205" s="32" t="str">
        <f>IFERROR(__xludf.DUMMYFUNCTION("""COMPUTED_VALUE"""),"可")</f>
        <v>可</v>
      </c>
      <c r="Q5205" s="30"/>
      <c r="R5205" s="22"/>
      <c r="S5205" s="22" t="str">
        <f>IFERROR(__xludf.DUMMYFUNCTION("""COMPUTED_VALUE"""),"20260508_レジンエンターテインメント_彼女の危険なプレイ体験【フルカラー】")</f>
        <v>20260508_レジンエンターテインメント_彼女の危険なプレイ体験【フルカラー】</v>
      </c>
      <c r="T5205" s="22" t="str">
        <f>IFERROR(__xludf.DUMMYFUNCTION("""COMPUTED_VALUE"""),"格納済み")</f>
        <v>格納済み</v>
      </c>
      <c r="U5205" s="9" t="str">
        <f>IFERROR(__xludf.DUMMYFUNCTION("""COMPUTED_VALUE"""),"©  wild_eryngii / soopool / レジンエンターテインメント")</f>
        <v>©  wild_eryngii / soopool / レジンエンターテインメント</v>
      </c>
      <c r="V5205" s="8"/>
      <c r="W5205" s="8"/>
      <c r="X5205" s="8" t="str">
        <f>IFERROR(__xludf.DUMMYFUNCTION("""COMPUTED_VALUE"""),"有")</f>
        <v>有</v>
      </c>
      <c r="Y5205" s="8" t="str">
        <f>IFERROR(__xludf.DUMMYFUNCTION("""COMPUTED_VALUE"""),"2026/7/2まで1巻無料")</f>
        <v>2026/7/2まで1巻無料</v>
      </c>
      <c r="Z5205" s="7"/>
      <c r="AA5205" s="7"/>
      <c r="AB5205" s="7"/>
    </row>
    <row r="5206" ht="15.75" customHeight="1">
      <c r="A5206" s="26">
        <f>IFERROR(__xludf.DUMMYFUNCTION("""COMPUTED_VALUE"""),7973.0)</f>
        <v>7973</v>
      </c>
      <c r="B5206" s="22" t="str">
        <f>IFERROR(__xludf.DUMMYFUNCTION("""COMPUTED_VALUE"""),"確定")</f>
        <v>確定</v>
      </c>
      <c r="C5206" s="28">
        <f>IFERROR(__xludf.DUMMYFUNCTION("""COMPUTED_VALUE"""),46153.0)</f>
        <v>46153</v>
      </c>
      <c r="D5206" s="28">
        <f>IFERROR(__xludf.DUMMYFUNCTION("""COMPUTED_VALUE"""),46155.0)</f>
        <v>46155</v>
      </c>
      <c r="E5206" s="26">
        <f>IFERROR(__xludf.DUMMYFUNCTION("""COMPUTED_VALUE"""),364971.0)</f>
        <v>364971</v>
      </c>
      <c r="F5206" s="22" t="str">
        <f>IFERROR(__xludf.DUMMYFUNCTION("""COMPUTED_VALUE"""),"【フルカラー】幽霊とヤる男")</f>
        <v>【フルカラー】幽霊とヤる男</v>
      </c>
      <c r="G5206" s="20" t="str">
        <f>IFERROR(__xludf.DUMMYFUNCTION("""COMPUTED_VALUE"""),"1～3")</f>
        <v>1～3</v>
      </c>
      <c r="H5206" s="22" t="str">
        <f>IFERROR(__xludf.DUMMYFUNCTION("""COMPUTED_VALUE"""),"Yahae")</f>
        <v>Yahae</v>
      </c>
      <c r="I5206" s="22" t="str">
        <f>IFERROR(__xludf.DUMMYFUNCTION("""COMPUTED_VALUE"""),"TLマンガ")</f>
        <v>TLマンガ</v>
      </c>
      <c r="J5206" s="22"/>
      <c r="K5206" s="22"/>
      <c r="L5206" s="22" t="str">
        <f>IFERROR(__xludf.DUMMYFUNCTION("""COMPUTED_VALUE"""),"レジンエンターテインメント")</f>
        <v>レジンエンターテインメント</v>
      </c>
      <c r="M5206" s="33">
        <f>IFERROR(__xludf.DUMMYFUNCTION("""COMPUTED_VALUE"""),46199.0)</f>
        <v>46199</v>
      </c>
      <c r="N5206" s="33">
        <f>IFERROR(__xludf.DUMMYFUNCTION("""COMPUTED_VALUE"""),46291.0)</f>
        <v>46291</v>
      </c>
      <c r="O5206" s="20" t="str">
        <f>IFERROR(__xludf.DUMMYFUNCTION("""COMPUTED_VALUE"""),"【アダルト作品扱い】")</f>
        <v>【アダルト作品扱い】</v>
      </c>
      <c r="P5206" s="32" t="str">
        <f>IFERROR(__xludf.DUMMYFUNCTION("""COMPUTED_VALUE"""),"可")</f>
        <v>可</v>
      </c>
      <c r="Q5206" s="30"/>
      <c r="R5206" s="22"/>
      <c r="S5206" s="22" t="str">
        <f>IFERROR(__xludf.DUMMYFUNCTION("""COMPUTED_VALUE"""),"20260508_レジンコミックス_幽霊とヤる男【フルカラー】")</f>
        <v>20260508_レジンコミックス_幽霊とヤる男【フルカラー】</v>
      </c>
      <c r="T5206" s="22" t="str">
        <f>IFERROR(__xludf.DUMMYFUNCTION("""COMPUTED_VALUE"""),"格納済み")</f>
        <v>格納済み</v>
      </c>
      <c r="U5206" s="9" t="str">
        <f>IFERROR(__xludf.DUMMYFUNCTION("""COMPUTED_VALUE"""),"©  Yahae / レジンエンターテインメント")</f>
        <v>©  Yahae / レジンエンターテインメント</v>
      </c>
      <c r="V5206" s="8"/>
      <c r="W5206" s="8"/>
      <c r="X5206" s="8" t="str">
        <f>IFERROR(__xludf.DUMMYFUNCTION("""COMPUTED_VALUE"""),"有")</f>
        <v>有</v>
      </c>
      <c r="Y5206" s="8" t="str">
        <f>IFERROR(__xludf.DUMMYFUNCTION("""COMPUTED_VALUE"""),"2026/7/12まで1巻無料")</f>
        <v>2026/7/12まで1巻無料</v>
      </c>
      <c r="Z5206" s="7"/>
      <c r="AA5206" s="7"/>
      <c r="AB5206" s="7"/>
    </row>
    <row r="5207" ht="15.75" customHeight="1">
      <c r="A5207" s="26">
        <f>IFERROR(__xludf.DUMMYFUNCTION("""COMPUTED_VALUE"""),7974.0)</f>
        <v>7974</v>
      </c>
      <c r="B5207" s="22" t="str">
        <f>IFERROR(__xludf.DUMMYFUNCTION("""COMPUTED_VALUE"""),"確定")</f>
        <v>確定</v>
      </c>
      <c r="C5207" s="28">
        <f>IFERROR(__xludf.DUMMYFUNCTION("""COMPUTED_VALUE"""),46153.0)</f>
        <v>46153</v>
      </c>
      <c r="D5207" s="28">
        <f>IFERROR(__xludf.DUMMYFUNCTION("""COMPUTED_VALUE"""),46154.0)</f>
        <v>46154</v>
      </c>
      <c r="E5207" s="26">
        <f>IFERROR(__xludf.DUMMYFUNCTION("""COMPUTED_VALUE"""),362055.0)</f>
        <v>362055</v>
      </c>
      <c r="F5207" s="22" t="str">
        <f>IFERROR(__xludf.DUMMYFUNCTION("""COMPUTED_VALUE"""),"十五年の石化から目覚めた元王女は、夫と娘から溺愛される（コミック） 分冊版")</f>
        <v>十五年の石化から目覚めた元王女は、夫と娘から溺愛される（コミック） 分冊版</v>
      </c>
      <c r="G5207" s="20" t="str">
        <f>IFERROR(__xludf.DUMMYFUNCTION("""COMPUTED_VALUE"""),"1～3")</f>
        <v>1～3</v>
      </c>
      <c r="H5207" s="22" t="str">
        <f>IFERROR(__xludf.DUMMYFUNCTION("""COMPUTED_VALUE"""),"葉蘭たな・瀬尾優梨")</f>
        <v>葉蘭たな・瀬尾優梨</v>
      </c>
      <c r="I5207" s="22" t="str">
        <f>IFERROR(__xludf.DUMMYFUNCTION("""COMPUTED_VALUE"""),"女性マンガ")</f>
        <v>女性マンガ</v>
      </c>
      <c r="J5207" s="22"/>
      <c r="K5207" s="22" t="str">
        <f>IFERROR(__xludf.DUMMYFUNCTION("""COMPUTED_VALUE"""),"モンスターコミックスｆ")</f>
        <v>モンスターコミックスｆ</v>
      </c>
      <c r="L5207" s="22" t="str">
        <f>IFERROR(__xludf.DUMMYFUNCTION("""COMPUTED_VALUE"""),"双葉社")</f>
        <v>双葉社</v>
      </c>
      <c r="M5207" s="33">
        <f>IFERROR(__xludf.DUMMYFUNCTION("""COMPUTED_VALUE"""),46187.0)</f>
        <v>46187</v>
      </c>
      <c r="N5207" s="33">
        <f>IFERROR(__xludf.DUMMYFUNCTION("""COMPUTED_VALUE"""),46247.0)</f>
        <v>46247</v>
      </c>
      <c r="O5207" s="20"/>
      <c r="P5207" s="32" t="str">
        <f>IFERROR(__xludf.DUMMYFUNCTION("""COMPUTED_VALUE"""),"可")</f>
        <v>可</v>
      </c>
      <c r="Q5207" s="30"/>
      <c r="R5207" s="22"/>
      <c r="S5207" s="22" t="str">
        <f>IFERROR(__xludf.DUMMYFUNCTION("""COMPUTED_VALUE"""),"20260511_双葉社_十五年の石化から目覚めた元王女は、夫と娘から溺愛される（コミック） 分冊版")</f>
        <v>20260511_双葉社_十五年の石化から目覚めた元王女は、夫と娘から溺愛される（コミック） 分冊版</v>
      </c>
      <c r="T5207" s="22" t="str">
        <f>IFERROR(__xludf.DUMMYFUNCTION("""COMPUTED_VALUE"""),"格納済み")</f>
        <v>格納済み</v>
      </c>
      <c r="U5207" s="9" t="str">
        <f>IFERROR(__xludf.DUMMYFUNCTION("""COMPUTED_VALUE"""),"©葉蘭たな・瀬尾優梨 /双葉社")</f>
        <v>©葉蘭たな・瀬尾優梨 /双葉社</v>
      </c>
      <c r="V5207" s="8"/>
      <c r="W5207" s="8"/>
      <c r="X5207" s="8" t="str">
        <f>IFERROR(__xludf.DUMMYFUNCTION("""COMPUTED_VALUE"""),"有")</f>
        <v>有</v>
      </c>
      <c r="Y5207" s="8" t="str">
        <f>IFERROR(__xludf.DUMMYFUNCTION("""COMPUTED_VALUE"""),"2026/7/13まで1巻無料")</f>
        <v>2026/7/13まで1巻無料</v>
      </c>
      <c r="Z5207" s="7"/>
      <c r="AA5207" s="7"/>
      <c r="AB5207" s="7"/>
    </row>
    <row r="5208" ht="15.75" customHeight="1">
      <c r="A5208" s="26">
        <f>IFERROR(__xludf.DUMMYFUNCTION("""COMPUTED_VALUE"""),7975.0)</f>
        <v>7975</v>
      </c>
      <c r="B5208" s="22" t="str">
        <f>IFERROR(__xludf.DUMMYFUNCTION("""COMPUTED_VALUE"""),"確定")</f>
        <v>確定</v>
      </c>
      <c r="C5208" s="28">
        <f>IFERROR(__xludf.DUMMYFUNCTION("""COMPUTED_VALUE"""),46153.0)</f>
        <v>46153</v>
      </c>
      <c r="D5208" s="28">
        <f>IFERROR(__xludf.DUMMYFUNCTION("""COMPUTED_VALUE"""),46154.0)</f>
        <v>46154</v>
      </c>
      <c r="E5208" s="26">
        <f>IFERROR(__xludf.DUMMYFUNCTION("""COMPUTED_VALUE"""),361740.0)</f>
        <v>361740</v>
      </c>
      <c r="F5208" s="22" t="str">
        <f>IFERROR(__xludf.DUMMYFUNCTION("""COMPUTED_VALUE"""),"Re:異世界で最強のスキルを生み出せたので、ひたすら無双することにしました。～俺だけがステータスを勝手に操作～（コミック） 分冊版")</f>
        <v>Re:異世界で最強のスキルを生み出せたので、ひたすら無双することにしました。～俺だけがステータスを勝手に操作～（コミック） 分冊版</v>
      </c>
      <c r="G5208" s="20" t="str">
        <f>IFERROR(__xludf.DUMMYFUNCTION("""COMPUTED_VALUE"""),"1～3")</f>
        <v>1～3</v>
      </c>
      <c r="H5208" s="22" t="str">
        <f>IFERROR(__xludf.DUMMYFUNCTION("""COMPUTED_VALUE"""),"鶯時二十七・ヒゲ抜き地蔵")</f>
        <v>鶯時二十七・ヒゲ抜き地蔵</v>
      </c>
      <c r="I5208" s="22" t="str">
        <f>IFERROR(__xludf.DUMMYFUNCTION("""COMPUTED_VALUE"""),"青年マンガ")</f>
        <v>青年マンガ</v>
      </c>
      <c r="J5208" s="22"/>
      <c r="K5208" s="22" t="str">
        <f>IFERROR(__xludf.DUMMYFUNCTION("""COMPUTED_VALUE"""),"モンスターコミックス")</f>
        <v>モンスターコミックス</v>
      </c>
      <c r="L5208" s="22" t="str">
        <f>IFERROR(__xludf.DUMMYFUNCTION("""COMPUTED_VALUE"""),"双葉社")</f>
        <v>双葉社</v>
      </c>
      <c r="M5208" s="33">
        <f>IFERROR(__xludf.DUMMYFUNCTION("""COMPUTED_VALUE"""),46176.0)</f>
        <v>46176</v>
      </c>
      <c r="N5208" s="33">
        <f>IFERROR(__xludf.DUMMYFUNCTION("""COMPUTED_VALUE"""),46236.0)</f>
        <v>46236</v>
      </c>
      <c r="O5208" s="20"/>
      <c r="P5208" s="32" t="str">
        <f>IFERROR(__xludf.DUMMYFUNCTION("""COMPUTED_VALUE"""),"可")</f>
        <v>可</v>
      </c>
      <c r="Q5208" s="30"/>
      <c r="R5208" s="22"/>
      <c r="S5208" s="22" t="str">
        <f>IFERROR(__xludf.DUMMYFUNCTION("""COMPUTED_VALUE"""),"20260511_双葉社_異世界で最強のスキルを生み出せたので、ひたすら無双することにしました。R～俺だけがステータスを勝手に操作～（コミック） 分冊版")</f>
        <v>20260511_双葉社_異世界で最強のスキルを生み出せたので、ひたすら無双することにしました。R～俺だけがステータスを勝手に操作～（コミック） 分冊版</v>
      </c>
      <c r="T5208" s="22" t="str">
        <f>IFERROR(__xludf.DUMMYFUNCTION("""COMPUTED_VALUE"""),"格納済み")</f>
        <v>格納済み</v>
      </c>
      <c r="U5208" s="9" t="str">
        <f>IFERROR(__xludf.DUMMYFUNCTION("""COMPUTED_VALUE"""),"Ⓒ鶯時二十七・ヒゲ抜き地蔵/双葉社")</f>
        <v>Ⓒ鶯時二十七・ヒゲ抜き地蔵/双葉社</v>
      </c>
      <c r="V5208" s="8"/>
      <c r="W5208" s="8"/>
      <c r="X5208" s="8" t="str">
        <f>IFERROR(__xludf.DUMMYFUNCTION("""COMPUTED_VALUE"""),"有")</f>
        <v>有</v>
      </c>
      <c r="Y5208" s="8" t="str">
        <f>IFERROR(__xludf.DUMMYFUNCTION("""COMPUTED_VALUE"""),"P9まで")</f>
        <v>P9まで</v>
      </c>
      <c r="Z5208" s="7"/>
      <c r="AA5208" s="7"/>
      <c r="AB5208" s="7"/>
    </row>
    <row r="5209" ht="15.75" customHeight="1">
      <c r="A5209" s="26">
        <f>IFERROR(__xludf.DUMMYFUNCTION("""COMPUTED_VALUE"""),7976.0)</f>
        <v>7976</v>
      </c>
      <c r="B5209" s="22" t="str">
        <f>IFERROR(__xludf.DUMMYFUNCTION("""COMPUTED_VALUE"""),"確定")</f>
        <v>確定</v>
      </c>
      <c r="C5209" s="28">
        <f>IFERROR(__xludf.DUMMYFUNCTION("""COMPUTED_VALUE"""),46153.0)</f>
        <v>46153</v>
      </c>
      <c r="D5209" s="28">
        <f>IFERROR(__xludf.DUMMYFUNCTION("""COMPUTED_VALUE"""),46154.0)</f>
        <v>46154</v>
      </c>
      <c r="E5209" s="26">
        <f>IFERROR(__xludf.DUMMYFUNCTION("""COMPUTED_VALUE"""),363289.0)</f>
        <v>363289</v>
      </c>
      <c r="F5209" s="22" t="str">
        <f>IFERROR(__xludf.DUMMYFUNCTION("""COMPUTED_VALUE"""),"あいにーちゅ！")</f>
        <v>あいにーちゅ！</v>
      </c>
      <c r="G5209" s="20" t="str">
        <f>IFERROR(__xludf.DUMMYFUNCTION("""COMPUTED_VALUE"""),"1～3")</f>
        <v>1～3</v>
      </c>
      <c r="H5209" s="22" t="str">
        <f>IFERROR(__xludf.DUMMYFUNCTION("""COMPUTED_VALUE"""),"KIIKO")</f>
        <v>KIIKO</v>
      </c>
      <c r="I5209" s="22" t="str">
        <f>IFERROR(__xludf.DUMMYFUNCTION("""COMPUTED_VALUE"""),"BLマンガ")</f>
        <v>BLマンガ</v>
      </c>
      <c r="J5209" s="22"/>
      <c r="K5209" s="22"/>
      <c r="L5209" s="22" t="str">
        <f>IFERROR(__xludf.DUMMYFUNCTION("""COMPUTED_VALUE"""),"Freedia(フリーディア)")</f>
        <v>Freedia(フリーディア)</v>
      </c>
      <c r="M5209" s="33">
        <f>IFERROR(__xludf.DUMMYFUNCTION("""COMPUTED_VALUE"""),46192.0)</f>
        <v>46192</v>
      </c>
      <c r="N5209" s="33">
        <f>IFERROR(__xludf.DUMMYFUNCTION("""COMPUTED_VALUE"""),46283.0)</f>
        <v>46283</v>
      </c>
      <c r="O5209" s="20"/>
      <c r="P5209" s="32" t="str">
        <f>IFERROR(__xludf.DUMMYFUNCTION("""COMPUTED_VALUE"""),"可")</f>
        <v>可</v>
      </c>
      <c r="Q5209" s="30"/>
      <c r="R5209" s="22"/>
      <c r="S5209" s="22" t="str">
        <f>IFERROR(__xludf.DUMMYFUNCTION("""COMPUTED_VALUE"""),"20260511_Freedia(フリーディア)_あいにーちゅ！")</f>
        <v>20260511_Freedia(フリーディア)_あいにーちゅ！</v>
      </c>
      <c r="T5209" s="22" t="str">
        <f>IFERROR(__xludf.DUMMYFUNCTION("""COMPUTED_VALUE"""),"格納済み")</f>
        <v>格納済み</v>
      </c>
      <c r="U5209" s="9" t="str">
        <f>IFERROR(__xludf.DUMMYFUNCTION("""COMPUTED_VALUE"""),"ⒸKIIKO/Freedia")</f>
        <v>ⒸKIIKO/Freedia</v>
      </c>
      <c r="V5209" s="8"/>
      <c r="W5209" s="8"/>
      <c r="X5209" s="8" t="str">
        <f>IFERROR(__xludf.DUMMYFUNCTION("""COMPUTED_VALUE"""),"有")</f>
        <v>有</v>
      </c>
      <c r="Y5209" s="8" t="str">
        <f>IFERROR(__xludf.DUMMYFUNCTION("""COMPUTED_VALUE"""),"2026/9/18まで1巻無料")</f>
        <v>2026/9/18まで1巻無料</v>
      </c>
      <c r="Z5209" s="7"/>
      <c r="AA5209" s="7"/>
      <c r="AB5209" s="7"/>
    </row>
    <row r="5210" ht="15.75" customHeight="1">
      <c r="A5210" s="26">
        <f>IFERROR(__xludf.DUMMYFUNCTION("""COMPUTED_VALUE"""),7977.0)</f>
        <v>7977</v>
      </c>
      <c r="B5210" s="22" t="str">
        <f>IFERROR(__xludf.DUMMYFUNCTION("""COMPUTED_VALUE"""),"確定")</f>
        <v>確定</v>
      </c>
      <c r="C5210" s="28">
        <f>IFERROR(__xludf.DUMMYFUNCTION("""COMPUTED_VALUE"""),46153.0)</f>
        <v>46153</v>
      </c>
      <c r="D5210" s="28">
        <f>IFERROR(__xludf.DUMMYFUNCTION("""COMPUTED_VALUE"""),46154.0)</f>
        <v>46154</v>
      </c>
      <c r="E5210" s="26">
        <f>IFERROR(__xludf.DUMMYFUNCTION("""COMPUTED_VALUE"""),363812.0)</f>
        <v>363812</v>
      </c>
      <c r="F5210" s="22" t="str">
        <f>IFERROR(__xludf.DUMMYFUNCTION("""COMPUTED_VALUE"""),"運命が来た！")</f>
        <v>運命が来た！</v>
      </c>
      <c r="G5210" s="20" t="str">
        <f>IFERROR(__xludf.DUMMYFUNCTION("""COMPUTED_VALUE"""),"1～3")</f>
        <v>1～3</v>
      </c>
      <c r="H5210" s="22" t="str">
        <f>IFERROR(__xludf.DUMMYFUNCTION("""COMPUTED_VALUE"""),"おみけ・サブロー")</f>
        <v>おみけ・サブロー</v>
      </c>
      <c r="I5210" s="22" t="str">
        <f>IFERROR(__xludf.DUMMYFUNCTION("""COMPUTED_VALUE"""),"BLマンガ")</f>
        <v>BLマンガ</v>
      </c>
      <c r="J5210" s="22"/>
      <c r="K5210" s="22"/>
      <c r="L5210" s="22" t="str">
        <f>IFERROR(__xludf.DUMMYFUNCTION("""COMPUTED_VALUE"""),"Freedia(フリーディア)")</f>
        <v>Freedia(フリーディア)</v>
      </c>
      <c r="M5210" s="33">
        <f>IFERROR(__xludf.DUMMYFUNCTION("""COMPUTED_VALUE"""),46199.0)</f>
        <v>46199</v>
      </c>
      <c r="N5210" s="33">
        <f>IFERROR(__xludf.DUMMYFUNCTION("""COMPUTED_VALUE"""),46290.0)</f>
        <v>46290</v>
      </c>
      <c r="O5210" s="20"/>
      <c r="P5210" s="32" t="str">
        <f>IFERROR(__xludf.DUMMYFUNCTION("""COMPUTED_VALUE"""),"可")</f>
        <v>可</v>
      </c>
      <c r="Q5210" s="30"/>
      <c r="R5210" s="22"/>
      <c r="S5210" s="22" t="str">
        <f>IFERROR(__xludf.DUMMYFUNCTION("""COMPUTED_VALUE"""),"20260511_Freedia(フリーディア)_「運命が来た！」")</f>
        <v>20260511_Freedia(フリーディア)_「運命が来た！」</v>
      </c>
      <c r="T5210" s="22" t="str">
        <f>IFERROR(__xludf.DUMMYFUNCTION("""COMPUTED_VALUE"""),"格納済み")</f>
        <v>格納済み</v>
      </c>
      <c r="U5210" s="9" t="str">
        <f>IFERROR(__xludf.DUMMYFUNCTION("""COMPUTED_VALUE"""),"Ⓒおみけ・サブロー/Freedia")</f>
        <v>Ⓒおみけ・サブロー/Freedia</v>
      </c>
      <c r="V5210" s="8"/>
      <c r="W5210" s="8"/>
      <c r="X5210" s="8" t="str">
        <f>IFERROR(__xludf.DUMMYFUNCTION("""COMPUTED_VALUE"""),"有")</f>
        <v>有</v>
      </c>
      <c r="Y5210" s="8" t="str">
        <f>IFERROR(__xludf.DUMMYFUNCTION("""COMPUTED_VALUE"""),"2026/9/25まで1巻無料")</f>
        <v>2026/9/25まで1巻無料</v>
      </c>
      <c r="Z5210" s="7"/>
      <c r="AA5210" s="7"/>
      <c r="AB5210" s="7"/>
    </row>
    <row r="5211" ht="15.75" customHeight="1">
      <c r="A5211" s="26">
        <f>IFERROR(__xludf.DUMMYFUNCTION("""COMPUTED_VALUE"""),7978.0)</f>
        <v>7978</v>
      </c>
      <c r="B5211" s="22" t="str">
        <f>IFERROR(__xludf.DUMMYFUNCTION("""COMPUTED_VALUE"""),"確定")</f>
        <v>確定</v>
      </c>
      <c r="C5211" s="28">
        <f>IFERROR(__xludf.DUMMYFUNCTION("""COMPUTED_VALUE"""),46154.0)</f>
        <v>46154</v>
      </c>
      <c r="D5211" s="28">
        <f>IFERROR(__xludf.DUMMYFUNCTION("""COMPUTED_VALUE"""),46154.0)</f>
        <v>46154</v>
      </c>
      <c r="E5211" s="26">
        <f>IFERROR(__xludf.DUMMYFUNCTION("""COMPUTED_VALUE"""),322274.0)</f>
        <v>322274</v>
      </c>
      <c r="F5211" s="22" t="str">
        <f>IFERROR(__xludf.DUMMYFUNCTION("""COMPUTED_VALUE"""),"氷の悪女は最愛の旦那サマを聖女に寝取られ予定です！")</f>
        <v>氷の悪女は最愛の旦那サマを聖女に寝取られ予定です！</v>
      </c>
      <c r="G5211" s="20" t="str">
        <f>IFERROR(__xludf.DUMMYFUNCTION("""COMPUTED_VALUE"""),"1～3")</f>
        <v>1～3</v>
      </c>
      <c r="H5211" s="22" t="str">
        <f>IFERROR(__xludf.DUMMYFUNCTION("""COMPUTED_VALUE"""),"来岬未悠")</f>
        <v>来岬未悠</v>
      </c>
      <c r="I5211" s="22" t="str">
        <f>IFERROR(__xludf.DUMMYFUNCTION("""COMPUTED_VALUE"""),"女性")</f>
        <v>女性</v>
      </c>
      <c r="J5211" s="22"/>
      <c r="K5211" s="22" t="str">
        <f>IFERROR(__xludf.DUMMYFUNCTION("""COMPUTED_VALUE"""),"スキして?桃色日記")</f>
        <v>スキして?桃色日記</v>
      </c>
      <c r="L5211" s="22" t="str">
        <f>IFERROR(__xludf.DUMMYFUNCTION("""COMPUTED_VALUE"""),"シーモアコミックス")</f>
        <v>シーモアコミックス</v>
      </c>
      <c r="M5211" s="33">
        <f>IFERROR(__xludf.DUMMYFUNCTION("""COMPUTED_VALUE"""),46179.0)</f>
        <v>46179</v>
      </c>
      <c r="N5211" s="33">
        <f>IFERROR(__xludf.DUMMYFUNCTION("""COMPUTED_VALUE"""),2958465.0)</f>
        <v>2958465</v>
      </c>
      <c r="O5211" s="20"/>
      <c r="P5211" s="32" t="str">
        <f>IFERROR(__xludf.DUMMYFUNCTION("""COMPUTED_VALUE"""),"可")</f>
        <v>可</v>
      </c>
      <c r="Q5211" s="30" t="str">
        <f>IFERROR(__xludf.DUMMYFUNCTION("""COMPUTED_VALUE"""),"3巻素材の共有は後日になるので1~2巻素材で広告制作お願いいたします。")</f>
        <v>3巻素材の共有は後日になるので1~2巻素材で広告制作お願いいたします。</v>
      </c>
      <c r="R5211" s="22"/>
      <c r="S5211" s="22" t="str">
        <f>IFERROR(__xludf.DUMMYFUNCTION("""COMPUTED_VALUE"""),"20260420_シーモアコミックス_氷の悪女は最愛の旦那サマを聖女に寝取られ予定です！")</f>
        <v>20260420_シーモアコミックス_氷の悪女は最愛の旦那サマを聖女に寝取られ予定です！</v>
      </c>
      <c r="T5211" s="22" t="str">
        <f>IFERROR(__xludf.DUMMYFUNCTION("""COMPUTED_VALUE"""),"格納済み")</f>
        <v>格納済み</v>
      </c>
      <c r="U5211" s="9" t="str">
        <f>IFERROR(__xludf.DUMMYFUNCTION("""COMPUTED_VALUE"""),"(C) 来岬未悠/シーモアコミックス")</f>
        <v>(C) 来岬未悠/シーモアコミックス</v>
      </c>
      <c r="V5211" s="8"/>
      <c r="W5211" s="8"/>
      <c r="X5211" s="8" t="str">
        <f>IFERROR(__xludf.DUMMYFUNCTION("""COMPUTED_VALUE"""),"有")</f>
        <v>有</v>
      </c>
      <c r="Y5211" s="8" t="str">
        <f>IFERROR(__xludf.DUMMYFUNCTION("""COMPUTED_VALUE"""),"2026/7/3まで1巻無料")</f>
        <v>2026/7/3まで1巻無料</v>
      </c>
      <c r="Z5211" s="7"/>
      <c r="AA5211" s="7"/>
      <c r="AB5211" s="7"/>
    </row>
    <row r="5212" ht="15.75" customHeight="1">
      <c r="A5212" s="26">
        <f>IFERROR(__xludf.DUMMYFUNCTION("""COMPUTED_VALUE"""),7979.0)</f>
        <v>7979</v>
      </c>
      <c r="B5212" s="22" t="str">
        <f>IFERROR(__xludf.DUMMYFUNCTION("""COMPUTED_VALUE"""),"確定")</f>
        <v>確定</v>
      </c>
      <c r="C5212" s="28">
        <f>IFERROR(__xludf.DUMMYFUNCTION("""COMPUTED_VALUE"""),46154.0)</f>
        <v>46154</v>
      </c>
      <c r="D5212" s="28">
        <f>IFERROR(__xludf.DUMMYFUNCTION("""COMPUTED_VALUE"""),46154.0)</f>
        <v>46154</v>
      </c>
      <c r="E5212" s="26">
        <f>IFERROR(__xludf.DUMMYFUNCTION("""COMPUTED_VALUE"""),340369.0)</f>
        <v>340369</v>
      </c>
      <c r="F5212" s="22" t="str">
        <f>IFERROR(__xludf.DUMMYFUNCTION("""COMPUTED_VALUE"""),"愛した顔にきみは似ていたので")</f>
        <v>愛した顔にきみは似ていたので</v>
      </c>
      <c r="G5212" s="20" t="str">
        <f>IFERROR(__xludf.DUMMYFUNCTION("""COMPUTED_VALUE"""),"1～2")</f>
        <v>1～2</v>
      </c>
      <c r="H5212" s="22" t="str">
        <f>IFERROR(__xludf.DUMMYFUNCTION("""COMPUTED_VALUE"""),"デストロイ")</f>
        <v>デストロイ</v>
      </c>
      <c r="I5212" s="22" t="str">
        <f>IFERROR(__xludf.DUMMYFUNCTION("""COMPUTED_VALUE"""),"BL")</f>
        <v>BL</v>
      </c>
      <c r="J5212" s="22"/>
      <c r="K5212" s="22" t="str">
        <f>IFERROR(__xludf.DUMMYFUNCTION("""COMPUTED_VALUE"""),"Ficus")</f>
        <v>Ficus</v>
      </c>
      <c r="L5212" s="22" t="str">
        <f>IFERROR(__xludf.DUMMYFUNCTION("""COMPUTED_VALUE"""),"シーモアコミックス")</f>
        <v>シーモアコミックス</v>
      </c>
      <c r="M5212" s="33">
        <f>IFERROR(__xludf.DUMMYFUNCTION("""COMPUTED_VALUE"""),46179.0)</f>
        <v>46179</v>
      </c>
      <c r="N5212" s="33">
        <f>IFERROR(__xludf.DUMMYFUNCTION("""COMPUTED_VALUE"""),2958465.0)</f>
        <v>2958465</v>
      </c>
      <c r="O5212" s="20" t="str">
        <f>IFERROR(__xludf.DUMMYFUNCTION("""COMPUTED_VALUE"""),"【アダルト作品扱い】")</f>
        <v>【アダルト作品扱い】</v>
      </c>
      <c r="P5212" s="32" t="str">
        <f>IFERROR(__xludf.DUMMYFUNCTION("""COMPUTED_VALUE"""),"可")</f>
        <v>可</v>
      </c>
      <c r="Q5212" s="30"/>
      <c r="R5212" s="22"/>
      <c r="S5212" s="22" t="str">
        <f>IFERROR(__xludf.DUMMYFUNCTION("""COMPUTED_VALUE"""),"20260420_シーモアコミックス_愛した顔にきみは似ていたので")</f>
        <v>20260420_シーモアコミックス_愛した顔にきみは似ていたので</v>
      </c>
      <c r="T5212" s="22" t="str">
        <f>IFERROR(__xludf.DUMMYFUNCTION("""COMPUTED_VALUE"""),"格納済み")</f>
        <v>格納済み</v>
      </c>
      <c r="U5212" s="9" t="str">
        <f>IFERROR(__xludf.DUMMYFUNCTION("""COMPUTED_VALUE"""),"(C) デストロイ/シーモアコミックス")</f>
        <v>(C) デストロイ/シーモアコミックス</v>
      </c>
      <c r="V5212" s="8"/>
      <c r="W5212" s="8"/>
      <c r="X5212" s="8" t="str">
        <f>IFERROR(__xludf.DUMMYFUNCTION("""COMPUTED_VALUE"""),"有")</f>
        <v>有</v>
      </c>
      <c r="Y5212" s="8" t="str">
        <f>IFERROR(__xludf.DUMMYFUNCTION("""COMPUTED_VALUE"""),"p9まで")</f>
        <v>p9まで</v>
      </c>
      <c r="Z5212" s="7"/>
      <c r="AA5212" s="7"/>
      <c r="AB5212" s="7"/>
    </row>
    <row r="5213" ht="15.75" customHeight="1">
      <c r="A5213" s="26">
        <f>IFERROR(__xludf.DUMMYFUNCTION("""COMPUTED_VALUE"""),7980.0)</f>
        <v>7980</v>
      </c>
      <c r="B5213" s="22" t="str">
        <f>IFERROR(__xludf.DUMMYFUNCTION("""COMPUTED_VALUE"""),"確定")</f>
        <v>確定</v>
      </c>
      <c r="C5213" s="28">
        <f>IFERROR(__xludf.DUMMYFUNCTION("""COMPUTED_VALUE"""),46154.0)</f>
        <v>46154</v>
      </c>
      <c r="D5213" s="28">
        <f>IFERROR(__xludf.DUMMYFUNCTION("""COMPUTED_VALUE"""),46155.0)</f>
        <v>46155</v>
      </c>
      <c r="E5213" s="26">
        <f>IFERROR(__xludf.DUMMYFUNCTION("""COMPUTED_VALUE"""),361149.0)</f>
        <v>361149</v>
      </c>
      <c r="F5213" s="22" t="str">
        <f>IFERROR(__xludf.DUMMYFUNCTION("""COMPUTED_VALUE"""),"人喰い鬼は聖女様を淫らに食べ尽くしたい～お菓子より甘いとろける愛撫に乱されて～")</f>
        <v>人喰い鬼は聖女様を淫らに食べ尽くしたい～お菓子より甘いとろける愛撫に乱されて～</v>
      </c>
      <c r="G5213" s="20">
        <f>IFERROR(__xludf.DUMMYFUNCTION("""COMPUTED_VALUE"""),1.0)</f>
        <v>1</v>
      </c>
      <c r="H5213" s="22" t="str">
        <f>IFERROR(__xludf.DUMMYFUNCTION("""COMPUTED_VALUE"""),"海本あきら")</f>
        <v>海本あきら</v>
      </c>
      <c r="I5213" s="22" t="str">
        <f>IFERROR(__xludf.DUMMYFUNCTION("""COMPUTED_VALUE"""),"TLマンガ")</f>
        <v>TLマンガ</v>
      </c>
      <c r="J5213" s="22"/>
      <c r="K5213" s="22" t="str">
        <f>IFERROR(__xludf.DUMMYFUNCTION("""COMPUTED_VALUE"""),"lou lou")</f>
        <v>lou lou</v>
      </c>
      <c r="L5213" s="22" t="str">
        <f>IFERROR(__xludf.DUMMYFUNCTION("""COMPUTED_VALUE"""),"渋谷六花舎")</f>
        <v>渋谷六花舎</v>
      </c>
      <c r="M5213" s="33">
        <f>IFERROR(__xludf.DUMMYFUNCTION("""COMPUTED_VALUE"""),46160.0)</f>
        <v>46160</v>
      </c>
      <c r="N5213" s="33">
        <f>IFERROR(__xludf.DUMMYFUNCTION("""COMPUTED_VALUE"""),46243.0)</f>
        <v>46243</v>
      </c>
      <c r="O5213" s="20" t="str">
        <f>IFERROR(__xludf.DUMMYFUNCTION("""COMPUTED_VALUE"""),"【アダルト作品扱い】")</f>
        <v>【アダルト作品扱い】</v>
      </c>
      <c r="P5213" s="32" t="str">
        <f>IFERROR(__xludf.DUMMYFUNCTION("""COMPUTED_VALUE"""),"可")</f>
        <v>可</v>
      </c>
      <c r="Q5213" s="30"/>
      <c r="R5213" s="22"/>
      <c r="S5213" s="22" t="str">
        <f>IFERROR(__xludf.DUMMYFUNCTION("""COMPUTED_VALUE"""),"20260512_渋谷六花舎_人喰い鬼は聖女様を淫らに食べ尽くしたい～お菓子より甘いとろける愛撫に乱されて～")</f>
        <v>20260512_渋谷六花舎_人喰い鬼は聖女様を淫らに食べ尽くしたい～お菓子より甘いとろける愛撫に乱されて～</v>
      </c>
      <c r="T5213" s="22" t="str">
        <f>IFERROR(__xludf.DUMMYFUNCTION("""COMPUTED_VALUE"""),"格納済み")</f>
        <v>格納済み</v>
      </c>
      <c r="U5213" s="9" t="str">
        <f>IFERROR(__xludf.DUMMYFUNCTION("""COMPUTED_VALUE"""),"（C）海本あきら/lou lou")</f>
        <v>（C）海本あきら/lou lou</v>
      </c>
      <c r="V5213" s="8"/>
      <c r="W5213" s="8"/>
      <c r="X5213" s="8" t="str">
        <f>IFERROR(__xludf.DUMMYFUNCTION("""COMPUTED_VALUE"""),"有")</f>
        <v>有</v>
      </c>
      <c r="Y5213" s="8" t="str">
        <f>IFERROR(__xludf.DUMMYFUNCTION("""COMPUTED_VALUE"""),"2026/5/31まで1巻立ち読み増量P13まで")</f>
        <v>2026/5/31まで1巻立ち読み増量P13まで</v>
      </c>
      <c r="Z5213" s="7"/>
      <c r="AA5213" s="7"/>
      <c r="AB5213" s="7"/>
    </row>
    <row r="5214" ht="15.75" customHeight="1">
      <c r="A5214" s="26">
        <f>IFERROR(__xludf.DUMMYFUNCTION("""COMPUTED_VALUE"""),7981.0)</f>
        <v>7981</v>
      </c>
      <c r="B5214" s="22" t="str">
        <f>IFERROR(__xludf.DUMMYFUNCTION("""COMPUTED_VALUE"""),"確定")</f>
        <v>確定</v>
      </c>
      <c r="C5214" s="28">
        <f>IFERROR(__xludf.DUMMYFUNCTION("""COMPUTED_VALUE"""),46154.0)</f>
        <v>46154</v>
      </c>
      <c r="D5214" s="28">
        <f>IFERROR(__xludf.DUMMYFUNCTION("""COMPUTED_VALUE"""),46155.0)</f>
        <v>46155</v>
      </c>
      <c r="E5214" s="26">
        <f>IFERROR(__xludf.DUMMYFUNCTION("""COMPUTED_VALUE"""),361867.0)</f>
        <v>361867</v>
      </c>
      <c r="F5214" s="22" t="str">
        <f>IFERROR(__xludf.DUMMYFUNCTION("""COMPUTED_VALUE"""),"テイク・ミー・ハイ【タテヨミ】")</f>
        <v>テイク・ミー・ハイ【タテヨミ】</v>
      </c>
      <c r="G5214" s="20" t="str">
        <f>IFERROR(__xludf.DUMMYFUNCTION("""COMPUTED_VALUE"""),"1~39")</f>
        <v>1~39</v>
      </c>
      <c r="H5214" s="22" t="str">
        <f>IFERROR(__xludf.DUMMYFUNCTION("""COMPUTED_VALUE"""),"Yiruk")</f>
        <v>Yiruk</v>
      </c>
      <c r="I5214" s="22" t="str">
        <f>IFERROR(__xludf.DUMMYFUNCTION("""COMPUTED_VALUE"""),"BL")</f>
        <v>BL</v>
      </c>
      <c r="J5214" s="22"/>
      <c r="K5214" s="22"/>
      <c r="L5214" s="22" t="str">
        <f>IFERROR(__xludf.DUMMYFUNCTION("""COMPUTED_VALUE"""),"Studio Moon6")</f>
        <v>Studio Moon6</v>
      </c>
      <c r="M5214" s="33">
        <f>IFERROR(__xludf.DUMMYFUNCTION("""COMPUTED_VALUE"""),46185.0)</f>
        <v>46185</v>
      </c>
      <c r="N5214" s="33">
        <f>IFERROR(__xludf.DUMMYFUNCTION("""COMPUTED_VALUE"""),46276.0)</f>
        <v>46276</v>
      </c>
      <c r="O5214" s="20" t="str">
        <f>IFERROR(__xludf.DUMMYFUNCTION("""COMPUTED_VALUE"""),"【アダルト作品扱い】")</f>
        <v>【アダルト作品扱い】</v>
      </c>
      <c r="P5214" s="32" t="str">
        <f>IFERROR(__xludf.DUMMYFUNCTION("""COMPUTED_VALUE"""),"可")</f>
        <v>可</v>
      </c>
      <c r="Q5214" s="30"/>
      <c r="R5214" s="22"/>
      <c r="S5214" s="22" t="str">
        <f>IFERROR(__xludf.DUMMYFUNCTION("""COMPUTED_VALUE"""),"20260512_studiomoon6_テイク・ミー・ハイ")</f>
        <v>20260512_studiomoon6_テイク・ミー・ハイ</v>
      </c>
      <c r="T5214" s="22" t="str">
        <f>IFERROR(__xludf.DUMMYFUNCTION("""COMPUTED_VALUE"""),"格納済み")</f>
        <v>格納済み</v>
      </c>
      <c r="U5214" s="9" t="str">
        <f>IFERROR(__xludf.DUMMYFUNCTION("""COMPUTED_VALUE"""),"ⓒtoonsfamily")</f>
        <v>ⓒtoonsfamily</v>
      </c>
      <c r="V5214" s="8"/>
      <c r="W5214" s="8"/>
      <c r="X5214" s="8" t="str">
        <f>IFERROR(__xludf.DUMMYFUNCTION("""COMPUTED_VALUE"""),"有")</f>
        <v>有</v>
      </c>
      <c r="Y5214" s="8" t="str">
        <f>IFERROR(__xludf.DUMMYFUNCTION("""COMPUTED_VALUE"""),"2026/9/11まで12巻無料")</f>
        <v>2026/9/11まで12巻無料</v>
      </c>
      <c r="Z5214" s="7"/>
      <c r="AA5214" s="7"/>
      <c r="AB5214" s="7"/>
    </row>
    <row r="5215" ht="15.75" customHeight="1">
      <c r="A5215" s="26">
        <f>IFERROR(__xludf.DUMMYFUNCTION("""COMPUTED_VALUE"""),7982.0)</f>
        <v>7982</v>
      </c>
      <c r="B5215" s="22" t="str">
        <f>IFERROR(__xludf.DUMMYFUNCTION("""COMPUTED_VALUE"""),"確定")</f>
        <v>確定</v>
      </c>
      <c r="C5215" s="28">
        <f>IFERROR(__xludf.DUMMYFUNCTION("""COMPUTED_VALUE"""),46154.0)</f>
        <v>46154</v>
      </c>
      <c r="D5215" s="28">
        <f>IFERROR(__xludf.DUMMYFUNCTION("""COMPUTED_VALUE"""),46155.0)</f>
        <v>46155</v>
      </c>
      <c r="E5215" s="26">
        <f>IFERROR(__xludf.DUMMYFUNCTION("""COMPUTED_VALUE"""),362051.0)</f>
        <v>362051</v>
      </c>
      <c r="F5215" s="22" t="str">
        <f>IFERROR(__xludf.DUMMYFUNCTION("""COMPUTED_VALUE"""),"千里の恋は一歩から")</f>
        <v>千里の恋は一歩から</v>
      </c>
      <c r="G5215" s="20" t="str">
        <f>IFERROR(__xludf.DUMMYFUNCTION("""COMPUTED_VALUE"""),"1～3")</f>
        <v>1～3</v>
      </c>
      <c r="H5215" s="22" t="str">
        <f>IFERROR(__xludf.DUMMYFUNCTION("""COMPUTED_VALUE"""),"転はくと")</f>
        <v>転はくと</v>
      </c>
      <c r="I5215" s="22" t="str">
        <f>IFERROR(__xludf.DUMMYFUNCTION("""COMPUTED_VALUE"""),"BL")</f>
        <v>BL</v>
      </c>
      <c r="J5215" s="22"/>
      <c r="K5215" s="22" t="str">
        <f>IFERROR(__xludf.DUMMYFUNCTION("""COMPUTED_VALUE"""),"Tulle")</f>
        <v>Tulle</v>
      </c>
      <c r="L5215" s="22" t="str">
        <f>IFERROR(__xludf.DUMMYFUNCTION("""COMPUTED_VALUE"""),"ブライト出版")</f>
        <v>ブライト出版</v>
      </c>
      <c r="M5215" s="33">
        <f>IFERROR(__xludf.DUMMYFUNCTION("""COMPUTED_VALUE"""),46186.0)</f>
        <v>46186</v>
      </c>
      <c r="N5215" s="33">
        <f>IFERROR(__xludf.DUMMYFUNCTION("""COMPUTED_VALUE"""),46290.0)</f>
        <v>46290</v>
      </c>
      <c r="O5215" s="20"/>
      <c r="P5215" s="32" t="str">
        <f>IFERROR(__xludf.DUMMYFUNCTION("""COMPUTED_VALUE"""),"可")</f>
        <v>可</v>
      </c>
      <c r="Q5215" s="30"/>
      <c r="R5215" s="22"/>
      <c r="S5215" s="22" t="str">
        <f>IFERROR(__xludf.DUMMYFUNCTION("""COMPUTED_VALUE"""),"20250513_ブライト出版_千里の恋は一歩から")</f>
        <v>20250513_ブライト出版_千里の恋は一歩から</v>
      </c>
      <c r="T5215" s="22" t="str">
        <f>IFERROR(__xludf.DUMMYFUNCTION("""COMPUTED_VALUE"""),"格納済み")</f>
        <v>格納済み</v>
      </c>
      <c r="U5215" s="9" t="str">
        <f>IFERROR(__xludf.DUMMYFUNCTION("""COMPUTED_VALUE"""),"(C)転はくと／ブライト出版")</f>
        <v>(C)転はくと／ブライト出版</v>
      </c>
      <c r="V5215" s="8"/>
      <c r="W5215" s="8"/>
      <c r="X5215" s="8" t="str">
        <f>IFERROR(__xludf.DUMMYFUNCTION("""COMPUTED_VALUE"""),"有")</f>
        <v>有</v>
      </c>
      <c r="Y5215" s="8" t="str">
        <f>IFERROR(__xludf.DUMMYFUNCTION("""COMPUTED_VALUE"""),"p13まで")</f>
        <v>p13まで</v>
      </c>
      <c r="Z5215" s="7"/>
      <c r="AA5215" s="7"/>
      <c r="AB5215" s="7"/>
    </row>
    <row r="5216" ht="15.75" customHeight="1">
      <c r="A5216" s="26">
        <f>IFERROR(__xludf.DUMMYFUNCTION("""COMPUTED_VALUE"""),7985.0)</f>
        <v>7985</v>
      </c>
      <c r="B5216" s="22" t="str">
        <f>IFERROR(__xludf.DUMMYFUNCTION("""COMPUTED_VALUE"""),"確定")</f>
        <v>確定</v>
      </c>
      <c r="C5216" s="28">
        <f>IFERROR(__xludf.DUMMYFUNCTION("""COMPUTED_VALUE"""),46155.0)</f>
        <v>46155</v>
      </c>
      <c r="D5216" s="28">
        <f>IFERROR(__xludf.DUMMYFUNCTION("""COMPUTED_VALUE"""),46155.0)</f>
        <v>46155</v>
      </c>
      <c r="E5216" s="26">
        <f>IFERROR(__xludf.DUMMYFUNCTION("""COMPUTED_VALUE"""),363861.0)</f>
        <v>363861</v>
      </c>
      <c r="F5216" s="22" t="str">
        <f>IFERROR(__xludf.DUMMYFUNCTION("""COMPUTED_VALUE"""),"致し方ないので、上司お持ち帰りしました【単話売】")</f>
        <v>致し方ないので、上司お持ち帰りしました【単話売】</v>
      </c>
      <c r="G5216" s="20" t="str">
        <f>IFERROR(__xludf.DUMMYFUNCTION("""COMPUTED_VALUE"""),"1～3")</f>
        <v>1～3</v>
      </c>
      <c r="H5216" s="22" t="str">
        <f>IFERROR(__xludf.DUMMYFUNCTION("""COMPUTED_VALUE"""),"えんがわあぶり/柚月しずく")</f>
        <v>えんがわあぶり/柚月しずく</v>
      </c>
      <c r="I5216" s="22" t="str">
        <f>IFERROR(__xludf.DUMMYFUNCTION("""COMPUTED_VALUE"""),"女性")</f>
        <v>女性</v>
      </c>
      <c r="J5216" s="22"/>
      <c r="K5216" s="22" t="str">
        <f>IFERROR(__xludf.DUMMYFUNCTION("""COMPUTED_VALUE"""),"コイハル")</f>
        <v>コイハル</v>
      </c>
      <c r="L5216" s="22" t="str">
        <f>IFERROR(__xludf.DUMMYFUNCTION("""COMPUTED_VALUE"""),"宙出版")</f>
        <v>宙出版</v>
      </c>
      <c r="M5216" s="33">
        <f>IFERROR(__xludf.DUMMYFUNCTION("""COMPUTED_VALUE"""),46189.0)</f>
        <v>46189</v>
      </c>
      <c r="N5216" s="33">
        <f>IFERROR(__xludf.DUMMYFUNCTION("""COMPUTED_VALUE"""),46251.0)</f>
        <v>46251</v>
      </c>
      <c r="O5216" s="20"/>
      <c r="P5216" s="32" t="str">
        <f>IFERROR(__xludf.DUMMYFUNCTION("""COMPUTED_VALUE"""),"可")</f>
        <v>可</v>
      </c>
      <c r="Q5216" s="30" t="str">
        <f>IFERROR(__xludf.DUMMYFUNCTION("""COMPUTED_VALUE"""),"・「この男、優良物件につき ～クレクレ義妹が私のすべてを奪ってきます～」の作家先生作品です")</f>
        <v>・「この男、優良物件につき ～クレクレ義妹が私のすべてを奪ってきます～」の作家先生作品です</v>
      </c>
      <c r="R5216" s="22"/>
      <c r="S5216" s="22" t="str">
        <f>IFERROR(__xludf.DUMMYFUNCTION("""COMPUTED_VALUE"""),"20260421_宙出版_致し方ないので、上司お持ち帰りしました【単話売】")</f>
        <v>20260421_宙出版_致し方ないので、上司お持ち帰りしました【単話売】</v>
      </c>
      <c r="T5216" s="22" t="str">
        <f>IFERROR(__xludf.DUMMYFUNCTION("""COMPUTED_VALUE"""),"格納済み")</f>
        <v>格納済み</v>
      </c>
      <c r="U5216" s="9" t="str">
        <f>IFERROR(__xludf.DUMMYFUNCTION("""COMPUTED_VALUE"""),"Ⓒえんがわあぶり/柚月しずく/宙出版")</f>
        <v>Ⓒえんがわあぶり/柚月しずく/宙出版</v>
      </c>
      <c r="V5216" s="8"/>
      <c r="W5216" s="8"/>
      <c r="X5216" s="8" t="str">
        <f>IFERROR(__xludf.DUMMYFUNCTION("""COMPUTED_VALUE"""),"有")</f>
        <v>有</v>
      </c>
      <c r="Y5216" s="8" t="str">
        <f>IFERROR(__xludf.DUMMYFUNCTION("""COMPUTED_VALUE"""),"p8まで")</f>
        <v>p8まで</v>
      </c>
      <c r="Z5216" s="7"/>
      <c r="AA5216" s="7"/>
      <c r="AB5216" s="7"/>
    </row>
    <row r="5217" ht="15.75" customHeight="1">
      <c r="A5217" s="26">
        <f>IFERROR(__xludf.DUMMYFUNCTION("""COMPUTED_VALUE"""),7406.0)</f>
        <v>7406</v>
      </c>
      <c r="B5217" s="22" t="str">
        <f>IFERROR(__xludf.DUMMYFUNCTION("""COMPUTED_VALUE"""),"確定")</f>
        <v>確定</v>
      </c>
      <c r="C5217" s="28">
        <f>IFERROR(__xludf.DUMMYFUNCTION("""COMPUTED_VALUE"""),46062.0)</f>
        <v>46062</v>
      </c>
      <c r="D5217" s="28">
        <f>IFERROR(__xludf.DUMMYFUNCTION("""COMPUTED_VALUE"""),46161.0)</f>
        <v>46161</v>
      </c>
      <c r="E5217" s="26"/>
      <c r="F5217" s="22" t="str">
        <f>IFERROR(__xludf.DUMMYFUNCTION("""COMPUTED_VALUE"""),"偽聖女と断罪されて国外追放になり、隣国で静かに暮らしていたら、元婚約者の王子から結婚式の招待状が届きました")</f>
        <v>偽聖女と断罪されて国外追放になり、隣国で静かに暮らしていたら、元婚約者の王子から結婚式の招待状が届きました</v>
      </c>
      <c r="G5217" s="20">
        <f>IFERROR(__xludf.DUMMYFUNCTION("""COMPUTED_VALUE"""),1.0)</f>
        <v>1</v>
      </c>
      <c r="H5217" s="22" t="str">
        <f>IFERROR(__xludf.DUMMYFUNCTION("""COMPUTED_VALUE"""),"漫画：大羽ふみ　原作：朝月アサ")</f>
        <v>漫画：大羽ふみ　原作：朝月アサ</v>
      </c>
      <c r="I5217" s="22" t="str">
        <f>IFERROR(__xludf.DUMMYFUNCTION("""COMPUTED_VALUE"""),"少女")</f>
        <v>少女</v>
      </c>
      <c r="J5217" s="22"/>
      <c r="K5217" s="22" t="str">
        <f>IFERROR(__xludf.DUMMYFUNCTION("""COMPUTED_VALUE"""),"ZERO-SUMコミックス")</f>
        <v>ZERO-SUMコミックス</v>
      </c>
      <c r="L5217" s="22" t="str">
        <f>IFERROR(__xludf.DUMMYFUNCTION("""COMPUTED_VALUE"""),"一迅社")</f>
        <v>一迅社</v>
      </c>
      <c r="M5217" s="33">
        <f>IFERROR(__xludf.DUMMYFUNCTION("""COMPUTED_VALUE"""),46235.0)</f>
        <v>46235</v>
      </c>
      <c r="N5217" s="33">
        <f>IFERROR(__xludf.DUMMYFUNCTION("""COMPUTED_VALUE"""),46295.0)</f>
        <v>46295</v>
      </c>
      <c r="O5217" s="20"/>
      <c r="P5217" s="32" t="str">
        <f>IFERROR(__xludf.DUMMYFUNCTION("""COMPUTED_VALUE"""),"否")</f>
        <v>否</v>
      </c>
      <c r="Q5217" s="30" t="str">
        <f>IFERROR(__xludf.DUMMYFUNCTION("""COMPUTED_VALUE"""),"「偽聖女だと言われましたが、どうやら私が本物のようですよ？ アンソロジーコミック: 4」掲載")</f>
        <v>「偽聖女だと言われましたが、どうやら私が本物のようですよ？ アンソロジーコミック: 4」掲載</v>
      </c>
      <c r="R5217" s="22"/>
      <c r="S5217" s="22" t="str">
        <f>IFERROR(__xludf.DUMMYFUNCTION("""COMPUTED_VALUE"""),"20260515_一迅社_偽聖女と断罪されて国外追放になり、隣国で静かに暮らしていたら、元婚約者の王子から結婚式の招待状が届きました")</f>
        <v>20260515_一迅社_偽聖女と断罪されて国外追放になり、隣国で静かに暮らしていたら、元婚約者の王子から結婚式の招待状が届きました</v>
      </c>
      <c r="T5217" s="22" t="str">
        <f>IFERROR(__xludf.DUMMYFUNCTION("""COMPUTED_VALUE"""),"格納済み")</f>
        <v>格納済み</v>
      </c>
      <c r="U5217" s="9" t="str">
        <f>IFERROR(__xludf.DUMMYFUNCTION("""COMPUTED_VALUE"""),"(C)大羽ふみ・朝月アサ／一迅社")</f>
        <v>(C)大羽ふみ・朝月アサ／一迅社</v>
      </c>
      <c r="V5217" s="8"/>
      <c r="W5217" s="8"/>
      <c r="X5217" s="8"/>
      <c r="Y5217" s="8"/>
      <c r="Z5217" s="7"/>
      <c r="AA5217" s="7"/>
      <c r="AB5217" s="7"/>
    </row>
    <row r="5218" ht="15.75" customHeight="1">
      <c r="A5218" s="26">
        <f>IFERROR(__xludf.DUMMYFUNCTION("""COMPUTED_VALUE"""),7408.0)</f>
        <v>7408</v>
      </c>
      <c r="B5218" s="22" t="str">
        <f>IFERROR(__xludf.DUMMYFUNCTION("""COMPUTED_VALUE"""),"確定")</f>
        <v>確定</v>
      </c>
      <c r="C5218" s="28">
        <f>IFERROR(__xludf.DUMMYFUNCTION("""COMPUTED_VALUE"""),46062.0)</f>
        <v>46062</v>
      </c>
      <c r="D5218" s="28">
        <f>IFERROR(__xludf.DUMMYFUNCTION("""COMPUTED_VALUE"""),46161.0)</f>
        <v>46161</v>
      </c>
      <c r="E5218" s="26"/>
      <c r="F5218" s="22" t="str">
        <f>IFERROR(__xludf.DUMMYFUNCTION("""COMPUTED_VALUE"""),"偽聖女の汚名を着せられ王太子に婚約破棄を言い渡された、虹の聖女は再び求婚される")</f>
        <v>偽聖女の汚名を着せられ王太子に婚約破棄を言い渡された、虹の聖女は再び求婚される</v>
      </c>
      <c r="G5218" s="20">
        <f>IFERROR(__xludf.DUMMYFUNCTION("""COMPUTED_VALUE"""),1.0)</f>
        <v>1</v>
      </c>
      <c r="H5218" s="22" t="str">
        <f>IFERROR(__xludf.DUMMYFUNCTION("""COMPUTED_VALUE"""),"漫画：あさひまち　原作：あずあず")</f>
        <v>漫画：あさひまち　原作：あずあず</v>
      </c>
      <c r="I5218" s="22" t="str">
        <f>IFERROR(__xludf.DUMMYFUNCTION("""COMPUTED_VALUE"""),"少女")</f>
        <v>少女</v>
      </c>
      <c r="J5218" s="22"/>
      <c r="K5218" s="22" t="str">
        <f>IFERROR(__xludf.DUMMYFUNCTION("""COMPUTED_VALUE"""),"ZERO-SUMコミックス")</f>
        <v>ZERO-SUMコミックス</v>
      </c>
      <c r="L5218" s="22" t="str">
        <f>IFERROR(__xludf.DUMMYFUNCTION("""COMPUTED_VALUE"""),"一迅社")</f>
        <v>一迅社</v>
      </c>
      <c r="M5218" s="33">
        <f>IFERROR(__xludf.DUMMYFUNCTION("""COMPUTED_VALUE"""),46235.0)</f>
        <v>46235</v>
      </c>
      <c r="N5218" s="33">
        <f>IFERROR(__xludf.DUMMYFUNCTION("""COMPUTED_VALUE"""),46295.0)</f>
        <v>46295</v>
      </c>
      <c r="O5218" s="20"/>
      <c r="P5218" s="32" t="str">
        <f>IFERROR(__xludf.DUMMYFUNCTION("""COMPUTED_VALUE"""),"否")</f>
        <v>否</v>
      </c>
      <c r="Q5218" s="30" t="str">
        <f>IFERROR(__xludf.DUMMYFUNCTION("""COMPUTED_VALUE"""),"「偽聖女だと言われましたが、どうやら私が本物のようですよ？ アンソロジーコミック: 4」掲載")</f>
        <v>「偽聖女だと言われましたが、どうやら私が本物のようですよ？ アンソロジーコミック: 4」掲載</v>
      </c>
      <c r="R5218" s="22"/>
      <c r="S5218" s="22" t="str">
        <f>IFERROR(__xludf.DUMMYFUNCTION("""COMPUTED_VALUE"""),"20260515_一迅社_偽聖女の汚名を着せられ王太子に婚約破棄を言い渡された、虹の聖女は再び求婚される")</f>
        <v>20260515_一迅社_偽聖女の汚名を着せられ王太子に婚約破棄を言い渡された、虹の聖女は再び求婚される</v>
      </c>
      <c r="T5218" s="22" t="str">
        <f>IFERROR(__xludf.DUMMYFUNCTION("""COMPUTED_VALUE"""),"格納済み")</f>
        <v>格納済み</v>
      </c>
      <c r="U5218" s="9" t="str">
        <f>IFERROR(__xludf.DUMMYFUNCTION("""COMPUTED_VALUE"""),"(C)あさひまち・あずあず／一迅社")</f>
        <v>(C)あさひまち・あずあず／一迅社</v>
      </c>
      <c r="V5218" s="8"/>
      <c r="W5218" s="8"/>
      <c r="X5218" s="8"/>
      <c r="Y5218" s="8"/>
      <c r="Z5218" s="7"/>
      <c r="AA5218" s="7"/>
      <c r="AB5218" s="7"/>
    </row>
    <row r="5219" ht="15.75" customHeight="1">
      <c r="A5219" s="26">
        <f>IFERROR(__xludf.DUMMYFUNCTION("""COMPUTED_VALUE"""),7409.0)</f>
        <v>7409</v>
      </c>
      <c r="B5219" s="22" t="str">
        <f>IFERROR(__xludf.DUMMYFUNCTION("""COMPUTED_VALUE"""),"確定")</f>
        <v>確定</v>
      </c>
      <c r="C5219" s="28">
        <f>IFERROR(__xludf.DUMMYFUNCTION("""COMPUTED_VALUE"""),46062.0)</f>
        <v>46062</v>
      </c>
      <c r="D5219" s="28">
        <f>IFERROR(__xludf.DUMMYFUNCTION("""COMPUTED_VALUE"""),46161.0)</f>
        <v>46161</v>
      </c>
      <c r="E5219" s="26"/>
      <c r="F5219" s="22" t="str">
        <f>IFERROR(__xludf.DUMMYFUNCTION("""COMPUTED_VALUE"""),"国を追い出された元聖女ですが、黒豹陛下に溺愛されていたようです")</f>
        <v>国を追い出された元聖女ですが、黒豹陛下に溺愛されていたようです</v>
      </c>
      <c r="G5219" s="20">
        <f>IFERROR(__xludf.DUMMYFUNCTION("""COMPUTED_VALUE"""),1.0)</f>
        <v>1</v>
      </c>
      <c r="H5219" s="22" t="str">
        <f>IFERROR(__xludf.DUMMYFUNCTION("""COMPUTED_VALUE"""),"漫画：笹木あおこ　原作：Y.ひまわり")</f>
        <v>漫画：笹木あおこ　原作：Y.ひまわり</v>
      </c>
      <c r="I5219" s="22" t="str">
        <f>IFERROR(__xludf.DUMMYFUNCTION("""COMPUTED_VALUE"""),"少女")</f>
        <v>少女</v>
      </c>
      <c r="J5219" s="22"/>
      <c r="K5219" s="22" t="str">
        <f>IFERROR(__xludf.DUMMYFUNCTION("""COMPUTED_VALUE"""),"ZERO-SUMコミックス")</f>
        <v>ZERO-SUMコミックス</v>
      </c>
      <c r="L5219" s="22" t="str">
        <f>IFERROR(__xludf.DUMMYFUNCTION("""COMPUTED_VALUE"""),"一迅社")</f>
        <v>一迅社</v>
      </c>
      <c r="M5219" s="33">
        <f>IFERROR(__xludf.DUMMYFUNCTION("""COMPUTED_VALUE"""),46235.0)</f>
        <v>46235</v>
      </c>
      <c r="N5219" s="33">
        <f>IFERROR(__xludf.DUMMYFUNCTION("""COMPUTED_VALUE"""),46295.0)</f>
        <v>46295</v>
      </c>
      <c r="O5219" s="20"/>
      <c r="P5219" s="32" t="str">
        <f>IFERROR(__xludf.DUMMYFUNCTION("""COMPUTED_VALUE"""),"否")</f>
        <v>否</v>
      </c>
      <c r="Q5219" s="30" t="str">
        <f>IFERROR(__xludf.DUMMYFUNCTION("""COMPUTED_VALUE"""),"「偽聖女だと言われましたが、どうやら私が本物のようですよ？ アンソロジーコミック: 4」掲載")</f>
        <v>「偽聖女だと言われましたが、どうやら私が本物のようですよ？ アンソロジーコミック: 4」掲載</v>
      </c>
      <c r="R5219" s="22"/>
      <c r="S5219" s="22" t="str">
        <f>IFERROR(__xludf.DUMMYFUNCTION("""COMPUTED_VALUE"""),"20260515_一迅社_国を追い出された元聖女ですが、黒豹陛下に溺愛されていたようです")</f>
        <v>20260515_一迅社_国を追い出された元聖女ですが、黒豹陛下に溺愛されていたようです</v>
      </c>
      <c r="T5219" s="22" t="str">
        <f>IFERROR(__xludf.DUMMYFUNCTION("""COMPUTED_VALUE"""),"格納済み")</f>
        <v>格納済み</v>
      </c>
      <c r="U5219" s="9" t="str">
        <f>IFERROR(__xludf.DUMMYFUNCTION("""COMPUTED_VALUE"""),"(C)笹木あおこ・Y.ひまわり／一迅社")</f>
        <v>(C)笹木あおこ・Y.ひまわり／一迅社</v>
      </c>
      <c r="V5219" s="8"/>
      <c r="W5219" s="8"/>
      <c r="X5219" s="8"/>
      <c r="Y5219" s="8"/>
      <c r="Z5219" s="7"/>
      <c r="AA5219" s="7"/>
      <c r="AB5219" s="7"/>
    </row>
    <row r="5220" ht="15.75" customHeight="1">
      <c r="A5220" s="26">
        <f>IFERROR(__xludf.DUMMYFUNCTION("""COMPUTED_VALUE"""),7414.0)</f>
        <v>7414</v>
      </c>
      <c r="B5220" s="22" t="str">
        <f>IFERROR(__xludf.DUMMYFUNCTION("""COMPUTED_VALUE"""),"確定")</f>
        <v>確定</v>
      </c>
      <c r="C5220" s="28">
        <f>IFERROR(__xludf.DUMMYFUNCTION("""COMPUTED_VALUE"""),46062.0)</f>
        <v>46062</v>
      </c>
      <c r="D5220" s="28">
        <f>IFERROR(__xludf.DUMMYFUNCTION("""COMPUTED_VALUE"""),46161.0)</f>
        <v>46161</v>
      </c>
      <c r="E5220" s="26"/>
      <c r="F5220" s="22" t="str">
        <f>IFERROR(__xludf.DUMMYFUNCTION("""COMPUTED_VALUE"""),"不眠症に悩まされる女嫌いの公爵は訳アリ歌姫の声じゃないと眠れない～追放された聖女の契約婚～")</f>
        <v>不眠症に悩まされる女嫌いの公爵は訳アリ歌姫の声じゃないと眠れない～追放された聖女の契約婚～</v>
      </c>
      <c r="G5220" s="20">
        <f>IFERROR(__xludf.DUMMYFUNCTION("""COMPUTED_VALUE"""),1.0)</f>
        <v>1</v>
      </c>
      <c r="H5220" s="22" t="str">
        <f>IFERROR(__xludf.DUMMYFUNCTION("""COMPUTED_VALUE"""),"漫画：蓑原みつき　原作：りったん")</f>
        <v>漫画：蓑原みつき　原作：りったん</v>
      </c>
      <c r="I5220" s="22" t="str">
        <f>IFERROR(__xludf.DUMMYFUNCTION("""COMPUTED_VALUE"""),"少女")</f>
        <v>少女</v>
      </c>
      <c r="J5220" s="22"/>
      <c r="K5220" s="22" t="str">
        <f>IFERROR(__xludf.DUMMYFUNCTION("""COMPUTED_VALUE"""),"ZERO-SUMコミックス")</f>
        <v>ZERO-SUMコミックス</v>
      </c>
      <c r="L5220" s="22" t="str">
        <f>IFERROR(__xludf.DUMMYFUNCTION("""COMPUTED_VALUE"""),"一迅社")</f>
        <v>一迅社</v>
      </c>
      <c r="M5220" s="33">
        <f>IFERROR(__xludf.DUMMYFUNCTION("""COMPUTED_VALUE"""),46235.0)</f>
        <v>46235</v>
      </c>
      <c r="N5220" s="33">
        <f>IFERROR(__xludf.DUMMYFUNCTION("""COMPUTED_VALUE"""),46295.0)</f>
        <v>46295</v>
      </c>
      <c r="O5220" s="20"/>
      <c r="P5220" s="32" t="str">
        <f>IFERROR(__xludf.DUMMYFUNCTION("""COMPUTED_VALUE"""),"否")</f>
        <v>否</v>
      </c>
      <c r="Q5220" s="30" t="str">
        <f>IFERROR(__xludf.DUMMYFUNCTION("""COMPUTED_VALUE"""),"「偽聖女だと言われましたが、どうやら私が本物のようですよ？ アンソロジーコミック: 5」掲載")</f>
        <v>「偽聖女だと言われましたが、どうやら私が本物のようですよ？ アンソロジーコミック: 5」掲載</v>
      </c>
      <c r="R5220" s="22"/>
      <c r="S5220" s="22" t="str">
        <f>IFERROR(__xludf.DUMMYFUNCTION("""COMPUTED_VALUE"""),"20260515_一迅社_不眠症に悩まされる女嫌いの公爵は訳アリ歌姫の声じゃないと眠れない～追放された聖女の契約婚～")</f>
        <v>20260515_一迅社_不眠症に悩まされる女嫌いの公爵は訳アリ歌姫の声じゃないと眠れない～追放された聖女の契約婚～</v>
      </c>
      <c r="T5220" s="22" t="str">
        <f>IFERROR(__xludf.DUMMYFUNCTION("""COMPUTED_VALUE"""),"格納済み")</f>
        <v>格納済み</v>
      </c>
      <c r="U5220" s="9" t="str">
        <f>IFERROR(__xludf.DUMMYFUNCTION("""COMPUTED_VALUE"""),"(C)蓑原みつき・りったん／一迅社")</f>
        <v>(C)蓑原みつき・りったん／一迅社</v>
      </c>
      <c r="V5220" s="8"/>
      <c r="W5220" s="8"/>
      <c r="X5220" s="8"/>
      <c r="Y5220" s="8"/>
      <c r="Z5220" s="7"/>
      <c r="AA5220" s="7"/>
      <c r="AB5220" s="7"/>
    </row>
    <row r="5221" ht="15.75" customHeight="1">
      <c r="A5221" s="26">
        <f>IFERROR(__xludf.DUMMYFUNCTION("""COMPUTED_VALUE"""),7453.0)</f>
        <v>7453</v>
      </c>
      <c r="B5221" s="22" t="str">
        <f>IFERROR(__xludf.DUMMYFUNCTION("""COMPUTED_VALUE"""),"確定")</f>
        <v>確定</v>
      </c>
      <c r="C5221" s="28">
        <f>IFERROR(__xludf.DUMMYFUNCTION("""COMPUTED_VALUE"""),46069.0)</f>
        <v>46069</v>
      </c>
      <c r="D5221" s="28">
        <f>IFERROR(__xludf.DUMMYFUNCTION("""COMPUTED_VALUE"""),46160.0)</f>
        <v>46160</v>
      </c>
      <c r="E5221" s="26"/>
      <c r="F5221" s="22" t="str">
        <f>IFERROR(__xludf.DUMMYFUNCTION("""COMPUTED_VALUE"""),"あざとすぎると婚約破棄されましたが計算どおりです")</f>
        <v>あざとすぎると婚約破棄されましたが計算どおりです</v>
      </c>
      <c r="G5221" s="20">
        <f>IFERROR(__xludf.DUMMYFUNCTION("""COMPUTED_VALUE"""),1.0)</f>
        <v>1</v>
      </c>
      <c r="H5221" s="22" t="str">
        <f>IFERROR(__xludf.DUMMYFUNCTION("""COMPUTED_VALUE"""),"みまさか／原作：冬月光輝")</f>
        <v>みまさか／原作：冬月光輝</v>
      </c>
      <c r="I5221" s="22" t="str">
        <f>IFERROR(__xludf.DUMMYFUNCTION("""COMPUTED_VALUE"""),"少女")</f>
        <v>少女</v>
      </c>
      <c r="J5221" s="22"/>
      <c r="K5221" s="22" t="str">
        <f>IFERROR(__xludf.DUMMYFUNCTION("""COMPUTED_VALUE"""),"ZERO-SUMコミックス")</f>
        <v>ZERO-SUMコミックス</v>
      </c>
      <c r="L5221" s="22" t="str">
        <f>IFERROR(__xludf.DUMMYFUNCTION("""COMPUTED_VALUE"""),"一迅社")</f>
        <v>一迅社</v>
      </c>
      <c r="M5221" s="33">
        <f>IFERROR(__xludf.DUMMYFUNCTION("""COMPUTED_VALUE"""),46235.0)</f>
        <v>46235</v>
      </c>
      <c r="N5221" s="33">
        <f>IFERROR(__xludf.DUMMYFUNCTION("""COMPUTED_VALUE"""),46295.0)</f>
        <v>46295</v>
      </c>
      <c r="O5221" s="20"/>
      <c r="P5221" s="32" t="str">
        <f>IFERROR(__xludf.DUMMYFUNCTION("""COMPUTED_VALUE"""),"否")</f>
        <v>否</v>
      </c>
      <c r="Q5221" s="30" t="str">
        <f>IFERROR(__xludf.DUMMYFUNCTION("""COMPUTED_VALUE"""),"婚約破棄されましたが、幸せに暮らしておりますわ！アンソロジーコミック: 9　掲載")</f>
        <v>婚約破棄されましたが、幸せに暮らしておりますわ！アンソロジーコミック: 9　掲載</v>
      </c>
      <c r="R5221" s="22"/>
      <c r="S5221" s="22" t="str">
        <f>IFERROR(__xludf.DUMMYFUNCTION("""COMPUTED_VALUE"""),"20260515_一迅社_あざとすぎると婚約破棄されましたが計算どおりです")</f>
        <v>20260515_一迅社_あざとすぎると婚約破棄されましたが計算どおりです</v>
      </c>
      <c r="T5221" s="22" t="str">
        <f>IFERROR(__xludf.DUMMYFUNCTION("""COMPUTED_VALUE"""),"格納済み")</f>
        <v>格納済み</v>
      </c>
      <c r="U5221" s="9" t="str">
        <f>IFERROR(__xludf.DUMMYFUNCTION("""COMPUTED_VALUE"""),"(C)みまさか・冬月光輝／一迅社")</f>
        <v>(C)みまさか・冬月光輝／一迅社</v>
      </c>
      <c r="V5221" s="8"/>
      <c r="W5221" s="8"/>
      <c r="X5221" s="8"/>
      <c r="Y5221" s="8"/>
      <c r="Z5221" s="7"/>
      <c r="AA5221" s="7"/>
      <c r="AB5221" s="7"/>
    </row>
    <row r="5222" ht="15.75" customHeight="1">
      <c r="A5222" s="26">
        <f>IFERROR(__xludf.DUMMYFUNCTION("""COMPUTED_VALUE"""),7454.0)</f>
        <v>7454</v>
      </c>
      <c r="B5222" s="22" t="str">
        <f>IFERROR(__xludf.DUMMYFUNCTION("""COMPUTED_VALUE"""),"確定")</f>
        <v>確定</v>
      </c>
      <c r="C5222" s="28">
        <f>IFERROR(__xludf.DUMMYFUNCTION("""COMPUTED_VALUE"""),46069.0)</f>
        <v>46069</v>
      </c>
      <c r="D5222" s="28">
        <f>IFERROR(__xludf.DUMMYFUNCTION("""COMPUTED_VALUE"""),46160.0)</f>
        <v>46160</v>
      </c>
      <c r="E5222" s="26"/>
      <c r="F5222" s="22" t="str">
        <f>IFERROR(__xludf.DUMMYFUNCTION("""COMPUTED_VALUE"""),"研究に専念したいのでお断りしたら幸せになっちゃいました")</f>
        <v>研究に専念したいのでお断りしたら幸せになっちゃいました</v>
      </c>
      <c r="G5222" s="20">
        <f>IFERROR(__xludf.DUMMYFUNCTION("""COMPUTED_VALUE"""),1.0)</f>
        <v>1</v>
      </c>
      <c r="H5222" s="22" t="str">
        <f>IFERROR(__xludf.DUMMYFUNCTION("""COMPUTED_VALUE"""),"あおいさり／キャラクター原案：おの秋人")</f>
        <v>あおいさり／キャラクター原案：おの秋人</v>
      </c>
      <c r="I5222" s="22" t="str">
        <f>IFERROR(__xludf.DUMMYFUNCTION("""COMPUTED_VALUE"""),"少女")</f>
        <v>少女</v>
      </c>
      <c r="J5222" s="22"/>
      <c r="K5222" s="22" t="str">
        <f>IFERROR(__xludf.DUMMYFUNCTION("""COMPUTED_VALUE"""),"ZERO-SUMコミックス")</f>
        <v>ZERO-SUMコミックス</v>
      </c>
      <c r="L5222" s="22" t="str">
        <f>IFERROR(__xludf.DUMMYFUNCTION("""COMPUTED_VALUE"""),"一迅社")</f>
        <v>一迅社</v>
      </c>
      <c r="M5222" s="33">
        <f>IFERROR(__xludf.DUMMYFUNCTION("""COMPUTED_VALUE"""),46235.0)</f>
        <v>46235</v>
      </c>
      <c r="N5222" s="33">
        <f>IFERROR(__xludf.DUMMYFUNCTION("""COMPUTED_VALUE"""),46295.0)</f>
        <v>46295</v>
      </c>
      <c r="O5222" s="20"/>
      <c r="P5222" s="32" t="str">
        <f>IFERROR(__xludf.DUMMYFUNCTION("""COMPUTED_VALUE"""),"否")</f>
        <v>否</v>
      </c>
      <c r="Q5222" s="30" t="str">
        <f>IFERROR(__xludf.DUMMYFUNCTION("""COMPUTED_VALUE"""),"婚約破棄されましたが、幸せに暮らしておりますわ！アンソロジーコミック: 9　掲載")</f>
        <v>婚約破棄されましたが、幸せに暮らしておりますわ！アンソロジーコミック: 9　掲載</v>
      </c>
      <c r="R5222" s="22"/>
      <c r="S5222" s="22" t="str">
        <f>IFERROR(__xludf.DUMMYFUNCTION("""COMPUTED_VALUE"""),"20260515_一迅社_研究に専念したいのでお断りしたら幸せになっちゃいました")</f>
        <v>20260515_一迅社_研究に専念したいのでお断りしたら幸せになっちゃいました</v>
      </c>
      <c r="T5222" s="22" t="str">
        <f>IFERROR(__xludf.DUMMYFUNCTION("""COMPUTED_VALUE"""),"格納済み")</f>
        <v>格納済み</v>
      </c>
      <c r="U5222" s="9" t="str">
        <f>IFERROR(__xludf.DUMMYFUNCTION("""COMPUTED_VALUE"""),"(C)あおいさり・おの秋人／一迅社")</f>
        <v>(C)あおいさり・おの秋人／一迅社</v>
      </c>
      <c r="V5222" s="8"/>
      <c r="W5222" s="8"/>
      <c r="X5222" s="8"/>
      <c r="Y5222" s="8"/>
      <c r="Z5222" s="7"/>
      <c r="AA5222" s="7"/>
      <c r="AB5222" s="7"/>
    </row>
    <row r="5223" ht="15.75" customHeight="1">
      <c r="A5223" s="26">
        <f>IFERROR(__xludf.DUMMYFUNCTION("""COMPUTED_VALUE"""),7467.0)</f>
        <v>7467</v>
      </c>
      <c r="B5223" s="22" t="str">
        <f>IFERROR(__xludf.DUMMYFUNCTION("""COMPUTED_VALUE"""),"確定")</f>
        <v>確定</v>
      </c>
      <c r="C5223" s="28">
        <f>IFERROR(__xludf.DUMMYFUNCTION("""COMPUTED_VALUE"""),46070.0)</f>
        <v>46070</v>
      </c>
      <c r="D5223" s="28">
        <f>IFERROR(__xludf.DUMMYFUNCTION("""COMPUTED_VALUE"""),46160.0)</f>
        <v>46160</v>
      </c>
      <c r="E5223" s="26">
        <f>IFERROR(__xludf.DUMMYFUNCTION("""COMPUTED_VALUE"""),363625.0)</f>
        <v>363625</v>
      </c>
      <c r="F5223" s="22" t="str">
        <f>IFERROR(__xludf.DUMMYFUNCTION("""COMPUTED_VALUE"""),"追川くんの執着愛が重すぎる～4年ぶりに再会した元彼に弱いトコ全部バレてました〜【R版】")</f>
        <v>追川くんの執着愛が重すぎる～4年ぶりに再会した元彼に弱いトコ全部バレてました〜【R版】</v>
      </c>
      <c r="G5223" s="20" t="str">
        <f>IFERROR(__xludf.DUMMYFUNCTION("""COMPUTED_VALUE"""),"1～3")</f>
        <v>1～3</v>
      </c>
      <c r="H5223" s="22" t="str">
        <f>IFERROR(__xludf.DUMMYFUNCTION("""COMPUTED_VALUE"""),"くもたつ")</f>
        <v>くもたつ</v>
      </c>
      <c r="I5223" s="22" t="str">
        <f>IFERROR(__xludf.DUMMYFUNCTION("""COMPUTED_VALUE"""),"アダルト")</f>
        <v>アダルト</v>
      </c>
      <c r="J5223" s="22"/>
      <c r="K5223" s="22" t="str">
        <f>IFERROR(__xludf.DUMMYFUNCTION("""COMPUTED_VALUE"""),"＠夜噺+")</f>
        <v>＠夜噺+</v>
      </c>
      <c r="L5223" s="22" t="str">
        <f>IFERROR(__xludf.DUMMYFUNCTION("""COMPUTED_VALUE"""),"DEEPER-ZERO")</f>
        <v>DEEPER-ZERO</v>
      </c>
      <c r="M5223" s="33">
        <f>IFERROR(__xludf.DUMMYFUNCTION("""COMPUTED_VALUE"""),46191.0)</f>
        <v>46191</v>
      </c>
      <c r="N5223" s="33">
        <f>IFERROR(__xludf.DUMMYFUNCTION("""COMPUTED_VALUE"""),46218.0)</f>
        <v>46218</v>
      </c>
      <c r="O5223" s="20"/>
      <c r="P5223" s="32" t="str">
        <f>IFERROR(__xludf.DUMMYFUNCTION("""COMPUTED_VALUE"""),"可")</f>
        <v>可</v>
      </c>
      <c r="Q5223" s="30"/>
      <c r="R5223" s="22" t="str">
        <f>IFERROR(__xludf.DUMMYFUNCTION("""COMPUTED_VALUE"""),"コミットNG")</f>
        <v>コミットNG</v>
      </c>
      <c r="S5223" s="22" t="str">
        <f>IFERROR(__xludf.DUMMYFUNCTION("""COMPUTED_VALUE"""),"20260513_DEEPER-ZERO_追川くんの執着愛が重すぎる～4年ぶりに再会した元彼に弱いトコ全部バレてました〜【R版】")</f>
        <v>20260513_DEEPER-ZERO_追川くんの執着愛が重すぎる～4年ぶりに再会した元彼に弱いトコ全部バレてました〜【R版】</v>
      </c>
      <c r="T5223" s="22" t="str">
        <f>IFERROR(__xludf.DUMMYFUNCTION("""COMPUTED_VALUE"""),"格納済み")</f>
        <v>格納済み</v>
      </c>
      <c r="U5223" s="9" t="str">
        <f>IFERROR(__xludf.DUMMYFUNCTION("""COMPUTED_VALUE"""),"Ⓒくもたつ/DEEPER-ZERO")</f>
        <v>Ⓒくもたつ/DEEPER-ZERO</v>
      </c>
      <c r="V5223" s="8"/>
      <c r="W5223" s="8"/>
      <c r="X5223" s="8" t="str">
        <f>IFERROR(__xludf.DUMMYFUNCTION("""COMPUTED_VALUE"""),"有")</f>
        <v>有</v>
      </c>
      <c r="Y5223" s="8" t="str">
        <f>IFERROR(__xludf.DUMMYFUNCTION("""COMPUTED_VALUE"""),"2026/7/1まで1巻無料")</f>
        <v>2026/7/1まで1巻無料</v>
      </c>
      <c r="Z5223" s="7"/>
      <c r="AA5223" s="7"/>
      <c r="AB5223" s="7"/>
    </row>
    <row r="5224" ht="15.75" customHeight="1">
      <c r="A5224" s="26">
        <f>IFERROR(__xludf.DUMMYFUNCTION("""COMPUTED_VALUE"""),7468.0)</f>
        <v>7468</v>
      </c>
      <c r="B5224" s="22" t="str">
        <f>IFERROR(__xludf.DUMMYFUNCTION("""COMPUTED_VALUE"""),"確定")</f>
        <v>確定</v>
      </c>
      <c r="C5224" s="28">
        <f>IFERROR(__xludf.DUMMYFUNCTION("""COMPUTED_VALUE"""),46070.0)</f>
        <v>46070</v>
      </c>
      <c r="D5224" s="28">
        <f>IFERROR(__xludf.DUMMYFUNCTION("""COMPUTED_VALUE"""),46160.0)</f>
        <v>46160</v>
      </c>
      <c r="E5224" s="26">
        <f>IFERROR(__xludf.DUMMYFUNCTION("""COMPUTED_VALUE"""),363616.0)</f>
        <v>363616</v>
      </c>
      <c r="F5224" s="22" t="str">
        <f>IFERROR(__xludf.DUMMYFUNCTION("""COMPUTED_VALUE"""),"追川くんの執着愛が重すぎる～4年ぶりに再会した元彼に弱いトコ全部バレてました〜【TL版】")</f>
        <v>追川くんの執着愛が重すぎる～4年ぶりに再会した元彼に弱いトコ全部バレてました〜【TL版】</v>
      </c>
      <c r="G5224" s="20" t="str">
        <f>IFERROR(__xludf.DUMMYFUNCTION("""COMPUTED_VALUE"""),"1～3")</f>
        <v>1～3</v>
      </c>
      <c r="H5224" s="22" t="str">
        <f>IFERROR(__xludf.DUMMYFUNCTION("""COMPUTED_VALUE"""),"くもたつ")</f>
        <v>くもたつ</v>
      </c>
      <c r="I5224" s="22" t="str">
        <f>IFERROR(__xludf.DUMMYFUNCTION("""COMPUTED_VALUE"""),"TL")</f>
        <v>TL</v>
      </c>
      <c r="J5224" s="22"/>
      <c r="K5224" s="22" t="str">
        <f>IFERROR(__xludf.DUMMYFUNCTION("""COMPUTED_VALUE"""),"＠夜噺")</f>
        <v>＠夜噺</v>
      </c>
      <c r="L5224" s="22" t="str">
        <f>IFERROR(__xludf.DUMMYFUNCTION("""COMPUTED_VALUE"""),"DEEPER-ZERO")</f>
        <v>DEEPER-ZERO</v>
      </c>
      <c r="M5224" s="33">
        <f>IFERROR(__xludf.DUMMYFUNCTION("""COMPUTED_VALUE"""),46191.0)</f>
        <v>46191</v>
      </c>
      <c r="N5224" s="33">
        <f>IFERROR(__xludf.DUMMYFUNCTION("""COMPUTED_VALUE"""),46218.0)</f>
        <v>46218</v>
      </c>
      <c r="O5224" s="20" t="str">
        <f>IFERROR(__xludf.DUMMYFUNCTION("""COMPUTED_VALUE"""),"【アダルト作品扱い】")</f>
        <v>【アダルト作品扱い】</v>
      </c>
      <c r="P5224" s="32" t="str">
        <f>IFERROR(__xludf.DUMMYFUNCTION("""COMPUTED_VALUE"""),"可")</f>
        <v>可</v>
      </c>
      <c r="Q5224" s="30"/>
      <c r="R5224" s="22" t="str">
        <f>IFERROR(__xludf.DUMMYFUNCTION("""COMPUTED_VALUE"""),"コミットNG")</f>
        <v>コミットNG</v>
      </c>
      <c r="S5224" s="22" t="str">
        <f>IFERROR(__xludf.DUMMYFUNCTION("""COMPUTED_VALUE"""),"20260513_DEEPER-ZERO_追川くんの執着愛が重すぎる～4年ぶりに再会した元彼に弱いトコ全部バレてました〜【TL版】")</f>
        <v>20260513_DEEPER-ZERO_追川くんの執着愛が重すぎる～4年ぶりに再会した元彼に弱いトコ全部バレてました〜【TL版】</v>
      </c>
      <c r="T5224" s="22" t="str">
        <f>IFERROR(__xludf.DUMMYFUNCTION("""COMPUTED_VALUE"""),"格納済み")</f>
        <v>格納済み</v>
      </c>
      <c r="U5224" s="9" t="str">
        <f>IFERROR(__xludf.DUMMYFUNCTION("""COMPUTED_VALUE"""),"Ⓒくもたつ/DEEPER-ZERO")</f>
        <v>Ⓒくもたつ/DEEPER-ZERO</v>
      </c>
      <c r="V5224" s="8"/>
      <c r="W5224" s="8"/>
      <c r="X5224" s="8" t="str">
        <f>IFERROR(__xludf.DUMMYFUNCTION("""COMPUTED_VALUE"""),"有")</f>
        <v>有</v>
      </c>
      <c r="Y5224" s="8" t="str">
        <f>IFERROR(__xludf.DUMMYFUNCTION("""COMPUTED_VALUE"""),"p10まで")</f>
        <v>p10まで</v>
      </c>
      <c r="Z5224" s="7"/>
      <c r="AA5224" s="7"/>
      <c r="AB5224" s="7"/>
    </row>
    <row r="5225" ht="15.75" customHeight="1">
      <c r="A5225" s="26">
        <f>IFERROR(__xludf.DUMMYFUNCTION("""COMPUTED_VALUE"""),7469.0)</f>
        <v>7469</v>
      </c>
      <c r="B5225" s="22" t="str">
        <f>IFERROR(__xludf.DUMMYFUNCTION("""COMPUTED_VALUE"""),"確定")</f>
        <v>確定</v>
      </c>
      <c r="C5225" s="28">
        <f>IFERROR(__xludf.DUMMYFUNCTION("""COMPUTED_VALUE"""),46070.0)</f>
        <v>46070</v>
      </c>
      <c r="D5225" s="28">
        <f>IFERROR(__xludf.DUMMYFUNCTION("""COMPUTED_VALUE"""),46160.0)</f>
        <v>46160</v>
      </c>
      <c r="E5225" s="26">
        <f>IFERROR(__xludf.DUMMYFUNCTION("""COMPUTED_VALUE"""),363624.0)</f>
        <v>363624</v>
      </c>
      <c r="F5225" s="22" t="str">
        <f>IFERROR(__xludf.DUMMYFUNCTION("""COMPUTED_VALUE"""),"泣き顔に興奮しないで、ノアくん。～勃たないはずのXLにぐずぐずにされてます～【R版】")</f>
        <v>泣き顔に興奮しないで、ノアくん。～勃たないはずのXLにぐずぐずにされてます～【R版】</v>
      </c>
      <c r="G5225" s="20" t="str">
        <f>IFERROR(__xludf.DUMMYFUNCTION("""COMPUTED_VALUE"""),"1～3")</f>
        <v>1～3</v>
      </c>
      <c r="H5225" s="22" t="str">
        <f>IFERROR(__xludf.DUMMYFUNCTION("""COMPUTED_VALUE"""),"浜何")</f>
        <v>浜何</v>
      </c>
      <c r="I5225" s="22" t="str">
        <f>IFERROR(__xludf.DUMMYFUNCTION("""COMPUTED_VALUE"""),"アダルト")</f>
        <v>アダルト</v>
      </c>
      <c r="J5225" s="22"/>
      <c r="K5225" s="22" t="str">
        <f>IFERROR(__xludf.DUMMYFUNCTION("""COMPUTED_VALUE"""),"＠夜噺+")</f>
        <v>＠夜噺+</v>
      </c>
      <c r="L5225" s="22" t="str">
        <f>IFERROR(__xludf.DUMMYFUNCTION("""COMPUTED_VALUE"""),"DEEPER-ZERO")</f>
        <v>DEEPER-ZERO</v>
      </c>
      <c r="M5225" s="33">
        <f>IFERROR(__xludf.DUMMYFUNCTION("""COMPUTED_VALUE"""),46191.0)</f>
        <v>46191</v>
      </c>
      <c r="N5225" s="33">
        <f>IFERROR(__xludf.DUMMYFUNCTION("""COMPUTED_VALUE"""),46218.0)</f>
        <v>46218</v>
      </c>
      <c r="O5225" s="20"/>
      <c r="P5225" s="32" t="str">
        <f>IFERROR(__xludf.DUMMYFUNCTION("""COMPUTED_VALUE"""),"可")</f>
        <v>可</v>
      </c>
      <c r="Q5225" s="30"/>
      <c r="R5225" s="22" t="str">
        <f>IFERROR(__xludf.DUMMYFUNCTION("""COMPUTED_VALUE"""),"コミットNG")</f>
        <v>コミットNG</v>
      </c>
      <c r="S5225" s="22" t="str">
        <f>IFERROR(__xludf.DUMMYFUNCTION("""COMPUTED_VALUE"""),"20260513_DEEPER-ZERO_泣き顔に興奮しないで、ノアくん。～勃たないはずのXLにぐずぐずにされてます～【R版】")</f>
        <v>20260513_DEEPER-ZERO_泣き顔に興奮しないで、ノアくん。～勃たないはずのXLにぐずぐずにされてます～【R版】</v>
      </c>
      <c r="T5225" s="22" t="str">
        <f>IFERROR(__xludf.DUMMYFUNCTION("""COMPUTED_VALUE"""),"格納済み")</f>
        <v>格納済み</v>
      </c>
      <c r="U5225" s="9" t="str">
        <f>IFERROR(__xludf.DUMMYFUNCTION("""COMPUTED_VALUE"""),"Ⓒ浜何/DEEPER-ZERO")</f>
        <v>Ⓒ浜何/DEEPER-ZERO</v>
      </c>
      <c r="V5225" s="8"/>
      <c r="W5225" s="8"/>
      <c r="X5225" s="8" t="str">
        <f>IFERROR(__xludf.DUMMYFUNCTION("""COMPUTED_VALUE"""),"有")</f>
        <v>有</v>
      </c>
      <c r="Y5225" s="8" t="str">
        <f>IFERROR(__xludf.DUMMYFUNCTION("""COMPUTED_VALUE"""),"2026/7/1まで1巻無料")</f>
        <v>2026/7/1まで1巻無料</v>
      </c>
      <c r="Z5225" s="7"/>
      <c r="AA5225" s="7"/>
      <c r="AB5225" s="7"/>
    </row>
    <row r="5226" ht="15.75" customHeight="1">
      <c r="A5226" s="26">
        <f>IFERROR(__xludf.DUMMYFUNCTION("""COMPUTED_VALUE"""),7470.0)</f>
        <v>7470</v>
      </c>
      <c r="B5226" s="22" t="str">
        <f>IFERROR(__xludf.DUMMYFUNCTION("""COMPUTED_VALUE"""),"確定")</f>
        <v>確定</v>
      </c>
      <c r="C5226" s="28">
        <f>IFERROR(__xludf.DUMMYFUNCTION("""COMPUTED_VALUE"""),46070.0)</f>
        <v>46070</v>
      </c>
      <c r="D5226" s="28">
        <f>IFERROR(__xludf.DUMMYFUNCTION("""COMPUTED_VALUE"""),46160.0)</f>
        <v>46160</v>
      </c>
      <c r="E5226" s="26">
        <f>IFERROR(__xludf.DUMMYFUNCTION("""COMPUTED_VALUE"""),363613.0)</f>
        <v>363613</v>
      </c>
      <c r="F5226" s="22" t="str">
        <f>IFERROR(__xludf.DUMMYFUNCTION("""COMPUTED_VALUE"""),"泣き顔に興奮しないで、ノアくん。～勃たないはずのXLにぐずぐずにされてます～【TL版】")</f>
        <v>泣き顔に興奮しないで、ノアくん。～勃たないはずのXLにぐずぐずにされてます～【TL版】</v>
      </c>
      <c r="G5226" s="20" t="str">
        <f>IFERROR(__xludf.DUMMYFUNCTION("""COMPUTED_VALUE"""),"1～3")</f>
        <v>1～3</v>
      </c>
      <c r="H5226" s="22" t="str">
        <f>IFERROR(__xludf.DUMMYFUNCTION("""COMPUTED_VALUE"""),"浜何")</f>
        <v>浜何</v>
      </c>
      <c r="I5226" s="22" t="str">
        <f>IFERROR(__xludf.DUMMYFUNCTION("""COMPUTED_VALUE"""),"TL")</f>
        <v>TL</v>
      </c>
      <c r="J5226" s="22"/>
      <c r="K5226" s="22" t="str">
        <f>IFERROR(__xludf.DUMMYFUNCTION("""COMPUTED_VALUE"""),"＠夜噺")</f>
        <v>＠夜噺</v>
      </c>
      <c r="L5226" s="22" t="str">
        <f>IFERROR(__xludf.DUMMYFUNCTION("""COMPUTED_VALUE"""),"DEEPER-ZERO")</f>
        <v>DEEPER-ZERO</v>
      </c>
      <c r="M5226" s="33">
        <f>IFERROR(__xludf.DUMMYFUNCTION("""COMPUTED_VALUE"""),46191.0)</f>
        <v>46191</v>
      </c>
      <c r="N5226" s="33">
        <f>IFERROR(__xludf.DUMMYFUNCTION("""COMPUTED_VALUE"""),46218.0)</f>
        <v>46218</v>
      </c>
      <c r="O5226" s="20" t="str">
        <f>IFERROR(__xludf.DUMMYFUNCTION("""COMPUTED_VALUE"""),"【アダルト作品扱い】")</f>
        <v>【アダルト作品扱い】</v>
      </c>
      <c r="P5226" s="32" t="str">
        <f>IFERROR(__xludf.DUMMYFUNCTION("""COMPUTED_VALUE"""),"可")</f>
        <v>可</v>
      </c>
      <c r="Q5226" s="30"/>
      <c r="R5226" s="22" t="str">
        <f>IFERROR(__xludf.DUMMYFUNCTION("""COMPUTED_VALUE"""),"コミットNG")</f>
        <v>コミットNG</v>
      </c>
      <c r="S5226" s="22" t="str">
        <f>IFERROR(__xludf.DUMMYFUNCTION("""COMPUTED_VALUE"""),"20260513_DEEPER-ZERO_泣き顔に興奮しないで、ノアくん。～勃たないはずのXLにぐずぐずにされてます～【TL版】")</f>
        <v>20260513_DEEPER-ZERO_泣き顔に興奮しないで、ノアくん。～勃たないはずのXLにぐずぐずにされてます～【TL版】</v>
      </c>
      <c r="T5226" s="22" t="str">
        <f>IFERROR(__xludf.DUMMYFUNCTION("""COMPUTED_VALUE"""),"格納済み")</f>
        <v>格納済み</v>
      </c>
      <c r="U5226" s="9" t="str">
        <f>IFERROR(__xludf.DUMMYFUNCTION("""COMPUTED_VALUE"""),"Ⓒ浜何/DEEPER-ZERO")</f>
        <v>Ⓒ浜何/DEEPER-ZERO</v>
      </c>
      <c r="V5226" s="8"/>
      <c r="W5226" s="8"/>
      <c r="X5226" s="8" t="str">
        <f>IFERROR(__xludf.DUMMYFUNCTION("""COMPUTED_VALUE"""),"有")</f>
        <v>有</v>
      </c>
      <c r="Y5226" s="8" t="str">
        <f>IFERROR(__xludf.DUMMYFUNCTION("""COMPUTED_VALUE"""),"p11まで")</f>
        <v>p11まで</v>
      </c>
      <c r="Z5226" s="7"/>
      <c r="AA5226" s="7"/>
      <c r="AB5226" s="7"/>
    </row>
    <row r="5227" ht="15.75" customHeight="1">
      <c r="A5227" s="26">
        <f>IFERROR(__xludf.DUMMYFUNCTION("""COMPUTED_VALUE"""),7687.0)</f>
        <v>7687</v>
      </c>
      <c r="B5227" s="22" t="str">
        <f>IFERROR(__xludf.DUMMYFUNCTION("""COMPUTED_VALUE"""),"確定")</f>
        <v>確定</v>
      </c>
      <c r="C5227" s="28">
        <f>IFERROR(__xludf.DUMMYFUNCTION("""COMPUTED_VALUE"""),46094.0)</f>
        <v>46094</v>
      </c>
      <c r="D5227" s="28">
        <f>IFERROR(__xludf.DUMMYFUNCTION("""COMPUTED_VALUE"""),46160.0)</f>
        <v>46160</v>
      </c>
      <c r="E5227" s="26">
        <f>IFERROR(__xludf.DUMMYFUNCTION("""COMPUTED_VALUE"""),359258.0)</f>
        <v>359258</v>
      </c>
      <c r="F5227" s="22" t="str">
        <f>IFERROR(__xludf.DUMMYFUNCTION("""COMPUTED_VALUE"""),"夜伽の花嫁～恋を知らない暗殺者王女は氷の皇帝の手中で踊る～")</f>
        <v>夜伽の花嫁～恋を知らない暗殺者王女は氷の皇帝の手中で踊る～</v>
      </c>
      <c r="G5227" s="20" t="str">
        <f>IFERROR(__xludf.DUMMYFUNCTION("""COMPUTED_VALUE"""),"1~8")</f>
        <v>1~8</v>
      </c>
      <c r="H5227" s="22" t="str">
        <f>IFERROR(__xludf.DUMMYFUNCTION("""COMPUTED_VALUE"""),"ああい幸,グルナ編集部")</f>
        <v>ああい幸,グルナ編集部</v>
      </c>
      <c r="I5227" s="22" t="str">
        <f>IFERROR(__xludf.DUMMYFUNCTION("""COMPUTED_VALUE"""),"女性マンガ")</f>
        <v>女性マンガ</v>
      </c>
      <c r="J5227" s="22"/>
      <c r="K5227" s="22" t="str">
        <f>IFERROR(__xludf.DUMMYFUNCTION("""COMPUTED_VALUE"""),"COMICエトワール")</f>
        <v>COMICエトワール</v>
      </c>
      <c r="L5227" s="22" t="str">
        <f>IFERROR(__xludf.DUMMYFUNCTION("""COMPUTED_VALUE"""),"ライブコミックス")</f>
        <v>ライブコミックス</v>
      </c>
      <c r="M5227" s="33">
        <f>IFERROR(__xludf.DUMMYFUNCTION("""COMPUTED_VALUE"""),46164.0)</f>
        <v>46164</v>
      </c>
      <c r="N5227" s="33">
        <f>IFERROR(__xludf.DUMMYFUNCTION("""COMPUTED_VALUE"""),46261.0)</f>
        <v>46261</v>
      </c>
      <c r="O5227" s="20"/>
      <c r="P5227" s="32" t="str">
        <f>IFERROR(__xludf.DUMMYFUNCTION("""COMPUTED_VALUE"""),"可")</f>
        <v>可</v>
      </c>
      <c r="Q5227" s="30"/>
      <c r="R5227" s="22" t="str">
        <f>IFERROR(__xludf.DUMMYFUNCTION("""COMPUTED_VALUE"""),"コミットOK")</f>
        <v>コミットOK</v>
      </c>
      <c r="S5227" s="22" t="str">
        <f>IFERROR(__xludf.DUMMYFUNCTION("""COMPUTED_VALUE"""),"20260513_BookLive_夜伽の花嫁～恋を知らない暗殺者王女は氷の皇帝の手中で踊る～")</f>
        <v>20260513_BookLive_夜伽の花嫁～恋を知らない暗殺者王女は氷の皇帝の手中で踊る～</v>
      </c>
      <c r="T5227" s="22" t="str">
        <f>IFERROR(__xludf.DUMMYFUNCTION("""COMPUTED_VALUE"""),"格納済み")</f>
        <v>格納済み</v>
      </c>
      <c r="U5227" s="9" t="str">
        <f>IFERROR(__xludf.DUMMYFUNCTION("""COMPUTED_VALUE"""),"(C)ああい幸/ライブコミックス")</f>
        <v>(C)ああい幸/ライブコミックス</v>
      </c>
      <c r="V5227" s="8"/>
      <c r="W5227" s="8"/>
      <c r="X5227" s="8"/>
      <c r="Y5227" s="8"/>
      <c r="Z5227" s="7"/>
      <c r="AA5227" s="7"/>
      <c r="AB5227" s="7"/>
    </row>
    <row r="5228" ht="15.75" customHeight="1">
      <c r="A5228" s="26">
        <f>IFERROR(__xludf.DUMMYFUNCTION("""COMPUTED_VALUE"""),7730.0)</f>
        <v>7730</v>
      </c>
      <c r="B5228" s="22" t="str">
        <f>IFERROR(__xludf.DUMMYFUNCTION("""COMPUTED_VALUE"""),"確定")</f>
        <v>確定</v>
      </c>
      <c r="C5228" s="28">
        <f>IFERROR(__xludf.DUMMYFUNCTION("""COMPUTED_VALUE"""),46104.0)</f>
        <v>46104</v>
      </c>
      <c r="D5228" s="28">
        <f>IFERROR(__xludf.DUMMYFUNCTION("""COMPUTED_VALUE"""),46162.0)</f>
        <v>46162</v>
      </c>
      <c r="E5228" s="26">
        <f>IFERROR(__xludf.DUMMYFUNCTION("""COMPUTED_VALUE"""),365833.0)</f>
        <v>365833</v>
      </c>
      <c r="F5228" s="22" t="str">
        <f>IFERROR(__xludf.DUMMYFUNCTION("""COMPUTED_VALUE"""),"死に戻りの花嫁は冷徹騎士の執着溺愛から逃げられない（分冊版）")</f>
        <v>死に戻りの花嫁は冷徹騎士の執着溺愛から逃げられない（分冊版）</v>
      </c>
      <c r="G5228" s="20" t="str">
        <f>IFERROR(__xludf.DUMMYFUNCTION("""COMPUTED_VALUE"""),"1～6")</f>
        <v>1～6</v>
      </c>
      <c r="H5228" s="22" t="str">
        <f>IFERROR(__xludf.DUMMYFUNCTION("""COMPUTED_VALUE"""),"無憂・ぽこた")</f>
        <v>無憂・ぽこた</v>
      </c>
      <c r="I5228" s="22" t="str">
        <f>IFERROR(__xludf.DUMMYFUNCTION("""COMPUTED_VALUE"""),"女性マンガ")</f>
        <v>女性マンガ</v>
      </c>
      <c r="J5228" s="22"/>
      <c r="K5228" s="22" t="str">
        <f>IFERROR(__xludf.DUMMYFUNCTION("""COMPUTED_VALUE"""),"ノーチェCOMICS")</f>
        <v>ノーチェCOMICS</v>
      </c>
      <c r="L5228" s="22" t="str">
        <f>IFERROR(__xludf.DUMMYFUNCTION("""COMPUTED_VALUE"""),"アルファポリス")</f>
        <v>アルファポリス</v>
      </c>
      <c r="M5228" s="33">
        <f>IFERROR(__xludf.DUMMYFUNCTION("""COMPUTED_VALUE"""),46206.0)</f>
        <v>46206</v>
      </c>
      <c r="N5228" s="33">
        <f>IFERROR(__xludf.DUMMYFUNCTION("""COMPUTED_VALUE"""),46296.0)</f>
        <v>46296</v>
      </c>
      <c r="O5228" s="20"/>
      <c r="P5228" s="32" t="str">
        <f>IFERROR(__xludf.DUMMYFUNCTION("""COMPUTED_VALUE"""),"可")</f>
        <v>可</v>
      </c>
      <c r="Q5228" s="30"/>
      <c r="R5228" s="22" t="str">
        <f>IFERROR(__xludf.DUMMYFUNCTION("""COMPUTED_VALUE"""),"コミットOK")</f>
        <v>コミットOK</v>
      </c>
      <c r="S5228" s="22" t="str">
        <f>IFERROR(__xludf.DUMMYFUNCTION("""COMPUTED_VALUE"""),"20260519_アルファポリス_死に戻りの花嫁は冷徹騎士の執着溺愛から逃げられない")</f>
        <v>20260519_アルファポリス_死に戻りの花嫁は冷徹騎士の執着溺愛から逃げられない</v>
      </c>
      <c r="T5228" s="22" t="str">
        <f>IFERROR(__xludf.DUMMYFUNCTION("""COMPUTED_VALUE"""),"格納済み")</f>
        <v>格納済み</v>
      </c>
      <c r="U5228" s="9" t="str">
        <f>IFERROR(__xludf.DUMMYFUNCTION("""COMPUTED_VALUE"""),"（C）無憂・ぽこた／アルファポリス")</f>
        <v>（C）無憂・ぽこた／アルファポリス</v>
      </c>
      <c r="V5228" s="8"/>
      <c r="W5228" s="8"/>
      <c r="X5228" s="8" t="str">
        <f>IFERROR(__xludf.DUMMYFUNCTION("""COMPUTED_VALUE"""),"有")</f>
        <v>有</v>
      </c>
      <c r="Y5228" s="8" t="str">
        <f>IFERROR(__xludf.DUMMYFUNCTION("""COMPUTED_VALUE"""),"2026/7/16まで1巻無料")</f>
        <v>2026/7/16まで1巻無料</v>
      </c>
      <c r="Z5228" s="7"/>
      <c r="AA5228" s="7"/>
      <c r="AB5228" s="7"/>
    </row>
    <row r="5229" ht="15.75" customHeight="1">
      <c r="A5229" s="26">
        <f>IFERROR(__xludf.DUMMYFUNCTION("""COMPUTED_VALUE"""),7744.0)</f>
        <v>7744</v>
      </c>
      <c r="B5229" s="22" t="str">
        <f>IFERROR(__xludf.DUMMYFUNCTION("""COMPUTED_VALUE"""),"確定")</f>
        <v>確定</v>
      </c>
      <c r="C5229" s="28">
        <f>IFERROR(__xludf.DUMMYFUNCTION("""COMPUTED_VALUE"""),46105.0)</f>
        <v>46105</v>
      </c>
      <c r="D5229" s="28">
        <f>IFERROR(__xludf.DUMMYFUNCTION("""COMPUTED_VALUE"""),46161.0)</f>
        <v>46161</v>
      </c>
      <c r="E5229" s="26">
        <f>IFERROR(__xludf.DUMMYFUNCTION("""COMPUTED_VALUE"""),363150.0)</f>
        <v>363150</v>
      </c>
      <c r="F5229" s="22" t="str">
        <f>IFERROR(__xludf.DUMMYFUNCTION("""COMPUTED_VALUE"""),"擬態彼女～愛してる愛してる愛してる～")</f>
        <v>擬態彼女～愛してる愛してる愛してる～</v>
      </c>
      <c r="G5229" s="20" t="str">
        <f>IFERROR(__xludf.DUMMYFUNCTION("""COMPUTED_VALUE"""),"1～3")</f>
        <v>1～3</v>
      </c>
      <c r="H5229" s="22" t="str">
        <f>IFERROR(__xludf.DUMMYFUNCTION("""COMPUTED_VALUE"""),"荒井チェイサー・赤秩父")</f>
        <v>荒井チェイサー・赤秩父</v>
      </c>
      <c r="I5229" s="22" t="str">
        <f>IFERROR(__xludf.DUMMYFUNCTION("""COMPUTED_VALUE"""),"青年")</f>
        <v>青年</v>
      </c>
      <c r="J5229" s="22"/>
      <c r="K5229" s="22" t="str">
        <f>IFERROR(__xludf.DUMMYFUNCTION("""COMPUTED_VALUE"""),"DEDEDE")</f>
        <v>DEDEDE</v>
      </c>
      <c r="L5229" s="22" t="str">
        <f>IFERROR(__xludf.DUMMYFUNCTION("""COMPUTED_VALUE"""),"CLLENN")</f>
        <v>CLLENN</v>
      </c>
      <c r="M5229" s="33">
        <f>IFERROR(__xludf.DUMMYFUNCTION("""COMPUTED_VALUE"""),46180.0)</f>
        <v>46180</v>
      </c>
      <c r="N5229" s="33">
        <f>IFERROR(__xludf.DUMMYFUNCTION("""COMPUTED_VALUE"""),46277.66666666667)</f>
        <v>46277.66667</v>
      </c>
      <c r="O5229" s="20"/>
      <c r="P5229" s="32" t="str">
        <f>IFERROR(__xludf.DUMMYFUNCTION("""COMPUTED_VALUE"""),"可")</f>
        <v>可</v>
      </c>
      <c r="Q5229" s="30"/>
      <c r="R5229" s="22" t="str">
        <f>IFERROR(__xludf.DUMMYFUNCTION("""COMPUTED_VALUE"""),"コミットOK")</f>
        <v>コミットOK</v>
      </c>
      <c r="S5229" s="22" t="str">
        <f>IFERROR(__xludf.DUMMYFUNCTION("""COMPUTED_VALUE"""),"20260519_CLLENN_擬態彼女～愛してる愛してる愛してる～")</f>
        <v>20260519_CLLENN_擬態彼女～愛してる愛してる愛してる～</v>
      </c>
      <c r="T5229" s="22" t="str">
        <f>IFERROR(__xludf.DUMMYFUNCTION("""COMPUTED_VALUE"""),"格納済み")</f>
        <v>格納済み</v>
      </c>
      <c r="U5229" s="9" t="str">
        <f>IFERROR(__xludf.DUMMYFUNCTION("""COMPUTED_VALUE"""),"Ⓒ荒井チェイサー・赤秩父/CLLENN")</f>
        <v>Ⓒ荒井チェイサー・赤秩父/CLLENN</v>
      </c>
      <c r="V5229" s="8"/>
      <c r="W5229" s="8"/>
      <c r="X5229" s="8" t="str">
        <f>IFERROR(__xludf.DUMMYFUNCTION("""COMPUTED_VALUE"""),"有")</f>
        <v>有</v>
      </c>
      <c r="Y5229" s="8" t="str">
        <f>IFERROR(__xludf.DUMMYFUNCTION("""COMPUTED_VALUE"""),"2026/6/20まで1巻無料")</f>
        <v>2026/6/20まで1巻無料</v>
      </c>
      <c r="Z5229" s="7"/>
      <c r="AA5229" s="7"/>
      <c r="AB5229" s="7"/>
    </row>
    <row r="5230" ht="15.75" customHeight="1">
      <c r="A5230" s="26">
        <f>IFERROR(__xludf.DUMMYFUNCTION("""COMPUTED_VALUE"""),7782.0)</f>
        <v>7782</v>
      </c>
      <c r="B5230" s="22" t="str">
        <f>IFERROR(__xludf.DUMMYFUNCTION("""COMPUTED_VALUE"""),"確定")</f>
        <v>確定</v>
      </c>
      <c r="C5230" s="28">
        <f>IFERROR(__xludf.DUMMYFUNCTION("""COMPUTED_VALUE"""),46112.0)</f>
        <v>46112</v>
      </c>
      <c r="D5230" s="28">
        <f>IFERROR(__xludf.DUMMYFUNCTION("""COMPUTED_VALUE"""),46161.0)</f>
        <v>46161</v>
      </c>
      <c r="E5230" s="26">
        <f>IFERROR(__xludf.DUMMYFUNCTION("""COMPUTED_VALUE"""),363631.0)</f>
        <v>363631</v>
      </c>
      <c r="F5230" s="22" t="str">
        <f>IFERROR(__xludf.DUMMYFUNCTION("""COMPUTED_VALUE"""),"貧乏令嬢（私）のことが嫌いな義弟侯爵と0日婚はじめました※なのに、執着強めな絶倫えっちが気持ちよくて困ってます!?【R版】")</f>
        <v>貧乏令嬢（私）のことが嫌いな義弟侯爵と0日婚はじめました※なのに、執着強めな絶倫えっちが気持ちよくて困ってます!?【R版】</v>
      </c>
      <c r="G5230" s="20" t="str">
        <f>IFERROR(__xludf.DUMMYFUNCTION("""COMPUTED_VALUE"""),"1～2")</f>
        <v>1～2</v>
      </c>
      <c r="H5230" s="22" t="str">
        <f>IFERROR(__xludf.DUMMYFUNCTION("""COMPUTED_VALUE"""),"闇のいんこ")</f>
        <v>闇のいんこ</v>
      </c>
      <c r="I5230" s="22" t="str">
        <f>IFERROR(__xludf.DUMMYFUNCTION("""COMPUTED_VALUE"""),"アダルト")</f>
        <v>アダルト</v>
      </c>
      <c r="J5230" s="22"/>
      <c r="K5230" s="22" t="str">
        <f>IFERROR(__xludf.DUMMYFUNCTION("""COMPUTED_VALUE"""),"＠夜噺+")</f>
        <v>＠夜噺+</v>
      </c>
      <c r="L5230" s="22" t="str">
        <f>IFERROR(__xludf.DUMMYFUNCTION("""COMPUTED_VALUE"""),"DEEPER-ZERO")</f>
        <v>DEEPER-ZERO</v>
      </c>
      <c r="M5230" s="33">
        <f>IFERROR(__xludf.DUMMYFUNCTION("""COMPUTED_VALUE"""),46191.0)</f>
        <v>46191</v>
      </c>
      <c r="N5230" s="33">
        <f>IFERROR(__xludf.DUMMYFUNCTION("""COMPUTED_VALUE"""),46253.0)</f>
        <v>46253</v>
      </c>
      <c r="O5230" s="20"/>
      <c r="P5230" s="32" t="str">
        <f>IFERROR(__xludf.DUMMYFUNCTION("""COMPUTED_VALUE"""),"可")</f>
        <v>可</v>
      </c>
      <c r="Q5230" s="30"/>
      <c r="R5230" s="22"/>
      <c r="S5230" s="22" t="str">
        <f>IFERROR(__xludf.DUMMYFUNCTION("""COMPUTED_VALUE"""),"20250515_DEEPER-ZERO_貧乏令嬢（私）のことが嫌いな義弟侯爵と0日婚はじめました※なのに、執着強めな絶倫えっちが気持ちよくて困ってます！？")</f>
        <v>20250515_DEEPER-ZERO_貧乏令嬢（私）のことが嫌いな義弟侯爵と0日婚はじめました※なのに、執着強めな絶倫えっちが気持ちよくて困ってます！？</v>
      </c>
      <c r="T5230" s="22" t="str">
        <f>IFERROR(__xludf.DUMMYFUNCTION("""COMPUTED_VALUE"""),"格納済み")</f>
        <v>格納済み</v>
      </c>
      <c r="U5230" s="9" t="str">
        <f>IFERROR(__xludf.DUMMYFUNCTION("""COMPUTED_VALUE"""),"Ⓒ闇のいんこ/DEEPER-ZERO")</f>
        <v>Ⓒ闇のいんこ/DEEPER-ZERO</v>
      </c>
      <c r="V5230" s="8"/>
      <c r="W5230" s="8"/>
      <c r="X5230" s="8" t="str">
        <f>IFERROR(__xludf.DUMMYFUNCTION("""COMPUTED_VALUE"""),"有")</f>
        <v>有</v>
      </c>
      <c r="Y5230" s="8" t="str">
        <f>IFERROR(__xludf.DUMMYFUNCTION("""COMPUTED_VALUE"""),"2026/7/1まで1巻p13まで立ち読み増量")</f>
        <v>2026/7/1まで1巻p13まで立ち読み増量</v>
      </c>
      <c r="Z5230" s="7"/>
      <c r="AA5230" s="7"/>
      <c r="AB5230" s="7"/>
    </row>
    <row r="5231" ht="15.75" customHeight="1">
      <c r="A5231" s="26">
        <f>IFERROR(__xludf.DUMMYFUNCTION("""COMPUTED_VALUE"""),7785.0)</f>
        <v>7785</v>
      </c>
      <c r="B5231" s="22" t="str">
        <f>IFERROR(__xludf.DUMMYFUNCTION("""COMPUTED_VALUE"""),"確定")</f>
        <v>確定</v>
      </c>
      <c r="C5231" s="28">
        <f>IFERROR(__xludf.DUMMYFUNCTION("""COMPUTED_VALUE"""),46113.0)</f>
        <v>46113</v>
      </c>
      <c r="D5231" s="28">
        <f>IFERROR(__xludf.DUMMYFUNCTION("""COMPUTED_VALUE"""),46162.0)</f>
        <v>46162</v>
      </c>
      <c r="E5231" s="26">
        <f>IFERROR(__xludf.DUMMYFUNCTION("""COMPUTED_VALUE"""),363630.0)</f>
        <v>363630</v>
      </c>
      <c r="F5231" s="22" t="str">
        <f>IFERROR(__xludf.DUMMYFUNCTION("""COMPUTED_VALUE"""),"心を閉ざした伯爵令嬢は、闇堕ち公爵の甘く重すぎる愛に囚われる【R版】")</f>
        <v>心を閉ざした伯爵令嬢は、闇堕ち公爵の甘く重すぎる愛に囚われる【R版】</v>
      </c>
      <c r="G5231" s="20" t="str">
        <f>IFERROR(__xludf.DUMMYFUNCTION("""COMPUTED_VALUE"""),"1～3")</f>
        <v>1～3</v>
      </c>
      <c r="H5231" s="22" t="str">
        <f>IFERROR(__xludf.DUMMYFUNCTION("""COMPUTED_VALUE"""),"十文字千代畑")</f>
        <v>十文字千代畑</v>
      </c>
      <c r="I5231" s="22" t="str">
        <f>IFERROR(__xludf.DUMMYFUNCTION("""COMPUTED_VALUE"""),"アダルト")</f>
        <v>アダルト</v>
      </c>
      <c r="J5231" s="22"/>
      <c r="K5231" s="22" t="str">
        <f>IFERROR(__xludf.DUMMYFUNCTION("""COMPUTED_VALUE"""),"＠夜噺+")</f>
        <v>＠夜噺+</v>
      </c>
      <c r="L5231" s="22" t="str">
        <f>IFERROR(__xludf.DUMMYFUNCTION("""COMPUTED_VALUE"""),"DEEPER-ZERO")</f>
        <v>DEEPER-ZERO</v>
      </c>
      <c r="M5231" s="33">
        <f>IFERROR(__xludf.DUMMYFUNCTION("""COMPUTED_VALUE"""),46191.0)</f>
        <v>46191</v>
      </c>
      <c r="N5231" s="33">
        <f>IFERROR(__xludf.DUMMYFUNCTION("""COMPUTED_VALUE"""),46253.0)</f>
        <v>46253</v>
      </c>
      <c r="O5231" s="20"/>
      <c r="P5231" s="32" t="str">
        <f>IFERROR(__xludf.DUMMYFUNCTION("""COMPUTED_VALUE"""),"可")</f>
        <v>可</v>
      </c>
      <c r="Q5231" s="30"/>
      <c r="R5231" s="22"/>
      <c r="S5231" s="22" t="str">
        <f>IFERROR(__xludf.DUMMYFUNCTION("""COMPUTED_VALUE"""),"20250515_DEEPER-ZERO_心を閉ざした伯爵令嬢は、闇堕ち公爵の甘く重すぎる愛に囚われる")</f>
        <v>20250515_DEEPER-ZERO_心を閉ざした伯爵令嬢は、闇堕ち公爵の甘く重すぎる愛に囚われる</v>
      </c>
      <c r="T5231" s="22" t="str">
        <f>IFERROR(__xludf.DUMMYFUNCTION("""COMPUTED_VALUE"""),"格納済み")</f>
        <v>格納済み</v>
      </c>
      <c r="U5231" s="9" t="str">
        <f>IFERROR(__xludf.DUMMYFUNCTION("""COMPUTED_VALUE"""),"Ⓒ十文字千代畑/DEEPER-ZERO")</f>
        <v>Ⓒ十文字千代畑/DEEPER-ZERO</v>
      </c>
      <c r="V5231" s="8"/>
      <c r="W5231" s="8"/>
      <c r="X5231" s="8" t="str">
        <f>IFERROR(__xludf.DUMMYFUNCTION("""COMPUTED_VALUE"""),"有")</f>
        <v>有</v>
      </c>
      <c r="Y5231" s="8" t="str">
        <f>IFERROR(__xludf.DUMMYFUNCTION("""COMPUTED_VALUE"""),"2026/7/1まで1巻無料")</f>
        <v>2026/7/1まで1巻無料</v>
      </c>
      <c r="Z5231" s="7"/>
      <c r="AA5231" s="7"/>
      <c r="AB5231" s="7"/>
    </row>
    <row r="5232" ht="15.75" customHeight="1">
      <c r="A5232" s="26">
        <f>IFERROR(__xludf.DUMMYFUNCTION("""COMPUTED_VALUE"""),7842.0)</f>
        <v>7842</v>
      </c>
      <c r="B5232" s="22" t="str">
        <f>IFERROR(__xludf.DUMMYFUNCTION("""COMPUTED_VALUE"""),"確定")</f>
        <v>確定</v>
      </c>
      <c r="C5232" s="28">
        <f>IFERROR(__xludf.DUMMYFUNCTION("""COMPUTED_VALUE"""),46127.0)</f>
        <v>46127</v>
      </c>
      <c r="D5232" s="28">
        <f>IFERROR(__xludf.DUMMYFUNCTION("""COMPUTED_VALUE"""),46162.0)</f>
        <v>46162</v>
      </c>
      <c r="E5232" s="26">
        <f>IFERROR(__xludf.DUMMYFUNCTION("""COMPUTED_VALUE"""),361811.0)</f>
        <v>361811</v>
      </c>
      <c r="F5232" s="22" t="str">
        <f>IFERROR(__xludf.DUMMYFUNCTION("""COMPUTED_VALUE"""),"王子様の発情スイッチ～呪いを解くまで終われません！～[ボル恋TOON]【タテヨミ】")</f>
        <v>王子様の発情スイッチ～呪いを解くまで終われません！～[ボル恋TOON]【タテヨミ】</v>
      </c>
      <c r="G5232" s="20" t="str">
        <f>IFERROR(__xludf.DUMMYFUNCTION("""COMPUTED_VALUE"""),"1～10")</f>
        <v>1～10</v>
      </c>
      <c r="H5232" s="22" t="str">
        <f>IFERROR(__xludf.DUMMYFUNCTION("""COMPUTED_VALUE"""),"さくら蒼/ボルテージ")</f>
        <v>さくら蒼/ボルテージ</v>
      </c>
      <c r="I5232" s="22" t="str">
        <f>IFERROR(__xludf.DUMMYFUNCTION("""COMPUTED_VALUE"""),"女性")</f>
        <v>女性</v>
      </c>
      <c r="J5232" s="22"/>
      <c r="K5232" s="22"/>
      <c r="L5232" s="22" t="str">
        <f>IFERROR(__xludf.DUMMYFUNCTION("""COMPUTED_VALUE"""),"ボルテージ")</f>
        <v>ボルテージ</v>
      </c>
      <c r="M5232" s="33">
        <f>IFERROR(__xludf.DUMMYFUNCTION("""COMPUTED_VALUE"""),46185.0)</f>
        <v>46185</v>
      </c>
      <c r="N5232" s="33">
        <f>IFERROR(__xludf.DUMMYFUNCTION("""COMPUTED_VALUE"""),46276.0)</f>
        <v>46276</v>
      </c>
      <c r="O5232" s="20"/>
      <c r="P5232" s="32" t="str">
        <f>IFERROR(__xludf.DUMMYFUNCTION("""COMPUTED_VALUE"""),"可")</f>
        <v>可</v>
      </c>
      <c r="Q5232" s="30"/>
      <c r="R5232" s="22" t="str">
        <f>IFERROR(__xludf.DUMMYFUNCTION("""COMPUTED_VALUE"""),"コミットOK")</f>
        <v>コミットOK</v>
      </c>
      <c r="S5232" s="22" t="str">
        <f>IFERROR(__xludf.DUMMYFUNCTION("""COMPUTED_VALUE"""),"20260512_ボルテージ_王子様の発情スイッチ")</f>
        <v>20260512_ボルテージ_王子様の発情スイッチ</v>
      </c>
      <c r="T5232" s="22" t="str">
        <f>IFERROR(__xludf.DUMMYFUNCTION("""COMPUTED_VALUE"""),"格納済み")</f>
        <v>格納済み</v>
      </c>
      <c r="U5232" s="9" t="str">
        <f>IFERROR(__xludf.DUMMYFUNCTION("""COMPUTED_VALUE"""),"Ⓒボルテージ")</f>
        <v>Ⓒボルテージ</v>
      </c>
      <c r="V5232" s="8"/>
      <c r="W5232" s="8"/>
      <c r="X5232" s="8" t="str">
        <f>IFERROR(__xludf.DUMMYFUNCTION("""COMPUTED_VALUE"""),"有")</f>
        <v>有</v>
      </c>
      <c r="Y5232" s="8" t="str">
        <f>IFERROR(__xludf.DUMMYFUNCTION("""COMPUTED_VALUE"""),"1巻永久無料
2026/9/11まで2～3巻無料")</f>
        <v>1巻永久無料
2026/9/11まで2～3巻無料</v>
      </c>
      <c r="Z5232" s="7"/>
      <c r="AA5232" s="7"/>
      <c r="AB5232" s="7"/>
    </row>
    <row r="5233" ht="15.75" customHeight="1">
      <c r="A5233" s="26">
        <f>IFERROR(__xludf.DUMMYFUNCTION("""COMPUTED_VALUE"""),7847.0)</f>
        <v>7847</v>
      </c>
      <c r="B5233" s="22" t="str">
        <f>IFERROR(__xludf.DUMMYFUNCTION("""COMPUTED_VALUE"""),"確定")</f>
        <v>確定</v>
      </c>
      <c r="C5233" s="28">
        <f>IFERROR(__xludf.DUMMYFUNCTION("""COMPUTED_VALUE"""),46127.0)</f>
        <v>46127</v>
      </c>
      <c r="D5233" s="28">
        <f>IFERROR(__xludf.DUMMYFUNCTION("""COMPUTED_VALUE"""),46160.0)</f>
        <v>46160</v>
      </c>
      <c r="E5233" s="26">
        <f>IFERROR(__xludf.DUMMYFUNCTION("""COMPUTED_VALUE"""),363623.0)</f>
        <v>363623</v>
      </c>
      <c r="F5233" s="22" t="str">
        <f>IFERROR(__xludf.DUMMYFUNCTION("""COMPUTED_VALUE"""),"カレとは、今日で最後の生えっち～好きと言えない関係ですれ違う想い～【R版】")</f>
        <v>カレとは、今日で最後の生えっち～好きと言えない関係ですれ違う想い～【R版】</v>
      </c>
      <c r="G5233" s="20">
        <f>IFERROR(__xludf.DUMMYFUNCTION("""COMPUTED_VALUE"""),1.0)</f>
        <v>1</v>
      </c>
      <c r="H5233" s="22" t="str">
        <f>IFERROR(__xludf.DUMMYFUNCTION("""COMPUTED_VALUE"""),"鬼我めいる")</f>
        <v>鬼我めいる</v>
      </c>
      <c r="I5233" s="22" t="str">
        <f>IFERROR(__xludf.DUMMYFUNCTION("""COMPUTED_VALUE"""),"アダルト")</f>
        <v>アダルト</v>
      </c>
      <c r="J5233" s="22"/>
      <c r="K5233" s="22" t="str">
        <f>IFERROR(__xludf.DUMMYFUNCTION("""COMPUTED_VALUE"""),"＠夜噺+")</f>
        <v>＠夜噺+</v>
      </c>
      <c r="L5233" s="22" t="str">
        <f>IFERROR(__xludf.DUMMYFUNCTION("""COMPUTED_VALUE"""),"DEEPER-ZERO")</f>
        <v>DEEPER-ZERO</v>
      </c>
      <c r="M5233" s="33">
        <f>IFERROR(__xludf.DUMMYFUNCTION("""COMPUTED_VALUE"""),46191.0)</f>
        <v>46191</v>
      </c>
      <c r="N5233" s="33">
        <f>IFERROR(__xludf.DUMMYFUNCTION("""COMPUTED_VALUE"""),46253.0)</f>
        <v>46253</v>
      </c>
      <c r="O5233" s="20"/>
      <c r="P5233" s="32" t="str">
        <f>IFERROR(__xludf.DUMMYFUNCTION("""COMPUTED_VALUE"""),"可")</f>
        <v>可</v>
      </c>
      <c r="Q5233" s="30" t="str">
        <f>IFERROR(__xludf.DUMMYFUNCTION("""COMPUTED_VALUE"""),"単発作品です。")</f>
        <v>単発作品です。</v>
      </c>
      <c r="R5233" s="22" t="str">
        <f>IFERROR(__xludf.DUMMYFUNCTION("""COMPUTED_VALUE"""),"コミットOK")</f>
        <v>コミットOK</v>
      </c>
      <c r="S5233" s="22" t="str">
        <f>IFERROR(__xludf.DUMMYFUNCTION("""COMPUTED_VALUE"""),"20260513_DEEPER-ZERO_カレとは、今日で最後の生えっち～好きと言えない関係ですれ違う想い～【R版】")</f>
        <v>20260513_DEEPER-ZERO_カレとは、今日で最後の生えっち～好きと言えない関係ですれ違う想い～【R版】</v>
      </c>
      <c r="T5233" s="22" t="str">
        <f>IFERROR(__xludf.DUMMYFUNCTION("""COMPUTED_VALUE"""),"格納済み")</f>
        <v>格納済み</v>
      </c>
      <c r="U5233" s="9" t="str">
        <f>IFERROR(__xludf.DUMMYFUNCTION("""COMPUTED_VALUE"""),"Ⓒ鬼我めいる/DEEPER-ZERO")</f>
        <v>Ⓒ鬼我めいる/DEEPER-ZERO</v>
      </c>
      <c r="V5233" s="8"/>
      <c r="W5233" s="8"/>
      <c r="X5233" s="8" t="str">
        <f>IFERROR(__xludf.DUMMYFUNCTION("""COMPUTED_VALUE"""),"有")</f>
        <v>有</v>
      </c>
      <c r="Y5233" s="8" t="str">
        <f>IFERROR(__xludf.DUMMYFUNCTION("""COMPUTED_VALUE"""),"2026/7/1まで1巻p8まで立ち読み増量")</f>
        <v>2026/7/1まで1巻p8まで立ち読み増量</v>
      </c>
      <c r="Z5233" s="7"/>
      <c r="AA5233" s="7"/>
      <c r="AB5233" s="7"/>
    </row>
    <row r="5234" ht="15.75" customHeight="1">
      <c r="A5234" s="26">
        <f>IFERROR(__xludf.DUMMYFUNCTION("""COMPUTED_VALUE"""),7848.0)</f>
        <v>7848</v>
      </c>
      <c r="B5234" s="22" t="str">
        <f>IFERROR(__xludf.DUMMYFUNCTION("""COMPUTED_VALUE"""),"確定")</f>
        <v>確定</v>
      </c>
      <c r="C5234" s="28">
        <f>IFERROR(__xludf.DUMMYFUNCTION("""COMPUTED_VALUE"""),46127.0)</f>
        <v>46127</v>
      </c>
      <c r="D5234" s="28">
        <f>IFERROR(__xludf.DUMMYFUNCTION("""COMPUTED_VALUE"""),46160.0)</f>
        <v>46160</v>
      </c>
      <c r="E5234" s="26">
        <f>IFERROR(__xludf.DUMMYFUNCTION("""COMPUTED_VALUE"""),363612.0)</f>
        <v>363612</v>
      </c>
      <c r="F5234" s="22" t="str">
        <f>IFERROR(__xludf.DUMMYFUNCTION("""COMPUTED_VALUE"""),"カレとは、今日で最後の生えっち～好きと言えない関係ですれ違う想い～【TL版】")</f>
        <v>カレとは、今日で最後の生えっち～好きと言えない関係ですれ違う想い～【TL版】</v>
      </c>
      <c r="G5234" s="20">
        <f>IFERROR(__xludf.DUMMYFUNCTION("""COMPUTED_VALUE"""),1.0)</f>
        <v>1</v>
      </c>
      <c r="H5234" s="22" t="str">
        <f>IFERROR(__xludf.DUMMYFUNCTION("""COMPUTED_VALUE"""),"鬼我めいる")</f>
        <v>鬼我めいる</v>
      </c>
      <c r="I5234" s="22" t="str">
        <f>IFERROR(__xludf.DUMMYFUNCTION("""COMPUTED_VALUE"""),"TL")</f>
        <v>TL</v>
      </c>
      <c r="J5234" s="22"/>
      <c r="K5234" s="22" t="str">
        <f>IFERROR(__xludf.DUMMYFUNCTION("""COMPUTED_VALUE"""),"＠夜噺")</f>
        <v>＠夜噺</v>
      </c>
      <c r="L5234" s="22" t="str">
        <f>IFERROR(__xludf.DUMMYFUNCTION("""COMPUTED_VALUE"""),"DEEPER-ZERO")</f>
        <v>DEEPER-ZERO</v>
      </c>
      <c r="M5234" s="33">
        <f>IFERROR(__xludf.DUMMYFUNCTION("""COMPUTED_VALUE"""),46191.0)</f>
        <v>46191</v>
      </c>
      <c r="N5234" s="33">
        <f>IFERROR(__xludf.DUMMYFUNCTION("""COMPUTED_VALUE"""),46253.0)</f>
        <v>46253</v>
      </c>
      <c r="O5234" s="20" t="str">
        <f>IFERROR(__xludf.DUMMYFUNCTION("""COMPUTED_VALUE"""),"【アダルト作品扱い】")</f>
        <v>【アダルト作品扱い】</v>
      </c>
      <c r="P5234" s="32" t="str">
        <f>IFERROR(__xludf.DUMMYFUNCTION("""COMPUTED_VALUE"""),"可")</f>
        <v>可</v>
      </c>
      <c r="Q5234" s="30" t="str">
        <f>IFERROR(__xludf.DUMMYFUNCTION("""COMPUTED_VALUE"""),"単発作品です。")</f>
        <v>単発作品です。</v>
      </c>
      <c r="R5234" s="22" t="str">
        <f>IFERROR(__xludf.DUMMYFUNCTION("""COMPUTED_VALUE"""),"コミットNG")</f>
        <v>コミットNG</v>
      </c>
      <c r="S5234" s="22" t="str">
        <f>IFERROR(__xludf.DUMMYFUNCTION("""COMPUTED_VALUE"""),"20260513_DEEPER-ZERO_カレとは、今日で最後の生えっち～好きと言えない関係ですれ違う想い～【TL版】")</f>
        <v>20260513_DEEPER-ZERO_カレとは、今日で最後の生えっち～好きと言えない関係ですれ違う想い～【TL版】</v>
      </c>
      <c r="T5234" s="22" t="str">
        <f>IFERROR(__xludf.DUMMYFUNCTION("""COMPUTED_VALUE"""),"格納済み")</f>
        <v>格納済み</v>
      </c>
      <c r="U5234" s="9" t="str">
        <f>IFERROR(__xludf.DUMMYFUNCTION("""COMPUTED_VALUE"""),"Ⓒ鬼我めいる/DEEPER-ZERO")</f>
        <v>Ⓒ鬼我めいる/DEEPER-ZERO</v>
      </c>
      <c r="V5234" s="8"/>
      <c r="W5234" s="8"/>
      <c r="X5234" s="8" t="str">
        <f>IFERROR(__xludf.DUMMYFUNCTION("""COMPUTED_VALUE"""),"有")</f>
        <v>有</v>
      </c>
      <c r="Y5234" s="8" t="str">
        <f>IFERROR(__xludf.DUMMYFUNCTION("""COMPUTED_VALUE"""),"p5まで")</f>
        <v>p5まで</v>
      </c>
      <c r="Z5234" s="7"/>
      <c r="AA5234" s="7"/>
      <c r="AB5234" s="7"/>
    </row>
    <row r="5235" ht="15.75" customHeight="1">
      <c r="A5235" s="26">
        <f>IFERROR(__xludf.DUMMYFUNCTION("""COMPUTED_VALUE"""),7852.0)</f>
        <v>7852</v>
      </c>
      <c r="B5235" s="22" t="str">
        <f>IFERROR(__xludf.DUMMYFUNCTION("""COMPUTED_VALUE"""),"確定")</f>
        <v>確定</v>
      </c>
      <c r="C5235" s="28">
        <f>IFERROR(__xludf.DUMMYFUNCTION("""COMPUTED_VALUE"""),46128.0)</f>
        <v>46128</v>
      </c>
      <c r="D5235" s="28">
        <f>IFERROR(__xludf.DUMMYFUNCTION("""COMPUTED_VALUE"""),46160.0)</f>
        <v>46160</v>
      </c>
      <c r="E5235" s="26">
        <f>IFERROR(__xludf.DUMMYFUNCTION("""COMPUTED_VALUE"""),363970.0)</f>
        <v>363970</v>
      </c>
      <c r="F5235" s="22" t="str">
        <f>IFERROR(__xludf.DUMMYFUNCTION("""COMPUTED_VALUE"""),"不良聖女の巡礼　～追放された最強の聖女は、世界を救う旅をする～【単話版】")</f>
        <v>不良聖女の巡礼　～追放された最強の聖女は、世界を救う旅をする～【単話版】</v>
      </c>
      <c r="G5235" s="20" t="str">
        <f>IFERROR(__xludf.DUMMYFUNCTION("""COMPUTED_VALUE"""),"1～3")</f>
        <v>1～3</v>
      </c>
      <c r="H5235" s="22" t="str">
        <f>IFERROR(__xludf.DUMMYFUNCTION("""COMPUTED_VALUE"""),"Cou Awaa がわこ")</f>
        <v>Cou Awaa がわこ</v>
      </c>
      <c r="I5235" s="22" t="str">
        <f>IFERROR(__xludf.DUMMYFUNCTION("""COMPUTED_VALUE"""),"少年マンガ")</f>
        <v>少年マンガ</v>
      </c>
      <c r="J5235" s="22"/>
      <c r="K5235" s="22"/>
      <c r="L5235" s="22" t="str">
        <f>IFERROR(__xludf.DUMMYFUNCTION("""COMPUTED_VALUE"""),"オーバーラップ")</f>
        <v>オーバーラップ</v>
      </c>
      <c r="M5235" s="33">
        <f>IFERROR(__xludf.DUMMYFUNCTION("""COMPUTED_VALUE"""),46183.0)</f>
        <v>46183</v>
      </c>
      <c r="N5235" s="33">
        <f>IFERROR(__xludf.DUMMYFUNCTION("""COMPUTED_VALUE"""),401768.0)</f>
        <v>401768</v>
      </c>
      <c r="O5235" s="20"/>
      <c r="P5235" s="32" t="str">
        <f>IFERROR(__xludf.DUMMYFUNCTION("""COMPUTED_VALUE"""),"可")</f>
        <v>可</v>
      </c>
      <c r="Q5235" s="30"/>
      <c r="R5235" s="22" t="str">
        <f>IFERROR(__xludf.DUMMYFUNCTION("""COMPUTED_VALUE"""),"コミットNG")</f>
        <v>コミットNG</v>
      </c>
      <c r="S5235" s="22" t="str">
        <f>IFERROR(__xludf.DUMMYFUNCTION("""COMPUTED_VALUE"""),"20260513_オーバーラップ_不良聖女")</f>
        <v>20260513_オーバーラップ_不良聖女</v>
      </c>
      <c r="T5235" s="22" t="str">
        <f>IFERROR(__xludf.DUMMYFUNCTION("""COMPUTED_VALUE"""),"格納済み")</f>
        <v>格納済み</v>
      </c>
      <c r="U5235" s="9" t="str">
        <f>IFERROR(__xludf.DUMMYFUNCTION("""COMPUTED_VALUE"""),"(c)Cou　(c)Awaa／オーバーラップ")</f>
        <v>(c)Cou　(c)Awaa／オーバーラップ</v>
      </c>
      <c r="V5235" s="8"/>
      <c r="W5235" s="8"/>
      <c r="X5235" s="8" t="str">
        <f>IFERROR(__xludf.DUMMYFUNCTION("""COMPUTED_VALUE"""),"有")</f>
        <v>有</v>
      </c>
      <c r="Y5235" s="8" t="str">
        <f>IFERROR(__xludf.DUMMYFUNCTION("""COMPUTED_VALUE"""),"p35まで")</f>
        <v>p35まで</v>
      </c>
      <c r="Z5235" s="7"/>
      <c r="AA5235" s="7"/>
      <c r="AB5235" s="7"/>
    </row>
    <row r="5236" ht="15.75" customHeight="1">
      <c r="A5236" s="26">
        <f>IFERROR(__xludf.DUMMYFUNCTION("""COMPUTED_VALUE"""),7866.0)</f>
        <v>7866</v>
      </c>
      <c r="B5236" s="22" t="str">
        <f>IFERROR(__xludf.DUMMYFUNCTION("""COMPUTED_VALUE"""),"確定")</f>
        <v>確定</v>
      </c>
      <c r="C5236" s="28">
        <f>IFERROR(__xludf.DUMMYFUNCTION("""COMPUTED_VALUE"""),46132.0)</f>
        <v>46132</v>
      </c>
      <c r="D5236" s="28">
        <f>IFERROR(__xludf.DUMMYFUNCTION("""COMPUTED_VALUE"""),46157.0)</f>
        <v>46157</v>
      </c>
      <c r="E5236" s="26">
        <f>IFERROR(__xludf.DUMMYFUNCTION("""COMPUTED_VALUE"""),363270.0)</f>
        <v>363270</v>
      </c>
      <c r="F5236" s="22" t="str">
        <f>IFERROR(__xludf.DUMMYFUNCTION("""COMPUTED_VALUE"""),"高嶺のギャルと汗だくプレイ～弱みを握った俺は彼女を抱き潰す～【フルカラー】【タテコミ】")</f>
        <v>高嶺のギャルと汗だくプレイ～弱みを握った俺は彼女を抱き潰す～【フルカラー】【タテコミ】</v>
      </c>
      <c r="G5236" s="20" t="str">
        <f>IFERROR(__xludf.DUMMYFUNCTION("""COMPUTED_VALUE"""),"1～10")</f>
        <v>1～10</v>
      </c>
      <c r="H5236" s="22" t="str">
        <f>IFERROR(__xludf.DUMMYFUNCTION("""COMPUTED_VALUE"""),"月見ハク・pinkvisions")</f>
        <v>月見ハク・pinkvisions</v>
      </c>
      <c r="I5236" s="22" t="str">
        <f>IFERROR(__xludf.DUMMYFUNCTION("""COMPUTED_VALUE"""),"アダルトマンガ")</f>
        <v>アダルトマンガ</v>
      </c>
      <c r="J5236" s="22"/>
      <c r="K5236" s="22" t="str">
        <f>IFERROR(__xludf.DUMMYFUNCTION("""COMPUTED_VALUE"""),"COMIC-XXX")</f>
        <v>COMIC-XXX</v>
      </c>
      <c r="L5236" s="22" t="str">
        <f>IFERROR(__xludf.DUMMYFUNCTION("""COMPUTED_VALUE"""),"DEEPER-ZERO")</f>
        <v>DEEPER-ZERO</v>
      </c>
      <c r="M5236" s="33">
        <f>IFERROR(__xludf.DUMMYFUNCTION("""COMPUTED_VALUE"""),46178.0)</f>
        <v>46178</v>
      </c>
      <c r="N5236" s="33">
        <f>IFERROR(__xludf.DUMMYFUNCTION("""COMPUTED_VALUE"""),46240.0)</f>
        <v>46240</v>
      </c>
      <c r="O5236" s="20"/>
      <c r="P5236" s="32" t="str">
        <f>IFERROR(__xludf.DUMMYFUNCTION("""COMPUTED_VALUE"""),"可")</f>
        <v>可</v>
      </c>
      <c r="Q5236" s="30"/>
      <c r="R5236" s="22"/>
      <c r="S5236" s="22" t="str">
        <f>IFERROR(__xludf.DUMMYFUNCTION("""COMPUTED_VALUE"""),"20260511_DEEPER-ZERO_高嶺のギャルと汗だくプレイ～弱みを握った俺は彼女を抱き潰す【フルカラー】【タテコミ】")</f>
        <v>20260511_DEEPER-ZERO_高嶺のギャルと汗だくプレイ～弱みを握った俺は彼女を抱き潰す【フルカラー】【タテコミ】</v>
      </c>
      <c r="T5236" s="22" t="str">
        <f>IFERROR(__xludf.DUMMYFUNCTION("""COMPUTED_VALUE"""),"格納済み")</f>
        <v>格納済み</v>
      </c>
      <c r="U5236" s="9" t="str">
        <f>IFERROR(__xludf.DUMMYFUNCTION("""COMPUTED_VALUE"""),"Ⓒ月見ハク・pinkvisions/DEEPER-ZERO")</f>
        <v>Ⓒ月見ハク・pinkvisions/DEEPER-ZERO</v>
      </c>
      <c r="V5236" s="8"/>
      <c r="W5236" s="8"/>
      <c r="X5236" s="8" t="str">
        <f>IFERROR(__xludf.DUMMYFUNCTION("""COMPUTED_VALUE"""),"有")</f>
        <v>有</v>
      </c>
      <c r="Y5236" s="8" t="str">
        <f>IFERROR(__xludf.DUMMYFUNCTION("""COMPUTED_VALUE"""),"2026/6/18まで1～3巻無料")</f>
        <v>2026/6/18まで1～3巻無料</v>
      </c>
      <c r="Z5236" s="7"/>
      <c r="AA5236" s="7"/>
      <c r="AB5236" s="7"/>
    </row>
    <row r="5237" ht="15.75" customHeight="1">
      <c r="A5237" s="26">
        <f>IFERROR(__xludf.DUMMYFUNCTION("""COMPUTED_VALUE"""),7867.0)</f>
        <v>7867</v>
      </c>
      <c r="B5237" s="22" t="str">
        <f>IFERROR(__xludf.DUMMYFUNCTION("""COMPUTED_VALUE"""),"確定")</f>
        <v>確定</v>
      </c>
      <c r="C5237" s="28">
        <f>IFERROR(__xludf.DUMMYFUNCTION("""COMPUTED_VALUE"""),46132.0)</f>
        <v>46132</v>
      </c>
      <c r="D5237" s="28">
        <f>IFERROR(__xludf.DUMMYFUNCTION("""COMPUTED_VALUE"""),46161.0)</f>
        <v>46161</v>
      </c>
      <c r="E5237" s="26">
        <f>IFERROR(__xludf.DUMMYFUNCTION("""COMPUTED_VALUE"""),363849.0)</f>
        <v>363849</v>
      </c>
      <c r="F5237" s="22" t="str">
        <f>IFERROR(__xludf.DUMMYFUNCTION("""COMPUTED_VALUE"""),"旅行先は混浴NTR温泉～夫婦交換会場でチャラ男に寝取られた最愛の妻～【フルカラー】【R版】")</f>
        <v>旅行先は混浴NTR温泉～夫婦交換会場でチャラ男に寝取られた最愛の妻～【フルカラー】【R版】</v>
      </c>
      <c r="G5237" s="20" t="str">
        <f>IFERROR(__xludf.DUMMYFUNCTION("""COMPUTED_VALUE"""),"1～3")</f>
        <v>1～3</v>
      </c>
      <c r="H5237" s="22" t="str">
        <f>IFERROR(__xludf.DUMMYFUNCTION("""COMPUTED_VALUE"""),"平間ケンジ")</f>
        <v>平間ケンジ</v>
      </c>
      <c r="I5237" s="22" t="str">
        <f>IFERROR(__xludf.DUMMYFUNCTION("""COMPUTED_VALUE"""),"アダルトマンガ")</f>
        <v>アダルトマンガ</v>
      </c>
      <c r="J5237" s="22"/>
      <c r="K5237" s="22" t="str">
        <f>IFERROR(__xludf.DUMMYFUNCTION("""COMPUTED_VALUE"""),"もえスタビースト")</f>
        <v>もえスタビースト</v>
      </c>
      <c r="L5237" s="22" t="str">
        <f>IFERROR(__xludf.DUMMYFUNCTION("""COMPUTED_VALUE"""),"DEEPER-ZERO")</f>
        <v>DEEPER-ZERO</v>
      </c>
      <c r="M5237" s="33">
        <f>IFERROR(__xludf.DUMMYFUNCTION("""COMPUTED_VALUE"""),46193.0)</f>
        <v>46193</v>
      </c>
      <c r="N5237" s="33">
        <f>IFERROR(__xludf.DUMMYFUNCTION("""COMPUTED_VALUE"""),46248.0)</f>
        <v>46248</v>
      </c>
      <c r="O5237" s="20"/>
      <c r="P5237" s="32" t="str">
        <f>IFERROR(__xludf.DUMMYFUNCTION("""COMPUTED_VALUE"""),"可")</f>
        <v>可</v>
      </c>
      <c r="Q5237" s="30"/>
      <c r="R5237" s="22"/>
      <c r="S5237" s="22" t="str">
        <f>IFERROR(__xludf.DUMMYFUNCTION("""COMPUTED_VALUE"""),"20260518_DEEPER-ZERO_旅行先は混浴NTR温泉～夫婦交換会場でチャラ男に寝取られた最愛の妻～【フルカラー】")</f>
        <v>20260518_DEEPER-ZERO_旅行先は混浴NTR温泉～夫婦交換会場でチャラ男に寝取られた最愛の妻～【フルカラー】</v>
      </c>
      <c r="T5237" s="22" t="str">
        <f>IFERROR(__xludf.DUMMYFUNCTION("""COMPUTED_VALUE"""),"格納済み")</f>
        <v>格納済み</v>
      </c>
      <c r="U5237" s="9" t="str">
        <f>IFERROR(__xludf.DUMMYFUNCTION("""COMPUTED_VALUE"""),"Ⓒ平間ケンジ/DEEPER-ZERO")</f>
        <v>Ⓒ平間ケンジ/DEEPER-ZERO</v>
      </c>
      <c r="V5237" s="8"/>
      <c r="W5237" s="8"/>
      <c r="X5237" s="8" t="str">
        <f>IFERROR(__xludf.DUMMYFUNCTION("""COMPUTED_VALUE"""),"有")</f>
        <v>有</v>
      </c>
      <c r="Y5237" s="8" t="str">
        <f>IFERROR(__xludf.DUMMYFUNCTION("""COMPUTED_VALUE"""),"p10まで")</f>
        <v>p10まで</v>
      </c>
      <c r="Z5237" s="7"/>
      <c r="AA5237" s="7"/>
      <c r="AB5237" s="7"/>
    </row>
    <row r="5238" ht="15.75" customHeight="1">
      <c r="A5238" s="26">
        <f>IFERROR(__xludf.DUMMYFUNCTION("""COMPUTED_VALUE"""),7929.0)</f>
        <v>7929</v>
      </c>
      <c r="B5238" s="22" t="str">
        <f>IFERROR(__xludf.DUMMYFUNCTION("""COMPUTED_VALUE"""),"確定")</f>
        <v>確定</v>
      </c>
      <c r="C5238" s="28">
        <f>IFERROR(__xludf.DUMMYFUNCTION("""COMPUTED_VALUE"""),46140.0)</f>
        <v>46140</v>
      </c>
      <c r="D5238" s="28">
        <f>IFERROR(__xludf.DUMMYFUNCTION("""COMPUTED_VALUE"""),46161.0)</f>
        <v>46161</v>
      </c>
      <c r="E5238" s="26">
        <f>IFERROR(__xludf.DUMMYFUNCTION("""COMPUTED_VALUE"""),362414.0)</f>
        <v>362414</v>
      </c>
      <c r="F5238" s="22" t="str">
        <f>IFERROR(__xludf.DUMMYFUNCTION("""COMPUTED_VALUE"""),"BLゲームの主人公になったら片想いだと思っていた従者に溺愛された件")</f>
        <v>BLゲームの主人公になったら片想いだと思っていた従者に溺愛された件</v>
      </c>
      <c r="G5238" s="20" t="str">
        <f>IFERROR(__xludf.DUMMYFUNCTION("""COMPUTED_VALUE"""),"1～2")</f>
        <v>1～2</v>
      </c>
      <c r="H5238" s="22" t="str">
        <f>IFERROR(__xludf.DUMMYFUNCTION("""COMPUTED_VALUE"""),"野宮ともか")</f>
        <v>野宮ともか</v>
      </c>
      <c r="I5238" s="22" t="str">
        <f>IFERROR(__xludf.DUMMYFUNCTION("""COMPUTED_VALUE"""),"BL")</f>
        <v>BL</v>
      </c>
      <c r="J5238" s="22"/>
      <c r="K5238" s="22" t="str">
        <f>IFERROR(__xludf.DUMMYFUNCTION("""COMPUTED_VALUE"""),"NuPu")</f>
        <v>NuPu</v>
      </c>
      <c r="L5238" s="22" t="str">
        <f>IFERROR(__xludf.DUMMYFUNCTION("""COMPUTED_VALUE"""),"CLLENN")</f>
        <v>CLLENN</v>
      </c>
      <c r="M5238" s="33">
        <f>IFERROR(__xludf.DUMMYFUNCTION("""COMPUTED_VALUE"""),46191.0)</f>
        <v>46191</v>
      </c>
      <c r="N5238" s="33">
        <f>IFERROR(__xludf.DUMMYFUNCTION("""COMPUTED_VALUE"""),46253.0)</f>
        <v>46253</v>
      </c>
      <c r="O5238" s="20" t="str">
        <f>IFERROR(__xludf.DUMMYFUNCTION("""COMPUTED_VALUE"""),"【アダルト作品扱い】")</f>
        <v>【アダルト作品扱い】</v>
      </c>
      <c r="P5238" s="32" t="str">
        <f>IFERROR(__xludf.DUMMYFUNCTION("""COMPUTED_VALUE"""),"可")</f>
        <v>可</v>
      </c>
      <c r="Q5238" s="30"/>
      <c r="R5238" s="22"/>
      <c r="S5238" s="22" t="str">
        <f>IFERROR(__xludf.DUMMYFUNCTION("""COMPUTED_VALUE"""),"20250515_CLLENN_BLゲームの主人公になったら片想いだと思っていた従者に溺愛された件")</f>
        <v>20250515_CLLENN_BLゲームの主人公になったら片想いだと思っていた従者に溺愛された件</v>
      </c>
      <c r="T5238" s="22" t="str">
        <f>IFERROR(__xludf.DUMMYFUNCTION("""COMPUTED_VALUE"""),"格納済み")</f>
        <v>格納済み</v>
      </c>
      <c r="U5238" s="9" t="str">
        <f>IFERROR(__xludf.DUMMYFUNCTION("""COMPUTED_VALUE"""),"Ⓒ野宮ともか/CLLENN")</f>
        <v>Ⓒ野宮ともか/CLLENN</v>
      </c>
      <c r="V5238" s="8"/>
      <c r="W5238" s="8"/>
      <c r="X5238" s="8" t="str">
        <f>IFERROR(__xludf.DUMMYFUNCTION("""COMPUTED_VALUE"""),"有")</f>
        <v>有</v>
      </c>
      <c r="Y5238" s="8" t="str">
        <f>IFERROR(__xludf.DUMMYFUNCTION("""COMPUTED_VALUE"""),"2026/7/1まで1巻p24まで立ち読み増量")</f>
        <v>2026/7/1まで1巻p24まで立ち読み増量</v>
      </c>
      <c r="Z5238" s="7"/>
      <c r="AA5238" s="7"/>
      <c r="AB5238" s="7"/>
    </row>
    <row r="5239" ht="15.75" customHeight="1">
      <c r="A5239" s="26">
        <f>IFERROR(__xludf.DUMMYFUNCTION("""COMPUTED_VALUE"""),7931.0)</f>
        <v>7931</v>
      </c>
      <c r="B5239" s="22" t="str">
        <f>IFERROR(__xludf.DUMMYFUNCTION("""COMPUTED_VALUE"""),"確定")</f>
        <v>確定</v>
      </c>
      <c r="C5239" s="28">
        <f>IFERROR(__xludf.DUMMYFUNCTION("""COMPUTED_VALUE"""),46140.0)</f>
        <v>46140</v>
      </c>
      <c r="D5239" s="28">
        <f>IFERROR(__xludf.DUMMYFUNCTION("""COMPUTED_VALUE"""),46160.0)</f>
        <v>46160</v>
      </c>
      <c r="E5239" s="26">
        <f>IFERROR(__xludf.DUMMYFUNCTION("""COMPUTED_VALUE"""),362415.0)</f>
        <v>362415</v>
      </c>
      <c r="F5239" s="22" t="str">
        <f>IFERROR(__xludf.DUMMYFUNCTION("""COMPUTED_VALUE"""),"千春と類")</f>
        <v>千春と類</v>
      </c>
      <c r="G5239" s="20" t="str">
        <f>IFERROR(__xludf.DUMMYFUNCTION("""COMPUTED_VALUE"""),"1～2")</f>
        <v>1～2</v>
      </c>
      <c r="H5239" s="22" t="str">
        <f>IFERROR(__xludf.DUMMYFUNCTION("""COMPUTED_VALUE"""),"crim")</f>
        <v>crim</v>
      </c>
      <c r="I5239" s="22" t="str">
        <f>IFERROR(__xludf.DUMMYFUNCTION("""COMPUTED_VALUE"""),"BL")</f>
        <v>BL</v>
      </c>
      <c r="J5239" s="22"/>
      <c r="K5239" s="22" t="str">
        <f>IFERROR(__xludf.DUMMYFUNCTION("""COMPUTED_VALUE"""),"NuPu")</f>
        <v>NuPu</v>
      </c>
      <c r="L5239" s="22" t="str">
        <f>IFERROR(__xludf.DUMMYFUNCTION("""COMPUTED_VALUE"""),"CLLENN")</f>
        <v>CLLENN</v>
      </c>
      <c r="M5239" s="33">
        <f>IFERROR(__xludf.DUMMYFUNCTION("""COMPUTED_VALUE"""),46191.0)</f>
        <v>46191</v>
      </c>
      <c r="N5239" s="33">
        <f>IFERROR(__xludf.DUMMYFUNCTION("""COMPUTED_VALUE"""),46253.0)</f>
        <v>46253</v>
      </c>
      <c r="O5239" s="20"/>
      <c r="P5239" s="32" t="str">
        <f>IFERROR(__xludf.DUMMYFUNCTION("""COMPUTED_VALUE"""),"可")</f>
        <v>可</v>
      </c>
      <c r="Q5239" s="30"/>
      <c r="R5239" s="22"/>
      <c r="S5239" s="22" t="str">
        <f>IFERROR(__xludf.DUMMYFUNCTION("""COMPUTED_VALUE"""),"20260513_CLLENN_千春と類")</f>
        <v>20260513_CLLENN_千春と類</v>
      </c>
      <c r="T5239" s="22" t="str">
        <f>IFERROR(__xludf.DUMMYFUNCTION("""COMPUTED_VALUE"""),"格納済み")</f>
        <v>格納済み</v>
      </c>
      <c r="U5239" s="9" t="str">
        <f>IFERROR(__xludf.DUMMYFUNCTION("""COMPUTED_VALUE"""),"Ⓒcrim/CLLENN")</f>
        <v>Ⓒcrim/CLLENN</v>
      </c>
      <c r="V5239" s="8"/>
      <c r="W5239" s="8"/>
      <c r="X5239" s="8" t="str">
        <f>IFERROR(__xludf.DUMMYFUNCTION("""COMPUTED_VALUE"""),"有")</f>
        <v>有</v>
      </c>
      <c r="Y5239" s="8" t="str">
        <f>IFERROR(__xludf.DUMMYFUNCTION("""COMPUTED_VALUE"""),"2026/7/1まで1巻p26まで立ち読み増量")</f>
        <v>2026/7/1まで1巻p26まで立ち読み増量</v>
      </c>
      <c r="Z5239" s="7"/>
      <c r="AA5239" s="7"/>
      <c r="AB5239" s="7"/>
    </row>
    <row r="5240" ht="15.75" customHeight="1">
      <c r="A5240" s="26">
        <f>IFERROR(__xludf.DUMMYFUNCTION("""COMPUTED_VALUE"""),7940.0)</f>
        <v>7940</v>
      </c>
      <c r="B5240" s="22" t="str">
        <f>IFERROR(__xludf.DUMMYFUNCTION("""COMPUTED_VALUE"""),"確定")</f>
        <v>確定</v>
      </c>
      <c r="C5240" s="28">
        <f>IFERROR(__xludf.DUMMYFUNCTION("""COMPUTED_VALUE"""),46140.0)</f>
        <v>46140</v>
      </c>
      <c r="D5240" s="28">
        <f>IFERROR(__xludf.DUMMYFUNCTION("""COMPUTED_VALUE"""),46160.0)</f>
        <v>46160</v>
      </c>
      <c r="E5240" s="26">
        <f>IFERROR(__xludf.DUMMYFUNCTION("""COMPUTED_VALUE"""),363651.0)</f>
        <v>363651</v>
      </c>
      <c r="F5240" s="22" t="str">
        <f>IFERROR(__xludf.DUMMYFUNCTION("""COMPUTED_VALUE"""),"【分冊版】竜の医師団")</f>
        <v>【分冊版】竜の医師団</v>
      </c>
      <c r="G5240" s="20" t="str">
        <f>IFERROR(__xludf.DUMMYFUNCTION("""COMPUTED_VALUE"""),"1~5")</f>
        <v>1~5</v>
      </c>
      <c r="H5240" s="22" t="str">
        <f>IFERROR(__xludf.DUMMYFUNCTION("""COMPUTED_VALUE"""),"(原作)庵野ゆき・(作画)月島さと・(キャラクター原案)岩本ゼロゴ")</f>
        <v>(原作)庵野ゆき・(作画)月島さと・(キャラクター原案)岩本ゼロゴ</v>
      </c>
      <c r="I5240" s="22" t="str">
        <f>IFERROR(__xludf.DUMMYFUNCTION("""COMPUTED_VALUE"""),"青年")</f>
        <v>青年</v>
      </c>
      <c r="J5240" s="22"/>
      <c r="K5240" s="22"/>
      <c r="L5240" s="22" t="str">
        <f>IFERROR(__xludf.DUMMYFUNCTION("""COMPUTED_VALUE"""),"Seasons")</f>
        <v>Seasons</v>
      </c>
      <c r="M5240" s="33">
        <f>IFERROR(__xludf.DUMMYFUNCTION("""COMPUTED_VALUE"""),46196.0)</f>
        <v>46196</v>
      </c>
      <c r="N5240" s="33">
        <f>IFERROR(__xludf.DUMMYFUNCTION("""COMPUTED_VALUE"""),46280.0)</f>
        <v>46280</v>
      </c>
      <c r="O5240" s="20"/>
      <c r="P5240" s="32" t="str">
        <f>IFERROR(__xludf.DUMMYFUNCTION("""COMPUTED_VALUE"""),"可")</f>
        <v>可</v>
      </c>
      <c r="Q5240" s="30" t="str">
        <f>IFERROR(__xludf.DUMMYFUNCTION("""COMPUTED_VALUE"""),"1-3巻素材で広告制作お願いいたします。4～5巻素材は後日共有予定です。&lt;BR&gt;東京創元社より刊行中の小説シリーズ『竜の医師団』（著：庵野ゆき）のコミカライズとなります。 &lt;BR&gt;")</f>
        <v>1-3巻素材で広告制作お願いいたします。4～5巻素材は後日共有予定です。&lt;BR&gt;東京創元社より刊行中の小説シリーズ『竜の医師団』（著：庵野ゆき）のコミカライズとなります。 &lt;BR&gt;</v>
      </c>
      <c r="R5240" s="22"/>
      <c r="S5240" s="22" t="str">
        <f>IFERROR(__xludf.DUMMYFUNCTION("""COMPUTED_VALUE"""),"20260515_Seasons_【分冊版】竜の医師団")</f>
        <v>20260515_Seasons_【分冊版】竜の医師団</v>
      </c>
      <c r="T5240" s="22" t="str">
        <f>IFERROR(__xludf.DUMMYFUNCTION("""COMPUTED_VALUE"""),"格納済み")</f>
        <v>格納済み</v>
      </c>
      <c r="U5240" s="9" t="str">
        <f>IFERROR(__xludf.DUMMYFUNCTION("""COMPUTED_VALUE"""),"(C)庵野ゆき・月島さと・岩本ゼロゴ／文藝春秋")</f>
        <v>(C)庵野ゆき・月島さと・岩本ゼロゴ／文藝春秋</v>
      </c>
      <c r="V5240" s="8"/>
      <c r="W5240" s="8"/>
      <c r="X5240" s="8" t="str">
        <f>IFERROR(__xludf.DUMMYFUNCTION("""COMPUTED_VALUE"""),"有")</f>
        <v>有</v>
      </c>
      <c r="Y5240" s="8" t="str">
        <f>IFERROR(__xludf.DUMMYFUNCTION("""COMPUTED_VALUE"""),"2026/7/6まで1巻無料")</f>
        <v>2026/7/6まで1巻無料</v>
      </c>
      <c r="Z5240" s="7"/>
      <c r="AA5240" s="7"/>
      <c r="AB5240" s="7"/>
    </row>
    <row r="5241" ht="15.75" customHeight="1">
      <c r="A5241" s="26">
        <f>IFERROR(__xludf.DUMMYFUNCTION("""COMPUTED_VALUE"""),7987.0)</f>
        <v>7987</v>
      </c>
      <c r="B5241" s="22" t="str">
        <f>IFERROR(__xludf.DUMMYFUNCTION("""COMPUTED_VALUE"""),"確定")</f>
        <v>確定</v>
      </c>
      <c r="C5241" s="28">
        <f>IFERROR(__xludf.DUMMYFUNCTION("""COMPUTED_VALUE"""),46155.0)</f>
        <v>46155</v>
      </c>
      <c r="D5241" s="28">
        <f>IFERROR(__xludf.DUMMYFUNCTION("""COMPUTED_VALUE"""),46157.0)</f>
        <v>46157</v>
      </c>
      <c r="E5241" s="26">
        <f>IFERROR(__xludf.DUMMYFUNCTION("""COMPUTED_VALUE"""),363144.0)</f>
        <v>363144</v>
      </c>
      <c r="F5241" s="22" t="str">
        <f>IFERROR(__xludf.DUMMYFUNCTION("""COMPUTED_VALUE"""),"[スパイシーレディ]薫る秘蜜にとろける溺愛～※自称夫偏屈当主様は私の××だけに発情しちゃいます～")</f>
        <v>[スパイシーレディ]薫る秘蜜にとろける溺愛～※自称夫偏屈当主様は私の××だけに発情しちゃいます～</v>
      </c>
      <c r="G5241" s="20" t="str">
        <f>IFERROR(__xludf.DUMMYFUNCTION("""COMPUTED_VALUE"""),"1～3")</f>
        <v>1～3</v>
      </c>
      <c r="H5241" s="22" t="str">
        <f>IFERROR(__xludf.DUMMYFUNCTION("""COMPUTED_VALUE"""),"与謝野ヨナ")</f>
        <v>与謝野ヨナ</v>
      </c>
      <c r="I5241" s="22" t="str">
        <f>IFERROR(__xludf.DUMMYFUNCTION("""COMPUTED_VALUE"""),"TL")</f>
        <v>TL</v>
      </c>
      <c r="J5241" s="22"/>
      <c r="K5241" s="22"/>
      <c r="L5241" s="22" t="str">
        <f>IFERROR(__xludf.DUMMYFUNCTION("""COMPUTED_VALUE"""),".ink works")</f>
        <v>.ink works</v>
      </c>
      <c r="M5241" s="33">
        <f>IFERROR(__xludf.DUMMYFUNCTION("""COMPUTED_VALUE"""),46186.0)</f>
        <v>46186</v>
      </c>
      <c r="N5241" s="33">
        <f>IFERROR(__xludf.DUMMYFUNCTION("""COMPUTED_VALUE"""),46290.0)</f>
        <v>46290</v>
      </c>
      <c r="O5241" s="20" t="str">
        <f>IFERROR(__xludf.DUMMYFUNCTION("""COMPUTED_VALUE"""),"【アダルト作品扱い】")</f>
        <v>【アダルト作品扱い】</v>
      </c>
      <c r="P5241" s="32" t="str">
        <f>IFERROR(__xludf.DUMMYFUNCTION("""COMPUTED_VALUE"""),"可")</f>
        <v>可</v>
      </c>
      <c r="Q5241" s="30"/>
      <c r="R5241" s="22"/>
      <c r="S5241" s="22" t="str">
        <f>IFERROR(__xludf.DUMMYFUNCTION("""COMPUTED_VALUE"""),"20260513_.ink works_スパイシーレディ_薫る秘蜜にとろける溺愛～※自称夫偏屈当主様は私の××だけに発情しちゃいます～")</f>
        <v>20260513_.ink works_スパイシーレディ_薫る秘蜜にとろける溺愛～※自称夫偏屈当主様は私の××だけに発情しちゃいます～</v>
      </c>
      <c r="T5241" s="22" t="str">
        <f>IFERROR(__xludf.DUMMYFUNCTION("""COMPUTED_VALUE"""),"格納済み")</f>
        <v>格納済み</v>
      </c>
      <c r="U5241" s="9" t="str">
        <f>IFERROR(__xludf.DUMMYFUNCTION("""COMPUTED_VALUE"""),"(C)与謝野ヨナ/スパイシーレディ")</f>
        <v>(C)与謝野ヨナ/スパイシーレディ</v>
      </c>
      <c r="V5241" s="8"/>
      <c r="W5241" s="8"/>
      <c r="X5241" s="8" t="str">
        <f>IFERROR(__xludf.DUMMYFUNCTION("""COMPUTED_VALUE"""),"有")</f>
        <v>有</v>
      </c>
      <c r="Y5241" s="8" t="str">
        <f>IFERROR(__xludf.DUMMYFUNCTION("""COMPUTED_VALUE"""),"p6まで")</f>
        <v>p6まで</v>
      </c>
      <c r="Z5241" s="7"/>
      <c r="AA5241" s="7"/>
      <c r="AB5241" s="7"/>
    </row>
    <row r="5242" ht="15.75" customHeight="1">
      <c r="A5242" s="26">
        <f>IFERROR(__xludf.DUMMYFUNCTION("""COMPUTED_VALUE"""),7988.0)</f>
        <v>7988</v>
      </c>
      <c r="B5242" s="22" t="str">
        <f>IFERROR(__xludf.DUMMYFUNCTION("""COMPUTED_VALUE"""),"確定")</f>
        <v>確定</v>
      </c>
      <c r="C5242" s="28">
        <f>IFERROR(__xludf.DUMMYFUNCTION("""COMPUTED_VALUE"""),46156.0)</f>
        <v>46156</v>
      </c>
      <c r="D5242" s="28">
        <f>IFERROR(__xludf.DUMMYFUNCTION("""COMPUTED_VALUE"""),46160.0)</f>
        <v>46160</v>
      </c>
      <c r="E5242" s="26">
        <f>IFERROR(__xludf.DUMMYFUNCTION("""COMPUTED_VALUE"""),362412.0)</f>
        <v>362412</v>
      </c>
      <c r="F5242" s="22" t="str">
        <f>IFERROR(__xludf.DUMMYFUNCTION("""COMPUTED_VALUE"""),"【ラブチーク】やり直し令嬢、悪女になって結婚を回避します!")</f>
        <v>【ラブチーク】やり直し令嬢、悪女になって結婚を回避します!</v>
      </c>
      <c r="G5242" s="20" t="str">
        <f>IFERROR(__xludf.DUMMYFUNCTION("""COMPUTED_VALUE"""),"1～3")</f>
        <v>1～3</v>
      </c>
      <c r="H5242" s="22" t="str">
        <f>IFERROR(__xludf.DUMMYFUNCTION("""COMPUTED_VALUE"""),"山吹しろと")</f>
        <v>山吹しろと</v>
      </c>
      <c r="I5242" s="22" t="str">
        <f>IFERROR(__xludf.DUMMYFUNCTION("""COMPUTED_VALUE"""),"TL")</f>
        <v>TL</v>
      </c>
      <c r="J5242" s="22"/>
      <c r="K5242" s="22" t="str">
        <f>IFERROR(__xludf.DUMMYFUNCTION("""COMPUTED_VALUE"""),"ラブチーク")</f>
        <v>ラブチーク</v>
      </c>
      <c r="L5242" s="22" t="str">
        <f>IFERROR(__xludf.DUMMYFUNCTION("""COMPUTED_VALUE"""),"ブライト出版")</f>
        <v>ブライト出版</v>
      </c>
      <c r="M5242" s="33">
        <f>IFERROR(__xludf.DUMMYFUNCTION("""COMPUTED_VALUE"""),46190.0)</f>
        <v>46190</v>
      </c>
      <c r="N5242" s="33">
        <f>IFERROR(__xludf.DUMMYFUNCTION("""COMPUTED_VALUE"""),46295.0)</f>
        <v>46295</v>
      </c>
      <c r="O5242" s="20"/>
      <c r="P5242" s="32" t="str">
        <f>IFERROR(__xludf.DUMMYFUNCTION("""COMPUTED_VALUE"""),"可")</f>
        <v>可</v>
      </c>
      <c r="Q5242" s="30"/>
      <c r="R5242" s="22"/>
      <c r="S5242" s="22" t="str">
        <f>IFERROR(__xludf.DUMMYFUNCTION("""COMPUTED_VALUE"""),"20260514_ブライト出版_【ラブチーク】やり直し令嬢、悪女になって結婚を回避します！")</f>
        <v>20260514_ブライト出版_【ラブチーク】やり直し令嬢、悪女になって結婚を回避します！</v>
      </c>
      <c r="T5242" s="22" t="str">
        <f>IFERROR(__xludf.DUMMYFUNCTION("""COMPUTED_VALUE"""),"格納済み")</f>
        <v>格納済み</v>
      </c>
      <c r="U5242" s="9" t="str">
        <f>IFERROR(__xludf.DUMMYFUNCTION("""COMPUTED_VALUE"""),"(C) 山吹しろと／ブライト出版")</f>
        <v>(C) 山吹しろと／ブライト出版</v>
      </c>
      <c r="V5242" s="8"/>
      <c r="W5242" s="8"/>
      <c r="X5242" s="8" t="str">
        <f>IFERROR(__xludf.DUMMYFUNCTION("""COMPUTED_VALUE"""),"有")</f>
        <v>有</v>
      </c>
      <c r="Y5242" s="8" t="str">
        <f>IFERROR(__xludf.DUMMYFUNCTION("""COMPUTED_VALUE"""),"2026/6/30まで1巻無料")</f>
        <v>2026/6/30まで1巻無料</v>
      </c>
      <c r="Z5242" s="7"/>
      <c r="AA5242" s="7"/>
      <c r="AB5242" s="7"/>
    </row>
    <row r="5243" ht="15.75" customHeight="1">
      <c r="A5243" s="26">
        <f>IFERROR(__xludf.DUMMYFUNCTION("""COMPUTED_VALUE"""),7989.0)</f>
        <v>7989</v>
      </c>
      <c r="B5243" s="22" t="str">
        <f>IFERROR(__xludf.DUMMYFUNCTION("""COMPUTED_VALUE"""),"確定")</f>
        <v>確定</v>
      </c>
      <c r="C5243" s="28">
        <f>IFERROR(__xludf.DUMMYFUNCTION("""COMPUTED_VALUE"""),46156.0)</f>
        <v>46156</v>
      </c>
      <c r="D5243" s="28">
        <f>IFERROR(__xludf.DUMMYFUNCTION("""COMPUTED_VALUE"""),46157.0)</f>
        <v>46157</v>
      </c>
      <c r="E5243" s="26">
        <f>IFERROR(__xludf.DUMMYFUNCTION("""COMPUTED_VALUE"""),361705.0)</f>
        <v>361705</v>
      </c>
      <c r="F5243" s="22" t="str">
        <f>IFERROR(__xludf.DUMMYFUNCTION("""COMPUTED_VALUE"""),"生意気殿下に溺愛される秘密の特別授業")</f>
        <v>生意気殿下に溺愛される秘密の特別授業</v>
      </c>
      <c r="G5243" s="20">
        <f>IFERROR(__xludf.DUMMYFUNCTION("""COMPUTED_VALUE"""),1.0)</f>
        <v>1</v>
      </c>
      <c r="H5243" s="22" t="str">
        <f>IFERROR(__xludf.DUMMYFUNCTION("""COMPUTED_VALUE"""),"九十九／COMIC ROOM")</f>
        <v>九十九／COMIC ROOM</v>
      </c>
      <c r="I5243" s="22" t="str">
        <f>IFERROR(__xludf.DUMMYFUNCTION("""COMPUTED_VALUE"""),"女性")</f>
        <v>女性</v>
      </c>
      <c r="J5243" s="22"/>
      <c r="K5243" s="22"/>
      <c r="L5243" s="22" t="str">
        <f>IFERROR(__xludf.DUMMYFUNCTION("""COMPUTED_VALUE"""),"コミックルーム")</f>
        <v>コミックルーム</v>
      </c>
      <c r="M5243" s="33">
        <f>IFERROR(__xludf.DUMMYFUNCTION("""COMPUTED_VALUE"""),46188.0)</f>
        <v>46188</v>
      </c>
      <c r="N5243" s="33">
        <f>IFERROR(__xludf.DUMMYFUNCTION("""COMPUTED_VALUE"""),46279.0)</f>
        <v>46279</v>
      </c>
      <c r="O5243" s="20"/>
      <c r="P5243" s="32" t="str">
        <f>IFERROR(__xludf.DUMMYFUNCTION("""COMPUTED_VALUE"""),"可")</f>
        <v>可</v>
      </c>
      <c r="Q5243" s="30"/>
      <c r="R5243" s="22"/>
      <c r="S5243" s="22" t="str">
        <f>IFERROR(__xludf.DUMMYFUNCTION("""COMPUTED_VALUE"""),"20260514_コミックルーム_生意気殿下に溺愛される秘密の特別授業（略称：フルコミット令嬢）")</f>
        <v>20260514_コミックルーム_生意気殿下に溺愛される秘密の特別授業（略称：フルコミット令嬢）</v>
      </c>
      <c r="T5243" s="22" t="str">
        <f>IFERROR(__xludf.DUMMYFUNCTION("""COMPUTED_VALUE"""),"格納済み")</f>
        <v>格納済み</v>
      </c>
      <c r="U5243" s="9" t="str">
        <f>IFERROR(__xludf.DUMMYFUNCTION("""COMPUTED_VALUE"""),"(c)九十九／COMIC ROOM")</f>
        <v>(c)九十九／COMIC ROOM</v>
      </c>
      <c r="V5243" s="8"/>
      <c r="W5243" s="8"/>
      <c r="X5243" s="8" t="str">
        <f>IFERROR(__xludf.DUMMYFUNCTION("""COMPUTED_VALUE"""),"有")</f>
        <v>有</v>
      </c>
      <c r="Y5243" s="8" t="str">
        <f>IFERROR(__xludf.DUMMYFUNCTION("""COMPUTED_VALUE"""),"2026/7/14までp28まで立ち読み増量")</f>
        <v>2026/7/14までp28まで立ち読み増量</v>
      </c>
      <c r="Z5243" s="7"/>
      <c r="AA5243" s="7"/>
      <c r="AB5243" s="7"/>
    </row>
    <row r="5244" ht="15.75" customHeight="1">
      <c r="A5244" s="26">
        <f>IFERROR(__xludf.DUMMYFUNCTION("""COMPUTED_VALUE"""),7990.0)</f>
        <v>7990</v>
      </c>
      <c r="B5244" s="22" t="str">
        <f>IFERROR(__xludf.DUMMYFUNCTION("""COMPUTED_VALUE"""),"確定")</f>
        <v>確定</v>
      </c>
      <c r="C5244" s="28">
        <f>IFERROR(__xludf.DUMMYFUNCTION("""COMPUTED_VALUE"""),46156.0)</f>
        <v>46156</v>
      </c>
      <c r="D5244" s="28">
        <f>IFERROR(__xludf.DUMMYFUNCTION("""COMPUTED_VALUE"""),46157.0)</f>
        <v>46157</v>
      </c>
      <c r="E5244" s="26">
        <f>IFERROR(__xludf.DUMMYFUNCTION("""COMPUTED_VALUE"""),361704.0)</f>
        <v>361704</v>
      </c>
      <c r="F5244" s="22" t="str">
        <f>IFERROR(__xludf.DUMMYFUNCTION("""COMPUTED_VALUE"""),"辺境の女領主を竜殺しの騎士が「愛しの我が主（マイロード）」と呼んで離さないのですが!?")</f>
        <v>辺境の女領主を竜殺しの騎士が「愛しの我が主（マイロード）」と呼んで離さないのですが!?</v>
      </c>
      <c r="G5244" s="20">
        <f>IFERROR(__xludf.DUMMYFUNCTION("""COMPUTED_VALUE"""),1.0)</f>
        <v>1</v>
      </c>
      <c r="H5244" s="22" t="str">
        <f>IFERROR(__xludf.DUMMYFUNCTION("""COMPUTED_VALUE"""),"三河小太郎／COMIC ROOM")</f>
        <v>三河小太郎／COMIC ROOM</v>
      </c>
      <c r="I5244" s="22" t="str">
        <f>IFERROR(__xludf.DUMMYFUNCTION("""COMPUTED_VALUE"""),"女性")</f>
        <v>女性</v>
      </c>
      <c r="J5244" s="22"/>
      <c r="K5244" s="22"/>
      <c r="L5244" s="22" t="str">
        <f>IFERROR(__xludf.DUMMYFUNCTION("""COMPUTED_VALUE"""),"コミックルーム")</f>
        <v>コミックルーム</v>
      </c>
      <c r="M5244" s="33">
        <f>IFERROR(__xludf.DUMMYFUNCTION("""COMPUTED_VALUE"""),46188.0)</f>
        <v>46188</v>
      </c>
      <c r="N5244" s="33">
        <f>IFERROR(__xludf.DUMMYFUNCTION("""COMPUTED_VALUE"""),46279.0)</f>
        <v>46279</v>
      </c>
      <c r="O5244" s="20"/>
      <c r="P5244" s="32" t="str">
        <f>IFERROR(__xludf.DUMMYFUNCTION("""COMPUTED_VALUE"""),"可")</f>
        <v>可</v>
      </c>
      <c r="Q5244" s="30"/>
      <c r="R5244" s="22"/>
      <c r="S5244" s="22" t="str">
        <f>IFERROR(__xludf.DUMMYFUNCTION("""COMPUTED_VALUE"""),"20260514_コミックルーム_辺境の女領主を竜殺しの騎士が「愛しの我が主（ルビ：マイロード）（略称：領主令嬢）")</f>
        <v>20260514_コミックルーム_辺境の女領主を竜殺しの騎士が「愛しの我が主（ルビ：マイロード）（略称：領主令嬢）</v>
      </c>
      <c r="T5244" s="22" t="str">
        <f>IFERROR(__xludf.DUMMYFUNCTION("""COMPUTED_VALUE"""),"格納済み")</f>
        <v>格納済み</v>
      </c>
      <c r="U5244" s="9" t="str">
        <f>IFERROR(__xludf.DUMMYFUNCTION("""COMPUTED_VALUE"""),"(c)三河小太郎／COMIC ROOM")</f>
        <v>(c)三河小太郎／COMIC ROOM</v>
      </c>
      <c r="V5244" s="8"/>
      <c r="W5244" s="8"/>
      <c r="X5244" s="8" t="str">
        <f>IFERROR(__xludf.DUMMYFUNCTION("""COMPUTED_VALUE"""),"有")</f>
        <v>有</v>
      </c>
      <c r="Y5244" s="8" t="str">
        <f>IFERROR(__xludf.DUMMYFUNCTION("""COMPUTED_VALUE"""),"2026/7/14までp24まで立ち読み増量")</f>
        <v>2026/7/14までp24まで立ち読み増量</v>
      </c>
      <c r="Z5244" s="7"/>
      <c r="AA5244" s="7"/>
      <c r="AB5244" s="7"/>
    </row>
    <row r="5245" ht="15.75" customHeight="1">
      <c r="A5245" s="26">
        <f>IFERROR(__xludf.DUMMYFUNCTION("""COMPUTED_VALUE"""),7991.0)</f>
        <v>7991</v>
      </c>
      <c r="B5245" s="22" t="str">
        <f>IFERROR(__xludf.DUMMYFUNCTION("""COMPUTED_VALUE"""),"確定")</f>
        <v>確定</v>
      </c>
      <c r="C5245" s="28">
        <f>IFERROR(__xludf.DUMMYFUNCTION("""COMPUTED_VALUE"""),46156.0)</f>
        <v>46156</v>
      </c>
      <c r="D5245" s="28">
        <f>IFERROR(__xludf.DUMMYFUNCTION("""COMPUTED_VALUE"""),46157.0)</f>
        <v>46157</v>
      </c>
      <c r="E5245" s="26">
        <f>IFERROR(__xludf.DUMMYFUNCTION("""COMPUTED_VALUE"""),361707.0)</f>
        <v>361707</v>
      </c>
      <c r="F5245" s="22" t="str">
        <f>IFERROR(__xludf.DUMMYFUNCTION("""COMPUTED_VALUE"""),"追放された役立たず針子の私が、無愛想な最強剣士様に溺愛されるまで")</f>
        <v>追放された役立たず針子の私が、無愛想な最強剣士様に溺愛されるまで</v>
      </c>
      <c r="G5245" s="20">
        <f>IFERROR(__xludf.DUMMYFUNCTION("""COMPUTED_VALUE"""),1.0)</f>
        <v>1</v>
      </c>
      <c r="H5245" s="22" t="str">
        <f>IFERROR(__xludf.DUMMYFUNCTION("""COMPUTED_VALUE"""),"月園アヤネ／COMIC ROOM")</f>
        <v>月園アヤネ／COMIC ROOM</v>
      </c>
      <c r="I5245" s="22" t="str">
        <f>IFERROR(__xludf.DUMMYFUNCTION("""COMPUTED_VALUE"""),"女性")</f>
        <v>女性</v>
      </c>
      <c r="J5245" s="22"/>
      <c r="K5245" s="22"/>
      <c r="L5245" s="22" t="str">
        <f>IFERROR(__xludf.DUMMYFUNCTION("""COMPUTED_VALUE"""),"コミックルーム")</f>
        <v>コミックルーム</v>
      </c>
      <c r="M5245" s="33">
        <f>IFERROR(__xludf.DUMMYFUNCTION("""COMPUTED_VALUE"""),46188.0)</f>
        <v>46188</v>
      </c>
      <c r="N5245" s="33">
        <f>IFERROR(__xludf.DUMMYFUNCTION("""COMPUTED_VALUE"""),46279.0)</f>
        <v>46279</v>
      </c>
      <c r="O5245" s="20"/>
      <c r="P5245" s="32" t="str">
        <f>IFERROR(__xludf.DUMMYFUNCTION("""COMPUTED_VALUE"""),"可")</f>
        <v>可</v>
      </c>
      <c r="Q5245" s="30"/>
      <c r="R5245" s="22"/>
      <c r="S5245" s="22" t="str">
        <f>IFERROR(__xludf.DUMMYFUNCTION("""COMPUTED_VALUE"""),"20260514_コミックルーム_追放された役立たず針子の私が、無愛想な最強剣士様に溺愛されるまで（略称：針糸令嬢）")</f>
        <v>20260514_コミックルーム_追放された役立たず針子の私が、無愛想な最強剣士様に溺愛されるまで（略称：針糸令嬢）</v>
      </c>
      <c r="T5245" s="22" t="str">
        <f>IFERROR(__xludf.DUMMYFUNCTION("""COMPUTED_VALUE"""),"格納済み")</f>
        <v>格納済み</v>
      </c>
      <c r="U5245" s="9" t="str">
        <f>IFERROR(__xludf.DUMMYFUNCTION("""COMPUTED_VALUE"""),"(c)月園アヤネ／COMIC ROOM")</f>
        <v>(c)月園アヤネ／COMIC ROOM</v>
      </c>
      <c r="V5245" s="8"/>
      <c r="W5245" s="8"/>
      <c r="X5245" s="8" t="str">
        <f>IFERROR(__xludf.DUMMYFUNCTION("""COMPUTED_VALUE"""),"有")</f>
        <v>有</v>
      </c>
      <c r="Y5245" s="8" t="str">
        <f>IFERROR(__xludf.DUMMYFUNCTION("""COMPUTED_VALUE"""),"2026/7/14までp27まで立ち読み増量")</f>
        <v>2026/7/14までp27まで立ち読み増量</v>
      </c>
      <c r="Z5245" s="7"/>
      <c r="AA5245" s="7"/>
      <c r="AB5245" s="7"/>
    </row>
    <row r="5246" ht="15.75" customHeight="1">
      <c r="A5246" s="26">
        <f>IFERROR(__xludf.DUMMYFUNCTION("""COMPUTED_VALUE"""),7992.0)</f>
        <v>7992</v>
      </c>
      <c r="B5246" s="22" t="str">
        <f>IFERROR(__xludf.DUMMYFUNCTION("""COMPUTED_VALUE"""),"確定")</f>
        <v>確定</v>
      </c>
      <c r="C5246" s="28">
        <f>IFERROR(__xludf.DUMMYFUNCTION("""COMPUTED_VALUE"""),46156.0)</f>
        <v>46156</v>
      </c>
      <c r="D5246" s="28">
        <f>IFERROR(__xludf.DUMMYFUNCTION("""COMPUTED_VALUE"""),46161.0)</f>
        <v>46161</v>
      </c>
      <c r="E5246" s="26">
        <f>IFERROR(__xludf.DUMMYFUNCTION("""COMPUTED_VALUE"""),361703.0)</f>
        <v>361703</v>
      </c>
      <c r="F5246" s="22" t="str">
        <f>IFERROR(__xludf.DUMMYFUNCTION("""COMPUTED_VALUE"""),"替え玉聖女として生きていましたが、そろそろ私が本物と言ってもいいでしょうか？")</f>
        <v>替え玉聖女として生きていましたが、そろそろ私が本物と言ってもいいでしょうか？</v>
      </c>
      <c r="G5246" s="20">
        <f>IFERROR(__xludf.DUMMYFUNCTION("""COMPUTED_VALUE"""),1.0)</f>
        <v>1</v>
      </c>
      <c r="H5246" s="22" t="str">
        <f>IFERROR(__xludf.DUMMYFUNCTION("""COMPUTED_VALUE"""),"のーん／COMIC ROOM")</f>
        <v>のーん／COMIC ROOM</v>
      </c>
      <c r="I5246" s="22" t="str">
        <f>IFERROR(__xludf.DUMMYFUNCTION("""COMPUTED_VALUE"""),"女性")</f>
        <v>女性</v>
      </c>
      <c r="J5246" s="22"/>
      <c r="K5246" s="22"/>
      <c r="L5246" s="22" t="str">
        <f>IFERROR(__xludf.DUMMYFUNCTION("""COMPUTED_VALUE"""),"コミックルーム")</f>
        <v>コミックルーム</v>
      </c>
      <c r="M5246" s="33">
        <f>IFERROR(__xludf.DUMMYFUNCTION("""COMPUTED_VALUE"""),46188.0)</f>
        <v>46188</v>
      </c>
      <c r="N5246" s="33">
        <f>IFERROR(__xludf.DUMMYFUNCTION("""COMPUTED_VALUE"""),46279.0)</f>
        <v>46279</v>
      </c>
      <c r="O5246" s="20"/>
      <c r="P5246" s="32" t="str">
        <f>IFERROR(__xludf.DUMMYFUNCTION("""COMPUTED_VALUE"""),"可")</f>
        <v>可</v>
      </c>
      <c r="Q5246" s="30"/>
      <c r="R5246" s="22"/>
      <c r="S5246" s="22" t="str">
        <f>IFERROR(__xludf.DUMMYFUNCTION("""COMPUTED_VALUE"""),"20260514_コミックルーム_替え玉聖女として生きていましたが、そろそろ私が本物と言ってもいいでしょうか？（略称：替え玉令嬢）")</f>
        <v>20260514_コミックルーム_替え玉聖女として生きていましたが、そろそろ私が本物と言ってもいいでしょうか？（略称：替え玉令嬢）</v>
      </c>
      <c r="T5246" s="22" t="str">
        <f>IFERROR(__xludf.DUMMYFUNCTION("""COMPUTED_VALUE"""),"格納済み")</f>
        <v>格納済み</v>
      </c>
      <c r="U5246" s="9" t="str">
        <f>IFERROR(__xludf.DUMMYFUNCTION("""COMPUTED_VALUE"""),"(c)のーん／COMIC ROOM")</f>
        <v>(c)のーん／COMIC ROOM</v>
      </c>
      <c r="V5246" s="8"/>
      <c r="W5246" s="8"/>
      <c r="X5246" s="8" t="str">
        <f>IFERROR(__xludf.DUMMYFUNCTION("""COMPUTED_VALUE"""),"有")</f>
        <v>有</v>
      </c>
      <c r="Y5246" s="8" t="str">
        <f>IFERROR(__xludf.DUMMYFUNCTION("""COMPUTED_VALUE"""),"2026/7/14までp27まで立ち読み増量")</f>
        <v>2026/7/14までp27まで立ち読み増量</v>
      </c>
      <c r="Z5246" s="7"/>
      <c r="AA5246" s="7"/>
      <c r="AB5246" s="7"/>
    </row>
    <row r="5247" ht="15.75" customHeight="1">
      <c r="A5247" s="26">
        <f>IFERROR(__xludf.DUMMYFUNCTION("""COMPUTED_VALUE"""),7993.0)</f>
        <v>7993</v>
      </c>
      <c r="B5247" s="22" t="str">
        <f>IFERROR(__xludf.DUMMYFUNCTION("""COMPUTED_VALUE"""),"確定")</f>
        <v>確定</v>
      </c>
      <c r="C5247" s="28">
        <f>IFERROR(__xludf.DUMMYFUNCTION("""COMPUTED_VALUE"""),46156.0)</f>
        <v>46156</v>
      </c>
      <c r="D5247" s="28">
        <f>IFERROR(__xludf.DUMMYFUNCTION("""COMPUTED_VALUE"""),46161.0)</f>
        <v>46161</v>
      </c>
      <c r="E5247" s="26">
        <f>IFERROR(__xludf.DUMMYFUNCTION("""COMPUTED_VALUE"""),362118.0)</f>
        <v>362118</v>
      </c>
      <c r="F5247" s="22" t="str">
        <f>IFERROR(__xludf.DUMMYFUNCTION("""COMPUTED_VALUE"""),"お絵描き令嬢は公爵様と愛を描く〜誰にも認められなかった私をあなただけは見出してくれた〜")</f>
        <v>お絵描き令嬢は公爵様と愛を描く〜誰にも認められなかった私をあなただけは見出してくれた〜</v>
      </c>
      <c r="G5247" s="20">
        <f>IFERROR(__xludf.DUMMYFUNCTION("""COMPUTED_VALUE"""),1.0)</f>
        <v>1</v>
      </c>
      <c r="H5247" s="22" t="str">
        <f>IFERROR(__xludf.DUMMYFUNCTION("""COMPUTED_VALUE"""),"いつき／COMIC ROOM")</f>
        <v>いつき／COMIC ROOM</v>
      </c>
      <c r="I5247" s="22" t="str">
        <f>IFERROR(__xludf.DUMMYFUNCTION("""COMPUTED_VALUE"""),"女性")</f>
        <v>女性</v>
      </c>
      <c r="J5247" s="22"/>
      <c r="K5247" s="22"/>
      <c r="L5247" s="22" t="str">
        <f>IFERROR(__xludf.DUMMYFUNCTION("""COMPUTED_VALUE"""),"コミックルーム")</f>
        <v>コミックルーム</v>
      </c>
      <c r="M5247" s="33">
        <f>IFERROR(__xludf.DUMMYFUNCTION("""COMPUTED_VALUE"""),46188.0)</f>
        <v>46188</v>
      </c>
      <c r="N5247" s="33">
        <f>IFERROR(__xludf.DUMMYFUNCTION("""COMPUTED_VALUE"""),46279.0)</f>
        <v>46279</v>
      </c>
      <c r="O5247" s="20"/>
      <c r="P5247" s="32" t="str">
        <f>IFERROR(__xludf.DUMMYFUNCTION("""COMPUTED_VALUE"""),"可")</f>
        <v>可</v>
      </c>
      <c r="Q5247" s="30"/>
      <c r="R5247" s="22"/>
      <c r="S5247" s="22" t="str">
        <f>IFERROR(__xludf.DUMMYFUNCTION("""COMPUTED_VALUE"""),"20260514_コミックルーム_お絵描き令嬢は公爵様と愛を描く〜誰にも認められなかった私をあなただけは見出してくれた〜（略称：お絵描き令嬢）")</f>
        <v>20260514_コミックルーム_お絵描き令嬢は公爵様と愛を描く〜誰にも認められなかった私をあなただけは見出してくれた〜（略称：お絵描き令嬢）</v>
      </c>
      <c r="T5247" s="22" t="str">
        <f>IFERROR(__xludf.DUMMYFUNCTION("""COMPUTED_VALUE"""),"格納済み")</f>
        <v>格納済み</v>
      </c>
      <c r="U5247" s="9" t="str">
        <f>IFERROR(__xludf.DUMMYFUNCTION("""COMPUTED_VALUE"""),"(c)いつき／COMIC ROOM")</f>
        <v>(c)いつき／COMIC ROOM</v>
      </c>
      <c r="V5247" s="8"/>
      <c r="W5247" s="8"/>
      <c r="X5247" s="8" t="str">
        <f>IFERROR(__xludf.DUMMYFUNCTION("""COMPUTED_VALUE"""),"有")</f>
        <v>有</v>
      </c>
      <c r="Y5247" s="8" t="str">
        <f>IFERROR(__xludf.DUMMYFUNCTION("""COMPUTED_VALUE"""),"2026/7/14までp24まで立ち読み増量")</f>
        <v>2026/7/14までp24まで立ち読み増量</v>
      </c>
      <c r="Z5247" s="7"/>
      <c r="AA5247" s="7"/>
      <c r="AB5247" s="7"/>
    </row>
    <row r="5248" ht="15.75" customHeight="1">
      <c r="A5248" s="26">
        <f>IFERROR(__xludf.DUMMYFUNCTION("""COMPUTED_VALUE"""),7998.0)</f>
        <v>7998</v>
      </c>
      <c r="B5248" s="22" t="str">
        <f>IFERROR(__xludf.DUMMYFUNCTION("""COMPUTED_VALUE"""),"確定")</f>
        <v>確定</v>
      </c>
      <c r="C5248" s="28">
        <f>IFERROR(__xludf.DUMMYFUNCTION("""COMPUTED_VALUE"""),46157.0)</f>
        <v>46157</v>
      </c>
      <c r="D5248" s="28">
        <f>IFERROR(__xludf.DUMMYFUNCTION("""COMPUTED_VALUE"""),46162.0)</f>
        <v>46162</v>
      </c>
      <c r="E5248" s="26">
        <f>IFERROR(__xludf.DUMMYFUNCTION("""COMPUTED_VALUE"""),362193.0)</f>
        <v>362193</v>
      </c>
      <c r="F5248" s="22" t="str">
        <f>IFERROR(__xludf.DUMMYFUNCTION("""COMPUTED_VALUE"""),"「俺なしじゃ生きていけないね」宿敵エースの独占欲に惚れ崩されるまで")</f>
        <v>「俺なしじゃ生きていけないね」宿敵エースの独占欲に惚れ崩されるまで</v>
      </c>
      <c r="G5248" s="20" t="str">
        <f>IFERROR(__xludf.DUMMYFUNCTION("""COMPUTED_VALUE"""),"1～3")</f>
        <v>1～3</v>
      </c>
      <c r="H5248" s="22" t="str">
        <f>IFERROR(__xludf.DUMMYFUNCTION("""COMPUTED_VALUE"""),"海野さち")</f>
        <v>海野さち</v>
      </c>
      <c r="I5248" s="22" t="str">
        <f>IFERROR(__xludf.DUMMYFUNCTION("""COMPUTED_VALUE"""),"TL")</f>
        <v>TL</v>
      </c>
      <c r="J5248" s="22"/>
      <c r="K5248" s="22" t="str">
        <f>IFERROR(__xludf.DUMMYFUNCTION("""COMPUTED_VALUE"""),"ラブきゅんコミック")</f>
        <v>ラブきゅんコミック</v>
      </c>
      <c r="L5248" s="22" t="str">
        <f>IFERROR(__xludf.DUMMYFUNCTION("""COMPUTED_VALUE"""),"モバイルメディアリサーチ")</f>
        <v>モバイルメディアリサーチ</v>
      </c>
      <c r="M5248" s="33">
        <f>IFERROR(__xludf.DUMMYFUNCTION("""COMPUTED_VALUE"""),46193.0)</f>
        <v>46193</v>
      </c>
      <c r="N5248" s="33">
        <f>IFERROR(__xludf.DUMMYFUNCTION("""COMPUTED_VALUE"""),46227.0)</f>
        <v>46227</v>
      </c>
      <c r="O5248" s="20" t="str">
        <f>IFERROR(__xludf.DUMMYFUNCTION("""COMPUTED_VALUE"""),"【アダルト作品扱い】")</f>
        <v>【アダルト作品扱い】</v>
      </c>
      <c r="P5248" s="32" t="str">
        <f>IFERROR(__xludf.DUMMYFUNCTION("""COMPUTED_VALUE"""),"可")</f>
        <v>可</v>
      </c>
      <c r="Q5248" s="30"/>
      <c r="R5248" s="22"/>
      <c r="S5248" s="22" t="str">
        <f>IFERROR(__xludf.DUMMYFUNCTION("""COMPUTED_VALUE"""),"20260514_ファンギルド_「俺なしじゃ生きていけないね」宿敵エースの独占欲に惚れ崩されるまで")</f>
        <v>20260514_ファンギルド_「俺なしじゃ生きていけないね」宿敵エースの独占欲に惚れ崩されるまで</v>
      </c>
      <c r="T5248" s="22" t="str">
        <f>IFERROR(__xludf.DUMMYFUNCTION("""COMPUTED_VALUE"""),"格納済み")</f>
        <v>格納済み</v>
      </c>
      <c r="U5248" s="9" t="str">
        <f>IFERROR(__xludf.DUMMYFUNCTION("""COMPUTED_VALUE"""),"Ⓒ海野さち/モバイルメディアリサーチ")</f>
        <v>Ⓒ海野さち/モバイルメディアリサーチ</v>
      </c>
      <c r="V5248" s="8"/>
      <c r="W5248" s="8"/>
      <c r="X5248" s="8" t="str">
        <f>IFERROR(__xludf.DUMMYFUNCTION("""COMPUTED_VALUE"""),"有")</f>
        <v>有</v>
      </c>
      <c r="Y5248" s="8" t="str">
        <f>IFERROR(__xludf.DUMMYFUNCTION("""COMPUTED_VALUE"""),"p7まで")</f>
        <v>p7まで</v>
      </c>
      <c r="Z5248" s="7"/>
      <c r="AA5248" s="7"/>
      <c r="AB5248" s="7"/>
    </row>
    <row r="5249" ht="15.75" customHeight="1">
      <c r="A5249" s="26">
        <f>IFERROR(__xludf.DUMMYFUNCTION("""COMPUTED_VALUE"""),7999.0)</f>
        <v>7999</v>
      </c>
      <c r="B5249" s="22" t="str">
        <f>IFERROR(__xludf.DUMMYFUNCTION("""COMPUTED_VALUE"""),"確定")</f>
        <v>確定</v>
      </c>
      <c r="C5249" s="28">
        <f>IFERROR(__xludf.DUMMYFUNCTION("""COMPUTED_VALUE"""),46157.0)</f>
        <v>46157</v>
      </c>
      <c r="D5249" s="28">
        <f>IFERROR(__xludf.DUMMYFUNCTION("""COMPUTED_VALUE"""),46160.0)</f>
        <v>46160</v>
      </c>
      <c r="E5249" s="26">
        <f>IFERROR(__xludf.DUMMYFUNCTION("""COMPUTED_VALUE"""),362733.0)</f>
        <v>362733</v>
      </c>
      <c r="F5249" s="22" t="str">
        <f>IFERROR(__xludf.DUMMYFUNCTION("""COMPUTED_VALUE"""),"お飾り妻は旦那様の恋を応援するため離縁を決意しました")</f>
        <v>お飾り妻は旦那様の恋を応援するため離縁を決意しました</v>
      </c>
      <c r="G5249" s="20">
        <f>IFERROR(__xludf.DUMMYFUNCTION("""COMPUTED_VALUE"""),1.0)</f>
        <v>1</v>
      </c>
      <c r="H5249" s="22" t="str">
        <f>IFERROR(__xludf.DUMMYFUNCTION("""COMPUTED_VALUE"""),"黒川えむ/上田成")</f>
        <v>黒川えむ/上田成</v>
      </c>
      <c r="I5249" s="22" t="str">
        <f>IFERROR(__xludf.DUMMYFUNCTION("""COMPUTED_VALUE"""),"少女")</f>
        <v>少女</v>
      </c>
      <c r="J5249" s="22"/>
      <c r="K5249" s="22"/>
      <c r="L5249" s="22" t="str">
        <f>IFERROR(__xludf.DUMMYFUNCTION("""COMPUTED_VALUE"""),"ファンギルド")</f>
        <v>ファンギルド</v>
      </c>
      <c r="M5249" s="33">
        <f>IFERROR(__xludf.DUMMYFUNCTION("""COMPUTED_VALUE"""),46219.0)</f>
        <v>46219</v>
      </c>
      <c r="N5249" s="33">
        <f>IFERROR(__xludf.DUMMYFUNCTION("""COMPUTED_VALUE"""),46253.0)</f>
        <v>46253</v>
      </c>
      <c r="O5249" s="20"/>
      <c r="P5249" s="32" t="str">
        <f>IFERROR(__xludf.DUMMYFUNCTION("""COMPUTED_VALUE"""),"可")</f>
        <v>可</v>
      </c>
      <c r="Q5249" s="30"/>
      <c r="R5249" s="22"/>
      <c r="S5249" s="22" t="str">
        <f>IFERROR(__xludf.DUMMYFUNCTION("""COMPUTED_VALUE"""),"20260514_ファンギルド_お飾り妻は旦那様の恋を応援するため離縁を決意しました")</f>
        <v>20260514_ファンギルド_お飾り妻は旦那様の恋を応援するため離縁を決意しました</v>
      </c>
      <c r="T5249" s="22" t="str">
        <f>IFERROR(__xludf.DUMMYFUNCTION("""COMPUTED_VALUE"""),"格納済み")</f>
        <v>格納済み</v>
      </c>
      <c r="U5249" s="9" t="str">
        <f>IFERROR(__xludf.DUMMYFUNCTION("""COMPUTED_VALUE"""),"Ⓒ黒川えむ/上田成/ファンギルド")</f>
        <v>Ⓒ黒川えむ/上田成/ファンギルド</v>
      </c>
      <c r="V5249" s="8"/>
      <c r="W5249" s="8"/>
      <c r="X5249" s="8" t="str">
        <f>IFERROR(__xludf.DUMMYFUNCTION("""COMPUTED_VALUE"""),"有")</f>
        <v>有</v>
      </c>
      <c r="Y5249" s="8" t="str">
        <f>IFERROR(__xludf.DUMMYFUNCTION("""COMPUTED_VALUE"""),"p7まで")</f>
        <v>p7まで</v>
      </c>
      <c r="Z5249" s="7"/>
      <c r="AA5249" s="7"/>
      <c r="AB5249" s="7"/>
    </row>
    <row r="5250" ht="15.75" customHeight="1">
      <c r="A5250" s="26">
        <f>IFERROR(__xludf.DUMMYFUNCTION("""COMPUTED_VALUE"""),8000.0)</f>
        <v>8000</v>
      </c>
      <c r="B5250" s="22" t="str">
        <f>IFERROR(__xludf.DUMMYFUNCTION("""COMPUTED_VALUE"""),"確定")</f>
        <v>確定</v>
      </c>
      <c r="C5250" s="28">
        <f>IFERROR(__xludf.DUMMYFUNCTION("""COMPUTED_VALUE"""),46157.0)</f>
        <v>46157</v>
      </c>
      <c r="D5250" s="28">
        <f>IFERROR(__xludf.DUMMYFUNCTION("""COMPUTED_VALUE"""),46160.0)</f>
        <v>46160</v>
      </c>
      <c r="E5250" s="26">
        <f>IFERROR(__xludf.DUMMYFUNCTION("""COMPUTED_VALUE"""),362422.0)</f>
        <v>362422</v>
      </c>
      <c r="F5250" s="22" t="str">
        <f>IFERROR(__xludf.DUMMYFUNCTION("""COMPUTED_VALUE"""),"赤と青が交われば")</f>
        <v>赤と青が交われば</v>
      </c>
      <c r="G5250" s="20" t="str">
        <f>IFERROR(__xludf.DUMMYFUNCTION("""COMPUTED_VALUE"""),"1～3")</f>
        <v>1～3</v>
      </c>
      <c r="H5250" s="22" t="str">
        <f>IFERROR(__xludf.DUMMYFUNCTION("""COMPUTED_VALUE"""),"ヨンジュ/ジョイナ/ドロランド")</f>
        <v>ヨンジュ/ジョイナ/ドロランド</v>
      </c>
      <c r="I5250" s="22" t="str">
        <f>IFERROR(__xludf.DUMMYFUNCTION("""COMPUTED_VALUE"""),"女性")</f>
        <v>女性</v>
      </c>
      <c r="J5250" s="22"/>
      <c r="K5250" s="22"/>
      <c r="L5250" s="22" t="str">
        <f>IFERROR(__xludf.DUMMYFUNCTION("""COMPUTED_VALUE"""),"Rush!")</f>
        <v>Rush!</v>
      </c>
      <c r="M5250" s="33">
        <f>IFERROR(__xludf.DUMMYFUNCTION("""COMPUTED_VALUE"""),46225.0)</f>
        <v>46225</v>
      </c>
      <c r="N5250" s="33">
        <f>IFERROR(__xludf.DUMMYFUNCTION("""COMPUTED_VALUE"""),46252.0)</f>
        <v>46252</v>
      </c>
      <c r="O5250" s="20" t="str">
        <f>IFERROR(__xludf.DUMMYFUNCTION("""COMPUTED_VALUE"""),"【アダルト作品扱い】")</f>
        <v>【アダルト作品扱い】</v>
      </c>
      <c r="P5250" s="32" t="str">
        <f>IFERROR(__xludf.DUMMYFUNCTION("""COMPUTED_VALUE"""),"可")</f>
        <v>可</v>
      </c>
      <c r="Q5250" s="30"/>
      <c r="R5250" s="22"/>
      <c r="S5250" s="22" t="str">
        <f>IFERROR(__xludf.DUMMYFUNCTION("""COMPUTED_VALUE"""),"20260514_ファンギルド_赤と青が交われば")</f>
        <v>20260514_ファンギルド_赤と青が交われば</v>
      </c>
      <c r="T5250" s="22" t="str">
        <f>IFERROR(__xludf.DUMMYFUNCTION("""COMPUTED_VALUE"""),"格納済み")</f>
        <v>格納済み</v>
      </c>
      <c r="U5250" s="9" t="str">
        <f>IFERROR(__xludf.DUMMYFUNCTION("""COMPUTED_VALUE"""),"Ⓒヨンジュ/ジョイナ/ドロランド/TOPTOON")</f>
        <v>Ⓒヨンジュ/ジョイナ/ドロランド/TOPTOON</v>
      </c>
      <c r="V5250" s="8"/>
      <c r="W5250" s="8"/>
      <c r="X5250" s="8" t="str">
        <f>IFERROR(__xludf.DUMMYFUNCTION("""COMPUTED_VALUE"""),"有")</f>
        <v>有</v>
      </c>
      <c r="Y5250" s="8" t="str">
        <f>IFERROR(__xludf.DUMMYFUNCTION("""COMPUTED_VALUE"""),"026/8/4まで1巻無料")</f>
        <v>026/8/4まで1巻無料</v>
      </c>
      <c r="Z5250" s="7"/>
      <c r="AA5250" s="7"/>
      <c r="AB5250" s="7"/>
    </row>
    <row r="5251" ht="15.75" customHeight="1">
      <c r="A5251" s="26">
        <f>IFERROR(__xludf.DUMMYFUNCTION("""COMPUTED_VALUE"""),8001.0)</f>
        <v>8001</v>
      </c>
      <c r="B5251" s="22" t="str">
        <f>IFERROR(__xludf.DUMMYFUNCTION("""COMPUTED_VALUE"""),"確定")</f>
        <v>確定</v>
      </c>
      <c r="C5251" s="28">
        <f>IFERROR(__xludf.DUMMYFUNCTION("""COMPUTED_VALUE"""),46157.0)</f>
        <v>46157</v>
      </c>
      <c r="D5251" s="28">
        <f>IFERROR(__xludf.DUMMYFUNCTION("""COMPUTED_VALUE"""),46160.0)</f>
        <v>46160</v>
      </c>
      <c r="E5251" s="26">
        <f>IFERROR(__xludf.DUMMYFUNCTION("""COMPUTED_VALUE"""),362420.0)</f>
        <v>362420</v>
      </c>
      <c r="F5251" s="22" t="str">
        <f>IFERROR(__xludf.DUMMYFUNCTION("""COMPUTED_VALUE"""),"義理の母娘が堕ちるまで～僕の考える十七年越しの復讐")</f>
        <v>義理の母娘が堕ちるまで～僕の考える十七年越しの復讐</v>
      </c>
      <c r="G5251" s="20" t="str">
        <f>IFERROR(__xludf.DUMMYFUNCTION("""COMPUTED_VALUE"""),"1～3")</f>
        <v>1～3</v>
      </c>
      <c r="H5251" s="22" t="str">
        <f>IFERROR(__xludf.DUMMYFUNCTION("""COMPUTED_VALUE"""),"リュウ スンベ")</f>
        <v>リュウ スンベ</v>
      </c>
      <c r="I5251" s="22" t="str">
        <f>IFERROR(__xludf.DUMMYFUNCTION("""COMPUTED_VALUE"""),"青年")</f>
        <v>青年</v>
      </c>
      <c r="J5251" s="22"/>
      <c r="K5251" s="22"/>
      <c r="L5251" s="22" t="str">
        <f>IFERROR(__xludf.DUMMYFUNCTION("""COMPUTED_VALUE"""),"Rush!")</f>
        <v>Rush!</v>
      </c>
      <c r="M5251" s="33">
        <f>IFERROR(__xludf.DUMMYFUNCTION("""COMPUTED_VALUE"""),46213.0)</f>
        <v>46213</v>
      </c>
      <c r="N5251" s="33">
        <f>IFERROR(__xludf.DUMMYFUNCTION("""COMPUTED_VALUE"""),46240.0)</f>
        <v>46240</v>
      </c>
      <c r="O5251" s="20" t="str">
        <f>IFERROR(__xludf.DUMMYFUNCTION("""COMPUTED_VALUE"""),"【アダルト作品扱い】")</f>
        <v>【アダルト作品扱い】</v>
      </c>
      <c r="P5251" s="32" t="str">
        <f>IFERROR(__xludf.DUMMYFUNCTION("""COMPUTED_VALUE"""),"可")</f>
        <v>可</v>
      </c>
      <c r="Q5251" s="30"/>
      <c r="R5251" s="22"/>
      <c r="S5251" s="22" t="str">
        <f>IFERROR(__xludf.DUMMYFUNCTION("""COMPUTED_VALUE"""),"20260514_ファンギルド_義理の母娘が堕ちるまで～僕の考える十七年越しの復讐")</f>
        <v>20260514_ファンギルド_義理の母娘が堕ちるまで～僕の考える十七年越しの復讐</v>
      </c>
      <c r="T5251" s="22" t="str">
        <f>IFERROR(__xludf.DUMMYFUNCTION("""COMPUTED_VALUE"""),"格納済み")</f>
        <v>格納済み</v>
      </c>
      <c r="U5251" s="9" t="str">
        <f>IFERROR(__xludf.DUMMYFUNCTION("""COMPUTED_VALUE"""),"Ⓒリュウ スンベ/TOPTOON")</f>
        <v>Ⓒリュウ スンベ/TOPTOON</v>
      </c>
      <c r="V5251" s="8"/>
      <c r="W5251" s="8"/>
      <c r="X5251" s="8" t="str">
        <f>IFERROR(__xludf.DUMMYFUNCTION("""COMPUTED_VALUE"""),"有")</f>
        <v>有</v>
      </c>
      <c r="Y5251" s="8" t="str">
        <f>IFERROR(__xludf.DUMMYFUNCTION("""COMPUTED_VALUE"""),"p12まで")</f>
        <v>p12まで</v>
      </c>
      <c r="Z5251" s="7"/>
      <c r="AA5251" s="7"/>
      <c r="AB5251" s="7"/>
    </row>
    <row r="5252" ht="15.75" customHeight="1">
      <c r="A5252" s="26">
        <f>IFERROR(__xludf.DUMMYFUNCTION("""COMPUTED_VALUE"""),8002.0)</f>
        <v>8002</v>
      </c>
      <c r="B5252" s="22" t="str">
        <f>IFERROR(__xludf.DUMMYFUNCTION("""COMPUTED_VALUE"""),"確定")</f>
        <v>確定</v>
      </c>
      <c r="C5252" s="28">
        <f>IFERROR(__xludf.DUMMYFUNCTION("""COMPUTED_VALUE"""),46157.0)</f>
        <v>46157</v>
      </c>
      <c r="D5252" s="28">
        <f>IFERROR(__xludf.DUMMYFUNCTION("""COMPUTED_VALUE"""),46160.0)</f>
        <v>46160</v>
      </c>
      <c r="E5252" s="26">
        <f>IFERROR(__xludf.DUMMYFUNCTION("""COMPUTED_VALUE"""),362418.0)</f>
        <v>362418</v>
      </c>
      <c r="F5252" s="22" t="str">
        <f>IFERROR(__xludf.DUMMYFUNCTION("""COMPUTED_VALUE"""),"屈従～生きる為にこの身を捧げます")</f>
        <v>屈従～生きる為にこの身を捧げます</v>
      </c>
      <c r="G5252" s="20" t="str">
        <f>IFERROR(__xludf.DUMMYFUNCTION("""COMPUTED_VALUE"""),"1～3")</f>
        <v>1～3</v>
      </c>
      <c r="H5252" s="22" t="str">
        <f>IFERROR(__xludf.DUMMYFUNCTION("""COMPUTED_VALUE"""),"amanna/Suk Ma KWAK")</f>
        <v>amanna/Suk Ma KWAK</v>
      </c>
      <c r="I5252" s="22" t="str">
        <f>IFERROR(__xludf.DUMMYFUNCTION("""COMPUTED_VALUE"""),"青年")</f>
        <v>青年</v>
      </c>
      <c r="J5252" s="22"/>
      <c r="K5252" s="22"/>
      <c r="L5252" s="22" t="str">
        <f>IFERROR(__xludf.DUMMYFUNCTION("""COMPUTED_VALUE"""),"Rush!")</f>
        <v>Rush!</v>
      </c>
      <c r="M5252" s="33">
        <f>IFERROR(__xludf.DUMMYFUNCTION("""COMPUTED_VALUE"""),46213.0)</f>
        <v>46213</v>
      </c>
      <c r="N5252" s="33">
        <f>IFERROR(__xludf.DUMMYFUNCTION("""COMPUTED_VALUE"""),46240.0)</f>
        <v>46240</v>
      </c>
      <c r="O5252" s="20" t="str">
        <f>IFERROR(__xludf.DUMMYFUNCTION("""COMPUTED_VALUE"""),"【アダルト作品扱い】")</f>
        <v>【アダルト作品扱い】</v>
      </c>
      <c r="P5252" s="32" t="str">
        <f>IFERROR(__xludf.DUMMYFUNCTION("""COMPUTED_VALUE"""),"可")</f>
        <v>可</v>
      </c>
      <c r="Q5252" s="30"/>
      <c r="R5252" s="22"/>
      <c r="S5252" s="22" t="str">
        <f>IFERROR(__xludf.DUMMYFUNCTION("""COMPUTED_VALUE"""),"20260514_ファンギルド_屈従～生きる為にこの身を捧げます")</f>
        <v>20260514_ファンギルド_屈従～生きる為にこの身を捧げます</v>
      </c>
      <c r="T5252" s="22" t="str">
        <f>IFERROR(__xludf.DUMMYFUNCTION("""COMPUTED_VALUE"""),"格納済み")</f>
        <v>格納済み</v>
      </c>
      <c r="U5252" s="9" t="str">
        <f>IFERROR(__xludf.DUMMYFUNCTION("""COMPUTED_VALUE"""),"Ⓒamanna/Suk Ma KWAK/TOPTOON")</f>
        <v>Ⓒamanna/Suk Ma KWAK/TOPTOON</v>
      </c>
      <c r="V5252" s="8"/>
      <c r="W5252" s="8"/>
      <c r="X5252" s="8" t="str">
        <f>IFERROR(__xludf.DUMMYFUNCTION("""COMPUTED_VALUE"""),"有")</f>
        <v>有</v>
      </c>
      <c r="Y5252" s="8" t="str">
        <f>IFERROR(__xludf.DUMMYFUNCTION("""COMPUTED_VALUE"""),"2026/7/23まで1巻無料")</f>
        <v>2026/7/23まで1巻無料</v>
      </c>
      <c r="Z5252" s="7"/>
      <c r="AA5252" s="7"/>
      <c r="AB5252" s="7"/>
    </row>
    <row r="5253" ht="15.75" customHeight="1">
      <c r="A5253" s="26">
        <f>IFERROR(__xludf.DUMMYFUNCTION("""COMPUTED_VALUE"""),8003.0)</f>
        <v>8003</v>
      </c>
      <c r="B5253" s="22" t="str">
        <f>IFERROR(__xludf.DUMMYFUNCTION("""COMPUTED_VALUE"""),"確定")</f>
        <v>確定</v>
      </c>
      <c r="C5253" s="28">
        <f>IFERROR(__xludf.DUMMYFUNCTION("""COMPUTED_VALUE"""),46157.0)</f>
        <v>46157</v>
      </c>
      <c r="D5253" s="28">
        <f>IFERROR(__xludf.DUMMYFUNCTION("""COMPUTED_VALUE"""),46160.0)</f>
        <v>46160</v>
      </c>
      <c r="E5253" s="26">
        <f>IFERROR(__xludf.DUMMYFUNCTION("""COMPUTED_VALUE"""),362419.0)</f>
        <v>362419</v>
      </c>
      <c r="F5253" s="22" t="str">
        <f>IFERROR(__xludf.DUMMYFUNCTION("""COMPUTED_VALUE"""),"古今猥談集")</f>
        <v>古今猥談集</v>
      </c>
      <c r="G5253" s="20" t="str">
        <f>IFERROR(__xludf.DUMMYFUNCTION("""COMPUTED_VALUE"""),"1～3")</f>
        <v>1～3</v>
      </c>
      <c r="H5253" s="22" t="str">
        <f>IFERROR(__xludf.DUMMYFUNCTION("""COMPUTED_VALUE"""),"スタジオJ")</f>
        <v>スタジオJ</v>
      </c>
      <c r="I5253" s="22" t="str">
        <f>IFERROR(__xludf.DUMMYFUNCTION("""COMPUTED_VALUE"""),"青年")</f>
        <v>青年</v>
      </c>
      <c r="J5253" s="22"/>
      <c r="K5253" s="22"/>
      <c r="L5253" s="22" t="str">
        <f>IFERROR(__xludf.DUMMYFUNCTION("""COMPUTED_VALUE"""),"Rush!")</f>
        <v>Rush!</v>
      </c>
      <c r="M5253" s="33">
        <f>IFERROR(__xludf.DUMMYFUNCTION("""COMPUTED_VALUE"""),46206.0)</f>
        <v>46206</v>
      </c>
      <c r="N5253" s="33">
        <f>IFERROR(__xludf.DUMMYFUNCTION("""COMPUTED_VALUE"""),46240.0)</f>
        <v>46240</v>
      </c>
      <c r="O5253" s="20" t="str">
        <f>IFERROR(__xludf.DUMMYFUNCTION("""COMPUTED_VALUE"""),"【アダルト作品扱い】")</f>
        <v>【アダルト作品扱い】</v>
      </c>
      <c r="P5253" s="32" t="str">
        <f>IFERROR(__xludf.DUMMYFUNCTION("""COMPUTED_VALUE"""),"可")</f>
        <v>可</v>
      </c>
      <c r="Q5253" s="30"/>
      <c r="R5253" s="22"/>
      <c r="S5253" s="22" t="str">
        <f>IFERROR(__xludf.DUMMYFUNCTION("""COMPUTED_VALUE"""),"20260514_ファンギルド_古今猥談集")</f>
        <v>20260514_ファンギルド_古今猥談集</v>
      </c>
      <c r="T5253" s="22" t="str">
        <f>IFERROR(__xludf.DUMMYFUNCTION("""COMPUTED_VALUE"""),"格納済み")</f>
        <v>格納済み</v>
      </c>
      <c r="U5253" s="9" t="str">
        <f>IFERROR(__xludf.DUMMYFUNCTION("""COMPUTED_VALUE"""),"ⒸスタジオJ/TOPTOON")</f>
        <v>ⒸスタジオJ/TOPTOON</v>
      </c>
      <c r="V5253" s="8"/>
      <c r="W5253" s="8"/>
      <c r="X5253" s="8" t="str">
        <f>IFERROR(__xludf.DUMMYFUNCTION("""COMPUTED_VALUE"""),"有")</f>
        <v>有</v>
      </c>
      <c r="Y5253" s="8" t="str">
        <f>IFERROR(__xludf.DUMMYFUNCTION("""COMPUTED_VALUE"""),"p12まで")</f>
        <v>p12まで</v>
      </c>
      <c r="Z5253" s="7"/>
      <c r="AA5253" s="7"/>
      <c r="AB5253" s="7"/>
    </row>
    <row r="5254" ht="15.75" customHeight="1">
      <c r="A5254" s="26">
        <f>IFERROR(__xludf.DUMMYFUNCTION("""COMPUTED_VALUE"""),8004.0)</f>
        <v>8004</v>
      </c>
      <c r="B5254" s="22" t="str">
        <f>IFERROR(__xludf.DUMMYFUNCTION("""COMPUTED_VALUE"""),"確定")</f>
        <v>確定</v>
      </c>
      <c r="C5254" s="28">
        <f>IFERROR(__xludf.DUMMYFUNCTION("""COMPUTED_VALUE"""),46157.0)</f>
        <v>46157</v>
      </c>
      <c r="D5254" s="28">
        <f>IFERROR(__xludf.DUMMYFUNCTION("""COMPUTED_VALUE"""),46160.0)</f>
        <v>46160</v>
      </c>
      <c r="E5254" s="26"/>
      <c r="F5254" s="22" t="str">
        <f>IFERROR(__xludf.DUMMYFUNCTION("""COMPUTED_VALUE"""),"美女も相場も支配して")</f>
        <v>美女も相場も支配して</v>
      </c>
      <c r="G5254" s="20" t="str">
        <f>IFERROR(__xludf.DUMMYFUNCTION("""COMPUTED_VALUE"""),"1～3")</f>
        <v>1～3</v>
      </c>
      <c r="H5254" s="22" t="str">
        <f>IFERROR(__xludf.DUMMYFUNCTION("""COMPUTED_VALUE"""),"Kim.PD/Kimsnack/RISE UP KING")</f>
        <v>Kim.PD/Kimsnack/RISE UP KING</v>
      </c>
      <c r="I5254" s="22" t="str">
        <f>IFERROR(__xludf.DUMMYFUNCTION("""COMPUTED_VALUE"""),"青年")</f>
        <v>青年</v>
      </c>
      <c r="J5254" s="22"/>
      <c r="K5254" s="22"/>
      <c r="L5254" s="22" t="str">
        <f>IFERROR(__xludf.DUMMYFUNCTION("""COMPUTED_VALUE"""),"Rush!")</f>
        <v>Rush!</v>
      </c>
      <c r="M5254" s="33">
        <f>IFERROR(__xludf.DUMMYFUNCTION("""COMPUTED_VALUE"""),46234.0)</f>
        <v>46234</v>
      </c>
      <c r="N5254" s="33">
        <f>IFERROR(__xludf.DUMMYFUNCTION("""COMPUTED_VALUE"""),46261.0)</f>
        <v>46261</v>
      </c>
      <c r="O5254" s="20" t="str">
        <f>IFERROR(__xludf.DUMMYFUNCTION("""COMPUTED_VALUE"""),"【アダルト作品扱い】")</f>
        <v>【アダルト作品扱い】</v>
      </c>
      <c r="P5254" s="32" t="str">
        <f>IFERROR(__xludf.DUMMYFUNCTION("""COMPUTED_VALUE"""),"可")</f>
        <v>可</v>
      </c>
      <c r="Q5254" s="30"/>
      <c r="R5254" s="22"/>
      <c r="S5254" s="22" t="str">
        <f>IFERROR(__xludf.DUMMYFUNCTION("""COMPUTED_VALUE"""),"20260514_ファンギルド_美女も相場も支配して")</f>
        <v>20260514_ファンギルド_美女も相場も支配して</v>
      </c>
      <c r="T5254" s="22" t="str">
        <f>IFERROR(__xludf.DUMMYFUNCTION("""COMPUTED_VALUE"""),"格納済み")</f>
        <v>格納済み</v>
      </c>
      <c r="U5254" s="9" t="str">
        <f>IFERROR(__xludf.DUMMYFUNCTION("""COMPUTED_VALUE"""),"ⒸKim.PD/Kimsnack/RISE UP KING/TOPTOON")</f>
        <v>ⒸKim.PD/Kimsnack/RISE UP KING/TOPTOON</v>
      </c>
      <c r="V5254" s="8"/>
      <c r="W5254" s="8"/>
      <c r="X5254" s="8"/>
      <c r="Y5254" s="8"/>
      <c r="Z5254" s="7"/>
      <c r="AA5254" s="7"/>
      <c r="AB5254" s="7"/>
    </row>
    <row r="5255" ht="15.75" customHeight="1">
      <c r="A5255" s="26">
        <f>IFERROR(__xludf.DUMMYFUNCTION("""COMPUTED_VALUE"""),8005.0)</f>
        <v>8005</v>
      </c>
      <c r="B5255" s="22" t="str">
        <f>IFERROR(__xludf.DUMMYFUNCTION("""COMPUTED_VALUE"""),"確定")</f>
        <v>確定</v>
      </c>
      <c r="C5255" s="28">
        <f>IFERROR(__xludf.DUMMYFUNCTION("""COMPUTED_VALUE"""),46157.0)</f>
        <v>46157</v>
      </c>
      <c r="D5255" s="28">
        <f>IFERROR(__xludf.DUMMYFUNCTION("""COMPUTED_VALUE"""),46160.0)</f>
        <v>46160</v>
      </c>
      <c r="E5255" s="26">
        <f>IFERROR(__xludf.DUMMYFUNCTION("""COMPUTED_VALUE"""),362723.0)</f>
        <v>362723</v>
      </c>
      <c r="F5255" s="22" t="str">
        <f>IFERROR(__xludf.DUMMYFUNCTION("""COMPUTED_VALUE"""),"椿ちゃんはマゾメスです。")</f>
        <v>椿ちゃんはマゾメスです。</v>
      </c>
      <c r="G5255" s="20" t="str">
        <f>IFERROR(__xludf.DUMMYFUNCTION("""COMPUTED_VALUE"""),"1～3")</f>
        <v>1～3</v>
      </c>
      <c r="H5255" s="22" t="str">
        <f>IFERROR(__xludf.DUMMYFUNCTION("""COMPUTED_VALUE"""),"石狩庵")</f>
        <v>石狩庵</v>
      </c>
      <c r="I5255" s="22" t="str">
        <f>IFERROR(__xludf.DUMMYFUNCTION("""COMPUTED_VALUE"""),"アダルト")</f>
        <v>アダルト</v>
      </c>
      <c r="J5255" s="22"/>
      <c r="K5255" s="22"/>
      <c r="L5255" s="22" t="str">
        <f>IFERROR(__xludf.DUMMYFUNCTION("""COMPUTED_VALUE"""),"セ・キララ文庫")</f>
        <v>セ・キララ文庫</v>
      </c>
      <c r="M5255" s="33">
        <f>IFERROR(__xludf.DUMMYFUNCTION("""COMPUTED_VALUE"""),46213.0)</f>
        <v>46213</v>
      </c>
      <c r="N5255" s="33">
        <f>IFERROR(__xludf.DUMMYFUNCTION("""COMPUTED_VALUE"""),46274.0)</f>
        <v>46274</v>
      </c>
      <c r="O5255" s="20"/>
      <c r="P5255" s="32" t="str">
        <f>IFERROR(__xludf.DUMMYFUNCTION("""COMPUTED_VALUE"""),"可")</f>
        <v>可</v>
      </c>
      <c r="Q5255" s="30"/>
      <c r="R5255" s="22"/>
      <c r="S5255" s="22" t="str">
        <f>IFERROR(__xludf.DUMMYFUNCTION("""COMPUTED_VALUE"""),"20260514_ライドオン_椿ちゃんはマゾメスです。")</f>
        <v>20260514_ライドオン_椿ちゃんはマゾメスです。</v>
      </c>
      <c r="T5255" s="22" t="str">
        <f>IFERROR(__xludf.DUMMYFUNCTION("""COMPUTED_VALUE"""),"格納済み")</f>
        <v>格納済み</v>
      </c>
      <c r="U5255" s="9" t="str">
        <f>IFERROR(__xludf.DUMMYFUNCTION("""COMPUTED_VALUE"""),"Ⓒ石狩庵/セ・キララ文庫")</f>
        <v>Ⓒ石狩庵/セ・キララ文庫</v>
      </c>
      <c r="V5255" s="8"/>
      <c r="W5255" s="8"/>
      <c r="X5255" s="8" t="str">
        <f>IFERROR(__xludf.DUMMYFUNCTION("""COMPUTED_VALUE"""),"有")</f>
        <v>有</v>
      </c>
      <c r="Y5255" s="8" t="str">
        <f>IFERROR(__xludf.DUMMYFUNCTION("""COMPUTED_VALUE"""),"2026/9/9まで1巻無料")</f>
        <v>2026/9/9まで1巻無料</v>
      </c>
      <c r="Z5255" s="7"/>
      <c r="AA5255" s="7"/>
      <c r="AB5255" s="7"/>
    </row>
    <row r="5256" ht="15.75" customHeight="1">
      <c r="A5256" s="26">
        <f>IFERROR(__xludf.DUMMYFUNCTION("""COMPUTED_VALUE"""),8006.0)</f>
        <v>8006</v>
      </c>
      <c r="B5256" s="22" t="str">
        <f>IFERROR(__xludf.DUMMYFUNCTION("""COMPUTED_VALUE"""),"確定")</f>
        <v>確定</v>
      </c>
      <c r="C5256" s="28">
        <f>IFERROR(__xludf.DUMMYFUNCTION("""COMPUTED_VALUE"""),46157.0)</f>
        <v>46157</v>
      </c>
      <c r="D5256" s="28">
        <f>IFERROR(__xludf.DUMMYFUNCTION("""COMPUTED_VALUE"""),46161.0)</f>
        <v>46161</v>
      </c>
      <c r="E5256" s="26">
        <f>IFERROR(__xludf.DUMMYFUNCTION("""COMPUTED_VALUE"""),362724.0)</f>
        <v>362724</v>
      </c>
      <c r="F5256" s="22" t="str">
        <f>IFERROR(__xludf.DUMMYFUNCTION("""COMPUTED_VALUE"""),"オンナを激イキさせるムスコを手に入れたオレは…")</f>
        <v>オンナを激イキさせるムスコを手に入れたオレは…</v>
      </c>
      <c r="G5256" s="20" t="str">
        <f>IFERROR(__xludf.DUMMYFUNCTION("""COMPUTED_VALUE"""),"1~4")</f>
        <v>1~4</v>
      </c>
      <c r="H5256" s="22" t="str">
        <f>IFERROR(__xludf.DUMMYFUNCTION("""COMPUTED_VALUE"""),"有機リンゴ")</f>
        <v>有機リンゴ</v>
      </c>
      <c r="I5256" s="22" t="str">
        <f>IFERROR(__xludf.DUMMYFUNCTION("""COMPUTED_VALUE"""),"アダルト")</f>
        <v>アダルト</v>
      </c>
      <c r="J5256" s="22"/>
      <c r="K5256" s="22"/>
      <c r="L5256" s="22" t="str">
        <f>IFERROR(__xludf.DUMMYFUNCTION("""COMPUTED_VALUE"""),"セ・キララ文庫")</f>
        <v>セ・キララ文庫</v>
      </c>
      <c r="M5256" s="33">
        <f>IFERROR(__xludf.DUMMYFUNCTION("""COMPUTED_VALUE"""),46213.0)</f>
        <v>46213</v>
      </c>
      <c r="N5256" s="33">
        <f>IFERROR(__xludf.DUMMYFUNCTION("""COMPUTED_VALUE"""),46274.0)</f>
        <v>46274</v>
      </c>
      <c r="O5256" s="20"/>
      <c r="P5256" s="32" t="str">
        <f>IFERROR(__xludf.DUMMYFUNCTION("""COMPUTED_VALUE"""),"可")</f>
        <v>可</v>
      </c>
      <c r="Q5256" s="30"/>
      <c r="R5256" s="22"/>
      <c r="S5256" s="22" t="str">
        <f>IFERROR(__xludf.DUMMYFUNCTION("""COMPUTED_VALUE"""),"20260514_ライドオン_オンナを激イキさせるムスコを手に入れたオレは…")</f>
        <v>20260514_ライドオン_オンナを激イキさせるムスコを手に入れたオレは…</v>
      </c>
      <c r="T5256" s="22" t="str">
        <f>IFERROR(__xludf.DUMMYFUNCTION("""COMPUTED_VALUE"""),"格納済み")</f>
        <v>格納済み</v>
      </c>
      <c r="U5256" s="9" t="str">
        <f>IFERROR(__xludf.DUMMYFUNCTION("""COMPUTED_VALUE"""),"Ⓒ有機リンゴ/セ・キララ文庫")</f>
        <v>Ⓒ有機リンゴ/セ・キララ文庫</v>
      </c>
      <c r="V5256" s="8"/>
      <c r="W5256" s="8"/>
      <c r="X5256" s="8" t="str">
        <f>IFERROR(__xludf.DUMMYFUNCTION("""COMPUTED_VALUE"""),"有")</f>
        <v>有</v>
      </c>
      <c r="Y5256" s="8" t="str">
        <f>IFERROR(__xludf.DUMMYFUNCTION("""COMPUTED_VALUE"""),"2026/9/9まで1巻無料")</f>
        <v>2026/9/9まで1巻無料</v>
      </c>
      <c r="Z5256" s="7"/>
      <c r="AA5256" s="7"/>
      <c r="AB5256" s="7"/>
    </row>
    <row r="5257" ht="15.75" customHeight="1">
      <c r="A5257" s="26">
        <f>IFERROR(__xludf.DUMMYFUNCTION("""COMPUTED_VALUE"""),8007.0)</f>
        <v>8007</v>
      </c>
      <c r="B5257" s="22" t="str">
        <f>IFERROR(__xludf.DUMMYFUNCTION("""COMPUTED_VALUE"""),"確定")</f>
        <v>確定</v>
      </c>
      <c r="C5257" s="28">
        <f>IFERROR(__xludf.DUMMYFUNCTION("""COMPUTED_VALUE"""),46157.0)</f>
        <v>46157</v>
      </c>
      <c r="D5257" s="28">
        <f>IFERROR(__xludf.DUMMYFUNCTION("""COMPUTED_VALUE"""),46161.0)</f>
        <v>46161</v>
      </c>
      <c r="E5257" s="26">
        <f>IFERROR(__xludf.DUMMYFUNCTION("""COMPUTED_VALUE"""),362725.0)</f>
        <v>362725</v>
      </c>
      <c r="F5257" s="22" t="str">
        <f>IFERROR(__xludf.DUMMYFUNCTION("""COMPUTED_VALUE"""),"妊活義務世界")</f>
        <v>妊活義務世界</v>
      </c>
      <c r="G5257" s="20" t="str">
        <f>IFERROR(__xludf.DUMMYFUNCTION("""COMPUTED_VALUE"""),"1～3")</f>
        <v>1～3</v>
      </c>
      <c r="H5257" s="22" t="str">
        <f>IFERROR(__xludf.DUMMYFUNCTION("""COMPUTED_VALUE"""),"仔じら園")</f>
        <v>仔じら園</v>
      </c>
      <c r="I5257" s="22" t="str">
        <f>IFERROR(__xludf.DUMMYFUNCTION("""COMPUTED_VALUE"""),"アダルト")</f>
        <v>アダルト</v>
      </c>
      <c r="J5257" s="22"/>
      <c r="K5257" s="22"/>
      <c r="L5257" s="22" t="str">
        <f>IFERROR(__xludf.DUMMYFUNCTION("""COMPUTED_VALUE"""),"セ・キララ文庫")</f>
        <v>セ・キララ文庫</v>
      </c>
      <c r="M5257" s="33">
        <f>IFERROR(__xludf.DUMMYFUNCTION("""COMPUTED_VALUE"""),46213.0)</f>
        <v>46213</v>
      </c>
      <c r="N5257" s="33">
        <f>IFERROR(__xludf.DUMMYFUNCTION("""COMPUTED_VALUE"""),46274.0)</f>
        <v>46274</v>
      </c>
      <c r="O5257" s="20"/>
      <c r="P5257" s="32" t="str">
        <f>IFERROR(__xludf.DUMMYFUNCTION("""COMPUTED_VALUE"""),"可")</f>
        <v>可</v>
      </c>
      <c r="Q5257" s="30"/>
      <c r="R5257" s="22"/>
      <c r="S5257" s="22" t="str">
        <f>IFERROR(__xludf.DUMMYFUNCTION("""COMPUTED_VALUE"""),"20260514_ライドオン_妊活義務世界～気になるあの子が種付けされてた…～")</f>
        <v>20260514_ライドオン_妊活義務世界～気になるあの子が種付けされてた…～</v>
      </c>
      <c r="T5257" s="22" t="str">
        <f>IFERROR(__xludf.DUMMYFUNCTION("""COMPUTED_VALUE"""),"格納済み")</f>
        <v>格納済み</v>
      </c>
      <c r="U5257" s="9" t="str">
        <f>IFERROR(__xludf.DUMMYFUNCTION("""COMPUTED_VALUE"""),"Ⓒ仔じら園/セ・キララ文庫")</f>
        <v>Ⓒ仔じら園/セ・キララ文庫</v>
      </c>
      <c r="V5257" s="8"/>
      <c r="W5257" s="8"/>
      <c r="X5257" s="8" t="str">
        <f>IFERROR(__xludf.DUMMYFUNCTION("""COMPUTED_VALUE"""),"有")</f>
        <v>有</v>
      </c>
      <c r="Y5257" s="8" t="str">
        <f>IFERROR(__xludf.DUMMYFUNCTION("""COMPUTED_VALUE"""),"2026/9/9まで1巻無料")</f>
        <v>2026/9/9まで1巻無料</v>
      </c>
      <c r="Z5257" s="7"/>
      <c r="AA5257" s="7"/>
      <c r="AB5257" s="7"/>
    </row>
    <row r="5258" ht="15.75" customHeight="1">
      <c r="A5258" s="26">
        <f>IFERROR(__xludf.DUMMYFUNCTION("""COMPUTED_VALUE"""),8012.0)</f>
        <v>8012</v>
      </c>
      <c r="B5258" s="22" t="str">
        <f>IFERROR(__xludf.DUMMYFUNCTION("""COMPUTED_VALUE"""),"確定")</f>
        <v>確定</v>
      </c>
      <c r="C5258" s="28">
        <f>IFERROR(__xludf.DUMMYFUNCTION("""COMPUTED_VALUE"""),46161.0)</f>
        <v>46161</v>
      </c>
      <c r="D5258" s="28">
        <f>IFERROR(__xludf.DUMMYFUNCTION("""COMPUTED_VALUE"""),46162.0)</f>
        <v>46162</v>
      </c>
      <c r="E5258" s="26">
        <f>IFERROR(__xludf.DUMMYFUNCTION("""COMPUTED_VALUE"""),361189.0)</f>
        <v>361189</v>
      </c>
      <c r="F5258" s="22" t="str">
        <f>IFERROR(__xludf.DUMMYFUNCTION("""COMPUTED_VALUE"""),"墨入り後輩に囲われ極愛0日婚～男運が詰みすぎて執着ヤクザに契りを迫られてます～")</f>
        <v>墨入り後輩に囲われ極愛0日婚～男運が詰みすぎて執着ヤクザに契りを迫られてます～</v>
      </c>
      <c r="G5258" s="20" t="str">
        <f>IFERROR(__xludf.DUMMYFUNCTION("""COMPUTED_VALUE"""),"1～2")</f>
        <v>1～2</v>
      </c>
      <c r="H5258" s="22" t="str">
        <f>IFERROR(__xludf.DUMMYFUNCTION("""COMPUTED_VALUE"""),"すし折")</f>
        <v>すし折</v>
      </c>
      <c r="I5258" s="22" t="str">
        <f>IFERROR(__xludf.DUMMYFUNCTION("""COMPUTED_VALUE"""),"TL")</f>
        <v>TL</v>
      </c>
      <c r="J5258" s="22"/>
      <c r="K5258" s="22" t="str">
        <f>IFERROR(__xludf.DUMMYFUNCTION("""COMPUTED_VALUE"""),"乙女チック")</f>
        <v>乙女チック</v>
      </c>
      <c r="L5258" s="22" t="str">
        <f>IFERROR(__xludf.DUMMYFUNCTION("""COMPUTED_VALUE"""),"CLLENN")</f>
        <v>CLLENN</v>
      </c>
      <c r="M5258" s="33">
        <f>IFERROR(__xludf.DUMMYFUNCTION("""COMPUTED_VALUE"""),46179.0)</f>
        <v>46179</v>
      </c>
      <c r="N5258" s="33">
        <f>IFERROR(__xludf.DUMMYFUNCTION("""COMPUTED_VALUE"""),46234.0)</f>
        <v>46234</v>
      </c>
      <c r="O5258" s="20" t="str">
        <f>IFERROR(__xludf.DUMMYFUNCTION("""COMPUTED_VALUE"""),"【アダルト作品扱い】")</f>
        <v>【アダルト作品扱い】</v>
      </c>
      <c r="P5258" s="32" t="str">
        <f>IFERROR(__xludf.DUMMYFUNCTION("""COMPUTED_VALUE"""),"可")</f>
        <v>可</v>
      </c>
      <c r="Q5258" s="30"/>
      <c r="R5258" s="22"/>
      <c r="S5258" s="22" t="str">
        <f>IFERROR(__xludf.DUMMYFUNCTION("""COMPUTED_VALUE"""),"20260519_CLLENN_墨入り後輩に囲われ極愛0日婚～男運が詰みすぎて執着ヤクザに契りを迫られてます～")</f>
        <v>20260519_CLLENN_墨入り後輩に囲われ極愛0日婚～男運が詰みすぎて執着ヤクザに契りを迫られてます～</v>
      </c>
      <c r="T5258" s="22" t="str">
        <f>IFERROR(__xludf.DUMMYFUNCTION("""COMPUTED_VALUE"""),"格納済み")</f>
        <v>格納済み</v>
      </c>
      <c r="U5258" s="9" t="str">
        <f>IFERROR(__xludf.DUMMYFUNCTION("""COMPUTED_VALUE"""),"Ⓒすし折/CLLENN")</f>
        <v>Ⓒすし折/CLLENN</v>
      </c>
      <c r="V5258" s="8"/>
      <c r="W5258" s="8"/>
      <c r="X5258" s="8" t="str">
        <f>IFERROR(__xludf.DUMMYFUNCTION("""COMPUTED_VALUE"""),"有")</f>
        <v>有</v>
      </c>
      <c r="Y5258" s="8" t="str">
        <f>IFERROR(__xludf.DUMMYFUNCTION("""COMPUTED_VALUE"""),"2026/7/3までp19まで立ち読み増量")</f>
        <v>2026/7/3までp19まで立ち読み増量</v>
      </c>
      <c r="Z5258" s="7"/>
      <c r="AA5258" s="7"/>
      <c r="AB5258" s="7"/>
    </row>
    <row r="5259" ht="15.75" customHeight="1">
      <c r="A5259" s="26">
        <f>IFERROR(__xludf.DUMMYFUNCTION("""COMPUTED_VALUE"""),8013.0)</f>
        <v>8013</v>
      </c>
      <c r="B5259" s="22" t="str">
        <f>IFERROR(__xludf.DUMMYFUNCTION("""COMPUTED_VALUE"""),"確定")</f>
        <v>確定</v>
      </c>
      <c r="C5259" s="28">
        <f>IFERROR(__xludf.DUMMYFUNCTION("""COMPUTED_VALUE"""),46161.0)</f>
        <v>46161</v>
      </c>
      <c r="D5259" s="28">
        <f>IFERROR(__xludf.DUMMYFUNCTION("""COMPUTED_VALUE"""),46162.0)</f>
        <v>46162</v>
      </c>
      <c r="E5259" s="26">
        <f>IFERROR(__xludf.DUMMYFUNCTION("""COMPUTED_VALUE"""),334888.0)</f>
        <v>334888</v>
      </c>
      <c r="F5259" s="22" t="str">
        <f>IFERROR(__xludf.DUMMYFUNCTION("""COMPUTED_VALUE"""),"この性癖、君だけにつき。")</f>
        <v>この性癖、君だけにつき。</v>
      </c>
      <c r="G5259" s="20" t="str">
        <f>IFERROR(__xludf.DUMMYFUNCTION("""COMPUTED_VALUE"""),"1～3")</f>
        <v>1～3</v>
      </c>
      <c r="H5259" s="22" t="str">
        <f>IFERROR(__xludf.DUMMYFUNCTION("""COMPUTED_VALUE"""),"二色杏")</f>
        <v>二色杏</v>
      </c>
      <c r="I5259" s="22" t="str">
        <f>IFERROR(__xludf.DUMMYFUNCTION("""COMPUTED_VALUE"""),"女性")</f>
        <v>女性</v>
      </c>
      <c r="J5259" s="22"/>
      <c r="K5259" s="22" t="str">
        <f>IFERROR(__xludf.DUMMYFUNCTION("""COMPUTED_VALUE"""),"恋するソワレ＋,恋するソワレ")</f>
        <v>恋するソワレ＋,恋するソワレ</v>
      </c>
      <c r="L5259" s="22" t="str">
        <f>IFERROR(__xludf.DUMMYFUNCTION("""COMPUTED_VALUE"""),"シーモアコミックス")</f>
        <v>シーモアコミックス</v>
      </c>
      <c r="M5259" s="33">
        <f>IFERROR(__xludf.DUMMYFUNCTION("""COMPUTED_VALUE"""),46187.0)</f>
        <v>46187</v>
      </c>
      <c r="N5259" s="33">
        <f>IFERROR(__xludf.DUMMYFUNCTION("""COMPUTED_VALUE"""),2958465.0)</f>
        <v>2958465</v>
      </c>
      <c r="O5259" s="20"/>
      <c r="P5259" s="32" t="str">
        <f>IFERROR(__xludf.DUMMYFUNCTION("""COMPUTED_VALUE"""),"可")</f>
        <v>可</v>
      </c>
      <c r="Q5259" s="30"/>
      <c r="R5259" s="22"/>
      <c r="S5259" s="22" t="str">
        <f>IFERROR(__xludf.DUMMYFUNCTION("""COMPUTED_VALUE"""),"20260427_シーモアコミックス_この性癖、君だけにつき。")</f>
        <v>20260427_シーモアコミックス_この性癖、君だけにつき。</v>
      </c>
      <c r="T5259" s="22" t="str">
        <f>IFERROR(__xludf.DUMMYFUNCTION("""COMPUTED_VALUE"""),"格納済み")</f>
        <v>格納済み</v>
      </c>
      <c r="U5259" s="9" t="str">
        <f>IFERROR(__xludf.DUMMYFUNCTION("""COMPUTED_VALUE"""),"(C) 二色杏/シーモアコミックス")</f>
        <v>(C) 二色杏/シーモアコミックス</v>
      </c>
      <c r="V5259" s="8"/>
      <c r="W5259" s="8"/>
      <c r="X5259" s="8" t="str">
        <f>IFERROR(__xludf.DUMMYFUNCTION("""COMPUTED_VALUE"""),"有")</f>
        <v>有</v>
      </c>
      <c r="Y5259" s="8" t="str">
        <f>IFERROR(__xludf.DUMMYFUNCTION("""COMPUTED_VALUE"""),"p8まで")</f>
        <v>p8まで</v>
      </c>
      <c r="Z5259" s="7"/>
      <c r="AA5259" s="7"/>
      <c r="AB5259" s="7"/>
    </row>
    <row r="5260" ht="15.75" customHeight="1">
      <c r="A5260" s="26">
        <f>IFERROR(__xludf.DUMMYFUNCTION("""COMPUTED_VALUE"""),8014.0)</f>
        <v>8014</v>
      </c>
      <c r="B5260" s="22" t="str">
        <f>IFERROR(__xludf.DUMMYFUNCTION("""COMPUTED_VALUE"""),"確定")</f>
        <v>確定</v>
      </c>
      <c r="C5260" s="28">
        <f>IFERROR(__xludf.DUMMYFUNCTION("""COMPUTED_VALUE"""),46161.0)</f>
        <v>46161</v>
      </c>
      <c r="D5260" s="28">
        <f>IFERROR(__xludf.DUMMYFUNCTION("""COMPUTED_VALUE"""),46162.0)</f>
        <v>46162</v>
      </c>
      <c r="E5260" s="26">
        <f>IFERROR(__xludf.DUMMYFUNCTION("""COMPUTED_VALUE"""),341014.0)</f>
        <v>341014</v>
      </c>
      <c r="F5260" s="22" t="str">
        <f>IFERROR(__xludf.DUMMYFUNCTION("""COMPUTED_VALUE"""),"理想は「私らしくいられる恋」ですが。")</f>
        <v>理想は「私らしくいられる恋」ですが。</v>
      </c>
      <c r="G5260" s="20" t="str">
        <f>IFERROR(__xludf.DUMMYFUNCTION("""COMPUTED_VALUE"""),"1～3")</f>
        <v>1～3</v>
      </c>
      <c r="H5260" s="22" t="str">
        <f>IFERROR(__xludf.DUMMYFUNCTION("""COMPUTED_VALUE"""),"オヅ")</f>
        <v>オヅ</v>
      </c>
      <c r="I5260" s="22" t="str">
        <f>IFERROR(__xludf.DUMMYFUNCTION("""COMPUTED_VALUE"""),"女性")</f>
        <v>女性</v>
      </c>
      <c r="J5260" s="22"/>
      <c r="K5260" s="22" t="str">
        <f>IFERROR(__xludf.DUMMYFUNCTION("""COMPUTED_VALUE"""),"恋するソワレ＋,恋するソワレ")</f>
        <v>恋するソワレ＋,恋するソワレ</v>
      </c>
      <c r="L5260" s="22" t="str">
        <f>IFERROR(__xludf.DUMMYFUNCTION("""COMPUTED_VALUE"""),"シーモアコミックス")</f>
        <v>シーモアコミックス</v>
      </c>
      <c r="M5260" s="33">
        <f>IFERROR(__xludf.DUMMYFUNCTION("""COMPUTED_VALUE"""),46187.0)</f>
        <v>46187</v>
      </c>
      <c r="N5260" s="33">
        <f>IFERROR(__xludf.DUMMYFUNCTION("""COMPUTED_VALUE"""),2958465.0)</f>
        <v>2958465</v>
      </c>
      <c r="O5260" s="20"/>
      <c r="P5260" s="32" t="str">
        <f>IFERROR(__xludf.DUMMYFUNCTION("""COMPUTED_VALUE"""),"可")</f>
        <v>可</v>
      </c>
      <c r="Q5260" s="30"/>
      <c r="R5260" s="22"/>
      <c r="S5260" s="22" t="str">
        <f>IFERROR(__xludf.DUMMYFUNCTION("""COMPUTED_VALUE"""),"20260427_シーモアコミックス_理想は「私らしくいられる恋」ですが。")</f>
        <v>20260427_シーモアコミックス_理想は「私らしくいられる恋」ですが。</v>
      </c>
      <c r="T5260" s="22" t="str">
        <f>IFERROR(__xludf.DUMMYFUNCTION("""COMPUTED_VALUE"""),"格納済み")</f>
        <v>格納済み</v>
      </c>
      <c r="U5260" s="9" t="str">
        <f>IFERROR(__xludf.DUMMYFUNCTION("""COMPUTED_VALUE"""),"(C) オヅ/シーモアコミックス")</f>
        <v>(C) オヅ/シーモアコミックス</v>
      </c>
      <c r="V5260" s="8"/>
      <c r="W5260" s="8"/>
      <c r="X5260" s="8" t="str">
        <f>IFERROR(__xludf.DUMMYFUNCTION("""COMPUTED_VALUE"""),"有")</f>
        <v>有</v>
      </c>
      <c r="Y5260" s="8" t="str">
        <f>IFERROR(__xludf.DUMMYFUNCTION("""COMPUTED_VALUE"""),"p10まで")</f>
        <v>p10まで</v>
      </c>
      <c r="Z5260" s="7"/>
      <c r="AA5260" s="7"/>
      <c r="AB5260" s="7"/>
    </row>
    <row r="5261" ht="15.75" customHeight="1">
      <c r="A5261" s="26">
        <f>IFERROR(__xludf.DUMMYFUNCTION("""COMPUTED_VALUE"""),8015.0)</f>
        <v>8015</v>
      </c>
      <c r="B5261" s="22" t="str">
        <f>IFERROR(__xludf.DUMMYFUNCTION("""COMPUTED_VALUE"""),"確定")</f>
        <v>確定</v>
      </c>
      <c r="C5261" s="28">
        <f>IFERROR(__xludf.DUMMYFUNCTION("""COMPUTED_VALUE"""),46161.0)</f>
        <v>46161</v>
      </c>
      <c r="D5261" s="28">
        <f>IFERROR(__xludf.DUMMYFUNCTION("""COMPUTED_VALUE"""),46162.0)</f>
        <v>46162</v>
      </c>
      <c r="E5261" s="26">
        <f>IFERROR(__xludf.DUMMYFUNCTION("""COMPUTED_VALUE"""),356742.0)</f>
        <v>356742</v>
      </c>
      <c r="F5261" s="22" t="str">
        <f>IFERROR(__xludf.DUMMYFUNCTION("""COMPUTED_VALUE"""),"ソロ冒険者レニー")</f>
        <v>ソロ冒険者レニー</v>
      </c>
      <c r="G5261" s="20" t="str">
        <f>IFERROR(__xludf.DUMMYFUNCTION("""COMPUTED_VALUE"""),"1～3")</f>
        <v>1～3</v>
      </c>
      <c r="H5261" s="22" t="str">
        <f>IFERROR(__xludf.DUMMYFUNCTION("""COMPUTED_VALUE"""),"村壱雀,岡崎圭,月待紫雲")</f>
        <v>村壱雀,岡崎圭,月待紫雲</v>
      </c>
      <c r="I5261" s="22" t="str">
        <f>IFERROR(__xludf.DUMMYFUNCTION("""COMPUTED_VALUE"""),"少年マンガ")</f>
        <v>少年マンガ</v>
      </c>
      <c r="J5261" s="22"/>
      <c r="K5261" s="22" t="str">
        <f>IFERROR(__xludf.DUMMYFUNCTION("""COMPUTED_VALUE"""),"トレモア・スプラッシュ,トレモアcollection")</f>
        <v>トレモア・スプラッシュ,トレモアcollection</v>
      </c>
      <c r="L5261" s="22" t="str">
        <f>IFERROR(__xludf.DUMMYFUNCTION("""COMPUTED_VALUE"""),"シーモアコミックス（トレモア）")</f>
        <v>シーモアコミックス（トレモア）</v>
      </c>
      <c r="M5261" s="33">
        <f>IFERROR(__xludf.DUMMYFUNCTION("""COMPUTED_VALUE"""),46199.0)</f>
        <v>46199</v>
      </c>
      <c r="N5261" s="33">
        <f>IFERROR(__xludf.DUMMYFUNCTION("""COMPUTED_VALUE"""),2958465.0)</f>
        <v>2958465</v>
      </c>
      <c r="O5261" s="20"/>
      <c r="P5261" s="32" t="str">
        <f>IFERROR(__xludf.DUMMYFUNCTION("""COMPUTED_VALUE"""),"可")</f>
        <v>可</v>
      </c>
      <c r="Q5261" s="30"/>
      <c r="R5261" s="22"/>
      <c r="S5261" s="22" t="str">
        <f>IFERROR(__xludf.DUMMYFUNCTION("""COMPUTED_VALUE"""),"20260515_シーモアコミックス_ソロ冒険者レニー")</f>
        <v>20260515_シーモアコミックス_ソロ冒険者レニー</v>
      </c>
      <c r="T5261" s="22" t="str">
        <f>IFERROR(__xludf.DUMMYFUNCTION("""COMPUTED_VALUE"""),"格納済み")</f>
        <v>格納済み</v>
      </c>
      <c r="U5261" s="9" t="str">
        <f>IFERROR(__xludf.DUMMYFUNCTION("""COMPUTED_VALUE"""),"(C) 村壱雀/岡崎圭/月待紫雲/シーモアコミックス")</f>
        <v>(C) 村壱雀/岡崎圭/月待紫雲/シーモアコミックス</v>
      </c>
      <c r="V5261" s="8"/>
      <c r="W5261" s="8"/>
      <c r="X5261" s="8" t="str">
        <f>IFERROR(__xludf.DUMMYFUNCTION("""COMPUTED_VALUE"""),"有")</f>
        <v>有</v>
      </c>
      <c r="Y5261" s="8" t="str">
        <f>IFERROR(__xludf.DUMMYFUNCTION("""COMPUTED_VALUE"""),"1巻永久無料")</f>
        <v>1巻永久無料</v>
      </c>
      <c r="Z5261" s="7"/>
      <c r="AA5261" s="7"/>
      <c r="AB5261" s="7"/>
    </row>
    <row r="5262" ht="15.75" customHeight="1">
      <c r="A5262" s="26">
        <f>IFERROR(__xludf.DUMMYFUNCTION("""COMPUTED_VALUE"""),8045.0)</f>
        <v>8045</v>
      </c>
      <c r="B5262" s="22" t="str">
        <f>IFERROR(__xludf.DUMMYFUNCTION("""COMPUTED_VALUE"""),"確定")</f>
        <v>確定</v>
      </c>
      <c r="C5262" s="28">
        <f>IFERROR(__xludf.DUMMYFUNCTION("""COMPUTED_VALUE"""),46162.0)</f>
        <v>46162</v>
      </c>
      <c r="D5262" s="28">
        <f>IFERROR(__xludf.DUMMYFUNCTION("""COMPUTED_VALUE"""),46162.0)</f>
        <v>46162</v>
      </c>
      <c r="E5262" s="26">
        <f>IFERROR(__xludf.DUMMYFUNCTION("""COMPUTED_VALUE"""),362721.0)</f>
        <v>362721</v>
      </c>
      <c r="F5262" s="22" t="str">
        <f>IFERROR(__xludf.DUMMYFUNCTION("""COMPUTED_VALUE"""),"悪役令嬢カトリーナの断罪美学 連載版")</f>
        <v>悪役令嬢カトリーナの断罪美学 連載版</v>
      </c>
      <c r="G5262" s="20" t="str">
        <f>IFERROR(__xludf.DUMMYFUNCTION("""COMPUTED_VALUE"""),"1~5")</f>
        <v>1~5</v>
      </c>
      <c r="H5262" s="22" t="str">
        <f>IFERROR(__xludf.DUMMYFUNCTION("""COMPUTED_VALUE"""),"漫画：奈良野｜原作：長月おと")</f>
        <v>漫画：奈良野｜原作：長月おと</v>
      </c>
      <c r="I5262" s="22" t="str">
        <f>IFERROR(__xludf.DUMMYFUNCTION("""COMPUTED_VALUE"""),"女性")</f>
        <v>女性</v>
      </c>
      <c r="J5262" s="22"/>
      <c r="K5262" s="22"/>
      <c r="L5262" s="22" t="str">
        <f>IFERROR(__xludf.DUMMYFUNCTION("""COMPUTED_VALUE"""),"ブシロードワークス")</f>
        <v>ブシロードワークス</v>
      </c>
      <c r="M5262" s="33">
        <f>IFERROR(__xludf.DUMMYFUNCTION("""COMPUTED_VALUE"""),46168.0)</f>
        <v>46168</v>
      </c>
      <c r="N5262" s="33">
        <f>IFERROR(__xludf.DUMMYFUNCTION("""COMPUTED_VALUE"""),46230.0)</f>
        <v>46230</v>
      </c>
      <c r="O5262" s="20"/>
      <c r="P5262" s="32" t="str">
        <f>IFERROR(__xludf.DUMMYFUNCTION("""COMPUTED_VALUE"""),"可")</f>
        <v>可</v>
      </c>
      <c r="Q5262" s="30" t="str">
        <f>IFERROR(__xludf.DUMMYFUNCTION("""COMPUTED_VALUE"""),"※1話目のみ分割して2話になります。&lt;BR&gt;ｺﾐｯﾄ不可でも先行実施となりました。できる限りでご出稿お願いいたします。&lt;BR&gt;※素材について、1話目のみ分割して2話になります。&lt;BR&gt;【初回配信時施策】1～2話無料&lt;BR&gt;版元様より下記コメントいただいております。&lt;BR&gt;昨今人気の「悪役令嬢」系のコミックスになります。&lt;BR&gt;貴社のお客様に気にいっていただける作品だと考えておりますので、お取り上げいただけますと幸いです。")</f>
        <v>※1話目のみ分割して2話になります。&lt;BR&gt;ｺﾐｯﾄ不可でも先行実施となりました。できる限りでご出稿お願いいたします。&lt;BR&gt;※素材について、1話目のみ分割して2話になります。&lt;BR&gt;【初回配信時施策】1～2話無料&lt;BR&gt;版元様より下記コメントいただいております。&lt;BR&gt;昨今人気の「悪役令嬢」系のコミックスになります。&lt;BR&gt;貴社のお客様に気にいっていただける作品だと考えておりますので、お取り上げいただけますと幸いです。</v>
      </c>
      <c r="R5262" s="22"/>
      <c r="S5262" s="22" t="str">
        <f>IFERROR(__xludf.DUMMYFUNCTION("""COMPUTED_VALUE"""),"20260518_ブシロードワークス_悪役令嬢カトリーナの断罪美学 連載版")</f>
        <v>20260518_ブシロードワークス_悪役令嬢カトリーナの断罪美学 連載版</v>
      </c>
      <c r="T5262" s="22" t="str">
        <f>IFERROR(__xludf.DUMMYFUNCTION("""COMPUTED_VALUE"""),"格納済み")</f>
        <v>格納済み</v>
      </c>
      <c r="U5262" s="9" t="str">
        <f>IFERROR(__xludf.DUMMYFUNCTION("""COMPUTED_VALUE"""),"ⒸNarano, Oto Nagatsuki / BUSHIROAD WORKS")</f>
        <v>ⒸNarano, Oto Nagatsuki / BUSHIROAD WORKS</v>
      </c>
      <c r="V5262" s="8"/>
      <c r="W5262" s="8"/>
      <c r="X5262" s="8" t="str">
        <f>IFERROR(__xludf.DUMMYFUNCTION("""COMPUTED_VALUE"""),"有")</f>
        <v>有</v>
      </c>
      <c r="Y5262" s="8" t="str">
        <f>IFERROR(__xludf.DUMMYFUNCTION("""COMPUTED_VALUE"""),"P3まで")</f>
        <v>P3まで</v>
      </c>
      <c r="Z5262" s="7"/>
      <c r="AA5262" s="7"/>
      <c r="AB5262" s="7"/>
    </row>
    <row r="5263" ht="15.75" customHeight="1">
      <c r="A5263" s="26">
        <f>IFERROR(__xludf.DUMMYFUNCTION("""COMPUTED_VALUE"""),7518.0)</f>
        <v>7518</v>
      </c>
      <c r="B5263" s="22" t="str">
        <f>IFERROR(__xludf.DUMMYFUNCTION("""COMPUTED_VALUE"""),"確定")</f>
        <v>確定</v>
      </c>
      <c r="C5263" s="28">
        <f>IFERROR(__xludf.DUMMYFUNCTION("""COMPUTED_VALUE"""),46077.0)</f>
        <v>46077</v>
      </c>
      <c r="D5263" s="28">
        <f>IFERROR(__xludf.DUMMYFUNCTION("""COMPUTED_VALUE"""),46167.0)</f>
        <v>46167</v>
      </c>
      <c r="E5263" s="26">
        <f>IFERROR(__xludf.DUMMYFUNCTION("""COMPUTED_VALUE"""),363116.0)</f>
        <v>363116</v>
      </c>
      <c r="F5263" s="22" t="str">
        <f>IFERROR(__xludf.DUMMYFUNCTION("""COMPUTED_VALUE"""),"美人幼なじみ（♂）は、私の前でだけオスになる。～淫らな婚前ルームシェア～")</f>
        <v>美人幼なじみ（♂）は、私の前でだけオスになる。～淫らな婚前ルームシェア～</v>
      </c>
      <c r="G5263" s="20" t="str">
        <f>IFERROR(__xludf.DUMMYFUNCTION("""COMPUTED_VALUE"""),"1～2")</f>
        <v>1～2</v>
      </c>
      <c r="H5263" s="22" t="str">
        <f>IFERROR(__xludf.DUMMYFUNCTION("""COMPUTED_VALUE"""),"しろまゆ")</f>
        <v>しろまゆ</v>
      </c>
      <c r="I5263" s="22" t="str">
        <f>IFERROR(__xludf.DUMMYFUNCTION("""COMPUTED_VALUE"""),"TLマンガ")</f>
        <v>TLマンガ</v>
      </c>
      <c r="J5263" s="22"/>
      <c r="K5263" s="22" t="str">
        <f>IFERROR(__xludf.DUMMYFUNCTION("""COMPUTED_VALUE"""),"乙女チック")</f>
        <v>乙女チック</v>
      </c>
      <c r="L5263" s="22" t="str">
        <f>IFERROR(__xludf.DUMMYFUNCTION("""COMPUTED_VALUE"""),"CLLENN")</f>
        <v>CLLENN</v>
      </c>
      <c r="M5263" s="33">
        <f>IFERROR(__xludf.DUMMYFUNCTION("""COMPUTED_VALUE"""),46193.0)</f>
        <v>46193</v>
      </c>
      <c r="N5263" s="33">
        <f>IFERROR(__xludf.DUMMYFUNCTION("""COMPUTED_VALUE"""),46248.0)</f>
        <v>46248</v>
      </c>
      <c r="O5263" s="20"/>
      <c r="P5263" s="32" t="str">
        <f>IFERROR(__xludf.DUMMYFUNCTION("""COMPUTED_VALUE"""),"可")</f>
        <v>可</v>
      </c>
      <c r="Q5263" s="30"/>
      <c r="R5263" s="22" t="str">
        <f>IFERROR(__xludf.DUMMYFUNCTION("""COMPUTED_VALUE"""),"コミットOK")</f>
        <v>コミットOK</v>
      </c>
      <c r="S5263" s="22" t="str">
        <f>IFERROR(__xludf.DUMMYFUNCTION("""COMPUTED_VALUE"""),"20260521_CLLENN_美人幼なじみ（♂）は、私の前でだけオスになる。～淫らな婚前ルームシェア～")</f>
        <v>20260521_CLLENN_美人幼なじみ（♂）は、私の前でだけオスになる。～淫らな婚前ルームシェア～</v>
      </c>
      <c r="T5263" s="22" t="str">
        <f>IFERROR(__xludf.DUMMYFUNCTION("""COMPUTED_VALUE"""),"格納済み")</f>
        <v>格納済み</v>
      </c>
      <c r="U5263" s="9" t="str">
        <f>IFERROR(__xludf.DUMMYFUNCTION("""COMPUTED_VALUE"""),"Ⓒしろまゆ/CLLENN")</f>
        <v>Ⓒしろまゆ/CLLENN</v>
      </c>
      <c r="V5263" s="8"/>
      <c r="W5263" s="8"/>
      <c r="X5263" s="8" t="str">
        <f>IFERROR(__xludf.DUMMYFUNCTION("""COMPUTED_VALUE"""),"有")</f>
        <v>有</v>
      </c>
      <c r="Y5263" s="8" t="str">
        <f>IFERROR(__xludf.DUMMYFUNCTION("""COMPUTED_VALUE"""),"p10まで")</f>
        <v>p10まで</v>
      </c>
      <c r="Z5263" s="7"/>
      <c r="AA5263" s="7"/>
      <c r="AB5263" s="7"/>
    </row>
    <row r="5264" ht="15.75" customHeight="1">
      <c r="A5264" s="26">
        <f>IFERROR(__xludf.DUMMYFUNCTION("""COMPUTED_VALUE"""),7615.0)</f>
        <v>7615</v>
      </c>
      <c r="B5264" s="22" t="str">
        <f>IFERROR(__xludf.DUMMYFUNCTION("""COMPUTED_VALUE"""),"確定")</f>
        <v>確定</v>
      </c>
      <c r="C5264" s="28">
        <f>IFERROR(__xludf.DUMMYFUNCTION("""COMPUTED_VALUE"""),46087.0)</f>
        <v>46087</v>
      </c>
      <c r="D5264" s="28">
        <f>IFERROR(__xludf.DUMMYFUNCTION("""COMPUTED_VALUE"""),46169.0)</f>
        <v>46169</v>
      </c>
      <c r="E5264" s="26">
        <f>IFERROR(__xludf.DUMMYFUNCTION("""COMPUTED_VALUE"""),363495.0)</f>
        <v>363495</v>
      </c>
      <c r="F5264" s="22" t="str">
        <f>IFERROR(__xludf.DUMMYFUNCTION("""COMPUTED_VALUE"""),"拗らせ一途な佐伯くんの、純愛確定ぐちゃとろセックスが沼すぎる")</f>
        <v>拗らせ一途な佐伯くんの、純愛確定ぐちゃとろセックスが沼すぎる</v>
      </c>
      <c r="G5264" s="20" t="str">
        <f>IFERROR(__xludf.DUMMYFUNCTION("""COMPUTED_VALUE"""),"1～3")</f>
        <v>1～3</v>
      </c>
      <c r="H5264" s="22" t="str">
        <f>IFERROR(__xludf.DUMMYFUNCTION("""COMPUTED_VALUE"""),"ayuco")</f>
        <v>ayuco</v>
      </c>
      <c r="I5264" s="22" t="str">
        <f>IFERROR(__xludf.DUMMYFUNCTION("""COMPUTED_VALUE"""),"TL")</f>
        <v>TL</v>
      </c>
      <c r="J5264" s="22"/>
      <c r="K5264" s="22" t="str">
        <f>IFERROR(__xludf.DUMMYFUNCTION("""COMPUTED_VALUE"""),"ショコラブ")</f>
        <v>ショコラブ</v>
      </c>
      <c r="L5264" s="22" t="str">
        <f>IFERROR(__xludf.DUMMYFUNCTION("""COMPUTED_VALUE"""),"リブレ")</f>
        <v>リブレ</v>
      </c>
      <c r="M5264" s="33">
        <f>IFERROR(__xludf.DUMMYFUNCTION("""COMPUTED_VALUE"""),46198.0)</f>
        <v>46198</v>
      </c>
      <c r="N5264" s="33">
        <f>IFERROR(__xludf.DUMMYFUNCTION("""COMPUTED_VALUE"""),46260.0)</f>
        <v>46260</v>
      </c>
      <c r="O5264" s="20" t="str">
        <f>IFERROR(__xludf.DUMMYFUNCTION("""COMPUTED_VALUE"""),"【アダルト作品扱い】")</f>
        <v>【アダルト作品扱い】</v>
      </c>
      <c r="P5264" s="32" t="str">
        <f>IFERROR(__xludf.DUMMYFUNCTION("""COMPUTED_VALUE"""),"可")</f>
        <v>可</v>
      </c>
      <c r="Q5264" s="30"/>
      <c r="R5264" s="22" t="str">
        <f>IFERROR(__xludf.DUMMYFUNCTION("""COMPUTED_VALUE"""),"コミットOK")</f>
        <v>コミットOK</v>
      </c>
      <c r="S5264" s="22" t="str">
        <f>IFERROR(__xludf.DUMMYFUNCTION("""COMPUTED_VALUE"""),"20260522_リブレ_拗らせ一途な佐伯くんの、純愛確定ぐちゃとろセックスが沼すぎる")</f>
        <v>20260522_リブレ_拗らせ一途な佐伯くんの、純愛確定ぐちゃとろセックスが沼すぎる</v>
      </c>
      <c r="T5264" s="22" t="str">
        <f>IFERROR(__xludf.DUMMYFUNCTION("""COMPUTED_VALUE"""),"格納済み")</f>
        <v>格納済み</v>
      </c>
      <c r="U5264" s="9" t="str">
        <f>IFERROR(__xludf.DUMMYFUNCTION("""COMPUTED_VALUE"""),"Ⓒayuco/ショコラブ")</f>
        <v>Ⓒayuco/ショコラブ</v>
      </c>
      <c r="V5264" s="8"/>
      <c r="W5264" s="8"/>
      <c r="X5264" s="8" t="str">
        <f>IFERROR(__xludf.DUMMYFUNCTION("""COMPUTED_VALUE"""),"有")</f>
        <v>有</v>
      </c>
      <c r="Y5264" s="8" t="str">
        <f>IFERROR(__xludf.DUMMYFUNCTION("""COMPUTED_VALUE"""),"2026/7/8まで1巻無料")</f>
        <v>2026/7/8まで1巻無料</v>
      </c>
      <c r="Z5264" s="7"/>
      <c r="AA5264" s="7"/>
      <c r="AB5264" s="7"/>
    </row>
    <row r="5265" ht="15.75" customHeight="1">
      <c r="A5265" s="26">
        <f>IFERROR(__xludf.DUMMYFUNCTION("""COMPUTED_VALUE"""),7735.0)</f>
        <v>7735</v>
      </c>
      <c r="B5265" s="22" t="str">
        <f>IFERROR(__xludf.DUMMYFUNCTION("""COMPUTED_VALUE"""),"確定")</f>
        <v>確定</v>
      </c>
      <c r="C5265" s="28">
        <f>IFERROR(__xludf.DUMMYFUNCTION("""COMPUTED_VALUE"""),46104.0)</f>
        <v>46104</v>
      </c>
      <c r="D5265" s="28">
        <f>IFERROR(__xludf.DUMMYFUNCTION("""COMPUTED_VALUE"""),46169.0)</f>
        <v>46169</v>
      </c>
      <c r="E5265" s="26">
        <f>IFERROR(__xludf.DUMMYFUNCTION("""COMPUTED_VALUE"""),364222.0)</f>
        <v>364222</v>
      </c>
      <c r="F5265" s="22" t="str">
        <f>IFERROR(__xludf.DUMMYFUNCTION("""COMPUTED_VALUE"""),"【ラブパルフェ】堅物騎士様の執着愛に歌姫令嬢は一晩中啼かされて～熱い愛撫に初心な嬌声がとまりません")</f>
        <v>【ラブパルフェ】堅物騎士様の執着愛に歌姫令嬢は一晩中啼かされて～熱い愛撫に初心な嬌声がとまりません</v>
      </c>
      <c r="G5265" s="20" t="str">
        <f>IFERROR(__xludf.DUMMYFUNCTION("""COMPUTED_VALUE"""),"1～3")</f>
        <v>1～3</v>
      </c>
      <c r="H5265" s="22" t="str">
        <f>IFERROR(__xludf.DUMMYFUNCTION("""COMPUTED_VALUE"""),"美名森タンデュ")</f>
        <v>美名森タンデュ</v>
      </c>
      <c r="I5265" s="22" t="str">
        <f>IFERROR(__xludf.DUMMYFUNCTION("""COMPUTED_VALUE"""),"TLマンガ")</f>
        <v>TLマンガ</v>
      </c>
      <c r="J5265" s="22"/>
      <c r="K5265" s="22" t="str">
        <f>IFERROR(__xludf.DUMMYFUNCTION("""COMPUTED_VALUE"""),"ラブパルフェ（LoveParfait）")</f>
        <v>ラブパルフェ（LoveParfait）</v>
      </c>
      <c r="L5265" s="22" t="str">
        <f>IFERROR(__xludf.DUMMYFUNCTION("""COMPUTED_VALUE"""),"オーバーラップ")</f>
        <v>オーバーラップ</v>
      </c>
      <c r="M5265" s="33">
        <f>IFERROR(__xludf.DUMMYFUNCTION("""COMPUTED_VALUE"""),46204.0)</f>
        <v>46204</v>
      </c>
      <c r="N5265" s="33">
        <f>IFERROR(__xludf.DUMMYFUNCTION("""COMPUTED_VALUE"""),46265.0)</f>
        <v>46265</v>
      </c>
      <c r="O5265" s="20" t="str">
        <f>IFERROR(__xludf.DUMMYFUNCTION("""COMPUTED_VALUE"""),"【アダルト作品扱い】")</f>
        <v>【アダルト作品扱い】</v>
      </c>
      <c r="P5265" s="32" t="str">
        <f>IFERROR(__xludf.DUMMYFUNCTION("""COMPUTED_VALUE"""),"可")</f>
        <v>可</v>
      </c>
      <c r="Q5265" s="30"/>
      <c r="R5265" s="22"/>
      <c r="S5265" s="22" t="str">
        <f>IFERROR(__xludf.DUMMYFUNCTION("""COMPUTED_VALUE"""),"20260519_オーバーラップ_堅物騎士様の執着愛に歌姫令嬢は一晩中啼かされて～熱い愛撫に初心な嬌声がとまりません")</f>
        <v>20260519_オーバーラップ_堅物騎士様の執着愛に歌姫令嬢は一晩中啼かされて～熱い愛撫に初心な嬌声がとまりません</v>
      </c>
      <c r="T5265" s="22" t="str">
        <f>IFERROR(__xludf.DUMMYFUNCTION("""COMPUTED_VALUE"""),"格納済み")</f>
        <v>格納済み</v>
      </c>
      <c r="U5265" s="9" t="str">
        <f>IFERROR(__xludf.DUMMYFUNCTION("""COMPUTED_VALUE"""),"(C)美名森タンデュ／オーバーラップ")</f>
        <v>(C)美名森タンデュ／オーバーラップ</v>
      </c>
      <c r="V5265" s="8"/>
      <c r="W5265" s="8"/>
      <c r="X5265" s="8" t="str">
        <f>IFERROR(__xludf.DUMMYFUNCTION("""COMPUTED_VALUE"""),"有")</f>
        <v>有</v>
      </c>
      <c r="Y5265" s="8" t="str">
        <f>IFERROR(__xludf.DUMMYFUNCTION("""COMPUTED_VALUE"""),"p8まで")</f>
        <v>p8まで</v>
      </c>
      <c r="Z5265" s="7"/>
      <c r="AA5265" s="7"/>
      <c r="AB5265" s="7"/>
    </row>
    <row r="5266" ht="15.75" customHeight="1">
      <c r="A5266" s="26">
        <f>IFERROR(__xludf.DUMMYFUNCTION("""COMPUTED_VALUE"""),7770.0)</f>
        <v>7770</v>
      </c>
      <c r="B5266" s="22" t="str">
        <f>IFERROR(__xludf.DUMMYFUNCTION("""COMPUTED_VALUE"""),"確定")</f>
        <v>確定</v>
      </c>
      <c r="C5266" s="28">
        <f>IFERROR(__xludf.DUMMYFUNCTION("""COMPUTED_VALUE"""),46112.0)</f>
        <v>46112</v>
      </c>
      <c r="D5266" s="28">
        <f>IFERROR(__xludf.DUMMYFUNCTION("""COMPUTED_VALUE"""),46169.0)</f>
        <v>46169</v>
      </c>
      <c r="E5266" s="26">
        <f>IFERROR(__xludf.DUMMYFUNCTION("""COMPUTED_VALUE"""),361695.0)</f>
        <v>361695</v>
      </c>
      <c r="F5266" s="22" t="str">
        <f>IFERROR(__xludf.DUMMYFUNCTION("""COMPUTED_VALUE"""),"その運命を推さないで")</f>
        <v>その運命を推さないで</v>
      </c>
      <c r="G5266" s="20" t="str">
        <f>IFERROR(__xludf.DUMMYFUNCTION("""COMPUTED_VALUE"""),"1～3")</f>
        <v>1～3</v>
      </c>
      <c r="H5266" s="22" t="str">
        <f>IFERROR(__xludf.DUMMYFUNCTION("""COMPUTED_VALUE"""),"久遠ぴたごん")</f>
        <v>久遠ぴたごん</v>
      </c>
      <c r="I5266" s="22" t="str">
        <f>IFERROR(__xludf.DUMMYFUNCTION("""COMPUTED_VALUE"""),"女性")</f>
        <v>女性</v>
      </c>
      <c r="J5266" s="22"/>
      <c r="K5266" s="22" t="str">
        <f>IFERROR(__xludf.DUMMYFUNCTION("""COMPUTED_VALUE"""),"GSComic")</f>
        <v>GSComic</v>
      </c>
      <c r="L5266" s="22" t="str">
        <f>IFERROR(__xludf.DUMMYFUNCTION("""COMPUTED_VALUE"""),"ガールスカウトコミックス")</f>
        <v>ガールスカウトコミックス</v>
      </c>
      <c r="M5266" s="33">
        <f>IFERROR(__xludf.DUMMYFUNCTION("""COMPUTED_VALUE"""),46184.0)</f>
        <v>46184</v>
      </c>
      <c r="N5266" s="33">
        <f>IFERROR(__xludf.DUMMYFUNCTION("""COMPUTED_VALUE"""),46275.0)</f>
        <v>46275</v>
      </c>
      <c r="O5266" s="20"/>
      <c r="P5266" s="32" t="str">
        <f>IFERROR(__xludf.DUMMYFUNCTION("""COMPUTED_VALUE"""),"可")</f>
        <v>可</v>
      </c>
      <c r="Q5266" s="30"/>
      <c r="R5266" s="22" t="str">
        <f>IFERROR(__xludf.DUMMYFUNCTION("""COMPUTED_VALUE"""),"コミットOK")</f>
        <v>コミットOK</v>
      </c>
      <c r="S5266" s="22" t="str">
        <f>IFERROR(__xludf.DUMMYFUNCTION("""COMPUTED_VALUE"""),"20260521_ガールスカウトコミックス_その運命を推さないで")</f>
        <v>20260521_ガールスカウトコミックス_その運命を推さないで</v>
      </c>
      <c r="T5266" s="22" t="str">
        <f>IFERROR(__xludf.DUMMYFUNCTION("""COMPUTED_VALUE"""),"格納済み")</f>
        <v>格納済み</v>
      </c>
      <c r="U5266" s="9" t="str">
        <f>IFERROR(__xludf.DUMMYFUNCTION("""COMPUTED_VALUE"""),"(C)久遠ぴたごん／ガールスカウトコミックス")</f>
        <v>(C)久遠ぴたごん／ガールスカウトコミックス</v>
      </c>
      <c r="V5266" s="8"/>
      <c r="W5266" s="8"/>
      <c r="X5266" s="8" t="str">
        <f>IFERROR(__xludf.DUMMYFUNCTION("""COMPUTED_VALUE"""),"有")</f>
        <v>有</v>
      </c>
      <c r="Y5266" s="8" t="str">
        <f>IFERROR(__xludf.DUMMYFUNCTION("""COMPUTED_VALUE"""),"2026/6/24まで1巻無料")</f>
        <v>2026/6/24まで1巻無料</v>
      </c>
      <c r="Z5266" s="7"/>
      <c r="AA5266" s="7"/>
      <c r="AB5266" s="7"/>
    </row>
    <row r="5267" ht="15.75" customHeight="1">
      <c r="A5267" s="26">
        <f>IFERROR(__xludf.DUMMYFUNCTION("""COMPUTED_VALUE"""),7874.0)</f>
        <v>7874</v>
      </c>
      <c r="B5267" s="22" t="str">
        <f>IFERROR(__xludf.DUMMYFUNCTION("""COMPUTED_VALUE"""),"確定")</f>
        <v>確定</v>
      </c>
      <c r="C5267" s="28">
        <f>IFERROR(__xludf.DUMMYFUNCTION("""COMPUTED_VALUE"""),46132.0)</f>
        <v>46132</v>
      </c>
      <c r="D5267" s="28">
        <f>IFERROR(__xludf.DUMMYFUNCTION("""COMPUTED_VALUE"""),46168.0)</f>
        <v>46168</v>
      </c>
      <c r="E5267" s="26">
        <f>IFERROR(__xludf.DUMMYFUNCTION("""COMPUTED_VALUE"""),361203.0)</f>
        <v>361203</v>
      </c>
      <c r="F5267" s="22" t="str">
        <f>IFERROR(__xludf.DUMMYFUNCTION("""COMPUTED_VALUE"""),"だって君は運命の人【分冊版】")</f>
        <v>だって君は運命の人【分冊版】</v>
      </c>
      <c r="G5267" s="20" t="str">
        <f>IFERROR(__xludf.DUMMYFUNCTION("""COMPUTED_VALUE"""),"1～2")</f>
        <v>1～2</v>
      </c>
      <c r="H5267" s="22" t="str">
        <f>IFERROR(__xludf.DUMMYFUNCTION("""COMPUTED_VALUE"""),"猫背ミノル⊥ache")</f>
        <v>猫背ミノル⊥ache</v>
      </c>
      <c r="I5267" s="22" t="str">
        <f>IFERROR(__xludf.DUMMYFUNCTION("""COMPUTED_VALUE"""),"TL")</f>
        <v>TL</v>
      </c>
      <c r="J5267" s="22"/>
      <c r="K5267" s="22" t="str">
        <f>IFERROR(__xludf.DUMMYFUNCTION("""COMPUTED_VALUE"""),"ラブチュコラ")</f>
        <v>ラブチュコラ</v>
      </c>
      <c r="L5267" s="22" t="str">
        <f>IFERROR(__xludf.DUMMYFUNCTION("""COMPUTED_VALUE"""),"笠倉出版社")</f>
        <v>笠倉出版社</v>
      </c>
      <c r="M5267" s="33">
        <f>IFERROR(__xludf.DUMMYFUNCTION("""COMPUTED_VALUE"""),46191.0)</f>
        <v>46191</v>
      </c>
      <c r="N5267" s="33">
        <f>IFERROR(__xludf.DUMMYFUNCTION("""COMPUTED_VALUE"""),46281.0)</f>
        <v>46281</v>
      </c>
      <c r="O5267" s="20"/>
      <c r="P5267" s="32" t="str">
        <f>IFERROR(__xludf.DUMMYFUNCTION("""COMPUTED_VALUE"""),"可")</f>
        <v>可</v>
      </c>
      <c r="Q5267" s="30" t="str">
        <f>IFERROR(__xludf.DUMMYFUNCTION("""COMPUTED_VALUE"""),"隔月配信で10話完結予定です。")</f>
        <v>隔月配信で10話完結予定です。</v>
      </c>
      <c r="R5267" s="22"/>
      <c r="S5267" s="22" t="str">
        <f>IFERROR(__xludf.DUMMYFUNCTION("""COMPUTED_VALUE"""),"20260520_笠倉出版社_だって君は運命の人【分冊版】")</f>
        <v>20260520_笠倉出版社_だって君は運命の人【分冊版】</v>
      </c>
      <c r="T5267" s="22" t="str">
        <f>IFERROR(__xludf.DUMMYFUNCTION("""COMPUTED_VALUE"""),"格納済み")</f>
        <v>格納済み</v>
      </c>
      <c r="U5267" s="9" t="str">
        <f>IFERROR(__xludf.DUMMYFUNCTION("""COMPUTED_VALUE"""),"Ⓒ猫背ミノル/笠倉出版社")</f>
        <v>Ⓒ猫背ミノル/笠倉出版社</v>
      </c>
      <c r="V5267" s="8"/>
      <c r="W5267" s="8"/>
      <c r="X5267" s="8" t="str">
        <f>IFERROR(__xludf.DUMMYFUNCTION("""COMPUTED_VALUE"""),"有")</f>
        <v>有</v>
      </c>
      <c r="Y5267" s="8" t="str">
        <f>IFERROR(__xludf.DUMMYFUNCTION("""COMPUTED_VALUE"""),"2026/7/1まで1巻p15まで立ち読み増量")</f>
        <v>2026/7/1まで1巻p15まで立ち読み増量</v>
      </c>
      <c r="Z5267" s="7"/>
      <c r="AA5267" s="7"/>
      <c r="AB5267" s="7"/>
    </row>
    <row r="5268" ht="15.75" customHeight="1">
      <c r="A5268" s="26">
        <f>IFERROR(__xludf.DUMMYFUNCTION("""COMPUTED_VALUE"""),7909.0)</f>
        <v>7909</v>
      </c>
      <c r="B5268" s="22" t="str">
        <f>IFERROR(__xludf.DUMMYFUNCTION("""COMPUTED_VALUE"""),"確定")</f>
        <v>確定</v>
      </c>
      <c r="C5268" s="28">
        <f>IFERROR(__xludf.DUMMYFUNCTION("""COMPUTED_VALUE"""),46136.0)</f>
        <v>46136</v>
      </c>
      <c r="D5268" s="28">
        <f>IFERROR(__xludf.DUMMYFUNCTION("""COMPUTED_VALUE"""),46167.0)</f>
        <v>46167</v>
      </c>
      <c r="E5268" s="26">
        <f>IFERROR(__xludf.DUMMYFUNCTION("""COMPUTED_VALUE"""),363850.0)</f>
        <v>363850</v>
      </c>
      <c r="F5268" s="22" t="str">
        <f>IFERROR(__xludf.DUMMYFUNCTION("""COMPUTED_VALUE"""),"いいねで出会って即パコ確定！ 噂のマチアプ『アテンダー』【R版】")</f>
        <v>いいねで出会って即パコ確定！ 噂のマチアプ『アテンダー』【R版】</v>
      </c>
      <c r="G5268" s="20" t="str">
        <f>IFERROR(__xludf.DUMMYFUNCTION("""COMPUTED_VALUE"""),"1～3")</f>
        <v>1～3</v>
      </c>
      <c r="H5268" s="22" t="str">
        <f>IFERROR(__xludf.DUMMYFUNCTION("""COMPUTED_VALUE"""),"おいしこ")</f>
        <v>おいしこ</v>
      </c>
      <c r="I5268" s="22" t="str">
        <f>IFERROR(__xludf.DUMMYFUNCTION("""COMPUTED_VALUE"""),"アダルト")</f>
        <v>アダルト</v>
      </c>
      <c r="J5268" s="22"/>
      <c r="K5268" s="22" t="str">
        <f>IFERROR(__xludf.DUMMYFUNCTION("""COMPUTED_VALUE"""),"もえスタビースト")</f>
        <v>もえスタビースト</v>
      </c>
      <c r="L5268" s="22" t="str">
        <f>IFERROR(__xludf.DUMMYFUNCTION("""COMPUTED_VALUE"""),"DEEPER-ZERO")</f>
        <v>DEEPER-ZERO</v>
      </c>
      <c r="M5268" s="33">
        <f>IFERROR(__xludf.DUMMYFUNCTION("""COMPUTED_VALUE"""),46193.0)</f>
        <v>46193</v>
      </c>
      <c r="N5268" s="33">
        <f>IFERROR(__xludf.DUMMYFUNCTION("""COMPUTED_VALUE"""),46248.0)</f>
        <v>46248</v>
      </c>
      <c r="O5268" s="20"/>
      <c r="P5268" s="32" t="str">
        <f>IFERROR(__xludf.DUMMYFUNCTION("""COMPUTED_VALUE"""),"可")</f>
        <v>可</v>
      </c>
      <c r="Q5268" s="30"/>
      <c r="R5268" s="22"/>
      <c r="S5268" s="22" t="str">
        <f>IFERROR(__xludf.DUMMYFUNCTION("""COMPUTED_VALUE"""),"20260521_DEEPER-ZERO_いいねで出会って即パコ確定！")</f>
        <v>20260521_DEEPER-ZERO_いいねで出会って即パコ確定！</v>
      </c>
      <c r="T5268" s="22" t="str">
        <f>IFERROR(__xludf.DUMMYFUNCTION("""COMPUTED_VALUE"""),"格納済み")</f>
        <v>格納済み</v>
      </c>
      <c r="U5268" s="9" t="str">
        <f>IFERROR(__xludf.DUMMYFUNCTION("""COMPUTED_VALUE"""),"Ⓒおいしこ/DEEPER-ZERO")</f>
        <v>Ⓒおいしこ/DEEPER-ZERO</v>
      </c>
      <c r="V5268" s="8"/>
      <c r="W5268" s="8"/>
      <c r="X5268" s="8" t="str">
        <f>IFERROR(__xludf.DUMMYFUNCTION("""COMPUTED_VALUE"""),"有")</f>
        <v>有</v>
      </c>
      <c r="Y5268" s="8" t="str">
        <f>IFERROR(__xludf.DUMMYFUNCTION("""COMPUTED_VALUE"""),"p10まで")</f>
        <v>p10まで</v>
      </c>
      <c r="Z5268" s="7"/>
      <c r="AA5268" s="7"/>
      <c r="AB5268" s="7"/>
    </row>
    <row r="5269" ht="15.75" customHeight="1">
      <c r="A5269" s="26">
        <f>IFERROR(__xludf.DUMMYFUNCTION("""COMPUTED_VALUE"""),7938.0)</f>
        <v>7938</v>
      </c>
      <c r="B5269" s="22" t="str">
        <f>IFERROR(__xludf.DUMMYFUNCTION("""COMPUTED_VALUE"""),"確定")</f>
        <v>確定</v>
      </c>
      <c r="C5269" s="28">
        <f>IFERROR(__xludf.DUMMYFUNCTION("""COMPUTED_VALUE"""),46140.0)</f>
        <v>46140</v>
      </c>
      <c r="D5269" s="28">
        <f>IFERROR(__xludf.DUMMYFUNCTION("""COMPUTED_VALUE"""),46169.0)</f>
        <v>46169</v>
      </c>
      <c r="E5269" s="26">
        <f>IFERROR(__xludf.DUMMYFUNCTION("""COMPUTED_VALUE"""),365235.0)</f>
        <v>365235</v>
      </c>
      <c r="F5269" s="22" t="str">
        <f>IFERROR(__xludf.DUMMYFUNCTION("""COMPUTED_VALUE"""),"マルブールの赤目烏と滅びの宝飾師～冷徹商人に拾われた天才宝飾師は、世界を魅了する～【単話版】")</f>
        <v>マルブールの赤目烏と滅びの宝飾師～冷徹商人に拾われた天才宝飾師は、世界を魅了する～【単話版】</v>
      </c>
      <c r="G5269" s="20" t="str">
        <f>IFERROR(__xludf.DUMMYFUNCTION("""COMPUTED_VALUE"""),"1～3")</f>
        <v>1～3</v>
      </c>
      <c r="H5269" s="22" t="str">
        <f>IFERROR(__xludf.DUMMYFUNCTION("""COMPUTED_VALUE"""),"白砂 宮之森大悟 星らすく")</f>
        <v>白砂 宮之森大悟 星らすく</v>
      </c>
      <c r="I5269" s="22" t="str">
        <f>IFERROR(__xludf.DUMMYFUNCTION("""COMPUTED_VALUE"""),"女性マンガ")</f>
        <v>女性マンガ</v>
      </c>
      <c r="J5269" s="22"/>
      <c r="K5269" s="22"/>
      <c r="L5269" s="22" t="str">
        <f>IFERROR(__xludf.DUMMYFUNCTION("""COMPUTED_VALUE"""),"オーバーラップ")</f>
        <v>オーバーラップ</v>
      </c>
      <c r="M5269" s="33">
        <f>IFERROR(__xludf.DUMMYFUNCTION("""COMPUTED_VALUE"""),46197.0)</f>
        <v>46197</v>
      </c>
      <c r="N5269" s="33">
        <f>IFERROR(__xludf.DUMMYFUNCTION("""COMPUTED_VALUE"""),401768.0)</f>
        <v>401768</v>
      </c>
      <c r="O5269" s="20"/>
      <c r="P5269" s="32" t="str">
        <f>IFERROR(__xludf.DUMMYFUNCTION("""COMPUTED_VALUE"""),"可")</f>
        <v>可</v>
      </c>
      <c r="Q5269" s="30"/>
      <c r="R5269" s="22"/>
      <c r="S5269" s="22" t="str">
        <f>IFERROR(__xludf.DUMMYFUNCTION("""COMPUTED_VALUE"""),"20260525_オーバーラップ_マルーブル")</f>
        <v>20260525_オーバーラップ_マルーブル</v>
      </c>
      <c r="T5269" s="22" t="str">
        <f>IFERROR(__xludf.DUMMYFUNCTION("""COMPUTED_VALUE"""),"格納済み")</f>
        <v>格納済み</v>
      </c>
      <c r="U5269" s="9" t="str">
        <f>IFERROR(__xludf.DUMMYFUNCTION("""COMPUTED_VALUE"""),"(c)白砂　(c)宮之森大悟／オーバーラップ")</f>
        <v>(c)白砂　(c)宮之森大悟／オーバーラップ</v>
      </c>
      <c r="V5269" s="8"/>
      <c r="W5269" s="8"/>
      <c r="X5269" s="8" t="str">
        <f>IFERROR(__xludf.DUMMYFUNCTION("""COMPUTED_VALUE"""),"有")</f>
        <v>有</v>
      </c>
      <c r="Y5269" s="8" t="str">
        <f>IFERROR(__xludf.DUMMYFUNCTION("""COMPUTED_VALUE"""),"2026/9/24まで1巻無料")</f>
        <v>2026/9/24まで1巻無料</v>
      </c>
      <c r="Z5269" s="7"/>
      <c r="AA5269" s="7"/>
      <c r="AB5269" s="7"/>
    </row>
    <row r="5270" ht="15.75" customHeight="1">
      <c r="A5270" s="26">
        <f>IFERROR(__xludf.DUMMYFUNCTION("""COMPUTED_VALUE"""),7947.0)</f>
        <v>7947</v>
      </c>
      <c r="B5270" s="22" t="str">
        <f>IFERROR(__xludf.DUMMYFUNCTION("""COMPUTED_VALUE"""),"確定")</f>
        <v>確定</v>
      </c>
      <c r="C5270" s="28">
        <f>IFERROR(__xludf.DUMMYFUNCTION("""COMPUTED_VALUE"""),46142.0)</f>
        <v>46142</v>
      </c>
      <c r="D5270" s="28">
        <f>IFERROR(__xludf.DUMMYFUNCTION("""COMPUTED_VALUE"""),46167.0)</f>
        <v>46167</v>
      </c>
      <c r="E5270" s="26">
        <f>IFERROR(__xludf.DUMMYFUNCTION("""COMPUTED_VALUE"""),363653.0)</f>
        <v>363653</v>
      </c>
      <c r="F5270" s="22" t="str">
        <f>IFERROR(__xludf.DUMMYFUNCTION("""COMPUTED_VALUE"""),"旦那様、離縁はOKですがスローライフは継続希望です！身代わり王女は毒使いの力で人生を謳歌する　【連載版】")</f>
        <v>旦那様、離縁はOKですがスローライフは継続希望です！身代わり王女は毒使いの力で人生を謳歌する　【連載版】</v>
      </c>
      <c r="G5270" s="20" t="str">
        <f>IFERROR(__xludf.DUMMYFUNCTION("""COMPUTED_VALUE"""),"1～3")</f>
        <v>1～3</v>
      </c>
      <c r="H5270" s="22" t="str">
        <f>IFERROR(__xludf.DUMMYFUNCTION("""COMPUTED_VALUE"""),"原作：優月アカネ,作画：香月あこ")</f>
        <v>原作：優月アカネ,作画：香月あこ</v>
      </c>
      <c r="I5270" s="22" t="str">
        <f>IFERROR(__xludf.DUMMYFUNCTION("""COMPUTED_VALUE"""),"少女マンガ")</f>
        <v>少女マンガ</v>
      </c>
      <c r="J5270" s="22"/>
      <c r="K5270" s="22" t="str">
        <f>IFERROR(__xludf.DUMMYFUNCTION("""COMPUTED_VALUE"""),"comic LAKE")</f>
        <v>comic LAKE</v>
      </c>
      <c r="L5270" s="22" t="str">
        <f>IFERROR(__xludf.DUMMYFUNCTION("""COMPUTED_VALUE"""),"一迅社")</f>
        <v>一迅社</v>
      </c>
      <c r="M5270" s="33">
        <f>IFERROR(__xludf.DUMMYFUNCTION("""COMPUTED_VALUE"""),46192.0)</f>
        <v>46192</v>
      </c>
      <c r="N5270" s="33">
        <f>IFERROR(__xludf.DUMMYFUNCTION("""COMPUTED_VALUE"""),46219.0)</f>
        <v>46219</v>
      </c>
      <c r="O5270" s="20"/>
      <c r="P5270" s="32" t="str">
        <f>IFERROR(__xludf.DUMMYFUNCTION("""COMPUTED_VALUE"""),"否")</f>
        <v>否</v>
      </c>
      <c r="Q5270" s="30"/>
      <c r="R5270" s="22"/>
      <c r="S5270" s="22" t="str">
        <f>IFERROR(__xludf.DUMMYFUNCTION("""COMPUTED_VALUE"""),"20260522_一迅社‗旦那様、離縁はOKですがスローライフは継続希望です! 身代わり王女は毒使いの力で人生を謳歌する")</f>
        <v>20260522_一迅社‗旦那様、離縁はOKですがスローライフは継続希望です! 身代わり王女は毒使いの力で人生を謳歌する</v>
      </c>
      <c r="T5270" s="22" t="str">
        <f>IFERROR(__xludf.DUMMYFUNCTION("""COMPUTED_VALUE"""),"格納済み")</f>
        <v>格納済み</v>
      </c>
      <c r="U5270" s="9" t="str">
        <f>IFERROR(__xludf.DUMMYFUNCTION("""COMPUTED_VALUE"""),"(C)香月あこ・優月アカネ／一迅社")</f>
        <v>(C)香月あこ・優月アカネ／一迅社</v>
      </c>
      <c r="V5270" s="8"/>
      <c r="W5270" s="8"/>
      <c r="X5270" s="8" t="str">
        <f>IFERROR(__xludf.DUMMYFUNCTION("""COMPUTED_VALUE"""),"有")</f>
        <v>有</v>
      </c>
      <c r="Y5270" s="8" t="str">
        <f>IFERROR(__xludf.DUMMYFUNCTION("""COMPUTED_VALUE"""),"2026/7/16まで1巻無料")</f>
        <v>2026/7/16まで1巻無料</v>
      </c>
      <c r="Z5270" s="7"/>
      <c r="AA5270" s="7"/>
      <c r="AB5270" s="7"/>
    </row>
    <row r="5271" ht="15.75" customHeight="1">
      <c r="A5271" s="26">
        <f>IFERROR(__xludf.DUMMYFUNCTION("""COMPUTED_VALUE"""),8011.0)</f>
        <v>8011</v>
      </c>
      <c r="B5271" s="22" t="str">
        <f>IFERROR(__xludf.DUMMYFUNCTION("""COMPUTED_VALUE"""),"確定")</f>
        <v>確定</v>
      </c>
      <c r="C5271" s="28">
        <f>IFERROR(__xludf.DUMMYFUNCTION("""COMPUTED_VALUE"""),46157.0)</f>
        <v>46157</v>
      </c>
      <c r="D5271" s="28">
        <f>IFERROR(__xludf.DUMMYFUNCTION("""COMPUTED_VALUE"""),46169.0)</f>
        <v>46169</v>
      </c>
      <c r="E5271" s="26">
        <f>IFERROR(__xludf.DUMMYFUNCTION("""COMPUTED_VALUE"""),362740.0)</f>
        <v>362740</v>
      </c>
      <c r="F5271" s="22" t="str">
        <f>IFERROR(__xludf.DUMMYFUNCTION("""COMPUTED_VALUE"""),"「もう恋はしない」はずだった失恋令嬢と、くせ者殿下の溺愛結婚")</f>
        <v>「もう恋はしない」はずだった失恋令嬢と、くせ者殿下の溺愛結婚</v>
      </c>
      <c r="G5271" s="20" t="str">
        <f>IFERROR(__xludf.DUMMYFUNCTION("""COMPUTED_VALUE"""),"1～7")</f>
        <v>1～7</v>
      </c>
      <c r="H5271" s="22" t="str">
        <f>IFERROR(__xludf.DUMMYFUNCTION("""COMPUTED_VALUE"""),"フェイ┴はるきりょう┴エトワール編集部")</f>
        <v>フェイ┴はるきりょう┴エトワール編集部</v>
      </c>
      <c r="I5271" s="22" t="str">
        <f>IFERROR(__xludf.DUMMYFUNCTION("""COMPUTED_VALUE"""),"女性")</f>
        <v>女性</v>
      </c>
      <c r="J5271" s="22"/>
      <c r="K5271" s="22" t="str">
        <f>IFERROR(__xludf.DUMMYFUNCTION("""COMPUTED_VALUE"""),"COMICエトワール")</f>
        <v>COMICエトワール</v>
      </c>
      <c r="L5271" s="22" t="str">
        <f>IFERROR(__xludf.DUMMYFUNCTION("""COMPUTED_VALUE"""),"ライブコミックス")</f>
        <v>ライブコミックス</v>
      </c>
      <c r="M5271" s="33">
        <f>IFERROR(__xludf.DUMMYFUNCTION("""COMPUTED_VALUE"""),46199.0)</f>
        <v>46199</v>
      </c>
      <c r="N5271" s="33">
        <f>IFERROR(__xludf.DUMMYFUNCTION("""COMPUTED_VALUE"""),46261.0)</f>
        <v>46261</v>
      </c>
      <c r="O5271" s="20"/>
      <c r="P5271" s="32" t="str">
        <f>IFERROR(__xludf.DUMMYFUNCTION("""COMPUTED_VALUE"""),"可")</f>
        <v>可</v>
      </c>
      <c r="Q5271" s="30" t="str">
        <f>IFERROR(__xludf.DUMMYFUNCTION("""COMPUTED_VALUE"""),"・書店BookLiveで配信済みノベルのコミカライズ作品です")</f>
        <v>・書店BookLiveで配信済みノベルのコミカライズ作品です</v>
      </c>
      <c r="R5271" s="22"/>
      <c r="S5271" s="22" t="str">
        <f>IFERROR(__xludf.DUMMYFUNCTION("""COMPUTED_VALUE"""),"20260525_BookLive_「もう恋はしない」はずだった失恋令嬢と、くせ者殿下の溺愛結婚")</f>
        <v>20260525_BookLive_「もう恋はしない」はずだった失恋令嬢と、くせ者殿下の溺愛結婚</v>
      </c>
      <c r="T5271" s="22" t="str">
        <f>IFERROR(__xludf.DUMMYFUNCTION("""COMPUTED_VALUE"""),"格納済み")</f>
        <v>格納済み</v>
      </c>
      <c r="U5271" s="9" t="str">
        <f>IFERROR(__xludf.DUMMYFUNCTION("""COMPUTED_VALUE"""),"(C)フェイ・はるきりょう/ライブコミックス")</f>
        <v>(C)フェイ・はるきりょう/ライブコミックス</v>
      </c>
      <c r="V5271" s="8"/>
      <c r="W5271" s="8"/>
      <c r="X5271" s="8" t="str">
        <f>IFERROR(__xludf.DUMMYFUNCTION("""COMPUTED_VALUE"""),"有")</f>
        <v>有</v>
      </c>
      <c r="Y5271" s="8" t="str">
        <f>IFERROR(__xludf.DUMMYFUNCTION("""COMPUTED_VALUE"""),"2026/8/2まで1巻無料")</f>
        <v>2026/8/2まで1巻無料</v>
      </c>
      <c r="Z5271" s="7"/>
      <c r="AA5271" s="7"/>
      <c r="AB5271" s="7"/>
    </row>
    <row r="5272" ht="15.75" customHeight="1">
      <c r="A5272" s="26">
        <f>IFERROR(__xludf.DUMMYFUNCTION("""COMPUTED_VALUE"""),8016.0)</f>
        <v>8016</v>
      </c>
      <c r="B5272" s="22" t="str">
        <f>IFERROR(__xludf.DUMMYFUNCTION("""COMPUTED_VALUE"""),"確定")</f>
        <v>確定</v>
      </c>
      <c r="C5272" s="28">
        <f>IFERROR(__xludf.DUMMYFUNCTION("""COMPUTED_VALUE"""),46161.0)</f>
        <v>46161</v>
      </c>
      <c r="D5272" s="28">
        <f>IFERROR(__xludf.DUMMYFUNCTION("""COMPUTED_VALUE"""),46167.0)</f>
        <v>46167</v>
      </c>
      <c r="E5272" s="26">
        <f>IFERROR(__xludf.DUMMYFUNCTION("""COMPUTED_VALUE"""),362433.0)</f>
        <v>362433</v>
      </c>
      <c r="F5272" s="22" t="str">
        <f>IFERROR(__xludf.DUMMYFUNCTION("""COMPUTED_VALUE"""),"メルディ＝ロックヴェルの真偽【単話版】")</f>
        <v>メルディ＝ロックヴェルの真偽【単話版】</v>
      </c>
      <c r="G5272" s="20" t="str">
        <f>IFERROR(__xludf.DUMMYFUNCTION("""COMPUTED_VALUE"""),"1～2")</f>
        <v>1～2</v>
      </c>
      <c r="H5272" s="22" t="str">
        <f>IFERROR(__xludf.DUMMYFUNCTION("""COMPUTED_VALUE"""),"千山芽佳┴鳩井文")</f>
        <v>千山芽佳┴鳩井文</v>
      </c>
      <c r="I5272" s="22" t="str">
        <f>IFERROR(__xludf.DUMMYFUNCTION("""COMPUTED_VALUE"""),"女性")</f>
        <v>女性</v>
      </c>
      <c r="J5272" s="22"/>
      <c r="K5272" s="22" t="str">
        <f>IFERROR(__xludf.DUMMYFUNCTION("""COMPUTED_VALUE"""),"コミックライドアイビー")</f>
        <v>コミックライドアイビー</v>
      </c>
      <c r="L5272" s="22" t="str">
        <f>IFERROR(__xludf.DUMMYFUNCTION("""COMPUTED_VALUE"""),"マイクロマガジン社")</f>
        <v>マイクロマガジン社</v>
      </c>
      <c r="M5272" s="33">
        <f>IFERROR(__xludf.DUMMYFUNCTION("""COMPUTED_VALUE"""),46162.0)</f>
        <v>46162</v>
      </c>
      <c r="N5272" s="33">
        <f>IFERROR(__xludf.DUMMYFUNCTION("""COMPUTED_VALUE"""),46222.0)</f>
        <v>46222</v>
      </c>
      <c r="O5272" s="20"/>
      <c r="P5272" s="32" t="str">
        <f>IFERROR(__xludf.DUMMYFUNCTION("""COMPUTED_VALUE"""),"可")</f>
        <v>可</v>
      </c>
      <c r="Q5272" s="30"/>
      <c r="R5272" s="22"/>
      <c r="S5272" s="22" t="str">
        <f>IFERROR(__xludf.DUMMYFUNCTION("""COMPUTED_VALUE"""),"20260521_マイクロマガジン社_メルディ＝ロックヴェルの真偽")</f>
        <v>20260521_マイクロマガジン社_メルディ＝ロックヴェルの真偽</v>
      </c>
      <c r="T5272" s="22" t="str">
        <f>IFERROR(__xludf.DUMMYFUNCTION("""COMPUTED_VALUE"""),"格納済み")</f>
        <v>格納済み</v>
      </c>
      <c r="U5272" s="9" t="str">
        <f>IFERROR(__xludf.DUMMYFUNCTION("""COMPUTED_VALUE"""),"(C)鳩井文 (C)千山芽佳 (C)マイクロマガジン社")</f>
        <v>(C)鳩井文 (C)千山芽佳 (C)マイクロマガジン社</v>
      </c>
      <c r="V5272" s="8"/>
      <c r="W5272" s="8"/>
      <c r="X5272" s="8" t="str">
        <f>IFERROR(__xludf.DUMMYFUNCTION("""COMPUTED_VALUE"""),"有")</f>
        <v>有</v>
      </c>
      <c r="Y5272" s="8" t="str">
        <f>IFERROR(__xludf.DUMMYFUNCTION("""COMPUTED_VALUE"""),"2026/12/31まで1巻無料")</f>
        <v>2026/12/31まで1巻無料</v>
      </c>
      <c r="Z5272" s="7"/>
      <c r="AA5272" s="7"/>
      <c r="AB5272" s="7"/>
    </row>
    <row r="5273" ht="15.75" customHeight="1">
      <c r="A5273" s="26">
        <f>IFERROR(__xludf.DUMMYFUNCTION("""COMPUTED_VALUE"""),8024.0)</f>
        <v>8024</v>
      </c>
      <c r="B5273" s="22" t="str">
        <f>IFERROR(__xludf.DUMMYFUNCTION("""COMPUTED_VALUE"""),"確定")</f>
        <v>確定</v>
      </c>
      <c r="C5273" s="28">
        <f>IFERROR(__xludf.DUMMYFUNCTION("""COMPUTED_VALUE"""),46161.0)</f>
        <v>46161</v>
      </c>
      <c r="D5273" s="28">
        <f>IFERROR(__xludf.DUMMYFUNCTION("""COMPUTED_VALUE"""),46167.0)</f>
        <v>46167</v>
      </c>
      <c r="E5273" s="26">
        <f>IFERROR(__xludf.DUMMYFUNCTION("""COMPUTED_VALUE"""),362574.0)</f>
        <v>362574</v>
      </c>
      <c r="F5273" s="22" t="str">
        <f>IFERROR(__xludf.DUMMYFUNCTION("""COMPUTED_VALUE"""),"無垢お嬢様はヤンデレ神父に囚われる【R-18版】")</f>
        <v>無垢お嬢様はヤンデレ神父に囚われる【R-18版】</v>
      </c>
      <c r="G5273" s="20" t="str">
        <f>IFERROR(__xludf.DUMMYFUNCTION("""COMPUTED_VALUE"""),"1～3")</f>
        <v>1～3</v>
      </c>
      <c r="H5273" s="22" t="str">
        <f>IFERROR(__xludf.DUMMYFUNCTION("""COMPUTED_VALUE"""),"相川めるお")</f>
        <v>相川めるお</v>
      </c>
      <c r="I5273" s="22" t="str">
        <f>IFERROR(__xludf.DUMMYFUNCTION("""COMPUTED_VALUE"""),"アダルト")</f>
        <v>アダルト</v>
      </c>
      <c r="J5273" s="22"/>
      <c r="K5273" s="22" t="str">
        <f>IFERROR(__xludf.DUMMYFUNCTION("""COMPUTED_VALUE"""),"Close Moon")</f>
        <v>Close Moon</v>
      </c>
      <c r="L5273" s="22" t="str">
        <f>IFERROR(__xludf.DUMMYFUNCTION("""COMPUTED_VALUE"""),"ナンバーナイン")</f>
        <v>ナンバーナイン</v>
      </c>
      <c r="M5273" s="33">
        <f>IFERROR(__xludf.DUMMYFUNCTION("""COMPUTED_VALUE"""),46185.0)</f>
        <v>46185</v>
      </c>
      <c r="N5273" s="33">
        <f>IFERROR(__xludf.DUMMYFUNCTION("""COMPUTED_VALUE"""),46245.0)</f>
        <v>46245</v>
      </c>
      <c r="O5273" s="20"/>
      <c r="P5273" s="32" t="str">
        <f>IFERROR(__xludf.DUMMYFUNCTION("""COMPUTED_VALUE"""),"可")</f>
        <v>可</v>
      </c>
      <c r="Q5273" s="30" t="str">
        <f>IFERROR(__xludf.DUMMYFUNCTION("""COMPUTED_VALUE"""),"がるまに")</f>
        <v>がるまに</v>
      </c>
      <c r="R5273" s="22"/>
      <c r="S5273" s="22" t="str">
        <f>IFERROR(__xludf.DUMMYFUNCTION("""COMPUTED_VALUE"""),"20260521_ナンバーナイン_無垢お嬢様はヤンデレ神父に囚われる【R-18版】")</f>
        <v>20260521_ナンバーナイン_無垢お嬢様はヤンデレ神父に囚われる【R-18版】</v>
      </c>
      <c r="T5273" s="22" t="str">
        <f>IFERROR(__xludf.DUMMYFUNCTION("""COMPUTED_VALUE"""),"格納済み")</f>
        <v>格納済み</v>
      </c>
      <c r="U5273" s="9" t="str">
        <f>IFERROR(__xludf.DUMMYFUNCTION("""COMPUTED_VALUE"""),"(C)相川めるお/ナンバーナイン")</f>
        <v>(C)相川めるお/ナンバーナイン</v>
      </c>
      <c r="V5273" s="8"/>
      <c r="W5273" s="8"/>
      <c r="X5273" s="8" t="str">
        <f>IFERROR(__xludf.DUMMYFUNCTION("""COMPUTED_VALUE"""),"有")</f>
        <v>有</v>
      </c>
      <c r="Y5273" s="8" t="str">
        <f>IFERROR(__xludf.DUMMYFUNCTION("""COMPUTED_VALUE"""),"2026/7/11まで1巻無料")</f>
        <v>2026/7/11まで1巻無料</v>
      </c>
      <c r="Z5273" s="7"/>
      <c r="AA5273" s="7"/>
      <c r="AB5273" s="7"/>
    </row>
    <row r="5274" ht="15.75" customHeight="1">
      <c r="A5274" s="26">
        <f>IFERROR(__xludf.DUMMYFUNCTION("""COMPUTED_VALUE"""),8025.0)</f>
        <v>8025</v>
      </c>
      <c r="B5274" s="22" t="str">
        <f>IFERROR(__xludf.DUMMYFUNCTION("""COMPUTED_VALUE"""),"確定")</f>
        <v>確定</v>
      </c>
      <c r="C5274" s="28">
        <f>IFERROR(__xludf.DUMMYFUNCTION("""COMPUTED_VALUE"""),46161.0)</f>
        <v>46161</v>
      </c>
      <c r="D5274" s="28">
        <f>IFERROR(__xludf.DUMMYFUNCTION("""COMPUTED_VALUE"""),46167.0)</f>
        <v>46167</v>
      </c>
      <c r="E5274" s="26">
        <f>IFERROR(__xludf.DUMMYFUNCTION("""COMPUTED_VALUE"""),362525.0)</f>
        <v>362525</v>
      </c>
      <c r="F5274" s="22" t="str">
        <f>IFERROR(__xludf.DUMMYFUNCTION("""COMPUTED_VALUE"""),"姉弟だけど義理だし挿れなければえっちじゃないよね【単話版】")</f>
        <v>姉弟だけど義理だし挿れなければえっちじゃないよね【単話版】</v>
      </c>
      <c r="G5274" s="20" t="str">
        <f>IFERROR(__xludf.DUMMYFUNCTION("""COMPUTED_VALUE"""),"1~5")</f>
        <v>1~5</v>
      </c>
      <c r="H5274" s="22" t="str">
        <f>IFERROR(__xludf.DUMMYFUNCTION("""COMPUTED_VALUE"""),"小桃姫そよ")</f>
        <v>小桃姫そよ</v>
      </c>
      <c r="I5274" s="22" t="str">
        <f>IFERROR(__xludf.DUMMYFUNCTION("""COMPUTED_VALUE"""),"TL")</f>
        <v>TL</v>
      </c>
      <c r="J5274" s="22"/>
      <c r="K5274" s="22" t="str">
        <f>IFERROR(__xludf.DUMMYFUNCTION("""COMPUTED_VALUE"""),"Close Moon")</f>
        <v>Close Moon</v>
      </c>
      <c r="L5274" s="22" t="str">
        <f>IFERROR(__xludf.DUMMYFUNCTION("""COMPUTED_VALUE"""),"ナンバーナイン")</f>
        <v>ナンバーナイン</v>
      </c>
      <c r="M5274" s="33">
        <f>IFERROR(__xludf.DUMMYFUNCTION("""COMPUTED_VALUE"""),46185.0)</f>
        <v>46185</v>
      </c>
      <c r="N5274" s="33">
        <f>IFERROR(__xludf.DUMMYFUNCTION("""COMPUTED_VALUE"""),46245.0)</f>
        <v>46245</v>
      </c>
      <c r="O5274" s="20" t="str">
        <f>IFERROR(__xludf.DUMMYFUNCTION("""COMPUTED_VALUE"""),"【アダルト作品扱い】")</f>
        <v>【アダルト作品扱い】</v>
      </c>
      <c r="P5274" s="32" t="str">
        <f>IFERROR(__xludf.DUMMYFUNCTION("""COMPUTED_VALUE"""),"可")</f>
        <v>可</v>
      </c>
      <c r="Q5274" s="30" t="str">
        <f>IFERROR(__xludf.DUMMYFUNCTION("""COMPUTED_VALUE"""),"がるまに")</f>
        <v>がるまに</v>
      </c>
      <c r="R5274" s="22"/>
      <c r="S5274" s="22" t="str">
        <f>IFERROR(__xludf.DUMMYFUNCTION("""COMPUTED_VALUE"""),"20260521_ナンバーナイン_姉弟だけど義理だし挿れなければえっちじゃないよね【単話版】")</f>
        <v>20260521_ナンバーナイン_姉弟だけど義理だし挿れなければえっちじゃないよね【単話版】</v>
      </c>
      <c r="T5274" s="22" t="str">
        <f>IFERROR(__xludf.DUMMYFUNCTION("""COMPUTED_VALUE"""),"格納済み")</f>
        <v>格納済み</v>
      </c>
      <c r="U5274" s="9" t="str">
        <f>IFERROR(__xludf.DUMMYFUNCTION("""COMPUTED_VALUE"""),"(C)小桃姫そよ/ナンバーナイン")</f>
        <v>(C)小桃姫そよ/ナンバーナイン</v>
      </c>
      <c r="V5274" s="8"/>
      <c r="W5274" s="8"/>
      <c r="X5274" s="8" t="str">
        <f>IFERROR(__xludf.DUMMYFUNCTION("""COMPUTED_VALUE"""),"有")</f>
        <v>有</v>
      </c>
      <c r="Y5274" s="8" t="str">
        <f>IFERROR(__xludf.DUMMYFUNCTION("""COMPUTED_VALUE"""),"2026/8/11まで1巻無料")</f>
        <v>2026/8/11まで1巻無料</v>
      </c>
      <c r="Z5274" s="7"/>
      <c r="AA5274" s="7"/>
      <c r="AB5274" s="7"/>
    </row>
    <row r="5275" ht="15.75" customHeight="1">
      <c r="A5275" s="26">
        <f>IFERROR(__xludf.DUMMYFUNCTION("""COMPUTED_VALUE"""),8038.0)</f>
        <v>8038</v>
      </c>
      <c r="B5275" s="22" t="str">
        <f>IFERROR(__xludf.DUMMYFUNCTION("""COMPUTED_VALUE"""),"確定")</f>
        <v>確定</v>
      </c>
      <c r="C5275" s="28">
        <f>IFERROR(__xludf.DUMMYFUNCTION("""COMPUTED_VALUE"""),46161.0)</f>
        <v>46161</v>
      </c>
      <c r="D5275" s="28">
        <f>IFERROR(__xludf.DUMMYFUNCTION("""COMPUTED_VALUE"""),46168.0)</f>
        <v>46168</v>
      </c>
      <c r="E5275" s="26">
        <f>IFERROR(__xludf.DUMMYFUNCTION("""COMPUTED_VALUE"""),364223.0)</f>
        <v>364223</v>
      </c>
      <c r="F5275" s="22" t="str">
        <f>IFERROR(__xludf.DUMMYFUNCTION("""COMPUTED_VALUE"""),"【ラブパルフェ】孤高の冷徹殿下は虐げられ令嬢を甘く抱き尽くす～私にだけ発情する溺愛蜜夜")</f>
        <v>【ラブパルフェ】孤高の冷徹殿下は虐げられ令嬢を甘く抱き尽くす～私にだけ発情する溺愛蜜夜</v>
      </c>
      <c r="G5275" s="20" t="str">
        <f>IFERROR(__xludf.DUMMYFUNCTION("""COMPUTED_VALUE"""),"1～3")</f>
        <v>1～3</v>
      </c>
      <c r="H5275" s="22" t="str">
        <f>IFERROR(__xludf.DUMMYFUNCTION("""COMPUTED_VALUE"""),"丸田丹塗")</f>
        <v>丸田丹塗</v>
      </c>
      <c r="I5275" s="22" t="str">
        <f>IFERROR(__xludf.DUMMYFUNCTION("""COMPUTED_VALUE"""),"TL")</f>
        <v>TL</v>
      </c>
      <c r="J5275" s="22"/>
      <c r="K5275" s="22" t="str">
        <f>IFERROR(__xludf.DUMMYFUNCTION("""COMPUTED_VALUE"""),"ラブパルフェ（LoveParfait）")</f>
        <v>ラブパルフェ（LoveParfait）</v>
      </c>
      <c r="L5275" s="22" t="str">
        <f>IFERROR(__xludf.DUMMYFUNCTION("""COMPUTED_VALUE"""),"オーバーラップ")</f>
        <v>オーバーラップ</v>
      </c>
      <c r="M5275" s="33">
        <f>IFERROR(__xludf.DUMMYFUNCTION("""COMPUTED_VALUE"""),46204.0)</f>
        <v>46204</v>
      </c>
      <c r="N5275" s="33">
        <f>IFERROR(__xludf.DUMMYFUNCTION("""COMPUTED_VALUE"""),46265.0)</f>
        <v>46265</v>
      </c>
      <c r="O5275" s="20"/>
      <c r="P5275" s="32" t="str">
        <f>IFERROR(__xludf.DUMMYFUNCTION("""COMPUTED_VALUE"""),"可")</f>
        <v>可</v>
      </c>
      <c r="Q5275" s="30"/>
      <c r="R5275" s="22"/>
      <c r="S5275" s="22" t="str">
        <f>IFERROR(__xludf.DUMMYFUNCTION("""COMPUTED_VALUE"""),"20260520_オーバーラップ_孤高の冷徹殿下は虐げられ令嬢を甘く抱き尽くす～私にだけ発情する溺愛蜜夜")</f>
        <v>20260520_オーバーラップ_孤高の冷徹殿下は虐げられ令嬢を甘く抱き尽くす～私にだけ発情する溺愛蜜夜</v>
      </c>
      <c r="T5275" s="22" t="str">
        <f>IFERROR(__xludf.DUMMYFUNCTION("""COMPUTED_VALUE"""),"格納済み")</f>
        <v>格納済み</v>
      </c>
      <c r="U5275" s="9" t="str">
        <f>IFERROR(__xludf.DUMMYFUNCTION("""COMPUTED_VALUE"""),"(C)丸田丹塗／オーバーラップ")</f>
        <v>(C)丸田丹塗／オーバーラップ</v>
      </c>
      <c r="V5275" s="8"/>
      <c r="W5275" s="8"/>
      <c r="X5275" s="8" t="str">
        <f>IFERROR(__xludf.DUMMYFUNCTION("""COMPUTED_VALUE"""),"有")</f>
        <v>有</v>
      </c>
      <c r="Y5275" s="8" t="str">
        <f>IFERROR(__xludf.DUMMYFUNCTION("""COMPUTED_VALUE"""),"2026/8/31まで1巻無料")</f>
        <v>2026/8/31まで1巻無料</v>
      </c>
      <c r="Z5275" s="7"/>
      <c r="AA5275" s="7"/>
      <c r="AB5275" s="7"/>
    </row>
    <row r="5276" ht="15.75" customHeight="1">
      <c r="A5276" s="26">
        <f>IFERROR(__xludf.DUMMYFUNCTION("""COMPUTED_VALUE"""),8041.0)</f>
        <v>8041</v>
      </c>
      <c r="B5276" s="22" t="str">
        <f>IFERROR(__xludf.DUMMYFUNCTION("""COMPUTED_VALUE"""),"確定")</f>
        <v>確定</v>
      </c>
      <c r="C5276" s="28">
        <f>IFERROR(__xludf.DUMMYFUNCTION("""COMPUTED_VALUE"""),46162.0)</f>
        <v>46162</v>
      </c>
      <c r="D5276" s="28">
        <f>IFERROR(__xludf.DUMMYFUNCTION("""COMPUTED_VALUE"""),46167.0)</f>
        <v>46167</v>
      </c>
      <c r="E5276" s="26">
        <f>IFERROR(__xludf.DUMMYFUNCTION("""COMPUTED_VALUE"""),363819.0)</f>
        <v>363819</v>
      </c>
      <c r="F5276" s="22" t="str">
        <f>IFERROR(__xludf.DUMMYFUNCTION("""COMPUTED_VALUE"""),"【フルカラー】熱病～夜に咲く呪いの花～")</f>
        <v>【フルカラー】熱病～夜に咲く呪いの花～</v>
      </c>
      <c r="G5276" s="20" t="str">
        <f>IFERROR(__xludf.DUMMYFUNCTION("""COMPUTED_VALUE"""),"1～3")</f>
        <v>1～3</v>
      </c>
      <c r="H5276" s="22" t="str">
        <f>IFERROR(__xludf.DUMMYFUNCTION("""COMPUTED_VALUE"""),"Ihyeon larkspur Sojogeum")</f>
        <v>Ihyeon larkspur Sojogeum</v>
      </c>
      <c r="I5276" s="22" t="str">
        <f>IFERROR(__xludf.DUMMYFUNCTION("""COMPUTED_VALUE"""),"BL")</f>
        <v>BL</v>
      </c>
      <c r="J5276" s="22"/>
      <c r="K5276" s="22"/>
      <c r="L5276" s="22" t="str">
        <f>IFERROR(__xludf.DUMMYFUNCTION("""COMPUTED_VALUE"""),"レジンエンターテインメント")</f>
        <v>レジンエンターテインメント</v>
      </c>
      <c r="M5276" s="33">
        <f>IFERROR(__xludf.DUMMYFUNCTION("""COMPUTED_VALUE"""),46185.0)</f>
        <v>46185</v>
      </c>
      <c r="N5276" s="33">
        <f>IFERROR(__xludf.DUMMYFUNCTION("""COMPUTED_VALUE"""),46277.0)</f>
        <v>46277</v>
      </c>
      <c r="O5276" s="20"/>
      <c r="P5276" s="32" t="str">
        <f>IFERROR(__xludf.DUMMYFUNCTION("""COMPUTED_VALUE"""),"可")</f>
        <v>可</v>
      </c>
      <c r="Q5276" s="30"/>
      <c r="R5276" s="22"/>
      <c r="S5276" s="22" t="str">
        <f>IFERROR(__xludf.DUMMYFUNCTION("""COMPUTED_VALUE"""),"20260515_レジンコミックス_熱病～夜に咲く呪いの花～【フルカラー】")</f>
        <v>20260515_レジンコミックス_熱病～夜に咲く呪いの花～【フルカラー】</v>
      </c>
      <c r="T5276" s="22" t="str">
        <f>IFERROR(__xludf.DUMMYFUNCTION("""COMPUTED_VALUE"""),"格納済み")</f>
        <v>格納済み</v>
      </c>
      <c r="U5276" s="9" t="str">
        <f>IFERROR(__xludf.DUMMYFUNCTION("""COMPUTED_VALUE"""),"©  原作:Ihyeon / 原案: Sojogeum / 作画:larkspur / レジンエンターテインメント")</f>
        <v>©  原作:Ihyeon / 原案: Sojogeum / 作画:larkspur / レジンエンターテインメント</v>
      </c>
      <c r="V5276" s="8"/>
      <c r="W5276" s="8"/>
      <c r="X5276" s="8" t="str">
        <f>IFERROR(__xludf.DUMMYFUNCTION("""COMPUTED_VALUE"""),"有")</f>
        <v>有</v>
      </c>
      <c r="Y5276" s="8" t="str">
        <f>IFERROR(__xludf.DUMMYFUNCTION("""COMPUTED_VALUE"""),"2026/6/21まで1巻無料")</f>
        <v>2026/6/21まで1巻無料</v>
      </c>
      <c r="Z5276" s="7"/>
      <c r="AA5276" s="7"/>
      <c r="AB5276" s="7"/>
    </row>
    <row r="5277" ht="15.75" customHeight="1">
      <c r="A5277" s="26">
        <f>IFERROR(__xludf.DUMMYFUNCTION("""COMPUTED_VALUE"""),8042.0)</f>
        <v>8042</v>
      </c>
      <c r="B5277" s="22" t="str">
        <f>IFERROR(__xludf.DUMMYFUNCTION("""COMPUTED_VALUE"""),"確定")</f>
        <v>確定</v>
      </c>
      <c r="C5277" s="28">
        <f>IFERROR(__xludf.DUMMYFUNCTION("""COMPUTED_VALUE"""),46162.0)</f>
        <v>46162</v>
      </c>
      <c r="D5277" s="28">
        <f>IFERROR(__xludf.DUMMYFUNCTION("""COMPUTED_VALUE"""),46164.0)</f>
        <v>46164</v>
      </c>
      <c r="E5277" s="26">
        <f>IFERROR(__xludf.DUMMYFUNCTION("""COMPUTED_VALUE"""),362748.0)</f>
        <v>362748</v>
      </c>
      <c r="F5277" s="22" t="str">
        <f>IFERROR(__xludf.DUMMYFUNCTION("""COMPUTED_VALUE"""),"好きのひとつも言えないくせに【マイクロ】")</f>
        <v>好きのひとつも言えないくせに【マイクロ】</v>
      </c>
      <c r="G5277" s="20" t="str">
        <f>IFERROR(__xludf.DUMMYFUNCTION("""COMPUTED_VALUE"""),"1～3")</f>
        <v>1～3</v>
      </c>
      <c r="H5277" s="22" t="str">
        <f>IFERROR(__xludf.DUMMYFUNCTION("""COMPUTED_VALUE"""),"円城寺マキ")</f>
        <v>円城寺マキ</v>
      </c>
      <c r="I5277" s="22" t="str">
        <f>IFERROR(__xludf.DUMMYFUNCTION("""COMPUTED_VALUE"""),"少女")</f>
        <v>少女</v>
      </c>
      <c r="J5277" s="22"/>
      <c r="K5277" s="22"/>
      <c r="L5277" s="22" t="str">
        <f>IFERROR(__xludf.DUMMYFUNCTION("""COMPUTED_VALUE"""),"小学館")</f>
        <v>小学館</v>
      </c>
      <c r="M5277" s="33">
        <f>IFERROR(__xludf.DUMMYFUNCTION("""COMPUTED_VALUE"""),46178.0)</f>
        <v>46178</v>
      </c>
      <c r="N5277" s="33">
        <f>IFERROR(__xludf.DUMMYFUNCTION("""COMPUTED_VALUE"""),46238.0)</f>
        <v>46238</v>
      </c>
      <c r="O5277" s="20"/>
      <c r="P5277" s="32" t="str">
        <f>IFERROR(__xludf.DUMMYFUNCTION("""COMPUTED_VALUE"""),"否")</f>
        <v>否</v>
      </c>
      <c r="Q5277" s="30" t="str">
        <f>IFERROR(__xludf.DUMMYFUNCTION("""COMPUTED_VALUE"""),"「ぜんぶ初恋のせいだ」の著者さんの新作です。")</f>
        <v>「ぜんぶ初恋のせいだ」の著者さんの新作です。</v>
      </c>
      <c r="R5277" s="22"/>
      <c r="S5277" s="22" t="str">
        <f>IFERROR(__xludf.DUMMYFUNCTION("""COMPUTED_VALUE"""),"20260515_小学館_好きのひとつも言えないくせに")</f>
        <v>20260515_小学館_好きのひとつも言えないくせに</v>
      </c>
      <c r="T5277" s="22" t="str">
        <f>IFERROR(__xludf.DUMMYFUNCTION("""COMPUTED_VALUE"""),"格納済み")</f>
        <v>格納済み</v>
      </c>
      <c r="U5277" s="9" t="str">
        <f>IFERROR(__xludf.DUMMYFUNCTION("""COMPUTED_VALUE"""),"(C)円城寺マキ / 小学館")</f>
        <v>(C)円城寺マキ / 小学館</v>
      </c>
      <c r="V5277" s="8"/>
      <c r="W5277" s="8"/>
      <c r="X5277" s="8" t="str">
        <f>IFERROR(__xludf.DUMMYFUNCTION("""COMPUTED_VALUE"""),"有")</f>
        <v>有</v>
      </c>
      <c r="Y5277" s="8" t="str">
        <f>IFERROR(__xludf.DUMMYFUNCTION("""COMPUTED_VALUE"""),"2026/8/4まで1巻無料")</f>
        <v>2026/8/4まで1巻無料</v>
      </c>
      <c r="Z5277" s="7"/>
      <c r="AA5277" s="7"/>
      <c r="AB5277" s="7"/>
    </row>
    <row r="5278" ht="15.75" customHeight="1">
      <c r="A5278" s="26">
        <f>IFERROR(__xludf.DUMMYFUNCTION("""COMPUTED_VALUE"""),8043.0)</f>
        <v>8043</v>
      </c>
      <c r="B5278" s="22" t="str">
        <f>IFERROR(__xludf.DUMMYFUNCTION("""COMPUTED_VALUE"""),"確定")</f>
        <v>確定</v>
      </c>
      <c r="C5278" s="28">
        <f>IFERROR(__xludf.DUMMYFUNCTION("""COMPUTED_VALUE"""),46162.0)</f>
        <v>46162</v>
      </c>
      <c r="D5278" s="28">
        <f>IFERROR(__xludf.DUMMYFUNCTION("""COMPUTED_VALUE"""),46164.0)</f>
        <v>46164</v>
      </c>
      <c r="E5278" s="26">
        <f>IFERROR(__xludf.DUMMYFUNCTION("""COMPUTED_VALUE"""),364799.0)</f>
        <v>364799</v>
      </c>
      <c r="F5278" s="22" t="str">
        <f>IFERROR(__xludf.DUMMYFUNCTION("""COMPUTED_VALUE"""),"とろける桃のそだて方［ばら売り］")</f>
        <v>とろける桃のそだて方［ばら売り］</v>
      </c>
      <c r="G5278" s="20" t="str">
        <f>IFERROR(__xludf.DUMMYFUNCTION("""COMPUTED_VALUE"""),"1～3")</f>
        <v>1～3</v>
      </c>
      <c r="H5278" s="22" t="str">
        <f>IFERROR(__xludf.DUMMYFUNCTION("""COMPUTED_VALUE"""),"懐炉まち")</f>
        <v>懐炉まち</v>
      </c>
      <c r="I5278" s="22" t="str">
        <f>IFERROR(__xludf.DUMMYFUNCTION("""COMPUTED_VALUE"""),"BL")</f>
        <v>BL</v>
      </c>
      <c r="J5278" s="22"/>
      <c r="K5278" s="22" t="str">
        <f>IFERROR(__xludf.DUMMYFUNCTION("""COMPUTED_VALUE"""),"マンガPark")</f>
        <v>マンガPark</v>
      </c>
      <c r="L5278" s="22" t="str">
        <f>IFERROR(__xludf.DUMMYFUNCTION("""COMPUTED_VALUE"""),"白泉社")</f>
        <v>白泉社</v>
      </c>
      <c r="M5278" s="33">
        <f>IFERROR(__xludf.DUMMYFUNCTION("""COMPUTED_VALUE"""),46214.0)</f>
        <v>46214</v>
      </c>
      <c r="N5278" s="33">
        <f>IFERROR(__xludf.DUMMYFUNCTION("""COMPUTED_VALUE"""),46276.0)</f>
        <v>46276</v>
      </c>
      <c r="O5278" s="20"/>
      <c r="P5278" s="32" t="str">
        <f>IFERROR(__xludf.DUMMYFUNCTION("""COMPUTED_VALUE"""),"可")</f>
        <v>可</v>
      </c>
      <c r="Q5278" s="30"/>
      <c r="R5278" s="22"/>
      <c r="S5278" s="22" t="str">
        <f>IFERROR(__xludf.DUMMYFUNCTION("""COMPUTED_VALUE"""),"20260518_白泉社_とろける桃のそだて方［ばら売り］")</f>
        <v>20260518_白泉社_とろける桃のそだて方［ばら売り］</v>
      </c>
      <c r="T5278" s="22" t="str">
        <f>IFERROR(__xludf.DUMMYFUNCTION("""COMPUTED_VALUE"""),"格納済み")</f>
        <v>格納済み</v>
      </c>
      <c r="U5278" s="9" t="str">
        <f>IFERROR(__xludf.DUMMYFUNCTION("""COMPUTED_VALUE"""),"（ｃ）懐炉まち／白泉社")</f>
        <v>（ｃ）懐炉まち／白泉社</v>
      </c>
      <c r="V5278" s="8"/>
      <c r="W5278" s="8"/>
      <c r="X5278" s="8" t="str">
        <f>IFERROR(__xludf.DUMMYFUNCTION("""COMPUTED_VALUE"""),"有")</f>
        <v>有</v>
      </c>
      <c r="Y5278" s="8" t="str">
        <f>IFERROR(__xludf.DUMMYFUNCTION("""COMPUTED_VALUE"""),"2026/7/24まで1巻無料")</f>
        <v>2026/7/24まで1巻無料</v>
      </c>
      <c r="Z5278" s="7"/>
      <c r="AA5278" s="7"/>
      <c r="AB5278" s="7"/>
    </row>
    <row r="5279" ht="15.75" customHeight="1">
      <c r="A5279" s="26">
        <f>IFERROR(__xludf.DUMMYFUNCTION("""COMPUTED_VALUE"""),8047.0)</f>
        <v>8047</v>
      </c>
      <c r="B5279" s="22" t="str">
        <f>IFERROR(__xludf.DUMMYFUNCTION("""COMPUTED_VALUE"""),"確定")</f>
        <v>確定</v>
      </c>
      <c r="C5279" s="28">
        <f>IFERROR(__xludf.DUMMYFUNCTION("""COMPUTED_VALUE"""),46162.0)</f>
        <v>46162</v>
      </c>
      <c r="D5279" s="28">
        <f>IFERROR(__xludf.DUMMYFUNCTION("""COMPUTED_VALUE"""),46163.0)</f>
        <v>46163</v>
      </c>
      <c r="E5279" s="26">
        <f>IFERROR(__xludf.DUMMYFUNCTION("""COMPUTED_VALUE"""),365179.0)</f>
        <v>365179</v>
      </c>
      <c r="F5279" s="22" t="str">
        <f>IFERROR(__xludf.DUMMYFUNCTION("""COMPUTED_VALUE"""),"魔力ゼロの令嬢は稀代の天才魔術師様に溺愛される【分冊版】")</f>
        <v>魔力ゼロの令嬢は稀代の天才魔術師様に溺愛される【分冊版】</v>
      </c>
      <c r="G5279" s="20" t="str">
        <f>IFERROR(__xludf.DUMMYFUNCTION("""COMPUTED_VALUE"""),"1~4")</f>
        <v>1~4</v>
      </c>
      <c r="H5279" s="22" t="str">
        <f>IFERROR(__xludf.DUMMYFUNCTION("""COMPUTED_VALUE"""),"原作／未知香 漫画／柚木こま")</f>
        <v>原作／未知香 漫画／柚木こま</v>
      </c>
      <c r="I5279" s="22" t="str">
        <f>IFERROR(__xludf.DUMMYFUNCTION("""COMPUTED_VALUE"""),"少女")</f>
        <v>少女</v>
      </c>
      <c r="J5279" s="22"/>
      <c r="K5279" s="22"/>
      <c r="L5279" s="22" t="str">
        <f>IFERROR(__xludf.DUMMYFUNCTION("""COMPUTED_VALUE"""),"スクウェア・エニックス")</f>
        <v>スクウェア・エニックス</v>
      </c>
      <c r="M5279" s="33">
        <f>IFERROR(__xludf.DUMMYFUNCTION("""COMPUTED_VALUE"""),46204.0)</f>
        <v>46204</v>
      </c>
      <c r="N5279" s="33">
        <f>IFERROR(__xludf.DUMMYFUNCTION("""COMPUTED_VALUE"""),46234.0)</f>
        <v>46234</v>
      </c>
      <c r="O5279" s="20"/>
      <c r="P5279" s="32" t="str">
        <f>IFERROR(__xludf.DUMMYFUNCTION("""COMPUTED_VALUE"""),"否")</f>
        <v>否</v>
      </c>
      <c r="Q5279" s="30"/>
      <c r="R5279" s="22"/>
      <c r="S5279" s="22" t="str">
        <f>IFERROR(__xludf.DUMMYFUNCTION("""COMPUTED_VALUE"""),"20260507_スクウェア・エニックス_魔力ゼロの令嬢は稀代の天才魔術師様に溺愛される")</f>
        <v>20260507_スクウェア・エニックス_魔力ゼロの令嬢は稀代の天才魔術師様に溺愛される</v>
      </c>
      <c r="T5279" s="22" t="str">
        <f>IFERROR(__xludf.DUMMYFUNCTION("""COMPUTED_VALUE"""),"格納済み")</f>
        <v>格納済み</v>
      </c>
      <c r="U5279" s="9" t="str">
        <f>IFERROR(__xludf.DUMMYFUNCTION("""COMPUTED_VALUE"""),"(C)Michika/SQUARE ENIX (C)Koma Yuki/SQUARE ENIX")</f>
        <v>(C)Michika/SQUARE ENIX (C)Koma Yuki/SQUARE ENIX</v>
      </c>
      <c r="V5279" s="8"/>
      <c r="W5279" s="8"/>
      <c r="X5279" s="8" t="str">
        <f>IFERROR(__xludf.DUMMYFUNCTION("""COMPUTED_VALUE"""),"有")</f>
        <v>有</v>
      </c>
      <c r="Y5279" s="8" t="str">
        <f>IFERROR(__xludf.DUMMYFUNCTION("""COMPUTED_VALUE"""),"2026/7/31まで1巻無料")</f>
        <v>2026/7/31まで1巻無料</v>
      </c>
      <c r="Z5279" s="7"/>
      <c r="AA5279" s="7"/>
      <c r="AB5279" s="7"/>
    </row>
    <row r="5280" ht="15.75" customHeight="1">
      <c r="A5280" s="26">
        <f>IFERROR(__xludf.DUMMYFUNCTION("""COMPUTED_VALUE"""),8048.0)</f>
        <v>8048</v>
      </c>
      <c r="B5280" s="22" t="str">
        <f>IFERROR(__xludf.DUMMYFUNCTION("""COMPUTED_VALUE"""),"確定")</f>
        <v>確定</v>
      </c>
      <c r="C5280" s="28">
        <f>IFERROR(__xludf.DUMMYFUNCTION("""COMPUTED_VALUE"""),46162.0)</f>
        <v>46162</v>
      </c>
      <c r="D5280" s="28">
        <f>IFERROR(__xludf.DUMMYFUNCTION("""COMPUTED_VALUE"""),46164.0)</f>
        <v>46164</v>
      </c>
      <c r="E5280" s="26">
        <f>IFERROR(__xludf.DUMMYFUNCTION("""COMPUTED_VALUE"""),318848.0)</f>
        <v>318848</v>
      </c>
      <c r="F5280" s="22" t="str">
        <f>IFERROR(__xludf.DUMMYFUNCTION("""COMPUTED_VALUE"""),"声無しのローレライ")</f>
        <v>声無しのローレライ</v>
      </c>
      <c r="G5280" s="20" t="str">
        <f>IFERROR(__xludf.DUMMYFUNCTION("""COMPUTED_VALUE"""),"1～3")</f>
        <v>1～3</v>
      </c>
      <c r="H5280" s="22" t="str">
        <f>IFERROR(__xludf.DUMMYFUNCTION("""COMPUTED_VALUE"""),"YURI,フェイ,サトウトモ,楽団ローレライ")</f>
        <v>YURI,フェイ,サトウトモ,楽団ローレライ</v>
      </c>
      <c r="I5280" s="22" t="str">
        <f>IFERROR(__xludf.DUMMYFUNCTION("""COMPUTED_VALUE"""),"少女")</f>
        <v>少女</v>
      </c>
      <c r="J5280" s="22"/>
      <c r="K5280" s="22" t="str">
        <f>IFERROR(__xludf.DUMMYFUNCTION("""COMPUTED_VALUE"""),"トレモア・ロマンス,トレモアcollection")</f>
        <v>トレモア・ロマンス,トレモアcollection</v>
      </c>
      <c r="L5280" s="22" t="str">
        <f>IFERROR(__xludf.DUMMYFUNCTION("""COMPUTED_VALUE"""),"シーモアコミックス（トレモア）")</f>
        <v>シーモアコミックス（トレモア）</v>
      </c>
      <c r="M5280" s="33">
        <f>IFERROR(__xludf.DUMMYFUNCTION("""COMPUTED_VALUE"""),46206.0)</f>
        <v>46206</v>
      </c>
      <c r="N5280" s="33">
        <f>IFERROR(__xludf.DUMMYFUNCTION("""COMPUTED_VALUE"""),2958465.0)</f>
        <v>2958465</v>
      </c>
      <c r="O5280" s="20"/>
      <c r="P5280" s="32" t="str">
        <f>IFERROR(__xludf.DUMMYFUNCTION("""COMPUTED_VALUE"""),"可")</f>
        <v>可</v>
      </c>
      <c r="Q5280" s="30"/>
      <c r="R5280" s="22"/>
      <c r="S5280" s="22" t="str">
        <f>IFERROR(__xludf.DUMMYFUNCTION("""COMPUTED_VALUE"""),"20260520_シーモアコミックス_声無しのローレライ")</f>
        <v>20260520_シーモアコミックス_声無しのローレライ</v>
      </c>
      <c r="T5280" s="22" t="str">
        <f>IFERROR(__xludf.DUMMYFUNCTION("""COMPUTED_VALUE"""),"格納済み")</f>
        <v>格納済み</v>
      </c>
      <c r="U5280" s="9" t="str">
        <f>IFERROR(__xludf.DUMMYFUNCTION("""COMPUTED_VALUE"""),"(C) YURI/フェイ/サトウトモ/楽団ローレライ/シーモアコミックス")</f>
        <v>(C) YURI/フェイ/サトウトモ/楽団ローレライ/シーモアコミックス</v>
      </c>
      <c r="V5280" s="8"/>
      <c r="W5280" s="8"/>
      <c r="X5280" s="8" t="str">
        <f>IFERROR(__xludf.DUMMYFUNCTION("""COMPUTED_VALUE"""),"有")</f>
        <v>有</v>
      </c>
      <c r="Y5280" s="8" t="str">
        <f>IFERROR(__xludf.DUMMYFUNCTION("""COMPUTED_VALUE"""),"1巻永久無料")</f>
        <v>1巻永久無料</v>
      </c>
      <c r="Z5280" s="7"/>
      <c r="AA5280" s="7"/>
      <c r="AB5280" s="7"/>
    </row>
    <row r="5281" ht="15.75" customHeight="1">
      <c r="A5281" s="26">
        <f>IFERROR(__xludf.DUMMYFUNCTION("""COMPUTED_VALUE"""),8049.0)</f>
        <v>8049</v>
      </c>
      <c r="B5281" s="22" t="str">
        <f>IFERROR(__xludf.DUMMYFUNCTION("""COMPUTED_VALUE"""),"確定")</f>
        <v>確定</v>
      </c>
      <c r="C5281" s="28">
        <f>IFERROR(__xludf.DUMMYFUNCTION("""COMPUTED_VALUE"""),46162.0)</f>
        <v>46162</v>
      </c>
      <c r="D5281" s="28">
        <f>IFERROR(__xludf.DUMMYFUNCTION("""COMPUTED_VALUE"""),46164.0)</f>
        <v>46164</v>
      </c>
      <c r="E5281" s="26">
        <f>IFERROR(__xludf.DUMMYFUNCTION("""COMPUTED_VALUE"""),328098.0)</f>
        <v>328098</v>
      </c>
      <c r="F5281" s="22" t="str">
        <f>IFERROR(__xludf.DUMMYFUNCTION("""COMPUTED_VALUE"""),"侯爵令嬢はしたたかに運命を切り拓く")</f>
        <v>侯爵令嬢はしたたかに運命を切り拓く</v>
      </c>
      <c r="G5281" s="20" t="str">
        <f>IFERROR(__xludf.DUMMYFUNCTION("""COMPUTED_VALUE"""),"1～3")</f>
        <v>1～3</v>
      </c>
      <c r="H5281" s="22" t="str">
        <f>IFERROR(__xludf.DUMMYFUNCTION("""COMPUTED_VALUE"""),"こゆきはら星,池田聖子")</f>
        <v>こゆきはら星,池田聖子</v>
      </c>
      <c r="I5281" s="22" t="str">
        <f>IFERROR(__xludf.DUMMYFUNCTION("""COMPUTED_VALUE"""),"少女")</f>
        <v>少女</v>
      </c>
      <c r="J5281" s="22"/>
      <c r="K5281" s="22" t="str">
        <f>IFERROR(__xludf.DUMMYFUNCTION("""COMPUTED_VALUE"""),"トレモア・ロマンス,トレモアcollection")</f>
        <v>トレモア・ロマンス,トレモアcollection</v>
      </c>
      <c r="L5281" s="22" t="str">
        <f>IFERROR(__xludf.DUMMYFUNCTION("""COMPUTED_VALUE"""),"シーモアコミックス（トレモア）")</f>
        <v>シーモアコミックス（トレモア）</v>
      </c>
      <c r="M5281" s="33">
        <f>IFERROR(__xludf.DUMMYFUNCTION("""COMPUTED_VALUE"""),46206.0)</f>
        <v>46206</v>
      </c>
      <c r="N5281" s="33">
        <f>IFERROR(__xludf.DUMMYFUNCTION("""COMPUTED_VALUE"""),2958465.0)</f>
        <v>2958465</v>
      </c>
      <c r="O5281" s="20"/>
      <c r="P5281" s="32" t="str">
        <f>IFERROR(__xludf.DUMMYFUNCTION("""COMPUTED_VALUE"""),"可")</f>
        <v>可</v>
      </c>
      <c r="Q5281" s="30"/>
      <c r="R5281" s="22"/>
      <c r="S5281" s="22" t="str">
        <f>IFERROR(__xludf.DUMMYFUNCTION("""COMPUTED_VALUE"""),"20260520_シーモアコミックス_侯爵令嬢はしたたかに運命を切り拓く")</f>
        <v>20260520_シーモアコミックス_侯爵令嬢はしたたかに運命を切り拓く</v>
      </c>
      <c r="T5281" s="22" t="str">
        <f>IFERROR(__xludf.DUMMYFUNCTION("""COMPUTED_VALUE"""),"格納済み")</f>
        <v>格納済み</v>
      </c>
      <c r="U5281" s="9" t="str">
        <f>IFERROR(__xludf.DUMMYFUNCTION("""COMPUTED_VALUE"""),"(C) こゆきはら星/池田聖子/シーモアコミックス")</f>
        <v>(C) こゆきはら星/池田聖子/シーモアコミックス</v>
      </c>
      <c r="V5281" s="8"/>
      <c r="W5281" s="8"/>
      <c r="X5281" s="8" t="str">
        <f>IFERROR(__xludf.DUMMYFUNCTION("""COMPUTED_VALUE"""),"有")</f>
        <v>有</v>
      </c>
      <c r="Y5281" s="8" t="str">
        <f>IFERROR(__xludf.DUMMYFUNCTION("""COMPUTED_VALUE"""),"1巻永久無料")</f>
        <v>1巻永久無料</v>
      </c>
      <c r="Z5281" s="7"/>
      <c r="AA5281" s="7"/>
      <c r="AB5281" s="7"/>
    </row>
    <row r="5282" ht="15.75" customHeight="1">
      <c r="A5282" s="26">
        <f>IFERROR(__xludf.DUMMYFUNCTION("""COMPUTED_VALUE"""),8050.0)</f>
        <v>8050</v>
      </c>
      <c r="B5282" s="22" t="str">
        <f>IFERROR(__xludf.DUMMYFUNCTION("""COMPUTED_VALUE"""),"確定")</f>
        <v>確定</v>
      </c>
      <c r="C5282" s="28">
        <f>IFERROR(__xludf.DUMMYFUNCTION("""COMPUTED_VALUE"""),46162.0)</f>
        <v>46162</v>
      </c>
      <c r="D5282" s="28">
        <f>IFERROR(__xludf.DUMMYFUNCTION("""COMPUTED_VALUE"""),46164.0)</f>
        <v>46164</v>
      </c>
      <c r="E5282" s="26">
        <f>IFERROR(__xludf.DUMMYFUNCTION("""COMPUTED_VALUE"""),345346.0)</f>
        <v>345346</v>
      </c>
      <c r="F5282" s="22" t="str">
        <f>IFERROR(__xludf.DUMMYFUNCTION("""COMPUTED_VALUE"""),"私の人生にあなたは必要ありません～婚約破棄をしたので思うように生きようと思います～")</f>
        <v>私の人生にあなたは必要ありません～婚約破棄をしたので思うように生きようと思います～</v>
      </c>
      <c r="G5282" s="20" t="str">
        <f>IFERROR(__xludf.DUMMYFUNCTION("""COMPUTED_VALUE"""),"1～3")</f>
        <v>1～3</v>
      </c>
      <c r="H5282" s="22" t="str">
        <f>IFERROR(__xludf.DUMMYFUNCTION("""COMPUTED_VALUE"""),"ちゃま,雅せんす")</f>
        <v>ちゃま,雅せんす</v>
      </c>
      <c r="I5282" s="22" t="str">
        <f>IFERROR(__xludf.DUMMYFUNCTION("""COMPUTED_VALUE"""),"少女")</f>
        <v>少女</v>
      </c>
      <c r="J5282" s="22"/>
      <c r="K5282" s="22" t="str">
        <f>IFERROR(__xludf.DUMMYFUNCTION("""COMPUTED_VALUE"""),"トレモア・ロマンス,トレモアcollection")</f>
        <v>トレモア・ロマンス,トレモアcollection</v>
      </c>
      <c r="L5282" s="22" t="str">
        <f>IFERROR(__xludf.DUMMYFUNCTION("""COMPUTED_VALUE"""),"シーモアコミックス（トレモア）")</f>
        <v>シーモアコミックス（トレモア）</v>
      </c>
      <c r="M5282" s="33">
        <f>IFERROR(__xludf.DUMMYFUNCTION("""COMPUTED_VALUE"""),46206.0)</f>
        <v>46206</v>
      </c>
      <c r="N5282" s="33">
        <f>IFERROR(__xludf.DUMMYFUNCTION("""COMPUTED_VALUE"""),2958465.0)</f>
        <v>2958465</v>
      </c>
      <c r="O5282" s="20"/>
      <c r="P5282" s="32" t="str">
        <f>IFERROR(__xludf.DUMMYFUNCTION("""COMPUTED_VALUE"""),"可")</f>
        <v>可</v>
      </c>
      <c r="Q5282" s="30"/>
      <c r="R5282" s="22"/>
      <c r="S5282" s="22" t="str">
        <f>IFERROR(__xludf.DUMMYFUNCTION("""COMPUTED_VALUE"""),"20260520_シーモアコミックス_私の人生にあなたは必要ありません～婚約破棄をしたので思うように生きようと思います～")</f>
        <v>20260520_シーモアコミックス_私の人生にあなたは必要ありません～婚約破棄をしたので思うように生きようと思います～</v>
      </c>
      <c r="T5282" s="22" t="str">
        <f>IFERROR(__xludf.DUMMYFUNCTION("""COMPUTED_VALUE"""),"格納済み")</f>
        <v>格納済み</v>
      </c>
      <c r="U5282" s="9" t="str">
        <f>IFERROR(__xludf.DUMMYFUNCTION("""COMPUTED_VALUE"""),"(C) ちゃま/雅せんす/シーモアコミックス")</f>
        <v>(C) ちゃま/雅せんす/シーモアコミックス</v>
      </c>
      <c r="V5282" s="8"/>
      <c r="W5282" s="8"/>
      <c r="X5282" s="8" t="str">
        <f>IFERROR(__xludf.DUMMYFUNCTION("""COMPUTED_VALUE"""),"有")</f>
        <v>有</v>
      </c>
      <c r="Y5282" s="8" t="str">
        <f>IFERROR(__xludf.DUMMYFUNCTION("""COMPUTED_VALUE"""),"1巻永久無料")</f>
        <v>1巻永久無料</v>
      </c>
      <c r="Z5282" s="7"/>
      <c r="AA5282" s="7"/>
      <c r="AB5282" s="7"/>
    </row>
    <row r="5283" ht="15.75" customHeight="1">
      <c r="A5283" s="26">
        <f>IFERROR(__xludf.DUMMYFUNCTION("""COMPUTED_VALUE"""),8051.0)</f>
        <v>8051</v>
      </c>
      <c r="B5283" s="22" t="str">
        <f>IFERROR(__xludf.DUMMYFUNCTION("""COMPUTED_VALUE"""),"確定")</f>
        <v>確定</v>
      </c>
      <c r="C5283" s="28">
        <f>IFERROR(__xludf.DUMMYFUNCTION("""COMPUTED_VALUE"""),46162.0)</f>
        <v>46162</v>
      </c>
      <c r="D5283" s="28">
        <f>IFERROR(__xludf.DUMMYFUNCTION("""COMPUTED_VALUE"""),46163.0)</f>
        <v>46163</v>
      </c>
      <c r="E5283" s="26">
        <f>IFERROR(__xludf.DUMMYFUNCTION("""COMPUTED_VALUE"""),363851.0)</f>
        <v>363851</v>
      </c>
      <c r="F5283" s="22" t="str">
        <f>IFERROR(__xludf.DUMMYFUNCTION("""COMPUTED_VALUE"""),"死に戻りの宝石姫は、二度目の人生を謳歌する。 分冊版")</f>
        <v>死に戻りの宝石姫は、二度目の人生を謳歌する。 分冊版</v>
      </c>
      <c r="G5283" s="20" t="str">
        <f>IFERROR(__xludf.DUMMYFUNCTION("""COMPUTED_VALUE"""),"1~4")</f>
        <v>1~4</v>
      </c>
      <c r="H5283" s="22" t="str">
        <f>IFERROR(__xludf.DUMMYFUNCTION("""COMPUTED_VALUE"""),"漫画/朔本美津妃　原作/ごろごろみかん。")</f>
        <v>漫画/朔本美津妃　原作/ごろごろみかん。</v>
      </c>
      <c r="I5283" s="22" t="str">
        <f>IFERROR(__xludf.DUMMYFUNCTION("""COMPUTED_VALUE"""),"女性")</f>
        <v>女性</v>
      </c>
      <c r="J5283" s="22"/>
      <c r="K5283" s="22"/>
      <c r="L5283" s="22" t="str">
        <f>IFERROR(__xludf.DUMMYFUNCTION("""COMPUTED_VALUE"""),"コアミックス")</f>
        <v>コアミックス</v>
      </c>
      <c r="M5283" s="33">
        <f>IFERROR(__xludf.DUMMYFUNCTION("""COMPUTED_VALUE"""),46178.0)</f>
        <v>46178</v>
      </c>
      <c r="N5283" s="33">
        <f>IFERROR(__xludf.DUMMYFUNCTION("""COMPUTED_VALUE"""),46240.0)</f>
        <v>46240</v>
      </c>
      <c r="O5283" s="20"/>
      <c r="P5283" s="32" t="str">
        <f>IFERROR(__xludf.DUMMYFUNCTION("""COMPUTED_VALUE"""),"可")</f>
        <v>可</v>
      </c>
      <c r="Q5283" s="30"/>
      <c r="R5283" s="22"/>
      <c r="S5283" s="22" t="str">
        <f>IFERROR(__xludf.DUMMYFUNCTION("""COMPUTED_VALUE"""),"20260520_コアミックス_死に戻りの宝石姫は、二度目の人生を謳歌する。")</f>
        <v>20260520_コアミックス_死に戻りの宝石姫は、二度目の人生を謳歌する。</v>
      </c>
      <c r="T5283" s="22" t="str">
        <f>IFERROR(__xludf.DUMMYFUNCTION("""COMPUTED_VALUE"""),"格納済み")</f>
        <v>格納済み</v>
      </c>
      <c r="U5283" s="9" t="str">
        <f>IFERROR(__xludf.DUMMYFUNCTION("""COMPUTED_VALUE"""),"Ⓒ朔本美津妃・ごろごろみかん。／コアミックス")</f>
        <v>Ⓒ朔本美津妃・ごろごろみかん。／コアミックス</v>
      </c>
      <c r="V5283" s="8"/>
      <c r="W5283" s="8"/>
      <c r="X5283" s="8" t="str">
        <f>IFERROR(__xludf.DUMMYFUNCTION("""COMPUTED_VALUE"""),"有")</f>
        <v>有</v>
      </c>
      <c r="Y5283" s="8" t="str">
        <f>IFERROR(__xludf.DUMMYFUNCTION("""COMPUTED_VALUE"""),"P5まで")</f>
        <v>P5まで</v>
      </c>
      <c r="Z5283" s="7"/>
      <c r="AA5283" s="7"/>
      <c r="AB5283" s="7"/>
    </row>
    <row r="5284" ht="15.75" customHeight="1">
      <c r="A5284" s="26">
        <f>IFERROR(__xludf.DUMMYFUNCTION("""COMPUTED_VALUE"""),8052.0)</f>
        <v>8052</v>
      </c>
      <c r="B5284" s="22" t="str">
        <f>IFERROR(__xludf.DUMMYFUNCTION("""COMPUTED_VALUE"""),"確定")</f>
        <v>確定</v>
      </c>
      <c r="C5284" s="28">
        <f>IFERROR(__xludf.DUMMYFUNCTION("""COMPUTED_VALUE"""),46162.0)</f>
        <v>46162</v>
      </c>
      <c r="D5284" s="28">
        <f>IFERROR(__xludf.DUMMYFUNCTION("""COMPUTED_VALUE"""),46168.0)</f>
        <v>46168</v>
      </c>
      <c r="E5284" s="26"/>
      <c r="F5284" s="22" t="str">
        <f>IFERROR(__xludf.DUMMYFUNCTION("""COMPUTED_VALUE"""),"傾国の側室は平和に暮らしたい")</f>
        <v>傾国の側室は平和に暮らしたい</v>
      </c>
      <c r="G5284" s="20">
        <f>IFERROR(__xludf.DUMMYFUNCTION("""COMPUTED_VALUE"""),1.0)</f>
        <v>1</v>
      </c>
      <c r="H5284" s="22" t="str">
        <f>IFERROR(__xludf.DUMMYFUNCTION("""COMPUTED_VALUE"""),"藤倉レモン／維新")</f>
        <v>藤倉レモン／維新</v>
      </c>
      <c r="I5284" s="22" t="str">
        <f>IFERROR(__xludf.DUMMYFUNCTION("""COMPUTED_VALUE"""),"BL")</f>
        <v>BL</v>
      </c>
      <c r="J5284" s="22"/>
      <c r="K5284" s="22"/>
      <c r="L5284" s="22" t="str">
        <f>IFERROR(__xludf.DUMMYFUNCTION("""COMPUTED_VALUE"""),"リブレ")</f>
        <v>リブレ</v>
      </c>
      <c r="M5284" s="33">
        <f>IFERROR(__xludf.DUMMYFUNCTION("""COMPUTED_VALUE"""),46282.0)</f>
        <v>46282</v>
      </c>
      <c r="N5284" s="33">
        <f>IFERROR(__xludf.DUMMYFUNCTION("""COMPUTED_VALUE"""),46314.0)</f>
        <v>46314</v>
      </c>
      <c r="O5284" s="20"/>
      <c r="P5284" s="32" t="str">
        <f>IFERROR(__xludf.DUMMYFUNCTION("""COMPUTED_VALUE"""),"可")</f>
        <v>可</v>
      </c>
      <c r="Q5284" s="30" t="str">
        <f>IFERROR(__xludf.DUMMYFUNCTION("""COMPUTED_VALUE"""),"ライトBL施策&lt;BR&gt;単行本1巻です（素材は1~4話合わせて単行本1巻分です）")</f>
        <v>ライトBL施策&lt;BR&gt;単行本1巻です（素材は1~4話合わせて単行本1巻分です）</v>
      </c>
      <c r="R5284" s="22"/>
      <c r="S5284" s="22" t="str">
        <f>IFERROR(__xludf.DUMMYFUNCTION("""COMPUTED_VALUE"""),"20260507_リブレ_傾国の側室は平和に暮らしたい")</f>
        <v>20260507_リブレ_傾国の側室は平和に暮らしたい</v>
      </c>
      <c r="T5284" s="22" t="str">
        <f>IFERROR(__xludf.DUMMYFUNCTION("""COMPUTED_VALUE"""),"格納済み")</f>
        <v>格納済み</v>
      </c>
      <c r="U5284" s="9" t="str">
        <f>IFERROR(__xludf.DUMMYFUNCTION("""COMPUTED_VALUE"""),"(C)藤倉レモン・維新/libre")</f>
        <v>(C)藤倉レモン・維新/libre</v>
      </c>
      <c r="V5284" s="8"/>
      <c r="W5284" s="8"/>
      <c r="X5284" s="8"/>
      <c r="Y5284" s="8"/>
      <c r="Z5284" s="7"/>
      <c r="AA5284" s="7"/>
      <c r="AB5284" s="7"/>
    </row>
    <row r="5285" ht="15.75" customHeight="1">
      <c r="A5285" s="26">
        <f>IFERROR(__xludf.DUMMYFUNCTION("""COMPUTED_VALUE"""),8067.0)</f>
        <v>8067</v>
      </c>
      <c r="B5285" s="22" t="str">
        <f>IFERROR(__xludf.DUMMYFUNCTION("""COMPUTED_VALUE"""),"確定")</f>
        <v>確定</v>
      </c>
      <c r="C5285" s="28">
        <f>IFERROR(__xludf.DUMMYFUNCTION("""COMPUTED_VALUE"""),46162.0)</f>
        <v>46162</v>
      </c>
      <c r="D5285" s="28">
        <f>IFERROR(__xludf.DUMMYFUNCTION("""COMPUTED_VALUE"""),46168.0)</f>
        <v>46168</v>
      </c>
      <c r="E5285" s="26"/>
      <c r="F5285" s="22" t="str">
        <f>IFERROR(__xludf.DUMMYFUNCTION("""COMPUTED_VALUE"""),"【分冊版】花いろのほとり")</f>
        <v>【分冊版】花いろのほとり</v>
      </c>
      <c r="G5285" s="20" t="str">
        <f>IFERROR(__xludf.DUMMYFUNCTION("""COMPUTED_VALUE"""),"1～3")</f>
        <v>1～3</v>
      </c>
      <c r="H5285" s="22" t="str">
        <f>IFERROR(__xludf.DUMMYFUNCTION("""COMPUTED_VALUE"""),"やぎ")</f>
        <v>やぎ</v>
      </c>
      <c r="I5285" s="22" t="str">
        <f>IFERROR(__xludf.DUMMYFUNCTION("""COMPUTED_VALUE"""),"女性")</f>
        <v>女性</v>
      </c>
      <c r="J5285" s="22"/>
      <c r="K5285" s="22"/>
      <c r="L5285" s="22" t="str">
        <f>IFERROR(__xludf.DUMMYFUNCTION("""COMPUTED_VALUE"""),"Seasons")</f>
        <v>Seasons</v>
      </c>
      <c r="M5285" s="33">
        <f>IFERROR(__xludf.DUMMYFUNCTION("""COMPUTED_VALUE"""),46253.0)</f>
        <v>46253</v>
      </c>
      <c r="N5285" s="33">
        <f>IFERROR(__xludf.DUMMYFUNCTION("""COMPUTED_VALUE"""),46343.0)</f>
        <v>46343</v>
      </c>
      <c r="O5285" s="20"/>
      <c r="P5285" s="32" t="str">
        <f>IFERROR(__xludf.DUMMYFUNCTION("""COMPUTED_VALUE"""),"可")</f>
        <v>可</v>
      </c>
      <c r="Q5285" s="30" t="str">
        <f>IFERROR(__xludf.DUMMYFUNCTION("""COMPUTED_VALUE"""),"ライトBL要素を含んだ女性ジャンルの作品です。")</f>
        <v>ライトBL要素を含んだ女性ジャンルの作品です。</v>
      </c>
      <c r="R5285" s="22"/>
      <c r="S5285" s="22" t="str">
        <f>IFERROR(__xludf.DUMMYFUNCTION("""COMPUTED_VALUE"""),"20260522_Seasons_花いろのほとり")</f>
        <v>20260522_Seasons_花いろのほとり</v>
      </c>
      <c r="T5285" s="22" t="str">
        <f>IFERROR(__xludf.DUMMYFUNCTION("""COMPUTED_VALUE"""),"格納済み")</f>
        <v>格納済み</v>
      </c>
      <c r="U5285" s="9" t="str">
        <f>IFERROR(__xludf.DUMMYFUNCTION("""COMPUTED_VALUE"""),"(C)やぎ／文藝春秋")</f>
        <v>(C)やぎ／文藝春秋</v>
      </c>
      <c r="V5285" s="8"/>
      <c r="W5285" s="8"/>
      <c r="X5285" s="8"/>
      <c r="Y5285" s="8"/>
      <c r="Z5285" s="7"/>
      <c r="AA5285" s="7"/>
      <c r="AB5285" s="7"/>
    </row>
    <row r="5286" ht="15.75" customHeight="1">
      <c r="A5286" s="26">
        <f>IFERROR(__xludf.DUMMYFUNCTION("""COMPUTED_VALUE"""),8071.0)</f>
        <v>8071</v>
      </c>
      <c r="B5286" s="22" t="str">
        <f>IFERROR(__xludf.DUMMYFUNCTION("""COMPUTED_VALUE"""),"確定")</f>
        <v>確定</v>
      </c>
      <c r="C5286" s="28">
        <f>IFERROR(__xludf.DUMMYFUNCTION("""COMPUTED_VALUE"""),46162.0)</f>
        <v>46162</v>
      </c>
      <c r="D5286" s="28">
        <f>IFERROR(__xludf.DUMMYFUNCTION("""COMPUTED_VALUE"""),46163.0)</f>
        <v>46163</v>
      </c>
      <c r="E5286" s="26">
        <f>IFERROR(__xludf.DUMMYFUNCTION("""COMPUTED_VALUE"""),364158.0)</f>
        <v>364158</v>
      </c>
      <c r="F5286" s="22" t="str">
        <f>IFERROR(__xludf.DUMMYFUNCTION("""COMPUTED_VALUE"""),"山劇 分冊版")</f>
        <v>山劇 分冊版</v>
      </c>
      <c r="G5286" s="20" t="str">
        <f>IFERROR(__xludf.DUMMYFUNCTION("""COMPUTED_VALUE"""),"1～10")</f>
        <v>1～10</v>
      </c>
      <c r="H5286" s="22" t="str">
        <f>IFERROR(__xludf.DUMMYFUNCTION("""COMPUTED_VALUE"""),"峰浪りょう")</f>
        <v>峰浪りょう</v>
      </c>
      <c r="I5286" s="22" t="str">
        <f>IFERROR(__xludf.DUMMYFUNCTION("""COMPUTED_VALUE"""),"青年")</f>
        <v>青年</v>
      </c>
      <c r="J5286" s="22"/>
      <c r="K5286" s="22" t="str">
        <f>IFERROR(__xludf.DUMMYFUNCTION("""COMPUTED_VALUE"""),"週刊ヤングジャンプ")</f>
        <v>週刊ヤングジャンプ</v>
      </c>
      <c r="L5286" s="22" t="str">
        <f>IFERROR(__xludf.DUMMYFUNCTION("""COMPUTED_VALUE"""),"集英社")</f>
        <v>集英社</v>
      </c>
      <c r="M5286" s="33">
        <f>IFERROR(__xludf.DUMMYFUNCTION("""COMPUTED_VALUE"""),46191.0)</f>
        <v>46191</v>
      </c>
      <c r="N5286" s="33">
        <f>IFERROR(__xludf.DUMMYFUNCTION("""COMPUTED_VALUE"""),46253.0)</f>
        <v>46253</v>
      </c>
      <c r="O5286" s="20"/>
      <c r="P5286" s="32" t="str">
        <f>IFERROR(__xludf.DUMMYFUNCTION("""COMPUTED_VALUE"""),"否")</f>
        <v>否</v>
      </c>
      <c r="Q5286" s="30" t="str">
        <f>IFERROR(__xludf.DUMMYFUNCTION("""COMPUTED_VALUE"""),"1~7巻の素材で広告制作お願いいたします。&lt;BR&gt;8～10巻は後日共有予定です。")</f>
        <v>1~7巻の素材で広告制作お願いいたします。&lt;BR&gt;8～10巻は後日共有予定です。</v>
      </c>
      <c r="R5286" s="22"/>
      <c r="S5286" s="22" t="str">
        <f>IFERROR(__xludf.DUMMYFUNCTION("""COMPUTED_VALUE"""),"20260520_集英社_山劇")</f>
        <v>20260520_集英社_山劇</v>
      </c>
      <c r="T5286" s="22" t="str">
        <f>IFERROR(__xludf.DUMMYFUNCTION("""COMPUTED_VALUE"""),"格納済み")</f>
        <v>格納済み</v>
      </c>
      <c r="U5286" s="9" t="str">
        <f>IFERROR(__xludf.DUMMYFUNCTION("""COMPUTED_VALUE"""),"(c)峰浪りょう／集英社")</f>
        <v>(c)峰浪りょう／集英社</v>
      </c>
      <c r="V5286" s="8"/>
      <c r="W5286" s="8"/>
      <c r="X5286" s="8" t="str">
        <f>IFERROR(__xludf.DUMMYFUNCTION("""COMPUTED_VALUE"""),"有")</f>
        <v>有</v>
      </c>
      <c r="Y5286" s="8" t="str">
        <f>IFERROR(__xludf.DUMMYFUNCTION("""COMPUTED_VALUE"""),"2026/7/17まで1～2巻無料")</f>
        <v>2026/7/17まで1～2巻無料</v>
      </c>
      <c r="Z5286" s="7"/>
      <c r="AA5286" s="7"/>
      <c r="AB5286" s="7"/>
    </row>
    <row r="5287" ht="15.75" customHeight="1">
      <c r="A5287" s="26">
        <f>IFERROR(__xludf.DUMMYFUNCTION("""COMPUTED_VALUE"""),8072.0)</f>
        <v>8072</v>
      </c>
      <c r="B5287" s="22" t="str">
        <f>IFERROR(__xludf.DUMMYFUNCTION("""COMPUTED_VALUE"""),"確定")</f>
        <v>確定</v>
      </c>
      <c r="C5287" s="28">
        <f>IFERROR(__xludf.DUMMYFUNCTION("""COMPUTED_VALUE"""),46162.0)</f>
        <v>46162</v>
      </c>
      <c r="D5287" s="28">
        <f>IFERROR(__xludf.DUMMYFUNCTION("""COMPUTED_VALUE"""),46163.0)</f>
        <v>46163</v>
      </c>
      <c r="E5287" s="26">
        <f>IFERROR(__xludf.DUMMYFUNCTION("""COMPUTED_VALUE"""),363115.0)</f>
        <v>363115</v>
      </c>
      <c r="F5287" s="22" t="str">
        <f>IFERROR(__xludf.DUMMYFUNCTION("""COMPUTED_VALUE"""),"PASSION【タテヨミ】")</f>
        <v>PASSION【タテヨミ】</v>
      </c>
      <c r="G5287" s="20" t="str">
        <f>IFERROR(__xludf.DUMMYFUNCTION("""COMPUTED_VALUE"""),"1~51")</f>
        <v>1~51</v>
      </c>
      <c r="H5287" s="22" t="str">
        <f>IFERROR(__xludf.DUMMYFUNCTION("""COMPUTED_VALUE"""),"作画 Gangjak　原作 YUUJI")</f>
        <v>作画 Gangjak　原作 YUUJI</v>
      </c>
      <c r="I5287" s="22" t="str">
        <f>IFERROR(__xludf.DUMMYFUNCTION("""COMPUTED_VALUE"""),"BL")</f>
        <v>BL</v>
      </c>
      <c r="J5287" s="22"/>
      <c r="K5287" s="22"/>
      <c r="L5287" s="22" t="str">
        <f>IFERROR(__xludf.DUMMYFUNCTION("""COMPUTED_VALUE"""),"CREATEIVE HORIZON")</f>
        <v>CREATEIVE HORIZON</v>
      </c>
      <c r="M5287" s="33">
        <f>IFERROR(__xludf.DUMMYFUNCTION("""COMPUTED_VALUE"""),46197.0)</f>
        <v>46197</v>
      </c>
      <c r="N5287" s="33">
        <f>IFERROR(__xludf.DUMMYFUNCTION("""COMPUTED_VALUE"""),46288.0)</f>
        <v>46288</v>
      </c>
      <c r="O5287" s="20"/>
      <c r="P5287" s="32" t="str">
        <f>IFERROR(__xludf.DUMMYFUNCTION("""COMPUTED_VALUE"""),"可")</f>
        <v>可</v>
      </c>
      <c r="Q5287" s="30"/>
      <c r="R5287" s="22"/>
      <c r="S5287" s="22" t="str">
        <f>IFERROR(__xludf.DUMMYFUNCTION("""COMPUTED_VALUE"""),"20260520_studiomoon6_PASSION")</f>
        <v>20260520_studiomoon6_PASSION</v>
      </c>
      <c r="T5287" s="22" t="str">
        <f>IFERROR(__xludf.DUMMYFUNCTION("""COMPUTED_VALUE"""),"格納済み")</f>
        <v>格納済み</v>
      </c>
      <c r="U5287" s="9" t="str">
        <f>IFERROR(__xludf.DUMMYFUNCTION("""COMPUTED_VALUE"""),"ⓒ 2020 GangJak, YUUJI / HORIZON")</f>
        <v>ⓒ 2020 GangJak, YUUJI / HORIZON</v>
      </c>
      <c r="V5287" s="8"/>
      <c r="W5287" s="8"/>
      <c r="X5287" s="8" t="str">
        <f>IFERROR(__xludf.DUMMYFUNCTION("""COMPUTED_VALUE"""),"有")</f>
        <v>有</v>
      </c>
      <c r="Y5287" s="8" t="str">
        <f>IFERROR(__xludf.DUMMYFUNCTION("""COMPUTED_VALUE"""),"2026/9/23まで1巻～10巻まで無料")</f>
        <v>2026/9/23まで1巻～10巻まで無料</v>
      </c>
      <c r="Z5287" s="7"/>
      <c r="AA5287" s="7"/>
      <c r="AB5287" s="7"/>
    </row>
    <row r="5288" ht="15.75" customHeight="1">
      <c r="A5288" s="26">
        <f>IFERROR(__xludf.DUMMYFUNCTION("""COMPUTED_VALUE"""),8073.0)</f>
        <v>8073</v>
      </c>
      <c r="B5288" s="22" t="str">
        <f>IFERROR(__xludf.DUMMYFUNCTION("""COMPUTED_VALUE"""),"確定")</f>
        <v>確定</v>
      </c>
      <c r="C5288" s="28">
        <f>IFERROR(__xludf.DUMMYFUNCTION("""COMPUTED_VALUE"""),46162.0)</f>
        <v>46162</v>
      </c>
      <c r="D5288" s="28">
        <f>IFERROR(__xludf.DUMMYFUNCTION("""COMPUTED_VALUE"""),46163.0)</f>
        <v>46163</v>
      </c>
      <c r="E5288" s="26">
        <f>IFERROR(__xludf.DUMMYFUNCTION("""COMPUTED_VALUE"""),363118.0)</f>
        <v>363118</v>
      </c>
      <c r="F5288" s="22" t="str">
        <f>IFERROR(__xludf.DUMMYFUNCTION("""COMPUTED_VALUE"""),"反則～The Foul～【タテヨミ】")</f>
        <v>反則～The Foul～【タテヨミ】</v>
      </c>
      <c r="G5288" s="20" t="str">
        <f>IFERROR(__xludf.DUMMYFUNCTION("""COMPUTED_VALUE"""),"1~51")</f>
        <v>1~51</v>
      </c>
      <c r="H5288" s="22" t="str">
        <f>IFERROR(__xludf.DUMMYFUNCTION("""COMPUTED_VALUE"""),"作画 Aczer　原作 Chepali")</f>
        <v>作画 Aczer　原作 Chepali</v>
      </c>
      <c r="I5288" s="22" t="str">
        <f>IFERROR(__xludf.DUMMYFUNCTION("""COMPUTED_VALUE"""),"BL")</f>
        <v>BL</v>
      </c>
      <c r="J5288" s="22"/>
      <c r="K5288" s="22"/>
      <c r="L5288" s="22" t="str">
        <f>IFERROR(__xludf.DUMMYFUNCTION("""COMPUTED_VALUE"""),"CREATEIVE HORIZON")</f>
        <v>CREATEIVE HORIZON</v>
      </c>
      <c r="M5288" s="33">
        <f>IFERROR(__xludf.DUMMYFUNCTION("""COMPUTED_VALUE"""),46197.0)</f>
        <v>46197</v>
      </c>
      <c r="N5288" s="33">
        <f>IFERROR(__xludf.DUMMYFUNCTION("""COMPUTED_VALUE"""),46288.0)</f>
        <v>46288</v>
      </c>
      <c r="O5288" s="20"/>
      <c r="P5288" s="32" t="str">
        <f>IFERROR(__xludf.DUMMYFUNCTION("""COMPUTED_VALUE"""),"可")</f>
        <v>可</v>
      </c>
      <c r="Q5288" s="30"/>
      <c r="R5288" s="22"/>
      <c r="S5288" s="22" t="str">
        <f>IFERROR(__xludf.DUMMYFUNCTION("""COMPUTED_VALUE"""),"20260520_studiomoon6_反則")</f>
        <v>20260520_studiomoon6_反則</v>
      </c>
      <c r="T5288" s="22" t="str">
        <f>IFERROR(__xludf.DUMMYFUNCTION("""COMPUTED_VALUE"""),"格納済み")</f>
        <v>格納済み</v>
      </c>
      <c r="U5288" s="9" t="str">
        <f>IFERROR(__xludf.DUMMYFUNCTION("""COMPUTED_VALUE"""),"ⓒ 2021 Aczer, Chepali / HORIZON")</f>
        <v>ⓒ 2021 Aczer, Chepali / HORIZON</v>
      </c>
      <c r="V5288" s="8"/>
      <c r="W5288" s="8"/>
      <c r="X5288" s="8" t="str">
        <f>IFERROR(__xludf.DUMMYFUNCTION("""COMPUTED_VALUE"""),"有")</f>
        <v>有</v>
      </c>
      <c r="Y5288" s="8" t="str">
        <f>IFERROR(__xludf.DUMMYFUNCTION("""COMPUTED_VALUE"""),"2026/9/23まで1巻～10巻まで無料")</f>
        <v>2026/9/23まで1巻～10巻まで無料</v>
      </c>
      <c r="Z5288" s="7"/>
      <c r="AA5288" s="7"/>
      <c r="AB5288" s="7"/>
    </row>
    <row r="5289" ht="15.75" customHeight="1">
      <c r="A5289" s="26">
        <f>IFERROR(__xludf.DUMMYFUNCTION("""COMPUTED_VALUE"""),8074.0)</f>
        <v>8074</v>
      </c>
      <c r="B5289" s="22" t="str">
        <f>IFERROR(__xludf.DUMMYFUNCTION("""COMPUTED_VALUE"""),"確定")</f>
        <v>確定</v>
      </c>
      <c r="C5289" s="28">
        <f>IFERROR(__xludf.DUMMYFUNCTION("""COMPUTED_VALUE"""),46162.0)</f>
        <v>46162</v>
      </c>
      <c r="D5289" s="28">
        <f>IFERROR(__xludf.DUMMYFUNCTION("""COMPUTED_VALUE"""),46163.0)</f>
        <v>46163</v>
      </c>
      <c r="E5289" s="26">
        <f>IFERROR(__xludf.DUMMYFUNCTION("""COMPUTED_VALUE"""),363120.0)</f>
        <v>363120</v>
      </c>
      <c r="F5289" s="22" t="str">
        <f>IFERROR(__xludf.DUMMYFUNCTION("""COMPUTED_VALUE"""),"MONOCHROME RUMOR【タテヨミ】")</f>
        <v>MONOCHROME RUMOR【タテヨミ】</v>
      </c>
      <c r="G5289" s="20" t="str">
        <f>IFERROR(__xludf.DUMMYFUNCTION("""COMPUTED_VALUE"""),"1~51")</f>
        <v>1~51</v>
      </c>
      <c r="H5289" s="22" t="str">
        <f>IFERROR(__xludf.DUMMYFUNCTION("""COMPUTED_VALUE"""),"作画 momoko　原作 Chiyul")</f>
        <v>作画 momoko　原作 Chiyul</v>
      </c>
      <c r="I5289" s="22" t="str">
        <f>IFERROR(__xludf.DUMMYFUNCTION("""COMPUTED_VALUE"""),"BL")</f>
        <v>BL</v>
      </c>
      <c r="J5289" s="22"/>
      <c r="K5289" s="22"/>
      <c r="L5289" s="22" t="str">
        <f>IFERROR(__xludf.DUMMYFUNCTION("""COMPUTED_VALUE"""),"CREATEIVE HORIZON")</f>
        <v>CREATEIVE HORIZON</v>
      </c>
      <c r="M5289" s="33">
        <f>IFERROR(__xludf.DUMMYFUNCTION("""COMPUTED_VALUE"""),46197.0)</f>
        <v>46197</v>
      </c>
      <c r="N5289" s="33">
        <f>IFERROR(__xludf.DUMMYFUNCTION("""COMPUTED_VALUE"""),46288.0)</f>
        <v>46288</v>
      </c>
      <c r="O5289" s="20"/>
      <c r="P5289" s="32" t="str">
        <f>IFERROR(__xludf.DUMMYFUNCTION("""COMPUTED_VALUE"""),"可")</f>
        <v>可</v>
      </c>
      <c r="Q5289" s="30"/>
      <c r="R5289" s="22"/>
      <c r="S5289" s="22" t="str">
        <f>IFERROR(__xludf.DUMMYFUNCTION("""COMPUTED_VALUE"""),"20260520_studiomoon6_MONOCHROME RUMOR")</f>
        <v>20260520_studiomoon6_MONOCHROME RUMOR</v>
      </c>
      <c r="T5289" s="22" t="str">
        <f>IFERROR(__xludf.DUMMYFUNCTION("""COMPUTED_VALUE"""),"格納済み")</f>
        <v>格納済み</v>
      </c>
      <c r="U5289" s="9" t="str">
        <f>IFERROR(__xludf.DUMMYFUNCTION("""COMPUTED_VALUE"""),"ⓒ 2021 momoko, Chiyul / HORIZON")</f>
        <v>ⓒ 2021 momoko, Chiyul / HORIZON</v>
      </c>
      <c r="V5289" s="8"/>
      <c r="W5289" s="8"/>
      <c r="X5289" s="8" t="str">
        <f>IFERROR(__xludf.DUMMYFUNCTION("""COMPUTED_VALUE"""),"有")</f>
        <v>有</v>
      </c>
      <c r="Y5289" s="8" t="str">
        <f>IFERROR(__xludf.DUMMYFUNCTION("""COMPUTED_VALUE"""),"2026/9/23まで1巻～10巻まで無料")</f>
        <v>2026/9/23まで1巻～10巻まで無料</v>
      </c>
      <c r="Z5289" s="7"/>
      <c r="AA5289" s="7"/>
      <c r="AB5289" s="7"/>
    </row>
    <row r="5290" ht="15.75" customHeight="1">
      <c r="A5290" s="26">
        <f>IFERROR(__xludf.DUMMYFUNCTION("""COMPUTED_VALUE"""),8075.0)</f>
        <v>8075</v>
      </c>
      <c r="B5290" s="22" t="str">
        <f>IFERROR(__xludf.DUMMYFUNCTION("""COMPUTED_VALUE"""),"確定")</f>
        <v>確定</v>
      </c>
      <c r="C5290" s="28">
        <f>IFERROR(__xludf.DUMMYFUNCTION("""COMPUTED_VALUE"""),46163.0)</f>
        <v>46163</v>
      </c>
      <c r="D5290" s="28">
        <f>IFERROR(__xludf.DUMMYFUNCTION("""COMPUTED_VALUE"""),46167.0)</f>
        <v>46167</v>
      </c>
      <c r="E5290" s="26">
        <f>IFERROR(__xludf.DUMMYFUNCTION("""COMPUTED_VALUE"""),362100.0)</f>
        <v>362100</v>
      </c>
      <c r="F5290" s="22" t="str">
        <f>IFERROR(__xludf.DUMMYFUNCTION("""COMPUTED_VALUE"""),"婚約が嫌すぎて「条件は一国一城の主」と冗談をいったら、初恋の幼なじみ皇帝陛下に溺愛求婚されてしまいました（分冊版）")</f>
        <v>婚約が嫌すぎて「条件は一国一城の主」と冗談をいったら、初恋の幼なじみ皇帝陛下に溺愛求婚されてしまいました（分冊版）</v>
      </c>
      <c r="G5290" s="20" t="str">
        <f>IFERROR(__xludf.DUMMYFUNCTION("""COMPUTED_VALUE"""),"1～3")</f>
        <v>1～3</v>
      </c>
      <c r="H5290" s="22" t="str">
        <f>IFERROR(__xludf.DUMMYFUNCTION("""COMPUTED_VALUE"""),"稔里昴・冬月光輝")</f>
        <v>稔里昴・冬月光輝</v>
      </c>
      <c r="I5290" s="22" t="str">
        <f>IFERROR(__xludf.DUMMYFUNCTION("""COMPUTED_VALUE"""),"少女")</f>
        <v>少女</v>
      </c>
      <c r="J5290" s="22"/>
      <c r="K5290" s="22" t="str">
        <f>IFERROR(__xludf.DUMMYFUNCTION("""COMPUTED_VALUE"""),"PRIMO")</f>
        <v>PRIMO</v>
      </c>
      <c r="L5290" s="22" t="str">
        <f>IFERROR(__xludf.DUMMYFUNCTION("""COMPUTED_VALUE"""),"ぶんか社")</f>
        <v>ぶんか社</v>
      </c>
      <c r="M5290" s="33">
        <f>IFERROR(__xludf.DUMMYFUNCTION("""COMPUTED_VALUE"""),46191.0)</f>
        <v>46191</v>
      </c>
      <c r="N5290" s="33">
        <f>IFERROR(__xludf.DUMMYFUNCTION("""COMPUTED_VALUE"""),46281.0)</f>
        <v>46281</v>
      </c>
      <c r="O5290" s="20"/>
      <c r="P5290" s="32" t="str">
        <f>IFERROR(__xludf.DUMMYFUNCTION("""COMPUTED_VALUE"""),"可")</f>
        <v>可</v>
      </c>
      <c r="Q5290" s="30"/>
      <c r="R5290" s="22"/>
      <c r="S5290" s="22" t="str">
        <f>IFERROR(__xludf.DUMMYFUNCTION("""COMPUTED_VALUE"""),"20260521_ぶんか社_婚約が嫌すぎて「条件は一国一城の主」と冗談をいったら、初恋の幼なじみ皇帝陛下に溺愛求婚されてしまいました")</f>
        <v>20260521_ぶんか社_婚約が嫌すぎて「条件は一国一城の主」と冗談をいったら、初恋の幼なじみ皇帝陛下に溺愛求婚されてしまいました</v>
      </c>
      <c r="T5290" s="22" t="str">
        <f>IFERROR(__xludf.DUMMYFUNCTION("""COMPUTED_VALUE"""),"格納済み")</f>
        <v>格納済み</v>
      </c>
      <c r="U5290" s="9" t="str">
        <f>IFERROR(__xludf.DUMMYFUNCTION("""COMPUTED_VALUE"""),"Ⓒ稔里昴・冬月光輝/ぶんか社")</f>
        <v>Ⓒ稔里昴・冬月光輝/ぶんか社</v>
      </c>
      <c r="V5290" s="8"/>
      <c r="W5290" s="8"/>
      <c r="X5290" s="8" t="str">
        <f>IFERROR(__xludf.DUMMYFUNCTION("""COMPUTED_VALUE"""),"有")</f>
        <v>有</v>
      </c>
      <c r="Y5290" s="8" t="str">
        <f>IFERROR(__xludf.DUMMYFUNCTION("""COMPUTED_VALUE"""),"2026/9/16まで1巻無料")</f>
        <v>2026/9/16まで1巻無料</v>
      </c>
      <c r="Z5290" s="7"/>
      <c r="AA5290" s="7"/>
      <c r="AB5290" s="7"/>
    </row>
    <row r="5291" ht="15.75" customHeight="1">
      <c r="A5291" s="26">
        <f>IFERROR(__xludf.DUMMYFUNCTION("""COMPUTED_VALUE"""),8076.0)</f>
        <v>8076</v>
      </c>
      <c r="B5291" s="22" t="str">
        <f>IFERROR(__xludf.DUMMYFUNCTION("""COMPUTED_VALUE"""),"確定")</f>
        <v>確定</v>
      </c>
      <c r="C5291" s="28">
        <f>IFERROR(__xludf.DUMMYFUNCTION("""COMPUTED_VALUE"""),46163.0)</f>
        <v>46163</v>
      </c>
      <c r="D5291" s="28">
        <f>IFERROR(__xludf.DUMMYFUNCTION("""COMPUTED_VALUE"""),46168.0)</f>
        <v>46168</v>
      </c>
      <c r="E5291" s="26">
        <f>IFERROR(__xludf.DUMMYFUNCTION("""COMPUTED_VALUE"""),364522.0)</f>
        <v>364522</v>
      </c>
      <c r="F5291" s="22" t="str">
        <f>IFERROR(__xludf.DUMMYFUNCTION("""COMPUTED_VALUE"""),"【フルカラー】PROFUNDIS：プロフンディス")</f>
        <v>【フルカラー】PROFUNDIS：プロフンディス</v>
      </c>
      <c r="G5291" s="20" t="str">
        <f>IFERROR(__xludf.DUMMYFUNCTION("""COMPUTED_VALUE"""),"1～3")</f>
        <v>1～3</v>
      </c>
      <c r="H5291" s="22" t="str">
        <f>IFERROR(__xludf.DUMMYFUNCTION("""COMPUTED_VALUE"""),"Eise Jaeyoung Morphish")</f>
        <v>Eise Jaeyoung Morphish</v>
      </c>
      <c r="I5291" s="22" t="str">
        <f>IFERROR(__xludf.DUMMYFUNCTION("""COMPUTED_VALUE"""),"BL")</f>
        <v>BL</v>
      </c>
      <c r="J5291" s="22"/>
      <c r="K5291" s="22"/>
      <c r="L5291" s="22" t="str">
        <f>IFERROR(__xludf.DUMMYFUNCTION("""COMPUTED_VALUE"""),"レジンエンターテインメント")</f>
        <v>レジンエンターテインメント</v>
      </c>
      <c r="M5291" s="33">
        <f>IFERROR(__xludf.DUMMYFUNCTION("""COMPUTED_VALUE"""),46199.0)</f>
        <v>46199</v>
      </c>
      <c r="N5291" s="33">
        <f>IFERROR(__xludf.DUMMYFUNCTION("""COMPUTED_VALUE"""),46291.0)</f>
        <v>46291</v>
      </c>
      <c r="O5291" s="20"/>
      <c r="P5291" s="32" t="str">
        <f>IFERROR(__xludf.DUMMYFUNCTION("""COMPUTED_VALUE"""),"可")</f>
        <v>可</v>
      </c>
      <c r="Q5291" s="30"/>
      <c r="R5291" s="22"/>
      <c r="S5291" s="22" t="str">
        <f>IFERROR(__xludf.DUMMYFUNCTION("""COMPUTED_VALUE"""),"20260521_レジンエンターテインメント_PROFUNDIS：プロフンディス【フルカラー】")</f>
        <v>20260521_レジンエンターテインメント_PROFUNDIS：プロフンディス【フルカラー】</v>
      </c>
      <c r="T5291" s="22" t="str">
        <f>IFERROR(__xludf.DUMMYFUNCTION("""COMPUTED_VALUE"""),"格納済み")</f>
        <v>格納済み</v>
      </c>
      <c r="U5291" s="9" t="str">
        <f>IFERROR(__xludf.DUMMYFUNCTION("""COMPUTED_VALUE"""),"© Eise / Jaeyoung / Morphish / レジンエンターテインメント")</f>
        <v>© Eise / Jaeyoung / Morphish / レジンエンターテインメント</v>
      </c>
      <c r="V5291" s="8"/>
      <c r="W5291" s="8"/>
      <c r="X5291" s="8" t="str">
        <f>IFERROR(__xludf.DUMMYFUNCTION("""COMPUTED_VALUE"""),"有")</f>
        <v>有</v>
      </c>
      <c r="Y5291" s="8" t="str">
        <f>IFERROR(__xludf.DUMMYFUNCTION("""COMPUTED_VALUE"""),"2026/7/12まで1巻無料")</f>
        <v>2026/7/12まで1巻無料</v>
      </c>
      <c r="Z5291" s="7"/>
      <c r="AA5291" s="7"/>
      <c r="AB5291" s="7"/>
    </row>
    <row r="5292" ht="15.75" customHeight="1">
      <c r="A5292" s="26">
        <f>IFERROR(__xludf.DUMMYFUNCTION("""COMPUTED_VALUE"""),8077.0)</f>
        <v>8077</v>
      </c>
      <c r="B5292" s="22" t="str">
        <f>IFERROR(__xludf.DUMMYFUNCTION("""COMPUTED_VALUE"""),"確定")</f>
        <v>確定</v>
      </c>
      <c r="C5292" s="28">
        <f>IFERROR(__xludf.DUMMYFUNCTION("""COMPUTED_VALUE"""),46163.0)</f>
        <v>46163</v>
      </c>
      <c r="D5292" s="28">
        <f>IFERROR(__xludf.DUMMYFUNCTION("""COMPUTED_VALUE"""),46168.0)</f>
        <v>46168</v>
      </c>
      <c r="E5292" s="26"/>
      <c r="F5292" s="22" t="str">
        <f>IFERROR(__xludf.DUMMYFUNCTION("""COMPUTED_VALUE"""),"Despair～君への愛を抑えきれなくて～【タテヨミ】")</f>
        <v>Despair～君への愛を抑えきれなくて～【タテヨミ】</v>
      </c>
      <c r="G5292" s="20" t="str">
        <f>IFERROR(__xludf.DUMMYFUNCTION("""COMPUTED_VALUE"""),"1~29")</f>
        <v>1~29</v>
      </c>
      <c r="H5292" s="22" t="str">
        <f>IFERROR(__xludf.DUMMYFUNCTION("""COMPUTED_VALUE"""),"NUMU")</f>
        <v>NUMU</v>
      </c>
      <c r="I5292" s="22" t="str">
        <f>IFERROR(__xludf.DUMMYFUNCTION("""COMPUTED_VALUE"""),"BL")</f>
        <v>BL</v>
      </c>
      <c r="J5292" s="22"/>
      <c r="K5292" s="22"/>
      <c r="L5292" s="22" t="str">
        <f>IFERROR(__xludf.DUMMYFUNCTION("""COMPUTED_VALUE"""),"レジンコミックス")</f>
        <v>レジンコミックス</v>
      </c>
      <c r="M5292" s="33">
        <f>IFERROR(__xludf.DUMMYFUNCTION("""COMPUTED_VALUE"""),46248.0)</f>
        <v>46248</v>
      </c>
      <c r="N5292" s="33">
        <f>IFERROR(__xludf.DUMMYFUNCTION("""COMPUTED_VALUE"""),46340.0)</f>
        <v>46340</v>
      </c>
      <c r="O5292" s="20" t="str">
        <f>IFERROR(__xludf.DUMMYFUNCTION("""COMPUTED_VALUE"""),"【アダルト作品扱い】")</f>
        <v>【アダルト作品扱い】</v>
      </c>
      <c r="P5292" s="32" t="str">
        <f>IFERROR(__xludf.DUMMYFUNCTION("""COMPUTED_VALUE"""),"可")</f>
        <v>可</v>
      </c>
      <c r="Q5292" s="30"/>
      <c r="R5292" s="22"/>
      <c r="S5292" s="22" t="str">
        <f>IFERROR(__xludf.DUMMYFUNCTION("""COMPUTED_VALUE"""),"20260521_レジンエンターテインメント_Despair～君への愛を抑えきれなくて～【タテヨミ】")</f>
        <v>20260521_レジンエンターテインメント_Despair～君への愛を抑えきれなくて～【タテヨミ】</v>
      </c>
      <c r="T5292" s="22" t="str">
        <f>IFERROR(__xludf.DUMMYFUNCTION("""COMPUTED_VALUE"""),"格納済み")</f>
        <v>格納済み</v>
      </c>
      <c r="U5292" s="9" t="str">
        <f>IFERROR(__xludf.DUMMYFUNCTION("""COMPUTED_VALUE"""),"Ⓒ  NUMU / レジンコミックス")</f>
        <v>Ⓒ  NUMU / レジンコミックス</v>
      </c>
      <c r="V5292" s="8"/>
      <c r="W5292" s="8"/>
      <c r="X5292" s="8"/>
      <c r="Y5292" s="8"/>
      <c r="Z5292" s="7"/>
      <c r="AA5292" s="7"/>
      <c r="AB5292" s="7"/>
    </row>
    <row r="5293" ht="15.75" customHeight="1">
      <c r="A5293" s="26">
        <f>IFERROR(__xludf.DUMMYFUNCTION("""COMPUTED_VALUE"""),8079.0)</f>
        <v>8079</v>
      </c>
      <c r="B5293" s="22" t="str">
        <f>IFERROR(__xludf.DUMMYFUNCTION("""COMPUTED_VALUE"""),"確定")</f>
        <v>確定</v>
      </c>
      <c r="C5293" s="28">
        <f>IFERROR(__xludf.DUMMYFUNCTION("""COMPUTED_VALUE"""),46163.0)</f>
        <v>46163</v>
      </c>
      <c r="D5293" s="28">
        <f>IFERROR(__xludf.DUMMYFUNCTION("""COMPUTED_VALUE"""),46167.0)</f>
        <v>46167</v>
      </c>
      <c r="E5293" s="26">
        <f>IFERROR(__xludf.DUMMYFUNCTION("""COMPUTED_VALUE"""),363546.0)</f>
        <v>363546</v>
      </c>
      <c r="F5293" s="22" t="str">
        <f>IFERROR(__xludf.DUMMYFUNCTION("""COMPUTED_VALUE"""),"ワンナイトで終わらせない～幼馴染と再会して恋人になる話～")</f>
        <v>ワンナイトで終わらせない～幼馴染と再会して恋人になる話～</v>
      </c>
      <c r="G5293" s="20" t="str">
        <f>IFERROR(__xludf.DUMMYFUNCTION("""COMPUTED_VALUE"""),"1～2")</f>
        <v>1～2</v>
      </c>
      <c r="H5293" s="22" t="str">
        <f>IFERROR(__xludf.DUMMYFUNCTION("""COMPUTED_VALUE"""),"灯凪つゆ")</f>
        <v>灯凪つゆ</v>
      </c>
      <c r="I5293" s="22" t="str">
        <f>IFERROR(__xludf.DUMMYFUNCTION("""COMPUTED_VALUE"""),"アダルト")</f>
        <v>アダルト</v>
      </c>
      <c r="J5293" s="22"/>
      <c r="K5293" s="22"/>
      <c r="L5293" s="22" t="str">
        <f>IFERROR(__xludf.DUMMYFUNCTION("""COMPUTED_VALUE"""),"セ・キララ文庫")</f>
        <v>セ・キララ文庫</v>
      </c>
      <c r="M5293" s="33">
        <f>IFERROR(__xludf.DUMMYFUNCTION("""COMPUTED_VALUE"""),46220.0)</f>
        <v>46220</v>
      </c>
      <c r="N5293" s="33">
        <f>IFERROR(__xludf.DUMMYFUNCTION("""COMPUTED_VALUE"""),46289.0)</f>
        <v>46289</v>
      </c>
      <c r="O5293" s="20"/>
      <c r="P5293" s="32" t="str">
        <f>IFERROR(__xludf.DUMMYFUNCTION("""COMPUTED_VALUE"""),"可")</f>
        <v>可</v>
      </c>
      <c r="Q5293" s="30"/>
      <c r="R5293" s="22"/>
      <c r="S5293" s="22" t="str">
        <f>IFERROR(__xludf.DUMMYFUNCTION("""COMPUTED_VALUE"""),"20260520_ライドオン_ワンナイトで終わらせない～幼馴染と再会して恋人になる話～")</f>
        <v>20260520_ライドオン_ワンナイトで終わらせない～幼馴染と再会して恋人になる話～</v>
      </c>
      <c r="T5293" s="22" t="str">
        <f>IFERROR(__xludf.DUMMYFUNCTION("""COMPUTED_VALUE"""),"格納済み")</f>
        <v>格納済み</v>
      </c>
      <c r="U5293" s="9" t="str">
        <f>IFERROR(__xludf.DUMMYFUNCTION("""COMPUTED_VALUE"""),"Ⓒ灯凪つゆ/セ・キララ文庫")</f>
        <v>Ⓒ灯凪つゆ/セ・キララ文庫</v>
      </c>
      <c r="V5293" s="8"/>
      <c r="W5293" s="8"/>
      <c r="X5293" s="8" t="str">
        <f>IFERROR(__xludf.DUMMYFUNCTION("""COMPUTED_VALUE"""),"有")</f>
        <v>有</v>
      </c>
      <c r="Y5293" s="8" t="str">
        <f>IFERROR(__xludf.DUMMYFUNCTION("""COMPUTED_VALUE"""),"2026/9/24まで1巻p13まで立ち読み増量")</f>
        <v>2026/9/24まで1巻p13まで立ち読み増量</v>
      </c>
      <c r="Z5293" s="7"/>
      <c r="AA5293" s="7"/>
      <c r="AB5293" s="7"/>
    </row>
    <row r="5294" ht="15.75" customHeight="1">
      <c r="A5294" s="26">
        <f>IFERROR(__xludf.DUMMYFUNCTION("""COMPUTED_VALUE"""),8080.0)</f>
        <v>8080</v>
      </c>
      <c r="B5294" s="22" t="str">
        <f>IFERROR(__xludf.DUMMYFUNCTION("""COMPUTED_VALUE"""),"確定")</f>
        <v>確定</v>
      </c>
      <c r="C5294" s="28">
        <f>IFERROR(__xludf.DUMMYFUNCTION("""COMPUTED_VALUE"""),46163.0)</f>
        <v>46163</v>
      </c>
      <c r="D5294" s="28">
        <f>IFERROR(__xludf.DUMMYFUNCTION("""COMPUTED_VALUE"""),46167.0)</f>
        <v>46167</v>
      </c>
      <c r="E5294" s="26">
        <f>IFERROR(__xludf.DUMMYFUNCTION("""COMPUTED_VALUE"""),366825.0)</f>
        <v>366825</v>
      </c>
      <c r="F5294" s="22" t="str">
        <f>IFERROR(__xludf.DUMMYFUNCTION("""COMPUTED_VALUE"""),"マイトナー侯爵の葬儀～未亡人の甘美な策略～【短編】【タテヨミ】")</f>
        <v>マイトナー侯爵の葬儀～未亡人の甘美な策略～【短編】【タテヨミ】</v>
      </c>
      <c r="G5294" s="20" t="str">
        <f>IFERROR(__xludf.DUMMYFUNCTION("""COMPUTED_VALUE"""),"1～12")</f>
        <v>1～12</v>
      </c>
      <c r="H5294" s="22" t="str">
        <f>IFERROR(__xludf.DUMMYFUNCTION("""COMPUTED_VALUE"""),"Reeva")</f>
        <v>Reeva</v>
      </c>
      <c r="I5294" s="22" t="str">
        <f>IFERROR(__xludf.DUMMYFUNCTION("""COMPUTED_VALUE"""),"TL")</f>
        <v>TL</v>
      </c>
      <c r="J5294" s="22"/>
      <c r="K5294" s="22"/>
      <c r="L5294" s="22" t="str">
        <f>IFERROR(__xludf.DUMMYFUNCTION("""COMPUTED_VALUE"""),"レジンエンターテインメント")</f>
        <v>レジンエンターテインメント</v>
      </c>
      <c r="M5294" s="33">
        <f>IFERROR(__xludf.DUMMYFUNCTION("""COMPUTED_VALUE"""),46211.0)</f>
        <v>46211</v>
      </c>
      <c r="N5294" s="33">
        <f>IFERROR(__xludf.DUMMYFUNCTION("""COMPUTED_VALUE"""),46303.0)</f>
        <v>46303</v>
      </c>
      <c r="O5294" s="20" t="str">
        <f>IFERROR(__xludf.DUMMYFUNCTION("""COMPUTED_VALUE"""),"【アダルト作品扱い】")</f>
        <v>【アダルト作品扱い】</v>
      </c>
      <c r="P5294" s="32" t="str">
        <f>IFERROR(__xludf.DUMMYFUNCTION("""COMPUTED_VALUE"""),"可")</f>
        <v>可</v>
      </c>
      <c r="Q5294" s="30"/>
      <c r="R5294" s="22"/>
      <c r="S5294" s="22" t="str">
        <f>IFERROR(__xludf.DUMMYFUNCTION("""COMPUTED_VALUE"""),"20260521_レジンコミックス_マイトナー侯爵の葬儀～未亡人の甘美な策略～【タテヨミ】")</f>
        <v>20260521_レジンコミックス_マイトナー侯爵の葬儀～未亡人の甘美な策略～【タテヨミ】</v>
      </c>
      <c r="T5294" s="22" t="str">
        <f>IFERROR(__xludf.DUMMYFUNCTION("""COMPUTED_VALUE"""),"格納済み")</f>
        <v>格納済み</v>
      </c>
      <c r="U5294" s="9" t="str">
        <f>IFERROR(__xludf.DUMMYFUNCTION("""COMPUTED_VALUE"""),"Ⓒ Reeva / レジンエンターテインメント")</f>
        <v>Ⓒ Reeva / レジンエンターテインメント</v>
      </c>
      <c r="V5294" s="8"/>
      <c r="W5294" s="8"/>
      <c r="X5294" s="8" t="str">
        <f>IFERROR(__xludf.DUMMYFUNCTION("""COMPUTED_VALUE"""),"有")</f>
        <v>有</v>
      </c>
      <c r="Y5294" s="8" t="str">
        <f>IFERROR(__xludf.DUMMYFUNCTION("""COMPUTED_VALUE"""),"1巻永久無料
2～3巻2026/8/31まで無料")</f>
        <v>1巻永久無料
2～3巻2026/8/31まで無料</v>
      </c>
      <c r="Z5294" s="7"/>
      <c r="AA5294" s="7"/>
      <c r="AB5294" s="7"/>
    </row>
    <row r="5295" ht="15.75" customHeight="1">
      <c r="A5295" s="26">
        <f>IFERROR(__xludf.DUMMYFUNCTION("""COMPUTED_VALUE"""),8087.0)</f>
        <v>8087</v>
      </c>
      <c r="B5295" s="22" t="str">
        <f>IFERROR(__xludf.DUMMYFUNCTION("""COMPUTED_VALUE"""),"確定")</f>
        <v>確定</v>
      </c>
      <c r="C5295" s="28">
        <f>IFERROR(__xludf.DUMMYFUNCTION("""COMPUTED_VALUE"""),46163.0)</f>
        <v>46163</v>
      </c>
      <c r="D5295" s="28">
        <f>IFERROR(__xludf.DUMMYFUNCTION("""COMPUTED_VALUE"""),46167.0)</f>
        <v>46167</v>
      </c>
      <c r="E5295" s="26">
        <f>IFERROR(__xludf.DUMMYFUNCTION("""COMPUTED_VALUE"""),364976.0)</f>
        <v>364976</v>
      </c>
      <c r="F5295" s="22" t="str">
        <f>IFERROR(__xludf.DUMMYFUNCTION("""COMPUTED_VALUE"""),"迷惑な敵と怪しい迷宮に閉じ込められた件【タテヨミ】")</f>
        <v>迷惑な敵と怪しい迷宮に閉じ込められた件【タテヨミ】</v>
      </c>
      <c r="G5295" s="20" t="str">
        <f>IFERROR(__xludf.DUMMYFUNCTION("""COMPUTED_VALUE"""),"1~14")</f>
        <v>1~14</v>
      </c>
      <c r="H5295" s="22" t="str">
        <f>IFERROR(__xludf.DUMMYFUNCTION("""COMPUTED_VALUE"""),"CHEONG JERE haeonnii")</f>
        <v>CHEONG JERE haeonnii</v>
      </c>
      <c r="I5295" s="22" t="str">
        <f>IFERROR(__xludf.DUMMYFUNCTION("""COMPUTED_VALUE"""),"TL")</f>
        <v>TL</v>
      </c>
      <c r="J5295" s="22"/>
      <c r="K5295" s="22"/>
      <c r="L5295" s="22" t="str">
        <f>IFERROR(__xludf.DUMMYFUNCTION("""COMPUTED_VALUE"""),"レジンエンターテインメント")</f>
        <v>レジンエンターテインメント</v>
      </c>
      <c r="M5295" s="33">
        <f>IFERROR(__xludf.DUMMYFUNCTION("""COMPUTED_VALUE"""),46220.0)</f>
        <v>46220</v>
      </c>
      <c r="N5295" s="33">
        <f>IFERROR(__xludf.DUMMYFUNCTION("""COMPUTED_VALUE"""),46312.0)</f>
        <v>46312</v>
      </c>
      <c r="O5295" s="20" t="str">
        <f>IFERROR(__xludf.DUMMYFUNCTION("""COMPUTED_VALUE"""),"【アダルト作品扱い】")</f>
        <v>【アダルト作品扱い】</v>
      </c>
      <c r="P5295" s="32" t="str">
        <f>IFERROR(__xludf.DUMMYFUNCTION("""COMPUTED_VALUE"""),"可")</f>
        <v>可</v>
      </c>
      <c r="Q5295" s="30"/>
      <c r="R5295" s="22"/>
      <c r="S5295" s="22" t="str">
        <f>IFERROR(__xludf.DUMMYFUNCTION("""COMPUTED_VALUE"""),"20260521_レジンコミックス_迷惑な敵と怪しい迷宮に閉じ込められた件【タテヨミ】")</f>
        <v>20260521_レジンコミックス_迷惑な敵と怪しい迷宮に閉じ込められた件【タテヨミ】</v>
      </c>
      <c r="T5295" s="22" t="str">
        <f>IFERROR(__xludf.DUMMYFUNCTION("""COMPUTED_VALUE"""),"格納済み")</f>
        <v>格納済み</v>
      </c>
      <c r="U5295" s="9" t="str">
        <f>IFERROR(__xludf.DUMMYFUNCTION("""COMPUTED_VALUE"""),"Ⓒ  原案:CHEONG JERE / 作画:haeonnii / レジンエンターテインメント")</f>
        <v>Ⓒ  原案:CHEONG JERE / 作画:haeonnii / レジンエンターテインメント</v>
      </c>
      <c r="V5295" s="8"/>
      <c r="W5295" s="8"/>
      <c r="X5295" s="8" t="str">
        <f>IFERROR(__xludf.DUMMYFUNCTION("""COMPUTED_VALUE"""),"有")</f>
        <v>有</v>
      </c>
      <c r="Y5295" s="8" t="str">
        <f>IFERROR(__xludf.DUMMYFUNCTION("""COMPUTED_VALUE"""),"1巻永久無料
2026/7/31まで2～4巻無料")</f>
        <v>1巻永久無料
2026/7/31まで2～4巻無料</v>
      </c>
      <c r="Z5295" s="7"/>
      <c r="AA5295" s="7"/>
      <c r="AB5295" s="7"/>
    </row>
    <row r="5296" ht="15.75" customHeight="1">
      <c r="A5296" s="26">
        <f>IFERROR(__xludf.DUMMYFUNCTION("""COMPUTED_VALUE"""),8088.0)</f>
        <v>8088</v>
      </c>
      <c r="B5296" s="22" t="str">
        <f>IFERROR(__xludf.DUMMYFUNCTION("""COMPUTED_VALUE"""),"確定")</f>
        <v>確定</v>
      </c>
      <c r="C5296" s="28">
        <f>IFERROR(__xludf.DUMMYFUNCTION("""COMPUTED_VALUE"""),46167.0)</f>
        <v>46167</v>
      </c>
      <c r="D5296" s="28">
        <f>IFERROR(__xludf.DUMMYFUNCTION("""COMPUTED_VALUE"""),46169.0)</f>
        <v>46169</v>
      </c>
      <c r="E5296" s="26">
        <f>IFERROR(__xludf.DUMMYFUNCTION("""COMPUTED_VALUE"""),363677.0)</f>
        <v>363677</v>
      </c>
      <c r="F5296" s="22" t="str">
        <f>IFERROR(__xludf.DUMMYFUNCTION("""COMPUTED_VALUE"""),"【分冊版】恋は深夜のコインランドリーから")</f>
        <v>【分冊版】恋は深夜のコインランドリーから</v>
      </c>
      <c r="G5296" s="20" t="str">
        <f>IFERROR(__xludf.DUMMYFUNCTION("""COMPUTED_VALUE"""),"1～3")</f>
        <v>1～3</v>
      </c>
      <c r="H5296" s="22" t="str">
        <f>IFERROR(__xludf.DUMMYFUNCTION("""COMPUTED_VALUE"""),"マエダ アオイ")</f>
        <v>マエダ アオイ</v>
      </c>
      <c r="I5296" s="22" t="str">
        <f>IFERROR(__xludf.DUMMYFUNCTION("""COMPUTED_VALUE"""),"女性")</f>
        <v>女性</v>
      </c>
      <c r="J5296" s="22"/>
      <c r="K5296" s="22"/>
      <c r="L5296" s="22" t="str">
        <f>IFERROR(__xludf.DUMMYFUNCTION("""COMPUTED_VALUE"""),"Seasons")</f>
        <v>Seasons</v>
      </c>
      <c r="M5296" s="33">
        <f>IFERROR(__xludf.DUMMYFUNCTION("""COMPUTED_VALUE"""),46225.0)</f>
        <v>46225</v>
      </c>
      <c r="N5296" s="33">
        <f>IFERROR(__xludf.DUMMYFUNCTION("""COMPUTED_VALUE"""),46323.0)</f>
        <v>46323</v>
      </c>
      <c r="O5296" s="20"/>
      <c r="P5296" s="32" t="str">
        <f>IFERROR(__xludf.DUMMYFUNCTION("""COMPUTED_VALUE"""),"可")</f>
        <v>可</v>
      </c>
      <c r="Q5296" s="30"/>
      <c r="R5296" s="22"/>
      <c r="S5296" s="22" t="str">
        <f>IFERROR(__xludf.DUMMYFUNCTION("""COMPUTED_VALUE"""),"20260522_Seasons_恋は深夜のコインランドリーから")</f>
        <v>20260522_Seasons_恋は深夜のコインランドリーから</v>
      </c>
      <c r="T5296" s="22" t="str">
        <f>IFERROR(__xludf.DUMMYFUNCTION("""COMPUTED_VALUE"""),"格納済み")</f>
        <v>格納済み</v>
      </c>
      <c r="U5296" s="9" t="str">
        <f>IFERROR(__xludf.DUMMYFUNCTION("""COMPUTED_VALUE"""),"(C)マエダアオイ／文藝春秋")</f>
        <v>(C)マエダアオイ／文藝春秋</v>
      </c>
      <c r="V5296" s="8"/>
      <c r="W5296" s="8"/>
      <c r="X5296" s="8" t="str">
        <f>IFERROR(__xludf.DUMMYFUNCTION("""COMPUTED_VALUE"""),"有")</f>
        <v>有</v>
      </c>
      <c r="Y5296" s="8" t="str">
        <f>IFERROR(__xludf.DUMMYFUNCTION("""COMPUTED_VALUE"""),"026/8/4まで1巻無料")</f>
        <v>026/8/4まで1巻無料</v>
      </c>
      <c r="Z5296" s="7"/>
      <c r="AA5296" s="7"/>
      <c r="AB5296" s="7"/>
    </row>
    <row r="5297" ht="15.75" customHeight="1">
      <c r="A5297" s="26">
        <f>IFERROR(__xludf.DUMMYFUNCTION("""COMPUTED_VALUE"""),8090.0)</f>
        <v>8090</v>
      </c>
      <c r="B5297" s="22" t="str">
        <f>IFERROR(__xludf.DUMMYFUNCTION("""COMPUTED_VALUE"""),"確定")</f>
        <v>確定</v>
      </c>
      <c r="C5297" s="28">
        <f>IFERROR(__xludf.DUMMYFUNCTION("""COMPUTED_VALUE"""),46167.0)</f>
        <v>46167</v>
      </c>
      <c r="D5297" s="28">
        <f>IFERROR(__xludf.DUMMYFUNCTION("""COMPUTED_VALUE"""),46169.0)</f>
        <v>46169</v>
      </c>
      <c r="E5297" s="26">
        <f>IFERROR(__xludf.DUMMYFUNCTION("""COMPUTED_VALUE"""),363986.0)</f>
        <v>363986</v>
      </c>
      <c r="F5297" s="22" t="str">
        <f>IFERROR(__xludf.DUMMYFUNCTION("""COMPUTED_VALUE"""),"探索者イリアスは人見知り 最強ぼっち少年は、最恐の仮面で今日もひとりを貫きたい 連載版")</f>
        <v>探索者イリアスは人見知り 最強ぼっち少年は、最恐の仮面で今日もひとりを貫きたい 連載版</v>
      </c>
      <c r="G5297" s="20" t="str">
        <f>IFERROR(__xludf.DUMMYFUNCTION("""COMPUTED_VALUE"""),"1~4")</f>
        <v>1~4</v>
      </c>
      <c r="H5297" s="22" t="str">
        <f>IFERROR(__xludf.DUMMYFUNCTION("""COMPUTED_VALUE"""),"漫画：酢忍｜原作：差六｜キャラクター原案：桶乃かもく")</f>
        <v>漫画：酢忍｜原作：差六｜キャラクター原案：桶乃かもく</v>
      </c>
      <c r="I5297" s="22" t="str">
        <f>IFERROR(__xludf.DUMMYFUNCTION("""COMPUTED_VALUE"""),"青年")</f>
        <v>青年</v>
      </c>
      <c r="J5297" s="22"/>
      <c r="K5297" s="22"/>
      <c r="L5297" s="22" t="str">
        <f>IFERROR(__xludf.DUMMYFUNCTION("""COMPUTED_VALUE"""),"ブシロードワークス")</f>
        <v>ブシロードワークス</v>
      </c>
      <c r="M5297" s="33">
        <f>IFERROR(__xludf.DUMMYFUNCTION("""COMPUTED_VALUE"""),46193.0)</f>
        <v>46193</v>
      </c>
      <c r="N5297" s="33">
        <f>IFERROR(__xludf.DUMMYFUNCTION("""COMPUTED_VALUE"""),46248.0)</f>
        <v>46248</v>
      </c>
      <c r="O5297" s="20"/>
      <c r="P5297" s="32" t="str">
        <f>IFERROR(__xludf.DUMMYFUNCTION("""COMPUTED_VALUE"""),"可")</f>
        <v>可</v>
      </c>
      <c r="Q5297" s="30"/>
      <c r="R5297" s="22"/>
      <c r="S5297" s="22" t="str">
        <f>IFERROR(__xludf.DUMMYFUNCTION("""COMPUTED_VALUE"""),"20260525_ブシロードワークス_探索者イリアスは人見知り 最強ぼっち少年は、最恐の仮面で今日もひとりを貫きたい 連載版")</f>
        <v>20260525_ブシロードワークス_探索者イリアスは人見知り 最強ぼっち少年は、最恐の仮面で今日もひとりを貫きたい 連載版</v>
      </c>
      <c r="T5297" s="22" t="str">
        <f>IFERROR(__xludf.DUMMYFUNCTION("""COMPUTED_VALUE"""),"格納済み")</f>
        <v>格納済み</v>
      </c>
      <c r="U5297" s="9" t="str">
        <f>IFERROR(__xludf.DUMMYFUNCTION("""COMPUTED_VALUE"""),"ⒸSunin / BUSHIROAD WORKS ⒸSaroku")</f>
        <v>ⒸSunin / BUSHIROAD WORKS ⒸSaroku</v>
      </c>
      <c r="V5297" s="8"/>
      <c r="W5297" s="8"/>
      <c r="X5297" s="8" t="str">
        <f>IFERROR(__xludf.DUMMYFUNCTION("""COMPUTED_VALUE"""),"有")</f>
        <v>有</v>
      </c>
      <c r="Y5297" s="8" t="str">
        <f>IFERROR(__xludf.DUMMYFUNCTION("""COMPUTED_VALUE"""),"2026/8/14まで1～2巻無料")</f>
        <v>2026/8/14まで1～2巻無料</v>
      </c>
      <c r="Z5297" s="7"/>
      <c r="AA5297" s="7"/>
      <c r="AB5297" s="7"/>
    </row>
    <row r="5298" ht="15.75" customHeight="1">
      <c r="A5298" s="26">
        <f>IFERROR(__xludf.DUMMYFUNCTION("""COMPUTED_VALUE"""),8091.0)</f>
        <v>8091</v>
      </c>
      <c r="B5298" s="22" t="str">
        <f>IFERROR(__xludf.DUMMYFUNCTION("""COMPUTED_VALUE"""),"確定")</f>
        <v>確定</v>
      </c>
      <c r="C5298" s="28">
        <f>IFERROR(__xludf.DUMMYFUNCTION("""COMPUTED_VALUE"""),46168.0)</f>
        <v>46168</v>
      </c>
      <c r="D5298" s="28">
        <f>IFERROR(__xludf.DUMMYFUNCTION("""COMPUTED_VALUE"""),46169.0)</f>
        <v>46169</v>
      </c>
      <c r="E5298" s="26">
        <f>IFERROR(__xludf.DUMMYFUNCTION("""COMPUTED_VALUE"""),362018.0)</f>
        <v>362018</v>
      </c>
      <c r="F5298" s="22" t="str">
        <f>IFERROR(__xludf.DUMMYFUNCTION("""COMPUTED_VALUE"""),"アガペー ～異常心理士の審判～【分冊版】")</f>
        <v>アガペー ～異常心理士の審判～【分冊版】</v>
      </c>
      <c r="G5298" s="20" t="str">
        <f>IFERROR(__xludf.DUMMYFUNCTION("""COMPUTED_VALUE"""),"1～3")</f>
        <v>1～3</v>
      </c>
      <c r="H5298" s="22" t="str">
        <f>IFERROR(__xludf.DUMMYFUNCTION("""COMPUTED_VALUE"""),"江夏遙／SORAJIMA")</f>
        <v>江夏遙／SORAJIMA</v>
      </c>
      <c r="I5298" s="22" t="str">
        <f>IFERROR(__xludf.DUMMYFUNCTION("""COMPUTED_VALUE"""),"青年マンガ")</f>
        <v>青年マンガ</v>
      </c>
      <c r="J5298" s="22"/>
      <c r="K5298" s="22"/>
      <c r="L5298" s="22" t="str">
        <f>IFERROR(__xludf.DUMMYFUNCTION("""COMPUTED_VALUE"""),"SORAJIMA")</f>
        <v>SORAJIMA</v>
      </c>
      <c r="M5298" s="33">
        <f>IFERROR(__xludf.DUMMYFUNCTION("""COMPUTED_VALUE"""),46195.0)</f>
        <v>46195</v>
      </c>
      <c r="N5298" s="33">
        <f>IFERROR(__xludf.DUMMYFUNCTION("""COMPUTED_VALUE"""),46286.0)</f>
        <v>46286</v>
      </c>
      <c r="O5298" s="20"/>
      <c r="P5298" s="32" t="str">
        <f>IFERROR(__xludf.DUMMYFUNCTION("""COMPUTED_VALUE"""),"可")</f>
        <v>可</v>
      </c>
      <c r="Q5298" s="30"/>
      <c r="R5298" s="22"/>
      <c r="S5298" s="22" t="str">
        <f>IFERROR(__xludf.DUMMYFUNCTION("""COMPUTED_VALUE"""),"20260526_SORAJIMA_アガペー 〜異常心理士の審判〜")</f>
        <v>20260526_SORAJIMA_アガペー 〜異常心理士の審判〜</v>
      </c>
      <c r="T5298" s="22" t="str">
        <f>IFERROR(__xludf.DUMMYFUNCTION("""COMPUTED_VALUE"""),"格納済み")</f>
        <v>格納済み</v>
      </c>
      <c r="U5298" s="9" t="str">
        <f>IFERROR(__xludf.DUMMYFUNCTION("""COMPUTED_VALUE"""),"Ⓒ江夏遙/SORAJIMA")</f>
        <v>Ⓒ江夏遙/SORAJIMA</v>
      </c>
      <c r="V5298" s="8"/>
      <c r="W5298" s="8"/>
      <c r="X5298" s="8" t="str">
        <f>IFERROR(__xludf.DUMMYFUNCTION("""COMPUTED_VALUE"""),"有")</f>
        <v>有</v>
      </c>
      <c r="Y5298" s="8" t="str">
        <f>IFERROR(__xludf.DUMMYFUNCTION("""COMPUTED_VALUE"""),"2026/7/21まで1巻無料")</f>
        <v>2026/7/21まで1巻無料</v>
      </c>
      <c r="Z5298" s="7"/>
      <c r="AA5298" s="7"/>
      <c r="AB5298" s="7"/>
    </row>
    <row r="5299" ht="15.75" customHeight="1">
      <c r="A5299" s="26">
        <f>IFERROR(__xludf.DUMMYFUNCTION("""COMPUTED_VALUE"""),8094.0)</f>
        <v>8094</v>
      </c>
      <c r="B5299" s="22" t="str">
        <f>IFERROR(__xludf.DUMMYFUNCTION("""COMPUTED_VALUE"""),"確定")</f>
        <v>確定</v>
      </c>
      <c r="C5299" s="28">
        <f>IFERROR(__xludf.DUMMYFUNCTION("""COMPUTED_VALUE"""),46168.0)</f>
        <v>46168</v>
      </c>
      <c r="D5299" s="28">
        <f>IFERROR(__xludf.DUMMYFUNCTION("""COMPUTED_VALUE"""),46169.0)</f>
        <v>46169</v>
      </c>
      <c r="E5299" s="26">
        <f>IFERROR(__xludf.DUMMYFUNCTION("""COMPUTED_VALUE"""),365095.0)</f>
        <v>365095</v>
      </c>
      <c r="F5299" s="22" t="str">
        <f>IFERROR(__xludf.DUMMYFUNCTION("""COMPUTED_VALUE"""),"あなたと海に触れたくて【単話版】")</f>
        <v>あなたと海に触れたくて【単話版】</v>
      </c>
      <c r="G5299" s="20" t="str">
        <f>IFERROR(__xludf.DUMMYFUNCTION("""COMPUTED_VALUE"""),"1～3")</f>
        <v>1～3</v>
      </c>
      <c r="H5299" s="22" t="str">
        <f>IFERROR(__xludf.DUMMYFUNCTION("""COMPUTED_VALUE"""),"リツノ")</f>
        <v>リツノ</v>
      </c>
      <c r="I5299" s="22" t="str">
        <f>IFERROR(__xludf.DUMMYFUNCTION("""COMPUTED_VALUE"""),"BL")</f>
        <v>BL</v>
      </c>
      <c r="J5299" s="22"/>
      <c r="K5299" s="22"/>
      <c r="L5299" s="22" t="str">
        <f>IFERROR(__xludf.DUMMYFUNCTION("""COMPUTED_VALUE"""),"辰巳出版")</f>
        <v>辰巳出版</v>
      </c>
      <c r="M5299" s="33">
        <f>IFERROR(__xludf.DUMMYFUNCTION("""COMPUTED_VALUE"""),46188.0)</f>
        <v>46188</v>
      </c>
      <c r="N5299" s="33">
        <f>IFERROR(__xludf.DUMMYFUNCTION("""COMPUTED_VALUE"""),46279.0)</f>
        <v>46279</v>
      </c>
      <c r="O5299" s="20"/>
      <c r="P5299" s="32" t="str">
        <f>IFERROR(__xludf.DUMMYFUNCTION("""COMPUTED_VALUE"""),"可")</f>
        <v>可</v>
      </c>
      <c r="Q5299" s="30"/>
      <c r="R5299" s="22"/>
      <c r="S5299" s="22" t="str">
        <f>IFERROR(__xludf.DUMMYFUNCTION("""COMPUTED_VALUE"""),"20260526_辰巳出版_あなたと海に触れたくて【単話版】")</f>
        <v>20260526_辰巳出版_あなたと海に触れたくて【単話版】</v>
      </c>
      <c r="T5299" s="22" t="str">
        <f>IFERROR(__xludf.DUMMYFUNCTION("""COMPUTED_VALUE"""),"格納済み")</f>
        <v>格納済み</v>
      </c>
      <c r="U5299" s="9" t="str">
        <f>IFERROR(__xludf.DUMMYFUNCTION("""COMPUTED_VALUE"""),"Ⓒリツノ/辰巳出版")</f>
        <v>Ⓒリツノ/辰巳出版</v>
      </c>
      <c r="V5299" s="8"/>
      <c r="W5299" s="8"/>
      <c r="X5299" s="8" t="str">
        <f>IFERROR(__xludf.DUMMYFUNCTION("""COMPUTED_VALUE"""),"有")</f>
        <v>有</v>
      </c>
      <c r="Y5299" s="8" t="str">
        <f>IFERROR(__xludf.DUMMYFUNCTION("""COMPUTED_VALUE"""),"2026/9/14まで1巻無料")</f>
        <v>2026/9/14まで1巻無料</v>
      </c>
      <c r="Z5299" s="7"/>
      <c r="AA5299" s="7"/>
      <c r="AB5299" s="7"/>
    </row>
    <row r="5300" ht="15.75" customHeight="1">
      <c r="A5300" s="26">
        <f>IFERROR(__xludf.DUMMYFUNCTION("""COMPUTED_VALUE"""),8095.0)</f>
        <v>8095</v>
      </c>
      <c r="B5300" s="22" t="str">
        <f>IFERROR(__xludf.DUMMYFUNCTION("""COMPUTED_VALUE"""),"確定")</f>
        <v>確定</v>
      </c>
      <c r="C5300" s="28">
        <f>IFERROR(__xludf.DUMMYFUNCTION("""COMPUTED_VALUE"""),46168.0)</f>
        <v>46168</v>
      </c>
      <c r="D5300" s="28">
        <f>IFERROR(__xludf.DUMMYFUNCTION("""COMPUTED_VALUE"""),46169.0)</f>
        <v>46169</v>
      </c>
      <c r="E5300" s="26">
        <f>IFERROR(__xludf.DUMMYFUNCTION("""COMPUTED_VALUE"""),365096.0)</f>
        <v>365096</v>
      </c>
      <c r="F5300" s="22" t="str">
        <f>IFERROR(__xludf.DUMMYFUNCTION("""COMPUTED_VALUE"""),"だって、ぜんぶ初めて。【単話版】")</f>
        <v>だって、ぜんぶ初めて。【単話版】</v>
      </c>
      <c r="G5300" s="20" t="str">
        <f>IFERROR(__xludf.DUMMYFUNCTION("""COMPUTED_VALUE"""),"1～3")</f>
        <v>1～3</v>
      </c>
      <c r="H5300" s="22" t="str">
        <f>IFERROR(__xludf.DUMMYFUNCTION("""COMPUTED_VALUE"""),"蒼乃")</f>
        <v>蒼乃</v>
      </c>
      <c r="I5300" s="22" t="str">
        <f>IFERROR(__xludf.DUMMYFUNCTION("""COMPUTED_VALUE"""),"BL")</f>
        <v>BL</v>
      </c>
      <c r="J5300" s="22"/>
      <c r="K5300" s="22"/>
      <c r="L5300" s="22" t="str">
        <f>IFERROR(__xludf.DUMMYFUNCTION("""COMPUTED_VALUE"""),"辰巳出版")</f>
        <v>辰巳出版</v>
      </c>
      <c r="M5300" s="33">
        <f>IFERROR(__xludf.DUMMYFUNCTION("""COMPUTED_VALUE"""),46188.0)</f>
        <v>46188</v>
      </c>
      <c r="N5300" s="33">
        <f>IFERROR(__xludf.DUMMYFUNCTION("""COMPUTED_VALUE"""),46279.0)</f>
        <v>46279</v>
      </c>
      <c r="O5300" s="20"/>
      <c r="P5300" s="32" t="str">
        <f>IFERROR(__xludf.DUMMYFUNCTION("""COMPUTED_VALUE"""),"可")</f>
        <v>可</v>
      </c>
      <c r="Q5300" s="30"/>
      <c r="R5300" s="22"/>
      <c r="S5300" s="22" t="str">
        <f>IFERROR(__xludf.DUMMYFUNCTION("""COMPUTED_VALUE"""),"20260526_辰巳出版_だって、ぜんぶ初めて。【単話版】")</f>
        <v>20260526_辰巳出版_だって、ぜんぶ初めて。【単話版】</v>
      </c>
      <c r="T5300" s="22" t="str">
        <f>IFERROR(__xludf.DUMMYFUNCTION("""COMPUTED_VALUE"""),"格納済み")</f>
        <v>格納済み</v>
      </c>
      <c r="U5300" s="9" t="str">
        <f>IFERROR(__xludf.DUMMYFUNCTION("""COMPUTED_VALUE"""),"Ⓒ蒼乃/辰巳出版")</f>
        <v>Ⓒ蒼乃/辰巳出版</v>
      </c>
      <c r="V5300" s="8"/>
      <c r="W5300" s="8"/>
      <c r="X5300" s="8" t="str">
        <f>IFERROR(__xludf.DUMMYFUNCTION("""COMPUTED_VALUE"""),"有")</f>
        <v>有</v>
      </c>
      <c r="Y5300" s="8" t="str">
        <f>IFERROR(__xludf.DUMMYFUNCTION("""COMPUTED_VALUE"""),"2026/9/14まで1巻無料")</f>
        <v>2026/9/14まで1巻無料</v>
      </c>
      <c r="Z5300" s="7"/>
      <c r="AA5300" s="7"/>
      <c r="AB5300" s="7"/>
    </row>
    <row r="5301" ht="15.75" customHeight="1">
      <c r="A5301" s="26">
        <f>IFERROR(__xludf.DUMMYFUNCTION("""COMPUTED_VALUE"""),8096.0)</f>
        <v>8096</v>
      </c>
      <c r="B5301" s="22" t="str">
        <f>IFERROR(__xludf.DUMMYFUNCTION("""COMPUTED_VALUE"""),"確定")</f>
        <v>確定</v>
      </c>
      <c r="C5301" s="28">
        <f>IFERROR(__xludf.DUMMYFUNCTION("""COMPUTED_VALUE"""),46168.0)</f>
        <v>46168</v>
      </c>
      <c r="D5301" s="28">
        <f>IFERROR(__xludf.DUMMYFUNCTION("""COMPUTED_VALUE"""),46169.0)</f>
        <v>46169</v>
      </c>
      <c r="E5301" s="26">
        <f>IFERROR(__xludf.DUMMYFUNCTION("""COMPUTED_VALUE"""),365097.0)</f>
        <v>365097</v>
      </c>
      <c r="F5301" s="22" t="str">
        <f>IFERROR(__xludf.DUMMYFUNCTION("""COMPUTED_VALUE"""),"たとえ番じゃなくても【単話版】")</f>
        <v>たとえ番じゃなくても【単話版】</v>
      </c>
      <c r="G5301" s="20" t="str">
        <f>IFERROR(__xludf.DUMMYFUNCTION("""COMPUTED_VALUE"""),"1～3")</f>
        <v>1～3</v>
      </c>
      <c r="H5301" s="22" t="str">
        <f>IFERROR(__xludf.DUMMYFUNCTION("""COMPUTED_VALUE"""),"湯")</f>
        <v>湯</v>
      </c>
      <c r="I5301" s="22" t="str">
        <f>IFERROR(__xludf.DUMMYFUNCTION("""COMPUTED_VALUE"""),"BL")</f>
        <v>BL</v>
      </c>
      <c r="J5301" s="22"/>
      <c r="K5301" s="22"/>
      <c r="L5301" s="22" t="str">
        <f>IFERROR(__xludf.DUMMYFUNCTION("""COMPUTED_VALUE"""),"辰巳出版")</f>
        <v>辰巳出版</v>
      </c>
      <c r="M5301" s="33">
        <f>IFERROR(__xludf.DUMMYFUNCTION("""COMPUTED_VALUE"""),46188.0)</f>
        <v>46188</v>
      </c>
      <c r="N5301" s="33">
        <f>IFERROR(__xludf.DUMMYFUNCTION("""COMPUTED_VALUE"""),46279.0)</f>
        <v>46279</v>
      </c>
      <c r="O5301" s="20"/>
      <c r="P5301" s="32" t="str">
        <f>IFERROR(__xludf.DUMMYFUNCTION("""COMPUTED_VALUE"""),"可")</f>
        <v>可</v>
      </c>
      <c r="Q5301" s="30"/>
      <c r="R5301" s="22"/>
      <c r="S5301" s="22" t="str">
        <f>IFERROR(__xludf.DUMMYFUNCTION("""COMPUTED_VALUE"""),"20260526_辰巳出版_たとえ番じゃなくても【単話版】")</f>
        <v>20260526_辰巳出版_たとえ番じゃなくても【単話版】</v>
      </c>
      <c r="T5301" s="22" t="str">
        <f>IFERROR(__xludf.DUMMYFUNCTION("""COMPUTED_VALUE"""),"格納済み")</f>
        <v>格納済み</v>
      </c>
      <c r="U5301" s="9" t="str">
        <f>IFERROR(__xludf.DUMMYFUNCTION("""COMPUTED_VALUE"""),"Ⓒ湯/辰巳出版")</f>
        <v>Ⓒ湯/辰巳出版</v>
      </c>
      <c r="V5301" s="8"/>
      <c r="W5301" s="8"/>
      <c r="X5301" s="8" t="str">
        <f>IFERROR(__xludf.DUMMYFUNCTION("""COMPUTED_VALUE"""),"有")</f>
        <v>有</v>
      </c>
      <c r="Y5301" s="8" t="str">
        <f>IFERROR(__xludf.DUMMYFUNCTION("""COMPUTED_VALUE"""),"2026/9/14まで1巻無料")</f>
        <v>2026/9/14まで1巻無料</v>
      </c>
      <c r="Z5301" s="7"/>
      <c r="AA5301" s="7"/>
      <c r="AB5301" s="7"/>
    </row>
    <row r="5302" ht="15.75" customHeight="1">
      <c r="A5302" s="26">
        <f>IFERROR(__xludf.DUMMYFUNCTION("""COMPUTED_VALUE"""),8097.0)</f>
        <v>8097</v>
      </c>
      <c r="B5302" s="22" t="str">
        <f>IFERROR(__xludf.DUMMYFUNCTION("""COMPUTED_VALUE"""),"確定")</f>
        <v>確定</v>
      </c>
      <c r="C5302" s="28">
        <f>IFERROR(__xludf.DUMMYFUNCTION("""COMPUTED_VALUE"""),46168.0)</f>
        <v>46168</v>
      </c>
      <c r="D5302" s="28">
        <f>IFERROR(__xludf.DUMMYFUNCTION("""COMPUTED_VALUE"""),46169.0)</f>
        <v>46169</v>
      </c>
      <c r="E5302" s="26">
        <f>IFERROR(__xludf.DUMMYFUNCTION("""COMPUTED_VALUE"""),365098.0)</f>
        <v>365098</v>
      </c>
      <c r="F5302" s="22" t="str">
        <f>IFERROR(__xludf.DUMMYFUNCTION("""COMPUTED_VALUE"""),"箱庭のマイヒーロー【単話版】")</f>
        <v>箱庭のマイヒーロー【単話版】</v>
      </c>
      <c r="G5302" s="20" t="str">
        <f>IFERROR(__xludf.DUMMYFUNCTION("""COMPUTED_VALUE"""),"1～3")</f>
        <v>1～3</v>
      </c>
      <c r="H5302" s="22" t="str">
        <f>IFERROR(__xludf.DUMMYFUNCTION("""COMPUTED_VALUE"""),"森山")</f>
        <v>森山</v>
      </c>
      <c r="I5302" s="22" t="str">
        <f>IFERROR(__xludf.DUMMYFUNCTION("""COMPUTED_VALUE"""),"BL")</f>
        <v>BL</v>
      </c>
      <c r="J5302" s="22"/>
      <c r="K5302" s="22"/>
      <c r="L5302" s="22" t="str">
        <f>IFERROR(__xludf.DUMMYFUNCTION("""COMPUTED_VALUE"""),"辰巳出版")</f>
        <v>辰巳出版</v>
      </c>
      <c r="M5302" s="33">
        <f>IFERROR(__xludf.DUMMYFUNCTION("""COMPUTED_VALUE"""),46188.0)</f>
        <v>46188</v>
      </c>
      <c r="N5302" s="33">
        <f>IFERROR(__xludf.DUMMYFUNCTION("""COMPUTED_VALUE"""),46279.0)</f>
        <v>46279</v>
      </c>
      <c r="O5302" s="20"/>
      <c r="P5302" s="32" t="str">
        <f>IFERROR(__xludf.DUMMYFUNCTION("""COMPUTED_VALUE"""),"可")</f>
        <v>可</v>
      </c>
      <c r="Q5302" s="30"/>
      <c r="R5302" s="22"/>
      <c r="S5302" s="22" t="str">
        <f>IFERROR(__xludf.DUMMYFUNCTION("""COMPUTED_VALUE"""),"20260526_辰巳出版_箱庭のマイヒーロー【単話版】")</f>
        <v>20260526_辰巳出版_箱庭のマイヒーロー【単話版】</v>
      </c>
      <c r="T5302" s="22" t="str">
        <f>IFERROR(__xludf.DUMMYFUNCTION("""COMPUTED_VALUE"""),"格納済み")</f>
        <v>格納済み</v>
      </c>
      <c r="U5302" s="9" t="str">
        <f>IFERROR(__xludf.DUMMYFUNCTION("""COMPUTED_VALUE"""),"Ⓒ森山/辰巳出版")</f>
        <v>Ⓒ森山/辰巳出版</v>
      </c>
      <c r="V5302" s="8"/>
      <c r="W5302" s="8"/>
      <c r="X5302" s="8" t="str">
        <f>IFERROR(__xludf.DUMMYFUNCTION("""COMPUTED_VALUE"""),"有")</f>
        <v>有</v>
      </c>
      <c r="Y5302" s="8" t="str">
        <f>IFERROR(__xludf.DUMMYFUNCTION("""COMPUTED_VALUE"""),"2026/9/14まで1巻無料")</f>
        <v>2026/9/14まで1巻無料</v>
      </c>
      <c r="Z5302" s="7"/>
      <c r="AA5302" s="7"/>
      <c r="AB5302" s="7"/>
    </row>
    <row r="5303" ht="15.75" customHeight="1">
      <c r="A5303" s="26">
        <f>IFERROR(__xludf.DUMMYFUNCTION("""COMPUTED_VALUE"""),8098.0)</f>
        <v>8098</v>
      </c>
      <c r="B5303" s="22" t="str">
        <f>IFERROR(__xludf.DUMMYFUNCTION("""COMPUTED_VALUE"""),"確定")</f>
        <v>確定</v>
      </c>
      <c r="C5303" s="28">
        <f>IFERROR(__xludf.DUMMYFUNCTION("""COMPUTED_VALUE"""),46168.0)</f>
        <v>46168</v>
      </c>
      <c r="D5303" s="28">
        <f>IFERROR(__xludf.DUMMYFUNCTION("""COMPUTED_VALUE"""),46169.0)</f>
        <v>46169</v>
      </c>
      <c r="E5303" s="26">
        <f>IFERROR(__xludf.DUMMYFUNCTION("""COMPUTED_VALUE"""),365099.0)</f>
        <v>365099</v>
      </c>
      <c r="F5303" s="22" t="str">
        <f>IFERROR(__xludf.DUMMYFUNCTION("""COMPUTED_VALUE"""),"俺たちが付き合えるわけがない！【単話版】")</f>
        <v>俺たちが付き合えるわけがない！【単話版】</v>
      </c>
      <c r="G5303" s="20" t="str">
        <f>IFERROR(__xludf.DUMMYFUNCTION("""COMPUTED_VALUE"""),"1～3")</f>
        <v>1～3</v>
      </c>
      <c r="H5303" s="22" t="str">
        <f>IFERROR(__xludf.DUMMYFUNCTION("""COMPUTED_VALUE"""),"non food")</f>
        <v>non food</v>
      </c>
      <c r="I5303" s="22" t="str">
        <f>IFERROR(__xludf.DUMMYFUNCTION("""COMPUTED_VALUE"""),"BLマンガ")</f>
        <v>BLマンガ</v>
      </c>
      <c r="J5303" s="22"/>
      <c r="K5303" s="22"/>
      <c r="L5303" s="22" t="str">
        <f>IFERROR(__xludf.DUMMYFUNCTION("""COMPUTED_VALUE"""),"辰巳出版")</f>
        <v>辰巳出版</v>
      </c>
      <c r="M5303" s="33">
        <f>IFERROR(__xludf.DUMMYFUNCTION("""COMPUTED_VALUE"""),46188.0)</f>
        <v>46188</v>
      </c>
      <c r="N5303" s="33">
        <f>IFERROR(__xludf.DUMMYFUNCTION("""COMPUTED_VALUE"""),46279.0)</f>
        <v>46279</v>
      </c>
      <c r="O5303" s="20"/>
      <c r="P5303" s="32" t="str">
        <f>IFERROR(__xludf.DUMMYFUNCTION("""COMPUTED_VALUE"""),"可")</f>
        <v>可</v>
      </c>
      <c r="Q5303" s="30"/>
      <c r="R5303" s="22"/>
      <c r="S5303" s="22" t="str">
        <f>IFERROR(__xludf.DUMMYFUNCTION("""COMPUTED_VALUE"""),"20260526_辰巳出版_俺たちが付き合えるわけがない！【単話版】")</f>
        <v>20260526_辰巳出版_俺たちが付き合えるわけがない！【単話版】</v>
      </c>
      <c r="T5303" s="22" t="str">
        <f>IFERROR(__xludf.DUMMYFUNCTION("""COMPUTED_VALUE"""),"格納済み")</f>
        <v>格納済み</v>
      </c>
      <c r="U5303" s="9" t="str">
        <f>IFERROR(__xludf.DUMMYFUNCTION("""COMPUTED_VALUE"""),"Ⓒnon food/辰巳出版")</f>
        <v>Ⓒnon food/辰巳出版</v>
      </c>
      <c r="V5303" s="8"/>
      <c r="W5303" s="8"/>
      <c r="X5303" s="8" t="str">
        <f>IFERROR(__xludf.DUMMYFUNCTION("""COMPUTED_VALUE"""),"有")</f>
        <v>有</v>
      </c>
      <c r="Y5303" s="8" t="str">
        <f>IFERROR(__xludf.DUMMYFUNCTION("""COMPUTED_VALUE"""),"2026/9/14まで1巻無料")</f>
        <v>2026/9/14まで1巻無料</v>
      </c>
      <c r="Z5303" s="7"/>
      <c r="AA5303" s="7"/>
      <c r="AB5303" s="7"/>
    </row>
    <row r="5304" ht="15.75" customHeight="1">
      <c r="A5304" s="26">
        <f>IFERROR(__xludf.DUMMYFUNCTION("""COMPUTED_VALUE"""),8101.0)</f>
        <v>8101</v>
      </c>
      <c r="B5304" s="22" t="str">
        <f>IFERROR(__xludf.DUMMYFUNCTION("""COMPUTED_VALUE"""),"確定")</f>
        <v>確定</v>
      </c>
      <c r="C5304" s="28">
        <f>IFERROR(__xludf.DUMMYFUNCTION("""COMPUTED_VALUE"""),46168.0)</f>
        <v>46168</v>
      </c>
      <c r="D5304" s="28">
        <f>IFERROR(__xludf.DUMMYFUNCTION("""COMPUTED_VALUE"""),46169.0)</f>
        <v>46169</v>
      </c>
      <c r="E5304" s="26">
        <f>IFERROR(__xludf.DUMMYFUNCTION("""COMPUTED_VALUE"""),363159.0)</f>
        <v>363159</v>
      </c>
      <c r="F5304" s="22" t="str">
        <f>IFERROR(__xludf.DUMMYFUNCTION("""COMPUTED_VALUE"""),"久住さんの一途の証明～揺らめいて、ハニー～")</f>
        <v>久住さんの一途の証明～揺らめいて、ハニー～</v>
      </c>
      <c r="G5304" s="20" t="str">
        <f>IFERROR(__xludf.DUMMYFUNCTION("""COMPUTED_VALUE"""),"1~5")</f>
        <v>1~5</v>
      </c>
      <c r="H5304" s="22" t="str">
        <f>IFERROR(__xludf.DUMMYFUNCTION("""COMPUTED_VALUE"""),"作画：比乃キオ　原作：咲坂ゆあ")</f>
        <v>作画：比乃キオ　原作：咲坂ゆあ</v>
      </c>
      <c r="I5304" s="22" t="str">
        <f>IFERROR(__xludf.DUMMYFUNCTION("""COMPUTED_VALUE"""),"女性マンガ")</f>
        <v>女性マンガ</v>
      </c>
      <c r="J5304" s="22"/>
      <c r="K5304" s="22"/>
      <c r="L5304" s="22" t="str">
        <f>IFERROR(__xludf.DUMMYFUNCTION("""COMPUTED_VALUE"""),"アミューズクリエイティブスタジオ")</f>
        <v>アミューズクリエイティブスタジオ</v>
      </c>
      <c r="M5304" s="33">
        <f>IFERROR(__xludf.DUMMYFUNCTION("""COMPUTED_VALUE"""),46190.0)</f>
        <v>46190</v>
      </c>
      <c r="N5304" s="33">
        <f>IFERROR(__xludf.DUMMYFUNCTION("""COMPUTED_VALUE"""),46287.0)</f>
        <v>46287</v>
      </c>
      <c r="O5304" s="20"/>
      <c r="P5304" s="32" t="str">
        <f>IFERROR(__xludf.DUMMYFUNCTION("""COMPUTED_VALUE"""),"可")</f>
        <v>可</v>
      </c>
      <c r="Q5304" s="30"/>
      <c r="R5304" s="22"/>
      <c r="S5304" s="22" t="str">
        <f>IFERROR(__xludf.DUMMYFUNCTION("""COMPUTED_VALUE"""),"20260526_アミューズクリエイティブスタジオ_久住さんの一途の証明～揺らめいて、ハニー～")</f>
        <v>20260526_アミューズクリエイティブスタジオ_久住さんの一途の証明～揺らめいて、ハニー～</v>
      </c>
      <c r="T5304" s="22" t="str">
        <f>IFERROR(__xludf.DUMMYFUNCTION("""COMPUTED_VALUE"""),"格納済み")</f>
        <v>格納済み</v>
      </c>
      <c r="U5304" s="9" t="str">
        <f>IFERROR(__xludf.DUMMYFUNCTION("""COMPUTED_VALUE"""),"Ⓒ咲坂ゆあ／比乃キオ／AMUSE CREATIVE STUDIO")</f>
        <v>Ⓒ咲坂ゆあ／比乃キオ／AMUSE CREATIVE STUDIO</v>
      </c>
      <c r="V5304" s="8"/>
      <c r="W5304" s="8"/>
      <c r="X5304" s="8" t="str">
        <f>IFERROR(__xludf.DUMMYFUNCTION("""COMPUTED_VALUE"""),"有")</f>
        <v>有</v>
      </c>
      <c r="Y5304" s="8" t="str">
        <f>IFERROR(__xludf.DUMMYFUNCTION("""COMPUTED_VALUE"""),"2026/7/5まで1巻無料")</f>
        <v>2026/7/5まで1巻無料</v>
      </c>
      <c r="Z5304" s="7"/>
      <c r="AA5304" s="7"/>
      <c r="AB5304" s="7"/>
    </row>
    <row r="5305" ht="15.75" customHeight="1">
      <c r="A5305" s="26">
        <f>IFERROR(__xludf.DUMMYFUNCTION("""COMPUTED_VALUE"""),7400.0)</f>
        <v>7400</v>
      </c>
      <c r="B5305" s="22" t="str">
        <f>IFERROR(__xludf.DUMMYFUNCTION("""COMPUTED_VALUE"""),"確定")</f>
        <v>確定</v>
      </c>
      <c r="C5305" s="28">
        <f>IFERROR(__xludf.DUMMYFUNCTION("""COMPUTED_VALUE"""),46059.0)</f>
        <v>46059</v>
      </c>
      <c r="D5305" s="28">
        <f>IFERROR(__xludf.DUMMYFUNCTION("""COMPUTED_VALUE"""),46181.0)</f>
        <v>46181</v>
      </c>
      <c r="E5305" s="26">
        <f>IFERROR(__xludf.DUMMYFUNCTION("""COMPUTED_VALUE"""),363891.0)</f>
        <v>363891</v>
      </c>
      <c r="F5305" s="22" t="str">
        <f>IFERROR(__xludf.DUMMYFUNCTION("""COMPUTED_VALUE"""),"偽りの白龍妃は呪われし主上を救う")</f>
        <v>偽りの白龍妃は呪われし主上を救う</v>
      </c>
      <c r="G5305" s="220">
        <f>IFERROR(__xludf.DUMMYFUNCTION("""COMPUTED_VALUE"""),46027.0)</f>
        <v>46027</v>
      </c>
      <c r="H5305" s="22" t="str">
        <f>IFERROR(__xludf.DUMMYFUNCTION("""COMPUTED_VALUE"""),"蒼生子子 コミックかのん 高橋えむ太")</f>
        <v>蒼生子子 コミックかのん 高橋えむ太</v>
      </c>
      <c r="I5305" s="22" t="str">
        <f>IFERROR(__xludf.DUMMYFUNCTION("""COMPUTED_VALUE"""),"女性")</f>
        <v>女性</v>
      </c>
      <c r="J5305" s="22"/>
      <c r="K5305" s="22" t="str">
        <f>IFERROR(__xludf.DUMMYFUNCTION("""COMPUTED_VALUE"""),"コミックかのん")</f>
        <v>コミックかのん</v>
      </c>
      <c r="L5305" s="22" t="str">
        <f>IFERROR(__xludf.DUMMYFUNCTION("""COMPUTED_VALUE"""),"飛鳥新社")</f>
        <v>飛鳥新社</v>
      </c>
      <c r="M5305" s="33">
        <f>IFERROR(__xludf.DUMMYFUNCTION("""COMPUTED_VALUE"""),46199.0)</f>
        <v>46199</v>
      </c>
      <c r="N5305" s="33">
        <f>IFERROR(__xludf.DUMMYFUNCTION("""COMPUTED_VALUE"""),46290.0)</f>
        <v>46290</v>
      </c>
      <c r="O5305" s="20"/>
      <c r="P5305" s="32" t="str">
        <f>IFERROR(__xludf.DUMMYFUNCTION("""COMPUTED_VALUE"""),"可")</f>
        <v>可</v>
      </c>
      <c r="Q5305" s="30" t="str">
        <f>IFERROR(__xludf.DUMMYFUNCTION("""COMPUTED_VALUE"""),"8話完結です。")</f>
        <v>8話完結です。</v>
      </c>
      <c r="R5305" s="22"/>
      <c r="S5305" s="22" t="str">
        <f>IFERROR(__xludf.DUMMYFUNCTION("""COMPUTED_VALUE"""),"20260528_飛鳥新社_偽りの白龍妃は呪われし主上を救う")</f>
        <v>20260528_飛鳥新社_偽りの白龍妃は呪われし主上を救う</v>
      </c>
      <c r="T5305" s="22" t="str">
        <f>IFERROR(__xludf.DUMMYFUNCTION("""COMPUTED_VALUE"""),"格納済み")</f>
        <v>格納済み</v>
      </c>
      <c r="U5305" s="9" t="str">
        <f>IFERROR(__xludf.DUMMYFUNCTION("""COMPUTED_VALUE"""),"©蒼生子子・コミックかのん・高橋えむ太/飛鳥新社")</f>
        <v>©蒼生子子・コミックかのん・高橋えむ太/飛鳥新社</v>
      </c>
      <c r="V5305" s="8"/>
      <c r="W5305" s="8"/>
      <c r="X5305" s="8" t="str">
        <f>IFERROR(__xludf.DUMMYFUNCTION("""COMPUTED_VALUE"""),"有")</f>
        <v>有</v>
      </c>
      <c r="Y5305" s="8" t="str">
        <f>IFERROR(__xludf.DUMMYFUNCTION("""COMPUTED_VALUE"""),"2026/9/25まで1～2巻無料")</f>
        <v>2026/9/25まで1～2巻無料</v>
      </c>
      <c r="Z5305" s="7"/>
      <c r="AA5305" s="7"/>
      <c r="AB5305" s="7"/>
    </row>
    <row r="5306" ht="15.75" customHeight="1">
      <c r="A5306" s="26">
        <f>IFERROR(__xludf.DUMMYFUNCTION("""COMPUTED_VALUE"""),7448.0)</f>
        <v>7448</v>
      </c>
      <c r="B5306" s="22" t="str">
        <f>IFERROR(__xludf.DUMMYFUNCTION("""COMPUTED_VALUE"""),"確定")</f>
        <v>確定</v>
      </c>
      <c r="C5306" s="28">
        <f>IFERROR(__xludf.DUMMYFUNCTION("""COMPUTED_VALUE"""),46069.0)</f>
        <v>46069</v>
      </c>
      <c r="D5306" s="28">
        <f>IFERROR(__xludf.DUMMYFUNCTION("""COMPUTED_VALUE"""),46176.0)</f>
        <v>46176</v>
      </c>
      <c r="E5306" s="26"/>
      <c r="F5306" s="22" t="str">
        <f>IFERROR(__xludf.DUMMYFUNCTION("""COMPUTED_VALUE"""),"「全員ハッピーエンドになる話」")</f>
        <v>「全員ハッピーエンドになる話」</v>
      </c>
      <c r="G5306" s="20">
        <f>IFERROR(__xludf.DUMMYFUNCTION("""COMPUTED_VALUE"""),1.0)</f>
        <v>1</v>
      </c>
      <c r="H5306" s="22" t="str">
        <f>IFERROR(__xludf.DUMMYFUNCTION("""COMPUTED_VALUE"""),"漫画：珠樹みつね 原作：まきぶろ")</f>
        <v>漫画：珠樹みつね 原作：まきぶろ</v>
      </c>
      <c r="I5306" s="22" t="str">
        <f>IFERROR(__xludf.DUMMYFUNCTION("""COMPUTED_VALUE"""),"少女")</f>
        <v>少女</v>
      </c>
      <c r="J5306" s="22"/>
      <c r="K5306" s="22" t="str">
        <f>IFERROR(__xludf.DUMMYFUNCTION("""COMPUTED_VALUE"""),"ZERO-SUMコミックス")</f>
        <v>ZERO-SUMコミックス</v>
      </c>
      <c r="L5306" s="22" t="str">
        <f>IFERROR(__xludf.DUMMYFUNCTION("""COMPUTED_VALUE"""),"一迅社")</f>
        <v>一迅社</v>
      </c>
      <c r="M5306" s="33">
        <f>IFERROR(__xludf.DUMMYFUNCTION("""COMPUTED_VALUE"""),46266.0)</f>
        <v>46266</v>
      </c>
      <c r="N5306" s="33">
        <f>IFERROR(__xludf.DUMMYFUNCTION("""COMPUTED_VALUE"""),46326.0)</f>
        <v>46326</v>
      </c>
      <c r="O5306" s="20"/>
      <c r="P5306" s="32" t="str">
        <f>IFERROR(__xludf.DUMMYFUNCTION("""COMPUTED_VALUE"""),"否")</f>
        <v>否</v>
      </c>
      <c r="Q5306" s="30" t="str">
        <f>IFERROR(__xludf.DUMMYFUNCTION("""COMPUTED_VALUE"""),"「悪役令嬢ですが、幸せになってみせますわ！ アンソロジーコミック ざまぁ編: 4」掲載")</f>
        <v>「悪役令嬢ですが、幸せになってみせますわ！ アンソロジーコミック ざまぁ編: 4」掲載</v>
      </c>
      <c r="R5306" s="22"/>
      <c r="S5306" s="22" t="str">
        <f>IFERROR(__xludf.DUMMYFUNCTION("""COMPUTED_VALUE"""),"20260602_一迅社_「全員ハッピーエンドになる話」")</f>
        <v>20260602_一迅社_「全員ハッピーエンドになる話」</v>
      </c>
      <c r="T5306" s="22" t="str">
        <f>IFERROR(__xludf.DUMMYFUNCTION("""COMPUTED_VALUE"""),"格納済み")</f>
        <v>格納済み</v>
      </c>
      <c r="U5306" s="9" t="str">
        <f>IFERROR(__xludf.DUMMYFUNCTION("""COMPUTED_VALUE"""),"(C)珠樹みつね・まきぶろ／一迅社")</f>
        <v>(C)珠樹みつね・まきぶろ／一迅社</v>
      </c>
      <c r="V5306" s="8"/>
      <c r="W5306" s="8"/>
      <c r="X5306" s="8"/>
      <c r="Y5306" s="8"/>
      <c r="Z5306" s="7"/>
      <c r="AA5306" s="7"/>
      <c r="AB5306" s="7"/>
    </row>
    <row r="5307" ht="15.75" customHeight="1">
      <c r="A5307" s="26">
        <f>IFERROR(__xludf.DUMMYFUNCTION("""COMPUTED_VALUE"""),7449.0)</f>
        <v>7449</v>
      </c>
      <c r="B5307" s="22" t="str">
        <f>IFERROR(__xludf.DUMMYFUNCTION("""COMPUTED_VALUE"""),"確定")</f>
        <v>確定</v>
      </c>
      <c r="C5307" s="28">
        <f>IFERROR(__xludf.DUMMYFUNCTION("""COMPUTED_VALUE"""),46069.0)</f>
        <v>46069</v>
      </c>
      <c r="D5307" s="28">
        <f>IFERROR(__xludf.DUMMYFUNCTION("""COMPUTED_VALUE"""),46176.0)</f>
        <v>46176</v>
      </c>
      <c r="E5307" s="26"/>
      <c r="F5307" s="22" t="str">
        <f>IFERROR(__xludf.DUMMYFUNCTION("""COMPUTED_VALUE"""),"愛する婚約者様が「君は僕に相応しくない」と仰ったので")</f>
        <v>愛する婚約者様が「君は僕に相応しくない」と仰ったので</v>
      </c>
      <c r="G5307" s="20">
        <f>IFERROR(__xludf.DUMMYFUNCTION("""COMPUTED_VALUE"""),1.0)</f>
        <v>1</v>
      </c>
      <c r="H5307" s="22" t="str">
        <f>IFERROR(__xludf.DUMMYFUNCTION("""COMPUTED_VALUE"""),"漫画：飴坂ニナ 原作：砂礫レキ")</f>
        <v>漫画：飴坂ニナ 原作：砂礫レキ</v>
      </c>
      <c r="I5307" s="22" t="str">
        <f>IFERROR(__xludf.DUMMYFUNCTION("""COMPUTED_VALUE"""),"少女")</f>
        <v>少女</v>
      </c>
      <c r="J5307" s="22"/>
      <c r="K5307" s="22" t="str">
        <f>IFERROR(__xludf.DUMMYFUNCTION("""COMPUTED_VALUE"""),"ZERO-SUMコミックス")</f>
        <v>ZERO-SUMコミックス</v>
      </c>
      <c r="L5307" s="22" t="str">
        <f>IFERROR(__xludf.DUMMYFUNCTION("""COMPUTED_VALUE"""),"一迅社")</f>
        <v>一迅社</v>
      </c>
      <c r="M5307" s="33">
        <f>IFERROR(__xludf.DUMMYFUNCTION("""COMPUTED_VALUE"""),46266.0)</f>
        <v>46266</v>
      </c>
      <c r="N5307" s="33">
        <f>IFERROR(__xludf.DUMMYFUNCTION("""COMPUTED_VALUE"""),46326.0)</f>
        <v>46326</v>
      </c>
      <c r="O5307" s="20"/>
      <c r="P5307" s="32" t="str">
        <f>IFERROR(__xludf.DUMMYFUNCTION("""COMPUTED_VALUE"""),"否")</f>
        <v>否</v>
      </c>
      <c r="Q5307" s="30" t="str">
        <f>IFERROR(__xludf.DUMMYFUNCTION("""COMPUTED_VALUE"""),"「悪役令嬢ですが、幸せになってみせますわ！ アンソロジーコミック ざまぁ編: 4」掲載")</f>
        <v>「悪役令嬢ですが、幸せになってみせますわ！ アンソロジーコミック ざまぁ編: 4」掲載</v>
      </c>
      <c r="R5307" s="22"/>
      <c r="S5307" s="22" t="str">
        <f>IFERROR(__xludf.DUMMYFUNCTION("""COMPUTED_VALUE"""),"20260602_一迅社_愛する婚約者様が「君は僕に相応しくない」と仰ったので")</f>
        <v>20260602_一迅社_愛する婚約者様が「君は僕に相応しくない」と仰ったので</v>
      </c>
      <c r="T5307" s="22" t="str">
        <f>IFERROR(__xludf.DUMMYFUNCTION("""COMPUTED_VALUE"""),"格納済み")</f>
        <v>格納済み</v>
      </c>
      <c r="U5307" s="9" t="str">
        <f>IFERROR(__xludf.DUMMYFUNCTION("""COMPUTED_VALUE"""),"(C)飴坂ニナ・砂礫レキ／一迅社")</f>
        <v>(C)飴坂ニナ・砂礫レキ／一迅社</v>
      </c>
      <c r="V5307" s="8"/>
      <c r="W5307" s="8"/>
      <c r="X5307" s="8"/>
      <c r="Y5307" s="8"/>
      <c r="Z5307" s="7"/>
      <c r="AA5307" s="7"/>
      <c r="AB5307" s="7"/>
    </row>
    <row r="5308" ht="15.75" customHeight="1">
      <c r="A5308" s="26">
        <f>IFERROR(__xludf.DUMMYFUNCTION("""COMPUTED_VALUE"""),7450.0)</f>
        <v>7450</v>
      </c>
      <c r="B5308" s="22" t="str">
        <f>IFERROR(__xludf.DUMMYFUNCTION("""COMPUTED_VALUE"""),"確定")</f>
        <v>確定</v>
      </c>
      <c r="C5308" s="28">
        <f>IFERROR(__xludf.DUMMYFUNCTION("""COMPUTED_VALUE"""),46069.0)</f>
        <v>46069</v>
      </c>
      <c r="D5308" s="28">
        <f>IFERROR(__xludf.DUMMYFUNCTION("""COMPUTED_VALUE"""),46176.0)</f>
        <v>46176</v>
      </c>
      <c r="E5308" s="26"/>
      <c r="F5308" s="22" t="str">
        <f>IFERROR(__xludf.DUMMYFUNCTION("""COMPUTED_VALUE"""),"配役は悪役令嬢　～自分の未来は自分で決めます～")</f>
        <v>配役は悪役令嬢　～自分の未来は自分で決めます～</v>
      </c>
      <c r="G5308" s="20">
        <f>IFERROR(__xludf.DUMMYFUNCTION("""COMPUTED_VALUE"""),1.0)</f>
        <v>1</v>
      </c>
      <c r="H5308" s="22" t="str">
        <f>IFERROR(__xludf.DUMMYFUNCTION("""COMPUTED_VALUE"""),"漫画：真多灯 原作：かのん")</f>
        <v>漫画：真多灯 原作：かのん</v>
      </c>
      <c r="I5308" s="22" t="str">
        <f>IFERROR(__xludf.DUMMYFUNCTION("""COMPUTED_VALUE"""),"少女")</f>
        <v>少女</v>
      </c>
      <c r="J5308" s="22"/>
      <c r="K5308" s="22" t="str">
        <f>IFERROR(__xludf.DUMMYFUNCTION("""COMPUTED_VALUE"""),"ZERO-SUMコミックス")</f>
        <v>ZERO-SUMコミックス</v>
      </c>
      <c r="L5308" s="22" t="str">
        <f>IFERROR(__xludf.DUMMYFUNCTION("""COMPUTED_VALUE"""),"一迅社")</f>
        <v>一迅社</v>
      </c>
      <c r="M5308" s="33">
        <f>IFERROR(__xludf.DUMMYFUNCTION("""COMPUTED_VALUE"""),46266.0)</f>
        <v>46266</v>
      </c>
      <c r="N5308" s="33">
        <f>IFERROR(__xludf.DUMMYFUNCTION("""COMPUTED_VALUE"""),46326.0)</f>
        <v>46326</v>
      </c>
      <c r="O5308" s="20"/>
      <c r="P5308" s="32" t="str">
        <f>IFERROR(__xludf.DUMMYFUNCTION("""COMPUTED_VALUE"""),"否")</f>
        <v>否</v>
      </c>
      <c r="Q5308" s="30" t="str">
        <f>IFERROR(__xludf.DUMMYFUNCTION("""COMPUTED_VALUE"""),"「悪役令嬢ですが、幸せになってみせますわ！ アンソロジーコミック ざまぁ編: 4」掲載")</f>
        <v>「悪役令嬢ですが、幸せになってみせますわ！ アンソロジーコミック ざまぁ編: 4」掲載</v>
      </c>
      <c r="R5308" s="22"/>
      <c r="S5308" s="22" t="str">
        <f>IFERROR(__xludf.DUMMYFUNCTION("""COMPUTED_VALUE"""),"20260602_一迅社_配役は悪役令嬢～自分の未来は自分で決めます～")</f>
        <v>20260602_一迅社_配役は悪役令嬢～自分の未来は自分で決めます～</v>
      </c>
      <c r="T5308" s="22" t="str">
        <f>IFERROR(__xludf.DUMMYFUNCTION("""COMPUTED_VALUE"""),"格納済み")</f>
        <v>格納済み</v>
      </c>
      <c r="U5308" s="9" t="str">
        <f>IFERROR(__xludf.DUMMYFUNCTION("""COMPUTED_VALUE"""),"(C)真多灯・かのん／一迅社")</f>
        <v>(C)真多灯・かのん／一迅社</v>
      </c>
      <c r="V5308" s="8"/>
      <c r="W5308" s="8"/>
      <c r="X5308" s="8"/>
      <c r="Y5308" s="8"/>
      <c r="Z5308" s="7"/>
      <c r="AA5308" s="7"/>
      <c r="AB5308" s="7"/>
    </row>
    <row r="5309" ht="15.75" customHeight="1">
      <c r="A5309" s="26">
        <f>IFERROR(__xludf.DUMMYFUNCTION("""COMPUTED_VALUE"""),7451.0)</f>
        <v>7451</v>
      </c>
      <c r="B5309" s="22" t="str">
        <f>IFERROR(__xludf.DUMMYFUNCTION("""COMPUTED_VALUE"""),"確定")</f>
        <v>確定</v>
      </c>
      <c r="C5309" s="28">
        <f>IFERROR(__xludf.DUMMYFUNCTION("""COMPUTED_VALUE"""),46069.0)</f>
        <v>46069</v>
      </c>
      <c r="D5309" s="28">
        <f>IFERROR(__xludf.DUMMYFUNCTION("""COMPUTED_VALUE"""),46176.0)</f>
        <v>46176</v>
      </c>
      <c r="E5309" s="26"/>
      <c r="F5309" s="22" t="str">
        <f>IFERROR(__xludf.DUMMYFUNCTION("""COMPUTED_VALUE"""),"偽妹が私の婚約者を狙っている")</f>
        <v>偽妹が私の婚約者を狙っている</v>
      </c>
      <c r="G5309" s="20">
        <f>IFERROR(__xludf.DUMMYFUNCTION("""COMPUTED_VALUE"""),1.0)</f>
        <v>1</v>
      </c>
      <c r="H5309" s="22" t="str">
        <f>IFERROR(__xludf.DUMMYFUNCTION("""COMPUTED_VALUE"""),"漫画：アマセケイ 原作：藤也いらいち")</f>
        <v>漫画：アマセケイ 原作：藤也いらいち</v>
      </c>
      <c r="I5309" s="22" t="str">
        <f>IFERROR(__xludf.DUMMYFUNCTION("""COMPUTED_VALUE"""),"少女")</f>
        <v>少女</v>
      </c>
      <c r="J5309" s="22"/>
      <c r="K5309" s="22" t="str">
        <f>IFERROR(__xludf.DUMMYFUNCTION("""COMPUTED_VALUE"""),"ZERO-SUMコミックス")</f>
        <v>ZERO-SUMコミックス</v>
      </c>
      <c r="L5309" s="22" t="str">
        <f>IFERROR(__xludf.DUMMYFUNCTION("""COMPUTED_VALUE"""),"一迅社")</f>
        <v>一迅社</v>
      </c>
      <c r="M5309" s="33">
        <f>IFERROR(__xludf.DUMMYFUNCTION("""COMPUTED_VALUE"""),46266.0)</f>
        <v>46266</v>
      </c>
      <c r="N5309" s="33">
        <f>IFERROR(__xludf.DUMMYFUNCTION("""COMPUTED_VALUE"""),46326.0)</f>
        <v>46326</v>
      </c>
      <c r="O5309" s="20"/>
      <c r="P5309" s="32" t="str">
        <f>IFERROR(__xludf.DUMMYFUNCTION("""COMPUTED_VALUE"""),"否")</f>
        <v>否</v>
      </c>
      <c r="Q5309" s="30" t="str">
        <f>IFERROR(__xludf.DUMMYFUNCTION("""COMPUTED_VALUE"""),"「悪役令嬢ですが、幸せになってみせますわ！ アンソロジーコミック ざまぁ編: 4」掲載")</f>
        <v>「悪役令嬢ですが、幸せになってみせますわ！ アンソロジーコミック ざまぁ編: 4」掲載</v>
      </c>
      <c r="R5309" s="22"/>
      <c r="S5309" s="22" t="str">
        <f>IFERROR(__xludf.DUMMYFUNCTION("""COMPUTED_VALUE"""),"20260602_一迅社_偽妹が私の婚約者を狙っている")</f>
        <v>20260602_一迅社_偽妹が私の婚約者を狙っている</v>
      </c>
      <c r="T5309" s="22" t="str">
        <f>IFERROR(__xludf.DUMMYFUNCTION("""COMPUTED_VALUE"""),"格納済み")</f>
        <v>格納済み</v>
      </c>
      <c r="U5309" s="9" t="str">
        <f>IFERROR(__xludf.DUMMYFUNCTION("""COMPUTED_VALUE"""),"(C)アマセケイ・藤也いらいち／一迅社")</f>
        <v>(C)アマセケイ・藤也いらいち／一迅社</v>
      </c>
      <c r="V5309" s="8"/>
      <c r="W5309" s="8"/>
      <c r="X5309" s="8"/>
      <c r="Y5309" s="8"/>
      <c r="Z5309" s="7"/>
      <c r="AA5309" s="7"/>
      <c r="AB5309" s="7"/>
    </row>
    <row r="5310" ht="15.75" customHeight="1">
      <c r="A5310" s="26">
        <f>IFERROR(__xludf.DUMMYFUNCTION("""COMPUTED_VALUE"""),7452.0)</f>
        <v>7452</v>
      </c>
      <c r="B5310" s="22" t="str">
        <f>IFERROR(__xludf.DUMMYFUNCTION("""COMPUTED_VALUE"""),"確定")</f>
        <v>確定</v>
      </c>
      <c r="C5310" s="28">
        <f>IFERROR(__xludf.DUMMYFUNCTION("""COMPUTED_VALUE"""),46069.0)</f>
        <v>46069</v>
      </c>
      <c r="D5310" s="28">
        <f>IFERROR(__xludf.DUMMYFUNCTION("""COMPUTED_VALUE"""),46176.0)</f>
        <v>46176</v>
      </c>
      <c r="E5310" s="26"/>
      <c r="F5310" s="22" t="str">
        <f>IFERROR(__xludf.DUMMYFUNCTION("""COMPUTED_VALUE"""),"悪女キャラを全うしたら、とんでもない報復が待っていました")</f>
        <v>悪女キャラを全うしたら、とんでもない報復が待っていました</v>
      </c>
      <c r="G5310" s="20">
        <f>IFERROR(__xludf.DUMMYFUNCTION("""COMPUTED_VALUE"""),1.0)</f>
        <v>1</v>
      </c>
      <c r="H5310" s="22" t="str">
        <f>IFERROR(__xludf.DUMMYFUNCTION("""COMPUTED_VALUE"""),"漫画：森倉チロル 原作：琴子")</f>
        <v>漫画：森倉チロル 原作：琴子</v>
      </c>
      <c r="I5310" s="22" t="str">
        <f>IFERROR(__xludf.DUMMYFUNCTION("""COMPUTED_VALUE"""),"少女")</f>
        <v>少女</v>
      </c>
      <c r="J5310" s="22"/>
      <c r="K5310" s="22" t="str">
        <f>IFERROR(__xludf.DUMMYFUNCTION("""COMPUTED_VALUE"""),"ZERO-SUMコミックス")</f>
        <v>ZERO-SUMコミックス</v>
      </c>
      <c r="L5310" s="22" t="str">
        <f>IFERROR(__xludf.DUMMYFUNCTION("""COMPUTED_VALUE"""),"一迅社")</f>
        <v>一迅社</v>
      </c>
      <c r="M5310" s="33">
        <f>IFERROR(__xludf.DUMMYFUNCTION("""COMPUTED_VALUE"""),46266.0)</f>
        <v>46266</v>
      </c>
      <c r="N5310" s="33">
        <f>IFERROR(__xludf.DUMMYFUNCTION("""COMPUTED_VALUE"""),46326.0)</f>
        <v>46326</v>
      </c>
      <c r="O5310" s="20"/>
      <c r="P5310" s="32" t="str">
        <f>IFERROR(__xludf.DUMMYFUNCTION("""COMPUTED_VALUE"""),"否")</f>
        <v>否</v>
      </c>
      <c r="Q5310" s="30" t="str">
        <f>IFERROR(__xludf.DUMMYFUNCTION("""COMPUTED_VALUE"""),"「悪役令嬢ですが、幸せになってみせますわ！ アンソロジーコミック ざまぁ編: 4」掲載")</f>
        <v>「悪役令嬢ですが、幸せになってみせますわ！ アンソロジーコミック ざまぁ編: 4」掲載</v>
      </c>
      <c r="R5310" s="22"/>
      <c r="S5310" s="22" t="str">
        <f>IFERROR(__xludf.DUMMYFUNCTION("""COMPUTED_VALUE"""),"20260602_一迅社_悪女キャラを全うしたら、とんでもない報復が待っていました_2")</f>
        <v>20260602_一迅社_悪女キャラを全うしたら、とんでもない報復が待っていました_2</v>
      </c>
      <c r="T5310" s="22" t="str">
        <f>IFERROR(__xludf.DUMMYFUNCTION("""COMPUTED_VALUE"""),"格納済み")</f>
        <v>格納済み</v>
      </c>
      <c r="U5310" s="9" t="str">
        <f>IFERROR(__xludf.DUMMYFUNCTION("""COMPUTED_VALUE"""),"(C)森倉チロル・琴子／一迅社")</f>
        <v>(C)森倉チロル・琴子／一迅社</v>
      </c>
      <c r="V5310" s="8"/>
      <c r="W5310" s="8"/>
      <c r="X5310" s="8"/>
      <c r="Y5310" s="8"/>
      <c r="Z5310" s="7"/>
      <c r="AA5310" s="7"/>
      <c r="AB5310" s="7"/>
    </row>
    <row r="5311" ht="15.75" customHeight="1">
      <c r="A5311" s="26">
        <f>IFERROR(__xludf.DUMMYFUNCTION("""COMPUTED_VALUE"""),7455.0)</f>
        <v>7455</v>
      </c>
      <c r="B5311" s="22" t="str">
        <f>IFERROR(__xludf.DUMMYFUNCTION("""COMPUTED_VALUE"""),"確定")</f>
        <v>確定</v>
      </c>
      <c r="C5311" s="28">
        <f>IFERROR(__xludf.DUMMYFUNCTION("""COMPUTED_VALUE"""),46069.0)</f>
        <v>46069</v>
      </c>
      <c r="D5311" s="28">
        <f>IFERROR(__xludf.DUMMYFUNCTION("""COMPUTED_VALUE"""),46175.0)</f>
        <v>46175</v>
      </c>
      <c r="E5311" s="26"/>
      <c r="F5311" s="22" t="str">
        <f>IFERROR(__xludf.DUMMYFUNCTION("""COMPUTED_VALUE"""),"婚約破棄を申し込まれましたが、そのお話こそ破棄させていただきたく！")</f>
        <v>婚約破棄を申し込まれましたが、そのお話こそ破棄させていただきたく！</v>
      </c>
      <c r="G5311" s="20">
        <f>IFERROR(__xludf.DUMMYFUNCTION("""COMPUTED_VALUE"""),1.0)</f>
        <v>1</v>
      </c>
      <c r="H5311" s="22" t="str">
        <f>IFERROR(__xludf.DUMMYFUNCTION("""COMPUTED_VALUE"""),"冨月一乃／原作：星彼方")</f>
        <v>冨月一乃／原作：星彼方</v>
      </c>
      <c r="I5311" s="22" t="str">
        <f>IFERROR(__xludf.DUMMYFUNCTION("""COMPUTED_VALUE"""),"少女")</f>
        <v>少女</v>
      </c>
      <c r="J5311" s="22"/>
      <c r="K5311" s="22" t="str">
        <f>IFERROR(__xludf.DUMMYFUNCTION("""COMPUTED_VALUE"""),"ZERO-SUMコミックス")</f>
        <v>ZERO-SUMコミックス</v>
      </c>
      <c r="L5311" s="22" t="str">
        <f>IFERROR(__xludf.DUMMYFUNCTION("""COMPUTED_VALUE"""),"一迅社")</f>
        <v>一迅社</v>
      </c>
      <c r="M5311" s="33">
        <f>IFERROR(__xludf.DUMMYFUNCTION("""COMPUTED_VALUE"""),46266.0)</f>
        <v>46266</v>
      </c>
      <c r="N5311" s="33">
        <f>IFERROR(__xludf.DUMMYFUNCTION("""COMPUTED_VALUE"""),46326.0)</f>
        <v>46326</v>
      </c>
      <c r="O5311" s="20"/>
      <c r="P5311" s="32" t="str">
        <f>IFERROR(__xludf.DUMMYFUNCTION("""COMPUTED_VALUE"""),"否")</f>
        <v>否</v>
      </c>
      <c r="Q5311" s="30" t="str">
        <f>IFERROR(__xludf.DUMMYFUNCTION("""COMPUTED_VALUE"""),"婚約破棄されましたが、幸せに暮らしておりますわ！アンソロジーコミック: 9　掲載")</f>
        <v>婚約破棄されましたが、幸せに暮らしておりますわ！アンソロジーコミック: 9　掲載</v>
      </c>
      <c r="R5311" s="22"/>
      <c r="S5311" s="22" t="str">
        <f>IFERROR(__xludf.DUMMYFUNCTION("""COMPUTED_VALUE"""),"20260602_一迅社_婚約破棄を申し込まれましたが、そのお話こそ破棄させていただきたく！")</f>
        <v>20260602_一迅社_婚約破棄を申し込まれましたが、そのお話こそ破棄させていただきたく！</v>
      </c>
      <c r="T5311" s="22" t="str">
        <f>IFERROR(__xludf.DUMMYFUNCTION("""COMPUTED_VALUE"""),"格納済み")</f>
        <v>格納済み</v>
      </c>
      <c r="U5311" s="9" t="str">
        <f>IFERROR(__xludf.DUMMYFUNCTION("""COMPUTED_VALUE"""),"(C)冨月一乃・星彼方／一迅社")</f>
        <v>(C)冨月一乃・星彼方／一迅社</v>
      </c>
      <c r="V5311" s="8"/>
      <c r="W5311" s="8"/>
      <c r="X5311" s="8"/>
      <c r="Y5311" s="8"/>
      <c r="Z5311" s="7"/>
      <c r="AA5311" s="7"/>
      <c r="AB5311" s="7"/>
    </row>
    <row r="5312" ht="15.75" customHeight="1">
      <c r="A5312" s="26">
        <f>IFERROR(__xludf.DUMMYFUNCTION("""COMPUTED_VALUE"""),7456.0)</f>
        <v>7456</v>
      </c>
      <c r="B5312" s="22" t="str">
        <f>IFERROR(__xludf.DUMMYFUNCTION("""COMPUTED_VALUE"""),"確定")</f>
        <v>確定</v>
      </c>
      <c r="C5312" s="28">
        <f>IFERROR(__xludf.DUMMYFUNCTION("""COMPUTED_VALUE"""),46069.0)</f>
        <v>46069</v>
      </c>
      <c r="D5312" s="28">
        <f>IFERROR(__xludf.DUMMYFUNCTION("""COMPUTED_VALUE"""),46175.0)</f>
        <v>46175</v>
      </c>
      <c r="E5312" s="26"/>
      <c r="F5312" s="22" t="str">
        <f>IFERROR(__xludf.DUMMYFUNCTION("""COMPUTED_VALUE"""),"不遇な青い鳥が幸せになるまで")</f>
        <v>不遇な青い鳥が幸せになるまで</v>
      </c>
      <c r="G5312" s="20">
        <f>IFERROR(__xludf.DUMMYFUNCTION("""COMPUTED_VALUE"""),1.0)</f>
        <v>1</v>
      </c>
      <c r="H5312" s="22" t="str">
        <f>IFERROR(__xludf.DUMMYFUNCTION("""COMPUTED_VALUE"""),"春乃まい／原作：編乃肌")</f>
        <v>春乃まい／原作：編乃肌</v>
      </c>
      <c r="I5312" s="22" t="str">
        <f>IFERROR(__xludf.DUMMYFUNCTION("""COMPUTED_VALUE"""),"少女")</f>
        <v>少女</v>
      </c>
      <c r="J5312" s="22"/>
      <c r="K5312" s="22" t="str">
        <f>IFERROR(__xludf.DUMMYFUNCTION("""COMPUTED_VALUE"""),"ZERO-SUMコミックス")</f>
        <v>ZERO-SUMコミックス</v>
      </c>
      <c r="L5312" s="22" t="str">
        <f>IFERROR(__xludf.DUMMYFUNCTION("""COMPUTED_VALUE"""),"一迅社")</f>
        <v>一迅社</v>
      </c>
      <c r="M5312" s="33">
        <f>IFERROR(__xludf.DUMMYFUNCTION("""COMPUTED_VALUE"""),46266.0)</f>
        <v>46266</v>
      </c>
      <c r="N5312" s="33">
        <f>IFERROR(__xludf.DUMMYFUNCTION("""COMPUTED_VALUE"""),46326.0)</f>
        <v>46326</v>
      </c>
      <c r="O5312" s="20"/>
      <c r="P5312" s="32" t="str">
        <f>IFERROR(__xludf.DUMMYFUNCTION("""COMPUTED_VALUE"""),"否")</f>
        <v>否</v>
      </c>
      <c r="Q5312" s="30" t="str">
        <f>IFERROR(__xludf.DUMMYFUNCTION("""COMPUTED_VALUE"""),"婚約破棄されましたが、幸せに暮らしておりますわ！アンソロジーコミック: 9　掲載")</f>
        <v>婚約破棄されましたが、幸せに暮らしておりますわ！アンソロジーコミック: 9　掲載</v>
      </c>
      <c r="R5312" s="22"/>
      <c r="S5312" s="22" t="str">
        <f>IFERROR(__xludf.DUMMYFUNCTION("""COMPUTED_VALUE"""),"20260602_一迅社_不遇な青い鳥が幸せになるまで")</f>
        <v>20260602_一迅社_不遇な青い鳥が幸せになるまで</v>
      </c>
      <c r="T5312" s="22" t="str">
        <f>IFERROR(__xludf.DUMMYFUNCTION("""COMPUTED_VALUE"""),"格納済み")</f>
        <v>格納済み</v>
      </c>
      <c r="U5312" s="9" t="str">
        <f>IFERROR(__xludf.DUMMYFUNCTION("""COMPUTED_VALUE"""),"(C)春乃まい・編乃肌／一迅社")</f>
        <v>(C)春乃まい・編乃肌／一迅社</v>
      </c>
      <c r="V5312" s="8"/>
      <c r="W5312" s="8"/>
      <c r="X5312" s="8"/>
      <c r="Y5312" s="8"/>
      <c r="Z5312" s="7"/>
      <c r="AA5312" s="7"/>
      <c r="AB5312" s="7"/>
    </row>
    <row r="5313" ht="15.75" customHeight="1">
      <c r="A5313" s="26">
        <f>IFERROR(__xludf.DUMMYFUNCTION("""COMPUTED_VALUE"""),7457.0)</f>
        <v>7457</v>
      </c>
      <c r="B5313" s="22" t="str">
        <f>IFERROR(__xludf.DUMMYFUNCTION("""COMPUTED_VALUE"""),"確定")</f>
        <v>確定</v>
      </c>
      <c r="C5313" s="28">
        <f>IFERROR(__xludf.DUMMYFUNCTION("""COMPUTED_VALUE"""),46069.0)</f>
        <v>46069</v>
      </c>
      <c r="D5313" s="28">
        <f>IFERROR(__xludf.DUMMYFUNCTION("""COMPUTED_VALUE"""),46175.0)</f>
        <v>46175</v>
      </c>
      <c r="E5313" s="26"/>
      <c r="F5313" s="22" t="str">
        <f>IFERROR(__xludf.DUMMYFUNCTION("""COMPUTED_VALUE"""),"私のことが大嫌いなはずの王子殿下が、溺愛恋人扱いをしてくれる。")</f>
        <v>私のことが大嫌いなはずの王子殿下が、溺愛恋人扱いをしてくれる。</v>
      </c>
      <c r="G5313" s="20">
        <f>IFERROR(__xludf.DUMMYFUNCTION("""COMPUTED_VALUE"""),1.0)</f>
        <v>1</v>
      </c>
      <c r="H5313" s="22" t="str">
        <f>IFERROR(__xludf.DUMMYFUNCTION("""COMPUTED_VALUE"""),"たかのかな／原作：雨川透子")</f>
        <v>たかのかな／原作：雨川透子</v>
      </c>
      <c r="I5313" s="22" t="str">
        <f>IFERROR(__xludf.DUMMYFUNCTION("""COMPUTED_VALUE"""),"少女")</f>
        <v>少女</v>
      </c>
      <c r="J5313" s="22"/>
      <c r="K5313" s="22" t="str">
        <f>IFERROR(__xludf.DUMMYFUNCTION("""COMPUTED_VALUE"""),"ZERO-SUMコミックス")</f>
        <v>ZERO-SUMコミックス</v>
      </c>
      <c r="L5313" s="22" t="str">
        <f>IFERROR(__xludf.DUMMYFUNCTION("""COMPUTED_VALUE"""),"一迅社")</f>
        <v>一迅社</v>
      </c>
      <c r="M5313" s="33">
        <f>IFERROR(__xludf.DUMMYFUNCTION("""COMPUTED_VALUE"""),46266.0)</f>
        <v>46266</v>
      </c>
      <c r="N5313" s="33">
        <f>IFERROR(__xludf.DUMMYFUNCTION("""COMPUTED_VALUE"""),46326.0)</f>
        <v>46326</v>
      </c>
      <c r="O5313" s="20"/>
      <c r="P5313" s="32" t="str">
        <f>IFERROR(__xludf.DUMMYFUNCTION("""COMPUTED_VALUE"""),"否")</f>
        <v>否</v>
      </c>
      <c r="Q5313" s="30" t="str">
        <f>IFERROR(__xludf.DUMMYFUNCTION("""COMPUTED_VALUE"""),"婚約破棄されましたが、幸せに暮らしておりますわ！アンソロジーコミック: 9　掲載")</f>
        <v>婚約破棄されましたが、幸せに暮らしておりますわ！アンソロジーコミック: 9　掲載</v>
      </c>
      <c r="R5313" s="22"/>
      <c r="S5313" s="22" t="str">
        <f>IFERROR(__xludf.DUMMYFUNCTION("""COMPUTED_VALUE"""),"20260602_一迅社_私のことが大嫌いなはずの王子殿下が、溺愛恋人扱いをしてくれる。")</f>
        <v>20260602_一迅社_私のことが大嫌いなはずの王子殿下が、溺愛恋人扱いをしてくれる。</v>
      </c>
      <c r="T5313" s="22" t="str">
        <f>IFERROR(__xludf.DUMMYFUNCTION("""COMPUTED_VALUE"""),"格納済み")</f>
        <v>格納済み</v>
      </c>
      <c r="U5313" s="9" t="str">
        <f>IFERROR(__xludf.DUMMYFUNCTION("""COMPUTED_VALUE"""),"(C)たかのかな・雨川透子／一迅社")</f>
        <v>(C)たかのかな・雨川透子／一迅社</v>
      </c>
      <c r="V5313" s="8"/>
      <c r="W5313" s="8"/>
      <c r="X5313" s="8"/>
      <c r="Y5313" s="8"/>
      <c r="Z5313" s="7"/>
      <c r="AA5313" s="7"/>
      <c r="AB5313" s="7"/>
    </row>
    <row r="5314" ht="15.75" customHeight="1">
      <c r="A5314" s="26">
        <f>IFERROR(__xludf.DUMMYFUNCTION("""COMPUTED_VALUE"""),7637.0)</f>
        <v>7637</v>
      </c>
      <c r="B5314" s="22" t="str">
        <f>IFERROR(__xludf.DUMMYFUNCTION("""COMPUTED_VALUE"""),"確定")</f>
        <v>確定</v>
      </c>
      <c r="C5314" s="28">
        <f>IFERROR(__xludf.DUMMYFUNCTION("""COMPUTED_VALUE"""),46092.0)</f>
        <v>46092</v>
      </c>
      <c r="D5314" s="28">
        <f>IFERROR(__xludf.DUMMYFUNCTION("""COMPUTED_VALUE"""),46169.0)</f>
        <v>46169</v>
      </c>
      <c r="E5314" s="26">
        <f>IFERROR(__xludf.DUMMYFUNCTION("""COMPUTED_VALUE"""),361107.0)</f>
        <v>361107</v>
      </c>
      <c r="F5314" s="22" t="str">
        <f>IFERROR(__xludf.DUMMYFUNCTION("""COMPUTED_VALUE"""),"むっつり聖女は絶倫牧師様のえっちな溺愛に抗えない…！")</f>
        <v>むっつり聖女は絶倫牧師様のえっちな溺愛に抗えない…！</v>
      </c>
      <c r="G5314" s="20">
        <f>IFERROR(__xludf.DUMMYFUNCTION("""COMPUTED_VALUE"""),1.0)</f>
        <v>1</v>
      </c>
      <c r="H5314" s="22" t="str">
        <f>IFERROR(__xludf.DUMMYFUNCTION("""COMPUTED_VALUE"""),"ユカ")</f>
        <v>ユカ</v>
      </c>
      <c r="I5314" s="22" t="str">
        <f>IFERROR(__xludf.DUMMYFUNCTION("""COMPUTED_VALUE"""),"TLマンガ")</f>
        <v>TLマンガ</v>
      </c>
      <c r="J5314" s="22"/>
      <c r="K5314" s="22" t="str">
        <f>IFERROR(__xludf.DUMMYFUNCTION("""COMPUTED_VALUE"""),"LOVEBITES")</f>
        <v>LOVEBITES</v>
      </c>
      <c r="L5314" s="22" t="str">
        <f>IFERROR(__xludf.DUMMYFUNCTION("""COMPUTED_VALUE"""),"一迅社")</f>
        <v>一迅社</v>
      </c>
      <c r="M5314" s="33">
        <f>IFERROR(__xludf.DUMMYFUNCTION("""COMPUTED_VALUE"""),46199.0)</f>
        <v>46199</v>
      </c>
      <c r="N5314" s="33">
        <f>IFERROR(__xludf.DUMMYFUNCTION("""COMPUTED_VALUE"""),46228.0)</f>
        <v>46228</v>
      </c>
      <c r="O5314" s="20" t="str">
        <f>IFERROR(__xludf.DUMMYFUNCTION("""COMPUTED_VALUE"""),"【アダルト作品扱い】")</f>
        <v>【アダルト作品扱い】</v>
      </c>
      <c r="P5314" s="32" t="str">
        <f>IFERROR(__xludf.DUMMYFUNCTION("""COMPUTED_VALUE"""),"可")</f>
        <v>可</v>
      </c>
      <c r="Q5314" s="30" t="str">
        <f>IFERROR(__xludf.DUMMYFUNCTION("""COMPUTED_VALUE"""),"「女のほうが性欲強くちゃダメですか？ 疼くカラダを貴方と満たしたい。アンソロジー」掲載タイトル")</f>
        <v>「女のほうが性欲強くちゃダメですか？ 疼くカラダを貴方と満たしたい。アンソロジー」掲載タイトル</v>
      </c>
      <c r="R5314" s="22" t="str">
        <f>IFERROR(__xludf.DUMMYFUNCTION("""COMPUTED_VALUE"""),"コミットOK")</f>
        <v>コミットOK</v>
      </c>
      <c r="S5314" s="22" t="str">
        <f>IFERROR(__xludf.DUMMYFUNCTION("""COMPUTED_VALUE"""),"20260527_一迅社_むっつり聖女は絶倫牧師様のえっちな溺愛に抗えない…！")</f>
        <v>20260527_一迅社_むっつり聖女は絶倫牧師様のえっちな溺愛に抗えない…！</v>
      </c>
      <c r="T5314" s="22" t="str">
        <f>IFERROR(__xludf.DUMMYFUNCTION("""COMPUTED_VALUE"""),"格納済み")</f>
        <v>格納済み</v>
      </c>
      <c r="U5314" s="9" t="str">
        <f>IFERROR(__xludf.DUMMYFUNCTION("""COMPUTED_VALUE"""),"(C)ユカ／一迅社")</f>
        <v>(C)ユカ／一迅社</v>
      </c>
      <c r="V5314" s="8"/>
      <c r="W5314" s="8"/>
      <c r="X5314" s="8" t="str">
        <f>IFERROR(__xludf.DUMMYFUNCTION("""COMPUTED_VALUE"""),"有")</f>
        <v>有</v>
      </c>
      <c r="Y5314" s="8" t="str">
        <f>IFERROR(__xludf.DUMMYFUNCTION("""COMPUTED_VALUE"""),"p7まで")</f>
        <v>p7まで</v>
      </c>
      <c r="Z5314" s="7"/>
      <c r="AA5314" s="7"/>
      <c r="AB5314" s="7"/>
    </row>
    <row r="5315" ht="15.75" customHeight="1">
      <c r="A5315" s="26">
        <f>IFERROR(__xludf.DUMMYFUNCTION("""COMPUTED_VALUE"""),7638.0)</f>
        <v>7638</v>
      </c>
      <c r="B5315" s="22" t="str">
        <f>IFERROR(__xludf.DUMMYFUNCTION("""COMPUTED_VALUE"""),"確定")</f>
        <v>確定</v>
      </c>
      <c r="C5315" s="28">
        <f>IFERROR(__xludf.DUMMYFUNCTION("""COMPUTED_VALUE"""),46092.0)</f>
        <v>46092</v>
      </c>
      <c r="D5315" s="28">
        <f>IFERROR(__xludf.DUMMYFUNCTION("""COMPUTED_VALUE"""),46171.0)</f>
        <v>46171</v>
      </c>
      <c r="E5315" s="26">
        <f>IFERROR(__xludf.DUMMYFUNCTION("""COMPUTED_VALUE"""),361106.0)</f>
        <v>361106</v>
      </c>
      <c r="F5315" s="22" t="str">
        <f>IFERROR(__xludf.DUMMYFUNCTION("""COMPUTED_VALUE"""),"むりっていってもやめないで")</f>
        <v>むりっていってもやめないで</v>
      </c>
      <c r="G5315" s="20">
        <f>IFERROR(__xludf.DUMMYFUNCTION("""COMPUTED_VALUE"""),1.0)</f>
        <v>1</v>
      </c>
      <c r="H5315" s="22" t="str">
        <f>IFERROR(__xludf.DUMMYFUNCTION("""COMPUTED_VALUE"""),"いぬぞの")</f>
        <v>いぬぞの</v>
      </c>
      <c r="I5315" s="22" t="str">
        <f>IFERROR(__xludf.DUMMYFUNCTION("""COMPUTED_VALUE"""),"TLマンガ")</f>
        <v>TLマンガ</v>
      </c>
      <c r="J5315" s="22"/>
      <c r="K5315" s="22" t="str">
        <f>IFERROR(__xludf.DUMMYFUNCTION("""COMPUTED_VALUE"""),"LOVEBITES")</f>
        <v>LOVEBITES</v>
      </c>
      <c r="L5315" s="22" t="str">
        <f>IFERROR(__xludf.DUMMYFUNCTION("""COMPUTED_VALUE"""),"一迅社")</f>
        <v>一迅社</v>
      </c>
      <c r="M5315" s="33">
        <f>IFERROR(__xludf.DUMMYFUNCTION("""COMPUTED_VALUE"""),46199.0)</f>
        <v>46199</v>
      </c>
      <c r="N5315" s="33">
        <f>IFERROR(__xludf.DUMMYFUNCTION("""COMPUTED_VALUE"""),46228.0)</f>
        <v>46228</v>
      </c>
      <c r="O5315" s="20" t="str">
        <f>IFERROR(__xludf.DUMMYFUNCTION("""COMPUTED_VALUE"""),"【アダルト作品扱い】")</f>
        <v>【アダルト作品扱い】</v>
      </c>
      <c r="P5315" s="32" t="str">
        <f>IFERROR(__xludf.DUMMYFUNCTION("""COMPUTED_VALUE"""),"可")</f>
        <v>可</v>
      </c>
      <c r="Q5315" s="30" t="str">
        <f>IFERROR(__xludf.DUMMYFUNCTION("""COMPUTED_VALUE"""),"「女のほうが性欲強くちゃダメですか？ 疼くカラダを貴方と満たしたい。アンソロジー」掲載タイトル")</f>
        <v>「女のほうが性欲強くちゃダメですか？ 疼くカラダを貴方と満たしたい。アンソロジー」掲載タイトル</v>
      </c>
      <c r="R5315" s="22" t="str">
        <f>IFERROR(__xludf.DUMMYFUNCTION("""COMPUTED_VALUE"""),"コミットOK")</f>
        <v>コミットOK</v>
      </c>
      <c r="S5315" s="22" t="str">
        <f>IFERROR(__xludf.DUMMYFUNCTION("""COMPUTED_VALUE"""),"20260527_一迅社_むりっていってもやめないで")</f>
        <v>20260527_一迅社_むりっていってもやめないで</v>
      </c>
      <c r="T5315" s="22" t="str">
        <f>IFERROR(__xludf.DUMMYFUNCTION("""COMPUTED_VALUE"""),"格納済み")</f>
        <v>格納済み</v>
      </c>
      <c r="U5315" s="9" t="str">
        <f>IFERROR(__xludf.DUMMYFUNCTION("""COMPUTED_VALUE"""),"(C)いぬぞの／一迅社")</f>
        <v>(C)いぬぞの／一迅社</v>
      </c>
      <c r="V5315" s="8"/>
      <c r="W5315" s="8"/>
      <c r="X5315" s="8" t="str">
        <f>IFERROR(__xludf.DUMMYFUNCTION("""COMPUTED_VALUE"""),"有")</f>
        <v>有</v>
      </c>
      <c r="Y5315" s="8" t="str">
        <f>IFERROR(__xludf.DUMMYFUNCTION("""COMPUTED_VALUE"""),"p8まで")</f>
        <v>p8まで</v>
      </c>
      <c r="Z5315" s="7"/>
      <c r="AA5315" s="7"/>
      <c r="AB5315" s="7"/>
    </row>
    <row r="5316" ht="15.75" customHeight="1">
      <c r="A5316" s="26">
        <f>IFERROR(__xludf.DUMMYFUNCTION("""COMPUTED_VALUE"""),7640.0)</f>
        <v>7640</v>
      </c>
      <c r="B5316" s="22" t="str">
        <f>IFERROR(__xludf.DUMMYFUNCTION("""COMPUTED_VALUE"""),"確定")</f>
        <v>確定</v>
      </c>
      <c r="C5316" s="28">
        <f>IFERROR(__xludf.DUMMYFUNCTION("""COMPUTED_VALUE"""),46092.0)</f>
        <v>46092</v>
      </c>
      <c r="D5316" s="28">
        <f>IFERROR(__xludf.DUMMYFUNCTION("""COMPUTED_VALUE"""),46171.0)</f>
        <v>46171</v>
      </c>
      <c r="E5316" s="26">
        <f>IFERROR(__xludf.DUMMYFUNCTION("""COMPUTED_VALUE"""),361110.0)</f>
        <v>361110</v>
      </c>
      <c r="F5316" s="22" t="str">
        <f>IFERROR(__xludf.DUMMYFUNCTION("""COMPUTED_VALUE"""),"お外でもっと好きにして？～優しい彼にえっちな気持ちが暴走中～")</f>
        <v>お外でもっと好きにして？～優しい彼にえっちな気持ちが暴走中～</v>
      </c>
      <c r="G5316" s="20">
        <f>IFERROR(__xludf.DUMMYFUNCTION("""COMPUTED_VALUE"""),1.0)</f>
        <v>1</v>
      </c>
      <c r="H5316" s="22" t="str">
        <f>IFERROR(__xludf.DUMMYFUNCTION("""COMPUTED_VALUE"""),"帆可ぽて")</f>
        <v>帆可ぽて</v>
      </c>
      <c r="I5316" s="22" t="str">
        <f>IFERROR(__xludf.DUMMYFUNCTION("""COMPUTED_VALUE"""),"TLマンガ")</f>
        <v>TLマンガ</v>
      </c>
      <c r="J5316" s="22"/>
      <c r="K5316" s="22" t="str">
        <f>IFERROR(__xludf.DUMMYFUNCTION("""COMPUTED_VALUE"""),"LOVEBITES")</f>
        <v>LOVEBITES</v>
      </c>
      <c r="L5316" s="22" t="str">
        <f>IFERROR(__xludf.DUMMYFUNCTION("""COMPUTED_VALUE"""),"一迅社")</f>
        <v>一迅社</v>
      </c>
      <c r="M5316" s="33">
        <f>IFERROR(__xludf.DUMMYFUNCTION("""COMPUTED_VALUE"""),46199.0)</f>
        <v>46199</v>
      </c>
      <c r="N5316" s="33">
        <f>IFERROR(__xludf.DUMMYFUNCTION("""COMPUTED_VALUE"""),46228.0)</f>
        <v>46228</v>
      </c>
      <c r="O5316" s="20" t="str">
        <f>IFERROR(__xludf.DUMMYFUNCTION("""COMPUTED_VALUE"""),"【アダルト作品扱い】")</f>
        <v>【アダルト作品扱い】</v>
      </c>
      <c r="P5316" s="32" t="str">
        <f>IFERROR(__xludf.DUMMYFUNCTION("""COMPUTED_VALUE"""),"可")</f>
        <v>可</v>
      </c>
      <c r="Q5316" s="30" t="str">
        <f>IFERROR(__xludf.DUMMYFUNCTION("""COMPUTED_VALUE"""),"「女のほうが性欲強くちゃダメですか？ 疼くカラダを貴方と満たしたい。アンソロジー」掲載タイトル")</f>
        <v>「女のほうが性欲強くちゃダメですか？ 疼くカラダを貴方と満たしたい。アンソロジー」掲載タイトル</v>
      </c>
      <c r="R5316" s="22" t="str">
        <f>IFERROR(__xludf.DUMMYFUNCTION("""COMPUTED_VALUE"""),"コミットOK")</f>
        <v>コミットOK</v>
      </c>
      <c r="S5316" s="22" t="str">
        <f>IFERROR(__xludf.DUMMYFUNCTION("""COMPUTED_VALUE"""),"20260527_一迅社_お外でもっと好きにして？～優しい彼にえっちな気持ちが暴走中～")</f>
        <v>20260527_一迅社_お外でもっと好きにして？～優しい彼にえっちな気持ちが暴走中～</v>
      </c>
      <c r="T5316" s="22" t="str">
        <f>IFERROR(__xludf.DUMMYFUNCTION("""COMPUTED_VALUE"""),"格納済み")</f>
        <v>格納済み</v>
      </c>
      <c r="U5316" s="9" t="str">
        <f>IFERROR(__xludf.DUMMYFUNCTION("""COMPUTED_VALUE"""),"(C)帆可ぽて／一迅社")</f>
        <v>(C)帆可ぽて／一迅社</v>
      </c>
      <c r="V5316" s="8"/>
      <c r="W5316" s="8"/>
      <c r="X5316" s="8" t="str">
        <f>IFERROR(__xludf.DUMMYFUNCTION("""COMPUTED_VALUE"""),"有")</f>
        <v>有</v>
      </c>
      <c r="Y5316" s="8" t="str">
        <f>IFERROR(__xludf.DUMMYFUNCTION("""COMPUTED_VALUE"""),"p7まで")</f>
        <v>p7まで</v>
      </c>
      <c r="Z5316" s="7"/>
      <c r="AA5316" s="7"/>
      <c r="AB5316" s="7"/>
    </row>
    <row r="5317" ht="15.75" customHeight="1">
      <c r="A5317" s="26">
        <f>IFERROR(__xludf.DUMMYFUNCTION("""COMPUTED_VALUE"""),7641.0)</f>
        <v>7641</v>
      </c>
      <c r="B5317" s="22" t="str">
        <f>IFERROR(__xludf.DUMMYFUNCTION("""COMPUTED_VALUE"""),"確定")</f>
        <v>確定</v>
      </c>
      <c r="C5317" s="28">
        <f>IFERROR(__xludf.DUMMYFUNCTION("""COMPUTED_VALUE"""),46092.0)</f>
        <v>46092</v>
      </c>
      <c r="D5317" s="28">
        <f>IFERROR(__xludf.DUMMYFUNCTION("""COMPUTED_VALUE"""),46176.0)</f>
        <v>46176</v>
      </c>
      <c r="E5317" s="26">
        <f>IFERROR(__xludf.DUMMYFUNCTION("""COMPUTED_VALUE"""),361108.0)</f>
        <v>361108</v>
      </c>
      <c r="F5317" s="22" t="str">
        <f>IFERROR(__xludf.DUMMYFUNCTION("""COMPUTED_VALUE"""),"よくばりうさぎは満たされたい")</f>
        <v>よくばりうさぎは満たされたい</v>
      </c>
      <c r="G5317" s="20">
        <f>IFERROR(__xludf.DUMMYFUNCTION("""COMPUTED_VALUE"""),1.0)</f>
        <v>1</v>
      </c>
      <c r="H5317" s="22" t="str">
        <f>IFERROR(__xludf.DUMMYFUNCTION("""COMPUTED_VALUE"""),"さけさかな")</f>
        <v>さけさかな</v>
      </c>
      <c r="I5317" s="22" t="str">
        <f>IFERROR(__xludf.DUMMYFUNCTION("""COMPUTED_VALUE"""),"TL")</f>
        <v>TL</v>
      </c>
      <c r="J5317" s="22"/>
      <c r="K5317" s="22" t="str">
        <f>IFERROR(__xludf.DUMMYFUNCTION("""COMPUTED_VALUE"""),"LOVEBITES")</f>
        <v>LOVEBITES</v>
      </c>
      <c r="L5317" s="22" t="str">
        <f>IFERROR(__xludf.DUMMYFUNCTION("""COMPUTED_VALUE"""),"一迅社")</f>
        <v>一迅社</v>
      </c>
      <c r="M5317" s="33">
        <f>IFERROR(__xludf.DUMMYFUNCTION("""COMPUTED_VALUE"""),46199.0)</f>
        <v>46199</v>
      </c>
      <c r="N5317" s="33">
        <f>IFERROR(__xludf.DUMMYFUNCTION("""COMPUTED_VALUE"""),46228.0)</f>
        <v>46228</v>
      </c>
      <c r="O5317" s="20" t="str">
        <f>IFERROR(__xludf.DUMMYFUNCTION("""COMPUTED_VALUE"""),"【アダルト作品扱い】")</f>
        <v>【アダルト作品扱い】</v>
      </c>
      <c r="P5317" s="32" t="str">
        <f>IFERROR(__xludf.DUMMYFUNCTION("""COMPUTED_VALUE"""),"可")</f>
        <v>可</v>
      </c>
      <c r="Q5317" s="30"/>
      <c r="R5317" s="22" t="str">
        <f>IFERROR(__xludf.DUMMYFUNCTION("""COMPUTED_VALUE"""),"コミットNG")</f>
        <v>コミットNG</v>
      </c>
      <c r="S5317" s="22" t="str">
        <f>IFERROR(__xludf.DUMMYFUNCTION("""COMPUTED_VALUE"""),"20260528_一迅社_よくばりうさぎは満たされたい」")</f>
        <v>20260528_一迅社_よくばりうさぎは満たされたい」</v>
      </c>
      <c r="T5317" s="22" t="str">
        <f>IFERROR(__xludf.DUMMYFUNCTION("""COMPUTED_VALUE"""),"格納済み")</f>
        <v>格納済み</v>
      </c>
      <c r="U5317" s="9" t="str">
        <f>IFERROR(__xludf.DUMMYFUNCTION("""COMPUTED_VALUE"""),"(C)さけさかな／一迅社")</f>
        <v>(C)さけさかな／一迅社</v>
      </c>
      <c r="V5317" s="8"/>
      <c r="W5317" s="8"/>
      <c r="X5317" s="8" t="str">
        <f>IFERROR(__xludf.DUMMYFUNCTION("""COMPUTED_VALUE"""),"有")</f>
        <v>有</v>
      </c>
      <c r="Y5317" s="8" t="str">
        <f>IFERROR(__xludf.DUMMYFUNCTION("""COMPUTED_VALUE"""),"p7まで")</f>
        <v>p7まで</v>
      </c>
      <c r="Z5317" s="7"/>
      <c r="AA5317" s="7"/>
      <c r="AB5317" s="7"/>
    </row>
    <row r="5318" ht="15.75" customHeight="1">
      <c r="A5318" s="26">
        <f>IFERROR(__xludf.DUMMYFUNCTION("""COMPUTED_VALUE"""),7647.0)</f>
        <v>7647</v>
      </c>
      <c r="B5318" s="22" t="str">
        <f>IFERROR(__xludf.DUMMYFUNCTION("""COMPUTED_VALUE"""),"確定")</f>
        <v>確定</v>
      </c>
      <c r="C5318" s="28">
        <f>IFERROR(__xludf.DUMMYFUNCTION("""COMPUTED_VALUE"""),46093.0)</f>
        <v>46093</v>
      </c>
      <c r="D5318" s="28">
        <f>IFERROR(__xludf.DUMMYFUNCTION("""COMPUTED_VALUE"""),46175.0)</f>
        <v>46175</v>
      </c>
      <c r="E5318" s="26">
        <f>IFERROR(__xludf.DUMMYFUNCTION("""COMPUTED_VALUE"""),363912.0)</f>
        <v>363912</v>
      </c>
      <c r="F5318" s="22" t="str">
        <f>IFERROR(__xludf.DUMMYFUNCTION("""COMPUTED_VALUE"""),"身代わり女王は男装騎士！？～秘密なのに騎士隊長に気づかれそうです～（単話版）")</f>
        <v>身代わり女王は男装騎士！？～秘密なのに騎士隊長に気づかれそうです～（単話版）</v>
      </c>
      <c r="G5318" s="20" t="str">
        <f>IFERROR(__xludf.DUMMYFUNCTION("""COMPUTED_VALUE"""),"1~3")</f>
        <v>1~3</v>
      </c>
      <c r="H5318" s="22" t="str">
        <f>IFERROR(__xludf.DUMMYFUNCTION("""COMPUTED_VALUE"""),"作画：山田ヒビト 原作：明夜明琉")</f>
        <v>作画：山田ヒビト 原作：明夜明琉</v>
      </c>
      <c r="I5318" s="22" t="str">
        <f>IFERROR(__xludf.DUMMYFUNCTION("""COMPUTED_VALUE"""),"少女")</f>
        <v>少女</v>
      </c>
      <c r="J5318" s="22"/>
      <c r="K5318" s="22"/>
      <c r="L5318" s="22" t="str">
        <f>IFERROR(__xludf.DUMMYFUNCTION("""COMPUTED_VALUE"""),"コンパス")</f>
        <v>コンパス</v>
      </c>
      <c r="M5318" s="33">
        <f>IFERROR(__xludf.DUMMYFUNCTION("""COMPUTED_VALUE"""),46200.0)</f>
        <v>46200</v>
      </c>
      <c r="N5318" s="33">
        <f>IFERROR(__xludf.DUMMYFUNCTION("""COMPUTED_VALUE"""),46290.0)</f>
        <v>46290</v>
      </c>
      <c r="O5318" s="20"/>
      <c r="P5318" s="32" t="str">
        <f>IFERROR(__xludf.DUMMYFUNCTION("""COMPUTED_VALUE"""),"可")</f>
        <v>可</v>
      </c>
      <c r="Q5318" s="30" t="str">
        <f>IFERROR(__xludf.DUMMYFUNCTION("""COMPUTED_VALUE"""),"あらすじ：&lt;BR&gt;ヒロイン・アンジィは、ある日突然「女王様の身代わりをできますか？出来るなら騎士の資格を与えます」と国の要職者から交換条件を突きつけられる。&lt;BR&gt;「義母から命を狙われている女王の身代わりなんて危なすぎる…。おまけに身バレせずにやり切れる!?」と気の引けるアンジィ。しかし、騎士になるため身代わりを引き受けることに。&lt;BR&gt;誰にもバレてはいけないミッション開始だったが、イケメン騎士隊長は気づいている…!?&lt;BR&gt;&lt;BR&gt;推しポイント：&lt;BR&gt;漫画家：山田ヒビトはBLにてペンネーム「縁々」で多"&amp;"数の著作のある人気作家。&lt;BR&gt;原作者：明夜明流氏は主に講談社で活躍する作家。&lt;BR&gt;BLで培われた技術でイケメン傭兵隊長を描く。&lt;BR&gt;担当編集者は「金髪の姫将軍」「シンデレラが結婚したので～」「龍の花嫁は鬼の嘘に溺れる」を担当している元・花ゆめ編集長。")</f>
        <v>あらすじ：&lt;BR&gt;ヒロイン・アンジィは、ある日突然「女王様の身代わりをできますか？出来るなら騎士の資格を与えます」と国の要職者から交換条件を突きつけられる。&lt;BR&gt;「義母から命を狙われている女王の身代わりなんて危なすぎる…。おまけに身バレせずにやり切れる!?」と気の引けるアンジィ。しかし、騎士になるため身代わりを引き受けることに。&lt;BR&gt;誰にもバレてはいけないミッション開始だったが、イケメン騎士隊長は気づいている…!?&lt;BR&gt;&lt;BR&gt;推しポイント：&lt;BR&gt;漫画家：山田ヒビトはBLにてペンネーム「縁々」で多数の著作のある人気作家。&lt;BR&gt;原作者：明夜明流氏は主に講談社で活躍する作家。&lt;BR&gt;BLで培われた技術でイケメン傭兵隊長を描く。&lt;BR&gt;担当編集者は「金髪の姫将軍」「シンデレラが結婚したので～」「龍の花嫁は鬼の嘘に溺れる」を担当している元・花ゆめ編集長。</v>
      </c>
      <c r="R5318" s="22" t="str">
        <f>IFERROR(__xludf.DUMMYFUNCTION("""COMPUTED_VALUE"""),"コミットNG")</f>
        <v>コミットNG</v>
      </c>
      <c r="S5318" s="22" t="str">
        <f>IFERROR(__xludf.DUMMYFUNCTION("""COMPUTED_VALUE"""),"20260528_コンパス_身代わり女王は男装騎士!～秘密なのに騎士隊長に気づかれそうです～")</f>
        <v>20260528_コンパス_身代わり女王は男装騎士!～秘密なのに騎士隊長に気づかれそうです～</v>
      </c>
      <c r="T5318" s="22" t="str">
        <f>IFERROR(__xludf.DUMMYFUNCTION("""COMPUTED_VALUE"""),"格納済み")</f>
        <v>格納済み</v>
      </c>
      <c r="U5318" s="9" t="str">
        <f>IFERROR(__xludf.DUMMYFUNCTION("""COMPUTED_VALUE"""),"(C)山田ヒビト・明夜明琉／コンパス")</f>
        <v>(C)山田ヒビト・明夜明琉／コンパス</v>
      </c>
      <c r="V5318" s="8"/>
      <c r="W5318" s="8"/>
      <c r="X5318" s="8" t="str">
        <f>IFERROR(__xludf.DUMMYFUNCTION("""COMPUTED_VALUE"""),"有")</f>
        <v>有</v>
      </c>
      <c r="Y5318" s="8" t="str">
        <f>IFERROR(__xludf.DUMMYFUNCTION("""COMPUTED_VALUE"""),"2026/7/10まで1巻無料")</f>
        <v>2026/7/10まで1巻無料</v>
      </c>
      <c r="Z5318" s="7"/>
      <c r="AA5318" s="7"/>
      <c r="AB5318" s="7"/>
    </row>
    <row r="5319" ht="15.75" customHeight="1">
      <c r="A5319" s="26">
        <f>IFERROR(__xludf.DUMMYFUNCTION("""COMPUTED_VALUE"""),7707.0)</f>
        <v>7707</v>
      </c>
      <c r="B5319" s="22" t="str">
        <f>IFERROR(__xludf.DUMMYFUNCTION("""COMPUTED_VALUE"""),"確定")</f>
        <v>確定</v>
      </c>
      <c r="C5319" s="28">
        <f>IFERROR(__xludf.DUMMYFUNCTION("""COMPUTED_VALUE"""),46099.0)</f>
        <v>46099</v>
      </c>
      <c r="D5319" s="28">
        <f>IFERROR(__xludf.DUMMYFUNCTION("""COMPUTED_VALUE"""),46176.0)</f>
        <v>46176</v>
      </c>
      <c r="E5319" s="26">
        <f>IFERROR(__xludf.DUMMYFUNCTION("""COMPUTED_VALUE"""),361389.0)</f>
        <v>361389</v>
      </c>
      <c r="F5319" s="22" t="str">
        <f>IFERROR(__xludf.DUMMYFUNCTION("""COMPUTED_VALUE"""),"恋隠れ【分冊版】")</f>
        <v>恋隠れ【分冊版】</v>
      </c>
      <c r="G5319" s="20" t="str">
        <f>IFERROR(__xludf.DUMMYFUNCTION("""COMPUTED_VALUE"""),"1~2")</f>
        <v>1~2</v>
      </c>
      <c r="H5319" s="22" t="str">
        <f>IFERROR(__xludf.DUMMYFUNCTION("""COMPUTED_VALUE"""),"ぐずろ兵衛")</f>
        <v>ぐずろ兵衛</v>
      </c>
      <c r="I5319" s="22" t="str">
        <f>IFERROR(__xludf.DUMMYFUNCTION("""COMPUTED_VALUE"""),"BL")</f>
        <v>BL</v>
      </c>
      <c r="J5319" s="22"/>
      <c r="K5319" s="22" t="str">
        <f>IFERROR(__xludf.DUMMYFUNCTION("""COMPUTED_VALUE"""),"ジェラートコミックス")</f>
        <v>ジェラートコミックス</v>
      </c>
      <c r="L5319" s="22" t="str">
        <f>IFERROR(__xludf.DUMMYFUNCTION("""COMPUTED_VALUE"""),"ハーパーコリンズ・ジャパン")</f>
        <v>ハーパーコリンズ・ジャパン</v>
      </c>
      <c r="M5319" s="33">
        <f>IFERROR(__xludf.DUMMYFUNCTION("""COMPUTED_VALUE"""),46195.0)</f>
        <v>46195</v>
      </c>
      <c r="N5319" s="33">
        <f>IFERROR(__xludf.DUMMYFUNCTION("""COMPUTED_VALUE"""),46254.0)</f>
        <v>46254</v>
      </c>
      <c r="O5319" s="20"/>
      <c r="P5319" s="32" t="str">
        <f>IFERROR(__xludf.DUMMYFUNCTION("""COMPUTED_VALUE"""),"可")</f>
        <v>可</v>
      </c>
      <c r="Q5319" s="30"/>
      <c r="R5319" s="22" t="str">
        <f>IFERROR(__xludf.DUMMYFUNCTION("""COMPUTED_VALUE"""),"コミットNG")</f>
        <v>コミットNG</v>
      </c>
      <c r="S5319" s="22" t="str">
        <f>IFERROR(__xludf.DUMMYFUNCTION("""COMPUTED_VALUE"""),"20260602_ハーパーコリンズ・ジャパン_恋隠れ【分冊版】")</f>
        <v>20260602_ハーパーコリンズ・ジャパン_恋隠れ【分冊版】</v>
      </c>
      <c r="T5319" s="22" t="str">
        <f>IFERROR(__xludf.DUMMYFUNCTION("""COMPUTED_VALUE"""),"格納済み")</f>
        <v>格納済み</v>
      </c>
      <c r="U5319" s="9" t="str">
        <f>IFERROR(__xludf.DUMMYFUNCTION("""COMPUTED_VALUE"""),"ⓒぐずろ兵衛／ハーパーコリンズ・ジャパン")</f>
        <v>ⓒぐずろ兵衛／ハーパーコリンズ・ジャパン</v>
      </c>
      <c r="V5319" s="8"/>
      <c r="W5319" s="8"/>
      <c r="X5319" s="8" t="str">
        <f>IFERROR(__xludf.DUMMYFUNCTION("""COMPUTED_VALUE"""),"有")</f>
        <v>有</v>
      </c>
      <c r="Y5319" s="8" t="str">
        <f>IFERROR(__xludf.DUMMYFUNCTION("""COMPUTED_VALUE"""),"2026/7/5まで1巻無料")</f>
        <v>2026/7/5まで1巻無料</v>
      </c>
      <c r="Z5319" s="7"/>
      <c r="AA5319" s="7"/>
      <c r="AB5319" s="7"/>
    </row>
    <row r="5320" ht="15.75" customHeight="1">
      <c r="A5320" s="26">
        <f>IFERROR(__xludf.DUMMYFUNCTION("""COMPUTED_VALUE"""),7916.0)</f>
        <v>7916</v>
      </c>
      <c r="B5320" s="22" t="str">
        <f>IFERROR(__xludf.DUMMYFUNCTION("""COMPUTED_VALUE"""),"確定")</f>
        <v>確定</v>
      </c>
      <c r="C5320" s="28">
        <f>IFERROR(__xludf.DUMMYFUNCTION("""COMPUTED_VALUE"""),46140.0)</f>
        <v>46140</v>
      </c>
      <c r="D5320" s="28">
        <f>IFERROR(__xludf.DUMMYFUNCTION("""COMPUTED_VALUE"""),46175.0)</f>
        <v>46175</v>
      </c>
      <c r="E5320" s="26">
        <f>IFERROR(__xludf.DUMMYFUNCTION("""COMPUTED_VALUE"""),361113.0)</f>
        <v>361113</v>
      </c>
      <c r="F5320" s="22" t="str">
        <f>IFERROR(__xludf.DUMMYFUNCTION("""COMPUTED_VALUE"""),"もう絶対、我慢しないよ？　年の差幼なじみの甘くて重い溺愛")</f>
        <v>もう絶対、我慢しないよ？　年の差幼なじみの甘くて重い溺愛</v>
      </c>
      <c r="G5320" s="20">
        <f>IFERROR(__xludf.DUMMYFUNCTION("""COMPUTED_VALUE"""),1.0)</f>
        <v>1</v>
      </c>
      <c r="H5320" s="22" t="str">
        <f>IFERROR(__xludf.DUMMYFUNCTION("""COMPUTED_VALUE"""),"春日イサヤ")</f>
        <v>春日イサヤ</v>
      </c>
      <c r="I5320" s="22" t="str">
        <f>IFERROR(__xludf.DUMMYFUNCTION("""COMPUTED_VALUE"""),"TL")</f>
        <v>TL</v>
      </c>
      <c r="J5320" s="22"/>
      <c r="K5320" s="22" t="str">
        <f>IFERROR(__xludf.DUMMYFUNCTION("""COMPUTED_VALUE"""),"LOVEBITES")</f>
        <v>LOVEBITES</v>
      </c>
      <c r="L5320" s="22" t="str">
        <f>IFERROR(__xludf.DUMMYFUNCTION("""COMPUTED_VALUE"""),"一迅社")</f>
        <v>一迅社</v>
      </c>
      <c r="M5320" s="33">
        <f>IFERROR(__xludf.DUMMYFUNCTION("""COMPUTED_VALUE"""),46199.0)</f>
        <v>46199</v>
      </c>
      <c r="N5320" s="33">
        <f>IFERROR(__xludf.DUMMYFUNCTION("""COMPUTED_VALUE"""),46259.0)</f>
        <v>46259</v>
      </c>
      <c r="O5320" s="20" t="str">
        <f>IFERROR(__xludf.DUMMYFUNCTION("""COMPUTED_VALUE"""),"【アダルト作品扱い】")</f>
        <v>【アダルト作品扱い】</v>
      </c>
      <c r="P5320" s="32" t="str">
        <f>IFERROR(__xludf.DUMMYFUNCTION("""COMPUTED_VALUE"""),"可")</f>
        <v>可</v>
      </c>
      <c r="Q5320" s="30" t="str">
        <f>IFERROR(__xludf.DUMMYFUNCTION("""COMPUTED_VALUE"""),"『幼なじみの重すぎる純愛えっちから逃げられません…っ！アンソロジー』掲載タイトル")</f>
        <v>『幼なじみの重すぎる純愛えっちから逃げられません…っ！アンソロジー』掲載タイトル</v>
      </c>
      <c r="R5320" s="22"/>
      <c r="S5320" s="22" t="str">
        <f>IFERROR(__xludf.DUMMYFUNCTION("""COMPUTED_VALUE"""),"20260529_一迅社_もう絶対我慢しないよ？　年の差幼なじみの甘くて重い溺愛")</f>
        <v>20260529_一迅社_もう絶対我慢しないよ？　年の差幼なじみの甘くて重い溺愛</v>
      </c>
      <c r="T5320" s="22" t="str">
        <f>IFERROR(__xludf.DUMMYFUNCTION("""COMPUTED_VALUE"""),"格納済み")</f>
        <v>格納済み</v>
      </c>
      <c r="U5320" s="9" t="str">
        <f>IFERROR(__xludf.DUMMYFUNCTION("""COMPUTED_VALUE"""),"(C)春日イサヤ／一迅社")</f>
        <v>(C)春日イサヤ／一迅社</v>
      </c>
      <c r="V5320" s="8"/>
      <c r="W5320" s="8"/>
      <c r="X5320" s="8" t="str">
        <f>IFERROR(__xludf.DUMMYFUNCTION("""COMPUTED_VALUE"""),"有")</f>
        <v>有</v>
      </c>
      <c r="Y5320" s="8" t="str">
        <f>IFERROR(__xludf.DUMMYFUNCTION("""COMPUTED_VALUE"""),"p7まで")</f>
        <v>p7まで</v>
      </c>
      <c r="Z5320" s="7"/>
      <c r="AA5320" s="7"/>
      <c r="AB5320" s="7"/>
    </row>
    <row r="5321" ht="15.75" customHeight="1">
      <c r="A5321" s="26">
        <f>IFERROR(__xludf.DUMMYFUNCTION("""COMPUTED_VALUE"""),7917.0)</f>
        <v>7917</v>
      </c>
      <c r="B5321" s="22" t="str">
        <f>IFERROR(__xludf.DUMMYFUNCTION("""COMPUTED_VALUE"""),"確定")</f>
        <v>確定</v>
      </c>
      <c r="C5321" s="28">
        <f>IFERROR(__xludf.DUMMYFUNCTION("""COMPUTED_VALUE"""),46140.0)</f>
        <v>46140</v>
      </c>
      <c r="D5321" s="28">
        <f>IFERROR(__xludf.DUMMYFUNCTION("""COMPUTED_VALUE"""),46175.0)</f>
        <v>46175</v>
      </c>
      <c r="E5321" s="26">
        <f>IFERROR(__xludf.DUMMYFUNCTION("""COMPUTED_VALUE"""),361114.0)</f>
        <v>361114</v>
      </c>
      <c r="F5321" s="22" t="str">
        <f>IFERROR(__xludf.DUMMYFUNCTION("""COMPUTED_VALUE"""),"涙をふいて、たくさんキスして。")</f>
        <v>涙をふいて、たくさんキスして。</v>
      </c>
      <c r="G5321" s="20">
        <f>IFERROR(__xludf.DUMMYFUNCTION("""COMPUTED_VALUE"""),1.0)</f>
        <v>1</v>
      </c>
      <c r="H5321" s="22" t="str">
        <f>IFERROR(__xludf.DUMMYFUNCTION("""COMPUTED_VALUE"""),"金井きん")</f>
        <v>金井きん</v>
      </c>
      <c r="I5321" s="22" t="str">
        <f>IFERROR(__xludf.DUMMYFUNCTION("""COMPUTED_VALUE"""),"TL")</f>
        <v>TL</v>
      </c>
      <c r="J5321" s="22"/>
      <c r="K5321" s="22" t="str">
        <f>IFERROR(__xludf.DUMMYFUNCTION("""COMPUTED_VALUE"""),"LOVEBITES")</f>
        <v>LOVEBITES</v>
      </c>
      <c r="L5321" s="22" t="str">
        <f>IFERROR(__xludf.DUMMYFUNCTION("""COMPUTED_VALUE"""),"一迅社")</f>
        <v>一迅社</v>
      </c>
      <c r="M5321" s="33">
        <f>IFERROR(__xludf.DUMMYFUNCTION("""COMPUTED_VALUE"""),46199.0)</f>
        <v>46199</v>
      </c>
      <c r="N5321" s="33">
        <f>IFERROR(__xludf.DUMMYFUNCTION("""COMPUTED_VALUE"""),46259.0)</f>
        <v>46259</v>
      </c>
      <c r="O5321" s="20" t="str">
        <f>IFERROR(__xludf.DUMMYFUNCTION("""COMPUTED_VALUE"""),"【アダルト作品扱い】")</f>
        <v>【アダルト作品扱い】</v>
      </c>
      <c r="P5321" s="32" t="str">
        <f>IFERROR(__xludf.DUMMYFUNCTION("""COMPUTED_VALUE"""),"可")</f>
        <v>可</v>
      </c>
      <c r="Q5321" s="30" t="str">
        <f>IFERROR(__xludf.DUMMYFUNCTION("""COMPUTED_VALUE"""),"『幼なじみの重すぎる純愛えっちから逃げられません…っ！アンソロジー』掲載タイトル")</f>
        <v>『幼なじみの重すぎる純愛えっちから逃げられません…っ！アンソロジー』掲載タイトル</v>
      </c>
      <c r="R5321" s="22"/>
      <c r="S5321" s="22" t="str">
        <f>IFERROR(__xludf.DUMMYFUNCTION("""COMPUTED_VALUE"""),"20260529_一迅社_涙をふいて、たくさんキスして。")</f>
        <v>20260529_一迅社_涙をふいて、たくさんキスして。</v>
      </c>
      <c r="T5321" s="22" t="str">
        <f>IFERROR(__xludf.DUMMYFUNCTION("""COMPUTED_VALUE"""),"格納済み")</f>
        <v>格納済み</v>
      </c>
      <c r="U5321" s="9" t="str">
        <f>IFERROR(__xludf.DUMMYFUNCTION("""COMPUTED_VALUE"""),"(C)金井きん／一迅社")</f>
        <v>(C)金井きん／一迅社</v>
      </c>
      <c r="V5321" s="8"/>
      <c r="W5321" s="8"/>
      <c r="X5321" s="8" t="str">
        <f>IFERROR(__xludf.DUMMYFUNCTION("""COMPUTED_VALUE"""),"有")</f>
        <v>有</v>
      </c>
      <c r="Y5321" s="8" t="str">
        <f>IFERROR(__xludf.DUMMYFUNCTION("""COMPUTED_VALUE"""),"p9まで")</f>
        <v>p9まで</v>
      </c>
      <c r="Z5321" s="7"/>
      <c r="AA5321" s="7"/>
      <c r="AB5321" s="7"/>
    </row>
    <row r="5322" ht="15.75" customHeight="1">
      <c r="A5322" s="26">
        <f>IFERROR(__xludf.DUMMYFUNCTION("""COMPUTED_VALUE"""),7918.0)</f>
        <v>7918</v>
      </c>
      <c r="B5322" s="22" t="str">
        <f>IFERROR(__xludf.DUMMYFUNCTION("""COMPUTED_VALUE"""),"確定")</f>
        <v>確定</v>
      </c>
      <c r="C5322" s="28">
        <f>IFERROR(__xludf.DUMMYFUNCTION("""COMPUTED_VALUE"""),46140.0)</f>
        <v>46140</v>
      </c>
      <c r="D5322" s="28">
        <f>IFERROR(__xludf.DUMMYFUNCTION("""COMPUTED_VALUE"""),46175.0)</f>
        <v>46175</v>
      </c>
      <c r="E5322" s="26">
        <f>IFERROR(__xludf.DUMMYFUNCTION("""COMPUTED_VALUE"""),361115.0)</f>
        <v>361115</v>
      </c>
      <c r="F5322" s="22" t="str">
        <f>IFERROR(__xludf.DUMMYFUNCTION("""COMPUTED_VALUE"""),"アキくんはまどかちゃんをハメ堕としたい。 ヤンデレ幼なじみのイキすぎ執着えっち")</f>
        <v>アキくんはまどかちゃんをハメ堕としたい。 ヤンデレ幼なじみのイキすぎ執着えっち</v>
      </c>
      <c r="G5322" s="20">
        <f>IFERROR(__xludf.DUMMYFUNCTION("""COMPUTED_VALUE"""),1.0)</f>
        <v>1</v>
      </c>
      <c r="H5322" s="22" t="str">
        <f>IFERROR(__xludf.DUMMYFUNCTION("""COMPUTED_VALUE"""),"ねちこ")</f>
        <v>ねちこ</v>
      </c>
      <c r="I5322" s="22" t="str">
        <f>IFERROR(__xludf.DUMMYFUNCTION("""COMPUTED_VALUE"""),"TL")</f>
        <v>TL</v>
      </c>
      <c r="J5322" s="22"/>
      <c r="K5322" s="22" t="str">
        <f>IFERROR(__xludf.DUMMYFUNCTION("""COMPUTED_VALUE"""),"LOVEBITES")</f>
        <v>LOVEBITES</v>
      </c>
      <c r="L5322" s="22" t="str">
        <f>IFERROR(__xludf.DUMMYFUNCTION("""COMPUTED_VALUE"""),"一迅社")</f>
        <v>一迅社</v>
      </c>
      <c r="M5322" s="33">
        <f>IFERROR(__xludf.DUMMYFUNCTION("""COMPUTED_VALUE"""),46199.0)</f>
        <v>46199</v>
      </c>
      <c r="N5322" s="33">
        <f>IFERROR(__xludf.DUMMYFUNCTION("""COMPUTED_VALUE"""),46259.0)</f>
        <v>46259</v>
      </c>
      <c r="O5322" s="20" t="str">
        <f>IFERROR(__xludf.DUMMYFUNCTION("""COMPUTED_VALUE"""),"【アダルト作品扱い】")</f>
        <v>【アダルト作品扱い】</v>
      </c>
      <c r="P5322" s="32" t="str">
        <f>IFERROR(__xludf.DUMMYFUNCTION("""COMPUTED_VALUE"""),"可")</f>
        <v>可</v>
      </c>
      <c r="Q5322" s="30" t="str">
        <f>IFERROR(__xludf.DUMMYFUNCTION("""COMPUTED_VALUE"""),"『幼なじみの重すぎる純愛えっちから逃げられません…っ！アンソロジー』掲載タイトル")</f>
        <v>『幼なじみの重すぎる純愛えっちから逃げられません…っ！アンソロジー』掲載タイトル</v>
      </c>
      <c r="R5322" s="22"/>
      <c r="S5322" s="22" t="str">
        <f>IFERROR(__xludf.DUMMYFUNCTION("""COMPUTED_VALUE"""),"20260529_一迅社_アキくんはまどかちゃんをハメ堕としたい　ヤンデレ幼なじみのイキすぎた執着えっち")</f>
        <v>20260529_一迅社_アキくんはまどかちゃんをハメ堕としたい　ヤンデレ幼なじみのイキすぎた執着えっち</v>
      </c>
      <c r="T5322" s="22" t="str">
        <f>IFERROR(__xludf.DUMMYFUNCTION("""COMPUTED_VALUE"""),"格納済み")</f>
        <v>格納済み</v>
      </c>
      <c r="U5322" s="9" t="str">
        <f>IFERROR(__xludf.DUMMYFUNCTION("""COMPUTED_VALUE"""),"(C)ねちこ／一迅社")</f>
        <v>(C)ねちこ／一迅社</v>
      </c>
      <c r="V5322" s="8"/>
      <c r="W5322" s="8"/>
      <c r="X5322" s="8" t="str">
        <f>IFERROR(__xludf.DUMMYFUNCTION("""COMPUTED_VALUE"""),"有")</f>
        <v>有</v>
      </c>
      <c r="Y5322" s="8" t="str">
        <f>IFERROR(__xludf.DUMMYFUNCTION("""COMPUTED_VALUE"""),"p7まで")</f>
        <v>p7まで</v>
      </c>
      <c r="Z5322" s="7"/>
      <c r="AA5322" s="7"/>
      <c r="AB5322" s="7"/>
    </row>
    <row r="5323" ht="15.75" customHeight="1">
      <c r="A5323" s="26">
        <f>IFERROR(__xludf.DUMMYFUNCTION("""COMPUTED_VALUE"""),7919.0)</f>
        <v>7919</v>
      </c>
      <c r="B5323" s="22" t="str">
        <f>IFERROR(__xludf.DUMMYFUNCTION("""COMPUTED_VALUE"""),"確定")</f>
        <v>確定</v>
      </c>
      <c r="C5323" s="28">
        <f>IFERROR(__xludf.DUMMYFUNCTION("""COMPUTED_VALUE"""),46140.0)</f>
        <v>46140</v>
      </c>
      <c r="D5323" s="28">
        <f>IFERROR(__xludf.DUMMYFUNCTION("""COMPUTED_VALUE"""),46176.0)</f>
        <v>46176</v>
      </c>
      <c r="E5323" s="26">
        <f>IFERROR(__xludf.DUMMYFUNCTION("""COMPUTED_VALUE"""),361112.0)</f>
        <v>361112</v>
      </c>
      <c r="F5323" s="22" t="str">
        <f>IFERROR(__xludf.DUMMYFUNCTION("""COMPUTED_VALUE"""),"ハジメテを全部、きみの隣で。　幼なじみの純愛は重くて甘い")</f>
        <v>ハジメテを全部、きみの隣で。　幼なじみの純愛は重くて甘い</v>
      </c>
      <c r="G5323" s="20">
        <f>IFERROR(__xludf.DUMMYFUNCTION("""COMPUTED_VALUE"""),1.0)</f>
        <v>1</v>
      </c>
      <c r="H5323" s="22" t="str">
        <f>IFERROR(__xludf.DUMMYFUNCTION("""COMPUTED_VALUE"""),"いとすぎ常")</f>
        <v>いとすぎ常</v>
      </c>
      <c r="I5323" s="22" t="str">
        <f>IFERROR(__xludf.DUMMYFUNCTION("""COMPUTED_VALUE"""),"TL")</f>
        <v>TL</v>
      </c>
      <c r="J5323" s="22"/>
      <c r="K5323" s="22" t="str">
        <f>IFERROR(__xludf.DUMMYFUNCTION("""COMPUTED_VALUE"""),"LOVEBITES")</f>
        <v>LOVEBITES</v>
      </c>
      <c r="L5323" s="22" t="str">
        <f>IFERROR(__xludf.DUMMYFUNCTION("""COMPUTED_VALUE"""),"一迅社")</f>
        <v>一迅社</v>
      </c>
      <c r="M5323" s="33">
        <f>IFERROR(__xludf.DUMMYFUNCTION("""COMPUTED_VALUE"""),46199.0)</f>
        <v>46199</v>
      </c>
      <c r="N5323" s="33">
        <f>IFERROR(__xludf.DUMMYFUNCTION("""COMPUTED_VALUE"""),46259.0)</f>
        <v>46259</v>
      </c>
      <c r="O5323" s="20" t="str">
        <f>IFERROR(__xludf.DUMMYFUNCTION("""COMPUTED_VALUE"""),"【アダルト作品扱い】")</f>
        <v>【アダルト作品扱い】</v>
      </c>
      <c r="P5323" s="32" t="str">
        <f>IFERROR(__xludf.DUMMYFUNCTION("""COMPUTED_VALUE"""),"可")</f>
        <v>可</v>
      </c>
      <c r="Q5323" s="30" t="str">
        <f>IFERROR(__xludf.DUMMYFUNCTION("""COMPUTED_VALUE"""),"『幼なじみの重すぎる純愛えっちから逃げられません…っ！アンソロジー』掲載タイトル")</f>
        <v>『幼なじみの重すぎる純愛えっちから逃げられません…っ！アンソロジー』掲載タイトル</v>
      </c>
      <c r="R5323" s="22"/>
      <c r="S5323" s="22" t="str">
        <f>IFERROR(__xludf.DUMMYFUNCTION("""COMPUTED_VALUE"""),"20260601_一迅社_ハジメテを全部、きみの隣で。　幼なじみの純愛は重くて甘い」")</f>
        <v>20260601_一迅社_ハジメテを全部、きみの隣で。　幼なじみの純愛は重くて甘い」</v>
      </c>
      <c r="T5323" s="22" t="str">
        <f>IFERROR(__xludf.DUMMYFUNCTION("""COMPUTED_VALUE"""),"格納済み")</f>
        <v>格納済み</v>
      </c>
      <c r="U5323" s="9" t="str">
        <f>IFERROR(__xludf.DUMMYFUNCTION("""COMPUTED_VALUE"""),"(C)いとすぎ常／一迅社")</f>
        <v>(C)いとすぎ常／一迅社</v>
      </c>
      <c r="V5323" s="8"/>
      <c r="W5323" s="8"/>
      <c r="X5323" s="8" t="str">
        <f>IFERROR(__xludf.DUMMYFUNCTION("""COMPUTED_VALUE"""),"有")</f>
        <v>有</v>
      </c>
      <c r="Y5323" s="8" t="str">
        <f>IFERROR(__xludf.DUMMYFUNCTION("""COMPUTED_VALUE"""),"p8まで")</f>
        <v>p8まで</v>
      </c>
      <c r="Z5323" s="7"/>
      <c r="AA5323" s="7"/>
      <c r="AB5323" s="7"/>
    </row>
    <row r="5324" ht="15.75" customHeight="1">
      <c r="A5324" s="26">
        <f>IFERROR(__xludf.DUMMYFUNCTION("""COMPUTED_VALUE"""),7932.0)</f>
        <v>7932</v>
      </c>
      <c r="B5324" s="22" t="str">
        <f>IFERROR(__xludf.DUMMYFUNCTION("""COMPUTED_VALUE"""),"確定")</f>
        <v>確定</v>
      </c>
      <c r="C5324" s="28">
        <f>IFERROR(__xludf.DUMMYFUNCTION("""COMPUTED_VALUE"""),46140.0)</f>
        <v>46140</v>
      </c>
      <c r="D5324" s="28">
        <f>IFERROR(__xludf.DUMMYFUNCTION("""COMPUTED_VALUE"""),46176.0)</f>
        <v>46176</v>
      </c>
      <c r="E5324" s="26">
        <f>IFERROR(__xludf.DUMMYFUNCTION("""COMPUTED_VALUE"""),365335.0)</f>
        <v>365335</v>
      </c>
      <c r="F5324" s="22" t="str">
        <f>IFERROR(__xludf.DUMMYFUNCTION("""COMPUTED_VALUE"""),"お母さんと一緒！ ～40歳の看取りと恋～【分冊版】")</f>
        <v>お母さんと一緒！ ～40歳の看取りと恋～【分冊版】</v>
      </c>
      <c r="G5324" s="20" t="str">
        <f>IFERROR(__xludf.DUMMYFUNCTION("""COMPUTED_VALUE"""),"1~4")</f>
        <v>1~4</v>
      </c>
      <c r="H5324" s="22" t="str">
        <f>IFERROR(__xludf.DUMMYFUNCTION("""COMPUTED_VALUE"""),"広田奈都美")</f>
        <v>広田奈都美</v>
      </c>
      <c r="I5324" s="22" t="str">
        <f>IFERROR(__xludf.DUMMYFUNCTION("""COMPUTED_VALUE"""),"女性")</f>
        <v>女性</v>
      </c>
      <c r="J5324" s="22"/>
      <c r="K5324" s="22"/>
      <c r="L5324" s="22" t="str">
        <f>IFERROR(__xludf.DUMMYFUNCTION("""COMPUTED_VALUE"""),"秋田書店")</f>
        <v>秋田書店</v>
      </c>
      <c r="M5324" s="33">
        <f>IFERROR(__xludf.DUMMYFUNCTION("""COMPUTED_VALUE"""),46212.0)</f>
        <v>46212</v>
      </c>
      <c r="N5324" s="33">
        <f>IFERROR(__xludf.DUMMYFUNCTION("""COMPUTED_VALUE"""),46273.0)</f>
        <v>46273</v>
      </c>
      <c r="O5324" s="20"/>
      <c r="P5324" s="32" t="str">
        <f>IFERROR(__xludf.DUMMYFUNCTION("""COMPUTED_VALUE"""),"可")</f>
        <v>可</v>
      </c>
      <c r="Q5324" s="30" t="str">
        <f>IFERROR(__xludf.DUMMYFUNCTION("""COMPUTED_VALUE"""),"1~3巻の素材で広告制作お願いいたします。&lt;BR&gt;「ナースのチカラ ～私たちにできること 訪問看護物語～」の先生の新作です。")</f>
        <v>1~3巻の素材で広告制作お願いいたします。&lt;BR&gt;「ナースのチカラ ～私たちにできること 訪問看護物語～」の先生の新作です。</v>
      </c>
      <c r="R5324" s="22"/>
      <c r="S5324" s="22" t="str">
        <f>IFERROR(__xludf.DUMMYFUNCTION("""COMPUTED_VALUE"""),"20260602_秋田書店_お母さんと一緒！")</f>
        <v>20260602_秋田書店_お母さんと一緒！</v>
      </c>
      <c r="T5324" s="22" t="str">
        <f>IFERROR(__xludf.DUMMYFUNCTION("""COMPUTED_VALUE"""),"格納済み")</f>
        <v>格納済み</v>
      </c>
      <c r="U5324" s="9" t="str">
        <f>IFERROR(__xludf.DUMMYFUNCTION("""COMPUTED_VALUE"""),"（C）広田奈都美（秋田書店）")</f>
        <v>（C）広田奈都美（秋田書店）</v>
      </c>
      <c r="V5324" s="8"/>
      <c r="W5324" s="8"/>
      <c r="X5324" s="8" t="str">
        <f>IFERROR(__xludf.DUMMYFUNCTION("""COMPUTED_VALUE"""),"有")</f>
        <v>有</v>
      </c>
      <c r="Y5324" s="8" t="str">
        <f>IFERROR(__xludf.DUMMYFUNCTION("""COMPUTED_VALUE"""),"2026/9/8まで1巻無料")</f>
        <v>2026/9/8まで1巻無料</v>
      </c>
      <c r="Z5324" s="7"/>
      <c r="AA5324" s="7"/>
      <c r="AB5324" s="7"/>
    </row>
    <row r="5325" ht="15.75" customHeight="1">
      <c r="A5325" s="26">
        <f>IFERROR(__xludf.DUMMYFUNCTION("""COMPUTED_VALUE"""),8029.0)</f>
        <v>8029</v>
      </c>
      <c r="B5325" s="22" t="str">
        <f>IFERROR(__xludf.DUMMYFUNCTION("""COMPUTED_VALUE"""),"確定")</f>
        <v>確定</v>
      </c>
      <c r="C5325" s="28">
        <f>IFERROR(__xludf.DUMMYFUNCTION("""COMPUTED_VALUE"""),46161.0)</f>
        <v>46161</v>
      </c>
      <c r="D5325" s="28">
        <f>IFERROR(__xludf.DUMMYFUNCTION("""COMPUTED_VALUE"""),46176.0)</f>
        <v>46176</v>
      </c>
      <c r="E5325" s="26">
        <f>IFERROR(__xludf.DUMMYFUNCTION("""COMPUTED_VALUE"""),365326.0)</f>
        <v>365326</v>
      </c>
      <c r="F5325" s="22" t="str">
        <f>IFERROR(__xludf.DUMMYFUNCTION("""COMPUTED_VALUE"""),"復讐肝試し～僕がいじめっ子を懲らしめる方法～")</f>
        <v>復讐肝試し～僕がいじめっ子を懲らしめる方法～</v>
      </c>
      <c r="G5325" s="20" t="str">
        <f>IFERROR(__xludf.DUMMYFUNCTION("""COMPUTED_VALUE"""),"1~2")</f>
        <v>1~2</v>
      </c>
      <c r="H5325" s="22" t="str">
        <f>IFERROR(__xludf.DUMMYFUNCTION("""COMPUTED_VALUE"""),"蛸井こた")</f>
        <v>蛸井こた</v>
      </c>
      <c r="I5325" s="22" t="str">
        <f>IFERROR(__xludf.DUMMYFUNCTION("""COMPUTED_VALUE"""),"青年")</f>
        <v>青年</v>
      </c>
      <c r="J5325" s="22"/>
      <c r="K5325" s="22"/>
      <c r="L5325" s="22" t="str">
        <f>IFERROR(__xludf.DUMMYFUNCTION("""COMPUTED_VALUE"""),"1LDK")</f>
        <v>1LDK</v>
      </c>
      <c r="M5325" s="33">
        <f>IFERROR(__xludf.DUMMYFUNCTION("""COMPUTED_VALUE"""),46206.0)</f>
        <v>46206</v>
      </c>
      <c r="N5325" s="33">
        <f>IFERROR(__xludf.DUMMYFUNCTION("""COMPUTED_VALUE"""),46298.0)</f>
        <v>46298</v>
      </c>
      <c r="O5325" s="20"/>
      <c r="P5325" s="32" t="str">
        <f>IFERROR(__xludf.DUMMYFUNCTION("""COMPUTED_VALUE"""),"可")</f>
        <v>可</v>
      </c>
      <c r="Q5325" s="30"/>
      <c r="R5325" s="22"/>
      <c r="S5325" s="22" t="str">
        <f>IFERROR(__xludf.DUMMYFUNCTION("""COMPUTED_VALUE"""),"20260529_1LDK_復讐肝試し～僕がいじめっ子を懲らしめる方法～")</f>
        <v>20260529_1LDK_復讐肝試し～僕がいじめっ子を懲らしめる方法～</v>
      </c>
      <c r="T5325" s="22" t="str">
        <f>IFERROR(__xludf.DUMMYFUNCTION("""COMPUTED_VALUE"""),"格納済み")</f>
        <v>格納済み</v>
      </c>
      <c r="U5325" s="9" t="str">
        <f>IFERROR(__xludf.DUMMYFUNCTION("""COMPUTED_VALUE"""),"Ⓒ蛸井こた/1LDK")</f>
        <v>Ⓒ蛸井こた/1LDK</v>
      </c>
      <c r="V5325" s="8"/>
      <c r="W5325" s="8"/>
      <c r="X5325" s="8" t="str">
        <f>IFERROR(__xludf.DUMMYFUNCTION("""COMPUTED_VALUE"""),"有")</f>
        <v>有</v>
      </c>
      <c r="Y5325" s="8" t="str">
        <f>IFERROR(__xludf.DUMMYFUNCTION("""COMPUTED_VALUE"""),"2026/7/19まで1巻p12まで立ち読み増量")</f>
        <v>2026/7/19まで1巻p12まで立ち読み増量</v>
      </c>
      <c r="Z5325" s="7"/>
      <c r="AA5325" s="7"/>
      <c r="AB5325" s="7"/>
    </row>
    <row r="5326" ht="15.75" customHeight="1">
      <c r="A5326" s="26">
        <f>IFERROR(__xludf.DUMMYFUNCTION("""COMPUTED_VALUE"""),8030.0)</f>
        <v>8030</v>
      </c>
      <c r="B5326" s="22" t="str">
        <f>IFERROR(__xludf.DUMMYFUNCTION("""COMPUTED_VALUE"""),"確定")</f>
        <v>確定</v>
      </c>
      <c r="C5326" s="28">
        <f>IFERROR(__xludf.DUMMYFUNCTION("""COMPUTED_VALUE"""),46161.0)</f>
        <v>46161</v>
      </c>
      <c r="D5326" s="28">
        <f>IFERROR(__xludf.DUMMYFUNCTION("""COMPUTED_VALUE"""),46175.0)</f>
        <v>46175</v>
      </c>
      <c r="E5326" s="26"/>
      <c r="F5326" s="22" t="str">
        <f>IFERROR(__xludf.DUMMYFUNCTION("""COMPUTED_VALUE"""),"事実無婚～夫の仮面をはがすまで～")</f>
        <v>事実無婚～夫の仮面をはがすまで～</v>
      </c>
      <c r="G5326" s="20" t="str">
        <f>IFERROR(__xludf.DUMMYFUNCTION("""COMPUTED_VALUE"""),"1~4")</f>
        <v>1~4</v>
      </c>
      <c r="H5326" s="22" t="str">
        <f>IFERROR(__xludf.DUMMYFUNCTION("""COMPUTED_VALUE"""),"神崎その")</f>
        <v>神崎その</v>
      </c>
      <c r="I5326" s="22" t="str">
        <f>IFERROR(__xludf.DUMMYFUNCTION("""COMPUTED_VALUE"""),"女性")</f>
        <v>女性</v>
      </c>
      <c r="J5326" s="22"/>
      <c r="K5326" s="22"/>
      <c r="L5326" s="22" t="str">
        <f>IFERROR(__xludf.DUMMYFUNCTION("""COMPUTED_VALUE"""),"1LDK")</f>
        <v>1LDK</v>
      </c>
      <c r="M5326" s="33">
        <f>IFERROR(__xludf.DUMMYFUNCTION("""COMPUTED_VALUE"""),46241.0)</f>
        <v>46241</v>
      </c>
      <c r="N5326" s="33">
        <f>IFERROR(__xludf.DUMMYFUNCTION("""COMPUTED_VALUE"""),46333.0)</f>
        <v>46333</v>
      </c>
      <c r="O5326" s="20"/>
      <c r="P5326" s="32" t="str">
        <f>IFERROR(__xludf.DUMMYFUNCTION("""COMPUTED_VALUE"""),"可")</f>
        <v>可</v>
      </c>
      <c r="Q5326" s="30"/>
      <c r="R5326" s="22"/>
      <c r="S5326" s="22" t="str">
        <f>IFERROR(__xludf.DUMMYFUNCTION("""COMPUTED_VALUE"""),"20260529_1LDK_事実無婚～夫の仮面をはがすまで～")</f>
        <v>20260529_1LDK_事実無婚～夫の仮面をはがすまで～</v>
      </c>
      <c r="T5326" s="22" t="str">
        <f>IFERROR(__xludf.DUMMYFUNCTION("""COMPUTED_VALUE"""),"格納済み")</f>
        <v>格納済み</v>
      </c>
      <c r="U5326" s="9" t="str">
        <f>IFERROR(__xludf.DUMMYFUNCTION("""COMPUTED_VALUE"""),"Ⓒ神崎その/1LDK")</f>
        <v>Ⓒ神崎その/1LDK</v>
      </c>
      <c r="V5326" s="8"/>
      <c r="W5326" s="8"/>
      <c r="X5326" s="8"/>
      <c r="Y5326" s="8"/>
      <c r="Z5326" s="7"/>
      <c r="AA5326" s="7"/>
      <c r="AB5326" s="7"/>
    </row>
    <row r="5327" ht="15.75" customHeight="1">
      <c r="A5327" s="26">
        <f>IFERROR(__xludf.DUMMYFUNCTION("""COMPUTED_VALUE"""),8046.0)</f>
        <v>8046</v>
      </c>
      <c r="B5327" s="22" t="str">
        <f>IFERROR(__xludf.DUMMYFUNCTION("""COMPUTED_VALUE"""),"確定")</f>
        <v>確定</v>
      </c>
      <c r="C5327" s="28">
        <f>IFERROR(__xludf.DUMMYFUNCTION("""COMPUTED_VALUE"""),46162.0)</f>
        <v>46162</v>
      </c>
      <c r="D5327" s="28">
        <f>IFERROR(__xludf.DUMMYFUNCTION("""COMPUTED_VALUE"""),46170.0)</f>
        <v>46170</v>
      </c>
      <c r="E5327" s="26">
        <f>IFERROR(__xludf.DUMMYFUNCTION("""COMPUTED_VALUE"""),362416.0)</f>
        <v>362416</v>
      </c>
      <c r="F5327" s="22" t="str">
        <f>IFERROR(__xludf.DUMMYFUNCTION("""COMPUTED_VALUE"""),"こじらせ男子は好きが言えない")</f>
        <v>こじらせ男子は好きが言えない</v>
      </c>
      <c r="G5327" s="20" t="str">
        <f>IFERROR(__xludf.DUMMYFUNCTION("""COMPUTED_VALUE"""),"1~2")</f>
        <v>1~2</v>
      </c>
      <c r="H5327" s="22" t="str">
        <f>IFERROR(__xludf.DUMMYFUNCTION("""COMPUTED_VALUE"""),"水海こなた")</f>
        <v>水海こなた</v>
      </c>
      <c r="I5327" s="22" t="str">
        <f>IFERROR(__xludf.DUMMYFUNCTION("""COMPUTED_VALUE"""),"BL")</f>
        <v>BL</v>
      </c>
      <c r="J5327" s="22"/>
      <c r="K5327" s="22" t="str">
        <f>IFERROR(__xludf.DUMMYFUNCTION("""COMPUTED_VALUE"""),"NuPu")</f>
        <v>NuPu</v>
      </c>
      <c r="L5327" s="22" t="str">
        <f>IFERROR(__xludf.DUMMYFUNCTION("""COMPUTED_VALUE"""),"CLLENN")</f>
        <v>CLLENN</v>
      </c>
      <c r="M5327" s="33">
        <f>IFERROR(__xludf.DUMMYFUNCTION("""COMPUTED_VALUE"""),46191.0)</f>
        <v>46191</v>
      </c>
      <c r="N5327" s="33">
        <f>IFERROR(__xludf.DUMMYFUNCTION("""COMPUTED_VALUE"""),46253.0)</f>
        <v>46253</v>
      </c>
      <c r="O5327" s="20" t="str">
        <f>IFERROR(__xludf.DUMMYFUNCTION("""COMPUTED_VALUE"""),"【アダルト作品扱い】")</f>
        <v>【アダルト作品扱い】</v>
      </c>
      <c r="P5327" s="32" t="str">
        <f>IFERROR(__xludf.DUMMYFUNCTION("""COMPUTED_VALUE"""),"可")</f>
        <v>可</v>
      </c>
      <c r="Q5327" s="30" t="str">
        <f>IFERROR(__xludf.DUMMYFUNCTION("""COMPUTED_VALUE"""),"&lt;BR&gt;")</f>
        <v>&lt;BR&gt;</v>
      </c>
      <c r="R5327" s="22"/>
      <c r="S5327" s="22" t="str">
        <f>IFERROR(__xludf.DUMMYFUNCTION("""COMPUTED_VALUE"""),"20260525_CLLENN_こじらせ男子は好きが言えない")</f>
        <v>20260525_CLLENN_こじらせ男子は好きが言えない</v>
      </c>
      <c r="T5327" s="22" t="str">
        <f>IFERROR(__xludf.DUMMYFUNCTION("""COMPUTED_VALUE"""),"格納済み")</f>
        <v>格納済み</v>
      </c>
      <c r="U5327" s="9" t="str">
        <f>IFERROR(__xludf.DUMMYFUNCTION("""COMPUTED_VALUE"""),"Ⓒ水海こなた/CLLENN")</f>
        <v>Ⓒ水海こなた/CLLENN</v>
      </c>
      <c r="V5327" s="8"/>
      <c r="W5327" s="8"/>
      <c r="X5327" s="8" t="str">
        <f>IFERROR(__xludf.DUMMYFUNCTION("""COMPUTED_VALUE"""),"有")</f>
        <v>有</v>
      </c>
      <c r="Y5327" s="8" t="str">
        <f>IFERROR(__xludf.DUMMYFUNCTION("""COMPUTED_VALUE"""),"2026/7/1まで1巻p24まで立ち読み増量")</f>
        <v>2026/7/1まで1巻p24まで立ち読み増量</v>
      </c>
      <c r="Z5327" s="7"/>
      <c r="AA5327" s="7"/>
      <c r="AB5327" s="7"/>
    </row>
    <row r="5328" ht="15.75" customHeight="1">
      <c r="A5328" s="26">
        <f>IFERROR(__xludf.DUMMYFUNCTION("""COMPUTED_VALUE"""),8058.0)</f>
        <v>8058</v>
      </c>
      <c r="B5328" s="22" t="str">
        <f>IFERROR(__xludf.DUMMYFUNCTION("""COMPUTED_VALUE"""),"確定")</f>
        <v>確定</v>
      </c>
      <c r="C5328" s="28">
        <f>IFERROR(__xludf.DUMMYFUNCTION("""COMPUTED_VALUE"""),46162.0)</f>
        <v>46162</v>
      </c>
      <c r="D5328" s="28">
        <f>IFERROR(__xludf.DUMMYFUNCTION("""COMPUTED_VALUE"""),46175.0)</f>
        <v>46175</v>
      </c>
      <c r="E5328" s="26">
        <f>IFERROR(__xludf.DUMMYFUNCTION("""COMPUTED_VALUE"""),363826.0)</f>
        <v>363826</v>
      </c>
      <c r="F5328" s="22" t="str">
        <f>IFERROR(__xludf.DUMMYFUNCTION("""COMPUTED_VALUE"""),"死神は、また恋をする。【マイクロ】")</f>
        <v>死神は、また恋をする。【マイクロ】</v>
      </c>
      <c r="G5328" s="20" t="str">
        <f>IFERROR(__xludf.DUMMYFUNCTION("""COMPUTED_VALUE"""),"1~4")</f>
        <v>1~4</v>
      </c>
      <c r="H5328" s="22" t="str">
        <f>IFERROR(__xludf.DUMMYFUNCTION("""COMPUTED_VALUE"""),"ヒナチなお")</f>
        <v>ヒナチなお</v>
      </c>
      <c r="I5328" s="22" t="str">
        <f>IFERROR(__xludf.DUMMYFUNCTION("""COMPUTED_VALUE"""),"少女")</f>
        <v>少女</v>
      </c>
      <c r="J5328" s="22"/>
      <c r="K5328" s="22" t="str">
        <f>IFERROR(__xludf.DUMMYFUNCTION("""COMPUTED_VALUE"""),"ベツコミ")</f>
        <v>ベツコミ</v>
      </c>
      <c r="L5328" s="22" t="str">
        <f>IFERROR(__xludf.DUMMYFUNCTION("""COMPUTED_VALUE"""),"小学館")</f>
        <v>小学館</v>
      </c>
      <c r="M5328" s="33">
        <f>IFERROR(__xludf.DUMMYFUNCTION("""COMPUTED_VALUE"""),46193.0)</f>
        <v>46193</v>
      </c>
      <c r="N5328" s="33">
        <f>IFERROR(__xludf.DUMMYFUNCTION("""COMPUTED_VALUE"""),46253.0)</f>
        <v>46253</v>
      </c>
      <c r="O5328" s="20"/>
      <c r="P5328" s="32" t="str">
        <f>IFERROR(__xludf.DUMMYFUNCTION("""COMPUTED_VALUE"""),"否")</f>
        <v>否</v>
      </c>
      <c r="Q5328" s="30" t="str">
        <f>IFERROR(__xludf.DUMMYFUNCTION("""COMPUTED_VALUE"""),"『今日も王子が尊いです。』『かめばかむほど甘くなる』のヒナチなお先生の新作です。&lt;BR&gt; ＜概要＞ 彼氏も作らず、代わり映えしない日々を送る一花。ある日、車にひかれそうになった瞬間、車の上に現れた謎の男に魂を引き抜かれそうに！？ 「死神」と名乗る男は魂を回収できず、めったにないエラーなので、原因が分かるまで側でずっと見張ると言いだして・・・！！ イケメンすぎる死神との予測不能ファンタジーラブ！")</f>
        <v>『今日も王子が尊いです。』『かめばかむほど甘くなる』のヒナチなお先生の新作です。&lt;BR&gt; ＜概要＞ 彼氏も作らず、代わり映えしない日々を送る一花。ある日、車にひかれそうになった瞬間、車の上に現れた謎の男に魂を引き抜かれそうに！？ 「死神」と名乗る男は魂を回収できず、めったにないエラーなので、原因が分かるまで側でずっと見張ると言いだして・・・！！ イケメンすぎる死神との予測不能ファンタジーラブ！</v>
      </c>
      <c r="R5328" s="22"/>
      <c r="S5328" s="22" t="str">
        <f>IFERROR(__xludf.DUMMYFUNCTION("""COMPUTED_VALUE"""),"20260528_小学館_死神は、また恋をする。【マイクロ】")</f>
        <v>20260528_小学館_死神は、また恋をする。【マイクロ】</v>
      </c>
      <c r="T5328" s="22" t="str">
        <f>IFERROR(__xludf.DUMMYFUNCTION("""COMPUTED_VALUE"""),"格納済み")</f>
        <v>格納済み</v>
      </c>
      <c r="U5328" s="9" t="str">
        <f>IFERROR(__xludf.DUMMYFUNCTION("""COMPUTED_VALUE"""),"(C)ヒナチなお / 小学館")</f>
        <v>(C)ヒナチなお / 小学館</v>
      </c>
      <c r="V5328" s="8"/>
      <c r="W5328" s="8"/>
      <c r="X5328" s="8" t="str">
        <f>IFERROR(__xludf.DUMMYFUNCTION("""COMPUTED_VALUE"""),"有")</f>
        <v>有</v>
      </c>
      <c r="Y5328" s="8" t="str">
        <f>IFERROR(__xludf.DUMMYFUNCTION("""COMPUTED_VALUE"""),"2026/8/19まで1巻無料")</f>
        <v>2026/8/19まで1巻無料</v>
      </c>
      <c r="Z5328" s="7"/>
      <c r="AA5328" s="7"/>
      <c r="AB5328" s="7"/>
    </row>
    <row r="5329" ht="15.75" customHeight="1">
      <c r="A5329" s="26">
        <f>IFERROR(__xludf.DUMMYFUNCTION("""COMPUTED_VALUE"""),8100.0)</f>
        <v>8100</v>
      </c>
      <c r="B5329" s="22" t="str">
        <f>IFERROR(__xludf.DUMMYFUNCTION("""COMPUTED_VALUE"""),"確定")</f>
        <v>確定</v>
      </c>
      <c r="C5329" s="28">
        <f>IFERROR(__xludf.DUMMYFUNCTION("""COMPUTED_VALUE"""),46168.0)</f>
        <v>46168</v>
      </c>
      <c r="D5329" s="28">
        <f>IFERROR(__xludf.DUMMYFUNCTION("""COMPUTED_VALUE"""),46171.0)</f>
        <v>46171</v>
      </c>
      <c r="E5329" s="26">
        <f>IFERROR(__xludf.DUMMYFUNCTION("""COMPUTED_VALUE"""),362312.0)</f>
        <v>362312</v>
      </c>
      <c r="F5329" s="22" t="str">
        <f>IFERROR(__xludf.DUMMYFUNCTION("""COMPUTED_VALUE"""),"メルティーメイズ【連載版】")</f>
        <v>メルティーメイズ【連載版】</v>
      </c>
      <c r="G5329" s="20" t="str">
        <f>IFERROR(__xludf.DUMMYFUNCTION("""COMPUTED_VALUE"""),"1~3")</f>
        <v>1~3</v>
      </c>
      <c r="H5329" s="22" t="str">
        <f>IFERROR(__xludf.DUMMYFUNCTION("""COMPUTED_VALUE"""),"美都みと")</f>
        <v>美都みと</v>
      </c>
      <c r="I5329" s="22" t="str">
        <f>IFERROR(__xludf.DUMMYFUNCTION("""COMPUTED_VALUE"""),"BLマンガ")</f>
        <v>BLマンガ</v>
      </c>
      <c r="J5329" s="22"/>
      <c r="K5329" s="22" t="str">
        <f>IFERROR(__xludf.DUMMYFUNCTION("""COMPUTED_VALUE"""),"N.Blend")</f>
        <v>N.Blend</v>
      </c>
      <c r="L5329" s="22" t="str">
        <f>IFERROR(__xludf.DUMMYFUNCTION("""COMPUTED_VALUE"""),"ナンバーナイン")</f>
        <v>ナンバーナイン</v>
      </c>
      <c r="M5329" s="33">
        <f>IFERROR(__xludf.DUMMYFUNCTION("""COMPUTED_VALUE"""),46178.0)</f>
        <v>46178</v>
      </c>
      <c r="N5329" s="33">
        <f>IFERROR(__xludf.DUMMYFUNCTION("""COMPUTED_VALUE"""),46238.0)</f>
        <v>46238</v>
      </c>
      <c r="O5329" s="20" t="str">
        <f>IFERROR(__xludf.DUMMYFUNCTION("""COMPUTED_VALUE"""),"【アダルト作品扱い】")</f>
        <v>【アダルト作品扱い】</v>
      </c>
      <c r="P5329" s="32" t="str">
        <f>IFERROR(__xludf.DUMMYFUNCTION("""COMPUTED_VALUE"""),"可")</f>
        <v>可</v>
      </c>
      <c r="Q5329" s="30"/>
      <c r="R5329" s="22"/>
      <c r="S5329" s="22" t="str">
        <f>IFERROR(__xludf.DUMMYFUNCTION("""COMPUTED_VALUE"""),"20260529_ナンバーナイン_メルティーメイズ【連載版】")</f>
        <v>20260529_ナンバーナイン_メルティーメイズ【連載版】</v>
      </c>
      <c r="T5329" s="22" t="str">
        <f>IFERROR(__xludf.DUMMYFUNCTION("""COMPUTED_VALUE"""),"格納済み")</f>
        <v>格納済み</v>
      </c>
      <c r="U5329" s="9" t="str">
        <f>IFERROR(__xludf.DUMMYFUNCTION("""COMPUTED_VALUE"""),"(C)美都みと／ナンバーナイン")</f>
        <v>(C)美都みと／ナンバーナイン</v>
      </c>
      <c r="V5329" s="8"/>
      <c r="W5329" s="8"/>
      <c r="X5329" s="8" t="str">
        <f>IFERROR(__xludf.DUMMYFUNCTION("""COMPUTED_VALUE"""),"有")</f>
        <v>有</v>
      </c>
      <c r="Y5329" s="8" t="str">
        <f>IFERROR(__xludf.DUMMYFUNCTION("""COMPUTED_VALUE"""),"1巻永久無料")</f>
        <v>1巻永久無料</v>
      </c>
      <c r="Z5329" s="7"/>
      <c r="AA5329" s="7"/>
      <c r="AB5329" s="7"/>
    </row>
    <row r="5330" ht="15.75" customHeight="1">
      <c r="A5330" s="26">
        <f>IFERROR(__xludf.DUMMYFUNCTION("""COMPUTED_VALUE"""),8102.0)</f>
        <v>8102</v>
      </c>
      <c r="B5330" s="22" t="str">
        <f>IFERROR(__xludf.DUMMYFUNCTION("""COMPUTED_VALUE"""),"確定")</f>
        <v>確定</v>
      </c>
      <c r="C5330" s="28">
        <f>IFERROR(__xludf.DUMMYFUNCTION("""COMPUTED_VALUE"""),46169.0)</f>
        <v>46169</v>
      </c>
      <c r="D5330" s="28">
        <f>IFERROR(__xludf.DUMMYFUNCTION("""COMPUTED_VALUE"""),46174.0)</f>
        <v>46174</v>
      </c>
      <c r="E5330" s="26">
        <f>IFERROR(__xludf.DUMMYFUNCTION("""COMPUTED_VALUE"""),364417.0)</f>
        <v>364417</v>
      </c>
      <c r="F5330" s="22" t="str">
        <f>IFERROR(__xludf.DUMMYFUNCTION("""COMPUTED_VALUE"""),"一石二寵～後宮の不遇姫はおしりが光る皇帝に寵愛される～　【連載版】")</f>
        <v>一石二寵～後宮の不遇姫はおしりが光る皇帝に寵愛される～　【連載版】</v>
      </c>
      <c r="G5330" s="20" t="str">
        <f>IFERROR(__xludf.DUMMYFUNCTION("""COMPUTED_VALUE"""),"1~3")</f>
        <v>1~3</v>
      </c>
      <c r="H5330" s="22" t="str">
        <f>IFERROR(__xludf.DUMMYFUNCTION("""COMPUTED_VALUE"""),"原作：西根羽南　作画：米谷たかね")</f>
        <v>原作：西根羽南　作画：米谷たかね</v>
      </c>
      <c r="I5330" s="22" t="str">
        <f>IFERROR(__xludf.DUMMYFUNCTION("""COMPUTED_VALUE"""),"少女マンガ")</f>
        <v>少女マンガ</v>
      </c>
      <c r="J5330" s="22"/>
      <c r="K5330" s="22" t="str">
        <f>IFERROR(__xludf.DUMMYFUNCTION("""COMPUTED_VALUE"""),"comic LAKE")</f>
        <v>comic LAKE</v>
      </c>
      <c r="L5330" s="22" t="str">
        <f>IFERROR(__xludf.DUMMYFUNCTION("""COMPUTED_VALUE"""),"一迅社")</f>
        <v>一迅社</v>
      </c>
      <c r="M5330" s="33">
        <f>IFERROR(__xludf.DUMMYFUNCTION("""COMPUTED_VALUE"""),46220.0)</f>
        <v>46220</v>
      </c>
      <c r="N5330" s="33">
        <f>IFERROR(__xludf.DUMMYFUNCTION("""COMPUTED_VALUE"""),46282.0)</f>
        <v>46282</v>
      </c>
      <c r="O5330" s="20"/>
      <c r="P5330" s="32" t="str">
        <f>IFERROR(__xludf.DUMMYFUNCTION("""COMPUTED_VALUE"""),"否")</f>
        <v>否</v>
      </c>
      <c r="Q5330" s="30"/>
      <c r="R5330" s="22"/>
      <c r="S5330" s="22" t="str">
        <f>IFERROR(__xludf.DUMMYFUNCTION("""COMPUTED_VALUE"""),"20260527_一迅社_一石二寵～後宮の不遇姫はおしりが光る皇帝に寵愛される～")</f>
        <v>20260527_一迅社_一石二寵～後宮の不遇姫はおしりが光る皇帝に寵愛される～</v>
      </c>
      <c r="T5330" s="22" t="str">
        <f>IFERROR(__xludf.DUMMYFUNCTION("""COMPUTED_VALUE"""),"格納済み")</f>
        <v>格納済み</v>
      </c>
      <c r="U5330" s="9" t="str">
        <f>IFERROR(__xludf.DUMMYFUNCTION("""COMPUTED_VALUE"""),"(C)西根羽南・米谷たかね／一迅社")</f>
        <v>(C)西根羽南・米谷たかね／一迅社</v>
      </c>
      <c r="V5330" s="8"/>
      <c r="W5330" s="8"/>
      <c r="X5330" s="8" t="str">
        <f>IFERROR(__xludf.DUMMYFUNCTION("""COMPUTED_VALUE"""),"有")</f>
        <v>有</v>
      </c>
      <c r="Y5330" s="8" t="str">
        <f>IFERROR(__xludf.DUMMYFUNCTION("""COMPUTED_VALUE"""),"p6まで")</f>
        <v>p6まで</v>
      </c>
      <c r="Z5330" s="7"/>
      <c r="AA5330" s="7"/>
      <c r="AB5330" s="7"/>
    </row>
    <row r="5331" ht="15.75" customHeight="1">
      <c r="A5331" s="26">
        <f>IFERROR(__xludf.DUMMYFUNCTION("""COMPUTED_VALUE"""),8107.0)</f>
        <v>8107</v>
      </c>
      <c r="B5331" s="22" t="str">
        <f>IFERROR(__xludf.DUMMYFUNCTION("""COMPUTED_VALUE"""),"確定")</f>
        <v>確定</v>
      </c>
      <c r="C5331" s="28">
        <f>IFERROR(__xludf.DUMMYFUNCTION("""COMPUTED_VALUE"""),46169.0)</f>
        <v>46169</v>
      </c>
      <c r="D5331" s="28">
        <f>IFERROR(__xludf.DUMMYFUNCTION("""COMPUTED_VALUE"""),46175.0)</f>
        <v>46175</v>
      </c>
      <c r="E5331" s="26">
        <f>IFERROR(__xludf.DUMMYFUNCTION("""COMPUTED_VALUE"""),366722.0)</f>
        <v>366722</v>
      </c>
      <c r="F5331" s="22" t="str">
        <f>IFERROR(__xludf.DUMMYFUNCTION("""COMPUTED_VALUE"""),"点と彩に美しく")</f>
        <v>点と彩に美しく</v>
      </c>
      <c r="G5331" s="20" t="str">
        <f>IFERROR(__xludf.DUMMYFUNCTION("""COMPUTED_VALUE"""),"1～2")</f>
        <v>1～2</v>
      </c>
      <c r="H5331" s="22" t="str">
        <f>IFERROR(__xludf.DUMMYFUNCTION("""COMPUTED_VALUE"""),"藤田きろく")</f>
        <v>藤田きろく</v>
      </c>
      <c r="I5331" s="22" t="str">
        <f>IFERROR(__xludf.DUMMYFUNCTION("""COMPUTED_VALUE"""),"BL")</f>
        <v>BL</v>
      </c>
      <c r="J5331" s="22"/>
      <c r="K5331" s="22" t="str">
        <f>IFERROR(__xludf.DUMMYFUNCTION("""COMPUTED_VALUE"""),"NuPu")</f>
        <v>NuPu</v>
      </c>
      <c r="L5331" s="22" t="str">
        <f>IFERROR(__xludf.DUMMYFUNCTION("""COMPUTED_VALUE"""),"CLLENN")</f>
        <v>CLLENN</v>
      </c>
      <c r="M5331" s="33">
        <f>IFERROR(__xludf.DUMMYFUNCTION("""COMPUTED_VALUE"""),46219.0)</f>
        <v>46219</v>
      </c>
      <c r="N5331" s="33">
        <f>IFERROR(__xludf.DUMMYFUNCTION("""COMPUTED_VALUE"""),46281.0)</f>
        <v>46281</v>
      </c>
      <c r="O5331" s="20"/>
      <c r="P5331" s="32" t="str">
        <f>IFERROR(__xludf.DUMMYFUNCTION("""COMPUTED_VALUE"""),"可")</f>
        <v>可</v>
      </c>
      <c r="Q5331" s="30"/>
      <c r="R5331" s="22"/>
      <c r="S5331" s="22" t="str">
        <f>IFERROR(__xludf.DUMMYFUNCTION("""COMPUTED_VALUE"""),"20260529_CLLENN_点と彩に美しく")</f>
        <v>20260529_CLLENN_点と彩に美しく</v>
      </c>
      <c r="T5331" s="22" t="str">
        <f>IFERROR(__xludf.DUMMYFUNCTION("""COMPUTED_VALUE"""),"格納済み")</f>
        <v>格納済み</v>
      </c>
      <c r="U5331" s="9" t="str">
        <f>IFERROR(__xludf.DUMMYFUNCTION("""COMPUTED_VALUE"""),"Ⓒ藤田きろく/CLLENN")</f>
        <v>Ⓒ藤田きろく/CLLENN</v>
      </c>
      <c r="V5331" s="8"/>
      <c r="W5331" s="8"/>
      <c r="X5331" s="8" t="str">
        <f>IFERROR(__xludf.DUMMYFUNCTION("""COMPUTED_VALUE"""),"有")</f>
        <v>有</v>
      </c>
      <c r="Y5331" s="8" t="str">
        <f>IFERROR(__xludf.DUMMYFUNCTION("""COMPUTED_VALUE"""),"2026/7/29まで1巻p17まで立ち読み増量")</f>
        <v>2026/7/29まで1巻p17まで立ち読み増量</v>
      </c>
      <c r="Z5331" s="7"/>
      <c r="AA5331" s="7"/>
      <c r="AB5331" s="7"/>
    </row>
    <row r="5332" ht="15.75" customHeight="1">
      <c r="A5332" s="26">
        <f>IFERROR(__xludf.DUMMYFUNCTION("""COMPUTED_VALUE"""),8110.0)</f>
        <v>8110</v>
      </c>
      <c r="B5332" s="22" t="str">
        <f>IFERROR(__xludf.DUMMYFUNCTION("""COMPUTED_VALUE"""),"確定")</f>
        <v>確定</v>
      </c>
      <c r="C5332" s="28">
        <f>IFERROR(__xludf.DUMMYFUNCTION("""COMPUTED_VALUE"""),46170.0)</f>
        <v>46170</v>
      </c>
      <c r="D5332" s="28">
        <f>IFERROR(__xludf.DUMMYFUNCTION("""COMPUTED_VALUE"""),46174.0)</f>
        <v>46174</v>
      </c>
      <c r="E5332" s="26">
        <f>IFERROR(__xludf.DUMMYFUNCTION("""COMPUTED_VALUE"""),366440.0)</f>
        <v>366440</v>
      </c>
      <c r="F5332" s="22" t="str">
        <f>IFERROR(__xludf.DUMMYFUNCTION("""COMPUTED_VALUE"""),"清水くんの透明度【マイクロ】")</f>
        <v>清水くんの透明度【マイクロ】</v>
      </c>
      <c r="G5332" s="20" t="str">
        <f>IFERROR(__xludf.DUMMYFUNCTION("""COMPUTED_VALUE"""),"1~4")</f>
        <v>1~4</v>
      </c>
      <c r="H5332" s="22" t="str">
        <f>IFERROR(__xludf.DUMMYFUNCTION("""COMPUTED_VALUE"""),"黒乃ロク")</f>
        <v>黒乃ロク</v>
      </c>
      <c r="I5332" s="22" t="str">
        <f>IFERROR(__xludf.DUMMYFUNCTION("""COMPUTED_VALUE"""),"少女")</f>
        <v>少女</v>
      </c>
      <c r="J5332" s="22"/>
      <c r="K5332" s="22" t="str">
        <f>IFERROR(__xludf.DUMMYFUNCTION("""COMPUTED_VALUE"""),"Sho-Comi")</f>
        <v>Sho-Comi</v>
      </c>
      <c r="L5332" s="22" t="str">
        <f>IFERROR(__xludf.DUMMYFUNCTION("""COMPUTED_VALUE"""),"小学館")</f>
        <v>小学館</v>
      </c>
      <c r="M5332" s="33">
        <f>IFERROR(__xludf.DUMMYFUNCTION("""COMPUTED_VALUE"""),46208.0)</f>
        <v>46208</v>
      </c>
      <c r="N5332" s="33">
        <f>IFERROR(__xludf.DUMMYFUNCTION("""COMPUTED_VALUE"""),46299.0)</f>
        <v>46299</v>
      </c>
      <c r="O5332" s="20"/>
      <c r="P5332" s="32" t="str">
        <f>IFERROR(__xludf.DUMMYFUNCTION("""COMPUTED_VALUE"""),"否")</f>
        <v>否</v>
      </c>
      <c r="Q5332" s="30" t="str">
        <f>IFERROR(__xludf.DUMMYFUNCTION("""COMPUTED_VALUE"""),"・コマ画像内のページ番号は削除OKです。&lt;BR&gt;（服装など色味に被っているところは同色などで潰す）&lt;BR&gt;※ページ番号以外は消さないようにお願いいたします。&lt;BR&gt;&lt;BR&gt;・黒乃ロク（過去作：『高嶺さんは、飛鳥くんと遊びたい。』講談社good！アフタヌーン） ＜あらすじ＞ 高校ではじめてできたお友達は、透明人間でした。 誤解されがち不器用ガール×人気者だけど人間嫌いな透明人間ボーイ 今いちばん尊い♡すこし・ふしぎな胸きゅんスクールデイズ！")</f>
        <v>・コマ画像内のページ番号は削除OKです。&lt;BR&gt;（服装など色味に被っているところは同色などで潰す）&lt;BR&gt;※ページ番号以外は消さないようにお願いいたします。&lt;BR&gt;&lt;BR&gt;・黒乃ロク（過去作：『高嶺さんは、飛鳥くんと遊びたい。』講談社good！アフタヌーン） ＜あらすじ＞ 高校ではじめてできたお友達は、透明人間でした。 誤解されがち不器用ガール×人気者だけど人間嫌いな透明人間ボーイ 今いちばん尊い♡すこし・ふしぎな胸きゅんスクールデイズ！</v>
      </c>
      <c r="R5332" s="22"/>
      <c r="S5332" s="22" t="str">
        <f>IFERROR(__xludf.DUMMYFUNCTION("""COMPUTED_VALUE"""),"20260528_小学館_清水くんの透明度【マイクロ】")</f>
        <v>20260528_小学館_清水くんの透明度【マイクロ】</v>
      </c>
      <c r="T5332" s="22" t="str">
        <f>IFERROR(__xludf.DUMMYFUNCTION("""COMPUTED_VALUE"""),"格納済み")</f>
        <v>格納済み</v>
      </c>
      <c r="U5332" s="9" t="str">
        <f>IFERROR(__xludf.DUMMYFUNCTION("""COMPUTED_VALUE"""),"(C)黒乃ロク / 小学館")</f>
        <v>(C)黒乃ロク / 小学館</v>
      </c>
      <c r="V5332" s="8"/>
      <c r="W5332" s="8"/>
      <c r="X5332" s="8" t="str">
        <f>IFERROR(__xludf.DUMMYFUNCTION("""COMPUTED_VALUE"""),"有")</f>
        <v>有</v>
      </c>
      <c r="Y5332" s="8" t="str">
        <f>IFERROR(__xludf.DUMMYFUNCTION("""COMPUTED_VALUE"""),"p8まで")</f>
        <v>p8まで</v>
      </c>
      <c r="Z5332" s="7"/>
      <c r="AA5332" s="7"/>
      <c r="AB5332" s="7"/>
    </row>
    <row r="5333" ht="15.75" customHeight="1">
      <c r="A5333" s="26">
        <f>IFERROR(__xludf.DUMMYFUNCTION("""COMPUTED_VALUE"""),8113.0)</f>
        <v>8113</v>
      </c>
      <c r="B5333" s="22" t="str">
        <f>IFERROR(__xludf.DUMMYFUNCTION("""COMPUTED_VALUE"""),"確定")</f>
        <v>確定</v>
      </c>
      <c r="C5333" s="28">
        <f>IFERROR(__xludf.DUMMYFUNCTION("""COMPUTED_VALUE"""),46170.0)</f>
        <v>46170</v>
      </c>
      <c r="D5333" s="28">
        <f>IFERROR(__xludf.DUMMYFUNCTION("""COMPUTED_VALUE"""),46176.0)</f>
        <v>46176</v>
      </c>
      <c r="E5333" s="26">
        <f>IFERROR(__xludf.DUMMYFUNCTION("""COMPUTED_VALUE"""),364151.0)</f>
        <v>364151</v>
      </c>
      <c r="F5333" s="22" t="str">
        <f>IFERROR(__xludf.DUMMYFUNCTION("""COMPUTED_VALUE"""),"今度は俺から愛させて～義兄妹の恋は10年越しに～")</f>
        <v>今度は俺から愛させて～義兄妹の恋は10年越しに～</v>
      </c>
      <c r="G5333" s="20" t="str">
        <f>IFERROR(__xludf.DUMMYFUNCTION("""COMPUTED_VALUE"""),"1～3")</f>
        <v>1～3</v>
      </c>
      <c r="H5333" s="22" t="str">
        <f>IFERROR(__xludf.DUMMYFUNCTION("""COMPUTED_VALUE"""),"宮永深生")</f>
        <v>宮永深生</v>
      </c>
      <c r="I5333" s="22" t="str">
        <f>IFERROR(__xludf.DUMMYFUNCTION("""COMPUTED_VALUE"""),"女性")</f>
        <v>女性</v>
      </c>
      <c r="J5333" s="22"/>
      <c r="K5333" s="22" t="str">
        <f>IFERROR(__xludf.DUMMYFUNCTION("""COMPUTED_VALUE"""),"コイパレ")</f>
        <v>コイパレ</v>
      </c>
      <c r="L5333" s="22" t="str">
        <f>IFERROR(__xludf.DUMMYFUNCTION("""COMPUTED_VALUE"""),"CLLENN")</f>
        <v>CLLENN</v>
      </c>
      <c r="M5333" s="33">
        <f>IFERROR(__xludf.DUMMYFUNCTION("""COMPUTED_VALUE"""),46204.0)</f>
        <v>46204</v>
      </c>
      <c r="N5333" s="33">
        <f>IFERROR(__xludf.DUMMYFUNCTION("""COMPUTED_VALUE"""),46301.66666666667)</f>
        <v>46301.66667</v>
      </c>
      <c r="O5333" s="20"/>
      <c r="P5333" s="32" t="str">
        <f>IFERROR(__xludf.DUMMYFUNCTION("""COMPUTED_VALUE"""),"可")</f>
        <v>可</v>
      </c>
      <c r="Q5333" s="30"/>
      <c r="R5333" s="22"/>
      <c r="S5333" s="22" t="str">
        <f>IFERROR(__xludf.DUMMYFUNCTION("""COMPUTED_VALUE"""),"20260528_CLLENN_今度は俺から愛させて～義兄妹の恋は10年越しに～")</f>
        <v>20260528_CLLENN_今度は俺から愛させて～義兄妹の恋は10年越しに～</v>
      </c>
      <c r="T5333" s="22" t="str">
        <f>IFERROR(__xludf.DUMMYFUNCTION("""COMPUTED_VALUE"""),"格納済み")</f>
        <v>格納済み</v>
      </c>
      <c r="U5333" s="9" t="str">
        <f>IFERROR(__xludf.DUMMYFUNCTION("""COMPUTED_VALUE"""),"Ⓒ宮永深生/CLLENN")</f>
        <v>Ⓒ宮永深生/CLLENN</v>
      </c>
      <c r="V5333" s="8"/>
      <c r="W5333" s="8"/>
      <c r="X5333" s="8" t="str">
        <f>IFERROR(__xludf.DUMMYFUNCTION("""COMPUTED_VALUE"""),"有")</f>
        <v>有</v>
      </c>
      <c r="Y5333" s="8" t="str">
        <f>IFERROR(__xludf.DUMMYFUNCTION("""COMPUTED_VALUE"""),"p10まで")</f>
        <v>p10まで</v>
      </c>
      <c r="Z5333" s="7"/>
      <c r="AA5333" s="7"/>
      <c r="AB5333" s="7"/>
    </row>
    <row r="5334" ht="15.75" customHeight="1">
      <c r="A5334" s="26">
        <f>IFERROR(__xludf.DUMMYFUNCTION("""COMPUTED_VALUE"""),8114.0)</f>
        <v>8114</v>
      </c>
      <c r="B5334" s="22" t="str">
        <f>IFERROR(__xludf.DUMMYFUNCTION("""COMPUTED_VALUE"""),"確定")</f>
        <v>確定</v>
      </c>
      <c r="C5334" s="28">
        <f>IFERROR(__xludf.DUMMYFUNCTION("""COMPUTED_VALUE"""),46170.0)</f>
        <v>46170</v>
      </c>
      <c r="D5334" s="28">
        <f>IFERROR(__xludf.DUMMYFUNCTION("""COMPUTED_VALUE"""),46176.0)</f>
        <v>46176</v>
      </c>
      <c r="E5334" s="26">
        <f>IFERROR(__xludf.DUMMYFUNCTION("""COMPUTED_VALUE"""),366723.0)</f>
        <v>366723</v>
      </c>
      <c r="F5334" s="22" t="str">
        <f>IFERROR(__xludf.DUMMYFUNCTION("""COMPUTED_VALUE"""),"ブルームーンをかきまぜて")</f>
        <v>ブルームーンをかきまぜて</v>
      </c>
      <c r="G5334" s="20" t="str">
        <f>IFERROR(__xludf.DUMMYFUNCTION("""COMPUTED_VALUE"""),"1～2")</f>
        <v>1～2</v>
      </c>
      <c r="H5334" s="22" t="str">
        <f>IFERROR(__xludf.DUMMYFUNCTION("""COMPUTED_VALUE"""),"へなへなこ")</f>
        <v>へなへなこ</v>
      </c>
      <c r="I5334" s="22" t="str">
        <f>IFERROR(__xludf.DUMMYFUNCTION("""COMPUTED_VALUE"""),"BL")</f>
        <v>BL</v>
      </c>
      <c r="J5334" s="22"/>
      <c r="K5334" s="22" t="str">
        <f>IFERROR(__xludf.DUMMYFUNCTION("""COMPUTED_VALUE"""),"NuPu")</f>
        <v>NuPu</v>
      </c>
      <c r="L5334" s="22" t="str">
        <f>IFERROR(__xludf.DUMMYFUNCTION("""COMPUTED_VALUE"""),"CLLENN")</f>
        <v>CLLENN</v>
      </c>
      <c r="M5334" s="33">
        <f>IFERROR(__xludf.DUMMYFUNCTION("""COMPUTED_VALUE"""),46219.0)</f>
        <v>46219</v>
      </c>
      <c r="N5334" s="33">
        <f>IFERROR(__xludf.DUMMYFUNCTION("""COMPUTED_VALUE"""),46281.0)</f>
        <v>46281</v>
      </c>
      <c r="O5334" s="20"/>
      <c r="P5334" s="32" t="str">
        <f>IFERROR(__xludf.DUMMYFUNCTION("""COMPUTED_VALUE"""),"可")</f>
        <v>可</v>
      </c>
      <c r="Q5334" s="30"/>
      <c r="R5334" s="22"/>
      <c r="S5334" s="22" t="str">
        <f>IFERROR(__xludf.DUMMYFUNCTION("""COMPUTED_VALUE"""),"20260529_CLLENN_ブルームーンをかきまぜて")</f>
        <v>20260529_CLLENN_ブルームーンをかきまぜて</v>
      </c>
      <c r="T5334" s="22" t="str">
        <f>IFERROR(__xludf.DUMMYFUNCTION("""COMPUTED_VALUE"""),"格納済み")</f>
        <v>格納済み</v>
      </c>
      <c r="U5334" s="9" t="str">
        <f>IFERROR(__xludf.DUMMYFUNCTION("""COMPUTED_VALUE"""),"Ⓒへなへなこ/CLLENN")</f>
        <v>Ⓒへなへなこ/CLLENN</v>
      </c>
      <c r="V5334" s="8"/>
      <c r="W5334" s="8"/>
      <c r="X5334" s="8" t="str">
        <f>IFERROR(__xludf.DUMMYFUNCTION("""COMPUTED_VALUE"""),"有")</f>
        <v>有</v>
      </c>
      <c r="Y5334" s="8" t="str">
        <f>IFERROR(__xludf.DUMMYFUNCTION("""COMPUTED_VALUE"""),"2026/7/29まで1巻p20まで立ち読み増量")</f>
        <v>2026/7/29まで1巻p20まで立ち読み増量</v>
      </c>
      <c r="Z5334" s="7"/>
      <c r="AA5334" s="7"/>
      <c r="AB5334" s="7"/>
    </row>
    <row r="5335" ht="15.75" customHeight="1">
      <c r="A5335" s="26">
        <f>IFERROR(__xludf.DUMMYFUNCTION("""COMPUTED_VALUE"""),8119.0)</f>
        <v>8119</v>
      </c>
      <c r="B5335" s="22" t="str">
        <f>IFERROR(__xludf.DUMMYFUNCTION("""COMPUTED_VALUE"""),"確定")</f>
        <v>確定</v>
      </c>
      <c r="C5335" s="28">
        <f>IFERROR(__xludf.DUMMYFUNCTION("""COMPUTED_VALUE"""),46170.0)</f>
        <v>46170</v>
      </c>
      <c r="D5335" s="28">
        <f>IFERROR(__xludf.DUMMYFUNCTION("""COMPUTED_VALUE"""),46174.0)</f>
        <v>46174</v>
      </c>
      <c r="E5335" s="26">
        <f>IFERROR(__xludf.DUMMYFUNCTION("""COMPUTED_VALUE"""),363668.0)</f>
        <v>363668</v>
      </c>
      <c r="F5335" s="22" t="str">
        <f>IFERROR(__xludf.DUMMYFUNCTION("""COMPUTED_VALUE"""),"和装契約恋愛帖～初恋のカレは着物がお好き？～")</f>
        <v>和装契約恋愛帖～初恋のカレは着物がお好き？～</v>
      </c>
      <c r="G5335" s="20" t="str">
        <f>IFERROR(__xludf.DUMMYFUNCTION("""COMPUTED_VALUE"""),"1~5")</f>
        <v>1~5</v>
      </c>
      <c r="H5335" s="22" t="str">
        <f>IFERROR(__xludf.DUMMYFUNCTION("""COMPUTED_VALUE"""),"長谷川ゆう")</f>
        <v>長谷川ゆう</v>
      </c>
      <c r="I5335" s="22" t="str">
        <f>IFERROR(__xludf.DUMMYFUNCTION("""COMPUTED_VALUE"""),"TL")</f>
        <v>TL</v>
      </c>
      <c r="J5335" s="22"/>
      <c r="K5335" s="22"/>
      <c r="L5335" s="22" t="str">
        <f>IFERROR(__xludf.DUMMYFUNCTION("""COMPUTED_VALUE"""),"PsycheLoss")</f>
        <v>PsycheLoss</v>
      </c>
      <c r="M5335" s="33">
        <f>IFERROR(__xludf.DUMMYFUNCTION("""COMPUTED_VALUE"""),46197.0)</f>
        <v>46197</v>
      </c>
      <c r="N5335" s="33">
        <f>IFERROR(__xludf.DUMMYFUNCTION("""COMPUTED_VALUE"""),46288.0)</f>
        <v>46288</v>
      </c>
      <c r="O5335" s="20"/>
      <c r="P5335" s="32" t="str">
        <f>IFERROR(__xludf.DUMMYFUNCTION("""COMPUTED_VALUE"""),"可")</f>
        <v>可</v>
      </c>
      <c r="Q5335" s="30" t="str">
        <f>IFERROR(__xludf.DUMMYFUNCTION("""COMPUTED_VALUE"""),"・下記作品の続編・新作です。&lt;BR&gt;和装純情恋愛帖～見合い相手はお着物男子～　長谷川ゆう&lt;BR&gt;https://www.cmoa.jp/title/171819/&lt;BR&gt;・月1話配信予定です。&lt;BR&gt;")</f>
        <v>・下記作品の続編・新作です。&lt;BR&gt;和装純情恋愛帖～見合い相手はお着物男子～　長谷川ゆう&lt;BR&gt;https://www.cmoa.jp/title/171819/&lt;BR&gt;・月1話配信予定です。&lt;BR&gt;</v>
      </c>
      <c r="R5335" s="22"/>
      <c r="S5335" s="22" t="str">
        <f>IFERROR(__xludf.DUMMYFUNCTION("""COMPUTED_VALUE"""),"20260527_PsycheLoss_和装契約恋愛帖～初恋のカレは着物がお好き？～")</f>
        <v>20260527_PsycheLoss_和装契約恋愛帖～初恋のカレは着物がお好き？～</v>
      </c>
      <c r="T5335" s="22" t="str">
        <f>IFERROR(__xludf.DUMMYFUNCTION("""COMPUTED_VALUE"""),"格納済み")</f>
        <v>格納済み</v>
      </c>
      <c r="U5335" s="9" t="str">
        <f>IFERROR(__xludf.DUMMYFUNCTION("""COMPUTED_VALUE"""),"Ⓒ長谷川ゆう/PsycheLoss")</f>
        <v>Ⓒ長谷川ゆう/PsycheLoss</v>
      </c>
      <c r="V5335" s="8"/>
      <c r="W5335" s="8"/>
      <c r="X5335" s="8" t="str">
        <f>IFERROR(__xludf.DUMMYFUNCTION("""COMPUTED_VALUE"""),"有")</f>
        <v>有</v>
      </c>
      <c r="Y5335" s="8" t="str">
        <f>IFERROR(__xludf.DUMMYFUNCTION("""COMPUTED_VALUE"""),"p6まで")</f>
        <v>p6まで</v>
      </c>
      <c r="Z5335" s="7"/>
      <c r="AA5335" s="7"/>
      <c r="AB5335" s="7"/>
    </row>
    <row r="5336" ht="15.75" customHeight="1">
      <c r="A5336" s="26">
        <f>IFERROR(__xludf.DUMMYFUNCTION("""COMPUTED_VALUE"""),8120.0)</f>
        <v>8120</v>
      </c>
      <c r="B5336" s="22" t="str">
        <f>IFERROR(__xludf.DUMMYFUNCTION("""COMPUTED_VALUE"""),"確定")</f>
        <v>確定</v>
      </c>
      <c r="C5336" s="28">
        <f>IFERROR(__xludf.DUMMYFUNCTION("""COMPUTED_VALUE"""),46171.0)</f>
        <v>46171</v>
      </c>
      <c r="D5336" s="28">
        <f>IFERROR(__xludf.DUMMYFUNCTION("""COMPUTED_VALUE"""),46175.0)</f>
        <v>46175</v>
      </c>
      <c r="E5336" s="26">
        <f>IFERROR(__xludf.DUMMYFUNCTION("""COMPUTED_VALUE"""),362313.0)</f>
        <v>362313</v>
      </c>
      <c r="F5336" s="22" t="str">
        <f>IFERROR(__xludf.DUMMYFUNCTION("""COMPUTED_VALUE"""),"ワガママを言わせて【連載版】")</f>
        <v>ワガママを言わせて【連載版】</v>
      </c>
      <c r="G5336" s="20" t="str">
        <f>IFERROR(__xludf.DUMMYFUNCTION("""COMPUTED_VALUE"""),"1~3")</f>
        <v>1~3</v>
      </c>
      <c r="H5336" s="22" t="str">
        <f>IFERROR(__xludf.DUMMYFUNCTION("""COMPUTED_VALUE"""),"阿津六")</f>
        <v>阿津六</v>
      </c>
      <c r="I5336" s="22" t="str">
        <f>IFERROR(__xludf.DUMMYFUNCTION("""COMPUTED_VALUE"""),"BLマンガ")</f>
        <v>BLマンガ</v>
      </c>
      <c r="J5336" s="22"/>
      <c r="K5336" s="22" t="str">
        <f>IFERROR(__xludf.DUMMYFUNCTION("""COMPUTED_VALUE"""),"N.Blend")</f>
        <v>N.Blend</v>
      </c>
      <c r="L5336" s="22" t="str">
        <f>IFERROR(__xludf.DUMMYFUNCTION("""COMPUTED_VALUE"""),"ナンバーナイン")</f>
        <v>ナンバーナイン</v>
      </c>
      <c r="M5336" s="33">
        <f>IFERROR(__xludf.DUMMYFUNCTION("""COMPUTED_VALUE"""),46178.0)</f>
        <v>46178</v>
      </c>
      <c r="N5336" s="33">
        <f>IFERROR(__xludf.DUMMYFUNCTION("""COMPUTED_VALUE"""),46238.0)</f>
        <v>46238</v>
      </c>
      <c r="O5336" s="20"/>
      <c r="P5336" s="32" t="str">
        <f>IFERROR(__xludf.DUMMYFUNCTION("""COMPUTED_VALUE"""),"可")</f>
        <v>可</v>
      </c>
      <c r="Q5336" s="30"/>
      <c r="R5336" s="22"/>
      <c r="S5336" s="22" t="str">
        <f>IFERROR(__xludf.DUMMYFUNCTION("""COMPUTED_VALUE"""),"20260529_ナンバーナイン_ワガママを言わせて【連載版】")</f>
        <v>20260529_ナンバーナイン_ワガママを言わせて【連載版】</v>
      </c>
      <c r="T5336" s="22" t="str">
        <f>IFERROR(__xludf.DUMMYFUNCTION("""COMPUTED_VALUE"""),"格納済み")</f>
        <v>格納済み</v>
      </c>
      <c r="U5336" s="9" t="str">
        <f>IFERROR(__xludf.DUMMYFUNCTION("""COMPUTED_VALUE"""),"(C)阿津六／ナンバーナイン")</f>
        <v>(C)阿津六／ナンバーナイン</v>
      </c>
      <c r="V5336" s="8"/>
      <c r="W5336" s="8"/>
      <c r="X5336" s="8" t="str">
        <f>IFERROR(__xludf.DUMMYFUNCTION("""COMPUTED_VALUE"""),"有")</f>
        <v>有</v>
      </c>
      <c r="Y5336" s="8" t="str">
        <f>IFERROR(__xludf.DUMMYFUNCTION("""COMPUTED_VALUE"""),"1巻永久無料")</f>
        <v>1巻永久無料</v>
      </c>
      <c r="Z5336" s="7"/>
      <c r="AA5336" s="7"/>
      <c r="AB5336" s="7"/>
    </row>
    <row r="5337" ht="15.75" customHeight="1">
      <c r="A5337" s="26">
        <f>IFERROR(__xludf.DUMMYFUNCTION("""COMPUTED_VALUE"""),8122.0)</f>
        <v>8122</v>
      </c>
      <c r="B5337" s="22" t="str">
        <f>IFERROR(__xludf.DUMMYFUNCTION("""COMPUTED_VALUE"""),"確定")</f>
        <v>確定</v>
      </c>
      <c r="C5337" s="28">
        <f>IFERROR(__xludf.DUMMYFUNCTION("""COMPUTED_VALUE"""),46174.0)</f>
        <v>46174</v>
      </c>
      <c r="D5337" s="28">
        <f>IFERROR(__xludf.DUMMYFUNCTION("""COMPUTED_VALUE"""),46176.0)</f>
        <v>46176</v>
      </c>
      <c r="E5337" s="26"/>
      <c r="F5337" s="22" t="str">
        <f>IFERROR(__xludf.DUMMYFUNCTION("""COMPUTED_VALUE"""),"異世界転生令嬢、出奔する")</f>
        <v>異世界転生令嬢、出奔する</v>
      </c>
      <c r="G5337" s="20" t="str">
        <f>IFERROR(__xludf.DUMMYFUNCTION("""COMPUTED_VALUE"""),"1~6")</f>
        <v>1~6</v>
      </c>
      <c r="H5337" s="22" t="str">
        <f>IFERROR(__xludf.DUMMYFUNCTION("""COMPUTED_VALUE"""),"猫野美羽・久城春樹")</f>
        <v>猫野美羽・久城春樹</v>
      </c>
      <c r="I5337" s="22" t="str">
        <f>IFERROR(__xludf.DUMMYFUNCTION("""COMPUTED_VALUE"""),"女性マンガ")</f>
        <v>女性マンガ</v>
      </c>
      <c r="J5337" s="22"/>
      <c r="K5337" s="22"/>
      <c r="L5337" s="22" t="str">
        <f>IFERROR(__xludf.DUMMYFUNCTION("""COMPUTED_VALUE"""),"アルファポリス")</f>
        <v>アルファポリス</v>
      </c>
      <c r="M5337" s="33">
        <f>IFERROR(__xludf.DUMMYFUNCTION("""COMPUTED_VALUE"""),46260.0)</f>
        <v>46260</v>
      </c>
      <c r="N5337" s="33">
        <f>IFERROR(__xludf.DUMMYFUNCTION("""COMPUTED_VALUE"""),46353.0)</f>
        <v>46353</v>
      </c>
      <c r="O5337" s="20"/>
      <c r="P5337" s="32" t="str">
        <f>IFERROR(__xludf.DUMMYFUNCTION("""COMPUTED_VALUE"""),"可")</f>
        <v>可</v>
      </c>
      <c r="Q5337" s="30" t="str">
        <f>IFERROR(__xludf.DUMMYFUNCTION("""COMPUTED_VALUE"""),"自社サイトでの人気はレジーナの中でもトップクラスの作品で、超期待作です。")</f>
        <v>自社サイトでの人気はレジーナの中でもトップクラスの作品で、超期待作です。</v>
      </c>
      <c r="R5337" s="22"/>
      <c r="S5337" s="22" t="str">
        <f>IFERROR(__xludf.DUMMYFUNCTION("""COMPUTED_VALUE"""),"20260601_アルファポリス_異世界転生令嬢、出奔する")</f>
        <v>20260601_アルファポリス_異世界転生令嬢、出奔する</v>
      </c>
      <c r="T5337" s="22" t="str">
        <f>IFERROR(__xludf.DUMMYFUNCTION("""COMPUTED_VALUE"""),"格納済み")</f>
        <v>格納済み</v>
      </c>
      <c r="U5337" s="9" t="str">
        <f>IFERROR(__xludf.DUMMYFUNCTION("""COMPUTED_VALUE"""),"（C）猫野美羽・久城春樹／アルファポリス")</f>
        <v>（C）猫野美羽・久城春樹／アルファポリス</v>
      </c>
      <c r="V5337" s="8"/>
      <c r="W5337" s="8"/>
      <c r="X5337" s="8"/>
      <c r="Y5337" s="8"/>
      <c r="Z5337" s="7"/>
      <c r="AA5337" s="7"/>
      <c r="AB5337" s="7"/>
    </row>
    <row r="5338" ht="15.75" customHeight="1">
      <c r="A5338" s="26">
        <f>IFERROR(__xludf.DUMMYFUNCTION("""COMPUTED_VALUE"""),8123.0)</f>
        <v>8123</v>
      </c>
      <c r="B5338" s="22" t="str">
        <f>IFERROR(__xludf.DUMMYFUNCTION("""COMPUTED_VALUE"""),"確定")</f>
        <v>確定</v>
      </c>
      <c r="C5338" s="28">
        <f>IFERROR(__xludf.DUMMYFUNCTION("""COMPUTED_VALUE"""),46174.0)</f>
        <v>46174</v>
      </c>
      <c r="D5338" s="28">
        <f>IFERROR(__xludf.DUMMYFUNCTION("""COMPUTED_VALUE"""),46176.0)</f>
        <v>46176</v>
      </c>
      <c r="E5338" s="26">
        <f>IFERROR(__xludf.DUMMYFUNCTION("""COMPUTED_VALUE"""),363920.0)</f>
        <v>363920</v>
      </c>
      <c r="F5338" s="22" t="str">
        <f>IFERROR(__xludf.DUMMYFUNCTION("""COMPUTED_VALUE"""),"オナニーしないで私でイッてよ！〜本音を暴いたら無限に××されちゃいました〜【R版】")</f>
        <v>オナニーしないで私でイッてよ！〜本音を暴いたら無限に××されちゃいました〜【R版】</v>
      </c>
      <c r="G5338" s="20" t="str">
        <f>IFERROR(__xludf.DUMMYFUNCTION("""COMPUTED_VALUE"""),"1~2")</f>
        <v>1~2</v>
      </c>
      <c r="H5338" s="22" t="str">
        <f>IFERROR(__xludf.DUMMYFUNCTION("""COMPUTED_VALUE"""),"キケンな男子図鑑┴やわてぃっしゅ")</f>
        <v>キケンな男子図鑑┴やわてぃっしゅ</v>
      </c>
      <c r="I5338" s="22" t="str">
        <f>IFERROR(__xludf.DUMMYFUNCTION("""COMPUTED_VALUE"""),"アダルト")</f>
        <v>アダルト</v>
      </c>
      <c r="J5338" s="22"/>
      <c r="K5338" s="22"/>
      <c r="L5338" s="22" t="str">
        <f>IFERROR(__xludf.DUMMYFUNCTION("""COMPUTED_VALUE"""),"BBB")</f>
        <v>BBB</v>
      </c>
      <c r="M5338" s="33">
        <f>IFERROR(__xludf.DUMMYFUNCTION("""COMPUTED_VALUE"""),46201.0)</f>
        <v>46201</v>
      </c>
      <c r="N5338" s="33">
        <f>IFERROR(__xludf.DUMMYFUNCTION("""COMPUTED_VALUE"""),46292.0)</f>
        <v>46292</v>
      </c>
      <c r="O5338" s="20"/>
      <c r="P5338" s="32" t="str">
        <f>IFERROR(__xludf.DUMMYFUNCTION("""COMPUTED_VALUE"""),"可")</f>
        <v>可</v>
      </c>
      <c r="Q5338" s="30" t="str">
        <f>IFERROR(__xludf.DUMMYFUNCTION("""COMPUTED_VALUE"""),"格納素材を2分割して初回1~2巻として配信します。&lt;BR&gt;TL版も同時配信予定。")</f>
        <v>格納素材を2分割して初回1~2巻として配信します。&lt;BR&gt;TL版も同時配信予定。</v>
      </c>
      <c r="R5338" s="22"/>
      <c r="S5338" s="22" t="str">
        <f>IFERROR(__xludf.DUMMYFUNCTION("""COMPUTED_VALUE"""),"20260601_BBB_オナニーしないで私でイッてよ！〜本音を暴いたら無限に××されちゃいました〜【R版】")</f>
        <v>20260601_BBB_オナニーしないで私でイッてよ！〜本音を暴いたら無限に××されちゃいました〜【R版】</v>
      </c>
      <c r="T5338" s="22" t="str">
        <f>IFERROR(__xludf.DUMMYFUNCTION("""COMPUTED_VALUE"""),"格納済み")</f>
        <v>格納済み</v>
      </c>
      <c r="U5338" s="9" t="str">
        <f>IFERROR(__xludf.DUMMYFUNCTION("""COMPUTED_VALUE"""),"Ⓒやわてぃっしゅ/キケンな男子図鑑/Caleido Comics")</f>
        <v>Ⓒやわてぃっしゅ/キケンな男子図鑑/Caleido Comics</v>
      </c>
      <c r="V5338" s="8"/>
      <c r="W5338" s="8"/>
      <c r="X5338" s="8" t="str">
        <f>IFERROR(__xludf.DUMMYFUNCTION("""COMPUTED_VALUE"""),"有")</f>
        <v>有</v>
      </c>
      <c r="Y5338" s="8" t="str">
        <f>IFERROR(__xludf.DUMMYFUNCTION("""COMPUTED_VALUE"""),"p15まで")</f>
        <v>p15まで</v>
      </c>
      <c r="Z5338" s="7"/>
      <c r="AA5338" s="7"/>
      <c r="AB5338" s="7"/>
    </row>
    <row r="5339" ht="15.75" customHeight="1">
      <c r="A5339" s="26">
        <f>IFERROR(__xludf.DUMMYFUNCTION("""COMPUTED_VALUE"""),8128.0)</f>
        <v>8128</v>
      </c>
      <c r="B5339" s="22" t="str">
        <f>IFERROR(__xludf.DUMMYFUNCTION("""COMPUTED_VALUE"""),"確定")</f>
        <v>確定</v>
      </c>
      <c r="C5339" s="28">
        <f>IFERROR(__xludf.DUMMYFUNCTION("""COMPUTED_VALUE"""),46175.0)</f>
        <v>46175</v>
      </c>
      <c r="D5339" s="28">
        <f>IFERROR(__xludf.DUMMYFUNCTION("""COMPUTED_VALUE"""),46175.0)</f>
        <v>46175</v>
      </c>
      <c r="E5339" s="26"/>
      <c r="F5339" s="22" t="str">
        <f>IFERROR(__xludf.DUMMYFUNCTION("""COMPUTED_VALUE"""),"ハメられたのは、あなたがたです ～格下の好色老貴族からの縁談を、私に押しつけた結果～")</f>
        <v>ハメられたのは、あなたがたです ～格下の好色老貴族からの縁談を、私に押しつけた結果～</v>
      </c>
      <c r="G5339" s="20">
        <f>IFERROR(__xludf.DUMMYFUNCTION("""COMPUTED_VALUE"""),1.0)</f>
        <v>1</v>
      </c>
      <c r="H5339" s="22" t="str">
        <f>IFERROR(__xludf.DUMMYFUNCTION("""COMPUTED_VALUE"""),"漫画：桃宮ちょこ　原作：越智屋ノマ")</f>
        <v>漫画：桃宮ちょこ　原作：越智屋ノマ</v>
      </c>
      <c r="I5339" s="22" t="str">
        <f>IFERROR(__xludf.DUMMYFUNCTION("""COMPUTED_VALUE"""),"少女")</f>
        <v>少女</v>
      </c>
      <c r="J5339" s="22"/>
      <c r="K5339" s="22" t="str">
        <f>IFERROR(__xludf.DUMMYFUNCTION("""COMPUTED_VALUE"""),"ZERO-SUMコミックス")</f>
        <v>ZERO-SUMコミックス</v>
      </c>
      <c r="L5339" s="22" t="str">
        <f>IFERROR(__xludf.DUMMYFUNCTION("""COMPUTED_VALUE"""),"一迅社")</f>
        <v>一迅社</v>
      </c>
      <c r="M5339" s="33">
        <f>IFERROR(__xludf.DUMMYFUNCTION("""COMPUTED_VALUE"""),46266.0)</f>
        <v>46266</v>
      </c>
      <c r="N5339" s="33">
        <f>IFERROR(__xludf.DUMMYFUNCTION("""COMPUTED_VALUE"""),46326.0)</f>
        <v>46326</v>
      </c>
      <c r="O5339" s="20"/>
      <c r="P5339" s="32" t="str">
        <f>IFERROR(__xludf.DUMMYFUNCTION("""COMPUTED_VALUE"""),"否")</f>
        <v>否</v>
      </c>
      <c r="Q5339" s="30" t="str">
        <f>IFERROR(__xludf.DUMMYFUNCTION("""COMPUTED_VALUE"""),"「身代わり花嫁は、旦那様から溺愛されるようです アンソロジーコミック」2巻掲載")</f>
        <v>「身代わり花嫁は、旦那様から溺愛されるようです アンソロジーコミック」2巻掲載</v>
      </c>
      <c r="R5339" s="22"/>
      <c r="S5339" s="22" t="str">
        <f>IFERROR(__xludf.DUMMYFUNCTION("""COMPUTED_VALUE"""),"20260602_一迅社_ハメられたのは、あなたがたです ～格下の好色老貴族からの縁談を、私に押しつけた結果～")</f>
        <v>20260602_一迅社_ハメられたのは、あなたがたです ～格下の好色老貴族からの縁談を、私に押しつけた結果～</v>
      </c>
      <c r="T5339" s="22" t="str">
        <f>IFERROR(__xludf.DUMMYFUNCTION("""COMPUTED_VALUE"""),"格納済み")</f>
        <v>格納済み</v>
      </c>
      <c r="U5339" s="9" t="str">
        <f>IFERROR(__xludf.DUMMYFUNCTION("""COMPUTED_VALUE"""),"(C)桃宮ちょこ・越智屋ノマ／一迅社")</f>
        <v>(C)桃宮ちょこ・越智屋ノマ／一迅社</v>
      </c>
      <c r="V5339" s="8"/>
      <c r="W5339" s="8"/>
      <c r="X5339" s="8"/>
      <c r="Y5339" s="8"/>
      <c r="Z5339" s="7"/>
      <c r="AA5339" s="7"/>
      <c r="AB5339" s="7"/>
    </row>
    <row r="5340" ht="15.75" customHeight="1">
      <c r="A5340" s="26">
        <f>IFERROR(__xludf.DUMMYFUNCTION("""COMPUTED_VALUE"""),8044.0)</f>
        <v>8044</v>
      </c>
      <c r="B5340" s="22" t="str">
        <f>IFERROR(__xludf.DUMMYFUNCTION("""COMPUTED_VALUE"""),"確定")</f>
        <v>確定</v>
      </c>
      <c r="C5340" s="28">
        <f>IFERROR(__xludf.DUMMYFUNCTION("""COMPUTED_VALUE"""),46162.0)</f>
        <v>46162</v>
      </c>
      <c r="D5340" s="28">
        <f>IFERROR(__xludf.DUMMYFUNCTION("""COMPUTED_VALUE"""),46181.0)</f>
        <v>46181</v>
      </c>
      <c r="E5340" s="26">
        <f>IFERROR(__xludf.DUMMYFUNCTION("""COMPUTED_VALUE"""),362115.0)</f>
        <v>362115</v>
      </c>
      <c r="F5340" s="22" t="str">
        <f>IFERROR(__xludf.DUMMYFUNCTION("""COMPUTED_VALUE"""),"「〇〇しないと出られない部屋」に幼なじみと閉じ込められました！ 分冊版")</f>
        <v>「〇〇しないと出られない部屋」に幼なじみと閉じ込められました！ 分冊版</v>
      </c>
      <c r="G5340" s="20">
        <f>IFERROR(__xludf.DUMMYFUNCTION("""COMPUTED_VALUE"""),1.0)</f>
        <v>1</v>
      </c>
      <c r="H5340" s="22" t="str">
        <f>IFERROR(__xludf.DUMMYFUNCTION("""COMPUTED_VALUE"""),"冬至冬")</f>
        <v>冬至冬</v>
      </c>
      <c r="I5340" s="22" t="str">
        <f>IFERROR(__xludf.DUMMYFUNCTION("""COMPUTED_VALUE"""),"BL")</f>
        <v>BL</v>
      </c>
      <c r="J5340" s="22"/>
      <c r="K5340" s="22" t="str">
        <f>IFERROR(__xludf.DUMMYFUNCTION("""COMPUTED_VALUE"""),"チルシェコミックス")</f>
        <v>チルシェコミックス</v>
      </c>
      <c r="L5340" s="22" t="str">
        <f>IFERROR(__xludf.DUMMYFUNCTION("""COMPUTED_VALUE"""),"双葉社")</f>
        <v>双葉社</v>
      </c>
      <c r="M5340" s="33">
        <f>IFERROR(__xludf.DUMMYFUNCTION("""COMPUTED_VALUE"""),46192.0)</f>
        <v>46192</v>
      </c>
      <c r="N5340" s="33">
        <f>IFERROR(__xludf.DUMMYFUNCTION("""COMPUTED_VALUE"""),46222.0)</f>
        <v>46222</v>
      </c>
      <c r="O5340" s="20"/>
      <c r="P5340" s="32" t="str">
        <f>IFERROR(__xludf.DUMMYFUNCTION("""COMPUTED_VALUE"""),"可")</f>
        <v>可</v>
      </c>
      <c r="Q5340" s="30" t="str">
        <f>IFERROR(__xludf.DUMMYFUNCTION("""COMPUTED_VALUE"""),"※※6/5広告用素材とリリース範囲に差異がないか確認が取れたため出稿準備お願い致します。※※")</f>
        <v>※※6/5広告用素材とリリース範囲に差異がないか確認が取れたため出稿準備お願い致します。※※</v>
      </c>
      <c r="R5340" s="22"/>
      <c r="S5340" s="22" t="str">
        <f>IFERROR(__xludf.DUMMYFUNCTION("""COMPUTED_VALUE"""),"20260520_双葉社_「〇〇しないと出られない部屋」に幼なじみと閉じ込められました！ 分冊版")</f>
        <v>20260520_双葉社_「〇〇しないと出られない部屋」に幼なじみと閉じ込められました！ 分冊版</v>
      </c>
      <c r="T5340" s="22" t="str">
        <f>IFERROR(__xludf.DUMMYFUNCTION("""COMPUTED_VALUE"""),"格納済み")</f>
        <v>格納済み</v>
      </c>
      <c r="U5340" s="9" t="str">
        <f>IFERROR(__xludf.DUMMYFUNCTION("""COMPUTED_VALUE"""),"Ⓒ冬至冬/双葉社")</f>
        <v>Ⓒ冬至冬/双葉社</v>
      </c>
      <c r="V5340" s="8"/>
      <c r="W5340" s="8"/>
      <c r="X5340" s="8" t="str">
        <f>IFERROR(__xludf.DUMMYFUNCTION("""COMPUTED_VALUE"""),"有")</f>
        <v>有</v>
      </c>
      <c r="Y5340" s="8" t="str">
        <f>IFERROR(__xludf.DUMMYFUNCTION("""COMPUTED_VALUE"""),"p13まで")</f>
        <v>p13まで</v>
      </c>
      <c r="Z5340" s="7"/>
      <c r="AA5340" s="7"/>
      <c r="AB5340" s="7"/>
    </row>
    <row r="5341" ht="15.75" customHeight="1">
      <c r="A5341" s="26">
        <f>IFERROR(__xludf.DUMMYFUNCTION("""COMPUTED_VALUE"""),7238.0)</f>
        <v>7238</v>
      </c>
      <c r="B5341" s="22" t="str">
        <f>IFERROR(__xludf.DUMMYFUNCTION("""COMPUTED_VALUE"""),"確定")</f>
        <v>確定</v>
      </c>
      <c r="C5341" s="28">
        <f>IFERROR(__xludf.DUMMYFUNCTION("""COMPUTED_VALUE"""),46038.0)</f>
        <v>46038</v>
      </c>
      <c r="D5341" s="28">
        <f>IFERROR(__xludf.DUMMYFUNCTION("""COMPUTED_VALUE"""),46183.0)</f>
        <v>46183</v>
      </c>
      <c r="E5341" s="26">
        <f>IFERROR(__xludf.DUMMYFUNCTION("""COMPUTED_VALUE"""),364418.0)</f>
        <v>364418</v>
      </c>
      <c r="F5341" s="22" t="str">
        <f>IFERROR(__xludf.DUMMYFUNCTION("""COMPUTED_VALUE"""),"魔法が解けたその先で―― 秘密の独占求愛")</f>
        <v>魔法が解けたその先で―― 秘密の独占求愛</v>
      </c>
      <c r="G5341" s="20">
        <f>IFERROR(__xludf.DUMMYFUNCTION("""COMPUTED_VALUE"""),1.0)</f>
        <v>1</v>
      </c>
      <c r="H5341" s="22" t="str">
        <f>IFERROR(__xludf.DUMMYFUNCTION("""COMPUTED_VALUE"""),"ぽつねんじん")</f>
        <v>ぽつねんじん</v>
      </c>
      <c r="I5341" s="22" t="str">
        <f>IFERROR(__xludf.DUMMYFUNCTION("""COMPUTED_VALUE"""),"TL")</f>
        <v>TL</v>
      </c>
      <c r="J5341" s="22"/>
      <c r="K5341" s="22" t="str">
        <f>IFERROR(__xludf.DUMMYFUNCTION("""COMPUTED_VALUE"""),"comic LAKE")</f>
        <v>comic LAKE</v>
      </c>
      <c r="L5341" s="22" t="str">
        <f>IFERROR(__xludf.DUMMYFUNCTION("""COMPUTED_VALUE"""),"一迅社")</f>
        <v>一迅社</v>
      </c>
      <c r="M5341" s="33">
        <f>IFERROR(__xludf.DUMMYFUNCTION("""COMPUTED_VALUE"""),46220.0)</f>
        <v>46220</v>
      </c>
      <c r="N5341" s="33">
        <f>IFERROR(__xludf.DUMMYFUNCTION("""COMPUTED_VALUE"""),46282.0)</f>
        <v>46282</v>
      </c>
      <c r="O5341" s="20" t="str">
        <f>IFERROR(__xludf.DUMMYFUNCTION("""COMPUTED_VALUE"""),"【アダルト作品扱い】")</f>
        <v>【アダルト作品扱い】</v>
      </c>
      <c r="P5341" s="32" t="str">
        <f>IFERROR(__xludf.DUMMYFUNCTION("""COMPUTED_VALUE"""),"可")</f>
        <v>可</v>
      </c>
      <c r="Q5341" s="30" t="str">
        <f>IFERROR(__xludf.DUMMYFUNCTION("""COMPUTED_VALUE"""),"『えっちなおとぎ話アンソロジー キスより先の秘密ごと』の単話配信")</f>
        <v>『えっちなおとぎ話アンソロジー キスより先の秘密ごと』の単話配信</v>
      </c>
      <c r="R5341" s="22" t="str">
        <f>IFERROR(__xludf.DUMMYFUNCTION("""COMPUTED_VALUE"""),"コミットNG")</f>
        <v>コミットNG</v>
      </c>
      <c r="S5341" s="22" t="str">
        <f>IFERROR(__xludf.DUMMYFUNCTION("""COMPUTED_VALUE"""),"20260609_一迅社_魔法が解けたその先で―― 秘密の独占求愛")</f>
        <v>20260609_一迅社_魔法が解けたその先で―― 秘密の独占求愛</v>
      </c>
      <c r="T5341" s="22" t="str">
        <f>IFERROR(__xludf.DUMMYFUNCTION("""COMPUTED_VALUE"""),"格納済み")</f>
        <v>格納済み</v>
      </c>
      <c r="U5341" s="9" t="str">
        <f>IFERROR(__xludf.DUMMYFUNCTION("""COMPUTED_VALUE"""),"(C)ぽつねんじん／一迅社")</f>
        <v>(C)ぽつねんじん／一迅社</v>
      </c>
      <c r="V5341" s="8"/>
      <c r="W5341" s="8"/>
      <c r="X5341" s="8" t="str">
        <f>IFERROR(__xludf.DUMMYFUNCTION("""COMPUTED_VALUE"""),"有")</f>
        <v>有</v>
      </c>
      <c r="Y5341" s="8" t="str">
        <f>IFERROR(__xludf.DUMMYFUNCTION("""COMPUTED_VALUE"""),"p7まで")</f>
        <v>p7まで</v>
      </c>
      <c r="Z5341" s="7"/>
      <c r="AA5341" s="7"/>
      <c r="AB5341" s="7"/>
    </row>
    <row r="5342" ht="15.75" customHeight="1">
      <c r="A5342" s="26">
        <f>IFERROR(__xludf.DUMMYFUNCTION("""COMPUTED_VALUE"""),7239.0)</f>
        <v>7239</v>
      </c>
      <c r="B5342" s="22" t="str">
        <f>IFERROR(__xludf.DUMMYFUNCTION("""COMPUTED_VALUE"""),"確定")</f>
        <v>確定</v>
      </c>
      <c r="C5342" s="28">
        <f>IFERROR(__xludf.DUMMYFUNCTION("""COMPUTED_VALUE"""),46038.0)</f>
        <v>46038</v>
      </c>
      <c r="D5342" s="28">
        <f>IFERROR(__xludf.DUMMYFUNCTION("""COMPUTED_VALUE"""),46183.0)</f>
        <v>46183</v>
      </c>
      <c r="E5342" s="26">
        <f>IFERROR(__xludf.DUMMYFUNCTION("""COMPUTED_VALUE"""),364422.0)</f>
        <v>364422</v>
      </c>
      <c r="F5342" s="22" t="str">
        <f>IFERROR(__xludf.DUMMYFUNCTION("""COMPUTED_VALUE"""),"砂漠の王の寵愛契約")</f>
        <v>砂漠の王の寵愛契約</v>
      </c>
      <c r="G5342" s="20">
        <f>IFERROR(__xludf.DUMMYFUNCTION("""COMPUTED_VALUE"""),1.0)</f>
        <v>1</v>
      </c>
      <c r="H5342" s="22" t="str">
        <f>IFERROR(__xludf.DUMMYFUNCTION("""COMPUTED_VALUE"""),"東京遊星")</f>
        <v>東京遊星</v>
      </c>
      <c r="I5342" s="22" t="str">
        <f>IFERROR(__xludf.DUMMYFUNCTION("""COMPUTED_VALUE"""),"TL")</f>
        <v>TL</v>
      </c>
      <c r="J5342" s="22"/>
      <c r="K5342" s="22" t="str">
        <f>IFERROR(__xludf.DUMMYFUNCTION("""COMPUTED_VALUE"""),"comic LAKE")</f>
        <v>comic LAKE</v>
      </c>
      <c r="L5342" s="22" t="str">
        <f>IFERROR(__xludf.DUMMYFUNCTION("""COMPUTED_VALUE"""),"一迅社")</f>
        <v>一迅社</v>
      </c>
      <c r="M5342" s="33">
        <f>IFERROR(__xludf.DUMMYFUNCTION("""COMPUTED_VALUE"""),46220.0)</f>
        <v>46220</v>
      </c>
      <c r="N5342" s="33">
        <f>IFERROR(__xludf.DUMMYFUNCTION("""COMPUTED_VALUE"""),46282.0)</f>
        <v>46282</v>
      </c>
      <c r="O5342" s="20" t="str">
        <f>IFERROR(__xludf.DUMMYFUNCTION("""COMPUTED_VALUE"""),"【アダルト作品扱い】")</f>
        <v>【アダルト作品扱い】</v>
      </c>
      <c r="P5342" s="32" t="str">
        <f>IFERROR(__xludf.DUMMYFUNCTION("""COMPUTED_VALUE"""),"可")</f>
        <v>可</v>
      </c>
      <c r="Q5342" s="30" t="str">
        <f>IFERROR(__xludf.DUMMYFUNCTION("""COMPUTED_VALUE"""),"『えっちなおとぎ話アンソロジー キスより先の秘密ごと』の単話配信")</f>
        <v>『えっちなおとぎ話アンソロジー キスより先の秘密ごと』の単話配信</v>
      </c>
      <c r="R5342" s="22"/>
      <c r="S5342" s="22" t="str">
        <f>IFERROR(__xludf.DUMMYFUNCTION("""COMPUTED_VALUE"""),"20260609_一迅社_砂漠の王の寵愛契約")</f>
        <v>20260609_一迅社_砂漠の王の寵愛契約</v>
      </c>
      <c r="T5342" s="22" t="str">
        <f>IFERROR(__xludf.DUMMYFUNCTION("""COMPUTED_VALUE"""),"格納済み")</f>
        <v>格納済み</v>
      </c>
      <c r="U5342" s="9" t="str">
        <f>IFERROR(__xludf.DUMMYFUNCTION("""COMPUTED_VALUE"""),"(C)東京遊星／一迅社")</f>
        <v>(C)東京遊星／一迅社</v>
      </c>
      <c r="V5342" s="8"/>
      <c r="W5342" s="8"/>
      <c r="X5342" s="8" t="str">
        <f>IFERROR(__xludf.DUMMYFUNCTION("""COMPUTED_VALUE"""),"有")</f>
        <v>有</v>
      </c>
      <c r="Y5342" s="8" t="str">
        <f>IFERROR(__xludf.DUMMYFUNCTION("""COMPUTED_VALUE"""),"p7まで")</f>
        <v>p7まで</v>
      </c>
      <c r="Z5342" s="7"/>
      <c r="AA5342" s="7"/>
      <c r="AB5342" s="7"/>
    </row>
    <row r="5343" ht="15.75" customHeight="1">
      <c r="A5343" s="26">
        <f>IFERROR(__xludf.DUMMYFUNCTION("""COMPUTED_VALUE"""),7278.0)</f>
        <v>7278</v>
      </c>
      <c r="B5343" s="22" t="str">
        <f>IFERROR(__xludf.DUMMYFUNCTION("""COMPUTED_VALUE"""),"確定")</f>
        <v>確定</v>
      </c>
      <c r="C5343" s="28">
        <f>IFERROR(__xludf.DUMMYFUNCTION("""COMPUTED_VALUE"""),46045.0)</f>
        <v>46045</v>
      </c>
      <c r="D5343" s="28">
        <f>IFERROR(__xludf.DUMMYFUNCTION("""COMPUTED_VALUE"""),46183.0)</f>
        <v>46183</v>
      </c>
      <c r="E5343" s="26">
        <f>IFERROR(__xludf.DUMMYFUNCTION("""COMPUTED_VALUE"""),363887.0)</f>
        <v>363887</v>
      </c>
      <c r="F5343" s="22" t="str">
        <f>IFERROR(__xludf.DUMMYFUNCTION("""COMPUTED_VALUE"""),"前世で処刑された聖女、今は黒薬師と呼ばれています（分冊版）")</f>
        <v>前世で処刑された聖女、今は黒薬師と呼ばれています（分冊版）</v>
      </c>
      <c r="G5343" s="20" t="str">
        <f>IFERROR(__xludf.DUMMYFUNCTION("""COMPUTED_VALUE"""),"1~5")</f>
        <v>1~5</v>
      </c>
      <c r="H5343" s="22" t="str">
        <f>IFERROR(__xludf.DUMMYFUNCTION("""COMPUTED_VALUE"""),"矢野りと・末永萌乃")</f>
        <v>矢野りと・末永萌乃</v>
      </c>
      <c r="I5343" s="22" t="str">
        <f>IFERROR(__xludf.DUMMYFUNCTION("""COMPUTED_VALUE"""),"女性")</f>
        <v>女性</v>
      </c>
      <c r="J5343" s="22"/>
      <c r="K5343" s="22"/>
      <c r="L5343" s="22" t="str">
        <f>IFERROR(__xludf.DUMMYFUNCTION("""COMPUTED_VALUE"""),"アルファポリス")</f>
        <v>アルファポリス</v>
      </c>
      <c r="M5343" s="33">
        <f>IFERROR(__xludf.DUMMYFUNCTION("""COMPUTED_VALUE"""),46199.0)</f>
        <v>46199</v>
      </c>
      <c r="N5343" s="33">
        <f>IFERROR(__xludf.DUMMYFUNCTION("""COMPUTED_VALUE"""),46289.0)</f>
        <v>46289</v>
      </c>
      <c r="O5343" s="20"/>
      <c r="P5343" s="32" t="str">
        <f>IFERROR(__xludf.DUMMYFUNCTION("""COMPUTED_VALUE"""),"可")</f>
        <v>可</v>
      </c>
      <c r="Q5343" s="30"/>
      <c r="R5343" s="22"/>
      <c r="S5343" s="22" t="str">
        <f>IFERROR(__xludf.DUMMYFUNCTION("""COMPUTED_VALUE"""),"20260511_アルファポリス_前世で処刑された聖女、今は黒薬師と呼ばれています")</f>
        <v>20260511_アルファポリス_前世で処刑された聖女、今は黒薬師と呼ばれています</v>
      </c>
      <c r="T5343" s="22" t="str">
        <f>IFERROR(__xludf.DUMMYFUNCTION("""COMPUTED_VALUE"""),"格納済み")</f>
        <v>格納済み</v>
      </c>
      <c r="U5343" s="9" t="str">
        <f>IFERROR(__xludf.DUMMYFUNCTION("""COMPUTED_VALUE"""),"（C）矢野りと・末永萌乃／アルファポリス")</f>
        <v>（C）矢野りと・末永萌乃／アルファポリス</v>
      </c>
      <c r="V5343" s="8"/>
      <c r="W5343" s="8"/>
      <c r="X5343" s="8" t="str">
        <f>IFERROR(__xludf.DUMMYFUNCTION("""COMPUTED_VALUE"""),"有")</f>
        <v>有</v>
      </c>
      <c r="Y5343" s="8" t="str">
        <f>IFERROR(__xludf.DUMMYFUNCTION("""COMPUTED_VALUE"""),"2026/7/9まで1巻無料")</f>
        <v>2026/7/9まで1巻無料</v>
      </c>
      <c r="Z5343" s="7"/>
      <c r="AA5343" s="7"/>
      <c r="AB5343" s="7"/>
    </row>
    <row r="5344" ht="15.75" customHeight="1">
      <c r="A5344" s="26">
        <f>IFERROR(__xludf.DUMMYFUNCTION("""COMPUTED_VALUE"""),7279.0)</f>
        <v>7279</v>
      </c>
      <c r="B5344" s="22" t="str">
        <f>IFERROR(__xludf.DUMMYFUNCTION("""COMPUTED_VALUE"""),"確定")</f>
        <v>確定</v>
      </c>
      <c r="C5344" s="28">
        <f>IFERROR(__xludf.DUMMYFUNCTION("""COMPUTED_VALUE"""),46045.0)</f>
        <v>46045</v>
      </c>
      <c r="D5344" s="28">
        <f>IFERROR(__xludf.DUMMYFUNCTION("""COMPUTED_VALUE"""),46183.0)</f>
        <v>46183</v>
      </c>
      <c r="E5344" s="26">
        <f>IFERROR(__xludf.DUMMYFUNCTION("""COMPUTED_VALUE"""),363886.0)</f>
        <v>363886</v>
      </c>
      <c r="F5344" s="22" t="str">
        <f>IFERROR(__xludf.DUMMYFUNCTION("""COMPUTED_VALUE"""),"お飾りの側妃ですね？わかりました。どうぞ私のことは放っといてください！（分冊版）")</f>
        <v>お飾りの側妃ですね？わかりました。どうぞ私のことは放っといてください！（分冊版）</v>
      </c>
      <c r="G5344" s="20" t="str">
        <f>IFERROR(__xludf.DUMMYFUNCTION("""COMPUTED_VALUE"""),"1~5")</f>
        <v>1~5</v>
      </c>
      <c r="H5344" s="22" t="str">
        <f>IFERROR(__xludf.DUMMYFUNCTION("""COMPUTED_VALUE"""),"水川サキ・春原まい")</f>
        <v>水川サキ・春原まい</v>
      </c>
      <c r="I5344" s="22" t="str">
        <f>IFERROR(__xludf.DUMMYFUNCTION("""COMPUTED_VALUE"""),"女性")</f>
        <v>女性</v>
      </c>
      <c r="J5344" s="22"/>
      <c r="K5344" s="22"/>
      <c r="L5344" s="22" t="str">
        <f>IFERROR(__xludf.DUMMYFUNCTION("""COMPUTED_VALUE"""),"アルファポリス")</f>
        <v>アルファポリス</v>
      </c>
      <c r="M5344" s="33">
        <f>IFERROR(__xludf.DUMMYFUNCTION("""COMPUTED_VALUE"""),46199.0)</f>
        <v>46199</v>
      </c>
      <c r="N5344" s="33">
        <f>IFERROR(__xludf.DUMMYFUNCTION("""COMPUTED_VALUE"""),46289.0)</f>
        <v>46289</v>
      </c>
      <c r="O5344" s="20"/>
      <c r="P5344" s="32" t="str">
        <f>IFERROR(__xludf.DUMMYFUNCTION("""COMPUTED_VALUE"""),"可")</f>
        <v>可</v>
      </c>
      <c r="Q5344" s="30"/>
      <c r="R5344" s="22"/>
      <c r="S5344" s="22" t="str">
        <f>IFERROR(__xludf.DUMMYFUNCTION("""COMPUTED_VALUE"""),"20260511_アルファポリス_お飾りの側妃ですね？わかりました。どうぞ私のことは放っておいてください！")</f>
        <v>20260511_アルファポリス_お飾りの側妃ですね？わかりました。どうぞ私のことは放っておいてください！</v>
      </c>
      <c r="T5344" s="22" t="str">
        <f>IFERROR(__xludf.DUMMYFUNCTION("""COMPUTED_VALUE"""),"格納済み")</f>
        <v>格納済み</v>
      </c>
      <c r="U5344" s="9" t="str">
        <f>IFERROR(__xludf.DUMMYFUNCTION("""COMPUTED_VALUE"""),"（C）水川サキ・春原まい／アルファポリス")</f>
        <v>（C）水川サキ・春原まい／アルファポリス</v>
      </c>
      <c r="V5344" s="8"/>
      <c r="W5344" s="8"/>
      <c r="X5344" s="8" t="str">
        <f>IFERROR(__xludf.DUMMYFUNCTION("""COMPUTED_VALUE"""),"有")</f>
        <v>有</v>
      </c>
      <c r="Y5344" s="8" t="str">
        <f>IFERROR(__xludf.DUMMYFUNCTION("""COMPUTED_VALUE"""),"2026/7/9まで1巻無料")</f>
        <v>2026/7/9まで1巻無料</v>
      </c>
      <c r="Z5344" s="7"/>
      <c r="AA5344" s="7"/>
      <c r="AB5344" s="7"/>
    </row>
    <row r="5345" ht="15.75" customHeight="1">
      <c r="A5345" s="26">
        <f>IFERROR(__xludf.DUMMYFUNCTION("""COMPUTED_VALUE"""),7327.0)</f>
        <v>7327</v>
      </c>
      <c r="B5345" s="22" t="str">
        <f>IFERROR(__xludf.DUMMYFUNCTION("""COMPUTED_VALUE"""),"確定")</f>
        <v>確定</v>
      </c>
      <c r="C5345" s="28">
        <f>IFERROR(__xludf.DUMMYFUNCTION("""COMPUTED_VALUE"""),46050.0)</f>
        <v>46050</v>
      </c>
      <c r="D5345" s="28">
        <f>IFERROR(__xludf.DUMMYFUNCTION("""COMPUTED_VALUE"""),46183.0)</f>
        <v>46183</v>
      </c>
      <c r="E5345" s="26"/>
      <c r="F5345" s="22" t="str">
        <f>IFERROR(__xludf.DUMMYFUNCTION("""COMPUTED_VALUE"""),"致死量の妻")</f>
        <v>致死量の妻</v>
      </c>
      <c r="G5345" s="220">
        <f>IFERROR(__xludf.DUMMYFUNCTION("""COMPUTED_VALUE"""),46027.0)</f>
        <v>46027</v>
      </c>
      <c r="H5345" s="22" t="str">
        <f>IFERROR(__xludf.DUMMYFUNCTION("""COMPUTED_VALUE"""),"目黒川うな・野宮有・peep")</f>
        <v>目黒川うな・野宮有・peep</v>
      </c>
      <c r="I5345" s="22" t="str">
        <f>IFERROR(__xludf.DUMMYFUNCTION("""COMPUTED_VALUE"""),"女性")</f>
        <v>女性</v>
      </c>
      <c r="J5345" s="22"/>
      <c r="K5345" s="22"/>
      <c r="L5345" s="22" t="str">
        <f>IFERROR(__xludf.DUMMYFUNCTION("""COMPUTED_VALUE"""),"コアミックス")</f>
        <v>コアミックス</v>
      </c>
      <c r="M5345" s="33">
        <f>IFERROR(__xludf.DUMMYFUNCTION("""COMPUTED_VALUE"""),46227.0)</f>
        <v>46227</v>
      </c>
      <c r="N5345" s="33">
        <f>IFERROR(__xludf.DUMMYFUNCTION("""COMPUTED_VALUE"""),46407.0)</f>
        <v>46407</v>
      </c>
      <c r="O5345" s="20"/>
      <c r="P5345" s="32" t="str">
        <f>IFERROR(__xludf.DUMMYFUNCTION("""COMPUTED_VALUE"""),"可")</f>
        <v>可</v>
      </c>
      <c r="Q5345" s="30" t="str">
        <f>IFERROR(__xludf.DUMMYFUNCTION("""COMPUTED_VALUE"""),"素材と巻数については下記の通りです。&lt;BR&gt;第1話（1）=1巻&lt;BR&gt;第1話（2）=2巻&lt;BR&gt;第2話（1）=3巻&lt;BR&gt;第2話（2）=4巻&lt;BR&gt;第3話（1）=5巻")</f>
        <v>素材と巻数については下記の通りです。&lt;BR&gt;第1話（1）=1巻&lt;BR&gt;第1話（2）=2巻&lt;BR&gt;第2話（1）=3巻&lt;BR&gt;第2話（2）=4巻&lt;BR&gt;第3話（1）=5巻</v>
      </c>
      <c r="R5345" s="22" t="str">
        <f>IFERROR(__xludf.DUMMYFUNCTION("""COMPUTED_VALUE"""),"コミットOK")</f>
        <v>コミットOK</v>
      </c>
      <c r="S5345" s="22" t="str">
        <f>IFERROR(__xludf.DUMMYFUNCTION("""COMPUTED_VALUE"""),"20260605_コアミックス_致死量の妻")</f>
        <v>20260605_コアミックス_致死量の妻</v>
      </c>
      <c r="T5345" s="22" t="str">
        <f>IFERROR(__xludf.DUMMYFUNCTION("""COMPUTED_VALUE"""),"格納済み")</f>
        <v>格納済み</v>
      </c>
      <c r="U5345" s="9" t="str">
        <f>IFERROR(__xludf.DUMMYFUNCTION("""COMPUTED_VALUE"""),"Ⓒ︎目黒川うな／コアミックス Ⓒ︎野宮有／peep")</f>
        <v>Ⓒ︎目黒川うな／コアミックス Ⓒ︎野宮有／peep</v>
      </c>
      <c r="V5345" s="8"/>
      <c r="W5345" s="8"/>
      <c r="X5345" s="8"/>
      <c r="Y5345" s="8"/>
      <c r="Z5345" s="7"/>
      <c r="AA5345" s="7"/>
      <c r="AB5345" s="7"/>
    </row>
    <row r="5346" ht="15.75" customHeight="1">
      <c r="A5346" s="26">
        <f>IFERROR(__xludf.DUMMYFUNCTION("""COMPUTED_VALUE"""),7535.0)</f>
        <v>7535</v>
      </c>
      <c r="B5346" s="22" t="str">
        <f>IFERROR(__xludf.DUMMYFUNCTION("""COMPUTED_VALUE"""),"確定")</f>
        <v>確定</v>
      </c>
      <c r="C5346" s="28">
        <f>IFERROR(__xludf.DUMMYFUNCTION("""COMPUTED_VALUE"""),46079.0)</f>
        <v>46079</v>
      </c>
      <c r="D5346" s="28">
        <f>IFERROR(__xludf.DUMMYFUNCTION("""COMPUTED_VALUE"""),46183.0)</f>
        <v>46183</v>
      </c>
      <c r="E5346" s="26">
        <f>IFERROR(__xludf.DUMMYFUNCTION("""COMPUTED_VALUE"""),364423.0)</f>
        <v>364423</v>
      </c>
      <c r="F5346" s="22" t="str">
        <f>IFERROR(__xludf.DUMMYFUNCTION("""COMPUTED_VALUE"""),"カタブツ桃太郎（絶倫）がえっちな鬼退治に来た話")</f>
        <v>カタブツ桃太郎（絶倫）がえっちな鬼退治に来た話</v>
      </c>
      <c r="G5346" s="20">
        <f>IFERROR(__xludf.DUMMYFUNCTION("""COMPUTED_VALUE"""),1.0)</f>
        <v>1</v>
      </c>
      <c r="H5346" s="22" t="str">
        <f>IFERROR(__xludf.DUMMYFUNCTION("""COMPUTED_VALUE"""),"ヤマト蛍")</f>
        <v>ヤマト蛍</v>
      </c>
      <c r="I5346" s="22" t="str">
        <f>IFERROR(__xludf.DUMMYFUNCTION("""COMPUTED_VALUE"""),"TL")</f>
        <v>TL</v>
      </c>
      <c r="J5346" s="22"/>
      <c r="K5346" s="22" t="str">
        <f>IFERROR(__xludf.DUMMYFUNCTION("""COMPUTED_VALUE"""),"comic LAKE")</f>
        <v>comic LAKE</v>
      </c>
      <c r="L5346" s="22" t="str">
        <f>IFERROR(__xludf.DUMMYFUNCTION("""COMPUTED_VALUE"""),"一迅社")</f>
        <v>一迅社</v>
      </c>
      <c r="M5346" s="33">
        <f>IFERROR(__xludf.DUMMYFUNCTION("""COMPUTED_VALUE"""),46220.0)</f>
        <v>46220</v>
      </c>
      <c r="N5346" s="33">
        <f>IFERROR(__xludf.DUMMYFUNCTION("""COMPUTED_VALUE"""),46282.0)</f>
        <v>46282</v>
      </c>
      <c r="O5346" s="20" t="str">
        <f>IFERROR(__xludf.DUMMYFUNCTION("""COMPUTED_VALUE"""),"【アダルト作品扱い】")</f>
        <v>【アダルト作品扱い】</v>
      </c>
      <c r="P5346" s="32" t="str">
        <f>IFERROR(__xludf.DUMMYFUNCTION("""COMPUTED_VALUE"""),"可")</f>
        <v>可</v>
      </c>
      <c r="Q5346" s="30"/>
      <c r="R5346" s="22" t="str">
        <f>IFERROR(__xludf.DUMMYFUNCTION("""COMPUTED_VALUE"""),"コミットOK")</f>
        <v>コミットOK</v>
      </c>
      <c r="S5346" s="22" t="str">
        <f>IFERROR(__xludf.DUMMYFUNCTION("""COMPUTED_VALUE"""),"20260609_一迅社_カタブツ桃太郎（絶倫）がえっちな鬼退治に来た話")</f>
        <v>20260609_一迅社_カタブツ桃太郎（絶倫）がえっちな鬼退治に来た話</v>
      </c>
      <c r="T5346" s="22" t="str">
        <f>IFERROR(__xludf.DUMMYFUNCTION("""COMPUTED_VALUE"""),"格納済み")</f>
        <v>格納済み</v>
      </c>
      <c r="U5346" s="9" t="str">
        <f>IFERROR(__xludf.DUMMYFUNCTION("""COMPUTED_VALUE"""),"(C)ヤマト蛍／一迅社")</f>
        <v>(C)ヤマト蛍／一迅社</v>
      </c>
      <c r="V5346" s="8"/>
      <c r="W5346" s="8"/>
      <c r="X5346" s="8" t="str">
        <f>IFERROR(__xludf.DUMMYFUNCTION("""COMPUTED_VALUE"""),"有")</f>
        <v>有</v>
      </c>
      <c r="Y5346" s="8" t="str">
        <f>IFERROR(__xludf.DUMMYFUNCTION("""COMPUTED_VALUE"""),"p6まで")</f>
        <v>p6まで</v>
      </c>
      <c r="Z5346" s="7"/>
      <c r="AA5346" s="7"/>
      <c r="AB5346" s="7"/>
    </row>
    <row r="5347" ht="15.75" customHeight="1">
      <c r="A5347" s="26">
        <f>IFERROR(__xludf.DUMMYFUNCTION("""COMPUTED_VALUE"""),7536.0)</f>
        <v>7536</v>
      </c>
      <c r="B5347" s="22" t="str">
        <f>IFERROR(__xludf.DUMMYFUNCTION("""COMPUTED_VALUE"""),"確定")</f>
        <v>確定</v>
      </c>
      <c r="C5347" s="28">
        <f>IFERROR(__xludf.DUMMYFUNCTION("""COMPUTED_VALUE"""),46079.0)</f>
        <v>46079</v>
      </c>
      <c r="D5347" s="28">
        <f>IFERROR(__xludf.DUMMYFUNCTION("""COMPUTED_VALUE"""),46183.0)</f>
        <v>46183</v>
      </c>
      <c r="E5347" s="26">
        <f>IFERROR(__xludf.DUMMYFUNCTION("""COMPUTED_VALUE"""),364424.0)</f>
        <v>364424</v>
      </c>
      <c r="F5347" s="22" t="str">
        <f>IFERROR(__xludf.DUMMYFUNCTION("""COMPUTED_VALUE"""),"スペースかぐや 〜規格外幼なじみの一途な愛〜")</f>
        <v>スペースかぐや 〜規格外幼なじみの一途な愛〜</v>
      </c>
      <c r="G5347" s="20">
        <f>IFERROR(__xludf.DUMMYFUNCTION("""COMPUTED_VALUE"""),1.0)</f>
        <v>1</v>
      </c>
      <c r="H5347" s="22" t="str">
        <f>IFERROR(__xludf.DUMMYFUNCTION("""COMPUTED_VALUE"""),"鹿島こたる")</f>
        <v>鹿島こたる</v>
      </c>
      <c r="I5347" s="22" t="str">
        <f>IFERROR(__xludf.DUMMYFUNCTION("""COMPUTED_VALUE"""),"TL")</f>
        <v>TL</v>
      </c>
      <c r="J5347" s="22"/>
      <c r="K5347" s="22" t="str">
        <f>IFERROR(__xludf.DUMMYFUNCTION("""COMPUTED_VALUE"""),"comic LAKE")</f>
        <v>comic LAKE</v>
      </c>
      <c r="L5347" s="22" t="str">
        <f>IFERROR(__xludf.DUMMYFUNCTION("""COMPUTED_VALUE"""),"一迅社")</f>
        <v>一迅社</v>
      </c>
      <c r="M5347" s="33">
        <f>IFERROR(__xludf.DUMMYFUNCTION("""COMPUTED_VALUE"""),46220.0)</f>
        <v>46220</v>
      </c>
      <c r="N5347" s="33">
        <f>IFERROR(__xludf.DUMMYFUNCTION("""COMPUTED_VALUE"""),46282.0)</f>
        <v>46282</v>
      </c>
      <c r="O5347" s="20" t="str">
        <f>IFERROR(__xludf.DUMMYFUNCTION("""COMPUTED_VALUE"""),"【アダルト作品扱い】")</f>
        <v>【アダルト作品扱い】</v>
      </c>
      <c r="P5347" s="32" t="str">
        <f>IFERROR(__xludf.DUMMYFUNCTION("""COMPUTED_VALUE"""),"可")</f>
        <v>可</v>
      </c>
      <c r="Q5347" s="30"/>
      <c r="R5347" s="22" t="str">
        <f>IFERROR(__xludf.DUMMYFUNCTION("""COMPUTED_VALUE"""),"コミットOK")</f>
        <v>コミットOK</v>
      </c>
      <c r="S5347" s="22" t="str">
        <f>IFERROR(__xludf.DUMMYFUNCTION("""COMPUTED_VALUE"""),"20260609_一迅社_スペースかぐや 〜規格外幼なじみの一途な愛〜")</f>
        <v>20260609_一迅社_スペースかぐや 〜規格外幼なじみの一途な愛〜</v>
      </c>
      <c r="T5347" s="22" t="str">
        <f>IFERROR(__xludf.DUMMYFUNCTION("""COMPUTED_VALUE"""),"格納済み")</f>
        <v>格納済み</v>
      </c>
      <c r="U5347" s="9" t="str">
        <f>IFERROR(__xludf.DUMMYFUNCTION("""COMPUTED_VALUE"""),"(C)鹿島こたる／一迅社")</f>
        <v>(C)鹿島こたる／一迅社</v>
      </c>
      <c r="V5347" s="8"/>
      <c r="W5347" s="8"/>
      <c r="X5347" s="8" t="str">
        <f>IFERROR(__xludf.DUMMYFUNCTION("""COMPUTED_VALUE"""),"有")</f>
        <v>有</v>
      </c>
      <c r="Y5347" s="8" t="str">
        <f>IFERROR(__xludf.DUMMYFUNCTION("""COMPUTED_VALUE"""),"p8まで")</f>
        <v>p8まで</v>
      </c>
      <c r="Z5347" s="7"/>
      <c r="AA5347" s="7"/>
      <c r="AB5347" s="7"/>
    </row>
    <row r="5348" ht="15.75" customHeight="1">
      <c r="A5348" s="26">
        <f>IFERROR(__xludf.DUMMYFUNCTION("""COMPUTED_VALUE"""),7537.0)</f>
        <v>7537</v>
      </c>
      <c r="B5348" s="22" t="str">
        <f>IFERROR(__xludf.DUMMYFUNCTION("""COMPUTED_VALUE"""),"確定")</f>
        <v>確定</v>
      </c>
      <c r="C5348" s="28">
        <f>IFERROR(__xludf.DUMMYFUNCTION("""COMPUTED_VALUE"""),46079.0)</f>
        <v>46079</v>
      </c>
      <c r="D5348" s="28">
        <f>IFERROR(__xludf.DUMMYFUNCTION("""COMPUTED_VALUE"""),46183.0)</f>
        <v>46183</v>
      </c>
      <c r="E5348" s="26">
        <f>IFERROR(__xludf.DUMMYFUNCTION("""COMPUTED_VALUE"""),364425.0)</f>
        <v>364425</v>
      </c>
      <c r="F5348" s="22" t="str">
        <f>IFERROR(__xludf.DUMMYFUNCTION("""COMPUTED_VALUE"""),"凍てつく王子は、花蜜の奥まで奪いたい")</f>
        <v>凍てつく王子は、花蜜の奥まで奪いたい</v>
      </c>
      <c r="G5348" s="20">
        <f>IFERROR(__xludf.DUMMYFUNCTION("""COMPUTED_VALUE"""),1.0)</f>
        <v>1</v>
      </c>
      <c r="H5348" s="22" t="str">
        <f>IFERROR(__xludf.DUMMYFUNCTION("""COMPUTED_VALUE"""),"山冨")</f>
        <v>山冨</v>
      </c>
      <c r="I5348" s="22" t="str">
        <f>IFERROR(__xludf.DUMMYFUNCTION("""COMPUTED_VALUE"""),"TL")</f>
        <v>TL</v>
      </c>
      <c r="J5348" s="22"/>
      <c r="K5348" s="22" t="str">
        <f>IFERROR(__xludf.DUMMYFUNCTION("""COMPUTED_VALUE"""),"comic LAKE")</f>
        <v>comic LAKE</v>
      </c>
      <c r="L5348" s="22" t="str">
        <f>IFERROR(__xludf.DUMMYFUNCTION("""COMPUTED_VALUE"""),"一迅社")</f>
        <v>一迅社</v>
      </c>
      <c r="M5348" s="33">
        <f>IFERROR(__xludf.DUMMYFUNCTION("""COMPUTED_VALUE"""),46220.0)</f>
        <v>46220</v>
      </c>
      <c r="N5348" s="33">
        <f>IFERROR(__xludf.DUMMYFUNCTION("""COMPUTED_VALUE"""),46282.0)</f>
        <v>46282</v>
      </c>
      <c r="O5348" s="20" t="str">
        <f>IFERROR(__xludf.DUMMYFUNCTION("""COMPUTED_VALUE"""),"【アダルト作品扱い】")</f>
        <v>【アダルト作品扱い】</v>
      </c>
      <c r="P5348" s="32" t="str">
        <f>IFERROR(__xludf.DUMMYFUNCTION("""COMPUTED_VALUE"""),"可")</f>
        <v>可</v>
      </c>
      <c r="Q5348" s="30"/>
      <c r="R5348" s="22" t="str">
        <f>IFERROR(__xludf.DUMMYFUNCTION("""COMPUTED_VALUE"""),"コミットOK")</f>
        <v>コミットOK</v>
      </c>
      <c r="S5348" s="22" t="str">
        <f>IFERROR(__xludf.DUMMYFUNCTION("""COMPUTED_VALUE"""),"20260609_一迅社_凍てつく王子は、花蜜の奥まで奪いたい")</f>
        <v>20260609_一迅社_凍てつく王子は、花蜜の奥まで奪いたい</v>
      </c>
      <c r="T5348" s="22" t="str">
        <f>IFERROR(__xludf.DUMMYFUNCTION("""COMPUTED_VALUE"""),"格納済み")</f>
        <v>格納済み</v>
      </c>
      <c r="U5348" s="9" t="str">
        <f>IFERROR(__xludf.DUMMYFUNCTION("""COMPUTED_VALUE"""),"(C)山冨／一迅社")</f>
        <v>(C)山冨／一迅社</v>
      </c>
      <c r="V5348" s="8"/>
      <c r="W5348" s="8"/>
      <c r="X5348" s="8" t="str">
        <f>IFERROR(__xludf.DUMMYFUNCTION("""COMPUTED_VALUE"""),"有")</f>
        <v>有</v>
      </c>
      <c r="Y5348" s="8" t="str">
        <f>IFERROR(__xludf.DUMMYFUNCTION("""COMPUTED_VALUE"""),"p7まで")</f>
        <v>p7まで</v>
      </c>
      <c r="Z5348" s="7"/>
      <c r="AA5348" s="7"/>
      <c r="AB5348" s="7"/>
    </row>
    <row r="5349" ht="15.75" customHeight="1">
      <c r="A5349" s="26">
        <f>IFERROR(__xludf.DUMMYFUNCTION("""COMPUTED_VALUE"""),7630.0)</f>
        <v>7630</v>
      </c>
      <c r="B5349" s="22" t="str">
        <f>IFERROR(__xludf.DUMMYFUNCTION("""COMPUTED_VALUE"""),"確定")</f>
        <v>確定</v>
      </c>
      <c r="C5349" s="28">
        <f>IFERROR(__xludf.DUMMYFUNCTION("""COMPUTED_VALUE"""),46090.0)</f>
        <v>46090</v>
      </c>
      <c r="D5349" s="28">
        <f>IFERROR(__xludf.DUMMYFUNCTION("""COMPUTED_VALUE"""),46183.0)</f>
        <v>46183</v>
      </c>
      <c r="E5349" s="26">
        <f>IFERROR(__xludf.DUMMYFUNCTION("""COMPUTED_VALUE"""),364615.0)</f>
        <v>364615</v>
      </c>
      <c r="F5349" s="22" t="str">
        <f>IFERROR(__xludf.DUMMYFUNCTION("""COMPUTED_VALUE"""),"スパダリαの甘咬み求愛～虐げられΩは共謀婚から逃れます～【分冊版】")</f>
        <v>スパダリαの甘咬み求愛～虐げられΩは共謀婚から逃れます～【分冊版】</v>
      </c>
      <c r="G5349" s="20" t="str">
        <f>IFERROR(__xludf.DUMMYFUNCTION("""COMPUTED_VALUE"""),"1~5")</f>
        <v>1~5</v>
      </c>
      <c r="H5349" s="22" t="str">
        <f>IFERROR(__xludf.DUMMYFUNCTION("""COMPUTED_VALUE"""),"秋森なつ")</f>
        <v>秋森なつ</v>
      </c>
      <c r="I5349" s="22" t="str">
        <f>IFERROR(__xludf.DUMMYFUNCTION("""COMPUTED_VALUE"""),"女性マンガ")</f>
        <v>女性マンガ</v>
      </c>
      <c r="J5349" s="22"/>
      <c r="K5349" s="22"/>
      <c r="L5349" s="22" t="str">
        <f>IFERROR(__xludf.DUMMYFUNCTION("""COMPUTED_VALUE"""),"マンガボックス")</f>
        <v>マンガボックス</v>
      </c>
      <c r="M5349" s="33">
        <f>IFERROR(__xludf.DUMMYFUNCTION("""COMPUTED_VALUE"""),46219.0)</f>
        <v>46219</v>
      </c>
      <c r="N5349" s="33">
        <f>IFERROR(__xludf.DUMMYFUNCTION("""COMPUTED_VALUE"""),46310.0)</f>
        <v>46310</v>
      </c>
      <c r="O5349" s="20"/>
      <c r="P5349" s="32" t="str">
        <f>IFERROR(__xludf.DUMMYFUNCTION("""COMPUTED_VALUE"""),"可")</f>
        <v>可</v>
      </c>
      <c r="Q5349" s="30" t="str">
        <f>IFERROR(__xludf.DUMMYFUNCTION("""COMPUTED_VALUE"""),"・単行本1巻&amp;分冊版5巻を同時先行（単行本1巻収録分）&lt;BR&gt;・書店マンガックスでの配信に先駆け独占先行配信。&lt;BR&gt;")</f>
        <v>・単行本1巻&amp;分冊版5巻を同時先行（単行本1巻収録分）&lt;BR&gt;・書店マンガックスでの配信に先駆け独占先行配信。&lt;BR&gt;</v>
      </c>
      <c r="R5349" s="22"/>
      <c r="S5349" s="22" t="str">
        <f>IFERROR(__xludf.DUMMYFUNCTION("""COMPUTED_VALUE"""),"20260608_マンガボックス_スパダリαの甘咬み求愛～虐げられΩは共謀婚から逃れます～")</f>
        <v>20260608_マンガボックス_スパダリαの甘咬み求愛～虐げられΩは共謀婚から逃れます～</v>
      </c>
      <c r="T5349" s="22" t="str">
        <f>IFERROR(__xludf.DUMMYFUNCTION("""COMPUTED_VALUE"""),"格納済み")</f>
        <v>格納済み</v>
      </c>
      <c r="U5349" s="9" t="str">
        <f>IFERROR(__xludf.DUMMYFUNCTION("""COMPUTED_VALUE"""),"Ⓒ秋森なつ/マンガボックス")</f>
        <v>Ⓒ秋森なつ/マンガボックス</v>
      </c>
      <c r="V5349" s="8"/>
      <c r="W5349" s="8"/>
      <c r="X5349" s="8" t="str">
        <f>IFERROR(__xludf.DUMMYFUNCTION("""COMPUTED_VALUE"""),"有")</f>
        <v>有</v>
      </c>
      <c r="Y5349" s="8" t="str">
        <f>IFERROR(__xludf.DUMMYFUNCTION("""COMPUTED_VALUE"""),"2026/8/5まで1巻無料")</f>
        <v>2026/8/5まで1巻無料</v>
      </c>
      <c r="Z5349" s="7"/>
      <c r="AA5349" s="7"/>
      <c r="AB5349" s="7"/>
    </row>
    <row r="5350" ht="15.75" customHeight="1">
      <c r="A5350" s="26">
        <f>IFERROR(__xludf.DUMMYFUNCTION("""COMPUTED_VALUE"""),7868.0)</f>
        <v>7868</v>
      </c>
      <c r="B5350" s="22" t="str">
        <f>IFERROR(__xludf.DUMMYFUNCTION("""COMPUTED_VALUE"""),"確定")</f>
        <v>確定</v>
      </c>
      <c r="C5350" s="28">
        <f>IFERROR(__xludf.DUMMYFUNCTION("""COMPUTED_VALUE"""),46132.0)</f>
        <v>46132</v>
      </c>
      <c r="D5350" s="28">
        <f>IFERROR(__xludf.DUMMYFUNCTION("""COMPUTED_VALUE"""),46181.0)</f>
        <v>46181</v>
      </c>
      <c r="E5350" s="26">
        <f>IFERROR(__xludf.DUMMYFUNCTION("""COMPUTED_VALUE"""),365016.0)</f>
        <v>365016</v>
      </c>
      <c r="F5350" s="22" t="str">
        <f>IFERROR(__xludf.DUMMYFUNCTION("""COMPUTED_VALUE"""),"無口な同僚の愛し方は規格外におかしい～×××より俺で感じてください～")</f>
        <v>無口な同僚の愛し方は規格外におかしい～×××より俺で感じてください～</v>
      </c>
      <c r="G5350" s="20" t="str">
        <f>IFERROR(__xludf.DUMMYFUNCTION("""COMPUTED_VALUE"""),"1～2")</f>
        <v>1～2</v>
      </c>
      <c r="H5350" s="22" t="str">
        <f>IFERROR(__xludf.DUMMYFUNCTION("""COMPUTED_VALUE"""),"金荻がるぼ")</f>
        <v>金荻がるぼ</v>
      </c>
      <c r="I5350" s="22" t="str">
        <f>IFERROR(__xludf.DUMMYFUNCTION("""COMPUTED_VALUE"""),"TL")</f>
        <v>TL</v>
      </c>
      <c r="J5350" s="22"/>
      <c r="K5350" s="22" t="str">
        <f>IFERROR(__xludf.DUMMYFUNCTION("""COMPUTED_VALUE"""),"LOVE FLICK")</f>
        <v>LOVE FLICK</v>
      </c>
      <c r="L5350" s="22" t="str">
        <f>IFERROR(__xludf.DUMMYFUNCTION("""COMPUTED_VALUE"""),"CLLENN")</f>
        <v>CLLENN</v>
      </c>
      <c r="M5350" s="33">
        <f>IFERROR(__xludf.DUMMYFUNCTION("""COMPUTED_VALUE"""),46218.0)</f>
        <v>46218</v>
      </c>
      <c r="N5350" s="33">
        <f>IFERROR(__xludf.DUMMYFUNCTION("""COMPUTED_VALUE"""),46280.0)</f>
        <v>46280</v>
      </c>
      <c r="O5350" s="20" t="str">
        <f>IFERROR(__xludf.DUMMYFUNCTION("""COMPUTED_VALUE"""),"【アダルト作品扱い】")</f>
        <v>【アダルト作品扱い】</v>
      </c>
      <c r="P5350" s="32" t="str">
        <f>IFERROR(__xludf.DUMMYFUNCTION("""COMPUTED_VALUE"""),"可")</f>
        <v>可</v>
      </c>
      <c r="Q5350" s="30"/>
      <c r="R5350" s="22"/>
      <c r="S5350" s="22" t="str">
        <f>IFERROR(__xludf.DUMMYFUNCTION("""COMPUTED_VALUE"""),"20260603_CLLENN_無口な同僚の愛し方は規格外におかしい～×××より俺で感じてください～")</f>
        <v>20260603_CLLENN_無口な同僚の愛し方は規格外におかしい～×××より俺で感じてください～</v>
      </c>
      <c r="T5350" s="22" t="str">
        <f>IFERROR(__xludf.DUMMYFUNCTION("""COMPUTED_VALUE"""),"格納済み")</f>
        <v>格納済み</v>
      </c>
      <c r="U5350" s="9" t="str">
        <f>IFERROR(__xludf.DUMMYFUNCTION("""COMPUTED_VALUE"""),"Ⓒ金荻がるぼ/CLLENN")</f>
        <v>Ⓒ金荻がるぼ/CLLENN</v>
      </c>
      <c r="V5350" s="8"/>
      <c r="W5350" s="8"/>
      <c r="X5350" s="8" t="str">
        <f>IFERROR(__xludf.DUMMYFUNCTION("""COMPUTED_VALUE"""),"有")</f>
        <v>有</v>
      </c>
      <c r="Y5350" s="8" t="str">
        <f>IFERROR(__xludf.DUMMYFUNCTION("""COMPUTED_VALUE"""),"2026/7/28まで1巻p14まで立ち読み増量")</f>
        <v>2026/7/28まで1巻p14まで立ち読み増量</v>
      </c>
      <c r="Z5350" s="7"/>
      <c r="AA5350" s="7"/>
      <c r="AB5350" s="7"/>
    </row>
    <row r="5351" ht="15.75" customHeight="1">
      <c r="A5351" s="26">
        <f>IFERROR(__xludf.DUMMYFUNCTION("""COMPUTED_VALUE"""),7898.0)</f>
        <v>7898</v>
      </c>
      <c r="B5351" s="22" t="str">
        <f>IFERROR(__xludf.DUMMYFUNCTION("""COMPUTED_VALUE"""),"確定")</f>
        <v>確定</v>
      </c>
      <c r="C5351" s="28">
        <f>IFERROR(__xludf.DUMMYFUNCTION("""COMPUTED_VALUE"""),46135.0)</f>
        <v>46135</v>
      </c>
      <c r="D5351" s="28">
        <f>IFERROR(__xludf.DUMMYFUNCTION("""COMPUTED_VALUE"""),46182.0)</f>
        <v>46182</v>
      </c>
      <c r="E5351" s="26">
        <f>IFERROR(__xludf.DUMMYFUNCTION("""COMPUTED_VALUE"""),365304.0)</f>
        <v>365304</v>
      </c>
      <c r="F5351" s="22" t="str">
        <f>IFERROR(__xludf.DUMMYFUNCTION("""COMPUTED_VALUE"""),"この出会いは、一度きり2時間だけで。（分冊版）")</f>
        <v>この出会いは、一度きり2時間だけで。（分冊版）</v>
      </c>
      <c r="G5351" s="20" t="str">
        <f>IFERROR(__xludf.DUMMYFUNCTION("""COMPUTED_VALUE"""),"1~3")</f>
        <v>1~3</v>
      </c>
      <c r="H5351" s="22" t="str">
        <f>IFERROR(__xludf.DUMMYFUNCTION("""COMPUTED_VALUE"""),"絵子くみ")</f>
        <v>絵子くみ</v>
      </c>
      <c r="I5351" s="22" t="str">
        <f>IFERROR(__xludf.DUMMYFUNCTION("""COMPUTED_VALUE"""),"女性マンガ")</f>
        <v>女性マンガ</v>
      </c>
      <c r="J5351" s="22"/>
      <c r="K5351" s="22" t="str">
        <f>IFERROR(__xludf.DUMMYFUNCTION("""COMPUTED_VALUE"""),"comicルクス")</f>
        <v>comicルクス</v>
      </c>
      <c r="L5351" s="22" t="str">
        <f>IFERROR(__xludf.DUMMYFUNCTION("""COMPUTED_VALUE"""),"ぶんか社")</f>
        <v>ぶんか社</v>
      </c>
      <c r="M5351" s="33">
        <f>IFERROR(__xludf.DUMMYFUNCTION("""COMPUTED_VALUE"""),46212.0)</f>
        <v>46212</v>
      </c>
      <c r="N5351" s="33">
        <f>IFERROR(__xludf.DUMMYFUNCTION("""COMPUTED_VALUE"""),46302.0)</f>
        <v>46302</v>
      </c>
      <c r="O5351" s="20"/>
      <c r="P5351" s="32" t="str">
        <f>IFERROR(__xludf.DUMMYFUNCTION("""COMPUTED_VALUE"""),"可")</f>
        <v>可</v>
      </c>
      <c r="Q5351" s="30"/>
      <c r="R5351" s="22"/>
      <c r="S5351" s="22" t="str">
        <f>IFERROR(__xludf.DUMMYFUNCTION("""COMPUTED_VALUE"""),"20260605_ぶんか社_この出会いは、一度きり２時間だけで。（分冊版）")</f>
        <v>20260605_ぶんか社_この出会いは、一度きり２時間だけで。（分冊版）</v>
      </c>
      <c r="T5351" s="22" t="str">
        <f>IFERROR(__xludf.DUMMYFUNCTION("""COMPUTED_VALUE"""),"格納済み")</f>
        <v>格納済み</v>
      </c>
      <c r="U5351" s="9" t="str">
        <f>IFERROR(__xludf.DUMMYFUNCTION("""COMPUTED_VALUE"""),"Ⓒ絵子くみ/ぶんか社")</f>
        <v>Ⓒ絵子くみ/ぶんか社</v>
      </c>
      <c r="V5351" s="8"/>
      <c r="W5351" s="8"/>
      <c r="X5351" s="8" t="str">
        <f>IFERROR(__xludf.DUMMYFUNCTION("""COMPUTED_VALUE"""),"有")</f>
        <v>有</v>
      </c>
      <c r="Y5351" s="8" t="str">
        <f>IFERROR(__xludf.DUMMYFUNCTION("""COMPUTED_VALUE"""),"p23まで")</f>
        <v>p23まで</v>
      </c>
      <c r="Z5351" s="7"/>
      <c r="AA5351" s="7"/>
      <c r="AB5351" s="7"/>
    </row>
    <row r="5352" ht="15.75" customHeight="1">
      <c r="A5352" s="26">
        <f>IFERROR(__xludf.DUMMYFUNCTION("""COMPUTED_VALUE"""),7997.0)</f>
        <v>7997</v>
      </c>
      <c r="B5352" s="22" t="str">
        <f>IFERROR(__xludf.DUMMYFUNCTION("""COMPUTED_VALUE"""),"確定")</f>
        <v>確定</v>
      </c>
      <c r="C5352" s="28">
        <f>IFERROR(__xludf.DUMMYFUNCTION("""COMPUTED_VALUE"""),46156.0)</f>
        <v>46156</v>
      </c>
      <c r="D5352" s="28">
        <f>IFERROR(__xludf.DUMMYFUNCTION("""COMPUTED_VALUE"""),46182.0)</f>
        <v>46182</v>
      </c>
      <c r="E5352" s="26">
        <f>IFERROR(__xludf.DUMMYFUNCTION("""COMPUTED_VALUE"""),365478.0)</f>
        <v>365478</v>
      </c>
      <c r="F5352" s="22" t="str">
        <f>IFERROR(__xludf.DUMMYFUNCTION("""COMPUTED_VALUE"""),"どエロい裏アカ女子は同級生！～陰キャな俺がまさかの奥イキ調教！～【R-分冊版】")</f>
        <v>どエロい裏アカ女子は同級生！～陰キャな俺がまさかの奥イキ調教！～【R-分冊版】</v>
      </c>
      <c r="G5352" s="20" t="str">
        <f>IFERROR(__xludf.DUMMYFUNCTION("""COMPUTED_VALUE"""),"1～7")</f>
        <v>1～7</v>
      </c>
      <c r="H5352" s="22" t="str">
        <f>IFERROR(__xludf.DUMMYFUNCTION("""COMPUTED_VALUE"""),"ホたて・ハネアゲ")</f>
        <v>ホたて・ハネアゲ</v>
      </c>
      <c r="I5352" s="22" t="str">
        <f>IFERROR(__xludf.DUMMYFUNCTION("""COMPUTED_VALUE"""),"アダルト")</f>
        <v>アダルト</v>
      </c>
      <c r="J5352" s="22"/>
      <c r="K5352" s="22" t="str">
        <f>IFERROR(__xludf.DUMMYFUNCTION("""COMPUTED_VALUE"""),"もえスタビースト")</f>
        <v>もえスタビースト</v>
      </c>
      <c r="L5352" s="22" t="str">
        <f>IFERROR(__xludf.DUMMYFUNCTION("""COMPUTED_VALUE"""),"DEEPER-ZERO")</f>
        <v>DEEPER-ZERO</v>
      </c>
      <c r="M5352" s="33">
        <f>IFERROR(__xludf.DUMMYFUNCTION("""COMPUTED_VALUE"""),46207.0)</f>
        <v>46207</v>
      </c>
      <c r="N5352" s="33">
        <f>IFERROR(__xludf.DUMMYFUNCTION("""COMPUTED_VALUE"""),46269.0)</f>
        <v>46269</v>
      </c>
      <c r="O5352" s="20"/>
      <c r="P5352" s="32" t="str">
        <f>IFERROR(__xludf.DUMMYFUNCTION("""COMPUTED_VALUE"""),"可")</f>
        <v>可</v>
      </c>
      <c r="Q5352" s="30" t="str">
        <f>IFERROR(__xludf.DUMMYFUNCTION("""COMPUTED_VALUE"""),"7巻で完結のため単発となります。")</f>
        <v>7巻で完結のため単発となります。</v>
      </c>
      <c r="R5352" s="22"/>
      <c r="S5352" s="22" t="str">
        <f>IFERROR(__xludf.DUMMYFUNCTION("""COMPUTED_VALUE"""),"20260605_CLLENN_どエロい裏アカ女子は同級生！～陰キャな俺がまさかの奥イキ調教！～【分冊版】")</f>
        <v>20260605_CLLENN_どエロい裏アカ女子は同級生！～陰キャな俺がまさかの奥イキ調教！～【分冊版】</v>
      </c>
      <c r="T5352" s="22" t="str">
        <f>IFERROR(__xludf.DUMMYFUNCTION("""COMPUTED_VALUE"""),"格納済み")</f>
        <v>格納済み</v>
      </c>
      <c r="U5352" s="9" t="str">
        <f>IFERROR(__xludf.DUMMYFUNCTION("""COMPUTED_VALUE"""),"Ⓒホたて・ハネアゲ/DEEPER-ZERO")</f>
        <v>Ⓒホたて・ハネアゲ/DEEPER-ZERO</v>
      </c>
      <c r="V5352" s="8"/>
      <c r="W5352" s="8"/>
      <c r="X5352" s="8" t="str">
        <f>IFERROR(__xludf.DUMMYFUNCTION("""COMPUTED_VALUE"""),"有")</f>
        <v>有</v>
      </c>
      <c r="Y5352" s="8" t="str">
        <f>IFERROR(__xludf.DUMMYFUNCTION("""COMPUTED_VALUE"""),"2026/7/17まで1巻無料")</f>
        <v>2026/7/17まで1巻無料</v>
      </c>
      <c r="Z5352" s="7"/>
      <c r="AA5352" s="7"/>
      <c r="AB5352" s="7"/>
    </row>
    <row r="5353" ht="15.75" customHeight="1">
      <c r="A5353" s="26">
        <f>IFERROR(__xludf.DUMMYFUNCTION("""COMPUTED_VALUE"""),8018.0)</f>
        <v>8018</v>
      </c>
      <c r="B5353" s="22" t="str">
        <f>IFERROR(__xludf.DUMMYFUNCTION("""COMPUTED_VALUE"""),"確定")</f>
        <v>確定</v>
      </c>
      <c r="C5353" s="28">
        <f>IFERROR(__xludf.DUMMYFUNCTION("""COMPUTED_VALUE"""),46161.0)</f>
        <v>46161</v>
      </c>
      <c r="D5353" s="28">
        <f>IFERROR(__xludf.DUMMYFUNCTION("""COMPUTED_VALUE"""),46178.0)</f>
        <v>46178</v>
      </c>
      <c r="E5353" s="26">
        <f>IFERROR(__xludf.DUMMYFUNCTION("""COMPUTED_VALUE"""),364957.0)</f>
        <v>364957</v>
      </c>
      <c r="F5353" s="22" t="str">
        <f>IFERROR(__xludf.DUMMYFUNCTION("""COMPUTED_VALUE"""),"オオカミくんは遊びの恋で終わらせない")</f>
        <v>オオカミくんは遊びの恋で終わらせない</v>
      </c>
      <c r="G5353" s="20" t="str">
        <f>IFERROR(__xludf.DUMMYFUNCTION("""COMPUTED_VALUE"""),"1~3")</f>
        <v>1~3</v>
      </c>
      <c r="H5353" s="22" t="str">
        <f>IFERROR(__xludf.DUMMYFUNCTION("""COMPUTED_VALUE"""),"なきり")</f>
        <v>なきり</v>
      </c>
      <c r="I5353" s="22" t="str">
        <f>IFERROR(__xludf.DUMMYFUNCTION("""COMPUTED_VALUE"""),"TL")</f>
        <v>TL</v>
      </c>
      <c r="J5353" s="22"/>
      <c r="K5353" s="22" t="str">
        <f>IFERROR(__xludf.DUMMYFUNCTION("""COMPUTED_VALUE"""),"ショコラシュクレデジタル")</f>
        <v>ショコラシュクレデジタル</v>
      </c>
      <c r="L5353" s="22" t="str">
        <f>IFERROR(__xludf.DUMMYFUNCTION("""COMPUTED_VALUE"""),"キルタイムコミュニケーション")</f>
        <v>キルタイムコミュニケーション</v>
      </c>
      <c r="M5353" s="33">
        <f>IFERROR(__xludf.DUMMYFUNCTION("""COMPUTED_VALUE"""),46201.0)</f>
        <v>46201</v>
      </c>
      <c r="N5353" s="33">
        <f>IFERROR(__xludf.DUMMYFUNCTION("""COMPUTED_VALUE"""),46292.0)</f>
        <v>46292</v>
      </c>
      <c r="O5353" s="20" t="str">
        <f>IFERROR(__xludf.DUMMYFUNCTION("""COMPUTED_VALUE"""),"【アダルト作品扱い】")</f>
        <v>【アダルト作品扱い】</v>
      </c>
      <c r="P5353" s="32" t="str">
        <f>IFERROR(__xludf.DUMMYFUNCTION("""COMPUTED_VALUE"""),"可")</f>
        <v>可</v>
      </c>
      <c r="Q5353" s="30" t="str">
        <f>IFERROR(__xludf.DUMMYFUNCTION("""COMPUTED_VALUE"""),"2巻までコミックフェスタ様で配信中。3話以降はシーモア独占先行。")</f>
        <v>2巻までコミックフェスタ様で配信中。3話以降はシーモア独占先行。</v>
      </c>
      <c r="R5353" s="22"/>
      <c r="S5353" s="22" t="str">
        <f>IFERROR(__xludf.DUMMYFUNCTION("""COMPUTED_VALUE"""),"20260605_キルタイムコミュニケーション_オオカミくんは遊びの恋で終わらせない")</f>
        <v>20260605_キルタイムコミュニケーション_オオカミくんは遊びの恋で終わらせない</v>
      </c>
      <c r="T5353" s="22" t="str">
        <f>IFERROR(__xludf.DUMMYFUNCTION("""COMPUTED_VALUE"""),"格納済み")</f>
        <v>格納済み</v>
      </c>
      <c r="U5353" s="9" t="str">
        <f>IFERROR(__xludf.DUMMYFUNCTION("""COMPUTED_VALUE"""),"（C）なきり/キルタイムコミュニケーション")</f>
        <v>（C）なきり/キルタイムコミュニケーション</v>
      </c>
      <c r="V5353" s="8"/>
      <c r="W5353" s="8"/>
      <c r="X5353" s="8" t="str">
        <f>IFERROR(__xludf.DUMMYFUNCTION("""COMPUTED_VALUE"""),"有")</f>
        <v>有</v>
      </c>
      <c r="Y5353" s="8" t="str">
        <f>IFERROR(__xludf.DUMMYFUNCTION("""COMPUTED_VALUE"""),"2026/7/12まで1巻無料")</f>
        <v>2026/7/12まで1巻無料</v>
      </c>
      <c r="Z5353" s="7"/>
      <c r="AA5353" s="7"/>
      <c r="AB5353" s="7"/>
    </row>
    <row r="5354" ht="15.75" customHeight="1">
      <c r="A5354" s="26">
        <f>IFERROR(__xludf.DUMMYFUNCTION("""COMPUTED_VALUE"""),8019.0)</f>
        <v>8019</v>
      </c>
      <c r="B5354" s="22" t="str">
        <f>IFERROR(__xludf.DUMMYFUNCTION("""COMPUTED_VALUE"""),"確定")</f>
        <v>確定</v>
      </c>
      <c r="C5354" s="28">
        <f>IFERROR(__xludf.DUMMYFUNCTION("""COMPUTED_VALUE"""),46161.0)</f>
        <v>46161</v>
      </c>
      <c r="D5354" s="28">
        <f>IFERROR(__xludf.DUMMYFUNCTION("""COMPUTED_VALUE"""),46178.0)</f>
        <v>46178</v>
      </c>
      <c r="E5354" s="26">
        <f>IFERROR(__xludf.DUMMYFUNCTION("""COMPUTED_VALUE"""),362158.0)</f>
        <v>362158</v>
      </c>
      <c r="F5354" s="22" t="str">
        <f>IFERROR(__xludf.DUMMYFUNCTION("""COMPUTED_VALUE"""),"【R版】エルフと妖精の繁殖事情 ～森の中、無垢な発情は止まらない～《Lovelicot》")</f>
        <v>【R版】エルフと妖精の繁殖事情 ～森の中、無垢な発情は止まらない～《Lovelicot》</v>
      </c>
      <c r="G5354" s="20" t="str">
        <f>IFERROR(__xludf.DUMMYFUNCTION("""COMPUTED_VALUE"""),"1~3")</f>
        <v>1~3</v>
      </c>
      <c r="H5354" s="22" t="str">
        <f>IFERROR(__xludf.DUMMYFUNCTION("""COMPUTED_VALUE"""),"星埜")</f>
        <v>星埜</v>
      </c>
      <c r="I5354" s="22" t="str">
        <f>IFERROR(__xludf.DUMMYFUNCTION("""COMPUTED_VALUE"""),"アダルト")</f>
        <v>アダルト</v>
      </c>
      <c r="J5354" s="22"/>
      <c r="K5354" s="22" t="str">
        <f>IFERROR(__xludf.DUMMYFUNCTION("""COMPUTED_VALUE"""),"Lovelicot")</f>
        <v>Lovelicot</v>
      </c>
      <c r="L5354" s="22" t="str">
        <f>IFERROR(__xludf.DUMMYFUNCTION("""COMPUTED_VALUE"""),"ガールスカウトコミックス")</f>
        <v>ガールスカウトコミックス</v>
      </c>
      <c r="M5354" s="33">
        <f>IFERROR(__xludf.DUMMYFUNCTION("""COMPUTED_VALUE"""),46181.0)</f>
        <v>46181</v>
      </c>
      <c r="N5354" s="33">
        <f>IFERROR(__xludf.DUMMYFUNCTION("""COMPUTED_VALUE"""),46272.0)</f>
        <v>46272</v>
      </c>
      <c r="O5354" s="20"/>
      <c r="P5354" s="32" t="str">
        <f>IFERROR(__xludf.DUMMYFUNCTION("""COMPUTED_VALUE"""),"可")</f>
        <v>可</v>
      </c>
      <c r="Q5354" s="30"/>
      <c r="R5354" s="22"/>
      <c r="S5354" s="22" t="str">
        <f>IFERROR(__xludf.DUMMYFUNCTION("""COMPUTED_VALUE"""),"20260605_ガールスカウトコミックス_【R版】エルフと妖精の繁殖事情 ～森の中、無垢な発情は止まらない～")</f>
        <v>20260605_ガールスカウトコミックス_【R版】エルフと妖精の繁殖事情 ～森の中、無垢な発情は止まらない～</v>
      </c>
      <c r="T5354" s="22" t="str">
        <f>IFERROR(__xludf.DUMMYFUNCTION("""COMPUTED_VALUE"""),"格納済み")</f>
        <v>格納済み</v>
      </c>
      <c r="U5354" s="9" t="str">
        <f>IFERROR(__xludf.DUMMYFUNCTION("""COMPUTED_VALUE"""),"(C)星埜／ガールスカウトコミックス")</f>
        <v>(C)星埜／ガールスカウトコミックス</v>
      </c>
      <c r="V5354" s="8"/>
      <c r="W5354" s="8"/>
      <c r="X5354" s="8"/>
      <c r="Y5354" s="8"/>
      <c r="Z5354" s="7"/>
      <c r="AA5354" s="7"/>
      <c r="AB5354" s="7"/>
    </row>
    <row r="5355" ht="15.75" customHeight="1">
      <c r="A5355" s="26">
        <f>IFERROR(__xludf.DUMMYFUNCTION("""COMPUTED_VALUE"""),8021.0)</f>
        <v>8021</v>
      </c>
      <c r="B5355" s="22" t="str">
        <f>IFERROR(__xludf.DUMMYFUNCTION("""COMPUTED_VALUE"""),"確定")</f>
        <v>確定</v>
      </c>
      <c r="C5355" s="28">
        <f>IFERROR(__xludf.DUMMYFUNCTION("""COMPUTED_VALUE"""),46161.0)</f>
        <v>46161</v>
      </c>
      <c r="D5355" s="28">
        <f>IFERROR(__xludf.DUMMYFUNCTION("""COMPUTED_VALUE"""),46178.0)</f>
        <v>46178</v>
      </c>
      <c r="E5355" s="26">
        <f>IFERROR(__xludf.DUMMYFUNCTION("""COMPUTED_VALUE"""),365251.0)</f>
        <v>365251</v>
      </c>
      <c r="F5355" s="22" t="str">
        <f>IFERROR(__xludf.DUMMYFUNCTION("""COMPUTED_VALUE"""),"異世界エステ　～元社畜が最強チートスキル『エステ』で女性たちをマッサージしていたら無自覚にハーレムができて、いつの間にか裏社会を支配する異世界の帝王に成り上がる物語～（分冊版）")</f>
        <v>異世界エステ　～元社畜が最強チートスキル『エステ』で女性たちをマッサージしていたら無自覚にハーレムができて、いつの間にか裏社会を支配する異世界の帝王に成り上がる物語～（分冊版）</v>
      </c>
      <c r="G5355" s="20" t="str">
        <f>IFERROR(__xludf.DUMMYFUNCTION("""COMPUTED_VALUE"""),"1~3")</f>
        <v>1~3</v>
      </c>
      <c r="H5355" s="22" t="str">
        <f>IFERROR(__xludf.DUMMYFUNCTION("""COMPUTED_VALUE"""),"モティカ┴福寿草真")</f>
        <v>モティカ┴福寿草真</v>
      </c>
      <c r="I5355" s="22" t="str">
        <f>IFERROR(__xludf.DUMMYFUNCTION("""COMPUTED_VALUE"""),"青年")</f>
        <v>青年</v>
      </c>
      <c r="J5355" s="22"/>
      <c r="K5355" s="22" t="str">
        <f>IFERROR(__xludf.DUMMYFUNCTION("""COMPUTED_VALUE"""),"ムゲンコミックス")</f>
        <v>ムゲンコミックス</v>
      </c>
      <c r="L5355" s="22" t="str">
        <f>IFERROR(__xludf.DUMMYFUNCTION("""COMPUTED_VALUE"""),"MUGENUP")</f>
        <v>MUGENUP</v>
      </c>
      <c r="M5355" s="33">
        <f>IFERROR(__xludf.DUMMYFUNCTION("""COMPUTED_VALUE"""),46197.0)</f>
        <v>46197</v>
      </c>
      <c r="N5355" s="33">
        <f>IFERROR(__xludf.DUMMYFUNCTION("""COMPUTED_VALUE"""),46288.0)</f>
        <v>46288</v>
      </c>
      <c r="O5355" s="20"/>
      <c r="P5355" s="32" t="str">
        <f>IFERROR(__xludf.DUMMYFUNCTION("""COMPUTED_VALUE"""),"可")</f>
        <v>可</v>
      </c>
      <c r="Q5355" s="30"/>
      <c r="R5355" s="22"/>
      <c r="S5355" s="22" t="str">
        <f>IFERROR(__xludf.DUMMYFUNCTION("""COMPUTED_VALUE"""),"20260605_ムゲンコミックス_異世界エステ〜チートスキル『エステ』で女性たちをマッサージしていたら")</f>
        <v>20260605_ムゲンコミックス_異世界エステ〜チートスキル『エステ』で女性たちをマッサージしていたら</v>
      </c>
      <c r="T5355" s="22" t="str">
        <f>IFERROR(__xludf.DUMMYFUNCTION("""COMPUTED_VALUE"""),"格納済み")</f>
        <v>格納済み</v>
      </c>
      <c r="U5355" s="9" t="str">
        <f>IFERROR(__xludf.DUMMYFUNCTION("""COMPUTED_VALUE"""),"(C)MOTHICA 2026 (C)Fukujyu Sohma 2026／MUGENUP")</f>
        <v>(C)MOTHICA 2026 (C)Fukujyu Sohma 2026／MUGENUP</v>
      </c>
      <c r="V5355" s="8"/>
      <c r="W5355" s="8"/>
      <c r="X5355" s="8" t="str">
        <f>IFERROR(__xludf.DUMMYFUNCTION("""COMPUTED_VALUE"""),"有")</f>
        <v>有</v>
      </c>
      <c r="Y5355" s="8" t="str">
        <f>IFERROR(__xludf.DUMMYFUNCTION("""COMPUTED_VALUE"""),"p5まで")</f>
        <v>p5まで</v>
      </c>
      <c r="Z5355" s="7"/>
      <c r="AA5355" s="7"/>
      <c r="AB5355" s="7"/>
    </row>
    <row r="5356" ht="15.75" customHeight="1">
      <c r="A5356" s="26">
        <f>IFERROR(__xludf.DUMMYFUNCTION("""COMPUTED_VALUE"""),8023.0)</f>
        <v>8023</v>
      </c>
      <c r="B5356" s="22" t="str">
        <f>IFERROR(__xludf.DUMMYFUNCTION("""COMPUTED_VALUE"""),"確定")</f>
        <v>確定</v>
      </c>
      <c r="C5356" s="28">
        <f>IFERROR(__xludf.DUMMYFUNCTION("""COMPUTED_VALUE"""),46161.0)</f>
        <v>46161</v>
      </c>
      <c r="D5356" s="28">
        <f>IFERROR(__xludf.DUMMYFUNCTION("""COMPUTED_VALUE"""),46183.0)</f>
        <v>46183</v>
      </c>
      <c r="E5356" s="26">
        <f>IFERROR(__xludf.DUMMYFUNCTION("""COMPUTED_VALUE"""),364639.0)</f>
        <v>364639</v>
      </c>
      <c r="F5356" s="22" t="str">
        <f>IFERROR(__xludf.DUMMYFUNCTION("""COMPUTED_VALUE"""),"業の炎に導かれて～時を越えて今、あなたのおそばに～")</f>
        <v>業の炎に導かれて～時を越えて今、あなたのおそばに～</v>
      </c>
      <c r="G5356" s="20" t="str">
        <f>IFERROR(__xludf.DUMMYFUNCTION("""COMPUTED_VALUE"""),"1~4")</f>
        <v>1~4</v>
      </c>
      <c r="H5356" s="22" t="str">
        <f>IFERROR(__xludf.DUMMYFUNCTION("""COMPUTED_VALUE"""),"中村敦子")</f>
        <v>中村敦子</v>
      </c>
      <c r="I5356" s="22" t="str">
        <f>IFERROR(__xludf.DUMMYFUNCTION("""COMPUTED_VALUE"""),"女性")</f>
        <v>女性</v>
      </c>
      <c r="J5356" s="22"/>
      <c r="K5356" s="22" t="str">
        <f>IFERROR(__xludf.DUMMYFUNCTION("""COMPUTED_VALUE"""),"GSComic")</f>
        <v>GSComic</v>
      </c>
      <c r="L5356" s="22" t="str">
        <f>IFERROR(__xludf.DUMMYFUNCTION("""COMPUTED_VALUE"""),"ガールスカウトコミックス")</f>
        <v>ガールスカウトコミックス</v>
      </c>
      <c r="M5356" s="33">
        <f>IFERROR(__xludf.DUMMYFUNCTION("""COMPUTED_VALUE"""),46214.0)</f>
        <v>46214</v>
      </c>
      <c r="N5356" s="33">
        <f>IFERROR(__xludf.DUMMYFUNCTION("""COMPUTED_VALUE"""),46305.0)</f>
        <v>46305</v>
      </c>
      <c r="O5356" s="20"/>
      <c r="P5356" s="32" t="str">
        <f>IFERROR(__xludf.DUMMYFUNCTION("""COMPUTED_VALUE"""),"可")</f>
        <v>可</v>
      </c>
      <c r="Q5356" s="30"/>
      <c r="R5356" s="22"/>
      <c r="S5356" s="22" t="str">
        <f>IFERROR(__xludf.DUMMYFUNCTION("""COMPUTED_VALUE"""),"20260605_ガールスカウトコミックス_業の炎に導かれて～時を越えて今、あなたのおそばに～")</f>
        <v>20260605_ガールスカウトコミックス_業の炎に導かれて～時を越えて今、あなたのおそばに～</v>
      </c>
      <c r="T5356" s="22" t="str">
        <f>IFERROR(__xludf.DUMMYFUNCTION("""COMPUTED_VALUE"""),"格納済み")</f>
        <v>格納済み</v>
      </c>
      <c r="U5356" s="9" t="str">
        <f>IFERROR(__xludf.DUMMYFUNCTION("""COMPUTED_VALUE"""),"(C)中村敦子／ガールスカウトコミックス")</f>
        <v>(C)中村敦子／ガールスカウトコミックス</v>
      </c>
      <c r="V5356" s="8"/>
      <c r="W5356" s="8"/>
      <c r="X5356" s="8" t="str">
        <f>IFERROR(__xludf.DUMMYFUNCTION("""COMPUTED_VALUE"""),"有")</f>
        <v>有</v>
      </c>
      <c r="Y5356" s="8" t="str">
        <f>IFERROR(__xludf.DUMMYFUNCTION("""COMPUTED_VALUE"""),"p12まで")</f>
        <v>p12まで</v>
      </c>
      <c r="Z5356" s="7"/>
      <c r="AA5356" s="7"/>
      <c r="AB5356" s="7"/>
    </row>
    <row r="5357" ht="15.75" customHeight="1">
      <c r="A5357" s="26">
        <f>IFERROR(__xludf.DUMMYFUNCTION("""COMPUTED_VALUE"""),8032.0)</f>
        <v>8032</v>
      </c>
      <c r="B5357" s="22" t="str">
        <f>IFERROR(__xludf.DUMMYFUNCTION("""COMPUTED_VALUE"""),"確定")</f>
        <v>確定</v>
      </c>
      <c r="C5357" s="28">
        <f>IFERROR(__xludf.DUMMYFUNCTION("""COMPUTED_VALUE"""),46161.0)</f>
        <v>46161</v>
      </c>
      <c r="D5357" s="28">
        <f>IFERROR(__xludf.DUMMYFUNCTION("""COMPUTED_VALUE"""),46183.0)</f>
        <v>46183</v>
      </c>
      <c r="E5357" s="26">
        <f>IFERROR(__xludf.DUMMYFUNCTION("""COMPUTED_VALUE"""),362166.0)</f>
        <v>362166</v>
      </c>
      <c r="F5357" s="22" t="str">
        <f>IFERROR(__xludf.DUMMYFUNCTION("""COMPUTED_VALUE"""),"アシュラフと落陽の花嫁")</f>
        <v>アシュラフと落陽の花嫁</v>
      </c>
      <c r="G5357" s="20" t="str">
        <f>IFERROR(__xludf.DUMMYFUNCTION("""COMPUTED_VALUE"""),"1~4")</f>
        <v>1~4</v>
      </c>
      <c r="H5357" s="22" t="str">
        <f>IFERROR(__xludf.DUMMYFUNCTION("""COMPUTED_VALUE"""),"大塚さとる")</f>
        <v>大塚さとる</v>
      </c>
      <c r="I5357" s="22" t="str">
        <f>IFERROR(__xludf.DUMMYFUNCTION("""COMPUTED_VALUE"""),"BL")</f>
        <v>BL</v>
      </c>
      <c r="J5357" s="22"/>
      <c r="K5357" s="22"/>
      <c r="L5357" s="22" t="str">
        <f>IFERROR(__xludf.DUMMYFUNCTION("""COMPUTED_VALUE"""),"GANMA!")</f>
        <v>GANMA!</v>
      </c>
      <c r="M5357" s="33">
        <f>IFERROR(__xludf.DUMMYFUNCTION("""COMPUTED_VALUE"""),46183.0)</f>
        <v>46183</v>
      </c>
      <c r="N5357" s="33">
        <f>IFERROR(__xludf.DUMMYFUNCTION("""COMPUTED_VALUE"""),46274.0)</f>
        <v>46274</v>
      </c>
      <c r="O5357" s="20" t="str">
        <f>IFERROR(__xludf.DUMMYFUNCTION("""COMPUTED_VALUE"""),"【アダルト作品扱い】")</f>
        <v>【アダルト作品扱い】</v>
      </c>
      <c r="P5357" s="32" t="str">
        <f>IFERROR(__xludf.DUMMYFUNCTION("""COMPUTED_VALUE"""),"可")</f>
        <v>可</v>
      </c>
      <c r="Q5357" s="30"/>
      <c r="R5357" s="22"/>
      <c r="S5357" s="22" t="str">
        <f>IFERROR(__xludf.DUMMYFUNCTION("""COMPUTED_VALUE"""),"20260609_GANMA_アシュラフと落陽の花嫁")</f>
        <v>20260609_GANMA_アシュラフと落陽の花嫁</v>
      </c>
      <c r="T5357" s="22" t="str">
        <f>IFERROR(__xludf.DUMMYFUNCTION("""COMPUTED_VALUE"""),"格納済み")</f>
        <v>格納済み</v>
      </c>
      <c r="U5357" s="9" t="str">
        <f>IFERROR(__xludf.DUMMYFUNCTION("""COMPUTED_VALUE"""),"(C)大塚さとる／COMISMA INC.")</f>
        <v>(C)大塚さとる／COMISMA INC.</v>
      </c>
      <c r="V5357" s="8"/>
      <c r="W5357" s="8"/>
      <c r="X5357" s="8" t="str">
        <f>IFERROR(__xludf.DUMMYFUNCTION("""COMPUTED_VALUE"""),"有")</f>
        <v>有</v>
      </c>
      <c r="Y5357" s="8" t="str">
        <f>IFERROR(__xludf.DUMMYFUNCTION("""COMPUTED_VALUE"""),"2026/7/9まで1巻無料")</f>
        <v>2026/7/9まで1巻無料</v>
      </c>
      <c r="Z5357" s="7"/>
      <c r="AA5357" s="7"/>
      <c r="AB5357" s="7"/>
    </row>
    <row r="5358" ht="15.75" customHeight="1">
      <c r="A5358" s="26">
        <f>IFERROR(__xludf.DUMMYFUNCTION("""COMPUTED_VALUE"""),8064.0)</f>
        <v>8064</v>
      </c>
      <c r="B5358" s="22" t="str">
        <f>IFERROR(__xludf.DUMMYFUNCTION("""COMPUTED_VALUE"""),"確定")</f>
        <v>確定</v>
      </c>
      <c r="C5358" s="28">
        <f>IFERROR(__xludf.DUMMYFUNCTION("""COMPUTED_VALUE"""),46162.0)</f>
        <v>46162</v>
      </c>
      <c r="D5358" s="28">
        <f>IFERROR(__xludf.DUMMYFUNCTION("""COMPUTED_VALUE"""),46183.0)</f>
        <v>46183</v>
      </c>
      <c r="E5358" s="26">
        <f>IFERROR(__xludf.DUMMYFUNCTION("""COMPUTED_VALUE"""),363982.0)</f>
        <v>363982</v>
      </c>
      <c r="F5358" s="22" t="str">
        <f>IFERROR(__xludf.DUMMYFUNCTION("""COMPUTED_VALUE"""),"comic Berry’sそれでも、恋だと知りたくない。")</f>
        <v>comic Berry’sそれでも、恋だと知りたくない。</v>
      </c>
      <c r="G5358" s="20" t="str">
        <f>IFERROR(__xludf.DUMMYFUNCTION("""COMPUTED_VALUE"""),"1~5")</f>
        <v>1~5</v>
      </c>
      <c r="H5358" s="22" t="str">
        <f>IFERROR(__xludf.DUMMYFUNCTION("""COMPUTED_VALUE"""),"安里ナコ（作画）、あさぎ千夜春 （原作）")</f>
        <v>安里ナコ（作画）、あさぎ千夜春 （原作）</v>
      </c>
      <c r="I5358" s="22" t="str">
        <f>IFERROR(__xludf.DUMMYFUNCTION("""COMPUTED_VALUE"""),"女性")</f>
        <v>女性</v>
      </c>
      <c r="J5358" s="22"/>
      <c r="K5358" s="22" t="str">
        <f>IFERROR(__xludf.DUMMYFUNCTION("""COMPUTED_VALUE"""),"Berry's COMICS")</f>
        <v>Berry's COMICS</v>
      </c>
      <c r="L5358" s="22" t="str">
        <f>IFERROR(__xludf.DUMMYFUNCTION("""COMPUTED_VALUE"""),"スターツ出版")</f>
        <v>スターツ出版</v>
      </c>
      <c r="M5358" s="33">
        <f>IFERROR(__xludf.DUMMYFUNCTION("""COMPUTED_VALUE"""),46192.0)</f>
        <v>46192</v>
      </c>
      <c r="N5358" s="33">
        <f>IFERROR(__xludf.DUMMYFUNCTION("""COMPUTED_VALUE"""),46254.0)</f>
        <v>46254</v>
      </c>
      <c r="O5358" s="20"/>
      <c r="P5358" s="32" t="str">
        <f>IFERROR(__xludf.DUMMYFUNCTION("""COMPUTED_VALUE"""),"可")</f>
        <v>可</v>
      </c>
      <c r="Q5358" s="30"/>
      <c r="R5358" s="22"/>
      <c r="S5358" s="22" t="str">
        <f>IFERROR(__xludf.DUMMYFUNCTION("""COMPUTED_VALUE"""),"20260609_スターツ出版_それでも、恋だと知りたくない。")</f>
        <v>20260609_スターツ出版_それでも、恋だと知りたくない。</v>
      </c>
      <c r="T5358" s="22" t="str">
        <f>IFERROR(__xludf.DUMMYFUNCTION("""COMPUTED_VALUE"""),"格納済み")</f>
        <v>格納済み</v>
      </c>
      <c r="U5358" s="9" t="str">
        <f>IFERROR(__xludf.DUMMYFUNCTION("""COMPUTED_VALUE"""),"(C)Asato Nako・Chiyoharu Asagi/スターツ出版")</f>
        <v>(C)Asato Nako・Chiyoharu Asagi/スターツ出版</v>
      </c>
      <c r="V5358" s="8"/>
      <c r="W5358" s="8"/>
      <c r="X5358" s="8" t="str">
        <f>IFERROR(__xludf.DUMMYFUNCTION("""COMPUTED_VALUE"""),"有")</f>
        <v>有</v>
      </c>
      <c r="Y5358" s="8" t="str">
        <f>IFERROR(__xludf.DUMMYFUNCTION("""COMPUTED_VALUE"""),"2026/8/20まで1巻無料")</f>
        <v>2026/8/20まで1巻無料</v>
      </c>
      <c r="Z5358" s="7"/>
      <c r="AA5358" s="7"/>
      <c r="AB5358" s="7"/>
    </row>
    <row r="5359" ht="15.75" customHeight="1">
      <c r="A5359" s="26">
        <f>IFERROR(__xludf.DUMMYFUNCTION("""COMPUTED_VALUE"""),8069.0)</f>
        <v>8069</v>
      </c>
      <c r="B5359" s="22" t="str">
        <f>IFERROR(__xludf.DUMMYFUNCTION("""COMPUTED_VALUE"""),"確定")</f>
        <v>確定</v>
      </c>
      <c r="C5359" s="28">
        <f>IFERROR(__xludf.DUMMYFUNCTION("""COMPUTED_VALUE"""),46162.0)</f>
        <v>46162</v>
      </c>
      <c r="D5359" s="28">
        <f>IFERROR(__xludf.DUMMYFUNCTION("""COMPUTED_VALUE"""),46183.0)</f>
        <v>46183</v>
      </c>
      <c r="E5359" s="26">
        <f>IFERROR(__xludf.DUMMYFUNCTION("""COMPUTED_VALUE"""),365175.0)</f>
        <v>365175</v>
      </c>
      <c r="F5359" s="22" t="str">
        <f>IFERROR(__xludf.DUMMYFUNCTION("""COMPUTED_VALUE"""),"推しの死を覆す。【分冊版】")</f>
        <v>推しの死を覆す。【分冊版】</v>
      </c>
      <c r="G5359" s="20" t="str">
        <f>IFERROR(__xludf.DUMMYFUNCTION("""COMPUTED_VALUE"""),"1~4")</f>
        <v>1~4</v>
      </c>
      <c r="H5359" s="22" t="str">
        <f>IFERROR(__xludf.DUMMYFUNCTION("""COMPUTED_VALUE"""),"アニキネコ")</f>
        <v>アニキネコ</v>
      </c>
      <c r="I5359" s="22" t="str">
        <f>IFERROR(__xludf.DUMMYFUNCTION("""COMPUTED_VALUE"""),"BL")</f>
        <v>BL</v>
      </c>
      <c r="J5359" s="22"/>
      <c r="K5359" s="22" t="str">
        <f>IFERROR(__xludf.DUMMYFUNCTION("""COMPUTED_VALUE"""),"ガンガンコミックスBLiss")</f>
        <v>ガンガンコミックスBLiss</v>
      </c>
      <c r="L5359" s="22" t="str">
        <f>IFERROR(__xludf.DUMMYFUNCTION("""COMPUTED_VALUE"""),"スクウェア・エニックス")</f>
        <v>スクウェア・エニックス</v>
      </c>
      <c r="M5359" s="33">
        <f>IFERROR(__xludf.DUMMYFUNCTION("""COMPUTED_VALUE"""),46204.0)</f>
        <v>46204</v>
      </c>
      <c r="N5359" s="33">
        <f>IFERROR(__xludf.DUMMYFUNCTION("""COMPUTED_VALUE"""),46295.0)</f>
        <v>46295</v>
      </c>
      <c r="O5359" s="20"/>
      <c r="P5359" s="32" t="str">
        <f>IFERROR(__xludf.DUMMYFUNCTION("""COMPUTED_VALUE"""),"可")</f>
        <v>可</v>
      </c>
      <c r="Q5359" s="30" t="str">
        <f>IFERROR(__xludf.DUMMYFUNCTION("""COMPUTED_VALUE"""),"ライトBL施策")</f>
        <v>ライトBL施策</v>
      </c>
      <c r="R5359" s="22"/>
      <c r="S5359" s="22" t="str">
        <f>IFERROR(__xludf.DUMMYFUNCTION("""COMPUTED_VALUE"""),"20260520_スクウェア・エニックス_推しの死を覆す。")</f>
        <v>20260520_スクウェア・エニックス_推しの死を覆す。</v>
      </c>
      <c r="T5359" s="22" t="str">
        <f>IFERROR(__xludf.DUMMYFUNCTION("""COMPUTED_VALUE"""),"格納済み")</f>
        <v>格納済み</v>
      </c>
      <c r="U5359" s="9" t="str">
        <f>IFERROR(__xludf.DUMMYFUNCTION("""COMPUTED_VALUE"""),"(C)Anikineko/SQUARE ENIX")</f>
        <v>(C)Anikineko/SQUARE ENIX</v>
      </c>
      <c r="V5359" s="8"/>
      <c r="W5359" s="8"/>
      <c r="X5359" s="8" t="str">
        <f>IFERROR(__xludf.DUMMYFUNCTION("""COMPUTED_VALUE"""),"有")</f>
        <v>有</v>
      </c>
      <c r="Y5359" s="8" t="str">
        <f>IFERROR(__xludf.DUMMYFUNCTION("""COMPUTED_VALUE"""),"2026/7/31まで1巻無料")</f>
        <v>2026/7/31まで1巻無料</v>
      </c>
      <c r="Z5359" s="7"/>
      <c r="AA5359" s="7"/>
      <c r="AB5359" s="7"/>
    </row>
    <row r="5360" ht="15.75" customHeight="1">
      <c r="A5360" s="26">
        <f>IFERROR(__xludf.DUMMYFUNCTION("""COMPUTED_VALUE"""),8082.0)</f>
        <v>8082</v>
      </c>
      <c r="B5360" s="22" t="str">
        <f>IFERROR(__xludf.DUMMYFUNCTION("""COMPUTED_VALUE"""),"確定")</f>
        <v>確定</v>
      </c>
      <c r="C5360" s="28">
        <f>IFERROR(__xludf.DUMMYFUNCTION("""COMPUTED_VALUE"""),46163.0)</f>
        <v>46163</v>
      </c>
      <c r="D5360" s="28">
        <f>IFERROR(__xludf.DUMMYFUNCTION("""COMPUTED_VALUE"""),46183.0)</f>
        <v>46183</v>
      </c>
      <c r="E5360" s="26">
        <f>IFERROR(__xludf.DUMMYFUNCTION("""COMPUTED_VALUE"""),362685.0)</f>
        <v>362685</v>
      </c>
      <c r="F5360" s="22" t="str">
        <f>IFERROR(__xludf.DUMMYFUNCTION("""COMPUTED_VALUE"""),"お狐様の神隠し～村の神様だった幼馴染に攫われて淫紋を刻まれる～【R18版】")</f>
        <v>お狐様の神隠し～村の神様だった幼馴染に攫われて淫紋を刻まれる～【R18版】</v>
      </c>
      <c r="G5360" s="20" t="str">
        <f>IFERROR(__xludf.DUMMYFUNCTION("""COMPUTED_VALUE"""),"1~3")</f>
        <v>1~3</v>
      </c>
      <c r="H5360" s="22" t="str">
        <f>IFERROR(__xludf.DUMMYFUNCTION("""COMPUTED_VALUE"""),"イサコ、村崎ユカリ")</f>
        <v>イサコ、村崎ユカリ</v>
      </c>
      <c r="I5360" s="22" t="str">
        <f>IFERROR(__xludf.DUMMYFUNCTION("""COMPUTED_VALUE"""),"アダルト")</f>
        <v>アダルト</v>
      </c>
      <c r="J5360" s="22"/>
      <c r="K5360" s="22" t="str">
        <f>IFERROR(__xludf.DUMMYFUNCTION("""COMPUTED_VALUE"""),"Close Moon")</f>
        <v>Close Moon</v>
      </c>
      <c r="L5360" s="22" t="str">
        <f>IFERROR(__xludf.DUMMYFUNCTION("""COMPUTED_VALUE"""),"ナンバーナイン")</f>
        <v>ナンバーナイン</v>
      </c>
      <c r="M5360" s="33">
        <f>IFERROR(__xludf.DUMMYFUNCTION("""COMPUTED_VALUE"""),46204.0)</f>
        <v>46204</v>
      </c>
      <c r="N5360" s="33">
        <f>IFERROR(__xludf.DUMMYFUNCTION("""COMPUTED_VALUE"""),46265.0)</f>
        <v>46265</v>
      </c>
      <c r="O5360" s="20"/>
      <c r="P5360" s="32" t="str">
        <f>IFERROR(__xludf.DUMMYFUNCTION("""COMPUTED_VALUE"""),"可")</f>
        <v>可</v>
      </c>
      <c r="Q5360" s="30" t="str">
        <f>IFERROR(__xludf.DUMMYFUNCTION("""COMPUTED_VALUE"""),"がるまに")</f>
        <v>がるまに</v>
      </c>
      <c r="R5360" s="22"/>
      <c r="S5360" s="22" t="str">
        <f>IFERROR(__xludf.DUMMYFUNCTION("""COMPUTED_VALUE"""),"20260604_ ナンバーナイン_お狐様の神隠し～村の神様だった幼馴染に攫われて淫紋を刻まれる～【R18版】")</f>
        <v>20260604_ ナンバーナイン_お狐様の神隠し～村の神様だった幼馴染に攫われて淫紋を刻まれる～【R18版】</v>
      </c>
      <c r="T5360" s="22" t="str">
        <f>IFERROR(__xludf.DUMMYFUNCTION("""COMPUTED_VALUE"""),"格納済み")</f>
        <v>格納済み</v>
      </c>
      <c r="U5360" s="9" t="str">
        <f>IFERROR(__xludf.DUMMYFUNCTION("""COMPUTED_VALUE"""),"(C)イサコ/村崎ユカリ/ナンバーナイン")</f>
        <v>(C)イサコ/村崎ユカリ/ナンバーナイン</v>
      </c>
      <c r="V5360" s="8"/>
      <c r="W5360" s="8"/>
      <c r="X5360" s="8" t="str">
        <f>IFERROR(__xludf.DUMMYFUNCTION("""COMPUTED_VALUE"""),"有")</f>
        <v>有</v>
      </c>
      <c r="Y5360" s="8" t="str">
        <f>IFERROR(__xludf.DUMMYFUNCTION("""COMPUTED_VALUE"""),"2026/7/31まで1巻無料")</f>
        <v>2026/7/31まで1巻無料</v>
      </c>
      <c r="Z5360" s="7"/>
      <c r="AA5360" s="7"/>
      <c r="AB5360" s="7"/>
    </row>
    <row r="5361" ht="15.75" customHeight="1">
      <c r="A5361" s="26">
        <f>IFERROR(__xludf.DUMMYFUNCTION("""COMPUTED_VALUE"""),8093.0)</f>
        <v>8093</v>
      </c>
      <c r="B5361" s="22" t="str">
        <f>IFERROR(__xludf.DUMMYFUNCTION("""COMPUTED_VALUE"""),"確定")</f>
        <v>確定</v>
      </c>
      <c r="C5361" s="28">
        <f>IFERROR(__xludf.DUMMYFUNCTION("""COMPUTED_VALUE"""),46168.0)</f>
        <v>46168</v>
      </c>
      <c r="D5361" s="28">
        <f>IFERROR(__xludf.DUMMYFUNCTION("""COMPUTED_VALUE"""),46183.0)</f>
        <v>46183</v>
      </c>
      <c r="E5361" s="26"/>
      <c r="F5361" s="22" t="str">
        <f>IFERROR(__xludf.DUMMYFUNCTION("""COMPUTED_VALUE"""),"社畜魔女ルッタは祝福王子のお気に入り（単話版）")</f>
        <v>社畜魔女ルッタは祝福王子のお気に入り（単話版）</v>
      </c>
      <c r="G5361" s="20" t="str">
        <f>IFERROR(__xludf.DUMMYFUNCTION("""COMPUTED_VALUE"""),"1~3")</f>
        <v>1~3</v>
      </c>
      <c r="H5361" s="22" t="str">
        <f>IFERROR(__xludf.DUMMYFUNCTION("""COMPUTED_VALUE"""),"井野ジュン")</f>
        <v>井野ジュン</v>
      </c>
      <c r="I5361" s="22" t="str">
        <f>IFERROR(__xludf.DUMMYFUNCTION("""COMPUTED_VALUE"""),"少女")</f>
        <v>少女</v>
      </c>
      <c r="J5361" s="22"/>
      <c r="K5361" s="22"/>
      <c r="L5361" s="22" t="str">
        <f>IFERROR(__xludf.DUMMYFUNCTION("""COMPUTED_VALUE"""),"フレックスコミックス")</f>
        <v>フレックスコミックス</v>
      </c>
      <c r="M5361" s="33">
        <f>IFERROR(__xludf.DUMMYFUNCTION("""COMPUTED_VALUE"""),46227.0)</f>
        <v>46227</v>
      </c>
      <c r="N5361" s="33">
        <f>IFERROR(__xludf.DUMMYFUNCTION("""COMPUTED_VALUE"""),46318.0)</f>
        <v>46318</v>
      </c>
      <c r="O5361" s="20"/>
      <c r="P5361" s="32" t="str">
        <f>IFERROR(__xludf.DUMMYFUNCTION("""COMPUTED_VALUE"""),"可")</f>
        <v>可</v>
      </c>
      <c r="Q5361" s="30"/>
      <c r="R5361" s="22"/>
      <c r="S5361" s="22" t="str">
        <f>IFERROR(__xludf.DUMMYFUNCTION("""COMPUTED_VALUE"""),"20260605_フレックスコミックス_社畜魔女ルッタは祝福王子のお気に入り（単話版）")</f>
        <v>20260605_フレックスコミックス_社畜魔女ルッタは祝福王子のお気に入り（単話版）</v>
      </c>
      <c r="T5361" s="22" t="str">
        <f>IFERROR(__xludf.DUMMYFUNCTION("""COMPUTED_VALUE"""),"格納済み")</f>
        <v>格納済み</v>
      </c>
      <c r="U5361" s="9" t="str">
        <f>IFERROR(__xludf.DUMMYFUNCTION("""COMPUTED_VALUE"""),"Ⓒ井野ジュン／COMICポラリス")</f>
        <v>Ⓒ井野ジュン／COMICポラリス</v>
      </c>
      <c r="V5361" s="8"/>
      <c r="W5361" s="8"/>
      <c r="X5361" s="8"/>
      <c r="Y5361" s="8"/>
      <c r="Z5361" s="7"/>
      <c r="AA5361" s="7"/>
      <c r="AB5361" s="7"/>
    </row>
    <row r="5362" ht="15.75" customHeight="1">
      <c r="A5362" s="26">
        <f>IFERROR(__xludf.DUMMYFUNCTION("""COMPUTED_VALUE"""),8108.0)</f>
        <v>8108</v>
      </c>
      <c r="B5362" s="22" t="str">
        <f>IFERROR(__xludf.DUMMYFUNCTION("""COMPUTED_VALUE"""),"確定")</f>
        <v>確定</v>
      </c>
      <c r="C5362" s="28">
        <f>IFERROR(__xludf.DUMMYFUNCTION("""COMPUTED_VALUE"""),46169.0)</f>
        <v>46169</v>
      </c>
      <c r="D5362" s="28">
        <f>IFERROR(__xludf.DUMMYFUNCTION("""COMPUTED_VALUE"""),46183.0)</f>
        <v>46183</v>
      </c>
      <c r="E5362" s="26"/>
      <c r="F5362" s="22" t="str">
        <f>IFERROR(__xludf.DUMMYFUNCTION("""COMPUTED_VALUE"""),"ラッキースケベ止まりのハーレム主人公の体を頭SEXのサル後輩が乗っ取った話www")</f>
        <v>ラッキースケベ止まりのハーレム主人公の体を頭SEXのサル後輩が乗っ取った話www</v>
      </c>
      <c r="G5362" s="20" t="str">
        <f>IFERROR(__xludf.DUMMYFUNCTION("""COMPUTED_VALUE"""),"1~4")</f>
        <v>1~4</v>
      </c>
      <c r="H5362" s="22" t="str">
        <f>IFERROR(__xludf.DUMMYFUNCTION("""COMPUTED_VALUE"""),"さんろく丸┴ろくまる荘")</f>
        <v>さんろく丸┴ろくまる荘</v>
      </c>
      <c r="I5362" s="22" t="str">
        <f>IFERROR(__xludf.DUMMYFUNCTION("""COMPUTED_VALUE"""),"アダルト")</f>
        <v>アダルト</v>
      </c>
      <c r="J5362" s="22"/>
      <c r="K5362" s="22"/>
      <c r="L5362" s="22" t="str">
        <f>IFERROR(__xludf.DUMMYFUNCTION("""COMPUTED_VALUE"""),"クロスフォリオ出版")</f>
        <v>クロスフォリオ出版</v>
      </c>
      <c r="M5362" s="33">
        <f>IFERROR(__xludf.DUMMYFUNCTION("""COMPUTED_VALUE"""),46227.0)</f>
        <v>46227</v>
      </c>
      <c r="N5362" s="33">
        <f>IFERROR(__xludf.DUMMYFUNCTION("""COMPUTED_VALUE"""),46289.0)</f>
        <v>46289</v>
      </c>
      <c r="O5362" s="20"/>
      <c r="P5362" s="32" t="str">
        <f>IFERROR(__xludf.DUMMYFUNCTION("""COMPUTED_VALUE"""),"可")</f>
        <v>可</v>
      </c>
      <c r="Q5362" s="30" t="str">
        <f>IFERROR(__xludf.DUMMYFUNCTION("""COMPUTED_VALUE"""),"・書店BookLiveとの同時先行配信です。")</f>
        <v>・書店BookLiveとの同時先行配信です。</v>
      </c>
      <c r="R5362" s="22"/>
      <c r="S5362" s="22" t="str">
        <f>IFERROR(__xludf.DUMMYFUNCTION("""COMPUTED_VALUE"""),"20260609_BookLive_ラッキースケベ止まりのハーレム主人公の体を頭SEXのサル後輩が乗っ取った話www")</f>
        <v>20260609_BookLive_ラッキースケベ止まりのハーレム主人公の体を頭SEXのサル後輩が乗っ取った話www</v>
      </c>
      <c r="T5362" s="22" t="str">
        <f>IFERROR(__xludf.DUMMYFUNCTION("""COMPUTED_VALUE"""),"格納済み")</f>
        <v>格納済み</v>
      </c>
      <c r="U5362" s="9" t="str">
        <f>IFERROR(__xludf.DUMMYFUNCTION("""COMPUTED_VALUE"""),"Ⓒさんろく丸/ろくまる荘/クロスフォリオ出版")</f>
        <v>Ⓒさんろく丸/ろくまる荘/クロスフォリオ出版</v>
      </c>
      <c r="V5362" s="8"/>
      <c r="W5362" s="8"/>
      <c r="X5362" s="8"/>
      <c r="Y5362" s="8"/>
      <c r="Z5362" s="7"/>
      <c r="AA5362" s="7"/>
      <c r="AB5362" s="7"/>
    </row>
    <row r="5363" ht="15.75" customHeight="1">
      <c r="A5363" s="26">
        <f>IFERROR(__xludf.DUMMYFUNCTION("""COMPUTED_VALUE"""),8124.0)</f>
        <v>8124</v>
      </c>
      <c r="B5363" s="22" t="str">
        <f>IFERROR(__xludf.DUMMYFUNCTION("""COMPUTED_VALUE"""),"確定")</f>
        <v>確定</v>
      </c>
      <c r="C5363" s="28">
        <f>IFERROR(__xludf.DUMMYFUNCTION("""COMPUTED_VALUE"""),46174.0)</f>
        <v>46174</v>
      </c>
      <c r="D5363" s="28">
        <f>IFERROR(__xludf.DUMMYFUNCTION("""COMPUTED_VALUE"""),46183.0)</f>
        <v>46183</v>
      </c>
      <c r="E5363" s="26">
        <f>IFERROR(__xludf.DUMMYFUNCTION("""COMPUTED_VALUE"""),363919.0)</f>
        <v>363919</v>
      </c>
      <c r="F5363" s="22" t="str">
        <f>IFERROR(__xludf.DUMMYFUNCTION("""COMPUTED_VALUE"""),"かわいいだけじゃないあきらくんは、私の××にご執心～豹変した彼との溺愛執着えっち～【R版】")</f>
        <v>かわいいだけじゃないあきらくんは、私の××にご執心～豹変した彼との溺愛執着えっち～【R版】</v>
      </c>
      <c r="G5363" s="20" t="str">
        <f>IFERROR(__xludf.DUMMYFUNCTION("""COMPUTED_VALUE"""),"1~2")</f>
        <v>1~2</v>
      </c>
      <c r="H5363" s="22" t="str">
        <f>IFERROR(__xludf.DUMMYFUNCTION("""COMPUTED_VALUE"""),"キケンな男子図鑑┴寝々々")</f>
        <v>キケンな男子図鑑┴寝々々</v>
      </c>
      <c r="I5363" s="22" t="str">
        <f>IFERROR(__xludf.DUMMYFUNCTION("""COMPUTED_VALUE"""),"アダルト")</f>
        <v>アダルト</v>
      </c>
      <c r="J5363" s="22"/>
      <c r="K5363" s="22"/>
      <c r="L5363" s="22" t="str">
        <f>IFERROR(__xludf.DUMMYFUNCTION("""COMPUTED_VALUE"""),"BBB")</f>
        <v>BBB</v>
      </c>
      <c r="M5363" s="33">
        <f>IFERROR(__xludf.DUMMYFUNCTION("""COMPUTED_VALUE"""),46201.0)</f>
        <v>46201</v>
      </c>
      <c r="N5363" s="33">
        <f>IFERROR(__xludf.DUMMYFUNCTION("""COMPUTED_VALUE"""),46292.0)</f>
        <v>46292</v>
      </c>
      <c r="O5363" s="20"/>
      <c r="P5363" s="32" t="str">
        <f>IFERROR(__xludf.DUMMYFUNCTION("""COMPUTED_VALUE"""),"可")</f>
        <v>可</v>
      </c>
      <c r="Q5363" s="30" t="str">
        <f>IFERROR(__xludf.DUMMYFUNCTION("""COMPUTED_VALUE"""),"TL版も同時配信予定。")</f>
        <v>TL版も同時配信予定。</v>
      </c>
      <c r="R5363" s="22"/>
      <c r="S5363" s="22" t="str">
        <f>IFERROR(__xludf.DUMMYFUNCTION("""COMPUTED_VALUE"""),"20260609_BBB_かわいいだけじゃないあきらくんは、私の××にご執心～豹変した彼との溺愛執着えっち～【R版】")</f>
        <v>20260609_BBB_かわいいだけじゃないあきらくんは、私の××にご執心～豹変した彼との溺愛執着えっち～【R版】</v>
      </c>
      <c r="T5363" s="22" t="str">
        <f>IFERROR(__xludf.DUMMYFUNCTION("""COMPUTED_VALUE"""),"格納済み")</f>
        <v>格納済み</v>
      </c>
      <c r="U5363" s="9" t="str">
        <f>IFERROR(__xludf.DUMMYFUNCTION("""COMPUTED_VALUE"""),"Ⓒ寝々々/キケンな男子図鑑/Caleido Comics")</f>
        <v>Ⓒ寝々々/キケンな男子図鑑/Caleido Comics</v>
      </c>
      <c r="V5363" s="8"/>
      <c r="W5363" s="8"/>
      <c r="X5363" s="8" t="str">
        <f>IFERROR(__xludf.DUMMYFUNCTION("""COMPUTED_VALUE"""),"有")</f>
        <v>有</v>
      </c>
      <c r="Y5363" s="8" t="str">
        <f>IFERROR(__xludf.DUMMYFUNCTION("""COMPUTED_VALUE"""),"p15まで")</f>
        <v>p15まで</v>
      </c>
      <c r="Z5363" s="7"/>
      <c r="AA5363" s="7"/>
      <c r="AB5363" s="7"/>
    </row>
    <row r="5364" ht="15.75" customHeight="1">
      <c r="A5364" s="26">
        <f>IFERROR(__xludf.DUMMYFUNCTION("""COMPUTED_VALUE"""),8129.0)</f>
        <v>8129</v>
      </c>
      <c r="B5364" s="22" t="str">
        <f>IFERROR(__xludf.DUMMYFUNCTION("""COMPUTED_VALUE"""),"確定")</f>
        <v>確定</v>
      </c>
      <c r="C5364" s="28">
        <f>IFERROR(__xludf.DUMMYFUNCTION("""COMPUTED_VALUE"""),46175.0)</f>
        <v>46175</v>
      </c>
      <c r="D5364" s="28">
        <f>IFERROR(__xludf.DUMMYFUNCTION("""COMPUTED_VALUE"""),46181.0)</f>
        <v>46181</v>
      </c>
      <c r="E5364" s="26">
        <f>IFERROR(__xludf.DUMMYFUNCTION("""COMPUTED_VALUE"""),364843.0)</f>
        <v>364843</v>
      </c>
      <c r="F5364" s="22" t="str">
        <f>IFERROR(__xludf.DUMMYFUNCTION("""COMPUTED_VALUE"""),"私を癒してくれたのは巨根でクリ責め大好きな雪斗さんでした【R-18版】")</f>
        <v>私を癒してくれたのは巨根でクリ責め大好きな雪斗さんでした【R-18版】</v>
      </c>
      <c r="G5364" s="20" t="str">
        <f>IFERROR(__xludf.DUMMYFUNCTION("""COMPUTED_VALUE"""),"1~3")</f>
        <v>1~3</v>
      </c>
      <c r="H5364" s="22" t="str">
        <f>IFERROR(__xludf.DUMMYFUNCTION("""COMPUTED_VALUE"""),"おひるねっさん")</f>
        <v>おひるねっさん</v>
      </c>
      <c r="I5364" s="22" t="str">
        <f>IFERROR(__xludf.DUMMYFUNCTION("""COMPUTED_VALUE"""),"アダルト")</f>
        <v>アダルト</v>
      </c>
      <c r="J5364" s="22"/>
      <c r="K5364" s="22" t="str">
        <f>IFERROR(__xludf.DUMMYFUNCTION("""COMPUTED_VALUE"""),"Close Moon")</f>
        <v>Close Moon</v>
      </c>
      <c r="L5364" s="22" t="str">
        <f>IFERROR(__xludf.DUMMYFUNCTION("""COMPUTED_VALUE"""),"ナンバーナイン")</f>
        <v>ナンバーナイン</v>
      </c>
      <c r="M5364" s="33">
        <f>IFERROR(__xludf.DUMMYFUNCTION("""COMPUTED_VALUE"""),46204.0)</f>
        <v>46204</v>
      </c>
      <c r="N5364" s="33">
        <f>IFERROR(__xludf.DUMMYFUNCTION("""COMPUTED_VALUE"""),46265.0)</f>
        <v>46265</v>
      </c>
      <c r="O5364" s="20"/>
      <c r="P5364" s="32" t="str">
        <f>IFERROR(__xludf.DUMMYFUNCTION("""COMPUTED_VALUE"""),"可")</f>
        <v>可</v>
      </c>
      <c r="Q5364" s="30" t="str">
        <f>IFERROR(__xludf.DUMMYFUNCTION("""COMPUTED_VALUE"""),"がるまに")</f>
        <v>がるまに</v>
      </c>
      <c r="R5364" s="22"/>
      <c r="S5364" s="22" t="str">
        <f>IFERROR(__xludf.DUMMYFUNCTION("""COMPUTED_VALUE"""),"20260608_ ナンバーナイン_私を癒してくれたのは巨根でクリ責め大好きな雪斗さんでした【R-18版】")</f>
        <v>20260608_ ナンバーナイン_私を癒してくれたのは巨根でクリ責め大好きな雪斗さんでした【R-18版】</v>
      </c>
      <c r="T5364" s="22" t="str">
        <f>IFERROR(__xludf.DUMMYFUNCTION("""COMPUTED_VALUE"""),"格納済み")</f>
        <v>格納済み</v>
      </c>
      <c r="U5364" s="9" t="str">
        <f>IFERROR(__xludf.DUMMYFUNCTION("""COMPUTED_VALUE"""),"(C)おひるねっさん／ナンバーナイン")</f>
        <v>(C)おひるねっさん／ナンバーナイン</v>
      </c>
      <c r="V5364" s="8"/>
      <c r="W5364" s="8"/>
      <c r="X5364" s="8" t="str">
        <f>IFERROR(__xludf.DUMMYFUNCTION("""COMPUTED_VALUE"""),"有")</f>
        <v>有</v>
      </c>
      <c r="Y5364" s="8" t="str">
        <f>IFERROR(__xludf.DUMMYFUNCTION("""COMPUTED_VALUE"""),"2026/7/31まで1巻無料")</f>
        <v>2026/7/31まで1巻無料</v>
      </c>
      <c r="Z5364" s="7"/>
      <c r="AA5364" s="7"/>
      <c r="AB5364" s="7"/>
    </row>
    <row r="5365" ht="15.75" customHeight="1">
      <c r="A5365" s="26">
        <f>IFERROR(__xludf.DUMMYFUNCTION("""COMPUTED_VALUE"""),8130.0)</f>
        <v>8130</v>
      </c>
      <c r="B5365" s="22" t="str">
        <f>IFERROR(__xludf.DUMMYFUNCTION("""COMPUTED_VALUE"""),"確定")</f>
        <v>確定</v>
      </c>
      <c r="C5365" s="28">
        <f>IFERROR(__xludf.DUMMYFUNCTION("""COMPUTED_VALUE"""),46176.0)</f>
        <v>46176</v>
      </c>
      <c r="D5365" s="28">
        <f>IFERROR(__xludf.DUMMYFUNCTION("""COMPUTED_VALUE"""),46178.0)</f>
        <v>46178</v>
      </c>
      <c r="E5365" s="26">
        <f>IFERROR(__xludf.DUMMYFUNCTION("""COMPUTED_VALUE"""),363133.0)</f>
        <v>363133</v>
      </c>
      <c r="F5365" s="22" t="str">
        <f>IFERROR(__xludf.DUMMYFUNCTION("""COMPUTED_VALUE"""),"溺愛龍人と孕ませ性活～恐れられる龍人様に嫁いだら、常識外れのでろ甘孕ませ開発が私の日常になりました～【R版】")</f>
        <v>溺愛龍人と孕ませ性活～恐れられる龍人様に嫁いだら、常識外れのでろ甘孕ませ開発が私の日常になりました～【R版】</v>
      </c>
      <c r="G5365" s="20" t="str">
        <f>IFERROR(__xludf.DUMMYFUNCTION("""COMPUTED_VALUE"""),"1~4")</f>
        <v>1~4</v>
      </c>
      <c r="H5365" s="22" t="str">
        <f>IFERROR(__xludf.DUMMYFUNCTION("""COMPUTED_VALUE"""),"隔離カイリ/九めい")</f>
        <v>隔離カイリ/九めい</v>
      </c>
      <c r="I5365" s="22" t="str">
        <f>IFERROR(__xludf.DUMMYFUNCTION("""COMPUTED_VALUE"""),"アダルト")</f>
        <v>アダルト</v>
      </c>
      <c r="J5365" s="22"/>
      <c r="K5365" s="22" t="str">
        <f>IFERROR(__xludf.DUMMYFUNCTION("""COMPUTED_VALUE"""),"BLIC-TL")</f>
        <v>BLIC-TL</v>
      </c>
      <c r="L5365" s="22" t="str">
        <f>IFERROR(__xludf.DUMMYFUNCTION("""COMPUTED_VALUE"""),"クロスフォリオ出版")</f>
        <v>クロスフォリオ出版</v>
      </c>
      <c r="M5365" s="33">
        <f>IFERROR(__xludf.DUMMYFUNCTION("""COMPUTED_VALUE"""),46206.0)</f>
        <v>46206</v>
      </c>
      <c r="N5365" s="33">
        <f>IFERROR(__xludf.DUMMYFUNCTION("""COMPUTED_VALUE"""),46268.0)</f>
        <v>46268</v>
      </c>
      <c r="O5365" s="20"/>
      <c r="P5365" s="32" t="str">
        <f>IFERROR(__xludf.DUMMYFUNCTION("""COMPUTED_VALUE"""),"可")</f>
        <v>可</v>
      </c>
      <c r="Q5365" s="30" t="str">
        <f>IFERROR(__xludf.DUMMYFUNCTION("""COMPUTED_VALUE"""),"格納素材を4分割して初回1~4巻として配信します。&lt;BR&gt;・書店BookLiveとシーモアの同時先行配信")</f>
        <v>格納素材を4分割して初回1~4巻として配信します。&lt;BR&gt;・書店BookLiveとシーモアの同時先行配信</v>
      </c>
      <c r="R5365" s="22"/>
      <c r="S5365" s="22" t="str">
        <f>IFERROR(__xludf.DUMMYFUNCTION("""COMPUTED_VALUE"""),"20260602_BookLive_溺愛龍人と孕ませ性活～恐れられる龍人様に嫁いだら、常識外れのでろ甘孕ませ開発が私の日常になりました～【R版】")</f>
        <v>20260602_BookLive_溺愛龍人と孕ませ性活～恐れられる龍人様に嫁いだら、常識外れのでろ甘孕ませ開発が私の日常になりました～【R版】</v>
      </c>
      <c r="T5365" s="22" t="str">
        <f>IFERROR(__xludf.DUMMYFUNCTION("""COMPUTED_VALUE"""),"格納済み")</f>
        <v>格納済み</v>
      </c>
      <c r="U5365" s="9" t="str">
        <f>IFERROR(__xludf.DUMMYFUNCTION("""COMPUTED_VALUE"""),"Ⓒ隔離カイリ/九めい/めいめいキメラ/クロスフォリオ出版")</f>
        <v>Ⓒ隔離カイリ/九めい/めいめいキメラ/クロスフォリオ出版</v>
      </c>
      <c r="V5365" s="8"/>
      <c r="W5365" s="8"/>
      <c r="X5365" s="8" t="str">
        <f>IFERROR(__xludf.DUMMYFUNCTION("""COMPUTED_VALUE"""),"有")</f>
        <v>有</v>
      </c>
      <c r="Y5365" s="8" t="str">
        <f>IFERROR(__xludf.DUMMYFUNCTION("""COMPUTED_VALUE"""),"2026/9/3まで1巻無料")</f>
        <v>2026/9/3まで1巻無料</v>
      </c>
      <c r="Z5365" s="7"/>
      <c r="AA5365" s="7"/>
      <c r="AB5365" s="7"/>
    </row>
    <row r="5366" ht="15.75" customHeight="1">
      <c r="A5366" s="26">
        <f>IFERROR(__xludf.DUMMYFUNCTION("""COMPUTED_VALUE"""),8131.0)</f>
        <v>8131</v>
      </c>
      <c r="B5366" s="22" t="str">
        <f>IFERROR(__xludf.DUMMYFUNCTION("""COMPUTED_VALUE"""),"確定")</f>
        <v>確定</v>
      </c>
      <c r="C5366" s="28">
        <f>IFERROR(__xludf.DUMMYFUNCTION("""COMPUTED_VALUE"""),46176.0)</f>
        <v>46176</v>
      </c>
      <c r="D5366" s="28">
        <f>IFERROR(__xludf.DUMMYFUNCTION("""COMPUTED_VALUE"""),46182.0)</f>
        <v>46182</v>
      </c>
      <c r="E5366" s="26">
        <f>IFERROR(__xludf.DUMMYFUNCTION("""COMPUTED_VALUE"""),363665.0)</f>
        <v>363665</v>
      </c>
      <c r="F5366" s="22" t="str">
        <f>IFERROR(__xludf.DUMMYFUNCTION("""COMPUTED_VALUE"""),"メイクライ メロウライ")</f>
        <v>メイクライ メロウライ</v>
      </c>
      <c r="G5366" s="20" t="str">
        <f>IFERROR(__xludf.DUMMYFUNCTION("""COMPUTED_VALUE"""),"1~2")</f>
        <v>1~2</v>
      </c>
      <c r="H5366" s="22" t="str">
        <f>IFERROR(__xludf.DUMMYFUNCTION("""COMPUTED_VALUE"""),"nocori")</f>
        <v>nocori</v>
      </c>
      <c r="I5366" s="22" t="str">
        <f>IFERROR(__xludf.DUMMYFUNCTION("""COMPUTED_VALUE"""),"BLマンガ")</f>
        <v>BLマンガ</v>
      </c>
      <c r="J5366" s="22"/>
      <c r="K5366" s="22" t="str">
        <f>IFERROR(__xludf.DUMMYFUNCTION("""COMPUTED_VALUE"""),"KiR comics")</f>
        <v>KiR comics</v>
      </c>
      <c r="L5366" s="22" t="str">
        <f>IFERROR(__xludf.DUMMYFUNCTION("""COMPUTED_VALUE"""),"KiR comics")</f>
        <v>KiR comics</v>
      </c>
      <c r="M5366" s="33">
        <f>IFERROR(__xludf.DUMMYFUNCTION("""COMPUTED_VALUE"""),46185.0)</f>
        <v>46185</v>
      </c>
      <c r="N5366" s="33">
        <f>IFERROR(__xludf.DUMMYFUNCTION("""COMPUTED_VALUE"""),46212.0)</f>
        <v>46212</v>
      </c>
      <c r="O5366" s="20" t="str">
        <f>IFERROR(__xludf.DUMMYFUNCTION("""COMPUTED_VALUE"""),"【アダルト作品扱い】")</f>
        <v>【アダルト作品扱い】</v>
      </c>
      <c r="P5366" s="32" t="str">
        <f>IFERROR(__xludf.DUMMYFUNCTION("""COMPUTED_VALUE"""),"可")</f>
        <v>可</v>
      </c>
      <c r="Q5366" s="30"/>
      <c r="R5366" s="22"/>
      <c r="S5366" s="22" t="str">
        <f>IFERROR(__xludf.DUMMYFUNCTION("""COMPUTED_VALUE"""),"20260603_CLAPコミックス_メイクライ メロウライ")</f>
        <v>20260603_CLAPコミックス_メイクライ メロウライ</v>
      </c>
      <c r="T5366" s="22" t="str">
        <f>IFERROR(__xludf.DUMMYFUNCTION("""COMPUTED_VALUE"""),"格納済み")</f>
        <v>格納済み</v>
      </c>
      <c r="U5366" s="9" t="str">
        <f>IFERROR(__xludf.DUMMYFUNCTION("""COMPUTED_VALUE"""),"nocori／KiR comics")</f>
        <v>nocori／KiR comics</v>
      </c>
      <c r="V5366" s="8"/>
      <c r="W5366" s="8"/>
      <c r="X5366" s="8" t="str">
        <f>IFERROR(__xludf.DUMMYFUNCTION("""COMPUTED_VALUE"""),"有")</f>
        <v>有</v>
      </c>
      <c r="Y5366" s="8" t="str">
        <f>IFERROR(__xludf.DUMMYFUNCTION("""COMPUTED_VALUE"""),"2026/6/25まで1巻立ち読み増量（P17）")</f>
        <v>2026/6/25まで1巻立ち読み増量（P17）</v>
      </c>
      <c r="Z5366" s="7"/>
      <c r="AA5366" s="7"/>
      <c r="AB5366" s="7"/>
    </row>
    <row r="5367" ht="15.75" customHeight="1">
      <c r="A5367" s="26">
        <f>IFERROR(__xludf.DUMMYFUNCTION("""COMPUTED_VALUE"""),8137.0)</f>
        <v>8137</v>
      </c>
      <c r="B5367" s="22" t="str">
        <f>IFERROR(__xludf.DUMMYFUNCTION("""COMPUTED_VALUE"""),"確定")</f>
        <v>確定</v>
      </c>
      <c r="C5367" s="28">
        <f>IFERROR(__xludf.DUMMYFUNCTION("""COMPUTED_VALUE"""),46177.0)</f>
        <v>46177</v>
      </c>
      <c r="D5367" s="28">
        <f>IFERROR(__xludf.DUMMYFUNCTION("""COMPUTED_VALUE"""),46181.0)</f>
        <v>46181</v>
      </c>
      <c r="E5367" s="26">
        <f>IFERROR(__xludf.DUMMYFUNCTION("""COMPUTED_VALUE"""),362388.0)</f>
        <v>362388</v>
      </c>
      <c r="F5367" s="22" t="str">
        <f>IFERROR(__xludf.DUMMYFUNCTION("""COMPUTED_VALUE"""),"夢だったマイホームは夫の不倫現場でした【分冊版】")</f>
        <v>夢だったマイホームは夫の不倫現場でした【分冊版】</v>
      </c>
      <c r="G5367" s="20" t="str">
        <f>IFERROR(__xludf.DUMMYFUNCTION("""COMPUTED_VALUE"""),"1~4")</f>
        <v>1~4</v>
      </c>
      <c r="H5367" s="22" t="str">
        <f>IFERROR(__xludf.DUMMYFUNCTION("""COMPUTED_VALUE"""),"仲地杏樹／SORAJIMA")</f>
        <v>仲地杏樹／SORAJIMA</v>
      </c>
      <c r="I5367" s="22" t="str">
        <f>IFERROR(__xludf.DUMMYFUNCTION("""COMPUTED_VALUE"""),"女性")</f>
        <v>女性</v>
      </c>
      <c r="J5367" s="22"/>
      <c r="K5367" s="22"/>
      <c r="L5367" s="22" t="str">
        <f>IFERROR(__xludf.DUMMYFUNCTION("""COMPUTED_VALUE"""),"SORAJIMA")</f>
        <v>SORAJIMA</v>
      </c>
      <c r="M5367" s="33">
        <f>IFERROR(__xludf.DUMMYFUNCTION("""COMPUTED_VALUE"""),46221.0)</f>
        <v>46221</v>
      </c>
      <c r="N5367" s="33">
        <f>IFERROR(__xludf.DUMMYFUNCTION("""COMPUTED_VALUE"""),46310.0)</f>
        <v>46310</v>
      </c>
      <c r="O5367" s="20"/>
      <c r="P5367" s="32" t="str">
        <f>IFERROR(__xludf.DUMMYFUNCTION("""COMPUTED_VALUE"""),"可")</f>
        <v>可</v>
      </c>
      <c r="Q5367" s="30"/>
      <c r="R5367" s="22"/>
      <c r="S5367" s="22" t="str">
        <f>IFERROR(__xludf.DUMMYFUNCTION("""COMPUTED_VALUE"""),"20260603_SORAJIMA_夢だったマイホームは夫の不倫現場でした")</f>
        <v>20260603_SORAJIMA_夢だったマイホームは夫の不倫現場でした</v>
      </c>
      <c r="T5367" s="22" t="str">
        <f>IFERROR(__xludf.DUMMYFUNCTION("""COMPUTED_VALUE"""),"格納済み")</f>
        <v>格納済み</v>
      </c>
      <c r="U5367" s="9" t="str">
        <f>IFERROR(__xludf.DUMMYFUNCTION("""COMPUTED_VALUE"""),"Ⓒ仲地 杏樹/SORAJIMA")</f>
        <v>Ⓒ仲地 杏樹/SORAJIMA</v>
      </c>
      <c r="V5367" s="8"/>
      <c r="W5367" s="8"/>
      <c r="X5367" s="8" t="str">
        <f>IFERROR(__xludf.DUMMYFUNCTION("""COMPUTED_VALUE"""),"有")</f>
        <v>有</v>
      </c>
      <c r="Y5367" s="8" t="str">
        <f>IFERROR(__xludf.DUMMYFUNCTION("""COMPUTED_VALUE"""),"2026/8/14まで1巻無料")</f>
        <v>2026/8/14まで1巻無料</v>
      </c>
      <c r="Z5367" s="7"/>
      <c r="AA5367" s="7"/>
      <c r="AB5367" s="7"/>
    </row>
    <row r="5368" ht="15.75" customHeight="1">
      <c r="A5368" s="26">
        <f>IFERROR(__xludf.DUMMYFUNCTION("""COMPUTED_VALUE"""),8140.0)</f>
        <v>8140</v>
      </c>
      <c r="B5368" s="22" t="str">
        <f>IFERROR(__xludf.DUMMYFUNCTION("""COMPUTED_VALUE"""),"確定")</f>
        <v>確定</v>
      </c>
      <c r="C5368" s="28">
        <f>IFERROR(__xludf.DUMMYFUNCTION("""COMPUTED_VALUE"""),46177.0)</f>
        <v>46177</v>
      </c>
      <c r="D5368" s="28">
        <f>IFERROR(__xludf.DUMMYFUNCTION("""COMPUTED_VALUE"""),46182.0)</f>
        <v>46182</v>
      </c>
      <c r="E5368" s="26">
        <f>IFERROR(__xludf.DUMMYFUNCTION("""COMPUTED_VALUE"""),365585.0)</f>
        <v>365585</v>
      </c>
      <c r="F5368" s="22" t="str">
        <f>IFERROR(__xludf.DUMMYFUNCTION("""COMPUTED_VALUE"""),"伝説の悪役令嬢らしいので本編には出ないことにしました【分冊版】")</f>
        <v>伝説の悪役令嬢らしいので本編には出ないことにしました【分冊版】</v>
      </c>
      <c r="G5368" s="20" t="str">
        <f>IFERROR(__xludf.DUMMYFUNCTION("""COMPUTED_VALUE"""),"1~3")</f>
        <v>1~3</v>
      </c>
      <c r="H5368" s="22" t="str">
        <f>IFERROR(__xludf.DUMMYFUNCTION("""COMPUTED_VALUE"""),"原作：イトカワジンカイ／漫画：もち日和")</f>
        <v>原作：イトカワジンカイ／漫画：もち日和</v>
      </c>
      <c r="I5368" s="22" t="str">
        <f>IFERROR(__xludf.DUMMYFUNCTION("""COMPUTED_VALUE"""),"女性")</f>
        <v>女性</v>
      </c>
      <c r="J5368" s="22"/>
      <c r="K5368" s="22"/>
      <c r="L5368" s="22" t="str">
        <f>IFERROR(__xludf.DUMMYFUNCTION("""COMPUTED_VALUE"""),"一二三書房")</f>
        <v>一二三書房</v>
      </c>
      <c r="M5368" s="33">
        <f>IFERROR(__xludf.DUMMYFUNCTION("""COMPUTED_VALUE"""),46206.0)</f>
        <v>46206</v>
      </c>
      <c r="N5368" s="33">
        <f>IFERROR(__xludf.DUMMYFUNCTION("""COMPUTED_VALUE"""),46268.0)</f>
        <v>46268</v>
      </c>
      <c r="O5368" s="20"/>
      <c r="P5368" s="32" t="str">
        <f>IFERROR(__xludf.DUMMYFUNCTION("""COMPUTED_VALUE"""),"可")</f>
        <v>可</v>
      </c>
      <c r="Q5368" s="30" t="str">
        <f>IFERROR(__xludf.DUMMYFUNCTION("""COMPUTED_VALUE"""),"ノベルなど数々の作品を手掛けているイトカワジンカイ先生原作の初コミカライズ作品です。 他社作品の実績は以下です。 ・「婚約破棄された聖女が拾ったのは魔法にかかった隣国の王子でした～溺愛されてますが、運命の番って何ですか？～」がピッコマにて総合ランキング（ノベル）25位、総合ランキング（TL小説）4位 ・「死神侯爵の花嫁 ～呪われ令嬢は命をかけて愛を誓う～」が日間ランキング（TL)ピッコマ22位、めちゃコミック7位、ブックウォーカー12位、シーモア12位 ・「偽装婚約のはずですが、初対面(?)の伯爵様はこの"&amp;"結婚に本気のようです」が日間ランキングめちゃコミ 1位、ピッコマ 23位、honto 11位、ブックライブ 43位、シーモア 61位")</f>
        <v>ノベルなど数々の作品を手掛けているイトカワジンカイ先生原作の初コミカライズ作品です。 他社作品の実績は以下です。 ・「婚約破棄された聖女が拾ったのは魔法にかかった隣国の王子でした～溺愛されてますが、運命の番って何ですか？～」がピッコマにて総合ランキング（ノベル）25位、総合ランキング（TL小説）4位 ・「死神侯爵の花嫁 ～呪われ令嬢は命をかけて愛を誓う～」が日間ランキング（TL)ピッコマ22位、めちゃコミック7位、ブックウォーカー12位、シーモア12位 ・「偽装婚約のはずですが、初対面(?)の伯爵様はこの結婚に本気のようです」が日間ランキングめちゃコミ 1位、ピッコマ 23位、honto 11位、ブックライブ 43位、シーモア 61位</v>
      </c>
      <c r="R5368" s="22"/>
      <c r="S5368" s="22" t="str">
        <f>IFERROR(__xludf.DUMMYFUNCTION("""COMPUTED_VALUE"""),"20260605_一二三書房_伝説の悪役令嬢らしいので本編には出ないことにしました～執着も溺愛も婚約破棄も全部お断りします！～")</f>
        <v>20260605_一二三書房_伝説の悪役令嬢らしいので本編には出ないことにしました～執着も溺愛も婚約破棄も全部お断りします！～</v>
      </c>
      <c r="T5368" s="22" t="str">
        <f>IFERROR(__xludf.DUMMYFUNCTION("""COMPUTED_VALUE"""),"格納済み")</f>
        <v>格納済み</v>
      </c>
      <c r="U5368" s="9" t="str">
        <f>IFERROR(__xludf.DUMMYFUNCTION("""COMPUTED_VALUE"""),"Ⓒ︎Zinkai Itokawa/indent Ⓒmothibiyori ⒸHIFUMI SHOBO")</f>
        <v>Ⓒ︎Zinkai Itokawa/indent Ⓒmothibiyori ⒸHIFUMI SHOBO</v>
      </c>
      <c r="V5368" s="8"/>
      <c r="W5368" s="8"/>
      <c r="X5368" s="8" t="str">
        <f>IFERROR(__xludf.DUMMYFUNCTION("""COMPUTED_VALUE"""),"有")</f>
        <v>有</v>
      </c>
      <c r="Y5368" s="8" t="str">
        <f>IFERROR(__xludf.DUMMYFUNCTION("""COMPUTED_VALUE"""),"2026/9/3まで1巻無料")</f>
        <v>2026/9/3まで1巻無料</v>
      </c>
      <c r="Z5368" s="7"/>
      <c r="AA5368" s="7"/>
      <c r="AB5368" s="7"/>
    </row>
    <row r="5369" ht="15.75" customHeight="1">
      <c r="A5369" s="26">
        <f>IFERROR(__xludf.DUMMYFUNCTION("""COMPUTED_VALUE"""),8141.0)</f>
        <v>8141</v>
      </c>
      <c r="B5369" s="22" t="str">
        <f>IFERROR(__xludf.DUMMYFUNCTION("""COMPUTED_VALUE"""),"確定")</f>
        <v>確定</v>
      </c>
      <c r="C5369" s="28">
        <f>IFERROR(__xludf.DUMMYFUNCTION("""COMPUTED_VALUE"""),46177.0)</f>
        <v>46177</v>
      </c>
      <c r="D5369" s="28">
        <f>IFERROR(__xludf.DUMMYFUNCTION("""COMPUTED_VALUE"""),46182.0)</f>
        <v>46182</v>
      </c>
      <c r="E5369" s="26">
        <f>IFERROR(__xludf.DUMMYFUNCTION("""COMPUTED_VALUE"""),365587.0)</f>
        <v>365587</v>
      </c>
      <c r="F5369" s="22" t="str">
        <f>IFERROR(__xludf.DUMMYFUNCTION("""COMPUTED_VALUE"""),"異世界から飛ばされて来た鑑定娘は、占いで生計を立てる【分冊版】")</f>
        <v>異世界から飛ばされて来た鑑定娘は、占いで生計を立てる【分冊版】</v>
      </c>
      <c r="G5369" s="20" t="str">
        <f>IFERROR(__xludf.DUMMYFUNCTION("""COMPUTED_VALUE"""),"1~3")</f>
        <v>1~3</v>
      </c>
      <c r="H5369" s="22" t="str">
        <f>IFERROR(__xludf.DUMMYFUNCTION("""COMPUTED_VALUE"""),"原作：オレンジ方解石／漫画：笹園みお／キャラクター原案：瓜うりた")</f>
        <v>原作：オレンジ方解石／漫画：笹園みお／キャラクター原案：瓜うりた</v>
      </c>
      <c r="I5369" s="22" t="str">
        <f>IFERROR(__xludf.DUMMYFUNCTION("""COMPUTED_VALUE"""),"女性")</f>
        <v>女性</v>
      </c>
      <c r="J5369" s="22"/>
      <c r="K5369" s="22"/>
      <c r="L5369" s="22" t="str">
        <f>IFERROR(__xludf.DUMMYFUNCTION("""COMPUTED_VALUE"""),"一二三書房")</f>
        <v>一二三書房</v>
      </c>
      <c r="M5369" s="33">
        <f>IFERROR(__xludf.DUMMYFUNCTION("""COMPUTED_VALUE"""),46206.0)</f>
        <v>46206</v>
      </c>
      <c r="N5369" s="33">
        <f>IFERROR(__xludf.DUMMYFUNCTION("""COMPUTED_VALUE"""),46268.0)</f>
        <v>46268</v>
      </c>
      <c r="O5369" s="20"/>
      <c r="P5369" s="32" t="str">
        <f>IFERROR(__xludf.DUMMYFUNCTION("""COMPUTED_VALUE"""),"可")</f>
        <v>可</v>
      </c>
      <c r="Q5369" s="30" t="str">
        <f>IFERROR(__xludf.DUMMYFUNCTION("""COMPUTED_VALUE"""),"オレンジ方解石先生原作×笹園みお先生作画で送る、 鑑定少女と縁切りホストの不思議な同居生活からはじまるヒューマンドラマ×現代ファンタジーです。 ビブリア古書堂の事件手帖などのヒューマンドラマ系の作品とテイストが似ています。")</f>
        <v>オレンジ方解石先生原作×笹園みお先生作画で送る、 鑑定少女と縁切りホストの不思議な同居生活からはじまるヒューマンドラマ×現代ファンタジーです。 ビブリア古書堂の事件手帖などのヒューマンドラマ系の作品とテイストが似ています。</v>
      </c>
      <c r="R5369" s="22"/>
      <c r="S5369" s="22" t="str">
        <f>IFERROR(__xludf.DUMMYFUNCTION("""COMPUTED_VALUE"""),"20260605_一二三書房_異世界から飛ばされて来た鑑定娘は、占いで生計を立てる")</f>
        <v>20260605_一二三書房_異世界から飛ばされて来た鑑定娘は、占いで生計を立てる</v>
      </c>
      <c r="T5369" s="22" t="str">
        <f>IFERROR(__xludf.DUMMYFUNCTION("""COMPUTED_VALUE"""),"格納済み")</f>
        <v>格納済み</v>
      </c>
      <c r="U5369" s="9" t="str">
        <f>IFERROR(__xludf.DUMMYFUNCTION("""COMPUTED_VALUE"""),"ⒸOrangeHoukaiseki Ⓒ MioSasazono(TOKIFUDE) ⒸHIFUMI SHOBO")</f>
        <v>ⒸOrangeHoukaiseki Ⓒ MioSasazono(TOKIFUDE) ⒸHIFUMI SHOBO</v>
      </c>
      <c r="V5369" s="8"/>
      <c r="W5369" s="8"/>
      <c r="X5369" s="8" t="str">
        <f>IFERROR(__xludf.DUMMYFUNCTION("""COMPUTED_VALUE"""),"有")</f>
        <v>有</v>
      </c>
      <c r="Y5369" s="8" t="str">
        <f>IFERROR(__xludf.DUMMYFUNCTION("""COMPUTED_VALUE"""),"2026/9/3まで1巻無料")</f>
        <v>2026/9/3まで1巻無料</v>
      </c>
      <c r="Z5369" s="7"/>
      <c r="AA5369" s="7"/>
      <c r="AB5369" s="7"/>
    </row>
    <row r="5370" ht="15.75" customHeight="1">
      <c r="A5370" s="26">
        <f>IFERROR(__xludf.DUMMYFUNCTION("""COMPUTED_VALUE"""),8150.0)</f>
        <v>8150</v>
      </c>
      <c r="B5370" s="22" t="str">
        <f>IFERROR(__xludf.DUMMYFUNCTION("""COMPUTED_VALUE"""),"確定")</f>
        <v>確定</v>
      </c>
      <c r="C5370" s="28">
        <f>IFERROR(__xludf.DUMMYFUNCTION("""COMPUTED_VALUE"""),46177.0)</f>
        <v>46177</v>
      </c>
      <c r="D5370" s="28">
        <f>IFERROR(__xludf.DUMMYFUNCTION("""COMPUTED_VALUE"""),46183.0)</f>
        <v>46183</v>
      </c>
      <c r="E5370" s="26">
        <f>IFERROR(__xludf.DUMMYFUNCTION("""COMPUTED_VALUE"""),364838.0)</f>
        <v>364838</v>
      </c>
      <c r="F5370" s="22" t="str">
        <f>IFERROR(__xludf.DUMMYFUNCTION("""COMPUTED_VALUE"""),"全部知ってるよ、姉ちゃん。～こじらせ幼馴染陽くんにメス堕ち開発されるまで～【R-18版】")</f>
        <v>全部知ってるよ、姉ちゃん。～こじらせ幼馴染陽くんにメス堕ち開発されるまで～【R-18版】</v>
      </c>
      <c r="G5370" s="20" t="str">
        <f>IFERROR(__xludf.DUMMYFUNCTION("""COMPUTED_VALUE"""),"1~2")</f>
        <v>1~2</v>
      </c>
      <c r="H5370" s="22" t="str">
        <f>IFERROR(__xludf.DUMMYFUNCTION("""COMPUTED_VALUE"""),"水白しずく,霧野きり")</f>
        <v>水白しずく,霧野きり</v>
      </c>
      <c r="I5370" s="22" t="str">
        <f>IFERROR(__xludf.DUMMYFUNCTION("""COMPUTED_VALUE"""),"アダルトマンガ")</f>
        <v>アダルトマンガ</v>
      </c>
      <c r="J5370" s="22"/>
      <c r="K5370" s="22" t="str">
        <f>IFERROR(__xludf.DUMMYFUNCTION("""COMPUTED_VALUE"""),"リベルタ")</f>
        <v>リベルタ</v>
      </c>
      <c r="L5370" s="22" t="str">
        <f>IFERROR(__xludf.DUMMYFUNCTION("""COMPUTED_VALUE"""),"ナンバーナイン")</f>
        <v>ナンバーナイン</v>
      </c>
      <c r="M5370" s="33">
        <f>IFERROR(__xludf.DUMMYFUNCTION("""COMPUTED_VALUE"""),46204.0)</f>
        <v>46204</v>
      </c>
      <c r="N5370" s="33">
        <f>IFERROR(__xludf.DUMMYFUNCTION("""COMPUTED_VALUE"""),46265.0)</f>
        <v>46265</v>
      </c>
      <c r="O5370" s="20"/>
      <c r="P5370" s="32" t="str">
        <f>IFERROR(__xludf.DUMMYFUNCTION("""COMPUTED_VALUE"""),"可")</f>
        <v>可</v>
      </c>
      <c r="Q5370" s="30" t="str">
        <f>IFERROR(__xludf.DUMMYFUNCTION("""COMPUTED_VALUE"""),"がるまに")</f>
        <v>がるまに</v>
      </c>
      <c r="R5370" s="22"/>
      <c r="S5370" s="22" t="str">
        <f>IFERROR(__xludf.DUMMYFUNCTION("""COMPUTED_VALUE"""),"20260609_ ナンバーナイン_全部知ってるよ、姉ちゃん。～こじらせ幼馴染陽くんにメス堕ち開発されるまで～【R-18版】")</f>
        <v>20260609_ ナンバーナイン_全部知ってるよ、姉ちゃん。～こじらせ幼馴染陽くんにメス堕ち開発されるまで～【R-18版】</v>
      </c>
      <c r="T5370" s="22" t="str">
        <f>IFERROR(__xludf.DUMMYFUNCTION("""COMPUTED_VALUE"""),"格納済み")</f>
        <v>格納済み</v>
      </c>
      <c r="U5370" s="9" t="str">
        <f>IFERROR(__xludf.DUMMYFUNCTION("""COMPUTED_VALUE"""),"(C)リベルタ／ナンバーナイン")</f>
        <v>(C)リベルタ／ナンバーナイン</v>
      </c>
      <c r="V5370" s="8"/>
      <c r="W5370" s="8"/>
      <c r="X5370" s="8" t="str">
        <f>IFERROR(__xludf.DUMMYFUNCTION("""COMPUTED_VALUE"""),"有")</f>
        <v>有</v>
      </c>
      <c r="Y5370" s="8" t="str">
        <f>IFERROR(__xludf.DUMMYFUNCTION("""COMPUTED_VALUE"""),"p7まで")</f>
        <v>p7まで</v>
      </c>
      <c r="Z5370" s="7"/>
      <c r="AA5370" s="7"/>
      <c r="AB5370" s="7"/>
    </row>
    <row r="5371" ht="15.75" customHeight="1">
      <c r="A5371" s="26">
        <f>IFERROR(__xludf.DUMMYFUNCTION("""COMPUTED_VALUE"""),8151.0)</f>
        <v>8151</v>
      </c>
      <c r="B5371" s="22" t="str">
        <f>IFERROR(__xludf.DUMMYFUNCTION("""COMPUTED_VALUE"""),"確定")</f>
        <v>確定</v>
      </c>
      <c r="C5371" s="28">
        <f>IFERROR(__xludf.DUMMYFUNCTION("""COMPUTED_VALUE"""),46177.0)</f>
        <v>46177</v>
      </c>
      <c r="D5371" s="28">
        <f>IFERROR(__xludf.DUMMYFUNCTION("""COMPUTED_VALUE"""),46183.0)</f>
        <v>46183</v>
      </c>
      <c r="E5371" s="26">
        <f>IFERROR(__xludf.DUMMYFUNCTION("""COMPUTED_VALUE"""),364841.0)</f>
        <v>364841</v>
      </c>
      <c r="F5371" s="22" t="str">
        <f>IFERROR(__xludf.DUMMYFUNCTION("""COMPUTED_VALUE"""),"大好きな彼氏はえっちな配信者！？～いくいくクリ電マ×生ハメ配信～【R-18版】")</f>
        <v>大好きな彼氏はえっちな配信者！？～いくいくクリ電マ×生ハメ配信～【R-18版】</v>
      </c>
      <c r="G5371" s="20" t="str">
        <f>IFERROR(__xludf.DUMMYFUNCTION("""COMPUTED_VALUE"""),"1~3")</f>
        <v>1~3</v>
      </c>
      <c r="H5371" s="22" t="str">
        <f>IFERROR(__xludf.DUMMYFUNCTION("""COMPUTED_VALUE"""),"青山春兎,oi")</f>
        <v>青山春兎,oi</v>
      </c>
      <c r="I5371" s="22" t="str">
        <f>IFERROR(__xludf.DUMMYFUNCTION("""COMPUTED_VALUE"""),"アダルトマンガ")</f>
        <v>アダルトマンガ</v>
      </c>
      <c r="J5371" s="22"/>
      <c r="K5371" s="22" t="str">
        <f>IFERROR(__xludf.DUMMYFUNCTION("""COMPUTED_VALUE"""),"リベルタ")</f>
        <v>リベルタ</v>
      </c>
      <c r="L5371" s="22" t="str">
        <f>IFERROR(__xludf.DUMMYFUNCTION("""COMPUTED_VALUE"""),"ナンバーナイン")</f>
        <v>ナンバーナイン</v>
      </c>
      <c r="M5371" s="33">
        <f>IFERROR(__xludf.DUMMYFUNCTION("""COMPUTED_VALUE"""),46204.0)</f>
        <v>46204</v>
      </c>
      <c r="N5371" s="33">
        <f>IFERROR(__xludf.DUMMYFUNCTION("""COMPUTED_VALUE"""),46265.0)</f>
        <v>46265</v>
      </c>
      <c r="O5371" s="20"/>
      <c r="P5371" s="32" t="str">
        <f>IFERROR(__xludf.DUMMYFUNCTION("""COMPUTED_VALUE"""),"可")</f>
        <v>可</v>
      </c>
      <c r="Q5371" s="30" t="str">
        <f>IFERROR(__xludf.DUMMYFUNCTION("""COMPUTED_VALUE"""),"がるまに")</f>
        <v>がるまに</v>
      </c>
      <c r="R5371" s="22"/>
      <c r="S5371" s="22" t="str">
        <f>IFERROR(__xludf.DUMMYFUNCTION("""COMPUTED_VALUE"""),"20260609_ ナンバーナイン_大好きな彼氏はえっちな配信者！？～いくいくクリ電マ×生ハメ配信～【R-18版】")</f>
        <v>20260609_ ナンバーナイン_大好きな彼氏はえっちな配信者！？～いくいくクリ電マ×生ハメ配信～【R-18版】</v>
      </c>
      <c r="T5371" s="22" t="str">
        <f>IFERROR(__xludf.DUMMYFUNCTION("""COMPUTED_VALUE"""),"格納済み")</f>
        <v>格納済み</v>
      </c>
      <c r="U5371" s="9" t="str">
        <f>IFERROR(__xludf.DUMMYFUNCTION("""COMPUTED_VALUE"""),"(C)リベルタ／ナンバーナイン")</f>
        <v>(C)リベルタ／ナンバーナイン</v>
      </c>
      <c r="V5371" s="8"/>
      <c r="W5371" s="8"/>
      <c r="X5371" s="8" t="str">
        <f>IFERROR(__xludf.DUMMYFUNCTION("""COMPUTED_VALUE"""),"有")</f>
        <v>有</v>
      </c>
      <c r="Y5371" s="8" t="str">
        <f>IFERROR(__xludf.DUMMYFUNCTION("""COMPUTED_VALUE"""),"2026/7/31まで1巻無料")</f>
        <v>2026/7/31まで1巻無料</v>
      </c>
      <c r="Z5371" s="7"/>
      <c r="AA5371" s="7"/>
      <c r="AB5371" s="7"/>
    </row>
    <row r="5372" ht="15.75" customHeight="1">
      <c r="A5372" s="26">
        <f>IFERROR(__xludf.DUMMYFUNCTION("""COMPUTED_VALUE"""),8152.0)</f>
        <v>8152</v>
      </c>
      <c r="B5372" s="22" t="str">
        <f>IFERROR(__xludf.DUMMYFUNCTION("""COMPUTED_VALUE"""),"確定")</f>
        <v>確定</v>
      </c>
      <c r="C5372" s="28">
        <f>IFERROR(__xludf.DUMMYFUNCTION("""COMPUTED_VALUE"""),46177.0)</f>
        <v>46177</v>
      </c>
      <c r="D5372" s="28">
        <f>IFERROR(__xludf.DUMMYFUNCTION("""COMPUTED_VALUE"""),46183.0)</f>
        <v>46183</v>
      </c>
      <c r="E5372" s="26">
        <f>IFERROR(__xludf.DUMMYFUNCTION("""COMPUTED_VALUE"""),365765.0)</f>
        <v>365765</v>
      </c>
      <c r="F5372" s="22" t="str">
        <f>IFERROR(__xludf.DUMMYFUNCTION("""COMPUTED_VALUE"""),"淫魔専用車両 玩具痴幹線 ～急行ホテルイき～【R-18版】")</f>
        <v>淫魔専用車両 玩具痴幹線 ～急行ホテルイき～【R-18版】</v>
      </c>
      <c r="G5372" s="20" t="str">
        <f>IFERROR(__xludf.DUMMYFUNCTION("""COMPUTED_VALUE"""),"1~6")</f>
        <v>1~6</v>
      </c>
      <c r="H5372" s="22" t="str">
        <f>IFERROR(__xludf.DUMMYFUNCTION("""COMPUTED_VALUE"""),"たまの父")</f>
        <v>たまの父</v>
      </c>
      <c r="I5372" s="22" t="str">
        <f>IFERROR(__xludf.DUMMYFUNCTION("""COMPUTED_VALUE"""),"アダルトマンガ")</f>
        <v>アダルトマンガ</v>
      </c>
      <c r="J5372" s="22"/>
      <c r="K5372" s="22" t="str">
        <f>IFERROR(__xludf.DUMMYFUNCTION("""COMPUTED_VALUE"""),"Close Moon")</f>
        <v>Close Moon</v>
      </c>
      <c r="L5372" s="22" t="str">
        <f>IFERROR(__xludf.DUMMYFUNCTION("""COMPUTED_VALUE"""),"ナンバーナイン")</f>
        <v>ナンバーナイン</v>
      </c>
      <c r="M5372" s="33">
        <f>IFERROR(__xludf.DUMMYFUNCTION("""COMPUTED_VALUE"""),46220.0)</f>
        <v>46220</v>
      </c>
      <c r="N5372" s="33">
        <f>IFERROR(__xludf.DUMMYFUNCTION("""COMPUTED_VALUE"""),46281.0)</f>
        <v>46281</v>
      </c>
      <c r="O5372" s="20"/>
      <c r="P5372" s="32" t="str">
        <f>IFERROR(__xludf.DUMMYFUNCTION("""COMPUTED_VALUE"""),"可")</f>
        <v>可</v>
      </c>
      <c r="Q5372" s="30" t="str">
        <f>IFERROR(__xludf.DUMMYFUNCTION("""COMPUTED_VALUE"""),"がるまに")</f>
        <v>がるまに</v>
      </c>
      <c r="R5372" s="22"/>
      <c r="S5372" s="22" t="str">
        <f>IFERROR(__xludf.DUMMYFUNCTION("""COMPUTED_VALUE"""),"20260609_ ナンバーナイン_淫魔専用車両 玩具痴幹線 ～急行ホテルイき～【R-18版】")</f>
        <v>20260609_ ナンバーナイン_淫魔専用車両 玩具痴幹線 ～急行ホテルイき～【R-18版】</v>
      </c>
      <c r="T5372" s="22" t="str">
        <f>IFERROR(__xludf.DUMMYFUNCTION("""COMPUTED_VALUE"""),"格納済み")</f>
        <v>格納済み</v>
      </c>
      <c r="U5372" s="9" t="str">
        <f>IFERROR(__xludf.DUMMYFUNCTION("""COMPUTED_VALUE"""),"(C)たまの父／ナンバーナイン")</f>
        <v>(C)たまの父／ナンバーナイン</v>
      </c>
      <c r="V5372" s="8"/>
      <c r="W5372" s="8"/>
      <c r="X5372" s="8" t="str">
        <f>IFERROR(__xludf.DUMMYFUNCTION("""COMPUTED_VALUE"""),"有")</f>
        <v>有</v>
      </c>
      <c r="Y5372" s="8" t="str">
        <f>IFERROR(__xludf.DUMMYFUNCTION("""COMPUTED_VALUE"""),"1巻永久無料")</f>
        <v>1巻永久無料</v>
      </c>
      <c r="Z5372" s="7"/>
      <c r="AA5372" s="7"/>
      <c r="AB5372" s="7"/>
    </row>
    <row r="5373" ht="15.75" customHeight="1">
      <c r="A5373" s="26">
        <f>IFERROR(__xludf.DUMMYFUNCTION("""COMPUTED_VALUE"""),8155.0)</f>
        <v>8155</v>
      </c>
      <c r="B5373" s="22" t="str">
        <f>IFERROR(__xludf.DUMMYFUNCTION("""COMPUTED_VALUE"""),"確定")</f>
        <v>確定</v>
      </c>
      <c r="C5373" s="28">
        <f>IFERROR(__xludf.DUMMYFUNCTION("""COMPUTED_VALUE"""),46177.0)</f>
        <v>46177</v>
      </c>
      <c r="D5373" s="28">
        <f>IFERROR(__xludf.DUMMYFUNCTION("""COMPUTED_VALUE"""),46182.0)</f>
        <v>46182</v>
      </c>
      <c r="E5373" s="26">
        <f>IFERROR(__xludf.DUMMYFUNCTION("""COMPUTED_VALUE"""),344756.0)</f>
        <v>344756</v>
      </c>
      <c r="F5373" s="22" t="str">
        <f>IFERROR(__xludf.DUMMYFUNCTION("""COMPUTED_VALUE"""),"癒しの令嬢はバルカン様のお望みのままに(フルカラー)")</f>
        <v>癒しの令嬢はバルカン様のお望みのままに(フルカラー)</v>
      </c>
      <c r="G5373" s="20" t="str">
        <f>IFERROR(__xludf.DUMMYFUNCTION("""COMPUTED_VALUE"""),"1~3")</f>
        <v>1~3</v>
      </c>
      <c r="H5373" s="22" t="str">
        <f>IFERROR(__xludf.DUMMYFUNCTION("""COMPUTED_VALUE"""),"LaChic,Kaya,Myeon")</f>
        <v>LaChic,Kaya,Myeon</v>
      </c>
      <c r="I5373" s="22" t="str">
        <f>IFERROR(__xludf.DUMMYFUNCTION("""COMPUTED_VALUE"""),"TLマンガ")</f>
        <v>TLマンガ</v>
      </c>
      <c r="J5373" s="22"/>
      <c r="K5373" s="22" t="str">
        <f>IFERROR(__xludf.DUMMYFUNCTION("""COMPUTED_VALUE"""),"リア×ロマ,スキして?桃色日記")</f>
        <v>リア×ロマ,スキして?桃色日記</v>
      </c>
      <c r="L5373" s="22" t="str">
        <f>IFERROR(__xludf.DUMMYFUNCTION("""COMPUTED_VALUE"""),"シーモアコミックス")</f>
        <v>シーモアコミックス</v>
      </c>
      <c r="M5373" s="33">
        <f>IFERROR(__xludf.DUMMYFUNCTION("""COMPUTED_VALUE"""),46193.0)</f>
        <v>46193</v>
      </c>
      <c r="N5373" s="33">
        <f>IFERROR(__xludf.DUMMYFUNCTION("""COMPUTED_VALUE"""),2958465.0)</f>
        <v>2958465</v>
      </c>
      <c r="O5373" s="20" t="str">
        <f>IFERROR(__xludf.DUMMYFUNCTION("""COMPUTED_VALUE"""),"【アダルト作品扱い】")</f>
        <v>【アダルト作品扱い】</v>
      </c>
      <c r="P5373" s="32" t="str">
        <f>IFERROR(__xludf.DUMMYFUNCTION("""COMPUTED_VALUE"""),"可")</f>
        <v>可</v>
      </c>
      <c r="Q5373" s="30"/>
      <c r="R5373" s="22"/>
      <c r="S5373" s="22" t="str">
        <f>IFERROR(__xludf.DUMMYFUNCTION("""COMPUTED_VALUE"""),"20260330_シーモアコミックス_癒しの令嬢はバルカン様のお望みのままに（フルカラー）")</f>
        <v>20260330_シーモアコミックス_癒しの令嬢はバルカン様のお望みのままに（フルカラー）</v>
      </c>
      <c r="T5373" s="22" t="str">
        <f>IFERROR(__xludf.DUMMYFUNCTION("""COMPUTED_VALUE"""),"格納済み")</f>
        <v>格納済み</v>
      </c>
      <c r="U5373" s="9" t="str">
        <f>IFERROR(__xludf.DUMMYFUNCTION("""COMPUTED_VALUE"""),"(C) Kaya/LaChic/Myeon/鶴山文化社/シーモアコミックス")</f>
        <v>(C) Kaya/LaChic/Myeon/鶴山文化社/シーモアコミックス</v>
      </c>
      <c r="V5373" s="8"/>
      <c r="W5373" s="8"/>
      <c r="X5373" s="8" t="str">
        <f>IFERROR(__xludf.DUMMYFUNCTION("""COMPUTED_VALUE"""),"有")</f>
        <v>有</v>
      </c>
      <c r="Y5373" s="8" t="str">
        <f>IFERROR(__xludf.DUMMYFUNCTION("""COMPUTED_VALUE"""),"p13まで")</f>
        <v>p13まで</v>
      </c>
      <c r="Z5373" s="7"/>
      <c r="AA5373" s="7"/>
      <c r="AB5373" s="7"/>
    </row>
    <row r="5374" ht="15.75" customHeight="1">
      <c r="A5374" s="26">
        <f>IFERROR(__xludf.DUMMYFUNCTION("""COMPUTED_VALUE"""),8156.0)</f>
        <v>8156</v>
      </c>
      <c r="B5374" s="22" t="str">
        <f>IFERROR(__xludf.DUMMYFUNCTION("""COMPUTED_VALUE"""),"確定")</f>
        <v>確定</v>
      </c>
      <c r="C5374" s="28">
        <f>IFERROR(__xludf.DUMMYFUNCTION("""COMPUTED_VALUE"""),46177.0)</f>
        <v>46177</v>
      </c>
      <c r="D5374" s="28">
        <f>IFERROR(__xludf.DUMMYFUNCTION("""COMPUTED_VALUE"""),46177.0)</f>
        <v>46177</v>
      </c>
      <c r="E5374" s="26">
        <f>IFERROR(__xludf.DUMMYFUNCTION("""COMPUTED_VALUE"""),344757.0)</f>
        <v>344757</v>
      </c>
      <c r="F5374" s="22" t="str">
        <f>IFERROR(__xludf.DUMMYFUNCTION("""COMPUTED_VALUE"""),"癒しの令嬢はバルカン様のお望みのままに【タテヨミ】")</f>
        <v>癒しの令嬢はバルカン様のお望みのままに【タテヨミ】</v>
      </c>
      <c r="G5374" s="20" t="str">
        <f>IFERROR(__xludf.DUMMYFUNCTION("""COMPUTED_VALUE"""),"1~12")</f>
        <v>1~12</v>
      </c>
      <c r="H5374" s="22" t="str">
        <f>IFERROR(__xludf.DUMMYFUNCTION("""COMPUTED_VALUE"""),"LaChic,Kaya,Myeon")</f>
        <v>LaChic,Kaya,Myeon</v>
      </c>
      <c r="I5374" s="22" t="str">
        <f>IFERROR(__xludf.DUMMYFUNCTION("""COMPUTED_VALUE"""),"TLマンガ")</f>
        <v>TLマンガ</v>
      </c>
      <c r="J5374" s="22"/>
      <c r="K5374" s="22" t="str">
        <f>IFERROR(__xludf.DUMMYFUNCTION("""COMPUTED_VALUE"""),"リア×ロマ,スキして?桃色日記")</f>
        <v>リア×ロマ,スキして?桃色日記</v>
      </c>
      <c r="L5374" s="22" t="str">
        <f>IFERROR(__xludf.DUMMYFUNCTION("""COMPUTED_VALUE"""),"シーモアコミックス")</f>
        <v>シーモアコミックス</v>
      </c>
      <c r="M5374" s="33">
        <f>IFERROR(__xludf.DUMMYFUNCTION("""COMPUTED_VALUE"""),46193.0)</f>
        <v>46193</v>
      </c>
      <c r="N5374" s="33">
        <f>IFERROR(__xludf.DUMMYFUNCTION("""COMPUTED_VALUE"""),2958465.0)</f>
        <v>2958465</v>
      </c>
      <c r="O5374" s="20" t="str">
        <f>IFERROR(__xludf.DUMMYFUNCTION("""COMPUTED_VALUE"""),"【アダルト作品扱い】")</f>
        <v>【アダルト作品扱い】</v>
      </c>
      <c r="P5374" s="32" t="str">
        <f>IFERROR(__xludf.DUMMYFUNCTION("""COMPUTED_VALUE"""),"可")</f>
        <v>可</v>
      </c>
      <c r="Q5374" s="30" t="str">
        <f>IFERROR(__xludf.DUMMYFUNCTION("""COMPUTED_VALUE"""),"コマサム等の素材は「344756　癒しの令嬢はバルカン様のお望みのままに(フルカラー)」の方をお使いください。バナー制作についてもフルカラー版を利用して問題ございません。")</f>
        <v>コマサム等の素材は「344756　癒しの令嬢はバルカン様のお望みのままに(フルカラー)」の方をお使いください。バナー制作についてもフルカラー版を利用して問題ございません。</v>
      </c>
      <c r="R5374" s="22"/>
      <c r="S5374" s="22" t="str">
        <f>IFERROR(__xludf.DUMMYFUNCTION("""COMPUTED_VALUE"""),"20260330_シーモアコミックス_癒しの令嬢はバルカン様のお望みのままに【タテヨミ】")</f>
        <v>20260330_シーモアコミックス_癒しの令嬢はバルカン様のお望みのままに【タテヨミ】</v>
      </c>
      <c r="T5374" s="22" t="str">
        <f>IFERROR(__xludf.DUMMYFUNCTION("""COMPUTED_VALUE"""),"格納済み")</f>
        <v>格納済み</v>
      </c>
      <c r="U5374" s="9" t="str">
        <f>IFERROR(__xludf.DUMMYFUNCTION("""COMPUTED_VALUE"""),"(C) Kaya/LaChic/Myeon/鶴山文化社/シーモアコミックス")</f>
        <v>(C) Kaya/LaChic/Myeon/鶴山文化社/シーモアコミックス</v>
      </c>
      <c r="V5374" s="8"/>
      <c r="W5374" s="8"/>
      <c r="X5374" s="8" t="str">
        <f>IFERROR(__xludf.DUMMYFUNCTION("""COMPUTED_VALUE"""),"有")</f>
        <v>有</v>
      </c>
      <c r="Y5374" s="8" t="str">
        <f>IFERROR(__xludf.DUMMYFUNCTION("""COMPUTED_VALUE"""),"1巻永久無料")</f>
        <v>1巻永久無料</v>
      </c>
      <c r="Z5374" s="7"/>
      <c r="AA5374" s="7"/>
      <c r="AB5374" s="7"/>
    </row>
    <row r="5375" ht="15.75" customHeight="1">
      <c r="A5375" s="26">
        <f>IFERROR(__xludf.DUMMYFUNCTION("""COMPUTED_VALUE"""),8161.0)</f>
        <v>8161</v>
      </c>
      <c r="B5375" s="22" t="str">
        <f>IFERROR(__xludf.DUMMYFUNCTION("""COMPUTED_VALUE"""),"確定")</f>
        <v>確定</v>
      </c>
      <c r="C5375" s="28">
        <f>IFERROR(__xludf.DUMMYFUNCTION("""COMPUTED_VALUE"""),46178.0)</f>
        <v>46178</v>
      </c>
      <c r="D5375" s="28">
        <f>IFERROR(__xludf.DUMMYFUNCTION("""COMPUTED_VALUE"""),46183.0)</f>
        <v>46183</v>
      </c>
      <c r="E5375" s="26">
        <f>IFERROR(__xludf.DUMMYFUNCTION("""COMPUTED_VALUE"""),364844.0)</f>
        <v>364844</v>
      </c>
      <c r="F5375" s="22" t="str">
        <f>IFERROR(__xludf.DUMMYFUNCTION("""COMPUTED_VALUE"""),"姦姦蛇螺に堕ちる。～神様との番契約～【R-18版】")</f>
        <v>姦姦蛇螺に堕ちる。～神様との番契約～【R-18版】</v>
      </c>
      <c r="G5375" s="20" t="str">
        <f>IFERROR(__xludf.DUMMYFUNCTION("""COMPUTED_VALUE"""),"1~3")</f>
        <v>1~3</v>
      </c>
      <c r="H5375" s="22" t="str">
        <f>IFERROR(__xludf.DUMMYFUNCTION("""COMPUTED_VALUE"""),"甘岸,千賀つづら")</f>
        <v>甘岸,千賀つづら</v>
      </c>
      <c r="I5375" s="22" t="str">
        <f>IFERROR(__xludf.DUMMYFUNCTION("""COMPUTED_VALUE"""),"アダルト")</f>
        <v>アダルト</v>
      </c>
      <c r="J5375" s="22"/>
      <c r="K5375" s="22" t="str">
        <f>IFERROR(__xludf.DUMMYFUNCTION("""COMPUTED_VALUE"""),"リベルタ")</f>
        <v>リベルタ</v>
      </c>
      <c r="L5375" s="22" t="str">
        <f>IFERROR(__xludf.DUMMYFUNCTION("""COMPUTED_VALUE"""),"ナンバーナイン")</f>
        <v>ナンバーナイン</v>
      </c>
      <c r="M5375" s="33">
        <f>IFERROR(__xludf.DUMMYFUNCTION("""COMPUTED_VALUE"""),46204.0)</f>
        <v>46204</v>
      </c>
      <c r="N5375" s="33">
        <f>IFERROR(__xludf.DUMMYFUNCTION("""COMPUTED_VALUE"""),46265.0)</f>
        <v>46265</v>
      </c>
      <c r="O5375" s="20"/>
      <c r="P5375" s="32" t="str">
        <f>IFERROR(__xludf.DUMMYFUNCTION("""COMPUTED_VALUE"""),"可")</f>
        <v>可</v>
      </c>
      <c r="Q5375" s="30" t="str">
        <f>IFERROR(__xludf.DUMMYFUNCTION("""COMPUTED_VALUE"""),"がるまに")</f>
        <v>がるまに</v>
      </c>
      <c r="R5375" s="22"/>
      <c r="S5375" s="22" t="str">
        <f>IFERROR(__xludf.DUMMYFUNCTION("""COMPUTED_VALUE"""),"20260609_ ナンバーナイン_姦姦蛇螺に堕ちる。～神様との番契約～【R-18版】")</f>
        <v>20260609_ ナンバーナイン_姦姦蛇螺に堕ちる。～神様との番契約～【R-18版】</v>
      </c>
      <c r="T5375" s="22" t="str">
        <f>IFERROR(__xludf.DUMMYFUNCTION("""COMPUTED_VALUE"""),"格納済み")</f>
        <v>格納済み</v>
      </c>
      <c r="U5375" s="9" t="str">
        <f>IFERROR(__xludf.DUMMYFUNCTION("""COMPUTED_VALUE"""),"(C)リベルタ／ナンバーナイン")</f>
        <v>(C)リベルタ／ナンバーナイン</v>
      </c>
      <c r="V5375" s="8"/>
      <c r="W5375" s="8"/>
      <c r="X5375" s="8" t="str">
        <f>IFERROR(__xludf.DUMMYFUNCTION("""COMPUTED_VALUE"""),"有")</f>
        <v>有</v>
      </c>
      <c r="Y5375" s="8" t="str">
        <f>IFERROR(__xludf.DUMMYFUNCTION("""COMPUTED_VALUE"""),"2026/7/31まで1巻無料
2026/7/16まで2巻立ち読み増量（P10）")</f>
        <v>2026/7/31まで1巻無料
2026/7/16まで2巻立ち読み増量（P10）</v>
      </c>
      <c r="Z5375" s="7"/>
      <c r="AA5375" s="7"/>
      <c r="AB5375" s="7"/>
    </row>
    <row r="5376" ht="15.75" customHeight="1">
      <c r="A5376" s="26">
        <f>IFERROR(__xludf.DUMMYFUNCTION("""COMPUTED_VALUE"""),8164.0)</f>
        <v>8164</v>
      </c>
      <c r="B5376" s="22" t="str">
        <f>IFERROR(__xludf.DUMMYFUNCTION("""COMPUTED_VALUE"""),"確定")</f>
        <v>確定</v>
      </c>
      <c r="C5376" s="28">
        <f>IFERROR(__xludf.DUMMYFUNCTION("""COMPUTED_VALUE"""),46178.0)</f>
        <v>46178</v>
      </c>
      <c r="D5376" s="28">
        <f>IFERROR(__xludf.DUMMYFUNCTION("""COMPUTED_VALUE"""),46183.0)</f>
        <v>46183</v>
      </c>
      <c r="E5376" s="26"/>
      <c r="F5376" s="22" t="str">
        <f>IFERROR(__xludf.DUMMYFUNCTION("""COMPUTED_VALUE"""),"想定外スイートアグレッション")</f>
        <v>想定外スイートアグレッション</v>
      </c>
      <c r="G5376" s="20" t="str">
        <f>IFERROR(__xludf.DUMMYFUNCTION("""COMPUTED_VALUE"""),"1~3")</f>
        <v>1~3</v>
      </c>
      <c r="H5376" s="22" t="str">
        <f>IFERROR(__xludf.DUMMYFUNCTION("""COMPUTED_VALUE"""),"咲葉もな")</f>
        <v>咲葉もな</v>
      </c>
      <c r="I5376" s="22" t="str">
        <f>IFERROR(__xludf.DUMMYFUNCTION("""COMPUTED_VALUE"""),"BL")</f>
        <v>BL</v>
      </c>
      <c r="J5376" s="22"/>
      <c r="K5376" s="22" t="str">
        <f>IFERROR(__xludf.DUMMYFUNCTION("""COMPUTED_VALUE"""),"B.Pilz")</f>
        <v>B.Pilz</v>
      </c>
      <c r="L5376" s="22" t="str">
        <f>IFERROR(__xludf.DUMMYFUNCTION("""COMPUTED_VALUE"""),"ブライト出版")</f>
        <v>ブライト出版</v>
      </c>
      <c r="M5376" s="33">
        <f>IFERROR(__xludf.DUMMYFUNCTION("""COMPUTED_VALUE"""),46233.0)</f>
        <v>46233</v>
      </c>
      <c r="N5376" s="33">
        <f>IFERROR(__xludf.DUMMYFUNCTION("""COMPUTED_VALUE"""),46337.0)</f>
        <v>46337</v>
      </c>
      <c r="O5376" s="20"/>
      <c r="P5376" s="32" t="str">
        <f>IFERROR(__xludf.DUMMYFUNCTION("""COMPUTED_VALUE"""),"可")</f>
        <v>可</v>
      </c>
      <c r="Q5376" s="30"/>
      <c r="R5376" s="22"/>
      <c r="S5376" s="22" t="str">
        <f>IFERROR(__xludf.DUMMYFUNCTION("""COMPUTED_VALUE"""),"20260609_ブライト出版_想定外スイートアグレッション")</f>
        <v>20260609_ブライト出版_想定外スイートアグレッション</v>
      </c>
      <c r="T5376" s="22" t="str">
        <f>IFERROR(__xludf.DUMMYFUNCTION("""COMPUTED_VALUE"""),"格納済み")</f>
        <v>格納済み</v>
      </c>
      <c r="U5376" s="9" t="str">
        <f>IFERROR(__xludf.DUMMYFUNCTION("""COMPUTED_VALUE"""),"(C) 咲葉もな/ブライト出版")</f>
        <v>(C) 咲葉もな/ブライト出版</v>
      </c>
      <c r="V5376" s="8"/>
      <c r="W5376" s="8"/>
      <c r="X5376" s="8"/>
      <c r="Y5376" s="8"/>
      <c r="Z5376" s="7"/>
      <c r="AA5376" s="7"/>
      <c r="AB5376" s="7"/>
    </row>
    <row r="5377" ht="15.75" customHeight="1">
      <c r="A5377" s="26">
        <f>IFERROR(__xludf.DUMMYFUNCTION("""COMPUTED_VALUE"""),8165.0)</f>
        <v>8165</v>
      </c>
      <c r="B5377" s="22" t="str">
        <f>IFERROR(__xludf.DUMMYFUNCTION("""COMPUTED_VALUE"""),"確定")</f>
        <v>確定</v>
      </c>
      <c r="C5377" s="28">
        <f>IFERROR(__xludf.DUMMYFUNCTION("""COMPUTED_VALUE"""),46178.0)</f>
        <v>46178</v>
      </c>
      <c r="D5377" s="28">
        <f>IFERROR(__xludf.DUMMYFUNCTION("""COMPUTED_VALUE"""),46183.0)</f>
        <v>46183</v>
      </c>
      <c r="E5377" s="26">
        <f>IFERROR(__xludf.DUMMYFUNCTION("""COMPUTED_VALUE"""),363806.0)</f>
        <v>363806</v>
      </c>
      <c r="F5377" s="22" t="str">
        <f>IFERROR(__xludf.DUMMYFUNCTION("""COMPUTED_VALUE"""),"プンクトゥム")</f>
        <v>プンクトゥム</v>
      </c>
      <c r="G5377" s="20" t="str">
        <f>IFERROR(__xludf.DUMMYFUNCTION("""COMPUTED_VALUE"""),"1~3")</f>
        <v>1~3</v>
      </c>
      <c r="H5377" s="22" t="str">
        <f>IFERROR(__xludf.DUMMYFUNCTION("""COMPUTED_VALUE"""),"小庭鳩子")</f>
        <v>小庭鳩子</v>
      </c>
      <c r="I5377" s="22" t="str">
        <f>IFERROR(__xludf.DUMMYFUNCTION("""COMPUTED_VALUE"""),"BL")</f>
        <v>BL</v>
      </c>
      <c r="J5377" s="22"/>
      <c r="K5377" s="22"/>
      <c r="L5377" s="22" t="str">
        <f>IFERROR(__xludf.DUMMYFUNCTION("""COMPUTED_VALUE"""),"集英社")</f>
        <v>集英社</v>
      </c>
      <c r="M5377" s="33">
        <f>IFERROR(__xludf.DUMMYFUNCTION("""COMPUTED_VALUE"""),46198.0)</f>
        <v>46198</v>
      </c>
      <c r="N5377" s="33">
        <f>IFERROR(__xludf.DUMMYFUNCTION("""COMPUTED_VALUE"""),46227.0)</f>
        <v>46227</v>
      </c>
      <c r="O5377" s="20"/>
      <c r="P5377" s="32" t="str">
        <f>IFERROR(__xludf.DUMMYFUNCTION("""COMPUTED_VALUE"""),"否")</f>
        <v>否</v>
      </c>
      <c r="Q5377" s="30"/>
      <c r="R5377" s="22"/>
      <c r="S5377" s="22" t="str">
        <f>IFERROR(__xludf.DUMMYFUNCTION("""COMPUTED_VALUE"""),"20260526_集英社_プンクトゥム")</f>
        <v>20260526_集英社_プンクトゥム</v>
      </c>
      <c r="T5377" s="22" t="str">
        <f>IFERROR(__xludf.DUMMYFUNCTION("""COMPUTED_VALUE"""),"格納済み")</f>
        <v>格納済み</v>
      </c>
      <c r="U5377" s="9" t="str">
        <f>IFERROR(__xludf.DUMMYFUNCTION("""COMPUTED_VALUE"""),"(c)小庭鳩子／集英社")</f>
        <v>(c)小庭鳩子／集英社</v>
      </c>
      <c r="V5377" s="8"/>
      <c r="W5377" s="8"/>
      <c r="X5377" s="8" t="str">
        <f>IFERROR(__xludf.DUMMYFUNCTION("""COMPUTED_VALUE"""),"有")</f>
        <v>有</v>
      </c>
      <c r="Y5377" s="8" t="str">
        <f>IFERROR(__xludf.DUMMYFUNCTION("""COMPUTED_VALUE"""),"2026/7/24まで1巻無料")</f>
        <v>2026/7/24まで1巻無料</v>
      </c>
      <c r="Z5377" s="7"/>
      <c r="AA5377" s="7"/>
      <c r="AB5377" s="7"/>
    </row>
    <row r="5378" ht="15.75" customHeight="1">
      <c r="A5378" s="26">
        <f>IFERROR(__xludf.DUMMYFUNCTION("""COMPUTED_VALUE"""),8166.0)</f>
        <v>8166</v>
      </c>
      <c r="B5378" s="22" t="str">
        <f>IFERROR(__xludf.DUMMYFUNCTION("""COMPUTED_VALUE"""),"確定")</f>
        <v>確定</v>
      </c>
      <c r="C5378" s="28">
        <f>IFERROR(__xludf.DUMMYFUNCTION("""COMPUTED_VALUE"""),46178.0)</f>
        <v>46178</v>
      </c>
      <c r="D5378" s="28">
        <f>IFERROR(__xludf.DUMMYFUNCTION("""COMPUTED_VALUE"""),46182.0)</f>
        <v>46182</v>
      </c>
      <c r="E5378" s="26">
        <f>IFERROR(__xludf.DUMMYFUNCTION("""COMPUTED_VALUE"""),363810.0)</f>
        <v>363810</v>
      </c>
      <c r="F5378" s="22" t="str">
        <f>IFERROR(__xludf.DUMMYFUNCTION("""COMPUTED_VALUE"""),"極上ショコラ～恋愛小説家の密やかな盲愛～")</f>
        <v>極上ショコラ～恋愛小説家の密やかな盲愛～</v>
      </c>
      <c r="G5378" s="20" t="str">
        <f>IFERROR(__xludf.DUMMYFUNCTION("""COMPUTED_VALUE"""),"1~4")</f>
        <v>1~4</v>
      </c>
      <c r="H5378" s="22" t="str">
        <f>IFERROR(__xludf.DUMMYFUNCTION("""COMPUTED_VALUE"""),"漫画：万津屋すゆ子　原作：河野美姫（エブリスタ）")</f>
        <v>漫画：万津屋すゆ子　原作：河野美姫（エブリスタ）</v>
      </c>
      <c r="I5378" s="22" t="str">
        <f>IFERROR(__xludf.DUMMYFUNCTION("""COMPUTED_VALUE"""),"女性")</f>
        <v>女性</v>
      </c>
      <c r="J5378" s="22"/>
      <c r="K5378" s="22"/>
      <c r="L5378" s="22" t="str">
        <f>IFERROR(__xludf.DUMMYFUNCTION("""COMPUTED_VALUE"""),"集英社")</f>
        <v>集英社</v>
      </c>
      <c r="M5378" s="33">
        <f>IFERROR(__xludf.DUMMYFUNCTION("""COMPUTED_VALUE"""),46198.0)</f>
        <v>46198</v>
      </c>
      <c r="N5378" s="33">
        <f>IFERROR(__xludf.DUMMYFUNCTION("""COMPUTED_VALUE"""),46227.0)</f>
        <v>46227</v>
      </c>
      <c r="O5378" s="20"/>
      <c r="P5378" s="32" t="str">
        <f>IFERROR(__xludf.DUMMYFUNCTION("""COMPUTED_VALUE"""),"否")</f>
        <v>否</v>
      </c>
      <c r="Q5378" s="30"/>
      <c r="R5378" s="22"/>
      <c r="S5378" s="22" t="str">
        <f>IFERROR(__xludf.DUMMYFUNCTION("""COMPUTED_VALUE"""),"20260526_集英社_極上ショコラ～恋愛小説家の密やかな盲愛～")</f>
        <v>20260526_集英社_極上ショコラ～恋愛小説家の密やかな盲愛～</v>
      </c>
      <c r="T5378" s="22" t="str">
        <f>IFERROR(__xludf.DUMMYFUNCTION("""COMPUTED_VALUE"""),"格納済み")</f>
        <v>格納済み</v>
      </c>
      <c r="U5378" s="9" t="str">
        <f>IFERROR(__xludf.DUMMYFUNCTION("""COMPUTED_VALUE"""),"(c)万津屋すゆ子・河野美姫（エブリスタ）／集英社")</f>
        <v>(c)万津屋すゆ子・河野美姫（エブリスタ）／集英社</v>
      </c>
      <c r="V5378" s="8"/>
      <c r="W5378" s="8"/>
      <c r="X5378" s="8" t="str">
        <f>IFERROR(__xludf.DUMMYFUNCTION("""COMPUTED_VALUE"""),"有")</f>
        <v>有</v>
      </c>
      <c r="Y5378" s="8" t="str">
        <f>IFERROR(__xludf.DUMMYFUNCTION("""COMPUTED_VALUE"""),"2026/7/24まで1巻無料")</f>
        <v>2026/7/24まで1巻無料</v>
      </c>
      <c r="Z5378" s="7"/>
      <c r="AA5378" s="7"/>
      <c r="AB5378" s="7"/>
    </row>
    <row r="5379" ht="15.75" customHeight="1">
      <c r="A5379" s="26">
        <f>IFERROR(__xludf.DUMMYFUNCTION("""COMPUTED_VALUE"""),8167.0)</f>
        <v>8167</v>
      </c>
      <c r="B5379" s="22" t="str">
        <f>IFERROR(__xludf.DUMMYFUNCTION("""COMPUTED_VALUE"""),"確定")</f>
        <v>確定</v>
      </c>
      <c r="C5379" s="28">
        <f>IFERROR(__xludf.DUMMYFUNCTION("""COMPUTED_VALUE"""),46178.0)</f>
        <v>46178</v>
      </c>
      <c r="D5379" s="28">
        <f>IFERROR(__xludf.DUMMYFUNCTION("""COMPUTED_VALUE"""),46182.0)</f>
        <v>46182</v>
      </c>
      <c r="E5379" s="26">
        <f>IFERROR(__xludf.DUMMYFUNCTION("""COMPUTED_VALUE"""),363929.0)</f>
        <v>363929</v>
      </c>
      <c r="F5379" s="22" t="str">
        <f>IFERROR(__xludf.DUMMYFUNCTION("""COMPUTED_VALUE"""),"ハイスペ上司観察日記")</f>
        <v>ハイスペ上司観察日記</v>
      </c>
      <c r="G5379" s="20">
        <f>IFERROR(__xludf.DUMMYFUNCTION("""COMPUTED_VALUE"""),1.0)</f>
        <v>1</v>
      </c>
      <c r="H5379" s="22" t="str">
        <f>IFERROR(__xludf.DUMMYFUNCTION("""COMPUTED_VALUE"""),"ハナ")</f>
        <v>ハナ</v>
      </c>
      <c r="I5379" s="22" t="str">
        <f>IFERROR(__xludf.DUMMYFUNCTION("""COMPUTED_VALUE"""),"女性")</f>
        <v>女性</v>
      </c>
      <c r="J5379" s="22"/>
      <c r="K5379" s="22"/>
      <c r="L5379" s="22" t="str">
        <f>IFERROR(__xludf.DUMMYFUNCTION("""COMPUTED_VALUE"""),"集英社")</f>
        <v>集英社</v>
      </c>
      <c r="M5379" s="33">
        <f>IFERROR(__xludf.DUMMYFUNCTION("""COMPUTED_VALUE"""),46201.0)</f>
        <v>46201</v>
      </c>
      <c r="N5379" s="33">
        <f>IFERROR(__xludf.DUMMYFUNCTION("""COMPUTED_VALUE"""),46225.0)</f>
        <v>46225</v>
      </c>
      <c r="O5379" s="20"/>
      <c r="P5379" s="32" t="str">
        <f>IFERROR(__xludf.DUMMYFUNCTION("""COMPUTED_VALUE"""),"否")</f>
        <v>否</v>
      </c>
      <c r="Q5379" s="30"/>
      <c r="R5379" s="22"/>
      <c r="S5379" s="22" t="str">
        <f>IFERROR(__xludf.DUMMYFUNCTION("""COMPUTED_VALUE"""),"20260526_集英社_ハイスペ上司観察日記")</f>
        <v>20260526_集英社_ハイスペ上司観察日記</v>
      </c>
      <c r="T5379" s="22" t="str">
        <f>IFERROR(__xludf.DUMMYFUNCTION("""COMPUTED_VALUE"""),"格納済み")</f>
        <v>格納済み</v>
      </c>
      <c r="U5379" s="9" t="str">
        <f>IFERROR(__xludf.DUMMYFUNCTION("""COMPUTED_VALUE"""),"(c)ハナ／集英社")</f>
        <v>(c)ハナ／集英社</v>
      </c>
      <c r="V5379" s="8"/>
      <c r="W5379" s="8"/>
      <c r="X5379" s="8" t="str">
        <f>IFERROR(__xludf.DUMMYFUNCTION("""COMPUTED_VALUE"""),"有")</f>
        <v>有</v>
      </c>
      <c r="Y5379" s="8" t="str">
        <f>IFERROR(__xludf.DUMMYFUNCTION("""COMPUTED_VALUE"""),"p9まで")</f>
        <v>p9まで</v>
      </c>
      <c r="Z5379" s="7"/>
      <c r="AA5379" s="7"/>
      <c r="AB5379" s="7"/>
    </row>
    <row r="5380" ht="15.75" customHeight="1">
      <c r="A5380" s="26">
        <f>IFERROR(__xludf.DUMMYFUNCTION("""COMPUTED_VALUE"""),8168.0)</f>
        <v>8168</v>
      </c>
      <c r="B5380" s="22" t="str">
        <f>IFERROR(__xludf.DUMMYFUNCTION("""COMPUTED_VALUE"""),"確定")</f>
        <v>確定</v>
      </c>
      <c r="C5380" s="28">
        <f>IFERROR(__xludf.DUMMYFUNCTION("""COMPUTED_VALUE"""),46178.0)</f>
        <v>46178</v>
      </c>
      <c r="D5380" s="28">
        <f>IFERROR(__xludf.DUMMYFUNCTION("""COMPUTED_VALUE"""),46182.0)</f>
        <v>46182</v>
      </c>
      <c r="E5380" s="26">
        <f>IFERROR(__xludf.DUMMYFUNCTION("""COMPUTED_VALUE"""),363930.0)</f>
        <v>363930</v>
      </c>
      <c r="F5380" s="22" t="str">
        <f>IFERROR(__xludf.DUMMYFUNCTION("""COMPUTED_VALUE"""),"清志のときめき")</f>
        <v>清志のときめき</v>
      </c>
      <c r="G5380" s="20">
        <f>IFERROR(__xludf.DUMMYFUNCTION("""COMPUTED_VALUE"""),1.0)</f>
        <v>1</v>
      </c>
      <c r="H5380" s="22" t="str">
        <f>IFERROR(__xludf.DUMMYFUNCTION("""COMPUTED_VALUE"""),"峯田ちあき")</f>
        <v>峯田ちあき</v>
      </c>
      <c r="I5380" s="22" t="str">
        <f>IFERROR(__xludf.DUMMYFUNCTION("""COMPUTED_VALUE"""),"女性")</f>
        <v>女性</v>
      </c>
      <c r="J5380" s="22"/>
      <c r="K5380" s="22"/>
      <c r="L5380" s="22" t="str">
        <f>IFERROR(__xludf.DUMMYFUNCTION("""COMPUTED_VALUE"""),"集英社")</f>
        <v>集英社</v>
      </c>
      <c r="M5380" s="33">
        <f>IFERROR(__xludf.DUMMYFUNCTION("""COMPUTED_VALUE"""),46201.0)</f>
        <v>46201</v>
      </c>
      <c r="N5380" s="33">
        <f>IFERROR(__xludf.DUMMYFUNCTION("""COMPUTED_VALUE"""),46225.0)</f>
        <v>46225</v>
      </c>
      <c r="O5380" s="20"/>
      <c r="P5380" s="32" t="str">
        <f>IFERROR(__xludf.DUMMYFUNCTION("""COMPUTED_VALUE"""),"否")</f>
        <v>否</v>
      </c>
      <c r="Q5380" s="30"/>
      <c r="R5380" s="22"/>
      <c r="S5380" s="22" t="str">
        <f>IFERROR(__xludf.DUMMYFUNCTION("""COMPUTED_VALUE"""),"20260526_集英社_清志のときめき")</f>
        <v>20260526_集英社_清志のときめき</v>
      </c>
      <c r="T5380" s="22" t="str">
        <f>IFERROR(__xludf.DUMMYFUNCTION("""COMPUTED_VALUE"""),"格納済み")</f>
        <v>格納済み</v>
      </c>
      <c r="U5380" s="9" t="str">
        <f>IFERROR(__xludf.DUMMYFUNCTION("""COMPUTED_VALUE"""),"(c)峯田ちあき／集英社")</f>
        <v>(c)峯田ちあき／集英社</v>
      </c>
      <c r="V5380" s="8"/>
      <c r="W5380" s="8"/>
      <c r="X5380" s="8" t="str">
        <f>IFERROR(__xludf.DUMMYFUNCTION("""COMPUTED_VALUE"""),"有")</f>
        <v>有</v>
      </c>
      <c r="Y5380" s="8" t="str">
        <f>IFERROR(__xludf.DUMMYFUNCTION("""COMPUTED_VALUE"""),"p12まで")</f>
        <v>p12まで</v>
      </c>
      <c r="Z5380" s="7"/>
      <c r="AA5380" s="7"/>
      <c r="AB5380" s="7"/>
    </row>
    <row r="5381" ht="15.75" customHeight="1">
      <c r="A5381" s="26">
        <f>IFERROR(__xludf.DUMMYFUNCTION("""COMPUTED_VALUE"""),8169.0)</f>
        <v>8169</v>
      </c>
      <c r="B5381" s="22" t="str">
        <f>IFERROR(__xludf.DUMMYFUNCTION("""COMPUTED_VALUE"""),"確定")</f>
        <v>確定</v>
      </c>
      <c r="C5381" s="28">
        <f>IFERROR(__xludf.DUMMYFUNCTION("""COMPUTED_VALUE"""),46178.0)</f>
        <v>46178</v>
      </c>
      <c r="D5381" s="28">
        <f>IFERROR(__xludf.DUMMYFUNCTION("""COMPUTED_VALUE"""),46182.0)</f>
        <v>46182</v>
      </c>
      <c r="E5381" s="26">
        <f>IFERROR(__xludf.DUMMYFUNCTION("""COMPUTED_VALUE"""),363933.0)</f>
        <v>363933</v>
      </c>
      <c r="F5381" s="22" t="str">
        <f>IFERROR(__xludf.DUMMYFUNCTION("""COMPUTED_VALUE"""),"白銀シロのしつけかた")</f>
        <v>白銀シロのしつけかた</v>
      </c>
      <c r="G5381" s="20">
        <f>IFERROR(__xludf.DUMMYFUNCTION("""COMPUTED_VALUE"""),1.0)</f>
        <v>1</v>
      </c>
      <c r="H5381" s="22" t="str">
        <f>IFERROR(__xludf.DUMMYFUNCTION("""COMPUTED_VALUE"""),"アリハラナオ")</f>
        <v>アリハラナオ</v>
      </c>
      <c r="I5381" s="22" t="str">
        <f>IFERROR(__xludf.DUMMYFUNCTION("""COMPUTED_VALUE"""),"少女")</f>
        <v>少女</v>
      </c>
      <c r="J5381" s="22"/>
      <c r="K5381" s="22"/>
      <c r="L5381" s="22" t="str">
        <f>IFERROR(__xludf.DUMMYFUNCTION("""COMPUTED_VALUE"""),"集英社")</f>
        <v>集英社</v>
      </c>
      <c r="M5381" s="33">
        <f>IFERROR(__xludf.DUMMYFUNCTION("""COMPUTED_VALUE"""),46201.0)</f>
        <v>46201</v>
      </c>
      <c r="N5381" s="33">
        <f>IFERROR(__xludf.DUMMYFUNCTION("""COMPUTED_VALUE"""),46225.0)</f>
        <v>46225</v>
      </c>
      <c r="O5381" s="20"/>
      <c r="P5381" s="32" t="str">
        <f>IFERROR(__xludf.DUMMYFUNCTION("""COMPUTED_VALUE"""),"否")</f>
        <v>否</v>
      </c>
      <c r="Q5381" s="30" t="str">
        <f>IFERROR(__xludf.DUMMYFUNCTION("""COMPUTED_VALUE"""),"単行本です。格納されている1~4話素材が単行本1巻に該当します。")</f>
        <v>単行本です。格納されている1~4話素材が単行本1巻に該当します。</v>
      </c>
      <c r="R5381" s="22"/>
      <c r="S5381" s="22" t="str">
        <f>IFERROR(__xludf.DUMMYFUNCTION("""COMPUTED_VALUE"""),"20260526_集英社_白銀シロのしつけかた")</f>
        <v>20260526_集英社_白銀シロのしつけかた</v>
      </c>
      <c r="T5381" s="22" t="str">
        <f>IFERROR(__xludf.DUMMYFUNCTION("""COMPUTED_VALUE"""),"格納済み")</f>
        <v>格納済み</v>
      </c>
      <c r="U5381" s="9" t="str">
        <f>IFERROR(__xludf.DUMMYFUNCTION("""COMPUTED_VALUE"""),"(c)アリハラナオ／集英社")</f>
        <v>(c)アリハラナオ／集英社</v>
      </c>
      <c r="V5381" s="8"/>
      <c r="W5381" s="8"/>
      <c r="X5381" s="8" t="str">
        <f>IFERROR(__xludf.DUMMYFUNCTION("""COMPUTED_VALUE"""),"有")</f>
        <v>有</v>
      </c>
      <c r="Y5381" s="8" t="str">
        <f>IFERROR(__xludf.DUMMYFUNCTION("""COMPUTED_VALUE"""),"2026/7/27まで1巻立ち読み増量p80まで")</f>
        <v>2026/7/27まで1巻立ち読み増量p80まで</v>
      </c>
      <c r="Z5381" s="7"/>
      <c r="AA5381" s="7"/>
      <c r="AB5381" s="7"/>
    </row>
    <row r="5382" ht="15.75" customHeight="1">
      <c r="A5382" s="26">
        <f>IFERROR(__xludf.DUMMYFUNCTION("""COMPUTED_VALUE"""),8177.0)</f>
        <v>8177</v>
      </c>
      <c r="B5382" s="22" t="str">
        <f>IFERROR(__xludf.DUMMYFUNCTION("""COMPUTED_VALUE"""),"確定")</f>
        <v>確定</v>
      </c>
      <c r="C5382" s="28">
        <f>IFERROR(__xludf.DUMMYFUNCTION("""COMPUTED_VALUE"""),46181.0)</f>
        <v>46181</v>
      </c>
      <c r="D5382" s="28">
        <f>IFERROR(__xludf.DUMMYFUNCTION("""COMPUTED_VALUE"""),46181.0)</f>
        <v>46181</v>
      </c>
      <c r="E5382" s="26">
        <f>IFERROR(__xludf.DUMMYFUNCTION("""COMPUTED_VALUE"""),363811.0)</f>
        <v>363811</v>
      </c>
      <c r="F5382" s="22" t="str">
        <f>IFERROR(__xludf.DUMMYFUNCTION("""COMPUTED_VALUE"""),"置かれた場所で枯れそうな薬師は騎士団長の愛で花咲く")</f>
        <v>置かれた場所で枯れそうな薬師は騎士団長の愛で花咲く</v>
      </c>
      <c r="G5382" s="20">
        <f>IFERROR(__xludf.DUMMYFUNCTION("""COMPUTED_VALUE"""),1.0)</f>
        <v>1</v>
      </c>
      <c r="H5382" s="22" t="str">
        <f>IFERROR(__xludf.DUMMYFUNCTION("""COMPUTED_VALUE"""),"高津原しょう")</f>
        <v>高津原しょう</v>
      </c>
      <c r="I5382" s="22" t="str">
        <f>IFERROR(__xludf.DUMMYFUNCTION("""COMPUTED_VALUE"""),"女性")</f>
        <v>女性</v>
      </c>
      <c r="J5382" s="22"/>
      <c r="K5382" s="22"/>
      <c r="L5382" s="22" t="str">
        <f>IFERROR(__xludf.DUMMYFUNCTION("""COMPUTED_VALUE"""),"集英社")</f>
        <v>集英社</v>
      </c>
      <c r="M5382" s="33">
        <f>IFERROR(__xludf.DUMMYFUNCTION("""COMPUTED_VALUE"""),46198.0)</f>
        <v>46198</v>
      </c>
      <c r="N5382" s="33">
        <f>IFERROR(__xludf.DUMMYFUNCTION("""COMPUTED_VALUE"""),46225.0)</f>
        <v>46225</v>
      </c>
      <c r="O5382" s="20"/>
      <c r="P5382" s="32" t="str">
        <f>IFERROR(__xludf.DUMMYFUNCTION("""COMPUTED_VALUE"""),"否")</f>
        <v>否</v>
      </c>
      <c r="Q5382" s="30"/>
      <c r="R5382" s="22"/>
      <c r="S5382" s="22" t="str">
        <f>IFERROR(__xludf.DUMMYFUNCTION("""COMPUTED_VALUE"""),"20260528_集英社_置かれた場所で枯れそうな薬師は騎士団長の愛で花咲く")</f>
        <v>20260528_集英社_置かれた場所で枯れそうな薬師は騎士団長の愛で花咲く</v>
      </c>
      <c r="T5382" s="22" t="str">
        <f>IFERROR(__xludf.DUMMYFUNCTION("""COMPUTED_VALUE"""),"格納済み")</f>
        <v>格納済み</v>
      </c>
      <c r="U5382" s="9" t="str">
        <f>IFERROR(__xludf.DUMMYFUNCTION("""COMPUTED_VALUE"""),"Ⓒ高津原しょう／集英社クリエイティブ")</f>
        <v>Ⓒ高津原しょう／集英社クリエイティブ</v>
      </c>
      <c r="V5382" s="8"/>
      <c r="W5382" s="8"/>
      <c r="X5382" s="8" t="str">
        <f>IFERROR(__xludf.DUMMYFUNCTION("""COMPUTED_VALUE"""),"有")</f>
        <v>有</v>
      </c>
      <c r="Y5382" s="8" t="str">
        <f>IFERROR(__xludf.DUMMYFUNCTION("""COMPUTED_VALUE"""),"p12まで")</f>
        <v>p12まで</v>
      </c>
      <c r="Z5382" s="7"/>
      <c r="AA5382" s="7"/>
      <c r="AB5382" s="7"/>
    </row>
    <row r="5383" ht="15.75" customHeight="1">
      <c r="A5383" s="26">
        <f>IFERROR(__xludf.DUMMYFUNCTION("""COMPUTED_VALUE"""),8178.0)</f>
        <v>8178</v>
      </c>
      <c r="B5383" s="22" t="str">
        <f>IFERROR(__xludf.DUMMYFUNCTION("""COMPUTED_VALUE"""),"確定")</f>
        <v>確定</v>
      </c>
      <c r="C5383" s="28">
        <f>IFERROR(__xludf.DUMMYFUNCTION("""COMPUTED_VALUE"""),46181.0)</f>
        <v>46181</v>
      </c>
      <c r="D5383" s="28">
        <f>IFERROR(__xludf.DUMMYFUNCTION("""COMPUTED_VALUE"""),46181.0)</f>
        <v>46181</v>
      </c>
      <c r="E5383" s="26">
        <f>IFERROR(__xludf.DUMMYFUNCTION("""COMPUTED_VALUE"""),363917.0)</f>
        <v>363917</v>
      </c>
      <c r="F5383" s="22" t="str">
        <f>IFERROR(__xludf.DUMMYFUNCTION("""COMPUTED_VALUE"""),"【単話売】いいコのふりしたお隣さん")</f>
        <v>【単話売】いいコのふりしたお隣さん</v>
      </c>
      <c r="G5383" s="20">
        <f>IFERROR(__xludf.DUMMYFUNCTION("""COMPUTED_VALUE"""),1.0)</f>
        <v>1</v>
      </c>
      <c r="H5383" s="22" t="str">
        <f>IFERROR(__xludf.DUMMYFUNCTION("""COMPUTED_VALUE"""),"竹内文香")</f>
        <v>竹内文香</v>
      </c>
      <c r="I5383" s="22" t="str">
        <f>IFERROR(__xludf.DUMMYFUNCTION("""COMPUTED_VALUE"""),"女性")</f>
        <v>女性</v>
      </c>
      <c r="J5383" s="22"/>
      <c r="K5383" s="22"/>
      <c r="L5383" s="22" t="str">
        <f>IFERROR(__xludf.DUMMYFUNCTION("""COMPUTED_VALUE"""),"集英社")</f>
        <v>集英社</v>
      </c>
      <c r="M5383" s="33">
        <f>IFERROR(__xludf.DUMMYFUNCTION("""COMPUTED_VALUE"""),46201.0)</f>
        <v>46201</v>
      </c>
      <c r="N5383" s="33">
        <f>IFERROR(__xludf.DUMMYFUNCTION("""COMPUTED_VALUE"""),46225.0)</f>
        <v>46225</v>
      </c>
      <c r="O5383" s="20"/>
      <c r="P5383" s="32" t="str">
        <f>IFERROR(__xludf.DUMMYFUNCTION("""COMPUTED_VALUE"""),"否")</f>
        <v>否</v>
      </c>
      <c r="Q5383" s="30"/>
      <c r="R5383" s="22"/>
      <c r="S5383" s="22" t="str">
        <f>IFERROR(__xludf.DUMMYFUNCTION("""COMPUTED_VALUE"""),"20260529_集英社_いいコのふりしたお隣さん")</f>
        <v>20260529_集英社_いいコのふりしたお隣さん</v>
      </c>
      <c r="T5383" s="22" t="str">
        <f>IFERROR(__xludf.DUMMYFUNCTION("""COMPUTED_VALUE"""),"格納済み")</f>
        <v>格納済み</v>
      </c>
      <c r="U5383" s="9" t="str">
        <f>IFERROR(__xludf.DUMMYFUNCTION("""COMPUTED_VALUE"""),"Ⓒ竹内文香／集英社クリエイティブ")</f>
        <v>Ⓒ竹内文香／集英社クリエイティブ</v>
      </c>
      <c r="V5383" s="8"/>
      <c r="W5383" s="8"/>
      <c r="X5383" s="8" t="str">
        <f>IFERROR(__xludf.DUMMYFUNCTION("""COMPUTED_VALUE"""),"有")</f>
        <v>有</v>
      </c>
      <c r="Y5383" s="8" t="str">
        <f>IFERROR(__xludf.DUMMYFUNCTION("""COMPUTED_VALUE"""),"p7まで")</f>
        <v>p7まで</v>
      </c>
      <c r="Z5383" s="7"/>
      <c r="AA5383" s="7"/>
      <c r="AB5383" s="7"/>
    </row>
    <row r="5384" ht="15.75" customHeight="1">
      <c r="A5384" s="26">
        <f>IFERROR(__xludf.DUMMYFUNCTION("""COMPUTED_VALUE"""),8179.0)</f>
        <v>8179</v>
      </c>
      <c r="B5384" s="22" t="str">
        <f>IFERROR(__xludf.DUMMYFUNCTION("""COMPUTED_VALUE"""),"確定")</f>
        <v>確定</v>
      </c>
      <c r="C5384" s="28">
        <f>IFERROR(__xludf.DUMMYFUNCTION("""COMPUTED_VALUE"""),46181.0)</f>
        <v>46181</v>
      </c>
      <c r="D5384" s="28">
        <f>IFERROR(__xludf.DUMMYFUNCTION("""COMPUTED_VALUE"""),46181.0)</f>
        <v>46181</v>
      </c>
      <c r="E5384" s="26">
        <f>IFERROR(__xludf.DUMMYFUNCTION("""COMPUTED_VALUE"""),364679.0)</f>
        <v>364679</v>
      </c>
      <c r="F5384" s="22" t="str">
        <f>IFERROR(__xludf.DUMMYFUNCTION("""COMPUTED_VALUE"""),"虎はウサギに食べられたい 分冊版")</f>
        <v>虎はウサギに食べられたい 分冊版</v>
      </c>
      <c r="G5384" s="20">
        <f>IFERROR(__xludf.DUMMYFUNCTION("""COMPUTED_VALUE"""),1.0)</f>
        <v>1</v>
      </c>
      <c r="H5384" s="22" t="str">
        <f>IFERROR(__xludf.DUMMYFUNCTION("""COMPUTED_VALUE"""),"いぬはち")</f>
        <v>いぬはち</v>
      </c>
      <c r="I5384" s="22" t="str">
        <f>IFERROR(__xludf.DUMMYFUNCTION("""COMPUTED_VALUE"""),"BL")</f>
        <v>BL</v>
      </c>
      <c r="J5384" s="22"/>
      <c r="K5384" s="22" t="str">
        <f>IFERROR(__xludf.DUMMYFUNCTION("""COMPUTED_VALUE"""),"comic marginal")</f>
        <v>comic marginal</v>
      </c>
      <c r="L5384" s="22" t="str">
        <f>IFERROR(__xludf.DUMMYFUNCTION("""COMPUTED_VALUE"""),"双葉社")</f>
        <v>双葉社</v>
      </c>
      <c r="M5384" s="33">
        <f>IFERROR(__xludf.DUMMYFUNCTION("""COMPUTED_VALUE"""),46213.0)</f>
        <v>46213</v>
      </c>
      <c r="N5384" s="33">
        <f>IFERROR(__xludf.DUMMYFUNCTION("""COMPUTED_VALUE"""),46243.0)</f>
        <v>46243</v>
      </c>
      <c r="O5384" s="20"/>
      <c r="P5384" s="32" t="str">
        <f>IFERROR(__xludf.DUMMYFUNCTION("""COMPUTED_VALUE"""),"可")</f>
        <v>可</v>
      </c>
      <c r="Q5384" s="30"/>
      <c r="R5384" s="22"/>
      <c r="S5384" s="22" t="str">
        <f>IFERROR(__xludf.DUMMYFUNCTION("""COMPUTED_VALUE"""),"20260608_双葉社_虎はウサギに食べられたい")</f>
        <v>20260608_双葉社_虎はウサギに食べられたい</v>
      </c>
      <c r="T5384" s="22" t="str">
        <f>IFERROR(__xludf.DUMMYFUNCTION("""COMPUTED_VALUE"""),"格納済み")</f>
        <v>格納済み</v>
      </c>
      <c r="U5384" s="9" t="str">
        <f>IFERROR(__xludf.DUMMYFUNCTION("""COMPUTED_VALUE"""),"Ⓒいぬはち/双葉社")</f>
        <v>Ⓒいぬはち/双葉社</v>
      </c>
      <c r="V5384" s="8"/>
      <c r="W5384" s="8"/>
      <c r="X5384" s="8" t="str">
        <f>IFERROR(__xludf.DUMMYFUNCTION("""COMPUTED_VALUE"""),"有")</f>
        <v>有</v>
      </c>
      <c r="Y5384" s="8" t="str">
        <f>IFERROR(__xludf.DUMMYFUNCTION("""COMPUTED_VALUE"""),"p13まで")</f>
        <v>p13まで</v>
      </c>
      <c r="Z5384" s="7"/>
      <c r="AA5384" s="7"/>
      <c r="AB5384" s="7"/>
    </row>
    <row r="5385" ht="15.75" customHeight="1">
      <c r="A5385" s="26">
        <f>IFERROR(__xludf.DUMMYFUNCTION("""COMPUTED_VALUE"""),8180.0)</f>
        <v>8180</v>
      </c>
      <c r="B5385" s="22" t="str">
        <f>IFERROR(__xludf.DUMMYFUNCTION("""COMPUTED_VALUE"""),"確定")</f>
        <v>確定</v>
      </c>
      <c r="C5385" s="28">
        <f>IFERROR(__xludf.DUMMYFUNCTION("""COMPUTED_VALUE"""),46181.0)</f>
        <v>46181</v>
      </c>
      <c r="D5385" s="28">
        <f>IFERROR(__xludf.DUMMYFUNCTION("""COMPUTED_VALUE"""),46182.0)</f>
        <v>46182</v>
      </c>
      <c r="E5385" s="26">
        <f>IFERROR(__xludf.DUMMYFUNCTION("""COMPUTED_VALUE"""),363426.0)</f>
        <v>363426</v>
      </c>
      <c r="F5385" s="22" t="str">
        <f>IFERROR(__xludf.DUMMYFUNCTION("""COMPUTED_VALUE"""),"マイリトルキューティー！")</f>
        <v>マイリトルキューティー！</v>
      </c>
      <c r="G5385" s="20" t="str">
        <f>IFERROR(__xludf.DUMMYFUNCTION("""COMPUTED_VALUE"""),"1~3")</f>
        <v>1~3</v>
      </c>
      <c r="H5385" s="22" t="str">
        <f>IFERROR(__xludf.DUMMYFUNCTION("""COMPUTED_VALUE"""),"ひまぐり")</f>
        <v>ひまぐり</v>
      </c>
      <c r="I5385" s="22" t="str">
        <f>IFERROR(__xludf.DUMMYFUNCTION("""COMPUTED_VALUE"""),"BL")</f>
        <v>BL</v>
      </c>
      <c r="J5385" s="22"/>
      <c r="K5385" s="22" t="str">
        <f>IFERROR(__xludf.DUMMYFUNCTION("""COMPUTED_VALUE"""),"B.Pilz")</f>
        <v>B.Pilz</v>
      </c>
      <c r="L5385" s="22" t="str">
        <f>IFERROR(__xludf.DUMMYFUNCTION("""COMPUTED_VALUE"""),"ブライト出版")</f>
        <v>ブライト出版</v>
      </c>
      <c r="M5385" s="33">
        <f>IFERROR(__xludf.DUMMYFUNCTION("""COMPUTED_VALUE"""),46198.0)</f>
        <v>46198</v>
      </c>
      <c r="N5385" s="33">
        <f>IFERROR(__xludf.DUMMYFUNCTION("""COMPUTED_VALUE"""),46302.0)</f>
        <v>46302</v>
      </c>
      <c r="O5385" s="20" t="str">
        <f>IFERROR(__xludf.DUMMYFUNCTION("""COMPUTED_VALUE"""),"【アダルト作品扱い】")</f>
        <v>【アダルト作品扱い】</v>
      </c>
      <c r="P5385" s="32" t="str">
        <f>IFERROR(__xludf.DUMMYFUNCTION("""COMPUTED_VALUE"""),"可")</f>
        <v>可</v>
      </c>
      <c r="Q5385" s="30"/>
      <c r="R5385" s="22"/>
      <c r="S5385" s="22" t="str">
        <f>IFERROR(__xludf.DUMMYFUNCTION("""COMPUTED_VALUE"""),"20260608_ブライト出版_マイリトルキューティー！")</f>
        <v>20260608_ブライト出版_マイリトルキューティー！</v>
      </c>
      <c r="T5385" s="22" t="str">
        <f>IFERROR(__xludf.DUMMYFUNCTION("""COMPUTED_VALUE"""),"格納済み")</f>
        <v>格納済み</v>
      </c>
      <c r="U5385" s="9" t="str">
        <f>IFERROR(__xludf.DUMMYFUNCTION("""COMPUTED_VALUE"""),"(C) ひまぐり/ブライト出版")</f>
        <v>(C) ひまぐり/ブライト出版</v>
      </c>
      <c r="V5385" s="8"/>
      <c r="W5385" s="8"/>
      <c r="X5385" s="8" t="str">
        <f>IFERROR(__xludf.DUMMYFUNCTION("""COMPUTED_VALUE"""),"有")</f>
        <v>有</v>
      </c>
      <c r="Y5385" s="8" t="str">
        <f>IFERROR(__xludf.DUMMYFUNCTION("""COMPUTED_VALUE"""),"2026/7/8まで1巻無料")</f>
        <v>2026/7/8まで1巻無料</v>
      </c>
      <c r="Z5385" s="7"/>
      <c r="AA5385" s="7"/>
      <c r="AB5385" s="7"/>
    </row>
    <row r="5386" ht="15.75" customHeight="1">
      <c r="A5386" s="26">
        <f>IFERROR(__xludf.DUMMYFUNCTION("""COMPUTED_VALUE"""),8181.0)</f>
        <v>8181</v>
      </c>
      <c r="B5386" s="22" t="str">
        <f>IFERROR(__xludf.DUMMYFUNCTION("""COMPUTED_VALUE"""),"確定")</f>
        <v>確定</v>
      </c>
      <c r="C5386" s="28">
        <f>IFERROR(__xludf.DUMMYFUNCTION("""COMPUTED_VALUE"""),46181.0)</f>
        <v>46181</v>
      </c>
      <c r="D5386" s="28">
        <f>IFERROR(__xludf.DUMMYFUNCTION("""COMPUTED_VALUE"""),46182.0)</f>
        <v>46182</v>
      </c>
      <c r="E5386" s="26">
        <f>IFERROR(__xludf.DUMMYFUNCTION("""COMPUTED_VALUE"""),365324.0)</f>
        <v>365324</v>
      </c>
      <c r="F5386" s="22" t="str">
        <f>IFERROR(__xludf.DUMMYFUNCTION("""COMPUTED_VALUE"""),"【ラブコフレ】訳あり志希くんの甘い執着から逃げられない")</f>
        <v>【ラブコフレ】訳あり志希くんの甘い執着から逃げられない</v>
      </c>
      <c r="G5386" s="20" t="str">
        <f>IFERROR(__xludf.DUMMYFUNCTION("""COMPUTED_VALUE"""),"1~3")</f>
        <v>1~3</v>
      </c>
      <c r="H5386" s="22" t="str">
        <f>IFERROR(__xludf.DUMMYFUNCTION("""COMPUTED_VALUE"""),"テディー・ユキ")</f>
        <v>テディー・ユキ</v>
      </c>
      <c r="I5386" s="22" t="str">
        <f>IFERROR(__xludf.DUMMYFUNCTION("""COMPUTED_VALUE"""),"TL")</f>
        <v>TL</v>
      </c>
      <c r="J5386" s="22"/>
      <c r="K5386" s="22" t="str">
        <f>IFERROR(__xludf.DUMMYFUNCTION("""COMPUTED_VALUE"""),"ラブコフレ")</f>
        <v>ラブコフレ</v>
      </c>
      <c r="L5386" s="22" t="str">
        <f>IFERROR(__xludf.DUMMYFUNCTION("""COMPUTED_VALUE"""),"大誠社")</f>
        <v>大誠社</v>
      </c>
      <c r="M5386" s="33">
        <f>IFERROR(__xludf.DUMMYFUNCTION("""COMPUTED_VALUE"""),46216.0)</f>
        <v>46216</v>
      </c>
      <c r="N5386" s="33">
        <f>IFERROR(__xludf.DUMMYFUNCTION("""COMPUTED_VALUE"""),46326.0)</f>
        <v>46326</v>
      </c>
      <c r="O5386" s="20" t="str">
        <f>IFERROR(__xludf.DUMMYFUNCTION("""COMPUTED_VALUE"""),"【アダルト作品扱い】")</f>
        <v>【アダルト作品扱い】</v>
      </c>
      <c r="P5386" s="32" t="str">
        <f>IFERROR(__xludf.DUMMYFUNCTION("""COMPUTED_VALUE"""),"可")</f>
        <v>可</v>
      </c>
      <c r="Q5386" s="30"/>
      <c r="R5386" s="22"/>
      <c r="S5386" s="22" t="str">
        <f>IFERROR(__xludf.DUMMYFUNCTION("""COMPUTED_VALUE"""),"20260608_大誠社_【ラブコフレ】訳あり志希くんの甘い執着から逃げられない")</f>
        <v>20260608_大誠社_【ラブコフレ】訳あり志希くんの甘い執着から逃げられない</v>
      </c>
      <c r="T5386" s="22" t="str">
        <f>IFERROR(__xludf.DUMMYFUNCTION("""COMPUTED_VALUE"""),"格納済み")</f>
        <v>格納済み</v>
      </c>
      <c r="U5386" s="9" t="str">
        <f>IFERROR(__xludf.DUMMYFUNCTION("""COMPUTED_VALUE"""),"(C) テディー・ユキ/大誠社")</f>
        <v>(C) テディー・ユキ/大誠社</v>
      </c>
      <c r="V5386" s="8"/>
      <c r="W5386" s="8"/>
      <c r="X5386" s="8" t="str">
        <f>IFERROR(__xludf.DUMMYFUNCTION("""COMPUTED_VALUE"""),"有")</f>
        <v>有</v>
      </c>
      <c r="Y5386" s="8" t="str">
        <f>IFERROR(__xludf.DUMMYFUNCTION("""COMPUTED_VALUE"""),"2026/7/31まで1巻無料")</f>
        <v>2026/7/31まで1巻無料</v>
      </c>
      <c r="Z5386" s="7"/>
      <c r="AA5386" s="7"/>
      <c r="AB5386" s="7"/>
    </row>
    <row r="5387" ht="15.75" customHeight="1">
      <c r="A5387" s="26">
        <f>IFERROR(__xludf.DUMMYFUNCTION("""COMPUTED_VALUE"""),8183.0)</f>
        <v>8183</v>
      </c>
      <c r="B5387" s="22" t="str">
        <f>IFERROR(__xludf.DUMMYFUNCTION("""COMPUTED_VALUE"""),"確定")</f>
        <v>確定</v>
      </c>
      <c r="C5387" s="28">
        <f>IFERROR(__xludf.DUMMYFUNCTION("""COMPUTED_VALUE"""),46181.0)</f>
        <v>46181</v>
      </c>
      <c r="D5387" s="28">
        <f>IFERROR(__xludf.DUMMYFUNCTION("""COMPUTED_VALUE"""),46183.0)</f>
        <v>46183</v>
      </c>
      <c r="E5387" s="26">
        <f>IFERROR(__xludf.DUMMYFUNCTION("""COMPUTED_VALUE"""),363856.0)</f>
        <v>363856</v>
      </c>
      <c r="F5387" s="22" t="str">
        <f>IFERROR(__xludf.DUMMYFUNCTION("""COMPUTED_VALUE"""),"noicomi死神様に幸せな嫁入りを")</f>
        <v>noicomi死神様に幸せな嫁入りを</v>
      </c>
      <c r="G5387" s="20" t="str">
        <f>IFERROR(__xludf.DUMMYFUNCTION("""COMPUTED_VALUE"""),"1~5")</f>
        <v>1~5</v>
      </c>
      <c r="H5387" s="22" t="str">
        <f>IFERROR(__xludf.DUMMYFUNCTION("""COMPUTED_VALUE"""),"黒乃梓,仲ぽまろ")</f>
        <v>黒乃梓,仲ぽまろ</v>
      </c>
      <c r="I5387" s="22" t="str">
        <f>IFERROR(__xludf.DUMMYFUNCTION("""COMPUTED_VALUE"""),"少女マンガ")</f>
        <v>少女マンガ</v>
      </c>
      <c r="J5387" s="22"/>
      <c r="K5387" s="22" t="str">
        <f>IFERROR(__xludf.DUMMYFUNCTION("""COMPUTED_VALUE"""),"noicomi")</f>
        <v>noicomi</v>
      </c>
      <c r="L5387" s="22" t="str">
        <f>IFERROR(__xludf.DUMMYFUNCTION("""COMPUTED_VALUE"""),"スターツ出版")</f>
        <v>スターツ出版</v>
      </c>
      <c r="M5387" s="33">
        <f>IFERROR(__xludf.DUMMYFUNCTION("""COMPUTED_VALUE"""),46185.0)</f>
        <v>46185</v>
      </c>
      <c r="N5387" s="33">
        <f>IFERROR(__xludf.DUMMYFUNCTION("""COMPUTED_VALUE"""),46247.0)</f>
        <v>46247</v>
      </c>
      <c r="O5387" s="20"/>
      <c r="P5387" s="32" t="str">
        <f>IFERROR(__xludf.DUMMYFUNCTION("""COMPUTED_VALUE"""),"可")</f>
        <v>可</v>
      </c>
      <c r="Q5387" s="30" t="str">
        <f>IFERROR(__xludf.DUMMYFUNCTION("""COMPUTED_VALUE"""),"広告出稿は可能なタイミングからで問題ございません。")</f>
        <v>広告出稿は可能なタイミングからで問題ございません。</v>
      </c>
      <c r="R5387" s="22"/>
      <c r="S5387" s="22" t="str">
        <f>IFERROR(__xludf.DUMMYFUNCTION("""COMPUTED_VALUE"""),"20260609_スターツ出版_死神様に幸せな嫁入りを")</f>
        <v>20260609_スターツ出版_死神様に幸せな嫁入りを</v>
      </c>
      <c r="T5387" s="22" t="str">
        <f>IFERROR(__xludf.DUMMYFUNCTION("""COMPUTED_VALUE"""),"格納済み")</f>
        <v>格納済み</v>
      </c>
      <c r="U5387" s="9" t="str">
        <f>IFERROR(__xludf.DUMMYFUNCTION("""COMPUTED_VALUE"""),"（C）Pomaro Naka・Azusa Kurono/スターツ出版")</f>
        <v>（C）Pomaro Naka・Azusa Kurono/スターツ出版</v>
      </c>
      <c r="V5387" s="8"/>
      <c r="W5387" s="8"/>
      <c r="X5387" s="8" t="str">
        <f>IFERROR(__xludf.DUMMYFUNCTION("""COMPUTED_VALUE"""),"有")</f>
        <v>有</v>
      </c>
      <c r="Y5387" s="8" t="str">
        <f>IFERROR(__xludf.DUMMYFUNCTION("""COMPUTED_VALUE"""),"2026/8/13まで1巻無料")</f>
        <v>2026/8/13まで1巻無料</v>
      </c>
      <c r="Z5387" s="7"/>
      <c r="AA5387" s="7"/>
      <c r="AB5387" s="7"/>
    </row>
    <row r="5388" ht="15.75" customHeight="1">
      <c r="A5388" s="26">
        <f>IFERROR(__xludf.DUMMYFUNCTION("""COMPUTED_VALUE"""),8192.0)</f>
        <v>8192</v>
      </c>
      <c r="B5388" s="22" t="str">
        <f>IFERROR(__xludf.DUMMYFUNCTION("""COMPUTED_VALUE"""),"確定")</f>
        <v>確定</v>
      </c>
      <c r="C5388" s="28">
        <f>IFERROR(__xludf.DUMMYFUNCTION("""COMPUTED_VALUE"""),46181.0)</f>
        <v>46181</v>
      </c>
      <c r="D5388" s="28">
        <f>IFERROR(__xludf.DUMMYFUNCTION("""COMPUTED_VALUE"""),46181.0)</f>
        <v>46181</v>
      </c>
      <c r="E5388" s="26">
        <f>IFERROR(__xludf.DUMMYFUNCTION("""COMPUTED_VALUE"""),340368.0)</f>
        <v>340368</v>
      </c>
      <c r="F5388" s="22" t="str">
        <f>IFERROR(__xludf.DUMMYFUNCTION("""COMPUTED_VALUE"""),"園内サレ妻 ～裏切り夫に制裁を～")</f>
        <v>園内サレ妻 ～裏切り夫に制裁を～</v>
      </c>
      <c r="G5388" s="20" t="str">
        <f>IFERROR(__xludf.DUMMYFUNCTION("""COMPUTED_VALUE"""),"1~3")</f>
        <v>1~3</v>
      </c>
      <c r="H5388" s="22" t="str">
        <f>IFERROR(__xludf.DUMMYFUNCTION("""COMPUTED_VALUE"""),"司萌")</f>
        <v>司萌</v>
      </c>
      <c r="I5388" s="22" t="str">
        <f>IFERROR(__xludf.DUMMYFUNCTION("""COMPUTED_VALUE"""),"女性")</f>
        <v>女性</v>
      </c>
      <c r="J5388" s="22"/>
      <c r="K5388" s="22" t="str">
        <f>IFERROR(__xludf.DUMMYFUNCTION("""COMPUTED_VALUE"""),"トレモア・リアルラブ,トレモアcollection")</f>
        <v>トレモア・リアルラブ,トレモアcollection</v>
      </c>
      <c r="L5388" s="22" t="str">
        <f>IFERROR(__xludf.DUMMYFUNCTION("""COMPUTED_VALUE"""),"シーモアコミックス（トレモア）")</f>
        <v>シーモアコミックス（トレモア）</v>
      </c>
      <c r="M5388" s="33">
        <f>IFERROR(__xludf.DUMMYFUNCTION("""COMPUTED_VALUE"""),46213.0)</f>
        <v>46213</v>
      </c>
      <c r="N5388" s="33">
        <f>IFERROR(__xludf.DUMMYFUNCTION("""COMPUTED_VALUE"""),2958465.0)</f>
        <v>2958465</v>
      </c>
      <c r="O5388" s="20"/>
      <c r="P5388" s="32" t="str">
        <f>IFERROR(__xludf.DUMMYFUNCTION("""COMPUTED_VALUE"""),"可")</f>
        <v>可</v>
      </c>
      <c r="Q5388" s="30"/>
      <c r="R5388" s="22"/>
      <c r="S5388" s="22" t="str">
        <f>IFERROR(__xludf.DUMMYFUNCTION("""COMPUTED_VALUE"""),"20260529_シーモアコミックス_園内サレ妻 ～裏切り夫に制裁を～")</f>
        <v>20260529_シーモアコミックス_園内サレ妻 ～裏切り夫に制裁を～</v>
      </c>
      <c r="T5388" s="22" t="str">
        <f>IFERROR(__xludf.DUMMYFUNCTION("""COMPUTED_VALUE"""),"格納済み")</f>
        <v>格納済み</v>
      </c>
      <c r="U5388" s="9" t="str">
        <f>IFERROR(__xludf.DUMMYFUNCTION("""COMPUTED_VALUE"""),"(C) 司萌/シーモアコミックス")</f>
        <v>(C) 司萌/シーモアコミックス</v>
      </c>
      <c r="V5388" s="8"/>
      <c r="W5388" s="8"/>
      <c r="X5388" s="8" t="str">
        <f>IFERROR(__xludf.DUMMYFUNCTION("""COMPUTED_VALUE"""),"有")</f>
        <v>有</v>
      </c>
      <c r="Y5388" s="8" t="str">
        <f>IFERROR(__xludf.DUMMYFUNCTION("""COMPUTED_VALUE"""),"p5まで")</f>
        <v>p5まで</v>
      </c>
      <c r="Z5388" s="7"/>
      <c r="AA5388" s="7"/>
      <c r="AB5388" s="7"/>
    </row>
    <row r="5389" ht="15.75" customHeight="1">
      <c r="A5389" s="26">
        <f>IFERROR(__xludf.DUMMYFUNCTION("""COMPUTED_VALUE"""),8195.0)</f>
        <v>8195</v>
      </c>
      <c r="B5389" s="22" t="str">
        <f>IFERROR(__xludf.DUMMYFUNCTION("""COMPUTED_VALUE"""),"確定")</f>
        <v>確定</v>
      </c>
      <c r="C5389" s="28">
        <f>IFERROR(__xludf.DUMMYFUNCTION("""COMPUTED_VALUE"""),46182.0)</f>
        <v>46182</v>
      </c>
      <c r="D5389" s="28">
        <f>IFERROR(__xludf.DUMMYFUNCTION("""COMPUTED_VALUE"""),46182.0)</f>
        <v>46182</v>
      </c>
      <c r="E5389" s="26">
        <f>IFERROR(__xludf.DUMMYFUNCTION("""COMPUTED_VALUE"""),339556.0)</f>
        <v>339556</v>
      </c>
      <c r="F5389" s="22" t="str">
        <f>IFERROR(__xludf.DUMMYFUNCTION("""COMPUTED_VALUE"""),"ともに支え合うことを誓いますか？")</f>
        <v>ともに支え合うことを誓いますか？</v>
      </c>
      <c r="G5389" s="20" t="str">
        <f>IFERROR(__xludf.DUMMYFUNCTION("""COMPUTED_VALUE"""),"1~3")</f>
        <v>1~3</v>
      </c>
      <c r="H5389" s="22" t="str">
        <f>IFERROR(__xludf.DUMMYFUNCTION("""COMPUTED_VALUE"""),"秋好まこと")</f>
        <v>秋好まこと</v>
      </c>
      <c r="I5389" s="22" t="str">
        <f>IFERROR(__xludf.DUMMYFUNCTION("""COMPUTED_VALUE"""),"女性")</f>
        <v>女性</v>
      </c>
      <c r="J5389" s="22"/>
      <c r="K5389" s="22" t="str">
        <f>IFERROR(__xludf.DUMMYFUNCTION("""COMPUTED_VALUE"""),"恋するソワレ＋,恋するソワレ")</f>
        <v>恋するソワレ＋,恋するソワレ</v>
      </c>
      <c r="L5389" s="22" t="str">
        <f>IFERROR(__xludf.DUMMYFUNCTION("""COMPUTED_VALUE"""),"シーモアコミックス")</f>
        <v>シーモアコミックス</v>
      </c>
      <c r="M5389" s="33">
        <f>IFERROR(__xludf.DUMMYFUNCTION("""COMPUTED_VALUE"""),46200.0)</f>
        <v>46200</v>
      </c>
      <c r="N5389" s="33">
        <f>IFERROR(__xludf.DUMMYFUNCTION("""COMPUTED_VALUE"""),46352.70833333333)</f>
        <v>46352.70833</v>
      </c>
      <c r="O5389" s="20"/>
      <c r="P5389" s="32" t="str">
        <f>IFERROR(__xludf.DUMMYFUNCTION("""COMPUTED_VALUE"""),"可")</f>
        <v>可</v>
      </c>
      <c r="Q5389" s="30"/>
      <c r="R5389" s="22"/>
      <c r="S5389" s="22" t="str">
        <f>IFERROR(__xludf.DUMMYFUNCTION("""COMPUTED_VALUE"""),"20260525_シーモアコミックス_ともに支え合うことを誓いますか？")</f>
        <v>20260525_シーモアコミックス_ともに支え合うことを誓いますか？</v>
      </c>
      <c r="T5389" s="22" t="str">
        <f>IFERROR(__xludf.DUMMYFUNCTION("""COMPUTED_VALUE"""),"格納済み")</f>
        <v>格納済み</v>
      </c>
      <c r="U5389" s="9" t="str">
        <f>IFERROR(__xludf.DUMMYFUNCTION("""COMPUTED_VALUE"""),"(C) 秋好まこと/シーモアコミックス")</f>
        <v>(C) 秋好まこと/シーモアコミックス</v>
      </c>
      <c r="V5389" s="8"/>
      <c r="W5389" s="8"/>
      <c r="X5389" s="8" t="str">
        <f>IFERROR(__xludf.DUMMYFUNCTION("""COMPUTED_VALUE"""),"有")</f>
        <v>有</v>
      </c>
      <c r="Y5389" s="8" t="str">
        <f>IFERROR(__xludf.DUMMYFUNCTION("""COMPUTED_VALUE"""),"2026/7/24まで1巻無料")</f>
        <v>2026/7/24まで1巻無料</v>
      </c>
      <c r="Z5389" s="7"/>
      <c r="AA5389" s="7"/>
      <c r="AB5389" s="7"/>
    </row>
    <row r="5390" ht="15.75" customHeight="1">
      <c r="A5390" s="26">
        <f>IFERROR(__xludf.DUMMYFUNCTION("""COMPUTED_VALUE"""),8197.0)</f>
        <v>8197</v>
      </c>
      <c r="B5390" s="22" t="str">
        <f>IFERROR(__xludf.DUMMYFUNCTION("""COMPUTED_VALUE"""),"確定")</f>
        <v>確定</v>
      </c>
      <c r="C5390" s="28">
        <f>IFERROR(__xludf.DUMMYFUNCTION("""COMPUTED_VALUE"""),46182.0)</f>
        <v>46182</v>
      </c>
      <c r="D5390" s="28">
        <f>IFERROR(__xludf.DUMMYFUNCTION("""COMPUTED_VALUE"""),46182.0)</f>
        <v>46182</v>
      </c>
      <c r="E5390" s="26">
        <f>IFERROR(__xludf.DUMMYFUNCTION("""COMPUTED_VALUE"""),321436.0)</f>
        <v>321436</v>
      </c>
      <c r="F5390" s="22" t="str">
        <f>IFERROR(__xludf.DUMMYFUNCTION("""COMPUTED_VALUE"""),"お見合い相手はもじゃもじゃニート")</f>
        <v>お見合い相手はもじゃもじゃニート</v>
      </c>
      <c r="G5390" s="20" t="str">
        <f>IFERROR(__xludf.DUMMYFUNCTION("""COMPUTED_VALUE"""),"1~5")</f>
        <v>1~5</v>
      </c>
      <c r="H5390" s="22" t="str">
        <f>IFERROR(__xludf.DUMMYFUNCTION("""COMPUTED_VALUE"""),"滝チヅエ,梅澤夏子（エブリスタ）")</f>
        <v>滝チヅエ,梅澤夏子（エブリスタ）</v>
      </c>
      <c r="I5390" s="22" t="str">
        <f>IFERROR(__xludf.DUMMYFUNCTION("""COMPUTED_VALUE"""),"女性")</f>
        <v>女性</v>
      </c>
      <c r="J5390" s="22"/>
      <c r="K5390" s="22" t="str">
        <f>IFERROR(__xludf.DUMMYFUNCTION("""COMPUTED_VALUE"""),"トレモア・リアルラブ,トレモアcollection")</f>
        <v>トレモア・リアルラブ,トレモアcollection</v>
      </c>
      <c r="L5390" s="22" t="str">
        <f>IFERROR(__xludf.DUMMYFUNCTION("""COMPUTED_VALUE"""),"シーモアコミックス（トレモア）")</f>
        <v>シーモアコミックス（トレモア）</v>
      </c>
      <c r="M5390" s="33">
        <f>IFERROR(__xludf.DUMMYFUNCTION("""COMPUTED_VALUE"""),46213.0)</f>
        <v>46213</v>
      </c>
      <c r="N5390" s="33">
        <f>IFERROR(__xludf.DUMMYFUNCTION("""COMPUTED_VALUE"""),2958465.0)</f>
        <v>2958465</v>
      </c>
      <c r="O5390" s="20"/>
      <c r="P5390" s="32" t="str">
        <f>IFERROR(__xludf.DUMMYFUNCTION("""COMPUTED_VALUE"""),"可")</f>
        <v>可</v>
      </c>
      <c r="Q5390" s="30"/>
      <c r="R5390" s="22"/>
      <c r="S5390" s="22" t="str">
        <f>IFERROR(__xludf.DUMMYFUNCTION("""COMPUTED_VALUE"""),"20260528_シーモアコミックス_お見合い相手はもじゃもじゃニート")</f>
        <v>20260528_シーモアコミックス_お見合い相手はもじゃもじゃニート</v>
      </c>
      <c r="T5390" s="22" t="str">
        <f>IFERROR(__xludf.DUMMYFUNCTION("""COMPUTED_VALUE"""),"格納済み")</f>
        <v>格納済み</v>
      </c>
      <c r="U5390" s="9" t="str">
        <f>IFERROR(__xludf.DUMMYFUNCTION("""COMPUTED_VALUE"""),"(C) 滝チヅエ/梅澤夏子（エブリスタ）/シーモアコミックス")</f>
        <v>(C) 滝チヅエ/梅澤夏子（エブリスタ）/シーモアコミックス</v>
      </c>
      <c r="V5390" s="8"/>
      <c r="W5390" s="8"/>
      <c r="X5390" s="8" t="str">
        <f>IFERROR(__xludf.DUMMYFUNCTION("""COMPUTED_VALUE"""),"有")</f>
        <v>有</v>
      </c>
      <c r="Y5390" s="8" t="str">
        <f>IFERROR(__xludf.DUMMYFUNCTION("""COMPUTED_VALUE"""),"p7まで")</f>
        <v>p7まで</v>
      </c>
      <c r="Z5390" s="7"/>
      <c r="AA5390" s="7"/>
      <c r="AB5390" s="7"/>
    </row>
    <row r="5391" ht="15.75" customHeight="1">
      <c r="A5391" s="26">
        <f>IFERROR(__xludf.DUMMYFUNCTION("""COMPUTED_VALUE"""),8198.0)</f>
        <v>8198</v>
      </c>
      <c r="B5391" s="22" t="str">
        <f>IFERROR(__xludf.DUMMYFUNCTION("""COMPUTED_VALUE"""),"確定")</f>
        <v>確定</v>
      </c>
      <c r="C5391" s="28">
        <f>IFERROR(__xludf.DUMMYFUNCTION("""COMPUTED_VALUE"""),46182.0)</f>
        <v>46182</v>
      </c>
      <c r="D5391" s="28">
        <f>IFERROR(__xludf.DUMMYFUNCTION("""COMPUTED_VALUE"""),46182.0)</f>
        <v>46182</v>
      </c>
      <c r="E5391" s="26">
        <f>IFERROR(__xludf.DUMMYFUNCTION("""COMPUTED_VALUE"""),346764.0)</f>
        <v>346764</v>
      </c>
      <c r="F5391" s="22" t="str">
        <f>IFERROR(__xludf.DUMMYFUNCTION("""COMPUTED_VALUE"""),"回避型彼氏に見切りをつけたら、ハイスペ同期に求婚されました")</f>
        <v>回避型彼氏に見切りをつけたら、ハイスペ同期に求婚されました</v>
      </c>
      <c r="G5391" s="20" t="str">
        <f>IFERROR(__xludf.DUMMYFUNCTION("""COMPUTED_VALUE"""),"1~3")</f>
        <v>1~3</v>
      </c>
      <c r="H5391" s="22" t="str">
        <f>IFERROR(__xludf.DUMMYFUNCTION("""COMPUTED_VALUE"""),"花宮たま")</f>
        <v>花宮たま</v>
      </c>
      <c r="I5391" s="22" t="str">
        <f>IFERROR(__xludf.DUMMYFUNCTION("""COMPUTED_VALUE"""),"女性")</f>
        <v>女性</v>
      </c>
      <c r="J5391" s="22"/>
      <c r="K5391" s="22" t="str">
        <f>IFERROR(__xludf.DUMMYFUNCTION("""COMPUTED_VALUE"""),"トレモア・リアルラブ,トレモアcollection")</f>
        <v>トレモア・リアルラブ,トレモアcollection</v>
      </c>
      <c r="L5391" s="22" t="str">
        <f>IFERROR(__xludf.DUMMYFUNCTION("""COMPUTED_VALUE"""),"シーモアコミックス（トレモア）")</f>
        <v>シーモアコミックス（トレモア）</v>
      </c>
      <c r="M5391" s="33">
        <f>IFERROR(__xludf.DUMMYFUNCTION("""COMPUTED_VALUE"""),46213.0)</f>
        <v>46213</v>
      </c>
      <c r="N5391" s="33">
        <f>IFERROR(__xludf.DUMMYFUNCTION("""COMPUTED_VALUE"""),2958465.0)</f>
        <v>2958465</v>
      </c>
      <c r="O5391" s="20"/>
      <c r="P5391" s="32" t="str">
        <f>IFERROR(__xludf.DUMMYFUNCTION("""COMPUTED_VALUE"""),"可")</f>
        <v>可</v>
      </c>
      <c r="Q5391" s="30"/>
      <c r="R5391" s="22"/>
      <c r="S5391" s="22" t="str">
        <f>IFERROR(__xludf.DUMMYFUNCTION("""COMPUTED_VALUE"""),"20260528_シーモアコミックス_回避型彼氏に見切りをつけたら、ハイスペ同期に求婚されました")</f>
        <v>20260528_シーモアコミックス_回避型彼氏に見切りをつけたら、ハイスペ同期に求婚されました</v>
      </c>
      <c r="T5391" s="22" t="str">
        <f>IFERROR(__xludf.DUMMYFUNCTION("""COMPUTED_VALUE"""),"格納済み")</f>
        <v>格納済み</v>
      </c>
      <c r="U5391" s="9" t="str">
        <f>IFERROR(__xludf.DUMMYFUNCTION("""COMPUTED_VALUE"""),"(C) 花宮たま/シーモアコミックス")</f>
        <v>(C) 花宮たま/シーモアコミックス</v>
      </c>
      <c r="V5391" s="8"/>
      <c r="W5391" s="8"/>
      <c r="X5391" s="8" t="str">
        <f>IFERROR(__xludf.DUMMYFUNCTION("""COMPUTED_VALUE"""),"有")</f>
        <v>有</v>
      </c>
      <c r="Y5391" s="8" t="str">
        <f>IFERROR(__xludf.DUMMYFUNCTION("""COMPUTED_VALUE"""),"p6まで")</f>
        <v>p6まで</v>
      </c>
      <c r="Z5391" s="7"/>
      <c r="AA5391" s="7"/>
      <c r="AB5391" s="7"/>
    </row>
    <row r="5392" ht="15.75" customHeight="1">
      <c r="A5392" s="26">
        <f>IFERROR(__xludf.DUMMYFUNCTION("""COMPUTED_VALUE"""),8200.0)</f>
        <v>8200</v>
      </c>
      <c r="B5392" s="22" t="str">
        <f>IFERROR(__xludf.DUMMYFUNCTION("""COMPUTED_VALUE"""),"確定")</f>
        <v>確定</v>
      </c>
      <c r="C5392" s="28">
        <f>IFERROR(__xludf.DUMMYFUNCTION("""COMPUTED_VALUE"""),46182.0)</f>
        <v>46182</v>
      </c>
      <c r="D5392" s="28">
        <f>IFERROR(__xludf.DUMMYFUNCTION("""COMPUTED_VALUE"""),46183.0)</f>
        <v>46183</v>
      </c>
      <c r="E5392" s="26">
        <f>IFERROR(__xludf.DUMMYFUNCTION("""COMPUTED_VALUE"""),363808.0)</f>
        <v>363808</v>
      </c>
      <c r="F5392" s="22" t="str">
        <f>IFERROR(__xludf.DUMMYFUNCTION("""COMPUTED_VALUE"""),"悪役令嬢キャロルと逞しくなった王子の健康恋愛録")</f>
        <v>悪役令嬢キャロルと逞しくなった王子の健康恋愛録</v>
      </c>
      <c r="G5392" s="20">
        <f>IFERROR(__xludf.DUMMYFUNCTION("""COMPUTED_VALUE"""),1.0)</f>
        <v>1</v>
      </c>
      <c r="H5392" s="22" t="str">
        <f>IFERROR(__xludf.DUMMYFUNCTION("""COMPUTED_VALUE"""),"不二原理夏")</f>
        <v>不二原理夏</v>
      </c>
      <c r="I5392" s="22" t="str">
        <f>IFERROR(__xludf.DUMMYFUNCTION("""COMPUTED_VALUE"""),"女性")</f>
        <v>女性</v>
      </c>
      <c r="J5392" s="22"/>
      <c r="K5392" s="22"/>
      <c r="L5392" s="22" t="str">
        <f>IFERROR(__xludf.DUMMYFUNCTION("""COMPUTED_VALUE"""),"集英社")</f>
        <v>集英社</v>
      </c>
      <c r="M5392" s="33">
        <f>IFERROR(__xludf.DUMMYFUNCTION("""COMPUTED_VALUE"""),46198.0)</f>
        <v>46198</v>
      </c>
      <c r="N5392" s="33">
        <f>IFERROR(__xludf.DUMMYFUNCTION("""COMPUTED_VALUE"""),46225.0)</f>
        <v>46225</v>
      </c>
      <c r="O5392" s="20"/>
      <c r="P5392" s="32" t="str">
        <f>IFERROR(__xludf.DUMMYFUNCTION("""COMPUTED_VALUE"""),"否")</f>
        <v>否</v>
      </c>
      <c r="Q5392" s="30"/>
      <c r="R5392" s="22"/>
      <c r="S5392" s="22" t="str">
        <f>IFERROR(__xludf.DUMMYFUNCTION("""COMPUTED_VALUE"""),"20260528_集英社_悪役令嬢キャロルと逞しくなった王子の健康恋愛録")</f>
        <v>20260528_集英社_悪役令嬢キャロルと逞しくなった王子の健康恋愛録</v>
      </c>
      <c r="T5392" s="22" t="str">
        <f>IFERROR(__xludf.DUMMYFUNCTION("""COMPUTED_VALUE"""),"格納済み")</f>
        <v>格納済み</v>
      </c>
      <c r="U5392" s="9" t="str">
        <f>IFERROR(__xludf.DUMMYFUNCTION("""COMPUTED_VALUE"""),"Ⓒ不二原理夏／集英社クリエイティブ")</f>
        <v>Ⓒ不二原理夏／集英社クリエイティブ</v>
      </c>
      <c r="V5392" s="8"/>
      <c r="W5392" s="8"/>
      <c r="X5392" s="8" t="str">
        <f>IFERROR(__xludf.DUMMYFUNCTION("""COMPUTED_VALUE"""),"有")</f>
        <v>有</v>
      </c>
      <c r="Y5392" s="8" t="str">
        <f>IFERROR(__xludf.DUMMYFUNCTION("""COMPUTED_VALUE"""),"p15まで")</f>
        <v>p15まで</v>
      </c>
      <c r="Z5392" s="7"/>
      <c r="AA5392" s="7"/>
      <c r="AB5392" s="7"/>
    </row>
    <row r="5393" ht="15.75" customHeight="1">
      <c r="A5393" s="26">
        <f>IFERROR(__xludf.DUMMYFUNCTION("""COMPUTED_VALUE"""),8201.0)</f>
        <v>8201</v>
      </c>
      <c r="B5393" s="22" t="str">
        <f>IFERROR(__xludf.DUMMYFUNCTION("""COMPUTED_VALUE"""),"確定")</f>
        <v>確定</v>
      </c>
      <c r="C5393" s="28">
        <f>IFERROR(__xludf.DUMMYFUNCTION("""COMPUTED_VALUE"""),46182.0)</f>
        <v>46182</v>
      </c>
      <c r="D5393" s="28">
        <f>IFERROR(__xludf.DUMMYFUNCTION("""COMPUTED_VALUE"""),46183.0)</f>
        <v>46183</v>
      </c>
      <c r="E5393" s="26">
        <f>IFERROR(__xludf.DUMMYFUNCTION("""COMPUTED_VALUE"""),363809.0)</f>
        <v>363809</v>
      </c>
      <c r="F5393" s="22" t="str">
        <f>IFERROR(__xludf.DUMMYFUNCTION("""COMPUTED_VALUE"""),"悪役王子の妻はタダでは殺されない")</f>
        <v>悪役王子の妻はタダでは殺されない</v>
      </c>
      <c r="G5393" s="20">
        <f>IFERROR(__xludf.DUMMYFUNCTION("""COMPUTED_VALUE"""),1.0)</f>
        <v>1</v>
      </c>
      <c r="H5393" s="22" t="str">
        <f>IFERROR(__xludf.DUMMYFUNCTION("""COMPUTED_VALUE"""),"いやさかりさ")</f>
        <v>いやさかりさ</v>
      </c>
      <c r="I5393" s="22" t="str">
        <f>IFERROR(__xludf.DUMMYFUNCTION("""COMPUTED_VALUE"""),"女性")</f>
        <v>女性</v>
      </c>
      <c r="J5393" s="22"/>
      <c r="K5393" s="22"/>
      <c r="L5393" s="22" t="str">
        <f>IFERROR(__xludf.DUMMYFUNCTION("""COMPUTED_VALUE"""),"集英社")</f>
        <v>集英社</v>
      </c>
      <c r="M5393" s="33">
        <f>IFERROR(__xludf.DUMMYFUNCTION("""COMPUTED_VALUE"""),46198.0)</f>
        <v>46198</v>
      </c>
      <c r="N5393" s="33">
        <f>IFERROR(__xludf.DUMMYFUNCTION("""COMPUTED_VALUE"""),46225.0)</f>
        <v>46225</v>
      </c>
      <c r="O5393" s="20"/>
      <c r="P5393" s="32" t="str">
        <f>IFERROR(__xludf.DUMMYFUNCTION("""COMPUTED_VALUE"""),"否")</f>
        <v>否</v>
      </c>
      <c r="Q5393" s="30"/>
      <c r="R5393" s="22"/>
      <c r="S5393" s="22" t="str">
        <f>IFERROR(__xludf.DUMMYFUNCTION("""COMPUTED_VALUE"""),"20260528_集英社_悪役王子の妻はタダでは殺されない")</f>
        <v>20260528_集英社_悪役王子の妻はタダでは殺されない</v>
      </c>
      <c r="T5393" s="22" t="str">
        <f>IFERROR(__xludf.DUMMYFUNCTION("""COMPUTED_VALUE"""),"格納済み")</f>
        <v>格納済み</v>
      </c>
      <c r="U5393" s="9" t="str">
        <f>IFERROR(__xludf.DUMMYFUNCTION("""COMPUTED_VALUE"""),"Ⓒいやさかりさ／集英社クリエイティブ")</f>
        <v>Ⓒいやさかりさ／集英社クリエイティブ</v>
      </c>
      <c r="V5393" s="8"/>
      <c r="W5393" s="8"/>
      <c r="X5393" s="8" t="str">
        <f>IFERROR(__xludf.DUMMYFUNCTION("""COMPUTED_VALUE"""),"有")</f>
        <v>有</v>
      </c>
      <c r="Y5393" s="8" t="str">
        <f>IFERROR(__xludf.DUMMYFUNCTION("""COMPUTED_VALUE"""),"p16まで")</f>
        <v>p16まで</v>
      </c>
      <c r="Z5393" s="7"/>
      <c r="AA5393" s="7"/>
      <c r="AB5393" s="7"/>
    </row>
    <row r="5394" ht="15.75" customHeight="1">
      <c r="A5394" s="26">
        <f>IFERROR(__xludf.DUMMYFUNCTION("""COMPUTED_VALUE"""),8202.0)</f>
        <v>8202</v>
      </c>
      <c r="B5394" s="22" t="str">
        <f>IFERROR(__xludf.DUMMYFUNCTION("""COMPUTED_VALUE"""),"確定")</f>
        <v>確定</v>
      </c>
      <c r="C5394" s="28">
        <f>IFERROR(__xludf.DUMMYFUNCTION("""COMPUTED_VALUE"""),46182.0)</f>
        <v>46182</v>
      </c>
      <c r="D5394" s="28">
        <f>IFERROR(__xludf.DUMMYFUNCTION("""COMPUTED_VALUE"""),46183.0)</f>
        <v>46183</v>
      </c>
      <c r="E5394" s="26">
        <f>IFERROR(__xludf.DUMMYFUNCTION("""COMPUTED_VALUE"""),363807.0)</f>
        <v>363807</v>
      </c>
      <c r="F5394" s="22" t="str">
        <f>IFERROR(__xludf.DUMMYFUNCTION("""COMPUTED_VALUE"""),"使い潰された聖女を抱きしめずにはいられない")</f>
        <v>使い潰された聖女を抱きしめずにはいられない</v>
      </c>
      <c r="G5394" s="20">
        <f>IFERROR(__xludf.DUMMYFUNCTION("""COMPUTED_VALUE"""),1.0)</f>
        <v>1</v>
      </c>
      <c r="H5394" s="22" t="str">
        <f>IFERROR(__xludf.DUMMYFUNCTION("""COMPUTED_VALUE"""),"みずも")</f>
        <v>みずも</v>
      </c>
      <c r="I5394" s="22" t="str">
        <f>IFERROR(__xludf.DUMMYFUNCTION("""COMPUTED_VALUE"""),"女性")</f>
        <v>女性</v>
      </c>
      <c r="J5394" s="22"/>
      <c r="K5394" s="22"/>
      <c r="L5394" s="22" t="str">
        <f>IFERROR(__xludf.DUMMYFUNCTION("""COMPUTED_VALUE"""),"集英社")</f>
        <v>集英社</v>
      </c>
      <c r="M5394" s="33">
        <f>IFERROR(__xludf.DUMMYFUNCTION("""COMPUTED_VALUE"""),46198.0)</f>
        <v>46198</v>
      </c>
      <c r="N5394" s="33">
        <f>IFERROR(__xludf.DUMMYFUNCTION("""COMPUTED_VALUE"""),46225.0)</f>
        <v>46225</v>
      </c>
      <c r="O5394" s="20"/>
      <c r="P5394" s="32" t="str">
        <f>IFERROR(__xludf.DUMMYFUNCTION("""COMPUTED_VALUE"""),"否")</f>
        <v>否</v>
      </c>
      <c r="Q5394" s="30"/>
      <c r="R5394" s="22"/>
      <c r="S5394" s="22" t="str">
        <f>IFERROR(__xludf.DUMMYFUNCTION("""COMPUTED_VALUE"""),"20260528_集英社_使い潰された聖女を抱きしめずにはいられない")</f>
        <v>20260528_集英社_使い潰された聖女を抱きしめずにはいられない</v>
      </c>
      <c r="T5394" s="22" t="str">
        <f>IFERROR(__xludf.DUMMYFUNCTION("""COMPUTED_VALUE"""),"格納済み")</f>
        <v>格納済み</v>
      </c>
      <c r="U5394" s="9" t="str">
        <f>IFERROR(__xludf.DUMMYFUNCTION("""COMPUTED_VALUE"""),"Ⓒみずも／集英社クリエイティブ")</f>
        <v>Ⓒみずも／集英社クリエイティブ</v>
      </c>
      <c r="V5394" s="8"/>
      <c r="W5394" s="8"/>
      <c r="X5394" s="8" t="str">
        <f>IFERROR(__xludf.DUMMYFUNCTION("""COMPUTED_VALUE"""),"有")</f>
        <v>有</v>
      </c>
      <c r="Y5394" s="8" t="str">
        <f>IFERROR(__xludf.DUMMYFUNCTION("""COMPUTED_VALUE"""),"p11まで")</f>
        <v>p11まで</v>
      </c>
      <c r="Z5394" s="7"/>
      <c r="AA5394" s="7"/>
      <c r="AB5394" s="7"/>
    </row>
    <row r="5395" ht="15.75" customHeight="1">
      <c r="A5395" s="26">
        <f>IFERROR(__xludf.DUMMYFUNCTION("""COMPUTED_VALUE"""),7384.0)</f>
        <v>7384</v>
      </c>
      <c r="B5395" s="22" t="str">
        <f>IFERROR(__xludf.DUMMYFUNCTION("""COMPUTED_VALUE"""),"確定")</f>
        <v>確定</v>
      </c>
      <c r="C5395" s="28">
        <f>IFERROR(__xludf.DUMMYFUNCTION("""COMPUTED_VALUE"""),46058.0)</f>
        <v>46058</v>
      </c>
      <c r="D5395" s="28">
        <f>IFERROR(__xludf.DUMMYFUNCTION("""COMPUTED_VALUE"""),46189.0)</f>
        <v>46189</v>
      </c>
      <c r="E5395" s="26">
        <f>IFERROR(__xludf.DUMMYFUNCTION("""COMPUTED_VALUE"""),363151.0)</f>
        <v>363151</v>
      </c>
      <c r="F5395" s="22" t="str">
        <f>IFERROR(__xludf.DUMMYFUNCTION("""COMPUTED_VALUE"""),"その縁、断ち切ります～復讐の別れさせ屋ルバンシュ～")</f>
        <v>その縁、断ち切ります～復讐の別れさせ屋ルバンシュ～</v>
      </c>
      <c r="G5395" s="20" t="str">
        <f>IFERROR(__xludf.DUMMYFUNCTION("""COMPUTED_VALUE"""),"1～3")</f>
        <v>1～3</v>
      </c>
      <c r="H5395" s="22" t="str">
        <f>IFERROR(__xludf.DUMMYFUNCTION("""COMPUTED_VALUE"""),"湧水尚")</f>
        <v>湧水尚</v>
      </c>
      <c r="I5395" s="22" t="str">
        <f>IFERROR(__xludf.DUMMYFUNCTION("""COMPUTED_VALUE"""),"青年")</f>
        <v>青年</v>
      </c>
      <c r="J5395" s="22"/>
      <c r="K5395" s="22" t="str">
        <f>IFERROR(__xludf.DUMMYFUNCTION("""COMPUTED_VALUE"""),"DEDEDE")</f>
        <v>DEDEDE</v>
      </c>
      <c r="L5395" s="22" t="str">
        <f>IFERROR(__xludf.DUMMYFUNCTION("""COMPUTED_VALUE"""),"CLLENN")</f>
        <v>CLLENN</v>
      </c>
      <c r="M5395" s="33">
        <f>IFERROR(__xludf.DUMMYFUNCTION("""COMPUTED_VALUE"""),46180.0)</f>
        <v>46180</v>
      </c>
      <c r="N5395" s="33">
        <f>IFERROR(__xludf.DUMMYFUNCTION("""COMPUTED_VALUE"""),46242.0)</f>
        <v>46242</v>
      </c>
      <c r="O5395" s="20"/>
      <c r="P5395" s="32" t="str">
        <f>IFERROR(__xludf.DUMMYFUNCTION("""COMPUTED_VALUE"""),"可")</f>
        <v>可</v>
      </c>
      <c r="Q5395" s="30"/>
      <c r="R5395" s="22" t="str">
        <f>IFERROR(__xludf.DUMMYFUNCTION("""COMPUTED_VALUE"""),"コミットOK")</f>
        <v>コミットOK</v>
      </c>
      <c r="S5395" s="22" t="str">
        <f>IFERROR(__xludf.DUMMYFUNCTION("""COMPUTED_VALUE"""),"20260611_CLLENN_その縁、断ち切ります～復讐の別れさせ屋ルバンシュ～")</f>
        <v>20260611_CLLENN_その縁、断ち切ります～復讐の別れさせ屋ルバンシュ～</v>
      </c>
      <c r="T5395" s="22" t="str">
        <f>IFERROR(__xludf.DUMMYFUNCTION("""COMPUTED_VALUE"""),"格納済み")</f>
        <v>格納済み</v>
      </c>
      <c r="U5395" s="9" t="str">
        <f>IFERROR(__xludf.DUMMYFUNCTION("""COMPUTED_VALUE"""),"Ⓒ湧水尚/CLLENN")</f>
        <v>Ⓒ湧水尚/CLLENN</v>
      </c>
      <c r="V5395" s="8"/>
      <c r="W5395" s="8"/>
      <c r="X5395" s="8" t="str">
        <f>IFERROR(__xludf.DUMMYFUNCTION("""COMPUTED_VALUE"""),"有")</f>
        <v>有</v>
      </c>
      <c r="Y5395" s="8" t="str">
        <f>IFERROR(__xludf.DUMMYFUNCTION("""COMPUTED_VALUE"""),"p10まで")</f>
        <v>p10まで</v>
      </c>
      <c r="Z5395" s="7"/>
      <c r="AA5395" s="7"/>
      <c r="AB5395" s="7"/>
    </row>
    <row r="5396" ht="15.75" customHeight="1">
      <c r="A5396" s="26">
        <f>IFERROR(__xludf.DUMMYFUNCTION("""COMPUTED_VALUE"""),7401.0)</f>
        <v>7401</v>
      </c>
      <c r="B5396" s="22" t="str">
        <f>IFERROR(__xludf.DUMMYFUNCTION("""COMPUTED_VALUE"""),"確定")</f>
        <v>確定</v>
      </c>
      <c r="C5396" s="28">
        <f>IFERROR(__xludf.DUMMYFUNCTION("""COMPUTED_VALUE"""),46059.0)</f>
        <v>46059</v>
      </c>
      <c r="D5396" s="28">
        <f>IFERROR(__xludf.DUMMYFUNCTION("""COMPUTED_VALUE"""),46209.0)</f>
        <v>46209</v>
      </c>
      <c r="E5396" s="26">
        <f>IFERROR(__xludf.DUMMYFUNCTION("""COMPUTED_VALUE"""),366296.0)</f>
        <v>366296</v>
      </c>
      <c r="F5396" s="22" t="str">
        <f>IFERROR(__xludf.DUMMYFUNCTION("""COMPUTED_VALUE"""),"東国常務とヒミツの甘あま暮らし")</f>
        <v>東国常務とヒミツの甘あま暮らし</v>
      </c>
      <c r="G5396" s="20" t="str">
        <f>IFERROR(__xludf.DUMMYFUNCTION("""COMPUTED_VALUE"""),"1~6")</f>
        <v>1~6</v>
      </c>
      <c r="H5396" s="22" t="str">
        <f>IFERROR(__xludf.DUMMYFUNCTION("""COMPUTED_VALUE"""),"コミックかのん 伊月澄 サイトウユリ")</f>
        <v>コミックかのん 伊月澄 サイトウユリ</v>
      </c>
      <c r="I5396" s="22" t="str">
        <f>IFERROR(__xludf.DUMMYFUNCTION("""COMPUTED_VALUE"""),"女性")</f>
        <v>女性</v>
      </c>
      <c r="J5396" s="22"/>
      <c r="K5396" s="22" t="str">
        <f>IFERROR(__xludf.DUMMYFUNCTION("""COMPUTED_VALUE"""),"コミックかのん")</f>
        <v>コミックかのん</v>
      </c>
      <c r="L5396" s="22" t="str">
        <f>IFERROR(__xludf.DUMMYFUNCTION("""COMPUTED_VALUE"""),"飛鳥新社")</f>
        <v>飛鳥新社</v>
      </c>
      <c r="M5396" s="33">
        <f>IFERROR(__xludf.DUMMYFUNCTION("""COMPUTED_VALUE"""),46220.0)</f>
        <v>46220</v>
      </c>
      <c r="N5396" s="33">
        <f>IFERROR(__xludf.DUMMYFUNCTION("""COMPUTED_VALUE"""),46311.0)</f>
        <v>46311</v>
      </c>
      <c r="O5396" s="20"/>
      <c r="P5396" s="32" t="str">
        <f>IFERROR(__xludf.DUMMYFUNCTION("""COMPUTED_VALUE"""),"可")</f>
        <v>可</v>
      </c>
      <c r="Q5396" s="30" t="str">
        <f>IFERROR(__xludf.DUMMYFUNCTION("""COMPUTED_VALUE"""),"9話完結です。")</f>
        <v>9話完結です。</v>
      </c>
      <c r="R5396" s="22"/>
      <c r="S5396" s="22" t="str">
        <f>IFERROR(__xludf.DUMMYFUNCTION("""COMPUTED_VALUE"""),"260616_飛鳥新社_東国常務とヒミツの甘あま暮らし")</f>
        <v>260616_飛鳥新社_東国常務とヒミツの甘あま暮らし</v>
      </c>
      <c r="T5396" s="22" t="str">
        <f>IFERROR(__xludf.DUMMYFUNCTION("""COMPUTED_VALUE"""),"格納済み")</f>
        <v>格納済み</v>
      </c>
      <c r="U5396" s="9" t="str">
        <f>IFERROR(__xludf.DUMMYFUNCTION("""COMPUTED_VALUE"""),"©コミックかのん・伊月澄・サイトウユリ/飛鳥新社")</f>
        <v>©コミックかのん・伊月澄・サイトウユリ/飛鳥新社</v>
      </c>
      <c r="V5396" s="8"/>
      <c r="W5396" s="8"/>
      <c r="X5396" s="8" t="str">
        <f>IFERROR(__xludf.DUMMYFUNCTION("""COMPUTED_VALUE"""),"有")</f>
        <v>有</v>
      </c>
      <c r="Y5396" s="8" t="str">
        <f>IFERROR(__xludf.DUMMYFUNCTION("""COMPUTED_VALUE"""),"2026/7/30まで1～3巻無料")</f>
        <v>2026/7/30まで1～3巻無料</v>
      </c>
      <c r="Z5396" s="7"/>
      <c r="AA5396" s="7"/>
      <c r="AB5396" s="7"/>
    </row>
    <row r="5397" ht="15.75" customHeight="1">
      <c r="A5397" s="26">
        <f>IFERROR(__xludf.DUMMYFUNCTION("""COMPUTED_VALUE"""),7781.0)</f>
        <v>7781</v>
      </c>
      <c r="B5397" s="22" t="str">
        <f>IFERROR(__xludf.DUMMYFUNCTION("""COMPUTED_VALUE"""),"確定")</f>
        <v>確定</v>
      </c>
      <c r="C5397" s="28">
        <f>IFERROR(__xludf.DUMMYFUNCTION("""COMPUTED_VALUE"""),46112.0)</f>
        <v>46112</v>
      </c>
      <c r="D5397" s="28">
        <f>IFERROR(__xludf.DUMMYFUNCTION("""COMPUTED_VALUE"""),46189.0)</f>
        <v>46189</v>
      </c>
      <c r="E5397" s="26">
        <f>IFERROR(__xludf.DUMMYFUNCTION("""COMPUTED_VALUE"""),363892.0)</f>
        <v>363892</v>
      </c>
      <c r="F5397" s="22" t="str">
        <f>IFERROR(__xludf.DUMMYFUNCTION("""COMPUTED_VALUE"""),"双子公爵の執心～貧乏令嬢の私が名門公爵家でこんなに溺愛されるなんて～【単話】")</f>
        <v>双子公爵の執心～貧乏令嬢の私が名門公爵家でこんなに溺愛されるなんて～【単話】</v>
      </c>
      <c r="G5397" s="20" t="str">
        <f>IFERROR(__xludf.DUMMYFUNCTION("""COMPUTED_VALUE"""),"1~4")</f>
        <v>1~4</v>
      </c>
      <c r="H5397" s="22" t="str">
        <f>IFERROR(__xludf.DUMMYFUNCTION("""COMPUTED_VALUE"""),"小林央┴シャインパートナーズ┴Ｙｅｏｎｈｏｎｇ")</f>
        <v>小林央┴シャインパートナーズ┴Ｙｅｏｎｈｏｎｇ</v>
      </c>
      <c r="I5397" s="22" t="str">
        <f>IFERROR(__xludf.DUMMYFUNCTION("""COMPUTED_VALUE"""),"女性")</f>
        <v>女性</v>
      </c>
      <c r="J5397" s="22"/>
      <c r="K5397" s="22"/>
      <c r="L5397" s="22" t="str">
        <f>IFERROR(__xludf.DUMMYFUNCTION("""COMPUTED_VALUE"""),"小学館")</f>
        <v>小学館</v>
      </c>
      <c r="M5397" s="33">
        <f>IFERROR(__xludf.DUMMYFUNCTION("""COMPUTED_VALUE"""),46203.0)</f>
        <v>46203</v>
      </c>
      <c r="N5397" s="33">
        <f>IFERROR(__xludf.DUMMYFUNCTION("""COMPUTED_VALUE"""),46263.0)</f>
        <v>46263</v>
      </c>
      <c r="O5397" s="20"/>
      <c r="P5397" s="32" t="str">
        <f>IFERROR(__xludf.DUMMYFUNCTION("""COMPUTED_VALUE"""),"否")</f>
        <v>否</v>
      </c>
      <c r="Q5397" s="30"/>
      <c r="R5397" s="22" t="str">
        <f>IFERROR(__xludf.DUMMYFUNCTION("""COMPUTED_VALUE"""),"コミットNG")</f>
        <v>コミットNG</v>
      </c>
      <c r="S5397" s="22" t="str">
        <f>IFERROR(__xludf.DUMMYFUNCTION("""COMPUTED_VALUE"""),"20260616_小学館_双子公爵の執心～貧乏令嬢の私が名門公爵家でこんなに溺愛されるなんて～【単話】")</f>
        <v>20260616_小学館_双子公爵の執心～貧乏令嬢の私が名門公爵家でこんなに溺愛されるなんて～【単話】</v>
      </c>
      <c r="T5397" s="22" t="str">
        <f>IFERROR(__xludf.DUMMYFUNCTION("""COMPUTED_VALUE"""),"格納済み")</f>
        <v>格納済み</v>
      </c>
      <c r="U5397" s="9" t="str">
        <f>IFERROR(__xludf.DUMMYFUNCTION("""COMPUTED_VALUE"""),"(C)STUDIO SEED / 小学館")</f>
        <v>(C)STUDIO SEED / 小学館</v>
      </c>
      <c r="V5397" s="8"/>
      <c r="W5397" s="8"/>
      <c r="X5397" s="8" t="str">
        <f>IFERROR(__xludf.DUMMYFUNCTION("""COMPUTED_VALUE"""),"有")</f>
        <v>有</v>
      </c>
      <c r="Y5397" s="8" t="str">
        <f>IFERROR(__xludf.DUMMYFUNCTION("""COMPUTED_VALUE"""),"1巻永久無料")</f>
        <v>1巻永久無料</v>
      </c>
      <c r="Z5397" s="7"/>
      <c r="AA5397" s="7"/>
      <c r="AB5397" s="7"/>
    </row>
    <row r="5398" ht="15.75" customHeight="1">
      <c r="A5398" s="26">
        <f>IFERROR(__xludf.DUMMYFUNCTION("""COMPUTED_VALUE"""),7986.0)</f>
        <v>7986</v>
      </c>
      <c r="B5398" s="22" t="str">
        <f>IFERROR(__xludf.DUMMYFUNCTION("""COMPUTED_VALUE"""),"確定")</f>
        <v>確定</v>
      </c>
      <c r="C5398" s="28">
        <f>IFERROR(__xludf.DUMMYFUNCTION("""COMPUTED_VALUE"""),46155.0)</f>
        <v>46155</v>
      </c>
      <c r="D5398" s="28">
        <f>IFERROR(__xludf.DUMMYFUNCTION("""COMPUTED_VALUE"""),46189.0)</f>
        <v>46189</v>
      </c>
      <c r="E5398" s="26">
        <f>IFERROR(__xludf.DUMMYFUNCTION("""COMPUTED_VALUE"""),363604.0)</f>
        <v>363604</v>
      </c>
      <c r="F5398" s="22" t="str">
        <f>IFERROR(__xludf.DUMMYFUNCTION("""COMPUTED_VALUE"""),"どうせ結末は変わらないのだと開き直ってみましたら～11回目の人生では我慢せずに好きなことをして生きていきます～")</f>
        <v>どうせ結末は変わらないのだと開き直ってみましたら～11回目の人生では我慢せずに好きなことをして生きていきます～</v>
      </c>
      <c r="G5398" s="20" t="str">
        <f>IFERROR(__xludf.DUMMYFUNCTION("""COMPUTED_VALUE"""),"1~5")</f>
        <v>1~5</v>
      </c>
      <c r="H5398" s="22" t="str">
        <f>IFERROR(__xludf.DUMMYFUNCTION("""COMPUTED_VALUE"""),"蒼,風見ゆうみ,倉林")</f>
        <v>蒼,風見ゆうみ,倉林</v>
      </c>
      <c r="I5398" s="22" t="str">
        <f>IFERROR(__xludf.DUMMYFUNCTION("""COMPUTED_VALUE"""),"女性マンガ")</f>
        <v>女性マンガ</v>
      </c>
      <c r="J5398" s="22"/>
      <c r="K5398" s="22"/>
      <c r="L5398" s="22" t="str">
        <f>IFERROR(__xludf.DUMMYFUNCTION("""COMPUTED_VALUE"""),"マンガボックス")</f>
        <v>マンガボックス</v>
      </c>
      <c r="M5398" s="33">
        <f>IFERROR(__xludf.DUMMYFUNCTION("""COMPUTED_VALUE"""),46189.0)</f>
        <v>46189</v>
      </c>
      <c r="N5398" s="33">
        <f>IFERROR(__xludf.DUMMYFUNCTION("""COMPUTED_VALUE"""),46280.0)</f>
        <v>46280</v>
      </c>
      <c r="O5398" s="20"/>
      <c r="P5398" s="32" t="str">
        <f>IFERROR(__xludf.DUMMYFUNCTION("""COMPUTED_VALUE"""),"否")</f>
        <v>否</v>
      </c>
      <c r="Q5398" s="30"/>
      <c r="R5398" s="22"/>
      <c r="S5398" s="22" t="str">
        <f>IFERROR(__xludf.DUMMYFUNCTION("""COMPUTED_VALUE"""),"20260513_マンガボックス_どうせ結末は変わらないのだと開き直ってみましたら～11回目の人生では我慢せずに好きなことをして生きていきます～")</f>
        <v>20260513_マンガボックス_どうせ結末は変わらないのだと開き直ってみましたら～11回目の人生では我慢せずに好きなことをして生きていきます～</v>
      </c>
      <c r="T5398" s="22" t="str">
        <f>IFERROR(__xludf.DUMMYFUNCTION("""COMPUTED_VALUE"""),"格納済み")</f>
        <v>格納済み</v>
      </c>
      <c r="U5398" s="9" t="str">
        <f>IFERROR(__xludf.DUMMYFUNCTION("""COMPUTED_VALUE"""),"Ⓒ倉林・風見ゆうみ・ツギクル・キャラクター原案：蒼/マンガボックス")</f>
        <v>Ⓒ倉林・風見ゆうみ・ツギクル・キャラクター原案：蒼/マンガボックス</v>
      </c>
      <c r="V5398" s="8"/>
      <c r="W5398" s="8"/>
      <c r="X5398" s="8"/>
      <c r="Y5398" s="8"/>
      <c r="Z5398" s="7"/>
      <c r="AA5398" s="7"/>
      <c r="AB5398" s="7"/>
    </row>
    <row r="5399" ht="15.75" customHeight="1">
      <c r="A5399" s="26">
        <f>IFERROR(__xludf.DUMMYFUNCTION("""COMPUTED_VALUE"""),8054.0)</f>
        <v>8054</v>
      </c>
      <c r="B5399" s="22" t="str">
        <f>IFERROR(__xludf.DUMMYFUNCTION("""COMPUTED_VALUE"""),"確定")</f>
        <v>確定</v>
      </c>
      <c r="C5399" s="28">
        <f>IFERROR(__xludf.DUMMYFUNCTION("""COMPUTED_VALUE"""),46162.0)</f>
        <v>46162</v>
      </c>
      <c r="D5399" s="28">
        <f>IFERROR(__xludf.DUMMYFUNCTION("""COMPUTED_VALUE"""),46190.0)</f>
        <v>46190</v>
      </c>
      <c r="E5399" s="26">
        <f>IFERROR(__xludf.DUMMYFUNCTION("""COMPUTED_VALUE"""),366240.0)</f>
        <v>366240</v>
      </c>
      <c r="F5399" s="22" t="str">
        <f>IFERROR(__xludf.DUMMYFUNCTION("""COMPUTED_VALUE"""),"セラピスト烏丸さんの容赦ない甘責めに溺れています【R版】")</f>
        <v>セラピスト烏丸さんの容赦ない甘責めに溺れています【R版】</v>
      </c>
      <c r="G5399" s="20" t="str">
        <f>IFERROR(__xludf.DUMMYFUNCTION("""COMPUTED_VALUE"""),"1～2")</f>
        <v>1～2</v>
      </c>
      <c r="H5399" s="22" t="str">
        <f>IFERROR(__xludf.DUMMYFUNCTION("""COMPUTED_VALUE"""),"Kani")</f>
        <v>Kani</v>
      </c>
      <c r="I5399" s="22" t="str">
        <f>IFERROR(__xludf.DUMMYFUNCTION("""COMPUTED_VALUE"""),"アダルト")</f>
        <v>アダルト</v>
      </c>
      <c r="J5399" s="22"/>
      <c r="K5399" s="22" t="str">
        <f>IFERROR(__xludf.DUMMYFUNCTION("""COMPUTED_VALUE"""),"＠夜噺+")</f>
        <v>＠夜噺+</v>
      </c>
      <c r="L5399" s="22" t="str">
        <f>IFERROR(__xludf.DUMMYFUNCTION("""COMPUTED_VALUE"""),"DEEPER-ZERO")</f>
        <v>DEEPER-ZERO</v>
      </c>
      <c r="M5399" s="33">
        <f>IFERROR(__xludf.DUMMYFUNCTION("""COMPUTED_VALUE"""),46219.0)</f>
        <v>46219</v>
      </c>
      <c r="N5399" s="33">
        <f>IFERROR(__xludf.DUMMYFUNCTION("""COMPUTED_VALUE"""),46281.0)</f>
        <v>46281</v>
      </c>
      <c r="O5399" s="20"/>
      <c r="P5399" s="32" t="str">
        <f>IFERROR(__xludf.DUMMYFUNCTION("""COMPUTED_VALUE"""),"可")</f>
        <v>可</v>
      </c>
      <c r="Q5399" s="30"/>
      <c r="R5399" s="22"/>
      <c r="S5399" s="22" t="str">
        <f>IFERROR(__xludf.DUMMYFUNCTION("""COMPUTED_VALUE"""),"20260615_DEEPER-ZERO_セラピスト烏丸さんの容赦ない甘責めに溺れています")</f>
        <v>20260615_DEEPER-ZERO_セラピスト烏丸さんの容赦ない甘責めに溺れています</v>
      </c>
      <c r="T5399" s="22" t="str">
        <f>IFERROR(__xludf.DUMMYFUNCTION("""COMPUTED_VALUE"""),"格納済み")</f>
        <v>格納済み</v>
      </c>
      <c r="U5399" s="9" t="str">
        <f>IFERROR(__xludf.DUMMYFUNCTION("""COMPUTED_VALUE"""),"ⒸKani/DEEPER-ZERO")</f>
        <v>ⒸKani/DEEPER-ZERO</v>
      </c>
      <c r="V5399" s="8"/>
      <c r="W5399" s="8"/>
      <c r="X5399" s="8" t="str">
        <f>IFERROR(__xludf.DUMMYFUNCTION("""COMPUTED_VALUE"""),"有")</f>
        <v>有</v>
      </c>
      <c r="Y5399" s="8" t="str">
        <f>IFERROR(__xludf.DUMMYFUNCTION("""COMPUTED_VALUE"""),"2026/7/29まで1巻p17まで立ち読み増量")</f>
        <v>2026/7/29まで1巻p17まで立ち読み増量</v>
      </c>
      <c r="Z5399" s="7"/>
      <c r="AA5399" s="7"/>
      <c r="AB5399" s="7"/>
    </row>
    <row r="5400" ht="15.75" customHeight="1">
      <c r="A5400" s="26">
        <f>IFERROR(__xludf.DUMMYFUNCTION("""COMPUTED_VALUE"""),8057.0)</f>
        <v>8057</v>
      </c>
      <c r="B5400" s="22" t="str">
        <f>IFERROR(__xludf.DUMMYFUNCTION("""COMPUTED_VALUE"""),"確定")</f>
        <v>確定</v>
      </c>
      <c r="C5400" s="28">
        <f>IFERROR(__xludf.DUMMYFUNCTION("""COMPUTED_VALUE"""),46162.0)</f>
        <v>46162</v>
      </c>
      <c r="D5400" s="28">
        <f>IFERROR(__xludf.DUMMYFUNCTION("""COMPUTED_VALUE"""),46185.0)</f>
        <v>46185</v>
      </c>
      <c r="E5400" s="26">
        <f>IFERROR(__xludf.DUMMYFUNCTION("""COMPUTED_VALUE"""),366439.0)</f>
        <v>366439</v>
      </c>
      <c r="F5400" s="22" t="str">
        <f>IFERROR(__xludf.DUMMYFUNCTION("""COMPUTED_VALUE"""),"えっちな顔をもう一度見たい！【マイクロ】")</f>
        <v>えっちな顔をもう一度見たい！【マイクロ】</v>
      </c>
      <c r="G5400" s="20" t="str">
        <f>IFERROR(__xludf.DUMMYFUNCTION("""COMPUTED_VALUE"""),"1~3")</f>
        <v>1~3</v>
      </c>
      <c r="H5400" s="22" t="str">
        <f>IFERROR(__xludf.DUMMYFUNCTION("""COMPUTED_VALUE"""),"花丸ぺこ")</f>
        <v>花丸ぺこ</v>
      </c>
      <c r="I5400" s="22" t="str">
        <f>IFERROR(__xludf.DUMMYFUNCTION("""COMPUTED_VALUE"""),"女性")</f>
        <v>女性</v>
      </c>
      <c r="J5400" s="22"/>
      <c r="K5400" s="22" t="str">
        <f>IFERROR(__xludf.DUMMYFUNCTION("""COMPUTED_VALUE"""),"プレミアCheese！")</f>
        <v>プレミアCheese！</v>
      </c>
      <c r="L5400" s="22" t="str">
        <f>IFERROR(__xludf.DUMMYFUNCTION("""COMPUTED_VALUE"""),"小学館")</f>
        <v>小学館</v>
      </c>
      <c r="M5400" s="33">
        <f>IFERROR(__xludf.DUMMYFUNCTION("""COMPUTED_VALUE"""),46205.0)</f>
        <v>46205</v>
      </c>
      <c r="N5400" s="33">
        <f>IFERROR(__xludf.DUMMYFUNCTION("""COMPUTED_VALUE"""),46266.0)</f>
        <v>46266</v>
      </c>
      <c r="O5400" s="20"/>
      <c r="P5400" s="32" t="str">
        <f>IFERROR(__xludf.DUMMYFUNCTION("""COMPUTED_VALUE"""),"可")</f>
        <v>可</v>
      </c>
      <c r="Q5400" s="30" t="str">
        <f>IFERROR(__xludf.DUMMYFUNCTION("""COMPUTED_VALUE"""),"『泣き虫をチャラ婚約者にした覚えはない！』の先生の新作です。 ※タイトルに「えっち」というワードがございますが、広告的にNGでしたら広告はタイトルなしにて作成いただいて問題ございません。&lt;BR&gt; ＜あらすじ＞ 高校時代に見た速水くんの”あの顔”が、どうしても忘れられなかったひより。そんな彼と、同窓会で再会！当時は何もできなかったけど、今なら…！！ あざと攻め女子×実は一途なチャラ男子の、マウント取り合いラブコメ！！")</f>
        <v>『泣き虫をチャラ婚約者にした覚えはない！』の先生の新作です。 ※タイトルに「えっち」というワードがございますが、広告的にNGでしたら広告はタイトルなしにて作成いただいて問題ございません。&lt;BR&gt; ＜あらすじ＞ 高校時代に見た速水くんの”あの顔”が、どうしても忘れられなかったひより。そんな彼と、同窓会で再会！当時は何もできなかったけど、今なら…！！ あざと攻め女子×実は一途なチャラ男子の、マウント取り合いラブコメ！！</v>
      </c>
      <c r="R5400" s="22"/>
      <c r="S5400" s="22" t="str">
        <f>IFERROR(__xludf.DUMMYFUNCTION("""COMPUTED_VALUE"""),"20260610_小学館_えっちな顔をもう一度見たい！【マイクロ】")</f>
        <v>20260610_小学館_えっちな顔をもう一度見たい！【マイクロ】</v>
      </c>
      <c r="T5400" s="22" t="str">
        <f>IFERROR(__xludf.DUMMYFUNCTION("""COMPUTED_VALUE"""),"格納済み")</f>
        <v>格納済み</v>
      </c>
      <c r="U5400" s="9" t="str">
        <f>IFERROR(__xludf.DUMMYFUNCTION("""COMPUTED_VALUE"""),"(C)花丸ぺこ / 小学館")</f>
        <v>(C)花丸ぺこ / 小学館</v>
      </c>
      <c r="V5400" s="8"/>
      <c r="W5400" s="8"/>
      <c r="X5400" s="8" t="str">
        <f>IFERROR(__xludf.DUMMYFUNCTION("""COMPUTED_VALUE"""),"有")</f>
        <v>有</v>
      </c>
      <c r="Y5400" s="8" t="str">
        <f>IFERROR(__xludf.DUMMYFUNCTION("""COMPUTED_VALUE"""),"2026/7/15まで1巻無料")</f>
        <v>2026/7/15まで1巻無料</v>
      </c>
      <c r="Z5400" s="7"/>
      <c r="AA5400" s="7"/>
      <c r="AB5400" s="7"/>
    </row>
    <row r="5401" ht="15.75" customHeight="1">
      <c r="A5401" s="26">
        <f>IFERROR(__xludf.DUMMYFUNCTION("""COMPUTED_VALUE"""),8099.0)</f>
        <v>8099</v>
      </c>
      <c r="B5401" s="22" t="str">
        <f>IFERROR(__xludf.DUMMYFUNCTION("""COMPUTED_VALUE"""),"確定")</f>
        <v>確定</v>
      </c>
      <c r="C5401" s="28">
        <f>IFERROR(__xludf.DUMMYFUNCTION("""COMPUTED_VALUE"""),46168.0)</f>
        <v>46168</v>
      </c>
      <c r="D5401" s="28">
        <f>IFERROR(__xludf.DUMMYFUNCTION("""COMPUTED_VALUE"""),46190.0)</f>
        <v>46190</v>
      </c>
      <c r="E5401" s="26">
        <f>IFERROR(__xludf.DUMMYFUNCTION("""COMPUTED_VALUE"""),366270.0)</f>
        <v>366270</v>
      </c>
      <c r="F5401" s="22" t="str">
        <f>IFERROR(__xludf.DUMMYFUNCTION("""COMPUTED_VALUE"""),"人格破壊スワッピング～ヤバい先輩に最愛の妻を献上した情けない僕～【R版】")</f>
        <v>人格破壊スワッピング～ヤバい先輩に最愛の妻を献上した情けない僕～【R版】</v>
      </c>
      <c r="G5401" s="20" t="str">
        <f>IFERROR(__xludf.DUMMYFUNCTION("""COMPUTED_VALUE"""),"1～4")</f>
        <v>1～4</v>
      </c>
      <c r="H5401" s="22" t="str">
        <f>IFERROR(__xludf.DUMMYFUNCTION("""COMPUTED_VALUE"""),"kika＝ざる")</f>
        <v>kika＝ざる</v>
      </c>
      <c r="I5401" s="22" t="str">
        <f>IFERROR(__xludf.DUMMYFUNCTION("""COMPUTED_VALUE"""),"アダルト")</f>
        <v>アダルト</v>
      </c>
      <c r="J5401" s="22"/>
      <c r="K5401" s="22" t="str">
        <f>IFERROR(__xludf.DUMMYFUNCTION("""COMPUTED_VALUE"""),"もえスタビースト")</f>
        <v>もえスタビースト</v>
      </c>
      <c r="L5401" s="22" t="str">
        <f>IFERROR(__xludf.DUMMYFUNCTION("""COMPUTED_VALUE"""),"DEEPER-ZERO")</f>
        <v>DEEPER-ZERO</v>
      </c>
      <c r="M5401" s="33">
        <f>IFERROR(__xludf.DUMMYFUNCTION("""COMPUTED_VALUE"""),46221.0)</f>
        <v>46221</v>
      </c>
      <c r="N5401" s="33">
        <f>IFERROR(__xludf.DUMMYFUNCTION("""COMPUTED_VALUE"""),46283.0)</f>
        <v>46283</v>
      </c>
      <c r="O5401" s="20"/>
      <c r="P5401" s="32" t="str">
        <f>IFERROR(__xludf.DUMMYFUNCTION("""COMPUTED_VALUE"""),"可")</f>
        <v>可</v>
      </c>
      <c r="Q5401" s="30"/>
      <c r="R5401" s="22"/>
      <c r="S5401" s="22" t="str">
        <f>IFERROR(__xludf.DUMMYFUNCTION("""COMPUTED_VALUE"""),"20260617_CLLENN_人格破壊スワッピング～ヤバい先輩に最愛の妻を献上した情けない僕～")</f>
        <v>20260617_CLLENN_人格破壊スワッピング～ヤバい先輩に最愛の妻を献上した情けない僕～</v>
      </c>
      <c r="T5401" s="22" t="str">
        <f>IFERROR(__xludf.DUMMYFUNCTION("""COMPUTED_VALUE"""),"格納済み")</f>
        <v>格納済み</v>
      </c>
      <c r="U5401" s="9" t="str">
        <f>IFERROR(__xludf.DUMMYFUNCTION("""COMPUTED_VALUE"""),"Ⓒkika＝ざる/DEEPER-ZERO")</f>
        <v>Ⓒkika＝ざる/DEEPER-ZERO</v>
      </c>
      <c r="V5401" s="8"/>
      <c r="W5401" s="8"/>
      <c r="X5401" s="8" t="str">
        <f>IFERROR(__xludf.DUMMYFUNCTION("""COMPUTED_VALUE"""),"有")</f>
        <v>有</v>
      </c>
      <c r="Y5401" s="8" t="str">
        <f>IFERROR(__xludf.DUMMYFUNCTION("""COMPUTED_VALUE"""),"2026/7/31まで1巻無料")</f>
        <v>2026/7/31まで1巻無料</v>
      </c>
      <c r="Z5401" s="7"/>
      <c r="AA5401" s="7"/>
      <c r="AB5401" s="7"/>
    </row>
    <row r="5402" ht="15.75" customHeight="1">
      <c r="A5402" s="26">
        <f>IFERROR(__xludf.DUMMYFUNCTION("""COMPUTED_VALUE"""),8118.0)</f>
        <v>8118</v>
      </c>
      <c r="B5402" s="22" t="str">
        <f>IFERROR(__xludf.DUMMYFUNCTION("""COMPUTED_VALUE"""),"確定")</f>
        <v>確定</v>
      </c>
      <c r="C5402" s="28">
        <f>IFERROR(__xludf.DUMMYFUNCTION("""COMPUTED_VALUE"""),46170.0)</f>
        <v>46170</v>
      </c>
      <c r="D5402" s="28">
        <f>IFERROR(__xludf.DUMMYFUNCTION("""COMPUTED_VALUE"""),46188.0)</f>
        <v>46188</v>
      </c>
      <c r="E5402" s="26">
        <f>IFERROR(__xludf.DUMMYFUNCTION("""COMPUTED_VALUE"""),366721.0)</f>
        <v>366721</v>
      </c>
      <c r="F5402" s="22" t="str">
        <f>IFERROR(__xludf.DUMMYFUNCTION("""COMPUTED_VALUE"""),"もう一度、きみに「おかえり」を")</f>
        <v>もう一度、きみに「おかえり」を</v>
      </c>
      <c r="G5402" s="20" t="str">
        <f>IFERROR(__xludf.DUMMYFUNCTION("""COMPUTED_VALUE"""),"1～2")</f>
        <v>1～2</v>
      </c>
      <c r="H5402" s="22" t="str">
        <f>IFERROR(__xludf.DUMMYFUNCTION("""COMPUTED_VALUE"""),"橘花みなと")</f>
        <v>橘花みなと</v>
      </c>
      <c r="I5402" s="22" t="str">
        <f>IFERROR(__xludf.DUMMYFUNCTION("""COMPUTED_VALUE"""),"BL")</f>
        <v>BL</v>
      </c>
      <c r="J5402" s="22"/>
      <c r="K5402" s="22" t="str">
        <f>IFERROR(__xludf.DUMMYFUNCTION("""COMPUTED_VALUE"""),"NuPu")</f>
        <v>NuPu</v>
      </c>
      <c r="L5402" s="22" t="str">
        <f>IFERROR(__xludf.DUMMYFUNCTION("""COMPUTED_VALUE"""),"CLLENN")</f>
        <v>CLLENN</v>
      </c>
      <c r="M5402" s="33">
        <f>IFERROR(__xludf.DUMMYFUNCTION("""COMPUTED_VALUE"""),46219.0)</f>
        <v>46219</v>
      </c>
      <c r="N5402" s="33">
        <f>IFERROR(__xludf.DUMMYFUNCTION("""COMPUTED_VALUE"""),46281.0)</f>
        <v>46281</v>
      </c>
      <c r="O5402" s="20"/>
      <c r="P5402" s="32" t="str">
        <f>IFERROR(__xludf.DUMMYFUNCTION("""COMPUTED_VALUE"""),"可")</f>
        <v>可</v>
      </c>
      <c r="Q5402" s="30"/>
      <c r="R5402" s="22"/>
      <c r="S5402" s="22" t="str">
        <f>IFERROR(__xludf.DUMMYFUNCTION("""COMPUTED_VALUE"""),"20260610_CLLENN_もう一度、きみに「おかえり」を")</f>
        <v>20260610_CLLENN_もう一度、きみに「おかえり」を</v>
      </c>
      <c r="T5402" s="22" t="str">
        <f>IFERROR(__xludf.DUMMYFUNCTION("""COMPUTED_VALUE"""),"格納済み")</f>
        <v>格納済み</v>
      </c>
      <c r="U5402" s="9" t="str">
        <f>IFERROR(__xludf.DUMMYFUNCTION("""COMPUTED_VALUE"""),"Ⓒ橘花みなと/CLLENN")</f>
        <v>Ⓒ橘花みなと/CLLENN</v>
      </c>
      <c r="V5402" s="8"/>
      <c r="W5402" s="8"/>
      <c r="X5402" s="8" t="str">
        <f>IFERROR(__xludf.DUMMYFUNCTION("""COMPUTED_VALUE"""),"有")</f>
        <v>有</v>
      </c>
      <c r="Y5402" s="8" t="str">
        <f>IFERROR(__xludf.DUMMYFUNCTION("""COMPUTED_VALUE"""),"2026/7/29まで1巻p19まで立ち読み増量")</f>
        <v>2026/7/29まで1巻p19まで立ち読み増量</v>
      </c>
      <c r="Z5402" s="7"/>
      <c r="AA5402" s="7"/>
      <c r="AB5402" s="7"/>
    </row>
    <row r="5403" ht="15.75" customHeight="1">
      <c r="A5403" s="26">
        <f>IFERROR(__xludf.DUMMYFUNCTION("""COMPUTED_VALUE"""),8125.0)</f>
        <v>8125</v>
      </c>
      <c r="B5403" s="22" t="str">
        <f>IFERROR(__xludf.DUMMYFUNCTION("""COMPUTED_VALUE"""),"確定")</f>
        <v>確定</v>
      </c>
      <c r="C5403" s="28">
        <f>IFERROR(__xludf.DUMMYFUNCTION("""COMPUTED_VALUE"""),46174.0)</f>
        <v>46174</v>
      </c>
      <c r="D5403" s="28">
        <f>IFERROR(__xludf.DUMMYFUNCTION("""COMPUTED_VALUE"""),46189.0)</f>
        <v>46189</v>
      </c>
      <c r="E5403" s="26">
        <f>IFERROR(__xludf.DUMMYFUNCTION("""COMPUTED_VALUE"""),363921.0)</f>
        <v>363921</v>
      </c>
      <c r="F5403" s="22" t="str">
        <f>IFERROR(__xludf.DUMMYFUNCTION("""COMPUTED_VALUE"""),"今も昔も隣に住んでる凪兄ちゃんは今日も違う女を抱いてる【R版】")</f>
        <v>今も昔も隣に住んでる凪兄ちゃんは今日も違う女を抱いてる【R版】</v>
      </c>
      <c r="G5403" s="20" t="str">
        <f>IFERROR(__xludf.DUMMYFUNCTION("""COMPUTED_VALUE"""),"1~4")</f>
        <v>1~4</v>
      </c>
      <c r="H5403" s="22" t="str">
        <f>IFERROR(__xludf.DUMMYFUNCTION("""COMPUTED_VALUE"""),"melisma┴キケンな男子図鑑┴てちとし")</f>
        <v>melisma┴キケンな男子図鑑┴てちとし</v>
      </c>
      <c r="I5403" s="22" t="str">
        <f>IFERROR(__xludf.DUMMYFUNCTION("""COMPUTED_VALUE"""),"アダルト")</f>
        <v>アダルト</v>
      </c>
      <c r="J5403" s="22"/>
      <c r="K5403" s="22"/>
      <c r="L5403" s="22" t="str">
        <f>IFERROR(__xludf.DUMMYFUNCTION("""COMPUTED_VALUE"""),"BBB")</f>
        <v>BBB</v>
      </c>
      <c r="M5403" s="33">
        <f>IFERROR(__xludf.DUMMYFUNCTION("""COMPUTED_VALUE"""),46201.0)</f>
        <v>46201</v>
      </c>
      <c r="N5403" s="33">
        <f>IFERROR(__xludf.DUMMYFUNCTION("""COMPUTED_VALUE"""),46292.0)</f>
        <v>46292</v>
      </c>
      <c r="O5403" s="20"/>
      <c r="P5403" s="32" t="str">
        <f>IFERROR(__xludf.DUMMYFUNCTION("""COMPUTED_VALUE"""),"可")</f>
        <v>可</v>
      </c>
      <c r="Q5403" s="30" t="str">
        <f>IFERROR(__xludf.DUMMYFUNCTION("""COMPUTED_VALUE"""),"格納素材を4分割して初回1~4巻として配信します。&lt;BR&gt;TL版も同時配信予定。")</f>
        <v>格納素材を4分割して初回1~4巻として配信します。&lt;BR&gt;TL版も同時配信予定。</v>
      </c>
      <c r="R5403" s="22"/>
      <c r="S5403" s="22" t="str">
        <f>IFERROR(__xludf.DUMMYFUNCTION("""COMPUTED_VALUE"""),"20260601_BBB_今も昔も隣に住んでる凪兄ちゃんは今日も違う女を抱いてる【R版】")</f>
        <v>20260601_BBB_今も昔も隣に住んでる凪兄ちゃんは今日も違う女を抱いてる【R版】</v>
      </c>
      <c r="T5403" s="22" t="str">
        <f>IFERROR(__xludf.DUMMYFUNCTION("""COMPUTED_VALUE"""),"格納済み")</f>
        <v>格納済み</v>
      </c>
      <c r="U5403" s="9" t="str">
        <f>IFERROR(__xludf.DUMMYFUNCTION("""COMPUTED_VALUE"""),"Ⓒmelisma/てちとし/キケンな男子図鑑/CaleidoComics")</f>
        <v>Ⓒmelisma/てちとし/キケンな男子図鑑/CaleidoComics</v>
      </c>
      <c r="V5403" s="8"/>
      <c r="W5403" s="8"/>
      <c r="X5403" s="8" t="str">
        <f>IFERROR(__xludf.DUMMYFUNCTION("""COMPUTED_VALUE"""),"有")</f>
        <v>有</v>
      </c>
      <c r="Y5403" s="8" t="str">
        <f>IFERROR(__xludf.DUMMYFUNCTION("""COMPUTED_VALUE"""),"2026/7/27まで1巻無料")</f>
        <v>2026/7/27まで1巻無料</v>
      </c>
      <c r="Z5403" s="7"/>
      <c r="AA5403" s="7"/>
      <c r="AB5403" s="7"/>
    </row>
    <row r="5404" ht="15.75" customHeight="1">
      <c r="A5404" s="26">
        <f>IFERROR(__xludf.DUMMYFUNCTION("""COMPUTED_VALUE"""),8126.0)</f>
        <v>8126</v>
      </c>
      <c r="B5404" s="22" t="str">
        <f>IFERROR(__xludf.DUMMYFUNCTION("""COMPUTED_VALUE"""),"確定")</f>
        <v>確定</v>
      </c>
      <c r="C5404" s="28">
        <f>IFERROR(__xludf.DUMMYFUNCTION("""COMPUTED_VALUE"""),46174.0)</f>
        <v>46174</v>
      </c>
      <c r="D5404" s="28">
        <f>IFERROR(__xludf.DUMMYFUNCTION("""COMPUTED_VALUE"""),46190.0)</f>
        <v>46190</v>
      </c>
      <c r="E5404" s="26">
        <f>IFERROR(__xludf.DUMMYFUNCTION("""COMPUTED_VALUE"""),366269.0)</f>
        <v>366269</v>
      </c>
      <c r="F5404" s="22" t="str">
        <f>IFERROR(__xludf.DUMMYFUNCTION("""COMPUTED_VALUE"""),"ずっと好きだったお姉さんが全身自己開発済みの処女未亡人になってた話【R版】")</f>
        <v>ずっと好きだったお姉さんが全身自己開発済みの処女未亡人になってた話【R版】</v>
      </c>
      <c r="G5404" s="20" t="str">
        <f>IFERROR(__xludf.DUMMYFUNCTION("""COMPUTED_VALUE"""),"1~3")</f>
        <v>1~3</v>
      </c>
      <c r="H5404" s="22" t="str">
        <f>IFERROR(__xludf.DUMMYFUNCTION("""COMPUTED_VALUE"""),"る～く")</f>
        <v>る～く</v>
      </c>
      <c r="I5404" s="22" t="str">
        <f>IFERROR(__xludf.DUMMYFUNCTION("""COMPUTED_VALUE"""),"アダルト")</f>
        <v>アダルト</v>
      </c>
      <c r="J5404" s="22"/>
      <c r="K5404" s="22" t="str">
        <f>IFERROR(__xludf.DUMMYFUNCTION("""COMPUTED_VALUE"""),"もえスタビースト")</f>
        <v>もえスタビースト</v>
      </c>
      <c r="L5404" s="22" t="str">
        <f>IFERROR(__xludf.DUMMYFUNCTION("""COMPUTED_VALUE"""),"DEEPER-ZERO")</f>
        <v>DEEPER-ZERO</v>
      </c>
      <c r="M5404" s="33">
        <f>IFERROR(__xludf.DUMMYFUNCTION("""COMPUTED_VALUE"""),46221.0)</f>
        <v>46221</v>
      </c>
      <c r="N5404" s="33">
        <f>IFERROR(__xludf.DUMMYFUNCTION("""COMPUTED_VALUE"""),46283.0)</f>
        <v>46283</v>
      </c>
      <c r="O5404" s="20"/>
      <c r="P5404" s="32" t="str">
        <f>IFERROR(__xludf.DUMMYFUNCTION("""COMPUTED_VALUE"""),"可")</f>
        <v>可</v>
      </c>
      <c r="Q5404" s="30"/>
      <c r="R5404" s="22"/>
      <c r="S5404" s="22" t="str">
        <f>IFERROR(__xludf.DUMMYFUNCTION("""COMPUTED_VALUE"""),"20260615_CLLENN_ずっと好きだったお姉さんが全身自己開発済みの処女未亡人になってた話")</f>
        <v>20260615_CLLENN_ずっと好きだったお姉さんが全身自己開発済みの処女未亡人になってた話</v>
      </c>
      <c r="T5404" s="22" t="str">
        <f>IFERROR(__xludf.DUMMYFUNCTION("""COMPUTED_VALUE"""),"格納済み")</f>
        <v>格納済み</v>
      </c>
      <c r="U5404" s="9" t="str">
        <f>IFERROR(__xludf.DUMMYFUNCTION("""COMPUTED_VALUE"""),"Ⓒる～く/DEEPER-ZERO")</f>
        <v>Ⓒる～く/DEEPER-ZERO</v>
      </c>
      <c r="V5404" s="8"/>
      <c r="W5404" s="8"/>
      <c r="X5404" s="8" t="str">
        <f>IFERROR(__xludf.DUMMYFUNCTION("""COMPUTED_VALUE"""),"有")</f>
        <v>有</v>
      </c>
      <c r="Y5404" s="8" t="str">
        <f>IFERROR(__xludf.DUMMYFUNCTION("""COMPUTED_VALUE"""),"2026/7/31まで1巻無料")</f>
        <v>2026/7/31まで1巻無料</v>
      </c>
      <c r="Z5404" s="7"/>
      <c r="AA5404" s="7"/>
      <c r="AB5404" s="7"/>
    </row>
    <row r="5405" ht="15.75" customHeight="1">
      <c r="A5405" s="26">
        <f>IFERROR(__xludf.DUMMYFUNCTION("""COMPUTED_VALUE"""),8139.0)</f>
        <v>8139</v>
      </c>
      <c r="B5405" s="22" t="str">
        <f>IFERROR(__xludf.DUMMYFUNCTION("""COMPUTED_VALUE"""),"確定")</f>
        <v>確定</v>
      </c>
      <c r="C5405" s="28">
        <f>IFERROR(__xludf.DUMMYFUNCTION("""COMPUTED_VALUE"""),46177.0)</f>
        <v>46177</v>
      </c>
      <c r="D5405" s="28">
        <f>IFERROR(__xludf.DUMMYFUNCTION("""COMPUTED_VALUE"""),46203.0)</f>
        <v>46203</v>
      </c>
      <c r="E5405" s="26">
        <f>IFERROR(__xludf.DUMMYFUNCTION("""COMPUTED_VALUE"""),362199.0)</f>
        <v>362199</v>
      </c>
      <c r="F5405" s="22" t="str">
        <f>IFERROR(__xludf.DUMMYFUNCTION("""COMPUTED_VALUE"""),"実はむっつり弓道部の先輩が俺にだけHをシかけてくる【単話】")</f>
        <v>実はむっつり弓道部の先輩が俺にだけHをシかけてくる【単話】</v>
      </c>
      <c r="G5405" s="20" t="str">
        <f>IFERROR(__xludf.DUMMYFUNCTION("""COMPUTED_VALUE"""),"1~2")</f>
        <v>1~2</v>
      </c>
      <c r="H5405" s="22" t="str">
        <f>IFERROR(__xludf.DUMMYFUNCTION("""COMPUTED_VALUE"""),"貫うろん/Sandy Candy")</f>
        <v>貫うろん/Sandy Candy</v>
      </c>
      <c r="I5405" s="22" t="str">
        <f>IFERROR(__xludf.DUMMYFUNCTION("""COMPUTED_VALUE"""),"アダルト")</f>
        <v>アダルト</v>
      </c>
      <c r="J5405" s="22"/>
      <c r="K5405" s="22"/>
      <c r="L5405" s="22" t="str">
        <f>IFERROR(__xludf.DUMMYFUNCTION("""COMPUTED_VALUE"""),"ばたぁさんど")</f>
        <v>ばたぁさんど</v>
      </c>
      <c r="M5405" s="33">
        <f>IFERROR(__xludf.DUMMYFUNCTION("""COMPUTED_VALUE"""),46213.0)</f>
        <v>46213</v>
      </c>
      <c r="N5405" s="33">
        <f>IFERROR(__xludf.DUMMYFUNCTION("""COMPUTED_VALUE"""),46304.0)</f>
        <v>46304</v>
      </c>
      <c r="O5405" s="20"/>
      <c r="P5405" s="32" t="str">
        <f>IFERROR(__xludf.DUMMYFUNCTION("""COMPUTED_VALUE"""),"可")</f>
        <v>可</v>
      </c>
      <c r="Q5405" s="30" t="str">
        <f>IFERROR(__xludf.DUMMYFUNCTION("""COMPUTED_VALUE"""),"モザイク版も同時配信予定です。")</f>
        <v>モザイク版も同時配信予定です。</v>
      </c>
      <c r="R5405" s="22"/>
      <c r="S5405" s="22" t="str">
        <f>IFERROR(__xludf.DUMMYFUNCTION("""COMPUTED_VALUE"""),"20260615_ばたぁさんど_実はむっつり弓道部の先輩が俺にだけHをシかけてくる【単話】")</f>
        <v>20260615_ばたぁさんど_実はむっつり弓道部の先輩が俺にだけHをシかけてくる【単話】</v>
      </c>
      <c r="T5405" s="22" t="str">
        <f>IFERROR(__xludf.DUMMYFUNCTION("""COMPUTED_VALUE"""),"格納済み")</f>
        <v>格納済み</v>
      </c>
      <c r="U5405" s="9" t="str">
        <f>IFERROR(__xludf.DUMMYFUNCTION("""COMPUTED_VALUE"""),"©貫うろん/ばたぁさんど")</f>
        <v>©貫うろん/ばたぁさんど</v>
      </c>
      <c r="V5405" s="8"/>
      <c r="W5405" s="8"/>
      <c r="X5405" s="8" t="str">
        <f>IFERROR(__xludf.DUMMYFUNCTION("""COMPUTED_VALUE"""),"有")</f>
        <v>有</v>
      </c>
      <c r="Y5405" s="8" t="str">
        <f>IFERROR(__xludf.DUMMYFUNCTION("""COMPUTED_VALUE"""),"p12まで")</f>
        <v>p12まで</v>
      </c>
      <c r="Z5405" s="7"/>
      <c r="AA5405" s="7"/>
      <c r="AB5405" s="7"/>
    </row>
    <row r="5406" ht="15.75" customHeight="1">
      <c r="A5406" s="26">
        <f>IFERROR(__xludf.DUMMYFUNCTION("""COMPUTED_VALUE"""),8142.0)</f>
        <v>8142</v>
      </c>
      <c r="B5406" s="22" t="str">
        <f>IFERROR(__xludf.DUMMYFUNCTION("""COMPUTED_VALUE"""),"確定")</f>
        <v>確定</v>
      </c>
      <c r="C5406" s="28">
        <f>IFERROR(__xludf.DUMMYFUNCTION("""COMPUTED_VALUE"""),46177.0)</f>
        <v>46177</v>
      </c>
      <c r="D5406" s="28">
        <f>IFERROR(__xludf.DUMMYFUNCTION("""COMPUTED_VALUE"""),46188.0)</f>
        <v>46188</v>
      </c>
      <c r="E5406" s="26">
        <f>IFERROR(__xludf.DUMMYFUNCTION("""COMPUTED_VALUE"""),364011.0)</f>
        <v>364011</v>
      </c>
      <c r="F5406" s="22" t="str">
        <f>IFERROR(__xludf.DUMMYFUNCTION("""COMPUTED_VALUE"""),"銭湯のおねえさんと交わる、4日間の夏")</f>
        <v>銭湯のおねえさんと交わる、4日間の夏</v>
      </c>
      <c r="G5406" s="20" t="str">
        <f>IFERROR(__xludf.DUMMYFUNCTION("""COMPUTED_VALUE"""),"1~2")</f>
        <v>1~2</v>
      </c>
      <c r="H5406" s="22" t="str">
        <f>IFERROR(__xludf.DUMMYFUNCTION("""COMPUTED_VALUE"""),"ユズハ")</f>
        <v>ユズハ</v>
      </c>
      <c r="I5406" s="22" t="str">
        <f>IFERROR(__xludf.DUMMYFUNCTION("""COMPUTED_VALUE"""),"アダルト")</f>
        <v>アダルト</v>
      </c>
      <c r="J5406" s="22"/>
      <c r="K5406" s="22"/>
      <c r="L5406" s="22" t="str">
        <f>IFERROR(__xludf.DUMMYFUNCTION("""COMPUTED_VALUE"""),"ナイトコミック")</f>
        <v>ナイトコミック</v>
      </c>
      <c r="M5406" s="33">
        <f>IFERROR(__xludf.DUMMYFUNCTION("""COMPUTED_VALUE"""),46206.0)</f>
        <v>46206</v>
      </c>
      <c r="N5406" s="33">
        <f>IFERROR(__xludf.DUMMYFUNCTION("""COMPUTED_VALUE"""),46268.0)</f>
        <v>46268</v>
      </c>
      <c r="O5406" s="20"/>
      <c r="P5406" s="32" t="str">
        <f>IFERROR(__xludf.DUMMYFUNCTION("""COMPUTED_VALUE"""),"可")</f>
        <v>可</v>
      </c>
      <c r="Q5406" s="30"/>
      <c r="R5406" s="22"/>
      <c r="S5406" s="22" t="str">
        <f>IFERROR(__xludf.DUMMYFUNCTION("""COMPUTED_VALUE"""),"20260522_ナイトコミック_銭湯のおねえさんと交わる、4日間の夏")</f>
        <v>20260522_ナイトコミック_銭湯のおねえさんと交わる、4日間の夏</v>
      </c>
      <c r="T5406" s="22" t="str">
        <f>IFERROR(__xludf.DUMMYFUNCTION("""COMPUTED_VALUE"""),"格納済み")</f>
        <v>格納済み</v>
      </c>
      <c r="U5406" s="9" t="str">
        <f>IFERROR(__xludf.DUMMYFUNCTION("""COMPUTED_VALUE"""),"Ⓒ ユズハ")</f>
        <v>Ⓒ ユズハ</v>
      </c>
      <c r="V5406" s="8"/>
      <c r="W5406" s="8"/>
      <c r="X5406" s="8" t="str">
        <f>IFERROR(__xludf.DUMMYFUNCTION("""COMPUTED_VALUE"""),"有")</f>
        <v>有</v>
      </c>
      <c r="Y5406" s="8" t="str">
        <f>IFERROR(__xludf.DUMMYFUNCTION("""COMPUTED_VALUE"""),"2026/9/3まで1巻p25まで立ち読み増量
2巻p10まで立ち読み増量")</f>
        <v>2026/9/3まで1巻p25まで立ち読み増量
2巻p10まで立ち読み増量</v>
      </c>
      <c r="Z5406" s="7"/>
      <c r="AA5406" s="7"/>
      <c r="AB5406" s="7"/>
    </row>
    <row r="5407" ht="15.75" customHeight="1">
      <c r="A5407" s="26">
        <f>IFERROR(__xludf.DUMMYFUNCTION("""COMPUTED_VALUE"""),8143.0)</f>
        <v>8143</v>
      </c>
      <c r="B5407" s="22" t="str">
        <f>IFERROR(__xludf.DUMMYFUNCTION("""COMPUTED_VALUE"""),"確定")</f>
        <v>確定</v>
      </c>
      <c r="C5407" s="28">
        <f>IFERROR(__xludf.DUMMYFUNCTION("""COMPUTED_VALUE"""),46177.0)</f>
        <v>46177</v>
      </c>
      <c r="D5407" s="28">
        <f>IFERROR(__xludf.DUMMYFUNCTION("""COMPUTED_VALUE"""),46188.0)</f>
        <v>46188</v>
      </c>
      <c r="E5407" s="26"/>
      <c r="F5407" s="22" t="str">
        <f>IFERROR(__xludf.DUMMYFUNCTION("""COMPUTED_VALUE"""),"「あれぇ、ちょっと舐めたらめっちゃ勃起してんじゃんw」 【悲報】女叩き男さん、極上女体でオチてしまう")</f>
        <v>「あれぇ、ちょっと舐めたらめっちゃ勃起してんじゃんw」 【悲報】女叩き男さん、極上女体でオチてしまう</v>
      </c>
      <c r="G5407" s="20">
        <f>IFERROR(__xludf.DUMMYFUNCTION("""COMPUTED_VALUE"""),1.0)</f>
        <v>1</v>
      </c>
      <c r="H5407" s="22" t="str">
        <f>IFERROR(__xludf.DUMMYFUNCTION("""COMPUTED_VALUE"""),"夢木ばなな")</f>
        <v>夢木ばなな</v>
      </c>
      <c r="I5407" s="22" t="str">
        <f>IFERROR(__xludf.DUMMYFUNCTION("""COMPUTED_VALUE"""),"アダルト")</f>
        <v>アダルト</v>
      </c>
      <c r="J5407" s="22"/>
      <c r="K5407" s="22"/>
      <c r="L5407" s="22" t="str">
        <f>IFERROR(__xludf.DUMMYFUNCTION("""COMPUTED_VALUE"""),"ナイトコミック")</f>
        <v>ナイトコミック</v>
      </c>
      <c r="M5407" s="33">
        <f>IFERROR(__xludf.DUMMYFUNCTION("""COMPUTED_VALUE"""),46234.0)</f>
        <v>46234</v>
      </c>
      <c r="N5407" s="33">
        <f>IFERROR(__xludf.DUMMYFUNCTION("""COMPUTED_VALUE"""),46289.0)</f>
        <v>46289</v>
      </c>
      <c r="O5407" s="20"/>
      <c r="P5407" s="32" t="str">
        <f>IFERROR(__xludf.DUMMYFUNCTION("""COMPUTED_VALUE"""),"可")</f>
        <v>可</v>
      </c>
      <c r="Q5407" s="30" t="str">
        <f>IFERROR(__xludf.DUMMYFUNCTION("""COMPUTED_VALUE"""),"1話完結作品")</f>
        <v>1話完結作品</v>
      </c>
      <c r="R5407" s="22"/>
      <c r="S5407" s="22" t="str">
        <f>IFERROR(__xludf.DUMMYFUNCTION("""COMPUTED_VALUE"""),"20260522_ナイトコミック_「あれぇ、ちょっと舐めたらめっちゃ勃起してんじゃんw」 【悲報】女叩き男さん、極上女体でオチてしまう")</f>
        <v>20260522_ナイトコミック_「あれぇ、ちょっと舐めたらめっちゃ勃起してんじゃんw」 【悲報】女叩き男さん、極上女体でオチてしまう</v>
      </c>
      <c r="T5407" s="22" t="str">
        <f>IFERROR(__xludf.DUMMYFUNCTION("""COMPUTED_VALUE"""),"格納済み")</f>
        <v>格納済み</v>
      </c>
      <c r="U5407" s="9" t="str">
        <f>IFERROR(__xludf.DUMMYFUNCTION("""COMPUTED_VALUE"""),"Ⓒ夢木ばなな")</f>
        <v>Ⓒ夢木ばなな</v>
      </c>
      <c r="V5407" s="8"/>
      <c r="W5407" s="8"/>
      <c r="X5407" s="8"/>
      <c r="Y5407" s="8"/>
      <c r="Z5407" s="7"/>
      <c r="AA5407" s="7"/>
      <c r="AB5407" s="7"/>
    </row>
    <row r="5408" ht="15.75" customHeight="1">
      <c r="A5408" s="26">
        <f>IFERROR(__xludf.DUMMYFUNCTION("""COMPUTED_VALUE"""),8144.0)</f>
        <v>8144</v>
      </c>
      <c r="B5408" s="22" t="str">
        <f>IFERROR(__xludf.DUMMYFUNCTION("""COMPUTED_VALUE"""),"確定")</f>
        <v>確定</v>
      </c>
      <c r="C5408" s="28">
        <f>IFERROR(__xludf.DUMMYFUNCTION("""COMPUTED_VALUE"""),46177.0)</f>
        <v>46177</v>
      </c>
      <c r="D5408" s="28">
        <f>IFERROR(__xludf.DUMMYFUNCTION("""COMPUTED_VALUE"""),46189.0)</f>
        <v>46189</v>
      </c>
      <c r="E5408" s="26">
        <f>IFERROR(__xludf.DUMMYFUNCTION("""COMPUTED_VALUE"""),364356.0)</f>
        <v>364356</v>
      </c>
      <c r="F5408" s="22" t="str">
        <f>IFERROR(__xludf.DUMMYFUNCTION("""COMPUTED_VALUE"""),"絶対服従～若頭は私を抱え込んで離さない～")</f>
        <v>絶対服従～若頭は私を抱え込んで離さない～</v>
      </c>
      <c r="G5408" s="20" t="str">
        <f>IFERROR(__xludf.DUMMYFUNCTION("""COMPUTED_VALUE"""),"1~3")</f>
        <v>1~3</v>
      </c>
      <c r="H5408" s="22" t="str">
        <f>IFERROR(__xludf.DUMMYFUNCTION("""COMPUTED_VALUE"""),"TUTU・一宮梨華")</f>
        <v>TUTU・一宮梨華</v>
      </c>
      <c r="I5408" s="22" t="str">
        <f>IFERROR(__xludf.DUMMYFUNCTION("""COMPUTED_VALUE"""),"TL")</f>
        <v>TL</v>
      </c>
      <c r="J5408" s="22"/>
      <c r="K5408" s="22" t="str">
        <f>IFERROR(__xludf.DUMMYFUNCTION("""COMPUTED_VALUE"""),"テラーコミックス")</f>
        <v>テラーコミックス</v>
      </c>
      <c r="L5408" s="22" t="str">
        <f>IFERROR(__xludf.DUMMYFUNCTION("""COMPUTED_VALUE"""),"Freedia(フリーディア)")</f>
        <v>Freedia(フリーディア)</v>
      </c>
      <c r="M5408" s="33">
        <f>IFERROR(__xludf.DUMMYFUNCTION("""COMPUTED_VALUE"""),46210.0)</f>
        <v>46210</v>
      </c>
      <c r="N5408" s="33">
        <f>IFERROR(__xludf.DUMMYFUNCTION("""COMPUTED_VALUE"""),46301.0)</f>
        <v>46301</v>
      </c>
      <c r="O5408" s="20" t="str">
        <f>IFERROR(__xludf.DUMMYFUNCTION("""COMPUTED_VALUE"""),"【アダルト作品扱い】")</f>
        <v>【アダルト作品扱い】</v>
      </c>
      <c r="P5408" s="32" t="str">
        <f>IFERROR(__xludf.DUMMYFUNCTION("""COMPUTED_VALUE"""),"可")</f>
        <v>可</v>
      </c>
      <c r="Q5408" s="30"/>
      <c r="R5408" s="22"/>
      <c r="S5408" s="22" t="str">
        <f>IFERROR(__xludf.DUMMYFUNCTION("""COMPUTED_VALUE"""),"20260522_Freedia(フリーディア)_絶対服従～若頭は私を抱え込んで離さない～")</f>
        <v>20260522_Freedia(フリーディア)_絶対服従～若頭は私を抱え込んで離さない～</v>
      </c>
      <c r="T5408" s="22" t="str">
        <f>IFERROR(__xludf.DUMMYFUNCTION("""COMPUTED_VALUE"""),"格納済み")</f>
        <v>格納済み</v>
      </c>
      <c r="U5408" s="9" t="str">
        <f>IFERROR(__xludf.DUMMYFUNCTION("""COMPUTED_VALUE"""),"ⒸTUTU・一宮梨華/Freedia・テラーノベル")</f>
        <v>ⒸTUTU・一宮梨華/Freedia・テラーノベル</v>
      </c>
      <c r="V5408" s="8"/>
      <c r="W5408" s="8"/>
      <c r="X5408" s="8" t="str">
        <f>IFERROR(__xludf.DUMMYFUNCTION("""COMPUTED_VALUE"""),"有")</f>
        <v>有</v>
      </c>
      <c r="Y5408" s="8" t="str">
        <f>IFERROR(__xludf.DUMMYFUNCTION("""COMPUTED_VALUE"""),"2026/10/6まで1巻無料")</f>
        <v>2026/10/6まで1巻無料</v>
      </c>
      <c r="Z5408" s="7"/>
      <c r="AA5408" s="7"/>
      <c r="AB5408" s="7"/>
    </row>
    <row r="5409" ht="15.75" customHeight="1">
      <c r="A5409" s="26">
        <f>IFERROR(__xludf.DUMMYFUNCTION("""COMPUTED_VALUE"""),8153.0)</f>
        <v>8153</v>
      </c>
      <c r="B5409" s="22" t="str">
        <f>IFERROR(__xludf.DUMMYFUNCTION("""COMPUTED_VALUE"""),"確定")</f>
        <v>確定</v>
      </c>
      <c r="C5409" s="28">
        <f>IFERROR(__xludf.DUMMYFUNCTION("""COMPUTED_VALUE"""),46177.0)</f>
        <v>46177</v>
      </c>
      <c r="D5409" s="28">
        <f>IFERROR(__xludf.DUMMYFUNCTION("""COMPUTED_VALUE"""),46189.0)</f>
        <v>46189</v>
      </c>
      <c r="E5409" s="26">
        <f>IFERROR(__xludf.DUMMYFUNCTION("""COMPUTED_VALUE"""),365764.0)</f>
        <v>365764</v>
      </c>
      <c r="F5409" s="22" t="str">
        <f>IFERROR(__xludf.DUMMYFUNCTION("""COMPUTED_VALUE"""),"デカくて怖くてかっこいい隣人の狂愛【R-18版】")</f>
        <v>デカくて怖くてかっこいい隣人の狂愛【R-18版】</v>
      </c>
      <c r="G5409" s="20" t="str">
        <f>IFERROR(__xludf.DUMMYFUNCTION("""COMPUTED_VALUE"""),"1~3")</f>
        <v>1~3</v>
      </c>
      <c r="H5409" s="22" t="str">
        <f>IFERROR(__xludf.DUMMYFUNCTION("""COMPUTED_VALUE"""),"風間ノり,愚直")</f>
        <v>風間ノり,愚直</v>
      </c>
      <c r="I5409" s="22" t="str">
        <f>IFERROR(__xludf.DUMMYFUNCTION("""COMPUTED_VALUE"""),"アダルト")</f>
        <v>アダルト</v>
      </c>
      <c r="J5409" s="22"/>
      <c r="K5409" s="22" t="str">
        <f>IFERROR(__xludf.DUMMYFUNCTION("""COMPUTED_VALUE"""),"Close Moon")</f>
        <v>Close Moon</v>
      </c>
      <c r="L5409" s="22" t="str">
        <f>IFERROR(__xludf.DUMMYFUNCTION("""COMPUTED_VALUE"""),"ナンバーナイン")</f>
        <v>ナンバーナイン</v>
      </c>
      <c r="M5409" s="33">
        <f>IFERROR(__xludf.DUMMYFUNCTION("""COMPUTED_VALUE"""),46220.0)</f>
        <v>46220</v>
      </c>
      <c r="N5409" s="33">
        <f>IFERROR(__xludf.DUMMYFUNCTION("""COMPUTED_VALUE"""),46281.0)</f>
        <v>46281</v>
      </c>
      <c r="O5409" s="20"/>
      <c r="P5409" s="32" t="str">
        <f>IFERROR(__xludf.DUMMYFUNCTION("""COMPUTED_VALUE"""),"可")</f>
        <v>可</v>
      </c>
      <c r="Q5409" s="30" t="str">
        <f>IFERROR(__xludf.DUMMYFUNCTION("""COMPUTED_VALUE"""),"がるまに")</f>
        <v>がるまに</v>
      </c>
      <c r="R5409" s="22"/>
      <c r="S5409" s="22" t="str">
        <f>IFERROR(__xludf.DUMMYFUNCTION("""COMPUTED_VALUE"""),"20260611_ ナンバーナイン_デカくて怖くてかっこいい隣人の狂愛【R-18版】")</f>
        <v>20260611_ ナンバーナイン_デカくて怖くてかっこいい隣人の狂愛【R-18版】</v>
      </c>
      <c r="T5409" s="22" t="str">
        <f>IFERROR(__xludf.DUMMYFUNCTION("""COMPUTED_VALUE"""),"格納済み")</f>
        <v>格納済み</v>
      </c>
      <c r="U5409" s="9" t="str">
        <f>IFERROR(__xludf.DUMMYFUNCTION("""COMPUTED_VALUE"""),"(C)愚直／風間ノり／ナンバーナイン")</f>
        <v>(C)愚直／風間ノり／ナンバーナイン</v>
      </c>
      <c r="V5409" s="8"/>
      <c r="W5409" s="8"/>
      <c r="X5409" s="8" t="str">
        <f>IFERROR(__xludf.DUMMYFUNCTION("""COMPUTED_VALUE"""),"有")</f>
        <v>有</v>
      </c>
      <c r="Y5409" s="8" t="str">
        <f>IFERROR(__xludf.DUMMYFUNCTION("""COMPUTED_VALUE"""),"1巻永久無料")</f>
        <v>1巻永久無料</v>
      </c>
      <c r="Z5409" s="7"/>
      <c r="AA5409" s="7"/>
      <c r="AB5409" s="7"/>
    </row>
    <row r="5410" ht="15.75" customHeight="1">
      <c r="A5410" s="26">
        <f>IFERROR(__xludf.DUMMYFUNCTION("""COMPUTED_VALUE"""),8154.0)</f>
        <v>8154</v>
      </c>
      <c r="B5410" s="22" t="str">
        <f>IFERROR(__xludf.DUMMYFUNCTION("""COMPUTED_VALUE"""),"確定")</f>
        <v>確定</v>
      </c>
      <c r="C5410" s="28">
        <f>IFERROR(__xludf.DUMMYFUNCTION("""COMPUTED_VALUE"""),46177.0)</f>
        <v>46177</v>
      </c>
      <c r="D5410" s="28">
        <f>IFERROR(__xludf.DUMMYFUNCTION("""COMPUTED_VALUE"""),46189.0)</f>
        <v>46189</v>
      </c>
      <c r="E5410" s="26">
        <f>IFERROR(__xludf.DUMMYFUNCTION("""COMPUTED_VALUE"""),361118.0)</f>
        <v>361118</v>
      </c>
      <c r="F5410" s="22" t="str">
        <f>IFERROR(__xludf.DUMMYFUNCTION("""COMPUTED_VALUE"""),"鬼嫁から愛羅武優【分冊版】")</f>
        <v>鬼嫁から愛羅武優【分冊版】</v>
      </c>
      <c r="G5410" s="20">
        <f>IFERROR(__xludf.DUMMYFUNCTION("""COMPUTED_VALUE"""),1.0)</f>
        <v>1</v>
      </c>
      <c r="H5410" s="22" t="str">
        <f>IFERROR(__xludf.DUMMYFUNCTION("""COMPUTED_VALUE"""),"革命なむ")</f>
        <v>革命なむ</v>
      </c>
      <c r="I5410" s="22" t="str">
        <f>IFERROR(__xludf.DUMMYFUNCTION("""COMPUTED_VALUE"""),"BL")</f>
        <v>BL</v>
      </c>
      <c r="J5410" s="22"/>
      <c r="K5410" s="22" t="str">
        <f>IFERROR(__xludf.DUMMYFUNCTION("""COMPUTED_VALUE"""),"equal")</f>
        <v>equal</v>
      </c>
      <c r="L5410" s="22" t="str">
        <f>IFERROR(__xludf.DUMMYFUNCTION("""COMPUTED_VALUE"""),"笠倉出版社")</f>
        <v>笠倉出版社</v>
      </c>
      <c r="M5410" s="33">
        <f>IFERROR(__xludf.DUMMYFUNCTION("""COMPUTED_VALUE"""),46185.0)</f>
        <v>46185</v>
      </c>
      <c r="N5410" s="33">
        <f>IFERROR(__xludf.DUMMYFUNCTION("""COMPUTED_VALUE"""),46212.0)</f>
        <v>46212</v>
      </c>
      <c r="O5410" s="20"/>
      <c r="P5410" s="32" t="str">
        <f>IFERROR(__xludf.DUMMYFUNCTION("""COMPUTED_VALUE"""),"可")</f>
        <v>可</v>
      </c>
      <c r="Q5410" s="30" t="str">
        <f>IFERROR(__xludf.DUMMYFUNCTION("""COMPUTED_VALUE"""),"5話完結予定。 1話,2話,3話を毎月、4話,5話を隔月配信予定。")</f>
        <v>5話完結予定。 1話,2話,3話を毎月、4話,5話を隔月配信予定。</v>
      </c>
      <c r="R5410" s="22"/>
      <c r="S5410" s="22" t="str">
        <f>IFERROR(__xludf.DUMMYFUNCTION("""COMPUTED_VALUE"""),"20260615_笠倉出版社‗鬼嫁から愛羅武優【分冊版】")</f>
        <v>20260615_笠倉出版社‗鬼嫁から愛羅武優【分冊版】</v>
      </c>
      <c r="T5410" s="22" t="str">
        <f>IFERROR(__xludf.DUMMYFUNCTION("""COMPUTED_VALUE"""),"格納済み")</f>
        <v>格納済み</v>
      </c>
      <c r="U5410" s="9" t="str">
        <f>IFERROR(__xludf.DUMMYFUNCTION("""COMPUTED_VALUE"""),"Ⓒ革命なむ/笠倉出版社")</f>
        <v>Ⓒ革命なむ/笠倉出版社</v>
      </c>
      <c r="V5410" s="8"/>
      <c r="W5410" s="8"/>
      <c r="X5410" s="8" t="str">
        <f>IFERROR(__xludf.DUMMYFUNCTION("""COMPUTED_VALUE"""),"有")</f>
        <v>有</v>
      </c>
      <c r="Y5410" s="8" t="str">
        <f>IFERROR(__xludf.DUMMYFUNCTION("""COMPUTED_VALUE"""),"p6まで")</f>
        <v>p6まで</v>
      </c>
      <c r="Z5410" s="7"/>
      <c r="AA5410" s="7"/>
      <c r="AB5410" s="7"/>
    </row>
    <row r="5411" ht="15.75" customHeight="1">
      <c r="A5411" s="26">
        <f>IFERROR(__xludf.DUMMYFUNCTION("""COMPUTED_VALUE"""),8159.0)</f>
        <v>8159</v>
      </c>
      <c r="B5411" s="22" t="str">
        <f>IFERROR(__xludf.DUMMYFUNCTION("""COMPUTED_VALUE"""),"確定")</f>
        <v>確定</v>
      </c>
      <c r="C5411" s="28">
        <f>IFERROR(__xludf.DUMMYFUNCTION("""COMPUTED_VALUE"""),46178.0)</f>
        <v>46178</v>
      </c>
      <c r="D5411" s="28">
        <f>IFERROR(__xludf.DUMMYFUNCTION("""COMPUTED_VALUE"""),46183.0)</f>
        <v>46183</v>
      </c>
      <c r="E5411" s="26">
        <f>IFERROR(__xludf.DUMMYFUNCTION("""COMPUTED_VALUE"""),364640.0)</f>
        <v>364640</v>
      </c>
      <c r="F5411" s="22" t="str">
        <f>IFERROR(__xludf.DUMMYFUNCTION("""COMPUTED_VALUE"""),"いっぱい聞かせてあげなきゃな〜浅葱先輩のメロ声に欲情が止まりません！〜《Lovelicot》")</f>
        <v>いっぱい聞かせてあげなきゃな〜浅葱先輩のメロ声に欲情が止まりません！〜《Lovelicot》</v>
      </c>
      <c r="G5411" s="20" t="str">
        <f>IFERROR(__xludf.DUMMYFUNCTION("""COMPUTED_VALUE"""),"1~3")</f>
        <v>1~3</v>
      </c>
      <c r="H5411" s="22" t="str">
        <f>IFERROR(__xludf.DUMMYFUNCTION("""COMPUTED_VALUE"""),"一ノ瀬さと")</f>
        <v>一ノ瀬さと</v>
      </c>
      <c r="I5411" s="22" t="str">
        <f>IFERROR(__xludf.DUMMYFUNCTION("""COMPUTED_VALUE"""),"TL")</f>
        <v>TL</v>
      </c>
      <c r="J5411" s="22"/>
      <c r="K5411" s="22" t="str">
        <f>IFERROR(__xludf.DUMMYFUNCTION("""COMPUTED_VALUE"""),"Lovelicot")</f>
        <v>Lovelicot</v>
      </c>
      <c r="L5411" s="22" t="str">
        <f>IFERROR(__xludf.DUMMYFUNCTION("""COMPUTED_VALUE"""),"ガールスカウトコミックス")</f>
        <v>ガールスカウトコミックス</v>
      </c>
      <c r="M5411" s="33">
        <f>IFERROR(__xludf.DUMMYFUNCTION("""COMPUTED_VALUE"""),46215.0)</f>
        <v>46215</v>
      </c>
      <c r="N5411" s="33">
        <f>IFERROR(__xludf.DUMMYFUNCTION("""COMPUTED_VALUE"""),46306.0)</f>
        <v>46306</v>
      </c>
      <c r="O5411" s="20" t="str">
        <f>IFERROR(__xludf.DUMMYFUNCTION("""COMPUTED_VALUE"""),"【アダルト作品扱い】")</f>
        <v>【アダルト作品扱い】</v>
      </c>
      <c r="P5411" s="32" t="str">
        <f>IFERROR(__xludf.DUMMYFUNCTION("""COMPUTED_VALUE"""),"可")</f>
        <v>可</v>
      </c>
      <c r="Q5411" s="30" t="str">
        <f>IFERROR(__xludf.DUMMYFUNCTION("""COMPUTED_VALUE"""),"コミックフェスタ様との2ストア同時先行を予定")</f>
        <v>コミックフェスタ様との2ストア同時先行を予定</v>
      </c>
      <c r="R5411" s="22"/>
      <c r="S5411" s="22" t="str">
        <f>IFERROR(__xludf.DUMMYFUNCTION("""COMPUTED_VALUE"""),"20260604_ガールスカウトコミックス_いっぱい聞かせてあげなきゃな〜浅葱先輩のメロ声に欲情が止まりません！〜")</f>
        <v>20260604_ガールスカウトコミックス_いっぱい聞かせてあげなきゃな〜浅葱先輩のメロ声に欲情が止まりません！〜</v>
      </c>
      <c r="T5411" s="22" t="str">
        <f>IFERROR(__xludf.DUMMYFUNCTION("""COMPUTED_VALUE"""),"格納済み")</f>
        <v>格納済み</v>
      </c>
      <c r="U5411" s="9" t="str">
        <f>IFERROR(__xludf.DUMMYFUNCTION("""COMPUTED_VALUE"""),"(C)一ノ瀬さと／ガールスカウトコミックス")</f>
        <v>(C)一ノ瀬さと／ガールスカウトコミックス</v>
      </c>
      <c r="V5411" s="8"/>
      <c r="W5411" s="8"/>
      <c r="X5411" s="8" t="str">
        <f>IFERROR(__xludf.DUMMYFUNCTION("""COMPUTED_VALUE"""),"有")</f>
        <v>有</v>
      </c>
      <c r="Y5411" s="8" t="str">
        <f>IFERROR(__xludf.DUMMYFUNCTION("""COMPUTED_VALUE"""),"2026/7/25まで1巻無料")</f>
        <v>2026/7/25まで1巻無料</v>
      </c>
      <c r="Z5411" s="7"/>
      <c r="AA5411" s="7"/>
      <c r="AB5411" s="7"/>
    </row>
    <row r="5412" ht="15.75" customHeight="1">
      <c r="A5412" s="26">
        <f>IFERROR(__xludf.DUMMYFUNCTION("""COMPUTED_VALUE"""),8160.0)</f>
        <v>8160</v>
      </c>
      <c r="B5412" s="22" t="str">
        <f>IFERROR(__xludf.DUMMYFUNCTION("""COMPUTED_VALUE"""),"確定")</f>
        <v>確定</v>
      </c>
      <c r="C5412" s="28">
        <f>IFERROR(__xludf.DUMMYFUNCTION("""COMPUTED_VALUE"""),46178.0)</f>
        <v>46178</v>
      </c>
      <c r="D5412" s="28">
        <f>IFERROR(__xludf.DUMMYFUNCTION("""COMPUTED_VALUE"""),46188.0)</f>
        <v>46188</v>
      </c>
      <c r="E5412" s="26"/>
      <c r="F5412" s="22" t="str">
        <f>IFERROR(__xludf.DUMMYFUNCTION("""COMPUTED_VALUE"""),"好きな人との幸せなエンディングは姉に壊されました　私のことはお構いなく、姉とどうぞお幸せに【単話売】")</f>
        <v>好きな人との幸せなエンディングは姉に壊されました　私のことはお構いなく、姉とどうぞお幸せに【単話売】</v>
      </c>
      <c r="G5412" s="20" t="str">
        <f>IFERROR(__xludf.DUMMYFUNCTION("""COMPUTED_VALUE"""),"1~3")</f>
        <v>1~3</v>
      </c>
      <c r="H5412" s="22" t="str">
        <f>IFERROR(__xludf.DUMMYFUNCTION("""COMPUTED_VALUE"""),"著者　 芦名ユウ／原作　曽根原ツタ／キャラクター原案　八橋はち")</f>
        <v>著者　 芦名ユウ／原作　曽根原ツタ／キャラクター原案　八橋はち</v>
      </c>
      <c r="I5412" s="22" t="str">
        <f>IFERROR(__xludf.DUMMYFUNCTION("""COMPUTED_VALUE"""),"少女")</f>
        <v>少女</v>
      </c>
      <c r="J5412" s="22"/>
      <c r="K5412" s="22"/>
      <c r="L5412" s="22" t="str">
        <f>IFERROR(__xludf.DUMMYFUNCTION("""COMPUTED_VALUE"""),"ジュリアンパブリッシング")</f>
        <v>ジュリアンパブリッシング</v>
      </c>
      <c r="M5412" s="33">
        <f>IFERROR(__xludf.DUMMYFUNCTION("""COMPUTED_VALUE"""),46255.0)</f>
        <v>46255</v>
      </c>
      <c r="N5412" s="33">
        <f>IFERROR(__xludf.DUMMYFUNCTION("""COMPUTED_VALUE"""),46356.0)</f>
        <v>46356</v>
      </c>
      <c r="O5412" s="20"/>
      <c r="P5412" s="32" t="str">
        <f>IFERROR(__xludf.DUMMYFUNCTION("""COMPUTED_VALUE"""),"否")</f>
        <v>否</v>
      </c>
      <c r="Q5412" s="30" t="str">
        <f>IFERROR(__xludf.DUMMYFUNCTION("""COMPUTED_VALUE"""),"・『好きな人との幸せなエンディングは姉に壊されました 私のことはお構いなく、姉とどうぞお幸せに【特典SS付】【イラスト付】【シーモア限定特典付き】』のコミカライズ作品です。")</f>
        <v>・『好きな人との幸せなエンディングは姉に壊されました 私のことはお構いなく、姉とどうぞお幸せに【特典SS付】【イラスト付】【シーモア限定特典付き】』のコミカライズ作品です。</v>
      </c>
      <c r="R5412" s="22"/>
      <c r="S5412" s="22" t="str">
        <f>IFERROR(__xludf.DUMMYFUNCTION("""COMPUTED_VALUE"""),"20260521_ジュリアンパブリッシング_好きな人との幸せなエンディングは姉に壊されました　私のことはお構いなく、姉とどうぞお幸せに")</f>
        <v>20260521_ジュリアンパブリッシング_好きな人との幸せなエンディングは姉に壊されました　私のことはお構いなく、姉とどうぞお幸せに</v>
      </c>
      <c r="T5412" s="22" t="str">
        <f>IFERROR(__xludf.DUMMYFUNCTION("""COMPUTED_VALUE"""),"格納済み")</f>
        <v>格納済み</v>
      </c>
      <c r="U5412" s="9" t="str">
        <f>IFERROR(__xludf.DUMMYFUNCTION("""COMPUTED_VALUE"""),"(C)芦名ユウ／曽根原ツタ／八橋はち／ジュリアンパブリッシング")</f>
        <v>(C)芦名ユウ／曽根原ツタ／八橋はち／ジュリアンパブリッシング</v>
      </c>
      <c r="V5412" s="8"/>
      <c r="W5412" s="8"/>
      <c r="X5412" s="8"/>
      <c r="Y5412" s="8"/>
      <c r="Z5412" s="7"/>
      <c r="AA5412" s="7"/>
      <c r="AB5412" s="7"/>
    </row>
    <row r="5413" ht="15.75" customHeight="1">
      <c r="A5413" s="26">
        <f>IFERROR(__xludf.DUMMYFUNCTION("""COMPUTED_VALUE"""),8171.0)</f>
        <v>8171</v>
      </c>
      <c r="B5413" s="22" t="str">
        <f>IFERROR(__xludf.DUMMYFUNCTION("""COMPUTED_VALUE"""),"確定")</f>
        <v>確定</v>
      </c>
      <c r="C5413" s="28">
        <f>IFERROR(__xludf.DUMMYFUNCTION("""COMPUTED_VALUE"""),46178.0)</f>
        <v>46178</v>
      </c>
      <c r="D5413" s="28">
        <f>IFERROR(__xludf.DUMMYFUNCTION("""COMPUTED_VALUE"""),46188.0)</f>
        <v>46188</v>
      </c>
      <c r="E5413" s="26">
        <f>IFERROR(__xludf.DUMMYFUNCTION("""COMPUTED_VALUE"""),365758.0)</f>
        <v>365758</v>
      </c>
      <c r="F5413" s="22" t="str">
        <f>IFERROR(__xludf.DUMMYFUNCTION("""COMPUTED_VALUE"""),"アラサー悪役令嬢の婚活日記")</f>
        <v>アラサー悪役令嬢の婚活日記</v>
      </c>
      <c r="G5413" s="20" t="str">
        <f>IFERROR(__xludf.DUMMYFUNCTION("""COMPUTED_VALUE"""),"1~3")</f>
        <v>1~3</v>
      </c>
      <c r="H5413" s="22" t="str">
        <f>IFERROR(__xludf.DUMMYFUNCTION("""COMPUTED_VALUE"""),"原作：華南恋　漫画：善貴六区")</f>
        <v>原作：華南恋　漫画：善貴六区</v>
      </c>
      <c r="I5413" s="22" t="str">
        <f>IFERROR(__xludf.DUMMYFUNCTION("""COMPUTED_VALUE"""),"女性")</f>
        <v>女性</v>
      </c>
      <c r="J5413" s="22"/>
      <c r="K5413" s="22"/>
      <c r="L5413" s="22" t="str">
        <f>IFERROR(__xludf.DUMMYFUNCTION("""COMPUTED_VALUE"""),"幻冬舎")</f>
        <v>幻冬舎</v>
      </c>
      <c r="M5413" s="33">
        <f>IFERROR(__xludf.DUMMYFUNCTION("""COMPUTED_VALUE"""),46220.0)</f>
        <v>46220</v>
      </c>
      <c r="N5413" s="33">
        <f>IFERROR(__xludf.DUMMYFUNCTION("""COMPUTED_VALUE"""),46310.0)</f>
        <v>46310</v>
      </c>
      <c r="O5413" s="20"/>
      <c r="P5413" s="32" t="str">
        <f>IFERROR(__xludf.DUMMYFUNCTION("""COMPUTED_VALUE"""),"可")</f>
        <v>可</v>
      </c>
      <c r="Q5413" s="30"/>
      <c r="R5413" s="22"/>
      <c r="S5413" s="22" t="str">
        <f>IFERROR(__xludf.DUMMYFUNCTION("""COMPUTED_VALUE"""),"20260609_幻冬舎_アラサー悪役令嬢の婚活日記")</f>
        <v>20260609_幻冬舎_アラサー悪役令嬢の婚活日記</v>
      </c>
      <c r="T5413" s="22" t="str">
        <f>IFERROR(__xludf.DUMMYFUNCTION("""COMPUTED_VALUE"""),"格納済み")</f>
        <v>格納済み</v>
      </c>
      <c r="U5413" s="9" t="str">
        <f>IFERROR(__xludf.DUMMYFUNCTION("""COMPUTED_VALUE"""),"（ｃ）華南恋／善貴六区／幻冬舎")</f>
        <v>（ｃ）華南恋／善貴六区／幻冬舎</v>
      </c>
      <c r="V5413" s="8"/>
      <c r="W5413" s="8"/>
      <c r="X5413" s="8" t="str">
        <f>IFERROR(__xludf.DUMMYFUNCTION("""COMPUTED_VALUE"""),"有")</f>
        <v>有</v>
      </c>
      <c r="Y5413" s="8" t="str">
        <f>IFERROR(__xludf.DUMMYFUNCTION("""COMPUTED_VALUE"""),"2026/7/30まで1巻無料")</f>
        <v>2026/7/30まで1巻無料</v>
      </c>
      <c r="Z5413" s="7"/>
      <c r="AA5413" s="7"/>
      <c r="AB5413" s="7"/>
    </row>
    <row r="5414" ht="15.75" customHeight="1">
      <c r="A5414" s="26">
        <f>IFERROR(__xludf.DUMMYFUNCTION("""COMPUTED_VALUE"""),8184.0)</f>
        <v>8184</v>
      </c>
      <c r="B5414" s="22" t="str">
        <f>IFERROR(__xludf.DUMMYFUNCTION("""COMPUTED_VALUE"""),"確定")</f>
        <v>確定</v>
      </c>
      <c r="C5414" s="28">
        <f>IFERROR(__xludf.DUMMYFUNCTION("""COMPUTED_VALUE"""),46181.0)</f>
        <v>46181</v>
      </c>
      <c r="D5414" s="28">
        <f>IFERROR(__xludf.DUMMYFUNCTION("""COMPUTED_VALUE"""),46188.0)</f>
        <v>46188</v>
      </c>
      <c r="E5414" s="26">
        <f>IFERROR(__xludf.DUMMYFUNCTION("""COMPUTED_VALUE"""),366808.0)</f>
        <v>366808</v>
      </c>
      <c r="F5414" s="22" t="str">
        <f>IFERROR(__xludf.DUMMYFUNCTION("""COMPUTED_VALUE"""),"noicomi黒狼の花贄～妖に捧げられた私～")</f>
        <v>noicomi黒狼の花贄～妖に捧げられた私～</v>
      </c>
      <c r="G5414" s="20" t="str">
        <f>IFERROR(__xludf.DUMMYFUNCTION("""COMPUTED_VALUE"""),"1~5")</f>
        <v>1~5</v>
      </c>
      <c r="H5414" s="22" t="str">
        <f>IFERROR(__xludf.DUMMYFUNCTION("""COMPUTED_VALUE"""),"作画：鰭崎うみ 原作：結木あい キャラクター原案：鮭田ねね")</f>
        <v>作画：鰭崎うみ 原作：結木あい キャラクター原案：鮭田ねね</v>
      </c>
      <c r="I5414" s="22" t="str">
        <f>IFERROR(__xludf.DUMMYFUNCTION("""COMPUTED_VALUE"""),"少女")</f>
        <v>少女</v>
      </c>
      <c r="J5414" s="22"/>
      <c r="K5414" s="22" t="str">
        <f>IFERROR(__xludf.DUMMYFUNCTION("""COMPUTED_VALUE"""),"noicomi")</f>
        <v>noicomi</v>
      </c>
      <c r="L5414" s="22" t="str">
        <f>IFERROR(__xludf.DUMMYFUNCTION("""COMPUTED_VALUE"""),"スターツ出版")</f>
        <v>スターツ出版</v>
      </c>
      <c r="M5414" s="33">
        <f>IFERROR(__xludf.DUMMYFUNCTION("""COMPUTED_VALUE"""),46213.0)</f>
        <v>46213</v>
      </c>
      <c r="N5414" s="33">
        <f>IFERROR(__xludf.DUMMYFUNCTION("""COMPUTED_VALUE"""),46275.0)</f>
        <v>46275</v>
      </c>
      <c r="O5414" s="20"/>
      <c r="P5414" s="32" t="str">
        <f>IFERROR(__xludf.DUMMYFUNCTION("""COMPUTED_VALUE"""),"可")</f>
        <v>可</v>
      </c>
      <c r="Q5414" s="30"/>
      <c r="R5414" s="22"/>
      <c r="S5414" s="22" t="str">
        <f>IFERROR(__xludf.DUMMYFUNCTION("""COMPUTED_VALUE"""),"20260611_スターツ出版_黒狼の花贄～妖に捧げられた私～")</f>
        <v>20260611_スターツ出版_黒狼の花贄～妖に捧げられた私～</v>
      </c>
      <c r="T5414" s="22" t="str">
        <f>IFERROR(__xludf.DUMMYFUNCTION("""COMPUTED_VALUE"""),"格納済み")</f>
        <v>格納済み</v>
      </c>
      <c r="U5414" s="9" t="str">
        <f>IFERROR(__xludf.DUMMYFUNCTION("""COMPUTED_VALUE"""),"(C)Umi Hirezaki・Ai Yunoki/スターツ出版")</f>
        <v>(C)Umi Hirezaki・Ai Yunoki/スターツ出版</v>
      </c>
      <c r="V5414" s="8"/>
      <c r="W5414" s="8"/>
      <c r="X5414" s="8" t="str">
        <f>IFERROR(__xludf.DUMMYFUNCTION("""COMPUTED_VALUE"""),"有")</f>
        <v>有</v>
      </c>
      <c r="Y5414" s="8" t="str">
        <f>IFERROR(__xludf.DUMMYFUNCTION("""COMPUTED_VALUE"""),"2026/9/10まで1巻無料")</f>
        <v>2026/9/10まで1巻無料</v>
      </c>
      <c r="Z5414" s="7"/>
      <c r="AA5414" s="7"/>
      <c r="AB5414" s="7"/>
    </row>
    <row r="5415" ht="15.75" customHeight="1">
      <c r="A5415" s="26">
        <f>IFERROR(__xludf.DUMMYFUNCTION("""COMPUTED_VALUE"""),8188.0)</f>
        <v>8188</v>
      </c>
      <c r="B5415" s="22" t="str">
        <f>IFERROR(__xludf.DUMMYFUNCTION("""COMPUTED_VALUE"""),"確定")</f>
        <v>確定</v>
      </c>
      <c r="C5415" s="28">
        <f>IFERROR(__xludf.DUMMYFUNCTION("""COMPUTED_VALUE"""),46181.0)</f>
        <v>46181</v>
      </c>
      <c r="D5415" s="28">
        <f>IFERROR(__xludf.DUMMYFUNCTION("""COMPUTED_VALUE"""),46188.0)</f>
        <v>46188</v>
      </c>
      <c r="E5415" s="26">
        <f>IFERROR(__xludf.DUMMYFUNCTION("""COMPUTED_VALUE"""),368098.0)</f>
        <v>368098</v>
      </c>
      <c r="F5415" s="22" t="str">
        <f>IFERROR(__xludf.DUMMYFUNCTION("""COMPUTED_VALUE"""),"番と知らずに私を買った純愛こじらせ騎士団長に運命の愛を捧げられました！【単話版】")</f>
        <v>番と知らずに私を買った純愛こじらせ騎士団長に運命の愛を捧げられました！【単話版】</v>
      </c>
      <c r="G5415" s="20" t="str">
        <f>IFERROR(__xludf.DUMMYFUNCTION("""COMPUTED_VALUE"""),"1~3")</f>
        <v>1~3</v>
      </c>
      <c r="H5415" s="22" t="str">
        <f>IFERROR(__xludf.DUMMYFUNCTION("""COMPUTED_VALUE"""),"になになこ/犬咲")</f>
        <v>になになこ/犬咲</v>
      </c>
      <c r="I5415" s="22" t="str">
        <f>IFERROR(__xludf.DUMMYFUNCTION("""COMPUTED_VALUE"""),"女性")</f>
        <v>女性</v>
      </c>
      <c r="J5415" s="22"/>
      <c r="K5415" s="22"/>
      <c r="L5415" s="22" t="str">
        <f>IFERROR(__xludf.DUMMYFUNCTION("""COMPUTED_VALUE"""),"オーバーラップ")</f>
        <v>オーバーラップ</v>
      </c>
      <c r="M5415" s="33">
        <f>IFERROR(__xludf.DUMMYFUNCTION("""COMPUTED_VALUE"""),46225.0)</f>
        <v>46225</v>
      </c>
      <c r="N5415" s="33">
        <f>IFERROR(__xludf.DUMMYFUNCTION("""COMPUTED_VALUE"""),401768.0)</f>
        <v>401768</v>
      </c>
      <c r="O5415" s="20"/>
      <c r="P5415" s="32" t="str">
        <f>IFERROR(__xludf.DUMMYFUNCTION("""COMPUTED_VALUE"""),"可")</f>
        <v>可</v>
      </c>
      <c r="Q5415" s="30"/>
      <c r="R5415" s="22"/>
      <c r="S5415" s="22" t="str">
        <f>IFERROR(__xludf.DUMMYFUNCTION("""COMPUTED_VALUE"""),"20260609_オーバーラップ_番と知らずに")</f>
        <v>20260609_オーバーラップ_番と知らずに</v>
      </c>
      <c r="T5415" s="22" t="str">
        <f>IFERROR(__xludf.DUMMYFUNCTION("""COMPUTED_VALUE"""),"格納済み")</f>
        <v>格納済み</v>
      </c>
      <c r="U5415" s="9" t="str">
        <f>IFERROR(__xludf.DUMMYFUNCTION("""COMPUTED_VALUE"""),"(c)になになこ　(c)犬咲／オーバーラップ")</f>
        <v>(c)になになこ　(c)犬咲／オーバーラップ</v>
      </c>
      <c r="V5415" s="8"/>
      <c r="W5415" s="8"/>
      <c r="X5415" s="8" t="str">
        <f>IFERROR(__xludf.DUMMYFUNCTION("""COMPUTED_VALUE"""),"有")</f>
        <v>有</v>
      </c>
      <c r="Y5415" s="8" t="str">
        <f>IFERROR(__xludf.DUMMYFUNCTION("""COMPUTED_VALUE"""),"2026/10/22まで1巻無料")</f>
        <v>2026/10/22まで1巻無料</v>
      </c>
      <c r="Z5415" s="7"/>
      <c r="AA5415" s="7"/>
      <c r="AB5415" s="7"/>
    </row>
    <row r="5416" ht="15.75" customHeight="1">
      <c r="A5416" s="26">
        <f>IFERROR(__xludf.DUMMYFUNCTION("""COMPUTED_VALUE"""),8190.0)</f>
        <v>8190</v>
      </c>
      <c r="B5416" s="22" t="str">
        <f>IFERROR(__xludf.DUMMYFUNCTION("""COMPUTED_VALUE"""),"確定")</f>
        <v>確定</v>
      </c>
      <c r="C5416" s="28">
        <f>IFERROR(__xludf.DUMMYFUNCTION("""COMPUTED_VALUE"""),46181.0)</f>
        <v>46181</v>
      </c>
      <c r="D5416" s="28">
        <f>IFERROR(__xludf.DUMMYFUNCTION("""COMPUTED_VALUE"""),46188.0)</f>
        <v>46188</v>
      </c>
      <c r="E5416" s="26">
        <f>IFERROR(__xludf.DUMMYFUNCTION("""COMPUTED_VALUE"""),366248.0)</f>
        <v>366248</v>
      </c>
      <c r="F5416" s="22" t="str">
        <f>IFERROR(__xludf.DUMMYFUNCTION("""COMPUTED_VALUE"""),"黒豹閣下の婚約者(話売り)")</f>
        <v>黒豹閣下の婚約者(話売り)</v>
      </c>
      <c r="G5416" s="20" t="str">
        <f>IFERROR(__xludf.DUMMYFUNCTION("""COMPUTED_VALUE"""),"1~3")</f>
        <v>1~3</v>
      </c>
      <c r="H5416" s="22" t="str">
        <f>IFERROR(__xludf.DUMMYFUNCTION("""COMPUTED_VALUE"""),"渚紗なぎ 三沢ケイ")</f>
        <v>渚紗なぎ 三沢ケイ</v>
      </c>
      <c r="I5416" s="22" t="str">
        <f>IFERROR(__xludf.DUMMYFUNCTION("""COMPUTED_VALUE"""),"少女")</f>
        <v>少女</v>
      </c>
      <c r="J5416" s="22"/>
      <c r="K5416" s="22" t="str">
        <f>IFERROR(__xludf.DUMMYFUNCTION("""COMPUTED_VALUE"""),"プチプリンセス")</f>
        <v>プチプリンセス</v>
      </c>
      <c r="L5416" s="22" t="str">
        <f>IFERROR(__xludf.DUMMYFUNCTION("""COMPUTED_VALUE"""),"秋田書店")</f>
        <v>秋田書店</v>
      </c>
      <c r="M5416" s="33">
        <f>IFERROR(__xludf.DUMMYFUNCTION("""COMPUTED_VALUE"""),46204.0)</f>
        <v>46204</v>
      </c>
      <c r="N5416" s="33">
        <f>IFERROR(__xludf.DUMMYFUNCTION("""COMPUTED_VALUE"""),46265.0)</f>
        <v>46265</v>
      </c>
      <c r="O5416" s="20"/>
      <c r="P5416" s="32" t="str">
        <f>IFERROR(__xludf.DUMMYFUNCTION("""COMPUTED_VALUE"""),"可")</f>
        <v>可</v>
      </c>
      <c r="Q5416" s="30" t="str">
        <f>IFERROR(__xludf.DUMMYFUNCTION("""COMPUTED_VALUE"""),"3巻目のご共有が少し先になるので1~2巻の素材で広告制作お願いいたします。")</f>
        <v>3巻目のご共有が少し先になるので1~2巻の素材で広告制作お願いいたします。</v>
      </c>
      <c r="R5416" s="22"/>
      <c r="S5416" s="22" t="str">
        <f>IFERROR(__xludf.DUMMYFUNCTION("""COMPUTED_VALUE"""),"20260611_秋田書店_黒豹閣下の婚約者(話売り)_修正版")</f>
        <v>20260611_秋田書店_黒豹閣下の婚約者(話売り)_修正版</v>
      </c>
      <c r="T5416" s="22" t="str">
        <f>IFERROR(__xludf.DUMMYFUNCTION("""COMPUTED_VALUE"""),"格納済み")</f>
        <v>格納済み</v>
      </c>
      <c r="U5416" s="9" t="str">
        <f>IFERROR(__xludf.DUMMYFUNCTION("""COMPUTED_VALUE"""),"Ⓒ三沢ケイ・渚紗なぎ（秋田書店）")</f>
        <v>Ⓒ三沢ケイ・渚紗なぎ（秋田書店）</v>
      </c>
      <c r="V5416" s="8"/>
      <c r="W5416" s="8"/>
      <c r="X5416" s="8" t="str">
        <f>IFERROR(__xludf.DUMMYFUNCTION("""COMPUTED_VALUE"""),"有")</f>
        <v>有</v>
      </c>
      <c r="Y5416" s="8" t="str">
        <f>IFERROR(__xludf.DUMMYFUNCTION("""COMPUTED_VALUE"""),"2026/7/31まで1巻無料")</f>
        <v>2026/7/31まで1巻無料</v>
      </c>
      <c r="Z5416" s="7"/>
      <c r="AA5416" s="7"/>
      <c r="AB5416" s="7"/>
    </row>
    <row r="5417" ht="15.75" customHeight="1">
      <c r="A5417" s="26">
        <f>IFERROR(__xludf.DUMMYFUNCTION("""COMPUTED_VALUE"""),8205.0)</f>
        <v>8205</v>
      </c>
      <c r="B5417" s="22" t="str">
        <f>IFERROR(__xludf.DUMMYFUNCTION("""COMPUTED_VALUE"""),"確定")</f>
        <v>確定</v>
      </c>
      <c r="C5417" s="28">
        <f>IFERROR(__xludf.DUMMYFUNCTION("""COMPUTED_VALUE"""),46182.0)</f>
        <v>46182</v>
      </c>
      <c r="D5417" s="28">
        <f>IFERROR(__xludf.DUMMYFUNCTION("""COMPUTED_VALUE"""),46185.0)</f>
        <v>46185</v>
      </c>
      <c r="E5417" s="26">
        <f>IFERROR(__xludf.DUMMYFUNCTION("""COMPUTED_VALUE"""),364835.0)</f>
        <v>364835</v>
      </c>
      <c r="F5417" s="22" t="str">
        <f>IFERROR(__xludf.DUMMYFUNCTION("""COMPUTED_VALUE"""),"【R18】絶倫魔法使いとの淫靡な契約～異世界転移先でエッチな使い魔になっちゃいました～ 分冊版")</f>
        <v>【R18】絶倫魔法使いとの淫靡な契約～異世界転移先でエッチな使い魔になっちゃいました～ 分冊版</v>
      </c>
      <c r="G5417" s="20" t="str">
        <f>IFERROR(__xludf.DUMMYFUNCTION("""COMPUTED_VALUE"""),"1~3")</f>
        <v>1~3</v>
      </c>
      <c r="H5417" s="22" t="str">
        <f>IFERROR(__xludf.DUMMYFUNCTION("""COMPUTED_VALUE"""),"クロエ")</f>
        <v>クロエ</v>
      </c>
      <c r="I5417" s="22" t="str">
        <f>IFERROR(__xludf.DUMMYFUNCTION("""COMPUTED_VALUE"""),"アダルト")</f>
        <v>アダルト</v>
      </c>
      <c r="J5417" s="22"/>
      <c r="K5417" s="22" t="str">
        <f>IFERROR(__xludf.DUMMYFUNCTION("""COMPUTED_VALUE"""),"Close Moon")</f>
        <v>Close Moon</v>
      </c>
      <c r="L5417" s="22" t="str">
        <f>IFERROR(__xludf.DUMMYFUNCTION("""COMPUTED_VALUE"""),"ナンバーナイン")</f>
        <v>ナンバーナイン</v>
      </c>
      <c r="M5417" s="33">
        <f>IFERROR(__xludf.DUMMYFUNCTION("""COMPUTED_VALUE"""),46204.0)</f>
        <v>46204</v>
      </c>
      <c r="N5417" s="33">
        <f>IFERROR(__xludf.DUMMYFUNCTION("""COMPUTED_VALUE"""),46265.0)</f>
        <v>46265</v>
      </c>
      <c r="O5417" s="20"/>
      <c r="P5417" s="32" t="str">
        <f>IFERROR(__xludf.DUMMYFUNCTION("""COMPUTED_VALUE"""),"可")</f>
        <v>可</v>
      </c>
      <c r="Q5417" s="30" t="str">
        <f>IFERROR(__xludf.DUMMYFUNCTION("""COMPUTED_VALUE"""),"がるまに")</f>
        <v>がるまに</v>
      </c>
      <c r="R5417" s="22"/>
      <c r="S5417" s="22" t="str">
        <f>IFERROR(__xludf.DUMMYFUNCTION("""COMPUTED_VALUE"""),"20260611_ナンバーナイン_【R18】絶倫魔法使いとの淫靡な契約～異世界転移先でエッチな使い魔になっちゃいました～ 分冊版")</f>
        <v>20260611_ナンバーナイン_【R18】絶倫魔法使いとの淫靡な契約～異世界転移先でエッチな使い魔になっちゃいました～ 分冊版</v>
      </c>
      <c r="T5417" s="22" t="str">
        <f>IFERROR(__xludf.DUMMYFUNCTION("""COMPUTED_VALUE"""),"格納済み")</f>
        <v>格納済み</v>
      </c>
      <c r="U5417" s="9" t="str">
        <f>IFERROR(__xludf.DUMMYFUNCTION("""COMPUTED_VALUE"""),"(C)クロエ／ナンバーナイン")</f>
        <v>(C)クロエ／ナンバーナイン</v>
      </c>
      <c r="V5417" s="8"/>
      <c r="W5417" s="8"/>
      <c r="X5417" s="8" t="str">
        <f>IFERROR(__xludf.DUMMYFUNCTION("""COMPUTED_VALUE"""),"有")</f>
        <v>有</v>
      </c>
      <c r="Y5417" s="8" t="str">
        <f>IFERROR(__xludf.DUMMYFUNCTION("""COMPUTED_VALUE"""),"2026/8/15まで1巻無料")</f>
        <v>2026/8/15まで1巻無料</v>
      </c>
      <c r="Z5417" s="7"/>
      <c r="AA5417" s="7"/>
      <c r="AB5417" s="7"/>
    </row>
    <row r="5418" ht="15.75" customHeight="1">
      <c r="A5418" s="26">
        <f>IFERROR(__xludf.DUMMYFUNCTION("""COMPUTED_VALUE"""),8206.0)</f>
        <v>8206</v>
      </c>
      <c r="B5418" s="22" t="str">
        <f>IFERROR(__xludf.DUMMYFUNCTION("""COMPUTED_VALUE"""),"確定")</f>
        <v>確定</v>
      </c>
      <c r="C5418" s="28">
        <f>IFERROR(__xludf.DUMMYFUNCTION("""COMPUTED_VALUE"""),46183.0)</f>
        <v>46183</v>
      </c>
      <c r="D5418" s="28">
        <f>IFERROR(__xludf.DUMMYFUNCTION("""COMPUTED_VALUE"""),46184.0)</f>
        <v>46184</v>
      </c>
      <c r="E5418" s="26">
        <f>IFERROR(__xludf.DUMMYFUNCTION("""COMPUTED_VALUE"""),295323.0)</f>
        <v>295323</v>
      </c>
      <c r="F5418" s="22" t="str">
        <f>IFERROR(__xludf.DUMMYFUNCTION("""COMPUTED_VALUE"""),"虐げられた聖女候補は、隣国のヤンデレ公爵に溺愛される")</f>
        <v>虐げられた聖女候補は、隣国のヤンデレ公爵に溺愛される</v>
      </c>
      <c r="G5418" s="20" t="str">
        <f>IFERROR(__xludf.DUMMYFUNCTION("""COMPUTED_VALUE"""),"1~3")</f>
        <v>1~3</v>
      </c>
      <c r="H5418" s="22" t="str">
        <f>IFERROR(__xludf.DUMMYFUNCTION("""COMPUTED_VALUE"""),"こも,黒田美優")</f>
        <v>こも,黒田美優</v>
      </c>
      <c r="I5418" s="22" t="str">
        <f>IFERROR(__xludf.DUMMYFUNCTION("""COMPUTED_VALUE"""),"女性")</f>
        <v>女性</v>
      </c>
      <c r="J5418" s="22"/>
      <c r="K5418" s="22" t="str">
        <f>IFERROR(__xludf.DUMMYFUNCTION("""COMPUTED_VALUE"""),"恋するソワレ")</f>
        <v>恋するソワレ</v>
      </c>
      <c r="L5418" s="22" t="str">
        <f>IFERROR(__xludf.DUMMYFUNCTION("""COMPUTED_VALUE"""),"シーモアコミックス")</f>
        <v>シーモアコミックス</v>
      </c>
      <c r="M5418" s="33">
        <f>IFERROR(__xludf.DUMMYFUNCTION("""COMPUTED_VALUE"""),46208.0)</f>
        <v>46208</v>
      </c>
      <c r="N5418" s="33">
        <f>IFERROR(__xludf.DUMMYFUNCTION("""COMPUTED_VALUE"""),2958465.0)</f>
        <v>2958465</v>
      </c>
      <c r="O5418" s="20"/>
      <c r="P5418" s="32" t="str">
        <f>IFERROR(__xludf.DUMMYFUNCTION("""COMPUTED_VALUE"""),"可")</f>
        <v>可</v>
      </c>
      <c r="Q5418" s="30"/>
      <c r="R5418" s="22"/>
      <c r="S5418" s="22" t="str">
        <f>IFERROR(__xludf.DUMMYFUNCTION("""COMPUTED_VALUE"""),"20260601_シーモアコミックス_虐げられた聖女候補は、隣国のヤンデレ公爵に溺愛される")</f>
        <v>20260601_シーモアコミックス_虐げられた聖女候補は、隣国のヤンデレ公爵に溺愛される</v>
      </c>
      <c r="T5418" s="22" t="str">
        <f>IFERROR(__xludf.DUMMYFUNCTION("""COMPUTED_VALUE"""),"格納済み")</f>
        <v>格納済み</v>
      </c>
      <c r="U5418" s="9" t="str">
        <f>IFERROR(__xludf.DUMMYFUNCTION("""COMPUTED_VALUE"""),"(C) こも/黒田美優/シーモアコミックス")</f>
        <v>(C) こも/黒田美優/シーモアコミックス</v>
      </c>
      <c r="V5418" s="8"/>
      <c r="W5418" s="8"/>
      <c r="X5418" s="8" t="str">
        <f>IFERROR(__xludf.DUMMYFUNCTION("""COMPUTED_VALUE"""),"有")</f>
        <v>有</v>
      </c>
      <c r="Y5418" s="8" t="str">
        <f>IFERROR(__xludf.DUMMYFUNCTION("""COMPUTED_VALUE"""),"2026/8/1まで1巻無料")</f>
        <v>2026/8/1まで1巻無料</v>
      </c>
      <c r="Z5418" s="7"/>
      <c r="AA5418" s="7"/>
      <c r="AB5418" s="7"/>
    </row>
    <row r="5419" ht="15.75" customHeight="1">
      <c r="A5419" s="26">
        <f>IFERROR(__xludf.DUMMYFUNCTION("""COMPUTED_VALUE"""),8207.0)</f>
        <v>8207</v>
      </c>
      <c r="B5419" s="22" t="str">
        <f>IFERROR(__xludf.DUMMYFUNCTION("""COMPUTED_VALUE"""),"確定")</f>
        <v>確定</v>
      </c>
      <c r="C5419" s="28">
        <f>IFERROR(__xludf.DUMMYFUNCTION("""COMPUTED_VALUE"""),46183.0)</f>
        <v>46183</v>
      </c>
      <c r="D5419" s="28">
        <f>IFERROR(__xludf.DUMMYFUNCTION("""COMPUTED_VALUE"""),46185.0)</f>
        <v>46185</v>
      </c>
      <c r="E5419" s="26">
        <f>IFERROR(__xludf.DUMMYFUNCTION("""COMPUTED_VALUE"""),362114.0)</f>
        <v>362114</v>
      </c>
      <c r="F5419" s="22" t="str">
        <f>IFERROR(__xludf.DUMMYFUNCTION("""COMPUTED_VALUE"""),"よりみちの多い恋ですが 分冊版")</f>
        <v>よりみちの多い恋ですが 分冊版</v>
      </c>
      <c r="G5419" s="20">
        <f>IFERROR(__xludf.DUMMYFUNCTION("""COMPUTED_VALUE"""),1.0)</f>
        <v>1</v>
      </c>
      <c r="H5419" s="22" t="str">
        <f>IFERROR(__xludf.DUMMYFUNCTION("""COMPUTED_VALUE"""),"かけたま")</f>
        <v>かけたま</v>
      </c>
      <c r="I5419" s="22" t="str">
        <f>IFERROR(__xludf.DUMMYFUNCTION("""COMPUTED_VALUE"""),"BLマンガ")</f>
        <v>BLマンガ</v>
      </c>
      <c r="J5419" s="22"/>
      <c r="K5419" s="22" t="str">
        <f>IFERROR(__xludf.DUMMYFUNCTION("""COMPUTED_VALUE"""),"チルシェコミックス")</f>
        <v>チルシェコミックス</v>
      </c>
      <c r="L5419" s="22" t="str">
        <f>IFERROR(__xludf.DUMMYFUNCTION("""COMPUTED_VALUE"""),"双葉社")</f>
        <v>双葉社</v>
      </c>
      <c r="M5419" s="33">
        <f>IFERROR(__xludf.DUMMYFUNCTION("""COMPUTED_VALUE"""),46192.0)</f>
        <v>46192</v>
      </c>
      <c r="N5419" s="33">
        <f>IFERROR(__xludf.DUMMYFUNCTION("""COMPUTED_VALUE"""),46221.0)</f>
        <v>46221</v>
      </c>
      <c r="O5419" s="20" t="str">
        <f>IFERROR(__xludf.DUMMYFUNCTION("""COMPUTED_VALUE"""),"【アダルト作品扱い】")</f>
        <v>【アダルト作品扱い】</v>
      </c>
      <c r="P5419" s="32" t="str">
        <f>IFERROR(__xludf.DUMMYFUNCTION("""COMPUTED_VALUE"""),"可")</f>
        <v>可</v>
      </c>
      <c r="Q5419" s="30"/>
      <c r="R5419" s="22"/>
      <c r="S5419" s="22" t="str">
        <f>IFERROR(__xludf.DUMMYFUNCTION("""COMPUTED_VALUE"""),"20260610_双葉社_よりみちの多い恋ですが 分冊版")</f>
        <v>20260610_双葉社_よりみちの多い恋ですが 分冊版</v>
      </c>
      <c r="T5419" s="22" t="str">
        <f>IFERROR(__xludf.DUMMYFUNCTION("""COMPUTED_VALUE"""),"格納済み")</f>
        <v>格納済み</v>
      </c>
      <c r="U5419" s="9" t="str">
        <f>IFERROR(__xludf.DUMMYFUNCTION("""COMPUTED_VALUE"""),"Ⓒかけたま/双葉社")</f>
        <v>Ⓒかけたま/双葉社</v>
      </c>
      <c r="V5419" s="8"/>
      <c r="W5419" s="8"/>
      <c r="X5419" s="8" t="str">
        <f>IFERROR(__xludf.DUMMYFUNCTION("""COMPUTED_VALUE"""),"有")</f>
        <v>有</v>
      </c>
      <c r="Y5419" s="8" t="str">
        <f>IFERROR(__xludf.DUMMYFUNCTION("""COMPUTED_VALUE"""),"p13まで")</f>
        <v>p13まで</v>
      </c>
      <c r="Z5419" s="7"/>
      <c r="AA5419" s="7"/>
      <c r="AB5419" s="7"/>
    </row>
    <row r="5420" ht="15.75" customHeight="1">
      <c r="A5420" s="26">
        <f>IFERROR(__xludf.DUMMYFUNCTION("""COMPUTED_VALUE"""),8212.0)</f>
        <v>8212</v>
      </c>
      <c r="B5420" s="22" t="str">
        <f>IFERROR(__xludf.DUMMYFUNCTION("""COMPUTED_VALUE"""),"確定")</f>
        <v>確定</v>
      </c>
      <c r="C5420" s="28">
        <f>IFERROR(__xludf.DUMMYFUNCTION("""COMPUTED_VALUE"""),46184.0)</f>
        <v>46184</v>
      </c>
      <c r="D5420" s="28">
        <f>IFERROR(__xludf.DUMMYFUNCTION("""COMPUTED_VALUE"""),46184.0)</f>
        <v>46184</v>
      </c>
      <c r="E5420" s="26">
        <f>IFERROR(__xludf.DUMMYFUNCTION("""COMPUTED_VALUE"""),336034.0)</f>
        <v>336034</v>
      </c>
      <c r="F5420" s="22" t="str">
        <f>IFERROR(__xludf.DUMMYFUNCTION("""COMPUTED_VALUE"""),"嘘つきナギくんはバカ甘い")</f>
        <v>嘘つきナギくんはバカ甘い</v>
      </c>
      <c r="G5420" s="20" t="str">
        <f>IFERROR(__xludf.DUMMYFUNCTION("""COMPUTED_VALUE"""),"1~2")</f>
        <v>1~2</v>
      </c>
      <c r="H5420" s="22" t="str">
        <f>IFERROR(__xludf.DUMMYFUNCTION("""COMPUTED_VALUE"""),"羽毛")</f>
        <v>羽毛</v>
      </c>
      <c r="I5420" s="22" t="str">
        <f>IFERROR(__xludf.DUMMYFUNCTION("""COMPUTED_VALUE"""),"BL")</f>
        <v>BL</v>
      </c>
      <c r="J5420" s="22"/>
      <c r="K5420" s="22" t="str">
        <f>IFERROR(__xludf.DUMMYFUNCTION("""COMPUTED_VALUE"""),"Ficus")</f>
        <v>Ficus</v>
      </c>
      <c r="L5420" s="22" t="str">
        <f>IFERROR(__xludf.DUMMYFUNCTION("""COMPUTED_VALUE"""),"シーモアコミックス")</f>
        <v>シーモアコミックス</v>
      </c>
      <c r="M5420" s="33">
        <f>IFERROR(__xludf.DUMMYFUNCTION("""COMPUTED_VALUE"""),46200.0)</f>
        <v>46200</v>
      </c>
      <c r="N5420" s="33">
        <f>IFERROR(__xludf.DUMMYFUNCTION("""COMPUTED_VALUE"""),2958465.0)</f>
        <v>2958465</v>
      </c>
      <c r="O5420" s="20"/>
      <c r="P5420" s="32" t="str">
        <f>IFERROR(__xludf.DUMMYFUNCTION("""COMPUTED_VALUE"""),"可")</f>
        <v>可</v>
      </c>
      <c r="Q5420" s="30"/>
      <c r="R5420" s="22"/>
      <c r="S5420" s="22" t="str">
        <f>IFERROR(__xludf.DUMMYFUNCTION("""COMPUTED_VALUE"""),"20260525_シーモアコミックス_嘘つきナギくんはバカ甘い")</f>
        <v>20260525_シーモアコミックス_嘘つきナギくんはバカ甘い</v>
      </c>
      <c r="T5420" s="22" t="str">
        <f>IFERROR(__xludf.DUMMYFUNCTION("""COMPUTED_VALUE"""),"格納済み")</f>
        <v>格納済み</v>
      </c>
      <c r="U5420" s="9" t="str">
        <f>IFERROR(__xludf.DUMMYFUNCTION("""COMPUTED_VALUE"""),"(C) 羽毛/シーモアコミックス")</f>
        <v>(C) 羽毛/シーモアコミックス</v>
      </c>
      <c r="V5420" s="8"/>
      <c r="W5420" s="8"/>
      <c r="X5420" s="8" t="str">
        <f>IFERROR(__xludf.DUMMYFUNCTION("""COMPUTED_VALUE"""),"有")</f>
        <v>有</v>
      </c>
      <c r="Y5420" s="8" t="str">
        <f>IFERROR(__xludf.DUMMYFUNCTION("""COMPUTED_VALUE"""),"p8まで")</f>
        <v>p8まで</v>
      </c>
      <c r="Z5420" s="7"/>
      <c r="AA5420" s="7"/>
      <c r="AB5420" s="7"/>
    </row>
    <row r="5421" ht="15.75" customHeight="1">
      <c r="A5421" s="26">
        <f>IFERROR(__xludf.DUMMYFUNCTION("""COMPUTED_VALUE"""),8214.0)</f>
        <v>8214</v>
      </c>
      <c r="B5421" s="22" t="str">
        <f>IFERROR(__xludf.DUMMYFUNCTION("""COMPUTED_VALUE"""),"確定")</f>
        <v>確定</v>
      </c>
      <c r="C5421" s="28">
        <f>IFERROR(__xludf.DUMMYFUNCTION("""COMPUTED_VALUE"""),46184.0)</f>
        <v>46184</v>
      </c>
      <c r="D5421" s="28">
        <f>IFERROR(__xludf.DUMMYFUNCTION("""COMPUTED_VALUE"""),46189.0)</f>
        <v>46189</v>
      </c>
      <c r="E5421" s="26">
        <f>IFERROR(__xludf.DUMMYFUNCTION("""COMPUTED_VALUE"""),363931.0)</f>
        <v>363931</v>
      </c>
      <c r="F5421" s="22" t="str">
        <f>IFERROR(__xludf.DUMMYFUNCTION("""COMPUTED_VALUE"""),"訳アリ小鳥遊くんと××したい")</f>
        <v>訳アリ小鳥遊くんと××したい</v>
      </c>
      <c r="G5421" s="20">
        <f>IFERROR(__xludf.DUMMYFUNCTION("""COMPUTED_VALUE"""),1.0)</f>
        <v>1</v>
      </c>
      <c r="H5421" s="22" t="str">
        <f>IFERROR(__xludf.DUMMYFUNCTION("""COMPUTED_VALUE"""),"神田ちな")</f>
        <v>神田ちな</v>
      </c>
      <c r="I5421" s="22" t="str">
        <f>IFERROR(__xludf.DUMMYFUNCTION("""COMPUTED_VALUE"""),"少女")</f>
        <v>少女</v>
      </c>
      <c r="J5421" s="22"/>
      <c r="K5421" s="22"/>
      <c r="L5421" s="22" t="str">
        <f>IFERROR(__xludf.DUMMYFUNCTION("""COMPUTED_VALUE"""),"集英社")</f>
        <v>集英社</v>
      </c>
      <c r="M5421" s="33">
        <f>IFERROR(__xludf.DUMMYFUNCTION("""COMPUTED_VALUE"""),46201.0)</f>
        <v>46201</v>
      </c>
      <c r="N5421" s="33">
        <f>IFERROR(__xludf.DUMMYFUNCTION("""COMPUTED_VALUE"""),46225.0)</f>
        <v>46225</v>
      </c>
      <c r="O5421" s="20"/>
      <c r="P5421" s="32" t="str">
        <f>IFERROR(__xludf.DUMMYFUNCTION("""COMPUTED_VALUE"""),"否")</f>
        <v>否</v>
      </c>
      <c r="Q5421" s="30" t="str">
        <f>IFERROR(__xludf.DUMMYFUNCTION("""COMPUTED_VALUE"""),"単行本です。格納している1~5話の素材が単行本1巻に相当します。")</f>
        <v>単行本です。格納している1~5話の素材が単行本1巻に相当します。</v>
      </c>
      <c r="R5421" s="22"/>
      <c r="S5421" s="22" t="str">
        <f>IFERROR(__xludf.DUMMYFUNCTION("""COMPUTED_VALUE"""),"20260601‗集英社‗訳アリ小鳥遊くんと××したい")</f>
        <v>20260601‗集英社‗訳アリ小鳥遊くんと××したい</v>
      </c>
      <c r="T5421" s="22" t="str">
        <f>IFERROR(__xludf.DUMMYFUNCTION("""COMPUTED_VALUE"""),"格納済み")</f>
        <v>格納済み</v>
      </c>
      <c r="U5421" s="9" t="str">
        <f>IFERROR(__xludf.DUMMYFUNCTION("""COMPUTED_VALUE"""),"Ⓒ神田ちな／集英社")</f>
        <v>Ⓒ神田ちな／集英社</v>
      </c>
      <c r="V5421" s="8"/>
      <c r="W5421" s="8"/>
      <c r="X5421" s="8" t="str">
        <f>IFERROR(__xludf.DUMMYFUNCTION("""COMPUTED_VALUE"""),"有")</f>
        <v>有</v>
      </c>
      <c r="Y5421" s="8" t="str">
        <f>IFERROR(__xludf.DUMMYFUNCTION("""COMPUTED_VALUE"""),"2026/7/27まで1巻立ち読み増量p80まで")</f>
        <v>2026/7/27まで1巻立ち読み増量p80まで</v>
      </c>
      <c r="Z5421" s="7"/>
      <c r="AA5421" s="7"/>
      <c r="AB5421" s="7"/>
    </row>
    <row r="5422" ht="15.75" customHeight="1">
      <c r="A5422" s="26">
        <f>IFERROR(__xludf.DUMMYFUNCTION("""COMPUTED_VALUE"""),8217.0)</f>
        <v>8217</v>
      </c>
      <c r="B5422" s="22" t="str">
        <f>IFERROR(__xludf.DUMMYFUNCTION("""COMPUTED_VALUE"""),"確定")</f>
        <v>確定</v>
      </c>
      <c r="C5422" s="28">
        <f>IFERROR(__xludf.DUMMYFUNCTION("""COMPUTED_VALUE"""),46184.0)</f>
        <v>46184</v>
      </c>
      <c r="D5422" s="28">
        <f>IFERROR(__xludf.DUMMYFUNCTION("""COMPUTED_VALUE"""),46184.0)</f>
        <v>46184</v>
      </c>
      <c r="E5422" s="26">
        <f>IFERROR(__xludf.DUMMYFUNCTION("""COMPUTED_VALUE"""),364023.0)</f>
        <v>364023</v>
      </c>
      <c r="F5422" s="22" t="str">
        <f>IFERROR(__xludf.DUMMYFUNCTION("""COMPUTED_VALUE"""),"35歳恋愛処女、猫間くんに迫られてます")</f>
        <v>35歳恋愛処女、猫間くんに迫られてます</v>
      </c>
      <c r="G5422" s="20" t="str">
        <f>IFERROR(__xludf.DUMMYFUNCTION("""COMPUTED_VALUE"""),"1~3")</f>
        <v>1~3</v>
      </c>
      <c r="H5422" s="22" t="str">
        <f>IFERROR(__xludf.DUMMYFUNCTION("""COMPUTED_VALUE"""),"春月こまり")</f>
        <v>春月こまり</v>
      </c>
      <c r="I5422" s="22" t="str">
        <f>IFERROR(__xludf.DUMMYFUNCTION("""COMPUTED_VALUE"""),"女性")</f>
        <v>女性</v>
      </c>
      <c r="J5422" s="22"/>
      <c r="K5422" s="22"/>
      <c r="L5422" s="22" t="str">
        <f>IFERROR(__xludf.DUMMYFUNCTION("""COMPUTED_VALUE"""),"ファンギルド")</f>
        <v>ファンギルド</v>
      </c>
      <c r="M5422" s="33">
        <f>IFERROR(__xludf.DUMMYFUNCTION("""COMPUTED_VALUE"""),46211.0)</f>
        <v>46211</v>
      </c>
      <c r="N5422" s="33">
        <f>IFERROR(__xludf.DUMMYFUNCTION("""COMPUTED_VALUE"""),46273.0)</f>
        <v>46273</v>
      </c>
      <c r="O5422" s="20"/>
      <c r="P5422" s="32" t="str">
        <f>IFERROR(__xludf.DUMMYFUNCTION("""COMPUTED_VALUE"""),"可")</f>
        <v>可</v>
      </c>
      <c r="Q5422" s="30"/>
      <c r="R5422" s="22"/>
      <c r="S5422" s="22" t="str">
        <f>IFERROR(__xludf.DUMMYFUNCTION("""COMPUTED_VALUE"""),"20260602_ファンギルド_35歳恋愛処女、猫間くんに迫られてます")</f>
        <v>20260602_ファンギルド_35歳恋愛処女、猫間くんに迫られてます</v>
      </c>
      <c r="T5422" s="22" t="str">
        <f>IFERROR(__xludf.DUMMYFUNCTION("""COMPUTED_VALUE"""),"格納済み")</f>
        <v>格納済み</v>
      </c>
      <c r="U5422" s="9" t="str">
        <f>IFERROR(__xludf.DUMMYFUNCTION("""COMPUTED_VALUE"""),"Ⓒ春月こまり/ファンギルド")</f>
        <v>Ⓒ春月こまり/ファンギルド</v>
      </c>
      <c r="V5422" s="8"/>
      <c r="W5422" s="8"/>
      <c r="X5422" s="8" t="str">
        <f>IFERROR(__xludf.DUMMYFUNCTION("""COMPUTED_VALUE"""),"有")</f>
        <v>有</v>
      </c>
      <c r="Y5422" s="8" t="str">
        <f>IFERROR(__xludf.DUMMYFUNCTION("""COMPUTED_VALUE"""),"2026/9/8まで1巻無料")</f>
        <v>2026/9/8まで1巻無料</v>
      </c>
      <c r="Z5422" s="7"/>
      <c r="AA5422" s="7"/>
      <c r="AB5422" s="7"/>
    </row>
    <row r="5423" ht="15.75" customHeight="1">
      <c r="A5423" s="26">
        <f>IFERROR(__xludf.DUMMYFUNCTION("""COMPUTED_VALUE"""),8219.0)</f>
        <v>8219</v>
      </c>
      <c r="B5423" s="22" t="str">
        <f>IFERROR(__xludf.DUMMYFUNCTION("""COMPUTED_VALUE"""),"確定")</f>
        <v>確定</v>
      </c>
      <c r="C5423" s="28">
        <f>IFERROR(__xludf.DUMMYFUNCTION("""COMPUTED_VALUE"""),46184.0)</f>
        <v>46184</v>
      </c>
      <c r="D5423" s="28">
        <f>IFERROR(__xludf.DUMMYFUNCTION("""COMPUTED_VALUE"""),46185.0)</f>
        <v>46185</v>
      </c>
      <c r="E5423" s="26">
        <f>IFERROR(__xludf.DUMMYFUNCTION("""COMPUTED_VALUE"""),364224.0)</f>
        <v>364224</v>
      </c>
      <c r="F5423" s="22" t="str">
        <f>IFERROR(__xludf.DUMMYFUNCTION("""COMPUTED_VALUE"""),"【単話版】疎まれ聖女、やり直し人生で公爵様の妹君の家庭教師になる～貴方、私の事お嫌いでしたよね？なんで今回は溺愛してくるんですか～@COMIC")</f>
        <v>【単話版】疎まれ聖女、やり直し人生で公爵様の妹君の家庭教師になる～貴方、私の事お嫌いでしたよね？なんで今回は溺愛してくるんですか～@COMIC</v>
      </c>
      <c r="G5423" s="20" t="str">
        <f>IFERROR(__xludf.DUMMYFUNCTION("""COMPUTED_VALUE"""),"1~3")</f>
        <v>1~3</v>
      </c>
      <c r="H5423" s="22" t="str">
        <f>IFERROR(__xludf.DUMMYFUNCTION("""COMPUTED_VALUE"""),"よるアサカ/あおいかずき/羽公")</f>
        <v>よるアサカ/あおいかずき/羽公</v>
      </c>
      <c r="I5423" s="22" t="str">
        <f>IFERROR(__xludf.DUMMYFUNCTION("""COMPUTED_VALUE"""),"少女")</f>
        <v>少女</v>
      </c>
      <c r="J5423" s="22"/>
      <c r="K5423" s="22" t="str">
        <f>IFERROR(__xludf.DUMMYFUNCTION("""COMPUTED_VALUE"""),"Celicaコミックス")</f>
        <v>Celicaコミックス</v>
      </c>
      <c r="L5423" s="22" t="str">
        <f>IFERROR(__xludf.DUMMYFUNCTION("""COMPUTED_VALUE"""),"TOブックス")</f>
        <v>TOブックス</v>
      </c>
      <c r="M5423" s="33">
        <f>IFERROR(__xludf.DUMMYFUNCTION("""COMPUTED_VALUE"""),46204.0)</f>
        <v>46204</v>
      </c>
      <c r="N5423" s="33">
        <f>IFERROR(__xludf.DUMMYFUNCTION("""COMPUTED_VALUE"""),46265.0)</f>
        <v>46265</v>
      </c>
      <c r="O5423" s="20"/>
      <c r="P5423" s="32" t="str">
        <f>IFERROR(__xludf.DUMMYFUNCTION("""COMPUTED_VALUE"""),"可")</f>
        <v>可</v>
      </c>
      <c r="Q5423" s="30" t="str">
        <f>IFERROR(__xludf.DUMMYFUNCTION("""COMPUTED_VALUE"""),"1巻の素材は『260209_疎まれ聖女_コミックス_2話_配信用データ（次回予告含む）』フォルダに入っております。&lt;BR&gt;")</f>
        <v>1巻の素材は『260209_疎まれ聖女_コミックス_2話_配信用データ（次回予告含む）』フォルダに入っております。&lt;BR&gt;</v>
      </c>
      <c r="R5423" s="22"/>
      <c r="S5423" s="22" t="str">
        <f>IFERROR(__xludf.DUMMYFUNCTION("""COMPUTED_VALUE"""),"20260602_TOブックス_疎まれ聖女、やり直し人生で公爵様の妹君の家庭教師になる～貴方、私の事お嫌いでしたよね？なんで今回は溺愛してくるんですか～@COMIC")</f>
        <v>20260602_TOブックス_疎まれ聖女、やり直し人生で公爵様の妹君の家庭教師になる～貴方、私の事お嫌いでしたよね？なんで今回は溺愛してくるんですか～@COMIC</v>
      </c>
      <c r="T5423" s="22" t="str">
        <f>IFERROR(__xludf.DUMMYFUNCTION("""COMPUTED_VALUE"""),"格納済み")</f>
        <v>格納済み</v>
      </c>
      <c r="U5423" s="9" t="str">
        <f>IFERROR(__xludf.DUMMYFUNCTION("""COMPUTED_VALUE"""),"(C) Asaka Yoru / Kazuki Aoi")</f>
        <v>(C) Asaka Yoru / Kazuki Aoi</v>
      </c>
      <c r="V5423" s="8"/>
      <c r="W5423" s="8"/>
      <c r="X5423" s="8" t="str">
        <f>IFERROR(__xludf.DUMMYFUNCTION("""COMPUTED_VALUE"""),"有")</f>
        <v>有</v>
      </c>
      <c r="Y5423" s="8" t="str">
        <f>IFERROR(__xludf.DUMMYFUNCTION("""COMPUTED_VALUE"""),"2026/7/14まで1巻p25まで立ち読み増量")</f>
        <v>2026/7/14まで1巻p25まで立ち読み増量</v>
      </c>
      <c r="Z5423" s="7"/>
      <c r="AA5423" s="7"/>
      <c r="AB5423" s="7"/>
    </row>
    <row r="5424" ht="15.75" customHeight="1">
      <c r="A5424" s="26">
        <f>IFERROR(__xludf.DUMMYFUNCTION("""COMPUTED_VALUE"""),8220.0)</f>
        <v>8220</v>
      </c>
      <c r="B5424" s="22" t="str">
        <f>IFERROR(__xludf.DUMMYFUNCTION("""COMPUTED_VALUE"""),"確定")</f>
        <v>確定</v>
      </c>
      <c r="C5424" s="28">
        <f>IFERROR(__xludf.DUMMYFUNCTION("""COMPUTED_VALUE"""),46185.0)</f>
        <v>46185</v>
      </c>
      <c r="D5424" s="28">
        <f>IFERROR(__xludf.DUMMYFUNCTION("""COMPUTED_VALUE"""),46188.0)</f>
        <v>46188</v>
      </c>
      <c r="E5424" s="26">
        <f>IFERROR(__xludf.DUMMYFUNCTION("""COMPUTED_VALUE"""),364227.0)</f>
        <v>364227</v>
      </c>
      <c r="F5424" s="22" t="str">
        <f>IFERROR(__xludf.DUMMYFUNCTION("""COMPUTED_VALUE"""),"【単話版】辺境の魔女と白い竜の幸せな森暮らし～めぐる季節を、最愛のあなたと共に～@COMIC")</f>
        <v>【単話版】辺境の魔女と白い竜の幸せな森暮らし～めぐる季節を、最愛のあなたと共に～@COMIC</v>
      </c>
      <c r="G5424" s="20" t="str">
        <f>IFERROR(__xludf.DUMMYFUNCTION("""COMPUTED_VALUE"""),"1~4")</f>
        <v>1~4</v>
      </c>
      <c r="H5424" s="22" t="str">
        <f>IFERROR(__xludf.DUMMYFUNCTION("""COMPUTED_VALUE"""),"空まめ/一ノ谷鈴/紅木春")</f>
        <v>空まめ/一ノ谷鈴/紅木春</v>
      </c>
      <c r="I5424" s="22" t="str">
        <f>IFERROR(__xludf.DUMMYFUNCTION("""COMPUTED_VALUE"""),"少女")</f>
        <v>少女</v>
      </c>
      <c r="J5424" s="22"/>
      <c r="K5424" s="22" t="str">
        <f>IFERROR(__xludf.DUMMYFUNCTION("""COMPUTED_VALUE"""),"Celicaコミックス")</f>
        <v>Celicaコミックス</v>
      </c>
      <c r="L5424" s="22" t="str">
        <f>IFERROR(__xludf.DUMMYFUNCTION("""COMPUTED_VALUE"""),"TOブックス")</f>
        <v>TOブックス</v>
      </c>
      <c r="M5424" s="33">
        <f>IFERROR(__xludf.DUMMYFUNCTION("""COMPUTED_VALUE"""),46204.0)</f>
        <v>46204</v>
      </c>
      <c r="N5424" s="33">
        <f>IFERROR(__xludf.DUMMYFUNCTION("""COMPUTED_VALUE"""),46265.0)</f>
        <v>46265</v>
      </c>
      <c r="O5424" s="20"/>
      <c r="P5424" s="32" t="str">
        <f>IFERROR(__xludf.DUMMYFUNCTION("""COMPUTED_VALUE"""),"可")</f>
        <v>可</v>
      </c>
      <c r="Q5424" s="30"/>
      <c r="R5424" s="22"/>
      <c r="S5424" s="22" t="str">
        <f>IFERROR(__xludf.DUMMYFUNCTION("""COMPUTED_VALUE"""),"20260602_TOブックス_辺境の魔女と白い竜の幸せな森暮らし～めぐる季節を、最愛のあなたと共に～@COMIC")</f>
        <v>20260602_TOブックス_辺境の魔女と白い竜の幸せな森暮らし～めぐる季節を、最愛のあなたと共に～@COMIC</v>
      </c>
      <c r="T5424" s="22" t="str">
        <f>IFERROR(__xludf.DUMMYFUNCTION("""COMPUTED_VALUE"""),"格納済み")</f>
        <v>格納済み</v>
      </c>
      <c r="U5424" s="9" t="str">
        <f>IFERROR(__xludf.DUMMYFUNCTION("""COMPUTED_VALUE"""),"(C) Soramame / Rin lchinotani")</f>
        <v>(C) Soramame / Rin lchinotani</v>
      </c>
      <c r="V5424" s="8"/>
      <c r="W5424" s="8"/>
      <c r="X5424" s="8" t="str">
        <f>IFERROR(__xludf.DUMMYFUNCTION("""COMPUTED_VALUE"""),"有")</f>
        <v>有</v>
      </c>
      <c r="Y5424" s="8" t="str">
        <f>IFERROR(__xludf.DUMMYFUNCTION("""COMPUTED_VALUE"""),"1巻永久無料")</f>
        <v>1巻永久無料</v>
      </c>
      <c r="Z5424" s="7"/>
      <c r="AA5424" s="7"/>
      <c r="AB5424" s="7"/>
    </row>
    <row r="5425" ht="15.75" customHeight="1">
      <c r="A5425" s="26">
        <f>IFERROR(__xludf.DUMMYFUNCTION("""COMPUTED_VALUE"""),8221.0)</f>
        <v>8221</v>
      </c>
      <c r="B5425" s="22" t="str">
        <f>IFERROR(__xludf.DUMMYFUNCTION("""COMPUTED_VALUE"""),"確定")</f>
        <v>確定</v>
      </c>
      <c r="C5425" s="28">
        <f>IFERROR(__xludf.DUMMYFUNCTION("""COMPUTED_VALUE"""),46185.0)</f>
        <v>46185</v>
      </c>
      <c r="D5425" s="28">
        <f>IFERROR(__xludf.DUMMYFUNCTION("""COMPUTED_VALUE"""),46189.0)</f>
        <v>46189</v>
      </c>
      <c r="E5425" s="26">
        <f>IFERROR(__xludf.DUMMYFUNCTION("""COMPUTED_VALUE"""),366724.0)</f>
        <v>366724</v>
      </c>
      <c r="F5425" s="22" t="str">
        <f>IFERROR(__xludf.DUMMYFUNCTION("""COMPUTED_VALUE"""),"推しカプの攻めが、かわいすぎて困る")</f>
        <v>推しカプの攻めが、かわいすぎて困る</v>
      </c>
      <c r="G5425" s="20" t="str">
        <f>IFERROR(__xludf.DUMMYFUNCTION("""COMPUTED_VALUE"""),"1~2")</f>
        <v>1~2</v>
      </c>
      <c r="H5425" s="22" t="str">
        <f>IFERROR(__xludf.DUMMYFUNCTION("""COMPUTED_VALUE"""),"綴屋めぐる")</f>
        <v>綴屋めぐる</v>
      </c>
      <c r="I5425" s="22" t="str">
        <f>IFERROR(__xludf.DUMMYFUNCTION("""COMPUTED_VALUE"""),"BL")</f>
        <v>BL</v>
      </c>
      <c r="J5425" s="22"/>
      <c r="K5425" s="22" t="str">
        <f>IFERROR(__xludf.DUMMYFUNCTION("""COMPUTED_VALUE"""),"NuPu")</f>
        <v>NuPu</v>
      </c>
      <c r="L5425" s="22" t="str">
        <f>IFERROR(__xludf.DUMMYFUNCTION("""COMPUTED_VALUE"""),"CLLENN")</f>
        <v>CLLENN</v>
      </c>
      <c r="M5425" s="33">
        <f>IFERROR(__xludf.DUMMYFUNCTION("""COMPUTED_VALUE"""),46219.0)</f>
        <v>46219</v>
      </c>
      <c r="N5425" s="33">
        <f>IFERROR(__xludf.DUMMYFUNCTION("""COMPUTED_VALUE"""),46281.0)</f>
        <v>46281</v>
      </c>
      <c r="O5425" s="20"/>
      <c r="P5425" s="32" t="str">
        <f>IFERROR(__xludf.DUMMYFUNCTION("""COMPUTED_VALUE"""),"可")</f>
        <v>可</v>
      </c>
      <c r="Q5425" s="30"/>
      <c r="R5425" s="22"/>
      <c r="S5425" s="22" t="str">
        <f>IFERROR(__xludf.DUMMYFUNCTION("""COMPUTED_VALUE"""),"20260612_CLLENN_推しカプの攻めが、かわいすぎて困る")</f>
        <v>20260612_CLLENN_推しカプの攻めが、かわいすぎて困る</v>
      </c>
      <c r="T5425" s="22" t="str">
        <f>IFERROR(__xludf.DUMMYFUNCTION("""COMPUTED_VALUE"""),"格納済み")</f>
        <v>格納済み</v>
      </c>
      <c r="U5425" s="9" t="str">
        <f>IFERROR(__xludf.DUMMYFUNCTION("""COMPUTED_VALUE"""),"Ⓒ綴屋めぐる/CLLENN")</f>
        <v>Ⓒ綴屋めぐる/CLLENN</v>
      </c>
      <c r="V5425" s="8"/>
      <c r="W5425" s="8"/>
      <c r="X5425" s="8" t="str">
        <f>IFERROR(__xludf.DUMMYFUNCTION("""COMPUTED_VALUE"""),"有")</f>
        <v>有</v>
      </c>
      <c r="Y5425" s="8" t="str">
        <f>IFERROR(__xludf.DUMMYFUNCTION("""COMPUTED_VALUE"""),"2026/7/29まで1巻p18まで立ち読み増量")</f>
        <v>2026/7/29まで1巻p18まで立ち読み増量</v>
      </c>
      <c r="Z5425" s="7"/>
      <c r="AA5425" s="7"/>
      <c r="AB5425" s="7"/>
    </row>
    <row r="5426" ht="15.75" customHeight="1">
      <c r="A5426" s="26">
        <f>IFERROR(__xludf.DUMMYFUNCTION("""COMPUTED_VALUE"""),8224.0)</f>
        <v>8224</v>
      </c>
      <c r="B5426" s="22" t="str">
        <f>IFERROR(__xludf.DUMMYFUNCTION("""COMPUTED_VALUE"""),"確定")</f>
        <v>確定</v>
      </c>
      <c r="C5426" s="28">
        <f>IFERROR(__xludf.DUMMYFUNCTION("""COMPUTED_VALUE"""),46185.0)</f>
        <v>46185</v>
      </c>
      <c r="D5426" s="28">
        <f>IFERROR(__xludf.DUMMYFUNCTION("""COMPUTED_VALUE"""),46189.0)</f>
        <v>46189</v>
      </c>
      <c r="E5426" s="26">
        <f>IFERROR(__xludf.DUMMYFUNCTION("""COMPUTED_VALUE"""),366720.0)</f>
        <v>366720</v>
      </c>
      <c r="F5426" s="22" t="str">
        <f>IFERROR(__xludf.DUMMYFUNCTION("""COMPUTED_VALUE"""),"情愛オフレコード")</f>
        <v>情愛オフレコード</v>
      </c>
      <c r="G5426" s="20" t="str">
        <f>IFERROR(__xludf.DUMMYFUNCTION("""COMPUTED_VALUE"""),"1～2")</f>
        <v>1～2</v>
      </c>
      <c r="H5426" s="22" t="str">
        <f>IFERROR(__xludf.DUMMYFUNCTION("""COMPUTED_VALUE"""),"八川キュウ")</f>
        <v>八川キュウ</v>
      </c>
      <c r="I5426" s="22" t="str">
        <f>IFERROR(__xludf.DUMMYFUNCTION("""COMPUTED_VALUE"""),"BL")</f>
        <v>BL</v>
      </c>
      <c r="J5426" s="22"/>
      <c r="K5426" s="22" t="str">
        <f>IFERROR(__xludf.DUMMYFUNCTION("""COMPUTED_VALUE"""),"NuPu")</f>
        <v>NuPu</v>
      </c>
      <c r="L5426" s="22" t="str">
        <f>IFERROR(__xludf.DUMMYFUNCTION("""COMPUTED_VALUE"""),"CLLENN")</f>
        <v>CLLENN</v>
      </c>
      <c r="M5426" s="33">
        <f>IFERROR(__xludf.DUMMYFUNCTION("""COMPUTED_VALUE"""),46219.0)</f>
        <v>46219</v>
      </c>
      <c r="N5426" s="33">
        <f>IFERROR(__xludf.DUMMYFUNCTION("""COMPUTED_VALUE"""),46281.0)</f>
        <v>46281</v>
      </c>
      <c r="O5426" s="20"/>
      <c r="P5426" s="32" t="str">
        <f>IFERROR(__xludf.DUMMYFUNCTION("""COMPUTED_VALUE"""),"可")</f>
        <v>可</v>
      </c>
      <c r="Q5426" s="30"/>
      <c r="R5426" s="22"/>
      <c r="S5426" s="22" t="str">
        <f>IFERROR(__xludf.DUMMYFUNCTION("""COMPUTED_VALUE"""),"20260612_CLLENN_情愛オフレコード")</f>
        <v>20260612_CLLENN_情愛オフレコード</v>
      </c>
      <c r="T5426" s="22" t="str">
        <f>IFERROR(__xludf.DUMMYFUNCTION("""COMPUTED_VALUE"""),"格納済み")</f>
        <v>格納済み</v>
      </c>
      <c r="U5426" s="9" t="str">
        <f>IFERROR(__xludf.DUMMYFUNCTION("""COMPUTED_VALUE"""),"Ⓒ八川キュウ/CLLENN")</f>
        <v>Ⓒ八川キュウ/CLLENN</v>
      </c>
      <c r="V5426" s="8"/>
      <c r="W5426" s="8"/>
      <c r="X5426" s="8" t="str">
        <f>IFERROR(__xludf.DUMMYFUNCTION("""COMPUTED_VALUE"""),"有")</f>
        <v>有</v>
      </c>
      <c r="Y5426" s="8" t="str">
        <f>IFERROR(__xludf.DUMMYFUNCTION("""COMPUTED_VALUE"""),"2026/7/29まで1巻p19まで立ち読み増量")</f>
        <v>2026/7/29まで1巻p19まで立ち読み増量</v>
      </c>
      <c r="Z5426" s="7"/>
      <c r="AA5426" s="7"/>
      <c r="AB5426" s="7"/>
    </row>
    <row r="5427" ht="15.75" customHeight="1">
      <c r="A5427" s="26">
        <f>IFERROR(__xludf.DUMMYFUNCTION("""COMPUTED_VALUE"""),8227.0)</f>
        <v>8227</v>
      </c>
      <c r="B5427" s="22" t="str">
        <f>IFERROR(__xludf.DUMMYFUNCTION("""COMPUTED_VALUE"""),"確定")</f>
        <v>確定</v>
      </c>
      <c r="C5427" s="28">
        <f>IFERROR(__xludf.DUMMYFUNCTION("""COMPUTED_VALUE"""),46185.0)</f>
        <v>46185</v>
      </c>
      <c r="D5427" s="28">
        <f>IFERROR(__xludf.DUMMYFUNCTION("""COMPUTED_VALUE"""),46189.0)</f>
        <v>46189</v>
      </c>
      <c r="E5427" s="26">
        <f>IFERROR(__xludf.DUMMYFUNCTION("""COMPUTED_VALUE"""),363925.0)</f>
        <v>363925</v>
      </c>
      <c r="F5427" s="22" t="str">
        <f>IFERROR(__xludf.DUMMYFUNCTION("""COMPUTED_VALUE"""),"Wi-Fiがつながらなくて")</f>
        <v>Wi-Fiがつながらなくて</v>
      </c>
      <c r="G5427" s="20">
        <f>IFERROR(__xludf.DUMMYFUNCTION("""COMPUTED_VALUE"""),1.0)</f>
        <v>1</v>
      </c>
      <c r="H5427" s="22" t="str">
        <f>IFERROR(__xludf.DUMMYFUNCTION("""COMPUTED_VALUE"""),"トミートミヤマ")</f>
        <v>トミートミヤマ</v>
      </c>
      <c r="I5427" s="22" t="str">
        <f>IFERROR(__xludf.DUMMYFUNCTION("""COMPUTED_VALUE"""),"女性")</f>
        <v>女性</v>
      </c>
      <c r="J5427" s="22"/>
      <c r="K5427" s="22"/>
      <c r="L5427" s="22" t="str">
        <f>IFERROR(__xludf.DUMMYFUNCTION("""COMPUTED_VALUE"""),"集英社")</f>
        <v>集英社</v>
      </c>
      <c r="M5427" s="33">
        <f>IFERROR(__xludf.DUMMYFUNCTION("""COMPUTED_VALUE"""),46201.0)</f>
        <v>46201</v>
      </c>
      <c r="N5427" s="33">
        <f>IFERROR(__xludf.DUMMYFUNCTION("""COMPUTED_VALUE"""),46225.0)</f>
        <v>46225</v>
      </c>
      <c r="O5427" s="20"/>
      <c r="P5427" s="32" t="str">
        <f>IFERROR(__xludf.DUMMYFUNCTION("""COMPUTED_VALUE"""),"否")</f>
        <v>否</v>
      </c>
      <c r="Q5427" s="30"/>
      <c r="R5427" s="22"/>
      <c r="S5427" s="22" t="str">
        <f>IFERROR(__xludf.DUMMYFUNCTION("""COMPUTED_VALUE"""),"20260612_集英社_Wi-Fiがつながらなくて")</f>
        <v>20260612_集英社_Wi-Fiがつながらなくて</v>
      </c>
      <c r="T5427" s="22" t="str">
        <f>IFERROR(__xludf.DUMMYFUNCTION("""COMPUTED_VALUE"""),"格納済み")</f>
        <v>格納済み</v>
      </c>
      <c r="U5427" s="9" t="str">
        <f>IFERROR(__xludf.DUMMYFUNCTION("""COMPUTED_VALUE"""),"Ⓒトミートミヤマ／集英社")</f>
        <v>Ⓒトミートミヤマ／集英社</v>
      </c>
      <c r="V5427" s="8"/>
      <c r="W5427" s="8"/>
      <c r="X5427" s="8" t="str">
        <f>IFERROR(__xludf.DUMMYFUNCTION("""COMPUTED_VALUE"""),"有")</f>
        <v>有</v>
      </c>
      <c r="Y5427" s="8" t="str">
        <f>IFERROR(__xludf.DUMMYFUNCTION("""COMPUTED_VALUE"""),"p5まで")</f>
        <v>p5まで</v>
      </c>
      <c r="Z5427" s="7"/>
      <c r="AA5427" s="7"/>
      <c r="AB5427" s="7"/>
    </row>
    <row r="5428" ht="15.75" customHeight="1">
      <c r="A5428" s="26">
        <f>IFERROR(__xludf.DUMMYFUNCTION("""COMPUTED_VALUE"""),8228.0)</f>
        <v>8228</v>
      </c>
      <c r="B5428" s="22" t="str">
        <f>IFERROR(__xludf.DUMMYFUNCTION("""COMPUTED_VALUE"""),"確定")</f>
        <v>確定</v>
      </c>
      <c r="C5428" s="28">
        <f>IFERROR(__xludf.DUMMYFUNCTION("""COMPUTED_VALUE"""),46185.0)</f>
        <v>46185</v>
      </c>
      <c r="D5428" s="28">
        <f>IFERROR(__xludf.DUMMYFUNCTION("""COMPUTED_VALUE"""),46188.0)</f>
        <v>46188</v>
      </c>
      <c r="E5428" s="26">
        <f>IFERROR(__xludf.DUMMYFUNCTION("""COMPUTED_VALUE"""),364026.0)</f>
        <v>364026</v>
      </c>
      <c r="F5428" s="22" t="str">
        <f>IFERROR(__xludf.DUMMYFUNCTION("""COMPUTED_VALUE"""),"復讐の罠～快楽の底まで墜とされて～")</f>
        <v>復讐の罠～快楽の底まで墜とされて～</v>
      </c>
      <c r="G5428" s="20" t="str">
        <f>IFERROR(__xludf.DUMMYFUNCTION("""COMPUTED_VALUE"""),"1~3")</f>
        <v>1~3</v>
      </c>
      <c r="H5428" s="22" t="str">
        <f>IFERROR(__xludf.DUMMYFUNCTION("""COMPUTED_VALUE"""),"Wolin/honeyfruit")</f>
        <v>Wolin/honeyfruit</v>
      </c>
      <c r="I5428" s="22" t="str">
        <f>IFERROR(__xludf.DUMMYFUNCTION("""COMPUTED_VALUE"""),"青年")</f>
        <v>青年</v>
      </c>
      <c r="J5428" s="22"/>
      <c r="K5428" s="22"/>
      <c r="L5428" s="22" t="str">
        <f>IFERROR(__xludf.DUMMYFUNCTION("""COMPUTED_VALUE"""),"Rush!")</f>
        <v>Rush!</v>
      </c>
      <c r="M5428" s="33">
        <f>IFERROR(__xludf.DUMMYFUNCTION("""COMPUTED_VALUE"""),46220.0)</f>
        <v>46220</v>
      </c>
      <c r="N5428" s="33">
        <f>IFERROR(__xludf.DUMMYFUNCTION("""COMPUTED_VALUE"""),46275.0)</f>
        <v>46275</v>
      </c>
      <c r="O5428" s="20" t="str">
        <f>IFERROR(__xludf.DUMMYFUNCTION("""COMPUTED_VALUE"""),"【アダルト作品扱い】")</f>
        <v>【アダルト作品扱い】</v>
      </c>
      <c r="P5428" s="32" t="str">
        <f>IFERROR(__xludf.DUMMYFUNCTION("""COMPUTED_VALUE"""),"可")</f>
        <v>可</v>
      </c>
      <c r="Q5428" s="30"/>
      <c r="R5428" s="22"/>
      <c r="S5428" s="22" t="str">
        <f>IFERROR(__xludf.DUMMYFUNCTION("""COMPUTED_VALUE"""),"20260602_ファンギルド_復讐の罠～快楽の底まで墜とされて～")</f>
        <v>20260602_ファンギルド_復讐の罠～快楽の底まで墜とされて～</v>
      </c>
      <c r="T5428" s="22" t="str">
        <f>IFERROR(__xludf.DUMMYFUNCTION("""COMPUTED_VALUE"""),"格納済み")</f>
        <v>格納済み</v>
      </c>
      <c r="U5428" s="9" t="str">
        <f>IFERROR(__xludf.DUMMYFUNCTION("""COMPUTED_VALUE"""),"ⒸWolin/honeyfruit/TOPTOON")</f>
        <v>ⒸWolin/honeyfruit/TOPTOON</v>
      </c>
      <c r="V5428" s="8"/>
      <c r="W5428" s="8"/>
      <c r="X5428" s="8" t="str">
        <f>IFERROR(__xludf.DUMMYFUNCTION("""COMPUTED_VALUE"""),"有")</f>
        <v>有</v>
      </c>
      <c r="Y5428" s="8" t="str">
        <f>IFERROR(__xludf.DUMMYFUNCTION("""COMPUTED_VALUE"""),"2026/7/23まで1巻無料")</f>
        <v>2026/7/23まで1巻無料</v>
      </c>
      <c r="Z5428" s="7"/>
      <c r="AA5428" s="7"/>
      <c r="AB5428" s="7"/>
    </row>
    <row r="5429" ht="15.75" customHeight="1">
      <c r="A5429" s="26">
        <f>IFERROR(__xludf.DUMMYFUNCTION("""COMPUTED_VALUE"""),8230.0)</f>
        <v>8230</v>
      </c>
      <c r="B5429" s="22" t="str">
        <f>IFERROR(__xludf.DUMMYFUNCTION("""COMPUTED_VALUE"""),"確定")</f>
        <v>確定</v>
      </c>
      <c r="C5429" s="28">
        <f>IFERROR(__xludf.DUMMYFUNCTION("""COMPUTED_VALUE"""),46188.0)</f>
        <v>46188</v>
      </c>
      <c r="D5429" s="28">
        <f>IFERROR(__xludf.DUMMYFUNCTION("""COMPUTED_VALUE"""),46188.0)</f>
        <v>46188</v>
      </c>
      <c r="E5429" s="26"/>
      <c r="F5429" s="22" t="str">
        <f>IFERROR(__xludf.DUMMYFUNCTION("""COMPUTED_VALUE"""),"息子のムスコ、ヌいてくれませんか？～オナ猿息子の処理が大変すぎたお母さんがママ友に手コキ相談～")</f>
        <v>息子のムスコ、ヌいてくれませんか？～オナ猿息子の処理が大変すぎたお母さんがママ友に手コキ相談～</v>
      </c>
      <c r="G5429" s="20" t="str">
        <f>IFERROR(__xludf.DUMMYFUNCTION("""COMPUTED_VALUE"""),"1~3")</f>
        <v>1~3</v>
      </c>
      <c r="H5429" s="22" t="str">
        <f>IFERROR(__xludf.DUMMYFUNCTION("""COMPUTED_VALUE"""),"ちゃえ")</f>
        <v>ちゃえ</v>
      </c>
      <c r="I5429" s="22" t="str">
        <f>IFERROR(__xludf.DUMMYFUNCTION("""COMPUTED_VALUE"""),"アダルト")</f>
        <v>アダルト</v>
      </c>
      <c r="J5429" s="22"/>
      <c r="K5429" s="22"/>
      <c r="L5429" s="22" t="str">
        <f>IFERROR(__xludf.DUMMYFUNCTION("""COMPUTED_VALUE"""),"セ・キララ文庫")</f>
        <v>セ・キララ文庫</v>
      </c>
      <c r="M5429" s="33">
        <f>IFERROR(__xludf.DUMMYFUNCTION("""COMPUTED_VALUE"""),46234.0)</f>
        <v>46234</v>
      </c>
      <c r="N5429" s="33">
        <f>IFERROR(__xludf.DUMMYFUNCTION("""COMPUTED_VALUE"""),46289.0)</f>
        <v>46289</v>
      </c>
      <c r="O5429" s="20"/>
      <c r="P5429" s="32" t="str">
        <f>IFERROR(__xludf.DUMMYFUNCTION("""COMPUTED_VALUE"""),"可")</f>
        <v>可</v>
      </c>
      <c r="Q5429" s="30"/>
      <c r="R5429" s="22"/>
      <c r="S5429" s="22" t="str">
        <f>IFERROR(__xludf.DUMMYFUNCTION("""COMPUTED_VALUE"""),"20260603_ライドオン_息子のムスコ、ヌいてくれませんか？～オナ猿息子の処理が大変すぎたお母さんがママ友に手コキ相談～』")</f>
        <v>20260603_ライドオン_息子のムスコ、ヌいてくれませんか？～オナ猿息子の処理が大変すぎたお母さんがママ友に手コキ相談～』</v>
      </c>
      <c r="T5429" s="22" t="str">
        <f>IFERROR(__xludf.DUMMYFUNCTION("""COMPUTED_VALUE"""),"格納済み")</f>
        <v>格納済み</v>
      </c>
      <c r="U5429" s="9" t="str">
        <f>IFERROR(__xludf.DUMMYFUNCTION("""COMPUTED_VALUE"""),"Ⓒちゃえ/セ・キララ文庫")</f>
        <v>Ⓒちゃえ/セ・キララ文庫</v>
      </c>
      <c r="V5429" s="8"/>
      <c r="W5429" s="8"/>
      <c r="X5429" s="8"/>
      <c r="Y5429" s="8"/>
      <c r="Z5429" s="7"/>
      <c r="AA5429" s="7"/>
      <c r="AB5429" s="7"/>
    </row>
    <row r="5430" ht="15.75" customHeight="1">
      <c r="A5430" s="26">
        <f>IFERROR(__xludf.DUMMYFUNCTION("""COMPUTED_VALUE"""),8231.0)</f>
        <v>8231</v>
      </c>
      <c r="B5430" s="22" t="str">
        <f>IFERROR(__xludf.DUMMYFUNCTION("""COMPUTED_VALUE"""),"確定")</f>
        <v>確定</v>
      </c>
      <c r="C5430" s="28">
        <f>IFERROR(__xludf.DUMMYFUNCTION("""COMPUTED_VALUE"""),46188.0)</f>
        <v>46188</v>
      </c>
      <c r="D5430" s="28">
        <f>IFERROR(__xludf.DUMMYFUNCTION("""COMPUTED_VALUE"""),46188.0)</f>
        <v>46188</v>
      </c>
      <c r="E5430" s="26"/>
      <c r="F5430" s="22" t="str">
        <f>IFERROR(__xludf.DUMMYFUNCTION("""COMPUTED_VALUE"""),"上納された私はハイスぺ彼に溶かされる")</f>
        <v>上納された私はハイスぺ彼に溶かされる</v>
      </c>
      <c r="G5430" s="20" t="str">
        <f>IFERROR(__xludf.DUMMYFUNCTION("""COMPUTED_VALUE"""),"1~3")</f>
        <v>1~3</v>
      </c>
      <c r="H5430" s="22" t="str">
        <f>IFERROR(__xludf.DUMMYFUNCTION("""COMPUTED_VALUE"""),"志波ひより")</f>
        <v>志波ひより</v>
      </c>
      <c r="I5430" s="22" t="str">
        <f>IFERROR(__xludf.DUMMYFUNCTION("""COMPUTED_VALUE"""),"TL")</f>
        <v>TL</v>
      </c>
      <c r="J5430" s="22"/>
      <c r="K5430" s="22" t="str">
        <f>IFERROR(__xludf.DUMMYFUNCTION("""COMPUTED_VALUE"""),"ラスティナ")</f>
        <v>ラスティナ</v>
      </c>
      <c r="L5430" s="22" t="str">
        <f>IFERROR(__xludf.DUMMYFUNCTION("""COMPUTED_VALUE"""),"セ・キララ文庫")</f>
        <v>セ・キララ文庫</v>
      </c>
      <c r="M5430" s="33">
        <f>IFERROR(__xludf.DUMMYFUNCTION("""COMPUTED_VALUE"""),46228.0)</f>
        <v>46228</v>
      </c>
      <c r="N5430" s="33">
        <f>IFERROR(__xludf.DUMMYFUNCTION("""COMPUTED_VALUE"""),46289.0)</f>
        <v>46289</v>
      </c>
      <c r="O5430" s="20" t="str">
        <f>IFERROR(__xludf.DUMMYFUNCTION("""COMPUTED_VALUE"""),"【アダルト作品扱い】")</f>
        <v>【アダルト作品扱い】</v>
      </c>
      <c r="P5430" s="32" t="str">
        <f>IFERROR(__xludf.DUMMYFUNCTION("""COMPUTED_VALUE"""),"可")</f>
        <v>可</v>
      </c>
      <c r="Q5430" s="30"/>
      <c r="R5430" s="22"/>
      <c r="S5430" s="22" t="str">
        <f>IFERROR(__xludf.DUMMYFUNCTION("""COMPUTED_VALUE"""),"20260603_ライドオン_上納された私はハイスぺ彼に溶かされる")</f>
        <v>20260603_ライドオン_上納された私はハイスぺ彼に溶かされる</v>
      </c>
      <c r="T5430" s="22" t="str">
        <f>IFERROR(__xludf.DUMMYFUNCTION("""COMPUTED_VALUE"""),"格納済み")</f>
        <v>格納済み</v>
      </c>
      <c r="U5430" s="9" t="str">
        <f>IFERROR(__xludf.DUMMYFUNCTION("""COMPUTED_VALUE"""),"Ⓒ志波ひより/セ・キララ文庫")</f>
        <v>Ⓒ志波ひより/セ・キララ文庫</v>
      </c>
      <c r="V5430" s="8"/>
      <c r="W5430" s="8"/>
      <c r="X5430" s="8"/>
      <c r="Y5430" s="8"/>
      <c r="Z5430" s="7"/>
      <c r="AA5430" s="7"/>
      <c r="AB5430" s="7"/>
    </row>
    <row r="5431" ht="15.75" customHeight="1">
      <c r="A5431" s="26">
        <f>IFERROR(__xludf.DUMMYFUNCTION("""COMPUTED_VALUE"""),8232.0)</f>
        <v>8232</v>
      </c>
      <c r="B5431" s="22" t="str">
        <f>IFERROR(__xludf.DUMMYFUNCTION("""COMPUTED_VALUE"""),"確定")</f>
        <v>確定</v>
      </c>
      <c r="C5431" s="28">
        <f>IFERROR(__xludf.DUMMYFUNCTION("""COMPUTED_VALUE"""),46188.0)</f>
        <v>46188</v>
      </c>
      <c r="D5431" s="28">
        <f>IFERROR(__xludf.DUMMYFUNCTION("""COMPUTED_VALUE"""),46188.0)</f>
        <v>46188</v>
      </c>
      <c r="E5431" s="26"/>
      <c r="F5431" s="22" t="str">
        <f>IFERROR(__xludf.DUMMYFUNCTION("""COMPUTED_VALUE"""),"忍びの里の睦事奇譚～統領の激しい溺愛エッチに抗いたくても抗えない～")</f>
        <v>忍びの里の睦事奇譚～統領の激しい溺愛エッチに抗いたくても抗えない～</v>
      </c>
      <c r="G5431" s="20" t="str">
        <f>IFERROR(__xludf.DUMMYFUNCTION("""COMPUTED_VALUE"""),"1~3")</f>
        <v>1~3</v>
      </c>
      <c r="H5431" s="22" t="str">
        <f>IFERROR(__xludf.DUMMYFUNCTION("""COMPUTED_VALUE"""),"諸々公公")</f>
        <v>諸々公公</v>
      </c>
      <c r="I5431" s="22" t="str">
        <f>IFERROR(__xludf.DUMMYFUNCTION("""COMPUTED_VALUE"""),"TL")</f>
        <v>TL</v>
      </c>
      <c r="J5431" s="22"/>
      <c r="K5431" s="22" t="str">
        <f>IFERROR(__xludf.DUMMYFUNCTION("""COMPUTED_VALUE"""),"ラスティナ")</f>
        <v>ラスティナ</v>
      </c>
      <c r="L5431" s="22" t="str">
        <f>IFERROR(__xludf.DUMMYFUNCTION("""COMPUTED_VALUE"""),"セ・キララ文庫")</f>
        <v>セ・キララ文庫</v>
      </c>
      <c r="M5431" s="33">
        <f>IFERROR(__xludf.DUMMYFUNCTION("""COMPUTED_VALUE"""),46228.0)</f>
        <v>46228</v>
      </c>
      <c r="N5431" s="33">
        <f>IFERROR(__xludf.DUMMYFUNCTION("""COMPUTED_VALUE"""),46289.0)</f>
        <v>46289</v>
      </c>
      <c r="O5431" s="20" t="str">
        <f>IFERROR(__xludf.DUMMYFUNCTION("""COMPUTED_VALUE"""),"【アダルト作品扱い】")</f>
        <v>【アダルト作品扱い】</v>
      </c>
      <c r="P5431" s="32" t="str">
        <f>IFERROR(__xludf.DUMMYFUNCTION("""COMPUTED_VALUE"""),"可")</f>
        <v>可</v>
      </c>
      <c r="Q5431" s="30"/>
      <c r="R5431" s="22"/>
      <c r="S5431" s="22" t="str">
        <f>IFERROR(__xludf.DUMMYFUNCTION("""COMPUTED_VALUE"""),"20260603_ライドオン_忍びの里の睦事奇譚～統領の激しい溺愛エッチに抗いたくても抗えない～")</f>
        <v>20260603_ライドオン_忍びの里の睦事奇譚～統領の激しい溺愛エッチに抗いたくても抗えない～</v>
      </c>
      <c r="T5431" s="22" t="str">
        <f>IFERROR(__xludf.DUMMYFUNCTION("""COMPUTED_VALUE"""),"格納済み")</f>
        <v>格納済み</v>
      </c>
      <c r="U5431" s="9" t="str">
        <f>IFERROR(__xludf.DUMMYFUNCTION("""COMPUTED_VALUE"""),"Ⓒ諸々公公/ セ・キララ文庫")</f>
        <v>Ⓒ諸々公公/ セ・キララ文庫</v>
      </c>
      <c r="V5431" s="8"/>
      <c r="W5431" s="8"/>
      <c r="X5431" s="8"/>
      <c r="Y5431" s="8"/>
      <c r="Z5431" s="7"/>
      <c r="AA5431" s="7"/>
      <c r="AB5431" s="7"/>
    </row>
    <row r="5432" ht="15.75" customHeight="1">
      <c r="A5432" s="26">
        <f>IFERROR(__xludf.DUMMYFUNCTION("""COMPUTED_VALUE"""),8233.0)</f>
        <v>8233</v>
      </c>
      <c r="B5432" s="22" t="str">
        <f>IFERROR(__xludf.DUMMYFUNCTION("""COMPUTED_VALUE"""),"確定")</f>
        <v>確定</v>
      </c>
      <c r="C5432" s="28">
        <f>IFERROR(__xludf.DUMMYFUNCTION("""COMPUTED_VALUE"""),46188.0)</f>
        <v>46188</v>
      </c>
      <c r="D5432" s="28">
        <f>IFERROR(__xludf.DUMMYFUNCTION("""COMPUTED_VALUE"""),46188.0)</f>
        <v>46188</v>
      </c>
      <c r="E5432" s="26"/>
      <c r="F5432" s="22" t="str">
        <f>IFERROR(__xludf.DUMMYFUNCTION("""COMPUTED_VALUE"""),"平安御伽草子～呪われた姫君と銀狐の皇子～")</f>
        <v>平安御伽草子～呪われた姫君と銀狐の皇子～</v>
      </c>
      <c r="G5432" s="20" t="str">
        <f>IFERROR(__xludf.DUMMYFUNCTION("""COMPUTED_VALUE"""),"1~3")</f>
        <v>1~3</v>
      </c>
      <c r="H5432" s="22" t="str">
        <f>IFERROR(__xludf.DUMMYFUNCTION("""COMPUTED_VALUE"""),"高遠由子")</f>
        <v>高遠由子</v>
      </c>
      <c r="I5432" s="22" t="str">
        <f>IFERROR(__xludf.DUMMYFUNCTION("""COMPUTED_VALUE"""),"TL")</f>
        <v>TL</v>
      </c>
      <c r="J5432" s="22"/>
      <c r="K5432" s="22" t="str">
        <f>IFERROR(__xludf.DUMMYFUNCTION("""COMPUTED_VALUE"""),"ラスティナ")</f>
        <v>ラスティナ</v>
      </c>
      <c r="L5432" s="22" t="str">
        <f>IFERROR(__xludf.DUMMYFUNCTION("""COMPUTED_VALUE"""),"セ・キララ文庫")</f>
        <v>セ・キララ文庫</v>
      </c>
      <c r="M5432" s="33">
        <f>IFERROR(__xludf.DUMMYFUNCTION("""COMPUTED_VALUE"""),46228.0)</f>
        <v>46228</v>
      </c>
      <c r="N5432" s="33">
        <f>IFERROR(__xludf.DUMMYFUNCTION("""COMPUTED_VALUE"""),46289.0)</f>
        <v>46289</v>
      </c>
      <c r="O5432" s="20" t="str">
        <f>IFERROR(__xludf.DUMMYFUNCTION("""COMPUTED_VALUE"""),"【アダルト作品扱い】")</f>
        <v>【アダルト作品扱い】</v>
      </c>
      <c r="P5432" s="32" t="str">
        <f>IFERROR(__xludf.DUMMYFUNCTION("""COMPUTED_VALUE"""),"可")</f>
        <v>可</v>
      </c>
      <c r="Q5432" s="30"/>
      <c r="R5432" s="22"/>
      <c r="S5432" s="22" t="str">
        <f>IFERROR(__xludf.DUMMYFUNCTION("""COMPUTED_VALUE"""),"20260603_ライドオン_平安御伽草子～呪われた姫君と銀狐の皇子～")</f>
        <v>20260603_ライドオン_平安御伽草子～呪われた姫君と銀狐の皇子～</v>
      </c>
      <c r="T5432" s="22" t="str">
        <f>IFERROR(__xludf.DUMMYFUNCTION("""COMPUTED_VALUE"""),"格納済み")</f>
        <v>格納済み</v>
      </c>
      <c r="U5432" s="9" t="str">
        <f>IFERROR(__xludf.DUMMYFUNCTION("""COMPUTED_VALUE"""),"Ⓒ高遠由子/ セ・キララ文庫")</f>
        <v>Ⓒ高遠由子/ セ・キララ文庫</v>
      </c>
      <c r="V5432" s="8"/>
      <c r="W5432" s="8"/>
      <c r="X5432" s="8"/>
      <c r="Y5432" s="8"/>
      <c r="Z5432" s="7"/>
      <c r="AA5432" s="7"/>
      <c r="AB5432" s="7"/>
    </row>
    <row r="5433" ht="15.75" customHeight="1">
      <c r="A5433" s="26">
        <f>IFERROR(__xludf.DUMMYFUNCTION("""COMPUTED_VALUE"""),8237.0)</f>
        <v>8237</v>
      </c>
      <c r="B5433" s="22" t="str">
        <f>IFERROR(__xludf.DUMMYFUNCTION("""COMPUTED_VALUE"""),"確定")</f>
        <v>確定</v>
      </c>
      <c r="C5433" s="28">
        <f>IFERROR(__xludf.DUMMYFUNCTION("""COMPUTED_VALUE"""),46188.0)</f>
        <v>46188</v>
      </c>
      <c r="D5433" s="28">
        <f>IFERROR(__xludf.DUMMYFUNCTION("""COMPUTED_VALUE"""),46188.0)</f>
        <v>46188</v>
      </c>
      <c r="E5433" s="26">
        <f>IFERROR(__xludf.DUMMYFUNCTION("""COMPUTED_VALUE"""),367143.0)</f>
        <v>367143</v>
      </c>
      <c r="F5433" s="22" t="str">
        <f>IFERROR(__xludf.DUMMYFUNCTION("""COMPUTED_VALUE"""),"猫になったお姫さま　呪いにかかったら苦手な魔術師長に溺愛された")</f>
        <v>猫になったお姫さま　呪いにかかったら苦手な魔術師長に溺愛された</v>
      </c>
      <c r="G5433" s="20">
        <f>IFERROR(__xludf.DUMMYFUNCTION("""COMPUTED_VALUE"""),1.0)</f>
        <v>1</v>
      </c>
      <c r="H5433" s="22" t="str">
        <f>IFERROR(__xludf.DUMMYFUNCTION("""COMPUTED_VALUE"""),"藤いちのせ┴おうぎまちこ")</f>
        <v>藤いちのせ┴おうぎまちこ</v>
      </c>
      <c r="I5433" s="22" t="str">
        <f>IFERROR(__xludf.DUMMYFUNCTION("""COMPUTED_VALUE"""),"少女")</f>
        <v>少女</v>
      </c>
      <c r="J5433" s="22"/>
      <c r="K5433" s="22" t="str">
        <f>IFERROR(__xludf.DUMMYFUNCTION("""COMPUTED_VALUE"""),"リュエルコミックス")</f>
        <v>リュエルコミックス</v>
      </c>
      <c r="L5433" s="22" t="str">
        <f>IFERROR(__xludf.DUMMYFUNCTION("""COMPUTED_VALUE"""),"実業之日本社")</f>
        <v>実業之日本社</v>
      </c>
      <c r="M5433" s="33">
        <f>IFERROR(__xludf.DUMMYFUNCTION("""COMPUTED_VALUE"""),46214.0)</f>
        <v>46214</v>
      </c>
      <c r="N5433" s="33">
        <f>IFERROR(__xludf.DUMMYFUNCTION("""COMPUTED_VALUE"""),46305.0)</f>
        <v>46305</v>
      </c>
      <c r="O5433" s="20"/>
      <c r="P5433" s="32" t="str">
        <f>IFERROR(__xludf.DUMMYFUNCTION("""COMPUTED_VALUE"""),"可")</f>
        <v>可</v>
      </c>
      <c r="Q5433" s="30"/>
      <c r="R5433" s="22"/>
      <c r="S5433" s="22" t="str">
        <f>IFERROR(__xludf.DUMMYFUNCTION("""COMPUTED_VALUE"""),"20260615_実業之日本社_私に内緒は通じません。～友人に婚約者を盗られましたが“仲人伯爵”に溺愛されてます！？ ～")</f>
        <v>20260615_実業之日本社_私に内緒は通じません。～友人に婚約者を盗られましたが“仲人伯爵”に溺愛されてます！？ ～</v>
      </c>
      <c r="T5433" s="22" t="str">
        <f>IFERROR(__xludf.DUMMYFUNCTION("""COMPUTED_VALUE"""),"格納済み")</f>
        <v>格納済み</v>
      </c>
      <c r="U5433" s="9" t="str">
        <f>IFERROR(__xludf.DUMMYFUNCTION("""COMPUTED_VALUE"""),"（C）藤いちのせ・おうぎまちこ／実業之日本社")</f>
        <v>（C）藤いちのせ・おうぎまちこ／実業之日本社</v>
      </c>
      <c r="V5433" s="8"/>
      <c r="W5433" s="8"/>
      <c r="X5433" s="8" t="str">
        <f>IFERROR(__xludf.DUMMYFUNCTION("""COMPUTED_VALUE"""),"有")</f>
        <v>有</v>
      </c>
      <c r="Y5433" s="8" t="str">
        <f>IFERROR(__xludf.DUMMYFUNCTION("""COMPUTED_VALUE"""),"p7まで")</f>
        <v>p7まで</v>
      </c>
      <c r="Z5433" s="7"/>
      <c r="AA5433" s="7"/>
      <c r="AB5433" s="7"/>
    </row>
    <row r="5434" ht="15.75" customHeight="1">
      <c r="A5434" s="26">
        <f>IFERROR(__xludf.DUMMYFUNCTION("""COMPUTED_VALUE"""),8242.0)</f>
        <v>8242</v>
      </c>
      <c r="B5434" s="22" t="str">
        <f>IFERROR(__xludf.DUMMYFUNCTION("""COMPUTED_VALUE"""),"確定")</f>
        <v>確定</v>
      </c>
      <c r="C5434" s="28">
        <f>IFERROR(__xludf.DUMMYFUNCTION("""COMPUTED_VALUE"""),46188.0)</f>
        <v>46188</v>
      </c>
      <c r="D5434" s="28">
        <f>IFERROR(__xludf.DUMMYFUNCTION("""COMPUTED_VALUE"""),46189.0)</f>
        <v>46189</v>
      </c>
      <c r="E5434" s="26">
        <f>IFERROR(__xludf.DUMMYFUNCTION("""COMPUTED_VALUE"""),365472.0)</f>
        <v>365472</v>
      </c>
      <c r="F5434" s="22" t="str">
        <f>IFERROR(__xludf.DUMMYFUNCTION("""COMPUTED_VALUE"""),"都会から来た美男子くんと、田舎育ちの平凡男子くん【単話版】")</f>
        <v>都会から来た美男子くんと、田舎育ちの平凡男子くん【単話版】</v>
      </c>
      <c r="G5434" s="20" t="str">
        <f>IFERROR(__xludf.DUMMYFUNCTION("""COMPUTED_VALUE"""),"1~3")</f>
        <v>1~3</v>
      </c>
      <c r="H5434" s="22" t="str">
        <f>IFERROR(__xludf.DUMMYFUNCTION("""COMPUTED_VALUE"""),"ねぎし（作画）、サブロー（原作）")</f>
        <v>ねぎし（作画）、サブロー（原作）</v>
      </c>
      <c r="I5434" s="22" t="str">
        <f>IFERROR(__xludf.DUMMYFUNCTION("""COMPUTED_VALUE"""),"BL")</f>
        <v>BL</v>
      </c>
      <c r="J5434" s="22"/>
      <c r="K5434" s="22" t="str">
        <f>IFERROR(__xludf.DUMMYFUNCTION("""COMPUTED_VALUE"""),"BeLuck COMICS")</f>
        <v>BeLuck COMICS</v>
      </c>
      <c r="L5434" s="22" t="str">
        <f>IFERROR(__xludf.DUMMYFUNCTION("""COMPUTED_VALUE"""),"スターツ出版")</f>
        <v>スターツ出版</v>
      </c>
      <c r="M5434" s="33">
        <f>IFERROR(__xludf.DUMMYFUNCTION("""COMPUTED_VALUE"""),46206.0)</f>
        <v>46206</v>
      </c>
      <c r="N5434" s="33">
        <f>IFERROR(__xludf.DUMMYFUNCTION("""COMPUTED_VALUE"""),46268.0)</f>
        <v>46268</v>
      </c>
      <c r="O5434" s="20"/>
      <c r="P5434" s="32" t="str">
        <f>IFERROR(__xludf.DUMMYFUNCTION("""COMPUTED_VALUE"""),"可")</f>
        <v>可</v>
      </c>
      <c r="Q5434" s="30"/>
      <c r="R5434" s="22"/>
      <c r="S5434" s="22" t="str">
        <f>IFERROR(__xludf.DUMMYFUNCTION("""COMPUTED_VALUE"""),"20260615_スターツ出版_都会から来た美男子くんと、田舎育ちの平凡男子くん")</f>
        <v>20260615_スターツ出版_都会から来た美男子くんと、田舎育ちの平凡男子くん</v>
      </c>
      <c r="T5434" s="22" t="str">
        <f>IFERROR(__xludf.DUMMYFUNCTION("""COMPUTED_VALUE"""),"格納済み")</f>
        <v>格納済み</v>
      </c>
      <c r="U5434" s="9" t="str">
        <f>IFERROR(__xludf.DUMMYFUNCTION("""COMPUTED_VALUE"""),"（C）Negishi・Saburo/スターツ出版")</f>
        <v>（C）Negishi・Saburo/スターツ出版</v>
      </c>
      <c r="V5434" s="8"/>
      <c r="W5434" s="8"/>
      <c r="X5434" s="8" t="str">
        <f>IFERROR(__xludf.DUMMYFUNCTION("""COMPUTED_VALUE"""),"有")</f>
        <v>有</v>
      </c>
      <c r="Y5434" s="8" t="str">
        <f>IFERROR(__xludf.DUMMYFUNCTION("""COMPUTED_VALUE"""),"2026/9/3まで1巻無料")</f>
        <v>2026/9/3まで1巻無料</v>
      </c>
      <c r="Z5434" s="7"/>
      <c r="AA5434" s="7"/>
      <c r="AB5434" s="7"/>
    </row>
    <row r="5435" ht="15.75" customHeight="1">
      <c r="A5435" s="26">
        <f>IFERROR(__xludf.DUMMYFUNCTION("""COMPUTED_VALUE"""),8243.0)</f>
        <v>8243</v>
      </c>
      <c r="B5435" s="22" t="str">
        <f>IFERROR(__xludf.DUMMYFUNCTION("""COMPUTED_VALUE"""),"確定")</f>
        <v>確定</v>
      </c>
      <c r="C5435" s="28">
        <f>IFERROR(__xludf.DUMMYFUNCTION("""COMPUTED_VALUE"""),46189.0)</f>
        <v>46189</v>
      </c>
      <c r="D5435" s="28">
        <f>IFERROR(__xludf.DUMMYFUNCTION("""COMPUTED_VALUE"""),46190.0)</f>
        <v>46190</v>
      </c>
      <c r="E5435" s="26">
        <f>IFERROR(__xludf.DUMMYFUNCTION("""COMPUTED_VALUE"""),364351.0)</f>
        <v>364351</v>
      </c>
      <c r="F5435" s="22" t="str">
        <f>IFERROR(__xludf.DUMMYFUNCTION("""COMPUTED_VALUE"""),"それの何がいけませんの？")</f>
        <v>それの何がいけませんの？</v>
      </c>
      <c r="G5435" s="20">
        <f>IFERROR(__xludf.DUMMYFUNCTION("""COMPUTED_VALUE"""),1.0)</f>
        <v>1</v>
      </c>
      <c r="H5435" s="22" t="str">
        <f>IFERROR(__xludf.DUMMYFUNCTION("""COMPUTED_VALUE"""),"漫画：佐十／原作：鈴宮")</f>
        <v>漫画：佐十／原作：鈴宮</v>
      </c>
      <c r="I5435" s="22" t="str">
        <f>IFERROR(__xludf.DUMMYFUNCTION("""COMPUTED_VALUE"""),"少女")</f>
        <v>少女</v>
      </c>
      <c r="J5435" s="22"/>
      <c r="K5435" s="22" t="str">
        <f>IFERROR(__xludf.DUMMYFUNCTION("""COMPUTED_VALUE"""),"ZERO-SUMコミックス")</f>
        <v>ZERO-SUMコミックス</v>
      </c>
      <c r="L5435" s="22" t="str">
        <f>IFERROR(__xludf.DUMMYFUNCTION("""COMPUTED_VALUE"""),"一迅社")</f>
        <v>一迅社</v>
      </c>
      <c r="M5435" s="33">
        <f>IFERROR(__xludf.DUMMYFUNCTION("""COMPUTED_VALUE"""),46204.0)</f>
        <v>46204</v>
      </c>
      <c r="N5435" s="33">
        <f>IFERROR(__xludf.DUMMYFUNCTION("""COMPUTED_VALUE"""),46265.0)</f>
        <v>46265</v>
      </c>
      <c r="O5435" s="20"/>
      <c r="P5435" s="32" t="str">
        <f>IFERROR(__xludf.DUMMYFUNCTION("""COMPUTED_VALUE"""),"否")</f>
        <v>否</v>
      </c>
      <c r="Q5435" s="30" t="str">
        <f>IFERROR(__xludf.DUMMYFUNCTION("""COMPUTED_VALUE"""),"『悪役令嬢が婚約破棄されたので、いまから俺が幸せにします。 アンソロジーコミック: 4」掲載作品です。")</f>
        <v>『悪役令嬢が婚約破棄されたので、いまから俺が幸せにします。 アンソロジーコミック: 4」掲載作品です。</v>
      </c>
      <c r="R5435" s="22"/>
      <c r="S5435" s="22" t="str">
        <f>IFERROR(__xludf.DUMMYFUNCTION("""COMPUTED_VALUE"""),"20260616_一迅社_それの何がいけませんの？")</f>
        <v>20260616_一迅社_それの何がいけませんの？</v>
      </c>
      <c r="T5435" s="22" t="str">
        <f>IFERROR(__xludf.DUMMYFUNCTION("""COMPUTED_VALUE"""),"格納済み")</f>
        <v>格納済み</v>
      </c>
      <c r="U5435" s="9" t="str">
        <f>IFERROR(__xludf.DUMMYFUNCTION("""COMPUTED_VALUE"""),"(C)佐十・鈴宮／一迅社")</f>
        <v>(C)佐十・鈴宮／一迅社</v>
      </c>
      <c r="V5435" s="8"/>
      <c r="W5435" s="8"/>
      <c r="X5435" s="8" t="str">
        <f>IFERROR(__xludf.DUMMYFUNCTION("""COMPUTED_VALUE"""),"有")</f>
        <v>有</v>
      </c>
      <c r="Y5435" s="8" t="str">
        <f>IFERROR(__xludf.DUMMYFUNCTION("""COMPUTED_VALUE"""),"p8まで")</f>
        <v>p8まで</v>
      </c>
      <c r="Z5435" s="7"/>
      <c r="AA5435" s="7"/>
      <c r="AB5435" s="7"/>
    </row>
    <row r="5436" ht="15.75" customHeight="1">
      <c r="A5436" s="26">
        <f>IFERROR(__xludf.DUMMYFUNCTION("""COMPUTED_VALUE"""),8244.0)</f>
        <v>8244</v>
      </c>
      <c r="B5436" s="22" t="str">
        <f>IFERROR(__xludf.DUMMYFUNCTION("""COMPUTED_VALUE"""),"確定")</f>
        <v>確定</v>
      </c>
      <c r="C5436" s="28">
        <f>IFERROR(__xludf.DUMMYFUNCTION("""COMPUTED_VALUE"""),46189.0)</f>
        <v>46189</v>
      </c>
      <c r="D5436" s="28">
        <f>IFERROR(__xludf.DUMMYFUNCTION("""COMPUTED_VALUE"""),46216.0)</f>
        <v>46216</v>
      </c>
      <c r="E5436" s="26"/>
      <c r="F5436" s="22" t="str">
        <f>IFERROR(__xludf.DUMMYFUNCTION("""COMPUTED_VALUE"""),"朱色の占い師～欲望の代償～")</f>
        <v>朱色の占い師～欲望の代償～</v>
      </c>
      <c r="G5436" s="20" t="str">
        <f>IFERROR(__xludf.DUMMYFUNCTION("""COMPUTED_VALUE"""),"1~3")</f>
        <v>1~3</v>
      </c>
      <c r="H5436" s="22" t="str">
        <f>IFERROR(__xludf.DUMMYFUNCTION("""COMPUTED_VALUE"""),"Umi")</f>
        <v>Umi</v>
      </c>
      <c r="I5436" s="22" t="str">
        <f>IFERROR(__xludf.DUMMYFUNCTION("""COMPUTED_VALUE"""),"青年")</f>
        <v>青年</v>
      </c>
      <c r="J5436" s="22"/>
      <c r="K5436" s="22"/>
      <c r="L5436" s="22" t="str">
        <f>IFERROR(__xludf.DUMMYFUNCTION("""COMPUTED_VALUE"""),"Freedia(フリーディア)")</f>
        <v>Freedia(フリーディア)</v>
      </c>
      <c r="M5436" s="33">
        <f>IFERROR(__xludf.DUMMYFUNCTION("""COMPUTED_VALUE"""),46231.0)</f>
        <v>46231</v>
      </c>
      <c r="N5436" s="33">
        <f>IFERROR(__xludf.DUMMYFUNCTION("""COMPUTED_VALUE"""),46322.0)</f>
        <v>46322</v>
      </c>
      <c r="O5436" s="20"/>
      <c r="P5436" s="32" t="str">
        <f>IFERROR(__xludf.DUMMYFUNCTION("""COMPUTED_VALUE"""),"可")</f>
        <v>可</v>
      </c>
      <c r="Q5436" s="30"/>
      <c r="R5436" s="22"/>
      <c r="S5436" s="22" t="str">
        <f>IFERROR(__xludf.DUMMYFUNCTION("""COMPUTED_VALUE"""),"20260616_Freedia_朱色の占い師～欲望の代償～")</f>
        <v>20260616_Freedia_朱色の占い師～欲望の代償～</v>
      </c>
      <c r="T5436" s="22" t="str">
        <f>IFERROR(__xludf.DUMMYFUNCTION("""COMPUTED_VALUE"""),"格納済み")</f>
        <v>格納済み</v>
      </c>
      <c r="U5436" s="9" t="str">
        <f>IFERROR(__xludf.DUMMYFUNCTION("""COMPUTED_VALUE"""),"©Umi/Freedia")</f>
        <v>©Umi/Freedia</v>
      </c>
      <c r="V5436" s="8"/>
      <c r="W5436" s="8"/>
      <c r="X5436" s="8"/>
      <c r="Y5436" s="8"/>
      <c r="Z5436" s="7"/>
      <c r="AA5436" s="7"/>
      <c r="AB5436" s="7"/>
    </row>
    <row r="5437" ht="15.75" customHeight="1">
      <c r="A5437" s="26">
        <f>IFERROR(__xludf.DUMMYFUNCTION("""COMPUTED_VALUE"""),7098.0)</f>
        <v>7098</v>
      </c>
      <c r="B5437" s="22" t="str">
        <f>IFERROR(__xludf.DUMMYFUNCTION("""COMPUTED_VALUE"""),"確定")</f>
        <v>確定</v>
      </c>
      <c r="C5437" s="28">
        <f>IFERROR(__xludf.DUMMYFUNCTION("""COMPUTED_VALUE"""),46014.0)</f>
        <v>46014</v>
      </c>
      <c r="D5437" s="28">
        <f>IFERROR(__xludf.DUMMYFUNCTION("""COMPUTED_VALUE"""),46197.0)</f>
        <v>46197</v>
      </c>
      <c r="E5437" s="26"/>
      <c r="F5437" s="22" t="str">
        <f>IFERROR(__xludf.DUMMYFUNCTION("""COMPUTED_VALUE"""),"処刑された悪役令嬢は、時を遡り復讐する。")</f>
        <v>処刑された悪役令嬢は、時を遡り復讐する。</v>
      </c>
      <c r="G5437" s="20" t="str">
        <f>IFERROR(__xludf.DUMMYFUNCTION("""COMPUTED_VALUE"""),"1~5")</f>
        <v>1~5</v>
      </c>
      <c r="H5437" s="22" t="str">
        <f>IFERROR(__xludf.DUMMYFUNCTION("""COMPUTED_VALUE"""),"しげむろゆうき・深なずな")</f>
        <v>しげむろゆうき・深なずな</v>
      </c>
      <c r="I5437" s="22" t="str">
        <f>IFERROR(__xludf.DUMMYFUNCTION("""COMPUTED_VALUE"""),"女性")</f>
        <v>女性</v>
      </c>
      <c r="J5437" s="22"/>
      <c r="K5437" s="22"/>
      <c r="L5437" s="22" t="str">
        <f>IFERROR(__xludf.DUMMYFUNCTION("""COMPUTED_VALUE"""),"アルファポリス")</f>
        <v>アルファポリス</v>
      </c>
      <c r="M5437" s="33">
        <f>IFERROR(__xludf.DUMMYFUNCTION("""COMPUTED_VALUE"""),46227.0)</f>
        <v>46227</v>
      </c>
      <c r="N5437" s="33">
        <f>IFERROR(__xludf.DUMMYFUNCTION("""COMPUTED_VALUE"""),46318.0)</f>
        <v>46318</v>
      </c>
      <c r="O5437" s="20"/>
      <c r="P5437" s="32" t="str">
        <f>IFERROR(__xludf.DUMMYFUNCTION("""COMPUTED_VALUE"""),"可")</f>
        <v>可</v>
      </c>
      <c r="Q5437" s="30"/>
      <c r="R5437" s="22"/>
      <c r="S5437" s="22" t="str">
        <f>IFERROR(__xludf.DUMMYFUNCTION("""COMPUTED_VALUE"""),"20260622_アルファポリス_処刑された悪役令嬢は、時を遡り復讐する。")</f>
        <v>20260622_アルファポリス_処刑された悪役令嬢は、時を遡り復讐する。</v>
      </c>
      <c r="T5437" s="22" t="str">
        <f>IFERROR(__xludf.DUMMYFUNCTION("""COMPUTED_VALUE"""),"格納済み")</f>
        <v>格納済み</v>
      </c>
      <c r="U5437" s="9" t="str">
        <f>IFERROR(__xludf.DUMMYFUNCTION("""COMPUTED_VALUE"""),"（C）しげむろゆうき・深なずな／アルファポリス")</f>
        <v>（C）しげむろゆうき・深なずな／アルファポリス</v>
      </c>
      <c r="V5437" s="8"/>
      <c r="W5437" s="8"/>
      <c r="X5437" s="8"/>
      <c r="Y5437" s="8"/>
      <c r="Z5437" s="7"/>
      <c r="AA5437" s="7"/>
      <c r="AB5437" s="7"/>
    </row>
    <row r="5438" ht="15.75" customHeight="1">
      <c r="A5438" s="26">
        <f>IFERROR(__xludf.DUMMYFUNCTION("""COMPUTED_VALUE"""),7214.0)</f>
        <v>7214</v>
      </c>
      <c r="B5438" s="22" t="str">
        <f>IFERROR(__xludf.DUMMYFUNCTION("""COMPUTED_VALUE"""),"確定")</f>
        <v>確定</v>
      </c>
      <c r="C5438" s="28">
        <f>IFERROR(__xludf.DUMMYFUNCTION("""COMPUTED_VALUE"""),46037.0)</f>
        <v>46037</v>
      </c>
      <c r="D5438" s="28">
        <f>IFERROR(__xludf.DUMMYFUNCTION("""COMPUTED_VALUE"""),46196.0)</f>
        <v>46196</v>
      </c>
      <c r="E5438" s="26"/>
      <c r="F5438" s="22" t="str">
        <f>IFERROR(__xludf.DUMMYFUNCTION("""COMPUTED_VALUE"""),"クズな彼との推し契約")</f>
        <v>クズな彼との推し契約</v>
      </c>
      <c r="G5438" s="220">
        <f>IFERROR(__xludf.DUMMYFUNCTION("""COMPUTED_VALUE"""),46028.0)</f>
        <v>46028</v>
      </c>
      <c r="H5438" s="22" t="str">
        <f>IFERROR(__xludf.DUMMYFUNCTION("""COMPUTED_VALUE"""),"米畑炊")</f>
        <v>米畑炊</v>
      </c>
      <c r="I5438" s="22" t="str">
        <f>IFERROR(__xludf.DUMMYFUNCTION("""COMPUTED_VALUE"""),"女性")</f>
        <v>女性</v>
      </c>
      <c r="J5438" s="22"/>
      <c r="K5438" s="22"/>
      <c r="L5438" s="22" t="str">
        <f>IFERROR(__xludf.DUMMYFUNCTION("""COMPUTED_VALUE"""),"ドリコム")</f>
        <v>ドリコム</v>
      </c>
      <c r="M5438" s="33">
        <f>IFERROR(__xludf.DUMMYFUNCTION("""COMPUTED_VALUE"""),46254.0)</f>
        <v>46254</v>
      </c>
      <c r="N5438" s="33">
        <f>IFERROR(__xludf.DUMMYFUNCTION("""COMPUTED_VALUE"""),46345.0)</f>
        <v>46345</v>
      </c>
      <c r="O5438" s="20"/>
      <c r="P5438" s="32" t="str">
        <f>IFERROR(__xludf.DUMMYFUNCTION("""COMPUTED_VALUE"""),"否")</f>
        <v>否</v>
      </c>
      <c r="Q5438" s="30" t="str">
        <f>IFERROR(__xludf.DUMMYFUNCTION("""COMPUTED_VALUE"""),"■コピーライトについて
・コピーライトの「(c)」は丸囲み記号にてご対応をお願いいたします。
・正式名称は2段で記載しておりますが、スペースの都合等があれば横並びにしていただいても問題ございません。
・バナーのサイズ等により、どうしても正式版の掲載が難しい場合に限り以下の「簡略版」を使用お願いいたします。
＜コピーライト簡略＞ ⒸSY/Drecom")</f>
        <v>■コピーライトについて
・コピーライトの「(c)」は丸囲み記号にてご対応をお願いいたします。
・正式名称は2段で記載しておりますが、スペースの都合等があれば横並びにしていただいても問題ございません。
・バナーのサイズ等により、どうしても正式版の掲載が難しい場合に限り以下の「簡略版」を使用お願いいたします。
＜コピーライト簡略＞ ⒸSY/Drecom</v>
      </c>
      <c r="R5438" s="22" t="str">
        <f>IFERROR(__xludf.DUMMYFUNCTION("""COMPUTED_VALUE"""),"コミットOK")</f>
        <v>コミットOK</v>
      </c>
      <c r="S5438" s="22" t="str">
        <f>IFERROR(__xludf.DUMMYFUNCTION("""COMPUTED_VALUE"""),"20260618_ドリコム_クズな彼との推し契約")</f>
        <v>20260618_ドリコム_クズな彼との推し契約</v>
      </c>
      <c r="T5438" s="22" t="str">
        <f>IFERROR(__xludf.DUMMYFUNCTION("""COMPUTED_VALUE"""),"格納済み")</f>
        <v>格納済み</v>
      </c>
      <c r="U5438" s="9" t="str">
        <f>IFERROR(__xludf.DUMMYFUNCTION("""COMPUTED_VALUE"""),"©2026 Sui Yonehata
©2026 Drecom Co., Ltd.")</f>
        <v>©2026 Sui Yonehata
©2026 Drecom Co., Ltd.</v>
      </c>
      <c r="V5438" s="8"/>
      <c r="W5438" s="8"/>
      <c r="X5438" s="8"/>
      <c r="Y5438" s="8"/>
      <c r="Z5438" s="7"/>
      <c r="AA5438" s="7"/>
      <c r="AB5438" s="7"/>
    </row>
    <row r="5439" ht="15.75" customHeight="1">
      <c r="A5439" s="26">
        <f>IFERROR(__xludf.DUMMYFUNCTION("""COMPUTED_VALUE"""),7280.0)</f>
        <v>7280</v>
      </c>
      <c r="B5439" s="22" t="str">
        <f>IFERROR(__xludf.DUMMYFUNCTION("""COMPUTED_VALUE"""),"確定")</f>
        <v>確定</v>
      </c>
      <c r="C5439" s="28">
        <f>IFERROR(__xludf.DUMMYFUNCTION("""COMPUTED_VALUE"""),46045.0)</f>
        <v>46045</v>
      </c>
      <c r="D5439" s="28">
        <f>IFERROR(__xludf.DUMMYFUNCTION("""COMPUTED_VALUE"""),46196.0)</f>
        <v>46196</v>
      </c>
      <c r="E5439" s="26"/>
      <c r="F5439" s="22" t="str">
        <f>IFERROR(__xludf.DUMMYFUNCTION("""COMPUTED_VALUE"""),"婚約者を奪われた伯爵令嬢、そろそろ好きに生きてみようと思います")</f>
        <v>婚約者を奪われた伯爵令嬢、そろそろ好きに生きてみようと思います</v>
      </c>
      <c r="G5439" s="20" t="str">
        <f>IFERROR(__xludf.DUMMYFUNCTION("""COMPUTED_VALUE"""),"1~6")</f>
        <v>1~6</v>
      </c>
      <c r="H5439" s="22" t="str">
        <f>IFERROR(__xludf.DUMMYFUNCTION("""COMPUTED_VALUE"""),"矢野りと・かやなぎ一羽")</f>
        <v>矢野りと・かやなぎ一羽</v>
      </c>
      <c r="I5439" s="22" t="str">
        <f>IFERROR(__xludf.DUMMYFUNCTION("""COMPUTED_VALUE"""),"女性")</f>
        <v>女性</v>
      </c>
      <c r="J5439" s="22"/>
      <c r="K5439" s="22"/>
      <c r="L5439" s="22" t="str">
        <f>IFERROR(__xludf.DUMMYFUNCTION("""COMPUTED_VALUE"""),"アルファポリス")</f>
        <v>アルファポリス</v>
      </c>
      <c r="M5439" s="33">
        <f>IFERROR(__xludf.DUMMYFUNCTION("""COMPUTED_VALUE"""),46227.0)</f>
        <v>46227</v>
      </c>
      <c r="N5439" s="33">
        <f>IFERROR(__xludf.DUMMYFUNCTION("""COMPUTED_VALUE"""),46318.0)</f>
        <v>46318</v>
      </c>
      <c r="O5439" s="20"/>
      <c r="P5439" s="32" t="str">
        <f>IFERROR(__xludf.DUMMYFUNCTION("""COMPUTED_VALUE"""),"可")</f>
        <v>可</v>
      </c>
      <c r="Q5439" s="30"/>
      <c r="R5439" s="22"/>
      <c r="S5439" s="22" t="str">
        <f>IFERROR(__xludf.DUMMYFUNCTION("""COMPUTED_VALUE"""),"20260622_アルファポリス_婚約者を奪われた伯爵令嬢、そろそろ好きに生きてみようと思います")</f>
        <v>20260622_アルファポリス_婚約者を奪われた伯爵令嬢、そろそろ好きに生きてみようと思います</v>
      </c>
      <c r="T5439" s="22" t="str">
        <f>IFERROR(__xludf.DUMMYFUNCTION("""COMPUTED_VALUE"""),"格納済み")</f>
        <v>格納済み</v>
      </c>
      <c r="U5439" s="9" t="str">
        <f>IFERROR(__xludf.DUMMYFUNCTION("""COMPUTED_VALUE"""),"（C）矢野りと・かやなぎ一羽／アルファポリス")</f>
        <v>（C）矢野りと・かやなぎ一羽／アルファポリス</v>
      </c>
      <c r="V5439" s="8"/>
      <c r="W5439" s="8"/>
      <c r="X5439" s="8"/>
      <c r="Y5439" s="8"/>
      <c r="Z5439" s="7"/>
      <c r="AA5439" s="7"/>
      <c r="AB5439" s="7"/>
    </row>
    <row r="5440" ht="15.75" customHeight="1">
      <c r="A5440" s="26">
        <f>IFERROR(__xludf.DUMMYFUNCTION("""COMPUTED_VALUE"""),7281.0)</f>
        <v>7281</v>
      </c>
      <c r="B5440" s="22" t="str">
        <f>IFERROR(__xludf.DUMMYFUNCTION("""COMPUTED_VALUE"""),"確定")</f>
        <v>確定</v>
      </c>
      <c r="C5440" s="28">
        <f>IFERROR(__xludf.DUMMYFUNCTION("""COMPUTED_VALUE"""),46045.0)</f>
        <v>46045</v>
      </c>
      <c r="D5440" s="28">
        <f>IFERROR(__xludf.DUMMYFUNCTION("""COMPUTED_VALUE"""),46196.0)</f>
        <v>46196</v>
      </c>
      <c r="E5440" s="26"/>
      <c r="F5440" s="22" t="str">
        <f>IFERROR(__xludf.DUMMYFUNCTION("""COMPUTED_VALUE"""),"側妃のお仕事は終了です。")</f>
        <v>側妃のお仕事は終了です。</v>
      </c>
      <c r="G5440" s="20" t="str">
        <f>IFERROR(__xludf.DUMMYFUNCTION("""COMPUTED_VALUE"""),"1~5")</f>
        <v>1~5</v>
      </c>
      <c r="H5440" s="22" t="str">
        <f>IFERROR(__xludf.DUMMYFUNCTION("""COMPUTED_VALUE"""),"火野村志紀・とぐろなす")</f>
        <v>火野村志紀・とぐろなす</v>
      </c>
      <c r="I5440" s="22" t="str">
        <f>IFERROR(__xludf.DUMMYFUNCTION("""COMPUTED_VALUE"""),"女性")</f>
        <v>女性</v>
      </c>
      <c r="J5440" s="22"/>
      <c r="K5440" s="22"/>
      <c r="L5440" s="22" t="str">
        <f>IFERROR(__xludf.DUMMYFUNCTION("""COMPUTED_VALUE"""),"アルファポリス")</f>
        <v>アルファポリス</v>
      </c>
      <c r="M5440" s="33">
        <f>IFERROR(__xludf.DUMMYFUNCTION("""COMPUTED_VALUE"""),46227.0)</f>
        <v>46227</v>
      </c>
      <c r="N5440" s="33">
        <f>IFERROR(__xludf.DUMMYFUNCTION("""COMPUTED_VALUE"""),46318.0)</f>
        <v>46318</v>
      </c>
      <c r="O5440" s="20"/>
      <c r="P5440" s="32" t="str">
        <f>IFERROR(__xludf.DUMMYFUNCTION("""COMPUTED_VALUE"""),"可")</f>
        <v>可</v>
      </c>
      <c r="Q5440" s="30"/>
      <c r="R5440" s="22"/>
      <c r="S5440" s="22" t="str">
        <f>IFERROR(__xludf.DUMMYFUNCTION("""COMPUTED_VALUE"""),"20260622_アルファポリス_側妃のお仕事は終了です。")</f>
        <v>20260622_アルファポリス_側妃のお仕事は終了です。</v>
      </c>
      <c r="T5440" s="22" t="str">
        <f>IFERROR(__xludf.DUMMYFUNCTION("""COMPUTED_VALUE"""),"格納済み")</f>
        <v>格納済み</v>
      </c>
      <c r="U5440" s="9" t="str">
        <f>IFERROR(__xludf.DUMMYFUNCTION("""COMPUTED_VALUE"""),"（C）火野村志紀・とぐろなす／アルファポリス")</f>
        <v>（C）火野村志紀・とぐろなす／アルファポリス</v>
      </c>
      <c r="V5440" s="8"/>
      <c r="W5440" s="8"/>
      <c r="X5440" s="8"/>
      <c r="Y5440" s="8"/>
      <c r="Z5440" s="7"/>
      <c r="AA5440" s="7"/>
      <c r="AB5440" s="7"/>
    </row>
    <row r="5441" ht="15.75" customHeight="1">
      <c r="A5441" s="26">
        <f>IFERROR(__xludf.DUMMYFUNCTION("""COMPUTED_VALUE"""),7555.0)</f>
        <v>7555</v>
      </c>
      <c r="B5441" s="22" t="str">
        <f>IFERROR(__xludf.DUMMYFUNCTION("""COMPUTED_VALUE"""),"確定")</f>
        <v>確定</v>
      </c>
      <c r="C5441" s="28">
        <f>IFERROR(__xludf.DUMMYFUNCTION("""COMPUTED_VALUE"""),46084.0)</f>
        <v>46084</v>
      </c>
      <c r="D5441" s="28">
        <f>IFERROR(__xludf.DUMMYFUNCTION("""COMPUTED_VALUE"""),46196.0)</f>
        <v>46196</v>
      </c>
      <c r="E5441" s="26">
        <f>IFERROR(__xludf.DUMMYFUNCTION("""COMPUTED_VALUE"""),364722.0)</f>
        <v>364722</v>
      </c>
      <c r="F5441" s="22" t="str">
        <f>IFERROR(__xludf.DUMMYFUNCTION("""COMPUTED_VALUE"""),"雷神様にお嫁入り～神様と溺甘子育てを始めたら、千年分の極上愛を降り注がれました～【分冊版】")</f>
        <v>雷神様にお嫁入り～神様と溺甘子育てを始めたら、千年分の極上愛を降り注がれました～【分冊版】</v>
      </c>
      <c r="G5441" s="20" t="str">
        <f>IFERROR(__xludf.DUMMYFUNCTION("""COMPUTED_VALUE"""),"1~5")</f>
        <v>1~5</v>
      </c>
      <c r="H5441" s="22" t="str">
        <f>IFERROR(__xludf.DUMMYFUNCTION("""COMPUTED_VALUE"""),"meiro 木登")</f>
        <v>meiro 木登</v>
      </c>
      <c r="I5441" s="22" t="str">
        <f>IFERROR(__xludf.DUMMYFUNCTION("""COMPUTED_VALUE"""),"女性")</f>
        <v>女性</v>
      </c>
      <c r="J5441" s="22"/>
      <c r="K5441" s="22"/>
      <c r="L5441" s="22" t="str">
        <f>IFERROR(__xludf.DUMMYFUNCTION("""COMPUTED_VALUE"""),"ハーパーコリンズ・ジャパン")</f>
        <v>ハーパーコリンズ・ジャパン</v>
      </c>
      <c r="M5441" s="33">
        <f>IFERROR(__xludf.DUMMYFUNCTION("""COMPUTED_VALUE"""),46226.0)</f>
        <v>46226</v>
      </c>
      <c r="N5441" s="33">
        <f>IFERROR(__xludf.DUMMYFUNCTION("""COMPUTED_VALUE"""),46317.0)</f>
        <v>46317</v>
      </c>
      <c r="O5441" s="20"/>
      <c r="P5441" s="32" t="str">
        <f>IFERROR(__xludf.DUMMYFUNCTION("""COMPUTED_VALUE"""),"可")</f>
        <v>可</v>
      </c>
      <c r="Q5441" s="30"/>
      <c r="R5441" s="22"/>
      <c r="S5441" s="22" t="str">
        <f>IFERROR(__xludf.DUMMYFUNCTION("""COMPUTED_VALUE"""),"20260619_ハーパーコリンズ・ジャパン_雷神様にお嫁入り～神様と溺甘子育てを始めたら、千年分の極上愛を降り注がれました～【分冊版】")</f>
        <v>20260619_ハーパーコリンズ・ジャパン_雷神様にお嫁入り～神様と溺甘子育てを始めたら、千年分の極上愛を降り注がれました～【分冊版】</v>
      </c>
      <c r="T5441" s="22" t="str">
        <f>IFERROR(__xludf.DUMMYFUNCTION("""COMPUTED_VALUE"""),"格納済み")</f>
        <v>格納済み</v>
      </c>
      <c r="U5441" s="9" t="str">
        <f>IFERROR(__xludf.DUMMYFUNCTION("""COMPUTED_VALUE"""),"Ⓒmeiro・木登／ハーパーコリンズ・ジャパン")</f>
        <v>Ⓒmeiro・木登／ハーパーコリンズ・ジャパン</v>
      </c>
      <c r="V5441" s="8"/>
      <c r="W5441" s="8"/>
      <c r="X5441" s="8" t="str">
        <f>IFERROR(__xludf.DUMMYFUNCTION("""COMPUTED_VALUE"""),"有")</f>
        <v>有</v>
      </c>
      <c r="Y5441" s="8" t="str">
        <f>IFERROR(__xludf.DUMMYFUNCTION("""COMPUTED_VALUE"""),"p11まで")</f>
        <v>p11まで</v>
      </c>
      <c r="Z5441" s="7"/>
      <c r="AA5441" s="7"/>
      <c r="AB5441" s="7"/>
    </row>
    <row r="5442" ht="15.75" customHeight="1">
      <c r="A5442" s="26">
        <f>IFERROR(__xludf.DUMMYFUNCTION("""COMPUTED_VALUE"""),7930.0)</f>
        <v>7930</v>
      </c>
      <c r="B5442" s="22" t="str">
        <f>IFERROR(__xludf.DUMMYFUNCTION("""COMPUTED_VALUE"""),"確定")</f>
        <v>確定</v>
      </c>
      <c r="C5442" s="28">
        <f>IFERROR(__xludf.DUMMYFUNCTION("""COMPUTED_VALUE"""),46140.0)</f>
        <v>46140</v>
      </c>
      <c r="D5442" s="28">
        <f>IFERROR(__xludf.DUMMYFUNCTION("""COMPUTED_VALUE"""),46196.0)</f>
        <v>46196</v>
      </c>
      <c r="E5442" s="26">
        <f>IFERROR(__xludf.DUMMYFUNCTION("""COMPUTED_VALUE"""),366719.0)</f>
        <v>366719</v>
      </c>
      <c r="F5442" s="22" t="str">
        <f>IFERROR(__xludf.DUMMYFUNCTION("""COMPUTED_VALUE"""),"画伯、恋をする。")</f>
        <v>画伯、恋をする。</v>
      </c>
      <c r="G5442" s="20" t="str">
        <f>IFERROR(__xludf.DUMMYFUNCTION("""COMPUTED_VALUE"""),"1～2")</f>
        <v>1～2</v>
      </c>
      <c r="H5442" s="22" t="str">
        <f>IFERROR(__xludf.DUMMYFUNCTION("""COMPUTED_VALUE"""),"中込いくさ")</f>
        <v>中込いくさ</v>
      </c>
      <c r="I5442" s="22" t="str">
        <f>IFERROR(__xludf.DUMMYFUNCTION("""COMPUTED_VALUE"""),"BL")</f>
        <v>BL</v>
      </c>
      <c r="J5442" s="22"/>
      <c r="K5442" s="22" t="str">
        <f>IFERROR(__xludf.DUMMYFUNCTION("""COMPUTED_VALUE"""),"NuPu")</f>
        <v>NuPu</v>
      </c>
      <c r="L5442" s="22" t="str">
        <f>IFERROR(__xludf.DUMMYFUNCTION("""COMPUTED_VALUE"""),"CLLENN")</f>
        <v>CLLENN</v>
      </c>
      <c r="M5442" s="33">
        <f>IFERROR(__xludf.DUMMYFUNCTION("""COMPUTED_VALUE"""),46219.0)</f>
        <v>46219</v>
      </c>
      <c r="N5442" s="33">
        <f>IFERROR(__xludf.DUMMYFUNCTION("""COMPUTED_VALUE"""),46281.0)</f>
        <v>46281</v>
      </c>
      <c r="O5442" s="20"/>
      <c r="P5442" s="32" t="str">
        <f>IFERROR(__xludf.DUMMYFUNCTION("""COMPUTED_VALUE"""),"可")</f>
        <v>可</v>
      </c>
      <c r="Q5442" s="30"/>
      <c r="R5442" s="22"/>
      <c r="S5442" s="22" t="str">
        <f>IFERROR(__xludf.DUMMYFUNCTION("""COMPUTED_VALUE"""),"20260618_CLLENN_画伯、恋をする。")</f>
        <v>20260618_CLLENN_画伯、恋をする。</v>
      </c>
      <c r="T5442" s="22" t="str">
        <f>IFERROR(__xludf.DUMMYFUNCTION("""COMPUTED_VALUE"""),"格納済み")</f>
        <v>格納済み</v>
      </c>
      <c r="U5442" s="9" t="str">
        <f>IFERROR(__xludf.DUMMYFUNCTION("""COMPUTED_VALUE"""),"Ⓒ中込いくさ/CLLENN")</f>
        <v>Ⓒ中込いくさ/CLLENN</v>
      </c>
      <c r="V5442" s="8"/>
      <c r="W5442" s="8"/>
      <c r="X5442" s="8" t="str">
        <f>IFERROR(__xludf.DUMMYFUNCTION("""COMPUTED_VALUE"""),"有")</f>
        <v>有</v>
      </c>
      <c r="Y5442" s="8" t="str">
        <f>IFERROR(__xludf.DUMMYFUNCTION("""COMPUTED_VALUE"""),"2026/7/29まで1巻p22まで立ち読み増量")</f>
        <v>2026/7/29まで1巻p22まで立ち読み増量</v>
      </c>
      <c r="Z5442" s="7"/>
      <c r="AA5442" s="7"/>
      <c r="AB5442" s="7"/>
    </row>
    <row r="5443" ht="15.75" customHeight="1">
      <c r="A5443" s="26">
        <f>IFERROR(__xludf.DUMMYFUNCTION("""COMPUTED_VALUE"""),8055.0)</f>
        <v>8055</v>
      </c>
      <c r="B5443" s="22" t="str">
        <f>IFERROR(__xludf.DUMMYFUNCTION("""COMPUTED_VALUE"""),"確定")</f>
        <v>確定</v>
      </c>
      <c r="C5443" s="28">
        <f>IFERROR(__xludf.DUMMYFUNCTION("""COMPUTED_VALUE"""),46162.0)</f>
        <v>46162</v>
      </c>
      <c r="D5443" s="28">
        <f>IFERROR(__xludf.DUMMYFUNCTION("""COMPUTED_VALUE"""),46197.0)</f>
        <v>46197</v>
      </c>
      <c r="E5443" s="26">
        <f>IFERROR(__xludf.DUMMYFUNCTION("""COMPUTED_VALUE"""),364662.0)</f>
        <v>364662</v>
      </c>
      <c r="F5443" s="22" t="str">
        <f>IFERROR(__xludf.DUMMYFUNCTION("""COMPUTED_VALUE"""),"侯爵夫妻のとろあま事情～執着愛高めな旦那様のえっちが妄想以上で溺れてます～【分冊版】")</f>
        <v>侯爵夫妻のとろあま事情～執着愛高めな旦那様のえっちが妄想以上で溺れてます～【分冊版】</v>
      </c>
      <c r="G5443" s="20" t="str">
        <f>IFERROR(__xludf.DUMMYFUNCTION("""COMPUTED_VALUE"""),"1~2")</f>
        <v>1~2</v>
      </c>
      <c r="H5443" s="22" t="str">
        <f>IFERROR(__xludf.DUMMYFUNCTION("""COMPUTED_VALUE"""),"瑞色あき フォクシーズ武将")</f>
        <v>瑞色あき フォクシーズ武将</v>
      </c>
      <c r="I5443" s="22" t="str">
        <f>IFERROR(__xludf.DUMMYFUNCTION("""COMPUTED_VALUE"""),"TL")</f>
        <v>TL</v>
      </c>
      <c r="J5443" s="22"/>
      <c r="K5443" s="22" t="str">
        <f>IFERROR(__xludf.DUMMYFUNCTION("""COMPUTED_VALUE"""),"乙女ドルチェ・コミックス")</f>
        <v>乙女ドルチェ・コミックス</v>
      </c>
      <c r="L5443" s="22" t="str">
        <f>IFERROR(__xludf.DUMMYFUNCTION("""COMPUTED_VALUE"""),"乙女ドルチェ・コミックス")</f>
        <v>乙女ドルチェ・コミックス</v>
      </c>
      <c r="M5443" s="33">
        <f>IFERROR(__xludf.DUMMYFUNCTION("""COMPUTED_VALUE"""),46220.0)</f>
        <v>46220</v>
      </c>
      <c r="N5443" s="33">
        <f>IFERROR(__xludf.DUMMYFUNCTION("""COMPUTED_VALUE"""),46282.0)</f>
        <v>46282</v>
      </c>
      <c r="O5443" s="20" t="str">
        <f>IFERROR(__xludf.DUMMYFUNCTION("""COMPUTED_VALUE"""),"【アダルト作品扱い】")</f>
        <v>【アダルト作品扱い】</v>
      </c>
      <c r="P5443" s="32" t="str">
        <f>IFERROR(__xludf.DUMMYFUNCTION("""COMPUTED_VALUE"""),"可")</f>
        <v>可</v>
      </c>
      <c r="Q5443" s="30"/>
      <c r="R5443" s="22"/>
      <c r="S5443" s="22" t="str">
        <f>IFERROR(__xludf.DUMMYFUNCTION("""COMPUTED_VALUE"""),"20260622_乙女ドルチェ_侯爵夫妻のとろあま事情～執着愛高めな旦那様のえっちが妄想以上で溺れてます～【分冊版】")</f>
        <v>20260622_乙女ドルチェ_侯爵夫妻のとろあま事情～執着愛高めな旦那様のえっちが妄想以上で溺れてます～【分冊版】</v>
      </c>
      <c r="T5443" s="22" t="str">
        <f>IFERROR(__xludf.DUMMYFUNCTION("""COMPUTED_VALUE"""),"格納済み")</f>
        <v>格納済み</v>
      </c>
      <c r="U5443" s="9" t="str">
        <f>IFERROR(__xludf.DUMMYFUNCTION("""COMPUTED_VALUE"""),"（C)瑞色あき・フォクシーズ武将／ハーパーコリンズ・ジャパン")</f>
        <v>（C)瑞色あき・フォクシーズ武将／ハーパーコリンズ・ジャパン</v>
      </c>
      <c r="V5443" s="8"/>
      <c r="W5443" s="8"/>
      <c r="X5443" s="8" t="str">
        <f>IFERROR(__xludf.DUMMYFUNCTION("""COMPUTED_VALUE"""),"有")</f>
        <v>有</v>
      </c>
      <c r="Y5443" s="8" t="str">
        <f>IFERROR(__xludf.DUMMYFUNCTION("""COMPUTED_VALUE"""),"p7まで")</f>
        <v>p7まで</v>
      </c>
      <c r="Z5443" s="7"/>
      <c r="AA5443" s="7"/>
      <c r="AB5443" s="7"/>
    </row>
    <row r="5444" ht="15.75" customHeight="1">
      <c r="A5444" s="26">
        <f>IFERROR(__xludf.DUMMYFUNCTION("""COMPUTED_VALUE"""),8056.0)</f>
        <v>8056</v>
      </c>
      <c r="B5444" s="22" t="str">
        <f>IFERROR(__xludf.DUMMYFUNCTION("""COMPUTED_VALUE"""),"確定")</f>
        <v>確定</v>
      </c>
      <c r="C5444" s="28">
        <f>IFERROR(__xludf.DUMMYFUNCTION("""COMPUTED_VALUE"""),46162.0)</f>
        <v>46162</v>
      </c>
      <c r="D5444" s="28">
        <f>IFERROR(__xludf.DUMMYFUNCTION("""COMPUTED_VALUE"""),46197.0)</f>
        <v>46197</v>
      </c>
      <c r="E5444" s="26">
        <f>IFERROR(__xludf.DUMMYFUNCTION("""COMPUTED_VALUE"""),364664.0)</f>
        <v>364664</v>
      </c>
      <c r="F5444" s="22" t="str">
        <f>IFERROR(__xludf.DUMMYFUNCTION("""COMPUTED_VALUE"""),"薄幸の暗殺令嬢は完璧公爵に夜ごと淫らに溺愛される【分冊版】")</f>
        <v>薄幸の暗殺令嬢は完璧公爵に夜ごと淫らに溺愛される【分冊版】</v>
      </c>
      <c r="G5444" s="20" t="str">
        <f>IFERROR(__xludf.DUMMYFUNCTION("""COMPUTED_VALUE"""),"1~2")</f>
        <v>1~2</v>
      </c>
      <c r="H5444" s="22" t="str">
        <f>IFERROR(__xludf.DUMMYFUNCTION("""COMPUTED_VALUE"""),"羽柴紀子 西條六花")</f>
        <v>羽柴紀子 西條六花</v>
      </c>
      <c r="I5444" s="22" t="str">
        <f>IFERROR(__xludf.DUMMYFUNCTION("""COMPUTED_VALUE"""),"TL")</f>
        <v>TL</v>
      </c>
      <c r="J5444" s="22"/>
      <c r="K5444" s="22" t="str">
        <f>IFERROR(__xludf.DUMMYFUNCTION("""COMPUTED_VALUE"""),"乙女ドルチェ・コミックス")</f>
        <v>乙女ドルチェ・コミックス</v>
      </c>
      <c r="L5444" s="22" t="str">
        <f>IFERROR(__xludf.DUMMYFUNCTION("""COMPUTED_VALUE"""),"乙女ドルチェ・コミックス")</f>
        <v>乙女ドルチェ・コミックス</v>
      </c>
      <c r="M5444" s="33">
        <f>IFERROR(__xludf.DUMMYFUNCTION("""COMPUTED_VALUE"""),46220.0)</f>
        <v>46220</v>
      </c>
      <c r="N5444" s="33">
        <f>IFERROR(__xludf.DUMMYFUNCTION("""COMPUTED_VALUE"""),46282.0)</f>
        <v>46282</v>
      </c>
      <c r="O5444" s="20"/>
      <c r="P5444" s="32" t="str">
        <f>IFERROR(__xludf.DUMMYFUNCTION("""COMPUTED_VALUE"""),"可")</f>
        <v>可</v>
      </c>
      <c r="Q5444" s="30"/>
      <c r="R5444" s="22"/>
      <c r="S5444" s="22" t="str">
        <f>IFERROR(__xludf.DUMMYFUNCTION("""COMPUTED_VALUE"""),"20260622_乙女ドルチェ_薄幸の暗殺令嬢は完璧公爵に夜ごと淫らに溺愛される【分冊版】")</f>
        <v>20260622_乙女ドルチェ_薄幸の暗殺令嬢は完璧公爵に夜ごと淫らに溺愛される【分冊版】</v>
      </c>
      <c r="T5444" s="22" t="str">
        <f>IFERROR(__xludf.DUMMYFUNCTION("""COMPUTED_VALUE"""),"格納済み")</f>
        <v>格納済み</v>
      </c>
      <c r="U5444" s="9" t="str">
        <f>IFERROR(__xludf.DUMMYFUNCTION("""COMPUTED_VALUE"""),"（C)羽柴紀子・西條六花／ハーパーコリンズ・ジャパン")</f>
        <v>（C)羽柴紀子・西條六花／ハーパーコリンズ・ジャパン</v>
      </c>
      <c r="V5444" s="8"/>
      <c r="W5444" s="8"/>
      <c r="X5444" s="8" t="str">
        <f>IFERROR(__xludf.DUMMYFUNCTION("""COMPUTED_VALUE"""),"有")</f>
        <v>有</v>
      </c>
      <c r="Y5444" s="8" t="str">
        <f>IFERROR(__xludf.DUMMYFUNCTION("""COMPUTED_VALUE"""),"p7まで")</f>
        <v>p7まで</v>
      </c>
      <c r="Z5444" s="7"/>
      <c r="AA5444" s="7"/>
      <c r="AB5444" s="7"/>
    </row>
    <row r="5445" ht="15.75" customHeight="1">
      <c r="A5445" s="26">
        <f>IFERROR(__xludf.DUMMYFUNCTION("""COMPUTED_VALUE"""),8066.0)</f>
        <v>8066</v>
      </c>
      <c r="B5445" s="22" t="str">
        <f>IFERROR(__xludf.DUMMYFUNCTION("""COMPUTED_VALUE"""),"確定")</f>
        <v>確定</v>
      </c>
      <c r="C5445" s="28">
        <f>IFERROR(__xludf.DUMMYFUNCTION("""COMPUTED_VALUE"""),46162.0)</f>
        <v>46162</v>
      </c>
      <c r="D5445" s="28">
        <f>IFERROR(__xludf.DUMMYFUNCTION("""COMPUTED_VALUE"""),46196.0)</f>
        <v>46196</v>
      </c>
      <c r="E5445" s="26"/>
      <c r="F5445" s="22" t="str">
        <f>IFERROR(__xludf.DUMMYFUNCTION("""COMPUTED_VALUE"""),"どうも、噂の悪女でございます 聖女の力は差し上げるので、私はお暇頂戴します")</f>
        <v>どうも、噂の悪女でございます 聖女の力は差し上げるので、私はお暇頂戴します</v>
      </c>
      <c r="G5445" s="20" t="str">
        <f>IFERROR(__xludf.DUMMYFUNCTION("""COMPUTED_VALUE"""),"1~5")</f>
        <v>1~5</v>
      </c>
      <c r="H5445" s="22" t="str">
        <f>IFERROR(__xludf.DUMMYFUNCTION("""COMPUTED_VALUE"""),"作画：相良なほ、原作：三沢ケイ")</f>
        <v>作画：相良なほ、原作：三沢ケイ</v>
      </c>
      <c r="I5445" s="22" t="str">
        <f>IFERROR(__xludf.DUMMYFUNCTION("""COMPUTED_VALUE"""),"女性")</f>
        <v>女性</v>
      </c>
      <c r="J5445" s="22"/>
      <c r="K5445" s="22" t="str">
        <f>IFERROR(__xludf.DUMMYFUNCTION("""COMPUTED_VALUE"""),"ベリーズファンタジーコミックス")</f>
        <v>ベリーズファンタジーコミックス</v>
      </c>
      <c r="L5445" s="22" t="str">
        <f>IFERROR(__xludf.DUMMYFUNCTION("""COMPUTED_VALUE"""),"スターツ出版")</f>
        <v>スターツ出版</v>
      </c>
      <c r="M5445" s="33">
        <f>IFERROR(__xludf.DUMMYFUNCTION("""COMPUTED_VALUE"""),46227.0)</f>
        <v>46227</v>
      </c>
      <c r="N5445" s="33">
        <f>IFERROR(__xludf.DUMMYFUNCTION("""COMPUTED_VALUE"""),46289.0)</f>
        <v>46289</v>
      </c>
      <c r="O5445" s="20"/>
      <c r="P5445" s="32" t="str">
        <f>IFERROR(__xludf.DUMMYFUNCTION("""COMPUTED_VALUE"""),"可")</f>
        <v>可</v>
      </c>
      <c r="Q5445" s="30"/>
      <c r="R5445" s="22"/>
      <c r="S5445" s="22" t="str">
        <f>IFERROR(__xludf.DUMMYFUNCTION("""COMPUTED_VALUE"""),"20260507_スターツ出版_どうも、噂の悪女でございます 聖女の力は差し上げるので、私はお暇頂戴します")</f>
        <v>20260507_スターツ出版_どうも、噂の悪女でございます 聖女の力は差し上げるので、私はお暇頂戴します</v>
      </c>
      <c r="T5445" s="22" t="str">
        <f>IFERROR(__xludf.DUMMYFUNCTION("""COMPUTED_VALUE"""),"格納済み")</f>
        <v>格納済み</v>
      </c>
      <c r="U5445" s="9" t="str">
        <f>IFERROR(__xludf.DUMMYFUNCTION("""COMPUTED_VALUE"""),"（C）Naho Sagara・Kei Misawa/スターツ出版")</f>
        <v>（C）Naho Sagara・Kei Misawa/スターツ出版</v>
      </c>
      <c r="V5445" s="8"/>
      <c r="W5445" s="8"/>
      <c r="X5445" s="8"/>
      <c r="Y5445" s="8"/>
      <c r="Z5445" s="7"/>
      <c r="AA5445" s="7"/>
      <c r="AB5445" s="7"/>
    </row>
    <row r="5446" ht="15.75" customHeight="1">
      <c r="A5446" s="26">
        <f>IFERROR(__xludf.DUMMYFUNCTION("""COMPUTED_VALUE"""),8068.0)</f>
        <v>8068</v>
      </c>
      <c r="B5446" s="22" t="str">
        <f>IFERROR(__xludf.DUMMYFUNCTION("""COMPUTED_VALUE"""),"確定")</f>
        <v>確定</v>
      </c>
      <c r="C5446" s="28">
        <f>IFERROR(__xludf.DUMMYFUNCTION("""COMPUTED_VALUE"""),46162.0)</f>
        <v>46162</v>
      </c>
      <c r="D5446" s="28">
        <f>IFERROR(__xludf.DUMMYFUNCTION("""COMPUTED_VALUE"""),46197.0)</f>
        <v>46197</v>
      </c>
      <c r="E5446" s="26">
        <f>IFERROR(__xludf.DUMMYFUNCTION("""COMPUTED_VALUE"""),364704.0)</f>
        <v>364704</v>
      </c>
      <c r="F5446" s="22" t="str">
        <f>IFERROR(__xludf.DUMMYFUNCTION("""COMPUTED_VALUE"""),"甘ったれにキス【分冊版】")</f>
        <v>甘ったれにキス【分冊版】</v>
      </c>
      <c r="G5446" s="20" t="str">
        <f>IFERROR(__xludf.DUMMYFUNCTION("""COMPUTED_VALUE"""),"1~2")</f>
        <v>1~2</v>
      </c>
      <c r="H5446" s="22" t="str">
        <f>IFERROR(__xludf.DUMMYFUNCTION("""COMPUTED_VALUE"""),"しのだ楚芭")</f>
        <v>しのだ楚芭</v>
      </c>
      <c r="I5446" s="22" t="str">
        <f>IFERROR(__xludf.DUMMYFUNCTION("""COMPUTED_VALUE"""),"BL")</f>
        <v>BL</v>
      </c>
      <c r="J5446" s="22"/>
      <c r="K5446" s="22" t="str">
        <f>IFERROR(__xludf.DUMMYFUNCTION("""COMPUTED_VALUE"""),"ジェラートコミックス")</f>
        <v>ジェラートコミックス</v>
      </c>
      <c r="L5446" s="22" t="str">
        <f>IFERROR(__xludf.DUMMYFUNCTION("""COMPUTED_VALUE"""),"ハーパーコリンズ・ジャパン")</f>
        <v>ハーパーコリンズ・ジャパン</v>
      </c>
      <c r="M5446" s="33">
        <f>IFERROR(__xludf.DUMMYFUNCTION("""COMPUTED_VALUE"""),46225.0)</f>
        <v>46225</v>
      </c>
      <c r="N5446" s="33">
        <f>IFERROR(__xludf.DUMMYFUNCTION("""COMPUTED_VALUE"""),46316.0)</f>
        <v>46316</v>
      </c>
      <c r="O5446" s="20"/>
      <c r="P5446" s="32" t="str">
        <f>IFERROR(__xludf.DUMMYFUNCTION("""COMPUTED_VALUE"""),"可")</f>
        <v>可</v>
      </c>
      <c r="Q5446" s="30"/>
      <c r="R5446" s="22"/>
      <c r="S5446" s="22" t="str">
        <f>IFERROR(__xludf.DUMMYFUNCTION("""COMPUTED_VALUE"""),"20260623_ハーパーコリンズ・ジャパン_甘ったれにキス【分冊版】")</f>
        <v>20260623_ハーパーコリンズ・ジャパン_甘ったれにキス【分冊版】</v>
      </c>
      <c r="T5446" s="22" t="str">
        <f>IFERROR(__xludf.DUMMYFUNCTION("""COMPUTED_VALUE"""),"格納済み")</f>
        <v>格納済み</v>
      </c>
      <c r="U5446" s="9" t="str">
        <f>IFERROR(__xludf.DUMMYFUNCTION("""COMPUTED_VALUE"""),"（C)しのだ楚芭／ハーパーコリンズ・ジャパン")</f>
        <v>（C)しのだ楚芭／ハーパーコリンズ・ジャパン</v>
      </c>
      <c r="V5446" s="8"/>
      <c r="W5446" s="8"/>
      <c r="X5446" s="8" t="str">
        <f>IFERROR(__xludf.DUMMYFUNCTION("""COMPUTED_VALUE"""),"有")</f>
        <v>有</v>
      </c>
      <c r="Y5446" s="8" t="str">
        <f>IFERROR(__xludf.DUMMYFUNCTION("""COMPUTED_VALUE"""),"p9まで")</f>
        <v>p9まで</v>
      </c>
      <c r="Z5446" s="7"/>
      <c r="AA5446" s="7"/>
      <c r="AB5446" s="7"/>
    </row>
    <row r="5447" ht="15.75" customHeight="1">
      <c r="A5447" s="26">
        <f>IFERROR(__xludf.DUMMYFUNCTION("""COMPUTED_VALUE"""),8121.0)</f>
        <v>8121</v>
      </c>
      <c r="B5447" s="22" t="str">
        <f>IFERROR(__xludf.DUMMYFUNCTION("""COMPUTED_VALUE"""),"確定")</f>
        <v>確定</v>
      </c>
      <c r="C5447" s="28">
        <f>IFERROR(__xludf.DUMMYFUNCTION("""COMPUTED_VALUE"""),46171.0)</f>
        <v>46171</v>
      </c>
      <c r="D5447" s="28">
        <f>IFERROR(__xludf.DUMMYFUNCTION("""COMPUTED_VALUE"""),46197.0)</f>
        <v>46197</v>
      </c>
      <c r="E5447" s="26">
        <f>IFERROR(__xludf.DUMMYFUNCTION("""COMPUTED_VALUE"""),364132.0)</f>
        <v>364132</v>
      </c>
      <c r="F5447" s="22" t="str">
        <f>IFERROR(__xludf.DUMMYFUNCTION("""COMPUTED_VALUE"""),"地味令嬢ですが、美貌の騎士様に溺愛されるなんて聞いてません！【単話版】")</f>
        <v>地味令嬢ですが、美貌の騎士様に溺愛されるなんて聞いてません！【単話版】</v>
      </c>
      <c r="G5447" s="20" t="str">
        <f>IFERROR(__xludf.DUMMYFUNCTION("""COMPUTED_VALUE"""),"1~5")</f>
        <v>1~5</v>
      </c>
      <c r="H5447" s="22" t="str">
        <f>IFERROR(__xludf.DUMMYFUNCTION("""COMPUTED_VALUE"""),"白井シズ・ドゴイエちまき")</f>
        <v>白井シズ・ドゴイエちまき</v>
      </c>
      <c r="I5447" s="22" t="str">
        <f>IFERROR(__xludf.DUMMYFUNCTION("""COMPUTED_VALUE"""),"女性")</f>
        <v>女性</v>
      </c>
      <c r="J5447" s="22"/>
      <c r="K5447" s="22"/>
      <c r="L5447" s="22" t="str">
        <f>IFERROR(__xludf.DUMMYFUNCTION("""COMPUTED_VALUE"""),"デジカタ編集部")</f>
        <v>デジカタ編集部</v>
      </c>
      <c r="M5447" s="33">
        <f>IFERROR(__xludf.DUMMYFUNCTION("""COMPUTED_VALUE"""),46200.0)</f>
        <v>46200</v>
      </c>
      <c r="N5447" s="33">
        <f>IFERROR(__xludf.DUMMYFUNCTION("""COMPUTED_VALUE"""),46290.0)</f>
        <v>46290</v>
      </c>
      <c r="O5447" s="20"/>
      <c r="P5447" s="32" t="str">
        <f>IFERROR(__xludf.DUMMYFUNCTION("""COMPUTED_VALUE"""),"可")</f>
        <v>可</v>
      </c>
      <c r="Q5447" s="30" t="str">
        <f>IFERROR(__xludf.DUMMYFUNCTION("""COMPUTED_VALUE"""),"準備出来次第、可能な限りお早めにご出稿お願いいたします。")</f>
        <v>準備出来次第、可能な限りお早めにご出稿お願いいたします。</v>
      </c>
      <c r="R5447" s="22"/>
      <c r="S5447" s="22" t="str">
        <f>IFERROR(__xludf.DUMMYFUNCTION("""COMPUTED_VALUE"""),"20260526_デジカタ編集部_地味令嬢ですが、美貌の騎士様")</f>
        <v>20260526_デジカタ編集部_地味令嬢ですが、美貌の騎士様</v>
      </c>
      <c r="T5447" s="22" t="str">
        <f>IFERROR(__xludf.DUMMYFUNCTION("""COMPUTED_VALUE"""),"格納済み")</f>
        <v>格納済み</v>
      </c>
      <c r="U5447" s="9" t="str">
        <f>IFERROR(__xludf.DUMMYFUNCTION("""COMPUTED_VALUE"""),"Ⓒ白井シズ・ドゴイエちまき/デジカタ編集部")</f>
        <v>Ⓒ白井シズ・ドゴイエちまき/デジカタ編集部</v>
      </c>
      <c r="V5447" s="8"/>
      <c r="W5447" s="8"/>
      <c r="X5447" s="8" t="str">
        <f>IFERROR(__xludf.DUMMYFUNCTION("""COMPUTED_VALUE"""),"有")</f>
        <v>有</v>
      </c>
      <c r="Y5447" s="8" t="str">
        <f>IFERROR(__xludf.DUMMYFUNCTION("""COMPUTED_VALUE"""),"2026/9/25まで1巻無料")</f>
        <v>2026/9/25まで1巻無料</v>
      </c>
      <c r="Z5447" s="7"/>
      <c r="AA5447" s="7"/>
      <c r="AB5447" s="7"/>
    </row>
    <row r="5448" ht="15.75" customHeight="1">
      <c r="A5448" s="26">
        <f>IFERROR(__xludf.DUMMYFUNCTION("""COMPUTED_VALUE"""),8170.0)</f>
        <v>8170</v>
      </c>
      <c r="B5448" s="22" t="str">
        <f>IFERROR(__xludf.DUMMYFUNCTION("""COMPUTED_VALUE"""),"確定")</f>
        <v>確定</v>
      </c>
      <c r="C5448" s="28">
        <f>IFERROR(__xludf.DUMMYFUNCTION("""COMPUTED_VALUE"""),46178.0)</f>
        <v>46178</v>
      </c>
      <c r="D5448" s="28">
        <f>IFERROR(__xludf.DUMMYFUNCTION("""COMPUTED_VALUE"""),46191.0)</f>
        <v>46191</v>
      </c>
      <c r="E5448" s="26">
        <f>IFERROR(__xludf.DUMMYFUNCTION("""COMPUTED_VALUE"""),366105.0)</f>
        <v>366105</v>
      </c>
      <c r="F5448" s="22" t="str">
        <f>IFERROR(__xludf.DUMMYFUNCTION("""COMPUTED_VALUE"""),"あなたが今後手にするのは全て私が屑籠に捨てるものです")</f>
        <v>あなたが今後手にするのは全て私が屑籠に捨てるものです</v>
      </c>
      <c r="G5448" s="20" t="str">
        <f>IFERROR(__xludf.DUMMYFUNCTION("""COMPUTED_VALUE"""),"1~3")</f>
        <v>1~3</v>
      </c>
      <c r="H5448" s="22" t="str">
        <f>IFERROR(__xludf.DUMMYFUNCTION("""COMPUTED_VALUE"""),"水無月弥生/音無砂月/御子柴リョウ")</f>
        <v>水無月弥生/音無砂月/御子柴リョウ</v>
      </c>
      <c r="I5448" s="22" t="str">
        <f>IFERROR(__xludf.DUMMYFUNCTION("""COMPUTED_VALUE"""),"少女")</f>
        <v>少女</v>
      </c>
      <c r="J5448" s="22"/>
      <c r="K5448" s="22"/>
      <c r="L5448" s="22" t="str">
        <f>IFERROR(__xludf.DUMMYFUNCTION("""COMPUTED_VALUE"""),"風濤社（futohsha）")</f>
        <v>風濤社（futohsha）</v>
      </c>
      <c r="M5448" s="33">
        <f>IFERROR(__xludf.DUMMYFUNCTION("""COMPUTED_VALUE"""),46218.0)</f>
        <v>46218</v>
      </c>
      <c r="N5448" s="33">
        <f>IFERROR(__xludf.DUMMYFUNCTION("""COMPUTED_VALUE"""),46309.0)</f>
        <v>46309</v>
      </c>
      <c r="O5448" s="20"/>
      <c r="P5448" s="32" t="str">
        <f>IFERROR(__xludf.DUMMYFUNCTION("""COMPUTED_VALUE"""),"可")</f>
        <v>可</v>
      </c>
      <c r="Q5448" s="30"/>
      <c r="R5448" s="22"/>
      <c r="S5448" s="22" t="str">
        <f>IFERROR(__xludf.DUMMYFUNCTION("""COMPUTED_VALUE"""),"20260618_風濤社_あなたが今後手にするのは全て私が屑籠に捨てるものです")</f>
        <v>20260618_風濤社_あなたが今後手にするのは全て私が屑籠に捨てるものです</v>
      </c>
      <c r="T5448" s="22" t="str">
        <f>IFERROR(__xludf.DUMMYFUNCTION("""COMPUTED_VALUE"""),"格納済み")</f>
        <v>格納済み</v>
      </c>
      <c r="U5448" s="9" t="str">
        <f>IFERROR(__xludf.DUMMYFUNCTION("""COMPUTED_VALUE"""),"Ⓒ水無月弥生・音無砂月/Eylie")</f>
        <v>Ⓒ水無月弥生・音無砂月/Eylie</v>
      </c>
      <c r="V5448" s="8"/>
      <c r="W5448" s="8"/>
      <c r="X5448" s="8" t="str">
        <f>IFERROR(__xludf.DUMMYFUNCTION("""COMPUTED_VALUE"""),"有")</f>
        <v>有</v>
      </c>
      <c r="Y5448" s="8" t="str">
        <f>IFERROR(__xludf.DUMMYFUNCTION("""COMPUTED_VALUE"""),"ｐ9まで")</f>
        <v>ｐ9まで</v>
      </c>
      <c r="Z5448" s="7"/>
      <c r="AA5448" s="7"/>
      <c r="AB5448" s="7"/>
    </row>
    <row r="5449" ht="15.75" customHeight="1">
      <c r="A5449" s="26">
        <f>IFERROR(__xludf.DUMMYFUNCTION("""COMPUTED_VALUE"""),8194.0)</f>
        <v>8194</v>
      </c>
      <c r="B5449" s="22" t="str">
        <f>IFERROR(__xludf.DUMMYFUNCTION("""COMPUTED_VALUE"""),"確定")</f>
        <v>確定</v>
      </c>
      <c r="C5449" s="28">
        <f>IFERROR(__xludf.DUMMYFUNCTION("""COMPUTED_VALUE"""),46182.0)</f>
        <v>46182</v>
      </c>
      <c r="D5449" s="28">
        <f>IFERROR(__xludf.DUMMYFUNCTION("""COMPUTED_VALUE"""),46182.0)</f>
        <v>46182</v>
      </c>
      <c r="E5449" s="26">
        <f>IFERROR(__xludf.DUMMYFUNCTION("""COMPUTED_VALUE"""),365762.0)</f>
        <v>365762</v>
      </c>
      <c r="F5449" s="22" t="str">
        <f>IFERROR(__xludf.DUMMYFUNCTION("""COMPUTED_VALUE"""),"むっつり赤ずきんくんからは逃げられない【R-18版】")</f>
        <v>むっつり赤ずきんくんからは逃げられない【R-18版】</v>
      </c>
      <c r="G5449" s="20" t="str">
        <f>IFERROR(__xludf.DUMMYFUNCTION("""COMPUTED_VALUE"""),"1~5")</f>
        <v>1~5</v>
      </c>
      <c r="H5449" s="22" t="str">
        <f>IFERROR(__xludf.DUMMYFUNCTION("""COMPUTED_VALUE"""),"五斗")</f>
        <v>五斗</v>
      </c>
      <c r="I5449" s="22" t="str">
        <f>IFERROR(__xludf.DUMMYFUNCTION("""COMPUTED_VALUE"""),"アダルト")</f>
        <v>アダルト</v>
      </c>
      <c r="J5449" s="22"/>
      <c r="K5449" s="22" t="str">
        <f>IFERROR(__xludf.DUMMYFUNCTION("""COMPUTED_VALUE"""),"Close Moon")</f>
        <v>Close Moon</v>
      </c>
      <c r="L5449" s="22" t="str">
        <f>IFERROR(__xludf.DUMMYFUNCTION("""COMPUTED_VALUE"""),"ナンバーナイン")</f>
        <v>ナンバーナイン</v>
      </c>
      <c r="M5449" s="33">
        <f>IFERROR(__xludf.DUMMYFUNCTION("""COMPUTED_VALUE"""),46220.0)</f>
        <v>46220</v>
      </c>
      <c r="N5449" s="33">
        <f>IFERROR(__xludf.DUMMYFUNCTION("""COMPUTED_VALUE"""),46281.0)</f>
        <v>46281</v>
      </c>
      <c r="O5449" s="20"/>
      <c r="P5449" s="32" t="str">
        <f>IFERROR(__xludf.DUMMYFUNCTION("""COMPUTED_VALUE"""),"可")</f>
        <v>可</v>
      </c>
      <c r="Q5449" s="30" t="str">
        <f>IFERROR(__xludf.DUMMYFUNCTION("""COMPUTED_VALUE"""),"がるまに")</f>
        <v>がるまに</v>
      </c>
      <c r="R5449" s="22"/>
      <c r="S5449" s="22" t="str">
        <f>IFERROR(__xludf.DUMMYFUNCTION("""COMPUTED_VALUE"""),"20260624_ナンバーナイン_むっつり赤ずきんくんからは逃げられない【R-18版】")</f>
        <v>20260624_ナンバーナイン_むっつり赤ずきんくんからは逃げられない【R-18版】</v>
      </c>
      <c r="T5449" s="22" t="str">
        <f>IFERROR(__xludf.DUMMYFUNCTION("""COMPUTED_VALUE"""),"格納済み")</f>
        <v>格納済み</v>
      </c>
      <c r="U5449" s="9" t="str">
        <f>IFERROR(__xludf.DUMMYFUNCTION("""COMPUTED_VALUE"""),"(C)五斗／ナンバーナイン")</f>
        <v>(C)五斗／ナンバーナイン</v>
      </c>
      <c r="V5449" s="8"/>
      <c r="W5449" s="8"/>
      <c r="X5449" s="8" t="str">
        <f>IFERROR(__xludf.DUMMYFUNCTION("""COMPUTED_VALUE"""),"有")</f>
        <v>有</v>
      </c>
      <c r="Y5449" s="8" t="str">
        <f>IFERROR(__xludf.DUMMYFUNCTION("""COMPUTED_VALUE"""),"1巻永久無料")</f>
        <v>1巻永久無料</v>
      </c>
      <c r="Z5449" s="7"/>
      <c r="AA5449" s="7"/>
      <c r="AB5449" s="7"/>
    </row>
    <row r="5450" ht="15.75" customHeight="1">
      <c r="A5450" s="26">
        <f>IFERROR(__xludf.DUMMYFUNCTION("""COMPUTED_VALUE"""),8223.0)</f>
        <v>8223</v>
      </c>
      <c r="B5450" s="22" t="str">
        <f>IFERROR(__xludf.DUMMYFUNCTION("""COMPUTED_VALUE"""),"確定")</f>
        <v>確定</v>
      </c>
      <c r="C5450" s="28">
        <f>IFERROR(__xludf.DUMMYFUNCTION("""COMPUTED_VALUE"""),46185.0)</f>
        <v>46185</v>
      </c>
      <c r="D5450" s="28">
        <f>IFERROR(__xludf.DUMMYFUNCTION("""COMPUTED_VALUE"""),46196.0)</f>
        <v>46196</v>
      </c>
      <c r="E5450" s="26"/>
      <c r="F5450" s="22" t="str">
        <f>IFERROR(__xludf.DUMMYFUNCTION("""COMPUTED_VALUE"""),"私たちはデキてません！～初夜失敗した元婚約者と王命婚でやり直し～（単話版）")</f>
        <v>私たちはデキてません！～初夜失敗した元婚約者と王命婚でやり直し～（単話版）</v>
      </c>
      <c r="G5450" s="20" t="str">
        <f>IFERROR(__xludf.DUMMYFUNCTION("""COMPUTED_VALUE"""),"1~5")</f>
        <v>1~5</v>
      </c>
      <c r="H5450" s="22" t="str">
        <f>IFERROR(__xludf.DUMMYFUNCTION("""COMPUTED_VALUE"""),"漫画：奈院ゆりえ 原作：マチバリ")</f>
        <v>漫画：奈院ゆりえ 原作：マチバリ</v>
      </c>
      <c r="I5450" s="22" t="str">
        <f>IFERROR(__xludf.DUMMYFUNCTION("""COMPUTED_VALUE"""),"少女")</f>
        <v>少女</v>
      </c>
      <c r="J5450" s="22"/>
      <c r="K5450" s="22"/>
      <c r="L5450" s="22" t="str">
        <f>IFERROR(__xludf.DUMMYFUNCTION("""COMPUTED_VALUE"""),"フレックスコミックス")</f>
        <v>フレックスコミックス</v>
      </c>
      <c r="M5450" s="33">
        <f>IFERROR(__xludf.DUMMYFUNCTION("""COMPUTED_VALUE"""),46227.0)</f>
        <v>46227</v>
      </c>
      <c r="N5450" s="33">
        <f>IFERROR(__xludf.DUMMYFUNCTION("""COMPUTED_VALUE"""),46318.0)</f>
        <v>46318</v>
      </c>
      <c r="O5450" s="20"/>
      <c r="P5450" s="32" t="str">
        <f>IFERROR(__xludf.DUMMYFUNCTION("""COMPUTED_VALUE"""),"可")</f>
        <v>可</v>
      </c>
      <c r="Q5450" s="30" t="str">
        <f>IFERROR(__xludf.DUMMYFUNCTION("""COMPUTED_VALUE"""),"5巻素材の共有が少し先になるので1~4巻で広告制作お願いいたします。")</f>
        <v>5巻素材の共有が少し先になるので1~4巻で広告制作お願いいたします。</v>
      </c>
      <c r="R5450" s="22"/>
      <c r="S5450" s="22" t="str">
        <f>IFERROR(__xludf.DUMMYFUNCTION("""COMPUTED_VALUE"""),"20260622_フレックスコミックス_私たちはデキてません！～初夜失敗した元婚約者と王命婚でやり直し～（単話版）")</f>
        <v>20260622_フレックスコミックス_私たちはデキてません！～初夜失敗した元婚約者と王命婚でやり直し～（単話版）</v>
      </c>
      <c r="T5450" s="22" t="str">
        <f>IFERROR(__xludf.DUMMYFUNCTION("""COMPUTED_VALUE"""),"格納済み")</f>
        <v>格納済み</v>
      </c>
      <c r="U5450" s="9" t="str">
        <f>IFERROR(__xludf.DUMMYFUNCTION("""COMPUTED_VALUE"""),"Ⓒ奈院ゆりえ Ⓒマチバリ／COMICポラリス")</f>
        <v>Ⓒ奈院ゆりえ Ⓒマチバリ／COMICポラリス</v>
      </c>
      <c r="V5450" s="8"/>
      <c r="W5450" s="8"/>
      <c r="X5450" s="8"/>
      <c r="Y5450" s="8"/>
      <c r="Z5450" s="7"/>
      <c r="AA5450" s="7"/>
      <c r="AB5450" s="7"/>
    </row>
    <row r="5451" ht="15.75" customHeight="1">
      <c r="A5451" s="26">
        <f>IFERROR(__xludf.DUMMYFUNCTION("""COMPUTED_VALUE"""),8247.0)</f>
        <v>8247</v>
      </c>
      <c r="B5451" s="22" t="str">
        <f>IFERROR(__xludf.DUMMYFUNCTION("""COMPUTED_VALUE"""),"確定")</f>
        <v>確定</v>
      </c>
      <c r="C5451" s="28">
        <f>IFERROR(__xludf.DUMMYFUNCTION("""COMPUTED_VALUE"""),46190.0)</f>
        <v>46190</v>
      </c>
      <c r="D5451" s="28">
        <f>IFERROR(__xludf.DUMMYFUNCTION("""COMPUTED_VALUE"""),46219.0)</f>
        <v>46219</v>
      </c>
      <c r="E5451" s="26"/>
      <c r="F5451" s="22" t="str">
        <f>IFERROR(__xludf.DUMMYFUNCTION("""COMPUTED_VALUE"""),"桜の嫁入り～大正あやかし溺愛奇譚～【分冊版】")</f>
        <v>桜の嫁入り～大正あやかし溺愛奇譚～【分冊版】</v>
      </c>
      <c r="G5451" s="20" t="str">
        <f>IFERROR(__xludf.DUMMYFUNCTION("""COMPUTED_VALUE"""),"1~3")</f>
        <v>1~3</v>
      </c>
      <c r="H5451" s="22" t="str">
        <f>IFERROR(__xludf.DUMMYFUNCTION("""COMPUTED_VALUE"""),"原作：朱音ゆうひ／漫画：みよしふるまち／キャラクター原案：庭春樹")</f>
        <v>原作：朱音ゆうひ／漫画：みよしふるまち／キャラクター原案：庭春樹</v>
      </c>
      <c r="I5451" s="22" t="str">
        <f>IFERROR(__xludf.DUMMYFUNCTION("""COMPUTED_VALUE"""),"女性")</f>
        <v>女性</v>
      </c>
      <c r="J5451" s="22"/>
      <c r="K5451" s="22"/>
      <c r="L5451" s="22" t="str">
        <f>IFERROR(__xludf.DUMMYFUNCTION("""COMPUTED_VALUE"""),"一二三書房")</f>
        <v>一二三書房</v>
      </c>
      <c r="M5451" s="33">
        <f>IFERROR(__xludf.DUMMYFUNCTION("""COMPUTED_VALUE"""),46239.0)</f>
        <v>46239</v>
      </c>
      <c r="N5451" s="33">
        <f>IFERROR(__xludf.DUMMYFUNCTION("""COMPUTED_VALUE"""),46299.0)</f>
        <v>46299</v>
      </c>
      <c r="O5451" s="20"/>
      <c r="P5451" s="32" t="str">
        <f>IFERROR(__xludf.DUMMYFUNCTION("""COMPUTED_VALUE"""),"可")</f>
        <v>可</v>
      </c>
      <c r="Q5451" s="30" t="str">
        <f>IFERROR(__xludf.DUMMYFUNCTION("""COMPUTED_VALUE"""),"第五回一二三WEB小説大賞《銀賞》を受賞した朱音ゆうひ先生原作のコミカライズです。 少女とあやかしの大正ロマンスファンタジー。 『台所のドラゴン』『ケッコーなお手前です。』などを手掛ける、ベテラン漫画家みよしふるまち先生が漫画を担当します。")</f>
        <v>第五回一二三WEB小説大賞《銀賞》を受賞した朱音ゆうひ先生原作のコミカライズです。 少女とあやかしの大正ロマンスファンタジー。 『台所のドラゴン』『ケッコーなお手前です。』などを手掛ける、ベテラン漫画家みよしふるまち先生が漫画を担当します。</v>
      </c>
      <c r="R5451" s="22"/>
      <c r="S5451" s="22" t="str">
        <f>IFERROR(__xludf.DUMMYFUNCTION("""COMPUTED_VALUE"""),"20260618_一二三書房_桜の嫁入り～大正あやかし溺愛奇譚～")</f>
        <v>20260618_一二三書房_桜の嫁入り～大正あやかし溺愛奇譚～</v>
      </c>
      <c r="T5451" s="22" t="str">
        <f>IFERROR(__xludf.DUMMYFUNCTION("""COMPUTED_VALUE"""),"格納済み")</f>
        <v>格納済み</v>
      </c>
      <c r="U5451" s="9" t="str">
        <f>IFERROR(__xludf.DUMMYFUNCTION("""COMPUTED_VALUE"""),"ⒸYuhi Akane ⒸMIYOSHI FURUMACHI/TOKIFUDE ⒸHIFUMI SHOBO")</f>
        <v>ⒸYuhi Akane ⒸMIYOSHI FURUMACHI/TOKIFUDE ⒸHIFUMI SHOBO</v>
      </c>
      <c r="V5451" s="8"/>
      <c r="W5451" s="8"/>
      <c r="X5451" s="8"/>
      <c r="Y5451" s="8"/>
      <c r="Z5451" s="7"/>
      <c r="AA5451" s="7"/>
      <c r="AB5451" s="7"/>
    </row>
    <row r="5452" ht="15.75" customHeight="1">
      <c r="A5452" s="26">
        <f>IFERROR(__xludf.DUMMYFUNCTION("""COMPUTED_VALUE"""),8252.0)</f>
        <v>8252</v>
      </c>
      <c r="B5452" s="22" t="str">
        <f>IFERROR(__xludf.DUMMYFUNCTION("""COMPUTED_VALUE"""),"確定")</f>
        <v>確定</v>
      </c>
      <c r="C5452" s="28">
        <f>IFERROR(__xludf.DUMMYFUNCTION("""COMPUTED_VALUE"""),46191.0)</f>
        <v>46191</v>
      </c>
      <c r="D5452" s="28">
        <f>IFERROR(__xludf.DUMMYFUNCTION("""COMPUTED_VALUE"""),46196.0)</f>
        <v>46196</v>
      </c>
      <c r="E5452" s="26"/>
      <c r="F5452" s="22" t="str">
        <f>IFERROR(__xludf.DUMMYFUNCTION("""COMPUTED_VALUE"""),"俺の匂いに溺れてよ。そそがれ、ハメられ、甘い毒")</f>
        <v>俺の匂いに溺れてよ。そそがれ、ハメられ、甘い毒</v>
      </c>
      <c r="G5452" s="20" t="str">
        <f>IFERROR(__xludf.DUMMYFUNCTION("""COMPUTED_VALUE"""),"1～2")</f>
        <v>1～2</v>
      </c>
      <c r="H5452" s="22" t="str">
        <f>IFERROR(__xludf.DUMMYFUNCTION("""COMPUTED_VALUE"""),"虹森ゆりた")</f>
        <v>虹森ゆりた</v>
      </c>
      <c r="I5452" s="22" t="str">
        <f>IFERROR(__xludf.DUMMYFUNCTION("""COMPUTED_VALUE"""),"TL")</f>
        <v>TL</v>
      </c>
      <c r="J5452" s="22"/>
      <c r="K5452" s="22" t="str">
        <f>IFERROR(__xludf.DUMMYFUNCTION("""COMPUTED_VALUE"""),"TL★オトメチカ")</f>
        <v>TL★オトメチカ</v>
      </c>
      <c r="L5452" s="22" t="str">
        <f>IFERROR(__xludf.DUMMYFUNCTION("""COMPUTED_VALUE"""),"CLLENN")</f>
        <v>CLLENN</v>
      </c>
      <c r="M5452" s="33">
        <f>IFERROR(__xludf.DUMMYFUNCTION("""COMPUTED_VALUE"""),46252.0)</f>
        <v>46252</v>
      </c>
      <c r="N5452" s="33">
        <f>IFERROR(__xludf.DUMMYFUNCTION("""COMPUTED_VALUE"""),46307.0)</f>
        <v>46307</v>
      </c>
      <c r="O5452" s="20" t="str">
        <f>IFERROR(__xludf.DUMMYFUNCTION("""COMPUTED_VALUE"""),"【アダルト作品扱い】")</f>
        <v>【アダルト作品扱い】</v>
      </c>
      <c r="P5452" s="32" t="str">
        <f>IFERROR(__xludf.DUMMYFUNCTION("""COMPUTED_VALUE"""),"可")</f>
        <v>可</v>
      </c>
      <c r="Q5452" s="30"/>
      <c r="R5452" s="22"/>
      <c r="S5452" s="22" t="str">
        <f>IFERROR(__xludf.DUMMYFUNCTION("""COMPUTED_VALUE"""),"20260618_CLLENN_俺の匂いに溺れてよ。そそがれ、ハメられ、甘い毒")</f>
        <v>20260618_CLLENN_俺の匂いに溺れてよ。そそがれ、ハメられ、甘い毒</v>
      </c>
      <c r="T5452" s="22" t="str">
        <f>IFERROR(__xludf.DUMMYFUNCTION("""COMPUTED_VALUE"""),"格納済み")</f>
        <v>格納済み</v>
      </c>
      <c r="U5452" s="9" t="str">
        <f>IFERROR(__xludf.DUMMYFUNCTION("""COMPUTED_VALUE"""),"Ⓒ虹森ゆりた/CLLENN")</f>
        <v>Ⓒ虹森ゆりた/CLLENN</v>
      </c>
      <c r="V5452" s="8"/>
      <c r="W5452" s="8"/>
      <c r="X5452" s="8"/>
      <c r="Y5452" s="8"/>
      <c r="Z5452" s="7"/>
      <c r="AA5452" s="7"/>
      <c r="AB5452" s="7"/>
    </row>
    <row r="5453" ht="15.75" customHeight="1">
      <c r="A5453" s="26">
        <f>IFERROR(__xludf.DUMMYFUNCTION("""COMPUTED_VALUE"""),8253.0)</f>
        <v>8253</v>
      </c>
      <c r="B5453" s="22" t="str">
        <f>IFERROR(__xludf.DUMMYFUNCTION("""COMPUTED_VALUE"""),"確定")</f>
        <v>確定</v>
      </c>
      <c r="C5453" s="28">
        <f>IFERROR(__xludf.DUMMYFUNCTION("""COMPUTED_VALUE"""),46191.0)</f>
        <v>46191</v>
      </c>
      <c r="D5453" s="28">
        <f>IFERROR(__xludf.DUMMYFUNCTION("""COMPUTED_VALUE"""),46196.0)</f>
        <v>46196</v>
      </c>
      <c r="E5453" s="26"/>
      <c r="F5453" s="22" t="str">
        <f>IFERROR(__xludf.DUMMYFUNCTION("""COMPUTED_VALUE"""),"月城部長に叱られたい")</f>
        <v>月城部長に叱られたい</v>
      </c>
      <c r="G5453" s="20" t="str">
        <f>IFERROR(__xludf.DUMMYFUNCTION("""COMPUTED_VALUE"""),"1~3")</f>
        <v>1~3</v>
      </c>
      <c r="H5453" s="22" t="str">
        <f>IFERROR(__xludf.DUMMYFUNCTION("""COMPUTED_VALUE"""),"見習いさん")</f>
        <v>見習いさん</v>
      </c>
      <c r="I5453" s="22" t="str">
        <f>IFERROR(__xludf.DUMMYFUNCTION("""COMPUTED_VALUE"""),"女性")</f>
        <v>女性</v>
      </c>
      <c r="J5453" s="22"/>
      <c r="K5453" s="22" t="str">
        <f>IFERROR(__xludf.DUMMYFUNCTION("""COMPUTED_VALUE"""),"コミックかのんレーベル")</f>
        <v>コミックかのんレーベル</v>
      </c>
      <c r="L5453" s="22" t="str">
        <f>IFERROR(__xludf.DUMMYFUNCTION("""COMPUTED_VALUE"""),"飛鳥新社")</f>
        <v>飛鳥新社</v>
      </c>
      <c r="M5453" s="33">
        <f>IFERROR(__xludf.DUMMYFUNCTION("""COMPUTED_VALUE"""),46241.0)</f>
        <v>46241</v>
      </c>
      <c r="N5453" s="33">
        <f>IFERROR(__xludf.DUMMYFUNCTION("""COMPUTED_VALUE"""),46332.0)</f>
        <v>46332</v>
      </c>
      <c r="O5453" s="20"/>
      <c r="P5453" s="32" t="str">
        <f>IFERROR(__xludf.DUMMYFUNCTION("""COMPUTED_VALUE"""),"可")</f>
        <v>可</v>
      </c>
      <c r="Q5453" s="30"/>
      <c r="R5453" s="22"/>
      <c r="S5453" s="22" t="str">
        <f>IFERROR(__xludf.DUMMYFUNCTION("""COMPUTED_VALUE"""),"20260618_飛鳥新社_月城部長に叱られたい")</f>
        <v>20260618_飛鳥新社_月城部長に叱られたい</v>
      </c>
      <c r="T5453" s="22" t="str">
        <f>IFERROR(__xludf.DUMMYFUNCTION("""COMPUTED_VALUE"""),"格納済み")</f>
        <v>格納済み</v>
      </c>
      <c r="U5453" s="9" t="str">
        <f>IFERROR(__xludf.DUMMYFUNCTION("""COMPUTED_VALUE"""),"Ⓒ見習いさん/飛鳥新社")</f>
        <v>Ⓒ見習いさん/飛鳥新社</v>
      </c>
      <c r="V5453" s="8"/>
      <c r="W5453" s="8"/>
      <c r="X5453" s="8"/>
      <c r="Y5453" s="8"/>
      <c r="Z5453" s="7"/>
      <c r="AA5453" s="7"/>
      <c r="AB5453" s="7"/>
    </row>
    <row r="5454" ht="15.75" customHeight="1">
      <c r="A5454" s="26">
        <f>IFERROR(__xludf.DUMMYFUNCTION("""COMPUTED_VALUE"""),8254.0)</f>
        <v>8254</v>
      </c>
      <c r="B5454" s="22" t="str">
        <f>IFERROR(__xludf.DUMMYFUNCTION("""COMPUTED_VALUE"""),"確定")</f>
        <v>確定</v>
      </c>
      <c r="C5454" s="28">
        <f>IFERROR(__xludf.DUMMYFUNCTION("""COMPUTED_VALUE"""),46191.0)</f>
        <v>46191</v>
      </c>
      <c r="D5454" s="28">
        <f>IFERROR(__xludf.DUMMYFUNCTION("""COMPUTED_VALUE"""),46192.0)</f>
        <v>46192</v>
      </c>
      <c r="E5454" s="26">
        <f>IFERROR(__xludf.DUMMYFUNCTION("""COMPUTED_VALUE"""),366443.0)</f>
        <v>366443</v>
      </c>
      <c r="F5454" s="22" t="str">
        <f>IFERROR(__xludf.DUMMYFUNCTION("""COMPUTED_VALUE"""),"私は悪役令嬢らしいので、ラスボスを愛でる係になることにしました 連載版")</f>
        <v>私は悪役令嬢らしいので、ラスボスを愛でる係になることにしました 連載版</v>
      </c>
      <c r="G5454" s="20" t="str">
        <f>IFERROR(__xludf.DUMMYFUNCTION("""COMPUTED_VALUE"""),"1～4")</f>
        <v>1～4</v>
      </c>
      <c r="H5454" s="22" t="str">
        <f>IFERROR(__xludf.DUMMYFUNCTION("""COMPUTED_VALUE"""),"高嶋 育⊥新 星緒⊥仁藤 あかね")</f>
        <v>高嶋 育⊥新 星緒⊥仁藤 あかね</v>
      </c>
      <c r="I5454" s="22" t="str">
        <f>IFERROR(__xludf.DUMMYFUNCTION("""COMPUTED_VALUE"""),"女性")</f>
        <v>女性</v>
      </c>
      <c r="J5454" s="22"/>
      <c r="K5454" s="22"/>
      <c r="L5454" s="22" t="str">
        <f>IFERROR(__xludf.DUMMYFUNCTION("""COMPUTED_VALUE"""),"ブシロードワークス")</f>
        <v>ブシロードワークス</v>
      </c>
      <c r="M5454" s="33">
        <f>IFERROR(__xludf.DUMMYFUNCTION("""COMPUTED_VALUE"""),46209.0)</f>
        <v>46209</v>
      </c>
      <c r="N5454" s="33">
        <f>IFERROR(__xludf.DUMMYFUNCTION("""COMPUTED_VALUE"""),46271.0)</f>
        <v>46271</v>
      </c>
      <c r="O5454" s="20"/>
      <c r="P5454" s="32" t="str">
        <f>IFERROR(__xludf.DUMMYFUNCTION("""COMPUTED_VALUE"""),"可")</f>
        <v>可</v>
      </c>
      <c r="Q5454" s="30"/>
      <c r="R5454" s="22"/>
      <c r="S5454" s="22" t="str">
        <f>IFERROR(__xludf.DUMMYFUNCTION("""COMPUTED_VALUE"""),"20260608_ブシロードワークス_私は悪役令嬢らしいので、ラスボスを愛でる係になることにしました 連載版")</f>
        <v>20260608_ブシロードワークス_私は悪役令嬢らしいので、ラスボスを愛でる係になることにしました 連載版</v>
      </c>
      <c r="T5454" s="22" t="str">
        <f>IFERROR(__xludf.DUMMYFUNCTION("""COMPUTED_VALUE"""),"格納済み")</f>
        <v>格納済み</v>
      </c>
      <c r="U5454" s="9" t="str">
        <f>IFERROR(__xludf.DUMMYFUNCTION("""COMPUTED_VALUE"""),"ⒸIku Takashima, Hoshio Atara / BUSHIROAD WORKS")</f>
        <v>ⒸIku Takashima, Hoshio Atara / BUSHIROAD WORKS</v>
      </c>
      <c r="V5454" s="8"/>
      <c r="W5454" s="8"/>
      <c r="X5454" s="8" t="str">
        <f>IFERROR(__xludf.DUMMYFUNCTION("""COMPUTED_VALUE"""),"有")</f>
        <v>有</v>
      </c>
      <c r="Y5454" s="8" t="str">
        <f>IFERROR(__xludf.DUMMYFUNCTION("""COMPUTED_VALUE"""),"2026/9/6まで1～2巻無料")</f>
        <v>2026/9/6まで1～2巻無料</v>
      </c>
      <c r="Z5454" s="7"/>
      <c r="AA5454" s="7"/>
      <c r="AB5454" s="7"/>
    </row>
    <row r="5455" ht="15.75" customHeight="1">
      <c r="A5455" s="26">
        <f>IFERROR(__xludf.DUMMYFUNCTION("""COMPUTED_VALUE"""),8255.0)</f>
        <v>8255</v>
      </c>
      <c r="B5455" s="22" t="str">
        <f>IFERROR(__xludf.DUMMYFUNCTION("""COMPUTED_VALUE"""),"確定")</f>
        <v>確定</v>
      </c>
      <c r="C5455" s="28">
        <f>IFERROR(__xludf.DUMMYFUNCTION("""COMPUTED_VALUE"""),46191.0)</f>
        <v>46191</v>
      </c>
      <c r="D5455" s="28">
        <f>IFERROR(__xludf.DUMMYFUNCTION("""COMPUTED_VALUE"""),46192.0)</f>
        <v>46192</v>
      </c>
      <c r="E5455" s="26">
        <f>IFERROR(__xludf.DUMMYFUNCTION("""COMPUTED_VALUE"""),335927.0)</f>
        <v>335927</v>
      </c>
      <c r="F5455" s="22" t="str">
        <f>IFERROR(__xludf.DUMMYFUNCTION("""COMPUTED_VALUE"""),"どうか暗い夜が明けますように")</f>
        <v>どうか暗い夜が明けますように</v>
      </c>
      <c r="G5455" s="20" t="str">
        <f>IFERROR(__xludf.DUMMYFUNCTION("""COMPUTED_VALUE"""),"1~3")</f>
        <v>1~3</v>
      </c>
      <c r="H5455" s="22" t="str">
        <f>IFERROR(__xludf.DUMMYFUNCTION("""COMPUTED_VALUE"""),"猫川たら子")</f>
        <v>猫川たら子</v>
      </c>
      <c r="I5455" s="22" t="str">
        <f>IFERROR(__xludf.DUMMYFUNCTION("""COMPUTED_VALUE"""),"BL")</f>
        <v>BL</v>
      </c>
      <c r="J5455" s="22"/>
      <c r="K5455" s="22" t="str">
        <f>IFERROR(__xludf.DUMMYFUNCTION("""COMPUTED_VALUE"""),"Ficus")</f>
        <v>Ficus</v>
      </c>
      <c r="L5455" s="22" t="str">
        <f>IFERROR(__xludf.DUMMYFUNCTION("""COMPUTED_VALUE"""),"シーモアコミックス")</f>
        <v>シーモアコミックス</v>
      </c>
      <c r="M5455" s="33">
        <f>IFERROR(__xludf.DUMMYFUNCTION("""COMPUTED_VALUE"""),46214.0)</f>
        <v>46214</v>
      </c>
      <c r="N5455" s="33">
        <f>IFERROR(__xludf.DUMMYFUNCTION("""COMPUTED_VALUE"""),2958465.0)</f>
        <v>2958465</v>
      </c>
      <c r="O5455" s="20" t="str">
        <f>IFERROR(__xludf.DUMMYFUNCTION("""COMPUTED_VALUE"""),"【アダルト作品扱い】")</f>
        <v>【アダルト作品扱い】</v>
      </c>
      <c r="P5455" s="32" t="str">
        <f>IFERROR(__xludf.DUMMYFUNCTION("""COMPUTED_VALUE"""),"可")</f>
        <v>可</v>
      </c>
      <c r="Q5455" s="30"/>
      <c r="R5455" s="22"/>
      <c r="S5455" s="22" t="str">
        <f>IFERROR(__xludf.DUMMYFUNCTION("""COMPUTED_VALUE"""),"20260608_シーモアコミックス_どうか暗い夜が明けますように")</f>
        <v>20260608_シーモアコミックス_どうか暗い夜が明けますように</v>
      </c>
      <c r="T5455" s="22" t="str">
        <f>IFERROR(__xludf.DUMMYFUNCTION("""COMPUTED_VALUE"""),"格納済み")</f>
        <v>格納済み</v>
      </c>
      <c r="U5455" s="9" t="str">
        <f>IFERROR(__xludf.DUMMYFUNCTION("""COMPUTED_VALUE"""),"(C) 猫川たら子/シーモアコミックス")</f>
        <v>(C) 猫川たら子/シーモアコミックス</v>
      </c>
      <c r="V5455" s="8"/>
      <c r="W5455" s="8"/>
      <c r="X5455" s="8" t="str">
        <f>IFERROR(__xludf.DUMMYFUNCTION("""COMPUTED_VALUE"""),"有")</f>
        <v>有</v>
      </c>
      <c r="Y5455" s="8" t="str">
        <f>IFERROR(__xludf.DUMMYFUNCTION("""COMPUTED_VALUE"""),"2026/8/7まで1巻無料")</f>
        <v>2026/8/7まで1巻無料</v>
      </c>
      <c r="Z5455" s="7"/>
      <c r="AA5455" s="7"/>
      <c r="AB5455" s="7"/>
    </row>
    <row r="5456" ht="15.75" customHeight="1">
      <c r="A5456" s="26">
        <f>IFERROR(__xludf.DUMMYFUNCTION("""COMPUTED_VALUE"""),8256.0)</f>
        <v>8256</v>
      </c>
      <c r="B5456" s="22" t="str">
        <f>IFERROR(__xludf.DUMMYFUNCTION("""COMPUTED_VALUE"""),"確定")</f>
        <v>確定</v>
      </c>
      <c r="C5456" s="28">
        <f>IFERROR(__xludf.DUMMYFUNCTION("""COMPUTED_VALUE"""),46191.0)</f>
        <v>46191</v>
      </c>
      <c r="D5456" s="28">
        <f>IFERROR(__xludf.DUMMYFUNCTION("""COMPUTED_VALUE"""),46192.0)</f>
        <v>46192</v>
      </c>
      <c r="E5456" s="26">
        <f>IFERROR(__xludf.DUMMYFUNCTION("""COMPUTED_VALUE"""),344760.0)</f>
        <v>344760</v>
      </c>
      <c r="F5456" s="22" t="str">
        <f>IFERROR(__xludf.DUMMYFUNCTION("""COMPUTED_VALUE"""),"ぼたもちさま")</f>
        <v>ぼたもちさま</v>
      </c>
      <c r="G5456" s="20" t="str">
        <f>IFERROR(__xludf.DUMMYFUNCTION("""COMPUTED_VALUE"""),"1~3")</f>
        <v>1~3</v>
      </c>
      <c r="H5456" s="22" t="str">
        <f>IFERROR(__xludf.DUMMYFUNCTION("""COMPUTED_VALUE"""),"津々楽はじめ")</f>
        <v>津々楽はじめ</v>
      </c>
      <c r="I5456" s="22" t="str">
        <f>IFERROR(__xludf.DUMMYFUNCTION("""COMPUTED_VALUE"""),"少年")</f>
        <v>少年</v>
      </c>
      <c r="J5456" s="22"/>
      <c r="K5456" s="22" t="str">
        <f>IFERROR(__xludf.DUMMYFUNCTION("""COMPUTED_VALUE"""),"ズズズキュン！")</f>
        <v>ズズズキュン！</v>
      </c>
      <c r="L5456" s="22" t="str">
        <f>IFERROR(__xludf.DUMMYFUNCTION("""COMPUTED_VALUE"""),"シーモアコミックス")</f>
        <v>シーモアコミックス</v>
      </c>
      <c r="M5456" s="33">
        <f>IFERROR(__xludf.DUMMYFUNCTION("""COMPUTED_VALUE"""),46214.0)</f>
        <v>46214</v>
      </c>
      <c r="N5456" s="33">
        <f>IFERROR(__xludf.DUMMYFUNCTION("""COMPUTED_VALUE"""),2958465.0)</f>
        <v>2958465</v>
      </c>
      <c r="O5456" s="20"/>
      <c r="P5456" s="32" t="str">
        <f>IFERROR(__xludf.DUMMYFUNCTION("""COMPUTED_VALUE"""),"可")</f>
        <v>可</v>
      </c>
      <c r="Q5456" s="30"/>
      <c r="R5456" s="22"/>
      <c r="S5456" s="22" t="str">
        <f>IFERROR(__xludf.DUMMYFUNCTION("""COMPUTED_VALUE"""),"20260608_シーモアコミックス_ぼたもちさま")</f>
        <v>20260608_シーモアコミックス_ぼたもちさま</v>
      </c>
      <c r="T5456" s="22" t="str">
        <f>IFERROR(__xludf.DUMMYFUNCTION("""COMPUTED_VALUE"""),"格納済み")</f>
        <v>格納済み</v>
      </c>
      <c r="U5456" s="9" t="str">
        <f>IFERROR(__xludf.DUMMYFUNCTION("""COMPUTED_VALUE"""),"(C) 津々楽はじめ/シーモアコミックス")</f>
        <v>(C) 津々楽はじめ/シーモアコミックス</v>
      </c>
      <c r="V5456" s="8"/>
      <c r="W5456" s="8"/>
      <c r="X5456" s="8" t="str">
        <f>IFERROR(__xludf.DUMMYFUNCTION("""COMPUTED_VALUE"""),"有")</f>
        <v>有</v>
      </c>
      <c r="Y5456" s="8" t="str">
        <f>IFERROR(__xludf.DUMMYFUNCTION("""COMPUTED_VALUE"""),"2026/8/7まで1巻無料")</f>
        <v>2026/8/7まで1巻無料</v>
      </c>
      <c r="Z5456" s="7"/>
      <c r="AA5456" s="7"/>
      <c r="AB5456" s="7"/>
    </row>
    <row r="5457" ht="15.75" customHeight="1">
      <c r="A5457" s="26">
        <f>IFERROR(__xludf.DUMMYFUNCTION("""COMPUTED_VALUE"""),8257.0)</f>
        <v>8257</v>
      </c>
      <c r="B5457" s="22" t="str">
        <f>IFERROR(__xludf.DUMMYFUNCTION("""COMPUTED_VALUE"""),"確定")</f>
        <v>確定</v>
      </c>
      <c r="C5457" s="28">
        <f>IFERROR(__xludf.DUMMYFUNCTION("""COMPUTED_VALUE"""),46191.0)</f>
        <v>46191</v>
      </c>
      <c r="D5457" s="28">
        <f>IFERROR(__xludf.DUMMYFUNCTION("""COMPUTED_VALUE"""),46196.0)</f>
        <v>46196</v>
      </c>
      <c r="E5457" s="26"/>
      <c r="F5457" s="22" t="str">
        <f>IFERROR(__xludf.DUMMYFUNCTION("""COMPUTED_VALUE"""),"イカセロワイヤル～絶頂コロシアムへようこそ～")</f>
        <v>イカセロワイヤル～絶頂コロシアムへようこそ～</v>
      </c>
      <c r="G5457" s="20" t="str">
        <f>IFERROR(__xludf.DUMMYFUNCTION("""COMPUTED_VALUE"""),"1~3")</f>
        <v>1~3</v>
      </c>
      <c r="H5457" s="22" t="str">
        <f>IFERROR(__xludf.DUMMYFUNCTION("""COMPUTED_VALUE"""),"GENKAi")</f>
        <v>GENKAi</v>
      </c>
      <c r="I5457" s="22" t="str">
        <f>IFERROR(__xludf.DUMMYFUNCTION("""COMPUTED_VALUE"""),"アダルト")</f>
        <v>アダルト</v>
      </c>
      <c r="J5457" s="22"/>
      <c r="K5457" s="22"/>
      <c r="L5457" s="22" t="str">
        <f>IFERROR(__xludf.DUMMYFUNCTION("""COMPUTED_VALUE"""),"コミックダイス")</f>
        <v>コミックダイス</v>
      </c>
      <c r="M5457" s="33">
        <f>IFERROR(__xludf.DUMMYFUNCTION("""COMPUTED_VALUE"""),46235.0)</f>
        <v>46235</v>
      </c>
      <c r="N5457" s="33">
        <f>IFERROR(__xludf.DUMMYFUNCTION("""COMPUTED_VALUE"""),46326.0)</f>
        <v>46326</v>
      </c>
      <c r="O5457" s="20"/>
      <c r="P5457" s="32" t="str">
        <f>IFERROR(__xludf.DUMMYFUNCTION("""COMPUTED_VALUE"""),"可")</f>
        <v>可</v>
      </c>
      <c r="Q5457" s="30"/>
      <c r="R5457" s="22"/>
      <c r="S5457" s="22" t="str">
        <f>IFERROR(__xludf.DUMMYFUNCTION("""COMPUTED_VALUE"""),"20260618_コミックダイス_イカセロワイヤル～絶頂コロシアムへようこそ～")</f>
        <v>20260618_コミックダイス_イカセロワイヤル～絶頂コロシアムへようこそ～</v>
      </c>
      <c r="T5457" s="22" t="str">
        <f>IFERROR(__xludf.DUMMYFUNCTION("""COMPUTED_VALUE"""),"格納済み")</f>
        <v>格納済み</v>
      </c>
      <c r="U5457" s="9" t="str">
        <f>IFERROR(__xludf.DUMMYFUNCTION("""COMPUTED_VALUE"""),"（c）GENKAI")</f>
        <v>（c）GENKAI</v>
      </c>
      <c r="V5457" s="8"/>
      <c r="W5457" s="8"/>
      <c r="X5457" s="8"/>
      <c r="Y5457" s="8"/>
      <c r="Z5457" s="7"/>
      <c r="AA5457" s="7"/>
      <c r="AB5457" s="7"/>
    </row>
    <row r="5458" ht="15.75" customHeight="1">
      <c r="A5458" s="26">
        <f>IFERROR(__xludf.DUMMYFUNCTION("""COMPUTED_VALUE"""),8261.0)</f>
        <v>8261</v>
      </c>
      <c r="B5458" s="22" t="str">
        <f>IFERROR(__xludf.DUMMYFUNCTION("""COMPUTED_VALUE"""),"確定")</f>
        <v>確定</v>
      </c>
      <c r="C5458" s="28">
        <f>IFERROR(__xludf.DUMMYFUNCTION("""COMPUTED_VALUE"""),46192.0)</f>
        <v>46192</v>
      </c>
      <c r="D5458" s="28">
        <f>IFERROR(__xludf.DUMMYFUNCTION("""COMPUTED_VALUE"""),46196.0)</f>
        <v>46196</v>
      </c>
      <c r="E5458" s="26">
        <f>IFERROR(__xludf.DUMMYFUNCTION("""COMPUTED_VALUE"""),364408.0)</f>
        <v>364408</v>
      </c>
      <c r="F5458" s="22" t="str">
        <f>IFERROR(__xludf.DUMMYFUNCTION("""COMPUTED_VALUE"""),"教師不倫～娘の担任と不倫する夫～")</f>
        <v>教師不倫～娘の担任と不倫する夫～</v>
      </c>
      <c r="G5458" s="20" t="str">
        <f>IFERROR(__xludf.DUMMYFUNCTION("""COMPUTED_VALUE"""),"1~5")</f>
        <v>1~5</v>
      </c>
      <c r="H5458" s="22" t="str">
        <f>IFERROR(__xludf.DUMMYFUNCTION("""COMPUTED_VALUE"""),"秋生のぞみ")</f>
        <v>秋生のぞみ</v>
      </c>
      <c r="I5458" s="22" t="str">
        <f>IFERROR(__xludf.DUMMYFUNCTION("""COMPUTED_VALUE"""),"女性")</f>
        <v>女性</v>
      </c>
      <c r="J5458" s="22"/>
      <c r="K5458" s="22"/>
      <c r="L5458" s="22" t="str">
        <f>IFERROR(__xludf.DUMMYFUNCTION("""COMPUTED_VALUE"""),"一迅社")</f>
        <v>一迅社</v>
      </c>
      <c r="M5458" s="33">
        <f>IFERROR(__xludf.DUMMYFUNCTION("""COMPUTED_VALUE"""),46206.0)</f>
        <v>46206</v>
      </c>
      <c r="N5458" s="33">
        <f>IFERROR(__xludf.DUMMYFUNCTION("""COMPUTED_VALUE"""),46331.0)</f>
        <v>46331</v>
      </c>
      <c r="O5458" s="20"/>
      <c r="P5458" s="32" t="str">
        <f>IFERROR(__xludf.DUMMYFUNCTION("""COMPUTED_VALUE"""),"否")</f>
        <v>否</v>
      </c>
      <c r="Q5458" s="30"/>
      <c r="R5458" s="22"/>
      <c r="S5458" s="22" t="str">
        <f>IFERROR(__xludf.DUMMYFUNCTION("""COMPUTED_VALUE"""),"20260603_一迅社_教師不倫～娘の担任と不倫する夫～")</f>
        <v>20260603_一迅社_教師不倫～娘の担任と不倫する夫～</v>
      </c>
      <c r="T5458" s="22" t="str">
        <f>IFERROR(__xludf.DUMMYFUNCTION("""COMPUTED_VALUE"""),"格納済み")</f>
        <v>格納済み</v>
      </c>
      <c r="U5458" s="9" t="str">
        <f>IFERROR(__xludf.DUMMYFUNCTION("""COMPUTED_VALUE"""),"(c)秋生のぞみ／一迅社")</f>
        <v>(c)秋生のぞみ／一迅社</v>
      </c>
      <c r="V5458" s="8"/>
      <c r="W5458" s="8"/>
      <c r="X5458" s="8" t="str">
        <f>IFERROR(__xludf.DUMMYFUNCTION("""COMPUTED_VALUE"""),"有")</f>
        <v>有</v>
      </c>
      <c r="Y5458" s="8" t="str">
        <f>IFERROR(__xludf.DUMMYFUNCTION("""COMPUTED_VALUE"""),"2026/10/1まで1巻無料")</f>
        <v>2026/10/1まで1巻無料</v>
      </c>
      <c r="Z5458" s="7"/>
      <c r="AA5458" s="7"/>
      <c r="AB5458" s="7"/>
    </row>
    <row r="5459" ht="15.75" customHeight="1">
      <c r="A5459" s="26">
        <f>IFERROR(__xludf.DUMMYFUNCTION("""COMPUTED_VALUE"""),8262.0)</f>
        <v>8262</v>
      </c>
      <c r="B5459" s="22" t="str">
        <f>IFERROR(__xludf.DUMMYFUNCTION("""COMPUTED_VALUE"""),"確定")</f>
        <v>確定</v>
      </c>
      <c r="C5459" s="28">
        <f>IFERROR(__xludf.DUMMYFUNCTION("""COMPUTED_VALUE"""),46192.0)</f>
        <v>46192</v>
      </c>
      <c r="D5459" s="28">
        <f>IFERROR(__xludf.DUMMYFUNCTION("""COMPUTED_VALUE"""),46196.0)</f>
        <v>46196</v>
      </c>
      <c r="E5459" s="26">
        <f>IFERROR(__xludf.DUMMYFUNCTION("""COMPUTED_VALUE"""),364409.0)</f>
        <v>364409</v>
      </c>
      <c r="F5459" s="22" t="str">
        <f>IFERROR(__xludf.DUMMYFUNCTION("""COMPUTED_VALUE"""),"食いつくし不倫夫に復讐を")</f>
        <v>食いつくし不倫夫に復讐を</v>
      </c>
      <c r="G5459" s="20" t="str">
        <f>IFERROR(__xludf.DUMMYFUNCTION("""COMPUTED_VALUE"""),"1~5")</f>
        <v>1~5</v>
      </c>
      <c r="H5459" s="22" t="str">
        <f>IFERROR(__xludf.DUMMYFUNCTION("""COMPUTED_VALUE"""),"うめの稔")</f>
        <v>うめの稔</v>
      </c>
      <c r="I5459" s="22" t="str">
        <f>IFERROR(__xludf.DUMMYFUNCTION("""COMPUTED_VALUE"""),"女性")</f>
        <v>女性</v>
      </c>
      <c r="J5459" s="22"/>
      <c r="K5459" s="22"/>
      <c r="L5459" s="22" t="str">
        <f>IFERROR(__xludf.DUMMYFUNCTION("""COMPUTED_VALUE"""),"一迅社")</f>
        <v>一迅社</v>
      </c>
      <c r="M5459" s="33">
        <f>IFERROR(__xludf.DUMMYFUNCTION("""COMPUTED_VALUE"""),46206.0)</f>
        <v>46206</v>
      </c>
      <c r="N5459" s="33">
        <f>IFERROR(__xludf.DUMMYFUNCTION("""COMPUTED_VALUE"""),46331.0)</f>
        <v>46331</v>
      </c>
      <c r="O5459" s="20"/>
      <c r="P5459" s="32" t="str">
        <f>IFERROR(__xludf.DUMMYFUNCTION("""COMPUTED_VALUE"""),"否")</f>
        <v>否</v>
      </c>
      <c r="Q5459" s="30"/>
      <c r="R5459" s="22"/>
      <c r="S5459" s="22" t="str">
        <f>IFERROR(__xludf.DUMMYFUNCTION("""COMPUTED_VALUE"""),"20260603_一迅社_食いつくし不倫夫に復讐を")</f>
        <v>20260603_一迅社_食いつくし不倫夫に復讐を</v>
      </c>
      <c r="T5459" s="22" t="str">
        <f>IFERROR(__xludf.DUMMYFUNCTION("""COMPUTED_VALUE"""),"格納済み")</f>
        <v>格納済み</v>
      </c>
      <c r="U5459" s="9" t="str">
        <f>IFERROR(__xludf.DUMMYFUNCTION("""COMPUTED_VALUE"""),"(c)うめの稔／一迅社")</f>
        <v>(c)うめの稔／一迅社</v>
      </c>
      <c r="V5459" s="8"/>
      <c r="W5459" s="8"/>
      <c r="X5459" s="8" t="str">
        <f>IFERROR(__xludf.DUMMYFUNCTION("""COMPUTED_VALUE"""),"有")</f>
        <v>有</v>
      </c>
      <c r="Y5459" s="8" t="str">
        <f>IFERROR(__xludf.DUMMYFUNCTION("""COMPUTED_VALUE"""),"2026/10/1まで1巻無料")</f>
        <v>2026/10/1まで1巻無料</v>
      </c>
      <c r="Z5459" s="7"/>
      <c r="AA5459" s="7"/>
      <c r="AB5459" s="7"/>
    </row>
    <row r="5460" ht="15.75" customHeight="1">
      <c r="A5460" s="26">
        <f>IFERROR(__xludf.DUMMYFUNCTION("""COMPUTED_VALUE"""),8265.0)</f>
        <v>8265</v>
      </c>
      <c r="B5460" s="22" t="str">
        <f>IFERROR(__xludf.DUMMYFUNCTION("""COMPUTED_VALUE"""),"確定")</f>
        <v>確定</v>
      </c>
      <c r="C5460" s="28">
        <f>IFERROR(__xludf.DUMMYFUNCTION("""COMPUTED_VALUE"""),46192.0)</f>
        <v>46192</v>
      </c>
      <c r="D5460" s="28">
        <f>IFERROR(__xludf.DUMMYFUNCTION("""COMPUTED_VALUE"""),46192.0)</f>
        <v>46192</v>
      </c>
      <c r="E5460" s="26">
        <f>IFERROR(__xludf.DUMMYFUNCTION("""COMPUTED_VALUE"""),367144.0)</f>
        <v>367144</v>
      </c>
      <c r="F5460" s="22" t="str">
        <f>IFERROR(__xludf.DUMMYFUNCTION("""COMPUTED_VALUE"""),"狂愛の血雫　～虐げられた令嬢は傷ついた竜に永遠に執着される～")</f>
        <v>狂愛の血雫　～虐げられた令嬢は傷ついた竜に永遠に執着される～</v>
      </c>
      <c r="G5460" s="20">
        <f>IFERROR(__xludf.DUMMYFUNCTION("""COMPUTED_VALUE"""),1.0)</f>
        <v>1</v>
      </c>
      <c r="H5460" s="22" t="str">
        <f>IFERROR(__xludf.DUMMYFUNCTION("""COMPUTED_VALUE"""),"くまのみ鮭┴とびらの")</f>
        <v>くまのみ鮭┴とびらの</v>
      </c>
      <c r="I5460" s="22" t="str">
        <f>IFERROR(__xludf.DUMMYFUNCTION("""COMPUTED_VALUE"""),"少女")</f>
        <v>少女</v>
      </c>
      <c r="J5460" s="22"/>
      <c r="K5460" s="22" t="str">
        <f>IFERROR(__xludf.DUMMYFUNCTION("""COMPUTED_VALUE"""),"リュエルコミックス")</f>
        <v>リュエルコミックス</v>
      </c>
      <c r="L5460" s="22" t="str">
        <f>IFERROR(__xludf.DUMMYFUNCTION("""COMPUTED_VALUE"""),"実業之日本社")</f>
        <v>実業之日本社</v>
      </c>
      <c r="M5460" s="33">
        <f>IFERROR(__xludf.DUMMYFUNCTION("""COMPUTED_VALUE"""),46214.0)</f>
        <v>46214</v>
      </c>
      <c r="N5460" s="33">
        <f>IFERROR(__xludf.DUMMYFUNCTION("""COMPUTED_VALUE"""),46336.0)</f>
        <v>46336</v>
      </c>
      <c r="O5460" s="20"/>
      <c r="P5460" s="32" t="str">
        <f>IFERROR(__xludf.DUMMYFUNCTION("""COMPUTED_VALUE"""),"可")</f>
        <v>可</v>
      </c>
      <c r="Q5460" s="30"/>
      <c r="R5460" s="22"/>
      <c r="S5460" s="22" t="str">
        <f>IFERROR(__xludf.DUMMYFUNCTION("""COMPUTED_VALUE"""),"20260619_実業之日本社_狂愛の血雫～虐げられた令嬢は傷ついた竜に永遠に執着される～")</f>
        <v>20260619_実業之日本社_狂愛の血雫～虐げられた令嬢は傷ついた竜に永遠に執着される～</v>
      </c>
      <c r="T5460" s="22" t="str">
        <f>IFERROR(__xludf.DUMMYFUNCTION("""COMPUTED_VALUE"""),"格納済み")</f>
        <v>格納済み</v>
      </c>
      <c r="U5460" s="9" t="str">
        <f>IFERROR(__xludf.DUMMYFUNCTION("""COMPUTED_VALUE"""),"（C)くまのみ鮭・とびらの／実業之日本社")</f>
        <v>（C)くまのみ鮭・とびらの／実業之日本社</v>
      </c>
      <c r="V5460" s="8"/>
      <c r="W5460" s="8"/>
      <c r="X5460" s="8" t="str">
        <f>IFERROR(__xludf.DUMMYFUNCTION("""COMPUTED_VALUE"""),"有")</f>
        <v>有</v>
      </c>
      <c r="Y5460" s="8" t="str">
        <f>IFERROR(__xludf.DUMMYFUNCTION("""COMPUTED_VALUE"""),"p7まで")</f>
        <v>p7まで</v>
      </c>
      <c r="Z5460" s="7"/>
      <c r="AA5460" s="7"/>
      <c r="AB5460" s="7"/>
    </row>
    <row r="5461" ht="15.75" customHeight="1">
      <c r="A5461" s="26">
        <f>IFERROR(__xludf.DUMMYFUNCTION("""COMPUTED_VALUE"""),8270.0)</f>
        <v>8270</v>
      </c>
      <c r="B5461" s="22" t="str">
        <f>IFERROR(__xludf.DUMMYFUNCTION("""COMPUTED_VALUE"""),"確定")</f>
        <v>確定</v>
      </c>
      <c r="C5461" s="28">
        <f>IFERROR(__xludf.DUMMYFUNCTION("""COMPUTED_VALUE"""),46192.0)</f>
        <v>46192</v>
      </c>
      <c r="D5461" s="28">
        <f>IFERROR(__xludf.DUMMYFUNCTION("""COMPUTED_VALUE"""),46192.0)</f>
        <v>46192</v>
      </c>
      <c r="E5461" s="26"/>
      <c r="F5461" s="22" t="str">
        <f>IFERROR(__xludf.DUMMYFUNCTION("""COMPUTED_VALUE"""),"秘密の良妻修行")</f>
        <v>秘密の良妻修行</v>
      </c>
      <c r="G5461" s="20" t="str">
        <f>IFERROR(__xludf.DUMMYFUNCTION("""COMPUTED_VALUE"""),"1~3")</f>
        <v>1~3</v>
      </c>
      <c r="H5461" s="22" t="str">
        <f>IFERROR(__xludf.DUMMYFUNCTION("""COMPUTED_VALUE"""),"LEE EL/赤ちゃん")</f>
        <v>LEE EL/赤ちゃん</v>
      </c>
      <c r="I5461" s="22" t="str">
        <f>IFERROR(__xludf.DUMMYFUNCTION("""COMPUTED_VALUE"""),"青年")</f>
        <v>青年</v>
      </c>
      <c r="J5461" s="22"/>
      <c r="K5461" s="22"/>
      <c r="L5461" s="22" t="str">
        <f>IFERROR(__xludf.DUMMYFUNCTION("""COMPUTED_VALUE"""),"Rush!")</f>
        <v>Rush!</v>
      </c>
      <c r="M5461" s="33">
        <f>IFERROR(__xludf.DUMMYFUNCTION("""COMPUTED_VALUE"""),46234.0)</f>
        <v>46234</v>
      </c>
      <c r="N5461" s="33">
        <f>IFERROR(__xludf.DUMMYFUNCTION("""COMPUTED_VALUE"""),46261.0)</f>
        <v>46261</v>
      </c>
      <c r="O5461" s="20" t="str">
        <f>IFERROR(__xludf.DUMMYFUNCTION("""COMPUTED_VALUE"""),"【アダルト作品扱い】")</f>
        <v>【アダルト作品扱い】</v>
      </c>
      <c r="P5461" s="32" t="str">
        <f>IFERROR(__xludf.DUMMYFUNCTION("""COMPUTED_VALUE"""),"可")</f>
        <v>可</v>
      </c>
      <c r="Q5461" s="30"/>
      <c r="R5461" s="22"/>
      <c r="S5461" s="22" t="str">
        <f>IFERROR(__xludf.DUMMYFUNCTION("""COMPUTED_VALUE"""),"20260609_ファンギルド_秘密の良妻修行")</f>
        <v>20260609_ファンギルド_秘密の良妻修行</v>
      </c>
      <c r="T5461" s="22" t="str">
        <f>IFERROR(__xludf.DUMMYFUNCTION("""COMPUTED_VALUE"""),"格納済み")</f>
        <v>格納済み</v>
      </c>
      <c r="U5461" s="9" t="str">
        <f>IFERROR(__xludf.DUMMYFUNCTION("""COMPUTED_VALUE"""),"ⒸLEE EL/Akachan/TOPTOON")</f>
        <v>ⒸLEE EL/Akachan/TOPTOON</v>
      </c>
      <c r="V5461" s="8"/>
      <c r="W5461" s="8"/>
      <c r="X5461" s="8"/>
      <c r="Y5461" s="8"/>
      <c r="Z5461" s="7"/>
      <c r="AA5461" s="7"/>
      <c r="AB5461" s="7"/>
    </row>
    <row r="5462" ht="15.75" customHeight="1">
      <c r="A5462" s="26">
        <f>IFERROR(__xludf.DUMMYFUNCTION("""COMPUTED_VALUE"""),8271.0)</f>
        <v>8271</v>
      </c>
      <c r="B5462" s="22" t="str">
        <f>IFERROR(__xludf.DUMMYFUNCTION("""COMPUTED_VALUE"""),"確定")</f>
        <v>確定</v>
      </c>
      <c r="C5462" s="28">
        <f>IFERROR(__xludf.DUMMYFUNCTION("""COMPUTED_VALUE"""),46192.0)</f>
        <v>46192</v>
      </c>
      <c r="D5462" s="28">
        <f>IFERROR(__xludf.DUMMYFUNCTION("""COMPUTED_VALUE"""),46192.0)</f>
        <v>46192</v>
      </c>
      <c r="E5462" s="26">
        <f>IFERROR(__xludf.DUMMYFUNCTION("""COMPUTED_VALUE"""),365171.0)</f>
        <v>365171</v>
      </c>
      <c r="F5462" s="22" t="str">
        <f>IFERROR(__xludf.DUMMYFUNCTION("""COMPUTED_VALUE"""),"柊くんと、あの夜の続き。～フったはずの後輩の甘い執着に負けそうです～")</f>
        <v>柊くんと、あの夜の続き。～フったはずの後輩の甘い執着に負けそうです～</v>
      </c>
      <c r="G5462" s="20" t="str">
        <f>IFERROR(__xludf.DUMMYFUNCTION("""COMPUTED_VALUE"""),"1~3")</f>
        <v>1~3</v>
      </c>
      <c r="H5462" s="22" t="str">
        <f>IFERROR(__xludf.DUMMYFUNCTION("""COMPUTED_VALUE"""),"春楡いちる")</f>
        <v>春楡いちる</v>
      </c>
      <c r="I5462" s="22" t="str">
        <f>IFERROR(__xludf.DUMMYFUNCTION("""COMPUTED_VALUE"""),"TL")</f>
        <v>TL</v>
      </c>
      <c r="J5462" s="22"/>
      <c r="K5462" s="22" t="str">
        <f>IFERROR(__xludf.DUMMYFUNCTION("""COMPUTED_VALUE"""),"ラブきゅんコミック")</f>
        <v>ラブきゅんコミック</v>
      </c>
      <c r="L5462" s="22" t="str">
        <f>IFERROR(__xludf.DUMMYFUNCTION("""COMPUTED_VALUE"""),"モバイルメディアリサーチ")</f>
        <v>モバイルメディアリサーチ</v>
      </c>
      <c r="M5462" s="33">
        <f>IFERROR(__xludf.DUMMYFUNCTION("""COMPUTED_VALUE"""),46214.0)</f>
        <v>46214</v>
      </c>
      <c r="N5462" s="33">
        <f>IFERROR(__xludf.DUMMYFUNCTION("""COMPUTED_VALUE"""),46241.0)</f>
        <v>46241</v>
      </c>
      <c r="O5462" s="20"/>
      <c r="P5462" s="32" t="str">
        <f>IFERROR(__xludf.DUMMYFUNCTION("""COMPUTED_VALUE"""),"可")</f>
        <v>可</v>
      </c>
      <c r="Q5462" s="30"/>
      <c r="R5462" s="22"/>
      <c r="S5462" s="22" t="str">
        <f>IFERROR(__xludf.DUMMYFUNCTION("""COMPUTED_VALUE"""),"20260609_ファンギルド_柊くんと、あの夜の続き。～フったはずの後輩の甘い執着に負けそうです～")</f>
        <v>20260609_ファンギルド_柊くんと、あの夜の続き。～フったはずの後輩の甘い執着に負けそうです～</v>
      </c>
      <c r="T5462" s="22" t="str">
        <f>IFERROR(__xludf.DUMMYFUNCTION("""COMPUTED_VALUE"""),"格納済み")</f>
        <v>格納済み</v>
      </c>
      <c r="U5462" s="9" t="str">
        <f>IFERROR(__xludf.DUMMYFUNCTION("""COMPUTED_VALUE"""),"Ⓒ春楡いちる/モバイルメディアリサーチ")</f>
        <v>Ⓒ春楡いちる/モバイルメディアリサーチ</v>
      </c>
      <c r="V5462" s="8"/>
      <c r="W5462" s="8"/>
      <c r="X5462" s="8" t="str">
        <f>IFERROR(__xludf.DUMMYFUNCTION("""COMPUTED_VALUE"""),"有")</f>
        <v>有</v>
      </c>
      <c r="Y5462" s="8" t="str">
        <f>IFERROR(__xludf.DUMMYFUNCTION("""COMPUTED_VALUE"""),"2026/7/24まで1巻無料")</f>
        <v>2026/7/24まで1巻無料</v>
      </c>
      <c r="Z5462" s="7"/>
      <c r="AA5462" s="7"/>
      <c r="AB5462" s="7"/>
    </row>
    <row r="5463" ht="15.75" customHeight="1">
      <c r="A5463" s="26">
        <f>IFERROR(__xludf.DUMMYFUNCTION("""COMPUTED_VALUE"""),8272.0)</f>
        <v>8272</v>
      </c>
      <c r="B5463" s="22" t="str">
        <f>IFERROR(__xludf.DUMMYFUNCTION("""COMPUTED_VALUE"""),"確定")</f>
        <v>確定</v>
      </c>
      <c r="C5463" s="28">
        <f>IFERROR(__xludf.DUMMYFUNCTION("""COMPUTED_VALUE"""),46192.0)</f>
        <v>46192</v>
      </c>
      <c r="D5463" s="28">
        <f>IFERROR(__xludf.DUMMYFUNCTION("""COMPUTED_VALUE"""),46192.0)</f>
        <v>46192</v>
      </c>
      <c r="E5463" s="26">
        <f>IFERROR(__xludf.DUMMYFUNCTION("""COMPUTED_VALUE"""),365181.0)</f>
        <v>365181</v>
      </c>
      <c r="F5463" s="22" t="str">
        <f>IFERROR(__xludf.DUMMYFUNCTION("""COMPUTED_VALUE"""),"元侯爵令嬢の辺境使用人ライフ")</f>
        <v>元侯爵令嬢の辺境使用人ライフ</v>
      </c>
      <c r="G5463" s="20" t="str">
        <f>IFERROR(__xludf.DUMMYFUNCTION("""COMPUTED_VALUE"""),"1~5")</f>
        <v>1~5</v>
      </c>
      <c r="H5463" s="22" t="str">
        <f>IFERROR(__xludf.DUMMYFUNCTION("""COMPUTED_VALUE"""),"花宮かなめ/ユタニ")</f>
        <v>花宮かなめ/ユタニ</v>
      </c>
      <c r="I5463" s="22" t="str">
        <f>IFERROR(__xludf.DUMMYFUNCTION("""COMPUTED_VALUE"""),"女性")</f>
        <v>女性</v>
      </c>
      <c r="J5463" s="22"/>
      <c r="K5463" s="22"/>
      <c r="L5463" s="22" t="str">
        <f>IFERROR(__xludf.DUMMYFUNCTION("""COMPUTED_VALUE"""),"ファンギルド")</f>
        <v>ファンギルド</v>
      </c>
      <c r="M5463" s="33">
        <f>IFERROR(__xludf.DUMMYFUNCTION("""COMPUTED_VALUE"""),46219.0)</f>
        <v>46219</v>
      </c>
      <c r="N5463" s="33">
        <f>IFERROR(__xludf.DUMMYFUNCTION("""COMPUTED_VALUE"""),46281.0)</f>
        <v>46281</v>
      </c>
      <c r="O5463" s="20"/>
      <c r="P5463" s="32" t="str">
        <f>IFERROR(__xludf.DUMMYFUNCTION("""COMPUTED_VALUE"""),"可")</f>
        <v>可</v>
      </c>
      <c r="Q5463" s="30"/>
      <c r="R5463" s="22"/>
      <c r="S5463" s="22" t="str">
        <f>IFERROR(__xludf.DUMMYFUNCTION("""COMPUTED_VALUE"""),"20260609_ファンギルド_元侯爵令嬢の辺境使用人ライフ")</f>
        <v>20260609_ファンギルド_元侯爵令嬢の辺境使用人ライフ</v>
      </c>
      <c r="T5463" s="22" t="str">
        <f>IFERROR(__xludf.DUMMYFUNCTION("""COMPUTED_VALUE"""),"格納済み")</f>
        <v>格納済み</v>
      </c>
      <c r="U5463" s="9" t="str">
        <f>IFERROR(__xludf.DUMMYFUNCTION("""COMPUTED_VALUE"""),"Ⓒ花宮かなめ/ユタニ/ファンギルド")</f>
        <v>Ⓒ花宮かなめ/ユタニ/ファンギルド</v>
      </c>
      <c r="V5463" s="8"/>
      <c r="W5463" s="8"/>
      <c r="X5463" s="8" t="str">
        <f>IFERROR(__xludf.DUMMYFUNCTION("""COMPUTED_VALUE"""),"有")</f>
        <v>有</v>
      </c>
      <c r="Y5463" s="8" t="str">
        <f>IFERROR(__xludf.DUMMYFUNCTION("""COMPUTED_VALUE"""),"2026/7/29まで1～2巻無料")</f>
        <v>2026/7/29まで1～2巻無料</v>
      </c>
      <c r="Z5463" s="7"/>
      <c r="AA5463" s="7"/>
      <c r="AB5463" s="7"/>
    </row>
    <row r="5464" ht="15.75" customHeight="1">
      <c r="A5464" s="26">
        <f>IFERROR(__xludf.DUMMYFUNCTION("""COMPUTED_VALUE"""),8273.0)</f>
        <v>8273</v>
      </c>
      <c r="B5464" s="22" t="str">
        <f>IFERROR(__xludf.DUMMYFUNCTION("""COMPUTED_VALUE"""),"確定")</f>
        <v>確定</v>
      </c>
      <c r="C5464" s="28">
        <f>IFERROR(__xludf.DUMMYFUNCTION("""COMPUTED_VALUE"""),46192.0)</f>
        <v>46192</v>
      </c>
      <c r="D5464" s="28">
        <f>IFERROR(__xludf.DUMMYFUNCTION("""COMPUTED_VALUE"""),46195.0)</f>
        <v>46195</v>
      </c>
      <c r="E5464" s="26"/>
      <c r="F5464" s="22" t="str">
        <f>IFERROR(__xludf.DUMMYFUNCTION("""COMPUTED_VALUE"""),"追放聖女の溺愛レシピ～癒しのハーブは堅物王子の心もとかす～")</f>
        <v>追放聖女の溺愛レシピ～癒しのハーブは堅物王子の心もとかす～</v>
      </c>
      <c r="G5464" s="20" t="str">
        <f>IFERROR(__xludf.DUMMYFUNCTION("""COMPUTED_VALUE"""),"1~7")</f>
        <v>1~7</v>
      </c>
      <c r="H5464" s="22" t="str">
        <f>IFERROR(__xludf.DUMMYFUNCTION("""COMPUTED_VALUE"""),"こちょれーと┴エトワール編集部")</f>
        <v>こちょれーと┴エトワール編集部</v>
      </c>
      <c r="I5464" s="22" t="str">
        <f>IFERROR(__xludf.DUMMYFUNCTION("""COMPUTED_VALUE"""),"女性")</f>
        <v>女性</v>
      </c>
      <c r="J5464" s="22"/>
      <c r="K5464" s="22" t="str">
        <f>IFERROR(__xludf.DUMMYFUNCTION("""COMPUTED_VALUE"""),"COMICエトワール")</f>
        <v>COMICエトワール</v>
      </c>
      <c r="L5464" s="22" t="str">
        <f>IFERROR(__xludf.DUMMYFUNCTION("""COMPUTED_VALUE"""),"ライブコミックス")</f>
        <v>ライブコミックス</v>
      </c>
      <c r="M5464" s="33">
        <f>IFERROR(__xludf.DUMMYFUNCTION("""COMPUTED_VALUE"""),46227.0)</f>
        <v>46227</v>
      </c>
      <c r="N5464" s="33">
        <f>IFERROR(__xludf.DUMMYFUNCTION("""COMPUTED_VALUE"""),46289.0)</f>
        <v>46289</v>
      </c>
      <c r="O5464" s="20"/>
      <c r="P5464" s="32" t="str">
        <f>IFERROR(__xludf.DUMMYFUNCTION("""COMPUTED_VALUE"""),"可")</f>
        <v>可</v>
      </c>
      <c r="Q5464" s="30" t="str">
        <f>IFERROR(__xludf.DUMMYFUNCTION("""COMPUTED_VALUE"""),"書店BookLiveで配信済み作品の二次先行配信です。&lt;BR&gt;7巻素材の共有が少し先になるので1~6巻素材で広告制作お願いいたします。")</f>
        <v>書店BookLiveで配信済み作品の二次先行配信です。&lt;BR&gt;7巻素材の共有が少し先になるので1~6巻素材で広告制作お願いいたします。</v>
      </c>
      <c r="R5464" s="22"/>
      <c r="S5464" s="22" t="str">
        <f>IFERROR(__xludf.DUMMYFUNCTION("""COMPUTED_VALUE"""),"20260609_BookLive_追放聖女の溺愛レシピ～癒しのハーブは堅物王子の心もとかす～")</f>
        <v>20260609_BookLive_追放聖女の溺愛レシピ～癒しのハーブは堅物王子の心もとかす～</v>
      </c>
      <c r="T5464" s="22" t="str">
        <f>IFERROR(__xludf.DUMMYFUNCTION("""COMPUTED_VALUE"""),"格納済み")</f>
        <v>格納済み</v>
      </c>
      <c r="U5464" s="9" t="str">
        <f>IFERROR(__xludf.DUMMYFUNCTION("""COMPUTED_VALUE"""),"(C)こちょれーと/ライブコミックス")</f>
        <v>(C)こちょれーと/ライブコミックス</v>
      </c>
      <c r="V5464" s="8"/>
      <c r="W5464" s="8"/>
      <c r="X5464" s="8"/>
      <c r="Y5464" s="8"/>
      <c r="Z5464" s="7"/>
      <c r="AA5464" s="7"/>
      <c r="AB5464" s="7"/>
    </row>
    <row r="5465" ht="15.75" customHeight="1">
      <c r="A5465" s="26">
        <f>IFERROR(__xludf.DUMMYFUNCTION("""COMPUTED_VALUE"""),8287.0)</f>
        <v>8287</v>
      </c>
      <c r="B5465" s="22" t="str">
        <f>IFERROR(__xludf.DUMMYFUNCTION("""COMPUTED_VALUE"""),"確定")</f>
        <v>確定</v>
      </c>
      <c r="C5465" s="28">
        <f>IFERROR(__xludf.DUMMYFUNCTION("""COMPUTED_VALUE"""),46195.0)</f>
        <v>46195</v>
      </c>
      <c r="D5465" s="28">
        <f>IFERROR(__xludf.DUMMYFUNCTION("""COMPUTED_VALUE"""),46196.0)</f>
        <v>46196</v>
      </c>
      <c r="E5465" s="26">
        <f>IFERROR(__xludf.DUMMYFUNCTION("""COMPUTED_VALUE"""),366410.0)</f>
        <v>366410</v>
      </c>
      <c r="F5465" s="22" t="str">
        <f>IFERROR(__xludf.DUMMYFUNCTION("""COMPUTED_VALUE"""),"noicomi鬼姫～宵闇の血契～")</f>
        <v>noicomi鬼姫～宵闇の血契～</v>
      </c>
      <c r="G5465" s="20" t="str">
        <f>IFERROR(__xludf.DUMMYFUNCTION("""COMPUTED_VALUE"""),"1~3")</f>
        <v>1~3</v>
      </c>
      <c r="H5465" s="22" t="str">
        <f>IFERROR(__xludf.DUMMYFUNCTION("""COMPUTED_VALUE"""),"富樫じゅん（作画）、クレハ（原作）")</f>
        <v>富樫じゅん（作画）、クレハ（原作）</v>
      </c>
      <c r="I5465" s="22" t="str">
        <f>IFERROR(__xludf.DUMMYFUNCTION("""COMPUTED_VALUE"""),"少女")</f>
        <v>少女</v>
      </c>
      <c r="J5465" s="22"/>
      <c r="K5465" s="22"/>
      <c r="L5465" s="22" t="str">
        <f>IFERROR(__xludf.DUMMYFUNCTION("""COMPUTED_VALUE"""),"スターツ出版")</f>
        <v>スターツ出版</v>
      </c>
      <c r="M5465" s="33">
        <f>IFERROR(__xludf.DUMMYFUNCTION("""COMPUTED_VALUE"""),46213.0)</f>
        <v>46213</v>
      </c>
      <c r="N5465" s="33">
        <f>IFERROR(__xludf.DUMMYFUNCTION("""COMPUTED_VALUE"""),46366.0)</f>
        <v>46366</v>
      </c>
      <c r="O5465" s="20"/>
      <c r="P5465" s="32" t="str">
        <f>IFERROR(__xludf.DUMMYFUNCTION("""COMPUTED_VALUE"""),"否")</f>
        <v>否</v>
      </c>
      <c r="Q5465" s="30"/>
      <c r="R5465" s="22"/>
      <c r="S5465" s="22" t="str">
        <f>IFERROR(__xludf.DUMMYFUNCTION("""COMPUTED_VALUE"""),"20260622_スターツ出版_鬼姫～宵闇の血契～")</f>
        <v>20260622_スターツ出版_鬼姫～宵闇の血契～</v>
      </c>
      <c r="T5465" s="22" t="str">
        <f>IFERROR(__xludf.DUMMYFUNCTION("""COMPUTED_VALUE"""),"格納済み")</f>
        <v>格納済み</v>
      </c>
      <c r="U5465" s="9" t="str">
        <f>IFERROR(__xludf.DUMMYFUNCTION("""COMPUTED_VALUE"""),"(C)Jun Togashi・Kureha/スターツ出版")</f>
        <v>(C)Jun Togashi・Kureha/スターツ出版</v>
      </c>
      <c r="V5465" s="8"/>
      <c r="W5465" s="8"/>
      <c r="X5465" s="8" t="str">
        <f>IFERROR(__xludf.DUMMYFUNCTION("""COMPUTED_VALUE"""),"有")</f>
        <v>有</v>
      </c>
      <c r="Y5465" s="8" t="str">
        <f>IFERROR(__xludf.DUMMYFUNCTION("""COMPUTED_VALUE"""),"2026/12/10まで1巻無料")</f>
        <v>2026/12/10まで1巻無料</v>
      </c>
      <c r="Z5465" s="7"/>
      <c r="AA5465" s="7"/>
      <c r="AB5465" s="7"/>
    </row>
    <row r="5466" ht="15.75" customHeight="1">
      <c r="A5466" s="26">
        <f>IFERROR(__xludf.DUMMYFUNCTION("""COMPUTED_VALUE"""),7549.0)</f>
        <v>7549</v>
      </c>
      <c r="B5466" s="22" t="str">
        <f>IFERROR(__xludf.DUMMYFUNCTION("""COMPUTED_VALUE"""),"確定")</f>
        <v>確定</v>
      </c>
      <c r="C5466" s="28">
        <f>IFERROR(__xludf.DUMMYFUNCTION("""COMPUTED_VALUE"""),46083.0)</f>
        <v>46083</v>
      </c>
      <c r="D5466" s="28">
        <f>IFERROR(__xludf.DUMMYFUNCTION("""COMPUTED_VALUE"""),46204.0)</f>
        <v>46204</v>
      </c>
      <c r="E5466" s="26"/>
      <c r="F5466" s="22" t="str">
        <f>IFERROR(__xludf.DUMMYFUNCTION("""COMPUTED_VALUE"""),"ぼくと5人の不倫相手 分冊版")</f>
        <v>ぼくと5人の不倫相手 分冊版</v>
      </c>
      <c r="G5466" s="20" t="str">
        <f>IFERROR(__xludf.DUMMYFUNCTION("""COMPUTED_VALUE"""),"1~5")</f>
        <v>1~5</v>
      </c>
      <c r="H5466" s="22" t="str">
        <f>IFERROR(__xludf.DUMMYFUNCTION("""COMPUTED_VALUE"""),"竹充ヒロ（「夫婦別生」（小学館））")</f>
        <v>竹充ヒロ（「夫婦別生」（小学館））</v>
      </c>
      <c r="I5466" s="22" t="str">
        <f>IFERROR(__xludf.DUMMYFUNCTION("""COMPUTED_VALUE"""),"女性")</f>
        <v>女性</v>
      </c>
      <c r="J5466" s="22"/>
      <c r="K5466" s="22"/>
      <c r="L5466" s="22" t="str">
        <f>IFERROR(__xludf.DUMMYFUNCTION("""COMPUTED_VALUE"""),"コアミックス")</f>
        <v>コアミックス</v>
      </c>
      <c r="M5466" s="33">
        <f>IFERROR(__xludf.DUMMYFUNCTION("""COMPUTED_VALUE"""),46227.0)</f>
        <v>46227</v>
      </c>
      <c r="N5466" s="33">
        <f>IFERROR(__xludf.DUMMYFUNCTION("""COMPUTED_VALUE"""),46332.0)</f>
        <v>46332</v>
      </c>
      <c r="O5466" s="20"/>
      <c r="P5466" s="32" t="str">
        <f>IFERROR(__xludf.DUMMYFUNCTION("""COMPUTED_VALUE"""),"可")</f>
        <v>可</v>
      </c>
      <c r="Q5466" s="30"/>
      <c r="R5466" s="22" t="str">
        <f>IFERROR(__xludf.DUMMYFUNCTION("""COMPUTED_VALUE"""),"コミットOK")</f>
        <v>コミットOK</v>
      </c>
      <c r="S5466" s="22" t="str">
        <f>IFERROR(__xludf.DUMMYFUNCTION("""COMPUTED_VALUE"""),"20260626_コアミックス_ぼくと5人の不倫相手分冊版")</f>
        <v>20260626_コアミックス_ぼくと5人の不倫相手分冊版</v>
      </c>
      <c r="T5466" s="22" t="str">
        <f>IFERROR(__xludf.DUMMYFUNCTION("""COMPUTED_VALUE"""),"格納済み")</f>
        <v>格納済み</v>
      </c>
      <c r="U5466" s="9" t="str">
        <f>IFERROR(__xludf.DUMMYFUNCTION("""COMPUTED_VALUE"""),"Ⓒ竹充ヒロ／コアミックス")</f>
        <v>Ⓒ竹充ヒロ／コアミックス</v>
      </c>
      <c r="V5466" s="8"/>
      <c r="W5466" s="8"/>
      <c r="X5466" s="8"/>
      <c r="Y5466" s="8"/>
      <c r="Z5466" s="7"/>
      <c r="AA5466" s="7"/>
      <c r="AB5466" s="7"/>
    </row>
    <row r="5467" ht="15.75" customHeight="1">
      <c r="A5467" s="26">
        <f>IFERROR(__xludf.DUMMYFUNCTION("""COMPUTED_VALUE"""),7575.0)</f>
        <v>7575</v>
      </c>
      <c r="B5467" s="22" t="str">
        <f>IFERROR(__xludf.DUMMYFUNCTION("""COMPUTED_VALUE"""),"確定")</f>
        <v>確定</v>
      </c>
      <c r="C5467" s="28">
        <f>IFERROR(__xludf.DUMMYFUNCTION("""COMPUTED_VALUE"""),46085.0)</f>
        <v>46085</v>
      </c>
      <c r="D5467" s="28">
        <f>IFERROR(__xludf.DUMMYFUNCTION("""COMPUTED_VALUE"""),46204.0)</f>
        <v>46204</v>
      </c>
      <c r="E5467" s="26"/>
      <c r="F5467" s="22" t="str">
        <f>IFERROR(__xludf.DUMMYFUNCTION("""COMPUTED_VALUE"""),"邪神X")</f>
        <v>邪神X</v>
      </c>
      <c r="G5467" s="20" t="str">
        <f>IFERROR(__xludf.DUMMYFUNCTION("""COMPUTED_VALUE"""),"1~8")</f>
        <v>1~8</v>
      </c>
      <c r="H5467" s="22" t="str">
        <f>IFERROR(__xludf.DUMMYFUNCTION("""COMPUTED_VALUE"""),"熊田龍泉")</f>
        <v>熊田龍泉</v>
      </c>
      <c r="I5467" s="22" t="str">
        <f>IFERROR(__xludf.DUMMYFUNCTION("""COMPUTED_VALUE"""),"青年")</f>
        <v>青年</v>
      </c>
      <c r="J5467" s="22"/>
      <c r="K5467" s="22" t="str">
        <f>IFERROR(__xludf.DUMMYFUNCTION("""COMPUTED_VALUE"""),"コミックZOTTO")</f>
        <v>コミックZOTTO</v>
      </c>
      <c r="L5467" s="22" t="str">
        <f>IFERROR(__xludf.DUMMYFUNCTION("""COMPUTED_VALUE"""),"朝日新聞出版")</f>
        <v>朝日新聞出版</v>
      </c>
      <c r="M5467" s="33">
        <f>IFERROR(__xludf.DUMMYFUNCTION("""COMPUTED_VALUE"""),46235.0)</f>
        <v>46235</v>
      </c>
      <c r="N5467" s="33">
        <f>IFERROR(__xludf.DUMMYFUNCTION("""COMPUTED_VALUE"""),46326.0)</f>
        <v>46326</v>
      </c>
      <c r="O5467" s="20"/>
      <c r="P5467" s="32" t="str">
        <f>IFERROR(__xludf.DUMMYFUNCTION("""COMPUTED_VALUE"""),"可")</f>
        <v>可</v>
      </c>
      <c r="Q5467" s="30"/>
      <c r="R5467" s="22" t="str">
        <f>IFERROR(__xludf.DUMMYFUNCTION("""COMPUTED_VALUE"""),"コミットOK")</f>
        <v>コミットOK</v>
      </c>
      <c r="S5467" s="22" t="str">
        <f>IFERROR(__xludf.DUMMYFUNCTION("""COMPUTED_VALUE"""),"20260629_朝日新聞出版_邪神X_2")</f>
        <v>20260629_朝日新聞出版_邪神X_2</v>
      </c>
      <c r="T5467" s="22" t="str">
        <f>IFERROR(__xludf.DUMMYFUNCTION("""COMPUTED_VALUE"""),"格納済み")</f>
        <v>格納済み</v>
      </c>
      <c r="U5467" s="9" t="str">
        <f>IFERROR(__xludf.DUMMYFUNCTION("""COMPUTED_VALUE"""),"(C) 熊田龍泉／朝日新聞出版")</f>
        <v>(C) 熊田龍泉／朝日新聞出版</v>
      </c>
      <c r="V5467" s="8"/>
      <c r="W5467" s="8"/>
      <c r="X5467" s="8"/>
      <c r="Y5467" s="8"/>
      <c r="Z5467" s="7"/>
      <c r="AA5467" s="7"/>
      <c r="AB5467" s="7"/>
    </row>
    <row r="5468" ht="15.75" customHeight="1">
      <c r="A5468" s="26">
        <f>IFERROR(__xludf.DUMMYFUNCTION("""COMPUTED_VALUE"""),7856.0)</f>
        <v>7856</v>
      </c>
      <c r="B5468" s="22" t="str">
        <f>IFERROR(__xludf.DUMMYFUNCTION("""COMPUTED_VALUE"""),"確定")</f>
        <v>確定</v>
      </c>
      <c r="C5468" s="28">
        <f>IFERROR(__xludf.DUMMYFUNCTION("""COMPUTED_VALUE"""),46128.0)</f>
        <v>46128</v>
      </c>
      <c r="D5468" s="28">
        <f>IFERROR(__xludf.DUMMYFUNCTION("""COMPUTED_VALUE"""),46203.0)</f>
        <v>46203</v>
      </c>
      <c r="E5468" s="26"/>
      <c r="F5468" s="22" t="str">
        <f>IFERROR(__xludf.DUMMYFUNCTION("""COMPUTED_VALUE"""),"ジゼル・オデットの流儀　－禍の令嬢と13番目の王子－")</f>
        <v>ジゼル・オデットの流儀　－禍の令嬢と13番目の王子－</v>
      </c>
      <c r="G5468" s="20" t="str">
        <f>IFERROR(__xludf.DUMMYFUNCTION("""COMPUTED_VALUE"""),"1~4")</f>
        <v>1~4</v>
      </c>
      <c r="H5468" s="22" t="str">
        <f>IFERROR(__xludf.DUMMYFUNCTION("""COMPUTED_VALUE"""),"にび")</f>
        <v>にび</v>
      </c>
      <c r="I5468" s="22" t="str">
        <f>IFERROR(__xludf.DUMMYFUNCTION("""COMPUTED_VALUE"""),"少女")</f>
        <v>少女</v>
      </c>
      <c r="J5468" s="22"/>
      <c r="K5468" s="22" t="str">
        <f>IFERROR(__xludf.DUMMYFUNCTION("""COMPUTED_VALUE"""),"ZERO-SUMコミックス")</f>
        <v>ZERO-SUMコミックス</v>
      </c>
      <c r="L5468" s="22" t="str">
        <f>IFERROR(__xludf.DUMMYFUNCTION("""COMPUTED_VALUE"""),"一迅社")</f>
        <v>一迅社</v>
      </c>
      <c r="M5468" s="33">
        <f>IFERROR(__xludf.DUMMYFUNCTION("""COMPUTED_VALUE"""),46235.0)</f>
        <v>46235</v>
      </c>
      <c r="N5468" s="33">
        <f>IFERROR(__xludf.DUMMYFUNCTION("""COMPUTED_VALUE"""),46295.0)</f>
        <v>46295</v>
      </c>
      <c r="O5468" s="20"/>
      <c r="P5468" s="32" t="str">
        <f>IFERROR(__xludf.DUMMYFUNCTION("""COMPUTED_VALUE"""),"否")</f>
        <v>否</v>
      </c>
      <c r="Q5468" s="30"/>
      <c r="R5468" s="22"/>
      <c r="S5468" s="22" t="str">
        <f>IFERROR(__xludf.DUMMYFUNCTION("""COMPUTED_VALUE"""),"20260630_一迅社_ジゼル・オデットの流儀—禍の令嬢と13番目の王子—")</f>
        <v>20260630_一迅社_ジゼル・オデットの流儀—禍の令嬢と13番目の王子—</v>
      </c>
      <c r="T5468" s="22" t="str">
        <f>IFERROR(__xludf.DUMMYFUNCTION("""COMPUTED_VALUE"""),"格納済み")</f>
        <v>格納済み</v>
      </c>
      <c r="U5468" s="9" t="str">
        <f>IFERROR(__xludf.DUMMYFUNCTION("""COMPUTED_VALUE"""),"(C)にび／一迅社")</f>
        <v>(C)にび／一迅社</v>
      </c>
      <c r="V5468" s="8"/>
      <c r="W5468" s="8"/>
      <c r="X5468" s="8"/>
      <c r="Y5468" s="8"/>
      <c r="Z5468" s="7"/>
      <c r="AA5468" s="7"/>
      <c r="AB5468" s="7"/>
    </row>
    <row r="5469" ht="15.75" customHeight="1">
      <c r="A5469" s="26">
        <f>IFERROR(__xludf.DUMMYFUNCTION("""COMPUTED_VALUE"""),7865.0)</f>
        <v>7865</v>
      </c>
      <c r="B5469" s="22" t="str">
        <f>IFERROR(__xludf.DUMMYFUNCTION("""COMPUTED_VALUE"""),"確定")</f>
        <v>確定</v>
      </c>
      <c r="C5469" s="28">
        <f>IFERROR(__xludf.DUMMYFUNCTION("""COMPUTED_VALUE"""),46132.0)</f>
        <v>46132</v>
      </c>
      <c r="D5469" s="28">
        <f>IFERROR(__xludf.DUMMYFUNCTION("""COMPUTED_VALUE"""),46204.0)</f>
        <v>46204</v>
      </c>
      <c r="E5469" s="26"/>
      <c r="F5469" s="22" t="str">
        <f>IFERROR(__xludf.DUMMYFUNCTION("""COMPUTED_VALUE"""),"みにくい小鳥の婚約【単話】")</f>
        <v>みにくい小鳥の婚約【単話】</v>
      </c>
      <c r="G5469" s="20" t="str">
        <f>IFERROR(__xludf.DUMMYFUNCTION("""COMPUTED_VALUE"""),"1~3")</f>
        <v>1~3</v>
      </c>
      <c r="H5469" s="22" t="str">
        <f>IFERROR(__xludf.DUMMYFUNCTION("""COMPUTED_VALUE"""),"水守糸子┴マトリ┴茶九楽ゆっけ")</f>
        <v>水守糸子┴マトリ┴茶九楽ゆっけ</v>
      </c>
      <c r="I5469" s="22" t="str">
        <f>IFERROR(__xludf.DUMMYFUNCTION("""COMPUTED_VALUE"""),"少女")</f>
        <v>少女</v>
      </c>
      <c r="J5469" s="22"/>
      <c r="K5469" s="22" t="str">
        <f>IFERROR(__xludf.DUMMYFUNCTION("""COMPUTED_VALUE"""),"やわらかスピリッツ女子部")</f>
        <v>やわらかスピリッツ女子部</v>
      </c>
      <c r="L5469" s="22" t="str">
        <f>IFERROR(__xludf.DUMMYFUNCTION("""COMPUTED_VALUE"""),"小学館")</f>
        <v>小学館</v>
      </c>
      <c r="M5469" s="33">
        <f>IFERROR(__xludf.DUMMYFUNCTION("""COMPUTED_VALUE"""),46230.0)</f>
        <v>46230</v>
      </c>
      <c r="N5469" s="33">
        <f>IFERROR(__xludf.DUMMYFUNCTION("""COMPUTED_VALUE"""),46320.0)</f>
        <v>46320</v>
      </c>
      <c r="O5469" s="20"/>
      <c r="P5469" s="32" t="str">
        <f>IFERROR(__xludf.DUMMYFUNCTION("""COMPUTED_VALUE"""),"否")</f>
        <v>否</v>
      </c>
      <c r="Q5469" s="30" t="str">
        <f>IFERROR(__xludf.DUMMYFUNCTION("""COMPUTED_VALUE"""),"クリエイティブ制作時にフキダシ移動や伏字・ぼかし加工OKです。また、加工前後の資料は不要です。")</f>
        <v>クリエイティブ制作時にフキダシ移動や伏字・ぼかし加工OKです。また、加工前後の資料は不要です。</v>
      </c>
      <c r="R5469" s="22" t="str">
        <f>IFERROR(__xludf.DUMMYFUNCTION("""COMPUTED_VALUE"""),"コミットOK")</f>
        <v>コミットOK</v>
      </c>
      <c r="S5469" s="22" t="str">
        <f>IFERROR(__xludf.DUMMYFUNCTION("""COMPUTED_VALUE"""),"20260626_小学館_みにくい小鳥の婚約")</f>
        <v>20260626_小学館_みにくい小鳥の婚約</v>
      </c>
      <c r="T5469" s="22" t="str">
        <f>IFERROR(__xludf.DUMMYFUNCTION("""COMPUTED_VALUE"""),"格納済み")</f>
        <v>格納済み</v>
      </c>
      <c r="U5469" s="9" t="str">
        <f>IFERROR(__xludf.DUMMYFUNCTION("""COMPUTED_VALUE"""),"(C)水守糸子・茶九楽ゆっけ / 小学館")</f>
        <v>(C)水守糸子・茶九楽ゆっけ / 小学館</v>
      </c>
      <c r="V5469" s="8"/>
      <c r="W5469" s="8"/>
      <c r="X5469" s="8"/>
      <c r="Y5469" s="8"/>
      <c r="Z5469" s="7"/>
      <c r="AA5469" s="7"/>
      <c r="AB5469" s="7"/>
    </row>
    <row r="5470" ht="15.75" customHeight="1">
      <c r="A5470" s="26">
        <f>IFERROR(__xludf.DUMMYFUNCTION("""COMPUTED_VALUE"""),7924.0)</f>
        <v>7924</v>
      </c>
      <c r="B5470" s="22" t="str">
        <f>IFERROR(__xludf.DUMMYFUNCTION("""COMPUTED_VALUE"""),"確定")</f>
        <v>確定</v>
      </c>
      <c r="C5470" s="28">
        <f>IFERROR(__xludf.DUMMYFUNCTION("""COMPUTED_VALUE"""),46140.0)</f>
        <v>46140</v>
      </c>
      <c r="D5470" s="28">
        <f>IFERROR(__xludf.DUMMYFUNCTION("""COMPUTED_VALUE"""),46202.0)</f>
        <v>46202</v>
      </c>
      <c r="E5470" s="26"/>
      <c r="F5470" s="22" t="str">
        <f>IFERROR(__xludf.DUMMYFUNCTION("""COMPUTED_VALUE"""),"触手で覇王で令嬢です！～野良猫みたいな暗殺者に命を狙われております！～")</f>
        <v>触手で覇王で令嬢です！～野良猫みたいな暗殺者に命を狙われております！～</v>
      </c>
      <c r="G5470" s="20">
        <f>IFERROR(__xludf.DUMMYFUNCTION("""COMPUTED_VALUE"""),1.0)</f>
        <v>1</v>
      </c>
      <c r="H5470" s="22" t="str">
        <f>IFERROR(__xludf.DUMMYFUNCTION("""COMPUTED_VALUE"""),"墓野コドナ")</f>
        <v>墓野コドナ</v>
      </c>
      <c r="I5470" s="22" t="str">
        <f>IFERROR(__xludf.DUMMYFUNCTION("""COMPUTED_VALUE"""),"TL")</f>
        <v>TL</v>
      </c>
      <c r="J5470" s="22"/>
      <c r="K5470" s="22" t="str">
        <f>IFERROR(__xludf.DUMMYFUNCTION("""COMPUTED_VALUE"""),"comic LAKE")</f>
        <v>comic LAKE</v>
      </c>
      <c r="L5470" s="22" t="str">
        <f>IFERROR(__xludf.DUMMYFUNCTION("""COMPUTED_VALUE"""),"一迅社")</f>
        <v>一迅社</v>
      </c>
      <c r="M5470" s="33">
        <f>IFERROR(__xludf.DUMMYFUNCTION("""COMPUTED_VALUE"""),46226.0)</f>
        <v>46226</v>
      </c>
      <c r="N5470" s="33">
        <f>IFERROR(__xludf.DUMMYFUNCTION("""COMPUTED_VALUE"""),46287.0)</f>
        <v>46287</v>
      </c>
      <c r="O5470" s="20"/>
      <c r="P5470" s="32" t="str">
        <f>IFERROR(__xludf.DUMMYFUNCTION("""COMPUTED_VALUE"""),"可")</f>
        <v>可</v>
      </c>
      <c r="Q5470" s="30" t="str">
        <f>IFERROR(__xludf.DUMMYFUNCTION("""COMPUTED_VALUE"""),"『わたくしの可愛い旦那さまへの愛が今宵も止まりませんっ 異世界令嬢攻めコミックアンソロジー（２）』掲載タイトル")</f>
        <v>『わたくしの可愛い旦那さまへの愛が今宵も止まりませんっ 異世界令嬢攻めコミックアンソロジー（２）』掲載タイトル</v>
      </c>
      <c r="R5470" s="22"/>
      <c r="S5470" s="22" t="str">
        <f>IFERROR(__xludf.DUMMYFUNCTION("""COMPUTED_VALUE"""),"20260624_一迅社_触手で覇王で令嬢です！～野良猫みたいな暗殺者に命を狙われております！～")</f>
        <v>20260624_一迅社_触手で覇王で令嬢です！～野良猫みたいな暗殺者に命を狙われております！～</v>
      </c>
      <c r="T5470" s="22" t="str">
        <f>IFERROR(__xludf.DUMMYFUNCTION("""COMPUTED_VALUE"""),"格納済み")</f>
        <v>格納済み</v>
      </c>
      <c r="U5470" s="9" t="str">
        <f>IFERROR(__xludf.DUMMYFUNCTION("""COMPUTED_VALUE"""),"(C)墓野コドナ／一迅社")</f>
        <v>(C)墓野コドナ／一迅社</v>
      </c>
      <c r="V5470" s="8"/>
      <c r="W5470" s="8"/>
      <c r="X5470" s="8"/>
      <c r="Y5470" s="8"/>
      <c r="Z5470" s="7"/>
      <c r="AA5470" s="7"/>
      <c r="AB5470" s="7"/>
    </row>
    <row r="5471" ht="15.75" customHeight="1">
      <c r="A5471" s="26">
        <f>IFERROR(__xludf.DUMMYFUNCTION("""COMPUTED_VALUE"""),7925.0)</f>
        <v>7925</v>
      </c>
      <c r="B5471" s="22" t="str">
        <f>IFERROR(__xludf.DUMMYFUNCTION("""COMPUTED_VALUE"""),"確定")</f>
        <v>確定</v>
      </c>
      <c r="C5471" s="28">
        <f>IFERROR(__xludf.DUMMYFUNCTION("""COMPUTED_VALUE"""),46140.0)</f>
        <v>46140</v>
      </c>
      <c r="D5471" s="28">
        <f>IFERROR(__xludf.DUMMYFUNCTION("""COMPUTED_VALUE"""),46202.0)</f>
        <v>46202</v>
      </c>
      <c r="E5471" s="26"/>
      <c r="F5471" s="22" t="str">
        <f>IFERROR(__xludf.DUMMYFUNCTION("""COMPUTED_VALUE"""),"旦那様、その鉄面皮めちゃくちゃにしてさしあげます")</f>
        <v>旦那様、その鉄面皮めちゃくちゃにしてさしあげます</v>
      </c>
      <c r="G5471" s="20">
        <f>IFERROR(__xludf.DUMMYFUNCTION("""COMPUTED_VALUE"""),1.0)</f>
        <v>1</v>
      </c>
      <c r="H5471" s="22" t="str">
        <f>IFERROR(__xludf.DUMMYFUNCTION("""COMPUTED_VALUE"""),"化野そとば")</f>
        <v>化野そとば</v>
      </c>
      <c r="I5471" s="22" t="str">
        <f>IFERROR(__xludf.DUMMYFUNCTION("""COMPUTED_VALUE"""),"TL")</f>
        <v>TL</v>
      </c>
      <c r="J5471" s="22"/>
      <c r="K5471" s="22" t="str">
        <f>IFERROR(__xludf.DUMMYFUNCTION("""COMPUTED_VALUE"""),"comic LAKE")</f>
        <v>comic LAKE</v>
      </c>
      <c r="L5471" s="22" t="str">
        <f>IFERROR(__xludf.DUMMYFUNCTION("""COMPUTED_VALUE"""),"一迅社")</f>
        <v>一迅社</v>
      </c>
      <c r="M5471" s="33">
        <f>IFERROR(__xludf.DUMMYFUNCTION("""COMPUTED_VALUE"""),46226.0)</f>
        <v>46226</v>
      </c>
      <c r="N5471" s="33">
        <f>IFERROR(__xludf.DUMMYFUNCTION("""COMPUTED_VALUE"""),46287.0)</f>
        <v>46287</v>
      </c>
      <c r="O5471" s="20" t="str">
        <f>IFERROR(__xludf.DUMMYFUNCTION("""COMPUTED_VALUE"""),"【アダルト作品扱い】")</f>
        <v>【アダルト作品扱い】</v>
      </c>
      <c r="P5471" s="32" t="str">
        <f>IFERROR(__xludf.DUMMYFUNCTION("""COMPUTED_VALUE"""),"可")</f>
        <v>可</v>
      </c>
      <c r="Q5471" s="30" t="str">
        <f>IFERROR(__xludf.DUMMYFUNCTION("""COMPUTED_VALUE"""),"『わたくしの可愛い旦那さまへの愛が今宵も止まりませんっ 異世界令嬢攻めコミックアンソロジー（２）』掲載タイトル")</f>
        <v>『わたくしの可愛い旦那さまへの愛が今宵も止まりませんっ 異世界令嬢攻めコミックアンソロジー（２）』掲載タイトル</v>
      </c>
      <c r="R5471" s="22"/>
      <c r="S5471" s="22" t="str">
        <f>IFERROR(__xludf.DUMMYFUNCTION("""COMPUTED_VALUE"""),"20260624_一迅社_旦那様、その鉄面皮めちゃくちゃにしてさしあげます")</f>
        <v>20260624_一迅社_旦那様、その鉄面皮めちゃくちゃにしてさしあげます</v>
      </c>
      <c r="T5471" s="22" t="str">
        <f>IFERROR(__xludf.DUMMYFUNCTION("""COMPUTED_VALUE"""),"格納済み")</f>
        <v>格納済み</v>
      </c>
      <c r="U5471" s="9" t="str">
        <f>IFERROR(__xludf.DUMMYFUNCTION("""COMPUTED_VALUE"""),"(C)化野そとば／一迅社")</f>
        <v>(C)化野そとば／一迅社</v>
      </c>
      <c r="V5471" s="8"/>
      <c r="W5471" s="8"/>
      <c r="X5471" s="8"/>
      <c r="Y5471" s="8"/>
      <c r="Z5471" s="7"/>
      <c r="AA5471" s="7"/>
      <c r="AB5471" s="7"/>
    </row>
    <row r="5472" ht="15.75" customHeight="1">
      <c r="A5472" s="26">
        <f>IFERROR(__xludf.DUMMYFUNCTION("""COMPUTED_VALUE"""),7926.0)</f>
        <v>7926</v>
      </c>
      <c r="B5472" s="22" t="str">
        <f>IFERROR(__xludf.DUMMYFUNCTION("""COMPUTED_VALUE"""),"確定")</f>
        <v>確定</v>
      </c>
      <c r="C5472" s="28">
        <f>IFERROR(__xludf.DUMMYFUNCTION("""COMPUTED_VALUE"""),46140.0)</f>
        <v>46140</v>
      </c>
      <c r="D5472" s="28">
        <f>IFERROR(__xludf.DUMMYFUNCTION("""COMPUTED_VALUE"""),46202.0)</f>
        <v>46202</v>
      </c>
      <c r="E5472" s="26"/>
      <c r="F5472" s="22" t="str">
        <f>IFERROR(__xludf.DUMMYFUNCTION("""COMPUTED_VALUE"""),"無名騎士は魔導士令嬢の手のひらに甘く溶かされる")</f>
        <v>無名騎士は魔導士令嬢の手のひらに甘く溶かされる</v>
      </c>
      <c r="G5472" s="20">
        <f>IFERROR(__xludf.DUMMYFUNCTION("""COMPUTED_VALUE"""),1.0)</f>
        <v>1</v>
      </c>
      <c r="H5472" s="22" t="str">
        <f>IFERROR(__xludf.DUMMYFUNCTION("""COMPUTED_VALUE"""),"いちい")</f>
        <v>いちい</v>
      </c>
      <c r="I5472" s="22" t="str">
        <f>IFERROR(__xludf.DUMMYFUNCTION("""COMPUTED_VALUE"""),"TL")</f>
        <v>TL</v>
      </c>
      <c r="J5472" s="22"/>
      <c r="K5472" s="22" t="str">
        <f>IFERROR(__xludf.DUMMYFUNCTION("""COMPUTED_VALUE"""),"comic LAKE")</f>
        <v>comic LAKE</v>
      </c>
      <c r="L5472" s="22" t="str">
        <f>IFERROR(__xludf.DUMMYFUNCTION("""COMPUTED_VALUE"""),"一迅社")</f>
        <v>一迅社</v>
      </c>
      <c r="M5472" s="33">
        <f>IFERROR(__xludf.DUMMYFUNCTION("""COMPUTED_VALUE"""),46226.0)</f>
        <v>46226</v>
      </c>
      <c r="N5472" s="33">
        <f>IFERROR(__xludf.DUMMYFUNCTION("""COMPUTED_VALUE"""),46287.0)</f>
        <v>46287</v>
      </c>
      <c r="O5472" s="20"/>
      <c r="P5472" s="32" t="str">
        <f>IFERROR(__xludf.DUMMYFUNCTION("""COMPUTED_VALUE"""),"可")</f>
        <v>可</v>
      </c>
      <c r="Q5472" s="30" t="str">
        <f>IFERROR(__xludf.DUMMYFUNCTION("""COMPUTED_VALUE"""),"『わたくしの可愛い旦那さまへの愛が今宵も止まりませんっ 異世界令嬢攻めコミックアンソロジー（２）』掲載タイトル")</f>
        <v>『わたくしの可愛い旦那さまへの愛が今宵も止まりませんっ 異世界令嬢攻めコミックアンソロジー（２）』掲載タイトル</v>
      </c>
      <c r="R5472" s="22"/>
      <c r="S5472" s="22" t="str">
        <f>IFERROR(__xludf.DUMMYFUNCTION("""COMPUTED_VALUE"""),"20260624_一迅社_無名騎士は魔導士令嬢の手のひらに甘く溶かされる")</f>
        <v>20260624_一迅社_無名騎士は魔導士令嬢の手のひらに甘く溶かされる</v>
      </c>
      <c r="T5472" s="22" t="str">
        <f>IFERROR(__xludf.DUMMYFUNCTION("""COMPUTED_VALUE"""),"格納済み")</f>
        <v>格納済み</v>
      </c>
      <c r="U5472" s="9" t="str">
        <f>IFERROR(__xludf.DUMMYFUNCTION("""COMPUTED_VALUE"""),"(C)いちい／一迅社")</f>
        <v>(C)いちい／一迅社</v>
      </c>
      <c r="V5472" s="8"/>
      <c r="W5472" s="8"/>
      <c r="X5472" s="8"/>
      <c r="Y5472" s="8"/>
      <c r="Z5472" s="7"/>
      <c r="AA5472" s="7"/>
      <c r="AB5472" s="7"/>
    </row>
    <row r="5473" ht="15.75" customHeight="1">
      <c r="A5473" s="26">
        <f>IFERROR(__xludf.DUMMYFUNCTION("""COMPUTED_VALUE"""),7927.0)</f>
        <v>7927</v>
      </c>
      <c r="B5473" s="22" t="str">
        <f>IFERROR(__xludf.DUMMYFUNCTION("""COMPUTED_VALUE"""),"確定")</f>
        <v>確定</v>
      </c>
      <c r="C5473" s="28">
        <f>IFERROR(__xludf.DUMMYFUNCTION("""COMPUTED_VALUE"""),46140.0)</f>
        <v>46140</v>
      </c>
      <c r="D5473" s="28">
        <f>IFERROR(__xludf.DUMMYFUNCTION("""COMPUTED_VALUE"""),46202.0)</f>
        <v>46202</v>
      </c>
      <c r="E5473" s="26"/>
      <c r="F5473" s="22" t="str">
        <f>IFERROR(__xludf.DUMMYFUNCTION("""COMPUTED_VALUE"""),"俺様CEO令嬢の溺愛プロジェクト")</f>
        <v>俺様CEO令嬢の溺愛プロジェクト</v>
      </c>
      <c r="G5473" s="20">
        <f>IFERROR(__xludf.DUMMYFUNCTION("""COMPUTED_VALUE"""),1.0)</f>
        <v>1</v>
      </c>
      <c r="H5473" s="22" t="str">
        <f>IFERROR(__xludf.DUMMYFUNCTION("""COMPUTED_VALUE"""),"おにぎり")</f>
        <v>おにぎり</v>
      </c>
      <c r="I5473" s="22" t="str">
        <f>IFERROR(__xludf.DUMMYFUNCTION("""COMPUTED_VALUE"""),"TL")</f>
        <v>TL</v>
      </c>
      <c r="J5473" s="22"/>
      <c r="K5473" s="22" t="str">
        <f>IFERROR(__xludf.DUMMYFUNCTION("""COMPUTED_VALUE"""),"comic LAKE")</f>
        <v>comic LAKE</v>
      </c>
      <c r="L5473" s="22" t="str">
        <f>IFERROR(__xludf.DUMMYFUNCTION("""COMPUTED_VALUE"""),"一迅社")</f>
        <v>一迅社</v>
      </c>
      <c r="M5473" s="33">
        <f>IFERROR(__xludf.DUMMYFUNCTION("""COMPUTED_VALUE"""),46226.0)</f>
        <v>46226</v>
      </c>
      <c r="N5473" s="33">
        <f>IFERROR(__xludf.DUMMYFUNCTION("""COMPUTED_VALUE"""),46287.0)</f>
        <v>46287</v>
      </c>
      <c r="O5473" s="20"/>
      <c r="P5473" s="32" t="str">
        <f>IFERROR(__xludf.DUMMYFUNCTION("""COMPUTED_VALUE"""),"可")</f>
        <v>可</v>
      </c>
      <c r="Q5473" s="30" t="str">
        <f>IFERROR(__xludf.DUMMYFUNCTION("""COMPUTED_VALUE"""),"『わたくしの可愛い旦那さまへの愛が今宵も止まりませんっ 異世界令嬢攻めコミックアンソロジー（２）』掲載タイトル")</f>
        <v>『わたくしの可愛い旦那さまへの愛が今宵も止まりませんっ 異世界令嬢攻めコミックアンソロジー（２）』掲載タイトル</v>
      </c>
      <c r="R5473" s="22"/>
      <c r="S5473" s="22" t="str">
        <f>IFERROR(__xludf.DUMMYFUNCTION("""COMPUTED_VALUE"""),"20260624_一迅社_俺様CEO令嬢の溺愛プロジェクト")</f>
        <v>20260624_一迅社_俺様CEO令嬢の溺愛プロジェクト</v>
      </c>
      <c r="T5473" s="22" t="str">
        <f>IFERROR(__xludf.DUMMYFUNCTION("""COMPUTED_VALUE"""),"格納済み")</f>
        <v>格納済み</v>
      </c>
      <c r="U5473" s="9" t="str">
        <f>IFERROR(__xludf.DUMMYFUNCTION("""COMPUTED_VALUE"""),"(C)おにぎり／一迅社")</f>
        <v>(C)おにぎり／一迅社</v>
      </c>
      <c r="V5473" s="8"/>
      <c r="W5473" s="8"/>
      <c r="X5473" s="8"/>
      <c r="Y5473" s="8"/>
      <c r="Z5473" s="7"/>
      <c r="AA5473" s="7"/>
      <c r="AB5473" s="7"/>
    </row>
    <row r="5474" ht="15.75" customHeight="1">
      <c r="A5474" s="26">
        <f>IFERROR(__xludf.DUMMYFUNCTION("""COMPUTED_VALUE"""),8022.0)</f>
        <v>8022</v>
      </c>
      <c r="B5474" s="22" t="str">
        <f>IFERROR(__xludf.DUMMYFUNCTION("""COMPUTED_VALUE"""),"確定")</f>
        <v>確定</v>
      </c>
      <c r="C5474" s="28">
        <f>IFERROR(__xludf.DUMMYFUNCTION("""COMPUTED_VALUE"""),46161.0)</f>
        <v>46161</v>
      </c>
      <c r="D5474" s="28">
        <f>IFERROR(__xludf.DUMMYFUNCTION("""COMPUTED_VALUE"""),46204.0)</f>
        <v>46204</v>
      </c>
      <c r="E5474" s="26"/>
      <c r="F5474" s="22" t="str">
        <f>IFERROR(__xludf.DUMMYFUNCTION("""COMPUTED_VALUE"""),"落ちこぼれ学者ですが、研究対象に番にされそうです！〜マイペースな激レア種と子作り攻防ラボ〜")</f>
        <v>落ちこぼれ学者ですが、研究対象に番にされそうです！〜マイペースな激レア種と子作り攻防ラボ〜</v>
      </c>
      <c r="G5474" s="20" t="str">
        <f>IFERROR(__xludf.DUMMYFUNCTION("""COMPUTED_VALUE"""),"1~4")</f>
        <v>1~4</v>
      </c>
      <c r="H5474" s="22" t="str">
        <f>IFERROR(__xludf.DUMMYFUNCTION("""COMPUTED_VALUE"""),"箱庭のみこ")</f>
        <v>箱庭のみこ</v>
      </c>
      <c r="I5474" s="22" t="str">
        <f>IFERROR(__xludf.DUMMYFUNCTION("""COMPUTED_VALUE"""),"女性")</f>
        <v>女性</v>
      </c>
      <c r="J5474" s="22"/>
      <c r="K5474" s="22" t="str">
        <f>IFERROR(__xludf.DUMMYFUNCTION("""COMPUTED_VALUE"""),"Puffs")</f>
        <v>Puffs</v>
      </c>
      <c r="L5474" s="22" t="str">
        <f>IFERROR(__xludf.DUMMYFUNCTION("""COMPUTED_VALUE"""),"MUGENUP")</f>
        <v>MUGENUP</v>
      </c>
      <c r="M5474" s="33">
        <f>IFERROR(__xludf.DUMMYFUNCTION("""COMPUTED_VALUE"""),46302.0)</f>
        <v>46302</v>
      </c>
      <c r="N5474" s="33">
        <f>IFERROR(__xludf.DUMMYFUNCTION("""COMPUTED_VALUE"""),46393.0)</f>
        <v>46393</v>
      </c>
      <c r="O5474" s="20"/>
      <c r="P5474" s="32" t="str">
        <f>IFERROR(__xludf.DUMMYFUNCTION("""COMPUTED_VALUE"""),"可")</f>
        <v>可</v>
      </c>
      <c r="Q5474" s="30"/>
      <c r="R5474" s="22"/>
      <c r="S5474" s="22" t="str">
        <f>IFERROR(__xludf.DUMMYFUNCTION("""COMPUTED_VALUE"""),"20260630_MUGENUP_落ちこぼれ学者ですが、研究対象に番にされそうです！〜マイペースな激レア種と子作り攻防ラボ〜")</f>
        <v>20260630_MUGENUP_落ちこぼれ学者ですが、研究対象に番にされそうです！〜マイペースな激レア種と子作り攻防ラボ〜</v>
      </c>
      <c r="T5474" s="22" t="str">
        <f>IFERROR(__xludf.DUMMYFUNCTION("""COMPUTED_VALUE"""),"格納済み")</f>
        <v>格納済み</v>
      </c>
      <c r="U5474" s="9" t="str">
        <f>IFERROR(__xludf.DUMMYFUNCTION("""COMPUTED_VALUE"""),"（C）箱庭のみこ／MUGENUP")</f>
        <v>（C）箱庭のみこ／MUGENUP</v>
      </c>
      <c r="V5474" s="8"/>
      <c r="W5474" s="8"/>
      <c r="X5474" s="8"/>
      <c r="Y5474" s="8"/>
      <c r="Z5474" s="7"/>
      <c r="AA5474" s="7"/>
      <c r="AB5474" s="7"/>
    </row>
    <row r="5475" ht="15.75" customHeight="1">
      <c r="A5475" s="26">
        <f>IFERROR(__xludf.DUMMYFUNCTION("""COMPUTED_VALUE"""),8027.0)</f>
        <v>8027</v>
      </c>
      <c r="B5475" s="22" t="str">
        <f>IFERROR(__xludf.DUMMYFUNCTION("""COMPUTED_VALUE"""),"確定")</f>
        <v>確定</v>
      </c>
      <c r="C5475" s="28">
        <f>IFERROR(__xludf.DUMMYFUNCTION("""COMPUTED_VALUE"""),46161.0)</f>
        <v>46161</v>
      </c>
      <c r="D5475" s="28">
        <f>IFERROR(__xludf.DUMMYFUNCTION("""COMPUTED_VALUE"""),46198.0)</f>
        <v>46198</v>
      </c>
      <c r="E5475" s="26">
        <f>IFERROR(__xludf.DUMMYFUNCTION("""COMPUTED_VALUE"""),367793.0)</f>
        <v>367793</v>
      </c>
      <c r="F5475" s="22" t="str">
        <f>IFERROR(__xludf.DUMMYFUNCTION("""COMPUTED_VALUE"""),"え？私がぽっちゃり公爵の嫁になるんですか！？彼の素敵なところがわかるのは私だけのようです！【連載版】")</f>
        <v>え？私がぽっちゃり公爵の嫁になるんですか！？彼の素敵なところがわかるのは私だけのようです！【連載版】</v>
      </c>
      <c r="G5475" s="20" t="str">
        <f>IFERROR(__xludf.DUMMYFUNCTION("""COMPUTED_VALUE"""),"1~3")</f>
        <v>1~3</v>
      </c>
      <c r="H5475" s="22" t="str">
        <f>IFERROR(__xludf.DUMMYFUNCTION("""COMPUTED_VALUE"""),"原作：宮前葵(みやまえ あおい) 作画：園太デイ(そのた でい) 構成：Ayi(あい) キャラクタ―原案：天路ゆうつづ(あまじ ゆうつづ)")</f>
        <v>原作：宮前葵(みやまえ あおい) 作画：園太デイ(そのた でい) 構成：Ayi(あい) キャラクタ―原案：天路ゆうつづ(あまじ ゆうつづ)</v>
      </c>
      <c r="I5475" s="22" t="str">
        <f>IFERROR(__xludf.DUMMYFUNCTION("""COMPUTED_VALUE"""),"女性")</f>
        <v>女性</v>
      </c>
      <c r="J5475" s="22"/>
      <c r="K5475" s="22"/>
      <c r="L5475" s="22" t="str">
        <f>IFERROR(__xludf.DUMMYFUNCTION("""COMPUTED_VALUE"""),"リブリオン")</f>
        <v>リブリオン</v>
      </c>
      <c r="M5475" s="33">
        <f>IFERROR(__xludf.DUMMYFUNCTION("""COMPUTED_VALUE"""),46223.0)</f>
        <v>46223</v>
      </c>
      <c r="N5475" s="33">
        <f>IFERROR(__xludf.DUMMYFUNCTION("""COMPUTED_VALUE"""),46314.0)</f>
        <v>46314</v>
      </c>
      <c r="O5475" s="20"/>
      <c r="P5475" s="32" t="str">
        <f>IFERROR(__xludf.DUMMYFUNCTION("""COMPUTED_VALUE"""),"可")</f>
        <v>可</v>
      </c>
      <c r="Q5475" s="30" t="str">
        <f>IFERROR(__xludf.DUMMYFUNCTION("""COMPUTED_VALUE"""),"&lt;BR&gt;")</f>
        <v>&lt;BR&gt;</v>
      </c>
      <c r="R5475" s="22"/>
      <c r="S5475" s="22" t="str">
        <f>IFERROR(__xludf.DUMMYFUNCTION("""COMPUTED_VALUE"""),"20260623_リブリオン_え？ 私がぽっちゃり公爵の嫁になるんですか！？　彼の素敵なところがわかるのは私だけのようです！")</f>
        <v>20260623_リブリオン_え？ 私がぽっちゃり公爵の嫁になるんですか！？　彼の素敵なところがわかるのは私だけのようです！</v>
      </c>
      <c r="T5475" s="22" t="str">
        <f>IFERROR(__xludf.DUMMYFUNCTION("""COMPUTED_VALUE"""),"格納済み")</f>
        <v>格納済み</v>
      </c>
      <c r="U5475" s="9" t="str">
        <f>IFERROR(__xludf.DUMMYFUNCTION("""COMPUTED_VALUE"""),"Ⓒ宮前葵・園太デイ・Ayi / Librion")</f>
        <v>Ⓒ宮前葵・園太デイ・Ayi / Librion</v>
      </c>
      <c r="V5475" s="8"/>
      <c r="W5475" s="8"/>
      <c r="X5475" s="8" t="str">
        <f>IFERROR(__xludf.DUMMYFUNCTION("""COMPUTED_VALUE"""),"有")</f>
        <v>有</v>
      </c>
      <c r="Y5475" s="8" t="str">
        <f>IFERROR(__xludf.DUMMYFUNCTION("""COMPUTED_VALUE"""),"p20まで")</f>
        <v>p20まで</v>
      </c>
      <c r="Z5475" s="7"/>
      <c r="AA5475" s="7"/>
      <c r="AB5475" s="7"/>
    </row>
    <row r="5476" ht="15.75" customHeight="1">
      <c r="A5476" s="26">
        <f>IFERROR(__xludf.DUMMYFUNCTION("""COMPUTED_VALUE"""),8132.0)</f>
        <v>8132</v>
      </c>
      <c r="B5476" s="22" t="str">
        <f>IFERROR(__xludf.DUMMYFUNCTION("""COMPUTED_VALUE"""),"確定")</f>
        <v>確定</v>
      </c>
      <c r="C5476" s="28">
        <f>IFERROR(__xludf.DUMMYFUNCTION("""COMPUTED_VALUE"""),46177.0)</f>
        <v>46177</v>
      </c>
      <c r="D5476" s="28">
        <f>IFERROR(__xludf.DUMMYFUNCTION("""COMPUTED_VALUE"""),46198.0)</f>
        <v>46198</v>
      </c>
      <c r="E5476" s="26"/>
      <c r="F5476" s="22" t="str">
        <f>IFERROR(__xludf.DUMMYFUNCTION("""COMPUTED_VALUE"""),"結婚前夜、お転婆令嬢は幼なじみ執事に許されない熱を刻まれる")</f>
        <v>結婚前夜、お転婆令嬢は幼なじみ執事に許されない熱を刻まれる</v>
      </c>
      <c r="G5476" s="20">
        <f>IFERROR(__xludf.DUMMYFUNCTION("""COMPUTED_VALUE"""),1.0)</f>
        <v>1</v>
      </c>
      <c r="H5476" s="22" t="str">
        <f>IFERROR(__xludf.DUMMYFUNCTION("""COMPUTED_VALUE"""),"宇二シカ")</f>
        <v>宇二シカ</v>
      </c>
      <c r="I5476" s="22" t="str">
        <f>IFERROR(__xludf.DUMMYFUNCTION("""COMPUTED_VALUE"""),"TL")</f>
        <v>TL</v>
      </c>
      <c r="J5476" s="22"/>
      <c r="K5476" s="22" t="str">
        <f>IFERROR(__xludf.DUMMYFUNCTION("""COMPUTED_VALUE"""),"LOVEBITESコミックス")</f>
        <v>LOVEBITESコミックス</v>
      </c>
      <c r="L5476" s="22" t="str">
        <f>IFERROR(__xludf.DUMMYFUNCTION("""COMPUTED_VALUE"""),"一迅社")</f>
        <v>一迅社</v>
      </c>
      <c r="M5476" s="33">
        <f>IFERROR(__xludf.DUMMYFUNCTION("""COMPUTED_VALUE"""),46227.0)</f>
        <v>46227</v>
      </c>
      <c r="N5476" s="33">
        <f>IFERROR(__xludf.DUMMYFUNCTION("""COMPUTED_VALUE"""),46257.0)</f>
        <v>46257</v>
      </c>
      <c r="O5476" s="20" t="str">
        <f>IFERROR(__xludf.DUMMYFUNCTION("""COMPUTED_VALUE"""),"【アダルト作品扱い】")</f>
        <v>【アダルト作品扱い】</v>
      </c>
      <c r="P5476" s="32" t="str">
        <f>IFERROR(__xludf.DUMMYFUNCTION("""COMPUTED_VALUE"""),"可")</f>
        <v>可</v>
      </c>
      <c r="Q5476" s="30" t="str">
        <f>IFERROR(__xludf.DUMMYFUNCTION("""COMPUTED_VALUE"""),"「明日政略結婚する令嬢が幼なじみと過ごす最後の一夜アンソロジー」掲載タイトル")</f>
        <v>「明日政略結婚する令嬢が幼なじみと過ごす最後の一夜アンソロジー」掲載タイトル</v>
      </c>
      <c r="R5476" s="22"/>
      <c r="S5476" s="22" t="str">
        <f>IFERROR(__xludf.DUMMYFUNCTION("""COMPUTED_VALUE"""),"20260624_一迅社_結婚前夜、お転婆令嬢は幼なじみ執事に許されない熱を刻まれる")</f>
        <v>20260624_一迅社_結婚前夜、お転婆令嬢は幼なじみ執事に許されない熱を刻まれる</v>
      </c>
      <c r="T5476" s="22" t="str">
        <f>IFERROR(__xludf.DUMMYFUNCTION("""COMPUTED_VALUE"""),"格納済み")</f>
        <v>格納済み</v>
      </c>
      <c r="U5476" s="9" t="str">
        <f>IFERROR(__xludf.DUMMYFUNCTION("""COMPUTED_VALUE"""),"(C)宇二シカ／一迅社")</f>
        <v>(C)宇二シカ／一迅社</v>
      </c>
      <c r="V5476" s="8"/>
      <c r="W5476" s="8"/>
      <c r="X5476" s="8"/>
      <c r="Y5476" s="8"/>
      <c r="Z5476" s="7"/>
      <c r="AA5476" s="7"/>
      <c r="AB5476" s="7"/>
    </row>
    <row r="5477" ht="15.75" customHeight="1">
      <c r="A5477" s="26">
        <f>IFERROR(__xludf.DUMMYFUNCTION("""COMPUTED_VALUE"""),8133.0)</f>
        <v>8133</v>
      </c>
      <c r="B5477" s="22" t="str">
        <f>IFERROR(__xludf.DUMMYFUNCTION("""COMPUTED_VALUE"""),"確定")</f>
        <v>確定</v>
      </c>
      <c r="C5477" s="28">
        <f>IFERROR(__xludf.DUMMYFUNCTION("""COMPUTED_VALUE"""),46177.0)</f>
        <v>46177</v>
      </c>
      <c r="D5477" s="28">
        <f>IFERROR(__xludf.DUMMYFUNCTION("""COMPUTED_VALUE"""),46198.0)</f>
        <v>46198</v>
      </c>
      <c r="E5477" s="26"/>
      <c r="F5477" s="22" t="str">
        <f>IFERROR(__xludf.DUMMYFUNCTION("""COMPUTED_VALUE"""),"気づかないフリは、もうできない。～天才令嬢は、最後に幼なじみとカラダだけでもつながりたい～")</f>
        <v>気づかないフリは、もうできない。～天才令嬢は、最後に幼なじみとカラダだけでもつながりたい～</v>
      </c>
      <c r="G5477" s="20">
        <f>IFERROR(__xludf.DUMMYFUNCTION("""COMPUTED_VALUE"""),1.0)</f>
        <v>1</v>
      </c>
      <c r="H5477" s="22" t="str">
        <f>IFERROR(__xludf.DUMMYFUNCTION("""COMPUTED_VALUE"""),"折川")</f>
        <v>折川</v>
      </c>
      <c r="I5477" s="22" t="str">
        <f>IFERROR(__xludf.DUMMYFUNCTION("""COMPUTED_VALUE"""),"TL")</f>
        <v>TL</v>
      </c>
      <c r="J5477" s="22"/>
      <c r="K5477" s="22" t="str">
        <f>IFERROR(__xludf.DUMMYFUNCTION("""COMPUTED_VALUE"""),"LOVEBITESコミックス")</f>
        <v>LOVEBITESコミックス</v>
      </c>
      <c r="L5477" s="22" t="str">
        <f>IFERROR(__xludf.DUMMYFUNCTION("""COMPUTED_VALUE"""),"一迅社")</f>
        <v>一迅社</v>
      </c>
      <c r="M5477" s="33">
        <f>IFERROR(__xludf.DUMMYFUNCTION("""COMPUTED_VALUE"""),46227.0)</f>
        <v>46227</v>
      </c>
      <c r="N5477" s="33">
        <f>IFERROR(__xludf.DUMMYFUNCTION("""COMPUTED_VALUE"""),46257.0)</f>
        <v>46257</v>
      </c>
      <c r="O5477" s="20" t="str">
        <f>IFERROR(__xludf.DUMMYFUNCTION("""COMPUTED_VALUE"""),"【アダルト作品扱い】")</f>
        <v>【アダルト作品扱い】</v>
      </c>
      <c r="P5477" s="32" t="str">
        <f>IFERROR(__xludf.DUMMYFUNCTION("""COMPUTED_VALUE"""),"可")</f>
        <v>可</v>
      </c>
      <c r="Q5477" s="30" t="str">
        <f>IFERROR(__xludf.DUMMYFUNCTION("""COMPUTED_VALUE"""),"「明日政略結婚する令嬢が幼なじみと過ごす最後の一夜アンソロジー」掲載タイトル")</f>
        <v>「明日政略結婚する令嬢が幼なじみと過ごす最後の一夜アンソロジー」掲載タイトル</v>
      </c>
      <c r="R5477" s="22"/>
      <c r="S5477" s="22" t="str">
        <f>IFERROR(__xludf.DUMMYFUNCTION("""COMPUTED_VALUE"""),"20260624_一迅社_気づかないフリは、もうできない。～天才令嬢は、最後に幼なじみとカラダだけでもつながりたい～")</f>
        <v>20260624_一迅社_気づかないフリは、もうできない。～天才令嬢は、最後に幼なじみとカラダだけでもつながりたい～</v>
      </c>
      <c r="T5477" s="22" t="str">
        <f>IFERROR(__xludf.DUMMYFUNCTION("""COMPUTED_VALUE"""),"格納済み")</f>
        <v>格納済み</v>
      </c>
      <c r="U5477" s="9" t="str">
        <f>IFERROR(__xludf.DUMMYFUNCTION("""COMPUTED_VALUE"""),"(C)折川／一迅社")</f>
        <v>(C)折川／一迅社</v>
      </c>
      <c r="V5477" s="8"/>
      <c r="W5477" s="8"/>
      <c r="X5477" s="8"/>
      <c r="Y5477" s="8"/>
      <c r="Z5477" s="7"/>
      <c r="AA5477" s="7"/>
      <c r="AB5477" s="7"/>
    </row>
    <row r="5478" ht="15.75" customHeight="1">
      <c r="A5478" s="26">
        <f>IFERROR(__xludf.DUMMYFUNCTION("""COMPUTED_VALUE"""),8134.0)</f>
        <v>8134</v>
      </c>
      <c r="B5478" s="22" t="str">
        <f>IFERROR(__xludf.DUMMYFUNCTION("""COMPUTED_VALUE"""),"確定")</f>
        <v>確定</v>
      </c>
      <c r="C5478" s="28">
        <f>IFERROR(__xludf.DUMMYFUNCTION("""COMPUTED_VALUE"""),46177.0)</f>
        <v>46177</v>
      </c>
      <c r="D5478" s="28">
        <f>IFERROR(__xludf.DUMMYFUNCTION("""COMPUTED_VALUE"""),46198.0)</f>
        <v>46198</v>
      </c>
      <c r="E5478" s="26"/>
      <c r="F5478" s="22" t="str">
        <f>IFERROR(__xludf.DUMMYFUNCTION("""COMPUTED_VALUE"""),"愛され方を知らない出戻り花嫁は、黒騎士様に溺愛される")</f>
        <v>愛され方を知らない出戻り花嫁は、黒騎士様に溺愛される</v>
      </c>
      <c r="G5478" s="20">
        <f>IFERROR(__xludf.DUMMYFUNCTION("""COMPUTED_VALUE"""),1.0)</f>
        <v>1</v>
      </c>
      <c r="H5478" s="22" t="str">
        <f>IFERROR(__xludf.DUMMYFUNCTION("""COMPUTED_VALUE"""),"犀木ろっか")</f>
        <v>犀木ろっか</v>
      </c>
      <c r="I5478" s="22" t="str">
        <f>IFERROR(__xludf.DUMMYFUNCTION("""COMPUTED_VALUE"""),"TL")</f>
        <v>TL</v>
      </c>
      <c r="J5478" s="22"/>
      <c r="K5478" s="22" t="str">
        <f>IFERROR(__xludf.DUMMYFUNCTION("""COMPUTED_VALUE"""),"LOVEBITESコミックス")</f>
        <v>LOVEBITESコミックス</v>
      </c>
      <c r="L5478" s="22" t="str">
        <f>IFERROR(__xludf.DUMMYFUNCTION("""COMPUTED_VALUE"""),"一迅社")</f>
        <v>一迅社</v>
      </c>
      <c r="M5478" s="33">
        <f>IFERROR(__xludf.DUMMYFUNCTION("""COMPUTED_VALUE"""),46227.0)</f>
        <v>46227</v>
      </c>
      <c r="N5478" s="33">
        <f>IFERROR(__xludf.DUMMYFUNCTION("""COMPUTED_VALUE"""),46257.0)</f>
        <v>46257</v>
      </c>
      <c r="O5478" s="20" t="str">
        <f>IFERROR(__xludf.DUMMYFUNCTION("""COMPUTED_VALUE"""),"【アダルト作品扱い】")</f>
        <v>【アダルト作品扱い】</v>
      </c>
      <c r="P5478" s="32" t="str">
        <f>IFERROR(__xludf.DUMMYFUNCTION("""COMPUTED_VALUE"""),"可")</f>
        <v>可</v>
      </c>
      <c r="Q5478" s="30" t="str">
        <f>IFERROR(__xludf.DUMMYFUNCTION("""COMPUTED_VALUE"""),"「黒騎士様の愛玩花嫁になりました。アンソロジー」掲載タイトル")</f>
        <v>「黒騎士様の愛玩花嫁になりました。アンソロジー」掲載タイトル</v>
      </c>
      <c r="R5478" s="22"/>
      <c r="S5478" s="22" t="str">
        <f>IFERROR(__xludf.DUMMYFUNCTION("""COMPUTED_VALUE"""),"20260624_一迅社_愛され方を知らない出戻り花嫁は、黒騎士様に溺愛される")</f>
        <v>20260624_一迅社_愛され方を知らない出戻り花嫁は、黒騎士様に溺愛される</v>
      </c>
      <c r="T5478" s="22" t="str">
        <f>IFERROR(__xludf.DUMMYFUNCTION("""COMPUTED_VALUE"""),"格納済み")</f>
        <v>格納済み</v>
      </c>
      <c r="U5478" s="9" t="str">
        <f>IFERROR(__xludf.DUMMYFUNCTION("""COMPUTED_VALUE"""),"(C)犀木ろっか／一迅社")</f>
        <v>(C)犀木ろっか／一迅社</v>
      </c>
      <c r="V5478" s="8"/>
      <c r="W5478" s="8"/>
      <c r="X5478" s="8"/>
      <c r="Y5478" s="8"/>
      <c r="Z5478" s="7"/>
      <c r="AA5478" s="7"/>
      <c r="AB5478" s="7"/>
    </row>
    <row r="5479" ht="15.75" customHeight="1">
      <c r="A5479" s="26">
        <f>IFERROR(__xludf.DUMMYFUNCTION("""COMPUTED_VALUE"""),8135.0)</f>
        <v>8135</v>
      </c>
      <c r="B5479" s="22" t="str">
        <f>IFERROR(__xludf.DUMMYFUNCTION("""COMPUTED_VALUE"""),"確定")</f>
        <v>確定</v>
      </c>
      <c r="C5479" s="28">
        <f>IFERROR(__xludf.DUMMYFUNCTION("""COMPUTED_VALUE"""),46177.0)</f>
        <v>46177</v>
      </c>
      <c r="D5479" s="28">
        <f>IFERROR(__xludf.DUMMYFUNCTION("""COMPUTED_VALUE"""),46198.0)</f>
        <v>46198</v>
      </c>
      <c r="E5479" s="26"/>
      <c r="F5479" s="22" t="str">
        <f>IFERROR(__xludf.DUMMYFUNCTION("""COMPUTED_VALUE"""),"冷酷な黒騎士様は10年越しの初恋を叶えたい")</f>
        <v>冷酷な黒騎士様は10年越しの初恋を叶えたい</v>
      </c>
      <c r="G5479" s="20">
        <f>IFERROR(__xludf.DUMMYFUNCTION("""COMPUTED_VALUE"""),1.0)</f>
        <v>1</v>
      </c>
      <c r="H5479" s="22" t="str">
        <f>IFERROR(__xludf.DUMMYFUNCTION("""COMPUTED_VALUE"""),"秋風ののか")</f>
        <v>秋風ののか</v>
      </c>
      <c r="I5479" s="22" t="str">
        <f>IFERROR(__xludf.DUMMYFUNCTION("""COMPUTED_VALUE"""),"TL")</f>
        <v>TL</v>
      </c>
      <c r="J5479" s="22"/>
      <c r="K5479" s="22" t="str">
        <f>IFERROR(__xludf.DUMMYFUNCTION("""COMPUTED_VALUE"""),"LOVEBITESコミックス")</f>
        <v>LOVEBITESコミックス</v>
      </c>
      <c r="L5479" s="22" t="str">
        <f>IFERROR(__xludf.DUMMYFUNCTION("""COMPUTED_VALUE"""),"一迅社")</f>
        <v>一迅社</v>
      </c>
      <c r="M5479" s="33">
        <f>IFERROR(__xludf.DUMMYFUNCTION("""COMPUTED_VALUE"""),46227.0)</f>
        <v>46227</v>
      </c>
      <c r="N5479" s="33">
        <f>IFERROR(__xludf.DUMMYFUNCTION("""COMPUTED_VALUE"""),46257.0)</f>
        <v>46257</v>
      </c>
      <c r="O5479" s="20" t="str">
        <f>IFERROR(__xludf.DUMMYFUNCTION("""COMPUTED_VALUE"""),"【アダルト作品扱い】")</f>
        <v>【アダルト作品扱い】</v>
      </c>
      <c r="P5479" s="32" t="str">
        <f>IFERROR(__xludf.DUMMYFUNCTION("""COMPUTED_VALUE"""),"可")</f>
        <v>可</v>
      </c>
      <c r="Q5479" s="30" t="str">
        <f>IFERROR(__xludf.DUMMYFUNCTION("""COMPUTED_VALUE"""),"「黒騎士様の愛玩花嫁になりました。アンソロジー」掲載タイトル")</f>
        <v>「黒騎士様の愛玩花嫁になりました。アンソロジー」掲載タイトル</v>
      </c>
      <c r="R5479" s="22"/>
      <c r="S5479" s="22" t="str">
        <f>IFERROR(__xludf.DUMMYFUNCTION("""COMPUTED_VALUE"""),"20260624_一迅社_冷酷な黒騎士様は10年越しの初恋を叶えたい")</f>
        <v>20260624_一迅社_冷酷な黒騎士様は10年越しの初恋を叶えたい</v>
      </c>
      <c r="T5479" s="22" t="str">
        <f>IFERROR(__xludf.DUMMYFUNCTION("""COMPUTED_VALUE"""),"格納済み")</f>
        <v>格納済み</v>
      </c>
      <c r="U5479" s="9" t="str">
        <f>IFERROR(__xludf.DUMMYFUNCTION("""COMPUTED_VALUE"""),"(C)秋風ののか／一迅社")</f>
        <v>(C)秋風ののか／一迅社</v>
      </c>
      <c r="V5479" s="8"/>
      <c r="W5479" s="8"/>
      <c r="X5479" s="8"/>
      <c r="Y5479" s="8"/>
      <c r="Z5479" s="7"/>
      <c r="AA5479" s="7"/>
      <c r="AB5479" s="7"/>
    </row>
    <row r="5480" ht="15.75" customHeight="1">
      <c r="A5480" s="26">
        <f>IFERROR(__xludf.DUMMYFUNCTION("""COMPUTED_VALUE"""),8136.0)</f>
        <v>8136</v>
      </c>
      <c r="B5480" s="22" t="str">
        <f>IFERROR(__xludf.DUMMYFUNCTION("""COMPUTED_VALUE"""),"確定")</f>
        <v>確定</v>
      </c>
      <c r="C5480" s="28">
        <f>IFERROR(__xludf.DUMMYFUNCTION("""COMPUTED_VALUE"""),46177.0)</f>
        <v>46177</v>
      </c>
      <c r="D5480" s="28">
        <f>IFERROR(__xludf.DUMMYFUNCTION("""COMPUTED_VALUE"""),46198.0)</f>
        <v>46198</v>
      </c>
      <c r="E5480" s="26"/>
      <c r="F5480" s="22" t="str">
        <f>IFERROR(__xludf.DUMMYFUNCTION("""COMPUTED_VALUE"""),"いじらしくて官能的な私だけの黒騎士様")</f>
        <v>いじらしくて官能的な私だけの黒騎士様</v>
      </c>
      <c r="G5480" s="20">
        <f>IFERROR(__xludf.DUMMYFUNCTION("""COMPUTED_VALUE"""),1.0)</f>
        <v>1</v>
      </c>
      <c r="H5480" s="22" t="str">
        <f>IFERROR(__xludf.DUMMYFUNCTION("""COMPUTED_VALUE"""),"八珠ぐみ")</f>
        <v>八珠ぐみ</v>
      </c>
      <c r="I5480" s="22" t="str">
        <f>IFERROR(__xludf.DUMMYFUNCTION("""COMPUTED_VALUE"""),"TL")</f>
        <v>TL</v>
      </c>
      <c r="J5480" s="22"/>
      <c r="K5480" s="22" t="str">
        <f>IFERROR(__xludf.DUMMYFUNCTION("""COMPUTED_VALUE"""),"LOVEBITESコミックス")</f>
        <v>LOVEBITESコミックス</v>
      </c>
      <c r="L5480" s="22" t="str">
        <f>IFERROR(__xludf.DUMMYFUNCTION("""COMPUTED_VALUE"""),"一迅社")</f>
        <v>一迅社</v>
      </c>
      <c r="M5480" s="33">
        <f>IFERROR(__xludf.DUMMYFUNCTION("""COMPUTED_VALUE"""),46227.0)</f>
        <v>46227</v>
      </c>
      <c r="N5480" s="33">
        <f>IFERROR(__xludf.DUMMYFUNCTION("""COMPUTED_VALUE"""),46257.0)</f>
        <v>46257</v>
      </c>
      <c r="O5480" s="20" t="str">
        <f>IFERROR(__xludf.DUMMYFUNCTION("""COMPUTED_VALUE"""),"【アダルト作品扱い】")</f>
        <v>【アダルト作品扱い】</v>
      </c>
      <c r="P5480" s="32" t="str">
        <f>IFERROR(__xludf.DUMMYFUNCTION("""COMPUTED_VALUE"""),"可")</f>
        <v>可</v>
      </c>
      <c r="Q5480" s="30" t="str">
        <f>IFERROR(__xludf.DUMMYFUNCTION("""COMPUTED_VALUE"""),"「黒騎士様の愛玩花嫁になりました。アンソロジー」掲載タイトル")</f>
        <v>「黒騎士様の愛玩花嫁になりました。アンソロジー」掲載タイトル</v>
      </c>
      <c r="R5480" s="22"/>
      <c r="S5480" s="22" t="str">
        <f>IFERROR(__xludf.DUMMYFUNCTION("""COMPUTED_VALUE"""),"20260625_一迅社_いじらしくて官能的な私だけの黒騎士様")</f>
        <v>20260625_一迅社_いじらしくて官能的な私だけの黒騎士様</v>
      </c>
      <c r="T5480" s="22" t="str">
        <f>IFERROR(__xludf.DUMMYFUNCTION("""COMPUTED_VALUE"""),"格納済み")</f>
        <v>格納済み</v>
      </c>
      <c r="U5480" s="9" t="str">
        <f>IFERROR(__xludf.DUMMYFUNCTION("""COMPUTED_VALUE"""),"(C)八珠ぐみ／一迅社")</f>
        <v>(C)八珠ぐみ／一迅社</v>
      </c>
      <c r="V5480" s="8"/>
      <c r="W5480" s="8"/>
      <c r="X5480" s="8"/>
      <c r="Y5480" s="8"/>
      <c r="Z5480" s="7"/>
      <c r="AA5480" s="7"/>
      <c r="AB5480" s="7"/>
    </row>
    <row r="5481" ht="15.75" customHeight="1">
      <c r="A5481" s="26">
        <f>IFERROR(__xludf.DUMMYFUNCTION("""COMPUTED_VALUE"""),8146.0)</f>
        <v>8146</v>
      </c>
      <c r="B5481" s="22" t="str">
        <f>IFERROR(__xludf.DUMMYFUNCTION("""COMPUTED_VALUE"""),"確定")</f>
        <v>確定</v>
      </c>
      <c r="C5481" s="28">
        <f>IFERROR(__xludf.DUMMYFUNCTION("""COMPUTED_VALUE"""),46177.0)</f>
        <v>46177</v>
      </c>
      <c r="D5481" s="28">
        <f>IFERROR(__xludf.DUMMYFUNCTION("""COMPUTED_VALUE"""),46198.0)</f>
        <v>46198</v>
      </c>
      <c r="E5481" s="26"/>
      <c r="F5481" s="22" t="str">
        <f>IFERROR(__xludf.DUMMYFUNCTION("""COMPUTED_VALUE"""),"黒騎士様の溺愛マニュアル")</f>
        <v>黒騎士様の溺愛マニュアル</v>
      </c>
      <c r="G5481" s="20">
        <f>IFERROR(__xludf.DUMMYFUNCTION("""COMPUTED_VALUE"""),1.0)</f>
        <v>1</v>
      </c>
      <c r="H5481" s="22" t="str">
        <f>IFERROR(__xludf.DUMMYFUNCTION("""COMPUTED_VALUE"""),"魔界")</f>
        <v>魔界</v>
      </c>
      <c r="I5481" s="22" t="str">
        <f>IFERROR(__xludf.DUMMYFUNCTION("""COMPUTED_VALUE"""),"TL")</f>
        <v>TL</v>
      </c>
      <c r="J5481" s="22"/>
      <c r="K5481" s="22" t="str">
        <f>IFERROR(__xludf.DUMMYFUNCTION("""COMPUTED_VALUE"""),"LOVEBITESコミックス")</f>
        <v>LOVEBITESコミックス</v>
      </c>
      <c r="L5481" s="22" t="str">
        <f>IFERROR(__xludf.DUMMYFUNCTION("""COMPUTED_VALUE"""),"一迅社")</f>
        <v>一迅社</v>
      </c>
      <c r="M5481" s="33">
        <f>IFERROR(__xludf.DUMMYFUNCTION("""COMPUTED_VALUE"""),46227.0)</f>
        <v>46227</v>
      </c>
      <c r="N5481" s="33">
        <f>IFERROR(__xludf.DUMMYFUNCTION("""COMPUTED_VALUE"""),46257.0)</f>
        <v>46257</v>
      </c>
      <c r="O5481" s="20" t="str">
        <f>IFERROR(__xludf.DUMMYFUNCTION("""COMPUTED_VALUE"""),"【アダルト作品扱い】")</f>
        <v>【アダルト作品扱い】</v>
      </c>
      <c r="P5481" s="32" t="str">
        <f>IFERROR(__xludf.DUMMYFUNCTION("""COMPUTED_VALUE"""),"可")</f>
        <v>可</v>
      </c>
      <c r="Q5481" s="30" t="str">
        <f>IFERROR(__xludf.DUMMYFUNCTION("""COMPUTED_VALUE"""),"「黒騎士様の愛玩花嫁になりました。アンソロジー」掲載タイトル")</f>
        <v>「黒騎士様の愛玩花嫁になりました。アンソロジー」掲載タイトル</v>
      </c>
      <c r="R5481" s="22"/>
      <c r="S5481" s="22" t="str">
        <f>IFERROR(__xludf.DUMMYFUNCTION("""COMPUTED_VALUE"""),"20260625_一迅社_黒騎士様の溺愛マニュアル")</f>
        <v>20260625_一迅社_黒騎士様の溺愛マニュアル</v>
      </c>
      <c r="T5481" s="22" t="str">
        <f>IFERROR(__xludf.DUMMYFUNCTION("""COMPUTED_VALUE"""),"格納済み")</f>
        <v>格納済み</v>
      </c>
      <c r="U5481" s="9" t="str">
        <f>IFERROR(__xludf.DUMMYFUNCTION("""COMPUTED_VALUE"""),"(C)魔界／一迅社")</f>
        <v>(C)魔界／一迅社</v>
      </c>
      <c r="V5481" s="8"/>
      <c r="W5481" s="8"/>
      <c r="X5481" s="8"/>
      <c r="Y5481" s="8"/>
      <c r="Z5481" s="7"/>
      <c r="AA5481" s="7"/>
      <c r="AB5481" s="7"/>
    </row>
    <row r="5482" ht="15.75" customHeight="1">
      <c r="A5482" s="26">
        <f>IFERROR(__xludf.DUMMYFUNCTION("""COMPUTED_VALUE"""),8147.0)</f>
        <v>8147</v>
      </c>
      <c r="B5482" s="22" t="str">
        <f>IFERROR(__xludf.DUMMYFUNCTION("""COMPUTED_VALUE"""),"確定")</f>
        <v>確定</v>
      </c>
      <c r="C5482" s="28">
        <f>IFERROR(__xludf.DUMMYFUNCTION("""COMPUTED_VALUE"""),46177.0)</f>
        <v>46177</v>
      </c>
      <c r="D5482" s="28">
        <f>IFERROR(__xludf.DUMMYFUNCTION("""COMPUTED_VALUE"""),46198.0)</f>
        <v>46198</v>
      </c>
      <c r="E5482" s="26"/>
      <c r="F5482" s="22" t="str">
        <f>IFERROR(__xludf.DUMMYFUNCTION("""COMPUTED_VALUE"""),"最後に、ひとつだけ。～初恋の人と過ごす秘密の夜～")</f>
        <v>最後に、ひとつだけ。～初恋の人と過ごす秘密の夜～</v>
      </c>
      <c r="G5482" s="20">
        <f>IFERROR(__xludf.DUMMYFUNCTION("""COMPUTED_VALUE"""),1.0)</f>
        <v>1</v>
      </c>
      <c r="H5482" s="22" t="str">
        <f>IFERROR(__xludf.DUMMYFUNCTION("""COMPUTED_VALUE"""),"水瀬はづき")</f>
        <v>水瀬はづき</v>
      </c>
      <c r="I5482" s="22" t="str">
        <f>IFERROR(__xludf.DUMMYFUNCTION("""COMPUTED_VALUE"""),"TL")</f>
        <v>TL</v>
      </c>
      <c r="J5482" s="22"/>
      <c r="K5482" s="22" t="str">
        <f>IFERROR(__xludf.DUMMYFUNCTION("""COMPUTED_VALUE"""),"LOVEBITESコミックス")</f>
        <v>LOVEBITESコミックス</v>
      </c>
      <c r="L5482" s="22" t="str">
        <f>IFERROR(__xludf.DUMMYFUNCTION("""COMPUTED_VALUE"""),"一迅社")</f>
        <v>一迅社</v>
      </c>
      <c r="M5482" s="33">
        <f>IFERROR(__xludf.DUMMYFUNCTION("""COMPUTED_VALUE"""),46227.0)</f>
        <v>46227</v>
      </c>
      <c r="N5482" s="33">
        <f>IFERROR(__xludf.DUMMYFUNCTION("""COMPUTED_VALUE"""),46257.0)</f>
        <v>46257</v>
      </c>
      <c r="O5482" s="20" t="str">
        <f>IFERROR(__xludf.DUMMYFUNCTION("""COMPUTED_VALUE"""),"【アダルト作品扱い】")</f>
        <v>【アダルト作品扱い】</v>
      </c>
      <c r="P5482" s="32" t="str">
        <f>IFERROR(__xludf.DUMMYFUNCTION("""COMPUTED_VALUE"""),"可")</f>
        <v>可</v>
      </c>
      <c r="Q5482" s="30" t="str">
        <f>IFERROR(__xludf.DUMMYFUNCTION("""COMPUTED_VALUE"""),"「明日政略結婚する令嬢が幼なじみと過ごす最後の一夜アンソロジー」掲載タイトル")</f>
        <v>「明日政略結婚する令嬢が幼なじみと過ごす最後の一夜アンソロジー」掲載タイトル</v>
      </c>
      <c r="R5482" s="22"/>
      <c r="S5482" s="22" t="str">
        <f>IFERROR(__xludf.DUMMYFUNCTION("""COMPUTED_VALUE"""),"20260624_一迅社_最後に、ひとつだけ。～初恋の人と過ごす秘密の夜～")</f>
        <v>20260624_一迅社_最後に、ひとつだけ。～初恋の人と過ごす秘密の夜～</v>
      </c>
      <c r="T5482" s="22" t="str">
        <f>IFERROR(__xludf.DUMMYFUNCTION("""COMPUTED_VALUE"""),"格納済み")</f>
        <v>格納済み</v>
      </c>
      <c r="U5482" s="9" t="str">
        <f>IFERROR(__xludf.DUMMYFUNCTION("""COMPUTED_VALUE"""),"(C)水瀬はづき／一迅社")</f>
        <v>(C)水瀬はづき／一迅社</v>
      </c>
      <c r="V5482" s="8"/>
      <c r="W5482" s="8"/>
      <c r="X5482" s="8"/>
      <c r="Y5482" s="8"/>
      <c r="Z5482" s="7"/>
      <c r="AA5482" s="7"/>
      <c r="AB5482" s="7"/>
    </row>
    <row r="5483" ht="15.75" customHeight="1">
      <c r="A5483" s="26">
        <f>IFERROR(__xludf.DUMMYFUNCTION("""COMPUTED_VALUE"""),8148.0)</f>
        <v>8148</v>
      </c>
      <c r="B5483" s="22" t="str">
        <f>IFERROR(__xludf.DUMMYFUNCTION("""COMPUTED_VALUE"""),"確定")</f>
        <v>確定</v>
      </c>
      <c r="C5483" s="28">
        <f>IFERROR(__xludf.DUMMYFUNCTION("""COMPUTED_VALUE"""),46177.0)</f>
        <v>46177</v>
      </c>
      <c r="D5483" s="28">
        <f>IFERROR(__xludf.DUMMYFUNCTION("""COMPUTED_VALUE"""),46198.0)</f>
        <v>46198</v>
      </c>
      <c r="E5483" s="26"/>
      <c r="F5483" s="22" t="str">
        <f>IFERROR(__xludf.DUMMYFUNCTION("""COMPUTED_VALUE"""),"誰も知らない二人だけの恋物語")</f>
        <v>誰も知らない二人だけの恋物語</v>
      </c>
      <c r="G5483" s="20">
        <f>IFERROR(__xludf.DUMMYFUNCTION("""COMPUTED_VALUE"""),1.0)</f>
        <v>1</v>
      </c>
      <c r="H5483" s="22" t="str">
        <f>IFERROR(__xludf.DUMMYFUNCTION("""COMPUTED_VALUE"""),"春瀬トヲル")</f>
        <v>春瀬トヲル</v>
      </c>
      <c r="I5483" s="22" t="str">
        <f>IFERROR(__xludf.DUMMYFUNCTION("""COMPUTED_VALUE"""),"TL")</f>
        <v>TL</v>
      </c>
      <c r="J5483" s="22"/>
      <c r="K5483" s="22" t="str">
        <f>IFERROR(__xludf.DUMMYFUNCTION("""COMPUTED_VALUE"""),"LOVEBITESコミックス")</f>
        <v>LOVEBITESコミックス</v>
      </c>
      <c r="L5483" s="22" t="str">
        <f>IFERROR(__xludf.DUMMYFUNCTION("""COMPUTED_VALUE"""),"一迅社")</f>
        <v>一迅社</v>
      </c>
      <c r="M5483" s="33">
        <f>IFERROR(__xludf.DUMMYFUNCTION("""COMPUTED_VALUE"""),46227.0)</f>
        <v>46227</v>
      </c>
      <c r="N5483" s="33">
        <f>IFERROR(__xludf.DUMMYFUNCTION("""COMPUTED_VALUE"""),46257.0)</f>
        <v>46257</v>
      </c>
      <c r="O5483" s="20" t="str">
        <f>IFERROR(__xludf.DUMMYFUNCTION("""COMPUTED_VALUE"""),"【アダルト作品扱い】")</f>
        <v>【アダルト作品扱い】</v>
      </c>
      <c r="P5483" s="32" t="str">
        <f>IFERROR(__xludf.DUMMYFUNCTION("""COMPUTED_VALUE"""),"可")</f>
        <v>可</v>
      </c>
      <c r="Q5483" s="30" t="str">
        <f>IFERROR(__xludf.DUMMYFUNCTION("""COMPUTED_VALUE"""),"「明日政略結婚する令嬢が幼なじみと過ごす最後の一夜アンソロジー」掲載タイトル")</f>
        <v>「明日政略結婚する令嬢が幼なじみと過ごす最後の一夜アンソロジー」掲載タイトル</v>
      </c>
      <c r="R5483" s="22"/>
      <c r="S5483" s="22" t="str">
        <f>IFERROR(__xludf.DUMMYFUNCTION("""COMPUTED_VALUE"""),"20260624_一迅社_誰も知らない二人だけの恋物語")</f>
        <v>20260624_一迅社_誰も知らない二人だけの恋物語</v>
      </c>
      <c r="T5483" s="22" t="str">
        <f>IFERROR(__xludf.DUMMYFUNCTION("""COMPUTED_VALUE"""),"格納済み")</f>
        <v>格納済み</v>
      </c>
      <c r="U5483" s="9" t="str">
        <f>IFERROR(__xludf.DUMMYFUNCTION("""COMPUTED_VALUE"""),"(C)春瀬トヲル／一迅社")</f>
        <v>(C)春瀬トヲル／一迅社</v>
      </c>
      <c r="V5483" s="8"/>
      <c r="W5483" s="8"/>
      <c r="X5483" s="8"/>
      <c r="Y5483" s="8"/>
      <c r="Z5483" s="7"/>
      <c r="AA5483" s="7"/>
      <c r="AB5483" s="7"/>
    </row>
    <row r="5484" ht="15.75" customHeight="1">
      <c r="A5484" s="26">
        <f>IFERROR(__xludf.DUMMYFUNCTION("""COMPUTED_VALUE"""),8149.0)</f>
        <v>8149</v>
      </c>
      <c r="B5484" s="22" t="str">
        <f>IFERROR(__xludf.DUMMYFUNCTION("""COMPUTED_VALUE"""),"確定")</f>
        <v>確定</v>
      </c>
      <c r="C5484" s="28">
        <f>IFERROR(__xludf.DUMMYFUNCTION("""COMPUTED_VALUE"""),46177.0)</f>
        <v>46177</v>
      </c>
      <c r="D5484" s="28">
        <f>IFERROR(__xludf.DUMMYFUNCTION("""COMPUTED_VALUE"""),46198.0)</f>
        <v>46198</v>
      </c>
      <c r="E5484" s="26"/>
      <c r="F5484" s="22" t="str">
        <f>IFERROR(__xludf.DUMMYFUNCTION("""COMPUTED_VALUE"""),"たとえ私が壊れても。～ヘーゼル色のたからもの～")</f>
        <v>たとえ私が壊れても。～ヘーゼル色のたからもの～</v>
      </c>
      <c r="G5484" s="20">
        <f>IFERROR(__xludf.DUMMYFUNCTION("""COMPUTED_VALUE"""),1.0)</f>
        <v>1</v>
      </c>
      <c r="H5484" s="22" t="str">
        <f>IFERROR(__xludf.DUMMYFUNCTION("""COMPUTED_VALUE"""),"真崎清明")</f>
        <v>真崎清明</v>
      </c>
      <c r="I5484" s="22" t="str">
        <f>IFERROR(__xludf.DUMMYFUNCTION("""COMPUTED_VALUE"""),"TL")</f>
        <v>TL</v>
      </c>
      <c r="J5484" s="22"/>
      <c r="K5484" s="22" t="str">
        <f>IFERROR(__xludf.DUMMYFUNCTION("""COMPUTED_VALUE"""),"LOVEBITESコミックス")</f>
        <v>LOVEBITESコミックス</v>
      </c>
      <c r="L5484" s="22" t="str">
        <f>IFERROR(__xludf.DUMMYFUNCTION("""COMPUTED_VALUE"""),"一迅社")</f>
        <v>一迅社</v>
      </c>
      <c r="M5484" s="33">
        <f>IFERROR(__xludf.DUMMYFUNCTION("""COMPUTED_VALUE"""),46227.0)</f>
        <v>46227</v>
      </c>
      <c r="N5484" s="33">
        <f>IFERROR(__xludf.DUMMYFUNCTION("""COMPUTED_VALUE"""),46257.0)</f>
        <v>46257</v>
      </c>
      <c r="O5484" s="20" t="str">
        <f>IFERROR(__xludf.DUMMYFUNCTION("""COMPUTED_VALUE"""),"【アダルト作品扱い】")</f>
        <v>【アダルト作品扱い】</v>
      </c>
      <c r="P5484" s="32" t="str">
        <f>IFERROR(__xludf.DUMMYFUNCTION("""COMPUTED_VALUE"""),"可")</f>
        <v>可</v>
      </c>
      <c r="Q5484" s="30" t="str">
        <f>IFERROR(__xludf.DUMMYFUNCTION("""COMPUTED_VALUE"""),"「明日政略結婚する令嬢が幼なじみと過ごす最後の一夜アンソロジー」掲載タイトル")</f>
        <v>「明日政略結婚する令嬢が幼なじみと過ごす最後の一夜アンソロジー」掲載タイトル</v>
      </c>
      <c r="R5484" s="22"/>
      <c r="S5484" s="22" t="str">
        <f>IFERROR(__xludf.DUMMYFUNCTION("""COMPUTED_VALUE"""),"20260624_一迅社_たとえ私が壊れても。～ヘーゼル色のたからもの～")</f>
        <v>20260624_一迅社_たとえ私が壊れても。～ヘーゼル色のたからもの～</v>
      </c>
      <c r="T5484" s="22" t="str">
        <f>IFERROR(__xludf.DUMMYFUNCTION("""COMPUTED_VALUE"""),"格納済み")</f>
        <v>格納済み</v>
      </c>
      <c r="U5484" s="9" t="str">
        <f>IFERROR(__xludf.DUMMYFUNCTION("""COMPUTED_VALUE"""),"(C)真崎清明／一迅社")</f>
        <v>(C)真崎清明／一迅社</v>
      </c>
      <c r="V5484" s="8"/>
      <c r="W5484" s="8"/>
      <c r="X5484" s="8"/>
      <c r="Y5484" s="8"/>
      <c r="Z5484" s="7"/>
      <c r="AA5484" s="7"/>
      <c r="AB5484" s="7"/>
    </row>
    <row r="5485" ht="15.75" customHeight="1">
      <c r="A5485" s="26">
        <f>IFERROR(__xludf.DUMMYFUNCTION("""COMPUTED_VALUE"""),8157.0)</f>
        <v>8157</v>
      </c>
      <c r="B5485" s="22" t="str">
        <f>IFERROR(__xludf.DUMMYFUNCTION("""COMPUTED_VALUE"""),"確定")</f>
        <v>確定</v>
      </c>
      <c r="C5485" s="28">
        <f>IFERROR(__xludf.DUMMYFUNCTION("""COMPUTED_VALUE"""),46177.0)</f>
        <v>46177</v>
      </c>
      <c r="D5485" s="28">
        <f>IFERROR(__xludf.DUMMYFUNCTION("""COMPUTED_VALUE"""),46198.0)</f>
        <v>46198</v>
      </c>
      <c r="E5485" s="26"/>
      <c r="F5485" s="22" t="str">
        <f>IFERROR(__xludf.DUMMYFUNCTION("""COMPUTED_VALUE"""),"コワモテ黒騎士様は私にだけ甘すぎる")</f>
        <v>コワモテ黒騎士様は私にだけ甘すぎる</v>
      </c>
      <c r="G5485" s="20">
        <f>IFERROR(__xludf.DUMMYFUNCTION("""COMPUTED_VALUE"""),1.0)</f>
        <v>1</v>
      </c>
      <c r="H5485" s="22" t="str">
        <f>IFERROR(__xludf.DUMMYFUNCTION("""COMPUTED_VALUE"""),"未白みね")</f>
        <v>未白みね</v>
      </c>
      <c r="I5485" s="22" t="str">
        <f>IFERROR(__xludf.DUMMYFUNCTION("""COMPUTED_VALUE"""),"TL")</f>
        <v>TL</v>
      </c>
      <c r="J5485" s="22"/>
      <c r="K5485" s="22" t="str">
        <f>IFERROR(__xludf.DUMMYFUNCTION("""COMPUTED_VALUE"""),"LOVEBITESコミックス")</f>
        <v>LOVEBITESコミックス</v>
      </c>
      <c r="L5485" s="22" t="str">
        <f>IFERROR(__xludf.DUMMYFUNCTION("""COMPUTED_VALUE"""),"一迅社")</f>
        <v>一迅社</v>
      </c>
      <c r="M5485" s="33">
        <f>IFERROR(__xludf.DUMMYFUNCTION("""COMPUTED_VALUE"""),46227.0)</f>
        <v>46227</v>
      </c>
      <c r="N5485" s="33">
        <f>IFERROR(__xludf.DUMMYFUNCTION("""COMPUTED_VALUE"""),46257.0)</f>
        <v>46257</v>
      </c>
      <c r="O5485" s="20" t="str">
        <f>IFERROR(__xludf.DUMMYFUNCTION("""COMPUTED_VALUE"""),"【アダルト作品扱い】")</f>
        <v>【アダルト作品扱い】</v>
      </c>
      <c r="P5485" s="32" t="str">
        <f>IFERROR(__xludf.DUMMYFUNCTION("""COMPUTED_VALUE"""),"可")</f>
        <v>可</v>
      </c>
      <c r="Q5485" s="30" t="str">
        <f>IFERROR(__xludf.DUMMYFUNCTION("""COMPUTED_VALUE"""),"「黒騎士様の愛玩花嫁になりました。アンソロジー」掲載タイトル")</f>
        <v>「黒騎士様の愛玩花嫁になりました。アンソロジー」掲載タイトル</v>
      </c>
      <c r="R5485" s="22"/>
      <c r="S5485" s="22" t="str">
        <f>IFERROR(__xludf.DUMMYFUNCTION("""COMPUTED_VALUE"""),"20260625_一迅社_コワモテ黒騎士様は私にだけ甘すぎる")</f>
        <v>20260625_一迅社_コワモテ黒騎士様は私にだけ甘すぎる</v>
      </c>
      <c r="T5485" s="22" t="str">
        <f>IFERROR(__xludf.DUMMYFUNCTION("""COMPUTED_VALUE"""),"格納済み")</f>
        <v>格納済み</v>
      </c>
      <c r="U5485" s="9" t="str">
        <f>IFERROR(__xludf.DUMMYFUNCTION("""COMPUTED_VALUE"""),"(C)未白みね／一迅社")</f>
        <v>(C)未白みね／一迅社</v>
      </c>
      <c r="V5485" s="8"/>
      <c r="W5485" s="8"/>
      <c r="X5485" s="8"/>
      <c r="Y5485" s="8"/>
      <c r="Z5485" s="7"/>
      <c r="AA5485" s="7"/>
      <c r="AB5485" s="7"/>
    </row>
    <row r="5486" ht="15.75" customHeight="1">
      <c r="A5486" s="26">
        <f>IFERROR(__xludf.DUMMYFUNCTION("""COMPUTED_VALUE"""),8158.0)</f>
        <v>8158</v>
      </c>
      <c r="B5486" s="22" t="str">
        <f>IFERROR(__xludf.DUMMYFUNCTION("""COMPUTED_VALUE"""),"確定")</f>
        <v>確定</v>
      </c>
      <c r="C5486" s="28">
        <f>IFERROR(__xludf.DUMMYFUNCTION("""COMPUTED_VALUE"""),46177.0)</f>
        <v>46177</v>
      </c>
      <c r="D5486" s="28">
        <f>IFERROR(__xludf.DUMMYFUNCTION("""COMPUTED_VALUE"""),46198.0)</f>
        <v>46198</v>
      </c>
      <c r="E5486" s="26"/>
      <c r="F5486" s="22" t="str">
        <f>IFERROR(__xludf.DUMMYFUNCTION("""COMPUTED_VALUE"""),"大事なのに優しくできない　悩める黒騎士は花嫁への愛があふれて止まらない")</f>
        <v>大事なのに優しくできない　悩める黒騎士は花嫁への愛があふれて止まらない</v>
      </c>
      <c r="G5486" s="20">
        <f>IFERROR(__xludf.DUMMYFUNCTION("""COMPUTED_VALUE"""),1.0)</f>
        <v>1</v>
      </c>
      <c r="H5486" s="22" t="str">
        <f>IFERROR(__xludf.DUMMYFUNCTION("""COMPUTED_VALUE"""),"かねだみきお")</f>
        <v>かねだみきお</v>
      </c>
      <c r="I5486" s="22" t="str">
        <f>IFERROR(__xludf.DUMMYFUNCTION("""COMPUTED_VALUE"""),"TL")</f>
        <v>TL</v>
      </c>
      <c r="J5486" s="22"/>
      <c r="K5486" s="22" t="str">
        <f>IFERROR(__xludf.DUMMYFUNCTION("""COMPUTED_VALUE"""),"LOVEBITESコミックス")</f>
        <v>LOVEBITESコミックス</v>
      </c>
      <c r="L5486" s="22" t="str">
        <f>IFERROR(__xludf.DUMMYFUNCTION("""COMPUTED_VALUE"""),"一迅社")</f>
        <v>一迅社</v>
      </c>
      <c r="M5486" s="33">
        <f>IFERROR(__xludf.DUMMYFUNCTION("""COMPUTED_VALUE"""),46227.0)</f>
        <v>46227</v>
      </c>
      <c r="N5486" s="33">
        <f>IFERROR(__xludf.DUMMYFUNCTION("""COMPUTED_VALUE"""),46257.0)</f>
        <v>46257</v>
      </c>
      <c r="O5486" s="20" t="str">
        <f>IFERROR(__xludf.DUMMYFUNCTION("""COMPUTED_VALUE"""),"【アダルト作品扱い】")</f>
        <v>【アダルト作品扱い】</v>
      </c>
      <c r="P5486" s="32" t="str">
        <f>IFERROR(__xludf.DUMMYFUNCTION("""COMPUTED_VALUE"""),"可")</f>
        <v>可</v>
      </c>
      <c r="Q5486" s="30" t="str">
        <f>IFERROR(__xludf.DUMMYFUNCTION("""COMPUTED_VALUE"""),"「黒騎士様の愛玩花嫁になりました。アンソロジー」掲載タイトル")</f>
        <v>「黒騎士様の愛玩花嫁になりました。アンソロジー」掲載タイトル</v>
      </c>
      <c r="R5486" s="22"/>
      <c r="S5486" s="22" t="str">
        <f>IFERROR(__xludf.DUMMYFUNCTION("""COMPUTED_VALUE"""),"20260625_一迅社_大事なのに優しくできない　悩める黒騎士は花嫁への愛があふれて止まらない")</f>
        <v>20260625_一迅社_大事なのに優しくできない　悩める黒騎士は花嫁への愛があふれて止まらない</v>
      </c>
      <c r="T5486" s="22" t="str">
        <f>IFERROR(__xludf.DUMMYFUNCTION("""COMPUTED_VALUE"""),"格納済み")</f>
        <v>格納済み</v>
      </c>
      <c r="U5486" s="9" t="str">
        <f>IFERROR(__xludf.DUMMYFUNCTION("""COMPUTED_VALUE"""),"(C)かねだみきお／一迅社")</f>
        <v>(C)かねだみきお／一迅社</v>
      </c>
      <c r="V5486" s="8"/>
      <c r="W5486" s="8"/>
      <c r="X5486" s="8"/>
      <c r="Y5486" s="8"/>
      <c r="Z5486" s="7"/>
      <c r="AA5486" s="7"/>
      <c r="AB5486" s="7"/>
    </row>
    <row r="5487" ht="15.75" customHeight="1">
      <c r="A5487" s="26">
        <f>IFERROR(__xludf.DUMMYFUNCTION("""COMPUTED_VALUE"""),8163.0)</f>
        <v>8163</v>
      </c>
      <c r="B5487" s="22" t="str">
        <f>IFERROR(__xludf.DUMMYFUNCTION("""COMPUTED_VALUE"""),"確定")</f>
        <v>確定</v>
      </c>
      <c r="C5487" s="28">
        <f>IFERROR(__xludf.DUMMYFUNCTION("""COMPUTED_VALUE"""),46178.0)</f>
        <v>46178</v>
      </c>
      <c r="D5487" s="28">
        <f>IFERROR(__xludf.DUMMYFUNCTION("""COMPUTED_VALUE"""),46202.0)</f>
        <v>46202</v>
      </c>
      <c r="E5487" s="26">
        <f>IFERROR(__xludf.DUMMYFUNCTION("""COMPUTED_VALUE"""),364162.0)</f>
        <v>364162</v>
      </c>
      <c r="F5487" s="22" t="str">
        <f>IFERROR(__xludf.DUMMYFUNCTION("""COMPUTED_VALUE"""),"優しい白森さんの、甘くてずるい泣かせ方【単話】")</f>
        <v>優しい白森さんの、甘くてずるい泣かせ方【単話】</v>
      </c>
      <c r="G5487" s="20" t="str">
        <f>IFERROR(__xludf.DUMMYFUNCTION("""COMPUTED_VALUE"""),"1~3")</f>
        <v>1~3</v>
      </c>
      <c r="H5487" s="22" t="str">
        <f>IFERROR(__xludf.DUMMYFUNCTION("""COMPUTED_VALUE"""),"yamato")</f>
        <v>yamato</v>
      </c>
      <c r="I5487" s="22" t="str">
        <f>IFERROR(__xludf.DUMMYFUNCTION("""COMPUTED_VALUE"""),"TL")</f>
        <v>TL</v>
      </c>
      <c r="J5487" s="22"/>
      <c r="K5487" s="22" t="str">
        <f>IFERROR(__xludf.DUMMYFUNCTION("""COMPUTED_VALUE"""),"ミンティ")</f>
        <v>ミンティ</v>
      </c>
      <c r="L5487" s="22" t="str">
        <f>IFERROR(__xludf.DUMMYFUNCTION("""COMPUTED_VALUE"""),"オークラ出版")</f>
        <v>オークラ出版</v>
      </c>
      <c r="M5487" s="33">
        <f>IFERROR(__xludf.DUMMYFUNCTION("""COMPUTED_VALUE"""),46227.0)</f>
        <v>46227</v>
      </c>
      <c r="N5487" s="33">
        <f>IFERROR(__xludf.DUMMYFUNCTION("""COMPUTED_VALUE"""),46317.0)</f>
        <v>46317</v>
      </c>
      <c r="O5487" s="20"/>
      <c r="P5487" s="32" t="str">
        <f>IFERROR(__xludf.DUMMYFUNCTION("""COMPUTED_VALUE"""),"可")</f>
        <v>可</v>
      </c>
      <c r="Q5487" s="30" t="str">
        <f>IFERROR(__xludf.DUMMYFUNCTION("""COMPUTED_VALUE"""),"可能なタイミングより出稿お願いいたします")</f>
        <v>可能なタイミングより出稿お願いいたします</v>
      </c>
      <c r="R5487" s="22"/>
      <c r="S5487" s="22" t="str">
        <f>IFERROR(__xludf.DUMMYFUNCTION("""COMPUTED_VALUE"""),"20260626_オークラ出版_優しい白森さんの、甘くてずるい泣かせ方【単話】")</f>
        <v>20260626_オークラ出版_優しい白森さんの、甘くてずるい泣かせ方【単話】</v>
      </c>
      <c r="T5487" s="22" t="str">
        <f>IFERROR(__xludf.DUMMYFUNCTION("""COMPUTED_VALUE"""),"格納済み")</f>
        <v>格納済み</v>
      </c>
      <c r="U5487" s="9" t="str">
        <f>IFERROR(__xludf.DUMMYFUNCTION("""COMPUTED_VALUE"""),"（C）yamato／オークラ出版 ミンティ")</f>
        <v>（C）yamato／オークラ出版 ミンティ</v>
      </c>
      <c r="V5487" s="8"/>
      <c r="W5487" s="8"/>
      <c r="X5487" s="8" t="str">
        <f>IFERROR(__xludf.DUMMYFUNCTION("""COMPUTED_VALUE"""),"有")</f>
        <v>有</v>
      </c>
      <c r="Y5487" s="8" t="str">
        <f>IFERROR(__xludf.DUMMYFUNCTION("""COMPUTED_VALUE"""),"p8まで")</f>
        <v>p8まで</v>
      </c>
      <c r="Z5487" s="7"/>
      <c r="AA5487" s="7"/>
      <c r="AB5487" s="7"/>
    </row>
    <row r="5488" ht="15.75" customHeight="1">
      <c r="A5488" s="26">
        <f>IFERROR(__xludf.DUMMYFUNCTION("""COMPUTED_VALUE"""),8175.0)</f>
        <v>8175</v>
      </c>
      <c r="B5488" s="22" t="str">
        <f>IFERROR(__xludf.DUMMYFUNCTION("""COMPUTED_VALUE"""),"確定")</f>
        <v>確定</v>
      </c>
      <c r="C5488" s="28">
        <f>IFERROR(__xludf.DUMMYFUNCTION("""COMPUTED_VALUE"""),46178.0)</f>
        <v>46178</v>
      </c>
      <c r="D5488" s="28">
        <f>IFERROR(__xludf.DUMMYFUNCTION("""COMPUTED_VALUE"""),46204.0)</f>
        <v>46204</v>
      </c>
      <c r="E5488" s="26"/>
      <c r="F5488" s="22" t="str">
        <f>IFERROR(__xludf.DUMMYFUNCTION("""COMPUTED_VALUE"""),"大学ヤリサーの実態～一軍男子に幼馴染を寝取られました～【フルカラー／分冊版】")</f>
        <v>大学ヤリサーの実態～一軍男子に幼馴染を寝取られました～【フルカラー／分冊版】</v>
      </c>
      <c r="G5488" s="20" t="str">
        <f>IFERROR(__xludf.DUMMYFUNCTION("""COMPUTED_VALUE"""),"1～5")</f>
        <v>1～5</v>
      </c>
      <c r="H5488" s="22" t="str">
        <f>IFERROR(__xludf.DUMMYFUNCTION("""COMPUTED_VALUE"""),"けだまくん")</f>
        <v>けだまくん</v>
      </c>
      <c r="I5488" s="22" t="str">
        <f>IFERROR(__xludf.DUMMYFUNCTION("""COMPUTED_VALUE"""),"アダルト")</f>
        <v>アダルト</v>
      </c>
      <c r="J5488" s="22"/>
      <c r="K5488" s="22" t="str">
        <f>IFERROR(__xludf.DUMMYFUNCTION("""COMPUTED_VALUE"""),"カゲキヤコミック")</f>
        <v>カゲキヤコミック</v>
      </c>
      <c r="L5488" s="22" t="str">
        <f>IFERROR(__xludf.DUMMYFUNCTION("""COMPUTED_VALUE"""),"DEEPER-ZERO")</f>
        <v>DEEPER-ZERO</v>
      </c>
      <c r="M5488" s="33">
        <f>IFERROR(__xludf.DUMMYFUNCTION("""COMPUTED_VALUE"""),46234.0)</f>
        <v>46234</v>
      </c>
      <c r="N5488" s="33">
        <f>IFERROR(__xludf.DUMMYFUNCTION("""COMPUTED_VALUE"""),46303.0)</f>
        <v>46303</v>
      </c>
      <c r="O5488" s="20"/>
      <c r="P5488" s="32" t="str">
        <f>IFERROR(__xludf.DUMMYFUNCTION("""COMPUTED_VALUE"""),"可")</f>
        <v>可</v>
      </c>
      <c r="Q5488" s="30" t="str">
        <f>IFERROR(__xludf.DUMMYFUNCTION("""COMPUTED_VALUE"""),"5巻完結です。")</f>
        <v>5巻完結です。</v>
      </c>
      <c r="R5488" s="22"/>
      <c r="S5488" s="22" t="str">
        <f>IFERROR(__xludf.DUMMYFUNCTION("""COMPUTED_VALUE"""),"20260630_DEEPER-ZERO_大学ヤリサーの実態～一軍男子に幼馴染を寝取られました～【フルカラー／分冊版】")</f>
        <v>20260630_DEEPER-ZERO_大学ヤリサーの実態～一軍男子に幼馴染を寝取られました～【フルカラー／分冊版】</v>
      </c>
      <c r="T5488" s="22" t="str">
        <f>IFERROR(__xludf.DUMMYFUNCTION("""COMPUTED_VALUE"""),"格納済み")</f>
        <v>格納済み</v>
      </c>
      <c r="U5488" s="9" t="str">
        <f>IFERROR(__xludf.DUMMYFUNCTION("""COMPUTED_VALUE"""),"Ⓒけだまくん/DEEPER-ZERO")</f>
        <v>Ⓒけだまくん/DEEPER-ZERO</v>
      </c>
      <c r="V5488" s="8"/>
      <c r="W5488" s="8"/>
      <c r="X5488" s="8"/>
      <c r="Y5488" s="8"/>
      <c r="Z5488" s="7"/>
      <c r="AA5488" s="7"/>
      <c r="AB5488" s="7"/>
    </row>
    <row r="5489" ht="15.75" customHeight="1">
      <c r="A5489" s="26">
        <f>IFERROR(__xludf.DUMMYFUNCTION("""COMPUTED_VALUE"""),8193.0)</f>
        <v>8193</v>
      </c>
      <c r="B5489" s="22" t="str">
        <f>IFERROR(__xludf.DUMMYFUNCTION("""COMPUTED_VALUE"""),"確定")</f>
        <v>確定</v>
      </c>
      <c r="C5489" s="28">
        <f>IFERROR(__xludf.DUMMYFUNCTION("""COMPUTED_VALUE"""),46182.0)</f>
        <v>46182</v>
      </c>
      <c r="D5489" s="28">
        <f>IFERROR(__xludf.DUMMYFUNCTION("""COMPUTED_VALUE"""),46198.0)</f>
        <v>46198</v>
      </c>
      <c r="E5489" s="26"/>
      <c r="F5489" s="22" t="str">
        <f>IFERROR(__xludf.DUMMYFUNCTION("""COMPUTED_VALUE"""),"作家刑事毒島 連載版")</f>
        <v>作家刑事毒島 連載版</v>
      </c>
      <c r="G5489" s="20" t="str">
        <f>IFERROR(__xludf.DUMMYFUNCTION("""COMPUTED_VALUE"""),"1~4")</f>
        <v>1~4</v>
      </c>
      <c r="H5489" s="22" t="str">
        <f>IFERROR(__xludf.DUMMYFUNCTION("""COMPUTED_VALUE"""),"尾方富生⊥中山七里")</f>
        <v>尾方富生⊥中山七里</v>
      </c>
      <c r="I5489" s="22" t="str">
        <f>IFERROR(__xludf.DUMMYFUNCTION("""COMPUTED_VALUE"""),"青年")</f>
        <v>青年</v>
      </c>
      <c r="J5489" s="22"/>
      <c r="K5489" s="22"/>
      <c r="L5489" s="22" t="str">
        <f>IFERROR(__xludf.DUMMYFUNCTION("""COMPUTED_VALUE"""),"ブシロードワークス")</f>
        <v>ブシロードワークス</v>
      </c>
      <c r="M5489" s="33">
        <f>IFERROR(__xludf.DUMMYFUNCTION("""COMPUTED_VALUE"""),46229.0)</f>
        <v>46229</v>
      </c>
      <c r="N5489" s="33">
        <f>IFERROR(__xludf.DUMMYFUNCTION("""COMPUTED_VALUE"""),46291.0)</f>
        <v>46291</v>
      </c>
      <c r="O5489" s="20"/>
      <c r="P5489" s="32" t="str">
        <f>IFERROR(__xludf.DUMMYFUNCTION("""COMPUTED_VALUE"""),"可")</f>
        <v>可</v>
      </c>
      <c r="Q5489" s="30" t="str">
        <f>IFERROR(__xludf.DUMMYFUNCTION("""COMPUTED_VALUE"""),"中山七里さん原作の同名小説のコミカライズになります&lt;BR&gt; 先行配信日は毎月第4日曜日となります。")</f>
        <v>中山七里さん原作の同名小説のコミカライズになります&lt;BR&gt; 先行配信日は毎月第4日曜日となります。</v>
      </c>
      <c r="R5489" s="22"/>
      <c r="S5489" s="22" t="str">
        <f>IFERROR(__xludf.DUMMYFUNCTION("""COMPUTED_VALUE"""),"20260623_ブシロードワークス_作家刑事毒島 連載版")</f>
        <v>20260623_ブシロードワークス_作家刑事毒島 連載版</v>
      </c>
      <c r="T5489" s="22" t="str">
        <f>IFERROR(__xludf.DUMMYFUNCTION("""COMPUTED_VALUE"""),"格納済み")</f>
        <v>格納済み</v>
      </c>
      <c r="U5489" s="9" t="str">
        <f>IFERROR(__xludf.DUMMYFUNCTION("""COMPUTED_VALUE"""),"ⒸTomio Ogata / BUSHIROAD WORKS ⒸShichiri Nakayama / Gentosha Inc.")</f>
        <v>ⒸTomio Ogata / BUSHIROAD WORKS ⒸShichiri Nakayama / Gentosha Inc.</v>
      </c>
      <c r="V5489" s="8"/>
      <c r="W5489" s="8"/>
      <c r="X5489" s="8"/>
      <c r="Y5489" s="8"/>
      <c r="Z5489" s="7"/>
      <c r="AA5489" s="7"/>
      <c r="AB5489" s="7"/>
    </row>
    <row r="5490" ht="15.75" customHeight="1">
      <c r="A5490" s="26">
        <f>IFERROR(__xludf.DUMMYFUNCTION("""COMPUTED_VALUE"""),8213.0)</f>
        <v>8213</v>
      </c>
      <c r="B5490" s="22" t="str">
        <f>IFERROR(__xludf.DUMMYFUNCTION("""COMPUTED_VALUE"""),"確定")</f>
        <v>確定</v>
      </c>
      <c r="C5490" s="28">
        <f>IFERROR(__xludf.DUMMYFUNCTION("""COMPUTED_VALUE"""),46184.0)</f>
        <v>46184</v>
      </c>
      <c r="D5490" s="28">
        <f>IFERROR(__xludf.DUMMYFUNCTION("""COMPUTED_VALUE"""),46198.0)</f>
        <v>46198</v>
      </c>
      <c r="E5490" s="26"/>
      <c r="F5490" s="22" t="str">
        <f>IFERROR(__xludf.DUMMYFUNCTION("""COMPUTED_VALUE"""),"幽霊山荘に閉じ込められてHしたら恋人が出来ました!?【分冊版】")</f>
        <v>幽霊山荘に閉じ込められてHしたら恋人が出来ました!?【分冊版】</v>
      </c>
      <c r="G5490" s="20" t="str">
        <f>IFERROR(__xludf.DUMMYFUNCTION("""COMPUTED_VALUE"""),"1~2")</f>
        <v>1~2</v>
      </c>
      <c r="H5490" s="22" t="str">
        <f>IFERROR(__xludf.DUMMYFUNCTION("""COMPUTED_VALUE"""),"桃山ヲレンジ")</f>
        <v>桃山ヲレンジ</v>
      </c>
      <c r="I5490" s="22" t="str">
        <f>IFERROR(__xludf.DUMMYFUNCTION("""COMPUTED_VALUE"""),"TL")</f>
        <v>TL</v>
      </c>
      <c r="J5490" s="22"/>
      <c r="K5490" s="22" t="str">
        <f>IFERROR(__xludf.DUMMYFUNCTION("""COMPUTED_VALUE"""),"ルネッタコミックス")</f>
        <v>ルネッタコミックス</v>
      </c>
      <c r="L5490" s="22" t="str">
        <f>IFERROR(__xludf.DUMMYFUNCTION("""COMPUTED_VALUE"""),"ハーパーコリンズ・ジャパン")</f>
        <v>ハーパーコリンズ・ジャパン</v>
      </c>
      <c r="M5490" s="33">
        <f>IFERROR(__xludf.DUMMYFUNCTION("""COMPUTED_VALUE"""),46227.0)</f>
        <v>46227</v>
      </c>
      <c r="N5490" s="33">
        <f>IFERROR(__xludf.DUMMYFUNCTION("""COMPUTED_VALUE"""),46317.0)</f>
        <v>46317</v>
      </c>
      <c r="O5490" s="20" t="str">
        <f>IFERROR(__xludf.DUMMYFUNCTION("""COMPUTED_VALUE"""),"【アダルト作品扱い】")</f>
        <v>【アダルト作品扱い】</v>
      </c>
      <c r="P5490" s="32" t="str">
        <f>IFERROR(__xludf.DUMMYFUNCTION("""COMPUTED_VALUE"""),"可")</f>
        <v>可</v>
      </c>
      <c r="Q5490" s="30" t="str">
        <f>IFERROR(__xludf.DUMMYFUNCTION("""COMPUTED_VALUE"""),"&lt;BR&gt;")</f>
        <v>&lt;BR&gt;</v>
      </c>
      <c r="R5490" s="22"/>
      <c r="S5490" s="22" t="str">
        <f>IFERROR(__xludf.DUMMYFUNCTION("""COMPUTED_VALUE"""),"20260623_ハーパーコリンズ・ジャパン_幽霊山荘に閉じ込められてHしたら恋人が出来ました!【分冊版】")</f>
        <v>20260623_ハーパーコリンズ・ジャパン_幽霊山荘に閉じ込められてHしたら恋人が出来ました!【分冊版】</v>
      </c>
      <c r="T5490" s="22" t="str">
        <f>IFERROR(__xludf.DUMMYFUNCTION("""COMPUTED_VALUE"""),"格納済み")</f>
        <v>格納済み</v>
      </c>
      <c r="U5490" s="9" t="str">
        <f>IFERROR(__xludf.DUMMYFUNCTION("""COMPUTED_VALUE"""),"（C) 桃山ヲレンジ・花李くる実／ハーパーコリンズ・ジャパン")</f>
        <v>（C) 桃山ヲレンジ・花李くる実／ハーパーコリンズ・ジャパン</v>
      </c>
      <c r="V5490" s="8"/>
      <c r="W5490" s="8"/>
      <c r="X5490" s="8"/>
      <c r="Y5490" s="8"/>
      <c r="Z5490" s="7"/>
      <c r="AA5490" s="7"/>
      <c r="AB5490" s="7"/>
    </row>
    <row r="5491" ht="15.75" customHeight="1">
      <c r="A5491" s="26">
        <f>IFERROR(__xludf.DUMMYFUNCTION("""COMPUTED_VALUE"""),8235.0)</f>
        <v>8235</v>
      </c>
      <c r="B5491" s="22" t="str">
        <f>IFERROR(__xludf.DUMMYFUNCTION("""COMPUTED_VALUE"""),"確定")</f>
        <v>確定</v>
      </c>
      <c r="C5491" s="28">
        <f>IFERROR(__xludf.DUMMYFUNCTION("""COMPUTED_VALUE"""),46188.0)</f>
        <v>46188</v>
      </c>
      <c r="D5491" s="28">
        <f>IFERROR(__xludf.DUMMYFUNCTION("""COMPUTED_VALUE"""),46204.0)</f>
        <v>46204</v>
      </c>
      <c r="E5491" s="26">
        <f>IFERROR(__xludf.DUMMYFUNCTION("""COMPUTED_VALUE"""),365763.0)</f>
        <v>365763</v>
      </c>
      <c r="F5491" s="22" t="str">
        <f>IFERROR(__xludf.DUMMYFUNCTION("""COMPUTED_VALUE"""),"エルフの花嫁は吸血鬼となった夫にとろけるように満たされる【R-18版】")</f>
        <v>エルフの花嫁は吸血鬼となった夫にとろけるように満たされる【R-18版】</v>
      </c>
      <c r="G5491" s="20" t="str">
        <f>IFERROR(__xludf.DUMMYFUNCTION("""COMPUTED_VALUE"""),"1~5")</f>
        <v>1~5</v>
      </c>
      <c r="H5491" s="22" t="str">
        <f>IFERROR(__xludf.DUMMYFUNCTION("""COMPUTED_VALUE"""),"薬師丸ぬらり")</f>
        <v>薬師丸ぬらり</v>
      </c>
      <c r="I5491" s="22" t="str">
        <f>IFERROR(__xludf.DUMMYFUNCTION("""COMPUTED_VALUE"""),"アダルト")</f>
        <v>アダルト</v>
      </c>
      <c r="J5491" s="22"/>
      <c r="K5491" s="22" t="str">
        <f>IFERROR(__xludf.DUMMYFUNCTION("""COMPUTED_VALUE"""),"Close Moon")</f>
        <v>Close Moon</v>
      </c>
      <c r="L5491" s="22" t="str">
        <f>IFERROR(__xludf.DUMMYFUNCTION("""COMPUTED_VALUE"""),"ナンバーナイン")</f>
        <v>ナンバーナイン</v>
      </c>
      <c r="M5491" s="33">
        <f>IFERROR(__xludf.DUMMYFUNCTION("""COMPUTED_VALUE"""),46220.0)</f>
        <v>46220</v>
      </c>
      <c r="N5491" s="33">
        <f>IFERROR(__xludf.DUMMYFUNCTION("""COMPUTED_VALUE"""),46281.0)</f>
        <v>46281</v>
      </c>
      <c r="O5491" s="20"/>
      <c r="P5491" s="32" t="str">
        <f>IFERROR(__xludf.DUMMYFUNCTION("""COMPUTED_VALUE"""),"可")</f>
        <v>可</v>
      </c>
      <c r="Q5491" s="30" t="str">
        <f>IFERROR(__xludf.DUMMYFUNCTION("""COMPUTED_VALUE"""),"配信日の後ろ倒し・先行期間交渉中のため先行期間が変更になる可能性があります。変更の場合は追ってご連絡差し上げます。&lt;BR&gt;がるまに")</f>
        <v>配信日の後ろ倒し・先行期間交渉中のため先行期間が変更になる可能性があります。変更の場合は追ってご連絡差し上げます。&lt;BR&gt;がるまに</v>
      </c>
      <c r="R5491" s="22"/>
      <c r="S5491" s="22" t="str">
        <f>IFERROR(__xludf.DUMMYFUNCTION("""COMPUTED_VALUE"""),"20260624_ ナンバーナイン_エルフの花嫁は吸血鬼となった夫にとろけるように満たされる【R-18版】")</f>
        <v>20260624_ ナンバーナイン_エルフの花嫁は吸血鬼となった夫にとろけるように満たされる【R-18版】</v>
      </c>
      <c r="T5491" s="22" t="str">
        <f>IFERROR(__xludf.DUMMYFUNCTION("""COMPUTED_VALUE"""),"格納済み")</f>
        <v>格納済み</v>
      </c>
      <c r="U5491" s="9" t="str">
        <f>IFERROR(__xludf.DUMMYFUNCTION("""COMPUTED_VALUE"""),"(C)薬師丸ぬらり／ナンバーナイン")</f>
        <v>(C)薬師丸ぬらり／ナンバーナイン</v>
      </c>
      <c r="V5491" s="8"/>
      <c r="W5491" s="8"/>
      <c r="X5491" s="8" t="str">
        <f>IFERROR(__xludf.DUMMYFUNCTION("""COMPUTED_VALUE"""),"有")</f>
        <v>有</v>
      </c>
      <c r="Y5491" s="8" t="str">
        <f>IFERROR(__xludf.DUMMYFUNCTION("""COMPUTED_VALUE"""),"1巻永久無料")</f>
        <v>1巻永久無料</v>
      </c>
      <c r="Z5491" s="7"/>
      <c r="AA5491" s="7"/>
      <c r="AB5491" s="7"/>
    </row>
    <row r="5492" ht="15.75" customHeight="1">
      <c r="A5492" s="26">
        <f>IFERROR(__xludf.DUMMYFUNCTION("""COMPUTED_VALUE"""),8236.0)</f>
        <v>8236</v>
      </c>
      <c r="B5492" s="22" t="str">
        <f>IFERROR(__xludf.DUMMYFUNCTION("""COMPUTED_VALUE"""),"確定")</f>
        <v>確定</v>
      </c>
      <c r="C5492" s="28">
        <f>IFERROR(__xludf.DUMMYFUNCTION("""COMPUTED_VALUE"""),46188.0)</f>
        <v>46188</v>
      </c>
      <c r="D5492" s="28">
        <f>IFERROR(__xludf.DUMMYFUNCTION("""COMPUTED_VALUE"""),46204.0)</f>
        <v>46204</v>
      </c>
      <c r="E5492" s="26" t="str">
        <f>IFERROR(__xludf.DUMMYFUNCTION("""COMPUTED_VALUE"""),"確認中")</f>
        <v>確認中</v>
      </c>
      <c r="F5492" s="22" t="str">
        <f>IFERROR(__xludf.DUMMYFUNCTION("""COMPUTED_VALUE"""),"私に内緒は通じません。～友人に婚約者を盗られましたが“仲人伯爵”に溺愛されてます！？ ～")</f>
        <v>私に内緒は通じません。～友人に婚約者を盗られましたが“仲人伯爵”に溺愛されてます！？ ～</v>
      </c>
      <c r="G5492" s="20" t="str">
        <f>IFERROR(__xludf.DUMMYFUNCTION("""COMPUTED_VALUE"""),"1~2")</f>
        <v>1~2</v>
      </c>
      <c r="H5492" s="22" t="str">
        <f>IFERROR(__xludf.DUMMYFUNCTION("""COMPUTED_VALUE"""),"甘愛ゆに┴伊賀海栗")</f>
        <v>甘愛ゆに┴伊賀海栗</v>
      </c>
      <c r="I5492" s="22" t="str">
        <f>IFERROR(__xludf.DUMMYFUNCTION("""COMPUTED_VALUE"""),"女性")</f>
        <v>女性</v>
      </c>
      <c r="J5492" s="22"/>
      <c r="K5492" s="22" t="str">
        <f>IFERROR(__xludf.DUMMYFUNCTION("""COMPUTED_VALUE"""),"コミックライドアイビー")</f>
        <v>コミックライドアイビー</v>
      </c>
      <c r="L5492" s="22" t="str">
        <f>IFERROR(__xludf.DUMMYFUNCTION("""COMPUTED_VALUE"""),"マイクロマガジン社")</f>
        <v>マイクロマガジン社</v>
      </c>
      <c r="M5492" s="33">
        <f>IFERROR(__xludf.DUMMYFUNCTION("""COMPUTED_VALUE"""),46224.0)</f>
        <v>46224</v>
      </c>
      <c r="N5492" s="33">
        <f>IFERROR(__xludf.DUMMYFUNCTION("""COMPUTED_VALUE"""),46285.0)</f>
        <v>46285</v>
      </c>
      <c r="O5492" s="20"/>
      <c r="P5492" s="32" t="str">
        <f>IFERROR(__xludf.DUMMYFUNCTION("""COMPUTED_VALUE"""),"可")</f>
        <v>可</v>
      </c>
      <c r="Q5492" s="30" t="str">
        <f>IFERROR(__xludf.DUMMYFUNCTION("""COMPUTED_VALUE"""),"配信日の後ろ倒し・先行期間交渉中のため先行期間が変更になる可能性があります。変更の場合は追ってご連絡差し上げます。&lt;BR&gt;")</f>
        <v>配信日の後ろ倒し・先行期間交渉中のため先行期間が変更になる可能性があります。変更の場合は追ってご連絡差し上げます。&lt;BR&gt;</v>
      </c>
      <c r="R5492" s="22"/>
      <c r="S5492" s="22" t="str">
        <f>IFERROR(__xludf.DUMMYFUNCTION("""COMPUTED_VALUE"""),"20260630_マイクロマガジン社_私に内緒は通じません。～友人に婚約者を盗られましたが“仲人伯爵”に溺愛されてます！？ ～")</f>
        <v>20260630_マイクロマガジン社_私に内緒は通じません。～友人に婚約者を盗られましたが“仲人伯爵”に溺愛されてます！？ ～</v>
      </c>
      <c r="T5492" s="22" t="str">
        <f>IFERROR(__xludf.DUMMYFUNCTION("""COMPUTED_VALUE"""),"格納済み")</f>
        <v>格納済み</v>
      </c>
      <c r="U5492" s="9" t="str">
        <f>IFERROR(__xludf.DUMMYFUNCTION("""COMPUTED_VALUE"""),"（C）甘愛ゆに （C）伊賀海栗 （C）マイクロマガジン社")</f>
        <v>（C）甘愛ゆに （C）伊賀海栗 （C）マイクロマガジン社</v>
      </c>
      <c r="V5492" s="8"/>
      <c r="W5492" s="8"/>
      <c r="X5492" s="8"/>
      <c r="Y5492" s="8"/>
      <c r="Z5492" s="7"/>
      <c r="AA5492" s="7"/>
      <c r="AB5492" s="7"/>
    </row>
    <row r="5493" ht="15.75" customHeight="1">
      <c r="A5493" s="26">
        <f>IFERROR(__xludf.DUMMYFUNCTION("""COMPUTED_VALUE"""),8269.0)</f>
        <v>8269</v>
      </c>
      <c r="B5493" s="22" t="str">
        <f>IFERROR(__xludf.DUMMYFUNCTION("""COMPUTED_VALUE"""),"確定")</f>
        <v>確定</v>
      </c>
      <c r="C5493" s="28">
        <f>IFERROR(__xludf.DUMMYFUNCTION("""COMPUTED_VALUE"""),46192.0)</f>
        <v>46192</v>
      </c>
      <c r="D5493" s="28">
        <f>IFERROR(__xludf.DUMMYFUNCTION("""COMPUTED_VALUE"""),46203.0)</f>
        <v>46203</v>
      </c>
      <c r="E5493" s="26"/>
      <c r="F5493" s="22" t="str">
        <f>IFERROR(__xludf.DUMMYFUNCTION("""COMPUTED_VALUE"""),"メロウサマースキン")</f>
        <v>メロウサマースキン</v>
      </c>
      <c r="G5493" s="20" t="str">
        <f>IFERROR(__xludf.DUMMYFUNCTION("""COMPUTED_VALUE"""),"1~3")</f>
        <v>1~3</v>
      </c>
      <c r="H5493" s="22" t="str">
        <f>IFERROR(__xludf.DUMMYFUNCTION("""COMPUTED_VALUE"""),"むだ")</f>
        <v>むだ</v>
      </c>
      <c r="I5493" s="22" t="str">
        <f>IFERROR(__xludf.DUMMYFUNCTION("""COMPUTED_VALUE"""),"BL")</f>
        <v>BL</v>
      </c>
      <c r="J5493" s="22"/>
      <c r="K5493" s="22" t="str">
        <f>IFERROR(__xludf.DUMMYFUNCTION("""COMPUTED_VALUE"""),"B.Pilz")</f>
        <v>B.Pilz</v>
      </c>
      <c r="L5493" s="22" t="str">
        <f>IFERROR(__xludf.DUMMYFUNCTION("""COMPUTED_VALUE"""),"ブライト出版")</f>
        <v>ブライト出版</v>
      </c>
      <c r="M5493" s="33">
        <f>IFERROR(__xludf.DUMMYFUNCTION("""COMPUTED_VALUE"""),46261.0)</f>
        <v>46261</v>
      </c>
      <c r="N5493" s="33">
        <f>IFERROR(__xludf.DUMMYFUNCTION("""COMPUTED_VALUE"""),46365.0)</f>
        <v>46365</v>
      </c>
      <c r="O5493" s="20" t="str">
        <f>IFERROR(__xludf.DUMMYFUNCTION("""COMPUTED_VALUE"""),"【アダルト作品扱い】")</f>
        <v>【アダルト作品扱い】</v>
      </c>
      <c r="P5493" s="32" t="str">
        <f>IFERROR(__xludf.DUMMYFUNCTION("""COMPUTED_VALUE"""),"可")</f>
        <v>可</v>
      </c>
      <c r="Q5493" s="30"/>
      <c r="R5493" s="22" t="str">
        <f>IFERROR(__xludf.DUMMYFUNCTION("""COMPUTED_VALUE"""),"コミットOK")</f>
        <v>コミットOK</v>
      </c>
      <c r="S5493" s="22" t="str">
        <f>IFERROR(__xludf.DUMMYFUNCTION("""COMPUTED_VALUE"""),"20260630_ブライト出版_メロウサマースキン")</f>
        <v>20260630_ブライト出版_メロウサマースキン</v>
      </c>
      <c r="T5493" s="22" t="str">
        <f>IFERROR(__xludf.DUMMYFUNCTION("""COMPUTED_VALUE"""),"格納済み")</f>
        <v>格納済み</v>
      </c>
      <c r="U5493" s="9" t="str">
        <f>IFERROR(__xludf.DUMMYFUNCTION("""COMPUTED_VALUE"""),"(C) むだ/ブライト出版")</f>
        <v>(C) むだ/ブライト出版</v>
      </c>
      <c r="V5493" s="8"/>
      <c r="W5493" s="8"/>
      <c r="X5493" s="8"/>
      <c r="Y5493" s="8"/>
      <c r="Z5493" s="7"/>
      <c r="AA5493" s="7"/>
      <c r="AB5493" s="7"/>
    </row>
    <row r="5494" ht="15.75" customHeight="1">
      <c r="A5494" s="26">
        <f>IFERROR(__xludf.DUMMYFUNCTION("""COMPUTED_VALUE"""),8274.0)</f>
        <v>8274</v>
      </c>
      <c r="B5494" s="22" t="str">
        <f>IFERROR(__xludf.DUMMYFUNCTION("""COMPUTED_VALUE"""),"確定")</f>
        <v>確定</v>
      </c>
      <c r="C5494" s="28">
        <f>IFERROR(__xludf.DUMMYFUNCTION("""COMPUTED_VALUE"""),46192.0)</f>
        <v>46192</v>
      </c>
      <c r="D5494" s="28">
        <f>IFERROR(__xludf.DUMMYFUNCTION("""COMPUTED_VALUE"""),46219.0)</f>
        <v>46219</v>
      </c>
      <c r="E5494" s="26"/>
      <c r="F5494" s="22" t="str">
        <f>IFERROR(__xludf.DUMMYFUNCTION("""COMPUTED_VALUE"""),"死亡エンドを回避したら、憧れの推しを闇堕ちさせちゃいました")</f>
        <v>死亡エンドを回避したら、憧れの推しを闇堕ちさせちゃいました</v>
      </c>
      <c r="G5494" s="20" t="str">
        <f>IFERROR(__xludf.DUMMYFUNCTION("""COMPUTED_VALUE"""),"1~5")</f>
        <v>1~5</v>
      </c>
      <c r="H5494" s="22" t="str">
        <f>IFERROR(__xludf.DUMMYFUNCTION("""COMPUTED_VALUE"""),"高梁たかし┴仙崎ひとみ┴ズレット編集部")</f>
        <v>高梁たかし┴仙崎ひとみ┴ズレット編集部</v>
      </c>
      <c r="I5494" s="22" t="str">
        <f>IFERROR(__xludf.DUMMYFUNCTION("""COMPUTED_VALUE"""),"TL")</f>
        <v>TL</v>
      </c>
      <c r="J5494" s="22"/>
      <c r="K5494" s="22" t="str">
        <f>IFERROR(__xludf.DUMMYFUNCTION("""COMPUTED_VALUE"""),"ズレット！")</f>
        <v>ズレット！</v>
      </c>
      <c r="L5494" s="22" t="str">
        <f>IFERROR(__xludf.DUMMYFUNCTION("""COMPUTED_VALUE"""),"ライブコミックス")</f>
        <v>ライブコミックス</v>
      </c>
      <c r="M5494" s="33">
        <f>IFERROR(__xludf.DUMMYFUNCTION("""COMPUTED_VALUE"""),46241.0)</f>
        <v>46241</v>
      </c>
      <c r="N5494" s="33">
        <f>IFERROR(__xludf.DUMMYFUNCTION("""COMPUTED_VALUE"""),46296.0)</f>
        <v>46296</v>
      </c>
      <c r="O5494" s="20" t="str">
        <f>IFERROR(__xludf.DUMMYFUNCTION("""COMPUTED_VALUE"""),"【アダルト作品扱い】")</f>
        <v>【アダルト作品扱い】</v>
      </c>
      <c r="P5494" s="32" t="str">
        <f>IFERROR(__xludf.DUMMYFUNCTION("""COMPUTED_VALUE"""),"可")</f>
        <v>可</v>
      </c>
      <c r="Q5494" s="30" t="str">
        <f>IFERROR(__xludf.DUMMYFUNCTION("""COMPUTED_VALUE"""),"・書店BookLiveとシーモアでの同時先行配信")</f>
        <v>・書店BookLiveとシーモアでの同時先行配信</v>
      </c>
      <c r="R5494" s="22"/>
      <c r="S5494" s="22" t="str">
        <f>IFERROR(__xludf.DUMMYFUNCTION("""COMPUTED_VALUE"""),"20260609_BookLive_死亡エンドを回避したら、憧れの推しを闇落ちさせちゃいました")</f>
        <v>20260609_BookLive_死亡エンドを回避したら、憧れの推しを闇落ちさせちゃいました</v>
      </c>
      <c r="T5494" s="22" t="str">
        <f>IFERROR(__xludf.DUMMYFUNCTION("""COMPUTED_VALUE"""),"格納済み")</f>
        <v>格納済み</v>
      </c>
      <c r="U5494" s="9" t="str">
        <f>IFERROR(__xludf.DUMMYFUNCTION("""COMPUTED_VALUE"""),"(C)高梁たかし・仙崎ひとみ/ライブコミックス")</f>
        <v>(C)高梁たかし・仙崎ひとみ/ライブコミックス</v>
      </c>
      <c r="V5494" s="8"/>
      <c r="W5494" s="8"/>
      <c r="X5494" s="8"/>
      <c r="Y5494" s="8"/>
      <c r="Z5494" s="7"/>
      <c r="AA5494" s="7"/>
      <c r="AB5494" s="7"/>
    </row>
    <row r="5495" ht="15.75" customHeight="1">
      <c r="A5495" s="26">
        <f>IFERROR(__xludf.DUMMYFUNCTION("""COMPUTED_VALUE"""),8277.0)</f>
        <v>8277</v>
      </c>
      <c r="B5495" s="22" t="str">
        <f>IFERROR(__xludf.DUMMYFUNCTION("""COMPUTED_VALUE"""),"確定")</f>
        <v>確定</v>
      </c>
      <c r="C5495" s="28">
        <f>IFERROR(__xludf.DUMMYFUNCTION("""COMPUTED_VALUE"""),46192.0)</f>
        <v>46192</v>
      </c>
      <c r="D5495" s="28">
        <f>IFERROR(__xludf.DUMMYFUNCTION("""COMPUTED_VALUE"""),46204.0)</f>
        <v>46204</v>
      </c>
      <c r="E5495" s="26"/>
      <c r="F5495" s="22" t="str">
        <f>IFERROR(__xludf.DUMMYFUNCTION("""COMPUTED_VALUE"""),"その愛玩人形、私ですか！？ こじらせ天才魔術師様の一途でみだらな超溺愛")</f>
        <v>その愛玩人形、私ですか！？ こじらせ天才魔術師様の一途でみだらな超溺愛</v>
      </c>
      <c r="G5495" s="20" t="str">
        <f>IFERROR(__xludf.DUMMYFUNCTION("""COMPUTED_VALUE"""),"1~3")</f>
        <v>1~3</v>
      </c>
      <c r="H5495" s="22" t="str">
        <f>IFERROR(__xludf.DUMMYFUNCTION("""COMPUTED_VALUE"""),"著者：渋谷百音子　原作：真波トウカ")</f>
        <v>著者：渋谷百音子　原作：真波トウカ</v>
      </c>
      <c r="I5495" s="22" t="str">
        <f>IFERROR(__xludf.DUMMYFUNCTION("""COMPUTED_VALUE"""),"女性")</f>
        <v>女性</v>
      </c>
      <c r="J5495" s="22"/>
      <c r="K5495" s="22" t="str">
        <f>IFERROR(__xludf.DUMMYFUNCTION("""COMPUTED_VALUE"""),"オパールCOMICS kiss")</f>
        <v>オパールCOMICS kiss</v>
      </c>
      <c r="L5495" s="22" t="str">
        <f>IFERROR(__xludf.DUMMYFUNCTION("""COMPUTED_VALUE"""),"プランタン出版")</f>
        <v>プランタン出版</v>
      </c>
      <c r="M5495" s="33">
        <f>IFERROR(__xludf.DUMMYFUNCTION("""COMPUTED_VALUE"""),46241.0)</f>
        <v>46241</v>
      </c>
      <c r="N5495" s="33">
        <f>IFERROR(__xludf.DUMMYFUNCTION("""COMPUTED_VALUE"""),46331.0)</f>
        <v>46331</v>
      </c>
      <c r="O5495" s="20"/>
      <c r="P5495" s="32" t="str">
        <f>IFERROR(__xludf.DUMMYFUNCTION("""COMPUTED_VALUE"""),"可")</f>
        <v>可</v>
      </c>
      <c r="Q5495" s="30"/>
      <c r="R5495" s="22" t="str">
        <f>IFERROR(__xludf.DUMMYFUNCTION("""COMPUTED_VALUE"""),"コミットOK")</f>
        <v>コミットOK</v>
      </c>
      <c r="S5495" s="22" t="str">
        <f>IFERROR(__xludf.DUMMYFUNCTION("""COMPUTED_VALUE"""),"20260629_フランス書院_その愛玩人形、私ですか！？ こじらせ天才魔術師様の一途でみだらな超溺愛")</f>
        <v>20260629_フランス書院_その愛玩人形、私ですか！？ こじらせ天才魔術師様の一途でみだらな超溺愛</v>
      </c>
      <c r="T5495" s="22" t="str">
        <f>IFERROR(__xludf.DUMMYFUNCTION("""COMPUTED_VALUE"""),"格納済み")</f>
        <v>格納済み</v>
      </c>
      <c r="U5495" s="9" t="str">
        <f>IFERROR(__xludf.DUMMYFUNCTION("""COMPUTED_VALUE"""),"(C)渋谷百音子/真波トウカ/プランタン出版")</f>
        <v>(C)渋谷百音子/真波トウカ/プランタン出版</v>
      </c>
      <c r="V5495" s="8"/>
      <c r="W5495" s="8"/>
      <c r="X5495" s="8"/>
      <c r="Y5495" s="8"/>
      <c r="Z5495" s="7"/>
      <c r="AA5495" s="7"/>
      <c r="AB5495" s="7"/>
    </row>
    <row r="5496" ht="15.75" customHeight="1">
      <c r="A5496" s="26">
        <f>IFERROR(__xludf.DUMMYFUNCTION("""COMPUTED_VALUE"""),8278.0)</f>
        <v>8278</v>
      </c>
      <c r="B5496" s="22" t="str">
        <f>IFERROR(__xludf.DUMMYFUNCTION("""COMPUTED_VALUE"""),"確定")</f>
        <v>確定</v>
      </c>
      <c r="C5496" s="28">
        <f>IFERROR(__xludf.DUMMYFUNCTION("""COMPUTED_VALUE"""),46192.0)</f>
        <v>46192</v>
      </c>
      <c r="D5496" s="28">
        <f>IFERROR(__xludf.DUMMYFUNCTION("""COMPUTED_VALUE"""),46204.0)</f>
        <v>46204</v>
      </c>
      <c r="E5496" s="26"/>
      <c r="F5496" s="22" t="str">
        <f>IFERROR(__xludf.DUMMYFUNCTION("""COMPUTED_VALUE"""),"やんちゃな貴公子を立派な旦那様に調教しなければなりません!?")</f>
        <v>やんちゃな貴公子を立派な旦那様に調教しなければなりません!?</v>
      </c>
      <c r="G5496" s="20" t="str">
        <f>IFERROR(__xludf.DUMMYFUNCTION("""COMPUTED_VALUE"""),"1~3")</f>
        <v>1~3</v>
      </c>
      <c r="H5496" s="22" t="str">
        <f>IFERROR(__xludf.DUMMYFUNCTION("""COMPUTED_VALUE"""),"著者：逸見いつみ　原作：悠月彩香")</f>
        <v>著者：逸見いつみ　原作：悠月彩香</v>
      </c>
      <c r="I5496" s="22" t="str">
        <f>IFERROR(__xludf.DUMMYFUNCTION("""COMPUTED_VALUE"""),"女性")</f>
        <v>女性</v>
      </c>
      <c r="J5496" s="22"/>
      <c r="K5496" s="22" t="str">
        <f>IFERROR(__xludf.DUMMYFUNCTION("""COMPUTED_VALUE"""),"オパールCOMICS kiss")</f>
        <v>オパールCOMICS kiss</v>
      </c>
      <c r="L5496" s="22" t="str">
        <f>IFERROR(__xludf.DUMMYFUNCTION("""COMPUTED_VALUE"""),"プランタン出版")</f>
        <v>プランタン出版</v>
      </c>
      <c r="M5496" s="33">
        <f>IFERROR(__xludf.DUMMYFUNCTION("""COMPUTED_VALUE"""),46255.0)</f>
        <v>46255</v>
      </c>
      <c r="N5496" s="33">
        <f>IFERROR(__xludf.DUMMYFUNCTION("""COMPUTED_VALUE"""),46345.0)</f>
        <v>46345</v>
      </c>
      <c r="O5496" s="20"/>
      <c r="P5496" s="32" t="str">
        <f>IFERROR(__xludf.DUMMYFUNCTION("""COMPUTED_VALUE"""),"可")</f>
        <v>可</v>
      </c>
      <c r="Q5496" s="30"/>
      <c r="R5496" s="22"/>
      <c r="S5496" s="22" t="str">
        <f>IFERROR(__xludf.DUMMYFUNCTION("""COMPUTED_VALUE"""),"20260630_フランス書院_やんちゃな貴公子を立派な旦那様に調教しなければなりません!？")</f>
        <v>20260630_フランス書院_やんちゃな貴公子を立派な旦那様に調教しなければなりません!？</v>
      </c>
      <c r="T5496" s="22" t="str">
        <f>IFERROR(__xludf.DUMMYFUNCTION("""COMPUTED_VALUE"""),"格納済み")</f>
        <v>格納済み</v>
      </c>
      <c r="U5496" s="9" t="str">
        <f>IFERROR(__xludf.DUMMYFUNCTION("""COMPUTED_VALUE"""),"(C)逸見いつみ/悠月彩香/プランタン出版")</f>
        <v>(C)逸見いつみ/悠月彩香/プランタン出版</v>
      </c>
      <c r="V5496" s="8"/>
      <c r="W5496" s="8"/>
      <c r="X5496" s="8"/>
      <c r="Y5496" s="8"/>
      <c r="Z5496" s="7"/>
      <c r="AA5496" s="7"/>
      <c r="AB5496" s="7"/>
    </row>
    <row r="5497" ht="15.75" customHeight="1">
      <c r="A5497" s="26">
        <f>IFERROR(__xludf.DUMMYFUNCTION("""COMPUTED_VALUE"""),8279.0)</f>
        <v>8279</v>
      </c>
      <c r="B5497" s="22" t="str">
        <f>IFERROR(__xludf.DUMMYFUNCTION("""COMPUTED_VALUE"""),"確定")</f>
        <v>確定</v>
      </c>
      <c r="C5497" s="28">
        <f>IFERROR(__xludf.DUMMYFUNCTION("""COMPUTED_VALUE"""),46192.0)</f>
        <v>46192</v>
      </c>
      <c r="D5497" s="28">
        <f>IFERROR(__xludf.DUMMYFUNCTION("""COMPUTED_VALUE"""),46203.0)</f>
        <v>46203</v>
      </c>
      <c r="E5497" s="26"/>
      <c r="F5497" s="22" t="str">
        <f>IFERROR(__xludf.DUMMYFUNCTION("""COMPUTED_VALUE"""),"君がシンデレラだと気づくまで～恋を知らない御曹司と秘密の契約婚～")</f>
        <v>君がシンデレラだと気づくまで～恋を知らない御曹司と秘密の契約婚～</v>
      </c>
      <c r="G5497" s="20" t="str">
        <f>IFERROR(__xludf.DUMMYFUNCTION("""COMPUTED_VALUE"""),"1~4")</f>
        <v>1~4</v>
      </c>
      <c r="H5497" s="22" t="str">
        <f>IFERROR(__xludf.DUMMYFUNCTION("""COMPUTED_VALUE"""),"かりやど正")</f>
        <v>かりやど正</v>
      </c>
      <c r="I5497" s="22" t="str">
        <f>IFERROR(__xludf.DUMMYFUNCTION("""COMPUTED_VALUE"""),"女性")</f>
        <v>女性</v>
      </c>
      <c r="J5497" s="22"/>
      <c r="K5497" s="22" t="str">
        <f>IFERROR(__xludf.DUMMYFUNCTION("""COMPUTED_VALUE"""),"comic soda")</f>
        <v>comic soda</v>
      </c>
      <c r="L5497" s="22" t="str">
        <f>IFERROR(__xludf.DUMMYFUNCTION("""COMPUTED_VALUE"""),"アイプロダクション")</f>
        <v>アイプロダクション</v>
      </c>
      <c r="M5497" s="33">
        <f>IFERROR(__xludf.DUMMYFUNCTION("""COMPUTED_VALUE"""),46235.0)</f>
        <v>46235</v>
      </c>
      <c r="N5497" s="33">
        <f>IFERROR(__xludf.DUMMYFUNCTION("""COMPUTED_VALUE"""),46295.0)</f>
        <v>46295</v>
      </c>
      <c r="O5497" s="20"/>
      <c r="P5497" s="32" t="str">
        <f>IFERROR(__xludf.DUMMYFUNCTION("""COMPUTED_VALUE"""),"可")</f>
        <v>可</v>
      </c>
      <c r="Q5497" s="30"/>
      <c r="R5497" s="22"/>
      <c r="S5497" s="22" t="str">
        <f>IFERROR(__xludf.DUMMYFUNCTION("""COMPUTED_VALUE"""),"20260630_アイプロダクション_君がシンデレラだと気づくまで～恋を知らない御曹司と秘密の契約婚～")</f>
        <v>20260630_アイプロダクション_君がシンデレラだと気づくまで～恋を知らない御曹司と秘密の契約婚～</v>
      </c>
      <c r="T5497" s="22" t="str">
        <f>IFERROR(__xludf.DUMMYFUNCTION("""COMPUTED_VALUE"""),"格納済み")</f>
        <v>格納済み</v>
      </c>
      <c r="U5497" s="9" t="str">
        <f>IFERROR(__xludf.DUMMYFUNCTION("""COMPUTED_VALUE"""),"Ⓒかりやど正/アイプロダクション")</f>
        <v>Ⓒかりやど正/アイプロダクション</v>
      </c>
      <c r="V5497" s="8"/>
      <c r="W5497" s="8"/>
      <c r="X5497" s="8"/>
      <c r="Y5497" s="8"/>
      <c r="Z5497" s="7"/>
      <c r="AA5497" s="7"/>
      <c r="AB5497" s="7"/>
    </row>
    <row r="5498" ht="15.75" customHeight="1">
      <c r="A5498" s="26">
        <f>IFERROR(__xludf.DUMMYFUNCTION("""COMPUTED_VALUE"""),8286.0)</f>
        <v>8286</v>
      </c>
      <c r="B5498" s="22" t="str">
        <f>IFERROR(__xludf.DUMMYFUNCTION("""COMPUTED_VALUE"""),"確定")</f>
        <v>確定</v>
      </c>
      <c r="C5498" s="28">
        <f>IFERROR(__xludf.DUMMYFUNCTION("""COMPUTED_VALUE"""),46195.0)</f>
        <v>46195</v>
      </c>
      <c r="D5498" s="28">
        <f>IFERROR(__xludf.DUMMYFUNCTION("""COMPUTED_VALUE"""),46204.0)</f>
        <v>46204</v>
      </c>
      <c r="E5498" s="26"/>
      <c r="F5498" s="22" t="str">
        <f>IFERROR(__xludf.DUMMYFUNCTION("""COMPUTED_VALUE"""),"俺のヤバすぎる幼馴染")</f>
        <v>俺のヤバすぎる幼馴染</v>
      </c>
      <c r="G5498" s="20" t="str">
        <f>IFERROR(__xludf.DUMMYFUNCTION("""COMPUTED_VALUE"""),"1~2")</f>
        <v>1~2</v>
      </c>
      <c r="H5498" s="22" t="str">
        <f>IFERROR(__xludf.DUMMYFUNCTION("""COMPUTED_VALUE"""),"うそぢ┴アスティル編集部")</f>
        <v>うそぢ┴アスティル編集部</v>
      </c>
      <c r="I5498" s="22" t="str">
        <f>IFERROR(__xludf.DUMMYFUNCTION("""COMPUTED_VALUE"""),"BL")</f>
        <v>BL</v>
      </c>
      <c r="J5498" s="22"/>
      <c r="K5498" s="22" t="str">
        <f>IFERROR(__xludf.DUMMYFUNCTION("""COMPUTED_VALUE"""),"COMICアスティル")</f>
        <v>COMICアスティル</v>
      </c>
      <c r="L5498" s="22" t="str">
        <f>IFERROR(__xludf.DUMMYFUNCTION("""COMPUTED_VALUE"""),"ライブコミックス")</f>
        <v>ライブコミックス</v>
      </c>
      <c r="M5498" s="33">
        <f>IFERROR(__xludf.DUMMYFUNCTION("""COMPUTED_VALUE"""),46239.0)</f>
        <v>46239</v>
      </c>
      <c r="N5498" s="33">
        <f>IFERROR(__xludf.DUMMYFUNCTION("""COMPUTED_VALUE"""),46343.0)</f>
        <v>46343</v>
      </c>
      <c r="O5498" s="20"/>
      <c r="P5498" s="32" t="str">
        <f>IFERROR(__xludf.DUMMYFUNCTION("""COMPUTED_VALUE"""),"可")</f>
        <v>可</v>
      </c>
      <c r="Q5498" s="30" t="str">
        <f>IFERROR(__xludf.DUMMYFUNCTION("""COMPUTED_VALUE"""),"・書店BookLiveと同時先行配信です&lt;BR&gt;・参考として10月7日配信の3巻目も格納しております&lt;BR&gt;・Xで人気な作家先生です &lt;BR&gt;（シリーズの1投稿目）https://x.com/usodi_BL/status/1807774842583990645 &lt;BR&gt;（シリーズの最新投稿）https://x.com/usodi_bl/status/2006005691266551915")</f>
        <v>・書店BookLiveと同時先行配信です&lt;BR&gt;・参考として10月7日配信の3巻目も格納しております&lt;BR&gt;・Xで人気な作家先生です &lt;BR&gt;（シリーズの1投稿目）https://x.com/usodi_BL/status/1807774842583990645 &lt;BR&gt;（シリーズの最新投稿）https://x.com/usodi_bl/status/2006005691266551915</v>
      </c>
      <c r="R5498" s="22"/>
      <c r="S5498" s="22" t="str">
        <f>IFERROR(__xludf.DUMMYFUNCTION("""COMPUTED_VALUE"""),"20260629_BookLive_俺のヤバすぎる幼馴染")</f>
        <v>20260629_BookLive_俺のヤバすぎる幼馴染</v>
      </c>
      <c r="T5498" s="22" t="str">
        <f>IFERROR(__xludf.DUMMYFUNCTION("""COMPUTED_VALUE"""),"格納済み")</f>
        <v>格納済み</v>
      </c>
      <c r="U5498" s="9" t="str">
        <f>IFERROR(__xludf.DUMMYFUNCTION("""COMPUTED_VALUE"""),"(C)うそぢ/ライブコミックス")</f>
        <v>(C)うそぢ/ライブコミックス</v>
      </c>
      <c r="V5498" s="8"/>
      <c r="W5498" s="8"/>
      <c r="X5498" s="8"/>
      <c r="Y5498" s="8"/>
      <c r="Z5498" s="7"/>
      <c r="AA5498" s="7"/>
      <c r="AB5498" s="7"/>
    </row>
    <row r="5499" ht="15.75" customHeight="1">
      <c r="A5499" s="26">
        <f>IFERROR(__xludf.DUMMYFUNCTION("""COMPUTED_VALUE"""),8288.0)</f>
        <v>8288</v>
      </c>
      <c r="B5499" s="22" t="str">
        <f>IFERROR(__xludf.DUMMYFUNCTION("""COMPUTED_VALUE"""),"確定")</f>
        <v>確定</v>
      </c>
      <c r="C5499" s="28">
        <f>IFERROR(__xludf.DUMMYFUNCTION("""COMPUTED_VALUE"""),46197.0)</f>
        <v>46197</v>
      </c>
      <c r="D5499" s="28">
        <f>IFERROR(__xludf.DUMMYFUNCTION("""COMPUTED_VALUE"""),46204.0)</f>
        <v>46204</v>
      </c>
      <c r="E5499" s="26"/>
      <c r="F5499" s="22" t="str">
        <f>IFERROR(__xludf.DUMMYFUNCTION("""COMPUTED_VALUE"""),"秘密をむすんで、カラダはほどいて。〜ウブな橘さんは隠れ溺愛なウソ彼氏に満たされ尽くす～")</f>
        <v>秘密をむすんで、カラダはほどいて。〜ウブな橘さんは隠れ溺愛なウソ彼氏に満たされ尽くす～</v>
      </c>
      <c r="G5499" s="20" t="str">
        <f>IFERROR(__xludf.DUMMYFUNCTION("""COMPUTED_VALUE"""),"1~2")</f>
        <v>1~2</v>
      </c>
      <c r="H5499" s="22" t="str">
        <f>IFERROR(__xludf.DUMMYFUNCTION("""COMPUTED_VALUE"""),"筒井あまかず")</f>
        <v>筒井あまかず</v>
      </c>
      <c r="I5499" s="22" t="str">
        <f>IFERROR(__xludf.DUMMYFUNCTION("""COMPUTED_VALUE"""),"TL")</f>
        <v>TL</v>
      </c>
      <c r="J5499" s="22"/>
      <c r="K5499" s="22" t="str">
        <f>IFERROR(__xludf.DUMMYFUNCTION("""COMPUTED_VALUE"""),"LOVE FLICK")</f>
        <v>LOVE FLICK</v>
      </c>
      <c r="L5499" s="22" t="str">
        <f>IFERROR(__xludf.DUMMYFUNCTION("""COMPUTED_VALUE"""),"CLLENN")</f>
        <v>CLLENN</v>
      </c>
      <c r="M5499" s="33">
        <f>IFERROR(__xludf.DUMMYFUNCTION("""COMPUTED_VALUE"""),46253.0)</f>
        <v>46253</v>
      </c>
      <c r="N5499" s="33">
        <f>IFERROR(__xludf.DUMMYFUNCTION("""COMPUTED_VALUE"""),46315.0)</f>
        <v>46315</v>
      </c>
      <c r="O5499" s="20"/>
      <c r="P5499" s="32" t="str">
        <f>IFERROR(__xludf.DUMMYFUNCTION("""COMPUTED_VALUE"""),"可")</f>
        <v>可</v>
      </c>
      <c r="Q5499" s="30"/>
      <c r="R5499" s="22"/>
      <c r="S5499" s="22" t="str">
        <f>IFERROR(__xludf.DUMMYFUNCTION("""COMPUTED_VALUE"""),"20260624_CLLENN_秘密をむすんで、カラダはほどいて。〜ウブな橘さんは隠れ溺愛なウソ彼氏に満たされ尽くす～")</f>
        <v>20260624_CLLENN_秘密をむすんで、カラダはほどいて。〜ウブな橘さんは隠れ溺愛なウソ彼氏に満たされ尽くす～</v>
      </c>
      <c r="T5499" s="22" t="str">
        <f>IFERROR(__xludf.DUMMYFUNCTION("""COMPUTED_VALUE"""),"格納済み")</f>
        <v>格納済み</v>
      </c>
      <c r="U5499" s="9" t="str">
        <f>IFERROR(__xludf.DUMMYFUNCTION("""COMPUTED_VALUE"""),"Ⓒ筒井あまかず/CLLENN")</f>
        <v>Ⓒ筒井あまかず/CLLENN</v>
      </c>
      <c r="V5499" s="8"/>
      <c r="W5499" s="8"/>
      <c r="X5499" s="8"/>
      <c r="Y5499" s="8"/>
      <c r="Z5499" s="7"/>
      <c r="AA5499" s="7"/>
      <c r="AB5499" s="7"/>
    </row>
    <row r="5500" ht="15.75" customHeight="1">
      <c r="A5500" s="26">
        <f>IFERROR(__xludf.DUMMYFUNCTION("""COMPUTED_VALUE"""),8289.0)</f>
        <v>8289</v>
      </c>
      <c r="B5500" s="22" t="str">
        <f>IFERROR(__xludf.DUMMYFUNCTION("""COMPUTED_VALUE"""),"確定")</f>
        <v>確定</v>
      </c>
      <c r="C5500" s="28">
        <f>IFERROR(__xludf.DUMMYFUNCTION("""COMPUTED_VALUE"""),46197.0)</f>
        <v>46197</v>
      </c>
      <c r="D5500" s="28">
        <f>IFERROR(__xludf.DUMMYFUNCTION("""COMPUTED_VALUE"""),46198.0)</f>
        <v>46198</v>
      </c>
      <c r="E5500" s="26"/>
      <c r="F5500" s="22" t="str">
        <f>IFERROR(__xludf.DUMMYFUNCTION("""COMPUTED_VALUE"""),"しるお")</f>
        <v>しるお</v>
      </c>
      <c r="G5500" s="20" t="str">
        <f>IFERROR(__xludf.DUMMYFUNCTION("""COMPUTED_VALUE"""),"1~3")</f>
        <v>1~3</v>
      </c>
      <c r="H5500" s="22" t="str">
        <f>IFERROR(__xludf.DUMMYFUNCTION("""COMPUTED_VALUE"""),"ななっしー")</f>
        <v>ななっしー</v>
      </c>
      <c r="I5500" s="22" t="str">
        <f>IFERROR(__xludf.DUMMYFUNCTION("""COMPUTED_VALUE"""),"アダルト")</f>
        <v>アダルト</v>
      </c>
      <c r="J5500" s="22"/>
      <c r="K5500" s="22"/>
      <c r="L5500" s="22" t="str">
        <f>IFERROR(__xludf.DUMMYFUNCTION("""COMPUTED_VALUE"""),"セ・キララ文庫")</f>
        <v>セ・キララ文庫</v>
      </c>
      <c r="M5500" s="33">
        <f>IFERROR(__xludf.DUMMYFUNCTION("""COMPUTED_VALUE"""),46244.0)</f>
        <v>46244</v>
      </c>
      <c r="N5500" s="33">
        <f>IFERROR(__xludf.DUMMYFUNCTION("""COMPUTED_VALUE"""),46305.0)</f>
        <v>46305</v>
      </c>
      <c r="O5500" s="20"/>
      <c r="P5500" s="32" t="str">
        <f>IFERROR(__xludf.DUMMYFUNCTION("""COMPUTED_VALUE"""),"可")</f>
        <v>可</v>
      </c>
      <c r="Q5500" s="30"/>
      <c r="R5500" s="22"/>
      <c r="S5500" s="22" t="str">
        <f>IFERROR(__xludf.DUMMYFUNCTION("""COMPUTED_VALUE"""),"20260609_ライドオン_しるお")</f>
        <v>20260609_ライドオン_しるお</v>
      </c>
      <c r="T5500" s="22" t="str">
        <f>IFERROR(__xludf.DUMMYFUNCTION("""COMPUTED_VALUE"""),"格納済み")</f>
        <v>格納済み</v>
      </c>
      <c r="U5500" s="9" t="str">
        <f>IFERROR(__xludf.DUMMYFUNCTION("""COMPUTED_VALUE"""),"Ⓒななっしー/セ・キララ文庫")</f>
        <v>Ⓒななっしー/セ・キララ文庫</v>
      </c>
      <c r="V5500" s="8"/>
      <c r="W5500" s="8"/>
      <c r="X5500" s="8"/>
      <c r="Y5500" s="8"/>
      <c r="Z5500" s="7"/>
      <c r="AA5500" s="7"/>
      <c r="AB5500" s="7"/>
    </row>
    <row r="5501" ht="15.75" customHeight="1">
      <c r="A5501" s="26">
        <f>IFERROR(__xludf.DUMMYFUNCTION("""COMPUTED_VALUE"""),8290.0)</f>
        <v>8290</v>
      </c>
      <c r="B5501" s="22" t="str">
        <f>IFERROR(__xludf.DUMMYFUNCTION("""COMPUTED_VALUE"""),"確定")</f>
        <v>確定</v>
      </c>
      <c r="C5501" s="28">
        <f>IFERROR(__xludf.DUMMYFUNCTION("""COMPUTED_VALUE"""),46197.0)</f>
        <v>46197</v>
      </c>
      <c r="D5501" s="28">
        <f>IFERROR(__xludf.DUMMYFUNCTION("""COMPUTED_VALUE"""),46198.0)</f>
        <v>46198</v>
      </c>
      <c r="E5501" s="26"/>
      <c r="F5501" s="22" t="str">
        <f>IFERROR(__xludf.DUMMYFUNCTION("""COMPUTED_VALUE"""),"アイブカ！（仮）【分冊版】")</f>
        <v>アイブカ！（仮）【分冊版】</v>
      </c>
      <c r="G5501" s="20" t="str">
        <f>IFERROR(__xludf.DUMMYFUNCTION("""COMPUTED_VALUE"""),"1~4")</f>
        <v>1~4</v>
      </c>
      <c r="H5501" s="22" t="str">
        <f>IFERROR(__xludf.DUMMYFUNCTION("""COMPUTED_VALUE"""),"師走の翁")</f>
        <v>師走の翁</v>
      </c>
      <c r="I5501" s="22" t="str">
        <f>IFERROR(__xludf.DUMMYFUNCTION("""COMPUTED_VALUE"""),"アダルト")</f>
        <v>アダルト</v>
      </c>
      <c r="J5501" s="22"/>
      <c r="K5501" s="22"/>
      <c r="L5501" s="22" t="str">
        <f>IFERROR(__xludf.DUMMYFUNCTION("""COMPUTED_VALUE"""),"セ・キララ文庫")</f>
        <v>セ・キララ文庫</v>
      </c>
      <c r="M5501" s="33">
        <f>IFERROR(__xludf.DUMMYFUNCTION("""COMPUTED_VALUE"""),46244.0)</f>
        <v>46244</v>
      </c>
      <c r="N5501" s="33">
        <f>IFERROR(__xludf.DUMMYFUNCTION("""COMPUTED_VALUE"""),46305.0)</f>
        <v>46305</v>
      </c>
      <c r="O5501" s="20"/>
      <c r="P5501" s="32" t="str">
        <f>IFERROR(__xludf.DUMMYFUNCTION("""COMPUTED_VALUE"""),"可")</f>
        <v>可</v>
      </c>
      <c r="Q5501" s="30" t="str">
        <f>IFERROR(__xludf.DUMMYFUNCTION("""COMPUTED_VALUE"""),"※幼く見えるようなクリエイティブの制作はNGです※")</f>
        <v>※幼く見えるようなクリエイティブの制作はNGです※</v>
      </c>
      <c r="R5501" s="22"/>
      <c r="S5501" s="22" t="str">
        <f>IFERROR(__xludf.DUMMYFUNCTION("""COMPUTED_VALUE"""),"20260609_ライドオン_アイブカ！")</f>
        <v>20260609_ライドオン_アイブカ！</v>
      </c>
      <c r="T5501" s="22" t="str">
        <f>IFERROR(__xludf.DUMMYFUNCTION("""COMPUTED_VALUE"""),"格納済み")</f>
        <v>格納済み</v>
      </c>
      <c r="U5501" s="9" t="str">
        <f>IFERROR(__xludf.DUMMYFUNCTION("""COMPUTED_VALUE"""),"Ⓒ師走の翁/ヒット出版社/セ・キララ文庫")</f>
        <v>Ⓒ師走の翁/ヒット出版社/セ・キララ文庫</v>
      </c>
      <c r="V5501" s="8"/>
      <c r="W5501" s="8"/>
      <c r="X5501" s="8"/>
      <c r="Y5501" s="8"/>
      <c r="Z5501" s="7"/>
      <c r="AA5501" s="7"/>
      <c r="AB5501" s="7"/>
    </row>
    <row r="5502" ht="15.75" customHeight="1">
      <c r="A5502" s="26">
        <f>IFERROR(__xludf.DUMMYFUNCTION("""COMPUTED_VALUE"""),8291.0)</f>
        <v>8291</v>
      </c>
      <c r="B5502" s="22" t="str">
        <f>IFERROR(__xludf.DUMMYFUNCTION("""COMPUTED_VALUE"""),"確定")</f>
        <v>確定</v>
      </c>
      <c r="C5502" s="28">
        <f>IFERROR(__xludf.DUMMYFUNCTION("""COMPUTED_VALUE"""),46197.0)</f>
        <v>46197</v>
      </c>
      <c r="D5502" s="28">
        <f>IFERROR(__xludf.DUMMYFUNCTION("""COMPUTED_VALUE"""),46198.0)</f>
        <v>46198</v>
      </c>
      <c r="E5502" s="26"/>
      <c r="F5502" s="22" t="str">
        <f>IFERROR(__xludf.DUMMYFUNCTION("""COMPUTED_VALUE"""),"陰キャで童貞処女だったのに、気づいたらセックスばかりしてる。（フルカラー）")</f>
        <v>陰キャで童貞処女だったのに、気づいたらセックスばかりしてる。（フルカラー）</v>
      </c>
      <c r="G5502" s="20" t="str">
        <f>IFERROR(__xludf.DUMMYFUNCTION("""COMPUTED_VALUE"""),"1~3")</f>
        <v>1~3</v>
      </c>
      <c r="H5502" s="22" t="str">
        <f>IFERROR(__xludf.DUMMYFUNCTION("""COMPUTED_VALUE"""),"いよ")</f>
        <v>いよ</v>
      </c>
      <c r="I5502" s="22" t="str">
        <f>IFERROR(__xludf.DUMMYFUNCTION("""COMPUTED_VALUE"""),"アダルト")</f>
        <v>アダルト</v>
      </c>
      <c r="J5502" s="22"/>
      <c r="K5502" s="22"/>
      <c r="L5502" s="22" t="str">
        <f>IFERROR(__xludf.DUMMYFUNCTION("""COMPUTED_VALUE"""),"セ・キララ文庫")</f>
        <v>セ・キララ文庫</v>
      </c>
      <c r="M5502" s="33">
        <f>IFERROR(__xludf.DUMMYFUNCTION("""COMPUTED_VALUE"""),46244.0)</f>
        <v>46244</v>
      </c>
      <c r="N5502" s="33">
        <f>IFERROR(__xludf.DUMMYFUNCTION("""COMPUTED_VALUE"""),46305.0)</f>
        <v>46305</v>
      </c>
      <c r="O5502" s="20"/>
      <c r="P5502" s="32" t="str">
        <f>IFERROR(__xludf.DUMMYFUNCTION("""COMPUTED_VALUE"""),"可")</f>
        <v>可</v>
      </c>
      <c r="Q5502" s="30" t="str">
        <f>IFERROR(__xludf.DUMMYFUNCTION("""COMPUTED_VALUE"""),"※クリエイティブ制作する際に「寝てる女性に勝手に挿入」などのレイプを想起させるキャッチはNG※")</f>
        <v>※クリエイティブ制作する際に「寝てる女性に勝手に挿入」などのレイプを想起させるキャッチはNG※</v>
      </c>
      <c r="R5502" s="22"/>
      <c r="S5502" s="22" t="str">
        <f>IFERROR(__xludf.DUMMYFUNCTION("""COMPUTED_VALUE"""),"20260609_ライドオン_陰キャで童貞処女だったのに、気づいたらセックスばかりしてる。")</f>
        <v>20260609_ライドオン_陰キャで童貞処女だったのに、気づいたらセックスばかりしてる。</v>
      </c>
      <c r="T5502" s="22" t="str">
        <f>IFERROR(__xludf.DUMMYFUNCTION("""COMPUTED_VALUE"""),"格納済み")</f>
        <v>格納済み</v>
      </c>
      <c r="U5502" s="9" t="str">
        <f>IFERROR(__xludf.DUMMYFUNCTION("""COMPUTED_VALUE"""),"Ⓒいよ/セ・キララ文庫")</f>
        <v>Ⓒいよ/セ・キララ文庫</v>
      </c>
      <c r="V5502" s="8"/>
      <c r="W5502" s="8"/>
      <c r="X5502" s="8"/>
      <c r="Y5502" s="8"/>
      <c r="Z5502" s="7"/>
      <c r="AA5502" s="7"/>
      <c r="AB5502" s="7"/>
    </row>
    <row r="5503" ht="15.75" customHeight="1">
      <c r="A5503" s="26">
        <f>IFERROR(__xludf.DUMMYFUNCTION("""COMPUTED_VALUE"""),8292.0)</f>
        <v>8292</v>
      </c>
      <c r="B5503" s="22" t="str">
        <f>IFERROR(__xludf.DUMMYFUNCTION("""COMPUTED_VALUE"""),"確定")</f>
        <v>確定</v>
      </c>
      <c r="C5503" s="28">
        <f>IFERROR(__xludf.DUMMYFUNCTION("""COMPUTED_VALUE"""),46197.0)</f>
        <v>46197</v>
      </c>
      <c r="D5503" s="28">
        <f>IFERROR(__xludf.DUMMYFUNCTION("""COMPUTED_VALUE"""),46199.0)</f>
        <v>46199</v>
      </c>
      <c r="E5503" s="26">
        <f>IFERROR(__xludf.DUMMYFUNCTION("""COMPUTED_VALUE"""),366993.0)</f>
        <v>366993</v>
      </c>
      <c r="F5503" s="22" t="str">
        <f>IFERROR(__xludf.DUMMYFUNCTION("""COMPUTED_VALUE"""),"スープの森～動物と会話するオリビアと元傭兵アーサーの物語～【単話版】")</f>
        <v>スープの森～動物と会話するオリビアと元傭兵アーサーの物語～【単話版】</v>
      </c>
      <c r="G5503" s="20" t="str">
        <f>IFERROR(__xludf.DUMMYFUNCTION("""COMPUTED_VALUE"""),"1~6")</f>
        <v>1~6</v>
      </c>
      <c r="H5503" s="22" t="str">
        <f>IFERROR(__xludf.DUMMYFUNCTION("""COMPUTED_VALUE"""),"河野スイ（漫画）、守雨（原作）、むに（キャラクター原案）")</f>
        <v>河野スイ（漫画）、守雨（原作）、むに（キャラクター原案）</v>
      </c>
      <c r="I5503" s="22" t="str">
        <f>IFERROR(__xludf.DUMMYFUNCTION("""COMPUTED_VALUE"""),"女性")</f>
        <v>女性</v>
      </c>
      <c r="J5503" s="22"/>
      <c r="K5503" s="22"/>
      <c r="L5503" s="22" t="str">
        <f>IFERROR(__xludf.DUMMYFUNCTION("""COMPUTED_VALUE"""),"主婦と生活社")</f>
        <v>主婦と生活社</v>
      </c>
      <c r="M5503" s="33">
        <f>IFERROR(__xludf.DUMMYFUNCTION("""COMPUTED_VALUE"""),46218.0)</f>
        <v>46218</v>
      </c>
      <c r="N5503" s="33">
        <f>IFERROR(__xludf.DUMMYFUNCTION("""COMPUTED_VALUE"""),46296.0)</f>
        <v>46296</v>
      </c>
      <c r="O5503" s="20"/>
      <c r="P5503" s="32" t="str">
        <f>IFERROR(__xludf.DUMMYFUNCTION("""COMPUTED_VALUE"""),"可")</f>
        <v>可</v>
      </c>
      <c r="Q5503" s="30"/>
      <c r="R5503" s="22"/>
      <c r="S5503" s="22" t="str">
        <f>IFERROR(__xludf.DUMMYFUNCTION("""COMPUTED_VALUE"""),"20260612_主婦と生活社_スープの森")</f>
        <v>20260612_主婦と生活社_スープの森</v>
      </c>
      <c r="T5503" s="22" t="str">
        <f>IFERROR(__xludf.DUMMYFUNCTION("""COMPUTED_VALUE"""),"格納済み")</f>
        <v>格納済み</v>
      </c>
      <c r="U5503" s="9" t="str">
        <f>IFERROR(__xludf.DUMMYFUNCTION("""COMPUTED_VALUE"""),"Ⓒ︎河野スイ・守雨・むに／主婦と生活社")</f>
        <v>Ⓒ︎河野スイ・守雨・むに／主婦と生活社</v>
      </c>
      <c r="V5503" s="8"/>
      <c r="W5503" s="8"/>
      <c r="X5503" s="8" t="str">
        <f>IFERROR(__xludf.DUMMYFUNCTION("""COMPUTED_VALUE"""),"有")</f>
        <v>有</v>
      </c>
      <c r="Y5503" s="8" t="str">
        <f>IFERROR(__xludf.DUMMYFUNCTION("""COMPUTED_VALUE"""),"1～2巻永久無料")</f>
        <v>1～2巻永久無料</v>
      </c>
      <c r="Z5503" s="7"/>
      <c r="AA5503" s="7"/>
      <c r="AB5503" s="7"/>
    </row>
    <row r="5504" ht="15.75" customHeight="1">
      <c r="A5504" s="26">
        <f>IFERROR(__xludf.DUMMYFUNCTION("""COMPUTED_VALUE"""),8293.0)</f>
        <v>8293</v>
      </c>
      <c r="B5504" s="22" t="str">
        <f>IFERROR(__xludf.DUMMYFUNCTION("""COMPUTED_VALUE"""),"確定")</f>
        <v>確定</v>
      </c>
      <c r="C5504" s="28">
        <f>IFERROR(__xludf.DUMMYFUNCTION("""COMPUTED_VALUE"""),46197.0)</f>
        <v>46197</v>
      </c>
      <c r="D5504" s="28">
        <f>IFERROR(__xludf.DUMMYFUNCTION("""COMPUTED_VALUE"""),46198.0)</f>
        <v>46198</v>
      </c>
      <c r="E5504" s="26">
        <f>IFERROR(__xludf.DUMMYFUNCTION("""COMPUTED_VALUE"""),355273.0)</f>
        <v>355273</v>
      </c>
      <c r="F5504" s="22" t="str">
        <f>IFERROR(__xludf.DUMMYFUNCTION("""COMPUTED_VALUE"""),"結婚を前提に、勝ったほうに従ってください!")</f>
        <v>結婚を前提に、勝ったほうに従ってください!</v>
      </c>
      <c r="G5504" s="20" t="str">
        <f>IFERROR(__xludf.DUMMYFUNCTION("""COMPUTED_VALUE"""),"1~4")</f>
        <v>1~4</v>
      </c>
      <c r="H5504" s="22" t="str">
        <f>IFERROR(__xludf.DUMMYFUNCTION("""COMPUTED_VALUE"""),"紀田ボナーラ")</f>
        <v>紀田ボナーラ</v>
      </c>
      <c r="I5504" s="22" t="str">
        <f>IFERROR(__xludf.DUMMYFUNCTION("""COMPUTED_VALUE"""),"女性マンガ")</f>
        <v>女性マンガ</v>
      </c>
      <c r="J5504" s="22"/>
      <c r="K5504" s="22" t="str">
        <f>IFERROR(__xludf.DUMMYFUNCTION("""COMPUTED_VALUE"""),"G☆Girls")</f>
        <v>G☆Girls</v>
      </c>
      <c r="L5504" s="22" t="str">
        <f>IFERROR(__xludf.DUMMYFUNCTION("""COMPUTED_VALUE"""),"アムコミ")</f>
        <v>アムコミ</v>
      </c>
      <c r="M5504" s="33">
        <f>IFERROR(__xludf.DUMMYFUNCTION("""COMPUTED_VALUE"""),46235.0)</f>
        <v>46235</v>
      </c>
      <c r="N5504" s="33">
        <f>IFERROR(__xludf.DUMMYFUNCTION("""COMPUTED_VALUE"""),46326.0)</f>
        <v>46326</v>
      </c>
      <c r="O5504" s="20"/>
      <c r="P5504" s="32" t="str">
        <f>IFERROR(__xludf.DUMMYFUNCTION("""COMPUTED_VALUE"""),"可")</f>
        <v>可</v>
      </c>
      <c r="Q5504" s="30" t="str">
        <f>IFERROR(__xludf.DUMMYFUNCTION("""COMPUTED_VALUE"""),"・めちゃコミックの2次先行作品です。")</f>
        <v>・めちゃコミックの2次先行作品です。</v>
      </c>
      <c r="R5504" s="22"/>
      <c r="S5504" s="22" t="str">
        <f>IFERROR(__xludf.DUMMYFUNCTION("""COMPUTED_VALUE"""),"20260612_めちゃコミック_結婚を前提に、勝ったほうに従ってください!")</f>
        <v>20260612_めちゃコミック_結婚を前提に、勝ったほうに従ってください!</v>
      </c>
      <c r="T5504" s="22" t="str">
        <f>IFERROR(__xludf.DUMMYFUNCTION("""COMPUTED_VALUE"""),"格納済み")</f>
        <v>格納済み</v>
      </c>
      <c r="U5504" s="9" t="str">
        <f>IFERROR(__xludf.DUMMYFUNCTION("""COMPUTED_VALUE"""),"Ⓒ紀田ボナーラ/アムコミ")</f>
        <v>Ⓒ紀田ボナーラ/アムコミ</v>
      </c>
      <c r="V5504" s="8"/>
      <c r="W5504" s="8"/>
      <c r="X5504" s="8"/>
      <c r="Y5504" s="8"/>
      <c r="Z5504" s="7"/>
      <c r="AA5504" s="7"/>
      <c r="AB5504" s="7"/>
    </row>
    <row r="5505" ht="15.75" customHeight="1">
      <c r="A5505" s="26">
        <f>IFERROR(__xludf.DUMMYFUNCTION("""COMPUTED_VALUE"""),8324.0)</f>
        <v>8324</v>
      </c>
      <c r="B5505" s="22" t="str">
        <f>IFERROR(__xludf.DUMMYFUNCTION("""COMPUTED_VALUE"""),"確定")</f>
        <v>確定</v>
      </c>
      <c r="C5505" s="28">
        <f>IFERROR(__xludf.DUMMYFUNCTION("""COMPUTED_VALUE"""),46199.0)</f>
        <v>46199</v>
      </c>
      <c r="D5505" s="28">
        <f>IFERROR(__xludf.DUMMYFUNCTION("""COMPUTED_VALUE"""),46202.0)</f>
        <v>46202</v>
      </c>
      <c r="E5505" s="26">
        <f>IFERROR(__xludf.DUMMYFUNCTION("""COMPUTED_VALUE"""),365178.0)</f>
        <v>365178</v>
      </c>
      <c r="F5505" s="22" t="str">
        <f>IFERROR(__xludf.DUMMYFUNCTION("""COMPUTED_VALUE"""),"婚約破棄されたスナギツネ令嬢、実は呪いで醜くなっていただけでした")</f>
        <v>婚約破棄されたスナギツネ令嬢、実は呪いで醜くなっていただけでした</v>
      </c>
      <c r="G5505" s="20">
        <f>IFERROR(__xludf.DUMMYFUNCTION("""COMPUTED_VALUE"""),1.0)</f>
        <v>1</v>
      </c>
      <c r="H5505" s="22" t="str">
        <f>IFERROR(__xludf.DUMMYFUNCTION("""COMPUTED_VALUE"""),"榎維／宮之みやこ（一迅社アイリスNEO／一迅社刊）")</f>
        <v>榎維／宮之みやこ（一迅社アイリスNEO／一迅社刊）</v>
      </c>
      <c r="I5505" s="22" t="str">
        <f>IFERROR(__xludf.DUMMYFUNCTION("""COMPUTED_VALUE"""),"少女")</f>
        <v>少女</v>
      </c>
      <c r="J5505" s="22"/>
      <c r="K5505" s="22"/>
      <c r="L5505" s="22" t="str">
        <f>IFERROR(__xludf.DUMMYFUNCTION("""COMPUTED_VALUE"""),"ファンギルド")</f>
        <v>ファンギルド</v>
      </c>
      <c r="M5505" s="33">
        <f>IFERROR(__xludf.DUMMYFUNCTION("""COMPUTED_VALUE"""),46219.0)</f>
        <v>46219</v>
      </c>
      <c r="N5505" s="33">
        <f>IFERROR(__xludf.DUMMYFUNCTION("""COMPUTED_VALUE"""),46253.0)</f>
        <v>46253</v>
      </c>
      <c r="O5505" s="20"/>
      <c r="P5505" s="32" t="str">
        <f>IFERROR(__xludf.DUMMYFUNCTION("""COMPUTED_VALUE"""),"可")</f>
        <v>可</v>
      </c>
      <c r="Q5505" s="30" t="str">
        <f>IFERROR(__xludf.DUMMYFUNCTION("""COMPUTED_VALUE"""),"配信日の後ろ倒し・先行期間交渉中のため先行期間が変更になる可能性があります。変更の場合は追ってご連絡差し上げます。")</f>
        <v>配信日の後ろ倒し・先行期間交渉中のため先行期間が変更になる可能性があります。変更の場合は追ってご連絡差し上げます。</v>
      </c>
      <c r="R5505" s="22"/>
      <c r="S5505" s="22" t="str">
        <f>IFERROR(__xludf.DUMMYFUNCTION("""COMPUTED_VALUE"""),"20260615_ファンギルド_婚約破棄されたスナギツネ令嬢、実は呪いで醜くなっていただけでした")</f>
        <v>20260615_ファンギルド_婚約破棄されたスナギツネ令嬢、実は呪いで醜くなっていただけでした</v>
      </c>
      <c r="T5505" s="22" t="str">
        <f>IFERROR(__xludf.DUMMYFUNCTION("""COMPUTED_VALUE"""),"格納済み")</f>
        <v>格納済み</v>
      </c>
      <c r="U5505" s="9" t="str">
        <f>IFERROR(__xludf.DUMMYFUNCTION("""COMPUTED_VALUE"""),"Ⓒ榎維/宮之みやこ（一迅社アイリスNEO／一迅社刊）/ファンギルド")</f>
        <v>Ⓒ榎維/宮之みやこ（一迅社アイリスNEO／一迅社刊）/ファンギルド</v>
      </c>
      <c r="V5505" s="8"/>
      <c r="W5505" s="8"/>
      <c r="X5505" s="8" t="str">
        <f>IFERROR(__xludf.DUMMYFUNCTION("""COMPUTED_VALUE"""),"有")</f>
        <v>有</v>
      </c>
      <c r="Y5505" s="8" t="str">
        <f>IFERROR(__xludf.DUMMYFUNCTION("""COMPUTED_VALUE"""),"p7まで")</f>
        <v>p7まで</v>
      </c>
      <c r="Z5505" s="7"/>
      <c r="AA5505" s="7"/>
      <c r="AB5505" s="7"/>
    </row>
    <row r="5506" ht="15.75" customHeight="1">
      <c r="A5506" s="26">
        <f>IFERROR(__xludf.DUMMYFUNCTION("""COMPUTED_VALUE"""),8325.0)</f>
        <v>8325</v>
      </c>
      <c r="B5506" s="22" t="str">
        <f>IFERROR(__xludf.DUMMYFUNCTION("""COMPUTED_VALUE"""),"確定")</f>
        <v>確定</v>
      </c>
      <c r="C5506" s="28">
        <f>IFERROR(__xludf.DUMMYFUNCTION("""COMPUTED_VALUE"""),46199.0)</f>
        <v>46199</v>
      </c>
      <c r="D5506" s="28">
        <f>IFERROR(__xludf.DUMMYFUNCTION("""COMPUTED_VALUE"""),46202.0)</f>
        <v>46202</v>
      </c>
      <c r="E5506" s="26">
        <f>IFERROR(__xludf.DUMMYFUNCTION("""COMPUTED_VALUE"""),365176.0)</f>
        <v>365176</v>
      </c>
      <c r="F5506" s="22" t="str">
        <f>IFERROR(__xludf.DUMMYFUNCTION("""COMPUTED_VALUE"""),"妹に婚約者を奪われた私が、記憶喪失の彼を取り戻すまで")</f>
        <v>妹に婚約者を奪われた私が、記憶喪失の彼を取り戻すまで</v>
      </c>
      <c r="G5506" s="20">
        <f>IFERROR(__xludf.DUMMYFUNCTION("""COMPUTED_VALUE"""),1.0)</f>
        <v>1</v>
      </c>
      <c r="H5506" s="22" t="str">
        <f>IFERROR(__xludf.DUMMYFUNCTION("""COMPUTED_VALUE"""),"夢衣／千秋颯")</f>
        <v>夢衣／千秋颯</v>
      </c>
      <c r="I5506" s="22" t="str">
        <f>IFERROR(__xludf.DUMMYFUNCTION("""COMPUTED_VALUE"""),"少女")</f>
        <v>少女</v>
      </c>
      <c r="J5506" s="22"/>
      <c r="K5506" s="22"/>
      <c r="L5506" s="22" t="str">
        <f>IFERROR(__xludf.DUMMYFUNCTION("""COMPUTED_VALUE"""),"ファンギルド")</f>
        <v>ファンギルド</v>
      </c>
      <c r="M5506" s="33">
        <f>IFERROR(__xludf.DUMMYFUNCTION("""COMPUTED_VALUE"""),46219.0)</f>
        <v>46219</v>
      </c>
      <c r="N5506" s="33">
        <f>IFERROR(__xludf.DUMMYFUNCTION("""COMPUTED_VALUE"""),46253.0)</f>
        <v>46253</v>
      </c>
      <c r="O5506" s="20"/>
      <c r="P5506" s="32" t="str">
        <f>IFERROR(__xludf.DUMMYFUNCTION("""COMPUTED_VALUE"""),"可")</f>
        <v>可</v>
      </c>
      <c r="Q5506" s="30" t="str">
        <f>IFERROR(__xludf.DUMMYFUNCTION("""COMPUTED_VALUE"""),"配信日の後ろ倒し・先行期間交渉中のため先行期間が変更になる可能性があります。変更の場合は追ってご連絡差し上げます。")</f>
        <v>配信日の後ろ倒し・先行期間交渉中のため先行期間が変更になる可能性があります。変更の場合は追ってご連絡差し上げます。</v>
      </c>
      <c r="R5506" s="22"/>
      <c r="S5506" s="22" t="str">
        <f>IFERROR(__xludf.DUMMYFUNCTION("""COMPUTED_VALUE"""),"20260615_ファンギルド_妹に婚約者を奪われた私が、記憶喪失の彼を取り戻すまで")</f>
        <v>20260615_ファンギルド_妹に婚約者を奪われた私が、記憶喪失の彼を取り戻すまで</v>
      </c>
      <c r="T5506" s="22" t="str">
        <f>IFERROR(__xludf.DUMMYFUNCTION("""COMPUTED_VALUE"""),"格納済み")</f>
        <v>格納済み</v>
      </c>
      <c r="U5506" s="9" t="str">
        <f>IFERROR(__xludf.DUMMYFUNCTION("""COMPUTED_VALUE"""),"Ⓒ夢衣/千秋颯/ファンギルド")</f>
        <v>Ⓒ夢衣/千秋颯/ファンギルド</v>
      </c>
      <c r="V5506" s="8"/>
      <c r="W5506" s="8"/>
      <c r="X5506" s="8" t="str">
        <f>IFERROR(__xludf.DUMMYFUNCTION("""COMPUTED_VALUE"""),"有")</f>
        <v>有</v>
      </c>
      <c r="Y5506" s="8" t="str">
        <f>IFERROR(__xludf.DUMMYFUNCTION("""COMPUTED_VALUE"""),"p13まで")</f>
        <v>p13まで</v>
      </c>
      <c r="Z5506" s="7"/>
      <c r="AA5506" s="7"/>
      <c r="AB5506" s="7"/>
    </row>
    <row r="5507" ht="15.75" customHeight="1">
      <c r="A5507" s="26">
        <f>IFERROR(__xludf.DUMMYFUNCTION("""COMPUTED_VALUE"""),8327.0)</f>
        <v>8327</v>
      </c>
      <c r="B5507" s="22" t="str">
        <f>IFERROR(__xludf.DUMMYFUNCTION("""COMPUTED_VALUE"""),"確定")</f>
        <v>確定</v>
      </c>
      <c r="C5507" s="28">
        <f>IFERROR(__xludf.DUMMYFUNCTION("""COMPUTED_VALUE"""),46199.0)</f>
        <v>46199</v>
      </c>
      <c r="D5507" s="28">
        <f>IFERROR(__xludf.DUMMYFUNCTION("""COMPUTED_VALUE"""),46213.0)</f>
        <v>46213</v>
      </c>
      <c r="E5507" s="26">
        <f>IFERROR(__xludf.DUMMYFUNCTION("""COMPUTED_VALUE"""),366303.0)</f>
        <v>366303</v>
      </c>
      <c r="F5507" s="22" t="str">
        <f>IFERROR(__xludf.DUMMYFUNCTION("""COMPUTED_VALUE"""),"神眼のメルラ　分冊版")</f>
        <v>神眼のメルラ　分冊版</v>
      </c>
      <c r="G5507" s="20" t="str">
        <f>IFERROR(__xludf.DUMMYFUNCTION("""COMPUTED_VALUE"""),"1~4")</f>
        <v>1~4</v>
      </c>
      <c r="H5507" s="22" t="str">
        <f>IFERROR(__xludf.DUMMYFUNCTION("""COMPUTED_VALUE"""),"原作／八箇 句屑　漫画／雪永 蛍吾")</f>
        <v>原作／八箇 句屑　漫画／雪永 蛍吾</v>
      </c>
      <c r="I5507" s="22" t="str">
        <f>IFERROR(__xludf.DUMMYFUNCTION("""COMPUTED_VALUE"""),"少年")</f>
        <v>少年</v>
      </c>
      <c r="J5507" s="22"/>
      <c r="K5507" s="22"/>
      <c r="L5507" s="22" t="str">
        <f>IFERROR(__xludf.DUMMYFUNCTION("""COMPUTED_VALUE"""),"講談社")</f>
        <v>講談社</v>
      </c>
      <c r="M5507" s="33">
        <f>IFERROR(__xludf.DUMMYFUNCTION("""COMPUTED_VALUE"""),46219.0)</f>
        <v>46219</v>
      </c>
      <c r="N5507" s="33">
        <f>IFERROR(__xludf.DUMMYFUNCTION("""COMPUTED_VALUE"""),46280.0)</f>
        <v>46280</v>
      </c>
      <c r="O5507" s="20"/>
      <c r="P5507" s="32" t="str">
        <f>IFERROR(__xludf.DUMMYFUNCTION("""COMPUTED_VALUE"""),"可")</f>
        <v>可</v>
      </c>
      <c r="Q5507" s="30" t="str">
        <f>IFERROR(__xludf.DUMMYFUNCTION("""COMPUTED_VALUE"""),"配信日の後ろ倒し・先行期間交渉中のため先行期間が変更になる可能性があります。変更の場合は追ってご連絡差し上げます。")</f>
        <v>配信日の後ろ倒し・先行期間交渉中のため先行期間が変更になる可能性があります。変更の場合は追ってご連絡差し上げます。</v>
      </c>
      <c r="R5507" s="22"/>
      <c r="S5507" s="22" t="str">
        <f>IFERROR(__xludf.DUMMYFUNCTION("""COMPUTED_VALUE"""),"20260615_講談社_神眼のメルラ")</f>
        <v>20260615_講談社_神眼のメルラ</v>
      </c>
      <c r="T5507" s="22" t="str">
        <f>IFERROR(__xludf.DUMMYFUNCTION("""COMPUTED_VALUE"""),"格納済み")</f>
        <v>格納済み</v>
      </c>
      <c r="U5507" s="9" t="str">
        <f>IFERROR(__xludf.DUMMYFUNCTION("""COMPUTED_VALUE"""),"Ⓒ八箇句屑・雪永蛍吾／講談社")</f>
        <v>Ⓒ八箇句屑・雪永蛍吾／講談社</v>
      </c>
      <c r="V5507" s="8"/>
      <c r="W5507" s="8"/>
      <c r="X5507" s="8" t="str">
        <f>IFERROR(__xludf.DUMMYFUNCTION("""COMPUTED_VALUE"""),"有")</f>
        <v>有</v>
      </c>
      <c r="Y5507" s="8" t="str">
        <f>IFERROR(__xludf.DUMMYFUNCTION("""COMPUTED_VALUE"""),"2026/9/15まで1巻無料")</f>
        <v>2026/9/15まで1巻無料</v>
      </c>
      <c r="Z5507" s="7"/>
      <c r="AA5507" s="7"/>
      <c r="AB5507" s="7"/>
    </row>
    <row r="5508" ht="15.75" customHeight="1">
      <c r="A5508" s="26">
        <f>IFERROR(__xludf.DUMMYFUNCTION("""COMPUTED_VALUE"""),8333.0)</f>
        <v>8333</v>
      </c>
      <c r="B5508" s="22" t="str">
        <f>IFERROR(__xludf.DUMMYFUNCTION("""COMPUTED_VALUE"""),"確定")</f>
        <v>確定</v>
      </c>
      <c r="C5508" s="28">
        <f>IFERROR(__xludf.DUMMYFUNCTION("""COMPUTED_VALUE"""),46199.0)</f>
        <v>46199</v>
      </c>
      <c r="D5508" s="28">
        <f>IFERROR(__xludf.DUMMYFUNCTION("""COMPUTED_VALUE"""),46202.0)</f>
        <v>46202</v>
      </c>
      <c r="E5508" s="26">
        <f>IFERROR(__xludf.DUMMYFUNCTION("""COMPUTED_VALUE"""),364800.0)</f>
        <v>364800</v>
      </c>
      <c r="F5508" s="22" t="str">
        <f>IFERROR(__xludf.DUMMYFUNCTION("""COMPUTED_VALUE"""),"コンプレックス・キラー 分冊版")</f>
        <v>コンプレックス・キラー 分冊版</v>
      </c>
      <c r="G5508" s="20">
        <f>IFERROR(__xludf.DUMMYFUNCTION("""COMPUTED_VALUE"""),1.0)</f>
        <v>1</v>
      </c>
      <c r="H5508" s="22" t="str">
        <f>IFERROR(__xludf.DUMMYFUNCTION("""COMPUTED_VALUE"""),"桃木のした")</f>
        <v>桃木のした</v>
      </c>
      <c r="I5508" s="22" t="str">
        <f>IFERROR(__xludf.DUMMYFUNCTION("""COMPUTED_VALUE"""),"BL")</f>
        <v>BL</v>
      </c>
      <c r="J5508" s="22"/>
      <c r="K5508" s="22" t="str">
        <f>IFERROR(__xludf.DUMMYFUNCTION("""COMPUTED_VALUE"""),"チルシェコミックス")</f>
        <v>チルシェコミックス</v>
      </c>
      <c r="L5508" s="22" t="str">
        <f>IFERROR(__xludf.DUMMYFUNCTION("""COMPUTED_VALUE"""),"双葉社")</f>
        <v>双葉社</v>
      </c>
      <c r="M5508" s="33">
        <f>IFERROR(__xludf.DUMMYFUNCTION("""COMPUTED_VALUE"""),46220.0)</f>
        <v>46220</v>
      </c>
      <c r="N5508" s="33">
        <f>IFERROR(__xludf.DUMMYFUNCTION("""COMPUTED_VALUE"""),46253.0)</f>
        <v>46253</v>
      </c>
      <c r="O5508" s="20" t="str">
        <f>IFERROR(__xludf.DUMMYFUNCTION("""COMPUTED_VALUE"""),"【アダルト作品扱い】")</f>
        <v>【アダルト作品扱い】</v>
      </c>
      <c r="P5508" s="32" t="str">
        <f>IFERROR(__xludf.DUMMYFUNCTION("""COMPUTED_VALUE"""),"可")</f>
        <v>可</v>
      </c>
      <c r="Q5508" s="30" t="str">
        <f>IFERROR(__xludf.DUMMYFUNCTION("""COMPUTED_VALUE"""),"配信日の後ろ倒し・先行期間交渉中のため先行期間が変更になる可能性があります。変更の場合は追ってご連絡差し上げます。")</f>
        <v>配信日の後ろ倒し・先行期間交渉中のため先行期間が変更になる可能性があります。変更の場合は追ってご連絡差し上げます。</v>
      </c>
      <c r="R5508" s="22"/>
      <c r="S5508" s="22" t="str">
        <f>IFERROR(__xludf.DUMMYFUNCTION("""COMPUTED_VALUE"""),"20260626_双葉社_コンプレックス・キラー 分冊版")</f>
        <v>20260626_双葉社_コンプレックス・キラー 分冊版</v>
      </c>
      <c r="T5508" s="22" t="str">
        <f>IFERROR(__xludf.DUMMYFUNCTION("""COMPUTED_VALUE"""),"格納済み")</f>
        <v>格納済み</v>
      </c>
      <c r="U5508" s="9" t="str">
        <f>IFERROR(__xludf.DUMMYFUNCTION("""COMPUTED_VALUE"""),"Ⓒ桃木のした/双葉社")</f>
        <v>Ⓒ桃木のした/双葉社</v>
      </c>
      <c r="V5508" s="8"/>
      <c r="W5508" s="8"/>
      <c r="X5508" s="8" t="str">
        <f>IFERROR(__xludf.DUMMYFUNCTION("""COMPUTED_VALUE"""),"有")</f>
        <v>有</v>
      </c>
      <c r="Y5508" s="8" t="str">
        <f>IFERROR(__xludf.DUMMYFUNCTION("""COMPUTED_VALUE"""),"p13まで")</f>
        <v>p13まで</v>
      </c>
      <c r="Z5508" s="7"/>
      <c r="AA5508" s="7"/>
      <c r="AB5508" s="7"/>
    </row>
    <row r="5509" ht="15.75" customHeight="1">
      <c r="A5509" s="26">
        <f>IFERROR(__xludf.DUMMYFUNCTION("""COMPUTED_VALUE"""),8334.0)</f>
        <v>8334</v>
      </c>
      <c r="B5509" s="22" t="str">
        <f>IFERROR(__xludf.DUMMYFUNCTION("""COMPUTED_VALUE"""),"確定")</f>
        <v>確定</v>
      </c>
      <c r="C5509" s="28">
        <f>IFERROR(__xludf.DUMMYFUNCTION("""COMPUTED_VALUE"""),46199.0)</f>
        <v>46199</v>
      </c>
      <c r="D5509" s="28">
        <f>IFERROR(__xludf.DUMMYFUNCTION("""COMPUTED_VALUE"""),46204.0)</f>
        <v>46204</v>
      </c>
      <c r="E5509" s="26"/>
      <c r="F5509" s="22" t="str">
        <f>IFERROR(__xludf.DUMMYFUNCTION("""COMPUTED_VALUE"""),"親友の粘着愛に完敗です。～20年分の欲情を注がれて、奥のとろキュンが止まらない…っ～")</f>
        <v>親友の粘着愛に完敗です。～20年分の欲情を注がれて、奥のとろキュンが止まらない…っ～</v>
      </c>
      <c r="G5509" s="20" t="str">
        <f>IFERROR(__xludf.DUMMYFUNCTION("""COMPUTED_VALUE"""),"1~3")</f>
        <v>1~3</v>
      </c>
      <c r="H5509" s="22" t="str">
        <f>IFERROR(__xludf.DUMMYFUNCTION("""COMPUTED_VALUE"""),"作画：古川スネ・原作：ねこまたみさ")</f>
        <v>作画：古川スネ・原作：ねこまたみさ</v>
      </c>
      <c r="I5509" s="22" t="str">
        <f>IFERROR(__xludf.DUMMYFUNCTION("""COMPUTED_VALUE"""),"TL")</f>
        <v>TL</v>
      </c>
      <c r="J5509" s="22"/>
      <c r="K5509" s="22" t="str">
        <f>IFERROR(__xludf.DUMMYFUNCTION("""COMPUTED_VALUE"""),"黒ひめコミック")</f>
        <v>黒ひめコミック</v>
      </c>
      <c r="L5509" s="22" t="str">
        <f>IFERROR(__xludf.DUMMYFUNCTION("""COMPUTED_VALUE"""),"アイプロダクション")</f>
        <v>アイプロダクション</v>
      </c>
      <c r="M5509" s="33">
        <f>IFERROR(__xludf.DUMMYFUNCTION("""COMPUTED_VALUE"""),46235.0)</f>
        <v>46235</v>
      </c>
      <c r="N5509" s="33">
        <f>IFERROR(__xludf.DUMMYFUNCTION("""COMPUTED_VALUE"""),46295.0)</f>
        <v>46295</v>
      </c>
      <c r="O5509" s="20" t="str">
        <f>IFERROR(__xludf.DUMMYFUNCTION("""COMPUTED_VALUE"""),"【アダルト作品扱い】")</f>
        <v>【アダルト作品扱い】</v>
      </c>
      <c r="P5509" s="32" t="str">
        <f>IFERROR(__xludf.DUMMYFUNCTION("""COMPUTED_VALUE"""),"可")</f>
        <v>可</v>
      </c>
      <c r="Q5509" s="30" t="str">
        <f>IFERROR(__xludf.DUMMYFUNCTION("""COMPUTED_VALUE"""),"1～6話まで毎月更新、7～8話は隔月更新。")</f>
        <v>1～6話まで毎月更新、7～8話は隔月更新。</v>
      </c>
      <c r="R5509" s="22"/>
      <c r="S5509" s="22" t="str">
        <f>IFERROR(__xludf.DUMMYFUNCTION("""COMPUTED_VALUE"""),"20260629_アイプロダクション_親友の粘着愛に完敗です。～20年分の欲情を注がれて、奥のとろキュンが止まらない…っ～")</f>
        <v>20260629_アイプロダクション_親友の粘着愛に完敗です。～20年分の欲情を注がれて、奥のとろキュンが止まらない…っ～</v>
      </c>
      <c r="T5509" s="22" t="str">
        <f>IFERROR(__xludf.DUMMYFUNCTION("""COMPUTED_VALUE"""),"格納済み")</f>
        <v>格納済み</v>
      </c>
      <c r="U5509" s="9" t="str">
        <f>IFERROR(__xludf.DUMMYFUNCTION("""COMPUTED_VALUE"""),"古川スネ・ねこまたみさ/アイプロダクション")</f>
        <v>古川スネ・ねこまたみさ/アイプロダクション</v>
      </c>
      <c r="V5509" s="8"/>
      <c r="W5509" s="8"/>
      <c r="X5509" s="8"/>
      <c r="Y5509" s="8"/>
      <c r="Z5509" s="7"/>
      <c r="AA5509" s="7"/>
      <c r="AB5509" s="7"/>
    </row>
    <row r="5510" ht="15.75" customHeight="1">
      <c r="A5510" s="26">
        <f>IFERROR(__xludf.DUMMYFUNCTION("""COMPUTED_VALUE"""),8336.0)</f>
        <v>8336</v>
      </c>
      <c r="B5510" s="22" t="str">
        <f>IFERROR(__xludf.DUMMYFUNCTION("""COMPUTED_VALUE"""),"確定")</f>
        <v>確定</v>
      </c>
      <c r="C5510" s="28">
        <f>IFERROR(__xludf.DUMMYFUNCTION("""COMPUTED_VALUE"""),46199.0)</f>
        <v>46199</v>
      </c>
      <c r="D5510" s="28">
        <f>IFERROR(__xludf.DUMMYFUNCTION("""COMPUTED_VALUE"""),46202.0)</f>
        <v>46202</v>
      </c>
      <c r="E5510" s="26"/>
      <c r="F5510" s="22" t="str">
        <f>IFERROR(__xludf.DUMMYFUNCTION("""COMPUTED_VALUE"""),"アレの格付け修学旅行！？")</f>
        <v>アレの格付け修学旅行！？</v>
      </c>
      <c r="G5510" s="20" t="str">
        <f>IFERROR(__xludf.DUMMYFUNCTION("""COMPUTED_VALUE"""),"1~2")</f>
        <v>1~2</v>
      </c>
      <c r="H5510" s="22" t="str">
        <f>IFERROR(__xludf.DUMMYFUNCTION("""COMPUTED_VALUE"""),"へびの津まさき")</f>
        <v>へびの津まさき</v>
      </c>
      <c r="I5510" s="22" t="str">
        <f>IFERROR(__xludf.DUMMYFUNCTION("""COMPUTED_VALUE"""),"アダルト")</f>
        <v>アダルト</v>
      </c>
      <c r="J5510" s="22"/>
      <c r="K5510" s="22"/>
      <c r="L5510" s="22" t="str">
        <f>IFERROR(__xludf.DUMMYFUNCTION("""COMPUTED_VALUE"""),"キャスコミ")</f>
        <v>キャスコミ</v>
      </c>
      <c r="M5510" s="33">
        <f>IFERROR(__xludf.DUMMYFUNCTION("""COMPUTED_VALUE"""),46235.0)</f>
        <v>46235</v>
      </c>
      <c r="N5510" s="33">
        <f>IFERROR(__xludf.DUMMYFUNCTION("""COMPUTED_VALUE"""),46297.0)</f>
        <v>46297</v>
      </c>
      <c r="O5510" s="20"/>
      <c r="P5510" s="32" t="str">
        <f>IFERROR(__xludf.DUMMYFUNCTION("""COMPUTED_VALUE"""),"可")</f>
        <v>可</v>
      </c>
      <c r="Q5510" s="30"/>
      <c r="R5510" s="22"/>
      <c r="S5510" s="22" t="str">
        <f>IFERROR(__xludf.DUMMYFUNCTION("""COMPUTED_VALUE"""),"20260616_キャスコミ_アレの格付け修学旅行！？")</f>
        <v>20260616_キャスコミ_アレの格付け修学旅行！？</v>
      </c>
      <c r="T5510" s="22" t="str">
        <f>IFERROR(__xludf.DUMMYFUNCTION("""COMPUTED_VALUE"""),"格納済み")</f>
        <v>格納済み</v>
      </c>
      <c r="U5510" s="9" t="str">
        <f>IFERROR(__xludf.DUMMYFUNCTION("""COMPUTED_VALUE"""),"Ⓒへびの津まさき")</f>
        <v>Ⓒへびの津まさき</v>
      </c>
      <c r="V5510" s="8"/>
      <c r="W5510" s="8"/>
      <c r="X5510" s="8"/>
      <c r="Y5510" s="8"/>
      <c r="Z5510" s="7"/>
      <c r="AA5510" s="7"/>
      <c r="AB5510" s="7"/>
    </row>
    <row r="5511" ht="15.75" customHeight="1">
      <c r="A5511" s="26">
        <f>IFERROR(__xludf.DUMMYFUNCTION("""COMPUTED_VALUE"""),8337.0)</f>
        <v>8337</v>
      </c>
      <c r="B5511" s="22" t="str">
        <f>IFERROR(__xludf.DUMMYFUNCTION("""COMPUTED_VALUE"""),"確定")</f>
        <v>確定</v>
      </c>
      <c r="C5511" s="28">
        <f>IFERROR(__xludf.DUMMYFUNCTION("""COMPUTED_VALUE"""),46199.0)</f>
        <v>46199</v>
      </c>
      <c r="D5511" s="28">
        <f>IFERROR(__xludf.DUMMYFUNCTION("""COMPUTED_VALUE"""),46202.0)</f>
        <v>46202</v>
      </c>
      <c r="E5511" s="26"/>
      <c r="F5511" s="22" t="str">
        <f>IFERROR(__xludf.DUMMYFUNCTION("""COMPUTED_VALUE"""),"魔法学園首席に勝利して一日支配する。")</f>
        <v>魔法学園首席に勝利して一日支配する。</v>
      </c>
      <c r="G5511" s="20" t="str">
        <f>IFERROR(__xludf.DUMMYFUNCTION("""COMPUTED_VALUE"""),"1~2")</f>
        <v>1~2</v>
      </c>
      <c r="H5511" s="22" t="str">
        <f>IFERROR(__xludf.DUMMYFUNCTION("""COMPUTED_VALUE"""),"チャダ")</f>
        <v>チャダ</v>
      </c>
      <c r="I5511" s="22" t="str">
        <f>IFERROR(__xludf.DUMMYFUNCTION("""COMPUTED_VALUE"""),"アダルト")</f>
        <v>アダルト</v>
      </c>
      <c r="J5511" s="22"/>
      <c r="K5511" s="22"/>
      <c r="L5511" s="22" t="str">
        <f>IFERROR(__xludf.DUMMYFUNCTION("""COMPUTED_VALUE"""),"ナイトコミック")</f>
        <v>ナイトコミック</v>
      </c>
      <c r="M5511" s="33">
        <f>IFERROR(__xludf.DUMMYFUNCTION("""COMPUTED_VALUE"""),46262.0)</f>
        <v>46262</v>
      </c>
      <c r="N5511" s="33">
        <f>IFERROR(__xludf.DUMMYFUNCTION("""COMPUTED_VALUE"""),46317.0)</f>
        <v>46317</v>
      </c>
      <c r="O5511" s="20"/>
      <c r="P5511" s="32" t="str">
        <f>IFERROR(__xludf.DUMMYFUNCTION("""COMPUTED_VALUE"""),"可")</f>
        <v>可</v>
      </c>
      <c r="Q5511" s="30"/>
      <c r="R5511" s="22"/>
      <c r="S5511" s="22" t="str">
        <f>IFERROR(__xludf.DUMMYFUNCTION("""COMPUTED_VALUE"""),"20260616_ナイトコミック_魔法学園首席に勝利して一日支配する。")</f>
        <v>20260616_ナイトコミック_魔法学園首席に勝利して一日支配する。</v>
      </c>
      <c r="T5511" s="22" t="str">
        <f>IFERROR(__xludf.DUMMYFUNCTION("""COMPUTED_VALUE"""),"格納済み")</f>
        <v>格納済み</v>
      </c>
      <c r="U5511" s="9" t="str">
        <f>IFERROR(__xludf.DUMMYFUNCTION("""COMPUTED_VALUE"""),"Ⓒチャダ")</f>
        <v>Ⓒチャダ</v>
      </c>
      <c r="V5511" s="8"/>
      <c r="W5511" s="8"/>
      <c r="X5511" s="8"/>
      <c r="Y5511" s="8"/>
      <c r="Z5511" s="7"/>
      <c r="AA5511" s="7"/>
      <c r="AB5511" s="7"/>
    </row>
    <row r="5512" ht="15.75" customHeight="1">
      <c r="A5512" s="26">
        <f>IFERROR(__xludf.DUMMYFUNCTION("""COMPUTED_VALUE"""),8344.0)</f>
        <v>8344</v>
      </c>
      <c r="B5512" s="22" t="str">
        <f>IFERROR(__xludf.DUMMYFUNCTION("""COMPUTED_VALUE"""),"確定")</f>
        <v>確定</v>
      </c>
      <c r="C5512" s="28">
        <f>IFERROR(__xludf.DUMMYFUNCTION("""COMPUTED_VALUE"""),46199.0)</f>
        <v>46199</v>
      </c>
      <c r="D5512" s="28">
        <f>IFERROR(__xludf.DUMMYFUNCTION("""COMPUTED_VALUE"""),46199.0)</f>
        <v>46199</v>
      </c>
      <c r="E5512" s="26">
        <f>IFERROR(__xludf.DUMMYFUNCTION("""COMPUTED_VALUE"""),366441.0)</f>
        <v>366441</v>
      </c>
      <c r="F5512" s="22" t="str">
        <f>IFERROR(__xludf.DUMMYFUNCTION("""COMPUTED_VALUE"""),"輪廻婚～大正ロマン恋慕～【マイクロ】")</f>
        <v>輪廻婚～大正ロマン恋慕～【マイクロ】</v>
      </c>
      <c r="G5512" s="20" t="str">
        <f>IFERROR(__xludf.DUMMYFUNCTION("""COMPUTED_VALUE"""),"1~4")</f>
        <v>1~4</v>
      </c>
      <c r="H5512" s="22" t="str">
        <f>IFERROR(__xludf.DUMMYFUNCTION("""COMPUTED_VALUE"""),"如月ひいろ")</f>
        <v>如月ひいろ</v>
      </c>
      <c r="I5512" s="22" t="str">
        <f>IFERROR(__xludf.DUMMYFUNCTION("""COMPUTED_VALUE"""),"女性")</f>
        <v>女性</v>
      </c>
      <c r="J5512" s="22"/>
      <c r="K5512" s="22"/>
      <c r="L5512" s="22" t="str">
        <f>IFERROR(__xludf.DUMMYFUNCTION("""COMPUTED_VALUE"""),"小学館")</f>
        <v>小学館</v>
      </c>
      <c r="M5512" s="33">
        <f>IFERROR(__xludf.DUMMYFUNCTION("""COMPUTED_VALUE"""),46208.0)</f>
        <v>46208</v>
      </c>
      <c r="N5512" s="33">
        <f>IFERROR(__xludf.DUMMYFUNCTION("""COMPUTED_VALUE"""),46269.0)</f>
        <v>46269</v>
      </c>
      <c r="O5512" s="20"/>
      <c r="P5512" s="32" t="str">
        <f>IFERROR(__xludf.DUMMYFUNCTION("""COMPUTED_VALUE"""),"否")</f>
        <v>否</v>
      </c>
      <c r="Q5512" s="30"/>
      <c r="R5512" s="22"/>
      <c r="S5512" s="22" t="str">
        <f>IFERROR(__xludf.DUMMYFUNCTION("""COMPUTED_VALUE"""),"20260626_小学館_輪廻婚～大正ロマン恋慕～【マイクロ】")</f>
        <v>20260626_小学館_輪廻婚～大正ロマン恋慕～【マイクロ】</v>
      </c>
      <c r="T5512" s="22" t="str">
        <f>IFERROR(__xludf.DUMMYFUNCTION("""COMPUTED_VALUE"""),"格納済み")</f>
        <v>格納済み</v>
      </c>
      <c r="U5512" s="9" t="str">
        <f>IFERROR(__xludf.DUMMYFUNCTION("""COMPUTED_VALUE"""),"(C)如月ひいろ / 小学館")</f>
        <v>(C)如月ひいろ / 小学館</v>
      </c>
      <c r="V5512" s="8"/>
      <c r="W5512" s="8"/>
      <c r="X5512" s="8" t="str">
        <f>IFERROR(__xludf.DUMMYFUNCTION("""COMPUTED_VALUE"""),"有")</f>
        <v>有</v>
      </c>
      <c r="Y5512" s="8" t="str">
        <f>IFERROR(__xludf.DUMMYFUNCTION("""COMPUTED_VALUE"""),"p17まで")</f>
        <v>p17まで</v>
      </c>
      <c r="Z5512" s="7"/>
      <c r="AA5512" s="7"/>
      <c r="AB5512" s="7"/>
    </row>
    <row r="5513" ht="15.75" customHeight="1">
      <c r="A5513" s="26">
        <f>IFERROR(__xludf.DUMMYFUNCTION("""COMPUTED_VALUE"""),8345.0)</f>
        <v>8345</v>
      </c>
      <c r="B5513" s="22" t="str">
        <f>IFERROR(__xludf.DUMMYFUNCTION("""COMPUTED_VALUE"""),"確定")</f>
        <v>確定</v>
      </c>
      <c r="C5513" s="28">
        <f>IFERROR(__xludf.DUMMYFUNCTION("""COMPUTED_VALUE"""),46202.0)</f>
        <v>46202</v>
      </c>
      <c r="D5513" s="28">
        <f>IFERROR(__xludf.DUMMYFUNCTION("""COMPUTED_VALUE"""),46204.0)</f>
        <v>46204</v>
      </c>
      <c r="E5513" s="26"/>
      <c r="F5513" s="22" t="str">
        <f>IFERROR(__xludf.DUMMYFUNCTION("""COMPUTED_VALUE"""),"アルファの耽溺～パブリックスクールの恋～")</f>
        <v>アルファの耽溺～パブリックスクールの恋～</v>
      </c>
      <c r="G5513" s="20" t="str">
        <f>IFERROR(__xludf.DUMMYFUNCTION("""COMPUTED_VALUE"""),"1~3")</f>
        <v>1~3</v>
      </c>
      <c r="H5513" s="22" t="str">
        <f>IFERROR(__xludf.DUMMYFUNCTION("""COMPUTED_VALUE"""),"高杉桂┴ゆりの菜櫻┴笠井あゆみ")</f>
        <v>高杉桂┴ゆりの菜櫻┴笠井あゆみ</v>
      </c>
      <c r="I5513" s="22" t="str">
        <f>IFERROR(__xludf.DUMMYFUNCTION("""COMPUTED_VALUE"""),"BL")</f>
        <v>BL</v>
      </c>
      <c r="J5513" s="22"/>
      <c r="K5513" s="22"/>
      <c r="L5513" s="22" t="str">
        <f>IFERROR(__xludf.DUMMYFUNCTION("""COMPUTED_VALUE"""),"二見書房")</f>
        <v>二見書房</v>
      </c>
      <c r="M5513" s="33">
        <f>IFERROR(__xludf.DUMMYFUNCTION("""COMPUTED_VALUE"""),46227.0)</f>
        <v>46227</v>
      </c>
      <c r="N5513" s="33">
        <f>IFERROR(__xludf.DUMMYFUNCTION("""COMPUTED_VALUE"""),46261.0)</f>
        <v>46261</v>
      </c>
      <c r="O5513" s="20"/>
      <c r="P5513" s="32" t="str">
        <f>IFERROR(__xludf.DUMMYFUNCTION("""COMPUTED_VALUE"""),"可")</f>
        <v>可</v>
      </c>
      <c r="Q5513" s="30"/>
      <c r="R5513" s="22"/>
      <c r="S5513" s="22" t="str">
        <f>IFERROR(__xludf.DUMMYFUNCTION("""COMPUTED_VALUE"""),"20260629_二見書房_アルファの耽溺～パブリックスクールの恋～")</f>
        <v>20260629_二見書房_アルファの耽溺～パブリックスクールの恋～</v>
      </c>
      <c r="T5513" s="22" t="str">
        <f>IFERROR(__xludf.DUMMYFUNCTION("""COMPUTED_VALUE"""),"格納済み")</f>
        <v>格納済み</v>
      </c>
      <c r="U5513" s="9" t="str">
        <f>IFERROR(__xludf.DUMMYFUNCTION("""COMPUTED_VALUE"""),"(C)高杉桂・ゆりの菜櫻・木漏れ日・笠井あゆみ／二見書房")</f>
        <v>(C)高杉桂・ゆりの菜櫻・木漏れ日・笠井あゆみ／二見書房</v>
      </c>
      <c r="V5513" s="8"/>
      <c r="W5513" s="8"/>
      <c r="X5513" s="8"/>
      <c r="Y5513" s="8"/>
      <c r="Z5513" s="7"/>
      <c r="AA5513" s="7"/>
      <c r="AB5513" s="7"/>
    </row>
    <row r="5514" ht="15.75" customHeight="1">
      <c r="A5514" s="26">
        <f>IFERROR(__xludf.DUMMYFUNCTION("""COMPUTED_VALUE"""),8346.0)</f>
        <v>8346</v>
      </c>
      <c r="B5514" s="22" t="str">
        <f>IFERROR(__xludf.DUMMYFUNCTION("""COMPUTED_VALUE"""),"確定")</f>
        <v>確定</v>
      </c>
      <c r="C5514" s="28">
        <f>IFERROR(__xludf.DUMMYFUNCTION("""COMPUTED_VALUE"""),46202.0)</f>
        <v>46202</v>
      </c>
      <c r="D5514" s="28">
        <f>IFERROR(__xludf.DUMMYFUNCTION("""COMPUTED_VALUE"""),46204.0)</f>
        <v>46204</v>
      </c>
      <c r="E5514" s="26"/>
      <c r="F5514" s="22" t="str">
        <f>IFERROR(__xludf.DUMMYFUNCTION("""COMPUTED_VALUE"""),"いつかはオールライト 分冊版")</f>
        <v>いつかはオールライト 分冊版</v>
      </c>
      <c r="G5514" s="20" t="str">
        <f>IFERROR(__xludf.DUMMYFUNCTION("""COMPUTED_VALUE"""),"1~4")</f>
        <v>1~4</v>
      </c>
      <c r="H5514" s="22" t="str">
        <f>IFERROR(__xludf.DUMMYFUNCTION("""COMPUTED_VALUE"""),"ゴトウユキコ")</f>
        <v>ゴトウユキコ</v>
      </c>
      <c r="I5514" s="22" t="str">
        <f>IFERROR(__xludf.DUMMYFUNCTION("""COMPUTED_VALUE"""),"青年")</f>
        <v>青年</v>
      </c>
      <c r="J5514" s="22"/>
      <c r="K5514" s="22" t="str">
        <f>IFERROR(__xludf.DUMMYFUNCTION("""COMPUTED_VALUE"""),"アクションコミックス")</f>
        <v>アクションコミックス</v>
      </c>
      <c r="L5514" s="22" t="str">
        <f>IFERROR(__xludf.DUMMYFUNCTION("""COMPUTED_VALUE"""),"双葉社")</f>
        <v>双葉社</v>
      </c>
      <c r="M5514" s="33">
        <f>IFERROR(__xludf.DUMMYFUNCTION("""COMPUTED_VALUE"""),46235.0)</f>
        <v>46235</v>
      </c>
      <c r="N5514" s="33">
        <f>IFERROR(__xludf.DUMMYFUNCTION("""COMPUTED_VALUE"""),46295.0)</f>
        <v>46295</v>
      </c>
      <c r="O5514" s="20"/>
      <c r="P5514" s="32" t="str">
        <f>IFERROR(__xludf.DUMMYFUNCTION("""COMPUTED_VALUE"""),"可")</f>
        <v>可</v>
      </c>
      <c r="Q5514" s="30" t="str">
        <f>IFERROR(__xludf.DUMMYFUNCTION("""COMPUTED_VALUE"""),"【アウトバウンド提案】&lt;BR&gt;4巻素材は後日共有いたします。")</f>
        <v>【アウトバウンド提案】&lt;BR&gt;4巻素材は後日共有いたします。</v>
      </c>
      <c r="R5514" s="22"/>
      <c r="S5514" s="22" t="str">
        <f>IFERROR(__xludf.DUMMYFUNCTION("""COMPUTED_VALUE"""),"20260629_双葉社_いつかはオールライト 分冊版")</f>
        <v>20260629_双葉社_いつかはオールライト 分冊版</v>
      </c>
      <c r="T5514" s="22" t="str">
        <f>IFERROR(__xludf.DUMMYFUNCTION("""COMPUTED_VALUE"""),"格納済み")</f>
        <v>格納済み</v>
      </c>
      <c r="U5514" s="9" t="str">
        <f>IFERROR(__xludf.DUMMYFUNCTION("""COMPUTED_VALUE"""),"Ⓒゴトウユキコ/双葉社")</f>
        <v>Ⓒゴトウユキコ/双葉社</v>
      </c>
      <c r="V5514" s="8"/>
      <c r="W5514" s="8"/>
      <c r="X5514" s="8"/>
      <c r="Y5514" s="8"/>
      <c r="Z5514" s="7"/>
      <c r="AA5514" s="7"/>
      <c r="AB5514" s="7"/>
    </row>
    <row r="5515" ht="15.75" customHeight="1">
      <c r="A5515" s="26">
        <f>IFERROR(__xludf.DUMMYFUNCTION("""COMPUTED_VALUE"""),8354.0)</f>
        <v>8354</v>
      </c>
      <c r="B5515" s="22" t="str">
        <f>IFERROR(__xludf.DUMMYFUNCTION("""COMPUTED_VALUE"""),"確定")</f>
        <v>確定</v>
      </c>
      <c r="C5515" s="28">
        <f>IFERROR(__xludf.DUMMYFUNCTION("""COMPUTED_VALUE"""),46202.0)</f>
        <v>46202</v>
      </c>
      <c r="D5515" s="28">
        <f>IFERROR(__xludf.DUMMYFUNCTION("""COMPUTED_VALUE"""),46203.0)</f>
        <v>46203</v>
      </c>
      <c r="E5515" s="26">
        <f>IFERROR(__xludf.DUMMYFUNCTION("""COMPUTED_VALUE"""),338191.0)</f>
        <v>338191</v>
      </c>
      <c r="F5515" s="22" t="str">
        <f>IFERROR(__xludf.DUMMYFUNCTION("""COMPUTED_VALUE"""),"年上ヤクザに激重愛を向けられて～甘く危険な支配と快楽～(フルカラー)")</f>
        <v>年上ヤクザに激重愛を向けられて～甘く危険な支配と快楽～(フルカラー)</v>
      </c>
      <c r="G5515" s="20" t="str">
        <f>IFERROR(__xludf.DUMMYFUNCTION("""COMPUTED_VALUE"""),"1~3")</f>
        <v>1~3</v>
      </c>
      <c r="H5515" s="22" t="str">
        <f>IFERROR(__xludf.DUMMYFUNCTION("""COMPUTED_VALUE"""),"Ray,Park Herb,Gangsoon")</f>
        <v>Ray,Park Herb,Gangsoon</v>
      </c>
      <c r="I5515" s="22" t="str">
        <f>IFERROR(__xludf.DUMMYFUNCTION("""COMPUTED_VALUE"""),"TL")</f>
        <v>TL</v>
      </c>
      <c r="J5515" s="22"/>
      <c r="K5515" s="22" t="str">
        <f>IFERROR(__xludf.DUMMYFUNCTION("""COMPUTED_VALUE"""),"リア×ロマ,スキして?桃色日記")</f>
        <v>リア×ロマ,スキして?桃色日記</v>
      </c>
      <c r="L5515" s="22" t="str">
        <f>IFERROR(__xludf.DUMMYFUNCTION("""COMPUTED_VALUE"""),"シーモアコミックス")</f>
        <v>シーモアコミックス</v>
      </c>
      <c r="M5515" s="33">
        <f>IFERROR(__xludf.DUMMYFUNCTION("""COMPUTED_VALUE"""),46221.0)</f>
        <v>46221</v>
      </c>
      <c r="N5515" s="33">
        <f>IFERROR(__xludf.DUMMYFUNCTION("""COMPUTED_VALUE"""),2958465.0)</f>
        <v>2958465</v>
      </c>
      <c r="O5515" s="20" t="str">
        <f>IFERROR(__xludf.DUMMYFUNCTION("""COMPUTED_VALUE"""),"【アダルト作品扱い】")</f>
        <v>【アダルト作品扱い】</v>
      </c>
      <c r="P5515" s="32" t="str">
        <f>IFERROR(__xludf.DUMMYFUNCTION("""COMPUTED_VALUE"""),"可")</f>
        <v>可</v>
      </c>
      <c r="Q5515" s="30"/>
      <c r="R5515" s="22"/>
      <c r="S5515" s="22" t="str">
        <f>IFERROR(__xludf.DUMMYFUNCTION("""COMPUTED_VALUE"""),"20260615_シーモアコミックス_年上ヤクザに激重愛を向けられて～甘く危険な支配と快楽～（フルカラー）")</f>
        <v>20260615_シーモアコミックス_年上ヤクザに激重愛を向けられて～甘く危険な支配と快楽～（フルカラー）</v>
      </c>
      <c r="T5515" s="22" t="str">
        <f>IFERROR(__xludf.DUMMYFUNCTION("""COMPUTED_VALUE"""),"格納済み")</f>
        <v>格納済み</v>
      </c>
      <c r="U5515" s="9" t="str">
        <f>IFERROR(__xludf.DUMMYFUNCTION("""COMPUTED_VALUE"""),"(C) Ray/Park Herb/Gangsoon/シーモアコミックス")</f>
        <v>(C) Ray/Park Herb/Gangsoon/シーモアコミックス</v>
      </c>
      <c r="V5515" s="8"/>
      <c r="W5515" s="8"/>
      <c r="X5515" s="8" t="str">
        <f>IFERROR(__xludf.DUMMYFUNCTION("""COMPUTED_VALUE"""),"有")</f>
        <v>有</v>
      </c>
      <c r="Y5515" s="8" t="str">
        <f>IFERROR(__xludf.DUMMYFUNCTION("""COMPUTED_VALUE"""),"2026/8/14まで1巻無料")</f>
        <v>2026/8/14まで1巻無料</v>
      </c>
      <c r="Z5515" s="7"/>
      <c r="AA5515" s="7"/>
      <c r="AB5515" s="7"/>
    </row>
    <row r="5516" ht="15.75" customHeight="1">
      <c r="A5516" s="26">
        <f>IFERROR(__xludf.DUMMYFUNCTION("""COMPUTED_VALUE"""),8355.0)</f>
        <v>8355</v>
      </c>
      <c r="B5516" s="22" t="str">
        <f>IFERROR(__xludf.DUMMYFUNCTION("""COMPUTED_VALUE"""),"確定")</f>
        <v>確定</v>
      </c>
      <c r="C5516" s="28">
        <f>IFERROR(__xludf.DUMMYFUNCTION("""COMPUTED_VALUE"""),46202.0)</f>
        <v>46202</v>
      </c>
      <c r="D5516" s="28">
        <f>IFERROR(__xludf.DUMMYFUNCTION("""COMPUTED_VALUE"""),46203.0)</f>
        <v>46203</v>
      </c>
      <c r="E5516" s="26">
        <f>IFERROR(__xludf.DUMMYFUNCTION("""COMPUTED_VALUE"""),338192.0)</f>
        <v>338192</v>
      </c>
      <c r="F5516" s="22" t="str">
        <f>IFERROR(__xludf.DUMMYFUNCTION("""COMPUTED_VALUE"""),"年上ヤクザに激重愛を向けられて～甘く危険な支配と快楽～【タテヨミ】")</f>
        <v>年上ヤクザに激重愛を向けられて～甘く危険な支配と快楽～【タテヨミ】</v>
      </c>
      <c r="G5516" s="20" t="str">
        <f>IFERROR(__xludf.DUMMYFUNCTION("""COMPUTED_VALUE"""),"1~9")</f>
        <v>1~9</v>
      </c>
      <c r="H5516" s="22" t="str">
        <f>IFERROR(__xludf.DUMMYFUNCTION("""COMPUTED_VALUE"""),"Ray,Park Herb,Gangsoon")</f>
        <v>Ray,Park Herb,Gangsoon</v>
      </c>
      <c r="I5516" s="22" t="str">
        <f>IFERROR(__xludf.DUMMYFUNCTION("""COMPUTED_VALUE"""),"TL")</f>
        <v>TL</v>
      </c>
      <c r="J5516" s="22"/>
      <c r="K5516" s="22" t="str">
        <f>IFERROR(__xludf.DUMMYFUNCTION("""COMPUTED_VALUE"""),"リア×ロマ,スキして?桃色日記")</f>
        <v>リア×ロマ,スキして?桃色日記</v>
      </c>
      <c r="L5516" s="22" t="str">
        <f>IFERROR(__xludf.DUMMYFUNCTION("""COMPUTED_VALUE"""),"シーモアコミックス")</f>
        <v>シーモアコミックス</v>
      </c>
      <c r="M5516" s="33">
        <f>IFERROR(__xludf.DUMMYFUNCTION("""COMPUTED_VALUE"""),46221.0)</f>
        <v>46221</v>
      </c>
      <c r="N5516" s="33">
        <f>IFERROR(__xludf.DUMMYFUNCTION("""COMPUTED_VALUE"""),2958465.0)</f>
        <v>2958465</v>
      </c>
      <c r="O5516" s="20" t="str">
        <f>IFERROR(__xludf.DUMMYFUNCTION("""COMPUTED_VALUE"""),"【アダルト作品扱い】")</f>
        <v>【アダルト作品扱い】</v>
      </c>
      <c r="P5516" s="32" t="str">
        <f>IFERROR(__xludf.DUMMYFUNCTION("""COMPUTED_VALUE"""),"可")</f>
        <v>可</v>
      </c>
      <c r="Q5516" s="30" t="str">
        <f>IFERROR(__xludf.DUMMYFUNCTION("""COMPUTED_VALUE"""),"コマサム等の素材は「338191　年上ヤクザに激重愛を向けられて～甘く危険な支配と快楽～(フルカラー)」の方をお使いください。バナー制作についてもフルカラー版を利用して問題ございません。")</f>
        <v>コマサム等の素材は「338191　年上ヤクザに激重愛を向けられて～甘く危険な支配と快楽～(フルカラー)」の方をお使いください。バナー制作についてもフルカラー版を利用して問題ございません。</v>
      </c>
      <c r="R5516" s="22"/>
      <c r="S5516" s="22" t="str">
        <f>IFERROR(__xludf.DUMMYFUNCTION("""COMPUTED_VALUE"""),"20260615_シーモアコミックス_年上ヤクザに激重愛を向けられて～甘く危険な支配と快楽～【タテヨミ】")</f>
        <v>20260615_シーモアコミックス_年上ヤクザに激重愛を向けられて～甘く危険な支配と快楽～【タテヨミ】</v>
      </c>
      <c r="T5516" s="22" t="str">
        <f>IFERROR(__xludf.DUMMYFUNCTION("""COMPUTED_VALUE"""),"格納済み")</f>
        <v>格納済み</v>
      </c>
      <c r="U5516" s="9" t="str">
        <f>IFERROR(__xludf.DUMMYFUNCTION("""COMPUTED_VALUE"""),"(C) Ray/Park Herb/Gangsoon/シーモアコミックス")</f>
        <v>(C) Ray/Park Herb/Gangsoon/シーモアコミックス</v>
      </c>
      <c r="V5516" s="8"/>
      <c r="W5516" s="8"/>
      <c r="X5516" s="8" t="str">
        <f>IFERROR(__xludf.DUMMYFUNCTION("""COMPUTED_VALUE"""),"有")</f>
        <v>有</v>
      </c>
      <c r="Y5516" s="8" t="str">
        <f>IFERROR(__xludf.DUMMYFUNCTION("""COMPUTED_VALUE"""),"2026/8/14まで1～3巻無料")</f>
        <v>2026/8/14まで1～3巻無料</v>
      </c>
      <c r="Z5516" s="7"/>
      <c r="AA5516" s="7"/>
      <c r="AB5516" s="7"/>
    </row>
    <row r="5517" ht="15.75" customHeight="1">
      <c r="A5517" s="26">
        <f>IFERROR(__xludf.DUMMYFUNCTION("""COMPUTED_VALUE"""),8356.0)</f>
        <v>8356</v>
      </c>
      <c r="B5517" s="22" t="str">
        <f>IFERROR(__xludf.DUMMYFUNCTION("""COMPUTED_VALUE"""),"確定")</f>
        <v>確定</v>
      </c>
      <c r="C5517" s="28">
        <f>IFERROR(__xludf.DUMMYFUNCTION("""COMPUTED_VALUE"""),46202.0)</f>
        <v>46202</v>
      </c>
      <c r="D5517" s="28">
        <f>IFERROR(__xludf.DUMMYFUNCTION("""COMPUTED_VALUE"""),46203.0)</f>
        <v>46203</v>
      </c>
      <c r="E5517" s="26">
        <f>IFERROR(__xludf.DUMMYFUNCTION("""COMPUTED_VALUE"""),354802.0)</f>
        <v>354802</v>
      </c>
      <c r="F5517" s="22" t="str">
        <f>IFERROR(__xludf.DUMMYFUNCTION("""COMPUTED_VALUE"""),"やけくそ勇者ご一行")</f>
        <v>やけくそ勇者ご一行</v>
      </c>
      <c r="G5517" s="20">
        <f>IFERROR(__xludf.DUMMYFUNCTION("""COMPUTED_VALUE"""),1.0)</f>
        <v>1</v>
      </c>
      <c r="H5517" s="22" t="str">
        <f>IFERROR(__xludf.DUMMYFUNCTION("""COMPUTED_VALUE"""),"LOVE麦茶")</f>
        <v>LOVE麦茶</v>
      </c>
      <c r="I5517" s="22" t="str">
        <f>IFERROR(__xludf.DUMMYFUNCTION("""COMPUTED_VALUE"""),"少年")</f>
        <v>少年</v>
      </c>
      <c r="J5517" s="22"/>
      <c r="K5517" s="22" t="str">
        <f>IFERROR(__xludf.DUMMYFUNCTION("""COMPUTED_VALUE"""),"モアコミegg")</f>
        <v>モアコミegg</v>
      </c>
      <c r="L5517" s="22" t="str">
        <f>IFERROR(__xludf.DUMMYFUNCTION("""COMPUTED_VALUE"""),"シーモアコミックス")</f>
        <v>シーモアコミックス</v>
      </c>
      <c r="M5517" s="33">
        <f>IFERROR(__xludf.DUMMYFUNCTION("""COMPUTED_VALUE"""),46223.0)</f>
        <v>46223</v>
      </c>
      <c r="N5517" s="33">
        <f>IFERROR(__xludf.DUMMYFUNCTION("""COMPUTED_VALUE"""),2958465.0)</f>
        <v>2958465</v>
      </c>
      <c r="O5517" s="20"/>
      <c r="P5517" s="32" t="str">
        <f>IFERROR(__xludf.DUMMYFUNCTION("""COMPUTED_VALUE"""),"可")</f>
        <v>可</v>
      </c>
      <c r="Q5517" s="30" t="str">
        <f>IFERROR(__xludf.DUMMYFUNCTION("""COMPUTED_VALUE"""),"読み切り作品。")</f>
        <v>読み切り作品。</v>
      </c>
      <c r="R5517" s="22"/>
      <c r="S5517" s="22" t="str">
        <f>IFERROR(__xludf.DUMMYFUNCTION("""COMPUTED_VALUE"""),"20260616_シーモアコミックス_やけくそ勇者ご一行")</f>
        <v>20260616_シーモアコミックス_やけくそ勇者ご一行</v>
      </c>
      <c r="T5517" s="22" t="str">
        <f>IFERROR(__xludf.DUMMYFUNCTION("""COMPUTED_VALUE"""),"格納済み")</f>
        <v>格納済み</v>
      </c>
      <c r="U5517" s="9" t="str">
        <f>IFERROR(__xludf.DUMMYFUNCTION("""COMPUTED_VALUE"""),"(C) LOVE麦茶/シーモアコミックス")</f>
        <v>(C) LOVE麦茶/シーモアコミックス</v>
      </c>
      <c r="V5517" s="8"/>
      <c r="W5517" s="8"/>
      <c r="X5517" s="8" t="str">
        <f>IFERROR(__xludf.DUMMYFUNCTION("""COMPUTED_VALUE"""),"有")</f>
        <v>有</v>
      </c>
      <c r="Y5517" s="8" t="str">
        <f>IFERROR(__xludf.DUMMYFUNCTION("""COMPUTED_VALUE"""),"p17まで")</f>
        <v>p17まで</v>
      </c>
      <c r="Z5517" s="7"/>
      <c r="AA5517" s="7"/>
      <c r="AB5517" s="7"/>
    </row>
    <row r="5518" ht="15.75" customHeight="1">
      <c r="A5518" s="26">
        <f>IFERROR(__xludf.DUMMYFUNCTION("""COMPUTED_VALUE"""),8357.0)</f>
        <v>8357</v>
      </c>
      <c r="B5518" s="22" t="str">
        <f>IFERROR(__xludf.DUMMYFUNCTION("""COMPUTED_VALUE"""),"確定")</f>
        <v>確定</v>
      </c>
      <c r="C5518" s="28">
        <f>IFERROR(__xludf.DUMMYFUNCTION("""COMPUTED_VALUE"""),46202.0)</f>
        <v>46202</v>
      </c>
      <c r="D5518" s="28">
        <f>IFERROR(__xludf.DUMMYFUNCTION("""COMPUTED_VALUE"""),46203.0)</f>
        <v>46203</v>
      </c>
      <c r="E5518" s="26">
        <f>IFERROR(__xludf.DUMMYFUNCTION("""COMPUTED_VALUE"""),359485.0)</f>
        <v>359485</v>
      </c>
      <c r="F5518" s="22" t="str">
        <f>IFERROR(__xludf.DUMMYFUNCTION("""COMPUTED_VALUE"""),"抱けっ!!")</f>
        <v>抱けっ!!</v>
      </c>
      <c r="G5518" s="20">
        <f>IFERROR(__xludf.DUMMYFUNCTION("""COMPUTED_VALUE"""),1.0)</f>
        <v>1</v>
      </c>
      <c r="H5518" s="22" t="str">
        <f>IFERROR(__xludf.DUMMYFUNCTION("""COMPUTED_VALUE"""),"穂鷹にか")</f>
        <v>穂鷹にか</v>
      </c>
      <c r="I5518" s="22" t="str">
        <f>IFERROR(__xludf.DUMMYFUNCTION("""COMPUTED_VALUE"""),"BL")</f>
        <v>BL</v>
      </c>
      <c r="J5518" s="22"/>
      <c r="K5518" s="22" t="str">
        <f>IFERROR(__xludf.DUMMYFUNCTION("""COMPUTED_VALUE"""),"モアコミegg")</f>
        <v>モアコミegg</v>
      </c>
      <c r="L5518" s="22" t="str">
        <f>IFERROR(__xludf.DUMMYFUNCTION("""COMPUTED_VALUE"""),"シーモアコミックス")</f>
        <v>シーモアコミックス</v>
      </c>
      <c r="M5518" s="33">
        <f>IFERROR(__xludf.DUMMYFUNCTION("""COMPUTED_VALUE"""),46223.0)</f>
        <v>46223</v>
      </c>
      <c r="N5518" s="33">
        <f>IFERROR(__xludf.DUMMYFUNCTION("""COMPUTED_VALUE"""),2958465.0)</f>
        <v>2958465</v>
      </c>
      <c r="O5518" s="20"/>
      <c r="P5518" s="32" t="str">
        <f>IFERROR(__xludf.DUMMYFUNCTION("""COMPUTED_VALUE"""),"可")</f>
        <v>可</v>
      </c>
      <c r="Q5518" s="30" t="str">
        <f>IFERROR(__xludf.DUMMYFUNCTION("""COMPUTED_VALUE"""),"読み切り作品")</f>
        <v>読み切り作品</v>
      </c>
      <c r="R5518" s="22"/>
      <c r="S5518" s="22" t="str">
        <f>IFERROR(__xludf.DUMMYFUNCTION("""COMPUTED_VALUE"""),"20260616_シーモアコミックス_抱けっ!!")</f>
        <v>20260616_シーモアコミックス_抱けっ!!</v>
      </c>
      <c r="T5518" s="22" t="str">
        <f>IFERROR(__xludf.DUMMYFUNCTION("""COMPUTED_VALUE"""),"格納済み")</f>
        <v>格納済み</v>
      </c>
      <c r="U5518" s="9" t="str">
        <f>IFERROR(__xludf.DUMMYFUNCTION("""COMPUTED_VALUE"""),"(C) 穂鷹にか/シーモアコミックス")</f>
        <v>(C) 穂鷹にか/シーモアコミックス</v>
      </c>
      <c r="V5518" s="8"/>
      <c r="W5518" s="8"/>
      <c r="X5518" s="8" t="str">
        <f>IFERROR(__xludf.DUMMYFUNCTION("""COMPUTED_VALUE"""),"有")</f>
        <v>有</v>
      </c>
      <c r="Y5518" s="8" t="str">
        <f>IFERROR(__xludf.DUMMYFUNCTION("""COMPUTED_VALUE"""),"p12まで")</f>
        <v>p12まで</v>
      </c>
      <c r="Z5518" s="7"/>
      <c r="AA5518" s="7"/>
      <c r="AB5518" s="7"/>
    </row>
    <row r="5519" ht="15.75" customHeight="1">
      <c r="A5519" s="26">
        <f>IFERROR(__xludf.DUMMYFUNCTION("""COMPUTED_VALUE"""),8358.0)</f>
        <v>8358</v>
      </c>
      <c r="B5519" s="22" t="str">
        <f>IFERROR(__xludf.DUMMYFUNCTION("""COMPUTED_VALUE"""),"確定")</f>
        <v>確定</v>
      </c>
      <c r="C5519" s="28">
        <f>IFERROR(__xludf.DUMMYFUNCTION("""COMPUTED_VALUE"""),46202.0)</f>
        <v>46202</v>
      </c>
      <c r="D5519" s="28">
        <f>IFERROR(__xludf.DUMMYFUNCTION("""COMPUTED_VALUE"""),46203.0)</f>
        <v>46203</v>
      </c>
      <c r="E5519" s="26">
        <f>IFERROR(__xludf.DUMMYFUNCTION("""COMPUTED_VALUE"""),360429.0)</f>
        <v>360429</v>
      </c>
      <c r="F5519" s="22" t="str">
        <f>IFERROR(__xludf.DUMMYFUNCTION("""COMPUTED_VALUE"""),"怖がりな君へ")</f>
        <v>怖がりな君へ</v>
      </c>
      <c r="G5519" s="20">
        <f>IFERROR(__xludf.DUMMYFUNCTION("""COMPUTED_VALUE"""),1.0)</f>
        <v>1</v>
      </c>
      <c r="H5519" s="22" t="str">
        <f>IFERROR(__xludf.DUMMYFUNCTION("""COMPUTED_VALUE"""),"鬱野紫苑")</f>
        <v>鬱野紫苑</v>
      </c>
      <c r="I5519" s="22" t="str">
        <f>IFERROR(__xludf.DUMMYFUNCTION("""COMPUTED_VALUE"""),"少年")</f>
        <v>少年</v>
      </c>
      <c r="J5519" s="22"/>
      <c r="K5519" s="22" t="str">
        <f>IFERROR(__xludf.DUMMYFUNCTION("""COMPUTED_VALUE"""),"モアコミegg")</f>
        <v>モアコミegg</v>
      </c>
      <c r="L5519" s="22" t="str">
        <f>IFERROR(__xludf.DUMMYFUNCTION("""COMPUTED_VALUE"""),"シーモアコミックス")</f>
        <v>シーモアコミックス</v>
      </c>
      <c r="M5519" s="33">
        <f>IFERROR(__xludf.DUMMYFUNCTION("""COMPUTED_VALUE"""),46223.0)</f>
        <v>46223</v>
      </c>
      <c r="N5519" s="33">
        <f>IFERROR(__xludf.DUMMYFUNCTION("""COMPUTED_VALUE"""),2958465.0)</f>
        <v>2958465</v>
      </c>
      <c r="O5519" s="20"/>
      <c r="P5519" s="32" t="str">
        <f>IFERROR(__xludf.DUMMYFUNCTION("""COMPUTED_VALUE"""),"可")</f>
        <v>可</v>
      </c>
      <c r="Q5519" s="30" t="str">
        <f>IFERROR(__xludf.DUMMYFUNCTION("""COMPUTED_VALUE"""),"読み切り作品")</f>
        <v>読み切り作品</v>
      </c>
      <c r="R5519" s="22"/>
      <c r="S5519" s="22" t="str">
        <f>IFERROR(__xludf.DUMMYFUNCTION("""COMPUTED_VALUE"""),"20260616_シーモアコミックス_怖がりな君へ")</f>
        <v>20260616_シーモアコミックス_怖がりな君へ</v>
      </c>
      <c r="T5519" s="22" t="str">
        <f>IFERROR(__xludf.DUMMYFUNCTION("""COMPUTED_VALUE"""),"格納済み")</f>
        <v>格納済み</v>
      </c>
      <c r="U5519" s="9" t="str">
        <f>IFERROR(__xludf.DUMMYFUNCTION("""COMPUTED_VALUE"""),"(C) 鬱野紫苑/シーモアコミックス")</f>
        <v>(C) 鬱野紫苑/シーモアコミックス</v>
      </c>
      <c r="V5519" s="8"/>
      <c r="W5519" s="8"/>
      <c r="X5519" s="8" t="str">
        <f>IFERROR(__xludf.DUMMYFUNCTION("""COMPUTED_VALUE"""),"有")</f>
        <v>有</v>
      </c>
      <c r="Y5519" s="8" t="str">
        <f>IFERROR(__xludf.DUMMYFUNCTION("""COMPUTED_VALUE"""),"p19まで")</f>
        <v>p19まで</v>
      </c>
      <c r="Z5519" s="7"/>
      <c r="AA5519" s="7"/>
      <c r="AB5519" s="7"/>
    </row>
    <row r="5520" ht="15.75" customHeight="1">
      <c r="A5520" s="26">
        <f>IFERROR(__xludf.DUMMYFUNCTION("""COMPUTED_VALUE"""),8359.0)</f>
        <v>8359</v>
      </c>
      <c r="B5520" s="22" t="str">
        <f>IFERROR(__xludf.DUMMYFUNCTION("""COMPUTED_VALUE"""),"確定")</f>
        <v>確定</v>
      </c>
      <c r="C5520" s="28">
        <f>IFERROR(__xludf.DUMMYFUNCTION("""COMPUTED_VALUE"""),46202.0)</f>
        <v>46202</v>
      </c>
      <c r="D5520" s="28">
        <f>IFERROR(__xludf.DUMMYFUNCTION("""COMPUTED_VALUE"""),46204.0)</f>
        <v>46204</v>
      </c>
      <c r="E5520" s="26"/>
      <c r="F5520" s="22" t="str">
        <f>IFERROR(__xludf.DUMMYFUNCTION("""COMPUTED_VALUE"""),"アイとトワ")</f>
        <v>アイとトワ</v>
      </c>
      <c r="G5520" s="20">
        <f>IFERROR(__xludf.DUMMYFUNCTION("""COMPUTED_VALUE"""),1.0)</f>
        <v>1</v>
      </c>
      <c r="H5520" s="22" t="str">
        <f>IFERROR(__xludf.DUMMYFUNCTION("""COMPUTED_VALUE"""),"カキネ")</f>
        <v>カキネ</v>
      </c>
      <c r="I5520" s="22" t="str">
        <f>IFERROR(__xludf.DUMMYFUNCTION("""COMPUTED_VALUE"""),"BL")</f>
        <v>BL</v>
      </c>
      <c r="J5520" s="22"/>
      <c r="K5520" s="22"/>
      <c r="L5520" s="22" t="str">
        <f>IFERROR(__xludf.DUMMYFUNCTION("""COMPUTED_VALUE"""),"集英社")</f>
        <v>集英社</v>
      </c>
      <c r="M5520" s="33">
        <f>IFERROR(__xludf.DUMMYFUNCTION("""COMPUTED_VALUE"""),46229.0)</f>
        <v>46229</v>
      </c>
      <c r="N5520" s="33">
        <f>IFERROR(__xludf.DUMMYFUNCTION("""COMPUTED_VALUE"""),46258.0)</f>
        <v>46258</v>
      </c>
      <c r="O5520" s="20"/>
      <c r="P5520" s="32" t="str">
        <f>IFERROR(__xludf.DUMMYFUNCTION("""COMPUTED_VALUE"""),"否")</f>
        <v>否</v>
      </c>
      <c r="Q5520" s="30"/>
      <c r="R5520" s="22"/>
      <c r="S5520" s="22" t="str">
        <f>IFERROR(__xludf.DUMMYFUNCTION("""COMPUTED_VALUE"""),"20260622_集英社_アイとトワ")</f>
        <v>20260622_集英社_アイとトワ</v>
      </c>
      <c r="T5520" s="22" t="str">
        <f>IFERROR(__xludf.DUMMYFUNCTION("""COMPUTED_VALUE"""),"格納済み")</f>
        <v>格納済み</v>
      </c>
      <c r="U5520" s="9" t="str">
        <f>IFERROR(__xludf.DUMMYFUNCTION("""COMPUTED_VALUE"""),"（C）カキネ／集英社")</f>
        <v>（C）カキネ／集英社</v>
      </c>
      <c r="V5520" s="8"/>
      <c r="W5520" s="8"/>
      <c r="X5520" s="8"/>
      <c r="Y5520" s="8"/>
      <c r="Z5520" s="7"/>
      <c r="AA5520" s="7"/>
      <c r="AB5520" s="7"/>
    </row>
    <row r="5521" ht="15.75" customHeight="1">
      <c r="A5521" s="26">
        <f>IFERROR(__xludf.DUMMYFUNCTION("""COMPUTED_VALUE"""),8360.0)</f>
        <v>8360</v>
      </c>
      <c r="B5521" s="22" t="str">
        <f>IFERROR(__xludf.DUMMYFUNCTION("""COMPUTED_VALUE"""),"確定")</f>
        <v>確定</v>
      </c>
      <c r="C5521" s="28">
        <f>IFERROR(__xludf.DUMMYFUNCTION("""COMPUTED_VALUE"""),46202.0)</f>
        <v>46202</v>
      </c>
      <c r="D5521" s="28">
        <f>IFERROR(__xludf.DUMMYFUNCTION("""COMPUTED_VALUE"""),46204.0)</f>
        <v>46204</v>
      </c>
      <c r="E5521" s="26"/>
      <c r="F5521" s="22" t="str">
        <f>IFERROR(__xludf.DUMMYFUNCTION("""COMPUTED_VALUE"""),"無人島で男主人公を釣りました")</f>
        <v>無人島で男主人公を釣りました</v>
      </c>
      <c r="G5521" s="20" t="str">
        <f>IFERROR(__xludf.DUMMYFUNCTION("""COMPUTED_VALUE"""),"1~3")</f>
        <v>1~3</v>
      </c>
      <c r="H5521" s="22" t="str">
        <f>IFERROR(__xludf.DUMMYFUNCTION("""COMPUTED_VALUE"""),"Hinttan／Suji／Jjada")</f>
        <v>Hinttan／Suji／Jjada</v>
      </c>
      <c r="I5521" s="22" t="str">
        <f>IFERROR(__xludf.DUMMYFUNCTION("""COMPUTED_VALUE"""),"TL")</f>
        <v>TL</v>
      </c>
      <c r="J5521" s="22"/>
      <c r="K5521" s="22"/>
      <c r="L5521" s="22" t="str">
        <f>IFERROR(__xludf.DUMMYFUNCTION("""COMPUTED_VALUE"""),"パルソラ")</f>
        <v>パルソラ</v>
      </c>
      <c r="M5521" s="33">
        <f>IFERROR(__xludf.DUMMYFUNCTION("""COMPUTED_VALUE"""),46236.0)</f>
        <v>46236</v>
      </c>
      <c r="N5521" s="33">
        <f>IFERROR(__xludf.DUMMYFUNCTION("""COMPUTED_VALUE"""),46328.0)</f>
        <v>46328</v>
      </c>
      <c r="O5521" s="20" t="str">
        <f>IFERROR(__xludf.DUMMYFUNCTION("""COMPUTED_VALUE"""),"【アダルト作品扱い】")</f>
        <v>【アダルト作品扱い】</v>
      </c>
      <c r="P5521" s="32" t="str">
        <f>IFERROR(__xludf.DUMMYFUNCTION("""COMPUTED_VALUE"""),"可")</f>
        <v>可</v>
      </c>
      <c r="Q5521" s="30"/>
      <c r="R5521" s="22"/>
      <c r="S5521" s="22" t="str">
        <f>IFERROR(__xludf.DUMMYFUNCTION("""COMPUTED_VALUE"""),"20260622_パルソラ_無人島で男主人公を釣りました")</f>
        <v>20260622_パルソラ_無人島で男主人公を釣りました</v>
      </c>
      <c r="T5521" s="22" t="str">
        <f>IFERROR(__xludf.DUMMYFUNCTION("""COMPUTED_VALUE"""),"格納済み")</f>
        <v>格納済み</v>
      </c>
      <c r="U5521" s="9" t="str">
        <f>IFERROR(__xludf.DUMMYFUNCTION("""COMPUTED_VALUE"""),"ⒸHinttan／Suji／Jjada／カクコミ")</f>
        <v>ⒸHinttan／Suji／Jjada／カクコミ</v>
      </c>
      <c r="V5521" s="8"/>
      <c r="W5521" s="8"/>
      <c r="X5521" s="8"/>
      <c r="Y5521" s="8"/>
      <c r="Z5521" s="7"/>
      <c r="AA5521" s="7"/>
      <c r="AB5521" s="7"/>
    </row>
    <row r="5522" ht="15.75" customHeight="1">
      <c r="A5522" s="26">
        <f>IFERROR(__xludf.DUMMYFUNCTION("""COMPUTED_VALUE"""),8361.0)</f>
        <v>8361</v>
      </c>
      <c r="B5522" s="22" t="str">
        <f>IFERROR(__xludf.DUMMYFUNCTION("""COMPUTED_VALUE"""),"確定")</f>
        <v>確定</v>
      </c>
      <c r="C5522" s="28">
        <f>IFERROR(__xludf.DUMMYFUNCTION("""COMPUTED_VALUE"""),46202.0)</f>
        <v>46202</v>
      </c>
      <c r="D5522" s="28">
        <f>IFERROR(__xludf.DUMMYFUNCTION("""COMPUTED_VALUE"""),46203.0)</f>
        <v>46203</v>
      </c>
      <c r="E5522" s="26"/>
      <c r="F5522" s="22" t="str">
        <f>IFERROR(__xludf.DUMMYFUNCTION("""COMPUTED_VALUE"""),"Shutline〜シャットライン〜【タテヨミ】")</f>
        <v>Shutline〜シャットライン〜【タテヨミ】</v>
      </c>
      <c r="G5522" s="20" t="str">
        <f>IFERROR(__xludf.DUMMYFUNCTION("""COMPUTED_VALUE"""),"1~30")</f>
        <v>1~30</v>
      </c>
      <c r="H5522" s="22" t="str">
        <f>IFERROR(__xludf.DUMMYFUNCTION("""COMPUTED_VALUE"""),"KYOU")</f>
        <v>KYOU</v>
      </c>
      <c r="I5522" s="22" t="str">
        <f>IFERROR(__xludf.DUMMYFUNCTION("""COMPUTED_VALUE"""),"BL")</f>
        <v>BL</v>
      </c>
      <c r="J5522" s="22"/>
      <c r="K5522" s="22"/>
      <c r="L5522" s="22" t="str">
        <f>IFERROR(__xludf.DUMMYFUNCTION("""COMPUTED_VALUE"""),"レジンエンターテインメント")</f>
        <v>レジンエンターテインメント</v>
      </c>
      <c r="M5522" s="33">
        <f>IFERROR(__xludf.DUMMYFUNCTION("""COMPUTED_VALUE"""),46234.0)</f>
        <v>46234</v>
      </c>
      <c r="N5522" s="33">
        <f>IFERROR(__xludf.DUMMYFUNCTION("""COMPUTED_VALUE"""),46326.0)</f>
        <v>46326</v>
      </c>
      <c r="O5522" s="20"/>
      <c r="P5522" s="32" t="str">
        <f>IFERROR(__xludf.DUMMYFUNCTION("""COMPUTED_VALUE"""),"可")</f>
        <v>可</v>
      </c>
      <c r="Q5522" s="30"/>
      <c r="R5522" s="22"/>
      <c r="S5522" s="22" t="str">
        <f>IFERROR(__xludf.DUMMYFUNCTION("""COMPUTED_VALUE"""),"20260622_レジンエンターテインメント_shutline")</f>
        <v>20260622_レジンエンターテインメント_shutline</v>
      </c>
      <c r="T5522" s="22" t="str">
        <f>IFERROR(__xludf.DUMMYFUNCTION("""COMPUTED_VALUE"""),"格納済み")</f>
        <v>格納済み</v>
      </c>
      <c r="U5522" s="9" t="str">
        <f>IFERROR(__xludf.DUMMYFUNCTION("""COMPUTED_VALUE"""),"Ⓒ  KYOU / レジンエンターテインメント")</f>
        <v>Ⓒ  KYOU / レジンエンターテインメント</v>
      </c>
      <c r="V5522" s="8"/>
      <c r="W5522" s="8"/>
      <c r="X5522" s="8"/>
      <c r="Y5522" s="8"/>
      <c r="Z5522" s="7"/>
      <c r="AA5522" s="7"/>
      <c r="AB5522" s="7"/>
    </row>
    <row r="5523" ht="15.75" customHeight="1">
      <c r="A5523" s="26">
        <f>IFERROR(__xludf.DUMMYFUNCTION("""COMPUTED_VALUE"""),8362.0)</f>
        <v>8362</v>
      </c>
      <c r="B5523" s="22" t="str">
        <f>IFERROR(__xludf.DUMMYFUNCTION("""COMPUTED_VALUE"""),"確定")</f>
        <v>確定</v>
      </c>
      <c r="C5523" s="28">
        <f>IFERROR(__xludf.DUMMYFUNCTION("""COMPUTED_VALUE"""),46202.0)</f>
        <v>46202</v>
      </c>
      <c r="D5523" s="28">
        <f>IFERROR(__xludf.DUMMYFUNCTION("""COMPUTED_VALUE"""),46204.0)</f>
        <v>46204</v>
      </c>
      <c r="E5523" s="26">
        <f>IFERROR(__xludf.DUMMYFUNCTION("""COMPUTED_VALUE"""),324461.0)</f>
        <v>324461</v>
      </c>
      <c r="F5523" s="22" t="str">
        <f>IFERROR(__xludf.DUMMYFUNCTION("""COMPUTED_VALUE"""),"ヴェンデッタ・クエスト～依頼はゲーム・復讐は現実～")</f>
        <v>ヴェンデッタ・クエスト～依頼はゲーム・復讐は現実～</v>
      </c>
      <c r="G5523" s="20" t="str">
        <f>IFERROR(__xludf.DUMMYFUNCTION("""COMPUTED_VALUE"""),"1~3")</f>
        <v>1~3</v>
      </c>
      <c r="H5523" s="22" t="str">
        <f>IFERROR(__xludf.DUMMYFUNCTION("""COMPUTED_VALUE"""),"綿和わた┴御城夏")</f>
        <v>綿和わた┴御城夏</v>
      </c>
      <c r="I5523" s="22" t="str">
        <f>IFERROR(__xludf.DUMMYFUNCTION("""COMPUTED_VALUE"""),"青年")</f>
        <v>青年</v>
      </c>
      <c r="J5523" s="22"/>
      <c r="K5523" s="22" t="str">
        <f>IFERROR(__xludf.DUMMYFUNCTION("""COMPUTED_VALUE"""),"トレモア・スプラッシュ,トレモアcollection")</f>
        <v>トレモア・スプラッシュ,トレモアcollection</v>
      </c>
      <c r="L5523" s="22" t="str">
        <f>IFERROR(__xludf.DUMMYFUNCTION("""COMPUTED_VALUE"""),"シーモアコミックス（トレモア）")</f>
        <v>シーモアコミックス（トレモア）</v>
      </c>
      <c r="M5523" s="33">
        <f>IFERROR(__xludf.DUMMYFUNCTION("""COMPUTED_VALUE"""),46234.0)</f>
        <v>46234</v>
      </c>
      <c r="N5523" s="33">
        <f>IFERROR(__xludf.DUMMYFUNCTION("""COMPUTED_VALUE"""),46387.0)</f>
        <v>46387</v>
      </c>
      <c r="O5523" s="20"/>
      <c r="P5523" s="32" t="str">
        <f>IFERROR(__xludf.DUMMYFUNCTION("""COMPUTED_VALUE"""),"可")</f>
        <v>可</v>
      </c>
      <c r="Q5523" s="30"/>
      <c r="R5523" s="22"/>
      <c r="S5523" s="22" t="str">
        <f>IFERROR(__xludf.DUMMYFUNCTION("""COMPUTED_VALUE"""),"20260619_シーモアコミックス_ヴェンデッタ・クエスト～依頼はゲーム・復讐は現実～")</f>
        <v>20260619_シーモアコミックス_ヴェンデッタ・クエスト～依頼はゲーム・復讐は現実～</v>
      </c>
      <c r="T5523" s="22" t="str">
        <f>IFERROR(__xludf.DUMMYFUNCTION("""COMPUTED_VALUE"""),"格納済み")</f>
        <v>格納済み</v>
      </c>
      <c r="U5523" s="9" t="str">
        <f>IFERROR(__xludf.DUMMYFUNCTION("""COMPUTED_VALUE"""),"(C) 綿和わた/御城夏/シーモアコミックス")</f>
        <v>(C) 綿和わた/御城夏/シーモアコミックス</v>
      </c>
      <c r="V5523" s="8"/>
      <c r="W5523" s="8"/>
      <c r="X5523" s="8"/>
      <c r="Y5523" s="8"/>
      <c r="Z5523" s="7"/>
      <c r="AA5523" s="7"/>
      <c r="AB5523" s="7"/>
    </row>
    <row r="5524" ht="15.75" customHeight="1">
      <c r="A5524" s="26">
        <f>IFERROR(__xludf.DUMMYFUNCTION("""COMPUTED_VALUE"""),8363.0)</f>
        <v>8363</v>
      </c>
      <c r="B5524" s="22" t="str">
        <f>IFERROR(__xludf.DUMMYFUNCTION("""COMPUTED_VALUE"""),"確定")</f>
        <v>確定</v>
      </c>
      <c r="C5524" s="28">
        <f>IFERROR(__xludf.DUMMYFUNCTION("""COMPUTED_VALUE"""),46202.0)</f>
        <v>46202</v>
      </c>
      <c r="D5524" s="28">
        <f>IFERROR(__xludf.DUMMYFUNCTION("""COMPUTED_VALUE"""),46204.0)</f>
        <v>46204</v>
      </c>
      <c r="E5524" s="26">
        <f>IFERROR(__xludf.DUMMYFUNCTION("""COMPUTED_VALUE"""),301070.0)</f>
        <v>301070</v>
      </c>
      <c r="F5524" s="22" t="str">
        <f>IFERROR(__xludf.DUMMYFUNCTION("""COMPUTED_VALUE"""),"嘘つきオメガは愛に溺れる")</f>
        <v>嘘つきオメガは愛に溺れる</v>
      </c>
      <c r="G5524" s="20" t="str">
        <f>IFERROR(__xludf.DUMMYFUNCTION("""COMPUTED_VALUE"""),"1~3")</f>
        <v>1~3</v>
      </c>
      <c r="H5524" s="22" t="str">
        <f>IFERROR(__xludf.DUMMYFUNCTION("""COMPUTED_VALUE"""),"仲春リョウ")</f>
        <v>仲春リョウ</v>
      </c>
      <c r="I5524" s="22" t="str">
        <f>IFERROR(__xludf.DUMMYFUNCTION("""COMPUTED_VALUE"""),"女性")</f>
        <v>女性</v>
      </c>
      <c r="J5524" s="22"/>
      <c r="K5524" s="22" t="str">
        <f>IFERROR(__xludf.DUMMYFUNCTION("""COMPUTED_VALUE"""),"スキして?桃色日記")</f>
        <v>スキして?桃色日記</v>
      </c>
      <c r="L5524" s="22" t="str">
        <f>IFERROR(__xludf.DUMMYFUNCTION("""COMPUTED_VALUE"""),"シーモアコミックス")</f>
        <v>シーモアコミックス</v>
      </c>
      <c r="M5524" s="33">
        <f>IFERROR(__xludf.DUMMYFUNCTION("""COMPUTED_VALUE"""),46228.0)</f>
        <v>46228</v>
      </c>
      <c r="N5524" s="33">
        <f>IFERROR(__xludf.DUMMYFUNCTION("""COMPUTED_VALUE"""),46324.0)</f>
        <v>46324</v>
      </c>
      <c r="O5524" s="20"/>
      <c r="P5524" s="32" t="str">
        <f>IFERROR(__xludf.DUMMYFUNCTION("""COMPUTED_VALUE"""),"可")</f>
        <v>可</v>
      </c>
      <c r="Q5524" s="30"/>
      <c r="R5524" s="22"/>
      <c r="S5524" s="22" t="str">
        <f>IFERROR(__xludf.DUMMYFUNCTION("""COMPUTED_VALUE"""),"20260623_シーモアコミックス_嘘つきオメガは愛に溺れる")</f>
        <v>20260623_シーモアコミックス_嘘つきオメガは愛に溺れる</v>
      </c>
      <c r="T5524" s="22" t="str">
        <f>IFERROR(__xludf.DUMMYFUNCTION("""COMPUTED_VALUE"""),"格納済み")</f>
        <v>格納済み</v>
      </c>
      <c r="U5524" s="9" t="str">
        <f>IFERROR(__xludf.DUMMYFUNCTION("""COMPUTED_VALUE"""),"(C) 仲春リョウ/シーモアコミックス")</f>
        <v>(C) 仲春リョウ/シーモアコミックス</v>
      </c>
      <c r="V5524" s="8"/>
      <c r="W5524" s="8"/>
      <c r="X5524" s="8"/>
      <c r="Y5524" s="8"/>
      <c r="Z5524" s="7"/>
      <c r="AA5524" s="7"/>
      <c r="AB5524" s="7"/>
    </row>
    <row r="5525" ht="15.75" customHeight="1">
      <c r="A5525" s="26">
        <f>IFERROR(__xludf.DUMMYFUNCTION("""COMPUTED_VALUE"""),8364.0)</f>
        <v>8364</v>
      </c>
      <c r="B5525" s="22" t="str">
        <f>IFERROR(__xludf.DUMMYFUNCTION("""COMPUTED_VALUE"""),"確定")</f>
        <v>確定</v>
      </c>
      <c r="C5525" s="28">
        <f>IFERROR(__xludf.DUMMYFUNCTION("""COMPUTED_VALUE"""),46202.0)</f>
        <v>46202</v>
      </c>
      <c r="D5525" s="28">
        <f>IFERROR(__xludf.DUMMYFUNCTION("""COMPUTED_VALUE"""),46204.0)</f>
        <v>46204</v>
      </c>
      <c r="E5525" s="26">
        <f>IFERROR(__xludf.DUMMYFUNCTION("""COMPUTED_VALUE"""),349732.0)</f>
        <v>349732</v>
      </c>
      <c r="F5525" s="22" t="str">
        <f>IFERROR(__xludf.DUMMYFUNCTION("""COMPUTED_VALUE"""),"恋などせずに、いれたらよかった")</f>
        <v>恋などせずに、いれたらよかった</v>
      </c>
      <c r="G5525" s="20" t="str">
        <f>IFERROR(__xludf.DUMMYFUNCTION("""COMPUTED_VALUE"""),"1~3")</f>
        <v>1~3</v>
      </c>
      <c r="H5525" s="22" t="str">
        <f>IFERROR(__xludf.DUMMYFUNCTION("""COMPUTED_VALUE"""),"ゐその")</f>
        <v>ゐその</v>
      </c>
      <c r="I5525" s="22" t="str">
        <f>IFERROR(__xludf.DUMMYFUNCTION("""COMPUTED_VALUE"""),"少女")</f>
        <v>少女</v>
      </c>
      <c r="J5525" s="22"/>
      <c r="K5525" s="22" t="str">
        <f>IFERROR(__xludf.DUMMYFUNCTION("""COMPUTED_VALUE"""),"恋するソワレ")</f>
        <v>恋するソワレ</v>
      </c>
      <c r="L5525" s="22" t="str">
        <f>IFERROR(__xludf.DUMMYFUNCTION("""COMPUTED_VALUE"""),"シーモアコミックス")</f>
        <v>シーモアコミックス</v>
      </c>
      <c r="M5525" s="33">
        <f>IFERROR(__xludf.DUMMYFUNCTION("""COMPUTED_VALUE"""),46228.0)</f>
        <v>46228</v>
      </c>
      <c r="N5525" s="33">
        <f>IFERROR(__xludf.DUMMYFUNCTION("""COMPUTED_VALUE"""),46324.0)</f>
        <v>46324</v>
      </c>
      <c r="O5525" s="20"/>
      <c r="P5525" s="32" t="str">
        <f>IFERROR(__xludf.DUMMYFUNCTION("""COMPUTED_VALUE"""),"可")</f>
        <v>可</v>
      </c>
      <c r="Q5525" s="30"/>
      <c r="R5525" s="22"/>
      <c r="S5525" s="22" t="str">
        <f>IFERROR(__xludf.DUMMYFUNCTION("""COMPUTED_VALUE"""),"20260623_シーモアコミックス_恋などせずに、いれたらよかった")</f>
        <v>20260623_シーモアコミックス_恋などせずに、いれたらよかった</v>
      </c>
      <c r="T5525" s="22" t="str">
        <f>IFERROR(__xludf.DUMMYFUNCTION("""COMPUTED_VALUE"""),"格納済み")</f>
        <v>格納済み</v>
      </c>
      <c r="U5525" s="9" t="str">
        <f>IFERROR(__xludf.DUMMYFUNCTION("""COMPUTED_VALUE"""),"(C) ゐその/シーモアコミックス")</f>
        <v>(C) ゐその/シーモアコミックス</v>
      </c>
      <c r="V5525" s="8"/>
      <c r="W5525" s="8"/>
      <c r="X5525" s="8"/>
      <c r="Y5525" s="8"/>
      <c r="Z5525" s="7"/>
      <c r="AA5525" s="7"/>
      <c r="AB5525" s="7"/>
    </row>
    <row r="5526" ht="15.75" customHeight="1">
      <c r="A5526" s="26">
        <f>IFERROR(__xludf.DUMMYFUNCTION("""COMPUTED_VALUE"""),8365.0)</f>
        <v>8365</v>
      </c>
      <c r="B5526" s="22" t="str">
        <f>IFERROR(__xludf.DUMMYFUNCTION("""COMPUTED_VALUE"""),"確定")</f>
        <v>確定</v>
      </c>
      <c r="C5526" s="28">
        <f>IFERROR(__xludf.DUMMYFUNCTION("""COMPUTED_VALUE"""),46202.0)</f>
        <v>46202</v>
      </c>
      <c r="D5526" s="28">
        <f>IFERROR(__xludf.DUMMYFUNCTION("""COMPUTED_VALUE"""),46203.0)</f>
        <v>46203</v>
      </c>
      <c r="E5526" s="26">
        <f>IFERROR(__xludf.DUMMYFUNCTION("""COMPUTED_VALUE"""),290564.0)</f>
        <v>290564</v>
      </c>
      <c r="F5526" s="22" t="str">
        <f>IFERROR(__xludf.DUMMYFUNCTION("""COMPUTED_VALUE"""),"鬼の身代わり花嫁～虐げられた没落令嬢は冷酷な鬼に愛される～")</f>
        <v>鬼の身代わり花嫁～虐げられた没落令嬢は冷酷な鬼に愛される～</v>
      </c>
      <c r="G5526" s="20" t="str">
        <f>IFERROR(__xludf.DUMMYFUNCTION("""COMPUTED_VALUE"""),"1~3")</f>
        <v>1~3</v>
      </c>
      <c r="H5526" s="22" t="str">
        <f>IFERROR(__xludf.DUMMYFUNCTION("""COMPUTED_VALUE"""),"もち日和,朝比奈希夜")</f>
        <v>もち日和,朝比奈希夜</v>
      </c>
      <c r="I5526" s="22" t="str">
        <f>IFERROR(__xludf.DUMMYFUNCTION("""COMPUTED_VALUE"""),"少女")</f>
        <v>少女</v>
      </c>
      <c r="J5526" s="22"/>
      <c r="K5526" s="22" t="str">
        <f>IFERROR(__xludf.DUMMYFUNCTION("""COMPUTED_VALUE"""),"トレモア・ロマンス,トレモアcollection")</f>
        <v>トレモア・ロマンス,トレモアcollection</v>
      </c>
      <c r="L5526" s="22" t="str">
        <f>IFERROR(__xludf.DUMMYFUNCTION("""COMPUTED_VALUE"""),"シーモアコミックス（トレモア）")</f>
        <v>シーモアコミックス（トレモア）</v>
      </c>
      <c r="M5526" s="33">
        <f>IFERROR(__xludf.DUMMYFUNCTION("""COMPUTED_VALUE"""),46241.0)</f>
        <v>46241</v>
      </c>
      <c r="N5526" s="33">
        <f>IFERROR(__xludf.DUMMYFUNCTION("""COMPUTED_VALUE"""),46394.0)</f>
        <v>46394</v>
      </c>
      <c r="O5526" s="20"/>
      <c r="P5526" s="32" t="str">
        <f>IFERROR(__xludf.DUMMYFUNCTION("""COMPUTED_VALUE"""),"可")</f>
        <v>可</v>
      </c>
      <c r="Q5526" s="30"/>
      <c r="R5526" s="22"/>
      <c r="S5526" s="22" t="str">
        <f>IFERROR(__xludf.DUMMYFUNCTION("""COMPUTED_VALUE"""),"20260624_シーモアコミックス_鬼の身代わり花嫁～虐げられた没落令嬢は冷酷な鬼に愛される～")</f>
        <v>20260624_シーモアコミックス_鬼の身代わり花嫁～虐げられた没落令嬢は冷酷な鬼に愛される～</v>
      </c>
      <c r="T5526" s="22" t="str">
        <f>IFERROR(__xludf.DUMMYFUNCTION("""COMPUTED_VALUE"""),"格納済み")</f>
        <v>格納済み</v>
      </c>
      <c r="U5526" s="9" t="str">
        <f>IFERROR(__xludf.DUMMYFUNCTION("""COMPUTED_VALUE"""),"(C) もち日和/朝比奈希夜/シーモアコミックス")</f>
        <v>(C) もち日和/朝比奈希夜/シーモアコミックス</v>
      </c>
      <c r="V5526" s="8"/>
      <c r="W5526" s="8"/>
      <c r="X5526" s="8"/>
      <c r="Y5526" s="8"/>
      <c r="Z5526" s="7"/>
      <c r="AA5526" s="7"/>
      <c r="AB5526" s="7"/>
    </row>
    <row r="5527" ht="15.75" customHeight="1">
      <c r="A5527" s="26">
        <f>IFERROR(__xludf.DUMMYFUNCTION("""COMPUTED_VALUE"""),8366.0)</f>
        <v>8366</v>
      </c>
      <c r="B5527" s="22" t="str">
        <f>IFERROR(__xludf.DUMMYFUNCTION("""COMPUTED_VALUE"""),"確定")</f>
        <v>確定</v>
      </c>
      <c r="C5527" s="28">
        <f>IFERROR(__xludf.DUMMYFUNCTION("""COMPUTED_VALUE"""),46202.0)</f>
        <v>46202</v>
      </c>
      <c r="D5527" s="28">
        <f>IFERROR(__xludf.DUMMYFUNCTION("""COMPUTED_VALUE"""),46203.0)</f>
        <v>46203</v>
      </c>
      <c r="E5527" s="26">
        <f>IFERROR(__xludf.DUMMYFUNCTION("""COMPUTED_VALUE"""),321751.0)</f>
        <v>321751</v>
      </c>
      <c r="F5527" s="22" t="str">
        <f>IFERROR(__xludf.DUMMYFUNCTION("""COMPUTED_VALUE"""),"商人令嬢の契約結婚～憧れの王子に愛情なしと判子を押されました～")</f>
        <v>商人令嬢の契約結婚～憧れの王子に愛情なしと判子を押されました～</v>
      </c>
      <c r="G5527" s="20" t="str">
        <f>IFERROR(__xludf.DUMMYFUNCTION("""COMPUTED_VALUE"""),"1~3")</f>
        <v>1~3</v>
      </c>
      <c r="H5527" s="22" t="str">
        <f>IFERROR(__xludf.DUMMYFUNCTION("""COMPUTED_VALUE"""),"あつみこ")</f>
        <v>あつみこ</v>
      </c>
      <c r="I5527" s="22" t="str">
        <f>IFERROR(__xludf.DUMMYFUNCTION("""COMPUTED_VALUE"""),"少女")</f>
        <v>少女</v>
      </c>
      <c r="J5527" s="22"/>
      <c r="K5527" s="22" t="str">
        <f>IFERROR(__xludf.DUMMYFUNCTION("""COMPUTED_VALUE"""),"トレモア・ロマンス,トレモアcollection")</f>
        <v>トレモア・ロマンス,トレモアcollection</v>
      </c>
      <c r="L5527" s="22" t="str">
        <f>IFERROR(__xludf.DUMMYFUNCTION("""COMPUTED_VALUE"""),"シーモアコミックス（トレモア）")</f>
        <v>シーモアコミックス（トレモア）</v>
      </c>
      <c r="M5527" s="33">
        <f>IFERROR(__xludf.DUMMYFUNCTION("""COMPUTED_VALUE"""),46241.0)</f>
        <v>46241</v>
      </c>
      <c r="N5527" s="33">
        <f>IFERROR(__xludf.DUMMYFUNCTION("""COMPUTED_VALUE"""),46394.0)</f>
        <v>46394</v>
      </c>
      <c r="O5527" s="20"/>
      <c r="P5527" s="32" t="str">
        <f>IFERROR(__xludf.DUMMYFUNCTION("""COMPUTED_VALUE"""),"可")</f>
        <v>可</v>
      </c>
      <c r="Q5527" s="30"/>
      <c r="R5527" s="22"/>
      <c r="S5527" s="22" t="str">
        <f>IFERROR(__xludf.DUMMYFUNCTION("""COMPUTED_VALUE"""),"20260624_シーモアコミックス_商人令嬢の契約結婚～憧れの王子に愛情なしと判子を押されました～")</f>
        <v>20260624_シーモアコミックス_商人令嬢の契約結婚～憧れの王子に愛情なしと判子を押されました～</v>
      </c>
      <c r="T5527" s="22" t="str">
        <f>IFERROR(__xludf.DUMMYFUNCTION("""COMPUTED_VALUE"""),"格納済み")</f>
        <v>格納済み</v>
      </c>
      <c r="U5527" s="9" t="str">
        <f>IFERROR(__xludf.DUMMYFUNCTION("""COMPUTED_VALUE"""),"(C) あつみこ/シーモアコミックス")</f>
        <v>(C) あつみこ/シーモアコミックス</v>
      </c>
      <c r="V5527" s="8"/>
      <c r="W5527" s="8"/>
      <c r="X5527" s="8"/>
      <c r="Y5527" s="8"/>
      <c r="Z5527" s="7"/>
      <c r="AA5527" s="7"/>
      <c r="AB5527" s="7"/>
    </row>
    <row r="5528" ht="15.75" customHeight="1">
      <c r="A5528" s="26">
        <f>IFERROR(__xludf.DUMMYFUNCTION("""COMPUTED_VALUE"""),8367.0)</f>
        <v>8367</v>
      </c>
      <c r="B5528" s="22" t="str">
        <f>IFERROR(__xludf.DUMMYFUNCTION("""COMPUTED_VALUE"""),"確定")</f>
        <v>確定</v>
      </c>
      <c r="C5528" s="28">
        <f>IFERROR(__xludf.DUMMYFUNCTION("""COMPUTED_VALUE"""),46202.0)</f>
        <v>46202</v>
      </c>
      <c r="D5528" s="28">
        <f>IFERROR(__xludf.DUMMYFUNCTION("""COMPUTED_VALUE"""),46204.0)</f>
        <v>46204</v>
      </c>
      <c r="E5528" s="26">
        <f>IFERROR(__xludf.DUMMYFUNCTION("""COMPUTED_VALUE"""),341808.0)</f>
        <v>341808</v>
      </c>
      <c r="F5528" s="22" t="str">
        <f>IFERROR(__xludf.DUMMYFUNCTION("""COMPUTED_VALUE"""),"落ちこぼれ魔術師ですが、余命僅かな天才貴公子に選ばれました")</f>
        <v>落ちこぼれ魔術師ですが、余命僅かな天才貴公子に選ばれました</v>
      </c>
      <c r="G5528" s="20" t="str">
        <f>IFERROR(__xludf.DUMMYFUNCTION("""COMPUTED_VALUE"""),"1~3")</f>
        <v>1~3</v>
      </c>
      <c r="H5528" s="22" t="str">
        <f>IFERROR(__xludf.DUMMYFUNCTION("""COMPUTED_VALUE"""),"shugetsu,落合悠")</f>
        <v>shugetsu,落合悠</v>
      </c>
      <c r="I5528" s="22" t="str">
        <f>IFERROR(__xludf.DUMMYFUNCTION("""COMPUTED_VALUE"""),"少女")</f>
        <v>少女</v>
      </c>
      <c r="J5528" s="22"/>
      <c r="K5528" s="22" t="str">
        <f>IFERROR(__xludf.DUMMYFUNCTION("""COMPUTED_VALUE"""),"トレモア・ロマンス,トレモアcollection")</f>
        <v>トレモア・ロマンス,トレモアcollection</v>
      </c>
      <c r="L5528" s="22" t="str">
        <f>IFERROR(__xludf.DUMMYFUNCTION("""COMPUTED_VALUE"""),"シーモアコミックス（トレモア）")</f>
        <v>シーモアコミックス（トレモア）</v>
      </c>
      <c r="M5528" s="33">
        <f>IFERROR(__xludf.DUMMYFUNCTION("""COMPUTED_VALUE"""),46241.0)</f>
        <v>46241</v>
      </c>
      <c r="N5528" s="33">
        <f>IFERROR(__xludf.DUMMYFUNCTION("""COMPUTED_VALUE"""),46394.0)</f>
        <v>46394</v>
      </c>
      <c r="O5528" s="20"/>
      <c r="P5528" s="32" t="str">
        <f>IFERROR(__xludf.DUMMYFUNCTION("""COMPUTED_VALUE"""),"可")</f>
        <v>可</v>
      </c>
      <c r="Q5528" s="30"/>
      <c r="R5528" s="22"/>
      <c r="S5528" s="22" t="str">
        <f>IFERROR(__xludf.DUMMYFUNCTION("""COMPUTED_VALUE"""),"20260624_シーモアコミックス_落ちこぼれ魔術師ですが、余命わずかな天才貴公子に選ばれました")</f>
        <v>20260624_シーモアコミックス_落ちこぼれ魔術師ですが、余命わずかな天才貴公子に選ばれました</v>
      </c>
      <c r="T5528" s="22" t="str">
        <f>IFERROR(__xludf.DUMMYFUNCTION("""COMPUTED_VALUE"""),"格納済み")</f>
        <v>格納済み</v>
      </c>
      <c r="U5528" s="9" t="str">
        <f>IFERROR(__xludf.DUMMYFUNCTION("""COMPUTED_VALUE"""),"(C) shugetsu/落合悠/シーモアコミックス")</f>
        <v>(C) shugetsu/落合悠/シーモアコミックス</v>
      </c>
      <c r="V5528" s="8"/>
      <c r="W5528" s="8"/>
      <c r="X5528" s="8"/>
      <c r="Y5528" s="8"/>
      <c r="Z5528" s="7"/>
      <c r="AA5528" s="7"/>
      <c r="AB5528" s="7"/>
    </row>
    <row r="5529" ht="15.75" customHeight="1">
      <c r="A5529" s="26">
        <f>IFERROR(__xludf.DUMMYFUNCTION("""COMPUTED_VALUE"""),8368.0)</f>
        <v>8368</v>
      </c>
      <c r="B5529" s="22" t="str">
        <f>IFERROR(__xludf.DUMMYFUNCTION("""COMPUTED_VALUE"""),"確定")</f>
        <v>確定</v>
      </c>
      <c r="C5529" s="28">
        <f>IFERROR(__xludf.DUMMYFUNCTION("""COMPUTED_VALUE"""),46202.0)</f>
        <v>46202</v>
      </c>
      <c r="D5529" s="28">
        <f>IFERROR(__xludf.DUMMYFUNCTION("""COMPUTED_VALUE"""),46204.0)</f>
        <v>46204</v>
      </c>
      <c r="E5529" s="26">
        <f>IFERROR(__xludf.DUMMYFUNCTION("""COMPUTED_VALUE"""),346763.0)</f>
        <v>346763</v>
      </c>
      <c r="F5529" s="22" t="str">
        <f>IFERROR(__xludf.DUMMYFUNCTION("""COMPUTED_VALUE"""),"野薔薇の乙女は溺愛される～運命の彼は英雄と謳われる第二皇子でした～")</f>
        <v>野薔薇の乙女は溺愛される～運命の彼は英雄と謳われる第二皇子でした～</v>
      </c>
      <c r="G5529" s="20" t="str">
        <f>IFERROR(__xludf.DUMMYFUNCTION("""COMPUTED_VALUE"""),"1~3")</f>
        <v>1~3</v>
      </c>
      <c r="H5529" s="22" t="str">
        <f>IFERROR(__xludf.DUMMYFUNCTION("""COMPUTED_VALUE"""),"やなぎりと,クラチョ")</f>
        <v>やなぎりと,クラチョ</v>
      </c>
      <c r="I5529" s="22" t="str">
        <f>IFERROR(__xludf.DUMMYFUNCTION("""COMPUTED_VALUE"""),"少女")</f>
        <v>少女</v>
      </c>
      <c r="J5529" s="22"/>
      <c r="K5529" s="22" t="str">
        <f>IFERROR(__xludf.DUMMYFUNCTION("""COMPUTED_VALUE"""),"トレモア・ロマンス,トレモアcollection")</f>
        <v>トレモア・ロマンス,トレモアcollection</v>
      </c>
      <c r="L5529" s="22" t="str">
        <f>IFERROR(__xludf.DUMMYFUNCTION("""COMPUTED_VALUE"""),"シーモアコミックス（トレモア）")</f>
        <v>シーモアコミックス（トレモア）</v>
      </c>
      <c r="M5529" s="33">
        <f>IFERROR(__xludf.DUMMYFUNCTION("""COMPUTED_VALUE"""),46241.0)</f>
        <v>46241</v>
      </c>
      <c r="N5529" s="33">
        <f>IFERROR(__xludf.DUMMYFUNCTION("""COMPUTED_VALUE"""),46394.0)</f>
        <v>46394</v>
      </c>
      <c r="O5529" s="20"/>
      <c r="P5529" s="32" t="str">
        <f>IFERROR(__xludf.DUMMYFUNCTION("""COMPUTED_VALUE"""),"可")</f>
        <v>可</v>
      </c>
      <c r="Q5529" s="30"/>
      <c r="R5529" s="22"/>
      <c r="S5529" s="22" t="str">
        <f>IFERROR(__xludf.DUMMYFUNCTION("""COMPUTED_VALUE"""),"20260624_シーモアコミックス_野薔薇の乙女は溺愛される～運命の彼は英雄と謳われる第二皇子でした～")</f>
        <v>20260624_シーモアコミックス_野薔薇の乙女は溺愛される～運命の彼は英雄と謳われる第二皇子でした～</v>
      </c>
      <c r="T5529" s="22" t="str">
        <f>IFERROR(__xludf.DUMMYFUNCTION("""COMPUTED_VALUE"""),"格納済み")</f>
        <v>格納済み</v>
      </c>
      <c r="U5529" s="9" t="str">
        <f>IFERROR(__xludf.DUMMYFUNCTION("""COMPUTED_VALUE"""),"(C) やなぎりと/クラチョ/シーモアコミックス")</f>
        <v>(C) やなぎりと/クラチョ/シーモアコミックス</v>
      </c>
      <c r="V5529" s="8"/>
      <c r="W5529" s="8"/>
      <c r="X5529" s="8"/>
      <c r="Y5529" s="8"/>
      <c r="Z5529" s="7"/>
      <c r="AA5529" s="7"/>
      <c r="AB5529" s="7"/>
    </row>
    <row r="5530" ht="15.75" customHeight="1">
      <c r="A5530" s="26">
        <f>IFERROR(__xludf.DUMMYFUNCTION("""COMPUTED_VALUE"""),8369.0)</f>
        <v>8369</v>
      </c>
      <c r="B5530" s="22" t="str">
        <f>IFERROR(__xludf.DUMMYFUNCTION("""COMPUTED_VALUE"""),"確定")</f>
        <v>確定</v>
      </c>
      <c r="C5530" s="28">
        <f>IFERROR(__xludf.DUMMYFUNCTION("""COMPUTED_VALUE"""),46202.0)</f>
        <v>46202</v>
      </c>
      <c r="D5530" s="28">
        <f>IFERROR(__xludf.DUMMYFUNCTION("""COMPUTED_VALUE"""),46204.0)</f>
        <v>46204</v>
      </c>
      <c r="E5530" s="26">
        <f>IFERROR(__xludf.DUMMYFUNCTION("""COMPUTED_VALUE"""),348028.0)</f>
        <v>348028</v>
      </c>
      <c r="F5530" s="22" t="str">
        <f>IFERROR(__xludf.DUMMYFUNCTION("""COMPUTED_VALUE"""),"嫌知らず夫に制裁を！")</f>
        <v>嫌知らず夫に制裁を！</v>
      </c>
      <c r="G5530" s="20" t="str">
        <f>IFERROR(__xludf.DUMMYFUNCTION("""COMPUTED_VALUE"""),"1~3")</f>
        <v>1~3</v>
      </c>
      <c r="H5530" s="22" t="str">
        <f>IFERROR(__xludf.DUMMYFUNCTION("""COMPUTED_VALUE"""),"イツカ麻衣")</f>
        <v>イツカ麻衣</v>
      </c>
      <c r="I5530" s="22" t="str">
        <f>IFERROR(__xludf.DUMMYFUNCTION("""COMPUTED_VALUE"""),"女性")</f>
        <v>女性</v>
      </c>
      <c r="J5530" s="22"/>
      <c r="K5530" s="22" t="str">
        <f>IFERROR(__xludf.DUMMYFUNCTION("""COMPUTED_VALUE"""),"トレモア・リアルラブ,トレモアcollection")</f>
        <v>トレモア・リアルラブ,トレモアcollection</v>
      </c>
      <c r="L5530" s="22" t="str">
        <f>IFERROR(__xludf.DUMMYFUNCTION("""COMPUTED_VALUE"""),"シーモアコミックス（トレモア）")</f>
        <v>シーモアコミックス（トレモア）</v>
      </c>
      <c r="M5530" s="33">
        <f>IFERROR(__xludf.DUMMYFUNCTION("""COMPUTED_VALUE"""),46247.0)</f>
        <v>46247</v>
      </c>
      <c r="N5530" s="33">
        <f>IFERROR(__xludf.DUMMYFUNCTION("""COMPUTED_VALUE"""),46401.0)</f>
        <v>46401</v>
      </c>
      <c r="O5530" s="20"/>
      <c r="P5530" s="32" t="str">
        <f>IFERROR(__xludf.DUMMYFUNCTION("""COMPUTED_VALUE"""),"可")</f>
        <v>可</v>
      </c>
      <c r="Q5530" s="30"/>
      <c r="R5530" s="22"/>
      <c r="S5530" s="22" t="str">
        <f>IFERROR(__xludf.DUMMYFUNCTION("""COMPUTED_VALUE"""),"20260624_シーモアコミックス_嫌知らず夫に制裁を！")</f>
        <v>20260624_シーモアコミックス_嫌知らず夫に制裁を！</v>
      </c>
      <c r="T5530" s="22" t="str">
        <f>IFERROR(__xludf.DUMMYFUNCTION("""COMPUTED_VALUE"""),"格納済み")</f>
        <v>格納済み</v>
      </c>
      <c r="U5530" s="9" t="str">
        <f>IFERROR(__xludf.DUMMYFUNCTION("""COMPUTED_VALUE"""),"(C) イツカ麻衣/シーモアコミックス")</f>
        <v>(C) イツカ麻衣/シーモアコミックス</v>
      </c>
      <c r="V5530" s="8"/>
      <c r="W5530" s="8"/>
      <c r="X5530" s="8"/>
      <c r="Y5530" s="8"/>
      <c r="Z5530" s="7"/>
      <c r="AA5530" s="7"/>
      <c r="AB5530" s="7"/>
    </row>
    <row r="5531" ht="15.75" customHeight="1">
      <c r="A5531" s="26">
        <f>IFERROR(__xludf.DUMMYFUNCTION("""COMPUTED_VALUE"""),8370.0)</f>
        <v>8370</v>
      </c>
      <c r="B5531" s="22" t="str">
        <f>IFERROR(__xludf.DUMMYFUNCTION("""COMPUTED_VALUE"""),"確定")</f>
        <v>確定</v>
      </c>
      <c r="C5531" s="28">
        <f>IFERROR(__xludf.DUMMYFUNCTION("""COMPUTED_VALUE"""),46202.0)</f>
        <v>46202</v>
      </c>
      <c r="D5531" s="28">
        <f>IFERROR(__xludf.DUMMYFUNCTION("""COMPUTED_VALUE"""),46204.0)</f>
        <v>46204</v>
      </c>
      <c r="E5531" s="26">
        <f>IFERROR(__xludf.DUMMYFUNCTION("""COMPUTED_VALUE"""),346377.0)</f>
        <v>346377</v>
      </c>
      <c r="F5531" s="22" t="str">
        <f>IFERROR(__xludf.DUMMYFUNCTION("""COMPUTED_VALUE"""),"ダメ夫の取り扱い説明書(フルカラー)")</f>
        <v>ダメ夫の取り扱い説明書(フルカラー)</v>
      </c>
      <c r="G5531" s="20" t="str">
        <f>IFERROR(__xludf.DUMMYFUNCTION("""COMPUTED_VALUE"""),"1~3")</f>
        <v>1~3</v>
      </c>
      <c r="H5531" s="22" t="str">
        <f>IFERROR(__xludf.DUMMYFUNCTION("""COMPUTED_VALUE"""),"小室栄子,ミソカチュ,かんかけ,西島ユタカ,綾野宗一郎,D.s.w")</f>
        <v>小室栄子,ミソカチュ,かんかけ,西島ユタカ,綾野宗一郎,D.s.w</v>
      </c>
      <c r="I5531" s="22" t="str">
        <f>IFERROR(__xludf.DUMMYFUNCTION("""COMPUTED_VALUE"""),"女性")</f>
        <v>女性</v>
      </c>
      <c r="J5531" s="22"/>
      <c r="K5531" s="22" t="str">
        <f>IFERROR(__xludf.DUMMYFUNCTION("""COMPUTED_VALUE"""),"トレモア・リアルラブ,トレモアcollection")</f>
        <v>トレモア・リアルラブ,トレモアcollection</v>
      </c>
      <c r="L5531" s="22" t="str">
        <f>IFERROR(__xludf.DUMMYFUNCTION("""COMPUTED_VALUE"""),"シーモアコミックス（トレモア）")</f>
        <v>シーモアコミックス（トレモア）</v>
      </c>
      <c r="M5531" s="33">
        <f>IFERROR(__xludf.DUMMYFUNCTION("""COMPUTED_VALUE"""),46247.0)</f>
        <v>46247</v>
      </c>
      <c r="N5531" s="33">
        <f>IFERROR(__xludf.DUMMYFUNCTION("""COMPUTED_VALUE"""),46401.0)</f>
        <v>46401</v>
      </c>
      <c r="O5531" s="20"/>
      <c r="P5531" s="32" t="str">
        <f>IFERROR(__xludf.DUMMYFUNCTION("""COMPUTED_VALUE"""),"可")</f>
        <v>可</v>
      </c>
      <c r="Q5531" s="30"/>
      <c r="R5531" s="22"/>
      <c r="S5531" s="22" t="str">
        <f>IFERROR(__xludf.DUMMYFUNCTION("""COMPUTED_VALUE"""),"20260624_シーモアコミックス_ダメ夫の取り扱い説明書（フルカラー）")</f>
        <v>20260624_シーモアコミックス_ダメ夫の取り扱い説明書（フルカラー）</v>
      </c>
      <c r="T5531" s="22" t="str">
        <f>IFERROR(__xludf.DUMMYFUNCTION("""COMPUTED_VALUE"""),"格納済み")</f>
        <v>格納済み</v>
      </c>
      <c r="U5531" s="9" t="str">
        <f>IFERROR(__xludf.DUMMYFUNCTION("""COMPUTED_VALUE"""),"(C) 小室栄子/ミソカチュ/かんかけ/西島ユタカ/綾野宗一郎/D.s.w/シーモアコミックス")</f>
        <v>(C) 小室栄子/ミソカチュ/かんかけ/西島ユタカ/綾野宗一郎/D.s.w/シーモアコミックス</v>
      </c>
      <c r="V5531" s="8"/>
      <c r="W5531" s="8"/>
      <c r="X5531" s="8"/>
      <c r="Y5531" s="8"/>
      <c r="Z5531" s="7"/>
      <c r="AA5531" s="7"/>
      <c r="AB5531" s="7"/>
    </row>
    <row r="5532" ht="15.75" customHeight="1">
      <c r="A5532" s="26">
        <f>IFERROR(__xludf.DUMMYFUNCTION("""COMPUTED_VALUE"""),8371.0)</f>
        <v>8371</v>
      </c>
      <c r="B5532" s="22" t="str">
        <f>IFERROR(__xludf.DUMMYFUNCTION("""COMPUTED_VALUE"""),"確定")</f>
        <v>確定</v>
      </c>
      <c r="C5532" s="28">
        <f>IFERROR(__xludf.DUMMYFUNCTION("""COMPUTED_VALUE"""),46202.0)</f>
        <v>46202</v>
      </c>
      <c r="D5532" s="28">
        <f>IFERROR(__xludf.DUMMYFUNCTION("""COMPUTED_VALUE"""),46204.0)</f>
        <v>46204</v>
      </c>
      <c r="E5532" s="26">
        <f>IFERROR(__xludf.DUMMYFUNCTION("""COMPUTED_VALUE"""),346378.0)</f>
        <v>346378</v>
      </c>
      <c r="F5532" s="22" t="str">
        <f>IFERROR(__xludf.DUMMYFUNCTION("""COMPUTED_VALUE"""),"ダメ夫の取り扱い説明書【タテヨミ】")</f>
        <v>ダメ夫の取り扱い説明書【タテヨミ】</v>
      </c>
      <c r="G5532" s="20" t="str">
        <f>IFERROR(__xludf.DUMMYFUNCTION("""COMPUTED_VALUE"""),"1~3")</f>
        <v>1~3</v>
      </c>
      <c r="H5532" s="22" t="str">
        <f>IFERROR(__xludf.DUMMYFUNCTION("""COMPUTED_VALUE"""),"小室栄子,ミソカチュ,かんかけ,西島ユタカ,綾野宗一郎,D.s.w")</f>
        <v>小室栄子,ミソカチュ,かんかけ,西島ユタカ,綾野宗一郎,D.s.w</v>
      </c>
      <c r="I5532" s="22" t="str">
        <f>IFERROR(__xludf.DUMMYFUNCTION("""COMPUTED_VALUE"""),"女性")</f>
        <v>女性</v>
      </c>
      <c r="J5532" s="22"/>
      <c r="K5532" s="22" t="str">
        <f>IFERROR(__xludf.DUMMYFUNCTION("""COMPUTED_VALUE"""),"トレモア・リアルラブ,トレモアcollection")</f>
        <v>トレモア・リアルラブ,トレモアcollection</v>
      </c>
      <c r="L5532" s="22" t="str">
        <f>IFERROR(__xludf.DUMMYFUNCTION("""COMPUTED_VALUE"""),"シーモアコミックス（トレモア）")</f>
        <v>シーモアコミックス（トレモア）</v>
      </c>
      <c r="M5532" s="33">
        <f>IFERROR(__xludf.DUMMYFUNCTION("""COMPUTED_VALUE"""),46247.0)</f>
        <v>46247</v>
      </c>
      <c r="N5532" s="33">
        <f>IFERROR(__xludf.DUMMYFUNCTION("""COMPUTED_VALUE"""),46401.0)</f>
        <v>46401</v>
      </c>
      <c r="O5532" s="20"/>
      <c r="P5532" s="32" t="str">
        <f>IFERROR(__xludf.DUMMYFUNCTION("""COMPUTED_VALUE"""),"可")</f>
        <v>可</v>
      </c>
      <c r="Q5532" s="30" t="str">
        <f>IFERROR(__xludf.DUMMYFUNCTION("""COMPUTED_VALUE"""),"・コマサム等素材は「346377　ダメ夫の取り扱い説明書(フルカラー)」の方をお使いください。バナー制作はフルカラー版の素材を利用して問題ございません。")</f>
        <v>・コマサム等素材は「346377　ダメ夫の取り扱い説明書(フルカラー)」の方をお使いください。バナー制作はフルカラー版の素材を利用して問題ございません。</v>
      </c>
      <c r="R5532" s="22"/>
      <c r="S5532" s="22" t="str">
        <f>IFERROR(__xludf.DUMMYFUNCTION("""COMPUTED_VALUE"""),"20260624_シーモアコミックス_ダメ夫の取り扱い説明書【タテヨミ】")</f>
        <v>20260624_シーモアコミックス_ダメ夫の取り扱い説明書【タテヨミ】</v>
      </c>
      <c r="T5532" s="22" t="str">
        <f>IFERROR(__xludf.DUMMYFUNCTION("""COMPUTED_VALUE"""),"格納済み")</f>
        <v>格納済み</v>
      </c>
      <c r="U5532" s="9" t="str">
        <f>IFERROR(__xludf.DUMMYFUNCTION("""COMPUTED_VALUE"""),"(C) 小室栄子/ミソカチュ/かんかけ/西島ユタカ/綾野宗一郎/D.s.w/シーモアコミックス")</f>
        <v>(C) 小室栄子/ミソカチュ/かんかけ/西島ユタカ/綾野宗一郎/D.s.w/シーモアコミックス</v>
      </c>
      <c r="V5532" s="8"/>
      <c r="W5532" s="8"/>
      <c r="X5532" s="8"/>
      <c r="Y5532" s="8"/>
      <c r="Z5532" s="7"/>
      <c r="AA5532" s="7"/>
      <c r="AB5532" s="7"/>
    </row>
    <row r="5533" ht="15.75" customHeight="1">
      <c r="A5533" s="26">
        <f>IFERROR(__xludf.DUMMYFUNCTION("""COMPUTED_VALUE"""),8372.0)</f>
        <v>8372</v>
      </c>
      <c r="B5533" s="22" t="str">
        <f>IFERROR(__xludf.DUMMYFUNCTION("""COMPUTED_VALUE"""),"確定")</f>
        <v>確定</v>
      </c>
      <c r="C5533" s="28">
        <f>IFERROR(__xludf.DUMMYFUNCTION("""COMPUTED_VALUE"""),46202.0)</f>
        <v>46202</v>
      </c>
      <c r="D5533" s="28">
        <f>IFERROR(__xludf.DUMMYFUNCTION("""COMPUTED_VALUE"""),46204.0)</f>
        <v>46204</v>
      </c>
      <c r="E5533" s="26">
        <f>IFERROR(__xludf.DUMMYFUNCTION("""COMPUTED_VALUE"""),232116.0)</f>
        <v>232116</v>
      </c>
      <c r="F5533" s="22" t="str">
        <f>IFERROR(__xludf.DUMMYFUNCTION("""COMPUTED_VALUE"""),"失恋前提で、ちょうどいい恋")</f>
        <v>失恋前提で、ちょうどいい恋</v>
      </c>
      <c r="G5533" s="20" t="str">
        <f>IFERROR(__xludf.DUMMYFUNCTION("""COMPUTED_VALUE"""),"1~3")</f>
        <v>1~3</v>
      </c>
      <c r="H5533" s="22" t="str">
        <f>IFERROR(__xludf.DUMMYFUNCTION("""COMPUTED_VALUE"""),"下條水月")</f>
        <v>下條水月</v>
      </c>
      <c r="I5533" s="22" t="str">
        <f>IFERROR(__xludf.DUMMYFUNCTION("""COMPUTED_VALUE"""),"BL")</f>
        <v>BL</v>
      </c>
      <c r="J5533" s="22"/>
      <c r="K5533" s="22" t="str">
        <f>IFERROR(__xludf.DUMMYFUNCTION("""COMPUTED_VALUE"""),"Ficus")</f>
        <v>Ficus</v>
      </c>
      <c r="L5533" s="22" t="str">
        <f>IFERROR(__xludf.DUMMYFUNCTION("""COMPUTED_VALUE"""),"シーモアコミックス")</f>
        <v>シーモアコミックス</v>
      </c>
      <c r="M5533" s="33">
        <f>IFERROR(__xludf.DUMMYFUNCTION("""COMPUTED_VALUE"""),46228.0)</f>
        <v>46228</v>
      </c>
      <c r="N5533" s="33">
        <f>IFERROR(__xludf.DUMMYFUNCTION("""COMPUTED_VALUE"""),46324.0)</f>
        <v>46324</v>
      </c>
      <c r="O5533" s="20"/>
      <c r="P5533" s="32" t="str">
        <f>IFERROR(__xludf.DUMMYFUNCTION("""COMPUTED_VALUE"""),"可")</f>
        <v>可</v>
      </c>
      <c r="Q5533" s="30"/>
      <c r="R5533" s="22"/>
      <c r="S5533" s="22" t="str">
        <f>IFERROR(__xludf.DUMMYFUNCTION("""COMPUTED_VALUE"""),"20260623_シーモアコミックス_失恋前提で、ちょうどいい恋")</f>
        <v>20260623_シーモアコミックス_失恋前提で、ちょうどいい恋</v>
      </c>
      <c r="T5533" s="22" t="str">
        <f>IFERROR(__xludf.DUMMYFUNCTION("""COMPUTED_VALUE"""),"格納済み")</f>
        <v>格納済み</v>
      </c>
      <c r="U5533" s="9" t="str">
        <f>IFERROR(__xludf.DUMMYFUNCTION("""COMPUTED_VALUE"""),"(C) 下條水月/シーモアコミックス")</f>
        <v>(C) 下條水月/シーモアコミックス</v>
      </c>
      <c r="V5533" s="8"/>
      <c r="W5533" s="8"/>
      <c r="X5533" s="8"/>
      <c r="Y5533" s="8"/>
      <c r="Z5533" s="7"/>
      <c r="AA5533" s="7"/>
      <c r="AB5533" s="7"/>
    </row>
    <row r="5534" ht="15.75" customHeight="1">
      <c r="A5534" s="26">
        <f>IFERROR(__xludf.DUMMYFUNCTION("""COMPUTED_VALUE"""),8373.0)</f>
        <v>8373</v>
      </c>
      <c r="B5534" s="22" t="str">
        <f>IFERROR(__xludf.DUMMYFUNCTION("""COMPUTED_VALUE"""),"確定")</f>
        <v>確定</v>
      </c>
      <c r="C5534" s="28">
        <f>IFERROR(__xludf.DUMMYFUNCTION("""COMPUTED_VALUE"""),46202.0)</f>
        <v>46202</v>
      </c>
      <c r="D5534" s="28">
        <f>IFERROR(__xludf.DUMMYFUNCTION("""COMPUTED_VALUE"""),46204.0)</f>
        <v>46204</v>
      </c>
      <c r="E5534" s="26"/>
      <c r="F5534" s="22" t="str">
        <f>IFERROR(__xludf.DUMMYFUNCTION("""COMPUTED_VALUE"""),"間違いで媚薬を渡した美麗騎士が「責任をとれ」と朝まで抱き潰す")</f>
        <v>間違いで媚薬を渡した美麗騎士が「責任をとれ」と朝まで抱き潰す</v>
      </c>
      <c r="G5534" s="20">
        <f>IFERROR(__xludf.DUMMYFUNCTION("""COMPUTED_VALUE"""),1.0)</f>
        <v>1</v>
      </c>
      <c r="H5534" s="22" t="str">
        <f>IFERROR(__xludf.DUMMYFUNCTION("""COMPUTED_VALUE"""),"しろまゆ/前澤のーん")</f>
        <v>しろまゆ/前澤のーん</v>
      </c>
      <c r="I5534" s="22" t="str">
        <f>IFERROR(__xludf.DUMMYFUNCTION("""COMPUTED_VALUE"""),"TL")</f>
        <v>TL</v>
      </c>
      <c r="J5534" s="22"/>
      <c r="K5534" s="22"/>
      <c r="L5534" s="22" t="str">
        <f>IFERROR(__xludf.DUMMYFUNCTION("""COMPUTED_VALUE"""),"モバイルメディアリサーチ")</f>
        <v>モバイルメディアリサーチ</v>
      </c>
      <c r="M5534" s="33">
        <f>IFERROR(__xludf.DUMMYFUNCTION("""COMPUTED_VALUE"""),46249.0)</f>
        <v>46249</v>
      </c>
      <c r="N5534" s="33">
        <f>IFERROR(__xludf.DUMMYFUNCTION("""COMPUTED_VALUE"""),46276.0)</f>
        <v>46276</v>
      </c>
      <c r="O5534" s="20" t="str">
        <f>IFERROR(__xludf.DUMMYFUNCTION("""COMPUTED_VALUE"""),"【アダルト作品扱い】")</f>
        <v>【アダルト作品扱い】</v>
      </c>
      <c r="P5534" s="32" t="str">
        <f>IFERROR(__xludf.DUMMYFUNCTION("""COMPUTED_VALUE"""),"可")</f>
        <v>可</v>
      </c>
      <c r="Q5534" s="30"/>
      <c r="R5534" s="22"/>
      <c r="S5534" s="22" t="str">
        <f>IFERROR(__xludf.DUMMYFUNCTION("""COMPUTED_VALUE"""),"20260625_モバイルメディアリサーチ_間違いで媚薬を渡した美麗騎士が「責任をとれ」と朝まで抱き潰す")</f>
        <v>20260625_モバイルメディアリサーチ_間違いで媚薬を渡した美麗騎士が「責任をとれ」と朝まで抱き潰す</v>
      </c>
      <c r="T5534" s="22" t="str">
        <f>IFERROR(__xludf.DUMMYFUNCTION("""COMPUTED_VALUE"""),"格納済み")</f>
        <v>格納済み</v>
      </c>
      <c r="U5534" s="9" t="str">
        <f>IFERROR(__xludf.DUMMYFUNCTION("""COMPUTED_VALUE"""),"Ⓒしろまゆ/前澤のーん/モバイルメディアリサーチ")</f>
        <v>Ⓒしろまゆ/前澤のーん/モバイルメディアリサーチ</v>
      </c>
      <c r="V5534" s="8"/>
      <c r="W5534" s="8"/>
      <c r="X5534" s="8"/>
      <c r="Y5534" s="8"/>
      <c r="Z5534" s="7"/>
      <c r="AA5534" s="7"/>
      <c r="AB5534" s="7"/>
    </row>
    <row r="5535" ht="15.75" customHeight="1">
      <c r="A5535" s="26">
        <f>IFERROR(__xludf.DUMMYFUNCTION("""COMPUTED_VALUE"""),8374.0)</f>
        <v>8374</v>
      </c>
      <c r="B5535" s="22" t="str">
        <f>IFERROR(__xludf.DUMMYFUNCTION("""COMPUTED_VALUE"""),"確定")</f>
        <v>確定</v>
      </c>
      <c r="C5535" s="28">
        <f>IFERROR(__xludf.DUMMYFUNCTION("""COMPUTED_VALUE"""),46202.0)</f>
        <v>46202</v>
      </c>
      <c r="D5535" s="28">
        <f>IFERROR(__xludf.DUMMYFUNCTION("""COMPUTED_VALUE"""),46204.0)</f>
        <v>46204</v>
      </c>
      <c r="E5535" s="26"/>
      <c r="F5535" s="22" t="str">
        <f>IFERROR(__xludf.DUMMYFUNCTION("""COMPUTED_VALUE"""),"復讐の標本～顔を変えた姉の10年～")</f>
        <v>復讐の標本～顔を変えた姉の10年～</v>
      </c>
      <c r="G5535" s="20" t="str">
        <f>IFERROR(__xludf.DUMMYFUNCTION("""COMPUTED_VALUE"""),"1~3")</f>
        <v>1~3</v>
      </c>
      <c r="H5535" s="22" t="str">
        <f>IFERROR(__xludf.DUMMYFUNCTION("""COMPUTED_VALUE"""),"佐藤みたお/寺田御子/MBS")</f>
        <v>佐藤みたお/寺田御子/MBS</v>
      </c>
      <c r="I5535" s="22" t="str">
        <f>IFERROR(__xludf.DUMMYFUNCTION("""COMPUTED_VALUE"""),"青年")</f>
        <v>青年</v>
      </c>
      <c r="J5535" s="22"/>
      <c r="K5535" s="22"/>
      <c r="L5535" s="22" t="str">
        <f>IFERROR(__xludf.DUMMYFUNCTION("""COMPUTED_VALUE"""),"ファンギルド")</f>
        <v>ファンギルド</v>
      </c>
      <c r="M5535" s="33">
        <f>IFERROR(__xludf.DUMMYFUNCTION("""COMPUTED_VALUE"""),46242.0)</f>
        <v>46242</v>
      </c>
      <c r="N5535" s="33">
        <f>IFERROR(__xludf.DUMMYFUNCTION("""COMPUTED_VALUE"""),46276.0)</f>
        <v>46276</v>
      </c>
      <c r="O5535" s="20"/>
      <c r="P5535" s="32" t="str">
        <f>IFERROR(__xludf.DUMMYFUNCTION("""COMPUTED_VALUE"""),"可")</f>
        <v>可</v>
      </c>
      <c r="Q5535" s="30" t="str">
        <f>IFERROR(__xludf.DUMMYFUNCTION("""COMPUTED_VALUE"""),"異世界TLアンソロジー収録の単話です。")</f>
        <v>異世界TLアンソロジー収録の単話です。</v>
      </c>
      <c r="R5535" s="22"/>
      <c r="S5535" s="22" t="str">
        <f>IFERROR(__xludf.DUMMYFUNCTION("""COMPUTED_VALUE"""),"20260625_ファンギルド_復讐の標本～顔を変えた姉の10年～")</f>
        <v>20260625_ファンギルド_復讐の標本～顔を変えた姉の10年～</v>
      </c>
      <c r="T5535" s="22" t="str">
        <f>IFERROR(__xludf.DUMMYFUNCTION("""COMPUTED_VALUE"""),"格納済み")</f>
        <v>格納済み</v>
      </c>
      <c r="U5535" s="9" t="str">
        <f>IFERROR(__xludf.DUMMYFUNCTION("""COMPUTED_VALUE"""),"Ⓒ佐藤みたお/寺田御子/MBS/ファンギルド")</f>
        <v>Ⓒ佐藤みたお/寺田御子/MBS/ファンギルド</v>
      </c>
      <c r="V5535" s="8"/>
      <c r="W5535" s="8"/>
      <c r="X5535" s="8"/>
      <c r="Y5535" s="8"/>
      <c r="Z5535" s="7"/>
      <c r="AA5535" s="7"/>
      <c r="AB5535" s="7"/>
    </row>
    <row r="5536" ht="15.75" customHeight="1">
      <c r="A5536" s="26">
        <f>IFERROR(__xludf.DUMMYFUNCTION("""COMPUTED_VALUE"""),8375.0)</f>
        <v>8375</v>
      </c>
      <c r="B5536" s="22" t="str">
        <f>IFERROR(__xludf.DUMMYFUNCTION("""COMPUTED_VALUE"""),"確定")</f>
        <v>確定</v>
      </c>
      <c r="C5536" s="28">
        <f>IFERROR(__xludf.DUMMYFUNCTION("""COMPUTED_VALUE"""),46202.0)</f>
        <v>46202</v>
      </c>
      <c r="D5536" s="28">
        <f>IFERROR(__xludf.DUMMYFUNCTION("""COMPUTED_VALUE"""),46204.0)</f>
        <v>46204</v>
      </c>
      <c r="E5536" s="26"/>
      <c r="F5536" s="22" t="str">
        <f>IFERROR(__xludf.DUMMYFUNCTION("""COMPUTED_VALUE"""),"冷酷皇帝に殺されるはずが、終身溺愛ルートに入りました")</f>
        <v>冷酷皇帝に殺されるはずが、終身溺愛ルートに入りました</v>
      </c>
      <c r="G5536" s="20">
        <f>IFERROR(__xludf.DUMMYFUNCTION("""COMPUTED_VALUE"""),1.0)</f>
        <v>1</v>
      </c>
      <c r="H5536" s="22" t="str">
        <f>IFERROR(__xludf.DUMMYFUNCTION("""COMPUTED_VALUE"""),"Peco★/玖黎")</f>
        <v>Peco★/玖黎</v>
      </c>
      <c r="I5536" s="22" t="str">
        <f>IFERROR(__xludf.DUMMYFUNCTION("""COMPUTED_VALUE"""),"TL")</f>
        <v>TL</v>
      </c>
      <c r="J5536" s="22"/>
      <c r="K5536" s="22"/>
      <c r="L5536" s="22" t="str">
        <f>IFERROR(__xludf.DUMMYFUNCTION("""COMPUTED_VALUE"""),"モバイルメディアリサーチ")</f>
        <v>モバイルメディアリサーチ</v>
      </c>
      <c r="M5536" s="33">
        <f>IFERROR(__xludf.DUMMYFUNCTION("""COMPUTED_VALUE"""),46249.0)</f>
        <v>46249</v>
      </c>
      <c r="N5536" s="33">
        <f>IFERROR(__xludf.DUMMYFUNCTION("""COMPUTED_VALUE"""),46283.0)</f>
        <v>46283</v>
      </c>
      <c r="O5536" s="20" t="str">
        <f>IFERROR(__xludf.DUMMYFUNCTION("""COMPUTED_VALUE"""),"【アダルト作品扱い】")</f>
        <v>【アダルト作品扱い】</v>
      </c>
      <c r="P5536" s="32" t="str">
        <f>IFERROR(__xludf.DUMMYFUNCTION("""COMPUTED_VALUE"""),"可")</f>
        <v>可</v>
      </c>
      <c r="Q5536" s="30"/>
      <c r="R5536" s="22"/>
      <c r="S5536" s="22" t="str">
        <f>IFERROR(__xludf.DUMMYFUNCTION("""COMPUTED_VALUE"""),"20260625_モバイルメディアリサーチ_冷酷皇帝に殺されるはずが、終身溺愛ルートに入りました")</f>
        <v>20260625_モバイルメディアリサーチ_冷酷皇帝に殺されるはずが、終身溺愛ルートに入りました</v>
      </c>
      <c r="T5536" s="22" t="str">
        <f>IFERROR(__xludf.DUMMYFUNCTION("""COMPUTED_VALUE"""),"格納済み")</f>
        <v>格納済み</v>
      </c>
      <c r="U5536" s="9" t="str">
        <f>IFERROR(__xludf.DUMMYFUNCTION("""COMPUTED_VALUE"""),"ⒸPeco★/玖黎/モバイルメディアリサーチ")</f>
        <v>ⒸPeco★/玖黎/モバイルメディアリサーチ</v>
      </c>
      <c r="V5536" s="8"/>
      <c r="W5536" s="8"/>
      <c r="X5536" s="8"/>
      <c r="Y5536" s="8"/>
      <c r="Z5536" s="7"/>
      <c r="AA5536" s="7"/>
      <c r="AB5536" s="7"/>
    </row>
    <row r="5537" ht="15.75" customHeight="1">
      <c r="A5537" s="26">
        <f>IFERROR(__xludf.DUMMYFUNCTION("""COMPUTED_VALUE"""),8376.0)</f>
        <v>8376</v>
      </c>
      <c r="B5537" s="22" t="str">
        <f>IFERROR(__xludf.DUMMYFUNCTION("""COMPUTED_VALUE"""),"確定")</f>
        <v>確定</v>
      </c>
      <c r="C5537" s="28">
        <f>IFERROR(__xludf.DUMMYFUNCTION("""COMPUTED_VALUE"""),46202.0)</f>
        <v>46202</v>
      </c>
      <c r="D5537" s="28">
        <f>IFERROR(__xludf.DUMMYFUNCTION("""COMPUTED_VALUE"""),46204.0)</f>
        <v>46204</v>
      </c>
      <c r="E5537" s="26"/>
      <c r="F5537" s="22" t="str">
        <f>IFERROR(__xludf.DUMMYFUNCTION("""COMPUTED_VALUE"""),"それ、運命のせいではありません")</f>
        <v>それ、運命のせいではありません</v>
      </c>
      <c r="G5537" s="20" t="str">
        <f>IFERROR(__xludf.DUMMYFUNCTION("""COMPUTED_VALUE"""),"1~4")</f>
        <v>1~4</v>
      </c>
      <c r="H5537" s="22" t="str">
        <f>IFERROR(__xludf.DUMMYFUNCTION("""COMPUTED_VALUE"""),"有咲めいか/太田守信")</f>
        <v>有咲めいか/太田守信</v>
      </c>
      <c r="I5537" s="22" t="str">
        <f>IFERROR(__xludf.DUMMYFUNCTION("""COMPUTED_VALUE"""),"青年")</f>
        <v>青年</v>
      </c>
      <c r="J5537" s="22"/>
      <c r="K5537" s="22"/>
      <c r="L5537" s="22" t="str">
        <f>IFERROR(__xludf.DUMMYFUNCTION("""COMPUTED_VALUE"""),"ファンギルド")</f>
        <v>ファンギルド</v>
      </c>
      <c r="M5537" s="33">
        <f>IFERROR(__xludf.DUMMYFUNCTION("""COMPUTED_VALUE"""),46228.0)</f>
        <v>46228</v>
      </c>
      <c r="N5537" s="33">
        <f>IFERROR(__xludf.DUMMYFUNCTION("""COMPUTED_VALUE"""),46290.0)</f>
        <v>46290</v>
      </c>
      <c r="O5537" s="20"/>
      <c r="P5537" s="32" t="str">
        <f>IFERROR(__xludf.DUMMYFUNCTION("""COMPUTED_VALUE"""),"可")</f>
        <v>可</v>
      </c>
      <c r="Q5537" s="30"/>
      <c r="R5537" s="22"/>
      <c r="S5537" s="22" t="str">
        <f>IFERROR(__xludf.DUMMYFUNCTION("""COMPUTED_VALUE"""),"20260625_ファンギルド_それ、運命のせいではありません")</f>
        <v>20260625_ファンギルド_それ、運命のせいではありません</v>
      </c>
      <c r="T5537" s="22" t="str">
        <f>IFERROR(__xludf.DUMMYFUNCTION("""COMPUTED_VALUE"""),"格納済み")</f>
        <v>格納済み</v>
      </c>
      <c r="U5537" s="9" t="str">
        <f>IFERROR(__xludf.DUMMYFUNCTION("""COMPUTED_VALUE"""),"Ⓒ有咲めいか/太田守信/ファンギルド")</f>
        <v>Ⓒ有咲めいか/太田守信/ファンギルド</v>
      </c>
      <c r="V5537" s="8"/>
      <c r="W5537" s="8"/>
      <c r="X5537" s="8"/>
      <c r="Y5537" s="8"/>
      <c r="Z5537" s="7"/>
      <c r="AA5537" s="7"/>
      <c r="AB5537" s="7"/>
    </row>
    <row r="5538" ht="15.75" customHeight="1">
      <c r="A5538" s="26">
        <f>IFERROR(__xludf.DUMMYFUNCTION("""COMPUTED_VALUE"""),8381.0)</f>
        <v>8381</v>
      </c>
      <c r="B5538" s="22" t="str">
        <f>IFERROR(__xludf.DUMMYFUNCTION("""COMPUTED_VALUE"""),"確定")</f>
        <v>確定</v>
      </c>
      <c r="C5538" s="28">
        <f>IFERROR(__xludf.DUMMYFUNCTION("""COMPUTED_VALUE"""),46203.0)</f>
        <v>46203</v>
      </c>
      <c r="D5538" s="28">
        <f>IFERROR(__xludf.DUMMYFUNCTION("""COMPUTED_VALUE"""),46203.0)</f>
        <v>46203</v>
      </c>
      <c r="E5538" s="26"/>
      <c r="F5538" s="22" t="str">
        <f>IFERROR(__xludf.DUMMYFUNCTION("""COMPUTED_VALUE"""),"先生。みんながシコすぎて授業に集中できません。誰かにコキ捨てていいですか？")</f>
        <v>先生。みんながシコすぎて授業に集中できません。誰かにコキ捨てていいですか？</v>
      </c>
      <c r="G5538" s="20" t="str">
        <f>IFERROR(__xludf.DUMMYFUNCTION("""COMPUTED_VALUE"""),"1~5")</f>
        <v>1~5</v>
      </c>
      <c r="H5538" s="22" t="str">
        <f>IFERROR(__xludf.DUMMYFUNCTION("""COMPUTED_VALUE"""),"ちゃえ")</f>
        <v>ちゃえ</v>
      </c>
      <c r="I5538" s="22" t="str">
        <f>IFERROR(__xludf.DUMMYFUNCTION("""COMPUTED_VALUE"""),"アダルト")</f>
        <v>アダルト</v>
      </c>
      <c r="J5538" s="22"/>
      <c r="K5538" s="22"/>
      <c r="L5538" s="22" t="str">
        <f>IFERROR(__xludf.DUMMYFUNCTION("""COMPUTED_VALUE"""),"セ・キララ文庫")</f>
        <v>セ・キララ文庫</v>
      </c>
      <c r="M5538" s="33">
        <f>IFERROR(__xludf.DUMMYFUNCTION("""COMPUTED_VALUE"""),46259.0)</f>
        <v>46259</v>
      </c>
      <c r="N5538" s="33">
        <f>IFERROR(__xludf.DUMMYFUNCTION("""COMPUTED_VALUE"""),46319.0)</f>
        <v>46319</v>
      </c>
      <c r="O5538" s="20"/>
      <c r="P5538" s="32" t="str">
        <f>IFERROR(__xludf.DUMMYFUNCTION("""COMPUTED_VALUE"""),"可")</f>
        <v>可</v>
      </c>
      <c r="Q5538" s="30"/>
      <c r="R5538" s="22"/>
      <c r="S5538" s="22" t="str">
        <f>IFERROR(__xludf.DUMMYFUNCTION("""COMPUTED_VALUE"""),"20260626_ライドオン_先生。みんながシコすぎて授業に集中できません。誰かにコキ捨てていいですか？")</f>
        <v>20260626_ライドオン_先生。みんながシコすぎて授業に集中できません。誰かにコキ捨てていいですか？</v>
      </c>
      <c r="T5538" s="22" t="str">
        <f>IFERROR(__xludf.DUMMYFUNCTION("""COMPUTED_VALUE"""),"格納済み")</f>
        <v>格納済み</v>
      </c>
      <c r="U5538" s="9" t="str">
        <f>IFERROR(__xludf.DUMMYFUNCTION("""COMPUTED_VALUE"""),"Ⓒちゃえ/セ・キララ文庫")</f>
        <v>Ⓒちゃえ/セ・キララ文庫</v>
      </c>
      <c r="V5538" s="8"/>
      <c r="W5538" s="8"/>
      <c r="X5538" s="8"/>
      <c r="Y5538" s="8"/>
      <c r="Z5538" s="7"/>
      <c r="AA5538" s="7"/>
      <c r="AB5538" s="7"/>
    </row>
    <row r="5539" ht="15.75" customHeight="1">
      <c r="A5539" s="26">
        <f>IFERROR(__xludf.DUMMYFUNCTION("""COMPUTED_VALUE"""),8382.0)</f>
        <v>8382</v>
      </c>
      <c r="B5539" s="22" t="str">
        <f>IFERROR(__xludf.DUMMYFUNCTION("""COMPUTED_VALUE"""),"確定")</f>
        <v>確定</v>
      </c>
      <c r="C5539" s="28">
        <f>IFERROR(__xludf.DUMMYFUNCTION("""COMPUTED_VALUE"""),46203.0)</f>
        <v>46203</v>
      </c>
      <c r="D5539" s="28">
        <f>IFERROR(__xludf.DUMMYFUNCTION("""COMPUTED_VALUE"""),46204.0)</f>
        <v>46204</v>
      </c>
      <c r="E5539" s="26">
        <f>IFERROR(__xludf.DUMMYFUNCTION("""COMPUTED_VALUE"""),359431.0)</f>
        <v>359431</v>
      </c>
      <c r="F5539" s="22" t="str">
        <f>IFERROR(__xludf.DUMMYFUNCTION("""COMPUTED_VALUE"""),"明治のナイチンゲール～大関和物語～")</f>
        <v>明治のナイチンゲール～大関和物語～</v>
      </c>
      <c r="G5539" s="20" t="str">
        <f>IFERROR(__xludf.DUMMYFUNCTION("""COMPUTED_VALUE"""),"1~3")</f>
        <v>1~3</v>
      </c>
      <c r="H5539" s="22" t="str">
        <f>IFERROR(__xludf.DUMMYFUNCTION("""COMPUTED_VALUE"""),"白樫京,刻ぐるた,田中ひかる")</f>
        <v>白樫京,刻ぐるた,田中ひかる</v>
      </c>
      <c r="I5539" s="22" t="str">
        <f>IFERROR(__xludf.DUMMYFUNCTION("""COMPUTED_VALUE"""),"女性")</f>
        <v>女性</v>
      </c>
      <c r="J5539" s="22"/>
      <c r="K5539" s="22" t="str">
        <f>IFERROR(__xludf.DUMMYFUNCTION("""COMPUTED_VALUE"""),"トレモア・リアルラブ,トレモアcollection")</f>
        <v>トレモア・リアルラブ,トレモアcollection</v>
      </c>
      <c r="L5539" s="22" t="str">
        <f>IFERROR(__xludf.DUMMYFUNCTION("""COMPUTED_VALUE"""),"シーモアコミックス（トレモア）")</f>
        <v>シーモアコミックス（トレモア）</v>
      </c>
      <c r="M5539" s="33">
        <f>IFERROR(__xludf.DUMMYFUNCTION("""COMPUTED_VALUE"""),46247.0)</f>
        <v>46247</v>
      </c>
      <c r="N5539" s="33">
        <f>IFERROR(__xludf.DUMMYFUNCTION("""COMPUTED_VALUE"""),46401.0)</f>
        <v>46401</v>
      </c>
      <c r="O5539" s="20"/>
      <c r="P5539" s="32" t="str">
        <f>IFERROR(__xludf.DUMMYFUNCTION("""COMPUTED_VALUE"""),"可")</f>
        <v>可</v>
      </c>
      <c r="Q5539" s="30"/>
      <c r="R5539" s="22"/>
      <c r="S5539" s="22" t="str">
        <f>IFERROR(__xludf.DUMMYFUNCTION("""COMPUTED_VALUE"""),"20260626_シーモアコミックス_明治のナイチンゲール～大関和物語～")</f>
        <v>20260626_シーモアコミックス_明治のナイチンゲール～大関和物語～</v>
      </c>
      <c r="T5539" s="22" t="str">
        <f>IFERROR(__xludf.DUMMYFUNCTION("""COMPUTED_VALUE"""),"格納済み")</f>
        <v>格納済み</v>
      </c>
      <c r="U5539" s="9" t="str">
        <f>IFERROR(__xludf.DUMMYFUNCTION("""COMPUTED_VALUE"""),"(C) 白樫京/刻ぐるた/田中ひかる/シーモアコミックス")</f>
        <v>(C) 白樫京/刻ぐるた/田中ひかる/シーモアコミックス</v>
      </c>
      <c r="V5539" s="8"/>
      <c r="W5539" s="8"/>
      <c r="X5539" s="8"/>
      <c r="Y5539" s="8"/>
      <c r="Z5539" s="7"/>
      <c r="AA5539" s="7"/>
      <c r="AB5539" s="7"/>
    </row>
    <row r="5540" ht="15.75" customHeight="1">
      <c r="A5540" s="26">
        <f>IFERROR(__xludf.DUMMYFUNCTION("""COMPUTED_VALUE"""),8383.0)</f>
        <v>8383</v>
      </c>
      <c r="B5540" s="22" t="str">
        <f>IFERROR(__xludf.DUMMYFUNCTION("""COMPUTED_VALUE"""),"確定")</f>
        <v>確定</v>
      </c>
      <c r="C5540" s="28">
        <f>IFERROR(__xludf.DUMMYFUNCTION("""COMPUTED_VALUE"""),46203.0)</f>
        <v>46203</v>
      </c>
      <c r="D5540" s="28">
        <f>IFERROR(__xludf.DUMMYFUNCTION("""COMPUTED_VALUE"""),46216.0)</f>
        <v>46216</v>
      </c>
      <c r="E5540" s="26">
        <f>IFERROR(__xludf.DUMMYFUNCTION("""COMPUTED_VALUE"""),366266.0)</f>
        <v>366266</v>
      </c>
      <c r="F5540" s="22" t="str">
        <f>IFERROR(__xludf.DUMMYFUNCTION("""COMPUTED_VALUE"""),"欲望の棲むマンション～その壁の向こう側～【タテヨミ】")</f>
        <v>欲望の棲むマンション～その壁の向こう側～【タテヨミ】</v>
      </c>
      <c r="G5540" s="20" t="str">
        <f>IFERROR(__xludf.DUMMYFUNCTION("""COMPUTED_VALUE"""),"1~20")</f>
        <v>1~20</v>
      </c>
      <c r="H5540" s="22" t="str">
        <f>IFERROR(__xludf.DUMMYFUNCTION("""COMPUTED_VALUE"""),"backyou・JJangE")</f>
        <v>backyou・JJangE</v>
      </c>
      <c r="I5540" s="22" t="str">
        <f>IFERROR(__xludf.DUMMYFUNCTION("""COMPUTED_VALUE"""),"青年")</f>
        <v>青年</v>
      </c>
      <c r="J5540" s="22"/>
      <c r="K5540" s="22"/>
      <c r="L5540" s="22" t="str">
        <f>IFERROR(__xludf.DUMMYFUNCTION("""COMPUTED_VALUE"""),"レジンエンターテインメント")</f>
        <v>レジンエンターテインメント</v>
      </c>
      <c r="M5540" s="33">
        <f>IFERROR(__xludf.DUMMYFUNCTION("""COMPUTED_VALUE"""),46220.0)</f>
        <v>46220</v>
      </c>
      <c r="N5540" s="33">
        <f>IFERROR(__xludf.DUMMYFUNCTION("""COMPUTED_VALUE"""),46312.0)</f>
        <v>46312</v>
      </c>
      <c r="O5540" s="20" t="str">
        <f>IFERROR(__xludf.DUMMYFUNCTION("""COMPUTED_VALUE"""),"【アダルト作品扱い】")</f>
        <v>【アダルト作品扱い】</v>
      </c>
      <c r="P5540" s="32" t="str">
        <f>IFERROR(__xludf.DUMMYFUNCTION("""COMPUTED_VALUE"""),"可")</f>
        <v>可</v>
      </c>
      <c r="Q5540" s="30" t="str">
        <f>IFERROR(__xludf.DUMMYFUNCTION("""COMPUTED_VALUE"""),"タイトル名とフォルダ名が異なりますが「20260623_レジンエンターテインメント_paradise_villa」の素材をご使用いただいて問題ございません。")</f>
        <v>タイトル名とフォルダ名が異なりますが「20260623_レジンエンターテインメント_paradise_villa」の素材をご使用いただいて問題ございません。</v>
      </c>
      <c r="R5540" s="22"/>
      <c r="S5540" s="22" t="str">
        <f>IFERROR(__xludf.DUMMYFUNCTION("""COMPUTED_VALUE"""),"20260623_レジンエンターテインメント_paradise_villa")</f>
        <v>20260623_レジンエンターテインメント_paradise_villa</v>
      </c>
      <c r="T5540" s="22" t="str">
        <f>IFERROR(__xludf.DUMMYFUNCTION("""COMPUTED_VALUE"""),"格納済み")</f>
        <v>格納済み</v>
      </c>
      <c r="U5540" s="9" t="str">
        <f>IFERROR(__xludf.DUMMYFUNCTION("""COMPUTED_VALUE"""),"Ⓒ backyou・JJangE / レジンエンターテインメント")</f>
        <v>Ⓒ backyou・JJangE / レジンエンターテインメント</v>
      </c>
      <c r="V5540" s="8"/>
      <c r="W5540" s="8"/>
      <c r="X5540" s="8" t="str">
        <f>IFERROR(__xludf.DUMMYFUNCTION("""COMPUTED_VALUE"""),"有")</f>
        <v>有</v>
      </c>
      <c r="Y5540" s="8" t="str">
        <f>IFERROR(__xludf.DUMMYFUNCTION("""COMPUTED_VALUE"""),"1巻永久無料
2026/7/23まで2～3巻無料")</f>
        <v>1巻永久無料
2026/7/23まで2～3巻無料</v>
      </c>
      <c r="Z5540" s="7"/>
      <c r="AA5540" s="7"/>
      <c r="AB5540" s="7"/>
    </row>
    <row r="5541" ht="15.75" customHeight="1">
      <c r="A5541" s="26">
        <f>IFERROR(__xludf.DUMMYFUNCTION("""COMPUTED_VALUE"""),8386.0)</f>
        <v>8386</v>
      </c>
      <c r="B5541" s="22" t="str">
        <f>IFERROR(__xludf.DUMMYFUNCTION("""COMPUTED_VALUE"""),"確定")</f>
        <v>確定</v>
      </c>
      <c r="C5541" s="28">
        <f>IFERROR(__xludf.DUMMYFUNCTION("""COMPUTED_VALUE"""),46203.0)</f>
        <v>46203</v>
      </c>
      <c r="D5541" s="28">
        <f>IFERROR(__xludf.DUMMYFUNCTION("""COMPUTED_VALUE"""),46203.0)</f>
        <v>46203</v>
      </c>
      <c r="E5541" s="26"/>
      <c r="F5541" s="22" t="str">
        <f>IFERROR(__xludf.DUMMYFUNCTION("""COMPUTED_VALUE"""),"親愛なるテディベアへ〜ぬいぐるみに隠された秘密〜 【タテヨミ】")</f>
        <v>親愛なるテディベアへ〜ぬいぐるみに隠された秘密〜 【タテヨミ】</v>
      </c>
      <c r="G5541" s="20" t="str">
        <f>IFERROR(__xludf.DUMMYFUNCTION("""COMPUTED_VALUE"""),"1~27")</f>
        <v>1~27</v>
      </c>
      <c r="H5541" s="22" t="str">
        <f>IFERROR(__xludf.DUMMYFUNCTION("""COMPUTED_VALUE"""),"Pisangu")</f>
        <v>Pisangu</v>
      </c>
      <c r="I5541" s="22" t="str">
        <f>IFERROR(__xludf.DUMMYFUNCTION("""COMPUTED_VALUE"""),"BL")</f>
        <v>BL</v>
      </c>
      <c r="J5541" s="22"/>
      <c r="K5541" s="22"/>
      <c r="L5541" s="22" t="str">
        <f>IFERROR(__xludf.DUMMYFUNCTION("""COMPUTED_VALUE"""),"レジンエンターテインメント")</f>
        <v>レジンエンターテインメント</v>
      </c>
      <c r="M5541" s="33">
        <f>IFERROR(__xludf.DUMMYFUNCTION("""COMPUTED_VALUE"""),46248.0)</f>
        <v>46248</v>
      </c>
      <c r="N5541" s="33">
        <f>IFERROR(__xludf.DUMMYFUNCTION("""COMPUTED_VALUE"""),46340.0)</f>
        <v>46340</v>
      </c>
      <c r="O5541" s="20"/>
      <c r="P5541" s="32" t="str">
        <f>IFERROR(__xludf.DUMMYFUNCTION("""COMPUTED_VALUE"""),"可")</f>
        <v>可</v>
      </c>
      <c r="Q5541" s="30"/>
      <c r="R5541" s="22"/>
      <c r="S5541" s="22" t="str">
        <f>IFERROR(__xludf.DUMMYFUNCTION("""COMPUTED_VALUE"""),"20260622_レジンエンターテインメント_dear_teddybear")</f>
        <v>20260622_レジンエンターテインメント_dear_teddybear</v>
      </c>
      <c r="T5541" s="22" t="str">
        <f>IFERROR(__xludf.DUMMYFUNCTION("""COMPUTED_VALUE"""),"格納済み")</f>
        <v>格納済み</v>
      </c>
      <c r="U5541" s="9" t="str">
        <f>IFERROR(__xludf.DUMMYFUNCTION("""COMPUTED_VALUE"""),"Ⓒ  Pisangu / レジンエンターテインメント")</f>
        <v>Ⓒ  Pisangu / レジンエンターテインメント</v>
      </c>
      <c r="V5541" s="8"/>
      <c r="W5541" s="8"/>
      <c r="X5541" s="8"/>
      <c r="Y5541" s="8"/>
      <c r="Z5541" s="7"/>
      <c r="AA5541" s="7"/>
      <c r="AB5541" s="7"/>
    </row>
    <row r="5542" ht="15.75" customHeight="1">
      <c r="A5542" s="26">
        <f>IFERROR(__xludf.DUMMYFUNCTION("""COMPUTED_VALUE"""),8387.0)</f>
        <v>8387</v>
      </c>
      <c r="B5542" s="22" t="str">
        <f>IFERROR(__xludf.DUMMYFUNCTION("""COMPUTED_VALUE"""),"確定")</f>
        <v>確定</v>
      </c>
      <c r="C5542" s="28">
        <f>IFERROR(__xludf.DUMMYFUNCTION("""COMPUTED_VALUE"""),46203.0)</f>
        <v>46203</v>
      </c>
      <c r="D5542" s="28">
        <f>IFERROR(__xludf.DUMMYFUNCTION("""COMPUTED_VALUE"""),46203.0)</f>
        <v>46203</v>
      </c>
      <c r="E5542" s="26"/>
      <c r="F5542" s="22" t="str">
        <f>IFERROR(__xludf.DUMMYFUNCTION("""COMPUTED_VALUE"""),"Dreadful Night～ホラーゲームからの脱出～【タテヨミ】")</f>
        <v>Dreadful Night～ホラーゲームからの脱出～【タテヨミ】</v>
      </c>
      <c r="G5542" s="20" t="str">
        <f>IFERROR(__xludf.DUMMYFUNCTION("""COMPUTED_VALUE"""),"1~30")</f>
        <v>1~30</v>
      </c>
      <c r="H5542" s="22" t="str">
        <f>IFERROR(__xludf.DUMMYFUNCTION("""COMPUTED_VALUE"""),"moan")</f>
        <v>moan</v>
      </c>
      <c r="I5542" s="22" t="str">
        <f>IFERROR(__xludf.DUMMYFUNCTION("""COMPUTED_VALUE"""),"BL")</f>
        <v>BL</v>
      </c>
      <c r="J5542" s="22"/>
      <c r="K5542" s="22"/>
      <c r="L5542" s="22" t="str">
        <f>IFERROR(__xludf.DUMMYFUNCTION("""COMPUTED_VALUE"""),"レジンエンターテインメント")</f>
        <v>レジンエンターテインメント</v>
      </c>
      <c r="M5542" s="33">
        <f>IFERROR(__xludf.DUMMYFUNCTION("""COMPUTED_VALUE"""),46241.0)</f>
        <v>46241</v>
      </c>
      <c r="N5542" s="33">
        <f>IFERROR(__xludf.DUMMYFUNCTION("""COMPUTED_VALUE"""),46333.0)</f>
        <v>46333</v>
      </c>
      <c r="O5542" s="20"/>
      <c r="P5542" s="32" t="str">
        <f>IFERROR(__xludf.DUMMYFUNCTION("""COMPUTED_VALUE"""),"可")</f>
        <v>可</v>
      </c>
      <c r="Q5542" s="30"/>
      <c r="R5542" s="22"/>
      <c r="S5542" s="22" t="str">
        <f>IFERROR(__xludf.DUMMYFUNCTION("""COMPUTED_VALUE"""),"20260622_レジンエンターテインメント_dreadful")</f>
        <v>20260622_レジンエンターテインメント_dreadful</v>
      </c>
      <c r="T5542" s="22" t="str">
        <f>IFERROR(__xludf.DUMMYFUNCTION("""COMPUTED_VALUE"""),"格納済み")</f>
        <v>格納済み</v>
      </c>
      <c r="U5542" s="9" t="str">
        <f>IFERROR(__xludf.DUMMYFUNCTION("""COMPUTED_VALUE"""),"Ⓒ moan / レジンエンターテインメント")</f>
        <v>Ⓒ moan / レジンエンターテインメント</v>
      </c>
      <c r="V5542" s="8"/>
      <c r="W5542" s="8"/>
      <c r="X5542" s="8"/>
      <c r="Y5542" s="8"/>
      <c r="Z5542" s="7"/>
      <c r="AA5542" s="7"/>
      <c r="AB5542" s="7"/>
    </row>
    <row r="5543" ht="15.75" customHeight="1">
      <c r="A5543" s="26">
        <f>IFERROR(__xludf.DUMMYFUNCTION("""COMPUTED_VALUE"""),8388.0)</f>
        <v>8388</v>
      </c>
      <c r="B5543" s="22" t="str">
        <f>IFERROR(__xludf.DUMMYFUNCTION("""COMPUTED_VALUE"""),"確定")</f>
        <v>確定</v>
      </c>
      <c r="C5543" s="28">
        <f>IFERROR(__xludf.DUMMYFUNCTION("""COMPUTED_VALUE"""),46203.0)</f>
        <v>46203</v>
      </c>
      <c r="D5543" s="28">
        <f>IFERROR(__xludf.DUMMYFUNCTION("""COMPUTED_VALUE"""),46203.0)</f>
        <v>46203</v>
      </c>
      <c r="E5543" s="26"/>
      <c r="F5543" s="22" t="str">
        <f>IFERROR(__xludf.DUMMYFUNCTION("""COMPUTED_VALUE"""),"結婚のカタチ～スワップ婚～")</f>
        <v>結婚のカタチ～スワップ婚～</v>
      </c>
      <c r="G5543" s="20" t="str">
        <f>IFERROR(__xludf.DUMMYFUNCTION("""COMPUTED_VALUE"""),"1~4")</f>
        <v>1~4</v>
      </c>
      <c r="H5543" s="22" t="str">
        <f>IFERROR(__xludf.DUMMYFUNCTION("""COMPUTED_VALUE"""),"嶋村ヒロ／集英社")</f>
        <v>嶋村ヒロ／集英社</v>
      </c>
      <c r="I5543" s="22" t="str">
        <f>IFERROR(__xludf.DUMMYFUNCTION("""COMPUTED_VALUE"""),"女性")</f>
        <v>女性</v>
      </c>
      <c r="J5543" s="22"/>
      <c r="K5543" s="22"/>
      <c r="L5543" s="22" t="str">
        <f>IFERROR(__xludf.DUMMYFUNCTION("""COMPUTED_VALUE"""),"集英社")</f>
        <v>集英社</v>
      </c>
      <c r="M5543" s="33">
        <f>IFERROR(__xludf.DUMMYFUNCTION("""COMPUTED_VALUE"""),46228.0)</f>
        <v>46228</v>
      </c>
      <c r="N5543" s="33">
        <f>IFERROR(__xludf.DUMMYFUNCTION("""COMPUTED_VALUE"""),46289.0)</f>
        <v>46289</v>
      </c>
      <c r="O5543" s="20"/>
      <c r="P5543" s="32" t="str">
        <f>IFERROR(__xludf.DUMMYFUNCTION("""COMPUTED_VALUE"""),"否")</f>
        <v>否</v>
      </c>
      <c r="Q5543" s="30"/>
      <c r="R5543" s="22"/>
      <c r="S5543" s="22" t="str">
        <f>IFERROR(__xludf.DUMMYFUNCTION("""COMPUTED_VALUE"""),"20260622_集英社_結婚のカタチ")</f>
        <v>20260622_集英社_結婚のカタチ</v>
      </c>
      <c r="T5543" s="22" t="str">
        <f>IFERROR(__xludf.DUMMYFUNCTION("""COMPUTED_VALUE"""),"格納済み")</f>
        <v>格納済み</v>
      </c>
      <c r="U5543" s="9" t="str">
        <f>IFERROR(__xludf.DUMMYFUNCTION("""COMPUTED_VALUE"""),"Ⓒ嶋村ヒロ／集英社")</f>
        <v>Ⓒ嶋村ヒロ／集英社</v>
      </c>
      <c r="V5543" s="8"/>
      <c r="W5543" s="8"/>
      <c r="X5543" s="8"/>
      <c r="Y5543" s="8"/>
      <c r="Z5543" s="7"/>
      <c r="AA5543" s="7"/>
      <c r="AB5543" s="7"/>
    </row>
    <row r="5544" ht="15.75" customHeight="1">
      <c r="A5544" s="26">
        <f>IFERROR(__xludf.DUMMYFUNCTION("""COMPUTED_VALUE"""),7471.0)</f>
        <v>7471</v>
      </c>
      <c r="B5544" s="22" t="str">
        <f>IFERROR(__xludf.DUMMYFUNCTION("""COMPUTED_VALUE"""),"確定")</f>
        <v>確定</v>
      </c>
      <c r="C5544" s="28">
        <f>IFERROR(__xludf.DUMMYFUNCTION("""COMPUTED_VALUE"""),46070.0)</f>
        <v>46070</v>
      </c>
      <c r="D5544" s="28">
        <f>IFERROR(__xludf.DUMMYFUNCTION("""COMPUTED_VALUE"""),46205.0)</f>
        <v>46205</v>
      </c>
      <c r="E5544" s="26"/>
      <c r="F5544" s="22" t="str">
        <f>IFERROR(__xludf.DUMMYFUNCTION("""COMPUTED_VALUE"""),"【単話版】バッドエンド目前のヒロインに転生した私、今世ではなぜか独占欲強めの王子様が離してくれません!?@COMIC")</f>
        <v>【単話版】バッドエンド目前のヒロインに転生した私、今世ではなぜか独占欲強めの王子様が離してくれません!?@COMIC</v>
      </c>
      <c r="G5544" s="20" t="str">
        <f>IFERROR(__xludf.DUMMYFUNCTION("""COMPUTED_VALUE"""),"１～３")</f>
        <v>１～３</v>
      </c>
      <c r="H5544" s="22" t="str">
        <f>IFERROR(__xludf.DUMMYFUNCTION("""COMPUTED_VALUE"""),"七星郁斗/琴子/彩月つかさ")</f>
        <v>七星郁斗/琴子/彩月つかさ</v>
      </c>
      <c r="I5544" s="22" t="str">
        <f>IFERROR(__xludf.DUMMYFUNCTION("""COMPUTED_VALUE"""),"少女")</f>
        <v>少女</v>
      </c>
      <c r="J5544" s="22"/>
      <c r="K5544" s="22" t="str">
        <f>IFERROR(__xludf.DUMMYFUNCTION("""COMPUTED_VALUE"""),"Celicaコミックス")</f>
        <v>Celicaコミックス</v>
      </c>
      <c r="L5544" s="22" t="str">
        <f>IFERROR(__xludf.DUMMYFUNCTION("""COMPUTED_VALUE"""),"TOブックス")</f>
        <v>TOブックス</v>
      </c>
      <c r="M5544" s="33">
        <f>IFERROR(__xludf.DUMMYFUNCTION("""COMPUTED_VALUE"""),46235.0)</f>
        <v>46235</v>
      </c>
      <c r="N5544" s="33">
        <f>IFERROR(__xludf.DUMMYFUNCTION("""COMPUTED_VALUE"""),46295.0)</f>
        <v>46295</v>
      </c>
      <c r="O5544" s="20"/>
      <c r="P5544" s="32" t="str">
        <f>IFERROR(__xludf.DUMMYFUNCTION("""COMPUTED_VALUE"""),"否")</f>
        <v>否</v>
      </c>
      <c r="Q5544" s="30" t="str">
        <f>IFERROR(__xludf.DUMMYFUNCTION("""COMPUTED_VALUE"""),"『【単話版】バッドエンド目前のヒロインに転生した私、&lt;BR&gt;今世では恋愛するつもりがチートな兄が離してくれません!?＠COMIC』のスピンオフ作品です。")</f>
        <v>『【単話版】バッドエンド目前のヒロインに転生した私、&lt;BR&gt;今世では恋愛するつもりがチートな兄が離してくれません!?＠COMIC』のスピンオフ作品です。</v>
      </c>
      <c r="R5544" s="22" t="str">
        <f>IFERROR(__xludf.DUMMYFUNCTION("""COMPUTED_VALUE"""),"コミットOK")</f>
        <v>コミットOK</v>
      </c>
      <c r="S5544" s="22" t="str">
        <f>IFERROR(__xludf.DUMMYFUNCTION("""COMPUTED_VALUE"""),"20260701_TOブックス_バッドエンド目前のヒロインに転生した私、今世ではなぜか独占欲強めの王子様が離してくれません!＠COMIC")</f>
        <v>20260701_TOブックス_バッドエンド目前のヒロインに転生した私、今世ではなぜか独占欲強めの王子様が離してくれません!＠COMIC</v>
      </c>
      <c r="T5544" s="22" t="str">
        <f>IFERROR(__xludf.DUMMYFUNCTION("""COMPUTED_VALUE"""),"格納済み")</f>
        <v>格納済み</v>
      </c>
      <c r="U5544" s="9" t="str">
        <f>IFERROR(__xludf.DUMMYFUNCTION("""COMPUTED_VALUE"""),"(C) Ikuto Nanase / Kotoko")</f>
        <v>(C) Ikuto Nanase / Kotoko</v>
      </c>
      <c r="V5544" s="8"/>
      <c r="W5544" s="8"/>
      <c r="X5544" s="8"/>
      <c r="Y5544" s="8"/>
      <c r="Z5544" s="7"/>
      <c r="AA5544" s="7"/>
      <c r="AB5544" s="7"/>
    </row>
    <row r="5545" ht="15.75" customHeight="1">
      <c r="A5545" s="26">
        <f>IFERROR(__xludf.DUMMYFUNCTION("""COMPUTED_VALUE"""),7715.0)</f>
        <v>7715</v>
      </c>
      <c r="B5545" s="22" t="str">
        <f>IFERROR(__xludf.DUMMYFUNCTION("""COMPUTED_VALUE"""),"確定")</f>
        <v>確定</v>
      </c>
      <c r="C5545" s="28">
        <f>IFERROR(__xludf.DUMMYFUNCTION("""COMPUTED_VALUE"""),46100.0)</f>
        <v>46100</v>
      </c>
      <c r="D5545" s="28">
        <f>IFERROR(__xludf.DUMMYFUNCTION("""COMPUTED_VALUE"""),46206.0)</f>
        <v>46206</v>
      </c>
      <c r="E5545" s="26"/>
      <c r="F5545" s="22" t="str">
        <f>IFERROR(__xludf.DUMMYFUNCTION("""COMPUTED_VALUE"""),"【単話売】私のつれない旦那様")</f>
        <v>【単話売】私のつれない旦那様</v>
      </c>
      <c r="G5545" s="20" t="str">
        <f>IFERROR(__xludf.DUMMYFUNCTION("""COMPUTED_VALUE"""),"1~3")</f>
        <v>1~3</v>
      </c>
      <c r="H5545" s="22" t="str">
        <f>IFERROR(__xludf.DUMMYFUNCTION("""COMPUTED_VALUE"""),"露にな")</f>
        <v>露にな</v>
      </c>
      <c r="I5545" s="22" t="str">
        <f>IFERROR(__xludf.DUMMYFUNCTION("""COMPUTED_VALUE"""),"女性マンガ")</f>
        <v>女性マンガ</v>
      </c>
      <c r="J5545" s="22"/>
      <c r="K5545" s="22"/>
      <c r="L5545" s="22" t="str">
        <f>IFERROR(__xludf.DUMMYFUNCTION("""COMPUTED_VALUE"""),"集英社")</f>
        <v>集英社</v>
      </c>
      <c r="M5545" s="33">
        <f>IFERROR(__xludf.DUMMYFUNCTION("""COMPUTED_VALUE"""),46231.0)</f>
        <v>46231</v>
      </c>
      <c r="N5545" s="33">
        <f>IFERROR(__xludf.DUMMYFUNCTION("""COMPUTED_VALUE"""),46322.0)</f>
        <v>46322</v>
      </c>
      <c r="O5545" s="20"/>
      <c r="P5545" s="32" t="str">
        <f>IFERROR(__xludf.DUMMYFUNCTION("""COMPUTED_VALUE"""),"否")</f>
        <v>否</v>
      </c>
      <c r="Q5545" s="30"/>
      <c r="R5545" s="22" t="str">
        <f>IFERROR(__xludf.DUMMYFUNCTION("""COMPUTED_VALUE"""),"コミットNG")</f>
        <v>コミットNG</v>
      </c>
      <c r="S5545" s="22" t="str">
        <f>IFERROR(__xludf.DUMMYFUNCTION("""COMPUTED_VALUE"""),"20260701_集英社_私のつれない旦那様")</f>
        <v>20260701_集英社_私のつれない旦那様</v>
      </c>
      <c r="T5545" s="22" t="str">
        <f>IFERROR(__xludf.DUMMYFUNCTION("""COMPUTED_VALUE"""),"格納済み")</f>
        <v>格納済み</v>
      </c>
      <c r="U5545" s="9" t="str">
        <f>IFERROR(__xludf.DUMMYFUNCTION("""COMPUTED_VALUE"""),"Ⓒ露にな／集英社クリエイティブ")</f>
        <v>Ⓒ露にな／集英社クリエイティブ</v>
      </c>
      <c r="V5545" s="8"/>
      <c r="W5545" s="8"/>
      <c r="X5545" s="8"/>
      <c r="Y5545" s="8"/>
      <c r="Z5545" s="7"/>
      <c r="AA5545" s="7"/>
      <c r="AB5545" s="7"/>
    </row>
    <row r="5546" ht="15.75" customHeight="1">
      <c r="A5546" s="26">
        <f>IFERROR(__xludf.DUMMYFUNCTION("""COMPUTED_VALUE"""),8053.0)</f>
        <v>8053</v>
      </c>
      <c r="B5546" s="22" t="str">
        <f>IFERROR(__xludf.DUMMYFUNCTION("""COMPUTED_VALUE"""),"確定")</f>
        <v>確定</v>
      </c>
      <c r="C5546" s="28">
        <f>IFERROR(__xludf.DUMMYFUNCTION("""COMPUTED_VALUE"""),46162.0)</f>
        <v>46162</v>
      </c>
      <c r="D5546" s="28">
        <f>IFERROR(__xludf.DUMMYFUNCTION("""COMPUTED_VALUE"""),46210.0)</f>
        <v>46210</v>
      </c>
      <c r="E5546" s="26"/>
      <c r="F5546" s="22" t="str">
        <f>IFERROR(__xludf.DUMMYFUNCTION("""COMPUTED_VALUE"""),"大っ嫌いな幼馴染と一晩だけの恋人契約～絡みつくような執着えっち～【R版】")</f>
        <v>大っ嫌いな幼馴染と一晩だけの恋人契約～絡みつくような執着えっち～【R版】</v>
      </c>
      <c r="G5546" s="20" t="str">
        <f>IFERROR(__xludf.DUMMYFUNCTION("""COMPUTED_VALUE"""),"1~3")</f>
        <v>1~3</v>
      </c>
      <c r="H5546" s="22" t="str">
        <f>IFERROR(__xludf.DUMMYFUNCTION("""COMPUTED_VALUE"""),"翠楼檸")</f>
        <v>翠楼檸</v>
      </c>
      <c r="I5546" s="22" t="str">
        <f>IFERROR(__xludf.DUMMYFUNCTION("""COMPUTED_VALUE"""),"アダルト")</f>
        <v>アダルト</v>
      </c>
      <c r="J5546" s="22"/>
      <c r="K5546" s="22" t="str">
        <f>IFERROR(__xludf.DUMMYFUNCTION("""COMPUTED_VALUE"""),"＠夜噺+")</f>
        <v>＠夜噺+</v>
      </c>
      <c r="L5546" s="22" t="str">
        <f>IFERROR(__xludf.DUMMYFUNCTION("""COMPUTED_VALUE"""),"DEEPER-ZERO")</f>
        <v>DEEPER-ZERO</v>
      </c>
      <c r="M5546" s="33">
        <f>IFERROR(__xludf.DUMMYFUNCTION("""COMPUTED_VALUE"""),46254.0)</f>
        <v>46254</v>
      </c>
      <c r="N5546" s="33">
        <f>IFERROR(__xludf.DUMMYFUNCTION("""COMPUTED_VALUE"""),46309.0)</f>
        <v>46309</v>
      </c>
      <c r="O5546" s="20"/>
      <c r="P5546" s="32" t="str">
        <f>IFERROR(__xludf.DUMMYFUNCTION("""COMPUTED_VALUE"""),"可")</f>
        <v>可</v>
      </c>
      <c r="Q5546" s="30" t="str">
        <f>IFERROR(__xludf.DUMMYFUNCTION("""COMPUTED_VALUE"""),"実績のある作家さんになります。")</f>
        <v>実績のある作家さんになります。</v>
      </c>
      <c r="R5546" s="22" t="str">
        <f>IFERROR(__xludf.DUMMYFUNCTION("""COMPUTED_VALUE"""),"コミットOK")</f>
        <v>コミットOK</v>
      </c>
      <c r="S5546" s="22" t="str">
        <f>IFERROR(__xludf.DUMMYFUNCTION("""COMPUTED_VALUE"""),"20260703_CLLENN_大っ嫌いな幼馴染と一晩だけの恋人契約～絡みつくような執着えっち～")</f>
        <v>20260703_CLLENN_大っ嫌いな幼馴染と一晩だけの恋人契約～絡みつくような執着えっち～</v>
      </c>
      <c r="T5546" s="22" t="str">
        <f>IFERROR(__xludf.DUMMYFUNCTION("""COMPUTED_VALUE"""),"格納済み")</f>
        <v>格納済み</v>
      </c>
      <c r="U5546" s="9" t="str">
        <f>IFERROR(__xludf.DUMMYFUNCTION("""COMPUTED_VALUE"""),"Ⓒ翠楼檸/DEEPER-ZERO")</f>
        <v>Ⓒ翠楼檸/DEEPER-ZERO</v>
      </c>
      <c r="V5546" s="8"/>
      <c r="W5546" s="8"/>
      <c r="X5546" s="8"/>
      <c r="Y5546" s="8"/>
      <c r="Z5546" s="7"/>
      <c r="AA5546" s="7"/>
      <c r="AB5546" s="7"/>
    </row>
    <row r="5547" ht="15.75" customHeight="1">
      <c r="A5547" s="26">
        <f>IFERROR(__xludf.DUMMYFUNCTION("""COMPUTED_VALUE"""),8070.0)</f>
        <v>8070</v>
      </c>
      <c r="B5547" s="22" t="str">
        <f>IFERROR(__xludf.DUMMYFUNCTION("""COMPUTED_VALUE"""),"確定")</f>
        <v>確定</v>
      </c>
      <c r="C5547" s="28">
        <f>IFERROR(__xludf.DUMMYFUNCTION("""COMPUTED_VALUE"""),46162.0)</f>
        <v>46162</v>
      </c>
      <c r="D5547" s="28">
        <f>IFERROR(__xludf.DUMMYFUNCTION("""COMPUTED_VALUE"""),46206.0)</f>
        <v>46206</v>
      </c>
      <c r="E5547" s="26"/>
      <c r="F5547" s="22" t="str">
        <f>IFERROR(__xludf.DUMMYFUNCTION("""COMPUTED_VALUE"""),"こじらせ幼馴染みは気付いて欲しい【分冊版】")</f>
        <v>こじらせ幼馴染みは気付いて欲しい【分冊版】</v>
      </c>
      <c r="G5547" s="20" t="str">
        <f>IFERROR(__xludf.DUMMYFUNCTION("""COMPUTED_VALUE"""),"1~6")</f>
        <v>1~6</v>
      </c>
      <c r="H5547" s="22" t="str">
        <f>IFERROR(__xludf.DUMMYFUNCTION("""COMPUTED_VALUE"""),"すずり街")</f>
        <v>すずり街</v>
      </c>
      <c r="I5547" s="22" t="str">
        <f>IFERROR(__xludf.DUMMYFUNCTION("""COMPUTED_VALUE"""),"BL")</f>
        <v>BL</v>
      </c>
      <c r="J5547" s="22"/>
      <c r="K5547" s="22" t="str">
        <f>IFERROR(__xludf.DUMMYFUNCTION("""COMPUTED_VALUE"""),"ガンガンBLiss")</f>
        <v>ガンガンBLiss</v>
      </c>
      <c r="L5547" s="22" t="str">
        <f>IFERROR(__xludf.DUMMYFUNCTION("""COMPUTED_VALUE"""),"スクウェア・エニックス")</f>
        <v>スクウェア・エニックス</v>
      </c>
      <c r="M5547" s="33">
        <f>IFERROR(__xludf.DUMMYFUNCTION("""COMPUTED_VALUE"""),46266.0)</f>
        <v>46266</v>
      </c>
      <c r="N5547" s="33">
        <f>IFERROR(__xludf.DUMMYFUNCTION("""COMPUTED_VALUE"""),46356.0)</f>
        <v>46356</v>
      </c>
      <c r="O5547" s="20"/>
      <c r="P5547" s="32" t="str">
        <f>IFERROR(__xludf.DUMMYFUNCTION("""COMPUTED_VALUE"""),"可")</f>
        <v>可</v>
      </c>
      <c r="Q5547" s="30" t="str">
        <f>IFERROR(__xludf.DUMMYFUNCTION("""COMPUTED_VALUE"""),"ライトBL施策&lt;BR&gt;「BLドラマの主演になりました」（実写ドラマ化実績あり）などを執筆されていた先生の新作です。")</f>
        <v>ライトBL施策&lt;BR&gt;「BLドラマの主演になりました」（実写ドラマ化実績あり）などを執筆されていた先生の新作です。</v>
      </c>
      <c r="R5547" s="22"/>
      <c r="S5547" s="22" t="str">
        <f>IFERROR(__xludf.DUMMYFUNCTION("""COMPUTED_VALUE"""),"20260702_スクウェア・エニックス_こじらせ幼馴染みは気付いて欲しい【分冊版】")</f>
        <v>20260702_スクウェア・エニックス_こじらせ幼馴染みは気付いて欲しい【分冊版】</v>
      </c>
      <c r="T5547" s="22" t="str">
        <f>IFERROR(__xludf.DUMMYFUNCTION("""COMPUTED_VALUE"""),"格納済み")</f>
        <v>格納済み</v>
      </c>
      <c r="U5547" s="9" t="str">
        <f>IFERROR(__xludf.DUMMYFUNCTION("""COMPUTED_VALUE"""),"(C)Suzuri Machi/SQUARE ENIX")</f>
        <v>(C)Suzuri Machi/SQUARE ENIX</v>
      </c>
      <c r="V5547" s="8"/>
      <c r="W5547" s="8"/>
      <c r="X5547" s="8"/>
      <c r="Y5547" s="8"/>
      <c r="Z5547" s="7"/>
      <c r="AA5547" s="7"/>
      <c r="AB5547" s="7"/>
    </row>
    <row r="5548" ht="15.75" customHeight="1">
      <c r="A5548" s="26">
        <f>IFERROR(__xludf.DUMMYFUNCTION("""COMPUTED_VALUE"""),8083.0)</f>
        <v>8083</v>
      </c>
      <c r="B5548" s="22" t="str">
        <f>IFERROR(__xludf.DUMMYFUNCTION("""COMPUTED_VALUE"""),"確定")</f>
        <v>確定</v>
      </c>
      <c r="C5548" s="28">
        <f>IFERROR(__xludf.DUMMYFUNCTION("""COMPUTED_VALUE"""),46163.0)</f>
        <v>46163</v>
      </c>
      <c r="D5548" s="28">
        <f>IFERROR(__xludf.DUMMYFUNCTION("""COMPUTED_VALUE"""),46206.0)</f>
        <v>46206</v>
      </c>
      <c r="E5548" s="26"/>
      <c r="F5548" s="22" t="str">
        <f>IFERROR(__xludf.DUMMYFUNCTION("""COMPUTED_VALUE"""),"溺れる")</f>
        <v>溺れる</v>
      </c>
      <c r="G5548" s="20" t="str">
        <f>IFERROR(__xludf.DUMMYFUNCTION("""COMPUTED_VALUE"""),"1~4")</f>
        <v>1~4</v>
      </c>
      <c r="H5548" s="22" t="str">
        <f>IFERROR(__xludf.DUMMYFUNCTION("""COMPUTED_VALUE"""),"裏筋侍/裏筋部屋")</f>
        <v>裏筋侍/裏筋部屋</v>
      </c>
      <c r="I5548" s="22" t="str">
        <f>IFERROR(__xludf.DUMMYFUNCTION("""COMPUTED_VALUE"""),"アダルト")</f>
        <v>アダルト</v>
      </c>
      <c r="J5548" s="22"/>
      <c r="K5548" s="22" t="str">
        <f>IFERROR(__xludf.DUMMYFUNCTION("""COMPUTED_VALUE"""),"BLIC-ERO")</f>
        <v>BLIC-ERO</v>
      </c>
      <c r="L5548" s="22" t="str">
        <f>IFERROR(__xludf.DUMMYFUNCTION("""COMPUTED_VALUE"""),"クロスフォリオ出版")</f>
        <v>クロスフォリオ出版</v>
      </c>
      <c r="M5548" s="33">
        <f>IFERROR(__xludf.DUMMYFUNCTION("""COMPUTED_VALUE"""),46234.0)</f>
        <v>46234</v>
      </c>
      <c r="N5548" s="33">
        <f>IFERROR(__xludf.DUMMYFUNCTION("""COMPUTED_VALUE"""),46289.0)</f>
        <v>46289</v>
      </c>
      <c r="O5548" s="20"/>
      <c r="P5548" s="32" t="str">
        <f>IFERROR(__xludf.DUMMYFUNCTION("""COMPUTED_VALUE"""),"可")</f>
        <v>可</v>
      </c>
      <c r="Q5548" s="30" t="str">
        <f>IFERROR(__xludf.DUMMYFUNCTION("""COMPUTED_VALUE"""),"書店BookLiveとシーモアの同時先行配信 &lt;BR&gt;「フラチ」等の人気作が多数の裏筋侍氏の新作です。")</f>
        <v>書店BookLiveとシーモアの同時先行配信 &lt;BR&gt;「フラチ」等の人気作が多数の裏筋侍氏の新作です。</v>
      </c>
      <c r="R5548" s="22" t="str">
        <f>IFERROR(__xludf.DUMMYFUNCTION("""COMPUTED_VALUE"""),"コミットOK")</f>
        <v>コミットOK</v>
      </c>
      <c r="S5548" s="22" t="str">
        <f>IFERROR(__xludf.DUMMYFUNCTION("""COMPUTED_VALUE"""),"20260702_BookLive_溺れる")</f>
        <v>20260702_BookLive_溺れる</v>
      </c>
      <c r="T5548" s="22" t="str">
        <f>IFERROR(__xludf.DUMMYFUNCTION("""COMPUTED_VALUE"""),"格納済み")</f>
        <v>格納済み</v>
      </c>
      <c r="U5548" s="9" t="str">
        <f>IFERROR(__xludf.DUMMYFUNCTION("""COMPUTED_VALUE"""),"Ⓒ裏筋侍/裏筋部屋/クロスフォリオ出版")</f>
        <v>Ⓒ裏筋侍/裏筋部屋/クロスフォリオ出版</v>
      </c>
      <c r="V5548" s="8"/>
      <c r="W5548" s="8"/>
      <c r="X5548" s="8"/>
      <c r="Y5548" s="8"/>
      <c r="Z5548" s="7"/>
      <c r="AA5548" s="7"/>
      <c r="AB5548" s="7"/>
    </row>
    <row r="5549" ht="15.75" customHeight="1">
      <c r="A5549" s="26">
        <f>IFERROR(__xludf.DUMMYFUNCTION("""COMPUTED_VALUE"""),8084.0)</f>
        <v>8084</v>
      </c>
      <c r="B5549" s="22" t="str">
        <f>IFERROR(__xludf.DUMMYFUNCTION("""COMPUTED_VALUE"""),"確定")</f>
        <v>確定</v>
      </c>
      <c r="C5549" s="28">
        <f>IFERROR(__xludf.DUMMYFUNCTION("""COMPUTED_VALUE"""),46163.0)</f>
        <v>46163</v>
      </c>
      <c r="D5549" s="28">
        <f>IFERROR(__xludf.DUMMYFUNCTION("""COMPUTED_VALUE"""),46211.0)</f>
        <v>46211</v>
      </c>
      <c r="E5549" s="26"/>
      <c r="F5549" s="22" t="str">
        <f>IFERROR(__xludf.DUMMYFUNCTION("""COMPUTED_VALUE"""),"おちんぽグルメリポーターむえちゃん")</f>
        <v>おちんぽグルメリポーターむえちゃん</v>
      </c>
      <c r="G5549" s="20" t="str">
        <f>IFERROR(__xludf.DUMMYFUNCTION("""COMPUTED_VALUE"""),"1~6")</f>
        <v>1~6</v>
      </c>
      <c r="H5549" s="22" t="str">
        <f>IFERROR(__xludf.DUMMYFUNCTION("""COMPUTED_VALUE"""),"剥元ここ/うずらフロンティア")</f>
        <v>剥元ここ/うずらフロンティア</v>
      </c>
      <c r="I5549" s="22" t="str">
        <f>IFERROR(__xludf.DUMMYFUNCTION("""COMPUTED_VALUE"""),"アダルト")</f>
        <v>アダルト</v>
      </c>
      <c r="J5549" s="22"/>
      <c r="K5549" s="22" t="str">
        <f>IFERROR(__xludf.DUMMYFUNCTION("""COMPUTED_VALUE"""),"BLIC-ERO")</f>
        <v>BLIC-ERO</v>
      </c>
      <c r="L5549" s="22" t="str">
        <f>IFERROR(__xludf.DUMMYFUNCTION("""COMPUTED_VALUE"""),"クロスフォリオ出版")</f>
        <v>クロスフォリオ出版</v>
      </c>
      <c r="M5549" s="33">
        <f>IFERROR(__xludf.DUMMYFUNCTION("""COMPUTED_VALUE"""),46234.0)</f>
        <v>46234</v>
      </c>
      <c r="N5549" s="33">
        <f>IFERROR(__xludf.DUMMYFUNCTION("""COMPUTED_VALUE"""),46289.0)</f>
        <v>46289</v>
      </c>
      <c r="O5549" s="20"/>
      <c r="P5549" s="32" t="str">
        <f>IFERROR(__xludf.DUMMYFUNCTION("""COMPUTED_VALUE"""),"可")</f>
        <v>可</v>
      </c>
      <c r="Q5549" s="30" t="str">
        <f>IFERROR(__xludf.DUMMYFUNCTION("""COMPUTED_VALUE"""),"・書店BookLiveとシーモアの同時先行配信")</f>
        <v>・書店BookLiveとシーモアの同時先行配信</v>
      </c>
      <c r="R5549" s="22" t="str">
        <f>IFERROR(__xludf.DUMMYFUNCTION("""COMPUTED_VALUE"""),"コミットOK")</f>
        <v>コミットOK</v>
      </c>
      <c r="S5549" s="22" t="str">
        <f>IFERROR(__xludf.DUMMYFUNCTION("""COMPUTED_VALUE"""),"20260706_BookLive_おちんぽグルメリポーターむえちゃん")</f>
        <v>20260706_BookLive_おちんぽグルメリポーターむえちゃん</v>
      </c>
      <c r="T5549" s="22" t="str">
        <f>IFERROR(__xludf.DUMMYFUNCTION("""COMPUTED_VALUE"""),"格納済み")</f>
        <v>格納済み</v>
      </c>
      <c r="U5549" s="9" t="str">
        <f>IFERROR(__xludf.DUMMYFUNCTION("""COMPUTED_VALUE"""),"Ⓒ剥元ここ/うずらフロンティア/クロスフォリオ出版")</f>
        <v>Ⓒ剥元ここ/うずらフロンティア/クロスフォリオ出版</v>
      </c>
      <c r="V5549" s="8"/>
      <c r="W5549" s="8"/>
      <c r="X5549" s="8"/>
      <c r="Y5549" s="8"/>
      <c r="Z5549" s="7"/>
      <c r="AA5549" s="7"/>
      <c r="AB5549" s="7"/>
    </row>
    <row r="5550" ht="15.75" customHeight="1">
      <c r="A5550" s="26">
        <f>IFERROR(__xludf.DUMMYFUNCTION("""COMPUTED_VALUE"""),8085.0)</f>
        <v>8085</v>
      </c>
      <c r="B5550" s="22" t="str">
        <f>IFERROR(__xludf.DUMMYFUNCTION("""COMPUTED_VALUE"""),"確定")</f>
        <v>確定</v>
      </c>
      <c r="C5550" s="28">
        <f>IFERROR(__xludf.DUMMYFUNCTION("""COMPUTED_VALUE"""),46163.0)</f>
        <v>46163</v>
      </c>
      <c r="D5550" s="28">
        <f>IFERROR(__xludf.DUMMYFUNCTION("""COMPUTED_VALUE"""),46211.0)</f>
        <v>46211</v>
      </c>
      <c r="E5550" s="26"/>
      <c r="F5550" s="22" t="str">
        <f>IFERROR(__xludf.DUMMYFUNCTION("""COMPUTED_VALUE"""),"ギャルVS清楚 彼女にしてよ空木くん")</f>
        <v>ギャルVS清楚 彼女にしてよ空木くん</v>
      </c>
      <c r="G5550" s="20" t="str">
        <f>IFERROR(__xludf.DUMMYFUNCTION("""COMPUTED_VALUE"""),"1~4")</f>
        <v>1~4</v>
      </c>
      <c r="H5550" s="22" t="str">
        <f>IFERROR(__xludf.DUMMYFUNCTION("""COMPUTED_VALUE"""),"みなとく/19LLDDKK")</f>
        <v>みなとく/19LLDDKK</v>
      </c>
      <c r="I5550" s="22" t="str">
        <f>IFERROR(__xludf.DUMMYFUNCTION("""COMPUTED_VALUE"""),"アダルト")</f>
        <v>アダルト</v>
      </c>
      <c r="J5550" s="22"/>
      <c r="K5550" s="22" t="str">
        <f>IFERROR(__xludf.DUMMYFUNCTION("""COMPUTED_VALUE"""),"BLIC-ERO")</f>
        <v>BLIC-ERO</v>
      </c>
      <c r="L5550" s="22" t="str">
        <f>IFERROR(__xludf.DUMMYFUNCTION("""COMPUTED_VALUE"""),"クロスフォリオ出版")</f>
        <v>クロスフォリオ出版</v>
      </c>
      <c r="M5550" s="33">
        <f>IFERROR(__xludf.DUMMYFUNCTION("""COMPUTED_VALUE"""),46234.0)</f>
        <v>46234</v>
      </c>
      <c r="N5550" s="33">
        <f>IFERROR(__xludf.DUMMYFUNCTION("""COMPUTED_VALUE"""),46289.0)</f>
        <v>46289</v>
      </c>
      <c r="O5550" s="20"/>
      <c r="P5550" s="32" t="str">
        <f>IFERROR(__xludf.DUMMYFUNCTION("""COMPUTED_VALUE"""),"可")</f>
        <v>可</v>
      </c>
      <c r="Q5550" s="30" t="str">
        <f>IFERROR(__xludf.DUMMYFUNCTION("""COMPUTED_VALUE"""),"・書店BookLiveとシーモアの同時先行配信")</f>
        <v>・書店BookLiveとシーモアの同時先行配信</v>
      </c>
      <c r="R5550" s="22" t="str">
        <f>IFERROR(__xludf.DUMMYFUNCTION("""COMPUTED_VALUE"""),"コミットOK")</f>
        <v>コミットOK</v>
      </c>
      <c r="S5550" s="22" t="str">
        <f>IFERROR(__xludf.DUMMYFUNCTION("""COMPUTED_VALUE"""),"20260706_BookLive_ギャルVS清楚 彼女にしてよ空木くん")</f>
        <v>20260706_BookLive_ギャルVS清楚 彼女にしてよ空木くん</v>
      </c>
      <c r="T5550" s="22" t="str">
        <f>IFERROR(__xludf.DUMMYFUNCTION("""COMPUTED_VALUE"""),"格納済み")</f>
        <v>格納済み</v>
      </c>
      <c r="U5550" s="9" t="str">
        <f>IFERROR(__xludf.DUMMYFUNCTION("""COMPUTED_VALUE"""),"Ⓒみなとく/19LLDDKK/クロスフォリオ出版")</f>
        <v>Ⓒみなとく/19LLDDKK/クロスフォリオ出版</v>
      </c>
      <c r="V5550" s="8"/>
      <c r="W5550" s="8"/>
      <c r="X5550" s="8"/>
      <c r="Y5550" s="8"/>
      <c r="Z5550" s="7"/>
      <c r="AA5550" s="7"/>
      <c r="AB5550" s="7"/>
    </row>
    <row r="5551" ht="15.75" customHeight="1">
      <c r="A5551" s="26">
        <f>IFERROR(__xludf.DUMMYFUNCTION("""COMPUTED_VALUE"""),8103.0)</f>
        <v>8103</v>
      </c>
      <c r="B5551" s="22" t="str">
        <f>IFERROR(__xludf.DUMMYFUNCTION("""COMPUTED_VALUE"""),"確定")</f>
        <v>確定</v>
      </c>
      <c r="C5551" s="28">
        <f>IFERROR(__xludf.DUMMYFUNCTION("""COMPUTED_VALUE"""),46169.0)</f>
        <v>46169</v>
      </c>
      <c r="D5551" s="28">
        <f>IFERROR(__xludf.DUMMYFUNCTION("""COMPUTED_VALUE"""),46206.0)</f>
        <v>46206</v>
      </c>
      <c r="E5551" s="26"/>
      <c r="F5551" s="22" t="str">
        <f>IFERROR(__xludf.DUMMYFUNCTION("""COMPUTED_VALUE"""),"青春とバックヤード")</f>
        <v>青春とバックヤード</v>
      </c>
      <c r="G5551" s="20" t="str">
        <f>IFERROR(__xludf.DUMMYFUNCTION("""COMPUTED_VALUE"""),"1~2")</f>
        <v>1~2</v>
      </c>
      <c r="H5551" s="22" t="str">
        <f>IFERROR(__xludf.DUMMYFUNCTION("""COMPUTED_VALUE"""),"木山ヒト/森の人")</f>
        <v>木山ヒト/森の人</v>
      </c>
      <c r="I5551" s="22" t="str">
        <f>IFERROR(__xludf.DUMMYFUNCTION("""COMPUTED_VALUE"""),"アダルト")</f>
        <v>アダルト</v>
      </c>
      <c r="J5551" s="22"/>
      <c r="K5551" s="22" t="str">
        <f>IFERROR(__xludf.DUMMYFUNCTION("""COMPUTED_VALUE"""),"BLIC-ERO")</f>
        <v>BLIC-ERO</v>
      </c>
      <c r="L5551" s="22" t="str">
        <f>IFERROR(__xludf.DUMMYFUNCTION("""COMPUTED_VALUE"""),"クロスフォリオ出版")</f>
        <v>クロスフォリオ出版</v>
      </c>
      <c r="M5551" s="33">
        <f>IFERROR(__xludf.DUMMYFUNCTION("""COMPUTED_VALUE"""),46234.0)</f>
        <v>46234</v>
      </c>
      <c r="N5551" s="33">
        <f>IFERROR(__xludf.DUMMYFUNCTION("""COMPUTED_VALUE"""),46289.0)</f>
        <v>46289</v>
      </c>
      <c r="O5551" s="20"/>
      <c r="P5551" s="32" t="str">
        <f>IFERROR(__xludf.DUMMYFUNCTION("""COMPUTED_VALUE"""),"可")</f>
        <v>可</v>
      </c>
      <c r="Q5551" s="30" t="str">
        <f>IFERROR(__xludf.DUMMYFUNCTION("""COMPUTED_VALUE"""),"書店BookLiveとシーモアの同時先行配信")</f>
        <v>書店BookLiveとシーモアの同時先行配信</v>
      </c>
      <c r="R5551" s="22" t="str">
        <f>IFERROR(__xludf.DUMMYFUNCTION("""COMPUTED_VALUE"""),"コミットOK")</f>
        <v>コミットOK</v>
      </c>
      <c r="S5551" s="22" t="str">
        <f>IFERROR(__xludf.DUMMYFUNCTION("""COMPUTED_VALUE"""),"20260702_BookLive_青春とバックヤード")</f>
        <v>20260702_BookLive_青春とバックヤード</v>
      </c>
      <c r="T5551" s="22" t="str">
        <f>IFERROR(__xludf.DUMMYFUNCTION("""COMPUTED_VALUE"""),"格納済み")</f>
        <v>格納済み</v>
      </c>
      <c r="U5551" s="9" t="str">
        <f>IFERROR(__xludf.DUMMYFUNCTION("""COMPUTED_VALUE"""),"Ⓒ木山ヒト/森の人/クロスフォリオ出版")</f>
        <v>Ⓒ木山ヒト/森の人/クロスフォリオ出版</v>
      </c>
      <c r="V5551" s="8"/>
      <c r="W5551" s="8"/>
      <c r="X5551" s="8"/>
      <c r="Y5551" s="8"/>
      <c r="Z5551" s="7"/>
      <c r="AA5551" s="7"/>
      <c r="AB5551" s="7"/>
    </row>
    <row r="5552" ht="15.75" customHeight="1">
      <c r="A5552" s="26">
        <f>IFERROR(__xludf.DUMMYFUNCTION("""COMPUTED_VALUE"""),8115.0)</f>
        <v>8115</v>
      </c>
      <c r="B5552" s="22" t="str">
        <f>IFERROR(__xludf.DUMMYFUNCTION("""COMPUTED_VALUE"""),"確定")</f>
        <v>確定</v>
      </c>
      <c r="C5552" s="28">
        <f>IFERROR(__xludf.DUMMYFUNCTION("""COMPUTED_VALUE"""),46170.0)</f>
        <v>46170</v>
      </c>
      <c r="D5552" s="28">
        <f>IFERROR(__xludf.DUMMYFUNCTION("""COMPUTED_VALUE"""),46206.0)</f>
        <v>46206</v>
      </c>
      <c r="E5552" s="26"/>
      <c r="F5552" s="22" t="str">
        <f>IFERROR(__xludf.DUMMYFUNCTION("""COMPUTED_VALUE"""),"(自称)タチ専の俺が、簡単にワカラセられるわけがない！")</f>
        <v>(自称)タチ専の俺が、簡単にワカラセられるわけがない！</v>
      </c>
      <c r="G5552" s="20" t="str">
        <f>IFERROR(__xludf.DUMMYFUNCTION("""COMPUTED_VALUE"""),"1~5")</f>
        <v>1~5</v>
      </c>
      <c r="H5552" s="22" t="str">
        <f>IFERROR(__xludf.DUMMYFUNCTION("""COMPUTED_VALUE"""),"飴宮こあめ/お前が悪い")</f>
        <v>飴宮こあめ/お前が悪い</v>
      </c>
      <c r="I5552" s="22" t="str">
        <f>IFERROR(__xludf.DUMMYFUNCTION("""COMPUTED_VALUE"""),"BL")</f>
        <v>BL</v>
      </c>
      <c r="J5552" s="22">
        <f>IFERROR(__xludf.DUMMYFUNCTION("""COMPUTED_VALUE"""),1.0)</f>
        <v>1</v>
      </c>
      <c r="K5552" s="22"/>
      <c r="L5552" s="22" t="str">
        <f>IFERROR(__xludf.DUMMYFUNCTION("""COMPUTED_VALUE"""),"クロスフォリオ出版")</f>
        <v>クロスフォリオ出版</v>
      </c>
      <c r="M5552" s="33">
        <f>IFERROR(__xludf.DUMMYFUNCTION("""COMPUTED_VALUE"""),46234.0)</f>
        <v>46234</v>
      </c>
      <c r="N5552" s="33">
        <f>IFERROR(__xludf.DUMMYFUNCTION("""COMPUTED_VALUE"""),46289.0)</f>
        <v>46289</v>
      </c>
      <c r="O5552" s="20" t="str">
        <f>IFERROR(__xludf.DUMMYFUNCTION("""COMPUTED_VALUE"""),"【アダルト作品扱い】")</f>
        <v>【アダルト作品扱い】</v>
      </c>
      <c r="P5552" s="32" t="str">
        <f>IFERROR(__xludf.DUMMYFUNCTION("""COMPUTED_VALUE"""),"可")</f>
        <v>可</v>
      </c>
      <c r="Q5552" s="30" t="str">
        <f>IFERROR(__xludf.DUMMYFUNCTION("""COMPUTED_VALUE"""),"書店BookLiveとの同時先行配信です。")</f>
        <v>書店BookLiveとの同時先行配信です。</v>
      </c>
      <c r="R5552" s="22" t="str">
        <f>IFERROR(__xludf.DUMMYFUNCTION("""COMPUTED_VALUE"""),"コミットOK")</f>
        <v>コミットOK</v>
      </c>
      <c r="S5552" s="22" t="str">
        <f>IFERROR(__xludf.DUMMYFUNCTION("""COMPUTED_VALUE"""),"20260702_BookLive_(自称)タチ専の俺が、簡単にワカラセられるわけがない！")</f>
        <v>20260702_BookLive_(自称)タチ専の俺が、簡単にワカラセられるわけがない！</v>
      </c>
      <c r="T5552" s="22" t="str">
        <f>IFERROR(__xludf.DUMMYFUNCTION("""COMPUTED_VALUE"""),"格納済み")</f>
        <v>格納済み</v>
      </c>
      <c r="U5552" s="9" t="str">
        <f>IFERROR(__xludf.DUMMYFUNCTION("""COMPUTED_VALUE"""),"Ⓒ飴宮こあめ/お前が悪い/クロスフォリオ出版")</f>
        <v>Ⓒ飴宮こあめ/お前が悪い/クロスフォリオ出版</v>
      </c>
      <c r="V5552" s="8"/>
      <c r="W5552" s="8"/>
      <c r="X5552" s="8"/>
      <c r="Y5552" s="8"/>
      <c r="Z5552" s="7"/>
      <c r="AA5552" s="7"/>
      <c r="AB5552" s="7"/>
    </row>
    <row r="5553" ht="15.75" customHeight="1">
      <c r="A5553" s="26">
        <f>IFERROR(__xludf.DUMMYFUNCTION("""COMPUTED_VALUE"""),8116.0)</f>
        <v>8116</v>
      </c>
      <c r="B5553" s="22" t="str">
        <f>IFERROR(__xludf.DUMMYFUNCTION("""COMPUTED_VALUE"""),"確定")</f>
        <v>確定</v>
      </c>
      <c r="C5553" s="28">
        <f>IFERROR(__xludf.DUMMYFUNCTION("""COMPUTED_VALUE"""),46170.0)</f>
        <v>46170</v>
      </c>
      <c r="D5553" s="28">
        <f>IFERROR(__xludf.DUMMYFUNCTION("""COMPUTED_VALUE"""),46206.0)</f>
        <v>46206</v>
      </c>
      <c r="E5553" s="26"/>
      <c r="F5553" s="22" t="str">
        <f>IFERROR(__xludf.DUMMYFUNCTION("""COMPUTED_VALUE"""),"【単話売】さよなら、私のセキスタント")</f>
        <v>【単話売】さよなら、私のセキスタント</v>
      </c>
      <c r="G5553" s="20" t="str">
        <f>IFERROR(__xludf.DUMMYFUNCTION("""COMPUTED_VALUE"""),"1~3")</f>
        <v>1~3</v>
      </c>
      <c r="H5553" s="22" t="str">
        <f>IFERROR(__xludf.DUMMYFUNCTION("""COMPUTED_VALUE"""),"上村秀子")</f>
        <v>上村秀子</v>
      </c>
      <c r="I5553" s="22" t="str">
        <f>IFERROR(__xludf.DUMMYFUNCTION("""COMPUTED_VALUE"""),"女性")</f>
        <v>女性</v>
      </c>
      <c r="J5553" s="22"/>
      <c r="K5553" s="22"/>
      <c r="L5553" s="22" t="str">
        <f>IFERROR(__xludf.DUMMYFUNCTION("""COMPUTED_VALUE"""),"集英社")</f>
        <v>集英社</v>
      </c>
      <c r="M5553" s="33">
        <f>IFERROR(__xludf.DUMMYFUNCTION("""COMPUTED_VALUE"""),46231.0)</f>
        <v>46231</v>
      </c>
      <c r="N5553" s="33">
        <f>IFERROR(__xludf.DUMMYFUNCTION("""COMPUTED_VALUE"""),46258.0)</f>
        <v>46258</v>
      </c>
      <c r="O5553" s="20"/>
      <c r="P5553" s="32" t="str">
        <f>IFERROR(__xludf.DUMMYFUNCTION("""COMPUTED_VALUE"""),"否")</f>
        <v>否</v>
      </c>
      <c r="Q5553" s="30"/>
      <c r="R5553" s="22" t="str">
        <f>IFERROR(__xludf.DUMMYFUNCTION("""COMPUTED_VALUE"""),"コミットOK")</f>
        <v>コミットOK</v>
      </c>
      <c r="S5553" s="22" t="str">
        <f>IFERROR(__xludf.DUMMYFUNCTION("""COMPUTED_VALUE"""),"20260701_集英社_さよなら、私のセキスタント")</f>
        <v>20260701_集英社_さよなら、私のセキスタント</v>
      </c>
      <c r="T5553" s="22" t="str">
        <f>IFERROR(__xludf.DUMMYFUNCTION("""COMPUTED_VALUE"""),"格納済み")</f>
        <v>格納済み</v>
      </c>
      <c r="U5553" s="9" t="str">
        <f>IFERROR(__xludf.DUMMYFUNCTION("""COMPUTED_VALUE"""),"Ⓒ上村秀子／集英社クリエイティブ")</f>
        <v>Ⓒ上村秀子／集英社クリエイティブ</v>
      </c>
      <c r="V5553" s="8"/>
      <c r="W5553" s="8"/>
      <c r="X5553" s="8"/>
      <c r="Y5553" s="8"/>
      <c r="Z5553" s="7"/>
      <c r="AA5553" s="7"/>
      <c r="AB5553" s="7"/>
    </row>
    <row r="5554" ht="15.75" customHeight="1">
      <c r="A5554" s="26">
        <f>IFERROR(__xludf.DUMMYFUNCTION("""COMPUTED_VALUE"""),8117.0)</f>
        <v>8117</v>
      </c>
      <c r="B5554" s="22" t="str">
        <f>IFERROR(__xludf.DUMMYFUNCTION("""COMPUTED_VALUE"""),"確定")</f>
        <v>確定</v>
      </c>
      <c r="C5554" s="28">
        <f>IFERROR(__xludf.DUMMYFUNCTION("""COMPUTED_VALUE"""),46170.0)</f>
        <v>46170</v>
      </c>
      <c r="D5554" s="28">
        <f>IFERROR(__xludf.DUMMYFUNCTION("""COMPUTED_VALUE"""),46206.0)</f>
        <v>46206</v>
      </c>
      <c r="E5554" s="26"/>
      <c r="F5554" s="22" t="str">
        <f>IFERROR(__xludf.DUMMYFUNCTION("""COMPUTED_VALUE"""),"【単話売】埼玉住みの私は、辺境伯を攻略したい！")</f>
        <v>【単話売】埼玉住みの私は、辺境伯を攻略したい！</v>
      </c>
      <c r="G5554" s="20" t="str">
        <f>IFERROR(__xludf.DUMMYFUNCTION("""COMPUTED_VALUE"""),"1~3")</f>
        <v>1~3</v>
      </c>
      <c r="H5554" s="22" t="str">
        <f>IFERROR(__xludf.DUMMYFUNCTION("""COMPUTED_VALUE"""),"湊ユウキ")</f>
        <v>湊ユウキ</v>
      </c>
      <c r="I5554" s="22" t="str">
        <f>IFERROR(__xludf.DUMMYFUNCTION("""COMPUTED_VALUE"""),"女性")</f>
        <v>女性</v>
      </c>
      <c r="J5554" s="22"/>
      <c r="K5554" s="22"/>
      <c r="L5554" s="22" t="str">
        <f>IFERROR(__xludf.DUMMYFUNCTION("""COMPUTED_VALUE"""),"集英社")</f>
        <v>集英社</v>
      </c>
      <c r="M5554" s="33">
        <f>IFERROR(__xludf.DUMMYFUNCTION("""COMPUTED_VALUE"""),46231.0)</f>
        <v>46231</v>
      </c>
      <c r="N5554" s="33">
        <f>IFERROR(__xludf.DUMMYFUNCTION("""COMPUTED_VALUE"""),46258.0)</f>
        <v>46258</v>
      </c>
      <c r="O5554" s="20"/>
      <c r="P5554" s="32" t="str">
        <f>IFERROR(__xludf.DUMMYFUNCTION("""COMPUTED_VALUE"""),"否")</f>
        <v>否</v>
      </c>
      <c r="Q5554" s="30"/>
      <c r="R5554" s="22" t="str">
        <f>IFERROR(__xludf.DUMMYFUNCTION("""COMPUTED_VALUE"""),"コミットOK")</f>
        <v>コミットOK</v>
      </c>
      <c r="S5554" s="22" t="str">
        <f>IFERROR(__xludf.DUMMYFUNCTION("""COMPUTED_VALUE"""),"20260701_集英社_埼玉住みの私は、辺境伯を攻略したい！")</f>
        <v>20260701_集英社_埼玉住みの私は、辺境伯を攻略したい！</v>
      </c>
      <c r="T5554" s="22" t="str">
        <f>IFERROR(__xludf.DUMMYFUNCTION("""COMPUTED_VALUE"""),"格納済み")</f>
        <v>格納済み</v>
      </c>
      <c r="U5554" s="9" t="str">
        <f>IFERROR(__xludf.DUMMYFUNCTION("""COMPUTED_VALUE"""),"Ⓒ湊ユウキ／集英社クリエイティブ")</f>
        <v>Ⓒ湊ユウキ／集英社クリエイティブ</v>
      </c>
      <c r="V5554" s="8"/>
      <c r="W5554" s="8"/>
      <c r="X5554" s="8"/>
      <c r="Y5554" s="8"/>
      <c r="Z5554" s="7"/>
      <c r="AA5554" s="7"/>
      <c r="AB5554" s="7"/>
    </row>
    <row r="5555" ht="15.75" customHeight="1">
      <c r="A5555" s="26">
        <f>IFERROR(__xludf.DUMMYFUNCTION("""COMPUTED_VALUE"""),8162.0)</f>
        <v>8162</v>
      </c>
      <c r="B5555" s="22" t="str">
        <f>IFERROR(__xludf.DUMMYFUNCTION("""COMPUTED_VALUE"""),"確定")</f>
        <v>確定</v>
      </c>
      <c r="C5555" s="28">
        <f>IFERROR(__xludf.DUMMYFUNCTION("""COMPUTED_VALUE"""),46178.0)</f>
        <v>46178</v>
      </c>
      <c r="D5555" s="28">
        <f>IFERROR(__xludf.DUMMYFUNCTION("""COMPUTED_VALUE"""),46210.0)</f>
        <v>46210</v>
      </c>
      <c r="E5555" s="26"/>
      <c r="F5555" s="22" t="str">
        <f>IFERROR(__xludf.DUMMYFUNCTION("""COMPUTED_VALUE"""),"拗らせ御曹司は懐かない【マイクロ】")</f>
        <v>拗らせ御曹司は懐かない【マイクロ】</v>
      </c>
      <c r="G5555" s="20" t="str">
        <f>IFERROR(__xludf.DUMMYFUNCTION("""COMPUTED_VALUE"""),"1~4")</f>
        <v>1~4</v>
      </c>
      <c r="H5555" s="22" t="str">
        <f>IFERROR(__xludf.DUMMYFUNCTION("""COMPUTED_VALUE"""),"安タケコ")</f>
        <v>安タケコ</v>
      </c>
      <c r="I5555" s="22" t="str">
        <f>IFERROR(__xludf.DUMMYFUNCTION("""COMPUTED_VALUE"""),"女性")</f>
        <v>女性</v>
      </c>
      <c r="J5555" s="22"/>
      <c r="K5555" s="22" t="str">
        <f>IFERROR(__xludf.DUMMYFUNCTION("""COMPUTED_VALUE"""),"プチコミック")</f>
        <v>プチコミック</v>
      </c>
      <c r="L5555" s="22" t="str">
        <f>IFERROR(__xludf.DUMMYFUNCTION("""COMPUTED_VALUE"""),"小学館")</f>
        <v>小学館</v>
      </c>
      <c r="M5555" s="33">
        <f>IFERROR(__xludf.DUMMYFUNCTION("""COMPUTED_VALUE"""),46239.0)</f>
        <v>46239</v>
      </c>
      <c r="N5555" s="33">
        <f>IFERROR(__xludf.DUMMYFUNCTION("""COMPUTED_VALUE"""),46269.0)</f>
        <v>46269</v>
      </c>
      <c r="O5555" s="20"/>
      <c r="P5555" s="32" t="str">
        <f>IFERROR(__xludf.DUMMYFUNCTION("""COMPUTED_VALUE"""),"否")</f>
        <v>否</v>
      </c>
      <c r="Q5555" s="30" t="str">
        <f>IFERROR(__xludf.DUMMYFUNCTION("""COMPUTED_VALUE"""),"「リベンジ・ウェディング」の先生の新作です！&lt;BR&gt;")</f>
        <v>「リベンジ・ウェディング」の先生の新作です！&lt;BR&gt;</v>
      </c>
      <c r="R5555" s="22"/>
      <c r="S5555" s="22" t="str">
        <f>IFERROR(__xludf.DUMMYFUNCTION("""COMPUTED_VALUE"""),"20260706_小学館_拗らせ御曹司は懐かない【マイクロ】")</f>
        <v>20260706_小学館_拗らせ御曹司は懐かない【マイクロ】</v>
      </c>
      <c r="T5555" s="22" t="str">
        <f>IFERROR(__xludf.DUMMYFUNCTION("""COMPUTED_VALUE"""),"格納済み")</f>
        <v>格納済み</v>
      </c>
      <c r="U5555" s="9" t="str">
        <f>IFERROR(__xludf.DUMMYFUNCTION("""COMPUTED_VALUE"""),"(C)安タケコ / 小学館")</f>
        <v>(C)安タケコ / 小学館</v>
      </c>
      <c r="V5555" s="8"/>
      <c r="W5555" s="8"/>
      <c r="X5555" s="8"/>
      <c r="Y5555" s="8"/>
      <c r="Z5555" s="7"/>
      <c r="AA5555" s="7"/>
      <c r="AB5555" s="7"/>
    </row>
    <row r="5556" ht="15.75" customHeight="1">
      <c r="A5556" s="26">
        <f>IFERROR(__xludf.DUMMYFUNCTION("""COMPUTED_VALUE"""),8174.0)</f>
        <v>8174</v>
      </c>
      <c r="B5556" s="22" t="str">
        <f>IFERROR(__xludf.DUMMYFUNCTION("""COMPUTED_VALUE"""),"確定")</f>
        <v>確定</v>
      </c>
      <c r="C5556" s="28">
        <f>IFERROR(__xludf.DUMMYFUNCTION("""COMPUTED_VALUE"""),46178.0)</f>
        <v>46178</v>
      </c>
      <c r="D5556" s="28">
        <f>IFERROR(__xludf.DUMMYFUNCTION("""COMPUTED_VALUE"""),46205.0)</f>
        <v>46205</v>
      </c>
      <c r="E5556" s="26"/>
      <c r="F5556" s="22" t="str">
        <f>IFERROR(__xludf.DUMMYFUNCTION("""COMPUTED_VALUE"""),"はじめましては番ったあとに")</f>
        <v>はじめましては番ったあとに</v>
      </c>
      <c r="G5556" s="20" t="str">
        <f>IFERROR(__xludf.DUMMYFUNCTION("""COMPUTED_VALUE"""),"1~2")</f>
        <v>1~2</v>
      </c>
      <c r="H5556" s="22" t="str">
        <f>IFERROR(__xludf.DUMMYFUNCTION("""COMPUTED_VALUE"""),"沖乃しま")</f>
        <v>沖乃しま</v>
      </c>
      <c r="I5556" s="22" t="str">
        <f>IFERROR(__xludf.DUMMYFUNCTION("""COMPUTED_VALUE"""),"BL")</f>
        <v>BL</v>
      </c>
      <c r="J5556" s="22"/>
      <c r="K5556" s="22" t="str">
        <f>IFERROR(__xludf.DUMMYFUNCTION("""COMPUTED_VALUE"""),"spicomi")</f>
        <v>spicomi</v>
      </c>
      <c r="L5556" s="22" t="str">
        <f>IFERROR(__xludf.DUMMYFUNCTION("""COMPUTED_VALUE"""),"CLLENN")</f>
        <v>CLLENN</v>
      </c>
      <c r="M5556" s="33">
        <f>IFERROR(__xludf.DUMMYFUNCTION("""COMPUTED_VALUE"""),46242.0)</f>
        <v>46242</v>
      </c>
      <c r="N5556" s="33">
        <f>IFERROR(__xludf.DUMMYFUNCTION("""COMPUTED_VALUE"""),46305.0)</f>
        <v>46305</v>
      </c>
      <c r="O5556" s="20" t="str">
        <f>IFERROR(__xludf.DUMMYFUNCTION("""COMPUTED_VALUE"""),"【アダルト作品扱い】")</f>
        <v>【アダルト作品扱い】</v>
      </c>
      <c r="P5556" s="32" t="str">
        <f>IFERROR(__xludf.DUMMYFUNCTION("""COMPUTED_VALUE"""),"可")</f>
        <v>可</v>
      </c>
      <c r="Q5556" s="30"/>
      <c r="R5556" s="22" t="str">
        <f>IFERROR(__xludf.DUMMYFUNCTION("""COMPUTED_VALUE"""),"コミットOK")</f>
        <v>コミットOK</v>
      </c>
      <c r="S5556" s="22" t="str">
        <f>IFERROR(__xludf.DUMMYFUNCTION("""COMPUTED_VALUE"""),"20260701_CLLENN_はじめましては番ったあとに")</f>
        <v>20260701_CLLENN_はじめましては番ったあとに</v>
      </c>
      <c r="T5556" s="22" t="str">
        <f>IFERROR(__xludf.DUMMYFUNCTION("""COMPUTED_VALUE"""),"格納済み")</f>
        <v>格納済み</v>
      </c>
      <c r="U5556" s="9" t="str">
        <f>IFERROR(__xludf.DUMMYFUNCTION("""COMPUTED_VALUE"""),"Ⓒ沖乃しま/CLLENN")</f>
        <v>Ⓒ沖乃しま/CLLENN</v>
      </c>
      <c r="V5556" s="8"/>
      <c r="W5556" s="8"/>
      <c r="X5556" s="8"/>
      <c r="Y5556" s="8"/>
      <c r="Z5556" s="7"/>
      <c r="AA5556" s="7"/>
      <c r="AB5556" s="7"/>
    </row>
    <row r="5557" ht="15.75" customHeight="1">
      <c r="A5557" s="26">
        <f>IFERROR(__xludf.DUMMYFUNCTION("""COMPUTED_VALUE"""),8189.0)</f>
        <v>8189</v>
      </c>
      <c r="B5557" s="22" t="str">
        <f>IFERROR(__xludf.DUMMYFUNCTION("""COMPUTED_VALUE"""),"確定")</f>
        <v>確定</v>
      </c>
      <c r="C5557" s="28">
        <f>IFERROR(__xludf.DUMMYFUNCTION("""COMPUTED_VALUE"""),46181.0)</f>
        <v>46181</v>
      </c>
      <c r="D5557" s="28">
        <f>IFERROR(__xludf.DUMMYFUNCTION("""COMPUTED_VALUE"""),46206.0)</f>
        <v>46206</v>
      </c>
      <c r="E5557" s="26"/>
      <c r="F5557" s="22" t="str">
        <f>IFERROR(__xludf.DUMMYFUNCTION("""COMPUTED_VALUE"""),"【単話売】甘くない上司と甘やかす部下")</f>
        <v>【単話売】甘くない上司と甘やかす部下</v>
      </c>
      <c r="G5557" s="20" t="str">
        <f>IFERROR(__xludf.DUMMYFUNCTION("""COMPUTED_VALUE"""),"1~3")</f>
        <v>1~3</v>
      </c>
      <c r="H5557" s="22" t="str">
        <f>IFERROR(__xludf.DUMMYFUNCTION("""COMPUTED_VALUE"""),"伊藤いと")</f>
        <v>伊藤いと</v>
      </c>
      <c r="I5557" s="22" t="str">
        <f>IFERROR(__xludf.DUMMYFUNCTION("""COMPUTED_VALUE"""),"女性")</f>
        <v>女性</v>
      </c>
      <c r="J5557" s="22"/>
      <c r="K5557" s="22"/>
      <c r="L5557" s="22" t="str">
        <f>IFERROR(__xludf.DUMMYFUNCTION("""COMPUTED_VALUE"""),"集英社")</f>
        <v>集英社</v>
      </c>
      <c r="M5557" s="33">
        <f>IFERROR(__xludf.DUMMYFUNCTION("""COMPUTED_VALUE"""),46231.0)</f>
        <v>46231</v>
      </c>
      <c r="N5557" s="33">
        <f>IFERROR(__xludf.DUMMYFUNCTION("""COMPUTED_VALUE"""),46258.0)</f>
        <v>46258</v>
      </c>
      <c r="O5557" s="20"/>
      <c r="P5557" s="32" t="str">
        <f>IFERROR(__xludf.DUMMYFUNCTION("""COMPUTED_VALUE"""),"否")</f>
        <v>否</v>
      </c>
      <c r="Q5557" s="30"/>
      <c r="R5557" s="22" t="str">
        <f>IFERROR(__xludf.DUMMYFUNCTION("""COMPUTED_VALUE"""),"コミットOK")</f>
        <v>コミットOK</v>
      </c>
      <c r="S5557" s="22" t="str">
        <f>IFERROR(__xludf.DUMMYFUNCTION("""COMPUTED_VALUE"""),"20260701_集英社_甘くない上司と甘やかす部下")</f>
        <v>20260701_集英社_甘くない上司と甘やかす部下</v>
      </c>
      <c r="T5557" s="22" t="str">
        <f>IFERROR(__xludf.DUMMYFUNCTION("""COMPUTED_VALUE"""),"格納済み")</f>
        <v>格納済み</v>
      </c>
      <c r="U5557" s="9" t="str">
        <f>IFERROR(__xludf.DUMMYFUNCTION("""COMPUTED_VALUE"""),"Ⓒ伊藤いと／集英社クリエイティブ")</f>
        <v>Ⓒ伊藤いと／集英社クリエイティブ</v>
      </c>
      <c r="V5557" s="8"/>
      <c r="W5557" s="8"/>
      <c r="X5557" s="8"/>
      <c r="Y5557" s="8"/>
      <c r="Z5557" s="7"/>
      <c r="AA5557" s="7"/>
      <c r="AB5557" s="7"/>
    </row>
    <row r="5558" ht="15.75" customHeight="1">
      <c r="A5558" s="26">
        <f>IFERROR(__xludf.DUMMYFUNCTION("""COMPUTED_VALUE"""),8208.0)</f>
        <v>8208</v>
      </c>
      <c r="B5558" s="22" t="str">
        <f>IFERROR(__xludf.DUMMYFUNCTION("""COMPUTED_VALUE"""),"確定")</f>
        <v>確定</v>
      </c>
      <c r="C5558" s="28">
        <f>IFERROR(__xludf.DUMMYFUNCTION("""COMPUTED_VALUE"""),46183.0)</f>
        <v>46183</v>
      </c>
      <c r="D5558" s="28">
        <f>IFERROR(__xludf.DUMMYFUNCTION("""COMPUTED_VALUE"""),46205.0)</f>
        <v>46205</v>
      </c>
      <c r="E5558" s="26"/>
      <c r="F5558" s="22" t="str">
        <f>IFERROR(__xludf.DUMMYFUNCTION("""COMPUTED_VALUE"""),"極道メイドあうとろーず")</f>
        <v>極道メイドあうとろーず</v>
      </c>
      <c r="G5558" s="20">
        <f>IFERROR(__xludf.DUMMYFUNCTION("""COMPUTED_VALUE"""),1.0)</f>
        <v>1</v>
      </c>
      <c r="H5558" s="22" t="str">
        <f>IFERROR(__xludf.DUMMYFUNCTION("""COMPUTED_VALUE"""),"苺盛どらごん")</f>
        <v>苺盛どらごん</v>
      </c>
      <c r="I5558" s="22" t="str">
        <f>IFERROR(__xludf.DUMMYFUNCTION("""COMPUTED_VALUE"""),"BL")</f>
        <v>BL</v>
      </c>
      <c r="J5558" s="22"/>
      <c r="K5558" s="22"/>
      <c r="L5558" s="22" t="str">
        <f>IFERROR(__xludf.DUMMYFUNCTION("""COMPUTED_VALUE"""),"東京漫画社")</f>
        <v>東京漫画社</v>
      </c>
      <c r="M5558" s="33">
        <f>IFERROR(__xludf.DUMMYFUNCTION("""COMPUTED_VALUE"""),46234.0)</f>
        <v>46234</v>
      </c>
      <c r="N5558" s="33">
        <f>IFERROR(__xludf.DUMMYFUNCTION("""COMPUTED_VALUE"""),46294.0)</f>
        <v>46294</v>
      </c>
      <c r="O5558" s="20"/>
      <c r="P5558" s="32" t="str">
        <f>IFERROR(__xludf.DUMMYFUNCTION("""COMPUTED_VALUE"""),"可")</f>
        <v>可</v>
      </c>
      <c r="Q5558" s="30"/>
      <c r="R5558" s="22"/>
      <c r="S5558" s="22" t="str">
        <f>IFERROR(__xludf.DUMMYFUNCTION("""COMPUTED_VALUE"""),"20260630_東京漫画社_極道メイドあうとろーず")</f>
        <v>20260630_東京漫画社_極道メイドあうとろーず</v>
      </c>
      <c r="T5558" s="22" t="str">
        <f>IFERROR(__xludf.DUMMYFUNCTION("""COMPUTED_VALUE"""),"格納済み")</f>
        <v>格納済み</v>
      </c>
      <c r="U5558" s="9" t="str">
        <f>IFERROR(__xludf.DUMMYFUNCTION("""COMPUTED_VALUE"""),"Ⓒ 苺盛どらごん /東京漫画社")</f>
        <v>Ⓒ 苺盛どらごん /東京漫画社</v>
      </c>
      <c r="V5558" s="8"/>
      <c r="W5558" s="8"/>
      <c r="X5558" s="8"/>
      <c r="Y5558" s="8"/>
      <c r="Z5558" s="7"/>
      <c r="AA5558" s="7"/>
      <c r="AB5558" s="7"/>
    </row>
    <row r="5559" ht="15.75" customHeight="1">
      <c r="A5559" s="26">
        <f>IFERROR(__xludf.DUMMYFUNCTION("""COMPUTED_VALUE"""),8238.0)</f>
        <v>8238</v>
      </c>
      <c r="B5559" s="22" t="str">
        <f>IFERROR(__xludf.DUMMYFUNCTION("""COMPUTED_VALUE"""),"確定")</f>
        <v>確定</v>
      </c>
      <c r="C5559" s="28">
        <f>IFERROR(__xludf.DUMMYFUNCTION("""COMPUTED_VALUE"""),46188.0)</f>
        <v>46188</v>
      </c>
      <c r="D5559" s="28">
        <f>IFERROR(__xludf.DUMMYFUNCTION("""COMPUTED_VALUE"""),46209.0)</f>
        <v>46209</v>
      </c>
      <c r="E5559" s="26"/>
      <c r="F5559" s="22" t="str">
        <f>IFERROR(__xludf.DUMMYFUNCTION("""COMPUTED_VALUE"""),"相良斗鞠の遺したもの")</f>
        <v>相良斗鞠の遺したもの</v>
      </c>
      <c r="G5559" s="20" t="str">
        <f>IFERROR(__xludf.DUMMYFUNCTION("""COMPUTED_VALUE"""),"1~3")</f>
        <v>1~3</v>
      </c>
      <c r="H5559" s="22" t="str">
        <f>IFERROR(__xludf.DUMMYFUNCTION("""COMPUTED_VALUE"""),"雛瀬かぐや")</f>
        <v>雛瀬かぐや</v>
      </c>
      <c r="I5559" s="22" t="str">
        <f>IFERROR(__xludf.DUMMYFUNCTION("""COMPUTED_VALUE"""),"青年")</f>
        <v>青年</v>
      </c>
      <c r="J5559" s="22"/>
      <c r="K5559" s="22" t="str">
        <f>IFERROR(__xludf.DUMMYFUNCTION("""COMPUTED_VALUE"""),"ムゲンコミックス")</f>
        <v>ムゲンコミックス</v>
      </c>
      <c r="L5559" s="22" t="str">
        <f>IFERROR(__xludf.DUMMYFUNCTION("""COMPUTED_VALUE"""),"MUGENUP")</f>
        <v>MUGENUP</v>
      </c>
      <c r="M5559" s="33">
        <f>IFERROR(__xludf.DUMMYFUNCTION("""COMPUTED_VALUE"""),46234.0)</f>
        <v>46234</v>
      </c>
      <c r="N5559" s="33">
        <f>IFERROR(__xludf.DUMMYFUNCTION("""COMPUTED_VALUE"""),46325.0)</f>
        <v>46325</v>
      </c>
      <c r="O5559" s="20"/>
      <c r="P5559" s="32" t="str">
        <f>IFERROR(__xludf.DUMMYFUNCTION("""COMPUTED_VALUE"""),"可")</f>
        <v>可</v>
      </c>
      <c r="Q5559" s="30"/>
      <c r="R5559" s="22"/>
      <c r="S5559" s="22" t="str">
        <f>IFERROR(__xludf.DUMMYFUNCTION("""COMPUTED_VALUE"""),"20260703_MUGENUP_相良斗鞠の遺したもの")</f>
        <v>20260703_MUGENUP_相良斗鞠の遺したもの</v>
      </c>
      <c r="T5559" s="22" t="str">
        <f>IFERROR(__xludf.DUMMYFUNCTION("""COMPUTED_VALUE"""),"格納済み")</f>
        <v>格納済み</v>
      </c>
      <c r="U5559" s="9" t="str">
        <f>IFERROR(__xludf.DUMMYFUNCTION("""COMPUTED_VALUE"""),"（C）雛瀬かぐや／2026 MUGENUP")</f>
        <v>（C）雛瀬かぐや／2026 MUGENUP</v>
      </c>
      <c r="V5559" s="8"/>
      <c r="W5559" s="8"/>
      <c r="X5559" s="8"/>
      <c r="Y5559" s="8"/>
      <c r="Z5559" s="7"/>
      <c r="AA5559" s="7"/>
      <c r="AB5559" s="7"/>
    </row>
    <row r="5560" ht="15.75" customHeight="1">
      <c r="A5560" s="26">
        <f>IFERROR(__xludf.DUMMYFUNCTION("""COMPUTED_VALUE"""),8239.0)</f>
        <v>8239</v>
      </c>
      <c r="B5560" s="22" t="str">
        <f>IFERROR(__xludf.DUMMYFUNCTION("""COMPUTED_VALUE"""),"確定")</f>
        <v>確定</v>
      </c>
      <c r="C5560" s="28">
        <f>IFERROR(__xludf.DUMMYFUNCTION("""COMPUTED_VALUE"""),46188.0)</f>
        <v>46188</v>
      </c>
      <c r="D5560" s="28">
        <f>IFERROR(__xludf.DUMMYFUNCTION("""COMPUTED_VALUE"""),46211.0)</f>
        <v>46211</v>
      </c>
      <c r="E5560" s="26">
        <f>IFERROR(__xludf.DUMMYFUNCTION("""COMPUTED_VALUE"""),367204.0)</f>
        <v>367204</v>
      </c>
      <c r="F5560" s="22" t="str">
        <f>IFERROR(__xludf.DUMMYFUNCTION("""COMPUTED_VALUE"""),"キズアト・エンパシィ")</f>
        <v>キズアト・エンパシィ</v>
      </c>
      <c r="G5560" s="20" t="str">
        <f>IFERROR(__xludf.DUMMYFUNCTION("""COMPUTED_VALUE"""),"1~2")</f>
        <v>1~2</v>
      </c>
      <c r="H5560" s="22" t="str">
        <f>IFERROR(__xludf.DUMMYFUNCTION("""COMPUTED_VALUE"""),"原田米")</f>
        <v>原田米</v>
      </c>
      <c r="I5560" s="22" t="str">
        <f>IFERROR(__xludf.DUMMYFUNCTION("""COMPUTED_VALUE"""),"BL")</f>
        <v>BL</v>
      </c>
      <c r="J5560" s="22"/>
      <c r="K5560" s="22" t="str">
        <f>IFERROR(__xludf.DUMMYFUNCTION("""COMPUTED_VALUE"""),"fujossyコミック")</f>
        <v>fujossyコミック</v>
      </c>
      <c r="L5560" s="22" t="str">
        <f>IFERROR(__xludf.DUMMYFUNCTION("""COMPUTED_VALUE"""),"MUGENUP")</f>
        <v>MUGENUP</v>
      </c>
      <c r="M5560" s="33">
        <f>IFERROR(__xludf.DUMMYFUNCTION("""COMPUTED_VALUE"""),46219.0)</f>
        <v>46219</v>
      </c>
      <c r="N5560" s="33">
        <f>IFERROR(__xludf.DUMMYFUNCTION("""COMPUTED_VALUE"""),46310.0)</f>
        <v>46310</v>
      </c>
      <c r="O5560" s="20"/>
      <c r="P5560" s="32" t="str">
        <f>IFERROR(__xludf.DUMMYFUNCTION("""COMPUTED_VALUE"""),"可")</f>
        <v>可</v>
      </c>
      <c r="Q5560" s="30"/>
      <c r="R5560" s="22" t="str">
        <f>IFERROR(__xludf.DUMMYFUNCTION("""COMPUTED_VALUE"""),"コミットOK")</f>
        <v>コミットOK</v>
      </c>
      <c r="S5560" s="22" t="str">
        <f>IFERROR(__xludf.DUMMYFUNCTION("""COMPUTED_VALUE"""),"20260703_MUGENUP_キズアト・エンパシィ")</f>
        <v>20260703_MUGENUP_キズアト・エンパシィ</v>
      </c>
      <c r="T5560" s="22" t="str">
        <f>IFERROR(__xludf.DUMMYFUNCTION("""COMPUTED_VALUE"""),"格納済み")</f>
        <v>格納済み</v>
      </c>
      <c r="U5560" s="9" t="str">
        <f>IFERROR(__xludf.DUMMYFUNCTION("""COMPUTED_VALUE"""),"（C）原田米／MUGENUP")</f>
        <v>（C）原田米／MUGENUP</v>
      </c>
      <c r="V5560" s="8"/>
      <c r="W5560" s="8"/>
      <c r="X5560" s="8" t="str">
        <f>IFERROR(__xludf.DUMMYFUNCTION("""COMPUTED_VALUE"""),"有")</f>
        <v>有</v>
      </c>
      <c r="Y5560" s="8" t="str">
        <f>IFERROR(__xludf.DUMMYFUNCTION("""COMPUTED_VALUE"""),"p10 まで")</f>
        <v>p10 まで</v>
      </c>
      <c r="Z5560" s="7"/>
      <c r="AA5560" s="7"/>
      <c r="AB5560" s="7"/>
    </row>
    <row r="5561" ht="15.75" customHeight="1">
      <c r="A5561" s="26">
        <f>IFERROR(__xludf.DUMMYFUNCTION("""COMPUTED_VALUE"""),8275.0)</f>
        <v>8275</v>
      </c>
      <c r="B5561" s="22" t="str">
        <f>IFERROR(__xludf.DUMMYFUNCTION("""COMPUTED_VALUE"""),"確定")</f>
        <v>確定</v>
      </c>
      <c r="C5561" s="28">
        <f>IFERROR(__xludf.DUMMYFUNCTION("""COMPUTED_VALUE"""),46192.0)</f>
        <v>46192</v>
      </c>
      <c r="D5561" s="28">
        <f>IFERROR(__xludf.DUMMYFUNCTION("""COMPUTED_VALUE"""),46211.0)</f>
        <v>46211</v>
      </c>
      <c r="E5561" s="26"/>
      <c r="F5561" s="22" t="str">
        <f>IFERROR(__xludf.DUMMYFUNCTION("""COMPUTED_VALUE"""),"かいぬしにクリいっぱいお仕置きされちゃうっ♡【R-18版】")</f>
        <v>かいぬしにクリいっぱいお仕置きされちゃうっ♡【R-18版】</v>
      </c>
      <c r="G5561" s="20" t="str">
        <f>IFERROR(__xludf.DUMMYFUNCTION("""COMPUTED_VALUE"""),"1~3")</f>
        <v>1~3</v>
      </c>
      <c r="H5561" s="22" t="str">
        <f>IFERROR(__xludf.DUMMYFUNCTION("""COMPUTED_VALUE"""),"みやまる")</f>
        <v>みやまる</v>
      </c>
      <c r="I5561" s="22" t="str">
        <f>IFERROR(__xludf.DUMMYFUNCTION("""COMPUTED_VALUE"""),"アダルト")</f>
        <v>アダルト</v>
      </c>
      <c r="J5561" s="22"/>
      <c r="K5561" s="22" t="str">
        <f>IFERROR(__xludf.DUMMYFUNCTION("""COMPUTED_VALUE"""),"Close Moon")</f>
        <v>Close Moon</v>
      </c>
      <c r="L5561" s="22" t="str">
        <f>IFERROR(__xludf.DUMMYFUNCTION("""COMPUTED_VALUE"""),"ナンバーナイン")</f>
        <v>ナンバーナイン</v>
      </c>
      <c r="M5561" s="33">
        <f>IFERROR(__xludf.DUMMYFUNCTION("""COMPUTED_VALUE"""),46235.0)</f>
        <v>46235</v>
      </c>
      <c r="N5561" s="33">
        <f>IFERROR(__xludf.DUMMYFUNCTION("""COMPUTED_VALUE"""),46316.0)</f>
        <v>46316</v>
      </c>
      <c r="O5561" s="20"/>
      <c r="P5561" s="32" t="str">
        <f>IFERROR(__xludf.DUMMYFUNCTION("""COMPUTED_VALUE"""),"可")</f>
        <v>可</v>
      </c>
      <c r="Q5561" s="30" t="str">
        <f>IFERROR(__xludf.DUMMYFUNCTION("""COMPUTED_VALUE"""),"がるまに")</f>
        <v>がるまに</v>
      </c>
      <c r="R5561" s="22"/>
      <c r="S5561" s="22" t="str">
        <f>IFERROR(__xludf.DUMMYFUNCTION("""COMPUTED_VALUE"""),"20260707_ナンバーナイン_かいぬしにクリいっぱいお仕置きされちゃうっ♡【R-18版】")</f>
        <v>20260707_ナンバーナイン_かいぬしにクリいっぱいお仕置きされちゃうっ♡【R-18版】</v>
      </c>
      <c r="T5561" s="22" t="str">
        <f>IFERROR(__xludf.DUMMYFUNCTION("""COMPUTED_VALUE"""),"格納済み")</f>
        <v>格納済み</v>
      </c>
      <c r="U5561" s="9" t="str">
        <f>IFERROR(__xludf.DUMMYFUNCTION("""COMPUTED_VALUE"""),"(C)みやまる／ナンバーナイン")</f>
        <v>(C)みやまる／ナンバーナイン</v>
      </c>
      <c r="V5561" s="8"/>
      <c r="W5561" s="8"/>
      <c r="X5561" s="8"/>
      <c r="Y5561" s="8"/>
      <c r="Z5561" s="7"/>
      <c r="AA5561" s="7"/>
      <c r="AB5561" s="7"/>
    </row>
    <row r="5562" ht="15.75" customHeight="1">
      <c r="A5562" s="26">
        <f>IFERROR(__xludf.DUMMYFUNCTION("""COMPUTED_VALUE"""),8276.0)</f>
        <v>8276</v>
      </c>
      <c r="B5562" s="22" t="str">
        <f>IFERROR(__xludf.DUMMYFUNCTION("""COMPUTED_VALUE"""),"確定")</f>
        <v>確定</v>
      </c>
      <c r="C5562" s="28">
        <f>IFERROR(__xludf.DUMMYFUNCTION("""COMPUTED_VALUE"""),46192.0)</f>
        <v>46192</v>
      </c>
      <c r="D5562" s="28">
        <f>IFERROR(__xludf.DUMMYFUNCTION("""COMPUTED_VALUE"""),46206.0)</f>
        <v>46206</v>
      </c>
      <c r="E5562" s="26"/>
      <c r="F5562" s="22" t="str">
        <f>IFERROR(__xludf.DUMMYFUNCTION("""COMPUTED_VALUE"""),"婚約者を捨てたら、楽しい魔法学校の生活が待っていました！【分冊版】")</f>
        <v>婚約者を捨てたら、楽しい魔法学校の生活が待っていました！【分冊版】</v>
      </c>
      <c r="G5562" s="20" t="str">
        <f>IFERROR(__xludf.DUMMYFUNCTION("""COMPUTED_VALUE"""),"1~3")</f>
        <v>1~3</v>
      </c>
      <c r="H5562" s="22" t="str">
        <f>IFERROR(__xludf.DUMMYFUNCTION("""COMPUTED_VALUE"""),"原作／江本マシメサ(GC NOVELS／マイクロマガジン社刊) 漫画／おだやか キャラクター原案／仁藤あかね")</f>
        <v>原作／江本マシメサ(GC NOVELS／マイクロマガジン社刊) 漫画／おだやか キャラクター原案／仁藤あかね</v>
      </c>
      <c r="I5562" s="22" t="str">
        <f>IFERROR(__xludf.DUMMYFUNCTION("""COMPUTED_VALUE"""),"少女")</f>
        <v>少女</v>
      </c>
      <c r="J5562" s="22"/>
      <c r="K5562" s="22"/>
      <c r="L5562" s="22" t="str">
        <f>IFERROR(__xludf.DUMMYFUNCTION("""COMPUTED_VALUE"""),"スクウェア・エニックス")</f>
        <v>スクウェア・エニックス</v>
      </c>
      <c r="M5562" s="33">
        <f>IFERROR(__xludf.DUMMYFUNCTION("""COMPUTED_VALUE"""),46235.0)</f>
        <v>46235</v>
      </c>
      <c r="N5562" s="33">
        <f>IFERROR(__xludf.DUMMYFUNCTION("""COMPUTED_VALUE"""),46266.0)</f>
        <v>46266</v>
      </c>
      <c r="O5562" s="20"/>
      <c r="P5562" s="32" t="str">
        <f>IFERROR(__xludf.DUMMYFUNCTION("""COMPUTED_VALUE"""),"否")</f>
        <v>否</v>
      </c>
      <c r="Q5562" s="30"/>
      <c r="R5562" s="22" t="str">
        <f>IFERROR(__xludf.DUMMYFUNCTION("""COMPUTED_VALUE"""),"コミットOK")</f>
        <v>コミットOK</v>
      </c>
      <c r="S5562" s="22" t="str">
        <f>IFERROR(__xludf.DUMMYFUNCTION("""COMPUTED_VALUE"""),"20260702_スクウェア・エニックス_婚約者を捨てたら、楽しい魔法学校の生活が待っていました！")</f>
        <v>20260702_スクウェア・エニックス_婚約者を捨てたら、楽しい魔法学校の生活が待っていました！</v>
      </c>
      <c r="T5562" s="22" t="str">
        <f>IFERROR(__xludf.DUMMYFUNCTION("""COMPUTED_VALUE"""),"格納済み")</f>
        <v>格納済み</v>
      </c>
      <c r="U5562" s="9" t="str">
        <f>IFERROR(__xludf.DUMMYFUNCTION("""COMPUTED_VALUE"""),"(C)江本マシメサ (C)仁藤あかね (C)マイクロマガジン社 (C)Odayaka/SQUARE ENIX")</f>
        <v>(C)江本マシメサ (C)仁藤あかね (C)マイクロマガジン社 (C)Odayaka/SQUARE ENIX</v>
      </c>
      <c r="V5562" s="8"/>
      <c r="W5562" s="8"/>
      <c r="X5562" s="8"/>
      <c r="Y5562" s="8"/>
      <c r="Z5562" s="7"/>
      <c r="AA5562" s="7"/>
      <c r="AB5562" s="7"/>
    </row>
    <row r="5563" ht="15.75" customHeight="1">
      <c r="A5563" s="26">
        <f>IFERROR(__xludf.DUMMYFUNCTION("""COMPUTED_VALUE"""),8280.0)</f>
        <v>8280</v>
      </c>
      <c r="B5563" s="22" t="str">
        <f>IFERROR(__xludf.DUMMYFUNCTION("""COMPUTED_VALUE"""),"確定")</f>
        <v>確定</v>
      </c>
      <c r="C5563" s="28">
        <f>IFERROR(__xludf.DUMMYFUNCTION("""COMPUTED_VALUE"""),46195.0)</f>
        <v>46195</v>
      </c>
      <c r="D5563" s="28">
        <f>IFERROR(__xludf.DUMMYFUNCTION("""COMPUTED_VALUE"""),46205.0)</f>
        <v>46205</v>
      </c>
      <c r="E5563" s="26"/>
      <c r="F5563" s="22" t="str">
        <f>IFERROR(__xludf.DUMMYFUNCTION("""COMPUTED_VALUE"""),"ララティーナの婚約 前世、戦場で共に散った私と騎士様は――今世、田舎の伯爵令嬢と耳の聞こえない侯爵令息に生まれ変わって〈百年の恋〉を叶えます【分冊版】")</f>
        <v>ララティーナの婚約 前世、戦場で共に散った私と騎士様は――今世、田舎の伯爵令嬢と耳の聞こえない侯爵令息に生まれ変わって〈百年の恋〉を叶えます【分冊版】</v>
      </c>
      <c r="G5563" s="20" t="str">
        <f>IFERROR(__xludf.DUMMYFUNCTION("""COMPUTED_VALUE"""),"1~6")</f>
        <v>1~6</v>
      </c>
      <c r="H5563" s="22" t="str">
        <f>IFERROR(__xludf.DUMMYFUNCTION("""COMPUTED_VALUE"""),"原作：三香　漫画：カ加羽　キャラクター原案：逆木ルミヲ")</f>
        <v>原作：三香　漫画：カ加羽　キャラクター原案：逆木ルミヲ</v>
      </c>
      <c r="I5563" s="22" t="str">
        <f>IFERROR(__xludf.DUMMYFUNCTION("""COMPUTED_VALUE"""),"少女")</f>
        <v>少女</v>
      </c>
      <c r="J5563" s="22"/>
      <c r="K5563" s="22"/>
      <c r="L5563" s="22" t="str">
        <f>IFERROR(__xludf.DUMMYFUNCTION("""COMPUTED_VALUE"""),"マッグガーデン")</f>
        <v>マッグガーデン</v>
      </c>
      <c r="M5563" s="33">
        <f>IFERROR(__xludf.DUMMYFUNCTION("""COMPUTED_VALUE"""),46249.0)</f>
        <v>46249</v>
      </c>
      <c r="N5563" s="33">
        <f>IFERROR(__xludf.DUMMYFUNCTION("""COMPUTED_VALUE"""),46338.0)</f>
        <v>46338</v>
      </c>
      <c r="O5563" s="20"/>
      <c r="P5563" s="32" t="str">
        <f>IFERROR(__xludf.DUMMYFUNCTION("""COMPUTED_VALUE"""),"否")</f>
        <v>否</v>
      </c>
      <c r="Q5563" s="30"/>
      <c r="R5563" s="22" t="str">
        <f>IFERROR(__xludf.DUMMYFUNCTION("""COMPUTED_VALUE"""),"コミットOK")</f>
        <v>コミットOK</v>
      </c>
      <c r="S5563" s="22" t="str">
        <f>IFERROR(__xludf.DUMMYFUNCTION("""COMPUTED_VALUE"""),"20260630_マッグガーデン_ララティーナの婚約")</f>
        <v>20260630_マッグガーデン_ララティーナの婚約</v>
      </c>
      <c r="T5563" s="22" t="str">
        <f>IFERROR(__xludf.DUMMYFUNCTION("""COMPUTED_VALUE"""),"格納済み")</f>
        <v>格納済み</v>
      </c>
      <c r="U5563" s="9" t="str">
        <f>IFERROR(__xludf.DUMMYFUNCTION("""COMPUTED_VALUE"""),"(C)Mika (C)Kakaha/MAG Garden")</f>
        <v>(C)Mika (C)Kakaha/MAG Garden</v>
      </c>
      <c r="V5563" s="8"/>
      <c r="W5563" s="8"/>
      <c r="X5563" s="8"/>
      <c r="Y5563" s="8"/>
      <c r="Z5563" s="7"/>
      <c r="AA5563" s="7"/>
      <c r="AB5563" s="7"/>
    </row>
    <row r="5564" ht="15.75" customHeight="1">
      <c r="A5564" s="26">
        <f>IFERROR(__xludf.DUMMYFUNCTION("""COMPUTED_VALUE"""),8281.0)</f>
        <v>8281</v>
      </c>
      <c r="B5564" s="22" t="str">
        <f>IFERROR(__xludf.DUMMYFUNCTION("""COMPUTED_VALUE"""),"確定")</f>
        <v>確定</v>
      </c>
      <c r="C5564" s="28">
        <f>IFERROR(__xludf.DUMMYFUNCTION("""COMPUTED_VALUE"""),46195.0)</f>
        <v>46195</v>
      </c>
      <c r="D5564" s="28">
        <f>IFERROR(__xludf.DUMMYFUNCTION("""COMPUTED_VALUE"""),46211.0)</f>
        <v>46211</v>
      </c>
      <c r="E5564" s="26"/>
      <c r="F5564" s="22" t="str">
        <f>IFERROR(__xludf.DUMMYFUNCTION("""COMPUTED_VALUE"""),"私は旦那の奴隷でした。〜不倫夫とモラハラ義実家にさよならを〜")</f>
        <v>私は旦那の奴隷でした。〜不倫夫とモラハラ義実家にさよならを〜</v>
      </c>
      <c r="G5564" s="20">
        <f>IFERROR(__xludf.DUMMYFUNCTION("""COMPUTED_VALUE"""),1.0)</f>
        <v>1</v>
      </c>
      <c r="H5564" s="22" t="str">
        <f>IFERROR(__xludf.DUMMYFUNCTION("""COMPUTED_VALUE"""),"奥村弘都／COMIC ROOM")</f>
        <v>奥村弘都／COMIC ROOM</v>
      </c>
      <c r="I5564" s="22" t="str">
        <f>IFERROR(__xludf.DUMMYFUNCTION("""COMPUTED_VALUE"""),"女性")</f>
        <v>女性</v>
      </c>
      <c r="J5564" s="22"/>
      <c r="K5564" s="22"/>
      <c r="L5564" s="22" t="str">
        <f>IFERROR(__xludf.DUMMYFUNCTION("""COMPUTED_VALUE"""),"コミックルーム")</f>
        <v>コミックルーム</v>
      </c>
      <c r="M5564" s="33">
        <f>IFERROR(__xludf.DUMMYFUNCTION("""COMPUTED_VALUE"""),46240.0)</f>
        <v>46240</v>
      </c>
      <c r="N5564" s="33">
        <f>IFERROR(__xludf.DUMMYFUNCTION("""COMPUTED_VALUE"""),46331.0)</f>
        <v>46331</v>
      </c>
      <c r="O5564" s="20"/>
      <c r="P5564" s="32" t="str">
        <f>IFERROR(__xludf.DUMMYFUNCTION("""COMPUTED_VALUE"""),"可")</f>
        <v>可</v>
      </c>
      <c r="Q5564" s="30" t="str">
        <f>IFERROR(__xludf.DUMMYFUNCTION("""COMPUTED_VALUE"""),"読切の新作単話版")</f>
        <v>読切の新作単話版</v>
      </c>
      <c r="R5564" s="22" t="str">
        <f>IFERROR(__xludf.DUMMYFUNCTION("""COMPUTED_VALUE"""),"コミットOK")</f>
        <v>コミットOK</v>
      </c>
      <c r="S5564" s="22" t="str">
        <f>IFERROR(__xludf.DUMMYFUNCTION("""COMPUTED_VALUE"""),"20260707_コミックルーム_私は夫の奴隷でした。～不倫夫とモラハラ義実家にさよならを～")</f>
        <v>20260707_コミックルーム_私は夫の奴隷でした。～不倫夫とモラハラ義実家にさよならを～</v>
      </c>
      <c r="T5564" s="22" t="str">
        <f>IFERROR(__xludf.DUMMYFUNCTION("""COMPUTED_VALUE"""),"格納済み")</f>
        <v>格納済み</v>
      </c>
      <c r="U5564" s="9" t="str">
        <f>IFERROR(__xludf.DUMMYFUNCTION("""COMPUTED_VALUE"""),"Ⓒ奥村弘都／COMIC ROOM")</f>
        <v>Ⓒ奥村弘都／COMIC ROOM</v>
      </c>
      <c r="V5564" s="8"/>
      <c r="W5564" s="8"/>
      <c r="X5564" s="8"/>
      <c r="Y5564" s="8"/>
      <c r="Z5564" s="7"/>
      <c r="AA5564" s="7"/>
      <c r="AB5564" s="7"/>
    </row>
    <row r="5565" ht="15.75" customHeight="1">
      <c r="A5565" s="26">
        <f>IFERROR(__xludf.DUMMYFUNCTION("""COMPUTED_VALUE"""),8282.0)</f>
        <v>8282</v>
      </c>
      <c r="B5565" s="22" t="str">
        <f>IFERROR(__xludf.DUMMYFUNCTION("""COMPUTED_VALUE"""),"確定")</f>
        <v>確定</v>
      </c>
      <c r="C5565" s="28">
        <f>IFERROR(__xludf.DUMMYFUNCTION("""COMPUTED_VALUE"""),46195.0)</f>
        <v>46195</v>
      </c>
      <c r="D5565" s="28">
        <f>IFERROR(__xludf.DUMMYFUNCTION("""COMPUTED_VALUE"""),46211.0)</f>
        <v>46211</v>
      </c>
      <c r="E5565" s="26"/>
      <c r="F5565" s="22" t="str">
        <f>IFERROR(__xludf.DUMMYFUNCTION("""COMPUTED_VALUE"""),"タダより高いモノはない 〜クレクレ女に全てを奪われたのでやり返します〜")</f>
        <v>タダより高いモノはない 〜クレクレ女に全てを奪われたのでやり返します〜</v>
      </c>
      <c r="G5565" s="20">
        <f>IFERROR(__xludf.DUMMYFUNCTION("""COMPUTED_VALUE"""),1.0)</f>
        <v>1</v>
      </c>
      <c r="H5565" s="22" t="str">
        <f>IFERROR(__xludf.DUMMYFUNCTION("""COMPUTED_VALUE"""),"司萌／COMIC ROOM")</f>
        <v>司萌／COMIC ROOM</v>
      </c>
      <c r="I5565" s="22" t="str">
        <f>IFERROR(__xludf.DUMMYFUNCTION("""COMPUTED_VALUE"""),"女性")</f>
        <v>女性</v>
      </c>
      <c r="J5565" s="22"/>
      <c r="K5565" s="22"/>
      <c r="L5565" s="22" t="str">
        <f>IFERROR(__xludf.DUMMYFUNCTION("""COMPUTED_VALUE"""),"コミックルーム")</f>
        <v>コミックルーム</v>
      </c>
      <c r="M5565" s="33">
        <f>IFERROR(__xludf.DUMMYFUNCTION("""COMPUTED_VALUE"""),46240.0)</f>
        <v>46240</v>
      </c>
      <c r="N5565" s="33">
        <f>IFERROR(__xludf.DUMMYFUNCTION("""COMPUTED_VALUE"""),46331.0)</f>
        <v>46331</v>
      </c>
      <c r="O5565" s="20"/>
      <c r="P5565" s="32" t="str">
        <f>IFERROR(__xludf.DUMMYFUNCTION("""COMPUTED_VALUE"""),"可")</f>
        <v>可</v>
      </c>
      <c r="Q5565" s="30" t="str">
        <f>IFERROR(__xludf.DUMMYFUNCTION("""COMPUTED_VALUE"""),"読切の新作単話版")</f>
        <v>読切の新作単話版</v>
      </c>
      <c r="R5565" s="22" t="str">
        <f>IFERROR(__xludf.DUMMYFUNCTION("""COMPUTED_VALUE"""),"コミットOK")</f>
        <v>コミットOK</v>
      </c>
      <c r="S5565" s="22" t="str">
        <f>IFERROR(__xludf.DUMMYFUNCTION("""COMPUTED_VALUE"""),"20260707_コミックルーム_タダより高いモノはない 〜クレクレ女に全てを奪われたのでやり返します〜")</f>
        <v>20260707_コミックルーム_タダより高いモノはない 〜クレクレ女に全てを奪われたのでやり返します〜</v>
      </c>
      <c r="T5565" s="22" t="str">
        <f>IFERROR(__xludf.DUMMYFUNCTION("""COMPUTED_VALUE"""),"格納済み")</f>
        <v>格納済み</v>
      </c>
      <c r="U5565" s="9" t="str">
        <f>IFERROR(__xludf.DUMMYFUNCTION("""COMPUTED_VALUE"""),"Ⓒ司萌／COMIC ROOM")</f>
        <v>Ⓒ司萌／COMIC ROOM</v>
      </c>
      <c r="V5565" s="8"/>
      <c r="W5565" s="8"/>
      <c r="X5565" s="8"/>
      <c r="Y5565" s="8"/>
      <c r="Z5565" s="7"/>
      <c r="AA5565" s="7"/>
      <c r="AB5565" s="7"/>
    </row>
    <row r="5566" ht="15.75" customHeight="1">
      <c r="A5566" s="26">
        <f>IFERROR(__xludf.DUMMYFUNCTION("""COMPUTED_VALUE"""),8283.0)</f>
        <v>8283</v>
      </c>
      <c r="B5566" s="22" t="str">
        <f>IFERROR(__xludf.DUMMYFUNCTION("""COMPUTED_VALUE"""),"確定")</f>
        <v>確定</v>
      </c>
      <c r="C5566" s="28">
        <f>IFERROR(__xludf.DUMMYFUNCTION("""COMPUTED_VALUE"""),46195.0)</f>
        <v>46195</v>
      </c>
      <c r="D5566" s="28">
        <f>IFERROR(__xludf.DUMMYFUNCTION("""COMPUTED_VALUE"""),46211.0)</f>
        <v>46211</v>
      </c>
      <c r="E5566" s="26"/>
      <c r="F5566" s="22" t="str">
        <f>IFERROR(__xludf.DUMMYFUNCTION("""COMPUTED_VALUE"""),"私の旦那は“夫偏差値30未満”")</f>
        <v>私の旦那は“夫偏差値30未満”</v>
      </c>
      <c r="G5566" s="20">
        <f>IFERROR(__xludf.DUMMYFUNCTION("""COMPUTED_VALUE"""),1.0)</f>
        <v>1</v>
      </c>
      <c r="H5566" s="22" t="str">
        <f>IFERROR(__xludf.DUMMYFUNCTION("""COMPUTED_VALUE"""),"げろねば／COMIC ROOM")</f>
        <v>げろねば／COMIC ROOM</v>
      </c>
      <c r="I5566" s="22" t="str">
        <f>IFERROR(__xludf.DUMMYFUNCTION("""COMPUTED_VALUE"""),"女性")</f>
        <v>女性</v>
      </c>
      <c r="J5566" s="22"/>
      <c r="K5566" s="22"/>
      <c r="L5566" s="22" t="str">
        <f>IFERROR(__xludf.DUMMYFUNCTION("""COMPUTED_VALUE"""),"コミックルーム")</f>
        <v>コミックルーム</v>
      </c>
      <c r="M5566" s="33">
        <f>IFERROR(__xludf.DUMMYFUNCTION("""COMPUTED_VALUE"""),46240.0)</f>
        <v>46240</v>
      </c>
      <c r="N5566" s="33">
        <f>IFERROR(__xludf.DUMMYFUNCTION("""COMPUTED_VALUE"""),46331.0)</f>
        <v>46331</v>
      </c>
      <c r="O5566" s="20"/>
      <c r="P5566" s="32" t="str">
        <f>IFERROR(__xludf.DUMMYFUNCTION("""COMPUTED_VALUE"""),"可")</f>
        <v>可</v>
      </c>
      <c r="Q5566" s="30" t="str">
        <f>IFERROR(__xludf.DUMMYFUNCTION("""COMPUTED_VALUE"""),"読切の新作単話版")</f>
        <v>読切の新作単話版</v>
      </c>
      <c r="R5566" s="22" t="str">
        <f>IFERROR(__xludf.DUMMYFUNCTION("""COMPUTED_VALUE"""),"コミットOK")</f>
        <v>コミットOK</v>
      </c>
      <c r="S5566" s="22" t="str">
        <f>IFERROR(__xludf.DUMMYFUNCTION("""COMPUTED_VALUE"""),"20260707_コミックルーム_私の旦那は“夫偏差値30未満”")</f>
        <v>20260707_コミックルーム_私の旦那は“夫偏差値30未満”</v>
      </c>
      <c r="T5566" s="22" t="str">
        <f>IFERROR(__xludf.DUMMYFUNCTION("""COMPUTED_VALUE"""),"格納済み")</f>
        <v>格納済み</v>
      </c>
      <c r="U5566" s="9" t="str">
        <f>IFERROR(__xludf.DUMMYFUNCTION("""COMPUTED_VALUE"""),"Ⓒげろねば／COMIC ROOM")</f>
        <v>Ⓒげろねば／COMIC ROOM</v>
      </c>
      <c r="V5566" s="8"/>
      <c r="W5566" s="8"/>
      <c r="X5566" s="8"/>
      <c r="Y5566" s="8"/>
      <c r="Z5566" s="7"/>
      <c r="AA5566" s="7"/>
      <c r="AB5566" s="7"/>
    </row>
    <row r="5567" ht="15.75" customHeight="1">
      <c r="A5567" s="26">
        <f>IFERROR(__xludf.DUMMYFUNCTION("""COMPUTED_VALUE"""),8284.0)</f>
        <v>8284</v>
      </c>
      <c r="B5567" s="22" t="str">
        <f>IFERROR(__xludf.DUMMYFUNCTION("""COMPUTED_VALUE"""),"確定")</f>
        <v>確定</v>
      </c>
      <c r="C5567" s="28">
        <f>IFERROR(__xludf.DUMMYFUNCTION("""COMPUTED_VALUE"""),46195.0)</f>
        <v>46195</v>
      </c>
      <c r="D5567" s="28">
        <f>IFERROR(__xludf.DUMMYFUNCTION("""COMPUTED_VALUE"""),46211.0)</f>
        <v>46211</v>
      </c>
      <c r="E5567" s="26"/>
      <c r="F5567" s="22" t="str">
        <f>IFERROR(__xludf.DUMMYFUNCTION("""COMPUTED_VALUE"""),"働く主婦はお嫌いですか？")</f>
        <v>働く主婦はお嫌いですか？</v>
      </c>
      <c r="G5567" s="20">
        <f>IFERROR(__xludf.DUMMYFUNCTION("""COMPUTED_VALUE"""),1.0)</f>
        <v>1</v>
      </c>
      <c r="H5567" s="22" t="str">
        <f>IFERROR(__xludf.DUMMYFUNCTION("""COMPUTED_VALUE"""),"安寿アジュリ／COMIC ROOM")</f>
        <v>安寿アジュリ／COMIC ROOM</v>
      </c>
      <c r="I5567" s="22" t="str">
        <f>IFERROR(__xludf.DUMMYFUNCTION("""COMPUTED_VALUE"""),"女性")</f>
        <v>女性</v>
      </c>
      <c r="J5567" s="22"/>
      <c r="K5567" s="22"/>
      <c r="L5567" s="22" t="str">
        <f>IFERROR(__xludf.DUMMYFUNCTION("""COMPUTED_VALUE"""),"コミックルーム")</f>
        <v>コミックルーム</v>
      </c>
      <c r="M5567" s="33">
        <f>IFERROR(__xludf.DUMMYFUNCTION("""COMPUTED_VALUE"""),46240.0)</f>
        <v>46240</v>
      </c>
      <c r="N5567" s="33">
        <f>IFERROR(__xludf.DUMMYFUNCTION("""COMPUTED_VALUE"""),46331.0)</f>
        <v>46331</v>
      </c>
      <c r="O5567" s="20"/>
      <c r="P5567" s="32" t="str">
        <f>IFERROR(__xludf.DUMMYFUNCTION("""COMPUTED_VALUE"""),"可")</f>
        <v>可</v>
      </c>
      <c r="Q5567" s="30" t="str">
        <f>IFERROR(__xludf.DUMMYFUNCTION("""COMPUTED_VALUE"""),"読切の新作単話版")</f>
        <v>読切の新作単話版</v>
      </c>
      <c r="R5567" s="22" t="str">
        <f>IFERROR(__xludf.DUMMYFUNCTION("""COMPUTED_VALUE"""),"コミットOK")</f>
        <v>コミットOK</v>
      </c>
      <c r="S5567" s="22" t="str">
        <f>IFERROR(__xludf.DUMMYFUNCTION("""COMPUTED_VALUE"""),"20260707_コミックルーム_働く主婦はお嫌いですか？")</f>
        <v>20260707_コミックルーム_働く主婦はお嫌いですか？</v>
      </c>
      <c r="T5567" s="22" t="str">
        <f>IFERROR(__xludf.DUMMYFUNCTION("""COMPUTED_VALUE"""),"格納済み")</f>
        <v>格納済み</v>
      </c>
      <c r="U5567" s="9" t="str">
        <f>IFERROR(__xludf.DUMMYFUNCTION("""COMPUTED_VALUE"""),"Ⓒ安寿アジュリ／COMIC ROOM")</f>
        <v>Ⓒ安寿アジュリ／COMIC ROOM</v>
      </c>
      <c r="V5567" s="8"/>
      <c r="W5567" s="8"/>
      <c r="X5567" s="8"/>
      <c r="Y5567" s="8"/>
      <c r="Z5567" s="7"/>
      <c r="AA5567" s="7"/>
      <c r="AB5567" s="7"/>
    </row>
    <row r="5568" ht="15.75" customHeight="1">
      <c r="A5568" s="26">
        <f>IFERROR(__xludf.DUMMYFUNCTION("""COMPUTED_VALUE"""),8285.0)</f>
        <v>8285</v>
      </c>
      <c r="B5568" s="22" t="str">
        <f>IFERROR(__xludf.DUMMYFUNCTION("""COMPUTED_VALUE"""),"確定")</f>
        <v>確定</v>
      </c>
      <c r="C5568" s="28">
        <f>IFERROR(__xludf.DUMMYFUNCTION("""COMPUTED_VALUE"""),46195.0)</f>
        <v>46195</v>
      </c>
      <c r="D5568" s="28">
        <f>IFERROR(__xludf.DUMMYFUNCTION("""COMPUTED_VALUE"""),46205.0)</f>
        <v>46205</v>
      </c>
      <c r="E5568" s="26"/>
      <c r="F5568" s="22" t="str">
        <f>IFERROR(__xludf.DUMMYFUNCTION("""COMPUTED_VALUE"""),"ループ4回目 もうあなたを選ばないと決めたのに")</f>
        <v>ループ4回目 もうあなたを選ばないと決めたのに</v>
      </c>
      <c r="G5568" s="20" t="str">
        <f>IFERROR(__xludf.DUMMYFUNCTION("""COMPUTED_VALUE"""),"1~3")</f>
        <v>1~3</v>
      </c>
      <c r="H5568" s="22" t="str">
        <f>IFERROR(__xludf.DUMMYFUNCTION("""COMPUTED_VALUE"""),"かしもち・百門一新")</f>
        <v>かしもち・百門一新</v>
      </c>
      <c r="I5568" s="22" t="str">
        <f>IFERROR(__xludf.DUMMYFUNCTION("""COMPUTED_VALUE"""),"女性")</f>
        <v>女性</v>
      </c>
      <c r="J5568" s="22"/>
      <c r="K5568" s="22"/>
      <c r="L5568" s="22" t="str">
        <f>IFERROR(__xludf.DUMMYFUNCTION("""COMPUTED_VALUE"""),"EVOパブリッシング")</f>
        <v>EVOパブリッシング</v>
      </c>
      <c r="M5568" s="33">
        <f>IFERROR(__xludf.DUMMYFUNCTION("""COMPUTED_VALUE"""),46236.0)</f>
        <v>46236</v>
      </c>
      <c r="N5568" s="33">
        <f>IFERROR(__xludf.DUMMYFUNCTION("""COMPUTED_VALUE"""),46328.0)</f>
        <v>46328</v>
      </c>
      <c r="O5568" s="20"/>
      <c r="P5568" s="32" t="str">
        <f>IFERROR(__xludf.DUMMYFUNCTION("""COMPUTED_VALUE"""),"可")</f>
        <v>可</v>
      </c>
      <c r="Q5568" s="30"/>
      <c r="R5568" s="22" t="str">
        <f>IFERROR(__xludf.DUMMYFUNCTION("""COMPUTED_VALUE"""),"コミットOK")</f>
        <v>コミットOK</v>
      </c>
      <c r="S5568" s="22" t="str">
        <f>IFERROR(__xludf.DUMMYFUNCTION("""COMPUTED_VALUE"""),"20260701_Evo_ループ4回目_もうあなたを選ばないと決めたのに")</f>
        <v>20260701_Evo_ループ4回目_もうあなたを選ばないと決めたのに</v>
      </c>
      <c r="T5568" s="22" t="str">
        <f>IFERROR(__xludf.DUMMYFUNCTION("""COMPUTED_VALUE"""),"格納済み")</f>
        <v>格納済み</v>
      </c>
      <c r="U5568" s="9" t="str">
        <f>IFERROR(__xludf.DUMMYFUNCTION("""COMPUTED_VALUE"""),"Ⓒかしもち・百門一新/EVOパブリッシング")</f>
        <v>Ⓒかしもち・百門一新/EVOパブリッシング</v>
      </c>
      <c r="V5568" s="8"/>
      <c r="W5568" s="8"/>
      <c r="X5568" s="8"/>
      <c r="Y5568" s="8"/>
      <c r="Z5568" s="7"/>
      <c r="AA5568" s="7"/>
      <c r="AB5568" s="7"/>
    </row>
    <row r="5569" ht="15.75" customHeight="1">
      <c r="A5569" s="26">
        <f>IFERROR(__xludf.DUMMYFUNCTION("""COMPUTED_VALUE"""),8297.0)</f>
        <v>8297</v>
      </c>
      <c r="B5569" s="22" t="str">
        <f>IFERROR(__xludf.DUMMYFUNCTION("""COMPUTED_VALUE"""),"確定")</f>
        <v>確定</v>
      </c>
      <c r="C5569" s="28">
        <f>IFERROR(__xludf.DUMMYFUNCTION("""COMPUTED_VALUE"""),46198.0)</f>
        <v>46198</v>
      </c>
      <c r="D5569" s="28">
        <f>IFERROR(__xludf.DUMMYFUNCTION("""COMPUTED_VALUE"""),46211.0)</f>
        <v>46211</v>
      </c>
      <c r="E5569" s="26"/>
      <c r="F5569" s="22" t="str">
        <f>IFERROR(__xludf.DUMMYFUNCTION("""COMPUTED_VALUE"""),"クズ勇者パーティーに破滅させられる悪役貴族に転生したけど、原作知識と努力で完膚なきまでに叩き潰します。")</f>
        <v>クズ勇者パーティーに破滅させられる悪役貴族に転生したけど、原作知識と努力で完膚なきまでに叩き潰します。</v>
      </c>
      <c r="G5569" s="20" t="str">
        <f>IFERROR(__xludf.DUMMYFUNCTION("""COMPUTED_VALUE"""),"1~4")</f>
        <v>1~4</v>
      </c>
      <c r="H5569" s="22" t="str">
        <f>IFERROR(__xludf.DUMMYFUNCTION("""COMPUTED_VALUE"""),"原作／taskey STUDIO　漫画／てつ　編集協力／and factory")</f>
        <v>原作／taskey STUDIO　漫画／てつ　編集協力／and factory</v>
      </c>
      <c r="I5569" s="22" t="str">
        <f>IFERROR(__xludf.DUMMYFUNCTION("""COMPUTED_VALUE"""),"少年")</f>
        <v>少年</v>
      </c>
      <c r="J5569" s="22"/>
      <c r="K5569" s="22" t="str">
        <f>IFERROR(__xludf.DUMMYFUNCTION("""COMPUTED_VALUE"""),"少年ブレイブ")</f>
        <v>少年ブレイブ</v>
      </c>
      <c r="L5569" s="22" t="str">
        <f>IFERROR(__xludf.DUMMYFUNCTION("""COMPUTED_VALUE"""),"taskey")</f>
        <v>taskey</v>
      </c>
      <c r="M5569" s="33">
        <f>IFERROR(__xludf.DUMMYFUNCTION("""COMPUTED_VALUE"""),46256.0)</f>
        <v>46256</v>
      </c>
      <c r="N5569" s="33">
        <f>IFERROR(__xludf.DUMMYFUNCTION("""COMPUTED_VALUE"""),46316.0)</f>
        <v>46316</v>
      </c>
      <c r="O5569" s="20"/>
      <c r="P5569" s="32" t="str">
        <f>IFERROR(__xludf.DUMMYFUNCTION("""COMPUTED_VALUE"""),"可")</f>
        <v>可</v>
      </c>
      <c r="Q5569" s="30"/>
      <c r="R5569" s="22" t="str">
        <f>IFERROR(__xludf.DUMMYFUNCTION("""COMPUTED_VALUE"""),"コミットOK")</f>
        <v>コミットOK</v>
      </c>
      <c r="S5569" s="22" t="str">
        <f>IFERROR(__xludf.DUMMYFUNCTION("""COMPUTED_VALUE"""),"20260707_taskey_クズ勇者パーティーに破滅させられる悪役貴族に転生したけど、原作知識と努力で完膚なきまでに叩き潰します。_2")</f>
        <v>20260707_taskey_クズ勇者パーティーに破滅させられる悪役貴族に転生したけど、原作知識と努力で完膚なきまでに叩き潰します。_2</v>
      </c>
      <c r="T5569" s="22" t="str">
        <f>IFERROR(__xludf.DUMMYFUNCTION("""COMPUTED_VALUE"""),"格納済み")</f>
        <v>格納済み</v>
      </c>
      <c r="U5569" s="9" t="str">
        <f>IFERROR(__xludf.DUMMYFUNCTION("""COMPUTED_VALUE"""),"Ⓒ︎taskey　原作／taskey STUDIO　漫画／てつ　編集協力／and factory")</f>
        <v>Ⓒ︎taskey　原作／taskey STUDIO　漫画／てつ　編集協力／and factory</v>
      </c>
      <c r="V5569" s="8"/>
      <c r="W5569" s="8"/>
      <c r="X5569" s="8"/>
      <c r="Y5569" s="8"/>
      <c r="Z5569" s="7"/>
      <c r="AA5569" s="7"/>
      <c r="AB5569" s="7"/>
    </row>
    <row r="5570" ht="15.75" customHeight="1">
      <c r="A5570" s="26">
        <f>IFERROR(__xludf.DUMMYFUNCTION("""COMPUTED_VALUE"""),8298.0)</f>
        <v>8298</v>
      </c>
      <c r="B5570" s="22" t="str">
        <f>IFERROR(__xludf.DUMMYFUNCTION("""COMPUTED_VALUE"""),"確定")</f>
        <v>確定</v>
      </c>
      <c r="C5570" s="28">
        <f>IFERROR(__xludf.DUMMYFUNCTION("""COMPUTED_VALUE"""),46198.0)</f>
        <v>46198</v>
      </c>
      <c r="D5570" s="28">
        <f>IFERROR(__xludf.DUMMYFUNCTION("""COMPUTED_VALUE"""),46209.0)</f>
        <v>46209</v>
      </c>
      <c r="E5570" s="26"/>
      <c r="F5570" s="22" t="str">
        <f>IFERROR(__xludf.DUMMYFUNCTION("""COMPUTED_VALUE"""),"カタブツ騎士団長は溺愛旦那様!?～没落令嬢ですがお見合い結婚で幸せになりました～【分冊版】")</f>
        <v>カタブツ騎士団長は溺愛旦那様!?～没落令嬢ですがお見合い結婚で幸せになりました～【分冊版】</v>
      </c>
      <c r="G5570" s="20" t="str">
        <f>IFERROR(__xludf.DUMMYFUNCTION("""COMPUTED_VALUE"""),"1~2")</f>
        <v>1~2</v>
      </c>
      <c r="H5570" s="22" t="str">
        <f>IFERROR(__xludf.DUMMYFUNCTION("""COMPUTED_VALUE"""),"夏咲たかお")</f>
        <v>夏咲たかお</v>
      </c>
      <c r="I5570" s="22" t="str">
        <f>IFERROR(__xludf.DUMMYFUNCTION("""COMPUTED_VALUE"""),"女性")</f>
        <v>女性</v>
      </c>
      <c r="J5570" s="22"/>
      <c r="K5570" s="22" t="str">
        <f>IFERROR(__xludf.DUMMYFUNCTION("""COMPUTED_VALUE"""),"乙女ドルチェ・コミックス")</f>
        <v>乙女ドルチェ・コミックス</v>
      </c>
      <c r="L5570" s="22" t="str">
        <f>IFERROR(__xludf.DUMMYFUNCTION("""COMPUTED_VALUE"""),"乙女ドルチェ・コミックス")</f>
        <v>乙女ドルチェ・コミックス</v>
      </c>
      <c r="M5570" s="33">
        <f>IFERROR(__xludf.DUMMYFUNCTION("""COMPUTED_VALUE"""),46252.0)</f>
        <v>46252</v>
      </c>
      <c r="N5570" s="33">
        <f>IFERROR(__xludf.DUMMYFUNCTION("""COMPUTED_VALUE"""),46343.0)</f>
        <v>46343</v>
      </c>
      <c r="O5570" s="20"/>
      <c r="P5570" s="32" t="str">
        <f>IFERROR(__xludf.DUMMYFUNCTION("""COMPUTED_VALUE"""),"可")</f>
        <v>可</v>
      </c>
      <c r="Q5570" s="30"/>
      <c r="R5570" s="22" t="str">
        <f>IFERROR(__xludf.DUMMYFUNCTION("""COMPUTED_VALUE"""),"コミットOK")</f>
        <v>コミットOK</v>
      </c>
      <c r="S5570" s="22" t="str">
        <f>IFERROR(__xludf.DUMMYFUNCTION("""COMPUTED_VALUE"""),"20260702_乙女ドルチェ・コミックス_カタブツ騎士団長は溺愛旦那様～没落令嬢ですがお見合い結婚で幸せになりました～【分冊版】")</f>
        <v>20260702_乙女ドルチェ・コミックス_カタブツ騎士団長は溺愛旦那様～没落令嬢ですがお見合い結婚で幸せになりました～【分冊版】</v>
      </c>
      <c r="T5570" s="22" t="str">
        <f>IFERROR(__xludf.DUMMYFUNCTION("""COMPUTED_VALUE"""),"格納済み")</f>
        <v>格納済み</v>
      </c>
      <c r="U5570" s="9" t="str">
        <f>IFERROR(__xludf.DUMMYFUNCTION("""COMPUTED_VALUE"""),"（C)夏咲たかお・葛城阿高／ハーパーコリンズ・ジャパン")</f>
        <v>（C)夏咲たかお・葛城阿高／ハーパーコリンズ・ジャパン</v>
      </c>
      <c r="V5570" s="8"/>
      <c r="W5570" s="8"/>
      <c r="X5570" s="8"/>
      <c r="Y5570" s="8"/>
      <c r="Z5570" s="7"/>
      <c r="AA5570" s="7"/>
      <c r="AB5570" s="7"/>
    </row>
    <row r="5571" ht="15.75" customHeight="1">
      <c r="A5571" s="26">
        <f>IFERROR(__xludf.DUMMYFUNCTION("""COMPUTED_VALUE"""),8301.0)</f>
        <v>8301</v>
      </c>
      <c r="B5571" s="22" t="str">
        <f>IFERROR(__xludf.DUMMYFUNCTION("""COMPUTED_VALUE"""),"確定")</f>
        <v>確定</v>
      </c>
      <c r="C5571" s="28">
        <f>IFERROR(__xludf.DUMMYFUNCTION("""COMPUTED_VALUE"""),46198.0)</f>
        <v>46198</v>
      </c>
      <c r="D5571" s="28">
        <f>IFERROR(__xludf.DUMMYFUNCTION("""COMPUTED_VALUE"""),46205.0)</f>
        <v>46205</v>
      </c>
      <c r="E5571" s="26"/>
      <c r="F5571" s="22" t="str">
        <f>IFERROR(__xludf.DUMMYFUNCTION("""COMPUTED_VALUE"""),"やわらかいハサミ【分冊版】")</f>
        <v>やわらかいハサミ【分冊版】</v>
      </c>
      <c r="G5571" s="20" t="str">
        <f>IFERROR(__xludf.DUMMYFUNCTION("""COMPUTED_VALUE"""),"1~5")</f>
        <v>1~5</v>
      </c>
      <c r="H5571" s="22" t="str">
        <f>IFERROR(__xludf.DUMMYFUNCTION("""COMPUTED_VALUE"""),"蒼星きまま")</f>
        <v>蒼星きまま</v>
      </c>
      <c r="I5571" s="22" t="str">
        <f>IFERROR(__xludf.DUMMYFUNCTION("""COMPUTED_VALUE"""),"女性")</f>
        <v>女性</v>
      </c>
      <c r="J5571" s="22"/>
      <c r="K5571" s="22" t="str">
        <f>IFERROR(__xludf.DUMMYFUNCTION("""COMPUTED_VALUE"""),"フォアミセス")</f>
        <v>フォアミセス</v>
      </c>
      <c r="L5571" s="22" t="str">
        <f>IFERROR(__xludf.DUMMYFUNCTION("""COMPUTED_VALUE"""),"秋田書店")</f>
        <v>秋田書店</v>
      </c>
      <c r="M5571" s="33">
        <f>IFERROR(__xludf.DUMMYFUNCTION("""COMPUTED_VALUE"""),46243.0)</f>
        <v>46243</v>
      </c>
      <c r="N5571" s="33">
        <f>IFERROR(__xludf.DUMMYFUNCTION("""COMPUTED_VALUE"""),46304.0)</f>
        <v>46304</v>
      </c>
      <c r="O5571" s="20"/>
      <c r="P5571" s="32" t="str">
        <f>IFERROR(__xludf.DUMMYFUNCTION("""COMPUTED_VALUE"""),"可")</f>
        <v>可</v>
      </c>
      <c r="Q5571" s="30" t="str">
        <f>IFERROR(__xludf.DUMMYFUNCTION("""COMPUTED_VALUE"""),"バツイチで美容室を営む中年女性が主人公です。可愛い猫とこれからの人生や恋愛について穏やかに考えならが生きていく様子に癒されます。")</f>
        <v>バツイチで美容室を営む中年女性が主人公です。可愛い猫とこれからの人生や恋愛について穏やかに考えならが生きていく様子に癒されます。</v>
      </c>
      <c r="R5571" s="22" t="str">
        <f>IFERROR(__xludf.DUMMYFUNCTION("""COMPUTED_VALUE"""),"コミットOK")</f>
        <v>コミットOK</v>
      </c>
      <c r="S5571" s="22" t="str">
        <f>IFERROR(__xludf.DUMMYFUNCTION("""COMPUTED_VALUE"""),"20260701_秋田書店_やわらかいハサミ【分冊版】")</f>
        <v>20260701_秋田書店_やわらかいハサミ【分冊版】</v>
      </c>
      <c r="T5571" s="22" t="str">
        <f>IFERROR(__xludf.DUMMYFUNCTION("""COMPUTED_VALUE"""),"格納済み")</f>
        <v>格納済み</v>
      </c>
      <c r="U5571" s="9" t="str">
        <f>IFERROR(__xludf.DUMMYFUNCTION("""COMPUTED_VALUE"""),"（C）蒼星きまま（秋田書店）")</f>
        <v>（C）蒼星きまま（秋田書店）</v>
      </c>
      <c r="V5571" s="8"/>
      <c r="W5571" s="8"/>
      <c r="X5571" s="8"/>
      <c r="Y5571" s="8"/>
      <c r="Z5571" s="7"/>
      <c r="AA5571" s="7"/>
      <c r="AB5571" s="7"/>
    </row>
    <row r="5572" ht="15.75" customHeight="1">
      <c r="A5572" s="26">
        <f>IFERROR(__xludf.DUMMYFUNCTION("""COMPUTED_VALUE"""),8312.0)</f>
        <v>8312</v>
      </c>
      <c r="B5572" s="22" t="str">
        <f>IFERROR(__xludf.DUMMYFUNCTION("""COMPUTED_VALUE"""),"確定")</f>
        <v>確定</v>
      </c>
      <c r="C5572" s="28">
        <f>IFERROR(__xludf.DUMMYFUNCTION("""COMPUTED_VALUE"""),46198.0)</f>
        <v>46198</v>
      </c>
      <c r="D5572" s="28">
        <f>IFERROR(__xludf.DUMMYFUNCTION("""COMPUTED_VALUE"""),46210.0)</f>
        <v>46210</v>
      </c>
      <c r="E5572" s="26"/>
      <c r="F5572" s="22" t="str">
        <f>IFERROR(__xludf.DUMMYFUNCTION("""COMPUTED_VALUE"""),"うっかり召喚しちゃった世話やき溺愛淫魔によしよしえっちで堕とされる【R-18版】")</f>
        <v>うっかり召喚しちゃった世話やき溺愛淫魔によしよしえっちで堕とされる【R-18版】</v>
      </c>
      <c r="G5572" s="20" t="str">
        <f>IFERROR(__xludf.DUMMYFUNCTION("""COMPUTED_VALUE"""),"1~3")</f>
        <v>1~3</v>
      </c>
      <c r="H5572" s="22" t="str">
        <f>IFERROR(__xludf.DUMMYFUNCTION("""COMPUTED_VALUE"""),"夏尾,にな")</f>
        <v>夏尾,にな</v>
      </c>
      <c r="I5572" s="22" t="str">
        <f>IFERROR(__xludf.DUMMYFUNCTION("""COMPUTED_VALUE"""),"アダルト")</f>
        <v>アダルト</v>
      </c>
      <c r="J5572" s="22"/>
      <c r="K5572" s="22" t="str">
        <f>IFERROR(__xludf.DUMMYFUNCTION("""COMPUTED_VALUE"""),"リベルタ")</f>
        <v>リベルタ</v>
      </c>
      <c r="L5572" s="22" t="str">
        <f>IFERROR(__xludf.DUMMYFUNCTION("""COMPUTED_VALUE"""),"ナンバーナイン")</f>
        <v>ナンバーナイン</v>
      </c>
      <c r="M5572" s="33">
        <f>IFERROR(__xludf.DUMMYFUNCTION("""COMPUTED_VALUE"""),46244.0)</f>
        <v>46244</v>
      </c>
      <c r="N5572" s="33">
        <f>IFERROR(__xludf.DUMMYFUNCTION("""COMPUTED_VALUE"""),46304.0)</f>
        <v>46304</v>
      </c>
      <c r="O5572" s="20"/>
      <c r="P5572" s="32" t="str">
        <f>IFERROR(__xludf.DUMMYFUNCTION("""COMPUTED_VALUE"""),"可")</f>
        <v>可</v>
      </c>
      <c r="Q5572" s="30" t="str">
        <f>IFERROR(__xludf.DUMMYFUNCTION("""COMPUTED_VALUE"""),"がるまに")</f>
        <v>がるまに</v>
      </c>
      <c r="R5572" s="22"/>
      <c r="S5572" s="22" t="str">
        <f>IFERROR(__xludf.DUMMYFUNCTION("""COMPUTED_VALUE"""),"20260707_ナンバーナイン_うっかり召喚しちゃった世話やき溺愛淫魔によしよしえっちで堕とされる【R-18版】")</f>
        <v>20260707_ナンバーナイン_うっかり召喚しちゃった世話やき溺愛淫魔によしよしえっちで堕とされる【R-18版】</v>
      </c>
      <c r="T5572" s="22" t="str">
        <f>IFERROR(__xludf.DUMMYFUNCTION("""COMPUTED_VALUE"""),"格納済み")</f>
        <v>格納済み</v>
      </c>
      <c r="U5572" s="9" t="str">
        <f>IFERROR(__xludf.DUMMYFUNCTION("""COMPUTED_VALUE"""),"(C)リベルタ／ナンバーナイン")</f>
        <v>(C)リベルタ／ナンバーナイン</v>
      </c>
      <c r="V5572" s="8"/>
      <c r="W5572" s="8"/>
      <c r="X5572" s="8"/>
      <c r="Y5572" s="8"/>
      <c r="Z5572" s="7"/>
      <c r="AA5572" s="7"/>
      <c r="AB5572" s="7"/>
    </row>
    <row r="5573" ht="15.75" customHeight="1">
      <c r="A5573" s="26">
        <f>IFERROR(__xludf.DUMMYFUNCTION("""COMPUTED_VALUE"""),8314.0)</f>
        <v>8314</v>
      </c>
      <c r="B5573" s="22" t="str">
        <f>IFERROR(__xludf.DUMMYFUNCTION("""COMPUTED_VALUE"""),"確定")</f>
        <v>確定</v>
      </c>
      <c r="C5573" s="28">
        <f>IFERROR(__xludf.DUMMYFUNCTION("""COMPUTED_VALUE"""),46198.0)</f>
        <v>46198</v>
      </c>
      <c r="D5573" s="28">
        <f>IFERROR(__xludf.DUMMYFUNCTION("""COMPUTED_VALUE"""),46211.0)</f>
        <v>46211</v>
      </c>
      <c r="E5573" s="26"/>
      <c r="F5573" s="22" t="str">
        <f>IFERROR(__xludf.DUMMYFUNCTION("""COMPUTED_VALUE"""),"執着系幼馴染のわからせえっち～合コン行くって言ったら、 男がどういう生き物か身体に教えられました…～【R-18版】")</f>
        <v>執着系幼馴染のわからせえっち～合コン行くって言ったら、 男がどういう生き物か身体に教えられました…～【R-18版】</v>
      </c>
      <c r="G5573" s="20" t="str">
        <f>IFERROR(__xludf.DUMMYFUNCTION("""COMPUTED_VALUE"""),"1~3")</f>
        <v>1~3</v>
      </c>
      <c r="H5573" s="22" t="str">
        <f>IFERROR(__xludf.DUMMYFUNCTION("""COMPUTED_VALUE"""),"やさい,ちひろ")</f>
        <v>やさい,ちひろ</v>
      </c>
      <c r="I5573" s="22" t="str">
        <f>IFERROR(__xludf.DUMMYFUNCTION("""COMPUTED_VALUE"""),"アダルト")</f>
        <v>アダルト</v>
      </c>
      <c r="J5573" s="22"/>
      <c r="K5573" s="22" t="str">
        <f>IFERROR(__xludf.DUMMYFUNCTION("""COMPUTED_VALUE"""),"リベルタ")</f>
        <v>リベルタ</v>
      </c>
      <c r="L5573" s="22" t="str">
        <f>IFERROR(__xludf.DUMMYFUNCTION("""COMPUTED_VALUE"""),"ナンバーナイン")</f>
        <v>ナンバーナイン</v>
      </c>
      <c r="M5573" s="33">
        <f>IFERROR(__xludf.DUMMYFUNCTION("""COMPUTED_VALUE"""),46244.0)</f>
        <v>46244</v>
      </c>
      <c r="N5573" s="33">
        <f>IFERROR(__xludf.DUMMYFUNCTION("""COMPUTED_VALUE"""),46304.0)</f>
        <v>46304</v>
      </c>
      <c r="O5573" s="20"/>
      <c r="P5573" s="32" t="str">
        <f>IFERROR(__xludf.DUMMYFUNCTION("""COMPUTED_VALUE"""),"可")</f>
        <v>可</v>
      </c>
      <c r="Q5573" s="30" t="str">
        <f>IFERROR(__xludf.DUMMYFUNCTION("""COMPUTED_VALUE"""),"がるまに")</f>
        <v>がるまに</v>
      </c>
      <c r="R5573" s="22"/>
      <c r="S5573" s="22" t="str">
        <f>IFERROR(__xludf.DUMMYFUNCTION("""COMPUTED_VALUE"""),"20260707_ ナンバーナイン_執着系幼馴染のわからせえっち～合コン行くって言ったら、 男がどういう生き物か身体に教えられました…～【R-18版】")</f>
        <v>20260707_ ナンバーナイン_執着系幼馴染のわからせえっち～合コン行くって言ったら、 男がどういう生き物か身体に教えられました…～【R-18版】</v>
      </c>
      <c r="T5573" s="22" t="str">
        <f>IFERROR(__xludf.DUMMYFUNCTION("""COMPUTED_VALUE"""),"格納済み")</f>
        <v>格納済み</v>
      </c>
      <c r="U5573" s="9" t="str">
        <f>IFERROR(__xludf.DUMMYFUNCTION("""COMPUTED_VALUE"""),"(C)リベルタ／ナンバーナイン")</f>
        <v>(C)リベルタ／ナンバーナイン</v>
      </c>
      <c r="V5573" s="8"/>
      <c r="W5573" s="8"/>
      <c r="X5573" s="8"/>
      <c r="Y5573" s="8"/>
      <c r="Z5573" s="7"/>
      <c r="AA5573" s="7"/>
      <c r="AB5573" s="7"/>
    </row>
    <row r="5574" ht="15.75" customHeight="1">
      <c r="A5574" s="26">
        <f>IFERROR(__xludf.DUMMYFUNCTION("""COMPUTED_VALUE"""),8316.0)</f>
        <v>8316</v>
      </c>
      <c r="B5574" s="22" t="str">
        <f>IFERROR(__xludf.DUMMYFUNCTION("""COMPUTED_VALUE"""),"確定")</f>
        <v>確定</v>
      </c>
      <c r="C5574" s="28">
        <f>IFERROR(__xludf.DUMMYFUNCTION("""COMPUTED_VALUE"""),46198.0)</f>
        <v>46198</v>
      </c>
      <c r="D5574" s="28">
        <f>IFERROR(__xludf.DUMMYFUNCTION("""COMPUTED_VALUE"""),46211.0)</f>
        <v>46211</v>
      </c>
      <c r="E5574" s="26"/>
      <c r="F5574" s="22" t="str">
        <f>IFERROR(__xludf.DUMMYFUNCTION("""COMPUTED_VALUE"""),"激重カレシ奏多くんに振りまわされっぱなし【R-18版】")</f>
        <v>激重カレシ奏多くんに振りまわされっぱなし【R-18版】</v>
      </c>
      <c r="G5574" s="20" t="str">
        <f>IFERROR(__xludf.DUMMYFUNCTION("""COMPUTED_VALUE"""),"1~3")</f>
        <v>1~3</v>
      </c>
      <c r="H5574" s="22" t="str">
        <f>IFERROR(__xludf.DUMMYFUNCTION("""COMPUTED_VALUE"""),"ヨナカベベ,おばな。")</f>
        <v>ヨナカベベ,おばな。</v>
      </c>
      <c r="I5574" s="22" t="str">
        <f>IFERROR(__xludf.DUMMYFUNCTION("""COMPUTED_VALUE"""),"アダルト")</f>
        <v>アダルト</v>
      </c>
      <c r="J5574" s="22"/>
      <c r="K5574" s="22" t="str">
        <f>IFERROR(__xludf.DUMMYFUNCTION("""COMPUTED_VALUE"""),"リベルタ")</f>
        <v>リベルタ</v>
      </c>
      <c r="L5574" s="22" t="str">
        <f>IFERROR(__xludf.DUMMYFUNCTION("""COMPUTED_VALUE"""),"ナンバーナイン")</f>
        <v>ナンバーナイン</v>
      </c>
      <c r="M5574" s="33">
        <f>IFERROR(__xludf.DUMMYFUNCTION("""COMPUTED_VALUE"""),46244.0)</f>
        <v>46244</v>
      </c>
      <c r="N5574" s="33">
        <f>IFERROR(__xludf.DUMMYFUNCTION("""COMPUTED_VALUE"""),46304.0)</f>
        <v>46304</v>
      </c>
      <c r="O5574" s="20"/>
      <c r="P5574" s="32" t="str">
        <f>IFERROR(__xludf.DUMMYFUNCTION("""COMPUTED_VALUE"""),"可")</f>
        <v>可</v>
      </c>
      <c r="Q5574" s="30" t="str">
        <f>IFERROR(__xludf.DUMMYFUNCTION("""COMPUTED_VALUE"""),"がるまに")</f>
        <v>がるまに</v>
      </c>
      <c r="R5574" s="22"/>
      <c r="S5574" s="22" t="str">
        <f>IFERROR(__xludf.DUMMYFUNCTION("""COMPUTED_VALUE"""),"20260707_ナンバーナイン_激重カレシ奏多くんに振りまわされっぱなし【R-18版】")</f>
        <v>20260707_ナンバーナイン_激重カレシ奏多くんに振りまわされっぱなし【R-18版】</v>
      </c>
      <c r="T5574" s="22" t="str">
        <f>IFERROR(__xludf.DUMMYFUNCTION("""COMPUTED_VALUE"""),"格納済み")</f>
        <v>格納済み</v>
      </c>
      <c r="U5574" s="9" t="str">
        <f>IFERROR(__xludf.DUMMYFUNCTION("""COMPUTED_VALUE"""),"(C)リベルタ／ナンバーナイン")</f>
        <v>(C)リベルタ／ナンバーナイン</v>
      </c>
      <c r="V5574" s="8"/>
      <c r="W5574" s="8"/>
      <c r="X5574" s="8"/>
      <c r="Y5574" s="8"/>
      <c r="Z5574" s="7"/>
      <c r="AA5574" s="7"/>
      <c r="AB5574" s="7"/>
    </row>
    <row r="5575" ht="15.75" customHeight="1">
      <c r="A5575" s="26">
        <f>IFERROR(__xludf.DUMMYFUNCTION("""COMPUTED_VALUE"""),8318.0)</f>
        <v>8318</v>
      </c>
      <c r="B5575" s="22" t="str">
        <f>IFERROR(__xludf.DUMMYFUNCTION("""COMPUTED_VALUE"""),"確定")</f>
        <v>確定</v>
      </c>
      <c r="C5575" s="28">
        <f>IFERROR(__xludf.DUMMYFUNCTION("""COMPUTED_VALUE"""),46198.0)</f>
        <v>46198</v>
      </c>
      <c r="D5575" s="28">
        <f>IFERROR(__xludf.DUMMYFUNCTION("""COMPUTED_VALUE"""),46211.0)</f>
        <v>46211</v>
      </c>
      <c r="E5575" s="26"/>
      <c r="F5575" s="22" t="str">
        <f>IFERROR(__xludf.DUMMYFUNCTION("""COMPUTED_VALUE"""),"推しに推される異世界転生～洗脳×快楽×共依存えっち～【R-18版】")</f>
        <v>推しに推される異世界転生～洗脳×快楽×共依存えっち～【R-18版】</v>
      </c>
      <c r="G5575" s="20" t="str">
        <f>IFERROR(__xludf.DUMMYFUNCTION("""COMPUTED_VALUE"""),"1~3")</f>
        <v>1~3</v>
      </c>
      <c r="H5575" s="22" t="str">
        <f>IFERROR(__xludf.DUMMYFUNCTION("""COMPUTED_VALUE"""),"花房アルコ,希之本昨日")</f>
        <v>花房アルコ,希之本昨日</v>
      </c>
      <c r="I5575" s="22" t="str">
        <f>IFERROR(__xludf.DUMMYFUNCTION("""COMPUTED_VALUE"""),"アダルト")</f>
        <v>アダルト</v>
      </c>
      <c r="J5575" s="22"/>
      <c r="K5575" s="22" t="str">
        <f>IFERROR(__xludf.DUMMYFUNCTION("""COMPUTED_VALUE"""),"リベルタ")</f>
        <v>リベルタ</v>
      </c>
      <c r="L5575" s="22" t="str">
        <f>IFERROR(__xludf.DUMMYFUNCTION("""COMPUTED_VALUE"""),"ナンバーナイン")</f>
        <v>ナンバーナイン</v>
      </c>
      <c r="M5575" s="33">
        <f>IFERROR(__xludf.DUMMYFUNCTION("""COMPUTED_VALUE"""),46244.0)</f>
        <v>46244</v>
      </c>
      <c r="N5575" s="33">
        <f>IFERROR(__xludf.DUMMYFUNCTION("""COMPUTED_VALUE"""),46304.0)</f>
        <v>46304</v>
      </c>
      <c r="O5575" s="20"/>
      <c r="P5575" s="32" t="str">
        <f>IFERROR(__xludf.DUMMYFUNCTION("""COMPUTED_VALUE"""),"可")</f>
        <v>可</v>
      </c>
      <c r="Q5575" s="30" t="str">
        <f>IFERROR(__xludf.DUMMYFUNCTION("""COMPUTED_VALUE"""),"がるまに")</f>
        <v>がるまに</v>
      </c>
      <c r="R5575" s="22"/>
      <c r="S5575" s="22" t="str">
        <f>IFERROR(__xludf.DUMMYFUNCTION("""COMPUTED_VALUE"""),"20260707_ ナンバーナイン_推しに推される異世界転生～洗脳×快楽×共依存えっち～【R-18版】")</f>
        <v>20260707_ ナンバーナイン_推しに推される異世界転生～洗脳×快楽×共依存えっち～【R-18版】</v>
      </c>
      <c r="T5575" s="22" t="str">
        <f>IFERROR(__xludf.DUMMYFUNCTION("""COMPUTED_VALUE"""),"格納済み")</f>
        <v>格納済み</v>
      </c>
      <c r="U5575" s="9" t="str">
        <f>IFERROR(__xludf.DUMMYFUNCTION("""COMPUTED_VALUE"""),"(C)リベルタ／ナンバーナイン")</f>
        <v>(C)リベルタ／ナンバーナイン</v>
      </c>
      <c r="V5575" s="8"/>
      <c r="W5575" s="8"/>
      <c r="X5575" s="8"/>
      <c r="Y5575" s="8"/>
      <c r="Z5575" s="7"/>
      <c r="AA5575" s="7"/>
      <c r="AB5575" s="7"/>
    </row>
    <row r="5576" ht="15.75" customHeight="1">
      <c r="A5576" s="26">
        <f>IFERROR(__xludf.DUMMYFUNCTION("""COMPUTED_VALUE"""),8320.0)</f>
        <v>8320</v>
      </c>
      <c r="B5576" s="22" t="str">
        <f>IFERROR(__xludf.DUMMYFUNCTION("""COMPUTED_VALUE"""),"確定")</f>
        <v>確定</v>
      </c>
      <c r="C5576" s="28">
        <f>IFERROR(__xludf.DUMMYFUNCTION("""COMPUTED_VALUE"""),46198.0)</f>
        <v>46198</v>
      </c>
      <c r="D5576" s="28">
        <f>IFERROR(__xludf.DUMMYFUNCTION("""COMPUTED_VALUE"""),46211.0)</f>
        <v>46211</v>
      </c>
      <c r="E5576" s="26"/>
      <c r="F5576" s="22" t="str">
        <f>IFERROR(__xludf.DUMMYFUNCTION("""COMPUTED_VALUE"""),"眠れない私がソフレ先輩のぐちゃとろ寝かしつけ交尾に躾けられるまで【R-18版】")</f>
        <v>眠れない私がソフレ先輩のぐちゃとろ寝かしつけ交尾に躾けられるまで【R-18版】</v>
      </c>
      <c r="G5576" s="20" t="str">
        <f>IFERROR(__xludf.DUMMYFUNCTION("""COMPUTED_VALUE"""),"1~3")</f>
        <v>1~3</v>
      </c>
      <c r="H5576" s="22" t="str">
        <f>IFERROR(__xludf.DUMMYFUNCTION("""COMPUTED_VALUE"""),"夏尾,上賀茂")</f>
        <v>夏尾,上賀茂</v>
      </c>
      <c r="I5576" s="22" t="str">
        <f>IFERROR(__xludf.DUMMYFUNCTION("""COMPUTED_VALUE"""),"アダルト")</f>
        <v>アダルト</v>
      </c>
      <c r="J5576" s="22"/>
      <c r="K5576" s="22" t="str">
        <f>IFERROR(__xludf.DUMMYFUNCTION("""COMPUTED_VALUE"""),"リベルタ")</f>
        <v>リベルタ</v>
      </c>
      <c r="L5576" s="22" t="str">
        <f>IFERROR(__xludf.DUMMYFUNCTION("""COMPUTED_VALUE"""),"ナンバーナイン")</f>
        <v>ナンバーナイン</v>
      </c>
      <c r="M5576" s="33">
        <f>IFERROR(__xludf.DUMMYFUNCTION("""COMPUTED_VALUE"""),46244.0)</f>
        <v>46244</v>
      </c>
      <c r="N5576" s="33">
        <f>IFERROR(__xludf.DUMMYFUNCTION("""COMPUTED_VALUE"""),46304.0)</f>
        <v>46304</v>
      </c>
      <c r="O5576" s="20"/>
      <c r="P5576" s="32" t="str">
        <f>IFERROR(__xludf.DUMMYFUNCTION("""COMPUTED_VALUE"""),"可")</f>
        <v>可</v>
      </c>
      <c r="Q5576" s="30" t="str">
        <f>IFERROR(__xludf.DUMMYFUNCTION("""COMPUTED_VALUE"""),"がるまに")</f>
        <v>がるまに</v>
      </c>
      <c r="R5576" s="22"/>
      <c r="S5576" s="22" t="str">
        <f>IFERROR(__xludf.DUMMYFUNCTION("""COMPUTED_VALUE"""),"20260707_ナンバーナイン_眠れない私がソフレ先輩のぐちゃとろ寝かしつけ交尾に躾けられるまで【R-18版】")</f>
        <v>20260707_ナンバーナイン_眠れない私がソフレ先輩のぐちゃとろ寝かしつけ交尾に躾けられるまで【R-18版】</v>
      </c>
      <c r="T5576" s="22" t="str">
        <f>IFERROR(__xludf.DUMMYFUNCTION("""COMPUTED_VALUE"""),"格納済み")</f>
        <v>格納済み</v>
      </c>
      <c r="U5576" s="9" t="str">
        <f>IFERROR(__xludf.DUMMYFUNCTION("""COMPUTED_VALUE"""),"(C)リベルタ／ナンバーナイン")</f>
        <v>(C)リベルタ／ナンバーナイン</v>
      </c>
      <c r="V5576" s="8"/>
      <c r="W5576" s="8"/>
      <c r="X5576" s="8"/>
      <c r="Y5576" s="8"/>
      <c r="Z5576" s="7"/>
      <c r="AA5576" s="7"/>
      <c r="AB5576" s="7"/>
    </row>
    <row r="5577" ht="15.75" customHeight="1">
      <c r="A5577" s="26">
        <f>IFERROR(__xludf.DUMMYFUNCTION("""COMPUTED_VALUE"""),8321.0)</f>
        <v>8321</v>
      </c>
      <c r="B5577" s="22" t="str">
        <f>IFERROR(__xludf.DUMMYFUNCTION("""COMPUTED_VALUE"""),"確定")</f>
        <v>確定</v>
      </c>
      <c r="C5577" s="28">
        <f>IFERROR(__xludf.DUMMYFUNCTION("""COMPUTED_VALUE"""),46198.0)</f>
        <v>46198</v>
      </c>
      <c r="D5577" s="28">
        <f>IFERROR(__xludf.DUMMYFUNCTION("""COMPUTED_VALUE"""),46211.0)</f>
        <v>46211</v>
      </c>
      <c r="E5577" s="26"/>
      <c r="F5577" s="22" t="str">
        <f>IFERROR(__xludf.DUMMYFUNCTION("""COMPUTED_VALUE"""),"トキウリウリコ")</f>
        <v>トキウリウリコ</v>
      </c>
      <c r="G5577" s="20" t="str">
        <f>IFERROR(__xludf.DUMMYFUNCTION("""COMPUTED_VALUE"""),"1~3")</f>
        <v>1~3</v>
      </c>
      <c r="H5577" s="22" t="str">
        <f>IFERROR(__xludf.DUMMYFUNCTION("""COMPUTED_VALUE"""),"末廣こぶ")</f>
        <v>末廣こぶ</v>
      </c>
      <c r="I5577" s="22" t="str">
        <f>IFERROR(__xludf.DUMMYFUNCTION("""COMPUTED_VALUE"""),"女性")</f>
        <v>女性</v>
      </c>
      <c r="J5577" s="22"/>
      <c r="K5577" s="22" t="str">
        <f>IFERROR(__xludf.DUMMYFUNCTION("""COMPUTED_VALUE"""),"コミックブリーゼ")</f>
        <v>コミックブリーゼ</v>
      </c>
      <c r="L5577" s="22" t="str">
        <f>IFERROR(__xludf.DUMMYFUNCTION("""COMPUTED_VALUE"""),"キルタイムコミュニケーション")</f>
        <v>キルタイムコミュニケーション</v>
      </c>
      <c r="M5577" s="33">
        <f>IFERROR(__xludf.DUMMYFUNCTION("""COMPUTED_VALUE"""),46234.0)</f>
        <v>46234</v>
      </c>
      <c r="N5577" s="33">
        <f>IFERROR(__xludf.DUMMYFUNCTION("""COMPUTED_VALUE"""),46325.0)</f>
        <v>46325</v>
      </c>
      <c r="O5577" s="20"/>
      <c r="P5577" s="32" t="str">
        <f>IFERROR(__xludf.DUMMYFUNCTION("""COMPUTED_VALUE"""),"可")</f>
        <v>可</v>
      </c>
      <c r="Q5577" s="30"/>
      <c r="R5577" s="22"/>
      <c r="S5577" s="22" t="str">
        <f>IFERROR(__xludf.DUMMYFUNCTION("""COMPUTED_VALUE"""),"20260703_キルタイムコミュニケーション_トキウリウリコ")</f>
        <v>20260703_キルタイムコミュニケーション_トキウリウリコ</v>
      </c>
      <c r="T5577" s="22" t="str">
        <f>IFERROR(__xludf.DUMMYFUNCTION("""COMPUTED_VALUE"""),"格納済み")</f>
        <v>格納済み</v>
      </c>
      <c r="U5577" s="9" t="str">
        <f>IFERROR(__xludf.DUMMYFUNCTION("""COMPUTED_VALUE"""),"（C）末廣こぶ/キルタイムコミュニケーション")</f>
        <v>（C）末廣こぶ/キルタイムコミュニケーション</v>
      </c>
      <c r="V5577" s="8"/>
      <c r="W5577" s="8"/>
      <c r="X5577" s="8"/>
      <c r="Y5577" s="8"/>
      <c r="Z5577" s="7"/>
      <c r="AA5577" s="7"/>
      <c r="AB5577" s="7"/>
    </row>
    <row r="5578" ht="15.75" customHeight="1">
      <c r="A5578" s="26">
        <f>IFERROR(__xludf.DUMMYFUNCTION("""COMPUTED_VALUE"""),8326.0)</f>
        <v>8326</v>
      </c>
      <c r="B5578" s="22" t="str">
        <f>IFERROR(__xludf.DUMMYFUNCTION("""COMPUTED_VALUE"""),"確定")</f>
        <v>確定</v>
      </c>
      <c r="C5578" s="28">
        <f>IFERROR(__xludf.DUMMYFUNCTION("""COMPUTED_VALUE"""),46199.0)</f>
        <v>46199</v>
      </c>
      <c r="D5578" s="28">
        <f>IFERROR(__xludf.DUMMYFUNCTION("""COMPUTED_VALUE"""),46211.0)</f>
        <v>46211</v>
      </c>
      <c r="E5578" s="26"/>
      <c r="F5578" s="22" t="str">
        <f>IFERROR(__xludf.DUMMYFUNCTION("""COMPUTED_VALUE"""),"嘘つきアンドロイドの献身")</f>
        <v>嘘つきアンドロイドの献身</v>
      </c>
      <c r="G5578" s="20" t="str">
        <f>IFERROR(__xludf.DUMMYFUNCTION("""COMPUTED_VALUE"""),"1~2")</f>
        <v>1~2</v>
      </c>
      <c r="H5578" s="22" t="str">
        <f>IFERROR(__xludf.DUMMYFUNCTION("""COMPUTED_VALUE"""),"九羊ボン")</f>
        <v>九羊ボン</v>
      </c>
      <c r="I5578" s="22" t="str">
        <f>IFERROR(__xludf.DUMMYFUNCTION("""COMPUTED_VALUE"""),"BL")</f>
        <v>BL</v>
      </c>
      <c r="J5578" s="22"/>
      <c r="K5578" s="22" t="str">
        <f>IFERROR(__xludf.DUMMYFUNCTION("""COMPUTED_VALUE"""),"MooiComics")</f>
        <v>MooiComics</v>
      </c>
      <c r="L5578" s="22" t="str">
        <f>IFERROR(__xludf.DUMMYFUNCTION("""COMPUTED_VALUE"""),"CLLENN")</f>
        <v>CLLENN</v>
      </c>
      <c r="M5578" s="33">
        <f>IFERROR(__xludf.DUMMYFUNCTION("""COMPUTED_VALUE"""),46252.0)</f>
        <v>46252</v>
      </c>
      <c r="N5578" s="33">
        <f>IFERROR(__xludf.DUMMYFUNCTION("""COMPUTED_VALUE"""),46314.0)</f>
        <v>46314</v>
      </c>
      <c r="O5578" s="20"/>
      <c r="P5578" s="32" t="str">
        <f>IFERROR(__xludf.DUMMYFUNCTION("""COMPUTED_VALUE"""),"可")</f>
        <v>可</v>
      </c>
      <c r="Q5578" s="30"/>
      <c r="R5578" s="22" t="str">
        <f>IFERROR(__xludf.DUMMYFUNCTION("""COMPUTED_VALUE"""),"コミットOK")</f>
        <v>コミットOK</v>
      </c>
      <c r="S5578" s="22" t="str">
        <f>IFERROR(__xludf.DUMMYFUNCTION("""COMPUTED_VALUE"""),"20260707_CLLENN_嘘つきアンドロイドの献身")</f>
        <v>20260707_CLLENN_嘘つきアンドロイドの献身</v>
      </c>
      <c r="T5578" s="22" t="str">
        <f>IFERROR(__xludf.DUMMYFUNCTION("""COMPUTED_VALUE"""),"格納済み")</f>
        <v>格納済み</v>
      </c>
      <c r="U5578" s="9" t="str">
        <f>IFERROR(__xludf.DUMMYFUNCTION("""COMPUTED_VALUE"""),"Ⓒ九羊ボン/CLLENN")</f>
        <v>Ⓒ九羊ボン/CLLENN</v>
      </c>
      <c r="V5578" s="8"/>
      <c r="W5578" s="8"/>
      <c r="X5578" s="8"/>
      <c r="Y5578" s="8"/>
      <c r="Z5578" s="7"/>
      <c r="AA5578" s="7"/>
      <c r="AB5578" s="7"/>
    </row>
    <row r="5579" ht="15.75" customHeight="1">
      <c r="A5579" s="26">
        <f>IFERROR(__xludf.DUMMYFUNCTION("""COMPUTED_VALUE"""),8330.0)</f>
        <v>8330</v>
      </c>
      <c r="B5579" s="22" t="str">
        <f>IFERROR(__xludf.DUMMYFUNCTION("""COMPUTED_VALUE"""),"確定")</f>
        <v>確定</v>
      </c>
      <c r="C5579" s="28">
        <f>IFERROR(__xludf.DUMMYFUNCTION("""COMPUTED_VALUE"""),46199.0)</f>
        <v>46199</v>
      </c>
      <c r="D5579" s="28">
        <f>IFERROR(__xludf.DUMMYFUNCTION("""COMPUTED_VALUE"""),46206.0)</f>
        <v>46206</v>
      </c>
      <c r="E5579" s="26"/>
      <c r="F5579" s="22" t="str">
        <f>IFERROR(__xludf.DUMMYFUNCTION("""COMPUTED_VALUE"""),"先輩、我慢してください")</f>
        <v>先輩、我慢してください</v>
      </c>
      <c r="G5579" s="20" t="str">
        <f>IFERROR(__xludf.DUMMYFUNCTION("""COMPUTED_VALUE"""),"1~2")</f>
        <v>1~2</v>
      </c>
      <c r="H5579" s="22" t="str">
        <f>IFERROR(__xludf.DUMMYFUNCTION("""COMPUTED_VALUE"""),"里西立樺")</f>
        <v>里西立樺</v>
      </c>
      <c r="I5579" s="22" t="str">
        <f>IFERROR(__xludf.DUMMYFUNCTION("""COMPUTED_VALUE"""),"BL")</f>
        <v>BL</v>
      </c>
      <c r="J5579" s="22"/>
      <c r="K5579" s="22" t="str">
        <f>IFERROR(__xludf.DUMMYFUNCTION("""COMPUTED_VALUE"""),"NuPu")</f>
        <v>NuPu</v>
      </c>
      <c r="L5579" s="22" t="str">
        <f>IFERROR(__xludf.DUMMYFUNCTION("""COMPUTED_VALUE"""),"CLLENN")</f>
        <v>CLLENN</v>
      </c>
      <c r="M5579" s="33">
        <f>IFERROR(__xludf.DUMMYFUNCTION("""COMPUTED_VALUE"""),46254.0)</f>
        <v>46254</v>
      </c>
      <c r="N5579" s="33">
        <f>IFERROR(__xludf.DUMMYFUNCTION("""COMPUTED_VALUE"""),46310.0)</f>
        <v>46310</v>
      </c>
      <c r="O5579" s="20" t="str">
        <f>IFERROR(__xludf.DUMMYFUNCTION("""COMPUTED_VALUE"""),"【アダルト作品扱い】")</f>
        <v>【アダルト作品扱い】</v>
      </c>
      <c r="P5579" s="32" t="str">
        <f>IFERROR(__xludf.DUMMYFUNCTION("""COMPUTED_VALUE"""),"可")</f>
        <v>可</v>
      </c>
      <c r="Q5579" s="30"/>
      <c r="R5579" s="22" t="str">
        <f>IFERROR(__xludf.DUMMYFUNCTION("""COMPUTED_VALUE"""),"コミットOK")</f>
        <v>コミットOK</v>
      </c>
      <c r="S5579" s="22" t="str">
        <f>IFERROR(__xludf.DUMMYFUNCTION("""COMPUTED_VALUE"""),"20260701_CLLENN_先輩、我慢してください")</f>
        <v>20260701_CLLENN_先輩、我慢してください</v>
      </c>
      <c r="T5579" s="22" t="str">
        <f>IFERROR(__xludf.DUMMYFUNCTION("""COMPUTED_VALUE"""),"格納済み")</f>
        <v>格納済み</v>
      </c>
      <c r="U5579" s="9" t="str">
        <f>IFERROR(__xludf.DUMMYFUNCTION("""COMPUTED_VALUE"""),"Ⓒ里西立樺/CLLENN")</f>
        <v>Ⓒ里西立樺/CLLENN</v>
      </c>
      <c r="V5579" s="8"/>
      <c r="W5579" s="8"/>
      <c r="X5579" s="8"/>
      <c r="Y5579" s="8"/>
      <c r="Z5579" s="7"/>
      <c r="AA5579" s="7"/>
      <c r="AB5579" s="7"/>
    </row>
    <row r="5580" ht="15.75" customHeight="1">
      <c r="A5580" s="26">
        <f>IFERROR(__xludf.DUMMYFUNCTION("""COMPUTED_VALUE"""),8331.0)</f>
        <v>8331</v>
      </c>
      <c r="B5580" s="22" t="str">
        <f>IFERROR(__xludf.DUMMYFUNCTION("""COMPUTED_VALUE"""),"確定")</f>
        <v>確定</v>
      </c>
      <c r="C5580" s="28">
        <f>IFERROR(__xludf.DUMMYFUNCTION("""COMPUTED_VALUE"""),46199.0)</f>
        <v>46199</v>
      </c>
      <c r="D5580" s="28">
        <f>IFERROR(__xludf.DUMMYFUNCTION("""COMPUTED_VALUE"""),46209.0)</f>
        <v>46209</v>
      </c>
      <c r="E5580" s="26"/>
      <c r="F5580" s="22" t="str">
        <f>IFERROR(__xludf.DUMMYFUNCTION("""COMPUTED_VALUE"""),"スペックアウトラブ")</f>
        <v>スペックアウトラブ</v>
      </c>
      <c r="G5580" s="20" t="str">
        <f>IFERROR(__xludf.DUMMYFUNCTION("""COMPUTED_VALUE"""),"1~2")</f>
        <v>1~2</v>
      </c>
      <c r="H5580" s="22" t="str">
        <f>IFERROR(__xludf.DUMMYFUNCTION("""COMPUTED_VALUE"""),"赤埜ごはん")</f>
        <v>赤埜ごはん</v>
      </c>
      <c r="I5580" s="22" t="str">
        <f>IFERROR(__xludf.DUMMYFUNCTION("""COMPUTED_VALUE"""),"BL")</f>
        <v>BL</v>
      </c>
      <c r="J5580" s="22"/>
      <c r="K5580" s="22" t="str">
        <f>IFERROR(__xludf.DUMMYFUNCTION("""COMPUTED_VALUE"""),"NuPu")</f>
        <v>NuPu</v>
      </c>
      <c r="L5580" s="22" t="str">
        <f>IFERROR(__xludf.DUMMYFUNCTION("""COMPUTED_VALUE"""),"CLLENN")</f>
        <v>CLLENN</v>
      </c>
      <c r="M5580" s="33">
        <f>IFERROR(__xludf.DUMMYFUNCTION("""COMPUTED_VALUE"""),46254.0)</f>
        <v>46254</v>
      </c>
      <c r="N5580" s="33">
        <f>IFERROR(__xludf.DUMMYFUNCTION("""COMPUTED_VALUE"""),46310.0)</f>
        <v>46310</v>
      </c>
      <c r="O5580" s="20"/>
      <c r="P5580" s="32" t="str">
        <f>IFERROR(__xludf.DUMMYFUNCTION("""COMPUTED_VALUE"""),"可")</f>
        <v>可</v>
      </c>
      <c r="Q5580" s="30"/>
      <c r="R5580" s="22" t="str">
        <f>IFERROR(__xludf.DUMMYFUNCTION("""COMPUTED_VALUE"""),"コミットOK")</f>
        <v>コミットOK</v>
      </c>
      <c r="S5580" s="22" t="str">
        <f>IFERROR(__xludf.DUMMYFUNCTION("""COMPUTED_VALUE"""),"20260703_CLLENN_スペックアウトラブ")</f>
        <v>20260703_CLLENN_スペックアウトラブ</v>
      </c>
      <c r="T5580" s="22" t="str">
        <f>IFERROR(__xludf.DUMMYFUNCTION("""COMPUTED_VALUE"""),"格納済み")</f>
        <v>格納済み</v>
      </c>
      <c r="U5580" s="9" t="str">
        <f>IFERROR(__xludf.DUMMYFUNCTION("""COMPUTED_VALUE"""),"Ⓒ赤埜ごはん/CLLENN")</f>
        <v>Ⓒ赤埜ごはん/CLLENN</v>
      </c>
      <c r="V5580" s="8"/>
      <c r="W5580" s="8"/>
      <c r="X5580" s="8"/>
      <c r="Y5580" s="8"/>
      <c r="Z5580" s="7"/>
      <c r="AA5580" s="7"/>
      <c r="AB5580" s="7"/>
    </row>
    <row r="5581" ht="15.75" customHeight="1">
      <c r="A5581" s="26">
        <f>IFERROR(__xludf.DUMMYFUNCTION("""COMPUTED_VALUE"""),8332.0)</f>
        <v>8332</v>
      </c>
      <c r="B5581" s="22" t="str">
        <f>IFERROR(__xludf.DUMMYFUNCTION("""COMPUTED_VALUE"""),"確定")</f>
        <v>確定</v>
      </c>
      <c r="C5581" s="28">
        <f>IFERROR(__xludf.DUMMYFUNCTION("""COMPUTED_VALUE"""),46199.0)</f>
        <v>46199</v>
      </c>
      <c r="D5581" s="28">
        <f>IFERROR(__xludf.DUMMYFUNCTION("""COMPUTED_VALUE"""),46209.0)</f>
        <v>46209</v>
      </c>
      <c r="E5581" s="26"/>
      <c r="F5581" s="22" t="str">
        <f>IFERROR(__xludf.DUMMYFUNCTION("""COMPUTED_VALUE"""),"スロウな恋で抱きしめて")</f>
        <v>スロウな恋で抱きしめて</v>
      </c>
      <c r="G5581" s="20" t="str">
        <f>IFERROR(__xludf.DUMMYFUNCTION("""COMPUTED_VALUE"""),"1~2")</f>
        <v>1~2</v>
      </c>
      <c r="H5581" s="22" t="str">
        <f>IFERROR(__xludf.DUMMYFUNCTION("""COMPUTED_VALUE"""),"末永真葵")</f>
        <v>末永真葵</v>
      </c>
      <c r="I5581" s="22" t="str">
        <f>IFERROR(__xludf.DUMMYFUNCTION("""COMPUTED_VALUE"""),"BL")</f>
        <v>BL</v>
      </c>
      <c r="J5581" s="22"/>
      <c r="K5581" s="22" t="str">
        <f>IFERROR(__xludf.DUMMYFUNCTION("""COMPUTED_VALUE"""),"NuPu")</f>
        <v>NuPu</v>
      </c>
      <c r="L5581" s="22" t="str">
        <f>IFERROR(__xludf.DUMMYFUNCTION("""COMPUTED_VALUE"""),"CLLENN")</f>
        <v>CLLENN</v>
      </c>
      <c r="M5581" s="33">
        <f>IFERROR(__xludf.DUMMYFUNCTION("""COMPUTED_VALUE"""),46254.0)</f>
        <v>46254</v>
      </c>
      <c r="N5581" s="33">
        <f>IFERROR(__xludf.DUMMYFUNCTION("""COMPUTED_VALUE"""),46310.0)</f>
        <v>46310</v>
      </c>
      <c r="O5581" s="20"/>
      <c r="P5581" s="32" t="str">
        <f>IFERROR(__xludf.DUMMYFUNCTION("""COMPUTED_VALUE"""),"可")</f>
        <v>可</v>
      </c>
      <c r="Q5581" s="30"/>
      <c r="R5581" s="22" t="str">
        <f>IFERROR(__xludf.DUMMYFUNCTION("""COMPUTED_VALUE"""),"コミットOK")</f>
        <v>コミットOK</v>
      </c>
      <c r="S5581" s="22" t="str">
        <f>IFERROR(__xludf.DUMMYFUNCTION("""COMPUTED_VALUE"""),"20260703_CLLENN_スロウな恋で抱きしめて")</f>
        <v>20260703_CLLENN_スロウな恋で抱きしめて</v>
      </c>
      <c r="T5581" s="22" t="str">
        <f>IFERROR(__xludf.DUMMYFUNCTION("""COMPUTED_VALUE"""),"格納済み")</f>
        <v>格納済み</v>
      </c>
      <c r="U5581" s="9" t="str">
        <f>IFERROR(__xludf.DUMMYFUNCTION("""COMPUTED_VALUE"""),"Ⓒ末永真葵/CLLENN")</f>
        <v>Ⓒ末永真葵/CLLENN</v>
      </c>
      <c r="V5581" s="8"/>
      <c r="W5581" s="8"/>
      <c r="X5581" s="8"/>
      <c r="Y5581" s="8"/>
      <c r="Z5581" s="7"/>
      <c r="AA5581" s="7"/>
      <c r="AB5581" s="7"/>
    </row>
    <row r="5582" ht="15.75" customHeight="1">
      <c r="A5582" s="26">
        <f>IFERROR(__xludf.DUMMYFUNCTION("""COMPUTED_VALUE"""),8340.0)</f>
        <v>8340</v>
      </c>
      <c r="B5582" s="22" t="str">
        <f>IFERROR(__xludf.DUMMYFUNCTION("""COMPUTED_VALUE"""),"確定")</f>
        <v>確定</v>
      </c>
      <c r="C5582" s="28">
        <f>IFERROR(__xludf.DUMMYFUNCTION("""COMPUTED_VALUE"""),46199.0)</f>
        <v>46199</v>
      </c>
      <c r="D5582" s="28">
        <f>IFERROR(__xludf.DUMMYFUNCTION("""COMPUTED_VALUE"""),46209.0)</f>
        <v>46209</v>
      </c>
      <c r="E5582" s="26"/>
      <c r="F5582" s="22" t="str">
        <f>IFERROR(__xludf.DUMMYFUNCTION("""COMPUTED_VALUE"""),"いじめはありません")</f>
        <v>いじめはありません</v>
      </c>
      <c r="G5582" s="20" t="str">
        <f>IFERROR(__xludf.DUMMYFUNCTION("""COMPUTED_VALUE"""),"1~8")</f>
        <v>1~8</v>
      </c>
      <c r="H5582" s="22" t="str">
        <f>IFERROR(__xludf.DUMMYFUNCTION("""COMPUTED_VALUE"""),"葉桜はる")</f>
        <v>葉桜はる</v>
      </c>
      <c r="I5582" s="22" t="str">
        <f>IFERROR(__xludf.DUMMYFUNCTION("""COMPUTED_VALUE"""),"女性")</f>
        <v>女性</v>
      </c>
      <c r="J5582" s="22"/>
      <c r="K5582" s="22"/>
      <c r="L5582" s="22" t="str">
        <f>IFERROR(__xludf.DUMMYFUNCTION("""COMPUTED_VALUE"""),"Vスクロールコミックス")</f>
        <v>Vスクロールコミックス</v>
      </c>
      <c r="M5582" s="33">
        <f>IFERROR(__xludf.DUMMYFUNCTION("""COMPUTED_VALUE"""),46235.0)</f>
        <v>46235</v>
      </c>
      <c r="N5582" s="33">
        <f>IFERROR(__xludf.DUMMYFUNCTION("""COMPUTED_VALUE"""),46327.0)</f>
        <v>46327</v>
      </c>
      <c r="O5582" s="20"/>
      <c r="P5582" s="32" t="str">
        <f>IFERROR(__xludf.DUMMYFUNCTION("""COMPUTED_VALUE"""),"可")</f>
        <v>可</v>
      </c>
      <c r="Q5582" s="30"/>
      <c r="R5582" s="22" t="str">
        <f>IFERROR(__xludf.DUMMYFUNCTION("""COMPUTED_VALUE"""),"コミットOK")</f>
        <v>コミットOK</v>
      </c>
      <c r="S5582" s="22" t="str">
        <f>IFERROR(__xludf.DUMMYFUNCTION("""COMPUTED_VALUE"""),"20260703_Vスクロールコミックス_いじめはありません")</f>
        <v>20260703_Vスクロールコミックス_いじめはありません</v>
      </c>
      <c r="T5582" s="22" t="str">
        <f>IFERROR(__xludf.DUMMYFUNCTION("""COMPUTED_VALUE"""),"格納済み")</f>
        <v>格納済み</v>
      </c>
      <c r="U5582" s="9" t="str">
        <f>IFERROR(__xludf.DUMMYFUNCTION("""COMPUTED_VALUE"""),"Ⓒ葉桜はる/Vコミ")</f>
        <v>Ⓒ葉桜はる/Vコミ</v>
      </c>
      <c r="V5582" s="8"/>
      <c r="W5582" s="8"/>
      <c r="X5582" s="8"/>
      <c r="Y5582" s="8"/>
      <c r="Z5582" s="7"/>
      <c r="AA5582" s="7"/>
      <c r="AB5582" s="7"/>
    </row>
    <row r="5583" ht="15.75" customHeight="1">
      <c r="A5583" s="26">
        <f>IFERROR(__xludf.DUMMYFUNCTION("""COMPUTED_VALUE"""),8341.0)</f>
        <v>8341</v>
      </c>
      <c r="B5583" s="22" t="str">
        <f>IFERROR(__xludf.DUMMYFUNCTION("""COMPUTED_VALUE"""),"確定")</f>
        <v>確定</v>
      </c>
      <c r="C5583" s="28">
        <f>IFERROR(__xludf.DUMMYFUNCTION("""COMPUTED_VALUE"""),46199.0)</f>
        <v>46199</v>
      </c>
      <c r="D5583" s="28">
        <f>IFERROR(__xludf.DUMMYFUNCTION("""COMPUTED_VALUE"""),46210.0)</f>
        <v>46210</v>
      </c>
      <c r="E5583" s="26"/>
      <c r="F5583" s="22" t="str">
        <f>IFERROR(__xludf.DUMMYFUNCTION("""COMPUTED_VALUE"""),"落雷とメロウ")</f>
        <v>落雷とメロウ</v>
      </c>
      <c r="G5583" s="20" t="str">
        <f>IFERROR(__xludf.DUMMYFUNCTION("""COMPUTED_VALUE"""),"1~4")</f>
        <v>1~4</v>
      </c>
      <c r="H5583" s="22" t="str">
        <f>IFERROR(__xludf.DUMMYFUNCTION("""COMPUTED_VALUE"""),"星影")</f>
        <v>星影</v>
      </c>
      <c r="I5583" s="22" t="str">
        <f>IFERROR(__xludf.DUMMYFUNCTION("""COMPUTED_VALUE"""),"少女")</f>
        <v>少女</v>
      </c>
      <c r="J5583" s="22"/>
      <c r="K5583" s="22" t="str">
        <f>IFERROR(__xludf.DUMMYFUNCTION("""COMPUTED_VALUE"""),"LaLa")</f>
        <v>LaLa</v>
      </c>
      <c r="L5583" s="22" t="str">
        <f>IFERROR(__xludf.DUMMYFUNCTION("""COMPUTED_VALUE"""),"白泉社")</f>
        <v>白泉社</v>
      </c>
      <c r="M5583" s="33">
        <f>IFERROR(__xludf.DUMMYFUNCTION("""COMPUTED_VALUE"""),46241.0)</f>
        <v>46241</v>
      </c>
      <c r="N5583" s="33">
        <f>IFERROR(__xludf.DUMMYFUNCTION("""COMPUTED_VALUE"""),46318.0)</f>
        <v>46318</v>
      </c>
      <c r="O5583" s="20"/>
      <c r="P5583" s="32" t="str">
        <f>IFERROR(__xludf.DUMMYFUNCTION("""COMPUTED_VALUE"""),"否")</f>
        <v>否</v>
      </c>
      <c r="Q5583" s="30" t="str">
        <f>IFERROR(__xludf.DUMMYFUNCTION("""COMPUTED_VALUE"""),"1～3巻素材で広告制作進めていただけますと幸いです。
4巻素材は後日共有予定です。")</f>
        <v>1～3巻素材で広告制作進めていただけますと幸いです。
4巻素材は後日共有予定です。</v>
      </c>
      <c r="R5583" s="22" t="str">
        <f>IFERROR(__xludf.DUMMYFUNCTION("""COMPUTED_VALUE"""),"コミットOK")</f>
        <v>コミットOK</v>
      </c>
      <c r="S5583" s="22" t="str">
        <f>IFERROR(__xludf.DUMMYFUNCTION("""COMPUTED_VALUE"""),"20260706_白泉社_落雷とメロウ")</f>
        <v>20260706_白泉社_落雷とメロウ</v>
      </c>
      <c r="T5583" s="22" t="str">
        <f>IFERROR(__xludf.DUMMYFUNCTION("""COMPUTED_VALUE"""),"格納済み")</f>
        <v>格納済み</v>
      </c>
      <c r="U5583" s="9" t="str">
        <f>IFERROR(__xludf.DUMMYFUNCTION("""COMPUTED_VALUE"""),"Ⓒ星影／白泉社")</f>
        <v>Ⓒ星影／白泉社</v>
      </c>
      <c r="V5583" s="8"/>
      <c r="W5583" s="8"/>
      <c r="X5583" s="8"/>
      <c r="Y5583" s="8"/>
      <c r="Z5583" s="7"/>
      <c r="AA5583" s="7"/>
      <c r="AB5583" s="7"/>
    </row>
    <row r="5584" ht="15.75" customHeight="1">
      <c r="A5584" s="26">
        <f>IFERROR(__xludf.DUMMYFUNCTION("""COMPUTED_VALUE"""),8349.0)</f>
        <v>8349</v>
      </c>
      <c r="B5584" s="22" t="str">
        <f>IFERROR(__xludf.DUMMYFUNCTION("""COMPUTED_VALUE"""),"確定")</f>
        <v>確定</v>
      </c>
      <c r="C5584" s="28">
        <f>IFERROR(__xludf.DUMMYFUNCTION("""COMPUTED_VALUE"""),46202.0)</f>
        <v>46202</v>
      </c>
      <c r="D5584" s="28">
        <f>IFERROR(__xludf.DUMMYFUNCTION("""COMPUTED_VALUE"""),46206.0)</f>
        <v>46206</v>
      </c>
      <c r="E5584" s="26"/>
      <c r="F5584" s="22" t="str">
        <f>IFERROR(__xludf.DUMMYFUNCTION("""COMPUTED_VALUE"""),"辺境の聖女は『黒獣』様に召し上げられ抱きつぶされて")</f>
        <v>辺境の聖女は『黒獣』様に召し上げられ抱きつぶされて</v>
      </c>
      <c r="G5584" s="20">
        <f>IFERROR(__xludf.DUMMYFUNCTION("""COMPUTED_VALUE"""),1.0)</f>
        <v>1</v>
      </c>
      <c r="H5584" s="22" t="str">
        <f>IFERROR(__xludf.DUMMYFUNCTION("""COMPUTED_VALUE"""),"橘さらみ")</f>
        <v>橘さらみ</v>
      </c>
      <c r="I5584" s="22" t="str">
        <f>IFERROR(__xludf.DUMMYFUNCTION("""COMPUTED_VALUE"""),"TL")</f>
        <v>TL</v>
      </c>
      <c r="J5584" s="22"/>
      <c r="K5584" s="22" t="str">
        <f>IFERROR(__xludf.DUMMYFUNCTION("""COMPUTED_VALUE"""),"LOVEBITES")</f>
        <v>LOVEBITES</v>
      </c>
      <c r="L5584" s="22" t="str">
        <f>IFERROR(__xludf.DUMMYFUNCTION("""COMPUTED_VALUE"""),"一迅社")</f>
        <v>一迅社</v>
      </c>
      <c r="M5584" s="33">
        <f>IFERROR(__xludf.DUMMYFUNCTION("""COMPUTED_VALUE"""),46227.0)</f>
        <v>46227</v>
      </c>
      <c r="N5584" s="33">
        <f>IFERROR(__xludf.DUMMYFUNCTION("""COMPUTED_VALUE"""),46261.0)</f>
        <v>46261</v>
      </c>
      <c r="O5584" s="20" t="str">
        <f>IFERROR(__xludf.DUMMYFUNCTION("""COMPUTED_VALUE"""),"【アダルト作品扱い】")</f>
        <v>【アダルト作品扱い】</v>
      </c>
      <c r="P5584" s="32" t="str">
        <f>IFERROR(__xludf.DUMMYFUNCTION("""COMPUTED_VALUE"""),"可")</f>
        <v>可</v>
      </c>
      <c r="Q5584" s="30" t="str">
        <f>IFERROR(__xludf.DUMMYFUNCTION("""COMPUTED_VALUE"""),"「黒騎士様の愛玩花嫁になりました。アンソロジー」掲載タイトル")</f>
        <v>「黒騎士様の愛玩花嫁になりました。アンソロジー」掲載タイトル</v>
      </c>
      <c r="R5584" s="22" t="str">
        <f>IFERROR(__xludf.DUMMYFUNCTION("""COMPUTED_VALUE"""),"コミットOK")</f>
        <v>コミットOK</v>
      </c>
      <c r="S5584" s="22" t="str">
        <f>IFERROR(__xludf.DUMMYFUNCTION("""COMPUTED_VALUE"""),"20260702_一迅社_辺境の聖女は『黒獣』様に召し上げられ抱きつぶされて")</f>
        <v>20260702_一迅社_辺境の聖女は『黒獣』様に召し上げられ抱きつぶされて</v>
      </c>
      <c r="T5584" s="22" t="str">
        <f>IFERROR(__xludf.DUMMYFUNCTION("""COMPUTED_VALUE"""),"格納済み")</f>
        <v>格納済み</v>
      </c>
      <c r="U5584" s="9" t="str">
        <f>IFERROR(__xludf.DUMMYFUNCTION("""COMPUTED_VALUE"""),"(C)橘さらみ／一迅社")</f>
        <v>(C)橘さらみ／一迅社</v>
      </c>
      <c r="V5584" s="8"/>
      <c r="W5584" s="8"/>
      <c r="X5584" s="8"/>
      <c r="Y5584" s="8"/>
      <c r="Z5584" s="7"/>
      <c r="AA5584" s="7"/>
      <c r="AB5584" s="7"/>
    </row>
    <row r="5585" ht="15.75" customHeight="1">
      <c r="A5585" s="26">
        <f>IFERROR(__xludf.DUMMYFUNCTION("""COMPUTED_VALUE"""),8380.0)</f>
        <v>8380</v>
      </c>
      <c r="B5585" s="22" t="str">
        <f>IFERROR(__xludf.DUMMYFUNCTION("""COMPUTED_VALUE"""),"確定")</f>
        <v>確定</v>
      </c>
      <c r="C5585" s="28">
        <f>IFERROR(__xludf.DUMMYFUNCTION("""COMPUTED_VALUE"""),46203.0)</f>
        <v>46203</v>
      </c>
      <c r="D5585" s="28">
        <f>IFERROR(__xludf.DUMMYFUNCTION("""COMPUTED_VALUE"""),46206.0)</f>
        <v>46206</v>
      </c>
      <c r="E5585" s="26"/>
      <c r="F5585" s="22" t="str">
        <f>IFERROR(__xludf.DUMMYFUNCTION("""COMPUTED_VALUE"""),"緩和病棟事務 命について考える")</f>
        <v>緩和病棟事務 命について考える</v>
      </c>
      <c r="G5585" s="20" t="str">
        <f>IFERROR(__xludf.DUMMYFUNCTION("""COMPUTED_VALUE"""),"1~10")</f>
        <v>1~10</v>
      </c>
      <c r="H5585" s="22" t="str">
        <f>IFERROR(__xludf.DUMMYFUNCTION("""COMPUTED_VALUE"""),"ぽてちめえこ")</f>
        <v>ぽてちめえこ</v>
      </c>
      <c r="I5585" s="22" t="str">
        <f>IFERROR(__xludf.DUMMYFUNCTION("""COMPUTED_VALUE"""),"女性")</f>
        <v>女性</v>
      </c>
      <c r="J5585" s="22"/>
      <c r="K5585" s="22"/>
      <c r="L5585" s="22" t="str">
        <f>IFERROR(__xludf.DUMMYFUNCTION("""COMPUTED_VALUE"""),"Vスクロールコミックス")</f>
        <v>Vスクロールコミックス</v>
      </c>
      <c r="M5585" s="33">
        <f>IFERROR(__xludf.DUMMYFUNCTION("""COMPUTED_VALUE"""),46235.0)</f>
        <v>46235</v>
      </c>
      <c r="N5585" s="33">
        <f>IFERROR(__xludf.DUMMYFUNCTION("""COMPUTED_VALUE"""),46327.0)</f>
        <v>46327</v>
      </c>
      <c r="O5585" s="20"/>
      <c r="P5585" s="32" t="str">
        <f>IFERROR(__xludf.DUMMYFUNCTION("""COMPUTED_VALUE"""),"可")</f>
        <v>可</v>
      </c>
      <c r="Q5585" s="30" t="str">
        <f>IFERROR(__xludf.DUMMYFUNCTION("""COMPUTED_VALUE"""),"※舞台が緩和ケア病棟なので、当事者の方が見て不快になるような表現、ネガティブなキャッチ等はNG※&lt;BR&gt;合本版1巻もあわせて配信開始予定。")</f>
        <v>※舞台が緩和ケア病棟なので、当事者の方が見て不快になるような表現、ネガティブなキャッチ等はNG※&lt;BR&gt;合本版1巻もあわせて配信開始予定。</v>
      </c>
      <c r="R5585" s="22" t="str">
        <f>IFERROR(__xludf.DUMMYFUNCTION("""COMPUTED_VALUE"""),"コミットOK")</f>
        <v>コミットOK</v>
      </c>
      <c r="S5585" s="22" t="str">
        <f>IFERROR(__xludf.DUMMYFUNCTION("""COMPUTED_VALUE"""),"20260701_Vスクロールコミックス_緩和病棟事務 命について考える")</f>
        <v>20260701_Vスクロールコミックス_緩和病棟事務 命について考える</v>
      </c>
      <c r="T5585" s="22" t="str">
        <f>IFERROR(__xludf.DUMMYFUNCTION("""COMPUTED_VALUE"""),"格納済み")</f>
        <v>格納済み</v>
      </c>
      <c r="U5585" s="9" t="str">
        <f>IFERROR(__xludf.DUMMYFUNCTION("""COMPUTED_VALUE"""),"Ⓒぽてちめえこ/Vコミ")</f>
        <v>Ⓒぽてちめえこ/Vコミ</v>
      </c>
      <c r="V5585" s="8"/>
      <c r="W5585" s="8"/>
      <c r="X5585" s="8"/>
      <c r="Y5585" s="8"/>
      <c r="Z5585" s="7"/>
      <c r="AA5585" s="7"/>
      <c r="AB5585" s="7"/>
    </row>
    <row r="5586" ht="15.75" customHeight="1">
      <c r="A5586" s="26">
        <f>IFERROR(__xludf.DUMMYFUNCTION("""COMPUTED_VALUE"""),8384.0)</f>
        <v>8384</v>
      </c>
      <c r="B5586" s="22" t="str">
        <f>IFERROR(__xludf.DUMMYFUNCTION("""COMPUTED_VALUE"""),"確定")</f>
        <v>確定</v>
      </c>
      <c r="C5586" s="28">
        <f>IFERROR(__xludf.DUMMYFUNCTION("""COMPUTED_VALUE"""),46203.0)</f>
        <v>46203</v>
      </c>
      <c r="D5586" s="28">
        <f>IFERROR(__xludf.DUMMYFUNCTION("""COMPUTED_VALUE"""),46206.0)</f>
        <v>46206</v>
      </c>
      <c r="E5586" s="26"/>
      <c r="F5586" s="22" t="str">
        <f>IFERROR(__xludf.DUMMYFUNCTION("""COMPUTED_VALUE"""),"セックスも練習が必要だ！〜ただいまレッスン中〜【タテヨミ】")</f>
        <v>セックスも練習が必要だ！〜ただいまレッスン中〜【タテヨミ】</v>
      </c>
      <c r="G5586" s="20" t="str">
        <f>IFERROR(__xludf.DUMMYFUNCTION("""COMPUTED_VALUE"""),"1~29")</f>
        <v>1~29</v>
      </c>
      <c r="H5586" s="22" t="str">
        <f>IFERROR(__xludf.DUMMYFUNCTION("""COMPUTED_VALUE"""),"JIMUN")</f>
        <v>JIMUN</v>
      </c>
      <c r="I5586" s="22" t="str">
        <f>IFERROR(__xludf.DUMMYFUNCTION("""COMPUTED_VALUE"""),"BL")</f>
        <v>BL</v>
      </c>
      <c r="J5586" s="22"/>
      <c r="K5586" s="22"/>
      <c r="L5586" s="22" t="str">
        <f>IFERROR(__xludf.DUMMYFUNCTION("""COMPUTED_VALUE"""),"レジンエンターテインメント")</f>
        <v>レジンエンターテインメント</v>
      </c>
      <c r="M5586" s="33">
        <f>IFERROR(__xludf.DUMMYFUNCTION("""COMPUTED_VALUE"""),46234.0)</f>
        <v>46234</v>
      </c>
      <c r="N5586" s="33">
        <f>IFERROR(__xludf.DUMMYFUNCTION("""COMPUTED_VALUE"""),46326.0)</f>
        <v>46326</v>
      </c>
      <c r="O5586" s="20" t="str">
        <f>IFERROR(__xludf.DUMMYFUNCTION("""COMPUTED_VALUE"""),"【アダルト作品扱い】")</f>
        <v>【アダルト作品扱い】</v>
      </c>
      <c r="P5586" s="32" t="str">
        <f>IFERROR(__xludf.DUMMYFUNCTION("""COMPUTED_VALUE"""),"可")</f>
        <v>可</v>
      </c>
      <c r="Q5586" s="30" t="str">
        <f>IFERROR(__xludf.DUMMYFUNCTION("""COMPUTED_VALUE"""),"タイトル名とフォルダ名が異なりますが「20260623_レジンエンターテインメント_lovepractice」の素材をご使用いただいて問題ございません。")</f>
        <v>タイトル名とフォルダ名が異なりますが「20260623_レジンエンターテインメント_lovepractice」の素材をご使用いただいて問題ございません。</v>
      </c>
      <c r="R5586" s="22"/>
      <c r="S5586" s="22" t="str">
        <f>IFERROR(__xludf.DUMMYFUNCTION("""COMPUTED_VALUE"""),"20260623_レジンエンターテインメント_lovepractice")</f>
        <v>20260623_レジンエンターテインメント_lovepractice</v>
      </c>
      <c r="T5586" s="22" t="str">
        <f>IFERROR(__xludf.DUMMYFUNCTION("""COMPUTED_VALUE"""),"格納済み")</f>
        <v>格納済み</v>
      </c>
      <c r="U5586" s="9" t="str">
        <f>IFERROR(__xludf.DUMMYFUNCTION("""COMPUTED_VALUE"""),"Ⓒ  JIMUN / レジンエンターテインメント")</f>
        <v>Ⓒ  JIMUN / レジンエンターテインメント</v>
      </c>
      <c r="V5586" s="8"/>
      <c r="W5586" s="8"/>
      <c r="X5586" s="8"/>
      <c r="Y5586" s="8"/>
      <c r="Z5586" s="7"/>
      <c r="AA5586" s="7"/>
      <c r="AB5586" s="7"/>
    </row>
    <row r="5587" ht="15.75" customHeight="1">
      <c r="A5587" s="26">
        <f>IFERROR(__xludf.DUMMYFUNCTION("""COMPUTED_VALUE"""),8385.0)</f>
        <v>8385</v>
      </c>
      <c r="B5587" s="22" t="str">
        <f>IFERROR(__xludf.DUMMYFUNCTION("""COMPUTED_VALUE"""),"確定")</f>
        <v>確定</v>
      </c>
      <c r="C5587" s="28">
        <f>IFERROR(__xludf.DUMMYFUNCTION("""COMPUTED_VALUE"""),46203.0)</f>
        <v>46203</v>
      </c>
      <c r="D5587" s="28">
        <f>IFERROR(__xludf.DUMMYFUNCTION("""COMPUTED_VALUE"""),46206.0)</f>
        <v>46206</v>
      </c>
      <c r="E5587" s="26"/>
      <c r="F5587" s="22" t="str">
        <f>IFERROR(__xludf.DUMMYFUNCTION("""COMPUTED_VALUE"""),"ペアブロッサム・ラブ〜キスマークの犯人は誰？〜【タテヨミ】")</f>
        <v>ペアブロッサム・ラブ〜キスマークの犯人は誰？〜【タテヨミ】</v>
      </c>
      <c r="G5587" s="20" t="str">
        <f>IFERROR(__xludf.DUMMYFUNCTION("""COMPUTED_VALUE"""),"1~51")</f>
        <v>1~51</v>
      </c>
      <c r="H5587" s="22" t="str">
        <f>IFERROR(__xludf.DUMMYFUNCTION("""COMPUTED_VALUE"""),"wedge")</f>
        <v>wedge</v>
      </c>
      <c r="I5587" s="22" t="str">
        <f>IFERROR(__xludf.DUMMYFUNCTION("""COMPUTED_VALUE"""),"BL")</f>
        <v>BL</v>
      </c>
      <c r="J5587" s="22"/>
      <c r="K5587" s="22"/>
      <c r="L5587" s="22" t="str">
        <f>IFERROR(__xludf.DUMMYFUNCTION("""COMPUTED_VALUE"""),"レジンエンターテインメント")</f>
        <v>レジンエンターテインメント</v>
      </c>
      <c r="M5587" s="33">
        <f>IFERROR(__xludf.DUMMYFUNCTION("""COMPUTED_VALUE"""),46234.0)</f>
        <v>46234</v>
      </c>
      <c r="N5587" s="33">
        <f>IFERROR(__xludf.DUMMYFUNCTION("""COMPUTED_VALUE"""),46326.0)</f>
        <v>46326</v>
      </c>
      <c r="O5587" s="20"/>
      <c r="P5587" s="32" t="str">
        <f>IFERROR(__xludf.DUMMYFUNCTION("""COMPUTED_VALUE"""),"可")</f>
        <v>可</v>
      </c>
      <c r="Q5587" s="30" t="str">
        <f>IFERROR(__xludf.DUMMYFUNCTION("""COMPUTED_VALUE"""),"1~30巻の素材で広告制作お願いいたします。&lt;BR&gt;")</f>
        <v>1~30巻の素材で広告制作お願いいたします。&lt;BR&gt;</v>
      </c>
      <c r="R5587" s="22"/>
      <c r="S5587" s="22" t="str">
        <f>IFERROR(__xludf.DUMMYFUNCTION("""COMPUTED_VALUE"""),"20260624_レジンエンターテインメント_pear_blossom")</f>
        <v>20260624_レジンエンターテインメント_pear_blossom</v>
      </c>
      <c r="T5587" s="22" t="str">
        <f>IFERROR(__xludf.DUMMYFUNCTION("""COMPUTED_VALUE"""),"格納済み")</f>
        <v>格納済み</v>
      </c>
      <c r="U5587" s="9" t="str">
        <f>IFERROR(__xludf.DUMMYFUNCTION("""COMPUTED_VALUE"""),"Ⓒ  wedge / レジンエンターテインメント")</f>
        <v>Ⓒ  wedge / レジンエンターテインメント</v>
      </c>
      <c r="V5587" s="8"/>
      <c r="W5587" s="8"/>
      <c r="X5587" s="8"/>
      <c r="Y5587" s="8"/>
      <c r="Z5587" s="7"/>
      <c r="AA5587" s="7"/>
      <c r="AB5587" s="7"/>
    </row>
    <row r="5588" ht="15.75" customHeight="1">
      <c r="A5588" s="26">
        <f>IFERROR(__xludf.DUMMYFUNCTION("""COMPUTED_VALUE"""),8394.0)</f>
        <v>8394</v>
      </c>
      <c r="B5588" s="22" t="str">
        <f>IFERROR(__xludf.DUMMYFUNCTION("""COMPUTED_VALUE"""),"確定")</f>
        <v>確定</v>
      </c>
      <c r="C5588" s="28">
        <f>IFERROR(__xludf.DUMMYFUNCTION("""COMPUTED_VALUE"""),46204.0)</f>
        <v>46204</v>
      </c>
      <c r="D5588" s="28">
        <f>IFERROR(__xludf.DUMMYFUNCTION("""COMPUTED_VALUE"""),46206.0)</f>
        <v>46206</v>
      </c>
      <c r="E5588" s="26"/>
      <c r="F5588" s="22" t="str">
        <f>IFERROR(__xludf.DUMMYFUNCTION("""COMPUTED_VALUE"""),"一度壊れたものは、元には戻りませんよ。")</f>
        <v>一度壊れたものは、元には戻りませんよ。</v>
      </c>
      <c r="G5588" s="20">
        <f>IFERROR(__xludf.DUMMYFUNCTION("""COMPUTED_VALUE"""),1.0)</f>
        <v>1</v>
      </c>
      <c r="H5588" s="22" t="str">
        <f>IFERROR(__xludf.DUMMYFUNCTION("""COMPUTED_VALUE"""),"ゆずもと/辺野夏子")</f>
        <v>ゆずもと/辺野夏子</v>
      </c>
      <c r="I5588" s="22" t="str">
        <f>IFERROR(__xludf.DUMMYFUNCTION("""COMPUTED_VALUE"""),"女性")</f>
        <v>女性</v>
      </c>
      <c r="J5588" s="22"/>
      <c r="K5588" s="22"/>
      <c r="L5588" s="22" t="str">
        <f>IFERROR(__xludf.DUMMYFUNCTION("""COMPUTED_VALUE"""),"風濤社（futohsha）")</f>
        <v>風濤社（futohsha）</v>
      </c>
      <c r="M5588" s="33">
        <f>IFERROR(__xludf.DUMMYFUNCTION("""COMPUTED_VALUE"""),46248.0)</f>
        <v>46248</v>
      </c>
      <c r="N5588" s="33">
        <f>IFERROR(__xludf.DUMMYFUNCTION("""COMPUTED_VALUE"""),46279.0)</f>
        <v>46279</v>
      </c>
      <c r="O5588" s="20"/>
      <c r="P5588" s="32" t="str">
        <f>IFERROR(__xludf.DUMMYFUNCTION("""COMPUTED_VALUE"""),"可")</f>
        <v>可</v>
      </c>
      <c r="Q5588" s="30"/>
      <c r="R5588" s="22"/>
      <c r="S5588" s="22" t="str">
        <f>IFERROR(__xludf.DUMMYFUNCTION("""COMPUTED_VALUE"""),"20260629_風濤社_一度壊れたものは、元には戻りませんよ。")</f>
        <v>20260629_風濤社_一度壊れたものは、元には戻りませんよ。</v>
      </c>
      <c r="T5588" s="22" t="str">
        <f>IFERROR(__xludf.DUMMYFUNCTION("""COMPUTED_VALUE"""),"格納済み")</f>
        <v>格納済み</v>
      </c>
      <c r="U5588" s="9" t="str">
        <f>IFERROR(__xludf.DUMMYFUNCTION("""COMPUTED_VALUE"""),"Ⓒゆずもと・辺野夏子/Eylie")</f>
        <v>Ⓒゆずもと・辺野夏子/Eylie</v>
      </c>
      <c r="V5588" s="8"/>
      <c r="W5588" s="8"/>
      <c r="X5588" s="8"/>
      <c r="Y5588" s="8"/>
      <c r="Z5588" s="7"/>
      <c r="AA5588" s="7"/>
      <c r="AB5588" s="7"/>
    </row>
    <row r="5589" ht="15.75" customHeight="1">
      <c r="A5589" s="26">
        <f>IFERROR(__xludf.DUMMYFUNCTION("""COMPUTED_VALUE"""),8403.0)</f>
        <v>8403</v>
      </c>
      <c r="B5589" s="22" t="str">
        <f>IFERROR(__xludf.DUMMYFUNCTION("""COMPUTED_VALUE"""),"確定")</f>
        <v>確定</v>
      </c>
      <c r="C5589" s="28">
        <f>IFERROR(__xludf.DUMMYFUNCTION("""COMPUTED_VALUE"""),46206.0)</f>
        <v>46206</v>
      </c>
      <c r="D5589" s="28">
        <f>IFERROR(__xludf.DUMMYFUNCTION("""COMPUTED_VALUE"""),46209.0)</f>
        <v>46209</v>
      </c>
      <c r="E5589" s="26"/>
      <c r="F5589" s="22" t="str">
        <f>IFERROR(__xludf.DUMMYFUNCTION("""COMPUTED_VALUE"""),"甘やかさせて、たこ先生［ばら売り］")</f>
        <v>甘やかさせて、たこ先生［ばら売り］</v>
      </c>
      <c r="G5589" s="20" t="str">
        <f>IFERROR(__xludf.DUMMYFUNCTION("""COMPUTED_VALUE"""),"1~4")</f>
        <v>1~4</v>
      </c>
      <c r="H5589" s="22" t="str">
        <f>IFERROR(__xludf.DUMMYFUNCTION("""COMPUTED_VALUE"""),"佐々木")</f>
        <v>佐々木</v>
      </c>
      <c r="I5589" s="22" t="str">
        <f>IFERROR(__xludf.DUMMYFUNCTION("""COMPUTED_VALUE"""),"BL")</f>
        <v>BL</v>
      </c>
      <c r="J5589" s="22"/>
      <c r="K5589" s="22" t="str">
        <f>IFERROR(__xludf.DUMMYFUNCTION("""COMPUTED_VALUE"""),"マンガPark")</f>
        <v>マンガPark</v>
      </c>
      <c r="L5589" s="22" t="str">
        <f>IFERROR(__xludf.DUMMYFUNCTION("""COMPUTED_VALUE"""),"白泉社")</f>
        <v>白泉社</v>
      </c>
      <c r="M5589" s="33">
        <f>IFERROR(__xludf.DUMMYFUNCTION("""COMPUTED_VALUE"""),46242.0)</f>
        <v>46242</v>
      </c>
      <c r="N5589" s="33">
        <f>IFERROR(__xludf.DUMMYFUNCTION("""COMPUTED_VALUE"""),46304.0)</f>
        <v>46304</v>
      </c>
      <c r="O5589" s="20" t="str">
        <f>IFERROR(__xludf.DUMMYFUNCTION("""COMPUTED_VALUE"""),"【アダルト作品扱い】")</f>
        <v>【アダルト作品扱い】</v>
      </c>
      <c r="P5589" s="32" t="str">
        <f>IFERROR(__xludf.DUMMYFUNCTION("""COMPUTED_VALUE"""),"可")</f>
        <v>可</v>
      </c>
      <c r="Q5589" s="30"/>
      <c r="R5589" s="22"/>
      <c r="S5589" s="22" t="str">
        <f>IFERROR(__xludf.DUMMYFUNCTION("""COMPUTED_VALUE"""),"20260630_白泉社_甘やかさせて、たこ先生［ばら売り］")</f>
        <v>20260630_白泉社_甘やかさせて、たこ先生［ばら売り］</v>
      </c>
      <c r="T5589" s="22" t="str">
        <f>IFERROR(__xludf.DUMMYFUNCTION("""COMPUTED_VALUE"""),"格納済み")</f>
        <v>格納済み</v>
      </c>
      <c r="U5589" s="9" t="str">
        <f>IFERROR(__xludf.DUMMYFUNCTION("""COMPUTED_VALUE"""),"（ｃ）佐々木／白泉社")</f>
        <v>（ｃ）佐々木／白泉社</v>
      </c>
      <c r="V5589" s="8"/>
      <c r="W5589" s="8"/>
      <c r="X5589" s="8"/>
      <c r="Y5589" s="8"/>
      <c r="Z5589" s="7"/>
      <c r="AA5589" s="7"/>
      <c r="AB5589" s="7"/>
    </row>
    <row r="5590" ht="15.75" customHeight="1">
      <c r="A5590" s="26">
        <f>IFERROR(__xludf.DUMMYFUNCTION("""COMPUTED_VALUE"""),8404.0)</f>
        <v>8404</v>
      </c>
      <c r="B5590" s="22" t="str">
        <f>IFERROR(__xludf.DUMMYFUNCTION("""COMPUTED_VALUE"""),"確定")</f>
        <v>確定</v>
      </c>
      <c r="C5590" s="28">
        <f>IFERROR(__xludf.DUMMYFUNCTION("""COMPUTED_VALUE"""),46206.0)</f>
        <v>46206</v>
      </c>
      <c r="D5590" s="28">
        <f>IFERROR(__xludf.DUMMYFUNCTION("""COMPUTED_VALUE"""),46209.0)</f>
        <v>46209</v>
      </c>
      <c r="E5590" s="26"/>
      <c r="F5590" s="22" t="str">
        <f>IFERROR(__xludf.DUMMYFUNCTION("""COMPUTED_VALUE"""),"妄想女子の上原さんは初恋中【単話版】")</f>
        <v>妄想女子の上原さんは初恋中【単話版】</v>
      </c>
      <c r="G5590" s="20" t="str">
        <f>IFERROR(__xludf.DUMMYFUNCTION("""COMPUTED_VALUE"""),"1~3")</f>
        <v>1~3</v>
      </c>
      <c r="H5590" s="22" t="str">
        <f>IFERROR(__xludf.DUMMYFUNCTION("""COMPUTED_VALUE"""),"森井暁正・ほとむら")</f>
        <v>森井暁正・ほとむら</v>
      </c>
      <c r="I5590" s="22" t="str">
        <f>IFERROR(__xludf.DUMMYFUNCTION("""COMPUTED_VALUE"""),"青年")</f>
        <v>青年</v>
      </c>
      <c r="J5590" s="22"/>
      <c r="K5590" s="22" t="str">
        <f>IFERROR(__xludf.DUMMYFUNCTION("""COMPUTED_VALUE"""),"GG-COMICS")</f>
        <v>GG-COMICS</v>
      </c>
      <c r="L5590" s="22" t="str">
        <f>IFERROR(__xludf.DUMMYFUNCTION("""COMPUTED_VALUE"""),"CLLENN")</f>
        <v>CLLENN</v>
      </c>
      <c r="M5590" s="33">
        <f>IFERROR(__xludf.DUMMYFUNCTION("""COMPUTED_VALUE"""),46234.0)</f>
        <v>46234</v>
      </c>
      <c r="N5590" s="33">
        <f>IFERROR(__xludf.DUMMYFUNCTION("""COMPUTED_VALUE"""),46296.0)</f>
        <v>46296</v>
      </c>
      <c r="O5590" s="20"/>
      <c r="P5590" s="32" t="str">
        <f>IFERROR(__xludf.DUMMYFUNCTION("""COMPUTED_VALUE"""),"可")</f>
        <v>可</v>
      </c>
      <c r="Q5590" s="30"/>
      <c r="R5590" s="22"/>
      <c r="S5590" s="22" t="str">
        <f>IFERROR(__xludf.DUMMYFUNCTION("""COMPUTED_VALUE"""),"20260703_CLLENN_妄想女子の上原さんは初恋中【単話版】")</f>
        <v>20260703_CLLENN_妄想女子の上原さんは初恋中【単話版】</v>
      </c>
      <c r="T5590" s="22" t="str">
        <f>IFERROR(__xludf.DUMMYFUNCTION("""COMPUTED_VALUE"""),"格納済み")</f>
        <v>格納済み</v>
      </c>
      <c r="U5590" s="9" t="str">
        <f>IFERROR(__xludf.DUMMYFUNCTION("""COMPUTED_VALUE"""),"Ⓒ森井暁正・ほとむら/CLLENN")</f>
        <v>Ⓒ森井暁正・ほとむら/CLLENN</v>
      </c>
      <c r="V5590" s="8"/>
      <c r="W5590" s="8"/>
      <c r="X5590" s="8"/>
      <c r="Y5590" s="8"/>
      <c r="Z5590" s="7"/>
      <c r="AA5590" s="7"/>
      <c r="AB5590" s="7"/>
    </row>
    <row r="5591" ht="15.75" customHeight="1">
      <c r="A5591" s="26">
        <f>IFERROR(__xludf.DUMMYFUNCTION("""COMPUTED_VALUE"""),8405.0)</f>
        <v>8405</v>
      </c>
      <c r="B5591" s="22" t="str">
        <f>IFERROR(__xludf.DUMMYFUNCTION("""COMPUTED_VALUE"""),"確定")</f>
        <v>確定</v>
      </c>
      <c r="C5591" s="28">
        <f>IFERROR(__xludf.DUMMYFUNCTION("""COMPUTED_VALUE"""),46206.0)</f>
        <v>46206</v>
      </c>
      <c r="D5591" s="28">
        <f>IFERROR(__xludf.DUMMYFUNCTION("""COMPUTED_VALUE"""),46211.0)</f>
        <v>46211</v>
      </c>
      <c r="E5591" s="26"/>
      <c r="F5591" s="22" t="str">
        <f>IFERROR(__xludf.DUMMYFUNCTION("""COMPUTED_VALUE"""),"逆行したからには必ずあなたに復讐します")</f>
        <v>逆行したからには必ずあなたに復讐します</v>
      </c>
      <c r="G5591" s="20">
        <f>IFERROR(__xludf.DUMMYFUNCTION("""COMPUTED_VALUE"""),1.0)</f>
        <v>1</v>
      </c>
      <c r="H5591" s="22" t="str">
        <f>IFERROR(__xludf.DUMMYFUNCTION("""COMPUTED_VALUE"""),"森夜ユカ/笛路")</f>
        <v>森夜ユカ/笛路</v>
      </c>
      <c r="I5591" s="22" t="str">
        <f>IFERROR(__xludf.DUMMYFUNCTION("""COMPUTED_VALUE"""),"女性")</f>
        <v>女性</v>
      </c>
      <c r="J5591" s="22"/>
      <c r="K5591" s="22"/>
      <c r="L5591" s="22" t="str">
        <f>IFERROR(__xludf.DUMMYFUNCTION("""COMPUTED_VALUE"""),"風濤社（futohsha）")</f>
        <v>風濤社（futohsha）</v>
      </c>
      <c r="M5591" s="33">
        <f>IFERROR(__xludf.DUMMYFUNCTION("""COMPUTED_VALUE"""),46248.0)</f>
        <v>46248</v>
      </c>
      <c r="N5591" s="33">
        <f>IFERROR(__xludf.DUMMYFUNCTION("""COMPUTED_VALUE"""),46279.0)</f>
        <v>46279</v>
      </c>
      <c r="O5591" s="20"/>
      <c r="P5591" s="32" t="str">
        <f>IFERROR(__xludf.DUMMYFUNCTION("""COMPUTED_VALUE"""),"可")</f>
        <v>可</v>
      </c>
      <c r="Q5591" s="30"/>
      <c r="R5591" s="22"/>
      <c r="S5591" s="22" t="str">
        <f>IFERROR(__xludf.DUMMYFUNCTION("""COMPUTED_VALUE"""),"20260629_風濤社_逆行したからには必ずあなたに復讐します")</f>
        <v>20260629_風濤社_逆行したからには必ずあなたに復讐します</v>
      </c>
      <c r="T5591" s="22" t="str">
        <f>IFERROR(__xludf.DUMMYFUNCTION("""COMPUTED_VALUE"""),"格納済み")</f>
        <v>格納済み</v>
      </c>
      <c r="U5591" s="9" t="str">
        <f>IFERROR(__xludf.DUMMYFUNCTION("""COMPUTED_VALUE"""),"Ⓒ森夜ユカ・笛路/Eylie")</f>
        <v>Ⓒ森夜ユカ・笛路/Eylie</v>
      </c>
      <c r="V5591" s="8"/>
      <c r="W5591" s="8"/>
      <c r="X5591" s="8"/>
      <c r="Y5591" s="8"/>
      <c r="Z5591" s="7"/>
      <c r="AA5591" s="7"/>
      <c r="AB5591" s="7"/>
    </row>
    <row r="5592" ht="15.75" customHeight="1">
      <c r="A5592" s="26">
        <f>IFERROR(__xludf.DUMMYFUNCTION("""COMPUTED_VALUE"""),8407.0)</f>
        <v>8407</v>
      </c>
      <c r="B5592" s="22" t="str">
        <f>IFERROR(__xludf.DUMMYFUNCTION("""COMPUTED_VALUE"""),"確定")</f>
        <v>確定</v>
      </c>
      <c r="C5592" s="28">
        <f>IFERROR(__xludf.DUMMYFUNCTION("""COMPUTED_VALUE"""),46209.0)</f>
        <v>46209</v>
      </c>
      <c r="D5592" s="28">
        <f>IFERROR(__xludf.DUMMYFUNCTION("""COMPUTED_VALUE"""),46211.0)</f>
        <v>46211</v>
      </c>
      <c r="E5592" s="26"/>
      <c r="F5592" s="22" t="str">
        <f>IFERROR(__xludf.DUMMYFUNCTION("""COMPUTED_VALUE"""),"やさぐれ男、異世界で色悪騎士が愛する王子の身代わりとなる")</f>
        <v>やさぐれ男、異世界で色悪騎士が愛する王子の身代わりとなる</v>
      </c>
      <c r="G5592" s="20" t="str">
        <f>IFERROR(__xludf.DUMMYFUNCTION("""COMPUTED_VALUE"""),"1~2")</f>
        <v>1~2</v>
      </c>
      <c r="H5592" s="22" t="str">
        <f>IFERROR(__xludf.DUMMYFUNCTION("""COMPUTED_VALUE"""),"不破希海┴小中大豆┴奈良千春")</f>
        <v>不破希海┴小中大豆┴奈良千春</v>
      </c>
      <c r="I5592" s="22" t="str">
        <f>IFERROR(__xludf.DUMMYFUNCTION("""COMPUTED_VALUE"""),"BL")</f>
        <v>BL</v>
      </c>
      <c r="J5592" s="22"/>
      <c r="K5592" s="22"/>
      <c r="L5592" s="22" t="str">
        <f>IFERROR(__xludf.DUMMYFUNCTION("""COMPUTED_VALUE"""),"二見書房")</f>
        <v>二見書房</v>
      </c>
      <c r="M5592" s="33">
        <f>IFERROR(__xludf.DUMMYFUNCTION("""COMPUTED_VALUE"""),46262.0)</f>
        <v>46262</v>
      </c>
      <c r="N5592" s="33">
        <f>IFERROR(__xludf.DUMMYFUNCTION("""COMPUTED_VALUE"""),46317.0)</f>
        <v>46317</v>
      </c>
      <c r="O5592" s="20"/>
      <c r="P5592" s="32" t="str">
        <f>IFERROR(__xludf.DUMMYFUNCTION("""COMPUTED_VALUE"""),"可")</f>
        <v>可</v>
      </c>
      <c r="Q5592" s="30" t="str">
        <f>IFERROR(__xludf.DUMMYFUNCTION("""COMPUTED_VALUE"""),"3話：10/23～12/24 　4話：12/25～2027/2/25 （素材は「続刊データ」として格納済み）")</f>
        <v>3話：10/23～12/24 　4話：12/25～2027/2/25 （素材は「続刊データ」として格納済み）</v>
      </c>
      <c r="R5592" s="22"/>
      <c r="S5592" s="22" t="str">
        <f>IFERROR(__xludf.DUMMYFUNCTION("""COMPUTED_VALUE"""),"20260703_二見書房_やさぐれ男、異世界で色悪騎士が愛する王子の身代わりとなる")</f>
        <v>20260703_二見書房_やさぐれ男、異世界で色悪騎士が愛する王子の身代わりとなる</v>
      </c>
      <c r="T5592" s="22" t="str">
        <f>IFERROR(__xludf.DUMMYFUNCTION("""COMPUTED_VALUE"""),"格納済み")</f>
        <v>格納済み</v>
      </c>
      <c r="U5592" s="9" t="str">
        <f>IFERROR(__xludf.DUMMYFUNCTION("""COMPUTED_VALUE"""),"Ⓒ不破希海・小中大豆・奈良千春／二見書房")</f>
        <v>Ⓒ不破希海・小中大豆・奈良千春／二見書房</v>
      </c>
      <c r="V5592" s="8"/>
      <c r="W5592" s="8"/>
      <c r="X5592" s="8"/>
      <c r="Y5592" s="8"/>
      <c r="Z5592" s="7"/>
      <c r="AA5592" s="7"/>
      <c r="AB5592" s="7"/>
    </row>
    <row r="5593" ht="15.75" customHeight="1">
      <c r="A5593" s="26">
        <f>IFERROR(__xludf.DUMMYFUNCTION("""COMPUTED_VALUE"""),8408.0)</f>
        <v>8408</v>
      </c>
      <c r="B5593" s="22" t="str">
        <f>IFERROR(__xludf.DUMMYFUNCTION("""COMPUTED_VALUE"""),"確定")</f>
        <v>確定</v>
      </c>
      <c r="C5593" s="28">
        <f>IFERROR(__xludf.DUMMYFUNCTION("""COMPUTED_VALUE"""),46209.0)</f>
        <v>46209</v>
      </c>
      <c r="D5593" s="28">
        <f>IFERROR(__xludf.DUMMYFUNCTION("""COMPUTED_VALUE"""),46210.0)</f>
        <v>46210</v>
      </c>
      <c r="E5593" s="26"/>
      <c r="F5593" s="22" t="str">
        <f>IFERROR(__xludf.DUMMYFUNCTION("""COMPUTED_VALUE"""),"裏垢お兄さんにめちゃくちゃされる話【R版】")</f>
        <v>裏垢お兄さんにめちゃくちゃされる話【R版】</v>
      </c>
      <c r="G5593" s="20" t="str">
        <f>IFERROR(__xludf.DUMMYFUNCTION("""COMPUTED_VALUE"""),"1～2")</f>
        <v>1～2</v>
      </c>
      <c r="H5593" s="22" t="str">
        <f>IFERROR(__xludf.DUMMYFUNCTION("""COMPUTED_VALUE"""),"あまつじ")</f>
        <v>あまつじ</v>
      </c>
      <c r="I5593" s="22" t="str">
        <f>IFERROR(__xludf.DUMMYFUNCTION("""COMPUTED_VALUE"""),"アダルト")</f>
        <v>アダルト</v>
      </c>
      <c r="J5593" s="22"/>
      <c r="K5593" s="22" t="str">
        <f>IFERROR(__xludf.DUMMYFUNCTION("""COMPUTED_VALUE"""),"＠夜噺+")</f>
        <v>＠夜噺+</v>
      </c>
      <c r="L5593" s="22" t="str">
        <f>IFERROR(__xludf.DUMMYFUNCTION("""COMPUTED_VALUE"""),"DEEPER-ZERO")</f>
        <v>DEEPER-ZERO</v>
      </c>
      <c r="M5593" s="33">
        <f>IFERROR(__xludf.DUMMYFUNCTION("""COMPUTED_VALUE"""),46254.0)</f>
        <v>46254</v>
      </c>
      <c r="N5593" s="33">
        <f>IFERROR(__xludf.DUMMYFUNCTION("""COMPUTED_VALUE"""),46281.0)</f>
        <v>46281</v>
      </c>
      <c r="O5593" s="20"/>
      <c r="P5593" s="32" t="str">
        <f>IFERROR(__xludf.DUMMYFUNCTION("""COMPUTED_VALUE"""),"可")</f>
        <v>可</v>
      </c>
      <c r="Q5593" s="30" t="str">
        <f>IFERROR(__xludf.DUMMYFUNCTION("""COMPUTED_VALUE"""),"※幼く見えるようなクリエイティブ制作はNGです※&lt;BR&gt;TL版も配信予定です。&lt;BR&gt;")</f>
        <v>※幼く見えるようなクリエイティブ制作はNGです※&lt;BR&gt;TL版も配信予定です。&lt;BR&gt;</v>
      </c>
      <c r="R5593" s="22"/>
      <c r="S5593" s="22" t="str">
        <f>IFERROR(__xludf.DUMMYFUNCTION("""COMPUTED_VALUE"""),"20260706_DEEPER-ZERO_裏垢お兄さんにめちゃくちゃされる話【R版】")</f>
        <v>20260706_DEEPER-ZERO_裏垢お兄さんにめちゃくちゃされる話【R版】</v>
      </c>
      <c r="T5593" s="22" t="str">
        <f>IFERROR(__xludf.DUMMYFUNCTION("""COMPUTED_VALUE"""),"格納済み")</f>
        <v>格納済み</v>
      </c>
      <c r="U5593" s="9" t="str">
        <f>IFERROR(__xludf.DUMMYFUNCTION("""COMPUTED_VALUE"""),"Ⓒあまつじ/DEEPER-ZERO")</f>
        <v>Ⓒあまつじ/DEEPER-ZERO</v>
      </c>
      <c r="V5593" s="8"/>
      <c r="W5593" s="8"/>
      <c r="X5593" s="8"/>
      <c r="Y5593" s="8"/>
      <c r="Z5593" s="7"/>
      <c r="AA5593" s="7"/>
      <c r="AB5593" s="7"/>
    </row>
    <row r="5594" ht="15.75" customHeight="1">
      <c r="A5594" s="26">
        <f>IFERROR(__xludf.DUMMYFUNCTION("""COMPUTED_VALUE"""),8410.0)</f>
        <v>8410</v>
      </c>
      <c r="B5594" s="22" t="str">
        <f>IFERROR(__xludf.DUMMYFUNCTION("""COMPUTED_VALUE"""),"確定")</f>
        <v>確定</v>
      </c>
      <c r="C5594" s="28">
        <f>IFERROR(__xludf.DUMMYFUNCTION("""COMPUTED_VALUE"""),46209.0)</f>
        <v>46209</v>
      </c>
      <c r="D5594" s="28">
        <f>IFERROR(__xludf.DUMMYFUNCTION("""COMPUTED_VALUE"""),46211.0)</f>
        <v>46211</v>
      </c>
      <c r="E5594" s="26"/>
      <c r="F5594" s="22" t="str">
        <f>IFERROR(__xludf.DUMMYFUNCTION("""COMPUTED_VALUE"""),"【単話版】妹よ、その侯爵家令息は間諜です@COMIC")</f>
        <v>【単話版】妹よ、その侯爵家令息は間諜です@COMIC</v>
      </c>
      <c r="G5594" s="20" t="str">
        <f>IFERROR(__xludf.DUMMYFUNCTION("""COMPUTED_VALUE"""),"1~4")</f>
        <v>1~4</v>
      </c>
      <c r="H5594" s="22" t="str">
        <f>IFERROR(__xludf.DUMMYFUNCTION("""COMPUTED_VALUE"""),"椎名論/ユタニ")</f>
        <v>椎名論/ユタニ</v>
      </c>
      <c r="I5594" s="22" t="str">
        <f>IFERROR(__xludf.DUMMYFUNCTION("""COMPUTED_VALUE"""),"少女")</f>
        <v>少女</v>
      </c>
      <c r="J5594" s="22"/>
      <c r="K5594" s="22" t="str">
        <f>IFERROR(__xludf.DUMMYFUNCTION("""COMPUTED_VALUE"""),"Celicaコミックス")</f>
        <v>Celicaコミックス</v>
      </c>
      <c r="L5594" s="22" t="str">
        <f>IFERROR(__xludf.DUMMYFUNCTION("""COMPUTED_VALUE"""),"TOブックス")</f>
        <v>TOブックス</v>
      </c>
      <c r="M5594" s="33">
        <f>IFERROR(__xludf.DUMMYFUNCTION("""COMPUTED_VALUE"""),46235.0)</f>
        <v>46235</v>
      </c>
      <c r="N5594" s="33">
        <f>IFERROR(__xludf.DUMMYFUNCTION("""COMPUTED_VALUE"""),46295.0)</f>
        <v>46295</v>
      </c>
      <c r="O5594" s="20"/>
      <c r="P5594" s="32" t="str">
        <f>IFERROR(__xludf.DUMMYFUNCTION("""COMPUTED_VALUE"""),"否")</f>
        <v>否</v>
      </c>
      <c r="Q5594" s="30"/>
      <c r="R5594" s="22"/>
      <c r="S5594" s="22" t="str">
        <f>IFERROR(__xludf.DUMMYFUNCTION("""COMPUTED_VALUE"""),"20260701_TOブックス_妹よ、その侯爵家令息は間諜です＠COMIC")</f>
        <v>20260701_TOブックス_妹よ、その侯爵家令息は間諜です＠COMIC</v>
      </c>
      <c r="T5594" s="22" t="str">
        <f>IFERROR(__xludf.DUMMYFUNCTION("""COMPUTED_VALUE"""),"格納済み")</f>
        <v>格納済み</v>
      </c>
      <c r="U5594" s="9" t="str">
        <f>IFERROR(__xludf.DUMMYFUNCTION("""COMPUTED_VALUE"""),"(C) Ron Shina / Yutani")</f>
        <v>(C) Ron Shina / Yutani</v>
      </c>
      <c r="V5594" s="8"/>
      <c r="W5594" s="8"/>
      <c r="X5594" s="8"/>
      <c r="Y5594" s="8"/>
      <c r="Z5594" s="7"/>
      <c r="AA5594" s="7"/>
      <c r="AB5594" s="7"/>
    </row>
    <row r="5595" ht="15.75" customHeight="1">
      <c r="A5595" s="26">
        <f>IFERROR(__xludf.DUMMYFUNCTION("""COMPUTED_VALUE"""),8411.0)</f>
        <v>8411</v>
      </c>
      <c r="B5595" s="22" t="str">
        <f>IFERROR(__xludf.DUMMYFUNCTION("""COMPUTED_VALUE"""),"確定")</f>
        <v>確定</v>
      </c>
      <c r="C5595" s="28">
        <f>IFERROR(__xludf.DUMMYFUNCTION("""COMPUTED_VALUE"""),46209.0)</f>
        <v>46209</v>
      </c>
      <c r="D5595" s="28">
        <f>IFERROR(__xludf.DUMMYFUNCTION("""COMPUTED_VALUE"""),46209.0)</f>
        <v>46209</v>
      </c>
      <c r="E5595" s="26"/>
      <c r="F5595" s="22" t="str">
        <f>IFERROR(__xludf.DUMMYFUNCTION("""COMPUTED_VALUE"""),"魔力ゼロの身代わり花嫁 ～触れてはいけない“あなた”が最愛になるまで～")</f>
        <v>魔力ゼロの身代わり花嫁 ～触れてはいけない“あなた”が最愛になるまで～</v>
      </c>
      <c r="G5595" s="20" t="str">
        <f>IFERROR(__xludf.DUMMYFUNCTION("""COMPUTED_VALUE"""),"1~6")</f>
        <v>1~6</v>
      </c>
      <c r="H5595" s="22" t="str">
        <f>IFERROR(__xludf.DUMMYFUNCTION("""COMPUTED_VALUE"""),"三沢ケイ・よくねる")</f>
        <v>三沢ケイ・よくねる</v>
      </c>
      <c r="I5595" s="22" t="str">
        <f>IFERROR(__xludf.DUMMYFUNCTION("""COMPUTED_VALUE"""),"少女")</f>
        <v>少女</v>
      </c>
      <c r="J5595" s="22"/>
      <c r="K5595" s="22" t="str">
        <f>IFERROR(__xludf.DUMMYFUNCTION("""COMPUTED_VALUE"""),"echo")</f>
        <v>echo</v>
      </c>
      <c r="L5595" s="22" t="str">
        <f>IFERROR(__xludf.DUMMYFUNCTION("""COMPUTED_VALUE"""),"一迅社")</f>
        <v>一迅社</v>
      </c>
      <c r="M5595" s="33">
        <f>IFERROR(__xludf.DUMMYFUNCTION("""COMPUTED_VALUE"""),46241.0)</f>
        <v>46241</v>
      </c>
      <c r="N5595" s="33">
        <f>IFERROR(__xludf.DUMMYFUNCTION("""COMPUTED_VALUE"""),46331.0)</f>
        <v>46331</v>
      </c>
      <c r="O5595" s="20"/>
      <c r="P5595" s="32" t="str">
        <f>IFERROR(__xludf.DUMMYFUNCTION("""COMPUTED_VALUE"""),"可")</f>
        <v>可</v>
      </c>
      <c r="Q5595" s="30"/>
      <c r="R5595" s="22"/>
      <c r="S5595" s="22" t="str">
        <f>IFERROR(__xludf.DUMMYFUNCTION("""COMPUTED_VALUE"""),"20260703_一迅社_魔力ゼロの身代わり花嫁_協業")</f>
        <v>20260703_一迅社_魔力ゼロの身代わり花嫁_協業</v>
      </c>
      <c r="T5595" s="22" t="str">
        <f>IFERROR(__xludf.DUMMYFUNCTION("""COMPUTED_VALUE"""),"格納済み")</f>
        <v>格納済み</v>
      </c>
      <c r="U5595" s="9" t="str">
        <f>IFERROR(__xludf.DUMMYFUNCTION("""COMPUTED_VALUE"""),"Ⓒ三沢ケイ・よくねる／一迅社")</f>
        <v>Ⓒ三沢ケイ・よくねる／一迅社</v>
      </c>
      <c r="V5595" s="8"/>
      <c r="W5595" s="8"/>
      <c r="X5595" s="8"/>
      <c r="Y5595" s="8"/>
      <c r="Z5595" s="7"/>
      <c r="AA5595" s="7"/>
      <c r="AB5595" s="7"/>
    </row>
    <row r="5596" ht="15.75" customHeight="1">
      <c r="A5596" s="26">
        <f>IFERROR(__xludf.DUMMYFUNCTION("""COMPUTED_VALUE"""),8412.0)</f>
        <v>8412</v>
      </c>
      <c r="B5596" s="22" t="str">
        <f>IFERROR(__xludf.DUMMYFUNCTION("""COMPUTED_VALUE"""),"確定")</f>
        <v>確定</v>
      </c>
      <c r="C5596" s="28">
        <f>IFERROR(__xludf.DUMMYFUNCTION("""COMPUTED_VALUE"""),46209.0)</f>
        <v>46209</v>
      </c>
      <c r="D5596" s="28">
        <f>IFERROR(__xludf.DUMMYFUNCTION("""COMPUTED_VALUE"""),46209.0)</f>
        <v>46209</v>
      </c>
      <c r="E5596" s="26"/>
      <c r="F5596" s="22" t="str">
        <f>IFERROR(__xludf.DUMMYFUNCTION("""COMPUTED_VALUE"""),"闇大公様を攻略します！")</f>
        <v>闇大公様を攻略します！</v>
      </c>
      <c r="G5596" s="20" t="str">
        <f>IFERROR(__xludf.DUMMYFUNCTION("""COMPUTED_VALUE"""),"1~6")</f>
        <v>1~6</v>
      </c>
      <c r="H5596" s="22" t="str">
        <f>IFERROR(__xludf.DUMMYFUNCTION("""COMPUTED_VALUE"""),"夏みのる・猫林")</f>
        <v>夏みのる・猫林</v>
      </c>
      <c r="I5596" s="22" t="str">
        <f>IFERROR(__xludf.DUMMYFUNCTION("""COMPUTED_VALUE"""),"女性")</f>
        <v>女性</v>
      </c>
      <c r="J5596" s="22"/>
      <c r="K5596" s="22" t="str">
        <f>IFERROR(__xludf.DUMMYFUNCTION("""COMPUTED_VALUE"""),"echo")</f>
        <v>echo</v>
      </c>
      <c r="L5596" s="22" t="str">
        <f>IFERROR(__xludf.DUMMYFUNCTION("""COMPUTED_VALUE"""),"一迅社")</f>
        <v>一迅社</v>
      </c>
      <c r="M5596" s="33">
        <f>IFERROR(__xludf.DUMMYFUNCTION("""COMPUTED_VALUE"""),46241.0)</f>
        <v>46241</v>
      </c>
      <c r="N5596" s="33">
        <f>IFERROR(__xludf.DUMMYFUNCTION("""COMPUTED_VALUE"""),46331.0)</f>
        <v>46331</v>
      </c>
      <c r="O5596" s="20"/>
      <c r="P5596" s="32" t="str">
        <f>IFERROR(__xludf.DUMMYFUNCTION("""COMPUTED_VALUE"""),"可")</f>
        <v>可</v>
      </c>
      <c r="Q5596" s="30"/>
      <c r="R5596" s="22"/>
      <c r="S5596" s="22" t="str">
        <f>IFERROR(__xludf.DUMMYFUNCTION("""COMPUTED_VALUE"""),"20260703_一迅社_闇大公様を攻略します！_協業")</f>
        <v>20260703_一迅社_闇大公様を攻略します！_協業</v>
      </c>
      <c r="T5596" s="22" t="str">
        <f>IFERROR(__xludf.DUMMYFUNCTION("""COMPUTED_VALUE"""),"格納済み")</f>
        <v>格納済み</v>
      </c>
      <c r="U5596" s="9" t="str">
        <f>IFERROR(__xludf.DUMMYFUNCTION("""COMPUTED_VALUE"""),"Ⓒ夏みのる・猫林／一迅社")</f>
        <v>Ⓒ夏みのる・猫林／一迅社</v>
      </c>
      <c r="V5596" s="8"/>
      <c r="W5596" s="8"/>
      <c r="X5596" s="8"/>
      <c r="Y5596" s="8"/>
      <c r="Z5596" s="7"/>
      <c r="AA5596" s="7"/>
      <c r="AB5596" s="7"/>
    </row>
    <row r="5597" ht="15.75" customHeight="1">
      <c r="A5597" s="26">
        <f>IFERROR(__xludf.DUMMYFUNCTION("""COMPUTED_VALUE"""),8415.0)</f>
        <v>8415</v>
      </c>
      <c r="B5597" s="22" t="str">
        <f>IFERROR(__xludf.DUMMYFUNCTION("""COMPUTED_VALUE"""),"確定")</f>
        <v>確定</v>
      </c>
      <c r="C5597" s="28">
        <f>IFERROR(__xludf.DUMMYFUNCTION("""COMPUTED_VALUE"""),46210.0)</f>
        <v>46210</v>
      </c>
      <c r="D5597" s="28">
        <f>IFERROR(__xludf.DUMMYFUNCTION("""COMPUTED_VALUE"""),46211.0)</f>
        <v>46211</v>
      </c>
      <c r="E5597" s="26"/>
      <c r="F5597" s="22" t="str">
        <f>IFERROR(__xludf.DUMMYFUNCTION("""COMPUTED_VALUE"""),"裏垢お兄さんにめちゃくちゃされる話")</f>
        <v>裏垢お兄さんにめちゃくちゃされる話</v>
      </c>
      <c r="G5597" s="20" t="str">
        <f>IFERROR(__xludf.DUMMYFUNCTION("""COMPUTED_VALUE"""),"1～2")</f>
        <v>1～2</v>
      </c>
      <c r="H5597" s="22" t="str">
        <f>IFERROR(__xludf.DUMMYFUNCTION("""COMPUTED_VALUE"""),"あまつじ")</f>
        <v>あまつじ</v>
      </c>
      <c r="I5597" s="22" t="str">
        <f>IFERROR(__xludf.DUMMYFUNCTION("""COMPUTED_VALUE"""),"TL")</f>
        <v>TL</v>
      </c>
      <c r="J5597" s="22"/>
      <c r="K5597" s="22" t="str">
        <f>IFERROR(__xludf.DUMMYFUNCTION("""COMPUTED_VALUE"""),"＠夜噺")</f>
        <v>＠夜噺</v>
      </c>
      <c r="L5597" s="22" t="str">
        <f>IFERROR(__xludf.DUMMYFUNCTION("""COMPUTED_VALUE"""),"DEEPER-ZERO")</f>
        <v>DEEPER-ZERO</v>
      </c>
      <c r="M5597" s="33">
        <f>IFERROR(__xludf.DUMMYFUNCTION("""COMPUTED_VALUE"""),46254.0)</f>
        <v>46254</v>
      </c>
      <c r="N5597" s="33">
        <f>IFERROR(__xludf.DUMMYFUNCTION("""COMPUTED_VALUE"""),46281.0)</f>
        <v>46281</v>
      </c>
      <c r="O5597" s="20" t="str">
        <f>IFERROR(__xludf.DUMMYFUNCTION("""COMPUTED_VALUE"""),"【アダルト作品扱い】")</f>
        <v>【アダルト作品扱い】</v>
      </c>
      <c r="P5597" s="32" t="str">
        <f>IFERROR(__xludf.DUMMYFUNCTION("""COMPUTED_VALUE"""),"可")</f>
        <v>可</v>
      </c>
      <c r="Q5597" s="30" t="str">
        <f>IFERROR(__xludf.DUMMYFUNCTION("""COMPUTED_VALUE"""),"※R版同様幼く見えるようなクリエイティブ制作はNG※")</f>
        <v>※R版同様幼く見えるようなクリエイティブ制作はNG※</v>
      </c>
      <c r="R5597" s="22"/>
      <c r="S5597" s="22" t="str">
        <f>IFERROR(__xludf.DUMMYFUNCTION("""COMPUTED_VALUE"""),"20260707_CLLENN_裏垢お兄さんにめちゃくちゃされる話【TL版】")</f>
        <v>20260707_CLLENN_裏垢お兄さんにめちゃくちゃされる話【TL版】</v>
      </c>
      <c r="T5597" s="22" t="str">
        <f>IFERROR(__xludf.DUMMYFUNCTION("""COMPUTED_VALUE"""),"格納済み")</f>
        <v>格納済み</v>
      </c>
      <c r="U5597" s="9" t="str">
        <f>IFERROR(__xludf.DUMMYFUNCTION("""COMPUTED_VALUE"""),"Ⓒあまつじ/DEEPER-ZERO")</f>
        <v>Ⓒあまつじ/DEEPER-ZERO</v>
      </c>
      <c r="V5597" s="8"/>
      <c r="W5597" s="8"/>
      <c r="X5597" s="8"/>
      <c r="Y5597" s="8"/>
      <c r="Z5597" s="7"/>
      <c r="AA5597" s="7"/>
      <c r="AB5597" s="7"/>
    </row>
    <row r="5598" ht="15.75" customHeight="1">
      <c r="A5598" s="26">
        <f>IFERROR(__xludf.DUMMYFUNCTION("""COMPUTED_VALUE"""),7849.0)</f>
        <v>7849</v>
      </c>
      <c r="B5598" s="22" t="str">
        <f>IFERROR(__xludf.DUMMYFUNCTION("""COMPUTED_VALUE"""),"確定")</f>
        <v>確定</v>
      </c>
      <c r="C5598" s="28">
        <f>IFERROR(__xludf.DUMMYFUNCTION("""COMPUTED_VALUE"""),46127.0)</f>
        <v>46127</v>
      </c>
      <c r="D5598" s="28">
        <f>IFERROR(__xludf.DUMMYFUNCTION("""COMPUTED_VALUE"""),46218.0)</f>
        <v>46218</v>
      </c>
      <c r="E5598" s="26">
        <f>IFERROR(__xludf.DUMMYFUNCTION("""COMPUTED_VALUE"""),366298.0)</f>
        <v>366298</v>
      </c>
      <c r="F5598" s="22" t="str">
        <f>IFERROR(__xludf.DUMMYFUNCTION("""COMPUTED_VALUE"""),"策士な窪くんは沼らせたい。ぐちゃぐちゃに乱れて、暴かれSEX")</f>
        <v>策士な窪くんは沼らせたい。ぐちゃぐちゃに乱れて、暴かれSEX</v>
      </c>
      <c r="G5598" s="20" t="str">
        <f>IFERROR(__xludf.DUMMYFUNCTION("""COMPUTED_VALUE"""),"1～2")</f>
        <v>1～2</v>
      </c>
      <c r="H5598" s="22" t="str">
        <f>IFERROR(__xludf.DUMMYFUNCTION("""COMPUTED_VALUE"""),"喃羽ナミコ")</f>
        <v>喃羽ナミコ</v>
      </c>
      <c r="I5598" s="22" t="str">
        <f>IFERROR(__xludf.DUMMYFUNCTION("""COMPUTED_VALUE"""),"TLマンガ")</f>
        <v>TLマンガ</v>
      </c>
      <c r="J5598" s="22"/>
      <c r="K5598" s="22" t="str">
        <f>IFERROR(__xludf.DUMMYFUNCTION("""COMPUTED_VALUE"""),"TL★オトメチカ")</f>
        <v>TL★オトメチカ</v>
      </c>
      <c r="L5598" s="22" t="str">
        <f>IFERROR(__xludf.DUMMYFUNCTION("""COMPUTED_VALUE"""),"CLLENN")</f>
        <v>CLLENN</v>
      </c>
      <c r="M5598" s="33">
        <f>IFERROR(__xludf.DUMMYFUNCTION("""COMPUTED_VALUE"""),46224.0)</f>
        <v>46224</v>
      </c>
      <c r="N5598" s="33">
        <f>IFERROR(__xludf.DUMMYFUNCTION("""COMPUTED_VALUE"""),46286.0)</f>
        <v>46286</v>
      </c>
      <c r="O5598" s="20" t="str">
        <f>IFERROR(__xludf.DUMMYFUNCTION("""COMPUTED_VALUE"""),"【アダルト作品扱い】")</f>
        <v>【アダルト作品扱い】</v>
      </c>
      <c r="P5598" s="32" t="str">
        <f>IFERROR(__xludf.DUMMYFUNCTION("""COMPUTED_VALUE"""),"可")</f>
        <v>可</v>
      </c>
      <c r="Q5598" s="30"/>
      <c r="R5598" s="22" t="str">
        <f>IFERROR(__xludf.DUMMYFUNCTION("""COMPUTED_VALUE"""),"コミットNG")</f>
        <v>コミットNG</v>
      </c>
      <c r="S5598" s="22" t="str">
        <f>IFERROR(__xludf.DUMMYFUNCTION("""COMPUTED_VALUE"""),"20260714_CLLENN_策士な窪くんは沼らせたい。ぐちゃぐちゃに乱れて、暴かれSEX")</f>
        <v>20260714_CLLENN_策士な窪くんは沼らせたい。ぐちゃぐちゃに乱れて、暴かれSEX</v>
      </c>
      <c r="T5598" s="22" t="str">
        <f>IFERROR(__xludf.DUMMYFUNCTION("""COMPUTED_VALUE"""),"格納済み")</f>
        <v>格納済み</v>
      </c>
      <c r="U5598" s="9" t="str">
        <f>IFERROR(__xludf.DUMMYFUNCTION("""COMPUTED_VALUE"""),"Ⓒ喃羽ナミコ/CLLENN")</f>
        <v>Ⓒ喃羽ナミコ/CLLENN</v>
      </c>
      <c r="V5598" s="8"/>
      <c r="W5598" s="8"/>
      <c r="X5598" s="8" t="str">
        <f>IFERROR(__xludf.DUMMYFUNCTION("""COMPUTED_VALUE"""),"有")</f>
        <v>有</v>
      </c>
      <c r="Y5598" s="8" t="str">
        <f>IFERROR(__xludf.DUMMYFUNCTION("""COMPUTED_VALUE"""),"2026/8/3まで1巻p15まで立ち読み増量")</f>
        <v>2026/8/3まで1巻p15まで立ち読み増量</v>
      </c>
      <c r="Z5598" s="7"/>
      <c r="AA5598" s="7"/>
      <c r="AB5598" s="7"/>
    </row>
    <row r="5599" ht="15.75" customHeight="1">
      <c r="A5599" s="26">
        <f>IFERROR(__xludf.DUMMYFUNCTION("""COMPUTED_VALUE"""),7939.0)</f>
        <v>7939</v>
      </c>
      <c r="B5599" s="22" t="str">
        <f>IFERROR(__xludf.DUMMYFUNCTION("""COMPUTED_VALUE"""),"確定")</f>
        <v>確定</v>
      </c>
      <c r="C5599" s="28">
        <f>IFERROR(__xludf.DUMMYFUNCTION("""COMPUTED_VALUE"""),46140.0)</f>
        <v>46140</v>
      </c>
      <c r="D5599" s="28">
        <f>IFERROR(__xludf.DUMMYFUNCTION("""COMPUTED_VALUE"""),46217.0)</f>
        <v>46217</v>
      </c>
      <c r="E5599" s="26"/>
      <c r="F5599" s="22" t="str">
        <f>IFERROR(__xludf.DUMMYFUNCTION("""COMPUTED_VALUE"""),"Love Jossie　お嬢さんには甘い嘘　You drive me crazy!")</f>
        <v>Love Jossie　お嬢さんには甘い嘘　You drive me crazy!</v>
      </c>
      <c r="G5599" s="20" t="str">
        <f>IFERROR(__xludf.DUMMYFUNCTION("""COMPUTED_VALUE"""),"1~3")</f>
        <v>1~3</v>
      </c>
      <c r="H5599" s="22" t="str">
        <f>IFERROR(__xludf.DUMMYFUNCTION("""COMPUTED_VALUE"""),"空あすか")</f>
        <v>空あすか</v>
      </c>
      <c r="I5599" s="22" t="str">
        <f>IFERROR(__xludf.DUMMYFUNCTION("""COMPUTED_VALUE"""),"女性")</f>
        <v>女性</v>
      </c>
      <c r="J5599" s="22"/>
      <c r="K5599" s="22" t="str">
        <f>IFERROR(__xludf.DUMMYFUNCTION("""COMPUTED_VALUE"""),"Love Jossie")</f>
        <v>Love Jossie</v>
      </c>
      <c r="L5599" s="22" t="str">
        <f>IFERROR(__xludf.DUMMYFUNCTION("""COMPUTED_VALUE"""),"白泉社")</f>
        <v>白泉社</v>
      </c>
      <c r="M5599" s="33">
        <f>IFERROR(__xludf.DUMMYFUNCTION("""COMPUTED_VALUE"""),46246.0)</f>
        <v>46246</v>
      </c>
      <c r="N5599" s="33">
        <f>IFERROR(__xludf.DUMMYFUNCTION("""COMPUTED_VALUE"""),46342.0)</f>
        <v>46342</v>
      </c>
      <c r="O5599" s="20"/>
      <c r="P5599" s="32" t="str">
        <f>IFERROR(__xludf.DUMMYFUNCTION("""COMPUTED_VALUE"""),"否")</f>
        <v>否</v>
      </c>
      <c r="Q5599" s="30"/>
      <c r="R5599" s="22" t="str">
        <f>IFERROR(__xludf.DUMMYFUNCTION("""COMPUTED_VALUE"""),"コミットOK")</f>
        <v>コミットOK</v>
      </c>
      <c r="S5599" s="22" t="str">
        <f>IFERROR(__xludf.DUMMYFUNCTION("""COMPUTED_VALUE"""),"20260710_白泉社_お嬢さんには甘い嘘 You drive me crazy!")</f>
        <v>20260710_白泉社_お嬢さんには甘い嘘 You drive me crazy!</v>
      </c>
      <c r="T5599" s="22" t="str">
        <f>IFERROR(__xludf.DUMMYFUNCTION("""COMPUTED_VALUE"""),"格納済み")</f>
        <v>格納済み</v>
      </c>
      <c r="U5599" s="9" t="str">
        <f>IFERROR(__xludf.DUMMYFUNCTION("""COMPUTED_VALUE"""),"(C)空あすか／白泉社")</f>
        <v>(C)空あすか／白泉社</v>
      </c>
      <c r="V5599" s="8"/>
      <c r="W5599" s="8"/>
      <c r="X5599" s="8"/>
      <c r="Y5599" s="8"/>
      <c r="Z5599" s="7"/>
      <c r="AA5599" s="7"/>
      <c r="AB5599" s="7"/>
    </row>
    <row r="5600" ht="15.75" customHeight="1">
      <c r="A5600" s="26">
        <f>IFERROR(__xludf.DUMMYFUNCTION("""COMPUTED_VALUE"""),8036.0)</f>
        <v>8036</v>
      </c>
      <c r="B5600" s="22" t="str">
        <f>IFERROR(__xludf.DUMMYFUNCTION("""COMPUTED_VALUE"""),"確定")</f>
        <v>確定</v>
      </c>
      <c r="C5600" s="28">
        <f>IFERROR(__xludf.DUMMYFUNCTION("""COMPUTED_VALUE"""),46161.0)</f>
        <v>46161</v>
      </c>
      <c r="D5600" s="28">
        <f>IFERROR(__xludf.DUMMYFUNCTION("""COMPUTED_VALUE"""),46189.0)</f>
        <v>46189</v>
      </c>
      <c r="E5600" s="26">
        <f>IFERROR(__xludf.DUMMYFUNCTION("""COMPUTED_VALUE"""),365026.0)</f>
        <v>365026</v>
      </c>
      <c r="F5600" s="22" t="str">
        <f>IFERROR(__xludf.DUMMYFUNCTION("""COMPUTED_VALUE"""),"逢司くんの15年秘めた執着愛が深すぎる。～カワイイ幼なじみの、カワイくないほど激しい交尾～")</f>
        <v>逢司くんの15年秘めた執着愛が深すぎる。～カワイイ幼なじみの、カワイくないほど激しい交尾～</v>
      </c>
      <c r="G5600" s="20" t="str">
        <f>IFERROR(__xludf.DUMMYFUNCTION("""COMPUTED_VALUE"""),"1~3")</f>
        <v>1~3</v>
      </c>
      <c r="H5600" s="22" t="str">
        <f>IFERROR(__xludf.DUMMYFUNCTION("""COMPUTED_VALUE"""),"むらさきゑん")</f>
        <v>むらさきゑん</v>
      </c>
      <c r="I5600" s="22" t="str">
        <f>IFERROR(__xludf.DUMMYFUNCTION("""COMPUTED_VALUE"""),"TL")</f>
        <v>TL</v>
      </c>
      <c r="J5600" s="22"/>
      <c r="K5600" s="22" t="str">
        <f>IFERROR(__xludf.DUMMYFUNCTION("""COMPUTED_VALUE"""),"黒ひめコミック")</f>
        <v>黒ひめコミック</v>
      </c>
      <c r="L5600" s="22" t="str">
        <f>IFERROR(__xludf.DUMMYFUNCTION("""COMPUTED_VALUE"""),"アイプロダクション")</f>
        <v>アイプロダクション</v>
      </c>
      <c r="M5600" s="33">
        <f>IFERROR(__xludf.DUMMYFUNCTION("""COMPUTED_VALUE"""),46213.0)</f>
        <v>46213</v>
      </c>
      <c r="N5600" s="33">
        <f>IFERROR(__xludf.DUMMYFUNCTION("""COMPUTED_VALUE"""),46274.0)</f>
        <v>46274</v>
      </c>
      <c r="O5600" s="20"/>
      <c r="P5600" s="32" t="str">
        <f>IFERROR(__xludf.DUMMYFUNCTION("""COMPUTED_VALUE"""),"可")</f>
        <v>可</v>
      </c>
      <c r="Q5600" s="30" t="str">
        <f>IFERROR(__xludf.DUMMYFUNCTION("""COMPUTED_VALUE"""),"毎月1話更新予定、6話まで連載確定、以降は売上次第で延長予定です。")</f>
        <v>毎月1話更新予定、6話まで連載確定、以降は売上次第で延長予定です。</v>
      </c>
      <c r="R5600" s="22" t="str">
        <f>IFERROR(__xludf.DUMMYFUNCTION("""COMPUTED_VALUE"""),"コミットOK")</f>
        <v>コミットOK</v>
      </c>
      <c r="S5600" s="22" t="str">
        <f>IFERROR(__xludf.DUMMYFUNCTION("""COMPUTED_VALUE"""),"20260616_アイプロダクション_逢司くんの15年秘めた執着愛が深すぎる。")</f>
        <v>20260616_アイプロダクション_逢司くんの15年秘めた執着愛が深すぎる。</v>
      </c>
      <c r="T5600" s="22" t="str">
        <f>IFERROR(__xludf.DUMMYFUNCTION("""COMPUTED_VALUE"""),"格納済み")</f>
        <v>格納済み</v>
      </c>
      <c r="U5600" s="9" t="str">
        <f>IFERROR(__xludf.DUMMYFUNCTION("""COMPUTED_VALUE"""),"Ⓒむらさきゑん/アイプロダクション")</f>
        <v>Ⓒむらさきゑん/アイプロダクション</v>
      </c>
      <c r="V5600" s="8"/>
      <c r="W5600" s="8"/>
      <c r="X5600" s="8" t="str">
        <f>IFERROR(__xludf.DUMMYFUNCTION("""COMPUTED_VALUE"""),"有")</f>
        <v>有</v>
      </c>
      <c r="Y5600" s="8" t="str">
        <f>IFERROR(__xludf.DUMMYFUNCTION("""COMPUTED_VALUE"""),"2026/7/23まで1巻無料")</f>
        <v>2026/7/23まで1巻無料</v>
      </c>
      <c r="Z5600" s="7"/>
      <c r="AA5600" s="7"/>
      <c r="AB5600" s="7"/>
    </row>
    <row r="5601" ht="15.75" customHeight="1">
      <c r="A5601" s="26">
        <f>IFERROR(__xludf.DUMMYFUNCTION("""COMPUTED_VALUE"""),8105.0)</f>
        <v>8105</v>
      </c>
      <c r="B5601" s="22" t="str">
        <f>IFERROR(__xludf.DUMMYFUNCTION("""COMPUTED_VALUE"""),"確定")</f>
        <v>確定</v>
      </c>
      <c r="C5601" s="28">
        <f>IFERROR(__xludf.DUMMYFUNCTION("""COMPUTED_VALUE"""),46169.0)</f>
        <v>46169</v>
      </c>
      <c r="D5601" s="28">
        <f>IFERROR(__xludf.DUMMYFUNCTION("""COMPUTED_VALUE"""),46217.0)</f>
        <v>46217</v>
      </c>
      <c r="E5601" s="26"/>
      <c r="F5601" s="22" t="str">
        <f>IFERROR(__xludf.DUMMYFUNCTION("""COMPUTED_VALUE"""),"おまえを解剖させてくれ")</f>
        <v>おまえを解剖させてくれ</v>
      </c>
      <c r="G5601" s="20" t="str">
        <f>IFERROR(__xludf.DUMMYFUNCTION("""COMPUTED_VALUE"""),"1~2")</f>
        <v>1~2</v>
      </c>
      <c r="H5601" s="22" t="str">
        <f>IFERROR(__xludf.DUMMYFUNCTION("""COMPUTED_VALUE"""),"大城トム")</f>
        <v>大城トム</v>
      </c>
      <c r="I5601" s="22" t="str">
        <f>IFERROR(__xludf.DUMMYFUNCTION("""COMPUTED_VALUE"""),"BL")</f>
        <v>BL</v>
      </c>
      <c r="J5601" s="22"/>
      <c r="K5601" s="22"/>
      <c r="L5601" s="22" t="str">
        <f>IFERROR(__xludf.DUMMYFUNCTION("""COMPUTED_VALUE"""),"東京漫画社")</f>
        <v>東京漫画社</v>
      </c>
      <c r="M5601" s="33">
        <f>IFERROR(__xludf.DUMMYFUNCTION("""COMPUTED_VALUE"""),46234.0)</f>
        <v>46234</v>
      </c>
      <c r="N5601" s="33">
        <f>IFERROR(__xludf.DUMMYFUNCTION("""COMPUTED_VALUE"""),46294.0)</f>
        <v>46294</v>
      </c>
      <c r="O5601" s="20"/>
      <c r="P5601" s="32" t="str">
        <f>IFERROR(__xludf.DUMMYFUNCTION("""COMPUTED_VALUE"""),"可")</f>
        <v>可</v>
      </c>
      <c r="Q5601" s="30" t="str">
        <f>IFERROR(__xludf.DUMMYFUNCTION("""COMPUTED_VALUE"""),"可能な限りお早めのご出稿準備お願いいたします。")</f>
        <v>可能な限りお早めのご出稿準備お願いいたします。</v>
      </c>
      <c r="R5601" s="22" t="str">
        <f>IFERROR(__xludf.DUMMYFUNCTION("""COMPUTED_VALUE"""),"コミットOK")</f>
        <v>コミットOK</v>
      </c>
      <c r="S5601" s="22" t="str">
        <f>IFERROR(__xludf.DUMMYFUNCTION("""COMPUTED_VALUE"""),"260630_東京漫画社_おまえを解剖させてくれ")</f>
        <v>260630_東京漫画社_おまえを解剖させてくれ</v>
      </c>
      <c r="T5601" s="22" t="str">
        <f>IFERROR(__xludf.DUMMYFUNCTION("""COMPUTED_VALUE"""),"格納済み")</f>
        <v>格納済み</v>
      </c>
      <c r="U5601" s="9" t="str">
        <f>IFERROR(__xludf.DUMMYFUNCTION("""COMPUTED_VALUE"""),"Ⓒ 大城トム /東京漫画社")</f>
        <v>Ⓒ 大城トム /東京漫画社</v>
      </c>
      <c r="V5601" s="8"/>
      <c r="W5601" s="8"/>
      <c r="X5601" s="8"/>
      <c r="Y5601" s="8"/>
      <c r="Z5601" s="7"/>
      <c r="AA5601" s="7"/>
      <c r="AB5601" s="7"/>
    </row>
    <row r="5602" ht="15.75" customHeight="1">
      <c r="A5602" s="26">
        <f>IFERROR(__xludf.DUMMYFUNCTION("""COMPUTED_VALUE"""),8127.0)</f>
        <v>8127</v>
      </c>
      <c r="B5602" s="22" t="str">
        <f>IFERROR(__xludf.DUMMYFUNCTION("""COMPUTED_VALUE"""),"確定")</f>
        <v>確定</v>
      </c>
      <c r="C5602" s="28">
        <f>IFERROR(__xludf.DUMMYFUNCTION("""COMPUTED_VALUE"""),46174.0)</f>
        <v>46174</v>
      </c>
      <c r="D5602" s="28">
        <f>IFERROR(__xludf.DUMMYFUNCTION("""COMPUTED_VALUE"""),46213.0)</f>
        <v>46213</v>
      </c>
      <c r="E5602" s="26"/>
      <c r="F5602" s="22" t="str">
        <f>IFERROR(__xludf.DUMMYFUNCTION("""COMPUTED_VALUE"""),"Love Silky　アダルトエデュケーション")</f>
        <v>Love Silky　アダルトエデュケーション</v>
      </c>
      <c r="G5602" s="20" t="str">
        <f>IFERROR(__xludf.DUMMYFUNCTION("""COMPUTED_VALUE"""),"1~3")</f>
        <v>1~3</v>
      </c>
      <c r="H5602" s="22" t="str">
        <f>IFERROR(__xludf.DUMMYFUNCTION("""COMPUTED_VALUE"""),"宮川匡代")</f>
        <v>宮川匡代</v>
      </c>
      <c r="I5602" s="22" t="str">
        <f>IFERROR(__xludf.DUMMYFUNCTION("""COMPUTED_VALUE"""),"女性")</f>
        <v>女性</v>
      </c>
      <c r="J5602" s="22"/>
      <c r="K5602" s="22" t="str">
        <f>IFERROR(__xludf.DUMMYFUNCTION("""COMPUTED_VALUE"""),"Love Silky")</f>
        <v>Love Silky</v>
      </c>
      <c r="L5602" s="22" t="str">
        <f>IFERROR(__xludf.DUMMYFUNCTION("""COMPUTED_VALUE"""),"白泉社")</f>
        <v>白泉社</v>
      </c>
      <c r="M5602" s="33">
        <f>IFERROR(__xludf.DUMMYFUNCTION("""COMPUTED_VALUE"""),46253.0)</f>
        <v>46253</v>
      </c>
      <c r="N5602" s="33">
        <f>IFERROR(__xludf.DUMMYFUNCTION("""COMPUTED_VALUE"""),46315.0)</f>
        <v>46315</v>
      </c>
      <c r="O5602" s="20"/>
      <c r="P5602" s="32" t="str">
        <f>IFERROR(__xludf.DUMMYFUNCTION("""COMPUTED_VALUE"""),"可")</f>
        <v>可</v>
      </c>
      <c r="Q5602" s="30"/>
      <c r="R5602" s="22" t="str">
        <f>IFERROR(__xludf.DUMMYFUNCTION("""COMPUTED_VALUE"""),"コミットOK")</f>
        <v>コミットOK</v>
      </c>
      <c r="S5602" s="22" t="str">
        <f>IFERROR(__xludf.DUMMYFUNCTION("""COMPUTED_VALUE"""),"20260706_白泉社_Love Silky　アダルトエデュケーション")</f>
        <v>20260706_白泉社_Love Silky　アダルトエデュケーション</v>
      </c>
      <c r="T5602" s="22" t="str">
        <f>IFERROR(__xludf.DUMMYFUNCTION("""COMPUTED_VALUE"""),"格納済み")</f>
        <v>格納済み</v>
      </c>
      <c r="U5602" s="9" t="str">
        <f>IFERROR(__xludf.DUMMYFUNCTION("""COMPUTED_VALUE"""),"(C)宮川匡代／白泉社")</f>
        <v>(C)宮川匡代／白泉社</v>
      </c>
      <c r="V5602" s="8"/>
      <c r="W5602" s="8"/>
      <c r="X5602" s="8"/>
      <c r="Y5602" s="8"/>
      <c r="Z5602" s="7"/>
      <c r="AA5602" s="7"/>
      <c r="AB5602" s="7"/>
    </row>
    <row r="5603" ht="15.75" customHeight="1">
      <c r="A5603" s="26">
        <f>IFERROR(__xludf.DUMMYFUNCTION("""COMPUTED_VALUE"""),8191.0)</f>
        <v>8191</v>
      </c>
      <c r="B5603" s="22" t="str">
        <f>IFERROR(__xludf.DUMMYFUNCTION("""COMPUTED_VALUE"""),"確定")</f>
        <v>確定</v>
      </c>
      <c r="C5603" s="28">
        <f>IFERROR(__xludf.DUMMYFUNCTION("""COMPUTED_VALUE"""),46181.0)</f>
        <v>46181</v>
      </c>
      <c r="D5603" s="28">
        <f>IFERROR(__xludf.DUMMYFUNCTION("""COMPUTED_VALUE"""),46213.0)</f>
        <v>46213</v>
      </c>
      <c r="E5603" s="26"/>
      <c r="F5603" s="22" t="str">
        <f>IFERROR(__xludf.DUMMYFUNCTION("""COMPUTED_VALUE"""),"ひみつのうらあかうんと～ちょっとえっちな趣味がド変態執着質な後輩たちにバレてしまったら～")</f>
        <v>ひみつのうらあかうんと～ちょっとえっちな趣味がド変態執着質な後輩たちにバレてしまったら～</v>
      </c>
      <c r="G5603" s="20" t="str">
        <f>IFERROR(__xludf.DUMMYFUNCTION("""COMPUTED_VALUE"""),"1~7")</f>
        <v>1~7</v>
      </c>
      <c r="H5603" s="22" t="str">
        <f>IFERROR(__xludf.DUMMYFUNCTION("""COMPUTED_VALUE"""),"よしとら/蓮井子鹿/parasite garden")</f>
        <v>よしとら/蓮井子鹿/parasite garden</v>
      </c>
      <c r="I5603" s="22" t="str">
        <f>IFERROR(__xludf.DUMMYFUNCTION("""COMPUTED_VALUE"""),"TL")</f>
        <v>TL</v>
      </c>
      <c r="J5603" s="22"/>
      <c r="K5603" s="22"/>
      <c r="L5603" s="22" t="str">
        <f>IFERROR(__xludf.DUMMYFUNCTION("""COMPUTED_VALUE"""),"クロスフォリオ出版")</f>
        <v>クロスフォリオ出版</v>
      </c>
      <c r="M5603" s="33">
        <f>IFERROR(__xludf.DUMMYFUNCTION("""COMPUTED_VALUE"""),46241.0)</f>
        <v>46241</v>
      </c>
      <c r="N5603" s="33">
        <f>IFERROR(__xludf.DUMMYFUNCTION("""COMPUTED_VALUE"""),46331.0)</f>
        <v>46331</v>
      </c>
      <c r="O5603" s="20"/>
      <c r="P5603" s="32" t="str">
        <f>IFERROR(__xludf.DUMMYFUNCTION("""COMPUTED_VALUE"""),"可")</f>
        <v>可</v>
      </c>
      <c r="Q5603" s="30"/>
      <c r="R5603" s="22" t="str">
        <f>IFERROR(__xludf.DUMMYFUNCTION("""COMPUTED_VALUE"""),"コミットOK")</f>
        <v>コミットOK</v>
      </c>
      <c r="S5603" s="22" t="str">
        <f>IFERROR(__xludf.DUMMYFUNCTION("""COMPUTED_VALUE"""),"20260707_BookLive_ひみつのうらあかうんと")</f>
        <v>20260707_BookLive_ひみつのうらあかうんと</v>
      </c>
      <c r="T5603" s="22" t="str">
        <f>IFERROR(__xludf.DUMMYFUNCTION("""COMPUTED_VALUE"""),"格納済み")</f>
        <v>格納済み</v>
      </c>
      <c r="U5603" s="9" t="str">
        <f>IFERROR(__xludf.DUMMYFUNCTION("""COMPUTED_VALUE"""),"(C)よしとら/蓮井子鹿/parasite garden/クロスフォリオ出版")</f>
        <v>(C)よしとら/蓮井子鹿/parasite garden/クロスフォリオ出版</v>
      </c>
      <c r="V5603" s="8"/>
      <c r="W5603" s="8"/>
      <c r="X5603" s="8"/>
      <c r="Y5603" s="8"/>
      <c r="Z5603" s="7"/>
      <c r="AA5603" s="7"/>
      <c r="AB5603" s="7"/>
    </row>
    <row r="5604" ht="15.75" customHeight="1">
      <c r="A5604" s="26">
        <f>IFERROR(__xludf.DUMMYFUNCTION("""COMPUTED_VALUE"""),8196.0)</f>
        <v>8196</v>
      </c>
      <c r="B5604" s="22" t="str">
        <f>IFERROR(__xludf.DUMMYFUNCTION("""COMPUTED_VALUE"""),"確定")</f>
        <v>確定</v>
      </c>
      <c r="C5604" s="28">
        <f>IFERROR(__xludf.DUMMYFUNCTION("""COMPUTED_VALUE"""),46182.0)</f>
        <v>46182</v>
      </c>
      <c r="D5604" s="28">
        <f>IFERROR(__xludf.DUMMYFUNCTION("""COMPUTED_VALUE"""),46217.0)</f>
        <v>46217</v>
      </c>
      <c r="E5604" s="26"/>
      <c r="F5604" s="22" t="str">
        <f>IFERROR(__xludf.DUMMYFUNCTION("""COMPUTED_VALUE"""),"地獄の沙汰も恋次第。～恋愛不適合な私に、敏腕弁護士が甘すぎる～（分冊版）")</f>
        <v>地獄の沙汰も恋次第。～恋愛不適合な私に、敏腕弁護士が甘すぎる～（分冊版）</v>
      </c>
      <c r="G5604" s="20" t="str">
        <f>IFERROR(__xludf.DUMMYFUNCTION("""COMPUTED_VALUE"""),"1~3")</f>
        <v>1~3</v>
      </c>
      <c r="H5604" s="22" t="str">
        <f>IFERROR(__xludf.DUMMYFUNCTION("""COMPUTED_VALUE"""),"藤堂はくる")</f>
        <v>藤堂はくる</v>
      </c>
      <c r="I5604" s="22" t="str">
        <f>IFERROR(__xludf.DUMMYFUNCTION("""COMPUTED_VALUE"""),"女性")</f>
        <v>女性</v>
      </c>
      <c r="J5604" s="22"/>
      <c r="K5604" s="22" t="str">
        <f>IFERROR(__xludf.DUMMYFUNCTION("""COMPUTED_VALUE"""),"comic Aimery")</f>
        <v>comic Aimery</v>
      </c>
      <c r="L5604" s="22" t="str">
        <f>IFERROR(__xludf.DUMMYFUNCTION("""COMPUTED_VALUE"""),"ぶんか社")</f>
        <v>ぶんか社</v>
      </c>
      <c r="M5604" s="33">
        <f>IFERROR(__xludf.DUMMYFUNCTION("""COMPUTED_VALUE"""),46259.0)</f>
        <v>46259</v>
      </c>
      <c r="N5604" s="33">
        <f>IFERROR(__xludf.DUMMYFUNCTION("""COMPUTED_VALUE"""),46349.0)</f>
        <v>46349</v>
      </c>
      <c r="O5604" s="20"/>
      <c r="P5604" s="32" t="str">
        <f>IFERROR(__xludf.DUMMYFUNCTION("""COMPUTED_VALUE"""),"可")</f>
        <v>可</v>
      </c>
      <c r="Q5604" s="30"/>
      <c r="R5604" s="22" t="str">
        <f>IFERROR(__xludf.DUMMYFUNCTION("""COMPUTED_VALUE"""),"コミットOK")</f>
        <v>コミットOK</v>
      </c>
      <c r="S5604" s="22" t="str">
        <f>IFERROR(__xludf.DUMMYFUNCTION("""COMPUTED_VALUE"""),"20260713_ぶんか社_地獄の沙汰も恋次第。～恋愛不適合な私に、敏腕弁護士が甘すぎる～（分冊版）")</f>
        <v>20260713_ぶんか社_地獄の沙汰も恋次第。～恋愛不適合な私に、敏腕弁護士が甘すぎる～（分冊版）</v>
      </c>
      <c r="T5604" s="22" t="str">
        <f>IFERROR(__xludf.DUMMYFUNCTION("""COMPUTED_VALUE"""),"格納済み")</f>
        <v>格納済み</v>
      </c>
      <c r="U5604" s="9" t="str">
        <f>IFERROR(__xludf.DUMMYFUNCTION("""COMPUTED_VALUE"""),"Ⓒ藤堂はくる/ぶんか社")</f>
        <v>Ⓒ藤堂はくる/ぶんか社</v>
      </c>
      <c r="V5604" s="8"/>
      <c r="W5604" s="8"/>
      <c r="X5604" s="8"/>
      <c r="Y5604" s="8"/>
      <c r="Z5604" s="7"/>
      <c r="AA5604" s="7"/>
      <c r="AB5604" s="7"/>
    </row>
    <row r="5605" ht="15.75" customHeight="1">
      <c r="A5605" s="26">
        <f>IFERROR(__xludf.DUMMYFUNCTION("""COMPUTED_VALUE"""),8258.0)</f>
        <v>8258</v>
      </c>
      <c r="B5605" s="22" t="str">
        <f>IFERROR(__xludf.DUMMYFUNCTION("""COMPUTED_VALUE"""),"確定")</f>
        <v>確定</v>
      </c>
      <c r="C5605" s="28">
        <f>IFERROR(__xludf.DUMMYFUNCTION("""COMPUTED_VALUE"""),46192.0)</f>
        <v>46192</v>
      </c>
      <c r="D5605" s="28">
        <f>IFERROR(__xludf.DUMMYFUNCTION("""COMPUTED_VALUE"""),46218.0)</f>
        <v>46218</v>
      </c>
      <c r="E5605" s="26"/>
      <c r="F5605" s="22" t="str">
        <f>IFERROR(__xludf.DUMMYFUNCTION("""COMPUTED_VALUE"""),"冷血公爵の溺愛花嫁　姫君は愛に惑う")</f>
        <v>冷血公爵の溺愛花嫁　姫君は愛に惑う</v>
      </c>
      <c r="G5605" s="20" t="str">
        <f>IFERROR(__xludf.DUMMYFUNCTION("""COMPUTED_VALUE"""),"1~5")</f>
        <v>1~5</v>
      </c>
      <c r="H5605" s="22" t="str">
        <f>IFERROR(__xludf.DUMMYFUNCTION("""COMPUTED_VALUE"""),"漫画：すけまる／原作：小出みき")</f>
        <v>漫画：すけまる／原作：小出みき</v>
      </c>
      <c r="I5605" s="22" t="str">
        <f>IFERROR(__xludf.DUMMYFUNCTION("""COMPUTED_VALUE"""),"女性")</f>
        <v>女性</v>
      </c>
      <c r="J5605" s="22"/>
      <c r="K5605" s="22" t="str">
        <f>IFERROR(__xludf.DUMMYFUNCTION("""COMPUTED_VALUE"""),"華猫")</f>
        <v>華猫</v>
      </c>
      <c r="L5605" s="22" t="str">
        <f>IFERROR(__xludf.DUMMYFUNCTION("""COMPUTED_VALUE"""),"竹書房")</f>
        <v>竹書房</v>
      </c>
      <c r="M5605" s="33">
        <f>IFERROR(__xludf.DUMMYFUNCTION("""COMPUTED_VALUE"""),46266.0)</f>
        <v>46266</v>
      </c>
      <c r="N5605" s="33">
        <f>IFERROR(__xludf.DUMMYFUNCTION("""COMPUTED_VALUE"""),46356.0)</f>
        <v>46356</v>
      </c>
      <c r="O5605" s="20"/>
      <c r="P5605" s="32" t="str">
        <f>IFERROR(__xludf.DUMMYFUNCTION("""COMPUTED_VALUE"""),"可")</f>
        <v>可</v>
      </c>
      <c r="Q5605" s="30" t="str">
        <f>IFERROR(__xludf.DUMMYFUNCTION("""COMPUTED_VALUE"""),"・すけまる先生の新作です。")</f>
        <v>・すけまる先生の新作です。</v>
      </c>
      <c r="R5605" s="22"/>
      <c r="S5605" s="22" t="str">
        <f>IFERROR(__xludf.DUMMYFUNCTION("""COMPUTED_VALUE"""),"20260715_竹書房_冷血公爵の溺愛花嫁")</f>
        <v>20260715_竹書房_冷血公爵の溺愛花嫁</v>
      </c>
      <c r="T5605" s="22" t="str">
        <f>IFERROR(__xludf.DUMMYFUNCTION("""COMPUTED_VALUE"""),"格納済み")</f>
        <v>格納済み</v>
      </c>
      <c r="U5605" s="9" t="str">
        <f>IFERROR(__xludf.DUMMYFUNCTION("""COMPUTED_VALUE"""),"Ⓒ小出みき・すけまる／竹書房")</f>
        <v>Ⓒ小出みき・すけまる／竹書房</v>
      </c>
      <c r="V5605" s="8"/>
      <c r="W5605" s="8"/>
      <c r="X5605" s="8"/>
      <c r="Y5605" s="8"/>
      <c r="Z5605" s="7"/>
      <c r="AA5605" s="7"/>
      <c r="AB5605" s="7"/>
    </row>
    <row r="5606" ht="15.75" customHeight="1">
      <c r="A5606" s="26">
        <f>IFERROR(__xludf.DUMMYFUNCTION("""COMPUTED_VALUE"""),8299.0)</f>
        <v>8299</v>
      </c>
      <c r="B5606" s="22" t="str">
        <f>IFERROR(__xludf.DUMMYFUNCTION("""COMPUTED_VALUE"""),"確定")</f>
        <v>確定</v>
      </c>
      <c r="C5606" s="28">
        <f>IFERROR(__xludf.DUMMYFUNCTION("""COMPUTED_VALUE"""),46198.0)</f>
        <v>46198</v>
      </c>
      <c r="D5606" s="28">
        <f>IFERROR(__xludf.DUMMYFUNCTION("""COMPUTED_VALUE"""),46218.0)</f>
        <v>46218</v>
      </c>
      <c r="E5606" s="26"/>
      <c r="F5606" s="22" t="str">
        <f>IFERROR(__xludf.DUMMYFUNCTION("""COMPUTED_VALUE"""),"初恋もコンビニで")</f>
        <v>初恋もコンビニで</v>
      </c>
      <c r="G5606" s="20" t="str">
        <f>IFERROR(__xludf.DUMMYFUNCTION("""COMPUTED_VALUE"""),"1~2")</f>
        <v>1~2</v>
      </c>
      <c r="H5606" s="22" t="str">
        <f>IFERROR(__xludf.DUMMYFUNCTION("""COMPUTED_VALUE"""),"えりまるす")</f>
        <v>えりまるす</v>
      </c>
      <c r="I5606" s="22" t="str">
        <f>IFERROR(__xludf.DUMMYFUNCTION("""COMPUTED_VALUE"""),"BL")</f>
        <v>BL</v>
      </c>
      <c r="J5606" s="22"/>
      <c r="K5606" s="22" t="str">
        <f>IFERROR(__xludf.DUMMYFUNCTION("""COMPUTED_VALUE"""),"MooiComics")</f>
        <v>MooiComics</v>
      </c>
      <c r="L5606" s="22" t="str">
        <f>IFERROR(__xludf.DUMMYFUNCTION("""COMPUTED_VALUE"""),"CLLENN")</f>
        <v>CLLENN</v>
      </c>
      <c r="M5606" s="33">
        <f>IFERROR(__xludf.DUMMYFUNCTION("""COMPUTED_VALUE"""),46252.0)</f>
        <v>46252</v>
      </c>
      <c r="N5606" s="33">
        <f>IFERROR(__xludf.DUMMYFUNCTION("""COMPUTED_VALUE"""),46314.0)</f>
        <v>46314</v>
      </c>
      <c r="O5606" s="20" t="str">
        <f>IFERROR(__xludf.DUMMYFUNCTION("""COMPUTED_VALUE"""),"【アダルト作品扱い】")</f>
        <v>【アダルト作品扱い】</v>
      </c>
      <c r="P5606" s="32" t="str">
        <f>IFERROR(__xludf.DUMMYFUNCTION("""COMPUTED_VALUE"""),"可")</f>
        <v>可</v>
      </c>
      <c r="Q5606" s="30"/>
      <c r="R5606" s="22" t="str">
        <f>IFERROR(__xludf.DUMMYFUNCTION("""COMPUTED_VALUE"""),"コミットOK")</f>
        <v>コミットOK</v>
      </c>
      <c r="S5606" s="22" t="str">
        <f>IFERROR(__xludf.DUMMYFUNCTION("""COMPUTED_VALUE"""),"20260713_CLLENN_初恋もコンビニで")</f>
        <v>20260713_CLLENN_初恋もコンビニで</v>
      </c>
      <c r="T5606" s="22" t="str">
        <f>IFERROR(__xludf.DUMMYFUNCTION("""COMPUTED_VALUE"""),"格納済み")</f>
        <v>格納済み</v>
      </c>
      <c r="U5606" s="9" t="str">
        <f>IFERROR(__xludf.DUMMYFUNCTION("""COMPUTED_VALUE"""),"Ⓒえりまるす/CLLENN")</f>
        <v>Ⓒえりまるす/CLLENN</v>
      </c>
      <c r="V5606" s="8"/>
      <c r="W5606" s="8"/>
      <c r="X5606" s="8"/>
      <c r="Y5606" s="8"/>
      <c r="Z5606" s="7"/>
      <c r="AA5606" s="7"/>
      <c r="AB5606" s="7"/>
    </row>
    <row r="5607" ht="15.75" customHeight="1">
      <c r="A5607" s="26">
        <f>IFERROR(__xludf.DUMMYFUNCTION("""COMPUTED_VALUE"""),8302.0)</f>
        <v>8302</v>
      </c>
      <c r="B5607" s="22" t="str">
        <f>IFERROR(__xludf.DUMMYFUNCTION("""COMPUTED_VALUE"""),"確定")</f>
        <v>確定</v>
      </c>
      <c r="C5607" s="28">
        <f>IFERROR(__xludf.DUMMYFUNCTION("""COMPUTED_VALUE"""),46198.0)</f>
        <v>46198</v>
      </c>
      <c r="D5607" s="28">
        <f>IFERROR(__xludf.DUMMYFUNCTION("""COMPUTED_VALUE"""),46212.0)</f>
        <v>46212</v>
      </c>
      <c r="E5607" s="26"/>
      <c r="F5607" s="22" t="str">
        <f>IFERROR(__xludf.DUMMYFUNCTION("""COMPUTED_VALUE"""),"この愛は呪いより重く【マイクロ】")</f>
        <v>この愛は呪いより重く【マイクロ】</v>
      </c>
      <c r="G5607" s="20" t="str">
        <f>IFERROR(__xludf.DUMMYFUNCTION("""COMPUTED_VALUE"""),"1~6")</f>
        <v>1~6</v>
      </c>
      <c r="H5607" s="22" t="str">
        <f>IFERROR(__xludf.DUMMYFUNCTION("""COMPUTED_VALUE"""),"ちより")</f>
        <v>ちより</v>
      </c>
      <c r="I5607" s="22" t="str">
        <f>IFERROR(__xludf.DUMMYFUNCTION("""COMPUTED_VALUE"""),"女性")</f>
        <v>女性</v>
      </c>
      <c r="J5607" s="22"/>
      <c r="K5607" s="22" t="str">
        <f>IFERROR(__xludf.DUMMYFUNCTION("""COMPUTED_VALUE"""),"ベツフラ")</f>
        <v>ベツフラ</v>
      </c>
      <c r="L5607" s="22" t="str">
        <f>IFERROR(__xludf.DUMMYFUNCTION("""COMPUTED_VALUE"""),"小学館")</f>
        <v>小学館</v>
      </c>
      <c r="M5607" s="33">
        <f>IFERROR(__xludf.DUMMYFUNCTION("""COMPUTED_VALUE"""),46254.0)</f>
        <v>46254</v>
      </c>
      <c r="N5607" s="33">
        <f>IFERROR(__xludf.DUMMYFUNCTION("""COMPUTED_VALUE"""),46314.0)</f>
        <v>46314</v>
      </c>
      <c r="O5607" s="20"/>
      <c r="P5607" s="32" t="str">
        <f>IFERROR(__xludf.DUMMYFUNCTION("""COMPUTED_VALUE"""),"否")</f>
        <v>否</v>
      </c>
      <c r="Q5607" s="30" t="str">
        <f>IFERROR(__xludf.DUMMYFUNCTION("""COMPUTED_VALUE"""),"＜概要＞ 食欲・睡眠欲が暴走する呪いにかかっている主人公が、  初恋の少年と再会したことで性欲まで暴走してしまう… 呪いと旧い一族が絡み合う和風ホラーエロ。")</f>
        <v>＜概要＞ 食欲・睡眠欲が暴走する呪いにかかっている主人公が、  初恋の少年と再会したことで性欲まで暴走してしまう… 呪いと旧い一族が絡み合う和風ホラーエロ。</v>
      </c>
      <c r="R5607" s="22" t="str">
        <f>IFERROR(__xludf.DUMMYFUNCTION("""COMPUTED_VALUE"""),"コミットOK")</f>
        <v>コミットOK</v>
      </c>
      <c r="S5607" s="22" t="str">
        <f>IFERROR(__xludf.DUMMYFUNCTION("""COMPUTED_VALUE"""),"20260708_小学館_この愛は呪いより重く【マイクロ】")</f>
        <v>20260708_小学館_この愛は呪いより重く【マイクロ】</v>
      </c>
      <c r="T5607" s="22" t="str">
        <f>IFERROR(__xludf.DUMMYFUNCTION("""COMPUTED_VALUE"""),"格納済み")</f>
        <v>格納済み</v>
      </c>
      <c r="U5607" s="9" t="str">
        <f>IFERROR(__xludf.DUMMYFUNCTION("""COMPUTED_VALUE"""),"(C)ちより / 小学館")</f>
        <v>(C)ちより / 小学館</v>
      </c>
      <c r="V5607" s="8"/>
      <c r="W5607" s="8"/>
      <c r="X5607" s="8"/>
      <c r="Y5607" s="8"/>
      <c r="Z5607" s="7"/>
      <c r="AA5607" s="7"/>
      <c r="AB5607" s="7"/>
    </row>
    <row r="5608" ht="15.75" customHeight="1">
      <c r="A5608" s="26">
        <f>IFERROR(__xludf.DUMMYFUNCTION("""COMPUTED_VALUE"""),8310.0)</f>
        <v>8310</v>
      </c>
      <c r="B5608" s="22" t="str">
        <f>IFERROR(__xludf.DUMMYFUNCTION("""COMPUTED_VALUE"""),"確定")</f>
        <v>確定</v>
      </c>
      <c r="C5608" s="28">
        <f>IFERROR(__xludf.DUMMYFUNCTION("""COMPUTED_VALUE"""),46198.0)</f>
        <v>46198</v>
      </c>
      <c r="D5608" s="28">
        <f>IFERROR(__xludf.DUMMYFUNCTION("""COMPUTED_VALUE"""),46216.0)</f>
        <v>46216</v>
      </c>
      <c r="E5608" s="26"/>
      <c r="F5608" s="22" t="str">
        <f>IFERROR(__xludf.DUMMYFUNCTION("""COMPUTED_VALUE"""),"無情な皇帝の密やかな執愛～白薔薇姫は可憐に濡れる～【分冊版】")</f>
        <v>無情な皇帝の密やかな執愛～白薔薇姫は可憐に濡れる～【分冊版】</v>
      </c>
      <c r="G5608" s="20" t="str">
        <f>IFERROR(__xludf.DUMMYFUNCTION("""COMPUTED_VALUE"""),"1~2")</f>
        <v>1~2</v>
      </c>
      <c r="H5608" s="22" t="str">
        <f>IFERROR(__xludf.DUMMYFUNCTION("""COMPUTED_VALUE"""),"青樹 緫")</f>
        <v>青樹 緫</v>
      </c>
      <c r="I5608" s="22" t="str">
        <f>IFERROR(__xludf.DUMMYFUNCTION("""COMPUTED_VALUE"""),"TL")</f>
        <v>TL</v>
      </c>
      <c r="J5608" s="22"/>
      <c r="K5608" s="22" t="str">
        <f>IFERROR(__xludf.DUMMYFUNCTION("""COMPUTED_VALUE"""),"乙女ドルチェ・コミックス")</f>
        <v>乙女ドルチェ・コミックス</v>
      </c>
      <c r="L5608" s="22" t="str">
        <f>IFERROR(__xludf.DUMMYFUNCTION("""COMPUTED_VALUE"""),"乙女ドルチェ・コミックス")</f>
        <v>乙女ドルチェ・コミックス</v>
      </c>
      <c r="M5608" s="33">
        <f>IFERROR(__xludf.DUMMYFUNCTION("""COMPUTED_VALUE"""),46252.0)</f>
        <v>46252</v>
      </c>
      <c r="N5608" s="33">
        <f>IFERROR(__xludf.DUMMYFUNCTION("""COMPUTED_VALUE"""),46310.0)</f>
        <v>46310</v>
      </c>
      <c r="O5608" s="20"/>
      <c r="P5608" s="32" t="str">
        <f>IFERROR(__xludf.DUMMYFUNCTION("""COMPUTED_VALUE"""),"可")</f>
        <v>可</v>
      </c>
      <c r="Q5608" s="30"/>
      <c r="R5608" s="22"/>
      <c r="S5608" s="22" t="str">
        <f>IFERROR(__xludf.DUMMYFUNCTION("""COMPUTED_VALUE"""),"20260709_乙女ドルチェ・コミックス_無情な皇帝の密やかな執愛～白薔薇姫は可憐に濡れる～【分冊版】")</f>
        <v>20260709_乙女ドルチェ・コミックス_無情な皇帝の密やかな執愛～白薔薇姫は可憐に濡れる～【分冊版】</v>
      </c>
      <c r="T5608" s="22" t="str">
        <f>IFERROR(__xludf.DUMMYFUNCTION("""COMPUTED_VALUE"""),"格納済み")</f>
        <v>格納済み</v>
      </c>
      <c r="U5608" s="9" t="str">
        <f>IFERROR(__xludf.DUMMYFUNCTION("""COMPUTED_VALUE"""),"（C) 青樹 緫・舞 姫美／ハーパーコリンズ・ジャパン")</f>
        <v>（C) 青樹 緫・舞 姫美／ハーパーコリンズ・ジャパン</v>
      </c>
      <c r="V5608" s="8"/>
      <c r="W5608" s="8"/>
      <c r="X5608" s="8"/>
      <c r="Y5608" s="8"/>
      <c r="Z5608" s="7"/>
      <c r="AA5608" s="7"/>
      <c r="AB5608" s="7"/>
    </row>
    <row r="5609" ht="15.75" customHeight="1">
      <c r="A5609" s="26">
        <f>IFERROR(__xludf.DUMMYFUNCTION("""COMPUTED_VALUE"""),8311.0)</f>
        <v>8311</v>
      </c>
      <c r="B5609" s="22" t="str">
        <f>IFERROR(__xludf.DUMMYFUNCTION("""COMPUTED_VALUE"""),"確定")</f>
        <v>確定</v>
      </c>
      <c r="C5609" s="28">
        <f>IFERROR(__xludf.DUMMYFUNCTION("""COMPUTED_VALUE"""),46198.0)</f>
        <v>46198</v>
      </c>
      <c r="D5609" s="28">
        <f>IFERROR(__xludf.DUMMYFUNCTION("""COMPUTED_VALUE"""),46217.0)</f>
        <v>46217</v>
      </c>
      <c r="E5609" s="26"/>
      <c r="F5609" s="22" t="str">
        <f>IFERROR(__xludf.DUMMYFUNCTION("""COMPUTED_VALUE"""),"うっかり召喚しちゃった世話やき溺愛淫魔によしよしえっちで堕とされる")</f>
        <v>うっかり召喚しちゃった世話やき溺愛淫魔によしよしえっちで堕とされる</v>
      </c>
      <c r="G5609" s="20" t="str">
        <f>IFERROR(__xludf.DUMMYFUNCTION("""COMPUTED_VALUE"""),"1~3")</f>
        <v>1~3</v>
      </c>
      <c r="H5609" s="22" t="str">
        <f>IFERROR(__xludf.DUMMYFUNCTION("""COMPUTED_VALUE"""),"夏尾,にな")</f>
        <v>夏尾,にな</v>
      </c>
      <c r="I5609" s="22" t="str">
        <f>IFERROR(__xludf.DUMMYFUNCTION("""COMPUTED_VALUE"""),"TL")</f>
        <v>TL</v>
      </c>
      <c r="J5609" s="22"/>
      <c r="K5609" s="22" t="str">
        <f>IFERROR(__xludf.DUMMYFUNCTION("""COMPUTED_VALUE"""),"リベルタ")</f>
        <v>リベルタ</v>
      </c>
      <c r="L5609" s="22" t="str">
        <f>IFERROR(__xludf.DUMMYFUNCTION("""COMPUTED_VALUE"""),"ナンバーナイン")</f>
        <v>ナンバーナイン</v>
      </c>
      <c r="M5609" s="33">
        <f>IFERROR(__xludf.DUMMYFUNCTION("""COMPUTED_VALUE"""),46244.0)</f>
        <v>46244</v>
      </c>
      <c r="N5609" s="33">
        <f>IFERROR(__xludf.DUMMYFUNCTION("""COMPUTED_VALUE"""),46304.0)</f>
        <v>46304</v>
      </c>
      <c r="O5609" s="20" t="str">
        <f>IFERROR(__xludf.DUMMYFUNCTION("""COMPUTED_VALUE"""),"【アダルト作品扱い】")</f>
        <v>【アダルト作品扱い】</v>
      </c>
      <c r="P5609" s="32" t="str">
        <f>IFERROR(__xludf.DUMMYFUNCTION("""COMPUTED_VALUE"""),"可")</f>
        <v>可</v>
      </c>
      <c r="Q5609" s="30" t="str">
        <f>IFERROR(__xludf.DUMMYFUNCTION("""COMPUTED_VALUE"""),"R版も配信。がるまに")</f>
        <v>R版も配信。がるまに</v>
      </c>
      <c r="R5609" s="22"/>
      <c r="S5609" s="22" t="str">
        <f>IFERROR(__xludf.DUMMYFUNCTION("""COMPUTED_VALUE"""),"20260710_ ナンバーナイン_うっかり召喚しちゃった世話やき溺愛淫魔によしよしえっちで堕とされる")</f>
        <v>20260710_ ナンバーナイン_うっかり召喚しちゃった世話やき溺愛淫魔によしよしえっちで堕とされる</v>
      </c>
      <c r="T5609" s="22" t="str">
        <f>IFERROR(__xludf.DUMMYFUNCTION("""COMPUTED_VALUE"""),"格納済み")</f>
        <v>格納済み</v>
      </c>
      <c r="U5609" s="9" t="str">
        <f>IFERROR(__xludf.DUMMYFUNCTION("""COMPUTED_VALUE"""),"(C)リベルタ／ナンバーナイン")</f>
        <v>(C)リベルタ／ナンバーナイン</v>
      </c>
      <c r="V5609" s="8"/>
      <c r="W5609" s="8"/>
      <c r="X5609" s="8"/>
      <c r="Y5609" s="8"/>
      <c r="Z5609" s="7"/>
      <c r="AA5609" s="7"/>
      <c r="AB5609" s="7"/>
    </row>
    <row r="5610" ht="15.75" customHeight="1">
      <c r="A5610" s="26">
        <f>IFERROR(__xludf.DUMMYFUNCTION("""COMPUTED_VALUE"""),8313.0)</f>
        <v>8313</v>
      </c>
      <c r="B5610" s="22" t="str">
        <f>IFERROR(__xludf.DUMMYFUNCTION("""COMPUTED_VALUE"""),"確定")</f>
        <v>確定</v>
      </c>
      <c r="C5610" s="28">
        <f>IFERROR(__xludf.DUMMYFUNCTION("""COMPUTED_VALUE"""),46198.0)</f>
        <v>46198</v>
      </c>
      <c r="D5610" s="28">
        <f>IFERROR(__xludf.DUMMYFUNCTION("""COMPUTED_VALUE"""),46217.0)</f>
        <v>46217</v>
      </c>
      <c r="E5610" s="26"/>
      <c r="F5610" s="22" t="str">
        <f>IFERROR(__xludf.DUMMYFUNCTION("""COMPUTED_VALUE"""),"執着系幼馴染のわからせえっち～合コン行くって言ったら、 男がどういう生き物か身体に教えられました…～")</f>
        <v>執着系幼馴染のわからせえっち～合コン行くって言ったら、 男がどういう生き物か身体に教えられました…～</v>
      </c>
      <c r="G5610" s="20" t="str">
        <f>IFERROR(__xludf.DUMMYFUNCTION("""COMPUTED_VALUE"""),"1~3")</f>
        <v>1~3</v>
      </c>
      <c r="H5610" s="22" t="str">
        <f>IFERROR(__xludf.DUMMYFUNCTION("""COMPUTED_VALUE"""),"やさい,ちひろ")</f>
        <v>やさい,ちひろ</v>
      </c>
      <c r="I5610" s="22" t="str">
        <f>IFERROR(__xludf.DUMMYFUNCTION("""COMPUTED_VALUE"""),"TL")</f>
        <v>TL</v>
      </c>
      <c r="J5610" s="22"/>
      <c r="K5610" s="22" t="str">
        <f>IFERROR(__xludf.DUMMYFUNCTION("""COMPUTED_VALUE"""),"リベルタ")</f>
        <v>リベルタ</v>
      </c>
      <c r="L5610" s="22" t="str">
        <f>IFERROR(__xludf.DUMMYFUNCTION("""COMPUTED_VALUE"""),"ナンバーナイン")</f>
        <v>ナンバーナイン</v>
      </c>
      <c r="M5610" s="33">
        <f>IFERROR(__xludf.DUMMYFUNCTION("""COMPUTED_VALUE"""),46244.0)</f>
        <v>46244</v>
      </c>
      <c r="N5610" s="33">
        <f>IFERROR(__xludf.DUMMYFUNCTION("""COMPUTED_VALUE"""),46304.0)</f>
        <v>46304</v>
      </c>
      <c r="O5610" s="20" t="str">
        <f>IFERROR(__xludf.DUMMYFUNCTION("""COMPUTED_VALUE"""),"【アダルト作品扱い】")</f>
        <v>【アダルト作品扱い】</v>
      </c>
      <c r="P5610" s="32" t="str">
        <f>IFERROR(__xludf.DUMMYFUNCTION("""COMPUTED_VALUE"""),"可")</f>
        <v>可</v>
      </c>
      <c r="Q5610" s="30" t="str">
        <f>IFERROR(__xludf.DUMMYFUNCTION("""COMPUTED_VALUE"""),"R版も配信。がるまに")</f>
        <v>R版も配信。がるまに</v>
      </c>
      <c r="R5610" s="22"/>
      <c r="S5610" s="22" t="str">
        <f>IFERROR(__xludf.DUMMYFUNCTION("""COMPUTED_VALUE"""),"20260710_ ナンバーナイン_執着系幼馴染のわからせえっち～合コン行くって言ったら、 男がどういう生き物か身体に教えられました…～")</f>
        <v>20260710_ ナンバーナイン_執着系幼馴染のわからせえっち～合コン行くって言ったら、 男がどういう生き物か身体に教えられました…～</v>
      </c>
      <c r="T5610" s="22" t="str">
        <f>IFERROR(__xludf.DUMMYFUNCTION("""COMPUTED_VALUE"""),"格納済み")</f>
        <v>格納済み</v>
      </c>
      <c r="U5610" s="9" t="str">
        <f>IFERROR(__xludf.DUMMYFUNCTION("""COMPUTED_VALUE"""),"(C)リベルタ／ナンバーナイン")</f>
        <v>(C)リベルタ／ナンバーナイン</v>
      </c>
      <c r="V5610" s="8"/>
      <c r="W5610" s="8"/>
      <c r="X5610" s="8"/>
      <c r="Y5610" s="8"/>
      <c r="Z5610" s="7"/>
      <c r="AA5610" s="7"/>
      <c r="AB5610" s="7"/>
    </row>
    <row r="5611" ht="15.75" customHeight="1">
      <c r="A5611" s="26">
        <f>IFERROR(__xludf.DUMMYFUNCTION("""COMPUTED_VALUE"""),8315.0)</f>
        <v>8315</v>
      </c>
      <c r="B5611" s="22" t="str">
        <f>IFERROR(__xludf.DUMMYFUNCTION("""COMPUTED_VALUE"""),"確定")</f>
        <v>確定</v>
      </c>
      <c r="C5611" s="28">
        <f>IFERROR(__xludf.DUMMYFUNCTION("""COMPUTED_VALUE"""),46198.0)</f>
        <v>46198</v>
      </c>
      <c r="D5611" s="28">
        <f>IFERROR(__xludf.DUMMYFUNCTION("""COMPUTED_VALUE"""),46213.0)</f>
        <v>46213</v>
      </c>
      <c r="E5611" s="26"/>
      <c r="F5611" s="22" t="str">
        <f>IFERROR(__xludf.DUMMYFUNCTION("""COMPUTED_VALUE"""),"激重カレシ奏多くんに振りまわされっぱなし")</f>
        <v>激重カレシ奏多くんに振りまわされっぱなし</v>
      </c>
      <c r="G5611" s="20" t="str">
        <f>IFERROR(__xludf.DUMMYFUNCTION("""COMPUTED_VALUE"""),"1~3")</f>
        <v>1~3</v>
      </c>
      <c r="H5611" s="22" t="str">
        <f>IFERROR(__xludf.DUMMYFUNCTION("""COMPUTED_VALUE"""),"ヨナカベベ,おばな。")</f>
        <v>ヨナカベベ,おばな。</v>
      </c>
      <c r="I5611" s="22" t="str">
        <f>IFERROR(__xludf.DUMMYFUNCTION("""COMPUTED_VALUE"""),"TL")</f>
        <v>TL</v>
      </c>
      <c r="J5611" s="22"/>
      <c r="K5611" s="22" t="str">
        <f>IFERROR(__xludf.DUMMYFUNCTION("""COMPUTED_VALUE"""),"リベルタ")</f>
        <v>リベルタ</v>
      </c>
      <c r="L5611" s="22" t="str">
        <f>IFERROR(__xludf.DUMMYFUNCTION("""COMPUTED_VALUE"""),"ナンバーナイン")</f>
        <v>ナンバーナイン</v>
      </c>
      <c r="M5611" s="33">
        <f>IFERROR(__xludf.DUMMYFUNCTION("""COMPUTED_VALUE"""),46244.0)</f>
        <v>46244</v>
      </c>
      <c r="N5611" s="33">
        <f>IFERROR(__xludf.DUMMYFUNCTION("""COMPUTED_VALUE"""),46304.0)</f>
        <v>46304</v>
      </c>
      <c r="O5611" s="20" t="str">
        <f>IFERROR(__xludf.DUMMYFUNCTION("""COMPUTED_VALUE"""),"【アダルト作品扱い】")</f>
        <v>【アダルト作品扱い】</v>
      </c>
      <c r="P5611" s="32" t="str">
        <f>IFERROR(__xludf.DUMMYFUNCTION("""COMPUTED_VALUE"""),"可")</f>
        <v>可</v>
      </c>
      <c r="Q5611" s="30" t="str">
        <f>IFERROR(__xludf.DUMMYFUNCTION("""COMPUTED_VALUE"""),"R版も配信。がるまに")</f>
        <v>R版も配信。がるまに</v>
      </c>
      <c r="R5611" s="22"/>
      <c r="S5611" s="22" t="str">
        <f>IFERROR(__xludf.DUMMYFUNCTION("""COMPUTED_VALUE"""),"20260710_  ナンバーナイン_激重カレシ奏多くんに振りまわされっぱなし")</f>
        <v>20260710_  ナンバーナイン_激重カレシ奏多くんに振りまわされっぱなし</v>
      </c>
      <c r="T5611" s="22" t="str">
        <f>IFERROR(__xludf.DUMMYFUNCTION("""COMPUTED_VALUE"""),"格納済み")</f>
        <v>格納済み</v>
      </c>
      <c r="U5611" s="9" t="str">
        <f>IFERROR(__xludf.DUMMYFUNCTION("""COMPUTED_VALUE"""),"(C)リベルタ／ナンバーナイン")</f>
        <v>(C)リベルタ／ナンバーナイン</v>
      </c>
      <c r="V5611" s="8"/>
      <c r="W5611" s="8"/>
      <c r="X5611" s="8"/>
      <c r="Y5611" s="8"/>
      <c r="Z5611" s="7"/>
      <c r="AA5611" s="7"/>
      <c r="AB5611" s="7"/>
    </row>
    <row r="5612" ht="15.75" customHeight="1">
      <c r="A5612" s="26">
        <f>IFERROR(__xludf.DUMMYFUNCTION("""COMPUTED_VALUE"""),8317.0)</f>
        <v>8317</v>
      </c>
      <c r="B5612" s="22" t="str">
        <f>IFERROR(__xludf.DUMMYFUNCTION("""COMPUTED_VALUE"""),"確定")</f>
        <v>確定</v>
      </c>
      <c r="C5612" s="28">
        <f>IFERROR(__xludf.DUMMYFUNCTION("""COMPUTED_VALUE"""),46198.0)</f>
        <v>46198</v>
      </c>
      <c r="D5612" s="28">
        <f>IFERROR(__xludf.DUMMYFUNCTION("""COMPUTED_VALUE"""),46216.0)</f>
        <v>46216</v>
      </c>
      <c r="E5612" s="26"/>
      <c r="F5612" s="22" t="str">
        <f>IFERROR(__xludf.DUMMYFUNCTION("""COMPUTED_VALUE"""),"推しに推される異世界転生～洗脳×快楽×共依存えっち～")</f>
        <v>推しに推される異世界転生～洗脳×快楽×共依存えっち～</v>
      </c>
      <c r="G5612" s="20" t="str">
        <f>IFERROR(__xludf.DUMMYFUNCTION("""COMPUTED_VALUE"""),"1~3")</f>
        <v>1~3</v>
      </c>
      <c r="H5612" s="22" t="str">
        <f>IFERROR(__xludf.DUMMYFUNCTION("""COMPUTED_VALUE"""),"花房アルコ,希之本昨日")</f>
        <v>花房アルコ,希之本昨日</v>
      </c>
      <c r="I5612" s="22" t="str">
        <f>IFERROR(__xludf.DUMMYFUNCTION("""COMPUTED_VALUE"""),"TL")</f>
        <v>TL</v>
      </c>
      <c r="J5612" s="22"/>
      <c r="K5612" s="22" t="str">
        <f>IFERROR(__xludf.DUMMYFUNCTION("""COMPUTED_VALUE"""),"リベルタ")</f>
        <v>リベルタ</v>
      </c>
      <c r="L5612" s="22" t="str">
        <f>IFERROR(__xludf.DUMMYFUNCTION("""COMPUTED_VALUE"""),"ナンバーナイン")</f>
        <v>ナンバーナイン</v>
      </c>
      <c r="M5612" s="33">
        <f>IFERROR(__xludf.DUMMYFUNCTION("""COMPUTED_VALUE"""),46244.0)</f>
        <v>46244</v>
      </c>
      <c r="N5612" s="33">
        <f>IFERROR(__xludf.DUMMYFUNCTION("""COMPUTED_VALUE"""),46304.0)</f>
        <v>46304</v>
      </c>
      <c r="O5612" s="20" t="str">
        <f>IFERROR(__xludf.DUMMYFUNCTION("""COMPUTED_VALUE"""),"【アダルト作品扱い】")</f>
        <v>【アダルト作品扱い】</v>
      </c>
      <c r="P5612" s="32" t="str">
        <f>IFERROR(__xludf.DUMMYFUNCTION("""COMPUTED_VALUE"""),"可")</f>
        <v>可</v>
      </c>
      <c r="Q5612" s="30" t="str">
        <f>IFERROR(__xludf.DUMMYFUNCTION("""COMPUTED_VALUE"""),"R版も配信。がるまに")</f>
        <v>R版も配信。がるまに</v>
      </c>
      <c r="R5612" s="22"/>
      <c r="S5612" s="22" t="str">
        <f>IFERROR(__xludf.DUMMYFUNCTION("""COMPUTED_VALUE"""),"20260710_ ナンバーナイン_推しに推される異世界転生～洗脳×快楽×共依存えっち～")</f>
        <v>20260710_ ナンバーナイン_推しに推される異世界転生～洗脳×快楽×共依存えっち～</v>
      </c>
      <c r="T5612" s="22" t="str">
        <f>IFERROR(__xludf.DUMMYFUNCTION("""COMPUTED_VALUE"""),"格納済み")</f>
        <v>格納済み</v>
      </c>
      <c r="U5612" s="9" t="str">
        <f>IFERROR(__xludf.DUMMYFUNCTION("""COMPUTED_VALUE"""),"(C)リベルタ／ナンバーナイン")</f>
        <v>(C)リベルタ／ナンバーナイン</v>
      </c>
      <c r="V5612" s="8"/>
      <c r="W5612" s="8"/>
      <c r="X5612" s="8"/>
      <c r="Y5612" s="8"/>
      <c r="Z5612" s="7"/>
      <c r="AA5612" s="7"/>
      <c r="AB5612" s="7"/>
    </row>
    <row r="5613" ht="15.75" customHeight="1">
      <c r="A5613" s="26">
        <f>IFERROR(__xludf.DUMMYFUNCTION("""COMPUTED_VALUE"""),8319.0)</f>
        <v>8319</v>
      </c>
      <c r="B5613" s="22" t="str">
        <f>IFERROR(__xludf.DUMMYFUNCTION("""COMPUTED_VALUE"""),"確定")</f>
        <v>確定</v>
      </c>
      <c r="C5613" s="28">
        <f>IFERROR(__xludf.DUMMYFUNCTION("""COMPUTED_VALUE"""),46198.0)</f>
        <v>46198</v>
      </c>
      <c r="D5613" s="28">
        <f>IFERROR(__xludf.DUMMYFUNCTION("""COMPUTED_VALUE"""),46218.0)</f>
        <v>46218</v>
      </c>
      <c r="E5613" s="26"/>
      <c r="F5613" s="22" t="str">
        <f>IFERROR(__xludf.DUMMYFUNCTION("""COMPUTED_VALUE"""),"眠れない私がソフレ先輩のぐちゃとろ寝かしつけ交尾に躾けられるまで")</f>
        <v>眠れない私がソフレ先輩のぐちゃとろ寝かしつけ交尾に躾けられるまで</v>
      </c>
      <c r="G5613" s="20" t="str">
        <f>IFERROR(__xludf.DUMMYFUNCTION("""COMPUTED_VALUE"""),"1~3")</f>
        <v>1~3</v>
      </c>
      <c r="H5613" s="22" t="str">
        <f>IFERROR(__xludf.DUMMYFUNCTION("""COMPUTED_VALUE"""),"夏尾,上賀茂")</f>
        <v>夏尾,上賀茂</v>
      </c>
      <c r="I5613" s="22" t="str">
        <f>IFERROR(__xludf.DUMMYFUNCTION("""COMPUTED_VALUE"""),"TL")</f>
        <v>TL</v>
      </c>
      <c r="J5613" s="22"/>
      <c r="K5613" s="22" t="str">
        <f>IFERROR(__xludf.DUMMYFUNCTION("""COMPUTED_VALUE"""),"リベルタ")</f>
        <v>リベルタ</v>
      </c>
      <c r="L5613" s="22" t="str">
        <f>IFERROR(__xludf.DUMMYFUNCTION("""COMPUTED_VALUE"""),"ナンバーナイン")</f>
        <v>ナンバーナイン</v>
      </c>
      <c r="M5613" s="33">
        <f>IFERROR(__xludf.DUMMYFUNCTION("""COMPUTED_VALUE"""),46244.0)</f>
        <v>46244</v>
      </c>
      <c r="N5613" s="33">
        <f>IFERROR(__xludf.DUMMYFUNCTION("""COMPUTED_VALUE"""),46304.0)</f>
        <v>46304</v>
      </c>
      <c r="O5613" s="20" t="str">
        <f>IFERROR(__xludf.DUMMYFUNCTION("""COMPUTED_VALUE"""),"【アダルト作品扱い】")</f>
        <v>【アダルト作品扱い】</v>
      </c>
      <c r="P5613" s="32" t="str">
        <f>IFERROR(__xludf.DUMMYFUNCTION("""COMPUTED_VALUE"""),"可")</f>
        <v>可</v>
      </c>
      <c r="Q5613" s="30" t="str">
        <f>IFERROR(__xludf.DUMMYFUNCTION("""COMPUTED_VALUE"""),"がるまに")</f>
        <v>がるまに</v>
      </c>
      <c r="R5613" s="22"/>
      <c r="S5613" s="22" t="str">
        <f>IFERROR(__xludf.DUMMYFUNCTION("""COMPUTED_VALUE"""),"20260714_ ナンバーナイン_眠れない私がソフレ先輩のぐちゃとろ寝かしつけ交尾に躾けられるまで")</f>
        <v>20260714_ ナンバーナイン_眠れない私がソフレ先輩のぐちゃとろ寝かしつけ交尾に躾けられるまで</v>
      </c>
      <c r="T5613" s="22" t="str">
        <f>IFERROR(__xludf.DUMMYFUNCTION("""COMPUTED_VALUE"""),"格納済み")</f>
        <v>格納済み</v>
      </c>
      <c r="U5613" s="9" t="str">
        <f>IFERROR(__xludf.DUMMYFUNCTION("""COMPUTED_VALUE"""),"(C)リベルタ／ナンバーナイン")</f>
        <v>(C)リベルタ／ナンバーナイン</v>
      </c>
      <c r="V5613" s="8"/>
      <c r="W5613" s="8"/>
      <c r="X5613" s="8"/>
      <c r="Y5613" s="8"/>
      <c r="Z5613" s="7"/>
      <c r="AA5613" s="7"/>
      <c r="AB5613" s="7"/>
    </row>
    <row r="5614" ht="15.75" customHeight="1">
      <c r="A5614" s="26">
        <f>IFERROR(__xludf.DUMMYFUNCTION("""COMPUTED_VALUE"""),8322.0)</f>
        <v>8322</v>
      </c>
      <c r="B5614" s="22" t="str">
        <f>IFERROR(__xludf.DUMMYFUNCTION("""COMPUTED_VALUE"""),"確定")</f>
        <v>確定</v>
      </c>
      <c r="C5614" s="28">
        <f>IFERROR(__xludf.DUMMYFUNCTION("""COMPUTED_VALUE"""),46199.0)</f>
        <v>46199</v>
      </c>
      <c r="D5614" s="28">
        <f>IFERROR(__xludf.DUMMYFUNCTION("""COMPUTED_VALUE"""),46212.0)</f>
        <v>46212</v>
      </c>
      <c r="E5614" s="26"/>
      <c r="F5614" s="22" t="str">
        <f>IFERROR(__xludf.DUMMYFUNCTION("""COMPUTED_VALUE"""),"放課後リミテッドウィッシュ ～クラスメイトと行く異世界ダンジョンが、ガチすぎる～")</f>
        <v>放課後リミテッドウィッシュ ～クラスメイトと行く異世界ダンジョンが、ガチすぎる～</v>
      </c>
      <c r="G5614" s="20" t="str">
        <f>IFERROR(__xludf.DUMMYFUNCTION("""COMPUTED_VALUE"""),"1~3")</f>
        <v>1~3</v>
      </c>
      <c r="H5614" s="22" t="str">
        <f>IFERROR(__xludf.DUMMYFUNCTION("""COMPUTED_VALUE"""),"一智和智,古場みすみ")</f>
        <v>一智和智,古場みすみ</v>
      </c>
      <c r="I5614" s="22" t="str">
        <f>IFERROR(__xludf.DUMMYFUNCTION("""COMPUTED_VALUE"""),"青年")</f>
        <v>青年</v>
      </c>
      <c r="J5614" s="22"/>
      <c r="K5614" s="22"/>
      <c r="L5614" s="22" t="str">
        <f>IFERROR(__xludf.DUMMYFUNCTION("""COMPUTED_VALUE"""),"グループ・ゼロ")</f>
        <v>グループ・ゼロ</v>
      </c>
      <c r="M5614" s="33">
        <f>IFERROR(__xludf.DUMMYFUNCTION("""COMPUTED_VALUE"""),46253.0)</f>
        <v>46253</v>
      </c>
      <c r="N5614" s="33">
        <f>IFERROR(__xludf.DUMMYFUNCTION("""COMPUTED_VALUE"""),46314.0)</f>
        <v>46314</v>
      </c>
      <c r="O5614" s="20"/>
      <c r="P5614" s="32" t="str">
        <f>IFERROR(__xludf.DUMMYFUNCTION("""COMPUTED_VALUE"""),"否")</f>
        <v>否</v>
      </c>
      <c r="Q5614" s="30"/>
      <c r="R5614" s="22" t="str">
        <f>IFERROR(__xludf.DUMMYFUNCTION("""COMPUTED_VALUE"""),"コミットOK")</f>
        <v>コミットOK</v>
      </c>
      <c r="S5614" s="22" t="str">
        <f>IFERROR(__xludf.DUMMYFUNCTION("""COMPUTED_VALUE"""),"20260709 _グループ・ゼロ_放課後リミテッドウィッシュ")</f>
        <v>20260709 _グループ・ゼロ_放課後リミテッドウィッシュ</v>
      </c>
      <c r="T5614" s="22" t="str">
        <f>IFERROR(__xludf.DUMMYFUNCTION("""COMPUTED_VALUE"""),"格納済み")</f>
        <v>格納済み</v>
      </c>
      <c r="U5614" s="9" t="str">
        <f>IFERROR(__xludf.DUMMYFUNCTION("""COMPUTED_VALUE"""),"一智和智／古場みすみ／グループ・ゼロ")</f>
        <v>一智和智／古場みすみ／グループ・ゼロ</v>
      </c>
      <c r="V5614" s="8"/>
      <c r="W5614" s="8"/>
      <c r="X5614" s="8"/>
      <c r="Y5614" s="8"/>
      <c r="Z5614" s="7"/>
      <c r="AA5614" s="7"/>
      <c r="AB5614" s="7"/>
    </row>
    <row r="5615" ht="15.75" customHeight="1">
      <c r="A5615" s="26">
        <f>IFERROR(__xludf.DUMMYFUNCTION("""COMPUTED_VALUE"""),8378.0)</f>
        <v>8378</v>
      </c>
      <c r="B5615" s="22" t="str">
        <f>IFERROR(__xludf.DUMMYFUNCTION("""COMPUTED_VALUE"""),"確定")</f>
        <v>確定</v>
      </c>
      <c r="C5615" s="28">
        <f>IFERROR(__xludf.DUMMYFUNCTION("""COMPUTED_VALUE"""),46203.0)</f>
        <v>46203</v>
      </c>
      <c r="D5615" s="28">
        <f>IFERROR(__xludf.DUMMYFUNCTION("""COMPUTED_VALUE"""),46217.0)</f>
        <v>46217</v>
      </c>
      <c r="E5615" s="26"/>
      <c r="F5615" s="22" t="str">
        <f>IFERROR(__xludf.DUMMYFUNCTION("""COMPUTED_VALUE"""),"二人のカンケイ【R-18版】")</f>
        <v>二人のカンケイ【R-18版】</v>
      </c>
      <c r="G5615" s="20" t="str">
        <f>IFERROR(__xludf.DUMMYFUNCTION("""COMPUTED_VALUE"""),"1~3")</f>
        <v>1~3</v>
      </c>
      <c r="H5615" s="22" t="str">
        <f>IFERROR(__xludf.DUMMYFUNCTION("""COMPUTED_VALUE"""),"ひしのれもん")</f>
        <v>ひしのれもん</v>
      </c>
      <c r="I5615" s="22" t="str">
        <f>IFERROR(__xludf.DUMMYFUNCTION("""COMPUTED_VALUE"""),"アダルト")</f>
        <v>アダルト</v>
      </c>
      <c r="J5615" s="22"/>
      <c r="K5615" s="22" t="str">
        <f>IFERROR(__xludf.DUMMYFUNCTION("""COMPUTED_VALUE"""),"Close Moon")</f>
        <v>Close Moon</v>
      </c>
      <c r="L5615" s="22" t="str">
        <f>IFERROR(__xludf.DUMMYFUNCTION("""COMPUTED_VALUE"""),"ナンバーナイン")</f>
        <v>ナンバーナイン</v>
      </c>
      <c r="M5615" s="33">
        <f>IFERROR(__xludf.DUMMYFUNCTION("""COMPUTED_VALUE"""),46256.0)</f>
        <v>46256</v>
      </c>
      <c r="N5615" s="33">
        <f>IFERROR(__xludf.DUMMYFUNCTION("""COMPUTED_VALUE"""),46316.0)</f>
        <v>46316</v>
      </c>
      <c r="O5615" s="20"/>
      <c r="P5615" s="32" t="str">
        <f>IFERROR(__xludf.DUMMYFUNCTION("""COMPUTED_VALUE"""),"可")</f>
        <v>可</v>
      </c>
      <c r="Q5615" s="30"/>
      <c r="R5615" s="22"/>
      <c r="S5615" s="22" t="str">
        <f>IFERROR(__xludf.DUMMYFUNCTION("""COMPUTED_VALUE"""),"20260714_ ナンバーナイン_二人のカンケイ【R-18版】")</f>
        <v>20260714_ ナンバーナイン_二人のカンケイ【R-18版】</v>
      </c>
      <c r="T5615" s="22" t="str">
        <f>IFERROR(__xludf.DUMMYFUNCTION("""COMPUTED_VALUE"""),"格納済み")</f>
        <v>格納済み</v>
      </c>
      <c r="U5615" s="9" t="str">
        <f>IFERROR(__xludf.DUMMYFUNCTION("""COMPUTED_VALUE"""),"(C)ひしのれもん／ナンバーナイン")</f>
        <v>(C)ひしのれもん／ナンバーナイン</v>
      </c>
      <c r="V5615" s="8"/>
      <c r="W5615" s="8"/>
      <c r="X5615" s="8"/>
      <c r="Y5615" s="8"/>
      <c r="Z5615" s="7"/>
      <c r="AA5615" s="7"/>
      <c r="AB5615" s="7"/>
    </row>
    <row r="5616" ht="15.75" customHeight="1">
      <c r="A5616" s="26">
        <f>IFERROR(__xludf.DUMMYFUNCTION("""COMPUTED_VALUE"""),8379.0)</f>
        <v>8379</v>
      </c>
      <c r="B5616" s="22" t="str">
        <f>IFERROR(__xludf.DUMMYFUNCTION("""COMPUTED_VALUE"""),"確定")</f>
        <v>確定</v>
      </c>
      <c r="C5616" s="28">
        <f>IFERROR(__xludf.DUMMYFUNCTION("""COMPUTED_VALUE"""),46203.0)</f>
        <v>46203</v>
      </c>
      <c r="D5616" s="28">
        <f>IFERROR(__xludf.DUMMYFUNCTION("""COMPUTED_VALUE"""),46217.0)</f>
        <v>46217</v>
      </c>
      <c r="E5616" s="26"/>
      <c r="F5616" s="22" t="str">
        <f>IFERROR(__xludf.DUMMYFUNCTION("""COMPUTED_VALUE"""),"形だけの婚約者に焦がれるほど愛されて【R-18版】")</f>
        <v>形だけの婚約者に焦がれるほど愛されて【R-18版】</v>
      </c>
      <c r="G5616" s="20" t="str">
        <f>IFERROR(__xludf.DUMMYFUNCTION("""COMPUTED_VALUE"""),"1~3")</f>
        <v>1~3</v>
      </c>
      <c r="H5616" s="22" t="str">
        <f>IFERROR(__xludf.DUMMYFUNCTION("""COMPUTED_VALUE"""),"晴月ぴの")</f>
        <v>晴月ぴの</v>
      </c>
      <c r="I5616" s="22" t="str">
        <f>IFERROR(__xludf.DUMMYFUNCTION("""COMPUTED_VALUE"""),"アダルト")</f>
        <v>アダルト</v>
      </c>
      <c r="J5616" s="22"/>
      <c r="K5616" s="22" t="str">
        <f>IFERROR(__xludf.DUMMYFUNCTION("""COMPUTED_VALUE"""),"Close Moon")</f>
        <v>Close Moon</v>
      </c>
      <c r="L5616" s="22" t="str">
        <f>IFERROR(__xludf.DUMMYFUNCTION("""COMPUTED_VALUE"""),"ナンバーナイン")</f>
        <v>ナンバーナイン</v>
      </c>
      <c r="M5616" s="33">
        <f>IFERROR(__xludf.DUMMYFUNCTION("""COMPUTED_VALUE"""),46256.0)</f>
        <v>46256</v>
      </c>
      <c r="N5616" s="33">
        <f>IFERROR(__xludf.DUMMYFUNCTION("""COMPUTED_VALUE"""),46316.0)</f>
        <v>46316</v>
      </c>
      <c r="O5616" s="20"/>
      <c r="P5616" s="32" t="str">
        <f>IFERROR(__xludf.DUMMYFUNCTION("""COMPUTED_VALUE"""),"可")</f>
        <v>可</v>
      </c>
      <c r="Q5616" s="30" t="str">
        <f>IFERROR(__xludf.DUMMYFUNCTION("""COMPUTED_VALUE"""),"がるまに")</f>
        <v>がるまに</v>
      </c>
      <c r="R5616" s="22" t="str">
        <f>IFERROR(__xludf.DUMMYFUNCTION("""COMPUTED_VALUE"""),"コミットOK")</f>
        <v>コミットOK</v>
      </c>
      <c r="S5616" s="22" t="str">
        <f>IFERROR(__xludf.DUMMYFUNCTION("""COMPUTED_VALUE"""),"20260714_ ナンバーナイン_形だけの婚約者に焦がれるほど愛されて【R-18版】")</f>
        <v>20260714_ ナンバーナイン_形だけの婚約者に焦がれるほど愛されて【R-18版】</v>
      </c>
      <c r="T5616" s="22" t="str">
        <f>IFERROR(__xludf.DUMMYFUNCTION("""COMPUTED_VALUE"""),"格納済み")</f>
        <v>格納済み</v>
      </c>
      <c r="U5616" s="9" t="str">
        <f>IFERROR(__xludf.DUMMYFUNCTION("""COMPUTED_VALUE"""),"(C)晴月ぴの／ナンバーナイン")</f>
        <v>(C)晴月ぴの／ナンバーナイン</v>
      </c>
      <c r="V5616" s="8"/>
      <c r="W5616" s="8"/>
      <c r="X5616" s="8"/>
      <c r="Y5616" s="8"/>
      <c r="Z5616" s="7"/>
      <c r="AA5616" s="7"/>
      <c r="AB5616" s="7"/>
    </row>
    <row r="5617" ht="15.75" customHeight="1">
      <c r="A5617" s="26">
        <f>IFERROR(__xludf.DUMMYFUNCTION("""COMPUTED_VALUE"""),8406.0)</f>
        <v>8406</v>
      </c>
      <c r="B5617" s="22" t="str">
        <f>IFERROR(__xludf.DUMMYFUNCTION("""COMPUTED_VALUE"""),"確定")</f>
        <v>確定</v>
      </c>
      <c r="C5617" s="28">
        <f>IFERROR(__xludf.DUMMYFUNCTION("""COMPUTED_VALUE"""),46206.0)</f>
        <v>46206</v>
      </c>
      <c r="D5617" s="28">
        <f>IFERROR(__xludf.DUMMYFUNCTION("""COMPUTED_VALUE"""),46217.0)</f>
        <v>46217</v>
      </c>
      <c r="E5617" s="26"/>
      <c r="F5617" s="22" t="str">
        <f>IFERROR(__xludf.DUMMYFUNCTION("""COMPUTED_VALUE"""),"その不倫、おいくらですか？〜夫に高額請求する方法〜")</f>
        <v>その不倫、おいくらですか？〜夫に高額請求する方法〜</v>
      </c>
      <c r="G5617" s="20" t="str">
        <f>IFERROR(__xludf.DUMMYFUNCTION("""COMPUTED_VALUE"""),"1～3")</f>
        <v>1～3</v>
      </c>
      <c r="H5617" s="22" t="str">
        <f>IFERROR(__xludf.DUMMYFUNCTION("""COMPUTED_VALUE"""),"福豆九／SORAJIMA")</f>
        <v>福豆九／SORAJIMA</v>
      </c>
      <c r="I5617" s="22" t="str">
        <f>IFERROR(__xludf.DUMMYFUNCTION("""COMPUTED_VALUE"""),"女性")</f>
        <v>女性</v>
      </c>
      <c r="J5617" s="22"/>
      <c r="K5617" s="22"/>
      <c r="L5617" s="22" t="str">
        <f>IFERROR(__xludf.DUMMYFUNCTION("""COMPUTED_VALUE"""),"SORAJIMA")</f>
        <v>SORAJIMA</v>
      </c>
      <c r="M5617" s="33">
        <f>IFERROR(__xludf.DUMMYFUNCTION("""COMPUTED_VALUE"""),46248.0)</f>
        <v>46248</v>
      </c>
      <c r="N5617" s="33">
        <f>IFERROR(__xludf.DUMMYFUNCTION("""COMPUTED_VALUE"""),46339.0)</f>
        <v>46339</v>
      </c>
      <c r="O5617" s="20"/>
      <c r="P5617" s="32" t="str">
        <f>IFERROR(__xludf.DUMMYFUNCTION("""COMPUTED_VALUE"""),"可")</f>
        <v>可</v>
      </c>
      <c r="Q5617" s="30" t="str">
        <f>IFERROR(__xludf.DUMMYFUNCTION("""COMPUTED_VALUE"""),"※コピーライトについて※&lt;BR&gt;他作品とは異なる形ではありますが記載のもので問題ございません。（出版社様にも確認済み）")</f>
        <v>※コピーライトについて※&lt;BR&gt;他作品とは異なる形ではありますが記載のもので問題ございません。（出版社様にも確認済み）</v>
      </c>
      <c r="R5617" s="22" t="str">
        <f>IFERROR(__xludf.DUMMYFUNCTION("""COMPUTED_VALUE"""),"コミットOK")</f>
        <v>コミットOK</v>
      </c>
      <c r="S5617" s="22" t="str">
        <f>IFERROR(__xludf.DUMMYFUNCTION("""COMPUTED_VALUE"""),"20260702_SORAJIMA_その不倫、おいくらですか？〜夫に高額請求する方法〜")</f>
        <v>20260702_SORAJIMA_その不倫、おいくらですか？〜夫に高額請求する方法〜</v>
      </c>
      <c r="T5617" s="22" t="str">
        <f>IFERROR(__xludf.DUMMYFUNCTION("""COMPUTED_VALUE"""),"格納済み")</f>
        <v>格納済み</v>
      </c>
      <c r="U5617" s="9" t="str">
        <f>IFERROR(__xludf.DUMMYFUNCTION("""COMPUTED_VALUE"""),"Ⓒ福豆九、SORAJIMA")</f>
        <v>Ⓒ福豆九、SORAJIMA</v>
      </c>
      <c r="V5617" s="8"/>
      <c r="W5617" s="8"/>
      <c r="X5617" s="8"/>
      <c r="Y5617" s="8"/>
      <c r="Z5617" s="7"/>
      <c r="AA5617" s="7"/>
      <c r="AB5617" s="7"/>
    </row>
    <row r="5618" ht="15.75" customHeight="1">
      <c r="A5618" s="26">
        <f>IFERROR(__xludf.DUMMYFUNCTION("""COMPUTED_VALUE"""),8409.0)</f>
        <v>8409</v>
      </c>
      <c r="B5618" s="22" t="str">
        <f>IFERROR(__xludf.DUMMYFUNCTION("""COMPUTED_VALUE"""),"確定")</f>
        <v>確定</v>
      </c>
      <c r="C5618" s="28">
        <f>IFERROR(__xludf.DUMMYFUNCTION("""COMPUTED_VALUE"""),46209.0)</f>
        <v>46209</v>
      </c>
      <c r="D5618" s="28">
        <f>IFERROR(__xludf.DUMMYFUNCTION("""COMPUTED_VALUE"""),46216.0)</f>
        <v>46216</v>
      </c>
      <c r="E5618" s="26"/>
      <c r="F5618" s="22" t="str">
        <f>IFERROR(__xludf.DUMMYFUNCTION("""COMPUTED_VALUE"""),"【ラブコフレ】冷酷な従者は夜ごと主を溺愛する －星の瞬く夜に淫らな逢瀬－")</f>
        <v>【ラブコフレ】冷酷な従者は夜ごと主を溺愛する －星の瞬く夜に淫らな逢瀬－</v>
      </c>
      <c r="G5618" s="20" t="str">
        <f>IFERROR(__xludf.DUMMYFUNCTION("""COMPUTED_VALUE"""),"1~3")</f>
        <v>1~3</v>
      </c>
      <c r="H5618" s="22" t="str">
        <f>IFERROR(__xludf.DUMMYFUNCTION("""COMPUTED_VALUE"""),"白湯")</f>
        <v>白湯</v>
      </c>
      <c r="I5618" s="22" t="str">
        <f>IFERROR(__xludf.DUMMYFUNCTION("""COMPUTED_VALUE"""),"TL")</f>
        <v>TL</v>
      </c>
      <c r="J5618" s="22"/>
      <c r="K5618" s="22" t="str">
        <f>IFERROR(__xludf.DUMMYFUNCTION("""COMPUTED_VALUE"""),"ラブコフレ")</f>
        <v>ラブコフレ</v>
      </c>
      <c r="L5618" s="22" t="str">
        <f>IFERROR(__xludf.DUMMYFUNCTION("""COMPUTED_VALUE"""),"大誠社")</f>
        <v>大誠社</v>
      </c>
      <c r="M5618" s="33">
        <f>IFERROR(__xludf.DUMMYFUNCTION("""COMPUTED_VALUE"""),46244.0)</f>
        <v>46244</v>
      </c>
      <c r="N5618" s="33">
        <f>IFERROR(__xludf.DUMMYFUNCTION("""COMPUTED_VALUE"""),46356.0)</f>
        <v>46356</v>
      </c>
      <c r="O5618" s="20" t="str">
        <f>IFERROR(__xludf.DUMMYFUNCTION("""COMPUTED_VALUE"""),"【アダルト作品扱い】")</f>
        <v>【アダルト作品扱い】</v>
      </c>
      <c r="P5618" s="32" t="str">
        <f>IFERROR(__xludf.DUMMYFUNCTION("""COMPUTED_VALUE"""),"可")</f>
        <v>可</v>
      </c>
      <c r="Q5618" s="30"/>
      <c r="R5618" s="22"/>
      <c r="S5618" s="22" t="str">
        <f>IFERROR(__xludf.DUMMYFUNCTION("""COMPUTED_VALUE"""),"20260710_大誠社_【ラブコフレ】冷酷な従者は夜ごと主を溺愛する_2")</f>
        <v>20260710_大誠社_【ラブコフレ】冷酷な従者は夜ごと主を溺愛する_2</v>
      </c>
      <c r="T5618" s="22" t="str">
        <f>IFERROR(__xludf.DUMMYFUNCTION("""COMPUTED_VALUE"""),"格納済み")</f>
        <v>格納済み</v>
      </c>
      <c r="U5618" s="9" t="str">
        <f>IFERROR(__xludf.DUMMYFUNCTION("""COMPUTED_VALUE"""),"(C) 白湯/大誠社")</f>
        <v>(C) 白湯/大誠社</v>
      </c>
      <c r="V5618" s="8"/>
      <c r="W5618" s="8"/>
      <c r="X5618" s="8"/>
      <c r="Y5618" s="8"/>
      <c r="Z5618" s="7"/>
      <c r="AA5618" s="7"/>
      <c r="AB5618" s="7"/>
    </row>
    <row r="5619" ht="15.75" customHeight="1">
      <c r="A5619" s="26">
        <f>IFERROR(__xludf.DUMMYFUNCTION("""COMPUTED_VALUE"""),8416.0)</f>
        <v>8416</v>
      </c>
      <c r="B5619" s="22" t="str">
        <f>IFERROR(__xludf.DUMMYFUNCTION("""COMPUTED_VALUE"""),"確定")</f>
        <v>確定</v>
      </c>
      <c r="C5619" s="28">
        <f>IFERROR(__xludf.DUMMYFUNCTION("""COMPUTED_VALUE"""),46211.0)</f>
        <v>46211</v>
      </c>
      <c r="D5619" s="28">
        <f>IFERROR(__xludf.DUMMYFUNCTION("""COMPUTED_VALUE"""),46212.0)</f>
        <v>46212</v>
      </c>
      <c r="E5619" s="26"/>
      <c r="F5619" s="22" t="str">
        <f>IFERROR(__xludf.DUMMYFUNCTION("""COMPUTED_VALUE"""),"華奢なカラダを狙う執着エリートからの激重ハメ堕ち_ねっとり赫先生作品【R版】")</f>
        <v>華奢なカラダを狙う執着エリートからの激重ハメ堕ち_ねっとり赫先生作品【R版】</v>
      </c>
      <c r="G5619" s="20">
        <f>IFERROR(__xludf.DUMMYFUNCTION("""COMPUTED_VALUE"""),1.0)</f>
        <v>1</v>
      </c>
      <c r="H5619" s="22" t="str">
        <f>IFERROR(__xludf.DUMMYFUNCTION("""COMPUTED_VALUE"""),"ねっとり赫")</f>
        <v>ねっとり赫</v>
      </c>
      <c r="I5619" s="22" t="str">
        <f>IFERROR(__xludf.DUMMYFUNCTION("""COMPUTED_VALUE"""),"アダルト")</f>
        <v>アダルト</v>
      </c>
      <c r="J5619" s="22"/>
      <c r="K5619" s="22" t="str">
        <f>IFERROR(__xludf.DUMMYFUNCTION("""COMPUTED_VALUE"""),"＠夜噺+")</f>
        <v>＠夜噺+</v>
      </c>
      <c r="L5619" s="22" t="str">
        <f>IFERROR(__xludf.DUMMYFUNCTION("""COMPUTED_VALUE"""),"DEEPER-ZERO")</f>
        <v>DEEPER-ZERO</v>
      </c>
      <c r="M5619" s="33">
        <f>IFERROR(__xludf.DUMMYFUNCTION("""COMPUTED_VALUE"""),46254.0)</f>
        <v>46254</v>
      </c>
      <c r="N5619" s="33">
        <f>IFERROR(__xludf.DUMMYFUNCTION("""COMPUTED_VALUE"""),46281.0)</f>
        <v>46281</v>
      </c>
      <c r="O5619" s="20"/>
      <c r="P5619" s="32" t="str">
        <f>IFERROR(__xludf.DUMMYFUNCTION("""COMPUTED_VALUE"""),"可")</f>
        <v>可</v>
      </c>
      <c r="Q5619" s="30" t="str">
        <f>IFERROR(__xludf.DUMMYFUNCTION("""COMPUTED_VALUE"""),"激重男子のわからせ甘責めに堕とされる溺愛コレクション【R版】　アンソロジー掲載タイトル")</f>
        <v>激重男子のわからせ甘責めに堕とされる溺愛コレクション【R版】　アンソロジー掲載タイトル</v>
      </c>
      <c r="R5619" s="22"/>
      <c r="S5619" s="22" t="str">
        <f>IFERROR(__xludf.DUMMYFUNCTION("""COMPUTED_VALUE"""),"20260708_DEEPER-ZERO_華奢なカラダを狙う執着エリートからの激重ハメ堕ち【R版】")</f>
        <v>20260708_DEEPER-ZERO_華奢なカラダを狙う執着エリートからの激重ハメ堕ち【R版】</v>
      </c>
      <c r="T5619" s="22" t="str">
        <f>IFERROR(__xludf.DUMMYFUNCTION("""COMPUTED_VALUE"""),"格納済み")</f>
        <v>格納済み</v>
      </c>
      <c r="U5619" s="9" t="str">
        <f>IFERROR(__xludf.DUMMYFUNCTION("""COMPUTED_VALUE"""),"Ⓒねっとり赫/DEEPER-ZERO")</f>
        <v>Ⓒねっとり赫/DEEPER-ZERO</v>
      </c>
      <c r="V5619" s="8"/>
      <c r="W5619" s="8"/>
      <c r="X5619" s="8"/>
      <c r="Y5619" s="8"/>
      <c r="Z5619" s="7"/>
      <c r="AA5619" s="7"/>
      <c r="AB5619" s="7"/>
    </row>
    <row r="5620" ht="15.75" customHeight="1">
      <c r="A5620" s="26">
        <f>IFERROR(__xludf.DUMMYFUNCTION("""COMPUTED_VALUE"""),8417.0)</f>
        <v>8417</v>
      </c>
      <c r="B5620" s="22" t="str">
        <f>IFERROR(__xludf.DUMMYFUNCTION("""COMPUTED_VALUE"""),"確定")</f>
        <v>確定</v>
      </c>
      <c r="C5620" s="28">
        <f>IFERROR(__xludf.DUMMYFUNCTION("""COMPUTED_VALUE"""),46211.0)</f>
        <v>46211</v>
      </c>
      <c r="D5620" s="28">
        <f>IFERROR(__xludf.DUMMYFUNCTION("""COMPUTED_VALUE"""),46212.0)</f>
        <v>46212</v>
      </c>
      <c r="E5620" s="26"/>
      <c r="F5620" s="22" t="str">
        <f>IFERROR(__xludf.DUMMYFUNCTION("""COMPUTED_VALUE"""),"エリートOLが、ミステリアスな彼から甘い絶頂管理_尚乱歩ゝぽ先生作品【R版】")</f>
        <v>エリートOLが、ミステリアスな彼から甘い絶頂管理_尚乱歩ゝぽ先生作品【R版】</v>
      </c>
      <c r="G5620" s="20">
        <f>IFERROR(__xludf.DUMMYFUNCTION("""COMPUTED_VALUE"""),1.0)</f>
        <v>1</v>
      </c>
      <c r="H5620" s="22" t="str">
        <f>IFERROR(__xludf.DUMMYFUNCTION("""COMPUTED_VALUE"""),"尚乱歩ゝぽ")</f>
        <v>尚乱歩ゝぽ</v>
      </c>
      <c r="I5620" s="22" t="str">
        <f>IFERROR(__xludf.DUMMYFUNCTION("""COMPUTED_VALUE"""),"アダルト")</f>
        <v>アダルト</v>
      </c>
      <c r="J5620" s="22"/>
      <c r="K5620" s="22" t="str">
        <f>IFERROR(__xludf.DUMMYFUNCTION("""COMPUTED_VALUE"""),"＠夜噺+")</f>
        <v>＠夜噺+</v>
      </c>
      <c r="L5620" s="22" t="str">
        <f>IFERROR(__xludf.DUMMYFUNCTION("""COMPUTED_VALUE"""),"DEEPER-ZERO")</f>
        <v>DEEPER-ZERO</v>
      </c>
      <c r="M5620" s="33">
        <f>IFERROR(__xludf.DUMMYFUNCTION("""COMPUTED_VALUE"""),46254.0)</f>
        <v>46254</v>
      </c>
      <c r="N5620" s="33">
        <f>IFERROR(__xludf.DUMMYFUNCTION("""COMPUTED_VALUE"""),46281.0)</f>
        <v>46281</v>
      </c>
      <c r="O5620" s="20"/>
      <c r="P5620" s="32" t="str">
        <f>IFERROR(__xludf.DUMMYFUNCTION("""COMPUTED_VALUE"""),"可")</f>
        <v>可</v>
      </c>
      <c r="Q5620" s="30" t="str">
        <f>IFERROR(__xludf.DUMMYFUNCTION("""COMPUTED_VALUE"""),"激重男子のわからせ甘責めに堕とされる溺愛コレクション【R版】　アンソロジー掲載タイトル")</f>
        <v>激重男子のわからせ甘責めに堕とされる溺愛コレクション【R版】　アンソロジー掲載タイトル</v>
      </c>
      <c r="R5620" s="22"/>
      <c r="S5620" s="22" t="str">
        <f>IFERROR(__xludf.DUMMYFUNCTION("""COMPUTED_VALUE"""),"20260708_DEEPER-ZERO_エリートOLが、ミステリアスな彼から甘い絶頂管理【R版】")</f>
        <v>20260708_DEEPER-ZERO_エリートOLが、ミステリアスな彼から甘い絶頂管理【R版】</v>
      </c>
      <c r="T5620" s="22" t="str">
        <f>IFERROR(__xludf.DUMMYFUNCTION("""COMPUTED_VALUE"""),"格納済み")</f>
        <v>格納済み</v>
      </c>
      <c r="U5620" s="9" t="str">
        <f>IFERROR(__xludf.DUMMYFUNCTION("""COMPUTED_VALUE"""),"Ⓒ尚乱歩ゝぽ/DEEPER-ZERO")</f>
        <v>Ⓒ尚乱歩ゝぽ/DEEPER-ZERO</v>
      </c>
      <c r="V5620" s="8"/>
      <c r="W5620" s="8"/>
      <c r="X5620" s="8"/>
      <c r="Y5620" s="8"/>
      <c r="Z5620" s="7"/>
      <c r="AA5620" s="7"/>
      <c r="AB5620" s="7"/>
    </row>
    <row r="5621" ht="15.75" customHeight="1">
      <c r="A5621" s="26">
        <f>IFERROR(__xludf.DUMMYFUNCTION("""COMPUTED_VALUE"""),8418.0)</f>
        <v>8418</v>
      </c>
      <c r="B5621" s="22" t="str">
        <f>IFERROR(__xludf.DUMMYFUNCTION("""COMPUTED_VALUE"""),"確定")</f>
        <v>確定</v>
      </c>
      <c r="C5621" s="28">
        <f>IFERROR(__xludf.DUMMYFUNCTION("""COMPUTED_VALUE"""),46211.0)</f>
        <v>46211</v>
      </c>
      <c r="D5621" s="28">
        <f>IFERROR(__xludf.DUMMYFUNCTION("""COMPUTED_VALUE"""),46212.0)</f>
        <v>46212</v>
      </c>
      <c r="E5621" s="26"/>
      <c r="F5621" s="22" t="str">
        <f>IFERROR(__xludf.DUMMYFUNCTION("""COMPUTED_VALUE"""),"愚痴っただけなのに…元後輩に秘密を暴かれてトロトロに_鉢嶺バジル先生作品【R版】")</f>
        <v>愚痴っただけなのに…元後輩に秘密を暴かれてトロトロに_鉢嶺バジル先生作品【R版】</v>
      </c>
      <c r="G5621" s="20">
        <f>IFERROR(__xludf.DUMMYFUNCTION("""COMPUTED_VALUE"""),1.0)</f>
        <v>1</v>
      </c>
      <c r="H5621" s="22" t="str">
        <f>IFERROR(__xludf.DUMMYFUNCTION("""COMPUTED_VALUE"""),"鉢嶺バジル")</f>
        <v>鉢嶺バジル</v>
      </c>
      <c r="I5621" s="22" t="str">
        <f>IFERROR(__xludf.DUMMYFUNCTION("""COMPUTED_VALUE"""),"アダルト")</f>
        <v>アダルト</v>
      </c>
      <c r="J5621" s="22"/>
      <c r="K5621" s="22" t="str">
        <f>IFERROR(__xludf.DUMMYFUNCTION("""COMPUTED_VALUE"""),"＠夜噺+")</f>
        <v>＠夜噺+</v>
      </c>
      <c r="L5621" s="22" t="str">
        <f>IFERROR(__xludf.DUMMYFUNCTION("""COMPUTED_VALUE"""),"DEEPER-ZERO")</f>
        <v>DEEPER-ZERO</v>
      </c>
      <c r="M5621" s="33">
        <f>IFERROR(__xludf.DUMMYFUNCTION("""COMPUTED_VALUE"""),46254.0)</f>
        <v>46254</v>
      </c>
      <c r="N5621" s="33">
        <f>IFERROR(__xludf.DUMMYFUNCTION("""COMPUTED_VALUE"""),46281.0)</f>
        <v>46281</v>
      </c>
      <c r="O5621" s="20"/>
      <c r="P5621" s="32" t="str">
        <f>IFERROR(__xludf.DUMMYFUNCTION("""COMPUTED_VALUE"""),"可")</f>
        <v>可</v>
      </c>
      <c r="Q5621" s="30" t="str">
        <f>IFERROR(__xludf.DUMMYFUNCTION("""COMPUTED_VALUE"""),"激重男子のわからせ甘責めに堕とされる溺愛コレクション【R版】　アンソロジー掲載タイトル")</f>
        <v>激重男子のわからせ甘責めに堕とされる溺愛コレクション【R版】　アンソロジー掲載タイトル</v>
      </c>
      <c r="R5621" s="22"/>
      <c r="S5621" s="22" t="str">
        <f>IFERROR(__xludf.DUMMYFUNCTION("""COMPUTED_VALUE"""),"20260708_DEEPER-ZERO_愚痴っただけなのに…元後輩に秘密を暴かれてトロトロに【R版】")</f>
        <v>20260708_DEEPER-ZERO_愚痴っただけなのに…元後輩に秘密を暴かれてトロトロに【R版】</v>
      </c>
      <c r="T5621" s="22" t="str">
        <f>IFERROR(__xludf.DUMMYFUNCTION("""COMPUTED_VALUE"""),"格納済み")</f>
        <v>格納済み</v>
      </c>
      <c r="U5621" s="9" t="str">
        <f>IFERROR(__xludf.DUMMYFUNCTION("""COMPUTED_VALUE"""),"Ⓒ鉢嶺バジル/DEEPER-ZERO")</f>
        <v>Ⓒ鉢嶺バジル/DEEPER-ZERO</v>
      </c>
      <c r="V5621" s="8"/>
      <c r="W5621" s="8"/>
      <c r="X5621" s="8"/>
      <c r="Y5621" s="8"/>
      <c r="Z5621" s="7"/>
      <c r="AA5621" s="7"/>
      <c r="AB5621" s="7"/>
    </row>
    <row r="5622" ht="15.75" customHeight="1">
      <c r="A5622" s="26">
        <f>IFERROR(__xludf.DUMMYFUNCTION("""COMPUTED_VALUE"""),8419.0)</f>
        <v>8419</v>
      </c>
      <c r="B5622" s="22" t="str">
        <f>IFERROR(__xludf.DUMMYFUNCTION("""COMPUTED_VALUE"""),"確定")</f>
        <v>確定</v>
      </c>
      <c r="C5622" s="28">
        <f>IFERROR(__xludf.DUMMYFUNCTION("""COMPUTED_VALUE"""),46211.0)</f>
        <v>46211</v>
      </c>
      <c r="D5622" s="28">
        <f>IFERROR(__xludf.DUMMYFUNCTION("""COMPUTED_VALUE"""),46213.0)</f>
        <v>46213</v>
      </c>
      <c r="E5622" s="26"/>
      <c r="F5622" s="22" t="str">
        <f>IFERROR(__xludf.DUMMYFUNCTION("""COMPUTED_VALUE"""),"雨宿り、チャラ男の濡れた色気と激甘な本気に陥落_T4先生作品【R版】")</f>
        <v>雨宿り、チャラ男の濡れた色気と激甘な本気に陥落_T4先生作品【R版】</v>
      </c>
      <c r="G5622" s="20">
        <f>IFERROR(__xludf.DUMMYFUNCTION("""COMPUTED_VALUE"""),1.0)</f>
        <v>1</v>
      </c>
      <c r="H5622" s="22" t="str">
        <f>IFERROR(__xludf.DUMMYFUNCTION("""COMPUTED_VALUE"""),"T4")</f>
        <v>T4</v>
      </c>
      <c r="I5622" s="22" t="str">
        <f>IFERROR(__xludf.DUMMYFUNCTION("""COMPUTED_VALUE"""),"アダルト")</f>
        <v>アダルト</v>
      </c>
      <c r="J5622" s="22"/>
      <c r="K5622" s="22" t="str">
        <f>IFERROR(__xludf.DUMMYFUNCTION("""COMPUTED_VALUE"""),"＠夜噺+")</f>
        <v>＠夜噺+</v>
      </c>
      <c r="L5622" s="22" t="str">
        <f>IFERROR(__xludf.DUMMYFUNCTION("""COMPUTED_VALUE"""),"DEEPER-ZERO")</f>
        <v>DEEPER-ZERO</v>
      </c>
      <c r="M5622" s="33">
        <f>IFERROR(__xludf.DUMMYFUNCTION("""COMPUTED_VALUE"""),46254.0)</f>
        <v>46254</v>
      </c>
      <c r="N5622" s="33">
        <f>IFERROR(__xludf.DUMMYFUNCTION("""COMPUTED_VALUE"""),46281.0)</f>
        <v>46281</v>
      </c>
      <c r="O5622" s="20"/>
      <c r="P5622" s="32" t="str">
        <f>IFERROR(__xludf.DUMMYFUNCTION("""COMPUTED_VALUE"""),"可")</f>
        <v>可</v>
      </c>
      <c r="Q5622" s="30" t="str">
        <f>IFERROR(__xludf.DUMMYFUNCTION("""COMPUTED_VALUE"""),"激重男子のわからせ甘責めに堕とされる溺愛コレクション【R版】　アンソロジー掲載タイトル")</f>
        <v>激重男子のわからせ甘責めに堕とされる溺愛コレクション【R版】　アンソロジー掲載タイトル</v>
      </c>
      <c r="R5622" s="22"/>
      <c r="S5622" s="22" t="str">
        <f>IFERROR(__xludf.DUMMYFUNCTION("""COMPUTED_VALUE"""),"20260708_DEEPER-ZERO_雨宿り、チャラ男の濡れた色気と激甘な本気に陥落【R版】")</f>
        <v>20260708_DEEPER-ZERO_雨宿り、チャラ男の濡れた色気と激甘な本気に陥落【R版】</v>
      </c>
      <c r="T5622" s="22" t="str">
        <f>IFERROR(__xludf.DUMMYFUNCTION("""COMPUTED_VALUE"""),"格納済み")</f>
        <v>格納済み</v>
      </c>
      <c r="U5622" s="9" t="str">
        <f>IFERROR(__xludf.DUMMYFUNCTION("""COMPUTED_VALUE"""),"ⒸT4/DEEPER-ZERO")</f>
        <v>ⒸT4/DEEPER-ZERO</v>
      </c>
      <c r="V5622" s="8"/>
      <c r="W5622" s="8"/>
      <c r="X5622" s="8"/>
      <c r="Y5622" s="8"/>
      <c r="Z5622" s="7"/>
      <c r="AA5622" s="7"/>
      <c r="AB5622" s="7"/>
    </row>
    <row r="5623" ht="15.75" customHeight="1">
      <c r="A5623" s="26">
        <f>IFERROR(__xludf.DUMMYFUNCTION("""COMPUTED_VALUE"""),8420.0)</f>
        <v>8420</v>
      </c>
      <c r="B5623" s="22" t="str">
        <f>IFERROR(__xludf.DUMMYFUNCTION("""COMPUTED_VALUE"""),"確定")</f>
        <v>確定</v>
      </c>
      <c r="C5623" s="28">
        <f>IFERROR(__xludf.DUMMYFUNCTION("""COMPUTED_VALUE"""),46211.0)</f>
        <v>46211</v>
      </c>
      <c r="D5623" s="28">
        <f>IFERROR(__xludf.DUMMYFUNCTION("""COMPUTED_VALUE"""),46216.0)</f>
        <v>46216</v>
      </c>
      <c r="E5623" s="26"/>
      <c r="F5623" s="22" t="str">
        <f>IFERROR(__xludf.DUMMYFUNCTION("""COMPUTED_VALUE"""),"華奢なカラダを狙う執着エリートからの激重ハメ堕ち_ねっとり赫先生作品")</f>
        <v>華奢なカラダを狙う執着エリートからの激重ハメ堕ち_ねっとり赫先生作品</v>
      </c>
      <c r="G5623" s="20">
        <f>IFERROR(__xludf.DUMMYFUNCTION("""COMPUTED_VALUE"""),1.0)</f>
        <v>1</v>
      </c>
      <c r="H5623" s="22" t="str">
        <f>IFERROR(__xludf.DUMMYFUNCTION("""COMPUTED_VALUE"""),"ねっとり赫")</f>
        <v>ねっとり赫</v>
      </c>
      <c r="I5623" s="22" t="str">
        <f>IFERROR(__xludf.DUMMYFUNCTION("""COMPUTED_VALUE"""),"TL")</f>
        <v>TL</v>
      </c>
      <c r="J5623" s="22"/>
      <c r="K5623" s="22" t="str">
        <f>IFERROR(__xludf.DUMMYFUNCTION("""COMPUTED_VALUE"""),"＠夜噺")</f>
        <v>＠夜噺</v>
      </c>
      <c r="L5623" s="22" t="str">
        <f>IFERROR(__xludf.DUMMYFUNCTION("""COMPUTED_VALUE"""),"DEEPER-ZERO")</f>
        <v>DEEPER-ZERO</v>
      </c>
      <c r="M5623" s="33">
        <f>IFERROR(__xludf.DUMMYFUNCTION("""COMPUTED_VALUE"""),46254.0)</f>
        <v>46254</v>
      </c>
      <c r="N5623" s="33">
        <f>IFERROR(__xludf.DUMMYFUNCTION("""COMPUTED_VALUE"""),46281.0)</f>
        <v>46281</v>
      </c>
      <c r="O5623" s="20" t="str">
        <f>IFERROR(__xludf.DUMMYFUNCTION("""COMPUTED_VALUE"""),"【アダルト作品扱い】")</f>
        <v>【アダルト作品扱い】</v>
      </c>
      <c r="P5623" s="32" t="str">
        <f>IFERROR(__xludf.DUMMYFUNCTION("""COMPUTED_VALUE"""),"可")</f>
        <v>可</v>
      </c>
      <c r="Q5623" s="30" t="str">
        <f>IFERROR(__xludf.DUMMYFUNCTION("""COMPUTED_VALUE"""),"激重男子のわからせ甘責めに堕とされる溺愛コレクション【TL版】 　アンソロジー掲載タイトル")</f>
        <v>激重男子のわからせ甘責めに堕とされる溺愛コレクション【TL版】 　アンソロジー掲載タイトル</v>
      </c>
      <c r="R5623" s="22"/>
      <c r="S5623" s="22" t="str">
        <f>IFERROR(__xludf.DUMMYFUNCTION("""COMPUTED_VALUE"""),"20260708_DEEPER-ZERO_華奢なカラダを狙う執着エリートからの激重ハメ堕ち【TL版】")</f>
        <v>20260708_DEEPER-ZERO_華奢なカラダを狙う執着エリートからの激重ハメ堕ち【TL版】</v>
      </c>
      <c r="T5623" s="22" t="str">
        <f>IFERROR(__xludf.DUMMYFUNCTION("""COMPUTED_VALUE"""),"格納済み")</f>
        <v>格納済み</v>
      </c>
      <c r="U5623" s="9" t="str">
        <f>IFERROR(__xludf.DUMMYFUNCTION("""COMPUTED_VALUE"""),"Ⓒねっとり赫/DEEPER-ZERO")</f>
        <v>Ⓒねっとり赫/DEEPER-ZERO</v>
      </c>
      <c r="V5623" s="8"/>
      <c r="W5623" s="8"/>
      <c r="X5623" s="8"/>
      <c r="Y5623" s="8"/>
      <c r="Z5623" s="7"/>
      <c r="AA5623" s="7"/>
      <c r="AB5623" s="7"/>
    </row>
    <row r="5624" ht="15.75" customHeight="1">
      <c r="A5624" s="26">
        <f>IFERROR(__xludf.DUMMYFUNCTION("""COMPUTED_VALUE"""),8421.0)</f>
        <v>8421</v>
      </c>
      <c r="B5624" s="22" t="str">
        <f>IFERROR(__xludf.DUMMYFUNCTION("""COMPUTED_VALUE"""),"確定")</f>
        <v>確定</v>
      </c>
      <c r="C5624" s="28">
        <f>IFERROR(__xludf.DUMMYFUNCTION("""COMPUTED_VALUE"""),46211.0)</f>
        <v>46211</v>
      </c>
      <c r="D5624" s="28">
        <f>IFERROR(__xludf.DUMMYFUNCTION("""COMPUTED_VALUE"""),46216.0)</f>
        <v>46216</v>
      </c>
      <c r="E5624" s="26"/>
      <c r="F5624" s="22" t="str">
        <f>IFERROR(__xludf.DUMMYFUNCTION("""COMPUTED_VALUE"""),"エリートOLが、ミステリアスな彼から甘い絶頂管理_尚乱歩ゝぽ先生作品")</f>
        <v>エリートOLが、ミステリアスな彼から甘い絶頂管理_尚乱歩ゝぽ先生作品</v>
      </c>
      <c r="G5624" s="20">
        <f>IFERROR(__xludf.DUMMYFUNCTION("""COMPUTED_VALUE"""),1.0)</f>
        <v>1</v>
      </c>
      <c r="H5624" s="22" t="str">
        <f>IFERROR(__xludf.DUMMYFUNCTION("""COMPUTED_VALUE"""),"尚乱歩ゝぽ")</f>
        <v>尚乱歩ゝぽ</v>
      </c>
      <c r="I5624" s="22" t="str">
        <f>IFERROR(__xludf.DUMMYFUNCTION("""COMPUTED_VALUE"""),"TL")</f>
        <v>TL</v>
      </c>
      <c r="J5624" s="22"/>
      <c r="K5624" s="22" t="str">
        <f>IFERROR(__xludf.DUMMYFUNCTION("""COMPUTED_VALUE"""),"＠夜噺")</f>
        <v>＠夜噺</v>
      </c>
      <c r="L5624" s="22" t="str">
        <f>IFERROR(__xludf.DUMMYFUNCTION("""COMPUTED_VALUE"""),"DEEPER-ZERO")</f>
        <v>DEEPER-ZERO</v>
      </c>
      <c r="M5624" s="33">
        <f>IFERROR(__xludf.DUMMYFUNCTION("""COMPUTED_VALUE"""),46254.0)</f>
        <v>46254</v>
      </c>
      <c r="N5624" s="33">
        <f>IFERROR(__xludf.DUMMYFUNCTION("""COMPUTED_VALUE"""),46281.0)</f>
        <v>46281</v>
      </c>
      <c r="O5624" s="20" t="str">
        <f>IFERROR(__xludf.DUMMYFUNCTION("""COMPUTED_VALUE"""),"【アダルト作品扱い】")</f>
        <v>【アダルト作品扱い】</v>
      </c>
      <c r="P5624" s="32" t="str">
        <f>IFERROR(__xludf.DUMMYFUNCTION("""COMPUTED_VALUE"""),"可")</f>
        <v>可</v>
      </c>
      <c r="Q5624" s="30" t="str">
        <f>IFERROR(__xludf.DUMMYFUNCTION("""COMPUTED_VALUE"""),"激重男子のわからせ甘責めに堕とされる溺愛コレクション【TL版】 　アンソロジー掲載タイトル")</f>
        <v>激重男子のわからせ甘責めに堕とされる溺愛コレクション【TL版】 　アンソロジー掲載タイトル</v>
      </c>
      <c r="R5624" s="22"/>
      <c r="S5624" s="22" t="str">
        <f>IFERROR(__xludf.DUMMYFUNCTION("""COMPUTED_VALUE"""),"20260708_DEEPER-ZERO_エリートOLが、ミステリアスな彼から甘い絶頂管理【TL版】")</f>
        <v>20260708_DEEPER-ZERO_エリートOLが、ミステリアスな彼から甘い絶頂管理【TL版】</v>
      </c>
      <c r="T5624" s="22" t="str">
        <f>IFERROR(__xludf.DUMMYFUNCTION("""COMPUTED_VALUE"""),"格納済み")</f>
        <v>格納済み</v>
      </c>
      <c r="U5624" s="9" t="str">
        <f>IFERROR(__xludf.DUMMYFUNCTION("""COMPUTED_VALUE"""),"Ⓒ尚乱歩ゝぽ/DEEPER-ZERO")</f>
        <v>Ⓒ尚乱歩ゝぽ/DEEPER-ZERO</v>
      </c>
      <c r="V5624" s="8"/>
      <c r="W5624" s="8"/>
      <c r="X5624" s="8"/>
      <c r="Y5624" s="8"/>
      <c r="Z5624" s="7"/>
      <c r="AA5624" s="7"/>
      <c r="AB5624" s="7"/>
    </row>
    <row r="5625" ht="15.75" customHeight="1">
      <c r="A5625" s="26">
        <f>IFERROR(__xludf.DUMMYFUNCTION("""COMPUTED_VALUE"""),8422.0)</f>
        <v>8422</v>
      </c>
      <c r="B5625" s="22" t="str">
        <f>IFERROR(__xludf.DUMMYFUNCTION("""COMPUTED_VALUE"""),"確定")</f>
        <v>確定</v>
      </c>
      <c r="C5625" s="28">
        <f>IFERROR(__xludf.DUMMYFUNCTION("""COMPUTED_VALUE"""),46211.0)</f>
        <v>46211</v>
      </c>
      <c r="D5625" s="28">
        <f>IFERROR(__xludf.DUMMYFUNCTION("""COMPUTED_VALUE"""),46216.0)</f>
        <v>46216</v>
      </c>
      <c r="E5625" s="26"/>
      <c r="F5625" s="22" t="str">
        <f>IFERROR(__xludf.DUMMYFUNCTION("""COMPUTED_VALUE"""),"愚痴っただけなのに…元後輩に秘密を暴かれてトロトロに_鉢嶺バジル先生作品")</f>
        <v>愚痴っただけなのに…元後輩に秘密を暴かれてトロトロに_鉢嶺バジル先生作品</v>
      </c>
      <c r="G5625" s="20">
        <f>IFERROR(__xludf.DUMMYFUNCTION("""COMPUTED_VALUE"""),1.0)</f>
        <v>1</v>
      </c>
      <c r="H5625" s="22" t="str">
        <f>IFERROR(__xludf.DUMMYFUNCTION("""COMPUTED_VALUE"""),"鉢嶺バジル")</f>
        <v>鉢嶺バジル</v>
      </c>
      <c r="I5625" s="22" t="str">
        <f>IFERROR(__xludf.DUMMYFUNCTION("""COMPUTED_VALUE"""),"TL")</f>
        <v>TL</v>
      </c>
      <c r="J5625" s="22"/>
      <c r="K5625" s="22" t="str">
        <f>IFERROR(__xludf.DUMMYFUNCTION("""COMPUTED_VALUE"""),"＠夜噺")</f>
        <v>＠夜噺</v>
      </c>
      <c r="L5625" s="22" t="str">
        <f>IFERROR(__xludf.DUMMYFUNCTION("""COMPUTED_VALUE"""),"DEEPER-ZERO")</f>
        <v>DEEPER-ZERO</v>
      </c>
      <c r="M5625" s="33">
        <f>IFERROR(__xludf.DUMMYFUNCTION("""COMPUTED_VALUE"""),46254.0)</f>
        <v>46254</v>
      </c>
      <c r="N5625" s="33">
        <f>IFERROR(__xludf.DUMMYFUNCTION("""COMPUTED_VALUE"""),46281.0)</f>
        <v>46281</v>
      </c>
      <c r="O5625" s="20" t="str">
        <f>IFERROR(__xludf.DUMMYFUNCTION("""COMPUTED_VALUE"""),"【アダルト作品扱い】")</f>
        <v>【アダルト作品扱い】</v>
      </c>
      <c r="P5625" s="32" t="str">
        <f>IFERROR(__xludf.DUMMYFUNCTION("""COMPUTED_VALUE"""),"可")</f>
        <v>可</v>
      </c>
      <c r="Q5625" s="30" t="str">
        <f>IFERROR(__xludf.DUMMYFUNCTION("""COMPUTED_VALUE"""),"激重男子のわからせ甘責めに堕とされる溺愛コレクション【TL版】 　アンソロジー掲載タイトル")</f>
        <v>激重男子のわからせ甘責めに堕とされる溺愛コレクション【TL版】 　アンソロジー掲載タイトル</v>
      </c>
      <c r="R5625" s="22"/>
      <c r="S5625" s="22" t="str">
        <f>IFERROR(__xludf.DUMMYFUNCTION("""COMPUTED_VALUE"""),"20260708_DEEPER-ZERO_愚痴っただけなのに…元後輩に秘密を暴かれてトロトロに【TL版】")</f>
        <v>20260708_DEEPER-ZERO_愚痴っただけなのに…元後輩に秘密を暴かれてトロトロに【TL版】</v>
      </c>
      <c r="T5625" s="22" t="str">
        <f>IFERROR(__xludf.DUMMYFUNCTION("""COMPUTED_VALUE"""),"格納済み")</f>
        <v>格納済み</v>
      </c>
      <c r="U5625" s="9" t="str">
        <f>IFERROR(__xludf.DUMMYFUNCTION("""COMPUTED_VALUE"""),"Ⓒ鉢嶺バジル/DEEPER-ZERO")</f>
        <v>Ⓒ鉢嶺バジル/DEEPER-ZERO</v>
      </c>
      <c r="V5625" s="8"/>
      <c r="W5625" s="8"/>
      <c r="X5625" s="8"/>
      <c r="Y5625" s="8"/>
      <c r="Z5625" s="7"/>
      <c r="AA5625" s="7"/>
      <c r="AB5625" s="7"/>
    </row>
    <row r="5626" ht="15.75" customHeight="1">
      <c r="A5626" s="26">
        <f>IFERROR(__xludf.DUMMYFUNCTION("""COMPUTED_VALUE"""),8423.0)</f>
        <v>8423</v>
      </c>
      <c r="B5626" s="22" t="str">
        <f>IFERROR(__xludf.DUMMYFUNCTION("""COMPUTED_VALUE"""),"確定")</f>
        <v>確定</v>
      </c>
      <c r="C5626" s="28">
        <f>IFERROR(__xludf.DUMMYFUNCTION("""COMPUTED_VALUE"""),46211.0)</f>
        <v>46211</v>
      </c>
      <c r="D5626" s="28">
        <f>IFERROR(__xludf.DUMMYFUNCTION("""COMPUTED_VALUE"""),46216.0)</f>
        <v>46216</v>
      </c>
      <c r="E5626" s="26"/>
      <c r="F5626" s="22" t="str">
        <f>IFERROR(__xludf.DUMMYFUNCTION("""COMPUTED_VALUE"""),"雨宿り、チャラ男の濡れた色気と激甘な本気に陥落_T4先生作品")</f>
        <v>雨宿り、チャラ男の濡れた色気と激甘な本気に陥落_T4先生作品</v>
      </c>
      <c r="G5626" s="20">
        <f>IFERROR(__xludf.DUMMYFUNCTION("""COMPUTED_VALUE"""),1.0)</f>
        <v>1</v>
      </c>
      <c r="H5626" s="22" t="str">
        <f>IFERROR(__xludf.DUMMYFUNCTION("""COMPUTED_VALUE"""),"T4")</f>
        <v>T4</v>
      </c>
      <c r="I5626" s="22" t="str">
        <f>IFERROR(__xludf.DUMMYFUNCTION("""COMPUTED_VALUE"""),"TL")</f>
        <v>TL</v>
      </c>
      <c r="J5626" s="22"/>
      <c r="K5626" s="22" t="str">
        <f>IFERROR(__xludf.DUMMYFUNCTION("""COMPUTED_VALUE"""),"＠夜噺")</f>
        <v>＠夜噺</v>
      </c>
      <c r="L5626" s="22" t="str">
        <f>IFERROR(__xludf.DUMMYFUNCTION("""COMPUTED_VALUE"""),"DEEPER-ZERO")</f>
        <v>DEEPER-ZERO</v>
      </c>
      <c r="M5626" s="33">
        <f>IFERROR(__xludf.DUMMYFUNCTION("""COMPUTED_VALUE"""),46254.0)</f>
        <v>46254</v>
      </c>
      <c r="N5626" s="33">
        <f>IFERROR(__xludf.DUMMYFUNCTION("""COMPUTED_VALUE"""),46281.0)</f>
        <v>46281</v>
      </c>
      <c r="O5626" s="20" t="str">
        <f>IFERROR(__xludf.DUMMYFUNCTION("""COMPUTED_VALUE"""),"【アダルト作品扱い】")</f>
        <v>【アダルト作品扱い】</v>
      </c>
      <c r="P5626" s="32" t="str">
        <f>IFERROR(__xludf.DUMMYFUNCTION("""COMPUTED_VALUE"""),"可")</f>
        <v>可</v>
      </c>
      <c r="Q5626" s="30" t="str">
        <f>IFERROR(__xludf.DUMMYFUNCTION("""COMPUTED_VALUE"""),"激重男子のわからせ甘責めに堕とされる溺愛コレクション【TL版】 　アンソロジー掲載タイトル")</f>
        <v>激重男子のわからせ甘責めに堕とされる溺愛コレクション【TL版】 　アンソロジー掲載タイトル</v>
      </c>
      <c r="R5626" s="22"/>
      <c r="S5626" s="22" t="str">
        <f>IFERROR(__xludf.DUMMYFUNCTION("""COMPUTED_VALUE"""),"20260708_DEEPER-ZERO_雨宿り、チャラ男の濡れた色気と激甘な本気に陥落【TL版】")</f>
        <v>20260708_DEEPER-ZERO_雨宿り、チャラ男の濡れた色気と激甘な本気に陥落【TL版】</v>
      </c>
      <c r="T5626" s="22" t="str">
        <f>IFERROR(__xludf.DUMMYFUNCTION("""COMPUTED_VALUE"""),"格納済み")</f>
        <v>格納済み</v>
      </c>
      <c r="U5626" s="9" t="str">
        <f>IFERROR(__xludf.DUMMYFUNCTION("""COMPUTED_VALUE"""),"ⒸT4/DEEPER-ZERO")</f>
        <v>ⒸT4/DEEPER-ZERO</v>
      </c>
      <c r="V5626" s="8"/>
      <c r="W5626" s="8"/>
      <c r="X5626" s="8"/>
      <c r="Y5626" s="8"/>
      <c r="Z5626" s="7"/>
      <c r="AA5626" s="7"/>
      <c r="AB5626" s="7"/>
    </row>
    <row r="5627" ht="15.75" customHeight="1">
      <c r="A5627" s="26">
        <f>IFERROR(__xludf.DUMMYFUNCTION("""COMPUTED_VALUE"""),8424.0)</f>
        <v>8424</v>
      </c>
      <c r="B5627" s="22" t="str">
        <f>IFERROR(__xludf.DUMMYFUNCTION("""COMPUTED_VALUE"""),"確定")</f>
        <v>確定</v>
      </c>
      <c r="C5627" s="28">
        <f>IFERROR(__xludf.DUMMYFUNCTION("""COMPUTED_VALUE"""),46211.0)</f>
        <v>46211</v>
      </c>
      <c r="D5627" s="28">
        <f>IFERROR(__xludf.DUMMYFUNCTION("""COMPUTED_VALUE"""),46211.0)</f>
        <v>46211</v>
      </c>
      <c r="E5627" s="26"/>
      <c r="F5627" s="22" t="str">
        <f>IFERROR(__xludf.DUMMYFUNCTION("""COMPUTED_VALUE"""),"【単話】婚約者の王子に毒を盛られたので愛が冷めました")</f>
        <v>【単話】婚約者の王子に毒を盛られたので愛が冷めました</v>
      </c>
      <c r="G5627" s="20" t="str">
        <f>IFERROR(__xludf.DUMMYFUNCTION("""COMPUTED_VALUE"""),"1~5")</f>
        <v>1~5</v>
      </c>
      <c r="H5627" s="22" t="str">
        <f>IFERROR(__xludf.DUMMYFUNCTION("""COMPUTED_VALUE"""),"作画：保志レンジ（「生活魔法使いの下剋上」など）／原作：あさづきゆう")</f>
        <v>作画：保志レンジ（「生活魔法使いの下剋上」など）／原作：あさづきゆう</v>
      </c>
      <c r="I5627" s="22" t="str">
        <f>IFERROR(__xludf.DUMMYFUNCTION("""COMPUTED_VALUE"""),"少女")</f>
        <v>少女</v>
      </c>
      <c r="J5627" s="22"/>
      <c r="K5627" s="22"/>
      <c r="L5627" s="22" t="str">
        <f>IFERROR(__xludf.DUMMYFUNCTION("""COMPUTED_VALUE"""),"KADOKAWA")</f>
        <v>KADOKAWA</v>
      </c>
      <c r="M5627" s="33">
        <f>IFERROR(__xludf.DUMMYFUNCTION("""COMPUTED_VALUE"""),46270.0)</f>
        <v>46270</v>
      </c>
      <c r="N5627" s="33">
        <f>IFERROR(__xludf.DUMMYFUNCTION("""COMPUTED_VALUE"""),46422.0)</f>
        <v>46422</v>
      </c>
      <c r="O5627" s="20"/>
      <c r="P5627" s="32" t="str">
        <f>IFERROR(__xludf.DUMMYFUNCTION("""COMPUTED_VALUE"""),"否")</f>
        <v>否</v>
      </c>
      <c r="Q5627" s="30"/>
      <c r="R5627" s="22"/>
      <c r="S5627" s="22" t="str">
        <f>IFERROR(__xludf.DUMMYFUNCTION("""COMPUTED_VALUE"""),"20260708_KADOKAWA_【単話】婚約者の王子に毒を盛られたので愛が冷めました")</f>
        <v>20260708_KADOKAWA_【単話】婚約者の王子に毒を盛られたので愛が冷めました</v>
      </c>
      <c r="T5627" s="22" t="str">
        <f>IFERROR(__xludf.DUMMYFUNCTION("""COMPUTED_VALUE"""),"格納済み")</f>
        <v>格納済み</v>
      </c>
      <c r="U5627" s="9" t="str">
        <f>IFERROR(__xludf.DUMMYFUNCTION("""COMPUTED_VALUE"""),"(C)Renji Hoshi 2026　(C)Yu Asazuki 2026")</f>
        <v>(C)Renji Hoshi 2026　(C)Yu Asazuki 2026</v>
      </c>
      <c r="V5627" s="8"/>
      <c r="W5627" s="8"/>
      <c r="X5627" s="8"/>
      <c r="Y5627" s="8"/>
      <c r="Z5627" s="7"/>
      <c r="AA5627" s="7"/>
      <c r="AB5627" s="7"/>
    </row>
    <row r="5628" ht="15.75" customHeight="1">
      <c r="A5628" s="26">
        <f>IFERROR(__xludf.DUMMYFUNCTION("""COMPUTED_VALUE"""),8425.0)</f>
        <v>8425</v>
      </c>
      <c r="B5628" s="22" t="str">
        <f>IFERROR(__xludf.DUMMYFUNCTION("""COMPUTED_VALUE"""),"確定")</f>
        <v>確定</v>
      </c>
      <c r="C5628" s="28">
        <f>IFERROR(__xludf.DUMMYFUNCTION("""COMPUTED_VALUE"""),46211.0)</f>
        <v>46211</v>
      </c>
      <c r="D5628" s="28">
        <f>IFERROR(__xludf.DUMMYFUNCTION("""COMPUTED_VALUE"""),46216.0)</f>
        <v>46216</v>
      </c>
      <c r="E5628" s="26"/>
      <c r="F5628" s="22" t="str">
        <f>IFERROR(__xludf.DUMMYFUNCTION("""COMPUTED_VALUE"""),"ヴェルネの天使は死を歌う")</f>
        <v>ヴェルネの天使は死を歌う</v>
      </c>
      <c r="G5628" s="20" t="str">
        <f>IFERROR(__xludf.DUMMYFUNCTION("""COMPUTED_VALUE"""),"1~4")</f>
        <v>1~4</v>
      </c>
      <c r="H5628" s="22" t="str">
        <f>IFERROR(__xludf.DUMMYFUNCTION("""COMPUTED_VALUE"""),"須賀ユキジ・ありあ")</f>
        <v>須賀ユキジ・ありあ</v>
      </c>
      <c r="I5628" s="22" t="str">
        <f>IFERROR(__xludf.DUMMYFUNCTION("""COMPUTED_VALUE"""),"青年")</f>
        <v>青年</v>
      </c>
      <c r="J5628" s="22"/>
      <c r="K5628" s="22" t="str">
        <f>IFERROR(__xludf.DUMMYFUNCTION("""COMPUTED_VALUE"""),"Freedia comics")</f>
        <v>Freedia comics</v>
      </c>
      <c r="L5628" s="22" t="str">
        <f>IFERROR(__xludf.DUMMYFUNCTION("""COMPUTED_VALUE"""),"Freedia(フリーディア)")</f>
        <v>Freedia(フリーディア)</v>
      </c>
      <c r="M5628" s="33">
        <f>IFERROR(__xludf.DUMMYFUNCTION("""COMPUTED_VALUE"""),46259.0)</f>
        <v>46259</v>
      </c>
      <c r="N5628" s="33">
        <f>IFERROR(__xludf.DUMMYFUNCTION("""COMPUTED_VALUE"""),46350.0)</f>
        <v>46350</v>
      </c>
      <c r="O5628" s="20"/>
      <c r="P5628" s="32" t="str">
        <f>IFERROR(__xludf.DUMMYFUNCTION("""COMPUTED_VALUE"""),"可")</f>
        <v>可</v>
      </c>
      <c r="Q5628" s="30"/>
      <c r="R5628" s="22" t="str">
        <f>IFERROR(__xludf.DUMMYFUNCTION("""COMPUTED_VALUE"""),"コミットOK")</f>
        <v>コミットOK</v>
      </c>
      <c r="S5628" s="22" t="str">
        <f>IFERROR(__xludf.DUMMYFUNCTION("""COMPUTED_VALUE"""),"20260708_Freedia_ヴェルネの天使は死を歌う")</f>
        <v>20260708_Freedia_ヴェルネの天使は死を歌う</v>
      </c>
      <c r="T5628" s="22" t="str">
        <f>IFERROR(__xludf.DUMMYFUNCTION("""COMPUTED_VALUE"""),"格納済み")</f>
        <v>格納済み</v>
      </c>
      <c r="U5628" s="9" t="str">
        <f>IFERROR(__xludf.DUMMYFUNCTION("""COMPUTED_VALUE"""),"Ⓒ須賀ユキジ・ありあ/Freedia")</f>
        <v>Ⓒ須賀ユキジ・ありあ/Freedia</v>
      </c>
      <c r="V5628" s="8"/>
      <c r="W5628" s="8"/>
      <c r="X5628" s="8"/>
      <c r="Y5628" s="8"/>
      <c r="Z5628" s="7"/>
      <c r="AA5628" s="7"/>
      <c r="AB5628" s="7"/>
    </row>
    <row r="5629" ht="15.75" customHeight="1">
      <c r="A5629" s="26">
        <f>IFERROR(__xludf.DUMMYFUNCTION("""COMPUTED_VALUE"""),8426.0)</f>
        <v>8426</v>
      </c>
      <c r="B5629" s="22" t="str">
        <f>IFERROR(__xludf.DUMMYFUNCTION("""COMPUTED_VALUE"""),"確定")</f>
        <v>確定</v>
      </c>
      <c r="C5629" s="28">
        <f>IFERROR(__xludf.DUMMYFUNCTION("""COMPUTED_VALUE"""),46211.0)</f>
        <v>46211</v>
      </c>
      <c r="D5629" s="28">
        <f>IFERROR(__xludf.DUMMYFUNCTION("""COMPUTED_VALUE"""),46213.0)</f>
        <v>46213</v>
      </c>
      <c r="E5629" s="26">
        <f>IFERROR(__xludf.DUMMYFUNCTION("""COMPUTED_VALUE"""),331039.0)</f>
        <v>331039</v>
      </c>
      <c r="F5629" s="22" t="str">
        <f>IFERROR(__xludf.DUMMYFUNCTION("""COMPUTED_VALUE"""),"呪われたネズミ王子と魔力なしの灰色令嬢")</f>
        <v>呪われたネズミ王子と魔力なしの灰色令嬢</v>
      </c>
      <c r="G5629" s="20" t="str">
        <f>IFERROR(__xludf.DUMMYFUNCTION("""COMPUTED_VALUE"""),"1~2")</f>
        <v>1~2</v>
      </c>
      <c r="H5629" s="22" t="str">
        <f>IFERROR(__xludf.DUMMYFUNCTION("""COMPUTED_VALUE"""),"大和わこ")</f>
        <v>大和わこ</v>
      </c>
      <c r="I5629" s="22" t="str">
        <f>IFERROR(__xludf.DUMMYFUNCTION("""COMPUTED_VALUE"""),"少女")</f>
        <v>少女</v>
      </c>
      <c r="J5629" s="22"/>
      <c r="K5629" s="22" t="str">
        <f>IFERROR(__xludf.DUMMYFUNCTION("""COMPUTED_VALUE"""),"恋するソワレ")</f>
        <v>恋するソワレ</v>
      </c>
      <c r="L5629" s="22" t="str">
        <f>IFERROR(__xludf.DUMMYFUNCTION("""COMPUTED_VALUE"""),"シーモアコミックス")</f>
        <v>シーモアコミックス</v>
      </c>
      <c r="M5629" s="33">
        <f>IFERROR(__xludf.DUMMYFUNCTION("""COMPUTED_VALUE"""),46236.0)</f>
        <v>46236</v>
      </c>
      <c r="N5629" s="33">
        <f>IFERROR(__xludf.DUMMYFUNCTION("""COMPUTED_VALUE"""),46331.0)</f>
        <v>46331</v>
      </c>
      <c r="O5629" s="20"/>
      <c r="P5629" s="32" t="str">
        <f>IFERROR(__xludf.DUMMYFUNCTION("""COMPUTED_VALUE"""),"可")</f>
        <v>可</v>
      </c>
      <c r="Q5629" s="30"/>
      <c r="R5629" s="22"/>
      <c r="S5629" s="22" t="str">
        <f>IFERROR(__xludf.DUMMYFUNCTION("""COMPUTED_VALUE"""),"20260629_シーモアコミックス_呪われたネズミ王子と魔力なしの灰色令嬢")</f>
        <v>20260629_シーモアコミックス_呪われたネズミ王子と魔力なしの灰色令嬢</v>
      </c>
      <c r="T5629" s="22" t="str">
        <f>IFERROR(__xludf.DUMMYFUNCTION("""COMPUTED_VALUE"""),"格納済み")</f>
        <v>格納済み</v>
      </c>
      <c r="U5629" s="9" t="str">
        <f>IFERROR(__xludf.DUMMYFUNCTION("""COMPUTED_VALUE"""),"(C) 大和わこ/シーモアコミックス")</f>
        <v>(C) 大和わこ/シーモアコミックス</v>
      </c>
      <c r="V5629" s="8"/>
      <c r="W5629" s="8"/>
      <c r="X5629" s="8"/>
      <c r="Y5629" s="8"/>
      <c r="Z5629" s="7"/>
      <c r="AA5629" s="7"/>
      <c r="AB5629" s="7"/>
    </row>
    <row r="5630" ht="15.75" customHeight="1">
      <c r="A5630" s="26">
        <f>IFERROR(__xludf.DUMMYFUNCTION("""COMPUTED_VALUE"""),8428.0)</f>
        <v>8428</v>
      </c>
      <c r="B5630" s="22" t="str">
        <f>IFERROR(__xludf.DUMMYFUNCTION("""COMPUTED_VALUE"""),"確定")</f>
        <v>確定</v>
      </c>
      <c r="C5630" s="28">
        <f>IFERROR(__xludf.DUMMYFUNCTION("""COMPUTED_VALUE"""),46212.0)</f>
        <v>46212</v>
      </c>
      <c r="D5630" s="28">
        <f>IFERROR(__xludf.DUMMYFUNCTION("""COMPUTED_VALUE"""),46216.0)</f>
        <v>46216</v>
      </c>
      <c r="E5630" s="26"/>
      <c r="F5630" s="22" t="str">
        <f>IFERROR(__xludf.DUMMYFUNCTION("""COMPUTED_VALUE"""),"溺愛以上、恋人未満 ～不器用な幼馴染は私をナカまで愛したい～R18版")</f>
        <v>溺愛以上、恋人未満 ～不器用な幼馴染は私をナカまで愛したい～R18版</v>
      </c>
      <c r="G5630" s="20" t="str">
        <f>IFERROR(__xludf.DUMMYFUNCTION("""COMPUTED_VALUE"""),"1~3")</f>
        <v>1~3</v>
      </c>
      <c r="H5630" s="22" t="str">
        <f>IFERROR(__xludf.DUMMYFUNCTION("""COMPUTED_VALUE"""),"花織ひなた/宇彩美ハル")</f>
        <v>花織ひなた/宇彩美ハル</v>
      </c>
      <c r="I5630" s="22" t="str">
        <f>IFERROR(__xludf.DUMMYFUNCTION("""COMPUTED_VALUE"""),"TL")</f>
        <v>TL</v>
      </c>
      <c r="J5630" s="22">
        <f>IFERROR(__xludf.DUMMYFUNCTION("""COMPUTED_VALUE"""),1.0)</f>
        <v>1</v>
      </c>
      <c r="K5630" s="22"/>
      <c r="L5630" s="22" t="str">
        <f>IFERROR(__xludf.DUMMYFUNCTION("""COMPUTED_VALUE"""),"ラビットフット")</f>
        <v>ラビットフット</v>
      </c>
      <c r="M5630" s="33">
        <f>IFERROR(__xludf.DUMMYFUNCTION("""COMPUTED_VALUE"""),46241.0)</f>
        <v>46241</v>
      </c>
      <c r="N5630" s="33">
        <f>IFERROR(__xludf.DUMMYFUNCTION("""COMPUTED_VALUE"""),46332.0)</f>
        <v>46332</v>
      </c>
      <c r="O5630" s="20" t="str">
        <f>IFERROR(__xludf.DUMMYFUNCTION("""COMPUTED_VALUE"""),"【アダルト作品扱い】")</f>
        <v>【アダルト作品扱い】</v>
      </c>
      <c r="P5630" s="32" t="str">
        <f>IFERROR(__xludf.DUMMYFUNCTION("""COMPUTED_VALUE"""),"可")</f>
        <v>可</v>
      </c>
      <c r="Q5630" s="30" t="str">
        <f>IFERROR(__xludf.DUMMYFUNCTION("""COMPUTED_VALUE"""),"※「生成AI利用」の作品です。")</f>
        <v>※「生成AI利用」の作品です。</v>
      </c>
      <c r="R5630" s="22" t="str">
        <f>IFERROR(__xludf.DUMMYFUNCTION("""COMPUTED_VALUE"""),"コミットOK")</f>
        <v>コミットOK</v>
      </c>
      <c r="S5630" s="22" t="str">
        <f>IFERROR(__xludf.DUMMYFUNCTION("""COMPUTED_VALUE"""),"20260709_ラビットフット_溺愛以上、恋人未満 ～不器用な幼馴染は私をナカまで愛したい～")</f>
        <v>20260709_ラビットフット_溺愛以上、恋人未満 ～不器用な幼馴染は私をナカまで愛したい～</v>
      </c>
      <c r="T5630" s="22" t="str">
        <f>IFERROR(__xludf.DUMMYFUNCTION("""COMPUTED_VALUE"""),"格納済み")</f>
        <v>格納済み</v>
      </c>
      <c r="U5630" s="9" t="str">
        <f>IFERROR(__xludf.DUMMYFUNCTION("""COMPUTED_VALUE"""),"Ⓒ花織ひなた/宇彩美ハル/Palette Kiss")</f>
        <v>Ⓒ花織ひなた/宇彩美ハル/Palette Kiss</v>
      </c>
      <c r="V5630" s="8"/>
      <c r="W5630" s="8"/>
      <c r="X5630" s="8"/>
      <c r="Y5630" s="8"/>
      <c r="Z5630" s="7"/>
      <c r="AA5630" s="7"/>
      <c r="AB5630" s="7"/>
    </row>
    <row r="5631" ht="15.75" customHeight="1">
      <c r="A5631" s="26">
        <f>IFERROR(__xludf.DUMMYFUNCTION("""COMPUTED_VALUE"""),8429.0)</f>
        <v>8429</v>
      </c>
      <c r="B5631" s="22" t="str">
        <f>IFERROR(__xludf.DUMMYFUNCTION("""COMPUTED_VALUE"""),"確定")</f>
        <v>確定</v>
      </c>
      <c r="C5631" s="28">
        <f>IFERROR(__xludf.DUMMYFUNCTION("""COMPUTED_VALUE"""),46212.0)</f>
        <v>46212</v>
      </c>
      <c r="D5631" s="28">
        <f>IFERROR(__xludf.DUMMYFUNCTION("""COMPUTED_VALUE"""),46216.0)</f>
        <v>46216</v>
      </c>
      <c r="E5631" s="26"/>
      <c r="F5631" s="22" t="str">
        <f>IFERROR(__xludf.DUMMYFUNCTION("""COMPUTED_VALUE"""),"年下幼馴染のHな溺愛プロポーズ ～一途なワンコ系男子の甘い玩具責め～R18版")</f>
        <v>年下幼馴染のHな溺愛プロポーズ ～一途なワンコ系男子の甘い玩具責め～R18版</v>
      </c>
      <c r="G5631" s="20" t="str">
        <f>IFERROR(__xludf.DUMMYFUNCTION("""COMPUTED_VALUE"""),"1~3")</f>
        <v>1~3</v>
      </c>
      <c r="H5631" s="22" t="str">
        <f>IFERROR(__xludf.DUMMYFUNCTION("""COMPUTED_VALUE"""),"音羽音めろ/寧古都ねむ")</f>
        <v>音羽音めろ/寧古都ねむ</v>
      </c>
      <c r="I5631" s="22" t="str">
        <f>IFERROR(__xludf.DUMMYFUNCTION("""COMPUTED_VALUE"""),"TL")</f>
        <v>TL</v>
      </c>
      <c r="J5631" s="22">
        <f>IFERROR(__xludf.DUMMYFUNCTION("""COMPUTED_VALUE"""),1.0)</f>
        <v>1</v>
      </c>
      <c r="K5631" s="22"/>
      <c r="L5631" s="22" t="str">
        <f>IFERROR(__xludf.DUMMYFUNCTION("""COMPUTED_VALUE"""),"ラビットフット")</f>
        <v>ラビットフット</v>
      </c>
      <c r="M5631" s="33">
        <f>IFERROR(__xludf.DUMMYFUNCTION("""COMPUTED_VALUE"""),46241.0)</f>
        <v>46241</v>
      </c>
      <c r="N5631" s="33">
        <f>IFERROR(__xludf.DUMMYFUNCTION("""COMPUTED_VALUE"""),46332.0)</f>
        <v>46332</v>
      </c>
      <c r="O5631" s="20" t="str">
        <f>IFERROR(__xludf.DUMMYFUNCTION("""COMPUTED_VALUE"""),"【アダルト作品扱い】")</f>
        <v>【アダルト作品扱い】</v>
      </c>
      <c r="P5631" s="32" t="str">
        <f>IFERROR(__xludf.DUMMYFUNCTION("""COMPUTED_VALUE"""),"可")</f>
        <v>可</v>
      </c>
      <c r="Q5631" s="30" t="str">
        <f>IFERROR(__xludf.DUMMYFUNCTION("""COMPUTED_VALUE"""),"※「生成AI利用」の作品です。")</f>
        <v>※「生成AI利用」の作品です。</v>
      </c>
      <c r="R5631" s="22" t="str">
        <f>IFERROR(__xludf.DUMMYFUNCTION("""COMPUTED_VALUE"""),"コミットOK")</f>
        <v>コミットOK</v>
      </c>
      <c r="S5631" s="22" t="str">
        <f>IFERROR(__xludf.DUMMYFUNCTION("""COMPUTED_VALUE"""),"20260709_ラビットフット_年下幼馴染のHな溺愛プロポーズ ～一途なワンコ系男子の甘い玩具責め～R18版")</f>
        <v>20260709_ラビットフット_年下幼馴染のHな溺愛プロポーズ ～一途なワンコ系男子の甘い玩具責め～R18版</v>
      </c>
      <c r="T5631" s="22" t="str">
        <f>IFERROR(__xludf.DUMMYFUNCTION("""COMPUTED_VALUE"""),"格納済み")</f>
        <v>格納済み</v>
      </c>
      <c r="U5631" s="9" t="str">
        <f>IFERROR(__xludf.DUMMYFUNCTION("""COMPUTED_VALUE"""),"Ⓒ音羽音めろ/寧古都ねむ/Palette Kiss")</f>
        <v>Ⓒ音羽音めろ/寧古都ねむ/Palette Kiss</v>
      </c>
      <c r="V5631" s="8"/>
      <c r="W5631" s="8"/>
      <c r="X5631" s="8"/>
      <c r="Y5631" s="8"/>
      <c r="Z5631" s="7"/>
      <c r="AA5631" s="7"/>
      <c r="AB5631" s="7"/>
    </row>
    <row r="5632" ht="15.75" customHeight="1">
      <c r="A5632" s="26">
        <f>IFERROR(__xludf.DUMMYFUNCTION("""COMPUTED_VALUE"""),8432.0)</f>
        <v>8432</v>
      </c>
      <c r="B5632" s="22" t="str">
        <f>IFERROR(__xludf.DUMMYFUNCTION("""COMPUTED_VALUE"""),"確定")</f>
        <v>確定</v>
      </c>
      <c r="C5632" s="28">
        <f>IFERROR(__xludf.DUMMYFUNCTION("""COMPUTED_VALUE"""),46212.0)</f>
        <v>46212</v>
      </c>
      <c r="D5632" s="28">
        <f>IFERROR(__xludf.DUMMYFUNCTION("""COMPUTED_VALUE"""),46216.0)</f>
        <v>46216</v>
      </c>
      <c r="E5632" s="26"/>
      <c r="F5632" s="22" t="str">
        <f>IFERROR(__xludf.DUMMYFUNCTION("""COMPUTED_VALUE"""),"スカーレットデビルズハート")</f>
        <v>スカーレットデビルズハート</v>
      </c>
      <c r="G5632" s="20" t="str">
        <f>IFERROR(__xludf.DUMMYFUNCTION("""COMPUTED_VALUE"""),"1~3")</f>
        <v>1~3</v>
      </c>
      <c r="H5632" s="22" t="str">
        <f>IFERROR(__xludf.DUMMYFUNCTION("""COMPUTED_VALUE"""),"雀部すずめ")</f>
        <v>雀部すずめ</v>
      </c>
      <c r="I5632" s="22" t="str">
        <f>IFERROR(__xludf.DUMMYFUNCTION("""COMPUTED_VALUE"""),"BL")</f>
        <v>BL</v>
      </c>
      <c r="J5632" s="22"/>
      <c r="K5632" s="22" t="str">
        <f>IFERROR(__xludf.DUMMYFUNCTION("""COMPUTED_VALUE"""),"Tulle")</f>
        <v>Tulle</v>
      </c>
      <c r="L5632" s="22" t="str">
        <f>IFERROR(__xludf.DUMMYFUNCTION("""COMPUTED_VALUE"""),"ブライト出版")</f>
        <v>ブライト出版</v>
      </c>
      <c r="M5632" s="33">
        <f>IFERROR(__xludf.DUMMYFUNCTION("""COMPUTED_VALUE"""),46249.0)</f>
        <v>46249</v>
      </c>
      <c r="N5632" s="33">
        <f>IFERROR(__xludf.DUMMYFUNCTION("""COMPUTED_VALUE"""),46353.0)</f>
        <v>46353</v>
      </c>
      <c r="O5632" s="20" t="str">
        <f>IFERROR(__xludf.DUMMYFUNCTION("""COMPUTED_VALUE"""),"【アダルト作品扱い】")</f>
        <v>【アダルト作品扱い】</v>
      </c>
      <c r="P5632" s="32" t="str">
        <f>IFERROR(__xludf.DUMMYFUNCTION("""COMPUTED_VALUE"""),"可")</f>
        <v>可</v>
      </c>
      <c r="Q5632" s="30"/>
      <c r="R5632" s="22"/>
      <c r="S5632" s="22" t="str">
        <f>IFERROR(__xludf.DUMMYFUNCTION("""COMPUTED_VALUE"""),"20260710_ブライト出版_スカーレットデビルズハート")</f>
        <v>20260710_ブライト出版_スカーレットデビルズハート</v>
      </c>
      <c r="T5632" s="22" t="str">
        <f>IFERROR(__xludf.DUMMYFUNCTION("""COMPUTED_VALUE"""),"格納済み")</f>
        <v>格納済み</v>
      </c>
      <c r="U5632" s="9" t="str">
        <f>IFERROR(__xludf.DUMMYFUNCTION("""COMPUTED_VALUE"""),"(C)雀部すずめ／ブライト出版")</f>
        <v>(C)雀部すずめ／ブライト出版</v>
      </c>
      <c r="V5632" s="8"/>
      <c r="W5632" s="8"/>
      <c r="X5632" s="8"/>
      <c r="Y5632" s="8"/>
      <c r="Z5632" s="7"/>
      <c r="AA5632" s="7"/>
      <c r="AB5632" s="7"/>
    </row>
    <row r="5633" ht="15.75" customHeight="1">
      <c r="A5633" s="26">
        <f>IFERROR(__xludf.DUMMYFUNCTION("""COMPUTED_VALUE"""),8437.0)</f>
        <v>8437</v>
      </c>
      <c r="B5633" s="22" t="str">
        <f>IFERROR(__xludf.DUMMYFUNCTION("""COMPUTED_VALUE"""),"確定")</f>
        <v>確定</v>
      </c>
      <c r="C5633" s="28">
        <f>IFERROR(__xludf.DUMMYFUNCTION("""COMPUTED_VALUE"""),46212.0)</f>
        <v>46212</v>
      </c>
      <c r="D5633" s="28">
        <f>IFERROR(__xludf.DUMMYFUNCTION("""COMPUTED_VALUE"""),46216.0)</f>
        <v>46216</v>
      </c>
      <c r="E5633" s="26"/>
      <c r="F5633" s="22" t="str">
        <f>IFERROR(__xludf.DUMMYFUNCTION("""COMPUTED_VALUE"""),"あなたは私を愛さないと言った")</f>
        <v>あなたは私を愛さないと言った</v>
      </c>
      <c r="G5633" s="20" t="str">
        <f>IFERROR(__xludf.DUMMYFUNCTION("""COMPUTED_VALUE"""),"1~5")</f>
        <v>1~5</v>
      </c>
      <c r="H5633" s="22" t="str">
        <f>IFERROR(__xludf.DUMMYFUNCTION("""COMPUTED_VALUE"""),"漫画：岡峯有衣子　原作：碧貴子")</f>
        <v>漫画：岡峯有衣子　原作：碧貴子</v>
      </c>
      <c r="I5633" s="22" t="str">
        <f>IFERROR(__xludf.DUMMYFUNCTION("""COMPUTED_VALUE"""),"女性")</f>
        <v>女性</v>
      </c>
      <c r="J5633" s="22"/>
      <c r="K5633" s="22" t="str">
        <f>IFERROR(__xludf.DUMMYFUNCTION("""COMPUTED_VALUE"""),"re:belle")</f>
        <v>re:belle</v>
      </c>
      <c r="L5633" s="22" t="str">
        <f>IFERROR(__xludf.DUMMYFUNCTION("""COMPUTED_VALUE"""),"CLAPコミックス")</f>
        <v>CLAPコミックス</v>
      </c>
      <c r="M5633" s="33">
        <f>IFERROR(__xludf.DUMMYFUNCTION("""COMPUTED_VALUE"""),46261.0)</f>
        <v>46261</v>
      </c>
      <c r="N5633" s="33">
        <f>IFERROR(__xludf.DUMMYFUNCTION("""COMPUTED_VALUE"""),46351.0)</f>
        <v>46351</v>
      </c>
      <c r="O5633" s="20"/>
      <c r="P5633" s="32" t="str">
        <f>IFERROR(__xludf.DUMMYFUNCTION("""COMPUTED_VALUE"""),"可")</f>
        <v>可</v>
      </c>
      <c r="Q5633" s="30"/>
      <c r="R5633" s="22" t="str">
        <f>IFERROR(__xludf.DUMMYFUNCTION("""COMPUTED_VALUE"""),"コミットOK")</f>
        <v>コミットOK</v>
      </c>
      <c r="S5633" s="22" t="str">
        <f>IFERROR(__xludf.DUMMYFUNCTION("""COMPUTED_VALUE"""),"20260709‗CLAPコミックス‗あなたは私を愛さないと言った")</f>
        <v>20260709‗CLAPコミックス‗あなたは私を愛さないと言った</v>
      </c>
      <c r="T5633" s="22" t="str">
        <f>IFERROR(__xludf.DUMMYFUNCTION("""COMPUTED_VALUE"""),"格納済み")</f>
        <v>格納済み</v>
      </c>
      <c r="U5633" s="9" t="str">
        <f>IFERROR(__xludf.DUMMYFUNCTION("""COMPUTED_VALUE"""),"岡峯有衣子・碧貴子/CLAPコミックス")</f>
        <v>岡峯有衣子・碧貴子/CLAPコミックス</v>
      </c>
      <c r="V5633" s="8"/>
      <c r="W5633" s="8"/>
      <c r="X5633" s="8"/>
      <c r="Y5633" s="8"/>
      <c r="Z5633" s="7"/>
      <c r="AA5633" s="7"/>
      <c r="AB5633" s="7"/>
    </row>
    <row r="5634" ht="15.75" customHeight="1">
      <c r="A5634" s="26">
        <f>IFERROR(__xludf.DUMMYFUNCTION("""COMPUTED_VALUE"""),8438.0)</f>
        <v>8438</v>
      </c>
      <c r="B5634" s="22" t="str">
        <f>IFERROR(__xludf.DUMMYFUNCTION("""COMPUTED_VALUE"""),"確定")</f>
        <v>確定</v>
      </c>
      <c r="C5634" s="28">
        <f>IFERROR(__xludf.DUMMYFUNCTION("""COMPUTED_VALUE"""),46213.0)</f>
        <v>46213</v>
      </c>
      <c r="D5634" s="28">
        <f>IFERROR(__xludf.DUMMYFUNCTION("""COMPUTED_VALUE"""),46216.0)</f>
        <v>46216</v>
      </c>
      <c r="E5634" s="26"/>
      <c r="F5634" s="22" t="str">
        <f>IFERROR(__xludf.DUMMYFUNCTION("""COMPUTED_VALUE"""),"愛も独占欲も激しい騎士旦那様のXLを受け止めきれません！～いつわり毒婦は毎夜淫らに抱き尽くされる")</f>
        <v>愛も独占欲も激しい騎士旦那様のXLを受け止めきれません！～いつわり毒婦は毎夜淫らに抱き尽くされる</v>
      </c>
      <c r="G5634" s="20" t="str">
        <f>IFERROR(__xludf.DUMMYFUNCTION("""COMPUTED_VALUE"""),"1~3")</f>
        <v>1~3</v>
      </c>
      <c r="H5634" s="22" t="str">
        <f>IFERROR(__xludf.DUMMYFUNCTION("""COMPUTED_VALUE"""),"朝比奈ぴょこ/マチバリ")</f>
        <v>朝比奈ぴょこ/マチバリ</v>
      </c>
      <c r="I5634" s="22" t="str">
        <f>IFERROR(__xludf.DUMMYFUNCTION("""COMPUTED_VALUE"""),"TL")</f>
        <v>TL</v>
      </c>
      <c r="J5634" s="22"/>
      <c r="K5634" s="22" t="str">
        <f>IFERROR(__xludf.DUMMYFUNCTION("""COMPUTED_VALUE"""),"ラブパルフェ")</f>
        <v>ラブパルフェ</v>
      </c>
      <c r="L5634" s="22" t="str">
        <f>IFERROR(__xludf.DUMMYFUNCTION("""COMPUTED_VALUE"""),"オーバーラップ")</f>
        <v>オーバーラップ</v>
      </c>
      <c r="M5634" s="33">
        <f>IFERROR(__xludf.DUMMYFUNCTION("""COMPUTED_VALUE"""),46266.0)</f>
        <v>46266</v>
      </c>
      <c r="N5634" s="33">
        <f>IFERROR(__xludf.DUMMYFUNCTION("""COMPUTED_VALUE"""),46326.0)</f>
        <v>46326</v>
      </c>
      <c r="O5634" s="20" t="str">
        <f>IFERROR(__xludf.DUMMYFUNCTION("""COMPUTED_VALUE"""),"【アダルト作品扱い】")</f>
        <v>【アダルト作品扱い】</v>
      </c>
      <c r="P5634" s="32" t="str">
        <f>IFERROR(__xludf.DUMMYFUNCTION("""COMPUTED_VALUE"""),"可")</f>
        <v>可</v>
      </c>
      <c r="Q5634" s="30"/>
      <c r="R5634" s="22"/>
      <c r="S5634" s="22" t="str">
        <f>IFERROR(__xludf.DUMMYFUNCTION("""COMPUTED_VALUE"""),"20260624_オーバーラップ_愛も独占欲も激しい騎士旦那様のXLを受け止めきれません！～いつわり毒婦は毎夜淫らに抱き尽くされる")</f>
        <v>20260624_オーバーラップ_愛も独占欲も激しい騎士旦那様のXLを受け止めきれません！～いつわり毒婦は毎夜淫らに抱き尽くされる</v>
      </c>
      <c r="T5634" s="22" t="str">
        <f>IFERROR(__xludf.DUMMYFUNCTION("""COMPUTED_VALUE"""),"格納済み")</f>
        <v>格納済み</v>
      </c>
      <c r="U5634" s="9" t="str">
        <f>IFERROR(__xludf.DUMMYFUNCTION("""COMPUTED_VALUE"""),"(C)朝比奈ぴょこ・マチバリ／オーバーラップ")</f>
        <v>(C)朝比奈ぴょこ・マチバリ／オーバーラップ</v>
      </c>
      <c r="V5634" s="8"/>
      <c r="W5634" s="8"/>
      <c r="X5634" s="8"/>
      <c r="Y5634" s="8"/>
      <c r="Z5634" s="7"/>
      <c r="AA5634" s="7"/>
      <c r="AB5634" s="7"/>
    </row>
    <row r="5635" ht="15.75" customHeight="1">
      <c r="A5635" s="26">
        <f>IFERROR(__xludf.DUMMYFUNCTION("""COMPUTED_VALUE"""),8443.0)</f>
        <v>8443</v>
      </c>
      <c r="B5635" s="22" t="str">
        <f>IFERROR(__xludf.DUMMYFUNCTION("""COMPUTED_VALUE"""),"確定")</f>
        <v>確定</v>
      </c>
      <c r="C5635" s="28">
        <f>IFERROR(__xludf.DUMMYFUNCTION("""COMPUTED_VALUE"""),46213.0)</f>
        <v>46213</v>
      </c>
      <c r="D5635" s="28">
        <f>IFERROR(__xludf.DUMMYFUNCTION("""COMPUTED_VALUE"""),46218.0)</f>
        <v>46218</v>
      </c>
      <c r="E5635" s="26"/>
      <c r="F5635" s="22" t="str">
        <f>IFERROR(__xludf.DUMMYFUNCTION("""COMPUTED_VALUE"""),"【分冊版】愛されてんだと自覚しな")</f>
        <v>【分冊版】愛されてんだと自覚しな</v>
      </c>
      <c r="G5635" s="20" t="str">
        <f>IFERROR(__xludf.DUMMYFUNCTION("""COMPUTED_VALUE"""),"1~6")</f>
        <v>1~6</v>
      </c>
      <c r="H5635" s="22" t="str">
        <f>IFERROR(__xludf.DUMMYFUNCTION("""COMPUTED_VALUE"""),"河野裕・キタハラリイ")</f>
        <v>河野裕・キタハラリイ</v>
      </c>
      <c r="I5635" s="22" t="str">
        <f>IFERROR(__xludf.DUMMYFUNCTION("""COMPUTED_VALUE"""),"女性")</f>
        <v>女性</v>
      </c>
      <c r="J5635" s="22"/>
      <c r="K5635" s="22"/>
      <c r="L5635" s="22" t="str">
        <f>IFERROR(__xludf.DUMMYFUNCTION("""COMPUTED_VALUE"""),"Seasons")</f>
        <v>Seasons</v>
      </c>
      <c r="M5635" s="33">
        <f>IFERROR(__xludf.DUMMYFUNCTION("""COMPUTED_VALUE"""),46288.0)</f>
        <v>46288</v>
      </c>
      <c r="N5635" s="33">
        <f>IFERROR(__xludf.DUMMYFUNCTION("""COMPUTED_VALUE"""),46378.0)</f>
        <v>46378</v>
      </c>
      <c r="O5635" s="20"/>
      <c r="P5635" s="32" t="str">
        <f>IFERROR(__xludf.DUMMYFUNCTION("""COMPUTED_VALUE"""),"可")</f>
        <v>可</v>
      </c>
      <c r="Q5635" s="30" t="str">
        <f>IFERROR(__xludf.DUMMYFUNCTION("""COMPUTED_VALUE"""),"3巻それぞれを前後編の2分割にするので格納素材は初回の1～6巻分です。")</f>
        <v>3巻それぞれを前後編の2分割にするので格納素材は初回の1～6巻分です。</v>
      </c>
      <c r="R5635" s="22" t="str">
        <f>IFERROR(__xludf.DUMMYFUNCTION("""COMPUTED_VALUE"""),"コミットOK")</f>
        <v>コミットOK</v>
      </c>
      <c r="S5635" s="22" t="str">
        <f>IFERROR(__xludf.DUMMYFUNCTION("""COMPUTED_VALUE"""),"20260630_Seasons_【分冊版】愛されてんだと自覚しな")</f>
        <v>20260630_Seasons_【分冊版】愛されてんだと自覚しな</v>
      </c>
      <c r="T5635" s="22" t="str">
        <f>IFERROR(__xludf.DUMMYFUNCTION("""COMPUTED_VALUE"""),"格納済み")</f>
        <v>格納済み</v>
      </c>
      <c r="U5635" s="9" t="str">
        <f>IFERROR(__xludf.DUMMYFUNCTION("""COMPUTED_VALUE"""),"Ⓒ河野裕・キタハラリイ／文藝春秋")</f>
        <v>Ⓒ河野裕・キタハラリイ／文藝春秋</v>
      </c>
      <c r="V5635" s="8"/>
      <c r="W5635" s="8"/>
      <c r="X5635" s="8"/>
      <c r="Y5635" s="8"/>
      <c r="Z5635" s="7"/>
      <c r="AA5635" s="7"/>
      <c r="AB5635" s="7"/>
    </row>
    <row r="5636" ht="15.75" customHeight="1">
      <c r="A5636" s="26">
        <f>IFERROR(__xludf.DUMMYFUNCTION("""COMPUTED_VALUE"""),8448.0)</f>
        <v>8448</v>
      </c>
      <c r="B5636" s="22" t="str">
        <f>IFERROR(__xludf.DUMMYFUNCTION("""COMPUTED_VALUE"""),"確定")</f>
        <v>確定</v>
      </c>
      <c r="C5636" s="28">
        <f>IFERROR(__xludf.DUMMYFUNCTION("""COMPUTED_VALUE"""),46213.0)</f>
        <v>46213</v>
      </c>
      <c r="D5636" s="28">
        <f>IFERROR(__xludf.DUMMYFUNCTION("""COMPUTED_VALUE"""),46216.0)</f>
        <v>46216</v>
      </c>
      <c r="E5636" s="26"/>
      <c r="F5636" s="22" t="str">
        <f>IFERROR(__xludf.DUMMYFUNCTION("""COMPUTED_VALUE"""),"【単話版】聖女の、遺産")</f>
        <v>【単話版】聖女の、遺産</v>
      </c>
      <c r="G5636" s="20" t="str">
        <f>IFERROR(__xludf.DUMMYFUNCTION("""COMPUTED_VALUE"""),"1~5")</f>
        <v>1~5</v>
      </c>
      <c r="H5636" s="22" t="str">
        <f>IFERROR(__xludf.DUMMYFUNCTION("""COMPUTED_VALUE"""),"原作 六つ花えいこ／漫画  和花")</f>
        <v>原作 六つ花えいこ／漫画  和花</v>
      </c>
      <c r="I5636" s="22" t="str">
        <f>IFERROR(__xludf.DUMMYFUNCTION("""COMPUTED_VALUE"""),"女性")</f>
        <v>女性</v>
      </c>
      <c r="J5636" s="22"/>
      <c r="K5636" s="22"/>
      <c r="L5636" s="22" t="str">
        <f>IFERROR(__xludf.DUMMYFUNCTION("""COMPUTED_VALUE"""),"新潮社")</f>
        <v>新潮社</v>
      </c>
      <c r="M5636" s="33">
        <f>IFERROR(__xludf.DUMMYFUNCTION("""COMPUTED_VALUE"""),46228.0)</f>
        <v>46228</v>
      </c>
      <c r="N5636" s="33">
        <f>IFERROR(__xludf.DUMMYFUNCTION("""COMPUTED_VALUE"""),46412.0)</f>
        <v>46412</v>
      </c>
      <c r="O5636" s="20"/>
      <c r="P5636" s="32" t="str">
        <f>IFERROR(__xludf.DUMMYFUNCTION("""COMPUTED_VALUE"""),"可")</f>
        <v>可</v>
      </c>
      <c r="Q5636" s="30" t="str">
        <f>IFERROR(__xludf.DUMMYFUNCTION("""COMPUTED_VALUE"""),"可能な限りお早めに出稿準備進めていただけますと幸いです。")</f>
        <v>可能な限りお早めに出稿準備進めていただけますと幸いです。</v>
      </c>
      <c r="R5636" s="22"/>
      <c r="S5636" s="22" t="str">
        <f>IFERROR(__xludf.DUMMYFUNCTION("""COMPUTED_VALUE"""),"20260708_新潮社_聖女の、遺産_協業作品")</f>
        <v>20260708_新潮社_聖女の、遺産_協業作品</v>
      </c>
      <c r="T5636" s="22" t="str">
        <f>IFERROR(__xludf.DUMMYFUNCTION("""COMPUTED_VALUE"""),"格納済み")</f>
        <v>格納済み</v>
      </c>
      <c r="U5636" s="9" t="str">
        <f>IFERROR(__xludf.DUMMYFUNCTION("""COMPUTED_VALUE"""),"Ⓒ六つ花えいこ 和花／新潮社")</f>
        <v>Ⓒ六つ花えいこ 和花／新潮社</v>
      </c>
      <c r="V5636" s="8"/>
      <c r="W5636" s="8"/>
      <c r="X5636" s="8"/>
      <c r="Y5636" s="8"/>
      <c r="Z5636" s="7"/>
      <c r="AA5636" s="7"/>
      <c r="AB5636" s="7"/>
    </row>
    <row r="5637" ht="15.75" customHeight="1">
      <c r="A5637" s="26">
        <f>IFERROR(__xludf.DUMMYFUNCTION("""COMPUTED_VALUE"""),8449.0)</f>
        <v>8449</v>
      </c>
      <c r="B5637" s="22" t="str">
        <f>IFERROR(__xludf.DUMMYFUNCTION("""COMPUTED_VALUE"""),"確定")</f>
        <v>確定</v>
      </c>
      <c r="C5637" s="28">
        <f>IFERROR(__xludf.DUMMYFUNCTION("""COMPUTED_VALUE"""),46213.0)</f>
        <v>46213</v>
      </c>
      <c r="D5637" s="28">
        <f>IFERROR(__xludf.DUMMYFUNCTION("""COMPUTED_VALUE"""),46216.0)</f>
        <v>46216</v>
      </c>
      <c r="E5637" s="26"/>
      <c r="F5637" s="22" t="str">
        <f>IFERROR(__xludf.DUMMYFUNCTION("""COMPUTED_VALUE"""),"その執着は俺に効く")</f>
        <v>その執着は俺に効く</v>
      </c>
      <c r="G5637" s="20" t="str">
        <f>IFERROR(__xludf.DUMMYFUNCTION("""COMPUTED_VALUE"""),"1~3")</f>
        <v>1~3</v>
      </c>
      <c r="H5637" s="22" t="str">
        <f>IFERROR(__xludf.DUMMYFUNCTION("""COMPUTED_VALUE"""),"有真")</f>
        <v>有真</v>
      </c>
      <c r="I5637" s="22" t="str">
        <f>IFERROR(__xludf.DUMMYFUNCTION("""COMPUTED_VALUE"""),"BL")</f>
        <v>BL</v>
      </c>
      <c r="J5637" s="22"/>
      <c r="K5637" s="22"/>
      <c r="L5637" s="22" t="str">
        <f>IFERROR(__xludf.DUMMYFUNCTION("""COMPUTED_VALUE"""),"セ・キララ文庫")</f>
        <v>セ・キララ文庫</v>
      </c>
      <c r="M5637" s="33">
        <f>IFERROR(__xludf.DUMMYFUNCTION("""COMPUTED_VALUE"""),46269.0)</f>
        <v>46269</v>
      </c>
      <c r="N5637" s="33">
        <f>IFERROR(__xludf.DUMMYFUNCTION("""COMPUTED_VALUE"""),46335.0)</f>
        <v>46335</v>
      </c>
      <c r="O5637" s="20" t="str">
        <f>IFERROR(__xludf.DUMMYFUNCTION("""COMPUTED_VALUE"""),"【アダルト作品扱い】")</f>
        <v>【アダルト作品扱い】</v>
      </c>
      <c r="P5637" s="32" t="str">
        <f>IFERROR(__xludf.DUMMYFUNCTION("""COMPUTED_VALUE"""),"可")</f>
        <v>可</v>
      </c>
      <c r="Q5637" s="30"/>
      <c r="R5637" s="22"/>
      <c r="S5637" s="22" t="str">
        <f>IFERROR(__xludf.DUMMYFUNCTION("""COMPUTED_VALUE"""),"20260708_ライドオン_その執着は俺に効く")</f>
        <v>20260708_ライドオン_その執着は俺に効く</v>
      </c>
      <c r="T5637" s="22" t="str">
        <f>IFERROR(__xludf.DUMMYFUNCTION("""COMPUTED_VALUE"""),"格納済み")</f>
        <v>格納済み</v>
      </c>
      <c r="U5637" s="9" t="str">
        <f>IFERROR(__xludf.DUMMYFUNCTION("""COMPUTED_VALUE"""),"Ⓒ有真/セ・キララ文庫")</f>
        <v>Ⓒ有真/セ・キララ文庫</v>
      </c>
      <c r="V5637" s="8"/>
      <c r="W5637" s="8"/>
      <c r="X5637" s="8"/>
      <c r="Y5637" s="8"/>
      <c r="Z5637" s="7"/>
      <c r="AA5637" s="7"/>
      <c r="AB5637" s="7"/>
    </row>
    <row r="5638" ht="15.75" customHeight="1">
      <c r="A5638" s="26">
        <f>IFERROR(__xludf.DUMMYFUNCTION("""COMPUTED_VALUE"""),8450.0)</f>
        <v>8450</v>
      </c>
      <c r="B5638" s="22" t="str">
        <f>IFERROR(__xludf.DUMMYFUNCTION("""COMPUTED_VALUE"""),"確定")</f>
        <v>確定</v>
      </c>
      <c r="C5638" s="28">
        <f>IFERROR(__xludf.DUMMYFUNCTION("""COMPUTED_VALUE"""),46213.0)</f>
        <v>46213</v>
      </c>
      <c r="D5638" s="28">
        <f>IFERROR(__xludf.DUMMYFUNCTION("""COMPUTED_VALUE"""),46216.0)</f>
        <v>46216</v>
      </c>
      <c r="E5638" s="26">
        <f>IFERROR(__xludf.DUMMYFUNCTION("""COMPUTED_VALUE"""),348033.0)</f>
        <v>348033</v>
      </c>
      <c r="F5638" s="22" t="str">
        <f>IFERROR(__xludf.DUMMYFUNCTION("""COMPUTED_VALUE"""),"二大貴族の王命結婚～私の夫は死の口付けしか知らない～")</f>
        <v>二大貴族の王命結婚～私の夫は死の口付けしか知らない～</v>
      </c>
      <c r="G5638" s="20" t="str">
        <f>IFERROR(__xludf.DUMMYFUNCTION("""COMPUTED_VALUE"""),"1~3")</f>
        <v>1~3</v>
      </c>
      <c r="H5638" s="22" t="str">
        <f>IFERROR(__xludf.DUMMYFUNCTION("""COMPUTED_VALUE"""),"成川ヒョウ吾,松本さなえ,Orange studio,華丘ゆか")</f>
        <v>成川ヒョウ吾,松本さなえ,Orange studio,華丘ゆか</v>
      </c>
      <c r="I5638" s="22" t="str">
        <f>IFERROR(__xludf.DUMMYFUNCTION("""COMPUTED_VALUE"""),"少女")</f>
        <v>少女</v>
      </c>
      <c r="J5638" s="22"/>
      <c r="K5638" s="22" t="str">
        <f>IFERROR(__xludf.DUMMYFUNCTION("""COMPUTED_VALUE"""),"トレモア・ロマンス,トレモアcollection")</f>
        <v>トレモア・ロマンス,トレモアcollection</v>
      </c>
      <c r="L5638" s="22" t="str">
        <f>IFERROR(__xludf.DUMMYFUNCTION("""COMPUTED_VALUE"""),"シーモアコミックス（トレモア）")</f>
        <v>シーモアコミックス（トレモア）</v>
      </c>
      <c r="M5638" s="33">
        <f>IFERROR(__xludf.DUMMYFUNCTION("""COMPUTED_VALUE"""),46255.0)</f>
        <v>46255</v>
      </c>
      <c r="N5638" s="33">
        <f>IFERROR(__xludf.DUMMYFUNCTION("""COMPUTED_VALUE"""),46408.0)</f>
        <v>46408</v>
      </c>
      <c r="O5638" s="20"/>
      <c r="P5638" s="32" t="str">
        <f>IFERROR(__xludf.DUMMYFUNCTION("""COMPUTED_VALUE"""),"可")</f>
        <v>可</v>
      </c>
      <c r="Q5638" s="30"/>
      <c r="R5638" s="22"/>
      <c r="S5638" s="22" t="str">
        <f>IFERROR(__xludf.DUMMYFUNCTION("""COMPUTED_VALUE"""),"20260708_シーモアコミックス_二大貴族の王命結婚～私の夫は死の口付けしか知らない～二大貴族の王命結婚～私の夫は死の口付けしか知らない～")</f>
        <v>20260708_シーモアコミックス_二大貴族の王命結婚～私の夫は死の口付けしか知らない～二大貴族の王命結婚～私の夫は死の口付けしか知らない～</v>
      </c>
      <c r="T5638" s="22" t="str">
        <f>IFERROR(__xludf.DUMMYFUNCTION("""COMPUTED_VALUE"""),"格納済み")</f>
        <v>格納済み</v>
      </c>
      <c r="U5638" s="9" t="str">
        <f>IFERROR(__xludf.DUMMYFUNCTION("""COMPUTED_VALUE"""),"(C) 成川ヒョウ吾/松本さなえ/Orange studio/華丘ゆか/シーモアコミックス")</f>
        <v>(C) 成川ヒョウ吾/松本さなえ/Orange studio/華丘ゆか/シーモアコミックス</v>
      </c>
      <c r="V5638" s="8"/>
      <c r="W5638" s="8"/>
      <c r="X5638" s="8"/>
      <c r="Y5638" s="8"/>
      <c r="Z5638" s="7"/>
      <c r="AA5638" s="7"/>
      <c r="AB5638" s="7"/>
    </row>
    <row r="5639" ht="15.75" customHeight="1">
      <c r="A5639" s="26">
        <f>IFERROR(__xludf.DUMMYFUNCTION("""COMPUTED_VALUE"""),8451.0)</f>
        <v>8451</v>
      </c>
      <c r="B5639" s="22" t="str">
        <f>IFERROR(__xludf.DUMMYFUNCTION("""COMPUTED_VALUE"""),"確定")</f>
        <v>確定</v>
      </c>
      <c r="C5639" s="28">
        <f>IFERROR(__xludf.DUMMYFUNCTION("""COMPUTED_VALUE"""),46213.0)</f>
        <v>46213</v>
      </c>
      <c r="D5639" s="28">
        <f>IFERROR(__xludf.DUMMYFUNCTION("""COMPUTED_VALUE"""),46216.0)</f>
        <v>46216</v>
      </c>
      <c r="E5639" s="26">
        <f>IFERROR(__xludf.DUMMYFUNCTION("""COMPUTED_VALUE"""),348034.0)</f>
        <v>348034</v>
      </c>
      <c r="F5639" s="22" t="str">
        <f>IFERROR(__xludf.DUMMYFUNCTION("""COMPUTED_VALUE"""),"大好きな王太子殿下に「これはただの契約結婚だ」と宣言されました")</f>
        <v>大好きな王太子殿下に「これはただの契約結婚だ」と宣言されました</v>
      </c>
      <c r="G5639" s="20" t="str">
        <f>IFERROR(__xludf.DUMMYFUNCTION("""COMPUTED_VALUE"""),"1~3")</f>
        <v>1~3</v>
      </c>
      <c r="H5639" s="22" t="str">
        <f>IFERROR(__xludf.DUMMYFUNCTION("""COMPUTED_VALUE"""),"星野夜エリス,山口しずか,Orange studio,西雲ササメ")</f>
        <v>星野夜エリス,山口しずか,Orange studio,西雲ササメ</v>
      </c>
      <c r="I5639" s="22" t="str">
        <f>IFERROR(__xludf.DUMMYFUNCTION("""COMPUTED_VALUE"""),"少女")</f>
        <v>少女</v>
      </c>
      <c r="J5639" s="22"/>
      <c r="K5639" s="22" t="str">
        <f>IFERROR(__xludf.DUMMYFUNCTION("""COMPUTED_VALUE"""),"トレモア・ロマンス,トレモアcollection")</f>
        <v>トレモア・ロマンス,トレモアcollection</v>
      </c>
      <c r="L5639" s="22" t="str">
        <f>IFERROR(__xludf.DUMMYFUNCTION("""COMPUTED_VALUE"""),"シーモアコミックス（トレモア）")</f>
        <v>シーモアコミックス（トレモア）</v>
      </c>
      <c r="M5639" s="33">
        <f>IFERROR(__xludf.DUMMYFUNCTION("""COMPUTED_VALUE"""),46255.0)</f>
        <v>46255</v>
      </c>
      <c r="N5639" s="33">
        <f>IFERROR(__xludf.DUMMYFUNCTION("""COMPUTED_VALUE"""),46408.0)</f>
        <v>46408</v>
      </c>
      <c r="O5639" s="20"/>
      <c r="P5639" s="32" t="str">
        <f>IFERROR(__xludf.DUMMYFUNCTION("""COMPUTED_VALUE"""),"可")</f>
        <v>可</v>
      </c>
      <c r="Q5639" s="30"/>
      <c r="R5639" s="22"/>
      <c r="S5639" s="22" t="str">
        <f>IFERROR(__xludf.DUMMYFUNCTION("""COMPUTED_VALUE"""),"20260708_シーモアコミックス_大好きな王太子殿下に「これはただの契約結婚だ」と宣言されました")</f>
        <v>20260708_シーモアコミックス_大好きな王太子殿下に「これはただの契約結婚だ」と宣言されました</v>
      </c>
      <c r="T5639" s="22" t="str">
        <f>IFERROR(__xludf.DUMMYFUNCTION("""COMPUTED_VALUE"""),"格納済み")</f>
        <v>格納済み</v>
      </c>
      <c r="U5639" s="9" t="str">
        <f>IFERROR(__xludf.DUMMYFUNCTION("""COMPUTED_VALUE"""),"(C) 星野夜エリス/山口しずか/Orange studio/西雲ササメ/シーモアコミックス")</f>
        <v>(C) 星野夜エリス/山口しずか/Orange studio/西雲ササメ/シーモアコミックス</v>
      </c>
      <c r="V5639" s="8"/>
      <c r="W5639" s="8"/>
      <c r="X5639" s="8"/>
      <c r="Y5639" s="8"/>
      <c r="Z5639" s="7"/>
      <c r="AA5639" s="7"/>
      <c r="AB5639" s="7"/>
    </row>
    <row r="5640" ht="15.75" customHeight="1">
      <c r="A5640" s="26">
        <f>IFERROR(__xludf.DUMMYFUNCTION("""COMPUTED_VALUE"""),8452.0)</f>
        <v>8452</v>
      </c>
      <c r="B5640" s="22" t="str">
        <f>IFERROR(__xludf.DUMMYFUNCTION("""COMPUTED_VALUE"""),"確定")</f>
        <v>確定</v>
      </c>
      <c r="C5640" s="28">
        <f>IFERROR(__xludf.DUMMYFUNCTION("""COMPUTED_VALUE"""),46213.0)</f>
        <v>46213</v>
      </c>
      <c r="D5640" s="28">
        <f>IFERROR(__xludf.DUMMYFUNCTION("""COMPUTED_VALUE"""),46217.0)</f>
        <v>46217</v>
      </c>
      <c r="E5640" s="26">
        <f>IFERROR(__xludf.DUMMYFUNCTION("""COMPUTED_VALUE"""),331705.0)</f>
        <v>331705</v>
      </c>
      <c r="F5640" s="22" t="str">
        <f>IFERROR(__xludf.DUMMYFUNCTION("""COMPUTED_VALUE"""),"復讐令嬢は一言多い")</f>
        <v>復讐令嬢は一言多い</v>
      </c>
      <c r="G5640" s="20" t="str">
        <f>IFERROR(__xludf.DUMMYFUNCTION("""COMPUTED_VALUE"""),"1~5")</f>
        <v>1~5</v>
      </c>
      <c r="H5640" s="22" t="str">
        <f>IFERROR(__xludf.DUMMYFUNCTION("""COMPUTED_VALUE"""),"佐倉崎牡丹,潮路奈和,SSScrop")</f>
        <v>佐倉崎牡丹,潮路奈和,SSScrop</v>
      </c>
      <c r="I5640" s="22" t="str">
        <f>IFERROR(__xludf.DUMMYFUNCTION("""COMPUTED_VALUE"""),"少女")</f>
        <v>少女</v>
      </c>
      <c r="J5640" s="22"/>
      <c r="K5640" s="22" t="str">
        <f>IFERROR(__xludf.DUMMYFUNCTION("""COMPUTED_VALUE"""),"トレモア・ロマンス,トレモアcollection")</f>
        <v>トレモア・ロマンス,トレモアcollection</v>
      </c>
      <c r="L5640" s="22" t="str">
        <f>IFERROR(__xludf.DUMMYFUNCTION("""COMPUTED_VALUE"""),"シーモアコミックス（トレモア）")</f>
        <v>シーモアコミックス（トレモア）</v>
      </c>
      <c r="M5640" s="33">
        <f>IFERROR(__xludf.DUMMYFUNCTION("""COMPUTED_VALUE"""),46255.0)</f>
        <v>46255</v>
      </c>
      <c r="N5640" s="33">
        <f>IFERROR(__xludf.DUMMYFUNCTION("""COMPUTED_VALUE"""),46408.0)</f>
        <v>46408</v>
      </c>
      <c r="O5640" s="20"/>
      <c r="P5640" s="32" t="str">
        <f>IFERROR(__xludf.DUMMYFUNCTION("""COMPUTED_VALUE"""),"可")</f>
        <v>可</v>
      </c>
      <c r="Q5640" s="30"/>
      <c r="R5640" s="22"/>
      <c r="S5640" s="22" t="str">
        <f>IFERROR(__xludf.DUMMYFUNCTION("""COMPUTED_VALUE"""),"20260708_シーモアコミックス_復讐令嬢は一言多い")</f>
        <v>20260708_シーモアコミックス_復讐令嬢は一言多い</v>
      </c>
      <c r="T5640" s="22" t="str">
        <f>IFERROR(__xludf.DUMMYFUNCTION("""COMPUTED_VALUE"""),"格納済み")</f>
        <v>格納済み</v>
      </c>
      <c r="U5640" s="9" t="str">
        <f>IFERROR(__xludf.DUMMYFUNCTION("""COMPUTED_VALUE"""),"(C) 佐倉崎牡丹/潮路奈和/SSScrop/シーモアコミックス")</f>
        <v>(C) 佐倉崎牡丹/潮路奈和/SSScrop/シーモアコミックス</v>
      </c>
      <c r="V5640" s="8"/>
      <c r="W5640" s="8"/>
      <c r="X5640" s="8"/>
      <c r="Y5640" s="8"/>
      <c r="Z5640" s="7"/>
      <c r="AA5640" s="7"/>
      <c r="AB5640" s="7"/>
    </row>
    <row r="5641" ht="15.75" customHeight="1">
      <c r="A5641" s="26">
        <f>IFERROR(__xludf.DUMMYFUNCTION("""COMPUTED_VALUE"""),8453.0)</f>
        <v>8453</v>
      </c>
      <c r="B5641" s="22" t="str">
        <f>IFERROR(__xludf.DUMMYFUNCTION("""COMPUTED_VALUE"""),"確定")</f>
        <v>確定</v>
      </c>
      <c r="C5641" s="28">
        <f>IFERROR(__xludf.DUMMYFUNCTION("""COMPUTED_VALUE"""),46213.0)</f>
        <v>46213</v>
      </c>
      <c r="D5641" s="28">
        <f>IFERROR(__xludf.DUMMYFUNCTION("""COMPUTED_VALUE"""),46217.0)</f>
        <v>46217</v>
      </c>
      <c r="E5641" s="26"/>
      <c r="F5641" s="22" t="str">
        <f>IFERROR(__xludf.DUMMYFUNCTION("""COMPUTED_VALUE"""),"キミの顔で僕にキスして(話売り)")</f>
        <v>キミの顔で僕にキスして(話売り)</v>
      </c>
      <c r="G5641" s="20" t="str">
        <f>IFERROR(__xludf.DUMMYFUNCTION("""COMPUTED_VALUE"""),"1~3")</f>
        <v>1~3</v>
      </c>
      <c r="H5641" s="22" t="str">
        <f>IFERROR(__xludf.DUMMYFUNCTION("""COMPUTED_VALUE"""),"蔵人幸明・WOOMA")</f>
        <v>蔵人幸明・WOOMA</v>
      </c>
      <c r="I5641" s="22" t="str">
        <f>IFERROR(__xludf.DUMMYFUNCTION("""COMPUTED_VALUE"""),"少年")</f>
        <v>少年</v>
      </c>
      <c r="J5641" s="22"/>
      <c r="K5641" s="22"/>
      <c r="L5641" s="22" t="str">
        <f>IFERROR(__xludf.DUMMYFUNCTION("""COMPUTED_VALUE"""),"秋田書店")</f>
        <v>秋田書店</v>
      </c>
      <c r="M5641" s="33">
        <f>IFERROR(__xludf.DUMMYFUNCTION("""COMPUTED_VALUE"""),46254.0)</f>
        <v>46254</v>
      </c>
      <c r="N5641" s="33">
        <f>IFERROR(__xludf.DUMMYFUNCTION("""COMPUTED_VALUE"""),46314.0)</f>
        <v>46314</v>
      </c>
      <c r="O5641" s="20"/>
      <c r="P5641" s="32" t="str">
        <f>IFERROR(__xludf.DUMMYFUNCTION("""COMPUTED_VALUE"""),"可")</f>
        <v>可</v>
      </c>
      <c r="Q5641" s="30" t="str">
        <f>IFERROR(__xludf.DUMMYFUNCTION("""COMPUTED_VALUE"""),"1～2巻素材での広告制作お願いいたします。3巻素材は後日共有予定です。&lt;BR&gt;&lt;BR&gt;主人公が身体を乗っ取られて、これまでの順風満帆な人生を乱されていく中で、唯一信じられる秀才な彼女の力を借りながらどう立ち向かっていくのか、また、身体を乗っ取っている側の男の子も一筋縄では攻略できなさそうで、読んでいて不安や期待感や恐怖の感情がぐるぐる渦巻く面白い作品です！")</f>
        <v>1～2巻素材での広告制作お願いいたします。3巻素材は後日共有予定です。&lt;BR&gt;&lt;BR&gt;主人公が身体を乗っ取られて、これまでの順風満帆な人生を乱されていく中で、唯一信じられる秀才な彼女の力を借りながらどう立ち向かっていくのか、また、身体を乗っ取っている側の男の子も一筋縄では攻略できなさそうで、読んでいて不安や期待感や恐怖の感情がぐるぐる渦巻く面白い作品です！</v>
      </c>
      <c r="R5641" s="22"/>
      <c r="S5641" s="22" t="str">
        <f>IFERROR(__xludf.DUMMYFUNCTION("""COMPUTED_VALUE"""),"20260709_秋田書店_キミの顔で僕にキスして(話売り)")</f>
        <v>20260709_秋田書店_キミの顔で僕にキスして(話売り)</v>
      </c>
      <c r="T5641" s="22" t="str">
        <f>IFERROR(__xludf.DUMMYFUNCTION("""COMPUTED_VALUE"""),"格納済み")</f>
        <v>格納済み</v>
      </c>
      <c r="U5641" s="9" t="str">
        <f>IFERROR(__xludf.DUMMYFUNCTION("""COMPUTED_VALUE"""),"Ⓒ蔵人幸明・WOOMA（秋田書店）")</f>
        <v>Ⓒ蔵人幸明・WOOMA（秋田書店）</v>
      </c>
      <c r="V5641" s="8"/>
      <c r="W5641" s="8"/>
      <c r="X5641" s="8"/>
      <c r="Y5641" s="8"/>
      <c r="Z5641" s="7"/>
      <c r="AA5641" s="7"/>
      <c r="AB5641" s="7"/>
    </row>
    <row r="5642" ht="15.75" customHeight="1">
      <c r="A5642" s="26">
        <f>IFERROR(__xludf.DUMMYFUNCTION("""COMPUTED_VALUE"""),8457.0)</f>
        <v>8457</v>
      </c>
      <c r="B5642" s="22" t="str">
        <f>IFERROR(__xludf.DUMMYFUNCTION("""COMPUTED_VALUE"""),"確定")</f>
        <v>確定</v>
      </c>
      <c r="C5642" s="28">
        <f>IFERROR(__xludf.DUMMYFUNCTION("""COMPUTED_VALUE"""),46216.0)</f>
        <v>46216</v>
      </c>
      <c r="D5642" s="28">
        <f>IFERROR(__xludf.DUMMYFUNCTION("""COMPUTED_VALUE"""),46218.0)</f>
        <v>46218</v>
      </c>
      <c r="E5642" s="26">
        <f>IFERROR(__xludf.DUMMYFUNCTION("""COMPUTED_VALUE"""),267235.0)</f>
        <v>267235</v>
      </c>
      <c r="F5642" s="22" t="str">
        <f>IFERROR(__xludf.DUMMYFUNCTION("""COMPUTED_VALUE"""),"コントラクト・ルームメイト～年上褐色男子は私を甘く抱く～")</f>
        <v>コントラクト・ルームメイト～年上褐色男子は私を甘く抱く～</v>
      </c>
      <c r="G5642" s="20" t="str">
        <f>IFERROR(__xludf.DUMMYFUNCTION("""COMPUTED_VALUE"""),"1~3")</f>
        <v>1~3</v>
      </c>
      <c r="H5642" s="22" t="str">
        <f>IFERROR(__xludf.DUMMYFUNCTION("""COMPUTED_VALUE"""),"鹿島ミツル")</f>
        <v>鹿島ミツル</v>
      </c>
      <c r="I5642" s="22" t="str">
        <f>IFERROR(__xludf.DUMMYFUNCTION("""COMPUTED_VALUE"""),"TL")</f>
        <v>TL</v>
      </c>
      <c r="J5642" s="22"/>
      <c r="K5642" s="22" t="str">
        <f>IFERROR(__xludf.DUMMYFUNCTION("""COMPUTED_VALUE"""),"スキして?桃色日記")</f>
        <v>スキして?桃色日記</v>
      </c>
      <c r="L5642" s="22" t="str">
        <f>IFERROR(__xludf.DUMMYFUNCTION("""COMPUTED_VALUE"""),"シーモアコミックス")</f>
        <v>シーモアコミックス</v>
      </c>
      <c r="M5642" s="33">
        <f>IFERROR(__xludf.DUMMYFUNCTION("""COMPUTED_VALUE"""),46242.0)</f>
        <v>46242</v>
      </c>
      <c r="N5642" s="33">
        <f>IFERROR(__xludf.DUMMYFUNCTION("""COMPUTED_VALUE"""),46338.0)</f>
        <v>46338</v>
      </c>
      <c r="O5642" s="20" t="str">
        <f>IFERROR(__xludf.DUMMYFUNCTION("""COMPUTED_VALUE"""),"【アダルト作品扱い】")</f>
        <v>【アダルト作品扱い】</v>
      </c>
      <c r="P5642" s="32" t="str">
        <f>IFERROR(__xludf.DUMMYFUNCTION("""COMPUTED_VALUE"""),"可")</f>
        <v>可</v>
      </c>
      <c r="Q5642" s="30"/>
      <c r="R5642" s="22"/>
      <c r="S5642" s="22" t="str">
        <f>IFERROR(__xludf.DUMMYFUNCTION("""COMPUTED_VALUE"""),"20260706_シーモアコミックス_コントラクト・ルームメイト～年上褐色男子は私を甘く抱く～")</f>
        <v>20260706_シーモアコミックス_コントラクト・ルームメイト～年上褐色男子は私を甘く抱く～</v>
      </c>
      <c r="T5642" s="22" t="str">
        <f>IFERROR(__xludf.DUMMYFUNCTION("""COMPUTED_VALUE"""),"格納済み")</f>
        <v>格納済み</v>
      </c>
      <c r="U5642" s="9" t="str">
        <f>IFERROR(__xludf.DUMMYFUNCTION("""COMPUTED_VALUE"""),"(C) 鹿島ミツル/シーモアコミックス")</f>
        <v>(C) 鹿島ミツル/シーモアコミックス</v>
      </c>
      <c r="V5642" s="8"/>
      <c r="W5642" s="8"/>
      <c r="X5642" s="8"/>
      <c r="Y5642" s="8"/>
      <c r="Z5642" s="7"/>
      <c r="AA5642" s="7"/>
      <c r="AB5642" s="7"/>
    </row>
    <row r="5643" ht="15.75" customHeight="1">
      <c r="A5643" s="26">
        <f>IFERROR(__xludf.DUMMYFUNCTION("""COMPUTED_VALUE"""),8458.0)</f>
        <v>8458</v>
      </c>
      <c r="B5643" s="22" t="str">
        <f>IFERROR(__xludf.DUMMYFUNCTION("""COMPUTED_VALUE"""),"確定")</f>
        <v>確定</v>
      </c>
      <c r="C5643" s="28">
        <f>IFERROR(__xludf.DUMMYFUNCTION("""COMPUTED_VALUE"""),46216.0)</f>
        <v>46216</v>
      </c>
      <c r="D5643" s="28">
        <f>IFERROR(__xludf.DUMMYFUNCTION("""COMPUTED_VALUE"""),46218.0)</f>
        <v>46218</v>
      </c>
      <c r="E5643" s="26">
        <f>IFERROR(__xludf.DUMMYFUNCTION("""COMPUTED_VALUE"""),330228.0)</f>
        <v>330228</v>
      </c>
      <c r="F5643" s="22" t="str">
        <f>IFERROR(__xludf.DUMMYFUNCTION("""COMPUTED_VALUE"""),"LOVEに不慣れな上司がかわいい")</f>
        <v>LOVEに不慣れな上司がかわいい</v>
      </c>
      <c r="G5643" s="20" t="str">
        <f>IFERROR(__xludf.DUMMYFUNCTION("""COMPUTED_VALUE"""),"1~3")</f>
        <v>1~3</v>
      </c>
      <c r="H5643" s="22" t="str">
        <f>IFERROR(__xludf.DUMMYFUNCTION("""COMPUTED_VALUE"""),"久遊あさこ")</f>
        <v>久遊あさこ</v>
      </c>
      <c r="I5643" s="22" t="str">
        <f>IFERROR(__xludf.DUMMYFUNCTION("""COMPUTED_VALUE"""),"女性")</f>
        <v>女性</v>
      </c>
      <c r="J5643" s="22"/>
      <c r="K5643" s="22" t="str">
        <f>IFERROR(__xludf.DUMMYFUNCTION("""COMPUTED_VALUE"""),"恋するソワレ")</f>
        <v>恋するソワレ</v>
      </c>
      <c r="L5643" s="22" t="str">
        <f>IFERROR(__xludf.DUMMYFUNCTION("""COMPUTED_VALUE"""),"シーモアコミックス")</f>
        <v>シーモアコミックス</v>
      </c>
      <c r="M5643" s="33">
        <f>IFERROR(__xludf.DUMMYFUNCTION("""COMPUTED_VALUE"""),46242.0)</f>
        <v>46242</v>
      </c>
      <c r="N5643" s="33">
        <f>IFERROR(__xludf.DUMMYFUNCTION("""COMPUTED_VALUE"""),46338.0)</f>
        <v>46338</v>
      </c>
      <c r="O5643" s="20"/>
      <c r="P5643" s="32" t="str">
        <f>IFERROR(__xludf.DUMMYFUNCTION("""COMPUTED_VALUE"""),"可")</f>
        <v>可</v>
      </c>
      <c r="Q5643" s="30"/>
      <c r="R5643" s="22"/>
      <c r="S5643" s="22" t="str">
        <f>IFERROR(__xludf.DUMMYFUNCTION("""COMPUTED_VALUE"""),"20260706_シーモアコミックス_LOVEに不慣れな上司がかわいい")</f>
        <v>20260706_シーモアコミックス_LOVEに不慣れな上司がかわいい</v>
      </c>
      <c r="T5643" s="22" t="str">
        <f>IFERROR(__xludf.DUMMYFUNCTION("""COMPUTED_VALUE"""),"格納済み")</f>
        <v>格納済み</v>
      </c>
      <c r="U5643" s="9" t="str">
        <f>IFERROR(__xludf.DUMMYFUNCTION("""COMPUTED_VALUE"""),"(C) 久遊あさこ/シーモアコミックス")</f>
        <v>(C) 久遊あさこ/シーモアコミックス</v>
      </c>
      <c r="V5643" s="8"/>
      <c r="W5643" s="8"/>
      <c r="X5643" s="8"/>
      <c r="Y5643" s="8"/>
      <c r="Z5643" s="7"/>
      <c r="AA5643" s="7"/>
      <c r="AB5643" s="7"/>
    </row>
    <row r="5644" ht="15.75" customHeight="1">
      <c r="A5644" s="26">
        <f>IFERROR(__xludf.DUMMYFUNCTION("""COMPUTED_VALUE"""),8459.0)</f>
        <v>8459</v>
      </c>
      <c r="B5644" s="22" t="str">
        <f>IFERROR(__xludf.DUMMYFUNCTION("""COMPUTED_VALUE"""),"確定")</f>
        <v>確定</v>
      </c>
      <c r="C5644" s="28">
        <f>IFERROR(__xludf.DUMMYFUNCTION("""COMPUTED_VALUE"""),46216.0)</f>
        <v>46216</v>
      </c>
      <c r="D5644" s="28">
        <f>IFERROR(__xludf.DUMMYFUNCTION("""COMPUTED_VALUE"""),46218.0)</f>
        <v>46218</v>
      </c>
      <c r="E5644" s="26">
        <f>IFERROR(__xludf.DUMMYFUNCTION("""COMPUTED_VALUE"""),362104.0)</f>
        <v>362104</v>
      </c>
      <c r="F5644" s="22" t="str">
        <f>IFERROR(__xludf.DUMMYFUNCTION("""COMPUTED_VALUE"""),"満ちるまで雨宿り")</f>
        <v>満ちるまで雨宿り</v>
      </c>
      <c r="G5644" s="20" t="str">
        <f>IFERROR(__xludf.DUMMYFUNCTION("""COMPUTED_VALUE"""),"1~3")</f>
        <v>1~3</v>
      </c>
      <c r="H5644" s="22" t="str">
        <f>IFERROR(__xludf.DUMMYFUNCTION("""COMPUTED_VALUE"""),"鈴木望")</f>
        <v>鈴木望</v>
      </c>
      <c r="I5644" s="22" t="str">
        <f>IFERROR(__xludf.DUMMYFUNCTION("""COMPUTED_VALUE"""),"女性")</f>
        <v>女性</v>
      </c>
      <c r="J5644" s="22"/>
      <c r="K5644" s="22" t="str">
        <f>IFERROR(__xludf.DUMMYFUNCTION("""COMPUTED_VALUE"""),"恋するソワレ＋,恋するソワレ")</f>
        <v>恋するソワレ＋,恋するソワレ</v>
      </c>
      <c r="L5644" s="22" t="str">
        <f>IFERROR(__xludf.DUMMYFUNCTION("""COMPUTED_VALUE"""),"シーモアコミックス")</f>
        <v>シーモアコミックス</v>
      </c>
      <c r="M5644" s="33">
        <f>IFERROR(__xludf.DUMMYFUNCTION("""COMPUTED_VALUE"""),46243.0)</f>
        <v>46243</v>
      </c>
      <c r="N5644" s="33">
        <f>IFERROR(__xludf.DUMMYFUNCTION("""COMPUTED_VALUE"""),46338.0)</f>
        <v>46338</v>
      </c>
      <c r="O5644" s="20"/>
      <c r="P5644" s="32" t="str">
        <f>IFERROR(__xludf.DUMMYFUNCTION("""COMPUTED_VALUE"""),"可")</f>
        <v>可</v>
      </c>
      <c r="Q5644" s="30"/>
      <c r="R5644" s="22"/>
      <c r="S5644" s="22" t="str">
        <f>IFERROR(__xludf.DUMMYFUNCTION("""COMPUTED_VALUE"""),"20260706_シーモアコミックス_満ちるまで雨宿り")</f>
        <v>20260706_シーモアコミックス_満ちるまで雨宿り</v>
      </c>
      <c r="T5644" s="22" t="str">
        <f>IFERROR(__xludf.DUMMYFUNCTION("""COMPUTED_VALUE"""),"格納済み")</f>
        <v>格納済み</v>
      </c>
      <c r="U5644" s="9" t="str">
        <f>IFERROR(__xludf.DUMMYFUNCTION("""COMPUTED_VALUE"""),"(C) 鈴木望/シーモアコミックス")</f>
        <v>(C) 鈴木望/シーモアコミックス</v>
      </c>
      <c r="V5644" s="8"/>
      <c r="W5644" s="8"/>
      <c r="X5644" s="8"/>
      <c r="Y5644" s="8"/>
      <c r="Z5644" s="7"/>
      <c r="AA5644" s="7"/>
      <c r="AB5644" s="7"/>
    </row>
    <row r="5645" ht="15.75" customHeight="1">
      <c r="A5645" s="26">
        <f>IFERROR(__xludf.DUMMYFUNCTION("""COMPUTED_VALUE"""),8460.0)</f>
        <v>8460</v>
      </c>
      <c r="B5645" s="22" t="str">
        <f>IFERROR(__xludf.DUMMYFUNCTION("""COMPUTED_VALUE"""),"確定")</f>
        <v>確定</v>
      </c>
      <c r="C5645" s="28">
        <f>IFERROR(__xludf.DUMMYFUNCTION("""COMPUTED_VALUE"""),46217.0)</f>
        <v>46217</v>
      </c>
      <c r="D5645" s="28">
        <f>IFERROR(__xludf.DUMMYFUNCTION("""COMPUTED_VALUE"""),46218.0)</f>
        <v>46218</v>
      </c>
      <c r="E5645" s="26"/>
      <c r="F5645" s="22" t="str">
        <f>IFERROR(__xludf.DUMMYFUNCTION("""COMPUTED_VALUE"""),"大っ嫌いな幼馴染と一晩だけの恋人契約～絡みつくような執着えっち～")</f>
        <v>大っ嫌いな幼馴染と一晩だけの恋人契約～絡みつくような執着えっち～</v>
      </c>
      <c r="G5645" s="20" t="str">
        <f>IFERROR(__xludf.DUMMYFUNCTION("""COMPUTED_VALUE"""),"1~3")</f>
        <v>1~3</v>
      </c>
      <c r="H5645" s="22" t="str">
        <f>IFERROR(__xludf.DUMMYFUNCTION("""COMPUTED_VALUE"""),"翠楼檸")</f>
        <v>翠楼檸</v>
      </c>
      <c r="I5645" s="22" t="str">
        <f>IFERROR(__xludf.DUMMYFUNCTION("""COMPUTED_VALUE"""),"TL")</f>
        <v>TL</v>
      </c>
      <c r="J5645" s="22"/>
      <c r="K5645" s="22" t="str">
        <f>IFERROR(__xludf.DUMMYFUNCTION("""COMPUTED_VALUE"""),"＠夜噺")</f>
        <v>＠夜噺</v>
      </c>
      <c r="L5645" s="22" t="str">
        <f>IFERROR(__xludf.DUMMYFUNCTION("""COMPUTED_VALUE"""),"DEEPER-ZERO")</f>
        <v>DEEPER-ZERO</v>
      </c>
      <c r="M5645" s="33">
        <f>IFERROR(__xludf.DUMMYFUNCTION("""COMPUTED_VALUE"""),46254.0)</f>
        <v>46254</v>
      </c>
      <c r="N5645" s="33">
        <f>IFERROR(__xludf.DUMMYFUNCTION("""COMPUTED_VALUE"""),46309.0)</f>
        <v>46309</v>
      </c>
      <c r="O5645" s="20" t="str">
        <f>IFERROR(__xludf.DUMMYFUNCTION("""COMPUTED_VALUE"""),"【アダルト作品扱い】")</f>
        <v>【アダルト作品扱い】</v>
      </c>
      <c r="P5645" s="32" t="str">
        <f>IFERROR(__xludf.DUMMYFUNCTION("""COMPUTED_VALUE"""),"可")</f>
        <v>可</v>
      </c>
      <c r="Q5645" s="30" t="str">
        <f>IFERROR(__xludf.DUMMYFUNCTION("""COMPUTED_VALUE"""),"実績のある作家さんになります。")</f>
        <v>実績のある作家さんになります。</v>
      </c>
      <c r="R5645" s="22"/>
      <c r="S5645" s="22" t="str">
        <f>IFERROR(__xludf.DUMMYFUNCTION("""COMPUTED_VALUE"""),"20260714_CLLENN_大っ嫌いな幼馴染と一晩だけの恋人契約～絡みつくような執着えっち～TL版")</f>
        <v>20260714_CLLENN_大っ嫌いな幼馴染と一晩だけの恋人契約～絡みつくような執着えっち～TL版</v>
      </c>
      <c r="T5645" s="22" t="str">
        <f>IFERROR(__xludf.DUMMYFUNCTION("""COMPUTED_VALUE"""),"格納済み")</f>
        <v>格納済み</v>
      </c>
      <c r="U5645" s="9" t="str">
        <f>IFERROR(__xludf.DUMMYFUNCTION("""COMPUTED_VALUE"""),"Ⓒ翠楼檸/DEEPER-ZERO")</f>
        <v>Ⓒ翠楼檸/DEEPER-ZERO</v>
      </c>
      <c r="V5645" s="8"/>
      <c r="W5645" s="8"/>
      <c r="X5645" s="8"/>
      <c r="Y5645" s="8"/>
      <c r="Z5645" s="7"/>
      <c r="AA5645" s="7"/>
      <c r="AB5645" s="7"/>
    </row>
    <row r="5646" ht="15.75" customHeight="1">
      <c r="A5646" s="26">
        <f>IFERROR(__xludf.DUMMYFUNCTION("""COMPUTED_VALUE"""),8461.0)</f>
        <v>8461</v>
      </c>
      <c r="B5646" s="22" t="str">
        <f>IFERROR(__xludf.DUMMYFUNCTION("""COMPUTED_VALUE"""),"確定")</f>
        <v>確定</v>
      </c>
      <c r="C5646" s="28">
        <f>IFERROR(__xludf.DUMMYFUNCTION("""COMPUTED_VALUE"""),46217.0)</f>
        <v>46217</v>
      </c>
      <c r="D5646" s="28">
        <f>IFERROR(__xludf.DUMMYFUNCTION("""COMPUTED_VALUE"""),46217.0)</f>
        <v>46217</v>
      </c>
      <c r="E5646" s="26"/>
      <c r="F5646" s="22" t="str">
        <f>IFERROR(__xludf.DUMMYFUNCTION("""COMPUTED_VALUE"""),"かいぬしにクリいっぱいお仕置きされちゃうっ♡")</f>
        <v>かいぬしにクリいっぱいお仕置きされちゃうっ♡</v>
      </c>
      <c r="G5646" s="20" t="str">
        <f>IFERROR(__xludf.DUMMYFUNCTION("""COMPUTED_VALUE"""),"1~3")</f>
        <v>1~3</v>
      </c>
      <c r="H5646" s="22" t="str">
        <f>IFERROR(__xludf.DUMMYFUNCTION("""COMPUTED_VALUE"""),"みやまる")</f>
        <v>みやまる</v>
      </c>
      <c r="I5646" s="22" t="str">
        <f>IFERROR(__xludf.DUMMYFUNCTION("""COMPUTED_VALUE"""),"TL")</f>
        <v>TL</v>
      </c>
      <c r="J5646" s="22"/>
      <c r="K5646" s="22" t="str">
        <f>IFERROR(__xludf.DUMMYFUNCTION("""COMPUTED_VALUE"""),"Close Moon")</f>
        <v>Close Moon</v>
      </c>
      <c r="L5646" s="22" t="str">
        <f>IFERROR(__xludf.DUMMYFUNCTION("""COMPUTED_VALUE"""),"ナンバーナイン")</f>
        <v>ナンバーナイン</v>
      </c>
      <c r="M5646" s="33">
        <f>IFERROR(__xludf.DUMMYFUNCTION("""COMPUTED_VALUE"""),46235.0)</f>
        <v>46235</v>
      </c>
      <c r="N5646" s="33">
        <f>IFERROR(__xludf.DUMMYFUNCTION("""COMPUTED_VALUE"""),46316.0)</f>
        <v>46316</v>
      </c>
      <c r="O5646" s="20" t="str">
        <f>IFERROR(__xludf.DUMMYFUNCTION("""COMPUTED_VALUE"""),"【アダルト作品扱い】")</f>
        <v>【アダルト作品扱い】</v>
      </c>
      <c r="P5646" s="32" t="str">
        <f>IFERROR(__xludf.DUMMYFUNCTION("""COMPUTED_VALUE"""),"可")</f>
        <v>可</v>
      </c>
      <c r="Q5646" s="30" t="str">
        <f>IFERROR(__xludf.DUMMYFUNCTION("""COMPUTED_VALUE"""),"がるまに")</f>
        <v>がるまに</v>
      </c>
      <c r="R5646" s="22"/>
      <c r="S5646" s="22" t="str">
        <f>IFERROR(__xludf.DUMMYFUNCTION("""COMPUTED_VALUE"""),"20260714_ ナンバーナイン_かいぬしにクリいっぱいお仕置きされちゃうっ♡TL版")</f>
        <v>20260714_ ナンバーナイン_かいぬしにクリいっぱいお仕置きされちゃうっ♡TL版</v>
      </c>
      <c r="T5646" s="22" t="str">
        <f>IFERROR(__xludf.DUMMYFUNCTION("""COMPUTED_VALUE"""),"格納済み")</f>
        <v>格納済み</v>
      </c>
      <c r="U5646" s="9" t="str">
        <f>IFERROR(__xludf.DUMMYFUNCTION("""COMPUTED_VALUE"""),"(C)みやまる／ナンバーナイン")</f>
        <v>(C)みやまる／ナンバーナイン</v>
      </c>
      <c r="V5646" s="8"/>
      <c r="W5646" s="8"/>
      <c r="X5646" s="8"/>
      <c r="Y5646" s="8"/>
      <c r="Z5646" s="7"/>
      <c r="AA5646" s="7"/>
      <c r="AB5646" s="7"/>
    </row>
    <row r="5647" ht="15.75" customHeight="1">
      <c r="A5647" s="26">
        <f>IFERROR(__xludf.DUMMYFUNCTION("""COMPUTED_VALUE"""),8462.0)</f>
        <v>8462</v>
      </c>
      <c r="B5647" s="22" t="str">
        <f>IFERROR(__xludf.DUMMYFUNCTION("""COMPUTED_VALUE"""),"確定")</f>
        <v>確定</v>
      </c>
      <c r="C5647" s="28">
        <f>IFERROR(__xludf.DUMMYFUNCTION("""COMPUTED_VALUE"""),46217.0)</f>
        <v>46217</v>
      </c>
      <c r="D5647" s="28">
        <f>IFERROR(__xludf.DUMMYFUNCTION("""COMPUTED_VALUE"""),46217.0)</f>
        <v>46217</v>
      </c>
      <c r="E5647" s="26"/>
      <c r="F5647" s="22" t="str">
        <f>IFERROR(__xludf.DUMMYFUNCTION("""COMPUTED_VALUE"""),"二人のカンケイ")</f>
        <v>二人のカンケイ</v>
      </c>
      <c r="G5647" s="20" t="str">
        <f>IFERROR(__xludf.DUMMYFUNCTION("""COMPUTED_VALUE"""),"1~3")</f>
        <v>1~3</v>
      </c>
      <c r="H5647" s="22" t="str">
        <f>IFERROR(__xludf.DUMMYFUNCTION("""COMPUTED_VALUE"""),"ひしのれもん")</f>
        <v>ひしのれもん</v>
      </c>
      <c r="I5647" s="22" t="str">
        <f>IFERROR(__xludf.DUMMYFUNCTION("""COMPUTED_VALUE"""),"TL")</f>
        <v>TL</v>
      </c>
      <c r="J5647" s="22"/>
      <c r="K5647" s="22" t="str">
        <f>IFERROR(__xludf.DUMMYFUNCTION("""COMPUTED_VALUE"""),"Close Moon")</f>
        <v>Close Moon</v>
      </c>
      <c r="L5647" s="22" t="str">
        <f>IFERROR(__xludf.DUMMYFUNCTION("""COMPUTED_VALUE"""),"ナンバーナイン")</f>
        <v>ナンバーナイン</v>
      </c>
      <c r="M5647" s="33">
        <f>IFERROR(__xludf.DUMMYFUNCTION("""COMPUTED_VALUE"""),46256.0)</f>
        <v>46256</v>
      </c>
      <c r="N5647" s="33">
        <f>IFERROR(__xludf.DUMMYFUNCTION("""COMPUTED_VALUE"""),46316.0)</f>
        <v>46316</v>
      </c>
      <c r="O5647" s="20" t="str">
        <f>IFERROR(__xludf.DUMMYFUNCTION("""COMPUTED_VALUE"""),"【アダルト作品扱い】")</f>
        <v>【アダルト作品扱い】</v>
      </c>
      <c r="P5647" s="32" t="str">
        <f>IFERROR(__xludf.DUMMYFUNCTION("""COMPUTED_VALUE"""),"可")</f>
        <v>可</v>
      </c>
      <c r="Q5647" s="30" t="str">
        <f>IFERROR(__xludf.DUMMYFUNCTION("""COMPUTED_VALUE"""),"がるまに")</f>
        <v>がるまに</v>
      </c>
      <c r="R5647" s="22"/>
      <c r="S5647" s="22" t="str">
        <f>IFERROR(__xludf.DUMMYFUNCTION("""COMPUTED_VALUE"""),"20260714_ ナンバーナイン_二人のカンケイTL版")</f>
        <v>20260714_ ナンバーナイン_二人のカンケイTL版</v>
      </c>
      <c r="T5647" s="22" t="str">
        <f>IFERROR(__xludf.DUMMYFUNCTION("""COMPUTED_VALUE"""),"格納済み")</f>
        <v>格納済み</v>
      </c>
      <c r="U5647" s="9" t="str">
        <f>IFERROR(__xludf.DUMMYFUNCTION("""COMPUTED_VALUE"""),"(C)ひしのれもん／ナンバーナイン")</f>
        <v>(C)ひしのれもん／ナンバーナイン</v>
      </c>
      <c r="V5647" s="8"/>
      <c r="W5647" s="8"/>
      <c r="X5647" s="8"/>
      <c r="Y5647" s="8"/>
      <c r="Z5647" s="7"/>
      <c r="AA5647" s="7"/>
      <c r="AB5647" s="7"/>
    </row>
    <row r="5648" ht="15.75" customHeight="1">
      <c r="A5648" s="26">
        <f>IFERROR(__xludf.DUMMYFUNCTION("""COMPUTED_VALUE"""),8463.0)</f>
        <v>8463</v>
      </c>
      <c r="B5648" s="22" t="str">
        <f>IFERROR(__xludf.DUMMYFUNCTION("""COMPUTED_VALUE"""),"確定")</f>
        <v>確定</v>
      </c>
      <c r="C5648" s="28">
        <f>IFERROR(__xludf.DUMMYFUNCTION("""COMPUTED_VALUE"""),46217.0)</f>
        <v>46217</v>
      </c>
      <c r="D5648" s="28">
        <f>IFERROR(__xludf.DUMMYFUNCTION("""COMPUTED_VALUE"""),46217.0)</f>
        <v>46217</v>
      </c>
      <c r="E5648" s="26"/>
      <c r="F5648" s="22" t="str">
        <f>IFERROR(__xludf.DUMMYFUNCTION("""COMPUTED_VALUE"""),"形だけの婚約者に焦がれるほど愛されて")</f>
        <v>形だけの婚約者に焦がれるほど愛されて</v>
      </c>
      <c r="G5648" s="20" t="str">
        <f>IFERROR(__xludf.DUMMYFUNCTION("""COMPUTED_VALUE"""),"1~3巻")</f>
        <v>1~3巻</v>
      </c>
      <c r="H5648" s="22" t="str">
        <f>IFERROR(__xludf.DUMMYFUNCTION("""COMPUTED_VALUE"""),"晴月ぴの")</f>
        <v>晴月ぴの</v>
      </c>
      <c r="I5648" s="22" t="str">
        <f>IFERROR(__xludf.DUMMYFUNCTION("""COMPUTED_VALUE"""),"TL")</f>
        <v>TL</v>
      </c>
      <c r="J5648" s="22"/>
      <c r="K5648" s="22" t="str">
        <f>IFERROR(__xludf.DUMMYFUNCTION("""COMPUTED_VALUE"""),"Close Moon")</f>
        <v>Close Moon</v>
      </c>
      <c r="L5648" s="22" t="str">
        <f>IFERROR(__xludf.DUMMYFUNCTION("""COMPUTED_VALUE"""),"ナンバーナイン")</f>
        <v>ナンバーナイン</v>
      </c>
      <c r="M5648" s="33">
        <f>IFERROR(__xludf.DUMMYFUNCTION("""COMPUTED_VALUE"""),46256.0)</f>
        <v>46256</v>
      </c>
      <c r="N5648" s="33">
        <f>IFERROR(__xludf.DUMMYFUNCTION("""COMPUTED_VALUE"""),46316.0)</f>
        <v>46316</v>
      </c>
      <c r="O5648" s="20" t="str">
        <f>IFERROR(__xludf.DUMMYFUNCTION("""COMPUTED_VALUE"""),"【アダルト作品扱い】")</f>
        <v>【アダルト作品扱い】</v>
      </c>
      <c r="P5648" s="32" t="str">
        <f>IFERROR(__xludf.DUMMYFUNCTION("""COMPUTED_VALUE"""),"可")</f>
        <v>可</v>
      </c>
      <c r="Q5648" s="30" t="str">
        <f>IFERROR(__xludf.DUMMYFUNCTION("""COMPUTED_VALUE"""),"がるまに")</f>
        <v>がるまに</v>
      </c>
      <c r="R5648" s="22"/>
      <c r="S5648" s="22" t="str">
        <f>IFERROR(__xludf.DUMMYFUNCTION("""COMPUTED_VALUE"""),"20260714_ ナンバーナイン_形だけの婚約者に焦がれるほど愛されて")</f>
        <v>20260714_ ナンバーナイン_形だけの婚約者に焦がれるほど愛されて</v>
      </c>
      <c r="T5648" s="22" t="str">
        <f>IFERROR(__xludf.DUMMYFUNCTION("""COMPUTED_VALUE"""),"格納済み")</f>
        <v>格納済み</v>
      </c>
      <c r="U5648" s="9" t="str">
        <f>IFERROR(__xludf.DUMMYFUNCTION("""COMPUTED_VALUE"""),"(C)晴月ぴの／ナンバーナイン")</f>
        <v>(C)晴月ぴの／ナンバーナイン</v>
      </c>
      <c r="V5648" s="8"/>
      <c r="W5648" s="8"/>
      <c r="X5648" s="8"/>
      <c r="Y5648" s="8"/>
      <c r="Z5648" s="7"/>
      <c r="AA5648" s="7"/>
      <c r="AB5648" s="7"/>
    </row>
    <row r="5649" ht="15.75" customHeight="1">
      <c r="A5649" s="26">
        <f>IFERROR(__xludf.DUMMYFUNCTION("""COMPUTED_VALUE"""),8474.0)</f>
        <v>8474</v>
      </c>
      <c r="B5649" s="22" t="str">
        <f>IFERROR(__xludf.DUMMYFUNCTION("""COMPUTED_VALUE"""),"確定")</f>
        <v>確定</v>
      </c>
      <c r="C5649" s="28">
        <f>IFERROR(__xludf.DUMMYFUNCTION("""COMPUTED_VALUE"""),46217.0)</f>
        <v>46217</v>
      </c>
      <c r="D5649" s="28">
        <f>IFERROR(__xludf.DUMMYFUNCTION("""COMPUTED_VALUE"""),46218.0)</f>
        <v>46218</v>
      </c>
      <c r="E5649" s="26"/>
      <c r="F5649" s="22" t="str">
        <f>IFERROR(__xludf.DUMMYFUNCTION("""COMPUTED_VALUE"""),"【単話版】暴きだし　復讐の芸能記者")</f>
        <v>【単話版】暴きだし　復讐の芸能記者</v>
      </c>
      <c r="G5649" s="20" t="str">
        <f>IFERROR(__xludf.DUMMYFUNCTION("""COMPUTED_VALUE"""),"1~5")</f>
        <v>1~5</v>
      </c>
      <c r="H5649" s="22" t="str">
        <f>IFERROR(__xludf.DUMMYFUNCTION("""COMPUTED_VALUE"""),"原作：冷麺茹太郎／漫画：川上十億")</f>
        <v>原作：冷麺茹太郎／漫画：川上十億</v>
      </c>
      <c r="I5649" s="22" t="str">
        <f>IFERROR(__xludf.DUMMYFUNCTION("""COMPUTED_VALUE"""),"青年")</f>
        <v>青年</v>
      </c>
      <c r="J5649" s="22"/>
      <c r="K5649" s="22"/>
      <c r="L5649" s="22" t="str">
        <f>IFERROR(__xludf.DUMMYFUNCTION("""COMPUTED_VALUE"""),"新潮社")</f>
        <v>新潮社</v>
      </c>
      <c r="M5649" s="33">
        <f>IFERROR(__xludf.DUMMYFUNCTION("""COMPUTED_VALUE"""),46259.0)</f>
        <v>46259</v>
      </c>
      <c r="N5649" s="33">
        <f>IFERROR(__xludf.DUMMYFUNCTION("""COMPUTED_VALUE"""),46443.0)</f>
        <v>46443</v>
      </c>
      <c r="O5649" s="20"/>
      <c r="P5649" s="32" t="str">
        <f>IFERROR(__xludf.DUMMYFUNCTION("""COMPUTED_VALUE"""),"可")</f>
        <v>可</v>
      </c>
      <c r="Q5649" s="30"/>
      <c r="R5649" s="22"/>
      <c r="S5649" s="22" t="str">
        <f>IFERROR(__xludf.DUMMYFUNCTION("""COMPUTED_VALUE"""),"20260713_新潮社_協業作品_【単話版】暴きだし")</f>
        <v>20260713_新潮社_協業作品_【単話版】暴きだし</v>
      </c>
      <c r="T5649" s="22" t="str">
        <f>IFERROR(__xludf.DUMMYFUNCTION("""COMPUTED_VALUE"""),"格納済み")</f>
        <v>格納済み</v>
      </c>
      <c r="U5649" s="9" t="str">
        <f>IFERROR(__xludf.DUMMYFUNCTION("""COMPUTED_VALUE"""),"Ⓒ冷麺茹太郎 川上十億／新潮社")</f>
        <v>Ⓒ冷麺茹太郎 川上十億／新潮社</v>
      </c>
      <c r="V5649" s="8"/>
      <c r="W5649" s="8"/>
      <c r="X5649" s="8"/>
      <c r="Y5649" s="8"/>
      <c r="Z5649" s="7"/>
      <c r="AA5649" s="7"/>
      <c r="AB5649" s="7"/>
    </row>
    <row r="5650" ht="15.75" customHeight="1">
      <c r="A5650" s="26">
        <f>IFERROR(__xludf.DUMMYFUNCTION("""COMPUTED_VALUE"""),8487.0)</f>
        <v>8487</v>
      </c>
      <c r="B5650" s="22" t="str">
        <f>IFERROR(__xludf.DUMMYFUNCTION("""COMPUTED_VALUE"""),"確定")</f>
        <v>確定</v>
      </c>
      <c r="C5650" s="28">
        <f>IFERROR(__xludf.DUMMYFUNCTION("""COMPUTED_VALUE"""),46219.0)</f>
        <v>46219</v>
      </c>
      <c r="D5650" s="28">
        <f>IFERROR(__xludf.DUMMYFUNCTION("""COMPUTED_VALUE"""),46219.0)</f>
        <v>46219</v>
      </c>
      <c r="E5650" s="26">
        <f>IFERROR(__xludf.DUMMYFUNCTION("""COMPUTED_VALUE"""),365363.0)</f>
        <v>365363</v>
      </c>
      <c r="F5650" s="22" t="str">
        <f>IFERROR(__xludf.DUMMYFUNCTION("""COMPUTED_VALUE"""),"さようなら、私の冷遇生活 ～パーティーで声をかけてきたのがヤバい男だった件")</f>
        <v>さようなら、私の冷遇生活 ～パーティーで声をかけてきたのがヤバい男だった件</v>
      </c>
      <c r="G5650" s="20" t="str">
        <f>IFERROR(__xludf.DUMMYFUNCTION("""COMPUTED_VALUE"""),"1～2")</f>
        <v>1～2</v>
      </c>
      <c r="H5650" s="22" t="str">
        <f>IFERROR(__xludf.DUMMYFUNCTION("""COMPUTED_VALUE"""),"片桐いくみ,頼爾")</f>
        <v>片桐いくみ,頼爾</v>
      </c>
      <c r="I5650" s="22" t="str">
        <f>IFERROR(__xludf.DUMMYFUNCTION("""COMPUTED_VALUE"""),"女性マンガ")</f>
        <v>女性マンガ</v>
      </c>
      <c r="J5650" s="22"/>
      <c r="K5650" s="22" t="str">
        <f>IFERROR(__xludf.DUMMYFUNCTION("""COMPUTED_VALUE"""),"COMICリブラ")</f>
        <v>COMICリブラ</v>
      </c>
      <c r="L5650" s="22" t="str">
        <f>IFERROR(__xludf.DUMMYFUNCTION("""COMPUTED_VALUE"""),"リブリオン")</f>
        <v>リブリオン</v>
      </c>
      <c r="M5650" s="33">
        <f>IFERROR(__xludf.DUMMYFUNCTION("""COMPUTED_VALUE"""),46192.0)</f>
        <v>46192</v>
      </c>
      <c r="N5650" s="33">
        <f>IFERROR(__xludf.DUMMYFUNCTION("""COMPUTED_VALUE"""),46285.0)</f>
        <v>46285</v>
      </c>
      <c r="O5650" s="20"/>
      <c r="P5650" s="32" t="str">
        <f>IFERROR(__xludf.DUMMYFUNCTION("""COMPUTED_VALUE"""),"可")</f>
        <v>可</v>
      </c>
      <c r="Q5650" s="30"/>
      <c r="R5650" s="22"/>
      <c r="S5650" s="22" t="str">
        <f>IFERROR(__xludf.DUMMYFUNCTION("""COMPUTED_VALUE"""),"20260716_リブリオン_さようなら、私の冷遇生活 ～パーティーで声をかけてきたのがヤバい男だった件～")</f>
        <v>20260716_リブリオン_さようなら、私の冷遇生活 ～パーティーで声をかけてきたのがヤバい男だった件～</v>
      </c>
      <c r="T5650" s="22" t="str">
        <f>IFERROR(__xludf.DUMMYFUNCTION("""COMPUTED_VALUE"""),"格納済み")</f>
        <v>格納済み</v>
      </c>
      <c r="U5650" s="9" t="str">
        <f>IFERROR(__xludf.DUMMYFUNCTION("""COMPUTED_VALUE"""),"Ⓒ片桐いくみ・頼爾/リブリオン")</f>
        <v>Ⓒ片桐いくみ・頼爾/リブリオン</v>
      </c>
      <c r="V5650" s="8"/>
      <c r="W5650" s="8"/>
      <c r="X5650" s="8" t="str">
        <f>IFERROR(__xludf.DUMMYFUNCTION("""COMPUTED_VALUE"""),"有")</f>
        <v>有</v>
      </c>
      <c r="Y5650" s="8" t="str">
        <f>IFERROR(__xludf.DUMMYFUNCTION("""COMPUTED_VALUE"""),"2026/9/20まで1巻p17まで立ち読み増量")</f>
        <v>2026/9/20まで1巻p17まで立ち読み増量</v>
      </c>
      <c r="Z5650" s="7"/>
      <c r="AA5650" s="7"/>
      <c r="AB5650" s="7"/>
    </row>
    <row r="5651" ht="15.75" customHeight="1">
      <c r="A5651" s="26"/>
      <c r="B5651" s="22"/>
      <c r="C5651" s="28"/>
      <c r="D5651" s="28"/>
      <c r="E5651" s="26"/>
      <c r="F5651" s="22"/>
      <c r="G5651" s="20"/>
      <c r="H5651" s="22"/>
      <c r="I5651" s="22"/>
      <c r="J5651" s="22"/>
      <c r="K5651" s="22"/>
      <c r="L5651" s="22"/>
      <c r="M5651" s="33"/>
      <c r="N5651" s="33"/>
      <c r="O5651" s="20"/>
      <c r="P5651" s="32"/>
      <c r="Q5651" s="30"/>
      <c r="R5651" s="22"/>
      <c r="S5651" s="22"/>
      <c r="T5651" s="22"/>
      <c r="U5651" s="9"/>
      <c r="V5651" s="8"/>
      <c r="W5651" s="8"/>
      <c r="X5651" s="8"/>
      <c r="Y5651" s="8"/>
      <c r="Z5651" s="7"/>
      <c r="AA5651" s="7"/>
      <c r="AB5651" s="7"/>
    </row>
    <row r="5652" ht="15.75" customHeight="1">
      <c r="A5652" s="26"/>
      <c r="B5652" s="22"/>
      <c r="C5652" s="28"/>
      <c r="D5652" s="28"/>
      <c r="E5652" s="26"/>
      <c r="F5652" s="22"/>
      <c r="G5652" s="20"/>
      <c r="H5652" s="22"/>
      <c r="I5652" s="22"/>
      <c r="J5652" s="22"/>
      <c r="K5652" s="22"/>
      <c r="L5652" s="22"/>
      <c r="M5652" s="33"/>
      <c r="N5652" s="33"/>
      <c r="O5652" s="20"/>
      <c r="P5652" s="32"/>
      <c r="Q5652" s="30"/>
      <c r="R5652" s="22"/>
      <c r="S5652" s="22"/>
      <c r="T5652" s="22"/>
      <c r="U5652" s="9"/>
      <c r="V5652" s="8"/>
      <c r="W5652" s="8"/>
      <c r="X5652" s="8"/>
      <c r="Y5652" s="8"/>
      <c r="Z5652" s="7"/>
      <c r="AA5652" s="7"/>
      <c r="AB5652" s="7"/>
    </row>
    <row r="5653" ht="15.75" customHeight="1">
      <c r="A5653" s="26"/>
      <c r="B5653" s="22"/>
      <c r="C5653" s="28"/>
      <c r="D5653" s="28"/>
      <c r="E5653" s="26"/>
      <c r="F5653" s="22"/>
      <c r="G5653" s="20"/>
      <c r="H5653" s="22"/>
      <c r="I5653" s="22"/>
      <c r="J5653" s="22"/>
      <c r="K5653" s="22"/>
      <c r="L5653" s="22"/>
      <c r="M5653" s="33"/>
      <c r="N5653" s="33"/>
      <c r="O5653" s="20"/>
      <c r="P5653" s="32"/>
      <c r="Q5653" s="30"/>
      <c r="R5653" s="22"/>
      <c r="S5653" s="22"/>
      <c r="T5653" s="22"/>
      <c r="U5653" s="9"/>
      <c r="V5653" s="8"/>
      <c r="W5653" s="8"/>
      <c r="X5653" s="8"/>
      <c r="Y5653" s="8"/>
      <c r="Z5653" s="7"/>
      <c r="AA5653" s="7"/>
      <c r="AB5653" s="7"/>
    </row>
    <row r="5654" ht="15.75" customHeight="1">
      <c r="A5654" s="26"/>
      <c r="B5654" s="22"/>
      <c r="C5654" s="28"/>
      <c r="D5654" s="28"/>
      <c r="E5654" s="26"/>
      <c r="F5654" s="22"/>
      <c r="G5654" s="20"/>
      <c r="H5654" s="22"/>
      <c r="I5654" s="22"/>
      <c r="J5654" s="22"/>
      <c r="K5654" s="22"/>
      <c r="L5654" s="22"/>
      <c r="M5654" s="33"/>
      <c r="N5654" s="33"/>
      <c r="O5654" s="20"/>
      <c r="P5654" s="32"/>
      <c r="Q5654" s="30"/>
      <c r="R5654" s="22"/>
      <c r="S5654" s="22"/>
      <c r="T5654" s="22"/>
      <c r="U5654" s="9"/>
      <c r="V5654" s="8"/>
      <c r="W5654" s="8"/>
      <c r="X5654" s="8"/>
      <c r="Y5654" s="8"/>
      <c r="Z5654" s="7"/>
      <c r="AA5654" s="7"/>
      <c r="AB5654" s="7"/>
    </row>
    <row r="5655" ht="15.75" customHeight="1">
      <c r="A5655" s="26"/>
      <c r="B5655" s="22"/>
      <c r="C5655" s="28"/>
      <c r="D5655" s="28"/>
      <c r="E5655" s="26"/>
      <c r="F5655" s="22"/>
      <c r="G5655" s="20"/>
      <c r="H5655" s="22"/>
      <c r="I5655" s="22"/>
      <c r="J5655" s="22"/>
      <c r="K5655" s="22"/>
      <c r="L5655" s="22"/>
      <c r="M5655" s="33"/>
      <c r="N5655" s="33"/>
      <c r="O5655" s="20"/>
      <c r="P5655" s="32"/>
      <c r="Q5655" s="30"/>
      <c r="R5655" s="22"/>
      <c r="S5655" s="22"/>
      <c r="T5655" s="22"/>
      <c r="U5655" s="9"/>
      <c r="V5655" s="8"/>
      <c r="W5655" s="8"/>
      <c r="X5655" s="8"/>
      <c r="Y5655" s="8"/>
      <c r="Z5655" s="7"/>
      <c r="AA5655" s="7"/>
      <c r="AB5655" s="7"/>
    </row>
    <row r="5656" ht="15.75" customHeight="1">
      <c r="A5656" s="26"/>
      <c r="B5656" s="22"/>
      <c r="C5656" s="28"/>
      <c r="D5656" s="28"/>
      <c r="E5656" s="26"/>
      <c r="F5656" s="22"/>
      <c r="G5656" s="20"/>
      <c r="H5656" s="22"/>
      <c r="I5656" s="22"/>
      <c r="J5656" s="22"/>
      <c r="K5656" s="22"/>
      <c r="L5656" s="22"/>
      <c r="M5656" s="33"/>
      <c r="N5656" s="33"/>
      <c r="O5656" s="20"/>
      <c r="P5656" s="32"/>
      <c r="Q5656" s="30"/>
      <c r="R5656" s="22"/>
      <c r="S5656" s="22"/>
      <c r="T5656" s="22"/>
      <c r="U5656" s="9"/>
      <c r="V5656" s="8"/>
      <c r="W5656" s="8"/>
      <c r="X5656" s="8"/>
      <c r="Y5656" s="8"/>
      <c r="Z5656" s="7"/>
      <c r="AA5656" s="7"/>
      <c r="AB5656" s="7"/>
    </row>
    <row r="5657" ht="15.75" customHeight="1">
      <c r="A5657" s="26"/>
      <c r="B5657" s="22"/>
      <c r="C5657" s="28"/>
      <c r="D5657" s="28"/>
      <c r="E5657" s="26"/>
      <c r="F5657" s="22"/>
      <c r="G5657" s="20"/>
      <c r="H5657" s="22"/>
      <c r="I5657" s="22"/>
      <c r="J5657" s="22"/>
      <c r="K5657" s="22"/>
      <c r="L5657" s="22"/>
      <c r="M5657" s="33"/>
      <c r="N5657" s="33"/>
      <c r="O5657" s="20"/>
      <c r="P5657" s="32"/>
      <c r="Q5657" s="30"/>
      <c r="R5657" s="22"/>
      <c r="S5657" s="22"/>
      <c r="T5657" s="22"/>
      <c r="U5657" s="9"/>
      <c r="V5657" s="8"/>
      <c r="W5657" s="8"/>
      <c r="X5657" s="8"/>
      <c r="Y5657" s="8"/>
      <c r="Z5657" s="7"/>
      <c r="AA5657" s="7"/>
      <c r="AB5657" s="7"/>
    </row>
    <row r="5658" ht="15.75" customHeight="1">
      <c r="A5658" s="26"/>
      <c r="B5658" s="22"/>
      <c r="C5658" s="28"/>
      <c r="D5658" s="28"/>
      <c r="E5658" s="26"/>
      <c r="F5658" s="22"/>
      <c r="G5658" s="20"/>
      <c r="H5658" s="22"/>
      <c r="I5658" s="22"/>
      <c r="J5658" s="22"/>
      <c r="K5658" s="22"/>
      <c r="L5658" s="22"/>
      <c r="M5658" s="33"/>
      <c r="N5658" s="33"/>
      <c r="O5658" s="20"/>
      <c r="P5658" s="32"/>
      <c r="Q5658" s="30"/>
      <c r="R5658" s="22"/>
      <c r="S5658" s="22"/>
      <c r="T5658" s="22"/>
      <c r="U5658" s="9"/>
      <c r="V5658" s="8"/>
      <c r="W5658" s="8"/>
      <c r="X5658" s="8"/>
      <c r="Y5658" s="8"/>
      <c r="Z5658" s="7"/>
      <c r="AA5658" s="7"/>
      <c r="AB5658" s="7"/>
    </row>
    <row r="5659" ht="15.75" customHeight="1">
      <c r="A5659" s="26"/>
      <c r="B5659" s="22"/>
      <c r="C5659" s="28"/>
      <c r="D5659" s="28"/>
      <c r="E5659" s="26"/>
      <c r="F5659" s="22"/>
      <c r="G5659" s="20"/>
      <c r="H5659" s="22"/>
      <c r="I5659" s="22"/>
      <c r="J5659" s="22"/>
      <c r="K5659" s="22"/>
      <c r="L5659" s="22"/>
      <c r="M5659" s="33"/>
      <c r="N5659" s="33"/>
      <c r="O5659" s="20"/>
      <c r="P5659" s="32"/>
      <c r="Q5659" s="30"/>
      <c r="R5659" s="22"/>
      <c r="S5659" s="22"/>
      <c r="T5659" s="22"/>
      <c r="U5659" s="9"/>
      <c r="V5659" s="8"/>
      <c r="W5659" s="8"/>
      <c r="X5659" s="8"/>
      <c r="Y5659" s="8"/>
      <c r="Z5659" s="7"/>
      <c r="AA5659" s="7"/>
      <c r="AB5659" s="7"/>
    </row>
    <row r="5660" ht="15.75" customHeight="1">
      <c r="A5660" s="26"/>
      <c r="B5660" s="22"/>
      <c r="C5660" s="28"/>
      <c r="D5660" s="28"/>
      <c r="E5660" s="26"/>
      <c r="F5660" s="22"/>
      <c r="G5660" s="20"/>
      <c r="H5660" s="22"/>
      <c r="I5660" s="22"/>
      <c r="J5660" s="22"/>
      <c r="K5660" s="22"/>
      <c r="L5660" s="22"/>
      <c r="M5660" s="33"/>
      <c r="N5660" s="33"/>
      <c r="O5660" s="20"/>
      <c r="P5660" s="32"/>
      <c r="Q5660" s="30"/>
      <c r="R5660" s="22"/>
      <c r="S5660" s="22"/>
      <c r="T5660" s="22"/>
      <c r="U5660" s="9"/>
      <c r="V5660" s="8"/>
      <c r="W5660" s="8"/>
      <c r="X5660" s="8"/>
      <c r="Y5660" s="8"/>
      <c r="Z5660" s="7"/>
      <c r="AA5660" s="7"/>
      <c r="AB5660" s="7"/>
    </row>
    <row r="5661" ht="15.75" customHeight="1">
      <c r="A5661" s="26"/>
      <c r="B5661" s="22"/>
      <c r="C5661" s="28"/>
      <c r="D5661" s="28"/>
      <c r="E5661" s="26"/>
      <c r="F5661" s="22"/>
      <c r="G5661" s="20"/>
      <c r="H5661" s="22"/>
      <c r="I5661" s="22"/>
      <c r="J5661" s="22"/>
      <c r="K5661" s="22"/>
      <c r="L5661" s="22"/>
      <c r="M5661" s="33"/>
      <c r="N5661" s="33"/>
      <c r="O5661" s="20"/>
      <c r="P5661" s="32"/>
      <c r="Q5661" s="30"/>
      <c r="R5661" s="22"/>
      <c r="S5661" s="22"/>
      <c r="T5661" s="22"/>
      <c r="U5661" s="9"/>
      <c r="V5661" s="8"/>
      <c r="W5661" s="8"/>
      <c r="X5661" s="8"/>
      <c r="Y5661" s="8"/>
      <c r="Z5661" s="7"/>
      <c r="AA5661" s="7"/>
      <c r="AB5661" s="7"/>
    </row>
    <row r="5662" ht="15.75" customHeight="1">
      <c r="A5662" s="26"/>
      <c r="B5662" s="22"/>
      <c r="C5662" s="28"/>
      <c r="D5662" s="28"/>
      <c r="E5662" s="26"/>
      <c r="F5662" s="22"/>
      <c r="G5662" s="20"/>
      <c r="H5662" s="22"/>
      <c r="I5662" s="22"/>
      <c r="J5662" s="22"/>
      <c r="K5662" s="22"/>
      <c r="L5662" s="22"/>
      <c r="M5662" s="33"/>
      <c r="N5662" s="33"/>
      <c r="O5662" s="20"/>
      <c r="P5662" s="32"/>
      <c r="Q5662" s="30"/>
      <c r="R5662" s="22"/>
      <c r="S5662" s="22"/>
      <c r="T5662" s="22"/>
      <c r="U5662" s="9"/>
      <c r="V5662" s="8"/>
      <c r="W5662" s="8"/>
      <c r="X5662" s="8"/>
      <c r="Y5662" s="8"/>
      <c r="Z5662" s="7"/>
      <c r="AA5662" s="7"/>
      <c r="AB5662" s="7"/>
    </row>
    <row r="5663" ht="15.75" customHeight="1">
      <c r="A5663" s="26"/>
      <c r="B5663" s="22"/>
      <c r="C5663" s="28"/>
      <c r="D5663" s="28"/>
      <c r="E5663" s="26"/>
      <c r="F5663" s="22"/>
      <c r="G5663" s="20"/>
      <c r="H5663" s="22"/>
      <c r="I5663" s="22"/>
      <c r="J5663" s="22"/>
      <c r="K5663" s="22"/>
      <c r="L5663" s="22"/>
      <c r="M5663" s="33"/>
      <c r="N5663" s="33"/>
      <c r="O5663" s="20"/>
      <c r="P5663" s="32"/>
      <c r="Q5663" s="30"/>
      <c r="R5663" s="22"/>
      <c r="S5663" s="22"/>
      <c r="T5663" s="22"/>
      <c r="U5663" s="9"/>
      <c r="V5663" s="8"/>
      <c r="W5663" s="8"/>
      <c r="X5663" s="8"/>
      <c r="Y5663" s="8"/>
      <c r="Z5663" s="7"/>
      <c r="AA5663" s="7"/>
      <c r="AB5663" s="7"/>
    </row>
    <row r="5664" ht="15.75" customHeight="1">
      <c r="A5664" s="26"/>
      <c r="B5664" s="22"/>
      <c r="C5664" s="28"/>
      <c r="D5664" s="28"/>
      <c r="E5664" s="26"/>
      <c r="F5664" s="22"/>
      <c r="G5664" s="20"/>
      <c r="H5664" s="22"/>
      <c r="I5664" s="22"/>
      <c r="J5664" s="22"/>
      <c r="K5664" s="22"/>
      <c r="L5664" s="22"/>
      <c r="M5664" s="33"/>
      <c r="N5664" s="33"/>
      <c r="O5664" s="20"/>
      <c r="P5664" s="32"/>
      <c r="Q5664" s="30"/>
      <c r="R5664" s="22"/>
      <c r="S5664" s="22"/>
      <c r="T5664" s="22"/>
      <c r="U5664" s="9"/>
      <c r="V5664" s="8"/>
      <c r="W5664" s="8"/>
      <c r="X5664" s="8"/>
      <c r="Y5664" s="8"/>
      <c r="Z5664" s="7"/>
      <c r="AA5664" s="7"/>
      <c r="AB5664" s="7"/>
    </row>
    <row r="5665" ht="15.75" customHeight="1">
      <c r="A5665" s="26"/>
      <c r="B5665" s="22"/>
      <c r="C5665" s="28"/>
      <c r="D5665" s="28"/>
      <c r="E5665" s="26"/>
      <c r="F5665" s="22"/>
      <c r="G5665" s="20"/>
      <c r="H5665" s="22"/>
      <c r="I5665" s="22"/>
      <c r="J5665" s="22"/>
      <c r="K5665" s="22"/>
      <c r="L5665" s="22"/>
      <c r="M5665" s="33"/>
      <c r="N5665" s="33"/>
      <c r="O5665" s="20"/>
      <c r="P5665" s="32"/>
      <c r="Q5665" s="30"/>
      <c r="R5665" s="22"/>
      <c r="S5665" s="22"/>
      <c r="T5665" s="22"/>
      <c r="U5665" s="9"/>
      <c r="V5665" s="8"/>
      <c r="W5665" s="8"/>
      <c r="X5665" s="8"/>
      <c r="Y5665" s="8"/>
      <c r="Z5665" s="7"/>
      <c r="AA5665" s="7"/>
      <c r="AB5665" s="7"/>
    </row>
    <row r="5666" ht="15.75" customHeight="1">
      <c r="A5666" s="26"/>
      <c r="B5666" s="22"/>
      <c r="C5666" s="28"/>
      <c r="D5666" s="28"/>
      <c r="E5666" s="26"/>
      <c r="F5666" s="22"/>
      <c r="G5666" s="20"/>
      <c r="H5666" s="22"/>
      <c r="I5666" s="22"/>
      <c r="J5666" s="22"/>
      <c r="K5666" s="22"/>
      <c r="L5666" s="22"/>
      <c r="M5666" s="33"/>
      <c r="N5666" s="33"/>
      <c r="O5666" s="20"/>
      <c r="P5666" s="32"/>
      <c r="Q5666" s="30"/>
      <c r="R5666" s="22"/>
      <c r="S5666" s="22"/>
      <c r="T5666" s="22"/>
      <c r="U5666" s="9"/>
      <c r="V5666" s="8"/>
      <c r="W5666" s="8"/>
      <c r="X5666" s="8"/>
      <c r="Y5666" s="8"/>
      <c r="Z5666" s="7"/>
      <c r="AA5666" s="7"/>
      <c r="AB5666" s="7"/>
    </row>
    <row r="5667" ht="15.75" customHeight="1">
      <c r="A5667" s="26"/>
      <c r="B5667" s="22"/>
      <c r="C5667" s="28"/>
      <c r="D5667" s="28"/>
      <c r="E5667" s="26"/>
      <c r="F5667" s="22"/>
      <c r="G5667" s="20"/>
      <c r="H5667" s="22"/>
      <c r="I5667" s="22"/>
      <c r="J5667" s="22"/>
      <c r="K5667" s="22"/>
      <c r="L5667" s="22"/>
      <c r="M5667" s="33"/>
      <c r="N5667" s="33"/>
      <c r="O5667" s="20"/>
      <c r="P5667" s="32"/>
      <c r="Q5667" s="30"/>
      <c r="R5667" s="22"/>
      <c r="S5667" s="22"/>
      <c r="T5667" s="22"/>
      <c r="U5667" s="9"/>
      <c r="V5667" s="8"/>
      <c r="W5667" s="8"/>
      <c r="X5667" s="8"/>
      <c r="Y5667" s="8"/>
      <c r="Z5667" s="7"/>
      <c r="AA5667" s="7"/>
      <c r="AB5667" s="7"/>
    </row>
    <row r="5668" ht="15.75" customHeight="1">
      <c r="A5668" s="26"/>
      <c r="B5668" s="22"/>
      <c r="C5668" s="28"/>
      <c r="D5668" s="28"/>
      <c r="E5668" s="26"/>
      <c r="F5668" s="22"/>
      <c r="G5668" s="20"/>
      <c r="H5668" s="22"/>
      <c r="I5668" s="22"/>
      <c r="J5668" s="22"/>
      <c r="K5668" s="22"/>
      <c r="L5668" s="22"/>
      <c r="M5668" s="33"/>
      <c r="N5668" s="33"/>
      <c r="O5668" s="20"/>
      <c r="P5668" s="32"/>
      <c r="Q5668" s="30"/>
      <c r="R5668" s="22"/>
      <c r="S5668" s="22"/>
      <c r="T5668" s="22"/>
      <c r="U5668" s="9"/>
      <c r="V5668" s="8"/>
      <c r="W5668" s="8"/>
      <c r="X5668" s="8"/>
      <c r="Y5668" s="8"/>
      <c r="Z5668" s="7"/>
      <c r="AA5668" s="7"/>
      <c r="AB5668" s="7"/>
    </row>
    <row r="5669" ht="15.75" customHeight="1">
      <c r="A5669" s="26"/>
      <c r="B5669" s="22"/>
      <c r="C5669" s="28"/>
      <c r="D5669" s="28"/>
      <c r="E5669" s="26"/>
      <c r="F5669" s="22"/>
      <c r="G5669" s="20"/>
      <c r="H5669" s="22"/>
      <c r="I5669" s="22"/>
      <c r="J5669" s="22"/>
      <c r="K5669" s="22"/>
      <c r="L5669" s="22"/>
      <c r="M5669" s="33"/>
      <c r="N5669" s="33"/>
      <c r="O5669" s="20"/>
      <c r="P5669" s="32"/>
      <c r="Q5669" s="30"/>
      <c r="R5669" s="22"/>
      <c r="S5669" s="22"/>
      <c r="T5669" s="22"/>
      <c r="U5669" s="9"/>
      <c r="V5669" s="8"/>
      <c r="W5669" s="8"/>
      <c r="X5669" s="8"/>
      <c r="Y5669" s="8"/>
      <c r="Z5669" s="7"/>
      <c r="AA5669" s="7"/>
      <c r="AB5669" s="7"/>
    </row>
    <row r="5670" ht="15.75" customHeight="1">
      <c r="A5670" s="26"/>
      <c r="B5670" s="22"/>
      <c r="C5670" s="28"/>
      <c r="D5670" s="28"/>
      <c r="E5670" s="26"/>
      <c r="F5670" s="22"/>
      <c r="G5670" s="20"/>
      <c r="H5670" s="22"/>
      <c r="I5670" s="22"/>
      <c r="J5670" s="22"/>
      <c r="K5670" s="22"/>
      <c r="L5670" s="22"/>
      <c r="M5670" s="33"/>
      <c r="N5670" s="33"/>
      <c r="O5670" s="20"/>
      <c r="P5670" s="32"/>
      <c r="Q5670" s="30"/>
      <c r="R5670" s="22"/>
      <c r="S5670" s="22"/>
      <c r="T5670" s="22"/>
      <c r="U5670" s="9"/>
      <c r="V5670" s="8"/>
      <c r="W5670" s="8"/>
      <c r="X5670" s="8"/>
      <c r="Y5670" s="8"/>
      <c r="Z5670" s="7"/>
      <c r="AA5670" s="7"/>
      <c r="AB5670" s="7"/>
    </row>
    <row r="5671" ht="15.75" customHeight="1">
      <c r="A5671" s="26"/>
      <c r="B5671" s="22"/>
      <c r="C5671" s="28"/>
      <c r="D5671" s="28"/>
      <c r="E5671" s="26"/>
      <c r="F5671" s="22"/>
      <c r="G5671" s="20"/>
      <c r="H5671" s="22"/>
      <c r="I5671" s="22"/>
      <c r="J5671" s="22"/>
      <c r="K5671" s="22"/>
      <c r="L5671" s="22"/>
      <c r="M5671" s="33"/>
      <c r="N5671" s="33"/>
      <c r="O5671" s="20"/>
      <c r="P5671" s="32"/>
      <c r="Q5671" s="30"/>
      <c r="R5671" s="22"/>
      <c r="S5671" s="22"/>
      <c r="T5671" s="22"/>
      <c r="U5671" s="9"/>
      <c r="V5671" s="8"/>
      <c r="W5671" s="8"/>
      <c r="X5671" s="8"/>
      <c r="Y5671" s="8"/>
      <c r="Z5671" s="7"/>
      <c r="AA5671" s="7"/>
      <c r="AB5671" s="7"/>
    </row>
    <row r="5672" ht="15.75" customHeight="1">
      <c r="A5672" s="26"/>
      <c r="B5672" s="22"/>
      <c r="C5672" s="28"/>
      <c r="D5672" s="28"/>
      <c r="E5672" s="26"/>
      <c r="F5672" s="22"/>
      <c r="G5672" s="20"/>
      <c r="H5672" s="22"/>
      <c r="I5672" s="22"/>
      <c r="J5672" s="22"/>
      <c r="K5672" s="22"/>
      <c r="L5672" s="22"/>
      <c r="M5672" s="33"/>
      <c r="N5672" s="33"/>
      <c r="O5672" s="20"/>
      <c r="P5672" s="32"/>
      <c r="Q5672" s="30"/>
      <c r="R5672" s="22"/>
      <c r="S5672" s="22"/>
      <c r="T5672" s="22"/>
      <c r="U5672" s="9"/>
      <c r="V5672" s="8"/>
      <c r="W5672" s="8"/>
      <c r="X5672" s="8"/>
      <c r="Y5672" s="8"/>
      <c r="Z5672" s="7"/>
      <c r="AA5672" s="7"/>
      <c r="AB5672" s="7"/>
    </row>
    <row r="5673" ht="15.75" customHeight="1">
      <c r="A5673" s="26"/>
      <c r="B5673" s="22"/>
      <c r="C5673" s="28"/>
      <c r="D5673" s="28"/>
      <c r="E5673" s="26"/>
      <c r="F5673" s="22"/>
      <c r="G5673" s="20"/>
      <c r="H5673" s="22"/>
      <c r="I5673" s="22"/>
      <c r="J5673" s="22"/>
      <c r="K5673" s="22"/>
      <c r="L5673" s="22"/>
      <c r="M5673" s="33"/>
      <c r="N5673" s="33"/>
      <c r="O5673" s="20"/>
      <c r="P5673" s="32"/>
      <c r="Q5673" s="30"/>
      <c r="R5673" s="22"/>
      <c r="S5673" s="22"/>
      <c r="T5673" s="22"/>
      <c r="U5673" s="9"/>
      <c r="V5673" s="8"/>
      <c r="W5673" s="8"/>
      <c r="X5673" s="8"/>
      <c r="Y5673" s="8"/>
      <c r="Z5673" s="7"/>
      <c r="AA5673" s="7"/>
      <c r="AB5673" s="7"/>
    </row>
    <row r="5674" ht="15.75" customHeight="1">
      <c r="A5674" s="26"/>
      <c r="B5674" s="22"/>
      <c r="C5674" s="28"/>
      <c r="D5674" s="28"/>
      <c r="E5674" s="26"/>
      <c r="F5674" s="22"/>
      <c r="G5674" s="20"/>
      <c r="H5674" s="22"/>
      <c r="I5674" s="22"/>
      <c r="J5674" s="22"/>
      <c r="K5674" s="22"/>
      <c r="L5674" s="22"/>
      <c r="M5674" s="33"/>
      <c r="N5674" s="33"/>
      <c r="O5674" s="20"/>
      <c r="P5674" s="32"/>
      <c r="Q5674" s="30"/>
      <c r="R5674" s="22"/>
      <c r="S5674" s="22"/>
      <c r="T5674" s="22"/>
      <c r="U5674" s="9"/>
      <c r="V5674" s="8"/>
      <c r="W5674" s="8"/>
      <c r="X5674" s="8"/>
      <c r="Y5674" s="8"/>
      <c r="Z5674" s="7"/>
      <c r="AA5674" s="7"/>
      <c r="AB5674" s="7"/>
    </row>
    <row r="5675" ht="15.75" customHeight="1">
      <c r="A5675" s="26"/>
      <c r="B5675" s="22"/>
      <c r="C5675" s="28"/>
      <c r="D5675" s="28"/>
      <c r="E5675" s="26"/>
      <c r="F5675" s="22"/>
      <c r="G5675" s="20"/>
      <c r="H5675" s="22"/>
      <c r="I5675" s="22"/>
      <c r="J5675" s="22"/>
      <c r="K5675" s="22"/>
      <c r="L5675" s="22"/>
      <c r="M5675" s="33"/>
      <c r="N5675" s="33"/>
      <c r="O5675" s="20"/>
      <c r="P5675" s="32"/>
      <c r="Q5675" s="30"/>
      <c r="R5675" s="22"/>
      <c r="S5675" s="22"/>
      <c r="T5675" s="22"/>
      <c r="U5675" s="9"/>
      <c r="V5675" s="8"/>
      <c r="W5675" s="8"/>
      <c r="X5675" s="8"/>
      <c r="Y5675" s="8"/>
      <c r="Z5675" s="7"/>
      <c r="AA5675" s="7"/>
      <c r="AB5675" s="7"/>
    </row>
    <row r="5676" ht="15.75" customHeight="1">
      <c r="A5676" s="26"/>
      <c r="B5676" s="22"/>
      <c r="C5676" s="28"/>
      <c r="D5676" s="28"/>
      <c r="E5676" s="26"/>
      <c r="F5676" s="22"/>
      <c r="G5676" s="20"/>
      <c r="H5676" s="22"/>
      <c r="I5676" s="22"/>
      <c r="J5676" s="22"/>
      <c r="K5676" s="22"/>
      <c r="L5676" s="22"/>
      <c r="M5676" s="33"/>
      <c r="N5676" s="33"/>
      <c r="O5676" s="20"/>
      <c r="P5676" s="32"/>
      <c r="Q5676" s="30"/>
      <c r="R5676" s="22"/>
      <c r="S5676" s="22"/>
      <c r="T5676" s="22"/>
      <c r="U5676" s="9"/>
      <c r="V5676" s="8"/>
      <c r="W5676" s="8"/>
      <c r="X5676" s="8"/>
      <c r="Y5676" s="8"/>
      <c r="Z5676" s="7"/>
      <c r="AA5676" s="7"/>
      <c r="AB5676" s="7"/>
    </row>
    <row r="5677" ht="15.75" customHeight="1">
      <c r="A5677" s="26"/>
      <c r="B5677" s="22"/>
      <c r="C5677" s="28"/>
      <c r="D5677" s="28"/>
      <c r="E5677" s="26"/>
      <c r="F5677" s="22"/>
      <c r="G5677" s="20"/>
      <c r="H5677" s="22"/>
      <c r="I5677" s="22"/>
      <c r="J5677" s="22"/>
      <c r="K5677" s="22"/>
      <c r="L5677" s="22"/>
      <c r="M5677" s="33"/>
      <c r="N5677" s="33"/>
      <c r="O5677" s="20"/>
      <c r="P5677" s="32"/>
      <c r="Q5677" s="30"/>
      <c r="R5677" s="22"/>
      <c r="S5677" s="22"/>
      <c r="T5677" s="22"/>
      <c r="U5677" s="9"/>
      <c r="V5677" s="8"/>
      <c r="W5677" s="8"/>
      <c r="X5677" s="8"/>
      <c r="Y5677" s="8"/>
      <c r="Z5677" s="7"/>
      <c r="AA5677" s="7"/>
      <c r="AB5677" s="7"/>
    </row>
    <row r="5678" ht="15.75" customHeight="1">
      <c r="A5678" s="26"/>
      <c r="B5678" s="22"/>
      <c r="C5678" s="28"/>
      <c r="D5678" s="28"/>
      <c r="E5678" s="26"/>
      <c r="F5678" s="22"/>
      <c r="G5678" s="20"/>
      <c r="H5678" s="22"/>
      <c r="I5678" s="22"/>
      <c r="J5678" s="22"/>
      <c r="K5678" s="22"/>
      <c r="L5678" s="22"/>
      <c r="M5678" s="33"/>
      <c r="N5678" s="33"/>
      <c r="O5678" s="20"/>
      <c r="P5678" s="32"/>
      <c r="Q5678" s="30"/>
      <c r="R5678" s="22"/>
      <c r="S5678" s="22"/>
      <c r="T5678" s="22"/>
      <c r="U5678" s="9"/>
      <c r="V5678" s="8"/>
      <c r="W5678" s="8"/>
      <c r="X5678" s="8"/>
      <c r="Y5678" s="8"/>
      <c r="Z5678" s="7"/>
      <c r="AA5678" s="7"/>
      <c r="AB5678" s="7"/>
    </row>
    <row r="5679" ht="15.75" customHeight="1">
      <c r="A5679" s="26"/>
      <c r="B5679" s="22"/>
      <c r="C5679" s="28"/>
      <c r="D5679" s="28"/>
      <c r="E5679" s="26"/>
      <c r="F5679" s="22"/>
      <c r="G5679" s="20"/>
      <c r="H5679" s="22"/>
      <c r="I5679" s="22"/>
      <c r="J5679" s="22"/>
      <c r="K5679" s="22"/>
      <c r="L5679" s="22"/>
      <c r="M5679" s="33"/>
      <c r="N5679" s="33"/>
      <c r="O5679" s="20"/>
      <c r="P5679" s="32"/>
      <c r="Q5679" s="30"/>
      <c r="R5679" s="22"/>
      <c r="S5679" s="22"/>
      <c r="T5679" s="22"/>
      <c r="U5679" s="9"/>
      <c r="V5679" s="8"/>
      <c r="W5679" s="8"/>
      <c r="X5679" s="8"/>
      <c r="Y5679" s="8"/>
      <c r="Z5679" s="7"/>
      <c r="AA5679" s="7"/>
      <c r="AB5679" s="7"/>
    </row>
    <row r="5680" ht="15.75" customHeight="1">
      <c r="A5680" s="26"/>
      <c r="B5680" s="22"/>
      <c r="C5680" s="28"/>
      <c r="D5680" s="28"/>
      <c r="E5680" s="26"/>
      <c r="F5680" s="22"/>
      <c r="G5680" s="20"/>
      <c r="H5680" s="22"/>
      <c r="I5680" s="22"/>
      <c r="J5680" s="22"/>
      <c r="K5680" s="22"/>
      <c r="L5680" s="22"/>
      <c r="M5680" s="33"/>
      <c r="N5680" s="33"/>
      <c r="O5680" s="20"/>
      <c r="P5680" s="32"/>
      <c r="Q5680" s="30"/>
      <c r="R5680" s="22"/>
      <c r="S5680" s="22"/>
      <c r="T5680" s="22"/>
      <c r="U5680" s="9"/>
      <c r="V5680" s="8"/>
      <c r="W5680" s="8"/>
      <c r="X5680" s="8"/>
      <c r="Y5680" s="8"/>
      <c r="Z5680" s="7"/>
      <c r="AA5680" s="7"/>
      <c r="AB5680" s="7"/>
    </row>
    <row r="5681" ht="15.75" customHeight="1">
      <c r="A5681" s="26"/>
      <c r="B5681" s="22"/>
      <c r="C5681" s="28"/>
      <c r="D5681" s="28"/>
      <c r="E5681" s="26"/>
      <c r="F5681" s="22"/>
      <c r="G5681" s="20"/>
      <c r="H5681" s="22"/>
      <c r="I5681" s="22"/>
      <c r="J5681" s="22"/>
      <c r="K5681" s="22"/>
      <c r="L5681" s="22"/>
      <c r="M5681" s="33"/>
      <c r="N5681" s="33"/>
      <c r="O5681" s="20"/>
      <c r="P5681" s="32"/>
      <c r="Q5681" s="30"/>
      <c r="R5681" s="22"/>
      <c r="S5681" s="22"/>
      <c r="T5681" s="22"/>
      <c r="U5681" s="9"/>
      <c r="V5681" s="8"/>
      <c r="W5681" s="8"/>
      <c r="X5681" s="8"/>
      <c r="Y5681" s="8"/>
      <c r="Z5681" s="7"/>
      <c r="AA5681" s="7"/>
      <c r="AB5681" s="7"/>
    </row>
    <row r="5682" ht="15.75" customHeight="1">
      <c r="A5682" s="26"/>
      <c r="B5682" s="22"/>
      <c r="C5682" s="28"/>
      <c r="D5682" s="28"/>
      <c r="E5682" s="26"/>
      <c r="F5682" s="22"/>
      <c r="G5682" s="20"/>
      <c r="H5682" s="22"/>
      <c r="I5682" s="22"/>
      <c r="J5682" s="22"/>
      <c r="K5682" s="22"/>
      <c r="L5682" s="22"/>
      <c r="M5682" s="33"/>
      <c r="N5682" s="33"/>
      <c r="O5682" s="20"/>
      <c r="P5682" s="32"/>
      <c r="Q5682" s="30"/>
      <c r="R5682" s="22"/>
      <c r="S5682" s="22"/>
      <c r="T5682" s="22"/>
      <c r="U5682" s="9"/>
      <c r="V5682" s="8"/>
      <c r="W5682" s="8"/>
      <c r="X5682" s="8"/>
      <c r="Y5682" s="8"/>
      <c r="Z5682" s="7"/>
      <c r="AA5682" s="7"/>
      <c r="AB5682" s="7"/>
    </row>
    <row r="5683" ht="15.75" customHeight="1">
      <c r="A5683" s="26"/>
      <c r="B5683" s="22"/>
      <c r="C5683" s="28"/>
      <c r="D5683" s="28"/>
      <c r="E5683" s="26"/>
      <c r="F5683" s="22"/>
      <c r="G5683" s="20"/>
      <c r="H5683" s="22"/>
      <c r="I5683" s="22"/>
      <c r="J5683" s="22"/>
      <c r="K5683" s="22"/>
      <c r="L5683" s="22"/>
      <c r="M5683" s="33"/>
      <c r="N5683" s="33"/>
      <c r="O5683" s="20"/>
      <c r="P5683" s="32"/>
      <c r="Q5683" s="30"/>
      <c r="R5683" s="22"/>
      <c r="S5683" s="22"/>
      <c r="T5683" s="22"/>
      <c r="U5683" s="9"/>
      <c r="V5683" s="8"/>
      <c r="W5683" s="8"/>
      <c r="X5683" s="8"/>
      <c r="Y5683" s="8"/>
      <c r="Z5683" s="7"/>
      <c r="AA5683" s="7"/>
      <c r="AB5683" s="7"/>
    </row>
    <row r="5684" ht="15.75" customHeight="1">
      <c r="A5684" s="26"/>
      <c r="B5684" s="22"/>
      <c r="C5684" s="28"/>
      <c r="D5684" s="28"/>
      <c r="E5684" s="26"/>
      <c r="F5684" s="22"/>
      <c r="G5684" s="20"/>
      <c r="H5684" s="22"/>
      <c r="I5684" s="22"/>
      <c r="J5684" s="22"/>
      <c r="K5684" s="22"/>
      <c r="L5684" s="22"/>
      <c r="M5684" s="33"/>
      <c r="N5684" s="33"/>
      <c r="O5684" s="20"/>
      <c r="P5684" s="32"/>
      <c r="Q5684" s="30"/>
      <c r="R5684" s="22"/>
      <c r="S5684" s="22"/>
      <c r="T5684" s="22"/>
      <c r="U5684" s="9"/>
      <c r="V5684" s="8"/>
      <c r="W5684" s="8"/>
      <c r="X5684" s="8"/>
      <c r="Y5684" s="8"/>
      <c r="Z5684" s="7"/>
      <c r="AA5684" s="7"/>
      <c r="AB5684" s="7"/>
    </row>
    <row r="5685" ht="15.75" customHeight="1">
      <c r="A5685" s="26"/>
      <c r="B5685" s="22"/>
      <c r="C5685" s="28"/>
      <c r="D5685" s="28"/>
      <c r="E5685" s="26"/>
      <c r="F5685" s="22"/>
      <c r="G5685" s="20"/>
      <c r="H5685" s="22"/>
      <c r="I5685" s="22"/>
      <c r="J5685" s="22"/>
      <c r="K5685" s="22"/>
      <c r="L5685" s="22"/>
      <c r="M5685" s="33"/>
      <c r="N5685" s="33"/>
      <c r="O5685" s="20"/>
      <c r="P5685" s="32"/>
      <c r="Q5685" s="30"/>
      <c r="R5685" s="22"/>
      <c r="S5685" s="22"/>
      <c r="T5685" s="22"/>
      <c r="U5685" s="9"/>
      <c r="V5685" s="8"/>
      <c r="W5685" s="8"/>
      <c r="X5685" s="8"/>
      <c r="Y5685" s="8"/>
      <c r="Z5685" s="7"/>
      <c r="AA5685" s="7"/>
      <c r="AB5685" s="7"/>
    </row>
    <row r="5686" ht="15.75" customHeight="1">
      <c r="A5686" s="26"/>
      <c r="B5686" s="22"/>
      <c r="C5686" s="28"/>
      <c r="D5686" s="28"/>
      <c r="E5686" s="26"/>
      <c r="F5686" s="22"/>
      <c r="G5686" s="20"/>
      <c r="H5686" s="22"/>
      <c r="I5686" s="22"/>
      <c r="J5686" s="22"/>
      <c r="K5686" s="22"/>
      <c r="L5686" s="22"/>
      <c r="M5686" s="33"/>
      <c r="N5686" s="33"/>
      <c r="O5686" s="20"/>
      <c r="P5686" s="32"/>
      <c r="Q5686" s="30"/>
      <c r="R5686" s="22"/>
      <c r="S5686" s="22"/>
      <c r="T5686" s="22"/>
      <c r="U5686" s="9"/>
      <c r="V5686" s="8"/>
      <c r="W5686" s="8"/>
      <c r="X5686" s="8"/>
      <c r="Y5686" s="8"/>
      <c r="Z5686" s="7"/>
      <c r="AA5686" s="7"/>
      <c r="AB5686" s="7"/>
    </row>
    <row r="5687" ht="15.75" customHeight="1">
      <c r="A5687" s="26"/>
      <c r="B5687" s="22"/>
      <c r="C5687" s="28"/>
      <c r="D5687" s="28"/>
      <c r="E5687" s="26"/>
      <c r="F5687" s="22"/>
      <c r="G5687" s="20"/>
      <c r="H5687" s="22"/>
      <c r="I5687" s="22"/>
      <c r="J5687" s="22"/>
      <c r="K5687" s="22"/>
      <c r="L5687" s="22"/>
      <c r="M5687" s="33"/>
      <c r="N5687" s="33"/>
      <c r="O5687" s="20"/>
      <c r="P5687" s="32"/>
      <c r="Q5687" s="30"/>
      <c r="R5687" s="22"/>
      <c r="S5687" s="22"/>
      <c r="T5687" s="22"/>
      <c r="U5687" s="9"/>
      <c r="V5687" s="8"/>
      <c r="W5687" s="8"/>
      <c r="X5687" s="8"/>
      <c r="Y5687" s="8"/>
      <c r="Z5687" s="7"/>
      <c r="AA5687" s="7"/>
      <c r="AB5687" s="7"/>
    </row>
    <row r="5688" ht="15.75" customHeight="1">
      <c r="A5688" s="26"/>
      <c r="B5688" s="22"/>
      <c r="C5688" s="28"/>
      <c r="D5688" s="28"/>
      <c r="E5688" s="26"/>
      <c r="F5688" s="22"/>
      <c r="G5688" s="20"/>
      <c r="H5688" s="22"/>
      <c r="I5688" s="22"/>
      <c r="J5688" s="22"/>
      <c r="K5688" s="22"/>
      <c r="L5688" s="22"/>
      <c r="M5688" s="33"/>
      <c r="N5688" s="33"/>
      <c r="O5688" s="20"/>
      <c r="P5688" s="32"/>
      <c r="Q5688" s="30"/>
      <c r="R5688" s="22"/>
      <c r="S5688" s="22"/>
      <c r="T5688" s="22"/>
      <c r="U5688" s="9"/>
      <c r="V5688" s="8"/>
      <c r="W5688" s="8"/>
      <c r="X5688" s="8"/>
      <c r="Y5688" s="8"/>
      <c r="Z5688" s="7"/>
      <c r="AA5688" s="7"/>
      <c r="AB5688" s="7"/>
    </row>
    <row r="5689" ht="15.75" customHeight="1">
      <c r="A5689" s="26"/>
      <c r="B5689" s="22"/>
      <c r="C5689" s="28"/>
      <c r="D5689" s="28"/>
      <c r="E5689" s="26"/>
      <c r="F5689" s="22"/>
      <c r="G5689" s="20"/>
      <c r="H5689" s="22"/>
      <c r="I5689" s="22"/>
      <c r="J5689" s="22"/>
      <c r="K5689" s="22"/>
      <c r="L5689" s="22"/>
      <c r="M5689" s="33"/>
      <c r="N5689" s="33"/>
      <c r="O5689" s="20"/>
      <c r="P5689" s="32"/>
      <c r="Q5689" s="30"/>
      <c r="R5689" s="22"/>
      <c r="S5689" s="22"/>
      <c r="T5689" s="22"/>
      <c r="U5689" s="9"/>
      <c r="V5689" s="8"/>
      <c r="W5689" s="8"/>
      <c r="X5689" s="8"/>
      <c r="Y5689" s="8"/>
      <c r="Z5689" s="7"/>
      <c r="AA5689" s="7"/>
      <c r="AB5689" s="7"/>
    </row>
    <row r="5690" ht="15.75" customHeight="1">
      <c r="A5690" s="26"/>
      <c r="B5690" s="22"/>
      <c r="C5690" s="28"/>
      <c r="D5690" s="28"/>
      <c r="E5690" s="26"/>
      <c r="F5690" s="22"/>
      <c r="G5690" s="20"/>
      <c r="H5690" s="22"/>
      <c r="I5690" s="22"/>
      <c r="J5690" s="22"/>
      <c r="K5690" s="22"/>
      <c r="L5690" s="22"/>
      <c r="M5690" s="33"/>
      <c r="N5690" s="33"/>
      <c r="O5690" s="20"/>
      <c r="P5690" s="32"/>
      <c r="Q5690" s="30"/>
      <c r="R5690" s="22"/>
      <c r="S5690" s="22"/>
      <c r="T5690" s="22"/>
      <c r="U5690" s="9"/>
      <c r="V5690" s="8"/>
      <c r="W5690" s="8"/>
      <c r="X5690" s="8"/>
      <c r="Y5690" s="8"/>
      <c r="Z5690" s="7"/>
      <c r="AA5690" s="7"/>
      <c r="AB5690" s="7"/>
    </row>
    <row r="5691" ht="15.75" customHeight="1">
      <c r="A5691" s="26"/>
      <c r="B5691" s="22"/>
      <c r="C5691" s="28"/>
      <c r="D5691" s="28"/>
      <c r="E5691" s="26"/>
      <c r="F5691" s="22"/>
      <c r="G5691" s="20"/>
      <c r="H5691" s="22"/>
      <c r="I5691" s="22"/>
      <c r="J5691" s="22"/>
      <c r="K5691" s="22"/>
      <c r="L5691" s="22"/>
      <c r="M5691" s="33"/>
      <c r="N5691" s="33"/>
      <c r="O5691" s="20"/>
      <c r="P5691" s="32"/>
      <c r="Q5691" s="30"/>
      <c r="R5691" s="22"/>
      <c r="S5691" s="22"/>
      <c r="T5691" s="22"/>
      <c r="U5691" s="9"/>
      <c r="V5691" s="8"/>
      <c r="W5691" s="8"/>
      <c r="X5691" s="8"/>
      <c r="Y5691" s="8"/>
      <c r="Z5691" s="7"/>
      <c r="AA5691" s="7"/>
      <c r="AB5691" s="7"/>
    </row>
    <row r="5692" ht="15.75" customHeight="1">
      <c r="A5692" s="26"/>
      <c r="B5692" s="22"/>
      <c r="C5692" s="28"/>
      <c r="D5692" s="28"/>
      <c r="E5692" s="26"/>
      <c r="F5692" s="22"/>
      <c r="G5692" s="20"/>
      <c r="H5692" s="22"/>
      <c r="I5692" s="22"/>
      <c r="J5692" s="22"/>
      <c r="K5692" s="22"/>
      <c r="L5692" s="22"/>
      <c r="M5692" s="33"/>
      <c r="N5692" s="33"/>
      <c r="O5692" s="20"/>
      <c r="P5692" s="32"/>
      <c r="Q5692" s="30"/>
      <c r="R5692" s="22"/>
      <c r="S5692" s="22"/>
      <c r="T5692" s="22"/>
      <c r="U5692" s="9"/>
      <c r="V5692" s="8"/>
      <c r="W5692" s="8"/>
      <c r="X5692" s="8"/>
      <c r="Y5692" s="8"/>
      <c r="Z5692" s="7"/>
      <c r="AA5692" s="7"/>
      <c r="AB5692" s="7"/>
    </row>
    <row r="5693" ht="15.75" customHeight="1">
      <c r="A5693" s="26"/>
      <c r="B5693" s="22"/>
      <c r="C5693" s="28"/>
      <c r="D5693" s="28"/>
      <c r="E5693" s="26"/>
      <c r="F5693" s="22"/>
      <c r="G5693" s="20"/>
      <c r="H5693" s="22"/>
      <c r="I5693" s="22"/>
      <c r="J5693" s="22"/>
      <c r="K5693" s="22"/>
      <c r="L5693" s="22"/>
      <c r="M5693" s="33"/>
      <c r="N5693" s="33"/>
      <c r="O5693" s="20"/>
      <c r="P5693" s="32"/>
      <c r="Q5693" s="30"/>
      <c r="R5693" s="22"/>
      <c r="S5693" s="22"/>
      <c r="T5693" s="22"/>
      <c r="U5693" s="9"/>
      <c r="V5693" s="8"/>
      <c r="W5693" s="8"/>
      <c r="X5693" s="8"/>
      <c r="Y5693" s="8"/>
      <c r="Z5693" s="7"/>
      <c r="AA5693" s="7"/>
      <c r="AB5693" s="7"/>
    </row>
    <row r="5694" ht="15.75" customHeight="1">
      <c r="A5694" s="26"/>
      <c r="B5694" s="22"/>
      <c r="C5694" s="28"/>
      <c r="D5694" s="28"/>
      <c r="E5694" s="26"/>
      <c r="F5694" s="22"/>
      <c r="G5694" s="20"/>
      <c r="H5694" s="22"/>
      <c r="I5694" s="22"/>
      <c r="J5694" s="22"/>
      <c r="K5694" s="22"/>
      <c r="L5694" s="22"/>
      <c r="M5694" s="33"/>
      <c r="N5694" s="33"/>
      <c r="O5694" s="20"/>
      <c r="P5694" s="32"/>
      <c r="Q5694" s="30"/>
      <c r="R5694" s="22"/>
      <c r="S5694" s="22"/>
      <c r="T5694" s="22"/>
      <c r="U5694" s="9"/>
      <c r="V5694" s="8"/>
      <c r="W5694" s="8"/>
      <c r="X5694" s="8"/>
      <c r="Y5694" s="8"/>
      <c r="Z5694" s="7"/>
      <c r="AA5694" s="7"/>
      <c r="AB5694" s="7"/>
    </row>
    <row r="5695" ht="15.75" customHeight="1">
      <c r="A5695" s="26"/>
      <c r="B5695" s="22"/>
      <c r="C5695" s="28"/>
      <c r="D5695" s="28"/>
      <c r="E5695" s="26"/>
      <c r="F5695" s="22"/>
      <c r="G5695" s="20"/>
      <c r="H5695" s="22"/>
      <c r="I5695" s="22"/>
      <c r="J5695" s="22"/>
      <c r="K5695" s="22"/>
      <c r="L5695" s="22"/>
      <c r="M5695" s="33"/>
      <c r="N5695" s="33"/>
      <c r="O5695" s="20"/>
      <c r="P5695" s="32"/>
      <c r="Q5695" s="30"/>
      <c r="R5695" s="22"/>
      <c r="S5695" s="22"/>
      <c r="T5695" s="22"/>
      <c r="U5695" s="9"/>
      <c r="V5695" s="8"/>
      <c r="W5695" s="8"/>
      <c r="X5695" s="8"/>
      <c r="Y5695" s="8"/>
      <c r="Z5695" s="7"/>
      <c r="AA5695" s="7"/>
      <c r="AB5695" s="7"/>
    </row>
    <row r="5696" ht="15.75" customHeight="1">
      <c r="A5696" s="26"/>
      <c r="B5696" s="22"/>
      <c r="C5696" s="28"/>
      <c r="D5696" s="28"/>
      <c r="E5696" s="26"/>
      <c r="F5696" s="22"/>
      <c r="G5696" s="20"/>
      <c r="H5696" s="22"/>
      <c r="I5696" s="22"/>
      <c r="J5696" s="22"/>
      <c r="K5696" s="22"/>
      <c r="L5696" s="22"/>
      <c r="M5696" s="33"/>
      <c r="N5696" s="33"/>
      <c r="O5696" s="20"/>
      <c r="P5696" s="32"/>
      <c r="Q5696" s="30"/>
      <c r="R5696" s="22"/>
      <c r="S5696" s="22"/>
      <c r="T5696" s="22"/>
      <c r="U5696" s="9"/>
      <c r="V5696" s="8"/>
      <c r="W5696" s="8"/>
      <c r="X5696" s="8"/>
      <c r="Y5696" s="8"/>
      <c r="Z5696" s="7"/>
      <c r="AA5696" s="7"/>
      <c r="AB5696" s="7"/>
    </row>
    <row r="5697" ht="15.75" customHeight="1">
      <c r="A5697" s="26"/>
      <c r="B5697" s="22"/>
      <c r="C5697" s="28"/>
      <c r="D5697" s="28"/>
      <c r="E5697" s="26"/>
      <c r="F5697" s="22"/>
      <c r="G5697" s="20"/>
      <c r="H5697" s="22"/>
      <c r="I5697" s="22"/>
      <c r="J5697" s="22"/>
      <c r="K5697" s="22"/>
      <c r="L5697" s="22"/>
      <c r="M5697" s="33"/>
      <c r="N5697" s="33"/>
      <c r="O5697" s="20"/>
      <c r="P5697" s="32"/>
      <c r="Q5697" s="30"/>
      <c r="R5697" s="22"/>
      <c r="S5697" s="22"/>
      <c r="T5697" s="22"/>
      <c r="U5697" s="9"/>
      <c r="V5697" s="8"/>
      <c r="W5697" s="8"/>
      <c r="X5697" s="8"/>
      <c r="Y5697" s="8"/>
      <c r="Z5697" s="7"/>
      <c r="AA5697" s="7"/>
      <c r="AB5697" s="7"/>
    </row>
    <row r="5698" ht="15.75" customHeight="1">
      <c r="A5698" s="26"/>
      <c r="B5698" s="22"/>
      <c r="C5698" s="28"/>
      <c r="D5698" s="28"/>
      <c r="E5698" s="26"/>
      <c r="F5698" s="22"/>
      <c r="G5698" s="20"/>
      <c r="H5698" s="22"/>
      <c r="I5698" s="22"/>
      <c r="J5698" s="22"/>
      <c r="K5698" s="22"/>
      <c r="L5698" s="22"/>
      <c r="M5698" s="33"/>
      <c r="N5698" s="33"/>
      <c r="O5698" s="20"/>
      <c r="P5698" s="32"/>
      <c r="Q5698" s="30"/>
      <c r="R5698" s="22"/>
      <c r="S5698" s="22"/>
      <c r="T5698" s="22"/>
      <c r="U5698" s="9"/>
      <c r="V5698" s="8"/>
      <c r="W5698" s="8"/>
      <c r="X5698" s="8"/>
      <c r="Y5698" s="8"/>
      <c r="Z5698" s="7"/>
      <c r="AA5698" s="7"/>
      <c r="AB5698" s="7"/>
    </row>
    <row r="5699" ht="15.75" customHeight="1">
      <c r="A5699" s="26"/>
      <c r="B5699" s="22"/>
      <c r="C5699" s="28"/>
      <c r="D5699" s="28"/>
      <c r="E5699" s="26"/>
      <c r="F5699" s="22"/>
      <c r="G5699" s="20"/>
      <c r="H5699" s="22"/>
      <c r="I5699" s="22"/>
      <c r="J5699" s="22"/>
      <c r="K5699" s="22"/>
      <c r="L5699" s="22"/>
      <c r="M5699" s="33"/>
      <c r="N5699" s="33"/>
      <c r="O5699" s="20"/>
      <c r="P5699" s="32"/>
      <c r="Q5699" s="30"/>
      <c r="R5699" s="22"/>
      <c r="S5699" s="22"/>
      <c r="T5699" s="22"/>
      <c r="U5699" s="9"/>
      <c r="V5699" s="8"/>
      <c r="W5699" s="8"/>
      <c r="X5699" s="8"/>
      <c r="Y5699" s="8"/>
      <c r="Z5699" s="7"/>
      <c r="AA5699" s="7"/>
      <c r="AB5699" s="7"/>
    </row>
    <row r="5700" ht="15.75" customHeight="1">
      <c r="A5700" s="26"/>
      <c r="B5700" s="22"/>
      <c r="C5700" s="28"/>
      <c r="D5700" s="28"/>
      <c r="E5700" s="26"/>
      <c r="F5700" s="22"/>
      <c r="G5700" s="20"/>
      <c r="H5700" s="22"/>
      <c r="I5700" s="22"/>
      <c r="J5700" s="22"/>
      <c r="K5700" s="22"/>
      <c r="L5700" s="22"/>
      <c r="M5700" s="33"/>
      <c r="N5700" s="33"/>
      <c r="O5700" s="20"/>
      <c r="P5700" s="32"/>
      <c r="Q5700" s="30"/>
      <c r="R5700" s="22"/>
      <c r="S5700" s="22"/>
      <c r="T5700" s="22"/>
      <c r="U5700" s="9"/>
      <c r="V5700" s="8"/>
      <c r="W5700" s="8"/>
      <c r="X5700" s="8"/>
      <c r="Y5700" s="8"/>
      <c r="Z5700" s="7"/>
      <c r="AA5700" s="7"/>
      <c r="AB5700" s="7"/>
    </row>
    <row r="5701" ht="15.75" customHeight="1">
      <c r="A5701" s="26"/>
      <c r="B5701" s="22"/>
      <c r="C5701" s="28"/>
      <c r="D5701" s="28"/>
      <c r="E5701" s="26"/>
      <c r="F5701" s="22"/>
      <c r="G5701" s="20"/>
      <c r="H5701" s="22"/>
      <c r="I5701" s="22"/>
      <c r="J5701" s="22"/>
      <c r="K5701" s="22"/>
      <c r="L5701" s="22"/>
      <c r="M5701" s="33"/>
      <c r="N5701" s="33"/>
      <c r="O5701" s="20"/>
      <c r="P5701" s="32"/>
      <c r="Q5701" s="30"/>
      <c r="R5701" s="22"/>
      <c r="S5701" s="22"/>
      <c r="T5701" s="22"/>
      <c r="U5701" s="9"/>
      <c r="V5701" s="8"/>
      <c r="W5701" s="8"/>
      <c r="X5701" s="8"/>
      <c r="Y5701" s="8"/>
      <c r="Z5701" s="7"/>
      <c r="AA5701" s="7"/>
      <c r="AB5701" s="7"/>
    </row>
    <row r="5702" ht="15.75" customHeight="1">
      <c r="A5702" s="26"/>
      <c r="B5702" s="22"/>
      <c r="C5702" s="28"/>
      <c r="D5702" s="28"/>
      <c r="E5702" s="26"/>
      <c r="F5702" s="22"/>
      <c r="G5702" s="20"/>
      <c r="H5702" s="22"/>
      <c r="I5702" s="22"/>
      <c r="J5702" s="22"/>
      <c r="K5702" s="22"/>
      <c r="L5702" s="22"/>
      <c r="M5702" s="33"/>
      <c r="N5702" s="33"/>
      <c r="O5702" s="20"/>
      <c r="P5702" s="32"/>
      <c r="Q5702" s="30"/>
      <c r="R5702" s="22"/>
      <c r="S5702" s="22"/>
      <c r="T5702" s="22"/>
      <c r="U5702" s="9"/>
      <c r="V5702" s="8"/>
      <c r="W5702" s="8"/>
      <c r="X5702" s="8"/>
      <c r="Y5702" s="8"/>
      <c r="Z5702" s="7"/>
      <c r="AA5702" s="7"/>
      <c r="AB5702" s="7"/>
    </row>
    <row r="5703" ht="15.75" customHeight="1">
      <c r="A5703" s="26"/>
      <c r="B5703" s="22"/>
      <c r="C5703" s="28"/>
      <c r="D5703" s="28"/>
      <c r="E5703" s="26"/>
      <c r="F5703" s="22"/>
      <c r="G5703" s="20"/>
      <c r="H5703" s="22"/>
      <c r="I5703" s="22"/>
      <c r="J5703" s="22"/>
      <c r="K5703" s="22"/>
      <c r="L5703" s="22"/>
      <c r="M5703" s="33"/>
      <c r="N5703" s="33"/>
      <c r="O5703" s="20"/>
      <c r="P5703" s="32"/>
      <c r="Q5703" s="30"/>
      <c r="R5703" s="22"/>
      <c r="S5703" s="22"/>
      <c r="T5703" s="22"/>
      <c r="U5703" s="9"/>
      <c r="V5703" s="8"/>
      <c r="W5703" s="8"/>
      <c r="X5703" s="8"/>
      <c r="Y5703" s="8"/>
      <c r="Z5703" s="7"/>
      <c r="AA5703" s="7"/>
      <c r="AB5703" s="7"/>
    </row>
    <row r="5704" ht="15.75" customHeight="1">
      <c r="A5704" s="26"/>
      <c r="B5704" s="22"/>
      <c r="C5704" s="28"/>
      <c r="D5704" s="28"/>
      <c r="E5704" s="26"/>
      <c r="F5704" s="22"/>
      <c r="G5704" s="20"/>
      <c r="H5704" s="22"/>
      <c r="I5704" s="22"/>
      <c r="J5704" s="22"/>
      <c r="K5704" s="22"/>
      <c r="L5704" s="22"/>
      <c r="M5704" s="33"/>
      <c r="N5704" s="33"/>
      <c r="O5704" s="20"/>
      <c r="P5704" s="32"/>
      <c r="Q5704" s="30"/>
      <c r="R5704" s="22"/>
      <c r="S5704" s="22"/>
      <c r="T5704" s="22"/>
      <c r="U5704" s="9"/>
      <c r="V5704" s="8"/>
      <c r="W5704" s="8"/>
      <c r="X5704" s="8"/>
      <c r="Y5704" s="8"/>
      <c r="Z5704" s="7"/>
      <c r="AA5704" s="7"/>
      <c r="AB5704" s="7"/>
    </row>
    <row r="5705" ht="15.75" customHeight="1">
      <c r="A5705" s="26"/>
      <c r="B5705" s="22"/>
      <c r="C5705" s="28"/>
      <c r="D5705" s="28"/>
      <c r="E5705" s="26"/>
      <c r="F5705" s="22"/>
      <c r="G5705" s="20"/>
      <c r="H5705" s="22"/>
      <c r="I5705" s="22"/>
      <c r="J5705" s="22"/>
      <c r="K5705" s="22"/>
      <c r="L5705" s="22"/>
      <c r="M5705" s="33"/>
      <c r="N5705" s="33"/>
      <c r="O5705" s="20"/>
      <c r="P5705" s="32"/>
      <c r="Q5705" s="30"/>
      <c r="R5705" s="22"/>
      <c r="S5705" s="22"/>
      <c r="T5705" s="22"/>
      <c r="U5705" s="9"/>
      <c r="V5705" s="8"/>
      <c r="W5705" s="8"/>
      <c r="X5705" s="8"/>
      <c r="Y5705" s="8"/>
      <c r="Z5705" s="7"/>
      <c r="AA5705" s="7"/>
      <c r="AB5705" s="7"/>
    </row>
    <row r="5706" ht="15.75" customHeight="1">
      <c r="A5706" s="26"/>
      <c r="B5706" s="22"/>
      <c r="C5706" s="28"/>
      <c r="D5706" s="28"/>
      <c r="E5706" s="26"/>
      <c r="F5706" s="22"/>
      <c r="G5706" s="20"/>
      <c r="H5706" s="22"/>
      <c r="I5706" s="22"/>
      <c r="J5706" s="22"/>
      <c r="K5706" s="22"/>
      <c r="L5706" s="22"/>
      <c r="M5706" s="33"/>
      <c r="N5706" s="33"/>
      <c r="O5706" s="20"/>
      <c r="P5706" s="32"/>
      <c r="Q5706" s="30"/>
      <c r="R5706" s="22"/>
      <c r="S5706" s="22"/>
      <c r="T5706" s="22"/>
      <c r="U5706" s="9"/>
      <c r="V5706" s="8"/>
      <c r="W5706" s="8"/>
      <c r="X5706" s="8"/>
      <c r="Y5706" s="8"/>
      <c r="Z5706" s="7"/>
      <c r="AA5706" s="7"/>
      <c r="AB5706" s="7"/>
    </row>
    <row r="5707" ht="15.75" customHeight="1">
      <c r="A5707" s="26"/>
      <c r="B5707" s="22"/>
      <c r="C5707" s="28"/>
      <c r="D5707" s="28"/>
      <c r="E5707" s="26"/>
      <c r="F5707" s="22"/>
      <c r="G5707" s="20"/>
      <c r="H5707" s="22"/>
      <c r="I5707" s="22"/>
      <c r="J5707" s="22"/>
      <c r="K5707" s="22"/>
      <c r="L5707" s="22"/>
      <c r="M5707" s="33"/>
      <c r="N5707" s="33"/>
      <c r="O5707" s="20"/>
      <c r="P5707" s="32"/>
      <c r="Q5707" s="30"/>
      <c r="R5707" s="22"/>
      <c r="S5707" s="22"/>
      <c r="T5707" s="22"/>
      <c r="U5707" s="9"/>
      <c r="V5707" s="8"/>
      <c r="W5707" s="8"/>
      <c r="X5707" s="8"/>
      <c r="Y5707" s="8"/>
      <c r="Z5707" s="7"/>
      <c r="AA5707" s="7"/>
      <c r="AB5707" s="7"/>
    </row>
    <row r="5708" ht="15.75" customHeight="1">
      <c r="A5708" s="26"/>
      <c r="B5708" s="22"/>
      <c r="C5708" s="28"/>
      <c r="D5708" s="28"/>
      <c r="E5708" s="26"/>
      <c r="F5708" s="22"/>
      <c r="G5708" s="20"/>
      <c r="H5708" s="22"/>
      <c r="I5708" s="22"/>
      <c r="J5708" s="22"/>
      <c r="K5708" s="22"/>
      <c r="L5708" s="22"/>
      <c r="M5708" s="33"/>
      <c r="N5708" s="33"/>
      <c r="O5708" s="20"/>
      <c r="P5708" s="32"/>
      <c r="Q5708" s="30"/>
      <c r="R5708" s="22"/>
      <c r="S5708" s="22"/>
      <c r="T5708" s="22"/>
      <c r="U5708" s="9"/>
      <c r="V5708" s="8"/>
      <c r="W5708" s="8"/>
      <c r="X5708" s="8"/>
      <c r="Y5708" s="8"/>
      <c r="Z5708" s="7"/>
      <c r="AA5708" s="7"/>
      <c r="AB5708" s="7"/>
    </row>
    <row r="5709" ht="15.75" customHeight="1">
      <c r="A5709" s="26"/>
      <c r="B5709" s="22"/>
      <c r="C5709" s="28"/>
      <c r="D5709" s="28"/>
      <c r="E5709" s="26"/>
      <c r="F5709" s="22"/>
      <c r="G5709" s="20"/>
      <c r="H5709" s="22"/>
      <c r="I5709" s="22"/>
      <c r="J5709" s="22"/>
      <c r="K5709" s="22"/>
      <c r="L5709" s="22"/>
      <c r="M5709" s="33"/>
      <c r="N5709" s="33"/>
      <c r="O5709" s="20"/>
      <c r="P5709" s="32"/>
      <c r="Q5709" s="30"/>
      <c r="R5709" s="22"/>
      <c r="S5709" s="22"/>
      <c r="T5709" s="22"/>
      <c r="U5709" s="9"/>
      <c r="V5709" s="8"/>
      <c r="W5709" s="8"/>
      <c r="X5709" s="8"/>
      <c r="Y5709" s="8"/>
      <c r="Z5709" s="7"/>
      <c r="AA5709" s="7"/>
      <c r="AB5709" s="7"/>
    </row>
    <row r="5710" ht="15.75" customHeight="1">
      <c r="A5710" s="26"/>
      <c r="B5710" s="22"/>
      <c r="C5710" s="28"/>
      <c r="D5710" s="28"/>
      <c r="E5710" s="26"/>
      <c r="F5710" s="22"/>
      <c r="G5710" s="20"/>
      <c r="H5710" s="22"/>
      <c r="I5710" s="22"/>
      <c r="J5710" s="22"/>
      <c r="K5710" s="22"/>
      <c r="L5710" s="22"/>
      <c r="M5710" s="33"/>
      <c r="N5710" s="33"/>
      <c r="O5710" s="20"/>
      <c r="P5710" s="32"/>
      <c r="Q5710" s="30"/>
      <c r="R5710" s="22"/>
      <c r="S5710" s="22"/>
      <c r="T5710" s="22"/>
      <c r="U5710" s="9"/>
      <c r="V5710" s="8"/>
      <c r="W5710" s="8"/>
      <c r="X5710" s="8"/>
      <c r="Y5710" s="8"/>
      <c r="Z5710" s="7"/>
      <c r="AA5710" s="7"/>
      <c r="AB5710" s="7"/>
    </row>
    <row r="5711" ht="15.75" customHeight="1">
      <c r="A5711" s="26"/>
      <c r="B5711" s="22"/>
      <c r="C5711" s="28"/>
      <c r="D5711" s="28"/>
      <c r="E5711" s="26"/>
      <c r="F5711" s="22"/>
      <c r="G5711" s="20"/>
      <c r="H5711" s="22"/>
      <c r="I5711" s="22"/>
      <c r="J5711" s="22"/>
      <c r="K5711" s="22"/>
      <c r="L5711" s="22"/>
      <c r="M5711" s="33"/>
      <c r="N5711" s="33"/>
      <c r="O5711" s="20"/>
      <c r="P5711" s="32"/>
      <c r="Q5711" s="30"/>
      <c r="R5711" s="22"/>
      <c r="S5711" s="22"/>
      <c r="T5711" s="22"/>
      <c r="U5711" s="9"/>
      <c r="V5711" s="8"/>
      <c r="W5711" s="8"/>
      <c r="X5711" s="8"/>
      <c r="Y5711" s="8"/>
      <c r="Z5711" s="7"/>
      <c r="AA5711" s="7"/>
      <c r="AB5711" s="7"/>
    </row>
    <row r="5712" ht="15.75" customHeight="1">
      <c r="A5712" s="26"/>
      <c r="B5712" s="22"/>
      <c r="C5712" s="28"/>
      <c r="D5712" s="28"/>
      <c r="E5712" s="26"/>
      <c r="F5712" s="22"/>
      <c r="G5712" s="20"/>
      <c r="H5712" s="22"/>
      <c r="I5712" s="22"/>
      <c r="J5712" s="22"/>
      <c r="K5712" s="22"/>
      <c r="L5712" s="22"/>
      <c r="M5712" s="33"/>
      <c r="N5712" s="33"/>
      <c r="O5712" s="20"/>
      <c r="P5712" s="32"/>
      <c r="Q5712" s="30"/>
      <c r="R5712" s="22"/>
      <c r="S5712" s="22"/>
      <c r="T5712" s="22"/>
      <c r="U5712" s="9"/>
      <c r="V5712" s="8"/>
      <c r="W5712" s="8"/>
      <c r="X5712" s="8"/>
      <c r="Y5712" s="8"/>
      <c r="Z5712" s="7"/>
      <c r="AA5712" s="7"/>
      <c r="AB5712" s="7"/>
    </row>
    <row r="5713" ht="15.75" customHeight="1">
      <c r="A5713" s="26"/>
      <c r="B5713" s="22"/>
      <c r="C5713" s="28"/>
      <c r="D5713" s="28"/>
      <c r="E5713" s="26"/>
      <c r="F5713" s="22"/>
      <c r="G5713" s="20"/>
      <c r="H5713" s="22"/>
      <c r="I5713" s="22"/>
      <c r="J5713" s="22"/>
      <c r="K5713" s="22"/>
      <c r="L5713" s="22"/>
      <c r="M5713" s="33"/>
      <c r="N5713" s="33"/>
      <c r="O5713" s="20"/>
      <c r="P5713" s="32"/>
      <c r="Q5713" s="30"/>
      <c r="R5713" s="22"/>
      <c r="S5713" s="22"/>
      <c r="T5713" s="22"/>
      <c r="U5713" s="9"/>
      <c r="V5713" s="8"/>
      <c r="W5713" s="8"/>
      <c r="X5713" s="8"/>
      <c r="Y5713" s="8"/>
      <c r="Z5713" s="7"/>
      <c r="AA5713" s="7"/>
      <c r="AB5713" s="7"/>
    </row>
    <row r="5714" ht="15.75" customHeight="1">
      <c r="A5714" s="26"/>
      <c r="B5714" s="22"/>
      <c r="C5714" s="28"/>
      <c r="D5714" s="28"/>
      <c r="E5714" s="26"/>
      <c r="F5714" s="22"/>
      <c r="G5714" s="20"/>
      <c r="H5714" s="22"/>
      <c r="I5714" s="22"/>
      <c r="J5714" s="22"/>
      <c r="K5714" s="22"/>
      <c r="L5714" s="22"/>
      <c r="M5714" s="33"/>
      <c r="N5714" s="33"/>
      <c r="O5714" s="20"/>
      <c r="P5714" s="32"/>
      <c r="Q5714" s="30"/>
      <c r="R5714" s="22"/>
      <c r="S5714" s="22"/>
      <c r="T5714" s="22"/>
      <c r="U5714" s="9"/>
      <c r="V5714" s="8"/>
      <c r="W5714" s="8"/>
      <c r="X5714" s="8"/>
      <c r="Y5714" s="8"/>
      <c r="Z5714" s="7"/>
      <c r="AA5714" s="7"/>
      <c r="AB5714" s="7"/>
    </row>
    <row r="5715" ht="15.75" customHeight="1">
      <c r="A5715" s="26"/>
      <c r="B5715" s="22"/>
      <c r="C5715" s="28"/>
      <c r="D5715" s="28"/>
      <c r="E5715" s="26"/>
      <c r="F5715" s="22"/>
      <c r="G5715" s="20"/>
      <c r="H5715" s="22"/>
      <c r="I5715" s="22"/>
      <c r="J5715" s="22"/>
      <c r="K5715" s="22"/>
      <c r="L5715" s="22"/>
      <c r="M5715" s="33"/>
      <c r="N5715" s="33"/>
      <c r="O5715" s="20"/>
      <c r="P5715" s="32"/>
      <c r="Q5715" s="30"/>
      <c r="R5715" s="22"/>
      <c r="S5715" s="22"/>
      <c r="T5715" s="22"/>
      <c r="U5715" s="9"/>
      <c r="V5715" s="8"/>
      <c r="W5715" s="8"/>
      <c r="X5715" s="8"/>
      <c r="Y5715" s="8"/>
      <c r="Z5715" s="7"/>
      <c r="AA5715" s="7"/>
      <c r="AB5715" s="7"/>
    </row>
    <row r="5716" ht="15.75" customHeight="1">
      <c r="A5716" s="26"/>
      <c r="B5716" s="22"/>
      <c r="C5716" s="28"/>
      <c r="D5716" s="28"/>
      <c r="E5716" s="26"/>
      <c r="F5716" s="22"/>
      <c r="G5716" s="20"/>
      <c r="H5716" s="22"/>
      <c r="I5716" s="22"/>
      <c r="J5716" s="22"/>
      <c r="K5716" s="22"/>
      <c r="L5716" s="22"/>
      <c r="M5716" s="33"/>
      <c r="N5716" s="33"/>
      <c r="O5716" s="20"/>
      <c r="P5716" s="32"/>
      <c r="Q5716" s="30"/>
      <c r="R5716" s="22"/>
      <c r="S5716" s="22"/>
      <c r="T5716" s="22"/>
      <c r="U5716" s="9"/>
      <c r="V5716" s="8"/>
      <c r="W5716" s="8"/>
      <c r="X5716" s="8"/>
      <c r="Y5716" s="8"/>
      <c r="Z5716" s="7"/>
      <c r="AA5716" s="7"/>
      <c r="AB5716" s="7"/>
    </row>
    <row r="5717" ht="15.75" customHeight="1">
      <c r="A5717" s="26"/>
      <c r="B5717" s="22"/>
      <c r="C5717" s="28"/>
      <c r="D5717" s="28"/>
      <c r="E5717" s="26"/>
      <c r="F5717" s="22"/>
      <c r="G5717" s="20"/>
      <c r="H5717" s="22"/>
      <c r="I5717" s="22"/>
      <c r="J5717" s="22"/>
      <c r="K5717" s="22"/>
      <c r="L5717" s="22"/>
      <c r="M5717" s="33"/>
      <c r="N5717" s="33"/>
      <c r="O5717" s="20"/>
      <c r="P5717" s="32"/>
      <c r="Q5717" s="30"/>
      <c r="R5717" s="22"/>
      <c r="S5717" s="22"/>
      <c r="T5717" s="22"/>
      <c r="U5717" s="9"/>
      <c r="V5717" s="8"/>
      <c r="W5717" s="8"/>
      <c r="X5717" s="8"/>
      <c r="Y5717" s="8"/>
      <c r="Z5717" s="7"/>
      <c r="AA5717" s="7"/>
      <c r="AB5717" s="7"/>
    </row>
    <row r="5718" ht="15.75" customHeight="1">
      <c r="A5718" s="26"/>
      <c r="B5718" s="22"/>
      <c r="C5718" s="28"/>
      <c r="D5718" s="28"/>
      <c r="E5718" s="26"/>
      <c r="F5718" s="22"/>
      <c r="G5718" s="20"/>
      <c r="H5718" s="22"/>
      <c r="I5718" s="22"/>
      <c r="J5718" s="22"/>
      <c r="K5718" s="22"/>
      <c r="L5718" s="22"/>
      <c r="M5718" s="33"/>
      <c r="N5718" s="33"/>
      <c r="O5718" s="20"/>
      <c r="P5718" s="32"/>
      <c r="Q5718" s="30"/>
      <c r="R5718" s="22"/>
      <c r="S5718" s="22"/>
      <c r="T5718" s="22"/>
      <c r="U5718" s="9"/>
      <c r="V5718" s="8"/>
      <c r="W5718" s="8"/>
      <c r="X5718" s="8"/>
      <c r="Y5718" s="8"/>
      <c r="Z5718" s="7"/>
      <c r="AA5718" s="7"/>
      <c r="AB5718" s="7"/>
    </row>
    <row r="5719" ht="15.75" customHeight="1">
      <c r="A5719" s="26"/>
      <c r="B5719" s="22"/>
      <c r="C5719" s="28"/>
      <c r="D5719" s="28"/>
      <c r="E5719" s="26"/>
      <c r="F5719" s="22"/>
      <c r="G5719" s="20"/>
      <c r="H5719" s="22"/>
      <c r="I5719" s="22"/>
      <c r="J5719" s="22"/>
      <c r="K5719" s="22"/>
      <c r="L5719" s="22"/>
      <c r="M5719" s="33"/>
      <c r="N5719" s="33"/>
      <c r="O5719" s="20"/>
      <c r="P5719" s="32"/>
      <c r="Q5719" s="30"/>
      <c r="R5719" s="22"/>
      <c r="S5719" s="22"/>
      <c r="T5719" s="22"/>
      <c r="U5719" s="9"/>
      <c r="V5719" s="8"/>
      <c r="W5719" s="8"/>
      <c r="X5719" s="8"/>
      <c r="Y5719" s="8"/>
      <c r="Z5719" s="7"/>
      <c r="AA5719" s="7"/>
      <c r="AB5719" s="7"/>
    </row>
    <row r="5720" ht="15.75" customHeight="1">
      <c r="A5720" s="26"/>
      <c r="B5720" s="22"/>
      <c r="C5720" s="28"/>
      <c r="D5720" s="28"/>
      <c r="E5720" s="26"/>
      <c r="F5720" s="22"/>
      <c r="G5720" s="20"/>
      <c r="H5720" s="22"/>
      <c r="I5720" s="22"/>
      <c r="J5720" s="22"/>
      <c r="K5720" s="22"/>
      <c r="L5720" s="22"/>
      <c r="M5720" s="33"/>
      <c r="N5720" s="33"/>
      <c r="O5720" s="20"/>
      <c r="P5720" s="32"/>
      <c r="Q5720" s="30"/>
      <c r="R5720" s="22"/>
      <c r="S5720" s="22"/>
      <c r="T5720" s="22"/>
      <c r="U5720" s="9"/>
      <c r="V5720" s="8"/>
      <c r="W5720" s="8"/>
      <c r="X5720" s="8"/>
      <c r="Y5720" s="8"/>
      <c r="Z5720" s="7"/>
      <c r="AA5720" s="7"/>
      <c r="AB5720" s="7"/>
    </row>
    <row r="5721" ht="15.75" customHeight="1">
      <c r="A5721" s="26"/>
      <c r="B5721" s="22"/>
      <c r="C5721" s="28"/>
      <c r="D5721" s="28"/>
      <c r="E5721" s="26"/>
      <c r="F5721" s="22"/>
      <c r="G5721" s="20"/>
      <c r="H5721" s="22"/>
      <c r="I5721" s="22"/>
      <c r="J5721" s="22"/>
      <c r="K5721" s="22"/>
      <c r="L5721" s="22"/>
      <c r="M5721" s="33"/>
      <c r="N5721" s="33"/>
      <c r="O5721" s="20"/>
      <c r="P5721" s="32"/>
      <c r="Q5721" s="30"/>
      <c r="R5721" s="22"/>
      <c r="S5721" s="22"/>
      <c r="T5721" s="22"/>
      <c r="U5721" s="9"/>
      <c r="V5721" s="8"/>
      <c r="W5721" s="8"/>
      <c r="X5721" s="8"/>
      <c r="Y5721" s="8"/>
      <c r="Z5721" s="7"/>
      <c r="AA5721" s="7"/>
      <c r="AB5721" s="7"/>
    </row>
    <row r="5722" ht="15.75" customHeight="1">
      <c r="A5722" s="26"/>
      <c r="B5722" s="22"/>
      <c r="C5722" s="28"/>
      <c r="D5722" s="28"/>
      <c r="E5722" s="26"/>
      <c r="F5722" s="22"/>
      <c r="G5722" s="20"/>
      <c r="H5722" s="22"/>
      <c r="I5722" s="22"/>
      <c r="J5722" s="22"/>
      <c r="K5722" s="22"/>
      <c r="L5722" s="22"/>
      <c r="M5722" s="33"/>
      <c r="N5722" s="33"/>
      <c r="O5722" s="20"/>
      <c r="P5722" s="32"/>
      <c r="Q5722" s="30"/>
      <c r="R5722" s="22"/>
      <c r="S5722" s="22"/>
      <c r="T5722" s="22"/>
      <c r="U5722" s="9"/>
      <c r="V5722" s="8"/>
      <c r="W5722" s="8"/>
      <c r="X5722" s="8"/>
      <c r="Y5722" s="8"/>
      <c r="Z5722" s="7"/>
      <c r="AA5722" s="7"/>
      <c r="AB5722" s="7"/>
    </row>
    <row r="5723" ht="15.75" customHeight="1">
      <c r="A5723" s="26"/>
      <c r="B5723" s="22"/>
      <c r="C5723" s="28"/>
      <c r="D5723" s="28"/>
      <c r="E5723" s="26"/>
      <c r="F5723" s="22"/>
      <c r="G5723" s="20"/>
      <c r="H5723" s="22"/>
      <c r="I5723" s="22"/>
      <c r="J5723" s="22"/>
      <c r="K5723" s="22"/>
      <c r="L5723" s="22"/>
      <c r="M5723" s="33"/>
      <c r="N5723" s="33"/>
      <c r="O5723" s="20"/>
      <c r="P5723" s="32"/>
      <c r="Q5723" s="30"/>
      <c r="R5723" s="22"/>
      <c r="S5723" s="22"/>
      <c r="T5723" s="22"/>
      <c r="U5723" s="9"/>
      <c r="V5723" s="8"/>
      <c r="W5723" s="8"/>
      <c r="X5723" s="8"/>
      <c r="Y5723" s="8"/>
      <c r="Z5723" s="7"/>
      <c r="AA5723" s="7"/>
      <c r="AB5723" s="7"/>
    </row>
    <row r="5724" ht="15.75" customHeight="1">
      <c r="A5724" s="26"/>
      <c r="B5724" s="22"/>
      <c r="C5724" s="28"/>
      <c r="D5724" s="28"/>
      <c r="E5724" s="26"/>
      <c r="F5724" s="22"/>
      <c r="G5724" s="20"/>
      <c r="H5724" s="22"/>
      <c r="I5724" s="22"/>
      <c r="J5724" s="22"/>
      <c r="K5724" s="22"/>
      <c r="L5724" s="22"/>
      <c r="M5724" s="33"/>
      <c r="N5724" s="33"/>
      <c r="O5724" s="20"/>
      <c r="P5724" s="32"/>
      <c r="Q5724" s="30"/>
      <c r="R5724" s="22"/>
      <c r="S5724" s="22"/>
      <c r="T5724" s="22"/>
      <c r="U5724" s="9"/>
      <c r="V5724" s="8"/>
      <c r="W5724" s="8"/>
      <c r="X5724" s="8"/>
      <c r="Y5724" s="8"/>
      <c r="Z5724" s="7"/>
      <c r="AA5724" s="7"/>
      <c r="AB5724" s="7"/>
    </row>
    <row r="5725" ht="15.75" customHeight="1">
      <c r="A5725" s="26"/>
      <c r="B5725" s="22"/>
      <c r="C5725" s="28"/>
      <c r="D5725" s="28"/>
      <c r="E5725" s="26"/>
      <c r="F5725" s="22"/>
      <c r="G5725" s="20"/>
      <c r="H5725" s="22"/>
      <c r="I5725" s="22"/>
      <c r="J5725" s="22"/>
      <c r="K5725" s="22"/>
      <c r="L5725" s="22"/>
      <c r="M5725" s="33"/>
      <c r="N5725" s="33"/>
      <c r="O5725" s="20"/>
      <c r="P5725" s="32"/>
      <c r="Q5725" s="30"/>
      <c r="R5725" s="22"/>
      <c r="S5725" s="22"/>
      <c r="T5725" s="22"/>
      <c r="U5725" s="9"/>
      <c r="V5725" s="8"/>
      <c r="W5725" s="8"/>
      <c r="X5725" s="8"/>
      <c r="Y5725" s="8"/>
      <c r="Z5725" s="7"/>
      <c r="AA5725" s="7"/>
      <c r="AB5725" s="7"/>
    </row>
    <row r="5726" ht="15.75" customHeight="1">
      <c r="A5726" s="26"/>
      <c r="B5726" s="22"/>
      <c r="C5726" s="28"/>
      <c r="D5726" s="28"/>
      <c r="E5726" s="26"/>
      <c r="F5726" s="22"/>
      <c r="G5726" s="20"/>
      <c r="H5726" s="22"/>
      <c r="I5726" s="22"/>
      <c r="J5726" s="22"/>
      <c r="K5726" s="22"/>
      <c r="L5726" s="22"/>
      <c r="M5726" s="33"/>
      <c r="N5726" s="33"/>
      <c r="O5726" s="20"/>
      <c r="P5726" s="32"/>
      <c r="Q5726" s="30"/>
      <c r="R5726" s="22"/>
      <c r="S5726" s="22"/>
      <c r="T5726" s="22"/>
      <c r="U5726" s="9"/>
      <c r="V5726" s="8"/>
      <c r="W5726" s="8"/>
      <c r="X5726" s="8"/>
      <c r="Y5726" s="8"/>
      <c r="Z5726" s="7"/>
      <c r="AA5726" s="7"/>
      <c r="AB5726" s="7"/>
    </row>
    <row r="5727" ht="15.75" customHeight="1">
      <c r="A5727" s="26"/>
      <c r="B5727" s="22"/>
      <c r="C5727" s="28"/>
      <c r="D5727" s="28"/>
      <c r="E5727" s="26"/>
      <c r="F5727" s="22"/>
      <c r="G5727" s="20"/>
      <c r="H5727" s="22"/>
      <c r="I5727" s="22"/>
      <c r="J5727" s="22"/>
      <c r="K5727" s="22"/>
      <c r="L5727" s="22"/>
      <c r="M5727" s="33"/>
      <c r="N5727" s="33"/>
      <c r="O5727" s="20"/>
      <c r="P5727" s="32"/>
      <c r="Q5727" s="30"/>
      <c r="R5727" s="22"/>
      <c r="S5727" s="22"/>
      <c r="T5727" s="22"/>
      <c r="U5727" s="9"/>
      <c r="V5727" s="8"/>
      <c r="W5727" s="8"/>
      <c r="X5727" s="8"/>
      <c r="Y5727" s="8"/>
      <c r="Z5727" s="7"/>
      <c r="AA5727" s="7"/>
      <c r="AB5727" s="7"/>
    </row>
    <row r="5728" ht="15.75" customHeight="1">
      <c r="A5728" s="26"/>
      <c r="B5728" s="22"/>
      <c r="C5728" s="28"/>
      <c r="D5728" s="28"/>
      <c r="E5728" s="26"/>
      <c r="F5728" s="22"/>
      <c r="G5728" s="20"/>
      <c r="H5728" s="22"/>
      <c r="I5728" s="22"/>
      <c r="J5728" s="22"/>
      <c r="K5728" s="22"/>
      <c r="L5728" s="22"/>
      <c r="M5728" s="33"/>
      <c r="N5728" s="33"/>
      <c r="O5728" s="20"/>
      <c r="P5728" s="32"/>
      <c r="Q5728" s="30"/>
      <c r="R5728" s="22"/>
      <c r="S5728" s="22"/>
      <c r="T5728" s="22"/>
      <c r="U5728" s="9"/>
      <c r="V5728" s="8"/>
      <c r="W5728" s="8"/>
      <c r="X5728" s="8"/>
      <c r="Y5728" s="8"/>
      <c r="Z5728" s="7"/>
      <c r="AA5728" s="7"/>
      <c r="AB5728" s="7"/>
    </row>
    <row r="5729" ht="15.75" customHeight="1">
      <c r="A5729" s="26"/>
      <c r="B5729" s="22"/>
      <c r="C5729" s="28"/>
      <c r="D5729" s="28"/>
      <c r="E5729" s="26"/>
      <c r="F5729" s="22"/>
      <c r="G5729" s="20"/>
      <c r="H5729" s="22"/>
      <c r="I5729" s="22"/>
      <c r="J5729" s="22"/>
      <c r="K5729" s="22"/>
      <c r="L5729" s="22"/>
      <c r="M5729" s="33"/>
      <c r="N5729" s="33"/>
      <c r="O5729" s="20"/>
      <c r="P5729" s="32"/>
      <c r="Q5729" s="30"/>
      <c r="R5729" s="22"/>
      <c r="S5729" s="22"/>
      <c r="T5729" s="22"/>
      <c r="U5729" s="9"/>
      <c r="V5729" s="8"/>
      <c r="W5729" s="8"/>
      <c r="X5729" s="8"/>
      <c r="Y5729" s="8"/>
      <c r="Z5729" s="7"/>
      <c r="AA5729" s="7"/>
      <c r="AB5729" s="7"/>
    </row>
    <row r="5730" ht="15.75" customHeight="1">
      <c r="A5730" s="26"/>
      <c r="B5730" s="22"/>
      <c r="C5730" s="28"/>
      <c r="D5730" s="28"/>
      <c r="E5730" s="26"/>
      <c r="F5730" s="22"/>
      <c r="G5730" s="20"/>
      <c r="H5730" s="22"/>
      <c r="I5730" s="22"/>
      <c r="J5730" s="22"/>
      <c r="K5730" s="22"/>
      <c r="L5730" s="22"/>
      <c r="M5730" s="33"/>
      <c r="N5730" s="33"/>
      <c r="O5730" s="20"/>
      <c r="P5730" s="32"/>
      <c r="Q5730" s="30"/>
      <c r="R5730" s="22"/>
      <c r="S5730" s="22"/>
      <c r="T5730" s="22"/>
      <c r="U5730" s="9"/>
      <c r="V5730" s="8"/>
      <c r="W5730" s="8"/>
      <c r="X5730" s="8"/>
      <c r="Y5730" s="8"/>
      <c r="Z5730" s="7"/>
      <c r="AA5730" s="7"/>
      <c r="AB5730" s="7"/>
    </row>
    <row r="5731" ht="15.75" customHeight="1">
      <c r="A5731" s="26"/>
      <c r="B5731" s="22"/>
      <c r="C5731" s="28"/>
      <c r="D5731" s="28"/>
      <c r="E5731" s="26"/>
      <c r="F5731" s="22"/>
      <c r="G5731" s="20"/>
      <c r="H5731" s="22"/>
      <c r="I5731" s="22"/>
      <c r="J5731" s="22"/>
      <c r="K5731" s="22"/>
      <c r="L5731" s="22"/>
      <c r="M5731" s="33"/>
      <c r="N5731" s="33"/>
      <c r="O5731" s="20"/>
      <c r="P5731" s="32"/>
      <c r="Q5731" s="30"/>
      <c r="R5731" s="22"/>
      <c r="S5731" s="22"/>
      <c r="T5731" s="22"/>
      <c r="U5731" s="9"/>
      <c r="V5731" s="8"/>
      <c r="W5731" s="8"/>
      <c r="X5731" s="8"/>
      <c r="Y5731" s="8"/>
      <c r="Z5731" s="7"/>
      <c r="AA5731" s="7"/>
      <c r="AB5731" s="7"/>
    </row>
    <row r="5732" ht="15.75" customHeight="1">
      <c r="A5732" s="26"/>
      <c r="B5732" s="22"/>
      <c r="C5732" s="28"/>
      <c r="D5732" s="28"/>
      <c r="E5732" s="26"/>
      <c r="F5732" s="22"/>
      <c r="G5732" s="20"/>
      <c r="H5732" s="22"/>
      <c r="I5732" s="22"/>
      <c r="J5732" s="22"/>
      <c r="K5732" s="22"/>
      <c r="L5732" s="22"/>
      <c r="M5732" s="33"/>
      <c r="N5732" s="33"/>
      <c r="O5732" s="20"/>
      <c r="P5732" s="32"/>
      <c r="Q5732" s="30"/>
      <c r="R5732" s="22"/>
      <c r="S5732" s="22"/>
      <c r="T5732" s="22"/>
      <c r="U5732" s="9"/>
      <c r="V5732" s="8"/>
      <c r="W5732" s="8"/>
      <c r="X5732" s="8"/>
      <c r="Y5732" s="8"/>
      <c r="Z5732" s="7"/>
      <c r="AA5732" s="7"/>
      <c r="AB5732" s="7"/>
    </row>
    <row r="5733" ht="15.75" customHeight="1">
      <c r="A5733" s="26"/>
      <c r="B5733" s="22"/>
      <c r="C5733" s="28"/>
      <c r="D5733" s="28"/>
      <c r="E5733" s="26"/>
      <c r="F5733" s="22"/>
      <c r="G5733" s="20"/>
      <c r="H5733" s="22"/>
      <c r="I5733" s="22"/>
      <c r="J5733" s="22"/>
      <c r="K5733" s="22"/>
      <c r="L5733" s="22"/>
      <c r="M5733" s="33"/>
      <c r="N5733" s="33"/>
      <c r="O5733" s="20"/>
      <c r="P5733" s="32"/>
      <c r="Q5733" s="30"/>
      <c r="R5733" s="22"/>
      <c r="S5733" s="22"/>
      <c r="T5733" s="22"/>
      <c r="U5733" s="9"/>
      <c r="V5733" s="8"/>
      <c r="W5733" s="8"/>
      <c r="X5733" s="8"/>
      <c r="Y5733" s="8"/>
      <c r="Z5733" s="7"/>
      <c r="AA5733" s="7"/>
      <c r="AB5733" s="7"/>
    </row>
    <row r="5734" ht="15.75" customHeight="1">
      <c r="A5734" s="26"/>
      <c r="B5734" s="22"/>
      <c r="C5734" s="28"/>
      <c r="D5734" s="28"/>
      <c r="E5734" s="26"/>
      <c r="F5734" s="22"/>
      <c r="G5734" s="20"/>
      <c r="H5734" s="22"/>
      <c r="I5734" s="22"/>
      <c r="J5734" s="22"/>
      <c r="K5734" s="22"/>
      <c r="L5734" s="22"/>
      <c r="M5734" s="33"/>
      <c r="N5734" s="33"/>
      <c r="O5734" s="20"/>
      <c r="P5734" s="32"/>
      <c r="Q5734" s="30"/>
      <c r="R5734" s="22"/>
      <c r="S5734" s="22"/>
      <c r="T5734" s="22"/>
      <c r="U5734" s="9"/>
      <c r="V5734" s="8"/>
      <c r="W5734" s="8"/>
      <c r="X5734" s="8"/>
      <c r="Y5734" s="8"/>
      <c r="Z5734" s="7"/>
      <c r="AA5734" s="7"/>
      <c r="AB5734" s="7"/>
    </row>
    <row r="5735" ht="15.75" customHeight="1">
      <c r="A5735" s="26"/>
      <c r="B5735" s="22"/>
      <c r="C5735" s="28"/>
      <c r="D5735" s="28"/>
      <c r="E5735" s="26"/>
      <c r="F5735" s="22"/>
      <c r="G5735" s="20"/>
      <c r="H5735" s="22"/>
      <c r="I5735" s="22"/>
      <c r="J5735" s="22"/>
      <c r="K5735" s="22"/>
      <c r="L5735" s="22"/>
      <c r="M5735" s="33"/>
      <c r="N5735" s="33"/>
      <c r="O5735" s="20"/>
      <c r="P5735" s="32"/>
      <c r="Q5735" s="30"/>
      <c r="R5735" s="22"/>
      <c r="S5735" s="22"/>
      <c r="T5735" s="22"/>
      <c r="U5735" s="9"/>
      <c r="V5735" s="8"/>
      <c r="W5735" s="8"/>
      <c r="X5735" s="8"/>
      <c r="Y5735" s="8"/>
      <c r="Z5735" s="7"/>
      <c r="AA5735" s="7"/>
      <c r="AB5735" s="7"/>
    </row>
    <row r="5736" ht="15.75" customHeight="1">
      <c r="A5736" s="26"/>
      <c r="B5736" s="22"/>
      <c r="C5736" s="28"/>
      <c r="D5736" s="28"/>
      <c r="E5736" s="26"/>
      <c r="F5736" s="22"/>
      <c r="G5736" s="20"/>
      <c r="H5736" s="22"/>
      <c r="I5736" s="22"/>
      <c r="J5736" s="22"/>
      <c r="K5736" s="22"/>
      <c r="L5736" s="22"/>
      <c r="M5736" s="33"/>
      <c r="N5736" s="33"/>
      <c r="O5736" s="20"/>
      <c r="P5736" s="32"/>
      <c r="Q5736" s="30"/>
      <c r="R5736" s="22"/>
      <c r="S5736" s="22"/>
      <c r="T5736" s="22"/>
      <c r="U5736" s="9"/>
      <c r="V5736" s="8"/>
      <c r="W5736" s="8"/>
      <c r="X5736" s="8"/>
      <c r="Y5736" s="8"/>
      <c r="Z5736" s="7"/>
      <c r="AA5736" s="7"/>
      <c r="AB5736" s="7"/>
    </row>
    <row r="5737" ht="15.75" customHeight="1">
      <c r="A5737" s="26"/>
      <c r="B5737" s="22"/>
      <c r="C5737" s="28"/>
      <c r="D5737" s="28"/>
      <c r="E5737" s="26"/>
      <c r="F5737" s="22"/>
      <c r="G5737" s="20"/>
      <c r="H5737" s="22"/>
      <c r="I5737" s="22"/>
      <c r="J5737" s="22"/>
      <c r="K5737" s="22"/>
      <c r="L5737" s="22"/>
      <c r="M5737" s="33"/>
      <c r="N5737" s="33"/>
      <c r="O5737" s="20"/>
      <c r="P5737" s="32"/>
      <c r="Q5737" s="30"/>
      <c r="R5737" s="22"/>
      <c r="S5737" s="22"/>
      <c r="T5737" s="22"/>
      <c r="U5737" s="9"/>
      <c r="V5737" s="8"/>
      <c r="W5737" s="8"/>
      <c r="X5737" s="8"/>
      <c r="Y5737" s="8"/>
      <c r="Z5737" s="7"/>
      <c r="AA5737" s="7"/>
      <c r="AB5737" s="7"/>
    </row>
    <row r="5738" ht="15.75" customHeight="1">
      <c r="A5738" s="26"/>
      <c r="B5738" s="22"/>
      <c r="C5738" s="28"/>
      <c r="D5738" s="28"/>
      <c r="E5738" s="26"/>
      <c r="F5738" s="22"/>
      <c r="G5738" s="20"/>
      <c r="H5738" s="22"/>
      <c r="I5738" s="22"/>
      <c r="J5738" s="22"/>
      <c r="K5738" s="22"/>
      <c r="L5738" s="22"/>
      <c r="M5738" s="33"/>
      <c r="N5738" s="33"/>
      <c r="O5738" s="20"/>
      <c r="P5738" s="32"/>
      <c r="Q5738" s="30"/>
      <c r="R5738" s="22"/>
      <c r="S5738" s="22"/>
      <c r="T5738" s="22"/>
      <c r="U5738" s="9"/>
      <c r="V5738" s="8"/>
      <c r="W5738" s="8"/>
      <c r="X5738" s="8"/>
      <c r="Y5738" s="8"/>
      <c r="Z5738" s="7"/>
      <c r="AA5738" s="7"/>
      <c r="AB5738" s="7"/>
    </row>
    <row r="5739" ht="15.75" customHeight="1">
      <c r="A5739" s="26"/>
      <c r="B5739" s="22"/>
      <c r="C5739" s="28"/>
      <c r="D5739" s="28"/>
      <c r="E5739" s="26"/>
      <c r="F5739" s="22"/>
      <c r="G5739" s="20"/>
      <c r="H5739" s="22"/>
      <c r="I5739" s="22"/>
      <c r="J5739" s="22"/>
      <c r="K5739" s="22"/>
      <c r="L5739" s="22"/>
      <c r="M5739" s="33"/>
      <c r="N5739" s="33"/>
      <c r="O5739" s="20"/>
      <c r="P5739" s="32"/>
      <c r="Q5739" s="30"/>
      <c r="R5739" s="22"/>
      <c r="S5739" s="22"/>
      <c r="T5739" s="22"/>
      <c r="U5739" s="9"/>
      <c r="V5739" s="8"/>
      <c r="W5739" s="8"/>
      <c r="X5739" s="8"/>
      <c r="Y5739" s="8"/>
      <c r="Z5739" s="7"/>
      <c r="AA5739" s="7"/>
      <c r="AB5739" s="7"/>
    </row>
    <row r="5740" ht="15.75" customHeight="1">
      <c r="A5740" s="26"/>
      <c r="B5740" s="22"/>
      <c r="C5740" s="28"/>
      <c r="D5740" s="28"/>
      <c r="E5740" s="26"/>
      <c r="F5740" s="22"/>
      <c r="G5740" s="20"/>
      <c r="H5740" s="22"/>
      <c r="I5740" s="22"/>
      <c r="J5740" s="22"/>
      <c r="K5740" s="22"/>
      <c r="L5740" s="22"/>
      <c r="M5740" s="33"/>
      <c r="N5740" s="33"/>
      <c r="O5740" s="20"/>
      <c r="P5740" s="32"/>
      <c r="Q5740" s="30"/>
      <c r="R5740" s="22"/>
      <c r="S5740" s="22"/>
      <c r="T5740" s="22"/>
      <c r="U5740" s="9"/>
      <c r="V5740" s="8"/>
      <c r="W5740" s="8"/>
      <c r="X5740" s="8"/>
      <c r="Y5740" s="8"/>
      <c r="Z5740" s="7"/>
      <c r="AA5740" s="7"/>
      <c r="AB5740" s="7"/>
    </row>
    <row r="5741" ht="15.75" customHeight="1">
      <c r="A5741" s="26"/>
      <c r="B5741" s="22"/>
      <c r="C5741" s="28"/>
      <c r="D5741" s="28"/>
      <c r="E5741" s="26"/>
      <c r="F5741" s="22"/>
      <c r="G5741" s="20"/>
      <c r="H5741" s="22"/>
      <c r="I5741" s="22"/>
      <c r="J5741" s="22"/>
      <c r="K5741" s="22"/>
      <c r="L5741" s="22"/>
      <c r="M5741" s="33"/>
      <c r="N5741" s="33"/>
      <c r="O5741" s="20"/>
      <c r="P5741" s="32"/>
      <c r="Q5741" s="30"/>
      <c r="R5741" s="22"/>
      <c r="S5741" s="22"/>
      <c r="T5741" s="22"/>
      <c r="U5741" s="9"/>
      <c r="V5741" s="8"/>
      <c r="W5741" s="8"/>
      <c r="X5741" s="8"/>
      <c r="Y5741" s="8"/>
      <c r="Z5741" s="7"/>
      <c r="AA5741" s="7"/>
      <c r="AB5741" s="7"/>
    </row>
    <row r="5742" ht="15.75" customHeight="1">
      <c r="A5742" s="26"/>
      <c r="B5742" s="22"/>
      <c r="C5742" s="28"/>
      <c r="D5742" s="28"/>
      <c r="E5742" s="26"/>
      <c r="F5742" s="22"/>
      <c r="G5742" s="20"/>
      <c r="H5742" s="22"/>
      <c r="I5742" s="22"/>
      <c r="J5742" s="22"/>
      <c r="K5742" s="22"/>
      <c r="L5742" s="22"/>
      <c r="M5742" s="33"/>
      <c r="N5742" s="33"/>
      <c r="O5742" s="20"/>
      <c r="P5742" s="32"/>
      <c r="Q5742" s="30"/>
      <c r="R5742" s="22"/>
      <c r="S5742" s="22"/>
      <c r="T5742" s="22"/>
      <c r="U5742" s="9"/>
      <c r="V5742" s="8"/>
      <c r="W5742" s="8"/>
      <c r="X5742" s="8"/>
      <c r="Y5742" s="8"/>
      <c r="Z5742" s="7"/>
      <c r="AA5742" s="7"/>
      <c r="AB5742" s="7"/>
    </row>
    <row r="5743" ht="15.75" customHeight="1">
      <c r="A5743" s="26"/>
      <c r="B5743" s="22"/>
      <c r="C5743" s="28"/>
      <c r="D5743" s="28"/>
      <c r="E5743" s="26"/>
      <c r="F5743" s="22"/>
      <c r="G5743" s="20"/>
      <c r="H5743" s="22"/>
      <c r="I5743" s="22"/>
      <c r="J5743" s="22"/>
      <c r="K5743" s="22"/>
      <c r="L5743" s="22"/>
      <c r="M5743" s="33"/>
      <c r="N5743" s="33"/>
      <c r="O5743" s="20"/>
      <c r="P5743" s="32"/>
      <c r="Q5743" s="30"/>
      <c r="R5743" s="22"/>
      <c r="S5743" s="22"/>
      <c r="T5743" s="22"/>
      <c r="U5743" s="9"/>
      <c r="V5743" s="8"/>
      <c r="W5743" s="8"/>
      <c r="X5743" s="8"/>
      <c r="Y5743" s="8"/>
      <c r="Z5743" s="7"/>
      <c r="AA5743" s="7"/>
      <c r="AB5743" s="7"/>
    </row>
    <row r="5744" ht="15.75" customHeight="1">
      <c r="A5744" s="26"/>
      <c r="B5744" s="22"/>
      <c r="C5744" s="28"/>
      <c r="D5744" s="28"/>
      <c r="E5744" s="26"/>
      <c r="F5744" s="22"/>
      <c r="G5744" s="20"/>
      <c r="H5744" s="22"/>
      <c r="I5744" s="22"/>
      <c r="J5744" s="22"/>
      <c r="K5744" s="22"/>
      <c r="L5744" s="22"/>
      <c r="M5744" s="33"/>
      <c r="N5744" s="33"/>
      <c r="O5744" s="20"/>
      <c r="P5744" s="32"/>
      <c r="Q5744" s="30"/>
      <c r="R5744" s="22"/>
      <c r="S5744" s="22"/>
      <c r="T5744" s="22"/>
      <c r="U5744" s="9"/>
      <c r="V5744" s="8"/>
      <c r="W5744" s="8"/>
      <c r="X5744" s="8"/>
      <c r="Y5744" s="8"/>
      <c r="Z5744" s="7"/>
      <c r="AA5744" s="7"/>
      <c r="AB5744" s="7"/>
    </row>
    <row r="5745" ht="15.75" customHeight="1">
      <c r="A5745" s="26"/>
      <c r="B5745" s="22"/>
      <c r="C5745" s="28"/>
      <c r="D5745" s="28"/>
      <c r="E5745" s="26"/>
      <c r="F5745" s="22"/>
      <c r="G5745" s="20"/>
      <c r="H5745" s="22"/>
      <c r="I5745" s="22"/>
      <c r="J5745" s="22"/>
      <c r="K5745" s="22"/>
      <c r="L5745" s="22"/>
      <c r="M5745" s="33"/>
      <c r="N5745" s="33"/>
      <c r="O5745" s="20"/>
      <c r="P5745" s="32"/>
      <c r="Q5745" s="30"/>
      <c r="R5745" s="22"/>
      <c r="S5745" s="22"/>
      <c r="T5745" s="22"/>
      <c r="U5745" s="9"/>
      <c r="V5745" s="8"/>
      <c r="W5745" s="8"/>
      <c r="X5745" s="8"/>
      <c r="Y5745" s="8"/>
      <c r="Z5745" s="7"/>
      <c r="AA5745" s="7"/>
      <c r="AB5745" s="7"/>
    </row>
    <row r="5746" ht="15.75" customHeight="1">
      <c r="A5746" s="26"/>
      <c r="B5746" s="22"/>
      <c r="C5746" s="28"/>
      <c r="D5746" s="28"/>
      <c r="E5746" s="26"/>
      <c r="F5746" s="22"/>
      <c r="G5746" s="20"/>
      <c r="H5746" s="22"/>
      <c r="I5746" s="22"/>
      <c r="J5746" s="22"/>
      <c r="K5746" s="22"/>
      <c r="L5746" s="22"/>
      <c r="M5746" s="33"/>
      <c r="N5746" s="33"/>
      <c r="O5746" s="20"/>
      <c r="P5746" s="32"/>
      <c r="Q5746" s="30"/>
      <c r="R5746" s="22"/>
      <c r="S5746" s="22"/>
      <c r="T5746" s="22"/>
      <c r="U5746" s="9"/>
      <c r="V5746" s="8"/>
      <c r="W5746" s="8"/>
      <c r="X5746" s="8"/>
      <c r="Y5746" s="8"/>
      <c r="Z5746" s="7"/>
      <c r="AA5746" s="7"/>
      <c r="AB5746" s="7"/>
    </row>
    <row r="5747" ht="15.75" customHeight="1">
      <c r="A5747" s="26"/>
      <c r="B5747" s="22"/>
      <c r="C5747" s="28"/>
      <c r="D5747" s="28"/>
      <c r="E5747" s="26"/>
      <c r="F5747" s="22"/>
      <c r="G5747" s="20"/>
      <c r="H5747" s="22"/>
      <c r="I5747" s="22"/>
      <c r="J5747" s="22"/>
      <c r="K5747" s="22"/>
      <c r="L5747" s="22"/>
      <c r="M5747" s="33"/>
      <c r="N5747" s="33"/>
      <c r="O5747" s="20"/>
      <c r="P5747" s="32"/>
      <c r="Q5747" s="30"/>
      <c r="R5747" s="22"/>
      <c r="S5747" s="22"/>
      <c r="T5747" s="22"/>
      <c r="U5747" s="9"/>
      <c r="V5747" s="8"/>
      <c r="W5747" s="8"/>
      <c r="X5747" s="8"/>
      <c r="Y5747" s="8"/>
      <c r="Z5747" s="7"/>
      <c r="AA5747" s="7"/>
      <c r="AB5747" s="7"/>
    </row>
    <row r="5748" ht="15.75" customHeight="1">
      <c r="A5748" s="26"/>
      <c r="B5748" s="22"/>
      <c r="C5748" s="28"/>
      <c r="D5748" s="28"/>
      <c r="E5748" s="26"/>
      <c r="F5748" s="22"/>
      <c r="G5748" s="20"/>
      <c r="H5748" s="22"/>
      <c r="I5748" s="22"/>
      <c r="J5748" s="22"/>
      <c r="K5748" s="22"/>
      <c r="L5748" s="22"/>
      <c r="M5748" s="33"/>
      <c r="N5748" s="33"/>
      <c r="O5748" s="20"/>
      <c r="P5748" s="32"/>
      <c r="Q5748" s="30"/>
      <c r="R5748" s="22"/>
      <c r="S5748" s="22"/>
      <c r="T5748" s="22"/>
      <c r="U5748" s="9"/>
      <c r="V5748" s="8"/>
      <c r="W5748" s="8"/>
      <c r="X5748" s="8"/>
      <c r="Y5748" s="8"/>
      <c r="Z5748" s="7"/>
      <c r="AA5748" s="7"/>
      <c r="AB5748" s="7"/>
    </row>
    <row r="5749" ht="15.75" customHeight="1">
      <c r="A5749" s="26"/>
      <c r="B5749" s="22"/>
      <c r="C5749" s="28"/>
      <c r="D5749" s="28"/>
      <c r="E5749" s="26"/>
      <c r="F5749" s="22"/>
      <c r="G5749" s="20"/>
      <c r="H5749" s="22"/>
      <c r="I5749" s="22"/>
      <c r="J5749" s="22"/>
      <c r="K5749" s="22"/>
      <c r="L5749" s="22"/>
      <c r="M5749" s="33"/>
      <c r="N5749" s="33"/>
      <c r="O5749" s="20"/>
      <c r="P5749" s="32"/>
      <c r="Q5749" s="30"/>
      <c r="R5749" s="22"/>
      <c r="S5749" s="22"/>
      <c r="T5749" s="22"/>
      <c r="U5749" s="9"/>
      <c r="V5749" s="8"/>
      <c r="W5749" s="8"/>
      <c r="X5749" s="8"/>
      <c r="Y5749" s="8"/>
      <c r="Z5749" s="7"/>
      <c r="AA5749" s="7"/>
      <c r="AB5749" s="7"/>
    </row>
    <row r="5750" ht="15.75" customHeight="1">
      <c r="A5750" s="26"/>
      <c r="B5750" s="22"/>
      <c r="C5750" s="28"/>
      <c r="D5750" s="28"/>
      <c r="E5750" s="26"/>
      <c r="F5750" s="22"/>
      <c r="G5750" s="20"/>
      <c r="H5750" s="22"/>
      <c r="I5750" s="22"/>
      <c r="J5750" s="22"/>
      <c r="K5750" s="22"/>
      <c r="L5750" s="22"/>
      <c r="M5750" s="33"/>
      <c r="N5750" s="33"/>
      <c r="O5750" s="20"/>
      <c r="P5750" s="32"/>
      <c r="Q5750" s="30"/>
      <c r="R5750" s="22"/>
      <c r="S5750" s="22"/>
      <c r="T5750" s="22"/>
      <c r="U5750" s="9"/>
      <c r="V5750" s="8"/>
      <c r="W5750" s="8"/>
      <c r="X5750" s="8"/>
      <c r="Y5750" s="8"/>
      <c r="Z5750" s="7"/>
      <c r="AA5750" s="7"/>
      <c r="AB5750" s="7"/>
    </row>
    <row r="5751" ht="15.75" customHeight="1">
      <c r="A5751" s="26"/>
      <c r="B5751" s="22"/>
      <c r="C5751" s="28"/>
      <c r="D5751" s="28"/>
      <c r="E5751" s="26"/>
      <c r="F5751" s="22"/>
      <c r="G5751" s="20"/>
      <c r="H5751" s="22"/>
      <c r="I5751" s="22"/>
      <c r="J5751" s="22"/>
      <c r="K5751" s="22"/>
      <c r="L5751" s="22"/>
      <c r="M5751" s="33"/>
      <c r="N5751" s="33"/>
      <c r="O5751" s="20"/>
      <c r="P5751" s="32"/>
      <c r="Q5751" s="30"/>
      <c r="R5751" s="22"/>
      <c r="S5751" s="22"/>
      <c r="T5751" s="22"/>
      <c r="U5751" s="9"/>
      <c r="V5751" s="8"/>
      <c r="W5751" s="8"/>
      <c r="X5751" s="8"/>
      <c r="Y5751" s="8"/>
      <c r="Z5751" s="7"/>
      <c r="AA5751" s="7"/>
      <c r="AB5751" s="7"/>
    </row>
    <row r="5752" ht="15.75" customHeight="1">
      <c r="A5752" s="26"/>
      <c r="B5752" s="22"/>
      <c r="C5752" s="28"/>
      <c r="D5752" s="28"/>
      <c r="E5752" s="26"/>
      <c r="F5752" s="22"/>
      <c r="G5752" s="20"/>
      <c r="H5752" s="22"/>
      <c r="I5752" s="22"/>
      <c r="J5752" s="22"/>
      <c r="K5752" s="22"/>
      <c r="L5752" s="22"/>
      <c r="M5752" s="33"/>
      <c r="N5752" s="33"/>
      <c r="O5752" s="20"/>
      <c r="P5752" s="32"/>
      <c r="Q5752" s="30"/>
      <c r="R5752" s="22"/>
      <c r="S5752" s="22"/>
      <c r="T5752" s="22"/>
      <c r="U5752" s="9"/>
      <c r="V5752" s="8"/>
      <c r="W5752" s="8"/>
      <c r="X5752" s="8"/>
      <c r="Y5752" s="8"/>
      <c r="Z5752" s="7"/>
      <c r="AA5752" s="7"/>
      <c r="AB5752" s="7"/>
    </row>
    <row r="5753" ht="15.75" customHeight="1">
      <c r="A5753" s="26"/>
      <c r="B5753" s="22"/>
      <c r="C5753" s="28"/>
      <c r="D5753" s="28"/>
      <c r="E5753" s="26"/>
      <c r="F5753" s="22"/>
      <c r="G5753" s="20"/>
      <c r="H5753" s="22"/>
      <c r="I5753" s="22"/>
      <c r="J5753" s="22"/>
      <c r="K5753" s="22"/>
      <c r="L5753" s="22"/>
      <c r="M5753" s="33"/>
      <c r="N5753" s="33"/>
      <c r="O5753" s="20"/>
      <c r="P5753" s="32"/>
      <c r="Q5753" s="30"/>
      <c r="R5753" s="22"/>
      <c r="S5753" s="22"/>
      <c r="T5753" s="22"/>
      <c r="U5753" s="9"/>
      <c r="V5753" s="8"/>
      <c r="W5753" s="8"/>
      <c r="X5753" s="8"/>
      <c r="Y5753" s="8"/>
      <c r="Z5753" s="7"/>
      <c r="AA5753" s="7"/>
      <c r="AB5753" s="7"/>
    </row>
    <row r="5754" ht="15.75" customHeight="1">
      <c r="A5754" s="26"/>
      <c r="B5754" s="22"/>
      <c r="C5754" s="28"/>
      <c r="D5754" s="28"/>
      <c r="E5754" s="26"/>
      <c r="F5754" s="22"/>
      <c r="G5754" s="20"/>
      <c r="H5754" s="22"/>
      <c r="I5754" s="22"/>
      <c r="J5754" s="22"/>
      <c r="K5754" s="22"/>
      <c r="L5754" s="22"/>
      <c r="M5754" s="33"/>
      <c r="N5754" s="33"/>
      <c r="O5754" s="20"/>
      <c r="P5754" s="32"/>
      <c r="Q5754" s="30"/>
      <c r="R5754" s="22"/>
      <c r="S5754" s="22"/>
      <c r="T5754" s="22"/>
      <c r="U5754" s="9"/>
      <c r="V5754" s="8"/>
      <c r="W5754" s="8"/>
      <c r="X5754" s="8"/>
      <c r="Y5754" s="8"/>
      <c r="Z5754" s="7"/>
      <c r="AA5754" s="7"/>
      <c r="AB5754" s="7"/>
    </row>
    <row r="5755" ht="15.75" customHeight="1">
      <c r="A5755" s="26"/>
      <c r="B5755" s="22"/>
      <c r="C5755" s="28"/>
      <c r="D5755" s="28"/>
      <c r="E5755" s="26"/>
      <c r="F5755" s="22"/>
      <c r="G5755" s="20"/>
      <c r="H5755" s="22"/>
      <c r="I5755" s="22"/>
      <c r="J5755" s="22"/>
      <c r="K5755" s="22"/>
      <c r="L5755" s="22"/>
      <c r="M5755" s="33"/>
      <c r="N5755" s="33"/>
      <c r="O5755" s="20"/>
      <c r="P5755" s="32"/>
      <c r="Q5755" s="30"/>
      <c r="R5755" s="22"/>
      <c r="S5755" s="22"/>
      <c r="T5755" s="22"/>
      <c r="U5755" s="9"/>
      <c r="V5755" s="8"/>
      <c r="W5755" s="8"/>
      <c r="X5755" s="8"/>
      <c r="Y5755" s="8"/>
      <c r="Z5755" s="7"/>
      <c r="AA5755" s="7"/>
      <c r="AB5755" s="7"/>
    </row>
    <row r="5756" ht="15.75" customHeight="1">
      <c r="A5756" s="26"/>
      <c r="B5756" s="22"/>
      <c r="C5756" s="28"/>
      <c r="D5756" s="28"/>
      <c r="E5756" s="26"/>
      <c r="F5756" s="22"/>
      <c r="G5756" s="20"/>
      <c r="H5756" s="22"/>
      <c r="I5756" s="22"/>
      <c r="J5756" s="22"/>
      <c r="K5756" s="22"/>
      <c r="L5756" s="22"/>
      <c r="M5756" s="33"/>
      <c r="N5756" s="33"/>
      <c r="O5756" s="20"/>
      <c r="P5756" s="32"/>
      <c r="Q5756" s="30"/>
      <c r="R5756" s="22"/>
      <c r="S5756" s="22"/>
      <c r="T5756" s="22"/>
      <c r="U5756" s="9"/>
      <c r="V5756" s="8"/>
      <c r="W5756" s="8"/>
      <c r="X5756" s="8"/>
      <c r="Y5756" s="8"/>
      <c r="Z5756" s="7"/>
      <c r="AA5756" s="7"/>
      <c r="AB5756" s="7"/>
    </row>
    <row r="5757" ht="15.75" customHeight="1">
      <c r="A5757" s="26"/>
      <c r="B5757" s="22"/>
      <c r="C5757" s="28"/>
      <c r="D5757" s="28"/>
      <c r="E5757" s="26"/>
      <c r="F5757" s="22"/>
      <c r="G5757" s="20"/>
      <c r="H5757" s="22"/>
      <c r="I5757" s="22"/>
      <c r="J5757" s="22"/>
      <c r="K5757" s="22"/>
      <c r="L5757" s="22"/>
      <c r="M5757" s="33"/>
      <c r="N5757" s="33"/>
      <c r="O5757" s="20"/>
      <c r="P5757" s="32"/>
      <c r="Q5757" s="30"/>
      <c r="R5757" s="22"/>
      <c r="S5757" s="22"/>
      <c r="T5757" s="22"/>
      <c r="U5757" s="9"/>
      <c r="V5757" s="8"/>
      <c r="W5757" s="8"/>
      <c r="X5757" s="8"/>
      <c r="Y5757" s="8"/>
      <c r="Z5757" s="7"/>
      <c r="AA5757" s="7"/>
      <c r="AB5757" s="7"/>
    </row>
    <row r="5758" ht="15.75" customHeight="1">
      <c r="A5758" s="26"/>
      <c r="B5758" s="22"/>
      <c r="C5758" s="28"/>
      <c r="D5758" s="28"/>
      <c r="E5758" s="26"/>
      <c r="F5758" s="22"/>
      <c r="G5758" s="20"/>
      <c r="H5758" s="22"/>
      <c r="I5758" s="22"/>
      <c r="J5758" s="22"/>
      <c r="K5758" s="22"/>
      <c r="L5758" s="22"/>
      <c r="M5758" s="33"/>
      <c r="N5758" s="33"/>
      <c r="O5758" s="20"/>
      <c r="P5758" s="32"/>
      <c r="Q5758" s="30"/>
      <c r="R5758" s="22"/>
      <c r="S5758" s="22"/>
      <c r="T5758" s="22"/>
      <c r="U5758" s="9"/>
      <c r="V5758" s="8"/>
      <c r="W5758" s="8"/>
      <c r="X5758" s="8"/>
      <c r="Y5758" s="8"/>
      <c r="Z5758" s="7"/>
      <c r="AA5758" s="7"/>
      <c r="AB5758" s="7"/>
    </row>
    <row r="5759" ht="15.75" customHeight="1">
      <c r="A5759" s="26"/>
      <c r="B5759" s="22"/>
      <c r="C5759" s="28"/>
      <c r="D5759" s="28"/>
      <c r="E5759" s="26"/>
      <c r="F5759" s="22"/>
      <c r="G5759" s="20"/>
      <c r="H5759" s="22"/>
      <c r="I5759" s="22"/>
      <c r="J5759" s="22"/>
      <c r="K5759" s="22"/>
      <c r="L5759" s="22"/>
      <c r="M5759" s="33"/>
      <c r="N5759" s="33"/>
      <c r="O5759" s="20"/>
      <c r="P5759" s="32"/>
      <c r="Q5759" s="30"/>
      <c r="R5759" s="22"/>
      <c r="S5759" s="22"/>
      <c r="T5759" s="22"/>
      <c r="U5759" s="9"/>
      <c r="V5759" s="8"/>
      <c r="W5759" s="8"/>
      <c r="X5759" s="8"/>
      <c r="Y5759" s="8"/>
      <c r="Z5759" s="7"/>
      <c r="AA5759" s="7"/>
      <c r="AB5759" s="7"/>
    </row>
    <row r="5760" ht="15.75" customHeight="1">
      <c r="A5760" s="26"/>
      <c r="B5760" s="22"/>
      <c r="C5760" s="28"/>
      <c r="D5760" s="28"/>
      <c r="E5760" s="26"/>
      <c r="F5760" s="22"/>
      <c r="G5760" s="20"/>
      <c r="H5760" s="22"/>
      <c r="I5760" s="22"/>
      <c r="J5760" s="22"/>
      <c r="K5760" s="22"/>
      <c r="L5760" s="22"/>
      <c r="M5760" s="33"/>
      <c r="N5760" s="33"/>
      <c r="O5760" s="20"/>
      <c r="P5760" s="32"/>
      <c r="Q5760" s="30"/>
      <c r="R5760" s="22"/>
      <c r="S5760" s="22"/>
      <c r="T5760" s="22"/>
      <c r="U5760" s="9"/>
      <c r="V5760" s="8"/>
      <c r="W5760" s="8"/>
      <c r="X5760" s="8"/>
      <c r="Y5760" s="8"/>
      <c r="Z5760" s="7"/>
      <c r="AA5760" s="7"/>
      <c r="AB5760" s="7"/>
    </row>
    <row r="5761" ht="15.75" customHeight="1">
      <c r="A5761" s="26"/>
      <c r="B5761" s="22"/>
      <c r="C5761" s="28"/>
      <c r="D5761" s="28"/>
      <c r="E5761" s="26"/>
      <c r="F5761" s="22"/>
      <c r="G5761" s="20"/>
      <c r="H5761" s="22"/>
      <c r="I5761" s="22"/>
      <c r="J5761" s="22"/>
      <c r="K5761" s="22"/>
      <c r="L5761" s="22"/>
      <c r="M5761" s="33"/>
      <c r="N5761" s="33"/>
      <c r="O5761" s="20"/>
      <c r="P5761" s="32"/>
      <c r="Q5761" s="30"/>
      <c r="R5761" s="22"/>
      <c r="S5761" s="22"/>
      <c r="T5761" s="22"/>
      <c r="U5761" s="9"/>
      <c r="V5761" s="8"/>
      <c r="W5761" s="8"/>
      <c r="X5761" s="8"/>
      <c r="Y5761" s="8"/>
      <c r="Z5761" s="7"/>
      <c r="AA5761" s="7"/>
      <c r="AB5761" s="7"/>
    </row>
    <row r="5762" ht="15.75" customHeight="1">
      <c r="A5762" s="26"/>
      <c r="B5762" s="22"/>
      <c r="C5762" s="28"/>
      <c r="D5762" s="28"/>
      <c r="E5762" s="26"/>
      <c r="F5762" s="22"/>
      <c r="G5762" s="20"/>
      <c r="H5762" s="22"/>
      <c r="I5762" s="22"/>
      <c r="J5762" s="22"/>
      <c r="K5762" s="22"/>
      <c r="L5762" s="22"/>
      <c r="M5762" s="33"/>
      <c r="N5762" s="33"/>
      <c r="O5762" s="20"/>
      <c r="P5762" s="32"/>
      <c r="Q5762" s="30"/>
      <c r="R5762" s="22"/>
      <c r="S5762" s="22"/>
      <c r="T5762" s="22"/>
      <c r="U5762" s="9"/>
      <c r="V5762" s="8"/>
      <c r="W5762" s="8"/>
      <c r="X5762" s="8"/>
      <c r="Y5762" s="8"/>
      <c r="Z5762" s="7"/>
      <c r="AA5762" s="7"/>
      <c r="AB5762" s="7"/>
    </row>
    <row r="5763" ht="15.75" customHeight="1">
      <c r="A5763" s="26"/>
      <c r="B5763" s="22"/>
      <c r="C5763" s="28"/>
      <c r="D5763" s="28"/>
      <c r="E5763" s="26"/>
      <c r="F5763" s="22"/>
      <c r="G5763" s="20"/>
      <c r="H5763" s="22"/>
      <c r="I5763" s="22"/>
      <c r="J5763" s="22"/>
      <c r="K5763" s="22"/>
      <c r="L5763" s="22"/>
      <c r="M5763" s="33"/>
      <c r="N5763" s="33"/>
      <c r="O5763" s="20"/>
      <c r="P5763" s="32"/>
      <c r="Q5763" s="30"/>
      <c r="R5763" s="22"/>
      <c r="S5763" s="22"/>
      <c r="T5763" s="22"/>
      <c r="U5763" s="9"/>
      <c r="V5763" s="8"/>
      <c r="W5763" s="8"/>
      <c r="X5763" s="8"/>
      <c r="Y5763" s="8"/>
      <c r="Z5763" s="7"/>
      <c r="AA5763" s="7"/>
      <c r="AB5763" s="7"/>
    </row>
    <row r="5764" ht="15.75" customHeight="1">
      <c r="A5764" s="26"/>
      <c r="B5764" s="22"/>
      <c r="C5764" s="28"/>
      <c r="D5764" s="28"/>
      <c r="E5764" s="26"/>
      <c r="F5764" s="22"/>
      <c r="G5764" s="20"/>
      <c r="H5764" s="22"/>
      <c r="I5764" s="22"/>
      <c r="J5764" s="22"/>
      <c r="K5764" s="22"/>
      <c r="L5764" s="22"/>
      <c r="M5764" s="33"/>
      <c r="N5764" s="33"/>
      <c r="O5764" s="20"/>
      <c r="P5764" s="32"/>
      <c r="Q5764" s="30"/>
      <c r="R5764" s="22"/>
      <c r="S5764" s="22"/>
      <c r="T5764" s="22"/>
      <c r="U5764" s="9"/>
      <c r="V5764" s="8"/>
      <c r="W5764" s="8"/>
      <c r="X5764" s="8"/>
      <c r="Y5764" s="8"/>
      <c r="Z5764" s="7"/>
      <c r="AA5764" s="7"/>
      <c r="AB5764" s="7"/>
    </row>
    <row r="5765" ht="15.75" customHeight="1">
      <c r="A5765" s="26"/>
      <c r="B5765" s="22"/>
      <c r="C5765" s="28"/>
      <c r="D5765" s="28"/>
      <c r="E5765" s="26"/>
      <c r="F5765" s="22"/>
      <c r="G5765" s="20"/>
      <c r="H5765" s="22"/>
      <c r="I5765" s="22"/>
      <c r="J5765" s="22"/>
      <c r="K5765" s="22"/>
      <c r="L5765" s="22"/>
      <c r="M5765" s="33"/>
      <c r="N5765" s="33"/>
      <c r="O5765" s="20"/>
      <c r="P5765" s="32"/>
      <c r="Q5765" s="30"/>
      <c r="R5765" s="22"/>
      <c r="S5765" s="22"/>
      <c r="T5765" s="22"/>
      <c r="U5765" s="9"/>
      <c r="V5765" s="8"/>
      <c r="W5765" s="8"/>
      <c r="X5765" s="8"/>
      <c r="Y5765" s="8"/>
      <c r="Z5765" s="7"/>
      <c r="AA5765" s="7"/>
      <c r="AB5765" s="7"/>
    </row>
    <row r="5766" ht="15.75" customHeight="1">
      <c r="A5766" s="26"/>
      <c r="B5766" s="22"/>
      <c r="C5766" s="28"/>
      <c r="D5766" s="28"/>
      <c r="E5766" s="26"/>
      <c r="F5766" s="22"/>
      <c r="G5766" s="20"/>
      <c r="H5766" s="22"/>
      <c r="I5766" s="22"/>
      <c r="J5766" s="22"/>
      <c r="K5766" s="22"/>
      <c r="L5766" s="22"/>
      <c r="M5766" s="33"/>
      <c r="N5766" s="33"/>
      <c r="O5766" s="20"/>
      <c r="P5766" s="32"/>
      <c r="Q5766" s="30"/>
      <c r="R5766" s="22"/>
      <c r="S5766" s="22"/>
      <c r="T5766" s="22"/>
      <c r="U5766" s="9"/>
      <c r="V5766" s="8"/>
      <c r="W5766" s="8"/>
      <c r="X5766" s="8"/>
      <c r="Y5766" s="8"/>
      <c r="Z5766" s="7"/>
      <c r="AA5766" s="7"/>
      <c r="AB5766" s="7"/>
    </row>
    <row r="5767" ht="15.75" customHeight="1">
      <c r="A5767" s="26"/>
      <c r="B5767" s="22"/>
      <c r="C5767" s="28"/>
      <c r="D5767" s="28"/>
      <c r="E5767" s="26"/>
      <c r="F5767" s="22"/>
      <c r="G5767" s="20"/>
      <c r="H5767" s="22"/>
      <c r="I5767" s="22"/>
      <c r="J5767" s="22"/>
      <c r="K5767" s="22"/>
      <c r="L5767" s="22"/>
      <c r="M5767" s="33"/>
      <c r="N5767" s="33"/>
      <c r="O5767" s="20"/>
      <c r="P5767" s="32"/>
      <c r="Q5767" s="30"/>
      <c r="R5767" s="22"/>
      <c r="S5767" s="22"/>
      <c r="T5767" s="22"/>
      <c r="U5767" s="9"/>
      <c r="V5767" s="8"/>
      <c r="W5767" s="8"/>
      <c r="X5767" s="8"/>
      <c r="Y5767" s="8"/>
      <c r="Z5767" s="7"/>
      <c r="AA5767" s="7"/>
      <c r="AB5767" s="7"/>
    </row>
    <row r="5768" ht="15.75" customHeight="1">
      <c r="A5768" s="26"/>
      <c r="B5768" s="22"/>
      <c r="C5768" s="28"/>
      <c r="D5768" s="28"/>
      <c r="E5768" s="26"/>
      <c r="F5768" s="22"/>
      <c r="G5768" s="20"/>
      <c r="H5768" s="22"/>
      <c r="I5768" s="22"/>
      <c r="J5768" s="22"/>
      <c r="K5768" s="22"/>
      <c r="L5768" s="22"/>
      <c r="M5768" s="33"/>
      <c r="N5768" s="33"/>
      <c r="O5768" s="20"/>
      <c r="P5768" s="32"/>
      <c r="Q5768" s="30"/>
      <c r="R5768" s="22"/>
      <c r="S5768" s="22"/>
      <c r="T5768" s="22"/>
      <c r="U5768" s="9"/>
      <c r="V5768" s="8"/>
      <c r="W5768" s="8"/>
      <c r="X5768" s="8"/>
      <c r="Y5768" s="8"/>
      <c r="Z5768" s="7"/>
      <c r="AA5768" s="7"/>
      <c r="AB5768" s="7"/>
    </row>
    <row r="5769" ht="15.75" customHeight="1">
      <c r="A5769" s="26"/>
      <c r="B5769" s="22"/>
      <c r="C5769" s="28"/>
      <c r="D5769" s="28"/>
      <c r="E5769" s="26"/>
      <c r="F5769" s="22"/>
      <c r="G5769" s="20"/>
      <c r="H5769" s="22"/>
      <c r="I5769" s="22"/>
      <c r="J5769" s="22"/>
      <c r="K5769" s="22"/>
      <c r="L5769" s="22"/>
      <c r="M5769" s="33"/>
      <c r="N5769" s="33"/>
      <c r="O5769" s="20"/>
      <c r="P5769" s="32"/>
      <c r="Q5769" s="30"/>
      <c r="R5769" s="22"/>
      <c r="S5769" s="22"/>
      <c r="T5769" s="22"/>
      <c r="U5769" s="9"/>
      <c r="V5769" s="8"/>
      <c r="W5769" s="8"/>
      <c r="X5769" s="8"/>
      <c r="Y5769" s="8"/>
      <c r="Z5769" s="7"/>
      <c r="AA5769" s="7"/>
      <c r="AB5769" s="7"/>
    </row>
    <row r="5770" ht="15.75" customHeight="1">
      <c r="A5770" s="26"/>
      <c r="B5770" s="22"/>
      <c r="C5770" s="28"/>
      <c r="D5770" s="28"/>
      <c r="E5770" s="26"/>
      <c r="F5770" s="22"/>
      <c r="G5770" s="20"/>
      <c r="H5770" s="22"/>
      <c r="I5770" s="22"/>
      <c r="J5770" s="22"/>
      <c r="K5770" s="22"/>
      <c r="L5770" s="22"/>
      <c r="M5770" s="33"/>
      <c r="N5770" s="33"/>
      <c r="O5770" s="20"/>
      <c r="P5770" s="32"/>
      <c r="Q5770" s="30"/>
      <c r="R5770" s="22"/>
      <c r="S5770" s="22"/>
      <c r="T5770" s="22"/>
      <c r="U5770" s="9"/>
      <c r="V5770" s="8"/>
      <c r="W5770" s="8"/>
      <c r="X5770" s="8"/>
      <c r="Y5770" s="8"/>
      <c r="Z5770" s="7"/>
      <c r="AA5770" s="7"/>
      <c r="AB5770" s="7"/>
    </row>
    <row r="5771" ht="15.75" customHeight="1">
      <c r="A5771" s="26"/>
      <c r="B5771" s="22"/>
      <c r="C5771" s="28"/>
      <c r="D5771" s="28"/>
      <c r="E5771" s="26"/>
      <c r="F5771" s="22"/>
      <c r="G5771" s="20"/>
      <c r="H5771" s="22"/>
      <c r="I5771" s="22"/>
      <c r="J5771" s="22"/>
      <c r="K5771" s="22"/>
      <c r="L5771" s="22"/>
      <c r="M5771" s="33"/>
      <c r="N5771" s="33"/>
      <c r="O5771" s="20"/>
      <c r="P5771" s="32"/>
      <c r="Q5771" s="30"/>
      <c r="R5771" s="22"/>
      <c r="S5771" s="22"/>
      <c r="T5771" s="22"/>
      <c r="U5771" s="9"/>
      <c r="V5771" s="8"/>
      <c r="W5771" s="8"/>
      <c r="X5771" s="8"/>
      <c r="Y5771" s="8"/>
      <c r="Z5771" s="7"/>
      <c r="AA5771" s="7"/>
      <c r="AB5771" s="7"/>
    </row>
    <row r="5772" ht="15.75" customHeight="1">
      <c r="A5772" s="26"/>
      <c r="B5772" s="22"/>
      <c r="C5772" s="28"/>
      <c r="D5772" s="28"/>
      <c r="E5772" s="26"/>
      <c r="F5772" s="22"/>
      <c r="G5772" s="20"/>
      <c r="H5772" s="22"/>
      <c r="I5772" s="22"/>
      <c r="J5772" s="22"/>
      <c r="K5772" s="22"/>
      <c r="L5772" s="22"/>
      <c r="M5772" s="33"/>
      <c r="N5772" s="33"/>
      <c r="O5772" s="20"/>
      <c r="P5772" s="32"/>
      <c r="Q5772" s="30"/>
      <c r="R5772" s="22"/>
      <c r="S5772" s="22"/>
      <c r="T5772" s="22"/>
      <c r="U5772" s="9"/>
      <c r="V5772" s="8"/>
      <c r="W5772" s="8"/>
      <c r="X5772" s="8"/>
      <c r="Y5772" s="8"/>
      <c r="Z5772" s="7"/>
      <c r="AA5772" s="7"/>
      <c r="AB5772" s="7"/>
    </row>
    <row r="5773" ht="15.75" customHeight="1">
      <c r="A5773" s="26"/>
      <c r="B5773" s="22"/>
      <c r="C5773" s="28"/>
      <c r="D5773" s="28"/>
      <c r="E5773" s="26"/>
      <c r="F5773" s="22"/>
      <c r="G5773" s="20"/>
      <c r="H5773" s="22"/>
      <c r="I5773" s="22"/>
      <c r="J5773" s="22"/>
      <c r="K5773" s="22"/>
      <c r="L5773" s="22"/>
      <c r="M5773" s="33"/>
      <c r="N5773" s="33"/>
      <c r="O5773" s="20"/>
      <c r="P5773" s="32"/>
      <c r="Q5773" s="30"/>
      <c r="R5773" s="22"/>
      <c r="S5773" s="22"/>
      <c r="T5773" s="22"/>
      <c r="U5773" s="9"/>
      <c r="V5773" s="8"/>
      <c r="W5773" s="8"/>
      <c r="X5773" s="8"/>
      <c r="Y5773" s="8"/>
      <c r="Z5773" s="7"/>
      <c r="AA5773" s="7"/>
      <c r="AB5773" s="7"/>
    </row>
    <row r="5774" ht="15.75" customHeight="1">
      <c r="A5774" s="26"/>
      <c r="B5774" s="22"/>
      <c r="C5774" s="28"/>
      <c r="D5774" s="28"/>
      <c r="E5774" s="26"/>
      <c r="F5774" s="22"/>
      <c r="G5774" s="20"/>
      <c r="H5774" s="22"/>
      <c r="I5774" s="22"/>
      <c r="J5774" s="22"/>
      <c r="K5774" s="22"/>
      <c r="L5774" s="22"/>
      <c r="M5774" s="33"/>
      <c r="N5774" s="33"/>
      <c r="O5774" s="20"/>
      <c r="P5774" s="32"/>
      <c r="Q5774" s="30"/>
      <c r="R5774" s="22"/>
      <c r="S5774" s="22"/>
      <c r="T5774" s="22"/>
      <c r="U5774" s="9"/>
      <c r="V5774" s="8"/>
      <c r="W5774" s="8"/>
      <c r="X5774" s="8"/>
      <c r="Y5774" s="8"/>
      <c r="Z5774" s="7"/>
      <c r="AA5774" s="7"/>
      <c r="AB5774" s="7"/>
    </row>
    <row r="5775" ht="15.75" customHeight="1">
      <c r="A5775" s="26"/>
      <c r="B5775" s="22"/>
      <c r="C5775" s="28"/>
      <c r="D5775" s="28"/>
      <c r="E5775" s="26"/>
      <c r="F5775" s="22"/>
      <c r="G5775" s="20"/>
      <c r="H5775" s="22"/>
      <c r="I5775" s="22"/>
      <c r="J5775" s="22"/>
      <c r="K5775" s="22"/>
      <c r="L5775" s="22"/>
      <c r="M5775" s="33"/>
      <c r="N5775" s="33"/>
      <c r="O5775" s="20"/>
      <c r="P5775" s="32"/>
      <c r="Q5775" s="30"/>
      <c r="R5775" s="22"/>
      <c r="S5775" s="22"/>
      <c r="T5775" s="22"/>
      <c r="U5775" s="9"/>
      <c r="V5775" s="8"/>
      <c r="W5775" s="8"/>
      <c r="X5775" s="8"/>
      <c r="Y5775" s="8"/>
      <c r="Z5775" s="7"/>
      <c r="AA5775" s="7"/>
      <c r="AB5775" s="7"/>
    </row>
    <row r="5776" ht="15.75" customHeight="1">
      <c r="A5776" s="26"/>
      <c r="B5776" s="22"/>
      <c r="C5776" s="28"/>
      <c r="D5776" s="28"/>
      <c r="E5776" s="26"/>
      <c r="F5776" s="22"/>
      <c r="G5776" s="20"/>
      <c r="H5776" s="22"/>
      <c r="I5776" s="22"/>
      <c r="J5776" s="22"/>
      <c r="K5776" s="22"/>
      <c r="L5776" s="22"/>
      <c r="M5776" s="33"/>
      <c r="N5776" s="33"/>
      <c r="O5776" s="20"/>
      <c r="P5776" s="32"/>
      <c r="Q5776" s="30"/>
      <c r="R5776" s="22"/>
      <c r="S5776" s="22"/>
      <c r="T5776" s="22"/>
      <c r="U5776" s="9"/>
      <c r="V5776" s="8"/>
      <c r="W5776" s="8"/>
      <c r="X5776" s="8"/>
      <c r="Y5776" s="8"/>
      <c r="Z5776" s="7"/>
      <c r="AA5776" s="7"/>
      <c r="AB5776" s="7"/>
    </row>
    <row r="5777" ht="15.75" customHeight="1">
      <c r="A5777" s="26"/>
      <c r="B5777" s="22"/>
      <c r="C5777" s="28"/>
      <c r="D5777" s="28"/>
      <c r="E5777" s="26"/>
      <c r="F5777" s="22"/>
      <c r="G5777" s="20"/>
      <c r="H5777" s="22"/>
      <c r="I5777" s="22"/>
      <c r="J5777" s="22"/>
      <c r="K5777" s="22"/>
      <c r="L5777" s="22"/>
      <c r="M5777" s="33"/>
      <c r="N5777" s="33"/>
      <c r="O5777" s="20"/>
      <c r="P5777" s="32"/>
      <c r="Q5777" s="30"/>
      <c r="R5777" s="22"/>
      <c r="S5777" s="22"/>
      <c r="T5777" s="22"/>
      <c r="U5777" s="9"/>
      <c r="V5777" s="8"/>
      <c r="W5777" s="8"/>
      <c r="X5777" s="8"/>
      <c r="Y5777" s="8"/>
      <c r="Z5777" s="7"/>
      <c r="AA5777" s="7"/>
      <c r="AB5777" s="7"/>
    </row>
    <row r="5778" ht="15.75" customHeight="1">
      <c r="A5778" s="26"/>
      <c r="B5778" s="22"/>
      <c r="C5778" s="28"/>
      <c r="D5778" s="28"/>
      <c r="E5778" s="26"/>
      <c r="F5778" s="22"/>
      <c r="G5778" s="20"/>
      <c r="H5778" s="22"/>
      <c r="I5778" s="22"/>
      <c r="J5778" s="22"/>
      <c r="K5778" s="22"/>
      <c r="L5778" s="22"/>
      <c r="M5778" s="33"/>
      <c r="N5778" s="33"/>
      <c r="O5778" s="20"/>
      <c r="P5778" s="32"/>
      <c r="Q5778" s="30"/>
      <c r="R5778" s="22"/>
      <c r="S5778" s="22"/>
      <c r="T5778" s="22"/>
      <c r="U5778" s="9"/>
      <c r="V5778" s="8"/>
      <c r="W5778" s="8"/>
      <c r="X5778" s="8"/>
      <c r="Y5778" s="8"/>
      <c r="Z5778" s="7"/>
      <c r="AA5778" s="7"/>
      <c r="AB5778" s="7"/>
    </row>
    <row r="5779" ht="15.75" customHeight="1">
      <c r="A5779" s="26"/>
      <c r="B5779" s="22"/>
      <c r="C5779" s="28"/>
      <c r="D5779" s="28"/>
      <c r="E5779" s="26"/>
      <c r="F5779" s="22"/>
      <c r="G5779" s="20"/>
      <c r="H5779" s="22"/>
      <c r="I5779" s="22"/>
      <c r="J5779" s="22"/>
      <c r="K5779" s="22"/>
      <c r="L5779" s="22"/>
      <c r="M5779" s="33"/>
      <c r="N5779" s="33"/>
      <c r="O5779" s="20"/>
      <c r="P5779" s="32"/>
      <c r="Q5779" s="30"/>
      <c r="R5779" s="22"/>
      <c r="S5779" s="22"/>
      <c r="T5779" s="22"/>
      <c r="U5779" s="9"/>
      <c r="V5779" s="8"/>
      <c r="W5779" s="8"/>
      <c r="X5779" s="8"/>
      <c r="Y5779" s="8"/>
      <c r="Z5779" s="7"/>
      <c r="AA5779" s="7"/>
      <c r="AB5779" s="7"/>
    </row>
    <row r="5780" ht="15.75" customHeight="1">
      <c r="A5780" s="26"/>
      <c r="B5780" s="22"/>
      <c r="C5780" s="28"/>
      <c r="D5780" s="28"/>
      <c r="E5780" s="26"/>
      <c r="F5780" s="22"/>
      <c r="G5780" s="20"/>
      <c r="H5780" s="22"/>
      <c r="I5780" s="22"/>
      <c r="J5780" s="22"/>
      <c r="K5780" s="22"/>
      <c r="L5780" s="22"/>
      <c r="M5780" s="33"/>
      <c r="N5780" s="33"/>
      <c r="O5780" s="20"/>
      <c r="P5780" s="32"/>
      <c r="Q5780" s="30"/>
      <c r="R5780" s="22"/>
      <c r="S5780" s="22"/>
      <c r="T5780" s="22"/>
      <c r="U5780" s="9"/>
      <c r="V5780" s="8"/>
      <c r="W5780" s="8"/>
      <c r="X5780" s="8"/>
      <c r="Y5780" s="8"/>
      <c r="Z5780" s="7"/>
      <c r="AA5780" s="7"/>
      <c r="AB5780" s="7"/>
    </row>
    <row r="5781" ht="15.75" customHeight="1">
      <c r="A5781" s="26"/>
      <c r="B5781" s="22"/>
      <c r="C5781" s="28"/>
      <c r="D5781" s="28"/>
      <c r="E5781" s="26"/>
      <c r="F5781" s="22"/>
      <c r="G5781" s="20"/>
      <c r="H5781" s="22"/>
      <c r="I5781" s="22"/>
      <c r="J5781" s="22"/>
      <c r="K5781" s="22"/>
      <c r="L5781" s="22"/>
      <c r="M5781" s="33"/>
      <c r="N5781" s="33"/>
      <c r="O5781" s="20"/>
      <c r="P5781" s="32"/>
      <c r="Q5781" s="30"/>
      <c r="R5781" s="22"/>
      <c r="S5781" s="22"/>
      <c r="T5781" s="22"/>
      <c r="U5781" s="9"/>
      <c r="V5781" s="8"/>
      <c r="W5781" s="8"/>
      <c r="X5781" s="8"/>
      <c r="Y5781" s="8"/>
      <c r="Z5781" s="7"/>
      <c r="AA5781" s="7"/>
      <c r="AB5781" s="7"/>
    </row>
    <row r="5782" ht="15.75" customHeight="1">
      <c r="A5782" s="26"/>
      <c r="B5782" s="22"/>
      <c r="C5782" s="28"/>
      <c r="D5782" s="28"/>
      <c r="E5782" s="26"/>
      <c r="F5782" s="22"/>
      <c r="G5782" s="20"/>
      <c r="H5782" s="22"/>
      <c r="I5782" s="22"/>
      <c r="J5782" s="22"/>
      <c r="K5782" s="22"/>
      <c r="L5782" s="22"/>
      <c r="M5782" s="33"/>
      <c r="N5782" s="33"/>
      <c r="O5782" s="20"/>
      <c r="P5782" s="32"/>
      <c r="Q5782" s="30"/>
      <c r="R5782" s="22"/>
      <c r="S5782" s="22"/>
      <c r="T5782" s="22"/>
      <c r="U5782" s="9"/>
      <c r="V5782" s="8"/>
      <c r="W5782" s="8"/>
      <c r="X5782" s="8"/>
      <c r="Y5782" s="8"/>
      <c r="Z5782" s="7"/>
      <c r="AA5782" s="7"/>
      <c r="AB5782" s="7"/>
    </row>
    <row r="5783" ht="15.75" customHeight="1">
      <c r="A5783" s="26"/>
      <c r="B5783" s="22"/>
      <c r="C5783" s="28"/>
      <c r="D5783" s="28"/>
      <c r="E5783" s="26"/>
      <c r="F5783" s="22"/>
      <c r="G5783" s="20"/>
      <c r="H5783" s="22"/>
      <c r="I5783" s="22"/>
      <c r="J5783" s="22"/>
      <c r="K5783" s="22"/>
      <c r="L5783" s="22"/>
      <c r="M5783" s="33"/>
      <c r="N5783" s="33"/>
      <c r="O5783" s="20"/>
      <c r="P5783" s="32"/>
      <c r="Q5783" s="30"/>
      <c r="R5783" s="22"/>
      <c r="S5783" s="22"/>
      <c r="T5783" s="22"/>
      <c r="U5783" s="9"/>
      <c r="V5783" s="8"/>
      <c r="W5783" s="8"/>
      <c r="X5783" s="8"/>
      <c r="Y5783" s="8"/>
      <c r="Z5783" s="7"/>
      <c r="AA5783" s="7"/>
      <c r="AB5783" s="7"/>
    </row>
    <row r="5784" ht="15.75" customHeight="1">
      <c r="A5784" s="26"/>
      <c r="B5784" s="22"/>
      <c r="C5784" s="28"/>
      <c r="D5784" s="28"/>
      <c r="E5784" s="26"/>
      <c r="F5784" s="22"/>
      <c r="G5784" s="20"/>
      <c r="H5784" s="22"/>
      <c r="I5784" s="22"/>
      <c r="J5784" s="22"/>
      <c r="K5784" s="22"/>
      <c r="L5784" s="22"/>
      <c r="M5784" s="33"/>
      <c r="N5784" s="33"/>
      <c r="O5784" s="20"/>
      <c r="P5784" s="32"/>
      <c r="Q5784" s="30"/>
      <c r="R5784" s="22"/>
      <c r="S5784" s="22"/>
      <c r="T5784" s="22"/>
      <c r="U5784" s="9"/>
      <c r="V5784" s="8"/>
      <c r="W5784" s="8"/>
      <c r="X5784" s="8"/>
      <c r="Y5784" s="8"/>
      <c r="Z5784" s="7"/>
      <c r="AA5784" s="7"/>
      <c r="AB5784" s="7"/>
    </row>
    <row r="5785" ht="15.75" customHeight="1">
      <c r="A5785" s="26"/>
      <c r="B5785" s="22"/>
      <c r="C5785" s="28"/>
      <c r="D5785" s="28"/>
      <c r="E5785" s="26"/>
      <c r="F5785" s="22"/>
      <c r="G5785" s="20"/>
      <c r="H5785" s="22"/>
      <c r="I5785" s="22"/>
      <c r="J5785" s="22"/>
      <c r="K5785" s="22"/>
      <c r="L5785" s="22"/>
      <c r="M5785" s="33"/>
      <c r="N5785" s="33"/>
      <c r="O5785" s="20"/>
      <c r="P5785" s="32"/>
      <c r="Q5785" s="30"/>
      <c r="R5785" s="22"/>
      <c r="S5785" s="22"/>
      <c r="T5785" s="22"/>
      <c r="U5785" s="9"/>
      <c r="V5785" s="8"/>
      <c r="W5785" s="8"/>
      <c r="X5785" s="8"/>
      <c r="Y5785" s="8"/>
      <c r="Z5785" s="7"/>
      <c r="AA5785" s="7"/>
      <c r="AB5785" s="7"/>
    </row>
    <row r="5786" ht="15.75" customHeight="1">
      <c r="A5786" s="26"/>
      <c r="B5786" s="22"/>
      <c r="C5786" s="28"/>
      <c r="D5786" s="28"/>
      <c r="E5786" s="26"/>
      <c r="F5786" s="22"/>
      <c r="G5786" s="20"/>
      <c r="H5786" s="22"/>
      <c r="I5786" s="22"/>
      <c r="J5786" s="22"/>
      <c r="K5786" s="22"/>
      <c r="L5786" s="22"/>
      <c r="M5786" s="33"/>
      <c r="N5786" s="33"/>
      <c r="O5786" s="20"/>
      <c r="P5786" s="32"/>
      <c r="Q5786" s="30"/>
      <c r="R5786" s="22"/>
      <c r="S5786" s="22"/>
      <c r="T5786" s="22"/>
      <c r="U5786" s="9"/>
      <c r="V5786" s="8"/>
      <c r="W5786" s="8"/>
      <c r="X5786" s="8"/>
      <c r="Y5786" s="8"/>
      <c r="Z5786" s="7"/>
      <c r="AA5786" s="7"/>
      <c r="AB5786" s="7"/>
    </row>
    <row r="5787" ht="15.75" customHeight="1">
      <c r="A5787" s="26"/>
      <c r="B5787" s="22"/>
      <c r="C5787" s="28"/>
      <c r="D5787" s="28"/>
      <c r="E5787" s="26"/>
      <c r="F5787" s="22"/>
      <c r="G5787" s="20"/>
      <c r="H5787" s="22"/>
      <c r="I5787" s="22"/>
      <c r="J5787" s="22"/>
      <c r="K5787" s="22"/>
      <c r="L5787" s="22"/>
      <c r="M5787" s="33"/>
      <c r="N5787" s="33"/>
      <c r="O5787" s="20"/>
      <c r="P5787" s="32"/>
      <c r="Q5787" s="30"/>
      <c r="R5787" s="22"/>
      <c r="S5787" s="22"/>
      <c r="T5787" s="22"/>
      <c r="U5787" s="9"/>
      <c r="V5787" s="8"/>
      <c r="W5787" s="8"/>
      <c r="X5787" s="8"/>
      <c r="Y5787" s="8"/>
      <c r="Z5787" s="7"/>
      <c r="AA5787" s="7"/>
      <c r="AB5787" s="7"/>
    </row>
    <row r="5788" ht="15.75" customHeight="1">
      <c r="A5788" s="26"/>
      <c r="B5788" s="22"/>
      <c r="C5788" s="28"/>
      <c r="D5788" s="28"/>
      <c r="E5788" s="26"/>
      <c r="F5788" s="22"/>
      <c r="G5788" s="20"/>
      <c r="H5788" s="22"/>
      <c r="I5788" s="22"/>
      <c r="J5788" s="22"/>
      <c r="K5788" s="22"/>
      <c r="L5788" s="22"/>
      <c r="M5788" s="33"/>
      <c r="N5788" s="33"/>
      <c r="O5788" s="20"/>
      <c r="P5788" s="32"/>
      <c r="Q5788" s="30"/>
      <c r="R5788" s="22"/>
      <c r="S5788" s="22"/>
      <c r="T5788" s="22"/>
      <c r="U5788" s="9"/>
      <c r="V5788" s="8"/>
      <c r="W5788" s="8"/>
      <c r="X5788" s="8"/>
      <c r="Y5788" s="8"/>
      <c r="Z5788" s="7"/>
      <c r="AA5788" s="7"/>
      <c r="AB5788" s="7"/>
    </row>
    <row r="5789" ht="15.75" customHeight="1">
      <c r="A5789" s="26"/>
      <c r="B5789" s="22"/>
      <c r="C5789" s="28"/>
      <c r="D5789" s="28"/>
      <c r="E5789" s="26"/>
      <c r="F5789" s="22"/>
      <c r="G5789" s="20"/>
      <c r="H5789" s="22"/>
      <c r="I5789" s="22"/>
      <c r="J5789" s="22"/>
      <c r="K5789" s="22"/>
      <c r="L5789" s="22"/>
      <c r="M5789" s="33"/>
      <c r="N5789" s="33"/>
      <c r="O5789" s="20"/>
      <c r="P5789" s="32"/>
      <c r="Q5789" s="30"/>
      <c r="R5789" s="22"/>
      <c r="S5789" s="22"/>
      <c r="T5789" s="22"/>
      <c r="U5789" s="9"/>
      <c r="V5789" s="8"/>
      <c r="W5789" s="8"/>
      <c r="X5789" s="8"/>
      <c r="Y5789" s="8"/>
      <c r="Z5789" s="7"/>
      <c r="AA5789" s="7"/>
      <c r="AB5789" s="7"/>
    </row>
    <row r="5790" ht="15.75" customHeight="1">
      <c r="A5790" s="26"/>
      <c r="B5790" s="22"/>
      <c r="C5790" s="28"/>
      <c r="D5790" s="28"/>
      <c r="E5790" s="26"/>
      <c r="F5790" s="22"/>
      <c r="G5790" s="20"/>
      <c r="H5790" s="22"/>
      <c r="I5790" s="22"/>
      <c r="J5790" s="22"/>
      <c r="K5790" s="22"/>
      <c r="L5790" s="22"/>
      <c r="M5790" s="33"/>
      <c r="N5790" s="33"/>
      <c r="O5790" s="20"/>
      <c r="P5790" s="32"/>
      <c r="Q5790" s="30"/>
      <c r="R5790" s="22"/>
      <c r="S5790" s="22"/>
      <c r="T5790" s="22"/>
      <c r="U5790" s="9"/>
      <c r="V5790" s="8"/>
      <c r="W5790" s="8"/>
      <c r="X5790" s="8"/>
      <c r="Y5790" s="8"/>
      <c r="Z5790" s="7"/>
      <c r="AA5790" s="7"/>
      <c r="AB5790" s="7"/>
    </row>
    <row r="5791" ht="15.75" customHeight="1">
      <c r="A5791" s="26"/>
      <c r="B5791" s="22"/>
      <c r="C5791" s="28"/>
      <c r="D5791" s="28"/>
      <c r="E5791" s="26"/>
      <c r="F5791" s="22"/>
      <c r="G5791" s="20"/>
      <c r="H5791" s="22"/>
      <c r="I5791" s="22"/>
      <c r="J5791" s="22"/>
      <c r="K5791" s="22"/>
      <c r="L5791" s="22"/>
      <c r="M5791" s="33"/>
      <c r="N5791" s="33"/>
      <c r="O5791" s="20"/>
      <c r="P5791" s="32"/>
      <c r="Q5791" s="30"/>
      <c r="R5791" s="22"/>
      <c r="S5791" s="22"/>
      <c r="T5791" s="22"/>
      <c r="U5791" s="9"/>
      <c r="V5791" s="8"/>
      <c r="W5791" s="8"/>
      <c r="X5791" s="8"/>
      <c r="Y5791" s="8"/>
      <c r="Z5791" s="7"/>
      <c r="AA5791" s="7"/>
      <c r="AB5791" s="7"/>
    </row>
    <row r="5792" ht="15.75" customHeight="1">
      <c r="A5792" s="26"/>
      <c r="B5792" s="22"/>
      <c r="C5792" s="28"/>
      <c r="D5792" s="28"/>
      <c r="E5792" s="26"/>
      <c r="F5792" s="22"/>
      <c r="G5792" s="20"/>
      <c r="H5792" s="22"/>
      <c r="I5792" s="22"/>
      <c r="J5792" s="22"/>
      <c r="K5792" s="22"/>
      <c r="L5792" s="22"/>
      <c r="M5792" s="33"/>
      <c r="N5792" s="33"/>
      <c r="O5792" s="20"/>
      <c r="P5792" s="32"/>
      <c r="Q5792" s="30"/>
      <c r="R5792" s="22"/>
      <c r="S5792" s="22"/>
      <c r="T5792" s="22"/>
      <c r="U5792" s="9"/>
      <c r="V5792" s="8"/>
      <c r="W5792" s="8"/>
      <c r="X5792" s="8"/>
      <c r="Y5792" s="8"/>
      <c r="Z5792" s="7"/>
      <c r="AA5792" s="7"/>
      <c r="AB5792" s="7"/>
    </row>
    <row r="5793" ht="15.75" customHeight="1">
      <c r="A5793" s="26"/>
      <c r="B5793" s="22"/>
      <c r="C5793" s="28"/>
      <c r="D5793" s="28"/>
      <c r="E5793" s="26"/>
      <c r="F5793" s="22"/>
      <c r="G5793" s="20"/>
      <c r="H5793" s="22"/>
      <c r="I5793" s="22"/>
      <c r="J5793" s="22"/>
      <c r="K5793" s="22"/>
      <c r="L5793" s="22"/>
      <c r="M5793" s="33"/>
      <c r="N5793" s="33"/>
      <c r="O5793" s="20"/>
      <c r="P5793" s="32"/>
      <c r="Q5793" s="30"/>
      <c r="R5793" s="22"/>
      <c r="S5793" s="22"/>
      <c r="T5793" s="22"/>
      <c r="U5793" s="9"/>
      <c r="V5793" s="8"/>
      <c r="W5793" s="8"/>
      <c r="X5793" s="8"/>
      <c r="Y5793" s="8"/>
      <c r="Z5793" s="7"/>
      <c r="AA5793" s="7"/>
      <c r="AB5793" s="7"/>
    </row>
    <row r="5794" ht="15.75" customHeight="1">
      <c r="A5794" s="26"/>
      <c r="B5794" s="22"/>
      <c r="C5794" s="28"/>
      <c r="D5794" s="28"/>
      <c r="E5794" s="26"/>
      <c r="F5794" s="22"/>
      <c r="G5794" s="20"/>
      <c r="H5794" s="22"/>
      <c r="I5794" s="22"/>
      <c r="J5794" s="22"/>
      <c r="K5794" s="22"/>
      <c r="L5794" s="22"/>
      <c r="M5794" s="33"/>
      <c r="N5794" s="33"/>
      <c r="O5794" s="20"/>
      <c r="P5794" s="32"/>
      <c r="Q5794" s="30"/>
      <c r="R5794" s="22"/>
      <c r="S5794" s="22"/>
      <c r="T5794" s="22"/>
      <c r="U5794" s="9"/>
      <c r="V5794" s="8"/>
      <c r="W5794" s="8"/>
      <c r="X5794" s="8"/>
      <c r="Y5794" s="8"/>
      <c r="Z5794" s="7"/>
      <c r="AA5794" s="7"/>
      <c r="AB5794" s="7"/>
    </row>
    <row r="5795" ht="15.75" customHeight="1">
      <c r="A5795" s="26"/>
      <c r="B5795" s="22"/>
      <c r="C5795" s="28"/>
      <c r="D5795" s="28"/>
      <c r="E5795" s="26"/>
      <c r="F5795" s="22"/>
      <c r="G5795" s="20"/>
      <c r="H5795" s="22"/>
      <c r="I5795" s="22"/>
      <c r="J5795" s="22"/>
      <c r="K5795" s="22"/>
      <c r="L5795" s="22"/>
      <c r="M5795" s="33"/>
      <c r="N5795" s="33"/>
      <c r="O5795" s="20"/>
      <c r="P5795" s="32"/>
      <c r="Q5795" s="30"/>
      <c r="R5795" s="22"/>
      <c r="S5795" s="22"/>
      <c r="T5795" s="22"/>
      <c r="U5795" s="9"/>
      <c r="V5795" s="8"/>
      <c r="W5795" s="8"/>
      <c r="X5795" s="8"/>
      <c r="Y5795" s="8"/>
      <c r="Z5795" s="7"/>
      <c r="AA5795" s="7"/>
      <c r="AB5795" s="7"/>
    </row>
    <row r="5796" ht="15.75" customHeight="1">
      <c r="A5796" s="26"/>
      <c r="B5796" s="22"/>
      <c r="C5796" s="28"/>
      <c r="D5796" s="28"/>
      <c r="E5796" s="26"/>
      <c r="F5796" s="22"/>
      <c r="G5796" s="20"/>
      <c r="H5796" s="22"/>
      <c r="I5796" s="22"/>
      <c r="J5796" s="22"/>
      <c r="K5796" s="22"/>
      <c r="L5796" s="22"/>
      <c r="M5796" s="33"/>
      <c r="N5796" s="33"/>
      <c r="O5796" s="20"/>
      <c r="P5796" s="32"/>
      <c r="Q5796" s="30"/>
      <c r="R5796" s="22"/>
      <c r="S5796" s="22"/>
      <c r="T5796" s="22"/>
      <c r="U5796" s="9"/>
      <c r="V5796" s="8"/>
      <c r="W5796" s="8"/>
      <c r="X5796" s="8"/>
      <c r="Y5796" s="8"/>
      <c r="Z5796" s="7"/>
      <c r="AA5796" s="7"/>
      <c r="AB5796" s="7"/>
    </row>
    <row r="5797" ht="15.75" customHeight="1">
      <c r="A5797" s="26"/>
      <c r="B5797" s="22"/>
      <c r="C5797" s="28"/>
      <c r="D5797" s="28"/>
      <c r="E5797" s="26"/>
      <c r="F5797" s="22"/>
      <c r="G5797" s="20"/>
      <c r="H5797" s="22"/>
      <c r="I5797" s="22"/>
      <c r="J5797" s="22"/>
      <c r="K5797" s="22"/>
      <c r="L5797" s="22"/>
      <c r="M5797" s="33"/>
      <c r="N5797" s="33"/>
      <c r="O5797" s="20"/>
      <c r="P5797" s="32"/>
      <c r="Q5797" s="30"/>
      <c r="R5797" s="22"/>
      <c r="S5797" s="22"/>
      <c r="T5797" s="22"/>
      <c r="U5797" s="9"/>
      <c r="V5797" s="8"/>
      <c r="W5797" s="8"/>
      <c r="X5797" s="8"/>
      <c r="Y5797" s="8"/>
      <c r="Z5797" s="7"/>
      <c r="AA5797" s="7"/>
      <c r="AB5797" s="7"/>
    </row>
    <row r="5798" ht="15.75" customHeight="1">
      <c r="A5798" s="26"/>
      <c r="B5798" s="22"/>
      <c r="C5798" s="28"/>
      <c r="D5798" s="28"/>
      <c r="E5798" s="26"/>
      <c r="F5798" s="22"/>
      <c r="G5798" s="20"/>
      <c r="H5798" s="22"/>
      <c r="I5798" s="22"/>
      <c r="J5798" s="22"/>
      <c r="K5798" s="22"/>
      <c r="L5798" s="22"/>
      <c r="M5798" s="33"/>
      <c r="N5798" s="33"/>
      <c r="O5798" s="20"/>
      <c r="P5798" s="32"/>
      <c r="Q5798" s="30"/>
      <c r="R5798" s="22"/>
      <c r="S5798" s="22"/>
      <c r="T5798" s="22"/>
      <c r="U5798" s="9"/>
      <c r="V5798" s="8"/>
      <c r="W5798" s="8"/>
      <c r="X5798" s="8"/>
      <c r="Y5798" s="8"/>
      <c r="Z5798" s="7"/>
      <c r="AA5798" s="7"/>
      <c r="AB5798" s="7"/>
    </row>
    <row r="5799" ht="15.75" customHeight="1">
      <c r="A5799" s="26"/>
      <c r="B5799" s="22"/>
      <c r="C5799" s="28"/>
      <c r="D5799" s="28"/>
      <c r="E5799" s="26"/>
      <c r="F5799" s="22"/>
      <c r="G5799" s="20"/>
      <c r="H5799" s="22"/>
      <c r="I5799" s="22"/>
      <c r="J5799" s="22"/>
      <c r="K5799" s="22"/>
      <c r="L5799" s="22"/>
      <c r="M5799" s="33"/>
      <c r="N5799" s="33"/>
      <c r="O5799" s="20"/>
      <c r="P5799" s="32"/>
      <c r="Q5799" s="30"/>
      <c r="R5799" s="22"/>
      <c r="S5799" s="22"/>
      <c r="T5799" s="22"/>
      <c r="U5799" s="9"/>
      <c r="V5799" s="8"/>
      <c r="W5799" s="8"/>
      <c r="X5799" s="8"/>
      <c r="Y5799" s="8"/>
      <c r="Z5799" s="7"/>
      <c r="AA5799" s="7"/>
      <c r="AB5799" s="7"/>
    </row>
    <row r="5800" ht="15.75" customHeight="1">
      <c r="A5800" s="26"/>
      <c r="B5800" s="22"/>
      <c r="C5800" s="28"/>
      <c r="D5800" s="28"/>
      <c r="E5800" s="26"/>
      <c r="F5800" s="22"/>
      <c r="G5800" s="20"/>
      <c r="H5800" s="22"/>
      <c r="I5800" s="22"/>
      <c r="J5800" s="22"/>
      <c r="K5800" s="22"/>
      <c r="L5800" s="22"/>
      <c r="M5800" s="33"/>
      <c r="N5800" s="33"/>
      <c r="O5800" s="20"/>
      <c r="P5800" s="32"/>
      <c r="Q5800" s="30"/>
      <c r="R5800" s="22"/>
      <c r="S5800" s="22"/>
      <c r="T5800" s="22"/>
      <c r="U5800" s="9"/>
      <c r="V5800" s="8"/>
      <c r="W5800" s="8"/>
      <c r="X5800" s="8"/>
      <c r="Y5800" s="8"/>
      <c r="Z5800" s="7"/>
      <c r="AA5800" s="7"/>
      <c r="AB5800" s="7"/>
    </row>
    <row r="5801" ht="15.75" customHeight="1">
      <c r="A5801" s="26"/>
      <c r="B5801" s="22"/>
      <c r="C5801" s="28"/>
      <c r="D5801" s="28"/>
      <c r="E5801" s="26"/>
      <c r="F5801" s="22"/>
      <c r="G5801" s="20"/>
      <c r="H5801" s="22"/>
      <c r="I5801" s="22"/>
      <c r="J5801" s="22"/>
      <c r="K5801" s="22"/>
      <c r="L5801" s="22"/>
      <c r="M5801" s="33"/>
      <c r="N5801" s="33"/>
      <c r="O5801" s="20"/>
      <c r="P5801" s="32"/>
      <c r="Q5801" s="30"/>
      <c r="R5801" s="22"/>
      <c r="S5801" s="22"/>
      <c r="T5801" s="22"/>
      <c r="U5801" s="9"/>
      <c r="V5801" s="8"/>
      <c r="W5801" s="8"/>
      <c r="X5801" s="8"/>
      <c r="Y5801" s="8"/>
      <c r="Z5801" s="7"/>
      <c r="AA5801" s="7"/>
      <c r="AB5801" s="7"/>
    </row>
    <row r="5802" ht="15.75" customHeight="1">
      <c r="A5802" s="26"/>
      <c r="B5802" s="22"/>
      <c r="C5802" s="28"/>
      <c r="D5802" s="28"/>
      <c r="E5802" s="26"/>
      <c r="F5802" s="22"/>
      <c r="G5802" s="20"/>
      <c r="H5802" s="22"/>
      <c r="I5802" s="22"/>
      <c r="J5802" s="22"/>
      <c r="K5802" s="22"/>
      <c r="L5802" s="22"/>
      <c r="M5802" s="33"/>
      <c r="N5802" s="33"/>
      <c r="O5802" s="20"/>
      <c r="P5802" s="32"/>
      <c r="Q5802" s="30"/>
      <c r="R5802" s="22"/>
      <c r="S5802" s="22"/>
      <c r="T5802" s="22"/>
      <c r="U5802" s="9"/>
      <c r="V5802" s="8"/>
      <c r="W5802" s="8"/>
      <c r="X5802" s="8"/>
      <c r="Y5802" s="8"/>
      <c r="Z5802" s="7"/>
      <c r="AA5802" s="7"/>
      <c r="AB5802" s="7"/>
    </row>
    <row r="5803" ht="15.75" customHeight="1">
      <c r="A5803" s="26"/>
      <c r="B5803" s="22"/>
      <c r="C5803" s="28"/>
      <c r="D5803" s="28"/>
      <c r="E5803" s="26"/>
      <c r="F5803" s="22"/>
      <c r="G5803" s="20"/>
      <c r="H5803" s="22"/>
      <c r="I5803" s="22"/>
      <c r="J5803" s="22"/>
      <c r="K5803" s="22"/>
      <c r="L5803" s="22"/>
      <c r="M5803" s="33"/>
      <c r="N5803" s="33"/>
      <c r="O5803" s="20"/>
      <c r="P5803" s="32"/>
      <c r="Q5803" s="30"/>
      <c r="R5803" s="22"/>
      <c r="S5803" s="22"/>
      <c r="T5803" s="22"/>
      <c r="U5803" s="9"/>
      <c r="V5803" s="8"/>
      <c r="W5803" s="8"/>
      <c r="X5803" s="8"/>
      <c r="Y5803" s="8"/>
      <c r="Z5803" s="7"/>
      <c r="AA5803" s="7"/>
      <c r="AB5803" s="7"/>
    </row>
    <row r="5804" ht="15.75" customHeight="1">
      <c r="A5804" s="26"/>
      <c r="B5804" s="22"/>
      <c r="C5804" s="28"/>
      <c r="D5804" s="28"/>
      <c r="E5804" s="26"/>
      <c r="F5804" s="22"/>
      <c r="G5804" s="20"/>
      <c r="H5804" s="22"/>
      <c r="I5804" s="22"/>
      <c r="J5804" s="22"/>
      <c r="K5804" s="22"/>
      <c r="L5804" s="22"/>
      <c r="M5804" s="33"/>
      <c r="N5804" s="33"/>
      <c r="O5804" s="20"/>
      <c r="P5804" s="32"/>
      <c r="Q5804" s="30"/>
      <c r="R5804" s="22"/>
      <c r="S5804" s="22"/>
      <c r="T5804" s="22"/>
      <c r="U5804" s="9"/>
      <c r="V5804" s="8"/>
      <c r="W5804" s="8"/>
      <c r="X5804" s="8"/>
      <c r="Y5804" s="8"/>
      <c r="Z5804" s="7"/>
      <c r="AA5804" s="7"/>
      <c r="AB5804" s="7"/>
    </row>
    <row r="5805" ht="15.75" customHeight="1">
      <c r="A5805" s="26"/>
      <c r="B5805" s="22"/>
      <c r="C5805" s="28"/>
      <c r="D5805" s="28"/>
      <c r="E5805" s="26"/>
      <c r="F5805" s="22"/>
      <c r="G5805" s="20"/>
      <c r="H5805" s="22"/>
      <c r="I5805" s="22"/>
      <c r="J5805" s="22"/>
      <c r="K5805" s="22"/>
      <c r="L5805" s="22"/>
      <c r="M5805" s="33"/>
      <c r="N5805" s="33"/>
      <c r="O5805" s="20"/>
      <c r="P5805" s="32"/>
      <c r="Q5805" s="30"/>
      <c r="R5805" s="22"/>
      <c r="S5805" s="22"/>
      <c r="T5805" s="22"/>
      <c r="U5805" s="9"/>
      <c r="V5805" s="8"/>
      <c r="W5805" s="8"/>
      <c r="X5805" s="8"/>
      <c r="Y5805" s="8"/>
      <c r="Z5805" s="7"/>
      <c r="AA5805" s="7"/>
      <c r="AB5805" s="7"/>
    </row>
    <row r="5806" ht="15.75" customHeight="1">
      <c r="A5806" s="26"/>
      <c r="B5806" s="22"/>
      <c r="C5806" s="28"/>
      <c r="D5806" s="28"/>
      <c r="E5806" s="26"/>
      <c r="F5806" s="22"/>
      <c r="G5806" s="20"/>
      <c r="H5806" s="22"/>
      <c r="I5806" s="22"/>
      <c r="J5806" s="22"/>
      <c r="K5806" s="22"/>
      <c r="L5806" s="22"/>
      <c r="M5806" s="33"/>
      <c r="N5806" s="33"/>
      <c r="O5806" s="20"/>
      <c r="P5806" s="32"/>
      <c r="Q5806" s="30"/>
      <c r="R5806" s="22"/>
      <c r="S5806" s="22"/>
      <c r="T5806" s="22"/>
      <c r="U5806" s="9"/>
      <c r="V5806" s="8"/>
      <c r="W5806" s="8"/>
      <c r="X5806" s="8"/>
      <c r="Y5806" s="8"/>
      <c r="Z5806" s="7"/>
      <c r="AA5806" s="7"/>
      <c r="AB5806" s="7"/>
    </row>
    <row r="5807" ht="15.75" customHeight="1">
      <c r="A5807" s="26"/>
      <c r="B5807" s="22"/>
      <c r="C5807" s="28"/>
      <c r="D5807" s="28"/>
      <c r="E5807" s="26"/>
      <c r="F5807" s="22"/>
      <c r="G5807" s="20"/>
      <c r="H5807" s="22"/>
      <c r="I5807" s="22"/>
      <c r="J5807" s="22"/>
      <c r="K5807" s="22"/>
      <c r="L5807" s="22"/>
      <c r="M5807" s="33"/>
      <c r="N5807" s="33"/>
      <c r="O5807" s="20"/>
      <c r="P5807" s="32"/>
      <c r="Q5807" s="30"/>
      <c r="R5807" s="22"/>
      <c r="S5807" s="22"/>
      <c r="T5807" s="22"/>
      <c r="U5807" s="9"/>
      <c r="V5807" s="8"/>
      <c r="W5807" s="8"/>
      <c r="X5807" s="8"/>
      <c r="Y5807" s="8"/>
      <c r="Z5807" s="7"/>
      <c r="AA5807" s="7"/>
      <c r="AB5807" s="7"/>
    </row>
    <row r="5808" ht="15.75" customHeight="1">
      <c r="A5808" s="26"/>
      <c r="B5808" s="22"/>
      <c r="C5808" s="28"/>
      <c r="D5808" s="28"/>
      <c r="E5808" s="26"/>
      <c r="F5808" s="22"/>
      <c r="G5808" s="20"/>
      <c r="H5808" s="22"/>
      <c r="I5808" s="22"/>
      <c r="J5808" s="22"/>
      <c r="K5808" s="22"/>
      <c r="L5808" s="22"/>
      <c r="M5808" s="33"/>
      <c r="N5808" s="33"/>
      <c r="O5808" s="20"/>
      <c r="P5808" s="32"/>
      <c r="Q5808" s="30"/>
      <c r="R5808" s="22"/>
      <c r="S5808" s="22"/>
      <c r="T5808" s="22"/>
      <c r="U5808" s="9"/>
      <c r="V5808" s="8"/>
      <c r="W5808" s="8"/>
      <c r="X5808" s="8"/>
      <c r="Y5808" s="8"/>
      <c r="Z5808" s="7"/>
      <c r="AA5808" s="7"/>
      <c r="AB5808" s="7"/>
    </row>
    <row r="5809" ht="15.75" customHeight="1">
      <c r="A5809" s="26"/>
      <c r="B5809" s="22"/>
      <c r="C5809" s="28"/>
      <c r="D5809" s="28"/>
      <c r="E5809" s="26"/>
      <c r="F5809" s="22"/>
      <c r="G5809" s="20"/>
      <c r="H5809" s="22"/>
      <c r="I5809" s="22"/>
      <c r="J5809" s="22"/>
      <c r="K5809" s="22"/>
      <c r="L5809" s="22"/>
      <c r="M5809" s="33"/>
      <c r="N5809" s="33"/>
      <c r="O5809" s="20"/>
      <c r="P5809" s="32"/>
      <c r="Q5809" s="30"/>
      <c r="R5809" s="22"/>
      <c r="S5809" s="22"/>
      <c r="T5809" s="22"/>
      <c r="U5809" s="9"/>
      <c r="V5809" s="8"/>
      <c r="W5809" s="8"/>
      <c r="X5809" s="8"/>
      <c r="Y5809" s="8"/>
      <c r="Z5809" s="7"/>
      <c r="AA5809" s="7"/>
      <c r="AB5809" s="7"/>
    </row>
    <row r="5810" ht="15.75" customHeight="1">
      <c r="A5810" s="26"/>
      <c r="B5810" s="22"/>
      <c r="C5810" s="28"/>
      <c r="D5810" s="28"/>
      <c r="E5810" s="26"/>
      <c r="F5810" s="22"/>
      <c r="G5810" s="20"/>
      <c r="H5810" s="22"/>
      <c r="I5810" s="22"/>
      <c r="J5810" s="22"/>
      <c r="K5810" s="22"/>
      <c r="L5810" s="22"/>
      <c r="M5810" s="33"/>
      <c r="N5810" s="33"/>
      <c r="O5810" s="20"/>
      <c r="P5810" s="32"/>
      <c r="Q5810" s="30"/>
      <c r="R5810" s="22"/>
      <c r="S5810" s="22"/>
      <c r="T5810" s="22"/>
      <c r="U5810" s="9"/>
      <c r="V5810" s="8"/>
      <c r="W5810" s="8"/>
      <c r="X5810" s="8"/>
      <c r="Y5810" s="8"/>
      <c r="Z5810" s="7"/>
      <c r="AA5810" s="7"/>
      <c r="AB5810" s="7"/>
    </row>
    <row r="5811" ht="15.75" customHeight="1">
      <c r="A5811" s="26"/>
      <c r="B5811" s="22"/>
      <c r="C5811" s="28"/>
      <c r="D5811" s="28"/>
      <c r="E5811" s="26"/>
      <c r="F5811" s="22"/>
      <c r="G5811" s="20"/>
      <c r="H5811" s="22"/>
      <c r="I5811" s="22"/>
      <c r="J5811" s="22"/>
      <c r="K5811" s="22"/>
      <c r="L5811" s="22"/>
      <c r="M5811" s="33"/>
      <c r="N5811" s="33"/>
      <c r="O5811" s="20"/>
      <c r="P5811" s="32"/>
      <c r="Q5811" s="30"/>
      <c r="R5811" s="22"/>
      <c r="S5811" s="22"/>
      <c r="T5811" s="22"/>
      <c r="U5811" s="9"/>
      <c r="V5811" s="8"/>
      <c r="W5811" s="8"/>
      <c r="X5811" s="8"/>
      <c r="Y5811" s="8"/>
      <c r="Z5811" s="7"/>
      <c r="AA5811" s="7"/>
      <c r="AB5811" s="7"/>
    </row>
    <row r="5812" ht="15.75" customHeight="1">
      <c r="A5812" s="26"/>
      <c r="B5812" s="22"/>
      <c r="C5812" s="28"/>
      <c r="D5812" s="28"/>
      <c r="E5812" s="26"/>
      <c r="F5812" s="22"/>
      <c r="G5812" s="20"/>
      <c r="H5812" s="22"/>
      <c r="I5812" s="22"/>
      <c r="J5812" s="22"/>
      <c r="K5812" s="22"/>
      <c r="L5812" s="22"/>
      <c r="M5812" s="33"/>
      <c r="N5812" s="33"/>
      <c r="O5812" s="20"/>
      <c r="P5812" s="32"/>
      <c r="Q5812" s="30"/>
      <c r="R5812" s="22"/>
      <c r="S5812" s="22"/>
      <c r="T5812" s="22"/>
      <c r="U5812" s="9"/>
      <c r="V5812" s="8"/>
      <c r="W5812" s="8"/>
      <c r="X5812" s="8"/>
      <c r="Y5812" s="8"/>
      <c r="Z5812" s="7"/>
      <c r="AA5812" s="7"/>
      <c r="AB5812" s="7"/>
    </row>
    <row r="5813" ht="15.75" customHeight="1">
      <c r="A5813" s="26"/>
      <c r="B5813" s="22"/>
      <c r="C5813" s="28"/>
      <c r="D5813" s="28"/>
      <c r="E5813" s="26"/>
      <c r="F5813" s="22"/>
      <c r="G5813" s="20"/>
      <c r="H5813" s="22"/>
      <c r="I5813" s="22"/>
      <c r="J5813" s="22"/>
      <c r="K5813" s="22"/>
      <c r="L5813" s="22"/>
      <c r="M5813" s="33"/>
      <c r="N5813" s="33"/>
      <c r="O5813" s="20"/>
      <c r="P5813" s="32"/>
      <c r="Q5813" s="30"/>
      <c r="R5813" s="22"/>
      <c r="S5813" s="22"/>
      <c r="T5813" s="22"/>
      <c r="U5813" s="9"/>
      <c r="V5813" s="8"/>
      <c r="W5813" s="8"/>
      <c r="X5813" s="8"/>
      <c r="Y5813" s="8"/>
      <c r="Z5813" s="7"/>
      <c r="AA5813" s="7"/>
      <c r="AB5813" s="7"/>
    </row>
    <row r="5814" ht="15.75" customHeight="1">
      <c r="A5814" s="26"/>
      <c r="B5814" s="22"/>
      <c r="C5814" s="28"/>
      <c r="D5814" s="28"/>
      <c r="E5814" s="26"/>
      <c r="F5814" s="22"/>
      <c r="G5814" s="20"/>
      <c r="H5814" s="22"/>
      <c r="I5814" s="22"/>
      <c r="J5814" s="22"/>
      <c r="K5814" s="22"/>
      <c r="L5814" s="22"/>
      <c r="M5814" s="33"/>
      <c r="N5814" s="33"/>
      <c r="O5814" s="20"/>
      <c r="P5814" s="32"/>
      <c r="Q5814" s="30"/>
      <c r="R5814" s="22"/>
      <c r="S5814" s="22"/>
      <c r="T5814" s="22"/>
      <c r="U5814" s="9"/>
      <c r="V5814" s="8"/>
      <c r="W5814" s="8"/>
      <c r="X5814" s="8"/>
      <c r="Y5814" s="8"/>
      <c r="Z5814" s="7"/>
      <c r="AA5814" s="7"/>
      <c r="AB5814" s="7"/>
    </row>
    <row r="5815" ht="15.75" customHeight="1">
      <c r="A5815" s="26"/>
      <c r="B5815" s="22"/>
      <c r="C5815" s="28"/>
      <c r="D5815" s="28"/>
      <c r="E5815" s="26"/>
      <c r="F5815" s="22"/>
      <c r="G5815" s="20"/>
      <c r="H5815" s="22"/>
      <c r="I5815" s="22"/>
      <c r="J5815" s="22"/>
      <c r="K5815" s="22"/>
      <c r="L5815" s="22"/>
      <c r="M5815" s="33"/>
      <c r="N5815" s="33"/>
      <c r="O5815" s="20"/>
      <c r="P5815" s="32"/>
      <c r="Q5815" s="30"/>
      <c r="R5815" s="22"/>
      <c r="S5815" s="22"/>
      <c r="T5815" s="22"/>
      <c r="U5815" s="9"/>
      <c r="V5815" s="8"/>
      <c r="W5815" s="8"/>
      <c r="X5815" s="8"/>
      <c r="Y5815" s="8"/>
      <c r="Z5815" s="7"/>
      <c r="AA5815" s="7"/>
      <c r="AB5815" s="7"/>
    </row>
    <row r="5816" ht="15.75" customHeight="1">
      <c r="A5816" s="26"/>
      <c r="B5816" s="22"/>
      <c r="C5816" s="28"/>
      <c r="D5816" s="28"/>
      <c r="E5816" s="26"/>
      <c r="F5816" s="22"/>
      <c r="G5816" s="20"/>
      <c r="H5816" s="22"/>
      <c r="I5816" s="22"/>
      <c r="J5816" s="22"/>
      <c r="K5816" s="22"/>
      <c r="L5816" s="22"/>
      <c r="M5816" s="33"/>
      <c r="N5816" s="33"/>
      <c r="O5816" s="20"/>
      <c r="P5816" s="32"/>
      <c r="Q5816" s="30"/>
      <c r="R5816" s="22"/>
      <c r="S5816" s="22"/>
      <c r="T5816" s="22"/>
      <c r="U5816" s="9"/>
      <c r="V5816" s="8"/>
      <c r="W5816" s="8"/>
      <c r="X5816" s="8"/>
      <c r="Y5816" s="8"/>
      <c r="Z5816" s="7"/>
      <c r="AA5816" s="7"/>
      <c r="AB5816" s="7"/>
    </row>
    <row r="5817" ht="15.75" customHeight="1">
      <c r="A5817" s="26"/>
      <c r="B5817" s="22"/>
      <c r="C5817" s="28"/>
      <c r="D5817" s="28"/>
      <c r="E5817" s="26"/>
      <c r="F5817" s="22"/>
      <c r="G5817" s="20"/>
      <c r="H5817" s="22"/>
      <c r="I5817" s="22"/>
      <c r="J5817" s="22"/>
      <c r="K5817" s="22"/>
      <c r="L5817" s="22"/>
      <c r="M5817" s="33"/>
      <c r="N5817" s="33"/>
      <c r="O5817" s="20"/>
      <c r="P5817" s="32"/>
      <c r="Q5817" s="30"/>
      <c r="R5817" s="22"/>
      <c r="S5817" s="22"/>
      <c r="T5817" s="22"/>
      <c r="U5817" s="9"/>
      <c r="V5817" s="8"/>
      <c r="W5817" s="8"/>
      <c r="X5817" s="8"/>
      <c r="Y5817" s="8"/>
      <c r="Z5817" s="7"/>
      <c r="AA5817" s="7"/>
      <c r="AB5817" s="7"/>
    </row>
    <row r="5818" ht="15.75" customHeight="1">
      <c r="A5818" s="26"/>
      <c r="B5818" s="22"/>
      <c r="C5818" s="28"/>
      <c r="D5818" s="28"/>
      <c r="E5818" s="26"/>
      <c r="F5818" s="22"/>
      <c r="G5818" s="20"/>
      <c r="H5818" s="22"/>
      <c r="I5818" s="22"/>
      <c r="J5818" s="22"/>
      <c r="K5818" s="22"/>
      <c r="L5818" s="22"/>
      <c r="M5818" s="33"/>
      <c r="N5818" s="33"/>
      <c r="O5818" s="20"/>
      <c r="P5818" s="32"/>
      <c r="Q5818" s="30"/>
      <c r="R5818" s="22"/>
      <c r="S5818" s="22"/>
      <c r="T5818" s="22"/>
      <c r="U5818" s="9"/>
      <c r="V5818" s="8"/>
      <c r="W5818" s="8"/>
      <c r="X5818" s="8"/>
      <c r="Y5818" s="8"/>
      <c r="Z5818" s="7"/>
      <c r="AA5818" s="7"/>
      <c r="AB5818" s="7"/>
    </row>
    <row r="5819" ht="15.75" customHeight="1">
      <c r="A5819" s="26"/>
      <c r="B5819" s="22"/>
      <c r="C5819" s="28"/>
      <c r="D5819" s="28"/>
      <c r="E5819" s="26"/>
      <c r="F5819" s="22"/>
      <c r="G5819" s="20"/>
      <c r="H5819" s="22"/>
      <c r="I5819" s="22"/>
      <c r="J5819" s="22"/>
      <c r="K5819" s="22"/>
      <c r="L5819" s="22"/>
      <c r="M5819" s="33"/>
      <c r="N5819" s="33"/>
      <c r="O5819" s="20"/>
      <c r="P5819" s="32"/>
      <c r="Q5819" s="30"/>
      <c r="R5819" s="22"/>
      <c r="S5819" s="22"/>
      <c r="T5819" s="22"/>
      <c r="U5819" s="9"/>
      <c r="V5819" s="8"/>
      <c r="W5819" s="8"/>
      <c r="X5819" s="8"/>
      <c r="Y5819" s="8"/>
      <c r="Z5819" s="7"/>
      <c r="AA5819" s="7"/>
      <c r="AB5819" s="7"/>
    </row>
    <row r="5820" ht="15.75" customHeight="1">
      <c r="A5820" s="26"/>
      <c r="B5820" s="22"/>
      <c r="C5820" s="28"/>
      <c r="D5820" s="28"/>
      <c r="E5820" s="26"/>
      <c r="F5820" s="22"/>
      <c r="G5820" s="20"/>
      <c r="H5820" s="22"/>
      <c r="I5820" s="22"/>
      <c r="J5820" s="22"/>
      <c r="K5820" s="22"/>
      <c r="L5820" s="22"/>
      <c r="M5820" s="33"/>
      <c r="N5820" s="33"/>
      <c r="O5820" s="20"/>
      <c r="P5820" s="32"/>
      <c r="Q5820" s="30"/>
      <c r="R5820" s="22"/>
      <c r="S5820" s="22"/>
      <c r="T5820" s="22"/>
      <c r="U5820" s="9"/>
      <c r="V5820" s="8"/>
      <c r="W5820" s="8"/>
      <c r="X5820" s="8"/>
      <c r="Y5820" s="8"/>
      <c r="Z5820" s="7"/>
      <c r="AA5820" s="7"/>
      <c r="AB5820" s="7"/>
    </row>
    <row r="5821" ht="15.75" customHeight="1">
      <c r="A5821" s="26"/>
      <c r="B5821" s="22"/>
      <c r="C5821" s="28"/>
      <c r="D5821" s="28"/>
      <c r="E5821" s="26"/>
      <c r="F5821" s="22"/>
      <c r="G5821" s="20"/>
      <c r="H5821" s="22"/>
      <c r="I5821" s="22"/>
      <c r="J5821" s="22"/>
      <c r="K5821" s="22"/>
      <c r="L5821" s="22"/>
      <c r="M5821" s="33"/>
      <c r="N5821" s="33"/>
      <c r="O5821" s="20"/>
      <c r="P5821" s="32"/>
      <c r="Q5821" s="30"/>
      <c r="R5821" s="22"/>
      <c r="S5821" s="22"/>
      <c r="T5821" s="22"/>
      <c r="U5821" s="9"/>
      <c r="V5821" s="8"/>
      <c r="W5821" s="8"/>
      <c r="X5821" s="8"/>
      <c r="Y5821" s="8"/>
      <c r="Z5821" s="7"/>
      <c r="AA5821" s="7"/>
      <c r="AB5821" s="7"/>
    </row>
    <row r="5822" ht="15.75" customHeight="1">
      <c r="A5822" s="26"/>
      <c r="B5822" s="22"/>
      <c r="C5822" s="28"/>
      <c r="D5822" s="28"/>
      <c r="E5822" s="26"/>
      <c r="F5822" s="22"/>
      <c r="G5822" s="20"/>
      <c r="H5822" s="22"/>
      <c r="I5822" s="22"/>
      <c r="J5822" s="22"/>
      <c r="K5822" s="22"/>
      <c r="L5822" s="22"/>
      <c r="M5822" s="33"/>
      <c r="N5822" s="33"/>
      <c r="O5822" s="20"/>
      <c r="P5822" s="32"/>
      <c r="Q5822" s="30"/>
      <c r="R5822" s="22"/>
      <c r="S5822" s="22"/>
      <c r="T5822" s="22"/>
      <c r="U5822" s="9"/>
      <c r="V5822" s="8"/>
      <c r="W5822" s="8"/>
      <c r="X5822" s="8"/>
      <c r="Y5822" s="8"/>
      <c r="Z5822" s="7"/>
      <c r="AA5822" s="7"/>
      <c r="AB5822" s="7"/>
    </row>
    <row r="5823" ht="15.75" customHeight="1">
      <c r="A5823" s="26"/>
      <c r="B5823" s="22"/>
      <c r="C5823" s="28"/>
      <c r="D5823" s="28"/>
      <c r="E5823" s="26"/>
      <c r="F5823" s="22"/>
      <c r="G5823" s="20"/>
      <c r="H5823" s="22"/>
      <c r="I5823" s="22"/>
      <c r="J5823" s="22"/>
      <c r="K5823" s="22"/>
      <c r="L5823" s="22"/>
      <c r="M5823" s="33"/>
      <c r="N5823" s="33"/>
      <c r="O5823" s="20"/>
      <c r="P5823" s="32"/>
      <c r="Q5823" s="30"/>
      <c r="R5823" s="22"/>
      <c r="S5823" s="22"/>
      <c r="T5823" s="22"/>
      <c r="U5823" s="9"/>
      <c r="V5823" s="8"/>
      <c r="W5823" s="8"/>
      <c r="X5823" s="8"/>
      <c r="Y5823" s="8"/>
      <c r="Z5823" s="7"/>
      <c r="AA5823" s="7"/>
      <c r="AB5823" s="7"/>
    </row>
    <row r="5824" ht="15.75" customHeight="1">
      <c r="A5824" s="26"/>
      <c r="B5824" s="22"/>
      <c r="C5824" s="28"/>
      <c r="D5824" s="28"/>
      <c r="E5824" s="26"/>
      <c r="F5824" s="22"/>
      <c r="G5824" s="20"/>
      <c r="H5824" s="22"/>
      <c r="I5824" s="22"/>
      <c r="J5824" s="22"/>
      <c r="K5824" s="22"/>
      <c r="L5824" s="22"/>
      <c r="M5824" s="33"/>
      <c r="N5824" s="33"/>
      <c r="O5824" s="20"/>
      <c r="P5824" s="32"/>
      <c r="Q5824" s="30"/>
      <c r="R5824" s="22"/>
      <c r="S5824" s="22"/>
      <c r="T5824" s="22"/>
      <c r="U5824" s="9"/>
      <c r="V5824" s="8"/>
      <c r="W5824" s="8"/>
      <c r="X5824" s="8"/>
      <c r="Y5824" s="8"/>
      <c r="Z5824" s="7"/>
      <c r="AA5824" s="7"/>
      <c r="AB5824" s="7"/>
    </row>
    <row r="5825" ht="15.75" customHeight="1">
      <c r="A5825" s="26"/>
      <c r="B5825" s="22"/>
      <c r="C5825" s="28"/>
      <c r="D5825" s="28"/>
      <c r="E5825" s="26"/>
      <c r="F5825" s="22"/>
      <c r="G5825" s="20"/>
      <c r="H5825" s="22"/>
      <c r="I5825" s="22"/>
      <c r="J5825" s="22"/>
      <c r="K5825" s="22"/>
      <c r="L5825" s="22"/>
      <c r="M5825" s="33"/>
      <c r="N5825" s="33"/>
      <c r="O5825" s="20"/>
      <c r="P5825" s="32"/>
      <c r="Q5825" s="30"/>
      <c r="R5825" s="22"/>
      <c r="S5825" s="22"/>
      <c r="T5825" s="22"/>
      <c r="U5825" s="9"/>
      <c r="V5825" s="8"/>
      <c r="W5825" s="8"/>
      <c r="X5825" s="8"/>
      <c r="Y5825" s="8"/>
      <c r="Z5825" s="7"/>
      <c r="AA5825" s="7"/>
      <c r="AB5825" s="7"/>
    </row>
    <row r="5826" ht="15.75" customHeight="1">
      <c r="A5826" s="26"/>
      <c r="B5826" s="22"/>
      <c r="C5826" s="28"/>
      <c r="D5826" s="28"/>
      <c r="E5826" s="26"/>
      <c r="F5826" s="22"/>
      <c r="G5826" s="20"/>
      <c r="H5826" s="22"/>
      <c r="I5826" s="22"/>
      <c r="J5826" s="22"/>
      <c r="K5826" s="22"/>
      <c r="L5826" s="22"/>
      <c r="M5826" s="33"/>
      <c r="N5826" s="33"/>
      <c r="O5826" s="20"/>
      <c r="P5826" s="32"/>
      <c r="Q5826" s="30"/>
      <c r="R5826" s="22"/>
      <c r="S5826" s="22"/>
      <c r="T5826" s="22"/>
      <c r="U5826" s="9"/>
      <c r="V5826" s="8"/>
      <c r="W5826" s="8"/>
      <c r="X5826" s="8"/>
      <c r="Y5826" s="8"/>
      <c r="Z5826" s="7"/>
      <c r="AA5826" s="7"/>
      <c r="AB5826" s="7"/>
    </row>
    <row r="5827" ht="15.75" customHeight="1">
      <c r="A5827" s="26"/>
      <c r="B5827" s="22"/>
      <c r="C5827" s="28"/>
      <c r="D5827" s="28"/>
      <c r="E5827" s="26"/>
      <c r="F5827" s="22"/>
      <c r="G5827" s="20"/>
      <c r="H5827" s="22"/>
      <c r="I5827" s="22"/>
      <c r="J5827" s="22"/>
      <c r="K5827" s="22"/>
      <c r="L5827" s="22"/>
      <c r="M5827" s="33"/>
      <c r="N5827" s="33"/>
      <c r="O5827" s="20"/>
      <c r="P5827" s="32"/>
      <c r="Q5827" s="30"/>
      <c r="R5827" s="22"/>
      <c r="S5827" s="22"/>
      <c r="T5827" s="22"/>
      <c r="U5827" s="9"/>
      <c r="V5827" s="8"/>
      <c r="W5827" s="8"/>
      <c r="X5827" s="8"/>
      <c r="Y5827" s="8"/>
      <c r="Z5827" s="7"/>
      <c r="AA5827" s="7"/>
      <c r="AB5827" s="7"/>
    </row>
    <row r="5828" ht="15.75" customHeight="1">
      <c r="A5828" s="26"/>
      <c r="B5828" s="22"/>
      <c r="C5828" s="28"/>
      <c r="D5828" s="28"/>
      <c r="E5828" s="26"/>
      <c r="F5828" s="22"/>
      <c r="G5828" s="20"/>
      <c r="H5828" s="22"/>
      <c r="I5828" s="22"/>
      <c r="J5828" s="22"/>
      <c r="K5828" s="22"/>
      <c r="L5828" s="22"/>
      <c r="M5828" s="33"/>
      <c r="N5828" s="33"/>
      <c r="O5828" s="20"/>
      <c r="P5828" s="32"/>
      <c r="Q5828" s="30"/>
      <c r="R5828" s="22"/>
      <c r="S5828" s="22"/>
      <c r="T5828" s="22"/>
      <c r="U5828" s="9"/>
      <c r="V5828" s="8"/>
      <c r="W5828" s="8"/>
      <c r="X5828" s="8"/>
      <c r="Y5828" s="8"/>
      <c r="Z5828" s="7"/>
      <c r="AA5828" s="7"/>
      <c r="AB5828" s="7"/>
    </row>
    <row r="5829" ht="15.75" customHeight="1">
      <c r="A5829" s="26"/>
      <c r="B5829" s="22"/>
      <c r="C5829" s="28"/>
      <c r="D5829" s="28"/>
      <c r="E5829" s="26"/>
      <c r="F5829" s="22"/>
      <c r="G5829" s="20"/>
      <c r="H5829" s="22"/>
      <c r="I5829" s="22"/>
      <c r="J5829" s="22"/>
      <c r="K5829" s="22"/>
      <c r="L5829" s="22"/>
      <c r="M5829" s="33"/>
      <c r="N5829" s="33"/>
      <c r="O5829" s="20"/>
      <c r="P5829" s="32"/>
      <c r="Q5829" s="30"/>
      <c r="R5829" s="22"/>
      <c r="S5829" s="22"/>
      <c r="T5829" s="22"/>
      <c r="U5829" s="9"/>
      <c r="V5829" s="8"/>
      <c r="W5829" s="8"/>
      <c r="X5829" s="8"/>
      <c r="Y5829" s="8"/>
      <c r="Z5829" s="7"/>
      <c r="AA5829" s="7"/>
      <c r="AB5829" s="7"/>
    </row>
    <row r="5830" ht="15.75" customHeight="1">
      <c r="A5830" s="26"/>
      <c r="B5830" s="22"/>
      <c r="C5830" s="28"/>
      <c r="D5830" s="28"/>
      <c r="E5830" s="26"/>
      <c r="F5830" s="22"/>
      <c r="G5830" s="20"/>
      <c r="H5830" s="22"/>
      <c r="I5830" s="22"/>
      <c r="J5830" s="22"/>
      <c r="K5830" s="22"/>
      <c r="L5830" s="22"/>
      <c r="M5830" s="33"/>
      <c r="N5830" s="33"/>
      <c r="O5830" s="20"/>
      <c r="P5830" s="32"/>
      <c r="Q5830" s="30"/>
      <c r="R5830" s="22"/>
      <c r="S5830" s="22"/>
      <c r="T5830" s="22"/>
      <c r="U5830" s="9"/>
      <c r="V5830" s="8"/>
      <c r="W5830" s="8"/>
      <c r="X5830" s="8"/>
      <c r="Y5830" s="8"/>
      <c r="Z5830" s="7"/>
      <c r="AA5830" s="7"/>
      <c r="AB5830" s="7"/>
    </row>
    <row r="5831" ht="15.75" customHeight="1">
      <c r="A5831" s="26"/>
      <c r="B5831" s="22"/>
      <c r="C5831" s="28"/>
      <c r="D5831" s="28"/>
      <c r="E5831" s="26"/>
      <c r="F5831" s="22"/>
      <c r="G5831" s="20"/>
      <c r="H5831" s="22"/>
      <c r="I5831" s="22"/>
      <c r="J5831" s="22"/>
      <c r="K5831" s="22"/>
      <c r="L5831" s="22"/>
      <c r="M5831" s="33"/>
      <c r="N5831" s="33"/>
      <c r="O5831" s="20"/>
      <c r="P5831" s="32"/>
      <c r="Q5831" s="30"/>
      <c r="R5831" s="22"/>
      <c r="S5831" s="22"/>
      <c r="T5831" s="22"/>
      <c r="U5831" s="9"/>
      <c r="V5831" s="8"/>
      <c r="W5831" s="8"/>
      <c r="X5831" s="8"/>
      <c r="Y5831" s="8"/>
      <c r="Z5831" s="7"/>
      <c r="AA5831" s="7"/>
      <c r="AB5831" s="7"/>
    </row>
    <row r="5832" ht="15.75" customHeight="1">
      <c r="A5832" s="26"/>
      <c r="B5832" s="22"/>
      <c r="C5832" s="28"/>
      <c r="D5832" s="28"/>
      <c r="E5832" s="26"/>
      <c r="F5832" s="22"/>
      <c r="G5832" s="20"/>
      <c r="H5832" s="22"/>
      <c r="I5832" s="22"/>
      <c r="J5832" s="22"/>
      <c r="K5832" s="22"/>
      <c r="L5832" s="22"/>
      <c r="M5832" s="33"/>
      <c r="N5832" s="33"/>
      <c r="O5832" s="20"/>
      <c r="P5832" s="32"/>
      <c r="Q5832" s="30"/>
      <c r="R5832" s="22"/>
      <c r="S5832" s="22"/>
      <c r="T5832" s="22"/>
      <c r="U5832" s="9"/>
      <c r="V5832" s="8"/>
      <c r="W5832" s="8"/>
      <c r="X5832" s="8"/>
      <c r="Y5832" s="8"/>
      <c r="Z5832" s="7"/>
      <c r="AA5832" s="7"/>
      <c r="AB5832" s="7"/>
    </row>
    <row r="5833" ht="15.75" customHeight="1">
      <c r="A5833" s="26"/>
      <c r="B5833" s="22"/>
      <c r="C5833" s="28"/>
      <c r="D5833" s="28"/>
      <c r="E5833" s="26"/>
      <c r="F5833" s="22"/>
      <c r="G5833" s="20"/>
      <c r="H5833" s="22"/>
      <c r="I5833" s="22"/>
      <c r="J5833" s="22"/>
      <c r="K5833" s="22"/>
      <c r="L5833" s="22"/>
      <c r="M5833" s="33"/>
      <c r="N5833" s="33"/>
      <c r="O5833" s="20"/>
      <c r="P5833" s="32"/>
      <c r="Q5833" s="30"/>
      <c r="R5833" s="22"/>
      <c r="S5833" s="22"/>
      <c r="T5833" s="22"/>
      <c r="U5833" s="9"/>
      <c r="V5833" s="8"/>
      <c r="W5833" s="8"/>
      <c r="X5833" s="8"/>
      <c r="Y5833" s="8"/>
      <c r="Z5833" s="7"/>
      <c r="AA5833" s="7"/>
      <c r="AB5833" s="7"/>
    </row>
    <row r="5834" ht="15.75" customHeight="1">
      <c r="A5834" s="26"/>
      <c r="B5834" s="22"/>
      <c r="C5834" s="28"/>
      <c r="D5834" s="28"/>
      <c r="E5834" s="26"/>
      <c r="F5834" s="22"/>
      <c r="G5834" s="20"/>
      <c r="H5834" s="22"/>
      <c r="I5834" s="22"/>
      <c r="J5834" s="22"/>
      <c r="K5834" s="22"/>
      <c r="L5834" s="22"/>
      <c r="M5834" s="33"/>
      <c r="N5834" s="33"/>
      <c r="O5834" s="20"/>
      <c r="P5834" s="32"/>
      <c r="Q5834" s="30"/>
      <c r="R5834" s="22"/>
      <c r="S5834" s="22"/>
      <c r="T5834" s="22"/>
      <c r="U5834" s="9"/>
      <c r="V5834" s="8"/>
      <c r="W5834" s="8"/>
      <c r="X5834" s="8"/>
      <c r="Y5834" s="8"/>
      <c r="Z5834" s="7"/>
      <c r="AA5834" s="7"/>
      <c r="AB5834" s="7"/>
    </row>
    <row r="5835" ht="15.75" customHeight="1">
      <c r="A5835" s="26"/>
      <c r="B5835" s="22"/>
      <c r="C5835" s="28"/>
      <c r="D5835" s="28"/>
      <c r="E5835" s="26"/>
      <c r="F5835" s="22"/>
      <c r="G5835" s="20"/>
      <c r="H5835" s="22"/>
      <c r="I5835" s="22"/>
      <c r="J5835" s="22"/>
      <c r="K5835" s="22"/>
      <c r="L5835" s="22"/>
      <c r="M5835" s="33"/>
      <c r="N5835" s="33"/>
      <c r="O5835" s="20"/>
      <c r="P5835" s="32"/>
      <c r="Q5835" s="30"/>
      <c r="R5835" s="22"/>
      <c r="S5835" s="22"/>
      <c r="T5835" s="22"/>
      <c r="U5835" s="9"/>
      <c r="V5835" s="8"/>
      <c r="W5835" s="8"/>
      <c r="X5835" s="8"/>
      <c r="Y5835" s="8"/>
      <c r="Z5835" s="7"/>
      <c r="AA5835" s="7"/>
      <c r="AB5835" s="7"/>
    </row>
    <row r="5836" ht="15.75" customHeight="1">
      <c r="A5836" s="26"/>
      <c r="B5836" s="22"/>
      <c r="C5836" s="28"/>
      <c r="D5836" s="28"/>
      <c r="E5836" s="26"/>
      <c r="F5836" s="22"/>
      <c r="G5836" s="20"/>
      <c r="H5836" s="22"/>
      <c r="I5836" s="22"/>
      <c r="J5836" s="22"/>
      <c r="K5836" s="22"/>
      <c r="L5836" s="22"/>
      <c r="M5836" s="33"/>
      <c r="N5836" s="33"/>
      <c r="O5836" s="20"/>
      <c r="P5836" s="32"/>
      <c r="Q5836" s="30"/>
      <c r="R5836" s="22"/>
      <c r="S5836" s="22"/>
      <c r="T5836" s="22"/>
      <c r="U5836" s="9"/>
      <c r="V5836" s="8"/>
      <c r="W5836" s="8"/>
      <c r="X5836" s="8"/>
      <c r="Y5836" s="8"/>
      <c r="Z5836" s="7"/>
      <c r="AA5836" s="7"/>
      <c r="AB5836" s="7"/>
    </row>
    <row r="5837" ht="15.75" customHeight="1">
      <c r="A5837" s="26"/>
      <c r="B5837" s="22"/>
      <c r="C5837" s="28"/>
      <c r="D5837" s="28"/>
      <c r="E5837" s="26"/>
      <c r="F5837" s="22"/>
      <c r="G5837" s="20"/>
      <c r="H5837" s="22"/>
      <c r="I5837" s="22"/>
      <c r="J5837" s="22"/>
      <c r="K5837" s="22"/>
      <c r="L5837" s="22"/>
      <c r="M5837" s="33"/>
      <c r="N5837" s="33"/>
      <c r="O5837" s="20"/>
      <c r="P5837" s="32"/>
      <c r="Q5837" s="30"/>
      <c r="R5837" s="22"/>
      <c r="S5837" s="22"/>
      <c r="T5837" s="22"/>
      <c r="U5837" s="9"/>
      <c r="V5837" s="8"/>
      <c r="W5837" s="8"/>
      <c r="X5837" s="8"/>
      <c r="Y5837" s="8"/>
      <c r="Z5837" s="7"/>
      <c r="AA5837" s="7"/>
      <c r="AB5837" s="7"/>
    </row>
    <row r="5838" ht="15.75" customHeight="1">
      <c r="A5838" s="26"/>
      <c r="B5838" s="22"/>
      <c r="C5838" s="28"/>
      <c r="D5838" s="28"/>
      <c r="E5838" s="26"/>
      <c r="F5838" s="22"/>
      <c r="G5838" s="20"/>
      <c r="H5838" s="22"/>
      <c r="I5838" s="22"/>
      <c r="J5838" s="22"/>
      <c r="K5838" s="22"/>
      <c r="L5838" s="22"/>
      <c r="M5838" s="33"/>
      <c r="N5838" s="33"/>
      <c r="O5838" s="20"/>
      <c r="P5838" s="32"/>
      <c r="Q5838" s="30"/>
      <c r="R5838" s="22"/>
      <c r="S5838" s="22"/>
      <c r="T5838" s="22"/>
      <c r="U5838" s="9"/>
      <c r="V5838" s="8"/>
      <c r="W5838" s="8"/>
      <c r="X5838" s="8"/>
      <c r="Y5838" s="8"/>
      <c r="Z5838" s="7"/>
      <c r="AA5838" s="7"/>
      <c r="AB5838" s="7"/>
    </row>
    <row r="5839" ht="15.75" customHeight="1">
      <c r="A5839" s="26"/>
      <c r="B5839" s="22"/>
      <c r="C5839" s="28"/>
      <c r="D5839" s="28"/>
      <c r="E5839" s="26"/>
      <c r="F5839" s="22"/>
      <c r="G5839" s="20"/>
      <c r="H5839" s="22"/>
      <c r="I5839" s="22"/>
      <c r="J5839" s="22"/>
      <c r="K5839" s="22"/>
      <c r="L5839" s="22"/>
      <c r="M5839" s="33"/>
      <c r="N5839" s="33"/>
      <c r="O5839" s="20"/>
      <c r="P5839" s="32"/>
      <c r="Q5839" s="30"/>
      <c r="R5839" s="22"/>
      <c r="S5839" s="22"/>
      <c r="T5839" s="22"/>
      <c r="U5839" s="9"/>
      <c r="V5839" s="8"/>
      <c r="W5839" s="8"/>
      <c r="X5839" s="8"/>
      <c r="Y5839" s="8"/>
      <c r="Z5839" s="7"/>
      <c r="AA5839" s="7"/>
      <c r="AB5839" s="7"/>
    </row>
    <row r="5840" ht="15.75" customHeight="1">
      <c r="A5840" s="26"/>
      <c r="B5840" s="22"/>
      <c r="C5840" s="28"/>
      <c r="D5840" s="28"/>
      <c r="E5840" s="26"/>
      <c r="F5840" s="22"/>
      <c r="G5840" s="20"/>
      <c r="H5840" s="22"/>
      <c r="I5840" s="22"/>
      <c r="J5840" s="22"/>
      <c r="K5840" s="22"/>
      <c r="L5840" s="22"/>
      <c r="M5840" s="33"/>
      <c r="N5840" s="33"/>
      <c r="O5840" s="20"/>
      <c r="P5840" s="32"/>
      <c r="Q5840" s="30"/>
      <c r="R5840" s="22"/>
      <c r="S5840" s="22"/>
      <c r="T5840" s="22"/>
      <c r="U5840" s="9"/>
      <c r="V5840" s="8"/>
      <c r="W5840" s="8"/>
      <c r="X5840" s="8"/>
      <c r="Y5840" s="8"/>
      <c r="Z5840" s="7"/>
      <c r="AA5840" s="7"/>
      <c r="AB5840" s="7"/>
    </row>
    <row r="5841" ht="15.75" customHeight="1">
      <c r="A5841" s="26"/>
      <c r="B5841" s="22"/>
      <c r="C5841" s="28"/>
      <c r="D5841" s="28"/>
      <c r="E5841" s="26"/>
      <c r="F5841" s="22"/>
      <c r="G5841" s="20"/>
      <c r="H5841" s="22"/>
      <c r="I5841" s="22"/>
      <c r="J5841" s="22"/>
      <c r="K5841" s="22"/>
      <c r="L5841" s="22"/>
      <c r="M5841" s="33"/>
      <c r="N5841" s="33"/>
      <c r="O5841" s="20"/>
      <c r="P5841" s="32"/>
      <c r="Q5841" s="30"/>
      <c r="R5841" s="22"/>
      <c r="S5841" s="22"/>
      <c r="T5841" s="22"/>
      <c r="U5841" s="9"/>
      <c r="V5841" s="8"/>
      <c r="W5841" s="8"/>
      <c r="X5841" s="8"/>
      <c r="Y5841" s="8"/>
      <c r="Z5841" s="7"/>
      <c r="AA5841" s="7"/>
      <c r="AB5841" s="7"/>
    </row>
    <row r="5842" ht="15.75" customHeight="1">
      <c r="A5842" s="26"/>
      <c r="B5842" s="22"/>
      <c r="C5842" s="28"/>
      <c r="D5842" s="28"/>
      <c r="E5842" s="26"/>
      <c r="F5842" s="22"/>
      <c r="G5842" s="20"/>
      <c r="H5842" s="22"/>
      <c r="I5842" s="22"/>
      <c r="J5842" s="22"/>
      <c r="K5842" s="22"/>
      <c r="L5842" s="22"/>
      <c r="M5842" s="33"/>
      <c r="N5842" s="33"/>
      <c r="O5842" s="20"/>
      <c r="P5842" s="32"/>
      <c r="Q5842" s="30"/>
      <c r="R5842" s="22"/>
      <c r="S5842" s="22"/>
      <c r="T5842" s="22"/>
      <c r="U5842" s="9"/>
      <c r="V5842" s="8"/>
      <c r="W5842" s="8"/>
      <c r="X5842" s="8"/>
      <c r="Y5842" s="8"/>
      <c r="Z5842" s="7"/>
      <c r="AA5842" s="7"/>
      <c r="AB5842" s="7"/>
    </row>
    <row r="5843" ht="15.75" customHeight="1">
      <c r="A5843" s="26"/>
      <c r="B5843" s="22"/>
      <c r="C5843" s="28"/>
      <c r="D5843" s="28"/>
      <c r="E5843" s="26"/>
      <c r="F5843" s="22"/>
      <c r="G5843" s="20"/>
      <c r="H5843" s="22"/>
      <c r="I5843" s="22"/>
      <c r="J5843" s="22"/>
      <c r="K5843" s="22"/>
      <c r="L5843" s="22"/>
      <c r="M5843" s="33"/>
      <c r="N5843" s="33"/>
      <c r="O5843" s="20"/>
      <c r="P5843" s="32"/>
      <c r="Q5843" s="30"/>
      <c r="R5843" s="22"/>
      <c r="S5843" s="22"/>
      <c r="T5843" s="22"/>
      <c r="U5843" s="9"/>
      <c r="V5843" s="8"/>
      <c r="W5843" s="8"/>
      <c r="X5843" s="8"/>
      <c r="Y5843" s="8"/>
      <c r="Z5843" s="7"/>
      <c r="AA5843" s="7"/>
      <c r="AB5843" s="7"/>
    </row>
    <row r="5844" ht="15.75" customHeight="1">
      <c r="A5844" s="26"/>
      <c r="B5844" s="22"/>
      <c r="C5844" s="28"/>
      <c r="D5844" s="28"/>
      <c r="E5844" s="26"/>
      <c r="F5844" s="22"/>
      <c r="G5844" s="20"/>
      <c r="H5844" s="22"/>
      <c r="I5844" s="22"/>
      <c r="J5844" s="22"/>
      <c r="K5844" s="22"/>
      <c r="L5844" s="22"/>
      <c r="M5844" s="33"/>
      <c r="N5844" s="33"/>
      <c r="O5844" s="20"/>
      <c r="P5844" s="32"/>
      <c r="Q5844" s="30"/>
      <c r="R5844" s="22"/>
      <c r="S5844" s="22"/>
      <c r="T5844" s="22"/>
      <c r="U5844" s="9"/>
      <c r="V5844" s="8"/>
      <c r="W5844" s="8"/>
      <c r="X5844" s="8"/>
      <c r="Y5844" s="8"/>
      <c r="Z5844" s="7"/>
      <c r="AA5844" s="7"/>
      <c r="AB5844" s="7"/>
    </row>
    <row r="5845" ht="15.75" customHeight="1">
      <c r="A5845" s="26"/>
      <c r="B5845" s="22"/>
      <c r="C5845" s="28"/>
      <c r="D5845" s="28"/>
      <c r="E5845" s="26"/>
      <c r="F5845" s="22"/>
      <c r="G5845" s="20"/>
      <c r="H5845" s="22"/>
      <c r="I5845" s="22"/>
      <c r="J5845" s="22"/>
      <c r="K5845" s="22"/>
      <c r="L5845" s="22"/>
      <c r="M5845" s="33"/>
      <c r="N5845" s="33"/>
      <c r="O5845" s="20"/>
      <c r="P5845" s="32"/>
      <c r="Q5845" s="30"/>
      <c r="R5845" s="22"/>
      <c r="S5845" s="22"/>
      <c r="T5845" s="22"/>
      <c r="U5845" s="9"/>
      <c r="V5845" s="8"/>
      <c r="W5845" s="8"/>
      <c r="X5845" s="8"/>
      <c r="Y5845" s="8"/>
      <c r="Z5845" s="7"/>
      <c r="AA5845" s="7"/>
      <c r="AB5845" s="7"/>
    </row>
    <row r="5846" ht="15.75" customHeight="1">
      <c r="A5846" s="26"/>
      <c r="B5846" s="22"/>
      <c r="C5846" s="28"/>
      <c r="D5846" s="28"/>
      <c r="E5846" s="26"/>
      <c r="F5846" s="22"/>
      <c r="G5846" s="20"/>
      <c r="H5846" s="22"/>
      <c r="I5846" s="22"/>
      <c r="J5846" s="22"/>
      <c r="K5846" s="22"/>
      <c r="L5846" s="22"/>
      <c r="M5846" s="33"/>
      <c r="N5846" s="33"/>
      <c r="O5846" s="20"/>
      <c r="P5846" s="32"/>
      <c r="Q5846" s="30"/>
      <c r="R5846" s="22"/>
      <c r="S5846" s="22"/>
      <c r="T5846" s="22"/>
      <c r="U5846" s="9"/>
      <c r="V5846" s="8"/>
      <c r="W5846" s="8"/>
      <c r="X5846" s="8"/>
      <c r="Y5846" s="8"/>
      <c r="Z5846" s="7"/>
      <c r="AA5846" s="7"/>
      <c r="AB5846" s="7"/>
    </row>
    <row r="5847" ht="15.75" customHeight="1">
      <c r="A5847" s="26"/>
      <c r="B5847" s="22"/>
      <c r="C5847" s="28"/>
      <c r="D5847" s="28"/>
      <c r="E5847" s="26"/>
      <c r="F5847" s="22"/>
      <c r="G5847" s="20"/>
      <c r="H5847" s="22"/>
      <c r="I5847" s="22"/>
      <c r="J5847" s="22"/>
      <c r="K5847" s="22"/>
      <c r="L5847" s="22"/>
      <c r="M5847" s="33"/>
      <c r="N5847" s="33"/>
      <c r="O5847" s="20"/>
      <c r="P5847" s="32"/>
      <c r="Q5847" s="30"/>
      <c r="R5847" s="22"/>
      <c r="S5847" s="22"/>
      <c r="T5847" s="22"/>
      <c r="U5847" s="9"/>
      <c r="V5847" s="8"/>
      <c r="W5847" s="8"/>
      <c r="X5847" s="8"/>
      <c r="Y5847" s="8"/>
      <c r="Z5847" s="7"/>
      <c r="AA5847" s="7"/>
      <c r="AB5847" s="7"/>
    </row>
    <row r="5848" ht="15.75" customHeight="1">
      <c r="A5848" s="26"/>
      <c r="B5848" s="22"/>
      <c r="C5848" s="28"/>
      <c r="D5848" s="28"/>
      <c r="E5848" s="26"/>
      <c r="F5848" s="22"/>
      <c r="G5848" s="20"/>
      <c r="H5848" s="22"/>
      <c r="I5848" s="22"/>
      <c r="J5848" s="22"/>
      <c r="K5848" s="22"/>
      <c r="L5848" s="22"/>
      <c r="M5848" s="33"/>
      <c r="N5848" s="33"/>
      <c r="O5848" s="20"/>
      <c r="P5848" s="32"/>
      <c r="Q5848" s="30"/>
      <c r="R5848" s="22"/>
      <c r="S5848" s="22"/>
      <c r="T5848" s="22"/>
      <c r="U5848" s="9"/>
      <c r="V5848" s="8"/>
      <c r="W5848" s="8"/>
      <c r="X5848" s="8"/>
      <c r="Y5848" s="8"/>
      <c r="Z5848" s="7"/>
      <c r="AA5848" s="7"/>
      <c r="AB5848" s="7"/>
    </row>
    <row r="5849" ht="15.75" customHeight="1">
      <c r="A5849" s="26"/>
      <c r="B5849" s="22"/>
      <c r="C5849" s="28"/>
      <c r="D5849" s="28"/>
      <c r="E5849" s="26"/>
      <c r="F5849" s="22"/>
      <c r="G5849" s="20"/>
      <c r="H5849" s="22"/>
      <c r="I5849" s="22"/>
      <c r="J5849" s="22"/>
      <c r="K5849" s="22"/>
      <c r="L5849" s="22"/>
      <c r="M5849" s="33"/>
      <c r="N5849" s="33"/>
      <c r="O5849" s="20"/>
      <c r="P5849" s="32"/>
      <c r="Q5849" s="30"/>
      <c r="R5849" s="22"/>
      <c r="S5849" s="22"/>
      <c r="T5849" s="22"/>
      <c r="U5849" s="9"/>
      <c r="V5849" s="8"/>
      <c r="W5849" s="8"/>
      <c r="X5849" s="8"/>
      <c r="Y5849" s="8"/>
      <c r="Z5849" s="7"/>
      <c r="AA5849" s="7"/>
      <c r="AB5849" s="7"/>
    </row>
    <row r="5850" ht="15.75" customHeight="1">
      <c r="A5850" s="26"/>
      <c r="B5850" s="22"/>
      <c r="C5850" s="28"/>
      <c r="D5850" s="28"/>
      <c r="E5850" s="26"/>
      <c r="F5850" s="22"/>
      <c r="G5850" s="20"/>
      <c r="H5850" s="22"/>
      <c r="I5850" s="22"/>
      <c r="J5850" s="22"/>
      <c r="K5850" s="22"/>
      <c r="L5850" s="22"/>
      <c r="M5850" s="33"/>
      <c r="N5850" s="33"/>
      <c r="O5850" s="20"/>
      <c r="P5850" s="32"/>
      <c r="Q5850" s="30"/>
      <c r="R5850" s="22"/>
      <c r="S5850" s="22"/>
      <c r="T5850" s="22"/>
      <c r="U5850" s="9"/>
      <c r="V5850" s="8"/>
      <c r="W5850" s="8"/>
      <c r="X5850" s="8"/>
      <c r="Y5850" s="8"/>
      <c r="Z5850" s="7"/>
      <c r="AA5850" s="7"/>
      <c r="AB5850" s="7"/>
    </row>
    <row r="5851" ht="15.75" customHeight="1">
      <c r="A5851" s="26"/>
      <c r="B5851" s="22"/>
      <c r="C5851" s="28"/>
      <c r="D5851" s="28"/>
      <c r="E5851" s="26"/>
      <c r="F5851" s="22"/>
      <c r="G5851" s="20"/>
      <c r="H5851" s="22"/>
      <c r="I5851" s="22"/>
      <c r="J5851" s="22"/>
      <c r="K5851" s="22"/>
      <c r="L5851" s="22"/>
      <c r="M5851" s="33"/>
      <c r="N5851" s="33"/>
      <c r="O5851" s="20"/>
      <c r="P5851" s="32"/>
      <c r="Q5851" s="30"/>
      <c r="R5851" s="22"/>
      <c r="S5851" s="22"/>
      <c r="T5851" s="22"/>
      <c r="U5851" s="9"/>
      <c r="V5851" s="8"/>
      <c r="W5851" s="8"/>
      <c r="X5851" s="8"/>
      <c r="Y5851" s="8"/>
      <c r="Z5851" s="7"/>
      <c r="AA5851" s="7"/>
      <c r="AB5851" s="7"/>
    </row>
    <row r="5852" ht="15.75" customHeight="1">
      <c r="A5852" s="26"/>
      <c r="B5852" s="22"/>
      <c r="C5852" s="28"/>
      <c r="D5852" s="28"/>
      <c r="E5852" s="26"/>
      <c r="F5852" s="22"/>
      <c r="G5852" s="20"/>
      <c r="H5852" s="22"/>
      <c r="I5852" s="22"/>
      <c r="J5852" s="22"/>
      <c r="K5852" s="22"/>
      <c r="L5852" s="22"/>
      <c r="M5852" s="33"/>
      <c r="N5852" s="33"/>
      <c r="O5852" s="20"/>
      <c r="P5852" s="32"/>
      <c r="Q5852" s="30"/>
      <c r="R5852" s="22"/>
      <c r="S5852" s="22"/>
      <c r="T5852" s="22"/>
      <c r="U5852" s="9"/>
      <c r="V5852" s="8"/>
      <c r="W5852" s="8"/>
      <c r="X5852" s="8"/>
      <c r="Y5852" s="8"/>
      <c r="Z5852" s="7"/>
      <c r="AA5852" s="7"/>
      <c r="AB5852" s="7"/>
    </row>
    <row r="5853" ht="15.75" customHeight="1">
      <c r="A5853" s="26"/>
      <c r="B5853" s="22"/>
      <c r="C5853" s="28"/>
      <c r="D5853" s="28"/>
      <c r="E5853" s="26"/>
      <c r="F5853" s="22"/>
      <c r="G5853" s="20"/>
      <c r="H5853" s="22"/>
      <c r="I5853" s="22"/>
      <c r="J5853" s="22"/>
      <c r="K5853" s="22"/>
      <c r="L5853" s="22"/>
      <c r="M5853" s="33"/>
      <c r="N5853" s="33"/>
      <c r="O5853" s="20"/>
      <c r="P5853" s="32"/>
      <c r="Q5853" s="30"/>
      <c r="R5853" s="22"/>
      <c r="S5853" s="22"/>
      <c r="T5853" s="22"/>
      <c r="U5853" s="9"/>
      <c r="V5853" s="8"/>
      <c r="W5853" s="8"/>
      <c r="X5853" s="8"/>
      <c r="Y5853" s="8"/>
      <c r="Z5853" s="7"/>
      <c r="AA5853" s="7"/>
      <c r="AB5853" s="7"/>
    </row>
    <row r="5854" ht="15.75" customHeight="1">
      <c r="A5854" s="26"/>
      <c r="B5854" s="22"/>
      <c r="C5854" s="28"/>
      <c r="D5854" s="28"/>
      <c r="E5854" s="26"/>
      <c r="F5854" s="22"/>
      <c r="G5854" s="20"/>
      <c r="H5854" s="22"/>
      <c r="I5854" s="22"/>
      <c r="J5854" s="22"/>
      <c r="K5854" s="22"/>
      <c r="L5854" s="22"/>
      <c r="M5854" s="33"/>
      <c r="N5854" s="33"/>
      <c r="O5854" s="20"/>
      <c r="P5854" s="32"/>
      <c r="Q5854" s="30"/>
      <c r="R5854" s="22"/>
      <c r="S5854" s="22"/>
      <c r="T5854" s="22"/>
      <c r="U5854" s="9"/>
      <c r="V5854" s="8"/>
      <c r="W5854" s="8"/>
      <c r="X5854" s="8"/>
      <c r="Y5854" s="8"/>
      <c r="Z5854" s="7"/>
      <c r="AA5854" s="7"/>
      <c r="AB5854" s="7"/>
    </row>
    <row r="5855" ht="15.75" customHeight="1">
      <c r="A5855" s="26"/>
      <c r="B5855" s="22"/>
      <c r="C5855" s="28"/>
      <c r="D5855" s="28"/>
      <c r="E5855" s="26"/>
      <c r="F5855" s="22"/>
      <c r="G5855" s="20"/>
      <c r="H5855" s="22"/>
      <c r="I5855" s="22"/>
      <c r="J5855" s="22"/>
      <c r="K5855" s="22"/>
      <c r="L5855" s="22"/>
      <c r="M5855" s="33"/>
      <c r="N5855" s="33"/>
      <c r="O5855" s="20"/>
      <c r="P5855" s="32"/>
      <c r="Q5855" s="30"/>
      <c r="R5855" s="22"/>
      <c r="S5855" s="22"/>
      <c r="T5855" s="22"/>
      <c r="U5855" s="9"/>
      <c r="V5855" s="8"/>
      <c r="W5855" s="8"/>
      <c r="X5855" s="8"/>
      <c r="Y5855" s="8"/>
      <c r="Z5855" s="7"/>
      <c r="AA5855" s="7"/>
      <c r="AB5855" s="7"/>
    </row>
    <row r="5856" ht="15.75" customHeight="1">
      <c r="A5856" s="26"/>
      <c r="B5856" s="22"/>
      <c r="C5856" s="28"/>
      <c r="D5856" s="28"/>
      <c r="E5856" s="26"/>
      <c r="F5856" s="22"/>
      <c r="G5856" s="20"/>
      <c r="H5856" s="22"/>
      <c r="I5856" s="22"/>
      <c r="J5856" s="22"/>
      <c r="K5856" s="22"/>
      <c r="L5856" s="22"/>
      <c r="M5856" s="33"/>
      <c r="N5856" s="33"/>
      <c r="O5856" s="20"/>
      <c r="P5856" s="32"/>
      <c r="Q5856" s="30"/>
      <c r="R5856" s="22"/>
      <c r="S5856" s="22"/>
      <c r="T5856" s="22"/>
      <c r="U5856" s="9"/>
      <c r="V5856" s="8"/>
      <c r="W5856" s="8"/>
      <c r="X5856" s="8"/>
      <c r="Y5856" s="8"/>
      <c r="Z5856" s="7"/>
      <c r="AA5856" s="7"/>
      <c r="AB5856" s="7"/>
    </row>
    <row r="5857" ht="15.75" customHeight="1">
      <c r="A5857" s="26"/>
      <c r="B5857" s="22"/>
      <c r="C5857" s="28"/>
      <c r="D5857" s="28"/>
      <c r="E5857" s="26"/>
      <c r="F5857" s="22"/>
      <c r="G5857" s="20"/>
      <c r="H5857" s="22"/>
      <c r="I5857" s="22"/>
      <c r="J5857" s="22"/>
      <c r="K5857" s="22"/>
      <c r="L5857" s="22"/>
      <c r="M5857" s="33"/>
      <c r="N5857" s="33"/>
      <c r="O5857" s="20"/>
      <c r="P5857" s="32"/>
      <c r="Q5857" s="30"/>
      <c r="R5857" s="22"/>
      <c r="S5857" s="22"/>
      <c r="T5857" s="22"/>
      <c r="U5857" s="9"/>
      <c r="V5857" s="8"/>
      <c r="W5857" s="8"/>
      <c r="X5857" s="8"/>
      <c r="Y5857" s="8"/>
      <c r="Z5857" s="7"/>
      <c r="AA5857" s="7"/>
      <c r="AB5857" s="7"/>
    </row>
    <row r="5858" ht="15.75" customHeight="1">
      <c r="A5858" s="26"/>
      <c r="B5858" s="22"/>
      <c r="C5858" s="28"/>
      <c r="D5858" s="28"/>
      <c r="E5858" s="26"/>
      <c r="F5858" s="22"/>
      <c r="G5858" s="20"/>
      <c r="H5858" s="22"/>
      <c r="I5858" s="22"/>
      <c r="J5858" s="22"/>
      <c r="K5858" s="22"/>
      <c r="L5858" s="22"/>
      <c r="M5858" s="33"/>
      <c r="N5858" s="33"/>
      <c r="O5858" s="20"/>
      <c r="P5858" s="32"/>
      <c r="Q5858" s="30"/>
      <c r="R5858" s="22"/>
      <c r="S5858" s="22"/>
      <c r="T5858" s="22"/>
      <c r="U5858" s="9"/>
      <c r="V5858" s="8"/>
      <c r="W5858" s="8"/>
      <c r="X5858" s="8"/>
      <c r="Y5858" s="8"/>
      <c r="Z5858" s="7"/>
      <c r="AA5858" s="7"/>
      <c r="AB5858" s="7"/>
    </row>
    <row r="5859" ht="15.75" customHeight="1">
      <c r="A5859" s="26"/>
      <c r="B5859" s="22"/>
      <c r="C5859" s="28"/>
      <c r="D5859" s="28"/>
      <c r="E5859" s="26"/>
      <c r="F5859" s="22"/>
      <c r="G5859" s="20"/>
      <c r="H5859" s="22"/>
      <c r="I5859" s="22"/>
      <c r="J5859" s="22"/>
      <c r="K5859" s="22"/>
      <c r="L5859" s="22"/>
      <c r="M5859" s="33"/>
      <c r="N5859" s="33"/>
      <c r="O5859" s="20"/>
      <c r="P5859" s="32"/>
      <c r="Q5859" s="30"/>
      <c r="R5859" s="22"/>
      <c r="S5859" s="22"/>
      <c r="T5859" s="22"/>
      <c r="U5859" s="9"/>
      <c r="V5859" s="8"/>
      <c r="W5859" s="8"/>
      <c r="X5859" s="8"/>
      <c r="Y5859" s="8"/>
      <c r="Z5859" s="7"/>
      <c r="AA5859" s="7"/>
      <c r="AB5859" s="7"/>
    </row>
    <row r="5860" ht="15.75" customHeight="1">
      <c r="A5860" s="26"/>
      <c r="B5860" s="22"/>
      <c r="C5860" s="28"/>
      <c r="D5860" s="28"/>
      <c r="E5860" s="26"/>
      <c r="F5860" s="22"/>
      <c r="G5860" s="20"/>
      <c r="H5860" s="22"/>
      <c r="I5860" s="22"/>
      <c r="J5860" s="22"/>
      <c r="K5860" s="22"/>
      <c r="L5860" s="22"/>
      <c r="M5860" s="33"/>
      <c r="N5860" s="33"/>
      <c r="O5860" s="20"/>
      <c r="P5860" s="32"/>
      <c r="Q5860" s="30"/>
      <c r="R5860" s="22"/>
      <c r="S5860" s="22"/>
      <c r="T5860" s="22"/>
      <c r="U5860" s="9"/>
      <c r="V5860" s="8"/>
      <c r="W5860" s="8"/>
      <c r="X5860" s="8"/>
      <c r="Y5860" s="8"/>
      <c r="Z5860" s="7"/>
      <c r="AA5860" s="7"/>
      <c r="AB5860" s="7"/>
    </row>
    <row r="5861" ht="15.75" customHeight="1">
      <c r="A5861" s="26"/>
      <c r="B5861" s="22"/>
      <c r="C5861" s="28"/>
      <c r="D5861" s="28"/>
      <c r="E5861" s="26"/>
      <c r="F5861" s="22"/>
      <c r="G5861" s="20"/>
      <c r="H5861" s="22"/>
      <c r="I5861" s="22"/>
      <c r="J5861" s="22"/>
      <c r="K5861" s="22"/>
      <c r="L5861" s="22"/>
      <c r="M5861" s="33"/>
      <c r="N5861" s="33"/>
      <c r="O5861" s="20"/>
      <c r="P5861" s="32"/>
      <c r="Q5861" s="30"/>
      <c r="R5861" s="22"/>
      <c r="S5861" s="22"/>
      <c r="T5861" s="22"/>
      <c r="U5861" s="9"/>
      <c r="V5861" s="8"/>
      <c r="W5861" s="8"/>
      <c r="X5861" s="8"/>
      <c r="Y5861" s="8"/>
      <c r="Z5861" s="7"/>
      <c r="AA5861" s="7"/>
      <c r="AB5861" s="7"/>
    </row>
    <row r="5862" ht="15.75" customHeight="1">
      <c r="A5862" s="26"/>
      <c r="B5862" s="22"/>
      <c r="C5862" s="28"/>
      <c r="D5862" s="28"/>
      <c r="E5862" s="26"/>
      <c r="F5862" s="22"/>
      <c r="G5862" s="20"/>
      <c r="H5862" s="22"/>
      <c r="I5862" s="22"/>
      <c r="J5862" s="22"/>
      <c r="K5862" s="22"/>
      <c r="L5862" s="22"/>
      <c r="M5862" s="33"/>
      <c r="N5862" s="33"/>
      <c r="O5862" s="20"/>
      <c r="P5862" s="32"/>
      <c r="Q5862" s="30"/>
      <c r="R5862" s="22"/>
      <c r="S5862" s="22"/>
      <c r="T5862" s="22"/>
      <c r="U5862" s="9"/>
      <c r="V5862" s="8"/>
      <c r="W5862" s="8"/>
      <c r="X5862" s="8"/>
      <c r="Y5862" s="8"/>
      <c r="Z5862" s="7"/>
      <c r="AA5862" s="7"/>
      <c r="AB5862" s="7"/>
    </row>
    <row r="5863" ht="15.75" customHeight="1">
      <c r="A5863" s="26"/>
      <c r="B5863" s="22"/>
      <c r="C5863" s="28"/>
      <c r="D5863" s="28"/>
      <c r="E5863" s="26"/>
      <c r="F5863" s="22"/>
      <c r="G5863" s="20"/>
      <c r="H5863" s="22"/>
      <c r="I5863" s="22"/>
      <c r="J5863" s="22"/>
      <c r="K5863" s="22"/>
      <c r="L5863" s="22"/>
      <c r="M5863" s="33"/>
      <c r="N5863" s="33"/>
      <c r="O5863" s="20"/>
      <c r="P5863" s="32"/>
      <c r="Q5863" s="30"/>
      <c r="R5863" s="22"/>
      <c r="S5863" s="22"/>
      <c r="T5863" s="22"/>
      <c r="U5863" s="9"/>
      <c r="V5863" s="8"/>
      <c r="W5863" s="8"/>
      <c r="X5863" s="8"/>
      <c r="Y5863" s="8"/>
      <c r="Z5863" s="7"/>
      <c r="AA5863" s="7"/>
      <c r="AB5863" s="7"/>
    </row>
    <row r="5864" ht="15.75" customHeight="1">
      <c r="A5864" s="26"/>
      <c r="B5864" s="22"/>
      <c r="C5864" s="28"/>
      <c r="D5864" s="28"/>
      <c r="E5864" s="26"/>
      <c r="F5864" s="22"/>
      <c r="G5864" s="20"/>
      <c r="H5864" s="22"/>
      <c r="I5864" s="22"/>
      <c r="J5864" s="22"/>
      <c r="K5864" s="22"/>
      <c r="L5864" s="22"/>
      <c r="M5864" s="33"/>
      <c r="N5864" s="33"/>
      <c r="O5864" s="20"/>
      <c r="P5864" s="32"/>
      <c r="Q5864" s="30"/>
      <c r="R5864" s="22"/>
      <c r="S5864" s="22"/>
      <c r="T5864" s="22"/>
      <c r="U5864" s="9"/>
      <c r="V5864" s="8"/>
      <c r="W5864" s="8"/>
      <c r="X5864" s="8"/>
      <c r="Y5864" s="8"/>
      <c r="Z5864" s="7"/>
      <c r="AA5864" s="7"/>
      <c r="AB5864" s="7"/>
    </row>
    <row r="5865" ht="15.75" customHeight="1">
      <c r="A5865" s="26"/>
      <c r="B5865" s="22"/>
      <c r="C5865" s="28"/>
      <c r="D5865" s="28"/>
      <c r="E5865" s="26"/>
      <c r="F5865" s="22"/>
      <c r="G5865" s="20"/>
      <c r="H5865" s="22"/>
      <c r="I5865" s="22"/>
      <c r="J5865" s="22"/>
      <c r="K5865" s="22"/>
      <c r="L5865" s="22"/>
      <c r="M5865" s="33"/>
      <c r="N5865" s="33"/>
      <c r="O5865" s="20"/>
      <c r="P5865" s="32"/>
      <c r="Q5865" s="30"/>
      <c r="R5865" s="22"/>
      <c r="S5865" s="22"/>
      <c r="T5865" s="22"/>
      <c r="U5865" s="9"/>
      <c r="V5865" s="8"/>
      <c r="W5865" s="8"/>
      <c r="X5865" s="8"/>
      <c r="Y5865" s="8"/>
      <c r="Z5865" s="7"/>
      <c r="AA5865" s="7"/>
      <c r="AB5865" s="7"/>
    </row>
    <row r="5866" ht="15.75" customHeight="1">
      <c r="A5866" s="26"/>
      <c r="B5866" s="22"/>
      <c r="C5866" s="28"/>
      <c r="D5866" s="28"/>
      <c r="E5866" s="26"/>
      <c r="F5866" s="22"/>
      <c r="G5866" s="20"/>
      <c r="H5866" s="22"/>
      <c r="I5866" s="22"/>
      <c r="J5866" s="22"/>
      <c r="K5866" s="22"/>
      <c r="L5866" s="22"/>
      <c r="M5866" s="33"/>
      <c r="N5866" s="33"/>
      <c r="O5866" s="20"/>
      <c r="P5866" s="32"/>
      <c r="Q5866" s="30"/>
      <c r="R5866" s="22"/>
      <c r="S5866" s="22"/>
      <c r="T5866" s="22"/>
      <c r="U5866" s="9"/>
      <c r="V5866" s="8"/>
      <c r="W5866" s="8"/>
      <c r="X5866" s="8"/>
      <c r="Y5866" s="8"/>
      <c r="Z5866" s="7"/>
      <c r="AA5866" s="7"/>
      <c r="AB5866" s="7"/>
    </row>
    <row r="5867" ht="15.75" customHeight="1">
      <c r="A5867" s="26"/>
      <c r="B5867" s="22"/>
      <c r="C5867" s="28"/>
      <c r="D5867" s="28"/>
      <c r="E5867" s="26"/>
      <c r="F5867" s="22"/>
      <c r="G5867" s="20"/>
      <c r="H5867" s="22"/>
      <c r="I5867" s="22"/>
      <c r="J5867" s="22"/>
      <c r="K5867" s="22"/>
      <c r="L5867" s="22"/>
      <c r="M5867" s="33"/>
      <c r="N5867" s="33"/>
      <c r="O5867" s="20"/>
      <c r="P5867" s="32"/>
      <c r="Q5867" s="30"/>
      <c r="R5867" s="22"/>
      <c r="S5867" s="22"/>
      <c r="T5867" s="22"/>
      <c r="U5867" s="9"/>
      <c r="V5867" s="8"/>
      <c r="W5867" s="8"/>
      <c r="X5867" s="8"/>
      <c r="Y5867" s="8"/>
      <c r="Z5867" s="7"/>
      <c r="AA5867" s="7"/>
      <c r="AB5867" s="7"/>
    </row>
    <row r="5868" ht="15.75" customHeight="1">
      <c r="A5868" s="26"/>
      <c r="B5868" s="22"/>
      <c r="C5868" s="28"/>
      <c r="D5868" s="28"/>
      <c r="E5868" s="26"/>
      <c r="F5868" s="22"/>
      <c r="G5868" s="20"/>
      <c r="H5868" s="22"/>
      <c r="I5868" s="22"/>
      <c r="J5868" s="22"/>
      <c r="K5868" s="22"/>
      <c r="L5868" s="22"/>
      <c r="M5868" s="33"/>
      <c r="N5868" s="33"/>
      <c r="O5868" s="20"/>
      <c r="P5868" s="32"/>
      <c r="Q5868" s="30"/>
      <c r="R5868" s="22"/>
      <c r="S5868" s="22"/>
      <c r="T5868" s="22"/>
      <c r="U5868" s="9"/>
      <c r="V5868" s="8"/>
      <c r="W5868" s="8"/>
      <c r="X5868" s="8"/>
      <c r="Y5868" s="8"/>
      <c r="Z5868" s="7"/>
      <c r="AA5868" s="7"/>
      <c r="AB5868" s="7"/>
    </row>
    <row r="5869" ht="15.75" customHeight="1">
      <c r="A5869" s="26"/>
      <c r="B5869" s="22"/>
      <c r="C5869" s="28"/>
      <c r="D5869" s="28"/>
      <c r="E5869" s="26"/>
      <c r="F5869" s="22"/>
      <c r="G5869" s="20"/>
      <c r="H5869" s="22"/>
      <c r="I5869" s="22"/>
      <c r="J5869" s="22"/>
      <c r="K5869" s="22"/>
      <c r="L5869" s="22"/>
      <c r="M5869" s="33"/>
      <c r="N5869" s="33"/>
      <c r="O5869" s="20"/>
      <c r="P5869" s="32"/>
      <c r="Q5869" s="30"/>
      <c r="R5869" s="22"/>
      <c r="S5869" s="22"/>
      <c r="T5869" s="22"/>
      <c r="U5869" s="9"/>
      <c r="V5869" s="8"/>
      <c r="W5869" s="8"/>
      <c r="X5869" s="8"/>
      <c r="Y5869" s="8"/>
      <c r="Z5869" s="7"/>
      <c r="AA5869" s="7"/>
      <c r="AB5869" s="7"/>
    </row>
    <row r="5870" ht="15.75" customHeight="1">
      <c r="A5870" s="26"/>
      <c r="B5870" s="22"/>
      <c r="C5870" s="28"/>
      <c r="D5870" s="28"/>
      <c r="E5870" s="26"/>
      <c r="F5870" s="22"/>
      <c r="G5870" s="20"/>
      <c r="H5870" s="22"/>
      <c r="I5870" s="22"/>
      <c r="J5870" s="22"/>
      <c r="K5870" s="22"/>
      <c r="L5870" s="22"/>
      <c r="M5870" s="33"/>
      <c r="N5870" s="33"/>
      <c r="O5870" s="20"/>
      <c r="P5870" s="32"/>
      <c r="Q5870" s="30"/>
      <c r="R5870" s="22"/>
      <c r="S5870" s="22"/>
      <c r="T5870" s="22"/>
      <c r="U5870" s="9"/>
      <c r="V5870" s="8"/>
      <c r="W5870" s="8"/>
      <c r="X5870" s="8"/>
      <c r="Y5870" s="8"/>
      <c r="Z5870" s="7"/>
      <c r="AA5870" s="7"/>
      <c r="AB5870" s="7"/>
    </row>
    <row r="5871" ht="15.75" customHeight="1">
      <c r="A5871" s="26"/>
      <c r="B5871" s="22"/>
      <c r="C5871" s="28"/>
      <c r="D5871" s="28"/>
      <c r="E5871" s="26"/>
      <c r="F5871" s="22"/>
      <c r="G5871" s="20"/>
      <c r="H5871" s="22"/>
      <c r="I5871" s="22"/>
      <c r="J5871" s="22"/>
      <c r="K5871" s="22"/>
      <c r="L5871" s="22"/>
      <c r="M5871" s="33"/>
      <c r="N5871" s="33"/>
      <c r="O5871" s="20"/>
      <c r="P5871" s="32"/>
      <c r="Q5871" s="30"/>
      <c r="R5871" s="22"/>
      <c r="S5871" s="22"/>
      <c r="T5871" s="22"/>
      <c r="U5871" s="9"/>
      <c r="V5871" s="8"/>
      <c r="W5871" s="8"/>
      <c r="X5871" s="8"/>
      <c r="Y5871" s="8"/>
      <c r="Z5871" s="7"/>
      <c r="AA5871" s="7"/>
      <c r="AB5871" s="7"/>
    </row>
    <row r="5872" ht="15.75" customHeight="1">
      <c r="A5872" s="26"/>
      <c r="B5872" s="22"/>
      <c r="C5872" s="28"/>
      <c r="D5872" s="28"/>
      <c r="E5872" s="26"/>
      <c r="F5872" s="22"/>
      <c r="G5872" s="20"/>
      <c r="H5872" s="22"/>
      <c r="I5872" s="22"/>
      <c r="J5872" s="22"/>
      <c r="K5872" s="22"/>
      <c r="L5872" s="22"/>
      <c r="M5872" s="33"/>
      <c r="N5872" s="33"/>
      <c r="O5872" s="20"/>
      <c r="P5872" s="32"/>
      <c r="Q5872" s="30"/>
      <c r="R5872" s="22"/>
      <c r="S5872" s="22"/>
      <c r="T5872" s="22"/>
      <c r="U5872" s="9"/>
      <c r="V5872" s="8"/>
      <c r="W5872" s="8"/>
      <c r="X5872" s="8"/>
      <c r="Y5872" s="8"/>
      <c r="Z5872" s="7"/>
      <c r="AA5872" s="7"/>
      <c r="AB5872" s="7"/>
    </row>
    <row r="5873" ht="15.75" customHeight="1">
      <c r="A5873" s="26"/>
      <c r="B5873" s="22"/>
      <c r="C5873" s="28"/>
      <c r="D5873" s="28"/>
      <c r="E5873" s="26"/>
      <c r="F5873" s="22"/>
      <c r="G5873" s="20"/>
      <c r="H5873" s="22"/>
      <c r="I5873" s="22"/>
      <c r="J5873" s="22"/>
      <c r="K5873" s="22"/>
      <c r="L5873" s="22"/>
      <c r="M5873" s="33"/>
      <c r="N5873" s="33"/>
      <c r="O5873" s="20"/>
      <c r="P5873" s="32"/>
      <c r="Q5873" s="30"/>
      <c r="R5873" s="22"/>
      <c r="S5873" s="22"/>
      <c r="T5873" s="22"/>
      <c r="U5873" s="9"/>
      <c r="V5873" s="8"/>
      <c r="W5873" s="8"/>
      <c r="X5873" s="8"/>
      <c r="Y5873" s="8"/>
      <c r="Z5873" s="7"/>
      <c r="AA5873" s="7"/>
      <c r="AB5873" s="7"/>
    </row>
    <row r="5874" ht="15.75" customHeight="1">
      <c r="A5874" s="26"/>
      <c r="B5874" s="22"/>
      <c r="C5874" s="28"/>
      <c r="D5874" s="28"/>
      <c r="E5874" s="26"/>
      <c r="F5874" s="22"/>
      <c r="G5874" s="20"/>
      <c r="H5874" s="22"/>
      <c r="I5874" s="22"/>
      <c r="J5874" s="22"/>
      <c r="K5874" s="22"/>
      <c r="L5874" s="22"/>
      <c r="M5874" s="33"/>
      <c r="N5874" s="33"/>
      <c r="O5874" s="20"/>
      <c r="P5874" s="32"/>
      <c r="Q5874" s="30"/>
      <c r="R5874" s="22"/>
      <c r="S5874" s="22"/>
      <c r="T5874" s="22"/>
      <c r="U5874" s="9"/>
      <c r="V5874" s="8"/>
      <c r="W5874" s="8"/>
      <c r="X5874" s="8"/>
      <c r="Y5874" s="8"/>
      <c r="Z5874" s="7"/>
      <c r="AA5874" s="7"/>
      <c r="AB5874" s="7"/>
    </row>
    <row r="5875" ht="15.75" customHeight="1">
      <c r="A5875" s="26"/>
      <c r="B5875" s="22"/>
      <c r="C5875" s="28"/>
      <c r="D5875" s="28"/>
      <c r="E5875" s="26"/>
      <c r="F5875" s="22"/>
      <c r="G5875" s="20"/>
      <c r="H5875" s="22"/>
      <c r="I5875" s="22"/>
      <c r="J5875" s="22"/>
      <c r="K5875" s="22"/>
      <c r="L5875" s="22"/>
      <c r="M5875" s="33"/>
      <c r="N5875" s="33"/>
      <c r="O5875" s="20"/>
      <c r="P5875" s="32"/>
      <c r="Q5875" s="30"/>
      <c r="R5875" s="22"/>
      <c r="S5875" s="22"/>
      <c r="T5875" s="22"/>
      <c r="U5875" s="9"/>
      <c r="V5875" s="8"/>
      <c r="W5875" s="8"/>
      <c r="X5875" s="8"/>
      <c r="Y5875" s="8"/>
      <c r="Z5875" s="7"/>
      <c r="AA5875" s="7"/>
      <c r="AB5875" s="7"/>
    </row>
    <row r="5876" ht="15.75" customHeight="1">
      <c r="A5876" s="26"/>
      <c r="B5876" s="22"/>
      <c r="C5876" s="28"/>
      <c r="D5876" s="28"/>
      <c r="E5876" s="26"/>
      <c r="F5876" s="22"/>
      <c r="G5876" s="20"/>
      <c r="H5876" s="22"/>
      <c r="I5876" s="22"/>
      <c r="J5876" s="22"/>
      <c r="K5876" s="22"/>
      <c r="L5876" s="22"/>
      <c r="M5876" s="33"/>
      <c r="N5876" s="33"/>
      <c r="O5876" s="20"/>
      <c r="P5876" s="32"/>
      <c r="Q5876" s="30"/>
      <c r="R5876" s="22"/>
      <c r="S5876" s="22"/>
      <c r="T5876" s="22"/>
      <c r="U5876" s="9"/>
      <c r="V5876" s="8"/>
      <c r="W5876" s="8"/>
      <c r="X5876" s="8"/>
      <c r="Y5876" s="8"/>
      <c r="Z5876" s="7"/>
      <c r="AA5876" s="7"/>
      <c r="AB5876" s="7"/>
    </row>
    <row r="5877" ht="15.75" customHeight="1">
      <c r="A5877" s="26"/>
      <c r="B5877" s="22"/>
      <c r="C5877" s="28"/>
      <c r="D5877" s="28"/>
      <c r="E5877" s="26"/>
      <c r="F5877" s="22"/>
      <c r="G5877" s="20"/>
      <c r="H5877" s="22"/>
      <c r="I5877" s="22"/>
      <c r="J5877" s="22"/>
      <c r="K5877" s="22"/>
      <c r="L5877" s="22"/>
      <c r="M5877" s="33"/>
      <c r="N5877" s="33"/>
      <c r="O5877" s="20"/>
      <c r="P5877" s="32"/>
      <c r="Q5877" s="30"/>
      <c r="R5877" s="22"/>
      <c r="S5877" s="22"/>
      <c r="T5877" s="22"/>
      <c r="U5877" s="9"/>
      <c r="V5877" s="8"/>
      <c r="W5877" s="8"/>
      <c r="X5877" s="8"/>
      <c r="Y5877" s="8"/>
      <c r="Z5877" s="7"/>
      <c r="AA5877" s="7"/>
      <c r="AB5877" s="7"/>
    </row>
    <row r="5878" ht="15.75" customHeight="1">
      <c r="A5878" s="26"/>
      <c r="B5878" s="22"/>
      <c r="C5878" s="28"/>
      <c r="D5878" s="28"/>
      <c r="E5878" s="26"/>
      <c r="F5878" s="22"/>
      <c r="G5878" s="20"/>
      <c r="H5878" s="22"/>
      <c r="I5878" s="22"/>
      <c r="J5878" s="22"/>
      <c r="K5878" s="22"/>
      <c r="L5878" s="22"/>
      <c r="M5878" s="33"/>
      <c r="N5878" s="33"/>
      <c r="O5878" s="20"/>
      <c r="P5878" s="32"/>
      <c r="Q5878" s="30"/>
      <c r="R5878" s="22"/>
      <c r="S5878" s="22"/>
      <c r="T5878" s="22"/>
      <c r="U5878" s="9"/>
      <c r="V5878" s="8"/>
      <c r="W5878" s="8"/>
      <c r="X5878" s="8"/>
      <c r="Y5878" s="8"/>
      <c r="Z5878" s="7"/>
      <c r="AA5878" s="7"/>
      <c r="AB5878" s="7"/>
    </row>
    <row r="5879" ht="15.75" customHeight="1">
      <c r="A5879" s="26"/>
      <c r="B5879" s="22"/>
      <c r="C5879" s="28"/>
      <c r="D5879" s="28"/>
      <c r="E5879" s="26"/>
      <c r="F5879" s="22"/>
      <c r="G5879" s="20"/>
      <c r="H5879" s="22"/>
      <c r="I5879" s="22"/>
      <c r="J5879" s="22"/>
      <c r="K5879" s="22"/>
      <c r="L5879" s="22"/>
      <c r="M5879" s="33"/>
      <c r="N5879" s="33"/>
      <c r="O5879" s="20"/>
      <c r="P5879" s="32"/>
      <c r="Q5879" s="30"/>
      <c r="R5879" s="22"/>
      <c r="S5879" s="22"/>
      <c r="T5879" s="22"/>
      <c r="U5879" s="9"/>
      <c r="V5879" s="8"/>
      <c r="W5879" s="8"/>
      <c r="X5879" s="8"/>
      <c r="Y5879" s="8"/>
      <c r="Z5879" s="7"/>
      <c r="AA5879" s="7"/>
      <c r="AB5879" s="7"/>
    </row>
    <row r="5880" ht="15.75" customHeight="1">
      <c r="A5880" s="26"/>
      <c r="B5880" s="22"/>
      <c r="C5880" s="28"/>
      <c r="D5880" s="28"/>
      <c r="E5880" s="26"/>
      <c r="F5880" s="22"/>
      <c r="G5880" s="20"/>
      <c r="H5880" s="22"/>
      <c r="I5880" s="22"/>
      <c r="J5880" s="22"/>
      <c r="K5880" s="22"/>
      <c r="L5880" s="22"/>
      <c r="M5880" s="33"/>
      <c r="N5880" s="33"/>
      <c r="O5880" s="20"/>
      <c r="P5880" s="32"/>
      <c r="Q5880" s="30"/>
      <c r="R5880" s="22"/>
      <c r="S5880" s="22"/>
      <c r="T5880" s="22"/>
      <c r="U5880" s="9"/>
      <c r="V5880" s="8"/>
      <c r="W5880" s="8"/>
      <c r="X5880" s="8"/>
      <c r="Y5880" s="8"/>
      <c r="Z5880" s="7"/>
      <c r="AA5880" s="7"/>
      <c r="AB5880" s="7"/>
    </row>
    <row r="5881" ht="15.75" customHeight="1">
      <c r="A5881" s="26"/>
      <c r="B5881" s="22"/>
      <c r="C5881" s="28"/>
      <c r="D5881" s="28"/>
      <c r="E5881" s="26"/>
      <c r="F5881" s="22"/>
      <c r="G5881" s="20"/>
      <c r="H5881" s="22"/>
      <c r="I5881" s="22"/>
      <c r="J5881" s="22"/>
      <c r="K5881" s="22"/>
      <c r="L5881" s="22"/>
      <c r="M5881" s="33"/>
      <c r="N5881" s="33"/>
      <c r="O5881" s="20"/>
      <c r="P5881" s="32"/>
      <c r="Q5881" s="30"/>
      <c r="R5881" s="22"/>
      <c r="S5881" s="22"/>
      <c r="T5881" s="22"/>
      <c r="U5881" s="9"/>
      <c r="V5881" s="8"/>
      <c r="W5881" s="8"/>
      <c r="X5881" s="8"/>
      <c r="Y5881" s="8"/>
      <c r="Z5881" s="7"/>
      <c r="AA5881" s="7"/>
      <c r="AB5881" s="7"/>
    </row>
    <row r="5882" ht="15.75" customHeight="1">
      <c r="A5882" s="26"/>
      <c r="B5882" s="22"/>
      <c r="C5882" s="28"/>
      <c r="D5882" s="28"/>
      <c r="E5882" s="26"/>
      <c r="F5882" s="22"/>
      <c r="G5882" s="20"/>
      <c r="H5882" s="22"/>
      <c r="I5882" s="22"/>
      <c r="J5882" s="22"/>
      <c r="K5882" s="22"/>
      <c r="L5882" s="22"/>
      <c r="M5882" s="33"/>
      <c r="N5882" s="33"/>
      <c r="O5882" s="20"/>
      <c r="P5882" s="32"/>
      <c r="Q5882" s="30"/>
      <c r="R5882" s="22"/>
      <c r="S5882" s="22"/>
      <c r="T5882" s="22"/>
      <c r="U5882" s="9"/>
      <c r="V5882" s="8"/>
      <c r="W5882" s="8"/>
      <c r="X5882" s="8"/>
      <c r="Y5882" s="8"/>
      <c r="Z5882" s="7"/>
      <c r="AA5882" s="7"/>
      <c r="AB5882" s="7"/>
    </row>
    <row r="5883" ht="15.75" customHeight="1">
      <c r="A5883" s="26"/>
      <c r="B5883" s="22"/>
      <c r="C5883" s="28"/>
      <c r="D5883" s="28"/>
      <c r="E5883" s="26"/>
      <c r="F5883" s="22"/>
      <c r="G5883" s="20"/>
      <c r="H5883" s="22"/>
      <c r="I5883" s="22"/>
      <c r="J5883" s="22"/>
      <c r="K5883" s="22"/>
      <c r="L5883" s="22"/>
      <c r="M5883" s="33"/>
      <c r="N5883" s="33"/>
      <c r="O5883" s="20"/>
      <c r="P5883" s="32"/>
      <c r="Q5883" s="30"/>
      <c r="R5883" s="22"/>
      <c r="S5883" s="22"/>
      <c r="T5883" s="22"/>
      <c r="U5883" s="9"/>
      <c r="V5883" s="8"/>
      <c r="W5883" s="8"/>
      <c r="X5883" s="8"/>
      <c r="Y5883" s="8"/>
      <c r="Z5883" s="7"/>
      <c r="AA5883" s="7"/>
      <c r="AB5883" s="7"/>
    </row>
    <row r="5884" ht="15.75" customHeight="1">
      <c r="A5884" s="26"/>
      <c r="B5884" s="22"/>
      <c r="C5884" s="28"/>
      <c r="D5884" s="28"/>
      <c r="E5884" s="26"/>
      <c r="F5884" s="22"/>
      <c r="G5884" s="20"/>
      <c r="H5884" s="22"/>
      <c r="I5884" s="22"/>
      <c r="J5884" s="22"/>
      <c r="K5884" s="22"/>
      <c r="L5884" s="22"/>
      <c r="M5884" s="33"/>
      <c r="N5884" s="33"/>
      <c r="O5884" s="20"/>
      <c r="P5884" s="32"/>
      <c r="Q5884" s="30"/>
      <c r="R5884" s="22"/>
      <c r="S5884" s="22"/>
      <c r="T5884" s="22"/>
      <c r="U5884" s="9"/>
      <c r="V5884" s="8"/>
      <c r="W5884" s="8"/>
      <c r="X5884" s="8"/>
      <c r="Y5884" s="8"/>
      <c r="Z5884" s="7"/>
      <c r="AA5884" s="7"/>
      <c r="AB5884" s="7"/>
    </row>
    <row r="5885" ht="15.75" customHeight="1">
      <c r="A5885" s="26"/>
      <c r="B5885" s="22"/>
      <c r="C5885" s="28"/>
      <c r="D5885" s="28"/>
      <c r="E5885" s="26"/>
      <c r="F5885" s="22"/>
      <c r="G5885" s="20"/>
      <c r="H5885" s="22"/>
      <c r="I5885" s="22"/>
      <c r="J5885" s="22"/>
      <c r="K5885" s="22"/>
      <c r="L5885" s="22"/>
      <c r="M5885" s="33"/>
      <c r="N5885" s="33"/>
      <c r="O5885" s="20"/>
      <c r="P5885" s="32"/>
      <c r="Q5885" s="30"/>
      <c r="R5885" s="22"/>
      <c r="S5885" s="22"/>
      <c r="T5885" s="22"/>
      <c r="U5885" s="9"/>
      <c r="V5885" s="8"/>
      <c r="W5885" s="8"/>
      <c r="X5885" s="8"/>
      <c r="Y5885" s="8"/>
      <c r="Z5885" s="7"/>
      <c r="AA5885" s="7"/>
      <c r="AB5885" s="7"/>
    </row>
    <row r="5886" ht="15.75" customHeight="1">
      <c r="A5886" s="26"/>
      <c r="B5886" s="22"/>
      <c r="C5886" s="28"/>
      <c r="D5886" s="28"/>
      <c r="E5886" s="26"/>
      <c r="F5886" s="22"/>
      <c r="G5886" s="20"/>
      <c r="H5886" s="22"/>
      <c r="I5886" s="22"/>
      <c r="J5886" s="22"/>
      <c r="K5886" s="22"/>
      <c r="L5886" s="22"/>
      <c r="M5886" s="33"/>
      <c r="N5886" s="33"/>
      <c r="O5886" s="20"/>
      <c r="P5886" s="32"/>
      <c r="Q5886" s="30"/>
      <c r="R5886" s="22"/>
      <c r="S5886" s="22"/>
      <c r="T5886" s="22"/>
      <c r="U5886" s="9"/>
      <c r="V5886" s="8"/>
      <c r="W5886" s="8"/>
      <c r="X5886" s="8"/>
      <c r="Y5886" s="8"/>
      <c r="Z5886" s="7"/>
      <c r="AA5886" s="7"/>
      <c r="AB5886" s="7"/>
    </row>
    <row r="5887" ht="15.75" customHeight="1">
      <c r="A5887" s="26"/>
      <c r="B5887" s="22"/>
      <c r="C5887" s="28"/>
      <c r="D5887" s="28"/>
      <c r="E5887" s="26"/>
      <c r="F5887" s="22"/>
      <c r="G5887" s="20"/>
      <c r="H5887" s="22"/>
      <c r="I5887" s="22"/>
      <c r="J5887" s="22"/>
      <c r="K5887" s="22"/>
      <c r="L5887" s="22"/>
      <c r="M5887" s="33"/>
      <c r="N5887" s="33"/>
      <c r="O5887" s="20"/>
      <c r="P5887" s="32"/>
      <c r="Q5887" s="30"/>
      <c r="R5887" s="22"/>
      <c r="S5887" s="22"/>
      <c r="T5887" s="22"/>
      <c r="U5887" s="9"/>
      <c r="V5887" s="8"/>
      <c r="W5887" s="8"/>
      <c r="X5887" s="8"/>
      <c r="Y5887" s="8"/>
      <c r="Z5887" s="7"/>
      <c r="AA5887" s="7"/>
      <c r="AB5887" s="7"/>
    </row>
    <row r="5888" ht="15.75" customHeight="1">
      <c r="A5888" s="26"/>
      <c r="B5888" s="22"/>
      <c r="C5888" s="28"/>
      <c r="D5888" s="28"/>
      <c r="E5888" s="26"/>
      <c r="F5888" s="22"/>
      <c r="G5888" s="20"/>
      <c r="H5888" s="22"/>
      <c r="I5888" s="22"/>
      <c r="J5888" s="22"/>
      <c r="K5888" s="22"/>
      <c r="L5888" s="22"/>
      <c r="M5888" s="33"/>
      <c r="N5888" s="33"/>
      <c r="O5888" s="20"/>
      <c r="P5888" s="32"/>
      <c r="Q5888" s="30"/>
      <c r="R5888" s="22"/>
      <c r="S5888" s="22"/>
      <c r="T5888" s="22"/>
      <c r="U5888" s="9"/>
      <c r="V5888" s="8"/>
      <c r="W5888" s="8"/>
      <c r="X5888" s="8"/>
      <c r="Y5888" s="8"/>
      <c r="Z5888" s="7"/>
      <c r="AA5888" s="7"/>
      <c r="AB5888" s="7"/>
    </row>
    <row r="5889" ht="15.75" customHeight="1">
      <c r="A5889" s="26"/>
      <c r="B5889" s="22"/>
      <c r="C5889" s="28"/>
      <c r="D5889" s="28"/>
      <c r="E5889" s="26"/>
      <c r="F5889" s="22"/>
      <c r="G5889" s="20"/>
      <c r="H5889" s="22"/>
      <c r="I5889" s="22"/>
      <c r="J5889" s="22"/>
      <c r="K5889" s="22"/>
      <c r="L5889" s="22"/>
      <c r="M5889" s="33"/>
      <c r="N5889" s="33"/>
      <c r="O5889" s="20"/>
      <c r="P5889" s="32"/>
      <c r="Q5889" s="30"/>
      <c r="R5889" s="22"/>
      <c r="S5889" s="22"/>
      <c r="T5889" s="22"/>
      <c r="U5889" s="9"/>
      <c r="V5889" s="8"/>
      <c r="W5889" s="8"/>
      <c r="X5889" s="8"/>
      <c r="Y5889" s="8"/>
      <c r="Z5889" s="7"/>
      <c r="AA5889" s="7"/>
      <c r="AB5889" s="7"/>
    </row>
    <row r="5890" ht="15.75" customHeight="1">
      <c r="A5890" s="26"/>
      <c r="B5890" s="22"/>
      <c r="C5890" s="28"/>
      <c r="D5890" s="28"/>
      <c r="E5890" s="26"/>
      <c r="F5890" s="22"/>
      <c r="G5890" s="20"/>
      <c r="H5890" s="22"/>
      <c r="I5890" s="22"/>
      <c r="J5890" s="22"/>
      <c r="K5890" s="22"/>
      <c r="L5890" s="22"/>
      <c r="M5890" s="33"/>
      <c r="N5890" s="33"/>
      <c r="O5890" s="20"/>
      <c r="P5890" s="32"/>
      <c r="Q5890" s="30"/>
      <c r="R5890" s="22"/>
      <c r="S5890" s="22"/>
      <c r="T5890" s="22"/>
      <c r="U5890" s="9"/>
      <c r="V5890" s="8"/>
      <c r="W5890" s="8"/>
      <c r="X5890" s="8"/>
      <c r="Y5890" s="8"/>
      <c r="Z5890" s="7"/>
      <c r="AA5890" s="7"/>
      <c r="AB5890" s="7"/>
    </row>
    <row r="5891" ht="15.75" customHeight="1">
      <c r="A5891" s="26"/>
      <c r="B5891" s="22"/>
      <c r="C5891" s="28"/>
      <c r="D5891" s="28"/>
      <c r="E5891" s="26"/>
      <c r="F5891" s="22"/>
      <c r="G5891" s="20"/>
      <c r="H5891" s="22"/>
      <c r="I5891" s="22"/>
      <c r="J5891" s="22"/>
      <c r="K5891" s="22"/>
      <c r="L5891" s="22"/>
      <c r="M5891" s="33"/>
      <c r="N5891" s="33"/>
      <c r="O5891" s="20"/>
      <c r="P5891" s="32"/>
      <c r="Q5891" s="30"/>
      <c r="R5891" s="22"/>
      <c r="S5891" s="22"/>
      <c r="T5891" s="22"/>
      <c r="U5891" s="9"/>
      <c r="V5891" s="8"/>
      <c r="W5891" s="8"/>
      <c r="X5891" s="8"/>
      <c r="Y5891" s="8"/>
      <c r="Z5891" s="7"/>
      <c r="AA5891" s="7"/>
      <c r="AB5891" s="7"/>
    </row>
    <row r="5892" ht="15.75" customHeight="1">
      <c r="A5892" s="26"/>
      <c r="B5892" s="22"/>
      <c r="C5892" s="28"/>
      <c r="D5892" s="28"/>
      <c r="E5892" s="26"/>
      <c r="F5892" s="22"/>
      <c r="G5892" s="20"/>
      <c r="H5892" s="22"/>
      <c r="I5892" s="22"/>
      <c r="J5892" s="22"/>
      <c r="K5892" s="22"/>
      <c r="L5892" s="22"/>
      <c r="M5892" s="33"/>
      <c r="N5892" s="33"/>
      <c r="O5892" s="20"/>
      <c r="P5892" s="32"/>
      <c r="Q5892" s="30"/>
      <c r="R5892" s="22"/>
      <c r="S5892" s="22"/>
      <c r="T5892" s="22"/>
      <c r="U5892" s="9"/>
      <c r="V5892" s="8"/>
      <c r="W5892" s="8"/>
      <c r="X5892" s="8"/>
      <c r="Y5892" s="8"/>
      <c r="Z5892" s="7"/>
      <c r="AA5892" s="7"/>
      <c r="AB5892" s="7"/>
    </row>
    <row r="5893" ht="15.75" customHeight="1">
      <c r="A5893" s="26"/>
      <c r="B5893" s="22"/>
      <c r="C5893" s="28"/>
      <c r="D5893" s="28"/>
      <c r="E5893" s="26"/>
      <c r="F5893" s="22"/>
      <c r="G5893" s="20"/>
      <c r="H5893" s="22"/>
      <c r="I5893" s="22"/>
      <c r="J5893" s="22"/>
      <c r="K5893" s="22"/>
      <c r="L5893" s="22"/>
      <c r="M5893" s="33"/>
      <c r="N5893" s="33"/>
      <c r="O5893" s="20"/>
      <c r="P5893" s="32"/>
      <c r="Q5893" s="30"/>
      <c r="R5893" s="22"/>
      <c r="S5893" s="22"/>
      <c r="T5893" s="22"/>
      <c r="U5893" s="9"/>
      <c r="V5893" s="8"/>
      <c r="W5893" s="8"/>
      <c r="X5893" s="8"/>
      <c r="Y5893" s="8"/>
      <c r="Z5893" s="7"/>
      <c r="AA5893" s="7"/>
      <c r="AB5893" s="7"/>
    </row>
    <row r="5894" ht="15.75" customHeight="1">
      <c r="A5894" s="26"/>
      <c r="B5894" s="22"/>
      <c r="C5894" s="28"/>
      <c r="D5894" s="28"/>
      <c r="E5894" s="26"/>
      <c r="F5894" s="22"/>
      <c r="G5894" s="20"/>
      <c r="H5894" s="22"/>
      <c r="I5894" s="22"/>
      <c r="J5894" s="22"/>
      <c r="K5894" s="22"/>
      <c r="L5894" s="22"/>
      <c r="M5894" s="33"/>
      <c r="N5894" s="33"/>
      <c r="O5894" s="20"/>
      <c r="P5894" s="32"/>
      <c r="Q5894" s="30"/>
      <c r="R5894" s="22"/>
      <c r="S5894" s="22"/>
      <c r="T5894" s="22"/>
      <c r="U5894" s="9"/>
      <c r="V5894" s="8"/>
      <c r="W5894" s="8"/>
      <c r="X5894" s="8"/>
      <c r="Y5894" s="8"/>
      <c r="Z5894" s="7"/>
      <c r="AA5894" s="7"/>
      <c r="AB5894" s="7"/>
    </row>
    <row r="5895" ht="15.75" customHeight="1">
      <c r="A5895" s="26"/>
      <c r="B5895" s="22"/>
      <c r="C5895" s="28"/>
      <c r="D5895" s="28"/>
      <c r="E5895" s="26"/>
      <c r="F5895" s="22"/>
      <c r="G5895" s="20"/>
      <c r="H5895" s="22"/>
      <c r="I5895" s="22"/>
      <c r="J5895" s="22"/>
      <c r="K5895" s="22"/>
      <c r="L5895" s="22"/>
      <c r="M5895" s="33"/>
      <c r="N5895" s="33"/>
      <c r="O5895" s="20"/>
      <c r="P5895" s="32"/>
      <c r="Q5895" s="30"/>
      <c r="R5895" s="22"/>
      <c r="S5895" s="22"/>
      <c r="T5895" s="22"/>
      <c r="U5895" s="9"/>
      <c r="V5895" s="8"/>
      <c r="W5895" s="8"/>
      <c r="X5895" s="8"/>
      <c r="Y5895" s="8"/>
      <c r="Z5895" s="7"/>
      <c r="AA5895" s="7"/>
      <c r="AB5895" s="7"/>
    </row>
    <row r="5896" ht="15.75" customHeight="1">
      <c r="A5896" s="26"/>
      <c r="B5896" s="22"/>
      <c r="C5896" s="28"/>
      <c r="D5896" s="28"/>
      <c r="E5896" s="26"/>
      <c r="F5896" s="22"/>
      <c r="G5896" s="20"/>
      <c r="H5896" s="22"/>
      <c r="I5896" s="22"/>
      <c r="J5896" s="22"/>
      <c r="K5896" s="22"/>
      <c r="L5896" s="22"/>
      <c r="M5896" s="33"/>
      <c r="N5896" s="33"/>
      <c r="O5896" s="20"/>
      <c r="P5896" s="32"/>
      <c r="Q5896" s="30"/>
      <c r="R5896" s="22"/>
      <c r="S5896" s="22"/>
      <c r="T5896" s="22"/>
      <c r="U5896" s="9"/>
      <c r="V5896" s="8"/>
      <c r="W5896" s="8"/>
      <c r="X5896" s="8"/>
      <c r="Y5896" s="8"/>
      <c r="Z5896" s="7"/>
      <c r="AA5896" s="7"/>
      <c r="AB5896" s="7"/>
    </row>
    <row r="5897" ht="15.75" customHeight="1">
      <c r="A5897" s="26"/>
      <c r="B5897" s="22"/>
      <c r="C5897" s="28"/>
      <c r="D5897" s="28"/>
      <c r="E5897" s="26"/>
      <c r="F5897" s="22"/>
      <c r="G5897" s="20"/>
      <c r="H5897" s="22"/>
      <c r="I5897" s="22"/>
      <c r="J5897" s="22"/>
      <c r="K5897" s="22"/>
      <c r="L5897" s="22"/>
      <c r="M5897" s="33"/>
      <c r="N5897" s="33"/>
      <c r="O5897" s="20"/>
      <c r="P5897" s="32"/>
      <c r="Q5897" s="30"/>
      <c r="R5897" s="22"/>
      <c r="S5897" s="22"/>
      <c r="T5897" s="22"/>
      <c r="U5897" s="9"/>
      <c r="V5897" s="8"/>
      <c r="W5897" s="8"/>
      <c r="X5897" s="8"/>
      <c r="Y5897" s="8"/>
      <c r="Z5897" s="7"/>
      <c r="AA5897" s="7"/>
      <c r="AB5897" s="7"/>
    </row>
    <row r="5898" ht="15.75" customHeight="1">
      <c r="A5898" s="26"/>
      <c r="B5898" s="22"/>
      <c r="C5898" s="28"/>
      <c r="D5898" s="28"/>
      <c r="E5898" s="26"/>
      <c r="F5898" s="22"/>
      <c r="G5898" s="20"/>
      <c r="H5898" s="22"/>
      <c r="I5898" s="22"/>
      <c r="J5898" s="22"/>
      <c r="K5898" s="22"/>
      <c r="L5898" s="22"/>
      <c r="M5898" s="33"/>
      <c r="N5898" s="33"/>
      <c r="O5898" s="20"/>
      <c r="P5898" s="32"/>
      <c r="Q5898" s="30"/>
      <c r="R5898" s="22"/>
      <c r="S5898" s="22"/>
      <c r="T5898" s="22"/>
      <c r="U5898" s="9"/>
      <c r="V5898" s="8"/>
      <c r="W5898" s="8"/>
      <c r="X5898" s="8"/>
      <c r="Y5898" s="8"/>
      <c r="Z5898" s="7"/>
      <c r="AA5898" s="7"/>
      <c r="AB5898" s="7"/>
    </row>
    <row r="5899" ht="15.75" customHeight="1">
      <c r="A5899" s="26"/>
      <c r="B5899" s="22"/>
      <c r="C5899" s="28"/>
      <c r="D5899" s="28"/>
      <c r="E5899" s="26"/>
      <c r="F5899" s="22"/>
      <c r="G5899" s="20"/>
      <c r="H5899" s="22"/>
      <c r="I5899" s="22"/>
      <c r="J5899" s="22"/>
      <c r="K5899" s="22"/>
      <c r="L5899" s="22"/>
      <c r="M5899" s="33"/>
      <c r="N5899" s="33"/>
      <c r="O5899" s="20"/>
      <c r="P5899" s="32"/>
      <c r="Q5899" s="30"/>
      <c r="R5899" s="22"/>
      <c r="S5899" s="22"/>
      <c r="T5899" s="22"/>
      <c r="U5899" s="9"/>
      <c r="V5899" s="8"/>
      <c r="W5899" s="8"/>
      <c r="X5899" s="8"/>
      <c r="Y5899" s="8"/>
      <c r="Z5899" s="7"/>
      <c r="AA5899" s="7"/>
      <c r="AB5899" s="7"/>
    </row>
    <row r="5900" ht="15.75" customHeight="1">
      <c r="A5900" s="26"/>
      <c r="B5900" s="22"/>
      <c r="C5900" s="28"/>
      <c r="D5900" s="28"/>
      <c r="E5900" s="26"/>
      <c r="F5900" s="22"/>
      <c r="G5900" s="20"/>
      <c r="H5900" s="22"/>
      <c r="I5900" s="22"/>
      <c r="J5900" s="22"/>
      <c r="K5900" s="22"/>
      <c r="L5900" s="22"/>
      <c r="M5900" s="33"/>
      <c r="N5900" s="33"/>
      <c r="O5900" s="20"/>
      <c r="P5900" s="32"/>
      <c r="Q5900" s="30"/>
      <c r="R5900" s="22"/>
      <c r="S5900" s="22"/>
      <c r="T5900" s="22"/>
      <c r="U5900" s="9"/>
      <c r="V5900" s="8"/>
      <c r="W5900" s="8"/>
      <c r="X5900" s="8"/>
      <c r="Y5900" s="8"/>
      <c r="Z5900" s="7"/>
      <c r="AA5900" s="7"/>
      <c r="AB5900" s="7"/>
    </row>
    <row r="5901" ht="15.75" customHeight="1">
      <c r="A5901" s="26"/>
      <c r="B5901" s="22"/>
      <c r="C5901" s="28"/>
      <c r="D5901" s="28"/>
      <c r="E5901" s="26"/>
      <c r="F5901" s="22"/>
      <c r="G5901" s="20"/>
      <c r="H5901" s="22"/>
      <c r="I5901" s="22"/>
      <c r="J5901" s="22"/>
      <c r="K5901" s="22"/>
      <c r="L5901" s="22"/>
      <c r="M5901" s="33"/>
      <c r="N5901" s="33"/>
      <c r="O5901" s="20"/>
      <c r="P5901" s="32"/>
      <c r="Q5901" s="30"/>
      <c r="R5901" s="22"/>
      <c r="S5901" s="22"/>
      <c r="T5901" s="22"/>
      <c r="U5901" s="9"/>
      <c r="V5901" s="8"/>
      <c r="W5901" s="8"/>
      <c r="X5901" s="8"/>
      <c r="Y5901" s="8"/>
      <c r="Z5901" s="7"/>
      <c r="AA5901" s="7"/>
      <c r="AB5901" s="7"/>
    </row>
    <row r="5902" ht="15.75" customHeight="1">
      <c r="A5902" s="26"/>
      <c r="B5902" s="22"/>
      <c r="C5902" s="28"/>
      <c r="D5902" s="28"/>
      <c r="E5902" s="26"/>
      <c r="F5902" s="22"/>
      <c r="G5902" s="20"/>
      <c r="H5902" s="22"/>
      <c r="I5902" s="22"/>
      <c r="J5902" s="22"/>
      <c r="K5902" s="22"/>
      <c r="L5902" s="22"/>
      <c r="M5902" s="33"/>
      <c r="N5902" s="33"/>
      <c r="O5902" s="20"/>
      <c r="P5902" s="32"/>
      <c r="Q5902" s="30"/>
      <c r="R5902" s="22"/>
      <c r="S5902" s="22"/>
      <c r="T5902" s="22"/>
      <c r="U5902" s="9"/>
      <c r="V5902" s="8"/>
      <c r="W5902" s="8"/>
      <c r="X5902" s="8"/>
      <c r="Y5902" s="8"/>
      <c r="Z5902" s="7"/>
      <c r="AA5902" s="7"/>
      <c r="AB5902" s="7"/>
    </row>
    <row r="5903" ht="15.75" customHeight="1">
      <c r="A5903" s="26"/>
      <c r="B5903" s="22"/>
      <c r="C5903" s="28"/>
      <c r="D5903" s="28"/>
      <c r="E5903" s="26"/>
      <c r="F5903" s="22"/>
      <c r="G5903" s="20"/>
      <c r="H5903" s="22"/>
      <c r="I5903" s="22"/>
      <c r="J5903" s="22"/>
      <c r="K5903" s="22"/>
      <c r="L5903" s="22"/>
      <c r="M5903" s="33"/>
      <c r="N5903" s="33"/>
      <c r="O5903" s="20"/>
      <c r="P5903" s="32"/>
      <c r="Q5903" s="30"/>
      <c r="R5903" s="22"/>
      <c r="S5903" s="22"/>
      <c r="T5903" s="22"/>
      <c r="U5903" s="9"/>
      <c r="V5903" s="8"/>
      <c r="W5903" s="8"/>
      <c r="X5903" s="8"/>
      <c r="Y5903" s="8"/>
      <c r="Z5903" s="7"/>
      <c r="AA5903" s="7"/>
      <c r="AB5903" s="7"/>
    </row>
    <row r="5904" ht="15.75" customHeight="1">
      <c r="A5904" s="26"/>
      <c r="B5904" s="22"/>
      <c r="C5904" s="28"/>
      <c r="D5904" s="28"/>
      <c r="E5904" s="26"/>
      <c r="F5904" s="22"/>
      <c r="G5904" s="20"/>
      <c r="H5904" s="22"/>
      <c r="I5904" s="22"/>
      <c r="J5904" s="22"/>
      <c r="K5904" s="22"/>
      <c r="L5904" s="22"/>
      <c r="M5904" s="33"/>
      <c r="N5904" s="33"/>
      <c r="O5904" s="20"/>
      <c r="P5904" s="32"/>
      <c r="Q5904" s="30"/>
      <c r="R5904" s="22"/>
      <c r="S5904" s="22"/>
      <c r="T5904" s="22"/>
      <c r="U5904" s="9"/>
      <c r="V5904" s="8"/>
      <c r="W5904" s="8"/>
      <c r="X5904" s="8"/>
      <c r="Y5904" s="8"/>
      <c r="Z5904" s="7"/>
      <c r="AA5904" s="7"/>
      <c r="AB5904" s="7"/>
    </row>
    <row r="5905" ht="15.75" customHeight="1">
      <c r="A5905" s="26"/>
      <c r="B5905" s="22"/>
      <c r="C5905" s="28"/>
      <c r="D5905" s="28"/>
      <c r="E5905" s="26"/>
      <c r="F5905" s="22"/>
      <c r="G5905" s="20"/>
      <c r="H5905" s="22"/>
      <c r="I5905" s="22"/>
      <c r="J5905" s="22"/>
      <c r="K5905" s="22"/>
      <c r="L5905" s="22"/>
      <c r="M5905" s="33"/>
      <c r="N5905" s="33"/>
      <c r="O5905" s="20"/>
      <c r="P5905" s="32"/>
      <c r="Q5905" s="30"/>
      <c r="R5905" s="22"/>
      <c r="S5905" s="22"/>
      <c r="T5905" s="22"/>
      <c r="U5905" s="9"/>
      <c r="V5905" s="8"/>
      <c r="W5905" s="8"/>
      <c r="X5905" s="8"/>
      <c r="Y5905" s="8"/>
      <c r="Z5905" s="7"/>
      <c r="AA5905" s="7"/>
      <c r="AB5905" s="7"/>
    </row>
    <row r="5906" ht="15.75" customHeight="1">
      <c r="A5906" s="26"/>
      <c r="B5906" s="22"/>
      <c r="C5906" s="28"/>
      <c r="D5906" s="28"/>
      <c r="E5906" s="26"/>
      <c r="F5906" s="22"/>
      <c r="G5906" s="20"/>
      <c r="H5906" s="22"/>
      <c r="I5906" s="22"/>
      <c r="J5906" s="22"/>
      <c r="K5906" s="22"/>
      <c r="L5906" s="22"/>
      <c r="M5906" s="33"/>
      <c r="N5906" s="33"/>
      <c r="O5906" s="20"/>
      <c r="P5906" s="32"/>
      <c r="Q5906" s="30"/>
      <c r="R5906" s="22"/>
      <c r="S5906" s="22"/>
      <c r="T5906" s="22"/>
      <c r="U5906" s="9"/>
      <c r="V5906" s="8"/>
      <c r="W5906" s="8"/>
      <c r="X5906" s="8"/>
      <c r="Y5906" s="8"/>
      <c r="Z5906" s="7"/>
      <c r="AA5906" s="7"/>
      <c r="AB5906" s="7"/>
    </row>
    <row r="5907" ht="15.75" customHeight="1">
      <c r="A5907" s="26"/>
      <c r="B5907" s="22"/>
      <c r="C5907" s="28"/>
      <c r="D5907" s="28"/>
      <c r="E5907" s="26"/>
      <c r="F5907" s="22"/>
      <c r="G5907" s="20"/>
      <c r="H5907" s="22"/>
      <c r="I5907" s="22"/>
      <c r="J5907" s="22"/>
      <c r="K5907" s="22"/>
      <c r="L5907" s="22"/>
      <c r="M5907" s="33"/>
      <c r="N5907" s="33"/>
      <c r="O5907" s="20"/>
      <c r="P5907" s="32"/>
      <c r="Q5907" s="30"/>
      <c r="R5907" s="22"/>
      <c r="S5907" s="22"/>
      <c r="T5907" s="22"/>
      <c r="U5907" s="9"/>
      <c r="V5907" s="8"/>
      <c r="W5907" s="8"/>
      <c r="X5907" s="8"/>
      <c r="Y5907" s="8"/>
      <c r="Z5907" s="7"/>
      <c r="AA5907" s="7"/>
      <c r="AB5907" s="7"/>
    </row>
    <row r="5908" ht="15.75" customHeight="1">
      <c r="A5908" s="26"/>
      <c r="B5908" s="22"/>
      <c r="C5908" s="28"/>
      <c r="D5908" s="28"/>
      <c r="E5908" s="26"/>
      <c r="F5908" s="22"/>
      <c r="G5908" s="20"/>
      <c r="H5908" s="22"/>
      <c r="I5908" s="22"/>
      <c r="J5908" s="22"/>
      <c r="K5908" s="22"/>
      <c r="L5908" s="22"/>
      <c r="M5908" s="33"/>
      <c r="N5908" s="33"/>
      <c r="O5908" s="20"/>
      <c r="P5908" s="32"/>
      <c r="Q5908" s="30"/>
      <c r="R5908" s="22"/>
      <c r="S5908" s="22"/>
      <c r="T5908" s="22"/>
      <c r="U5908" s="9"/>
      <c r="V5908" s="8"/>
      <c r="W5908" s="8"/>
      <c r="X5908" s="8"/>
      <c r="Y5908" s="8"/>
      <c r="Z5908" s="7"/>
      <c r="AA5908" s="7"/>
      <c r="AB5908" s="7"/>
    </row>
    <row r="5909" ht="15.75" customHeight="1">
      <c r="A5909" s="26"/>
      <c r="B5909" s="22"/>
      <c r="C5909" s="28"/>
      <c r="D5909" s="28"/>
      <c r="E5909" s="26"/>
      <c r="F5909" s="22"/>
      <c r="G5909" s="20"/>
      <c r="H5909" s="22"/>
      <c r="I5909" s="22"/>
      <c r="J5909" s="22"/>
      <c r="K5909" s="22"/>
      <c r="L5909" s="22"/>
      <c r="M5909" s="33"/>
      <c r="N5909" s="33"/>
      <c r="O5909" s="20"/>
      <c r="P5909" s="32"/>
      <c r="Q5909" s="30"/>
      <c r="R5909" s="22"/>
      <c r="S5909" s="22"/>
      <c r="T5909" s="22"/>
      <c r="U5909" s="9"/>
      <c r="V5909" s="8"/>
      <c r="W5909" s="8"/>
      <c r="X5909" s="8"/>
      <c r="Y5909" s="8"/>
      <c r="Z5909" s="7"/>
      <c r="AA5909" s="7"/>
      <c r="AB5909" s="7"/>
    </row>
    <row r="5910" ht="15.75" customHeight="1">
      <c r="A5910" s="26"/>
      <c r="B5910" s="22"/>
      <c r="C5910" s="28"/>
      <c r="D5910" s="28"/>
      <c r="E5910" s="26"/>
      <c r="F5910" s="22"/>
      <c r="G5910" s="20"/>
      <c r="H5910" s="22"/>
      <c r="I5910" s="22"/>
      <c r="J5910" s="22"/>
      <c r="K5910" s="22"/>
      <c r="L5910" s="22"/>
      <c r="M5910" s="33"/>
      <c r="N5910" s="33"/>
      <c r="O5910" s="20"/>
      <c r="P5910" s="32"/>
      <c r="Q5910" s="30"/>
      <c r="R5910" s="22"/>
      <c r="S5910" s="22"/>
      <c r="T5910" s="22"/>
      <c r="U5910" s="9"/>
      <c r="V5910" s="8"/>
      <c r="W5910" s="8"/>
      <c r="X5910" s="8"/>
      <c r="Y5910" s="8"/>
      <c r="Z5910" s="7"/>
      <c r="AA5910" s="7"/>
      <c r="AB5910" s="7"/>
    </row>
    <row r="5911" ht="15.75" customHeight="1">
      <c r="A5911" s="26"/>
      <c r="B5911" s="22"/>
      <c r="C5911" s="28"/>
      <c r="D5911" s="28"/>
      <c r="E5911" s="26"/>
      <c r="F5911" s="22"/>
      <c r="G5911" s="20"/>
      <c r="H5911" s="22"/>
      <c r="I5911" s="22"/>
      <c r="J5911" s="22"/>
      <c r="K5911" s="22"/>
      <c r="L5911" s="22"/>
      <c r="M5911" s="33"/>
      <c r="N5911" s="33"/>
      <c r="O5911" s="20"/>
      <c r="P5911" s="32"/>
      <c r="Q5911" s="30"/>
      <c r="R5911" s="22"/>
      <c r="S5911" s="22"/>
      <c r="T5911" s="22"/>
      <c r="U5911" s="9"/>
      <c r="V5911" s="8"/>
      <c r="W5911" s="8"/>
      <c r="X5911" s="8"/>
      <c r="Y5911" s="8"/>
      <c r="Z5911" s="7"/>
      <c r="AA5911" s="7"/>
      <c r="AB5911" s="7"/>
    </row>
    <row r="5912" ht="15.75" customHeight="1">
      <c r="A5912" s="26"/>
      <c r="B5912" s="22"/>
      <c r="C5912" s="28"/>
      <c r="D5912" s="28"/>
      <c r="E5912" s="26"/>
      <c r="F5912" s="22"/>
      <c r="G5912" s="20"/>
      <c r="H5912" s="22"/>
      <c r="I5912" s="22"/>
      <c r="J5912" s="22"/>
      <c r="K5912" s="22"/>
      <c r="L5912" s="22"/>
      <c r="M5912" s="33"/>
      <c r="N5912" s="33"/>
      <c r="O5912" s="20"/>
      <c r="P5912" s="32"/>
      <c r="Q5912" s="30"/>
      <c r="R5912" s="22"/>
      <c r="S5912" s="22"/>
      <c r="T5912" s="22"/>
      <c r="U5912" s="9"/>
      <c r="V5912" s="8"/>
      <c r="W5912" s="8"/>
      <c r="X5912" s="8"/>
      <c r="Y5912" s="8"/>
      <c r="Z5912" s="7"/>
      <c r="AA5912" s="7"/>
      <c r="AB5912" s="7"/>
    </row>
    <row r="5913" ht="15.75" customHeight="1">
      <c r="A5913" s="26"/>
      <c r="B5913" s="22"/>
      <c r="C5913" s="28"/>
      <c r="D5913" s="28"/>
      <c r="E5913" s="26"/>
      <c r="F5913" s="22"/>
      <c r="G5913" s="20"/>
      <c r="H5913" s="22"/>
      <c r="I5913" s="22"/>
      <c r="J5913" s="22"/>
      <c r="K5913" s="22"/>
      <c r="L5913" s="22"/>
      <c r="M5913" s="33"/>
      <c r="N5913" s="33"/>
      <c r="O5913" s="20"/>
      <c r="P5913" s="32"/>
      <c r="Q5913" s="30"/>
      <c r="R5913" s="22"/>
      <c r="S5913" s="22"/>
      <c r="T5913" s="22"/>
      <c r="U5913" s="9"/>
      <c r="V5913" s="8"/>
      <c r="W5913" s="8"/>
      <c r="X5913" s="8"/>
      <c r="Y5913" s="8"/>
      <c r="Z5913" s="7"/>
      <c r="AA5913" s="7"/>
      <c r="AB5913" s="7"/>
    </row>
    <row r="5914" ht="15.75" customHeight="1">
      <c r="A5914" s="26"/>
      <c r="B5914" s="22"/>
      <c r="C5914" s="28"/>
      <c r="D5914" s="28"/>
      <c r="E5914" s="26"/>
      <c r="F5914" s="22"/>
      <c r="G5914" s="20"/>
      <c r="H5914" s="22"/>
      <c r="I5914" s="22"/>
      <c r="J5914" s="22"/>
      <c r="K5914" s="22"/>
      <c r="L5914" s="22"/>
      <c r="M5914" s="33"/>
      <c r="N5914" s="33"/>
      <c r="O5914" s="20"/>
      <c r="P5914" s="32"/>
      <c r="Q5914" s="30"/>
      <c r="R5914" s="22"/>
      <c r="S5914" s="22"/>
      <c r="T5914" s="22"/>
      <c r="U5914" s="9"/>
      <c r="V5914" s="8"/>
      <c r="W5914" s="8"/>
      <c r="X5914" s="8"/>
      <c r="Y5914" s="8"/>
      <c r="Z5914" s="7"/>
      <c r="AA5914" s="7"/>
      <c r="AB5914" s="7"/>
    </row>
    <row r="5915" ht="15.75" customHeight="1">
      <c r="A5915" s="26"/>
      <c r="B5915" s="22"/>
      <c r="C5915" s="28"/>
      <c r="D5915" s="28"/>
      <c r="E5915" s="26"/>
      <c r="F5915" s="22"/>
      <c r="G5915" s="20"/>
      <c r="H5915" s="22"/>
      <c r="I5915" s="22"/>
      <c r="J5915" s="22"/>
      <c r="K5915" s="22"/>
      <c r="L5915" s="22"/>
      <c r="M5915" s="33"/>
      <c r="N5915" s="33"/>
      <c r="O5915" s="20"/>
      <c r="P5915" s="32"/>
      <c r="Q5915" s="30"/>
      <c r="R5915" s="22"/>
      <c r="S5915" s="22"/>
      <c r="T5915" s="22"/>
      <c r="U5915" s="9"/>
      <c r="V5915" s="8"/>
      <c r="W5915" s="8"/>
      <c r="X5915" s="8"/>
      <c r="Y5915" s="8"/>
      <c r="Z5915" s="7"/>
      <c r="AA5915" s="7"/>
      <c r="AB5915" s="7"/>
    </row>
    <row r="5916" ht="15.75" customHeight="1">
      <c r="A5916" s="26"/>
      <c r="B5916" s="22"/>
      <c r="C5916" s="28"/>
      <c r="D5916" s="28"/>
      <c r="E5916" s="26"/>
      <c r="F5916" s="22"/>
      <c r="G5916" s="20"/>
      <c r="H5916" s="22"/>
      <c r="I5916" s="22"/>
      <c r="J5916" s="22"/>
      <c r="K5916" s="22"/>
      <c r="L5916" s="22"/>
      <c r="M5916" s="33"/>
      <c r="N5916" s="33"/>
      <c r="O5916" s="20"/>
      <c r="P5916" s="32"/>
      <c r="Q5916" s="30"/>
      <c r="R5916" s="22"/>
      <c r="S5916" s="22"/>
      <c r="T5916" s="22"/>
      <c r="U5916" s="9"/>
      <c r="V5916" s="8"/>
      <c r="W5916" s="8"/>
      <c r="X5916" s="8"/>
      <c r="Y5916" s="8"/>
      <c r="Z5916" s="7"/>
      <c r="AA5916" s="7"/>
      <c r="AB5916" s="7"/>
    </row>
    <row r="5917" ht="15.75" customHeight="1">
      <c r="A5917" s="26"/>
      <c r="B5917" s="22"/>
      <c r="C5917" s="28"/>
      <c r="D5917" s="28"/>
      <c r="E5917" s="26"/>
      <c r="F5917" s="22"/>
      <c r="G5917" s="20"/>
      <c r="H5917" s="22"/>
      <c r="I5917" s="22"/>
      <c r="J5917" s="22"/>
      <c r="K5917" s="22"/>
      <c r="L5917" s="22"/>
      <c r="M5917" s="33"/>
      <c r="N5917" s="33"/>
      <c r="O5917" s="20"/>
      <c r="P5917" s="32"/>
      <c r="Q5917" s="30"/>
      <c r="R5917" s="22"/>
      <c r="S5917" s="22"/>
      <c r="T5917" s="22"/>
      <c r="U5917" s="9"/>
      <c r="V5917" s="8"/>
      <c r="W5917" s="8"/>
      <c r="X5917" s="8"/>
      <c r="Y5917" s="8"/>
      <c r="Z5917" s="7"/>
      <c r="AA5917" s="7"/>
      <c r="AB5917" s="7"/>
    </row>
    <row r="5918" ht="15.75" customHeight="1">
      <c r="A5918" s="26"/>
      <c r="B5918" s="22"/>
      <c r="C5918" s="28"/>
      <c r="D5918" s="28"/>
      <c r="E5918" s="26"/>
      <c r="F5918" s="22"/>
      <c r="G5918" s="20"/>
      <c r="H5918" s="22"/>
      <c r="I5918" s="22"/>
      <c r="J5918" s="22"/>
      <c r="K5918" s="22"/>
      <c r="L5918" s="22"/>
      <c r="M5918" s="33"/>
      <c r="N5918" s="33"/>
      <c r="O5918" s="20"/>
      <c r="P5918" s="32"/>
      <c r="Q5918" s="30"/>
      <c r="R5918" s="22"/>
      <c r="S5918" s="22"/>
      <c r="T5918" s="22"/>
      <c r="U5918" s="9"/>
      <c r="V5918" s="8"/>
      <c r="W5918" s="8"/>
      <c r="X5918" s="8"/>
      <c r="Y5918" s="8"/>
      <c r="Z5918" s="7"/>
      <c r="AA5918" s="7"/>
      <c r="AB5918" s="7"/>
    </row>
    <row r="5919" ht="15.75" customHeight="1">
      <c r="A5919" s="26"/>
      <c r="B5919" s="22"/>
      <c r="C5919" s="28"/>
      <c r="D5919" s="28"/>
      <c r="E5919" s="26"/>
      <c r="F5919" s="22"/>
      <c r="G5919" s="20"/>
      <c r="H5919" s="22"/>
      <c r="I5919" s="22"/>
      <c r="J5919" s="22"/>
      <c r="K5919" s="22"/>
      <c r="L5919" s="22"/>
      <c r="M5919" s="33"/>
      <c r="N5919" s="33"/>
      <c r="O5919" s="20"/>
      <c r="P5919" s="32"/>
      <c r="Q5919" s="30"/>
      <c r="R5919" s="22"/>
      <c r="S5919" s="22"/>
      <c r="T5919" s="22"/>
      <c r="U5919" s="9"/>
      <c r="V5919" s="8"/>
      <c r="W5919" s="8"/>
      <c r="X5919" s="8"/>
      <c r="Y5919" s="8"/>
      <c r="Z5919" s="7"/>
      <c r="AA5919" s="7"/>
      <c r="AB5919" s="7"/>
    </row>
    <row r="5920" ht="15.75" customHeight="1">
      <c r="A5920" s="26"/>
      <c r="B5920" s="22"/>
      <c r="C5920" s="28"/>
      <c r="D5920" s="28"/>
      <c r="E5920" s="26"/>
      <c r="F5920" s="22"/>
      <c r="G5920" s="20"/>
      <c r="H5920" s="22"/>
      <c r="I5920" s="22"/>
      <c r="J5920" s="22"/>
      <c r="K5920" s="22"/>
      <c r="L5920" s="22"/>
      <c r="M5920" s="33"/>
      <c r="N5920" s="33"/>
      <c r="O5920" s="20"/>
      <c r="P5920" s="32"/>
      <c r="Q5920" s="30"/>
      <c r="R5920" s="22"/>
      <c r="S5920" s="22"/>
      <c r="T5920" s="22"/>
      <c r="U5920" s="9"/>
      <c r="V5920" s="8"/>
      <c r="W5920" s="8"/>
      <c r="X5920" s="8"/>
      <c r="Y5920" s="8"/>
      <c r="Z5920" s="7"/>
      <c r="AA5920" s="7"/>
      <c r="AB5920" s="7"/>
    </row>
    <row r="5921" ht="15.75" customHeight="1">
      <c r="A5921" s="26"/>
      <c r="B5921" s="22"/>
      <c r="C5921" s="28"/>
      <c r="D5921" s="28"/>
      <c r="E5921" s="26"/>
      <c r="F5921" s="22"/>
      <c r="G5921" s="20"/>
      <c r="H5921" s="22"/>
      <c r="I5921" s="22"/>
      <c r="J5921" s="22"/>
      <c r="K5921" s="22"/>
      <c r="L5921" s="22"/>
      <c r="M5921" s="33"/>
      <c r="N5921" s="33"/>
      <c r="O5921" s="20"/>
      <c r="P5921" s="32"/>
      <c r="Q5921" s="30"/>
      <c r="R5921" s="22"/>
      <c r="S5921" s="22"/>
      <c r="T5921" s="22"/>
      <c r="U5921" s="9"/>
      <c r="V5921" s="8"/>
      <c r="W5921" s="8"/>
      <c r="X5921" s="8"/>
      <c r="Y5921" s="8"/>
      <c r="Z5921" s="7"/>
      <c r="AA5921" s="7"/>
      <c r="AB5921" s="7"/>
    </row>
    <row r="5922" ht="15.75" customHeight="1">
      <c r="A5922" s="26"/>
      <c r="B5922" s="22"/>
      <c r="C5922" s="28"/>
      <c r="D5922" s="28"/>
      <c r="E5922" s="26"/>
      <c r="F5922" s="22"/>
      <c r="G5922" s="20"/>
      <c r="H5922" s="22"/>
      <c r="I5922" s="22"/>
      <c r="J5922" s="22"/>
      <c r="K5922" s="22"/>
      <c r="L5922" s="22"/>
      <c r="M5922" s="33"/>
      <c r="N5922" s="33"/>
      <c r="O5922" s="20"/>
      <c r="P5922" s="32"/>
      <c r="Q5922" s="30"/>
      <c r="R5922" s="22"/>
      <c r="S5922" s="22"/>
      <c r="T5922" s="22"/>
      <c r="U5922" s="9"/>
      <c r="V5922" s="8"/>
      <c r="W5922" s="8"/>
      <c r="X5922" s="8"/>
      <c r="Y5922" s="8"/>
      <c r="Z5922" s="7"/>
      <c r="AA5922" s="7"/>
      <c r="AB5922" s="7"/>
    </row>
    <row r="5923" ht="15.75" customHeight="1">
      <c r="A5923" s="26"/>
      <c r="B5923" s="22"/>
      <c r="C5923" s="28"/>
      <c r="D5923" s="28"/>
      <c r="E5923" s="26"/>
      <c r="F5923" s="22"/>
      <c r="G5923" s="20"/>
      <c r="H5923" s="22"/>
      <c r="I5923" s="22"/>
      <c r="J5923" s="22"/>
      <c r="K5923" s="22"/>
      <c r="L5923" s="22"/>
      <c r="M5923" s="33"/>
      <c r="N5923" s="33"/>
      <c r="O5923" s="20"/>
      <c r="P5923" s="32"/>
      <c r="Q5923" s="30"/>
      <c r="R5923" s="22"/>
      <c r="S5923" s="22"/>
      <c r="T5923" s="22"/>
      <c r="U5923" s="9"/>
      <c r="V5923" s="8"/>
      <c r="W5923" s="8"/>
      <c r="X5923" s="8"/>
      <c r="Y5923" s="8"/>
      <c r="Z5923" s="7"/>
      <c r="AA5923" s="7"/>
      <c r="AB5923" s="7"/>
    </row>
    <row r="5924" ht="15.75" customHeight="1">
      <c r="A5924" s="26"/>
      <c r="B5924" s="22"/>
      <c r="C5924" s="28"/>
      <c r="D5924" s="28"/>
      <c r="E5924" s="26"/>
      <c r="F5924" s="22"/>
      <c r="G5924" s="20"/>
      <c r="H5924" s="22"/>
      <c r="I5924" s="22"/>
      <c r="J5924" s="22"/>
      <c r="K5924" s="22"/>
      <c r="L5924" s="22"/>
      <c r="M5924" s="33"/>
      <c r="N5924" s="33"/>
      <c r="O5924" s="20"/>
      <c r="P5924" s="32"/>
      <c r="Q5924" s="30"/>
      <c r="R5924" s="22"/>
      <c r="S5924" s="22"/>
      <c r="T5924" s="22"/>
      <c r="U5924" s="9"/>
      <c r="V5924" s="8"/>
      <c r="W5924" s="8"/>
      <c r="X5924" s="8"/>
      <c r="Y5924" s="8"/>
      <c r="Z5924" s="7"/>
      <c r="AA5924" s="7"/>
      <c r="AB5924" s="7"/>
    </row>
    <row r="5925" ht="15.75" customHeight="1">
      <c r="A5925" s="26"/>
      <c r="B5925" s="22"/>
      <c r="C5925" s="28"/>
      <c r="D5925" s="28"/>
      <c r="E5925" s="26"/>
      <c r="F5925" s="22"/>
      <c r="G5925" s="20"/>
      <c r="H5925" s="22"/>
      <c r="I5925" s="22"/>
      <c r="J5925" s="22"/>
      <c r="K5925" s="22"/>
      <c r="L5925" s="22"/>
      <c r="M5925" s="33"/>
      <c r="N5925" s="33"/>
      <c r="O5925" s="20"/>
      <c r="P5925" s="32"/>
      <c r="Q5925" s="30"/>
      <c r="R5925" s="22"/>
      <c r="S5925" s="22"/>
      <c r="T5925" s="22"/>
      <c r="U5925" s="9"/>
      <c r="V5925" s="8"/>
      <c r="W5925" s="8"/>
      <c r="X5925" s="8"/>
      <c r="Y5925" s="8"/>
      <c r="Z5925" s="7"/>
      <c r="AA5925" s="7"/>
      <c r="AB5925" s="7"/>
    </row>
    <row r="5926" ht="15.75" customHeight="1">
      <c r="A5926" s="26"/>
      <c r="B5926" s="22"/>
      <c r="C5926" s="28"/>
      <c r="D5926" s="28"/>
      <c r="E5926" s="26"/>
      <c r="F5926" s="22"/>
      <c r="G5926" s="20"/>
      <c r="H5926" s="22"/>
      <c r="I5926" s="22"/>
      <c r="J5926" s="22"/>
      <c r="K5926" s="22"/>
      <c r="L5926" s="22"/>
      <c r="M5926" s="33"/>
      <c r="N5926" s="33"/>
      <c r="O5926" s="20"/>
      <c r="P5926" s="32"/>
      <c r="Q5926" s="30"/>
      <c r="R5926" s="22"/>
      <c r="S5926" s="22"/>
      <c r="T5926" s="22"/>
      <c r="U5926" s="9"/>
      <c r="V5926" s="8"/>
      <c r="W5926" s="8"/>
      <c r="X5926" s="8"/>
      <c r="Y5926" s="8"/>
      <c r="Z5926" s="7"/>
      <c r="AA5926" s="7"/>
      <c r="AB5926" s="7"/>
    </row>
    <row r="5927" ht="15.75" customHeight="1">
      <c r="A5927" s="26"/>
      <c r="B5927" s="22"/>
      <c r="C5927" s="28"/>
      <c r="D5927" s="28"/>
      <c r="E5927" s="26"/>
      <c r="F5927" s="22"/>
      <c r="G5927" s="20"/>
      <c r="H5927" s="22"/>
      <c r="I5927" s="22"/>
      <c r="J5927" s="22"/>
      <c r="K5927" s="22"/>
      <c r="L5927" s="22"/>
      <c r="M5927" s="33"/>
      <c r="N5927" s="33"/>
      <c r="O5927" s="20"/>
      <c r="P5927" s="32"/>
      <c r="Q5927" s="30"/>
      <c r="R5927" s="22"/>
      <c r="S5927" s="22"/>
      <c r="T5927" s="22"/>
      <c r="U5927" s="9"/>
      <c r="V5927" s="8"/>
      <c r="W5927" s="8"/>
      <c r="X5927" s="8"/>
      <c r="Y5927" s="8"/>
      <c r="Z5927" s="7"/>
      <c r="AA5927" s="7"/>
      <c r="AB5927" s="7"/>
    </row>
    <row r="5928" ht="15.75" customHeight="1">
      <c r="A5928" s="26"/>
      <c r="B5928" s="22"/>
      <c r="C5928" s="28"/>
      <c r="D5928" s="28"/>
      <c r="E5928" s="26"/>
      <c r="F5928" s="22"/>
      <c r="G5928" s="20"/>
      <c r="H5928" s="22"/>
      <c r="I5928" s="22"/>
      <c r="J5928" s="22"/>
      <c r="K5928" s="22"/>
      <c r="L5928" s="22"/>
      <c r="M5928" s="33"/>
      <c r="N5928" s="33"/>
      <c r="O5928" s="20"/>
      <c r="P5928" s="32"/>
      <c r="Q5928" s="30"/>
      <c r="R5928" s="22"/>
      <c r="S5928" s="22"/>
      <c r="T5928" s="22"/>
      <c r="U5928" s="9"/>
      <c r="V5928" s="8"/>
      <c r="W5928" s="8"/>
      <c r="X5928" s="8"/>
      <c r="Y5928" s="8"/>
      <c r="Z5928" s="7"/>
      <c r="AA5928" s="7"/>
      <c r="AB5928" s="7"/>
    </row>
    <row r="5929" ht="15.75" customHeight="1">
      <c r="A5929" s="26"/>
      <c r="B5929" s="22"/>
      <c r="C5929" s="28"/>
      <c r="D5929" s="28"/>
      <c r="E5929" s="26"/>
      <c r="F5929" s="22"/>
      <c r="G5929" s="20"/>
      <c r="H5929" s="22"/>
      <c r="I5929" s="22"/>
      <c r="J5929" s="22"/>
      <c r="K5929" s="22"/>
      <c r="L5929" s="22"/>
      <c r="M5929" s="33"/>
      <c r="N5929" s="33"/>
      <c r="O5929" s="20"/>
      <c r="P5929" s="32"/>
      <c r="Q5929" s="30"/>
      <c r="R5929" s="22"/>
      <c r="S5929" s="22"/>
      <c r="T5929" s="22"/>
      <c r="U5929" s="9"/>
      <c r="V5929" s="8"/>
      <c r="W5929" s="8"/>
      <c r="X5929" s="8"/>
      <c r="Y5929" s="8"/>
      <c r="Z5929" s="7"/>
      <c r="AA5929" s="7"/>
      <c r="AB5929" s="7"/>
    </row>
    <row r="5930" ht="15.75" customHeight="1">
      <c r="A5930" s="26"/>
      <c r="B5930" s="22"/>
      <c r="C5930" s="28"/>
      <c r="D5930" s="28"/>
      <c r="E5930" s="26"/>
      <c r="F5930" s="22"/>
      <c r="G5930" s="20"/>
      <c r="H5930" s="22"/>
      <c r="I5930" s="22"/>
      <c r="J5930" s="22"/>
      <c r="K5930" s="22"/>
      <c r="L5930" s="22"/>
      <c r="M5930" s="33"/>
      <c r="N5930" s="33"/>
      <c r="O5930" s="20"/>
      <c r="P5930" s="32"/>
      <c r="Q5930" s="30"/>
      <c r="R5930" s="22"/>
      <c r="S5930" s="22"/>
      <c r="T5930" s="22"/>
      <c r="U5930" s="9"/>
      <c r="V5930" s="8"/>
      <c r="W5930" s="8"/>
      <c r="X5930" s="8"/>
      <c r="Y5930" s="8"/>
      <c r="Z5930" s="7"/>
      <c r="AA5930" s="7"/>
      <c r="AB5930" s="7"/>
    </row>
    <row r="5931" ht="15.75" customHeight="1">
      <c r="A5931" s="26"/>
      <c r="B5931" s="22"/>
      <c r="C5931" s="28"/>
      <c r="D5931" s="28"/>
      <c r="E5931" s="26"/>
      <c r="F5931" s="22"/>
      <c r="G5931" s="20"/>
      <c r="H5931" s="22"/>
      <c r="I5931" s="22"/>
      <c r="J5931" s="22"/>
      <c r="K5931" s="22"/>
      <c r="L5931" s="22"/>
      <c r="M5931" s="33"/>
      <c r="N5931" s="33"/>
      <c r="O5931" s="20"/>
      <c r="P5931" s="32"/>
      <c r="Q5931" s="30"/>
      <c r="R5931" s="22"/>
      <c r="S5931" s="22"/>
      <c r="T5931" s="22"/>
      <c r="U5931" s="9"/>
      <c r="V5931" s="8"/>
      <c r="W5931" s="8"/>
      <c r="X5931" s="8"/>
      <c r="Y5931" s="8"/>
      <c r="Z5931" s="7"/>
      <c r="AA5931" s="7"/>
      <c r="AB5931" s="7"/>
    </row>
    <row r="5932" ht="15.75" customHeight="1">
      <c r="A5932" s="26"/>
      <c r="B5932" s="22"/>
      <c r="C5932" s="28"/>
      <c r="D5932" s="28"/>
      <c r="E5932" s="26"/>
      <c r="F5932" s="22"/>
      <c r="G5932" s="20"/>
      <c r="H5932" s="22"/>
      <c r="I5932" s="22"/>
      <c r="J5932" s="22"/>
      <c r="K5932" s="22"/>
      <c r="L5932" s="22"/>
      <c r="M5932" s="33"/>
      <c r="N5932" s="33"/>
      <c r="O5932" s="20"/>
      <c r="P5932" s="32"/>
      <c r="Q5932" s="30"/>
      <c r="R5932" s="22"/>
      <c r="S5932" s="22"/>
      <c r="T5932" s="22"/>
      <c r="U5932" s="9"/>
      <c r="V5932" s="8"/>
      <c r="W5932" s="8"/>
      <c r="X5932" s="8"/>
      <c r="Y5932" s="8"/>
      <c r="Z5932" s="7"/>
      <c r="AA5932" s="7"/>
      <c r="AB5932" s="7"/>
    </row>
    <row r="5933" ht="15.75" customHeight="1">
      <c r="A5933" s="26"/>
      <c r="B5933" s="22"/>
      <c r="C5933" s="28"/>
      <c r="D5933" s="28"/>
      <c r="E5933" s="26"/>
      <c r="F5933" s="22"/>
      <c r="G5933" s="20"/>
      <c r="H5933" s="22"/>
      <c r="I5933" s="22"/>
      <c r="J5933" s="22"/>
      <c r="K5933" s="22"/>
      <c r="L5933" s="22"/>
      <c r="M5933" s="33"/>
      <c r="N5933" s="33"/>
      <c r="O5933" s="20"/>
      <c r="P5933" s="32"/>
      <c r="Q5933" s="30"/>
      <c r="R5933" s="22"/>
      <c r="S5933" s="22"/>
      <c r="T5933" s="22"/>
      <c r="U5933" s="9"/>
      <c r="V5933" s="8"/>
      <c r="W5933" s="8"/>
      <c r="X5933" s="8"/>
      <c r="Y5933" s="8"/>
      <c r="Z5933" s="7"/>
      <c r="AA5933" s="7"/>
      <c r="AB5933" s="7"/>
    </row>
    <row r="5934" ht="15.75" customHeight="1">
      <c r="A5934" s="26"/>
      <c r="B5934" s="22"/>
      <c r="C5934" s="28"/>
      <c r="D5934" s="28"/>
      <c r="E5934" s="26"/>
      <c r="F5934" s="22"/>
      <c r="G5934" s="20"/>
      <c r="H5934" s="22"/>
      <c r="I5934" s="22"/>
      <c r="J5934" s="22"/>
      <c r="K5934" s="22"/>
      <c r="L5934" s="22"/>
      <c r="M5934" s="33"/>
      <c r="N5934" s="33"/>
      <c r="O5934" s="20"/>
      <c r="P5934" s="32"/>
      <c r="Q5934" s="30"/>
      <c r="R5934" s="22"/>
      <c r="S5934" s="22"/>
      <c r="T5934" s="22"/>
      <c r="U5934" s="9"/>
      <c r="V5934" s="8"/>
      <c r="W5934" s="8"/>
      <c r="X5934" s="8"/>
      <c r="Y5934" s="8"/>
      <c r="Z5934" s="7"/>
      <c r="AA5934" s="7"/>
      <c r="AB5934" s="7"/>
    </row>
    <row r="5935" ht="15.75" customHeight="1">
      <c r="A5935" s="26"/>
      <c r="B5935" s="22"/>
      <c r="C5935" s="28"/>
      <c r="D5935" s="28"/>
      <c r="E5935" s="26"/>
      <c r="F5935" s="22"/>
      <c r="G5935" s="20"/>
      <c r="H5935" s="22"/>
      <c r="I5935" s="22"/>
      <c r="J5935" s="22"/>
      <c r="K5935" s="22"/>
      <c r="L5935" s="22"/>
      <c r="M5935" s="33"/>
      <c r="N5935" s="33"/>
      <c r="O5935" s="20"/>
      <c r="P5935" s="32"/>
      <c r="Q5935" s="30"/>
      <c r="R5935" s="22"/>
      <c r="S5935" s="22"/>
      <c r="T5935" s="22"/>
      <c r="U5935" s="9"/>
      <c r="V5935" s="8"/>
      <c r="W5935" s="8"/>
      <c r="X5935" s="8"/>
      <c r="Y5935" s="8"/>
      <c r="Z5935" s="7"/>
      <c r="AA5935" s="7"/>
      <c r="AB5935" s="7"/>
    </row>
    <row r="5936" ht="15.75" customHeight="1">
      <c r="A5936" s="26"/>
      <c r="B5936" s="22"/>
      <c r="C5936" s="28"/>
      <c r="D5936" s="28"/>
      <c r="E5936" s="26"/>
      <c r="F5936" s="22"/>
      <c r="G5936" s="20"/>
      <c r="H5936" s="22"/>
      <c r="I5936" s="22"/>
      <c r="J5936" s="22"/>
      <c r="K5936" s="22"/>
      <c r="L5936" s="22"/>
      <c r="M5936" s="33"/>
      <c r="N5936" s="33"/>
      <c r="O5936" s="20"/>
      <c r="P5936" s="32"/>
      <c r="Q5936" s="30"/>
      <c r="R5936" s="22"/>
      <c r="S5936" s="22"/>
      <c r="T5936" s="22"/>
      <c r="U5936" s="9"/>
      <c r="V5936" s="8"/>
      <c r="W5936" s="8"/>
      <c r="X5936" s="8"/>
      <c r="Y5936" s="8"/>
      <c r="Z5936" s="7"/>
      <c r="AA5936" s="7"/>
      <c r="AB5936" s="7"/>
    </row>
    <row r="5937" ht="15.75" customHeight="1">
      <c r="A5937" s="26"/>
      <c r="B5937" s="22"/>
      <c r="C5937" s="28"/>
      <c r="D5937" s="28"/>
      <c r="E5937" s="26"/>
      <c r="F5937" s="22"/>
      <c r="G5937" s="20"/>
      <c r="H5937" s="22"/>
      <c r="I5937" s="22"/>
      <c r="J5937" s="22"/>
      <c r="K5937" s="22"/>
      <c r="L5937" s="22"/>
      <c r="M5937" s="33"/>
      <c r="N5937" s="33"/>
      <c r="O5937" s="20"/>
      <c r="P5937" s="32"/>
      <c r="Q5937" s="30"/>
      <c r="R5937" s="22"/>
      <c r="S5937" s="22"/>
      <c r="T5937" s="22"/>
      <c r="U5937" s="9"/>
      <c r="V5937" s="8"/>
      <c r="W5937" s="8"/>
      <c r="X5937" s="8"/>
      <c r="Y5937" s="8"/>
      <c r="Z5937" s="7"/>
      <c r="AA5937" s="7"/>
      <c r="AB5937" s="7"/>
    </row>
    <row r="5938" ht="15.75" customHeight="1">
      <c r="A5938" s="26"/>
      <c r="B5938" s="22"/>
      <c r="C5938" s="28"/>
      <c r="D5938" s="28"/>
      <c r="E5938" s="26"/>
      <c r="F5938" s="22"/>
      <c r="G5938" s="20"/>
      <c r="H5938" s="22"/>
      <c r="I5938" s="22"/>
      <c r="J5938" s="22"/>
      <c r="K5938" s="22"/>
      <c r="L5938" s="22"/>
      <c r="M5938" s="33"/>
      <c r="N5938" s="33"/>
      <c r="O5938" s="20"/>
      <c r="P5938" s="32"/>
      <c r="Q5938" s="30"/>
      <c r="R5938" s="22"/>
      <c r="S5938" s="22"/>
      <c r="T5938" s="22"/>
      <c r="U5938" s="9"/>
      <c r="V5938" s="8"/>
      <c r="W5938" s="8"/>
      <c r="X5938" s="8"/>
      <c r="Y5938" s="8"/>
      <c r="Z5938" s="7"/>
      <c r="AA5938" s="7"/>
      <c r="AB5938" s="7"/>
    </row>
    <row r="5939" ht="15.75" customHeight="1">
      <c r="A5939" s="26"/>
      <c r="B5939" s="22"/>
      <c r="C5939" s="28"/>
      <c r="D5939" s="28"/>
      <c r="E5939" s="26"/>
      <c r="F5939" s="22"/>
      <c r="G5939" s="20"/>
      <c r="H5939" s="22"/>
      <c r="I5939" s="22"/>
      <c r="J5939" s="22"/>
      <c r="K5939" s="22"/>
      <c r="L5939" s="22"/>
      <c r="M5939" s="33"/>
      <c r="N5939" s="33"/>
      <c r="O5939" s="20"/>
      <c r="P5939" s="32"/>
      <c r="Q5939" s="30"/>
      <c r="R5939" s="22"/>
      <c r="S5939" s="22"/>
      <c r="T5939" s="22"/>
      <c r="U5939" s="9"/>
      <c r="V5939" s="8"/>
      <c r="W5939" s="8"/>
      <c r="X5939" s="8"/>
      <c r="Y5939" s="8"/>
      <c r="Z5939" s="7"/>
      <c r="AA5939" s="7"/>
      <c r="AB5939" s="7"/>
    </row>
    <row r="5940" ht="15.75" customHeight="1">
      <c r="A5940" s="26"/>
      <c r="B5940" s="22"/>
      <c r="C5940" s="28"/>
      <c r="D5940" s="28"/>
      <c r="E5940" s="26"/>
      <c r="F5940" s="22"/>
      <c r="G5940" s="20"/>
      <c r="H5940" s="22"/>
      <c r="I5940" s="22"/>
      <c r="J5940" s="22"/>
      <c r="K5940" s="22"/>
      <c r="L5940" s="22"/>
      <c r="M5940" s="33"/>
      <c r="N5940" s="33"/>
      <c r="O5940" s="20"/>
      <c r="P5940" s="32"/>
      <c r="Q5940" s="30"/>
      <c r="R5940" s="22"/>
      <c r="S5940" s="22"/>
      <c r="T5940" s="22"/>
      <c r="U5940" s="9"/>
      <c r="V5940" s="8"/>
      <c r="W5940" s="8"/>
      <c r="X5940" s="8"/>
      <c r="Y5940" s="8"/>
      <c r="Z5940" s="7"/>
      <c r="AA5940" s="7"/>
      <c r="AB5940" s="7"/>
    </row>
    <row r="5941" ht="15.75" customHeight="1">
      <c r="A5941" s="26"/>
      <c r="B5941" s="22"/>
      <c r="C5941" s="28"/>
      <c r="D5941" s="28"/>
      <c r="E5941" s="26"/>
      <c r="F5941" s="22"/>
      <c r="G5941" s="20"/>
      <c r="H5941" s="22"/>
      <c r="I5941" s="22"/>
      <c r="J5941" s="22"/>
      <c r="K5941" s="22"/>
      <c r="L5941" s="22"/>
      <c r="M5941" s="33"/>
      <c r="N5941" s="33"/>
      <c r="O5941" s="20"/>
      <c r="P5941" s="32"/>
      <c r="Q5941" s="30"/>
      <c r="R5941" s="22"/>
      <c r="S5941" s="22"/>
      <c r="T5941" s="22"/>
      <c r="U5941" s="9"/>
      <c r="V5941" s="8"/>
      <c r="W5941" s="8"/>
      <c r="X5941" s="8"/>
      <c r="Y5941" s="8"/>
      <c r="Z5941" s="7"/>
      <c r="AA5941" s="7"/>
      <c r="AB5941" s="7"/>
    </row>
    <row r="5942" ht="15.75" customHeight="1">
      <c r="A5942" s="26"/>
      <c r="B5942" s="22"/>
      <c r="C5942" s="28"/>
      <c r="D5942" s="28"/>
      <c r="E5942" s="26"/>
      <c r="F5942" s="22"/>
      <c r="G5942" s="20"/>
      <c r="H5942" s="22"/>
      <c r="I5942" s="22"/>
      <c r="J5942" s="22"/>
      <c r="K5942" s="22"/>
      <c r="L5942" s="22"/>
      <c r="M5942" s="33"/>
      <c r="N5942" s="33"/>
      <c r="O5942" s="20"/>
      <c r="P5942" s="32"/>
      <c r="Q5942" s="30"/>
      <c r="R5942" s="22"/>
      <c r="S5942" s="22"/>
      <c r="T5942" s="22"/>
      <c r="U5942" s="9"/>
      <c r="V5942" s="8"/>
      <c r="W5942" s="8"/>
      <c r="X5942" s="8"/>
      <c r="Y5942" s="8"/>
      <c r="Z5942" s="7"/>
      <c r="AA5942" s="7"/>
      <c r="AB5942" s="7"/>
    </row>
    <row r="5943" ht="15.75" customHeight="1">
      <c r="A5943" s="26"/>
      <c r="B5943" s="22"/>
      <c r="C5943" s="28"/>
      <c r="D5943" s="28"/>
      <c r="E5943" s="26"/>
      <c r="F5943" s="22"/>
      <c r="G5943" s="20"/>
      <c r="H5943" s="22"/>
      <c r="I5943" s="22"/>
      <c r="J5943" s="22"/>
      <c r="K5943" s="22"/>
      <c r="L5943" s="22"/>
      <c r="M5943" s="33"/>
      <c r="N5943" s="33"/>
      <c r="O5943" s="20"/>
      <c r="P5943" s="32"/>
      <c r="Q5943" s="30"/>
      <c r="R5943" s="22"/>
      <c r="S5943" s="22"/>
      <c r="T5943" s="22"/>
      <c r="U5943" s="9"/>
      <c r="V5943" s="8"/>
      <c r="W5943" s="8"/>
      <c r="X5943" s="8"/>
      <c r="Y5943" s="8"/>
      <c r="Z5943" s="7"/>
      <c r="AA5943" s="7"/>
      <c r="AB5943" s="7"/>
    </row>
    <row r="5944" ht="15.75" customHeight="1">
      <c r="A5944" s="26"/>
      <c r="B5944" s="22"/>
      <c r="C5944" s="28"/>
      <c r="D5944" s="28"/>
      <c r="E5944" s="26"/>
      <c r="F5944" s="22"/>
      <c r="G5944" s="20"/>
      <c r="H5944" s="22"/>
      <c r="I5944" s="22"/>
      <c r="J5944" s="22"/>
      <c r="K5944" s="22"/>
      <c r="L5944" s="22"/>
      <c r="M5944" s="33"/>
      <c r="N5944" s="33"/>
      <c r="O5944" s="20"/>
      <c r="P5944" s="32"/>
      <c r="Q5944" s="30"/>
      <c r="R5944" s="22"/>
      <c r="S5944" s="22"/>
      <c r="T5944" s="22"/>
      <c r="U5944" s="9"/>
      <c r="V5944" s="8"/>
      <c r="W5944" s="8"/>
      <c r="X5944" s="8"/>
      <c r="Y5944" s="8"/>
      <c r="Z5944" s="7"/>
      <c r="AA5944" s="7"/>
      <c r="AB5944" s="7"/>
    </row>
    <row r="5945" ht="15.75" customHeight="1">
      <c r="A5945" s="26"/>
      <c r="B5945" s="22"/>
      <c r="C5945" s="28"/>
      <c r="D5945" s="28"/>
      <c r="E5945" s="26"/>
      <c r="F5945" s="22"/>
      <c r="G5945" s="20"/>
      <c r="H5945" s="22"/>
      <c r="I5945" s="22"/>
      <c r="J5945" s="22"/>
      <c r="K5945" s="22"/>
      <c r="L5945" s="22"/>
      <c r="M5945" s="33"/>
      <c r="N5945" s="33"/>
      <c r="O5945" s="20"/>
      <c r="P5945" s="32"/>
      <c r="Q5945" s="30"/>
      <c r="R5945" s="22"/>
      <c r="S5945" s="22"/>
      <c r="T5945" s="22"/>
      <c r="U5945" s="9"/>
      <c r="V5945" s="8"/>
      <c r="W5945" s="8"/>
      <c r="X5945" s="8"/>
      <c r="Y5945" s="8"/>
      <c r="Z5945" s="7"/>
      <c r="AA5945" s="7"/>
      <c r="AB5945" s="7"/>
    </row>
    <row r="5946" ht="15.75" customHeight="1">
      <c r="A5946" s="26"/>
      <c r="B5946" s="22"/>
      <c r="C5946" s="28"/>
      <c r="D5946" s="28"/>
      <c r="E5946" s="26"/>
      <c r="F5946" s="22"/>
      <c r="G5946" s="20"/>
      <c r="H5946" s="22"/>
      <c r="I5946" s="22"/>
      <c r="J5946" s="22"/>
      <c r="K5946" s="22"/>
      <c r="L5946" s="22"/>
      <c r="M5946" s="33"/>
      <c r="N5946" s="33"/>
      <c r="O5946" s="20"/>
      <c r="P5946" s="32"/>
      <c r="Q5946" s="30"/>
      <c r="R5946" s="22"/>
      <c r="S5946" s="22"/>
      <c r="T5946" s="22"/>
      <c r="U5946" s="9"/>
      <c r="V5946" s="8"/>
      <c r="W5946" s="8"/>
      <c r="X5946" s="8"/>
      <c r="Y5946" s="8"/>
      <c r="Z5946" s="7"/>
      <c r="AA5946" s="7"/>
      <c r="AB5946" s="7"/>
    </row>
    <row r="5947" ht="15.75" customHeight="1">
      <c r="A5947" s="26"/>
      <c r="B5947" s="22"/>
      <c r="C5947" s="28"/>
      <c r="D5947" s="28"/>
      <c r="E5947" s="26"/>
      <c r="F5947" s="22"/>
      <c r="G5947" s="20"/>
      <c r="H5947" s="22"/>
      <c r="I5947" s="22"/>
      <c r="J5947" s="22"/>
      <c r="K5947" s="22"/>
      <c r="L5947" s="22"/>
      <c r="M5947" s="33"/>
      <c r="N5947" s="33"/>
      <c r="O5947" s="20"/>
      <c r="P5947" s="32"/>
      <c r="Q5947" s="30"/>
      <c r="R5947" s="22"/>
      <c r="S5947" s="22"/>
      <c r="T5947" s="22"/>
      <c r="U5947" s="9"/>
      <c r="V5947" s="8"/>
      <c r="W5947" s="8"/>
      <c r="X5947" s="8"/>
      <c r="Y5947" s="8"/>
      <c r="Z5947" s="7"/>
      <c r="AA5947" s="7"/>
      <c r="AB5947" s="7"/>
    </row>
    <row r="5948" ht="15.75" customHeight="1">
      <c r="A5948" s="26"/>
      <c r="B5948" s="22"/>
      <c r="C5948" s="28"/>
      <c r="D5948" s="28"/>
      <c r="E5948" s="26"/>
      <c r="F5948" s="22"/>
      <c r="G5948" s="20"/>
      <c r="H5948" s="22"/>
      <c r="I5948" s="22"/>
      <c r="J5948" s="22"/>
      <c r="K5948" s="22"/>
      <c r="L5948" s="22"/>
      <c r="M5948" s="33"/>
      <c r="N5948" s="33"/>
      <c r="O5948" s="20"/>
      <c r="P5948" s="32"/>
      <c r="Q5948" s="30"/>
      <c r="R5948" s="22"/>
      <c r="S5948" s="22"/>
      <c r="T5948" s="22"/>
      <c r="U5948" s="9"/>
      <c r="V5948" s="8"/>
      <c r="W5948" s="8"/>
      <c r="X5948" s="8"/>
      <c r="Y5948" s="8"/>
      <c r="Z5948" s="7"/>
      <c r="AA5948" s="7"/>
      <c r="AB5948" s="7"/>
    </row>
    <row r="5949" ht="15.75" customHeight="1">
      <c r="A5949" s="26"/>
      <c r="B5949" s="22"/>
      <c r="C5949" s="28"/>
      <c r="D5949" s="28"/>
      <c r="E5949" s="26"/>
      <c r="F5949" s="22"/>
      <c r="G5949" s="20"/>
      <c r="H5949" s="22"/>
      <c r="I5949" s="22"/>
      <c r="J5949" s="22"/>
      <c r="K5949" s="22"/>
      <c r="L5949" s="22"/>
      <c r="M5949" s="33"/>
      <c r="N5949" s="33"/>
      <c r="O5949" s="20"/>
      <c r="P5949" s="32"/>
      <c r="Q5949" s="30"/>
      <c r="R5949" s="22"/>
      <c r="S5949" s="22"/>
      <c r="T5949" s="22"/>
      <c r="U5949" s="9"/>
      <c r="V5949" s="8"/>
      <c r="W5949" s="8"/>
      <c r="X5949" s="8"/>
      <c r="Y5949" s="8"/>
      <c r="Z5949" s="7"/>
      <c r="AA5949" s="7"/>
      <c r="AB5949" s="7"/>
    </row>
    <row r="5950" ht="15.75" customHeight="1">
      <c r="A5950" s="26"/>
      <c r="B5950" s="22"/>
      <c r="C5950" s="28"/>
      <c r="D5950" s="28"/>
      <c r="E5950" s="26"/>
      <c r="F5950" s="22"/>
      <c r="G5950" s="20"/>
      <c r="H5950" s="22"/>
      <c r="I5950" s="22"/>
      <c r="J5950" s="22"/>
      <c r="K5950" s="22"/>
      <c r="L5950" s="22"/>
      <c r="M5950" s="33"/>
      <c r="N5950" s="33"/>
      <c r="O5950" s="20"/>
      <c r="P5950" s="32"/>
      <c r="Q5950" s="30"/>
      <c r="R5950" s="22"/>
      <c r="S5950" s="22"/>
      <c r="T5950" s="22"/>
      <c r="U5950" s="9"/>
      <c r="V5950" s="8"/>
      <c r="W5950" s="8"/>
      <c r="X5950" s="8"/>
      <c r="Y5950" s="8"/>
      <c r="Z5950" s="7"/>
      <c r="AA5950" s="7"/>
      <c r="AB5950" s="7"/>
    </row>
    <row r="5951" ht="15.75" customHeight="1">
      <c r="A5951" s="26"/>
      <c r="B5951" s="22"/>
      <c r="C5951" s="28"/>
      <c r="D5951" s="28"/>
      <c r="E5951" s="26"/>
      <c r="F5951" s="22"/>
      <c r="G5951" s="20"/>
      <c r="H5951" s="22"/>
      <c r="I5951" s="22"/>
      <c r="J5951" s="22"/>
      <c r="K5951" s="22"/>
      <c r="L5951" s="22"/>
      <c r="M5951" s="33"/>
      <c r="N5951" s="33"/>
      <c r="O5951" s="20"/>
      <c r="P5951" s="32"/>
      <c r="Q5951" s="30"/>
      <c r="R5951" s="22"/>
      <c r="S5951" s="22"/>
      <c r="T5951" s="22"/>
      <c r="U5951" s="9"/>
      <c r="V5951" s="8"/>
      <c r="W5951" s="8"/>
      <c r="X5951" s="8"/>
      <c r="Y5951" s="8"/>
      <c r="Z5951" s="7"/>
      <c r="AA5951" s="7"/>
      <c r="AB5951" s="7"/>
    </row>
    <row r="5952" ht="15.75" customHeight="1">
      <c r="A5952" s="26"/>
      <c r="B5952" s="22"/>
      <c r="C5952" s="28"/>
      <c r="D5952" s="28"/>
      <c r="E5952" s="26"/>
      <c r="F5952" s="22"/>
      <c r="G5952" s="20"/>
      <c r="H5952" s="22"/>
      <c r="I5952" s="22"/>
      <c r="J5952" s="22"/>
      <c r="K5952" s="22"/>
      <c r="L5952" s="22"/>
      <c r="M5952" s="33"/>
      <c r="N5952" s="33"/>
      <c r="O5952" s="20"/>
      <c r="P5952" s="32"/>
      <c r="Q5952" s="30"/>
      <c r="R5952" s="22"/>
      <c r="S5952" s="22"/>
      <c r="T5952" s="22"/>
      <c r="U5952" s="9"/>
      <c r="V5952" s="8"/>
      <c r="W5952" s="8"/>
      <c r="X5952" s="8"/>
      <c r="Y5952" s="8"/>
      <c r="Z5952" s="7"/>
      <c r="AA5952" s="7"/>
      <c r="AB5952" s="7"/>
    </row>
    <row r="5953" ht="15.75" customHeight="1">
      <c r="A5953" s="26"/>
      <c r="B5953" s="22"/>
      <c r="C5953" s="28"/>
      <c r="D5953" s="28"/>
      <c r="E5953" s="26"/>
      <c r="F5953" s="22"/>
      <c r="G5953" s="20"/>
      <c r="H5953" s="22"/>
      <c r="I5953" s="22"/>
      <c r="J5953" s="22"/>
      <c r="K5953" s="22"/>
      <c r="L5953" s="22"/>
      <c r="M5953" s="33"/>
      <c r="N5953" s="33"/>
      <c r="O5953" s="20"/>
      <c r="P5953" s="32"/>
      <c r="Q5953" s="30"/>
      <c r="R5953" s="22"/>
      <c r="S5953" s="22"/>
      <c r="T5953" s="22"/>
      <c r="U5953" s="9"/>
      <c r="V5953" s="8"/>
      <c r="W5953" s="8"/>
      <c r="X5953" s="8"/>
      <c r="Y5953" s="8"/>
      <c r="Z5953" s="7"/>
      <c r="AA5953" s="7"/>
      <c r="AB5953" s="7"/>
    </row>
    <row r="5954" ht="15.75" customHeight="1">
      <c r="A5954" s="26"/>
      <c r="B5954" s="22"/>
      <c r="C5954" s="28"/>
      <c r="D5954" s="28"/>
      <c r="E5954" s="26"/>
      <c r="F5954" s="22"/>
      <c r="G5954" s="20"/>
      <c r="H5954" s="22"/>
      <c r="I5954" s="22"/>
      <c r="J5954" s="22"/>
      <c r="K5954" s="22"/>
      <c r="L5954" s="22"/>
      <c r="M5954" s="33"/>
      <c r="N5954" s="33"/>
      <c r="O5954" s="20"/>
      <c r="P5954" s="32"/>
      <c r="Q5954" s="30"/>
      <c r="R5954" s="22"/>
      <c r="S5954" s="22"/>
      <c r="T5954" s="22"/>
      <c r="U5954" s="9"/>
      <c r="V5954" s="8"/>
      <c r="W5954" s="8"/>
      <c r="X5954" s="8"/>
      <c r="Y5954" s="8"/>
      <c r="Z5954" s="7"/>
      <c r="AA5954" s="7"/>
      <c r="AB5954" s="7"/>
    </row>
    <row r="5955" ht="15.75" customHeight="1">
      <c r="A5955" s="26"/>
      <c r="B5955" s="22"/>
      <c r="C5955" s="28"/>
      <c r="D5955" s="28"/>
      <c r="E5955" s="26"/>
      <c r="F5955" s="22"/>
      <c r="G5955" s="20"/>
      <c r="H5955" s="22"/>
      <c r="I5955" s="22"/>
      <c r="J5955" s="22"/>
      <c r="K5955" s="22"/>
      <c r="L5955" s="22"/>
      <c r="M5955" s="33"/>
      <c r="N5955" s="33"/>
      <c r="O5955" s="20"/>
      <c r="P5955" s="32"/>
      <c r="Q5955" s="30"/>
      <c r="R5955" s="22"/>
      <c r="S5955" s="22"/>
      <c r="T5955" s="22"/>
      <c r="U5955" s="9"/>
      <c r="V5955" s="8"/>
      <c r="W5955" s="8"/>
      <c r="X5955" s="8"/>
      <c r="Y5955" s="8"/>
      <c r="Z5955" s="7"/>
      <c r="AA5955" s="7"/>
      <c r="AB5955" s="7"/>
    </row>
    <row r="5956" ht="15.75" customHeight="1">
      <c r="A5956" s="26"/>
      <c r="B5956" s="22"/>
      <c r="C5956" s="28"/>
      <c r="D5956" s="28"/>
      <c r="E5956" s="26"/>
      <c r="F5956" s="22"/>
      <c r="G5956" s="20"/>
      <c r="H5956" s="22"/>
      <c r="I5956" s="22"/>
      <c r="J5956" s="22"/>
      <c r="K5956" s="22"/>
      <c r="L5956" s="22"/>
      <c r="M5956" s="33"/>
      <c r="N5956" s="33"/>
      <c r="O5956" s="20"/>
      <c r="P5956" s="32"/>
      <c r="Q5956" s="30"/>
      <c r="R5956" s="22"/>
      <c r="S5956" s="22"/>
      <c r="T5956" s="22"/>
      <c r="U5956" s="9"/>
      <c r="V5956" s="8"/>
      <c r="W5956" s="8"/>
      <c r="X5956" s="8"/>
      <c r="Y5956" s="8"/>
      <c r="Z5956" s="7"/>
      <c r="AA5956" s="7"/>
      <c r="AB5956" s="7"/>
    </row>
    <row r="5957" ht="15.75" customHeight="1">
      <c r="A5957" s="26"/>
      <c r="B5957" s="22"/>
      <c r="C5957" s="28"/>
      <c r="D5957" s="28"/>
      <c r="E5957" s="26"/>
      <c r="F5957" s="22"/>
      <c r="G5957" s="20"/>
      <c r="H5957" s="22"/>
      <c r="I5957" s="22"/>
      <c r="J5957" s="22"/>
      <c r="K5957" s="22"/>
      <c r="L5957" s="22"/>
      <c r="M5957" s="33"/>
      <c r="N5957" s="33"/>
      <c r="O5957" s="20"/>
      <c r="P5957" s="32"/>
      <c r="Q5957" s="30"/>
      <c r="R5957" s="22"/>
      <c r="S5957" s="22"/>
      <c r="T5957" s="22"/>
      <c r="U5957" s="9"/>
      <c r="V5957" s="8"/>
      <c r="W5957" s="8"/>
      <c r="X5957" s="8"/>
      <c r="Y5957" s="8"/>
      <c r="Z5957" s="7"/>
      <c r="AA5957" s="7"/>
      <c r="AB5957" s="7"/>
    </row>
    <row r="5958" ht="15.75" customHeight="1">
      <c r="A5958" s="26"/>
      <c r="B5958" s="22"/>
      <c r="C5958" s="28"/>
      <c r="D5958" s="28"/>
      <c r="E5958" s="26"/>
      <c r="F5958" s="22"/>
      <c r="G5958" s="20"/>
      <c r="H5958" s="22"/>
      <c r="I5958" s="22"/>
      <c r="J5958" s="22"/>
      <c r="K5958" s="22"/>
      <c r="L5958" s="22"/>
      <c r="M5958" s="33"/>
      <c r="N5958" s="33"/>
      <c r="O5958" s="20"/>
      <c r="P5958" s="32"/>
      <c r="Q5958" s="30"/>
      <c r="R5958" s="22"/>
      <c r="S5958" s="22"/>
      <c r="T5958" s="22"/>
      <c r="U5958" s="9"/>
      <c r="V5958" s="8"/>
      <c r="W5958" s="8"/>
      <c r="X5958" s="8"/>
      <c r="Y5958" s="8"/>
      <c r="Z5958" s="7"/>
      <c r="AA5958" s="7"/>
      <c r="AB5958" s="7"/>
    </row>
    <row r="5959" ht="15.75" customHeight="1">
      <c r="A5959" s="26"/>
      <c r="B5959" s="22"/>
      <c r="C5959" s="28"/>
      <c r="D5959" s="28"/>
      <c r="E5959" s="26"/>
      <c r="F5959" s="22"/>
      <c r="G5959" s="20"/>
      <c r="H5959" s="22"/>
      <c r="I5959" s="22"/>
      <c r="J5959" s="22"/>
      <c r="K5959" s="22"/>
      <c r="L5959" s="22"/>
      <c r="M5959" s="33"/>
      <c r="N5959" s="33"/>
      <c r="O5959" s="20"/>
      <c r="P5959" s="32"/>
      <c r="Q5959" s="30"/>
      <c r="R5959" s="22"/>
      <c r="S5959" s="22"/>
      <c r="T5959" s="22"/>
      <c r="U5959" s="9"/>
      <c r="V5959" s="8"/>
      <c r="W5959" s="8"/>
      <c r="X5959" s="8"/>
      <c r="Y5959" s="8"/>
      <c r="Z5959" s="7"/>
      <c r="AA5959" s="7"/>
      <c r="AB5959" s="7"/>
    </row>
    <row r="5960" ht="15.75" customHeight="1">
      <c r="A5960" s="26"/>
      <c r="B5960" s="22"/>
      <c r="C5960" s="28"/>
      <c r="D5960" s="28"/>
      <c r="E5960" s="26"/>
      <c r="F5960" s="22"/>
      <c r="G5960" s="20"/>
      <c r="H5960" s="22"/>
      <c r="I5960" s="22"/>
      <c r="J5960" s="22"/>
      <c r="K5960" s="22"/>
      <c r="L5960" s="22"/>
      <c r="M5960" s="33"/>
      <c r="N5960" s="33"/>
      <c r="O5960" s="20"/>
      <c r="P5960" s="32"/>
      <c r="Q5960" s="30"/>
      <c r="R5960" s="22"/>
      <c r="S5960" s="22"/>
      <c r="T5960" s="22"/>
      <c r="U5960" s="9"/>
      <c r="V5960" s="8"/>
      <c r="W5960" s="8"/>
      <c r="X5960" s="8"/>
      <c r="Y5960" s="8"/>
      <c r="Z5960" s="7"/>
      <c r="AA5960" s="7"/>
      <c r="AB5960" s="7"/>
    </row>
    <row r="5961" ht="15.75" customHeight="1">
      <c r="A5961" s="26"/>
      <c r="B5961" s="22"/>
      <c r="C5961" s="28"/>
      <c r="D5961" s="28"/>
      <c r="E5961" s="26"/>
      <c r="F5961" s="22"/>
      <c r="G5961" s="20"/>
      <c r="H5961" s="22"/>
      <c r="I5961" s="22"/>
      <c r="J5961" s="22"/>
      <c r="K5961" s="22"/>
      <c r="L5961" s="22"/>
      <c r="M5961" s="33"/>
      <c r="N5961" s="33"/>
      <c r="O5961" s="20"/>
      <c r="P5961" s="32"/>
      <c r="Q5961" s="30"/>
      <c r="R5961" s="22"/>
      <c r="S5961" s="22"/>
      <c r="T5961" s="22"/>
      <c r="U5961" s="9"/>
      <c r="V5961" s="8"/>
      <c r="W5961" s="8"/>
      <c r="X5961" s="8"/>
      <c r="Y5961" s="8"/>
      <c r="Z5961" s="7"/>
      <c r="AA5961" s="7"/>
      <c r="AB5961" s="7"/>
    </row>
    <row r="5962" ht="15.75" customHeight="1">
      <c r="A5962" s="26"/>
      <c r="B5962" s="22"/>
      <c r="C5962" s="28"/>
      <c r="D5962" s="28"/>
      <c r="E5962" s="26"/>
      <c r="F5962" s="22"/>
      <c r="G5962" s="20"/>
      <c r="H5962" s="22"/>
      <c r="I5962" s="22"/>
      <c r="J5962" s="22"/>
      <c r="K5962" s="22"/>
      <c r="L5962" s="22"/>
      <c r="M5962" s="33"/>
      <c r="N5962" s="33"/>
      <c r="O5962" s="20"/>
      <c r="P5962" s="32"/>
      <c r="Q5962" s="30"/>
      <c r="R5962" s="22"/>
      <c r="S5962" s="22"/>
      <c r="T5962" s="22"/>
      <c r="U5962" s="9"/>
      <c r="V5962" s="8"/>
      <c r="W5962" s="8"/>
      <c r="X5962" s="8"/>
      <c r="Y5962" s="8"/>
      <c r="Z5962" s="7"/>
      <c r="AA5962" s="7"/>
      <c r="AB5962" s="7"/>
    </row>
    <row r="5963" ht="15.75" customHeight="1">
      <c r="A5963" s="26"/>
      <c r="B5963" s="22"/>
      <c r="C5963" s="28"/>
      <c r="D5963" s="28"/>
      <c r="E5963" s="26"/>
      <c r="F5963" s="22"/>
      <c r="G5963" s="20"/>
      <c r="H5963" s="22"/>
      <c r="I5963" s="22"/>
      <c r="J5963" s="22"/>
      <c r="K5963" s="22"/>
      <c r="L5963" s="22"/>
      <c r="M5963" s="33"/>
      <c r="N5963" s="33"/>
      <c r="O5963" s="20"/>
      <c r="P5963" s="32"/>
      <c r="Q5963" s="30"/>
      <c r="R5963" s="22"/>
      <c r="S5963" s="22"/>
      <c r="T5963" s="22"/>
      <c r="U5963" s="9"/>
      <c r="V5963" s="8"/>
      <c r="W5963" s="8"/>
      <c r="X5963" s="8"/>
      <c r="Y5963" s="8"/>
      <c r="Z5963" s="7"/>
      <c r="AA5963" s="7"/>
      <c r="AB5963" s="7"/>
    </row>
    <row r="5964" ht="15.75" customHeight="1">
      <c r="A5964" s="26"/>
      <c r="B5964" s="22"/>
      <c r="C5964" s="28"/>
      <c r="D5964" s="28"/>
      <c r="E5964" s="26"/>
      <c r="F5964" s="22"/>
      <c r="G5964" s="20"/>
      <c r="H5964" s="22"/>
      <c r="I5964" s="22"/>
      <c r="J5964" s="22"/>
      <c r="K5964" s="22"/>
      <c r="L5964" s="22"/>
      <c r="M5964" s="33"/>
      <c r="N5964" s="33"/>
      <c r="O5964" s="20"/>
      <c r="P5964" s="32"/>
      <c r="Q5964" s="30"/>
      <c r="R5964" s="22"/>
      <c r="S5964" s="22"/>
      <c r="T5964" s="22"/>
      <c r="U5964" s="9"/>
      <c r="V5964" s="8"/>
      <c r="W5964" s="8"/>
      <c r="X5964" s="8"/>
      <c r="Y5964" s="8"/>
      <c r="Z5964" s="7"/>
      <c r="AA5964" s="7"/>
      <c r="AB5964" s="7"/>
    </row>
    <row r="5965" ht="15.75" customHeight="1">
      <c r="A5965" s="26"/>
      <c r="B5965" s="22"/>
      <c r="C5965" s="28"/>
      <c r="D5965" s="28"/>
      <c r="E5965" s="26"/>
      <c r="F5965" s="22"/>
      <c r="G5965" s="20"/>
      <c r="H5965" s="22"/>
      <c r="I5965" s="22"/>
      <c r="J5965" s="22"/>
      <c r="K5965" s="22"/>
      <c r="L5965" s="22"/>
      <c r="M5965" s="33"/>
      <c r="N5965" s="33"/>
      <c r="O5965" s="20"/>
      <c r="P5965" s="32"/>
      <c r="Q5965" s="30"/>
      <c r="R5965" s="22"/>
      <c r="S5965" s="22"/>
      <c r="T5965" s="22"/>
      <c r="U5965" s="9"/>
      <c r="V5965" s="8"/>
      <c r="W5965" s="8"/>
      <c r="X5965" s="8"/>
      <c r="Y5965" s="8"/>
      <c r="Z5965" s="7"/>
      <c r="AA5965" s="7"/>
      <c r="AB5965" s="7"/>
    </row>
    <row r="5966" ht="15.75" customHeight="1">
      <c r="A5966" s="26"/>
      <c r="B5966" s="22"/>
      <c r="C5966" s="28"/>
      <c r="D5966" s="28"/>
      <c r="E5966" s="26"/>
      <c r="F5966" s="22"/>
      <c r="G5966" s="20"/>
      <c r="H5966" s="22"/>
      <c r="I5966" s="22"/>
      <c r="J5966" s="22"/>
      <c r="K5966" s="22"/>
      <c r="L5966" s="22"/>
      <c r="M5966" s="33"/>
      <c r="N5966" s="33"/>
      <c r="O5966" s="20"/>
      <c r="P5966" s="32"/>
      <c r="Q5966" s="30"/>
      <c r="R5966" s="22"/>
      <c r="S5966" s="22"/>
      <c r="T5966" s="22"/>
      <c r="U5966" s="9"/>
      <c r="V5966" s="8"/>
      <c r="W5966" s="8"/>
      <c r="X5966" s="8"/>
      <c r="Y5966" s="8"/>
      <c r="Z5966" s="7"/>
      <c r="AA5966" s="7"/>
      <c r="AB5966" s="7"/>
    </row>
    <row r="5967" ht="15.75" customHeight="1">
      <c r="A5967" s="26"/>
      <c r="B5967" s="22"/>
      <c r="C5967" s="28"/>
      <c r="D5967" s="28"/>
      <c r="E5967" s="26"/>
      <c r="F5967" s="22"/>
      <c r="G5967" s="20"/>
      <c r="H5967" s="22"/>
      <c r="I5967" s="22"/>
      <c r="J5967" s="22"/>
      <c r="K5967" s="22"/>
      <c r="L5967" s="22"/>
      <c r="M5967" s="33"/>
      <c r="N5967" s="33"/>
      <c r="O5967" s="20"/>
      <c r="P5967" s="32"/>
      <c r="Q5967" s="30"/>
      <c r="R5967" s="22"/>
      <c r="S5967" s="22"/>
      <c r="T5967" s="22"/>
      <c r="U5967" s="9"/>
      <c r="V5967" s="8"/>
      <c r="W5967" s="8"/>
      <c r="X5967" s="8"/>
      <c r="Y5967" s="8"/>
      <c r="Z5967" s="7"/>
      <c r="AA5967" s="7"/>
      <c r="AB5967" s="7"/>
    </row>
    <row r="5968" ht="15.75" customHeight="1">
      <c r="A5968" s="26"/>
      <c r="B5968" s="22"/>
      <c r="C5968" s="28"/>
      <c r="D5968" s="28"/>
      <c r="E5968" s="26"/>
      <c r="F5968" s="22"/>
      <c r="G5968" s="20"/>
      <c r="H5968" s="22"/>
      <c r="I5968" s="22"/>
      <c r="J5968" s="22"/>
      <c r="K5968" s="22"/>
      <c r="L5968" s="22"/>
      <c r="M5968" s="33"/>
      <c r="N5968" s="33"/>
      <c r="O5968" s="20"/>
      <c r="P5968" s="32"/>
      <c r="Q5968" s="30"/>
      <c r="R5968" s="22"/>
      <c r="S5968" s="22"/>
      <c r="T5968" s="22"/>
      <c r="U5968" s="9"/>
      <c r="V5968" s="8"/>
      <c r="W5968" s="8"/>
      <c r="X5968" s="8"/>
      <c r="Y5968" s="8"/>
      <c r="Z5968" s="7"/>
      <c r="AA5968" s="7"/>
      <c r="AB5968" s="7"/>
    </row>
    <row r="5969" ht="15.75" customHeight="1">
      <c r="A5969" s="26"/>
      <c r="B5969" s="22"/>
      <c r="C5969" s="28"/>
      <c r="D5969" s="28"/>
      <c r="E5969" s="26"/>
      <c r="F5969" s="22"/>
      <c r="G5969" s="20"/>
      <c r="H5969" s="22"/>
      <c r="I5969" s="22"/>
      <c r="J5969" s="22"/>
      <c r="K5969" s="22"/>
      <c r="L5969" s="22"/>
      <c r="M5969" s="33"/>
      <c r="N5969" s="33"/>
      <c r="O5969" s="20"/>
      <c r="P5969" s="32"/>
      <c r="Q5969" s="30"/>
      <c r="R5969" s="22"/>
      <c r="S5969" s="22"/>
      <c r="T5969" s="22"/>
      <c r="U5969" s="9"/>
      <c r="V5969" s="8"/>
      <c r="W5969" s="8"/>
      <c r="X5969" s="8"/>
      <c r="Y5969" s="8"/>
      <c r="Z5969" s="7"/>
      <c r="AA5969" s="7"/>
      <c r="AB5969" s="7"/>
    </row>
    <row r="5970" ht="15.75" customHeight="1">
      <c r="A5970" s="26"/>
      <c r="B5970" s="22"/>
      <c r="C5970" s="28"/>
      <c r="D5970" s="28"/>
      <c r="E5970" s="26"/>
      <c r="F5970" s="22"/>
      <c r="G5970" s="20"/>
      <c r="H5970" s="22"/>
      <c r="I5970" s="22"/>
      <c r="J5970" s="22"/>
      <c r="K5970" s="22"/>
      <c r="L5970" s="22"/>
      <c r="M5970" s="33"/>
      <c r="N5970" s="33"/>
      <c r="O5970" s="20"/>
      <c r="P5970" s="32"/>
      <c r="Q5970" s="30"/>
      <c r="R5970" s="22"/>
      <c r="S5970" s="22"/>
      <c r="T5970" s="22"/>
      <c r="U5970" s="9"/>
      <c r="V5970" s="8"/>
      <c r="W5970" s="8"/>
      <c r="X5970" s="8"/>
      <c r="Y5970" s="8"/>
      <c r="Z5970" s="7"/>
      <c r="AA5970" s="7"/>
      <c r="AB5970" s="7"/>
    </row>
    <row r="5971" ht="15.75" customHeight="1">
      <c r="A5971" s="26"/>
      <c r="B5971" s="22"/>
      <c r="C5971" s="28"/>
      <c r="D5971" s="28"/>
      <c r="E5971" s="26"/>
      <c r="F5971" s="22"/>
      <c r="G5971" s="20"/>
      <c r="H5971" s="22"/>
      <c r="I5971" s="22"/>
      <c r="J5971" s="22"/>
      <c r="K5971" s="22"/>
      <c r="L5971" s="22"/>
      <c r="M5971" s="33"/>
      <c r="N5971" s="33"/>
      <c r="O5971" s="20"/>
      <c r="P5971" s="32"/>
      <c r="Q5971" s="30"/>
      <c r="R5971" s="22"/>
      <c r="S5971" s="22"/>
      <c r="T5971" s="22"/>
      <c r="U5971" s="9"/>
      <c r="V5971" s="8"/>
      <c r="W5971" s="8"/>
      <c r="X5971" s="8"/>
      <c r="Y5971" s="8"/>
      <c r="Z5971" s="7"/>
      <c r="AA5971" s="7"/>
      <c r="AB5971" s="7"/>
    </row>
    <row r="5972" ht="15.75" customHeight="1">
      <c r="A5972" s="26"/>
      <c r="B5972" s="22"/>
      <c r="C5972" s="28"/>
      <c r="D5972" s="28"/>
      <c r="E5972" s="26"/>
      <c r="F5972" s="22"/>
      <c r="G5972" s="20"/>
      <c r="H5972" s="22"/>
      <c r="I5972" s="22"/>
      <c r="J5972" s="22"/>
      <c r="K5972" s="22"/>
      <c r="L5972" s="22"/>
      <c r="M5972" s="33"/>
      <c r="N5972" s="33"/>
      <c r="O5972" s="20"/>
      <c r="P5972" s="32"/>
      <c r="Q5972" s="30"/>
      <c r="R5972" s="22"/>
      <c r="S5972" s="22"/>
      <c r="T5972" s="22"/>
      <c r="U5972" s="9"/>
      <c r="V5972" s="8"/>
      <c r="W5972" s="8"/>
      <c r="X5972" s="8"/>
      <c r="Y5972" s="8"/>
      <c r="Z5972" s="7"/>
      <c r="AA5972" s="7"/>
      <c r="AB5972" s="7"/>
    </row>
    <row r="5973" ht="15.75" customHeight="1">
      <c r="A5973" s="26"/>
      <c r="B5973" s="22"/>
      <c r="C5973" s="28"/>
      <c r="D5973" s="28"/>
      <c r="E5973" s="26"/>
      <c r="F5973" s="22"/>
      <c r="G5973" s="20"/>
      <c r="H5973" s="22"/>
      <c r="I5973" s="22"/>
      <c r="J5973" s="22"/>
      <c r="K5973" s="22"/>
      <c r="L5973" s="22"/>
      <c r="M5973" s="33"/>
      <c r="N5973" s="33"/>
      <c r="O5973" s="20"/>
      <c r="P5973" s="32"/>
      <c r="Q5973" s="30"/>
      <c r="R5973" s="22"/>
      <c r="S5973" s="22"/>
      <c r="T5973" s="22"/>
      <c r="U5973" s="9"/>
      <c r="V5973" s="8"/>
      <c r="W5973" s="8"/>
      <c r="X5973" s="8"/>
      <c r="Y5973" s="8"/>
      <c r="Z5973" s="7"/>
      <c r="AA5973" s="7"/>
      <c r="AB5973" s="7"/>
    </row>
    <row r="5974" ht="15.75" customHeight="1">
      <c r="A5974" s="26"/>
      <c r="B5974" s="22"/>
      <c r="C5974" s="28"/>
      <c r="D5974" s="28"/>
      <c r="E5974" s="26"/>
      <c r="F5974" s="22"/>
      <c r="G5974" s="20"/>
      <c r="H5974" s="22"/>
      <c r="I5974" s="22"/>
      <c r="J5974" s="22"/>
      <c r="K5974" s="22"/>
      <c r="L5974" s="22"/>
      <c r="M5974" s="33"/>
      <c r="N5974" s="33"/>
      <c r="O5974" s="20"/>
      <c r="P5974" s="32"/>
      <c r="Q5974" s="30"/>
      <c r="R5974" s="22"/>
      <c r="S5974" s="22"/>
      <c r="T5974" s="22"/>
      <c r="U5974" s="9"/>
      <c r="V5974" s="8"/>
      <c r="W5974" s="8"/>
      <c r="X5974" s="8"/>
      <c r="Y5974" s="8"/>
      <c r="Z5974" s="7"/>
      <c r="AA5974" s="7"/>
      <c r="AB5974" s="7"/>
    </row>
    <row r="5975" ht="15.75" customHeight="1">
      <c r="A5975" s="26"/>
      <c r="B5975" s="22"/>
      <c r="C5975" s="28"/>
      <c r="D5975" s="28"/>
      <c r="E5975" s="26"/>
      <c r="F5975" s="22"/>
      <c r="G5975" s="20"/>
      <c r="H5975" s="22"/>
      <c r="I5975" s="22"/>
      <c r="J5975" s="22"/>
      <c r="K5975" s="22"/>
      <c r="L5975" s="22"/>
      <c r="M5975" s="33"/>
      <c r="N5975" s="33"/>
      <c r="O5975" s="20"/>
      <c r="P5975" s="32"/>
      <c r="Q5975" s="30"/>
      <c r="R5975" s="22"/>
      <c r="S5975" s="22"/>
      <c r="T5975" s="22"/>
      <c r="U5975" s="9"/>
      <c r="V5975" s="8"/>
      <c r="W5975" s="8"/>
      <c r="X5975" s="8"/>
      <c r="Y5975" s="8"/>
      <c r="Z5975" s="7"/>
      <c r="AA5975" s="7"/>
      <c r="AB5975" s="7"/>
    </row>
    <row r="5976" ht="15.75" customHeight="1">
      <c r="A5976" s="26"/>
      <c r="B5976" s="22"/>
      <c r="C5976" s="28"/>
      <c r="D5976" s="28"/>
      <c r="E5976" s="26"/>
      <c r="F5976" s="22"/>
      <c r="G5976" s="20"/>
      <c r="H5976" s="22"/>
      <c r="I5976" s="22"/>
      <c r="J5976" s="22"/>
      <c r="K5976" s="22"/>
      <c r="L5976" s="22"/>
      <c r="M5976" s="33"/>
      <c r="N5976" s="33"/>
      <c r="O5976" s="20"/>
      <c r="P5976" s="32"/>
      <c r="Q5976" s="30"/>
      <c r="R5976" s="22"/>
      <c r="S5976" s="22"/>
      <c r="T5976" s="22"/>
      <c r="U5976" s="9"/>
      <c r="V5976" s="8"/>
      <c r="W5976" s="8"/>
      <c r="X5976" s="8"/>
      <c r="Y5976" s="8"/>
      <c r="Z5976" s="7"/>
      <c r="AA5976" s="7"/>
      <c r="AB5976" s="7"/>
    </row>
    <row r="5977" ht="15.75" customHeight="1">
      <c r="A5977" s="26"/>
      <c r="B5977" s="22"/>
      <c r="C5977" s="28"/>
      <c r="D5977" s="28"/>
      <c r="E5977" s="26"/>
      <c r="F5977" s="22"/>
      <c r="G5977" s="20"/>
      <c r="H5977" s="22"/>
      <c r="I5977" s="22"/>
      <c r="J5977" s="22"/>
      <c r="K5977" s="22"/>
      <c r="L5977" s="22"/>
      <c r="M5977" s="33"/>
      <c r="N5977" s="33"/>
      <c r="O5977" s="20"/>
      <c r="P5977" s="32"/>
      <c r="Q5977" s="30"/>
      <c r="R5977" s="22"/>
      <c r="S5977" s="22"/>
      <c r="T5977" s="22"/>
      <c r="U5977" s="9"/>
      <c r="V5977" s="8"/>
      <c r="W5977" s="8"/>
      <c r="X5977" s="8"/>
      <c r="Y5977" s="8"/>
      <c r="Z5977" s="7"/>
      <c r="AA5977" s="7"/>
      <c r="AB5977" s="7"/>
    </row>
    <row r="5978" ht="15.75" customHeight="1">
      <c r="A5978" s="26"/>
      <c r="B5978" s="22"/>
      <c r="C5978" s="28"/>
      <c r="D5978" s="28"/>
      <c r="E5978" s="26"/>
      <c r="F5978" s="22"/>
      <c r="G5978" s="20"/>
      <c r="H5978" s="22"/>
      <c r="I5978" s="22"/>
      <c r="J5978" s="22"/>
      <c r="K5978" s="22"/>
      <c r="L5978" s="22"/>
      <c r="M5978" s="33"/>
      <c r="N5978" s="33"/>
      <c r="O5978" s="20"/>
      <c r="P5978" s="32"/>
      <c r="Q5978" s="30"/>
      <c r="R5978" s="22"/>
      <c r="S5978" s="22"/>
      <c r="T5978" s="22"/>
      <c r="U5978" s="9"/>
      <c r="V5978" s="8"/>
      <c r="W5978" s="8"/>
      <c r="X5978" s="8"/>
      <c r="Y5978" s="8"/>
      <c r="Z5978" s="7"/>
      <c r="AA5978" s="7"/>
      <c r="AB5978" s="7"/>
    </row>
    <row r="5979" ht="15.75" customHeight="1">
      <c r="A5979" s="26"/>
      <c r="B5979" s="22"/>
      <c r="C5979" s="28"/>
      <c r="D5979" s="28"/>
      <c r="E5979" s="26"/>
      <c r="F5979" s="22"/>
      <c r="G5979" s="20"/>
      <c r="H5979" s="22"/>
      <c r="I5979" s="22"/>
      <c r="J5979" s="22"/>
      <c r="K5979" s="22"/>
      <c r="L5979" s="22"/>
      <c r="M5979" s="33"/>
      <c r="N5979" s="33"/>
      <c r="O5979" s="20"/>
      <c r="P5979" s="32"/>
      <c r="Q5979" s="30"/>
      <c r="R5979" s="22"/>
      <c r="S5979" s="22"/>
      <c r="T5979" s="22"/>
      <c r="U5979" s="9"/>
      <c r="V5979" s="8"/>
      <c r="W5979" s="8"/>
      <c r="X5979" s="8"/>
      <c r="Y5979" s="8"/>
      <c r="Z5979" s="7"/>
      <c r="AA5979" s="7"/>
      <c r="AB5979" s="7"/>
    </row>
    <row r="5980" ht="15.75" customHeight="1">
      <c r="A5980" s="26"/>
      <c r="B5980" s="22"/>
      <c r="C5980" s="28"/>
      <c r="D5980" s="28"/>
      <c r="E5980" s="26"/>
      <c r="F5980" s="22"/>
      <c r="G5980" s="20"/>
      <c r="H5980" s="22"/>
      <c r="I5980" s="22"/>
      <c r="J5980" s="22"/>
      <c r="K5980" s="22"/>
      <c r="L5980" s="22"/>
      <c r="M5980" s="33"/>
      <c r="N5980" s="33"/>
      <c r="O5980" s="20"/>
      <c r="P5980" s="32"/>
      <c r="Q5980" s="30"/>
      <c r="R5980" s="22"/>
      <c r="S5980" s="22"/>
      <c r="T5980" s="22"/>
      <c r="U5980" s="9"/>
      <c r="V5980" s="8"/>
      <c r="W5980" s="8"/>
      <c r="X5980" s="8"/>
      <c r="Y5980" s="8"/>
      <c r="Z5980" s="7"/>
      <c r="AA5980" s="7"/>
      <c r="AB5980" s="7"/>
    </row>
    <row r="5981" ht="15.75" customHeight="1">
      <c r="A5981" s="26"/>
      <c r="B5981" s="22"/>
      <c r="C5981" s="28"/>
      <c r="D5981" s="28"/>
      <c r="E5981" s="26"/>
      <c r="F5981" s="22"/>
      <c r="G5981" s="20"/>
      <c r="H5981" s="22"/>
      <c r="I5981" s="22"/>
      <c r="J5981" s="22"/>
      <c r="K5981" s="22"/>
      <c r="L5981" s="22"/>
      <c r="M5981" s="33"/>
      <c r="N5981" s="33"/>
      <c r="O5981" s="20"/>
      <c r="P5981" s="32"/>
      <c r="Q5981" s="30"/>
      <c r="R5981" s="22"/>
      <c r="S5981" s="22"/>
      <c r="T5981" s="22"/>
      <c r="U5981" s="9"/>
      <c r="V5981" s="8"/>
      <c r="W5981" s="8"/>
      <c r="X5981" s="8"/>
      <c r="Y5981" s="8"/>
      <c r="Z5981" s="7"/>
      <c r="AA5981" s="7"/>
      <c r="AB5981" s="7"/>
    </row>
    <row r="5982" ht="15.75" customHeight="1">
      <c r="A5982" s="26"/>
      <c r="B5982" s="22"/>
      <c r="C5982" s="28"/>
      <c r="D5982" s="28"/>
      <c r="E5982" s="26"/>
      <c r="F5982" s="22"/>
      <c r="G5982" s="20"/>
      <c r="H5982" s="22"/>
      <c r="I5982" s="22"/>
      <c r="J5982" s="22"/>
      <c r="K5982" s="22"/>
      <c r="L5982" s="22"/>
      <c r="M5982" s="33"/>
      <c r="N5982" s="33"/>
      <c r="O5982" s="20"/>
      <c r="P5982" s="32"/>
      <c r="Q5982" s="30"/>
      <c r="R5982" s="22"/>
      <c r="S5982" s="22"/>
      <c r="T5982" s="22"/>
      <c r="U5982" s="9"/>
      <c r="V5982" s="8"/>
      <c r="W5982" s="8"/>
      <c r="X5982" s="8"/>
      <c r="Y5982" s="8"/>
      <c r="Z5982" s="7"/>
      <c r="AA5982" s="7"/>
      <c r="AB5982" s="7"/>
    </row>
    <row r="5983" ht="15.75" customHeight="1">
      <c r="A5983" s="26"/>
      <c r="B5983" s="22"/>
      <c r="C5983" s="28"/>
      <c r="D5983" s="28"/>
      <c r="E5983" s="26"/>
      <c r="F5983" s="22"/>
      <c r="G5983" s="20"/>
      <c r="H5983" s="22"/>
      <c r="I5983" s="22"/>
      <c r="J5983" s="22"/>
      <c r="K5983" s="22"/>
      <c r="L5983" s="22"/>
      <c r="M5983" s="33"/>
      <c r="N5983" s="33"/>
      <c r="O5983" s="20"/>
      <c r="P5983" s="32"/>
      <c r="Q5983" s="30"/>
      <c r="R5983" s="22"/>
      <c r="S5983" s="22"/>
      <c r="T5983" s="22"/>
      <c r="U5983" s="9"/>
      <c r="V5983" s="8"/>
      <c r="W5983" s="8"/>
      <c r="X5983" s="8"/>
      <c r="Y5983" s="8"/>
      <c r="Z5983" s="7"/>
      <c r="AA5983" s="7"/>
      <c r="AB5983" s="7"/>
    </row>
    <row r="5984" ht="15.75" customHeight="1">
      <c r="A5984" s="26"/>
      <c r="B5984" s="22"/>
      <c r="C5984" s="28"/>
      <c r="D5984" s="28"/>
      <c r="E5984" s="26"/>
      <c r="F5984" s="22"/>
      <c r="G5984" s="20"/>
      <c r="H5984" s="22"/>
      <c r="I5984" s="22"/>
      <c r="J5984" s="22"/>
      <c r="K5984" s="22"/>
      <c r="L5984" s="22"/>
      <c r="M5984" s="33"/>
      <c r="N5984" s="33"/>
      <c r="O5984" s="20"/>
      <c r="P5984" s="32"/>
      <c r="Q5984" s="30"/>
      <c r="R5984" s="22"/>
      <c r="S5984" s="22"/>
      <c r="T5984" s="22"/>
      <c r="U5984" s="9"/>
      <c r="V5984" s="8"/>
      <c r="W5984" s="8"/>
      <c r="X5984" s="8"/>
      <c r="Y5984" s="8"/>
      <c r="Z5984" s="7"/>
      <c r="AA5984" s="7"/>
      <c r="AB5984" s="7"/>
    </row>
    <row r="5985" ht="15.75" customHeight="1">
      <c r="A5985" s="26"/>
      <c r="B5985" s="22"/>
      <c r="C5985" s="28"/>
      <c r="D5985" s="28"/>
      <c r="E5985" s="26"/>
      <c r="F5985" s="22"/>
      <c r="G5985" s="20"/>
      <c r="H5985" s="22"/>
      <c r="I5985" s="22"/>
      <c r="J5985" s="22"/>
      <c r="K5985" s="22"/>
      <c r="L5985" s="22"/>
      <c r="M5985" s="33"/>
      <c r="N5985" s="33"/>
      <c r="O5985" s="20"/>
      <c r="P5985" s="32"/>
      <c r="Q5985" s="30"/>
      <c r="R5985" s="22"/>
      <c r="S5985" s="22"/>
      <c r="T5985" s="22"/>
      <c r="U5985" s="9"/>
      <c r="V5985" s="8"/>
      <c r="W5985" s="8"/>
      <c r="X5985" s="8"/>
      <c r="Y5985" s="8"/>
      <c r="Z5985" s="7"/>
      <c r="AA5985" s="7"/>
      <c r="AB5985" s="7"/>
    </row>
    <row r="5986" ht="15.75" customHeight="1">
      <c r="A5986" s="26"/>
      <c r="B5986" s="22"/>
      <c r="C5986" s="28"/>
      <c r="D5986" s="28"/>
      <c r="E5986" s="26"/>
      <c r="F5986" s="22"/>
      <c r="G5986" s="20"/>
      <c r="H5986" s="22"/>
      <c r="I5986" s="22"/>
      <c r="J5986" s="22"/>
      <c r="K5986" s="22"/>
      <c r="L5986" s="22"/>
      <c r="M5986" s="33"/>
      <c r="N5986" s="33"/>
      <c r="O5986" s="20"/>
      <c r="P5986" s="32"/>
      <c r="Q5986" s="30"/>
      <c r="R5986" s="22"/>
      <c r="S5986" s="22"/>
      <c r="T5986" s="22"/>
      <c r="U5986" s="9"/>
      <c r="V5986" s="8"/>
      <c r="W5986" s="8"/>
      <c r="X5986" s="8"/>
      <c r="Y5986" s="8"/>
      <c r="Z5986" s="7"/>
      <c r="AA5986" s="7"/>
      <c r="AB5986" s="7"/>
    </row>
    <row r="5987" ht="15.75" customHeight="1">
      <c r="A5987" s="26"/>
      <c r="B5987" s="22"/>
      <c r="C5987" s="28"/>
      <c r="D5987" s="28"/>
      <c r="E5987" s="26"/>
      <c r="F5987" s="22"/>
      <c r="G5987" s="20"/>
      <c r="H5987" s="22"/>
      <c r="I5987" s="22"/>
      <c r="J5987" s="22"/>
      <c r="K5987" s="22"/>
      <c r="L5987" s="22"/>
      <c r="M5987" s="33"/>
      <c r="N5987" s="33"/>
      <c r="O5987" s="20"/>
      <c r="P5987" s="32"/>
      <c r="Q5987" s="30"/>
      <c r="R5987" s="22"/>
      <c r="S5987" s="22"/>
      <c r="T5987" s="22"/>
      <c r="U5987" s="9"/>
      <c r="V5987" s="8"/>
      <c r="W5987" s="8"/>
      <c r="X5987" s="8"/>
      <c r="Y5987" s="8"/>
      <c r="Z5987" s="7"/>
      <c r="AA5987" s="7"/>
      <c r="AB5987" s="7"/>
    </row>
    <row r="5988" ht="15.75" customHeight="1">
      <c r="A5988" s="26"/>
      <c r="B5988" s="22"/>
      <c r="C5988" s="28"/>
      <c r="D5988" s="28"/>
      <c r="E5988" s="26"/>
      <c r="F5988" s="22"/>
      <c r="G5988" s="20"/>
      <c r="H5988" s="22"/>
      <c r="I5988" s="22"/>
      <c r="J5988" s="22"/>
      <c r="K5988" s="22"/>
      <c r="L5988" s="22"/>
      <c r="M5988" s="33"/>
      <c r="N5988" s="33"/>
      <c r="O5988" s="20"/>
      <c r="P5988" s="32"/>
      <c r="Q5988" s="30"/>
      <c r="R5988" s="22"/>
      <c r="S5988" s="22"/>
      <c r="T5988" s="22"/>
      <c r="U5988" s="9"/>
      <c r="V5988" s="8"/>
      <c r="W5988" s="8"/>
      <c r="X5988" s="8"/>
      <c r="Y5988" s="8"/>
      <c r="Z5988" s="7"/>
      <c r="AA5988" s="7"/>
      <c r="AB5988" s="7"/>
    </row>
    <row r="5989" ht="15.75" customHeight="1">
      <c r="A5989" s="26"/>
      <c r="B5989" s="22"/>
      <c r="C5989" s="28"/>
      <c r="D5989" s="28"/>
      <c r="E5989" s="26"/>
      <c r="F5989" s="22"/>
      <c r="G5989" s="20"/>
      <c r="H5989" s="22"/>
      <c r="I5989" s="22"/>
      <c r="J5989" s="22"/>
      <c r="K5989" s="22"/>
      <c r="L5989" s="22"/>
      <c r="M5989" s="33"/>
      <c r="N5989" s="33"/>
      <c r="O5989" s="20"/>
      <c r="P5989" s="32"/>
      <c r="Q5989" s="30"/>
      <c r="R5989" s="22"/>
      <c r="S5989" s="22"/>
      <c r="T5989" s="22"/>
      <c r="U5989" s="9"/>
      <c r="V5989" s="8"/>
      <c r="W5989" s="8"/>
      <c r="X5989" s="8"/>
      <c r="Y5989" s="8"/>
      <c r="Z5989" s="7"/>
      <c r="AA5989" s="7"/>
      <c r="AB5989" s="7"/>
    </row>
    <row r="5990" ht="15.75" customHeight="1">
      <c r="A5990" s="26"/>
      <c r="B5990" s="22"/>
      <c r="C5990" s="28"/>
      <c r="D5990" s="28"/>
      <c r="E5990" s="26"/>
      <c r="F5990" s="22"/>
      <c r="G5990" s="20"/>
      <c r="H5990" s="22"/>
      <c r="I5990" s="22"/>
      <c r="J5990" s="22"/>
      <c r="K5990" s="22"/>
      <c r="L5990" s="22"/>
      <c r="M5990" s="33"/>
      <c r="N5990" s="33"/>
      <c r="O5990" s="20"/>
      <c r="P5990" s="32"/>
      <c r="Q5990" s="30"/>
      <c r="R5990" s="22"/>
      <c r="S5990" s="22"/>
      <c r="T5990" s="22"/>
      <c r="U5990" s="9"/>
      <c r="V5990" s="8"/>
      <c r="W5990" s="8"/>
      <c r="X5990" s="8"/>
      <c r="Y5990" s="8"/>
      <c r="Z5990" s="7"/>
      <c r="AA5990" s="7"/>
      <c r="AB5990" s="7"/>
    </row>
    <row r="5991" ht="15.75" customHeight="1">
      <c r="A5991" s="26"/>
      <c r="B5991" s="22"/>
      <c r="C5991" s="28"/>
      <c r="D5991" s="28"/>
      <c r="E5991" s="26"/>
      <c r="F5991" s="22"/>
      <c r="G5991" s="20"/>
      <c r="H5991" s="22"/>
      <c r="I5991" s="22"/>
      <c r="J5991" s="22"/>
      <c r="K5991" s="22"/>
      <c r="L5991" s="22"/>
      <c r="M5991" s="33"/>
      <c r="N5991" s="33"/>
      <c r="O5991" s="20"/>
      <c r="P5991" s="32"/>
      <c r="Q5991" s="30"/>
      <c r="R5991" s="22"/>
      <c r="S5991" s="22"/>
      <c r="T5991" s="22"/>
      <c r="U5991" s="9"/>
      <c r="V5991" s="8"/>
      <c r="W5991" s="8"/>
      <c r="X5991" s="8"/>
      <c r="Y5991" s="8"/>
      <c r="Z5991" s="7"/>
      <c r="AA5991" s="7"/>
      <c r="AB5991" s="7"/>
    </row>
    <row r="5992" ht="15.75" customHeight="1">
      <c r="A5992" s="26"/>
      <c r="B5992" s="22"/>
      <c r="C5992" s="28"/>
      <c r="D5992" s="28"/>
      <c r="E5992" s="26"/>
      <c r="F5992" s="22"/>
      <c r="G5992" s="20"/>
      <c r="H5992" s="22"/>
      <c r="I5992" s="22"/>
      <c r="J5992" s="22"/>
      <c r="K5992" s="22"/>
      <c r="L5992" s="22"/>
      <c r="M5992" s="33"/>
      <c r="N5992" s="33"/>
      <c r="O5992" s="20"/>
      <c r="P5992" s="32"/>
      <c r="Q5992" s="30"/>
      <c r="R5992" s="22"/>
      <c r="S5992" s="22"/>
      <c r="T5992" s="22"/>
      <c r="U5992" s="9"/>
      <c r="V5992" s="8"/>
      <c r="W5992" s="8"/>
      <c r="X5992" s="8"/>
      <c r="Y5992" s="8"/>
      <c r="Z5992" s="7"/>
      <c r="AA5992" s="7"/>
      <c r="AB5992" s="7"/>
    </row>
    <row r="5993" ht="15.75" customHeight="1">
      <c r="A5993" s="26"/>
      <c r="B5993" s="22"/>
      <c r="C5993" s="28"/>
      <c r="D5993" s="28"/>
      <c r="E5993" s="26"/>
      <c r="F5993" s="22"/>
      <c r="G5993" s="20"/>
      <c r="H5993" s="22"/>
      <c r="I5993" s="22"/>
      <c r="J5993" s="22"/>
      <c r="K5993" s="22"/>
      <c r="L5993" s="22"/>
      <c r="M5993" s="33"/>
      <c r="N5993" s="33"/>
      <c r="O5993" s="20"/>
      <c r="P5993" s="32"/>
      <c r="Q5993" s="30"/>
      <c r="R5993" s="22"/>
      <c r="S5993" s="22"/>
      <c r="T5993" s="22"/>
      <c r="U5993" s="9"/>
      <c r="V5993" s="8"/>
      <c r="W5993" s="8"/>
      <c r="X5993" s="8"/>
      <c r="Y5993" s="8"/>
      <c r="Z5993" s="7"/>
      <c r="AA5993" s="7"/>
      <c r="AB5993" s="7"/>
    </row>
    <row r="5994" ht="15.75" customHeight="1">
      <c r="A5994" s="26"/>
      <c r="B5994" s="22"/>
      <c r="C5994" s="28"/>
      <c r="D5994" s="28"/>
      <c r="E5994" s="26"/>
      <c r="F5994" s="22"/>
      <c r="G5994" s="20"/>
      <c r="H5994" s="22"/>
      <c r="I5994" s="22"/>
      <c r="J5994" s="22"/>
      <c r="K5994" s="22"/>
      <c r="L5994" s="22"/>
      <c r="M5994" s="33"/>
      <c r="N5994" s="33"/>
      <c r="O5994" s="20"/>
      <c r="P5994" s="32"/>
      <c r="Q5994" s="30"/>
      <c r="R5994" s="22"/>
      <c r="S5994" s="22"/>
      <c r="T5994" s="22"/>
      <c r="U5994" s="9"/>
      <c r="V5994" s="8"/>
      <c r="W5994" s="8"/>
      <c r="X5994" s="8"/>
      <c r="Y5994" s="8"/>
      <c r="Z5994" s="7"/>
      <c r="AA5994" s="7"/>
      <c r="AB5994" s="7"/>
    </row>
    <row r="5995" ht="15.75" customHeight="1">
      <c r="A5995" s="26"/>
      <c r="B5995" s="22"/>
      <c r="C5995" s="28"/>
      <c r="D5995" s="28"/>
      <c r="E5995" s="26"/>
      <c r="F5995" s="22"/>
      <c r="G5995" s="20"/>
      <c r="H5995" s="22"/>
      <c r="I5995" s="22"/>
      <c r="J5995" s="22"/>
      <c r="K5995" s="22"/>
      <c r="L5995" s="22"/>
      <c r="M5995" s="33"/>
      <c r="N5995" s="33"/>
      <c r="O5995" s="20"/>
      <c r="P5995" s="32"/>
      <c r="Q5995" s="30"/>
      <c r="R5995" s="22"/>
      <c r="S5995" s="22"/>
      <c r="T5995" s="22"/>
      <c r="U5995" s="9"/>
      <c r="V5995" s="8"/>
      <c r="W5995" s="8"/>
      <c r="X5995" s="8"/>
      <c r="Y5995" s="8"/>
      <c r="Z5995" s="7"/>
      <c r="AA5995" s="7"/>
      <c r="AB5995" s="7"/>
    </row>
    <row r="5996" ht="15.75" customHeight="1">
      <c r="A5996" s="26"/>
      <c r="B5996" s="22"/>
      <c r="C5996" s="28"/>
      <c r="D5996" s="28"/>
      <c r="E5996" s="26"/>
      <c r="F5996" s="22"/>
      <c r="G5996" s="20"/>
      <c r="H5996" s="22"/>
      <c r="I5996" s="22"/>
      <c r="J5996" s="22"/>
      <c r="K5996" s="22"/>
      <c r="L5996" s="22"/>
      <c r="M5996" s="33"/>
      <c r="N5996" s="33"/>
      <c r="O5996" s="20"/>
      <c r="P5996" s="32"/>
      <c r="Q5996" s="30"/>
      <c r="R5996" s="22"/>
      <c r="S5996" s="22"/>
      <c r="T5996" s="22"/>
      <c r="U5996" s="9"/>
      <c r="V5996" s="8"/>
      <c r="W5996" s="8"/>
      <c r="X5996" s="8"/>
      <c r="Y5996" s="8"/>
      <c r="Z5996" s="7"/>
      <c r="AA5996" s="7"/>
      <c r="AB5996" s="7"/>
    </row>
    <row r="5997" ht="15.75" customHeight="1">
      <c r="A5997" s="26"/>
      <c r="B5997" s="22"/>
      <c r="C5997" s="28"/>
      <c r="D5997" s="28"/>
      <c r="E5997" s="26"/>
      <c r="F5997" s="22"/>
      <c r="G5997" s="20"/>
      <c r="H5997" s="22"/>
      <c r="I5997" s="22"/>
      <c r="J5997" s="22"/>
      <c r="K5997" s="22"/>
      <c r="L5997" s="22"/>
      <c r="M5997" s="33"/>
      <c r="N5997" s="33"/>
      <c r="O5997" s="20"/>
      <c r="P5997" s="32"/>
      <c r="Q5997" s="30"/>
      <c r="R5997" s="22"/>
      <c r="S5997" s="22"/>
      <c r="T5997" s="22"/>
      <c r="U5997" s="9"/>
      <c r="V5997" s="8"/>
      <c r="W5997" s="8"/>
      <c r="X5997" s="8"/>
      <c r="Y5997" s="8"/>
      <c r="Z5997" s="7"/>
      <c r="AA5997" s="7"/>
      <c r="AB5997" s="7"/>
    </row>
    <row r="5998" ht="15.75" customHeight="1">
      <c r="A5998" s="26"/>
      <c r="B5998" s="22"/>
      <c r="C5998" s="28"/>
      <c r="D5998" s="28"/>
      <c r="E5998" s="26"/>
      <c r="F5998" s="22"/>
      <c r="G5998" s="20"/>
      <c r="H5998" s="22"/>
      <c r="I5998" s="22"/>
      <c r="J5998" s="22"/>
      <c r="K5998" s="22"/>
      <c r="L5998" s="22"/>
      <c r="M5998" s="33"/>
      <c r="N5998" s="33"/>
      <c r="O5998" s="20"/>
      <c r="P5998" s="32"/>
      <c r="Q5998" s="30"/>
      <c r="R5998" s="22"/>
      <c r="S5998" s="22"/>
      <c r="T5998" s="22"/>
      <c r="U5998" s="9"/>
      <c r="V5998" s="8"/>
      <c r="W5998" s="8"/>
      <c r="X5998" s="8"/>
      <c r="Y5998" s="8"/>
      <c r="Z5998" s="7"/>
      <c r="AA5998" s="7"/>
      <c r="AB5998" s="7"/>
    </row>
    <row r="5999" ht="15.75" customHeight="1">
      <c r="A5999" s="26"/>
      <c r="B5999" s="22"/>
      <c r="C5999" s="28"/>
      <c r="D5999" s="28"/>
      <c r="E5999" s="26"/>
      <c r="F5999" s="22"/>
      <c r="G5999" s="20"/>
      <c r="H5999" s="22"/>
      <c r="I5999" s="22"/>
      <c r="J5999" s="22"/>
      <c r="K5999" s="22"/>
      <c r="L5999" s="22"/>
      <c r="M5999" s="33"/>
      <c r="N5999" s="33"/>
      <c r="O5999" s="20"/>
      <c r="P5999" s="32"/>
      <c r="Q5999" s="30"/>
      <c r="R5999" s="22"/>
      <c r="S5999" s="22"/>
      <c r="T5999" s="22"/>
      <c r="U5999" s="9"/>
      <c r="V5999" s="8"/>
      <c r="W5999" s="8"/>
      <c r="X5999" s="8"/>
      <c r="Y5999" s="8"/>
      <c r="Z5999" s="7"/>
      <c r="AA5999" s="7"/>
      <c r="AB5999" s="7"/>
    </row>
    <row r="6000" ht="15.75" customHeight="1">
      <c r="A6000" s="26"/>
      <c r="B6000" s="22"/>
      <c r="C6000" s="28"/>
      <c r="D6000" s="28"/>
      <c r="E6000" s="26"/>
      <c r="F6000" s="22"/>
      <c r="G6000" s="20"/>
      <c r="H6000" s="22"/>
      <c r="I6000" s="22"/>
      <c r="J6000" s="22"/>
      <c r="K6000" s="22"/>
      <c r="L6000" s="22"/>
      <c r="M6000" s="33"/>
      <c r="N6000" s="33"/>
      <c r="O6000" s="20"/>
      <c r="P6000" s="32"/>
      <c r="Q6000" s="30"/>
      <c r="R6000" s="22"/>
      <c r="S6000" s="22"/>
      <c r="T6000" s="22"/>
      <c r="U6000" s="9"/>
      <c r="V6000" s="8"/>
      <c r="W6000" s="8"/>
      <c r="X6000" s="8"/>
      <c r="Y6000" s="8"/>
      <c r="Z6000" s="7"/>
      <c r="AA6000" s="7"/>
      <c r="AB6000" s="7"/>
    </row>
    <row r="6001" ht="15.75" customHeight="1">
      <c r="A6001" s="26"/>
      <c r="B6001" s="22"/>
      <c r="C6001" s="28"/>
      <c r="D6001" s="28"/>
      <c r="E6001" s="26"/>
      <c r="F6001" s="22"/>
      <c r="G6001" s="20"/>
      <c r="H6001" s="22"/>
      <c r="I6001" s="22"/>
      <c r="J6001" s="22"/>
      <c r="K6001" s="22"/>
      <c r="L6001" s="22"/>
      <c r="M6001" s="33"/>
      <c r="N6001" s="33"/>
      <c r="O6001" s="20"/>
      <c r="P6001" s="32"/>
      <c r="Q6001" s="30"/>
      <c r="R6001" s="22"/>
      <c r="S6001" s="22"/>
      <c r="T6001" s="22"/>
      <c r="U6001" s="9"/>
      <c r="V6001" s="8"/>
      <c r="W6001" s="8"/>
      <c r="X6001" s="8"/>
      <c r="Y6001" s="8"/>
      <c r="Z6001" s="7"/>
      <c r="AA6001" s="7"/>
      <c r="AB6001" s="7"/>
    </row>
    <row r="6002" ht="15.75" customHeight="1">
      <c r="A6002" s="26"/>
      <c r="B6002" s="22"/>
      <c r="C6002" s="28"/>
      <c r="D6002" s="28"/>
      <c r="E6002" s="26"/>
      <c r="F6002" s="22"/>
      <c r="G6002" s="20"/>
      <c r="H6002" s="22"/>
      <c r="I6002" s="22"/>
      <c r="J6002" s="22"/>
      <c r="K6002" s="22"/>
      <c r="L6002" s="22"/>
      <c r="M6002" s="33"/>
      <c r="N6002" s="33"/>
      <c r="O6002" s="20"/>
      <c r="P6002" s="32"/>
      <c r="Q6002" s="30"/>
      <c r="R6002" s="22"/>
      <c r="S6002" s="22"/>
      <c r="T6002" s="22"/>
      <c r="U6002" s="9"/>
      <c r="V6002" s="8"/>
      <c r="W6002" s="8"/>
      <c r="X6002" s="8"/>
      <c r="Y6002" s="8"/>
      <c r="Z6002" s="7"/>
      <c r="AA6002" s="7"/>
      <c r="AB6002" s="7"/>
    </row>
    <row r="6003" ht="15.75" customHeight="1">
      <c r="A6003" s="26"/>
      <c r="B6003" s="22"/>
      <c r="C6003" s="28"/>
      <c r="D6003" s="28"/>
      <c r="E6003" s="26"/>
      <c r="F6003" s="22"/>
      <c r="G6003" s="20"/>
      <c r="H6003" s="22"/>
      <c r="I6003" s="22"/>
      <c r="J6003" s="22"/>
      <c r="K6003" s="22"/>
      <c r="L6003" s="22"/>
      <c r="M6003" s="33"/>
      <c r="N6003" s="33"/>
      <c r="O6003" s="20"/>
      <c r="P6003" s="32"/>
      <c r="Q6003" s="30"/>
      <c r="R6003" s="22"/>
      <c r="S6003" s="22"/>
      <c r="T6003" s="22"/>
      <c r="U6003" s="9"/>
      <c r="V6003" s="8"/>
      <c r="W6003" s="8"/>
      <c r="X6003" s="8"/>
      <c r="Y6003" s="8"/>
      <c r="Z6003" s="7"/>
      <c r="AA6003" s="7"/>
      <c r="AB6003" s="7"/>
    </row>
    <row r="6004" ht="15.75" customHeight="1">
      <c r="A6004" s="26"/>
      <c r="B6004" s="22"/>
      <c r="C6004" s="28"/>
      <c r="D6004" s="28"/>
      <c r="E6004" s="26"/>
      <c r="F6004" s="22"/>
      <c r="G6004" s="20"/>
      <c r="H6004" s="22"/>
      <c r="I6004" s="22"/>
      <c r="J6004" s="22"/>
      <c r="K6004" s="22"/>
      <c r="L6004" s="22"/>
      <c r="M6004" s="33"/>
      <c r="N6004" s="33"/>
      <c r="O6004" s="20"/>
      <c r="P6004" s="32"/>
      <c r="Q6004" s="30"/>
      <c r="R6004" s="22"/>
      <c r="S6004" s="22"/>
      <c r="T6004" s="22"/>
      <c r="U6004" s="9"/>
      <c r="V6004" s="8"/>
      <c r="W6004" s="8"/>
      <c r="X6004" s="8"/>
      <c r="Y6004" s="8"/>
      <c r="Z6004" s="7"/>
      <c r="AA6004" s="7"/>
      <c r="AB6004" s="7"/>
    </row>
    <row r="6005" ht="15.75" customHeight="1">
      <c r="A6005" s="26"/>
      <c r="B6005" s="22"/>
      <c r="C6005" s="28"/>
      <c r="D6005" s="28"/>
      <c r="E6005" s="26"/>
      <c r="F6005" s="22"/>
      <c r="G6005" s="20"/>
      <c r="H6005" s="22"/>
      <c r="I6005" s="22"/>
      <c r="J6005" s="22"/>
      <c r="K6005" s="22"/>
      <c r="L6005" s="22"/>
      <c r="M6005" s="33"/>
      <c r="N6005" s="33"/>
      <c r="O6005" s="20"/>
      <c r="P6005" s="32"/>
      <c r="Q6005" s="30"/>
      <c r="R6005" s="22"/>
      <c r="S6005" s="22"/>
      <c r="T6005" s="22"/>
      <c r="U6005" s="9"/>
      <c r="V6005" s="8"/>
      <c r="W6005" s="8"/>
      <c r="X6005" s="8"/>
      <c r="Y6005" s="8"/>
      <c r="Z6005" s="7"/>
      <c r="AA6005" s="7"/>
      <c r="AB6005" s="7"/>
    </row>
    <row r="6006" ht="15.75" customHeight="1">
      <c r="A6006" s="26"/>
      <c r="B6006" s="22"/>
      <c r="C6006" s="28"/>
      <c r="D6006" s="28"/>
      <c r="E6006" s="26"/>
      <c r="F6006" s="22"/>
      <c r="G6006" s="20"/>
      <c r="H6006" s="22"/>
      <c r="I6006" s="22"/>
      <c r="J6006" s="22"/>
      <c r="K6006" s="22"/>
      <c r="L6006" s="22"/>
      <c r="M6006" s="33"/>
      <c r="N6006" s="33"/>
      <c r="O6006" s="20"/>
      <c r="P6006" s="32"/>
      <c r="Q6006" s="30"/>
      <c r="R6006" s="22"/>
      <c r="S6006" s="22"/>
      <c r="T6006" s="22"/>
      <c r="U6006" s="9"/>
      <c r="V6006" s="8"/>
      <c r="W6006" s="8"/>
      <c r="X6006" s="8"/>
      <c r="Y6006" s="8"/>
      <c r="Z6006" s="7"/>
      <c r="AA6006" s="7"/>
      <c r="AB6006" s="7"/>
    </row>
    <row r="6007" ht="15.75" customHeight="1">
      <c r="A6007" s="26"/>
      <c r="B6007" s="22"/>
      <c r="C6007" s="28"/>
      <c r="D6007" s="28"/>
      <c r="E6007" s="26"/>
      <c r="F6007" s="22"/>
      <c r="G6007" s="20"/>
      <c r="H6007" s="22"/>
      <c r="I6007" s="22"/>
      <c r="J6007" s="22"/>
      <c r="K6007" s="22"/>
      <c r="L6007" s="22"/>
      <c r="M6007" s="33"/>
      <c r="N6007" s="33"/>
      <c r="O6007" s="20"/>
      <c r="P6007" s="32"/>
      <c r="Q6007" s="30"/>
      <c r="R6007" s="22"/>
      <c r="S6007" s="22"/>
      <c r="T6007" s="22"/>
      <c r="U6007" s="9"/>
      <c r="V6007" s="8"/>
      <c r="W6007" s="8"/>
      <c r="X6007" s="8"/>
      <c r="Y6007" s="8"/>
      <c r="Z6007" s="7"/>
      <c r="AA6007" s="7"/>
      <c r="AB6007" s="7"/>
    </row>
    <row r="6008" ht="15.75" customHeight="1">
      <c r="A6008" s="26"/>
      <c r="B6008" s="22"/>
      <c r="C6008" s="28"/>
      <c r="D6008" s="28"/>
      <c r="E6008" s="26"/>
      <c r="F6008" s="22"/>
      <c r="G6008" s="20"/>
      <c r="H6008" s="22"/>
      <c r="I6008" s="22"/>
      <c r="J6008" s="22"/>
      <c r="K6008" s="22"/>
      <c r="L6008" s="22"/>
      <c r="M6008" s="33"/>
      <c r="N6008" s="33"/>
      <c r="O6008" s="20"/>
      <c r="P6008" s="32"/>
      <c r="Q6008" s="30"/>
      <c r="R6008" s="22"/>
      <c r="S6008" s="22"/>
      <c r="T6008" s="22"/>
      <c r="U6008" s="9"/>
      <c r="V6008" s="8"/>
      <c r="W6008" s="8"/>
      <c r="X6008" s="8"/>
      <c r="Y6008" s="8"/>
      <c r="Z6008" s="7"/>
      <c r="AA6008" s="7"/>
      <c r="AB6008" s="7"/>
    </row>
    <row r="6009" ht="15.75" customHeight="1">
      <c r="A6009" s="26"/>
      <c r="B6009" s="22"/>
      <c r="C6009" s="28"/>
      <c r="D6009" s="28"/>
      <c r="E6009" s="26"/>
      <c r="F6009" s="22"/>
      <c r="G6009" s="20"/>
      <c r="H6009" s="22"/>
      <c r="I6009" s="22"/>
      <c r="J6009" s="22"/>
      <c r="K6009" s="22"/>
      <c r="L6009" s="22"/>
      <c r="M6009" s="33"/>
      <c r="N6009" s="33"/>
      <c r="O6009" s="20"/>
      <c r="P6009" s="32"/>
      <c r="Q6009" s="30"/>
      <c r="R6009" s="22"/>
      <c r="S6009" s="22"/>
      <c r="T6009" s="22"/>
      <c r="U6009" s="9"/>
      <c r="V6009" s="8"/>
      <c r="W6009" s="8"/>
      <c r="X6009" s="8"/>
      <c r="Y6009" s="8"/>
      <c r="Z6009" s="7"/>
      <c r="AA6009" s="7"/>
      <c r="AB6009" s="7"/>
    </row>
    <row r="6010" ht="15.75" customHeight="1">
      <c r="A6010" s="26"/>
      <c r="B6010" s="22"/>
      <c r="C6010" s="28"/>
      <c r="D6010" s="28"/>
      <c r="E6010" s="26"/>
      <c r="F6010" s="22"/>
      <c r="G6010" s="20"/>
      <c r="H6010" s="22"/>
      <c r="I6010" s="22"/>
      <c r="J6010" s="22"/>
      <c r="K6010" s="22"/>
      <c r="L6010" s="22"/>
      <c r="M6010" s="33"/>
      <c r="N6010" s="33"/>
      <c r="O6010" s="20"/>
      <c r="P6010" s="32"/>
      <c r="Q6010" s="30"/>
      <c r="R6010" s="22"/>
      <c r="S6010" s="22"/>
      <c r="T6010" s="22"/>
      <c r="U6010" s="9"/>
      <c r="V6010" s="8"/>
      <c r="W6010" s="8"/>
      <c r="X6010" s="8"/>
      <c r="Y6010" s="8"/>
      <c r="Z6010" s="7"/>
      <c r="AA6010" s="7"/>
      <c r="AB6010" s="7"/>
    </row>
    <row r="6011" ht="15.75" customHeight="1">
      <c r="A6011" s="26"/>
      <c r="B6011" s="22"/>
      <c r="C6011" s="28"/>
      <c r="D6011" s="28"/>
      <c r="E6011" s="26"/>
      <c r="F6011" s="22"/>
      <c r="G6011" s="20"/>
      <c r="H6011" s="22"/>
      <c r="I6011" s="22"/>
      <c r="J6011" s="22"/>
      <c r="K6011" s="22"/>
      <c r="L6011" s="22"/>
      <c r="M6011" s="33"/>
      <c r="N6011" s="33"/>
      <c r="O6011" s="20"/>
      <c r="P6011" s="32"/>
      <c r="Q6011" s="30"/>
      <c r="R6011" s="22"/>
      <c r="S6011" s="22"/>
      <c r="T6011" s="22"/>
      <c r="U6011" s="9"/>
      <c r="V6011" s="8"/>
      <c r="W6011" s="8"/>
      <c r="X6011" s="8"/>
      <c r="Y6011" s="8"/>
      <c r="Z6011" s="7"/>
      <c r="AA6011" s="7"/>
      <c r="AB6011" s="7"/>
    </row>
    <row r="6012" ht="15.75" customHeight="1">
      <c r="A6012" s="26"/>
      <c r="B6012" s="22"/>
      <c r="C6012" s="28"/>
      <c r="D6012" s="28"/>
      <c r="E6012" s="26"/>
      <c r="F6012" s="22"/>
      <c r="G6012" s="20"/>
      <c r="H6012" s="22"/>
      <c r="I6012" s="22"/>
      <c r="J6012" s="22"/>
      <c r="K6012" s="22"/>
      <c r="L6012" s="22"/>
      <c r="M6012" s="33"/>
      <c r="N6012" s="33"/>
      <c r="O6012" s="20"/>
      <c r="P6012" s="32"/>
      <c r="Q6012" s="30"/>
      <c r="R6012" s="22"/>
      <c r="S6012" s="22"/>
      <c r="T6012" s="22"/>
      <c r="U6012" s="9"/>
      <c r="V6012" s="8"/>
      <c r="W6012" s="8"/>
      <c r="X6012" s="8"/>
      <c r="Y6012" s="8"/>
      <c r="Z6012" s="7"/>
      <c r="AA6012" s="7"/>
      <c r="AB6012" s="7"/>
    </row>
    <row r="6013" ht="15.75" customHeight="1">
      <c r="A6013" s="26"/>
      <c r="B6013" s="22"/>
      <c r="C6013" s="28"/>
      <c r="D6013" s="28"/>
      <c r="E6013" s="26"/>
      <c r="F6013" s="22"/>
      <c r="G6013" s="20"/>
      <c r="H6013" s="22"/>
      <c r="I6013" s="22"/>
      <c r="J6013" s="22"/>
      <c r="K6013" s="22"/>
      <c r="L6013" s="22"/>
      <c r="M6013" s="33"/>
      <c r="N6013" s="33"/>
      <c r="O6013" s="20"/>
      <c r="P6013" s="32"/>
      <c r="Q6013" s="30"/>
      <c r="R6013" s="22"/>
      <c r="S6013" s="22"/>
      <c r="T6013" s="22"/>
      <c r="U6013" s="9"/>
      <c r="V6013" s="8"/>
      <c r="W6013" s="8"/>
      <c r="X6013" s="8"/>
      <c r="Y6013" s="8"/>
      <c r="Z6013" s="7"/>
      <c r="AA6013" s="7"/>
      <c r="AB6013" s="7"/>
    </row>
    <row r="6014" ht="15.75" customHeight="1">
      <c r="A6014" s="26"/>
      <c r="B6014" s="22"/>
      <c r="C6014" s="28"/>
      <c r="D6014" s="28"/>
      <c r="E6014" s="26"/>
      <c r="F6014" s="22"/>
      <c r="G6014" s="20"/>
      <c r="H6014" s="22"/>
      <c r="I6014" s="22"/>
      <c r="J6014" s="22"/>
      <c r="K6014" s="22"/>
      <c r="L6014" s="22"/>
      <c r="M6014" s="33"/>
      <c r="N6014" s="33"/>
      <c r="O6014" s="20"/>
      <c r="P6014" s="32"/>
      <c r="Q6014" s="30"/>
      <c r="R6014" s="22"/>
      <c r="S6014" s="22"/>
      <c r="T6014" s="22"/>
      <c r="U6014" s="9"/>
      <c r="V6014" s="8"/>
      <c r="W6014" s="8"/>
      <c r="X6014" s="8"/>
      <c r="Y6014" s="8"/>
      <c r="Z6014" s="7"/>
      <c r="AA6014" s="7"/>
      <c r="AB6014" s="7"/>
    </row>
    <row r="6015" ht="15.75" customHeight="1">
      <c r="A6015" s="26"/>
      <c r="B6015" s="22"/>
      <c r="C6015" s="28"/>
      <c r="D6015" s="28"/>
      <c r="E6015" s="26"/>
      <c r="F6015" s="22"/>
      <c r="G6015" s="20"/>
      <c r="H6015" s="22"/>
      <c r="I6015" s="22"/>
      <c r="J6015" s="22"/>
      <c r="K6015" s="22"/>
      <c r="L6015" s="22"/>
      <c r="M6015" s="33"/>
      <c r="N6015" s="33"/>
      <c r="O6015" s="20"/>
      <c r="P6015" s="32"/>
      <c r="Q6015" s="30"/>
      <c r="R6015" s="22"/>
      <c r="S6015" s="22"/>
      <c r="T6015" s="22"/>
      <c r="U6015" s="9"/>
      <c r="V6015" s="8"/>
      <c r="W6015" s="8"/>
      <c r="X6015" s="8"/>
      <c r="Y6015" s="8"/>
      <c r="Z6015" s="7"/>
      <c r="AA6015" s="7"/>
      <c r="AB6015" s="7"/>
    </row>
    <row r="6016" ht="15.75" customHeight="1">
      <c r="A6016" s="26"/>
      <c r="B6016" s="22"/>
      <c r="C6016" s="28"/>
      <c r="D6016" s="28"/>
      <c r="E6016" s="26"/>
      <c r="F6016" s="22"/>
      <c r="G6016" s="20"/>
      <c r="H6016" s="22"/>
      <c r="I6016" s="22"/>
      <c r="J6016" s="22"/>
      <c r="K6016" s="22"/>
      <c r="L6016" s="22"/>
      <c r="M6016" s="33"/>
      <c r="N6016" s="33"/>
      <c r="O6016" s="20"/>
      <c r="P6016" s="32"/>
      <c r="Q6016" s="30"/>
      <c r="R6016" s="22"/>
      <c r="S6016" s="22"/>
      <c r="T6016" s="22"/>
      <c r="U6016" s="9"/>
      <c r="V6016" s="8"/>
      <c r="W6016" s="8"/>
      <c r="X6016" s="8"/>
      <c r="Y6016" s="8"/>
      <c r="Z6016" s="7"/>
      <c r="AA6016" s="7"/>
      <c r="AB6016" s="7"/>
    </row>
    <row r="6017" ht="15.75" customHeight="1">
      <c r="A6017" s="26"/>
      <c r="B6017" s="22"/>
      <c r="C6017" s="28"/>
      <c r="D6017" s="28"/>
      <c r="E6017" s="26"/>
      <c r="F6017" s="22"/>
      <c r="G6017" s="20"/>
      <c r="H6017" s="22"/>
      <c r="I6017" s="22"/>
      <c r="J6017" s="22"/>
      <c r="K6017" s="22"/>
      <c r="L6017" s="22"/>
      <c r="M6017" s="33"/>
      <c r="N6017" s="33"/>
      <c r="O6017" s="20"/>
      <c r="P6017" s="32"/>
      <c r="Q6017" s="30"/>
      <c r="R6017" s="22"/>
      <c r="S6017" s="22"/>
      <c r="T6017" s="22"/>
      <c r="U6017" s="9"/>
      <c r="V6017" s="8"/>
      <c r="W6017" s="8"/>
      <c r="X6017" s="8"/>
      <c r="Y6017" s="8"/>
      <c r="Z6017" s="7"/>
      <c r="AA6017" s="7"/>
      <c r="AB6017" s="7"/>
    </row>
    <row r="6018" ht="15.75" customHeight="1">
      <c r="A6018" s="26"/>
      <c r="B6018" s="22"/>
      <c r="C6018" s="28"/>
      <c r="D6018" s="28"/>
      <c r="E6018" s="26"/>
      <c r="F6018" s="22"/>
      <c r="G6018" s="20"/>
      <c r="H6018" s="22"/>
      <c r="I6018" s="22"/>
      <c r="J6018" s="22"/>
      <c r="K6018" s="22"/>
      <c r="L6018" s="22"/>
      <c r="M6018" s="33"/>
      <c r="N6018" s="33"/>
      <c r="O6018" s="20"/>
      <c r="P6018" s="32"/>
      <c r="Q6018" s="30"/>
      <c r="R6018" s="22"/>
      <c r="S6018" s="22"/>
      <c r="T6018" s="22"/>
      <c r="U6018" s="9"/>
      <c r="V6018" s="8"/>
      <c r="W6018" s="8"/>
      <c r="X6018" s="8"/>
      <c r="Y6018" s="8"/>
      <c r="Z6018" s="7"/>
      <c r="AA6018" s="7"/>
      <c r="AB6018" s="7"/>
    </row>
    <row r="6019" ht="15.75" customHeight="1">
      <c r="A6019" s="26"/>
      <c r="B6019" s="22"/>
      <c r="C6019" s="28"/>
      <c r="D6019" s="28"/>
      <c r="E6019" s="26"/>
      <c r="F6019" s="22"/>
      <c r="G6019" s="20"/>
      <c r="H6019" s="22"/>
      <c r="I6019" s="22"/>
      <c r="J6019" s="22"/>
      <c r="K6019" s="22"/>
      <c r="L6019" s="22"/>
      <c r="M6019" s="33"/>
      <c r="N6019" s="33"/>
      <c r="O6019" s="20"/>
      <c r="P6019" s="32"/>
      <c r="Q6019" s="30"/>
      <c r="R6019" s="22"/>
      <c r="S6019" s="22"/>
      <c r="T6019" s="22"/>
      <c r="U6019" s="9"/>
      <c r="V6019" s="8"/>
      <c r="W6019" s="8"/>
      <c r="X6019" s="8"/>
      <c r="Y6019" s="8"/>
      <c r="Z6019" s="7"/>
      <c r="AA6019" s="7"/>
      <c r="AB6019" s="7"/>
    </row>
    <row r="6020" ht="15.75" customHeight="1">
      <c r="A6020" s="26"/>
      <c r="B6020" s="22"/>
      <c r="C6020" s="28"/>
      <c r="D6020" s="28"/>
      <c r="E6020" s="26"/>
      <c r="F6020" s="22"/>
      <c r="G6020" s="20"/>
      <c r="H6020" s="22"/>
      <c r="I6020" s="22"/>
      <c r="J6020" s="22"/>
      <c r="K6020" s="22"/>
      <c r="L6020" s="22"/>
      <c r="M6020" s="33"/>
      <c r="N6020" s="33"/>
      <c r="O6020" s="20"/>
      <c r="P6020" s="32"/>
      <c r="Q6020" s="30"/>
      <c r="R6020" s="22"/>
      <c r="S6020" s="22"/>
      <c r="T6020" s="22"/>
      <c r="U6020" s="9"/>
      <c r="V6020" s="8"/>
      <c r="W6020" s="8"/>
      <c r="X6020" s="8"/>
      <c r="Y6020" s="8"/>
      <c r="Z6020" s="7"/>
      <c r="AA6020" s="7"/>
      <c r="AB6020" s="7"/>
    </row>
    <row r="6021" ht="15.75" customHeight="1">
      <c r="A6021" s="26"/>
      <c r="B6021" s="22"/>
      <c r="C6021" s="28"/>
      <c r="D6021" s="28"/>
      <c r="E6021" s="26"/>
      <c r="F6021" s="22"/>
      <c r="G6021" s="20"/>
      <c r="H6021" s="22"/>
      <c r="I6021" s="22"/>
      <c r="J6021" s="22"/>
      <c r="K6021" s="22"/>
      <c r="L6021" s="22"/>
      <c r="M6021" s="33"/>
      <c r="N6021" s="33"/>
      <c r="O6021" s="20"/>
      <c r="P6021" s="32"/>
      <c r="Q6021" s="30"/>
      <c r="R6021" s="22"/>
      <c r="S6021" s="22"/>
      <c r="T6021" s="22"/>
      <c r="U6021" s="9"/>
      <c r="V6021" s="8"/>
      <c r="W6021" s="8"/>
      <c r="X6021" s="8"/>
      <c r="Y6021" s="8"/>
      <c r="Z6021" s="7"/>
      <c r="AA6021" s="7"/>
      <c r="AB6021" s="7"/>
    </row>
    <row r="6022" ht="15.75" customHeight="1">
      <c r="A6022" s="26"/>
      <c r="B6022" s="22"/>
      <c r="C6022" s="28"/>
      <c r="D6022" s="28"/>
      <c r="E6022" s="26"/>
      <c r="F6022" s="22"/>
      <c r="G6022" s="20"/>
      <c r="H6022" s="22"/>
      <c r="I6022" s="22"/>
      <c r="J6022" s="22"/>
      <c r="K6022" s="22"/>
      <c r="L6022" s="22"/>
      <c r="M6022" s="33"/>
      <c r="N6022" s="33"/>
      <c r="O6022" s="20"/>
      <c r="P6022" s="32"/>
      <c r="Q6022" s="30"/>
      <c r="R6022" s="22"/>
      <c r="S6022" s="22"/>
      <c r="T6022" s="22"/>
      <c r="U6022" s="9"/>
      <c r="V6022" s="8"/>
      <c r="W6022" s="8"/>
      <c r="X6022" s="8"/>
      <c r="Y6022" s="8"/>
      <c r="Z6022" s="7"/>
      <c r="AA6022" s="7"/>
      <c r="AB6022" s="7"/>
    </row>
    <row r="6023" ht="15.75" customHeight="1">
      <c r="A6023" s="26"/>
      <c r="B6023" s="22"/>
      <c r="C6023" s="28"/>
      <c r="D6023" s="28"/>
      <c r="E6023" s="26"/>
      <c r="F6023" s="22"/>
      <c r="G6023" s="20"/>
      <c r="H6023" s="22"/>
      <c r="I6023" s="22"/>
      <c r="J6023" s="22"/>
      <c r="K6023" s="22"/>
      <c r="L6023" s="22"/>
      <c r="M6023" s="33"/>
      <c r="N6023" s="33"/>
      <c r="O6023" s="20"/>
      <c r="P6023" s="32"/>
      <c r="Q6023" s="30"/>
      <c r="R6023" s="22"/>
      <c r="S6023" s="22"/>
      <c r="T6023" s="22"/>
      <c r="U6023" s="9"/>
      <c r="V6023" s="8"/>
      <c r="W6023" s="8"/>
      <c r="X6023" s="8"/>
      <c r="Y6023" s="8"/>
      <c r="Z6023" s="7"/>
      <c r="AA6023" s="7"/>
      <c r="AB6023" s="7"/>
    </row>
    <row r="6024" ht="15.75" customHeight="1">
      <c r="A6024" s="26"/>
      <c r="B6024" s="22"/>
      <c r="C6024" s="28"/>
      <c r="D6024" s="28"/>
      <c r="E6024" s="26"/>
      <c r="F6024" s="22"/>
      <c r="G6024" s="20"/>
      <c r="H6024" s="22"/>
      <c r="I6024" s="22"/>
      <c r="J6024" s="22"/>
      <c r="K6024" s="22"/>
      <c r="L6024" s="22"/>
      <c r="M6024" s="33"/>
      <c r="N6024" s="33"/>
      <c r="O6024" s="20"/>
      <c r="P6024" s="32"/>
      <c r="Q6024" s="30"/>
      <c r="R6024" s="22"/>
      <c r="S6024" s="22"/>
      <c r="T6024" s="22"/>
      <c r="U6024" s="9"/>
      <c r="V6024" s="8"/>
      <c r="W6024" s="8"/>
      <c r="X6024" s="8"/>
      <c r="Y6024" s="8"/>
      <c r="Z6024" s="7"/>
      <c r="AA6024" s="7"/>
      <c r="AB6024" s="7"/>
    </row>
    <row r="6025" ht="15.75" customHeight="1">
      <c r="A6025" s="26"/>
      <c r="B6025" s="22"/>
      <c r="C6025" s="28"/>
      <c r="D6025" s="28"/>
      <c r="E6025" s="26"/>
      <c r="F6025" s="22"/>
      <c r="G6025" s="20"/>
      <c r="H6025" s="22"/>
      <c r="I6025" s="22"/>
      <c r="J6025" s="22"/>
      <c r="K6025" s="22"/>
      <c r="L6025" s="22"/>
      <c r="M6025" s="33"/>
      <c r="N6025" s="33"/>
      <c r="O6025" s="20"/>
      <c r="P6025" s="32"/>
      <c r="Q6025" s="30"/>
      <c r="R6025" s="22"/>
      <c r="S6025" s="22"/>
      <c r="T6025" s="22"/>
      <c r="U6025" s="9"/>
      <c r="V6025" s="8"/>
      <c r="W6025" s="8"/>
      <c r="X6025" s="8"/>
      <c r="Y6025" s="8"/>
      <c r="Z6025" s="7"/>
      <c r="AA6025" s="7"/>
      <c r="AB6025" s="7"/>
    </row>
    <row r="6026" ht="15.75" customHeight="1">
      <c r="A6026" s="26"/>
      <c r="B6026" s="22"/>
      <c r="C6026" s="28"/>
      <c r="D6026" s="28"/>
      <c r="E6026" s="26"/>
      <c r="F6026" s="22"/>
      <c r="G6026" s="20"/>
      <c r="H6026" s="22"/>
      <c r="I6026" s="22"/>
      <c r="J6026" s="22"/>
      <c r="K6026" s="22"/>
      <c r="L6026" s="22"/>
      <c r="M6026" s="33"/>
      <c r="N6026" s="33"/>
      <c r="O6026" s="20"/>
      <c r="P6026" s="32"/>
      <c r="Q6026" s="30"/>
      <c r="R6026" s="22"/>
      <c r="S6026" s="22"/>
      <c r="T6026" s="22"/>
      <c r="U6026" s="9"/>
      <c r="V6026" s="8"/>
      <c r="W6026" s="8"/>
      <c r="X6026" s="8"/>
      <c r="Y6026" s="8"/>
      <c r="Z6026" s="7"/>
      <c r="AA6026" s="7"/>
      <c r="AB6026" s="7"/>
    </row>
    <row r="6027" ht="15.75" customHeight="1">
      <c r="A6027" s="26"/>
      <c r="B6027" s="22"/>
      <c r="C6027" s="28"/>
      <c r="D6027" s="28"/>
      <c r="E6027" s="26"/>
      <c r="F6027" s="22"/>
      <c r="G6027" s="20"/>
      <c r="H6027" s="22"/>
      <c r="I6027" s="22"/>
      <c r="J6027" s="22"/>
      <c r="K6027" s="22"/>
      <c r="L6027" s="22"/>
      <c r="M6027" s="33"/>
      <c r="N6027" s="33"/>
      <c r="O6027" s="20"/>
      <c r="P6027" s="32"/>
      <c r="Q6027" s="30"/>
      <c r="R6027" s="22"/>
      <c r="S6027" s="22"/>
      <c r="T6027" s="22"/>
      <c r="U6027" s="9"/>
      <c r="V6027" s="8"/>
      <c r="W6027" s="8"/>
      <c r="X6027" s="8"/>
      <c r="Y6027" s="8"/>
      <c r="Z6027" s="7"/>
      <c r="AA6027" s="7"/>
      <c r="AB6027" s="7"/>
    </row>
    <row r="6028" ht="15.75" customHeight="1">
      <c r="A6028" s="26"/>
      <c r="B6028" s="22"/>
      <c r="C6028" s="28"/>
      <c r="D6028" s="28"/>
      <c r="E6028" s="26"/>
      <c r="F6028" s="22"/>
      <c r="G6028" s="20"/>
      <c r="H6028" s="22"/>
      <c r="I6028" s="22"/>
      <c r="J6028" s="22"/>
      <c r="K6028" s="22"/>
      <c r="L6028" s="22"/>
      <c r="M6028" s="33"/>
      <c r="N6028" s="33"/>
      <c r="O6028" s="20"/>
      <c r="P6028" s="32"/>
      <c r="Q6028" s="30"/>
      <c r="R6028" s="22"/>
      <c r="S6028" s="22"/>
      <c r="T6028" s="22"/>
      <c r="U6028" s="9"/>
      <c r="V6028" s="8"/>
      <c r="W6028" s="8"/>
      <c r="X6028" s="8"/>
      <c r="Y6028" s="8"/>
      <c r="Z6028" s="7"/>
      <c r="AA6028" s="7"/>
      <c r="AB6028" s="7"/>
    </row>
    <row r="6029" ht="15.75" customHeight="1">
      <c r="A6029" s="26"/>
      <c r="B6029" s="22"/>
      <c r="C6029" s="28"/>
      <c r="D6029" s="28"/>
      <c r="E6029" s="26"/>
      <c r="F6029" s="22"/>
      <c r="G6029" s="20"/>
      <c r="H6029" s="22"/>
      <c r="I6029" s="22"/>
      <c r="J6029" s="22"/>
      <c r="K6029" s="22"/>
      <c r="L6029" s="22"/>
      <c r="M6029" s="33"/>
      <c r="N6029" s="33"/>
      <c r="O6029" s="20"/>
      <c r="P6029" s="32"/>
      <c r="Q6029" s="30"/>
      <c r="R6029" s="22"/>
      <c r="S6029" s="22"/>
      <c r="T6029" s="22"/>
      <c r="U6029" s="9"/>
      <c r="V6029" s="8"/>
      <c r="W6029" s="8"/>
      <c r="X6029" s="8"/>
      <c r="Y6029" s="8"/>
      <c r="Z6029" s="7"/>
      <c r="AA6029" s="7"/>
      <c r="AB6029" s="7"/>
    </row>
    <row r="6030" ht="15.75" customHeight="1">
      <c r="A6030" s="26"/>
      <c r="B6030" s="22"/>
      <c r="C6030" s="28"/>
      <c r="D6030" s="28"/>
      <c r="E6030" s="26"/>
      <c r="F6030" s="22"/>
      <c r="G6030" s="20"/>
      <c r="H6030" s="22"/>
      <c r="I6030" s="22"/>
      <c r="J6030" s="22"/>
      <c r="K6030" s="22"/>
      <c r="L6030" s="22"/>
      <c r="M6030" s="33"/>
      <c r="N6030" s="33"/>
      <c r="O6030" s="20"/>
      <c r="P6030" s="32"/>
      <c r="Q6030" s="30"/>
      <c r="R6030" s="22"/>
      <c r="S6030" s="22"/>
      <c r="T6030" s="22"/>
      <c r="U6030" s="9"/>
      <c r="V6030" s="8"/>
      <c r="W6030" s="8"/>
      <c r="X6030" s="8"/>
      <c r="Y6030" s="8"/>
      <c r="Z6030" s="7"/>
      <c r="AA6030" s="7"/>
      <c r="AB6030" s="7"/>
    </row>
    <row r="6031" ht="15.75" customHeight="1">
      <c r="A6031" s="26"/>
      <c r="B6031" s="22"/>
      <c r="C6031" s="28"/>
      <c r="D6031" s="28"/>
      <c r="E6031" s="26"/>
      <c r="F6031" s="22"/>
      <c r="G6031" s="20"/>
      <c r="H6031" s="22"/>
      <c r="I6031" s="22"/>
      <c r="J6031" s="22"/>
      <c r="K6031" s="22"/>
      <c r="L6031" s="22"/>
      <c r="M6031" s="33"/>
      <c r="N6031" s="33"/>
      <c r="O6031" s="20"/>
      <c r="P6031" s="32"/>
      <c r="Q6031" s="30"/>
      <c r="R6031" s="22"/>
      <c r="S6031" s="22"/>
      <c r="T6031" s="22"/>
      <c r="U6031" s="9"/>
      <c r="V6031" s="8"/>
      <c r="W6031" s="8"/>
      <c r="X6031" s="8"/>
      <c r="Y6031" s="8"/>
      <c r="Z6031" s="7"/>
      <c r="AA6031" s="7"/>
      <c r="AB6031" s="7"/>
    </row>
    <row r="6032" ht="15.75" customHeight="1">
      <c r="A6032" s="26"/>
      <c r="B6032" s="22"/>
      <c r="C6032" s="28"/>
      <c r="D6032" s="28"/>
      <c r="E6032" s="26"/>
      <c r="F6032" s="22"/>
      <c r="G6032" s="20"/>
      <c r="H6032" s="22"/>
      <c r="I6032" s="22"/>
      <c r="J6032" s="22"/>
      <c r="K6032" s="22"/>
      <c r="L6032" s="22"/>
      <c r="M6032" s="33"/>
      <c r="N6032" s="33"/>
      <c r="O6032" s="20"/>
      <c r="P6032" s="32"/>
      <c r="Q6032" s="30"/>
      <c r="R6032" s="22"/>
      <c r="S6032" s="22"/>
      <c r="T6032" s="22"/>
      <c r="U6032" s="9"/>
      <c r="V6032" s="8"/>
      <c r="W6032" s="8"/>
      <c r="X6032" s="8"/>
      <c r="Y6032" s="8"/>
      <c r="Z6032" s="7"/>
      <c r="AA6032" s="7"/>
      <c r="AB6032" s="7"/>
    </row>
    <row r="6033" ht="15.75" customHeight="1">
      <c r="A6033" s="26"/>
      <c r="B6033" s="22"/>
      <c r="C6033" s="28"/>
      <c r="D6033" s="28"/>
      <c r="E6033" s="26"/>
      <c r="F6033" s="22"/>
      <c r="G6033" s="20"/>
      <c r="H6033" s="22"/>
      <c r="I6033" s="22"/>
      <c r="J6033" s="22"/>
      <c r="K6033" s="22"/>
      <c r="L6033" s="22"/>
      <c r="M6033" s="33"/>
      <c r="N6033" s="33"/>
      <c r="O6033" s="20"/>
      <c r="P6033" s="32"/>
      <c r="Q6033" s="30"/>
      <c r="R6033" s="22"/>
      <c r="S6033" s="22"/>
      <c r="T6033" s="22"/>
      <c r="U6033" s="9"/>
      <c r="V6033" s="8"/>
      <c r="W6033" s="8"/>
      <c r="X6033" s="8"/>
      <c r="Y6033" s="8"/>
      <c r="Z6033" s="7"/>
      <c r="AA6033" s="7"/>
      <c r="AB6033" s="7"/>
    </row>
    <row r="6034" ht="15.75" customHeight="1">
      <c r="A6034" s="26"/>
      <c r="B6034" s="22"/>
      <c r="C6034" s="28"/>
      <c r="D6034" s="28"/>
      <c r="E6034" s="26"/>
      <c r="F6034" s="22"/>
      <c r="G6034" s="20"/>
      <c r="H6034" s="22"/>
      <c r="I6034" s="22"/>
      <c r="J6034" s="22"/>
      <c r="K6034" s="22"/>
      <c r="L6034" s="22"/>
      <c r="M6034" s="33"/>
      <c r="N6034" s="33"/>
      <c r="O6034" s="20"/>
      <c r="P6034" s="32"/>
      <c r="Q6034" s="30"/>
      <c r="R6034" s="22"/>
      <c r="S6034" s="22"/>
      <c r="T6034" s="22"/>
      <c r="U6034" s="9"/>
      <c r="V6034" s="8"/>
      <c r="W6034" s="8"/>
      <c r="X6034" s="8"/>
      <c r="Y6034" s="8"/>
      <c r="Z6034" s="7"/>
      <c r="AA6034" s="7"/>
      <c r="AB6034" s="7"/>
    </row>
    <row r="6035" ht="15.75" customHeight="1">
      <c r="A6035" s="26"/>
      <c r="B6035" s="22"/>
      <c r="C6035" s="28"/>
      <c r="D6035" s="28"/>
      <c r="E6035" s="26"/>
      <c r="F6035" s="22"/>
      <c r="G6035" s="20"/>
      <c r="H6035" s="22"/>
      <c r="I6035" s="22"/>
      <c r="J6035" s="22"/>
      <c r="K6035" s="22"/>
      <c r="L6035" s="22"/>
      <c r="M6035" s="33"/>
      <c r="N6035" s="33"/>
      <c r="O6035" s="20"/>
      <c r="P6035" s="32"/>
      <c r="Q6035" s="30"/>
      <c r="R6035" s="22"/>
      <c r="S6035" s="22"/>
      <c r="T6035" s="22"/>
      <c r="U6035" s="9"/>
      <c r="V6035" s="8"/>
      <c r="W6035" s="8"/>
      <c r="X6035" s="8"/>
      <c r="Y6035" s="8"/>
      <c r="Z6035" s="7"/>
      <c r="AA6035" s="7"/>
      <c r="AB6035" s="7"/>
    </row>
    <row r="6036" ht="15.75" customHeight="1">
      <c r="A6036" s="26"/>
      <c r="B6036" s="22"/>
      <c r="C6036" s="28"/>
      <c r="D6036" s="28"/>
      <c r="E6036" s="26"/>
      <c r="F6036" s="22"/>
      <c r="G6036" s="20"/>
      <c r="H6036" s="22"/>
      <c r="I6036" s="22"/>
      <c r="J6036" s="22"/>
      <c r="K6036" s="22"/>
      <c r="L6036" s="22"/>
      <c r="M6036" s="33"/>
      <c r="N6036" s="33"/>
      <c r="O6036" s="20"/>
      <c r="P6036" s="32"/>
      <c r="Q6036" s="30"/>
      <c r="R6036" s="22"/>
      <c r="S6036" s="22"/>
      <c r="T6036" s="22"/>
      <c r="U6036" s="9"/>
      <c r="V6036" s="8"/>
      <c r="W6036" s="8"/>
      <c r="X6036" s="8"/>
      <c r="Y6036" s="8"/>
      <c r="Z6036" s="7"/>
      <c r="AA6036" s="7"/>
      <c r="AB6036" s="7"/>
    </row>
  </sheetData>
  <customSheetViews>
    <customSheetView guid="{B354671C-6527-4F5A-8AAE-1233E8772673}" filter="1" showAutoFilter="1">
      <autoFilter ref="$A$1:$AB$3328"/>
    </customSheetView>
    <customSheetView guid="{CE8D5721-5B85-4E82-9D00-B9327FCCFA2B}" filter="1" showAutoFilter="1">
      <autoFilter ref="$A$1:$X$3328">
        <filterColumn colId="5">
          <filters>
            <filter val="淫乱だなんて認めません…ッ！ 自業自得の追放聖女と漆黒勇者ののどかで淫らな冒険"/>
            <filter val="悪役令嬢は淫魔になってツンデレ王子に溺愛される"/>
            <filter val="落ちこぼれ衛士見習いの少年。(実は)最強最悪の暗殺者。 【連載版】"/>
            <filter val="仮面の吸血鬼は転生花嫁を弄ぶ（単話版）"/>
            <filter val="薬屋のひとりごと外伝 小蘭回想録【分冊版】"/>
            <filter val="#最推しのママになった件"/>
            <filter val="ラベンダーの咲く頃に"/>
            <filter val="マッチング女子のセフレ事情"/>
            <filter val="ブラッドバンク【タテヨミ】"/>
            <filter val="和泉はち作品集【R版】"/>
            <filter val="初恋は先生でした ～私を見つけてくれた人～"/>
            <filter val="ちぐはぐコンフォート"/>
            <filter val="冷徹魔王様の秘書 ～サレ妻でしたが魔界でたくましく生きていきます！～"/>
            <filter val="団地の管理人は妻娘を寝取るのが好きな最低男だった【分冊版】"/>
            <filter val="99.99%の恋人〜俺の子を生め！〜【タテヨミ】"/>
            <filter val="キスはゆきどけのあとにして"/>
            <filter val="noicomi鬼の軍人と稀血の花嫁"/>
            <filter val="オフィーリアが公爵家を離れられない理由"/>
            <filter val="こじれにこじれた義姉弟の話 【分冊版】"/>
            <filter val="虐げられ聖女は深淵の魔王に溺愛される【分冊版】"/>
            <filter val="三好ちゃんと太一くん"/>
            <filter val="花緒あめ作品集【TL版】"/>
            <filter val="婚約破棄なら私から～なのにどうして？ますます溺愛されました～"/>
            <filter val="【分冊版】ララバイバイリリー"/>
            <filter val="メロすぎ朔椰（さくや）くんは私を沼にハメたがる。"/>
            <filter val="刺青ピアスの透真さんは私の事を駄目にしたい【R-18版】【合冊版】"/>
            <filter val="不遇な令嬢はエリート魔術師の重すぎる愛に気がつかない"/>
            <filter val="真昼くんは弟の友達【単話版】"/>
            <filter val="お飾り女王の二回目人生、処刑ルート→愛され奥様に変更です。"/>
            <filter val="あやかし屋敷のまやかし夫婦 ～契約夫婦は鎌倉で妖怪の集う家を守る～【単話】"/>
            <filter val="愛されないと死亡エンドな転生モブですが、一番避けたい最凶王子に体ごと溺愛されまくってます"/>
            <filter val="エリート社長は薄幸な彼女を囲い込んで甘やかしたい【分冊版】"/>
            <filter val="はじめてのセフレ【単話】"/>
            <filter val="マッチ棒令嬢のしあわせ王宮生活"/>
            <filter val="［話売］北欧学生に恋したら"/>
            <filter val="青空に村雨～土地神様の生贄ですが、花嫁として寵愛を賜っております～"/>
            <filter val="ロマンス公園もうない"/>
            <filter val="【単話版】ロマンスエンドは拒否します！"/>
            <filter val="【分冊版】フォーカス・オン・ユー"/>
            <filter val="篠塚作品集【TL版】"/>
            <filter val="noicomi幼なじみは我慢をやめた。～目覚めたケモノは溺愛中～"/>
            <filter val="棄てられた元聖女が幸せになるまで～呪われた元天才魔術師様との同居生活は甘甘すぎて身が持ちません!!～【分冊版】"/>
            <filter val="道隆は私のワンちゃん....だよね? ～ 甘えん坊の年下彼氏が狂犬ドSになりまして ～"/>
            <filter val="乙女ゲーム「クロ†ドラ ―黒い聖女と悪しき竜―」に異世界転生したけど無理ゲー、詰んだ。【R-18版】"/>
            <filter val="王子に婚約破棄された令嬢が、王妃に返り咲くまで"/>
            <filter val="初恋のつづきは男子寮で【マイクロ】"/>
            <filter val="「勝手にイッたら許さないわよ？」～パワハラ女上司は欲求不満を隠しきれない"/>
            <filter val="王太子殿下が離縁してくれないため逃走したく思います【分冊版】"/>
            <filter val="しがない旅芸者なのですが、どうやら私が聖女だったようです"/>
            <filter val="私の作った王子様～転生脇役令嬢なのに、シナリオから外れて王太子に愛されてます～"/>
            <filter val="30歳になったので今日から婚活はじめます～美人な30代よりもブスな20代！？～"/>
            <filter val="【分冊版】のんのんの日常チャンネル"/>
            <filter val="呪われてもキミを愛す。～発情兎は四六時中ＳＥＸがシたい～"/>
            <filter val="自由を奪われた不遇令嬢が愛を知るまで"/>
            <filter val="シンデレラが可愛すぎるので私が幸せにしてみせます！"/>
            <filter val="星燃えて逃避行【単話】"/>
            <filter val="【単話版】悪役の王女に転生したけど、隠しキャラが隠れてない。〜光差す世界で君と〜@COMIC"/>
            <filter val="婚約破棄された氷の令嬢は逆行して真実の愛を見つける"/>
            <filter val="仕方なく結婚したはずなのに貴方を愛してしまったので離婚しようと思います。"/>
            <filter val="ぽちゃトレ"/>
            <filter val="お嬢様、復讐のお時間です"/>
            <filter val="二十年ぶりに再会した母が誘惑してくる"/>
            <filter val="Subでも君に愛されたい"/>
            <filter val="クリマッサージ屋さん（分冊版）"/>
            <filter val="ちいさな空にさんかくの太陽【マイクロ】"/>
            <filter val="快感はボーダーレス！？ 異種族セラピストのとろあまカウンセリング【分冊版】"/>
            <filter val="吹きこぼれの春"/>
            <filter val="マザコン夫へ復讐を"/>
            <filter val="どうしようもないM女でもいいですか【R版】"/>
            <filter val="やらしい恋しかできない【分冊版】"/>
            <filter val="『聖女様のオマケ』と呼ばれたけど、わたしはオマケではないようです。 ～全属性の魔法が使える最強聖女でした～【単話版】"/>
            <filter val="性活支援課の白鳥さんは初恋を拗らせている"/>
            <filter val="嗅愛フェロモン"/>
            <filter val="【ラブパルフェ】XL秘書とむさぼり捕食セックス ～濡れ癖つくまでオク深くズブズブに愛されてます"/>
            <filter val="ヤクザとれんげ"/>
            <filter val="なきっつらに恋【マイクロ】"/>
            <filter val="先輩、濡れすぎです。～かわいい後輩の本性は過激な溺愛系～"/>
            <filter val="ごくまま～極道だったオレがママになった話～【単話】"/>
            <filter val="黒の主【単話版】"/>
            <filter val="だから、悪役令息の腰巾着！ ―忌み嫌われた悪役は不器用に僕を囲い込み溺愛する―（分冊版）"/>
            <filter val="ワルでも恋はしたい"/>
            <filter val="九条家のシキタリ。～子作りレッスンのはずが堅物執事に溺愛されています～【R版】"/>
            <filter val="きみと一緒なら【分冊版】"/>
            <filter val="ハイスペ後輩の執着快楽責めに勝てる気がしない！"/>
            <filter val="家族のNTR事情-アナタのために〇され-【分冊版】"/>
            <filter val="奴奴奴奴！【単話版】"/>
            <filter val="絶対記憶で華麗に論破いたしましょう"/>
            <filter val="雛名はシてあげたい！～アナタの復讐、引き受けます～"/>
            <filter val="そのまなざしは、きっと愛"/>
            <filter val="聖女として国を守るためにせっせと加護を施していたら“婚約者の王子が結婚式を挙げている”との知らせが入ったのですが"/>
            <filter val="その天才様は偽装彼女に執着する※配信取下げ"/>
            <filter val="踊り子聖女は嵐に舞う"/>
            <filter val="カレはオモチャじゃありません！"/>
            <filter val="脇役ハピエン計画～悪役の従姉はバッドエンドから逃れたい～ (フルカラー)"/>
            <filter val="着飾って、僕だけのアルファ"/>
            <filter val="欲にまみれたこの街で"/>
            <filter val="ザ・チートバッター ～金も名誉も女もファインプレー～【タテヨミ】"/>
            <filter val="ギルドを追放された回復術士、実は魔力無限だったので規格外の回復魔法で伝説となる"/>
            <filter val="焦らして、熟れて、恋はたべごろ。～本気になったカレの濃密エッチで抱きつぶされる～"/>
            <filter val="昨夜の記憶がないんだが、どうやら全員と…【分冊版】"/>
            <filter val="STACK OVERFLOW：スタック・オーバーフロー【タテヨミ】"/>
            <filter val="妄想文庫"/>
            <filter val="ダブルエッチ"/>
            <filter val="妄想文庫【R-18版】"/>
            <filter val="ひたむき処女は知りたがり　取引先とえっちな共同開発"/>
            <filter val="ネトゲ廃人の異世界転生記 拳王とよばれた最強の拳が使えないので、1日8時間こん棒を振ることからはじめた【分冊版】"/>
            <filter val="極悪女帝の後宮【単話】"/>
            <filter val="酔っ払い令嬢が英雄と知らず求婚した結果 ～最強の神獣騎士から溺愛がはじまりました！？～【単話版】"/>
            <filter val="さよなら歪なユートピア"/>
            <filter val="尚弥くんは欲しがるまでは手を出さない"/>
            <filter val="Mellis Maleficarum"/>
            <filter val="イクまで絶対離れない！イジワル上司の手のひらが、私に淫らに吸いつきます！？"/>
            <filter val="ハツコイ・リプライズ"/>
            <filter val="敏腕CEOの愛は重すぎる!?～逃れられないプロポーズ～【分冊版】"/>
            <filter val="オリバーの心臓（分冊版）"/>
            <filter val="運命の初恋は紋章とともに -結婚を誓った相手は次期領主様でした-"/>
            <filter val="【単話】私、嫌われ皇妃で構いません！"/>
            <filter val="追放聖女は小さな村で、愛されながら癒される。"/>
            <filter val="凸凹×コミュニケーション"/>
            <filter val="美男の絡みが大好きな令嬢は、婚約破棄されても推しを描くのが止められません。"/>
            <filter val="重婚なんてお断り！ 絶対に双子の王子を見分けてみせます！（分冊版）"/>
            <filter val="婚約破棄された魔法薬師は炎の騎士に溺愛される【単話】"/>
            <filter val="陰キャな部下は女性用風俗のNo.1俺様キャストでした 【R18版】"/>
            <filter val="つれない後輩(きみ)を開発したい〜2人きりのアダルトグッズ事業部〜【フルカラー】"/>
            <filter val="紳士な上司のオモチャな愛し方。～こじらせ女子はえっちに開花かれ満たされたい～"/>
            <filter val="チェリーピンクにシュガーハイ"/>
            <filter val="死に戻りの冷害王子が賢王と呼ばれるまで～導いたのは不器用な侯爵令嬢の祈りでした～（話売り）"/>
            <filter val="恋するリップ・ティント 分冊版"/>
            <filter val="恋とクズの治し方"/>
            <filter val="右頬のきずな【電子単話版】"/>
            <filter val="天女様がかえらない【単話】"/>
            <filter val="絶望に啼け"/>
            <filter val="誠に勝手ながら推させていただきます【マイクロ】"/>
            <filter val="月と夫婦は満ちれば欠ける"/>
            <filter val="デザイナー・ミーツ・ファムファタル"/>
            <filter val="人喰い村～ケガレノマツリ～分冊版"/>
            <filter val="君に恋して18年目、幼なじみ卒業しました。（単話版）"/>
            <filter val="継母の心得（分冊版）"/>
            <filter val="毒の寵妃は後宮で花ひらく【分冊版】"/>
            <filter val="婚約破棄され国王殺しの罪を着せられそうになった私を救ったのは王宮医師団の青年でした"/>
            <filter val="最強ご主人様に愛され尽くす独占婚【ページ版】"/>
            <filter val="執着辺境伯の歪んだ愛～捨てられ夫人への一途な妄執～"/>
            <filter val="ずっと、君だけを 寡黙な黒騎士は生まれ変わりの元王女を今度こそ手放さない"/>
            <filter val="帝都の隠し巫女 ～式神付き没落令嬢は、あやかしが視えない陰陽師の使用人になる～【単話】"/>
            <filter val="花緒あめ作品集【R版】"/>
            <filter val="真理子さんと僕 バイト先の人妻との不倫関係"/>
            <filter val="死に戻った妃は華麗なる復讐を遂げる【単話版】"/>
            <filter val="【単話版】俺、寝取られたいんです!!!"/>
            <filter val="僕の吸血姫を笑わせたい"/>
            <filter val="我が家のヒモ男♥【分冊版】"/>
            <filter val="脅され契約妃の白い結婚生活"/>
            <filter val="自称「デキる女」たち【マイクロ】"/>
            <filter val="ハイスペセフレくんはもう&quot;普通&quot;に戻れない"/>
            <filter val="愛されすぎの身代わり婚～お見合い相手は初恋の彼でした～【分冊版】"/>
            <filter val="紅のリリィ【マイクロ】"/>
            <filter val="100本に変わるまで"/>
            <filter val="俺は恋する女の子"/>
            <filter val="穏やかな執着(フルカラー)"/>
            <filter val="タナトス～死神さまの意のままに～【タテヨミ】"/>
            <filter val="アラサーちゃんは年下学生のク○責めに抗えない!?【TL版】"/>
            <filter val="最後の恋も2度目なら"/>
            <filter val="愛する人は他にいると言った夫が、私を離してくれません 【連載版】"/>
            <filter val="神域の巫女〜無能のフリをして、今日も平和に過ごします〜【単話版】"/>
            <filter val="刺青ピアスの透真さんは私の事を駄目にしたい"/>
            <filter val="【ラブパルフェ】溺愛すぎるハイスペ消防士の再熱愛に乱されたい～鍛えたカラダでとろとろ発情セックス"/>
            <filter val="カラダ・バイブレーション"/>
            <filter val="体育教師Ｍ〜男の俺がMになる時〜【タテヨミ】"/>
            <filter val="花とメオト-大正溺愛お伽草子-【マイクロ】"/>
            <filter val="先輩達との学園生活【分冊版】"/>
            <filter val="クーデレ魔法師ととろあま「つがい」契約【分冊版】"/>
            <filter val="大好きな先生のアシはとんでも案件でした"/>
            <filter val="本で死ぬなら本望です！～ゼロから始める異世界書店員ライフ～【マイクロ】"/>
            <filter val="本音しか言えなくなってしまった令嬢ですが、逆に溺愛されるようになりました。"/>
            <filter val="モブなのにヤンデレ王子にロックオンされました"/>
            <filter val="あくまでわたくしの考えなのだけど。～嫌味たらしい公爵令嬢の口癖～"/>
            <filter val="駆け落ちした妹の代わりに私が結婚するんですか⁉︎〜残り物の私はどうやら侯爵様に溺愛されるようです〜"/>
            <filter val="萌葱作品集【R版】"/>
            <filter val="予知夢を見た侯爵令嬢は婚約者様との未来を変えたい"/>
            <filter val="篠塚作品集【R版】"/>
            <filter val="あの子は強欲フレネミー"/>
            <filter val="Berry’sFantasy双子王子の継母になりまして～嫌われ悪女ですが、そんなことより義息子たちが可愛すぎて困ります～"/>
            <filter val="ロイヤル・サーヴァント【タテヨミ】"/>
            <filter val="好きと言うにはまだ幼い"/>
            <filter val="出来損ない令嬢に転生したギャルが見返すために努力した結果、溺愛されてますけど何か文句ある？（分冊版）"/>
            <filter val="偽装結婚はじめました〜王太子の婚約者のフリをして生きようと思います〜"/>
            <filter val="道隆は私のワンちゃん....だよね? ～ 甘えん坊の年下彼氏が狂犬ドSになりまして ～【R版】"/>
            <filter val="会社で真面目な静野さんは家で男を飼ってるらしい【R版】"/>
            <filter val="あなたの甘い牙で――虐げられた花嫁は狼の王と契りをかわす――【分冊版】"/>
            <filter val="SLEEP OR SEX【タテヨミ】"/>
            <filter val="採用の仮面 天才リクルーター馬道透の〝本音が視える〟採用活動【分冊版】"/>
            <filter val="キミの瞳に魅せられて〜愛を知らないモテ上司が、地味で孤独な部下を溺愛〜"/>
            <filter val="エロ漫画家先生のニセ恋。～ハジメテ同士が本気エッチをしたらキュン止めらんない…!?～"/>
            <filter val="鬼大尉の生贄花嫁～買われたはずが、冷徹伯爵に独占寵愛されています～【分冊版】"/>
            <filter val="ヴァンパイアと食事【タテヨミ】"/>
            <filter val="推しの桂真くんにガチ恋してます[ばら売り]　"/>
            <filter val="甘い声でStayなんて言うんじゃねぇ！【連載版】"/>
            <filter val="相性100%の恋、始めます ～俺様御曹司とこじらせデキ女の凸凹マッチング！？～"/>
            <filter val="転生第八王子の幸せ家族計画【分冊版】（コミック）"/>
            <filter val="没落令嬢は、婚約者だった皇太子殿下の愛を望まない"/>
            <filter val="陰キャな部下は女性用風俗のNo.1俺様キャストでした"/>
            <filter val="高嶺の花には難がある"/>
            <filter val="断罪された負け組令嬢ですが、時間を戻せるようになったので今度こそ幸せになります【単話】"/>
            <filter val="平凡なガイドの平凡な日常【タテヨミ】"/>
            <filter val="美貌の冷徹宰相閣下はワケあり令嬢を溺愛して手放さない"/>
            <filter val="尚弥くんは欲しがるまでは手を出さない【R版】"/>
            <filter val="イヤだけど挿れられたい！NTRセックスに堕ちていく美人人妻たち【分冊版】"/>
            <filter val="Berry’sFantasy冷酷な狼皇帝の契約花嫁～「お前は家族じゃない」と捨てられた令嬢が、獣人国で愛されて幸せになるまで～"/>
            <filter val="夜の国の呪い姫、引きこもり太陽王子の心を溶かす（単話版）"/>
            <filter val="双愛のエデン～堕ちても昇天（イ）っても奪い愛される～"/>
            <filter val="悪役令嬢になりましたが、何か？【分冊版】"/>
            <filter val="死に戻り転生少女と運命の恋"/>
            <filter val="結局私は愛されてセックスがしたかったんだ"/>
            <filter val="雇われ婚約者～御曹司からのご褒美はとろ甘な蜜事でした～【分冊版】"/>
            <filter val="なにシて欲しい？ 世話焼き彼氏にあまぁ～いご奉仕"/>
            <filter val="起承転転 単話版"/>
            <filter val="事故物件探偵"/>
            <filter val="隣国での家庭教師生活が、伯爵様の溺愛付きなんて聞いてません!"/>
            <filter val="殿下、あなたが神々しくないと追放した私が神の愛し子です。"/>
            <filter val="サレ妻〜パパの不倫相手は×××の先生〜【単話】"/>
            <filter val="私を叱る日鷹君と毎晩シています［ばら売り］"/>
            <filter val="ダブル・トラップ〜僕だけが知る夜の顔〜【タテヨミ】"/>
            <filter val="メッザノッテの恋人《Lovelicot》"/>
            <filter val="繰り巫女あやかし夜噺　【連載版】"/>
            <filter val="ペテン師は罠を張る【R版】"/>
            <filter val="へんたいきぐるみといっしょ"/>
            <filter val="落ちこぼれをキャリーして【分冊版】"/>
            <filter val="【ラブパルフェ】エロいオカズの片山くんと妄想以上のヤラしいSEX～開発部の同僚は性欲重め"/>
            <filter val="おち〇ちんに負けてしまった女の子たち【分冊版】"/>
            <filter val="ディア マイ キューピッド【分冊版】"/>
            <filter val="小鳥は運命を否定したい"/>
            <filter val="これは生贄の儚き幸福【棒消し修正版】"/>
            <filter val="彼女の家でひとりでシテたら乳首開発されました"/>
            <filter val="刺激を求めたその先で【R版】"/>
            <filter val="◯◯はそんなこと言わない！"/>
            <filter val="婚約破棄にて奴隷生活から解放されたので、もう貴方の面倒は見ませんよ？"/>
            <filter val="魔法少女の殺し方"/>
            <filter val="その結婚、終わらせますか？【タテヨミ】"/>
            <filter val="誠に遺憾ですが俺の血をどうぞ、お嬢様。【マイクロ】"/>
            <filter val="私をダメにする絶頂マッサージ～欲求不満なOLが〇〇〇施術を受けたら…"/>
            <filter val="帰れないふたり【R-18版】"/>
            <filter val="凛太朗作品集【TL版】"/>
            <filter val="光の魔法菓子と婚約破棄～少女の魔法菓子が令嬢を魅了する～"/>
            <filter val="ビター・マリッジ"/>
            <filter val="刺激を求めたその先で【TL版】"/>
            <filter val="萌葱作品集【TL版】"/>
            <filter val="会いに行った裏アカ男子が大嫌いな婚約者で詰んだ。"/>
            <filter val="帰れないふたり"/>
            <filter val="脇役ハピエン計画～悪役の従姉はバッドエンドから逃れたい～【タテヨミ】"/>
            <filter val="王子と騎士は男装聖女が死ぬほど愛おしい【マイクロ】"/>
            <filter val="委員長と光田くん"/>
            <filter val="跪かせてマイドッグ"/>
            <filter val="もらってください！おれのハジメテ 〜あかりくんの過剰で純情な欲情〜【単話】"/>
            <filter val="悪女の秘密のお仕事"/>
            <filter val="無能力の私が次期当主のツガイになりました"/>
            <filter val="誘惑レッスン"/>
            <filter val="8点作品集【TL版】"/>
            <filter val="はやく俺に落ちなさい～おひとり様でいたいのに、次期社長が求愛してくる～【分冊版】"/>
            <filter val="北海道の女、本場大阪の関西弁クソデカ感情セックスを知る"/>
            <filter val="女風婚～お金で買ったイケオジが運命のカレシでした～【分冊版】"/>
            <filter val="会社で真面目な静野さんは家で男を飼ってるらしい"/>
            <filter val="【単話版】天稟"/>
            <filter val="のの香とこーちゃん～ち○ち○こわい～【R-18版】"/>
            <filter val="死にたがり令嬢は吸血鬼に溺愛される【分冊版】（コミック）"/>
            <filter val="九条家のシキタリ。～子作りレッスンのはずが堅物執事に溺愛されています～"/>
            <filter val="【単話】魔力がないからと面倒事を押しつけられた私、次の仕事は公爵夫人らしいです"/>
            <filter val="心音【電子単話版】"/>
            <filter val="鳴海 光のはじめてを食べたい【R版】"/>
            <filter val="淫らな復讐"/>
            <filter val="もう全部俺一人でいいんじゃないか？ ～人々にギフトを与える能力に目覚めた俺は、仲間を集めて魔王を倒すのが使命らしいけど、そんなことはどうでもいいので裏切った奴等に復讐していく～【単話】"/>
            <filter val="後宮の花結師【分冊版】"/>
            <filter val="ちょー美女と野獣～キスしたら王子様になっちゃったので、もう一度魔法をかけなくちゃ～"/>
            <filter val="初対面で大変丁寧に婚約破棄を言い渡されましたが、話し合いの結果お友達から始めることになりました。"/>
            <filter val="吸血鬼さんに俺のカラダを狙われてます【フルカラー】"/>
            <filter val="叔母を飼う"/>
            <filter val="頼くんとヨリを戻すわけには！ プチデザ"/>
            <filter val="キスした猫の正体は魔法にかけられた氷の貴公子でした。「撫でてください」と迫られても困ります！"/>
            <filter val="完全無欠の辺境伯と身代わり花嫁の蜜甘婚～旦那さまに磨かれて愛され妻になりました～【分冊版】"/>
            <filter val="邪花〜悪魔に取り憑かれた男〜【タテヨミ】"/>
            <filter val="おやすみ、不憫な保科くん"/>
            <filter val="黒い後見人"/>
            <filter val="秘密のご奉仕ラブバイト【タテヨミ】"/>
            <filter val="ねぇ、なぐさめてキスしてよ【マイクロ】"/>
            <filter val="シークレットアンダーリップ〜服の下に隠された欲望〜【タテヨミ】"/>
            <filter val="刺青ピアスの透真さんは私の事を駄目にしたい【合冊版】"/>
            <filter val="デート・オア・キル～秘密のマッチング～【分冊版】"/>
            <filter val="抱き方はこれで合ってますか？"/>
            <filter val="独り占めして、甘くいじめて～幼なじみバンドマンの愛はピュアで重め～"/>
            <filter val="恋する天使は罪深い［1話売り］"/>
            <filter val="鬼王と奉公花嫁の秘めごと【単話版】"/>
            <filter val="復讐の刻～愛する息子が殺された～"/>
            <filter val="君は僕の妻じゃない～マガイモノの結婚生活はじめます～【フルカラー】　"/>
            <filter val="【分冊版】性悪ツインズとエチエチ攻防戦!!!"/>
            <filter val="治験に参加したらメスにされた話【R18版】"/>
            <filter val="蝶は愛執の檻にとらわれる【マイクロ】"/>
            <filter val="巫の婿探し【マイクロ】"/>
            <filter val="ドールハウス（コミック） 分冊版"/>
            <filter val="美麗童貞 龍美くんと初めての肉欲"/>
            <filter val="双子聖女～妹が私の物ばかり欲しがります。ついには婚約者まで取られました～"/>
            <filter val="レイチェル・ジーンは踊らない【連載版】"/>
            <filter val="グイグイくる義母とAV鑑賞"/>
            <filter val="鳴海 光のはじめてを食べたい"/>
            <filter val="乙女ゲーム「クロ†ドラ ―黒い聖女と悪しき竜―」に異世界転生したけど無理ゲー、詰んだ。"/>
            <filter val="代わりの花嫁 ～愛する人と、姉の代わりに結婚します～"/>
            <filter val="下賜された妃と鬼武官"/>
            <filter val="私、本当は…-マゾ告白して始まる本当に気持ちいいセックス-"/>
            <filter val="私はソレを運命と呼びたい"/>
            <filter val="純白ユナ先輩は毎日シてみたい【分冊版】"/>
            <filter val="ぽちゃトレ【R-18版】"/>
            <filter val="8点作品集【R版】"/>
            <filter val="ビューファインダー【タテヨミ】"/>
            <filter val="強すぎる令嬢は、公爵様の深い愛に包まれる"/>
            <filter val="パラダイスキングダム 分冊版"/>
            <filter val="【ラブパルフェ】ナカまでほぐす快感マッサージ～憧れの藤堂センパイに超絶テクで溺愛されちゃうっ"/>
            <filter val="BL彼氏"/>
            <filter val="黒歴史によろしく"/>
            <filter val="アネモネ劇場〜あの頃の僕たちの青春物語上映中〜【タテヨミ】"/>
            <filter val="輪廻の花嫁～死に戻った私が鬼神の最愛になるまで～"/>
            <filter val="勇者転職～教師になった途端、あらゆる美女から迫られてます!?"/>
            <filter val="美麗童貞 龍美くんと初めての肉欲【R版】"/>
            <filter val="龍神様の押しかけ婚～人ならざる指と舌使いで今夜も秘蜜を絡めとる～"/>
            <filter val="［話売］失恋ぽちゃ女子はマッチョなトレーナーに溺愛される!?"/>
            <filter val="クセあり天使と1K暮らし"/>
            <filter val="【単話版】クズ女子が本気の恋に落ちるまで-NOiPA編-"/>
            <filter val="凛太朗作品集【R版】"/>
            <filter val="のの香とこーちゃん～ち○ち○こわい～"/>
            <filter val="結局私は愛されてセックスがしたかったんだ【R版】"/>
            <filter val="追放聖女、行き倒れを拾う"/>
            <filter val="復讐の招待状～僕をいじめてた君たちへ～"/>
            <filter val="【単話版】女の人生に整形って必要ですか？～美容整形の裏側がカオスだった話～"/>
            <filter val="ぬきたしR"/>
            <filter val="これは生贄の儚き幸福【白抜き修正版】"/>
            <filter val="Please！Freeze！Please！【分冊版】"/>
            <filter val="ヤサグレてしまった令嬢は、執着王子になびきたくない！"/>
            <filter val="この関西人がウザすぎる!!〜なにわギャルとイケズ京男に振り回されています〜【分冊版】"/>
            <filter val="婚約破棄された辺境伯令嬢ですが、敵国王に求愛されて花嫁になりました"/>
            <filter val="聖女の『真実の愛』"/>
            <filter val="つが恋～後天性Ωの運命～［ばら売り］"/>
            <filter val="最狂ヤンキーが僕だけに夢中な件！？"/>
            <filter val="アラサーちゃんは年下学生のク○責めに抗えない!?【R版】"/>
            <filter val="歌舞伎町ラブホバトルロイヤル"/>
            <filter val="猥談"/>
            <filter val="刺青ピアスの透真さんは私の事を駄目にしたい【R-18版】"/>
            <filter val="復讐～イジメの果て～"/>
            <filter val="もう恋は結構です【連載版】"/>
            <filter val="俺の溺愛で壊れないでね～終業後に始まるとろあまセックス～"/>
            <filter val="邪眼の淫力で生徒会レズ女子達の処女を…!!【分冊版】"/>
            <filter val="不完全恋愛"/>
            <filter val="麒麟華 ~君に赤く染まった私~【タテヨミ】"/>
            <filter val="魔法が使えないと追放された姫は、剣の国の王子に見初められ、騎士として祖国を取り返す"/>
            <filter val="幼馴染のエロトラップ～発情した狼は甘すぎる～ [完全版]【タテヨミ】"/>
            <filter val="羽角くんの沼らセックスから逃げられない～相性最高の後輩とズブズブな夜"/>
            <filter val="前世は冷酷皇帝、今世は幼女（分冊版）"/>
            <filter val="モブなのにヤンデレ王子にロックオンされました【R18版】"/>
            <filter val="あまくおいしくめしあがれ"/>
            <filter val="キミを忘れないための101のこと【単話版】"/>
            <filter val="恋愛はタイミング次第【タテヨミ】"/>
            <filter val="遭難は残業扱いになりますか?"/>
            <filter val="僕のえっちな夢が現実になるまで"/>
            <filter val="そうだバックレよう 奴隷買ったら、前世の常識とか倫理観とかどうでもよくなった"/>
            <filter val="高城くんのカレ【タテヨミ】"/>
            <filter val="おもしれー男 光定さんは幼なじみを自称してくる《Lovelicot》"/>
            <filter val="婚約破棄されて自由の身になった聖女さまは、憧れの恋愛結婚をしてみたい。目標は殿下と男爵令嬢をこえるスーパーバカップルになってやることです。"/>
            <filter val="常識改変世界でイきまくる"/>
            <filter val="そんなに俺が嫌いなら【タテヨミ】"/>
            <filter val="キミはボクのトリコ"/>
            <filter val="和泉はち作品集【TL版】"/>
            <filter val="悪役令嬢の運命打破論。【単話版】"/>
            <filter val="鏡巳くんのクソデカ執愛。私が嫌いなオフィスの王子はXLで変態！？"/>
            <filter val="猟妻拳暴～モラハラ夫は躾けましょう～【単話版】"/>
            <filter val="タワマン・リベンジ2～港区最底辺からのヤり上がり～【タテヨミ】"/>
            <filter val="嘘つきカノジョの影盛さん(フルカラー)"/>
            <filter val="水上の旋律を君に【タテヨミ】"/>
            <filter val="北海道の女、本場大阪の関西弁クソデカ感情セックスを知る【R版】"/>
            <filter val="どうしようもないM女でもいいですか"/>
            <filter val="キョンシー・プリンセス～退魔されるはずの令嬢ですがイケメン道士から溺愛されました～"/>
            <filter val="運命だから諦めて？ 分冊版"/>
            <filter val="婚約者に選ばれなかったので、死神さんと運命を変えてみせます！"/>
            <filter val="大丈夫、私にしか見えないはずだから。"/>
            <filter val="愛が重い年下カレは私だけの求愛モンスター"/>
            <filter val="軍人の新妻～怜悧な軍人と凍てついた令嬢～【分冊版】"/>
            <filter val="怪物王子と毒草使いの姫君【分冊版】"/>
            <filter val="鵺との婚姻"/>
            <filter val="穏やかな執着【タテヨミ】"/>
            <filter val="心の中が見える王子と心の中は真っ黒令嬢【連載版】"/>
            <filter val="ペテン師は罠を張る"/>
            <filter val="［話売］この女磨きはあなたのためではありません"/>
            <filter val="あなたは俺には甘すぎる～懐かない冷淡部下の切実で異質な愛し方～"/>
            <filter val="【単話売】アブないヒモを飼っています！"/>
            <filter val="追放聖女は再就職先で元魔王様に溺愛されそうです!?"/>
            <filter val="マリッジインザダーク"/>
            <filter val="王子の初恋相手は、どうやら私のようなのですが。"/>
            <filter val="４人は無理だって！【分冊版】"/>
            <filter val="極愛!!　今日から恋と極道、相続します"/>
          </filters>
        </filterColumn>
      </autoFilter>
    </customSheetView>
    <customSheetView guid="{44F7687E-E2E9-4183-861C-0EEAA94F1EEE}" filter="1" showAutoFilter="1">
      <autoFilter ref="$A$1:$X$3328"/>
    </customSheetView>
  </customSheetViews>
  <mergeCells count="93">
    <mergeCell ref="P2917:Q2917"/>
    <mergeCell ref="I2932:J2932"/>
    <mergeCell ref="P2938:Q2938"/>
    <mergeCell ref="I2940:J2940"/>
    <mergeCell ref="P2947:Q2947"/>
    <mergeCell ref="P2948:Q2948"/>
    <mergeCell ref="P2949:Q2949"/>
    <mergeCell ref="P2950:Q2950"/>
    <mergeCell ref="P2951:Q2951"/>
    <mergeCell ref="P2952:Q2952"/>
    <mergeCell ref="P2953:Q2953"/>
    <mergeCell ref="P2954:Q2954"/>
    <mergeCell ref="P2955:Q2955"/>
    <mergeCell ref="P2956:Q2956"/>
    <mergeCell ref="I3133:J3133"/>
    <mergeCell ref="I3135:J3135"/>
    <mergeCell ref="I3138:J3138"/>
    <mergeCell ref="I3142:J3142"/>
    <mergeCell ref="I3143:J3143"/>
    <mergeCell ref="R3144:S3144"/>
    <mergeCell ref="P3162:Q3162"/>
    <mergeCell ref="P3235:Q3235"/>
    <mergeCell ref="R3240:S3240"/>
    <mergeCell ref="P3254:Q3254"/>
    <mergeCell ref="P3295:Q3295"/>
    <mergeCell ref="P3309:Q3309"/>
    <mergeCell ref="R3309:S3309"/>
    <mergeCell ref="P3311:Q3311"/>
    <mergeCell ref="P3326:Q3326"/>
    <mergeCell ref="I3161:J3161"/>
    <mergeCell ref="I3166:J3166"/>
    <mergeCell ref="P3178:Q3178"/>
    <mergeCell ref="I3182:J3182"/>
    <mergeCell ref="P3196:Q3196"/>
    <mergeCell ref="P3199:Q3199"/>
    <mergeCell ref="P3200:Q3200"/>
    <mergeCell ref="I3306:J3306"/>
    <mergeCell ref="I3322:J3322"/>
    <mergeCell ref="I3114:J3114"/>
    <mergeCell ref="I3116:J3116"/>
    <mergeCell ref="I3123:J3123"/>
    <mergeCell ref="I3125:J3125"/>
    <mergeCell ref="I3127:J3127"/>
    <mergeCell ref="I3129:J3129"/>
    <mergeCell ref="I3131:J3131"/>
    <mergeCell ref="I2750:K2750"/>
    <mergeCell ref="I2751:K2751"/>
    <mergeCell ref="I2753:K2753"/>
    <mergeCell ref="I2754:K2754"/>
    <mergeCell ref="I2755:K2755"/>
    <mergeCell ref="I2757:K2757"/>
    <mergeCell ref="P2766:Q2766"/>
    <mergeCell ref="P2771:Q2771"/>
    <mergeCell ref="P2772:Q2772"/>
    <mergeCell ref="P2773:Q2773"/>
    <mergeCell ref="P2774:Q2774"/>
    <mergeCell ref="P2775:Q2775"/>
    <mergeCell ref="P2776:Q2776"/>
    <mergeCell ref="P2777:Q2777"/>
    <mergeCell ref="P2778:Q2778"/>
    <mergeCell ref="P2779:Q2779"/>
    <mergeCell ref="P2780:Q2780"/>
    <mergeCell ref="P2781:Q2781"/>
    <mergeCell ref="P2782:Q2782"/>
    <mergeCell ref="P2783:Q2783"/>
    <mergeCell ref="P2784:Q2784"/>
    <mergeCell ref="P2785:Q2785"/>
    <mergeCell ref="P2786:Q2786"/>
    <mergeCell ref="P2869:Q2869"/>
    <mergeCell ref="P2876:Q2876"/>
    <mergeCell ref="P2877:Q2877"/>
    <mergeCell ref="P2878:Q2878"/>
    <mergeCell ref="P2879:Q2879"/>
    <mergeCell ref="P2958:Q2958"/>
    <mergeCell ref="P2960:Q2960"/>
    <mergeCell ref="P2968:Q2968"/>
    <mergeCell ref="I2974:J2974"/>
    <mergeCell ref="P2975:Q2975"/>
    <mergeCell ref="P2978:Q2978"/>
    <mergeCell ref="R2992:S2992"/>
    <mergeCell ref="P3001:Q3001"/>
    <mergeCell ref="P3007:Q3007"/>
    <mergeCell ref="P3031:Q3031"/>
    <mergeCell ref="P3038:Q3038"/>
    <mergeCell ref="P3039:Q3039"/>
    <mergeCell ref="P3041:Q3041"/>
    <mergeCell ref="I2987:J2987"/>
    <mergeCell ref="I3004:J3004"/>
    <mergeCell ref="I3005:J3005"/>
    <mergeCell ref="I3033:J3033"/>
    <mergeCell ref="I3038:J3038"/>
    <mergeCell ref="I3039:J3039"/>
    <mergeCell ref="I3111:J311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4"/>
    <col customWidth="1" min="2" max="2" width="37.86"/>
    <col customWidth="1" min="3" max="3" width="28.14"/>
  </cols>
  <sheetData>
    <row r="2">
      <c r="B2" s="232" t="s">
        <v>0</v>
      </c>
      <c r="C2" s="232" t="s">
        <v>1</v>
      </c>
      <c r="D2" s="232" t="s">
        <v>2</v>
      </c>
    </row>
    <row r="3">
      <c r="B3" s="233" t="s">
        <v>3</v>
      </c>
      <c r="C3" s="13"/>
      <c r="D3" s="233" t="s">
        <v>4</v>
      </c>
    </row>
    <row r="4">
      <c r="B4" s="234" t="s">
        <v>5</v>
      </c>
      <c r="C4" s="235" t="s">
        <v>5</v>
      </c>
      <c r="D4" s="234" t="s">
        <v>6</v>
      </c>
    </row>
    <row r="5">
      <c r="B5" s="236"/>
      <c r="C5" s="235" t="s">
        <v>7</v>
      </c>
      <c r="D5" s="236"/>
    </row>
    <row r="6">
      <c r="B6" s="236"/>
      <c r="C6" s="235" t="s">
        <v>8</v>
      </c>
      <c r="D6" s="236"/>
    </row>
    <row r="7">
      <c r="B7" s="236"/>
      <c r="C7" s="235" t="s">
        <v>9</v>
      </c>
      <c r="D7" s="236"/>
    </row>
    <row r="8">
      <c r="B8" s="236"/>
      <c r="C8" s="235" t="s">
        <v>10</v>
      </c>
      <c r="D8" s="236"/>
    </row>
    <row r="9">
      <c r="B9" s="236"/>
      <c r="C9" s="235" t="s">
        <v>11</v>
      </c>
      <c r="D9" s="236"/>
    </row>
    <row r="10">
      <c r="B10" s="236"/>
      <c r="C10" s="235" t="s">
        <v>12</v>
      </c>
      <c r="D10" s="236"/>
    </row>
    <row r="11">
      <c r="B11" s="236"/>
      <c r="C11" s="235" t="s">
        <v>13</v>
      </c>
      <c r="D11" s="236"/>
    </row>
    <row r="12">
      <c r="B12" s="237"/>
      <c r="C12" s="235" t="s">
        <v>14</v>
      </c>
      <c r="D12" s="237"/>
    </row>
    <row r="13">
      <c r="B13" s="13"/>
      <c r="C13" s="13"/>
      <c r="D13" s="13"/>
    </row>
    <row r="14">
      <c r="B14" s="13"/>
      <c r="C14" s="13"/>
      <c r="D14" s="13"/>
    </row>
  </sheetData>
  <mergeCells count="2">
    <mergeCell ref="B4:B12"/>
    <mergeCell ref="D4:D12"/>
  </mergeCells>
  <hyperlinks>
    <hyperlink r:id="rId1" location="gid=858694027" ref="C4"/>
    <hyperlink r:id="rId2" location="gid=141197400" ref="C5"/>
    <hyperlink r:id="rId3" location="gid=1867082411" ref="C6"/>
    <hyperlink r:id="rId4" location="gid=1847426721" ref="C7"/>
    <hyperlink r:id="rId5" location="gid=655303226" ref="C8"/>
    <hyperlink r:id="rId6" location="gid=858694027" ref="C9"/>
    <hyperlink r:id="rId7" location="gid=1139345318" ref="C10"/>
    <hyperlink r:id="rId8" location="gid=975394700" ref="C11"/>
    <hyperlink r:id="rId9" ref="C12"/>
  </hyperlinks>
  <drawing r:id="rId10"/>
</worksheet>
</file>